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troyjarvis/Library/Mobile Documents/com~apple~CloudDocs/Feasibility_Engine/"/>
    </mc:Choice>
  </mc:AlternateContent>
  <xr:revisionPtr revIDLastSave="0" documentId="8_{9C46111C-01D1-134D-8005-16B225FBEC6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How to" sheetId="1" r:id="rId1"/>
    <sheet name="Summary" sheetId="2" r:id="rId2"/>
    <sheet name="Inputs" sheetId="3" r:id="rId3"/>
    <sheet name="Projection" sheetId="4" r:id="rId4"/>
    <sheet name="7 Year Projection" sheetId="5" r:id="rId5"/>
    <sheet name="7 Year Projection-Expanded" sheetId="6" r:id="rId6"/>
    <sheet name="Loan Payoff Schedule" sheetId="7" r:id="rId7"/>
    <sheet name="Rate Calculation" sheetId="8" r:id="rId8"/>
    <sheet name="Expense Comp Data" sheetId="9" r:id="rId9"/>
    <sheet name="Modeling" sheetId="10" r:id="rId10"/>
    <sheet name="Attrition Modeling" sheetId="11" r:id="rId11"/>
    <sheet name="Traditional Attrition" sheetId="12" r:id="rId12"/>
    <sheet name="IP Attrition" sheetId="13" r:id="rId13"/>
    <sheet name="RentalsVacates" sheetId="14" r:id="rId14"/>
    <sheet name="Monthly" sheetId="15" r:id="rId15"/>
  </sheets>
  <definedNames>
    <definedName name="_Fill" localSheetId="10">#REF!</definedName>
    <definedName name="_Fill">#REF!</definedName>
    <definedName name="_Key2" localSheetId="10">#REF!</definedName>
    <definedName name="_Key2">#REF!</definedName>
    <definedName name="_Sort">#REF!</definedName>
    <definedName name="_Table2_In2">#REF!</definedName>
    <definedName name="_Table2_Out">#REF!</definedName>
    <definedName name="cap">#REF!</definedName>
    <definedName name="d">#REF!</definedName>
    <definedName name="dfasfasf">#REF!</definedName>
    <definedName name="increase">#REF!</definedName>
    <definedName name="increase1">#REF!</definedName>
    <definedName name="MasterCheck">#REF!</definedName>
    <definedName name="newsf">#REF!</definedName>
    <definedName name="rate">#REF!</definedName>
    <definedName name="RentRollProperty">#REF!</definedName>
    <definedName name="salesprice" localSheetId="10">#REF!</definedName>
    <definedName name="salesprice">#REF!</definedName>
    <definedName name="SnapshotAnnexRow">#REF!</definedName>
    <definedName name="SnapshotAutofilter1">#REF!</definedName>
    <definedName name="SnapshotProperty">#REF!</definedName>
    <definedName name="SnapshotSqFtRentedPercent">#REF!</definedName>
    <definedName name="SnapshotUnitRentedPercent">#REF!</definedName>
    <definedName name="transpose07occ">#REF!</definedName>
    <definedName name="transpose08occ">#REF!</definedName>
    <definedName name="transpose09occ">#REF!</definedName>
    <definedName name="UnitMixProper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5" l="1"/>
  <c r="BN20" i="15"/>
  <c r="BJ20" i="15"/>
  <c r="AM20" i="15"/>
  <c r="AL20" i="15"/>
  <c r="L20" i="15"/>
  <c r="N19" i="15"/>
  <c r="BI13" i="15"/>
  <c r="BH13" i="15"/>
  <c r="AM13" i="15"/>
  <c r="AL13" i="15"/>
  <c r="AK13" i="15"/>
  <c r="AC13" i="15"/>
  <c r="AB13" i="15"/>
  <c r="T13" i="15"/>
  <c r="BN12" i="15"/>
  <c r="BJ12" i="15"/>
  <c r="BI12" i="15"/>
  <c r="BH12" i="15"/>
  <c r="BA12" i="15"/>
  <c r="AZ12" i="15"/>
  <c r="AR12" i="15"/>
  <c r="AL12" i="15"/>
  <c r="AC12" i="15"/>
  <c r="Y12" i="15"/>
  <c r="X12" i="15"/>
  <c r="T12" i="15"/>
  <c r="H12" i="15"/>
  <c r="F12" i="15"/>
  <c r="E12" i="15"/>
  <c r="BM11" i="15"/>
  <c r="BO4" i="15"/>
  <c r="BN4" i="15"/>
  <c r="BN19" i="15" s="1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BA20" i="15" s="1"/>
  <c r="AZ4" i="15"/>
  <c r="AY4" i="15"/>
  <c r="AX4" i="15"/>
  <c r="AW4" i="15"/>
  <c r="AV4" i="15"/>
  <c r="AV13" i="15" s="1"/>
  <c r="AU4" i="15"/>
  <c r="AU13" i="15" s="1"/>
  <c r="AT4" i="15"/>
  <c r="AS4" i="15"/>
  <c r="AS13" i="15" s="1"/>
  <c r="AR4" i="15"/>
  <c r="AR19" i="15" s="1"/>
  <c r="AQ4" i="15"/>
  <c r="AP4" i="15"/>
  <c r="AO4" i="15"/>
  <c r="AN4" i="15"/>
  <c r="AM4" i="15"/>
  <c r="AL4" i="15"/>
  <c r="AK4" i="15"/>
  <c r="AK12" i="15" s="1"/>
  <c r="AJ4" i="15"/>
  <c r="AJ12" i="15" s="1"/>
  <c r="AI4" i="15"/>
  <c r="AH4" i="15"/>
  <c r="AG4" i="15"/>
  <c r="AG12" i="15" s="1"/>
  <c r="AF4" i="15"/>
  <c r="AE4" i="15"/>
  <c r="AD4" i="15"/>
  <c r="AC4" i="15"/>
  <c r="AC20" i="15" s="1"/>
  <c r="AB4" i="15"/>
  <c r="AB12" i="15" s="1"/>
  <c r="AA4" i="15"/>
  <c r="Z4" i="15"/>
  <c r="Y4" i="15"/>
  <c r="X4" i="15"/>
  <c r="W4" i="15"/>
  <c r="V4" i="15"/>
  <c r="U4" i="15"/>
  <c r="U12" i="15" s="1"/>
  <c r="T4" i="15"/>
  <c r="T20" i="15" s="1"/>
  <c r="S4" i="15"/>
  <c r="R4" i="15"/>
  <c r="Q4" i="15"/>
  <c r="Q12" i="15" s="1"/>
  <c r="P4" i="15"/>
  <c r="P12" i="15" s="1"/>
  <c r="O4" i="15"/>
  <c r="N4" i="15"/>
  <c r="M4" i="15"/>
  <c r="M13" i="15" s="1"/>
  <c r="L4" i="15"/>
  <c r="L13" i="15" s="1"/>
  <c r="K4" i="15"/>
  <c r="J4" i="15"/>
  <c r="I4" i="15"/>
  <c r="H4" i="15"/>
  <c r="G4" i="15"/>
  <c r="F4" i="15"/>
  <c r="E4" i="15"/>
  <c r="E13" i="15" s="1"/>
  <c r="D4" i="15"/>
  <c r="D13" i="15" s="1"/>
  <c r="C4" i="15"/>
  <c r="E3" i="15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AG3" i="15" s="1"/>
  <c r="AH3" i="15" s="1"/>
  <c r="AI3" i="15" s="1"/>
  <c r="AJ3" i="15" s="1"/>
  <c r="AK3" i="15" s="1"/>
  <c r="AL3" i="15" s="1"/>
  <c r="AM3" i="15" s="1"/>
  <c r="AN3" i="15" s="1"/>
  <c r="AO3" i="15" s="1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Z3" i="15" s="1"/>
  <c r="BA3" i="15" s="1"/>
  <c r="BB3" i="15" s="1"/>
  <c r="BC3" i="15" s="1"/>
  <c r="BD3" i="15" s="1"/>
  <c r="BE3" i="15" s="1"/>
  <c r="BF3" i="15" s="1"/>
  <c r="BG3" i="15" s="1"/>
  <c r="BH3" i="15" s="1"/>
  <c r="BI3" i="15" s="1"/>
  <c r="BJ3" i="15" s="1"/>
  <c r="BK3" i="15" s="1"/>
  <c r="BL3" i="15" s="1"/>
  <c r="BM3" i="15" s="1"/>
  <c r="BN3" i="15" s="1"/>
  <c r="BO3" i="15" s="1"/>
  <c r="F81" i="14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79" i="14"/>
  <c r="F80" i="14" s="1"/>
  <c r="BR77" i="14"/>
  <c r="BS77" i="14" s="1"/>
  <c r="BT77" i="14" s="1"/>
  <c r="BU77" i="14" s="1"/>
  <c r="N77" i="14"/>
  <c r="O77" i="14" s="1"/>
  <c r="P77" i="14" s="1"/>
  <c r="Q77" i="14" s="1"/>
  <c r="R77" i="14" s="1"/>
  <c r="S77" i="14" s="1"/>
  <c r="T77" i="14" s="1"/>
  <c r="U77" i="14" s="1"/>
  <c r="V77" i="14" s="1"/>
  <c r="W77" i="14" s="1"/>
  <c r="X77" i="14" s="1"/>
  <c r="Y77" i="14" s="1"/>
  <c r="Z77" i="14" s="1"/>
  <c r="AA77" i="14" s="1"/>
  <c r="AB77" i="14" s="1"/>
  <c r="AC77" i="14" s="1"/>
  <c r="AD77" i="14" s="1"/>
  <c r="AE77" i="14" s="1"/>
  <c r="AF77" i="14" s="1"/>
  <c r="AG77" i="14" s="1"/>
  <c r="AH77" i="14" s="1"/>
  <c r="AI77" i="14" s="1"/>
  <c r="AJ77" i="14" s="1"/>
  <c r="AK77" i="14" s="1"/>
  <c r="AL77" i="14" s="1"/>
  <c r="AM77" i="14" s="1"/>
  <c r="AN77" i="14" s="1"/>
  <c r="AO77" i="14" s="1"/>
  <c r="AP77" i="14" s="1"/>
  <c r="AQ77" i="14" s="1"/>
  <c r="AR77" i="14" s="1"/>
  <c r="AS77" i="14" s="1"/>
  <c r="AT77" i="14" s="1"/>
  <c r="AU77" i="14" s="1"/>
  <c r="AV77" i="14" s="1"/>
  <c r="AW77" i="14" s="1"/>
  <c r="AX77" i="14" s="1"/>
  <c r="AY77" i="14" s="1"/>
  <c r="AZ77" i="14" s="1"/>
  <c r="BA77" i="14" s="1"/>
  <c r="BB77" i="14" s="1"/>
  <c r="BC77" i="14" s="1"/>
  <c r="BD77" i="14" s="1"/>
  <c r="BE77" i="14" s="1"/>
  <c r="BF77" i="14" s="1"/>
  <c r="BG77" i="14" s="1"/>
  <c r="BH77" i="14" s="1"/>
  <c r="BI77" i="14" s="1"/>
  <c r="BJ77" i="14" s="1"/>
  <c r="BK77" i="14" s="1"/>
  <c r="BL77" i="14" s="1"/>
  <c r="BM77" i="14" s="1"/>
  <c r="BN77" i="14" s="1"/>
  <c r="BO77" i="14" s="1"/>
  <c r="BP77" i="14" s="1"/>
  <c r="BQ77" i="14" s="1"/>
  <c r="M77" i="14"/>
  <c r="I77" i="14"/>
  <c r="J77" i="14" s="1"/>
  <c r="K77" i="14" s="1"/>
  <c r="L77" i="14" s="1"/>
  <c r="G76" i="14"/>
  <c r="H74" i="14"/>
  <c r="E74" i="14"/>
  <c r="F14" i="14"/>
  <c r="H14" i="14" s="1"/>
  <c r="I12" i="14"/>
  <c r="BU7" i="14"/>
  <c r="BT7" i="14"/>
  <c r="BS7" i="14"/>
  <c r="BR7" i="14"/>
  <c r="BQ7" i="14"/>
  <c r="BP7" i="14"/>
  <c r="BO7" i="14"/>
  <c r="C4" i="14"/>
  <c r="C3" i="14"/>
  <c r="F147" i="13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39" i="13"/>
  <c r="F140" i="13" s="1"/>
  <c r="F141" i="13" s="1"/>
  <c r="F142" i="13" s="1"/>
  <c r="F143" i="13" s="1"/>
  <c r="F144" i="13" s="1"/>
  <c r="F145" i="13" s="1"/>
  <c r="F146" i="13" s="1"/>
  <c r="D139" i="13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38" i="13"/>
  <c r="D137" i="13"/>
  <c r="F136" i="13"/>
  <c r="F137" i="13" s="1"/>
  <c r="F138" i="13" s="1"/>
  <c r="D136" i="13"/>
  <c r="K134" i="13"/>
  <c r="J134" i="13"/>
  <c r="I134" i="13"/>
  <c r="F73" i="13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72" i="13"/>
  <c r="F71" i="13"/>
  <c r="I69" i="13"/>
  <c r="J69" i="13" s="1"/>
  <c r="K69" i="13" s="1"/>
  <c r="L69" i="13" s="1"/>
  <c r="M69" i="13" s="1"/>
  <c r="N69" i="13" s="1"/>
  <c r="O69" i="13" s="1"/>
  <c r="P69" i="13" s="1"/>
  <c r="Q69" i="13" s="1"/>
  <c r="R69" i="13" s="1"/>
  <c r="S69" i="13" s="1"/>
  <c r="T69" i="13" s="1"/>
  <c r="U69" i="13" s="1"/>
  <c r="V69" i="13" s="1"/>
  <c r="W69" i="13" s="1"/>
  <c r="X69" i="13" s="1"/>
  <c r="Y69" i="13" s="1"/>
  <c r="Z69" i="13" s="1"/>
  <c r="AA69" i="13" s="1"/>
  <c r="AB69" i="13" s="1"/>
  <c r="AC69" i="13" s="1"/>
  <c r="AD69" i="13" s="1"/>
  <c r="AE69" i="13" s="1"/>
  <c r="AF69" i="13" s="1"/>
  <c r="AG69" i="13" s="1"/>
  <c r="AH69" i="13" s="1"/>
  <c r="AI69" i="13" s="1"/>
  <c r="AJ69" i="13" s="1"/>
  <c r="AK69" i="13" s="1"/>
  <c r="AL69" i="13" s="1"/>
  <c r="AM69" i="13" s="1"/>
  <c r="AN69" i="13" s="1"/>
  <c r="AO69" i="13" s="1"/>
  <c r="AP69" i="13" s="1"/>
  <c r="AQ69" i="13" s="1"/>
  <c r="AR69" i="13" s="1"/>
  <c r="AS69" i="13" s="1"/>
  <c r="AT69" i="13" s="1"/>
  <c r="AU69" i="13" s="1"/>
  <c r="AV69" i="13" s="1"/>
  <c r="AW69" i="13" s="1"/>
  <c r="AX69" i="13" s="1"/>
  <c r="AY69" i="13" s="1"/>
  <c r="AZ69" i="13" s="1"/>
  <c r="BA69" i="13" s="1"/>
  <c r="BB69" i="13" s="1"/>
  <c r="BC69" i="13" s="1"/>
  <c r="BD69" i="13" s="1"/>
  <c r="BE69" i="13" s="1"/>
  <c r="BF69" i="13" s="1"/>
  <c r="BG69" i="13" s="1"/>
  <c r="BH69" i="13" s="1"/>
  <c r="BI69" i="13" s="1"/>
  <c r="BJ69" i="13" s="1"/>
  <c r="BK69" i="13" s="1"/>
  <c r="BL69" i="13" s="1"/>
  <c r="BM69" i="13" s="1"/>
  <c r="BN69" i="13" s="1"/>
  <c r="BO69" i="13" s="1"/>
  <c r="BP69" i="13" s="1"/>
  <c r="BQ69" i="13" s="1"/>
  <c r="BR69" i="13" s="1"/>
  <c r="BS69" i="13" s="1"/>
  <c r="BT69" i="13" s="1"/>
  <c r="BU69" i="13" s="1"/>
  <c r="G68" i="13"/>
  <c r="F5" i="13"/>
  <c r="F6" i="13" s="1"/>
  <c r="F4" i="13"/>
  <c r="E4" i="13" a="1"/>
  <c r="E4" i="13"/>
  <c r="E136" i="13" s="1"/>
  <c r="E3" i="13" a="1"/>
  <c r="E3" i="13"/>
  <c r="D3" i="13"/>
  <c r="AR2" i="13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Z2" i="13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I2" i="13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C2" i="13"/>
  <c r="C2" i="14" s="1"/>
  <c r="F137" i="12"/>
  <c r="E137" i="12"/>
  <c r="F136" i="12"/>
  <c r="E136" i="12"/>
  <c r="J134" i="12"/>
  <c r="I134" i="12"/>
  <c r="H131" i="12"/>
  <c r="I72" i="12"/>
  <c r="H71" i="12"/>
  <c r="F71" i="12"/>
  <c r="F72" i="12" s="1"/>
  <c r="E70" i="12"/>
  <c r="E13" i="14" s="1"/>
  <c r="J69" i="12"/>
  <c r="I69" i="12"/>
  <c r="F4" i="12"/>
  <c r="F5" i="12" s="1"/>
  <c r="H5" i="12" s="1"/>
  <c r="E4" i="12"/>
  <c r="E71" i="12" s="1"/>
  <c r="E14" i="14" s="1"/>
  <c r="E3" i="12"/>
  <c r="C3" i="12"/>
  <c r="I2" i="12"/>
  <c r="C2" i="12"/>
  <c r="I1" i="12"/>
  <c r="J1" i="12" s="1"/>
  <c r="H1" i="12"/>
  <c r="H1" i="13" s="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AF63" i="11"/>
  <c r="AE63" i="11"/>
  <c r="AD63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V15" i="11"/>
  <c r="U15" i="11"/>
  <c r="E15" i="11"/>
  <c r="V14" i="11"/>
  <c r="U14" i="11"/>
  <c r="T14" i="11"/>
  <c r="T15" i="11" s="1"/>
  <c r="E14" i="11"/>
  <c r="V13" i="11"/>
  <c r="U13" i="11"/>
  <c r="E13" i="11"/>
  <c r="V12" i="11"/>
  <c r="U12" i="11"/>
  <c r="E12" i="11"/>
  <c r="V11" i="11"/>
  <c r="U11" i="11"/>
  <c r="E11" i="11"/>
  <c r="V10" i="11"/>
  <c r="U10" i="11"/>
  <c r="E10" i="11"/>
  <c r="V9" i="11"/>
  <c r="U9" i="11"/>
  <c r="E9" i="11"/>
  <c r="V8" i="11"/>
  <c r="U8" i="11"/>
  <c r="E8" i="11"/>
  <c r="V7" i="11"/>
  <c r="U7" i="11"/>
  <c r="J7" i="11"/>
  <c r="G7" i="11"/>
  <c r="E7" i="11"/>
  <c r="V6" i="11"/>
  <c r="U6" i="11"/>
  <c r="G6" i="11"/>
  <c r="E6" i="11"/>
  <c r="V5" i="11"/>
  <c r="U5" i="11"/>
  <c r="T5" i="11"/>
  <c r="T6" i="11" s="1"/>
  <c r="T7" i="11" s="1"/>
  <c r="T8" i="11" s="1"/>
  <c r="T9" i="11" s="1"/>
  <c r="T10" i="11" s="1"/>
  <c r="T11" i="11" s="1"/>
  <c r="T12" i="11" s="1"/>
  <c r="T13" i="11" s="1"/>
  <c r="G5" i="11"/>
  <c r="E5" i="11"/>
  <c r="V4" i="11"/>
  <c r="U4" i="11"/>
  <c r="T4" i="1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J4" i="11"/>
  <c r="E4" i="11"/>
  <c r="U3" i="11"/>
  <c r="E3" i="11"/>
  <c r="H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B27" i="10"/>
  <c r="B28" i="10" s="1"/>
  <c r="B29" i="10" s="1"/>
  <c r="B30" i="10" s="1"/>
  <c r="B31" i="10" s="1"/>
  <c r="B25" i="10"/>
  <c r="B26" i="10" s="1"/>
  <c r="B24" i="10"/>
  <c r="B21" i="10"/>
  <c r="B22" i="10" s="1"/>
  <c r="B23" i="10" s="1"/>
  <c r="G17" i="10"/>
  <c r="Q16" i="10"/>
  <c r="I16" i="10"/>
  <c r="Q15" i="10"/>
  <c r="I15" i="10"/>
  <c r="Q14" i="10"/>
  <c r="K14" i="10"/>
  <c r="I14" i="10"/>
  <c r="Q13" i="10"/>
  <c r="K13" i="10"/>
  <c r="I13" i="10"/>
  <c r="Q12" i="10"/>
  <c r="K12" i="10"/>
  <c r="I12" i="10"/>
  <c r="Q11" i="10"/>
  <c r="I11" i="10"/>
  <c r="Q10" i="10"/>
  <c r="I10" i="10"/>
  <c r="Q9" i="10"/>
  <c r="I9" i="10"/>
  <c r="Q8" i="10"/>
  <c r="I8" i="10"/>
  <c r="B8" i="10"/>
  <c r="B9" i="10" s="1"/>
  <c r="B10" i="10" s="1"/>
  <c r="B11" i="10" s="1"/>
  <c r="B12" i="10" s="1"/>
  <c r="B13" i="10" s="1"/>
  <c r="B14" i="10" s="1"/>
  <c r="B15" i="10" s="1"/>
  <c r="B16" i="10" s="1"/>
  <c r="Q7" i="10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I7" i="10"/>
  <c r="Q6" i="10"/>
  <c r="M6" i="10"/>
  <c r="I6" i="10"/>
  <c r="B6" i="10"/>
  <c r="B7" i="10" s="1"/>
  <c r="Q5" i="10"/>
  <c r="I5" i="10"/>
  <c r="H129" i="9"/>
  <c r="G129" i="9"/>
  <c r="F129" i="9"/>
  <c r="E129" i="9"/>
  <c r="D129" i="9"/>
  <c r="I129" i="9" s="1"/>
  <c r="H128" i="9"/>
  <c r="G128" i="9"/>
  <c r="F128" i="9"/>
  <c r="E128" i="9"/>
  <c r="D128" i="9"/>
  <c r="I128" i="9" s="1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H15" i="9"/>
  <c r="G15" i="9"/>
  <c r="F15" i="9"/>
  <c r="E15" i="9"/>
  <c r="D15" i="9"/>
  <c r="H14" i="9"/>
  <c r="G14" i="9"/>
  <c r="F14" i="9"/>
  <c r="E14" i="9"/>
  <c r="D14" i="9"/>
  <c r="H13" i="9"/>
  <c r="G13" i="9"/>
  <c r="F13" i="9"/>
  <c r="E13" i="9"/>
  <c r="D13" i="9"/>
  <c r="I12" i="9"/>
  <c r="I13" i="9" s="1"/>
  <c r="I11" i="9"/>
  <c r="I15" i="9" s="1"/>
  <c r="I10" i="9"/>
  <c r="I9" i="9"/>
  <c r="H8" i="9"/>
  <c r="G8" i="9"/>
  <c r="F8" i="9"/>
  <c r="E8" i="9"/>
  <c r="D8" i="9"/>
  <c r="H7" i="9"/>
  <c r="G7" i="9"/>
  <c r="F7" i="9"/>
  <c r="E7" i="9"/>
  <c r="D7" i="9"/>
  <c r="I6" i="9"/>
  <c r="I5" i="9"/>
  <c r="I4" i="9"/>
  <c r="I7" i="9" s="1"/>
  <c r="I3" i="9"/>
  <c r="H2" i="9"/>
  <c r="G2" i="9"/>
  <c r="F2" i="9"/>
  <c r="E2" i="9"/>
  <c r="D2" i="9"/>
  <c r="O46" i="8"/>
  <c r="M44" i="8"/>
  <c r="Q42" i="8"/>
  <c r="P42" i="8"/>
  <c r="L42" i="8"/>
  <c r="K42" i="8"/>
  <c r="H42" i="8"/>
  <c r="P41" i="8"/>
  <c r="K41" i="8"/>
  <c r="J41" i="8"/>
  <c r="H41" i="8"/>
  <c r="O40" i="8"/>
  <c r="J40" i="8"/>
  <c r="Q39" i="8"/>
  <c r="P39" i="8"/>
  <c r="N39" i="8"/>
  <c r="N45" i="8" s="1"/>
  <c r="M39" i="8"/>
  <c r="H39" i="8"/>
  <c r="F39" i="8"/>
  <c r="P38" i="8"/>
  <c r="M38" i="8"/>
  <c r="H38" i="8"/>
  <c r="O37" i="8"/>
  <c r="N37" i="8"/>
  <c r="L37" i="8"/>
  <c r="K37" i="8"/>
  <c r="K47" i="8" s="1"/>
  <c r="J37" i="8"/>
  <c r="G37" i="8"/>
  <c r="F37" i="8"/>
  <c r="N35" i="8"/>
  <c r="K35" i="8"/>
  <c r="F35" i="8"/>
  <c r="A35" i="8"/>
  <c r="M35" i="8" s="1"/>
  <c r="N34" i="8"/>
  <c r="K34" i="8"/>
  <c r="F34" i="8"/>
  <c r="Q33" i="8"/>
  <c r="Q34" i="8" s="1"/>
  <c r="P33" i="8"/>
  <c r="P34" i="8" s="1"/>
  <c r="O33" i="8"/>
  <c r="O34" i="8" s="1"/>
  <c r="N33" i="8"/>
  <c r="M33" i="8"/>
  <c r="M34" i="8" s="1"/>
  <c r="L33" i="8"/>
  <c r="K33" i="8"/>
  <c r="J33" i="8"/>
  <c r="J34" i="8" s="1"/>
  <c r="I33" i="8"/>
  <c r="I34" i="8" s="1"/>
  <c r="H33" i="8"/>
  <c r="H34" i="8" s="1"/>
  <c r="G33" i="8"/>
  <c r="G34" i="8" s="1"/>
  <c r="F33" i="8"/>
  <c r="Q32" i="8"/>
  <c r="Q35" i="8" s="1"/>
  <c r="P32" i="8"/>
  <c r="P35" i="8" s="1"/>
  <c r="O32" i="8"/>
  <c r="O35" i="8" s="1"/>
  <c r="N32" i="8"/>
  <c r="M32" i="8"/>
  <c r="L32" i="8"/>
  <c r="L35" i="8" s="1"/>
  <c r="K32" i="8"/>
  <c r="J32" i="8"/>
  <c r="I32" i="8"/>
  <c r="H32" i="8"/>
  <c r="H35" i="8" s="1"/>
  <c r="G32" i="8"/>
  <c r="G35" i="8" s="1"/>
  <c r="F32" i="8"/>
  <c r="S31" i="8"/>
  <c r="Q31" i="8"/>
  <c r="P31" i="8"/>
  <c r="O31" i="8"/>
  <c r="N31" i="8"/>
  <c r="M31" i="8"/>
  <c r="L31" i="8"/>
  <c r="K31" i="8"/>
  <c r="J31" i="8"/>
  <c r="I31" i="8"/>
  <c r="H31" i="8"/>
  <c r="G31" i="8"/>
  <c r="F31" i="8"/>
  <c r="T30" i="8"/>
  <c r="T31" i="8" s="1"/>
  <c r="S30" i="8"/>
  <c r="R30" i="8"/>
  <c r="R31" i="8" s="1"/>
  <c r="T29" i="8"/>
  <c r="S29" i="8"/>
  <c r="R29" i="8"/>
  <c r="Q26" i="8"/>
  <c r="Q37" i="8" s="1"/>
  <c r="P26" i="8"/>
  <c r="P37" i="8" s="1"/>
  <c r="P47" i="8" s="1"/>
  <c r="O26" i="8"/>
  <c r="N26" i="8"/>
  <c r="M26" i="8"/>
  <c r="M37" i="8" s="1"/>
  <c r="L26" i="8"/>
  <c r="K26" i="8"/>
  <c r="J26" i="8"/>
  <c r="I26" i="8"/>
  <c r="I37" i="8" s="1"/>
  <c r="H26" i="8"/>
  <c r="H37" i="8" s="1"/>
  <c r="H47" i="8" s="1"/>
  <c r="G26" i="8"/>
  <c r="F26" i="8"/>
  <c r="Q24" i="8"/>
  <c r="P24" i="8"/>
  <c r="O24" i="8"/>
  <c r="O42" i="8" s="1"/>
  <c r="N24" i="8"/>
  <c r="N42" i="8" s="1"/>
  <c r="N48" i="8" s="1"/>
  <c r="M24" i="8"/>
  <c r="M42" i="8" s="1"/>
  <c r="L24" i="8"/>
  <c r="K24" i="8"/>
  <c r="J24" i="8"/>
  <c r="J42" i="8" s="1"/>
  <c r="I24" i="8"/>
  <c r="I42" i="8" s="1"/>
  <c r="H24" i="8"/>
  <c r="G24" i="8"/>
  <c r="G42" i="8" s="1"/>
  <c r="F24" i="8"/>
  <c r="E24" i="8"/>
  <c r="Q23" i="8"/>
  <c r="Q41" i="8" s="1"/>
  <c r="P23" i="8"/>
  <c r="O23" i="8"/>
  <c r="O41" i="8" s="1"/>
  <c r="N23" i="8"/>
  <c r="N41" i="8" s="1"/>
  <c r="M23" i="8"/>
  <c r="M41" i="8" s="1"/>
  <c r="L23" i="8"/>
  <c r="L41" i="8" s="1"/>
  <c r="K23" i="8"/>
  <c r="J23" i="8"/>
  <c r="I23" i="8"/>
  <c r="I41" i="8" s="1"/>
  <c r="H23" i="8"/>
  <c r="G23" i="8"/>
  <c r="G41" i="8" s="1"/>
  <c r="F23" i="8"/>
  <c r="F41" i="8" s="1"/>
  <c r="E23" i="8"/>
  <c r="Q22" i="8"/>
  <c r="Q40" i="8" s="1"/>
  <c r="P22" i="8"/>
  <c r="P40" i="8" s="1"/>
  <c r="O22" i="8"/>
  <c r="N22" i="8"/>
  <c r="N40" i="8" s="1"/>
  <c r="M22" i="8"/>
  <c r="M40" i="8" s="1"/>
  <c r="L22" i="8"/>
  <c r="L40" i="8" s="1"/>
  <c r="K22" i="8"/>
  <c r="K40" i="8" s="1"/>
  <c r="J22" i="8"/>
  <c r="I22" i="8"/>
  <c r="I40" i="8" s="1"/>
  <c r="H22" i="8"/>
  <c r="H40" i="8" s="1"/>
  <c r="G22" i="8"/>
  <c r="G40" i="8" s="1"/>
  <c r="F22" i="8"/>
  <c r="F40" i="8" s="1"/>
  <c r="E22" i="8"/>
  <c r="Q21" i="8"/>
  <c r="P21" i="8"/>
  <c r="O21" i="8"/>
  <c r="O39" i="8" s="1"/>
  <c r="N21" i="8"/>
  <c r="M21" i="8"/>
  <c r="L21" i="8"/>
  <c r="L39" i="8" s="1"/>
  <c r="K21" i="8"/>
  <c r="K39" i="8" s="1"/>
  <c r="K45" i="8" s="1"/>
  <c r="J21" i="8"/>
  <c r="J39" i="8" s="1"/>
  <c r="J45" i="8" s="1"/>
  <c r="I21" i="8"/>
  <c r="I39" i="8" s="1"/>
  <c r="H21" i="8"/>
  <c r="G21" i="8"/>
  <c r="G39" i="8" s="1"/>
  <c r="F21" i="8"/>
  <c r="E21" i="8"/>
  <c r="Q20" i="8"/>
  <c r="Q38" i="8" s="1"/>
  <c r="P20" i="8"/>
  <c r="O20" i="8"/>
  <c r="O38" i="8" s="1"/>
  <c r="N20" i="8"/>
  <c r="N38" i="8" s="1"/>
  <c r="M20" i="8"/>
  <c r="L20" i="8"/>
  <c r="L38" i="8" s="1"/>
  <c r="K20" i="8"/>
  <c r="K38" i="8" s="1"/>
  <c r="J20" i="8"/>
  <c r="J38" i="8" s="1"/>
  <c r="J44" i="8" s="1"/>
  <c r="I20" i="8"/>
  <c r="I38" i="8" s="1"/>
  <c r="H20" i="8"/>
  <c r="G20" i="8"/>
  <c r="G38" i="8" s="1"/>
  <c r="F20" i="8"/>
  <c r="F38" i="8" s="1"/>
  <c r="E20" i="8"/>
  <c r="B26" i="7"/>
  <c r="B25" i="7"/>
  <c r="B24" i="7"/>
  <c r="B23" i="7"/>
  <c r="B21" i="7"/>
  <c r="B20" i="7"/>
  <c r="C19" i="7"/>
  <c r="B19" i="7"/>
  <c r="C18" i="7"/>
  <c r="B18" i="7"/>
  <c r="C17" i="7"/>
  <c r="B17" i="7"/>
  <c r="C16" i="7"/>
  <c r="B16" i="7"/>
  <c r="B15" i="7"/>
  <c r="C14" i="7"/>
  <c r="B14" i="7"/>
  <c r="C5" i="7"/>
  <c r="C4" i="7"/>
  <c r="C6" i="7" s="1"/>
  <c r="F2" i="7"/>
  <c r="H16" i="6"/>
  <c r="L3" i="6"/>
  <c r="F36" i="5"/>
  <c r="F15" i="5"/>
  <c r="F13" i="5"/>
  <c r="V3" i="5"/>
  <c r="J3" i="5"/>
  <c r="H176" i="4"/>
  <c r="H175" i="4"/>
  <c r="A172" i="4"/>
  <c r="A171" i="4"/>
  <c r="A170" i="4"/>
  <c r="H169" i="4"/>
  <c r="H145" i="6" s="1"/>
  <c r="A169" i="4"/>
  <c r="H168" i="4"/>
  <c r="A168" i="4"/>
  <c r="H167" i="4"/>
  <c r="B167" i="4"/>
  <c r="A167" i="4"/>
  <c r="A166" i="4"/>
  <c r="A165" i="4"/>
  <c r="B164" i="4"/>
  <c r="A164" i="4"/>
  <c r="H163" i="4"/>
  <c r="M163" i="4" s="1"/>
  <c r="Y163" i="4" s="1"/>
  <c r="AK163" i="4" s="1"/>
  <c r="AW163" i="4" s="1"/>
  <c r="BI163" i="4" s="1"/>
  <c r="BU163" i="4" s="1"/>
  <c r="B163" i="4"/>
  <c r="A163" i="4"/>
  <c r="H162" i="4"/>
  <c r="B162" i="4"/>
  <c r="A162" i="4"/>
  <c r="A161" i="4"/>
  <c r="A160" i="4"/>
  <c r="A159" i="4"/>
  <c r="BU158" i="4"/>
  <c r="BS158" i="4"/>
  <c r="BR158" i="4"/>
  <c r="AB158" i="4"/>
  <c r="A158" i="4"/>
  <c r="P157" i="4"/>
  <c r="AB157" i="4" s="1"/>
  <c r="AN157" i="4" s="1"/>
  <c r="AZ157" i="4" s="1"/>
  <c r="BL157" i="4" s="1"/>
  <c r="L157" i="4"/>
  <c r="X157" i="4" s="1"/>
  <c r="AJ157" i="4" s="1"/>
  <c r="AV157" i="4" s="1"/>
  <c r="BH157" i="4" s="1"/>
  <c r="BT157" i="4" s="1"/>
  <c r="B157" i="4"/>
  <c r="A157" i="4"/>
  <c r="BU156" i="4"/>
  <c r="BT156" i="4"/>
  <c r="BT158" i="4" s="1"/>
  <c r="BS156" i="4"/>
  <c r="BR156" i="4"/>
  <c r="AG156" i="4"/>
  <c r="AH156" i="4" s="1"/>
  <c r="AF156" i="4"/>
  <c r="AE156" i="4"/>
  <c r="AD156" i="4"/>
  <c r="AC156" i="4"/>
  <c r="AB156" i="4"/>
  <c r="AA156" i="4"/>
  <c r="Z156" i="4"/>
  <c r="Y156" i="4"/>
  <c r="X156" i="4"/>
  <c r="W156" i="4"/>
  <c r="V156" i="4"/>
  <c r="T156" i="4"/>
  <c r="P156" i="4"/>
  <c r="O156" i="4"/>
  <c r="L156" i="4"/>
  <c r="L158" i="4" s="1"/>
  <c r="B156" i="4"/>
  <c r="A156" i="4"/>
  <c r="A155" i="4"/>
  <c r="A154" i="4"/>
  <c r="A153" i="4"/>
  <c r="B152" i="4"/>
  <c r="A152" i="4"/>
  <c r="A151" i="4"/>
  <c r="A150" i="4"/>
  <c r="A149" i="4"/>
  <c r="B148" i="4"/>
  <c r="A148" i="4"/>
  <c r="H147" i="4"/>
  <c r="B147" i="4"/>
  <c r="A147" i="4"/>
  <c r="S146" i="4"/>
  <c r="AE146" i="4" s="1"/>
  <c r="AQ146" i="4" s="1"/>
  <c r="BC146" i="4" s="1"/>
  <c r="BO146" i="4" s="1"/>
  <c r="P146" i="4"/>
  <c r="AB146" i="4" s="1"/>
  <c r="AN146" i="4" s="1"/>
  <c r="AZ146" i="4" s="1"/>
  <c r="BL146" i="4" s="1"/>
  <c r="L146" i="4"/>
  <c r="X146" i="4" s="1"/>
  <c r="AJ146" i="4" s="1"/>
  <c r="AV146" i="4" s="1"/>
  <c r="BH146" i="4" s="1"/>
  <c r="BT146" i="4" s="1"/>
  <c r="B146" i="4"/>
  <c r="A146" i="4"/>
  <c r="BB145" i="4"/>
  <c r="BN145" i="4" s="1"/>
  <c r="AK145" i="4"/>
  <c r="AW145" i="4" s="1"/>
  <c r="BI145" i="4" s="1"/>
  <c r="BU145" i="4" s="1"/>
  <c r="R145" i="4"/>
  <c r="AD145" i="4" s="1"/>
  <c r="AP145" i="4" s="1"/>
  <c r="N145" i="4"/>
  <c r="Z145" i="4" s="1"/>
  <c r="AL145" i="4" s="1"/>
  <c r="AX145" i="4" s="1"/>
  <c r="BJ145" i="4" s="1"/>
  <c r="M145" i="4"/>
  <c r="Y145" i="4" s="1"/>
  <c r="B145" i="4"/>
  <c r="A145" i="4"/>
  <c r="BC144" i="4"/>
  <c r="BO144" i="4" s="1"/>
  <c r="AM144" i="4"/>
  <c r="AY144" i="4" s="1"/>
  <c r="BK144" i="4" s="1"/>
  <c r="AH144" i="4"/>
  <c r="AT144" i="4" s="1"/>
  <c r="BF144" i="4" s="1"/>
  <c r="BR144" i="4" s="1"/>
  <c r="AE144" i="4"/>
  <c r="AQ144" i="4" s="1"/>
  <c r="AC144" i="4"/>
  <c r="AO144" i="4" s="1"/>
  <c r="BA144" i="4" s="1"/>
  <c r="BM144" i="4" s="1"/>
  <c r="Z144" i="4"/>
  <c r="AL144" i="4" s="1"/>
  <c r="AX144" i="4" s="1"/>
  <c r="BJ144" i="4" s="1"/>
  <c r="X144" i="4"/>
  <c r="AJ144" i="4" s="1"/>
  <c r="AV144" i="4" s="1"/>
  <c r="BH144" i="4" s="1"/>
  <c r="BT144" i="4" s="1"/>
  <c r="W144" i="4"/>
  <c r="AI144" i="4" s="1"/>
  <c r="AU144" i="4" s="1"/>
  <c r="BG144" i="4" s="1"/>
  <c r="BS144" i="4" s="1"/>
  <c r="V144" i="4"/>
  <c r="U144" i="4"/>
  <c r="AG144" i="4" s="1"/>
  <c r="AS144" i="4" s="1"/>
  <c r="BE144" i="4" s="1"/>
  <c r="BQ144" i="4" s="1"/>
  <c r="T144" i="4"/>
  <c r="AF144" i="4" s="1"/>
  <c r="AR144" i="4" s="1"/>
  <c r="BD144" i="4" s="1"/>
  <c r="BP144" i="4" s="1"/>
  <c r="S144" i="4"/>
  <c r="R144" i="4"/>
  <c r="AD144" i="4" s="1"/>
  <c r="AP144" i="4" s="1"/>
  <c r="BB144" i="4" s="1"/>
  <c r="BN144" i="4" s="1"/>
  <c r="Q144" i="4"/>
  <c r="P144" i="4"/>
  <c r="AB144" i="4" s="1"/>
  <c r="AN144" i="4" s="1"/>
  <c r="AZ144" i="4" s="1"/>
  <c r="BL144" i="4" s="1"/>
  <c r="O144" i="4"/>
  <c r="AA144" i="4" s="1"/>
  <c r="N144" i="4"/>
  <c r="M144" i="4"/>
  <c r="Y144" i="4" s="1"/>
  <c r="AK144" i="4" s="1"/>
  <c r="AW144" i="4" s="1"/>
  <c r="BI144" i="4" s="1"/>
  <c r="BU144" i="4" s="1"/>
  <c r="L144" i="4"/>
  <c r="K144" i="4"/>
  <c r="J144" i="4"/>
  <c r="B144" i="4"/>
  <c r="A144" i="4"/>
  <c r="BD143" i="4"/>
  <c r="BP143" i="4" s="1"/>
  <c r="AV143" i="4"/>
  <c r="BH143" i="4" s="1"/>
  <c r="BT143" i="4" s="1"/>
  <c r="AS143" i="4"/>
  <c r="BE143" i="4" s="1"/>
  <c r="BQ143" i="4" s="1"/>
  <c r="AF143" i="4"/>
  <c r="AR143" i="4" s="1"/>
  <c r="AD143" i="4"/>
  <c r="AP143" i="4" s="1"/>
  <c r="BB143" i="4" s="1"/>
  <c r="BN143" i="4" s="1"/>
  <c r="AA143" i="4"/>
  <c r="AM143" i="4" s="1"/>
  <c r="AY143" i="4" s="1"/>
  <c r="BK143" i="4" s="1"/>
  <c r="X143" i="4"/>
  <c r="AJ143" i="4" s="1"/>
  <c r="V143" i="4"/>
  <c r="AH143" i="4" s="1"/>
  <c r="AT143" i="4" s="1"/>
  <c r="BF143" i="4" s="1"/>
  <c r="BR143" i="4" s="1"/>
  <c r="U143" i="4"/>
  <c r="AG143" i="4" s="1"/>
  <c r="T143" i="4"/>
  <c r="S143" i="4"/>
  <c r="AE143" i="4" s="1"/>
  <c r="AQ143" i="4" s="1"/>
  <c r="BC143" i="4" s="1"/>
  <c r="BO143" i="4" s="1"/>
  <c r="R143" i="4"/>
  <c r="Q143" i="4"/>
  <c r="AC143" i="4" s="1"/>
  <c r="AO143" i="4" s="1"/>
  <c r="BA143" i="4" s="1"/>
  <c r="BM143" i="4" s="1"/>
  <c r="P143" i="4"/>
  <c r="AB143" i="4" s="1"/>
  <c r="AN143" i="4" s="1"/>
  <c r="AZ143" i="4" s="1"/>
  <c r="BL143" i="4" s="1"/>
  <c r="O143" i="4"/>
  <c r="N143" i="4"/>
  <c r="Z143" i="4" s="1"/>
  <c r="AL143" i="4" s="1"/>
  <c r="AX143" i="4" s="1"/>
  <c r="BJ143" i="4" s="1"/>
  <c r="M143" i="4"/>
  <c r="Y143" i="4" s="1"/>
  <c r="AK143" i="4" s="1"/>
  <c r="AW143" i="4" s="1"/>
  <c r="BI143" i="4" s="1"/>
  <c r="BU143" i="4" s="1"/>
  <c r="L143" i="4"/>
  <c r="K143" i="4"/>
  <c r="W143" i="4" s="1"/>
  <c r="AI143" i="4" s="1"/>
  <c r="AU143" i="4" s="1"/>
  <c r="BG143" i="4" s="1"/>
  <c r="BS143" i="4" s="1"/>
  <c r="J143" i="4"/>
  <c r="B143" i="4"/>
  <c r="A143" i="4"/>
  <c r="H142" i="4"/>
  <c r="B142" i="4"/>
  <c r="A142" i="4"/>
  <c r="B141" i="4"/>
  <c r="A141" i="4"/>
  <c r="B140" i="4"/>
  <c r="A140" i="4"/>
  <c r="B139" i="4"/>
  <c r="A139" i="4"/>
  <c r="B138" i="4"/>
  <c r="A138" i="4"/>
  <c r="K137" i="4"/>
  <c r="W137" i="4" s="1"/>
  <c r="AI137" i="4" s="1"/>
  <c r="AU137" i="4" s="1"/>
  <c r="BG137" i="4" s="1"/>
  <c r="BS137" i="4" s="1"/>
  <c r="B137" i="4"/>
  <c r="A137" i="4"/>
  <c r="BA136" i="4"/>
  <c r="BM136" i="4" s="1"/>
  <c r="AX136" i="4"/>
  <c r="BJ136" i="4" s="1"/>
  <c r="AL136" i="4"/>
  <c r="AF136" i="4"/>
  <c r="AR136" i="4" s="1"/>
  <c r="BD136" i="4" s="1"/>
  <c r="BP136" i="4" s="1"/>
  <c r="AD136" i="4"/>
  <c r="AP136" i="4" s="1"/>
  <c r="BB136" i="4" s="1"/>
  <c r="BN136" i="4" s="1"/>
  <c r="AC136" i="4"/>
  <c r="AO136" i="4" s="1"/>
  <c r="AA136" i="4"/>
  <c r="AM136" i="4" s="1"/>
  <c r="AY136" i="4" s="1"/>
  <c r="BK136" i="4" s="1"/>
  <c r="Z136" i="4"/>
  <c r="X136" i="4"/>
  <c r="AJ136" i="4" s="1"/>
  <c r="AV136" i="4" s="1"/>
  <c r="BH136" i="4" s="1"/>
  <c r="BT136" i="4" s="1"/>
  <c r="U136" i="4"/>
  <c r="AG136" i="4" s="1"/>
  <c r="AS136" i="4" s="1"/>
  <c r="BE136" i="4" s="1"/>
  <c r="BQ136" i="4" s="1"/>
  <c r="T136" i="4"/>
  <c r="S136" i="4"/>
  <c r="AE136" i="4" s="1"/>
  <c r="AQ136" i="4" s="1"/>
  <c r="BC136" i="4" s="1"/>
  <c r="BO136" i="4" s="1"/>
  <c r="R136" i="4"/>
  <c r="Q136" i="4"/>
  <c r="P136" i="4"/>
  <c r="AB136" i="4" s="1"/>
  <c r="AN136" i="4" s="1"/>
  <c r="AZ136" i="4" s="1"/>
  <c r="BL136" i="4" s="1"/>
  <c r="O136" i="4"/>
  <c r="N136" i="4"/>
  <c r="M136" i="4"/>
  <c r="Y136" i="4" s="1"/>
  <c r="AK136" i="4" s="1"/>
  <c r="AW136" i="4" s="1"/>
  <c r="BI136" i="4" s="1"/>
  <c r="BU136" i="4" s="1"/>
  <c r="L136" i="4"/>
  <c r="K136" i="4"/>
  <c r="W136" i="4" s="1"/>
  <c r="AI136" i="4" s="1"/>
  <c r="AU136" i="4" s="1"/>
  <c r="BG136" i="4" s="1"/>
  <c r="BS136" i="4" s="1"/>
  <c r="J136" i="4"/>
  <c r="V136" i="4" s="1"/>
  <c r="AH136" i="4" s="1"/>
  <c r="AT136" i="4" s="1"/>
  <c r="BF136" i="4" s="1"/>
  <c r="BR136" i="4" s="1"/>
  <c r="B136" i="4"/>
  <c r="A136" i="4"/>
  <c r="BC135" i="4"/>
  <c r="BO135" i="4" s="1"/>
  <c r="AT135" i="4"/>
  <c r="BF135" i="4" s="1"/>
  <c r="BR135" i="4" s="1"/>
  <c r="AR135" i="4"/>
  <c r="BD135" i="4" s="1"/>
  <c r="BP135" i="4" s="1"/>
  <c r="AQ135" i="4"/>
  <c r="AM135" i="4"/>
  <c r="AY135" i="4" s="1"/>
  <c r="BK135" i="4" s="1"/>
  <c r="AL135" i="4"/>
  <c r="AX135" i="4" s="1"/>
  <c r="BJ135" i="4" s="1"/>
  <c r="AJ135" i="4"/>
  <c r="AV135" i="4" s="1"/>
  <c r="BH135" i="4" s="1"/>
  <c r="BT135" i="4" s="1"/>
  <c r="AH135" i="4"/>
  <c r="AF135" i="4"/>
  <c r="AE135" i="4"/>
  <c r="AB135" i="4"/>
  <c r="AN135" i="4" s="1"/>
  <c r="AZ135" i="4" s="1"/>
  <c r="BL135" i="4" s="1"/>
  <c r="AA135" i="4"/>
  <c r="X135" i="4"/>
  <c r="W135" i="4"/>
  <c r="AI135" i="4" s="1"/>
  <c r="AU135" i="4" s="1"/>
  <c r="BG135" i="4" s="1"/>
  <c r="BS135" i="4" s="1"/>
  <c r="U135" i="4"/>
  <c r="AG135" i="4" s="1"/>
  <c r="AS135" i="4" s="1"/>
  <c r="BE135" i="4" s="1"/>
  <c r="BQ135" i="4" s="1"/>
  <c r="T135" i="4"/>
  <c r="S135" i="4"/>
  <c r="R135" i="4"/>
  <c r="AD135" i="4" s="1"/>
  <c r="AP135" i="4" s="1"/>
  <c r="BB135" i="4" s="1"/>
  <c r="BN135" i="4" s="1"/>
  <c r="Q135" i="4"/>
  <c r="AC135" i="4" s="1"/>
  <c r="AO135" i="4" s="1"/>
  <c r="BA135" i="4" s="1"/>
  <c r="BM135" i="4" s="1"/>
  <c r="P135" i="4"/>
  <c r="O135" i="4"/>
  <c r="N135" i="4"/>
  <c r="Z135" i="4" s="1"/>
  <c r="M135" i="4"/>
  <c r="Y135" i="4" s="1"/>
  <c r="AK135" i="4" s="1"/>
  <c r="AW135" i="4" s="1"/>
  <c r="BI135" i="4" s="1"/>
  <c r="BU135" i="4" s="1"/>
  <c r="L135" i="4"/>
  <c r="K135" i="4"/>
  <c r="J135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H129" i="4"/>
  <c r="A129" i="4"/>
  <c r="BM128" i="4"/>
  <c r="AT128" i="4"/>
  <c r="BF128" i="4" s="1"/>
  <c r="BR128" i="4" s="1"/>
  <c r="AR128" i="4"/>
  <c r="BD128" i="4" s="1"/>
  <c r="BP128" i="4" s="1"/>
  <c r="AO128" i="4"/>
  <c r="BA128" i="4" s="1"/>
  <c r="AM128" i="4"/>
  <c r="AY128" i="4" s="1"/>
  <c r="BK128" i="4" s="1"/>
  <c r="AJ128" i="4"/>
  <c r="AV128" i="4" s="1"/>
  <c r="BH128" i="4" s="1"/>
  <c r="BT128" i="4" s="1"/>
  <c r="AH128" i="4"/>
  <c r="AG128" i="4"/>
  <c r="AS128" i="4" s="1"/>
  <c r="BE128" i="4" s="1"/>
  <c r="BQ128" i="4" s="1"/>
  <c r="AF128" i="4"/>
  <c r="AE128" i="4"/>
  <c r="AQ128" i="4" s="1"/>
  <c r="BC128" i="4" s="1"/>
  <c r="BO128" i="4" s="1"/>
  <c r="AD128" i="4"/>
  <c r="AP128" i="4" s="1"/>
  <c r="BB128" i="4" s="1"/>
  <c r="BN128" i="4" s="1"/>
  <c r="AC128" i="4"/>
  <c r="AB128" i="4"/>
  <c r="AN128" i="4" s="1"/>
  <c r="AZ128" i="4" s="1"/>
  <c r="BL128" i="4" s="1"/>
  <c r="AA128" i="4"/>
  <c r="Z128" i="4"/>
  <c r="AL128" i="4" s="1"/>
  <c r="AX128" i="4" s="1"/>
  <c r="BJ128" i="4" s="1"/>
  <c r="Y128" i="4"/>
  <c r="AK128" i="4" s="1"/>
  <c r="AW128" i="4" s="1"/>
  <c r="BI128" i="4" s="1"/>
  <c r="BU128" i="4" s="1"/>
  <c r="X128" i="4"/>
  <c r="W128" i="4"/>
  <c r="AI128" i="4" s="1"/>
  <c r="AU128" i="4" s="1"/>
  <c r="BG128" i="4" s="1"/>
  <c r="BS128" i="4" s="1"/>
  <c r="V128" i="4"/>
  <c r="B128" i="4"/>
  <c r="A128" i="4"/>
  <c r="AH127" i="4"/>
  <c r="AT127" i="4" s="1"/>
  <c r="BF127" i="4" s="1"/>
  <c r="BR127" i="4" s="1"/>
  <c r="V127" i="4"/>
  <c r="B127" i="4"/>
  <c r="A127" i="4"/>
  <c r="B126" i="4"/>
  <c r="A126" i="4"/>
  <c r="B125" i="4"/>
  <c r="A125" i="4"/>
  <c r="U124" i="4"/>
  <c r="AG124" i="4" s="1"/>
  <c r="AS124" i="4" s="1"/>
  <c r="BE124" i="4" s="1"/>
  <c r="BQ124" i="4" s="1"/>
  <c r="T124" i="4"/>
  <c r="AF124" i="4" s="1"/>
  <c r="AR124" i="4" s="1"/>
  <c r="BD124" i="4" s="1"/>
  <c r="BP124" i="4" s="1"/>
  <c r="H124" i="4"/>
  <c r="B124" i="4"/>
  <c r="A124" i="4"/>
  <c r="BK123" i="4"/>
  <c r="AT123" i="4"/>
  <c r="BF123" i="4" s="1"/>
  <c r="BR123" i="4" s="1"/>
  <c r="AQ123" i="4"/>
  <c r="BC123" i="4" s="1"/>
  <c r="BO123" i="4" s="1"/>
  <c r="AG123" i="4"/>
  <c r="AS123" i="4" s="1"/>
  <c r="BE123" i="4" s="1"/>
  <c r="BQ123" i="4" s="1"/>
  <c r="AD123" i="4"/>
  <c r="AP123" i="4" s="1"/>
  <c r="BB123" i="4" s="1"/>
  <c r="BN123" i="4" s="1"/>
  <c r="AB123" i="4"/>
  <c r="AN123" i="4" s="1"/>
  <c r="AZ123" i="4" s="1"/>
  <c r="BL123" i="4" s="1"/>
  <c r="AA123" i="4"/>
  <c r="AM123" i="4" s="1"/>
  <c r="AY123" i="4" s="1"/>
  <c r="Y123" i="4"/>
  <c r="AK123" i="4" s="1"/>
  <c r="AW123" i="4" s="1"/>
  <c r="BI123" i="4" s="1"/>
  <c r="BU123" i="4" s="1"/>
  <c r="V123" i="4"/>
  <c r="AH123" i="4" s="1"/>
  <c r="U123" i="4"/>
  <c r="T123" i="4"/>
  <c r="AF123" i="4" s="1"/>
  <c r="AR123" i="4" s="1"/>
  <c r="BD123" i="4" s="1"/>
  <c r="BP123" i="4" s="1"/>
  <c r="S123" i="4"/>
  <c r="AE123" i="4" s="1"/>
  <c r="R123" i="4"/>
  <c r="Q123" i="4"/>
  <c r="AC123" i="4" s="1"/>
  <c r="AO123" i="4" s="1"/>
  <c r="BA123" i="4" s="1"/>
  <c r="BM123" i="4" s="1"/>
  <c r="P123" i="4"/>
  <c r="O123" i="4"/>
  <c r="N123" i="4"/>
  <c r="Z123" i="4" s="1"/>
  <c r="AL123" i="4" s="1"/>
  <c r="AX123" i="4" s="1"/>
  <c r="BJ123" i="4" s="1"/>
  <c r="M123" i="4"/>
  <c r="L123" i="4"/>
  <c r="X123" i="4" s="1"/>
  <c r="AJ123" i="4" s="1"/>
  <c r="AV123" i="4" s="1"/>
  <c r="BH123" i="4" s="1"/>
  <c r="BT123" i="4" s="1"/>
  <c r="K123" i="4"/>
  <c r="W123" i="4" s="1"/>
  <c r="AI123" i="4" s="1"/>
  <c r="AU123" i="4" s="1"/>
  <c r="BG123" i="4" s="1"/>
  <c r="BS123" i="4" s="1"/>
  <c r="J123" i="4"/>
  <c r="B123" i="4"/>
  <c r="A123" i="4"/>
  <c r="BD122" i="4"/>
  <c r="BP122" i="4" s="1"/>
  <c r="BC122" i="4"/>
  <c r="BO122" i="4" s="1"/>
  <c r="AZ122" i="4"/>
  <c r="BL122" i="4" s="1"/>
  <c r="AS122" i="4"/>
  <c r="BE122" i="4" s="1"/>
  <c r="BQ122" i="4" s="1"/>
  <c r="AR122" i="4"/>
  <c r="AP122" i="4"/>
  <c r="BB122" i="4" s="1"/>
  <c r="BN122" i="4" s="1"/>
  <c r="AM122" i="4"/>
  <c r="AY122" i="4" s="1"/>
  <c r="BK122" i="4" s="1"/>
  <c r="AK122" i="4"/>
  <c r="AW122" i="4" s="1"/>
  <c r="BI122" i="4" s="1"/>
  <c r="BU122" i="4" s="1"/>
  <c r="AG122" i="4"/>
  <c r="AF122" i="4"/>
  <c r="AE122" i="4"/>
  <c r="AQ122" i="4" s="1"/>
  <c r="AD122" i="4"/>
  <c r="AC122" i="4"/>
  <c r="AO122" i="4" s="1"/>
  <c r="BA122" i="4" s="1"/>
  <c r="BM122" i="4" s="1"/>
  <c r="AB122" i="4"/>
  <c r="AN122" i="4" s="1"/>
  <c r="AA122" i="4"/>
  <c r="Z122" i="4"/>
  <c r="AL122" i="4" s="1"/>
  <c r="AX122" i="4" s="1"/>
  <c r="BJ122" i="4" s="1"/>
  <c r="Y122" i="4"/>
  <c r="X122" i="4"/>
  <c r="AJ122" i="4" s="1"/>
  <c r="AV122" i="4" s="1"/>
  <c r="BH122" i="4" s="1"/>
  <c r="BT122" i="4" s="1"/>
  <c r="W122" i="4"/>
  <c r="AI122" i="4" s="1"/>
  <c r="AU122" i="4" s="1"/>
  <c r="BG122" i="4" s="1"/>
  <c r="BS122" i="4" s="1"/>
  <c r="B122" i="4"/>
  <c r="A122" i="4"/>
  <c r="B121" i="4"/>
  <c r="A121" i="4"/>
  <c r="A120" i="4"/>
  <c r="A119" i="4"/>
  <c r="A118" i="4"/>
  <c r="AE117" i="4"/>
  <c r="AA117" i="4"/>
  <c r="Z117" i="4"/>
  <c r="O117" i="4"/>
  <c r="K117" i="4"/>
  <c r="J117" i="4"/>
  <c r="H117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AQ109" i="4"/>
  <c r="BC109" i="4" s="1"/>
  <c r="BO109" i="4" s="1"/>
  <c r="AF109" i="4"/>
  <c r="AE109" i="4"/>
  <c r="AA109" i="4"/>
  <c r="P109" i="4"/>
  <c r="O109" i="4"/>
  <c r="K109" i="4"/>
  <c r="H109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A103" i="4"/>
  <c r="A102" i="4"/>
  <c r="A101" i="4"/>
  <c r="H100" i="4"/>
  <c r="B100" i="4"/>
  <c r="A100" i="4"/>
  <c r="B99" i="4"/>
  <c r="A99" i="4"/>
  <c r="B98" i="4"/>
  <c r="A98" i="4"/>
  <c r="H97" i="4"/>
  <c r="Q97" i="4" s="1"/>
  <c r="AC97" i="4" s="1"/>
  <c r="AO97" i="4" s="1"/>
  <c r="BA97" i="4" s="1"/>
  <c r="BM97" i="4" s="1"/>
  <c r="B97" i="4"/>
  <c r="A97" i="4"/>
  <c r="B96" i="4"/>
  <c r="A96" i="4"/>
  <c r="B95" i="4"/>
  <c r="A95" i="4"/>
  <c r="H94" i="4"/>
  <c r="R94" i="4" s="1"/>
  <c r="AD94" i="4" s="1"/>
  <c r="AP94" i="4" s="1"/>
  <c r="BB94" i="4" s="1"/>
  <c r="BN94" i="4" s="1"/>
  <c r="B94" i="4"/>
  <c r="A94" i="4"/>
  <c r="B93" i="4"/>
  <c r="A93" i="4"/>
  <c r="A92" i="4"/>
  <c r="A91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A83" i="4"/>
  <c r="A82" i="4"/>
  <c r="A81" i="4"/>
  <c r="A80" i="4"/>
  <c r="A79" i="4"/>
  <c r="A78" i="4"/>
  <c r="A77" i="4"/>
  <c r="B76" i="4"/>
  <c r="A76" i="4"/>
  <c r="BT75" i="4"/>
  <c r="BQ75" i="4"/>
  <c r="BP75" i="4"/>
  <c r="BO75" i="4"/>
  <c r="BJ75" i="4"/>
  <c r="BH75" i="4"/>
  <c r="BG75" i="4"/>
  <c r="BF75" i="4"/>
  <c r="BA75" i="4"/>
  <c r="AY75" i="4"/>
  <c r="AX75" i="4"/>
  <c r="AW75" i="4"/>
  <c r="AR75" i="4"/>
  <c r="AP75" i="4"/>
  <c r="AO75" i="4"/>
  <c r="AN75" i="4"/>
  <c r="AI75" i="4"/>
  <c r="AG75" i="4"/>
  <c r="AF75" i="4"/>
  <c r="AD75" i="4"/>
  <c r="Z75" i="4"/>
  <c r="X75" i="4"/>
  <c r="V75" i="4"/>
  <c r="U75" i="4"/>
  <c r="Q75" i="4"/>
  <c r="N75" i="4"/>
  <c r="M75" i="4"/>
  <c r="L75" i="4"/>
  <c r="H75" i="4"/>
  <c r="BR75" i="4" s="1"/>
  <c r="B75" i="4"/>
  <c r="A75" i="4"/>
  <c r="B74" i="4"/>
  <c r="A74" i="4"/>
  <c r="BH73" i="4"/>
  <c r="BF73" i="4"/>
  <c r="AX73" i="4"/>
  <c r="W73" i="4"/>
  <c r="V73" i="4"/>
  <c r="N73" i="4"/>
  <c r="B73" i="4"/>
  <c r="A73" i="4"/>
  <c r="H72" i="4"/>
  <c r="B72" i="4"/>
  <c r="A72" i="4"/>
  <c r="A71" i="4"/>
  <c r="A70" i="4"/>
  <c r="A69" i="4"/>
  <c r="B68" i="4"/>
  <c r="A68" i="4"/>
  <c r="H67" i="4"/>
  <c r="B67" i="4"/>
  <c r="A67" i="4"/>
  <c r="B66" i="4"/>
  <c r="A66" i="4"/>
  <c r="B65" i="4"/>
  <c r="A65" i="4"/>
  <c r="B64" i="4"/>
  <c r="A64" i="4"/>
  <c r="H63" i="4"/>
  <c r="B63" i="4"/>
  <c r="A63" i="4"/>
  <c r="B62" i="4"/>
  <c r="A62" i="4"/>
  <c r="B61" i="4"/>
  <c r="A61" i="4"/>
  <c r="A60" i="4"/>
  <c r="A59" i="4"/>
  <c r="A58" i="4"/>
  <c r="A57" i="4"/>
  <c r="B56" i="4"/>
  <c r="A56" i="4"/>
  <c r="B55" i="4"/>
  <c r="A55" i="4"/>
  <c r="B54" i="4"/>
  <c r="A54" i="4"/>
  <c r="A53" i="4"/>
  <c r="A52" i="4"/>
  <c r="A51" i="4"/>
  <c r="I50" i="4"/>
  <c r="A50" i="4"/>
  <c r="I49" i="4"/>
  <c r="A49" i="4"/>
  <c r="A48" i="4"/>
  <c r="A47" i="4"/>
  <c r="CK46" i="4"/>
  <c r="CJ46" i="4"/>
  <c r="CI46" i="4"/>
  <c r="CH46" i="4"/>
  <c r="CG46" i="4"/>
  <c r="CF46" i="4"/>
  <c r="CE46" i="4"/>
  <c r="CD46" i="4"/>
  <c r="CC46" i="4"/>
  <c r="CB46" i="4"/>
  <c r="I46" i="4"/>
  <c r="CK45" i="4"/>
  <c r="CJ45" i="4"/>
  <c r="CI45" i="4"/>
  <c r="CH45" i="4"/>
  <c r="CG45" i="4"/>
  <c r="CF45" i="4"/>
  <c r="CE45" i="4"/>
  <c r="CD45" i="4"/>
  <c r="CC45" i="4"/>
  <c r="CB45" i="4"/>
  <c r="BO45" i="4"/>
  <c r="BN45" i="4"/>
  <c r="BM45" i="4"/>
  <c r="BF45" i="4"/>
  <c r="BE45" i="4"/>
  <c r="BC45" i="4"/>
  <c r="AW45" i="4"/>
  <c r="AU45" i="4"/>
  <c r="AT45" i="4"/>
  <c r="AM45" i="4"/>
  <c r="AL45" i="4"/>
  <c r="AK45" i="4"/>
  <c r="AD45" i="4"/>
  <c r="AC45" i="4"/>
  <c r="AB45" i="4"/>
  <c r="U45" i="4"/>
  <c r="T45" i="4"/>
  <c r="S45" i="4"/>
  <c r="L45" i="4"/>
  <c r="K45" i="4"/>
  <c r="J45" i="4"/>
  <c r="I45" i="4"/>
  <c r="A45" i="4"/>
  <c r="CK44" i="4"/>
  <c r="CJ44" i="4"/>
  <c r="CI44" i="4"/>
  <c r="CH44" i="4"/>
  <c r="CG44" i="4"/>
  <c r="CF44" i="4"/>
  <c r="CE44" i="4"/>
  <c r="CD44" i="4"/>
  <c r="CC44" i="4"/>
  <c r="CB44" i="4"/>
  <c r="I44" i="4"/>
  <c r="H44" i="4"/>
  <c r="BQ45" i="4" s="1"/>
  <c r="A44" i="4"/>
  <c r="CK43" i="4"/>
  <c r="CJ43" i="4"/>
  <c r="CI43" i="4"/>
  <c r="CH43" i="4"/>
  <c r="CG43" i="4"/>
  <c r="CF43" i="4"/>
  <c r="CE43" i="4"/>
  <c r="CD43" i="4"/>
  <c r="CC43" i="4"/>
  <c r="CB43" i="4"/>
  <c r="I43" i="4"/>
  <c r="A43" i="4"/>
  <c r="CK42" i="4"/>
  <c r="CJ42" i="4"/>
  <c r="CI42" i="4"/>
  <c r="CH42" i="4"/>
  <c r="CG42" i="4"/>
  <c r="CF42" i="4"/>
  <c r="CE42" i="4"/>
  <c r="CD42" i="4"/>
  <c r="CC42" i="4"/>
  <c r="CB42" i="4"/>
  <c r="I42" i="4"/>
  <c r="A42" i="4"/>
  <c r="CK41" i="4"/>
  <c r="CJ41" i="4"/>
  <c r="CI41" i="4"/>
  <c r="CH41" i="4"/>
  <c r="CG41" i="4"/>
  <c r="CF41" i="4"/>
  <c r="CE41" i="4"/>
  <c r="CD41" i="4"/>
  <c r="CC41" i="4"/>
  <c r="CB41" i="4"/>
  <c r="A41" i="4"/>
  <c r="CK40" i="4"/>
  <c r="CJ40" i="4"/>
  <c r="CI40" i="4"/>
  <c r="CH40" i="4"/>
  <c r="CG40" i="4"/>
  <c r="CF40" i="4"/>
  <c r="CE40" i="4"/>
  <c r="CD40" i="4"/>
  <c r="CC40" i="4"/>
  <c r="CB40" i="4"/>
  <c r="A40" i="4"/>
  <c r="A39" i="4"/>
  <c r="A38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A36" i="4"/>
  <c r="A35" i="4"/>
  <c r="I34" i="4"/>
  <c r="A34" i="4"/>
  <c r="A33" i="4"/>
  <c r="A32" i="4"/>
  <c r="A30" i="4"/>
  <c r="A29" i="4"/>
  <c r="A28" i="4"/>
  <c r="A27" i="4"/>
  <c r="B26" i="4"/>
  <c r="A26" i="4"/>
  <c r="I25" i="4"/>
  <c r="H18" i="6" s="1"/>
  <c r="B25" i="4"/>
  <c r="A25" i="4"/>
  <c r="I24" i="4"/>
  <c r="A24" i="4"/>
  <c r="I23" i="4"/>
  <c r="A23" i="4"/>
  <c r="A22" i="4"/>
  <c r="I21" i="4"/>
  <c r="A21" i="4"/>
  <c r="A20" i="4"/>
  <c r="A19" i="4"/>
  <c r="A18" i="4"/>
  <c r="A16" i="4"/>
  <c r="A15" i="4"/>
  <c r="A14" i="4"/>
  <c r="I13" i="4"/>
  <c r="G2" i="14" s="1"/>
  <c r="G1" i="14" s="1"/>
  <c r="A13" i="4"/>
  <c r="BW12" i="4"/>
  <c r="A12" i="4"/>
  <c r="A11" i="4"/>
  <c r="A10" i="4"/>
  <c r="K9" i="4"/>
  <c r="J9" i="4"/>
  <c r="A9" i="4"/>
  <c r="H4" i="4"/>
  <c r="F4" i="4"/>
  <c r="H3" i="4"/>
  <c r="F3" i="4"/>
  <c r="Q77" i="3"/>
  <c r="H164" i="4" s="1"/>
  <c r="Q76" i="3"/>
  <c r="H76" i="3"/>
  <c r="Q75" i="3"/>
  <c r="Q71" i="3"/>
  <c r="Q70" i="3"/>
  <c r="H157" i="4" s="1"/>
  <c r="O70" i="3"/>
  <c r="Q68" i="3"/>
  <c r="H161" i="4" s="1"/>
  <c r="O68" i="3"/>
  <c r="T67" i="3"/>
  <c r="S156" i="4" s="1"/>
  <c r="Q67" i="3"/>
  <c r="H156" i="4" s="1"/>
  <c r="P67" i="3"/>
  <c r="O67" i="3"/>
  <c r="Q64" i="3"/>
  <c r="H152" i="4" s="1"/>
  <c r="K152" i="4" s="1"/>
  <c r="C61" i="3"/>
  <c r="P59" i="3"/>
  <c r="Q59" i="3" s="1"/>
  <c r="H148" i="4" s="1"/>
  <c r="O59" i="3"/>
  <c r="Q58" i="3"/>
  <c r="O58" i="3"/>
  <c r="Q57" i="3"/>
  <c r="H146" i="4" s="1"/>
  <c r="T146" i="4" s="1"/>
  <c r="AF146" i="4" s="1"/>
  <c r="AR146" i="4" s="1"/>
  <c r="BD146" i="4" s="1"/>
  <c r="BP146" i="4" s="1"/>
  <c r="O57" i="3"/>
  <c r="Q56" i="3"/>
  <c r="H145" i="4" s="1"/>
  <c r="O56" i="3"/>
  <c r="Q55" i="3"/>
  <c r="O55" i="3"/>
  <c r="Q54" i="3"/>
  <c r="H141" i="4" s="1"/>
  <c r="O54" i="3"/>
  <c r="J54" i="3"/>
  <c r="H74" i="4" s="1"/>
  <c r="H54" i="3"/>
  <c r="W53" i="3"/>
  <c r="Q53" i="3"/>
  <c r="H140" i="4" s="1"/>
  <c r="J140" i="4" s="1"/>
  <c r="O53" i="3"/>
  <c r="Q52" i="3"/>
  <c r="H139" i="4" s="1"/>
  <c r="L139" i="4" s="1"/>
  <c r="X139" i="4" s="1"/>
  <c r="AJ139" i="4" s="1"/>
  <c r="AV139" i="4" s="1"/>
  <c r="BH139" i="4" s="1"/>
  <c r="BT139" i="4" s="1"/>
  <c r="O52" i="3"/>
  <c r="J52" i="3"/>
  <c r="H73" i="4" s="1"/>
  <c r="Q51" i="3"/>
  <c r="H138" i="4" s="1"/>
  <c r="O51" i="3"/>
  <c r="J51" i="3"/>
  <c r="Q50" i="3"/>
  <c r="H137" i="4" s="1"/>
  <c r="O50" i="3"/>
  <c r="O49" i="3"/>
  <c r="Q49" i="3" s="1"/>
  <c r="H134" i="4" s="1"/>
  <c r="O48" i="3"/>
  <c r="Q48" i="3" s="1"/>
  <c r="H133" i="4" s="1"/>
  <c r="J48" i="3"/>
  <c r="H68" i="4" s="1"/>
  <c r="H48" i="3"/>
  <c r="Q47" i="3"/>
  <c r="H132" i="4" s="1"/>
  <c r="R132" i="4" s="1"/>
  <c r="AD132" i="4" s="1"/>
  <c r="AP132" i="4" s="1"/>
  <c r="BB132" i="4" s="1"/>
  <c r="BN132" i="4" s="1"/>
  <c r="O47" i="3"/>
  <c r="J47" i="3"/>
  <c r="H47" i="3"/>
  <c r="O46" i="3"/>
  <c r="Q46" i="3" s="1"/>
  <c r="H131" i="4" s="1"/>
  <c r="J46" i="3"/>
  <c r="H66" i="4" s="1"/>
  <c r="H46" i="3"/>
  <c r="C46" i="3"/>
  <c r="Q45" i="3"/>
  <c r="H130" i="4" s="1"/>
  <c r="O45" i="3"/>
  <c r="J45" i="3"/>
  <c r="H64" i="4" s="1"/>
  <c r="H45" i="3"/>
  <c r="Q44" i="3"/>
  <c r="O44" i="3"/>
  <c r="J44" i="3"/>
  <c r="H44" i="3"/>
  <c r="Q43" i="3"/>
  <c r="H128" i="4" s="1"/>
  <c r="O43" i="3"/>
  <c r="J43" i="3"/>
  <c r="H65" i="4" s="1"/>
  <c r="H43" i="3"/>
  <c r="O42" i="3"/>
  <c r="Q42" i="3" s="1"/>
  <c r="H127" i="4" s="1"/>
  <c r="J42" i="3"/>
  <c r="H62" i="4" s="1"/>
  <c r="H42" i="3"/>
  <c r="Q41" i="3"/>
  <c r="H126" i="4" s="1"/>
  <c r="J41" i="3"/>
  <c r="H61" i="4" s="1"/>
  <c r="H41" i="3"/>
  <c r="O40" i="3"/>
  <c r="Q40" i="3" s="1"/>
  <c r="H125" i="4" s="1"/>
  <c r="J40" i="3"/>
  <c r="H60" i="4" s="1"/>
  <c r="H40" i="3"/>
  <c r="Q39" i="3"/>
  <c r="H122" i="4" s="1"/>
  <c r="O39" i="3"/>
  <c r="Q38" i="3"/>
  <c r="H121" i="4" s="1"/>
  <c r="S121" i="4" s="1"/>
  <c r="AE121" i="4" s="1"/>
  <c r="AQ121" i="4" s="1"/>
  <c r="BC121" i="4" s="1"/>
  <c r="BO121" i="4" s="1"/>
  <c r="J37" i="3"/>
  <c r="H37" i="3"/>
  <c r="H36" i="3"/>
  <c r="P34" i="3"/>
  <c r="Q34" i="3" s="1"/>
  <c r="O34" i="3"/>
  <c r="O33" i="3"/>
  <c r="O32" i="3"/>
  <c r="O31" i="3"/>
  <c r="O30" i="3"/>
  <c r="I30" i="3"/>
  <c r="I32" i="3" s="1"/>
  <c r="V29" i="3"/>
  <c r="O29" i="3"/>
  <c r="O28" i="3"/>
  <c r="O27" i="3"/>
  <c r="P26" i="3"/>
  <c r="Q26" i="3" s="1"/>
  <c r="O26" i="3"/>
  <c r="O25" i="3"/>
  <c r="O24" i="3"/>
  <c r="O23" i="3"/>
  <c r="O22" i="3"/>
  <c r="O21" i="3"/>
  <c r="V20" i="3"/>
  <c r="V19" i="3"/>
  <c r="V18" i="3"/>
  <c r="V17" i="3"/>
  <c r="Q17" i="3"/>
  <c r="O17" i="3"/>
  <c r="V16" i="3"/>
  <c r="Q16" i="3"/>
  <c r="H99" i="4" s="1"/>
  <c r="S99" i="4" s="1"/>
  <c r="AE99" i="4" s="1"/>
  <c r="AQ99" i="4" s="1"/>
  <c r="BC99" i="4" s="1"/>
  <c r="BO99" i="4" s="1"/>
  <c r="O16" i="3"/>
  <c r="H16" i="3"/>
  <c r="V15" i="3"/>
  <c r="Q15" i="3"/>
  <c r="H98" i="4" s="1"/>
  <c r="O15" i="3"/>
  <c r="C15" i="3"/>
  <c r="C16" i="3" s="1"/>
  <c r="U33" i="3" s="1"/>
  <c r="V14" i="3"/>
  <c r="Q14" i="3"/>
  <c r="O14" i="3"/>
  <c r="Q13" i="3"/>
  <c r="H96" i="4" s="1"/>
  <c r="O13" i="3"/>
  <c r="Q12" i="3"/>
  <c r="H95" i="4" s="1"/>
  <c r="O12" i="3"/>
  <c r="Q11" i="3"/>
  <c r="O11" i="3"/>
  <c r="Q10" i="3"/>
  <c r="H93" i="4" s="1"/>
  <c r="O10" i="3"/>
  <c r="F10" i="3"/>
  <c r="AA9" i="3"/>
  <c r="Z9" i="3"/>
  <c r="Y9" i="3"/>
  <c r="F9" i="3"/>
  <c r="C9" i="3"/>
  <c r="U8" i="3"/>
  <c r="F8" i="3"/>
  <c r="Q7" i="3"/>
  <c r="H89" i="4" s="1"/>
  <c r="O7" i="3"/>
  <c r="F7" i="3"/>
  <c r="V6" i="3"/>
  <c r="Q6" i="3"/>
  <c r="H87" i="4" s="1"/>
  <c r="O6" i="3"/>
  <c r="F6" i="3"/>
  <c r="V5" i="3"/>
  <c r="V8" i="3" s="1"/>
  <c r="Q5" i="3"/>
  <c r="H85" i="4" s="1"/>
  <c r="Q85" i="4" s="1"/>
  <c r="AC85" i="4" s="1"/>
  <c r="AO85" i="4" s="1"/>
  <c r="BA85" i="4" s="1"/>
  <c r="BM85" i="4" s="1"/>
  <c r="U4" i="3"/>
  <c r="O4" i="3"/>
  <c r="Q4" i="3" s="1"/>
  <c r="I4" i="3"/>
  <c r="C25" i="2"/>
  <c r="C24" i="2"/>
  <c r="G14" i="2" s="1"/>
  <c r="C23" i="2"/>
  <c r="C13" i="2"/>
  <c r="C11" i="2"/>
  <c r="G10" i="2"/>
  <c r="C10" i="2"/>
  <c r="C9" i="2"/>
  <c r="C8" i="2"/>
  <c r="C7" i="2"/>
  <c r="I2" i="2"/>
  <c r="W152" i="4" l="1"/>
  <c r="K153" i="4"/>
  <c r="V125" i="4"/>
  <c r="AH125" i="4" s="1"/>
  <c r="AT125" i="4" s="1"/>
  <c r="BF125" i="4" s="1"/>
  <c r="BR125" i="4" s="1"/>
  <c r="N125" i="4"/>
  <c r="Z125" i="4" s="1"/>
  <c r="AL125" i="4" s="1"/>
  <c r="AX125" i="4" s="1"/>
  <c r="BJ125" i="4" s="1"/>
  <c r="U125" i="4"/>
  <c r="AG125" i="4" s="1"/>
  <c r="AS125" i="4" s="1"/>
  <c r="BE125" i="4" s="1"/>
  <c r="BQ125" i="4" s="1"/>
  <c r="M125" i="4"/>
  <c r="Y125" i="4" s="1"/>
  <c r="AK125" i="4" s="1"/>
  <c r="AW125" i="4" s="1"/>
  <c r="BI125" i="4" s="1"/>
  <c r="BU125" i="4" s="1"/>
  <c r="T125" i="4"/>
  <c r="AF125" i="4" s="1"/>
  <c r="AR125" i="4" s="1"/>
  <c r="BD125" i="4" s="1"/>
  <c r="BP125" i="4" s="1"/>
  <c r="L125" i="4"/>
  <c r="X125" i="4" s="1"/>
  <c r="AJ125" i="4" s="1"/>
  <c r="AV125" i="4" s="1"/>
  <c r="BH125" i="4" s="1"/>
  <c r="BT125" i="4" s="1"/>
  <c r="Q125" i="4"/>
  <c r="AC125" i="4" s="1"/>
  <c r="AO125" i="4" s="1"/>
  <c r="BA125" i="4" s="1"/>
  <c r="BM125" i="4" s="1"/>
  <c r="P125" i="4"/>
  <c r="AB125" i="4" s="1"/>
  <c r="AN125" i="4" s="1"/>
  <c r="AZ125" i="4" s="1"/>
  <c r="BL125" i="4" s="1"/>
  <c r="R125" i="4"/>
  <c r="AD125" i="4" s="1"/>
  <c r="AP125" i="4" s="1"/>
  <c r="BB125" i="4" s="1"/>
  <c r="BN125" i="4" s="1"/>
  <c r="O125" i="4"/>
  <c r="AA125" i="4" s="1"/>
  <c r="AM125" i="4" s="1"/>
  <c r="AY125" i="4" s="1"/>
  <c r="BK125" i="4" s="1"/>
  <c r="K125" i="4"/>
  <c r="W125" i="4" s="1"/>
  <c r="AI125" i="4" s="1"/>
  <c r="AU125" i="4" s="1"/>
  <c r="BG125" i="4" s="1"/>
  <c r="BS125" i="4" s="1"/>
  <c r="J125" i="4"/>
  <c r="S125" i="4"/>
  <c r="AE125" i="4" s="1"/>
  <c r="AQ125" i="4" s="1"/>
  <c r="BC125" i="4" s="1"/>
  <c r="BO125" i="4" s="1"/>
  <c r="U34" i="3"/>
  <c r="V33" i="3"/>
  <c r="K98" i="4"/>
  <c r="W98" i="4" s="1"/>
  <c r="AI98" i="4" s="1"/>
  <c r="AU98" i="4" s="1"/>
  <c r="BG98" i="4" s="1"/>
  <c r="BS98" i="4" s="1"/>
  <c r="J98" i="4"/>
  <c r="V98" i="4" s="1"/>
  <c r="AH98" i="4" s="1"/>
  <c r="AT98" i="4" s="1"/>
  <c r="BF98" i="4" s="1"/>
  <c r="BR98" i="4" s="1"/>
  <c r="U138" i="4"/>
  <c r="AG138" i="4" s="1"/>
  <c r="AS138" i="4" s="1"/>
  <c r="BE138" i="4" s="1"/>
  <c r="BQ138" i="4" s="1"/>
  <c r="M138" i="4"/>
  <c r="Y138" i="4" s="1"/>
  <c r="AK138" i="4" s="1"/>
  <c r="AW138" i="4" s="1"/>
  <c r="BI138" i="4" s="1"/>
  <c r="BU138" i="4" s="1"/>
  <c r="T138" i="4"/>
  <c r="AF138" i="4" s="1"/>
  <c r="AR138" i="4" s="1"/>
  <c r="BD138" i="4" s="1"/>
  <c r="BP138" i="4" s="1"/>
  <c r="L138" i="4"/>
  <c r="X138" i="4" s="1"/>
  <c r="AJ138" i="4" s="1"/>
  <c r="AV138" i="4" s="1"/>
  <c r="BH138" i="4" s="1"/>
  <c r="BT138" i="4" s="1"/>
  <c r="S138" i="4"/>
  <c r="AE138" i="4" s="1"/>
  <c r="AQ138" i="4" s="1"/>
  <c r="BC138" i="4" s="1"/>
  <c r="BO138" i="4" s="1"/>
  <c r="K138" i="4"/>
  <c r="W138" i="4" s="1"/>
  <c r="AI138" i="4" s="1"/>
  <c r="AU138" i="4" s="1"/>
  <c r="BG138" i="4" s="1"/>
  <c r="BS138" i="4" s="1"/>
  <c r="P138" i="4"/>
  <c r="AB138" i="4" s="1"/>
  <c r="AN138" i="4" s="1"/>
  <c r="AZ138" i="4" s="1"/>
  <c r="BL138" i="4" s="1"/>
  <c r="O138" i="4"/>
  <c r="AA138" i="4" s="1"/>
  <c r="AM138" i="4" s="1"/>
  <c r="AY138" i="4" s="1"/>
  <c r="BK138" i="4" s="1"/>
  <c r="R138" i="4"/>
  <c r="AD138" i="4" s="1"/>
  <c r="AP138" i="4" s="1"/>
  <c r="BB138" i="4" s="1"/>
  <c r="BN138" i="4" s="1"/>
  <c r="Q138" i="4"/>
  <c r="AC138" i="4" s="1"/>
  <c r="AO138" i="4" s="1"/>
  <c r="BA138" i="4" s="1"/>
  <c r="BM138" i="4" s="1"/>
  <c r="N138" i="4"/>
  <c r="Z138" i="4" s="1"/>
  <c r="AL138" i="4" s="1"/>
  <c r="AX138" i="4" s="1"/>
  <c r="BJ138" i="4" s="1"/>
  <c r="J138" i="4"/>
  <c r="V138" i="4" s="1"/>
  <c r="AH138" i="4" s="1"/>
  <c r="AT138" i="4" s="1"/>
  <c r="BF138" i="4" s="1"/>
  <c r="BR138" i="4" s="1"/>
  <c r="O96" i="4"/>
  <c r="AA96" i="4" s="1"/>
  <c r="AM96" i="4" s="1"/>
  <c r="AY96" i="4" s="1"/>
  <c r="BK96" i="4" s="1"/>
  <c r="P96" i="4"/>
  <c r="AB96" i="4" s="1"/>
  <c r="AN96" i="4" s="1"/>
  <c r="AZ96" i="4" s="1"/>
  <c r="BL96" i="4" s="1"/>
  <c r="N96" i="4"/>
  <c r="Z96" i="4" s="1"/>
  <c r="AL96" i="4" s="1"/>
  <c r="AX96" i="4" s="1"/>
  <c r="BJ96" i="4" s="1"/>
  <c r="M96" i="4"/>
  <c r="Y96" i="4" s="1"/>
  <c r="AK96" i="4" s="1"/>
  <c r="AW96" i="4" s="1"/>
  <c r="BI96" i="4" s="1"/>
  <c r="BU96" i="4" s="1"/>
  <c r="U96" i="4"/>
  <c r="AG96" i="4" s="1"/>
  <c r="AS96" i="4" s="1"/>
  <c r="BE96" i="4" s="1"/>
  <c r="BQ96" i="4" s="1"/>
  <c r="L96" i="4"/>
  <c r="X96" i="4" s="1"/>
  <c r="AJ96" i="4" s="1"/>
  <c r="AV96" i="4" s="1"/>
  <c r="BH96" i="4" s="1"/>
  <c r="BT96" i="4" s="1"/>
  <c r="T96" i="4"/>
  <c r="AF96" i="4" s="1"/>
  <c r="AR96" i="4" s="1"/>
  <c r="BD96" i="4" s="1"/>
  <c r="BP96" i="4" s="1"/>
  <c r="K96" i="4"/>
  <c r="W96" i="4" s="1"/>
  <c r="AI96" i="4" s="1"/>
  <c r="AU96" i="4" s="1"/>
  <c r="BG96" i="4" s="1"/>
  <c r="BS96" i="4" s="1"/>
  <c r="S96" i="4"/>
  <c r="AE96" i="4" s="1"/>
  <c r="AQ96" i="4" s="1"/>
  <c r="BC96" i="4" s="1"/>
  <c r="BO96" i="4" s="1"/>
  <c r="J96" i="4"/>
  <c r="V96" i="4" s="1"/>
  <c r="AH96" i="4" s="1"/>
  <c r="AT96" i="4" s="1"/>
  <c r="BF96" i="4" s="1"/>
  <c r="BR96" i="4" s="1"/>
  <c r="Q96" i="4"/>
  <c r="AC96" i="4" s="1"/>
  <c r="AO96" i="4" s="1"/>
  <c r="BA96" i="4" s="1"/>
  <c r="BM96" i="4" s="1"/>
  <c r="R96" i="4"/>
  <c r="AD96" i="4" s="1"/>
  <c r="AP96" i="4" s="1"/>
  <c r="BB96" i="4" s="1"/>
  <c r="BN96" i="4" s="1"/>
  <c r="R84" i="4"/>
  <c r="P84" i="4"/>
  <c r="J161" i="4"/>
  <c r="K161" i="4"/>
  <c r="U93" i="4"/>
  <c r="M93" i="4"/>
  <c r="P93" i="4"/>
  <c r="O93" i="4"/>
  <c r="N93" i="4"/>
  <c r="L93" i="4"/>
  <c r="T93" i="4"/>
  <c r="K93" i="4"/>
  <c r="S93" i="4"/>
  <c r="J93" i="4"/>
  <c r="R93" i="4"/>
  <c r="Q93" i="4"/>
  <c r="P131" i="4"/>
  <c r="AB131" i="4" s="1"/>
  <c r="AN131" i="4" s="1"/>
  <c r="AZ131" i="4" s="1"/>
  <c r="BL131" i="4" s="1"/>
  <c r="O131" i="4"/>
  <c r="AA131" i="4" s="1"/>
  <c r="AM131" i="4" s="1"/>
  <c r="AY131" i="4" s="1"/>
  <c r="BK131" i="4" s="1"/>
  <c r="N131" i="4"/>
  <c r="Z131" i="4" s="1"/>
  <c r="AL131" i="4" s="1"/>
  <c r="AX131" i="4" s="1"/>
  <c r="BJ131" i="4" s="1"/>
  <c r="S131" i="4"/>
  <c r="AE131" i="4" s="1"/>
  <c r="AQ131" i="4" s="1"/>
  <c r="BC131" i="4" s="1"/>
  <c r="BO131" i="4" s="1"/>
  <c r="K131" i="4"/>
  <c r="W131" i="4" s="1"/>
  <c r="AI131" i="4" s="1"/>
  <c r="AU131" i="4" s="1"/>
  <c r="BG131" i="4" s="1"/>
  <c r="BS131" i="4" s="1"/>
  <c r="R131" i="4"/>
  <c r="AD131" i="4" s="1"/>
  <c r="AP131" i="4" s="1"/>
  <c r="BB131" i="4" s="1"/>
  <c r="BN131" i="4" s="1"/>
  <c r="J131" i="4"/>
  <c r="V131" i="4" s="1"/>
  <c r="AH131" i="4" s="1"/>
  <c r="AT131" i="4" s="1"/>
  <c r="BF131" i="4" s="1"/>
  <c r="BR131" i="4" s="1"/>
  <c r="U131" i="4"/>
  <c r="AG131" i="4" s="1"/>
  <c r="AS131" i="4" s="1"/>
  <c r="BE131" i="4" s="1"/>
  <c r="BQ131" i="4" s="1"/>
  <c r="T131" i="4"/>
  <c r="AF131" i="4" s="1"/>
  <c r="AR131" i="4" s="1"/>
  <c r="BD131" i="4" s="1"/>
  <c r="BP131" i="4" s="1"/>
  <c r="Q131" i="4"/>
  <c r="AC131" i="4" s="1"/>
  <c r="AO131" i="4" s="1"/>
  <c r="BA131" i="4" s="1"/>
  <c r="BM131" i="4" s="1"/>
  <c r="M131" i="4"/>
  <c r="Y131" i="4" s="1"/>
  <c r="AK131" i="4" s="1"/>
  <c r="AW131" i="4" s="1"/>
  <c r="BI131" i="4" s="1"/>
  <c r="BU131" i="4" s="1"/>
  <c r="L131" i="4"/>
  <c r="X131" i="4" s="1"/>
  <c r="AJ131" i="4" s="1"/>
  <c r="AV131" i="4" s="1"/>
  <c r="BH131" i="4" s="1"/>
  <c r="BT131" i="4" s="1"/>
  <c r="R134" i="4"/>
  <c r="AD134" i="4" s="1"/>
  <c r="AP134" i="4" s="1"/>
  <c r="BB134" i="4" s="1"/>
  <c r="BN134" i="4" s="1"/>
  <c r="J134" i="4"/>
  <c r="Q134" i="4"/>
  <c r="AC134" i="4" s="1"/>
  <c r="AO134" i="4" s="1"/>
  <c r="BA134" i="4" s="1"/>
  <c r="BM134" i="4" s="1"/>
  <c r="P134" i="4"/>
  <c r="AB134" i="4" s="1"/>
  <c r="AN134" i="4" s="1"/>
  <c r="AZ134" i="4" s="1"/>
  <c r="BL134" i="4" s="1"/>
  <c r="U134" i="4"/>
  <c r="AG134" i="4" s="1"/>
  <c r="AS134" i="4" s="1"/>
  <c r="BE134" i="4" s="1"/>
  <c r="BQ134" i="4" s="1"/>
  <c r="M134" i="4"/>
  <c r="Y134" i="4" s="1"/>
  <c r="AK134" i="4" s="1"/>
  <c r="AW134" i="4" s="1"/>
  <c r="BI134" i="4" s="1"/>
  <c r="BU134" i="4" s="1"/>
  <c r="T134" i="4"/>
  <c r="AF134" i="4" s="1"/>
  <c r="AR134" i="4" s="1"/>
  <c r="BD134" i="4" s="1"/>
  <c r="BP134" i="4" s="1"/>
  <c r="L134" i="4"/>
  <c r="X134" i="4" s="1"/>
  <c r="AJ134" i="4" s="1"/>
  <c r="AV134" i="4" s="1"/>
  <c r="BH134" i="4" s="1"/>
  <c r="BT134" i="4" s="1"/>
  <c r="V134" i="4"/>
  <c r="AH134" i="4" s="1"/>
  <c r="AT134" i="4" s="1"/>
  <c r="BF134" i="4" s="1"/>
  <c r="BR134" i="4" s="1"/>
  <c r="S134" i="4"/>
  <c r="AE134" i="4" s="1"/>
  <c r="AQ134" i="4" s="1"/>
  <c r="BC134" i="4" s="1"/>
  <c r="BO134" i="4" s="1"/>
  <c r="O134" i="4"/>
  <c r="AA134" i="4" s="1"/>
  <c r="AM134" i="4" s="1"/>
  <c r="AY134" i="4" s="1"/>
  <c r="BK134" i="4" s="1"/>
  <c r="N134" i="4"/>
  <c r="Z134" i="4" s="1"/>
  <c r="AL134" i="4" s="1"/>
  <c r="AX134" i="4" s="1"/>
  <c r="BJ134" i="4" s="1"/>
  <c r="K134" i="4"/>
  <c r="W134" i="4" s="1"/>
  <c r="AI134" i="4" s="1"/>
  <c r="AU134" i="4" s="1"/>
  <c r="BG134" i="4" s="1"/>
  <c r="BS134" i="4" s="1"/>
  <c r="T133" i="4"/>
  <c r="AF133" i="4" s="1"/>
  <c r="AR133" i="4" s="1"/>
  <c r="BD133" i="4" s="1"/>
  <c r="BP133" i="4" s="1"/>
  <c r="L133" i="4"/>
  <c r="X133" i="4" s="1"/>
  <c r="AJ133" i="4" s="1"/>
  <c r="AV133" i="4" s="1"/>
  <c r="BH133" i="4" s="1"/>
  <c r="BT133" i="4" s="1"/>
  <c r="S133" i="4"/>
  <c r="AE133" i="4" s="1"/>
  <c r="AQ133" i="4" s="1"/>
  <c r="BC133" i="4" s="1"/>
  <c r="BO133" i="4" s="1"/>
  <c r="K133" i="4"/>
  <c r="W133" i="4" s="1"/>
  <c r="AI133" i="4" s="1"/>
  <c r="AU133" i="4" s="1"/>
  <c r="BG133" i="4" s="1"/>
  <c r="BS133" i="4" s="1"/>
  <c r="R133" i="4"/>
  <c r="AD133" i="4" s="1"/>
  <c r="AP133" i="4" s="1"/>
  <c r="BB133" i="4" s="1"/>
  <c r="BN133" i="4" s="1"/>
  <c r="J133" i="4"/>
  <c r="V133" i="4" s="1"/>
  <c r="AH133" i="4" s="1"/>
  <c r="AT133" i="4" s="1"/>
  <c r="BF133" i="4" s="1"/>
  <c r="BR133" i="4" s="1"/>
  <c r="O133" i="4"/>
  <c r="AA133" i="4" s="1"/>
  <c r="AM133" i="4" s="1"/>
  <c r="AY133" i="4" s="1"/>
  <c r="BK133" i="4" s="1"/>
  <c r="N133" i="4"/>
  <c r="Z133" i="4" s="1"/>
  <c r="AL133" i="4" s="1"/>
  <c r="AX133" i="4" s="1"/>
  <c r="BJ133" i="4" s="1"/>
  <c r="U133" i="4"/>
  <c r="AG133" i="4" s="1"/>
  <c r="AS133" i="4" s="1"/>
  <c r="BE133" i="4" s="1"/>
  <c r="BQ133" i="4" s="1"/>
  <c r="Q133" i="4"/>
  <c r="AC133" i="4" s="1"/>
  <c r="AO133" i="4" s="1"/>
  <c r="BA133" i="4" s="1"/>
  <c r="BM133" i="4" s="1"/>
  <c r="P133" i="4"/>
  <c r="AB133" i="4" s="1"/>
  <c r="AN133" i="4" s="1"/>
  <c r="AZ133" i="4" s="1"/>
  <c r="BL133" i="4" s="1"/>
  <c r="M133" i="4"/>
  <c r="Y133" i="4" s="1"/>
  <c r="AK133" i="4" s="1"/>
  <c r="AW133" i="4" s="1"/>
  <c r="BI133" i="4" s="1"/>
  <c r="BU133" i="4" s="1"/>
  <c r="T126" i="4"/>
  <c r="AF126" i="4" s="1"/>
  <c r="AR126" i="4" s="1"/>
  <c r="BD126" i="4" s="1"/>
  <c r="BP126" i="4" s="1"/>
  <c r="L126" i="4"/>
  <c r="X126" i="4" s="1"/>
  <c r="AJ126" i="4" s="1"/>
  <c r="AV126" i="4" s="1"/>
  <c r="BH126" i="4" s="1"/>
  <c r="BT126" i="4" s="1"/>
  <c r="S126" i="4"/>
  <c r="AE126" i="4" s="1"/>
  <c r="AQ126" i="4" s="1"/>
  <c r="BC126" i="4" s="1"/>
  <c r="BO126" i="4" s="1"/>
  <c r="K126" i="4"/>
  <c r="W126" i="4" s="1"/>
  <c r="AI126" i="4" s="1"/>
  <c r="AU126" i="4" s="1"/>
  <c r="BG126" i="4" s="1"/>
  <c r="BS126" i="4" s="1"/>
  <c r="R126" i="4"/>
  <c r="AD126" i="4" s="1"/>
  <c r="AP126" i="4" s="1"/>
  <c r="BB126" i="4" s="1"/>
  <c r="BN126" i="4" s="1"/>
  <c r="J126" i="4"/>
  <c r="V126" i="4" s="1"/>
  <c r="AH126" i="4" s="1"/>
  <c r="AT126" i="4" s="1"/>
  <c r="BF126" i="4" s="1"/>
  <c r="BR126" i="4" s="1"/>
  <c r="O126" i="4"/>
  <c r="AA126" i="4" s="1"/>
  <c r="AM126" i="4" s="1"/>
  <c r="AY126" i="4" s="1"/>
  <c r="BK126" i="4" s="1"/>
  <c r="N126" i="4"/>
  <c r="Z126" i="4" s="1"/>
  <c r="AL126" i="4" s="1"/>
  <c r="AX126" i="4" s="1"/>
  <c r="BJ126" i="4" s="1"/>
  <c r="Q126" i="4"/>
  <c r="AC126" i="4" s="1"/>
  <c r="AO126" i="4" s="1"/>
  <c r="BA126" i="4" s="1"/>
  <c r="BM126" i="4" s="1"/>
  <c r="P126" i="4"/>
  <c r="AB126" i="4" s="1"/>
  <c r="AN126" i="4" s="1"/>
  <c r="AZ126" i="4" s="1"/>
  <c r="BL126" i="4" s="1"/>
  <c r="M126" i="4"/>
  <c r="Y126" i="4" s="1"/>
  <c r="AK126" i="4" s="1"/>
  <c r="AW126" i="4" s="1"/>
  <c r="BI126" i="4" s="1"/>
  <c r="BU126" i="4" s="1"/>
  <c r="P85" i="4"/>
  <c r="AB85" i="4" s="1"/>
  <c r="AN85" i="4" s="1"/>
  <c r="AZ85" i="4" s="1"/>
  <c r="BL85" i="4" s="1"/>
  <c r="R100" i="4"/>
  <c r="AD100" i="4" s="1"/>
  <c r="AP100" i="4" s="1"/>
  <c r="BB100" i="4" s="1"/>
  <c r="BN100" i="4" s="1"/>
  <c r="J100" i="4"/>
  <c r="V100" i="4" s="1"/>
  <c r="AH100" i="4" s="1"/>
  <c r="AT100" i="4" s="1"/>
  <c r="BF100" i="4" s="1"/>
  <c r="BR100" i="4" s="1"/>
  <c r="O100" i="4"/>
  <c r="AA100" i="4" s="1"/>
  <c r="AM100" i="4" s="1"/>
  <c r="AY100" i="4" s="1"/>
  <c r="BK100" i="4" s="1"/>
  <c r="S100" i="4"/>
  <c r="AE100" i="4" s="1"/>
  <c r="AQ100" i="4" s="1"/>
  <c r="BC100" i="4" s="1"/>
  <c r="BO100" i="4" s="1"/>
  <c r="Q100" i="4"/>
  <c r="AC100" i="4" s="1"/>
  <c r="AO100" i="4" s="1"/>
  <c r="BA100" i="4" s="1"/>
  <c r="BM100" i="4" s="1"/>
  <c r="P100" i="4"/>
  <c r="AB100" i="4" s="1"/>
  <c r="AN100" i="4" s="1"/>
  <c r="AZ100" i="4" s="1"/>
  <c r="BL100" i="4" s="1"/>
  <c r="N100" i="4"/>
  <c r="Z100" i="4" s="1"/>
  <c r="AL100" i="4" s="1"/>
  <c r="AX100" i="4" s="1"/>
  <c r="BJ100" i="4" s="1"/>
  <c r="M100" i="4"/>
  <c r="Y100" i="4" s="1"/>
  <c r="AK100" i="4" s="1"/>
  <c r="AW100" i="4" s="1"/>
  <c r="BI100" i="4" s="1"/>
  <c r="BU100" i="4" s="1"/>
  <c r="L100" i="4"/>
  <c r="X100" i="4" s="1"/>
  <c r="AJ100" i="4" s="1"/>
  <c r="AV100" i="4" s="1"/>
  <c r="BH100" i="4" s="1"/>
  <c r="BT100" i="4" s="1"/>
  <c r="I7" i="14"/>
  <c r="K29" i="4"/>
  <c r="E11" i="15" s="1"/>
  <c r="J2" i="2"/>
  <c r="O152" i="4"/>
  <c r="N152" i="4"/>
  <c r="U152" i="4"/>
  <c r="M152" i="4"/>
  <c r="R152" i="4"/>
  <c r="J152" i="4"/>
  <c r="Q152" i="4"/>
  <c r="T152" i="4"/>
  <c r="S152" i="4"/>
  <c r="P152" i="4"/>
  <c r="S94" i="4"/>
  <c r="AE94" i="4" s="1"/>
  <c r="AQ94" i="4" s="1"/>
  <c r="BC94" i="4" s="1"/>
  <c r="BO94" i="4" s="1"/>
  <c r="K94" i="4"/>
  <c r="W94" i="4" s="1"/>
  <c r="AI94" i="4" s="1"/>
  <c r="AU94" i="4" s="1"/>
  <c r="BG94" i="4" s="1"/>
  <c r="BS94" i="4" s="1"/>
  <c r="P94" i="4"/>
  <c r="AB94" i="4" s="1"/>
  <c r="AN94" i="4" s="1"/>
  <c r="AZ94" i="4" s="1"/>
  <c r="BL94" i="4" s="1"/>
  <c r="O94" i="4"/>
  <c r="AA94" i="4" s="1"/>
  <c r="AM94" i="4" s="1"/>
  <c r="AY94" i="4" s="1"/>
  <c r="BK94" i="4" s="1"/>
  <c r="N94" i="4"/>
  <c r="Z94" i="4" s="1"/>
  <c r="AL94" i="4" s="1"/>
  <c r="AX94" i="4" s="1"/>
  <c r="BJ94" i="4" s="1"/>
  <c r="M94" i="4"/>
  <c r="Y94" i="4" s="1"/>
  <c r="AK94" i="4" s="1"/>
  <c r="AW94" i="4" s="1"/>
  <c r="BI94" i="4" s="1"/>
  <c r="BU94" i="4" s="1"/>
  <c r="U94" i="4"/>
  <c r="AG94" i="4" s="1"/>
  <c r="AS94" i="4" s="1"/>
  <c r="BE94" i="4" s="1"/>
  <c r="BQ94" i="4" s="1"/>
  <c r="L94" i="4"/>
  <c r="X94" i="4" s="1"/>
  <c r="AJ94" i="4" s="1"/>
  <c r="AV94" i="4" s="1"/>
  <c r="BH94" i="4" s="1"/>
  <c r="BT94" i="4" s="1"/>
  <c r="T94" i="4"/>
  <c r="AF94" i="4" s="1"/>
  <c r="AR94" i="4" s="1"/>
  <c r="BD94" i="4" s="1"/>
  <c r="BP94" i="4" s="1"/>
  <c r="J94" i="4"/>
  <c r="V94" i="4" s="1"/>
  <c r="AH94" i="4" s="1"/>
  <c r="AT94" i="4" s="1"/>
  <c r="BF94" i="4" s="1"/>
  <c r="BR94" i="4" s="1"/>
  <c r="R99" i="4"/>
  <c r="AD99" i="4" s="1"/>
  <c r="AP99" i="4" s="1"/>
  <c r="BB99" i="4" s="1"/>
  <c r="BN99" i="4" s="1"/>
  <c r="O158" i="4"/>
  <c r="V122" i="4"/>
  <c r="AH122" i="4" s="1"/>
  <c r="AT122" i="4" s="1"/>
  <c r="BF122" i="4" s="1"/>
  <c r="BR122" i="4" s="1"/>
  <c r="J122" i="4"/>
  <c r="Q94" i="4"/>
  <c r="AC94" i="4" s="1"/>
  <c r="AO94" i="4" s="1"/>
  <c r="BA94" i="4" s="1"/>
  <c r="BM94" i="4" s="1"/>
  <c r="U97" i="4"/>
  <c r="AG97" i="4" s="1"/>
  <c r="AS97" i="4" s="1"/>
  <c r="BE97" i="4" s="1"/>
  <c r="BQ97" i="4" s="1"/>
  <c r="M97" i="4"/>
  <c r="Y97" i="4" s="1"/>
  <c r="AK97" i="4" s="1"/>
  <c r="AW97" i="4" s="1"/>
  <c r="BI97" i="4" s="1"/>
  <c r="BU97" i="4" s="1"/>
  <c r="P97" i="4"/>
  <c r="AB97" i="4" s="1"/>
  <c r="AN97" i="4" s="1"/>
  <c r="AZ97" i="4" s="1"/>
  <c r="BL97" i="4" s="1"/>
  <c r="O97" i="4"/>
  <c r="AA97" i="4" s="1"/>
  <c r="AM97" i="4" s="1"/>
  <c r="AY97" i="4" s="1"/>
  <c r="BK97" i="4" s="1"/>
  <c r="N97" i="4"/>
  <c r="Z97" i="4" s="1"/>
  <c r="AL97" i="4" s="1"/>
  <c r="AX97" i="4" s="1"/>
  <c r="BJ97" i="4" s="1"/>
  <c r="L97" i="4"/>
  <c r="X97" i="4" s="1"/>
  <c r="AJ97" i="4" s="1"/>
  <c r="AV97" i="4" s="1"/>
  <c r="BH97" i="4" s="1"/>
  <c r="BT97" i="4" s="1"/>
  <c r="T97" i="4"/>
  <c r="AF97" i="4" s="1"/>
  <c r="AR97" i="4" s="1"/>
  <c r="BD97" i="4" s="1"/>
  <c r="BP97" i="4" s="1"/>
  <c r="K97" i="4"/>
  <c r="W97" i="4" s="1"/>
  <c r="AI97" i="4" s="1"/>
  <c r="AU97" i="4" s="1"/>
  <c r="BG97" i="4" s="1"/>
  <c r="BS97" i="4" s="1"/>
  <c r="S97" i="4"/>
  <c r="AE97" i="4" s="1"/>
  <c r="AQ97" i="4" s="1"/>
  <c r="BC97" i="4" s="1"/>
  <c r="BO97" i="4" s="1"/>
  <c r="J97" i="4"/>
  <c r="V97" i="4" s="1"/>
  <c r="AH97" i="4" s="1"/>
  <c r="AT97" i="4" s="1"/>
  <c r="BF97" i="4" s="1"/>
  <c r="BR97" i="4" s="1"/>
  <c r="BO73" i="4"/>
  <c r="BG73" i="4"/>
  <c r="AY73" i="4"/>
  <c r="AQ73" i="4"/>
  <c r="AI73" i="4"/>
  <c r="AA73" i="4"/>
  <c r="S73" i="4"/>
  <c r="K73" i="4"/>
  <c r="BN73" i="4"/>
  <c r="BE73" i="4"/>
  <c r="AV73" i="4"/>
  <c r="AM73" i="4"/>
  <c r="AD73" i="4"/>
  <c r="U73" i="4"/>
  <c r="L73" i="4"/>
  <c r="BM73" i="4"/>
  <c r="BD73" i="4"/>
  <c r="AU73" i="4"/>
  <c r="AL73" i="4"/>
  <c r="AC73" i="4"/>
  <c r="T73" i="4"/>
  <c r="J73" i="4"/>
  <c r="BU73" i="4"/>
  <c r="BL73" i="4"/>
  <c r="BC73" i="4"/>
  <c r="AT73" i="4"/>
  <c r="AK73" i="4"/>
  <c r="AB73" i="4"/>
  <c r="R73" i="4"/>
  <c r="BT73" i="4"/>
  <c r="BK73" i="4"/>
  <c r="BB73" i="4"/>
  <c r="AS73" i="4"/>
  <c r="AJ73" i="4"/>
  <c r="Z73" i="4"/>
  <c r="Q73" i="4"/>
  <c r="BS73" i="4"/>
  <c r="BJ73" i="4"/>
  <c r="BA73" i="4"/>
  <c r="AR73" i="4"/>
  <c r="AH73" i="4"/>
  <c r="Y73" i="4"/>
  <c r="P73" i="4"/>
  <c r="BR73" i="4"/>
  <c r="BI73" i="4"/>
  <c r="AZ73" i="4"/>
  <c r="AP73" i="4"/>
  <c r="AG73" i="4"/>
  <c r="X73" i="4"/>
  <c r="O73" i="4"/>
  <c r="H77" i="3"/>
  <c r="I64" i="3" s="1"/>
  <c r="AE73" i="4"/>
  <c r="BP73" i="4"/>
  <c r="Q84" i="4"/>
  <c r="O84" i="4"/>
  <c r="N84" i="4"/>
  <c r="M84" i="4"/>
  <c r="U84" i="4"/>
  <c r="L84" i="4"/>
  <c r="T84" i="4"/>
  <c r="K84" i="4"/>
  <c r="S84" i="4"/>
  <c r="J84" i="4"/>
  <c r="R130" i="4"/>
  <c r="AD130" i="4" s="1"/>
  <c r="AP130" i="4" s="1"/>
  <c r="BB130" i="4" s="1"/>
  <c r="BN130" i="4" s="1"/>
  <c r="J130" i="4"/>
  <c r="V130" i="4" s="1"/>
  <c r="AH130" i="4" s="1"/>
  <c r="AT130" i="4" s="1"/>
  <c r="BF130" i="4" s="1"/>
  <c r="BR130" i="4" s="1"/>
  <c r="Q130" i="4"/>
  <c r="AC130" i="4" s="1"/>
  <c r="AO130" i="4" s="1"/>
  <c r="BA130" i="4" s="1"/>
  <c r="BM130" i="4" s="1"/>
  <c r="P130" i="4"/>
  <c r="AB130" i="4" s="1"/>
  <c r="AN130" i="4" s="1"/>
  <c r="AZ130" i="4" s="1"/>
  <c r="BL130" i="4" s="1"/>
  <c r="U130" i="4"/>
  <c r="AG130" i="4" s="1"/>
  <c r="AS130" i="4" s="1"/>
  <c r="BE130" i="4" s="1"/>
  <c r="BQ130" i="4" s="1"/>
  <c r="M130" i="4"/>
  <c r="Y130" i="4" s="1"/>
  <c r="AK130" i="4" s="1"/>
  <c r="AW130" i="4" s="1"/>
  <c r="BI130" i="4" s="1"/>
  <c r="BU130" i="4" s="1"/>
  <c r="T130" i="4"/>
  <c r="AF130" i="4" s="1"/>
  <c r="AR130" i="4" s="1"/>
  <c r="BD130" i="4" s="1"/>
  <c r="BP130" i="4" s="1"/>
  <c r="L130" i="4"/>
  <c r="X130" i="4" s="1"/>
  <c r="AJ130" i="4" s="1"/>
  <c r="AV130" i="4" s="1"/>
  <c r="BH130" i="4" s="1"/>
  <c r="BT130" i="4" s="1"/>
  <c r="S130" i="4"/>
  <c r="AE130" i="4" s="1"/>
  <c r="AQ130" i="4" s="1"/>
  <c r="BC130" i="4" s="1"/>
  <c r="BO130" i="4" s="1"/>
  <c r="O130" i="4"/>
  <c r="AA130" i="4" s="1"/>
  <c r="AM130" i="4" s="1"/>
  <c r="AY130" i="4" s="1"/>
  <c r="BK130" i="4" s="1"/>
  <c r="N130" i="4"/>
  <c r="Z130" i="4" s="1"/>
  <c r="AL130" i="4" s="1"/>
  <c r="AX130" i="4" s="1"/>
  <c r="BJ130" i="4" s="1"/>
  <c r="K130" i="4"/>
  <c r="W130" i="4" s="1"/>
  <c r="AI130" i="4" s="1"/>
  <c r="AU130" i="4" s="1"/>
  <c r="BG130" i="4" s="1"/>
  <c r="BS130" i="4" s="1"/>
  <c r="U157" i="4"/>
  <c r="AG157" i="4" s="1"/>
  <c r="M157" i="4"/>
  <c r="Y157" i="4" s="1"/>
  <c r="T157" i="4"/>
  <c r="AF157" i="4" s="1"/>
  <c r="AR157" i="4" s="1"/>
  <c r="BD157" i="4" s="1"/>
  <c r="BP157" i="4" s="1"/>
  <c r="K157" i="4"/>
  <c r="W157" i="4" s="1"/>
  <c r="AI157" i="4" s="1"/>
  <c r="AU157" i="4" s="1"/>
  <c r="BG157" i="4" s="1"/>
  <c r="BS157" i="4" s="1"/>
  <c r="S157" i="4"/>
  <c r="AE157" i="4" s="1"/>
  <c r="AQ157" i="4" s="1"/>
  <c r="BC157" i="4" s="1"/>
  <c r="BO157" i="4" s="1"/>
  <c r="J157" i="4"/>
  <c r="V157" i="4" s="1"/>
  <c r="R157" i="4"/>
  <c r="AD157" i="4" s="1"/>
  <c r="O157" i="4"/>
  <c r="AA157" i="4" s="1"/>
  <c r="N157" i="4"/>
  <c r="Z157" i="4" s="1"/>
  <c r="AL157" i="4" s="1"/>
  <c r="AX157" i="4" s="1"/>
  <c r="BJ157" i="4" s="1"/>
  <c r="Q157" i="4"/>
  <c r="AC157" i="4" s="1"/>
  <c r="AO157" i="4" s="1"/>
  <c r="BA157" i="4" s="1"/>
  <c r="BM157" i="4" s="1"/>
  <c r="T164" i="4"/>
  <c r="AF164" i="4" s="1"/>
  <c r="AR164" i="4" s="1"/>
  <c r="BD164" i="4" s="1"/>
  <c r="BP164" i="4" s="1"/>
  <c r="L164" i="4"/>
  <c r="X164" i="4" s="1"/>
  <c r="AJ164" i="4" s="1"/>
  <c r="AV164" i="4" s="1"/>
  <c r="BH164" i="4" s="1"/>
  <c r="BT164" i="4" s="1"/>
  <c r="M164" i="4"/>
  <c r="Y164" i="4" s="1"/>
  <c r="AK164" i="4" s="1"/>
  <c r="AW164" i="4" s="1"/>
  <c r="BI164" i="4" s="1"/>
  <c r="BU164" i="4" s="1"/>
  <c r="U164" i="4"/>
  <c r="AG164" i="4" s="1"/>
  <c r="AS164" i="4" s="1"/>
  <c r="BE164" i="4" s="1"/>
  <c r="BQ164" i="4" s="1"/>
  <c r="K164" i="4"/>
  <c r="W164" i="4" s="1"/>
  <c r="AI164" i="4" s="1"/>
  <c r="AU164" i="4" s="1"/>
  <c r="BG164" i="4" s="1"/>
  <c r="BS164" i="4" s="1"/>
  <c r="S164" i="4"/>
  <c r="AE164" i="4" s="1"/>
  <c r="AQ164" i="4" s="1"/>
  <c r="BC164" i="4" s="1"/>
  <c r="BO164" i="4" s="1"/>
  <c r="J164" i="4"/>
  <c r="V164" i="4" s="1"/>
  <c r="AH164" i="4" s="1"/>
  <c r="AT164" i="4" s="1"/>
  <c r="BF164" i="4" s="1"/>
  <c r="BR164" i="4" s="1"/>
  <c r="P164" i="4"/>
  <c r="AB164" i="4" s="1"/>
  <c r="AN164" i="4" s="1"/>
  <c r="AZ164" i="4" s="1"/>
  <c r="BL164" i="4" s="1"/>
  <c r="O164" i="4"/>
  <c r="AA164" i="4" s="1"/>
  <c r="AM164" i="4" s="1"/>
  <c r="AY164" i="4" s="1"/>
  <c r="BK164" i="4" s="1"/>
  <c r="R164" i="4"/>
  <c r="AD164" i="4" s="1"/>
  <c r="AP164" i="4" s="1"/>
  <c r="BB164" i="4" s="1"/>
  <c r="BN164" i="4" s="1"/>
  <c r="Q164" i="4"/>
  <c r="AC164" i="4" s="1"/>
  <c r="AO164" i="4" s="1"/>
  <c r="BA164" i="4" s="1"/>
  <c r="BM164" i="4" s="1"/>
  <c r="N164" i="4"/>
  <c r="Z164" i="4" s="1"/>
  <c r="AL164" i="4" s="1"/>
  <c r="AX164" i="4" s="1"/>
  <c r="BJ164" i="4" s="1"/>
  <c r="AF73" i="4"/>
  <c r="BQ73" i="4"/>
  <c r="J95" i="4"/>
  <c r="V95" i="4" s="1"/>
  <c r="AH95" i="4" s="1"/>
  <c r="AT95" i="4" s="1"/>
  <c r="BF95" i="4" s="1"/>
  <c r="BR95" i="4" s="1"/>
  <c r="R97" i="4"/>
  <c r="AD97" i="4" s="1"/>
  <c r="AP97" i="4" s="1"/>
  <c r="BB97" i="4" s="1"/>
  <c r="BN97" i="4" s="1"/>
  <c r="K100" i="4"/>
  <c r="W100" i="4" s="1"/>
  <c r="AI100" i="4" s="1"/>
  <c r="AU100" i="4" s="1"/>
  <c r="BG100" i="4" s="1"/>
  <c r="BS100" i="4" s="1"/>
  <c r="L152" i="4"/>
  <c r="IK5" i="7"/>
  <c r="IC5" i="7"/>
  <c r="HU5" i="7"/>
  <c r="HM5" i="7"/>
  <c r="HE5" i="7"/>
  <c r="GW5" i="7"/>
  <c r="GO5" i="7"/>
  <c r="GG5" i="7"/>
  <c r="FY5" i="7"/>
  <c r="FQ5" i="7"/>
  <c r="FI5" i="7"/>
  <c r="FA5" i="7"/>
  <c r="ES5" i="7"/>
  <c r="EK5" i="7"/>
  <c r="EC5" i="7"/>
  <c r="DU5" i="7"/>
  <c r="DM5" i="7"/>
  <c r="DE5" i="7"/>
  <c r="CW5" i="7"/>
  <c r="CO5" i="7"/>
  <c r="CG5" i="7"/>
  <c r="BY5" i="7"/>
  <c r="BQ5" i="7"/>
  <c r="BU176" i="4" s="1"/>
  <c r="BI5" i="7"/>
  <c r="BM176" i="4" s="1"/>
  <c r="BA5" i="7"/>
  <c r="BE176" i="4" s="1"/>
  <c r="AS5" i="7"/>
  <c r="AW176" i="4" s="1"/>
  <c r="AK5" i="7"/>
  <c r="AO176" i="4" s="1"/>
  <c r="AC5" i="7"/>
  <c r="AG176" i="4" s="1"/>
  <c r="U5" i="7"/>
  <c r="Y176" i="4" s="1"/>
  <c r="M5" i="7"/>
  <c r="Q176" i="4" s="1"/>
  <c r="C15" i="7"/>
  <c r="II5" i="7"/>
  <c r="IA5" i="7"/>
  <c r="HS5" i="7"/>
  <c r="HK5" i="7"/>
  <c r="HC5" i="7"/>
  <c r="GU5" i="7"/>
  <c r="GM5" i="7"/>
  <c r="GE5" i="7"/>
  <c r="FW5" i="7"/>
  <c r="FO5" i="7"/>
  <c r="FG5" i="7"/>
  <c r="EY5" i="7"/>
  <c r="EQ5" i="7"/>
  <c r="EI5" i="7"/>
  <c r="EA5" i="7"/>
  <c r="DS5" i="7"/>
  <c r="DK5" i="7"/>
  <c r="DC5" i="7"/>
  <c r="CU5" i="7"/>
  <c r="CM5" i="7"/>
  <c r="CE5" i="7"/>
  <c r="BW5" i="7"/>
  <c r="BO5" i="7"/>
  <c r="BS176" i="4" s="1"/>
  <c r="BG5" i="7"/>
  <c r="BK176" i="4" s="1"/>
  <c r="AY5" i="7"/>
  <c r="BC176" i="4" s="1"/>
  <c r="AQ5" i="7"/>
  <c r="AU176" i="4" s="1"/>
  <c r="AI5" i="7"/>
  <c r="AM176" i="4" s="1"/>
  <c r="AA5" i="7"/>
  <c r="AE176" i="4" s="1"/>
  <c r="S5" i="7"/>
  <c r="W176" i="4" s="1"/>
  <c r="K5" i="7"/>
  <c r="O176" i="4" s="1"/>
  <c r="IG5" i="7"/>
  <c r="HY5" i="7"/>
  <c r="HQ5" i="7"/>
  <c r="HI5" i="7"/>
  <c r="HA5" i="7"/>
  <c r="GS5" i="7"/>
  <c r="GK5" i="7"/>
  <c r="GC5" i="7"/>
  <c r="FU5" i="7"/>
  <c r="FM5" i="7"/>
  <c r="FE5" i="7"/>
  <c r="EW5" i="7"/>
  <c r="EO5" i="7"/>
  <c r="EG5" i="7"/>
  <c r="DY5" i="7"/>
  <c r="DQ5" i="7"/>
  <c r="DI5" i="7"/>
  <c r="DA5" i="7"/>
  <c r="CS5" i="7"/>
  <c r="CK5" i="7"/>
  <c r="CC5" i="7"/>
  <c r="BU5" i="7"/>
  <c r="BM5" i="7"/>
  <c r="BQ176" i="4" s="1"/>
  <c r="BE5" i="7"/>
  <c r="BI176" i="4" s="1"/>
  <c r="AW5" i="7"/>
  <c r="BA176" i="4" s="1"/>
  <c r="AO5" i="7"/>
  <c r="AS176" i="4" s="1"/>
  <c r="AG5" i="7"/>
  <c r="AK176" i="4" s="1"/>
  <c r="Y5" i="7"/>
  <c r="AC176" i="4" s="1"/>
  <c r="Q5" i="7"/>
  <c r="U176" i="4" s="1"/>
  <c r="I5" i="7"/>
  <c r="M176" i="4" s="1"/>
  <c r="IF5" i="7"/>
  <c r="HX5" i="7"/>
  <c r="HP5" i="7"/>
  <c r="HH5" i="7"/>
  <c r="GZ5" i="7"/>
  <c r="GR5" i="7"/>
  <c r="GJ5" i="7"/>
  <c r="GB5" i="7"/>
  <c r="FT5" i="7"/>
  <c r="FL5" i="7"/>
  <c r="FD5" i="7"/>
  <c r="EV5" i="7"/>
  <c r="EN5" i="7"/>
  <c r="EF5" i="7"/>
  <c r="DX5" i="7"/>
  <c r="DP5" i="7"/>
  <c r="DH5" i="7"/>
  <c r="CZ5" i="7"/>
  <c r="CR5" i="7"/>
  <c r="CJ5" i="7"/>
  <c r="CB5" i="7"/>
  <c r="BT5" i="7"/>
  <c r="BL5" i="7"/>
  <c r="BP176" i="4" s="1"/>
  <c r="BD5" i="7"/>
  <c r="BH176" i="4" s="1"/>
  <c r="AV5" i="7"/>
  <c r="AZ176" i="4" s="1"/>
  <c r="AN5" i="7"/>
  <c r="AR176" i="4" s="1"/>
  <c r="AF5" i="7"/>
  <c r="AJ176" i="4" s="1"/>
  <c r="X5" i="7"/>
  <c r="AB176" i="4" s="1"/>
  <c r="P5" i="7"/>
  <c r="T176" i="4" s="1"/>
  <c r="H5" i="7"/>
  <c r="L176" i="4" s="1"/>
  <c r="ID5" i="7"/>
  <c r="HV5" i="7"/>
  <c r="HN5" i="7"/>
  <c r="HF5" i="7"/>
  <c r="GX5" i="7"/>
  <c r="GP5" i="7"/>
  <c r="GH5" i="7"/>
  <c r="FZ5" i="7"/>
  <c r="FR5" i="7"/>
  <c r="FJ5" i="7"/>
  <c r="FB5" i="7"/>
  <c r="ET5" i="7"/>
  <c r="EL5" i="7"/>
  <c r="ED5" i="7"/>
  <c r="DV5" i="7"/>
  <c r="DN5" i="7"/>
  <c r="DF5" i="7"/>
  <c r="CX5" i="7"/>
  <c r="CP5" i="7"/>
  <c r="CH5" i="7"/>
  <c r="BZ5" i="7"/>
  <c r="BR5" i="7"/>
  <c r="BJ5" i="7"/>
  <c r="BN176" i="4" s="1"/>
  <c r="BB5" i="7"/>
  <c r="AT5" i="7"/>
  <c r="AX176" i="4" s="1"/>
  <c r="AL5" i="7"/>
  <c r="AP176" i="4" s="1"/>
  <c r="AD5" i="7"/>
  <c r="V5" i="7"/>
  <c r="Z176" i="4" s="1"/>
  <c r="N5" i="7"/>
  <c r="R176" i="4" s="1"/>
  <c r="F5" i="7"/>
  <c r="IB5" i="7"/>
  <c r="HG5" i="7"/>
  <c r="GL5" i="7"/>
  <c r="FP5" i="7"/>
  <c r="EU5" i="7"/>
  <c r="DZ5" i="7"/>
  <c r="DD5" i="7"/>
  <c r="CI5" i="7"/>
  <c r="BN5" i="7"/>
  <c r="AR5" i="7"/>
  <c r="AV176" i="4" s="1"/>
  <c r="W5" i="7"/>
  <c r="AA176" i="4" s="1"/>
  <c r="HZ5" i="7"/>
  <c r="HD5" i="7"/>
  <c r="GI5" i="7"/>
  <c r="FN5" i="7"/>
  <c r="ER5" i="7"/>
  <c r="DW5" i="7"/>
  <c r="DB5" i="7"/>
  <c r="CF5" i="7"/>
  <c r="BK5" i="7"/>
  <c r="BO176" i="4" s="1"/>
  <c r="AP5" i="7"/>
  <c r="T5" i="7"/>
  <c r="X176" i="4" s="1"/>
  <c r="HW5" i="7"/>
  <c r="HB5" i="7"/>
  <c r="GF5" i="7"/>
  <c r="FK5" i="7"/>
  <c r="EP5" i="7"/>
  <c r="DT5" i="7"/>
  <c r="CY5" i="7"/>
  <c r="CD5" i="7"/>
  <c r="BH5" i="7"/>
  <c r="BL176" i="4" s="1"/>
  <c r="AM5" i="7"/>
  <c r="AQ176" i="4" s="1"/>
  <c r="R5" i="7"/>
  <c r="HT5" i="7"/>
  <c r="GY5" i="7"/>
  <c r="GD5" i="7"/>
  <c r="FH5" i="7"/>
  <c r="EM5" i="7"/>
  <c r="DR5" i="7"/>
  <c r="CV5" i="7"/>
  <c r="CA5" i="7"/>
  <c r="BF5" i="7"/>
  <c r="BJ176" i="4" s="1"/>
  <c r="AJ5" i="7"/>
  <c r="AN176" i="4" s="1"/>
  <c r="O5" i="7"/>
  <c r="S176" i="4" s="1"/>
  <c r="HR5" i="7"/>
  <c r="GV5" i="7"/>
  <c r="GA5" i="7"/>
  <c r="FF5" i="7"/>
  <c r="CJ176" i="4" s="1"/>
  <c r="EJ5" i="7"/>
  <c r="DO5" i="7"/>
  <c r="CT5" i="7"/>
  <c r="BX5" i="7"/>
  <c r="BC5" i="7"/>
  <c r="BG176" i="4" s="1"/>
  <c r="AH5" i="7"/>
  <c r="AL176" i="4" s="1"/>
  <c r="L5" i="7"/>
  <c r="P176" i="4" s="1"/>
  <c r="IJ5" i="7"/>
  <c r="HO5" i="7"/>
  <c r="GT5" i="7"/>
  <c r="FX5" i="7"/>
  <c r="FC5" i="7"/>
  <c r="EH5" i="7"/>
  <c r="DL5" i="7"/>
  <c r="CQ5" i="7"/>
  <c r="BV5" i="7"/>
  <c r="AZ5" i="7"/>
  <c r="BD176" i="4" s="1"/>
  <c r="AE5" i="7"/>
  <c r="AI176" i="4" s="1"/>
  <c r="J5" i="7"/>
  <c r="N176" i="4" s="1"/>
  <c r="IH5" i="7"/>
  <c r="HL5" i="7"/>
  <c r="GQ5" i="7"/>
  <c r="FV5" i="7"/>
  <c r="EZ5" i="7"/>
  <c r="EE5" i="7"/>
  <c r="DJ5" i="7"/>
  <c r="CN5" i="7"/>
  <c r="BS5" i="7"/>
  <c r="AX5" i="7"/>
  <c r="BB176" i="4" s="1"/>
  <c r="AB5" i="7"/>
  <c r="AF176" i="4" s="1"/>
  <c r="G5" i="7"/>
  <c r="K176" i="4" s="1"/>
  <c r="IE5" i="7"/>
  <c r="HJ5" i="7"/>
  <c r="GN5" i="7"/>
  <c r="FS5" i="7"/>
  <c r="EX5" i="7"/>
  <c r="EB5" i="7"/>
  <c r="DG5" i="7"/>
  <c r="CL5" i="7"/>
  <c r="CD176" i="4" s="1"/>
  <c r="BP5" i="7"/>
  <c r="BT176" i="4" s="1"/>
  <c r="AU5" i="7"/>
  <c r="AY176" i="4" s="1"/>
  <c r="Z5" i="7"/>
  <c r="AD176" i="4" s="1"/>
  <c r="C54" i="3"/>
  <c r="C23" i="7" s="1"/>
  <c r="C52" i="3"/>
  <c r="C21" i="7" s="1"/>
  <c r="H174" i="4"/>
  <c r="O137" i="4"/>
  <c r="AA137" i="4" s="1"/>
  <c r="AM137" i="4" s="1"/>
  <c r="AY137" i="4" s="1"/>
  <c r="BK137" i="4" s="1"/>
  <c r="V137" i="4"/>
  <c r="AH137" i="4" s="1"/>
  <c r="AT137" i="4" s="1"/>
  <c r="BF137" i="4" s="1"/>
  <c r="BR137" i="4" s="1"/>
  <c r="N137" i="4"/>
  <c r="Z137" i="4" s="1"/>
  <c r="AL137" i="4" s="1"/>
  <c r="AX137" i="4" s="1"/>
  <c r="BJ137" i="4" s="1"/>
  <c r="U137" i="4"/>
  <c r="AG137" i="4" s="1"/>
  <c r="AS137" i="4" s="1"/>
  <c r="BE137" i="4" s="1"/>
  <c r="BQ137" i="4" s="1"/>
  <c r="M137" i="4"/>
  <c r="Y137" i="4" s="1"/>
  <c r="AK137" i="4" s="1"/>
  <c r="AW137" i="4" s="1"/>
  <c r="BI137" i="4" s="1"/>
  <c r="BU137" i="4" s="1"/>
  <c r="R137" i="4"/>
  <c r="AD137" i="4" s="1"/>
  <c r="AP137" i="4" s="1"/>
  <c r="BB137" i="4" s="1"/>
  <c r="BN137" i="4" s="1"/>
  <c r="J137" i="4"/>
  <c r="Q137" i="4"/>
  <c r="AC137" i="4" s="1"/>
  <c r="AO137" i="4" s="1"/>
  <c r="BA137" i="4" s="1"/>
  <c r="BM137" i="4" s="1"/>
  <c r="T137" i="4"/>
  <c r="AF137" i="4" s="1"/>
  <c r="AR137" i="4" s="1"/>
  <c r="BD137" i="4" s="1"/>
  <c r="BP137" i="4" s="1"/>
  <c r="S137" i="4"/>
  <c r="AE137" i="4" s="1"/>
  <c r="AQ137" i="4" s="1"/>
  <c r="BC137" i="4" s="1"/>
  <c r="BO137" i="4" s="1"/>
  <c r="P137" i="4"/>
  <c r="AB137" i="4" s="1"/>
  <c r="AN137" i="4" s="1"/>
  <c r="AZ137" i="4" s="1"/>
  <c r="BL137" i="4" s="1"/>
  <c r="L137" i="4"/>
  <c r="X137" i="4" s="1"/>
  <c r="AJ137" i="4" s="1"/>
  <c r="AV137" i="4" s="1"/>
  <c r="BH137" i="4" s="1"/>
  <c r="BT137" i="4" s="1"/>
  <c r="S139" i="4"/>
  <c r="AE139" i="4" s="1"/>
  <c r="AQ139" i="4" s="1"/>
  <c r="BC139" i="4" s="1"/>
  <c r="BO139" i="4" s="1"/>
  <c r="K139" i="4"/>
  <c r="W139" i="4" s="1"/>
  <c r="AI139" i="4" s="1"/>
  <c r="AU139" i="4" s="1"/>
  <c r="BG139" i="4" s="1"/>
  <c r="BS139" i="4" s="1"/>
  <c r="R139" i="4"/>
  <c r="AD139" i="4" s="1"/>
  <c r="AP139" i="4" s="1"/>
  <c r="BB139" i="4" s="1"/>
  <c r="BN139" i="4" s="1"/>
  <c r="J139" i="4"/>
  <c r="Q139" i="4"/>
  <c r="AC139" i="4" s="1"/>
  <c r="AO139" i="4" s="1"/>
  <c r="BA139" i="4" s="1"/>
  <c r="BM139" i="4" s="1"/>
  <c r="V139" i="4"/>
  <c r="AH139" i="4" s="1"/>
  <c r="AT139" i="4" s="1"/>
  <c r="BF139" i="4" s="1"/>
  <c r="BR139" i="4" s="1"/>
  <c r="N139" i="4"/>
  <c r="Z139" i="4" s="1"/>
  <c r="AL139" i="4" s="1"/>
  <c r="AX139" i="4" s="1"/>
  <c r="BJ139" i="4" s="1"/>
  <c r="U139" i="4"/>
  <c r="AG139" i="4" s="1"/>
  <c r="AS139" i="4" s="1"/>
  <c r="BE139" i="4" s="1"/>
  <c r="BQ139" i="4" s="1"/>
  <c r="M139" i="4"/>
  <c r="Y139" i="4" s="1"/>
  <c r="AK139" i="4" s="1"/>
  <c r="AW139" i="4" s="1"/>
  <c r="BI139" i="4" s="1"/>
  <c r="BU139" i="4" s="1"/>
  <c r="T139" i="4"/>
  <c r="AF139" i="4" s="1"/>
  <c r="AR139" i="4" s="1"/>
  <c r="BD139" i="4" s="1"/>
  <c r="BP139" i="4" s="1"/>
  <c r="P139" i="4"/>
  <c r="AB139" i="4" s="1"/>
  <c r="AN139" i="4" s="1"/>
  <c r="AZ139" i="4" s="1"/>
  <c r="BL139" i="4" s="1"/>
  <c r="O139" i="4"/>
  <c r="AA139" i="4" s="1"/>
  <c r="AM139" i="4" s="1"/>
  <c r="AY139" i="4" s="1"/>
  <c r="BK139" i="4" s="1"/>
  <c r="I113" i="6" a="1"/>
  <c r="I113" i="6" s="1"/>
  <c r="I97" i="6" a="1"/>
  <c r="I97" i="6" s="1"/>
  <c r="I68" i="6" a="1"/>
  <c r="I68" i="6" s="1"/>
  <c r="I115" i="6" a="1"/>
  <c r="I115" i="6" s="1"/>
  <c r="I104" i="6" a="1"/>
  <c r="I104" i="6" s="1"/>
  <c r="I71" i="6" a="1"/>
  <c r="I71" i="6" s="1"/>
  <c r="I111" i="6" a="1"/>
  <c r="I111" i="6" s="1"/>
  <c r="I107" i="6" a="1"/>
  <c r="I107" i="6" s="1"/>
  <c r="I46" i="6" a="1"/>
  <c r="I46" i="6" s="1"/>
  <c r="I118" i="6" a="1"/>
  <c r="I118" i="6" s="1"/>
  <c r="I114" i="6" a="1"/>
  <c r="I114" i="6" s="1"/>
  <c r="I103" i="6" a="1"/>
  <c r="I103" i="6" s="1"/>
  <c r="I92" i="6" a="1"/>
  <c r="I92" i="6" s="1"/>
  <c r="I70" i="6" a="1"/>
  <c r="I70" i="6" s="1"/>
  <c r="I58" i="6" a="1"/>
  <c r="I58" i="6" s="1"/>
  <c r="I47" i="6" a="1"/>
  <c r="I47" i="6" s="1"/>
  <c r="I106" i="6" a="1"/>
  <c r="I106" i="6" s="1"/>
  <c r="I59" i="6" a="1"/>
  <c r="I59" i="6" s="1"/>
  <c r="I124" i="6" a="1"/>
  <c r="I124" i="6" s="1"/>
  <c r="I102" i="6" a="1"/>
  <c r="I102" i="6" s="1"/>
  <c r="I60" i="6" a="1"/>
  <c r="I60" i="6" s="1"/>
  <c r="I141" i="6" a="1"/>
  <c r="I141" i="6" s="1"/>
  <c r="I134" i="6" a="1"/>
  <c r="I134" i="6" s="1"/>
  <c r="I109" i="6" a="1"/>
  <c r="I109" i="6" s="1"/>
  <c r="I50" i="6" a="1"/>
  <c r="I50" i="6" s="1"/>
  <c r="I120" i="6" a="1"/>
  <c r="I120" i="6" s="1"/>
  <c r="I101" i="6" a="1"/>
  <c r="I101" i="6" s="1"/>
  <c r="I72" i="6" a="1"/>
  <c r="I72" i="6" s="1"/>
  <c r="AN73" i="4"/>
  <c r="T100" i="4"/>
  <c r="AF100" i="4" s="1"/>
  <c r="AR100" i="4" s="1"/>
  <c r="BD100" i="4" s="1"/>
  <c r="BP100" i="4" s="1"/>
  <c r="U126" i="4"/>
  <c r="AG126" i="4" s="1"/>
  <c r="AS126" i="4" s="1"/>
  <c r="BE126" i="4" s="1"/>
  <c r="BQ126" i="4" s="1"/>
  <c r="C6" i="15"/>
  <c r="C7" i="15" s="1"/>
  <c r="O85" i="4"/>
  <c r="AA85" i="4" s="1"/>
  <c r="AM85" i="4" s="1"/>
  <c r="AY85" i="4" s="1"/>
  <c r="BK85" i="4" s="1"/>
  <c r="N85" i="4"/>
  <c r="Z85" i="4" s="1"/>
  <c r="AL85" i="4" s="1"/>
  <c r="AX85" i="4" s="1"/>
  <c r="BJ85" i="4" s="1"/>
  <c r="M85" i="4"/>
  <c r="Y85" i="4" s="1"/>
  <c r="AK85" i="4" s="1"/>
  <c r="AW85" i="4" s="1"/>
  <c r="BI85" i="4" s="1"/>
  <c r="BU85" i="4" s="1"/>
  <c r="U85" i="4"/>
  <c r="AG85" i="4" s="1"/>
  <c r="AS85" i="4" s="1"/>
  <c r="BE85" i="4" s="1"/>
  <c r="BQ85" i="4" s="1"/>
  <c r="L85" i="4"/>
  <c r="X85" i="4" s="1"/>
  <c r="AJ85" i="4" s="1"/>
  <c r="AV85" i="4" s="1"/>
  <c r="BH85" i="4" s="1"/>
  <c r="BT85" i="4" s="1"/>
  <c r="T85" i="4"/>
  <c r="AF85" i="4" s="1"/>
  <c r="AR85" i="4" s="1"/>
  <c r="BD85" i="4" s="1"/>
  <c r="BP85" i="4" s="1"/>
  <c r="K85" i="4"/>
  <c r="W85" i="4" s="1"/>
  <c r="AI85" i="4" s="1"/>
  <c r="AU85" i="4" s="1"/>
  <c r="BG85" i="4" s="1"/>
  <c r="BS85" i="4" s="1"/>
  <c r="S85" i="4"/>
  <c r="AE85" i="4" s="1"/>
  <c r="AQ85" i="4" s="1"/>
  <c r="BC85" i="4" s="1"/>
  <c r="BO85" i="4" s="1"/>
  <c r="J85" i="4"/>
  <c r="V85" i="4" s="1"/>
  <c r="AH85" i="4" s="1"/>
  <c r="AT85" i="4" s="1"/>
  <c r="BF85" i="4" s="1"/>
  <c r="BR85" i="4" s="1"/>
  <c r="R85" i="4"/>
  <c r="AD85" i="4" s="1"/>
  <c r="AP85" i="4" s="1"/>
  <c r="BB85" i="4" s="1"/>
  <c r="BN85" i="4" s="1"/>
  <c r="Q99" i="4"/>
  <c r="AC99" i="4" s="1"/>
  <c r="AO99" i="4" s="1"/>
  <c r="BA99" i="4" s="1"/>
  <c r="BM99" i="4" s="1"/>
  <c r="P99" i="4"/>
  <c r="AB99" i="4" s="1"/>
  <c r="AN99" i="4" s="1"/>
  <c r="AZ99" i="4" s="1"/>
  <c r="BL99" i="4" s="1"/>
  <c r="O99" i="4"/>
  <c r="AA99" i="4" s="1"/>
  <c r="AM99" i="4" s="1"/>
  <c r="AY99" i="4" s="1"/>
  <c r="BK99" i="4" s="1"/>
  <c r="N99" i="4"/>
  <c r="Z99" i="4" s="1"/>
  <c r="AL99" i="4" s="1"/>
  <c r="AX99" i="4" s="1"/>
  <c r="BJ99" i="4" s="1"/>
  <c r="M99" i="4"/>
  <c r="Y99" i="4" s="1"/>
  <c r="AK99" i="4" s="1"/>
  <c r="AW99" i="4" s="1"/>
  <c r="BI99" i="4" s="1"/>
  <c r="BU99" i="4" s="1"/>
  <c r="U99" i="4"/>
  <c r="AG99" i="4" s="1"/>
  <c r="AS99" i="4" s="1"/>
  <c r="BE99" i="4" s="1"/>
  <c r="BQ99" i="4" s="1"/>
  <c r="L99" i="4"/>
  <c r="X99" i="4" s="1"/>
  <c r="AJ99" i="4" s="1"/>
  <c r="AV99" i="4" s="1"/>
  <c r="BH99" i="4" s="1"/>
  <c r="BT99" i="4" s="1"/>
  <c r="T99" i="4"/>
  <c r="AF99" i="4" s="1"/>
  <c r="AR99" i="4" s="1"/>
  <c r="BD99" i="4" s="1"/>
  <c r="BP99" i="4" s="1"/>
  <c r="K99" i="4"/>
  <c r="W99" i="4" s="1"/>
  <c r="AI99" i="4" s="1"/>
  <c r="AU99" i="4" s="1"/>
  <c r="BG99" i="4" s="1"/>
  <c r="BS99" i="4" s="1"/>
  <c r="L9" i="4"/>
  <c r="L98" i="4" s="1"/>
  <c r="X98" i="4" s="1"/>
  <c r="AJ98" i="4" s="1"/>
  <c r="AV98" i="4" s="1"/>
  <c r="BH98" i="4" s="1"/>
  <c r="BT98" i="4" s="1"/>
  <c r="G4" i="2"/>
  <c r="C34" i="15"/>
  <c r="G4" i="13"/>
  <c r="G3" i="13"/>
  <c r="G20" i="2"/>
  <c r="L95" i="4"/>
  <c r="X95" i="4" s="1"/>
  <c r="AJ95" i="4" s="1"/>
  <c r="AV95" i="4" s="1"/>
  <c r="BH95" i="4" s="1"/>
  <c r="BT95" i="4" s="1"/>
  <c r="K95" i="4"/>
  <c r="W95" i="4" s="1"/>
  <c r="AI95" i="4" s="1"/>
  <c r="AU95" i="4" s="1"/>
  <c r="BG95" i="4" s="1"/>
  <c r="BS95" i="4" s="1"/>
  <c r="S127" i="4"/>
  <c r="AE127" i="4" s="1"/>
  <c r="AQ127" i="4" s="1"/>
  <c r="BC127" i="4" s="1"/>
  <c r="BO127" i="4" s="1"/>
  <c r="K127" i="4"/>
  <c r="W127" i="4" s="1"/>
  <c r="AI127" i="4" s="1"/>
  <c r="AU127" i="4" s="1"/>
  <c r="BG127" i="4" s="1"/>
  <c r="BS127" i="4" s="1"/>
  <c r="R127" i="4"/>
  <c r="AD127" i="4" s="1"/>
  <c r="AP127" i="4" s="1"/>
  <c r="BB127" i="4" s="1"/>
  <c r="BN127" i="4" s="1"/>
  <c r="Q127" i="4"/>
  <c r="AC127" i="4" s="1"/>
  <c r="AO127" i="4" s="1"/>
  <c r="BA127" i="4" s="1"/>
  <c r="BM127" i="4" s="1"/>
  <c r="N127" i="4"/>
  <c r="Z127" i="4" s="1"/>
  <c r="AL127" i="4" s="1"/>
  <c r="AX127" i="4" s="1"/>
  <c r="BJ127" i="4" s="1"/>
  <c r="U127" i="4"/>
  <c r="AG127" i="4" s="1"/>
  <c r="AS127" i="4" s="1"/>
  <c r="BE127" i="4" s="1"/>
  <c r="BQ127" i="4" s="1"/>
  <c r="M127" i="4"/>
  <c r="Y127" i="4" s="1"/>
  <c r="AK127" i="4" s="1"/>
  <c r="AW127" i="4" s="1"/>
  <c r="BI127" i="4" s="1"/>
  <c r="BU127" i="4" s="1"/>
  <c r="T127" i="4"/>
  <c r="AF127" i="4" s="1"/>
  <c r="AR127" i="4" s="1"/>
  <c r="BD127" i="4" s="1"/>
  <c r="BP127" i="4" s="1"/>
  <c r="P127" i="4"/>
  <c r="AB127" i="4" s="1"/>
  <c r="AN127" i="4" s="1"/>
  <c r="AZ127" i="4" s="1"/>
  <c r="BL127" i="4" s="1"/>
  <c r="O127" i="4"/>
  <c r="AA127" i="4" s="1"/>
  <c r="AM127" i="4" s="1"/>
  <c r="AY127" i="4" s="1"/>
  <c r="BK127" i="4" s="1"/>
  <c r="L127" i="4"/>
  <c r="X127" i="4" s="1"/>
  <c r="AJ127" i="4" s="1"/>
  <c r="AV127" i="4" s="1"/>
  <c r="BH127" i="4" s="1"/>
  <c r="BT127" i="4" s="1"/>
  <c r="S148" i="4"/>
  <c r="AE148" i="4" s="1"/>
  <c r="AQ148" i="4" s="1"/>
  <c r="BC148" i="4" s="1"/>
  <c r="BO148" i="4" s="1"/>
  <c r="K148" i="4"/>
  <c r="W148" i="4" s="1"/>
  <c r="AI148" i="4" s="1"/>
  <c r="AU148" i="4" s="1"/>
  <c r="BG148" i="4" s="1"/>
  <c r="BS148" i="4" s="1"/>
  <c r="R148" i="4"/>
  <c r="AD148" i="4" s="1"/>
  <c r="AP148" i="4" s="1"/>
  <c r="BB148" i="4" s="1"/>
  <c r="BN148" i="4" s="1"/>
  <c r="J148" i="4"/>
  <c r="V148" i="4" s="1"/>
  <c r="AH148" i="4" s="1"/>
  <c r="AT148" i="4" s="1"/>
  <c r="BF148" i="4" s="1"/>
  <c r="BR148" i="4" s="1"/>
  <c r="Q148" i="4"/>
  <c r="AC148" i="4" s="1"/>
  <c r="AO148" i="4" s="1"/>
  <c r="BA148" i="4" s="1"/>
  <c r="BM148" i="4" s="1"/>
  <c r="N148" i="4"/>
  <c r="Z148" i="4" s="1"/>
  <c r="AL148" i="4" s="1"/>
  <c r="AX148" i="4" s="1"/>
  <c r="BJ148" i="4" s="1"/>
  <c r="U148" i="4"/>
  <c r="AG148" i="4" s="1"/>
  <c r="AS148" i="4" s="1"/>
  <c r="BE148" i="4" s="1"/>
  <c r="BQ148" i="4" s="1"/>
  <c r="M148" i="4"/>
  <c r="Y148" i="4" s="1"/>
  <c r="AK148" i="4" s="1"/>
  <c r="AW148" i="4" s="1"/>
  <c r="BI148" i="4" s="1"/>
  <c r="BU148" i="4" s="1"/>
  <c r="L148" i="4"/>
  <c r="X148" i="4" s="1"/>
  <c r="AJ148" i="4" s="1"/>
  <c r="AV148" i="4" s="1"/>
  <c r="BH148" i="4" s="1"/>
  <c r="BT148" i="4" s="1"/>
  <c r="T148" i="4"/>
  <c r="AF148" i="4" s="1"/>
  <c r="AR148" i="4" s="1"/>
  <c r="BD148" i="4" s="1"/>
  <c r="BP148" i="4" s="1"/>
  <c r="K4" i="6"/>
  <c r="U4" i="5"/>
  <c r="F16" i="5" s="1"/>
  <c r="AO73" i="4"/>
  <c r="U100" i="4"/>
  <c r="AG100" i="4" s="1"/>
  <c r="AS100" i="4" s="1"/>
  <c r="BE100" i="4" s="1"/>
  <c r="BQ100" i="4" s="1"/>
  <c r="O148" i="4"/>
  <c r="AA148" i="4" s="1"/>
  <c r="AM148" i="4" s="1"/>
  <c r="AY148" i="4" s="1"/>
  <c r="BK148" i="4" s="1"/>
  <c r="X158" i="4"/>
  <c r="H56" i="4"/>
  <c r="C15" i="2"/>
  <c r="C36" i="15" s="1"/>
  <c r="Q140" i="4"/>
  <c r="AC140" i="4" s="1"/>
  <c r="AO140" i="4" s="1"/>
  <c r="BA140" i="4" s="1"/>
  <c r="BM140" i="4" s="1"/>
  <c r="P140" i="4"/>
  <c r="AB140" i="4" s="1"/>
  <c r="AN140" i="4" s="1"/>
  <c r="AZ140" i="4" s="1"/>
  <c r="BL140" i="4" s="1"/>
  <c r="O140" i="4"/>
  <c r="AA140" i="4" s="1"/>
  <c r="AM140" i="4" s="1"/>
  <c r="AY140" i="4" s="1"/>
  <c r="BK140" i="4" s="1"/>
  <c r="T140" i="4"/>
  <c r="AF140" i="4" s="1"/>
  <c r="AR140" i="4" s="1"/>
  <c r="BD140" i="4" s="1"/>
  <c r="BP140" i="4" s="1"/>
  <c r="L140" i="4"/>
  <c r="X140" i="4" s="1"/>
  <c r="AJ140" i="4" s="1"/>
  <c r="AV140" i="4" s="1"/>
  <c r="BH140" i="4" s="1"/>
  <c r="BT140" i="4" s="1"/>
  <c r="S140" i="4"/>
  <c r="AE140" i="4" s="1"/>
  <c r="AQ140" i="4" s="1"/>
  <c r="BC140" i="4" s="1"/>
  <c r="BO140" i="4" s="1"/>
  <c r="K140" i="4"/>
  <c r="W140" i="4" s="1"/>
  <c r="AI140" i="4" s="1"/>
  <c r="AU140" i="4" s="1"/>
  <c r="BG140" i="4" s="1"/>
  <c r="BS140" i="4" s="1"/>
  <c r="V140" i="4"/>
  <c r="AH140" i="4" s="1"/>
  <c r="AT140" i="4" s="1"/>
  <c r="BF140" i="4" s="1"/>
  <c r="BR140" i="4" s="1"/>
  <c r="U140" i="4"/>
  <c r="AG140" i="4" s="1"/>
  <c r="AS140" i="4" s="1"/>
  <c r="BE140" i="4" s="1"/>
  <c r="BQ140" i="4" s="1"/>
  <c r="R140" i="4"/>
  <c r="AD140" i="4" s="1"/>
  <c r="AP140" i="4" s="1"/>
  <c r="BB140" i="4" s="1"/>
  <c r="BN140" i="4" s="1"/>
  <c r="N140" i="4"/>
  <c r="Z140" i="4" s="1"/>
  <c r="AL140" i="4" s="1"/>
  <c r="AX140" i="4" s="1"/>
  <c r="BJ140" i="4" s="1"/>
  <c r="M140" i="4"/>
  <c r="Y140" i="4" s="1"/>
  <c r="AK140" i="4" s="1"/>
  <c r="AW140" i="4" s="1"/>
  <c r="BI140" i="4" s="1"/>
  <c r="BU140" i="4" s="1"/>
  <c r="S158" i="4"/>
  <c r="I5" i="5"/>
  <c r="H7" i="14"/>
  <c r="J29" i="4"/>
  <c r="D11" i="15" s="1"/>
  <c r="J8" i="4"/>
  <c r="J46" i="4" s="1"/>
  <c r="M73" i="4"/>
  <c r="AW73" i="4"/>
  <c r="P148" i="4"/>
  <c r="AB148" i="4" s="1"/>
  <c r="AN148" i="4" s="1"/>
  <c r="AZ148" i="4" s="1"/>
  <c r="BL148" i="4" s="1"/>
  <c r="AI156" i="4"/>
  <c r="K5" i="6"/>
  <c r="U5" i="5"/>
  <c r="J99" i="4"/>
  <c r="V99" i="4" s="1"/>
  <c r="AH99" i="4" s="1"/>
  <c r="AT99" i="4" s="1"/>
  <c r="BF99" i="4" s="1"/>
  <c r="BR99" i="4" s="1"/>
  <c r="Z158" i="4"/>
  <c r="N163" i="4"/>
  <c r="Z163" i="4" s="1"/>
  <c r="AL163" i="4" s="1"/>
  <c r="AX163" i="4" s="1"/>
  <c r="BJ163" i="4" s="1"/>
  <c r="U163" i="4"/>
  <c r="AG163" i="4" s="1"/>
  <c r="AS163" i="4" s="1"/>
  <c r="BE163" i="4" s="1"/>
  <c r="BQ163" i="4" s="1"/>
  <c r="L163" i="4"/>
  <c r="X163" i="4" s="1"/>
  <c r="AJ163" i="4" s="1"/>
  <c r="AV163" i="4" s="1"/>
  <c r="BH163" i="4" s="1"/>
  <c r="BT163" i="4" s="1"/>
  <c r="T163" i="4"/>
  <c r="AF163" i="4" s="1"/>
  <c r="AR163" i="4" s="1"/>
  <c r="BD163" i="4" s="1"/>
  <c r="BP163" i="4" s="1"/>
  <c r="K163" i="4"/>
  <c r="W163" i="4" s="1"/>
  <c r="AI163" i="4" s="1"/>
  <c r="AU163" i="4" s="1"/>
  <c r="BG163" i="4" s="1"/>
  <c r="BS163" i="4" s="1"/>
  <c r="S163" i="4"/>
  <c r="AE163" i="4" s="1"/>
  <c r="AQ163" i="4" s="1"/>
  <c r="BC163" i="4" s="1"/>
  <c r="BO163" i="4" s="1"/>
  <c r="J163" i="4"/>
  <c r="V163" i="4" s="1"/>
  <c r="AH163" i="4" s="1"/>
  <c r="AT163" i="4" s="1"/>
  <c r="BF163" i="4" s="1"/>
  <c r="BR163" i="4" s="1"/>
  <c r="P163" i="4"/>
  <c r="AB163" i="4" s="1"/>
  <c r="AN163" i="4" s="1"/>
  <c r="AZ163" i="4" s="1"/>
  <c r="BL163" i="4" s="1"/>
  <c r="O163" i="4"/>
  <c r="AA163" i="4" s="1"/>
  <c r="AM163" i="4" s="1"/>
  <c r="AY163" i="4" s="1"/>
  <c r="BK163" i="4" s="1"/>
  <c r="R163" i="4"/>
  <c r="AD163" i="4" s="1"/>
  <c r="AP163" i="4" s="1"/>
  <c r="BB163" i="4" s="1"/>
  <c r="BN163" i="4" s="1"/>
  <c r="Q163" i="4"/>
  <c r="AC163" i="4" s="1"/>
  <c r="AO163" i="4" s="1"/>
  <c r="BA163" i="4" s="1"/>
  <c r="BM163" i="4" s="1"/>
  <c r="L129" i="4"/>
  <c r="K129" i="4"/>
  <c r="J129" i="4"/>
  <c r="J132" i="4"/>
  <c r="V132" i="4" s="1"/>
  <c r="AH132" i="4" s="1"/>
  <c r="AT132" i="4" s="1"/>
  <c r="BF132" i="4" s="1"/>
  <c r="BR132" i="4" s="1"/>
  <c r="Q89" i="4"/>
  <c r="H158" i="13"/>
  <c r="H192" i="13"/>
  <c r="H183" i="13"/>
  <c r="H176" i="13"/>
  <c r="H167" i="13"/>
  <c r="H174" i="13"/>
  <c r="H172" i="13"/>
  <c r="H170" i="13"/>
  <c r="H168" i="13"/>
  <c r="H166" i="13"/>
  <c r="H164" i="13"/>
  <c r="H152" i="13"/>
  <c r="H144" i="13"/>
  <c r="H136" i="13"/>
  <c r="H186" i="13"/>
  <c r="H173" i="13"/>
  <c r="H150" i="13"/>
  <c r="H146" i="13"/>
  <c r="H184" i="13"/>
  <c r="H161" i="13"/>
  <c r="H156" i="13"/>
  <c r="H142" i="13"/>
  <c r="H138" i="13"/>
  <c r="H195" i="13"/>
  <c r="H182" i="13"/>
  <c r="H181" i="13"/>
  <c r="H175" i="13"/>
  <c r="H151" i="13"/>
  <c r="H147" i="13"/>
  <c r="H180" i="13"/>
  <c r="H179" i="13"/>
  <c r="H178" i="13"/>
  <c r="H177" i="13"/>
  <c r="H149" i="13"/>
  <c r="H143" i="13"/>
  <c r="H160" i="13"/>
  <c r="H190" i="13"/>
  <c r="H159" i="13"/>
  <c r="H193" i="13"/>
  <c r="H188" i="13"/>
  <c r="H171" i="13"/>
  <c r="H169" i="13"/>
  <c r="H165" i="13"/>
  <c r="H155" i="13"/>
  <c r="H145" i="13"/>
  <c r="H139" i="13"/>
  <c r="H191" i="13"/>
  <c r="H194" i="13"/>
  <c r="H153" i="13"/>
  <c r="H154" i="13"/>
  <c r="H157" i="13"/>
  <c r="H189" i="13"/>
  <c r="H187" i="13"/>
  <c r="H185" i="13"/>
  <c r="H163" i="13"/>
  <c r="H162" i="13"/>
  <c r="H148" i="13"/>
  <c r="H135" i="13"/>
  <c r="H137" i="13"/>
  <c r="H141" i="13"/>
  <c r="H140" i="13"/>
  <c r="I8" i="6"/>
  <c r="I108" i="6" s="1" a="1"/>
  <c r="I108" i="6" s="1"/>
  <c r="G8" i="5"/>
  <c r="J6" i="4"/>
  <c r="V21" i="3"/>
  <c r="D48" i="10"/>
  <c r="E48" i="10" s="1"/>
  <c r="P33" i="3" s="1"/>
  <c r="Q33" i="3" s="1"/>
  <c r="H116" i="4" s="1"/>
  <c r="D46" i="10"/>
  <c r="E46" i="10" s="1"/>
  <c r="D44" i="10"/>
  <c r="E44" i="10" s="1"/>
  <c r="P29" i="3" s="1"/>
  <c r="Q29" i="3" s="1"/>
  <c r="H112" i="4" s="1"/>
  <c r="D42" i="10"/>
  <c r="E42" i="10" s="1"/>
  <c r="P27" i="3" s="1"/>
  <c r="Q27" i="3" s="1"/>
  <c r="H110" i="4" s="1"/>
  <c r="D40" i="10"/>
  <c r="E40" i="10" s="1"/>
  <c r="P25" i="3" s="1"/>
  <c r="Q25" i="3" s="1"/>
  <c r="H108" i="4" s="1"/>
  <c r="D47" i="10"/>
  <c r="E47" i="10" s="1"/>
  <c r="P32" i="3" s="1"/>
  <c r="Q32" i="3" s="1"/>
  <c r="H115" i="4" s="1"/>
  <c r="D43" i="10"/>
  <c r="E43" i="10" s="1"/>
  <c r="P28" i="3" s="1"/>
  <c r="Q28" i="3" s="1"/>
  <c r="H111" i="4" s="1"/>
  <c r="D39" i="10"/>
  <c r="E39" i="10" s="1"/>
  <c r="P24" i="3" s="1"/>
  <c r="Q24" i="3" s="1"/>
  <c r="H107" i="4" s="1"/>
  <c r="D36" i="10"/>
  <c r="D49" i="10"/>
  <c r="E49" i="10" s="1"/>
  <c r="D45" i="10"/>
  <c r="E45" i="10" s="1"/>
  <c r="P30" i="3" s="1"/>
  <c r="Q30" i="3" s="1"/>
  <c r="H113" i="4" s="1"/>
  <c r="D41" i="10"/>
  <c r="E41" i="10" s="1"/>
  <c r="D38" i="10"/>
  <c r="E38" i="10" s="1"/>
  <c r="P23" i="3" s="1"/>
  <c r="Q23" i="3" s="1"/>
  <c r="H106" i="4" s="1"/>
  <c r="D37" i="10"/>
  <c r="E37" i="10" s="1"/>
  <c r="AL117" i="4"/>
  <c r="AX117" i="4" s="1"/>
  <c r="BJ117" i="4" s="1"/>
  <c r="AD117" i="4"/>
  <c r="V117" i="4"/>
  <c r="AS117" i="4"/>
  <c r="BE117" i="4" s="1"/>
  <c r="BQ117" i="4" s="1"/>
  <c r="AK117" i="4"/>
  <c r="AW117" i="4" s="1"/>
  <c r="BI117" i="4" s="1"/>
  <c r="BU117" i="4" s="1"/>
  <c r="AC117" i="4"/>
  <c r="AR117" i="4"/>
  <c r="BD117" i="4" s="1"/>
  <c r="BP117" i="4" s="1"/>
  <c r="AJ117" i="4"/>
  <c r="AV117" i="4" s="1"/>
  <c r="BH117" i="4" s="1"/>
  <c r="BT117" i="4" s="1"/>
  <c r="AB117" i="4"/>
  <c r="AO117" i="4"/>
  <c r="BA117" i="4" s="1"/>
  <c r="BM117" i="4" s="1"/>
  <c r="AG117" i="4"/>
  <c r="Y117" i="4"/>
  <c r="P31" i="3"/>
  <c r="Q31" i="3" s="1"/>
  <c r="H114" i="4" s="1"/>
  <c r="P22" i="3"/>
  <c r="Q22" i="3" s="1"/>
  <c r="H105" i="4" s="1"/>
  <c r="AN117" i="4"/>
  <c r="AZ117" i="4" s="1"/>
  <c r="BL117" i="4" s="1"/>
  <c r="AF117" i="4"/>
  <c r="Q145" i="4"/>
  <c r="AC145" i="4" s="1"/>
  <c r="AO145" i="4" s="1"/>
  <c r="BA145" i="4" s="1"/>
  <c r="BM145" i="4" s="1"/>
  <c r="P145" i="4"/>
  <c r="AB145" i="4" s="1"/>
  <c r="AN145" i="4" s="1"/>
  <c r="AZ145" i="4" s="1"/>
  <c r="BL145" i="4" s="1"/>
  <c r="O145" i="4"/>
  <c r="AA145" i="4" s="1"/>
  <c r="AM145" i="4" s="1"/>
  <c r="AY145" i="4" s="1"/>
  <c r="BK145" i="4" s="1"/>
  <c r="T145" i="4"/>
  <c r="AF145" i="4" s="1"/>
  <c r="AR145" i="4" s="1"/>
  <c r="BD145" i="4" s="1"/>
  <c r="BP145" i="4" s="1"/>
  <c r="L145" i="4"/>
  <c r="X145" i="4" s="1"/>
  <c r="AJ145" i="4" s="1"/>
  <c r="AV145" i="4" s="1"/>
  <c r="BH145" i="4" s="1"/>
  <c r="BT145" i="4" s="1"/>
  <c r="S145" i="4"/>
  <c r="AE145" i="4" s="1"/>
  <c r="AQ145" i="4" s="1"/>
  <c r="BC145" i="4" s="1"/>
  <c r="BO145" i="4" s="1"/>
  <c r="K145" i="4"/>
  <c r="W145" i="4" s="1"/>
  <c r="AI145" i="4" s="1"/>
  <c r="AU145" i="4" s="1"/>
  <c r="BG145" i="4" s="1"/>
  <c r="BS145" i="4" s="1"/>
  <c r="J4" i="4"/>
  <c r="H19" i="6"/>
  <c r="I26" i="4"/>
  <c r="M45" i="4"/>
  <c r="V45" i="4"/>
  <c r="AE45" i="4"/>
  <c r="AO45" i="4"/>
  <c r="AX45" i="4"/>
  <c r="BG45" i="4"/>
  <c r="BP45" i="4"/>
  <c r="P75" i="4"/>
  <c r="Y75" i="4"/>
  <c r="AH75" i="4"/>
  <c r="AQ75" i="4"/>
  <c r="AZ75" i="4"/>
  <c r="BI75" i="4"/>
  <c r="M89" i="4"/>
  <c r="R109" i="4"/>
  <c r="AH109" i="4"/>
  <c r="AT109" i="4" s="1"/>
  <c r="BF109" i="4" s="1"/>
  <c r="BR109" i="4" s="1"/>
  <c r="P117" i="4"/>
  <c r="AH117" i="4"/>
  <c r="AT117" i="4" s="1"/>
  <c r="BF117" i="4" s="1"/>
  <c r="BR117" i="4" s="1"/>
  <c r="K121" i="4"/>
  <c r="W121" i="4" s="1"/>
  <c r="AI121" i="4" s="1"/>
  <c r="AU121" i="4" s="1"/>
  <c r="BG121" i="4" s="1"/>
  <c r="BS121" i="4" s="1"/>
  <c r="K132" i="4"/>
  <c r="W132" i="4" s="1"/>
  <c r="AI132" i="4" s="1"/>
  <c r="AU132" i="4" s="1"/>
  <c r="BG132" i="4" s="1"/>
  <c r="BS132" i="4" s="1"/>
  <c r="U145" i="4"/>
  <c r="AG145" i="4" s="1"/>
  <c r="AS145" i="4" s="1"/>
  <c r="BE145" i="4" s="1"/>
  <c r="BQ145" i="4" s="1"/>
  <c r="P158" i="4"/>
  <c r="N45" i="4"/>
  <c r="W45" i="4"/>
  <c r="AG45" i="4"/>
  <c r="AP45" i="4"/>
  <c r="AY45" i="4"/>
  <c r="BH45" i="4"/>
  <c r="N89" i="4"/>
  <c r="S109" i="4"/>
  <c r="AI109" i="4"/>
  <c r="AU109" i="4" s="1"/>
  <c r="BG109" i="4" s="1"/>
  <c r="BS109" i="4" s="1"/>
  <c r="R117" i="4"/>
  <c r="AI117" i="4"/>
  <c r="AU117" i="4" s="1"/>
  <c r="BG117" i="4" s="1"/>
  <c r="BS117" i="4" s="1"/>
  <c r="N121" i="4"/>
  <c r="Z121" i="4" s="1"/>
  <c r="AL121" i="4" s="1"/>
  <c r="AX121" i="4" s="1"/>
  <c r="BJ121" i="4" s="1"/>
  <c r="P124" i="4"/>
  <c r="AB124" i="4" s="1"/>
  <c r="AN124" i="4" s="1"/>
  <c r="AZ124" i="4" s="1"/>
  <c r="BL124" i="4" s="1"/>
  <c r="O124" i="4"/>
  <c r="AA124" i="4" s="1"/>
  <c r="AM124" i="4" s="1"/>
  <c r="AY124" i="4" s="1"/>
  <c r="BK124" i="4" s="1"/>
  <c r="N124" i="4"/>
  <c r="Z124" i="4" s="1"/>
  <c r="AL124" i="4" s="1"/>
  <c r="AX124" i="4" s="1"/>
  <c r="BJ124" i="4" s="1"/>
  <c r="S124" i="4"/>
  <c r="AE124" i="4" s="1"/>
  <c r="AQ124" i="4" s="1"/>
  <c r="BC124" i="4" s="1"/>
  <c r="BO124" i="4" s="1"/>
  <c r="K124" i="4"/>
  <c r="W124" i="4" s="1"/>
  <c r="AI124" i="4" s="1"/>
  <c r="AU124" i="4" s="1"/>
  <c r="BG124" i="4" s="1"/>
  <c r="BS124" i="4" s="1"/>
  <c r="R124" i="4"/>
  <c r="AD124" i="4" s="1"/>
  <c r="AP124" i="4" s="1"/>
  <c r="BB124" i="4" s="1"/>
  <c r="BN124" i="4" s="1"/>
  <c r="J124" i="4"/>
  <c r="V124" i="4" s="1"/>
  <c r="AH124" i="4" s="1"/>
  <c r="AT124" i="4" s="1"/>
  <c r="BF124" i="4" s="1"/>
  <c r="BR124" i="4" s="1"/>
  <c r="O132" i="4"/>
  <c r="AA132" i="4" s="1"/>
  <c r="AM132" i="4" s="1"/>
  <c r="AY132" i="4" s="1"/>
  <c r="BK132" i="4" s="1"/>
  <c r="T158" i="4"/>
  <c r="P162" i="4"/>
  <c r="AB162" i="4" s="1"/>
  <c r="AN162" i="4" s="1"/>
  <c r="AZ162" i="4" s="1"/>
  <c r="BL162" i="4" s="1"/>
  <c r="U162" i="4"/>
  <c r="AG162" i="4" s="1"/>
  <c r="AS162" i="4" s="1"/>
  <c r="BE162" i="4" s="1"/>
  <c r="BQ162" i="4" s="1"/>
  <c r="L162" i="4"/>
  <c r="X162" i="4" s="1"/>
  <c r="AJ162" i="4" s="1"/>
  <c r="AV162" i="4" s="1"/>
  <c r="BH162" i="4" s="1"/>
  <c r="BT162" i="4" s="1"/>
  <c r="T162" i="4"/>
  <c r="AF162" i="4" s="1"/>
  <c r="AR162" i="4" s="1"/>
  <c r="BD162" i="4" s="1"/>
  <c r="BP162" i="4" s="1"/>
  <c r="K162" i="4"/>
  <c r="W162" i="4" s="1"/>
  <c r="AI162" i="4" s="1"/>
  <c r="AU162" i="4" s="1"/>
  <c r="BG162" i="4" s="1"/>
  <c r="BS162" i="4" s="1"/>
  <c r="S162" i="4"/>
  <c r="AE162" i="4" s="1"/>
  <c r="AQ162" i="4" s="1"/>
  <c r="BC162" i="4" s="1"/>
  <c r="BO162" i="4" s="1"/>
  <c r="J162" i="4"/>
  <c r="V162" i="4" s="1"/>
  <c r="AH162" i="4" s="1"/>
  <c r="AT162" i="4" s="1"/>
  <c r="BF162" i="4" s="1"/>
  <c r="BR162" i="4" s="1"/>
  <c r="O162" i="4"/>
  <c r="AA162" i="4" s="1"/>
  <c r="AM162" i="4" s="1"/>
  <c r="AY162" i="4" s="1"/>
  <c r="BK162" i="4" s="1"/>
  <c r="N162" i="4"/>
  <c r="Z162" i="4" s="1"/>
  <c r="AL162" i="4" s="1"/>
  <c r="AX162" i="4" s="1"/>
  <c r="BJ162" i="4" s="1"/>
  <c r="BT45" i="4"/>
  <c r="BL45" i="4"/>
  <c r="BD45" i="4"/>
  <c r="AV45" i="4"/>
  <c r="AN45" i="4"/>
  <c r="AF45" i="4"/>
  <c r="X45" i="4"/>
  <c r="P45" i="4"/>
  <c r="O45" i="4"/>
  <c r="Y45" i="4"/>
  <c r="AH45" i="4"/>
  <c r="AQ45" i="4"/>
  <c r="AZ45" i="4"/>
  <c r="BI45" i="4"/>
  <c r="BR45" i="4"/>
  <c r="BS75" i="4"/>
  <c r="BK75" i="4"/>
  <c r="BC75" i="4"/>
  <c r="AU75" i="4"/>
  <c r="AM75" i="4"/>
  <c r="AE75" i="4"/>
  <c r="W75" i="4"/>
  <c r="O75" i="4"/>
  <c r="R75" i="4"/>
  <c r="AA75" i="4"/>
  <c r="AJ75" i="4"/>
  <c r="AS75" i="4"/>
  <c r="BB75" i="4"/>
  <c r="BL75" i="4"/>
  <c r="BU75" i="4"/>
  <c r="O89" i="4"/>
  <c r="W109" i="4"/>
  <c r="AM109" i="4"/>
  <c r="AY109" i="4" s="1"/>
  <c r="BK109" i="4" s="1"/>
  <c r="S117" i="4"/>
  <c r="AM117" i="4"/>
  <c r="AY117" i="4" s="1"/>
  <c r="BK117" i="4" s="1"/>
  <c r="O121" i="4"/>
  <c r="AA121" i="4" s="1"/>
  <c r="AM121" i="4" s="1"/>
  <c r="AY121" i="4" s="1"/>
  <c r="BK121" i="4" s="1"/>
  <c r="L124" i="4"/>
  <c r="X124" i="4" s="1"/>
  <c r="AJ124" i="4" s="1"/>
  <c r="AV124" i="4" s="1"/>
  <c r="BH124" i="4" s="1"/>
  <c r="BT124" i="4" s="1"/>
  <c r="M162" i="4"/>
  <c r="Y162" i="4" s="1"/>
  <c r="AK162" i="4" s="1"/>
  <c r="AW162" i="4" s="1"/>
  <c r="BI162" i="4" s="1"/>
  <c r="BU162" i="4" s="1"/>
  <c r="N132" i="4"/>
  <c r="Z132" i="4" s="1"/>
  <c r="AL132" i="4" s="1"/>
  <c r="AX132" i="4" s="1"/>
  <c r="BJ132" i="4" s="1"/>
  <c r="U132" i="4"/>
  <c r="AG132" i="4" s="1"/>
  <c r="AS132" i="4" s="1"/>
  <c r="BE132" i="4" s="1"/>
  <c r="BQ132" i="4" s="1"/>
  <c r="M132" i="4"/>
  <c r="Y132" i="4" s="1"/>
  <c r="AK132" i="4" s="1"/>
  <c r="AW132" i="4" s="1"/>
  <c r="BI132" i="4" s="1"/>
  <c r="BU132" i="4" s="1"/>
  <c r="T132" i="4"/>
  <c r="AF132" i="4" s="1"/>
  <c r="AR132" i="4" s="1"/>
  <c r="BD132" i="4" s="1"/>
  <c r="BP132" i="4" s="1"/>
  <c r="L132" i="4"/>
  <c r="X132" i="4" s="1"/>
  <c r="AJ132" i="4" s="1"/>
  <c r="AV132" i="4" s="1"/>
  <c r="BH132" i="4" s="1"/>
  <c r="BT132" i="4" s="1"/>
  <c r="Q132" i="4"/>
  <c r="AC132" i="4" s="1"/>
  <c r="AO132" i="4" s="1"/>
  <c r="BA132" i="4" s="1"/>
  <c r="BM132" i="4" s="1"/>
  <c r="P132" i="4"/>
  <c r="AB132" i="4" s="1"/>
  <c r="AN132" i="4" s="1"/>
  <c r="AZ132" i="4" s="1"/>
  <c r="BL132" i="4" s="1"/>
  <c r="F5" i="4"/>
  <c r="Q45" i="4"/>
  <c r="Z45" i="4"/>
  <c r="AI45" i="4"/>
  <c r="AR45" i="4"/>
  <c r="BA45" i="4"/>
  <c r="BJ45" i="4"/>
  <c r="BS45" i="4"/>
  <c r="J75" i="4"/>
  <c r="I49" i="6" s="1" a="1"/>
  <c r="I49" i="6" s="1"/>
  <c r="S75" i="4"/>
  <c r="AB75" i="4"/>
  <c r="AK75" i="4"/>
  <c r="AT75" i="4"/>
  <c r="BD75" i="4"/>
  <c r="BM75" i="4"/>
  <c r="P89" i="4"/>
  <c r="AO109" i="4"/>
  <c r="BA109" i="4" s="1"/>
  <c r="BM109" i="4" s="1"/>
  <c r="X109" i="4"/>
  <c r="AN109" i="4"/>
  <c r="AZ109" i="4" s="1"/>
  <c r="BL109" i="4" s="1"/>
  <c r="W117" i="4"/>
  <c r="AP117" i="4"/>
  <c r="BB117" i="4" s="1"/>
  <c r="BN117" i="4" s="1"/>
  <c r="M124" i="4"/>
  <c r="Y124" i="4" s="1"/>
  <c r="AK124" i="4" s="1"/>
  <c r="AW124" i="4" s="1"/>
  <c r="BI124" i="4" s="1"/>
  <c r="BU124" i="4" s="1"/>
  <c r="S132" i="4"/>
  <c r="AE132" i="4" s="1"/>
  <c r="AQ132" i="4" s="1"/>
  <c r="BC132" i="4" s="1"/>
  <c r="BO132" i="4" s="1"/>
  <c r="W158" i="4"/>
  <c r="AE158" i="4"/>
  <c r="Q162" i="4"/>
  <c r="AC162" i="4" s="1"/>
  <c r="AO162" i="4" s="1"/>
  <c r="BA162" i="4" s="1"/>
  <c r="BM162" i="4" s="1"/>
  <c r="R121" i="4"/>
  <c r="AD121" i="4" s="1"/>
  <c r="AP121" i="4" s="1"/>
  <c r="BB121" i="4" s="1"/>
  <c r="BN121" i="4" s="1"/>
  <c r="J121" i="4"/>
  <c r="V121" i="4" s="1"/>
  <c r="AH121" i="4" s="1"/>
  <c r="AT121" i="4" s="1"/>
  <c r="BF121" i="4" s="1"/>
  <c r="BR121" i="4" s="1"/>
  <c r="Q121" i="4"/>
  <c r="AC121" i="4" s="1"/>
  <c r="AO121" i="4" s="1"/>
  <c r="BA121" i="4" s="1"/>
  <c r="BM121" i="4" s="1"/>
  <c r="P121" i="4"/>
  <c r="AB121" i="4" s="1"/>
  <c r="AN121" i="4" s="1"/>
  <c r="AZ121" i="4" s="1"/>
  <c r="BL121" i="4" s="1"/>
  <c r="U121" i="4"/>
  <c r="AG121" i="4" s="1"/>
  <c r="AS121" i="4" s="1"/>
  <c r="BE121" i="4" s="1"/>
  <c r="BQ121" i="4" s="1"/>
  <c r="M121" i="4"/>
  <c r="Y121" i="4" s="1"/>
  <c r="AK121" i="4" s="1"/>
  <c r="AW121" i="4" s="1"/>
  <c r="BI121" i="4" s="1"/>
  <c r="BU121" i="4" s="1"/>
  <c r="T121" i="4"/>
  <c r="AF121" i="4" s="1"/>
  <c r="AR121" i="4" s="1"/>
  <c r="BD121" i="4" s="1"/>
  <c r="BP121" i="4" s="1"/>
  <c r="L121" i="4"/>
  <c r="X121" i="4" s="1"/>
  <c r="AJ121" i="4" s="1"/>
  <c r="AV121" i="4" s="1"/>
  <c r="BH121" i="4" s="1"/>
  <c r="BT121" i="4" s="1"/>
  <c r="O146" i="4"/>
  <c r="AA146" i="4" s="1"/>
  <c r="AM146" i="4" s="1"/>
  <c r="AY146" i="4" s="1"/>
  <c r="BK146" i="4" s="1"/>
  <c r="N146" i="4"/>
  <c r="Z146" i="4" s="1"/>
  <c r="AL146" i="4" s="1"/>
  <c r="AX146" i="4" s="1"/>
  <c r="BJ146" i="4" s="1"/>
  <c r="U146" i="4"/>
  <c r="AG146" i="4" s="1"/>
  <c r="AS146" i="4" s="1"/>
  <c r="BE146" i="4" s="1"/>
  <c r="BQ146" i="4" s="1"/>
  <c r="M146" i="4"/>
  <c r="Y146" i="4" s="1"/>
  <c r="AK146" i="4" s="1"/>
  <c r="AW146" i="4" s="1"/>
  <c r="BI146" i="4" s="1"/>
  <c r="BU146" i="4" s="1"/>
  <c r="R146" i="4"/>
  <c r="AD146" i="4" s="1"/>
  <c r="AP146" i="4" s="1"/>
  <c r="BB146" i="4" s="1"/>
  <c r="BN146" i="4" s="1"/>
  <c r="J146" i="4"/>
  <c r="V146" i="4" s="1"/>
  <c r="AH146" i="4" s="1"/>
  <c r="AT146" i="4" s="1"/>
  <c r="BF146" i="4" s="1"/>
  <c r="BR146" i="4" s="1"/>
  <c r="Q146" i="4"/>
  <c r="AC146" i="4" s="1"/>
  <c r="AO146" i="4" s="1"/>
  <c r="BA146" i="4" s="1"/>
  <c r="BM146" i="4" s="1"/>
  <c r="AE133" i="6"/>
  <c r="W133" i="6"/>
  <c r="V132" i="6"/>
  <c r="AD126" i="6"/>
  <c r="V126" i="6"/>
  <c r="AB124" i="6"/>
  <c r="AB102" i="6"/>
  <c r="AG99" i="6"/>
  <c r="AF138" i="6"/>
  <c r="AA133" i="6"/>
  <c r="AC132" i="6"/>
  <c r="AF131" i="6"/>
  <c r="W131" i="6"/>
  <c r="AF124" i="6"/>
  <c r="W124" i="6"/>
  <c r="AF102" i="6"/>
  <c r="W102" i="6"/>
  <c r="AB60" i="6"/>
  <c r="Y46" i="6"/>
  <c r="AC152" i="6"/>
  <c r="AE138" i="6"/>
  <c r="AI133" i="6"/>
  <c r="Z133" i="6"/>
  <c r="AB132" i="6"/>
  <c r="AE131" i="6"/>
  <c r="Z126" i="6"/>
  <c r="AE124" i="6"/>
  <c r="V124" i="6"/>
  <c r="AE102" i="6"/>
  <c r="V102" i="6"/>
  <c r="AC99" i="6"/>
  <c r="AI60" i="6"/>
  <c r="AF46" i="6"/>
  <c r="X46" i="6"/>
  <c r="AC138" i="6"/>
  <c r="AH133" i="6"/>
  <c r="Y133" i="6"/>
  <c r="AJ132" i="6"/>
  <c r="AA132" i="6"/>
  <c r="Y126" i="6"/>
  <c r="AD124" i="6"/>
  <c r="AD102" i="6"/>
  <c r="Z60" i="6"/>
  <c r="AE46" i="6"/>
  <c r="AB138" i="6"/>
  <c r="AG133" i="6"/>
  <c r="Z132" i="6"/>
  <c r="AB131" i="6"/>
  <c r="X126" i="6"/>
  <c r="AC124" i="6"/>
  <c r="AJ99" i="6"/>
  <c r="AJ138" i="6"/>
  <c r="AF133" i="6"/>
  <c r="V133" i="6"/>
  <c r="AH132" i="6"/>
  <c r="Y132" i="6"/>
  <c r="AA131" i="6"/>
  <c r="W126" i="6"/>
  <c r="AA124" i="6"/>
  <c r="AA102" i="6"/>
  <c r="AI99" i="6"/>
  <c r="AF60" i="6"/>
  <c r="AC46" i="6"/>
  <c r="Z48" i="5"/>
  <c r="AI138" i="6"/>
  <c r="Z138" i="6"/>
  <c r="AG132" i="6"/>
  <c r="AI131" i="6"/>
  <c r="Z131" i="6"/>
  <c r="AE126" i="6"/>
  <c r="AI124" i="6"/>
  <c r="Z102" i="6"/>
  <c r="AH99" i="6"/>
  <c r="X99" i="6"/>
  <c r="W60" i="6"/>
  <c r="AJ46" i="6"/>
  <c r="AB46" i="6"/>
  <c r="Y138" i="6"/>
  <c r="AC133" i="6"/>
  <c r="AF132" i="6"/>
  <c r="W132" i="6"/>
  <c r="AH131" i="6"/>
  <c r="AH124" i="6"/>
  <c r="Y124" i="6"/>
  <c r="AH102" i="6"/>
  <c r="Y102" i="6"/>
  <c r="AF99" i="6"/>
  <c r="V60" i="6"/>
  <c r="AI46" i="6"/>
  <c r="AA46" i="6"/>
  <c r="AF48" i="5"/>
  <c r="AG138" i="6"/>
  <c r="AB133" i="6"/>
  <c r="AE132" i="6"/>
  <c r="AG131" i="6"/>
  <c r="X131" i="6"/>
  <c r="AB126" i="6"/>
  <c r="AG124" i="6"/>
  <c r="X124" i="6"/>
  <c r="AG102" i="6"/>
  <c r="X102" i="6"/>
  <c r="AE99" i="6"/>
  <c r="N117" i="4"/>
  <c r="AL109" i="4"/>
  <c r="AX109" i="4" s="1"/>
  <c r="BJ109" i="4" s="1"/>
  <c r="AD109" i="4"/>
  <c r="V109" i="4"/>
  <c r="N109" i="4"/>
  <c r="I4" i="5"/>
  <c r="U117" i="4"/>
  <c r="M117" i="4"/>
  <c r="AS109" i="4"/>
  <c r="BE109" i="4" s="1"/>
  <c r="BQ109" i="4" s="1"/>
  <c r="AK109" i="4"/>
  <c r="AW109" i="4" s="1"/>
  <c r="BI109" i="4" s="1"/>
  <c r="BU109" i="4" s="1"/>
  <c r="AC109" i="4"/>
  <c r="U109" i="4"/>
  <c r="M109" i="4"/>
  <c r="T117" i="4"/>
  <c r="L117" i="4"/>
  <c r="AR109" i="4"/>
  <c r="BD109" i="4" s="1"/>
  <c r="BP109" i="4" s="1"/>
  <c r="AJ109" i="4"/>
  <c r="AV109" i="4" s="1"/>
  <c r="BH109" i="4" s="1"/>
  <c r="BT109" i="4" s="1"/>
  <c r="AB109" i="4"/>
  <c r="T109" i="4"/>
  <c r="L109" i="4"/>
  <c r="AC60" i="6"/>
  <c r="J44" i="4"/>
  <c r="K44" i="4" s="1"/>
  <c r="L44" i="4" s="1"/>
  <c r="M44" i="4" s="1"/>
  <c r="N44" i="4" s="1"/>
  <c r="O44" i="4" s="1"/>
  <c r="P44" i="4" s="1"/>
  <c r="Q44" i="4" s="1"/>
  <c r="R44" i="4" s="1"/>
  <c r="S44" i="4" s="1"/>
  <c r="T44" i="4" s="1"/>
  <c r="U44" i="4" s="1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O44" i="4" s="1"/>
  <c r="AP44" i="4" s="1"/>
  <c r="AQ44" i="4" s="1"/>
  <c r="AR44" i="4" s="1"/>
  <c r="AS44" i="4" s="1"/>
  <c r="AT44" i="4" s="1"/>
  <c r="AU44" i="4" s="1"/>
  <c r="AV44" i="4" s="1"/>
  <c r="AW44" i="4" s="1"/>
  <c r="AX44" i="4" s="1"/>
  <c r="AY44" i="4" s="1"/>
  <c r="AZ44" i="4" s="1"/>
  <c r="BA44" i="4" s="1"/>
  <c r="BB44" i="4" s="1"/>
  <c r="BC44" i="4" s="1"/>
  <c r="BD44" i="4" s="1"/>
  <c r="BE44" i="4" s="1"/>
  <c r="BF44" i="4" s="1"/>
  <c r="BG44" i="4" s="1"/>
  <c r="BH44" i="4" s="1"/>
  <c r="BI44" i="4" s="1"/>
  <c r="BJ44" i="4" s="1"/>
  <c r="BK44" i="4" s="1"/>
  <c r="BL44" i="4" s="1"/>
  <c r="BM44" i="4" s="1"/>
  <c r="BN44" i="4" s="1"/>
  <c r="BO44" i="4" s="1"/>
  <c r="BP44" i="4" s="1"/>
  <c r="BQ44" i="4" s="1"/>
  <c r="BR44" i="4" s="1"/>
  <c r="BS44" i="4" s="1"/>
  <c r="BT44" i="4" s="1"/>
  <c r="BU44" i="4" s="1"/>
  <c r="R45" i="4"/>
  <c r="AA45" i="4"/>
  <c r="AJ45" i="4"/>
  <c r="AS45" i="4"/>
  <c r="BB45" i="4"/>
  <c r="BK45" i="4"/>
  <c r="BU45" i="4"/>
  <c r="K75" i="4"/>
  <c r="T75" i="4"/>
  <c r="AC75" i="4"/>
  <c r="AL75" i="4"/>
  <c r="AV75" i="4"/>
  <c r="BE75" i="4"/>
  <c r="BN75" i="4"/>
  <c r="R89" i="4"/>
  <c r="J109" i="4"/>
  <c r="Z109" i="4"/>
  <c r="AP109" i="4"/>
  <c r="BB109" i="4" s="1"/>
  <c r="BN109" i="4" s="1"/>
  <c r="Q117" i="4"/>
  <c r="X117" i="4"/>
  <c r="AQ117" i="4"/>
  <c r="BC117" i="4" s="1"/>
  <c r="BO117" i="4" s="1"/>
  <c r="Q124" i="4"/>
  <c r="AC124" i="4" s="1"/>
  <c r="AO124" i="4" s="1"/>
  <c r="BA124" i="4" s="1"/>
  <c r="BM124" i="4" s="1"/>
  <c r="J145" i="4"/>
  <c r="V145" i="4" s="1"/>
  <c r="AH145" i="4" s="1"/>
  <c r="AT145" i="4" s="1"/>
  <c r="BF145" i="4" s="1"/>
  <c r="BR145" i="4" s="1"/>
  <c r="K146" i="4"/>
  <c r="W146" i="4" s="1"/>
  <c r="AI146" i="4" s="1"/>
  <c r="AU146" i="4" s="1"/>
  <c r="BG146" i="4" s="1"/>
  <c r="BS146" i="4" s="1"/>
  <c r="AF158" i="4"/>
  <c r="R162" i="4"/>
  <c r="AD162" i="4" s="1"/>
  <c r="AP162" i="4" s="1"/>
  <c r="BB162" i="4" s="1"/>
  <c r="BN162" i="4" s="1"/>
  <c r="H177" i="4"/>
  <c r="H179" i="4" s="1"/>
  <c r="M156" i="4"/>
  <c r="M158" i="4" s="1"/>
  <c r="U156" i="4"/>
  <c r="U158" i="4" s="1"/>
  <c r="AC158" i="4"/>
  <c r="Q109" i="4"/>
  <c r="Y109" i="4"/>
  <c r="AG109" i="4"/>
  <c r="N156" i="4"/>
  <c r="N158" i="4" s="1"/>
  <c r="Q156" i="4"/>
  <c r="Q158" i="4" s="1"/>
  <c r="J156" i="4"/>
  <c r="J158" i="4" s="1"/>
  <c r="R156" i="4"/>
  <c r="R158" i="4" s="1"/>
  <c r="K156" i="4"/>
  <c r="K158" i="4" s="1"/>
  <c r="T40" i="8"/>
  <c r="R41" i="8"/>
  <c r="L48" i="8"/>
  <c r="L44" i="8"/>
  <c r="L45" i="8"/>
  <c r="L47" i="8"/>
  <c r="H144" i="6"/>
  <c r="T39" i="8"/>
  <c r="M45" i="8"/>
  <c r="M46" i="8"/>
  <c r="M48" i="8"/>
  <c r="R32" i="8"/>
  <c r="R39" i="8" s="1"/>
  <c r="N44" i="8"/>
  <c r="F45" i="8"/>
  <c r="R33" i="8"/>
  <c r="R34" i="8" s="1"/>
  <c r="O44" i="8"/>
  <c r="O45" i="8"/>
  <c r="O47" i="8"/>
  <c r="O48" i="8"/>
  <c r="M47" i="8"/>
  <c r="T38" i="8"/>
  <c r="H44" i="8"/>
  <c r="H45" i="8"/>
  <c r="H46" i="8"/>
  <c r="H48" i="8"/>
  <c r="P44" i="8"/>
  <c r="P45" i="8"/>
  <c r="P46" i="8"/>
  <c r="P48" i="8"/>
  <c r="I35" i="8"/>
  <c r="S32" i="8"/>
  <c r="S38" i="8" s="1"/>
  <c r="T33" i="8"/>
  <c r="T34" i="8" s="1"/>
  <c r="I5" i="11"/>
  <c r="J1" i="13"/>
  <c r="J68" i="12"/>
  <c r="K1" i="12"/>
  <c r="R38" i="8"/>
  <c r="I16" i="3" s="1"/>
  <c r="J16" i="3" s="1"/>
  <c r="I30" i="4" s="1"/>
  <c r="T41" i="8"/>
  <c r="I45" i="8"/>
  <c r="I46" i="8"/>
  <c r="I47" i="8"/>
  <c r="I44" i="8"/>
  <c r="Q45" i="8"/>
  <c r="Q46" i="8"/>
  <c r="Q47" i="8"/>
  <c r="Q48" i="8"/>
  <c r="Q44" i="8"/>
  <c r="T32" i="8"/>
  <c r="G44" i="8"/>
  <c r="G45" i="8"/>
  <c r="G47" i="8"/>
  <c r="G48" i="8"/>
  <c r="G46" i="8"/>
  <c r="I48" i="8"/>
  <c r="C50" i="10"/>
  <c r="S33" i="8"/>
  <c r="J46" i="8"/>
  <c r="L46" i="8"/>
  <c r="I8" i="9"/>
  <c r="J35" i="8"/>
  <c r="K46" i="8"/>
  <c r="I5" i="12"/>
  <c r="J2" i="12"/>
  <c r="L34" i="8"/>
  <c r="K44" i="8"/>
  <c r="F47" i="8"/>
  <c r="N47" i="8"/>
  <c r="I7" i="11"/>
  <c r="F46" i="8"/>
  <c r="N46" i="8"/>
  <c r="I14" i="9"/>
  <c r="H4" i="12"/>
  <c r="F44" i="8"/>
  <c r="J48" i="8"/>
  <c r="M17" i="10"/>
  <c r="J6" i="11"/>
  <c r="I6" i="11"/>
  <c r="J5" i="11"/>
  <c r="H6" i="11"/>
  <c r="H5" i="11"/>
  <c r="I4" i="11"/>
  <c r="H4" i="11"/>
  <c r="F6" i="12"/>
  <c r="I6" i="12" s="1"/>
  <c r="H72" i="12"/>
  <c r="F73" i="12"/>
  <c r="F42" i="8"/>
  <c r="J47" i="8"/>
  <c r="K48" i="8"/>
  <c r="I1" i="13"/>
  <c r="I68" i="12"/>
  <c r="E5" i="12"/>
  <c r="J73" i="12"/>
  <c r="K69" i="12"/>
  <c r="H7" i="11"/>
  <c r="G8" i="11"/>
  <c r="H68" i="12"/>
  <c r="H11" i="14"/>
  <c r="H76" i="14" s="1"/>
  <c r="H68" i="13"/>
  <c r="E138" i="12"/>
  <c r="E139" i="12" s="1"/>
  <c r="E140" i="12" s="1"/>
  <c r="E141" i="12" s="1"/>
  <c r="E142" i="12" s="1"/>
  <c r="E143" i="12" s="1"/>
  <c r="E144" i="12" s="1"/>
  <c r="E145" i="12" s="1"/>
  <c r="E146" i="12" s="1"/>
  <c r="E147" i="12" s="1"/>
  <c r="E148" i="12" s="1"/>
  <c r="E149" i="12" s="1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E161" i="12" s="1"/>
  <c r="E162" i="12" s="1"/>
  <c r="E163" i="12" s="1"/>
  <c r="E164" i="12" s="1"/>
  <c r="E165" i="12" s="1"/>
  <c r="K134" i="12"/>
  <c r="F138" i="12"/>
  <c r="E5" i="13" a="1"/>
  <c r="E5" i="13" s="1"/>
  <c r="E71" i="13"/>
  <c r="E79" i="14" s="1"/>
  <c r="G79" i="14" s="1"/>
  <c r="E6" i="13" a="1"/>
  <c r="E6" i="13" s="1"/>
  <c r="F7" i="13"/>
  <c r="L134" i="13"/>
  <c r="D4" i="13"/>
  <c r="D70" i="13"/>
  <c r="D78" i="14" s="1"/>
  <c r="E135" i="13"/>
  <c r="E70" i="13"/>
  <c r="E78" i="14" s="1"/>
  <c r="G78" i="14" s="1"/>
  <c r="H78" i="14" s="1"/>
  <c r="F15" i="14"/>
  <c r="J12" i="14"/>
  <c r="BR12" i="15"/>
  <c r="J20" i="15"/>
  <c r="J12" i="15"/>
  <c r="R20" i="15"/>
  <c r="R19" i="15"/>
  <c r="R12" i="15"/>
  <c r="I7" i="2" s="1"/>
  <c r="Z19" i="15"/>
  <c r="Z13" i="15"/>
  <c r="Z20" i="15"/>
  <c r="AH20" i="15"/>
  <c r="AH13" i="15"/>
  <c r="AP19" i="15"/>
  <c r="AP20" i="15"/>
  <c r="AP13" i="15"/>
  <c r="AX19" i="15"/>
  <c r="AX13" i="15"/>
  <c r="AX20" i="15"/>
  <c r="AX12" i="15"/>
  <c r="BF13" i="15"/>
  <c r="BF20" i="15"/>
  <c r="BF12" i="15"/>
  <c r="BU12" i="15" s="1"/>
  <c r="AP12" i="15"/>
  <c r="J13" i="15"/>
  <c r="J19" i="15"/>
  <c r="C12" i="15"/>
  <c r="G17" i="2" s="1"/>
  <c r="C18" i="15"/>
  <c r="C13" i="15"/>
  <c r="G18" i="2" s="1"/>
  <c r="K19" i="15"/>
  <c r="K20" i="15"/>
  <c r="S20" i="15"/>
  <c r="S19" i="15"/>
  <c r="S12" i="15"/>
  <c r="AA20" i="15"/>
  <c r="AA19" i="15"/>
  <c r="AA12" i="15"/>
  <c r="I17" i="2" s="1"/>
  <c r="AI20" i="15"/>
  <c r="AI13" i="15"/>
  <c r="AQ20" i="15"/>
  <c r="AQ19" i="15"/>
  <c r="AQ13" i="15"/>
  <c r="AY19" i="15"/>
  <c r="AY20" i="15"/>
  <c r="BG19" i="15"/>
  <c r="BG20" i="15"/>
  <c r="BG12" i="15"/>
  <c r="BO13" i="15"/>
  <c r="BO12" i="15"/>
  <c r="BO19" i="15"/>
  <c r="BO20" i="15"/>
  <c r="AQ12" i="15"/>
  <c r="K13" i="15"/>
  <c r="Z12" i="15"/>
  <c r="R13" i="15"/>
  <c r="AH19" i="15"/>
  <c r="K12" i="15"/>
  <c r="AV12" i="15"/>
  <c r="S13" i="15"/>
  <c r="AI19" i="15"/>
  <c r="F20" i="15"/>
  <c r="F19" i="15"/>
  <c r="F13" i="15"/>
  <c r="BQ13" i="15" s="1"/>
  <c r="N20" i="15"/>
  <c r="N13" i="15"/>
  <c r="V20" i="15"/>
  <c r="V12" i="15"/>
  <c r="V19" i="15"/>
  <c r="V13" i="15"/>
  <c r="AD19" i="15"/>
  <c r="AD20" i="15"/>
  <c r="AD12" i="15"/>
  <c r="AD13" i="15"/>
  <c r="AL19" i="15"/>
  <c r="AT20" i="15"/>
  <c r="AT19" i="15"/>
  <c r="AT13" i="15"/>
  <c r="AT12" i="15"/>
  <c r="BB20" i="15"/>
  <c r="BB19" i="15"/>
  <c r="BB13" i="15"/>
  <c r="BB12" i="15"/>
  <c r="BJ13" i="15"/>
  <c r="N12" i="15"/>
  <c r="AY12" i="15"/>
  <c r="BF19" i="15"/>
  <c r="G19" i="15"/>
  <c r="G12" i="15"/>
  <c r="G20" i="15"/>
  <c r="G13" i="15"/>
  <c r="O19" i="15"/>
  <c r="O20" i="15"/>
  <c r="O12" i="15"/>
  <c r="H17" i="2" s="1"/>
  <c r="O13" i="15"/>
  <c r="H18" i="2" s="1"/>
  <c r="W19" i="15"/>
  <c r="W20" i="15"/>
  <c r="W12" i="15"/>
  <c r="W13" i="15"/>
  <c r="AE20" i="15"/>
  <c r="AE12" i="15"/>
  <c r="AE19" i="15"/>
  <c r="AE13" i="15"/>
  <c r="AM19" i="15"/>
  <c r="AM12" i="15"/>
  <c r="AU19" i="15"/>
  <c r="AU12" i="15"/>
  <c r="AU20" i="15"/>
  <c r="BC20" i="15"/>
  <c r="BC19" i="15"/>
  <c r="BC12" i="15"/>
  <c r="BC13" i="15"/>
  <c r="BK20" i="15"/>
  <c r="BK12" i="15"/>
  <c r="BK13" i="15"/>
  <c r="BK19" i="15"/>
  <c r="AH12" i="15"/>
  <c r="BS12" i="15" s="1"/>
  <c r="AA13" i="15"/>
  <c r="I18" i="2" s="1"/>
  <c r="AY13" i="15"/>
  <c r="BJ19" i="15"/>
  <c r="H20" i="15"/>
  <c r="H19" i="15"/>
  <c r="P20" i="15"/>
  <c r="P19" i="15"/>
  <c r="P13" i="15"/>
  <c r="X20" i="15"/>
  <c r="X19" i="15"/>
  <c r="X13" i="15"/>
  <c r="AF20" i="15"/>
  <c r="AF19" i="15"/>
  <c r="AF12" i="15"/>
  <c r="AF13" i="15"/>
  <c r="AN20" i="15"/>
  <c r="AN12" i="15"/>
  <c r="BT12" i="15" s="1"/>
  <c r="AN19" i="15"/>
  <c r="AN13" i="15"/>
  <c r="AV20" i="15"/>
  <c r="AV19" i="15"/>
  <c r="BD20" i="15"/>
  <c r="BD19" i="15"/>
  <c r="BD13" i="15"/>
  <c r="BD12" i="15"/>
  <c r="BL20" i="15"/>
  <c r="BL19" i="15"/>
  <c r="BL13" i="15"/>
  <c r="BL12" i="15"/>
  <c r="AI12" i="15"/>
  <c r="BS13" i="15"/>
  <c r="BG13" i="15"/>
  <c r="I20" i="15"/>
  <c r="I13" i="15"/>
  <c r="I19" i="15"/>
  <c r="I12" i="15"/>
  <c r="Q13" i="15"/>
  <c r="Q19" i="15"/>
  <c r="Y20" i="15"/>
  <c r="Y13" i="15"/>
  <c r="Y19" i="15"/>
  <c r="AG19" i="15"/>
  <c r="AG20" i="15"/>
  <c r="AG13" i="15"/>
  <c r="AO19" i="15"/>
  <c r="AO20" i="15"/>
  <c r="AO13" i="15"/>
  <c r="AO12" i="15"/>
  <c r="AW13" i="15"/>
  <c r="AW19" i="15"/>
  <c r="AW12" i="15"/>
  <c r="AW20" i="15"/>
  <c r="BE19" i="15"/>
  <c r="BE13" i="15"/>
  <c r="BE20" i="15"/>
  <c r="BM20" i="15"/>
  <c r="BM19" i="15"/>
  <c r="BM13" i="15"/>
  <c r="BM12" i="15"/>
  <c r="BE12" i="15"/>
  <c r="H13" i="15"/>
  <c r="Q20" i="15"/>
  <c r="AS12" i="15"/>
  <c r="U13" i="15"/>
  <c r="AZ13" i="15"/>
  <c r="AR20" i="15"/>
  <c r="BA13" i="15"/>
  <c r="U20" i="15"/>
  <c r="AR13" i="15"/>
  <c r="D19" i="15"/>
  <c r="D20" i="15"/>
  <c r="L19" i="15"/>
  <c r="T19" i="15"/>
  <c r="AB20" i="15"/>
  <c r="AB19" i="15"/>
  <c r="AJ20" i="15"/>
  <c r="AJ19" i="15"/>
  <c r="AZ20" i="15"/>
  <c r="BU20" i="15" s="1"/>
  <c r="BH19" i="15"/>
  <c r="BH20" i="15"/>
  <c r="L12" i="15"/>
  <c r="E19" i="15"/>
  <c r="E20" i="15"/>
  <c r="M19" i="15"/>
  <c r="M20" i="15"/>
  <c r="U19" i="15"/>
  <c r="AC19" i="15"/>
  <c r="AK19" i="15"/>
  <c r="AK20" i="15"/>
  <c r="AS19" i="15"/>
  <c r="AS20" i="15"/>
  <c r="BA19" i="15"/>
  <c r="BI19" i="15"/>
  <c r="BI20" i="15"/>
  <c r="D12" i="15"/>
  <c r="M12" i="15"/>
  <c r="AJ13" i="15"/>
  <c r="AZ19" i="15"/>
  <c r="BN13" i="15"/>
  <c r="H75" i="3" l="1"/>
  <c r="C51" i="3"/>
  <c r="AN112" i="4"/>
  <c r="AZ112" i="4" s="1"/>
  <c r="BL112" i="4" s="1"/>
  <c r="AF112" i="4"/>
  <c r="X112" i="4"/>
  <c r="P112" i="4"/>
  <c r="AM112" i="4"/>
  <c r="AY112" i="4" s="1"/>
  <c r="BK112" i="4" s="1"/>
  <c r="AE112" i="4"/>
  <c r="W112" i="4"/>
  <c r="O112" i="4"/>
  <c r="AL112" i="4"/>
  <c r="AX112" i="4" s="1"/>
  <c r="BJ112" i="4" s="1"/>
  <c r="AD112" i="4"/>
  <c r="V112" i="4"/>
  <c r="N112" i="4"/>
  <c r="AQ112" i="4"/>
  <c r="BC112" i="4" s="1"/>
  <c r="BO112" i="4" s="1"/>
  <c r="AI112" i="4"/>
  <c r="AU112" i="4" s="1"/>
  <c r="BG112" i="4" s="1"/>
  <c r="BS112" i="4" s="1"/>
  <c r="AA112" i="4"/>
  <c r="S112" i="4"/>
  <c r="K112" i="4"/>
  <c r="AR112" i="4"/>
  <c r="BD112" i="4" s="1"/>
  <c r="BP112" i="4" s="1"/>
  <c r="AB112" i="4"/>
  <c r="L112" i="4"/>
  <c r="AP112" i="4"/>
  <c r="BB112" i="4" s="1"/>
  <c r="BN112" i="4" s="1"/>
  <c r="Z112" i="4"/>
  <c r="J112" i="4"/>
  <c r="AO112" i="4"/>
  <c r="BA112" i="4" s="1"/>
  <c r="BM112" i="4" s="1"/>
  <c r="Y112" i="4"/>
  <c r="AK112" i="4"/>
  <c r="AW112" i="4" s="1"/>
  <c r="BI112" i="4" s="1"/>
  <c r="BU112" i="4" s="1"/>
  <c r="U112" i="4"/>
  <c r="AJ112" i="4"/>
  <c r="AV112" i="4" s="1"/>
  <c r="BH112" i="4" s="1"/>
  <c r="BT112" i="4" s="1"/>
  <c r="T112" i="4"/>
  <c r="AH112" i="4"/>
  <c r="AT112" i="4" s="1"/>
  <c r="BF112" i="4" s="1"/>
  <c r="BR112" i="4" s="1"/>
  <c r="R112" i="4"/>
  <c r="AS112" i="4"/>
  <c r="BE112" i="4" s="1"/>
  <c r="BQ112" i="4" s="1"/>
  <c r="AG112" i="4"/>
  <c r="AC112" i="4"/>
  <c r="Q112" i="4"/>
  <c r="M112" i="4"/>
  <c r="BS20" i="15"/>
  <c r="BR19" i="15"/>
  <c r="M134" i="13"/>
  <c r="E7" i="13" a="1"/>
  <c r="E7" i="13" s="1"/>
  <c r="F8" i="13"/>
  <c r="AP111" i="4"/>
  <c r="BB111" i="4" s="1"/>
  <c r="BN111" i="4" s="1"/>
  <c r="AH111" i="4"/>
  <c r="AT111" i="4" s="1"/>
  <c r="BF111" i="4" s="1"/>
  <c r="BR111" i="4" s="1"/>
  <c r="Z111" i="4"/>
  <c r="R111" i="4"/>
  <c r="J111" i="4"/>
  <c r="I86" i="6" s="1" a="1"/>
  <c r="I86" i="6" s="1"/>
  <c r="AO111" i="4"/>
  <c r="BA111" i="4" s="1"/>
  <c r="BM111" i="4" s="1"/>
  <c r="AG111" i="4"/>
  <c r="Y111" i="4"/>
  <c r="Q111" i="4"/>
  <c r="AN111" i="4"/>
  <c r="AZ111" i="4" s="1"/>
  <c r="BL111" i="4" s="1"/>
  <c r="AF111" i="4"/>
  <c r="X111" i="4"/>
  <c r="P111" i="4"/>
  <c r="AS111" i="4"/>
  <c r="BE111" i="4" s="1"/>
  <c r="BQ111" i="4" s="1"/>
  <c r="AK111" i="4"/>
  <c r="AW111" i="4" s="1"/>
  <c r="BI111" i="4" s="1"/>
  <c r="BU111" i="4" s="1"/>
  <c r="AC111" i="4"/>
  <c r="U111" i="4"/>
  <c r="M111" i="4"/>
  <c r="AI111" i="4"/>
  <c r="AU111" i="4" s="1"/>
  <c r="BG111" i="4" s="1"/>
  <c r="BS111" i="4" s="1"/>
  <c r="S111" i="4"/>
  <c r="AE111" i="4"/>
  <c r="O111" i="4"/>
  <c r="AD111" i="4"/>
  <c r="N111" i="4"/>
  <c r="AR111" i="4"/>
  <c r="BD111" i="4" s="1"/>
  <c r="BP111" i="4" s="1"/>
  <c r="AB111" i="4"/>
  <c r="L111" i="4"/>
  <c r="AQ111" i="4"/>
  <c r="BC111" i="4" s="1"/>
  <c r="BO111" i="4" s="1"/>
  <c r="AA111" i="4"/>
  <c r="K111" i="4"/>
  <c r="AM111" i="4"/>
  <c r="AY111" i="4" s="1"/>
  <c r="BK111" i="4" s="1"/>
  <c r="W111" i="4"/>
  <c r="V111" i="4"/>
  <c r="T111" i="4"/>
  <c r="AL111" i="4"/>
  <c r="AX111" i="4" s="1"/>
  <c r="BJ111" i="4" s="1"/>
  <c r="AJ111" i="4"/>
  <c r="AV111" i="4" s="1"/>
  <c r="BH111" i="4" s="1"/>
  <c r="BT111" i="4" s="1"/>
  <c r="G37" i="5" a="1"/>
  <c r="G37" i="5" s="1"/>
  <c r="G34" i="5" a="1"/>
  <c r="G34" i="5" s="1"/>
  <c r="G35" i="5" a="1"/>
  <c r="G35" i="5" s="1"/>
  <c r="F8" i="5"/>
  <c r="H8" i="5"/>
  <c r="CK176" i="4"/>
  <c r="AG48" i="5" s="1"/>
  <c r="AD158" i="4"/>
  <c r="AP157" i="4"/>
  <c r="BB157" i="4" s="1"/>
  <c r="BN157" i="4" s="1"/>
  <c r="AG84" i="4"/>
  <c r="U86" i="4"/>
  <c r="U90" i="4" s="1"/>
  <c r="U89" i="4"/>
  <c r="U88" i="4"/>
  <c r="U87" i="4" s="1"/>
  <c r="AC152" i="4"/>
  <c r="Q153" i="4"/>
  <c r="AD93" i="4"/>
  <c r="AB93" i="4"/>
  <c r="E137" i="13"/>
  <c r="E72" i="13"/>
  <c r="BS19" i="15"/>
  <c r="BR13" i="15"/>
  <c r="K12" i="14"/>
  <c r="F7" i="12"/>
  <c r="H6" i="12"/>
  <c r="R23" i="8"/>
  <c r="R22" i="8"/>
  <c r="R21" i="8"/>
  <c r="R20" i="8"/>
  <c r="R19" i="8"/>
  <c r="R11" i="8"/>
  <c r="R26" i="8"/>
  <c r="R13" i="8"/>
  <c r="R5" i="8"/>
  <c r="R15" i="8"/>
  <c r="R7" i="8"/>
  <c r="R12" i="8"/>
  <c r="R4" i="8"/>
  <c r="R35" i="8"/>
  <c r="R14" i="8"/>
  <c r="R6" i="8"/>
  <c r="R8" i="8"/>
  <c r="R40" i="8"/>
  <c r="R18" i="8"/>
  <c r="R17" i="8"/>
  <c r="R10" i="8"/>
  <c r="R16" i="8"/>
  <c r="R9" i="8"/>
  <c r="BQ20" i="15"/>
  <c r="R42" i="8"/>
  <c r="F48" i="8"/>
  <c r="BQ12" i="15"/>
  <c r="H7" i="2"/>
  <c r="BT13" i="15"/>
  <c r="BR20" i="15"/>
  <c r="D5" i="13"/>
  <c r="D71" i="13"/>
  <c r="D79" i="14" s="1"/>
  <c r="H79" i="14" s="1"/>
  <c r="E138" i="13"/>
  <c r="E73" i="13"/>
  <c r="I73" i="12"/>
  <c r="H73" i="12"/>
  <c r="F74" i="12"/>
  <c r="B10" i="14"/>
  <c r="B9" i="13"/>
  <c r="B9" i="12"/>
  <c r="R24" i="8"/>
  <c r="R37" i="8"/>
  <c r="S40" i="8"/>
  <c r="S39" i="8"/>
  <c r="Z46" i="6"/>
  <c r="X138" i="6"/>
  <c r="Y131" i="6"/>
  <c r="AH138" i="6"/>
  <c r="AE60" i="6"/>
  <c r="AI102" i="6"/>
  <c r="AD133" i="6"/>
  <c r="AJ131" i="6"/>
  <c r="AD46" i="6"/>
  <c r="AA99" i="6"/>
  <c r="AG126" i="6"/>
  <c r="AD131" i="6"/>
  <c r="AA60" i="6"/>
  <c r="V131" i="6"/>
  <c r="AG46" i="6"/>
  <c r="W138" i="6"/>
  <c r="AJ124" i="6"/>
  <c r="AD132" i="6"/>
  <c r="AP115" i="4"/>
  <c r="BB115" i="4" s="1"/>
  <c r="BN115" i="4" s="1"/>
  <c r="AH115" i="4"/>
  <c r="AT115" i="4" s="1"/>
  <c r="BF115" i="4" s="1"/>
  <c r="BR115" i="4" s="1"/>
  <c r="Z115" i="4"/>
  <c r="R115" i="4"/>
  <c r="J115" i="4"/>
  <c r="I90" i="6" s="1" a="1"/>
  <c r="I90" i="6" s="1"/>
  <c r="AO115" i="4"/>
  <c r="BA115" i="4" s="1"/>
  <c r="BM115" i="4" s="1"/>
  <c r="AG115" i="4"/>
  <c r="Y115" i="4"/>
  <c r="Q115" i="4"/>
  <c r="AN115" i="4"/>
  <c r="AZ115" i="4" s="1"/>
  <c r="BL115" i="4" s="1"/>
  <c r="AF115" i="4"/>
  <c r="X115" i="4"/>
  <c r="P115" i="4"/>
  <c r="AS115" i="4"/>
  <c r="BE115" i="4" s="1"/>
  <c r="BQ115" i="4" s="1"/>
  <c r="AK115" i="4"/>
  <c r="AW115" i="4" s="1"/>
  <c r="BI115" i="4" s="1"/>
  <c r="BU115" i="4" s="1"/>
  <c r="AC115" i="4"/>
  <c r="U115" i="4"/>
  <c r="M115" i="4"/>
  <c r="AI115" i="4"/>
  <c r="AU115" i="4" s="1"/>
  <c r="BG115" i="4" s="1"/>
  <c r="BS115" i="4" s="1"/>
  <c r="S115" i="4"/>
  <c r="AE115" i="4"/>
  <c r="O115" i="4"/>
  <c r="AD115" i="4"/>
  <c r="N115" i="4"/>
  <c r="AR115" i="4"/>
  <c r="BD115" i="4" s="1"/>
  <c r="BP115" i="4" s="1"/>
  <c r="AB115" i="4"/>
  <c r="L115" i="4"/>
  <c r="AQ115" i="4"/>
  <c r="BC115" i="4" s="1"/>
  <c r="BO115" i="4" s="1"/>
  <c r="AA115" i="4"/>
  <c r="K115" i="4"/>
  <c r="AM115" i="4"/>
  <c r="AY115" i="4" s="1"/>
  <c r="BK115" i="4" s="1"/>
  <c r="W115" i="4"/>
  <c r="V115" i="4"/>
  <c r="T115" i="4"/>
  <c r="AL115" i="4"/>
  <c r="AX115" i="4" s="1"/>
  <c r="BJ115" i="4" s="1"/>
  <c r="AJ115" i="4"/>
  <c r="AV115" i="4" s="1"/>
  <c r="BH115" i="4" s="1"/>
  <c r="BT115" i="4" s="1"/>
  <c r="J8" i="6"/>
  <c r="I73" i="6" a="1"/>
  <c r="I73" i="6" s="1"/>
  <c r="I98" i="6" a="1"/>
  <c r="I98" i="6" s="1"/>
  <c r="I99" i="6" a="1"/>
  <c r="I99" i="6" s="1"/>
  <c r="I125" i="6" a="1"/>
  <c r="I125" i="6" s="1"/>
  <c r="I127" i="6" s="1"/>
  <c r="I132" i="6" a="1"/>
  <c r="I132" i="6" s="1"/>
  <c r="I119" i="6" a="1"/>
  <c r="I119" i="6" s="1"/>
  <c r="I126" i="6" a="1"/>
  <c r="I126" i="6" s="1"/>
  <c r="I69" i="6" a="1"/>
  <c r="I69" i="6" s="1"/>
  <c r="CF176" i="4"/>
  <c r="BF176" i="4"/>
  <c r="CA176" i="4"/>
  <c r="W48" i="5" s="1"/>
  <c r="V158" i="4"/>
  <c r="AH157" i="4"/>
  <c r="Y84" i="4"/>
  <c r="M86" i="4"/>
  <c r="M88" i="4"/>
  <c r="M87" i="4" s="1"/>
  <c r="M90" i="4"/>
  <c r="I8" i="2"/>
  <c r="V152" i="4"/>
  <c r="J153" i="4"/>
  <c r="G33" i="5" s="1" a="1"/>
  <c r="G33" i="5" s="1"/>
  <c r="J101" i="4"/>
  <c r="G29" i="5" s="1" a="1"/>
  <c r="G29" i="5" s="1"/>
  <c r="V93" i="4"/>
  <c r="Y93" i="4"/>
  <c r="K168" i="4"/>
  <c r="W161" i="4"/>
  <c r="K165" i="4"/>
  <c r="BQ19" i="15"/>
  <c r="BU13" i="15"/>
  <c r="BT19" i="15"/>
  <c r="F16" i="14"/>
  <c r="H15" i="14"/>
  <c r="G9" i="11"/>
  <c r="H8" i="11"/>
  <c r="J8" i="11"/>
  <c r="I8" i="11"/>
  <c r="AR106" i="4"/>
  <c r="BD106" i="4" s="1"/>
  <c r="BP106" i="4" s="1"/>
  <c r="AJ106" i="4"/>
  <c r="AV106" i="4" s="1"/>
  <c r="BH106" i="4" s="1"/>
  <c r="BT106" i="4" s="1"/>
  <c r="AB106" i="4"/>
  <c r="T106" i="4"/>
  <c r="L106" i="4"/>
  <c r="AQ106" i="4"/>
  <c r="BC106" i="4" s="1"/>
  <c r="BO106" i="4" s="1"/>
  <c r="AI106" i="4"/>
  <c r="AU106" i="4" s="1"/>
  <c r="BG106" i="4" s="1"/>
  <c r="BS106" i="4" s="1"/>
  <c r="AA106" i="4"/>
  <c r="S106" i="4"/>
  <c r="K106" i="4"/>
  <c r="AP106" i="4"/>
  <c r="BB106" i="4" s="1"/>
  <c r="BN106" i="4" s="1"/>
  <c r="AH106" i="4"/>
  <c r="AT106" i="4" s="1"/>
  <c r="BF106" i="4" s="1"/>
  <c r="BR106" i="4" s="1"/>
  <c r="Z106" i="4"/>
  <c r="R106" i="4"/>
  <c r="J106" i="4"/>
  <c r="I81" i="6" s="1" a="1"/>
  <c r="I81" i="6" s="1"/>
  <c r="AM106" i="4"/>
  <c r="AY106" i="4" s="1"/>
  <c r="BK106" i="4" s="1"/>
  <c r="AE106" i="4"/>
  <c r="W106" i="4"/>
  <c r="O106" i="4"/>
  <c r="AN106" i="4"/>
  <c r="AZ106" i="4" s="1"/>
  <c r="BL106" i="4" s="1"/>
  <c r="X106" i="4"/>
  <c r="AL106" i="4"/>
  <c r="AX106" i="4" s="1"/>
  <c r="BJ106" i="4" s="1"/>
  <c r="V106" i="4"/>
  <c r="AK106" i="4"/>
  <c r="AW106" i="4" s="1"/>
  <c r="BI106" i="4" s="1"/>
  <c r="BU106" i="4" s="1"/>
  <c r="U106" i="4"/>
  <c r="AG106" i="4"/>
  <c r="Q106" i="4"/>
  <c r="AF106" i="4"/>
  <c r="P106" i="4"/>
  <c r="AD106" i="4"/>
  <c r="N106" i="4"/>
  <c r="M106" i="4"/>
  <c r="AS106" i="4"/>
  <c r="BE106" i="4" s="1"/>
  <c r="BQ106" i="4" s="1"/>
  <c r="AO106" i="4"/>
  <c r="BA106" i="4" s="1"/>
  <c r="BM106" i="4" s="1"/>
  <c r="Y106" i="4"/>
  <c r="AC106" i="4"/>
  <c r="AN108" i="4"/>
  <c r="AZ108" i="4" s="1"/>
  <c r="BL108" i="4" s="1"/>
  <c r="AF108" i="4"/>
  <c r="X108" i="4"/>
  <c r="P108" i="4"/>
  <c r="AM108" i="4"/>
  <c r="AY108" i="4" s="1"/>
  <c r="BK108" i="4" s="1"/>
  <c r="AE108" i="4"/>
  <c r="W108" i="4"/>
  <c r="O108" i="4"/>
  <c r="AL108" i="4"/>
  <c r="AX108" i="4" s="1"/>
  <c r="BJ108" i="4" s="1"/>
  <c r="AD108" i="4"/>
  <c r="V108" i="4"/>
  <c r="N108" i="4"/>
  <c r="AQ108" i="4"/>
  <c r="BC108" i="4" s="1"/>
  <c r="BO108" i="4" s="1"/>
  <c r="AI108" i="4"/>
  <c r="AU108" i="4" s="1"/>
  <c r="BG108" i="4" s="1"/>
  <c r="BS108" i="4" s="1"/>
  <c r="AA108" i="4"/>
  <c r="S108" i="4"/>
  <c r="K108" i="4"/>
  <c r="AS108" i="4"/>
  <c r="BE108" i="4" s="1"/>
  <c r="BQ108" i="4" s="1"/>
  <c r="AC108" i="4"/>
  <c r="M108" i="4"/>
  <c r="AR108" i="4"/>
  <c r="BD108" i="4" s="1"/>
  <c r="BP108" i="4" s="1"/>
  <c r="AB108" i="4"/>
  <c r="L108" i="4"/>
  <c r="AP108" i="4"/>
  <c r="BB108" i="4" s="1"/>
  <c r="BN108" i="4" s="1"/>
  <c r="Z108" i="4"/>
  <c r="J108" i="4"/>
  <c r="I83" i="6" s="1" a="1"/>
  <c r="I83" i="6" s="1"/>
  <c r="AO108" i="4"/>
  <c r="BA108" i="4" s="1"/>
  <c r="BM108" i="4" s="1"/>
  <c r="Y108" i="4"/>
  <c r="AK108" i="4"/>
  <c r="AW108" i="4" s="1"/>
  <c r="BI108" i="4" s="1"/>
  <c r="BU108" i="4" s="1"/>
  <c r="U108" i="4"/>
  <c r="AJ108" i="4"/>
  <c r="AV108" i="4" s="1"/>
  <c r="BH108" i="4" s="1"/>
  <c r="BT108" i="4" s="1"/>
  <c r="T108" i="4"/>
  <c r="AG108" i="4"/>
  <c r="R108" i="4"/>
  <c r="Q108" i="4"/>
  <c r="AH108" i="4"/>
  <c r="AT108" i="4" s="1"/>
  <c r="BF108" i="4" s="1"/>
  <c r="BR108" i="4" s="1"/>
  <c r="H196" i="13"/>
  <c r="V129" i="4"/>
  <c r="H3" i="13"/>
  <c r="G6" i="13"/>
  <c r="V176" i="4"/>
  <c r="BX176" i="4"/>
  <c r="W152" i="6" s="1"/>
  <c r="CB176" i="4"/>
  <c r="X48" i="5" s="1"/>
  <c r="BR176" i="4"/>
  <c r="CG176" i="4"/>
  <c r="N86" i="4"/>
  <c r="N90" i="4" s="1"/>
  <c r="N88" i="4"/>
  <c r="N87" i="4" s="1"/>
  <c r="Z84" i="4"/>
  <c r="AD152" i="4"/>
  <c r="R153" i="4"/>
  <c r="J8" i="2"/>
  <c r="J17" i="2"/>
  <c r="J7" i="2"/>
  <c r="J18" i="2"/>
  <c r="K2" i="2"/>
  <c r="AE93" i="4"/>
  <c r="AG93" i="4"/>
  <c r="AL105" i="4"/>
  <c r="AX105" i="4" s="1"/>
  <c r="BJ105" i="4" s="1"/>
  <c r="AD105" i="4"/>
  <c r="V105" i="4"/>
  <c r="N105" i="4"/>
  <c r="AS105" i="4"/>
  <c r="BE105" i="4" s="1"/>
  <c r="BQ105" i="4" s="1"/>
  <c r="AK105" i="4"/>
  <c r="AW105" i="4" s="1"/>
  <c r="BI105" i="4" s="1"/>
  <c r="BU105" i="4" s="1"/>
  <c r="AC105" i="4"/>
  <c r="U105" i="4"/>
  <c r="M105" i="4"/>
  <c r="AR105" i="4"/>
  <c r="BD105" i="4" s="1"/>
  <c r="BP105" i="4" s="1"/>
  <c r="AJ105" i="4"/>
  <c r="AV105" i="4" s="1"/>
  <c r="BH105" i="4" s="1"/>
  <c r="BT105" i="4" s="1"/>
  <c r="AB105" i="4"/>
  <c r="T105" i="4"/>
  <c r="L105" i="4"/>
  <c r="AO105" i="4"/>
  <c r="BA105" i="4" s="1"/>
  <c r="BM105" i="4" s="1"/>
  <c r="AG105" i="4"/>
  <c r="Y105" i="4"/>
  <c r="Q105" i="4"/>
  <c r="AQ105" i="4"/>
  <c r="BC105" i="4" s="1"/>
  <c r="BO105" i="4" s="1"/>
  <c r="AA105" i="4"/>
  <c r="K105" i="4"/>
  <c r="AP105" i="4"/>
  <c r="BB105" i="4" s="1"/>
  <c r="BN105" i="4" s="1"/>
  <c r="Z105" i="4"/>
  <c r="J105" i="4"/>
  <c r="I80" i="6" s="1" a="1"/>
  <c r="I80" i="6" s="1"/>
  <c r="AN105" i="4"/>
  <c r="AZ105" i="4" s="1"/>
  <c r="BL105" i="4" s="1"/>
  <c r="X105" i="4"/>
  <c r="AM105" i="4"/>
  <c r="AY105" i="4" s="1"/>
  <c r="BK105" i="4" s="1"/>
  <c r="W105" i="4"/>
  <c r="AI105" i="4"/>
  <c r="AU105" i="4" s="1"/>
  <c r="BG105" i="4" s="1"/>
  <c r="BS105" i="4" s="1"/>
  <c r="S105" i="4"/>
  <c r="AH105" i="4"/>
  <c r="AT105" i="4" s="1"/>
  <c r="BF105" i="4" s="1"/>
  <c r="BR105" i="4" s="1"/>
  <c r="R105" i="4"/>
  <c r="AF105" i="4"/>
  <c r="AE105" i="4"/>
  <c r="P105" i="4"/>
  <c r="O105" i="4"/>
  <c r="AR110" i="4"/>
  <c r="BD110" i="4" s="1"/>
  <c r="BP110" i="4" s="1"/>
  <c r="AJ110" i="4"/>
  <c r="AV110" i="4" s="1"/>
  <c r="BH110" i="4" s="1"/>
  <c r="BT110" i="4" s="1"/>
  <c r="AB110" i="4"/>
  <c r="T110" i="4"/>
  <c r="L110" i="4"/>
  <c r="AQ110" i="4"/>
  <c r="BC110" i="4" s="1"/>
  <c r="BO110" i="4" s="1"/>
  <c r="AI110" i="4"/>
  <c r="AU110" i="4" s="1"/>
  <c r="BG110" i="4" s="1"/>
  <c r="BS110" i="4" s="1"/>
  <c r="AA110" i="4"/>
  <c r="S110" i="4"/>
  <c r="K110" i="4"/>
  <c r="AP110" i="4"/>
  <c r="BB110" i="4" s="1"/>
  <c r="BN110" i="4" s="1"/>
  <c r="AH110" i="4"/>
  <c r="AT110" i="4" s="1"/>
  <c r="BF110" i="4" s="1"/>
  <c r="BR110" i="4" s="1"/>
  <c r="Z110" i="4"/>
  <c r="R110" i="4"/>
  <c r="J110" i="4"/>
  <c r="I85" i="6" s="1" a="1"/>
  <c r="I85" i="6" s="1"/>
  <c r="AM110" i="4"/>
  <c r="AY110" i="4" s="1"/>
  <c r="BK110" i="4" s="1"/>
  <c r="AE110" i="4"/>
  <c r="W110" i="4"/>
  <c r="O110" i="4"/>
  <c r="AL110" i="4"/>
  <c r="AX110" i="4" s="1"/>
  <c r="BJ110" i="4" s="1"/>
  <c r="V110" i="4"/>
  <c r="AK110" i="4"/>
  <c r="AW110" i="4" s="1"/>
  <c r="BI110" i="4" s="1"/>
  <c r="BU110" i="4" s="1"/>
  <c r="U110" i="4"/>
  <c r="AG110" i="4"/>
  <c r="Q110" i="4"/>
  <c r="AF110" i="4"/>
  <c r="P110" i="4"/>
  <c r="AD110" i="4"/>
  <c r="N110" i="4"/>
  <c r="AS110" i="4"/>
  <c r="BE110" i="4" s="1"/>
  <c r="BQ110" i="4" s="1"/>
  <c r="AC110" i="4"/>
  <c r="M110" i="4"/>
  <c r="AO110" i="4"/>
  <c r="BA110" i="4" s="1"/>
  <c r="BM110" i="4" s="1"/>
  <c r="AN110" i="4"/>
  <c r="AZ110" i="4" s="1"/>
  <c r="BL110" i="4" s="1"/>
  <c r="Y110" i="4"/>
  <c r="X110" i="4"/>
  <c r="BW176" i="4"/>
  <c r="V152" i="6" s="1"/>
  <c r="J176" i="4"/>
  <c r="G48" i="5" s="1" a="1"/>
  <c r="G48" i="5" s="1"/>
  <c r="X152" i="4"/>
  <c r="L153" i="4"/>
  <c r="V84" i="4"/>
  <c r="J86" i="4"/>
  <c r="I61" i="6" s="1" a="1"/>
  <c r="I61" i="6" s="1"/>
  <c r="J89" i="4"/>
  <c r="I64" i="6" s="1" a="1"/>
  <c r="I64" i="6" s="1"/>
  <c r="J88" i="4"/>
  <c r="J87" i="4" s="1"/>
  <c r="I62" i="6" s="1" a="1"/>
  <c r="I62" i="6" s="1"/>
  <c r="O86" i="4"/>
  <c r="O90" i="4" s="1"/>
  <c r="O88" i="4"/>
  <c r="O87" i="4" s="1"/>
  <c r="AA84" i="4"/>
  <c r="M153" i="4"/>
  <c r="Y152" i="4"/>
  <c r="K101" i="4"/>
  <c r="W93" i="4"/>
  <c r="L161" i="4"/>
  <c r="F139" i="12"/>
  <c r="S26" i="8"/>
  <c r="S16" i="8"/>
  <c r="S8" i="8"/>
  <c r="S18" i="8"/>
  <c r="S10" i="8"/>
  <c r="S42" i="8"/>
  <c r="S12" i="8"/>
  <c r="S4" i="8"/>
  <c r="S17" i="8"/>
  <c r="S9" i="8"/>
  <c r="S37" i="8"/>
  <c r="S24" i="8"/>
  <c r="S23" i="8"/>
  <c r="S22" i="8"/>
  <c r="S21" i="8"/>
  <c r="S20" i="8"/>
  <c r="S19" i="8"/>
  <c r="S11" i="8"/>
  <c r="S41" i="8"/>
  <c r="S15" i="8"/>
  <c r="S14" i="8"/>
  <c r="S7" i="8"/>
  <c r="S13" i="8"/>
  <c r="S6" i="8"/>
  <c r="S35" i="8"/>
  <c r="S5" i="8"/>
  <c r="AR114" i="4"/>
  <c r="BD114" i="4" s="1"/>
  <c r="BP114" i="4" s="1"/>
  <c r="AJ114" i="4"/>
  <c r="AV114" i="4" s="1"/>
  <c r="BH114" i="4" s="1"/>
  <c r="BT114" i="4" s="1"/>
  <c r="AB114" i="4"/>
  <c r="T114" i="4"/>
  <c r="L114" i="4"/>
  <c r="AQ114" i="4"/>
  <c r="BC114" i="4" s="1"/>
  <c r="BO114" i="4" s="1"/>
  <c r="AI114" i="4"/>
  <c r="AU114" i="4" s="1"/>
  <c r="BG114" i="4" s="1"/>
  <c r="BS114" i="4" s="1"/>
  <c r="AA114" i="4"/>
  <c r="S114" i="4"/>
  <c r="K114" i="4"/>
  <c r="AP114" i="4"/>
  <c r="BB114" i="4" s="1"/>
  <c r="BN114" i="4" s="1"/>
  <c r="AH114" i="4"/>
  <c r="AT114" i="4" s="1"/>
  <c r="BF114" i="4" s="1"/>
  <c r="BR114" i="4" s="1"/>
  <c r="Z114" i="4"/>
  <c r="R114" i="4"/>
  <c r="J114" i="4"/>
  <c r="AM114" i="4"/>
  <c r="AY114" i="4" s="1"/>
  <c r="BK114" i="4" s="1"/>
  <c r="AE114" i="4"/>
  <c r="W114" i="4"/>
  <c r="O114" i="4"/>
  <c r="AL114" i="4"/>
  <c r="AX114" i="4" s="1"/>
  <c r="BJ114" i="4" s="1"/>
  <c r="V114" i="4"/>
  <c r="AK114" i="4"/>
  <c r="AW114" i="4" s="1"/>
  <c r="BI114" i="4" s="1"/>
  <c r="BU114" i="4" s="1"/>
  <c r="U114" i="4"/>
  <c r="AG114" i="4"/>
  <c r="Q114" i="4"/>
  <c r="AF114" i="4"/>
  <c r="P114" i="4"/>
  <c r="AD114" i="4"/>
  <c r="N114" i="4"/>
  <c r="AS114" i="4"/>
  <c r="BE114" i="4" s="1"/>
  <c r="BQ114" i="4" s="1"/>
  <c r="AC114" i="4"/>
  <c r="M114" i="4"/>
  <c r="AO114" i="4"/>
  <c r="BA114" i="4" s="1"/>
  <c r="BM114" i="4" s="1"/>
  <c r="AN114" i="4"/>
  <c r="AZ114" i="4" s="1"/>
  <c r="BL114" i="4" s="1"/>
  <c r="Y114" i="4"/>
  <c r="X114" i="4"/>
  <c r="AL113" i="4"/>
  <c r="AX113" i="4" s="1"/>
  <c r="BJ113" i="4" s="1"/>
  <c r="AD113" i="4"/>
  <c r="V113" i="4"/>
  <c r="N113" i="4"/>
  <c r="AS113" i="4"/>
  <c r="BE113" i="4" s="1"/>
  <c r="BQ113" i="4" s="1"/>
  <c r="AK113" i="4"/>
  <c r="AW113" i="4" s="1"/>
  <c r="BI113" i="4" s="1"/>
  <c r="BU113" i="4" s="1"/>
  <c r="AC113" i="4"/>
  <c r="U113" i="4"/>
  <c r="M113" i="4"/>
  <c r="AR113" i="4"/>
  <c r="BD113" i="4" s="1"/>
  <c r="BP113" i="4" s="1"/>
  <c r="AJ113" i="4"/>
  <c r="AV113" i="4" s="1"/>
  <c r="BH113" i="4" s="1"/>
  <c r="BT113" i="4" s="1"/>
  <c r="AB113" i="4"/>
  <c r="T113" i="4"/>
  <c r="L113" i="4"/>
  <c r="AO113" i="4"/>
  <c r="BA113" i="4" s="1"/>
  <c r="BM113" i="4" s="1"/>
  <c r="AG113" i="4"/>
  <c r="Y113" i="4"/>
  <c r="Q113" i="4"/>
  <c r="AP113" i="4"/>
  <c r="BB113" i="4" s="1"/>
  <c r="BN113" i="4" s="1"/>
  <c r="Z113" i="4"/>
  <c r="J113" i="4"/>
  <c r="I88" i="6" s="1" a="1"/>
  <c r="I88" i="6" s="1"/>
  <c r="AN113" i="4"/>
  <c r="AZ113" i="4" s="1"/>
  <c r="BL113" i="4" s="1"/>
  <c r="X113" i="4"/>
  <c r="AM113" i="4"/>
  <c r="AY113" i="4" s="1"/>
  <c r="BK113" i="4" s="1"/>
  <c r="W113" i="4"/>
  <c r="AI113" i="4"/>
  <c r="AU113" i="4" s="1"/>
  <c r="BG113" i="4" s="1"/>
  <c r="BS113" i="4" s="1"/>
  <c r="S113" i="4"/>
  <c r="AH113" i="4"/>
  <c r="AT113" i="4" s="1"/>
  <c r="BF113" i="4" s="1"/>
  <c r="BR113" i="4" s="1"/>
  <c r="R113" i="4"/>
  <c r="AF113" i="4"/>
  <c r="P113" i="4"/>
  <c r="O113" i="4"/>
  <c r="K113" i="4"/>
  <c r="AE113" i="4"/>
  <c r="AA113" i="4"/>
  <c r="AQ113" i="4"/>
  <c r="BC113" i="4" s="1"/>
  <c r="BO113" i="4" s="1"/>
  <c r="W129" i="4"/>
  <c r="G5" i="13"/>
  <c r="H5" i="13" s="1"/>
  <c r="G70" i="13"/>
  <c r="H70" i="13" s="1"/>
  <c r="I130" i="6" a="1"/>
  <c r="I130" i="6" s="1"/>
  <c r="I140" i="6" a="1"/>
  <c r="I140" i="6" s="1"/>
  <c r="I133" i="6" a="1"/>
  <c r="I133" i="6" s="1"/>
  <c r="CC176" i="4"/>
  <c r="S88" i="4"/>
  <c r="S87" i="4" s="1"/>
  <c r="AE84" i="4"/>
  <c r="S86" i="4"/>
  <c r="S90" i="4" s="1"/>
  <c r="S89" i="4"/>
  <c r="Q88" i="4"/>
  <c r="Q87" i="4" s="1"/>
  <c r="AC84" i="4"/>
  <c r="Q86" i="4"/>
  <c r="Q90" i="4" s="1"/>
  <c r="U153" i="4"/>
  <c r="AG152" i="4"/>
  <c r="AF93" i="4"/>
  <c r="P86" i="4"/>
  <c r="P90" i="4" s="1"/>
  <c r="P88" i="4"/>
  <c r="P87" i="4" s="1"/>
  <c r="AB84" i="4"/>
  <c r="L134" i="12"/>
  <c r="AI158" i="4"/>
  <c r="AJ156" i="4"/>
  <c r="H4" i="13"/>
  <c r="C40" i="15"/>
  <c r="G71" i="13"/>
  <c r="H71" i="13" s="1"/>
  <c r="CI176" i="4"/>
  <c r="AK157" i="4"/>
  <c r="AW157" i="4" s="1"/>
  <c r="BI157" i="4" s="1"/>
  <c r="BU157" i="4" s="1"/>
  <c r="Y158" i="4"/>
  <c r="K88" i="4"/>
  <c r="K87" i="4" s="1"/>
  <c r="W84" i="4"/>
  <c r="K86" i="4"/>
  <c r="K90" i="4" s="1"/>
  <c r="K89" i="4"/>
  <c r="AB152" i="4"/>
  <c r="P153" i="4"/>
  <c r="N153" i="4"/>
  <c r="Z152" i="4"/>
  <c r="K6" i="4"/>
  <c r="L101" i="4"/>
  <c r="X93" i="4"/>
  <c r="R90" i="4"/>
  <c r="AD84" i="4"/>
  <c r="R86" i="4"/>
  <c r="R88" i="4"/>
  <c r="R87" i="4" s="1"/>
  <c r="I11" i="14"/>
  <c r="I76" i="14" s="1"/>
  <c r="I68" i="13"/>
  <c r="AF126" i="6"/>
  <c r="Y60" i="6"/>
  <c r="AI132" i="6"/>
  <c r="Z152" i="6"/>
  <c r="AH60" i="6"/>
  <c r="AB99" i="6"/>
  <c r="AH126" i="6"/>
  <c r="AI126" i="6"/>
  <c r="AJ60" i="6"/>
  <c r="AA126" i="6"/>
  <c r="AJ133" i="6"/>
  <c r="AJ102" i="6"/>
  <c r="V138" i="6"/>
  <c r="Y152" i="6"/>
  <c r="T48" i="5"/>
  <c r="E36" i="10"/>
  <c r="P21" i="3" s="1"/>
  <c r="Q21" i="3" s="1"/>
  <c r="H104" i="4" s="1"/>
  <c r="D50" i="10"/>
  <c r="AN116" i="4"/>
  <c r="AZ116" i="4" s="1"/>
  <c r="BL116" i="4" s="1"/>
  <c r="AF116" i="4"/>
  <c r="X116" i="4"/>
  <c r="P116" i="4"/>
  <c r="AM116" i="4"/>
  <c r="AY116" i="4" s="1"/>
  <c r="BK116" i="4" s="1"/>
  <c r="AE116" i="4"/>
  <c r="W116" i="4"/>
  <c r="O116" i="4"/>
  <c r="AL116" i="4"/>
  <c r="AX116" i="4" s="1"/>
  <c r="BJ116" i="4" s="1"/>
  <c r="AD116" i="4"/>
  <c r="V116" i="4"/>
  <c r="N116" i="4"/>
  <c r="AQ116" i="4"/>
  <c r="BC116" i="4" s="1"/>
  <c r="BO116" i="4" s="1"/>
  <c r="AI116" i="4"/>
  <c r="AU116" i="4" s="1"/>
  <c r="BG116" i="4" s="1"/>
  <c r="BS116" i="4" s="1"/>
  <c r="AA116" i="4"/>
  <c r="S116" i="4"/>
  <c r="K116" i="4"/>
  <c r="AR116" i="4"/>
  <c r="BD116" i="4" s="1"/>
  <c r="BP116" i="4" s="1"/>
  <c r="AB116" i="4"/>
  <c r="L116" i="4"/>
  <c r="AP116" i="4"/>
  <c r="BB116" i="4" s="1"/>
  <c r="BN116" i="4" s="1"/>
  <c r="Z116" i="4"/>
  <c r="J116" i="4"/>
  <c r="AO116" i="4"/>
  <c r="BA116" i="4" s="1"/>
  <c r="BM116" i="4" s="1"/>
  <c r="Y116" i="4"/>
  <c r="AK116" i="4"/>
  <c r="AW116" i="4" s="1"/>
  <c r="BI116" i="4" s="1"/>
  <c r="BU116" i="4" s="1"/>
  <c r="U116" i="4"/>
  <c r="AJ116" i="4"/>
  <c r="AV116" i="4" s="1"/>
  <c r="BH116" i="4" s="1"/>
  <c r="BT116" i="4" s="1"/>
  <c r="T116" i="4"/>
  <c r="AH116" i="4"/>
  <c r="AT116" i="4" s="1"/>
  <c r="BF116" i="4" s="1"/>
  <c r="BR116" i="4" s="1"/>
  <c r="R116" i="4"/>
  <c r="AS116" i="4"/>
  <c r="BE116" i="4" s="1"/>
  <c r="BQ116" i="4" s="1"/>
  <c r="AG116" i="4"/>
  <c r="AC116" i="4"/>
  <c r="Q116" i="4"/>
  <c r="M116" i="4"/>
  <c r="X129" i="4"/>
  <c r="I105" i="6" a="1"/>
  <c r="I105" i="6" s="1"/>
  <c r="C3" i="7"/>
  <c r="BW174" i="4"/>
  <c r="H178" i="4"/>
  <c r="CH176" i="4"/>
  <c r="AD48" i="5" s="1"/>
  <c r="BZ176" i="4"/>
  <c r="V48" i="5" s="1"/>
  <c r="AT176" i="4"/>
  <c r="BY176" i="4"/>
  <c r="X152" i="6" s="1"/>
  <c r="AH176" i="4"/>
  <c r="AS157" i="4"/>
  <c r="BE157" i="4" s="1"/>
  <c r="BQ157" i="4" s="1"/>
  <c r="AG158" i="4"/>
  <c r="AF84" i="4"/>
  <c r="T86" i="4"/>
  <c r="T90" i="4" s="1"/>
  <c r="T89" i="4"/>
  <c r="T88" i="4"/>
  <c r="T87" i="4" s="1"/>
  <c r="AE152" i="4"/>
  <c r="S153" i="4"/>
  <c r="O153" i="4"/>
  <c r="AA152" i="4"/>
  <c r="K8" i="4"/>
  <c r="Z93" i="4"/>
  <c r="V161" i="4"/>
  <c r="J165" i="4"/>
  <c r="J168" i="4"/>
  <c r="B11" i="14"/>
  <c r="B10" i="13"/>
  <c r="B10" i="12"/>
  <c r="K2" i="12"/>
  <c r="J6" i="12"/>
  <c r="J7" i="12"/>
  <c r="C10" i="15"/>
  <c r="C4" i="2"/>
  <c r="G5" i="2" s="1"/>
  <c r="J30" i="4"/>
  <c r="H8" i="2"/>
  <c r="K1" i="13"/>
  <c r="K68" i="12"/>
  <c r="L1" i="12"/>
  <c r="BU19" i="15"/>
  <c r="L69" i="12"/>
  <c r="K74" i="12"/>
  <c r="B8" i="14"/>
  <c r="B9" i="14" s="1"/>
  <c r="C9" i="14" s="1"/>
  <c r="C10" i="14" s="1"/>
  <c r="C11" i="14" s="1"/>
  <c r="B7" i="13"/>
  <c r="B8" i="13" s="1"/>
  <c r="C8" i="13" s="1"/>
  <c r="C9" i="13" s="1"/>
  <c r="C10" i="13" s="1"/>
  <c r="B7" i="12"/>
  <c r="B8" i="12" s="1"/>
  <c r="C8" i="12" s="1"/>
  <c r="C9" i="12" s="1"/>
  <c r="C10" i="12" s="1"/>
  <c r="BT20" i="15"/>
  <c r="I15" i="14"/>
  <c r="E72" i="12"/>
  <c r="E15" i="14" s="1"/>
  <c r="E6" i="12"/>
  <c r="S34" i="8"/>
  <c r="T13" i="8"/>
  <c r="T5" i="8"/>
  <c r="T15" i="8"/>
  <c r="T7" i="8"/>
  <c r="T17" i="8"/>
  <c r="T9" i="8"/>
  <c r="T35" i="8"/>
  <c r="T14" i="8"/>
  <c r="T6" i="8"/>
  <c r="T26" i="8"/>
  <c r="T16" i="8"/>
  <c r="T8" i="8"/>
  <c r="T42" i="8"/>
  <c r="T22" i="8"/>
  <c r="T37" i="8"/>
  <c r="T23" i="8"/>
  <c r="T19" i="8"/>
  <c r="T12" i="8"/>
  <c r="T18" i="8"/>
  <c r="T11" i="8"/>
  <c r="T4" i="8"/>
  <c r="T24" i="8"/>
  <c r="T20" i="8"/>
  <c r="T10" i="8"/>
  <c r="T21" i="8"/>
  <c r="J11" i="14"/>
  <c r="J76" i="14" s="1"/>
  <c r="J68" i="13"/>
  <c r="AH46" i="6"/>
  <c r="V99" i="6"/>
  <c r="AD60" i="6"/>
  <c r="W99" i="6"/>
  <c r="AC126" i="6"/>
  <c r="Z124" i="6"/>
  <c r="X132" i="6"/>
  <c r="AJ152" i="6"/>
  <c r="X60" i="6"/>
  <c r="Z99" i="6"/>
  <c r="AA138" i="6"/>
  <c r="AA48" i="5"/>
  <c r="AG60" i="6"/>
  <c r="AC102" i="6"/>
  <c r="X133" i="6"/>
  <c r="W46" i="6"/>
  <c r="U48" i="5"/>
  <c r="AD99" i="6"/>
  <c r="AJ126" i="6"/>
  <c r="Y99" i="6"/>
  <c r="AC131" i="6"/>
  <c r="AD138" i="6"/>
  <c r="AI152" i="6"/>
  <c r="J13" i="4"/>
  <c r="H2" i="14" s="1"/>
  <c r="AP107" i="4"/>
  <c r="BB107" i="4" s="1"/>
  <c r="BN107" i="4" s="1"/>
  <c r="AH107" i="4"/>
  <c r="AT107" i="4" s="1"/>
  <c r="BF107" i="4" s="1"/>
  <c r="BR107" i="4" s="1"/>
  <c r="Z107" i="4"/>
  <c r="R107" i="4"/>
  <c r="J107" i="4"/>
  <c r="I82" i="6" s="1" a="1"/>
  <c r="I82" i="6" s="1"/>
  <c r="AO107" i="4"/>
  <c r="BA107" i="4" s="1"/>
  <c r="BM107" i="4" s="1"/>
  <c r="AG107" i="4"/>
  <c r="Y107" i="4"/>
  <c r="Q107" i="4"/>
  <c r="AN107" i="4"/>
  <c r="AZ107" i="4" s="1"/>
  <c r="BL107" i="4" s="1"/>
  <c r="AF107" i="4"/>
  <c r="X107" i="4"/>
  <c r="P107" i="4"/>
  <c r="AS107" i="4"/>
  <c r="BE107" i="4" s="1"/>
  <c r="BQ107" i="4" s="1"/>
  <c r="AK107" i="4"/>
  <c r="AW107" i="4" s="1"/>
  <c r="BI107" i="4" s="1"/>
  <c r="BU107" i="4" s="1"/>
  <c r="AC107" i="4"/>
  <c r="U107" i="4"/>
  <c r="M107" i="4"/>
  <c r="AJ107" i="4"/>
  <c r="AV107" i="4" s="1"/>
  <c r="BH107" i="4" s="1"/>
  <c r="BT107" i="4" s="1"/>
  <c r="T107" i="4"/>
  <c r="AI107" i="4"/>
  <c r="AU107" i="4" s="1"/>
  <c r="BG107" i="4" s="1"/>
  <c r="BS107" i="4" s="1"/>
  <c r="S107" i="4"/>
  <c r="AE107" i="4"/>
  <c r="O107" i="4"/>
  <c r="AD107" i="4"/>
  <c r="N107" i="4"/>
  <c r="AR107" i="4"/>
  <c r="BD107" i="4" s="1"/>
  <c r="BP107" i="4" s="1"/>
  <c r="AB107" i="4"/>
  <c r="L107" i="4"/>
  <c r="AQ107" i="4"/>
  <c r="BC107" i="4" s="1"/>
  <c r="BO107" i="4" s="1"/>
  <c r="AA107" i="4"/>
  <c r="K107" i="4"/>
  <c r="AM107" i="4"/>
  <c r="AY107" i="4" s="1"/>
  <c r="BK107" i="4" s="1"/>
  <c r="AL107" i="4"/>
  <c r="AX107" i="4" s="1"/>
  <c r="BJ107" i="4" s="1"/>
  <c r="W107" i="4"/>
  <c r="V107" i="4"/>
  <c r="J7" i="14"/>
  <c r="L29" i="4"/>
  <c r="F11" i="15" s="1"/>
  <c r="M9" i="4"/>
  <c r="L6" i="4"/>
  <c r="L8" i="4"/>
  <c r="I87" i="6" a="1"/>
  <c r="I87" i="6" s="1"/>
  <c r="I131" i="6" a="1"/>
  <c r="I131" i="6" s="1"/>
  <c r="I138" i="6" a="1"/>
  <c r="I138" i="6" s="1"/>
  <c r="I142" i="6" s="1"/>
  <c r="I84" i="6" a="1"/>
  <c r="I84" i="6" s="1"/>
  <c r="I110" i="6" a="1"/>
  <c r="I110" i="6" s="1"/>
  <c r="I74" i="6" a="1"/>
  <c r="I74" i="6" s="1"/>
  <c r="I76" i="6" s="1"/>
  <c r="I89" i="6" a="1"/>
  <c r="I89" i="6" s="1"/>
  <c r="I96" i="6" a="1"/>
  <c r="I96" i="6" s="1"/>
  <c r="I75" i="6" a="1"/>
  <c r="I75" i="6" s="1"/>
  <c r="I100" i="6" a="1"/>
  <c r="I100" i="6" s="1"/>
  <c r="I112" i="6" a="1"/>
  <c r="I112" i="6" s="1"/>
  <c r="I91" i="6" a="1"/>
  <c r="I91" i="6" s="1"/>
  <c r="I139" i="6" a="1"/>
  <c r="I139" i="6" s="1"/>
  <c r="CE176" i="4"/>
  <c r="AD152" i="6" s="1"/>
  <c r="AM157" i="4"/>
  <c r="AY157" i="4" s="1"/>
  <c r="BK157" i="4" s="1"/>
  <c r="AA158" i="4"/>
  <c r="X84" i="4"/>
  <c r="L86" i="4"/>
  <c r="L90" i="4" s="1"/>
  <c r="L89" i="4"/>
  <c r="L88" i="4"/>
  <c r="L87" i="4" s="1"/>
  <c r="T153" i="4"/>
  <c r="AF152" i="4"/>
  <c r="AC93" i="4"/>
  <c r="AA93" i="4"/>
  <c r="W153" i="4"/>
  <c r="AI152" i="4"/>
  <c r="C11" i="12" l="1"/>
  <c r="AJ129" i="4"/>
  <c r="AN104" i="4"/>
  <c r="AF104" i="4"/>
  <c r="AF118" i="4" s="1"/>
  <c r="X104" i="4"/>
  <c r="X118" i="4" s="1"/>
  <c r="P104" i="4"/>
  <c r="P118" i="4" s="1"/>
  <c r="AM104" i="4"/>
  <c r="AE104" i="4"/>
  <c r="AE118" i="4" s="1"/>
  <c r="W104" i="4"/>
  <c r="W118" i="4" s="1"/>
  <c r="O104" i="4"/>
  <c r="O118" i="4" s="1"/>
  <c r="AL104" i="4"/>
  <c r="AD104" i="4"/>
  <c r="AD118" i="4" s="1"/>
  <c r="V104" i="4"/>
  <c r="V118" i="4" s="1"/>
  <c r="N104" i="4"/>
  <c r="N118" i="4" s="1"/>
  <c r="AQ104" i="4"/>
  <c r="AI104" i="4"/>
  <c r="AA104" i="4"/>
  <c r="AA118" i="4" s="1"/>
  <c r="S104" i="4"/>
  <c r="S118" i="4" s="1"/>
  <c r="K104" i="4"/>
  <c r="K118" i="4" s="1"/>
  <c r="H32" i="5" s="1" a="1"/>
  <c r="H32" i="5" s="1"/>
  <c r="AS104" i="4"/>
  <c r="AC104" i="4"/>
  <c r="AC118" i="4" s="1"/>
  <c r="M104" i="4"/>
  <c r="M118" i="4" s="1"/>
  <c r="AR104" i="4"/>
  <c r="AB104" i="4"/>
  <c r="AB118" i="4" s="1"/>
  <c r="L104" i="4"/>
  <c r="L118" i="4" s="1"/>
  <c r="AP104" i="4"/>
  <c r="Z104" i="4"/>
  <c r="Z118" i="4" s="1"/>
  <c r="J104" i="4"/>
  <c r="AO104" i="4"/>
  <c r="Y104" i="4"/>
  <c r="Y118" i="4" s="1"/>
  <c r="AK104" i="4"/>
  <c r="U104" i="4"/>
  <c r="U118" i="4" s="1"/>
  <c r="AJ104" i="4"/>
  <c r="T104" i="4"/>
  <c r="T118" i="4" s="1"/>
  <c r="Q104" i="4"/>
  <c r="Q118" i="4" s="1"/>
  <c r="AG104" i="4"/>
  <c r="AG118" i="4" s="1"/>
  <c r="R104" i="4"/>
  <c r="R118" i="4" s="1"/>
  <c r="AH104" i="4"/>
  <c r="W101" i="4"/>
  <c r="AI93" i="4"/>
  <c r="K17" i="2"/>
  <c r="K7" i="2"/>
  <c r="K18" i="2"/>
  <c r="K8" i="2"/>
  <c r="L2" i="2"/>
  <c r="AD153" i="4"/>
  <c r="AP152" i="4"/>
  <c r="K7" i="14"/>
  <c r="M29" i="4"/>
  <c r="G11" i="15" s="1"/>
  <c r="M6" i="4"/>
  <c r="M8" i="4"/>
  <c r="N9" i="4"/>
  <c r="M98" i="4"/>
  <c r="Y98" i="4" s="1"/>
  <c r="AK98" i="4" s="1"/>
  <c r="AW98" i="4" s="1"/>
  <c r="BI98" i="4" s="1"/>
  <c r="BU98" i="4" s="1"/>
  <c r="M161" i="4"/>
  <c r="M129" i="4"/>
  <c r="M95" i="4"/>
  <c r="AG152" i="6"/>
  <c r="M69" i="12"/>
  <c r="K11" i="14"/>
  <c r="K76" i="14" s="1"/>
  <c r="K68" i="13"/>
  <c r="AM152" i="4"/>
  <c r="AA153" i="4"/>
  <c r="AF86" i="4"/>
  <c r="AF90" i="4" s="1"/>
  <c r="AF88" i="4"/>
  <c r="AF87" i="4" s="1"/>
  <c r="AR84" i="4"/>
  <c r="AF89" i="4"/>
  <c r="S47" i="8"/>
  <c r="S48" i="8"/>
  <c r="S44" i="8"/>
  <c r="S46" i="8"/>
  <c r="S45" i="8"/>
  <c r="H9" i="11"/>
  <c r="G10" i="11"/>
  <c r="I9" i="11"/>
  <c r="J9" i="11"/>
  <c r="V153" i="4"/>
  <c r="AH152" i="4"/>
  <c r="AO93" i="4"/>
  <c r="BW178" i="4"/>
  <c r="S46" i="5"/>
  <c r="AK156" i="4"/>
  <c r="AJ158" i="4"/>
  <c r="AS93" i="4"/>
  <c r="W165" i="4"/>
  <c r="AI161" i="4"/>
  <c r="W168" i="4"/>
  <c r="H74" i="12"/>
  <c r="F75" i="12"/>
  <c r="I74" i="12"/>
  <c r="J74" i="12"/>
  <c r="H7" i="12"/>
  <c r="F8" i="12"/>
  <c r="I7" i="12"/>
  <c r="F9" i="13"/>
  <c r="E8" i="13" a="1"/>
  <c r="E8" i="13" s="1"/>
  <c r="N134" i="13"/>
  <c r="I135" i="6"/>
  <c r="AK152" i="4"/>
  <c r="Y153" i="4"/>
  <c r="F17" i="14"/>
  <c r="K17" i="14" s="1"/>
  <c r="H16" i="14"/>
  <c r="I16" i="14"/>
  <c r="L12" i="14"/>
  <c r="E80" i="14"/>
  <c r="G80" i="14" s="1"/>
  <c r="G72" i="13"/>
  <c r="AC153" i="4"/>
  <c r="AO152" i="4"/>
  <c r="E139" i="13"/>
  <c r="E74" i="13"/>
  <c r="G7" i="13"/>
  <c r="AF153" i="4"/>
  <c r="AR152" i="4"/>
  <c r="C7" i="7"/>
  <c r="F3" i="7"/>
  <c r="AD86" i="4"/>
  <c r="AD90" i="4" s="1"/>
  <c r="AP84" i="4"/>
  <c r="AD89" i="4"/>
  <c r="AD88" i="4"/>
  <c r="AD87" i="4" s="1"/>
  <c r="AB153" i="4"/>
  <c r="AN152" i="4"/>
  <c r="AH152" i="6"/>
  <c r="AE48" i="5"/>
  <c r="AE153" i="4"/>
  <c r="AQ152" i="4"/>
  <c r="AS152" i="4"/>
  <c r="AG153" i="4"/>
  <c r="AQ84" i="4"/>
  <c r="AE86" i="4"/>
  <c r="AE88" i="4"/>
  <c r="AE87" i="4" s="1"/>
  <c r="AE89" i="4"/>
  <c r="AE90" i="4" s="1"/>
  <c r="V86" i="4"/>
  <c r="AH84" i="4"/>
  <c r="V88" i="4"/>
  <c r="V87" i="4" s="1"/>
  <c r="V89" i="4"/>
  <c r="V90" i="4" s="1"/>
  <c r="AQ93" i="4"/>
  <c r="AK93" i="4"/>
  <c r="AE152" i="6"/>
  <c r="AB48" i="5"/>
  <c r="H37" i="5" a="1"/>
  <c r="H37" i="5" s="1"/>
  <c r="H34" i="5" a="1"/>
  <c r="H34" i="5" s="1"/>
  <c r="H28" i="5" a="1"/>
  <c r="H28" i="5" s="1"/>
  <c r="H29" i="5" a="1"/>
  <c r="H29" i="5" s="1"/>
  <c r="H35" i="5" a="1"/>
  <c r="H35" i="5" s="1"/>
  <c r="H31" i="5" a="1"/>
  <c r="H31" i="5" s="1"/>
  <c r="I8" i="5"/>
  <c r="H33" i="5" a="1"/>
  <c r="H33" i="5" s="1"/>
  <c r="H48" i="5" a="1"/>
  <c r="H48" i="5" s="1"/>
  <c r="AU152" i="4"/>
  <c r="AI153" i="4"/>
  <c r="D10" i="15"/>
  <c r="K30" i="4"/>
  <c r="AH161" i="4"/>
  <c r="V168" i="4"/>
  <c r="V165" i="4"/>
  <c r="AA152" i="6"/>
  <c r="S48" i="5"/>
  <c r="X101" i="4"/>
  <c r="AJ93" i="4"/>
  <c r="AN84" i="4"/>
  <c r="AB86" i="4"/>
  <c r="AB90" i="4" s="1"/>
  <c r="AB88" i="4"/>
  <c r="AB87" i="4" s="1"/>
  <c r="AB89" i="4"/>
  <c r="AA88" i="4"/>
  <c r="AA87" i="4" s="1"/>
  <c r="AM84" i="4"/>
  <c r="AA86" i="4"/>
  <c r="AA90" i="4" s="1"/>
  <c r="AA89" i="4"/>
  <c r="J90" i="4"/>
  <c r="G28" i="5" s="1" a="1"/>
  <c r="G28" i="5" s="1"/>
  <c r="AH129" i="4"/>
  <c r="R46" i="8"/>
  <c r="R47" i="8"/>
  <c r="R48" i="8"/>
  <c r="R45" i="8"/>
  <c r="R44" i="8"/>
  <c r="E81" i="14"/>
  <c r="G81" i="14" s="1"/>
  <c r="G73" i="13"/>
  <c r="I63" i="6" a="1"/>
  <c r="I63" i="6" s="1"/>
  <c r="I65" i="6" s="1"/>
  <c r="G31" i="5" a="1"/>
  <c r="G31" i="5" s="1"/>
  <c r="AL93" i="4"/>
  <c r="AI129" i="4"/>
  <c r="F140" i="12"/>
  <c r="AC48" i="5"/>
  <c r="AF152" i="6"/>
  <c r="AH93" i="4"/>
  <c r="V101" i="4"/>
  <c r="Y90" i="4"/>
  <c r="Y86" i="4"/>
  <c r="Y88" i="4"/>
  <c r="Y87" i="4" s="1"/>
  <c r="AK84" i="4"/>
  <c r="Y89" i="4"/>
  <c r="V150" i="6"/>
  <c r="AN93" i="4"/>
  <c r="D6" i="15"/>
  <c r="H8" i="14"/>
  <c r="H1" i="14"/>
  <c r="K13" i="4"/>
  <c r="AM93" i="4"/>
  <c r="L4" i="4"/>
  <c r="L46" i="4"/>
  <c r="T48" i="8"/>
  <c r="T44" i="8"/>
  <c r="T45" i="8"/>
  <c r="T47" i="8"/>
  <c r="T46" i="8"/>
  <c r="E73" i="12"/>
  <c r="E16" i="14" s="1"/>
  <c r="E7" i="12"/>
  <c r="L1" i="13"/>
  <c r="L68" i="12"/>
  <c r="M1" i="12"/>
  <c r="G15" i="2"/>
  <c r="C14" i="15"/>
  <c r="K8" i="12"/>
  <c r="L2" i="12"/>
  <c r="K7" i="12"/>
  <c r="W86" i="4"/>
  <c r="W88" i="4"/>
  <c r="W87" i="4" s="1"/>
  <c r="AI84" i="4"/>
  <c r="W89" i="4"/>
  <c r="W90" i="4" s="1"/>
  <c r="M134" i="12"/>
  <c r="AO84" i="4"/>
  <c r="AC86" i="4"/>
  <c r="AC88" i="4"/>
  <c r="AC87" i="4" s="1"/>
  <c r="AC90" i="4"/>
  <c r="AC89" i="4"/>
  <c r="Y48" i="5"/>
  <c r="AB152" i="6"/>
  <c r="L165" i="4"/>
  <c r="L168" i="4"/>
  <c r="X161" i="4"/>
  <c r="X153" i="4"/>
  <c r="AJ152" i="4"/>
  <c r="AT157" i="4"/>
  <c r="BF157" i="4" s="1"/>
  <c r="BR157" i="4" s="1"/>
  <c r="AH158" i="4"/>
  <c r="I152" i="6" a="1"/>
  <c r="I152" i="6" s="1"/>
  <c r="AP93" i="4"/>
  <c r="C20" i="7"/>
  <c r="C55" i="3"/>
  <c r="C24" i="7" s="1"/>
  <c r="B12" i="14"/>
  <c r="C12" i="14" s="1"/>
  <c r="B11" i="13"/>
  <c r="C11" i="13" s="1"/>
  <c r="B11" i="12"/>
  <c r="K8" i="6"/>
  <c r="J152" i="6" a="1"/>
  <c r="J152" i="6" s="1"/>
  <c r="J125" i="6" a="1"/>
  <c r="J125" i="6" s="1"/>
  <c r="J118" i="6" a="1"/>
  <c r="J118" i="6" s="1"/>
  <c r="J131" i="6" a="1"/>
  <c r="J131" i="6" s="1"/>
  <c r="J124" i="6" a="1"/>
  <c r="J124" i="6" s="1"/>
  <c r="J72" i="6" a="1"/>
  <c r="J72" i="6" s="1"/>
  <c r="J62" i="6" a="1"/>
  <c r="J62" i="6" s="1"/>
  <c r="J63" i="6" a="1"/>
  <c r="J63" i="6" s="1"/>
  <c r="J85" i="6" a="1"/>
  <c r="J85" i="6" s="1"/>
  <c r="J47" i="6" a="1"/>
  <c r="J47" i="6" s="1"/>
  <c r="J138" i="6" a="1"/>
  <c r="J138" i="6" s="1"/>
  <c r="J73" i="6" a="1"/>
  <c r="J73" i="6" s="1"/>
  <c r="J109" i="6" a="1"/>
  <c r="J109" i="6" s="1"/>
  <c r="J120" i="6" a="1"/>
  <c r="J120" i="6" s="1"/>
  <c r="J108" i="6" a="1"/>
  <c r="J108" i="6" s="1"/>
  <c r="J115" i="6" a="1"/>
  <c r="J115" i="6" s="1"/>
  <c r="J99" i="6" a="1"/>
  <c r="J99" i="6" s="1"/>
  <c r="J111" i="6" a="1"/>
  <c r="J111" i="6" s="1"/>
  <c r="J132" i="6" a="1"/>
  <c r="J132" i="6" s="1"/>
  <c r="J74" i="6" a="1"/>
  <c r="J74" i="6" s="1"/>
  <c r="J92" i="6" a="1"/>
  <c r="J92" i="6" s="1"/>
  <c r="J88" i="6" a="1"/>
  <c r="J88" i="6" s="1"/>
  <c r="J59" i="6" a="1"/>
  <c r="J59" i="6" s="1"/>
  <c r="J134" i="6" a="1"/>
  <c r="J134" i="6" s="1"/>
  <c r="J130" i="6" a="1"/>
  <c r="J130" i="6" s="1"/>
  <c r="J101" i="6" a="1"/>
  <c r="J101" i="6" s="1"/>
  <c r="J86" i="6" a="1"/>
  <c r="J86" i="6" s="1"/>
  <c r="J71" i="6" a="1"/>
  <c r="J71" i="6" s="1"/>
  <c r="J103" i="6" a="1"/>
  <c r="J103" i="6" s="1"/>
  <c r="J81" i="6" a="1"/>
  <c r="J81" i="6" s="1"/>
  <c r="J58" i="6" a="1"/>
  <c r="J58" i="6" s="1"/>
  <c r="J65" i="6" s="1"/>
  <c r="J70" i="6" a="1"/>
  <c r="J70" i="6" s="1"/>
  <c r="J106" i="6" a="1"/>
  <c r="J106" i="6" s="1"/>
  <c r="J102" i="6" a="1"/>
  <c r="J102" i="6" s="1"/>
  <c r="J113" i="6" a="1"/>
  <c r="J113" i="6" s="1"/>
  <c r="J112" i="6" a="1"/>
  <c r="J112" i="6" s="1"/>
  <c r="J68" i="6" a="1"/>
  <c r="J68" i="6" s="1"/>
  <c r="J119" i="6" a="1"/>
  <c r="J119" i="6" s="1"/>
  <c r="J75" i="6" a="1"/>
  <c r="J75" i="6" s="1"/>
  <c r="J89" i="6" a="1"/>
  <c r="J89" i="6" s="1"/>
  <c r="J64" i="6" a="1"/>
  <c r="J64" i="6" s="1"/>
  <c r="J139" i="6" a="1"/>
  <c r="J139" i="6" s="1"/>
  <c r="J84" i="6" a="1"/>
  <c r="J84" i="6" s="1"/>
  <c r="J80" i="6" a="1"/>
  <c r="J80" i="6" s="1"/>
  <c r="J49" i="6" a="1"/>
  <c r="J49" i="6" s="1"/>
  <c r="J87" i="6" a="1"/>
  <c r="J87" i="6" s="1"/>
  <c r="J105" i="6" a="1"/>
  <c r="J105" i="6" s="1"/>
  <c r="J83" i="6" a="1"/>
  <c r="J83" i="6" s="1"/>
  <c r="J90" i="6" a="1"/>
  <c r="J90" i="6" s="1"/>
  <c r="J100" i="6" a="1"/>
  <c r="J100" i="6" s="1"/>
  <c r="J141" i="6" a="1"/>
  <c r="J141" i="6" s="1"/>
  <c r="J96" i="6" a="1"/>
  <c r="J96" i="6" s="1"/>
  <c r="J50" i="6" a="1"/>
  <c r="J50" i="6" s="1"/>
  <c r="J126" i="6" a="1"/>
  <c r="J126" i="6" s="1"/>
  <c r="J82" i="6" a="1"/>
  <c r="J82" i="6" s="1"/>
  <c r="J107" i="6" a="1"/>
  <c r="J107" i="6" s="1"/>
  <c r="J46" i="6" a="1"/>
  <c r="J46" i="6" s="1"/>
  <c r="J60" i="6" a="1"/>
  <c r="J60" i="6" s="1"/>
  <c r="J98" i="6" a="1"/>
  <c r="J98" i="6" s="1"/>
  <c r="J91" i="6" a="1"/>
  <c r="J91" i="6" s="1"/>
  <c r="J69" i="6" a="1"/>
  <c r="J69" i="6" s="1"/>
  <c r="J97" i="6" a="1"/>
  <c r="J97" i="6" s="1"/>
  <c r="J140" i="6" a="1"/>
  <c r="J140" i="6" s="1"/>
  <c r="J133" i="6" a="1"/>
  <c r="J133" i="6" s="1"/>
  <c r="J104" i="6" a="1"/>
  <c r="J104" i="6" s="1"/>
  <c r="J114" i="6" a="1"/>
  <c r="J114" i="6" s="1"/>
  <c r="J110" i="6" a="1"/>
  <c r="J110" i="6" s="1"/>
  <c r="J61" i="6" a="1"/>
  <c r="J61" i="6" s="1"/>
  <c r="D6" i="13"/>
  <c r="D72" i="13"/>
  <c r="D80" i="14" s="1"/>
  <c r="J16" i="14"/>
  <c r="AG90" i="4"/>
  <c r="AG86" i="4"/>
  <c r="AG88" i="4"/>
  <c r="AG87" i="4" s="1"/>
  <c r="AS84" i="4"/>
  <c r="AG89" i="4"/>
  <c r="K4" i="4"/>
  <c r="K46" i="4"/>
  <c r="AL152" i="4"/>
  <c r="Z153" i="4"/>
  <c r="X86" i="4"/>
  <c r="X88" i="4"/>
  <c r="X87" i="4" s="1"/>
  <c r="X90" i="4"/>
  <c r="AJ84" i="4"/>
  <c r="X89" i="4"/>
  <c r="AR93" i="4"/>
  <c r="Z88" i="4"/>
  <c r="Z87" i="4" s="1"/>
  <c r="AL84" i="4"/>
  <c r="Z86" i="4"/>
  <c r="Z90" i="4" s="1"/>
  <c r="Z89" i="4"/>
  <c r="H72" i="13" l="1"/>
  <c r="AT152" i="4"/>
  <c r="AH153" i="4"/>
  <c r="Y129" i="4"/>
  <c r="AO118" i="4"/>
  <c r="BA104" i="4"/>
  <c r="AV152" i="4"/>
  <c r="AJ153" i="4"/>
  <c r="AL86" i="4"/>
  <c r="AL90" i="4" s="1"/>
  <c r="AX84" i="4"/>
  <c r="AL89" i="4"/>
  <c r="AL88" i="4"/>
  <c r="AL87" i="4" s="1"/>
  <c r="E82" i="14"/>
  <c r="G82" i="14" s="1"/>
  <c r="G74" i="13"/>
  <c r="AK158" i="4"/>
  <c r="AL156" i="4"/>
  <c r="J118" i="4"/>
  <c r="G32" i="5" s="1" a="1"/>
  <c r="G32" i="5" s="1"/>
  <c r="I79" i="6" a="1"/>
  <c r="I79" i="6" s="1"/>
  <c r="I93" i="6" s="1"/>
  <c r="AS118" i="4"/>
  <c r="BE104" i="4"/>
  <c r="H73" i="13"/>
  <c r="AT129" i="4"/>
  <c r="AU153" i="4"/>
  <c r="BG152" i="4"/>
  <c r="D7" i="13"/>
  <c r="D73" i="13"/>
  <c r="D81" i="14" s="1"/>
  <c r="BB93" i="4"/>
  <c r="X168" i="4"/>
  <c r="X165" i="4"/>
  <c r="AJ161" i="4"/>
  <c r="H81" i="14"/>
  <c r="AP86" i="4"/>
  <c r="AP88" i="4"/>
  <c r="AP87" i="4" s="1"/>
  <c r="AP90" i="4"/>
  <c r="BB84" i="4"/>
  <c r="AP89" i="4"/>
  <c r="H80" i="14"/>
  <c r="M12" i="14"/>
  <c r="H75" i="12"/>
  <c r="F76" i="12"/>
  <c r="I75" i="12"/>
  <c r="J75" i="12"/>
  <c r="K75" i="12"/>
  <c r="M168" i="4"/>
  <c r="M165" i="4"/>
  <c r="Y161" i="4"/>
  <c r="BB104" i="4"/>
  <c r="AP118" i="4"/>
  <c r="AJ88" i="4"/>
  <c r="AJ87" i="4" s="1"/>
  <c r="AV84" i="4"/>
  <c r="AJ86" i="4"/>
  <c r="AJ89" i="4"/>
  <c r="AJ90" i="4" s="1"/>
  <c r="I2" i="14"/>
  <c r="AW84" i="4"/>
  <c r="AK86" i="4"/>
  <c r="AK90" i="4" s="1"/>
  <c r="AK88" i="4"/>
  <c r="AK87" i="4" s="1"/>
  <c r="AK89" i="4"/>
  <c r="AY84" i="4"/>
  <c r="AM86" i="4"/>
  <c r="AM90" i="4" s="1"/>
  <c r="AM89" i="4"/>
  <c r="AM88" i="4"/>
  <c r="AM87" i="4" s="1"/>
  <c r="E10" i="15"/>
  <c r="L30" i="4"/>
  <c r="AH86" i="4"/>
  <c r="AH88" i="4"/>
  <c r="AH87" i="4" s="1"/>
  <c r="AH90" i="4"/>
  <c r="AT84" i="4"/>
  <c r="AH89" i="4"/>
  <c r="AQ88" i="4"/>
  <c r="AQ87" i="4" s="1"/>
  <c r="AQ86" i="4"/>
  <c r="BC84" i="4"/>
  <c r="AQ89" i="4"/>
  <c r="AQ90" i="4" s="1"/>
  <c r="AN153" i="4"/>
  <c r="AZ152" i="4"/>
  <c r="AU161" i="4"/>
  <c r="AI168" i="4"/>
  <c r="AI165" i="4"/>
  <c r="J10" i="11"/>
  <c r="I10" i="11"/>
  <c r="H10" i="11"/>
  <c r="G11" i="11"/>
  <c r="AV104" i="4"/>
  <c r="AJ118" i="4"/>
  <c r="AV129" i="4"/>
  <c r="E74" i="12"/>
  <c r="E17" i="14" s="1"/>
  <c r="E8" i="12"/>
  <c r="AH101" i="4"/>
  <c r="AT93" i="4"/>
  <c r="AU129" i="4"/>
  <c r="AO86" i="4"/>
  <c r="AO88" i="4"/>
  <c r="AO87" i="4" s="1"/>
  <c r="AO90" i="4" s="1"/>
  <c r="BA84" i="4"/>
  <c r="AO89" i="4"/>
  <c r="AI88" i="4"/>
  <c r="AI87" i="4" s="1"/>
  <c r="AI90" i="4"/>
  <c r="AU84" i="4"/>
  <c r="AI86" i="4"/>
  <c r="AI89" i="4"/>
  <c r="H17" i="14"/>
  <c r="F18" i="14"/>
  <c r="I17" i="14"/>
  <c r="J17" i="14"/>
  <c r="AM153" i="4"/>
  <c r="AY152" i="4"/>
  <c r="BB152" i="4"/>
  <c r="AP153" i="4"/>
  <c r="AL118" i="4"/>
  <c r="AX104" i="4"/>
  <c r="AN118" i="4"/>
  <c r="AZ104" i="4"/>
  <c r="BD93" i="4"/>
  <c r="BE84" i="4"/>
  <c r="AS88" i="4"/>
  <c r="AS87" i="4" s="1"/>
  <c r="AS86" i="4"/>
  <c r="AS90" i="4" s="1"/>
  <c r="AS89" i="4"/>
  <c r="AY93" i="4"/>
  <c r="AX93" i="4"/>
  <c r="AZ84" i="4"/>
  <c r="AN86" i="4"/>
  <c r="AN90" i="4" s="1"/>
  <c r="AN88" i="4"/>
  <c r="AN87" i="4" s="1"/>
  <c r="AN89" i="4"/>
  <c r="AH168" i="4"/>
  <c r="AH165" i="4"/>
  <c r="AT161" i="4"/>
  <c r="F4" i="7"/>
  <c r="F7" i="7"/>
  <c r="G3" i="7" s="1"/>
  <c r="J174" i="4"/>
  <c r="H6" i="13"/>
  <c r="O134" i="13"/>
  <c r="BX174" i="4"/>
  <c r="V154" i="6"/>
  <c r="S49" i="5"/>
  <c r="AL153" i="4"/>
  <c r="AX152" i="4"/>
  <c r="J79" i="6" a="1"/>
  <c r="J79" i="6" s="1"/>
  <c r="J93" i="6" s="1"/>
  <c r="J142" i="6"/>
  <c r="N134" i="12"/>
  <c r="AJ101" i="4"/>
  <c r="AV93" i="4"/>
  <c r="I28" i="5" a="1"/>
  <c r="I28" i="5" s="1"/>
  <c r="I35" i="5" a="1"/>
  <c r="I35" i="5" s="1"/>
  <c r="I31" i="5" a="1"/>
  <c r="I31" i="5" s="1"/>
  <c r="I48" i="5" a="1"/>
  <c r="I48" i="5" s="1"/>
  <c r="I33" i="5" a="1"/>
  <c r="I33" i="5" s="1"/>
  <c r="I32" i="5" a="1"/>
  <c r="I32" i="5" s="1"/>
  <c r="I34" i="5" a="1"/>
  <c r="I34" i="5" s="1"/>
  <c r="J8" i="5"/>
  <c r="I29" i="5" a="1"/>
  <c r="I29" i="5" s="1"/>
  <c r="I37" i="5" a="1"/>
  <c r="I37" i="5" s="1"/>
  <c r="AW93" i="4"/>
  <c r="AK153" i="4"/>
  <c r="AW152" i="4"/>
  <c r="E140" i="13"/>
  <c r="E75" i="13"/>
  <c r="G8" i="13"/>
  <c r="H8" i="12"/>
  <c r="F9" i="12"/>
  <c r="I8" i="12"/>
  <c r="J8" i="12"/>
  <c r="B13" i="14"/>
  <c r="C13" i="14" s="1"/>
  <c r="B12" i="13"/>
  <c r="C12" i="13" s="1"/>
  <c r="B12" i="12"/>
  <c r="C12" i="12" s="1"/>
  <c r="AR88" i="4"/>
  <c r="AR87" i="4" s="1"/>
  <c r="BD84" i="4"/>
  <c r="AR86" i="4"/>
  <c r="AR90" i="4" s="1"/>
  <c r="AR89" i="4"/>
  <c r="M76" i="12"/>
  <c r="N69" i="12"/>
  <c r="L7" i="14"/>
  <c r="N29" i="4"/>
  <c r="H11" i="15" s="1"/>
  <c r="O9" i="4"/>
  <c r="N6" i="4"/>
  <c r="N8" i="4"/>
  <c r="N98" i="4"/>
  <c r="Z98" i="4" s="1"/>
  <c r="AL98" i="4" s="1"/>
  <c r="AX98" i="4" s="1"/>
  <c r="BJ98" i="4" s="1"/>
  <c r="N161" i="4"/>
  <c r="N95" i="4"/>
  <c r="N129" i="4"/>
  <c r="L17" i="2"/>
  <c r="L8" i="2"/>
  <c r="L18" i="2"/>
  <c r="L7" i="2"/>
  <c r="AI101" i="4"/>
  <c r="AU93" i="4"/>
  <c r="AU104" i="4"/>
  <c r="AI118" i="4"/>
  <c r="M2" i="12"/>
  <c r="L8" i="12"/>
  <c r="L11" i="14"/>
  <c r="L76" i="14" s="1"/>
  <c r="L68" i="13"/>
  <c r="D7" i="15"/>
  <c r="D18" i="15"/>
  <c r="J76" i="6"/>
  <c r="J135" i="6"/>
  <c r="J127" i="6"/>
  <c r="K152" i="6" a="1"/>
  <c r="K152" i="6" s="1"/>
  <c r="L8" i="6"/>
  <c r="K58" i="6" a="1"/>
  <c r="K58" i="6" s="1"/>
  <c r="K73" i="6" a="1"/>
  <c r="K73" i="6" s="1"/>
  <c r="K60" i="6" a="1"/>
  <c r="K60" i="6" s="1"/>
  <c r="K97" i="6" a="1"/>
  <c r="K97" i="6" s="1"/>
  <c r="K90" i="6" a="1"/>
  <c r="K90" i="6" s="1"/>
  <c r="K68" i="6" a="1"/>
  <c r="K68" i="6" s="1"/>
  <c r="K96" i="6" a="1"/>
  <c r="K96" i="6" s="1"/>
  <c r="K139" i="6" a="1"/>
  <c r="K139" i="6" s="1"/>
  <c r="K132" i="6" a="1"/>
  <c r="K132" i="6" s="1"/>
  <c r="K99" i="6" a="1"/>
  <c r="K99" i="6" s="1"/>
  <c r="K113" i="6" a="1"/>
  <c r="K113" i="6" s="1"/>
  <c r="K72" i="6" a="1"/>
  <c r="K72" i="6" s="1"/>
  <c r="K100" i="6" a="1"/>
  <c r="K100" i="6" s="1"/>
  <c r="K85" i="6" a="1"/>
  <c r="K85" i="6" s="1"/>
  <c r="K79" i="6" a="1"/>
  <c r="K79" i="6" s="1"/>
  <c r="K124" i="6" a="1"/>
  <c r="K124" i="6" s="1"/>
  <c r="K130" i="6" a="1"/>
  <c r="K130" i="6" s="1"/>
  <c r="K120" i="6" a="1"/>
  <c r="K120" i="6" s="1"/>
  <c r="K119" i="6" a="1"/>
  <c r="K119" i="6" s="1"/>
  <c r="K107" i="6" a="1"/>
  <c r="K107" i="6" s="1"/>
  <c r="K109" i="6" a="1"/>
  <c r="K109" i="6" s="1"/>
  <c r="K131" i="6" a="1"/>
  <c r="K131" i="6" s="1"/>
  <c r="K134" i="6" a="1"/>
  <c r="K134" i="6" s="1"/>
  <c r="K62" i="6" a="1"/>
  <c r="K62" i="6" s="1"/>
  <c r="K75" i="6" a="1"/>
  <c r="K75" i="6" s="1"/>
  <c r="K110" i="6" a="1"/>
  <c r="K110" i="6" s="1"/>
  <c r="K91" i="6" a="1"/>
  <c r="K91" i="6" s="1"/>
  <c r="K63" i="6" a="1"/>
  <c r="K63" i="6" s="1"/>
  <c r="K133" i="6" a="1"/>
  <c r="K133" i="6" s="1"/>
  <c r="K126" i="6" a="1"/>
  <c r="K126" i="6" s="1"/>
  <c r="K111" i="6" a="1"/>
  <c r="K111" i="6" s="1"/>
  <c r="K114" i="6" a="1"/>
  <c r="K114" i="6" s="1"/>
  <c r="K59" i="6" a="1"/>
  <c r="K59" i="6" s="1"/>
  <c r="K102" i="6" a="1"/>
  <c r="K102" i="6" s="1"/>
  <c r="K80" i="6" a="1"/>
  <c r="K80" i="6" s="1"/>
  <c r="K98" i="6" a="1"/>
  <c r="K98" i="6" s="1"/>
  <c r="K69" i="6" a="1"/>
  <c r="K69" i="6" s="1"/>
  <c r="K50" i="6" a="1"/>
  <c r="K50" i="6" s="1"/>
  <c r="K141" i="6" a="1"/>
  <c r="K141" i="6" s="1"/>
  <c r="K105" i="6" a="1"/>
  <c r="K105" i="6" s="1"/>
  <c r="K112" i="6" a="1"/>
  <c r="K112" i="6" s="1"/>
  <c r="K140" i="6" a="1"/>
  <c r="K140" i="6" s="1"/>
  <c r="K89" i="6" a="1"/>
  <c r="K89" i="6" s="1"/>
  <c r="K64" i="6" a="1"/>
  <c r="K64" i="6" s="1"/>
  <c r="K118" i="6" a="1"/>
  <c r="K118" i="6" s="1"/>
  <c r="K74" i="6" a="1"/>
  <c r="K74" i="6" s="1"/>
  <c r="K47" i="6" a="1"/>
  <c r="K47" i="6" s="1"/>
  <c r="K87" i="6" a="1"/>
  <c r="K87" i="6" s="1"/>
  <c r="K88" i="6" a="1"/>
  <c r="K88" i="6" s="1"/>
  <c r="K138" i="6" a="1"/>
  <c r="K138" i="6" s="1"/>
  <c r="K106" i="6" a="1"/>
  <c r="K106" i="6" s="1"/>
  <c r="K84" i="6" a="1"/>
  <c r="K84" i="6" s="1"/>
  <c r="K49" i="6" a="1"/>
  <c r="K49" i="6" s="1"/>
  <c r="K83" i="6" a="1"/>
  <c r="K83" i="6" s="1"/>
  <c r="K104" i="6" a="1"/>
  <c r="K104" i="6" s="1"/>
  <c r="K82" i="6" a="1"/>
  <c r="K82" i="6" s="1"/>
  <c r="K125" i="6" a="1"/>
  <c r="K125" i="6" s="1"/>
  <c r="K81" i="6" a="1"/>
  <c r="K81" i="6" s="1"/>
  <c r="K101" i="6" a="1"/>
  <c r="K101" i="6" s="1"/>
  <c r="K92" i="6" a="1"/>
  <c r="K92" i="6" s="1"/>
  <c r="K70" i="6" a="1"/>
  <c r="K70" i="6" s="1"/>
  <c r="K61" i="6" a="1"/>
  <c r="K61" i="6" s="1"/>
  <c r="K108" i="6" a="1"/>
  <c r="K108" i="6" s="1"/>
  <c r="K86" i="6" a="1"/>
  <c r="K86" i="6" s="1"/>
  <c r="K115" i="6" a="1"/>
  <c r="K115" i="6" s="1"/>
  <c r="K71" i="6" a="1"/>
  <c r="K71" i="6" s="1"/>
  <c r="K46" i="6" a="1"/>
  <c r="K46" i="6" s="1"/>
  <c r="K103" i="6" a="1"/>
  <c r="K103" i="6" s="1"/>
  <c r="M1" i="13"/>
  <c r="M68" i="12"/>
  <c r="N1" i="12"/>
  <c r="F141" i="12"/>
  <c r="AS153" i="4"/>
  <c r="BE152" i="4"/>
  <c r="AR153" i="4"/>
  <c r="BD152" i="4"/>
  <c r="BA152" i="4"/>
  <c r="AO153" i="4"/>
  <c r="F10" i="13"/>
  <c r="E9" i="13" a="1"/>
  <c r="E9" i="13" s="1"/>
  <c r="BA93" i="4"/>
  <c r="L75" i="12"/>
  <c r="Y95" i="4"/>
  <c r="M101" i="4"/>
  <c r="M4" i="4"/>
  <c r="M46" i="4"/>
  <c r="AK118" i="4"/>
  <c r="AW104" i="4"/>
  <c r="BD104" i="4"/>
  <c r="AR118" i="4"/>
  <c r="BC104" i="4"/>
  <c r="AQ118" i="4"/>
  <c r="AY104" i="4"/>
  <c r="AM118" i="4"/>
  <c r="AZ93" i="4"/>
  <c r="BC93" i="4"/>
  <c r="BC152" i="4"/>
  <c r="AQ153" i="4"/>
  <c r="BE93" i="4"/>
  <c r="AT104" i="4"/>
  <c r="AH118" i="4"/>
  <c r="BF161" i="4" l="1"/>
  <c r="AT165" i="4"/>
  <c r="AT168" i="4"/>
  <c r="BJ93" i="4"/>
  <c r="AV118" i="4"/>
  <c r="BH104" i="4"/>
  <c r="BO84" i="4"/>
  <c r="BC89" i="4"/>
  <c r="BC86" i="4"/>
  <c r="BC88" i="4"/>
  <c r="BC87" i="4" s="1"/>
  <c r="BC90" i="4" s="1"/>
  <c r="BA118" i="4"/>
  <c r="BM104" i="4"/>
  <c r="BM118" i="4" s="1"/>
  <c r="E6" i="15"/>
  <c r="I8" i="14"/>
  <c r="I1" i="14"/>
  <c r="L13" i="4"/>
  <c r="BQ152" i="4"/>
  <c r="BQ153" i="4" s="1"/>
  <c r="BE153" i="4"/>
  <c r="M11" i="14"/>
  <c r="M76" i="14" s="1"/>
  <c r="M68" i="13"/>
  <c r="F6" i="7"/>
  <c r="J177" i="4" s="1"/>
  <c r="J175" i="4"/>
  <c r="AZ86" i="4"/>
  <c r="AZ88" i="4"/>
  <c r="AZ87" i="4" s="1"/>
  <c r="AZ90" i="4"/>
  <c r="BL84" i="4"/>
  <c r="AZ89" i="4"/>
  <c r="BJ104" i="4"/>
  <c r="BJ118" i="4" s="1"/>
  <c r="AX118" i="4"/>
  <c r="K76" i="6"/>
  <c r="BC153" i="4"/>
  <c r="BO152" i="4"/>
  <c r="BO153" i="4" s="1"/>
  <c r="G7" i="7"/>
  <c r="H3" i="7" s="1"/>
  <c r="G4" i="7"/>
  <c r="K174" i="4"/>
  <c r="Y168" i="4"/>
  <c r="Y165" i="4"/>
  <c r="AK161" i="4"/>
  <c r="BB86" i="4"/>
  <c r="BB88" i="4"/>
  <c r="BB87" i="4" s="1"/>
  <c r="BB90" i="4" s="1"/>
  <c r="BN84" i="4"/>
  <c r="BB89" i="4"/>
  <c r="AV153" i="4"/>
  <c r="BH152" i="4"/>
  <c r="BO93" i="4"/>
  <c r="K65" i="6"/>
  <c r="Z95" i="4"/>
  <c r="N101" i="4"/>
  <c r="BP84" i="4"/>
  <c r="BD86" i="4"/>
  <c r="BD88" i="4"/>
  <c r="BD87" i="4" s="1"/>
  <c r="BD90" i="4"/>
  <c r="BD89" i="4"/>
  <c r="F10" i="12"/>
  <c r="H9" i="12"/>
  <c r="I9" i="12"/>
  <c r="J9" i="12"/>
  <c r="K9" i="12"/>
  <c r="BG161" i="4"/>
  <c r="AU168" i="4"/>
  <c r="AU165" i="4"/>
  <c r="AY88" i="4"/>
  <c r="AY87" i="4" s="1"/>
  <c r="AY90" i="4" s="1"/>
  <c r="AY86" i="4"/>
  <c r="BK84" i="4"/>
  <c r="AY89" i="4"/>
  <c r="L152" i="6" a="1"/>
  <c r="L152" i="6" s="1"/>
  <c r="M8" i="6"/>
  <c r="L111" i="6" a="1"/>
  <c r="L111" i="6" s="1"/>
  <c r="L91" i="6" a="1"/>
  <c r="L91" i="6" s="1"/>
  <c r="L69" i="6" a="1"/>
  <c r="L69" i="6" s="1"/>
  <c r="L50" i="6" a="1"/>
  <c r="L50" i="6" s="1"/>
  <c r="L141" i="6" a="1"/>
  <c r="L141" i="6" s="1"/>
  <c r="L72" i="6" a="1"/>
  <c r="L72" i="6" s="1"/>
  <c r="L108" i="6" a="1"/>
  <c r="L108" i="6" s="1"/>
  <c r="L82" i="6" a="1"/>
  <c r="L82" i="6" s="1"/>
  <c r="L107" i="6" a="1"/>
  <c r="L107" i="6" s="1"/>
  <c r="L85" i="6" a="1"/>
  <c r="L85" i="6" s="1"/>
  <c r="L114" i="6" a="1"/>
  <c r="L114" i="6" s="1"/>
  <c r="L70" i="6" a="1"/>
  <c r="L70" i="6" s="1"/>
  <c r="L49" i="6" a="1"/>
  <c r="L49" i="6" s="1"/>
  <c r="L125" i="6" a="1"/>
  <c r="L125" i="6" s="1"/>
  <c r="L101" i="6" a="1"/>
  <c r="L101" i="6" s="1"/>
  <c r="L86" i="6" a="1"/>
  <c r="L86" i="6" s="1"/>
  <c r="L64" i="6" a="1"/>
  <c r="L64" i="6" s="1"/>
  <c r="L92" i="6" a="1"/>
  <c r="L92" i="6" s="1"/>
  <c r="L98" i="6" a="1"/>
  <c r="L98" i="6" s="1"/>
  <c r="L61" i="6" a="1"/>
  <c r="L61" i="6" s="1"/>
  <c r="L109" i="6" a="1"/>
  <c r="L109" i="6" s="1"/>
  <c r="L87" i="6" a="1"/>
  <c r="L87" i="6" s="1"/>
  <c r="L96" i="6" a="1"/>
  <c r="L96" i="6" s="1"/>
  <c r="L71" i="6" a="1"/>
  <c r="L71" i="6" s="1"/>
  <c r="L118" i="6" a="1"/>
  <c r="L118" i="6" s="1"/>
  <c r="L99" i="6" a="1"/>
  <c r="L99" i="6" s="1"/>
  <c r="L74" i="6" a="1"/>
  <c r="L74" i="6" s="1"/>
  <c r="L138" i="6" a="1"/>
  <c r="L138" i="6" s="1"/>
  <c r="L84" i="6" a="1"/>
  <c r="L84" i="6" s="1"/>
  <c r="L89" i="6" a="1"/>
  <c r="L89" i="6" s="1"/>
  <c r="L73" i="6" a="1"/>
  <c r="L73" i="6" s="1"/>
  <c r="L130" i="6" a="1"/>
  <c r="L130" i="6" s="1"/>
  <c r="L112" i="6" a="1"/>
  <c r="L112" i="6" s="1"/>
  <c r="L100" i="6" a="1"/>
  <c r="L100" i="6" s="1"/>
  <c r="L46" i="6" a="1"/>
  <c r="L46" i="6" s="1"/>
  <c r="L106" i="6" a="1"/>
  <c r="L106" i="6" s="1"/>
  <c r="L60" i="6" a="1"/>
  <c r="L60" i="6" s="1"/>
  <c r="L119" i="6" a="1"/>
  <c r="L119" i="6" s="1"/>
  <c r="L103" i="6" a="1"/>
  <c r="L103" i="6" s="1"/>
  <c r="L124" i="6" a="1"/>
  <c r="L124" i="6" s="1"/>
  <c r="L102" i="6" a="1"/>
  <c r="L102" i="6" s="1"/>
  <c r="L120" i="6" a="1"/>
  <c r="L120" i="6" s="1"/>
  <c r="L79" i="6" a="1"/>
  <c r="L79" i="6" s="1"/>
  <c r="L93" i="6" s="1"/>
  <c r="L63" i="6" a="1"/>
  <c r="L63" i="6" s="1"/>
  <c r="L133" i="6" a="1"/>
  <c r="L133" i="6" s="1"/>
  <c r="L126" i="6" a="1"/>
  <c r="L126" i="6" s="1"/>
  <c r="L47" i="6" a="1"/>
  <c r="L47" i="6" s="1"/>
  <c r="L88" i="6" a="1"/>
  <c r="L88" i="6" s="1"/>
  <c r="L75" i="6" a="1"/>
  <c r="L75" i="6" s="1"/>
  <c r="L62" i="6" a="1"/>
  <c r="L62" i="6" s="1"/>
  <c r="L110" i="6" a="1"/>
  <c r="L110" i="6" s="1"/>
  <c r="L131" i="6" a="1"/>
  <c r="L131" i="6" s="1"/>
  <c r="L113" i="6" a="1"/>
  <c r="L113" i="6" s="1"/>
  <c r="L80" i="6" a="1"/>
  <c r="L80" i="6" s="1"/>
  <c r="L97" i="6" a="1"/>
  <c r="L97" i="6" s="1"/>
  <c r="L90" i="6" a="1"/>
  <c r="L90" i="6" s="1"/>
  <c r="L140" i="6" a="1"/>
  <c r="L140" i="6" s="1"/>
  <c r="L139" i="6" a="1"/>
  <c r="L139" i="6" s="1"/>
  <c r="L132" i="6" a="1"/>
  <c r="L132" i="6" s="1"/>
  <c r="L58" i="6" a="1"/>
  <c r="L58" i="6" s="1"/>
  <c r="L59" i="6" a="1"/>
  <c r="L59" i="6" s="1"/>
  <c r="L81" i="6" a="1"/>
  <c r="L81" i="6" s="1"/>
  <c r="L134" i="6" a="1"/>
  <c r="L134" i="6" s="1"/>
  <c r="L105" i="6" a="1"/>
  <c r="L105" i="6" s="1"/>
  <c r="L83" i="6" a="1"/>
  <c r="L83" i="6" s="1"/>
  <c r="L68" i="6" a="1"/>
  <c r="L68" i="6" s="1"/>
  <c r="L104" i="6" a="1"/>
  <c r="L104" i="6" s="1"/>
  <c r="L115" i="6" a="1"/>
  <c r="L115" i="6" s="1"/>
  <c r="Z161" i="4"/>
  <c r="N165" i="4"/>
  <c r="N168" i="4"/>
  <c r="BD118" i="4"/>
  <c r="BP104" i="4"/>
  <c r="BP118" i="4" s="1"/>
  <c r="K142" i="6"/>
  <c r="K135" i="6"/>
  <c r="M9" i="12"/>
  <c r="N2" i="12"/>
  <c r="M10" i="12"/>
  <c r="E83" i="14"/>
  <c r="G83" i="14" s="1"/>
  <c r="G75" i="13"/>
  <c r="J35" i="5" a="1"/>
  <c r="J35" i="5" s="1"/>
  <c r="J32" i="5" a="1"/>
  <c r="J32" i="5" s="1"/>
  <c r="J48" i="5" a="1"/>
  <c r="J48" i="5" s="1"/>
  <c r="J33" i="5" a="1"/>
  <c r="J33" i="5" s="1"/>
  <c r="J37" i="5" a="1"/>
  <c r="J37" i="5" s="1"/>
  <c r="J34" i="5" a="1"/>
  <c r="J34" i="5" s="1"/>
  <c r="J28" i="5" a="1"/>
  <c r="J28" i="5" s="1"/>
  <c r="K8" i="5"/>
  <c r="J29" i="5" a="1"/>
  <c r="J29" i="5" s="1"/>
  <c r="J31" i="5" a="1"/>
  <c r="J31" i="5" s="1"/>
  <c r="B14" i="14"/>
  <c r="C14" i="14" s="1"/>
  <c r="B13" i="13"/>
  <c r="C13" i="13" s="1"/>
  <c r="B13" i="12"/>
  <c r="C13" i="12" s="1"/>
  <c r="AK129" i="4"/>
  <c r="BJ152" i="4"/>
  <c r="BJ153" i="4" s="1"/>
  <c r="AX153" i="4"/>
  <c r="BQ84" i="4"/>
  <c r="BE86" i="4"/>
  <c r="BE88" i="4"/>
  <c r="BE87" i="4" s="1"/>
  <c r="BE90" i="4" s="1"/>
  <c r="BE89" i="4"/>
  <c r="H18" i="14"/>
  <c r="F19" i="14"/>
  <c r="I18" i="14"/>
  <c r="J18" i="14"/>
  <c r="K18" i="14"/>
  <c r="BM84" i="4"/>
  <c r="BA88" i="4"/>
  <c r="BA87" i="4" s="1"/>
  <c r="BA90" i="4" s="1"/>
  <c r="BA86" i="4"/>
  <c r="BA89" i="4"/>
  <c r="BF93" i="4"/>
  <c r="AT101" i="4"/>
  <c r="J11" i="11"/>
  <c r="I11" i="11"/>
  <c r="H11" i="11"/>
  <c r="G12" i="11"/>
  <c r="F10" i="15"/>
  <c r="M30" i="4"/>
  <c r="BH84" i="4"/>
  <c r="AV86" i="4"/>
  <c r="AV90" i="4" s="1"/>
  <c r="AV89" i="4"/>
  <c r="AV88" i="4"/>
  <c r="AV87" i="4" s="1"/>
  <c r="D74" i="13"/>
  <c r="D82" i="14" s="1"/>
  <c r="D8" i="13"/>
  <c r="H8" i="13" s="1"/>
  <c r="AT118" i="4"/>
  <c r="BF104" i="4"/>
  <c r="BL93" i="4"/>
  <c r="AW118" i="4"/>
  <c r="BI104" i="4"/>
  <c r="BM93" i="4"/>
  <c r="E141" i="13"/>
  <c r="E76" i="13"/>
  <c r="G9" i="13"/>
  <c r="K127" i="6"/>
  <c r="L9" i="12"/>
  <c r="N4" i="4"/>
  <c r="N46" i="4"/>
  <c r="D14" i="15"/>
  <c r="BK93" i="4"/>
  <c r="BP93" i="4"/>
  <c r="BB153" i="4"/>
  <c r="BN152" i="4"/>
  <c r="BN153" i="4" s="1"/>
  <c r="BS152" i="4"/>
  <c r="BS153" i="4" s="1"/>
  <c r="BG153" i="4"/>
  <c r="E10" i="13" a="1"/>
  <c r="E10" i="13" s="1"/>
  <c r="F11" i="13"/>
  <c r="H141" i="12"/>
  <c r="F142" i="12"/>
  <c r="K93" i="6"/>
  <c r="BG104" i="4"/>
  <c r="AU118" i="4"/>
  <c r="BI152" i="4"/>
  <c r="AW153" i="4"/>
  <c r="O134" i="12"/>
  <c r="BK152" i="4"/>
  <c r="BK153" i="4" s="1"/>
  <c r="AY153" i="4"/>
  <c r="E75" i="12"/>
  <c r="E18" i="14" s="1"/>
  <c r="E9" i="12"/>
  <c r="M19" i="14"/>
  <c r="N12" i="14"/>
  <c r="AJ165" i="4"/>
  <c r="AV161" i="4"/>
  <c r="AJ168" i="4"/>
  <c r="AX86" i="4"/>
  <c r="AX90" i="4" s="1"/>
  <c r="AX88" i="4"/>
  <c r="AX87" i="4" s="1"/>
  <c r="BJ84" i="4"/>
  <c r="AX89" i="4"/>
  <c r="BN93" i="4"/>
  <c r="BO104" i="4"/>
  <c r="BO118" i="4" s="1"/>
  <c r="BC118" i="4"/>
  <c r="BE118" i="4"/>
  <c r="BQ104" i="4"/>
  <c r="BQ118" i="4" s="1"/>
  <c r="P134" i="13"/>
  <c r="BI84" i="4"/>
  <c r="AW86" i="4"/>
  <c r="AW90" i="4" s="1"/>
  <c r="AW88" i="4"/>
  <c r="AW87" i="4" s="1"/>
  <c r="AW89" i="4"/>
  <c r="H76" i="12"/>
  <c r="F77" i="12"/>
  <c r="I76" i="12"/>
  <c r="J76" i="12"/>
  <c r="K76" i="12"/>
  <c r="L76" i="12"/>
  <c r="L18" i="14"/>
  <c r="BF129" i="4"/>
  <c r="AL158" i="4"/>
  <c r="AM156" i="4"/>
  <c r="BG129" i="4"/>
  <c r="H82" i="14"/>
  <c r="BQ93" i="4"/>
  <c r="AU101" i="4"/>
  <c r="BG93" i="4"/>
  <c r="M7" i="14"/>
  <c r="P9" i="4"/>
  <c r="O8" i="4"/>
  <c r="O29" i="4"/>
  <c r="I11" i="15" s="1"/>
  <c r="O98" i="4"/>
  <c r="AA98" i="4" s="1"/>
  <c r="AM98" i="4" s="1"/>
  <c r="AY98" i="4" s="1"/>
  <c r="BK98" i="4" s="1"/>
  <c r="O161" i="4"/>
  <c r="O6" i="4"/>
  <c r="O95" i="4"/>
  <c r="O129" i="4"/>
  <c r="BK104" i="4"/>
  <c r="BK118" i="4" s="1"/>
  <c r="AY118" i="4"/>
  <c r="BA153" i="4"/>
  <c r="BM152" i="4"/>
  <c r="BM153" i="4" s="1"/>
  <c r="BP152" i="4"/>
  <c r="BP153" i="4" s="1"/>
  <c r="BD153" i="4"/>
  <c r="N1" i="13"/>
  <c r="O1" i="12"/>
  <c r="N68" i="12"/>
  <c r="N77" i="12"/>
  <c r="O69" i="12"/>
  <c r="BI93" i="4"/>
  <c r="BH93" i="4"/>
  <c r="AV101" i="4"/>
  <c r="BX178" i="4"/>
  <c r="W150" i="6"/>
  <c r="T46" i="5"/>
  <c r="J178" i="4"/>
  <c r="I150" i="6" a="1"/>
  <c r="I150" i="6" s="1"/>
  <c r="G46" i="5" a="1"/>
  <c r="G46" i="5" s="1"/>
  <c r="BL104" i="4"/>
  <c r="BL118" i="4" s="1"/>
  <c r="AZ118" i="4"/>
  <c r="BG84" i="4"/>
  <c r="AU86" i="4"/>
  <c r="AU90" i="4" s="1"/>
  <c r="AU89" i="4"/>
  <c r="AU88" i="4"/>
  <c r="AU87" i="4" s="1"/>
  <c r="BH129" i="4"/>
  <c r="AZ153" i="4"/>
  <c r="BL152" i="4"/>
  <c r="BL153" i="4" s="1"/>
  <c r="AT86" i="4"/>
  <c r="BF84" i="4"/>
  <c r="AT89" i="4"/>
  <c r="AT88" i="4"/>
  <c r="AT87" i="4" s="1"/>
  <c r="AT90" i="4" s="1"/>
  <c r="BB118" i="4"/>
  <c r="BN104" i="4"/>
  <c r="BN118" i="4" s="1"/>
  <c r="AT153" i="4"/>
  <c r="BF152" i="4"/>
  <c r="Z129" i="4"/>
  <c r="AK95" i="4"/>
  <c r="Y101" i="4"/>
  <c r="H7" i="13"/>
  <c r="E142" i="13" l="1"/>
  <c r="E77" i="13"/>
  <c r="G10" i="13"/>
  <c r="E84" i="14"/>
  <c r="G84" i="14" s="1"/>
  <c r="G76" i="13"/>
  <c r="BR104" i="4"/>
  <c r="BR118" i="4" s="1"/>
  <c r="BF118" i="4"/>
  <c r="BQ86" i="4"/>
  <c r="BQ90" i="4" s="1"/>
  <c r="BQ88" i="4"/>
  <c r="BQ87" i="4" s="1"/>
  <c r="BQ89" i="4"/>
  <c r="L76" i="6"/>
  <c r="L65" i="6"/>
  <c r="BN86" i="4"/>
  <c r="BN88" i="4"/>
  <c r="BN87" i="4" s="1"/>
  <c r="BN90" i="4" s="1"/>
  <c r="BN89" i="4"/>
  <c r="G6" i="7"/>
  <c r="K177" i="4" s="1"/>
  <c r="K175" i="4"/>
  <c r="BO88" i="4"/>
  <c r="BO87" i="4" s="1"/>
  <c r="BO86" i="4"/>
  <c r="BO89" i="4"/>
  <c r="BO90" i="4"/>
  <c r="BY174" i="4"/>
  <c r="W154" i="6"/>
  <c r="T49" i="5"/>
  <c r="O46" i="4"/>
  <c r="O4" i="4"/>
  <c r="O2" i="4" s="1"/>
  <c r="AV168" i="4"/>
  <c r="AV165" i="4"/>
  <c r="BH161" i="4"/>
  <c r="BH86" i="4"/>
  <c r="BH88" i="4"/>
  <c r="BH87" i="4" s="1"/>
  <c r="BH90" i="4" s="1"/>
  <c r="BT84" i="4"/>
  <c r="BH89" i="4"/>
  <c r="M152" i="6" a="1"/>
  <c r="M152" i="6" s="1"/>
  <c r="N8" i="6"/>
  <c r="M105" i="6" a="1"/>
  <c r="M105" i="6" s="1"/>
  <c r="M68" i="6" a="1"/>
  <c r="M68" i="6" s="1"/>
  <c r="M82" i="6" a="1"/>
  <c r="M82" i="6" s="1"/>
  <c r="M58" i="6" a="1"/>
  <c r="M58" i="6" s="1"/>
  <c r="M125" i="6" a="1"/>
  <c r="M125" i="6" s="1"/>
  <c r="M103" i="6" a="1"/>
  <c r="M103" i="6" s="1"/>
  <c r="M49" i="6" a="1"/>
  <c r="M49" i="6" s="1"/>
  <c r="M50" i="6" a="1"/>
  <c r="M50" i="6" s="1"/>
  <c r="M130" i="6" a="1"/>
  <c r="M130" i="6" s="1"/>
  <c r="M119" i="6" a="1"/>
  <c r="M119" i="6" s="1"/>
  <c r="M71" i="6" a="1"/>
  <c r="M71" i="6" s="1"/>
  <c r="M64" i="6" a="1"/>
  <c r="M64" i="6" s="1"/>
  <c r="M107" i="6" a="1"/>
  <c r="M107" i="6" s="1"/>
  <c r="M96" i="6" a="1"/>
  <c r="M96" i="6" s="1"/>
  <c r="M114" i="6" a="1"/>
  <c r="M114" i="6" s="1"/>
  <c r="M59" i="6" a="1"/>
  <c r="M59" i="6" s="1"/>
  <c r="M133" i="6" a="1"/>
  <c r="M133" i="6" s="1"/>
  <c r="M140" i="6" a="1"/>
  <c r="M140" i="6" s="1"/>
  <c r="M100" i="6" a="1"/>
  <c r="M100" i="6" s="1"/>
  <c r="M46" i="6" a="1"/>
  <c r="M46" i="6" s="1"/>
  <c r="M85" i="6" a="1"/>
  <c r="M85" i="6" s="1"/>
  <c r="M106" i="6" a="1"/>
  <c r="M106" i="6" s="1"/>
  <c r="M84" i="6" a="1"/>
  <c r="M84" i="6" s="1"/>
  <c r="M60" i="6" a="1"/>
  <c r="M60" i="6" s="1"/>
  <c r="M61" i="6" a="1"/>
  <c r="M61" i="6" s="1"/>
  <c r="M83" i="6" a="1"/>
  <c r="M83" i="6" s="1"/>
  <c r="M108" i="6" a="1"/>
  <c r="M108" i="6" s="1"/>
  <c r="M86" i="6" a="1"/>
  <c r="M86" i="6" s="1"/>
  <c r="M132" i="6" a="1"/>
  <c r="M132" i="6" s="1"/>
  <c r="M118" i="6" a="1"/>
  <c r="M118" i="6" s="1"/>
  <c r="M81" i="6" a="1"/>
  <c r="M81" i="6" s="1"/>
  <c r="M73" i="6" a="1"/>
  <c r="M73" i="6" s="1"/>
  <c r="M113" i="6" a="1"/>
  <c r="M113" i="6" s="1"/>
  <c r="M97" i="6" a="1"/>
  <c r="M97" i="6" s="1"/>
  <c r="M72" i="6" a="1"/>
  <c r="M72" i="6" s="1"/>
  <c r="M126" i="6" a="1"/>
  <c r="M126" i="6" s="1"/>
  <c r="M99" i="6" a="1"/>
  <c r="M99" i="6" s="1"/>
  <c r="M92" i="6" a="1"/>
  <c r="M92" i="6" s="1"/>
  <c r="M70" i="6" a="1"/>
  <c r="M70" i="6" s="1"/>
  <c r="M110" i="6" a="1"/>
  <c r="M110" i="6" s="1"/>
  <c r="M88" i="6" a="1"/>
  <c r="M88" i="6" s="1"/>
  <c r="M131" i="6" a="1"/>
  <c r="M131" i="6" s="1"/>
  <c r="M98" i="6" a="1"/>
  <c r="M98" i="6" s="1"/>
  <c r="M141" i="6" a="1"/>
  <c r="M141" i="6" s="1"/>
  <c r="M134" i="6" a="1"/>
  <c r="M134" i="6" s="1"/>
  <c r="M69" i="6" a="1"/>
  <c r="M69" i="6" s="1"/>
  <c r="M120" i="6" a="1"/>
  <c r="M120" i="6" s="1"/>
  <c r="M101" i="6" a="1"/>
  <c r="M101" i="6" s="1"/>
  <c r="M115" i="6" a="1"/>
  <c r="M115" i="6" s="1"/>
  <c r="M104" i="6" a="1"/>
  <c r="M104" i="6" s="1"/>
  <c r="M75" i="6" a="1"/>
  <c r="M75" i="6" s="1"/>
  <c r="M111" i="6" a="1"/>
  <c r="M111" i="6" s="1"/>
  <c r="M87" i="6" a="1"/>
  <c r="M87" i="6" s="1"/>
  <c r="M62" i="6" a="1"/>
  <c r="M62" i="6" s="1"/>
  <c r="M63" i="6" a="1"/>
  <c r="M63" i="6" s="1"/>
  <c r="M112" i="6" a="1"/>
  <c r="M112" i="6" s="1"/>
  <c r="M90" i="6" a="1"/>
  <c r="M90" i="6" s="1"/>
  <c r="M89" i="6" a="1"/>
  <c r="M89" i="6" s="1"/>
  <c r="M47" i="6" a="1"/>
  <c r="M47" i="6" s="1"/>
  <c r="M74" i="6" a="1"/>
  <c r="M74" i="6" s="1"/>
  <c r="M102" i="6" a="1"/>
  <c r="M102" i="6" s="1"/>
  <c r="M109" i="6" a="1"/>
  <c r="M109" i="6" s="1"/>
  <c r="M139" i="6" a="1"/>
  <c r="M139" i="6" s="1"/>
  <c r="M91" i="6" a="1"/>
  <c r="M91" i="6" s="1"/>
  <c r="M79" i="6" a="1"/>
  <c r="M79" i="6" s="1"/>
  <c r="M138" i="6" a="1"/>
  <c r="M138" i="6" s="1"/>
  <c r="M142" i="6" s="1"/>
  <c r="M124" i="6" a="1"/>
  <c r="M124" i="6" s="1"/>
  <c r="M80" i="6" a="1"/>
  <c r="M80" i="6" s="1"/>
  <c r="AL95" i="4"/>
  <c r="Z101" i="4"/>
  <c r="H7" i="7"/>
  <c r="I3" i="7" s="1"/>
  <c r="H4" i="7"/>
  <c r="L174" i="4"/>
  <c r="BL88" i="4"/>
  <c r="BL87" i="4" s="1"/>
  <c r="BL90" i="4" s="1"/>
  <c r="BL89" i="4"/>
  <c r="BL86" i="4"/>
  <c r="BF168" i="4"/>
  <c r="BF165" i="4"/>
  <c r="BR161" i="4"/>
  <c r="N20" i="14"/>
  <c r="O12" i="14"/>
  <c r="K32" i="5" a="1"/>
  <c r="K32" i="5" s="1"/>
  <c r="K37" i="5" a="1"/>
  <c r="K37" i="5" s="1"/>
  <c r="K34" i="5" a="1"/>
  <c r="K34" i="5" s="1"/>
  <c r="L8" i="5"/>
  <c r="K29" i="5" a="1"/>
  <c r="K29" i="5" s="1"/>
  <c r="K28" i="5" a="1"/>
  <c r="K28" i="5" s="1"/>
  <c r="K48" i="5" a="1"/>
  <c r="K48" i="5" s="1"/>
  <c r="K33" i="5" a="1"/>
  <c r="K33" i="5" s="1"/>
  <c r="K35" i="5" a="1"/>
  <c r="K35" i="5" s="1"/>
  <c r="K31" i="5" a="1"/>
  <c r="K31" i="5" s="1"/>
  <c r="L142" i="6"/>
  <c r="F11" i="12"/>
  <c r="H10" i="12"/>
  <c r="I10" i="12"/>
  <c r="J10" i="12"/>
  <c r="K10" i="12"/>
  <c r="L10" i="12"/>
  <c r="E7" i="15"/>
  <c r="E18" i="15"/>
  <c r="J32" i="4"/>
  <c r="H137" i="12"/>
  <c r="H138" i="12"/>
  <c r="H135" i="12"/>
  <c r="H136" i="12"/>
  <c r="H139" i="12"/>
  <c r="H140" i="12"/>
  <c r="D75" i="13"/>
  <c r="D83" i="14" s="1"/>
  <c r="D9" i="13"/>
  <c r="BF101" i="4"/>
  <c r="BR93" i="4"/>
  <c r="BR101" i="4" s="1"/>
  <c r="L127" i="6"/>
  <c r="BR84" i="4"/>
  <c r="BF86" i="4"/>
  <c r="BF90" i="4" s="1"/>
  <c r="BF88" i="4"/>
  <c r="BF87" i="4" s="1"/>
  <c r="BF89" i="4"/>
  <c r="AA95" i="4"/>
  <c r="O101" i="4"/>
  <c r="BG101" i="4"/>
  <c r="BS93" i="4"/>
  <c r="BS101" i="4" s="1"/>
  <c r="BJ86" i="4"/>
  <c r="BJ90" i="4" s="1"/>
  <c r="BJ88" i="4"/>
  <c r="BJ87" i="4" s="1"/>
  <c r="BJ89" i="4"/>
  <c r="G10" i="15"/>
  <c r="N30" i="4"/>
  <c r="F20" i="14"/>
  <c r="H19" i="14"/>
  <c r="I19" i="14"/>
  <c r="J19" i="14"/>
  <c r="K19" i="14"/>
  <c r="L19" i="14"/>
  <c r="AL161" i="4"/>
  <c r="Z168" i="4"/>
  <c r="Z165" i="4"/>
  <c r="BT104" i="4"/>
  <c r="BT118" i="4" s="1"/>
  <c r="BH118" i="4"/>
  <c r="BT129" i="4"/>
  <c r="AM158" i="4"/>
  <c r="AN156" i="4"/>
  <c r="BU84" i="4"/>
  <c r="BI86" i="4"/>
  <c r="BI88" i="4"/>
  <c r="BI87" i="4" s="1"/>
  <c r="BI90" i="4" s="1"/>
  <c r="BI89" i="4"/>
  <c r="O1" i="13"/>
  <c r="O68" i="12"/>
  <c r="P1" i="12"/>
  <c r="BI118" i="4"/>
  <c r="BU104" i="4"/>
  <c r="BU118" i="4" s="1"/>
  <c r="AW129" i="4"/>
  <c r="AW161" i="4"/>
  <c r="AK165" i="4"/>
  <c r="AK168" i="4"/>
  <c r="P134" i="12"/>
  <c r="N7" i="14"/>
  <c r="Q9" i="4"/>
  <c r="P8" i="4"/>
  <c r="P29" i="4"/>
  <c r="J11" i="15" s="1"/>
  <c r="P6" i="4"/>
  <c r="P95" i="4"/>
  <c r="P129" i="4"/>
  <c r="P98" i="4"/>
  <c r="AB98" i="4" s="1"/>
  <c r="AN98" i="4" s="1"/>
  <c r="AZ98" i="4" s="1"/>
  <c r="BL98" i="4" s="1"/>
  <c r="P161" i="4"/>
  <c r="BS129" i="4"/>
  <c r="AL129" i="4"/>
  <c r="BH101" i="4"/>
  <c r="BT93" i="4"/>
  <c r="BT101" i="4" s="1"/>
  <c r="P69" i="12"/>
  <c r="AA129" i="4"/>
  <c r="E10" i="12"/>
  <c r="E76" i="12"/>
  <c r="E19" i="14" s="1"/>
  <c r="BU93" i="4"/>
  <c r="BR152" i="4"/>
  <c r="BR153" i="4" s="1"/>
  <c r="BF153" i="4"/>
  <c r="G49" i="5" a="1"/>
  <c r="G49" i="5" s="1"/>
  <c r="I154" i="6" a="1"/>
  <c r="I154" i="6" s="1"/>
  <c r="N11" i="14"/>
  <c r="N76" i="14" s="1"/>
  <c r="N68" i="13"/>
  <c r="O165" i="4"/>
  <c r="O168" i="4"/>
  <c r="AA161" i="4"/>
  <c r="BR129" i="4"/>
  <c r="I77" i="12"/>
  <c r="F78" i="12"/>
  <c r="H77" i="12"/>
  <c r="J77" i="12"/>
  <c r="K77" i="12"/>
  <c r="L77" i="12"/>
  <c r="M77" i="12"/>
  <c r="H142" i="12"/>
  <c r="F143" i="12"/>
  <c r="J12" i="11"/>
  <c r="I12" i="11"/>
  <c r="G13" i="11"/>
  <c r="H12" i="11"/>
  <c r="H75" i="13"/>
  <c r="L135" i="6"/>
  <c r="BG168" i="4"/>
  <c r="BG165" i="4"/>
  <c r="BS161" i="4"/>
  <c r="BT152" i="4"/>
  <c r="BT153" i="4" s="1"/>
  <c r="BH153" i="4"/>
  <c r="G47" i="5" a="1"/>
  <c r="G47" i="5" s="1"/>
  <c r="I151" i="6" a="1"/>
  <c r="I151" i="6" s="1"/>
  <c r="H74" i="13"/>
  <c r="B15" i="14"/>
  <c r="C15" i="14" s="1"/>
  <c r="B14" i="13"/>
  <c r="C14" i="13" s="1"/>
  <c r="B14" i="12"/>
  <c r="C14" i="12" s="1"/>
  <c r="H83" i="14"/>
  <c r="J2" i="14"/>
  <c r="AW95" i="4"/>
  <c r="AK101" i="4"/>
  <c r="BG88" i="4"/>
  <c r="BG87" i="4" s="1"/>
  <c r="BG86" i="4"/>
  <c r="BG90" i="4" s="1"/>
  <c r="BS84" i="4"/>
  <c r="BG89" i="4"/>
  <c r="Q134" i="13"/>
  <c r="BI153" i="4"/>
  <c r="BU152" i="4"/>
  <c r="BU153" i="4" s="1"/>
  <c r="BS104" i="4"/>
  <c r="BS118" i="4" s="1"/>
  <c r="BG118" i="4"/>
  <c r="F12" i="13"/>
  <c r="E11" i="13" a="1"/>
  <c r="E11" i="13" s="1"/>
  <c r="H9" i="13"/>
  <c r="BM86" i="4"/>
  <c r="BM90" i="4" s="1"/>
  <c r="BM88" i="4"/>
  <c r="BM87" i="4" s="1"/>
  <c r="BM89" i="4"/>
  <c r="N10" i="12"/>
  <c r="N11" i="12"/>
  <c r="O2" i="12"/>
  <c r="BK88" i="4"/>
  <c r="BK87" i="4" s="1"/>
  <c r="BK86" i="4"/>
  <c r="BK90" i="4" s="1"/>
  <c r="BK89" i="4"/>
  <c r="BP86" i="4"/>
  <c r="BP88" i="4"/>
  <c r="BP87" i="4" s="1"/>
  <c r="BP89" i="4"/>
  <c r="BP90" i="4" s="1"/>
  <c r="K178" i="4"/>
  <c r="H46" i="5" a="1"/>
  <c r="H46" i="5" s="1"/>
  <c r="J150" i="6" a="1"/>
  <c r="J150" i="6" s="1"/>
  <c r="I153" i="6" a="1"/>
  <c r="I153" i="6" s="1"/>
  <c r="G42" i="5" a="1"/>
  <c r="G42" i="5" s="1"/>
  <c r="E12" i="13" l="1" a="1"/>
  <c r="E12" i="13" s="1"/>
  <c r="F13" i="13"/>
  <c r="AM129" i="4"/>
  <c r="AB95" i="4"/>
  <c r="P101" i="4"/>
  <c r="BI129" i="4"/>
  <c r="AX161" i="4"/>
  <c r="AL168" i="4"/>
  <c r="AL165" i="4"/>
  <c r="N152" i="6" a="1"/>
  <c r="N152" i="6" s="1"/>
  <c r="O8" i="6"/>
  <c r="N85" i="6" a="1"/>
  <c r="N85" i="6" s="1"/>
  <c r="N75" i="6" a="1"/>
  <c r="N75" i="6" s="1"/>
  <c r="N47" i="6" a="1"/>
  <c r="N47" i="6" s="1"/>
  <c r="N138" i="6" a="1"/>
  <c r="N138" i="6" s="1"/>
  <c r="N134" i="6" a="1"/>
  <c r="N134" i="6" s="1"/>
  <c r="N120" i="6" a="1"/>
  <c r="N120" i="6" s="1"/>
  <c r="N79" i="6" a="1"/>
  <c r="N79" i="6" s="1"/>
  <c r="N108" i="6" a="1"/>
  <c r="N108" i="6" s="1"/>
  <c r="N115" i="6" a="1"/>
  <c r="N115" i="6" s="1"/>
  <c r="N99" i="6" a="1"/>
  <c r="N99" i="6" s="1"/>
  <c r="N64" i="6" a="1"/>
  <c r="N64" i="6" s="1"/>
  <c r="N132" i="6" a="1"/>
  <c r="N132" i="6" s="1"/>
  <c r="N81" i="6" a="1"/>
  <c r="N81" i="6" s="1"/>
  <c r="N59" i="6" a="1"/>
  <c r="N59" i="6" s="1"/>
  <c r="N114" i="6" a="1"/>
  <c r="N114" i="6" s="1"/>
  <c r="N124" i="6" a="1"/>
  <c r="N124" i="6" s="1"/>
  <c r="N102" i="6" a="1"/>
  <c r="N102" i="6" s="1"/>
  <c r="N71" i="6" a="1"/>
  <c r="N71" i="6" s="1"/>
  <c r="N140" i="6" a="1"/>
  <c r="N140" i="6" s="1"/>
  <c r="N126" i="6" a="1"/>
  <c r="N126" i="6" s="1"/>
  <c r="N104" i="6" a="1"/>
  <c r="N104" i="6" s="1"/>
  <c r="N58" i="6" a="1"/>
  <c r="N58" i="6" s="1"/>
  <c r="N118" i="6" a="1"/>
  <c r="N118" i="6" s="1"/>
  <c r="N92" i="6" a="1"/>
  <c r="N92" i="6" s="1"/>
  <c r="N113" i="6" a="1"/>
  <c r="N113" i="6" s="1"/>
  <c r="N91" i="6" a="1"/>
  <c r="N91" i="6" s="1"/>
  <c r="N90" i="6" a="1"/>
  <c r="N90" i="6" s="1"/>
  <c r="N96" i="6" a="1"/>
  <c r="N96" i="6" s="1"/>
  <c r="N49" i="6" a="1"/>
  <c r="N49" i="6" s="1"/>
  <c r="N69" i="6" a="1"/>
  <c r="N69" i="6" s="1"/>
  <c r="N112" i="6" a="1"/>
  <c r="N112" i="6" s="1"/>
  <c r="N141" i="6" a="1"/>
  <c r="N141" i="6" s="1"/>
  <c r="N82" i="6" a="1"/>
  <c r="N82" i="6" s="1"/>
  <c r="N70" i="6" a="1"/>
  <c r="N70" i="6" s="1"/>
  <c r="N131" i="6" a="1"/>
  <c r="N131" i="6" s="1"/>
  <c r="N106" i="6" a="1"/>
  <c r="N106" i="6" s="1"/>
  <c r="N80" i="6" a="1"/>
  <c r="N80" i="6" s="1"/>
  <c r="N50" i="6" a="1"/>
  <c r="N50" i="6" s="1"/>
  <c r="N105" i="6" a="1"/>
  <c r="N105" i="6" s="1"/>
  <c r="N68" i="6" a="1"/>
  <c r="N68" i="6" s="1"/>
  <c r="N107" i="6" a="1"/>
  <c r="N107" i="6" s="1"/>
  <c r="N46" i="6" a="1"/>
  <c r="N46" i="6" s="1"/>
  <c r="N125" i="6" a="1"/>
  <c r="N125" i="6" s="1"/>
  <c r="N60" i="6" a="1"/>
  <c r="N60" i="6" s="1"/>
  <c r="N109" i="6" a="1"/>
  <c r="N109" i="6" s="1"/>
  <c r="N98" i="6" a="1"/>
  <c r="N98" i="6" s="1"/>
  <c r="N87" i="6" a="1"/>
  <c r="N87" i="6" s="1"/>
  <c r="N130" i="6" a="1"/>
  <c r="N130" i="6" s="1"/>
  <c r="N83" i="6" a="1"/>
  <c r="N83" i="6" s="1"/>
  <c r="N72" i="6" a="1"/>
  <c r="N72" i="6" s="1"/>
  <c r="N119" i="6" a="1"/>
  <c r="N119" i="6" s="1"/>
  <c r="N139" i="6" a="1"/>
  <c r="N139" i="6" s="1"/>
  <c r="N103" i="6" a="1"/>
  <c r="N103" i="6" s="1"/>
  <c r="N74" i="6" a="1"/>
  <c r="N74" i="6" s="1"/>
  <c r="N110" i="6" a="1"/>
  <c r="N110" i="6" s="1"/>
  <c r="N61" i="6" a="1"/>
  <c r="N61" i="6" s="1"/>
  <c r="N133" i="6" a="1"/>
  <c r="N133" i="6" s="1"/>
  <c r="N100" i="6" a="1"/>
  <c r="N100" i="6" s="1"/>
  <c r="N111" i="6" a="1"/>
  <c r="N111" i="6" s="1"/>
  <c r="N89" i="6" a="1"/>
  <c r="N89" i="6" s="1"/>
  <c r="N88" i="6" a="1"/>
  <c r="N88" i="6" s="1"/>
  <c r="N84" i="6" a="1"/>
  <c r="N84" i="6" s="1"/>
  <c r="N73" i="6" a="1"/>
  <c r="N73" i="6" s="1"/>
  <c r="N62" i="6" a="1"/>
  <c r="N62" i="6" s="1"/>
  <c r="N101" i="6" a="1"/>
  <c r="N101" i="6" s="1"/>
  <c r="N63" i="6" a="1"/>
  <c r="N63" i="6" s="1"/>
  <c r="N97" i="6" a="1"/>
  <c r="N97" i="6" s="1"/>
  <c r="N86" i="6" a="1"/>
  <c r="N86" i="6" s="1"/>
  <c r="J151" i="6" a="1"/>
  <c r="J151" i="6" s="1"/>
  <c r="H47" i="5" a="1"/>
  <c r="H47" i="5" s="1"/>
  <c r="Q69" i="12"/>
  <c r="AX129" i="4"/>
  <c r="Q134" i="12"/>
  <c r="O11" i="14"/>
  <c r="O76" i="14" s="1"/>
  <c r="O68" i="13"/>
  <c r="BR86" i="4"/>
  <c r="BR90" i="4" s="1"/>
  <c r="BR88" i="4"/>
  <c r="BR87" i="4" s="1"/>
  <c r="BR89" i="4"/>
  <c r="E14" i="15"/>
  <c r="H11" i="12"/>
  <c r="F12" i="12"/>
  <c r="I11" i="12"/>
  <c r="J11" i="12"/>
  <c r="K11" i="12"/>
  <c r="L11" i="12"/>
  <c r="M11" i="12"/>
  <c r="H42" i="5" a="1"/>
  <c r="H42" i="5" s="1"/>
  <c r="J153" i="6" a="1"/>
  <c r="J153" i="6" s="1"/>
  <c r="BS86" i="4"/>
  <c r="BS88" i="4"/>
  <c r="BS87" i="4" s="1"/>
  <c r="BS90" i="4"/>
  <c r="BS89" i="4"/>
  <c r="H78" i="12"/>
  <c r="I143" i="12" s="1"/>
  <c r="F79" i="12"/>
  <c r="I78" i="12"/>
  <c r="J78" i="12"/>
  <c r="K78" i="12"/>
  <c r="L78" i="12"/>
  <c r="M78" i="12"/>
  <c r="N78" i="12"/>
  <c r="BT88" i="4"/>
  <c r="BT87" i="4" s="1"/>
  <c r="BT86" i="4"/>
  <c r="BT90" i="4" s="1"/>
  <c r="BT89" i="4"/>
  <c r="J154" i="6" a="1"/>
  <c r="J154" i="6" s="1"/>
  <c r="H49" i="5" a="1"/>
  <c r="H49" i="5" s="1"/>
  <c r="F6" i="15"/>
  <c r="J1" i="14"/>
  <c r="J8" i="14"/>
  <c r="M13" i="4"/>
  <c r="P46" i="4"/>
  <c r="P4" i="4"/>
  <c r="L178" i="4"/>
  <c r="K150" i="6" a="1"/>
  <c r="K150" i="6" s="1"/>
  <c r="I46" i="5" a="1"/>
  <c r="I46" i="5" s="1"/>
  <c r="M127" i="6"/>
  <c r="BY178" i="4"/>
  <c r="U46" i="5"/>
  <c r="X150" i="6"/>
  <c r="E85" i="14"/>
  <c r="G85" i="14" s="1"/>
  <c r="G77" i="13"/>
  <c r="O7" i="14"/>
  <c r="R9" i="4"/>
  <c r="Q8" i="4"/>
  <c r="Q6" i="4"/>
  <c r="Q29" i="4"/>
  <c r="K11" i="15" s="1"/>
  <c r="Q98" i="4"/>
  <c r="AC98" i="4" s="1"/>
  <c r="AO98" i="4" s="1"/>
  <c r="BA98" i="4" s="1"/>
  <c r="BM98" i="4" s="1"/>
  <c r="Q129" i="4"/>
  <c r="Q95" i="4"/>
  <c r="Q161" i="4"/>
  <c r="AM95" i="4"/>
  <c r="AA101" i="4"/>
  <c r="BR165" i="4"/>
  <c r="BR168" i="4"/>
  <c r="H6" i="7"/>
  <c r="L177" i="4" s="1"/>
  <c r="L175" i="4"/>
  <c r="M65" i="6"/>
  <c r="BH165" i="4"/>
  <c r="BT161" i="4"/>
  <c r="BH168" i="4"/>
  <c r="P168" i="4"/>
  <c r="AB161" i="4"/>
  <c r="P165" i="4"/>
  <c r="D76" i="13"/>
  <c r="D84" i="14" s="1"/>
  <c r="H84" i="14" s="1"/>
  <c r="D10" i="13"/>
  <c r="I7" i="7"/>
  <c r="J3" i="7" s="1"/>
  <c r="I4" i="7"/>
  <c r="M174" i="4"/>
  <c r="M135" i="6"/>
  <c r="B16" i="14"/>
  <c r="C16" i="14" s="1"/>
  <c r="B15" i="13"/>
  <c r="C15" i="13" s="1"/>
  <c r="B15" i="12"/>
  <c r="C15" i="12" s="1"/>
  <c r="R134" i="13"/>
  <c r="J13" i="11"/>
  <c r="I13" i="11"/>
  <c r="G14" i="11"/>
  <c r="H13" i="11"/>
  <c r="F144" i="12"/>
  <c r="H143" i="12"/>
  <c r="AM161" i="4"/>
  <c r="AA165" i="4"/>
  <c r="AA168" i="4"/>
  <c r="E77" i="12"/>
  <c r="E20" i="14" s="1"/>
  <c r="E11" i="12"/>
  <c r="O78" i="12"/>
  <c r="BU90" i="4"/>
  <c r="BU88" i="4"/>
  <c r="BU87" i="4" s="1"/>
  <c r="BU86" i="4"/>
  <c r="BU89" i="4"/>
  <c r="F21" i="14"/>
  <c r="H20" i="14"/>
  <c r="I20" i="14"/>
  <c r="J20" i="14"/>
  <c r="K20" i="14"/>
  <c r="L20" i="14"/>
  <c r="M20" i="14"/>
  <c r="P12" i="14"/>
  <c r="M93" i="6"/>
  <c r="M76" i="6"/>
  <c r="O11" i="12"/>
  <c r="O12" i="12"/>
  <c r="P2" i="12"/>
  <c r="E143" i="13"/>
  <c r="E78" i="13"/>
  <c r="G11" i="13"/>
  <c r="BI95" i="4"/>
  <c r="AW101" i="4"/>
  <c r="BS168" i="4"/>
  <c r="BS165" i="4"/>
  <c r="AB129" i="4"/>
  <c r="AW168" i="4"/>
  <c r="AW165" i="4"/>
  <c r="BI161" i="4"/>
  <c r="P1" i="13"/>
  <c r="P68" i="12"/>
  <c r="Q1" i="12"/>
  <c r="AN158" i="4"/>
  <c r="AO156" i="4"/>
  <c r="H10" i="15"/>
  <c r="O30" i="4"/>
  <c r="L37" i="5" a="1"/>
  <c r="L37" i="5" s="1"/>
  <c r="L34" i="5" a="1"/>
  <c r="L34" i="5" s="1"/>
  <c r="L28" i="5" a="1"/>
  <c r="L28" i="5" s="1"/>
  <c r="L29" i="5" a="1"/>
  <c r="L29" i="5" s="1"/>
  <c r="L35" i="5" a="1"/>
  <c r="L35" i="5" s="1"/>
  <c r="L31" i="5" a="1"/>
  <c r="L31" i="5" s="1"/>
  <c r="M8" i="5"/>
  <c r="L32" i="5" a="1"/>
  <c r="L32" i="5" s="1"/>
  <c r="L48" i="5" a="1"/>
  <c r="L48" i="5" s="1"/>
  <c r="L33" i="5" a="1"/>
  <c r="L33" i="5" s="1"/>
  <c r="AX95" i="4"/>
  <c r="AL101" i="4"/>
  <c r="H76" i="13"/>
  <c r="C17" i="14" l="1"/>
  <c r="C16" i="13"/>
  <c r="I84" i="14"/>
  <c r="AO158" i="4"/>
  <c r="AP156" i="4"/>
  <c r="BU95" i="4"/>
  <c r="BU101" i="4" s="1"/>
  <c r="BI101" i="4"/>
  <c r="Q12" i="14"/>
  <c r="E78" i="12"/>
  <c r="E21" i="14" s="1"/>
  <c r="E12" i="12"/>
  <c r="I6" i="7"/>
  <c r="M177" i="4" s="1"/>
  <c r="M175" i="4"/>
  <c r="BT168" i="4"/>
  <c r="BT165" i="4"/>
  <c r="BJ129" i="4"/>
  <c r="N65" i="6"/>
  <c r="N93" i="6"/>
  <c r="J4" i="7"/>
  <c r="J7" i="7"/>
  <c r="K3" i="7" s="1"/>
  <c r="N174" i="4"/>
  <c r="D77" i="13"/>
  <c r="D85" i="14" s="1"/>
  <c r="H85" i="14" s="1"/>
  <c r="I85" i="14" s="1"/>
  <c r="D11" i="13"/>
  <c r="I47" i="5" a="1"/>
  <c r="I47" i="5" s="1"/>
  <c r="K151" i="6" a="1"/>
  <c r="K151" i="6" s="1"/>
  <c r="F7" i="15"/>
  <c r="F18" i="15"/>
  <c r="H12" i="12"/>
  <c r="F13" i="12"/>
  <c r="I12" i="12"/>
  <c r="J12" i="12"/>
  <c r="K12" i="12"/>
  <c r="L12" i="12"/>
  <c r="M12" i="12"/>
  <c r="N12" i="12"/>
  <c r="O152" i="6" a="1"/>
  <c r="O152" i="6" s="1"/>
  <c r="P8" i="6"/>
  <c r="O132" i="6" a="1"/>
  <c r="O132" i="6" s="1"/>
  <c r="O118" i="6" a="1"/>
  <c r="O118" i="6" s="1"/>
  <c r="O107" i="6" a="1"/>
  <c r="O107" i="6" s="1"/>
  <c r="O102" i="6" a="1"/>
  <c r="O102" i="6" s="1"/>
  <c r="O108" i="6" a="1"/>
  <c r="O108" i="6" s="1"/>
  <c r="O96" i="6" a="1"/>
  <c r="O96" i="6" s="1"/>
  <c r="O79" i="6" a="1"/>
  <c r="O79" i="6" s="1"/>
  <c r="O110" i="6" a="1"/>
  <c r="O110" i="6" s="1"/>
  <c r="O99" i="6" a="1"/>
  <c r="O99" i="6" s="1"/>
  <c r="O88" i="6" a="1"/>
  <c r="O88" i="6" s="1"/>
  <c r="O134" i="6" a="1"/>
  <c r="O134" i="6" s="1"/>
  <c r="O83" i="6" a="1"/>
  <c r="O83" i="6" s="1"/>
  <c r="O119" i="6" a="1"/>
  <c r="O119" i="6" s="1"/>
  <c r="O86" i="6" a="1"/>
  <c r="O86" i="6" s="1"/>
  <c r="O75" i="6" a="1"/>
  <c r="O75" i="6" s="1"/>
  <c r="O115" i="6" a="1"/>
  <c r="O115" i="6" s="1"/>
  <c r="O109" i="6" a="1"/>
  <c r="O109" i="6" s="1"/>
  <c r="O85" i="6" a="1"/>
  <c r="O85" i="6" s="1"/>
  <c r="O74" i="6" a="1"/>
  <c r="O74" i="6" s="1"/>
  <c r="O131" i="6" a="1"/>
  <c r="O131" i="6" s="1"/>
  <c r="O62" i="6" a="1"/>
  <c r="O62" i="6" s="1"/>
  <c r="O120" i="6" a="1"/>
  <c r="O120" i="6" s="1"/>
  <c r="O133" i="6" a="1"/>
  <c r="O133" i="6" s="1"/>
  <c r="O71" i="6" a="1"/>
  <c r="O71" i="6" s="1"/>
  <c r="O58" i="6" a="1"/>
  <c r="O58" i="6" s="1"/>
  <c r="O125" i="6" a="1"/>
  <c r="O125" i="6" s="1"/>
  <c r="O103" i="6" a="1"/>
  <c r="O103" i="6" s="1"/>
  <c r="O106" i="6" a="1"/>
  <c r="O106" i="6" s="1"/>
  <c r="O80" i="6" a="1"/>
  <c r="O80" i="6" s="1"/>
  <c r="O113" i="6" a="1"/>
  <c r="O113" i="6" s="1"/>
  <c r="O63" i="6" a="1"/>
  <c r="O63" i="6" s="1"/>
  <c r="O112" i="6" a="1"/>
  <c r="O112" i="6" s="1"/>
  <c r="O90" i="6" a="1"/>
  <c r="O90" i="6" s="1"/>
  <c r="O100" i="6" a="1"/>
  <c r="O100" i="6" s="1"/>
  <c r="O89" i="6" a="1"/>
  <c r="O89" i="6" s="1"/>
  <c r="O139" i="6" a="1"/>
  <c r="O139" i="6" s="1"/>
  <c r="O59" i="6" a="1"/>
  <c r="O59" i="6" s="1"/>
  <c r="O114" i="6" a="1"/>
  <c r="O114" i="6" s="1"/>
  <c r="O92" i="6" a="1"/>
  <c r="O92" i="6" s="1"/>
  <c r="O50" i="6" a="1"/>
  <c r="O50" i="6" s="1"/>
  <c r="O91" i="6" a="1"/>
  <c r="O91" i="6" s="1"/>
  <c r="O68" i="6" a="1"/>
  <c r="O68" i="6" s="1"/>
  <c r="O111" i="6" a="1"/>
  <c r="O111" i="6" s="1"/>
  <c r="O87" i="6" a="1"/>
  <c r="O87" i="6" s="1"/>
  <c r="O81" i="6" a="1"/>
  <c r="O81" i="6" s="1"/>
  <c r="O49" i="6" a="1"/>
  <c r="O49" i="6" s="1"/>
  <c r="O140" i="6" a="1"/>
  <c r="O140" i="6" s="1"/>
  <c r="O104" i="6" a="1"/>
  <c r="O104" i="6" s="1"/>
  <c r="O101" i="6" a="1"/>
  <c r="O101" i="6" s="1"/>
  <c r="O70" i="6" a="1"/>
  <c r="O70" i="6" s="1"/>
  <c r="O84" i="6" a="1"/>
  <c r="O84" i="6" s="1"/>
  <c r="O61" i="6" a="1"/>
  <c r="O61" i="6" s="1"/>
  <c r="O69" i="6" a="1"/>
  <c r="O69" i="6" s="1"/>
  <c r="O141" i="6" a="1"/>
  <c r="O141" i="6" s="1"/>
  <c r="O130" i="6" a="1"/>
  <c r="O130" i="6" s="1"/>
  <c r="O135" i="6" s="1"/>
  <c r="O105" i="6" a="1"/>
  <c r="O105" i="6" s="1"/>
  <c r="O126" i="6" a="1"/>
  <c r="O126" i="6" s="1"/>
  <c r="O82" i="6" a="1"/>
  <c r="O82" i="6" s="1"/>
  <c r="O46" i="6" a="1"/>
  <c r="O46" i="6" s="1"/>
  <c r="O47" i="6" a="1"/>
  <c r="O47" i="6" s="1"/>
  <c r="O73" i="6" a="1"/>
  <c r="O73" i="6" s="1"/>
  <c r="O60" i="6" a="1"/>
  <c r="O60" i="6" s="1"/>
  <c r="O138" i="6" a="1"/>
  <c r="O138" i="6" s="1"/>
  <c r="O124" i="6" a="1"/>
  <c r="O124" i="6" s="1"/>
  <c r="O127" i="6" s="1"/>
  <c r="O98" i="6" a="1"/>
  <c r="O98" i="6" s="1"/>
  <c r="O97" i="6" a="1"/>
  <c r="O97" i="6" s="1"/>
  <c r="O72" i="6" a="1"/>
  <c r="O72" i="6" s="1"/>
  <c r="O64" i="6" a="1"/>
  <c r="O64" i="6" s="1"/>
  <c r="AX168" i="4"/>
  <c r="AX165" i="4"/>
  <c r="BJ161" i="4"/>
  <c r="F145" i="12"/>
  <c r="H144" i="12"/>
  <c r="I42" i="5" a="1"/>
  <c r="I42" i="5" s="1"/>
  <c r="K153" i="6" a="1"/>
  <c r="K153" i="6" s="1"/>
  <c r="Q46" i="4"/>
  <c r="Q4" i="4"/>
  <c r="AN95" i="4"/>
  <c r="AB101" i="4"/>
  <c r="M28" i="5" a="1"/>
  <c r="M28" i="5" s="1"/>
  <c r="M35" i="5" a="1"/>
  <c r="M35" i="5" s="1"/>
  <c r="M31" i="5" a="1"/>
  <c r="M31" i="5" s="1"/>
  <c r="M48" i="5" a="1"/>
  <c r="M48" i="5" s="1"/>
  <c r="M33" i="5" a="1"/>
  <c r="M33" i="5" s="1"/>
  <c r="M37" i="5" a="1"/>
  <c r="M37" i="5" s="1"/>
  <c r="M29" i="5" a="1"/>
  <c r="M29" i="5" s="1"/>
  <c r="N8" i="5"/>
  <c r="M32" i="5" a="1"/>
  <c r="M32" i="5" s="1"/>
  <c r="M34" i="5" a="1"/>
  <c r="M34" i="5" s="1"/>
  <c r="E86" i="14"/>
  <c r="G86" i="14" s="1"/>
  <c r="G78" i="13"/>
  <c r="B17" i="14"/>
  <c r="B16" i="13"/>
  <c r="B16" i="12"/>
  <c r="C16" i="12" s="1"/>
  <c r="P7" i="14"/>
  <c r="R29" i="4"/>
  <c r="L11" i="15" s="1"/>
  <c r="R8" i="4"/>
  <c r="S9" i="4"/>
  <c r="R161" i="4"/>
  <c r="R95" i="4"/>
  <c r="R129" i="4"/>
  <c r="R6" i="4"/>
  <c r="R98" i="4"/>
  <c r="AD98" i="4" s="1"/>
  <c r="AP98" i="4" s="1"/>
  <c r="BB98" i="4" s="1"/>
  <c r="BN98" i="4" s="1"/>
  <c r="BZ174" i="4"/>
  <c r="X154" i="6"/>
  <c r="U49" i="5"/>
  <c r="H10" i="13"/>
  <c r="H79" i="12"/>
  <c r="I144" i="12" s="1"/>
  <c r="F80" i="12"/>
  <c r="I79" i="12"/>
  <c r="J79" i="12"/>
  <c r="K79" i="12"/>
  <c r="L79" i="12"/>
  <c r="M79" i="12"/>
  <c r="N79" i="12"/>
  <c r="O79" i="12"/>
  <c r="R134" i="12"/>
  <c r="N142" i="6"/>
  <c r="AY129" i="4"/>
  <c r="Q1" i="13"/>
  <c r="Q68" i="12"/>
  <c r="R1" i="12"/>
  <c r="P11" i="14"/>
  <c r="P76" i="14" s="1"/>
  <c r="P68" i="13"/>
  <c r="AM168" i="4"/>
  <c r="AY161" i="4"/>
  <c r="AM165" i="4"/>
  <c r="AC161" i="4"/>
  <c r="Q168" i="4"/>
  <c r="Q165" i="4"/>
  <c r="N135" i="6"/>
  <c r="H21" i="14"/>
  <c r="F22" i="14"/>
  <c r="I21" i="14"/>
  <c r="J21" i="14"/>
  <c r="K21" i="14"/>
  <c r="L21" i="14"/>
  <c r="M21" i="14"/>
  <c r="N21" i="14"/>
  <c r="J14" i="11"/>
  <c r="I14" i="11"/>
  <c r="G15" i="11"/>
  <c r="H14" i="11"/>
  <c r="K32" i="4"/>
  <c r="I141" i="13"/>
  <c r="I9" i="13" s="1"/>
  <c r="I138" i="13"/>
  <c r="I137" i="12"/>
  <c r="I140" i="13"/>
  <c r="I136" i="13"/>
  <c r="I137" i="13"/>
  <c r="I142" i="13"/>
  <c r="I135" i="13"/>
  <c r="I136" i="12"/>
  <c r="I138" i="12"/>
  <c r="I139" i="12"/>
  <c r="I140" i="12"/>
  <c r="I141" i="12"/>
  <c r="I139" i="13"/>
  <c r="BJ95" i="4"/>
  <c r="BJ101" i="4" s="1"/>
  <c r="AX101" i="4"/>
  <c r="AY95" i="4"/>
  <c r="AM101" i="4"/>
  <c r="AC95" i="4"/>
  <c r="Q101" i="4"/>
  <c r="I49" i="5" a="1"/>
  <c r="I49" i="5" s="1"/>
  <c r="K154" i="6" a="1"/>
  <c r="K154" i="6" s="1"/>
  <c r="K2" i="14"/>
  <c r="F14" i="13"/>
  <c r="E13" i="13" a="1"/>
  <c r="E13" i="13" s="1"/>
  <c r="O21" i="14"/>
  <c r="AC129" i="4"/>
  <c r="P79" i="12"/>
  <c r="R69" i="12"/>
  <c r="Q80" i="12"/>
  <c r="N76" i="6"/>
  <c r="N127" i="6"/>
  <c r="E144" i="13"/>
  <c r="E79" i="13"/>
  <c r="G12" i="13"/>
  <c r="H11" i="13"/>
  <c r="BI165" i="4"/>
  <c r="BI168" i="4"/>
  <c r="BU161" i="4"/>
  <c r="I10" i="15"/>
  <c r="P30" i="4"/>
  <c r="AN129" i="4"/>
  <c r="P12" i="12"/>
  <c r="Q2" i="12"/>
  <c r="S134" i="13"/>
  <c r="M178" i="4"/>
  <c r="J46" i="5" a="1"/>
  <c r="J46" i="5" s="1"/>
  <c r="L150" i="6" a="1"/>
  <c r="L150" i="6" s="1"/>
  <c r="AB165" i="4"/>
  <c r="AN161" i="4"/>
  <c r="AB168" i="4"/>
  <c r="H77" i="13"/>
  <c r="BU129" i="4"/>
  <c r="I142" i="12"/>
  <c r="I8" i="13" l="1"/>
  <c r="I83" i="14"/>
  <c r="I75" i="13"/>
  <c r="I77" i="13"/>
  <c r="T134" i="13"/>
  <c r="AO129" i="4"/>
  <c r="AO95" i="4"/>
  <c r="AC101" i="4"/>
  <c r="I78" i="14"/>
  <c r="I70" i="13"/>
  <c r="I3" i="13"/>
  <c r="I15" i="11"/>
  <c r="G16" i="11"/>
  <c r="H15" i="11"/>
  <c r="J15" i="11"/>
  <c r="H80" i="12"/>
  <c r="F81" i="12"/>
  <c r="I80" i="12"/>
  <c r="J80" i="12"/>
  <c r="K80" i="12"/>
  <c r="L80" i="12"/>
  <c r="M80" i="12"/>
  <c r="N80" i="12"/>
  <c r="O80" i="12"/>
  <c r="P80" i="12"/>
  <c r="F14" i="15"/>
  <c r="J144" i="12" s="1"/>
  <c r="E79" i="12"/>
  <c r="E22" i="14" s="1"/>
  <c r="E13" i="12"/>
  <c r="AD129" i="4"/>
  <c r="AZ95" i="4"/>
  <c r="AN101" i="4"/>
  <c r="O65" i="6"/>
  <c r="P152" i="6" a="1"/>
  <c r="P152" i="6" s="1"/>
  <c r="Q8" i="6"/>
  <c r="P125" i="6" a="1"/>
  <c r="P125" i="6" s="1"/>
  <c r="P134" i="6" a="1"/>
  <c r="P134" i="6" s="1"/>
  <c r="P120" i="6" a="1"/>
  <c r="P120" i="6" s="1"/>
  <c r="P109" i="6" a="1"/>
  <c r="P109" i="6" s="1"/>
  <c r="P97" i="6" a="1"/>
  <c r="P97" i="6" s="1"/>
  <c r="P115" i="6" a="1"/>
  <c r="P115" i="6" s="1"/>
  <c r="P96" i="6" a="1"/>
  <c r="P96" i="6" s="1"/>
  <c r="P60" i="6" a="1"/>
  <c r="P60" i="6" s="1"/>
  <c r="P106" i="6" a="1"/>
  <c r="P106" i="6" s="1"/>
  <c r="P61" i="6" a="1"/>
  <c r="P61" i="6" s="1"/>
  <c r="P124" i="6" a="1"/>
  <c r="P124" i="6" s="1"/>
  <c r="P127" i="6" s="1"/>
  <c r="P130" i="6" a="1"/>
  <c r="P130" i="6" s="1"/>
  <c r="P71" i="6" a="1"/>
  <c r="P71" i="6" s="1"/>
  <c r="P92" i="6" a="1"/>
  <c r="P92" i="6" s="1"/>
  <c r="P89" i="6" a="1"/>
  <c r="P89" i="6" s="1"/>
  <c r="P98" i="6" a="1"/>
  <c r="P98" i="6" s="1"/>
  <c r="P72" i="6" a="1"/>
  <c r="P72" i="6" s="1"/>
  <c r="P133" i="6" a="1"/>
  <c r="P133" i="6" s="1"/>
  <c r="P108" i="6" a="1"/>
  <c r="P108" i="6" s="1"/>
  <c r="P82" i="6" a="1"/>
  <c r="P82" i="6" s="1"/>
  <c r="P46" i="6" a="1"/>
  <c r="P46" i="6" s="1"/>
  <c r="P107" i="6" a="1"/>
  <c r="P107" i="6" s="1"/>
  <c r="P114" i="6" a="1"/>
  <c r="P114" i="6" s="1"/>
  <c r="P49" i="6" a="1"/>
  <c r="P49" i="6" s="1"/>
  <c r="P119" i="6" a="1"/>
  <c r="P119" i="6" s="1"/>
  <c r="P103" i="6" a="1"/>
  <c r="P103" i="6" s="1"/>
  <c r="P110" i="6" a="1"/>
  <c r="P110" i="6" s="1"/>
  <c r="P84" i="6" a="1"/>
  <c r="P84" i="6" s="1"/>
  <c r="P73" i="6" a="1"/>
  <c r="P73" i="6" s="1"/>
  <c r="P87" i="6" a="1"/>
  <c r="P87" i="6" s="1"/>
  <c r="P63" i="6" a="1"/>
  <c r="P63" i="6" s="1"/>
  <c r="P100" i="6" a="1"/>
  <c r="P100" i="6" s="1"/>
  <c r="P47" i="6" a="1"/>
  <c r="P47" i="6" s="1"/>
  <c r="P132" i="6" a="1"/>
  <c r="P132" i="6" s="1"/>
  <c r="P85" i="6" a="1"/>
  <c r="P85" i="6" s="1"/>
  <c r="P75" i="6" a="1"/>
  <c r="P75" i="6" s="1"/>
  <c r="P102" i="6" a="1"/>
  <c r="P102" i="6" s="1"/>
  <c r="P80" i="6" a="1"/>
  <c r="P80" i="6" s="1"/>
  <c r="P62" i="6" a="1"/>
  <c r="P62" i="6" s="1"/>
  <c r="P141" i="6" a="1"/>
  <c r="P141" i="6" s="1"/>
  <c r="P105" i="6" a="1"/>
  <c r="P105" i="6" s="1"/>
  <c r="P112" i="6" a="1"/>
  <c r="P112" i="6" s="1"/>
  <c r="P101" i="6" a="1"/>
  <c r="P101" i="6" s="1"/>
  <c r="P118" i="6" a="1"/>
  <c r="P118" i="6" s="1"/>
  <c r="P74" i="6" a="1"/>
  <c r="P74" i="6" s="1"/>
  <c r="P131" i="6" a="1"/>
  <c r="P131" i="6" s="1"/>
  <c r="P138" i="6" a="1"/>
  <c r="P138" i="6" s="1"/>
  <c r="P88" i="6" a="1"/>
  <c r="P88" i="6" s="1"/>
  <c r="P113" i="6" a="1"/>
  <c r="P113" i="6" s="1"/>
  <c r="P91" i="6" a="1"/>
  <c r="P91" i="6" s="1"/>
  <c r="P90" i="6" a="1"/>
  <c r="P90" i="6" s="1"/>
  <c r="P79" i="6" a="1"/>
  <c r="P79" i="6" s="1"/>
  <c r="P86" i="6" a="1"/>
  <c r="P86" i="6" s="1"/>
  <c r="P64" i="6" a="1"/>
  <c r="P64" i="6" s="1"/>
  <c r="P58" i="6" a="1"/>
  <c r="P58" i="6" s="1"/>
  <c r="P59" i="6" a="1"/>
  <c r="P59" i="6" s="1"/>
  <c r="P99" i="6" a="1"/>
  <c r="P99" i="6" s="1"/>
  <c r="P81" i="6" a="1"/>
  <c r="P81" i="6" s="1"/>
  <c r="P139" i="6" a="1"/>
  <c r="P139" i="6" s="1"/>
  <c r="P70" i="6" a="1"/>
  <c r="P70" i="6" s="1"/>
  <c r="P111" i="6" a="1"/>
  <c r="P111" i="6" s="1"/>
  <c r="P50" i="6" a="1"/>
  <c r="P50" i="6" s="1"/>
  <c r="P69" i="6" a="1"/>
  <c r="P69" i="6" s="1"/>
  <c r="P83" i="6" a="1"/>
  <c r="P83" i="6" s="1"/>
  <c r="P68" i="6" a="1"/>
  <c r="P68" i="6" s="1"/>
  <c r="P140" i="6" a="1"/>
  <c r="P140" i="6" s="1"/>
  <c r="P126" i="6" a="1"/>
  <c r="P126" i="6" s="1"/>
  <c r="P104" i="6" a="1"/>
  <c r="P104" i="6" s="1"/>
  <c r="I10" i="13"/>
  <c r="AD95" i="4"/>
  <c r="R101" i="4"/>
  <c r="N35" i="5" a="1"/>
  <c r="N35" i="5" s="1"/>
  <c r="N32" i="5" a="1"/>
  <c r="N32" i="5" s="1"/>
  <c r="N48" i="5" a="1"/>
  <c r="N48" i="5" s="1"/>
  <c r="N33" i="5" a="1"/>
  <c r="N33" i="5" s="1"/>
  <c r="N37" i="5" a="1"/>
  <c r="N37" i="5" s="1"/>
  <c r="N31" i="5" a="1"/>
  <c r="N31" i="5" s="1"/>
  <c r="N34" i="5" a="1"/>
  <c r="N34" i="5" s="1"/>
  <c r="N29" i="5" a="1"/>
  <c r="N29" i="5" s="1"/>
  <c r="N28" i="5" a="1"/>
  <c r="N28" i="5" s="1"/>
  <c r="O8" i="5"/>
  <c r="R12" i="14"/>
  <c r="AQ156" i="4"/>
  <c r="AP158" i="4"/>
  <c r="I6" i="13"/>
  <c r="I81" i="14"/>
  <c r="I73" i="13"/>
  <c r="H22" i="14"/>
  <c r="F23" i="14"/>
  <c r="Q23" i="14" s="1"/>
  <c r="I22" i="14"/>
  <c r="J22" i="14"/>
  <c r="K22" i="14"/>
  <c r="L22" i="14"/>
  <c r="M22" i="14"/>
  <c r="N22" i="14"/>
  <c r="O22" i="14"/>
  <c r="R1" i="13"/>
  <c r="R68" i="12"/>
  <c r="S1" i="12"/>
  <c r="AN168" i="4"/>
  <c r="AN165" i="4"/>
  <c r="AZ161" i="4"/>
  <c r="BK95" i="4"/>
  <c r="BK101" i="4" s="1"/>
  <c r="AY101" i="4"/>
  <c r="AC168" i="4"/>
  <c r="AC165" i="4"/>
  <c r="AO161" i="4"/>
  <c r="Q13" i="12"/>
  <c r="R2" i="12"/>
  <c r="Q14" i="12"/>
  <c r="E145" i="13"/>
  <c r="E80" i="13"/>
  <c r="G13" i="13"/>
  <c r="Q11" i="14"/>
  <c r="Q76" i="14" s="1"/>
  <c r="Q68" i="13"/>
  <c r="S134" i="12"/>
  <c r="AD161" i="4"/>
  <c r="R165" i="4"/>
  <c r="R168" i="4"/>
  <c r="I76" i="13"/>
  <c r="D78" i="13"/>
  <c r="D86" i="14" s="1"/>
  <c r="H86" i="14" s="1"/>
  <c r="D12" i="13"/>
  <c r="F14" i="12"/>
  <c r="H13" i="12"/>
  <c r="I13" i="12"/>
  <c r="J13" i="12"/>
  <c r="K13" i="12"/>
  <c r="L13" i="12"/>
  <c r="M13" i="12"/>
  <c r="N13" i="12"/>
  <c r="O13" i="12"/>
  <c r="AY165" i="4"/>
  <c r="AY168" i="4"/>
  <c r="BK161" i="4"/>
  <c r="Q7" i="14"/>
  <c r="S8" i="4"/>
  <c r="S6" i="4"/>
  <c r="S29" i="4"/>
  <c r="M11" i="15" s="1"/>
  <c r="T9" i="4"/>
  <c r="S161" i="4"/>
  <c r="S129" i="4"/>
  <c r="S98" i="4"/>
  <c r="AE98" i="4" s="1"/>
  <c r="AQ98" i="4" s="1"/>
  <c r="BC98" i="4" s="1"/>
  <c r="BO98" i="4" s="1"/>
  <c r="S95" i="4"/>
  <c r="H145" i="12"/>
  <c r="F146" i="12"/>
  <c r="I145" i="12"/>
  <c r="J145" i="12"/>
  <c r="H12" i="13"/>
  <c r="BJ168" i="4"/>
  <c r="BJ165" i="4"/>
  <c r="O142" i="6"/>
  <c r="N178" i="4"/>
  <c r="K46" i="5" a="1"/>
  <c r="K46" i="5" s="1"/>
  <c r="M150" i="6" a="1"/>
  <c r="M150" i="6" s="1"/>
  <c r="P13" i="12"/>
  <c r="BU165" i="4"/>
  <c r="BU168" i="4"/>
  <c r="I82" i="14"/>
  <c r="I7" i="13"/>
  <c r="I74" i="13"/>
  <c r="I5" i="13"/>
  <c r="I80" i="14"/>
  <c r="I72" i="13"/>
  <c r="I79" i="14"/>
  <c r="I71" i="13"/>
  <c r="I4" i="13"/>
  <c r="BK129" i="4"/>
  <c r="BZ178" i="4"/>
  <c r="V46" i="5"/>
  <c r="Y150" i="6"/>
  <c r="R46" i="4"/>
  <c r="R4" i="4"/>
  <c r="L154" i="6" a="1"/>
  <c r="L154" i="6" s="1"/>
  <c r="J49" i="5" a="1"/>
  <c r="J49" i="5" s="1"/>
  <c r="AZ129" i="4"/>
  <c r="E87" i="14"/>
  <c r="G87" i="14" s="1"/>
  <c r="G79" i="13"/>
  <c r="O76" i="6"/>
  <c r="K7" i="7"/>
  <c r="L3" i="7" s="1"/>
  <c r="K4" i="7"/>
  <c r="O174" i="4"/>
  <c r="L151" i="6" a="1"/>
  <c r="L151" i="6" s="1"/>
  <c r="J47" i="5" a="1"/>
  <c r="J47" i="5" s="1"/>
  <c r="R81" i="12"/>
  <c r="S69" i="12"/>
  <c r="E14" i="13" a="1"/>
  <c r="E14" i="13" s="1"/>
  <c r="F15" i="13"/>
  <c r="G6" i="15"/>
  <c r="K8" i="14"/>
  <c r="K1" i="14"/>
  <c r="N13" i="4"/>
  <c r="J10" i="15"/>
  <c r="Q30" i="4"/>
  <c r="B18" i="14"/>
  <c r="C18" i="14" s="1"/>
  <c r="B17" i="13"/>
  <c r="C17" i="13" s="1"/>
  <c r="B17" i="12"/>
  <c r="C17" i="12" s="1"/>
  <c r="O93" i="6"/>
  <c r="J6" i="7"/>
  <c r="N177" i="4" s="1"/>
  <c r="N175" i="4"/>
  <c r="J42" i="5" a="1"/>
  <c r="J42" i="5" s="1"/>
  <c r="L153" i="6" a="1"/>
  <c r="L153" i="6" s="1"/>
  <c r="P22" i="14"/>
  <c r="AE95" i="4" l="1"/>
  <c r="S101" i="4"/>
  <c r="S12" i="14"/>
  <c r="K47" i="5" a="1"/>
  <c r="K47" i="5" s="1"/>
  <c r="M151" i="6" a="1"/>
  <c r="M151" i="6" s="1"/>
  <c r="BL129" i="4"/>
  <c r="AP161" i="4"/>
  <c r="AD168" i="4"/>
  <c r="AD165" i="4"/>
  <c r="K42" i="5" a="1"/>
  <c r="K42" i="5" s="1"/>
  <c r="M153" i="6" a="1"/>
  <c r="M153" i="6" s="1"/>
  <c r="J5" i="13"/>
  <c r="H78" i="13"/>
  <c r="S2" i="12"/>
  <c r="R14" i="12"/>
  <c r="AZ165" i="4"/>
  <c r="AZ168" i="4"/>
  <c r="BL161" i="4"/>
  <c r="BK165" i="4"/>
  <c r="BK168" i="4"/>
  <c r="E15" i="13" a="1"/>
  <c r="E15" i="13" s="1"/>
  <c r="F16" i="13"/>
  <c r="AE129" i="4"/>
  <c r="T69" i="12"/>
  <c r="O178" i="4"/>
  <c r="L46" i="5" a="1"/>
  <c r="L46" i="5" s="1"/>
  <c r="N150" i="6" a="1"/>
  <c r="N150" i="6" s="1"/>
  <c r="CA174" i="4"/>
  <c r="Y154" i="6"/>
  <c r="V49" i="5"/>
  <c r="J73" i="13"/>
  <c r="K6" i="7"/>
  <c r="O177" i="4" s="1"/>
  <c r="O175" i="4"/>
  <c r="J81" i="14"/>
  <c r="E14" i="12"/>
  <c r="E80" i="12"/>
  <c r="E23" i="14" s="1"/>
  <c r="B19" i="14"/>
  <c r="C19" i="14" s="1"/>
  <c r="B18" i="13"/>
  <c r="C18" i="13" s="1"/>
  <c r="B18" i="12"/>
  <c r="C18" i="12" s="1"/>
  <c r="BA95" i="4"/>
  <c r="AO101" i="4"/>
  <c r="L4" i="7"/>
  <c r="L7" i="7"/>
  <c r="M3" i="7" s="1"/>
  <c r="P174" i="4"/>
  <c r="J74" i="13"/>
  <c r="M154" i="6" a="1"/>
  <c r="M154" i="6" s="1"/>
  <c r="K49" i="5" a="1"/>
  <c r="K49" i="5" s="1"/>
  <c r="F15" i="12"/>
  <c r="H14" i="12"/>
  <c r="I14" i="12"/>
  <c r="J14" i="12"/>
  <c r="K14" i="12"/>
  <c r="L14" i="12"/>
  <c r="M14" i="12"/>
  <c r="N14" i="12"/>
  <c r="O14" i="12"/>
  <c r="P14" i="12"/>
  <c r="T134" i="12"/>
  <c r="E88" i="14"/>
  <c r="G88" i="14" s="1"/>
  <c r="G80" i="13"/>
  <c r="J6" i="13"/>
  <c r="J138" i="13"/>
  <c r="P93" i="6"/>
  <c r="H16" i="11"/>
  <c r="G17" i="11"/>
  <c r="J16" i="11"/>
  <c r="I16" i="11"/>
  <c r="BA129" i="4"/>
  <c r="J82" i="14"/>
  <c r="G7" i="15"/>
  <c r="G18" i="15"/>
  <c r="R7" i="14"/>
  <c r="T8" i="4"/>
  <c r="T6" i="4"/>
  <c r="U9" i="4"/>
  <c r="T29" i="4"/>
  <c r="N11" i="15" s="1"/>
  <c r="T95" i="4"/>
  <c r="T129" i="4"/>
  <c r="T98" i="4"/>
  <c r="AF98" i="4" s="1"/>
  <c r="AR98" i="4" s="1"/>
  <c r="BD98" i="4" s="1"/>
  <c r="BP98" i="4" s="1"/>
  <c r="T161" i="4"/>
  <c r="L2" i="14"/>
  <c r="J7" i="13"/>
  <c r="S46" i="4"/>
  <c r="S4" i="4"/>
  <c r="D79" i="13"/>
  <c r="D87" i="14" s="1"/>
  <c r="H87" i="14" s="1"/>
  <c r="D13" i="13"/>
  <c r="AO168" i="4"/>
  <c r="AO165" i="4"/>
  <c r="BA161" i="4"/>
  <c r="Q152" i="6" a="1"/>
  <c r="Q152" i="6" s="1"/>
  <c r="R8" i="6"/>
  <c r="Q115" i="6" a="1"/>
  <c r="Q115" i="6" s="1"/>
  <c r="Q64" i="6" a="1"/>
  <c r="Q64" i="6" s="1"/>
  <c r="Q59" i="6" a="1"/>
  <c r="Q59" i="6" s="1"/>
  <c r="Q102" i="6" a="1"/>
  <c r="Q102" i="6" s="1"/>
  <c r="Q133" i="6" a="1"/>
  <c r="Q133" i="6" s="1"/>
  <c r="Q141" i="6" a="1"/>
  <c r="Q141" i="6" s="1"/>
  <c r="Q108" i="6" a="1"/>
  <c r="Q108" i="6" s="1"/>
  <c r="Q46" i="6" a="1"/>
  <c r="Q46" i="6" s="1"/>
  <c r="Q96" i="6" a="1"/>
  <c r="Q96" i="6" s="1"/>
  <c r="Q89" i="6" a="1"/>
  <c r="Q89" i="6" s="1"/>
  <c r="Q114" i="6" a="1"/>
  <c r="Q114" i="6" s="1"/>
  <c r="Q92" i="6" a="1"/>
  <c r="Q92" i="6" s="1"/>
  <c r="Q60" i="6" a="1"/>
  <c r="Q60" i="6" s="1"/>
  <c r="Q61" i="6" a="1"/>
  <c r="Q61" i="6" s="1"/>
  <c r="Q138" i="6" a="1"/>
  <c r="Q138" i="6" s="1"/>
  <c r="Q131" i="6" a="1"/>
  <c r="Q131" i="6" s="1"/>
  <c r="Q83" i="6" a="1"/>
  <c r="Q83" i="6" s="1"/>
  <c r="Q112" i="6" a="1"/>
  <c r="Q112" i="6" s="1"/>
  <c r="Q70" i="6" a="1"/>
  <c r="Q70" i="6" s="1"/>
  <c r="Q113" i="6" a="1"/>
  <c r="Q113" i="6" s="1"/>
  <c r="Q97" i="6" a="1"/>
  <c r="Q97" i="6" s="1"/>
  <c r="Q120" i="6" a="1"/>
  <c r="Q120" i="6" s="1"/>
  <c r="Q126" i="6" a="1"/>
  <c r="Q126" i="6" s="1"/>
  <c r="Q119" i="6" a="1"/>
  <c r="Q119" i="6" s="1"/>
  <c r="Q71" i="6" a="1"/>
  <c r="Q71" i="6" s="1"/>
  <c r="Q107" i="6" a="1"/>
  <c r="Q107" i="6" s="1"/>
  <c r="Q118" i="6" a="1"/>
  <c r="Q118" i="6" s="1"/>
  <c r="Q106" i="6" a="1"/>
  <c r="Q106" i="6" s="1"/>
  <c r="Q69" i="6" a="1"/>
  <c r="Q69" i="6" s="1"/>
  <c r="Q130" i="6" a="1"/>
  <c r="Q130" i="6" s="1"/>
  <c r="Q72" i="6" a="1"/>
  <c r="Q72" i="6" s="1"/>
  <c r="Q86" i="6" a="1"/>
  <c r="Q86" i="6" s="1"/>
  <c r="Q99" i="6" a="1"/>
  <c r="Q99" i="6" s="1"/>
  <c r="Q74" i="6" a="1"/>
  <c r="Q74" i="6" s="1"/>
  <c r="Q84" i="6" a="1"/>
  <c r="Q84" i="6" s="1"/>
  <c r="Q109" i="6" a="1"/>
  <c r="Q109" i="6" s="1"/>
  <c r="Q63" i="6" a="1"/>
  <c r="Q63" i="6" s="1"/>
  <c r="Q140" i="6" a="1"/>
  <c r="Q140" i="6" s="1"/>
  <c r="Q90" i="6" a="1"/>
  <c r="Q90" i="6" s="1"/>
  <c r="Q100" i="6" a="1"/>
  <c r="Q100" i="6" s="1"/>
  <c r="Q47" i="6" a="1"/>
  <c r="Q47" i="6" s="1"/>
  <c r="Q132" i="6" a="1"/>
  <c r="Q132" i="6" s="1"/>
  <c r="Q125" i="6" a="1"/>
  <c r="Q125" i="6" s="1"/>
  <c r="Q110" i="6" a="1"/>
  <c r="Q110" i="6" s="1"/>
  <c r="Q62" i="6" a="1"/>
  <c r="Q62" i="6" s="1"/>
  <c r="Q139" i="6" a="1"/>
  <c r="Q139" i="6" s="1"/>
  <c r="Q91" i="6" a="1"/>
  <c r="Q91" i="6" s="1"/>
  <c r="Q134" i="6" a="1"/>
  <c r="Q134" i="6" s="1"/>
  <c r="Q101" i="6" a="1"/>
  <c r="Q101" i="6" s="1"/>
  <c r="Q79" i="6" a="1"/>
  <c r="Q79" i="6" s="1"/>
  <c r="Q68" i="6" a="1"/>
  <c r="Q68" i="6" s="1"/>
  <c r="Q104" i="6" a="1"/>
  <c r="Q104" i="6" s="1"/>
  <c r="Q75" i="6" a="1"/>
  <c r="Q75" i="6" s="1"/>
  <c r="Q111" i="6" a="1"/>
  <c r="Q111" i="6" s="1"/>
  <c r="Q85" i="6" a="1"/>
  <c r="Q85" i="6" s="1"/>
  <c r="Q88" i="6" a="1"/>
  <c r="Q88" i="6" s="1"/>
  <c r="Q98" i="6" a="1"/>
  <c r="Q98" i="6" s="1"/>
  <c r="Q73" i="6" a="1"/>
  <c r="Q73" i="6" s="1"/>
  <c r="Q105" i="6" a="1"/>
  <c r="Q105" i="6" s="1"/>
  <c r="Q87" i="6" a="1"/>
  <c r="Q87" i="6" s="1"/>
  <c r="Q82" i="6" a="1"/>
  <c r="Q82" i="6" s="1"/>
  <c r="Q58" i="6" a="1"/>
  <c r="Q58" i="6" s="1"/>
  <c r="Q65" i="6" s="1"/>
  <c r="Q103" i="6" a="1"/>
  <c r="Q103" i="6" s="1"/>
  <c r="Q81" i="6" a="1"/>
  <c r="Q81" i="6" s="1"/>
  <c r="Q49" i="6" a="1"/>
  <c r="Q49" i="6" s="1"/>
  <c r="Q50" i="6" a="1"/>
  <c r="Q50" i="6" s="1"/>
  <c r="Q124" i="6" a="1"/>
  <c r="Q124" i="6" s="1"/>
  <c r="Q127" i="6" s="1"/>
  <c r="Q80" i="6" a="1"/>
  <c r="Q80" i="6" s="1"/>
  <c r="S1" i="13"/>
  <c r="S68" i="12"/>
  <c r="T1" i="12"/>
  <c r="AQ158" i="4"/>
  <c r="AR156" i="4"/>
  <c r="P135" i="6"/>
  <c r="L32" i="4"/>
  <c r="J140" i="13"/>
  <c r="J83" i="14" s="1"/>
  <c r="J139" i="13"/>
  <c r="J137" i="13"/>
  <c r="J72" i="13" s="1"/>
  <c r="J137" i="12"/>
  <c r="J136" i="13"/>
  <c r="J4" i="13" s="1"/>
  <c r="J135" i="13"/>
  <c r="J3" i="13" s="1"/>
  <c r="J142" i="13"/>
  <c r="J85" i="14" s="1"/>
  <c r="J141" i="13"/>
  <c r="J138" i="12"/>
  <c r="J139" i="12"/>
  <c r="J140" i="12"/>
  <c r="J141" i="12"/>
  <c r="J142" i="12"/>
  <c r="J143" i="12"/>
  <c r="U134" i="13"/>
  <c r="J70" i="13"/>
  <c r="J75" i="13"/>
  <c r="P65" i="6"/>
  <c r="BL95" i="4"/>
  <c r="BL101" i="4" s="1"/>
  <c r="AZ101" i="4"/>
  <c r="F82" i="12"/>
  <c r="I81" i="12"/>
  <c r="H81" i="12"/>
  <c r="J81" i="12"/>
  <c r="K81" i="12"/>
  <c r="L81" i="12"/>
  <c r="M81" i="12"/>
  <c r="N81" i="12"/>
  <c r="O81" i="12"/>
  <c r="P81" i="12"/>
  <c r="Q81" i="12"/>
  <c r="J78" i="14"/>
  <c r="R11" i="14"/>
  <c r="R76" i="14" s="1"/>
  <c r="R68" i="13"/>
  <c r="F24" i="14"/>
  <c r="H23" i="14"/>
  <c r="I23" i="14"/>
  <c r="J23" i="14"/>
  <c r="K23" i="14"/>
  <c r="L23" i="14"/>
  <c r="M23" i="14"/>
  <c r="N23" i="14"/>
  <c r="O23" i="14"/>
  <c r="P23" i="14"/>
  <c r="K10" i="15"/>
  <c r="R30" i="4"/>
  <c r="E146" i="13"/>
  <c r="E81" i="13"/>
  <c r="G14" i="13"/>
  <c r="F147" i="12"/>
  <c r="H146" i="12"/>
  <c r="I146" i="12"/>
  <c r="J146" i="12"/>
  <c r="AE161" i="4"/>
  <c r="S168" i="4"/>
  <c r="S165" i="4"/>
  <c r="O32" i="5" a="1"/>
  <c r="O32" i="5" s="1"/>
  <c r="O37" i="5" a="1"/>
  <c r="O37" i="5" s="1"/>
  <c r="O34" i="5" a="1"/>
  <c r="O34" i="5" s="1"/>
  <c r="O29" i="5" a="1"/>
  <c r="O29" i="5" s="1"/>
  <c r="O33" i="5" a="1"/>
  <c r="O33" i="5" s="1"/>
  <c r="O48" i="5" a="1"/>
  <c r="O48" i="5" s="1"/>
  <c r="P8" i="5"/>
  <c r="O35" i="5" a="1"/>
  <c r="O35" i="5" s="1"/>
  <c r="O28" i="5" a="1"/>
  <c r="O28" i="5" s="1"/>
  <c r="O31" i="5" a="1"/>
  <c r="O31" i="5" s="1"/>
  <c r="AP95" i="4"/>
  <c r="AD101" i="4"/>
  <c r="P76" i="6"/>
  <c r="P142" i="6"/>
  <c r="AP129" i="4"/>
  <c r="J8" i="13"/>
  <c r="BM161" i="4" l="1"/>
  <c r="BA168" i="4"/>
  <c r="BA165" i="4"/>
  <c r="H6" i="15"/>
  <c r="L1" i="14"/>
  <c r="L8" i="14"/>
  <c r="O13" i="4"/>
  <c r="M2" i="14" s="1"/>
  <c r="T4" i="4"/>
  <c r="T46" i="4"/>
  <c r="E82" i="13"/>
  <c r="E147" i="13"/>
  <c r="G15" i="13"/>
  <c r="AE168" i="4"/>
  <c r="AE165" i="4"/>
  <c r="AQ161" i="4"/>
  <c r="T1" i="13"/>
  <c r="T68" i="12"/>
  <c r="U1" i="12"/>
  <c r="Q142" i="6"/>
  <c r="R152" i="6" a="1"/>
  <c r="R152" i="6" s="1"/>
  <c r="S8" i="6"/>
  <c r="R115" i="6" a="1"/>
  <c r="R115" i="6" s="1"/>
  <c r="R99" i="6" a="1"/>
  <c r="R99" i="6" s="1"/>
  <c r="R86" i="6" a="1"/>
  <c r="R86" i="6" s="1"/>
  <c r="R133" i="6" a="1"/>
  <c r="R133" i="6" s="1"/>
  <c r="R104" i="6" a="1"/>
  <c r="R104" i="6" s="1"/>
  <c r="R82" i="6" a="1"/>
  <c r="R82" i="6" s="1"/>
  <c r="R64" i="6" a="1"/>
  <c r="R64" i="6" s="1"/>
  <c r="R59" i="6" a="1"/>
  <c r="R59" i="6" s="1"/>
  <c r="R103" i="6" a="1"/>
  <c r="R103" i="6" s="1"/>
  <c r="R114" i="6" a="1"/>
  <c r="R114" i="6" s="1"/>
  <c r="R102" i="6" a="1"/>
  <c r="R102" i="6" s="1"/>
  <c r="R80" i="6" a="1"/>
  <c r="R80" i="6" s="1"/>
  <c r="R120" i="6" a="1"/>
  <c r="R120" i="6" s="1"/>
  <c r="R79" i="6" a="1"/>
  <c r="R79" i="6" s="1"/>
  <c r="R71" i="6" a="1"/>
  <c r="R71" i="6" s="1"/>
  <c r="R90" i="6" a="1"/>
  <c r="R90" i="6" s="1"/>
  <c r="R68" i="6" a="1"/>
  <c r="R68" i="6" s="1"/>
  <c r="R140" i="6" a="1"/>
  <c r="R140" i="6" s="1"/>
  <c r="R58" i="6" a="1"/>
  <c r="R58" i="6" s="1"/>
  <c r="R81" i="6" a="1"/>
  <c r="R81" i="6" s="1"/>
  <c r="R106" i="6" a="1"/>
  <c r="R106" i="6" s="1"/>
  <c r="R84" i="6" a="1"/>
  <c r="R84" i="6" s="1"/>
  <c r="R113" i="6" a="1"/>
  <c r="R113" i="6" s="1"/>
  <c r="R69" i="6" a="1"/>
  <c r="R69" i="6" s="1"/>
  <c r="R101" i="6" a="1"/>
  <c r="R101" i="6" s="1"/>
  <c r="R49" i="6" a="1"/>
  <c r="R49" i="6" s="1"/>
  <c r="R88" i="6" a="1"/>
  <c r="R88" i="6" s="1"/>
  <c r="R91" i="6" a="1"/>
  <c r="R91" i="6" s="1"/>
  <c r="R130" i="6" a="1"/>
  <c r="R130" i="6" s="1"/>
  <c r="R141" i="6" a="1"/>
  <c r="R141" i="6" s="1"/>
  <c r="R97" i="6" a="1"/>
  <c r="R97" i="6" s="1"/>
  <c r="R92" i="6" a="1"/>
  <c r="R92" i="6" s="1"/>
  <c r="R70" i="6" a="1"/>
  <c r="R70" i="6" s="1"/>
  <c r="R50" i="6" a="1"/>
  <c r="R50" i="6" s="1"/>
  <c r="R98" i="6" a="1"/>
  <c r="R98" i="6" s="1"/>
  <c r="R134" i="6" a="1"/>
  <c r="R134" i="6" s="1"/>
  <c r="R83" i="6" a="1"/>
  <c r="R83" i="6" s="1"/>
  <c r="R72" i="6" a="1"/>
  <c r="R72" i="6" s="1"/>
  <c r="R107" i="6" a="1"/>
  <c r="R107" i="6" s="1"/>
  <c r="R46" i="6" a="1"/>
  <c r="R46" i="6" s="1"/>
  <c r="R111" i="6" a="1"/>
  <c r="R111" i="6" s="1"/>
  <c r="R118" i="6" a="1"/>
  <c r="R118" i="6" s="1"/>
  <c r="R60" i="6" a="1"/>
  <c r="R60" i="6" s="1"/>
  <c r="R105" i="6" a="1"/>
  <c r="R105" i="6" s="1"/>
  <c r="R126" i="6" a="1"/>
  <c r="R126" i="6" s="1"/>
  <c r="R119" i="6" a="1"/>
  <c r="R119" i="6" s="1"/>
  <c r="R132" i="6" a="1"/>
  <c r="R132" i="6" s="1"/>
  <c r="R125" i="6" a="1"/>
  <c r="R125" i="6" s="1"/>
  <c r="R61" i="6" a="1"/>
  <c r="R61" i="6" s="1"/>
  <c r="R73" i="6" a="1"/>
  <c r="R73" i="6" s="1"/>
  <c r="R108" i="6" a="1"/>
  <c r="R108" i="6" s="1"/>
  <c r="R124" i="6" a="1"/>
  <c r="R124" i="6" s="1"/>
  <c r="R127" i="6" s="1"/>
  <c r="R62" i="6" a="1"/>
  <c r="R62" i="6" s="1"/>
  <c r="R109" i="6" a="1"/>
  <c r="R109" i="6" s="1"/>
  <c r="R63" i="6" a="1"/>
  <c r="R63" i="6" s="1"/>
  <c r="R85" i="6" a="1"/>
  <c r="R85" i="6" s="1"/>
  <c r="R112" i="6" a="1"/>
  <c r="R112" i="6" s="1"/>
  <c r="R100" i="6" a="1"/>
  <c r="R100" i="6" s="1"/>
  <c r="R75" i="6" a="1"/>
  <c r="R75" i="6" s="1"/>
  <c r="R47" i="6" a="1"/>
  <c r="R47" i="6" s="1"/>
  <c r="R96" i="6" a="1"/>
  <c r="R96" i="6" s="1"/>
  <c r="R89" i="6" a="1"/>
  <c r="R89" i="6" s="1"/>
  <c r="R139" i="6" a="1"/>
  <c r="R139" i="6" s="1"/>
  <c r="R74" i="6" a="1"/>
  <c r="R74" i="6" s="1"/>
  <c r="R110" i="6" a="1"/>
  <c r="R110" i="6" s="1"/>
  <c r="R138" i="6" a="1"/>
  <c r="R138" i="6" s="1"/>
  <c r="R131" i="6" a="1"/>
  <c r="R131" i="6" s="1"/>
  <c r="R87" i="6" a="1"/>
  <c r="R87" i="6" s="1"/>
  <c r="D80" i="13"/>
  <c r="D88" i="14" s="1"/>
  <c r="D14" i="13"/>
  <c r="H14" i="13" s="1"/>
  <c r="T165" i="4"/>
  <c r="T168" i="4"/>
  <c r="AF161" i="4"/>
  <c r="P178" i="4"/>
  <c r="O150" i="6" a="1"/>
  <c r="O150" i="6" s="1"/>
  <c r="M46" i="5" a="1"/>
  <c r="M46" i="5" s="1"/>
  <c r="J10" i="13"/>
  <c r="J84" i="14"/>
  <c r="J9" i="13"/>
  <c r="J80" i="14"/>
  <c r="BM129" i="4"/>
  <c r="M7" i="7"/>
  <c r="N3" i="7" s="1"/>
  <c r="M4" i="7"/>
  <c r="Q174" i="4"/>
  <c r="E81" i="12"/>
  <c r="E24" i="14" s="1"/>
  <c r="E15" i="12"/>
  <c r="CA178" i="4"/>
  <c r="Z150" i="6"/>
  <c r="W46" i="5"/>
  <c r="S11" i="14"/>
  <c r="S76" i="14" s="1"/>
  <c r="S68" i="13"/>
  <c r="AF129" i="4"/>
  <c r="L6" i="7"/>
  <c r="P177" i="4" s="1"/>
  <c r="P175" i="4"/>
  <c r="J71" i="13"/>
  <c r="AP165" i="4"/>
  <c r="BB161" i="4"/>
  <c r="AP168" i="4"/>
  <c r="J79" i="14"/>
  <c r="J76" i="13"/>
  <c r="F25" i="14"/>
  <c r="H24" i="14"/>
  <c r="I24" i="14"/>
  <c r="J24" i="14"/>
  <c r="K24" i="14"/>
  <c r="L24" i="14"/>
  <c r="M24" i="14"/>
  <c r="N24" i="14"/>
  <c r="O24" i="14"/>
  <c r="P24" i="14"/>
  <c r="Q24" i="14"/>
  <c r="H82" i="12"/>
  <c r="I82" i="12"/>
  <c r="F83" i="12"/>
  <c r="J82" i="12"/>
  <c r="K82" i="12"/>
  <c r="L82" i="12"/>
  <c r="M82" i="12"/>
  <c r="N82" i="12"/>
  <c r="O82" i="12"/>
  <c r="P82" i="12"/>
  <c r="Q82" i="12"/>
  <c r="R82" i="12"/>
  <c r="J77" i="13"/>
  <c r="Q76" i="6"/>
  <c r="Q135" i="6"/>
  <c r="AF95" i="4"/>
  <c r="T101" i="4"/>
  <c r="H80" i="13"/>
  <c r="H13" i="13"/>
  <c r="S82" i="12"/>
  <c r="BL168" i="4"/>
  <c r="BL165" i="4"/>
  <c r="H79" i="13"/>
  <c r="L10" i="15"/>
  <c r="S30" i="4"/>
  <c r="V134" i="13"/>
  <c r="BB95" i="4"/>
  <c r="AP101" i="4"/>
  <c r="H147" i="12"/>
  <c r="F148" i="12"/>
  <c r="J147" i="12"/>
  <c r="P37" i="5" a="1"/>
  <c r="P37" i="5" s="1"/>
  <c r="P34" i="5" a="1"/>
  <c r="P34" i="5" s="1"/>
  <c r="P28" i="5" a="1"/>
  <c r="P28" i="5" s="1"/>
  <c r="P29" i="5" a="1"/>
  <c r="P29" i="5" s="1"/>
  <c r="P35" i="5" a="1"/>
  <c r="P35" i="5" s="1"/>
  <c r="P31" i="5" a="1"/>
  <c r="P31" i="5" s="1"/>
  <c r="Q8" i="5"/>
  <c r="P48" i="5" a="1"/>
  <c r="P48" i="5" s="1"/>
  <c r="P32" i="5" a="1"/>
  <c r="P32" i="5" s="1"/>
  <c r="P33" i="5" a="1"/>
  <c r="P33" i="5" s="1"/>
  <c r="Q93" i="6"/>
  <c r="H88" i="14"/>
  <c r="F16" i="12"/>
  <c r="H15" i="12"/>
  <c r="I147" i="12" s="1"/>
  <c r="I15" i="12"/>
  <c r="J15" i="12"/>
  <c r="K147" i="12" s="1"/>
  <c r="K15" i="12"/>
  <c r="L15" i="12"/>
  <c r="M15" i="12"/>
  <c r="N15" i="12"/>
  <c r="O15" i="12"/>
  <c r="P15" i="12"/>
  <c r="Q15" i="12"/>
  <c r="BM95" i="4"/>
  <c r="BM101" i="4" s="1"/>
  <c r="BA101" i="4"/>
  <c r="N151" i="6" a="1"/>
  <c r="N151" i="6" s="1"/>
  <c r="L47" i="5" a="1"/>
  <c r="L47" i="5" s="1"/>
  <c r="L49" i="5" a="1"/>
  <c r="L49" i="5" s="1"/>
  <c r="N154" i="6" a="1"/>
  <c r="N154" i="6" s="1"/>
  <c r="AQ129" i="4"/>
  <c r="T2" i="12"/>
  <c r="S15" i="12"/>
  <c r="S16" i="12"/>
  <c r="I78" i="13"/>
  <c r="I143" i="13"/>
  <c r="T12" i="14"/>
  <c r="S25" i="14"/>
  <c r="S7" i="14"/>
  <c r="U29" i="4"/>
  <c r="O11" i="15" s="1"/>
  <c r="V9" i="4"/>
  <c r="U8" i="4"/>
  <c r="U6" i="4"/>
  <c r="U129" i="4"/>
  <c r="U98" i="4"/>
  <c r="AG98" i="4" s="1"/>
  <c r="AS98" i="4" s="1"/>
  <c r="BE98" i="4" s="1"/>
  <c r="BQ98" i="4" s="1"/>
  <c r="U161" i="4"/>
  <c r="U95" i="4"/>
  <c r="J17" i="11"/>
  <c r="I17" i="11"/>
  <c r="H17" i="11"/>
  <c r="G18" i="11"/>
  <c r="AQ95" i="4"/>
  <c r="AE101" i="4"/>
  <c r="U134" i="12"/>
  <c r="L42" i="5" a="1"/>
  <c r="L42" i="5" s="1"/>
  <c r="N153" i="6" a="1"/>
  <c r="N153" i="6" s="1"/>
  <c r="BB129" i="4"/>
  <c r="E89" i="14"/>
  <c r="G89" i="14" s="1"/>
  <c r="G81" i="13"/>
  <c r="AR158" i="4"/>
  <c r="AS156" i="4"/>
  <c r="G14" i="15"/>
  <c r="B20" i="14"/>
  <c r="C20" i="14" s="1"/>
  <c r="B19" i="13"/>
  <c r="C19" i="13" s="1"/>
  <c r="B19" i="12"/>
  <c r="C19" i="12" s="1"/>
  <c r="T83" i="12"/>
  <c r="U69" i="12"/>
  <c r="F17" i="13"/>
  <c r="E16" i="13" a="1"/>
  <c r="E16" i="13" s="1"/>
  <c r="R15" i="12"/>
  <c r="R24" i="14"/>
  <c r="U12" i="14" l="1"/>
  <c r="BN95" i="4"/>
  <c r="BN101" i="4" s="1"/>
  <c r="BB101" i="4"/>
  <c r="I145" i="13"/>
  <c r="I80" i="13" s="1"/>
  <c r="F84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M42" i="5" a="1"/>
  <c r="M42" i="5" s="1"/>
  <c r="O153" i="6" a="1"/>
  <c r="O153" i="6" s="1"/>
  <c r="AG95" i="4"/>
  <c r="U101" i="4"/>
  <c r="I11" i="13"/>
  <c r="I86" i="14"/>
  <c r="M10" i="15"/>
  <c r="T30" i="4"/>
  <c r="K79" i="14"/>
  <c r="CB174" i="4"/>
  <c r="Z154" i="6"/>
  <c r="W49" i="5"/>
  <c r="AQ168" i="4"/>
  <c r="BC161" i="4"/>
  <c r="AQ165" i="4"/>
  <c r="M32" i="4"/>
  <c r="K136" i="13"/>
  <c r="K4" i="13" s="1"/>
  <c r="K135" i="13"/>
  <c r="K141" i="13"/>
  <c r="K76" i="13" s="1"/>
  <c r="K139" i="13"/>
  <c r="K142" i="13"/>
  <c r="K85" i="14" s="1"/>
  <c r="K138" i="13"/>
  <c r="K140" i="13"/>
  <c r="K138" i="12"/>
  <c r="K140" i="12"/>
  <c r="K139" i="12"/>
  <c r="K141" i="12"/>
  <c r="K143" i="12"/>
  <c r="K142" i="12"/>
  <c r="K144" i="12"/>
  <c r="K145" i="12"/>
  <c r="V134" i="12"/>
  <c r="U168" i="4"/>
  <c r="AG161" i="4"/>
  <c r="U165" i="4"/>
  <c r="AR95" i="4"/>
  <c r="AF101" i="4"/>
  <c r="E16" i="12"/>
  <c r="E82" i="12"/>
  <c r="E25" i="14" s="1"/>
  <c r="K9" i="13"/>
  <c r="M49" i="5" a="1"/>
  <c r="M49" i="5" s="1"/>
  <c r="O154" i="6" a="1"/>
  <c r="O154" i="6" s="1"/>
  <c r="R93" i="6"/>
  <c r="I6" i="15"/>
  <c r="M1" i="14"/>
  <c r="M8" i="14"/>
  <c r="P13" i="4"/>
  <c r="N2" i="14" s="1"/>
  <c r="BM168" i="4"/>
  <c r="BM165" i="4"/>
  <c r="K137" i="13"/>
  <c r="U84" i="12"/>
  <c r="V69" i="12"/>
  <c r="J78" i="13"/>
  <c r="K143" i="13" s="1"/>
  <c r="J143" i="13"/>
  <c r="BC129" i="4"/>
  <c r="E148" i="13"/>
  <c r="E83" i="13"/>
  <c r="G16" i="13"/>
  <c r="H16" i="12"/>
  <c r="F17" i="12"/>
  <c r="I16" i="12"/>
  <c r="J16" i="12"/>
  <c r="K16" i="12"/>
  <c r="L148" i="12" s="1"/>
  <c r="L16" i="12"/>
  <c r="M16" i="12"/>
  <c r="N16" i="12"/>
  <c r="O16" i="12"/>
  <c r="P16" i="12"/>
  <c r="Q16" i="12"/>
  <c r="R16" i="12"/>
  <c r="I79" i="13"/>
  <c r="I144" i="13"/>
  <c r="BN161" i="4"/>
  <c r="BB165" i="4"/>
  <c r="BB168" i="4"/>
  <c r="AR129" i="4"/>
  <c r="K84" i="14"/>
  <c r="U1" i="13"/>
  <c r="V1" i="12"/>
  <c r="U68" i="12"/>
  <c r="T7" i="14"/>
  <c r="V29" i="4"/>
  <c r="P11" i="15" s="1"/>
  <c r="V8" i="4"/>
  <c r="W9" i="4"/>
  <c r="V6" i="4"/>
  <c r="AS158" i="4"/>
  <c r="AT156" i="4"/>
  <c r="F18" i="13"/>
  <c r="E17" i="13" a="1"/>
  <c r="E17" i="13" s="1"/>
  <c r="BC95" i="4"/>
  <c r="AQ101" i="4"/>
  <c r="AG129" i="4"/>
  <c r="Q178" i="4"/>
  <c r="P150" i="6" a="1"/>
  <c r="P150" i="6" s="1"/>
  <c r="N46" i="5" a="1"/>
  <c r="N46" i="5" s="1"/>
  <c r="AF168" i="4"/>
  <c r="AF165" i="4"/>
  <c r="AR161" i="4"/>
  <c r="R65" i="6"/>
  <c r="K146" i="12"/>
  <c r="G19" i="11"/>
  <c r="J18" i="11"/>
  <c r="H18" i="11"/>
  <c r="I18" i="11"/>
  <c r="I88" i="14"/>
  <c r="H148" i="12"/>
  <c r="F149" i="12"/>
  <c r="J148" i="12"/>
  <c r="I148" i="12"/>
  <c r="K148" i="12"/>
  <c r="H25" i="14"/>
  <c r="F26" i="14"/>
  <c r="T26" i="14" s="1"/>
  <c r="I25" i="14"/>
  <c r="J25" i="14"/>
  <c r="K25" i="14"/>
  <c r="L25" i="14"/>
  <c r="M25" i="14"/>
  <c r="N25" i="14"/>
  <c r="O25" i="14"/>
  <c r="P25" i="14"/>
  <c r="Q25" i="14"/>
  <c r="R25" i="14"/>
  <c r="K71" i="13"/>
  <c r="M6" i="7"/>
  <c r="Q177" i="4" s="1"/>
  <c r="Q175" i="4"/>
  <c r="R142" i="6"/>
  <c r="S152" i="6" a="1"/>
  <c r="S152" i="6" s="1"/>
  <c r="T8" i="6"/>
  <c r="S79" i="6" a="1"/>
  <c r="S79" i="6" s="1"/>
  <c r="S138" i="6" a="1"/>
  <c r="S138" i="6" s="1"/>
  <c r="S120" i="6" a="1"/>
  <c r="S120" i="6" s="1"/>
  <c r="S109" i="6" a="1"/>
  <c r="S109" i="6" s="1"/>
  <c r="S111" i="6" a="1"/>
  <c r="S111" i="6" s="1"/>
  <c r="S132" i="6" a="1"/>
  <c r="S132" i="6" s="1"/>
  <c r="S74" i="6" a="1"/>
  <c r="S74" i="6" s="1"/>
  <c r="S92" i="6" a="1"/>
  <c r="S92" i="6" s="1"/>
  <c r="S88" i="6" a="1"/>
  <c r="S88" i="6" s="1"/>
  <c r="S62" i="6" a="1"/>
  <c r="S62" i="6" s="1"/>
  <c r="S134" i="6" a="1"/>
  <c r="S134" i="6" s="1"/>
  <c r="S130" i="6" a="1"/>
  <c r="S130" i="6" s="1"/>
  <c r="S47" i="6" a="1"/>
  <c r="S47" i="6" s="1"/>
  <c r="S103" i="6" a="1"/>
  <c r="S103" i="6" s="1"/>
  <c r="S81" i="6" a="1"/>
  <c r="S81" i="6" s="1"/>
  <c r="S70" i="6" a="1"/>
  <c r="S70" i="6" s="1"/>
  <c r="S106" i="6" a="1"/>
  <c r="S106" i="6" s="1"/>
  <c r="S102" i="6" a="1"/>
  <c r="S102" i="6" s="1"/>
  <c r="S113" i="6" a="1"/>
  <c r="S113" i="6" s="1"/>
  <c r="S63" i="6" a="1"/>
  <c r="S63" i="6" s="1"/>
  <c r="S112" i="6" a="1"/>
  <c r="S112" i="6" s="1"/>
  <c r="S68" i="6" a="1"/>
  <c r="S68" i="6" s="1"/>
  <c r="S119" i="6" a="1"/>
  <c r="S119" i="6" s="1"/>
  <c r="S75" i="6" a="1"/>
  <c r="S75" i="6" s="1"/>
  <c r="S115" i="6" a="1"/>
  <c r="S115" i="6" s="1"/>
  <c r="S89" i="6" a="1"/>
  <c r="S89" i="6" s="1"/>
  <c r="S64" i="6" a="1"/>
  <c r="S64" i="6" s="1"/>
  <c r="S59" i="6" a="1"/>
  <c r="S59" i="6" s="1"/>
  <c r="S139" i="6" a="1"/>
  <c r="S139" i="6" s="1"/>
  <c r="S99" i="6" a="1"/>
  <c r="S99" i="6" s="1"/>
  <c r="S50" i="6" a="1"/>
  <c r="S50" i="6" s="1"/>
  <c r="S84" i="6" a="1"/>
  <c r="S84" i="6" s="1"/>
  <c r="S80" i="6" a="1"/>
  <c r="S80" i="6" s="1"/>
  <c r="S141" i="6" a="1"/>
  <c r="S141" i="6" s="1"/>
  <c r="S105" i="6" a="1"/>
  <c r="S105" i="6" s="1"/>
  <c r="S83" i="6" a="1"/>
  <c r="S83" i="6" s="1"/>
  <c r="S90" i="6" a="1"/>
  <c r="S90" i="6" s="1"/>
  <c r="S87" i="6" a="1"/>
  <c r="S87" i="6" s="1"/>
  <c r="S96" i="6" a="1"/>
  <c r="S96" i="6" s="1"/>
  <c r="S107" i="6" a="1"/>
  <c r="S107" i="6" s="1"/>
  <c r="S85" i="6" a="1"/>
  <c r="S85" i="6" s="1"/>
  <c r="S49" i="6" a="1"/>
  <c r="S49" i="6" s="1"/>
  <c r="S72" i="6" a="1"/>
  <c r="S72" i="6" s="1"/>
  <c r="S126" i="6" a="1"/>
  <c r="S126" i="6" s="1"/>
  <c r="S82" i="6" a="1"/>
  <c r="S82" i="6" s="1"/>
  <c r="S58" i="6" a="1"/>
  <c r="S58" i="6" s="1"/>
  <c r="S101" i="6" a="1"/>
  <c r="S101" i="6" s="1"/>
  <c r="S71" i="6" a="1"/>
  <c r="S71" i="6" s="1"/>
  <c r="S61" i="6" a="1"/>
  <c r="S61" i="6" s="1"/>
  <c r="S98" i="6" a="1"/>
  <c r="S98" i="6" s="1"/>
  <c r="S91" i="6" a="1"/>
  <c r="S91" i="6" s="1"/>
  <c r="S69" i="6" a="1"/>
  <c r="S69" i="6" s="1"/>
  <c r="S97" i="6" a="1"/>
  <c r="S97" i="6" s="1"/>
  <c r="S46" i="6" a="1"/>
  <c r="S46" i="6" s="1"/>
  <c r="S140" i="6" a="1"/>
  <c r="S140" i="6" s="1"/>
  <c r="S133" i="6" a="1"/>
  <c r="S133" i="6" s="1"/>
  <c r="S104" i="6" a="1"/>
  <c r="S104" i="6" s="1"/>
  <c r="S73" i="6" a="1"/>
  <c r="S73" i="6" s="1"/>
  <c r="S100" i="6" a="1"/>
  <c r="S100" i="6" s="1"/>
  <c r="S60" i="6" a="1"/>
  <c r="S60" i="6" s="1"/>
  <c r="S114" i="6" a="1"/>
  <c r="S114" i="6" s="1"/>
  <c r="S110" i="6" a="1"/>
  <c r="S110" i="6" s="1"/>
  <c r="S86" i="6" a="1"/>
  <c r="S86" i="6" s="1"/>
  <c r="S125" i="6" a="1"/>
  <c r="S125" i="6" s="1"/>
  <c r="S118" i="6" a="1"/>
  <c r="S118" i="6" s="1"/>
  <c r="S131" i="6" a="1"/>
  <c r="S131" i="6" s="1"/>
  <c r="S124" i="6" a="1"/>
  <c r="S124" i="6" s="1"/>
  <c r="S108" i="6" a="1"/>
  <c r="S108" i="6" s="1"/>
  <c r="T11" i="14"/>
  <c r="T76" i="14" s="1"/>
  <c r="T68" i="13"/>
  <c r="BN129" i="4"/>
  <c r="B21" i="14"/>
  <c r="C21" i="14" s="1"/>
  <c r="B20" i="13"/>
  <c r="H15" i="13" s="1"/>
  <c r="B20" i="12"/>
  <c r="C20" i="12" s="1"/>
  <c r="U4" i="4"/>
  <c r="U46" i="4"/>
  <c r="T17" i="12"/>
  <c r="U2" i="12"/>
  <c r="T16" i="12"/>
  <c r="Q28" i="5" a="1"/>
  <c r="Q28" i="5" s="1"/>
  <c r="Q35" i="5" a="1"/>
  <c r="Q35" i="5" s="1"/>
  <c r="Q31" i="5" a="1"/>
  <c r="Q31" i="5" s="1"/>
  <c r="Q48" i="5" a="1"/>
  <c r="Q48" i="5" s="1"/>
  <c r="Q33" i="5" a="1"/>
  <c r="Q33" i="5" s="1"/>
  <c r="Q32" i="5" a="1"/>
  <c r="Q32" i="5" s="1"/>
  <c r="Q34" i="5" a="1"/>
  <c r="Q34" i="5" s="1"/>
  <c r="Q37" i="5" a="1"/>
  <c r="Q37" i="5" s="1"/>
  <c r="R8" i="5"/>
  <c r="Q29" i="5" a="1"/>
  <c r="Q29" i="5" s="1"/>
  <c r="N4" i="7"/>
  <c r="N7" i="7"/>
  <c r="O3" i="7" s="1"/>
  <c r="R174" i="4"/>
  <c r="R76" i="6"/>
  <c r="E90" i="14"/>
  <c r="G90" i="14" s="1"/>
  <c r="G82" i="13"/>
  <c r="H7" i="15"/>
  <c r="H18" i="15"/>
  <c r="H14" i="15" s="1"/>
  <c r="L147" i="12" s="1"/>
  <c r="W134" i="13"/>
  <c r="I13" i="13"/>
  <c r="O151" i="6" a="1"/>
  <c r="O151" i="6" s="1"/>
  <c r="M47" i="5" a="1"/>
  <c r="M47" i="5" s="1"/>
  <c r="K10" i="13"/>
  <c r="D81" i="13"/>
  <c r="D89" i="14" s="1"/>
  <c r="H89" i="14" s="1"/>
  <c r="D15" i="13"/>
  <c r="R135" i="6"/>
  <c r="J145" i="13" l="1"/>
  <c r="J80" i="13" s="1"/>
  <c r="R178" i="4"/>
  <c r="Q150" i="6" a="1"/>
  <c r="Q150" i="6" s="1"/>
  <c r="O46" i="5" a="1"/>
  <c r="O46" i="5" s="1"/>
  <c r="E149" i="13"/>
  <c r="E84" i="13"/>
  <c r="G17" i="13"/>
  <c r="V85" i="12"/>
  <c r="W69" i="12"/>
  <c r="W134" i="12"/>
  <c r="C20" i="13"/>
  <c r="C21" i="13" s="1"/>
  <c r="F19" i="13"/>
  <c r="E18" i="13" a="1"/>
  <c r="E18" i="13" s="1"/>
  <c r="BN168" i="4"/>
  <c r="BN165" i="4"/>
  <c r="E91" i="14"/>
  <c r="G91" i="14" s="1"/>
  <c r="G83" i="13"/>
  <c r="H83" i="13" s="1"/>
  <c r="J6" i="15"/>
  <c r="N8" i="14"/>
  <c r="N1" i="14"/>
  <c r="Q13" i="4"/>
  <c r="O2" i="14" s="1"/>
  <c r="AG165" i="4"/>
  <c r="AS161" i="4"/>
  <c r="AG168" i="4"/>
  <c r="K3" i="13"/>
  <c r="K78" i="14"/>
  <c r="K70" i="13"/>
  <c r="N6" i="7"/>
  <c r="R177" i="4" s="1"/>
  <c r="R175" i="4"/>
  <c r="S76" i="6"/>
  <c r="H149" i="12"/>
  <c r="F150" i="12"/>
  <c r="N49" i="5" a="1"/>
  <c r="N49" i="5" s="1"/>
  <c r="P154" i="6" a="1"/>
  <c r="P154" i="6" s="1"/>
  <c r="AT158" i="4"/>
  <c r="AU156" i="4"/>
  <c r="V1" i="13"/>
  <c r="V68" i="12"/>
  <c r="W1" i="12"/>
  <c r="I12" i="13"/>
  <c r="I87" i="14"/>
  <c r="J87" i="14" s="1"/>
  <c r="L9" i="13"/>
  <c r="K81" i="14"/>
  <c r="L81" i="14" s="1"/>
  <c r="K73" i="13"/>
  <c r="K6" i="13"/>
  <c r="CB178" i="4"/>
  <c r="X46" i="5"/>
  <c r="AA150" i="6"/>
  <c r="AS95" i="4"/>
  <c r="AG101" i="4"/>
  <c r="H84" i="12"/>
  <c r="F85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S127" i="6"/>
  <c r="T152" i="6" a="1"/>
  <c r="T152" i="6" s="1"/>
  <c r="T99" i="6" a="1"/>
  <c r="T99" i="6" s="1"/>
  <c r="T61" i="6" a="1"/>
  <c r="T61" i="6" s="1"/>
  <c r="T110" i="6" a="1"/>
  <c r="T110" i="6" s="1"/>
  <c r="T88" i="6" a="1"/>
  <c r="T88" i="6" s="1"/>
  <c r="T113" i="6" a="1"/>
  <c r="T113" i="6" s="1"/>
  <c r="T87" i="6" a="1"/>
  <c r="T87" i="6" s="1"/>
  <c r="T72" i="6" a="1"/>
  <c r="T72" i="6" s="1"/>
  <c r="T100" i="6" a="1"/>
  <c r="T100" i="6" s="1"/>
  <c r="T85" i="6" a="1"/>
  <c r="T85" i="6" s="1"/>
  <c r="T89" i="6" a="1"/>
  <c r="T89" i="6" s="1"/>
  <c r="T74" i="6" a="1"/>
  <c r="T74" i="6" s="1"/>
  <c r="T120" i="6" a="1"/>
  <c r="T120" i="6" s="1"/>
  <c r="T46" i="6" a="1"/>
  <c r="T46" i="6" s="1"/>
  <c r="V46" i="6" s="1"/>
  <c r="T107" i="6" a="1"/>
  <c r="T107" i="6" s="1"/>
  <c r="T119" i="6" a="1"/>
  <c r="T119" i="6" s="1"/>
  <c r="T103" i="6" a="1"/>
  <c r="T103" i="6" s="1"/>
  <c r="T80" i="6" a="1"/>
  <c r="T80" i="6" s="1"/>
  <c r="T63" i="6" a="1"/>
  <c r="T63" i="6" s="1"/>
  <c r="T134" i="6" a="1"/>
  <c r="T134" i="6" s="1"/>
  <c r="T101" i="6" a="1"/>
  <c r="T101" i="6" s="1"/>
  <c r="T47" i="6" a="1"/>
  <c r="T47" i="6" s="1"/>
  <c r="V47" i="6" s="1"/>
  <c r="T75" i="6" a="1"/>
  <c r="T75" i="6" s="1"/>
  <c r="T62" i="6" a="1"/>
  <c r="T62" i="6" s="1"/>
  <c r="T91" i="6" a="1"/>
  <c r="T91" i="6" s="1"/>
  <c r="T133" i="6" a="1"/>
  <c r="T133" i="6" s="1"/>
  <c r="T126" i="6" a="1"/>
  <c r="T126" i="6" s="1"/>
  <c r="T131" i="6" a="1"/>
  <c r="T131" i="6" s="1"/>
  <c r="T114" i="6" a="1"/>
  <c r="T114" i="6" s="1"/>
  <c r="T98" i="6" a="1"/>
  <c r="T98" i="6" s="1"/>
  <c r="T69" i="6" a="1"/>
  <c r="T69" i="6" s="1"/>
  <c r="T141" i="6" a="1"/>
  <c r="T141" i="6" s="1"/>
  <c r="T105" i="6" a="1"/>
  <c r="T105" i="6" s="1"/>
  <c r="T112" i="6" a="1"/>
  <c r="T112" i="6" s="1"/>
  <c r="T140" i="6" a="1"/>
  <c r="T140" i="6" s="1"/>
  <c r="T58" i="6" a="1"/>
  <c r="T58" i="6" s="1"/>
  <c r="T64" i="6" a="1"/>
  <c r="T64" i="6" s="1"/>
  <c r="T59" i="6" a="1"/>
  <c r="T59" i="6" s="1"/>
  <c r="T60" i="6" a="1"/>
  <c r="T60" i="6" s="1"/>
  <c r="T49" i="6" a="1"/>
  <c r="T49" i="6" s="1"/>
  <c r="V49" i="6" s="1"/>
  <c r="T81" i="6" a="1"/>
  <c r="T81" i="6" s="1"/>
  <c r="T138" i="6" a="1"/>
  <c r="T138" i="6" s="1"/>
  <c r="T106" i="6" a="1"/>
  <c r="T106" i="6" s="1"/>
  <c r="T84" i="6" a="1"/>
  <c r="T84" i="6" s="1"/>
  <c r="T83" i="6" a="1"/>
  <c r="T83" i="6" s="1"/>
  <c r="T130" i="6" a="1"/>
  <c r="T130" i="6" s="1"/>
  <c r="T79" i="6" a="1"/>
  <c r="T79" i="6" s="1"/>
  <c r="T104" i="6" a="1"/>
  <c r="T104" i="6" s="1"/>
  <c r="T82" i="6" a="1"/>
  <c r="T82" i="6" s="1"/>
  <c r="T111" i="6" a="1"/>
  <c r="T111" i="6" s="1"/>
  <c r="T92" i="6" a="1"/>
  <c r="T92" i="6" s="1"/>
  <c r="T70" i="6" a="1"/>
  <c r="T70" i="6" s="1"/>
  <c r="T50" i="6" a="1"/>
  <c r="T50" i="6" s="1"/>
  <c r="V50" i="6" s="1"/>
  <c r="T124" i="6" a="1"/>
  <c r="T124" i="6" s="1"/>
  <c r="T108" i="6" a="1"/>
  <c r="T108" i="6" s="1"/>
  <c r="T86" i="6" a="1"/>
  <c r="T86" i="6" s="1"/>
  <c r="T115" i="6" a="1"/>
  <c r="T115" i="6" s="1"/>
  <c r="T71" i="6" a="1"/>
  <c r="T71" i="6" s="1"/>
  <c r="T125" i="6" a="1"/>
  <c r="T125" i="6" s="1"/>
  <c r="T118" i="6" a="1"/>
  <c r="T118" i="6" s="1"/>
  <c r="T102" i="6" a="1"/>
  <c r="T102" i="6" s="1"/>
  <c r="T73" i="6" a="1"/>
  <c r="T73" i="6" s="1"/>
  <c r="T109" i="6" a="1"/>
  <c r="T109" i="6" s="1"/>
  <c r="T97" i="6" a="1"/>
  <c r="T97" i="6" s="1"/>
  <c r="T90" i="6" a="1"/>
  <c r="T90" i="6" s="1"/>
  <c r="T68" i="6" a="1"/>
  <c r="T68" i="6" s="1"/>
  <c r="T96" i="6" a="1"/>
  <c r="T96" i="6" s="1"/>
  <c r="T139" i="6" a="1"/>
  <c r="T139" i="6" s="1"/>
  <c r="T132" i="6" a="1"/>
  <c r="T132" i="6" s="1"/>
  <c r="N42" i="5" a="1"/>
  <c r="N42" i="5" s="1"/>
  <c r="P153" i="6" a="1"/>
  <c r="P153" i="6" s="1"/>
  <c r="I19" i="11"/>
  <c r="H19" i="11"/>
  <c r="G20" i="11"/>
  <c r="J19" i="11"/>
  <c r="X134" i="13"/>
  <c r="O7" i="7"/>
  <c r="P3" i="7" s="1"/>
  <c r="O4" i="7"/>
  <c r="S174" i="4"/>
  <c r="V2" i="12"/>
  <c r="U18" i="12"/>
  <c r="U17" i="12"/>
  <c r="N32" i="4"/>
  <c r="L141" i="13"/>
  <c r="L76" i="13" s="1"/>
  <c r="L138" i="13"/>
  <c r="L135" i="13"/>
  <c r="L137" i="13"/>
  <c r="L139" i="12"/>
  <c r="L140" i="12"/>
  <c r="L141" i="12"/>
  <c r="L142" i="12"/>
  <c r="L144" i="12"/>
  <c r="L143" i="12"/>
  <c r="L145" i="12"/>
  <c r="L146" i="12"/>
  <c r="R35" i="5" a="1"/>
  <c r="R35" i="5" s="1"/>
  <c r="R32" i="5" a="1"/>
  <c r="R32" i="5" s="1"/>
  <c r="R48" i="5" a="1"/>
  <c r="R48" i="5" s="1"/>
  <c r="R33" i="5" a="1"/>
  <c r="R33" i="5" s="1"/>
  <c r="R37" i="5" a="1"/>
  <c r="R37" i="5" s="1"/>
  <c r="R34" i="5" a="1"/>
  <c r="R34" i="5" s="1"/>
  <c r="R29" i="5" a="1"/>
  <c r="R29" i="5" s="1"/>
  <c r="R28" i="5" a="1"/>
  <c r="R28" i="5" s="1"/>
  <c r="R31" i="5" a="1"/>
  <c r="R31" i="5" s="1"/>
  <c r="S142" i="6"/>
  <c r="AS129" i="4"/>
  <c r="U11" i="14"/>
  <c r="U76" i="14" s="1"/>
  <c r="U68" i="13"/>
  <c r="J79" i="13"/>
  <c r="J144" i="13"/>
  <c r="BO129" i="4"/>
  <c r="J13" i="13"/>
  <c r="S65" i="6"/>
  <c r="H26" i="14"/>
  <c r="F27" i="14"/>
  <c r="I26" i="14"/>
  <c r="J26" i="14"/>
  <c r="K26" i="14"/>
  <c r="L26" i="14"/>
  <c r="M26" i="14"/>
  <c r="N26" i="14"/>
  <c r="O26" i="14"/>
  <c r="P26" i="14"/>
  <c r="Q26" i="14"/>
  <c r="R26" i="14"/>
  <c r="S26" i="14"/>
  <c r="J88" i="14"/>
  <c r="L84" i="14"/>
  <c r="E83" i="12"/>
  <c r="E26" i="14" s="1"/>
  <c r="E17" i="12"/>
  <c r="K83" i="14"/>
  <c r="K75" i="13"/>
  <c r="L140" i="13" s="1"/>
  <c r="K8" i="13"/>
  <c r="K74" i="13"/>
  <c r="K7" i="13"/>
  <c r="K82" i="14"/>
  <c r="N10" i="15"/>
  <c r="U30" i="4"/>
  <c r="U27" i="14"/>
  <c r="V12" i="14"/>
  <c r="D82" i="13"/>
  <c r="D90" i="14" s="1"/>
  <c r="D16" i="13"/>
  <c r="S93" i="6"/>
  <c r="AR165" i="4"/>
  <c r="BD161" i="4"/>
  <c r="AR168" i="4"/>
  <c r="U7" i="14"/>
  <c r="W29" i="4"/>
  <c r="Q11" i="15" s="1"/>
  <c r="X9" i="4"/>
  <c r="W6" i="4"/>
  <c r="W8" i="4"/>
  <c r="I7" i="15"/>
  <c r="I18" i="15"/>
  <c r="I14" i="15" s="1"/>
  <c r="BO161" i="4"/>
  <c r="BC165" i="4"/>
  <c r="BC168" i="4"/>
  <c r="H82" i="13"/>
  <c r="H90" i="14"/>
  <c r="S135" i="6"/>
  <c r="K77" i="13"/>
  <c r="L142" i="13" s="1"/>
  <c r="B22" i="14"/>
  <c r="C22" i="14" s="1"/>
  <c r="B21" i="13"/>
  <c r="H16" i="13" s="1"/>
  <c r="B21" i="12"/>
  <c r="C21" i="12" s="1"/>
  <c r="BO95" i="4"/>
  <c r="BO101" i="4" s="1"/>
  <c r="BC101" i="4"/>
  <c r="V46" i="4"/>
  <c r="BD129" i="4"/>
  <c r="H17" i="12"/>
  <c r="I149" i="12" s="1"/>
  <c r="F18" i="12"/>
  <c r="I17" i="12"/>
  <c r="J149" i="12" s="1"/>
  <c r="J17" i="12"/>
  <c r="K149" i="12" s="1"/>
  <c r="K17" i="12"/>
  <c r="L149" i="12" s="1"/>
  <c r="L17" i="12"/>
  <c r="M149" i="12" s="1"/>
  <c r="M17" i="12"/>
  <c r="N17" i="12"/>
  <c r="O17" i="12"/>
  <c r="P17" i="12"/>
  <c r="Q17" i="12"/>
  <c r="R17" i="12"/>
  <c r="S17" i="12"/>
  <c r="K72" i="13"/>
  <c r="K5" i="13"/>
  <c r="BD95" i="4"/>
  <c r="AR101" i="4"/>
  <c r="L136" i="13"/>
  <c r="L4" i="13" s="1"/>
  <c r="J86" i="14"/>
  <c r="P151" i="6" a="1"/>
  <c r="P151" i="6" s="1"/>
  <c r="N47" i="5" a="1"/>
  <c r="N47" i="5" s="1"/>
  <c r="H81" i="13"/>
  <c r="K78" i="13"/>
  <c r="L143" i="13" s="1"/>
  <c r="K80" i="14"/>
  <c r="L80" i="14" s="1"/>
  <c r="J11" i="13"/>
  <c r="K11" i="13" s="1"/>
  <c r="L85" i="14" l="1"/>
  <c r="L10" i="13"/>
  <c r="K80" i="13"/>
  <c r="K145" i="13"/>
  <c r="K88" i="14" s="1"/>
  <c r="L11" i="13"/>
  <c r="O32" i="4"/>
  <c r="M141" i="13"/>
  <c r="M76" i="13" s="1"/>
  <c r="M141" i="12"/>
  <c r="M140" i="12"/>
  <c r="M142" i="12"/>
  <c r="M143" i="12"/>
  <c r="M144" i="12"/>
  <c r="M146" i="12"/>
  <c r="M145" i="12"/>
  <c r="M147" i="12"/>
  <c r="M148" i="12"/>
  <c r="K13" i="13"/>
  <c r="BE129" i="4"/>
  <c r="T135" i="6"/>
  <c r="H85" i="12"/>
  <c r="F86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L73" i="13"/>
  <c r="AU158" i="4"/>
  <c r="AV156" i="4"/>
  <c r="H150" i="12"/>
  <c r="F151" i="12"/>
  <c r="J150" i="12"/>
  <c r="L3" i="13"/>
  <c r="F20" i="13"/>
  <c r="E19" i="13" a="1"/>
  <c r="E19" i="13" s="1"/>
  <c r="BD168" i="4"/>
  <c r="BP161" i="4"/>
  <c r="BD165" i="4"/>
  <c r="L79" i="14"/>
  <c r="V19" i="12"/>
  <c r="V18" i="12"/>
  <c r="W2" i="12"/>
  <c r="L71" i="13"/>
  <c r="I90" i="14"/>
  <c r="M9" i="13"/>
  <c r="J7" i="15"/>
  <c r="J18" i="15"/>
  <c r="J14" i="15" s="1"/>
  <c r="E92" i="14"/>
  <c r="G92" i="14" s="1"/>
  <c r="G84" i="13"/>
  <c r="L8" i="13"/>
  <c r="BE95" i="4"/>
  <c r="AS101" i="4"/>
  <c r="I148" i="13"/>
  <c r="I16" i="13" s="1"/>
  <c r="X134" i="12"/>
  <c r="X69" i="12"/>
  <c r="W86" i="12"/>
  <c r="L75" i="13"/>
  <c r="I146" i="13"/>
  <c r="F19" i="12"/>
  <c r="H18" i="12"/>
  <c r="I150" i="12" s="1"/>
  <c r="I18" i="12"/>
  <c r="J18" i="12"/>
  <c r="K150" i="12" s="1"/>
  <c r="K18" i="12"/>
  <c r="L150" i="12" s="1"/>
  <c r="L18" i="12"/>
  <c r="M150" i="12" s="1"/>
  <c r="M18" i="12"/>
  <c r="N150" i="12" s="1"/>
  <c r="N18" i="12"/>
  <c r="O18" i="12"/>
  <c r="P18" i="12"/>
  <c r="Q18" i="12"/>
  <c r="R18" i="12"/>
  <c r="S18" i="12"/>
  <c r="T18" i="12"/>
  <c r="L83" i="14"/>
  <c r="L139" i="13"/>
  <c r="S178" i="4"/>
  <c r="R150" i="6" a="1"/>
  <c r="R150" i="6" s="1"/>
  <c r="P46" i="5" a="1"/>
  <c r="P46" i="5" s="1"/>
  <c r="T142" i="6"/>
  <c r="T65" i="6"/>
  <c r="J12" i="13"/>
  <c r="O47" i="5" a="1"/>
  <c r="O47" i="5" s="1"/>
  <c r="Q151" i="6" a="1"/>
  <c r="Q151" i="6" s="1"/>
  <c r="BE161" i="4"/>
  <c r="AS165" i="4"/>
  <c r="AS168" i="4"/>
  <c r="H91" i="14"/>
  <c r="I91" i="14" s="1"/>
  <c r="K86" i="14"/>
  <c r="L86" i="14" s="1"/>
  <c r="I82" i="13"/>
  <c r="I147" i="13"/>
  <c r="I15" i="13" s="1"/>
  <c r="L78" i="13"/>
  <c r="M143" i="13" s="1"/>
  <c r="V7" i="14"/>
  <c r="Y9" i="4"/>
  <c r="X8" i="4"/>
  <c r="X29" i="4"/>
  <c r="R11" i="15" s="1"/>
  <c r="X6" i="4"/>
  <c r="D83" i="13"/>
  <c r="D91" i="14" s="1"/>
  <c r="D17" i="13"/>
  <c r="O10" i="15"/>
  <c r="V30" i="4"/>
  <c r="E84" i="12"/>
  <c r="E27" i="14" s="1"/>
  <c r="E18" i="12"/>
  <c r="F28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K79" i="13"/>
  <c r="K144" i="13"/>
  <c r="O6" i="7"/>
  <c r="S177" i="4" s="1"/>
  <c r="S175" i="4"/>
  <c r="Y134" i="13"/>
  <c r="W1" i="13"/>
  <c r="X1" i="12"/>
  <c r="W68" i="12"/>
  <c r="O42" i="5" a="1"/>
  <c r="O42" i="5" s="1"/>
  <c r="Q153" i="6" a="1"/>
  <c r="Q153" i="6" s="1"/>
  <c r="W46" i="4"/>
  <c r="L5" i="13"/>
  <c r="P7" i="7"/>
  <c r="Q3" i="7" s="1"/>
  <c r="P4" i="7"/>
  <c r="T174" i="4"/>
  <c r="G21" i="11"/>
  <c r="J20" i="11"/>
  <c r="I20" i="11"/>
  <c r="H20" i="11"/>
  <c r="T127" i="6"/>
  <c r="T93" i="6"/>
  <c r="CC174" i="4"/>
  <c r="X49" i="5"/>
  <c r="AA154" i="6"/>
  <c r="L70" i="13"/>
  <c r="K6" i="15"/>
  <c r="O8" i="14"/>
  <c r="O1" i="14"/>
  <c r="R13" i="4"/>
  <c r="P2" i="14" s="1"/>
  <c r="Q154" i="6" a="1"/>
  <c r="Q154" i="6" s="1"/>
  <c r="O49" i="5" a="1"/>
  <c r="O49" i="5" s="1"/>
  <c r="BP95" i="4"/>
  <c r="BP101" i="4" s="1"/>
  <c r="BD101" i="4"/>
  <c r="L77" i="13"/>
  <c r="M142" i="13" s="1"/>
  <c r="BO168" i="4"/>
  <c r="BO165" i="4"/>
  <c r="L72" i="13"/>
  <c r="BP129" i="4"/>
  <c r="V28" i="14"/>
  <c r="W12" i="14"/>
  <c r="L82" i="14"/>
  <c r="M84" i="14"/>
  <c r="B23" i="14"/>
  <c r="C23" i="14" s="1"/>
  <c r="B22" i="13"/>
  <c r="C22" i="13" s="1"/>
  <c r="B22" i="12"/>
  <c r="C22" i="12" s="1"/>
  <c r="T76" i="6"/>
  <c r="L6" i="13"/>
  <c r="V11" i="14"/>
  <c r="V76" i="14" s="1"/>
  <c r="V68" i="13"/>
  <c r="L78" i="14"/>
  <c r="E150" i="13"/>
  <c r="E85" i="13"/>
  <c r="G18" i="13"/>
  <c r="M70" i="13" l="1"/>
  <c r="E85" i="12"/>
  <c r="E28" i="14" s="1"/>
  <c r="E19" i="12"/>
  <c r="X46" i="4"/>
  <c r="M86" i="14"/>
  <c r="K12" i="13"/>
  <c r="K87" i="14"/>
  <c r="BP165" i="4"/>
  <c r="BP168" i="4"/>
  <c r="BQ129" i="4"/>
  <c r="L145" i="13"/>
  <c r="L88" i="14" s="1"/>
  <c r="BQ95" i="4"/>
  <c r="BQ101" i="4" s="1"/>
  <c r="BE101" i="4"/>
  <c r="E86" i="13"/>
  <c r="E151" i="13"/>
  <c r="G19" i="13"/>
  <c r="H151" i="12"/>
  <c r="F152" i="12"/>
  <c r="M10" i="13"/>
  <c r="M72" i="13"/>
  <c r="M8" i="13"/>
  <c r="H17" i="13"/>
  <c r="W19" i="12"/>
  <c r="X2" i="12"/>
  <c r="E20" i="13" a="1"/>
  <c r="E20" i="13" s="1"/>
  <c r="F21" i="13"/>
  <c r="L7" i="13"/>
  <c r="M137" i="13"/>
  <c r="M80" i="14" s="1"/>
  <c r="M85" i="14"/>
  <c r="L144" i="13"/>
  <c r="Y134" i="12"/>
  <c r="G22" i="11"/>
  <c r="H21" i="11"/>
  <c r="I21" i="11"/>
  <c r="J21" i="11"/>
  <c r="P10" i="15"/>
  <c r="W30" i="4"/>
  <c r="X12" i="14"/>
  <c r="L6" i="15"/>
  <c r="P8" i="14"/>
  <c r="P1" i="14"/>
  <c r="S13" i="4"/>
  <c r="Q2" i="14" s="1"/>
  <c r="T178" i="4"/>
  <c r="S150" i="6" a="1"/>
  <c r="S150" i="6" s="1"/>
  <c r="Q46" i="5" a="1"/>
  <c r="Q46" i="5" s="1"/>
  <c r="CC178" i="4"/>
  <c r="Y46" i="5"/>
  <c r="AB150" i="6"/>
  <c r="X1" i="13"/>
  <c r="X68" i="12"/>
  <c r="Y1" i="12"/>
  <c r="M78" i="13"/>
  <c r="H84" i="13"/>
  <c r="M3" i="13"/>
  <c r="M135" i="13"/>
  <c r="AV158" i="4"/>
  <c r="AW156" i="4"/>
  <c r="H86" i="12"/>
  <c r="I86" i="12"/>
  <c r="F87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N9" i="13"/>
  <c r="H15" i="2"/>
  <c r="P6" i="7"/>
  <c r="T177" i="4" s="1"/>
  <c r="T175" i="4"/>
  <c r="D84" i="13"/>
  <c r="D92" i="14" s="1"/>
  <c r="D18" i="13"/>
  <c r="E93" i="14"/>
  <c r="G93" i="14" s="1"/>
  <c r="G85" i="13"/>
  <c r="Q7" i="7"/>
  <c r="R3" i="7" s="1"/>
  <c r="Q4" i="7"/>
  <c r="U174" i="4"/>
  <c r="W11" i="14"/>
  <c r="W76" i="14" s="1"/>
  <c r="W68" i="13"/>
  <c r="P47" i="5" a="1"/>
  <c r="P47" i="5" s="1"/>
  <c r="R151" i="6" a="1"/>
  <c r="R151" i="6" s="1"/>
  <c r="BE168" i="4"/>
  <c r="BE165" i="4"/>
  <c r="BQ161" i="4"/>
  <c r="R154" i="6" a="1"/>
  <c r="R154" i="6" s="1"/>
  <c r="P49" i="5" a="1"/>
  <c r="P49" i="5" s="1"/>
  <c r="H19" i="12"/>
  <c r="I151" i="12" s="1"/>
  <c r="F20" i="12"/>
  <c r="W20" i="12" s="1"/>
  <c r="I19" i="12"/>
  <c r="J151" i="12" s="1"/>
  <c r="J19" i="12"/>
  <c r="K151" i="12" s="1"/>
  <c r="K19" i="12"/>
  <c r="L151" i="12" s="1"/>
  <c r="L19" i="12"/>
  <c r="M151" i="12" s="1"/>
  <c r="M19" i="12"/>
  <c r="N151" i="12" s="1"/>
  <c r="N19" i="12"/>
  <c r="O151" i="12" s="1"/>
  <c r="O19" i="12"/>
  <c r="P19" i="12"/>
  <c r="Q19" i="12"/>
  <c r="R19" i="12"/>
  <c r="S19" i="12"/>
  <c r="T19" i="12"/>
  <c r="U19" i="12"/>
  <c r="H92" i="14"/>
  <c r="M140" i="13"/>
  <c r="M75" i="13" s="1"/>
  <c r="Z134" i="13"/>
  <c r="I14" i="13"/>
  <c r="I89" i="14"/>
  <c r="Y69" i="12"/>
  <c r="X87" i="12"/>
  <c r="L74" i="13"/>
  <c r="M136" i="13"/>
  <c r="M4" i="13" s="1"/>
  <c r="M138" i="13"/>
  <c r="M81" i="14" s="1"/>
  <c r="M11" i="13"/>
  <c r="N84" i="14"/>
  <c r="W7" i="14"/>
  <c r="Z9" i="4"/>
  <c r="Y29" i="4"/>
  <c r="S11" i="15" s="1"/>
  <c r="Y6" i="4"/>
  <c r="Y8" i="4"/>
  <c r="Y46" i="4" s="1"/>
  <c r="M77" i="13"/>
  <c r="N142" i="13" s="1"/>
  <c r="R153" i="6" a="1"/>
  <c r="R153" i="6" s="1"/>
  <c r="P42" i="5" a="1"/>
  <c r="P42" i="5" s="1"/>
  <c r="J82" i="13"/>
  <c r="J147" i="13"/>
  <c r="J90" i="14" s="1"/>
  <c r="M78" i="14"/>
  <c r="K7" i="15"/>
  <c r="K18" i="15"/>
  <c r="K14" i="15" s="1"/>
  <c r="O150" i="12" s="1"/>
  <c r="B24" i="14"/>
  <c r="C24" i="14" s="1"/>
  <c r="B23" i="13"/>
  <c r="C23" i="13" s="1"/>
  <c r="B23" i="12"/>
  <c r="C23" i="12" s="1"/>
  <c r="M5" i="13"/>
  <c r="H28" i="14"/>
  <c r="F29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M83" i="14"/>
  <c r="I81" i="13"/>
  <c r="I83" i="13"/>
  <c r="P32" i="4"/>
  <c r="N137" i="13"/>
  <c r="N135" i="13"/>
  <c r="N141" i="13"/>
  <c r="N76" i="13" s="1"/>
  <c r="N141" i="12"/>
  <c r="N143" i="12"/>
  <c r="N142" i="12"/>
  <c r="N144" i="12"/>
  <c r="N145" i="12"/>
  <c r="N147" i="12"/>
  <c r="N146" i="12"/>
  <c r="N148" i="12"/>
  <c r="N149" i="12"/>
  <c r="N75" i="13" l="1"/>
  <c r="N140" i="13"/>
  <c r="Q47" i="5" a="1"/>
  <c r="Q47" i="5" s="1"/>
  <c r="S151" i="6" a="1"/>
  <c r="S151" i="6" s="1"/>
  <c r="Y12" i="14"/>
  <c r="E152" i="13"/>
  <c r="E87" i="13"/>
  <c r="G20" i="13"/>
  <c r="N8" i="13"/>
  <c r="L87" i="14"/>
  <c r="N70" i="13"/>
  <c r="Z69" i="12"/>
  <c r="BQ165" i="4"/>
  <c r="BQ168" i="4"/>
  <c r="U178" i="4"/>
  <c r="T150" i="6" a="1"/>
  <c r="T150" i="6" s="1"/>
  <c r="R46" i="5" a="1"/>
  <c r="R46" i="5" s="1"/>
  <c r="Q42" i="5" a="1"/>
  <c r="Q42" i="5" s="1"/>
  <c r="S153" i="6" a="1"/>
  <c r="S153" i="6" s="1"/>
  <c r="AW158" i="4"/>
  <c r="AX156" i="4"/>
  <c r="Y1" i="13"/>
  <c r="Y68" i="12"/>
  <c r="Z1" i="12"/>
  <c r="S154" i="6" a="1"/>
  <c r="S154" i="6" s="1"/>
  <c r="Q49" i="5" a="1"/>
  <c r="Q49" i="5" s="1"/>
  <c r="N72" i="13"/>
  <c r="AA134" i="13"/>
  <c r="Q6" i="7"/>
  <c r="U177" i="4" s="1"/>
  <c r="U175" i="4"/>
  <c r="H18" i="13"/>
  <c r="M6" i="15"/>
  <c r="Q8" i="14"/>
  <c r="Q1" i="14"/>
  <c r="T13" i="4"/>
  <c r="R2" i="14" s="1"/>
  <c r="B25" i="14"/>
  <c r="C25" i="14" s="1"/>
  <c r="B24" i="13"/>
  <c r="C24" i="13" s="1"/>
  <c r="B24" i="12"/>
  <c r="C24" i="12" s="1"/>
  <c r="X20" i="12"/>
  <c r="Y2" i="12"/>
  <c r="N10" i="13"/>
  <c r="F153" i="12"/>
  <c r="H152" i="12"/>
  <c r="L12" i="13"/>
  <c r="N77" i="13"/>
  <c r="O142" i="13" s="1"/>
  <c r="R4" i="7"/>
  <c r="R7" i="7"/>
  <c r="S3" i="7" s="1"/>
  <c r="V174" i="4"/>
  <c r="V178" i="4" s="1"/>
  <c r="X11" i="14"/>
  <c r="X76" i="14" s="1"/>
  <c r="X68" i="13"/>
  <c r="J22" i="11"/>
  <c r="I22" i="11"/>
  <c r="H22" i="11"/>
  <c r="G23" i="11"/>
  <c r="Z134" i="12"/>
  <c r="L79" i="13"/>
  <c r="L13" i="13"/>
  <c r="L80" i="13"/>
  <c r="Q32" i="4"/>
  <c r="O141" i="13"/>
  <c r="O84" i="14" s="1"/>
  <c r="O135" i="13"/>
  <c r="O140" i="13"/>
  <c r="O137" i="13"/>
  <c r="O142" i="12"/>
  <c r="O144" i="12"/>
  <c r="O143" i="12"/>
  <c r="O145" i="12"/>
  <c r="O146" i="12"/>
  <c r="O147" i="12"/>
  <c r="O148" i="12"/>
  <c r="O149" i="12"/>
  <c r="N143" i="13"/>
  <c r="N86" i="14" s="1"/>
  <c r="J148" i="13"/>
  <c r="H29" i="14"/>
  <c r="F30" i="14"/>
  <c r="X30" i="14" s="1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N78" i="14"/>
  <c r="M73" i="13"/>
  <c r="J15" i="13"/>
  <c r="H85" i="13"/>
  <c r="N3" i="13"/>
  <c r="O3" i="13" s="1"/>
  <c r="N85" i="14"/>
  <c r="H19" i="13"/>
  <c r="M74" i="13"/>
  <c r="M139" i="13"/>
  <c r="M82" i="14" s="1"/>
  <c r="H20" i="12"/>
  <c r="I152" i="12" s="1"/>
  <c r="F21" i="12"/>
  <c r="I20" i="12"/>
  <c r="J152" i="12" s="1"/>
  <c r="J20" i="12"/>
  <c r="K152" i="12" s="1"/>
  <c r="K20" i="12"/>
  <c r="L152" i="12" s="1"/>
  <c r="L20" i="12"/>
  <c r="M152" i="12" s="1"/>
  <c r="M20" i="12"/>
  <c r="N152" i="12" s="1"/>
  <c r="N20" i="12"/>
  <c r="O152" i="12" s="1"/>
  <c r="O20" i="12"/>
  <c r="P152" i="12" s="1"/>
  <c r="P20" i="12"/>
  <c r="Q20" i="12"/>
  <c r="R20" i="12"/>
  <c r="S20" i="12"/>
  <c r="T20" i="12"/>
  <c r="U20" i="12"/>
  <c r="V20" i="12"/>
  <c r="H93" i="14"/>
  <c r="M79" i="14"/>
  <c r="M6" i="13"/>
  <c r="N80" i="14"/>
  <c r="E86" i="12"/>
  <c r="E29" i="14" s="1"/>
  <c r="E20" i="12"/>
  <c r="J81" i="13"/>
  <c r="J146" i="13"/>
  <c r="N83" i="14"/>
  <c r="O83" i="14" s="1"/>
  <c r="N5" i="13"/>
  <c r="X7" i="14"/>
  <c r="Z29" i="4"/>
  <c r="T11" i="15" s="1"/>
  <c r="Z8" i="4"/>
  <c r="Z46" i="4" s="1"/>
  <c r="AA9" i="4"/>
  <c r="Z6" i="4"/>
  <c r="J14" i="13"/>
  <c r="I92" i="14"/>
  <c r="D85" i="13"/>
  <c r="D93" i="14" s="1"/>
  <c r="D19" i="13"/>
  <c r="F88" i="12"/>
  <c r="I87" i="12"/>
  <c r="H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M71" i="13"/>
  <c r="CD174" i="4"/>
  <c r="Y49" i="5"/>
  <c r="AB154" i="6"/>
  <c r="L7" i="15"/>
  <c r="L18" i="15"/>
  <c r="L14" i="15" s="1"/>
  <c r="P151" i="12" s="1"/>
  <c r="W29" i="14"/>
  <c r="Q10" i="15"/>
  <c r="X30" i="4"/>
  <c r="M7" i="13"/>
  <c r="E94" i="14"/>
  <c r="G94" i="14" s="1"/>
  <c r="H94" i="14" s="1"/>
  <c r="G86" i="13"/>
  <c r="H86" i="13" s="1"/>
  <c r="K82" i="13"/>
  <c r="K147" i="13"/>
  <c r="K90" i="14" s="1"/>
  <c r="I149" i="13"/>
  <c r="F22" i="13"/>
  <c r="E21" i="13" a="1"/>
  <c r="E21" i="13" s="1"/>
  <c r="I17" i="13"/>
  <c r="E153" i="13" l="1"/>
  <c r="E88" i="13"/>
  <c r="G21" i="13"/>
  <c r="E22" i="13" a="1"/>
  <c r="E22" i="13" s="1"/>
  <c r="F23" i="13"/>
  <c r="I93" i="14"/>
  <c r="J91" i="14"/>
  <c r="J16" i="13"/>
  <c r="N82" i="14"/>
  <c r="I150" i="13"/>
  <c r="I85" i="13" s="1"/>
  <c r="J83" i="13"/>
  <c r="T154" i="6" a="1"/>
  <c r="T154" i="6" s="1"/>
  <c r="R49" i="5" a="1"/>
  <c r="R49" i="5" s="1"/>
  <c r="O76" i="13"/>
  <c r="N139" i="13"/>
  <c r="N74" i="13" s="1"/>
  <c r="Y11" i="14"/>
  <c r="Y76" i="14" s="1"/>
  <c r="Y68" i="13"/>
  <c r="AA69" i="12"/>
  <c r="N11" i="13"/>
  <c r="E95" i="14"/>
  <c r="G95" i="14" s="1"/>
  <c r="H95" i="14" s="1"/>
  <c r="G87" i="13"/>
  <c r="N78" i="13"/>
  <c r="Y7" i="14"/>
  <c r="AA8" i="4"/>
  <c r="AA46" i="4" s="1"/>
  <c r="AA6" i="4"/>
  <c r="AA29" i="4"/>
  <c r="U11" i="15" s="1"/>
  <c r="AB9" i="4"/>
  <c r="K81" i="13"/>
  <c r="K146" i="13"/>
  <c r="K15" i="13"/>
  <c r="M7" i="15"/>
  <c r="M18" i="15"/>
  <c r="M14" i="15" s="1"/>
  <c r="AX158" i="4"/>
  <c r="AY156" i="4"/>
  <c r="O9" i="13"/>
  <c r="H153" i="12"/>
  <c r="F154" i="12"/>
  <c r="I18" i="13"/>
  <c r="AB134" i="13"/>
  <c r="O70" i="13"/>
  <c r="N7" i="13"/>
  <c r="CD178" i="4"/>
  <c r="AC150" i="6"/>
  <c r="Z46" i="5"/>
  <c r="O77" i="13"/>
  <c r="R10" i="15"/>
  <c r="Y30" i="4"/>
  <c r="N136" i="13"/>
  <c r="E87" i="12"/>
  <c r="E30" i="14" s="1"/>
  <c r="E21" i="12"/>
  <c r="H88" i="12"/>
  <c r="I88" i="12"/>
  <c r="F89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J89" i="14"/>
  <c r="I84" i="13"/>
  <c r="D86" i="13"/>
  <c r="D94" i="14" s="1"/>
  <c r="D20" i="13"/>
  <c r="O80" i="14"/>
  <c r="N138" i="13"/>
  <c r="N81" i="14" s="1"/>
  <c r="O10" i="13"/>
  <c r="P10" i="13" s="1"/>
  <c r="T151" i="6" a="1"/>
  <c r="T151" i="6" s="1"/>
  <c r="R47" i="5" a="1"/>
  <c r="R47" i="5" s="1"/>
  <c r="O72" i="13"/>
  <c r="L147" i="13"/>
  <c r="L90" i="14" s="1"/>
  <c r="R32" i="4"/>
  <c r="P137" i="13"/>
  <c r="P142" i="13"/>
  <c r="P140" i="13"/>
  <c r="P83" i="14" s="1"/>
  <c r="P141" i="13"/>
  <c r="P84" i="14" s="1"/>
  <c r="P143" i="12"/>
  <c r="P144" i="12"/>
  <c r="P145" i="12"/>
  <c r="P146" i="12"/>
  <c r="P147" i="12"/>
  <c r="P148" i="12"/>
  <c r="P149" i="12"/>
  <c r="P150" i="12"/>
  <c r="O5" i="13"/>
  <c r="P5" i="13" s="1"/>
  <c r="I19" i="13"/>
  <c r="I151" i="13"/>
  <c r="I86" i="13" s="1"/>
  <c r="O78" i="14"/>
  <c r="F31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M80" i="13"/>
  <c r="M145" i="13"/>
  <c r="M88" i="14" s="1"/>
  <c r="AA134" i="12"/>
  <c r="Z2" i="12"/>
  <c r="Y21" i="12"/>
  <c r="BW177" i="4"/>
  <c r="R42" i="5" a="1"/>
  <c r="R42" i="5" s="1"/>
  <c r="T153" i="6" a="1"/>
  <c r="T153" i="6" s="1"/>
  <c r="Z12" i="14"/>
  <c r="O75" i="13"/>
  <c r="N79" i="14"/>
  <c r="F22" i="12"/>
  <c r="H21" i="12"/>
  <c r="I153" i="12" s="1"/>
  <c r="I21" i="12"/>
  <c r="J153" i="12" s="1"/>
  <c r="J21" i="12"/>
  <c r="K153" i="12" s="1"/>
  <c r="K21" i="12"/>
  <c r="L153" i="12" s="1"/>
  <c r="L21" i="12"/>
  <c r="M153" i="12" s="1"/>
  <c r="M21" i="12"/>
  <c r="N153" i="12" s="1"/>
  <c r="N21" i="12"/>
  <c r="O153" i="12" s="1"/>
  <c r="O21" i="12"/>
  <c r="P153" i="12" s="1"/>
  <c r="P21" i="12"/>
  <c r="Q153" i="12" s="1"/>
  <c r="Q21" i="12"/>
  <c r="R21" i="12"/>
  <c r="S21" i="12"/>
  <c r="T21" i="12"/>
  <c r="U21" i="12"/>
  <c r="V21" i="12"/>
  <c r="W21" i="12"/>
  <c r="O85" i="14"/>
  <c r="P85" i="14" s="1"/>
  <c r="M13" i="13"/>
  <c r="G24" i="11"/>
  <c r="J23" i="11"/>
  <c r="I23" i="11"/>
  <c r="H23" i="11"/>
  <c r="S7" i="7"/>
  <c r="T3" i="7" s="1"/>
  <c r="S4" i="7"/>
  <c r="W174" i="4"/>
  <c r="W178" i="4" s="1"/>
  <c r="X21" i="12"/>
  <c r="N6" i="15"/>
  <c r="R1" i="14"/>
  <c r="R8" i="14"/>
  <c r="U13" i="4"/>
  <c r="S2" i="14" s="1"/>
  <c r="Y88" i="12"/>
  <c r="M144" i="13"/>
  <c r="M87" i="14" s="1"/>
  <c r="B26" i="14"/>
  <c r="C26" i="14" s="1"/>
  <c r="B25" i="13"/>
  <c r="C25" i="13" s="1"/>
  <c r="B25" i="12"/>
  <c r="C25" i="12" s="1"/>
  <c r="R6" i="7"/>
  <c r="V177" i="4" s="1"/>
  <c r="V175" i="4"/>
  <c r="Z1" i="13"/>
  <c r="Z68" i="12"/>
  <c r="AA1" i="12"/>
  <c r="O8" i="13"/>
  <c r="P8" i="13" s="1"/>
  <c r="J151" i="13" l="1"/>
  <c r="J19" i="13" s="1"/>
  <c r="O74" i="13"/>
  <c r="O139" i="13"/>
  <c r="O7" i="13" s="1"/>
  <c r="C26" i="13"/>
  <c r="V153" i="6"/>
  <c r="S42" i="5"/>
  <c r="F32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K89" i="14"/>
  <c r="I89" i="12"/>
  <c r="H89" i="12"/>
  <c r="F90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N4" i="13"/>
  <c r="S32" i="4"/>
  <c r="Q141" i="13"/>
  <c r="Q84" i="14" s="1"/>
  <c r="Q144" i="12"/>
  <c r="Q145" i="12"/>
  <c r="Q146" i="12"/>
  <c r="Q147" i="12"/>
  <c r="Q148" i="12"/>
  <c r="Q149" i="12"/>
  <c r="Q150" i="12"/>
  <c r="Q151" i="12"/>
  <c r="H87" i="13"/>
  <c r="H20" i="13"/>
  <c r="Z11" i="14"/>
  <c r="Z76" i="14" s="1"/>
  <c r="Z68" i="13"/>
  <c r="N7" i="15"/>
  <c r="N18" i="15"/>
  <c r="N14" i="15" s="1"/>
  <c r="Z22" i="12"/>
  <c r="AA2" i="12"/>
  <c r="P78" i="14"/>
  <c r="N71" i="13"/>
  <c r="M79" i="13"/>
  <c r="H24" i="11"/>
  <c r="G25" i="11"/>
  <c r="I24" i="11"/>
  <c r="J24" i="11"/>
  <c r="Z32" i="14"/>
  <c r="AA12" i="14"/>
  <c r="S10" i="15"/>
  <c r="Z30" i="4"/>
  <c r="J150" i="13"/>
  <c r="J18" i="13" s="1"/>
  <c r="M12" i="13"/>
  <c r="J93" i="14"/>
  <c r="AB134" i="12"/>
  <c r="P135" i="13"/>
  <c r="L82" i="13"/>
  <c r="N73" i="13"/>
  <c r="F155" i="12"/>
  <c r="H154" i="12"/>
  <c r="J154" i="12"/>
  <c r="L154" i="12"/>
  <c r="M154" i="12"/>
  <c r="N154" i="12"/>
  <c r="O154" i="12"/>
  <c r="L15" i="13"/>
  <c r="AA90" i="12"/>
  <c r="AB69" i="12"/>
  <c r="K83" i="13"/>
  <c r="K148" i="13"/>
  <c r="K16" i="13" s="1"/>
  <c r="E23" i="13" a="1"/>
  <c r="E23" i="13" s="1"/>
  <c r="F24" i="13"/>
  <c r="P80" i="14"/>
  <c r="P77" i="13"/>
  <c r="Q142" i="13" s="1"/>
  <c r="AC134" i="13"/>
  <c r="I94" i="14"/>
  <c r="E154" i="13"/>
  <c r="E89" i="13"/>
  <c r="G22" i="13"/>
  <c r="T4" i="7"/>
  <c r="T7" i="7"/>
  <c r="U3" i="7" s="1"/>
  <c r="X174" i="4"/>
  <c r="X178" i="4" s="1"/>
  <c r="H22" i="12"/>
  <c r="I154" i="12" s="1"/>
  <c r="F23" i="12"/>
  <c r="Z23" i="12" s="1"/>
  <c r="I22" i="12"/>
  <c r="J22" i="12"/>
  <c r="K154" i="12" s="1"/>
  <c r="K22" i="12"/>
  <c r="L22" i="12"/>
  <c r="M22" i="12"/>
  <c r="N22" i="12"/>
  <c r="O22" i="12"/>
  <c r="P154" i="12" s="1"/>
  <c r="P22" i="12"/>
  <c r="Q154" i="12" s="1"/>
  <c r="Q22" i="12"/>
  <c r="R154" i="12" s="1"/>
  <c r="R22" i="12"/>
  <c r="S22" i="12"/>
  <c r="T22" i="12"/>
  <c r="U22" i="12"/>
  <c r="V22" i="12"/>
  <c r="W22" i="12"/>
  <c r="X22" i="12"/>
  <c r="Y31" i="14"/>
  <c r="N88" i="14"/>
  <c r="N6" i="13"/>
  <c r="P72" i="13"/>
  <c r="Q137" i="13" s="1"/>
  <c r="Q5" i="13" s="1"/>
  <c r="D87" i="13"/>
  <c r="D95" i="14" s="1"/>
  <c r="D21" i="13"/>
  <c r="P9" i="13"/>
  <c r="K14" i="13"/>
  <c r="L14" i="13" s="1"/>
  <c r="Z89" i="12"/>
  <c r="Q152" i="12"/>
  <c r="O6" i="15"/>
  <c r="S1" i="14"/>
  <c r="S8" i="14"/>
  <c r="V13" i="4"/>
  <c r="T2" i="14" s="1"/>
  <c r="B27" i="14"/>
  <c r="C27" i="14" s="1"/>
  <c r="B26" i="13"/>
  <c r="B26" i="12"/>
  <c r="C26" i="12" s="1"/>
  <c r="E88" i="12"/>
  <c r="E31" i="14" s="1"/>
  <c r="E22" i="12"/>
  <c r="AY158" i="4"/>
  <c r="AZ156" i="4"/>
  <c r="L81" i="13"/>
  <c r="L146" i="13"/>
  <c r="O82" i="14"/>
  <c r="H21" i="13"/>
  <c r="S6" i="7"/>
  <c r="W177" i="4" s="1"/>
  <c r="W175" i="4"/>
  <c r="N80" i="13"/>
  <c r="N145" i="13"/>
  <c r="N13" i="13" s="1"/>
  <c r="AA1" i="13"/>
  <c r="AA68" i="12"/>
  <c r="AB1" i="12"/>
  <c r="P75" i="13"/>
  <c r="Y22" i="12"/>
  <c r="J149" i="13"/>
  <c r="CE174" i="4"/>
  <c r="AC154" i="6"/>
  <c r="Z49" i="5"/>
  <c r="Z7" i="14"/>
  <c r="AB8" i="4"/>
  <c r="AB46" i="4" s="1"/>
  <c r="AB6" i="4"/>
  <c r="AB29" i="4"/>
  <c r="V11" i="15" s="1"/>
  <c r="AC9" i="4"/>
  <c r="O143" i="13"/>
  <c r="O86" i="14" s="1"/>
  <c r="P76" i="13"/>
  <c r="E96" i="14"/>
  <c r="G96" i="14" s="1"/>
  <c r="G88" i="13"/>
  <c r="H88" i="13" s="1"/>
  <c r="O13" i="13" l="1"/>
  <c r="O145" i="13"/>
  <c r="L16" i="13"/>
  <c r="L148" i="13"/>
  <c r="Q85" i="14"/>
  <c r="Q10" i="13"/>
  <c r="L83" i="13"/>
  <c r="O136" i="13"/>
  <c r="O71" i="13" s="1"/>
  <c r="P139" i="13"/>
  <c r="P74" i="13" s="1"/>
  <c r="J92" i="14"/>
  <c r="J17" i="13"/>
  <c r="AZ158" i="4"/>
  <c r="BA156" i="4"/>
  <c r="P3" i="13"/>
  <c r="J84" i="13"/>
  <c r="M14" i="13"/>
  <c r="E97" i="14"/>
  <c r="G97" i="14" s="1"/>
  <c r="G89" i="13"/>
  <c r="H89" i="13" s="1"/>
  <c r="O11" i="13"/>
  <c r="I87" i="13"/>
  <c r="I152" i="13"/>
  <c r="I95" i="14" s="1"/>
  <c r="J85" i="13"/>
  <c r="E89" i="12"/>
  <c r="E32" i="14" s="1"/>
  <c r="E23" i="12"/>
  <c r="F24" i="12"/>
  <c r="H23" i="12"/>
  <c r="I155" i="12" s="1"/>
  <c r="I23" i="12"/>
  <c r="J23" i="12"/>
  <c r="K23" i="12"/>
  <c r="L155" i="12" s="1"/>
  <c r="L23" i="12"/>
  <c r="M155" i="12" s="1"/>
  <c r="M23" i="12"/>
  <c r="N23" i="12"/>
  <c r="O155" i="12" s="1"/>
  <c r="O23" i="12"/>
  <c r="P23" i="12"/>
  <c r="Q155" i="12" s="1"/>
  <c r="Q23" i="12"/>
  <c r="R23" i="12"/>
  <c r="S23" i="12"/>
  <c r="T23" i="12"/>
  <c r="U23" i="12"/>
  <c r="V23" i="12"/>
  <c r="W23" i="12"/>
  <c r="X23" i="12"/>
  <c r="Y23" i="12"/>
  <c r="Q77" i="13"/>
  <c r="F156" i="12"/>
  <c r="H155" i="12"/>
  <c r="T32" i="4"/>
  <c r="R145" i="12"/>
  <c r="R146" i="12"/>
  <c r="R147" i="12"/>
  <c r="R148" i="12"/>
  <c r="R149" i="12"/>
  <c r="R150" i="12"/>
  <c r="R151" i="12"/>
  <c r="R152" i="12"/>
  <c r="J25" i="11"/>
  <c r="I25" i="11"/>
  <c r="H25" i="11"/>
  <c r="G26" i="11"/>
  <c r="L89" i="14"/>
  <c r="J86" i="13"/>
  <c r="I21" i="13"/>
  <c r="D88" i="13"/>
  <c r="D96" i="14" s="1"/>
  <c r="D22" i="13"/>
  <c r="AC134" i="12"/>
  <c r="B28" i="14"/>
  <c r="C28" i="14" s="1"/>
  <c r="B27" i="13"/>
  <c r="C27" i="13" s="1"/>
  <c r="B27" i="12"/>
  <c r="C27" i="12" s="1"/>
  <c r="R153" i="12"/>
  <c r="P6" i="15"/>
  <c r="T8" i="14"/>
  <c r="T1" i="14"/>
  <c r="W13" i="4"/>
  <c r="U2" i="14" s="1"/>
  <c r="H96" i="14"/>
  <c r="I96" i="14" s="1"/>
  <c r="Q9" i="13"/>
  <c r="J94" i="14"/>
  <c r="Q80" i="14"/>
  <c r="N144" i="13"/>
  <c r="AA23" i="12"/>
  <c r="AB2" i="12"/>
  <c r="AA24" i="12"/>
  <c r="O4" i="13"/>
  <c r="O80" i="13"/>
  <c r="H22" i="13"/>
  <c r="U7" i="7"/>
  <c r="V3" i="7" s="1"/>
  <c r="U4" i="7"/>
  <c r="Y174" i="4"/>
  <c r="Y178" i="4" s="1"/>
  <c r="AD134" i="13"/>
  <c r="F25" i="13"/>
  <c r="E24" i="13" a="1"/>
  <c r="E24" i="13" s="1"/>
  <c r="AC69" i="12"/>
  <c r="P70" i="13"/>
  <c r="AB12" i="14"/>
  <c r="AA33" i="14"/>
  <c r="O78" i="13"/>
  <c r="CE178" i="4"/>
  <c r="AA46" i="5"/>
  <c r="AD150" i="6"/>
  <c r="AA11" i="14"/>
  <c r="AA76" i="14" s="1"/>
  <c r="AA68" i="13"/>
  <c r="O7" i="15"/>
  <c r="O18" i="15"/>
  <c r="O14" i="15" s="1"/>
  <c r="S154" i="12" s="1"/>
  <c r="H14" i="2"/>
  <c r="Q72" i="13"/>
  <c r="T6" i="7"/>
  <c r="X177" i="4" s="1"/>
  <c r="X175" i="4"/>
  <c r="E155" i="13"/>
  <c r="E90" i="13"/>
  <c r="G23" i="13"/>
  <c r="O73" i="13"/>
  <c r="O138" i="13"/>
  <c r="O81" i="14" s="1"/>
  <c r="K91" i="14"/>
  <c r="L91" i="14" s="1"/>
  <c r="Q140" i="13"/>
  <c r="Q75" i="13" s="1"/>
  <c r="H32" i="14"/>
  <c r="F33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O88" i="14"/>
  <c r="I88" i="13"/>
  <c r="I153" i="13"/>
  <c r="Q76" i="13"/>
  <c r="R141" i="13" s="1"/>
  <c r="R84" i="14" s="1"/>
  <c r="AB1" i="13"/>
  <c r="AB68" i="12"/>
  <c r="AC1" i="12"/>
  <c r="AA7" i="14"/>
  <c r="AC8" i="4"/>
  <c r="AC46" i="4" s="1"/>
  <c r="AC6" i="4"/>
  <c r="AD9" i="4"/>
  <c r="AC29" i="4"/>
  <c r="W11" i="15" s="1"/>
  <c r="M81" i="13"/>
  <c r="M146" i="13"/>
  <c r="M147" i="13"/>
  <c r="M90" i="14" s="1"/>
  <c r="T10" i="15"/>
  <c r="AA30" i="4"/>
  <c r="H90" i="12"/>
  <c r="F91" i="12"/>
  <c r="I90" i="12"/>
  <c r="J155" i="12" s="1"/>
  <c r="J90" i="12"/>
  <c r="K155" i="12" s="1"/>
  <c r="K90" i="12"/>
  <c r="L90" i="12"/>
  <c r="M90" i="12"/>
  <c r="N155" i="12" s="1"/>
  <c r="N90" i="12"/>
  <c r="O90" i="12"/>
  <c r="P155" i="12" s="1"/>
  <c r="P90" i="12"/>
  <c r="Q90" i="12"/>
  <c r="R155" i="12" s="1"/>
  <c r="R90" i="12"/>
  <c r="S155" i="12" s="1"/>
  <c r="S90" i="12"/>
  <c r="T90" i="12"/>
  <c r="U90" i="12"/>
  <c r="V90" i="12"/>
  <c r="W90" i="12"/>
  <c r="X90" i="12"/>
  <c r="Y90" i="12"/>
  <c r="Z90" i="12"/>
  <c r="Q139" i="13" l="1"/>
  <c r="Q74" i="13" s="1"/>
  <c r="P71" i="13"/>
  <c r="P136" i="13"/>
  <c r="R75" i="13"/>
  <c r="R140" i="13"/>
  <c r="P73" i="13"/>
  <c r="P138" i="13"/>
  <c r="AC1" i="13"/>
  <c r="AC68" i="12"/>
  <c r="AD1" i="12"/>
  <c r="E98" i="14"/>
  <c r="G98" i="14" s="1"/>
  <c r="G90" i="13"/>
  <c r="H91" i="12"/>
  <c r="F92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H33" i="14"/>
  <c r="F34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B91" i="12"/>
  <c r="R9" i="13"/>
  <c r="M89" i="14"/>
  <c r="P80" i="13"/>
  <c r="P145" i="13"/>
  <c r="G27" i="11"/>
  <c r="J26" i="11"/>
  <c r="I26" i="11"/>
  <c r="H26" i="11"/>
  <c r="I154" i="13"/>
  <c r="I22" i="13" s="1"/>
  <c r="K17" i="13"/>
  <c r="K149" i="13"/>
  <c r="N87" i="14"/>
  <c r="B29" i="14"/>
  <c r="C29" i="14" s="1"/>
  <c r="B28" i="13"/>
  <c r="C28" i="13" s="1"/>
  <c r="B28" i="12"/>
  <c r="C28" i="12" s="1"/>
  <c r="F157" i="12"/>
  <c r="H156" i="12"/>
  <c r="L156" i="12"/>
  <c r="M156" i="12"/>
  <c r="N156" i="12"/>
  <c r="O156" i="12"/>
  <c r="H24" i="12"/>
  <c r="I156" i="12" s="1"/>
  <c r="F25" i="12"/>
  <c r="I24" i="12"/>
  <c r="J156" i="12" s="1"/>
  <c r="J24" i="12"/>
  <c r="K156" i="12" s="1"/>
  <c r="K24" i="12"/>
  <c r="L24" i="12"/>
  <c r="M24" i="12"/>
  <c r="N24" i="12"/>
  <c r="O24" i="12"/>
  <c r="P156" i="12" s="1"/>
  <c r="P24" i="12"/>
  <c r="Q156" i="12" s="1"/>
  <c r="Q24" i="12"/>
  <c r="R156" i="12" s="1"/>
  <c r="R24" i="12"/>
  <c r="S156" i="12" s="1"/>
  <c r="S24" i="12"/>
  <c r="T24" i="12"/>
  <c r="U24" i="12"/>
  <c r="V24" i="12"/>
  <c r="W24" i="12"/>
  <c r="X24" i="12"/>
  <c r="Y24" i="12"/>
  <c r="Z24" i="12"/>
  <c r="H97" i="14"/>
  <c r="K92" i="14"/>
  <c r="AB11" i="14"/>
  <c r="AB76" i="14" s="1"/>
  <c r="AB68" i="13"/>
  <c r="R76" i="13"/>
  <c r="P4" i="13"/>
  <c r="E156" i="13"/>
  <c r="E91" i="13"/>
  <c r="G24" i="13"/>
  <c r="AE134" i="13"/>
  <c r="AC2" i="12"/>
  <c r="AB24" i="12"/>
  <c r="N79" i="13"/>
  <c r="D89" i="13"/>
  <c r="D97" i="14" s="1"/>
  <c r="D23" i="13"/>
  <c r="E90" i="12"/>
  <c r="E33" i="14" s="1"/>
  <c r="E24" i="12"/>
  <c r="N146" i="13"/>
  <c r="M83" i="13"/>
  <c r="M148" i="13"/>
  <c r="M16" i="13" s="1"/>
  <c r="P7" i="13"/>
  <c r="Q7" i="13" s="1"/>
  <c r="U10" i="15"/>
  <c r="AB30" i="4"/>
  <c r="Q83" i="14"/>
  <c r="R83" i="14" s="1"/>
  <c r="Q8" i="13"/>
  <c r="R8" i="13" s="1"/>
  <c r="AB7" i="14"/>
  <c r="AD29" i="4"/>
  <c r="X11" i="15" s="1"/>
  <c r="AE9" i="4"/>
  <c r="AD6" i="4"/>
  <c r="AD8" i="4"/>
  <c r="AD46" i="4" s="1"/>
  <c r="M91" i="14"/>
  <c r="AC92" i="12"/>
  <c r="AD69" i="12"/>
  <c r="Q6" i="15"/>
  <c r="U8" i="14"/>
  <c r="U1" i="14"/>
  <c r="X13" i="4"/>
  <c r="V2" i="14" s="1"/>
  <c r="M82" i="13"/>
  <c r="P81" i="14"/>
  <c r="CF174" i="4"/>
  <c r="AA49" i="5"/>
  <c r="AD154" i="6"/>
  <c r="AB34" i="14"/>
  <c r="AC12" i="14"/>
  <c r="Q70" i="13"/>
  <c r="Q135" i="13"/>
  <c r="F26" i="13"/>
  <c r="E25" i="13" a="1"/>
  <c r="E25" i="13" s="1"/>
  <c r="U6" i="7"/>
  <c r="Y177" i="4" s="1"/>
  <c r="Y175" i="4"/>
  <c r="P82" i="14"/>
  <c r="Q82" i="14" s="1"/>
  <c r="K84" i="13"/>
  <c r="K150" i="13"/>
  <c r="K85" i="13" s="1"/>
  <c r="I20" i="13"/>
  <c r="R10" i="13"/>
  <c r="R142" i="13"/>
  <c r="R77" i="13" s="1"/>
  <c r="N81" i="13"/>
  <c r="J153" i="13"/>
  <c r="J21" i="13" s="1"/>
  <c r="P143" i="13"/>
  <c r="P86" i="14" s="1"/>
  <c r="V4" i="7"/>
  <c r="V7" i="7"/>
  <c r="W3" i="7" s="1"/>
  <c r="Z174" i="4"/>
  <c r="Z178" i="4" s="1"/>
  <c r="M15" i="13"/>
  <c r="P88" i="14"/>
  <c r="U32" i="4"/>
  <c r="S140" i="13"/>
  <c r="S146" i="12"/>
  <c r="S148" i="12"/>
  <c r="S147" i="12"/>
  <c r="S149" i="12"/>
  <c r="S150" i="12"/>
  <c r="S151" i="12"/>
  <c r="S152" i="12"/>
  <c r="S153" i="12"/>
  <c r="J95" i="14"/>
  <c r="R85" i="14"/>
  <c r="K151" i="13"/>
  <c r="K19" i="13" s="1"/>
  <c r="O6" i="13"/>
  <c r="P6" i="13" s="1"/>
  <c r="P7" i="15"/>
  <c r="P18" i="15"/>
  <c r="AD134" i="12"/>
  <c r="R137" i="13"/>
  <c r="R5" i="13" s="1"/>
  <c r="N12" i="13"/>
  <c r="J87" i="13"/>
  <c r="J152" i="13"/>
  <c r="BA158" i="4"/>
  <c r="BB156" i="4"/>
  <c r="O79" i="14"/>
  <c r="P13" i="13"/>
  <c r="L85" i="13" l="1"/>
  <c r="L150" i="13"/>
  <c r="R139" i="13"/>
  <c r="R74" i="13" s="1"/>
  <c r="S142" i="13"/>
  <c r="S77" i="13" s="1"/>
  <c r="N16" i="13"/>
  <c r="Q13" i="13"/>
  <c r="P79" i="14"/>
  <c r="N148" i="13"/>
  <c r="N83" i="13" s="1"/>
  <c r="O79" i="13"/>
  <c r="O144" i="13"/>
  <c r="Q4" i="13"/>
  <c r="Q80" i="13"/>
  <c r="Q145" i="13"/>
  <c r="Q138" i="13"/>
  <c r="Q73" i="13" s="1"/>
  <c r="K152" i="13"/>
  <c r="K87" i="13" s="1"/>
  <c r="O81" i="13"/>
  <c r="O146" i="13"/>
  <c r="R80" i="14"/>
  <c r="Q78" i="14"/>
  <c r="O12" i="13"/>
  <c r="K86" i="13"/>
  <c r="W7" i="7"/>
  <c r="X3" i="7" s="1"/>
  <c r="W4" i="7"/>
  <c r="AA174" i="4"/>
  <c r="AA178" i="4" s="1"/>
  <c r="AF134" i="13"/>
  <c r="F26" i="12"/>
  <c r="AC26" i="12" s="1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P11" i="13"/>
  <c r="H34" i="14"/>
  <c r="F35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H90" i="13"/>
  <c r="S85" i="14"/>
  <c r="V6" i="7"/>
  <c r="Z177" i="4" s="1"/>
  <c r="Z175" i="4"/>
  <c r="S10" i="13"/>
  <c r="L149" i="13"/>
  <c r="L92" i="14" s="1"/>
  <c r="R135" i="13"/>
  <c r="N91" i="14"/>
  <c r="S8" i="13"/>
  <c r="N14" i="13"/>
  <c r="I89" i="13"/>
  <c r="H98" i="14"/>
  <c r="P14" i="15"/>
  <c r="S83" i="14"/>
  <c r="E91" i="12"/>
  <c r="E34" i="14" s="1"/>
  <c r="E25" i="12"/>
  <c r="AD2" i="12"/>
  <c r="AC25" i="12"/>
  <c r="J96" i="14"/>
  <c r="B30" i="14"/>
  <c r="C30" i="14" s="1"/>
  <c r="B29" i="13"/>
  <c r="C29" i="13" s="1"/>
  <c r="B29" i="12"/>
  <c r="C29" i="12" s="1"/>
  <c r="N89" i="14"/>
  <c r="AD1" i="13"/>
  <c r="AD68" i="12"/>
  <c r="AE1" i="12"/>
  <c r="J20" i="13"/>
  <c r="K20" i="13" s="1"/>
  <c r="R82" i="14"/>
  <c r="CF178" i="4"/>
  <c r="AE150" i="6"/>
  <c r="AB46" i="5"/>
  <c r="Q7" i="15"/>
  <c r="Q18" i="15"/>
  <c r="Q14" i="15" s="1"/>
  <c r="P78" i="13"/>
  <c r="Q3" i="13"/>
  <c r="R72" i="13"/>
  <c r="V10" i="15"/>
  <c r="AC30" i="4"/>
  <c r="O87" i="14"/>
  <c r="S141" i="13"/>
  <c r="S84" i="14" s="1"/>
  <c r="BB158" i="4"/>
  <c r="BC156" i="4"/>
  <c r="AC7" i="14"/>
  <c r="AE29" i="4"/>
  <c r="Y11" i="15" s="1"/>
  <c r="AE6" i="4"/>
  <c r="AE8" i="4"/>
  <c r="AE46" i="4" s="1"/>
  <c r="AF9" i="4"/>
  <c r="AC11" i="14"/>
  <c r="AC76" i="14" s="1"/>
  <c r="AC68" i="13"/>
  <c r="S75" i="13"/>
  <c r="K95" i="14"/>
  <c r="Q81" i="14"/>
  <c r="AE134" i="12"/>
  <c r="K94" i="14"/>
  <c r="Q88" i="14"/>
  <c r="J88" i="13"/>
  <c r="E157" i="13"/>
  <c r="E92" i="13"/>
  <c r="G25" i="13"/>
  <c r="N147" i="13"/>
  <c r="N90" i="14" s="1"/>
  <c r="AE69" i="12"/>
  <c r="R7" i="13"/>
  <c r="D90" i="13"/>
  <c r="D98" i="14" s="1"/>
  <c r="D24" i="13"/>
  <c r="AB25" i="12"/>
  <c r="E99" i="14"/>
  <c r="G99" i="14" s="1"/>
  <c r="H99" i="14" s="1"/>
  <c r="G91" i="13"/>
  <c r="I97" i="14"/>
  <c r="I27" i="11"/>
  <c r="H27" i="11"/>
  <c r="J27" i="11"/>
  <c r="G28" i="11"/>
  <c r="H23" i="13"/>
  <c r="Q71" i="13"/>
  <c r="Q136" i="13"/>
  <c r="K18" i="13"/>
  <c r="L18" i="13" s="1"/>
  <c r="K93" i="14"/>
  <c r="Q6" i="13"/>
  <c r="F27" i="13"/>
  <c r="E26" i="13" a="1"/>
  <c r="E26" i="13" s="1"/>
  <c r="AC35" i="14"/>
  <c r="AD12" i="14"/>
  <c r="R6" i="15"/>
  <c r="V8" i="14"/>
  <c r="V1" i="14"/>
  <c r="Y13" i="4"/>
  <c r="W2" i="14" s="1"/>
  <c r="H157" i="12"/>
  <c r="F158" i="12"/>
  <c r="I157" i="12"/>
  <c r="K157" i="12"/>
  <c r="O157" i="12"/>
  <c r="P157" i="12"/>
  <c r="R157" i="12"/>
  <c r="S157" i="12"/>
  <c r="H92" i="12"/>
  <c r="F93" i="12"/>
  <c r="I92" i="12"/>
  <c r="J157" i="12" s="1"/>
  <c r="J92" i="12"/>
  <c r="K92" i="12"/>
  <c r="L157" i="12" s="1"/>
  <c r="L92" i="12"/>
  <c r="M157" i="12" s="1"/>
  <c r="M92" i="12"/>
  <c r="N157" i="12" s="1"/>
  <c r="N92" i="12"/>
  <c r="O92" i="12"/>
  <c r="P92" i="12"/>
  <c r="Q157" i="12" s="1"/>
  <c r="Q92" i="12"/>
  <c r="R92" i="12"/>
  <c r="S92" i="12"/>
  <c r="T157" i="12" s="1"/>
  <c r="T92" i="12"/>
  <c r="U157" i="12" s="1"/>
  <c r="U92" i="12"/>
  <c r="V92" i="12"/>
  <c r="W92" i="12"/>
  <c r="X92" i="12"/>
  <c r="Y92" i="12"/>
  <c r="Z92" i="12"/>
  <c r="AA92" i="12"/>
  <c r="AB92" i="12"/>
  <c r="O148" i="13" l="1"/>
  <c r="O83" i="13" s="1"/>
  <c r="R138" i="13"/>
  <c r="R73" i="13" s="1"/>
  <c r="L152" i="13"/>
  <c r="L87" i="13" s="1"/>
  <c r="S74" i="13"/>
  <c r="S139" i="13"/>
  <c r="S82" i="14" s="1"/>
  <c r="T82" i="14" s="1"/>
  <c r="C30" i="12"/>
  <c r="K88" i="13"/>
  <c r="K153" i="13"/>
  <c r="K21" i="13" s="1"/>
  <c r="H24" i="13"/>
  <c r="R3" i="13"/>
  <c r="I155" i="13"/>
  <c r="I98" i="14" s="1"/>
  <c r="R78" i="14"/>
  <c r="O16" i="13"/>
  <c r="L20" i="13"/>
  <c r="J154" i="13"/>
  <c r="J22" i="13" s="1"/>
  <c r="N15" i="13"/>
  <c r="G29" i="11"/>
  <c r="J28" i="11"/>
  <c r="I28" i="11"/>
  <c r="H28" i="11"/>
  <c r="D91" i="13"/>
  <c r="D99" i="14" s="1"/>
  <c r="D25" i="13"/>
  <c r="L95" i="14"/>
  <c r="AD7" i="14"/>
  <c r="AG9" i="4"/>
  <c r="AF29" i="4"/>
  <c r="Z11" i="15" s="1"/>
  <c r="AF8" i="4"/>
  <c r="AF46" i="4" s="1"/>
  <c r="AF6" i="4"/>
  <c r="S9" i="13"/>
  <c r="E92" i="12"/>
  <c r="E35" i="14" s="1"/>
  <c r="E26" i="12"/>
  <c r="O14" i="13"/>
  <c r="L84" i="13"/>
  <c r="R7" i="15"/>
  <c r="R18" i="15"/>
  <c r="R14" i="15" s="1"/>
  <c r="I23" i="13"/>
  <c r="AE1" i="13"/>
  <c r="AE68" i="12"/>
  <c r="AF1" i="12"/>
  <c r="T140" i="13"/>
  <c r="T75" i="13" s="1"/>
  <c r="H26" i="12"/>
  <c r="F27" i="12"/>
  <c r="I26" i="12"/>
  <c r="J158" i="12" s="1"/>
  <c r="J26" i="12"/>
  <c r="K158" i="12" s="1"/>
  <c r="K26" i="12"/>
  <c r="L26" i="12"/>
  <c r="M26" i="12"/>
  <c r="N26" i="12"/>
  <c r="O26" i="12"/>
  <c r="P26" i="12"/>
  <c r="Q26" i="12"/>
  <c r="R158" i="12" s="1"/>
  <c r="R26" i="12"/>
  <c r="S158" i="12" s="1"/>
  <c r="S26" i="12"/>
  <c r="T26" i="12"/>
  <c r="U26" i="12"/>
  <c r="V26" i="12"/>
  <c r="W26" i="12"/>
  <c r="X26" i="12"/>
  <c r="Y26" i="12"/>
  <c r="Z26" i="12"/>
  <c r="AA26" i="12"/>
  <c r="AB26" i="12"/>
  <c r="R145" i="13"/>
  <c r="R88" i="14" s="1"/>
  <c r="AF69" i="12"/>
  <c r="T83" i="14"/>
  <c r="O91" i="14"/>
  <c r="F36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S76" i="13"/>
  <c r="W6" i="7"/>
  <c r="AA177" i="4" s="1"/>
  <c r="AA175" i="4"/>
  <c r="P146" i="13"/>
  <c r="P81" i="13" s="1"/>
  <c r="L17" i="13"/>
  <c r="Q79" i="14"/>
  <c r="R136" i="13"/>
  <c r="R71" i="13" s="1"/>
  <c r="H158" i="12"/>
  <c r="F159" i="12"/>
  <c r="P158" i="12"/>
  <c r="K96" i="14"/>
  <c r="B31" i="14"/>
  <c r="C31" i="14" s="1"/>
  <c r="B30" i="13"/>
  <c r="C30" i="13" s="1"/>
  <c r="B30" i="12"/>
  <c r="W10" i="15"/>
  <c r="AD30" i="4"/>
  <c r="E158" i="13"/>
  <c r="E93" i="13"/>
  <c r="G26" i="13"/>
  <c r="F28" i="13"/>
  <c r="E27" i="13" a="1"/>
  <c r="E27" i="13" s="1"/>
  <c r="R81" i="14"/>
  <c r="R6" i="13"/>
  <c r="W32" i="4"/>
  <c r="U149" i="12"/>
  <c r="U148" i="12"/>
  <c r="U150" i="12"/>
  <c r="U151" i="12"/>
  <c r="U152" i="12"/>
  <c r="U154" i="12"/>
  <c r="U153" i="12"/>
  <c r="U155" i="12"/>
  <c r="U156" i="12"/>
  <c r="L93" i="14"/>
  <c r="S7" i="13"/>
  <c r="S6" i="15"/>
  <c r="W8" i="14"/>
  <c r="W1" i="14"/>
  <c r="Z13" i="4"/>
  <c r="X2" i="14" s="1"/>
  <c r="V32" i="4"/>
  <c r="T142" i="13"/>
  <c r="T77" i="13" s="1"/>
  <c r="T139" i="13"/>
  <c r="T141" i="13"/>
  <c r="T84" i="14" s="1"/>
  <c r="T147" i="12"/>
  <c r="T148" i="12"/>
  <c r="T149" i="12"/>
  <c r="T150" i="12"/>
  <c r="T151" i="12"/>
  <c r="T152" i="12"/>
  <c r="T153" i="12"/>
  <c r="T154" i="12"/>
  <c r="T155" i="12"/>
  <c r="T156" i="12"/>
  <c r="L151" i="13"/>
  <c r="L19" i="13" s="1"/>
  <c r="M85" i="13"/>
  <c r="M150" i="13"/>
  <c r="N82" i="13"/>
  <c r="I93" i="12"/>
  <c r="F94" i="12"/>
  <c r="AE94" i="12" s="1"/>
  <c r="H93" i="12"/>
  <c r="I158" i="12" s="1"/>
  <c r="J93" i="12"/>
  <c r="K93" i="12"/>
  <c r="L158" i="12" s="1"/>
  <c r="L93" i="12"/>
  <c r="M158" i="12" s="1"/>
  <c r="M93" i="12"/>
  <c r="N158" i="12" s="1"/>
  <c r="N93" i="12"/>
  <c r="O158" i="12" s="1"/>
  <c r="O93" i="12"/>
  <c r="P93" i="12"/>
  <c r="Q158" i="12" s="1"/>
  <c r="Q93" i="12"/>
  <c r="R93" i="12"/>
  <c r="S93" i="12"/>
  <c r="T158" i="12" s="1"/>
  <c r="T93" i="12"/>
  <c r="U158" i="12" s="1"/>
  <c r="U93" i="12"/>
  <c r="V158" i="12" s="1"/>
  <c r="V93" i="12"/>
  <c r="W93" i="12"/>
  <c r="X93" i="12"/>
  <c r="Y93" i="12"/>
  <c r="Z93" i="12"/>
  <c r="AA93" i="12"/>
  <c r="AB93" i="12"/>
  <c r="AC93" i="12"/>
  <c r="M18" i="13"/>
  <c r="H25" i="13"/>
  <c r="AF134" i="12"/>
  <c r="AD11" i="14"/>
  <c r="AD76" i="14" s="1"/>
  <c r="AD68" i="13"/>
  <c r="AD27" i="12"/>
  <c r="AD26" i="12"/>
  <c r="AE2" i="12"/>
  <c r="X7" i="7"/>
  <c r="Y3" i="7" s="1"/>
  <c r="X4" i="7"/>
  <c r="AB174" i="4"/>
  <c r="AB178" i="4" s="1"/>
  <c r="R13" i="13"/>
  <c r="AD36" i="14"/>
  <c r="AE12" i="14"/>
  <c r="J97" i="14"/>
  <c r="AD93" i="12"/>
  <c r="E100" i="14"/>
  <c r="G100" i="14" s="1"/>
  <c r="H100" i="14" s="1"/>
  <c r="G92" i="13"/>
  <c r="H92" i="13" s="1"/>
  <c r="R70" i="13"/>
  <c r="Q143" i="13"/>
  <c r="Q86" i="14" s="1"/>
  <c r="H91" i="13"/>
  <c r="BC158" i="4"/>
  <c r="BD156" i="4"/>
  <c r="S137" i="13"/>
  <c r="S5" i="13" s="1"/>
  <c r="CG174" i="4"/>
  <c r="AE154" i="6"/>
  <c r="AB49" i="5"/>
  <c r="O89" i="14"/>
  <c r="P89" i="14" s="1"/>
  <c r="T85" i="14"/>
  <c r="AG134" i="13"/>
  <c r="P12" i="13"/>
  <c r="P144" i="13"/>
  <c r="U77" i="13" l="1"/>
  <c r="V142" i="13" s="1"/>
  <c r="U142" i="13"/>
  <c r="P148" i="13"/>
  <c r="P83" i="13" s="1"/>
  <c r="U140" i="13"/>
  <c r="U75" i="13" s="1"/>
  <c r="S136" i="13"/>
  <c r="S71" i="13" s="1"/>
  <c r="C32" i="14"/>
  <c r="Q146" i="13"/>
  <c r="Q81" i="13" s="1"/>
  <c r="M152" i="13"/>
  <c r="M87" i="13" s="1"/>
  <c r="S138" i="13"/>
  <c r="S73" i="13" s="1"/>
  <c r="U85" i="14"/>
  <c r="BE156" i="4"/>
  <c r="BD158" i="4"/>
  <c r="Y7" i="7"/>
  <c r="Z3" i="7" s="1"/>
  <c r="Y4" i="7"/>
  <c r="AC174" i="4"/>
  <c r="AC178" i="4" s="1"/>
  <c r="T7" i="13"/>
  <c r="E159" i="13"/>
  <c r="E94" i="13"/>
  <c r="G27" i="13"/>
  <c r="X32" i="4"/>
  <c r="V149" i="12"/>
  <c r="V150" i="12"/>
  <c r="V151" i="12"/>
  <c r="V152" i="12"/>
  <c r="V153" i="12"/>
  <c r="V154" i="12"/>
  <c r="V155" i="12"/>
  <c r="V156" i="12"/>
  <c r="L88" i="13"/>
  <c r="L153" i="13"/>
  <c r="T74" i="13"/>
  <c r="AF12" i="14"/>
  <c r="O147" i="13"/>
  <c r="O90" i="14" s="1"/>
  <c r="E28" i="13" a="1"/>
  <c r="E28" i="13" s="1"/>
  <c r="F29" i="13"/>
  <c r="F160" i="12"/>
  <c r="H159" i="12"/>
  <c r="R80" i="13"/>
  <c r="T8" i="13"/>
  <c r="U8" i="13" s="1"/>
  <c r="B32" i="14"/>
  <c r="B31" i="13"/>
  <c r="H26" i="13" s="1"/>
  <c r="B31" i="12"/>
  <c r="Q89" i="14"/>
  <c r="I91" i="13"/>
  <c r="I156" i="13"/>
  <c r="I99" i="14" s="1"/>
  <c r="I92" i="13"/>
  <c r="I157" i="13"/>
  <c r="I25" i="13" s="1"/>
  <c r="AE27" i="12"/>
  <c r="AF2" i="12"/>
  <c r="M93" i="14"/>
  <c r="T10" i="13"/>
  <c r="U10" i="13" s="1"/>
  <c r="AF1" i="13"/>
  <c r="AF68" i="12"/>
  <c r="AG1" i="12"/>
  <c r="S80" i="14"/>
  <c r="Q78" i="13"/>
  <c r="I90" i="13"/>
  <c r="T6" i="15"/>
  <c r="X8" i="14"/>
  <c r="X1" i="14"/>
  <c r="AA13" i="4"/>
  <c r="Y2" i="14" s="1"/>
  <c r="E101" i="14"/>
  <c r="G101" i="14" s="1"/>
  <c r="H101" i="14" s="1"/>
  <c r="G93" i="13"/>
  <c r="H93" i="13" s="1"/>
  <c r="L96" i="14"/>
  <c r="H36" i="14"/>
  <c r="F37" i="14"/>
  <c r="AE37" i="14" s="1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M149" i="13"/>
  <c r="M92" i="14" s="1"/>
  <c r="AE7" i="14"/>
  <c r="AH9" i="4"/>
  <c r="AG8" i="4"/>
  <c r="AG46" i="4" s="1"/>
  <c r="AG29" i="4"/>
  <c r="AA11" i="15" s="1"/>
  <c r="AG6" i="4"/>
  <c r="P91" i="14"/>
  <c r="AE11" i="14"/>
  <c r="AE76" i="14" s="1"/>
  <c r="AE68" i="13"/>
  <c r="P14" i="13"/>
  <c r="Q14" i="13" s="1"/>
  <c r="G30" i="11"/>
  <c r="J29" i="11"/>
  <c r="I29" i="11"/>
  <c r="H29" i="11"/>
  <c r="P16" i="13"/>
  <c r="I100" i="14"/>
  <c r="N85" i="13"/>
  <c r="N150" i="13"/>
  <c r="N18" i="13" s="1"/>
  <c r="Q11" i="13"/>
  <c r="AH134" i="13"/>
  <c r="R4" i="13"/>
  <c r="S4" i="13" s="1"/>
  <c r="L86" i="13"/>
  <c r="X10" i="15"/>
  <c r="AE30" i="4"/>
  <c r="T76" i="13"/>
  <c r="U83" i="14"/>
  <c r="E93" i="12"/>
  <c r="E36" i="14" s="1"/>
  <c r="E27" i="12"/>
  <c r="M95" i="14"/>
  <c r="O15" i="13"/>
  <c r="C31" i="12"/>
  <c r="AG134" i="12"/>
  <c r="CG178" i="4"/>
  <c r="AC46" i="5"/>
  <c r="AF150" i="6"/>
  <c r="S6" i="13"/>
  <c r="P87" i="14"/>
  <c r="F28" i="12"/>
  <c r="H27" i="12"/>
  <c r="I159" i="12" s="1"/>
  <c r="I27" i="12"/>
  <c r="J159" i="12" s="1"/>
  <c r="J27" i="12"/>
  <c r="K159" i="12" s="1"/>
  <c r="K27" i="12"/>
  <c r="L27" i="12"/>
  <c r="M159" i="12" s="1"/>
  <c r="M27" i="12"/>
  <c r="N159" i="12" s="1"/>
  <c r="N27" i="12"/>
  <c r="O159" i="12" s="1"/>
  <c r="O27" i="12"/>
  <c r="P159" i="12" s="1"/>
  <c r="P27" i="12"/>
  <c r="Q159" i="12" s="1"/>
  <c r="Q27" i="12"/>
  <c r="R159" i="12" s="1"/>
  <c r="R27" i="12"/>
  <c r="S159" i="12" s="1"/>
  <c r="S27" i="12"/>
  <c r="T27" i="12"/>
  <c r="U159" i="12" s="1"/>
  <c r="U27" i="12"/>
  <c r="V159" i="12" s="1"/>
  <c r="V27" i="12"/>
  <c r="W27" i="12"/>
  <c r="X27" i="12"/>
  <c r="Y27" i="12"/>
  <c r="Z27" i="12"/>
  <c r="AA27" i="12"/>
  <c r="AB27" i="12"/>
  <c r="AC27" i="12"/>
  <c r="L94" i="14"/>
  <c r="P79" i="13"/>
  <c r="I24" i="13"/>
  <c r="S135" i="13"/>
  <c r="S72" i="13"/>
  <c r="X6" i="7"/>
  <c r="AB177" i="4" s="1"/>
  <c r="AB175" i="4"/>
  <c r="H94" i="12"/>
  <c r="F95" i="12"/>
  <c r="I94" i="12"/>
  <c r="J94" i="12"/>
  <c r="K94" i="12"/>
  <c r="L159" i="12" s="1"/>
  <c r="L94" i="12"/>
  <c r="M94" i="12"/>
  <c r="N94" i="12"/>
  <c r="O94" i="12"/>
  <c r="P94" i="12"/>
  <c r="Q94" i="12"/>
  <c r="R94" i="12"/>
  <c r="S94" i="12"/>
  <c r="T159" i="12" s="1"/>
  <c r="T94" i="12"/>
  <c r="U94" i="12"/>
  <c r="V94" i="12"/>
  <c r="W94" i="12"/>
  <c r="X94" i="12"/>
  <c r="Y94" i="12"/>
  <c r="Z94" i="12"/>
  <c r="AA94" i="12"/>
  <c r="AB94" i="12"/>
  <c r="AC94" i="12"/>
  <c r="AD94" i="12"/>
  <c r="S7" i="15"/>
  <c r="S18" i="15"/>
  <c r="S81" i="14"/>
  <c r="R79" i="14"/>
  <c r="S79" i="14" s="1"/>
  <c r="AG69" i="12"/>
  <c r="AF95" i="12"/>
  <c r="T9" i="13"/>
  <c r="D92" i="13"/>
  <c r="D100" i="14" s="1"/>
  <c r="D26" i="13"/>
  <c r="J89" i="13"/>
  <c r="L21" i="13"/>
  <c r="V157" i="12"/>
  <c r="N152" i="13" l="1"/>
  <c r="N87" i="13" s="1"/>
  <c r="R146" i="13"/>
  <c r="R89" i="14" s="1"/>
  <c r="T136" i="13"/>
  <c r="T71" i="13" s="1"/>
  <c r="V140" i="13"/>
  <c r="V75" i="13" s="1"/>
  <c r="Q148" i="13"/>
  <c r="Q83" i="13" s="1"/>
  <c r="T138" i="13"/>
  <c r="T81" i="14" s="1"/>
  <c r="T72" i="13"/>
  <c r="T137" i="13"/>
  <c r="T5" i="13" s="1"/>
  <c r="H28" i="12"/>
  <c r="F29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N95" i="14"/>
  <c r="T4" i="13"/>
  <c r="R14" i="13"/>
  <c r="AG1" i="13"/>
  <c r="AG68" i="12"/>
  <c r="AH1" i="12"/>
  <c r="E160" i="13"/>
  <c r="E95" i="13"/>
  <c r="G28" i="13"/>
  <c r="M20" i="13"/>
  <c r="N20" i="13" s="1"/>
  <c r="T79" i="14"/>
  <c r="E94" i="12"/>
  <c r="E37" i="14" s="1"/>
  <c r="E28" i="12"/>
  <c r="O85" i="13"/>
  <c r="O150" i="13"/>
  <c r="O18" i="13" s="1"/>
  <c r="AF7" i="14"/>
  <c r="AH29" i="4"/>
  <c r="AB11" i="15" s="1"/>
  <c r="AH8" i="4"/>
  <c r="AH46" i="4" s="1"/>
  <c r="AI9" i="4"/>
  <c r="AH6" i="4"/>
  <c r="C31" i="13"/>
  <c r="S70" i="13"/>
  <c r="AH134" i="12"/>
  <c r="H37" i="14"/>
  <c r="F38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F11" i="14"/>
  <c r="AF76" i="14" s="1"/>
  <c r="AF68" i="13"/>
  <c r="AC175" i="4"/>
  <c r="Y6" i="7"/>
  <c r="AC177" i="4" s="1"/>
  <c r="S14" i="15"/>
  <c r="W159" i="12" s="1"/>
  <c r="H95" i="12"/>
  <c r="I95" i="12"/>
  <c r="F96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T6" i="13"/>
  <c r="V83" i="14"/>
  <c r="Q16" i="13"/>
  <c r="Q91" i="14"/>
  <c r="T7" i="15"/>
  <c r="T18" i="15"/>
  <c r="T14" i="15" s="1"/>
  <c r="V10" i="13"/>
  <c r="O82" i="13"/>
  <c r="AF38" i="14"/>
  <c r="AG12" i="14"/>
  <c r="M17" i="13"/>
  <c r="Z4" i="7"/>
  <c r="Z7" i="7"/>
  <c r="AA3" i="7" s="1"/>
  <c r="AD174" i="4"/>
  <c r="AD178" i="4" s="1"/>
  <c r="U141" i="13"/>
  <c r="U84" i="14" s="1"/>
  <c r="B33" i="14"/>
  <c r="B32" i="13"/>
  <c r="H27" i="13" s="1"/>
  <c r="B32" i="12"/>
  <c r="M84" i="13"/>
  <c r="S78" i="14"/>
  <c r="C32" i="12"/>
  <c r="Y10" i="15"/>
  <c r="AF30" i="4"/>
  <c r="I158" i="13"/>
  <c r="I26" i="13" s="1"/>
  <c r="J90" i="13"/>
  <c r="J155" i="13"/>
  <c r="N93" i="14"/>
  <c r="O93" i="14" s="1"/>
  <c r="J92" i="13"/>
  <c r="J157" i="13"/>
  <c r="J100" i="14" s="1"/>
  <c r="V8" i="13"/>
  <c r="E102" i="14"/>
  <c r="G102" i="14" s="1"/>
  <c r="H102" i="14" s="1"/>
  <c r="G94" i="13"/>
  <c r="H94" i="13" s="1"/>
  <c r="BF156" i="4"/>
  <c r="BE158" i="4"/>
  <c r="K89" i="13"/>
  <c r="K154" i="13"/>
  <c r="AH69" i="12"/>
  <c r="AG96" i="12"/>
  <c r="Q79" i="13"/>
  <c r="Q144" i="13"/>
  <c r="Q87" i="14" s="1"/>
  <c r="CH174" i="4"/>
  <c r="AF154" i="6"/>
  <c r="AC49" i="5"/>
  <c r="S3" i="13"/>
  <c r="I101" i="14"/>
  <c r="R78" i="13"/>
  <c r="R143" i="13"/>
  <c r="AE28" i="12"/>
  <c r="S145" i="13"/>
  <c r="F161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W160" i="12"/>
  <c r="X160" i="12"/>
  <c r="V85" i="14"/>
  <c r="D93" i="13"/>
  <c r="D101" i="14" s="1"/>
  <c r="D27" i="13"/>
  <c r="M151" i="13"/>
  <c r="M19" i="13" s="1"/>
  <c r="AI134" i="13"/>
  <c r="R11" i="13"/>
  <c r="J30" i="11"/>
  <c r="I30" i="11"/>
  <c r="H30" i="11"/>
  <c r="G31" i="11"/>
  <c r="U6" i="15"/>
  <c r="Y8" i="14"/>
  <c r="Y1" i="14"/>
  <c r="AB13" i="4"/>
  <c r="Z2" i="14" s="1"/>
  <c r="T80" i="14"/>
  <c r="AF28" i="12"/>
  <c r="AG2" i="12"/>
  <c r="AF29" i="12"/>
  <c r="J156" i="13"/>
  <c r="J91" i="13" s="1"/>
  <c r="F30" i="13"/>
  <c r="E29" i="13" a="1"/>
  <c r="E29" i="13" s="1"/>
  <c r="M88" i="13"/>
  <c r="M153" i="13"/>
  <c r="M96" i="14" s="1"/>
  <c r="U7" i="13"/>
  <c r="U139" i="13"/>
  <c r="U82" i="14" s="1"/>
  <c r="C33" i="14"/>
  <c r="V77" i="13"/>
  <c r="R148" i="13" l="1"/>
  <c r="R83" i="13" s="1"/>
  <c r="K91" i="13"/>
  <c r="K156" i="13"/>
  <c r="U136" i="13"/>
  <c r="U71" i="13" s="1"/>
  <c r="O152" i="13"/>
  <c r="O87" i="13" s="1"/>
  <c r="E30" i="13" a="1"/>
  <c r="E30" i="13" s="1"/>
  <c r="F31" i="13"/>
  <c r="K157" i="13"/>
  <c r="K100" i="14" s="1"/>
  <c r="Z6" i="7"/>
  <c r="AD177" i="4" s="1"/>
  <c r="AD175" i="4"/>
  <c r="P82" i="13"/>
  <c r="P147" i="13"/>
  <c r="H96" i="12"/>
  <c r="F97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S88" i="14"/>
  <c r="S13" i="13"/>
  <c r="J24" i="13"/>
  <c r="U79" i="14"/>
  <c r="AG11" i="14"/>
  <c r="AG76" i="14" s="1"/>
  <c r="AG68" i="13"/>
  <c r="R81" i="13"/>
  <c r="S80" i="13"/>
  <c r="AJ134" i="13"/>
  <c r="M86" i="13"/>
  <c r="J99" i="14"/>
  <c r="BG156" i="4"/>
  <c r="BF158" i="4"/>
  <c r="J23" i="13"/>
  <c r="J98" i="14"/>
  <c r="AH12" i="14"/>
  <c r="Z32" i="4"/>
  <c r="X151" i="12"/>
  <c r="X152" i="12"/>
  <c r="X153" i="12"/>
  <c r="X154" i="12"/>
  <c r="X155" i="12"/>
  <c r="X156" i="12"/>
  <c r="X157" i="12"/>
  <c r="X158" i="12"/>
  <c r="H38" i="14"/>
  <c r="F39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I134" i="12"/>
  <c r="O20" i="13"/>
  <c r="J25" i="13"/>
  <c r="T135" i="13"/>
  <c r="U4" i="13"/>
  <c r="F30" i="12"/>
  <c r="H29" i="12"/>
  <c r="I29" i="12"/>
  <c r="J29" i="12"/>
  <c r="K161" i="12" s="1"/>
  <c r="K29" i="12"/>
  <c r="L29" i="12"/>
  <c r="M29" i="12"/>
  <c r="N29" i="12"/>
  <c r="O29" i="12"/>
  <c r="P29" i="12"/>
  <c r="Q29" i="12"/>
  <c r="R29" i="12"/>
  <c r="S161" i="12" s="1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T73" i="13"/>
  <c r="R79" i="13"/>
  <c r="R144" i="13"/>
  <c r="R87" i="14" s="1"/>
  <c r="V6" i="15"/>
  <c r="Z1" i="14"/>
  <c r="Z8" i="14"/>
  <c r="AC13" i="4"/>
  <c r="AA2" i="14" s="1"/>
  <c r="I159" i="13"/>
  <c r="I27" i="13" s="1"/>
  <c r="K90" i="13"/>
  <c r="K155" i="13"/>
  <c r="T78" i="14"/>
  <c r="D94" i="13"/>
  <c r="D102" i="14" s="1"/>
  <c r="D28" i="13"/>
  <c r="U9" i="13"/>
  <c r="U76" i="13"/>
  <c r="Y32" i="4"/>
  <c r="W142" i="13"/>
  <c r="W10" i="13" s="1"/>
  <c r="W140" i="13"/>
  <c r="W75" i="13" s="1"/>
  <c r="W151" i="12"/>
  <c r="W150" i="12"/>
  <c r="W152" i="12"/>
  <c r="W154" i="12"/>
  <c r="W153" i="12"/>
  <c r="W156" i="12"/>
  <c r="W155" i="12"/>
  <c r="W157" i="12"/>
  <c r="W158" i="12"/>
  <c r="P85" i="13"/>
  <c r="P150" i="13"/>
  <c r="P18" i="13" s="1"/>
  <c r="E103" i="14"/>
  <c r="G103" i="14" s="1"/>
  <c r="G95" i="13"/>
  <c r="O95" i="14"/>
  <c r="W77" i="13"/>
  <c r="N153" i="13"/>
  <c r="N88" i="13" s="1"/>
  <c r="U7" i="15"/>
  <c r="U18" i="15"/>
  <c r="R86" i="14"/>
  <c r="CH178" i="4"/>
  <c r="AD46" i="5"/>
  <c r="AG150" i="6"/>
  <c r="AH97" i="12"/>
  <c r="AI69" i="12"/>
  <c r="U74" i="13"/>
  <c r="I93" i="13"/>
  <c r="M21" i="13"/>
  <c r="C32" i="13"/>
  <c r="E95" i="12"/>
  <c r="E38" i="14" s="1"/>
  <c r="E29" i="12"/>
  <c r="M94" i="14"/>
  <c r="U80" i="14"/>
  <c r="L154" i="13"/>
  <c r="L89" i="13" s="1"/>
  <c r="E161" i="13"/>
  <c r="E96" i="13"/>
  <c r="G29" i="13"/>
  <c r="AG29" i="12"/>
  <c r="AG30" i="12"/>
  <c r="AH2" i="12"/>
  <c r="G32" i="11"/>
  <c r="J31" i="11"/>
  <c r="I31" i="11"/>
  <c r="H31" i="11"/>
  <c r="W85" i="14"/>
  <c r="S143" i="13"/>
  <c r="W8" i="13"/>
  <c r="Z10" i="15"/>
  <c r="AG30" i="4"/>
  <c r="R91" i="14"/>
  <c r="U5" i="13"/>
  <c r="X159" i="12"/>
  <c r="B34" i="14"/>
  <c r="C34" i="14" s="1"/>
  <c r="B33" i="13"/>
  <c r="I94" i="13" s="1"/>
  <c r="B33" i="12"/>
  <c r="C33" i="12" s="1"/>
  <c r="H161" i="12"/>
  <c r="F162" i="12"/>
  <c r="J161" i="12"/>
  <c r="I161" i="12"/>
  <c r="L161" i="12"/>
  <c r="M161" i="12"/>
  <c r="N161" i="12"/>
  <c r="O161" i="12"/>
  <c r="P161" i="12"/>
  <c r="Q161" i="12"/>
  <c r="R161" i="12"/>
  <c r="T161" i="12"/>
  <c r="U161" i="12"/>
  <c r="V161" i="12"/>
  <c r="W161" i="12"/>
  <c r="X161" i="12"/>
  <c r="Q12" i="13"/>
  <c r="R12" i="13" s="1"/>
  <c r="K97" i="14"/>
  <c r="L97" i="14" s="1"/>
  <c r="K22" i="13"/>
  <c r="L22" i="13" s="1"/>
  <c r="N149" i="13"/>
  <c r="N92" i="14" s="1"/>
  <c r="AA7" i="7"/>
  <c r="AB3" i="7" s="1"/>
  <c r="AA4" i="7"/>
  <c r="AE174" i="4"/>
  <c r="AE178" i="4" s="1"/>
  <c r="R16" i="13"/>
  <c r="AG7" i="14"/>
  <c r="AJ9" i="4"/>
  <c r="AI8" i="4"/>
  <c r="AI46" i="4" s="1"/>
  <c r="AI29" i="4"/>
  <c r="AC11" i="15" s="1"/>
  <c r="AI6" i="4"/>
  <c r="AH1" i="13"/>
  <c r="AH68" i="12"/>
  <c r="AI1" i="12"/>
  <c r="U72" i="13"/>
  <c r="U137" i="13"/>
  <c r="X140" i="13" l="1"/>
  <c r="X75" i="13" s="1"/>
  <c r="J159" i="13"/>
  <c r="J27" i="13" s="1"/>
  <c r="P87" i="13"/>
  <c r="P152" i="13"/>
  <c r="V136" i="13"/>
  <c r="V71" i="13" s="1"/>
  <c r="M154" i="13"/>
  <c r="M89" i="13" s="1"/>
  <c r="O153" i="13"/>
  <c r="O88" i="13" s="1"/>
  <c r="S148" i="13"/>
  <c r="S83" i="13" s="1"/>
  <c r="AJ69" i="12"/>
  <c r="CI174" i="4"/>
  <c r="AG154" i="6"/>
  <c r="AD49" i="5"/>
  <c r="H30" i="12"/>
  <c r="F31" i="12"/>
  <c r="I30" i="12"/>
  <c r="J30" i="12"/>
  <c r="K30" i="12"/>
  <c r="L162" i="12" s="1"/>
  <c r="L30" i="12"/>
  <c r="M30" i="12"/>
  <c r="N30" i="12"/>
  <c r="O162" i="12" s="1"/>
  <c r="O30" i="12"/>
  <c r="P30" i="12"/>
  <c r="Q30" i="12"/>
  <c r="R30" i="12"/>
  <c r="S30" i="12"/>
  <c r="T162" i="12" s="1"/>
  <c r="T30" i="12"/>
  <c r="U30" i="12"/>
  <c r="V30" i="12"/>
  <c r="W162" i="12" s="1"/>
  <c r="W30" i="12"/>
  <c r="X30" i="12"/>
  <c r="Y30" i="12"/>
  <c r="Z30" i="12"/>
  <c r="AA30" i="12"/>
  <c r="AB30" i="12"/>
  <c r="AC30" i="12"/>
  <c r="AD30" i="12"/>
  <c r="AE30" i="12"/>
  <c r="AF30" i="12"/>
  <c r="K25" i="13"/>
  <c r="F40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N151" i="13"/>
  <c r="N19" i="13" s="1"/>
  <c r="W83" i="14"/>
  <c r="X83" i="14" s="1"/>
  <c r="AB4" i="7"/>
  <c r="AB7" i="7"/>
  <c r="AC3" i="7" s="1"/>
  <c r="AF174" i="4"/>
  <c r="AF178" i="4" s="1"/>
  <c r="S91" i="14"/>
  <c r="B35" i="14"/>
  <c r="C35" i="14" s="1"/>
  <c r="B34" i="13"/>
  <c r="B34" i="12"/>
  <c r="C34" i="12" s="1"/>
  <c r="S86" i="14"/>
  <c r="P95" i="14"/>
  <c r="V4" i="13"/>
  <c r="AG39" i="14"/>
  <c r="T145" i="13"/>
  <c r="T13" i="13" s="1"/>
  <c r="N17" i="13"/>
  <c r="K92" i="13"/>
  <c r="L91" i="13"/>
  <c r="L156" i="13"/>
  <c r="X85" i="14"/>
  <c r="F163" i="12"/>
  <c r="H162" i="12"/>
  <c r="AA10" i="15"/>
  <c r="AH30" i="4"/>
  <c r="AH31" i="12"/>
  <c r="AH30" i="12"/>
  <c r="AI2" i="12"/>
  <c r="E96" i="12"/>
  <c r="E39" i="14" s="1"/>
  <c r="E30" i="12"/>
  <c r="H95" i="13"/>
  <c r="V141" i="13"/>
  <c r="V84" i="14" s="1"/>
  <c r="H28" i="13"/>
  <c r="P20" i="13"/>
  <c r="K98" i="14"/>
  <c r="L98" i="14" s="1"/>
  <c r="K24" i="13"/>
  <c r="L24" i="13" s="1"/>
  <c r="P15" i="13"/>
  <c r="P90" i="14"/>
  <c r="E31" i="13" a="1"/>
  <c r="E31" i="13" s="1"/>
  <c r="F32" i="13"/>
  <c r="H29" i="13"/>
  <c r="H103" i="14"/>
  <c r="X142" i="13"/>
  <c r="X77" i="13" s="1"/>
  <c r="K23" i="13"/>
  <c r="L23" i="13" s="1"/>
  <c r="S146" i="13"/>
  <c r="P93" i="14"/>
  <c r="Q147" i="13"/>
  <c r="Q82" i="13" s="1"/>
  <c r="E162" i="13"/>
  <c r="E97" i="13"/>
  <c r="G30" i="13"/>
  <c r="N96" i="14"/>
  <c r="O96" i="14" s="1"/>
  <c r="N84" i="13"/>
  <c r="L155" i="13"/>
  <c r="L90" i="13" s="1"/>
  <c r="V7" i="15"/>
  <c r="V18" i="15"/>
  <c r="V14" i="15" s="1"/>
  <c r="AH7" i="14"/>
  <c r="AJ8" i="4"/>
  <c r="AJ46" i="4" s="1"/>
  <c r="AJ6" i="4"/>
  <c r="AJ29" i="4"/>
  <c r="AD11" i="15" s="1"/>
  <c r="AK9" i="4"/>
  <c r="X8" i="13"/>
  <c r="H32" i="11"/>
  <c r="G33" i="11"/>
  <c r="J32" i="11"/>
  <c r="I32" i="11"/>
  <c r="E104" i="14"/>
  <c r="G104" i="14" s="1"/>
  <c r="H104" i="14" s="1"/>
  <c r="G96" i="13"/>
  <c r="H96" i="13" s="1"/>
  <c r="C33" i="13"/>
  <c r="U14" i="15"/>
  <c r="I102" i="14"/>
  <c r="J102" i="14" s="1"/>
  <c r="T70" i="13"/>
  <c r="M22" i="13"/>
  <c r="N21" i="13"/>
  <c r="O21" i="13" s="1"/>
  <c r="Q150" i="13"/>
  <c r="Q18" i="13" s="1"/>
  <c r="BG158" i="4"/>
  <c r="BH156" i="4"/>
  <c r="T88" i="14"/>
  <c r="AH11" i="14"/>
  <c r="AH76" i="14" s="1"/>
  <c r="AH68" i="13"/>
  <c r="AA6" i="7"/>
  <c r="AE177" i="4" s="1"/>
  <c r="AE175" i="4"/>
  <c r="V137" i="13"/>
  <c r="V80" i="14" s="1"/>
  <c r="AI1" i="13"/>
  <c r="AJ1" i="12"/>
  <c r="AI68" i="12"/>
  <c r="S16" i="13"/>
  <c r="J158" i="13"/>
  <c r="D95" i="13"/>
  <c r="D103" i="14" s="1"/>
  <c r="D29" i="13"/>
  <c r="S79" i="13"/>
  <c r="S144" i="13"/>
  <c r="S87" i="14" s="1"/>
  <c r="AH40" i="14"/>
  <c r="AI12" i="14"/>
  <c r="T3" i="13"/>
  <c r="V79" i="14"/>
  <c r="F98" i="12"/>
  <c r="I97" i="12"/>
  <c r="J162" i="12" s="1"/>
  <c r="H97" i="12"/>
  <c r="I162" i="12" s="1"/>
  <c r="J97" i="12"/>
  <c r="K162" i="12" s="1"/>
  <c r="K97" i="12"/>
  <c r="L97" i="12"/>
  <c r="M162" i="12" s="1"/>
  <c r="M97" i="12"/>
  <c r="N162" i="12" s="1"/>
  <c r="N97" i="12"/>
  <c r="O97" i="12"/>
  <c r="P162" i="12" s="1"/>
  <c r="P97" i="12"/>
  <c r="Q162" i="12" s="1"/>
  <c r="Q97" i="12"/>
  <c r="R162" i="12" s="1"/>
  <c r="R97" i="12"/>
  <c r="S162" i="12" s="1"/>
  <c r="S97" i="12"/>
  <c r="T97" i="12"/>
  <c r="U162" i="12" s="1"/>
  <c r="U97" i="12"/>
  <c r="V162" i="12" s="1"/>
  <c r="V97" i="12"/>
  <c r="W97" i="12"/>
  <c r="X162" i="12" s="1"/>
  <c r="X97" i="12"/>
  <c r="Y162" i="12" s="1"/>
  <c r="Y97" i="12"/>
  <c r="Z162" i="12" s="1"/>
  <c r="Z97" i="12"/>
  <c r="AA97" i="12"/>
  <c r="AB97" i="12"/>
  <c r="AC97" i="12"/>
  <c r="AD97" i="12"/>
  <c r="AE97" i="12"/>
  <c r="AF97" i="12"/>
  <c r="AG97" i="12"/>
  <c r="M97" i="14"/>
  <c r="S78" i="13"/>
  <c r="V74" i="13"/>
  <c r="V139" i="13"/>
  <c r="W6" i="15"/>
  <c r="AA8" i="14"/>
  <c r="AA1" i="14"/>
  <c r="AD13" i="4"/>
  <c r="AB2" i="14" s="1"/>
  <c r="U138" i="13"/>
  <c r="AJ134" i="12"/>
  <c r="K99" i="14"/>
  <c r="L99" i="14" s="1"/>
  <c r="AK134" i="13"/>
  <c r="S11" i="13"/>
  <c r="N154" i="13" l="1"/>
  <c r="N22" i="13" s="1"/>
  <c r="T148" i="13"/>
  <c r="T83" i="13" s="1"/>
  <c r="P153" i="13"/>
  <c r="P88" i="13" s="1"/>
  <c r="R147" i="13"/>
  <c r="W71" i="13"/>
  <c r="W136" i="13"/>
  <c r="M155" i="13"/>
  <c r="M90" i="13" s="1"/>
  <c r="B36" i="14"/>
  <c r="C36" i="14" s="1"/>
  <c r="B35" i="13"/>
  <c r="B35" i="12"/>
  <c r="C35" i="12" s="1"/>
  <c r="E105" i="14"/>
  <c r="G105" i="14" s="1"/>
  <c r="G97" i="13"/>
  <c r="H97" i="13" s="1"/>
  <c r="M23" i="13"/>
  <c r="Q90" i="14"/>
  <c r="I160" i="13"/>
  <c r="I95" i="13" s="1"/>
  <c r="M91" i="13"/>
  <c r="M156" i="13"/>
  <c r="AC7" i="7"/>
  <c r="AD3" i="7" s="1"/>
  <c r="AC4" i="7"/>
  <c r="AG174" i="4"/>
  <c r="AG178" i="4" s="1"/>
  <c r="L25" i="13"/>
  <c r="CI178" i="4"/>
  <c r="AH150" i="6"/>
  <c r="AE46" i="5"/>
  <c r="V5" i="13"/>
  <c r="J94" i="13"/>
  <c r="P96" i="14"/>
  <c r="S89" i="14"/>
  <c r="S14" i="13"/>
  <c r="F33" i="13"/>
  <c r="E32" i="13" a="1"/>
  <c r="E32" i="13" s="1"/>
  <c r="T11" i="13"/>
  <c r="X6" i="15"/>
  <c r="AB1" i="14"/>
  <c r="AB8" i="14"/>
  <c r="AE13" i="4"/>
  <c r="AC2" i="14" s="1"/>
  <c r="AA32" i="4"/>
  <c r="Y142" i="13"/>
  <c r="Y77" i="13" s="1"/>
  <c r="Y140" i="13"/>
  <c r="Y75" i="13" s="1"/>
  <c r="Y152" i="12"/>
  <c r="Y153" i="12"/>
  <c r="Y154" i="12"/>
  <c r="Y155" i="12"/>
  <c r="Y156" i="12"/>
  <c r="Y157" i="12"/>
  <c r="Y158" i="12"/>
  <c r="Y159" i="12"/>
  <c r="Y160" i="12"/>
  <c r="Y161" i="12"/>
  <c r="Y8" i="13"/>
  <c r="Q15" i="13"/>
  <c r="R15" i="13" s="1"/>
  <c r="E97" i="12"/>
  <c r="E40" i="14" s="1"/>
  <c r="E31" i="12"/>
  <c r="AB10" i="15"/>
  <c r="AI30" i="4"/>
  <c r="L92" i="13"/>
  <c r="L157" i="13"/>
  <c r="L100" i="14" s="1"/>
  <c r="T86" i="14"/>
  <c r="AB6" i="7"/>
  <c r="AF177" i="4" s="1"/>
  <c r="AF175" i="4"/>
  <c r="F32" i="12"/>
  <c r="H31" i="12"/>
  <c r="I31" i="12"/>
  <c r="J163" i="12" s="1"/>
  <c r="J31" i="12"/>
  <c r="K31" i="12"/>
  <c r="L31" i="12"/>
  <c r="M31" i="12"/>
  <c r="N31" i="12"/>
  <c r="O31" i="12"/>
  <c r="P31" i="12"/>
  <c r="Q31" i="12"/>
  <c r="R163" i="12" s="1"/>
  <c r="R31" i="12"/>
  <c r="S31" i="12"/>
  <c r="T31" i="12"/>
  <c r="U31" i="12"/>
  <c r="V31" i="12"/>
  <c r="W31" i="12"/>
  <c r="X31" i="12"/>
  <c r="Y31" i="12"/>
  <c r="Z163" i="12" s="1"/>
  <c r="Z31" i="12"/>
  <c r="AA31" i="12"/>
  <c r="AB31" i="12"/>
  <c r="AC31" i="12"/>
  <c r="AD31" i="12"/>
  <c r="AE31" i="12"/>
  <c r="AF31" i="12"/>
  <c r="AG31" i="12"/>
  <c r="U6" i="13"/>
  <c r="U81" i="14"/>
  <c r="T79" i="13"/>
  <c r="T144" i="13"/>
  <c r="T87" i="14" s="1"/>
  <c r="T91" i="14"/>
  <c r="N97" i="14"/>
  <c r="AJ12" i="14"/>
  <c r="J26" i="13"/>
  <c r="J101" i="14"/>
  <c r="V72" i="13"/>
  <c r="J93" i="13"/>
  <c r="Q85" i="13"/>
  <c r="C34" i="13"/>
  <c r="C35" i="13" s="1"/>
  <c r="AI7" i="14"/>
  <c r="AK8" i="4"/>
  <c r="AK46" i="4" s="1"/>
  <c r="AK6" i="4"/>
  <c r="AK29" i="4"/>
  <c r="AE11" i="15" s="1"/>
  <c r="AL9" i="4"/>
  <c r="M24" i="13"/>
  <c r="I15" i="2"/>
  <c r="O17" i="13"/>
  <c r="N94" i="14"/>
  <c r="S12" i="13"/>
  <c r="AK134" i="12"/>
  <c r="P21" i="13"/>
  <c r="I96" i="13"/>
  <c r="I161" i="13"/>
  <c r="V9" i="13"/>
  <c r="I103" i="14"/>
  <c r="M98" i="14"/>
  <c r="Y83" i="14"/>
  <c r="AL134" i="13"/>
  <c r="W7" i="15"/>
  <c r="W18" i="15"/>
  <c r="T16" i="13"/>
  <c r="O84" i="13"/>
  <c r="O149" i="13"/>
  <c r="O92" i="14" s="1"/>
  <c r="I29" i="13"/>
  <c r="T80" i="13"/>
  <c r="X10" i="13"/>
  <c r="Y10" i="13" s="1"/>
  <c r="H98" i="12"/>
  <c r="I163" i="12" s="1"/>
  <c r="I98" i="12"/>
  <c r="F99" i="12"/>
  <c r="J98" i="12"/>
  <c r="K98" i="12"/>
  <c r="L98" i="12"/>
  <c r="M98" i="12"/>
  <c r="N98" i="12"/>
  <c r="O163" i="12" s="1"/>
  <c r="O98" i="12"/>
  <c r="P163" i="12" s="1"/>
  <c r="P98" i="12"/>
  <c r="Q98" i="12"/>
  <c r="R98" i="12"/>
  <c r="S98" i="12"/>
  <c r="T98" i="12"/>
  <c r="U98" i="12"/>
  <c r="V98" i="12"/>
  <c r="W163" i="12" s="1"/>
  <c r="W98" i="12"/>
  <c r="X163" i="12" s="1"/>
  <c r="X98" i="12"/>
  <c r="Y98" i="12"/>
  <c r="Z98" i="12"/>
  <c r="AA98" i="12"/>
  <c r="AB98" i="12"/>
  <c r="AC98" i="12"/>
  <c r="AD98" i="12"/>
  <c r="AE98" i="12"/>
  <c r="AF98" i="12"/>
  <c r="AG98" i="12"/>
  <c r="AH98" i="12"/>
  <c r="I104" i="14"/>
  <c r="V7" i="13"/>
  <c r="V82" i="14"/>
  <c r="W79" i="14"/>
  <c r="Q93" i="14"/>
  <c r="I28" i="13"/>
  <c r="AI32" i="12"/>
  <c r="AJ2" i="12"/>
  <c r="AI31" i="12"/>
  <c r="H163" i="12"/>
  <c r="F164" i="12"/>
  <c r="K163" i="12"/>
  <c r="L163" i="12"/>
  <c r="M163" i="12"/>
  <c r="N163" i="12"/>
  <c r="Q163" i="12"/>
  <c r="S163" i="12"/>
  <c r="T163" i="12"/>
  <c r="U163" i="12"/>
  <c r="V163" i="12"/>
  <c r="Y163" i="12"/>
  <c r="N86" i="13"/>
  <c r="AJ99" i="12"/>
  <c r="AK69" i="12"/>
  <c r="Q152" i="13"/>
  <c r="Q20" i="13" s="1"/>
  <c r="W139" i="13"/>
  <c r="W74" i="13" s="1"/>
  <c r="U3" i="13"/>
  <c r="AJ1" i="13"/>
  <c r="AJ68" i="12"/>
  <c r="AK1" i="12"/>
  <c r="U135" i="13"/>
  <c r="W4" i="13"/>
  <c r="M99" i="14"/>
  <c r="U73" i="13"/>
  <c r="T78" i="13"/>
  <c r="T143" i="13"/>
  <c r="D96" i="13"/>
  <c r="D104" i="14" s="1"/>
  <c r="D30" i="13"/>
  <c r="AI11" i="14"/>
  <c r="AI76" i="14" s="1"/>
  <c r="AI68" i="13"/>
  <c r="BI156" i="4"/>
  <c r="BH158" i="4"/>
  <c r="J33" i="11"/>
  <c r="I33" i="11"/>
  <c r="H33" i="11"/>
  <c r="G34" i="11"/>
  <c r="AB32" i="4"/>
  <c r="Z153" i="12"/>
  <c r="Z154" i="12"/>
  <c r="Z155" i="12"/>
  <c r="Z157" i="12"/>
  <c r="Z156" i="12"/>
  <c r="Z158" i="12"/>
  <c r="Z160" i="12"/>
  <c r="Z159" i="12"/>
  <c r="Z161" i="12"/>
  <c r="H30" i="13"/>
  <c r="S81" i="13"/>
  <c r="E163" i="13"/>
  <c r="E98" i="13"/>
  <c r="G31" i="13"/>
  <c r="V76" i="13"/>
  <c r="H40" i="14"/>
  <c r="F41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I98" i="12"/>
  <c r="Z75" i="13" l="1"/>
  <c r="Z140" i="13"/>
  <c r="J160" i="13"/>
  <c r="J95" i="13" s="1"/>
  <c r="N155" i="13"/>
  <c r="N90" i="13" s="1"/>
  <c r="Z77" i="13"/>
  <c r="Z142" i="13"/>
  <c r="X139" i="13"/>
  <c r="X74" i="13" s="1"/>
  <c r="Q88" i="13"/>
  <c r="Q153" i="13"/>
  <c r="U148" i="13"/>
  <c r="U91" i="14" s="1"/>
  <c r="G35" i="11"/>
  <c r="J34" i="11"/>
  <c r="H34" i="11"/>
  <c r="I34" i="11"/>
  <c r="U143" i="13"/>
  <c r="U78" i="13" s="1"/>
  <c r="AK1" i="13"/>
  <c r="AK68" i="12"/>
  <c r="AL1" i="12"/>
  <c r="Q95" i="14"/>
  <c r="BI158" i="4"/>
  <c r="BJ156" i="4"/>
  <c r="F165" i="12"/>
  <c r="H164" i="12"/>
  <c r="N164" i="12"/>
  <c r="V164" i="12"/>
  <c r="J28" i="13"/>
  <c r="F100" i="12"/>
  <c r="H99" i="12"/>
  <c r="I99" i="12"/>
  <c r="J99" i="12"/>
  <c r="K99" i="12"/>
  <c r="L99" i="12"/>
  <c r="M99" i="12"/>
  <c r="N99" i="12"/>
  <c r="O164" i="12" s="1"/>
  <c r="O99" i="12"/>
  <c r="P99" i="12"/>
  <c r="Q99" i="12"/>
  <c r="R99" i="12"/>
  <c r="S99" i="12"/>
  <c r="T99" i="12"/>
  <c r="U99" i="12"/>
  <c r="V99" i="12"/>
  <c r="W164" i="12" s="1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K12" i="14"/>
  <c r="AC10" i="15"/>
  <c r="AJ30" i="4"/>
  <c r="E164" i="13"/>
  <c r="E99" i="13"/>
  <c r="G32" i="13"/>
  <c r="E106" i="14"/>
  <c r="G106" i="14" s="1"/>
  <c r="G98" i="13"/>
  <c r="W76" i="13"/>
  <c r="W141" i="13"/>
  <c r="W84" i="14" s="1"/>
  <c r="AJ68" i="13"/>
  <c r="AJ11" i="14"/>
  <c r="AJ76" i="14" s="1"/>
  <c r="AM134" i="13"/>
  <c r="J161" i="13"/>
  <c r="J29" i="13" s="1"/>
  <c r="T12" i="13"/>
  <c r="H32" i="12"/>
  <c r="I164" i="12" s="1"/>
  <c r="F33" i="12"/>
  <c r="I32" i="12"/>
  <c r="J164" i="12" s="1"/>
  <c r="J32" i="12"/>
  <c r="K164" i="12" s="1"/>
  <c r="K32" i="12"/>
  <c r="L164" i="12" s="1"/>
  <c r="L32" i="12"/>
  <c r="M164" i="12" s="1"/>
  <c r="M32" i="12"/>
  <c r="N32" i="12"/>
  <c r="O32" i="12"/>
  <c r="P164" i="12" s="1"/>
  <c r="P32" i="12"/>
  <c r="Q164" i="12" s="1"/>
  <c r="Q32" i="12"/>
  <c r="R164" i="12" s="1"/>
  <c r="R32" i="12"/>
  <c r="S164" i="12" s="1"/>
  <c r="S32" i="12"/>
  <c r="T164" i="12" s="1"/>
  <c r="T32" i="12"/>
  <c r="U164" i="12" s="1"/>
  <c r="U32" i="12"/>
  <c r="V32" i="12"/>
  <c r="W32" i="12"/>
  <c r="X164" i="12" s="1"/>
  <c r="X32" i="12"/>
  <c r="Y164" i="12" s="1"/>
  <c r="Y32" i="12"/>
  <c r="Z164" i="12" s="1"/>
  <c r="Z32" i="12"/>
  <c r="AA164" i="12" s="1"/>
  <c r="AA32" i="12"/>
  <c r="AB164" i="12" s="1"/>
  <c r="AB32" i="12"/>
  <c r="AC32" i="12"/>
  <c r="AD32" i="12"/>
  <c r="AE32" i="12"/>
  <c r="AF32" i="12"/>
  <c r="AG32" i="12"/>
  <c r="AH32" i="12"/>
  <c r="E33" i="13" a="1"/>
  <c r="E33" i="13" s="1"/>
  <c r="F34" i="13"/>
  <c r="CJ174" i="4"/>
  <c r="AE49" i="5"/>
  <c r="AH154" i="6"/>
  <c r="X136" i="13"/>
  <c r="X79" i="14" s="1"/>
  <c r="P149" i="13"/>
  <c r="P84" i="13" s="1"/>
  <c r="Q21" i="13"/>
  <c r="O94" i="14"/>
  <c r="E98" i="12"/>
  <c r="E41" i="14" s="1"/>
  <c r="E32" i="12"/>
  <c r="Y6" i="15"/>
  <c r="AC8" i="14"/>
  <c r="AC1" i="14"/>
  <c r="AF13" i="4"/>
  <c r="AD2" i="14" s="1"/>
  <c r="T14" i="13"/>
  <c r="Y85" i="14"/>
  <c r="Z85" i="14" s="1"/>
  <c r="AJ32" i="12"/>
  <c r="AK2" i="12"/>
  <c r="W82" i="14"/>
  <c r="X82" i="14" s="1"/>
  <c r="Z10" i="13"/>
  <c r="U16" i="13"/>
  <c r="T89" i="14"/>
  <c r="R90" i="14"/>
  <c r="R82" i="13"/>
  <c r="U78" i="14"/>
  <c r="W7" i="13"/>
  <c r="X7" i="13" s="1"/>
  <c r="W14" i="15"/>
  <c r="Z83" i="14"/>
  <c r="AL134" i="12"/>
  <c r="C36" i="13"/>
  <c r="U79" i="13"/>
  <c r="U144" i="13"/>
  <c r="Q96" i="14"/>
  <c r="AC6" i="7"/>
  <c r="AG177" i="4" s="1"/>
  <c r="BX177" i="4" s="1"/>
  <c r="AG175" i="4"/>
  <c r="N23" i="13"/>
  <c r="D97" i="13"/>
  <c r="D105" i="14" s="1"/>
  <c r="D31" i="13"/>
  <c r="T81" i="13"/>
  <c r="T146" i="13"/>
  <c r="U145" i="13"/>
  <c r="U80" i="13" s="1"/>
  <c r="N98" i="14"/>
  <c r="R150" i="13"/>
  <c r="R18" i="13" s="1"/>
  <c r="U86" i="14"/>
  <c r="Z8" i="13"/>
  <c r="K94" i="13"/>
  <c r="K159" i="13"/>
  <c r="AD4" i="7"/>
  <c r="AD7" i="7"/>
  <c r="AE3" i="7" s="1"/>
  <c r="AH174" i="4"/>
  <c r="AH178" i="4" s="1"/>
  <c r="I97" i="13"/>
  <c r="I162" i="13"/>
  <c r="N89" i="13"/>
  <c r="B37" i="14"/>
  <c r="J104" i="14" s="1"/>
  <c r="B36" i="13"/>
  <c r="H31" i="13" s="1"/>
  <c r="B36" i="12"/>
  <c r="C36" i="12" s="1"/>
  <c r="U70" i="13"/>
  <c r="O86" i="13"/>
  <c r="O151" i="13"/>
  <c r="O19" i="13" s="1"/>
  <c r="H41" i="14"/>
  <c r="F42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I30" i="13"/>
  <c r="Q87" i="13"/>
  <c r="J103" i="14"/>
  <c r="N24" i="13"/>
  <c r="K158" i="13"/>
  <c r="K26" i="13" s="1"/>
  <c r="V138" i="13"/>
  <c r="V81" i="14" s="1"/>
  <c r="X7" i="15"/>
  <c r="X18" i="15"/>
  <c r="X14" i="15" s="1"/>
  <c r="W137" i="13"/>
  <c r="W80" i="14" s="1"/>
  <c r="H105" i="14"/>
  <c r="I105" i="14" s="1"/>
  <c r="AL69" i="12"/>
  <c r="AK100" i="12"/>
  <c r="W9" i="13"/>
  <c r="AJ7" i="14"/>
  <c r="AL8" i="4"/>
  <c r="AL46" i="4" s="1"/>
  <c r="AL6" i="4"/>
  <c r="AM9" i="4"/>
  <c r="AL29" i="4"/>
  <c r="AF11" i="15" s="1"/>
  <c r="AI41" i="14"/>
  <c r="M157" i="13"/>
  <c r="M100" i="14" s="1"/>
  <c r="U11" i="13"/>
  <c r="N91" i="13"/>
  <c r="N156" i="13"/>
  <c r="N99" i="14" s="1"/>
  <c r="X71" i="13"/>
  <c r="Y139" i="13" l="1"/>
  <c r="Y74" i="13" s="1"/>
  <c r="V143" i="13"/>
  <c r="V78" i="13" s="1"/>
  <c r="O155" i="13"/>
  <c r="O90" i="13" s="1"/>
  <c r="K95" i="13"/>
  <c r="K160" i="13"/>
  <c r="V145" i="13"/>
  <c r="V80" i="13" s="1"/>
  <c r="Q149" i="13"/>
  <c r="Q84" i="13" s="1"/>
  <c r="V86" i="14"/>
  <c r="U81" i="13"/>
  <c r="U146" i="13"/>
  <c r="AL2" i="12"/>
  <c r="AK33" i="12"/>
  <c r="E99" i="12"/>
  <c r="E42" i="14" s="1"/>
  <c r="E33" i="12"/>
  <c r="U12" i="13"/>
  <c r="H98" i="13"/>
  <c r="U87" i="14"/>
  <c r="P86" i="13"/>
  <c r="P151" i="13"/>
  <c r="X4" i="13"/>
  <c r="P92" i="14"/>
  <c r="H106" i="14"/>
  <c r="H165" i="12"/>
  <c r="F166" i="12"/>
  <c r="AK11" i="14"/>
  <c r="AK76" i="14" s="1"/>
  <c r="AK68" i="13"/>
  <c r="U83" i="13"/>
  <c r="V11" i="13"/>
  <c r="J162" i="13"/>
  <c r="J97" i="13" s="1"/>
  <c r="D98" i="13"/>
  <c r="D106" i="14" s="1"/>
  <c r="D32" i="13"/>
  <c r="M92" i="13"/>
  <c r="U89" i="14"/>
  <c r="U14" i="13"/>
  <c r="P94" i="14"/>
  <c r="J96" i="13"/>
  <c r="K161" i="13" s="1"/>
  <c r="R93" i="14"/>
  <c r="V73" i="13"/>
  <c r="V144" i="13"/>
  <c r="V79" i="13" s="1"/>
  <c r="AD6" i="7"/>
  <c r="AH177" i="4" s="1"/>
  <c r="AH175" i="4"/>
  <c r="R85" i="13"/>
  <c r="O23" i="13"/>
  <c r="AM134" i="12"/>
  <c r="AC32" i="4"/>
  <c r="AA142" i="13"/>
  <c r="AA85" i="14" s="1"/>
  <c r="AA140" i="13"/>
  <c r="AA154" i="12"/>
  <c r="AA155" i="12"/>
  <c r="AA157" i="12"/>
  <c r="AA156" i="12"/>
  <c r="AA158" i="12"/>
  <c r="AA159" i="12"/>
  <c r="AA160" i="12"/>
  <c r="AA161" i="12"/>
  <c r="AA163" i="12"/>
  <c r="AA162" i="12"/>
  <c r="P17" i="13"/>
  <c r="Q17" i="13" s="1"/>
  <c r="Z6" i="15"/>
  <c r="AD8" i="14"/>
  <c r="AD1" i="14"/>
  <c r="AG13" i="4"/>
  <c r="AE2" i="14" s="1"/>
  <c r="E107" i="14"/>
  <c r="G107" i="14" s="1"/>
  <c r="G99" i="13"/>
  <c r="H100" i="12"/>
  <c r="F101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AJ100" i="12"/>
  <c r="BJ158" i="4"/>
  <c r="BK156" i="4"/>
  <c r="K93" i="13"/>
  <c r="W72" i="13"/>
  <c r="AL101" i="12"/>
  <c r="AM69" i="12"/>
  <c r="W5" i="13"/>
  <c r="F43" i="14"/>
  <c r="AK43" i="14" s="1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K27" i="13"/>
  <c r="K102" i="14"/>
  <c r="L102" i="14" s="1"/>
  <c r="O98" i="14"/>
  <c r="Y7" i="13"/>
  <c r="CJ178" i="4"/>
  <c r="AF46" i="5"/>
  <c r="AI150" i="6"/>
  <c r="F34" i="12"/>
  <c r="H33" i="12"/>
  <c r="I165" i="12" s="1"/>
  <c r="I33" i="12"/>
  <c r="J165" i="12" s="1"/>
  <c r="J33" i="12"/>
  <c r="K165" i="12" s="1"/>
  <c r="K33" i="12"/>
  <c r="L165" i="12" s="1"/>
  <c r="L33" i="12"/>
  <c r="M165" i="12" s="1"/>
  <c r="M33" i="12"/>
  <c r="N165" i="12" s="1"/>
  <c r="N33" i="12"/>
  <c r="O165" i="12" s="1"/>
  <c r="O33" i="12"/>
  <c r="P165" i="12" s="1"/>
  <c r="P33" i="12"/>
  <c r="Q165" i="12" s="1"/>
  <c r="Q33" i="12"/>
  <c r="R165" i="12" s="1"/>
  <c r="R33" i="12"/>
  <c r="S165" i="12" s="1"/>
  <c r="S33" i="12"/>
  <c r="T165" i="12" s="1"/>
  <c r="T33" i="12"/>
  <c r="U165" i="12" s="1"/>
  <c r="U33" i="12"/>
  <c r="V165" i="12" s="1"/>
  <c r="V33" i="12"/>
  <c r="W165" i="12" s="1"/>
  <c r="W33" i="12"/>
  <c r="X165" i="12" s="1"/>
  <c r="X33" i="12"/>
  <c r="Y165" i="12" s="1"/>
  <c r="Y33" i="12"/>
  <c r="Z165" i="12" s="1"/>
  <c r="Z33" i="12"/>
  <c r="AA165" i="12" s="1"/>
  <c r="AA33" i="12"/>
  <c r="AB165" i="12" s="1"/>
  <c r="AB33" i="12"/>
  <c r="AC165" i="12" s="1"/>
  <c r="AC33" i="12"/>
  <c r="AD33" i="12"/>
  <c r="AE33" i="12"/>
  <c r="AF33" i="12"/>
  <c r="AG33" i="12"/>
  <c r="AH33" i="12"/>
  <c r="AI33" i="12"/>
  <c r="AN134" i="13"/>
  <c r="AL12" i="14"/>
  <c r="AJ42" i="14"/>
  <c r="K28" i="13"/>
  <c r="C37" i="14"/>
  <c r="C38" i="14" s="1"/>
  <c r="V6" i="13"/>
  <c r="V135" i="13"/>
  <c r="AA83" i="14"/>
  <c r="M25" i="13"/>
  <c r="AA10" i="13"/>
  <c r="AD10" i="15"/>
  <c r="AK30" i="4"/>
  <c r="B38" i="14"/>
  <c r="J105" i="14" s="1"/>
  <c r="B37" i="13"/>
  <c r="J30" i="13" s="1"/>
  <c r="B37" i="12"/>
  <c r="C37" i="12" s="1"/>
  <c r="AE7" i="7"/>
  <c r="AF3" i="7" s="1"/>
  <c r="AE4" i="7"/>
  <c r="AI174" i="4"/>
  <c r="AI178" i="4" s="1"/>
  <c r="Y71" i="13"/>
  <c r="Y136" i="13"/>
  <c r="Y79" i="14" s="1"/>
  <c r="AD32" i="4"/>
  <c r="AB155" i="12"/>
  <c r="AB156" i="12"/>
  <c r="AB157" i="12"/>
  <c r="AB158" i="12"/>
  <c r="AB159" i="12"/>
  <c r="AB160" i="12"/>
  <c r="AB161" i="12"/>
  <c r="AB162" i="12"/>
  <c r="AB163" i="12"/>
  <c r="L94" i="13"/>
  <c r="L159" i="13"/>
  <c r="W153" i="6"/>
  <c r="T42" i="5"/>
  <c r="F35" i="13"/>
  <c r="E34" i="13" a="1"/>
  <c r="E34" i="13" s="1"/>
  <c r="AK7" i="14"/>
  <c r="AM29" i="4"/>
  <c r="AG11" i="15" s="1"/>
  <c r="AN9" i="4"/>
  <c r="AM8" i="4"/>
  <c r="AM46" i="4" s="1"/>
  <c r="AM6" i="4"/>
  <c r="R87" i="13"/>
  <c r="R152" i="13"/>
  <c r="R20" i="13" s="1"/>
  <c r="O154" i="13"/>
  <c r="AA8" i="13"/>
  <c r="R96" i="14"/>
  <c r="Y82" i="14"/>
  <c r="AJ33" i="12"/>
  <c r="E165" i="13"/>
  <c r="E100" i="13"/>
  <c r="G33" i="13"/>
  <c r="X84" i="14"/>
  <c r="K101" i="14"/>
  <c r="K103" i="14"/>
  <c r="U13" i="13"/>
  <c r="V13" i="13" s="1"/>
  <c r="U88" i="14"/>
  <c r="V88" i="14" s="1"/>
  <c r="V78" i="14"/>
  <c r="O156" i="13"/>
  <c r="O91" i="13" s="1"/>
  <c r="P19" i="13"/>
  <c r="S82" i="13"/>
  <c r="S147" i="13"/>
  <c r="S90" i="14" s="1"/>
  <c r="Y7" i="15"/>
  <c r="Y18" i="15"/>
  <c r="Y14" i="15" s="1"/>
  <c r="AC164" i="12" s="1"/>
  <c r="X76" i="13"/>
  <c r="X141" i="13"/>
  <c r="X9" i="13" s="1"/>
  <c r="AL1" i="13"/>
  <c r="AL68" i="12"/>
  <c r="AM1" i="12"/>
  <c r="I35" i="11"/>
  <c r="H35" i="11"/>
  <c r="G36" i="11"/>
  <c r="J35" i="11"/>
  <c r="R153" i="13"/>
  <c r="R21" i="13" s="1"/>
  <c r="AA77" i="13"/>
  <c r="AB142" i="13" s="1"/>
  <c r="AA75" i="13"/>
  <c r="AB140" i="13" s="1"/>
  <c r="S153" i="13" l="1"/>
  <c r="S21" i="13" s="1"/>
  <c r="Y9" i="13"/>
  <c r="W79" i="13"/>
  <c r="W144" i="13"/>
  <c r="R149" i="13"/>
  <c r="R84" i="13" s="1"/>
  <c r="AB85" i="14"/>
  <c r="W145" i="13"/>
  <c r="W80" i="13" s="1"/>
  <c r="C38" i="12"/>
  <c r="K162" i="13"/>
  <c r="K97" i="13" s="1"/>
  <c r="P90" i="13"/>
  <c r="P155" i="13"/>
  <c r="K104" i="14"/>
  <c r="K29" i="13"/>
  <c r="W143" i="13"/>
  <c r="W11" i="13" s="1"/>
  <c r="Z74" i="13"/>
  <c r="Z139" i="13"/>
  <c r="W88" i="14"/>
  <c r="S87" i="13"/>
  <c r="S152" i="13"/>
  <c r="R88" i="13"/>
  <c r="Z82" i="14"/>
  <c r="AE6" i="7"/>
  <c r="AI177" i="4" s="1"/>
  <c r="AI175" i="4"/>
  <c r="AB10" i="13"/>
  <c r="L160" i="13"/>
  <c r="L103" i="14" s="1"/>
  <c r="AM12" i="14"/>
  <c r="P98" i="14"/>
  <c r="O24" i="13"/>
  <c r="X72" i="13"/>
  <c r="X137" i="13"/>
  <c r="X80" i="14" s="1"/>
  <c r="P23" i="13"/>
  <c r="F167" i="12"/>
  <c r="H166" i="12"/>
  <c r="I166" i="12"/>
  <c r="Q166" i="12"/>
  <c r="Y166" i="12"/>
  <c r="AF7" i="7"/>
  <c r="AG3" i="7" s="1"/>
  <c r="AF4" i="7"/>
  <c r="AJ174" i="4"/>
  <c r="AJ178" i="4" s="1"/>
  <c r="AO134" i="13"/>
  <c r="X5" i="13"/>
  <c r="L93" i="13"/>
  <c r="L158" i="13"/>
  <c r="L26" i="13" s="1"/>
  <c r="S150" i="13"/>
  <c r="S18" i="13" s="1"/>
  <c r="V14" i="13"/>
  <c r="V83" i="13"/>
  <c r="V148" i="13"/>
  <c r="V12" i="13"/>
  <c r="W12" i="13" s="1"/>
  <c r="AL7" i="14"/>
  <c r="AO9" i="4"/>
  <c r="AN29" i="4"/>
  <c r="AH11" i="15" s="1"/>
  <c r="AN8" i="4"/>
  <c r="AN46" i="4" s="1"/>
  <c r="AN6" i="4"/>
  <c r="AE32" i="4"/>
  <c r="AC156" i="12"/>
  <c r="AC157" i="12"/>
  <c r="AC158" i="12"/>
  <c r="AC160" i="12"/>
  <c r="AC159" i="12"/>
  <c r="AC161" i="12"/>
  <c r="AC162" i="12"/>
  <c r="AC163" i="12"/>
  <c r="AB8" i="13"/>
  <c r="AB83" i="14"/>
  <c r="H34" i="12"/>
  <c r="F35" i="12"/>
  <c r="I34" i="12"/>
  <c r="J166" i="12" s="1"/>
  <c r="J34" i="12"/>
  <c r="K166" i="12" s="1"/>
  <c r="K34" i="12"/>
  <c r="L166" i="12" s="1"/>
  <c r="L34" i="12"/>
  <c r="M166" i="12" s="1"/>
  <c r="M34" i="12"/>
  <c r="N166" i="12" s="1"/>
  <c r="N34" i="12"/>
  <c r="O166" i="12" s="1"/>
  <c r="O34" i="12"/>
  <c r="P34" i="12"/>
  <c r="Q34" i="12"/>
  <c r="R166" i="12" s="1"/>
  <c r="R34" i="12"/>
  <c r="S166" i="12" s="1"/>
  <c r="S34" i="12"/>
  <c r="T166" i="12" s="1"/>
  <c r="T34" i="12"/>
  <c r="U166" i="12" s="1"/>
  <c r="U34" i="12"/>
  <c r="V166" i="12" s="1"/>
  <c r="V34" i="12"/>
  <c r="W166" i="12" s="1"/>
  <c r="W34" i="12"/>
  <c r="X34" i="12"/>
  <c r="Y34" i="12"/>
  <c r="Z166" i="12" s="1"/>
  <c r="Z34" i="12"/>
  <c r="AA166" i="12" s="1"/>
  <c r="AA34" i="12"/>
  <c r="AB166" i="12" s="1"/>
  <c r="AB34" i="12"/>
  <c r="AC166" i="12" s="1"/>
  <c r="AC34" i="12"/>
  <c r="AD166" i="12" s="1"/>
  <c r="AD34" i="12"/>
  <c r="AE34" i="12"/>
  <c r="AF34" i="12"/>
  <c r="AG34" i="12"/>
  <c r="AH34" i="12"/>
  <c r="AI34" i="12"/>
  <c r="AJ34" i="12"/>
  <c r="L27" i="13"/>
  <c r="F102" i="12"/>
  <c r="AM102" i="12" s="1"/>
  <c r="I101" i="12"/>
  <c r="H101" i="12"/>
  <c r="J101" i="12"/>
  <c r="K101" i="12"/>
  <c r="L101" i="12"/>
  <c r="M101" i="12"/>
  <c r="N101" i="12"/>
  <c r="O101" i="12"/>
  <c r="P166" i="12" s="1"/>
  <c r="P101" i="12"/>
  <c r="Q101" i="12"/>
  <c r="R101" i="12"/>
  <c r="S101" i="12"/>
  <c r="T101" i="12"/>
  <c r="U101" i="12"/>
  <c r="V101" i="12"/>
  <c r="W101" i="12"/>
  <c r="X166" i="12" s="1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AJ101" i="12"/>
  <c r="AK101" i="12"/>
  <c r="AN134" i="12"/>
  <c r="V89" i="14"/>
  <c r="E100" i="12"/>
  <c r="E43" i="14" s="1"/>
  <c r="E34" i="12"/>
  <c r="AK34" i="12"/>
  <c r="O97" i="14"/>
  <c r="O22" i="13"/>
  <c r="V3" i="13"/>
  <c r="Z7" i="15"/>
  <c r="Z18" i="15"/>
  <c r="Z14" i="15" s="1"/>
  <c r="AD165" i="12" s="1"/>
  <c r="N92" i="13"/>
  <c r="N157" i="13"/>
  <c r="N100" i="14" s="1"/>
  <c r="Q92" i="14"/>
  <c r="Y76" i="13"/>
  <c r="Y141" i="13"/>
  <c r="G37" i="11"/>
  <c r="J36" i="11"/>
  <c r="I36" i="11"/>
  <c r="H36" i="11"/>
  <c r="O89" i="13"/>
  <c r="E166" i="13"/>
  <c r="E101" i="13"/>
  <c r="G34" i="13"/>
  <c r="V70" i="13"/>
  <c r="BK158" i="4"/>
  <c r="BL156" i="4"/>
  <c r="H99" i="13"/>
  <c r="W138" i="13"/>
  <c r="W81" i="14" s="1"/>
  <c r="D33" i="13"/>
  <c r="D99" i="13"/>
  <c r="D107" i="14" s="1"/>
  <c r="Y4" i="13"/>
  <c r="AL35" i="12"/>
  <c r="AL34" i="12"/>
  <c r="AM2" i="12"/>
  <c r="V81" i="13"/>
  <c r="V146" i="13"/>
  <c r="B39" i="14"/>
  <c r="C39" i="14" s="1"/>
  <c r="B38" i="13"/>
  <c r="H33" i="13" s="1"/>
  <c r="B38" i="12"/>
  <c r="Y84" i="14"/>
  <c r="AB75" i="13"/>
  <c r="AM1" i="13"/>
  <c r="AN1" i="12"/>
  <c r="AM68" i="12"/>
  <c r="S15" i="13"/>
  <c r="T15" i="13" s="1"/>
  <c r="E108" i="14"/>
  <c r="G108" i="14" s="1"/>
  <c r="G100" i="13"/>
  <c r="S20" i="13"/>
  <c r="F36" i="13"/>
  <c r="E35" i="13" a="1"/>
  <c r="E35" i="13" s="1"/>
  <c r="R95" i="14"/>
  <c r="S95" i="14" s="1"/>
  <c r="CK174" i="4"/>
  <c r="AF49" i="5"/>
  <c r="AI154" i="6"/>
  <c r="AN69" i="12"/>
  <c r="H107" i="14"/>
  <c r="C37" i="13"/>
  <c r="H32" i="13"/>
  <c r="O99" i="14"/>
  <c r="L101" i="14"/>
  <c r="Z136" i="13"/>
  <c r="Z71" i="13" s="1"/>
  <c r="AE10" i="15"/>
  <c r="AL30" i="4"/>
  <c r="W6" i="13"/>
  <c r="S93" i="14"/>
  <c r="Q86" i="13"/>
  <c r="Q151" i="13"/>
  <c r="Q19" i="13" s="1"/>
  <c r="I163" i="13"/>
  <c r="I31" i="13" s="1"/>
  <c r="AB77" i="13"/>
  <c r="T82" i="13"/>
  <c r="T147" i="13"/>
  <c r="AL11" i="14"/>
  <c r="AL76" i="14" s="1"/>
  <c r="AL68" i="13"/>
  <c r="W13" i="13"/>
  <c r="Z7" i="13"/>
  <c r="F44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A6" i="15"/>
  <c r="AE8" i="14"/>
  <c r="AE1" i="14"/>
  <c r="AH13" i="4"/>
  <c r="AF2" i="14" s="1"/>
  <c r="K96" i="13"/>
  <c r="V87" i="14"/>
  <c r="W87" i="14" s="1"/>
  <c r="X80" i="13" l="1"/>
  <c r="X145" i="13"/>
  <c r="S149" i="13"/>
  <c r="S84" i="13" s="1"/>
  <c r="AA71" i="13"/>
  <c r="AA136" i="13"/>
  <c r="L162" i="13"/>
  <c r="L97" i="13" s="1"/>
  <c r="X79" i="13"/>
  <c r="X144" i="13"/>
  <c r="Z141" i="13"/>
  <c r="Z9" i="13" s="1"/>
  <c r="P156" i="13"/>
  <c r="P91" i="13" s="1"/>
  <c r="S88" i="13"/>
  <c r="W86" i="14"/>
  <c r="AO69" i="12"/>
  <c r="AN103" i="12"/>
  <c r="T152" i="13"/>
  <c r="T20" i="13" s="1"/>
  <c r="AM11" i="14"/>
  <c r="AM76" i="14" s="1"/>
  <c r="AM68" i="13"/>
  <c r="AM35" i="12"/>
  <c r="AN2" i="12"/>
  <c r="R17" i="13"/>
  <c r="AG7" i="7"/>
  <c r="AH3" i="7" s="1"/>
  <c r="AG4" i="7"/>
  <c r="AK174" i="4"/>
  <c r="AK178" i="4" s="1"/>
  <c r="Q98" i="14"/>
  <c r="L28" i="13"/>
  <c r="W78" i="13"/>
  <c r="H44" i="14"/>
  <c r="F45" i="14"/>
  <c r="AM45" i="14" s="1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H100" i="13"/>
  <c r="AC75" i="13"/>
  <c r="AD140" i="13" s="1"/>
  <c r="S96" i="14"/>
  <c r="I164" i="13"/>
  <c r="I32" i="13" s="1"/>
  <c r="B40" i="14"/>
  <c r="C40" i="14" s="1"/>
  <c r="B39" i="13"/>
  <c r="B39" i="12"/>
  <c r="C39" i="12" s="1"/>
  <c r="R92" i="14"/>
  <c r="P22" i="13"/>
  <c r="L95" i="13"/>
  <c r="F168" i="12"/>
  <c r="H167" i="12"/>
  <c r="O167" i="12"/>
  <c r="W167" i="12"/>
  <c r="AE167" i="12"/>
  <c r="AN12" i="14"/>
  <c r="AC10" i="13"/>
  <c r="K105" i="14"/>
  <c r="L105" i="14" s="1"/>
  <c r="AA7" i="13"/>
  <c r="AF10" i="15"/>
  <c r="AM30" i="4"/>
  <c r="C38" i="13"/>
  <c r="C39" i="13" s="1"/>
  <c r="H108" i="14"/>
  <c r="Z4" i="13"/>
  <c r="AA4" i="13" s="1"/>
  <c r="BM156" i="4"/>
  <c r="BL158" i="4"/>
  <c r="F36" i="12"/>
  <c r="AM36" i="12" s="1"/>
  <c r="H35" i="12"/>
  <c r="I167" i="12" s="1"/>
  <c r="I35" i="12"/>
  <c r="J167" i="12" s="1"/>
  <c r="J35" i="12"/>
  <c r="K167" i="12" s="1"/>
  <c r="K35" i="12"/>
  <c r="L167" i="12" s="1"/>
  <c r="L35" i="12"/>
  <c r="M167" i="12" s="1"/>
  <c r="M35" i="12"/>
  <c r="N35" i="12"/>
  <c r="O35" i="12"/>
  <c r="P35" i="12"/>
  <c r="Q167" i="12" s="1"/>
  <c r="Q35" i="12"/>
  <c r="R167" i="12" s="1"/>
  <c r="R35" i="12"/>
  <c r="S167" i="12" s="1"/>
  <c r="S35" i="12"/>
  <c r="T167" i="12" s="1"/>
  <c r="T35" i="12"/>
  <c r="U167" i="12" s="1"/>
  <c r="U35" i="12"/>
  <c r="V35" i="12"/>
  <c r="W35" i="12"/>
  <c r="X35" i="12"/>
  <c r="Y167" i="12" s="1"/>
  <c r="Y35" i="12"/>
  <c r="Z167" i="12" s="1"/>
  <c r="Z35" i="12"/>
  <c r="AA167" i="12" s="1"/>
  <c r="AA35" i="12"/>
  <c r="AB167" i="12" s="1"/>
  <c r="AB35" i="12"/>
  <c r="AC167" i="12" s="1"/>
  <c r="AC35" i="12"/>
  <c r="AD35" i="12"/>
  <c r="AE35" i="12"/>
  <c r="AF35" i="12"/>
  <c r="AG35" i="12"/>
  <c r="AH35" i="12"/>
  <c r="AI35" i="12"/>
  <c r="AJ35" i="12"/>
  <c r="AK35" i="12"/>
  <c r="S85" i="13"/>
  <c r="I98" i="13"/>
  <c r="Z79" i="14"/>
  <c r="AA79" i="14" s="1"/>
  <c r="W3" i="13"/>
  <c r="W148" i="13"/>
  <c r="W83" i="13" s="1"/>
  <c r="AP134" i="13"/>
  <c r="AF6" i="7"/>
  <c r="AJ177" i="4" s="1"/>
  <c r="AJ175" i="4"/>
  <c r="Q90" i="13"/>
  <c r="P89" i="13"/>
  <c r="P154" i="13"/>
  <c r="P97" i="14" s="1"/>
  <c r="AA7" i="15"/>
  <c r="I14" i="2"/>
  <c r="AA18" i="15"/>
  <c r="AA14" i="15" s="1"/>
  <c r="AE166" i="12" s="1"/>
  <c r="U147" i="13"/>
  <c r="U82" i="13" s="1"/>
  <c r="W146" i="13"/>
  <c r="W14" i="13" s="1"/>
  <c r="AM7" i="14"/>
  <c r="AO29" i="4"/>
  <c r="AI11" i="15" s="1"/>
  <c r="AP9" i="4"/>
  <c r="AO6" i="4"/>
  <c r="AO8" i="4"/>
  <c r="AO46" i="4" s="1"/>
  <c r="M26" i="13"/>
  <c r="Q94" i="14"/>
  <c r="R94" i="14" s="1"/>
  <c r="T87" i="13"/>
  <c r="L29" i="13"/>
  <c r="T90" i="14"/>
  <c r="AC85" i="14"/>
  <c r="F37" i="13"/>
  <c r="E36" i="13" a="1"/>
  <c r="E36" i="13" s="1"/>
  <c r="W89" i="14"/>
  <c r="X87" i="14"/>
  <c r="W70" i="13"/>
  <c r="W135" i="13"/>
  <c r="G38" i="11"/>
  <c r="H37" i="11"/>
  <c r="I37" i="11"/>
  <c r="J37" i="11"/>
  <c r="E101" i="12"/>
  <c r="E44" i="14" s="1"/>
  <c r="E35" i="12"/>
  <c r="H102" i="12"/>
  <c r="F103" i="12"/>
  <c r="I102" i="12"/>
  <c r="J102" i="12"/>
  <c r="K102" i="12"/>
  <c r="L102" i="12"/>
  <c r="M102" i="12"/>
  <c r="N167" i="12" s="1"/>
  <c r="N102" i="12"/>
  <c r="O102" i="12"/>
  <c r="P167" i="12" s="1"/>
  <c r="P102" i="12"/>
  <c r="Q102" i="12"/>
  <c r="R102" i="12"/>
  <c r="S102" i="12"/>
  <c r="T102" i="12"/>
  <c r="U102" i="12"/>
  <c r="V167" i="12" s="1"/>
  <c r="V102" i="12"/>
  <c r="W102" i="12"/>
  <c r="X167" i="12" s="1"/>
  <c r="X102" i="12"/>
  <c r="Y102" i="12"/>
  <c r="Z102" i="12"/>
  <c r="AA102" i="12"/>
  <c r="AB102" i="12"/>
  <c r="AC102" i="12"/>
  <c r="AD167" i="12" s="1"/>
  <c r="AD102" i="12"/>
  <c r="AE102" i="12"/>
  <c r="AF102" i="12"/>
  <c r="AG102" i="12"/>
  <c r="AH102" i="12"/>
  <c r="AI102" i="12"/>
  <c r="AJ102" i="12"/>
  <c r="AK102" i="12"/>
  <c r="AL102" i="12"/>
  <c r="M93" i="13"/>
  <c r="M158" i="13"/>
  <c r="Q155" i="13"/>
  <c r="Q23" i="13" s="1"/>
  <c r="AB6" i="15"/>
  <c r="AF8" i="14"/>
  <c r="AF1" i="14"/>
  <c r="AI13" i="4"/>
  <c r="AG2" i="14" s="1"/>
  <c r="D100" i="13"/>
  <c r="D108" i="14" s="1"/>
  <c r="D34" i="13"/>
  <c r="AC83" i="14"/>
  <c r="AA82" i="14"/>
  <c r="X88" i="14"/>
  <c r="L104" i="14"/>
  <c r="L161" i="13"/>
  <c r="L96" i="13" s="1"/>
  <c r="T95" i="14"/>
  <c r="Z84" i="14"/>
  <c r="H34" i="13"/>
  <c r="AF32" i="4"/>
  <c r="AD157" i="12"/>
  <c r="AD158" i="12"/>
  <c r="AD159" i="12"/>
  <c r="AD160" i="12"/>
  <c r="AD161" i="12"/>
  <c r="AD163" i="12"/>
  <c r="AD162" i="12"/>
  <c r="AD164" i="12"/>
  <c r="AO134" i="12"/>
  <c r="M27" i="13"/>
  <c r="M159" i="13"/>
  <c r="AC8" i="13"/>
  <c r="AC140" i="13"/>
  <c r="X12" i="13"/>
  <c r="N25" i="13"/>
  <c r="K30" i="13"/>
  <c r="L30" i="13" s="1"/>
  <c r="R151" i="13"/>
  <c r="R19" i="13" s="1"/>
  <c r="AN1" i="13"/>
  <c r="AN68" i="12"/>
  <c r="AO1" i="12"/>
  <c r="AC77" i="13"/>
  <c r="CK178" i="4"/>
  <c r="AG46" i="5"/>
  <c r="AJ150" i="6"/>
  <c r="X13" i="13"/>
  <c r="M101" i="14"/>
  <c r="E102" i="13"/>
  <c r="E167" i="13"/>
  <c r="G35" i="13"/>
  <c r="W73" i="13"/>
  <c r="E109" i="14"/>
  <c r="G109" i="14" s="1"/>
  <c r="H109" i="14" s="1"/>
  <c r="G101" i="13"/>
  <c r="H101" i="13" s="1"/>
  <c r="I106" i="14"/>
  <c r="AC142" i="13"/>
  <c r="V16" i="13"/>
  <c r="V91" i="14"/>
  <c r="Y137" i="13"/>
  <c r="Y80" i="14" s="1"/>
  <c r="AL44" i="14"/>
  <c r="AA139" i="13"/>
  <c r="AA74" i="13" s="1"/>
  <c r="M96" i="13" l="1"/>
  <c r="M161" i="13"/>
  <c r="M162" i="13"/>
  <c r="M97" i="13" s="1"/>
  <c r="T84" i="13"/>
  <c r="T149" i="13"/>
  <c r="AB139" i="13"/>
  <c r="AB74" i="13" s="1"/>
  <c r="V82" i="13"/>
  <c r="V147" i="13"/>
  <c r="R155" i="13"/>
  <c r="R23" i="13" s="1"/>
  <c r="AQ134" i="13"/>
  <c r="I99" i="13"/>
  <c r="Y72" i="13"/>
  <c r="O157" i="13"/>
  <c r="N26" i="13"/>
  <c r="N158" i="13"/>
  <c r="AD8" i="13"/>
  <c r="AC6" i="15"/>
  <c r="AG8" i="14"/>
  <c r="AG1" i="14"/>
  <c r="AJ13" i="4"/>
  <c r="AH2" i="14" s="1"/>
  <c r="N93" i="13"/>
  <c r="X135" i="13"/>
  <c r="I166" i="13"/>
  <c r="I109" i="14" s="1"/>
  <c r="R86" i="13"/>
  <c r="M102" i="14"/>
  <c r="M94" i="13"/>
  <c r="E102" i="12"/>
  <c r="E45" i="14" s="1"/>
  <c r="E36" i="12"/>
  <c r="U90" i="14"/>
  <c r="Y80" i="13"/>
  <c r="Y145" i="13"/>
  <c r="Y13" i="13" s="1"/>
  <c r="M104" i="14"/>
  <c r="Y87" i="14"/>
  <c r="P24" i="13"/>
  <c r="W91" i="14"/>
  <c r="AO1" i="13"/>
  <c r="AO68" i="12"/>
  <c r="AP1" i="12"/>
  <c r="Y5" i="13"/>
  <c r="H168" i="12"/>
  <c r="F169" i="12"/>
  <c r="Y79" i="13"/>
  <c r="Y144" i="13"/>
  <c r="M160" i="13"/>
  <c r="M103" i="14" s="1"/>
  <c r="AB82" i="14"/>
  <c r="AB7" i="15"/>
  <c r="AB18" i="15"/>
  <c r="AP134" i="12"/>
  <c r="AH4" i="7"/>
  <c r="AH7" i="7"/>
  <c r="AI3" i="7" s="1"/>
  <c r="AL174" i="4"/>
  <c r="AL178" i="4" s="1"/>
  <c r="Y12" i="13"/>
  <c r="D101" i="13"/>
  <c r="D109" i="14" s="1"/>
  <c r="D35" i="13"/>
  <c r="J38" i="11"/>
  <c r="I38" i="11"/>
  <c r="H38" i="11"/>
  <c r="G39" i="11"/>
  <c r="E168" i="13"/>
  <c r="E103" i="13"/>
  <c r="G36" i="13"/>
  <c r="W81" i="13"/>
  <c r="AB79" i="14"/>
  <c r="S92" i="14"/>
  <c r="I165" i="13"/>
  <c r="I33" i="13" s="1"/>
  <c r="H45" i="14"/>
  <c r="F46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P69" i="12"/>
  <c r="Z76" i="13"/>
  <c r="R98" i="14"/>
  <c r="T88" i="13"/>
  <c r="T153" i="13"/>
  <c r="T21" i="13" s="1"/>
  <c r="AB71" i="13"/>
  <c r="AB136" i="13"/>
  <c r="AB4" i="13" s="1"/>
  <c r="X138" i="13"/>
  <c r="AG49" i="5"/>
  <c r="AJ154" i="6"/>
  <c r="Y88" i="14"/>
  <c r="U15" i="13"/>
  <c r="V15" i="13" s="1"/>
  <c r="BN156" i="4"/>
  <c r="BM158" i="4"/>
  <c r="AG6" i="7"/>
  <c r="AK177" i="4" s="1"/>
  <c r="AK175" i="4"/>
  <c r="AD83" i="14"/>
  <c r="B41" i="14"/>
  <c r="C41" i="14" s="1"/>
  <c r="B40" i="13"/>
  <c r="C40" i="13" s="1"/>
  <c r="B40" i="12"/>
  <c r="C40" i="12" s="1"/>
  <c r="X3" i="13"/>
  <c r="I108" i="14"/>
  <c r="AN46" i="14"/>
  <c r="AO12" i="14"/>
  <c r="AD75" i="13"/>
  <c r="AE140" i="13" s="1"/>
  <c r="AN36" i="12"/>
  <c r="AO2" i="12"/>
  <c r="W16" i="13"/>
  <c r="E110" i="14"/>
  <c r="G110" i="14" s="1"/>
  <c r="H110" i="14" s="1"/>
  <c r="G102" i="13"/>
  <c r="N101" i="14"/>
  <c r="AN11" i="14"/>
  <c r="AN76" i="14" s="1"/>
  <c r="AN68" i="13"/>
  <c r="I103" i="12"/>
  <c r="H103" i="12"/>
  <c r="F104" i="12"/>
  <c r="AO104" i="12" s="1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W78" i="14"/>
  <c r="F38" i="13"/>
  <c r="E37" i="13" a="1"/>
  <c r="E37" i="13" s="1"/>
  <c r="I107" i="14"/>
  <c r="J163" i="13"/>
  <c r="J31" i="13" s="1"/>
  <c r="H36" i="12"/>
  <c r="I168" i="12" s="1"/>
  <c r="F37" i="12"/>
  <c r="AN37" i="12" s="1"/>
  <c r="I36" i="12"/>
  <c r="J168" i="12" s="1"/>
  <c r="J36" i="12"/>
  <c r="K168" i="12" s="1"/>
  <c r="K36" i="12"/>
  <c r="L168" i="12" s="1"/>
  <c r="L36" i="12"/>
  <c r="M168" i="12" s="1"/>
  <c r="M36" i="12"/>
  <c r="N168" i="12" s="1"/>
  <c r="N36" i="12"/>
  <c r="O168" i="12" s="1"/>
  <c r="O36" i="12"/>
  <c r="P168" i="12" s="1"/>
  <c r="P36" i="12"/>
  <c r="Q168" i="12" s="1"/>
  <c r="Q36" i="12"/>
  <c r="R168" i="12" s="1"/>
  <c r="R36" i="12"/>
  <c r="S168" i="12" s="1"/>
  <c r="S36" i="12"/>
  <c r="T168" i="12" s="1"/>
  <c r="T36" i="12"/>
  <c r="U168" i="12" s="1"/>
  <c r="U36" i="12"/>
  <c r="V168" i="12" s="1"/>
  <c r="V36" i="12"/>
  <c r="W168" i="12" s="1"/>
  <c r="W36" i="12"/>
  <c r="X168" i="12" s="1"/>
  <c r="X36" i="12"/>
  <c r="Y168" i="12" s="1"/>
  <c r="Y36" i="12"/>
  <c r="Z168" i="12" s="1"/>
  <c r="Z36" i="12"/>
  <c r="AA168" i="12" s="1"/>
  <c r="AA36" i="12"/>
  <c r="AB168" i="12" s="1"/>
  <c r="AB36" i="12"/>
  <c r="AC168" i="12" s="1"/>
  <c r="AC36" i="12"/>
  <c r="AD168" i="12" s="1"/>
  <c r="AD36" i="12"/>
  <c r="AE168" i="12" s="1"/>
  <c r="AE36" i="12"/>
  <c r="AF36" i="12"/>
  <c r="AG36" i="12"/>
  <c r="AH36" i="12"/>
  <c r="AI36" i="12"/>
  <c r="AJ36" i="12"/>
  <c r="AK36" i="12"/>
  <c r="AL36" i="12"/>
  <c r="AG10" i="15"/>
  <c r="AN30" i="4"/>
  <c r="S17" i="13"/>
  <c r="T17" i="13" s="1"/>
  <c r="P99" i="14"/>
  <c r="M29" i="13"/>
  <c r="AB7" i="13"/>
  <c r="I34" i="13"/>
  <c r="U87" i="13"/>
  <c r="U152" i="13"/>
  <c r="U20" i="13" s="1"/>
  <c r="Q156" i="13"/>
  <c r="Q91" i="13" s="1"/>
  <c r="AG32" i="4"/>
  <c r="AE158" i="12"/>
  <c r="AE160" i="12"/>
  <c r="AE159" i="12"/>
  <c r="AE161" i="12"/>
  <c r="AE162" i="12"/>
  <c r="AE163" i="12"/>
  <c r="AE164" i="12"/>
  <c r="AE165" i="12"/>
  <c r="AD10" i="13"/>
  <c r="AD142" i="13"/>
  <c r="AD85" i="14" s="1"/>
  <c r="AN7" i="14"/>
  <c r="AP29" i="4"/>
  <c r="AJ11" i="15" s="1"/>
  <c r="AP8" i="4"/>
  <c r="AP46" i="4" s="1"/>
  <c r="AQ9" i="4"/>
  <c r="AP6" i="4"/>
  <c r="Q154" i="13"/>
  <c r="Q89" i="13" s="1"/>
  <c r="T85" i="13"/>
  <c r="T150" i="13"/>
  <c r="X143" i="13"/>
  <c r="X11" i="13" s="1"/>
  <c r="X86" i="14"/>
  <c r="AC74" i="13" l="1"/>
  <c r="AC139" i="13"/>
  <c r="C42" i="14"/>
  <c r="N162" i="13"/>
  <c r="N97" i="13" s="1"/>
  <c r="R156" i="13"/>
  <c r="R91" i="13" s="1"/>
  <c r="V87" i="13"/>
  <c r="V152" i="13"/>
  <c r="V20" i="13" s="1"/>
  <c r="BO156" i="4"/>
  <c r="BN158" i="4"/>
  <c r="AC136" i="13"/>
  <c r="AC71" i="13" s="1"/>
  <c r="Q22" i="13"/>
  <c r="AQ134" i="12"/>
  <c r="M105" i="14"/>
  <c r="N105" i="14" s="1"/>
  <c r="AC7" i="15"/>
  <c r="AC18" i="15"/>
  <c r="AC14" i="15" s="1"/>
  <c r="AG168" i="12" s="1"/>
  <c r="Z137" i="13"/>
  <c r="Z80" i="14" s="1"/>
  <c r="AE83" i="14"/>
  <c r="F47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X146" i="13"/>
  <c r="D102" i="13"/>
  <c r="D110" i="14" s="1"/>
  <c r="D36" i="13"/>
  <c r="AB14" i="15"/>
  <c r="Q24" i="13"/>
  <c r="R24" i="13" s="1"/>
  <c r="M30" i="13"/>
  <c r="X70" i="13"/>
  <c r="AE8" i="13"/>
  <c r="J164" i="13"/>
  <c r="J32" i="13" s="1"/>
  <c r="R90" i="13"/>
  <c r="AC7" i="13"/>
  <c r="J98" i="13"/>
  <c r="U153" i="13"/>
  <c r="U21" i="13" s="1"/>
  <c r="AQ69" i="12"/>
  <c r="H36" i="13"/>
  <c r="Z144" i="13"/>
  <c r="Z79" i="13" s="1"/>
  <c r="H169" i="12"/>
  <c r="F170" i="12"/>
  <c r="N169" i="12"/>
  <c r="V169" i="12"/>
  <c r="AD169" i="12"/>
  <c r="T96" i="14"/>
  <c r="N159" i="13"/>
  <c r="N27" i="13" s="1"/>
  <c r="Q97" i="14"/>
  <c r="X78" i="13"/>
  <c r="J107" i="14"/>
  <c r="E111" i="14"/>
  <c r="G111" i="14" s="1"/>
  <c r="H111" i="14" s="1"/>
  <c r="G103" i="13"/>
  <c r="U95" i="14"/>
  <c r="V95" i="14" s="1"/>
  <c r="Z145" i="13"/>
  <c r="Z80" i="13" s="1"/>
  <c r="O158" i="13"/>
  <c r="O101" i="14" s="1"/>
  <c r="J106" i="14"/>
  <c r="AO7" i="14"/>
  <c r="AR9" i="4"/>
  <c r="AQ8" i="4"/>
  <c r="AQ46" i="4" s="1"/>
  <c r="AQ29" i="4"/>
  <c r="AK11" i="15" s="1"/>
  <c r="AQ6" i="4"/>
  <c r="H35" i="13"/>
  <c r="N29" i="13"/>
  <c r="E104" i="13"/>
  <c r="E169" i="13"/>
  <c r="G37" i="13"/>
  <c r="H102" i="13"/>
  <c r="AO37" i="12"/>
  <c r="AP2" i="12"/>
  <c r="AA141" i="13"/>
  <c r="I100" i="13"/>
  <c r="AC82" i="14"/>
  <c r="Z5" i="13"/>
  <c r="M28" i="13"/>
  <c r="S151" i="13"/>
  <c r="AD6" i="15"/>
  <c r="AH1" i="14"/>
  <c r="AH8" i="14"/>
  <c r="AK13" i="4"/>
  <c r="AI2" i="14" s="1"/>
  <c r="AR134" i="13"/>
  <c r="X6" i="13"/>
  <c r="X81" i="14"/>
  <c r="G40" i="11"/>
  <c r="J39" i="11"/>
  <c r="I39" i="11"/>
  <c r="H39" i="11"/>
  <c r="AD77" i="13"/>
  <c r="AP1" i="13"/>
  <c r="AP68" i="12"/>
  <c r="AQ1" i="12"/>
  <c r="U149" i="13"/>
  <c r="U84" i="13" s="1"/>
  <c r="Q99" i="14"/>
  <c r="R99" i="14" s="1"/>
  <c r="E38" i="13" a="1"/>
  <c r="E38" i="13" s="1"/>
  <c r="F39" i="13"/>
  <c r="AE75" i="13"/>
  <c r="Y135" i="13"/>
  <c r="T18" i="13"/>
  <c r="T93" i="14"/>
  <c r="X78" i="14"/>
  <c r="H104" i="12"/>
  <c r="F105" i="12"/>
  <c r="AP105" i="12" s="1"/>
  <c r="I104" i="12"/>
  <c r="J169" i="12" s="1"/>
  <c r="J104" i="12"/>
  <c r="K169" i="12" s="1"/>
  <c r="K104" i="12"/>
  <c r="L104" i="12"/>
  <c r="M104" i="12"/>
  <c r="N104" i="12"/>
  <c r="O104" i="12"/>
  <c r="P104" i="12"/>
  <c r="Q104" i="12"/>
  <c r="R169" i="12" s="1"/>
  <c r="R104" i="12"/>
  <c r="S169" i="12" s="1"/>
  <c r="S104" i="12"/>
  <c r="T104" i="12"/>
  <c r="U104" i="12"/>
  <c r="V104" i="12"/>
  <c r="W104" i="12"/>
  <c r="X104" i="12"/>
  <c r="Y104" i="12"/>
  <c r="Z169" i="12" s="1"/>
  <c r="Z104" i="12"/>
  <c r="AA169" i="12" s="1"/>
  <c r="AA104" i="12"/>
  <c r="AB104" i="12"/>
  <c r="AC104" i="12"/>
  <c r="AD104" i="12"/>
  <c r="AE104" i="12"/>
  <c r="AF104" i="12"/>
  <c r="AG104" i="12"/>
  <c r="AH104" i="12"/>
  <c r="AI104" i="12"/>
  <c r="AJ104" i="12"/>
  <c r="AK104" i="12"/>
  <c r="AL104" i="12"/>
  <c r="AM104" i="12"/>
  <c r="AN104" i="12"/>
  <c r="X148" i="13"/>
  <c r="X83" i="13" s="1"/>
  <c r="AO47" i="14"/>
  <c r="AP12" i="14"/>
  <c r="X73" i="13"/>
  <c r="T92" i="14"/>
  <c r="B42" i="14"/>
  <c r="B41" i="13"/>
  <c r="C41" i="13" s="1"/>
  <c r="B41" i="12"/>
  <c r="C41" i="12" s="1"/>
  <c r="AI7" i="7"/>
  <c r="AJ3" i="7" s="1"/>
  <c r="AI4" i="7"/>
  <c r="AM174" i="4"/>
  <c r="AM178" i="4" s="1"/>
  <c r="N104" i="14"/>
  <c r="V90" i="14"/>
  <c r="I101" i="13"/>
  <c r="O92" i="13"/>
  <c r="O100" i="14"/>
  <c r="W147" i="13"/>
  <c r="N161" i="13"/>
  <c r="N96" i="13" s="1"/>
  <c r="U150" i="13"/>
  <c r="U85" i="13" s="1"/>
  <c r="AH10" i="15"/>
  <c r="AO30" i="4"/>
  <c r="F38" i="12"/>
  <c r="AO38" i="12" s="1"/>
  <c r="H37" i="12"/>
  <c r="I169" i="12" s="1"/>
  <c r="I37" i="12"/>
  <c r="J37" i="12"/>
  <c r="K37" i="12"/>
  <c r="L169" i="12" s="1"/>
  <c r="L37" i="12"/>
  <c r="M169" i="12" s="1"/>
  <c r="M37" i="12"/>
  <c r="N37" i="12"/>
  <c r="O169" i="12" s="1"/>
  <c r="O37" i="12"/>
  <c r="P169" i="12" s="1"/>
  <c r="P37" i="12"/>
  <c r="Q169" i="12" s="1"/>
  <c r="Q37" i="12"/>
  <c r="R37" i="12"/>
  <c r="S37" i="12"/>
  <c r="T169" i="12" s="1"/>
  <c r="T37" i="12"/>
  <c r="U169" i="12" s="1"/>
  <c r="U37" i="12"/>
  <c r="V37" i="12"/>
  <c r="W169" i="12" s="1"/>
  <c r="W37" i="12"/>
  <c r="X169" i="12" s="1"/>
  <c r="X37" i="12"/>
  <c r="Y169" i="12" s="1"/>
  <c r="Y37" i="12"/>
  <c r="Z37" i="12"/>
  <c r="AA37" i="12"/>
  <c r="AB169" i="12" s="1"/>
  <c r="AB37" i="12"/>
  <c r="AC169" i="12" s="1"/>
  <c r="AC37" i="12"/>
  <c r="AD37" i="12"/>
  <c r="AE169" i="12" s="1"/>
  <c r="AE37" i="12"/>
  <c r="AF169" i="12" s="1"/>
  <c r="AF37" i="12"/>
  <c r="AG169" i="12" s="1"/>
  <c r="AG37" i="12"/>
  <c r="AH37" i="12"/>
  <c r="AI37" i="12"/>
  <c r="AJ37" i="12"/>
  <c r="AK37" i="12"/>
  <c r="AL37" i="12"/>
  <c r="AM37" i="12"/>
  <c r="AH6" i="7"/>
  <c r="AL177" i="4" s="1"/>
  <c r="AL175" i="4"/>
  <c r="M95" i="13"/>
  <c r="AO11" i="14"/>
  <c r="AO76" i="14" s="1"/>
  <c r="AO68" i="13"/>
  <c r="E103" i="12"/>
  <c r="E46" i="14" s="1"/>
  <c r="E37" i="12"/>
  <c r="O25" i="13"/>
  <c r="V149" i="13" l="1"/>
  <c r="S91" i="13"/>
  <c r="S156" i="13"/>
  <c r="O162" i="13"/>
  <c r="O97" i="13" s="1"/>
  <c r="AA79" i="13"/>
  <c r="AA144" i="13"/>
  <c r="AD71" i="13"/>
  <c r="AD136" i="13"/>
  <c r="O161" i="13"/>
  <c r="O96" i="13" s="1"/>
  <c r="AJ4" i="7"/>
  <c r="AJ7" i="7"/>
  <c r="AK3" i="7" s="1"/>
  <c r="AN174" i="4"/>
  <c r="AN178" i="4" s="1"/>
  <c r="AF140" i="13"/>
  <c r="AF75" i="13" s="1"/>
  <c r="X14" i="13"/>
  <c r="X89" i="14"/>
  <c r="Z72" i="13"/>
  <c r="AD74" i="13"/>
  <c r="AD139" i="13"/>
  <c r="U88" i="13"/>
  <c r="Y70" i="13"/>
  <c r="X81" i="13"/>
  <c r="AI32" i="4"/>
  <c r="AG160" i="12"/>
  <c r="AG161" i="12"/>
  <c r="AG162" i="12"/>
  <c r="AG163" i="12"/>
  <c r="AG164" i="12"/>
  <c r="AG166" i="12"/>
  <c r="AG165" i="12"/>
  <c r="AG167" i="12"/>
  <c r="BO158" i="4"/>
  <c r="BP156" i="4"/>
  <c r="AD7" i="15"/>
  <c r="AD18" i="15"/>
  <c r="AP39" i="12"/>
  <c r="AQ2" i="12"/>
  <c r="AP38" i="12"/>
  <c r="J101" i="13"/>
  <c r="J166" i="13"/>
  <c r="AS134" i="13"/>
  <c r="AA9" i="13"/>
  <c r="AA84" i="14"/>
  <c r="N95" i="13"/>
  <c r="N160" i="13"/>
  <c r="N103" i="14" s="1"/>
  <c r="AQ12" i="14"/>
  <c r="E39" i="13" a="1"/>
  <c r="E39" i="13" s="1"/>
  <c r="F40" i="13"/>
  <c r="Z87" i="14"/>
  <c r="AA87" i="14" s="1"/>
  <c r="F48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O104" i="14"/>
  <c r="Y83" i="13"/>
  <c r="Y148" i="13"/>
  <c r="W82" i="13"/>
  <c r="X16" i="13"/>
  <c r="AE77" i="13"/>
  <c r="AE142" i="13"/>
  <c r="AD82" i="14"/>
  <c r="O29" i="13"/>
  <c r="P92" i="13"/>
  <c r="P157" i="13"/>
  <c r="J165" i="13"/>
  <c r="Y78" i="14"/>
  <c r="O26" i="13"/>
  <c r="H40" i="11"/>
  <c r="G41" i="11"/>
  <c r="I40" i="11"/>
  <c r="J40" i="11"/>
  <c r="S19" i="13"/>
  <c r="S94" i="14"/>
  <c r="AA76" i="13"/>
  <c r="I102" i="13"/>
  <c r="I167" i="13"/>
  <c r="I110" i="14" s="1"/>
  <c r="O93" i="13"/>
  <c r="N94" i="13"/>
  <c r="AQ106" i="12"/>
  <c r="AR69" i="12"/>
  <c r="Z88" i="14"/>
  <c r="N30" i="13"/>
  <c r="W90" i="14"/>
  <c r="U17" i="13"/>
  <c r="V17" i="13" s="1"/>
  <c r="E170" i="13"/>
  <c r="E105" i="13"/>
  <c r="G38" i="13"/>
  <c r="AQ1" i="13"/>
  <c r="AQ68" i="12"/>
  <c r="AR1" i="12"/>
  <c r="S86" i="13"/>
  <c r="N102" i="14"/>
  <c r="U96" i="14"/>
  <c r="K98" i="13"/>
  <c r="K163" i="13"/>
  <c r="K31" i="13" s="1"/>
  <c r="S24" i="13"/>
  <c r="Z13" i="13"/>
  <c r="U93" i="14"/>
  <c r="S99" i="14"/>
  <c r="AE6" i="15"/>
  <c r="AI1" i="14"/>
  <c r="AI8" i="14"/>
  <c r="AL13" i="4"/>
  <c r="AJ2" i="14" s="1"/>
  <c r="N28" i="13"/>
  <c r="AP7" i="14"/>
  <c r="AS9" i="4"/>
  <c r="AR29" i="4"/>
  <c r="AL11" i="15" s="1"/>
  <c r="AR6" i="4"/>
  <c r="AR8" i="4"/>
  <c r="AR46" i="4" s="1"/>
  <c r="F171" i="12"/>
  <c r="H170" i="12"/>
  <c r="Q170" i="12"/>
  <c r="V170" i="12"/>
  <c r="Y170" i="12"/>
  <c r="AD170" i="12"/>
  <c r="AG170" i="12"/>
  <c r="AD7" i="13"/>
  <c r="AH32" i="4"/>
  <c r="AF159" i="12"/>
  <c r="AF160" i="12"/>
  <c r="AF161" i="12"/>
  <c r="AF162" i="12"/>
  <c r="AF163" i="12"/>
  <c r="AF164" i="12"/>
  <c r="AF165" i="12"/>
  <c r="AF166" i="12"/>
  <c r="AF167" i="12"/>
  <c r="W15" i="13"/>
  <c r="X91" i="14"/>
  <c r="AR134" i="12"/>
  <c r="R22" i="13"/>
  <c r="R154" i="13"/>
  <c r="R89" i="13" s="1"/>
  <c r="W152" i="13"/>
  <c r="W20" i="13" s="1"/>
  <c r="E112" i="14"/>
  <c r="G112" i="14" s="1"/>
  <c r="G104" i="13"/>
  <c r="H104" i="13" s="1"/>
  <c r="Y78" i="13"/>
  <c r="Y143" i="13"/>
  <c r="S155" i="13"/>
  <c r="AF83" i="14"/>
  <c r="AC79" i="14"/>
  <c r="AC4" i="13"/>
  <c r="AD4" i="13" s="1"/>
  <c r="W95" i="14"/>
  <c r="D103" i="13"/>
  <c r="D111" i="14" s="1"/>
  <c r="D37" i="13"/>
  <c r="P25" i="13"/>
  <c r="H38" i="12"/>
  <c r="I170" i="12" s="1"/>
  <c r="F39" i="12"/>
  <c r="I38" i="12"/>
  <c r="J38" i="12"/>
  <c r="K170" i="12" s="1"/>
  <c r="K38" i="12"/>
  <c r="L170" i="12" s="1"/>
  <c r="L38" i="12"/>
  <c r="M170" i="12" s="1"/>
  <c r="M38" i="12"/>
  <c r="N170" i="12" s="1"/>
  <c r="N38" i="12"/>
  <c r="O170" i="12" s="1"/>
  <c r="O38" i="12"/>
  <c r="P170" i="12" s="1"/>
  <c r="P38" i="12"/>
  <c r="Q38" i="12"/>
  <c r="R38" i="12"/>
  <c r="S170" i="12" s="1"/>
  <c r="S38" i="12"/>
  <c r="T170" i="12" s="1"/>
  <c r="T38" i="12"/>
  <c r="U170" i="12" s="1"/>
  <c r="U38" i="12"/>
  <c r="V38" i="12"/>
  <c r="W170" i="12" s="1"/>
  <c r="W38" i="12"/>
  <c r="X170" i="12" s="1"/>
  <c r="X38" i="12"/>
  <c r="Y38" i="12"/>
  <c r="Z38" i="12"/>
  <c r="AA170" i="12" s="1"/>
  <c r="AA38" i="12"/>
  <c r="AB170" i="12" s="1"/>
  <c r="AB38" i="12"/>
  <c r="AC170" i="12" s="1"/>
  <c r="AC38" i="12"/>
  <c r="AD38" i="12"/>
  <c r="AE170" i="12" s="1"/>
  <c r="AE38" i="12"/>
  <c r="AF170" i="12" s="1"/>
  <c r="AF38" i="12"/>
  <c r="AG38" i="12"/>
  <c r="AH38" i="12"/>
  <c r="AI38" i="12"/>
  <c r="AJ38" i="12"/>
  <c r="AK38" i="12"/>
  <c r="AL38" i="12"/>
  <c r="AM38" i="12"/>
  <c r="AN38" i="12"/>
  <c r="U92" i="14"/>
  <c r="U18" i="13"/>
  <c r="AP11" i="14"/>
  <c r="AP76" i="14" s="1"/>
  <c r="AP68" i="13"/>
  <c r="E104" i="12"/>
  <c r="E47" i="14" s="1"/>
  <c r="E38" i="12"/>
  <c r="AI10" i="15"/>
  <c r="AP30" i="4"/>
  <c r="Y73" i="13"/>
  <c r="Y138" i="13"/>
  <c r="P100" i="14"/>
  <c r="AI6" i="7"/>
  <c r="AM177" i="4" s="1"/>
  <c r="AM175" i="4"/>
  <c r="H105" i="12"/>
  <c r="F106" i="12"/>
  <c r="I105" i="12"/>
  <c r="J170" i="12" s="1"/>
  <c r="J105" i="12"/>
  <c r="K105" i="12"/>
  <c r="L105" i="12"/>
  <c r="M105" i="12"/>
  <c r="N105" i="12"/>
  <c r="O105" i="12"/>
  <c r="P105" i="12"/>
  <c r="Q105" i="12"/>
  <c r="R170" i="12" s="1"/>
  <c r="R105" i="12"/>
  <c r="S105" i="12"/>
  <c r="T105" i="12"/>
  <c r="U105" i="12"/>
  <c r="V105" i="12"/>
  <c r="W105" i="12"/>
  <c r="X105" i="12"/>
  <c r="Y105" i="12"/>
  <c r="Z170" i="12" s="1"/>
  <c r="Z105" i="12"/>
  <c r="AA105" i="12"/>
  <c r="AB105" i="12"/>
  <c r="AC105" i="12"/>
  <c r="AD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Y3" i="13"/>
  <c r="B43" i="14"/>
  <c r="C43" i="14" s="1"/>
  <c r="B42" i="13"/>
  <c r="C42" i="13" s="1"/>
  <c r="B42" i="12"/>
  <c r="C42" i="12" s="1"/>
  <c r="Z12" i="13"/>
  <c r="AA12" i="13" s="1"/>
  <c r="I35" i="13"/>
  <c r="H103" i="13"/>
  <c r="R97" i="14"/>
  <c r="J99" i="13"/>
  <c r="AF168" i="12"/>
  <c r="AG75" i="13" l="1"/>
  <c r="AG140" i="13"/>
  <c r="P162" i="13"/>
  <c r="P161" i="13"/>
  <c r="P96" i="13" s="1"/>
  <c r="O105" i="14"/>
  <c r="AE7" i="15"/>
  <c r="AE18" i="15"/>
  <c r="AE14" i="15" s="1"/>
  <c r="AI170" i="12" s="1"/>
  <c r="AQ11" i="14"/>
  <c r="AQ76" i="14" s="1"/>
  <c r="AQ68" i="13"/>
  <c r="AG83" i="14"/>
  <c r="AQ7" i="14"/>
  <c r="AS8" i="4"/>
  <c r="AS46" i="4" s="1"/>
  <c r="AS6" i="4"/>
  <c r="AS29" i="4"/>
  <c r="AM11" i="15" s="1"/>
  <c r="AT9" i="4"/>
  <c r="Y6" i="13"/>
  <c r="AS69" i="12"/>
  <c r="B44" i="14"/>
  <c r="C44" i="14" s="1"/>
  <c r="B43" i="13"/>
  <c r="H38" i="13" s="1"/>
  <c r="B43" i="12"/>
  <c r="C43" i="12" s="1"/>
  <c r="Q157" i="13"/>
  <c r="Q92" i="13" s="1"/>
  <c r="E171" i="13"/>
  <c r="E106" i="13"/>
  <c r="G39" i="13"/>
  <c r="O160" i="13"/>
  <c r="O95" i="13" s="1"/>
  <c r="AE139" i="13"/>
  <c r="AE7" i="13" s="1"/>
  <c r="S23" i="13"/>
  <c r="S98" i="14"/>
  <c r="W87" i="13"/>
  <c r="E113" i="14"/>
  <c r="G113" i="14" s="1"/>
  <c r="H113" i="14" s="1"/>
  <c r="G105" i="13"/>
  <c r="H105" i="13" s="1"/>
  <c r="J167" i="13"/>
  <c r="J35" i="13" s="1"/>
  <c r="Z83" i="13"/>
  <c r="Z148" i="13"/>
  <c r="AA137" i="13"/>
  <c r="AA72" i="13" s="1"/>
  <c r="AK7" i="7"/>
  <c r="AL3" i="7" s="1"/>
  <c r="AK4" i="7"/>
  <c r="AO174" i="4"/>
  <c r="AO178" i="4" s="1"/>
  <c r="AE71" i="13"/>
  <c r="AE136" i="13"/>
  <c r="E105" i="12"/>
  <c r="E48" i="14" s="1"/>
  <c r="E39" i="12"/>
  <c r="L98" i="13"/>
  <c r="L163" i="13"/>
  <c r="K99" i="13"/>
  <c r="K164" i="13"/>
  <c r="I103" i="13"/>
  <c r="I168" i="13"/>
  <c r="F107" i="12"/>
  <c r="H106" i="12"/>
  <c r="J106" i="12"/>
  <c r="I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D104" i="13"/>
  <c r="D112" i="14" s="1"/>
  <c r="D38" i="13"/>
  <c r="S90" i="13"/>
  <c r="S154" i="13"/>
  <c r="S89" i="13" s="1"/>
  <c r="Y91" i="14"/>
  <c r="Z91" i="14" s="1"/>
  <c r="H37" i="13"/>
  <c r="AB141" i="13"/>
  <c r="AB76" i="13" s="1"/>
  <c r="AE82" i="14"/>
  <c r="AR12" i="14"/>
  <c r="Y89" i="14"/>
  <c r="AJ6" i="7"/>
  <c r="AN177" i="4" s="1"/>
  <c r="AN175" i="4"/>
  <c r="V18" i="13"/>
  <c r="V150" i="13"/>
  <c r="V85" i="13" s="1"/>
  <c r="Y86" i="14"/>
  <c r="Y11" i="13"/>
  <c r="Z11" i="13" s="1"/>
  <c r="H171" i="12"/>
  <c r="F172" i="12"/>
  <c r="AF6" i="15"/>
  <c r="AJ8" i="14"/>
  <c r="AJ1" i="14"/>
  <c r="AM13" i="4"/>
  <c r="AK2" i="14" s="1"/>
  <c r="AA145" i="13"/>
  <c r="AA80" i="13" s="1"/>
  <c r="T151" i="13"/>
  <c r="T86" i="13" s="1"/>
  <c r="AE10" i="13"/>
  <c r="AE85" i="14"/>
  <c r="J34" i="13"/>
  <c r="K34" i="13" s="1"/>
  <c r="J109" i="14"/>
  <c r="Y146" i="13"/>
  <c r="Y14" i="13"/>
  <c r="T156" i="13"/>
  <c r="T91" i="13" s="1"/>
  <c r="Y81" i="14"/>
  <c r="Z81" i="14" s="1"/>
  <c r="J108" i="14"/>
  <c r="J33" i="13"/>
  <c r="K166" i="13"/>
  <c r="K101" i="13" s="1"/>
  <c r="AQ39" i="12"/>
  <c r="AR2" i="12"/>
  <c r="AQ40" i="12"/>
  <c r="Z70" i="13"/>
  <c r="Z135" i="13"/>
  <c r="Z3" i="13" s="1"/>
  <c r="AB12" i="13"/>
  <c r="AB144" i="13"/>
  <c r="AB79" i="13" s="1"/>
  <c r="Z73" i="13"/>
  <c r="Z138" i="13"/>
  <c r="Z143" i="13"/>
  <c r="Z78" i="13" s="1"/>
  <c r="AE4" i="13"/>
  <c r="J100" i="13"/>
  <c r="AT134" i="13"/>
  <c r="AD14" i="15"/>
  <c r="AF8" i="13"/>
  <c r="AG8" i="13" s="1"/>
  <c r="AS134" i="12"/>
  <c r="T19" i="13"/>
  <c r="AJ10" i="15"/>
  <c r="AQ30" i="4"/>
  <c r="V92" i="14"/>
  <c r="I104" i="13"/>
  <c r="I169" i="13"/>
  <c r="AR68" i="12"/>
  <c r="AR1" i="13"/>
  <c r="AS1" i="12"/>
  <c r="X90" i="14"/>
  <c r="H48" i="14"/>
  <c r="F49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F40" i="12"/>
  <c r="H39" i="12"/>
  <c r="I171" i="12" s="1"/>
  <c r="I39" i="12"/>
  <c r="J171" i="12" s="1"/>
  <c r="J39" i="12"/>
  <c r="K171" i="12" s="1"/>
  <c r="K39" i="12"/>
  <c r="L171" i="12" s="1"/>
  <c r="L39" i="12"/>
  <c r="M171" i="12" s="1"/>
  <c r="M39" i="12"/>
  <c r="N171" i="12" s="1"/>
  <c r="N39" i="12"/>
  <c r="O171" i="12" s="1"/>
  <c r="O39" i="12"/>
  <c r="P171" i="12" s="1"/>
  <c r="P39" i="12"/>
  <c r="Q171" i="12" s="1"/>
  <c r="Q39" i="12"/>
  <c r="R171" i="12" s="1"/>
  <c r="R39" i="12"/>
  <c r="S171" i="12" s="1"/>
  <c r="S39" i="12"/>
  <c r="T171" i="12" s="1"/>
  <c r="T39" i="12"/>
  <c r="U171" i="12" s="1"/>
  <c r="U39" i="12"/>
  <c r="V171" i="12" s="1"/>
  <c r="V39" i="12"/>
  <c r="W171" i="12" s="1"/>
  <c r="W39" i="12"/>
  <c r="X171" i="12" s="1"/>
  <c r="X39" i="12"/>
  <c r="Y171" i="12" s="1"/>
  <c r="Y39" i="12"/>
  <c r="Z171" i="12" s="1"/>
  <c r="Z39" i="12"/>
  <c r="AA171" i="12" s="1"/>
  <c r="AA39" i="12"/>
  <c r="AB171" i="12" s="1"/>
  <c r="AB39" i="12"/>
  <c r="AC171" i="12" s="1"/>
  <c r="AC39" i="12"/>
  <c r="AD171" i="12" s="1"/>
  <c r="AD39" i="12"/>
  <c r="AE171" i="12" s="1"/>
  <c r="AE39" i="12"/>
  <c r="AF171" i="12" s="1"/>
  <c r="AF39" i="12"/>
  <c r="AG171" i="12" s="1"/>
  <c r="AG39" i="12"/>
  <c r="AH171" i="12" s="1"/>
  <c r="AH39" i="12"/>
  <c r="AI171" i="12" s="1"/>
  <c r="AI39" i="12"/>
  <c r="AJ39" i="12"/>
  <c r="AK39" i="12"/>
  <c r="AL39" i="12"/>
  <c r="AM39" i="12"/>
  <c r="AN39" i="12"/>
  <c r="AO39" i="12"/>
  <c r="AD79" i="14"/>
  <c r="AE79" i="14" s="1"/>
  <c r="H112" i="14"/>
  <c r="I112" i="14" s="1"/>
  <c r="AF142" i="13"/>
  <c r="AF77" i="13" s="1"/>
  <c r="L31" i="13"/>
  <c r="O30" i="13"/>
  <c r="O159" i="13"/>
  <c r="O27" i="13" s="1"/>
  <c r="Y16" i="13"/>
  <c r="Z16" i="13" s="1"/>
  <c r="AB87" i="14"/>
  <c r="AP48" i="14"/>
  <c r="V88" i="13"/>
  <c r="V153" i="13"/>
  <c r="V21" i="13" s="1"/>
  <c r="V84" i="13"/>
  <c r="W149" i="13" s="1"/>
  <c r="P158" i="13"/>
  <c r="P101" i="14" s="1"/>
  <c r="J41" i="11"/>
  <c r="I41" i="11"/>
  <c r="H41" i="11"/>
  <c r="G42" i="11"/>
  <c r="X147" i="13"/>
  <c r="X82" i="13" s="1"/>
  <c r="F41" i="13"/>
  <c r="E40" i="13" a="1"/>
  <c r="E40" i="13" s="1"/>
  <c r="O103" i="14"/>
  <c r="BP158" i="4"/>
  <c r="BQ156" i="4"/>
  <c r="BQ158" i="4" s="1"/>
  <c r="K106" i="14"/>
  <c r="L106" i="14" s="1"/>
  <c r="AC144" i="13" l="1"/>
  <c r="AC79" i="13" s="1"/>
  <c r="L101" i="13"/>
  <c r="L166" i="13"/>
  <c r="R92" i="13"/>
  <c r="R157" i="13"/>
  <c r="Q161" i="13"/>
  <c r="Q96" i="13" s="1"/>
  <c r="AC76" i="13"/>
  <c r="AC141" i="13"/>
  <c r="AB137" i="13"/>
  <c r="AB72" i="13" s="1"/>
  <c r="AA78" i="13"/>
  <c r="AA143" i="13"/>
  <c r="T89" i="13"/>
  <c r="T154" i="13"/>
  <c r="W17" i="13"/>
  <c r="U91" i="13"/>
  <c r="U156" i="13"/>
  <c r="AG77" i="13"/>
  <c r="AH142" i="13" s="1"/>
  <c r="AG142" i="13"/>
  <c r="P160" i="13"/>
  <c r="P95" i="13" s="1"/>
  <c r="O94" i="13"/>
  <c r="AF10" i="13"/>
  <c r="AG10" i="13" s="1"/>
  <c r="P30" i="13"/>
  <c r="AB9" i="13"/>
  <c r="AC9" i="13" s="1"/>
  <c r="Y81" i="13"/>
  <c r="AG6" i="15"/>
  <c r="AK1" i="14"/>
  <c r="AK8" i="14"/>
  <c r="AN13" i="4"/>
  <c r="AL2" i="14" s="1"/>
  <c r="S97" i="14"/>
  <c r="T97" i="14" s="1"/>
  <c r="I37" i="13"/>
  <c r="T99" i="14"/>
  <c r="U99" i="14" s="1"/>
  <c r="O102" i="14"/>
  <c r="H39" i="13"/>
  <c r="J110" i="14"/>
  <c r="AT69" i="12"/>
  <c r="V96" i="14"/>
  <c r="W96" i="14" s="1"/>
  <c r="AH83" i="14"/>
  <c r="W92" i="14"/>
  <c r="AJ32" i="4"/>
  <c r="AH140" i="13"/>
  <c r="AH161" i="12"/>
  <c r="AH162" i="12"/>
  <c r="AH163" i="12"/>
  <c r="AH164" i="12"/>
  <c r="AH165" i="12"/>
  <c r="AH166" i="12"/>
  <c r="AH167" i="12"/>
  <c r="AH168" i="12"/>
  <c r="AH169" i="12"/>
  <c r="AS1" i="13"/>
  <c r="AS68" i="12"/>
  <c r="AT1" i="12"/>
  <c r="AK10" i="15"/>
  <c r="AR30" i="4"/>
  <c r="G43" i="11"/>
  <c r="J42" i="11"/>
  <c r="I42" i="11"/>
  <c r="H42" i="11"/>
  <c r="W153" i="13"/>
  <c r="W88" i="13" s="1"/>
  <c r="M31" i="13"/>
  <c r="T24" i="13"/>
  <c r="U24" i="13" s="1"/>
  <c r="AA138" i="13"/>
  <c r="AA73" i="13" s="1"/>
  <c r="T94" i="14"/>
  <c r="X15" i="13"/>
  <c r="Q25" i="13"/>
  <c r="R25" i="13" s="1"/>
  <c r="V93" i="14"/>
  <c r="W93" i="14" s="1"/>
  <c r="Q100" i="14"/>
  <c r="R100" i="14" s="1"/>
  <c r="X87" i="13"/>
  <c r="X152" i="13"/>
  <c r="E114" i="14"/>
  <c r="G114" i="14" s="1"/>
  <c r="G106" i="13"/>
  <c r="Z6" i="13"/>
  <c r="AA6" i="13" s="1"/>
  <c r="AH75" i="13"/>
  <c r="AI140" i="13" s="1"/>
  <c r="B45" i="14"/>
  <c r="J112" i="14" s="1"/>
  <c r="B44" i="13"/>
  <c r="B44" i="12"/>
  <c r="C44" i="12" s="1"/>
  <c r="H49" i="14"/>
  <c r="F50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U151" i="13"/>
  <c r="U19" i="13" s="1"/>
  <c r="K109" i="14"/>
  <c r="L109" i="14" s="1"/>
  <c r="S22" i="13"/>
  <c r="T22" i="13" s="1"/>
  <c r="AQ49" i="14"/>
  <c r="O28" i="13"/>
  <c r="P28" i="13" s="1"/>
  <c r="K107" i="14"/>
  <c r="L107" i="14" s="1"/>
  <c r="K32" i="13"/>
  <c r="L32" i="13" s="1"/>
  <c r="AA83" i="13"/>
  <c r="AA148" i="13"/>
  <c r="AA16" i="13" s="1"/>
  <c r="AR7" i="14"/>
  <c r="AT8" i="4"/>
  <c r="AT46" i="4" s="1"/>
  <c r="AT6" i="4"/>
  <c r="AT13" i="4"/>
  <c r="AR2" i="14" s="1"/>
  <c r="AT29" i="4"/>
  <c r="AN11" i="15" s="1"/>
  <c r="AU9" i="4"/>
  <c r="J104" i="13"/>
  <c r="J169" i="13"/>
  <c r="AF136" i="13"/>
  <c r="AF71" i="13" s="1"/>
  <c r="P26" i="13"/>
  <c r="AK32" i="4"/>
  <c r="AI162" i="12"/>
  <c r="AI163" i="12"/>
  <c r="AI164" i="12"/>
  <c r="AI165" i="12"/>
  <c r="AI166" i="12"/>
  <c r="AI167" i="12"/>
  <c r="AI168" i="12"/>
  <c r="AI169" i="12"/>
  <c r="C43" i="13"/>
  <c r="P103" i="14"/>
  <c r="AH8" i="13"/>
  <c r="AC12" i="13"/>
  <c r="L34" i="13"/>
  <c r="AA11" i="13"/>
  <c r="AR50" i="14"/>
  <c r="AS12" i="14"/>
  <c r="AA91" i="14"/>
  <c r="L164" i="13"/>
  <c r="L99" i="13" s="1"/>
  <c r="E172" i="13"/>
  <c r="E107" i="13"/>
  <c r="G40" i="13"/>
  <c r="AC87" i="14"/>
  <c r="AF79" i="14"/>
  <c r="AT134" i="12"/>
  <c r="AU134" i="13"/>
  <c r="K165" i="13"/>
  <c r="K108" i="14" s="1"/>
  <c r="AR40" i="12"/>
  <c r="AS2" i="12"/>
  <c r="AB84" i="14"/>
  <c r="AC84" i="14" s="1"/>
  <c r="AF7" i="15"/>
  <c r="AF18" i="15"/>
  <c r="Z86" i="14"/>
  <c r="AA86" i="14" s="1"/>
  <c r="Z89" i="14"/>
  <c r="Z78" i="14"/>
  <c r="H107" i="12"/>
  <c r="I107" i="12"/>
  <c r="F108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A88" i="14"/>
  <c r="AB88" i="14" s="1"/>
  <c r="P104" i="14"/>
  <c r="Q104" i="14" s="1"/>
  <c r="W85" i="13"/>
  <c r="W150" i="13"/>
  <c r="I111" i="14"/>
  <c r="I36" i="13"/>
  <c r="AK6" i="7"/>
  <c r="AO177" i="4" s="1"/>
  <c r="AO175" i="4"/>
  <c r="J102" i="13"/>
  <c r="AE74" i="13"/>
  <c r="P105" i="14"/>
  <c r="P97" i="13"/>
  <c r="F42" i="13"/>
  <c r="E41" i="13" a="1"/>
  <c r="E41" i="13" s="1"/>
  <c r="AF4" i="13"/>
  <c r="P93" i="13"/>
  <c r="Z14" i="13"/>
  <c r="Z146" i="13"/>
  <c r="W18" i="13"/>
  <c r="M163" i="13"/>
  <c r="M98" i="13" s="1"/>
  <c r="AH170" i="12"/>
  <c r="AA70" i="13"/>
  <c r="AA135" i="13"/>
  <c r="AF85" i="14"/>
  <c r="AG85" i="14" s="1"/>
  <c r="AB145" i="13"/>
  <c r="AB80" i="13" s="1"/>
  <c r="T155" i="13"/>
  <c r="T90" i="13" s="1"/>
  <c r="J103" i="13"/>
  <c r="J168" i="13"/>
  <c r="AL4" i="7"/>
  <c r="AL7" i="7"/>
  <c r="AM3" i="7" s="1"/>
  <c r="AP174" i="4"/>
  <c r="AP178" i="4" s="1"/>
  <c r="I170" i="13"/>
  <c r="I38" i="13" s="1"/>
  <c r="W84" i="13"/>
  <c r="H40" i="12"/>
  <c r="I172" i="12" s="1"/>
  <c r="F41" i="12"/>
  <c r="I40" i="12"/>
  <c r="J40" i="12"/>
  <c r="K40" i="12"/>
  <c r="L40" i="12"/>
  <c r="M40" i="12"/>
  <c r="N172" i="12" s="1"/>
  <c r="N40" i="12"/>
  <c r="O172" i="12" s="1"/>
  <c r="O40" i="12"/>
  <c r="P172" i="12" s="1"/>
  <c r="P40" i="12"/>
  <c r="Q172" i="12" s="1"/>
  <c r="Q40" i="12"/>
  <c r="R40" i="12"/>
  <c r="S40" i="12"/>
  <c r="T40" i="12"/>
  <c r="U40" i="12"/>
  <c r="V172" i="12" s="1"/>
  <c r="V40" i="12"/>
  <c r="W172" i="12" s="1"/>
  <c r="W40" i="12"/>
  <c r="X172" i="12" s="1"/>
  <c r="X40" i="12"/>
  <c r="Y172" i="12" s="1"/>
  <c r="Y40" i="12"/>
  <c r="Z40" i="12"/>
  <c r="AA40" i="12"/>
  <c r="AB40" i="12"/>
  <c r="AC40" i="12"/>
  <c r="AD172" i="12" s="1"/>
  <c r="AD40" i="12"/>
  <c r="AE172" i="12" s="1"/>
  <c r="AE40" i="12"/>
  <c r="AF172" i="12" s="1"/>
  <c r="AF40" i="12"/>
  <c r="AG172" i="12" s="1"/>
  <c r="AG40" i="12"/>
  <c r="AH40" i="12"/>
  <c r="AI40" i="12"/>
  <c r="AJ40" i="12"/>
  <c r="AK40" i="12"/>
  <c r="AL40" i="12"/>
  <c r="AM40" i="12"/>
  <c r="AN40" i="12"/>
  <c r="AO40" i="12"/>
  <c r="AP40" i="12"/>
  <c r="AR11" i="14"/>
  <c r="AR76" i="14" s="1"/>
  <c r="AR68" i="13"/>
  <c r="AA13" i="13"/>
  <c r="AB13" i="13" s="1"/>
  <c r="H172" i="12"/>
  <c r="F173" i="12"/>
  <c r="J172" i="12"/>
  <c r="K172" i="12"/>
  <c r="L172" i="12"/>
  <c r="M172" i="12"/>
  <c r="R172" i="12"/>
  <c r="S172" i="12"/>
  <c r="T172" i="12"/>
  <c r="U172" i="12"/>
  <c r="Z172" i="12"/>
  <c r="AA172" i="12"/>
  <c r="AB172" i="12"/>
  <c r="AC172" i="12"/>
  <c r="AH172" i="12"/>
  <c r="AI172" i="12"/>
  <c r="D39" i="13"/>
  <c r="D105" i="13"/>
  <c r="D113" i="14" s="1"/>
  <c r="P29" i="13"/>
  <c r="Q29" i="13" s="1"/>
  <c r="E106" i="12"/>
  <c r="E49" i="14" s="1"/>
  <c r="E40" i="12"/>
  <c r="AA5" i="13"/>
  <c r="AB5" i="13" s="1"/>
  <c r="AA80" i="14"/>
  <c r="AB80" i="14" s="1"/>
  <c r="AR107" i="12"/>
  <c r="N98" i="13" l="1"/>
  <c r="N163" i="13"/>
  <c r="M99" i="13"/>
  <c r="M164" i="13"/>
  <c r="AB73" i="13"/>
  <c r="AB138" i="13"/>
  <c r="R161" i="13"/>
  <c r="R96" i="13" s="1"/>
  <c r="U155" i="13"/>
  <c r="U90" i="13" s="1"/>
  <c r="AC145" i="13"/>
  <c r="AC80" i="13" s="1"/>
  <c r="X153" i="13"/>
  <c r="X88" i="13" s="1"/>
  <c r="Q160" i="13"/>
  <c r="Q95" i="13" s="1"/>
  <c r="AG136" i="13"/>
  <c r="AG71" i="13" s="1"/>
  <c r="AC137" i="13"/>
  <c r="AC72" i="13" s="1"/>
  <c r="AD144" i="13"/>
  <c r="AD79" i="13" s="1"/>
  <c r="X84" i="13"/>
  <c r="X149" i="13"/>
  <c r="E173" i="13"/>
  <c r="E108" i="13"/>
  <c r="G41" i="13"/>
  <c r="AF14" i="15"/>
  <c r="H41" i="12"/>
  <c r="F42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L6" i="7"/>
  <c r="AP177" i="4" s="1"/>
  <c r="AP175" i="4"/>
  <c r="K167" i="13"/>
  <c r="K35" i="13" s="1"/>
  <c r="X150" i="13"/>
  <c r="X85" i="13" s="1"/>
  <c r="AA78" i="14"/>
  <c r="K169" i="13"/>
  <c r="K112" i="14" s="1"/>
  <c r="T98" i="14"/>
  <c r="Y152" i="13"/>
  <c r="Y87" i="13" s="1"/>
  <c r="AS11" i="14"/>
  <c r="AS76" i="14" s="1"/>
  <c r="AS68" i="13"/>
  <c r="AH6" i="15"/>
  <c r="AL8" i="14"/>
  <c r="AL1" i="14"/>
  <c r="AO13" i="4"/>
  <c r="AM2" i="14" s="1"/>
  <c r="C45" i="14"/>
  <c r="X17" i="13"/>
  <c r="U154" i="13"/>
  <c r="U22" i="13" s="1"/>
  <c r="S157" i="13"/>
  <c r="S92" i="13" s="1"/>
  <c r="AG4" i="13"/>
  <c r="R29" i="13"/>
  <c r="AC13" i="13"/>
  <c r="AB135" i="13"/>
  <c r="Q158" i="13"/>
  <c r="Q101" i="14" s="1"/>
  <c r="R104" i="14"/>
  <c r="AB11" i="13"/>
  <c r="AA81" i="14"/>
  <c r="AB81" i="14" s="1"/>
  <c r="S100" i="14"/>
  <c r="I43" i="11"/>
  <c r="H43" i="11"/>
  <c r="J43" i="11"/>
  <c r="G44" i="11"/>
  <c r="W21" i="13"/>
  <c r="X21" i="13" s="1"/>
  <c r="T23" i="13"/>
  <c r="U23" i="13" s="1"/>
  <c r="AS7" i="14"/>
  <c r="AU8" i="4"/>
  <c r="AU46" i="4" s="1"/>
  <c r="AU6" i="4"/>
  <c r="AU13" i="4"/>
  <c r="AS2" i="14" s="1"/>
  <c r="AU29" i="4"/>
  <c r="AO11" i="15" s="1"/>
  <c r="AV9" i="4"/>
  <c r="AB148" i="13"/>
  <c r="AB91" i="14" s="1"/>
  <c r="AI83" i="14"/>
  <c r="K110" i="14"/>
  <c r="M106" i="14"/>
  <c r="N106" i="14" s="1"/>
  <c r="AI75" i="13"/>
  <c r="AH10" i="13"/>
  <c r="U86" i="13"/>
  <c r="AB78" i="13"/>
  <c r="AB143" i="13"/>
  <c r="AD76" i="13"/>
  <c r="AD141" i="13"/>
  <c r="M101" i="13"/>
  <c r="M166" i="13"/>
  <c r="M34" i="13" s="1"/>
  <c r="X96" i="14"/>
  <c r="I113" i="14"/>
  <c r="AD87" i="14"/>
  <c r="AI8" i="13"/>
  <c r="M107" i="14"/>
  <c r="S25" i="13"/>
  <c r="AL10" i="15"/>
  <c r="AS30" i="4"/>
  <c r="AB86" i="14"/>
  <c r="AT2" i="12"/>
  <c r="AS41" i="12"/>
  <c r="AS42" i="12"/>
  <c r="D106" i="13"/>
  <c r="D114" i="14" s="1"/>
  <c r="D40" i="13"/>
  <c r="M32" i="13"/>
  <c r="N31" i="13"/>
  <c r="J36" i="13"/>
  <c r="AB6" i="13"/>
  <c r="Q28" i="13"/>
  <c r="H106" i="13"/>
  <c r="Y15" i="13"/>
  <c r="Y147" i="13"/>
  <c r="AU69" i="12"/>
  <c r="Z81" i="13"/>
  <c r="K168" i="13"/>
  <c r="K103" i="13" s="1"/>
  <c r="E42" i="13" a="1"/>
  <c r="E42" i="13" s="1"/>
  <c r="F43" i="13"/>
  <c r="AV134" i="13"/>
  <c r="AN6" i="15"/>
  <c r="AR1" i="14"/>
  <c r="AR8" i="14"/>
  <c r="X92" i="14"/>
  <c r="J37" i="13"/>
  <c r="K33" i="13"/>
  <c r="V156" i="13"/>
  <c r="V24" i="13" s="1"/>
  <c r="AC88" i="14"/>
  <c r="AG7" i="15"/>
  <c r="AG18" i="15"/>
  <c r="AG14" i="15" s="1"/>
  <c r="P159" i="13"/>
  <c r="P27" i="13" s="1"/>
  <c r="AH77" i="13"/>
  <c r="AA3" i="13"/>
  <c r="AC80" i="14"/>
  <c r="I105" i="13"/>
  <c r="Q97" i="13"/>
  <c r="Q162" i="13"/>
  <c r="Q30" i="13" s="1"/>
  <c r="J111" i="14"/>
  <c r="H108" i="12"/>
  <c r="F109" i="12"/>
  <c r="I108" i="12"/>
  <c r="J108" i="12"/>
  <c r="K108" i="12"/>
  <c r="L173" i="12" s="1"/>
  <c r="L108" i="12"/>
  <c r="M108" i="12"/>
  <c r="N108" i="12"/>
  <c r="O108" i="12"/>
  <c r="P173" i="12" s="1"/>
  <c r="P108" i="12"/>
  <c r="Q173" i="12" s="1"/>
  <c r="Q108" i="12"/>
  <c r="R108" i="12"/>
  <c r="S108" i="12"/>
  <c r="T173" i="12" s="1"/>
  <c r="T108" i="12"/>
  <c r="U108" i="12"/>
  <c r="V108" i="12"/>
  <c r="W108" i="12"/>
  <c r="X173" i="12" s="1"/>
  <c r="X108" i="12"/>
  <c r="Y173" i="12" s="1"/>
  <c r="Y108" i="12"/>
  <c r="Z108" i="12"/>
  <c r="AA108" i="12"/>
  <c r="AB173" i="12" s="1"/>
  <c r="AB108" i="12"/>
  <c r="AC108" i="12"/>
  <c r="AD108" i="12"/>
  <c r="AE108" i="12"/>
  <c r="AF173" i="12" s="1"/>
  <c r="AF108" i="12"/>
  <c r="AG173" i="12" s="1"/>
  <c r="AG108" i="12"/>
  <c r="AH108" i="12"/>
  <c r="AI108" i="12"/>
  <c r="AJ173" i="12" s="1"/>
  <c r="AJ108" i="12"/>
  <c r="AK108" i="12"/>
  <c r="AL108" i="12"/>
  <c r="AM108" i="12"/>
  <c r="AN108" i="12"/>
  <c r="AO108" i="12"/>
  <c r="AP108" i="12"/>
  <c r="AQ108" i="12"/>
  <c r="AR108" i="12"/>
  <c r="AD84" i="14"/>
  <c r="AC5" i="13"/>
  <c r="X18" i="13"/>
  <c r="Q105" i="14"/>
  <c r="K100" i="13"/>
  <c r="E115" i="14"/>
  <c r="G115" i="14" s="1"/>
  <c r="H115" i="14" s="1"/>
  <c r="G107" i="13"/>
  <c r="H107" i="13" s="1"/>
  <c r="Q103" i="14"/>
  <c r="F51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H114" i="14"/>
  <c r="U94" i="14"/>
  <c r="B46" i="14"/>
  <c r="B45" i="13"/>
  <c r="H40" i="13" s="1"/>
  <c r="B45" i="12"/>
  <c r="C45" i="12" s="1"/>
  <c r="AT1" i="13"/>
  <c r="AT68" i="12"/>
  <c r="AU1" i="12"/>
  <c r="E41" i="12"/>
  <c r="E107" i="12"/>
  <c r="E50" i="14" s="1"/>
  <c r="H173" i="12"/>
  <c r="F174" i="12"/>
  <c r="J173" i="12"/>
  <c r="I173" i="12"/>
  <c r="K173" i="12"/>
  <c r="M173" i="12"/>
  <c r="N173" i="12"/>
  <c r="O173" i="12"/>
  <c r="R173" i="12"/>
  <c r="S173" i="12"/>
  <c r="U173" i="12"/>
  <c r="V173" i="12"/>
  <c r="W173" i="12"/>
  <c r="Z173" i="12"/>
  <c r="AA173" i="12"/>
  <c r="AC173" i="12"/>
  <c r="AD173" i="12"/>
  <c r="AE173" i="12"/>
  <c r="AH173" i="12"/>
  <c r="AI173" i="12"/>
  <c r="AK173" i="12"/>
  <c r="AM7" i="7"/>
  <c r="AN3" i="7" s="1"/>
  <c r="AM4" i="7"/>
  <c r="AQ174" i="4"/>
  <c r="AQ178" i="4" s="1"/>
  <c r="AH85" i="14"/>
  <c r="AF139" i="13"/>
  <c r="AR41" i="12"/>
  <c r="AU134" i="12"/>
  <c r="AS51" i="14"/>
  <c r="AT12" i="14"/>
  <c r="C44" i="13"/>
  <c r="C45" i="13" s="1"/>
  <c r="X95" i="14"/>
  <c r="Y95" i="14" s="1"/>
  <c r="X20" i="13"/>
  <c r="Y20" i="13" s="1"/>
  <c r="AS108" i="12"/>
  <c r="U97" i="14"/>
  <c r="AD9" i="13"/>
  <c r="V155" i="13" l="1"/>
  <c r="V90" i="13" s="1"/>
  <c r="AE79" i="13"/>
  <c r="AE144" i="13"/>
  <c r="S161" i="13"/>
  <c r="S96" i="13" s="1"/>
  <c r="L103" i="13"/>
  <c r="L168" i="13"/>
  <c r="Y85" i="13"/>
  <c r="Y150" i="13"/>
  <c r="AD137" i="13"/>
  <c r="AD80" i="14" s="1"/>
  <c r="AH71" i="13"/>
  <c r="AH136" i="13"/>
  <c r="T157" i="13"/>
  <c r="T92" i="13" s="1"/>
  <c r="R160" i="13"/>
  <c r="R95" i="13" s="1"/>
  <c r="Y153" i="13"/>
  <c r="Y88" i="13" s="1"/>
  <c r="Z87" i="13"/>
  <c r="Z152" i="13"/>
  <c r="AD145" i="13"/>
  <c r="AD80" i="13" s="1"/>
  <c r="AI77" i="13"/>
  <c r="AI142" i="13"/>
  <c r="E108" i="12"/>
  <c r="E51" i="14" s="1"/>
  <c r="E42" i="12"/>
  <c r="M109" i="14"/>
  <c r="N109" i="14" s="1"/>
  <c r="N164" i="13"/>
  <c r="N99" i="13" s="1"/>
  <c r="Z20" i="13"/>
  <c r="AV134" i="12"/>
  <c r="AN7" i="7"/>
  <c r="AO3" i="7" s="1"/>
  <c r="AN4" i="7"/>
  <c r="AR174" i="4"/>
  <c r="AR178" i="4" s="1"/>
  <c r="I114" i="14"/>
  <c r="V99" i="14"/>
  <c r="AT42" i="12"/>
  <c r="AU2" i="12"/>
  <c r="AU1" i="13"/>
  <c r="AU68" i="12"/>
  <c r="AV1" i="12"/>
  <c r="L165" i="13"/>
  <c r="L108" i="14" s="1"/>
  <c r="AB3" i="13"/>
  <c r="Y82" i="13"/>
  <c r="Y90" i="14"/>
  <c r="X93" i="14"/>
  <c r="Y93" i="14" s="1"/>
  <c r="AE87" i="14"/>
  <c r="B47" i="14"/>
  <c r="B46" i="13"/>
  <c r="H41" i="13" s="1"/>
  <c r="B46" i="12"/>
  <c r="C46" i="12" s="1"/>
  <c r="Q93" i="13"/>
  <c r="U98" i="14"/>
  <c r="V98" i="14" s="1"/>
  <c r="K102" i="13"/>
  <c r="H42" i="12"/>
  <c r="F43" i="12"/>
  <c r="I42" i="12"/>
  <c r="J174" i="12" s="1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E116" i="14"/>
  <c r="G116" i="14" s="1"/>
  <c r="G108" i="13"/>
  <c r="H109" i="12"/>
  <c r="F110" i="12"/>
  <c r="I109" i="12"/>
  <c r="J109" i="12"/>
  <c r="K109" i="12"/>
  <c r="L174" i="12" s="1"/>
  <c r="L109" i="12"/>
  <c r="M109" i="12"/>
  <c r="N174" i="12" s="1"/>
  <c r="N109" i="12"/>
  <c r="O174" i="12" s="1"/>
  <c r="O109" i="12"/>
  <c r="P174" i="12" s="1"/>
  <c r="P109" i="12"/>
  <c r="Q109" i="12"/>
  <c r="R109" i="12"/>
  <c r="S109" i="12"/>
  <c r="T174" i="12" s="1"/>
  <c r="T109" i="12"/>
  <c r="U109" i="12"/>
  <c r="V174" i="12" s="1"/>
  <c r="V109" i="12"/>
  <c r="W174" i="12" s="1"/>
  <c r="W109" i="12"/>
  <c r="X174" i="12" s="1"/>
  <c r="X109" i="12"/>
  <c r="Y109" i="12"/>
  <c r="Z109" i="12"/>
  <c r="AA109" i="12"/>
  <c r="AB174" i="12" s="1"/>
  <c r="AB109" i="12"/>
  <c r="AC109" i="12"/>
  <c r="AD174" i="12" s="1"/>
  <c r="AD109" i="12"/>
  <c r="AE174" i="12" s="1"/>
  <c r="AE109" i="12"/>
  <c r="AF174" i="12" s="1"/>
  <c r="AF109" i="12"/>
  <c r="AG109" i="12"/>
  <c r="AH109" i="12"/>
  <c r="AI109" i="12"/>
  <c r="AJ174" i="12" s="1"/>
  <c r="AJ109" i="12"/>
  <c r="AK109" i="12"/>
  <c r="AL174" i="12" s="1"/>
  <c r="AL109" i="12"/>
  <c r="AM109" i="12"/>
  <c r="AN109" i="12"/>
  <c r="AO109" i="12"/>
  <c r="AP109" i="12"/>
  <c r="AQ109" i="12"/>
  <c r="AR109" i="12"/>
  <c r="AS109" i="12"/>
  <c r="AF82" i="14"/>
  <c r="AF7" i="13"/>
  <c r="Y18" i="13"/>
  <c r="T100" i="14"/>
  <c r="AB70" i="13"/>
  <c r="U89" i="13"/>
  <c r="AH7" i="15"/>
  <c r="AH18" i="15"/>
  <c r="AH14" i="15" s="1"/>
  <c r="K104" i="13"/>
  <c r="Q26" i="13"/>
  <c r="AB16" i="13"/>
  <c r="F44" i="13"/>
  <c r="E43" i="13" a="1"/>
  <c r="E43" i="13" s="1"/>
  <c r="AT11" i="14"/>
  <c r="AT76" i="14" s="1"/>
  <c r="AT68" i="13"/>
  <c r="V91" i="13"/>
  <c r="AU110" i="12"/>
  <c r="AV69" i="12"/>
  <c r="R28" i="13"/>
  <c r="AM10" i="15"/>
  <c r="AT30" i="4"/>
  <c r="Y96" i="14"/>
  <c r="AI10" i="13"/>
  <c r="AB83" i="13"/>
  <c r="AC81" i="14"/>
  <c r="AB78" i="14"/>
  <c r="AD12" i="13"/>
  <c r="AE12" i="13" s="1"/>
  <c r="N32" i="13"/>
  <c r="Z95" i="14"/>
  <c r="AT52" i="14"/>
  <c r="AU12" i="14"/>
  <c r="AN7" i="15"/>
  <c r="AN18" i="15"/>
  <c r="E174" i="13"/>
  <c r="E109" i="13"/>
  <c r="G42" i="13"/>
  <c r="I106" i="13"/>
  <c r="I171" i="13"/>
  <c r="I39" i="13" s="1"/>
  <c r="D41" i="13"/>
  <c r="D107" i="13"/>
  <c r="D115" i="14" s="1"/>
  <c r="J113" i="14"/>
  <c r="V151" i="13"/>
  <c r="V19" i="13" s="1"/>
  <c r="V23" i="13"/>
  <c r="AF74" i="13"/>
  <c r="AD5" i="13"/>
  <c r="K111" i="14"/>
  <c r="L111" i="14" s="1"/>
  <c r="P94" i="13"/>
  <c r="C46" i="13"/>
  <c r="AI85" i="14"/>
  <c r="H174" i="12"/>
  <c r="F175" i="12"/>
  <c r="I174" i="12"/>
  <c r="K174" i="12"/>
  <c r="M174" i="12"/>
  <c r="Q174" i="12"/>
  <c r="R174" i="12"/>
  <c r="S174" i="12"/>
  <c r="U174" i="12"/>
  <c r="Y174" i="12"/>
  <c r="Z174" i="12"/>
  <c r="AA174" i="12"/>
  <c r="AC174" i="12"/>
  <c r="AG174" i="12"/>
  <c r="AH174" i="12"/>
  <c r="AI174" i="12"/>
  <c r="AK174" i="12"/>
  <c r="F52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E84" i="14"/>
  <c r="AM32" i="4"/>
  <c r="AK164" i="12"/>
  <c r="AK165" i="12"/>
  <c r="AK166" i="12"/>
  <c r="AK167" i="12"/>
  <c r="AK168" i="12"/>
  <c r="AK169" i="12"/>
  <c r="AK170" i="12"/>
  <c r="AK172" i="12"/>
  <c r="AK171" i="12"/>
  <c r="K37" i="13"/>
  <c r="AT7" i="14"/>
  <c r="AW9" i="4"/>
  <c r="AV13" i="4"/>
  <c r="AT2" i="14" s="1"/>
  <c r="AV29" i="4"/>
  <c r="AP11" i="15" s="1"/>
  <c r="AV6" i="4"/>
  <c r="AV8" i="4"/>
  <c r="AV46" i="4" s="1"/>
  <c r="AC143" i="13"/>
  <c r="AC86" i="14" s="1"/>
  <c r="AD13" i="13"/>
  <c r="C46" i="14"/>
  <c r="C47" i="14" s="1"/>
  <c r="AG79" i="14"/>
  <c r="AH79" i="14" s="1"/>
  <c r="Y149" i="13"/>
  <c r="Y17" i="13" s="1"/>
  <c r="O163" i="13"/>
  <c r="O31" i="13" s="1"/>
  <c r="R103" i="14"/>
  <c r="R162" i="13"/>
  <c r="R97" i="13" s="1"/>
  <c r="AW134" i="13"/>
  <c r="AT109" i="12"/>
  <c r="AC6" i="13"/>
  <c r="T25" i="13"/>
  <c r="N101" i="13"/>
  <c r="N166" i="13"/>
  <c r="N34" i="13" s="1"/>
  <c r="Y21" i="13"/>
  <c r="S29" i="13"/>
  <c r="AC73" i="13"/>
  <c r="AC138" i="13"/>
  <c r="AE9" i="13"/>
  <c r="AE141" i="13"/>
  <c r="AE76" i="13" s="1"/>
  <c r="AM6" i="7"/>
  <c r="AQ177" i="4" s="1"/>
  <c r="AQ175" i="4"/>
  <c r="V94" i="14"/>
  <c r="I107" i="13"/>
  <c r="I172" i="13"/>
  <c r="I40" i="13" s="1"/>
  <c r="J105" i="13"/>
  <c r="J170" i="13"/>
  <c r="J38" i="13" s="1"/>
  <c r="P102" i="14"/>
  <c r="AA146" i="13"/>
  <c r="AA81" i="13" s="1"/>
  <c r="K36" i="13"/>
  <c r="L36" i="13" s="1"/>
  <c r="N107" i="14"/>
  <c r="O106" i="14"/>
  <c r="AO6" i="15"/>
  <c r="AS1" i="14"/>
  <c r="AS8" i="14"/>
  <c r="G45" i="11"/>
  <c r="J44" i="11"/>
  <c r="I44" i="11"/>
  <c r="H44" i="11"/>
  <c r="S104" i="14"/>
  <c r="AH4" i="13"/>
  <c r="AI6" i="15"/>
  <c r="AM8" i="14"/>
  <c r="AM1" i="14"/>
  <c r="AP13" i="4"/>
  <c r="AN2" i="14" s="1"/>
  <c r="AL32" i="4"/>
  <c r="AJ140" i="13"/>
  <c r="AJ8" i="13" s="1"/>
  <c r="AJ142" i="13"/>
  <c r="AJ163" i="12"/>
  <c r="AJ164" i="12"/>
  <c r="AJ165" i="12"/>
  <c r="AJ166" i="12"/>
  <c r="AJ167" i="12"/>
  <c r="AJ168" i="12"/>
  <c r="AJ169" i="12"/>
  <c r="AJ170" i="12"/>
  <c r="AJ171" i="12"/>
  <c r="AJ172" i="12"/>
  <c r="O164" i="13" l="1"/>
  <c r="O99" i="13" s="1"/>
  <c r="Z153" i="13"/>
  <c r="Z96" i="14" s="1"/>
  <c r="AB146" i="13"/>
  <c r="S160" i="13"/>
  <c r="S95" i="13" s="1"/>
  <c r="U157" i="13"/>
  <c r="U92" i="13" s="1"/>
  <c r="T161" i="13"/>
  <c r="T96" i="13" s="1"/>
  <c r="AF141" i="13"/>
  <c r="AF76" i="13" s="1"/>
  <c r="S162" i="13"/>
  <c r="S97" i="13" s="1"/>
  <c r="AE145" i="13"/>
  <c r="AE13" i="13" s="1"/>
  <c r="W155" i="13"/>
  <c r="W90" i="13" s="1"/>
  <c r="AI7" i="15"/>
  <c r="AI18" i="15"/>
  <c r="AU7" i="14"/>
  <c r="AW29" i="4"/>
  <c r="AQ11" i="15" s="1"/>
  <c r="AX9" i="4"/>
  <c r="AW6" i="4"/>
  <c r="AW8" i="4"/>
  <c r="AW46" i="4" s="1"/>
  <c r="AW13" i="4"/>
  <c r="AU2" i="14" s="1"/>
  <c r="AV12" i="14"/>
  <c r="AN32" i="4"/>
  <c r="AL165" i="12"/>
  <c r="AL166" i="12"/>
  <c r="AL167" i="12"/>
  <c r="AL169" i="12"/>
  <c r="AL168" i="12"/>
  <c r="AL170" i="12"/>
  <c r="AL171" i="12"/>
  <c r="AL173" i="12"/>
  <c r="AL172" i="12"/>
  <c r="AJ75" i="13"/>
  <c r="Z150" i="13"/>
  <c r="Z85" i="13" s="1"/>
  <c r="AD6" i="13"/>
  <c r="T29" i="13"/>
  <c r="F44" i="12"/>
  <c r="H43" i="12"/>
  <c r="I43" i="12"/>
  <c r="J43" i="12"/>
  <c r="K175" i="12" s="1"/>
  <c r="K43" i="12"/>
  <c r="L43" i="12"/>
  <c r="M43" i="12"/>
  <c r="N43" i="12"/>
  <c r="O43" i="12"/>
  <c r="P43" i="12"/>
  <c r="Q43" i="12"/>
  <c r="R43" i="12"/>
  <c r="S175" i="12" s="1"/>
  <c r="S43" i="12"/>
  <c r="T43" i="12"/>
  <c r="U43" i="12"/>
  <c r="V43" i="12"/>
  <c r="W43" i="12"/>
  <c r="X43" i="12"/>
  <c r="Y43" i="12"/>
  <c r="Z43" i="12"/>
  <c r="AA175" i="12" s="1"/>
  <c r="AA43" i="12"/>
  <c r="AB43" i="12"/>
  <c r="AC43" i="12"/>
  <c r="AD43" i="12"/>
  <c r="AE43" i="12"/>
  <c r="AF43" i="12"/>
  <c r="AG43" i="12"/>
  <c r="AH43" i="12"/>
  <c r="AI175" i="12" s="1"/>
  <c r="AI43" i="12"/>
  <c r="AJ43" i="12"/>
  <c r="AK43" i="12"/>
  <c r="AL43" i="12"/>
  <c r="AM43" i="12"/>
  <c r="AN43" i="12"/>
  <c r="AO43" i="12"/>
  <c r="AP43" i="12"/>
  <c r="AQ43" i="12"/>
  <c r="AR43" i="12"/>
  <c r="AS43" i="12"/>
  <c r="AJ83" i="14"/>
  <c r="L100" i="13"/>
  <c r="T104" i="14"/>
  <c r="AO7" i="15"/>
  <c r="AO18" i="15"/>
  <c r="Y92" i="14"/>
  <c r="B48" i="14"/>
  <c r="B47" i="13"/>
  <c r="B47" i="12"/>
  <c r="C47" i="12" s="1"/>
  <c r="O98" i="13"/>
  <c r="AC11" i="13"/>
  <c r="W23" i="13"/>
  <c r="J171" i="13"/>
  <c r="J106" i="13" s="1"/>
  <c r="AC78" i="13"/>
  <c r="AJ10" i="13"/>
  <c r="AW69" i="12"/>
  <c r="E44" i="13" a="1"/>
  <c r="E44" i="13" s="1"/>
  <c r="F45" i="13"/>
  <c r="V154" i="13"/>
  <c r="H108" i="13"/>
  <c r="L167" i="13"/>
  <c r="Z93" i="14"/>
  <c r="AO7" i="7"/>
  <c r="AP3" i="7" s="1"/>
  <c r="AO4" i="7"/>
  <c r="AS174" i="4"/>
  <c r="AS178" i="4" s="1"/>
  <c r="AA20" i="13"/>
  <c r="I115" i="14"/>
  <c r="J115" i="14" s="1"/>
  <c r="AA152" i="13"/>
  <c r="AA87" i="13" s="1"/>
  <c r="AJ6" i="15"/>
  <c r="AN8" i="14"/>
  <c r="AN1" i="14"/>
  <c r="AQ13" i="4"/>
  <c r="AO2" i="14" s="1"/>
  <c r="O107" i="14"/>
  <c r="H52" i="14"/>
  <c r="F53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J85" i="14"/>
  <c r="H42" i="13"/>
  <c r="O32" i="13"/>
  <c r="AC135" i="13"/>
  <c r="AC78" i="14" s="1"/>
  <c r="H116" i="14"/>
  <c r="W98" i="14"/>
  <c r="Z90" i="14"/>
  <c r="AU11" i="14"/>
  <c r="AU76" i="14" s="1"/>
  <c r="AU68" i="13"/>
  <c r="AT43" i="12"/>
  <c r="AW134" i="12"/>
  <c r="E109" i="12"/>
  <c r="E52" i="14" s="1"/>
  <c r="E43" i="12"/>
  <c r="J107" i="13"/>
  <c r="J172" i="13"/>
  <c r="J40" i="13" s="1"/>
  <c r="AP6" i="15"/>
  <c r="AT8" i="14"/>
  <c r="AT1" i="14"/>
  <c r="O166" i="13"/>
  <c r="O101" i="13" s="1"/>
  <c r="AX134" i="13"/>
  <c r="AN10" i="15"/>
  <c r="AU30" i="4"/>
  <c r="R30" i="13"/>
  <c r="S30" i="13" s="1"/>
  <c r="AD138" i="13"/>
  <c r="AD73" i="13" s="1"/>
  <c r="M36" i="13"/>
  <c r="K105" i="13"/>
  <c r="K170" i="13"/>
  <c r="K38" i="13" s="1"/>
  <c r="AF9" i="13"/>
  <c r="C47" i="13"/>
  <c r="E117" i="14"/>
  <c r="G117" i="14" s="1"/>
  <c r="H117" i="14" s="1"/>
  <c r="G109" i="13"/>
  <c r="H109" i="13" s="1"/>
  <c r="AC16" i="13"/>
  <c r="U100" i="14"/>
  <c r="R158" i="13"/>
  <c r="R101" i="14" s="1"/>
  <c r="Z82" i="13"/>
  <c r="Z147" i="13"/>
  <c r="AU44" i="12"/>
  <c r="AU43" i="12"/>
  <c r="AV2" i="12"/>
  <c r="G46" i="11"/>
  <c r="J45" i="11"/>
  <c r="I45" i="11"/>
  <c r="H45" i="11"/>
  <c r="U25" i="13"/>
  <c r="Y84" i="13"/>
  <c r="AF84" i="14"/>
  <c r="L33" i="13"/>
  <c r="V86" i="13"/>
  <c r="J15" i="2"/>
  <c r="Z18" i="13"/>
  <c r="H110" i="12"/>
  <c r="I110" i="12"/>
  <c r="F111" i="12"/>
  <c r="J110" i="12"/>
  <c r="K110" i="12"/>
  <c r="L110" i="12"/>
  <c r="M110" i="12"/>
  <c r="N110" i="12"/>
  <c r="O110" i="12"/>
  <c r="P175" i="12" s="1"/>
  <c r="P110" i="12"/>
  <c r="Q110" i="12"/>
  <c r="R110" i="12"/>
  <c r="S110" i="12"/>
  <c r="T175" i="12" s="1"/>
  <c r="T110" i="12"/>
  <c r="U110" i="12"/>
  <c r="V110" i="12"/>
  <c r="W110" i="12"/>
  <c r="X175" i="12" s="1"/>
  <c r="X110" i="12"/>
  <c r="Y110" i="12"/>
  <c r="Z110" i="12"/>
  <c r="AA110" i="12"/>
  <c r="AB175" i="12" s="1"/>
  <c r="AB110" i="12"/>
  <c r="AC110" i="12"/>
  <c r="AD110" i="12"/>
  <c r="AE110" i="12"/>
  <c r="AF175" i="12" s="1"/>
  <c r="AF110" i="12"/>
  <c r="AG110" i="12"/>
  <c r="AH110" i="12"/>
  <c r="AI110" i="12"/>
  <c r="AJ175" i="12" s="1"/>
  <c r="AJ110" i="12"/>
  <c r="AK110" i="12"/>
  <c r="AL110" i="12"/>
  <c r="AM110" i="12"/>
  <c r="AN110" i="12"/>
  <c r="AO110" i="12"/>
  <c r="AP110" i="12"/>
  <c r="AQ110" i="12"/>
  <c r="AR110" i="12"/>
  <c r="AS110" i="12"/>
  <c r="AT110" i="12"/>
  <c r="AD88" i="14"/>
  <c r="AE88" i="14" s="1"/>
  <c r="Q159" i="13"/>
  <c r="Q27" i="13" s="1"/>
  <c r="K113" i="14"/>
  <c r="S28" i="13"/>
  <c r="W91" i="13"/>
  <c r="W156" i="13"/>
  <c r="W24" i="13" s="1"/>
  <c r="L169" i="13"/>
  <c r="L112" i="14" s="1"/>
  <c r="AG139" i="13"/>
  <c r="AG7" i="13" s="1"/>
  <c r="AC3" i="13"/>
  <c r="W99" i="14"/>
  <c r="AJ77" i="13"/>
  <c r="AI136" i="13"/>
  <c r="AI71" i="13" s="1"/>
  <c r="M103" i="13"/>
  <c r="M168" i="13"/>
  <c r="AF144" i="13"/>
  <c r="AF87" i="14" s="1"/>
  <c r="AI79" i="14"/>
  <c r="M111" i="14"/>
  <c r="AG82" i="14"/>
  <c r="R105" i="14"/>
  <c r="S105" i="14" s="1"/>
  <c r="J114" i="14"/>
  <c r="C48" i="14"/>
  <c r="AD72" i="13"/>
  <c r="AA89" i="14"/>
  <c r="AA14" i="13"/>
  <c r="AB14" i="13" s="1"/>
  <c r="AI4" i="13"/>
  <c r="S103" i="14"/>
  <c r="D42" i="13"/>
  <c r="D108" i="13"/>
  <c r="D116" i="14" s="1"/>
  <c r="Z21" i="13"/>
  <c r="F176" i="12"/>
  <c r="H175" i="12"/>
  <c r="J175" i="12"/>
  <c r="I175" i="12"/>
  <c r="L175" i="12"/>
  <c r="M175" i="12"/>
  <c r="N175" i="12"/>
  <c r="O175" i="12"/>
  <c r="Q175" i="12"/>
  <c r="R175" i="12"/>
  <c r="U175" i="12"/>
  <c r="V175" i="12"/>
  <c r="W175" i="12"/>
  <c r="Y175" i="12"/>
  <c r="Z175" i="12"/>
  <c r="AC175" i="12"/>
  <c r="AD175" i="12"/>
  <c r="AE175" i="12"/>
  <c r="AG175" i="12"/>
  <c r="AH175" i="12"/>
  <c r="AK175" i="12"/>
  <c r="AL175" i="12"/>
  <c r="AG74" i="13"/>
  <c r="J39" i="13"/>
  <c r="AA95" i="14"/>
  <c r="AC148" i="13"/>
  <c r="AC91" i="14" s="1"/>
  <c r="E175" i="13"/>
  <c r="E110" i="13"/>
  <c r="G43" i="13"/>
  <c r="AV1" i="13"/>
  <c r="AV68" i="12"/>
  <c r="AW1" i="12"/>
  <c r="AN6" i="7"/>
  <c r="AR177" i="4" s="1"/>
  <c r="AR175" i="4"/>
  <c r="K106" i="13" l="1"/>
  <c r="K171" i="13"/>
  <c r="T160" i="13"/>
  <c r="T28" i="13" s="1"/>
  <c r="AE73" i="13"/>
  <c r="AE138" i="13"/>
  <c r="T97" i="13"/>
  <c r="T162" i="13"/>
  <c r="AA85" i="13"/>
  <c r="AA150" i="13"/>
  <c r="AA18" i="13" s="1"/>
  <c r="U161" i="13"/>
  <c r="U96" i="13" s="1"/>
  <c r="V92" i="13"/>
  <c r="V157" i="13"/>
  <c r="AB87" i="13"/>
  <c r="AB152" i="13"/>
  <c r="P101" i="13"/>
  <c r="P166" i="13"/>
  <c r="P99" i="13"/>
  <c r="P164" i="13"/>
  <c r="AG76" i="13"/>
  <c r="AG141" i="13"/>
  <c r="X90" i="13"/>
  <c r="X155" i="13"/>
  <c r="E118" i="14"/>
  <c r="G118" i="14" s="1"/>
  <c r="H118" i="14" s="1"/>
  <c r="G110" i="13"/>
  <c r="H110" i="13" s="1"/>
  <c r="AE137" i="13"/>
  <c r="X99" i="14"/>
  <c r="B49" i="14"/>
  <c r="B48" i="13"/>
  <c r="B48" i="12"/>
  <c r="C48" i="12" s="1"/>
  <c r="P32" i="13"/>
  <c r="AP4" i="7"/>
  <c r="AP7" i="7"/>
  <c r="AQ3" i="7" s="1"/>
  <c r="AT174" i="4"/>
  <c r="AT178" i="4" s="1"/>
  <c r="E176" i="13"/>
  <c r="E111" i="13"/>
  <c r="G44" i="13"/>
  <c r="AD143" i="13"/>
  <c r="AD86" i="14" s="1"/>
  <c r="AK83" i="14"/>
  <c r="AK75" i="13"/>
  <c r="AK140" i="13"/>
  <c r="AK8" i="13" s="1"/>
  <c r="AV7" i="14"/>
  <c r="AX29" i="4"/>
  <c r="AR11" i="15" s="1"/>
  <c r="AX8" i="4"/>
  <c r="AX46" i="4" s="1"/>
  <c r="AY9" i="4"/>
  <c r="AX13" i="4"/>
  <c r="AV2" i="14" s="1"/>
  <c r="AX6" i="4"/>
  <c r="C49" i="14"/>
  <c r="AF12" i="13"/>
  <c r="AY134" i="13"/>
  <c r="AA90" i="14"/>
  <c r="H53" i="14"/>
  <c r="F54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J7" i="15"/>
  <c r="AJ18" i="15"/>
  <c r="AJ14" i="15" s="1"/>
  <c r="AA93" i="14"/>
  <c r="AD81" i="14"/>
  <c r="AE81" i="14" s="1"/>
  <c r="AE80" i="13"/>
  <c r="Z88" i="13"/>
  <c r="H43" i="13"/>
  <c r="AH139" i="13"/>
  <c r="AH74" i="13" s="1"/>
  <c r="F177" i="12"/>
  <c r="H176" i="12"/>
  <c r="K176" i="12"/>
  <c r="L176" i="12"/>
  <c r="S176" i="12"/>
  <c r="T176" i="12"/>
  <c r="AA176" i="12"/>
  <c r="AB176" i="12"/>
  <c r="AI176" i="12"/>
  <c r="AJ176" i="12"/>
  <c r="AB89" i="14"/>
  <c r="AK77" i="13"/>
  <c r="AK142" i="13"/>
  <c r="AK85" i="14" s="1"/>
  <c r="D43" i="13"/>
  <c r="D109" i="13"/>
  <c r="D117" i="14" s="1"/>
  <c r="O109" i="14"/>
  <c r="P109" i="14" s="1"/>
  <c r="AF79" i="13"/>
  <c r="H111" i="12"/>
  <c r="I111" i="12"/>
  <c r="F112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L35" i="13"/>
  <c r="L110" i="14"/>
  <c r="AW12" i="14"/>
  <c r="O34" i="13"/>
  <c r="P34" i="13" s="1"/>
  <c r="AV44" i="12"/>
  <c r="AW2" i="12"/>
  <c r="I109" i="13"/>
  <c r="I174" i="13"/>
  <c r="I117" i="14" s="1"/>
  <c r="AP7" i="15"/>
  <c r="AP18" i="15"/>
  <c r="X98" i="14"/>
  <c r="AW1" i="13"/>
  <c r="AW68" i="12"/>
  <c r="AX1" i="12"/>
  <c r="AC83" i="13"/>
  <c r="K114" i="14"/>
  <c r="Q94" i="13"/>
  <c r="W151" i="13"/>
  <c r="W86" i="13" s="1"/>
  <c r="J46" i="11"/>
  <c r="I46" i="11"/>
  <c r="H46" i="11"/>
  <c r="G47" i="11"/>
  <c r="Z15" i="13"/>
  <c r="AA15" i="13" s="1"/>
  <c r="T30" i="13"/>
  <c r="L102" i="13"/>
  <c r="AV111" i="12"/>
  <c r="X23" i="13"/>
  <c r="Z92" i="14"/>
  <c r="U29" i="13"/>
  <c r="AI14" i="15"/>
  <c r="AU53" i="14"/>
  <c r="AB95" i="14"/>
  <c r="AJ4" i="13"/>
  <c r="AJ136" i="13"/>
  <c r="AJ71" i="13" s="1"/>
  <c r="AQ6" i="15"/>
  <c r="AU8" i="14"/>
  <c r="AU1" i="14"/>
  <c r="N168" i="13"/>
  <c r="N111" i="14" s="1"/>
  <c r="M33" i="13"/>
  <c r="AA82" i="13"/>
  <c r="AA147" i="13"/>
  <c r="C48" i="13"/>
  <c r="AO10" i="15"/>
  <c r="AO14" i="15" s="1"/>
  <c r="AV30" i="4"/>
  <c r="K172" i="13"/>
  <c r="K107" i="13" s="1"/>
  <c r="P107" i="14"/>
  <c r="I173" i="13"/>
  <c r="I41" i="13" s="1"/>
  <c r="AX69" i="12"/>
  <c r="AW112" i="12"/>
  <c r="L37" i="13"/>
  <c r="AV11" i="14"/>
  <c r="AV76" i="14" s="1"/>
  <c r="AV68" i="13"/>
  <c r="T105" i="14"/>
  <c r="L104" i="13"/>
  <c r="AG84" i="14"/>
  <c r="AG9" i="13"/>
  <c r="AN14" i="15"/>
  <c r="AR176" i="12" s="1"/>
  <c r="E110" i="12"/>
  <c r="E53" i="14" s="1"/>
  <c r="E44" i="12"/>
  <c r="AC70" i="13"/>
  <c r="AK6" i="15"/>
  <c r="AO8" i="14"/>
  <c r="AO1" i="14"/>
  <c r="AR13" i="4"/>
  <c r="AP2" i="14" s="1"/>
  <c r="AB20" i="13"/>
  <c r="V97" i="14"/>
  <c r="V22" i="13"/>
  <c r="AD11" i="13"/>
  <c r="AE6" i="13"/>
  <c r="K39" i="13"/>
  <c r="AH82" i="14"/>
  <c r="X24" i="13"/>
  <c r="R26" i="13"/>
  <c r="Z149" i="13"/>
  <c r="Z17" i="13" s="1"/>
  <c r="R93" i="13"/>
  <c r="V89" i="13"/>
  <c r="P163" i="13"/>
  <c r="U104" i="14"/>
  <c r="AB81" i="13"/>
  <c r="X156" i="13"/>
  <c r="X91" i="13" s="1"/>
  <c r="V25" i="13"/>
  <c r="V100" i="14"/>
  <c r="L170" i="13"/>
  <c r="L113" i="14" s="1"/>
  <c r="AX134" i="12"/>
  <c r="AS175" i="4"/>
  <c r="AO6" i="7"/>
  <c r="AS177" i="4" s="1"/>
  <c r="BY177" i="4" s="1"/>
  <c r="F46" i="13"/>
  <c r="E45" i="13" a="1"/>
  <c r="E45" i="13" s="1"/>
  <c r="Q102" i="14"/>
  <c r="M100" i="13"/>
  <c r="M165" i="13"/>
  <c r="M108" i="14" s="1"/>
  <c r="H44" i="12"/>
  <c r="I176" i="12" s="1"/>
  <c r="F45" i="12"/>
  <c r="AV45" i="12" s="1"/>
  <c r="I44" i="12"/>
  <c r="J176" i="12" s="1"/>
  <c r="J44" i="12"/>
  <c r="K44" i="12"/>
  <c r="L44" i="12"/>
  <c r="M176" i="12" s="1"/>
  <c r="M44" i="12"/>
  <c r="N176" i="12" s="1"/>
  <c r="N44" i="12"/>
  <c r="O176" i="12" s="1"/>
  <c r="O44" i="12"/>
  <c r="P176" i="12" s="1"/>
  <c r="P44" i="12"/>
  <c r="Q176" i="12" s="1"/>
  <c r="Q44" i="12"/>
  <c r="R176" i="12" s="1"/>
  <c r="R44" i="12"/>
  <c r="S44" i="12"/>
  <c r="T44" i="12"/>
  <c r="U176" i="12" s="1"/>
  <c r="U44" i="12"/>
  <c r="V176" i="12" s="1"/>
  <c r="V44" i="12"/>
  <c r="W176" i="12" s="1"/>
  <c r="W44" i="12"/>
  <c r="X176" i="12" s="1"/>
  <c r="X44" i="12"/>
  <c r="Y176" i="12" s="1"/>
  <c r="Y44" i="12"/>
  <c r="Z176" i="12" s="1"/>
  <c r="Z44" i="12"/>
  <c r="AA44" i="12"/>
  <c r="AB44" i="12"/>
  <c r="AC176" i="12" s="1"/>
  <c r="AC44" i="12"/>
  <c r="AD176" i="12" s="1"/>
  <c r="AD44" i="12"/>
  <c r="AE176" i="12" s="1"/>
  <c r="AE44" i="12"/>
  <c r="AF176" i="12" s="1"/>
  <c r="AF44" i="12"/>
  <c r="AG176" i="12" s="1"/>
  <c r="AG44" i="12"/>
  <c r="AH176" i="12" s="1"/>
  <c r="AH44" i="12"/>
  <c r="AI44" i="12"/>
  <c r="AJ44" i="12"/>
  <c r="AK176" i="12" s="1"/>
  <c r="AK44" i="12"/>
  <c r="AL176" i="12" s="1"/>
  <c r="AL44" i="12"/>
  <c r="AM176" i="12" s="1"/>
  <c r="AM44" i="12"/>
  <c r="AN176" i="12" s="1"/>
  <c r="AN44" i="12"/>
  <c r="AO44" i="12"/>
  <c r="AP44" i="12"/>
  <c r="AQ44" i="12"/>
  <c r="AR44" i="12"/>
  <c r="AS176" i="12" s="1"/>
  <c r="AS44" i="12"/>
  <c r="AT44" i="12"/>
  <c r="AI139" i="13" l="1"/>
  <c r="AI74" i="13" s="1"/>
  <c r="AK136" i="13"/>
  <c r="AK71" i="13" s="1"/>
  <c r="X86" i="13"/>
  <c r="X151" i="13"/>
  <c r="Y156" i="13"/>
  <c r="Y91" i="13" s="1"/>
  <c r="V161" i="13"/>
  <c r="V96" i="13" s="1"/>
  <c r="AO176" i="12"/>
  <c r="P31" i="13"/>
  <c r="P106" i="14"/>
  <c r="AI82" i="14"/>
  <c r="L105" i="13"/>
  <c r="P98" i="13"/>
  <c r="AP10" i="15"/>
  <c r="AW30" i="4"/>
  <c r="AL75" i="13"/>
  <c r="AL140" i="13"/>
  <c r="AL83" i="14" s="1"/>
  <c r="AM83" i="14" s="1"/>
  <c r="AQ7" i="7"/>
  <c r="AR3" i="7" s="1"/>
  <c r="AQ4" i="7"/>
  <c r="AU174" i="4"/>
  <c r="AU178" i="4" s="1"/>
  <c r="Y99" i="14"/>
  <c r="R94" i="13"/>
  <c r="R159" i="13"/>
  <c r="R27" i="13" s="1"/>
  <c r="AG144" i="13"/>
  <c r="AG87" i="14" s="1"/>
  <c r="AP6" i="7"/>
  <c r="AT177" i="4" s="1"/>
  <c r="AT175" i="4"/>
  <c r="AJ79" i="14"/>
  <c r="Y155" i="13"/>
  <c r="Y90" i="13" s="1"/>
  <c r="Q101" i="13"/>
  <c r="Q166" i="13"/>
  <c r="W157" i="13"/>
  <c r="W25" i="13" s="1"/>
  <c r="AB85" i="13"/>
  <c r="AB150" i="13"/>
  <c r="AB18" i="13" s="1"/>
  <c r="AY69" i="12"/>
  <c r="AU32" i="4"/>
  <c r="AS172" i="12"/>
  <c r="AS174" i="12"/>
  <c r="AS173" i="12"/>
  <c r="AS175" i="12"/>
  <c r="Y23" i="13"/>
  <c r="K40" i="13"/>
  <c r="W154" i="13"/>
  <c r="W97" i="14" s="1"/>
  <c r="R102" i="14"/>
  <c r="AY134" i="12"/>
  <c r="S158" i="13"/>
  <c r="S101" i="14" s="1"/>
  <c r="AC95" i="14"/>
  <c r="G48" i="11"/>
  <c r="J47" i="11"/>
  <c r="I47" i="11"/>
  <c r="H47" i="11"/>
  <c r="Q109" i="14"/>
  <c r="H177" i="12"/>
  <c r="F178" i="12"/>
  <c r="M177" i="12"/>
  <c r="N177" i="12"/>
  <c r="U177" i="12"/>
  <c r="V177" i="12"/>
  <c r="AC177" i="12"/>
  <c r="AD177" i="12"/>
  <c r="AK177" i="12"/>
  <c r="AL177" i="12"/>
  <c r="AS177" i="12"/>
  <c r="AP32" i="4"/>
  <c r="AN167" i="12"/>
  <c r="AN168" i="12"/>
  <c r="AN169" i="12"/>
  <c r="AN170" i="12"/>
  <c r="AN171" i="12"/>
  <c r="AN172" i="12"/>
  <c r="AN173" i="12"/>
  <c r="AN174" i="12"/>
  <c r="F55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R6" i="15"/>
  <c r="AV8" i="14"/>
  <c r="AV1" i="14"/>
  <c r="AE80" i="14"/>
  <c r="AE5" i="13"/>
  <c r="L38" i="13"/>
  <c r="T103" i="14"/>
  <c r="AW7" i="14"/>
  <c r="AY13" i="4"/>
  <c r="AW2" i="14" s="1"/>
  <c r="AY29" i="4"/>
  <c r="AS11" i="15" s="1"/>
  <c r="AZ9" i="4"/>
  <c r="AY8" i="4"/>
  <c r="AY46" i="4" s="1"/>
  <c r="AY6" i="4"/>
  <c r="AD78" i="13"/>
  <c r="N36" i="13"/>
  <c r="AE72" i="13"/>
  <c r="AH7" i="13"/>
  <c r="AI7" i="13" s="1"/>
  <c r="AN175" i="12"/>
  <c r="AR175" i="12"/>
  <c r="T95" i="13"/>
  <c r="E46" i="13" a="1"/>
  <c r="E46" i="13" s="1"/>
  <c r="F47" i="13"/>
  <c r="H45" i="12"/>
  <c r="F46" i="12"/>
  <c r="I45" i="12"/>
  <c r="J177" i="12" s="1"/>
  <c r="J45" i="12"/>
  <c r="K177" i="12" s="1"/>
  <c r="K45" i="12"/>
  <c r="L177" i="12" s="1"/>
  <c r="L45" i="12"/>
  <c r="M45" i="12"/>
  <c r="N45" i="12"/>
  <c r="O177" i="12" s="1"/>
  <c r="O45" i="12"/>
  <c r="P177" i="12" s="1"/>
  <c r="P45" i="12"/>
  <c r="Q177" i="12" s="1"/>
  <c r="Q45" i="12"/>
  <c r="R177" i="12" s="1"/>
  <c r="R45" i="12"/>
  <c r="S177" i="12" s="1"/>
  <c r="S45" i="12"/>
  <c r="T177" i="12" s="1"/>
  <c r="T45" i="12"/>
  <c r="U45" i="12"/>
  <c r="V45" i="12"/>
  <c r="W177" i="12" s="1"/>
  <c r="W45" i="12"/>
  <c r="X177" i="12" s="1"/>
  <c r="X45" i="12"/>
  <c r="Y177" i="12" s="1"/>
  <c r="Y45" i="12"/>
  <c r="Z177" i="12" s="1"/>
  <c r="Z45" i="12"/>
  <c r="AA177" i="12" s="1"/>
  <c r="AA45" i="12"/>
  <c r="AB177" i="12" s="1"/>
  <c r="AB45" i="12"/>
  <c r="AC45" i="12"/>
  <c r="AD45" i="12"/>
  <c r="AE177" i="12" s="1"/>
  <c r="AE45" i="12"/>
  <c r="AF177" i="12" s="1"/>
  <c r="AF45" i="12"/>
  <c r="AG177" i="12" s="1"/>
  <c r="AG45" i="12"/>
  <c r="AH177" i="12" s="1"/>
  <c r="AH45" i="12"/>
  <c r="AI177" i="12" s="1"/>
  <c r="AI45" i="12"/>
  <c r="AJ177" i="12" s="1"/>
  <c r="AJ45" i="12"/>
  <c r="AK45" i="12"/>
  <c r="AL45" i="12"/>
  <c r="AM177" i="12" s="1"/>
  <c r="AM45" i="12"/>
  <c r="AN177" i="12" s="1"/>
  <c r="AN45" i="12"/>
  <c r="AO177" i="12" s="1"/>
  <c r="AO45" i="12"/>
  <c r="AP45" i="12"/>
  <c r="AQ45" i="12"/>
  <c r="AR177" i="12" s="1"/>
  <c r="AR45" i="12"/>
  <c r="AS45" i="12"/>
  <c r="AT45" i="12"/>
  <c r="AU45" i="12"/>
  <c r="U42" i="5"/>
  <c r="X153" i="6"/>
  <c r="V104" i="14"/>
  <c r="U105" i="14"/>
  <c r="N165" i="13"/>
  <c r="N33" i="13" s="1"/>
  <c r="W100" i="14"/>
  <c r="AK7" i="15"/>
  <c r="AK18" i="15"/>
  <c r="AK14" i="15" s="1"/>
  <c r="I108" i="13"/>
  <c r="N103" i="13"/>
  <c r="L114" i="14"/>
  <c r="AK10" i="13"/>
  <c r="AD135" i="13"/>
  <c r="K115" i="14"/>
  <c r="M102" i="13"/>
  <c r="M167" i="13"/>
  <c r="B50" i="14"/>
  <c r="C50" i="14" s="1"/>
  <c r="B49" i="13"/>
  <c r="C49" i="13" s="1"/>
  <c r="B49" i="12"/>
  <c r="C49" i="12" s="1"/>
  <c r="E177" i="13"/>
  <c r="E112" i="13"/>
  <c r="G45" i="13"/>
  <c r="Z84" i="13"/>
  <c r="E111" i="12"/>
  <c r="E54" i="14" s="1"/>
  <c r="E45" i="12"/>
  <c r="AD148" i="13"/>
  <c r="AD83" i="13" s="1"/>
  <c r="AW55" i="14"/>
  <c r="AX12" i="14"/>
  <c r="D110" i="13"/>
  <c r="D118" i="14" s="1"/>
  <c r="D44" i="13"/>
  <c r="I42" i="13"/>
  <c r="AZ134" i="13"/>
  <c r="H44" i="13"/>
  <c r="AC146" i="13"/>
  <c r="M169" i="13"/>
  <c r="M112" i="14" s="1"/>
  <c r="AB82" i="13"/>
  <c r="AB147" i="13"/>
  <c r="AB15" i="13" s="1"/>
  <c r="I116" i="14"/>
  <c r="AX1" i="13"/>
  <c r="AX68" i="12"/>
  <c r="AY1" i="12"/>
  <c r="M110" i="14"/>
  <c r="H112" i="12"/>
  <c r="I177" i="12" s="1"/>
  <c r="F113" i="12"/>
  <c r="AX113" i="12" s="1"/>
  <c r="J112" i="12"/>
  <c r="I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I175" i="13"/>
  <c r="I43" i="13" s="1"/>
  <c r="E119" i="14"/>
  <c r="G119" i="14" s="1"/>
  <c r="G111" i="13"/>
  <c r="AH141" i="13"/>
  <c r="AH76" i="13" s="1"/>
  <c r="AC87" i="13"/>
  <c r="AC152" i="13"/>
  <c r="AC20" i="13" s="1"/>
  <c r="U162" i="13"/>
  <c r="U30" i="13" s="1"/>
  <c r="L171" i="13"/>
  <c r="L39" i="13" s="1"/>
  <c r="Y24" i="13"/>
  <c r="AO32" i="4"/>
  <c r="AM140" i="13"/>
  <c r="AM166" i="12"/>
  <c r="AM167" i="12"/>
  <c r="AM168" i="12"/>
  <c r="AM169" i="12"/>
  <c r="AM170" i="12"/>
  <c r="AM171" i="12"/>
  <c r="AM172" i="12"/>
  <c r="AM173" i="12"/>
  <c r="AM175" i="12"/>
  <c r="AM174" i="12"/>
  <c r="Q34" i="13"/>
  <c r="M35" i="13"/>
  <c r="AL142" i="13"/>
  <c r="AL77" i="13" s="1"/>
  <c r="AA88" i="13"/>
  <c r="AA153" i="13"/>
  <c r="AL6" i="15"/>
  <c r="AP1" i="14"/>
  <c r="AP8" i="14"/>
  <c r="AS13" i="4"/>
  <c r="AQ2" i="14" s="1"/>
  <c r="AT32" i="4"/>
  <c r="AR171" i="12"/>
  <c r="AR172" i="12"/>
  <c r="AR173" i="12"/>
  <c r="AR174" i="12"/>
  <c r="AQ7" i="15"/>
  <c r="AQ18" i="15"/>
  <c r="V29" i="13"/>
  <c r="W19" i="13"/>
  <c r="X19" i="13" s="1"/>
  <c r="W94" i="14"/>
  <c r="AW11" i="14"/>
  <c r="AW76" i="14" s="1"/>
  <c r="AW68" i="13"/>
  <c r="AW45" i="12"/>
  <c r="AW46" i="12"/>
  <c r="AX2" i="12"/>
  <c r="AV54" i="14"/>
  <c r="AF145" i="13"/>
  <c r="AL8" i="13"/>
  <c r="AM8" i="13" s="1"/>
  <c r="Q99" i="13"/>
  <c r="Q164" i="13"/>
  <c r="Q32" i="13" s="1"/>
  <c r="AF138" i="13"/>
  <c r="AF6" i="13" s="1"/>
  <c r="AE148" i="13" l="1"/>
  <c r="AE83" i="13" s="1"/>
  <c r="Z91" i="13"/>
  <c r="Z156" i="13"/>
  <c r="AI76" i="13"/>
  <c r="AI141" i="13"/>
  <c r="Z90" i="13"/>
  <c r="Z155" i="13"/>
  <c r="AM77" i="13"/>
  <c r="AM142" i="13"/>
  <c r="AL71" i="13"/>
  <c r="AL136" i="13"/>
  <c r="V162" i="13"/>
  <c r="V30" i="13" s="1"/>
  <c r="AJ139" i="13"/>
  <c r="AJ82" i="14" s="1"/>
  <c r="AY1" i="13"/>
  <c r="AY68" i="12"/>
  <c r="AZ1" i="12"/>
  <c r="M104" i="13"/>
  <c r="O168" i="13"/>
  <c r="O111" i="14" s="1"/>
  <c r="N100" i="13"/>
  <c r="E47" i="13" a="1"/>
  <c r="E47" i="13" s="1"/>
  <c r="F48" i="13"/>
  <c r="AE78" i="13"/>
  <c r="AE143" i="13"/>
  <c r="AR7" i="15"/>
  <c r="AR18" i="15"/>
  <c r="S93" i="13"/>
  <c r="W92" i="13"/>
  <c r="Z99" i="14"/>
  <c r="Y98" i="14"/>
  <c r="Z98" i="14" s="1"/>
  <c r="M170" i="13"/>
  <c r="M113" i="14" s="1"/>
  <c r="I110" i="13"/>
  <c r="AC147" i="13"/>
  <c r="AC82" i="13" s="1"/>
  <c r="E120" i="14"/>
  <c r="G120" i="14" s="1"/>
  <c r="H120" i="14" s="1"/>
  <c r="G112" i="13"/>
  <c r="AH84" i="14"/>
  <c r="AI84" i="14" s="1"/>
  <c r="W161" i="13"/>
  <c r="W29" i="13" s="1"/>
  <c r="AB90" i="14"/>
  <c r="U97" i="13"/>
  <c r="AG12" i="13"/>
  <c r="AX56" i="14"/>
  <c r="AY12" i="14"/>
  <c r="AD3" i="13"/>
  <c r="AD78" i="14"/>
  <c r="J108" i="13"/>
  <c r="J173" i="13"/>
  <c r="J41" i="13" s="1"/>
  <c r="E178" i="13"/>
  <c r="E113" i="13"/>
  <c r="G46" i="13"/>
  <c r="F56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W89" i="13"/>
  <c r="N108" i="14"/>
  <c r="AA149" i="13"/>
  <c r="X94" i="14"/>
  <c r="AL7" i="15"/>
  <c r="AL18" i="15"/>
  <c r="AL14" i="15" s="1"/>
  <c r="R166" i="13"/>
  <c r="R34" i="13" s="1"/>
  <c r="L106" i="13"/>
  <c r="M171" i="13" s="1"/>
  <c r="H111" i="13"/>
  <c r="BA134" i="13"/>
  <c r="AD91" i="14"/>
  <c r="AE91" i="14" s="1"/>
  <c r="AD16" i="13"/>
  <c r="AE16" i="13" s="1"/>
  <c r="H45" i="13"/>
  <c r="L115" i="14"/>
  <c r="B51" i="14"/>
  <c r="C51" i="14" s="1"/>
  <c r="B50" i="13"/>
  <c r="C50" i="13" s="1"/>
  <c r="B50" i="12"/>
  <c r="C50" i="12" s="1"/>
  <c r="AK4" i="13"/>
  <c r="AL4" i="13" s="1"/>
  <c r="AH9" i="13"/>
  <c r="AI9" i="13" s="1"/>
  <c r="AF81" i="14"/>
  <c r="Q98" i="13"/>
  <c r="Q163" i="13"/>
  <c r="AF73" i="13"/>
  <c r="I118" i="14"/>
  <c r="H119" i="14"/>
  <c r="R164" i="13"/>
  <c r="R32" i="13" s="1"/>
  <c r="AA96" i="14"/>
  <c r="AA21" i="13"/>
  <c r="AX11" i="14"/>
  <c r="AX76" i="14" s="1"/>
  <c r="AX68" i="13"/>
  <c r="S26" i="13"/>
  <c r="Q107" i="14"/>
  <c r="AD70" i="13"/>
  <c r="AQ32" i="4"/>
  <c r="AO168" i="12"/>
  <c r="AO169" i="12"/>
  <c r="AO170" i="12"/>
  <c r="AO171" i="12"/>
  <c r="AO172" i="12"/>
  <c r="AO173" i="12"/>
  <c r="AO174" i="12"/>
  <c r="AO175" i="12"/>
  <c r="U95" i="13"/>
  <c r="U160" i="13"/>
  <c r="U28" i="13" s="1"/>
  <c r="H48" i="11"/>
  <c r="G49" i="11"/>
  <c r="J48" i="11"/>
  <c r="I48" i="11"/>
  <c r="AZ69" i="12"/>
  <c r="R101" i="13"/>
  <c r="AB93" i="14"/>
  <c r="AQ6" i="7"/>
  <c r="AU177" i="4" s="1"/>
  <c r="AU175" i="4"/>
  <c r="AM6" i="15"/>
  <c r="AQ8" i="14"/>
  <c r="AQ1" i="14"/>
  <c r="AD152" i="13"/>
  <c r="AD20" i="13" s="1"/>
  <c r="J116" i="14"/>
  <c r="E46" i="12"/>
  <c r="E112" i="12"/>
  <c r="E55" i="14" s="1"/>
  <c r="L172" i="13"/>
  <c r="L107" i="13" s="1"/>
  <c r="AR4" i="7"/>
  <c r="AR7" i="7"/>
  <c r="AS3" i="7" s="1"/>
  <c r="AV174" i="4"/>
  <c r="AV178" i="4" s="1"/>
  <c r="AQ10" i="15"/>
  <c r="AX30" i="4"/>
  <c r="Q106" i="14"/>
  <c r="AB153" i="13"/>
  <c r="AB88" i="13" s="1"/>
  <c r="W22" i="13"/>
  <c r="W104" i="14"/>
  <c r="H178" i="12"/>
  <c r="F179" i="12"/>
  <c r="L178" i="12"/>
  <c r="M178" i="12"/>
  <c r="T178" i="12"/>
  <c r="U178" i="12"/>
  <c r="AB178" i="12"/>
  <c r="AC178" i="12"/>
  <c r="AJ178" i="12"/>
  <c r="AK178" i="12"/>
  <c r="AR178" i="12"/>
  <c r="AS178" i="12"/>
  <c r="AZ134" i="12"/>
  <c r="AG79" i="13"/>
  <c r="AP14" i="15"/>
  <c r="Q31" i="13"/>
  <c r="AL85" i="14"/>
  <c r="AM85" i="14" s="1"/>
  <c r="V105" i="14"/>
  <c r="AX7" i="14"/>
  <c r="BA9" i="4"/>
  <c r="AZ8" i="4"/>
  <c r="AZ46" i="4" s="1"/>
  <c r="AZ29" i="4"/>
  <c r="AT11" i="15" s="1"/>
  <c r="AZ13" i="4"/>
  <c r="AX2" i="14" s="1"/>
  <c r="AZ6" i="4"/>
  <c r="AD95" i="14"/>
  <c r="AF88" i="14"/>
  <c r="AF13" i="13"/>
  <c r="AC14" i="13"/>
  <c r="AF80" i="13"/>
  <c r="AX47" i="12"/>
  <c r="AX46" i="12"/>
  <c r="AY2" i="12"/>
  <c r="Z24" i="13"/>
  <c r="H113" i="12"/>
  <c r="F114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C81" i="13"/>
  <c r="J174" i="13"/>
  <c r="AL10" i="13"/>
  <c r="AM10" i="13" s="1"/>
  <c r="AJ7" i="13"/>
  <c r="AS6" i="15"/>
  <c r="AW8" i="14"/>
  <c r="AW1" i="14"/>
  <c r="M37" i="13"/>
  <c r="AC89" i="14"/>
  <c r="AK79" i="14"/>
  <c r="AL79" i="14" s="1"/>
  <c r="S27" i="13"/>
  <c r="AM75" i="13"/>
  <c r="Y151" i="13"/>
  <c r="Y86" i="13" s="1"/>
  <c r="D111" i="13"/>
  <c r="D119" i="14" s="1"/>
  <c r="D45" i="13"/>
  <c r="N167" i="13"/>
  <c r="N102" i="13" s="1"/>
  <c r="H46" i="12"/>
  <c r="I178" i="12" s="1"/>
  <c r="F47" i="12"/>
  <c r="I46" i="12"/>
  <c r="J178" i="12" s="1"/>
  <c r="J46" i="12"/>
  <c r="K178" i="12" s="1"/>
  <c r="K46" i="12"/>
  <c r="L46" i="12"/>
  <c r="M46" i="12"/>
  <c r="N178" i="12" s="1"/>
  <c r="N46" i="12"/>
  <c r="O178" i="12" s="1"/>
  <c r="O46" i="12"/>
  <c r="P178" i="12" s="1"/>
  <c r="P46" i="12"/>
  <c r="Q178" i="12" s="1"/>
  <c r="Q46" i="12"/>
  <c r="R178" i="12" s="1"/>
  <c r="R46" i="12"/>
  <c r="S178" i="12" s="1"/>
  <c r="S46" i="12"/>
  <c r="T46" i="12"/>
  <c r="U46" i="12"/>
  <c r="V178" i="12" s="1"/>
  <c r="V46" i="12"/>
  <c r="W178" i="12" s="1"/>
  <c r="W46" i="12"/>
  <c r="X178" i="12" s="1"/>
  <c r="X46" i="12"/>
  <c r="Y178" i="12" s="1"/>
  <c r="Y46" i="12"/>
  <c r="Z178" i="12" s="1"/>
  <c r="Z46" i="12"/>
  <c r="AA178" i="12" s="1"/>
  <c r="AA46" i="12"/>
  <c r="AB46" i="12"/>
  <c r="AC46" i="12"/>
  <c r="AD178" i="12" s="1"/>
  <c r="AD46" i="12"/>
  <c r="AE178" i="12" s="1"/>
  <c r="AE46" i="12"/>
  <c r="AF178" i="12" s="1"/>
  <c r="AF46" i="12"/>
  <c r="AG178" i="12" s="1"/>
  <c r="AG46" i="12"/>
  <c r="AH178" i="12" s="1"/>
  <c r="AH46" i="12"/>
  <c r="AI178" i="12" s="1"/>
  <c r="AI46" i="12"/>
  <c r="AJ46" i="12"/>
  <c r="AK46" i="12"/>
  <c r="AL178" i="12" s="1"/>
  <c r="AL46" i="12"/>
  <c r="AM178" i="12" s="1"/>
  <c r="AM46" i="12"/>
  <c r="AN178" i="12" s="1"/>
  <c r="AN46" i="12"/>
  <c r="AO178" i="12" s="1"/>
  <c r="AO46" i="12"/>
  <c r="AP178" i="12" s="1"/>
  <c r="AP46" i="12"/>
  <c r="AQ46" i="12"/>
  <c r="AR46" i="12"/>
  <c r="AS46" i="12"/>
  <c r="AT178" i="12" s="1"/>
  <c r="AT46" i="12"/>
  <c r="AU46" i="12"/>
  <c r="AV46" i="12"/>
  <c r="AF137" i="13"/>
  <c r="AF72" i="13" s="1"/>
  <c r="R109" i="14"/>
  <c r="Z23" i="13"/>
  <c r="AC85" i="13"/>
  <c r="AC150" i="13"/>
  <c r="AC18" i="13" s="1"/>
  <c r="S94" i="13"/>
  <c r="S159" i="13"/>
  <c r="S102" i="14" s="1"/>
  <c r="AC153" i="13" l="1"/>
  <c r="AC88" i="13" s="1"/>
  <c r="O167" i="13"/>
  <c r="O102" i="13" s="1"/>
  <c r="AD147" i="13"/>
  <c r="AD82" i="13" s="1"/>
  <c r="AG137" i="13"/>
  <c r="AG72" i="13" s="1"/>
  <c r="M39" i="13"/>
  <c r="M114" i="14"/>
  <c r="Z151" i="13"/>
  <c r="AF83" i="13"/>
  <c r="AF148" i="13"/>
  <c r="V95" i="13"/>
  <c r="V160" i="13"/>
  <c r="AB21" i="13"/>
  <c r="AC21" i="13" s="1"/>
  <c r="R98" i="13"/>
  <c r="R163" i="13"/>
  <c r="AR32" i="4"/>
  <c r="AP169" i="12"/>
  <c r="AP170" i="12"/>
  <c r="AP172" i="12"/>
  <c r="AP171" i="12"/>
  <c r="AP173" i="12"/>
  <c r="AP174" i="12"/>
  <c r="AP175" i="12"/>
  <c r="AP176" i="12"/>
  <c r="X89" i="13"/>
  <c r="X154" i="13"/>
  <c r="X97" i="14" s="1"/>
  <c r="H112" i="13"/>
  <c r="N35" i="13"/>
  <c r="O35" i="13" s="1"/>
  <c r="O165" i="13"/>
  <c r="O33" i="13" s="1"/>
  <c r="AA90" i="13"/>
  <c r="AA155" i="13"/>
  <c r="AJ76" i="13"/>
  <c r="AJ141" i="13"/>
  <c r="W96" i="13"/>
  <c r="AB96" i="14"/>
  <c r="AC96" i="14" s="1"/>
  <c r="BB134" i="13"/>
  <c r="AM71" i="13"/>
  <c r="AM136" i="13"/>
  <c r="T159" i="13"/>
  <c r="T27" i="13" s="1"/>
  <c r="X22" i="13"/>
  <c r="AS7" i="7"/>
  <c r="AT3" i="7" s="1"/>
  <c r="AS4" i="7"/>
  <c r="AW174" i="4"/>
  <c r="AW178" i="4" s="1"/>
  <c r="AS7" i="15"/>
  <c r="AS18" i="15"/>
  <c r="I114" i="12"/>
  <c r="H114" i="12"/>
  <c r="F115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X114" i="12"/>
  <c r="AZ2" i="12"/>
  <c r="AY47" i="12"/>
  <c r="AT6" i="15"/>
  <c r="AX1" i="14"/>
  <c r="AX8" i="14"/>
  <c r="R31" i="13"/>
  <c r="AD87" i="13"/>
  <c r="AC93" i="14"/>
  <c r="AD93" i="14" s="1"/>
  <c r="AY114" i="12"/>
  <c r="AJ9" i="13"/>
  <c r="AF16" i="13"/>
  <c r="H56" i="14"/>
  <c r="F57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E3" i="13"/>
  <c r="AY57" i="14"/>
  <c r="AZ12" i="14"/>
  <c r="Y19" i="13"/>
  <c r="Z19" i="13" s="1"/>
  <c r="M105" i="13"/>
  <c r="O103" i="13"/>
  <c r="AJ74" i="13"/>
  <c r="AC15" i="13"/>
  <c r="AD15" i="13" s="1"/>
  <c r="AR6" i="7"/>
  <c r="AV177" i="4" s="1"/>
  <c r="AV175" i="4"/>
  <c r="AN140" i="13"/>
  <c r="AG80" i="13"/>
  <c r="AG145" i="13"/>
  <c r="M172" i="13"/>
  <c r="M115" i="14" s="1"/>
  <c r="S166" i="13"/>
  <c r="S101" i="13" s="1"/>
  <c r="AE70" i="13"/>
  <c r="AE135" i="13"/>
  <c r="R99" i="13"/>
  <c r="AM4" i="13"/>
  <c r="AF91" i="14"/>
  <c r="N110" i="14"/>
  <c r="O110" i="14" s="1"/>
  <c r="Y94" i="14"/>
  <c r="M38" i="13"/>
  <c r="V97" i="13"/>
  <c r="AA98" i="14"/>
  <c r="N104" i="13"/>
  <c r="N169" i="13"/>
  <c r="N112" i="14" s="1"/>
  <c r="AP177" i="12"/>
  <c r="AD85" i="13"/>
  <c r="AD150" i="13"/>
  <c r="AD18" i="13" s="1"/>
  <c r="AA23" i="13"/>
  <c r="D112" i="13"/>
  <c r="D120" i="14" s="1"/>
  <c r="D46" i="13"/>
  <c r="AM79" i="14"/>
  <c r="AN10" i="13"/>
  <c r="AV32" i="4"/>
  <c r="AT173" i="12"/>
  <c r="AT175" i="12"/>
  <c r="AT174" i="12"/>
  <c r="AT177" i="12"/>
  <c r="AT176" i="12"/>
  <c r="BA134" i="12"/>
  <c r="R106" i="14"/>
  <c r="L40" i="13"/>
  <c r="J49" i="11"/>
  <c r="I49" i="11"/>
  <c r="H49" i="11"/>
  <c r="G50" i="11"/>
  <c r="R107" i="14"/>
  <c r="I119" i="14"/>
  <c r="I176" i="13"/>
  <c r="I44" i="13" s="1"/>
  <c r="AC90" i="14"/>
  <c r="AD90" i="14" s="1"/>
  <c r="U103" i="14"/>
  <c r="V103" i="14" s="1"/>
  <c r="AE11" i="13"/>
  <c r="AF11" i="13" s="1"/>
  <c r="AE86" i="14"/>
  <c r="AZ1" i="13"/>
  <c r="AZ68" i="12"/>
  <c r="BA1" i="12"/>
  <c r="J109" i="13"/>
  <c r="J117" i="14"/>
  <c r="AH79" i="13"/>
  <c r="AH144" i="13"/>
  <c r="AH87" i="14" s="1"/>
  <c r="F180" i="12"/>
  <c r="H179" i="12"/>
  <c r="J179" i="12"/>
  <c r="M179" i="12"/>
  <c r="R179" i="12"/>
  <c r="U179" i="12"/>
  <c r="Z179" i="12"/>
  <c r="AC179" i="12"/>
  <c r="AH179" i="12"/>
  <c r="AK179" i="12"/>
  <c r="AP179" i="12"/>
  <c r="AS179" i="12"/>
  <c r="B52" i="14"/>
  <c r="C52" i="14" s="1"/>
  <c r="B51" i="13"/>
  <c r="H46" i="13" s="1"/>
  <c r="B51" i="12"/>
  <c r="C51" i="12" s="1"/>
  <c r="M106" i="13"/>
  <c r="AA92" i="14"/>
  <c r="AA17" i="13"/>
  <c r="E121" i="14"/>
  <c r="G121" i="14" s="1"/>
  <c r="H121" i="14" s="1"/>
  <c r="G113" i="13"/>
  <c r="H113" i="13" s="1"/>
  <c r="AF78" i="13"/>
  <c r="AF143" i="13"/>
  <c r="AN77" i="13"/>
  <c r="AN142" i="13"/>
  <c r="AN85" i="14" s="1"/>
  <c r="AA156" i="13"/>
  <c r="AA99" i="14" s="1"/>
  <c r="AY7" i="14"/>
  <c r="BB9" i="4"/>
  <c r="BA13" i="4"/>
  <c r="AY2" i="14" s="1"/>
  <c r="BA8" i="4"/>
  <c r="BA46" i="4" s="1"/>
  <c r="BA6" i="4"/>
  <c r="BA29" i="4"/>
  <c r="AU11" i="15" s="1"/>
  <c r="AR10" i="15"/>
  <c r="AR14" i="15" s="1"/>
  <c r="AY30" i="4"/>
  <c r="AF80" i="14"/>
  <c r="AG80" i="14" s="1"/>
  <c r="AZ115" i="12"/>
  <c r="BA69" i="12"/>
  <c r="AG13" i="13"/>
  <c r="AQ14" i="15"/>
  <c r="AM7" i="15"/>
  <c r="AM18" i="15"/>
  <c r="AM14" i="15" s="1"/>
  <c r="J14" i="2"/>
  <c r="AF5" i="13"/>
  <c r="AG5" i="13" s="1"/>
  <c r="AG138" i="13"/>
  <c r="AG6" i="13" s="1"/>
  <c r="AA84" i="13"/>
  <c r="X157" i="13"/>
  <c r="E48" i="13" a="1"/>
  <c r="E48" i="13" s="1"/>
  <c r="F49" i="13"/>
  <c r="AY11" i="14"/>
  <c r="AY76" i="14" s="1"/>
  <c r="AY68" i="13"/>
  <c r="N37" i="13"/>
  <c r="J42" i="13"/>
  <c r="H47" i="12"/>
  <c r="I179" i="12" s="1"/>
  <c r="F48" i="12"/>
  <c r="I47" i="12"/>
  <c r="J47" i="12"/>
  <c r="K179" i="12" s="1"/>
  <c r="K47" i="12"/>
  <c r="L179" i="12" s="1"/>
  <c r="L47" i="12"/>
  <c r="M47" i="12"/>
  <c r="N179" i="12" s="1"/>
  <c r="N47" i="12"/>
  <c r="O179" i="12" s="1"/>
  <c r="O47" i="12"/>
  <c r="P179" i="12" s="1"/>
  <c r="P47" i="12"/>
  <c r="Q179" i="12" s="1"/>
  <c r="Q47" i="12"/>
  <c r="R47" i="12"/>
  <c r="S179" i="12" s="1"/>
  <c r="S47" i="12"/>
  <c r="T179" i="12" s="1"/>
  <c r="T47" i="12"/>
  <c r="U47" i="12"/>
  <c r="V179" i="12" s="1"/>
  <c r="V47" i="12"/>
  <c r="W179" i="12" s="1"/>
  <c r="W47" i="12"/>
  <c r="X179" i="12" s="1"/>
  <c r="X47" i="12"/>
  <c r="Y179" i="12" s="1"/>
  <c r="Y47" i="12"/>
  <c r="Z47" i="12"/>
  <c r="AA179" i="12" s="1"/>
  <c r="AA47" i="12"/>
  <c r="AB179" i="12" s="1"/>
  <c r="AB47" i="12"/>
  <c r="AC47" i="12"/>
  <c r="AD179" i="12" s="1"/>
  <c r="AD47" i="12"/>
  <c r="AE179" i="12" s="1"/>
  <c r="AE47" i="12"/>
  <c r="AF179" i="12" s="1"/>
  <c r="AF47" i="12"/>
  <c r="AG179" i="12" s="1"/>
  <c r="AG47" i="12"/>
  <c r="AH47" i="12"/>
  <c r="AI179" i="12" s="1"/>
  <c r="AI47" i="12"/>
  <c r="AJ179" i="12" s="1"/>
  <c r="AJ47" i="12"/>
  <c r="AK47" i="12"/>
  <c r="AL179" i="12" s="1"/>
  <c r="AL47" i="12"/>
  <c r="AM179" i="12" s="1"/>
  <c r="AM47" i="12"/>
  <c r="AN179" i="12" s="1"/>
  <c r="AN47" i="12"/>
  <c r="AO179" i="12" s="1"/>
  <c r="AO47" i="12"/>
  <c r="AP47" i="12"/>
  <c r="AQ179" i="12" s="1"/>
  <c r="AQ47" i="12"/>
  <c r="AR179" i="12" s="1"/>
  <c r="AR47" i="12"/>
  <c r="AS47" i="12"/>
  <c r="AT179" i="12" s="1"/>
  <c r="AT47" i="12"/>
  <c r="AU179" i="12" s="1"/>
  <c r="AU47" i="12"/>
  <c r="AV179" i="12" s="1"/>
  <c r="AV47" i="12"/>
  <c r="AW47" i="12"/>
  <c r="AD146" i="13"/>
  <c r="AD14" i="13" s="1"/>
  <c r="AG88" i="14"/>
  <c r="E113" i="12"/>
  <c r="E56" i="14" s="1"/>
  <c r="E47" i="12"/>
  <c r="V28" i="13"/>
  <c r="O108" i="14"/>
  <c r="K173" i="13"/>
  <c r="K41" i="13" s="1"/>
  <c r="AJ84" i="14"/>
  <c r="J110" i="13"/>
  <c r="J175" i="13"/>
  <c r="J43" i="13" s="1"/>
  <c r="T158" i="13"/>
  <c r="T101" i="14" s="1"/>
  <c r="E179" i="13"/>
  <c r="E114" i="13"/>
  <c r="G47" i="13"/>
  <c r="O36" i="13"/>
  <c r="T101" i="13" l="1"/>
  <c r="T166" i="13"/>
  <c r="AH137" i="13"/>
  <c r="AH72" i="13" s="1"/>
  <c r="AE147" i="13"/>
  <c r="AE82" i="13" s="1"/>
  <c r="P167" i="13"/>
  <c r="P102" i="13" s="1"/>
  <c r="AD88" i="13"/>
  <c r="AD153" i="13"/>
  <c r="X25" i="13"/>
  <c r="X100" i="14"/>
  <c r="AF3" i="13"/>
  <c r="T94" i="13"/>
  <c r="AD96" i="14"/>
  <c r="AG83" i="13"/>
  <c r="AG148" i="13"/>
  <c r="T102" i="14"/>
  <c r="AG78" i="13"/>
  <c r="AG143" i="13"/>
  <c r="K109" i="13"/>
  <c r="K174" i="13"/>
  <c r="K42" i="13" s="1"/>
  <c r="BB134" i="12"/>
  <c r="AE87" i="13"/>
  <c r="AE152" i="13"/>
  <c r="AZ48" i="12"/>
  <c r="BA2" i="12"/>
  <c r="T93" i="13"/>
  <c r="E114" i="12"/>
  <c r="E57" i="14" s="1"/>
  <c r="E48" i="12"/>
  <c r="AG73" i="13"/>
  <c r="BB69" i="12"/>
  <c r="AX32" i="4"/>
  <c r="AV175" i="12"/>
  <c r="AV176" i="12"/>
  <c r="AV177" i="12"/>
  <c r="AA91" i="13"/>
  <c r="BA1" i="13"/>
  <c r="BB1" i="12"/>
  <c r="BA68" i="12"/>
  <c r="AE90" i="14"/>
  <c r="S109" i="14"/>
  <c r="T109" i="14" s="1"/>
  <c r="S99" i="13"/>
  <c r="S164" i="13"/>
  <c r="S32" i="13" s="1"/>
  <c r="M107" i="13"/>
  <c r="AH12" i="13"/>
  <c r="AZ58" i="14"/>
  <c r="BA12" i="14"/>
  <c r="X161" i="13"/>
  <c r="P35" i="13"/>
  <c r="S34" i="13"/>
  <c r="T34" i="13" s="1"/>
  <c r="C51" i="13"/>
  <c r="AD81" i="13"/>
  <c r="AD89" i="14"/>
  <c r="B53" i="14"/>
  <c r="C53" i="14" s="1"/>
  <c r="B52" i="13"/>
  <c r="H47" i="13" s="1"/>
  <c r="B52" i="12"/>
  <c r="C52" i="12" s="1"/>
  <c r="K43" i="13"/>
  <c r="H48" i="12"/>
  <c r="F49" i="12"/>
  <c r="I48" i="12"/>
  <c r="J48" i="12"/>
  <c r="K180" i="12" s="1"/>
  <c r="K48" i="12"/>
  <c r="L48" i="12"/>
  <c r="M180" i="12" s="1"/>
  <c r="M48" i="12"/>
  <c r="N48" i="12"/>
  <c r="O180" i="12" s="1"/>
  <c r="O48" i="12"/>
  <c r="P48" i="12"/>
  <c r="Q180" i="12" s="1"/>
  <c r="Q48" i="12"/>
  <c r="R48" i="12"/>
  <c r="S180" i="12" s="1"/>
  <c r="S48" i="12"/>
  <c r="T48" i="12"/>
  <c r="U180" i="12" s="1"/>
  <c r="U48" i="12"/>
  <c r="V48" i="12"/>
  <c r="W180" i="12" s="1"/>
  <c r="W48" i="12"/>
  <c r="X48" i="12"/>
  <c r="Y180" i="12" s="1"/>
  <c r="Y48" i="12"/>
  <c r="Z48" i="12"/>
  <c r="AA180" i="12" s="1"/>
  <c r="AA48" i="12"/>
  <c r="AB48" i="12"/>
  <c r="AC180" i="12" s="1"/>
  <c r="AC48" i="12"/>
  <c r="AD48" i="12"/>
  <c r="AE180" i="12" s="1"/>
  <c r="AE48" i="12"/>
  <c r="AF48" i="12"/>
  <c r="AG180" i="12" s="1"/>
  <c r="AG48" i="12"/>
  <c r="AH48" i="12"/>
  <c r="AI180" i="12" s="1"/>
  <c r="AI48" i="12"/>
  <c r="AJ48" i="12"/>
  <c r="AK180" i="12" s="1"/>
  <c r="AK48" i="12"/>
  <c r="AL48" i="12"/>
  <c r="AM180" i="12" s="1"/>
  <c r="AM48" i="12"/>
  <c r="AN48" i="12"/>
  <c r="AO180" i="12" s="1"/>
  <c r="AO48" i="12"/>
  <c r="AP48" i="12"/>
  <c r="AQ180" i="12" s="1"/>
  <c r="AQ48" i="12"/>
  <c r="AR48" i="12"/>
  <c r="AS180" i="12" s="1"/>
  <c r="AS48" i="12"/>
  <c r="AT48" i="12"/>
  <c r="AU180" i="12" s="1"/>
  <c r="AU48" i="12"/>
  <c r="AV48" i="12"/>
  <c r="AW48" i="12"/>
  <c r="AX48" i="12"/>
  <c r="AH5" i="13"/>
  <c r="N106" i="13"/>
  <c r="N171" i="13"/>
  <c r="N39" i="13" s="1"/>
  <c r="W97" i="13"/>
  <c r="W162" i="13"/>
  <c r="F58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N136" i="13"/>
  <c r="AN4" i="13" s="1"/>
  <c r="I177" i="13"/>
  <c r="I112" i="13" s="1"/>
  <c r="AU6" i="15"/>
  <c r="AY8" i="14"/>
  <c r="AY1" i="14"/>
  <c r="AS10" i="15"/>
  <c r="AZ30" i="4"/>
  <c r="AO77" i="13"/>
  <c r="AO142" i="13"/>
  <c r="AO85" i="14" s="1"/>
  <c r="J118" i="14"/>
  <c r="K118" i="14" s="1"/>
  <c r="H180" i="12"/>
  <c r="F181" i="12"/>
  <c r="L180" i="12"/>
  <c r="T180" i="12"/>
  <c r="AB180" i="12"/>
  <c r="AJ180" i="12"/>
  <c r="AR180" i="12"/>
  <c r="AZ68" i="13"/>
  <c r="AZ11" i="14"/>
  <c r="AZ76" i="14" s="1"/>
  <c r="M40" i="13"/>
  <c r="N170" i="13"/>
  <c r="N113" i="14" s="1"/>
  <c r="AH145" i="13"/>
  <c r="AH13" i="13" s="1"/>
  <c r="K116" i="14"/>
  <c r="AS6" i="7"/>
  <c r="AW177" i="4" s="1"/>
  <c r="AW175" i="4"/>
  <c r="AK141" i="13"/>
  <c r="AK76" i="13" s="1"/>
  <c r="K108" i="13"/>
  <c r="S163" i="13"/>
  <c r="S98" i="13" s="1"/>
  <c r="AG11" i="13"/>
  <c r="AO10" i="13"/>
  <c r="AB149" i="13"/>
  <c r="AB92" i="14" s="1"/>
  <c r="AH6" i="13"/>
  <c r="AH138" i="13"/>
  <c r="K110" i="13"/>
  <c r="K175" i="13"/>
  <c r="F50" i="13"/>
  <c r="E49" i="13" a="1"/>
  <c r="E49" i="13" s="1"/>
  <c r="P168" i="13"/>
  <c r="P111" i="14" s="1"/>
  <c r="AK84" i="14"/>
  <c r="E180" i="13"/>
  <c r="E115" i="13"/>
  <c r="G48" i="13"/>
  <c r="AS32" i="4"/>
  <c r="AQ170" i="12"/>
  <c r="AQ172" i="12"/>
  <c r="AQ171" i="12"/>
  <c r="AQ173" i="12"/>
  <c r="AQ174" i="12"/>
  <c r="AQ176" i="12"/>
  <c r="AQ175" i="12"/>
  <c r="AQ177" i="12"/>
  <c r="T26" i="13"/>
  <c r="AF86" i="14"/>
  <c r="AG86" i="14" s="1"/>
  <c r="I111" i="13"/>
  <c r="S106" i="14"/>
  <c r="AA24" i="13"/>
  <c r="AF135" i="13"/>
  <c r="AF70" i="13" s="1"/>
  <c r="AE15" i="13"/>
  <c r="AG16" i="13"/>
  <c r="AT4" i="7"/>
  <c r="AT7" i="7"/>
  <c r="AU3" i="7" s="1"/>
  <c r="AX174" i="4"/>
  <c r="AX178" i="4" s="1"/>
  <c r="BC134" i="13"/>
  <c r="Y97" i="14"/>
  <c r="AD21" i="13"/>
  <c r="AE150" i="13"/>
  <c r="AE18" i="13" s="1"/>
  <c r="Z94" i="14"/>
  <c r="AN8" i="13"/>
  <c r="AN83" i="14"/>
  <c r="AK139" i="13"/>
  <c r="AK9" i="13"/>
  <c r="AT7" i="15"/>
  <c r="AT18" i="15"/>
  <c r="H115" i="12"/>
  <c r="I180" i="12" s="1"/>
  <c r="I115" i="12"/>
  <c r="J180" i="12" s="1"/>
  <c r="F116" i="12"/>
  <c r="J115" i="12"/>
  <c r="K115" i="12"/>
  <c r="L115" i="12"/>
  <c r="M115" i="12"/>
  <c r="N180" i="12" s="1"/>
  <c r="N115" i="12"/>
  <c r="O115" i="12"/>
  <c r="P180" i="12" s="1"/>
  <c r="P115" i="12"/>
  <c r="Q115" i="12"/>
  <c r="R180" i="12" s="1"/>
  <c r="R115" i="12"/>
  <c r="S115" i="12"/>
  <c r="T115" i="12"/>
  <c r="U115" i="12"/>
  <c r="V180" i="12" s="1"/>
  <c r="V115" i="12"/>
  <c r="W115" i="12"/>
  <c r="X180" i="12" s="1"/>
  <c r="X115" i="12"/>
  <c r="Y115" i="12"/>
  <c r="Z180" i="12" s="1"/>
  <c r="Z115" i="12"/>
  <c r="AA115" i="12"/>
  <c r="AB115" i="12"/>
  <c r="AC115" i="12"/>
  <c r="AD180" i="12" s="1"/>
  <c r="AD115" i="12"/>
  <c r="AE115" i="12"/>
  <c r="AF180" i="12" s="1"/>
  <c r="AF115" i="12"/>
  <c r="AG115" i="12"/>
  <c r="AH180" i="12" s="1"/>
  <c r="AH115" i="12"/>
  <c r="AI115" i="12"/>
  <c r="AJ115" i="12"/>
  <c r="AK115" i="12"/>
  <c r="AL180" i="12" s="1"/>
  <c r="AL115" i="12"/>
  <c r="AM115" i="12"/>
  <c r="AN180" i="12" s="1"/>
  <c r="AN115" i="12"/>
  <c r="AO115" i="12"/>
  <c r="AP180" i="12" s="1"/>
  <c r="AP115" i="12"/>
  <c r="AQ115" i="12"/>
  <c r="AR115" i="12"/>
  <c r="AS115" i="12"/>
  <c r="AT180" i="12" s="1"/>
  <c r="AT115" i="12"/>
  <c r="AU115" i="12"/>
  <c r="AV180" i="12" s="1"/>
  <c r="AV115" i="12"/>
  <c r="AW115" i="12"/>
  <c r="AX115" i="12"/>
  <c r="AY115" i="12"/>
  <c r="Y22" i="13"/>
  <c r="AB155" i="13"/>
  <c r="AB23" i="13" s="1"/>
  <c r="Y89" i="13"/>
  <c r="Y154" i="13"/>
  <c r="Z86" i="13"/>
  <c r="AI144" i="13"/>
  <c r="AI87" i="14" s="1"/>
  <c r="E122" i="14"/>
  <c r="G122" i="14" s="1"/>
  <c r="H122" i="14" s="1"/>
  <c r="G114" i="13"/>
  <c r="H114" i="13" s="1"/>
  <c r="O37" i="13"/>
  <c r="O169" i="13"/>
  <c r="O104" i="13" s="1"/>
  <c r="X92" i="13"/>
  <c r="AZ7" i="14"/>
  <c r="BB8" i="4"/>
  <c r="BB46" i="4" s="1"/>
  <c r="BB6" i="4"/>
  <c r="BB13" i="4"/>
  <c r="AZ2" i="14" s="1"/>
  <c r="BB29" i="4"/>
  <c r="AV11" i="15" s="1"/>
  <c r="BC9" i="4"/>
  <c r="I178" i="13"/>
  <c r="I46" i="13" s="1"/>
  <c r="S107" i="14"/>
  <c r="AN79" i="14"/>
  <c r="P110" i="14"/>
  <c r="AN75" i="13"/>
  <c r="P103" i="13"/>
  <c r="AY48" i="12"/>
  <c r="AE78" i="14"/>
  <c r="W160" i="13"/>
  <c r="W28" i="13" s="1"/>
  <c r="AQ178" i="12"/>
  <c r="AW32" i="4"/>
  <c r="AU174" i="12"/>
  <c r="AU175" i="12"/>
  <c r="AU176" i="12"/>
  <c r="AU177" i="12"/>
  <c r="AH80" i="14"/>
  <c r="K117" i="14"/>
  <c r="W103" i="14"/>
  <c r="G51" i="11"/>
  <c r="J50" i="11"/>
  <c r="H50" i="11"/>
  <c r="I50" i="11"/>
  <c r="D47" i="13"/>
  <c r="D113" i="13"/>
  <c r="D121" i="14" s="1"/>
  <c r="O112" i="14"/>
  <c r="AG91" i="14"/>
  <c r="AE93" i="14"/>
  <c r="AG81" i="14"/>
  <c r="AH81" i="14" s="1"/>
  <c r="O100" i="13"/>
  <c r="N114" i="14"/>
  <c r="AV178" i="12"/>
  <c r="AU178" i="12"/>
  <c r="T163" i="13" l="1"/>
  <c r="T98" i="13" s="1"/>
  <c r="AL141" i="13"/>
  <c r="AL9" i="13" s="1"/>
  <c r="J112" i="13"/>
  <c r="J177" i="13"/>
  <c r="AG135" i="13"/>
  <c r="AF82" i="13"/>
  <c r="AF147" i="13"/>
  <c r="P169" i="13"/>
  <c r="P104" i="13" s="1"/>
  <c r="H116" i="12"/>
  <c r="F117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X116" i="12"/>
  <c r="AY116" i="12"/>
  <c r="AZ116" i="12"/>
  <c r="T106" i="14"/>
  <c r="E123" i="14"/>
  <c r="G123" i="14" s="1"/>
  <c r="G115" i="13"/>
  <c r="S31" i="13"/>
  <c r="T31" i="13" s="1"/>
  <c r="AE85" i="13"/>
  <c r="E181" i="13"/>
  <c r="E116" i="13"/>
  <c r="G49" i="13"/>
  <c r="AB84" i="13"/>
  <c r="AN71" i="13"/>
  <c r="Q167" i="13"/>
  <c r="Q102" i="13" s="1"/>
  <c r="BB12" i="14"/>
  <c r="AF90" i="14"/>
  <c r="BA116" i="12"/>
  <c r="L174" i="13"/>
  <c r="L109" i="13" s="1"/>
  <c r="AH148" i="13"/>
  <c r="AH83" i="13" s="1"/>
  <c r="Y157" i="13"/>
  <c r="Y92" i="13" s="1"/>
  <c r="X29" i="13"/>
  <c r="X104" i="14"/>
  <c r="BB117" i="12"/>
  <c r="BC69" i="12"/>
  <c r="BB2" i="12"/>
  <c r="BA49" i="12"/>
  <c r="AB17" i="13"/>
  <c r="L175" i="13"/>
  <c r="L110" i="13" s="1"/>
  <c r="AE89" i="14"/>
  <c r="I121" i="14"/>
  <c r="B54" i="14"/>
  <c r="C54" i="14" s="1"/>
  <c r="B53" i="13"/>
  <c r="B53" i="12"/>
  <c r="C53" i="12" s="1"/>
  <c r="Q110" i="14"/>
  <c r="AI79" i="13"/>
  <c r="AK82" i="14"/>
  <c r="AK7" i="13"/>
  <c r="E50" i="13" a="1"/>
  <c r="E50" i="13" s="1"/>
  <c r="F51" i="13"/>
  <c r="AP142" i="13"/>
  <c r="AP10" i="13" s="1"/>
  <c r="O171" i="13"/>
  <c r="O106" i="13" s="1"/>
  <c r="N105" i="13"/>
  <c r="I51" i="11"/>
  <c r="H51" i="11"/>
  <c r="G52" i="11"/>
  <c r="J51" i="11"/>
  <c r="W95" i="13"/>
  <c r="AA86" i="13"/>
  <c r="AA151" i="13"/>
  <c r="AA19" i="13" s="1"/>
  <c r="AK74" i="13"/>
  <c r="AE153" i="13"/>
  <c r="AE96" i="14" s="1"/>
  <c r="BD134" i="13"/>
  <c r="AB156" i="13"/>
  <c r="AB99" i="14" s="1"/>
  <c r="H48" i="13"/>
  <c r="AI137" i="13"/>
  <c r="AI72" i="13" s="1"/>
  <c r="X96" i="13"/>
  <c r="AI12" i="13"/>
  <c r="BB1" i="13"/>
  <c r="BC1" i="12"/>
  <c r="BB68" i="12"/>
  <c r="AH73" i="13"/>
  <c r="U159" i="13"/>
  <c r="U27" i="13" s="1"/>
  <c r="AG3" i="13"/>
  <c r="P112" i="14"/>
  <c r="L117" i="14"/>
  <c r="AF78" i="14"/>
  <c r="I113" i="13"/>
  <c r="AT6" i="7"/>
  <c r="AX177" i="4" s="1"/>
  <c r="AX175" i="4"/>
  <c r="J111" i="13"/>
  <c r="J176" i="13"/>
  <c r="AH80" i="13"/>
  <c r="AT10" i="15"/>
  <c r="AT14" i="15" s="1"/>
  <c r="BA30" i="4"/>
  <c r="AH88" i="14"/>
  <c r="F59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E81" i="13"/>
  <c r="AE146" i="13"/>
  <c r="T32" i="13"/>
  <c r="T164" i="13"/>
  <c r="T107" i="14" s="1"/>
  <c r="AE95" i="14"/>
  <c r="AE20" i="13"/>
  <c r="Y100" i="14"/>
  <c r="F50" i="12"/>
  <c r="H49" i="12"/>
  <c r="I49" i="12"/>
  <c r="J49" i="12"/>
  <c r="K49" i="12"/>
  <c r="L181" i="12" s="1"/>
  <c r="L49" i="12"/>
  <c r="M181" i="12" s="1"/>
  <c r="M49" i="12"/>
  <c r="N49" i="12"/>
  <c r="O49" i="12"/>
  <c r="P49" i="12"/>
  <c r="Q49" i="12"/>
  <c r="R49" i="12"/>
  <c r="S49" i="12"/>
  <c r="T181" i="12" s="1"/>
  <c r="T49" i="12"/>
  <c r="U181" i="12" s="1"/>
  <c r="U49" i="12"/>
  <c r="V49" i="12"/>
  <c r="W49" i="12"/>
  <c r="X49" i="12"/>
  <c r="Y49" i="12"/>
  <c r="Z49" i="12"/>
  <c r="AA49" i="12"/>
  <c r="AB181" i="12" s="1"/>
  <c r="AB49" i="12"/>
  <c r="AC181" i="12" s="1"/>
  <c r="AC49" i="12"/>
  <c r="AD49" i="12"/>
  <c r="AE49" i="12"/>
  <c r="AF49" i="12"/>
  <c r="AG49" i="12"/>
  <c r="AH49" i="12"/>
  <c r="AI49" i="12"/>
  <c r="AJ181" i="12" s="1"/>
  <c r="AJ49" i="12"/>
  <c r="AK181" i="12" s="1"/>
  <c r="AK49" i="12"/>
  <c r="AL49" i="12"/>
  <c r="AM49" i="12"/>
  <c r="AN49" i="12"/>
  <c r="AO49" i="12"/>
  <c r="AP49" i="12"/>
  <c r="AQ49" i="12"/>
  <c r="AR181" i="12" s="1"/>
  <c r="AR49" i="12"/>
  <c r="AS181" i="12" s="1"/>
  <c r="AS49" i="12"/>
  <c r="AT49" i="12"/>
  <c r="AU49" i="12"/>
  <c r="AV49" i="12"/>
  <c r="AW49" i="12"/>
  <c r="AX49" i="12"/>
  <c r="AY49" i="12"/>
  <c r="U158" i="13"/>
  <c r="U101" i="14" s="1"/>
  <c r="U102" i="14"/>
  <c r="Y25" i="13"/>
  <c r="AP77" i="13"/>
  <c r="N107" i="13"/>
  <c r="N172" i="13"/>
  <c r="N115" i="14" s="1"/>
  <c r="BA68" i="13"/>
  <c r="BA11" i="14"/>
  <c r="BA76" i="14" s="1"/>
  <c r="E115" i="12"/>
  <c r="E58" i="14" s="1"/>
  <c r="E49" i="12"/>
  <c r="AH78" i="13"/>
  <c r="AH143" i="13"/>
  <c r="AH11" i="13" s="1"/>
  <c r="BA7" i="14"/>
  <c r="BC8" i="4"/>
  <c r="BC46" i="4" s="1"/>
  <c r="BC6" i="4"/>
  <c r="BC13" i="4"/>
  <c r="BA2" i="14" s="1"/>
  <c r="BC29" i="4"/>
  <c r="AW11" i="15" s="1"/>
  <c r="BD9" i="4"/>
  <c r="Z89" i="13"/>
  <c r="Z154" i="13"/>
  <c r="Z22" i="13" s="1"/>
  <c r="AH86" i="14"/>
  <c r="AL84" i="14"/>
  <c r="L108" i="13"/>
  <c r="L173" i="13"/>
  <c r="L41" i="13" s="1"/>
  <c r="AS14" i="15"/>
  <c r="AW180" i="12" s="1"/>
  <c r="O114" i="14"/>
  <c r="D114" i="13"/>
  <c r="D122" i="14" s="1"/>
  <c r="D48" i="13"/>
  <c r="Q168" i="13"/>
  <c r="Q103" i="13" s="1"/>
  <c r="I179" i="13"/>
  <c r="I114" i="13" s="1"/>
  <c r="AA94" i="14"/>
  <c r="AF15" i="13"/>
  <c r="N38" i="13"/>
  <c r="W30" i="13"/>
  <c r="W105" i="14"/>
  <c r="C52" i="13"/>
  <c r="C53" i="13" s="1"/>
  <c r="AB98" i="14"/>
  <c r="AZ49" i="12"/>
  <c r="U101" i="13"/>
  <c r="U166" i="13"/>
  <c r="AH91" i="14"/>
  <c r="AO83" i="14"/>
  <c r="AU7" i="7"/>
  <c r="AV3" i="7" s="1"/>
  <c r="AU4" i="7"/>
  <c r="AY174" i="4"/>
  <c r="AY178" i="4" s="1"/>
  <c r="AU7" i="15"/>
  <c r="AU18" i="15"/>
  <c r="BC134" i="12"/>
  <c r="P37" i="13"/>
  <c r="AH16" i="13"/>
  <c r="I45" i="13"/>
  <c r="J45" i="13" s="1"/>
  <c r="I120" i="14"/>
  <c r="J120" i="14" s="1"/>
  <c r="AI80" i="14"/>
  <c r="P165" i="13"/>
  <c r="P100" i="13" s="1"/>
  <c r="AO75" i="13"/>
  <c r="AO140" i="13"/>
  <c r="AO8" i="13" s="1"/>
  <c r="AV6" i="15"/>
  <c r="AZ8" i="14"/>
  <c r="AZ1" i="14"/>
  <c r="I122" i="14"/>
  <c r="AB90" i="13"/>
  <c r="P36" i="13"/>
  <c r="Q36" i="13" s="1"/>
  <c r="H181" i="12"/>
  <c r="F182" i="12"/>
  <c r="J181" i="12"/>
  <c r="I181" i="12"/>
  <c r="K181" i="12"/>
  <c r="N181" i="12"/>
  <c r="O181" i="12"/>
  <c r="P181" i="12"/>
  <c r="Q181" i="12"/>
  <c r="R181" i="12"/>
  <c r="S181" i="12"/>
  <c r="V181" i="12"/>
  <c r="W181" i="12"/>
  <c r="X181" i="12"/>
  <c r="Y181" i="12"/>
  <c r="Z181" i="12"/>
  <c r="AA181" i="12"/>
  <c r="AD181" i="12"/>
  <c r="AE181" i="12"/>
  <c r="AF181" i="12"/>
  <c r="AG181" i="12"/>
  <c r="AH181" i="12"/>
  <c r="AI181" i="12"/>
  <c r="AL181" i="12"/>
  <c r="AM181" i="12"/>
  <c r="AN181" i="12"/>
  <c r="AO181" i="12"/>
  <c r="AP181" i="12"/>
  <c r="AQ181" i="12"/>
  <c r="AT181" i="12"/>
  <c r="AU181" i="12"/>
  <c r="AV181" i="12"/>
  <c r="AW181" i="12"/>
  <c r="AX181" i="12"/>
  <c r="X162" i="13"/>
  <c r="X97" i="13" s="1"/>
  <c r="L43" i="13"/>
  <c r="U34" i="13"/>
  <c r="U109" i="14"/>
  <c r="Z157" i="13" l="1"/>
  <c r="Z92" i="13" s="1"/>
  <c r="AI148" i="13"/>
  <c r="AI83" i="13" s="1"/>
  <c r="J179" i="13"/>
  <c r="M174" i="13"/>
  <c r="M109" i="13" s="1"/>
  <c r="M175" i="13"/>
  <c r="M110" i="13" s="1"/>
  <c r="Q100" i="13"/>
  <c r="Q165" i="13"/>
  <c r="R103" i="13"/>
  <c r="R168" i="13"/>
  <c r="P171" i="13"/>
  <c r="P106" i="13" s="1"/>
  <c r="Q169" i="13"/>
  <c r="Q104" i="13" s="1"/>
  <c r="Y97" i="13"/>
  <c r="Y162" i="13"/>
  <c r="AA22" i="13"/>
  <c r="AJ137" i="13"/>
  <c r="AJ72" i="13" s="1"/>
  <c r="R167" i="13"/>
  <c r="R102" i="13" s="1"/>
  <c r="U98" i="13"/>
  <c r="AP140" i="13"/>
  <c r="AP75" i="13" s="1"/>
  <c r="V166" i="13"/>
  <c r="V101" i="13" s="1"/>
  <c r="Q111" i="14"/>
  <c r="R111" i="14" s="1"/>
  <c r="D49" i="13"/>
  <c r="D115" i="13"/>
  <c r="D123" i="14" s="1"/>
  <c r="T99" i="13"/>
  <c r="AF152" i="13"/>
  <c r="AF87" i="13" s="1"/>
  <c r="J119" i="14"/>
  <c r="J44" i="13"/>
  <c r="BC1" i="13"/>
  <c r="BC68" i="12"/>
  <c r="BD1" i="12"/>
  <c r="L118" i="14"/>
  <c r="M118" i="14" s="1"/>
  <c r="BB50" i="12"/>
  <c r="BC2" i="12"/>
  <c r="AE88" i="13"/>
  <c r="N40" i="13"/>
  <c r="U31" i="13"/>
  <c r="U163" i="13"/>
  <c r="F118" i="12"/>
  <c r="H117" i="12"/>
  <c r="I182" i="12" s="1"/>
  <c r="J117" i="12"/>
  <c r="I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X117" i="12"/>
  <c r="AY117" i="12"/>
  <c r="AZ117" i="12"/>
  <c r="BA117" i="12"/>
  <c r="L42" i="13"/>
  <c r="M42" i="13" s="1"/>
  <c r="AP85" i="14"/>
  <c r="Q37" i="13"/>
  <c r="AC149" i="13"/>
  <c r="AC84" i="13" s="1"/>
  <c r="H115" i="13"/>
  <c r="AC155" i="13"/>
  <c r="AC23" i="13" s="1"/>
  <c r="AL76" i="13"/>
  <c r="AB91" i="13"/>
  <c r="P114" i="14"/>
  <c r="AQ142" i="13"/>
  <c r="AQ77" i="13" s="1"/>
  <c r="AB24" i="13"/>
  <c r="AE21" i="13"/>
  <c r="G53" i="11"/>
  <c r="J52" i="11"/>
  <c r="I52" i="11"/>
  <c r="H52" i="11"/>
  <c r="R110" i="14"/>
  <c r="BC12" i="14"/>
  <c r="H49" i="13"/>
  <c r="H123" i="14"/>
  <c r="AG70" i="13"/>
  <c r="AF95" i="14"/>
  <c r="M117" i="14"/>
  <c r="BB11" i="14"/>
  <c r="BB76" i="14" s="1"/>
  <c r="BB68" i="13"/>
  <c r="V109" i="14"/>
  <c r="AC98" i="14"/>
  <c r="AA154" i="13"/>
  <c r="AA89" i="13" s="1"/>
  <c r="Z25" i="13"/>
  <c r="F60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Y96" i="13"/>
  <c r="Y161" i="13"/>
  <c r="BE134" i="13"/>
  <c r="AL74" i="13"/>
  <c r="AL139" i="13"/>
  <c r="B55" i="14"/>
  <c r="J122" i="14" s="1"/>
  <c r="B54" i="13"/>
  <c r="J114" i="13" s="1"/>
  <c r="B54" i="12"/>
  <c r="C54" i="12" s="1"/>
  <c r="E51" i="13" a="1"/>
  <c r="E51" i="13" s="1"/>
  <c r="F52" i="13"/>
  <c r="E124" i="14"/>
  <c r="G124" i="14" s="1"/>
  <c r="H124" i="14" s="1"/>
  <c r="G116" i="13"/>
  <c r="H116" i="13" s="1"/>
  <c r="U106" i="14"/>
  <c r="AU6" i="7"/>
  <c r="AY177" i="4" s="1"/>
  <c r="AY175" i="4"/>
  <c r="AI78" i="13"/>
  <c r="AI143" i="13"/>
  <c r="AI86" i="14" s="1"/>
  <c r="AI88" i="14"/>
  <c r="E182" i="13"/>
  <c r="E117" i="13"/>
  <c r="G50" i="13"/>
  <c r="Z97" i="14"/>
  <c r="Y104" i="14"/>
  <c r="X160" i="13"/>
  <c r="I47" i="13"/>
  <c r="J47" i="13" s="1"/>
  <c r="AJ80" i="14"/>
  <c r="V34" i="13"/>
  <c r="BD134" i="12"/>
  <c r="AV7" i="7"/>
  <c r="AW3" i="7" s="1"/>
  <c r="AV4" i="7"/>
  <c r="AZ174" i="4"/>
  <c r="AZ178" i="4" s="1"/>
  <c r="M43" i="13"/>
  <c r="AP83" i="14"/>
  <c r="X105" i="14"/>
  <c r="Y105" i="14" s="1"/>
  <c r="M41" i="13"/>
  <c r="H50" i="12"/>
  <c r="F51" i="12"/>
  <c r="I50" i="12"/>
  <c r="J182" i="12" s="1"/>
  <c r="J50" i="12"/>
  <c r="K182" i="12" s="1"/>
  <c r="K50" i="12"/>
  <c r="L50" i="12"/>
  <c r="M182" i="12" s="1"/>
  <c r="M50" i="12"/>
  <c r="N50" i="12"/>
  <c r="O50" i="12"/>
  <c r="P182" i="12" s="1"/>
  <c r="P50" i="12"/>
  <c r="Q182" i="12" s="1"/>
  <c r="Q50" i="12"/>
  <c r="R182" i="12" s="1"/>
  <c r="R50" i="12"/>
  <c r="S182" i="12" s="1"/>
  <c r="S50" i="12"/>
  <c r="T50" i="12"/>
  <c r="U182" i="12" s="1"/>
  <c r="U50" i="12"/>
  <c r="V50" i="12"/>
  <c r="W50" i="12"/>
  <c r="X182" i="12" s="1"/>
  <c r="X50" i="12"/>
  <c r="Y182" i="12" s="1"/>
  <c r="Y50" i="12"/>
  <c r="Z182" i="12" s="1"/>
  <c r="Z50" i="12"/>
  <c r="AA182" i="12" s="1"/>
  <c r="AA50" i="12"/>
  <c r="AB50" i="12"/>
  <c r="AC182" i="12" s="1"/>
  <c r="AC50" i="12"/>
  <c r="AD50" i="12"/>
  <c r="AE50" i="12"/>
  <c r="AF182" i="12" s="1"/>
  <c r="AF50" i="12"/>
  <c r="AG182" i="12" s="1"/>
  <c r="AG50" i="12"/>
  <c r="AH182" i="12" s="1"/>
  <c r="AH50" i="12"/>
  <c r="AI182" i="12" s="1"/>
  <c r="AI50" i="12"/>
  <c r="AJ50" i="12"/>
  <c r="AK182" i="12" s="1"/>
  <c r="AK50" i="12"/>
  <c r="AL50" i="12"/>
  <c r="AM50" i="12"/>
  <c r="AN182" i="12" s="1"/>
  <c r="AN50" i="12"/>
  <c r="AO182" i="12" s="1"/>
  <c r="AO50" i="12"/>
  <c r="AP182" i="12" s="1"/>
  <c r="AP50" i="12"/>
  <c r="AQ182" i="12" s="1"/>
  <c r="AQ50" i="12"/>
  <c r="AR50" i="12"/>
  <c r="AS182" i="12" s="1"/>
  <c r="AS50" i="12"/>
  <c r="AT50" i="12"/>
  <c r="AU50" i="12"/>
  <c r="AV182" i="12" s="1"/>
  <c r="AV50" i="12"/>
  <c r="AW182" i="12" s="1"/>
  <c r="AW50" i="12"/>
  <c r="AX182" i="12" s="1"/>
  <c r="AX50" i="12"/>
  <c r="AY50" i="12"/>
  <c r="AZ50" i="12"/>
  <c r="AE14" i="13"/>
  <c r="AU10" i="15"/>
  <c r="BB30" i="4"/>
  <c r="U94" i="13"/>
  <c r="AI5" i="13"/>
  <c r="AJ5" i="13" s="1"/>
  <c r="O105" i="13"/>
  <c r="O170" i="13"/>
  <c r="O113" i="14" s="1"/>
  <c r="AL7" i="13"/>
  <c r="BA50" i="12"/>
  <c r="Y29" i="13"/>
  <c r="BA59" i="14"/>
  <c r="AF150" i="13"/>
  <c r="O39" i="13"/>
  <c r="P39" i="13" s="1"/>
  <c r="P108" i="14"/>
  <c r="Q108" i="14" s="1"/>
  <c r="P33" i="13"/>
  <c r="Q33" i="13" s="1"/>
  <c r="O107" i="13"/>
  <c r="O172" i="13"/>
  <c r="O115" i="14" s="1"/>
  <c r="K111" i="13"/>
  <c r="K176" i="13"/>
  <c r="F183" i="12"/>
  <c r="H182" i="12"/>
  <c r="L182" i="12"/>
  <c r="N182" i="12"/>
  <c r="O182" i="12"/>
  <c r="T182" i="12"/>
  <c r="V182" i="12"/>
  <c r="W182" i="12"/>
  <c r="AB182" i="12"/>
  <c r="AD182" i="12"/>
  <c r="AE182" i="12"/>
  <c r="AJ182" i="12"/>
  <c r="AL182" i="12"/>
  <c r="AM182" i="12"/>
  <c r="AR182" i="12"/>
  <c r="AT182" i="12"/>
  <c r="AU182" i="12"/>
  <c r="AI91" i="14"/>
  <c r="M108" i="13"/>
  <c r="M173" i="13"/>
  <c r="AZ32" i="4"/>
  <c r="AX177" i="12"/>
  <c r="AX179" i="12"/>
  <c r="AX178" i="12"/>
  <c r="BD69" i="12"/>
  <c r="AG90" i="14"/>
  <c r="Q35" i="13"/>
  <c r="R35" i="13" s="1"/>
  <c r="C54" i="13"/>
  <c r="AY32" i="4"/>
  <c r="AW176" i="12"/>
  <c r="AW177" i="12"/>
  <c r="AW178" i="12"/>
  <c r="AW179" i="12"/>
  <c r="BB7" i="14"/>
  <c r="BE9" i="4"/>
  <c r="BD8" i="4"/>
  <c r="BD46" i="4" s="1"/>
  <c r="BD6" i="4"/>
  <c r="BD13" i="4"/>
  <c r="BB2" i="14" s="1"/>
  <c r="BD29" i="4"/>
  <c r="AX11" i="15" s="1"/>
  <c r="E116" i="12"/>
  <c r="E59" i="14" s="1"/>
  <c r="E50" i="12"/>
  <c r="R36" i="13"/>
  <c r="AV7" i="15"/>
  <c r="AV18" i="15"/>
  <c r="X30" i="13"/>
  <c r="Y30" i="13" s="1"/>
  <c r="AW6" i="15"/>
  <c r="BA8" i="14"/>
  <c r="BA1" i="14"/>
  <c r="AF146" i="13"/>
  <c r="AF81" i="13" s="1"/>
  <c r="J178" i="13"/>
  <c r="J46" i="13" s="1"/>
  <c r="AI138" i="13"/>
  <c r="L116" i="14"/>
  <c r="M116" i="14" s="1"/>
  <c r="AB151" i="13"/>
  <c r="AB94" i="14" s="1"/>
  <c r="AL82" i="14"/>
  <c r="U26" i="13"/>
  <c r="AI16" i="13"/>
  <c r="O38" i="13"/>
  <c r="U93" i="13"/>
  <c r="Z100" i="14"/>
  <c r="AI80" i="13"/>
  <c r="AI145" i="13"/>
  <c r="AI13" i="13" s="1"/>
  <c r="AG78" i="14"/>
  <c r="AJ144" i="13"/>
  <c r="AJ87" i="14" s="1"/>
  <c r="J121" i="14"/>
  <c r="AC17" i="13"/>
  <c r="AO71" i="13"/>
  <c r="AO136" i="13"/>
  <c r="AG147" i="13"/>
  <c r="AG82" i="13" s="1"/>
  <c r="K177" i="13"/>
  <c r="K112" i="13" s="1"/>
  <c r="AX180" i="12"/>
  <c r="S102" i="13" l="1"/>
  <c r="S167" i="13"/>
  <c r="AK137" i="13"/>
  <c r="AK72" i="13" s="1"/>
  <c r="K179" i="13"/>
  <c r="N110" i="13"/>
  <c r="N175" i="13"/>
  <c r="AR77" i="13"/>
  <c r="AR142" i="13"/>
  <c r="N109" i="13"/>
  <c r="N174" i="13"/>
  <c r="N42" i="13" s="1"/>
  <c r="L177" i="13"/>
  <c r="L112" i="13" s="1"/>
  <c r="AB154" i="13"/>
  <c r="AB89" i="13" s="1"/>
  <c r="AD149" i="13"/>
  <c r="AG81" i="13"/>
  <c r="AG146" i="13"/>
  <c r="W166" i="13"/>
  <c r="W101" i="13" s="1"/>
  <c r="R169" i="13"/>
  <c r="R104" i="13" s="1"/>
  <c r="AQ75" i="13"/>
  <c r="AQ140" i="13"/>
  <c r="Q171" i="13"/>
  <c r="Q106" i="13" s="1"/>
  <c r="AH82" i="13"/>
  <c r="AH147" i="13"/>
  <c r="F184" i="12"/>
  <c r="H183" i="12"/>
  <c r="J183" i="12"/>
  <c r="R183" i="12"/>
  <c r="Z183" i="12"/>
  <c r="AH183" i="12"/>
  <c r="AP183" i="12"/>
  <c r="AX183" i="12"/>
  <c r="AD17" i="13"/>
  <c r="AF18" i="13"/>
  <c r="AF93" i="14"/>
  <c r="AB19" i="13"/>
  <c r="K45" i="13"/>
  <c r="L45" i="13" s="1"/>
  <c r="X28" i="13"/>
  <c r="X103" i="14"/>
  <c r="BF134" i="13"/>
  <c r="AH135" i="13"/>
  <c r="AJ12" i="13"/>
  <c r="AQ85" i="14"/>
  <c r="AR85" i="14" s="1"/>
  <c r="F119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X118" i="12"/>
  <c r="AY118" i="12"/>
  <c r="AZ118" i="12"/>
  <c r="BA118" i="12"/>
  <c r="BB118" i="12"/>
  <c r="BC11" i="14"/>
  <c r="BC76" i="14" s="1"/>
  <c r="BC68" i="13"/>
  <c r="AG15" i="13"/>
  <c r="AH15" i="13" s="1"/>
  <c r="AQ10" i="13"/>
  <c r="AR10" i="13" s="1"/>
  <c r="Z162" i="13"/>
  <c r="Z97" i="13" s="1"/>
  <c r="S103" i="13"/>
  <c r="S168" i="13"/>
  <c r="S36" i="13" s="1"/>
  <c r="Q39" i="13"/>
  <c r="S35" i="13"/>
  <c r="AF85" i="13"/>
  <c r="AK5" i="13"/>
  <c r="N43" i="13"/>
  <c r="Z104" i="14"/>
  <c r="E52" i="13" a="1"/>
  <c r="E52" i="13" s="1"/>
  <c r="F53" i="13"/>
  <c r="S110" i="14"/>
  <c r="Q112" i="14"/>
  <c r="R112" i="14" s="1"/>
  <c r="K44" i="13"/>
  <c r="D50" i="13"/>
  <c r="D116" i="13"/>
  <c r="D124" i="14" s="1"/>
  <c r="AC90" i="13"/>
  <c r="AI11" i="13"/>
  <c r="E51" i="12"/>
  <c r="E117" i="12"/>
  <c r="E60" i="14" s="1"/>
  <c r="L111" i="13"/>
  <c r="L176" i="13"/>
  <c r="AA97" i="14"/>
  <c r="AB97" i="14" s="1"/>
  <c r="K119" i="14"/>
  <c r="V163" i="13"/>
  <c r="V31" i="13" s="1"/>
  <c r="AB22" i="13"/>
  <c r="R100" i="13"/>
  <c r="R165" i="13"/>
  <c r="AP71" i="13"/>
  <c r="AP136" i="13"/>
  <c r="N173" i="13"/>
  <c r="N116" i="14" s="1"/>
  <c r="Z29" i="13"/>
  <c r="AV10" i="15"/>
  <c r="AV14" i="15" s="1"/>
  <c r="BC30" i="4"/>
  <c r="H51" i="12"/>
  <c r="I183" i="12" s="1"/>
  <c r="F52" i="12"/>
  <c r="I51" i="12"/>
  <c r="J51" i="12"/>
  <c r="K183" i="12" s="1"/>
  <c r="K51" i="12"/>
  <c r="L183" i="12" s="1"/>
  <c r="L51" i="12"/>
  <c r="M183" i="12" s="1"/>
  <c r="M51" i="12"/>
  <c r="N183" i="12" s="1"/>
  <c r="N51" i="12"/>
  <c r="O183" i="12" s="1"/>
  <c r="O51" i="12"/>
  <c r="P183" i="12" s="1"/>
  <c r="P51" i="12"/>
  <c r="Q183" i="12" s="1"/>
  <c r="Q51" i="12"/>
  <c r="R51" i="12"/>
  <c r="S183" i="12" s="1"/>
  <c r="S51" i="12"/>
  <c r="T183" i="12" s="1"/>
  <c r="T51" i="12"/>
  <c r="U183" i="12" s="1"/>
  <c r="U51" i="12"/>
  <c r="V183" i="12" s="1"/>
  <c r="V51" i="12"/>
  <c r="W183" i="12" s="1"/>
  <c r="W51" i="12"/>
  <c r="X183" i="12" s="1"/>
  <c r="X51" i="12"/>
  <c r="Y183" i="12" s="1"/>
  <c r="Y51" i="12"/>
  <c r="Z51" i="12"/>
  <c r="AA183" i="12" s="1"/>
  <c r="AA51" i="12"/>
  <c r="AB183" i="12" s="1"/>
  <c r="AB51" i="12"/>
  <c r="AC183" i="12" s="1"/>
  <c r="AC51" i="12"/>
  <c r="AD183" i="12" s="1"/>
  <c r="AD51" i="12"/>
  <c r="AE183" i="12" s="1"/>
  <c r="AE51" i="12"/>
  <c r="AF183" i="12" s="1"/>
  <c r="AF51" i="12"/>
  <c r="AG183" i="12" s="1"/>
  <c r="AG51" i="12"/>
  <c r="AH51" i="12"/>
  <c r="AI183" i="12" s="1"/>
  <c r="AI51" i="12"/>
  <c r="AJ183" i="12" s="1"/>
  <c r="AJ51" i="12"/>
  <c r="AK183" i="12" s="1"/>
  <c r="AK51" i="12"/>
  <c r="AL183" i="12" s="1"/>
  <c r="AL51" i="12"/>
  <c r="AM183" i="12" s="1"/>
  <c r="AM51" i="12"/>
  <c r="AN183" i="12" s="1"/>
  <c r="AN51" i="12"/>
  <c r="AO183" i="12" s="1"/>
  <c r="AO51" i="12"/>
  <c r="AP51" i="12"/>
  <c r="AQ183" i="12" s="1"/>
  <c r="AQ51" i="12"/>
  <c r="AR183" i="12" s="1"/>
  <c r="AR51" i="12"/>
  <c r="AS183" i="12" s="1"/>
  <c r="AS51" i="12"/>
  <c r="AT183" i="12" s="1"/>
  <c r="AT51" i="12"/>
  <c r="AU183" i="12" s="1"/>
  <c r="AU51" i="12"/>
  <c r="AV183" i="12" s="1"/>
  <c r="AV51" i="12"/>
  <c r="AW183" i="12" s="1"/>
  <c r="AW51" i="12"/>
  <c r="AX51" i="12"/>
  <c r="AY183" i="12" s="1"/>
  <c r="AY51" i="12"/>
  <c r="AZ183" i="12" s="1"/>
  <c r="AZ51" i="12"/>
  <c r="BA51" i="12"/>
  <c r="AV6" i="7"/>
  <c r="AZ177" i="4" s="1"/>
  <c r="AZ175" i="4"/>
  <c r="K120" i="14"/>
  <c r="L120" i="14" s="1"/>
  <c r="W109" i="14"/>
  <c r="O40" i="13"/>
  <c r="N118" i="14"/>
  <c r="AG87" i="13"/>
  <c r="AG152" i="13"/>
  <c r="BD119" i="12"/>
  <c r="BE69" i="12"/>
  <c r="V93" i="13"/>
  <c r="V158" i="13"/>
  <c r="V101" i="14" s="1"/>
  <c r="AI6" i="13"/>
  <c r="AI81" i="14"/>
  <c r="B56" i="14"/>
  <c r="K122" i="14" s="1"/>
  <c r="B55" i="13"/>
  <c r="C55" i="13" s="1"/>
  <c r="B55" i="12"/>
  <c r="C55" i="12" s="1"/>
  <c r="I115" i="13"/>
  <c r="I180" i="13"/>
  <c r="I48" i="13" s="1"/>
  <c r="AJ79" i="13"/>
  <c r="AI73" i="13"/>
  <c r="AF153" i="13"/>
  <c r="AF96" i="14" s="1"/>
  <c r="BB51" i="12"/>
  <c r="X95" i="13"/>
  <c r="AF20" i="13"/>
  <c r="AG20" i="13" s="1"/>
  <c r="P170" i="13"/>
  <c r="P105" i="13" s="1"/>
  <c r="AQ83" i="14"/>
  <c r="AB86" i="13"/>
  <c r="AJ78" i="13"/>
  <c r="AJ143" i="13"/>
  <c r="AJ86" i="14" s="1"/>
  <c r="AJ16" i="13"/>
  <c r="AJ148" i="13"/>
  <c r="AJ83" i="13" s="1"/>
  <c r="AH78" i="14"/>
  <c r="W34" i="13"/>
  <c r="E125" i="14"/>
  <c r="G125" i="14" s="1"/>
  <c r="H125" i="14" s="1"/>
  <c r="G117" i="13"/>
  <c r="Q114" i="14"/>
  <c r="AX6" i="15"/>
  <c r="BB8" i="14"/>
  <c r="BB1" i="14"/>
  <c r="N41" i="13"/>
  <c r="G54" i="11"/>
  <c r="H53" i="11"/>
  <c r="I53" i="11"/>
  <c r="J53" i="11"/>
  <c r="AC91" i="13"/>
  <c r="AC156" i="13"/>
  <c r="AC99" i="14" s="1"/>
  <c r="U164" i="13"/>
  <c r="C55" i="14"/>
  <c r="C56" i="14" s="1"/>
  <c r="AP8" i="13"/>
  <c r="AQ8" i="13" s="1"/>
  <c r="AJ145" i="13"/>
  <c r="AJ80" i="13" s="1"/>
  <c r="BE134" i="12"/>
  <c r="BC7" i="14"/>
  <c r="BE13" i="4"/>
  <c r="BC2" i="14" s="1"/>
  <c r="BE29" i="4"/>
  <c r="AY11" i="15" s="1"/>
  <c r="BE8" i="4"/>
  <c r="BE46" i="4" s="1"/>
  <c r="BF9" i="4"/>
  <c r="BE6" i="4"/>
  <c r="U154" i="6" a="1"/>
  <c r="U154" i="6" s="1"/>
  <c r="U150" i="6" a="1"/>
  <c r="U150" i="6" s="1"/>
  <c r="U151" i="6" a="1"/>
  <c r="U151" i="6" s="1"/>
  <c r="U152" i="6" a="1"/>
  <c r="U152" i="6" s="1"/>
  <c r="U155" i="6" a="1"/>
  <c r="U155" i="6" s="1"/>
  <c r="U153" i="6" a="1"/>
  <c r="U153" i="6" s="1"/>
  <c r="P38" i="13"/>
  <c r="AH90" i="14"/>
  <c r="V159" i="13"/>
  <c r="E183" i="13"/>
  <c r="E118" i="13"/>
  <c r="G51" i="13"/>
  <c r="P172" i="13"/>
  <c r="P115" i="14" s="1"/>
  <c r="AU14" i="15"/>
  <c r="AW7" i="7"/>
  <c r="AX3" i="7" s="1"/>
  <c r="AW4" i="7"/>
  <c r="BA174" i="4"/>
  <c r="BA178" i="4" s="1"/>
  <c r="BD12" i="14"/>
  <c r="AC92" i="14"/>
  <c r="J113" i="13"/>
  <c r="AW7" i="15"/>
  <c r="AW18" i="15"/>
  <c r="R33" i="13"/>
  <c r="AO4" i="13"/>
  <c r="AP4" i="13" s="1"/>
  <c r="AO79" i="14"/>
  <c r="AP79" i="14" s="1"/>
  <c r="AJ13" i="13"/>
  <c r="Z30" i="13"/>
  <c r="BC118" i="12"/>
  <c r="R108" i="14"/>
  <c r="AF14" i="13"/>
  <c r="AG14" i="13" s="1"/>
  <c r="Z105" i="14"/>
  <c r="AK80" i="14"/>
  <c r="V106" i="14"/>
  <c r="H60" i="14"/>
  <c r="F61" i="14"/>
  <c r="BC61" i="14" s="1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N117" i="14"/>
  <c r="BB60" i="14"/>
  <c r="AF21" i="13"/>
  <c r="AF89" i="14"/>
  <c r="BC52" i="12"/>
  <c r="BC51" i="12"/>
  <c r="BD2" i="12"/>
  <c r="BD1" i="13"/>
  <c r="BD68" i="12"/>
  <c r="BE1" i="12"/>
  <c r="AJ88" i="14"/>
  <c r="I181" i="13"/>
  <c r="I124" i="14" s="1"/>
  <c r="AM139" i="13"/>
  <c r="AM82" i="14" s="1"/>
  <c r="Z96" i="13"/>
  <c r="Z161" i="13"/>
  <c r="AA157" i="13"/>
  <c r="AA92" i="13" s="1"/>
  <c r="AG95" i="14"/>
  <c r="AC24" i="13"/>
  <c r="AM141" i="13"/>
  <c r="R37" i="13"/>
  <c r="AA162" i="13" l="1"/>
  <c r="AA97" i="13" s="1"/>
  <c r="R106" i="13"/>
  <c r="R171" i="13"/>
  <c r="AC154" i="13"/>
  <c r="AC89" i="13" s="1"/>
  <c r="AB92" i="13"/>
  <c r="AB157" i="13"/>
  <c r="X166" i="13"/>
  <c r="X101" i="13" s="1"/>
  <c r="AK83" i="13"/>
  <c r="AK148" i="13"/>
  <c r="M112" i="13"/>
  <c r="M177" i="13"/>
  <c r="AL137" i="13"/>
  <c r="AL72" i="13" s="1"/>
  <c r="Q105" i="13"/>
  <c r="Q170" i="13"/>
  <c r="Q38" i="13" s="1"/>
  <c r="AK145" i="13"/>
  <c r="AK80" i="13" s="1"/>
  <c r="S104" i="13"/>
  <c r="S169" i="13"/>
  <c r="AL80" i="14"/>
  <c r="AD92" i="14"/>
  <c r="P107" i="13"/>
  <c r="J54" i="11"/>
  <c r="I54" i="11"/>
  <c r="H54" i="11"/>
  <c r="G55" i="11"/>
  <c r="Y95" i="13"/>
  <c r="Y160" i="13"/>
  <c r="AA29" i="13"/>
  <c r="E53" i="13" a="1"/>
  <c r="E53" i="13" s="1"/>
  <c r="F54" i="13"/>
  <c r="AI82" i="13"/>
  <c r="AI147" i="13"/>
  <c r="AH146" i="13"/>
  <c r="K114" i="13"/>
  <c r="AA96" i="13"/>
  <c r="AA161" i="13"/>
  <c r="AG89" i="14"/>
  <c r="AM84" i="14"/>
  <c r="AM9" i="13"/>
  <c r="O117" i="14"/>
  <c r="AK88" i="14"/>
  <c r="P40" i="13"/>
  <c r="V98" i="13"/>
  <c r="M176" i="13"/>
  <c r="M111" i="13" s="1"/>
  <c r="D51" i="13"/>
  <c r="D117" i="13"/>
  <c r="D125" i="14" s="1"/>
  <c r="E184" i="13"/>
  <c r="E119" i="13"/>
  <c r="G52" i="13"/>
  <c r="T103" i="13"/>
  <c r="T168" i="13"/>
  <c r="T36" i="13" s="1"/>
  <c r="O109" i="13"/>
  <c r="O174" i="13"/>
  <c r="O42" i="13" s="1"/>
  <c r="BD11" i="14"/>
  <c r="BD76" i="14" s="1"/>
  <c r="BD68" i="13"/>
  <c r="AA105" i="14"/>
  <c r="BD7" i="14"/>
  <c r="BF29" i="4"/>
  <c r="AZ11" i="15" s="1"/>
  <c r="BF8" i="4"/>
  <c r="BG9" i="4"/>
  <c r="BF13" i="4"/>
  <c r="BD2" i="14" s="1"/>
  <c r="BF6" i="4"/>
  <c r="U107" i="14"/>
  <c r="U32" i="13"/>
  <c r="X34" i="13"/>
  <c r="AK143" i="13"/>
  <c r="AK86" i="14" s="1"/>
  <c r="AA25" i="13"/>
  <c r="AB25" i="13" s="1"/>
  <c r="K47" i="13"/>
  <c r="BD52" i="12"/>
  <c r="BE2" i="12"/>
  <c r="AH14" i="13"/>
  <c r="AM7" i="13"/>
  <c r="BA175" i="4"/>
  <c r="AW6" i="7"/>
  <c r="BA177" i="4" s="1"/>
  <c r="U99" i="13"/>
  <c r="AC151" i="13"/>
  <c r="AC94" i="14" s="1"/>
  <c r="AH3" i="13"/>
  <c r="AJ91" i="14"/>
  <c r="AK91" i="14" s="1"/>
  <c r="I116" i="13"/>
  <c r="I49" i="13"/>
  <c r="X109" i="14"/>
  <c r="N108" i="13"/>
  <c r="S111" i="14"/>
  <c r="T111" i="14" s="1"/>
  <c r="L44" i="13"/>
  <c r="M44" i="13" s="1"/>
  <c r="AA104" i="14"/>
  <c r="BE1" i="13"/>
  <c r="BE68" i="12"/>
  <c r="BF1" i="12"/>
  <c r="P113" i="14"/>
  <c r="Q113" i="14" s="1"/>
  <c r="S165" i="13"/>
  <c r="S33" i="13" s="1"/>
  <c r="BD62" i="14"/>
  <c r="BE12" i="14"/>
  <c r="AX4" i="7"/>
  <c r="AX7" i="7"/>
  <c r="AY3" i="7" s="1"/>
  <c r="BB174" i="4"/>
  <c r="BB178" i="4" s="1"/>
  <c r="E126" i="14"/>
  <c r="G126" i="14" s="1"/>
  <c r="G118" i="13"/>
  <c r="AD99" i="14"/>
  <c r="V26" i="13"/>
  <c r="AA100" i="14"/>
  <c r="AB100" i="14" s="1"/>
  <c r="AF88" i="13"/>
  <c r="AJ81" i="14"/>
  <c r="H50" i="13"/>
  <c r="L119" i="14"/>
  <c r="M119" i="14" s="1"/>
  <c r="E118" i="12"/>
  <c r="E61" i="14" s="1"/>
  <c r="E52" i="12"/>
  <c r="AH70" i="13"/>
  <c r="AD84" i="13"/>
  <c r="S108" i="14"/>
  <c r="AY6" i="15"/>
  <c r="BC8" i="14"/>
  <c r="BC1" i="14"/>
  <c r="AD91" i="13"/>
  <c r="AD156" i="13"/>
  <c r="AD24" i="13" s="1"/>
  <c r="AJ73" i="13"/>
  <c r="AJ138" i="13"/>
  <c r="AJ6" i="13"/>
  <c r="BF69" i="12"/>
  <c r="M120" i="14"/>
  <c r="H52" i="12"/>
  <c r="I184" i="12" s="1"/>
  <c r="F53" i="12"/>
  <c r="BD53" i="12" s="1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AQ71" i="13"/>
  <c r="AQ136" i="13"/>
  <c r="AQ4" i="13" s="1"/>
  <c r="AL5" i="13"/>
  <c r="Y103" i="14"/>
  <c r="H184" i="12"/>
  <c r="F185" i="12"/>
  <c r="P184" i="12"/>
  <c r="R184" i="12"/>
  <c r="X184" i="12"/>
  <c r="Z184" i="12"/>
  <c r="AF184" i="12"/>
  <c r="AH184" i="12"/>
  <c r="AN184" i="12"/>
  <c r="AP184" i="12"/>
  <c r="AV184" i="12"/>
  <c r="AX184" i="12"/>
  <c r="AS77" i="13"/>
  <c r="AS142" i="13"/>
  <c r="AS10" i="13" s="1"/>
  <c r="F62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A32" i="4"/>
  <c r="AY178" i="12"/>
  <c r="AY179" i="12"/>
  <c r="AY181" i="12"/>
  <c r="AY180" i="12"/>
  <c r="V27" i="13"/>
  <c r="V102" i="14"/>
  <c r="AX7" i="15"/>
  <c r="AX18" i="15"/>
  <c r="AK144" i="13"/>
  <c r="AK87" i="14" s="1"/>
  <c r="S112" i="14"/>
  <c r="AG150" i="13"/>
  <c r="AG18" i="13" s="1"/>
  <c r="AI15" i="13"/>
  <c r="BG134" i="13"/>
  <c r="Y28" i="13"/>
  <c r="AM76" i="13"/>
  <c r="AM74" i="13"/>
  <c r="AA30" i="13"/>
  <c r="K178" i="13"/>
  <c r="V94" i="13"/>
  <c r="R114" i="14"/>
  <c r="W101" i="14"/>
  <c r="AW10" i="15"/>
  <c r="AW14" i="15" s="1"/>
  <c r="BD30" i="4"/>
  <c r="S100" i="13"/>
  <c r="AJ11" i="13"/>
  <c r="AK11" i="13" s="1"/>
  <c r="T110" i="14"/>
  <c r="T35" i="13"/>
  <c r="M45" i="13"/>
  <c r="AY182" i="12"/>
  <c r="O175" i="13"/>
  <c r="O43" i="13" s="1"/>
  <c r="T167" i="13"/>
  <c r="T102" i="13" s="1"/>
  <c r="S37" i="13"/>
  <c r="AK13" i="13"/>
  <c r="AI90" i="14"/>
  <c r="BF134" i="12"/>
  <c r="AR140" i="13"/>
  <c r="AR8" i="13" s="1"/>
  <c r="B57" i="14"/>
  <c r="C57" i="14" s="1"/>
  <c r="B56" i="13"/>
  <c r="H51" i="13" s="1"/>
  <c r="B56" i="12"/>
  <c r="C56" i="12" s="1"/>
  <c r="H117" i="13"/>
  <c r="AK16" i="13"/>
  <c r="AH20" i="13"/>
  <c r="J180" i="13"/>
  <c r="J48" i="13" s="1"/>
  <c r="W93" i="13"/>
  <c r="W158" i="13"/>
  <c r="AH152" i="13"/>
  <c r="AH87" i="13" s="1"/>
  <c r="BB32" i="4"/>
  <c r="AZ179" i="12"/>
  <c r="AZ180" i="12"/>
  <c r="AZ181" i="12"/>
  <c r="AZ182" i="12"/>
  <c r="AC22" i="13"/>
  <c r="AC97" i="14"/>
  <c r="AD155" i="13"/>
  <c r="AD90" i="13" s="1"/>
  <c r="I123" i="14"/>
  <c r="J123" i="14" s="1"/>
  <c r="R39" i="13"/>
  <c r="H119" i="12"/>
  <c r="F120" i="12"/>
  <c r="J119" i="12"/>
  <c r="K184" i="12" s="1"/>
  <c r="I119" i="12"/>
  <c r="J184" i="12" s="1"/>
  <c r="K119" i="12"/>
  <c r="L184" i="12" s="1"/>
  <c r="L119" i="12"/>
  <c r="M184" i="12" s="1"/>
  <c r="M119" i="12"/>
  <c r="N184" i="12" s="1"/>
  <c r="N119" i="12"/>
  <c r="O184" i="12" s="1"/>
  <c r="O119" i="12"/>
  <c r="P119" i="12"/>
  <c r="Q184" i="12" s="1"/>
  <c r="Q119" i="12"/>
  <c r="R119" i="12"/>
  <c r="S184" i="12" s="1"/>
  <c r="S119" i="12"/>
  <c r="T184" i="12" s="1"/>
  <c r="T119" i="12"/>
  <c r="U184" i="12" s="1"/>
  <c r="U119" i="12"/>
  <c r="V184" i="12" s="1"/>
  <c r="V119" i="12"/>
  <c r="W184" i="12" s="1"/>
  <c r="W119" i="12"/>
  <c r="X119" i="12"/>
  <c r="Y184" i="12" s="1"/>
  <c r="Y119" i="12"/>
  <c r="Z119" i="12"/>
  <c r="AA184" i="12" s="1"/>
  <c r="AA119" i="12"/>
  <c r="AB184" i="12" s="1"/>
  <c r="AB119" i="12"/>
  <c r="AC184" i="12" s="1"/>
  <c r="AC119" i="12"/>
  <c r="AD184" i="12" s="1"/>
  <c r="AD119" i="12"/>
  <c r="AE184" i="12" s="1"/>
  <c r="AE119" i="12"/>
  <c r="AF119" i="12"/>
  <c r="AG184" i="12" s="1"/>
  <c r="AG119" i="12"/>
  <c r="AH119" i="12"/>
  <c r="AI184" i="12" s="1"/>
  <c r="AI119" i="12"/>
  <c r="AJ184" i="12" s="1"/>
  <c r="AJ119" i="12"/>
  <c r="AK184" i="12" s="1"/>
  <c r="AK119" i="12"/>
  <c r="AL184" i="12" s="1"/>
  <c r="AL119" i="12"/>
  <c r="AM184" i="12" s="1"/>
  <c r="AM119" i="12"/>
  <c r="AN119" i="12"/>
  <c r="AO184" i="12" s="1"/>
  <c r="AO119" i="12"/>
  <c r="AP119" i="12"/>
  <c r="AQ184" i="12" s="1"/>
  <c r="AQ119" i="12"/>
  <c r="AR184" i="12" s="1"/>
  <c r="AR119" i="12"/>
  <c r="AS184" i="12" s="1"/>
  <c r="AS119" i="12"/>
  <c r="AT184" i="12" s="1"/>
  <c r="AT119" i="12"/>
  <c r="AU184" i="12" s="1"/>
  <c r="AU119" i="12"/>
  <c r="AV119" i="12"/>
  <c r="AW184" i="12" s="1"/>
  <c r="AW119" i="12"/>
  <c r="AX119" i="12"/>
  <c r="AY184" i="12" s="1"/>
  <c r="AY119" i="12"/>
  <c r="AZ184" i="12" s="1"/>
  <c r="AZ119" i="12"/>
  <c r="BA184" i="12" s="1"/>
  <c r="BA119" i="12"/>
  <c r="BB119" i="12"/>
  <c r="BC119" i="12"/>
  <c r="AC19" i="13"/>
  <c r="AL145" i="13" l="1"/>
  <c r="AL80" i="13" s="1"/>
  <c r="Y166" i="13"/>
  <c r="Y109" i="14" s="1"/>
  <c r="U102" i="13"/>
  <c r="U167" i="13"/>
  <c r="U35" i="13" s="1"/>
  <c r="N176" i="13"/>
  <c r="N111" i="13" s="1"/>
  <c r="AE155" i="13"/>
  <c r="AE90" i="13" s="1"/>
  <c r="AI152" i="13"/>
  <c r="AI20" i="13" s="1"/>
  <c r="C58" i="14"/>
  <c r="AH150" i="13"/>
  <c r="AH18" i="13" s="1"/>
  <c r="AM137" i="13"/>
  <c r="AM72" i="13" s="1"/>
  <c r="AB162" i="13"/>
  <c r="AB105" i="14" s="1"/>
  <c r="AT142" i="13"/>
  <c r="AT77" i="13" s="1"/>
  <c r="F186" i="12"/>
  <c r="H185" i="12"/>
  <c r="AR136" i="13"/>
  <c r="AR4" i="13" s="1"/>
  <c r="E119" i="12"/>
  <c r="E62" i="14" s="1"/>
  <c r="E53" i="12"/>
  <c r="BF46" i="4"/>
  <c r="BF3" i="4"/>
  <c r="AR75" i="13"/>
  <c r="AL88" i="14"/>
  <c r="AH89" i="14"/>
  <c r="AG93" i="14"/>
  <c r="R170" i="13"/>
  <c r="R38" i="13" s="1"/>
  <c r="AL148" i="13"/>
  <c r="AL83" i="13" s="1"/>
  <c r="S171" i="13"/>
  <c r="S114" i="14" s="1"/>
  <c r="J115" i="13"/>
  <c r="BH134" i="13"/>
  <c r="AG85" i="13"/>
  <c r="U110" i="14"/>
  <c r="W159" i="13"/>
  <c r="W94" i="13" s="1"/>
  <c r="T112" i="14"/>
  <c r="BG69" i="12"/>
  <c r="H118" i="13"/>
  <c r="BE11" i="14"/>
  <c r="BE76" i="14" s="1"/>
  <c r="BE68" i="13"/>
  <c r="J181" i="13"/>
  <c r="J124" i="14" s="1"/>
  <c r="AC86" i="13"/>
  <c r="AK78" i="13"/>
  <c r="D118" i="13"/>
  <c r="D126" i="14" s="1"/>
  <c r="D52" i="13"/>
  <c r="AQ79" i="14"/>
  <c r="AR79" i="14" s="1"/>
  <c r="AS85" i="14"/>
  <c r="G56" i="11"/>
  <c r="J55" i="11"/>
  <c r="I55" i="11"/>
  <c r="H55" i="11"/>
  <c r="C56" i="13"/>
  <c r="C57" i="13" s="1"/>
  <c r="AK138" i="13"/>
  <c r="AK73" i="13" s="1"/>
  <c r="N119" i="14"/>
  <c r="H126" i="14"/>
  <c r="AB104" i="14"/>
  <c r="V99" i="13"/>
  <c r="V164" i="13"/>
  <c r="AK12" i="13"/>
  <c r="AH95" i="14"/>
  <c r="AI95" i="14" s="1"/>
  <c r="AB161" i="13"/>
  <c r="AB29" i="13" s="1"/>
  <c r="E54" i="13" a="1"/>
  <c r="E54" i="13" s="1"/>
  <c r="F55" i="13"/>
  <c r="B58" i="14"/>
  <c r="B57" i="13"/>
  <c r="B57" i="12"/>
  <c r="C57" i="12" s="1"/>
  <c r="AM80" i="14"/>
  <c r="AL16" i="13"/>
  <c r="K46" i="13"/>
  <c r="K121" i="14"/>
  <c r="AD154" i="13"/>
  <c r="AD89" i="13" s="1"/>
  <c r="I182" i="13"/>
  <c r="I125" i="14" s="1"/>
  <c r="BG134" i="12"/>
  <c r="T165" i="13"/>
  <c r="T33" i="13" s="1"/>
  <c r="K113" i="13"/>
  <c r="AK79" i="13"/>
  <c r="AR83" i="14"/>
  <c r="AY7" i="15"/>
  <c r="AY18" i="15"/>
  <c r="K14" i="2"/>
  <c r="I50" i="13"/>
  <c r="N44" i="13"/>
  <c r="V32" i="13"/>
  <c r="L179" i="13"/>
  <c r="L122" i="14" s="1"/>
  <c r="E185" i="13"/>
  <c r="E120" i="13"/>
  <c r="G53" i="13"/>
  <c r="AD98" i="14"/>
  <c r="AE98" i="14" s="1"/>
  <c r="AD23" i="13"/>
  <c r="AE23" i="13" s="1"/>
  <c r="AL13" i="13"/>
  <c r="F121" i="12"/>
  <c r="H120" i="12"/>
  <c r="I120" i="12"/>
  <c r="J120" i="12"/>
  <c r="K185" i="12" s="1"/>
  <c r="K120" i="12"/>
  <c r="L120" i="12"/>
  <c r="M120" i="12"/>
  <c r="N120" i="12"/>
  <c r="O120" i="12"/>
  <c r="P120" i="12"/>
  <c r="Q120" i="12"/>
  <c r="R120" i="12"/>
  <c r="S185" i="12" s="1"/>
  <c r="S120" i="12"/>
  <c r="T120" i="12"/>
  <c r="U120" i="12"/>
  <c r="V120" i="12"/>
  <c r="W120" i="12"/>
  <c r="X120" i="12"/>
  <c r="Y120" i="12"/>
  <c r="Z120" i="12"/>
  <c r="AA185" i="12" s="1"/>
  <c r="AA120" i="12"/>
  <c r="AB120" i="12"/>
  <c r="AC120" i="12"/>
  <c r="AD120" i="12"/>
  <c r="AE120" i="12"/>
  <c r="AF120" i="12"/>
  <c r="AG120" i="12"/>
  <c r="AH120" i="12"/>
  <c r="AI185" i="12" s="1"/>
  <c r="AI120" i="12"/>
  <c r="AJ120" i="12"/>
  <c r="AK120" i="12"/>
  <c r="AL120" i="12"/>
  <c r="AM120" i="12"/>
  <c r="AN120" i="12"/>
  <c r="AO120" i="12"/>
  <c r="AP120" i="12"/>
  <c r="AQ185" i="12" s="1"/>
  <c r="AQ120" i="12"/>
  <c r="AR120" i="12"/>
  <c r="AS120" i="12"/>
  <c r="AT120" i="12"/>
  <c r="AU120" i="12"/>
  <c r="AV120" i="12"/>
  <c r="AW120" i="12"/>
  <c r="AX120" i="12"/>
  <c r="AY185" i="12" s="1"/>
  <c r="AY120" i="12"/>
  <c r="AZ120" i="12"/>
  <c r="BA120" i="12"/>
  <c r="BB120" i="12"/>
  <c r="BC120" i="12"/>
  <c r="BD120" i="12"/>
  <c r="T108" i="14"/>
  <c r="AK81" i="14"/>
  <c r="AY7" i="7"/>
  <c r="AZ3" i="7" s="1"/>
  <c r="AY4" i="7"/>
  <c r="BC174" i="4"/>
  <c r="BC178" i="4" s="1"/>
  <c r="AL91" i="14"/>
  <c r="V107" i="14"/>
  <c r="U168" i="13"/>
  <c r="U36" i="13" s="1"/>
  <c r="W163" i="13"/>
  <c r="T104" i="13"/>
  <c r="T169" i="13"/>
  <c r="T37" i="13" s="1"/>
  <c r="N177" i="13"/>
  <c r="N45" i="13" s="1"/>
  <c r="AC92" i="13"/>
  <c r="AC157" i="13"/>
  <c r="AX10" i="15"/>
  <c r="AX14" i="15" s="1"/>
  <c r="BB184" i="12" s="1"/>
  <c r="BE30" i="4"/>
  <c r="AB30" i="13"/>
  <c r="O110" i="13"/>
  <c r="BC32" i="4"/>
  <c r="BA180" i="12"/>
  <c r="BA181" i="12"/>
  <c r="BA182" i="12"/>
  <c r="AN139" i="13"/>
  <c r="AN82" i="14" s="1"/>
  <c r="H62" i="14"/>
  <c r="F63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AE149" i="13"/>
  <c r="AE84" i="13" s="1"/>
  <c r="AG153" i="13"/>
  <c r="AX6" i="7"/>
  <c r="BB177" i="4" s="1"/>
  <c r="BB175" i="4"/>
  <c r="O173" i="13"/>
  <c r="BE54" i="12"/>
  <c r="BE53" i="12"/>
  <c r="BF2" i="12"/>
  <c r="H52" i="13"/>
  <c r="Q40" i="13"/>
  <c r="AN9" i="13"/>
  <c r="AH81" i="13"/>
  <c r="O118" i="14"/>
  <c r="X158" i="13"/>
  <c r="X93" i="13" s="1"/>
  <c r="X101" i="14"/>
  <c r="AN76" i="13"/>
  <c r="AN141" i="13"/>
  <c r="W102" i="14"/>
  <c r="AM5" i="13"/>
  <c r="BE120" i="12"/>
  <c r="AI135" i="13"/>
  <c r="AC100" i="14"/>
  <c r="BF12" i="14"/>
  <c r="R113" i="14"/>
  <c r="AN7" i="13"/>
  <c r="L47" i="13"/>
  <c r="AZ6" i="15"/>
  <c r="BD8" i="14"/>
  <c r="BD1" i="14"/>
  <c r="E127" i="14"/>
  <c r="G127" i="14" s="1"/>
  <c r="H127" i="14" s="1"/>
  <c r="G119" i="13"/>
  <c r="H119" i="13" s="1"/>
  <c r="AN84" i="14"/>
  <c r="W27" i="13"/>
  <c r="H53" i="12"/>
  <c r="I185" i="12" s="1"/>
  <c r="F54" i="12"/>
  <c r="I53" i="12"/>
  <c r="J185" i="12" s="1"/>
  <c r="J53" i="12"/>
  <c r="K53" i="12"/>
  <c r="L185" i="12" s="1"/>
  <c r="L53" i="12"/>
  <c r="M185" i="12" s="1"/>
  <c r="M53" i="12"/>
  <c r="N185" i="12" s="1"/>
  <c r="N53" i="12"/>
  <c r="O185" i="12" s="1"/>
  <c r="O53" i="12"/>
  <c r="P185" i="12" s="1"/>
  <c r="P53" i="12"/>
  <c r="Q185" i="12" s="1"/>
  <c r="Q53" i="12"/>
  <c r="R185" i="12" s="1"/>
  <c r="R53" i="12"/>
  <c r="S53" i="12"/>
  <c r="T185" i="12" s="1"/>
  <c r="T53" i="12"/>
  <c r="U185" i="12" s="1"/>
  <c r="U53" i="12"/>
  <c r="V185" i="12" s="1"/>
  <c r="V53" i="12"/>
  <c r="W185" i="12" s="1"/>
  <c r="W53" i="12"/>
  <c r="X185" i="12" s="1"/>
  <c r="X53" i="12"/>
  <c r="Y185" i="12" s="1"/>
  <c r="Y53" i="12"/>
  <c r="Z185" i="12" s="1"/>
  <c r="Z53" i="12"/>
  <c r="AA53" i="12"/>
  <c r="AB185" i="12" s="1"/>
  <c r="AB53" i="12"/>
  <c r="AC185" i="12" s="1"/>
  <c r="AC53" i="12"/>
  <c r="AD185" i="12" s="1"/>
  <c r="AD53" i="12"/>
  <c r="AE185" i="12" s="1"/>
  <c r="AE53" i="12"/>
  <c r="AF185" i="12" s="1"/>
  <c r="AF53" i="12"/>
  <c r="AG185" i="12" s="1"/>
  <c r="AG53" i="12"/>
  <c r="AH185" i="12" s="1"/>
  <c r="AH53" i="12"/>
  <c r="AI53" i="12"/>
  <c r="AJ185" i="12" s="1"/>
  <c r="AJ53" i="12"/>
  <c r="AK185" i="12" s="1"/>
  <c r="AK53" i="12"/>
  <c r="AL185" i="12" s="1"/>
  <c r="AL53" i="12"/>
  <c r="AM185" i="12" s="1"/>
  <c r="AM53" i="12"/>
  <c r="AN185" i="12" s="1"/>
  <c r="AN53" i="12"/>
  <c r="AO185" i="12" s="1"/>
  <c r="AO53" i="12"/>
  <c r="AP185" i="12" s="1"/>
  <c r="AP53" i="12"/>
  <c r="AQ53" i="12"/>
  <c r="AR185" i="12" s="1"/>
  <c r="AR53" i="12"/>
  <c r="AS185" i="12" s="1"/>
  <c r="AS53" i="12"/>
  <c r="AT185" i="12" s="1"/>
  <c r="AT53" i="12"/>
  <c r="AU185" i="12" s="1"/>
  <c r="AU53" i="12"/>
  <c r="AV185" i="12" s="1"/>
  <c r="AV53" i="12"/>
  <c r="AW185" i="12" s="1"/>
  <c r="AW53" i="12"/>
  <c r="AX185" i="12" s="1"/>
  <c r="AX53" i="12"/>
  <c r="AY53" i="12"/>
  <c r="AZ185" i="12" s="1"/>
  <c r="AZ53" i="12"/>
  <c r="BA185" i="12" s="1"/>
  <c r="BA53" i="12"/>
  <c r="BB185" i="12" s="1"/>
  <c r="BB53" i="12"/>
  <c r="BC53" i="12"/>
  <c r="AE156" i="13"/>
  <c r="AE91" i="13" s="1"/>
  <c r="W26" i="13"/>
  <c r="BF1" i="13"/>
  <c r="BF68" i="12"/>
  <c r="BG1" i="12"/>
  <c r="AC25" i="13"/>
  <c r="BE7" i="14"/>
  <c r="BG13" i="4"/>
  <c r="BE2" i="14" s="1"/>
  <c r="BG29" i="4"/>
  <c r="BA11" i="15" s="1"/>
  <c r="BG8" i="4"/>
  <c r="BG46" i="4" s="1"/>
  <c r="BH9" i="4"/>
  <c r="BG6" i="4"/>
  <c r="P174" i="13"/>
  <c r="P117" i="14" s="1"/>
  <c r="AJ147" i="13"/>
  <c r="AJ15" i="13" s="1"/>
  <c r="Z160" i="13"/>
  <c r="Z28" i="13" s="1"/>
  <c r="Q172" i="13"/>
  <c r="Q115" i="14" s="1"/>
  <c r="BA183" i="12"/>
  <c r="Y158" i="13" l="1"/>
  <c r="Y93" i="13" s="1"/>
  <c r="AF90" i="13"/>
  <c r="AF155" i="13"/>
  <c r="X94" i="13"/>
  <c r="X159" i="13"/>
  <c r="O176" i="13"/>
  <c r="O111" i="13" s="1"/>
  <c r="AU142" i="13"/>
  <c r="AU77" i="13" s="1"/>
  <c r="AF156" i="13"/>
  <c r="AF91" i="13" s="1"/>
  <c r="AE154" i="13"/>
  <c r="AE89" i="13" s="1"/>
  <c r="AN137" i="13"/>
  <c r="AN72" i="13" s="1"/>
  <c r="AF149" i="13"/>
  <c r="AL138" i="13"/>
  <c r="AL73" i="13" s="1"/>
  <c r="AM83" i="13"/>
  <c r="AM148" i="13"/>
  <c r="AI78" i="14"/>
  <c r="AL144" i="13"/>
  <c r="AL87" i="14" s="1"/>
  <c r="L46" i="13"/>
  <c r="E55" i="13" a="1"/>
  <c r="E55" i="13" s="1"/>
  <c r="F56" i="13"/>
  <c r="W164" i="13"/>
  <c r="W107" i="14" s="1"/>
  <c r="N120" i="14"/>
  <c r="AE99" i="14"/>
  <c r="AT10" i="13"/>
  <c r="AO141" i="13"/>
  <c r="AO76" i="13" s="1"/>
  <c r="U103" i="13"/>
  <c r="O44" i="13"/>
  <c r="L113" i="13"/>
  <c r="L178" i="13"/>
  <c r="E186" i="13"/>
  <c r="E121" i="13"/>
  <c r="G54" i="13"/>
  <c r="D119" i="13"/>
  <c r="D127" i="14" s="1"/>
  <c r="D53" i="13"/>
  <c r="I118" i="13"/>
  <c r="I183" i="13"/>
  <c r="I51" i="13" s="1"/>
  <c r="S106" i="13"/>
  <c r="E120" i="12"/>
  <c r="E63" i="14" s="1"/>
  <c r="E54" i="12"/>
  <c r="AD157" i="13"/>
  <c r="AD92" i="13" s="1"/>
  <c r="W32" i="13"/>
  <c r="AJ82" i="13"/>
  <c r="AD25" i="13"/>
  <c r="N112" i="13"/>
  <c r="E128" i="14"/>
  <c r="G128" i="14" s="1"/>
  <c r="G120" i="13"/>
  <c r="AM16" i="13"/>
  <c r="I126" i="14"/>
  <c r="AE92" i="14"/>
  <c r="S39" i="13"/>
  <c r="P42" i="13"/>
  <c r="V167" i="13"/>
  <c r="V35" i="13" s="1"/>
  <c r="Y101" i="14"/>
  <c r="O41" i="13"/>
  <c r="O116" i="14"/>
  <c r="H63" i="14"/>
  <c r="F64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P109" i="13"/>
  <c r="X27" i="13"/>
  <c r="BE63" i="14"/>
  <c r="O108" i="13"/>
  <c r="P175" i="13"/>
  <c r="P43" i="13" s="1"/>
  <c r="AM91" i="14"/>
  <c r="F122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X121" i="12"/>
  <c r="AY121" i="12"/>
  <c r="AZ121" i="12"/>
  <c r="BA121" i="12"/>
  <c r="BB121" i="12"/>
  <c r="BC121" i="12"/>
  <c r="BD121" i="12"/>
  <c r="BE121" i="12"/>
  <c r="T100" i="13"/>
  <c r="BH134" i="12"/>
  <c r="I117" i="13"/>
  <c r="AD97" i="14"/>
  <c r="AE97" i="14" s="1"/>
  <c r="AB96" i="13"/>
  <c r="O119" i="14"/>
  <c r="B59" i="14"/>
  <c r="C59" i="14" s="1"/>
  <c r="B58" i="13"/>
  <c r="C58" i="13" s="1"/>
  <c r="B58" i="12"/>
  <c r="C58" i="12" s="1"/>
  <c r="AL143" i="13"/>
  <c r="AS75" i="13"/>
  <c r="AS140" i="13"/>
  <c r="AS8" i="13" s="1"/>
  <c r="AK6" i="13"/>
  <c r="AL6" i="13" s="1"/>
  <c r="AE24" i="13"/>
  <c r="AF24" i="13" s="1"/>
  <c r="BG12" i="14"/>
  <c r="BG1" i="13"/>
  <c r="BG68" i="12"/>
  <c r="BH1" i="12"/>
  <c r="AZ7" i="15"/>
  <c r="AZ18" i="15"/>
  <c r="U104" i="13"/>
  <c r="U169" i="13"/>
  <c r="U37" i="13" s="1"/>
  <c r="U111" i="14"/>
  <c r="AN80" i="14"/>
  <c r="AD151" i="13"/>
  <c r="V110" i="14"/>
  <c r="AB97" i="13"/>
  <c r="Y101" i="13"/>
  <c r="AJ90" i="14"/>
  <c r="H54" i="12"/>
  <c r="F55" i="12"/>
  <c r="BF55" i="12" s="1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F54" i="12"/>
  <c r="BG2" i="12"/>
  <c r="AI3" i="13"/>
  <c r="AN5" i="13"/>
  <c r="Q107" i="13"/>
  <c r="BF7" i="14"/>
  <c r="BH29" i="4"/>
  <c r="BB11" i="15" s="1"/>
  <c r="BI9" i="4"/>
  <c r="BH8" i="4"/>
  <c r="BH46" i="4" s="1"/>
  <c r="BH13" i="4"/>
  <c r="BF2" i="14" s="1"/>
  <c r="BH6" i="4"/>
  <c r="X102" i="14"/>
  <c r="AN74" i="13"/>
  <c r="AY10" i="15"/>
  <c r="BF30" i="4"/>
  <c r="AM13" i="13"/>
  <c r="AM145" i="13"/>
  <c r="AM88" i="14" s="1"/>
  <c r="L114" i="13"/>
  <c r="AD22" i="13"/>
  <c r="AE22" i="13" s="1"/>
  <c r="AL12" i="13"/>
  <c r="BF121" i="12"/>
  <c r="R105" i="13"/>
  <c r="AR71" i="13"/>
  <c r="AI87" i="13"/>
  <c r="BA6" i="15"/>
  <c r="BE8" i="14"/>
  <c r="BE1" i="14"/>
  <c r="AE17" i="13"/>
  <c r="AF17" i="13" s="1"/>
  <c r="BF11" i="14"/>
  <c r="BF76" i="14" s="1"/>
  <c r="BF68" i="13"/>
  <c r="AY6" i="7"/>
  <c r="BC177" i="4" s="1"/>
  <c r="BC175" i="4"/>
  <c r="AS83" i="14"/>
  <c r="Y34" i="13"/>
  <c r="H56" i="11"/>
  <c r="G57" i="11"/>
  <c r="I56" i="11"/>
  <c r="J56" i="11"/>
  <c r="J116" i="13"/>
  <c r="AH85" i="13"/>
  <c r="K115" i="13"/>
  <c r="K180" i="13"/>
  <c r="AO9" i="13"/>
  <c r="AI70" i="13"/>
  <c r="AO84" i="14"/>
  <c r="P118" i="14"/>
  <c r="AG96" i="14"/>
  <c r="AG21" i="13"/>
  <c r="BD32" i="4"/>
  <c r="BB181" i="12"/>
  <c r="BB182" i="12"/>
  <c r="BB183" i="12"/>
  <c r="W31" i="13"/>
  <c r="W106" i="14"/>
  <c r="AF23" i="13"/>
  <c r="Z95" i="13"/>
  <c r="X26" i="13"/>
  <c r="Y26" i="13" s="1"/>
  <c r="I184" i="13"/>
  <c r="I127" i="14" s="1"/>
  <c r="AD100" i="14"/>
  <c r="AI81" i="13"/>
  <c r="AI146" i="13"/>
  <c r="AI14" i="13" s="1"/>
  <c r="AG88" i="13"/>
  <c r="W98" i="13"/>
  <c r="AZ4" i="7"/>
  <c r="AZ7" i="7"/>
  <c r="BA3" i="7" s="1"/>
  <c r="BD174" i="4"/>
  <c r="BD178" i="4" s="1"/>
  <c r="AF98" i="14"/>
  <c r="Z103" i="14"/>
  <c r="L121" i="14"/>
  <c r="AT85" i="14"/>
  <c r="AU85" i="14" s="1"/>
  <c r="BG122" i="12"/>
  <c r="BH69" i="12"/>
  <c r="BI134" i="13"/>
  <c r="AH93" i="14"/>
  <c r="J49" i="13"/>
  <c r="F187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X186" i="12"/>
  <c r="AY186" i="12"/>
  <c r="AZ186" i="12"/>
  <c r="BA186" i="12"/>
  <c r="BB186" i="12"/>
  <c r="AF89" i="13" l="1"/>
  <c r="AF154" i="13"/>
  <c r="C60" i="14"/>
  <c r="AP76" i="13"/>
  <c r="AP141" i="13"/>
  <c r="AG91" i="13"/>
  <c r="AG156" i="13"/>
  <c r="AE92" i="13"/>
  <c r="AE157" i="13"/>
  <c r="AV77" i="13"/>
  <c r="AV142" i="13"/>
  <c r="P176" i="13"/>
  <c r="P111" i="13" s="1"/>
  <c r="AM73" i="13"/>
  <c r="AM138" i="13"/>
  <c r="AO72" i="13"/>
  <c r="AO137" i="13"/>
  <c r="AE100" i="14"/>
  <c r="B60" i="14"/>
  <c r="B59" i="13"/>
  <c r="C59" i="13" s="1"/>
  <c r="B59" i="12"/>
  <c r="C59" i="12" s="1"/>
  <c r="BI69" i="12"/>
  <c r="X163" i="13"/>
  <c r="X31" i="13" s="1"/>
  <c r="AA95" i="13"/>
  <c r="AA160" i="13"/>
  <c r="AA28" i="13" s="1"/>
  <c r="K48" i="13"/>
  <c r="K123" i="14"/>
  <c r="Z34" i="13"/>
  <c r="AJ87" i="13"/>
  <c r="AJ152" i="13"/>
  <c r="BB6" i="15"/>
  <c r="BF1" i="14"/>
  <c r="BF8" i="14"/>
  <c r="AO80" i="14"/>
  <c r="AT140" i="13"/>
  <c r="AT8" i="13" s="1"/>
  <c r="AF97" i="14"/>
  <c r="U165" i="13"/>
  <c r="I52" i="13"/>
  <c r="J126" i="14"/>
  <c r="AI89" i="14"/>
  <c r="H54" i="13"/>
  <c r="V103" i="13"/>
  <c r="V168" i="13"/>
  <c r="V36" i="13" s="1"/>
  <c r="BA7" i="7"/>
  <c r="BB3" i="7" s="1"/>
  <c r="BA4" i="7"/>
  <c r="BE174" i="4"/>
  <c r="BE178" i="4" s="1"/>
  <c r="I119" i="13"/>
  <c r="Z101" i="13"/>
  <c r="Z166" i="13"/>
  <c r="Z109" i="14" s="1"/>
  <c r="AL86" i="14"/>
  <c r="AL11" i="13"/>
  <c r="J182" i="13"/>
  <c r="J117" i="13" s="1"/>
  <c r="Y159" i="13"/>
  <c r="Y94" i="13" s="1"/>
  <c r="T106" i="13"/>
  <c r="T171" i="13"/>
  <c r="T114" i="14" s="1"/>
  <c r="E129" i="14"/>
  <c r="G129" i="14" s="1"/>
  <c r="H129" i="14" s="1"/>
  <c r="G121" i="13"/>
  <c r="H121" i="13" s="1"/>
  <c r="W99" i="13"/>
  <c r="AM80" i="13"/>
  <c r="AP9" i="13"/>
  <c r="J57" i="11"/>
  <c r="I57" i="11"/>
  <c r="H57" i="11"/>
  <c r="G58" i="11"/>
  <c r="AV85" i="14"/>
  <c r="AH88" i="13"/>
  <c r="AH153" i="13"/>
  <c r="AG23" i="13"/>
  <c r="AH21" i="13"/>
  <c r="L180" i="13"/>
  <c r="L115" i="13" s="1"/>
  <c r="AS71" i="13"/>
  <c r="AS136" i="13"/>
  <c r="H187" i="12"/>
  <c r="F188" i="12"/>
  <c r="I187" i="12"/>
  <c r="BJ134" i="13"/>
  <c r="AJ14" i="13"/>
  <c r="AH96" i="14"/>
  <c r="AI85" i="13"/>
  <c r="AI150" i="13"/>
  <c r="AI18" i="13" s="1"/>
  <c r="AL81" i="14"/>
  <c r="AM81" i="14" s="1"/>
  <c r="S170" i="13"/>
  <c r="AZ10" i="15"/>
  <c r="BG30" i="4"/>
  <c r="BG7" i="14"/>
  <c r="BJ9" i="4"/>
  <c r="BI8" i="4"/>
  <c r="BI46" i="4" s="1"/>
  <c r="BI13" i="4"/>
  <c r="BG2" i="14" s="1"/>
  <c r="BI29" i="4"/>
  <c r="BC11" i="15" s="1"/>
  <c r="BI6" i="4"/>
  <c r="AC97" i="13"/>
  <c r="AC162" i="13"/>
  <c r="V111" i="14"/>
  <c r="AL78" i="13"/>
  <c r="BI134" i="12"/>
  <c r="Q109" i="13"/>
  <c r="Q174" i="13"/>
  <c r="Q117" i="14" s="1"/>
  <c r="U112" i="14"/>
  <c r="F57" i="13"/>
  <c r="E56" i="13" a="1"/>
  <c r="E56" i="13" s="1"/>
  <c r="AF84" i="13"/>
  <c r="AA103" i="14"/>
  <c r="AJ81" i="13"/>
  <c r="AJ146" i="13"/>
  <c r="K181" i="13"/>
  <c r="K124" i="14" s="1"/>
  <c r="AY14" i="15"/>
  <c r="K15" i="2"/>
  <c r="BH2" i="12"/>
  <c r="BG55" i="12"/>
  <c r="BH1" i="13"/>
  <c r="BH68" i="12"/>
  <c r="BI1" i="12"/>
  <c r="H122" i="12"/>
  <c r="F123" i="12"/>
  <c r="BH123" i="12" s="1"/>
  <c r="J122" i="12"/>
  <c r="I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V102" i="13"/>
  <c r="J51" i="13"/>
  <c r="AU10" i="13"/>
  <c r="AV10" i="13" s="1"/>
  <c r="E187" i="13"/>
  <c r="E122" i="13"/>
  <c r="G55" i="13"/>
  <c r="AP84" i="14"/>
  <c r="AO74" i="13"/>
  <c r="AO139" i="13"/>
  <c r="V104" i="13"/>
  <c r="V169" i="13"/>
  <c r="V37" i="13" s="1"/>
  <c r="H64" i="14"/>
  <c r="F65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Q42" i="13"/>
  <c r="H120" i="13"/>
  <c r="J118" i="13"/>
  <c r="J183" i="13"/>
  <c r="M113" i="13"/>
  <c r="M178" i="13"/>
  <c r="M121" i="14" s="1"/>
  <c r="AF99" i="14"/>
  <c r="AG99" i="14" s="1"/>
  <c r="M46" i="13"/>
  <c r="AN148" i="13"/>
  <c r="AN16" i="13" s="1"/>
  <c r="AG90" i="13"/>
  <c r="AG155" i="13"/>
  <c r="AI93" i="14"/>
  <c r="AJ135" i="13"/>
  <c r="AJ78" i="14" s="1"/>
  <c r="Y102" i="14"/>
  <c r="R107" i="13"/>
  <c r="R172" i="13"/>
  <c r="AD94" i="14"/>
  <c r="AD19" i="13"/>
  <c r="BG11" i="14"/>
  <c r="BG76" i="14" s="1"/>
  <c r="BG68" i="13"/>
  <c r="AG24" i="13"/>
  <c r="T39" i="13"/>
  <c r="H128" i="14"/>
  <c r="E121" i="12"/>
  <c r="E64" i="14" s="1"/>
  <c r="E55" i="12"/>
  <c r="D120" i="13"/>
  <c r="D128" i="14" s="1"/>
  <c r="D54" i="13"/>
  <c r="P44" i="13"/>
  <c r="O120" i="14"/>
  <c r="AF22" i="13"/>
  <c r="AO5" i="13"/>
  <c r="F56" i="12"/>
  <c r="H55" i="12"/>
  <c r="I55" i="12"/>
  <c r="J187" i="12" s="1"/>
  <c r="J55" i="12"/>
  <c r="K187" i="12" s="1"/>
  <c r="K55" i="12"/>
  <c r="L187" i="12" s="1"/>
  <c r="L55" i="12"/>
  <c r="M187" i="12" s="1"/>
  <c r="M55" i="12"/>
  <c r="N187" i="12" s="1"/>
  <c r="N55" i="12"/>
  <c r="O187" i="12" s="1"/>
  <c r="O55" i="12"/>
  <c r="P187" i="12" s="1"/>
  <c r="P55" i="12"/>
  <c r="Q187" i="12" s="1"/>
  <c r="Q55" i="12"/>
  <c r="R187" i="12" s="1"/>
  <c r="R55" i="12"/>
  <c r="S187" i="12" s="1"/>
  <c r="S55" i="12"/>
  <c r="T187" i="12" s="1"/>
  <c r="T55" i="12"/>
  <c r="U187" i="12" s="1"/>
  <c r="U55" i="12"/>
  <c r="V187" i="12" s="1"/>
  <c r="V55" i="12"/>
  <c r="W187" i="12" s="1"/>
  <c r="W55" i="12"/>
  <c r="X187" i="12" s="1"/>
  <c r="X55" i="12"/>
  <c r="Y187" i="12" s="1"/>
  <c r="Y55" i="12"/>
  <c r="Z187" i="12" s="1"/>
  <c r="Z55" i="12"/>
  <c r="AA187" i="12" s="1"/>
  <c r="AA55" i="12"/>
  <c r="AB187" i="12" s="1"/>
  <c r="AB55" i="12"/>
  <c r="AC187" i="12" s="1"/>
  <c r="AC55" i="12"/>
  <c r="AD187" i="12" s="1"/>
  <c r="AD55" i="12"/>
  <c r="AE187" i="12" s="1"/>
  <c r="AE55" i="12"/>
  <c r="AF187" i="12" s="1"/>
  <c r="AF55" i="12"/>
  <c r="AG187" i="12" s="1"/>
  <c r="AG55" i="12"/>
  <c r="AH187" i="12" s="1"/>
  <c r="AH55" i="12"/>
  <c r="AI187" i="12" s="1"/>
  <c r="AI55" i="12"/>
  <c r="AJ187" i="12" s="1"/>
  <c r="AJ55" i="12"/>
  <c r="AK187" i="12" s="1"/>
  <c r="AK55" i="12"/>
  <c r="AL187" i="12" s="1"/>
  <c r="AL55" i="12"/>
  <c r="AM187" i="12" s="1"/>
  <c r="AM55" i="12"/>
  <c r="AN187" i="12" s="1"/>
  <c r="AN55" i="12"/>
  <c r="AO187" i="12" s="1"/>
  <c r="AO55" i="12"/>
  <c r="AP187" i="12" s="1"/>
  <c r="AP55" i="12"/>
  <c r="AQ187" i="12" s="1"/>
  <c r="AQ55" i="12"/>
  <c r="AR187" i="12" s="1"/>
  <c r="AR55" i="12"/>
  <c r="AS187" i="12" s="1"/>
  <c r="AS55" i="12"/>
  <c r="AT187" i="12" s="1"/>
  <c r="AT55" i="12"/>
  <c r="AU187" i="12" s="1"/>
  <c r="AU55" i="12"/>
  <c r="AV187" i="12" s="1"/>
  <c r="AV55" i="12"/>
  <c r="AW187" i="12" s="1"/>
  <c r="AW55" i="12"/>
  <c r="AX187" i="12" s="1"/>
  <c r="AX55" i="12"/>
  <c r="AY187" i="12" s="1"/>
  <c r="AY55" i="12"/>
  <c r="AZ187" i="12" s="1"/>
  <c r="AZ55" i="12"/>
  <c r="BA187" i="12" s="1"/>
  <c r="BA55" i="12"/>
  <c r="BB187" i="12" s="1"/>
  <c r="BB55" i="12"/>
  <c r="BC187" i="12" s="1"/>
  <c r="BC55" i="12"/>
  <c r="BD55" i="12"/>
  <c r="BE55" i="12"/>
  <c r="AD86" i="13"/>
  <c r="AM6" i="13"/>
  <c r="P119" i="14"/>
  <c r="P110" i="13"/>
  <c r="O177" i="13"/>
  <c r="O45" i="13" s="1"/>
  <c r="H53" i="13"/>
  <c r="AL79" i="13"/>
  <c r="AK147" i="13"/>
  <c r="AK15" i="13" s="1"/>
  <c r="AG98" i="14"/>
  <c r="AZ6" i="7"/>
  <c r="BD177" i="4" s="1"/>
  <c r="BD175" i="4"/>
  <c r="Z158" i="13"/>
  <c r="Z93" i="13" s="1"/>
  <c r="BA7" i="15"/>
  <c r="BA18" i="15"/>
  <c r="M114" i="13"/>
  <c r="M179" i="13"/>
  <c r="BG65" i="14"/>
  <c r="BH12" i="14"/>
  <c r="BF64" i="14"/>
  <c r="AC161" i="13"/>
  <c r="P173" i="13"/>
  <c r="P116" i="14" s="1"/>
  <c r="AF92" i="14"/>
  <c r="AE25" i="13"/>
  <c r="AA158" i="13" l="1"/>
  <c r="AA93" i="13" s="1"/>
  <c r="W37" i="13"/>
  <c r="M180" i="13"/>
  <c r="M115" i="13" s="1"/>
  <c r="Z159" i="13"/>
  <c r="Z102" i="14" s="1"/>
  <c r="C60" i="12"/>
  <c r="Q111" i="13"/>
  <c r="Q176" i="13"/>
  <c r="K182" i="13"/>
  <c r="K117" i="13" s="1"/>
  <c r="C60" i="13"/>
  <c r="BD187" i="12"/>
  <c r="P41" i="13"/>
  <c r="N179" i="13"/>
  <c r="N114" i="13" s="1"/>
  <c r="AH98" i="14"/>
  <c r="Q119" i="14"/>
  <c r="S107" i="13"/>
  <c r="S172" i="13"/>
  <c r="AH155" i="13"/>
  <c r="AH90" i="13" s="1"/>
  <c r="K183" i="13"/>
  <c r="K51" i="13" s="1"/>
  <c r="AW10" i="13"/>
  <c r="AK146" i="13"/>
  <c r="AK81" i="13" s="1"/>
  <c r="R174" i="13"/>
  <c r="R42" i="13" s="1"/>
  <c r="BH7" i="14"/>
  <c r="BK9" i="4"/>
  <c r="BJ13" i="4"/>
  <c r="BH2" i="14" s="1"/>
  <c r="BJ29" i="4"/>
  <c r="BD11" i="15" s="1"/>
  <c r="BJ6" i="4"/>
  <c r="BJ8" i="4"/>
  <c r="BJ46" i="4" s="1"/>
  <c r="AJ150" i="13"/>
  <c r="AJ85" i="13" s="1"/>
  <c r="AS79" i="14"/>
  <c r="AS4" i="13"/>
  <c r="AI153" i="13"/>
  <c r="AI96" i="14" s="1"/>
  <c r="AN145" i="13"/>
  <c r="Z101" i="14"/>
  <c r="AA166" i="13"/>
  <c r="AA101" i="13" s="1"/>
  <c r="W168" i="13"/>
  <c r="W111" i="14" s="1"/>
  <c r="AG97" i="14"/>
  <c r="AB160" i="13"/>
  <c r="AB95" i="13" s="1"/>
  <c r="AT136" i="13"/>
  <c r="AT71" i="13" s="1"/>
  <c r="AW85" i="14"/>
  <c r="X164" i="13"/>
  <c r="J184" i="13"/>
  <c r="J127" i="14" s="1"/>
  <c r="BB7" i="15"/>
  <c r="BB18" i="15"/>
  <c r="AH156" i="13"/>
  <c r="AH91" i="13" s="1"/>
  <c r="AE151" i="13"/>
  <c r="Q44" i="13"/>
  <c r="AH24" i="13"/>
  <c r="AN83" i="13"/>
  <c r="AO82" i="14"/>
  <c r="AO7" i="13"/>
  <c r="W167" i="13"/>
  <c r="BI2" i="12"/>
  <c r="BH56" i="12"/>
  <c r="BH57" i="12"/>
  <c r="BE32" i="4"/>
  <c r="BC182" i="12"/>
  <c r="BC183" i="12"/>
  <c r="BC184" i="12"/>
  <c r="BC185" i="12"/>
  <c r="BC186" i="12"/>
  <c r="K49" i="13"/>
  <c r="AC30" i="13"/>
  <c r="AC105" i="14"/>
  <c r="BA10" i="15"/>
  <c r="BA14" i="15" s="1"/>
  <c r="BE187" i="12" s="1"/>
  <c r="BH30" i="4"/>
  <c r="X106" i="14"/>
  <c r="BK134" i="13"/>
  <c r="AT83" i="14"/>
  <c r="G59" i="11"/>
  <c r="J58" i="11"/>
  <c r="I58" i="11"/>
  <c r="H58" i="11"/>
  <c r="I186" i="13"/>
  <c r="I121" i="13" s="1"/>
  <c r="Y27" i="13"/>
  <c r="Z27" i="13" s="1"/>
  <c r="AJ89" i="14"/>
  <c r="AK89" i="14" s="1"/>
  <c r="AT75" i="13"/>
  <c r="AJ95" i="14"/>
  <c r="AJ20" i="13"/>
  <c r="AK20" i="13" s="1"/>
  <c r="X98" i="13"/>
  <c r="P108" i="13"/>
  <c r="AM79" i="13"/>
  <c r="AM144" i="13"/>
  <c r="I53" i="13"/>
  <c r="D55" i="13"/>
  <c r="D121" i="13"/>
  <c r="D129" i="14" s="1"/>
  <c r="AG149" i="13"/>
  <c r="AZ14" i="15"/>
  <c r="B61" i="14"/>
  <c r="B60" i="13"/>
  <c r="H55" i="13" s="1"/>
  <c r="B60" i="12"/>
  <c r="I129" i="14"/>
  <c r="AK82" i="13"/>
  <c r="AK87" i="13"/>
  <c r="AK152" i="13"/>
  <c r="AC29" i="13"/>
  <c r="AC104" i="14"/>
  <c r="BA6" i="7"/>
  <c r="BE177" i="4" s="1"/>
  <c r="BZ177" i="4" s="1"/>
  <c r="BE175" i="4"/>
  <c r="AC96" i="13"/>
  <c r="K116" i="13"/>
  <c r="E188" i="13"/>
  <c r="E123" i="13"/>
  <c r="G56" i="13"/>
  <c r="BJ134" i="12"/>
  <c r="S38" i="13"/>
  <c r="S113" i="14"/>
  <c r="BB4" i="7"/>
  <c r="BB7" i="7"/>
  <c r="BC3" i="7" s="1"/>
  <c r="BF174" i="4"/>
  <c r="BF178" i="4" s="1"/>
  <c r="AA34" i="13"/>
  <c r="AF100" i="14"/>
  <c r="AN138" i="13"/>
  <c r="AN73" i="13" s="1"/>
  <c r="AW142" i="13"/>
  <c r="AW77" i="13" s="1"/>
  <c r="C61" i="14"/>
  <c r="AP139" i="13"/>
  <c r="AP74" i="13" s="1"/>
  <c r="Z26" i="13"/>
  <c r="AA26" i="13" s="1"/>
  <c r="O112" i="13"/>
  <c r="F57" i="12"/>
  <c r="H56" i="12"/>
  <c r="I56" i="12"/>
  <c r="J56" i="12"/>
  <c r="K188" i="12" s="1"/>
  <c r="K56" i="12"/>
  <c r="L188" i="12" s="1"/>
  <c r="L56" i="12"/>
  <c r="M56" i="12"/>
  <c r="N188" i="12" s="1"/>
  <c r="N56" i="12"/>
  <c r="O56" i="12"/>
  <c r="P56" i="12"/>
  <c r="Q56" i="12"/>
  <c r="R56" i="12"/>
  <c r="S188" i="12" s="1"/>
  <c r="S56" i="12"/>
  <c r="T188" i="12" s="1"/>
  <c r="T56" i="12"/>
  <c r="U56" i="12"/>
  <c r="V188" i="12" s="1"/>
  <c r="V56" i="12"/>
  <c r="W56" i="12"/>
  <c r="X56" i="12"/>
  <c r="Y56" i="12"/>
  <c r="Z56" i="12"/>
  <c r="AA188" i="12" s="1"/>
  <c r="AA56" i="12"/>
  <c r="AB188" i="12" s="1"/>
  <c r="AB56" i="12"/>
  <c r="AC56" i="12"/>
  <c r="AD188" i="12" s="1"/>
  <c r="AD56" i="12"/>
  <c r="AE56" i="12"/>
  <c r="AF56" i="12"/>
  <c r="AG56" i="12"/>
  <c r="AH56" i="12"/>
  <c r="AI188" i="12" s="1"/>
  <c r="AI56" i="12"/>
  <c r="AJ188" i="12" s="1"/>
  <c r="AJ56" i="12"/>
  <c r="AK56" i="12"/>
  <c r="AL188" i="12" s="1"/>
  <c r="AL56" i="12"/>
  <c r="AM56" i="12"/>
  <c r="AN56" i="12"/>
  <c r="AO56" i="12"/>
  <c r="AP56" i="12"/>
  <c r="AQ188" i="12" s="1"/>
  <c r="AQ56" i="12"/>
  <c r="AR188" i="12" s="1"/>
  <c r="AR56" i="12"/>
  <c r="AS56" i="12"/>
  <c r="AT188" i="12" s="1"/>
  <c r="AT56" i="12"/>
  <c r="AU56" i="12"/>
  <c r="AV56" i="12"/>
  <c r="AW56" i="12"/>
  <c r="AX56" i="12"/>
  <c r="AY188" i="12" s="1"/>
  <c r="AY56" i="12"/>
  <c r="AZ188" i="12" s="1"/>
  <c r="AZ56" i="12"/>
  <c r="BA56" i="12"/>
  <c r="BB188" i="12" s="1"/>
  <c r="BB56" i="12"/>
  <c r="BC56" i="12"/>
  <c r="BD56" i="12"/>
  <c r="BE56" i="12"/>
  <c r="BF56" i="12"/>
  <c r="E122" i="12"/>
  <c r="E65" i="14" s="1"/>
  <c r="E56" i="12"/>
  <c r="AE19" i="13"/>
  <c r="H123" i="12"/>
  <c r="I123" i="12"/>
  <c r="F124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G56" i="12"/>
  <c r="F58" i="13"/>
  <c r="E57" i="13" a="1"/>
  <c r="E57" i="13" s="1"/>
  <c r="S105" i="13"/>
  <c r="F189" i="12"/>
  <c r="H188" i="12"/>
  <c r="I188" i="12"/>
  <c r="J188" i="12"/>
  <c r="M188" i="12"/>
  <c r="O188" i="12"/>
  <c r="P188" i="12"/>
  <c r="Q188" i="12"/>
  <c r="R188" i="12"/>
  <c r="U188" i="12"/>
  <c r="W188" i="12"/>
  <c r="X188" i="12"/>
  <c r="Y188" i="12"/>
  <c r="Z188" i="12"/>
  <c r="AC188" i="12"/>
  <c r="AE188" i="12"/>
  <c r="AF188" i="12"/>
  <c r="AG188" i="12"/>
  <c r="AH188" i="12"/>
  <c r="AK188" i="12"/>
  <c r="AM188" i="12"/>
  <c r="AN188" i="12"/>
  <c r="AO188" i="12"/>
  <c r="AP188" i="12"/>
  <c r="AS188" i="12"/>
  <c r="AU188" i="12"/>
  <c r="AV188" i="12"/>
  <c r="AW188" i="12"/>
  <c r="AX188" i="12"/>
  <c r="BA188" i="12"/>
  <c r="BC188" i="12"/>
  <c r="BD188" i="12"/>
  <c r="BE188" i="12"/>
  <c r="AI21" i="13"/>
  <c r="U171" i="13"/>
  <c r="U39" i="13" s="1"/>
  <c r="AM11" i="13"/>
  <c r="J52" i="13"/>
  <c r="AK90" i="14"/>
  <c r="L123" i="14"/>
  <c r="M123" i="14" s="1"/>
  <c r="BJ69" i="12"/>
  <c r="I185" i="13"/>
  <c r="I120" i="13" s="1"/>
  <c r="W169" i="13"/>
  <c r="W104" i="13" s="1"/>
  <c r="BH11" i="14"/>
  <c r="BH76" i="14" s="1"/>
  <c r="BH68" i="13"/>
  <c r="AJ70" i="13"/>
  <c r="F66" i="14"/>
  <c r="BH66" i="14" s="1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AJ3" i="13"/>
  <c r="AE94" i="14"/>
  <c r="N178" i="13"/>
  <c r="N113" i="13" s="1"/>
  <c r="AN91" i="14"/>
  <c r="E130" i="14"/>
  <c r="G130" i="14" s="1"/>
  <c r="H130" i="14" s="1"/>
  <c r="G122" i="13"/>
  <c r="H122" i="13" s="1"/>
  <c r="V112" i="14"/>
  <c r="W112" i="14" s="1"/>
  <c r="AN81" i="14"/>
  <c r="AH23" i="13"/>
  <c r="AQ141" i="13"/>
  <c r="AQ9" i="13" s="1"/>
  <c r="U108" i="14"/>
  <c r="U33" i="13"/>
  <c r="L48" i="13"/>
  <c r="M48" i="13" s="1"/>
  <c r="AP137" i="13"/>
  <c r="AP5" i="13" s="1"/>
  <c r="AF157" i="13"/>
  <c r="AF92" i="13" s="1"/>
  <c r="AG154" i="13"/>
  <c r="AG89" i="13" s="1"/>
  <c r="AD162" i="13"/>
  <c r="AD97" i="13" s="1"/>
  <c r="AK14" i="13"/>
  <c r="J50" i="13"/>
  <c r="K50" i="13" s="1"/>
  <c r="J125" i="14"/>
  <c r="K125" i="14" s="1"/>
  <c r="AJ93" i="14"/>
  <c r="BC6" i="15"/>
  <c r="BG8" i="14"/>
  <c r="BG1" i="14"/>
  <c r="AG92" i="14"/>
  <c r="BI12" i="14"/>
  <c r="M47" i="13"/>
  <c r="N47" i="13" s="1"/>
  <c r="M122" i="14"/>
  <c r="N122" i="14" s="1"/>
  <c r="Q175" i="13"/>
  <c r="R115" i="14"/>
  <c r="S115" i="14" s="1"/>
  <c r="R40" i="13"/>
  <c r="S40" i="13" s="1"/>
  <c r="BI1" i="13"/>
  <c r="BI68" i="12"/>
  <c r="BJ1" i="12"/>
  <c r="R117" i="14"/>
  <c r="AM143" i="13"/>
  <c r="AM86" i="14" s="1"/>
  <c r="AJ18" i="13"/>
  <c r="AA109" i="14"/>
  <c r="W36" i="13"/>
  <c r="U100" i="13"/>
  <c r="AB28" i="13"/>
  <c r="L182" i="13" l="1"/>
  <c r="L117" i="13" s="1"/>
  <c r="AH154" i="13"/>
  <c r="AH97" i="14" s="1"/>
  <c r="J185" i="13"/>
  <c r="J120" i="13" s="1"/>
  <c r="AU71" i="13"/>
  <c r="AU136" i="13"/>
  <c r="AG157" i="13"/>
  <c r="AG92" i="13" s="1"/>
  <c r="AC95" i="13"/>
  <c r="AC160" i="13"/>
  <c r="X104" i="13"/>
  <c r="X169" i="13"/>
  <c r="AI156" i="13"/>
  <c r="AI91" i="13" s="1"/>
  <c r="AK85" i="13"/>
  <c r="AK150" i="13"/>
  <c r="O114" i="13"/>
  <c r="O179" i="13"/>
  <c r="AB166" i="13"/>
  <c r="AB34" i="13" s="1"/>
  <c r="AO73" i="13"/>
  <c r="AO138" i="13"/>
  <c r="AE162" i="13"/>
  <c r="AE97" i="13" s="1"/>
  <c r="AQ139" i="13"/>
  <c r="AQ74" i="13" s="1"/>
  <c r="N115" i="13"/>
  <c r="N180" i="13"/>
  <c r="O113" i="13"/>
  <c r="O178" i="13"/>
  <c r="AX142" i="13"/>
  <c r="AX85" i="14" s="1"/>
  <c r="I187" i="13"/>
  <c r="AI90" i="13"/>
  <c r="AI155" i="13"/>
  <c r="AB158" i="13"/>
  <c r="AB93" i="13" s="1"/>
  <c r="N123" i="14"/>
  <c r="AG100" i="14"/>
  <c r="BK134" i="12"/>
  <c r="J53" i="13"/>
  <c r="AU140" i="13"/>
  <c r="AU8" i="13" s="1"/>
  <c r="AX10" i="13"/>
  <c r="R119" i="14"/>
  <c r="R111" i="13"/>
  <c r="R176" i="13"/>
  <c r="X37" i="13"/>
  <c r="AO83" i="13"/>
  <c r="AO148" i="13"/>
  <c r="AO16" i="13" s="1"/>
  <c r="BI11" i="14"/>
  <c r="BI76" i="14" s="1"/>
  <c r="BI68" i="13"/>
  <c r="O47" i="13"/>
  <c r="AL14" i="13"/>
  <c r="AL146" i="13"/>
  <c r="AL81" i="13" s="1"/>
  <c r="AP72" i="13"/>
  <c r="AO81" i="14"/>
  <c r="E131" i="14"/>
  <c r="G131" i="14" s="1"/>
  <c r="H131" i="14" s="1"/>
  <c r="G123" i="13"/>
  <c r="H123" i="13" s="1"/>
  <c r="V42" i="5"/>
  <c r="Y153" i="6"/>
  <c r="AL82" i="13"/>
  <c r="AL147" i="13"/>
  <c r="AL15" i="13" s="1"/>
  <c r="AM12" i="13"/>
  <c r="AM87" i="14"/>
  <c r="AL89" i="14"/>
  <c r="AU83" i="14"/>
  <c r="BB10" i="15"/>
  <c r="BI30" i="4"/>
  <c r="AI24" i="13"/>
  <c r="AI88" i="13"/>
  <c r="BD6" i="15"/>
  <c r="BH8" i="14"/>
  <c r="BH1" i="14"/>
  <c r="AI98" i="14"/>
  <c r="AP80" i="14"/>
  <c r="BL134" i="13"/>
  <c r="BI57" i="12"/>
  <c r="BJ2" i="12"/>
  <c r="R44" i="13"/>
  <c r="W103" i="13"/>
  <c r="AT4" i="13"/>
  <c r="AU4" i="13" s="1"/>
  <c r="BI7" i="14"/>
  <c r="BK8" i="4"/>
  <c r="BK46" i="4" s="1"/>
  <c r="BK6" i="4"/>
  <c r="BK29" i="4"/>
  <c r="BE11" i="15" s="1"/>
  <c r="BL9" i="4"/>
  <c r="BK13" i="4"/>
  <c r="BI2" i="14" s="1"/>
  <c r="K118" i="13"/>
  <c r="V100" i="13"/>
  <c r="V165" i="13"/>
  <c r="V108" i="14" s="1"/>
  <c r="AG17" i="13"/>
  <c r="K126" i="14"/>
  <c r="W110" i="14"/>
  <c r="W35" i="13"/>
  <c r="I54" i="13"/>
  <c r="AT79" i="14"/>
  <c r="AU79" i="14" s="1"/>
  <c r="Z94" i="13"/>
  <c r="N121" i="14"/>
  <c r="O121" i="14" s="1"/>
  <c r="AL152" i="13"/>
  <c r="AL87" i="13" s="1"/>
  <c r="I59" i="11"/>
  <c r="H59" i="11"/>
  <c r="J59" i="11"/>
  <c r="G60" i="11"/>
  <c r="T40" i="13"/>
  <c r="X112" i="14"/>
  <c r="F125" i="12"/>
  <c r="I124" i="12"/>
  <c r="H124" i="12"/>
  <c r="J124" i="12"/>
  <c r="K124" i="12"/>
  <c r="L124" i="12"/>
  <c r="M124" i="12"/>
  <c r="N124" i="12"/>
  <c r="O189" i="12" s="1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V33" i="13"/>
  <c r="AK3" i="13"/>
  <c r="AK135" i="13"/>
  <c r="Q173" i="13"/>
  <c r="Q116" i="14" s="1"/>
  <c r="W102" i="13"/>
  <c r="Q41" i="13"/>
  <c r="L50" i="13"/>
  <c r="N48" i="13"/>
  <c r="BG32" i="4"/>
  <c r="BE184" i="12"/>
  <c r="BE185" i="12"/>
  <c r="BE186" i="12"/>
  <c r="AK18" i="13"/>
  <c r="H189" i="12"/>
  <c r="F190" i="12"/>
  <c r="C62" i="14"/>
  <c r="L181" i="13"/>
  <c r="L124" i="14" s="1"/>
  <c r="AD29" i="13"/>
  <c r="AG84" i="13"/>
  <c r="AD105" i="14"/>
  <c r="AE105" i="14" s="1"/>
  <c r="I128" i="14"/>
  <c r="J128" i="14" s="1"/>
  <c r="I130" i="14"/>
  <c r="AF25" i="13"/>
  <c r="AG25" i="13" s="1"/>
  <c r="BJ125" i="12"/>
  <c r="BK69" i="12"/>
  <c r="T170" i="13"/>
  <c r="T113" i="14" s="1"/>
  <c r="H57" i="12"/>
  <c r="I189" i="12" s="1"/>
  <c r="F58" i="12"/>
  <c r="I57" i="12"/>
  <c r="J189" i="12" s="1"/>
  <c r="J57" i="12"/>
  <c r="K189" i="12" s="1"/>
  <c r="K57" i="12"/>
  <c r="L189" i="12" s="1"/>
  <c r="L57" i="12"/>
  <c r="M189" i="12" s="1"/>
  <c r="M57" i="12"/>
  <c r="N189" i="12" s="1"/>
  <c r="N57" i="12"/>
  <c r="O57" i="12"/>
  <c r="P189" i="12" s="1"/>
  <c r="P57" i="12"/>
  <c r="Q189" i="12" s="1"/>
  <c r="Q57" i="12"/>
  <c r="R189" i="12" s="1"/>
  <c r="R57" i="12"/>
  <c r="S189" i="12" s="1"/>
  <c r="S57" i="12"/>
  <c r="T189" i="12" s="1"/>
  <c r="T57" i="12"/>
  <c r="U189" i="12" s="1"/>
  <c r="U57" i="12"/>
  <c r="V189" i="12" s="1"/>
  <c r="V57" i="12"/>
  <c r="W189" i="12" s="1"/>
  <c r="W57" i="12"/>
  <c r="X189" i="12" s="1"/>
  <c r="X57" i="12"/>
  <c r="Y189" i="12" s="1"/>
  <c r="Y57" i="12"/>
  <c r="Z189" i="12" s="1"/>
  <c r="Z57" i="12"/>
  <c r="AA189" i="12" s="1"/>
  <c r="AA57" i="12"/>
  <c r="AB189" i="12" s="1"/>
  <c r="AB57" i="12"/>
  <c r="AC189" i="12" s="1"/>
  <c r="AC57" i="12"/>
  <c r="AD189" i="12" s="1"/>
  <c r="AD57" i="12"/>
  <c r="AE189" i="12" s="1"/>
  <c r="AE57" i="12"/>
  <c r="AF189" i="12" s="1"/>
  <c r="AF57" i="12"/>
  <c r="AG189" i="12" s="1"/>
  <c r="AG57" i="12"/>
  <c r="AH189" i="12" s="1"/>
  <c r="AH57" i="12"/>
  <c r="AI189" i="12" s="1"/>
  <c r="AI57" i="12"/>
  <c r="AJ189" i="12" s="1"/>
  <c r="AJ57" i="12"/>
  <c r="AK189" i="12" s="1"/>
  <c r="AK57" i="12"/>
  <c r="AL189" i="12" s="1"/>
  <c r="AL57" i="12"/>
  <c r="AM189" i="12" s="1"/>
  <c r="AM57" i="12"/>
  <c r="AN189" i="12" s="1"/>
  <c r="AN57" i="12"/>
  <c r="AO189" i="12" s="1"/>
  <c r="AO57" i="12"/>
  <c r="AP189" i="12" s="1"/>
  <c r="AP57" i="12"/>
  <c r="AQ189" i="12" s="1"/>
  <c r="AQ57" i="12"/>
  <c r="AR189" i="12" s="1"/>
  <c r="AR57" i="12"/>
  <c r="AS189" i="12" s="1"/>
  <c r="AS57" i="12"/>
  <c r="AT189" i="12" s="1"/>
  <c r="AT57" i="12"/>
  <c r="AU189" i="12" s="1"/>
  <c r="AU57" i="12"/>
  <c r="AV189" i="12" s="1"/>
  <c r="AV57" i="12"/>
  <c r="AW189" i="12" s="1"/>
  <c r="AW57" i="12"/>
  <c r="AX189" i="12" s="1"/>
  <c r="AX57" i="12"/>
  <c r="AY189" i="12" s="1"/>
  <c r="AY57" i="12"/>
  <c r="AZ189" i="12" s="1"/>
  <c r="AZ57" i="12"/>
  <c r="BA189" i="12" s="1"/>
  <c r="BA57" i="12"/>
  <c r="BB189" i="12" s="1"/>
  <c r="BB57" i="12"/>
  <c r="BC189" i="12" s="1"/>
  <c r="BC57" i="12"/>
  <c r="BD189" i="12" s="1"/>
  <c r="BD57" i="12"/>
  <c r="BE189" i="12" s="1"/>
  <c r="BE57" i="12"/>
  <c r="BF57" i="12"/>
  <c r="BG57" i="12"/>
  <c r="AQ84" i="14"/>
  <c r="AD30" i="13"/>
  <c r="AE30" i="13" s="1"/>
  <c r="AM78" i="13"/>
  <c r="AG22" i="13"/>
  <c r="AH22" i="13" s="1"/>
  <c r="BC7" i="15"/>
  <c r="BC18" i="15"/>
  <c r="AO91" i="14"/>
  <c r="BI124" i="12"/>
  <c r="U106" i="13"/>
  <c r="E189" i="13"/>
  <c r="E124" i="13"/>
  <c r="G57" i="13"/>
  <c r="P112" i="13"/>
  <c r="P177" i="13"/>
  <c r="BC7" i="7"/>
  <c r="BD3" i="7" s="1"/>
  <c r="BC4" i="7"/>
  <c r="BG174" i="4"/>
  <c r="BG178" i="4" s="1"/>
  <c r="AH99" i="14"/>
  <c r="AI99" i="14" s="1"/>
  <c r="AN6" i="13"/>
  <c r="AO6" i="13" s="1"/>
  <c r="N46" i="13"/>
  <c r="O46" i="13" s="1"/>
  <c r="Y98" i="13"/>
  <c r="Y163" i="13"/>
  <c r="Y31" i="13" s="1"/>
  <c r="B62" i="14"/>
  <c r="B61" i="13"/>
  <c r="I122" i="13" s="1"/>
  <c r="B61" i="12"/>
  <c r="C61" i="12" s="1"/>
  <c r="AP7" i="13"/>
  <c r="AQ7" i="13" s="1"/>
  <c r="AE86" i="13"/>
  <c r="J119" i="13"/>
  <c r="AB103" i="14"/>
  <c r="AC103" i="14" s="1"/>
  <c r="AA101" i="14"/>
  <c r="AB101" i="14" s="1"/>
  <c r="R109" i="13"/>
  <c r="AB26" i="13"/>
  <c r="BB6" i="7"/>
  <c r="BF177" i="4" s="1"/>
  <c r="BF175" i="4"/>
  <c r="AQ76" i="13"/>
  <c r="AL20" i="13"/>
  <c r="AP82" i="14"/>
  <c r="AQ82" i="14" s="1"/>
  <c r="X32" i="13"/>
  <c r="X107" i="14"/>
  <c r="AN88" i="14"/>
  <c r="AN13" i="13"/>
  <c r="T172" i="13"/>
  <c r="T107" i="13" s="1"/>
  <c r="O122" i="14"/>
  <c r="AI23" i="13"/>
  <c r="H66" i="14"/>
  <c r="F67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AB109" i="14"/>
  <c r="Q43" i="13"/>
  <c r="Q118" i="14"/>
  <c r="AK93" i="14"/>
  <c r="E58" i="13" a="1"/>
  <c r="E58" i="13" s="1"/>
  <c r="F59" i="13"/>
  <c r="AC28" i="13"/>
  <c r="BJ1" i="13"/>
  <c r="BK1" i="12"/>
  <c r="BJ68" i="12"/>
  <c r="Q110" i="13"/>
  <c r="BJ12" i="14"/>
  <c r="L125" i="14"/>
  <c r="E123" i="12"/>
  <c r="E66" i="14" s="1"/>
  <c r="E57" i="12"/>
  <c r="U114" i="14"/>
  <c r="AD161" i="13"/>
  <c r="AD96" i="13" s="1"/>
  <c r="BF32" i="4"/>
  <c r="BD183" i="12"/>
  <c r="BD184" i="12"/>
  <c r="BD186" i="12"/>
  <c r="BD185" i="12"/>
  <c r="D122" i="13"/>
  <c r="D130" i="14" s="1"/>
  <c r="D56" i="13"/>
  <c r="AK95" i="14"/>
  <c r="AL95" i="14" s="1"/>
  <c r="X99" i="13"/>
  <c r="AN80" i="13"/>
  <c r="U172" i="13" l="1"/>
  <c r="U107" i="13" s="1"/>
  <c r="J187" i="13"/>
  <c r="J122" i="13" s="1"/>
  <c r="AM146" i="13"/>
  <c r="AM81" i="13" s="1"/>
  <c r="AH92" i="13"/>
  <c r="AH157" i="13"/>
  <c r="AC158" i="13"/>
  <c r="AC93" i="13" s="1"/>
  <c r="BF189" i="12"/>
  <c r="AR139" i="13"/>
  <c r="AR74" i="13" s="1"/>
  <c r="AE96" i="13"/>
  <c r="AE161" i="13"/>
  <c r="AM152" i="13"/>
  <c r="AM87" i="13" s="1"/>
  <c r="AF162" i="13"/>
  <c r="AF97" i="13" s="1"/>
  <c r="AJ156" i="13"/>
  <c r="AJ91" i="13" s="1"/>
  <c r="M182" i="13"/>
  <c r="M117" i="13" s="1"/>
  <c r="AO80" i="13"/>
  <c r="AO145" i="13"/>
  <c r="U40" i="13"/>
  <c r="AA159" i="13"/>
  <c r="BB14" i="15"/>
  <c r="S176" i="13"/>
  <c r="S111" i="13" s="1"/>
  <c r="H56" i="13"/>
  <c r="BL134" i="12"/>
  <c r="AH100" i="14"/>
  <c r="I55" i="13"/>
  <c r="O180" i="13"/>
  <c r="O115" i="13" s="1"/>
  <c r="E190" i="13"/>
  <c r="E125" i="13"/>
  <c r="G58" i="13"/>
  <c r="AO88" i="14"/>
  <c r="AH84" i="13"/>
  <c r="AH149" i="13"/>
  <c r="H67" i="14"/>
  <c r="F68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AF151" i="13"/>
  <c r="F59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AE29" i="13"/>
  <c r="G61" i="11"/>
  <c r="J60" i="11"/>
  <c r="I60" i="11"/>
  <c r="H60" i="11"/>
  <c r="I188" i="13"/>
  <c r="S119" i="14"/>
  <c r="O123" i="14"/>
  <c r="AP138" i="13"/>
  <c r="AP73" i="13" s="1"/>
  <c r="AL150" i="13"/>
  <c r="AL85" i="13" s="1"/>
  <c r="AD95" i="13"/>
  <c r="AD160" i="13"/>
  <c r="AH89" i="13"/>
  <c r="Z98" i="13"/>
  <c r="Z163" i="13"/>
  <c r="AM95" i="14"/>
  <c r="R175" i="13"/>
  <c r="R118" i="14" s="1"/>
  <c r="AR7" i="13"/>
  <c r="E132" i="14"/>
  <c r="G132" i="14" s="1"/>
  <c r="G124" i="13"/>
  <c r="H124" i="13" s="1"/>
  <c r="X102" i="13"/>
  <c r="X167" i="13"/>
  <c r="J54" i="13"/>
  <c r="J186" i="13"/>
  <c r="W165" i="13"/>
  <c r="W100" i="13" s="1"/>
  <c r="AM89" i="14"/>
  <c r="AP81" i="14"/>
  <c r="AX77" i="13"/>
  <c r="E59" i="13" a="1"/>
  <c r="E59" i="13" s="1"/>
  <c r="F60" i="13"/>
  <c r="K119" i="13"/>
  <c r="K184" i="13"/>
  <c r="AC26" i="13"/>
  <c r="AJ99" i="14"/>
  <c r="AH25" i="13"/>
  <c r="L116" i="13"/>
  <c r="B63" i="14"/>
  <c r="J130" i="14" s="1"/>
  <c r="B62" i="13"/>
  <c r="I123" i="13" s="1"/>
  <c r="B62" i="12"/>
  <c r="C62" i="12" s="1"/>
  <c r="X35" i="13"/>
  <c r="T38" i="13"/>
  <c r="AQ137" i="13"/>
  <c r="AQ5" i="13" s="1"/>
  <c r="AB101" i="13"/>
  <c r="AP6" i="13"/>
  <c r="BK1" i="13"/>
  <c r="BL1" i="12"/>
  <c r="BK68" i="12"/>
  <c r="AM20" i="13"/>
  <c r="V106" i="13"/>
  <c r="V171" i="13"/>
  <c r="V39" i="13" s="1"/>
  <c r="AF30" i="13"/>
  <c r="T105" i="13"/>
  <c r="T115" i="14"/>
  <c r="U115" i="14" s="1"/>
  <c r="Q108" i="13"/>
  <c r="X110" i="14"/>
  <c r="C61" i="13"/>
  <c r="C62" i="13" s="1"/>
  <c r="AV4" i="13"/>
  <c r="AV136" i="13"/>
  <c r="AV71" i="13" s="1"/>
  <c r="BD7" i="15"/>
  <c r="BD18" i="15"/>
  <c r="AN144" i="13"/>
  <c r="AN79" i="13" s="1"/>
  <c r="AP16" i="13"/>
  <c r="BI67" i="14"/>
  <c r="BJ11" i="14"/>
  <c r="BJ76" i="14" s="1"/>
  <c r="BJ68" i="13"/>
  <c r="BC6" i="7"/>
  <c r="BG177" i="4" s="1"/>
  <c r="BG175" i="4"/>
  <c r="AL18" i="13"/>
  <c r="AD104" i="14"/>
  <c r="AE104" i="14" s="1"/>
  <c r="L126" i="14"/>
  <c r="L118" i="13"/>
  <c r="L183" i="13"/>
  <c r="L51" i="13" s="1"/>
  <c r="X168" i="13"/>
  <c r="AJ153" i="13"/>
  <c r="AM15" i="13"/>
  <c r="AL90" i="14"/>
  <c r="AM14" i="13"/>
  <c r="AP83" i="13"/>
  <c r="AP148" i="13"/>
  <c r="AJ155" i="13"/>
  <c r="AJ98" i="14" s="1"/>
  <c r="P113" i="13"/>
  <c r="P178" i="13"/>
  <c r="P46" i="13" s="1"/>
  <c r="Y104" i="13"/>
  <c r="Y169" i="13"/>
  <c r="E124" i="12"/>
  <c r="E67" i="14" s="1"/>
  <c r="E58" i="12"/>
  <c r="Q177" i="13"/>
  <c r="Q112" i="13" s="1"/>
  <c r="Y164" i="13"/>
  <c r="Y107" i="14" s="1"/>
  <c r="AL93" i="14"/>
  <c r="AN78" i="13"/>
  <c r="AN143" i="13"/>
  <c r="H190" i="12"/>
  <c r="F191" i="12"/>
  <c r="L190" i="12"/>
  <c r="M190" i="12"/>
  <c r="O190" i="12"/>
  <c r="P190" i="12"/>
  <c r="T190" i="12"/>
  <c r="U190" i="12"/>
  <c r="W190" i="12"/>
  <c r="X190" i="12"/>
  <c r="AB190" i="12"/>
  <c r="AC190" i="12"/>
  <c r="AE190" i="12"/>
  <c r="AF190" i="12"/>
  <c r="AJ190" i="12"/>
  <c r="AK190" i="12"/>
  <c r="AM190" i="12"/>
  <c r="AN190" i="12"/>
  <c r="AR190" i="12"/>
  <c r="AS190" i="12"/>
  <c r="AU190" i="12"/>
  <c r="AV190" i="12"/>
  <c r="AZ190" i="12"/>
  <c r="BA190" i="12"/>
  <c r="BC190" i="12"/>
  <c r="BD190" i="12"/>
  <c r="D123" i="13"/>
  <c r="D131" i="14" s="1"/>
  <c r="D57" i="13"/>
  <c r="M125" i="14"/>
  <c r="AR82" i="14"/>
  <c r="L49" i="13"/>
  <c r="R43" i="13"/>
  <c r="S174" i="13"/>
  <c r="AR84" i="14"/>
  <c r="C63" i="14"/>
  <c r="V114" i="14"/>
  <c r="AD28" i="13"/>
  <c r="AR141" i="13"/>
  <c r="AR9" i="13" s="1"/>
  <c r="AC101" i="14"/>
  <c r="BD7" i="7"/>
  <c r="BE3" i="7" s="1"/>
  <c r="BD4" i="7"/>
  <c r="BH174" i="4"/>
  <c r="BH178" i="4" s="1"/>
  <c r="AP91" i="14"/>
  <c r="O48" i="13"/>
  <c r="AK78" i="14"/>
  <c r="H125" i="12"/>
  <c r="I190" i="12" s="1"/>
  <c r="F126" i="12"/>
  <c r="J125" i="12"/>
  <c r="K190" i="12" s="1"/>
  <c r="I125" i="12"/>
  <c r="J190" i="12" s="1"/>
  <c r="K125" i="12"/>
  <c r="L125" i="12"/>
  <c r="M125" i="12"/>
  <c r="N190" i="12" s="1"/>
  <c r="N125" i="12"/>
  <c r="O125" i="12"/>
  <c r="P125" i="12"/>
  <c r="Q190" i="12" s="1"/>
  <c r="Q125" i="12"/>
  <c r="R190" i="12" s="1"/>
  <c r="R125" i="12"/>
  <c r="S190" i="12" s="1"/>
  <c r="S125" i="12"/>
  <c r="T125" i="12"/>
  <c r="U125" i="12"/>
  <c r="V190" i="12" s="1"/>
  <c r="V125" i="12"/>
  <c r="W125" i="12"/>
  <c r="X125" i="12"/>
  <c r="Y190" i="12" s="1"/>
  <c r="Y125" i="12"/>
  <c r="Z190" i="12" s="1"/>
  <c r="Z125" i="12"/>
  <c r="AA190" i="12" s="1"/>
  <c r="AA125" i="12"/>
  <c r="AB125" i="12"/>
  <c r="AC125" i="12"/>
  <c r="AD190" i="12" s="1"/>
  <c r="AD125" i="12"/>
  <c r="AE125" i="12"/>
  <c r="AF125" i="12"/>
  <c r="AG190" i="12" s="1"/>
  <c r="AG125" i="12"/>
  <c r="AH190" i="12" s="1"/>
  <c r="AH125" i="12"/>
  <c r="AI190" i="12" s="1"/>
  <c r="AI125" i="12"/>
  <c r="AJ125" i="12"/>
  <c r="AK125" i="12"/>
  <c r="AL190" i="12" s="1"/>
  <c r="AL125" i="12"/>
  <c r="AM125" i="12"/>
  <c r="AN125" i="12"/>
  <c r="AO190" i="12" s="1"/>
  <c r="AO125" i="12"/>
  <c r="AP190" i="12" s="1"/>
  <c r="AP125" i="12"/>
  <c r="AQ190" i="12" s="1"/>
  <c r="AQ125" i="12"/>
  <c r="AR125" i="12"/>
  <c r="AS125" i="12"/>
  <c r="AT190" i="12" s="1"/>
  <c r="AT125" i="12"/>
  <c r="AU125" i="12"/>
  <c r="AV125" i="12"/>
  <c r="AW190" i="12" s="1"/>
  <c r="AW125" i="12"/>
  <c r="AX190" i="12" s="1"/>
  <c r="AX125" i="12"/>
  <c r="AY190" i="12" s="1"/>
  <c r="AY125" i="12"/>
  <c r="AZ125" i="12"/>
  <c r="BA125" i="12"/>
  <c r="BB190" i="12" s="1"/>
  <c r="BB125" i="12"/>
  <c r="BC125" i="12"/>
  <c r="BD125" i="12"/>
  <c r="BE190" i="12" s="1"/>
  <c r="BE125" i="12"/>
  <c r="BF190" i="12" s="1"/>
  <c r="BF125" i="12"/>
  <c r="BG190" i="12" s="1"/>
  <c r="BG125" i="12"/>
  <c r="BH125" i="12"/>
  <c r="BI125" i="12"/>
  <c r="BE6" i="15"/>
  <c r="BI8" i="14"/>
  <c r="BI1" i="14"/>
  <c r="S44" i="13"/>
  <c r="BI58" i="12"/>
  <c r="Y106" i="14"/>
  <c r="Z106" i="14" s="1"/>
  <c r="AJ24" i="13"/>
  <c r="AM147" i="13"/>
  <c r="AM82" i="13" s="1"/>
  <c r="AK70" i="13"/>
  <c r="Y37" i="13"/>
  <c r="AU75" i="13"/>
  <c r="P179" i="13"/>
  <c r="P114" i="13" s="1"/>
  <c r="BJ68" i="14"/>
  <c r="BK12" i="14"/>
  <c r="AO13" i="13"/>
  <c r="AD103" i="14"/>
  <c r="Z31" i="13"/>
  <c r="P45" i="13"/>
  <c r="P120" i="14"/>
  <c r="BL69" i="12"/>
  <c r="AF105" i="14"/>
  <c r="M50" i="13"/>
  <c r="Y112" i="14"/>
  <c r="P121" i="14"/>
  <c r="AH17" i="13"/>
  <c r="BJ7" i="14"/>
  <c r="BM9" i="4"/>
  <c r="BL8" i="4"/>
  <c r="BL46" i="4" s="1"/>
  <c r="BL6" i="4"/>
  <c r="BL13" i="4"/>
  <c r="BJ2" i="14" s="1"/>
  <c r="BL29" i="4"/>
  <c r="BF11" i="15" s="1"/>
  <c r="BJ59" i="12"/>
  <c r="BJ58" i="12"/>
  <c r="BK2" i="12"/>
  <c r="BM134" i="13"/>
  <c r="BC10" i="15"/>
  <c r="BC14" i="15" s="1"/>
  <c r="BG189" i="12" s="1"/>
  <c r="BJ30" i="4"/>
  <c r="K185" i="13"/>
  <c r="K128" i="14" s="1"/>
  <c r="X165" i="13" l="1"/>
  <c r="X100" i="13" s="1"/>
  <c r="AQ138" i="13"/>
  <c r="AQ73" i="13" s="1"/>
  <c r="AK156" i="13"/>
  <c r="AK91" i="13" s="1"/>
  <c r="AM150" i="13"/>
  <c r="AM85" i="13" s="1"/>
  <c r="AG162" i="13"/>
  <c r="AG30" i="13" s="1"/>
  <c r="AW71" i="13"/>
  <c r="AW136" i="13"/>
  <c r="AN147" i="13"/>
  <c r="AN15" i="13" s="1"/>
  <c r="R177" i="13"/>
  <c r="R112" i="13" s="1"/>
  <c r="AN152" i="13"/>
  <c r="AN87" i="13" s="1"/>
  <c r="AN146" i="13"/>
  <c r="AN81" i="13" s="1"/>
  <c r="AD158" i="13"/>
  <c r="AD93" i="13" s="1"/>
  <c r="J188" i="13"/>
  <c r="J123" i="13" s="1"/>
  <c r="K187" i="13"/>
  <c r="K130" i="14" s="1"/>
  <c r="V107" i="13"/>
  <c r="V172" i="13"/>
  <c r="BK69" i="14"/>
  <c r="BL12" i="14"/>
  <c r="Y99" i="13"/>
  <c r="AM90" i="14"/>
  <c r="AN90" i="14" s="1"/>
  <c r="AW4" i="13"/>
  <c r="AC166" i="13"/>
  <c r="I131" i="14"/>
  <c r="I189" i="13"/>
  <c r="I124" i="13" s="1"/>
  <c r="AI89" i="13"/>
  <c r="AI154" i="13"/>
  <c r="G62" i="11"/>
  <c r="J61" i="11"/>
  <c r="I61" i="11"/>
  <c r="H61" i="11"/>
  <c r="AI84" i="13"/>
  <c r="V40" i="13"/>
  <c r="F192" i="12"/>
  <c r="H191" i="12"/>
  <c r="K191" i="12"/>
  <c r="P191" i="12"/>
  <c r="S191" i="12"/>
  <c r="X191" i="12"/>
  <c r="AA191" i="12"/>
  <c r="AF191" i="12"/>
  <c r="AI191" i="12"/>
  <c r="AN191" i="12"/>
  <c r="AQ191" i="12"/>
  <c r="AV191" i="12"/>
  <c r="AY191" i="12"/>
  <c r="BD191" i="12"/>
  <c r="BG191" i="12"/>
  <c r="Q178" i="13"/>
  <c r="Q46" i="13" s="1"/>
  <c r="AO79" i="13"/>
  <c r="AO144" i="13"/>
  <c r="W106" i="13"/>
  <c r="W171" i="13"/>
  <c r="W39" i="13" s="1"/>
  <c r="K52" i="13"/>
  <c r="K127" i="14"/>
  <c r="AN89" i="14"/>
  <c r="H132" i="14"/>
  <c r="H57" i="13"/>
  <c r="BM134" i="12"/>
  <c r="W33" i="13"/>
  <c r="X33" i="13" s="1"/>
  <c r="W108" i="14"/>
  <c r="X108" i="14" s="1"/>
  <c r="K53" i="13"/>
  <c r="BD6" i="7"/>
  <c r="BH177" i="4" s="1"/>
  <c r="BH175" i="4"/>
  <c r="BE7" i="7"/>
  <c r="BF3" i="7" s="1"/>
  <c r="BE4" i="7"/>
  <c r="BI174" i="4"/>
  <c r="BI178" i="4" s="1"/>
  <c r="S42" i="13"/>
  <c r="S117" i="14"/>
  <c r="D58" i="13"/>
  <c r="D124" i="13"/>
  <c r="D132" i="14" s="1"/>
  <c r="AJ96" i="14"/>
  <c r="AJ21" i="13"/>
  <c r="AM18" i="13"/>
  <c r="AN12" i="13"/>
  <c r="AO12" i="13" s="1"/>
  <c r="AQ72" i="13"/>
  <c r="M181" i="13"/>
  <c r="M124" i="14" s="1"/>
  <c r="AS139" i="13"/>
  <c r="AS74" i="13" s="1"/>
  <c r="AE160" i="13"/>
  <c r="AE95" i="13" s="1"/>
  <c r="P47" i="13"/>
  <c r="BF6" i="15"/>
  <c r="BJ8" i="14"/>
  <c r="BJ1" i="14"/>
  <c r="AG105" i="14"/>
  <c r="Q45" i="13"/>
  <c r="BE7" i="15"/>
  <c r="BE18" i="15"/>
  <c r="AD101" i="14"/>
  <c r="S109" i="13"/>
  <c r="AN86" i="14"/>
  <c r="AN11" i="13"/>
  <c r="E125" i="12"/>
  <c r="E68" i="14" s="1"/>
  <c r="E59" i="12"/>
  <c r="AJ90" i="13"/>
  <c r="AJ88" i="13"/>
  <c r="R173" i="13"/>
  <c r="P122" i="14"/>
  <c r="AI25" i="13"/>
  <c r="E60" i="13" a="1"/>
  <c r="E60" i="13" s="1"/>
  <c r="F61" i="13"/>
  <c r="E133" i="14"/>
  <c r="G133" i="14" s="1"/>
  <c r="H133" i="14" s="1"/>
  <c r="G125" i="13"/>
  <c r="N182" i="13"/>
  <c r="N50" i="13" s="1"/>
  <c r="Q120" i="14"/>
  <c r="R120" i="14" s="1"/>
  <c r="X36" i="13"/>
  <c r="X111" i="14"/>
  <c r="V115" i="14"/>
  <c r="AN87" i="14"/>
  <c r="AO87" i="14" s="1"/>
  <c r="AK99" i="14"/>
  <c r="E126" i="13"/>
  <c r="E191" i="13"/>
  <c r="G59" i="13"/>
  <c r="J121" i="13"/>
  <c r="J129" i="14"/>
  <c r="R110" i="13"/>
  <c r="AV79" i="14"/>
  <c r="AW79" i="14" s="1"/>
  <c r="AF19" i="13"/>
  <c r="AF94" i="14"/>
  <c r="F69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H32" i="4"/>
  <c r="BF185" i="12"/>
  <c r="BF186" i="12"/>
  <c r="BF188" i="12"/>
  <c r="BF187" i="12"/>
  <c r="AP145" i="13"/>
  <c r="AP80" i="13" s="1"/>
  <c r="BD10" i="15"/>
  <c r="BD14" i="15" s="1"/>
  <c r="BK30" i="4"/>
  <c r="BI32" i="4"/>
  <c r="BG186" i="12"/>
  <c r="BG187" i="12"/>
  <c r="BG188" i="12"/>
  <c r="BL2" i="12"/>
  <c r="BK59" i="12"/>
  <c r="P48" i="13"/>
  <c r="P180" i="13"/>
  <c r="P115" i="13" s="1"/>
  <c r="AR76" i="13"/>
  <c r="Y32" i="13"/>
  <c r="X103" i="13"/>
  <c r="BL1" i="13"/>
  <c r="BL68" i="12"/>
  <c r="BM1" i="12"/>
  <c r="Y35" i="13"/>
  <c r="AJ23" i="13"/>
  <c r="AY142" i="13"/>
  <c r="B64" i="14"/>
  <c r="C64" i="14" s="1"/>
  <c r="B63" i="13"/>
  <c r="H58" i="13" s="1"/>
  <c r="B63" i="12"/>
  <c r="C63" i="12" s="1"/>
  <c r="AF86" i="13"/>
  <c r="K120" i="13"/>
  <c r="AF161" i="13"/>
  <c r="AF104" i="14" s="1"/>
  <c r="AI157" i="13"/>
  <c r="AI92" i="13" s="1"/>
  <c r="BM69" i="12"/>
  <c r="BL127" i="12"/>
  <c r="AL135" i="13"/>
  <c r="AL78" i="14" s="1"/>
  <c r="F127" i="12"/>
  <c r="H126" i="12"/>
  <c r="I126" i="12"/>
  <c r="J126" i="12"/>
  <c r="K126" i="12"/>
  <c r="L126" i="12"/>
  <c r="M126" i="12"/>
  <c r="N191" i="12" s="1"/>
  <c r="N126" i="12"/>
  <c r="O126" i="12"/>
  <c r="P126" i="12"/>
  <c r="Q126" i="12"/>
  <c r="R126" i="12"/>
  <c r="S126" i="12"/>
  <c r="T126" i="12"/>
  <c r="U126" i="12"/>
  <c r="V191" i="12" s="1"/>
  <c r="V126" i="12"/>
  <c r="W126" i="12"/>
  <c r="X126" i="12"/>
  <c r="Y126" i="12"/>
  <c r="Z126" i="12"/>
  <c r="AA126" i="12"/>
  <c r="AB126" i="12"/>
  <c r="AC126" i="12"/>
  <c r="AD191" i="12" s="1"/>
  <c r="AD126" i="12"/>
  <c r="AE126" i="12"/>
  <c r="AF126" i="12"/>
  <c r="AG126" i="12"/>
  <c r="AH126" i="12"/>
  <c r="AI126" i="12"/>
  <c r="AJ126" i="12"/>
  <c r="AK126" i="12"/>
  <c r="AL191" i="12" s="1"/>
  <c r="AL126" i="12"/>
  <c r="AM126" i="12"/>
  <c r="AN126" i="12"/>
  <c r="AO126" i="12"/>
  <c r="AP126" i="12"/>
  <c r="AQ126" i="12"/>
  <c r="AR126" i="12"/>
  <c r="AS126" i="12"/>
  <c r="AT191" i="12" s="1"/>
  <c r="AT126" i="12"/>
  <c r="AU126" i="12"/>
  <c r="AV126" i="12"/>
  <c r="AW126" i="12"/>
  <c r="AX126" i="12"/>
  <c r="AY126" i="12"/>
  <c r="AZ126" i="12"/>
  <c r="BA126" i="12"/>
  <c r="BB191" i="12" s="1"/>
  <c r="BB126" i="12"/>
  <c r="BC126" i="12"/>
  <c r="BD126" i="12"/>
  <c r="BE126" i="12"/>
  <c r="BF126" i="12"/>
  <c r="BG126" i="12"/>
  <c r="BH126" i="12"/>
  <c r="BI126" i="12"/>
  <c r="BJ126" i="12"/>
  <c r="BK7" i="14"/>
  <c r="BM8" i="4"/>
  <c r="BM46" i="4" s="1"/>
  <c r="BM6" i="4"/>
  <c r="BM13" i="4"/>
  <c r="BK2" i="14" s="1"/>
  <c r="BN9" i="4"/>
  <c r="BM29" i="4"/>
  <c r="BG11" i="15" s="1"/>
  <c r="AK24" i="13"/>
  <c r="BN134" i="13"/>
  <c r="BK126" i="12"/>
  <c r="AE103" i="14"/>
  <c r="AA106" i="14"/>
  <c r="AI149" i="13"/>
  <c r="AM93" i="14"/>
  <c r="AQ148" i="13"/>
  <c r="AQ16" i="13" s="1"/>
  <c r="M183" i="13"/>
  <c r="M126" i="14" s="1"/>
  <c r="AQ80" i="14"/>
  <c r="U170" i="13"/>
  <c r="U113" i="14" s="1"/>
  <c r="BK11" i="14"/>
  <c r="BK76" i="14" s="1"/>
  <c r="BK68" i="13"/>
  <c r="AA102" i="14"/>
  <c r="AA27" i="13"/>
  <c r="AV75" i="13"/>
  <c r="AV140" i="13"/>
  <c r="T44" i="13"/>
  <c r="T176" i="13"/>
  <c r="T111" i="13" s="1"/>
  <c r="W114" i="14"/>
  <c r="Z169" i="13"/>
  <c r="Z37" i="13" s="1"/>
  <c r="AN14" i="13"/>
  <c r="M118" i="13"/>
  <c r="AQ6" i="13"/>
  <c r="AQ81" i="14"/>
  <c r="Y167" i="13"/>
  <c r="Y102" i="13" s="1"/>
  <c r="AA98" i="13"/>
  <c r="AA163" i="13"/>
  <c r="AA31" i="13" s="1"/>
  <c r="P123" i="14"/>
  <c r="F60" i="12"/>
  <c r="BK60" i="12" s="1"/>
  <c r="H59" i="12"/>
  <c r="I191" i="12" s="1"/>
  <c r="I59" i="12"/>
  <c r="J191" i="12" s="1"/>
  <c r="J59" i="12"/>
  <c r="K59" i="12"/>
  <c r="L191" i="12" s="1"/>
  <c r="L59" i="12"/>
  <c r="M191" i="12" s="1"/>
  <c r="M59" i="12"/>
  <c r="N59" i="12"/>
  <c r="O191" i="12" s="1"/>
  <c r="O59" i="12"/>
  <c r="P59" i="12"/>
  <c r="Q191" i="12" s="1"/>
  <c r="Q59" i="12"/>
  <c r="R191" i="12" s="1"/>
  <c r="R59" i="12"/>
  <c r="S59" i="12"/>
  <c r="T191" i="12" s="1"/>
  <c r="T59" i="12"/>
  <c r="U191" i="12" s="1"/>
  <c r="U59" i="12"/>
  <c r="V59" i="12"/>
  <c r="W191" i="12" s="1"/>
  <c r="W59" i="12"/>
  <c r="X59" i="12"/>
  <c r="Y191" i="12" s="1"/>
  <c r="Y59" i="12"/>
  <c r="Z191" i="12" s="1"/>
  <c r="Z59" i="12"/>
  <c r="AA59" i="12"/>
  <c r="AB191" i="12" s="1"/>
  <c r="AB59" i="12"/>
  <c r="AC191" i="12" s="1"/>
  <c r="AC59" i="12"/>
  <c r="AD59" i="12"/>
  <c r="AE191" i="12" s="1"/>
  <c r="AE59" i="12"/>
  <c r="AF59" i="12"/>
  <c r="AG191" i="12" s="1"/>
  <c r="AG59" i="12"/>
  <c r="AH191" i="12" s="1"/>
  <c r="AH59" i="12"/>
  <c r="AI59" i="12"/>
  <c r="AJ191" i="12" s="1"/>
  <c r="AJ59" i="12"/>
  <c r="AK191" i="12" s="1"/>
  <c r="AK59" i="12"/>
  <c r="AL59" i="12"/>
  <c r="AM191" i="12" s="1"/>
  <c r="AM59" i="12"/>
  <c r="AN59" i="12"/>
  <c r="AO191" i="12" s="1"/>
  <c r="AO59" i="12"/>
  <c r="AP191" i="12" s="1"/>
  <c r="AP59" i="12"/>
  <c r="AQ59" i="12"/>
  <c r="AR191" i="12" s="1"/>
  <c r="AR59" i="12"/>
  <c r="AS191" i="12" s="1"/>
  <c r="AS59" i="12"/>
  <c r="AT59" i="12"/>
  <c r="AU191" i="12" s="1"/>
  <c r="AU59" i="12"/>
  <c r="AV59" i="12"/>
  <c r="AW191" i="12" s="1"/>
  <c r="AW59" i="12"/>
  <c r="AX191" i="12" s="1"/>
  <c r="AX59" i="12"/>
  <c r="AY59" i="12"/>
  <c r="AZ191" i="12" s="1"/>
  <c r="AZ59" i="12"/>
  <c r="BA191" i="12" s="1"/>
  <c r="BA59" i="12"/>
  <c r="BB59" i="12"/>
  <c r="BC191" i="12" s="1"/>
  <c r="BC59" i="12"/>
  <c r="BD59" i="12"/>
  <c r="BE191" i="12" s="1"/>
  <c r="BE59" i="12"/>
  <c r="BF191" i="12" s="1"/>
  <c r="BF59" i="12"/>
  <c r="BG59" i="12"/>
  <c r="BH191" i="12" s="1"/>
  <c r="BH59" i="12"/>
  <c r="BI59" i="12"/>
  <c r="AH92" i="14"/>
  <c r="J55" i="13"/>
  <c r="K55" i="13" s="1"/>
  <c r="I56" i="13"/>
  <c r="J56" i="13" s="1"/>
  <c r="AA94" i="13"/>
  <c r="U111" i="13" l="1"/>
  <c r="U176" i="13"/>
  <c r="R178" i="13"/>
  <c r="R46" i="13" s="1"/>
  <c r="J189" i="13"/>
  <c r="J124" i="13" s="1"/>
  <c r="Z102" i="13"/>
  <c r="Z167" i="13"/>
  <c r="AF95" i="13"/>
  <c r="AF160" i="13"/>
  <c r="AT139" i="13"/>
  <c r="AT74" i="13" s="1"/>
  <c r="K188" i="13"/>
  <c r="AN85" i="13"/>
  <c r="AN150" i="13"/>
  <c r="AO81" i="13"/>
  <c r="AO146" i="13"/>
  <c r="AO14" i="13" s="1"/>
  <c r="AL156" i="13"/>
  <c r="AL91" i="13" s="1"/>
  <c r="AJ157" i="13"/>
  <c r="AJ92" i="13" s="1"/>
  <c r="Q115" i="13"/>
  <c r="Q180" i="13"/>
  <c r="AE158" i="13"/>
  <c r="AE93" i="13" s="1"/>
  <c r="AQ80" i="13"/>
  <c r="AQ145" i="13"/>
  <c r="AR138" i="13"/>
  <c r="AR73" i="13" s="1"/>
  <c r="AO87" i="13"/>
  <c r="AO152" i="13"/>
  <c r="Y100" i="13"/>
  <c r="Y165" i="13"/>
  <c r="AR81" i="14"/>
  <c r="Z35" i="13"/>
  <c r="E134" i="14"/>
  <c r="G134" i="14" s="1"/>
  <c r="G126" i="13"/>
  <c r="H126" i="13" s="1"/>
  <c r="AP79" i="13"/>
  <c r="AP144" i="13"/>
  <c r="N183" i="13"/>
  <c r="N126" i="14" s="1"/>
  <c r="S175" i="13"/>
  <c r="W115" i="14"/>
  <c r="R41" i="13"/>
  <c r="R116" i="14"/>
  <c r="AO86" i="14"/>
  <c r="AN20" i="13"/>
  <c r="AO20" i="13" s="1"/>
  <c r="J131" i="14"/>
  <c r="K131" i="14" s="1"/>
  <c r="AX136" i="13"/>
  <c r="AX71" i="13" s="1"/>
  <c r="AV8" i="13"/>
  <c r="AV83" i="14"/>
  <c r="U105" i="13"/>
  <c r="AE28" i="13"/>
  <c r="AF28" i="13" s="1"/>
  <c r="BG6" i="15"/>
  <c r="BK8" i="14"/>
  <c r="BK1" i="14"/>
  <c r="AF96" i="13"/>
  <c r="Y168" i="13"/>
  <c r="Y111" i="14" s="1"/>
  <c r="K129" i="14"/>
  <c r="H125" i="13"/>
  <c r="R108" i="13"/>
  <c r="T174" i="13"/>
  <c r="T109" i="13" s="1"/>
  <c r="Y110" i="14"/>
  <c r="Z110" i="14" s="1"/>
  <c r="Y108" i="14"/>
  <c r="AP88" i="14"/>
  <c r="AQ88" i="14" s="1"/>
  <c r="Q113" i="13"/>
  <c r="F193" i="12"/>
  <c r="H192" i="12"/>
  <c r="I192" i="12"/>
  <c r="L192" i="12"/>
  <c r="T192" i="12"/>
  <c r="AB192" i="12"/>
  <c r="AJ192" i="12"/>
  <c r="AR192" i="12"/>
  <c r="AZ192" i="12"/>
  <c r="BH192" i="12"/>
  <c r="AD26" i="13"/>
  <c r="Z99" i="13"/>
  <c r="Z164" i="13"/>
  <c r="Z107" i="14" s="1"/>
  <c r="K56" i="13"/>
  <c r="AB102" i="14"/>
  <c r="AJ25" i="13"/>
  <c r="E126" i="12"/>
  <c r="E69" i="14" s="1"/>
  <c r="E60" i="12"/>
  <c r="BF7" i="15"/>
  <c r="BF18" i="15"/>
  <c r="AO89" i="14"/>
  <c r="AJ89" i="13"/>
  <c r="AJ154" i="13"/>
  <c r="BL7" i="14"/>
  <c r="BN29" i="4"/>
  <c r="BH11" i="15" s="1"/>
  <c r="BN8" i="4"/>
  <c r="BN46" i="4" s="1"/>
  <c r="BN13" i="4"/>
  <c r="BL2" i="14" s="1"/>
  <c r="BO9" i="4"/>
  <c r="BN6" i="4"/>
  <c r="BL11" i="14"/>
  <c r="BL76" i="14" s="1"/>
  <c r="BL68" i="13"/>
  <c r="AB163" i="13"/>
  <c r="AB106" i="14" s="1"/>
  <c r="AW140" i="13"/>
  <c r="AW75" i="13" s="1"/>
  <c r="AY85" i="14"/>
  <c r="AY10" i="13"/>
  <c r="Y33" i="13"/>
  <c r="X171" i="13"/>
  <c r="X114" i="14" s="1"/>
  <c r="AC34" i="13"/>
  <c r="AC109" i="14"/>
  <c r="BL70" i="14"/>
  <c r="BM12" i="14"/>
  <c r="Z104" i="13"/>
  <c r="AA169" i="13" s="1"/>
  <c r="AA37" i="13" s="1"/>
  <c r="Q121" i="14"/>
  <c r="BM128" i="12"/>
  <c r="BN69" i="12"/>
  <c r="AY77" i="13"/>
  <c r="AS76" i="13"/>
  <c r="AS141" i="13"/>
  <c r="BE10" i="15"/>
  <c r="BL30" i="4"/>
  <c r="H59" i="13"/>
  <c r="E61" i="13" a="1"/>
  <c r="E61" i="13" s="1"/>
  <c r="F62" i="13"/>
  <c r="AK153" i="13"/>
  <c r="AK21" i="13" s="1"/>
  <c r="AS7" i="13"/>
  <c r="AN18" i="13"/>
  <c r="BE6" i="7"/>
  <c r="BI177" i="4" s="1"/>
  <c r="BI175" i="4"/>
  <c r="AF29" i="13"/>
  <c r="C63" i="13"/>
  <c r="T119" i="14"/>
  <c r="U119" i="14" s="1"/>
  <c r="AC101" i="13"/>
  <c r="Z112" i="14"/>
  <c r="AN82" i="13"/>
  <c r="AG97" i="13"/>
  <c r="Q48" i="13"/>
  <c r="Q123" i="14"/>
  <c r="U44" i="13"/>
  <c r="AN95" i="14"/>
  <c r="AO95" i="14" s="1"/>
  <c r="AP13" i="13"/>
  <c r="AQ13" i="13" s="1"/>
  <c r="L185" i="13"/>
  <c r="L128" i="14" s="1"/>
  <c r="Z32" i="13"/>
  <c r="K121" i="13"/>
  <c r="K186" i="13"/>
  <c r="K54" i="13" s="1"/>
  <c r="AP12" i="13"/>
  <c r="I57" i="13"/>
  <c r="J57" i="13" s="1"/>
  <c r="N125" i="14"/>
  <c r="J62" i="11"/>
  <c r="I62" i="11"/>
  <c r="H62" i="11"/>
  <c r="G63" i="11"/>
  <c r="AS82" i="14"/>
  <c r="AB159" i="13"/>
  <c r="AB94" i="13" s="1"/>
  <c r="M49" i="13"/>
  <c r="M51" i="13"/>
  <c r="N51" i="13" s="1"/>
  <c r="AI17" i="13"/>
  <c r="F128" i="12"/>
  <c r="I127" i="12"/>
  <c r="H127" i="12"/>
  <c r="J127" i="12"/>
  <c r="K192" i="12" s="1"/>
  <c r="K127" i="12"/>
  <c r="L127" i="12"/>
  <c r="M127" i="12"/>
  <c r="N127" i="12"/>
  <c r="O127" i="12"/>
  <c r="P127" i="12"/>
  <c r="Q127" i="12"/>
  <c r="R127" i="12"/>
  <c r="S192" i="12" s="1"/>
  <c r="S127" i="12"/>
  <c r="T127" i="12"/>
  <c r="U127" i="12"/>
  <c r="V127" i="12"/>
  <c r="W127" i="12"/>
  <c r="X127" i="12"/>
  <c r="Y127" i="12"/>
  <c r="Z127" i="12"/>
  <c r="AA192" i="12" s="1"/>
  <c r="AA127" i="12"/>
  <c r="AB127" i="12"/>
  <c r="AC127" i="12"/>
  <c r="AD127" i="12"/>
  <c r="AE127" i="12"/>
  <c r="AF127" i="12"/>
  <c r="AG127" i="12"/>
  <c r="AH127" i="12"/>
  <c r="AI192" i="12" s="1"/>
  <c r="AI127" i="12"/>
  <c r="AJ127" i="12"/>
  <c r="AK127" i="12"/>
  <c r="AL127" i="12"/>
  <c r="AM127" i="12"/>
  <c r="AN127" i="12"/>
  <c r="AO127" i="12"/>
  <c r="AP127" i="12"/>
  <c r="AQ192" i="12" s="1"/>
  <c r="AQ127" i="12"/>
  <c r="AR127" i="12"/>
  <c r="AS127" i="12"/>
  <c r="AT127" i="12"/>
  <c r="AU127" i="12"/>
  <c r="AV127" i="12"/>
  <c r="AW127" i="12"/>
  <c r="AX127" i="12"/>
  <c r="AY192" i="12" s="1"/>
  <c r="AY127" i="12"/>
  <c r="AZ127" i="12"/>
  <c r="BA127" i="12"/>
  <c r="BB127" i="12"/>
  <c r="BC127" i="12"/>
  <c r="BD127" i="12"/>
  <c r="BE127" i="12"/>
  <c r="BF127" i="12"/>
  <c r="BG192" i="12" s="1"/>
  <c r="BG127" i="12"/>
  <c r="BH127" i="12"/>
  <c r="BI127" i="12"/>
  <c r="BJ127" i="12"/>
  <c r="BK127" i="12"/>
  <c r="AG86" i="13"/>
  <c r="BJ32" i="4"/>
  <c r="BH187" i="12"/>
  <c r="BH188" i="12"/>
  <c r="BH190" i="12"/>
  <c r="BH189" i="12"/>
  <c r="F70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E192" i="13"/>
  <c r="E127" i="13"/>
  <c r="G60" i="13"/>
  <c r="AK155" i="13"/>
  <c r="AK98" i="14" s="1"/>
  <c r="BF4" i="7"/>
  <c r="BF7" i="7"/>
  <c r="BG3" i="7" s="1"/>
  <c r="BJ174" i="4"/>
  <c r="BJ178" i="4" s="1"/>
  <c r="BN134" i="12"/>
  <c r="I132" i="14"/>
  <c r="AI100" i="14"/>
  <c r="AJ100" i="14" s="1"/>
  <c r="AI97" i="14"/>
  <c r="AJ97" i="14" s="1"/>
  <c r="AI22" i="13"/>
  <c r="AJ22" i="13" s="1"/>
  <c r="K122" i="13"/>
  <c r="N117" i="13"/>
  <c r="BO134" i="13"/>
  <c r="AL3" i="13"/>
  <c r="W107" i="13"/>
  <c r="W172" i="13"/>
  <c r="W40" i="13" s="1"/>
  <c r="AR6" i="13"/>
  <c r="AQ91" i="14"/>
  <c r="AQ83" i="13"/>
  <c r="AF103" i="14"/>
  <c r="AL70" i="13"/>
  <c r="BM1" i="13"/>
  <c r="BM68" i="12"/>
  <c r="BN1" i="12"/>
  <c r="AG19" i="13"/>
  <c r="AG151" i="13"/>
  <c r="AG94" i="14" s="1"/>
  <c r="AL99" i="14"/>
  <c r="U38" i="13"/>
  <c r="Q47" i="13"/>
  <c r="Q179" i="13"/>
  <c r="Q114" i="13" s="1"/>
  <c r="M116" i="13"/>
  <c r="AJ84" i="13"/>
  <c r="AJ149" i="13"/>
  <c r="AI92" i="14"/>
  <c r="H60" i="12"/>
  <c r="F61" i="12"/>
  <c r="I60" i="12"/>
  <c r="J192" i="12" s="1"/>
  <c r="J60" i="12"/>
  <c r="K60" i="12"/>
  <c r="L60" i="12"/>
  <c r="M192" i="12" s="1"/>
  <c r="M60" i="12"/>
  <c r="N192" i="12" s="1"/>
  <c r="N60" i="12"/>
  <c r="O192" i="12" s="1"/>
  <c r="O60" i="12"/>
  <c r="P192" i="12" s="1"/>
  <c r="P60" i="12"/>
  <c r="Q192" i="12" s="1"/>
  <c r="Q60" i="12"/>
  <c r="R192" i="12" s="1"/>
  <c r="R60" i="12"/>
  <c r="S60" i="12"/>
  <c r="T60" i="12"/>
  <c r="U192" i="12" s="1"/>
  <c r="U60" i="12"/>
  <c r="V192" i="12" s="1"/>
  <c r="V60" i="12"/>
  <c r="W192" i="12" s="1"/>
  <c r="W60" i="12"/>
  <c r="X192" i="12" s="1"/>
  <c r="X60" i="12"/>
  <c r="Y192" i="12" s="1"/>
  <c r="Y60" i="12"/>
  <c r="Z192" i="12" s="1"/>
  <c r="Z60" i="12"/>
  <c r="AA60" i="12"/>
  <c r="AB60" i="12"/>
  <c r="AC192" i="12" s="1"/>
  <c r="AC60" i="12"/>
  <c r="AD192" i="12" s="1"/>
  <c r="AD60" i="12"/>
  <c r="AE192" i="12" s="1"/>
  <c r="AE60" i="12"/>
  <c r="AF192" i="12" s="1"/>
  <c r="AF60" i="12"/>
  <c r="AG192" i="12" s="1"/>
  <c r="AG60" i="12"/>
  <c r="AH192" i="12" s="1"/>
  <c r="AH60" i="12"/>
  <c r="AI60" i="12"/>
  <c r="AJ60" i="12"/>
  <c r="AK192" i="12" s="1"/>
  <c r="AK60" i="12"/>
  <c r="AL192" i="12" s="1"/>
  <c r="AL60" i="12"/>
  <c r="AM192" i="12" s="1"/>
  <c r="AM60" i="12"/>
  <c r="AN192" i="12" s="1"/>
  <c r="AN60" i="12"/>
  <c r="AO192" i="12" s="1"/>
  <c r="AO60" i="12"/>
  <c r="AP192" i="12" s="1"/>
  <c r="AP60" i="12"/>
  <c r="AQ60" i="12"/>
  <c r="AR60" i="12"/>
  <c r="AS192" i="12" s="1"/>
  <c r="AS60" i="12"/>
  <c r="AT192" i="12" s="1"/>
  <c r="AT60" i="12"/>
  <c r="AU192" i="12" s="1"/>
  <c r="AU60" i="12"/>
  <c r="AV192" i="12" s="1"/>
  <c r="AV60" i="12"/>
  <c r="AW192" i="12" s="1"/>
  <c r="AW60" i="12"/>
  <c r="AX192" i="12" s="1"/>
  <c r="AX60" i="12"/>
  <c r="AY60" i="12"/>
  <c r="AZ60" i="12"/>
  <c r="BA192" i="12" s="1"/>
  <c r="BA60" i="12"/>
  <c r="BB192" i="12" s="1"/>
  <c r="BB60" i="12"/>
  <c r="BC192" i="12" s="1"/>
  <c r="BC60" i="12"/>
  <c r="BD192" i="12" s="1"/>
  <c r="BD60" i="12"/>
  <c r="BE192" i="12" s="1"/>
  <c r="BE60" i="12"/>
  <c r="BF192" i="12" s="1"/>
  <c r="BF60" i="12"/>
  <c r="BG60" i="12"/>
  <c r="BH60" i="12"/>
  <c r="BI60" i="12"/>
  <c r="BJ60" i="12"/>
  <c r="AN93" i="14"/>
  <c r="BL61" i="12"/>
  <c r="BL60" i="12"/>
  <c r="BM2" i="12"/>
  <c r="AX79" i="14"/>
  <c r="AP87" i="14"/>
  <c r="Q122" i="14"/>
  <c r="AO11" i="13"/>
  <c r="AO143" i="13"/>
  <c r="AO78" i="13" s="1"/>
  <c r="R45" i="13"/>
  <c r="AR72" i="13"/>
  <c r="AR137" i="13"/>
  <c r="AR5" i="13" s="1"/>
  <c r="D125" i="13"/>
  <c r="D133" i="14" s="1"/>
  <c r="D59" i="13"/>
  <c r="L184" i="13"/>
  <c r="L119" i="13" s="1"/>
  <c r="B65" i="14"/>
  <c r="C65" i="14" s="1"/>
  <c r="B64" i="13"/>
  <c r="K123" i="13" s="1"/>
  <c r="B64" i="12"/>
  <c r="C64" i="12" s="1"/>
  <c r="K189" i="13" l="1"/>
  <c r="AM156" i="13"/>
  <c r="AM91" i="13" s="1"/>
  <c r="L188" i="13"/>
  <c r="L131" i="14" s="1"/>
  <c r="AK157" i="13"/>
  <c r="AK92" i="13" s="1"/>
  <c r="U109" i="13"/>
  <c r="U174" i="13"/>
  <c r="AS73" i="13"/>
  <c r="AS138" i="13"/>
  <c r="AS6" i="13" s="1"/>
  <c r="AC159" i="13"/>
  <c r="AC102" i="14" s="1"/>
  <c r="AH94" i="14"/>
  <c r="AX75" i="13"/>
  <c r="AX140" i="13"/>
  <c r="AF158" i="13"/>
  <c r="AF93" i="13" s="1"/>
  <c r="X172" i="13"/>
  <c r="X40" i="13" s="1"/>
  <c r="AY136" i="13"/>
  <c r="AY71" i="13" s="1"/>
  <c r="AU74" i="13"/>
  <c r="AU139" i="13"/>
  <c r="M184" i="13"/>
  <c r="M119" i="13" s="1"/>
  <c r="L187" i="13"/>
  <c r="X115" i="14"/>
  <c r="AR145" i="13"/>
  <c r="AR13" i="13" s="1"/>
  <c r="R180" i="13"/>
  <c r="R115" i="13" s="1"/>
  <c r="AP81" i="13"/>
  <c r="AP146" i="13"/>
  <c r="AP14" i="13" s="1"/>
  <c r="BN1" i="13"/>
  <c r="BN68" i="12"/>
  <c r="BO1" i="12"/>
  <c r="E128" i="13"/>
  <c r="E193" i="13"/>
  <c r="G61" i="13"/>
  <c r="AP89" i="14"/>
  <c r="R122" i="14"/>
  <c r="H61" i="12"/>
  <c r="I193" i="12" s="1"/>
  <c r="F62" i="12"/>
  <c r="I61" i="12"/>
  <c r="J61" i="12"/>
  <c r="K61" i="12"/>
  <c r="L61" i="12"/>
  <c r="M61" i="12"/>
  <c r="N61" i="12"/>
  <c r="O61" i="12"/>
  <c r="P61" i="12"/>
  <c r="Q61" i="12"/>
  <c r="R193" i="12" s="1"/>
  <c r="R61" i="12"/>
  <c r="S61" i="12"/>
  <c r="T61" i="12"/>
  <c r="U61" i="12"/>
  <c r="V61" i="12"/>
  <c r="W61" i="12"/>
  <c r="X61" i="12"/>
  <c r="Y61" i="12"/>
  <c r="Z193" i="12" s="1"/>
  <c r="Z61" i="12"/>
  <c r="AA61" i="12"/>
  <c r="AB61" i="12"/>
  <c r="AC61" i="12"/>
  <c r="AD61" i="12"/>
  <c r="AE61" i="12"/>
  <c r="AF61" i="12"/>
  <c r="AG61" i="12"/>
  <c r="AH193" i="12" s="1"/>
  <c r="AH61" i="12"/>
  <c r="AI61" i="12"/>
  <c r="AJ61" i="12"/>
  <c r="AK61" i="12"/>
  <c r="AL61" i="12"/>
  <c r="AM61" i="12"/>
  <c r="AN61" i="12"/>
  <c r="AO61" i="12"/>
  <c r="AP193" i="12" s="1"/>
  <c r="AP61" i="12"/>
  <c r="AQ61" i="12"/>
  <c r="AR61" i="12"/>
  <c r="AS61" i="12"/>
  <c r="AT61" i="12"/>
  <c r="AU61" i="12"/>
  <c r="AV61" i="12"/>
  <c r="AW61" i="12"/>
  <c r="AX193" i="12" s="1"/>
  <c r="AX61" i="12"/>
  <c r="AY61" i="12"/>
  <c r="AZ61" i="12"/>
  <c r="BA61" i="12"/>
  <c r="BB61" i="12"/>
  <c r="BC61" i="12"/>
  <c r="BD61" i="12"/>
  <c r="BE61" i="12"/>
  <c r="BF193" i="12" s="1"/>
  <c r="BF61" i="12"/>
  <c r="BG61" i="12"/>
  <c r="BH61" i="12"/>
  <c r="BI61" i="12"/>
  <c r="BJ61" i="12"/>
  <c r="BK61" i="12"/>
  <c r="BM7" i="14"/>
  <c r="BO13" i="4"/>
  <c r="BM2" i="14" s="1"/>
  <c r="BO29" i="4"/>
  <c r="BI11" i="15" s="1"/>
  <c r="BP9" i="4"/>
  <c r="BO6" i="4"/>
  <c r="BO8" i="4"/>
  <c r="BO46" i="4" s="1"/>
  <c r="L129" i="14"/>
  <c r="L52" i="13"/>
  <c r="M52" i="13" s="1"/>
  <c r="N116" i="13"/>
  <c r="N181" i="13"/>
  <c r="N124" i="14" s="1"/>
  <c r="AK90" i="13"/>
  <c r="AB27" i="13"/>
  <c r="AH97" i="13"/>
  <c r="X106" i="13"/>
  <c r="BH6" i="15"/>
  <c r="BL8" i="14"/>
  <c r="BL1" i="14"/>
  <c r="L56" i="13"/>
  <c r="T42" i="13"/>
  <c r="U42" i="13" s="1"/>
  <c r="V170" i="13"/>
  <c r="V113" i="14" s="1"/>
  <c r="L53" i="13"/>
  <c r="S118" i="14"/>
  <c r="S43" i="13"/>
  <c r="I191" i="13"/>
  <c r="I126" i="13" s="1"/>
  <c r="AB31" i="13"/>
  <c r="D126" i="13"/>
  <c r="D134" i="14" s="1"/>
  <c r="D60" i="13"/>
  <c r="BM61" i="12"/>
  <c r="BM62" i="12"/>
  <c r="BN2" i="12"/>
  <c r="AO93" i="14"/>
  <c r="R114" i="13"/>
  <c r="R179" i="13"/>
  <c r="BM11" i="14"/>
  <c r="BM76" i="14" s="1"/>
  <c r="BM68" i="13"/>
  <c r="AK97" i="14"/>
  <c r="H60" i="13"/>
  <c r="N49" i="13"/>
  <c r="L120" i="13"/>
  <c r="AO147" i="13"/>
  <c r="BF10" i="15"/>
  <c r="BF14" i="15" s="1"/>
  <c r="BM30" i="4"/>
  <c r="Z33" i="13"/>
  <c r="Y103" i="13"/>
  <c r="AW83" i="14"/>
  <c r="AX83" i="14" s="1"/>
  <c r="T117" i="14"/>
  <c r="U117" i="14" s="1"/>
  <c r="S110" i="13"/>
  <c r="H134" i="14"/>
  <c r="AP11" i="13"/>
  <c r="L127" i="14"/>
  <c r="M127" i="14" s="1"/>
  <c r="AA32" i="13"/>
  <c r="AK23" i="13"/>
  <c r="AA112" i="14"/>
  <c r="AO18" i="13"/>
  <c r="BE14" i="15"/>
  <c r="E127" i="12"/>
  <c r="E70" i="14" s="1"/>
  <c r="E61" i="12"/>
  <c r="AA164" i="13"/>
  <c r="AA99" i="13" s="1"/>
  <c r="AG161" i="13"/>
  <c r="AG104" i="14" s="1"/>
  <c r="AW8" i="13"/>
  <c r="AX8" i="13" s="1"/>
  <c r="AP20" i="13"/>
  <c r="AP87" i="13"/>
  <c r="AP152" i="13"/>
  <c r="AO150" i="13"/>
  <c r="AO85" i="13" s="1"/>
  <c r="AJ92" i="14"/>
  <c r="V38" i="13"/>
  <c r="AL24" i="13"/>
  <c r="AM24" i="13" s="1"/>
  <c r="AK96" i="14"/>
  <c r="BP134" i="13"/>
  <c r="J132" i="14"/>
  <c r="BO134" i="12"/>
  <c r="H70" i="14"/>
  <c r="F71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AR80" i="14"/>
  <c r="AT7" i="13"/>
  <c r="AU7" i="13" s="1"/>
  <c r="AS9" i="13"/>
  <c r="AT9" i="13" s="1"/>
  <c r="AS84" i="14"/>
  <c r="AT84" i="14" s="1"/>
  <c r="AE101" i="14"/>
  <c r="AF101" i="14" s="1"/>
  <c r="AB98" i="13"/>
  <c r="AE26" i="13"/>
  <c r="AF26" i="13" s="1"/>
  <c r="N118" i="13"/>
  <c r="X39" i="13"/>
  <c r="AH162" i="13"/>
  <c r="AY79" i="14"/>
  <c r="R47" i="13"/>
  <c r="AM135" i="13"/>
  <c r="AM70" i="13" s="1"/>
  <c r="X107" i="13"/>
  <c r="AK100" i="14"/>
  <c r="AS137" i="13"/>
  <c r="AS72" i="13" s="1"/>
  <c r="BG7" i="7"/>
  <c r="BH3" i="7" s="1"/>
  <c r="BG4" i="7"/>
  <c r="BK174" i="4"/>
  <c r="BK178" i="4" s="1"/>
  <c r="AT141" i="13"/>
  <c r="AT76" i="13" s="1"/>
  <c r="S173" i="13"/>
  <c r="S108" i="13" s="1"/>
  <c r="AX4" i="13"/>
  <c r="AY4" i="13" s="1"/>
  <c r="AS81" i="14"/>
  <c r="S177" i="13"/>
  <c r="AR148" i="13"/>
  <c r="AR16" i="13" s="1"/>
  <c r="BF6" i="7"/>
  <c r="BJ177" i="4" s="1"/>
  <c r="BJ175" i="4"/>
  <c r="H128" i="12"/>
  <c r="F129" i="12"/>
  <c r="I128" i="12"/>
  <c r="J128" i="12"/>
  <c r="K193" i="12" s="1"/>
  <c r="K128" i="12"/>
  <c r="L128" i="12"/>
  <c r="M193" i="12" s="1"/>
  <c r="M128" i="12"/>
  <c r="N128" i="12"/>
  <c r="O128" i="12"/>
  <c r="P128" i="12"/>
  <c r="Q128" i="12"/>
  <c r="R128" i="12"/>
  <c r="S193" i="12" s="1"/>
  <c r="S128" i="12"/>
  <c r="T128" i="12"/>
  <c r="U193" i="12" s="1"/>
  <c r="U128" i="12"/>
  <c r="V128" i="12"/>
  <c r="W128" i="12"/>
  <c r="X128" i="12"/>
  <c r="Y128" i="12"/>
  <c r="Z128" i="12"/>
  <c r="AA193" i="12" s="1"/>
  <c r="AA128" i="12"/>
  <c r="AB128" i="12"/>
  <c r="AC193" i="12" s="1"/>
  <c r="AC128" i="12"/>
  <c r="AD128" i="12"/>
  <c r="AE128" i="12"/>
  <c r="AF128" i="12"/>
  <c r="AG128" i="12"/>
  <c r="AH128" i="12"/>
  <c r="AI193" i="12" s="1"/>
  <c r="AI128" i="12"/>
  <c r="AJ128" i="12"/>
  <c r="AK193" i="12" s="1"/>
  <c r="AK128" i="12"/>
  <c r="AL128" i="12"/>
  <c r="AM128" i="12"/>
  <c r="AN128" i="12"/>
  <c r="AO128" i="12"/>
  <c r="AP128" i="12"/>
  <c r="AQ193" i="12" s="1"/>
  <c r="AQ128" i="12"/>
  <c r="AR128" i="12"/>
  <c r="AS193" i="12" s="1"/>
  <c r="AS128" i="12"/>
  <c r="AT128" i="12"/>
  <c r="AU128" i="12"/>
  <c r="AV128" i="12"/>
  <c r="AW128" i="12"/>
  <c r="AX128" i="12"/>
  <c r="AY193" i="12" s="1"/>
  <c r="AY128" i="12"/>
  <c r="AZ128" i="12"/>
  <c r="BA193" i="12" s="1"/>
  <c r="BA128" i="12"/>
  <c r="BB128" i="12"/>
  <c r="BC128" i="12"/>
  <c r="BD128" i="12"/>
  <c r="BE128" i="12"/>
  <c r="BF128" i="12"/>
  <c r="BG193" i="12" s="1"/>
  <c r="BG128" i="12"/>
  <c r="BH128" i="12"/>
  <c r="BI193" i="12" s="1"/>
  <c r="BI128" i="12"/>
  <c r="BJ128" i="12"/>
  <c r="BK128" i="12"/>
  <c r="BL128" i="12"/>
  <c r="J63" i="11"/>
  <c r="I63" i="11"/>
  <c r="G64" i="11"/>
  <c r="H63" i="11"/>
  <c r="AK88" i="13"/>
  <c r="AZ142" i="13"/>
  <c r="AZ10" i="13" s="1"/>
  <c r="R121" i="14"/>
  <c r="Y36" i="13"/>
  <c r="R113" i="13"/>
  <c r="I190" i="13"/>
  <c r="E135" i="14"/>
  <c r="G135" i="14" s="1"/>
  <c r="H135" i="14" s="1"/>
  <c r="G127" i="13"/>
  <c r="H127" i="13" s="1"/>
  <c r="AM99" i="14"/>
  <c r="AH86" i="13"/>
  <c r="AH151" i="13"/>
  <c r="AT82" i="14"/>
  <c r="AU82" i="14" s="1"/>
  <c r="AP95" i="14"/>
  <c r="BM71" i="14"/>
  <c r="BN12" i="14"/>
  <c r="AK25" i="13"/>
  <c r="H193" i="12"/>
  <c r="F194" i="12"/>
  <c r="J193" i="12"/>
  <c r="L193" i="12"/>
  <c r="N193" i="12"/>
  <c r="O193" i="12"/>
  <c r="P193" i="12"/>
  <c r="Q193" i="12"/>
  <c r="T193" i="12"/>
  <c r="V193" i="12"/>
  <c r="W193" i="12"/>
  <c r="X193" i="12"/>
  <c r="Y193" i="12"/>
  <c r="AB193" i="12"/>
  <c r="AD193" i="12"/>
  <c r="AE193" i="12"/>
  <c r="AF193" i="12"/>
  <c r="AG193" i="12"/>
  <c r="AJ193" i="12"/>
  <c r="AL193" i="12"/>
  <c r="AM193" i="12"/>
  <c r="AN193" i="12"/>
  <c r="AO193" i="12"/>
  <c r="AR193" i="12"/>
  <c r="AT193" i="12"/>
  <c r="AU193" i="12"/>
  <c r="AV193" i="12"/>
  <c r="AW193" i="12"/>
  <c r="AZ193" i="12"/>
  <c r="BB193" i="12"/>
  <c r="BC193" i="12"/>
  <c r="BD193" i="12"/>
  <c r="BE193" i="12"/>
  <c r="BH193" i="12"/>
  <c r="BJ193" i="12"/>
  <c r="AP78" i="13"/>
  <c r="AP143" i="13"/>
  <c r="AP86" i="14" s="1"/>
  <c r="AK84" i="13"/>
  <c r="AK149" i="13"/>
  <c r="AH19" i="13"/>
  <c r="O182" i="13"/>
  <c r="O50" i="13" s="1"/>
  <c r="AJ17" i="13"/>
  <c r="B66" i="14"/>
  <c r="C66" i="14" s="1"/>
  <c r="B65" i="13"/>
  <c r="K124" i="13" s="1"/>
  <c r="B65" i="12"/>
  <c r="C65" i="12" s="1"/>
  <c r="L186" i="13"/>
  <c r="L54" i="13" s="1"/>
  <c r="R123" i="14"/>
  <c r="C64" i="13"/>
  <c r="C65" i="13" s="1"/>
  <c r="E62" i="13" a="1"/>
  <c r="E62" i="13" s="1"/>
  <c r="F63" i="13"/>
  <c r="E63" i="13" s="1" a="1"/>
  <c r="E63" i="13" s="1"/>
  <c r="BN129" i="12"/>
  <c r="BO69" i="12"/>
  <c r="AA104" i="13"/>
  <c r="AD34" i="13"/>
  <c r="AD166" i="13"/>
  <c r="AD101" i="13" s="1"/>
  <c r="AK154" i="13"/>
  <c r="AK22" i="13" s="1"/>
  <c r="AR88" i="14"/>
  <c r="BG7" i="15"/>
  <c r="BG18" i="15"/>
  <c r="AQ79" i="13"/>
  <c r="AQ144" i="13"/>
  <c r="AQ87" i="14" s="1"/>
  <c r="Z165" i="13"/>
  <c r="Z100" i="13" s="1"/>
  <c r="AG160" i="13"/>
  <c r="AG95" i="13" s="1"/>
  <c r="AA167" i="13"/>
  <c r="AA102" i="13" s="1"/>
  <c r="V111" i="13"/>
  <c r="V176" i="13"/>
  <c r="V119" i="14" s="1"/>
  <c r="AA165" i="13" l="1"/>
  <c r="AA100" i="13" s="1"/>
  <c r="AT138" i="13"/>
  <c r="AT6" i="13" s="1"/>
  <c r="AZ136" i="13"/>
  <c r="AZ71" i="13" s="1"/>
  <c r="S180" i="13"/>
  <c r="S115" i="13" s="1"/>
  <c r="AB164" i="13"/>
  <c r="AB99" i="13" s="1"/>
  <c r="L189" i="13"/>
  <c r="L124" i="13" s="1"/>
  <c r="T108" i="13"/>
  <c r="T173" i="13"/>
  <c r="AN70" i="13"/>
  <c r="AN135" i="13"/>
  <c r="AU141" i="13"/>
  <c r="AU76" i="13" s="1"/>
  <c r="AG158" i="13"/>
  <c r="AG93" i="13" s="1"/>
  <c r="AL92" i="13"/>
  <c r="AL157" i="13"/>
  <c r="N119" i="13"/>
  <c r="N184" i="13"/>
  <c r="N52" i="13" s="1"/>
  <c r="AB167" i="13"/>
  <c r="AB102" i="13" s="1"/>
  <c r="AH95" i="13"/>
  <c r="AH160" i="13"/>
  <c r="AE166" i="13"/>
  <c r="AE34" i="13" s="1"/>
  <c r="AT72" i="13"/>
  <c r="AT137" i="13"/>
  <c r="AP150" i="13"/>
  <c r="AP85" i="13" s="1"/>
  <c r="J126" i="13"/>
  <c r="J191" i="13"/>
  <c r="O117" i="13"/>
  <c r="S41" i="13"/>
  <c r="T41" i="13" s="1"/>
  <c r="E195" i="13"/>
  <c r="E130" i="13"/>
  <c r="G63" i="13"/>
  <c r="AL149" i="13"/>
  <c r="BO12" i="14"/>
  <c r="AI86" i="13"/>
  <c r="AI151" i="13"/>
  <c r="B67" i="14"/>
  <c r="C67" i="14" s="1"/>
  <c r="B66" i="13"/>
  <c r="B66" i="12"/>
  <c r="C66" i="12" s="1"/>
  <c r="AZ4" i="13"/>
  <c r="BG6" i="7"/>
  <c r="BK177" i="4" s="1"/>
  <c r="BK175" i="4"/>
  <c r="AC163" i="13"/>
  <c r="AC106" i="14" s="1"/>
  <c r="AA35" i="13"/>
  <c r="AB35" i="13" s="1"/>
  <c r="AB32" i="13"/>
  <c r="AA110" i="14"/>
  <c r="AB110" i="14" s="1"/>
  <c r="O125" i="14"/>
  <c r="AP93" i="14"/>
  <c r="D127" i="13"/>
  <c r="D135" i="14" s="1"/>
  <c r="D61" i="13"/>
  <c r="AB169" i="13"/>
  <c r="AB37" i="13" s="1"/>
  <c r="E194" i="13"/>
  <c r="E129" i="13"/>
  <c r="G62" i="13"/>
  <c r="AK17" i="13"/>
  <c r="AD109" i="14"/>
  <c r="AE109" i="14" s="1"/>
  <c r="G65" i="11"/>
  <c r="J64" i="11"/>
  <c r="I64" i="11"/>
  <c r="H64" i="11"/>
  <c r="AM3" i="13"/>
  <c r="AN3" i="13" s="1"/>
  <c r="BH4" i="7"/>
  <c r="BH7" i="7"/>
  <c r="BI3" i="7" s="1"/>
  <c r="BL174" i="4"/>
  <c r="BL178" i="4" s="1"/>
  <c r="AG101" i="14"/>
  <c r="N127" i="14"/>
  <c r="AA107" i="14"/>
  <c r="AB107" i="14" s="1"/>
  <c r="O181" i="13"/>
  <c r="O49" i="13" s="1"/>
  <c r="V105" i="13"/>
  <c r="I59" i="13"/>
  <c r="J59" i="13" s="1"/>
  <c r="AZ85" i="14"/>
  <c r="F63" i="12"/>
  <c r="BN63" i="12" s="1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R48" i="13"/>
  <c r="S48" i="13" s="1"/>
  <c r="AT73" i="13"/>
  <c r="AQ143" i="13"/>
  <c r="AQ11" i="13" s="1"/>
  <c r="I192" i="13"/>
  <c r="I127" i="13" s="1"/>
  <c r="AU84" i="14"/>
  <c r="AK92" i="14"/>
  <c r="BK32" i="4"/>
  <c r="BI188" i="12"/>
  <c r="BI189" i="12"/>
  <c r="BI190" i="12"/>
  <c r="BI191" i="12"/>
  <c r="AA33" i="13"/>
  <c r="AC31" i="13"/>
  <c r="V174" i="13"/>
  <c r="V42" i="13" s="1"/>
  <c r="AI97" i="13"/>
  <c r="AI162" i="13"/>
  <c r="L130" i="14"/>
  <c r="L55" i="13"/>
  <c r="AI94" i="14"/>
  <c r="C66" i="13"/>
  <c r="S122" i="14"/>
  <c r="BO1" i="13"/>
  <c r="BO68" i="12"/>
  <c r="BP1" i="12"/>
  <c r="AR80" i="13"/>
  <c r="L122" i="13"/>
  <c r="L123" i="13"/>
  <c r="AZ77" i="13"/>
  <c r="AG96" i="13"/>
  <c r="AB112" i="14"/>
  <c r="T175" i="13"/>
  <c r="T118" i="14" s="1"/>
  <c r="BL32" i="4"/>
  <c r="BJ189" i="12"/>
  <c r="BJ190" i="12"/>
  <c r="BJ191" i="12"/>
  <c r="AC27" i="13"/>
  <c r="Z108" i="14"/>
  <c r="AA108" i="14" s="1"/>
  <c r="AC94" i="13"/>
  <c r="S123" i="14"/>
  <c r="AZ79" i="14"/>
  <c r="AS5" i="13"/>
  <c r="AT5" i="13" s="1"/>
  <c r="AP18" i="13"/>
  <c r="BN62" i="12"/>
  <c r="BO2" i="12"/>
  <c r="S116" i="14"/>
  <c r="T116" i="14" s="1"/>
  <c r="AH30" i="13"/>
  <c r="AI30" i="13" s="1"/>
  <c r="AH105" i="14"/>
  <c r="AI105" i="14" s="1"/>
  <c r="AK89" i="13"/>
  <c r="L121" i="13"/>
  <c r="AI19" i="13"/>
  <c r="AL25" i="13"/>
  <c r="AL153" i="13"/>
  <c r="AL21" i="13" s="1"/>
  <c r="V117" i="14"/>
  <c r="AO90" i="14"/>
  <c r="AO15" i="13"/>
  <c r="T43" i="13"/>
  <c r="AL155" i="13"/>
  <c r="AL98" i="14" s="1"/>
  <c r="BN7" i="14"/>
  <c r="BP29" i="4"/>
  <c r="BJ11" i="15" s="1"/>
  <c r="BP6" i="4"/>
  <c r="BP8" i="4"/>
  <c r="BP46" i="4" s="1"/>
  <c r="BQ9" i="4"/>
  <c r="BP13" i="4"/>
  <c r="BN2" i="14" s="1"/>
  <c r="BN11" i="14"/>
  <c r="BN76" i="14" s="1"/>
  <c r="BN68" i="13"/>
  <c r="I133" i="14"/>
  <c r="I58" i="13"/>
  <c r="S120" i="14"/>
  <c r="S112" i="13"/>
  <c r="AL100" i="14"/>
  <c r="Y171" i="13"/>
  <c r="Y114" i="14" s="1"/>
  <c r="I125" i="13"/>
  <c r="V44" i="13"/>
  <c r="S45" i="13"/>
  <c r="Y172" i="13"/>
  <c r="Y40" i="13" s="1"/>
  <c r="O183" i="13"/>
  <c r="AS80" i="14"/>
  <c r="AT80" i="14" s="1"/>
  <c r="BQ134" i="13"/>
  <c r="AL96" i="14"/>
  <c r="K57" i="13"/>
  <c r="L57" i="13" s="1"/>
  <c r="AO82" i="13"/>
  <c r="H61" i="13"/>
  <c r="AG28" i="13"/>
  <c r="AH28" i="13" s="1"/>
  <c r="BI192" i="12"/>
  <c r="AG103" i="14"/>
  <c r="AH103" i="14" s="1"/>
  <c r="F195" i="12"/>
  <c r="H194" i="12"/>
  <c r="J194" i="12"/>
  <c r="L194" i="12"/>
  <c r="P194" i="12"/>
  <c r="Q194" i="12"/>
  <c r="T194" i="12"/>
  <c r="X194" i="12"/>
  <c r="Y194" i="12"/>
  <c r="AB194" i="12"/>
  <c r="AD194" i="12"/>
  <c r="AF194" i="12"/>
  <c r="AG194" i="12"/>
  <c r="AJ194" i="12"/>
  <c r="AN194" i="12"/>
  <c r="AO194" i="12"/>
  <c r="AR194" i="12"/>
  <c r="AV194" i="12"/>
  <c r="AW194" i="12"/>
  <c r="AZ194" i="12"/>
  <c r="BD194" i="12"/>
  <c r="BE194" i="12"/>
  <c r="BH194" i="12"/>
  <c r="I135" i="14"/>
  <c r="AR83" i="13"/>
  <c r="AU9" i="13"/>
  <c r="I134" i="14"/>
  <c r="J134" i="14" s="1"/>
  <c r="BG10" i="15"/>
  <c r="BG14" i="15" s="1"/>
  <c r="BN30" i="4"/>
  <c r="BP69" i="12"/>
  <c r="AR91" i="14"/>
  <c r="AQ95" i="14"/>
  <c r="F130" i="12"/>
  <c r="H129" i="12"/>
  <c r="I194" i="12" s="1"/>
  <c r="I129" i="12"/>
  <c r="J129" i="12"/>
  <c r="K194" i="12" s="1"/>
  <c r="K129" i="12"/>
  <c r="L129" i="12"/>
  <c r="M194" i="12" s="1"/>
  <c r="M129" i="12"/>
  <c r="N194" i="12" s="1"/>
  <c r="N129" i="12"/>
  <c r="O194" i="12" s="1"/>
  <c r="O129" i="12"/>
  <c r="P129" i="12"/>
  <c r="Q129" i="12"/>
  <c r="R194" i="12" s="1"/>
  <c r="R129" i="12"/>
  <c r="S194" i="12" s="1"/>
  <c r="S129" i="12"/>
  <c r="T129" i="12"/>
  <c r="U194" i="12" s="1"/>
  <c r="U129" i="12"/>
  <c r="V194" i="12" s="1"/>
  <c r="V129" i="12"/>
  <c r="W194" i="12" s="1"/>
  <c r="W129" i="12"/>
  <c r="X129" i="12"/>
  <c r="Y129" i="12"/>
  <c r="Z194" i="12" s="1"/>
  <c r="Z129" i="12"/>
  <c r="AA194" i="12" s="1"/>
  <c r="AA129" i="12"/>
  <c r="AB129" i="12"/>
  <c r="AC194" i="12" s="1"/>
  <c r="AC129" i="12"/>
  <c r="AD129" i="12"/>
  <c r="AE194" i="12" s="1"/>
  <c r="AE129" i="12"/>
  <c r="AF129" i="12"/>
  <c r="AG129" i="12"/>
  <c r="AH194" i="12" s="1"/>
  <c r="AH129" i="12"/>
  <c r="AI194" i="12" s="1"/>
  <c r="AI129" i="12"/>
  <c r="AJ129" i="12"/>
  <c r="AK194" i="12" s="1"/>
  <c r="AK129" i="12"/>
  <c r="AL194" i="12" s="1"/>
  <c r="AL129" i="12"/>
  <c r="AM194" i="12" s="1"/>
  <c r="AM129" i="12"/>
  <c r="AN129" i="12"/>
  <c r="AO129" i="12"/>
  <c r="AP194" i="12" s="1"/>
  <c r="AP129" i="12"/>
  <c r="AQ194" i="12" s="1"/>
  <c r="AQ129" i="12"/>
  <c r="AR129" i="12"/>
  <c r="AS194" i="12" s="1"/>
  <c r="AS129" i="12"/>
  <c r="AT194" i="12" s="1"/>
  <c r="AT129" i="12"/>
  <c r="AU194" i="12" s="1"/>
  <c r="AU129" i="12"/>
  <c r="AV129" i="12"/>
  <c r="AW129" i="12"/>
  <c r="AX194" i="12" s="1"/>
  <c r="AX129" i="12"/>
  <c r="AY194" i="12" s="1"/>
  <c r="AY129" i="12"/>
  <c r="AZ129" i="12"/>
  <c r="BA194" i="12" s="1"/>
  <c r="BA129" i="12"/>
  <c r="BB194" i="12" s="1"/>
  <c r="BB129" i="12"/>
  <c r="BC194" i="12" s="1"/>
  <c r="BC129" i="12"/>
  <c r="BD129" i="12"/>
  <c r="BE129" i="12"/>
  <c r="BF194" i="12" s="1"/>
  <c r="BF129" i="12"/>
  <c r="BG194" i="12" s="1"/>
  <c r="BG129" i="12"/>
  <c r="BH129" i="12"/>
  <c r="BI194" i="12" s="1"/>
  <c r="BI129" i="12"/>
  <c r="BJ194" i="12" s="1"/>
  <c r="BJ129" i="12"/>
  <c r="BK194" i="12" s="1"/>
  <c r="BK129" i="12"/>
  <c r="BL129" i="12"/>
  <c r="BM129" i="12"/>
  <c r="W176" i="13"/>
  <c r="W119" i="14" s="1"/>
  <c r="AR144" i="13"/>
  <c r="AR79" i="13" s="1"/>
  <c r="S178" i="13"/>
  <c r="S46" i="13" s="1"/>
  <c r="AT81" i="14"/>
  <c r="AM78" i="14"/>
  <c r="AG26" i="13"/>
  <c r="AQ12" i="13"/>
  <c r="AR12" i="13" s="1"/>
  <c r="H71" i="14"/>
  <c r="F72" i="14"/>
  <c r="BN72" i="14" s="1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P134" i="12"/>
  <c r="K132" i="14"/>
  <c r="L132" i="14" s="1"/>
  <c r="AN156" i="13"/>
  <c r="AN91" i="13" s="1"/>
  <c r="AQ152" i="13"/>
  <c r="AQ20" i="13" s="1"/>
  <c r="E128" i="12"/>
  <c r="E71" i="14" s="1"/>
  <c r="E62" i="12"/>
  <c r="AL23" i="13"/>
  <c r="Z168" i="13"/>
  <c r="Z111" i="14" s="1"/>
  <c r="M120" i="13"/>
  <c r="M185" i="13"/>
  <c r="M128" i="14" s="1"/>
  <c r="S114" i="13"/>
  <c r="S179" i="13"/>
  <c r="S47" i="13" s="1"/>
  <c r="M53" i="13"/>
  <c r="BH7" i="15"/>
  <c r="BH18" i="15"/>
  <c r="O124" i="14"/>
  <c r="BI6" i="15"/>
  <c r="BM8" i="14"/>
  <c r="BM1" i="14"/>
  <c r="AQ81" i="13"/>
  <c r="AQ146" i="13"/>
  <c r="AQ14" i="13" s="1"/>
  <c r="E136" i="14"/>
  <c r="G136" i="14" s="1"/>
  <c r="H136" i="14" s="1"/>
  <c r="G128" i="13"/>
  <c r="H128" i="13" s="1"/>
  <c r="AG29" i="13"/>
  <c r="AV139" i="13"/>
  <c r="AV7" i="13" s="1"/>
  <c r="BJ192" i="12"/>
  <c r="AY140" i="13"/>
  <c r="AY83" i="14" s="1"/>
  <c r="O52" i="13" l="1"/>
  <c r="AQ150" i="13"/>
  <c r="AQ85" i="13" s="1"/>
  <c r="M189" i="13"/>
  <c r="M124" i="13" s="1"/>
  <c r="AR14" i="13"/>
  <c r="AC164" i="13"/>
  <c r="AC99" i="13" s="1"/>
  <c r="T180" i="13"/>
  <c r="T123" i="14" s="1"/>
  <c r="T47" i="13"/>
  <c r="AH93" i="13"/>
  <c r="AH158" i="13"/>
  <c r="AH101" i="14" s="1"/>
  <c r="AO91" i="13"/>
  <c r="AO156" i="13"/>
  <c r="J192" i="13"/>
  <c r="J127" i="13" s="1"/>
  <c r="AV141" i="13"/>
  <c r="AV76" i="13" s="1"/>
  <c r="BA71" i="13"/>
  <c r="BA136" i="13"/>
  <c r="BA4" i="13" s="1"/>
  <c r="AS79" i="13"/>
  <c r="AS144" i="13"/>
  <c r="AS12" i="13" s="1"/>
  <c r="AB165" i="13"/>
  <c r="AB108" i="14" s="1"/>
  <c r="AP147" i="13"/>
  <c r="AP82" i="13" s="1"/>
  <c r="T114" i="13"/>
  <c r="T179" i="13"/>
  <c r="Y115" i="14"/>
  <c r="M187" i="13"/>
  <c r="M122" i="13" s="1"/>
  <c r="AJ94" i="14"/>
  <c r="AJ151" i="13"/>
  <c r="AQ86" i="14"/>
  <c r="AR81" i="13"/>
  <c r="AR146" i="13"/>
  <c r="O126" i="14"/>
  <c r="O51" i="13"/>
  <c r="AV82" i="14"/>
  <c r="AQ18" i="13"/>
  <c r="AV74" i="13"/>
  <c r="AQ87" i="13"/>
  <c r="W111" i="13"/>
  <c r="O118" i="13"/>
  <c r="Y39" i="13"/>
  <c r="AQ89" i="14"/>
  <c r="AR89" i="14" s="1"/>
  <c r="AL90" i="13"/>
  <c r="AM157" i="13"/>
  <c r="AM25" i="13" s="1"/>
  <c r="AU5" i="13"/>
  <c r="AU137" i="13"/>
  <c r="AU72" i="13" s="1"/>
  <c r="T110" i="13"/>
  <c r="AS145" i="13"/>
  <c r="I60" i="13"/>
  <c r="AQ78" i="13"/>
  <c r="W105" i="13"/>
  <c r="W170" i="13"/>
  <c r="H65" i="11"/>
  <c r="G66" i="11"/>
  <c r="J65" i="11"/>
  <c r="I65" i="11"/>
  <c r="AB104" i="13"/>
  <c r="AL84" i="13"/>
  <c r="O119" i="13"/>
  <c r="O184" i="13"/>
  <c r="AO70" i="13"/>
  <c r="AO135" i="13"/>
  <c r="N185" i="13"/>
  <c r="N120" i="13" s="1"/>
  <c r="AM100" i="14"/>
  <c r="BJ6" i="15"/>
  <c r="BN1" i="14"/>
  <c r="BN8" i="14"/>
  <c r="U175" i="13"/>
  <c r="U43" i="13" s="1"/>
  <c r="AJ19" i="13"/>
  <c r="BA79" i="14"/>
  <c r="BP1" i="13"/>
  <c r="BP68" i="12"/>
  <c r="BQ1" i="12"/>
  <c r="M130" i="14"/>
  <c r="AY8" i="13"/>
  <c r="AU73" i="13"/>
  <c r="AU138" i="13"/>
  <c r="AU6" i="13" s="1"/>
  <c r="O116" i="13"/>
  <c r="AC32" i="13"/>
  <c r="AE101" i="13"/>
  <c r="AR87" i="14"/>
  <c r="AS87" i="14" s="1"/>
  <c r="AV9" i="13"/>
  <c r="I128" i="13"/>
  <c r="I193" i="13"/>
  <c r="I136" i="14" s="1"/>
  <c r="AN24" i="13"/>
  <c r="AO24" i="13" s="1"/>
  <c r="S113" i="13"/>
  <c r="AS148" i="13"/>
  <c r="AS16" i="13" s="1"/>
  <c r="I61" i="13"/>
  <c r="BR134" i="13"/>
  <c r="Y107" i="13"/>
  <c r="T112" i="13"/>
  <c r="T177" i="13"/>
  <c r="BQ29" i="4"/>
  <c r="BK11" i="15" s="1"/>
  <c r="BR9" i="4"/>
  <c r="BQ6" i="4"/>
  <c r="BQ8" i="4"/>
  <c r="BQ46" i="4" s="1"/>
  <c r="BQ13" i="4"/>
  <c r="BO2" i="14" s="1"/>
  <c r="AP15" i="13"/>
  <c r="M121" i="13"/>
  <c r="M186" i="13"/>
  <c r="AH161" i="13"/>
  <c r="AH104" i="14" s="1"/>
  <c r="T48" i="13"/>
  <c r="BI7" i="7"/>
  <c r="BJ3" i="7" s="1"/>
  <c r="BI4" i="7"/>
  <c r="BM174" i="4"/>
  <c r="BM178" i="4" s="1"/>
  <c r="AN99" i="14"/>
  <c r="AO99" i="14" s="1"/>
  <c r="Y106" i="13"/>
  <c r="AC167" i="13"/>
  <c r="AC110" i="14" s="1"/>
  <c r="BP12" i="14"/>
  <c r="E138" i="14"/>
  <c r="G138" i="14" s="1"/>
  <c r="G130" i="13"/>
  <c r="BI7" i="15"/>
  <c r="BI18" i="15"/>
  <c r="F73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Z103" i="13"/>
  <c r="BQ134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BQ69" i="12"/>
  <c r="BO130" i="12"/>
  <c r="T45" i="13"/>
  <c r="T120" i="14"/>
  <c r="AP90" i="14"/>
  <c r="AL89" i="13"/>
  <c r="AL154" i="13"/>
  <c r="BO11" i="14"/>
  <c r="BO76" i="14" s="1"/>
  <c r="BO68" i="13"/>
  <c r="AL92" i="14"/>
  <c r="AC107" i="14"/>
  <c r="BH6" i="7"/>
  <c r="BL177" i="4" s="1"/>
  <c r="BL175" i="4"/>
  <c r="AL17" i="13"/>
  <c r="K191" i="13"/>
  <c r="K59" i="13" s="1"/>
  <c r="AI160" i="13"/>
  <c r="AI28" i="13" s="1"/>
  <c r="AM92" i="13"/>
  <c r="U173" i="13"/>
  <c r="U108" i="13" s="1"/>
  <c r="S121" i="14"/>
  <c r="T122" i="14"/>
  <c r="AJ97" i="13"/>
  <c r="AJ162" i="13"/>
  <c r="AJ105" i="14" s="1"/>
  <c r="AV84" i="14"/>
  <c r="H63" i="12"/>
  <c r="I63" i="12"/>
  <c r="J63" i="12"/>
  <c r="K195" i="12" s="1"/>
  <c r="K63" i="12"/>
  <c r="L195" i="12" s="1"/>
  <c r="L63" i="12"/>
  <c r="M195" i="12" s="1"/>
  <c r="M63" i="12"/>
  <c r="N195" i="12" s="1"/>
  <c r="N63" i="12"/>
  <c r="O63" i="12"/>
  <c r="P63" i="12"/>
  <c r="Q63" i="12"/>
  <c r="R63" i="12"/>
  <c r="S195" i="12" s="1"/>
  <c r="S63" i="12"/>
  <c r="T195" i="12" s="1"/>
  <c r="T63" i="12"/>
  <c r="U195" i="12" s="1"/>
  <c r="U63" i="12"/>
  <c r="V195" i="12" s="1"/>
  <c r="V63" i="12"/>
  <c r="W63" i="12"/>
  <c r="X63" i="12"/>
  <c r="Y63" i="12"/>
  <c r="Z63" i="12"/>
  <c r="AA195" i="12" s="1"/>
  <c r="AA63" i="12"/>
  <c r="AB195" i="12" s="1"/>
  <c r="AB63" i="12"/>
  <c r="AC195" i="12" s="1"/>
  <c r="AC63" i="12"/>
  <c r="AD195" i="12" s="1"/>
  <c r="AD63" i="12"/>
  <c r="AE63" i="12"/>
  <c r="AF63" i="12"/>
  <c r="AG63" i="12"/>
  <c r="AH63" i="12"/>
  <c r="AI195" i="12" s="1"/>
  <c r="AI63" i="12"/>
  <c r="AJ195" i="12" s="1"/>
  <c r="AJ63" i="12"/>
  <c r="AK195" i="12" s="1"/>
  <c r="AK63" i="12"/>
  <c r="AL195" i="12" s="1"/>
  <c r="AL63" i="12"/>
  <c r="AM63" i="12"/>
  <c r="AN63" i="12"/>
  <c r="AO63" i="12"/>
  <c r="AP63" i="12"/>
  <c r="AQ195" i="12" s="1"/>
  <c r="AQ63" i="12"/>
  <c r="AR195" i="12" s="1"/>
  <c r="AR63" i="12"/>
  <c r="AS195" i="12" s="1"/>
  <c r="AS63" i="12"/>
  <c r="AT195" i="12" s="1"/>
  <c r="AT63" i="12"/>
  <c r="AU63" i="12"/>
  <c r="AV63" i="12"/>
  <c r="AW63" i="12"/>
  <c r="AX63" i="12"/>
  <c r="AY195" i="12" s="1"/>
  <c r="AY63" i="12"/>
  <c r="AZ195" i="12" s="1"/>
  <c r="AZ63" i="12"/>
  <c r="BA195" i="12" s="1"/>
  <c r="BA63" i="12"/>
  <c r="BB195" i="12" s="1"/>
  <c r="BB63" i="12"/>
  <c r="BC63" i="12"/>
  <c r="BD63" i="12"/>
  <c r="BE63" i="12"/>
  <c r="BF63" i="12"/>
  <c r="BG195" i="12" s="1"/>
  <c r="BG63" i="12"/>
  <c r="BH195" i="12" s="1"/>
  <c r="BH63" i="12"/>
  <c r="BI195" i="12" s="1"/>
  <c r="BI63" i="12"/>
  <c r="BJ195" i="12" s="1"/>
  <c r="BJ63" i="12"/>
  <c r="BK63" i="12"/>
  <c r="BL63" i="12"/>
  <c r="BM63" i="12"/>
  <c r="O127" i="14"/>
  <c r="AO3" i="13"/>
  <c r="H62" i="13"/>
  <c r="D128" i="13"/>
  <c r="D136" i="14" s="1"/>
  <c r="D62" i="13"/>
  <c r="Z36" i="13"/>
  <c r="BA142" i="13"/>
  <c r="BA10" i="13" s="1"/>
  <c r="AY75" i="13"/>
  <c r="E129" i="12"/>
  <c r="E72" i="14" s="1"/>
  <c r="E63" i="12"/>
  <c r="E130" i="12" s="1"/>
  <c r="E73" i="14" s="1"/>
  <c r="AH26" i="13"/>
  <c r="BM32" i="4"/>
  <c r="BK190" i="12"/>
  <c r="BK191" i="12"/>
  <c r="BK193" i="12"/>
  <c r="BK192" i="12"/>
  <c r="W44" i="13"/>
  <c r="AJ30" i="13"/>
  <c r="M188" i="13"/>
  <c r="M123" i="13" s="1"/>
  <c r="C67" i="13"/>
  <c r="BA85" i="14"/>
  <c r="B68" i="14"/>
  <c r="M132" i="14" s="1"/>
  <c r="B67" i="13"/>
  <c r="B67" i="12"/>
  <c r="C67" i="12" s="1"/>
  <c r="E137" i="14"/>
  <c r="G137" i="14" s="1"/>
  <c r="G129" i="13"/>
  <c r="H129" i="13" s="1"/>
  <c r="AC98" i="13"/>
  <c r="U41" i="13"/>
  <c r="BH10" i="15"/>
  <c r="BH14" i="15" s="1"/>
  <c r="BO30" i="4"/>
  <c r="N53" i="13"/>
  <c r="AN78" i="14"/>
  <c r="K134" i="14"/>
  <c r="H195" i="12"/>
  <c r="H196" i="12" s="1"/>
  <c r="J195" i="12"/>
  <c r="I195" i="12"/>
  <c r="O195" i="12"/>
  <c r="P195" i="12"/>
  <c r="Q195" i="12"/>
  <c r="R195" i="12"/>
  <c r="W195" i="12"/>
  <c r="X195" i="12"/>
  <c r="Y195" i="12"/>
  <c r="Z195" i="12"/>
  <c r="AE195" i="12"/>
  <c r="AF195" i="12"/>
  <c r="AG195" i="12"/>
  <c r="AH195" i="12"/>
  <c r="AM195" i="12"/>
  <c r="AN195" i="12"/>
  <c r="AO195" i="12"/>
  <c r="AP195" i="12"/>
  <c r="AU195" i="12"/>
  <c r="AV195" i="12"/>
  <c r="AW195" i="12"/>
  <c r="AX195" i="12"/>
  <c r="BC195" i="12"/>
  <c r="BD195" i="12"/>
  <c r="BE195" i="12"/>
  <c r="BF195" i="12"/>
  <c r="BK195" i="12"/>
  <c r="BL195" i="12"/>
  <c r="M57" i="13"/>
  <c r="AU80" i="14"/>
  <c r="J190" i="13"/>
  <c r="J133" i="14" s="1"/>
  <c r="AL88" i="13"/>
  <c r="U116" i="14"/>
  <c r="BO63" i="12"/>
  <c r="BP195" i="12" s="1"/>
  <c r="BP2" i="12"/>
  <c r="AD159" i="13"/>
  <c r="AD102" i="14" s="1"/>
  <c r="V109" i="13"/>
  <c r="AQ93" i="14"/>
  <c r="P182" i="13"/>
  <c r="P50" i="13" s="1"/>
  <c r="AN25" i="13" l="1"/>
  <c r="V173" i="13"/>
  <c r="V108" i="13" s="1"/>
  <c r="N187" i="13"/>
  <c r="N122" i="13" s="1"/>
  <c r="AW141" i="13"/>
  <c r="AW76" i="13" s="1"/>
  <c r="AD99" i="13"/>
  <c r="AD164" i="13"/>
  <c r="K192" i="13"/>
  <c r="K127" i="13" s="1"/>
  <c r="O120" i="13"/>
  <c r="O185" i="13"/>
  <c r="AQ147" i="13"/>
  <c r="AQ15" i="13" s="1"/>
  <c r="N189" i="13"/>
  <c r="N132" i="14" s="1"/>
  <c r="AV137" i="13"/>
  <c r="AV72" i="13" s="1"/>
  <c r="AR150" i="13"/>
  <c r="AR85" i="13" s="1"/>
  <c r="N188" i="13"/>
  <c r="N123" i="13" s="1"/>
  <c r="AM153" i="13"/>
  <c r="AR93" i="14"/>
  <c r="W174" i="13"/>
  <c r="D63" i="13"/>
  <c r="D130" i="13" s="1"/>
  <c r="D138" i="14" s="1"/>
  <c r="D129" i="13"/>
  <c r="D137" i="14" s="1"/>
  <c r="N186" i="13"/>
  <c r="N121" i="13" s="1"/>
  <c r="U177" i="13"/>
  <c r="U112" i="13" s="1"/>
  <c r="J193" i="13"/>
  <c r="J136" i="14" s="1"/>
  <c r="AC169" i="13"/>
  <c r="X170" i="13"/>
  <c r="X105" i="13" s="1"/>
  <c r="X176" i="13"/>
  <c r="X119" i="14" s="1"/>
  <c r="U179" i="13"/>
  <c r="U114" i="13" s="1"/>
  <c r="AT79" i="13"/>
  <c r="AT144" i="13"/>
  <c r="AT12" i="13" s="1"/>
  <c r="AP156" i="13"/>
  <c r="AP91" i="13" s="1"/>
  <c r="U47" i="13"/>
  <c r="AD107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I6" i="7"/>
  <c r="BM177" i="4" s="1"/>
  <c r="BM175" i="4"/>
  <c r="Z172" i="13"/>
  <c r="Z40" i="13" s="1"/>
  <c r="AW9" i="13"/>
  <c r="AV138" i="13"/>
  <c r="AV6" i="13" s="1"/>
  <c r="AD27" i="13"/>
  <c r="BJ7" i="15"/>
  <c r="BJ18" i="15"/>
  <c r="AP70" i="13"/>
  <c r="AP135" i="13"/>
  <c r="AR143" i="13"/>
  <c r="AR11" i="13" s="1"/>
  <c r="AV5" i="13"/>
  <c r="AU81" i="14"/>
  <c r="BB71" i="13"/>
  <c r="BB136" i="13"/>
  <c r="BB4" i="13" s="1"/>
  <c r="V116" i="14"/>
  <c r="C68" i="13"/>
  <c r="AD163" i="13"/>
  <c r="AZ140" i="13"/>
  <c r="AZ83" i="14" s="1"/>
  <c r="U122" i="14"/>
  <c r="U45" i="13"/>
  <c r="BJ4" i="7"/>
  <c r="BJ7" i="7"/>
  <c r="BK3" i="7" s="1"/>
  <c r="BN174" i="4"/>
  <c r="BN178" i="4" s="1"/>
  <c r="BK6" i="15"/>
  <c r="BO1" i="14"/>
  <c r="BO8" i="14"/>
  <c r="AS83" i="13"/>
  <c r="AT87" i="14"/>
  <c r="BB79" i="14"/>
  <c r="AN100" i="14"/>
  <c r="J60" i="13"/>
  <c r="K60" i="13" s="1"/>
  <c r="AI103" i="14"/>
  <c r="AN92" i="13"/>
  <c r="AN157" i="13"/>
  <c r="I194" i="13"/>
  <c r="I129" i="13" s="1"/>
  <c r="T121" i="14"/>
  <c r="AI95" i="13"/>
  <c r="J135" i="14"/>
  <c r="BS134" i="13"/>
  <c r="T178" i="13"/>
  <c r="T46" i="13" s="1"/>
  <c r="AF101" i="13"/>
  <c r="AF166" i="13"/>
  <c r="AB33" i="13"/>
  <c r="J66" i="11"/>
  <c r="I66" i="11"/>
  <c r="H66" i="11"/>
  <c r="G67" i="11"/>
  <c r="M55" i="13"/>
  <c r="N55" i="13" s="1"/>
  <c r="N128" i="14"/>
  <c r="O128" i="14" s="1"/>
  <c r="AJ86" i="13"/>
  <c r="T115" i="13"/>
  <c r="AO78" i="14"/>
  <c r="H137" i="14"/>
  <c r="P119" i="13"/>
  <c r="P184" i="13"/>
  <c r="B69" i="14"/>
  <c r="H138" i="14" s="1"/>
  <c r="B68" i="13"/>
  <c r="H63" i="13" s="1"/>
  <c r="B68" i="12"/>
  <c r="C68" i="12" s="1"/>
  <c r="AS13" i="13"/>
  <c r="AS88" i="14"/>
  <c r="AM155" i="13"/>
  <c r="AW74" i="13"/>
  <c r="AW139" i="13"/>
  <c r="AW7" i="13" s="1"/>
  <c r="AS146" i="13"/>
  <c r="AS14" i="13" s="1"/>
  <c r="P125" i="14"/>
  <c r="C68" i="14"/>
  <c r="AI93" i="13"/>
  <c r="AI158" i="13"/>
  <c r="AI101" i="14" s="1"/>
  <c r="U118" i="14"/>
  <c r="D31" i="15"/>
  <c r="H64" i="12"/>
  <c r="AD94" i="13"/>
  <c r="M131" i="14"/>
  <c r="N131" i="14" s="1"/>
  <c r="M56" i="13"/>
  <c r="N56" i="13" s="1"/>
  <c r="N130" i="14"/>
  <c r="P117" i="13"/>
  <c r="O53" i="13"/>
  <c r="J58" i="13"/>
  <c r="K126" i="13"/>
  <c r="BR69" i="12"/>
  <c r="AA103" i="13"/>
  <c r="AA168" i="13"/>
  <c r="AA111" i="14" s="1"/>
  <c r="BQ12" i="14"/>
  <c r="AC35" i="13"/>
  <c r="AH96" i="13"/>
  <c r="BS9" i="4"/>
  <c r="BR8" i="4"/>
  <c r="BR46" i="4" s="1"/>
  <c r="BR13" i="4"/>
  <c r="BP2" i="14" s="1"/>
  <c r="BR29" i="4"/>
  <c r="BL11" i="15" s="1"/>
  <c r="BR6" i="4"/>
  <c r="AD32" i="13"/>
  <c r="BQ1" i="13"/>
  <c r="BR1" i="12"/>
  <c r="BQ68" i="12"/>
  <c r="AM149" i="13"/>
  <c r="AM92" i="14" s="1"/>
  <c r="AS80" i="13"/>
  <c r="AS89" i="14"/>
  <c r="AR18" i="13"/>
  <c r="AR86" i="14"/>
  <c r="AB100" i="13"/>
  <c r="AK162" i="13"/>
  <c r="AK30" i="13" s="1"/>
  <c r="U120" i="14"/>
  <c r="J125" i="13"/>
  <c r="BA77" i="13"/>
  <c r="BB142" i="13" s="1"/>
  <c r="P127" i="14"/>
  <c r="BR134" i="12"/>
  <c r="H130" i="13"/>
  <c r="AP24" i="13"/>
  <c r="AV80" i="14"/>
  <c r="BQ2" i="12"/>
  <c r="N57" i="13"/>
  <c r="BI10" i="15"/>
  <c r="BI14" i="15" s="1"/>
  <c r="BP30" i="4"/>
  <c r="AS91" i="14"/>
  <c r="AA36" i="13"/>
  <c r="AL97" i="14"/>
  <c r="AL22" i="13"/>
  <c r="AM22" i="13" s="1"/>
  <c r="BO73" i="14"/>
  <c r="Z106" i="13"/>
  <c r="Z171" i="13"/>
  <c r="Z114" i="14" s="1"/>
  <c r="P116" i="13"/>
  <c r="P181" i="13"/>
  <c r="U110" i="13"/>
  <c r="AW82" i="14"/>
  <c r="AC102" i="13"/>
  <c r="AR152" i="13"/>
  <c r="V41" i="13"/>
  <c r="BN32" i="4"/>
  <c r="BL192" i="12"/>
  <c r="BL191" i="12"/>
  <c r="BL193" i="12"/>
  <c r="BL194" i="12"/>
  <c r="X44" i="13"/>
  <c r="AI26" i="13"/>
  <c r="AW84" i="14"/>
  <c r="AM154" i="13"/>
  <c r="AM89" i="13" s="1"/>
  <c r="AP99" i="14"/>
  <c r="M54" i="13"/>
  <c r="N54" i="13" s="1"/>
  <c r="M129" i="14"/>
  <c r="N129" i="14" s="1"/>
  <c r="BP11" i="14"/>
  <c r="BP76" i="14" s="1"/>
  <c r="BP68" i="13"/>
  <c r="AH29" i="13"/>
  <c r="W38" i="13"/>
  <c r="X38" i="13" s="1"/>
  <c r="W113" i="14"/>
  <c r="X113" i="14" s="1"/>
  <c r="P183" i="13"/>
  <c r="P51" i="13" s="1"/>
  <c r="P52" i="13"/>
  <c r="Y170" i="13" l="1"/>
  <c r="Y105" i="13" s="1"/>
  <c r="J194" i="13"/>
  <c r="AJ101" i="14"/>
  <c r="L192" i="13"/>
  <c r="L127" i="13" s="1"/>
  <c r="O188" i="13"/>
  <c r="O56" i="13" s="1"/>
  <c r="AQ91" i="13"/>
  <c r="AQ156" i="13"/>
  <c r="V177" i="13"/>
  <c r="V112" i="13" s="1"/>
  <c r="AS150" i="13"/>
  <c r="AS85" i="13" s="1"/>
  <c r="O186" i="13"/>
  <c r="O121" i="13" s="1"/>
  <c r="AW72" i="13"/>
  <c r="AW137" i="13"/>
  <c r="AX76" i="13"/>
  <c r="AX141" i="13"/>
  <c r="AN154" i="13"/>
  <c r="AN22" i="13" s="1"/>
  <c r="BB85" i="14"/>
  <c r="BB10" i="13"/>
  <c r="H139" i="14"/>
  <c r="H4" i="14" s="1"/>
  <c r="O187" i="13"/>
  <c r="O55" i="13" s="1"/>
  <c r="V114" i="13"/>
  <c r="V179" i="13"/>
  <c r="W173" i="13"/>
  <c r="W108" i="13" s="1"/>
  <c r="Q116" i="13"/>
  <c r="Q181" i="13"/>
  <c r="BR12" i="14"/>
  <c r="AT13" i="13"/>
  <c r="AP78" i="14"/>
  <c r="BT134" i="13"/>
  <c r="AO157" i="13"/>
  <c r="AO25" i="13" s="1"/>
  <c r="BJ6" i="7"/>
  <c r="BN177" i="4" s="1"/>
  <c r="BN175" i="4"/>
  <c r="AW5" i="13"/>
  <c r="V47" i="13"/>
  <c r="J128" i="13"/>
  <c r="P185" i="13"/>
  <c r="P120" i="13" s="1"/>
  <c r="AE164" i="13"/>
  <c r="AE32" i="13" s="1"/>
  <c r="AR20" i="13"/>
  <c r="AR95" i="14"/>
  <c r="BO32" i="4"/>
  <c r="BM192" i="12"/>
  <c r="BM194" i="12"/>
  <c r="BM193" i="12"/>
  <c r="BM195" i="12"/>
  <c r="AJ26" i="13"/>
  <c r="BJ10" i="15"/>
  <c r="BJ14" i="15" s="1"/>
  <c r="BQ30" i="4"/>
  <c r="AT145" i="13"/>
  <c r="AT80" i="13" s="1"/>
  <c r="P53" i="13"/>
  <c r="J42" i="4"/>
  <c r="AT83" i="13"/>
  <c r="AT148" i="13"/>
  <c r="AT16" i="13" s="1"/>
  <c r="V45" i="13"/>
  <c r="X111" i="13"/>
  <c r="J61" i="13"/>
  <c r="AW80" i="14"/>
  <c r="V120" i="14"/>
  <c r="Q182" i="13"/>
  <c r="Q50" i="13" s="1"/>
  <c r="AS81" i="13"/>
  <c r="H64" i="13"/>
  <c r="D27" i="15" s="1"/>
  <c r="U115" i="13"/>
  <c r="U180" i="13"/>
  <c r="AJ95" i="13"/>
  <c r="AJ103" i="14"/>
  <c r="V122" i="14"/>
  <c r="AR78" i="13"/>
  <c r="AV73" i="13"/>
  <c r="W42" i="13"/>
  <c r="W117" i="14"/>
  <c r="AK105" i="14"/>
  <c r="BL6" i="15"/>
  <c r="BP1" i="14"/>
  <c r="BP8" i="14"/>
  <c r="O130" i="14"/>
  <c r="AX7" i="13"/>
  <c r="AK86" i="13"/>
  <c r="AK151" i="13"/>
  <c r="AR87" i="13"/>
  <c r="I62" i="13"/>
  <c r="BC71" i="13"/>
  <c r="BC136" i="13"/>
  <c r="BC79" i="14" s="1"/>
  <c r="AX9" i="13"/>
  <c r="W109" i="13"/>
  <c r="AX139" i="13"/>
  <c r="AX74" i="13" s="1"/>
  <c r="P128" i="14"/>
  <c r="AF109" i="14"/>
  <c r="AG109" i="14" s="1"/>
  <c r="AF34" i="13"/>
  <c r="AG34" i="13" s="1"/>
  <c r="AQ135" i="13"/>
  <c r="AU144" i="13"/>
  <c r="AU87" i="14" s="1"/>
  <c r="AC37" i="13"/>
  <c r="AC112" i="14"/>
  <c r="AS93" i="14"/>
  <c r="N124" i="13"/>
  <c r="AJ160" i="13"/>
  <c r="AJ28" i="13" s="1"/>
  <c r="AA171" i="13"/>
  <c r="AA114" i="14" s="1"/>
  <c r="O54" i="13"/>
  <c r="AD102" i="13"/>
  <c r="AD167" i="13"/>
  <c r="AD110" i="14" s="1"/>
  <c r="AQ24" i="13"/>
  <c r="P118" i="13"/>
  <c r="AQ99" i="14"/>
  <c r="AX82" i="14"/>
  <c r="BR2" i="12"/>
  <c r="I195" i="13"/>
  <c r="I196" i="13" s="1"/>
  <c r="H131" i="13"/>
  <c r="D26" i="15" s="1"/>
  <c r="BB77" i="13"/>
  <c r="AK97" i="13"/>
  <c r="AM84" i="13"/>
  <c r="AM97" i="14"/>
  <c r="AN97" i="14" s="1"/>
  <c r="BS134" i="12"/>
  <c r="BS69" i="12"/>
  <c r="AJ158" i="13"/>
  <c r="AJ93" i="13" s="1"/>
  <c r="AM98" i="14"/>
  <c r="AM23" i="13"/>
  <c r="Q184" i="13"/>
  <c r="Q119" i="13" s="1"/>
  <c r="AG166" i="13"/>
  <c r="AG101" i="13" s="1"/>
  <c r="AO100" i="14"/>
  <c r="BK7" i="15"/>
  <c r="BK18" i="15"/>
  <c r="L14" i="2"/>
  <c r="BQ6" i="15"/>
  <c r="BR6" i="15"/>
  <c r="BS6" i="15"/>
  <c r="BT6" i="15"/>
  <c r="BU6" i="15"/>
  <c r="AZ75" i="13"/>
  <c r="AC104" i="13"/>
  <c r="AM96" i="14"/>
  <c r="AM21" i="13"/>
  <c r="AC165" i="13"/>
  <c r="AC108" i="14" s="1"/>
  <c r="BT9" i="4"/>
  <c r="BS13" i="4"/>
  <c r="BQ2" i="14" s="1"/>
  <c r="BS8" i="4"/>
  <c r="BS46" i="4" s="1"/>
  <c r="BS29" i="4"/>
  <c r="BS6" i="4"/>
  <c r="Y38" i="13"/>
  <c r="V175" i="13"/>
  <c r="V43" i="13" s="1"/>
  <c r="AM17" i="13"/>
  <c r="K190" i="13"/>
  <c r="K133" i="14" s="1"/>
  <c r="BR1" i="13"/>
  <c r="BR68" i="12"/>
  <c r="BS1" i="12"/>
  <c r="AI96" i="13"/>
  <c r="C69" i="14"/>
  <c r="G68" i="11"/>
  <c r="J67" i="11"/>
  <c r="I67" i="11"/>
  <c r="H67" i="11"/>
  <c r="AD31" i="13"/>
  <c r="AD106" i="14"/>
  <c r="P126" i="14"/>
  <c r="Z107" i="13"/>
  <c r="AE107" i="14"/>
  <c r="AQ90" i="14"/>
  <c r="AM88" i="13"/>
  <c r="AQ82" i="13"/>
  <c r="Y113" i="14"/>
  <c r="Z39" i="13"/>
  <c r="AA39" i="13" s="1"/>
  <c r="O131" i="14"/>
  <c r="AM90" i="13"/>
  <c r="I137" i="14"/>
  <c r="AI161" i="13"/>
  <c r="AI104" i="14" s="1"/>
  <c r="AX84" i="14"/>
  <c r="P124" i="14"/>
  <c r="Q124" i="14" s="1"/>
  <c r="P49" i="13"/>
  <c r="Q49" i="13" s="1"/>
  <c r="AB168" i="13"/>
  <c r="AB36" i="13" s="1"/>
  <c r="AS18" i="13"/>
  <c r="BQ11" i="14"/>
  <c r="BQ76" i="14" s="1"/>
  <c r="BQ68" i="13"/>
  <c r="AD35" i="13"/>
  <c r="AB111" i="14"/>
  <c r="L191" i="13"/>
  <c r="AE159" i="13"/>
  <c r="AE102" i="14" s="1"/>
  <c r="Z115" i="14"/>
  <c r="AT88" i="14"/>
  <c r="AP3" i="13"/>
  <c r="AQ3" i="13" s="1"/>
  <c r="B70" i="14"/>
  <c r="B69" i="13"/>
  <c r="L60" i="13" s="1"/>
  <c r="B69" i="12"/>
  <c r="C69" i="12" s="1"/>
  <c r="T113" i="13"/>
  <c r="K135" i="14"/>
  <c r="L135" i="14" s="1"/>
  <c r="AZ8" i="13"/>
  <c r="BK7" i="7"/>
  <c r="BL3" i="7" s="1"/>
  <c r="BK4" i="7"/>
  <c r="BO174" i="4"/>
  <c r="BO178" i="4" s="1"/>
  <c r="AD98" i="13"/>
  <c r="AV81" i="14"/>
  <c r="AY139" i="13" l="1"/>
  <c r="AY74" i="13" s="1"/>
  <c r="Q185" i="13"/>
  <c r="Q120" i="13" s="1"/>
  <c r="W177" i="13"/>
  <c r="W112" i="13" s="1"/>
  <c r="AK158" i="13"/>
  <c r="AK93" i="13" s="1"/>
  <c r="AU145" i="13"/>
  <c r="AU88" i="14" s="1"/>
  <c r="X108" i="13"/>
  <c r="X173" i="13"/>
  <c r="M192" i="13"/>
  <c r="AH101" i="13"/>
  <c r="AH166" i="13"/>
  <c r="R184" i="13"/>
  <c r="R119" i="13" s="1"/>
  <c r="P121" i="13"/>
  <c r="P186" i="13"/>
  <c r="P54" i="13" s="1"/>
  <c r="AT150" i="13"/>
  <c r="AT85" i="13" s="1"/>
  <c r="AN88" i="13"/>
  <c r="AN153" i="13"/>
  <c r="AN21" i="13" s="1"/>
  <c r="U113" i="13"/>
  <c r="U178" i="13"/>
  <c r="AE94" i="13"/>
  <c r="J137" i="14"/>
  <c r="L134" i="14"/>
  <c r="L59" i="13"/>
  <c r="AN90" i="13"/>
  <c r="AN155" i="13"/>
  <c r="AE163" i="13"/>
  <c r="AE98" i="13" s="1"/>
  <c r="L126" i="13"/>
  <c r="AA172" i="13"/>
  <c r="AA40" i="13" s="1"/>
  <c r="I68" i="11"/>
  <c r="H68" i="11"/>
  <c r="G69" i="11"/>
  <c r="J68" i="11"/>
  <c r="K125" i="13"/>
  <c r="BM6" i="15"/>
  <c r="BQ1" i="14"/>
  <c r="BQ8" i="14"/>
  <c r="BA140" i="13"/>
  <c r="BA83" i="14" s="1"/>
  <c r="BQ7" i="15"/>
  <c r="BR7" i="15"/>
  <c r="BS7" i="15"/>
  <c r="BT7" i="15"/>
  <c r="BU7" i="15"/>
  <c r="AN98" i="14"/>
  <c r="AH34" i="13"/>
  <c r="AL86" i="13"/>
  <c r="AL151" i="13"/>
  <c r="V115" i="13"/>
  <c r="V180" i="13"/>
  <c r="AQ78" i="14"/>
  <c r="R181" i="13"/>
  <c r="R124" i="14" s="1"/>
  <c r="AR156" i="13"/>
  <c r="AR99" i="14" s="1"/>
  <c r="BU9" i="4"/>
  <c r="BT8" i="4"/>
  <c r="BT46" i="4" s="1"/>
  <c r="BT6" i="4"/>
  <c r="BT13" i="4"/>
  <c r="BR2" i="14" s="1"/>
  <c r="BT29" i="4"/>
  <c r="Q183" i="13"/>
  <c r="Q51" i="13" s="1"/>
  <c r="AH109" i="14"/>
  <c r="AY7" i="13"/>
  <c r="AK26" i="13"/>
  <c r="AO92" i="13"/>
  <c r="C70" i="14"/>
  <c r="H4" i="2"/>
  <c r="I4" i="2"/>
  <c r="J4" i="2"/>
  <c r="K4" i="2"/>
  <c r="BD136" i="13"/>
  <c r="BD71" i="13" s="1"/>
  <c r="D28" i="15"/>
  <c r="J41" i="4"/>
  <c r="J62" i="13"/>
  <c r="Y111" i="13"/>
  <c r="Y176" i="13"/>
  <c r="O129" i="14"/>
  <c r="P129" i="14" s="1"/>
  <c r="BU134" i="13"/>
  <c r="W41" i="13"/>
  <c r="X41" i="13" s="1"/>
  <c r="AU12" i="13"/>
  <c r="BC85" i="14"/>
  <c r="AK101" i="14"/>
  <c r="BK6" i="7"/>
  <c r="BO177" i="4" s="1"/>
  <c r="BO175" i="4"/>
  <c r="Z113" i="14"/>
  <c r="AE106" i="14"/>
  <c r="AJ96" i="13"/>
  <c r="AJ161" i="13"/>
  <c r="AN149" i="13"/>
  <c r="AA106" i="13"/>
  <c r="AU79" i="13"/>
  <c r="Q128" i="14"/>
  <c r="AW73" i="13"/>
  <c r="AW138" i="13"/>
  <c r="AW6" i="13" s="1"/>
  <c r="I63" i="13"/>
  <c r="Q53" i="13"/>
  <c r="AE27" i="13"/>
  <c r="AU13" i="13"/>
  <c r="BS12" i="14"/>
  <c r="BL7" i="7"/>
  <c r="BM3" i="7" s="1"/>
  <c r="BL4" i="7"/>
  <c r="BP174" i="4"/>
  <c r="BP178" i="4" s="1"/>
  <c r="AJ104" i="14"/>
  <c r="AE31" i="13"/>
  <c r="BS1" i="13"/>
  <c r="BT1" i="12"/>
  <c r="BS68" i="12"/>
  <c r="V110" i="13"/>
  <c r="AC100" i="13"/>
  <c r="AL162" i="13"/>
  <c r="AL30" i="13" s="1"/>
  <c r="Q127" i="14"/>
  <c r="R127" i="14" s="1"/>
  <c r="Q52" i="13"/>
  <c r="R52" i="13" s="1"/>
  <c r="AS152" i="13"/>
  <c r="AS95" i="14" s="1"/>
  <c r="AS78" i="13"/>
  <c r="AS143" i="13"/>
  <c r="AT146" i="13"/>
  <c r="Q125" i="14"/>
  <c r="BC4" i="13"/>
  <c r="O122" i="13"/>
  <c r="AN89" i="13"/>
  <c r="O123" i="13"/>
  <c r="BA8" i="13"/>
  <c r="AA115" i="14"/>
  <c r="AI29" i="13"/>
  <c r="AJ29" i="13" s="1"/>
  <c r="AR147" i="13"/>
  <c r="AR15" i="13" s="1"/>
  <c r="Z38" i="13"/>
  <c r="Z170" i="13"/>
  <c r="Z105" i="13" s="1"/>
  <c r="BT134" i="12"/>
  <c r="BC77" i="13"/>
  <c r="BC142" i="13"/>
  <c r="BC10" i="13" s="1"/>
  <c r="BS2" i="12"/>
  <c r="AR24" i="13"/>
  <c r="AQ70" i="13"/>
  <c r="W122" i="14"/>
  <c r="V118" i="14"/>
  <c r="W116" i="14"/>
  <c r="X116" i="14" s="1"/>
  <c r="AE99" i="13"/>
  <c r="C69" i="13"/>
  <c r="C70" i="13" s="1"/>
  <c r="K58" i="13"/>
  <c r="B71" i="14"/>
  <c r="M135" i="14" s="1"/>
  <c r="B70" i="13"/>
  <c r="M60" i="13" s="1"/>
  <c r="B70" i="12"/>
  <c r="C70" i="12" s="1"/>
  <c r="BR11" i="14"/>
  <c r="BR76" i="14" s="1"/>
  <c r="BR68" i="13"/>
  <c r="AN96" i="14"/>
  <c r="J19" i="4"/>
  <c r="O189" i="13"/>
  <c r="X174" i="13"/>
  <c r="X109" i="13" s="1"/>
  <c r="AC33" i="13"/>
  <c r="W45" i="13"/>
  <c r="BK10" i="15"/>
  <c r="BR30" i="4"/>
  <c r="AB103" i="13"/>
  <c r="H6" i="14"/>
  <c r="J15" i="4" s="1"/>
  <c r="H5" i="14"/>
  <c r="AY141" i="13"/>
  <c r="AY84" i="14" s="1"/>
  <c r="J129" i="13"/>
  <c r="AD104" i="13"/>
  <c r="AD169" i="13"/>
  <c r="AD37" i="13" s="1"/>
  <c r="BT69" i="12"/>
  <c r="AT93" i="14"/>
  <c r="AY9" i="13"/>
  <c r="BL7" i="15"/>
  <c r="BL18" i="15"/>
  <c r="AK95" i="13"/>
  <c r="AK160" i="13"/>
  <c r="AK28" i="13" s="1"/>
  <c r="Q117" i="13"/>
  <c r="BP32" i="4"/>
  <c r="BN193" i="12"/>
  <c r="BN194" i="12"/>
  <c r="BN195" i="12"/>
  <c r="AT91" i="14"/>
  <c r="AU91" i="14" s="1"/>
  <c r="I138" i="14"/>
  <c r="BQ18" i="15"/>
  <c r="BR18" i="15"/>
  <c r="BS18" i="15"/>
  <c r="BT18" i="15"/>
  <c r="BU18" i="15"/>
  <c r="AN23" i="13"/>
  <c r="I130" i="13"/>
  <c r="AY82" i="14"/>
  <c r="AE167" i="13"/>
  <c r="AE35" i="13" s="1"/>
  <c r="AD112" i="14"/>
  <c r="AK94" i="14"/>
  <c r="AK19" i="13"/>
  <c r="AL19" i="13" s="1"/>
  <c r="AL105" i="14"/>
  <c r="U48" i="13"/>
  <c r="V48" i="13" s="1"/>
  <c r="U123" i="14"/>
  <c r="V123" i="14" s="1"/>
  <c r="W120" i="14"/>
  <c r="AU148" i="13"/>
  <c r="AU16" i="13" s="1"/>
  <c r="K128" i="13"/>
  <c r="K193" i="13"/>
  <c r="K136" i="14" s="1"/>
  <c r="W114" i="13"/>
  <c r="W179" i="13"/>
  <c r="W47" i="13" s="1"/>
  <c r="AX137" i="13"/>
  <c r="AX72" i="13" s="1"/>
  <c r="BE136" i="13" l="1"/>
  <c r="BE71" i="13" s="1"/>
  <c r="AL28" i="13"/>
  <c r="AZ139" i="13"/>
  <c r="AZ74" i="13" s="1"/>
  <c r="Y174" i="13"/>
  <c r="Y109" i="13" s="1"/>
  <c r="AU85" i="13"/>
  <c r="AU150" i="13"/>
  <c r="AA170" i="13"/>
  <c r="AA38" i="13" s="1"/>
  <c r="R185" i="13"/>
  <c r="R120" i="13" s="1"/>
  <c r="AF98" i="13"/>
  <c r="AF163" i="13"/>
  <c r="AO21" i="13"/>
  <c r="AY137" i="13"/>
  <c r="AY72" i="13" s="1"/>
  <c r="S119" i="13"/>
  <c r="S184" i="13"/>
  <c r="X177" i="13"/>
  <c r="X112" i="13" s="1"/>
  <c r="AL160" i="13"/>
  <c r="AL95" i="13" s="1"/>
  <c r="C71" i="13"/>
  <c r="P122" i="13"/>
  <c r="P187" i="13"/>
  <c r="W175" i="13"/>
  <c r="W43" i="13" s="1"/>
  <c r="BL6" i="7"/>
  <c r="BP177" i="4" s="1"/>
  <c r="BP175" i="4"/>
  <c r="AV144" i="13"/>
  <c r="AV87" i="14" s="1"/>
  <c r="AF106" i="14"/>
  <c r="K61" i="13"/>
  <c r="L125" i="13"/>
  <c r="L190" i="13"/>
  <c r="L133" i="14" s="1"/>
  <c r="R49" i="13"/>
  <c r="M127" i="13"/>
  <c r="BD79" i="14"/>
  <c r="BE79" i="14" s="1"/>
  <c r="AO23" i="13"/>
  <c r="AO155" i="13"/>
  <c r="AL94" i="14"/>
  <c r="AY76" i="13"/>
  <c r="AK103" i="14"/>
  <c r="AL103" i="14" s="1"/>
  <c r="BD4" i="13"/>
  <c r="BE4" i="13" s="1"/>
  <c r="AS87" i="13"/>
  <c r="BM7" i="7"/>
  <c r="BN3" i="7" s="1"/>
  <c r="BM4" i="7"/>
  <c r="BQ174" i="4"/>
  <c r="BQ178" i="4" s="1"/>
  <c r="AB171" i="13"/>
  <c r="AV12" i="13"/>
  <c r="X42" i="13"/>
  <c r="Y42" i="13" s="1"/>
  <c r="BN6" i="15"/>
  <c r="BR8" i="14"/>
  <c r="BR1" i="14"/>
  <c r="AR91" i="13"/>
  <c r="AX80" i="14"/>
  <c r="AY80" i="14" s="1"/>
  <c r="M191" i="13"/>
  <c r="M59" i="13" s="1"/>
  <c r="M134" i="14"/>
  <c r="AO153" i="13"/>
  <c r="AO96" i="14" s="1"/>
  <c r="Q121" i="13"/>
  <c r="Q186" i="13"/>
  <c r="Q54" i="13" s="1"/>
  <c r="AF164" i="13"/>
  <c r="L193" i="13"/>
  <c r="L136" i="14" s="1"/>
  <c r="AU83" i="13"/>
  <c r="BU69" i="12"/>
  <c r="H3" i="14"/>
  <c r="H13" i="14" s="1"/>
  <c r="J14" i="4"/>
  <c r="AR82" i="13"/>
  <c r="BT1" i="13"/>
  <c r="BT68" i="12"/>
  <c r="BU1" i="12"/>
  <c r="R53" i="13"/>
  <c r="Y119" i="14"/>
  <c r="Z119" i="14" s="1"/>
  <c r="Y44" i="13"/>
  <c r="BQ28" i="15"/>
  <c r="C71" i="14"/>
  <c r="AZ7" i="13"/>
  <c r="G70" i="11"/>
  <c r="J69" i="11"/>
  <c r="I69" i="11"/>
  <c r="H69" i="11"/>
  <c r="AW81" i="14"/>
  <c r="AU80" i="13"/>
  <c r="BS11" i="14"/>
  <c r="BS76" i="14" s="1"/>
  <c r="BS68" i="13"/>
  <c r="AN92" i="14"/>
  <c r="Z176" i="13"/>
  <c r="Z111" i="13" s="1"/>
  <c r="W115" i="13"/>
  <c r="W180" i="13"/>
  <c r="BA75" i="13"/>
  <c r="B72" i="14"/>
  <c r="B71" i="13"/>
  <c r="B71" i="12"/>
  <c r="C71" i="12" s="1"/>
  <c r="AR90" i="14"/>
  <c r="AT18" i="13"/>
  <c r="AU18" i="13" s="1"/>
  <c r="AX5" i="13"/>
  <c r="AY5" i="13" s="1"/>
  <c r="W123" i="14"/>
  <c r="X122" i="14"/>
  <c r="AT14" i="13"/>
  <c r="AT89" i="14"/>
  <c r="S127" i="14"/>
  <c r="AF31" i="13"/>
  <c r="AN84" i="13"/>
  <c r="K62" i="13"/>
  <c r="BU8" i="4"/>
  <c r="BU46" i="4" s="1"/>
  <c r="BU6" i="4"/>
  <c r="BU13" i="4"/>
  <c r="BU29" i="4"/>
  <c r="R116" i="13"/>
  <c r="X117" i="14"/>
  <c r="Y117" i="14" s="1"/>
  <c r="AO98" i="14"/>
  <c r="K137" i="14"/>
  <c r="S52" i="13"/>
  <c r="AE102" i="13"/>
  <c r="AU93" i="14"/>
  <c r="AC168" i="13"/>
  <c r="W48" i="13"/>
  <c r="AZ82" i="14"/>
  <c r="AE110" i="14"/>
  <c r="BL10" i="15"/>
  <c r="BL14" i="15" s="1"/>
  <c r="BS30" i="4"/>
  <c r="O57" i="13"/>
  <c r="O132" i="14"/>
  <c r="AR135" i="13"/>
  <c r="AR70" i="13" s="1"/>
  <c r="BU134" i="12"/>
  <c r="AT81" i="13"/>
  <c r="BT12" i="14"/>
  <c r="BU12" i="14" s="1"/>
  <c r="AX138" i="13"/>
  <c r="AX6" i="13" s="1"/>
  <c r="AP157" i="13"/>
  <c r="Q118" i="13"/>
  <c r="AN17" i="13"/>
  <c r="AR78" i="14"/>
  <c r="AF159" i="13"/>
  <c r="AF102" i="14" s="1"/>
  <c r="X120" i="14"/>
  <c r="J22" i="4"/>
  <c r="X114" i="13"/>
  <c r="X179" i="13"/>
  <c r="X47" i="13" s="1"/>
  <c r="J195" i="13"/>
  <c r="J196" i="13" s="1"/>
  <c r="I131" i="13"/>
  <c r="I139" i="14"/>
  <c r="R117" i="13"/>
  <c r="R182" i="13"/>
  <c r="R50" i="13" s="1"/>
  <c r="I64" i="13"/>
  <c r="AE169" i="13"/>
  <c r="AE112" i="14" s="1"/>
  <c r="BK14" i="15"/>
  <c r="L15" i="2"/>
  <c r="BQ10" i="15"/>
  <c r="BR10" i="15"/>
  <c r="BS10" i="15"/>
  <c r="BT10" i="15"/>
  <c r="BU10" i="15"/>
  <c r="O124" i="13"/>
  <c r="BT2" i="12"/>
  <c r="P188" i="13"/>
  <c r="AS86" i="14"/>
  <c r="AS11" i="13"/>
  <c r="AL97" i="13"/>
  <c r="Q126" i="14"/>
  <c r="AA107" i="13"/>
  <c r="U46" i="13"/>
  <c r="V46" i="13" s="1"/>
  <c r="U121" i="14"/>
  <c r="V121" i="14" s="1"/>
  <c r="AI166" i="13"/>
  <c r="AI101" i="13" s="1"/>
  <c r="Y173" i="13"/>
  <c r="Y41" i="13" s="1"/>
  <c r="K129" i="13"/>
  <c r="K194" i="13"/>
  <c r="X45" i="13"/>
  <c r="G11" i="5" a="1"/>
  <c r="G11" i="5" s="1"/>
  <c r="I14" i="6" a="1"/>
  <c r="I14" i="6" s="1"/>
  <c r="L58" i="13"/>
  <c r="BD77" i="13"/>
  <c r="BD142" i="13"/>
  <c r="BD10" i="13" s="1"/>
  <c r="AO89" i="13"/>
  <c r="AO154" i="13"/>
  <c r="AT143" i="13"/>
  <c r="AT78" i="13" s="1"/>
  <c r="AD100" i="13"/>
  <c r="AD165" i="13"/>
  <c r="AD108" i="14" s="1"/>
  <c r="R128" i="14"/>
  <c r="AK161" i="13"/>
  <c r="AK104" i="14" s="1"/>
  <c r="AS20" i="13"/>
  <c r="AL26" i="13"/>
  <c r="AL158" i="13"/>
  <c r="AL101" i="14" s="1"/>
  <c r="AM151" i="13"/>
  <c r="AM19" i="13" s="1"/>
  <c r="BM7" i="15"/>
  <c r="BM18" i="15"/>
  <c r="AO90" i="13"/>
  <c r="V113" i="13"/>
  <c r="V178" i="13"/>
  <c r="AM95" i="13" l="1"/>
  <c r="AM160" i="13"/>
  <c r="S185" i="13"/>
  <c r="S128" i="14" s="1"/>
  <c r="AA176" i="13"/>
  <c r="AA111" i="13" s="1"/>
  <c r="Y112" i="13"/>
  <c r="Y177" i="13"/>
  <c r="Y120" i="14" s="1"/>
  <c r="AU78" i="13"/>
  <c r="AU143" i="13"/>
  <c r="AS70" i="13"/>
  <c r="AS135" i="13"/>
  <c r="AZ72" i="13"/>
  <c r="AZ137" i="13"/>
  <c r="Z109" i="13"/>
  <c r="Z174" i="13"/>
  <c r="BA74" i="13"/>
  <c r="BA139" i="13"/>
  <c r="BA7" i="13" s="1"/>
  <c r="AJ101" i="13"/>
  <c r="AJ166" i="13"/>
  <c r="BF71" i="13"/>
  <c r="BF136" i="13"/>
  <c r="W113" i="13"/>
  <c r="W178" i="13"/>
  <c r="W121" i="14" s="1"/>
  <c r="AG31" i="13"/>
  <c r="AG163" i="13"/>
  <c r="AK29" i="13"/>
  <c r="X115" i="13"/>
  <c r="X180" i="13"/>
  <c r="BU1" i="13"/>
  <c r="BU68" i="12"/>
  <c r="BN7" i="15"/>
  <c r="BN18" i="15"/>
  <c r="AM103" i="14"/>
  <c r="BF79" i="14"/>
  <c r="AE37" i="13"/>
  <c r="AV85" i="13"/>
  <c r="AV150" i="13"/>
  <c r="AV18" i="13" s="1"/>
  <c r="AM162" i="13"/>
  <c r="X48" i="13"/>
  <c r="Y116" i="14"/>
  <c r="AB114" i="14"/>
  <c r="AB39" i="13"/>
  <c r="Y45" i="13"/>
  <c r="P131" i="14"/>
  <c r="P56" i="13"/>
  <c r="P189" i="13"/>
  <c r="P57" i="13" s="1"/>
  <c r="AP100" i="14"/>
  <c r="AP25" i="13"/>
  <c r="AP90" i="13"/>
  <c r="AP155" i="13"/>
  <c r="AP98" i="14" s="1"/>
  <c r="AK96" i="13"/>
  <c r="W46" i="13"/>
  <c r="P123" i="13"/>
  <c r="H5" i="2"/>
  <c r="I5" i="2"/>
  <c r="J5" i="2"/>
  <c r="K5" i="2"/>
  <c r="AE104" i="13"/>
  <c r="J130" i="13"/>
  <c r="AP92" i="13"/>
  <c r="BM10" i="15"/>
  <c r="BM14" i="15" s="1"/>
  <c r="BT30" i="4"/>
  <c r="AF167" i="13"/>
  <c r="AF35" i="13" s="1"/>
  <c r="BS2" i="14"/>
  <c r="BW13" i="4"/>
  <c r="AI109" i="14"/>
  <c r="AJ109" i="14" s="1"/>
  <c r="AV80" i="13"/>
  <c r="AV145" i="13"/>
  <c r="C72" i="14"/>
  <c r="Z42" i="13"/>
  <c r="BQ175" i="4"/>
  <c r="BM6" i="7"/>
  <c r="BQ177" i="4" s="1"/>
  <c r="CA177" i="4" s="1"/>
  <c r="AZ141" i="13"/>
  <c r="N127" i="13"/>
  <c r="N192" i="13"/>
  <c r="BD85" i="14"/>
  <c r="W110" i="13"/>
  <c r="BE142" i="13"/>
  <c r="BE77" i="13" s="1"/>
  <c r="L129" i="13"/>
  <c r="L194" i="13"/>
  <c r="L62" i="13" s="1"/>
  <c r="AB107" i="13"/>
  <c r="AB172" i="13"/>
  <c r="BU2" i="12"/>
  <c r="BR32" i="4"/>
  <c r="BY163" i="4"/>
  <c r="X140" i="6" s="1"/>
  <c r="BW129" i="4"/>
  <c r="BW125" i="4"/>
  <c r="BY127" i="4"/>
  <c r="X103" i="6" s="1"/>
  <c r="BW114" i="4"/>
  <c r="CA168" i="4"/>
  <c r="BY140" i="4"/>
  <c r="X115" i="6" s="1"/>
  <c r="BZ115" i="4"/>
  <c r="Y90" i="6" s="1"/>
  <c r="CA144" i="4"/>
  <c r="CB144" i="4" s="1"/>
  <c r="CC144" i="4" s="1"/>
  <c r="CD144" i="4" s="1"/>
  <c r="CE144" i="4" s="1"/>
  <c r="CF144" i="4" s="1"/>
  <c r="CG144" i="4" s="1"/>
  <c r="CH144" i="4" s="1"/>
  <c r="CI144" i="4" s="1"/>
  <c r="CJ144" i="4" s="1"/>
  <c r="CK144" i="4" s="1"/>
  <c r="BZ127" i="4"/>
  <c r="Y103" i="6" s="1"/>
  <c r="BW161" i="4"/>
  <c r="CA44" i="4"/>
  <c r="CA100" i="4"/>
  <c r="BX94" i="4"/>
  <c r="W69" i="6" s="1"/>
  <c r="BZ123" i="4"/>
  <c r="BW85" i="4"/>
  <c r="CA139" i="4"/>
  <c r="BW163" i="4"/>
  <c r="V140" i="6" s="1"/>
  <c r="BW134" i="4"/>
  <c r="CA97" i="4"/>
  <c r="BX76" i="4"/>
  <c r="W50" i="6" s="1"/>
  <c r="BW127" i="4"/>
  <c r="BX89" i="4"/>
  <c r="W64" i="6" s="1"/>
  <c r="BZ86" i="4"/>
  <c r="Y61" i="6" s="1"/>
  <c r="BY13" i="4"/>
  <c r="CA138" i="4"/>
  <c r="BZ145" i="4"/>
  <c r="Y119" i="6" s="1"/>
  <c r="BY109" i="4"/>
  <c r="X84" i="6" s="1"/>
  <c r="BY136" i="4"/>
  <c r="BZ124" i="4"/>
  <c r="Y98" i="6" s="1"/>
  <c r="CA84" i="4"/>
  <c r="BY134" i="4"/>
  <c r="X110" i="6" s="1"/>
  <c r="CA156" i="4"/>
  <c r="BZ32" i="4"/>
  <c r="BW126" i="4"/>
  <c r="CA163" i="4"/>
  <c r="BY106" i="4"/>
  <c r="X81" i="6" s="1"/>
  <c r="BY112" i="4"/>
  <c r="X87" i="6" s="1"/>
  <c r="BZ99" i="4"/>
  <c r="Y74" i="6" s="1"/>
  <c r="BZ131" i="4"/>
  <c r="Y107" i="6" s="1"/>
  <c r="BY32" i="4"/>
  <c r="BY104" i="4"/>
  <c r="BW128" i="4"/>
  <c r="BZ85" i="4"/>
  <c r="Y59" i="6" s="1"/>
  <c r="CA107" i="4"/>
  <c r="BY100" i="4"/>
  <c r="X75" i="6" s="1"/>
  <c r="BW73" i="4"/>
  <c r="BY117" i="4"/>
  <c r="X92" i="6" s="1"/>
  <c r="BX140" i="4"/>
  <c r="W115" i="6" s="1"/>
  <c r="BY115" i="4"/>
  <c r="X90" i="6" s="1"/>
  <c r="BW144" i="4"/>
  <c r="BW152" i="4"/>
  <c r="BW122" i="4"/>
  <c r="BZ162" i="4"/>
  <c r="BY85" i="4"/>
  <c r="X59" i="6" s="1"/>
  <c r="CA146" i="4"/>
  <c r="BX138" i="4"/>
  <c r="W113" i="6" s="1"/>
  <c r="BX100" i="4"/>
  <c r="W75" i="6" s="1"/>
  <c r="BY84" i="4"/>
  <c r="BZ137" i="4"/>
  <c r="Y112" i="6" s="1"/>
  <c r="BY89" i="4"/>
  <c r="X64" i="6" s="1"/>
  <c r="BY143" i="4"/>
  <c r="BW44" i="4"/>
  <c r="BX163" i="4"/>
  <c r="W140" i="6" s="1"/>
  <c r="CA88" i="4"/>
  <c r="BX131" i="4"/>
  <c r="W107" i="6" s="1"/>
  <c r="BY148" i="4"/>
  <c r="X120" i="6" s="1"/>
  <c r="BX96" i="4"/>
  <c r="W71" i="6" s="1"/>
  <c r="BW110" i="4"/>
  <c r="CA136" i="4"/>
  <c r="CB136" i="4" s="1"/>
  <c r="CC136" i="4" s="1"/>
  <c r="CD136" i="4" s="1"/>
  <c r="CE136" i="4" s="1"/>
  <c r="CF136" i="4" s="1"/>
  <c r="CG136" i="4" s="1"/>
  <c r="CH136" i="4" s="1"/>
  <c r="CI136" i="4" s="1"/>
  <c r="CJ136" i="4" s="1"/>
  <c r="CK136" i="4" s="1"/>
  <c r="BY152" i="4"/>
  <c r="BY145" i="4"/>
  <c r="X119" i="6" s="1"/>
  <c r="CA129" i="4"/>
  <c r="BY121" i="4"/>
  <c r="X96" i="6" s="1"/>
  <c r="BX128" i="4"/>
  <c r="W104" i="6" s="1"/>
  <c r="BW99" i="4"/>
  <c r="BX75" i="4"/>
  <c r="W49" i="6" s="1"/>
  <c r="BZ100" i="4"/>
  <c r="Y75" i="6" s="1"/>
  <c r="BX135" i="4"/>
  <c r="W111" i="6" s="1"/>
  <c r="BX97" i="4"/>
  <c r="W72" i="6" s="1"/>
  <c r="BW137" i="4"/>
  <c r="BZ132" i="4"/>
  <c r="Y108" i="6" s="1"/>
  <c r="CA96" i="4"/>
  <c r="BX143" i="4"/>
  <c r="BY73" i="4"/>
  <c r="X47" i="6" s="1"/>
  <c r="BY29" i="4"/>
  <c r="BY123" i="4"/>
  <c r="BW146" i="4"/>
  <c r="BZ109" i="4"/>
  <c r="Y84" i="6" s="1"/>
  <c r="CA93" i="4"/>
  <c r="CA143" i="4"/>
  <c r="CB143" i="4" s="1"/>
  <c r="CC143" i="4" s="1"/>
  <c r="CD143" i="4" s="1"/>
  <c r="CE143" i="4" s="1"/>
  <c r="CF143" i="4" s="1"/>
  <c r="CG143" i="4" s="1"/>
  <c r="CH143" i="4" s="1"/>
  <c r="CI143" i="4" s="1"/>
  <c r="CJ143" i="4" s="1"/>
  <c r="CK143" i="4" s="1"/>
  <c r="CA99" i="4"/>
  <c r="BX161" i="4"/>
  <c r="BY94" i="4"/>
  <c r="X69" i="6" s="1"/>
  <c r="BZ138" i="4"/>
  <c r="Y113" i="6" s="1"/>
  <c r="CA45" i="4"/>
  <c r="BW100" i="4"/>
  <c r="BW29" i="4"/>
  <c r="BN11" i="15" s="1"/>
  <c r="BX133" i="4"/>
  <c r="W109" i="6" s="1"/>
  <c r="BY87" i="4"/>
  <c r="X62" i="6" s="1"/>
  <c r="BW145" i="4"/>
  <c r="BZ97" i="4"/>
  <c r="Y72" i="6" s="1"/>
  <c r="BW131" i="4"/>
  <c r="BZ29" i="4"/>
  <c r="BW97" i="4"/>
  <c r="BX145" i="4"/>
  <c r="W119" i="6" s="1"/>
  <c r="BZ104" i="4"/>
  <c r="BW121" i="4"/>
  <c r="BX136" i="4"/>
  <c r="BX98" i="4"/>
  <c r="W73" i="6" s="1"/>
  <c r="CA135" i="4"/>
  <c r="BX114" i="4"/>
  <c r="W89" i="6" s="1"/>
  <c r="CA29" i="4"/>
  <c r="CB29" i="4" s="1"/>
  <c r="CC29" i="4" s="1"/>
  <c r="CD29" i="4" s="1"/>
  <c r="CE29" i="4" s="1"/>
  <c r="CF29" i="4" s="1"/>
  <c r="CG29" i="4" s="1"/>
  <c r="CH29" i="4" s="1"/>
  <c r="CI29" i="4" s="1"/>
  <c r="CJ29" i="4" s="1"/>
  <c r="CK29" i="4" s="1"/>
  <c r="BX104" i="4"/>
  <c r="BW133" i="4"/>
  <c r="BW116" i="4"/>
  <c r="BY44" i="4"/>
  <c r="CA145" i="4"/>
  <c r="CA157" i="4"/>
  <c r="BX156" i="4"/>
  <c r="BX87" i="4"/>
  <c r="W62" i="6" s="1"/>
  <c r="BX111" i="4"/>
  <c r="W86" i="6" s="1"/>
  <c r="BY122" i="4"/>
  <c r="X97" i="6" s="1"/>
  <c r="BX134" i="4"/>
  <c r="W110" i="6" s="1"/>
  <c r="BZ84" i="4"/>
  <c r="BW140" i="4"/>
  <c r="BX117" i="4"/>
  <c r="W92" i="6" s="1"/>
  <c r="BZ96" i="4"/>
  <c r="Y71" i="6" s="1"/>
  <c r="BX106" i="4"/>
  <c r="W81" i="6" s="1"/>
  <c r="BX127" i="4"/>
  <c r="W103" i="6" s="1"/>
  <c r="BX109" i="4"/>
  <c r="W84" i="6" s="1"/>
  <c r="BX73" i="4"/>
  <c r="W47" i="6" s="1"/>
  <c r="CA108" i="4"/>
  <c r="CA75" i="4"/>
  <c r="BY156" i="4"/>
  <c r="CA76" i="4"/>
  <c r="CA127" i="4"/>
  <c r="BW106" i="4"/>
  <c r="BZ122" i="4"/>
  <c r="Y97" i="6" s="1"/>
  <c r="BY126" i="4"/>
  <c r="X101" i="6" s="1"/>
  <c r="BX93" i="4"/>
  <c r="BW138" i="4"/>
  <c r="BY168" i="4"/>
  <c r="U31" i="5" s="1"/>
  <c r="BY130" i="4"/>
  <c r="X106" i="6" s="1"/>
  <c r="BW123" i="4"/>
  <c r="BY164" i="4"/>
  <c r="BX126" i="4"/>
  <c r="W101" i="6" s="1"/>
  <c r="BZ157" i="4"/>
  <c r="BZ114" i="4"/>
  <c r="Y89" i="6" s="1"/>
  <c r="BY111" i="4"/>
  <c r="X86" i="6" s="1"/>
  <c r="BW162" i="4"/>
  <c r="BW107" i="4"/>
  <c r="BX46" i="4"/>
  <c r="CA117" i="4"/>
  <c r="BY116" i="4"/>
  <c r="X91" i="6" s="1"/>
  <c r="CA131" i="4"/>
  <c r="BZ143" i="4"/>
  <c r="BY128" i="4"/>
  <c r="X104" i="6" s="1"/>
  <c r="CA162" i="4"/>
  <c r="CB162" i="4" s="1"/>
  <c r="CC162" i="4" s="1"/>
  <c r="CD162" i="4" s="1"/>
  <c r="CE162" i="4" s="1"/>
  <c r="CF162" i="4" s="1"/>
  <c r="CG162" i="4" s="1"/>
  <c r="CH162" i="4" s="1"/>
  <c r="CI162" i="4" s="1"/>
  <c r="CJ162" i="4" s="1"/>
  <c r="CK162" i="4" s="1"/>
  <c r="BZ140" i="4"/>
  <c r="Y115" i="6" s="1"/>
  <c r="BX13" i="4"/>
  <c r="BW164" i="4"/>
  <c r="CA123" i="4"/>
  <c r="CB123" i="4" s="1"/>
  <c r="CC123" i="4" s="1"/>
  <c r="CD123" i="4" s="1"/>
  <c r="CE123" i="4" s="1"/>
  <c r="CF123" i="4" s="1"/>
  <c r="CG123" i="4" s="1"/>
  <c r="CH123" i="4" s="1"/>
  <c r="CI123" i="4" s="1"/>
  <c r="CJ123" i="4" s="1"/>
  <c r="CK123" i="4" s="1"/>
  <c r="BY162" i="4"/>
  <c r="CA132" i="4"/>
  <c r="BY144" i="4"/>
  <c r="BX110" i="4"/>
  <c r="W85" i="6" s="1"/>
  <c r="BW139" i="4"/>
  <c r="BZ133" i="4"/>
  <c r="Y109" i="6" s="1"/>
  <c r="BZ129" i="4"/>
  <c r="BY129" i="4"/>
  <c r="BX162" i="4"/>
  <c r="BW76" i="4"/>
  <c r="CA122" i="4"/>
  <c r="CA109" i="4"/>
  <c r="CA89" i="4"/>
  <c r="BY76" i="4"/>
  <c r="X50" i="6" s="1"/>
  <c r="CA86" i="4"/>
  <c r="BZ148" i="4"/>
  <c r="Y120" i="6" s="1"/>
  <c r="CA94" i="4"/>
  <c r="BW112" i="4"/>
  <c r="CA161" i="4"/>
  <c r="CA114" i="4"/>
  <c r="BW94" i="4"/>
  <c r="CA105" i="4"/>
  <c r="CA30" i="4"/>
  <c r="BY113" i="4"/>
  <c r="X88" i="6" s="1"/>
  <c r="BY137" i="4"/>
  <c r="X112" i="6" s="1"/>
  <c r="BZ144" i="4"/>
  <c r="BW136" i="4"/>
  <c r="BZ136" i="4"/>
  <c r="BX95" i="4"/>
  <c r="W70" i="6" s="1"/>
  <c r="BX130" i="4"/>
  <c r="W106" i="6" s="1"/>
  <c r="CA85" i="4"/>
  <c r="BZ163" i="4"/>
  <c r="Y140" i="6" s="1"/>
  <c r="BZ98" i="4"/>
  <c r="Y73" i="6" s="1"/>
  <c r="BX139" i="4"/>
  <c r="W114" i="6" s="1"/>
  <c r="BX115" i="4"/>
  <c r="W90" i="6" s="1"/>
  <c r="BX116" i="4"/>
  <c r="W91" i="6" s="1"/>
  <c r="CA46" i="4"/>
  <c r="BZ117" i="4"/>
  <c r="Y92" i="6" s="1"/>
  <c r="BZ106" i="4"/>
  <c r="Y81" i="6" s="1"/>
  <c r="BY99" i="4"/>
  <c r="X74" i="6" s="1"/>
  <c r="BX84" i="4"/>
  <c r="BZ121" i="4"/>
  <c r="Y96" i="6" s="1"/>
  <c r="BW105" i="4"/>
  <c r="BZ156" i="4"/>
  <c r="CA115" i="4"/>
  <c r="CA111" i="4"/>
  <c r="BZ139" i="4"/>
  <c r="Y114" i="6" s="1"/>
  <c r="BY135" i="4"/>
  <c r="X111" i="6" s="1"/>
  <c r="BW156" i="4"/>
  <c r="CA13" i="4"/>
  <c r="CA137" i="4"/>
  <c r="CA112" i="4"/>
  <c r="BZ107" i="4"/>
  <c r="Y82" i="6" s="1"/>
  <c r="BW109" i="4"/>
  <c r="BX129" i="4"/>
  <c r="BZ113" i="4"/>
  <c r="Y88" i="6" s="1"/>
  <c r="BZ44" i="4"/>
  <c r="BZ126" i="4"/>
  <c r="Y101" i="6" s="1"/>
  <c r="CA125" i="4"/>
  <c r="CA133" i="4"/>
  <c r="BY46" i="4"/>
  <c r="BX30" i="4"/>
  <c r="J20" i="3" s="1"/>
  <c r="BW108" i="4"/>
  <c r="BY146" i="4"/>
  <c r="X118" i="6" s="1"/>
  <c r="BY131" i="4"/>
  <c r="X107" i="6" s="1"/>
  <c r="BY88" i="4"/>
  <c r="X63" i="6" s="1"/>
  <c r="BX122" i="4"/>
  <c r="W97" i="6" s="1"/>
  <c r="CA110" i="4"/>
  <c r="BZ95" i="4"/>
  <c r="Y70" i="6" s="1"/>
  <c r="BX137" i="4"/>
  <c r="W112" i="6" s="1"/>
  <c r="BX99" i="4"/>
  <c r="W74" i="6" s="1"/>
  <c r="BX148" i="4"/>
  <c r="W120" i="6" s="1"/>
  <c r="BZ30" i="4"/>
  <c r="J22" i="3" s="1"/>
  <c r="BY96" i="4"/>
  <c r="X71" i="6" s="1"/>
  <c r="BW75" i="4"/>
  <c r="CA148" i="4"/>
  <c r="BY97" i="4"/>
  <c r="X72" i="6" s="1"/>
  <c r="BW117" i="4"/>
  <c r="BY125" i="4"/>
  <c r="X100" i="6" s="1"/>
  <c r="BW143" i="4"/>
  <c r="BX132" i="4"/>
  <c r="W108" i="6" s="1"/>
  <c r="BX152" i="4"/>
  <c r="BY133" i="4"/>
  <c r="X109" i="6" s="1"/>
  <c r="BY107" i="4"/>
  <c r="X82" i="6" s="1"/>
  <c r="CA32" i="4"/>
  <c r="CB32" i="4" s="1"/>
  <c r="CC32" i="4" s="1"/>
  <c r="CD32" i="4" s="1"/>
  <c r="CE32" i="4" s="1"/>
  <c r="CF32" i="4" s="1"/>
  <c r="CG32" i="4" s="1"/>
  <c r="CH32" i="4" s="1"/>
  <c r="CI32" i="4" s="1"/>
  <c r="CJ32" i="4" s="1"/>
  <c r="CK32" i="4" s="1"/>
  <c r="BW148" i="4"/>
  <c r="BW89" i="4"/>
  <c r="BW111" i="4"/>
  <c r="BZ125" i="4"/>
  <c r="Y100" i="6" s="1"/>
  <c r="BX112" i="4"/>
  <c r="W87" i="6" s="1"/>
  <c r="CA98" i="4"/>
  <c r="BW84" i="4"/>
  <c r="BX164" i="4"/>
  <c r="BZ75" i="4"/>
  <c r="Y49" i="6" s="1"/>
  <c r="CA126" i="4"/>
  <c r="BX32" i="4"/>
  <c r="BZ89" i="4"/>
  <c r="Y64" i="6" s="1"/>
  <c r="BX124" i="4"/>
  <c r="W98" i="6" s="1"/>
  <c r="CA152" i="4"/>
  <c r="BY98" i="4"/>
  <c r="X73" i="6" s="1"/>
  <c r="BZ134" i="4"/>
  <c r="Y110" i="6" s="1"/>
  <c r="BZ73" i="4"/>
  <c r="Y47" i="6" s="1"/>
  <c r="BY161" i="4"/>
  <c r="BX146" i="4"/>
  <c r="W118" i="6" s="1"/>
  <c r="BX123" i="4"/>
  <c r="BX125" i="4"/>
  <c r="W100" i="6" s="1"/>
  <c r="BW87" i="4"/>
  <c r="BZ112" i="4"/>
  <c r="Y87" i="6" s="1"/>
  <c r="CA134" i="4"/>
  <c r="BX113" i="4"/>
  <c r="W88" i="6" s="1"/>
  <c r="BX86" i="4"/>
  <c r="W61" i="6" s="1"/>
  <c r="BW95" i="4"/>
  <c r="BY138" i="4"/>
  <c r="X113" i="6" s="1"/>
  <c r="BZ161" i="4"/>
  <c r="BX44" i="4"/>
  <c r="BY114" i="4"/>
  <c r="X89" i="6" s="1"/>
  <c r="BW93" i="4"/>
  <c r="BW113" i="4"/>
  <c r="BY105" i="4"/>
  <c r="X80" i="6" s="1"/>
  <c r="CA87" i="4"/>
  <c r="CA140" i="4"/>
  <c r="BW86" i="4"/>
  <c r="V61" i="6" s="1"/>
  <c r="BY132" i="4"/>
  <c r="X108" i="6" s="1"/>
  <c r="BZ116" i="4"/>
  <c r="Y91" i="6" s="1"/>
  <c r="BW98" i="4"/>
  <c r="CA73" i="4"/>
  <c r="BY108" i="4"/>
  <c r="X83" i="6" s="1"/>
  <c r="CA130" i="4"/>
  <c r="BZ168" i="4"/>
  <c r="V31" i="5" s="1"/>
  <c r="BZ152" i="4"/>
  <c r="CA121" i="4"/>
  <c r="BW115" i="4"/>
  <c r="BX45" i="4"/>
  <c r="BY93" i="4"/>
  <c r="BZ93" i="4"/>
  <c r="BW45" i="4"/>
  <c r="BY139" i="4"/>
  <c r="X114" i="6" s="1"/>
  <c r="CA124" i="4"/>
  <c r="BZ13" i="4"/>
  <c r="CA164" i="4"/>
  <c r="BW135" i="4"/>
  <c r="V111" i="6" s="1"/>
  <c r="BZ130" i="4"/>
  <c r="Y106" i="6" s="1"/>
  <c r="BY86" i="4"/>
  <c r="X61" i="6" s="1"/>
  <c r="BZ111" i="4"/>
  <c r="Y86" i="6" s="1"/>
  <c r="BY95" i="4"/>
  <c r="X70" i="6" s="1"/>
  <c r="BX88" i="4"/>
  <c r="W63" i="6" s="1"/>
  <c r="BZ164" i="4"/>
  <c r="BZ46" i="4"/>
  <c r="BZ146" i="4"/>
  <c r="Y118" i="6" s="1"/>
  <c r="BX105" i="4"/>
  <c r="W80" i="6" s="1"/>
  <c r="BX108" i="4"/>
  <c r="W83" i="6" s="1"/>
  <c r="BX29" i="4"/>
  <c r="BO11" i="15" s="1"/>
  <c r="CA106" i="4"/>
  <c r="CA113" i="4"/>
  <c r="BY75" i="4"/>
  <c r="X49" i="6" s="1"/>
  <c r="BW130" i="4"/>
  <c r="BZ88" i="4"/>
  <c r="Y63" i="6" s="1"/>
  <c r="BZ105" i="4"/>
  <c r="Y80" i="6" s="1"/>
  <c r="BY45" i="4"/>
  <c r="BW104" i="4"/>
  <c r="BX157" i="4"/>
  <c r="BW124" i="4"/>
  <c r="V98" i="6" s="1"/>
  <c r="BW88" i="4"/>
  <c r="V63" i="6" s="1"/>
  <c r="BY110" i="4"/>
  <c r="X85" i="6" s="1"/>
  <c r="BW96" i="4"/>
  <c r="CA128" i="4"/>
  <c r="BX107" i="4"/>
  <c r="W82" i="6" s="1"/>
  <c r="BX121" i="4"/>
  <c r="W96" i="6" s="1"/>
  <c r="BZ128" i="4"/>
  <c r="Y104" i="6" s="1"/>
  <c r="BX85" i="4"/>
  <c r="W59" i="6" s="1"/>
  <c r="CA104" i="4"/>
  <c r="BW157" i="4"/>
  <c r="BY157" i="4"/>
  <c r="CA116" i="4"/>
  <c r="BY124" i="4"/>
  <c r="X98" i="6" s="1"/>
  <c r="CA95" i="4"/>
  <c r="BZ76" i="4"/>
  <c r="Y50" i="6" s="1"/>
  <c r="BZ45" i="4"/>
  <c r="BZ110" i="4"/>
  <c r="Y85" i="6" s="1"/>
  <c r="BY30" i="4"/>
  <c r="J21" i="3" s="1"/>
  <c r="BZ94" i="4"/>
  <c r="Y69" i="6" s="1"/>
  <c r="BZ108" i="4"/>
  <c r="Y83" i="6" s="1"/>
  <c r="BZ135" i="4"/>
  <c r="Y111" i="6" s="1"/>
  <c r="BX144" i="4"/>
  <c r="BX168" i="4"/>
  <c r="T31" i="5" s="1"/>
  <c r="BW132" i="4"/>
  <c r="BZ87" i="4"/>
  <c r="Y62" i="6" s="1"/>
  <c r="BW168" i="4"/>
  <c r="S31" i="5" s="1"/>
  <c r="AX81" i="14"/>
  <c r="BT11" i="14"/>
  <c r="BT68" i="13"/>
  <c r="L128" i="13"/>
  <c r="M126" i="13"/>
  <c r="Q129" i="14"/>
  <c r="BN4" i="7"/>
  <c r="BN7" i="7"/>
  <c r="BO3" i="7" s="1"/>
  <c r="BR174" i="4"/>
  <c r="BR178" i="4" s="1"/>
  <c r="AG106" i="14"/>
  <c r="P55" i="13"/>
  <c r="P130" i="14"/>
  <c r="AL93" i="13"/>
  <c r="AA105" i="13"/>
  <c r="AF94" i="13"/>
  <c r="AX73" i="13"/>
  <c r="AF110" i="14"/>
  <c r="W118" i="14"/>
  <c r="BW46" i="4"/>
  <c r="AU14" i="13"/>
  <c r="B73" i="14"/>
  <c r="B72" i="13"/>
  <c r="C72" i="13" s="1"/>
  <c r="B72" i="12"/>
  <c r="C72" i="12" s="1"/>
  <c r="R125" i="14"/>
  <c r="S125" i="14" s="1"/>
  <c r="AF107" i="14"/>
  <c r="AF32" i="13"/>
  <c r="AZ80" i="14"/>
  <c r="AT152" i="13"/>
  <c r="AT95" i="14" s="1"/>
  <c r="AM94" i="14"/>
  <c r="Q187" i="13"/>
  <c r="Q122" i="13" s="1"/>
  <c r="T184" i="13"/>
  <c r="T127" i="14" s="1"/>
  <c r="AG98" i="13"/>
  <c r="S182" i="13"/>
  <c r="S50" i="13" s="1"/>
  <c r="Y179" i="13"/>
  <c r="Y47" i="13" s="1"/>
  <c r="AS78" i="14"/>
  <c r="AU146" i="13"/>
  <c r="AU81" i="13" s="1"/>
  <c r="AR3" i="13"/>
  <c r="AS3" i="13" s="1"/>
  <c r="BA82" i="14"/>
  <c r="L137" i="14"/>
  <c r="AO92" i="14"/>
  <c r="Z44" i="13"/>
  <c r="AA44" i="13" s="1"/>
  <c r="AS147" i="13"/>
  <c r="AS15" i="13" s="1"/>
  <c r="AS156" i="13"/>
  <c r="AA113" i="14"/>
  <c r="BF4" i="13"/>
  <c r="M133" i="14"/>
  <c r="AV79" i="13"/>
  <c r="R126" i="14"/>
  <c r="AM28" i="13"/>
  <c r="M58" i="13"/>
  <c r="Y108" i="13"/>
  <c r="AA119" i="14"/>
  <c r="R186" i="13"/>
  <c r="R54" i="13" s="1"/>
  <c r="M190" i="13"/>
  <c r="M125" i="13" s="1"/>
  <c r="AM86" i="13"/>
  <c r="AT11" i="13"/>
  <c r="AU11" i="13" s="1"/>
  <c r="J138" i="14"/>
  <c r="G71" i="11"/>
  <c r="J70" i="11"/>
  <c r="I70" i="11"/>
  <c r="H70" i="11"/>
  <c r="AD33" i="13"/>
  <c r="AB106" i="13"/>
  <c r="AF99" i="13"/>
  <c r="AI34" i="13"/>
  <c r="AJ34" i="13" s="1"/>
  <c r="AV148" i="13"/>
  <c r="AV83" i="13" s="1"/>
  <c r="AC36" i="13"/>
  <c r="AC111" i="14"/>
  <c r="Z117" i="14"/>
  <c r="AO149" i="13"/>
  <c r="AO17" i="13" s="1"/>
  <c r="X123" i="14"/>
  <c r="BB140" i="13"/>
  <c r="J63" i="13"/>
  <c r="AO97" i="14"/>
  <c r="AO22" i="13"/>
  <c r="AT86" i="14"/>
  <c r="AU86" i="14" s="1"/>
  <c r="BQ32" i="4"/>
  <c r="BQ14" i="15"/>
  <c r="BR14" i="15"/>
  <c r="BS14" i="15"/>
  <c r="BT14" i="15"/>
  <c r="BO194" i="12"/>
  <c r="BU14" i="15"/>
  <c r="BO195" i="12"/>
  <c r="R183" i="13"/>
  <c r="R51" i="13" s="1"/>
  <c r="P132" i="14"/>
  <c r="AC103" i="13"/>
  <c r="S181" i="13"/>
  <c r="S124" i="14" s="1"/>
  <c r="AZ5" i="13"/>
  <c r="S53" i="13"/>
  <c r="J18" i="4"/>
  <c r="AO88" i="13"/>
  <c r="AF27" i="13"/>
  <c r="L61" i="13"/>
  <c r="N190" i="13" l="1"/>
  <c r="N125" i="13" s="1"/>
  <c r="R187" i="13"/>
  <c r="R122" i="13" s="1"/>
  <c r="C73" i="13"/>
  <c r="BB7" i="13"/>
  <c r="BF77" i="13"/>
  <c r="BF142" i="13"/>
  <c r="AV81" i="13"/>
  <c r="AV146" i="13"/>
  <c r="AV14" i="13" s="1"/>
  <c r="AW148" i="13"/>
  <c r="AW83" i="13" s="1"/>
  <c r="AB176" i="13"/>
  <c r="AB111" i="13" s="1"/>
  <c r="CB30" i="4"/>
  <c r="CC30" i="4" s="1"/>
  <c r="CD30" i="4" s="1"/>
  <c r="CE30" i="4" s="1"/>
  <c r="CF30" i="4" s="1"/>
  <c r="CG30" i="4" s="1"/>
  <c r="CH30" i="4" s="1"/>
  <c r="CI30" i="4" s="1"/>
  <c r="CJ30" i="4" s="1"/>
  <c r="CK30" i="4" s="1"/>
  <c r="J23" i="3"/>
  <c r="R52" i="3"/>
  <c r="V114" i="6"/>
  <c r="V35" i="5"/>
  <c r="Y134" i="6"/>
  <c r="BY158" i="4"/>
  <c r="U34" i="5"/>
  <c r="X130" i="6"/>
  <c r="R33" i="3"/>
  <c r="F48" i="10" s="1"/>
  <c r="V91" i="6"/>
  <c r="BY90" i="4"/>
  <c r="U28" i="5" s="1"/>
  <c r="X58" i="6"/>
  <c r="X65" i="6" s="1"/>
  <c r="R39" i="3"/>
  <c r="V97" i="6"/>
  <c r="BY118" i="4"/>
  <c r="U32" i="5" s="1"/>
  <c r="X79" i="6"/>
  <c r="X93" i="6" s="1"/>
  <c r="CB168" i="4"/>
  <c r="W31" i="5"/>
  <c r="T52" i="13"/>
  <c r="K130" i="13"/>
  <c r="K195" i="13"/>
  <c r="K196" i="13" s="1"/>
  <c r="J131" i="13"/>
  <c r="X46" i="13"/>
  <c r="AW150" i="13"/>
  <c r="AW18" i="13" s="1"/>
  <c r="X113" i="13"/>
  <c r="X178" i="13"/>
  <c r="X121" i="14" s="1"/>
  <c r="BA137" i="13"/>
  <c r="BA72" i="13" s="1"/>
  <c r="AV78" i="13"/>
  <c r="AV143" i="13"/>
  <c r="J71" i="11"/>
  <c r="I71" i="11"/>
  <c r="H71" i="11"/>
  <c r="G72" i="11"/>
  <c r="BW101" i="4"/>
  <c r="R10" i="3"/>
  <c r="V68" i="6"/>
  <c r="BY165" i="4"/>
  <c r="X139" i="6"/>
  <c r="R25" i="3"/>
  <c r="F40" i="10" s="1"/>
  <c r="V83" i="6"/>
  <c r="BW158" i="4"/>
  <c r="R67" i="3"/>
  <c r="V130" i="6"/>
  <c r="S34" i="5"/>
  <c r="C70" i="3" s="1"/>
  <c r="BX90" i="4"/>
  <c r="T28" i="5" s="1"/>
  <c r="W58" i="6"/>
  <c r="W65" i="6" s="1"/>
  <c r="CB105" i="4"/>
  <c r="Z80" i="6"/>
  <c r="CB86" i="4"/>
  <c r="Z61" i="6"/>
  <c r="V141" i="6"/>
  <c r="S37" i="5"/>
  <c r="CB131" i="4"/>
  <c r="Z107" i="6"/>
  <c r="R24" i="3"/>
  <c r="F39" i="10" s="1"/>
  <c r="V82" i="6"/>
  <c r="R51" i="3"/>
  <c r="V113" i="6"/>
  <c r="CB93" i="4"/>
  <c r="CA101" i="4"/>
  <c r="W29" i="5" s="1"/>
  <c r="Z68" i="6"/>
  <c r="R27" i="3"/>
  <c r="F42" i="10" s="1"/>
  <c r="V85" i="6"/>
  <c r="CB84" i="4"/>
  <c r="CA90" i="4"/>
  <c r="W28" i="5" s="1"/>
  <c r="Z58" i="6"/>
  <c r="CB139" i="4"/>
  <c r="Z114" i="6"/>
  <c r="R68" i="3"/>
  <c r="BW165" i="4"/>
  <c r="V139" i="6"/>
  <c r="V142" i="6" s="1"/>
  <c r="R31" i="3"/>
  <c r="F46" i="10" s="1"/>
  <c r="V89" i="6"/>
  <c r="AB115" i="14"/>
  <c r="AB40" i="13"/>
  <c r="AC40" i="13" s="1"/>
  <c r="X175" i="13"/>
  <c r="X43" i="13" s="1"/>
  <c r="BO6" i="15"/>
  <c r="BS8" i="14"/>
  <c r="BS1" i="14"/>
  <c r="AF104" i="13"/>
  <c r="AF169" i="13"/>
  <c r="AF112" i="14" s="1"/>
  <c r="AL161" i="13"/>
  <c r="AL104" i="14" s="1"/>
  <c r="P124" i="13"/>
  <c r="AF37" i="13"/>
  <c r="AP23" i="13"/>
  <c r="S120" i="13"/>
  <c r="Q130" i="14"/>
  <c r="R130" i="14" s="1"/>
  <c r="M193" i="13"/>
  <c r="M136" i="14" s="1"/>
  <c r="T35" i="5"/>
  <c r="W134" i="6"/>
  <c r="CB121" i="4"/>
  <c r="Z96" i="6"/>
  <c r="CB125" i="4"/>
  <c r="Z100" i="6"/>
  <c r="W105" i="6"/>
  <c r="R11" i="3"/>
  <c r="V69" i="6"/>
  <c r="X105" i="6"/>
  <c r="BX101" i="4"/>
  <c r="T29" i="5" s="1"/>
  <c r="W68" i="6"/>
  <c r="W76" i="6" s="1"/>
  <c r="R48" i="3"/>
  <c r="V109" i="6"/>
  <c r="R14" i="3"/>
  <c r="V72" i="6"/>
  <c r="CB96" i="4"/>
  <c r="Z71" i="6"/>
  <c r="CB129" i="4"/>
  <c r="Z105" i="6"/>
  <c r="R5" i="3"/>
  <c r="V59" i="6"/>
  <c r="AC107" i="13"/>
  <c r="AC172" i="13"/>
  <c r="BE85" i="14"/>
  <c r="BF85" i="14" s="1"/>
  <c r="C73" i="14"/>
  <c r="AT20" i="13"/>
  <c r="Y122" i="14"/>
  <c r="BB74" i="13"/>
  <c r="BB139" i="13"/>
  <c r="AT135" i="13"/>
  <c r="AT70" i="13" s="1"/>
  <c r="AG94" i="13"/>
  <c r="AG159" i="13"/>
  <c r="AG102" i="14" s="1"/>
  <c r="BO7" i="7"/>
  <c r="BP3" i="7" s="1"/>
  <c r="BO4" i="7"/>
  <c r="BS174" i="4"/>
  <c r="BS178" i="4" s="1"/>
  <c r="R70" i="3"/>
  <c r="S35" i="5"/>
  <c r="C71" i="3" s="1"/>
  <c r="V134" i="6"/>
  <c r="BZ101" i="4"/>
  <c r="V29" i="5" s="1"/>
  <c r="Y68" i="6"/>
  <c r="Y76" i="6" s="1"/>
  <c r="R34" i="3"/>
  <c r="F49" i="10" s="1"/>
  <c r="V92" i="6"/>
  <c r="CB110" i="4"/>
  <c r="Z85" i="6"/>
  <c r="R26" i="3"/>
  <c r="F41" i="10" s="1"/>
  <c r="V84" i="6"/>
  <c r="CB114" i="4"/>
  <c r="Z89" i="6"/>
  <c r="CB89" i="4"/>
  <c r="Z64" i="6"/>
  <c r="U37" i="5"/>
  <c r="X141" i="6"/>
  <c r="CB75" i="4"/>
  <c r="Z49" i="6"/>
  <c r="BX158" i="4"/>
  <c r="T34" i="5"/>
  <c r="W130" i="6"/>
  <c r="W135" i="6" s="1"/>
  <c r="BX118" i="4"/>
  <c r="T32" i="5" s="1"/>
  <c r="W79" i="6"/>
  <c r="W93" i="6" s="1"/>
  <c r="R38" i="3"/>
  <c r="V96" i="6"/>
  <c r="BX165" i="4"/>
  <c r="W139" i="6"/>
  <c r="R57" i="3"/>
  <c r="V118" i="6"/>
  <c r="BW153" i="4"/>
  <c r="V125" i="6"/>
  <c r="V127" i="6" s="1"/>
  <c r="CB107" i="4"/>
  <c r="Z82" i="6"/>
  <c r="CB163" i="4"/>
  <c r="Z140" i="6"/>
  <c r="N60" i="13"/>
  <c r="O60" i="13" s="1"/>
  <c r="N135" i="14"/>
  <c r="AV88" i="14"/>
  <c r="AV13" i="13"/>
  <c r="AF102" i="13"/>
  <c r="AV93" i="14"/>
  <c r="AW93" i="14" s="1"/>
  <c r="R121" i="13"/>
  <c r="Q55" i="13"/>
  <c r="BW118" i="4"/>
  <c r="R21" i="3"/>
  <c r="F36" i="10" s="1"/>
  <c r="V79" i="6"/>
  <c r="CB124" i="4"/>
  <c r="Z98" i="6"/>
  <c r="R30" i="3"/>
  <c r="F45" i="10" s="1"/>
  <c r="V88" i="6"/>
  <c r="R59" i="3"/>
  <c r="V120" i="6"/>
  <c r="CB134" i="4"/>
  <c r="Z110" i="6"/>
  <c r="CA118" i="4"/>
  <c r="W32" i="5" s="1"/>
  <c r="CB104" i="4"/>
  <c r="Z79" i="6"/>
  <c r="R45" i="3"/>
  <c r="V106" i="6"/>
  <c r="BY101" i="4"/>
  <c r="U29" i="5" s="1"/>
  <c r="X68" i="6"/>
  <c r="X76" i="6" s="1"/>
  <c r="CB73" i="4"/>
  <c r="Z47" i="6"/>
  <c r="CB140" i="4"/>
  <c r="Z115" i="6"/>
  <c r="BZ165" i="4"/>
  <c r="Y139" i="6"/>
  <c r="R6" i="3"/>
  <c r="V62" i="6"/>
  <c r="R28" i="3"/>
  <c r="F43" i="10" s="1"/>
  <c r="V86" i="6"/>
  <c r="CB111" i="4"/>
  <c r="Z86" i="6"/>
  <c r="CA165" i="4"/>
  <c r="CB161" i="4"/>
  <c r="Z139" i="6"/>
  <c r="CB109" i="4"/>
  <c r="Z84" i="6"/>
  <c r="Y105" i="6"/>
  <c r="CB108" i="4"/>
  <c r="Z83" i="6"/>
  <c r="R53" i="3"/>
  <c r="V115" i="6"/>
  <c r="BZ118" i="4"/>
  <c r="V32" i="5" s="1"/>
  <c r="Y79" i="6"/>
  <c r="Y93" i="6" s="1"/>
  <c r="R46" i="3"/>
  <c r="V107" i="6"/>
  <c r="BY153" i="4"/>
  <c r="U33" i="5" s="1"/>
  <c r="X125" i="6"/>
  <c r="X127" i="6" s="1"/>
  <c r="CB146" i="4"/>
  <c r="Z118" i="6"/>
  <c r="R42" i="3"/>
  <c r="V103" i="6"/>
  <c r="R40" i="3"/>
  <c r="V100" i="6"/>
  <c r="M194" i="13"/>
  <c r="M62" i="13" s="1"/>
  <c r="O192" i="13"/>
  <c r="O127" i="13" s="1"/>
  <c r="AW145" i="13"/>
  <c r="AW80" i="13" s="1"/>
  <c r="BN10" i="15"/>
  <c r="BN14" i="15" s="1"/>
  <c r="BU30" i="4"/>
  <c r="AQ155" i="13"/>
  <c r="AQ98" i="14" s="1"/>
  <c r="BU11" i="14"/>
  <c r="BU68" i="13"/>
  <c r="BG136" i="13"/>
  <c r="BG4" i="13" s="1"/>
  <c r="Z112" i="13"/>
  <c r="Z177" i="13"/>
  <c r="Z45" i="13" s="1"/>
  <c r="BZ153" i="4"/>
  <c r="V33" i="5" s="1"/>
  <c r="Y125" i="6"/>
  <c r="Y127" i="6" s="1"/>
  <c r="BT2" i="14"/>
  <c r="CB13" i="4"/>
  <c r="Y141" i="6"/>
  <c r="V37" i="5"/>
  <c r="S49" i="13"/>
  <c r="AY81" i="14"/>
  <c r="CB95" i="4"/>
  <c r="Z70" i="6"/>
  <c r="CB164" i="4"/>
  <c r="W37" i="5"/>
  <c r="Z141" i="6"/>
  <c r="CB152" i="4"/>
  <c r="CA153" i="4"/>
  <c r="W33" i="5" s="1"/>
  <c r="Z125" i="6"/>
  <c r="Z127" i="6" s="1"/>
  <c r="T37" i="5"/>
  <c r="W141" i="6"/>
  <c r="R7" i="3"/>
  <c r="V64" i="6"/>
  <c r="CB112" i="4"/>
  <c r="Z87" i="6"/>
  <c r="CB115" i="4"/>
  <c r="Z90" i="6"/>
  <c r="R29" i="3"/>
  <c r="F44" i="10" s="1"/>
  <c r="V87" i="6"/>
  <c r="CB132" i="4"/>
  <c r="Z108" i="6"/>
  <c r="BZ90" i="4"/>
  <c r="V28" i="5" s="1"/>
  <c r="Y58" i="6"/>
  <c r="Y65" i="6" s="1"/>
  <c r="CB157" i="4"/>
  <c r="W35" i="5"/>
  <c r="Z134" i="6"/>
  <c r="AM30" i="13"/>
  <c r="AM105" i="14"/>
  <c r="BE10" i="13"/>
  <c r="BF10" i="13" s="1"/>
  <c r="CB106" i="4"/>
  <c r="Z81" i="6"/>
  <c r="CB148" i="4"/>
  <c r="Z120" i="6"/>
  <c r="S116" i="13"/>
  <c r="AV16" i="13"/>
  <c r="AW16" i="13" s="1"/>
  <c r="AV91" i="14"/>
  <c r="AW91" i="14" s="1"/>
  <c r="AW79" i="13"/>
  <c r="AW144" i="13"/>
  <c r="BA80" i="14"/>
  <c r="CB116" i="4"/>
  <c r="Z91" i="6"/>
  <c r="AG27" i="13"/>
  <c r="AD103" i="13"/>
  <c r="AD168" i="13"/>
  <c r="AP22" i="13"/>
  <c r="AP154" i="13"/>
  <c r="AP89" i="13" s="1"/>
  <c r="AO84" i="13"/>
  <c r="AB119" i="14"/>
  <c r="N133" i="14"/>
  <c r="BB82" i="14"/>
  <c r="Y114" i="13"/>
  <c r="AH106" i="14"/>
  <c r="BT76" i="14"/>
  <c r="BT70" i="14"/>
  <c r="BT66" i="14"/>
  <c r="BT62" i="14"/>
  <c r="BT73" i="14"/>
  <c r="BT71" i="14"/>
  <c r="BT67" i="14"/>
  <c r="BT63" i="14"/>
  <c r="BT69" i="14"/>
  <c r="BT65" i="14"/>
  <c r="BT61" i="14"/>
  <c r="BT64" i="14"/>
  <c r="BT56" i="14"/>
  <c r="BT52" i="14"/>
  <c r="BT48" i="14"/>
  <c r="BT44" i="14"/>
  <c r="BT40" i="14"/>
  <c r="BT36" i="14"/>
  <c r="BT32" i="14"/>
  <c r="BT28" i="14"/>
  <c r="BT57" i="14"/>
  <c r="BT53" i="14"/>
  <c r="BT49" i="14"/>
  <c r="BT45" i="14"/>
  <c r="BT41" i="14"/>
  <c r="BT37" i="14"/>
  <c r="BT33" i="14"/>
  <c r="BT29" i="14"/>
  <c r="BT50" i="14"/>
  <c r="BT72" i="14"/>
  <c r="BT68" i="14"/>
  <c r="BT60" i="14"/>
  <c r="BT59" i="14"/>
  <c r="BT55" i="14"/>
  <c r="BT54" i="14"/>
  <c r="BT51" i="14"/>
  <c r="BT39" i="14"/>
  <c r="BT34" i="14"/>
  <c r="BT25" i="14"/>
  <c r="BT46" i="14"/>
  <c r="BT21" i="14"/>
  <c r="BT13" i="14"/>
  <c r="BT35" i="14"/>
  <c r="BT26" i="14"/>
  <c r="BT47" i="14"/>
  <c r="BT42" i="14"/>
  <c r="BT30" i="14"/>
  <c r="BT22" i="14"/>
  <c r="BT18" i="14"/>
  <c r="BT43" i="14"/>
  <c r="BT31" i="14"/>
  <c r="BT23" i="14"/>
  <c r="BT38" i="14"/>
  <c r="BT58" i="14"/>
  <c r="BT19" i="14"/>
  <c r="BT27" i="14"/>
  <c r="BT20" i="14"/>
  <c r="BT24" i="14"/>
  <c r="CB128" i="4"/>
  <c r="Z104" i="6"/>
  <c r="AP153" i="13"/>
  <c r="AA117" i="14"/>
  <c r="AG164" i="13"/>
  <c r="AG99" i="13" s="1"/>
  <c r="K138" i="14"/>
  <c r="J139" i="14"/>
  <c r="Z173" i="13"/>
  <c r="Z41" i="13" s="1"/>
  <c r="AG107" i="14"/>
  <c r="U35" i="5"/>
  <c r="X134" i="6"/>
  <c r="R13" i="3"/>
  <c r="V71" i="6"/>
  <c r="CB130" i="4"/>
  <c r="Z106" i="6"/>
  <c r="CB126" i="4"/>
  <c r="Z101" i="6"/>
  <c r="K63" i="13"/>
  <c r="AD111" i="14"/>
  <c r="AC106" i="13"/>
  <c r="AC171" i="13"/>
  <c r="AC114" i="14" s="1"/>
  <c r="AV11" i="13"/>
  <c r="AB113" i="14"/>
  <c r="S117" i="13"/>
  <c r="AY73" i="13"/>
  <c r="AY138" i="13"/>
  <c r="AY6" i="13" s="1"/>
  <c r="AS90" i="14"/>
  <c r="D17" i="15"/>
  <c r="J20" i="4"/>
  <c r="J147" i="4"/>
  <c r="J60" i="4"/>
  <c r="J74" i="4"/>
  <c r="I13" i="6" a="1"/>
  <c r="I13" i="6" s="1"/>
  <c r="G10" i="5" a="1"/>
  <c r="G10" i="5" s="1"/>
  <c r="R118" i="13"/>
  <c r="BB83" i="14"/>
  <c r="BB8" i="13"/>
  <c r="AD36" i="13"/>
  <c r="AE165" i="13"/>
  <c r="AN151" i="13"/>
  <c r="N58" i="13"/>
  <c r="AS24" i="13"/>
  <c r="AS99" i="14"/>
  <c r="AS82" i="13"/>
  <c r="AH98" i="13"/>
  <c r="AH163" i="13"/>
  <c r="AH31" i="13" s="1"/>
  <c r="AN94" i="14"/>
  <c r="BN6" i="7"/>
  <c r="BR177" i="4" s="1"/>
  <c r="BR175" i="4"/>
  <c r="AU89" i="14"/>
  <c r="BB75" i="13"/>
  <c r="B74" i="14"/>
  <c r="B73" i="13"/>
  <c r="B73" i="12"/>
  <c r="C73" i="12" s="1"/>
  <c r="AN28" i="13"/>
  <c r="AS91" i="13"/>
  <c r="AB44" i="13"/>
  <c r="AB170" i="13"/>
  <c r="AB38" i="13" s="1"/>
  <c r="R129" i="14"/>
  <c r="R15" i="3"/>
  <c r="V73" i="6"/>
  <c r="CB87" i="4"/>
  <c r="Z62" i="6"/>
  <c r="CB85" i="4"/>
  <c r="Z59" i="6"/>
  <c r="CB117" i="4"/>
  <c r="Z92" i="6"/>
  <c r="R23" i="3"/>
  <c r="F38" i="10" s="1"/>
  <c r="V81" i="6"/>
  <c r="R17" i="3"/>
  <c r="V75" i="6"/>
  <c r="CB99" i="4"/>
  <c r="Z74" i="6"/>
  <c r="R41" i="3"/>
  <c r="V101" i="6"/>
  <c r="R44" i="3"/>
  <c r="V105" i="6"/>
  <c r="AZ9" i="13"/>
  <c r="AZ84" i="14"/>
  <c r="BS32" i="4"/>
  <c r="BA5" i="13"/>
  <c r="Y123" i="14"/>
  <c r="T119" i="13"/>
  <c r="AT87" i="13"/>
  <c r="AM158" i="13"/>
  <c r="N126" i="13"/>
  <c r="N191" i="13"/>
  <c r="CB113" i="4"/>
  <c r="Z88" i="6"/>
  <c r="R32" i="3"/>
  <c r="F47" i="10" s="1"/>
  <c r="V90" i="6"/>
  <c r="R12" i="3"/>
  <c r="V70" i="6"/>
  <c r="BW90" i="4"/>
  <c r="V10" i="3"/>
  <c r="V58" i="6"/>
  <c r="V65" i="6" s="1"/>
  <c r="BX153" i="4"/>
  <c r="T33" i="5" s="1"/>
  <c r="W125" i="6"/>
  <c r="W127" i="6" s="1"/>
  <c r="CB133" i="4"/>
  <c r="Z109" i="6"/>
  <c r="BZ158" i="4"/>
  <c r="Y130" i="6"/>
  <c r="Y135" i="6" s="1"/>
  <c r="V34" i="5"/>
  <c r="CB94" i="4"/>
  <c r="Z69" i="6"/>
  <c r="CB122" i="4"/>
  <c r="Z97" i="6"/>
  <c r="CB127" i="4"/>
  <c r="Z103" i="6"/>
  <c r="CB145" i="4"/>
  <c r="Z119" i="6"/>
  <c r="R50" i="3"/>
  <c r="V112" i="6"/>
  <c r="R16" i="3"/>
  <c r="V74" i="6"/>
  <c r="CB88" i="4"/>
  <c r="Z63" i="6"/>
  <c r="CB138" i="4"/>
  <c r="Z113" i="6"/>
  <c r="CB97" i="4"/>
  <c r="Z72" i="6"/>
  <c r="AZ76" i="13"/>
  <c r="AQ157" i="13"/>
  <c r="AQ92" i="13" s="1"/>
  <c r="AQ100" i="14"/>
  <c r="AM97" i="13"/>
  <c r="AA174" i="13"/>
  <c r="AA109" i="13" s="1"/>
  <c r="AN160" i="13"/>
  <c r="AN103" i="14" s="1"/>
  <c r="AV86" i="14"/>
  <c r="R47" i="3"/>
  <c r="V108" i="6"/>
  <c r="CB98" i="4"/>
  <c r="Z73" i="6"/>
  <c r="CB137" i="4"/>
  <c r="Z112" i="6"/>
  <c r="R22" i="3"/>
  <c r="F37" i="10" s="1"/>
  <c r="V80" i="6"/>
  <c r="CB76" i="4"/>
  <c r="Z50" i="6"/>
  <c r="CB135" i="4"/>
  <c r="Z111" i="6"/>
  <c r="R56" i="3"/>
  <c r="V119" i="6"/>
  <c r="R43" i="3"/>
  <c r="V104" i="6"/>
  <c r="CB156" i="4"/>
  <c r="CA158" i="4"/>
  <c r="Z130" i="6"/>
  <c r="Z135" i="6" s="1"/>
  <c r="W34" i="5"/>
  <c r="R49" i="3"/>
  <c r="V110" i="6"/>
  <c r="CB100" i="4"/>
  <c r="Z75" i="6"/>
  <c r="Z153" i="6"/>
  <c r="W42" i="5"/>
  <c r="Q123" i="13"/>
  <c r="Q188" i="13"/>
  <c r="Q56" i="13" s="1"/>
  <c r="J64" i="13"/>
  <c r="AC39" i="13"/>
  <c r="Y180" i="13"/>
  <c r="Y48" i="13" s="1"/>
  <c r="AK166" i="13"/>
  <c r="AK109" i="14" s="1"/>
  <c r="BB137" i="13" l="1"/>
  <c r="BB80" i="14" s="1"/>
  <c r="AB174" i="13"/>
  <c r="AB109" i="13" s="1"/>
  <c r="Y121" i="14"/>
  <c r="AH99" i="13"/>
  <c r="AH164" i="13"/>
  <c r="AX80" i="13"/>
  <c r="AX145" i="13"/>
  <c r="AU70" i="13"/>
  <c r="AU135" i="13"/>
  <c r="AC176" i="13"/>
  <c r="AC119" i="14" s="1"/>
  <c r="S122" i="13"/>
  <c r="S187" i="13"/>
  <c r="AR92" i="13"/>
  <c r="AR157" i="13"/>
  <c r="AX148" i="13"/>
  <c r="AX83" i="13" s="1"/>
  <c r="O125" i="13"/>
  <c r="O190" i="13"/>
  <c r="R123" i="13"/>
  <c r="R188" i="13"/>
  <c r="R56" i="13" s="1"/>
  <c r="CC138" i="4"/>
  <c r="AA113" i="6"/>
  <c r="B75" i="14"/>
  <c r="B74" i="13"/>
  <c r="C74" i="13" s="1"/>
  <c r="B74" i="12"/>
  <c r="C74" i="12" s="1"/>
  <c r="Y178" i="13"/>
  <c r="Y46" i="13" s="1"/>
  <c r="L195" i="13"/>
  <c r="L196" i="13" s="1"/>
  <c r="K131" i="13"/>
  <c r="BC7" i="13"/>
  <c r="R8" i="3"/>
  <c r="C68" i="3" s="1"/>
  <c r="S28" i="5"/>
  <c r="O126" i="13"/>
  <c r="O191" i="13"/>
  <c r="AT91" i="13"/>
  <c r="AT156" i="13"/>
  <c r="AA177" i="13"/>
  <c r="AA45" i="13" s="1"/>
  <c r="S121" i="13"/>
  <c r="S186" i="13"/>
  <c r="S54" i="13" s="1"/>
  <c r="P60" i="13"/>
  <c r="P192" i="13"/>
  <c r="P127" i="13" s="1"/>
  <c r="AX91" i="14"/>
  <c r="AN30" i="13"/>
  <c r="Z93" i="6"/>
  <c r="CC107" i="4"/>
  <c r="AA82" i="6"/>
  <c r="M128" i="13"/>
  <c r="CC105" i="4"/>
  <c r="AA80" i="6"/>
  <c r="U52" i="13"/>
  <c r="AW81" i="13"/>
  <c r="AW146" i="13"/>
  <c r="AW14" i="13" s="1"/>
  <c r="CC156" i="4"/>
  <c r="CB158" i="4"/>
  <c r="X34" i="5"/>
  <c r="AA130" i="6"/>
  <c r="CC76" i="4"/>
  <c r="AA50" i="6"/>
  <c r="AM101" i="14"/>
  <c r="AM26" i="13"/>
  <c r="CC130" i="4"/>
  <c r="AA106" i="6"/>
  <c r="BO10" i="15"/>
  <c r="BW30" i="4"/>
  <c r="J19" i="3" s="1"/>
  <c r="S130" i="14"/>
  <c r="AL96" i="13"/>
  <c r="X142" i="6"/>
  <c r="AN162" i="13"/>
  <c r="AN97" i="13" s="1"/>
  <c r="AH107" i="14"/>
  <c r="AR100" i="14"/>
  <c r="AQ90" i="13"/>
  <c r="CC88" i="4"/>
  <c r="AA63" i="6"/>
  <c r="CC127" i="4"/>
  <c r="AA103" i="6"/>
  <c r="AP96" i="14"/>
  <c r="AP21" i="13"/>
  <c r="AM93" i="13"/>
  <c r="S129" i="14"/>
  <c r="S118" i="13"/>
  <c r="S183" i="13"/>
  <c r="H70" i="12"/>
  <c r="D21" i="15"/>
  <c r="Z108" i="13"/>
  <c r="AP88" i="13"/>
  <c r="AK34" i="13"/>
  <c r="BT8" i="14"/>
  <c r="BT1" i="14"/>
  <c r="BT32" i="4"/>
  <c r="CC124" i="4"/>
  <c r="AA98" i="6"/>
  <c r="Q131" i="14"/>
  <c r="R131" i="14" s="1"/>
  <c r="R64" i="3"/>
  <c r="S33" i="5"/>
  <c r="BO6" i="7"/>
  <c r="BS177" i="4" s="1"/>
  <c r="BS175" i="4"/>
  <c r="C74" i="14"/>
  <c r="C75" i="14" s="1"/>
  <c r="CC125" i="4"/>
  <c r="AA100" i="6"/>
  <c r="T185" i="13"/>
  <c r="X110" i="13"/>
  <c r="Z76" i="6"/>
  <c r="CC131" i="4"/>
  <c r="AA107" i="6"/>
  <c r="AW85" i="13"/>
  <c r="CC168" i="4"/>
  <c r="X31" i="5"/>
  <c r="Q124" i="13"/>
  <c r="Q189" i="13"/>
  <c r="BO7" i="15"/>
  <c r="BO18" i="15"/>
  <c r="L4" i="2"/>
  <c r="AA42" i="13"/>
  <c r="AB42" i="13" s="1"/>
  <c r="AL29" i="13"/>
  <c r="AK101" i="13"/>
  <c r="AQ25" i="13"/>
  <c r="AR25" i="13" s="1"/>
  <c r="O58" i="13"/>
  <c r="CC95" i="4"/>
  <c r="AA70" i="6"/>
  <c r="BU2" i="14"/>
  <c r="CC13" i="4"/>
  <c r="CD13" i="4" s="1"/>
  <c r="CE13" i="4" s="1"/>
  <c r="CF13" i="4" s="1"/>
  <c r="CG13" i="4" s="1"/>
  <c r="CH13" i="4" s="1"/>
  <c r="CI13" i="4" s="1"/>
  <c r="CJ13" i="4" s="1"/>
  <c r="CK13" i="4" s="1"/>
  <c r="BG71" i="13"/>
  <c r="BG79" i="14"/>
  <c r="AU87" i="13"/>
  <c r="AU152" i="13"/>
  <c r="AU95" i="14" s="1"/>
  <c r="CC117" i="4"/>
  <c r="AA92" i="6"/>
  <c r="AN19" i="13"/>
  <c r="G12" i="5"/>
  <c r="G13" i="5" s="1"/>
  <c r="AD106" i="13"/>
  <c r="AD171" i="13"/>
  <c r="AD114" i="14" s="1"/>
  <c r="AP149" i="13"/>
  <c r="CC116" i="4"/>
  <c r="AA91" i="6"/>
  <c r="CC115" i="4"/>
  <c r="AA90" i="6"/>
  <c r="AZ81" i="14"/>
  <c r="CC73" i="4"/>
  <c r="AA47" i="6"/>
  <c r="V93" i="6"/>
  <c r="AG167" i="13"/>
  <c r="AG102" i="13" s="1"/>
  <c r="CC89" i="4"/>
  <c r="AA64" i="6"/>
  <c r="BP4" i="7"/>
  <c r="BP7" i="7"/>
  <c r="BQ3" i="7" s="1"/>
  <c r="BT174" i="4"/>
  <c r="BT178" i="4" s="1"/>
  <c r="BC139" i="13"/>
  <c r="BC74" i="13" s="1"/>
  <c r="BG85" i="14"/>
  <c r="AG169" i="13"/>
  <c r="AG112" i="14" s="1"/>
  <c r="CC139" i="4"/>
  <c r="AA114" i="6"/>
  <c r="V76" i="6"/>
  <c r="AW143" i="13"/>
  <c r="AW86" i="14" s="1"/>
  <c r="X135" i="6"/>
  <c r="BG77" i="13"/>
  <c r="BG142" i="13"/>
  <c r="BC83" i="14"/>
  <c r="J23" i="4"/>
  <c r="J21" i="4"/>
  <c r="CC111" i="4"/>
  <c r="AA86" i="6"/>
  <c r="CC140" i="4"/>
  <c r="AA115" i="6"/>
  <c r="CC104" i="4"/>
  <c r="CB118" i="4"/>
  <c r="X32" i="5" s="1"/>
  <c r="AA79" i="6"/>
  <c r="CC110" i="4"/>
  <c r="AA85" i="6"/>
  <c r="CC129" i="4"/>
  <c r="AA105" i="6"/>
  <c r="CC133" i="4"/>
  <c r="AA109" i="6"/>
  <c r="Y115" i="13"/>
  <c r="CC100" i="4"/>
  <c r="AA75" i="6"/>
  <c r="BA141" i="13"/>
  <c r="BA9" i="13" s="1"/>
  <c r="CC122" i="4"/>
  <c r="AA97" i="6"/>
  <c r="T116" i="13"/>
  <c r="T181" i="13"/>
  <c r="T124" i="14" s="1"/>
  <c r="CC157" i="4"/>
  <c r="AA134" i="6"/>
  <c r="X35" i="5"/>
  <c r="BU73" i="14"/>
  <c r="BU71" i="14"/>
  <c r="BU67" i="14"/>
  <c r="BU63" i="14"/>
  <c r="BU59" i="14"/>
  <c r="BU69" i="14"/>
  <c r="BU65" i="14"/>
  <c r="BU56" i="14"/>
  <c r="BU52" i="14"/>
  <c r="BU57" i="14"/>
  <c r="BU70" i="14"/>
  <c r="BU61" i="14"/>
  <c r="BU53" i="14"/>
  <c r="BU49" i="14"/>
  <c r="BU45" i="14"/>
  <c r="BU41" i="14"/>
  <c r="BU37" i="14"/>
  <c r="BU33" i="14"/>
  <c r="BU29" i="14"/>
  <c r="BU66" i="14"/>
  <c r="BU62" i="14"/>
  <c r="BU60" i="14"/>
  <c r="BU58" i="14"/>
  <c r="BU54" i="14"/>
  <c r="BU50" i="14"/>
  <c r="BU46" i="14"/>
  <c r="BU42" i="14"/>
  <c r="BU38" i="14"/>
  <c r="BU34" i="14"/>
  <c r="BU30" i="14"/>
  <c r="BU72" i="14"/>
  <c r="BU68" i="14"/>
  <c r="BU64" i="14"/>
  <c r="BU76" i="14"/>
  <c r="BU55" i="14"/>
  <c r="BU43" i="14"/>
  <c r="BU35" i="14"/>
  <c r="BU27" i="14"/>
  <c r="BU26" i="14"/>
  <c r="BU51" i="14"/>
  <c r="BU21" i="14"/>
  <c r="BU13" i="14"/>
  <c r="BU40" i="14"/>
  <c r="BU28" i="14"/>
  <c r="BU47" i="14"/>
  <c r="BU22" i="14"/>
  <c r="BU48" i="14"/>
  <c r="BU36" i="14"/>
  <c r="BU31" i="14"/>
  <c r="BU32" i="14"/>
  <c r="BU24" i="14"/>
  <c r="BU20" i="14"/>
  <c r="BU44" i="14"/>
  <c r="BU39" i="14"/>
  <c r="BU23" i="14"/>
  <c r="BU19" i="14"/>
  <c r="BU25" i="14"/>
  <c r="AD39" i="13"/>
  <c r="AN95" i="13"/>
  <c r="U119" i="13"/>
  <c r="U184" i="13"/>
  <c r="U127" i="14" s="1"/>
  <c r="AB105" i="13"/>
  <c r="BC75" i="13"/>
  <c r="BC140" i="13"/>
  <c r="AN86" i="13"/>
  <c r="I15" i="6"/>
  <c r="I16" i="6" s="1"/>
  <c r="AZ6" i="13"/>
  <c r="L138" i="14"/>
  <c r="K139" i="14"/>
  <c r="CC128" i="4"/>
  <c r="AA104" i="6"/>
  <c r="X118" i="14"/>
  <c r="AQ154" i="13"/>
  <c r="AQ22" i="13" s="1"/>
  <c r="M61" i="13"/>
  <c r="CB153" i="4"/>
  <c r="X33" i="5" s="1"/>
  <c r="CC152" i="4"/>
  <c r="AA125" i="6"/>
  <c r="AA127" i="6" s="1"/>
  <c r="T49" i="13"/>
  <c r="CC109" i="4"/>
  <c r="AA84" i="6"/>
  <c r="CC134" i="4"/>
  <c r="AA110" i="6"/>
  <c r="AW13" i="13"/>
  <c r="AX13" i="13" s="1"/>
  <c r="AH102" i="14"/>
  <c r="CC96" i="4"/>
  <c r="AA71" i="6"/>
  <c r="CC121" i="4"/>
  <c r="AA96" i="6"/>
  <c r="AQ23" i="13"/>
  <c r="AC115" i="14"/>
  <c r="Z65" i="6"/>
  <c r="CB101" i="4"/>
  <c r="X29" i="5" s="1"/>
  <c r="CC93" i="4"/>
  <c r="AA68" i="6"/>
  <c r="V135" i="6"/>
  <c r="Z120" i="14"/>
  <c r="AA120" i="14" s="1"/>
  <c r="CC87" i="4"/>
  <c r="AA62" i="6"/>
  <c r="AT99" i="14"/>
  <c r="I33" i="6" a="1"/>
  <c r="I33" i="6" s="1"/>
  <c r="BC82" i="14"/>
  <c r="AE103" i="13"/>
  <c r="AE168" i="13"/>
  <c r="AE111" i="14" s="1"/>
  <c r="AX144" i="13"/>
  <c r="AX79" i="13" s="1"/>
  <c r="CC132" i="4"/>
  <c r="AA108" i="6"/>
  <c r="CC164" i="4"/>
  <c r="AA141" i="6"/>
  <c r="X37" i="5"/>
  <c r="AU20" i="13"/>
  <c r="AT24" i="13"/>
  <c r="BC8" i="13"/>
  <c r="AT3" i="13"/>
  <c r="AU3" i="13" s="1"/>
  <c r="O133" i="14"/>
  <c r="AH27" i="13"/>
  <c r="CC106" i="4"/>
  <c r="AA81" i="6"/>
  <c r="M129" i="13"/>
  <c r="CC113" i="4"/>
  <c r="AA88" i="6"/>
  <c r="AT78" i="14"/>
  <c r="CC99" i="4"/>
  <c r="AA74" i="6"/>
  <c r="CC85" i="4"/>
  <c r="AA59" i="6"/>
  <c r="AI163" i="13"/>
  <c r="AI31" i="13" s="1"/>
  <c r="AE100" i="13"/>
  <c r="AE108" i="14"/>
  <c r="AZ73" i="13"/>
  <c r="AZ138" i="13"/>
  <c r="L63" i="13"/>
  <c r="AG32" i="13"/>
  <c r="AH32" i="13" s="1"/>
  <c r="M137" i="14"/>
  <c r="CC112" i="4"/>
  <c r="AA87" i="6"/>
  <c r="Z142" i="6"/>
  <c r="R35" i="3"/>
  <c r="S32" i="5"/>
  <c r="AW88" i="14"/>
  <c r="AX88" i="14" s="1"/>
  <c r="W142" i="6"/>
  <c r="CC114" i="4"/>
  <c r="AA89" i="6"/>
  <c r="AH94" i="13"/>
  <c r="AH159" i="13"/>
  <c r="Z122" i="14"/>
  <c r="AD107" i="13"/>
  <c r="AD172" i="13"/>
  <c r="AD40" i="13" s="1"/>
  <c r="AG37" i="13"/>
  <c r="R18" i="3"/>
  <c r="S29" i="5"/>
  <c r="CC135" i="4"/>
  <c r="AA111" i="6"/>
  <c r="CC98" i="4"/>
  <c r="AA73" i="6"/>
  <c r="CC145" i="4"/>
  <c r="AA119" i="6"/>
  <c r="AE36" i="13"/>
  <c r="CC126" i="4"/>
  <c r="AA101" i="6"/>
  <c r="CC75" i="4"/>
  <c r="AA49" i="6"/>
  <c r="CC108" i="4"/>
  <c r="AA83" i="6"/>
  <c r="CC137" i="4"/>
  <c r="AA112" i="6"/>
  <c r="CC97" i="4"/>
  <c r="AA72" i="6"/>
  <c r="CC94" i="4"/>
  <c r="AA69" i="6"/>
  <c r="N134" i="14"/>
  <c r="O134" i="14" s="1"/>
  <c r="N59" i="13"/>
  <c r="O59" i="13" s="1"/>
  <c r="AC44" i="13"/>
  <c r="AV89" i="14"/>
  <c r="AW89" i="14" s="1"/>
  <c r="AT147" i="13"/>
  <c r="AT15" i="13" s="1"/>
  <c r="AE33" i="13"/>
  <c r="I48" i="6" a="1"/>
  <c r="I48" i="6" s="1"/>
  <c r="T182" i="13"/>
  <c r="Z114" i="13"/>
  <c r="Z179" i="13"/>
  <c r="Z47" i="13" s="1"/>
  <c r="AW87" i="14"/>
  <c r="AW12" i="13"/>
  <c r="AX12" i="13" s="1"/>
  <c r="CC148" i="4"/>
  <c r="AA120" i="6"/>
  <c r="BG10" i="13"/>
  <c r="AP97" i="14"/>
  <c r="AQ97" i="14" s="1"/>
  <c r="CC146" i="4"/>
  <c r="AA118" i="6"/>
  <c r="CB165" i="4"/>
  <c r="CC161" i="4"/>
  <c r="AA139" i="6"/>
  <c r="AA142" i="6" s="1"/>
  <c r="Y142" i="6"/>
  <c r="R55" i="13"/>
  <c r="S55" i="13" s="1"/>
  <c r="O135" i="14"/>
  <c r="P135" i="14" s="1"/>
  <c r="CC163" i="4"/>
  <c r="AA140" i="6"/>
  <c r="Z116" i="14"/>
  <c r="CB90" i="4"/>
  <c r="X28" i="5" s="1"/>
  <c r="CC84" i="4"/>
  <c r="AA58" i="6"/>
  <c r="CC86" i="4"/>
  <c r="AA61" i="6"/>
  <c r="G73" i="11"/>
  <c r="J72" i="11"/>
  <c r="I72" i="11"/>
  <c r="H72" i="11"/>
  <c r="K64" i="13"/>
  <c r="Q192" i="13" l="1"/>
  <c r="Q127" i="13" s="1"/>
  <c r="AY148" i="13"/>
  <c r="AY83" i="13" s="1"/>
  <c r="AY144" i="13"/>
  <c r="AY79" i="13" s="1"/>
  <c r="AH102" i="13"/>
  <c r="AH167" i="13"/>
  <c r="AO162" i="13"/>
  <c r="AO97" i="13" s="1"/>
  <c r="AX14" i="13"/>
  <c r="AX146" i="13"/>
  <c r="AC174" i="13"/>
  <c r="AC109" i="13" s="1"/>
  <c r="BD139" i="13"/>
  <c r="BD74" i="13" s="1"/>
  <c r="CD161" i="4"/>
  <c r="CC165" i="4"/>
  <c r="AB139" i="6"/>
  <c r="Q135" i="14"/>
  <c r="T125" i="14"/>
  <c r="T50" i="13"/>
  <c r="CD97" i="4"/>
  <c r="AB72" i="6"/>
  <c r="AA65" i="6"/>
  <c r="CD137" i="4"/>
  <c r="AB112" i="6"/>
  <c r="AI94" i="13"/>
  <c r="AI159" i="13"/>
  <c r="BA73" i="13"/>
  <c r="BA138" i="13"/>
  <c r="CD99" i="4"/>
  <c r="AB74" i="6"/>
  <c r="CD106" i="4"/>
  <c r="AB81" i="6"/>
  <c r="CD132" i="4"/>
  <c r="AB108" i="6"/>
  <c r="CD121" i="4"/>
  <c r="AB96" i="6"/>
  <c r="CD109" i="4"/>
  <c r="AB84" i="6"/>
  <c r="BA6" i="13"/>
  <c r="V119" i="13"/>
  <c r="V184" i="13"/>
  <c r="CD129" i="4"/>
  <c r="AB105" i="6"/>
  <c r="CD140" i="4"/>
  <c r="AB115" i="6"/>
  <c r="BH142" i="13"/>
  <c r="BH85" i="14" s="1"/>
  <c r="BP6" i="7"/>
  <c r="BT177" i="4" s="1"/>
  <c r="BT175" i="4"/>
  <c r="BA81" i="14"/>
  <c r="AI106" i="14"/>
  <c r="R124" i="13"/>
  <c r="R189" i="13"/>
  <c r="Y175" i="13"/>
  <c r="Y43" i="13" s="1"/>
  <c r="BO14" i="15"/>
  <c r="L5" i="2"/>
  <c r="CD76" i="4"/>
  <c r="AB50" i="6"/>
  <c r="AX81" i="13"/>
  <c r="Q60" i="13"/>
  <c r="P191" i="13"/>
  <c r="P126" i="13" s="1"/>
  <c r="S188" i="13"/>
  <c r="S56" i="13" s="1"/>
  <c r="AS92" i="13"/>
  <c r="AS157" i="13"/>
  <c r="AS25" i="13" s="1"/>
  <c r="AV135" i="13"/>
  <c r="AI99" i="13"/>
  <c r="AI164" i="13"/>
  <c r="CD84" i="4"/>
  <c r="CC90" i="4"/>
  <c r="Y28" i="5" s="1"/>
  <c r="AB58" i="6"/>
  <c r="CD148" i="4"/>
  <c r="AB120" i="6"/>
  <c r="C69" i="3"/>
  <c r="CD112" i="4"/>
  <c r="AB87" i="6"/>
  <c r="AF108" i="14"/>
  <c r="BA84" i="14"/>
  <c r="AI27" i="13"/>
  <c r="AN105" i="14"/>
  <c r="AO105" i="14" s="1"/>
  <c r="AA76" i="6"/>
  <c r="AQ89" i="13"/>
  <c r="AO95" i="13"/>
  <c r="AO160" i="13"/>
  <c r="BA76" i="13"/>
  <c r="AG104" i="13"/>
  <c r="AL101" i="13"/>
  <c r="AL166" i="13"/>
  <c r="AL109" i="14" s="1"/>
  <c r="S126" i="14"/>
  <c r="T126" i="14" s="1"/>
  <c r="S51" i="13"/>
  <c r="T51" i="13" s="1"/>
  <c r="CD127" i="4"/>
  <c r="AB103" i="6"/>
  <c r="AX16" i="13"/>
  <c r="AY16" i="13" s="1"/>
  <c r="AA135" i="6"/>
  <c r="Y113" i="13"/>
  <c r="BB72" i="13"/>
  <c r="B76" i="14"/>
  <c r="B75" i="13"/>
  <c r="C75" i="13" s="1"/>
  <c r="B75" i="12"/>
  <c r="C75" i="12" s="1"/>
  <c r="AY12" i="13"/>
  <c r="AF33" i="13"/>
  <c r="AF165" i="13"/>
  <c r="AF100" i="13" s="1"/>
  <c r="CC101" i="4"/>
  <c r="Y29" i="5" s="1"/>
  <c r="CD93" i="4"/>
  <c r="AB68" i="6"/>
  <c r="CD96" i="4"/>
  <c r="AB71" i="6"/>
  <c r="CD111" i="4"/>
  <c r="AB86" i="6"/>
  <c r="AE171" i="13"/>
  <c r="AE39" i="13" s="1"/>
  <c r="AM29" i="13"/>
  <c r="CD168" i="4"/>
  <c r="Y31" i="5"/>
  <c r="T53" i="13"/>
  <c r="T128" i="14"/>
  <c r="T118" i="13"/>
  <c r="T183" i="13"/>
  <c r="V52" i="13"/>
  <c r="T121" i="13"/>
  <c r="T186" i="13"/>
  <c r="T129" i="14" s="1"/>
  <c r="T122" i="13"/>
  <c r="T187" i="13"/>
  <c r="AY80" i="13"/>
  <c r="AV3" i="13"/>
  <c r="AI102" i="14"/>
  <c r="CD152" i="4"/>
  <c r="CC153" i="4"/>
  <c r="Y33" i="5" s="1"/>
  <c r="AB125" i="6"/>
  <c r="AB127" i="6" s="1"/>
  <c r="AO86" i="13"/>
  <c r="AO151" i="13"/>
  <c r="CD157" i="4"/>
  <c r="Y35" i="5"/>
  <c r="AB134" i="6"/>
  <c r="CD110" i="4"/>
  <c r="AB85" i="6"/>
  <c r="AW78" i="13"/>
  <c r="AT90" i="14"/>
  <c r="AC42" i="13"/>
  <c r="AY91" i="14"/>
  <c r="BD7" i="13"/>
  <c r="AA47" i="13"/>
  <c r="AT82" i="13"/>
  <c r="CD94" i="4"/>
  <c r="AB69" i="6"/>
  <c r="CD98" i="4"/>
  <c r="AB73" i="6"/>
  <c r="AY88" i="14"/>
  <c r="AI98" i="13"/>
  <c r="CD113" i="4"/>
  <c r="AB88" i="6"/>
  <c r="AY13" i="13"/>
  <c r="AY145" i="13"/>
  <c r="CD128" i="4"/>
  <c r="AB104" i="6"/>
  <c r="Z115" i="13"/>
  <c r="Z180" i="13"/>
  <c r="AA93" i="6"/>
  <c r="J49" i="4"/>
  <c r="CD116" i="4"/>
  <c r="AB91" i="6"/>
  <c r="CD117" i="4"/>
  <c r="AB92" i="6"/>
  <c r="AN93" i="13"/>
  <c r="AN158" i="13"/>
  <c r="AR155" i="13"/>
  <c r="AR98" i="14" s="1"/>
  <c r="AW11" i="13"/>
  <c r="CC158" i="4"/>
  <c r="CD156" i="4"/>
  <c r="AB130" i="6"/>
  <c r="Y34" i="5"/>
  <c r="CD105" i="4"/>
  <c r="AB80" i="6"/>
  <c r="AA112" i="13"/>
  <c r="AC111" i="13"/>
  <c r="CD89" i="4"/>
  <c r="AB64" i="6"/>
  <c r="CD115" i="4"/>
  <c r="AB90" i="6"/>
  <c r="AO30" i="13"/>
  <c r="P190" i="13"/>
  <c r="P58" i="13" s="1"/>
  <c r="AX87" i="14"/>
  <c r="AY87" i="14" s="1"/>
  <c r="CD108" i="4"/>
  <c r="AB83" i="6"/>
  <c r="CD100" i="4"/>
  <c r="AB75" i="6"/>
  <c r="AG110" i="14"/>
  <c r="AH110" i="14" s="1"/>
  <c r="AG35" i="13"/>
  <c r="AH35" i="13" s="1"/>
  <c r="BU8" i="14"/>
  <c r="BU1" i="14"/>
  <c r="AX150" i="13"/>
  <c r="AX85" i="13" s="1"/>
  <c r="T120" i="13"/>
  <c r="S131" i="14"/>
  <c r="AL34" i="13"/>
  <c r="CD88" i="4"/>
  <c r="AB63" i="6"/>
  <c r="CD130" i="4"/>
  <c r="AB106" i="6"/>
  <c r="H73" i="11"/>
  <c r="G74" i="11"/>
  <c r="J73" i="11"/>
  <c r="I73" i="11"/>
  <c r="CD163" i="4"/>
  <c r="AB140" i="6"/>
  <c r="CD146" i="4"/>
  <c r="AB118" i="6"/>
  <c r="AA179" i="13"/>
  <c r="AA114" i="13" s="1"/>
  <c r="AX89" i="14"/>
  <c r="CD75" i="4"/>
  <c r="AB49" i="6"/>
  <c r="AE172" i="13"/>
  <c r="AE40" i="13" s="1"/>
  <c r="AI32" i="13"/>
  <c r="AF168" i="13"/>
  <c r="AF103" i="13" s="1"/>
  <c r="CD87" i="4"/>
  <c r="AB62" i="6"/>
  <c r="AD115" i="14"/>
  <c r="U181" i="13"/>
  <c r="U124" i="14" s="1"/>
  <c r="J25" i="4"/>
  <c r="J24" i="4"/>
  <c r="CD95" i="4"/>
  <c r="AB70" i="6"/>
  <c r="CD125" i="4"/>
  <c r="AB100" i="6"/>
  <c r="CD124" i="4"/>
  <c r="AB98" i="6"/>
  <c r="AA173" i="13"/>
  <c r="AA41" i="13" s="1"/>
  <c r="AS100" i="14"/>
  <c r="AM96" i="13"/>
  <c r="AM161" i="13"/>
  <c r="AM104" i="14" s="1"/>
  <c r="AN26" i="13"/>
  <c r="N193" i="13"/>
  <c r="N136" i="14" s="1"/>
  <c r="BB5" i="13"/>
  <c r="BH136" i="13"/>
  <c r="BH4" i="13" s="1"/>
  <c r="CD145" i="4"/>
  <c r="AB119" i="6"/>
  <c r="CD114" i="4"/>
  <c r="AB89" i="6"/>
  <c r="AU78" i="14"/>
  <c r="CD135" i="4"/>
  <c r="AB111" i="6"/>
  <c r="AA122" i="14"/>
  <c r="M195" i="13"/>
  <c r="M196" i="13" s="1"/>
  <c r="CD85" i="4"/>
  <c r="AB59" i="6"/>
  <c r="BD140" i="13"/>
  <c r="BD75" i="13" s="1"/>
  <c r="CD164" i="4"/>
  <c r="Y37" i="5"/>
  <c r="AB141" i="6"/>
  <c r="BD82" i="14"/>
  <c r="CD134" i="4"/>
  <c r="AB110" i="6"/>
  <c r="N61" i="13"/>
  <c r="L139" i="14"/>
  <c r="AC170" i="13"/>
  <c r="CD133" i="4"/>
  <c r="AB109" i="6"/>
  <c r="CC118" i="4"/>
  <c r="Y32" i="5" s="1"/>
  <c r="CD104" i="4"/>
  <c r="AB79" i="6"/>
  <c r="BD83" i="14"/>
  <c r="CD139" i="4"/>
  <c r="AB114" i="6"/>
  <c r="AP17" i="13"/>
  <c r="AP92" i="14"/>
  <c r="AO19" i="13"/>
  <c r="AV152" i="13"/>
  <c r="AV87" i="13" s="1"/>
  <c r="CD131" i="4"/>
  <c r="AB107" i="6"/>
  <c r="C76" i="14"/>
  <c r="H3" i="12"/>
  <c r="D22" i="15"/>
  <c r="AQ153" i="13"/>
  <c r="AQ21" i="13" s="1"/>
  <c r="AI107" i="14"/>
  <c r="T130" i="14"/>
  <c r="AN101" i="14"/>
  <c r="AU156" i="13"/>
  <c r="AU24" i="13" s="1"/>
  <c r="L64" i="13"/>
  <c r="CD138" i="4"/>
  <c r="AB113" i="6"/>
  <c r="N194" i="13"/>
  <c r="N62" i="13" s="1"/>
  <c r="CD86" i="4"/>
  <c r="AB61" i="6"/>
  <c r="T55" i="13"/>
  <c r="BH10" i="13"/>
  <c r="T117" i="13"/>
  <c r="CD126" i="4"/>
  <c r="AB101" i="6"/>
  <c r="AB117" i="14"/>
  <c r="AC117" i="14" s="1"/>
  <c r="V127" i="14"/>
  <c r="CD122" i="4"/>
  <c r="AB97" i="6"/>
  <c r="BQ7" i="7"/>
  <c r="BR3" i="7" s="1"/>
  <c r="BQ4" i="7"/>
  <c r="BU174" i="4"/>
  <c r="BU178" i="4" s="1"/>
  <c r="CD73" i="4"/>
  <c r="AB47" i="6"/>
  <c r="AP84" i="13"/>
  <c r="Q132" i="14"/>
  <c r="R132" i="14" s="1"/>
  <c r="Q57" i="13"/>
  <c r="R57" i="13" s="1"/>
  <c r="CD107" i="4"/>
  <c r="AB82" i="6"/>
  <c r="L130" i="13"/>
  <c r="AB179" i="13" l="1"/>
  <c r="AB114" i="13" s="1"/>
  <c r="AZ83" i="13"/>
  <c r="AZ148" i="13"/>
  <c r="BE75" i="13"/>
  <c r="BE140" i="13"/>
  <c r="AG168" i="13"/>
  <c r="AG103" i="13" s="1"/>
  <c r="AP162" i="13"/>
  <c r="AP97" i="13" s="1"/>
  <c r="AW87" i="13"/>
  <c r="AW152" i="13"/>
  <c r="AY85" i="13"/>
  <c r="AY150" i="13"/>
  <c r="AG100" i="13"/>
  <c r="AG165" i="13"/>
  <c r="AG108" i="14" s="1"/>
  <c r="AD174" i="13"/>
  <c r="AD109" i="13" s="1"/>
  <c r="R127" i="13"/>
  <c r="R192" i="13"/>
  <c r="T54" i="13"/>
  <c r="AM166" i="13"/>
  <c r="AM101" i="13" s="1"/>
  <c r="U49" i="13"/>
  <c r="AB65" i="6"/>
  <c r="AY81" i="13"/>
  <c r="AY146" i="13"/>
  <c r="W184" i="13"/>
  <c r="W119" i="13" s="1"/>
  <c r="AJ159" i="13"/>
  <c r="AJ94" i="13" s="1"/>
  <c r="AI167" i="13"/>
  <c r="AI102" i="13" s="1"/>
  <c r="CE95" i="4"/>
  <c r="AC70" i="6"/>
  <c r="U116" i="13"/>
  <c r="CE146" i="4"/>
  <c r="AC118" i="6"/>
  <c r="CE130" i="4"/>
  <c r="AC106" i="6"/>
  <c r="CE100" i="4"/>
  <c r="AC75" i="6"/>
  <c r="P125" i="13"/>
  <c r="AB112" i="13"/>
  <c r="AB177" i="13"/>
  <c r="AJ163" i="13"/>
  <c r="AJ31" i="13" s="1"/>
  <c r="BE7" i="13"/>
  <c r="BE139" i="13"/>
  <c r="BE74" i="13" s="1"/>
  <c r="AJ102" i="14"/>
  <c r="CE168" i="4"/>
  <c r="Z31" i="5"/>
  <c r="CE96" i="4"/>
  <c r="AC71" i="6"/>
  <c r="AZ12" i="13"/>
  <c r="AZ144" i="13"/>
  <c r="AZ79" i="13" s="1"/>
  <c r="BH71" i="13"/>
  <c r="BH77" i="13"/>
  <c r="CE106" i="4"/>
  <c r="AC81" i="6"/>
  <c r="AF36" i="13"/>
  <c r="AG36" i="13" s="1"/>
  <c r="U117" i="13"/>
  <c r="U182" i="13"/>
  <c r="U125" i="14" s="1"/>
  <c r="CE138" i="4"/>
  <c r="AC113" i="6"/>
  <c r="BE83" i="14"/>
  <c r="AQ84" i="13"/>
  <c r="AQ149" i="13"/>
  <c r="W127" i="14"/>
  <c r="D23" i="15"/>
  <c r="J40" i="4"/>
  <c r="D34" i="15"/>
  <c r="AD111" i="13"/>
  <c r="AD176" i="13"/>
  <c r="CE152" i="4"/>
  <c r="CD153" i="4"/>
  <c r="Z33" i="5" s="1"/>
  <c r="AC125" i="6"/>
  <c r="AC127" i="6" s="1"/>
  <c r="CE107" i="4"/>
  <c r="AC82" i="6"/>
  <c r="AU91" i="13"/>
  <c r="H65" i="12"/>
  <c r="I135" i="12"/>
  <c r="I3" i="12"/>
  <c r="AQ92" i="14"/>
  <c r="AQ96" i="14"/>
  <c r="CE73" i="4"/>
  <c r="AC47" i="6"/>
  <c r="CE86" i="4"/>
  <c r="AC61" i="6"/>
  <c r="CE134" i="4"/>
  <c r="AC110" i="6"/>
  <c r="BD8" i="13"/>
  <c r="BE8" i="13" s="1"/>
  <c r="CE135" i="4"/>
  <c r="AC111" i="6"/>
  <c r="AV95" i="14"/>
  <c r="AW95" i="14" s="1"/>
  <c r="AE107" i="13"/>
  <c r="N137" i="14"/>
  <c r="AP30" i="13"/>
  <c r="AR90" i="13"/>
  <c r="CE116" i="4"/>
  <c r="AC91" i="6"/>
  <c r="AZ91" i="14"/>
  <c r="CE157" i="4"/>
  <c r="Z35" i="5"/>
  <c r="AC134" i="6"/>
  <c r="AU99" i="14"/>
  <c r="U186" i="13"/>
  <c r="U121" i="13" s="1"/>
  <c r="AN29" i="13"/>
  <c r="AB76" i="6"/>
  <c r="AZ16" i="13"/>
  <c r="AH104" i="13"/>
  <c r="AH169" i="13"/>
  <c r="CE112" i="4"/>
  <c r="AC87" i="6"/>
  <c r="CD90" i="4"/>
  <c r="Z28" i="5" s="1"/>
  <c r="CE84" i="4"/>
  <c r="AC58" i="6"/>
  <c r="AT92" i="13"/>
  <c r="AT157" i="13"/>
  <c r="AT25" i="13" s="1"/>
  <c r="CE76" i="4"/>
  <c r="AC50" i="6"/>
  <c r="BH79" i="14"/>
  <c r="AY14" i="13"/>
  <c r="BR4" i="7"/>
  <c r="BR6" i="7" s="1"/>
  <c r="BR7" i="7"/>
  <c r="BS3" i="7" s="1"/>
  <c r="CE126" i="4"/>
  <c r="AC101" i="6"/>
  <c r="AX18" i="13"/>
  <c r="AY18" i="13" s="1"/>
  <c r="AX93" i="14"/>
  <c r="AY93" i="14" s="1"/>
  <c r="CE117" i="4"/>
  <c r="AC92" i="6"/>
  <c r="AA180" i="13"/>
  <c r="AA115" i="13" s="1"/>
  <c r="CE113" i="4"/>
  <c r="AC88" i="6"/>
  <c r="AB47" i="13"/>
  <c r="AD117" i="14"/>
  <c r="AQ17" i="13"/>
  <c r="C77" i="14"/>
  <c r="CE133" i="4"/>
  <c r="AC109" i="6"/>
  <c r="AR23" i="13"/>
  <c r="N129" i="13"/>
  <c r="AV78" i="14"/>
  <c r="AA108" i="13"/>
  <c r="AE115" i="14"/>
  <c r="CE163" i="4"/>
  <c r="AC140" i="6"/>
  <c r="CE88" i="4"/>
  <c r="AC63" i="6"/>
  <c r="CE105" i="4"/>
  <c r="AC80" i="6"/>
  <c r="CE128" i="4"/>
  <c r="AC104" i="6"/>
  <c r="AD42" i="13"/>
  <c r="AW135" i="13"/>
  <c r="W52" i="13"/>
  <c r="CD101" i="4"/>
  <c r="Z29" i="5" s="1"/>
  <c r="CE93" i="4"/>
  <c r="AC68" i="6"/>
  <c r="BB76" i="13"/>
  <c r="BB141" i="13"/>
  <c r="BB9" i="13" s="1"/>
  <c r="AJ106" i="14"/>
  <c r="CE140" i="4"/>
  <c r="AC115" i="6"/>
  <c r="CE109" i="4"/>
  <c r="AC84" i="6"/>
  <c r="CE99" i="4"/>
  <c r="AC74" i="6"/>
  <c r="CE137" i="4"/>
  <c r="AC112" i="6"/>
  <c r="R135" i="14"/>
  <c r="AE114" i="14"/>
  <c r="AF111" i="14"/>
  <c r="AG111" i="14" s="1"/>
  <c r="U187" i="13"/>
  <c r="U55" i="13" s="1"/>
  <c r="CD118" i="4"/>
  <c r="Z32" i="5" s="1"/>
  <c r="CE104" i="4"/>
  <c r="AC79" i="6"/>
  <c r="CE164" i="4"/>
  <c r="AC141" i="6"/>
  <c r="Z37" i="5"/>
  <c r="AB122" i="14"/>
  <c r="CE145" i="4"/>
  <c r="AC119" i="6"/>
  <c r="AN96" i="13"/>
  <c r="AN161" i="13"/>
  <c r="BQ6" i="7"/>
  <c r="BU177" i="4" s="1"/>
  <c r="BU175" i="4"/>
  <c r="AC113" i="14"/>
  <c r="AC38" i="13"/>
  <c r="CE75" i="4"/>
  <c r="AC49" i="6"/>
  <c r="CE115" i="4"/>
  <c r="AC90" i="6"/>
  <c r="J50" i="4"/>
  <c r="J72" i="4"/>
  <c r="CE98" i="4"/>
  <c r="AC73" i="6"/>
  <c r="AU90" i="14"/>
  <c r="AO94" i="14"/>
  <c r="AE106" i="13"/>
  <c r="CE127" i="4"/>
  <c r="AC103" i="6"/>
  <c r="AO103" i="14"/>
  <c r="AO28" i="13"/>
  <c r="AP105" i="14"/>
  <c r="P59" i="13"/>
  <c r="S123" i="13"/>
  <c r="BU32" i="4"/>
  <c r="BW32" i="4" s="1"/>
  <c r="BB81" i="14"/>
  <c r="P134" i="14"/>
  <c r="CE131" i="4"/>
  <c r="AC107" i="6"/>
  <c r="CE139" i="4"/>
  <c r="AC114" i="6"/>
  <c r="AC105" i="13"/>
  <c r="BE82" i="14"/>
  <c r="CE85" i="4"/>
  <c r="AC59" i="6"/>
  <c r="N128" i="13"/>
  <c r="CE124" i="4"/>
  <c r="AC98" i="6"/>
  <c r="CE87" i="4"/>
  <c r="AC62" i="6"/>
  <c r="AY89" i="14"/>
  <c r="AM34" i="13"/>
  <c r="AI35" i="13"/>
  <c r="CE108" i="4"/>
  <c r="AC83" i="6"/>
  <c r="AB135" i="6"/>
  <c r="AO93" i="13"/>
  <c r="AO158" i="13"/>
  <c r="AO101" i="14" s="1"/>
  <c r="AX143" i="13"/>
  <c r="AX86" i="14" s="1"/>
  <c r="AP151" i="13"/>
  <c r="AA116" i="14"/>
  <c r="U183" i="13"/>
  <c r="U118" i="13" s="1"/>
  <c r="P133" i="14"/>
  <c r="BC72" i="13"/>
  <c r="BC137" i="13"/>
  <c r="BC80" i="14" s="1"/>
  <c r="U51" i="13"/>
  <c r="AP95" i="13"/>
  <c r="AP160" i="13"/>
  <c r="AV20" i="13"/>
  <c r="AW20" i="13" s="1"/>
  <c r="AJ164" i="13"/>
  <c r="AJ32" i="13" s="1"/>
  <c r="CE121" i="4"/>
  <c r="AC96" i="6"/>
  <c r="BB73" i="13"/>
  <c r="BB138" i="13"/>
  <c r="BB6" i="13" s="1"/>
  <c r="AB142" i="6"/>
  <c r="U128" i="14"/>
  <c r="CE111" i="4"/>
  <c r="AC86" i="6"/>
  <c r="Z113" i="13"/>
  <c r="Z178" i="13"/>
  <c r="U126" i="14"/>
  <c r="AJ27" i="13"/>
  <c r="Y110" i="13"/>
  <c r="CE129" i="4"/>
  <c r="AC105" i="6"/>
  <c r="CE97" i="4"/>
  <c r="AC72" i="6"/>
  <c r="S189" i="13"/>
  <c r="S57" i="13" s="1"/>
  <c r="M64" i="13"/>
  <c r="CE114" i="4"/>
  <c r="AC89" i="6"/>
  <c r="AO26" i="13"/>
  <c r="J26" i="4"/>
  <c r="I18" i="6" a="1"/>
  <c r="I18" i="6" s="1"/>
  <c r="G15" i="5" a="1"/>
  <c r="G15" i="5" s="1"/>
  <c r="J74" i="11"/>
  <c r="I74" i="11"/>
  <c r="H74" i="11"/>
  <c r="G75" i="11"/>
  <c r="AI110" i="14"/>
  <c r="AZ87" i="14"/>
  <c r="CE89" i="4"/>
  <c r="AC64" i="6"/>
  <c r="CE156" i="4"/>
  <c r="CD158" i="4"/>
  <c r="Z34" i="5"/>
  <c r="AC130" i="6"/>
  <c r="AC135" i="6" s="1"/>
  <c r="AQ88" i="13"/>
  <c r="CE94" i="4"/>
  <c r="AC69" i="6"/>
  <c r="AZ145" i="13"/>
  <c r="AZ13" i="13" s="1"/>
  <c r="M130" i="13"/>
  <c r="L131" i="13"/>
  <c r="CE122" i="4"/>
  <c r="AC97" i="6"/>
  <c r="AB93" i="6"/>
  <c r="M138" i="14"/>
  <c r="M63" i="13"/>
  <c r="AN104" i="14"/>
  <c r="CE125" i="4"/>
  <c r="AC100" i="6"/>
  <c r="B77" i="14"/>
  <c r="B76" i="13"/>
  <c r="C76" i="13" s="1"/>
  <c r="B76" i="12"/>
  <c r="C76" i="12" s="1"/>
  <c r="U120" i="13"/>
  <c r="U185" i="13"/>
  <c r="Z123" i="14"/>
  <c r="AA123" i="14" s="1"/>
  <c r="Z48" i="13"/>
  <c r="AA48" i="13" s="1"/>
  <c r="AU82" i="13"/>
  <c r="AU147" i="13"/>
  <c r="CE110" i="4"/>
  <c r="AC85" i="6"/>
  <c r="U53" i="13"/>
  <c r="Y118" i="14"/>
  <c r="AM109" i="14"/>
  <c r="AR89" i="13"/>
  <c r="AR154" i="13"/>
  <c r="BB84" i="14"/>
  <c r="CE148" i="4"/>
  <c r="AC120" i="6"/>
  <c r="AV70" i="13"/>
  <c r="R60" i="13"/>
  <c r="CE132" i="4"/>
  <c r="AC108" i="6"/>
  <c r="CE161" i="4"/>
  <c r="CD165" i="4"/>
  <c r="AC139" i="6"/>
  <c r="AC142" i="6" s="1"/>
  <c r="AJ102" i="13" l="1"/>
  <c r="AJ167" i="13"/>
  <c r="AE174" i="13"/>
  <c r="AE109" i="13" s="1"/>
  <c r="AH168" i="13"/>
  <c r="AH103" i="13" s="1"/>
  <c r="AQ162" i="13"/>
  <c r="AQ97" i="13" s="1"/>
  <c r="AP101" i="14"/>
  <c r="BF139" i="13"/>
  <c r="BF74" i="13" s="1"/>
  <c r="BA144" i="13"/>
  <c r="BA79" i="13" s="1"/>
  <c r="BC6" i="13"/>
  <c r="V183" i="13"/>
  <c r="V118" i="13" s="1"/>
  <c r="AN101" i="13"/>
  <c r="AN166" i="13"/>
  <c r="AS154" i="13"/>
  <c r="AS89" i="13" s="1"/>
  <c r="AV147" i="13"/>
  <c r="V126" i="14"/>
  <c r="BC138" i="13"/>
  <c r="BC73" i="13" s="1"/>
  <c r="AP93" i="13"/>
  <c r="AP158" i="13"/>
  <c r="CF87" i="4"/>
  <c r="AD62" i="6"/>
  <c r="AD105" i="13"/>
  <c r="AD170" i="13"/>
  <c r="AP103" i="14"/>
  <c r="CF98" i="4"/>
  <c r="AD73" i="6"/>
  <c r="AO161" i="13"/>
  <c r="AO96" i="13" s="1"/>
  <c r="X52" i="13"/>
  <c r="X184" i="13"/>
  <c r="X119" i="13" s="1"/>
  <c r="CE90" i="4"/>
  <c r="AA28" i="5" s="1"/>
  <c r="CF84" i="4"/>
  <c r="AD58" i="6"/>
  <c r="AZ88" i="14"/>
  <c r="AD44" i="13"/>
  <c r="AD119" i="14"/>
  <c r="AH36" i="13"/>
  <c r="BA12" i="13"/>
  <c r="BF7" i="13"/>
  <c r="CF100" i="4"/>
  <c r="AD75" i="6"/>
  <c r="AT100" i="14"/>
  <c r="BF75" i="13"/>
  <c r="BF140" i="13"/>
  <c r="I19" i="6"/>
  <c r="CF132" i="4"/>
  <c r="AD108" i="6"/>
  <c r="CF97" i="4"/>
  <c r="AD72" i="6"/>
  <c r="Z121" i="14"/>
  <c r="Z46" i="13"/>
  <c r="AQ160" i="13"/>
  <c r="AQ95" i="13" s="1"/>
  <c r="BC81" i="14"/>
  <c r="J77" i="4"/>
  <c r="I45" i="6" a="1"/>
  <c r="I45" i="6" s="1"/>
  <c r="AD38" i="13"/>
  <c r="AC93" i="6"/>
  <c r="CF140" i="4"/>
  <c r="AD115" i="6"/>
  <c r="CF88" i="4"/>
  <c r="AD63" i="6"/>
  <c r="O194" i="13"/>
  <c r="O62" i="13" s="1"/>
  <c r="AR17" i="13"/>
  <c r="CF117" i="4"/>
  <c r="AD92" i="6"/>
  <c r="CF73" i="4"/>
  <c r="AD47" i="6"/>
  <c r="AV156" i="13"/>
  <c r="AV24" i="13" s="1"/>
  <c r="AE111" i="13"/>
  <c r="AE176" i="13"/>
  <c r="AR149" i="13"/>
  <c r="S132" i="14"/>
  <c r="U129" i="14"/>
  <c r="AR88" i="13"/>
  <c r="AR153" i="13"/>
  <c r="AR21" i="13" s="1"/>
  <c r="AJ110" i="14"/>
  <c r="AN109" i="14"/>
  <c r="AB180" i="13"/>
  <c r="AB48" i="13" s="1"/>
  <c r="CF125" i="4"/>
  <c r="AD100" i="6"/>
  <c r="CF122" i="4"/>
  <c r="AD97" i="6"/>
  <c r="AO104" i="14"/>
  <c r="G76" i="11"/>
  <c r="J75" i="11"/>
  <c r="I75" i="11"/>
  <c r="H75" i="11"/>
  <c r="AP26" i="13"/>
  <c r="D40" i="15"/>
  <c r="D35" i="15"/>
  <c r="D37" i="15" s="1"/>
  <c r="D36" i="15"/>
  <c r="BF83" i="14"/>
  <c r="CF106" i="4"/>
  <c r="AD81" i="6"/>
  <c r="CF96" i="4"/>
  <c r="AD71" i="6"/>
  <c r="AJ98" i="13"/>
  <c r="CF130" i="4"/>
  <c r="AD106" i="6"/>
  <c r="S124" i="13"/>
  <c r="U54" i="13"/>
  <c r="AH165" i="13"/>
  <c r="AH108" i="14" s="1"/>
  <c r="BA83" i="13"/>
  <c r="BA148" i="13"/>
  <c r="AA113" i="13"/>
  <c r="AA178" i="13"/>
  <c r="CF121" i="4"/>
  <c r="AD96" i="6"/>
  <c r="V51" i="13"/>
  <c r="CF139" i="4"/>
  <c r="AD114" i="6"/>
  <c r="CF127" i="4"/>
  <c r="AD103" i="6"/>
  <c r="AD113" i="14"/>
  <c r="CF145" i="4"/>
  <c r="AD119" i="6"/>
  <c r="CF104" i="4"/>
  <c r="CE118" i="4"/>
  <c r="AA32" i="5" s="1"/>
  <c r="AD79" i="6"/>
  <c r="AW3" i="13"/>
  <c r="AE117" i="14"/>
  <c r="AX11" i="13"/>
  <c r="CF116" i="4"/>
  <c r="AD91" i="6"/>
  <c r="CF135" i="4"/>
  <c r="AD111" i="6"/>
  <c r="AW70" i="13"/>
  <c r="V53" i="13"/>
  <c r="N63" i="13"/>
  <c r="N130" i="13"/>
  <c r="N195" i="13"/>
  <c r="N196" i="13" s="1"/>
  <c r="M131" i="13"/>
  <c r="B78" i="14"/>
  <c r="B77" i="13"/>
  <c r="C77" i="13" s="1"/>
  <c r="B77" i="12"/>
  <c r="C77" i="12" s="1"/>
  <c r="CF129" i="4"/>
  <c r="AD105" i="6"/>
  <c r="AP86" i="13"/>
  <c r="CF108" i="4"/>
  <c r="AD83" i="6"/>
  <c r="CF124" i="4"/>
  <c r="AD98" i="6"/>
  <c r="AF106" i="13"/>
  <c r="AF171" i="13"/>
  <c r="AF39" i="13" s="1"/>
  <c r="U130" i="14"/>
  <c r="AC122" i="14"/>
  <c r="CF137" i="4"/>
  <c r="AD112" i="6"/>
  <c r="BC141" i="13"/>
  <c r="BC9" i="13" s="1"/>
  <c r="AE42" i="13"/>
  <c r="CF163" i="4"/>
  <c r="AD140" i="6"/>
  <c r="AC47" i="13"/>
  <c r="AC179" i="13"/>
  <c r="AC114" i="13" s="1"/>
  <c r="CF112" i="4"/>
  <c r="AD87" i="6"/>
  <c r="AS155" i="13"/>
  <c r="AS98" i="14" s="1"/>
  <c r="BF8" i="13"/>
  <c r="CF107" i="4"/>
  <c r="AD82" i="6"/>
  <c r="J43" i="4"/>
  <c r="AG33" i="13"/>
  <c r="AH33" i="13" s="1"/>
  <c r="V185" i="13"/>
  <c r="V120" i="13" s="1"/>
  <c r="N138" i="14"/>
  <c r="M139" i="14"/>
  <c r="CF156" i="4"/>
  <c r="CE158" i="4"/>
  <c r="AA34" i="5"/>
  <c r="AD130" i="6"/>
  <c r="CF114" i="4"/>
  <c r="AD89" i="6"/>
  <c r="CF111" i="4"/>
  <c r="AD86" i="6"/>
  <c r="BD72" i="13"/>
  <c r="BD137" i="13"/>
  <c r="BD80" i="14" s="1"/>
  <c r="AJ35" i="13"/>
  <c r="CF131" i="4"/>
  <c r="AD107" i="6"/>
  <c r="AP94" i="14"/>
  <c r="AP19" i="13"/>
  <c r="CF133" i="4"/>
  <c r="AD109" i="6"/>
  <c r="CF76" i="4"/>
  <c r="AD50" i="6"/>
  <c r="AH37" i="13"/>
  <c r="AI37" i="13" s="1"/>
  <c r="AH112" i="14"/>
  <c r="AQ30" i="13"/>
  <c r="U122" i="13"/>
  <c r="CF138" i="4"/>
  <c r="AD113" i="6"/>
  <c r="BI77" i="13"/>
  <c r="BI142" i="13"/>
  <c r="CF168" i="4"/>
  <c r="AA31" i="5"/>
  <c r="AB45" i="13"/>
  <c r="AC45" i="13" s="1"/>
  <c r="AB120" i="14"/>
  <c r="CF146" i="4"/>
  <c r="AD118" i="6"/>
  <c r="U50" i="13"/>
  <c r="AZ146" i="13"/>
  <c r="AZ81" i="13" s="1"/>
  <c r="T188" i="13"/>
  <c r="Z110" i="13"/>
  <c r="Z175" i="13"/>
  <c r="Z43" i="13" s="1"/>
  <c r="V128" i="14"/>
  <c r="AX78" i="13"/>
  <c r="AN34" i="13"/>
  <c r="Q59" i="13"/>
  <c r="Q191" i="13"/>
  <c r="Q126" i="13" s="1"/>
  <c r="CF115" i="4"/>
  <c r="AD90" i="6"/>
  <c r="CF99" i="4"/>
  <c r="AD74" i="6"/>
  <c r="AC76" i="6"/>
  <c r="CF128" i="4"/>
  <c r="AD104" i="6"/>
  <c r="AB108" i="13"/>
  <c r="AB173" i="13"/>
  <c r="AB41" i="13" s="1"/>
  <c r="C78" i="14"/>
  <c r="CF113" i="4"/>
  <c r="AD88" i="6"/>
  <c r="AI104" i="13"/>
  <c r="AI169" i="13"/>
  <c r="O137" i="14"/>
  <c r="CF134" i="4"/>
  <c r="AD110" i="6"/>
  <c r="AR92" i="14"/>
  <c r="D47" i="15"/>
  <c r="D48" i="15"/>
  <c r="J33" i="4"/>
  <c r="AC112" i="13"/>
  <c r="AC177" i="13"/>
  <c r="V116" i="13"/>
  <c r="V181" i="13"/>
  <c r="V124" i="14" s="1"/>
  <c r="S192" i="13"/>
  <c r="S127" i="13" s="1"/>
  <c r="AZ85" i="13"/>
  <c r="AZ150" i="13"/>
  <c r="AZ18" i="13" s="1"/>
  <c r="AX152" i="13"/>
  <c r="AX87" i="13" s="1"/>
  <c r="CF148" i="4"/>
  <c r="AD120" i="6"/>
  <c r="CF110" i="4"/>
  <c r="AD85" i="6"/>
  <c r="AZ80" i="13"/>
  <c r="BC84" i="14"/>
  <c r="Q125" i="13"/>
  <c r="Q190" i="13"/>
  <c r="Q58" i="13" s="1"/>
  <c r="AJ107" i="14"/>
  <c r="CF89" i="4"/>
  <c r="AD64" i="6"/>
  <c r="AJ99" i="13"/>
  <c r="CF85" i="4"/>
  <c r="AD59" i="6"/>
  <c r="Q134" i="14"/>
  <c r="AQ105" i="14"/>
  <c r="AV90" i="14"/>
  <c r="CF164" i="4"/>
  <c r="AA37" i="5"/>
  <c r="AD141" i="6"/>
  <c r="CE101" i="4"/>
  <c r="AA29" i="5" s="1"/>
  <c r="CF93" i="4"/>
  <c r="AD68" i="6"/>
  <c r="BC5" i="13"/>
  <c r="BD5" i="13" s="1"/>
  <c r="CF126" i="4"/>
  <c r="AD101" i="6"/>
  <c r="AU92" i="13"/>
  <c r="AU157" i="13"/>
  <c r="AU25" i="13" s="1"/>
  <c r="BA16" i="13"/>
  <c r="CF157" i="4"/>
  <c r="AD134" i="6"/>
  <c r="AA35" i="5"/>
  <c r="AF107" i="13"/>
  <c r="AF172" i="13"/>
  <c r="AF40" i="13" s="1"/>
  <c r="X127" i="14"/>
  <c r="V117" i="13"/>
  <c r="V182" i="13"/>
  <c r="V125" i="14" s="1"/>
  <c r="BI71" i="13"/>
  <c r="BI136" i="13"/>
  <c r="BI4" i="13" s="1"/>
  <c r="CE165" i="4"/>
  <c r="CF161" i="4"/>
  <c r="AD139" i="6"/>
  <c r="AD142" i="6" s="1"/>
  <c r="AR22" i="13"/>
  <c r="AS22" i="13" s="1"/>
  <c r="AR97" i="14"/>
  <c r="AS97" i="14" s="1"/>
  <c r="AU15" i="13"/>
  <c r="AV15" i="13" s="1"/>
  <c r="CF94" i="4"/>
  <c r="AD69" i="6"/>
  <c r="BA87" i="14"/>
  <c r="G16" i="5"/>
  <c r="AK159" i="13"/>
  <c r="AK94" i="13" s="1"/>
  <c r="AX20" i="13"/>
  <c r="BF82" i="14"/>
  <c r="AP28" i="13"/>
  <c r="AQ28" i="13" s="1"/>
  <c r="CF75" i="4"/>
  <c r="AD49" i="6"/>
  <c r="O193" i="13"/>
  <c r="O128" i="13" s="1"/>
  <c r="AH111" i="14"/>
  <c r="CF109" i="4"/>
  <c r="AD84" i="6"/>
  <c r="CF105" i="4"/>
  <c r="AD80" i="6"/>
  <c r="AW78" i="14"/>
  <c r="BS7" i="7"/>
  <c r="BT3" i="7" s="1"/>
  <c r="BS4" i="7"/>
  <c r="AC65" i="6"/>
  <c r="BA91" i="14"/>
  <c r="AX95" i="14"/>
  <c r="CF86" i="4"/>
  <c r="AD61" i="6"/>
  <c r="I196" i="12"/>
  <c r="I13" i="14"/>
  <c r="I70" i="12"/>
  <c r="J135" i="12" s="1"/>
  <c r="CE153" i="4"/>
  <c r="AA33" i="5" s="1"/>
  <c r="CF152" i="4"/>
  <c r="AD125" i="6"/>
  <c r="AD127" i="6" s="1"/>
  <c r="CF95" i="4"/>
  <c r="AD70" i="6"/>
  <c r="V49" i="13"/>
  <c r="AD179" i="13" l="1"/>
  <c r="AD114" i="13" s="1"/>
  <c r="BA146" i="13"/>
  <c r="BA81" i="13" s="1"/>
  <c r="T127" i="13"/>
  <c r="T192" i="13"/>
  <c r="D41" i="15"/>
  <c r="BD138" i="13"/>
  <c r="BD73" i="13" s="1"/>
  <c r="BB144" i="13"/>
  <c r="BB79" i="13" s="1"/>
  <c r="BG139" i="13"/>
  <c r="BG74" i="13" s="1"/>
  <c r="AL159" i="13"/>
  <c r="AL94" i="13" s="1"/>
  <c r="C78" i="12"/>
  <c r="AT89" i="13"/>
  <c r="AT154" i="13"/>
  <c r="AR162" i="13"/>
  <c r="AR97" i="13" s="1"/>
  <c r="Y119" i="13"/>
  <c r="Y184" i="13"/>
  <c r="AI168" i="13"/>
  <c r="AI103" i="13" s="1"/>
  <c r="J3" i="12"/>
  <c r="P193" i="13"/>
  <c r="P128" i="13" s="1"/>
  <c r="AY87" i="13"/>
  <c r="AY152" i="13"/>
  <c r="AF174" i="13"/>
  <c r="AF109" i="13" s="1"/>
  <c r="W118" i="13"/>
  <c r="W183" i="13"/>
  <c r="AR160" i="13"/>
  <c r="AR28" i="13" s="1"/>
  <c r="AP96" i="13"/>
  <c r="AP161" i="13"/>
  <c r="W116" i="13"/>
  <c r="W181" i="13"/>
  <c r="CG113" i="4"/>
  <c r="AE88" i="6"/>
  <c r="CG99" i="4"/>
  <c r="AE74" i="6"/>
  <c r="CG146" i="4"/>
  <c r="AE118" i="6"/>
  <c r="CG138" i="4"/>
  <c r="AE113" i="6"/>
  <c r="CG111" i="4"/>
  <c r="AE86" i="6"/>
  <c r="N139" i="14"/>
  <c r="BG8" i="13"/>
  <c r="AD47" i="13"/>
  <c r="AD122" i="14"/>
  <c r="AQ86" i="13"/>
  <c r="AQ151" i="13"/>
  <c r="CG121" i="4"/>
  <c r="AE96" i="6"/>
  <c r="T189" i="13"/>
  <c r="T57" i="13" s="1"/>
  <c r="BG83" i="14"/>
  <c r="Z118" i="14"/>
  <c r="CG88" i="4"/>
  <c r="AE63" i="6"/>
  <c r="I51" i="6"/>
  <c r="BG75" i="13"/>
  <c r="BG140" i="13"/>
  <c r="AE119" i="14"/>
  <c r="Y52" i="13"/>
  <c r="AE105" i="13"/>
  <c r="AE170" i="13"/>
  <c r="W126" i="14"/>
  <c r="AO166" i="13"/>
  <c r="AO109" i="14" s="1"/>
  <c r="CG85" i="4"/>
  <c r="AE59" i="6"/>
  <c r="CG75" i="4"/>
  <c r="AE49" i="6"/>
  <c r="CG161" i="4"/>
  <c r="CF165" i="4"/>
  <c r="AE139" i="6"/>
  <c r="AE142" i="6" s="1"/>
  <c r="AZ89" i="14"/>
  <c r="BA89" i="14" s="1"/>
  <c r="AK102" i="14"/>
  <c r="AA43" i="13"/>
  <c r="AC120" i="14"/>
  <c r="V122" i="13"/>
  <c r="V187" i="13"/>
  <c r="V55" i="13" s="1"/>
  <c r="CG133" i="4"/>
  <c r="AE109" i="6"/>
  <c r="CG131" i="4"/>
  <c r="AE107" i="6"/>
  <c r="N64" i="13"/>
  <c r="CG135" i="4"/>
  <c r="AE111" i="6"/>
  <c r="B79" i="14"/>
  <c r="C79" i="14" s="1"/>
  <c r="B78" i="13"/>
  <c r="C78" i="13" s="1"/>
  <c r="B78" i="12"/>
  <c r="S60" i="13"/>
  <c r="T60" i="13" s="1"/>
  <c r="AR84" i="13"/>
  <c r="AZ14" i="13"/>
  <c r="BA14" i="13" s="1"/>
  <c r="CG97" i="4"/>
  <c r="AE72" i="6"/>
  <c r="AU100" i="14"/>
  <c r="AE44" i="13"/>
  <c r="AF114" i="14"/>
  <c r="AG114" i="14" s="1"/>
  <c r="BD6" i="13"/>
  <c r="CG95" i="4"/>
  <c r="AE70" i="6"/>
  <c r="CG86" i="4"/>
  <c r="AE61" i="6"/>
  <c r="AV92" i="13"/>
  <c r="AV157" i="13"/>
  <c r="AV25" i="13" s="1"/>
  <c r="AK99" i="13"/>
  <c r="AK164" i="13"/>
  <c r="AK32" i="13" s="1"/>
  <c r="AD177" i="13"/>
  <c r="AD45" i="13" s="1"/>
  <c r="CG115" i="4"/>
  <c r="AE90" i="6"/>
  <c r="AA110" i="13"/>
  <c r="AA175" i="13"/>
  <c r="AR30" i="13"/>
  <c r="AF115" i="14"/>
  <c r="CG114" i="4"/>
  <c r="AE89" i="6"/>
  <c r="AS90" i="13"/>
  <c r="CG163" i="4"/>
  <c r="AE140" i="6"/>
  <c r="AG39" i="13"/>
  <c r="O195" i="13"/>
  <c r="O196" i="13" s="1"/>
  <c r="N131" i="13"/>
  <c r="AD93" i="6"/>
  <c r="CG127" i="4"/>
  <c r="AE103" i="6"/>
  <c r="AB113" i="13"/>
  <c r="AB178" i="13"/>
  <c r="CG130" i="4"/>
  <c r="AE106" i="6"/>
  <c r="BD81" i="14"/>
  <c r="CG87" i="4"/>
  <c r="AE62" i="6"/>
  <c r="AY95" i="14"/>
  <c r="CG105" i="4"/>
  <c r="AE80" i="6"/>
  <c r="BG82" i="14"/>
  <c r="CG94" i="4"/>
  <c r="AE69" i="6"/>
  <c r="BJ4" i="13"/>
  <c r="CG164" i="4"/>
  <c r="AB37" i="5"/>
  <c r="AE141" i="6"/>
  <c r="BA80" i="13"/>
  <c r="BA145" i="13"/>
  <c r="BA13" i="13" s="1"/>
  <c r="BA85" i="13"/>
  <c r="BA150" i="13"/>
  <c r="BA18" i="13" s="1"/>
  <c r="I23" i="6" a="1"/>
  <c r="I23" i="6" s="1"/>
  <c r="G18" i="5" a="1"/>
  <c r="G18" i="5" s="1"/>
  <c r="CG134" i="4"/>
  <c r="AE110" i="6"/>
  <c r="AC173" i="13"/>
  <c r="AC41" i="13" s="1"/>
  <c r="R126" i="13"/>
  <c r="R191" i="13"/>
  <c r="T56" i="13"/>
  <c r="T131" i="14"/>
  <c r="AI112" i="14"/>
  <c r="BC76" i="13"/>
  <c r="AD135" i="6"/>
  <c r="AV99" i="14"/>
  <c r="AF42" i="13"/>
  <c r="AG106" i="13"/>
  <c r="AG171" i="13"/>
  <c r="CG129" i="4"/>
  <c r="AE105" i="6"/>
  <c r="CG116" i="4"/>
  <c r="AE91" i="6"/>
  <c r="AK98" i="13"/>
  <c r="AK163" i="13"/>
  <c r="CG122" i="4"/>
  <c r="AE97" i="6"/>
  <c r="AS88" i="13"/>
  <c r="AS153" i="13"/>
  <c r="AS21" i="13" s="1"/>
  <c r="CG117" i="4"/>
  <c r="AE92" i="6"/>
  <c r="CG140" i="4"/>
  <c r="AE115" i="6"/>
  <c r="CG100" i="4"/>
  <c r="AE75" i="6"/>
  <c r="AO29" i="13"/>
  <c r="AP29" i="13" s="1"/>
  <c r="AV82" i="13"/>
  <c r="AX78" i="14"/>
  <c r="CG152" i="4"/>
  <c r="CF153" i="4"/>
  <c r="AB33" i="5" s="1"/>
  <c r="AE125" i="6"/>
  <c r="AE127" i="6" s="1"/>
  <c r="R59" i="13"/>
  <c r="CG168" i="4"/>
  <c r="AB31" i="5"/>
  <c r="AQ19" i="13"/>
  <c r="W185" i="13"/>
  <c r="W53" i="13" s="1"/>
  <c r="BI79" i="14"/>
  <c r="BJ79" i="14" s="1"/>
  <c r="CF118" i="4"/>
  <c r="AB32" i="5" s="1"/>
  <c r="CG104" i="4"/>
  <c r="AE79" i="6"/>
  <c r="CG139" i="4"/>
  <c r="AE114" i="6"/>
  <c r="BB148" i="13"/>
  <c r="BB16" i="13" s="1"/>
  <c r="I76" i="11"/>
  <c r="H76" i="11"/>
  <c r="G77" i="11"/>
  <c r="J76" i="11"/>
  <c r="S135" i="14"/>
  <c r="T135" i="14" s="1"/>
  <c r="CG132" i="4"/>
  <c r="AE108" i="6"/>
  <c r="BG7" i="13"/>
  <c r="AD65" i="6"/>
  <c r="AQ158" i="13"/>
  <c r="AQ93" i="13" s="1"/>
  <c r="W49" i="13"/>
  <c r="E31" i="15"/>
  <c r="I64" i="12"/>
  <c r="E27" i="15" s="1"/>
  <c r="AY20" i="13"/>
  <c r="BJ71" i="13"/>
  <c r="BJ136" i="13"/>
  <c r="AG172" i="13"/>
  <c r="AG107" i="13" s="1"/>
  <c r="CG126" i="4"/>
  <c r="AE101" i="6"/>
  <c r="CG89" i="4"/>
  <c r="AE64" i="6"/>
  <c r="AW147" i="13"/>
  <c r="AW90" i="14" s="1"/>
  <c r="BE5" i="13"/>
  <c r="AR105" i="14"/>
  <c r="AK107" i="14"/>
  <c r="CG110" i="4"/>
  <c r="AE85" i="6"/>
  <c r="CG128" i="4"/>
  <c r="AE104" i="6"/>
  <c r="AO34" i="13"/>
  <c r="BI10" i="13"/>
  <c r="BJ10" i="13" s="1"/>
  <c r="BI85" i="14"/>
  <c r="BJ85" i="14" s="1"/>
  <c r="J54" i="4"/>
  <c r="CG112" i="4"/>
  <c r="AE87" i="6"/>
  <c r="CG124" i="4"/>
  <c r="AE98" i="6"/>
  <c r="AX135" i="13"/>
  <c r="AY11" i="13"/>
  <c r="CG96" i="4"/>
  <c r="AE71" i="6"/>
  <c r="D42" i="15"/>
  <c r="CG125" i="4"/>
  <c r="AE100" i="6"/>
  <c r="T132" i="14"/>
  <c r="AV91" i="13"/>
  <c r="BB12" i="13"/>
  <c r="CF90" i="4"/>
  <c r="AB28" i="5" s="1"/>
  <c r="CG84" i="4"/>
  <c r="AE58" i="6"/>
  <c r="CG98" i="4"/>
  <c r="AE73" i="6"/>
  <c r="AB116" i="14"/>
  <c r="AB115" i="13"/>
  <c r="AJ169" i="13"/>
  <c r="AJ37" i="13" s="1"/>
  <c r="AY143" i="13"/>
  <c r="AY86" i="14" s="1"/>
  <c r="V50" i="13"/>
  <c r="BJ77" i="13"/>
  <c r="BJ142" i="13"/>
  <c r="CG76" i="4"/>
  <c r="AE50" i="6"/>
  <c r="AQ94" i="14"/>
  <c r="BE137" i="13"/>
  <c r="BE72" i="13" s="1"/>
  <c r="CG156" i="4"/>
  <c r="CF158" i="4"/>
  <c r="AE130" i="6"/>
  <c r="AE135" i="6" s="1"/>
  <c r="AB34" i="5"/>
  <c r="AZ93" i="14"/>
  <c r="BA93" i="14" s="1"/>
  <c r="AF117" i="14"/>
  <c r="CG145" i="4"/>
  <c r="AE119" i="6"/>
  <c r="W51" i="13"/>
  <c r="AH100" i="13"/>
  <c r="D46" i="15"/>
  <c r="AP104" i="14"/>
  <c r="O129" i="13"/>
  <c r="AE38" i="13"/>
  <c r="AA46" i="13"/>
  <c r="AB46" i="13" s="1"/>
  <c r="AI36" i="13"/>
  <c r="AQ103" i="14"/>
  <c r="AR103" i="14" s="1"/>
  <c r="CG109" i="4"/>
  <c r="AE84" i="6"/>
  <c r="J70" i="12"/>
  <c r="I131" i="12"/>
  <c r="E26" i="15" s="1"/>
  <c r="BS6" i="7"/>
  <c r="AI111" i="14"/>
  <c r="AK27" i="13"/>
  <c r="AL27" i="13" s="1"/>
  <c r="AT97" i="14"/>
  <c r="W182" i="13"/>
  <c r="W125" i="14" s="1"/>
  <c r="AD76" i="6"/>
  <c r="R134" i="14"/>
  <c r="J13" i="14"/>
  <c r="I74" i="14"/>
  <c r="I4" i="14" s="1"/>
  <c r="BT7" i="7"/>
  <c r="BU3" i="7" s="1"/>
  <c r="BT4" i="7"/>
  <c r="BT6" i="7" s="1"/>
  <c r="O61" i="13"/>
  <c r="P61" i="13" s="1"/>
  <c r="O136" i="14"/>
  <c r="P136" i="14" s="1"/>
  <c r="AT22" i="13"/>
  <c r="Y127" i="14"/>
  <c r="CG157" i="4"/>
  <c r="AB35" i="5"/>
  <c r="AE134" i="6"/>
  <c r="CF101" i="4"/>
  <c r="AB29" i="5" s="1"/>
  <c r="CG93" i="4"/>
  <c r="AE68" i="6"/>
  <c r="R190" i="13"/>
  <c r="R58" i="13" s="1"/>
  <c r="CG148" i="4"/>
  <c r="AE120" i="6"/>
  <c r="W124" i="14"/>
  <c r="Q133" i="14"/>
  <c r="T123" i="13"/>
  <c r="CG107" i="4"/>
  <c r="AE82" i="6"/>
  <c r="CG137" i="4"/>
  <c r="AE112" i="6"/>
  <c r="CG108" i="4"/>
  <c r="AE83" i="6"/>
  <c r="AR96" i="14"/>
  <c r="AS96" i="14" s="1"/>
  <c r="AS23" i="13"/>
  <c r="AE113" i="14"/>
  <c r="V186" i="13"/>
  <c r="V121" i="13" s="1"/>
  <c r="CG106" i="4"/>
  <c r="AE81" i="6"/>
  <c r="AB123" i="14"/>
  <c r="CG73" i="4"/>
  <c r="AE47" i="6"/>
  <c r="AA121" i="14"/>
  <c r="AB121" i="14" s="1"/>
  <c r="AK167" i="13"/>
  <c r="AK110" i="14" s="1"/>
  <c r="AJ168" i="13" l="1"/>
  <c r="AJ103" i="13" s="1"/>
  <c r="BH74" i="13"/>
  <c r="BH139" i="13"/>
  <c r="AR158" i="13"/>
  <c r="AR93" i="13" s="1"/>
  <c r="BC144" i="13"/>
  <c r="BC79" i="13" s="1"/>
  <c r="AH172" i="13"/>
  <c r="AH107" i="13" s="1"/>
  <c r="BE138" i="13"/>
  <c r="BE73" i="13" s="1"/>
  <c r="AE177" i="13"/>
  <c r="AE45" i="13" s="1"/>
  <c r="AG174" i="13"/>
  <c r="AG109" i="13" s="1"/>
  <c r="AS97" i="13"/>
  <c r="AS162" i="13"/>
  <c r="BF72" i="13"/>
  <c r="BF137" i="13"/>
  <c r="Q193" i="13"/>
  <c r="Q128" i="13" s="1"/>
  <c r="BB146" i="13"/>
  <c r="BB81" i="13" s="1"/>
  <c r="AM94" i="13"/>
  <c r="AM159" i="13"/>
  <c r="AE114" i="13"/>
  <c r="AE179" i="13"/>
  <c r="W186" i="13"/>
  <c r="W121" i="13" s="1"/>
  <c r="AJ111" i="14"/>
  <c r="AJ104" i="13"/>
  <c r="CH124" i="4"/>
  <c r="AF98" i="6"/>
  <c r="AC115" i="13"/>
  <c r="AC180" i="13"/>
  <c r="AC48" i="13" s="1"/>
  <c r="CH73" i="4"/>
  <c r="AF47" i="6"/>
  <c r="U123" i="13"/>
  <c r="U188" i="13"/>
  <c r="CG101" i="4"/>
  <c r="AC29" i="5" s="1"/>
  <c r="CH93" i="4"/>
  <c r="AF68" i="6"/>
  <c r="AJ36" i="13"/>
  <c r="CG158" i="4"/>
  <c r="CH156" i="4"/>
  <c r="AF130" i="6"/>
  <c r="AC34" i="5"/>
  <c r="BK77" i="13"/>
  <c r="BK142" i="13"/>
  <c r="BK136" i="13"/>
  <c r="BK71" i="13" s="1"/>
  <c r="BH7" i="13"/>
  <c r="G78" i="11"/>
  <c r="J77" i="11"/>
  <c r="I77" i="11"/>
  <c r="H77" i="11"/>
  <c r="CH139" i="4"/>
  <c r="AF114" i="6"/>
  <c r="AL163" i="13"/>
  <c r="AL98" i="13" s="1"/>
  <c r="AH106" i="13"/>
  <c r="AH171" i="13"/>
  <c r="U131" i="14"/>
  <c r="CH105" i="4"/>
  <c r="AF80" i="6"/>
  <c r="AG115" i="14"/>
  <c r="AV100" i="14"/>
  <c r="AW100" i="14" s="1"/>
  <c r="CG165" i="4"/>
  <c r="CH161" i="4"/>
  <c r="AF139" i="6"/>
  <c r="AF142" i="6" s="1"/>
  <c r="BH140" i="13"/>
  <c r="BH75" i="13" s="1"/>
  <c r="AQ26" i="13"/>
  <c r="AR26" i="13" s="1"/>
  <c r="AZ87" i="13"/>
  <c r="AZ152" i="13"/>
  <c r="Z184" i="13"/>
  <c r="Z119" i="13" s="1"/>
  <c r="C79" i="12"/>
  <c r="U192" i="13"/>
  <c r="U60" i="13" s="1"/>
  <c r="CH148" i="4"/>
  <c r="AF120" i="6"/>
  <c r="CH157" i="4"/>
  <c r="AF134" i="6"/>
  <c r="AC35" i="5"/>
  <c r="BK10" i="13"/>
  <c r="CH126" i="4"/>
  <c r="AF101" i="6"/>
  <c r="AK102" i="13"/>
  <c r="V54" i="13"/>
  <c r="CH137" i="4"/>
  <c r="AF112" i="6"/>
  <c r="AC123" i="14"/>
  <c r="R133" i="14"/>
  <c r="W117" i="13"/>
  <c r="W50" i="13"/>
  <c r="CH98" i="4"/>
  <c r="AF73" i="6"/>
  <c r="J55" i="4"/>
  <c r="J34" i="4"/>
  <c r="J65" i="4"/>
  <c r="J61" i="4"/>
  <c r="J66" i="4"/>
  <c r="J68" i="4"/>
  <c r="J64" i="4"/>
  <c r="J67" i="4"/>
  <c r="J62" i="4"/>
  <c r="I27" i="6" a="1"/>
  <c r="I27" i="6" s="1"/>
  <c r="J63" i="4"/>
  <c r="G21" i="5" a="1"/>
  <c r="G21" i="5" s="1"/>
  <c r="J56" i="4"/>
  <c r="CH110" i="4"/>
  <c r="AF85" i="6"/>
  <c r="CH89" i="4"/>
  <c r="AF64" i="6"/>
  <c r="AZ20" i="13"/>
  <c r="B80" i="14"/>
  <c r="C80" i="14" s="1"/>
  <c r="B79" i="13"/>
  <c r="C79" i="13" s="1"/>
  <c r="B79" i="12"/>
  <c r="AE93" i="6"/>
  <c r="CH117" i="4"/>
  <c r="AF92" i="6"/>
  <c r="AG42" i="13"/>
  <c r="U56" i="13"/>
  <c r="CH164" i="4"/>
  <c r="AF141" i="6"/>
  <c r="AC37" i="5"/>
  <c r="AZ95" i="14"/>
  <c r="CH130" i="4"/>
  <c r="AF106" i="6"/>
  <c r="O130" i="13"/>
  <c r="AS30" i="13"/>
  <c r="AD112" i="13"/>
  <c r="CH86" i="4"/>
  <c r="AF61" i="6"/>
  <c r="BB87" i="14"/>
  <c r="BC87" i="14" s="1"/>
  <c r="AO101" i="13"/>
  <c r="BH83" i="14"/>
  <c r="CH111" i="4"/>
  <c r="AF86" i="6"/>
  <c r="CH113" i="4"/>
  <c r="AF88" i="6"/>
  <c r="AR95" i="13"/>
  <c r="BE80" i="14"/>
  <c r="BF80" i="14" s="1"/>
  <c r="CH109" i="4"/>
  <c r="AF84" i="6"/>
  <c r="BU7" i="7"/>
  <c r="BV3" i="7" s="1"/>
  <c r="BU4" i="7"/>
  <c r="AU97" i="14"/>
  <c r="AF38" i="13"/>
  <c r="CH145" i="4"/>
  <c r="AF119" i="6"/>
  <c r="AE65" i="6"/>
  <c r="CH125" i="4"/>
  <c r="AF100" i="6"/>
  <c r="AX70" i="13"/>
  <c r="AL107" i="14"/>
  <c r="E28" i="15"/>
  <c r="K41" i="4"/>
  <c r="CH132" i="4"/>
  <c r="AF108" i="6"/>
  <c r="CG118" i="4"/>
  <c r="AC32" i="5" s="1"/>
  <c r="CH104" i="4"/>
  <c r="AF79" i="6"/>
  <c r="CH168" i="4"/>
  <c r="AC31" i="5"/>
  <c r="AW82" i="13"/>
  <c r="CH116" i="4"/>
  <c r="AF91" i="6"/>
  <c r="AW99" i="14"/>
  <c r="AG40" i="13"/>
  <c r="AH39" i="13"/>
  <c r="CH97" i="4"/>
  <c r="AF72" i="6"/>
  <c r="CH131" i="4"/>
  <c r="AF107" i="6"/>
  <c r="X126" i="14"/>
  <c r="AR151" i="13"/>
  <c r="CH108" i="4"/>
  <c r="AF83" i="6"/>
  <c r="I6" i="14"/>
  <c r="K15" i="4" s="1"/>
  <c r="I5" i="14"/>
  <c r="AM27" i="13"/>
  <c r="P194" i="13"/>
  <c r="AG117" i="14"/>
  <c r="AY78" i="13"/>
  <c r="CH84" i="4"/>
  <c r="CG90" i="4"/>
  <c r="AC28" i="5" s="1"/>
  <c r="AF58" i="6"/>
  <c r="BK85" i="14"/>
  <c r="AS105" i="14"/>
  <c r="K42" i="4"/>
  <c r="U135" i="14"/>
  <c r="S59" i="13"/>
  <c r="O63" i="13"/>
  <c r="O64" i="13" s="1"/>
  <c r="S126" i="13"/>
  <c r="S191" i="13"/>
  <c r="AC113" i="13"/>
  <c r="AC178" i="13"/>
  <c r="AC46" i="13" s="1"/>
  <c r="CH95" i="4"/>
  <c r="AF70" i="6"/>
  <c r="CH75" i="4"/>
  <c r="AF49" i="6"/>
  <c r="T124" i="13"/>
  <c r="AE122" i="14"/>
  <c r="CH138" i="4"/>
  <c r="AF113" i="6"/>
  <c r="X181" i="13"/>
  <c r="X124" i="14" s="1"/>
  <c r="X118" i="13"/>
  <c r="X183" i="13"/>
  <c r="X51" i="13" s="1"/>
  <c r="K135" i="12"/>
  <c r="CH106" i="4"/>
  <c r="AF81" i="6"/>
  <c r="BF5" i="13"/>
  <c r="BB91" i="14"/>
  <c r="AT88" i="13"/>
  <c r="AT153" i="13"/>
  <c r="AT96" i="14" s="1"/>
  <c r="BB150" i="13"/>
  <c r="BB18" i="13" s="1"/>
  <c r="CH87" i="4"/>
  <c r="AF62" i="6"/>
  <c r="CH163" i="4"/>
  <c r="AF140" i="6"/>
  <c r="AB110" i="13"/>
  <c r="AB175" i="13"/>
  <c r="AB43" i="13" s="1"/>
  <c r="AL164" i="13"/>
  <c r="AL32" i="13" s="1"/>
  <c r="AQ101" i="14"/>
  <c r="AR101" i="14" s="1"/>
  <c r="CH133" i="4"/>
  <c r="AF109" i="6"/>
  <c r="AL102" i="14"/>
  <c r="W128" i="14"/>
  <c r="AF170" i="13"/>
  <c r="AF105" i="13" s="1"/>
  <c r="CH88" i="4"/>
  <c r="AF63" i="6"/>
  <c r="AE47" i="13"/>
  <c r="R125" i="13"/>
  <c r="CH100" i="4"/>
  <c r="AF75" i="6"/>
  <c r="CH129" i="4"/>
  <c r="AF105" i="6"/>
  <c r="AK35" i="13"/>
  <c r="AC108" i="13"/>
  <c r="BB13" i="13"/>
  <c r="CH94" i="4"/>
  <c r="AF69" i="6"/>
  <c r="BA88" i="14"/>
  <c r="CH127" i="4"/>
  <c r="AF103" i="6"/>
  <c r="AT155" i="13"/>
  <c r="AT98" i="14" s="1"/>
  <c r="BE6" i="13"/>
  <c r="BB14" i="13"/>
  <c r="CH135" i="4"/>
  <c r="AF111" i="6"/>
  <c r="W55" i="13"/>
  <c r="BB89" i="14"/>
  <c r="CH121" i="4"/>
  <c r="AF96" i="6"/>
  <c r="BH8" i="13"/>
  <c r="CH146" i="4"/>
  <c r="AF118" i="6"/>
  <c r="W120" i="13"/>
  <c r="AR94" i="14"/>
  <c r="BC12" i="13"/>
  <c r="AC121" i="14"/>
  <c r="S134" i="14"/>
  <c r="AW15" i="13"/>
  <c r="V129" i="14"/>
  <c r="W129" i="14" s="1"/>
  <c r="BB83" i="13"/>
  <c r="CH122" i="4"/>
  <c r="AF97" i="6"/>
  <c r="BD76" i="13"/>
  <c r="BD141" i="13"/>
  <c r="BB145" i="13"/>
  <c r="BB80" i="13" s="1"/>
  <c r="CH115" i="4"/>
  <c r="AF90" i="6"/>
  <c r="AW157" i="13"/>
  <c r="AW25" i="13" s="1"/>
  <c r="AH114" i="14"/>
  <c r="AS84" i="13"/>
  <c r="AS149" i="13"/>
  <c r="W122" i="13"/>
  <c r="W187" i="13"/>
  <c r="CH85" i="4"/>
  <c r="AF59" i="6"/>
  <c r="AX3" i="13"/>
  <c r="AP34" i="13"/>
  <c r="AP166" i="13"/>
  <c r="AP109" i="14" s="1"/>
  <c r="CH76" i="4"/>
  <c r="AF50" i="6"/>
  <c r="BH82" i="14"/>
  <c r="BE81" i="14"/>
  <c r="AF113" i="14"/>
  <c r="CH107" i="4"/>
  <c r="AF82" i="6"/>
  <c r="AE76" i="6"/>
  <c r="K19" i="4"/>
  <c r="AI165" i="13"/>
  <c r="AC116" i="14"/>
  <c r="AW91" i="13"/>
  <c r="AW156" i="13"/>
  <c r="AW24" i="13" s="1"/>
  <c r="CH96" i="4"/>
  <c r="AF71" i="6"/>
  <c r="CH112" i="4"/>
  <c r="AF87" i="6"/>
  <c r="CH128" i="4"/>
  <c r="AF104" i="6"/>
  <c r="CH152" i="4"/>
  <c r="CG153" i="4"/>
  <c r="AC33" i="5" s="1"/>
  <c r="AF125" i="6"/>
  <c r="AF127" i="6" s="1"/>
  <c r="CH140" i="4"/>
  <c r="AF115" i="6"/>
  <c r="AK31" i="13"/>
  <c r="AL31" i="13" s="1"/>
  <c r="AK106" i="14"/>
  <c r="AL106" i="14" s="1"/>
  <c r="AJ112" i="14"/>
  <c r="CH134" i="4"/>
  <c r="AF110" i="6"/>
  <c r="CH114" i="4"/>
  <c r="AF89" i="6"/>
  <c r="AF44" i="13"/>
  <c r="AF176" i="13"/>
  <c r="AF111" i="13" s="1"/>
  <c r="V130" i="14"/>
  <c r="W130" i="14" s="1"/>
  <c r="AD120" i="14"/>
  <c r="AA118" i="14"/>
  <c r="AB118" i="14" s="1"/>
  <c r="O138" i="14"/>
  <c r="CH99" i="4"/>
  <c r="AF74" i="6"/>
  <c r="AQ96" i="13"/>
  <c r="AQ161" i="13"/>
  <c r="AQ29" i="13" s="1"/>
  <c r="AU154" i="13"/>
  <c r="AU89" i="13" s="1"/>
  <c r="AK168" i="13" l="1"/>
  <c r="AK103" i="13" s="1"/>
  <c r="AI172" i="13"/>
  <c r="AI107" i="13" s="1"/>
  <c r="AV89" i="13"/>
  <c r="AV154" i="13"/>
  <c r="BL136" i="13"/>
  <c r="BL71" i="13" s="1"/>
  <c r="AA184" i="13"/>
  <c r="AA119" i="13" s="1"/>
  <c r="BC146" i="13"/>
  <c r="BC81" i="13" s="1"/>
  <c r="R193" i="13"/>
  <c r="R128" i="13" s="1"/>
  <c r="BD79" i="13"/>
  <c r="BD144" i="13"/>
  <c r="AM98" i="13"/>
  <c r="AM163" i="13"/>
  <c r="Y51" i="13"/>
  <c r="Y183" i="13"/>
  <c r="BI140" i="13"/>
  <c r="BI75" i="13" s="1"/>
  <c r="X186" i="13"/>
  <c r="X121" i="13" s="1"/>
  <c r="AS158" i="13"/>
  <c r="AS93" i="13" s="1"/>
  <c r="AG105" i="13"/>
  <c r="AG170" i="13"/>
  <c r="AD178" i="13"/>
  <c r="AD46" i="13" s="1"/>
  <c r="BC145" i="13"/>
  <c r="BC80" i="13" s="1"/>
  <c r="AC43" i="13"/>
  <c r="H11" i="5" a="1"/>
  <c r="H11" i="5" s="1"/>
  <c r="J14" i="6" a="1"/>
  <c r="J14" i="6" s="1"/>
  <c r="BE141" i="13"/>
  <c r="BE76" i="13" s="1"/>
  <c r="BF138" i="13"/>
  <c r="BF73" i="13" s="1"/>
  <c r="BC13" i="13"/>
  <c r="S125" i="13"/>
  <c r="S190" i="13"/>
  <c r="S58" i="13" s="1"/>
  <c r="AC110" i="13"/>
  <c r="AC175" i="13"/>
  <c r="AU153" i="13"/>
  <c r="AU88" i="13" s="1"/>
  <c r="AD113" i="13"/>
  <c r="CI97" i="4"/>
  <c r="AG72" i="6"/>
  <c r="AX147" i="13"/>
  <c r="AQ104" i="14"/>
  <c r="CI113" i="4"/>
  <c r="AG88" i="6"/>
  <c r="CI86" i="4"/>
  <c r="AG61" i="6"/>
  <c r="I29" i="6" a="1"/>
  <c r="I29" i="6" s="1"/>
  <c r="G23" i="5" a="1"/>
  <c r="G23" i="5" s="1"/>
  <c r="I41" i="6" a="1"/>
  <c r="I41" i="6" s="1"/>
  <c r="CI126" i="4"/>
  <c r="AG101" i="6"/>
  <c r="CI148" i="4"/>
  <c r="AG120" i="6"/>
  <c r="AS26" i="13"/>
  <c r="BL142" i="13"/>
  <c r="BL77" i="13" s="1"/>
  <c r="AE120" i="14"/>
  <c r="CI134" i="4"/>
  <c r="AG110" i="6"/>
  <c r="CI152" i="4"/>
  <c r="CH153" i="4"/>
  <c r="AD33" i="5" s="1"/>
  <c r="AG125" i="6"/>
  <c r="AG127" i="6" s="1"/>
  <c r="CI96" i="4"/>
  <c r="AG71" i="6"/>
  <c r="Q136" i="14"/>
  <c r="CI76" i="4"/>
  <c r="AG50" i="6"/>
  <c r="CI85" i="4"/>
  <c r="AG59" i="6"/>
  <c r="AE112" i="13"/>
  <c r="CI164" i="4"/>
  <c r="AG141" i="6"/>
  <c r="AD37" i="5"/>
  <c r="I39" i="6" a="1"/>
  <c r="I39" i="6" s="1"/>
  <c r="CI98" i="4"/>
  <c r="AG73" i="6"/>
  <c r="AU22" i="13"/>
  <c r="AV22" i="13" s="1"/>
  <c r="BL10" i="13"/>
  <c r="AH115" i="14"/>
  <c r="AI115" i="14" s="1"/>
  <c r="G79" i="11"/>
  <c r="J78" i="11"/>
  <c r="I78" i="11"/>
  <c r="H78" i="11"/>
  <c r="Q61" i="13"/>
  <c r="R61" i="13" s="1"/>
  <c r="CI73" i="4"/>
  <c r="AG47" i="6"/>
  <c r="BD12" i="13"/>
  <c r="CI121" i="4"/>
  <c r="AG96" i="6"/>
  <c r="AD173" i="13"/>
  <c r="AD41" i="13" s="1"/>
  <c r="AM102" i="14"/>
  <c r="BC91" i="14"/>
  <c r="U124" i="13"/>
  <c r="U189" i="13"/>
  <c r="BK4" i="13"/>
  <c r="P137" i="14"/>
  <c r="P62" i="13"/>
  <c r="X130" i="14"/>
  <c r="AR19" i="13"/>
  <c r="AW92" i="13"/>
  <c r="CI122" i="4"/>
  <c r="AG97" i="6"/>
  <c r="Z52" i="13"/>
  <c r="AA52" i="13" s="1"/>
  <c r="AT90" i="13"/>
  <c r="CI163" i="4"/>
  <c r="AG140" i="6"/>
  <c r="BK79" i="14"/>
  <c r="BL79" i="14" s="1"/>
  <c r="P129" i="13"/>
  <c r="AR86" i="13"/>
  <c r="AH40" i="13"/>
  <c r="AI40" i="13" s="1"/>
  <c r="CI168" i="4"/>
  <c r="AD31" i="5"/>
  <c r="CI145" i="4"/>
  <c r="AG119" i="6"/>
  <c r="CI109" i="4"/>
  <c r="AG84" i="6"/>
  <c r="CI111" i="4"/>
  <c r="AG86" i="6"/>
  <c r="AT162" i="13"/>
  <c r="AT97" i="13" s="1"/>
  <c r="I34" i="6" a="1"/>
  <c r="I34" i="6" s="1"/>
  <c r="J69" i="4"/>
  <c r="Z127" i="14"/>
  <c r="AA127" i="14" s="1"/>
  <c r="U127" i="13"/>
  <c r="BI7" i="13"/>
  <c r="AF135" i="6"/>
  <c r="AF76" i="6"/>
  <c r="AD48" i="13"/>
  <c r="AG176" i="13"/>
  <c r="AG111" i="13" s="1"/>
  <c r="AM106" i="14"/>
  <c r="AX156" i="13"/>
  <c r="AX24" i="13" s="1"/>
  <c r="X187" i="13"/>
  <c r="X122" i="13" s="1"/>
  <c r="BC83" i="13"/>
  <c r="BC148" i="13"/>
  <c r="BC16" i="13" s="1"/>
  <c r="BC89" i="14"/>
  <c r="CI133" i="4"/>
  <c r="AG109" i="6"/>
  <c r="X49" i="13"/>
  <c r="Y118" i="13"/>
  <c r="CI75" i="4"/>
  <c r="AG49" i="6"/>
  <c r="T126" i="13"/>
  <c r="T191" i="13"/>
  <c r="BL85" i="14"/>
  <c r="AF93" i="6"/>
  <c r="AG38" i="13"/>
  <c r="K13" i="14"/>
  <c r="P130" i="13"/>
  <c r="P195" i="13"/>
  <c r="P196" i="13" s="1"/>
  <c r="O131" i="13"/>
  <c r="I36" i="6" a="1"/>
  <c r="I36" i="6" s="1"/>
  <c r="I38" i="6" a="1"/>
  <c r="I38" i="6" s="1"/>
  <c r="BB93" i="14"/>
  <c r="CH158" i="4"/>
  <c r="CI156" i="4"/>
  <c r="AD34" i="5"/>
  <c r="AG130" i="6"/>
  <c r="CH101" i="4"/>
  <c r="AD29" i="5" s="1"/>
  <c r="CI93" i="4"/>
  <c r="AG68" i="6"/>
  <c r="AD115" i="13"/>
  <c r="AD180" i="13"/>
  <c r="AD123" i="14" s="1"/>
  <c r="AF179" i="13"/>
  <c r="AF122" i="14" s="1"/>
  <c r="BI139" i="13"/>
  <c r="BI74" i="13" s="1"/>
  <c r="I30" i="6"/>
  <c r="D50" i="15"/>
  <c r="I24" i="6" a="1"/>
  <c r="I24" i="6" s="1"/>
  <c r="G19" i="5" a="1"/>
  <c r="G19" i="5" s="1"/>
  <c r="CI137" i="4"/>
  <c r="AG112" i="6"/>
  <c r="CI161" i="4"/>
  <c r="CH165" i="4"/>
  <c r="AG139" i="6"/>
  <c r="AG142" i="6" s="1"/>
  <c r="CI105" i="4"/>
  <c r="AG80" i="6"/>
  <c r="P63" i="13"/>
  <c r="CH118" i="4"/>
  <c r="AD32" i="5" s="1"/>
  <c r="CI104" i="4"/>
  <c r="AG79" i="6"/>
  <c r="BU6" i="7"/>
  <c r="AP101" i="13"/>
  <c r="CI130" i="4"/>
  <c r="AG106" i="6"/>
  <c r="CI89" i="4"/>
  <c r="AG64" i="6"/>
  <c r="I35" i="6" a="1"/>
  <c r="I35" i="6" s="1"/>
  <c r="J57" i="4"/>
  <c r="X117" i="13"/>
  <c r="X182" i="13"/>
  <c r="X125" i="14" s="1"/>
  <c r="W54" i="13"/>
  <c r="X54" i="13" s="1"/>
  <c r="CI139" i="4"/>
  <c r="AG114" i="6"/>
  <c r="CI124" i="4"/>
  <c r="AG98" i="6"/>
  <c r="AT21" i="13"/>
  <c r="AU21" i="13" s="1"/>
  <c r="AC118" i="14"/>
  <c r="AR96" i="13"/>
  <c r="AR161" i="13"/>
  <c r="AR29" i="13" s="1"/>
  <c r="AM31" i="13"/>
  <c r="AD116" i="14"/>
  <c r="CI107" i="4"/>
  <c r="AG82" i="6"/>
  <c r="CI115" i="4"/>
  <c r="AG90" i="6"/>
  <c r="X129" i="14"/>
  <c r="X120" i="13"/>
  <c r="X185" i="13"/>
  <c r="X53" i="13" s="1"/>
  <c r="X55" i="13"/>
  <c r="CI127" i="4"/>
  <c r="AG103" i="6"/>
  <c r="CI88" i="4"/>
  <c r="AG63" i="6"/>
  <c r="AS101" i="14"/>
  <c r="CI87" i="4"/>
  <c r="AG62" i="6"/>
  <c r="BG137" i="13"/>
  <c r="BG5" i="13" s="1"/>
  <c r="AF65" i="6"/>
  <c r="I3" i="14"/>
  <c r="I14" i="14" s="1"/>
  <c r="K14" i="4"/>
  <c r="Y126" i="14"/>
  <c r="AX99" i="14"/>
  <c r="AY135" i="13"/>
  <c r="AV97" i="14"/>
  <c r="BI83" i="14"/>
  <c r="AH42" i="13"/>
  <c r="AH174" i="13"/>
  <c r="AH109" i="13" s="1"/>
  <c r="CI128" i="4"/>
  <c r="AG104" i="6"/>
  <c r="AI33" i="13"/>
  <c r="AI108" i="14"/>
  <c r="AG113" i="14"/>
  <c r="AX15" i="13"/>
  <c r="BB88" i="14"/>
  <c r="BC88" i="14" s="1"/>
  <c r="CI129" i="4"/>
  <c r="AG105" i="6"/>
  <c r="X116" i="13"/>
  <c r="CI95" i="4"/>
  <c r="AG70" i="6"/>
  <c r="K22" i="4"/>
  <c r="CI99" i="4"/>
  <c r="AG74" i="6"/>
  <c r="CI114" i="4"/>
  <c r="AG89" i="6"/>
  <c r="CI140" i="4"/>
  <c r="AG115" i="6"/>
  <c r="AI100" i="13"/>
  <c r="BF81" i="14"/>
  <c r="AY3" i="13"/>
  <c r="AS17" i="13"/>
  <c r="AS92" i="14"/>
  <c r="T134" i="14"/>
  <c r="CI146" i="4"/>
  <c r="AG118" i="6"/>
  <c r="CI135" i="4"/>
  <c r="AG111" i="6"/>
  <c r="AL99" i="13"/>
  <c r="BB85" i="13"/>
  <c r="CI106" i="4"/>
  <c r="AG81" i="6"/>
  <c r="T59" i="13"/>
  <c r="CI84" i="4"/>
  <c r="CH90" i="4"/>
  <c r="AD28" i="5" s="1"/>
  <c r="AG58" i="6"/>
  <c r="AG65" i="6" s="1"/>
  <c r="CI131" i="4"/>
  <c r="AG107" i="6"/>
  <c r="CI116" i="4"/>
  <c r="AG91" i="6"/>
  <c r="CI125" i="4"/>
  <c r="AG100" i="6"/>
  <c r="BV4" i="7"/>
  <c r="BV6" i="7" s="1"/>
  <c r="BV7" i="7"/>
  <c r="BW3" i="7" s="1"/>
  <c r="AS160" i="13"/>
  <c r="BD87" i="14"/>
  <c r="BA95" i="14"/>
  <c r="CI117" i="4"/>
  <c r="AG92" i="6"/>
  <c r="I40" i="6" a="1"/>
  <c r="I40" i="6" s="1"/>
  <c r="I28" i="6" a="1"/>
  <c r="I28" i="6" s="1"/>
  <c r="G22" i="5" a="1"/>
  <c r="G22" i="5" s="1"/>
  <c r="G24" i="5" s="1"/>
  <c r="S133" i="14"/>
  <c r="AL167" i="13"/>
  <c r="AL110" i="14" s="1"/>
  <c r="CI157" i="4"/>
  <c r="AD35" i="5"/>
  <c r="AG134" i="6"/>
  <c r="B81" i="14"/>
  <c r="C81" i="14" s="1"/>
  <c r="B80" i="13"/>
  <c r="C80" i="13" s="1"/>
  <c r="B80" i="12"/>
  <c r="C80" i="12" s="1"/>
  <c r="AK36" i="13"/>
  <c r="V123" i="13"/>
  <c r="V188" i="13"/>
  <c r="V131" i="14" s="1"/>
  <c r="AK104" i="13"/>
  <c r="AK169" i="13"/>
  <c r="AK37" i="13" s="1"/>
  <c r="AN159" i="13"/>
  <c r="AN94" i="13" s="1"/>
  <c r="AG44" i="13"/>
  <c r="P138" i="14"/>
  <c r="O139" i="14"/>
  <c r="CI112" i="4"/>
  <c r="AG87" i="6"/>
  <c r="BI82" i="14"/>
  <c r="AF119" i="14"/>
  <c r="AG119" i="14" s="1"/>
  <c r="AT149" i="13"/>
  <c r="AT84" i="13" s="1"/>
  <c r="BD9" i="13"/>
  <c r="BE9" i="13" s="1"/>
  <c r="BD84" i="14"/>
  <c r="BE84" i="14" s="1"/>
  <c r="AD121" i="14"/>
  <c r="BI8" i="13"/>
  <c r="BC14" i="13"/>
  <c r="CI94" i="4"/>
  <c r="AG69" i="6"/>
  <c r="CI100" i="4"/>
  <c r="AG75" i="6"/>
  <c r="X128" i="14"/>
  <c r="K3" i="12"/>
  <c r="CI138" i="4"/>
  <c r="AG113" i="6"/>
  <c r="AZ78" i="13"/>
  <c r="AZ143" i="13"/>
  <c r="CI108" i="4"/>
  <c r="AG83" i="6"/>
  <c r="CI132" i="4"/>
  <c r="AG108" i="6"/>
  <c r="CI110" i="4"/>
  <c r="AG85" i="6"/>
  <c r="I37" i="6" a="1"/>
  <c r="I37" i="6" s="1"/>
  <c r="BA152" i="13"/>
  <c r="BA87" i="13" s="1"/>
  <c r="AI171" i="13"/>
  <c r="AI114" i="14" s="1"/>
  <c r="K70" i="12"/>
  <c r="AT23" i="13"/>
  <c r="AK111" i="14"/>
  <c r="AU97" i="13" l="1"/>
  <c r="AU162" i="13"/>
  <c r="AT93" i="13"/>
  <c r="AT158" i="13"/>
  <c r="AL168" i="13"/>
  <c r="AL103" i="13" s="1"/>
  <c r="AV88" i="13"/>
  <c r="AV153" i="13"/>
  <c r="Y121" i="13"/>
  <c r="Y186" i="13"/>
  <c r="S193" i="13"/>
  <c r="S128" i="13" s="1"/>
  <c r="BJ140" i="13"/>
  <c r="BJ75" i="13" s="1"/>
  <c r="BD81" i="13"/>
  <c r="BD146" i="13"/>
  <c r="AO94" i="13"/>
  <c r="AO159" i="13"/>
  <c r="AB184" i="13"/>
  <c r="AB119" i="13" s="1"/>
  <c r="BB152" i="13"/>
  <c r="BB87" i="13" s="1"/>
  <c r="BJ74" i="13"/>
  <c r="BJ139" i="13"/>
  <c r="Y122" i="13"/>
  <c r="Y187" i="13"/>
  <c r="BD145" i="13"/>
  <c r="BD88" i="14" s="1"/>
  <c r="BM136" i="13"/>
  <c r="BM71" i="13" s="1"/>
  <c r="BF76" i="13"/>
  <c r="BF141" i="13"/>
  <c r="AI174" i="13"/>
  <c r="AI109" i="13" s="1"/>
  <c r="AH111" i="13"/>
  <c r="AH176" i="13"/>
  <c r="BM142" i="13"/>
  <c r="BM77" i="13" s="1"/>
  <c r="BG138" i="13"/>
  <c r="BG73" i="13" s="1"/>
  <c r="AI42" i="13"/>
  <c r="K18" i="4"/>
  <c r="CJ137" i="4"/>
  <c r="AH112" i="6"/>
  <c r="CJ109" i="4"/>
  <c r="AH84" i="6"/>
  <c r="AX90" i="14"/>
  <c r="AU96" i="14"/>
  <c r="AV96" i="14" s="1"/>
  <c r="BE79" i="13"/>
  <c r="BE144" i="13"/>
  <c r="CJ84" i="4"/>
  <c r="CI90" i="4"/>
  <c r="AE28" i="5" s="1"/>
  <c r="AH58" i="6"/>
  <c r="AJ100" i="13"/>
  <c r="AJ165" i="13"/>
  <c r="AS161" i="13"/>
  <c r="AS96" i="13" s="1"/>
  <c r="Y54" i="13"/>
  <c r="Z118" i="13"/>
  <c r="Z183" i="13"/>
  <c r="BD83" i="13"/>
  <c r="BD148" i="13"/>
  <c r="AB52" i="13"/>
  <c r="Y130" i="14"/>
  <c r="V124" i="13"/>
  <c r="V189" i="13"/>
  <c r="CJ110" i="4"/>
  <c r="AH85" i="6"/>
  <c r="CJ94" i="4"/>
  <c r="AH69" i="6"/>
  <c r="BG72" i="13"/>
  <c r="AL36" i="13"/>
  <c r="AL102" i="13"/>
  <c r="CJ117" i="4"/>
  <c r="AH92" i="6"/>
  <c r="CJ125" i="4"/>
  <c r="AH100" i="6"/>
  <c r="CJ146" i="4"/>
  <c r="AH118" i="6"/>
  <c r="BJ83" i="14"/>
  <c r="CJ88" i="4"/>
  <c r="AH63" i="6"/>
  <c r="CJ115" i="4"/>
  <c r="AH90" i="6"/>
  <c r="Y125" i="14"/>
  <c r="CJ130" i="4"/>
  <c r="AH106" i="6"/>
  <c r="AF114" i="13"/>
  <c r="CJ156" i="4"/>
  <c r="CI158" i="4"/>
  <c r="AH130" i="6"/>
  <c r="BA20" i="13"/>
  <c r="BB20" i="13" s="1"/>
  <c r="I42" i="6"/>
  <c r="Q194" i="13"/>
  <c r="Q129" i="13" s="1"/>
  <c r="AI39" i="13"/>
  <c r="BD91" i="14"/>
  <c r="CJ121" i="4"/>
  <c r="AH96" i="6"/>
  <c r="J79" i="11"/>
  <c r="I79" i="11"/>
  <c r="H79" i="11"/>
  <c r="G80" i="11"/>
  <c r="CJ76" i="4"/>
  <c r="AH50" i="6"/>
  <c r="CJ134" i="4"/>
  <c r="AH110" i="6"/>
  <c r="CJ148" i="4"/>
  <c r="AH120" i="6"/>
  <c r="AX82" i="13"/>
  <c r="BF6" i="13"/>
  <c r="BD14" i="13"/>
  <c r="AH119" i="14"/>
  <c r="BB95" i="14"/>
  <c r="CJ140" i="4"/>
  <c r="AH115" i="6"/>
  <c r="AH113" i="14"/>
  <c r="AV21" i="13"/>
  <c r="Y117" i="13"/>
  <c r="Y182" i="13"/>
  <c r="AQ101" i="13"/>
  <c r="AQ166" i="13"/>
  <c r="V56" i="13"/>
  <c r="AN27" i="13"/>
  <c r="AO27" i="13" s="1"/>
  <c r="CJ145" i="4"/>
  <c r="AH119" i="6"/>
  <c r="AT105" i="14"/>
  <c r="AU105" i="14" s="1"/>
  <c r="BE12" i="13"/>
  <c r="R136" i="14"/>
  <c r="S136" i="14" s="1"/>
  <c r="AL169" i="13"/>
  <c r="AL104" i="13" s="1"/>
  <c r="CJ138" i="4"/>
  <c r="AH113" i="6"/>
  <c r="BJ8" i="13"/>
  <c r="BJ82" i="14"/>
  <c r="BM79" i="14"/>
  <c r="CJ122" i="4"/>
  <c r="AH97" i="6"/>
  <c r="Q62" i="13"/>
  <c r="AN102" i="14"/>
  <c r="BM10" i="13"/>
  <c r="CJ164" i="4"/>
  <c r="AH141" i="6"/>
  <c r="CJ126" i="4"/>
  <c r="AH101" i="6"/>
  <c r="CJ86" i="4"/>
  <c r="AH61" i="6"/>
  <c r="CJ97" i="4"/>
  <c r="AH72" i="6"/>
  <c r="AD110" i="13"/>
  <c r="AD175" i="13"/>
  <c r="AD118" i="14" s="1"/>
  <c r="AD43" i="13"/>
  <c r="AH105" i="13"/>
  <c r="AH170" i="13"/>
  <c r="Z51" i="13"/>
  <c r="AW154" i="13"/>
  <c r="AW89" i="13" s="1"/>
  <c r="BE87" i="14"/>
  <c r="CJ116" i="4"/>
  <c r="AH91" i="6"/>
  <c r="CJ106" i="4"/>
  <c r="AH81" i="6"/>
  <c r="AT92" i="14"/>
  <c r="CJ95" i="4"/>
  <c r="AH70" i="6"/>
  <c r="AJ108" i="14"/>
  <c r="AY78" i="14"/>
  <c r="CJ127" i="4"/>
  <c r="AH103" i="6"/>
  <c r="BG80" i="14"/>
  <c r="CJ105" i="4"/>
  <c r="AH80" i="6"/>
  <c r="AE115" i="13"/>
  <c r="AE180" i="13"/>
  <c r="AE48" i="13" s="1"/>
  <c r="BM85" i="14"/>
  <c r="CJ133" i="4"/>
  <c r="AH109" i="6"/>
  <c r="BJ7" i="13"/>
  <c r="CJ132" i="4"/>
  <c r="AH108" i="6"/>
  <c r="L135" i="12"/>
  <c r="L70" i="12" s="1"/>
  <c r="L3" i="12"/>
  <c r="AS28" i="13"/>
  <c r="AS103" i="14"/>
  <c r="BC150" i="13"/>
  <c r="BC18" i="13" s="1"/>
  <c r="AT17" i="13"/>
  <c r="CJ114" i="4"/>
  <c r="AH89" i="6"/>
  <c r="Y181" i="13"/>
  <c r="Y124" i="14" s="1"/>
  <c r="AJ33" i="13"/>
  <c r="AY70" i="13"/>
  <c r="Y55" i="13"/>
  <c r="CJ107" i="4"/>
  <c r="AH82" i="6"/>
  <c r="CJ124" i="4"/>
  <c r="AH98" i="6"/>
  <c r="AG76" i="6"/>
  <c r="P64" i="13"/>
  <c r="BD89" i="14"/>
  <c r="AX91" i="13"/>
  <c r="V192" i="13"/>
  <c r="AT30" i="13"/>
  <c r="AU30" i="13" s="1"/>
  <c r="AX92" i="13"/>
  <c r="AX157" i="13"/>
  <c r="Q137" i="14"/>
  <c r="AF47" i="13"/>
  <c r="CJ73" i="4"/>
  <c r="AH47" i="6"/>
  <c r="AW22" i="13"/>
  <c r="AF177" i="13"/>
  <c r="AF45" i="13" s="1"/>
  <c r="CJ96" i="4"/>
  <c r="AH71" i="6"/>
  <c r="AH117" i="14"/>
  <c r="AI117" i="14" s="1"/>
  <c r="AH44" i="13"/>
  <c r="W188" i="13"/>
  <c r="W123" i="13" s="1"/>
  <c r="AI106" i="13"/>
  <c r="I53" i="6"/>
  <c r="BF84" i="14"/>
  <c r="CJ112" i="4"/>
  <c r="AH87" i="6"/>
  <c r="AL37" i="13"/>
  <c r="AS95" i="13"/>
  <c r="CJ131" i="4"/>
  <c r="AH107" i="6"/>
  <c r="AM99" i="13"/>
  <c r="AM164" i="13"/>
  <c r="CI101" i="4"/>
  <c r="AE29" i="5" s="1"/>
  <c r="CJ93" i="4"/>
  <c r="AH68" i="6"/>
  <c r="Q130" i="13"/>
  <c r="Q195" i="13"/>
  <c r="Q196" i="13" s="1"/>
  <c r="P131" i="13"/>
  <c r="U191" i="13"/>
  <c r="U59" i="13" s="1"/>
  <c r="AB127" i="14"/>
  <c r="CJ163" i="4"/>
  <c r="AH140" i="6"/>
  <c r="S61" i="13"/>
  <c r="CJ113" i="4"/>
  <c r="AH88" i="6"/>
  <c r="AE178" i="13"/>
  <c r="AE121" i="14" s="1"/>
  <c r="Y120" i="13"/>
  <c r="Y185" i="13"/>
  <c r="Y53" i="13" s="1"/>
  <c r="L13" i="14"/>
  <c r="X50" i="13"/>
  <c r="Y50" i="13" s="1"/>
  <c r="CJ111" i="4"/>
  <c r="AH86" i="6"/>
  <c r="CJ168" i="4"/>
  <c r="AE31" i="5"/>
  <c r="AL35" i="13"/>
  <c r="AS151" i="13"/>
  <c r="AS86" i="13" s="1"/>
  <c r="BL4" i="13"/>
  <c r="BM4" i="13" s="1"/>
  <c r="AD108" i="13"/>
  <c r="B82" i="14"/>
  <c r="C82" i="14" s="1"/>
  <c r="B81" i="13"/>
  <c r="C81" i="13" s="1"/>
  <c r="B81" i="12"/>
  <c r="C81" i="12" s="1"/>
  <c r="CJ98" i="4"/>
  <c r="AH73" i="6"/>
  <c r="AR104" i="14"/>
  <c r="AS104" i="14" s="1"/>
  <c r="T190" i="13"/>
  <c r="T133" i="14" s="1"/>
  <c r="AN98" i="13"/>
  <c r="AN163" i="13"/>
  <c r="AN106" i="14" s="1"/>
  <c r="CJ108" i="4"/>
  <c r="AH83" i="6"/>
  <c r="BF9" i="13"/>
  <c r="BW7" i="7"/>
  <c r="BX3" i="7" s="1"/>
  <c r="BW4" i="7"/>
  <c r="BW6" i="7" s="1"/>
  <c r="CJ99" i="4"/>
  <c r="AH74" i="6"/>
  <c r="CJ129" i="4"/>
  <c r="AH105" i="6"/>
  <c r="CJ128" i="4"/>
  <c r="AH104" i="6"/>
  <c r="CJ87" i="4"/>
  <c r="AH62" i="6"/>
  <c r="AN31" i="13"/>
  <c r="CJ139" i="4"/>
  <c r="AH114" i="6"/>
  <c r="AG93" i="6"/>
  <c r="CI165" i="4"/>
  <c r="CJ161" i="4"/>
  <c r="AH139" i="6"/>
  <c r="AL111" i="14"/>
  <c r="AZ11" i="13"/>
  <c r="AZ86" i="14"/>
  <c r="CJ100" i="4"/>
  <c r="AH75" i="6"/>
  <c r="Q138" i="14"/>
  <c r="P139" i="14"/>
  <c r="CJ157" i="4"/>
  <c r="AH134" i="6"/>
  <c r="CJ135" i="4"/>
  <c r="AH111" i="6"/>
  <c r="BG81" i="14"/>
  <c r="Z126" i="14"/>
  <c r="AT101" i="14"/>
  <c r="Y129" i="14"/>
  <c r="CJ89" i="4"/>
  <c r="AH64" i="6"/>
  <c r="CI118" i="4"/>
  <c r="AE32" i="5" s="1"/>
  <c r="CJ104" i="4"/>
  <c r="AH79" i="6"/>
  <c r="AG135" i="6"/>
  <c r="AH38" i="13"/>
  <c r="CJ75" i="4"/>
  <c r="AH49" i="6"/>
  <c r="BD16" i="13"/>
  <c r="J79" i="4"/>
  <c r="G25" i="5" s="1" a="1"/>
  <c r="G25" i="5" s="1"/>
  <c r="G26" i="5" s="1"/>
  <c r="J80" i="4"/>
  <c r="AJ172" i="13"/>
  <c r="AJ40" i="13" s="1"/>
  <c r="AU155" i="13"/>
  <c r="AU98" i="14" s="1"/>
  <c r="AK112" i="14"/>
  <c r="AL112" i="14" s="1"/>
  <c r="U132" i="14"/>
  <c r="V132" i="14" s="1"/>
  <c r="U57" i="13"/>
  <c r="V57" i="13" s="1"/>
  <c r="CJ85" i="4"/>
  <c r="AH59" i="6"/>
  <c r="CJ152" i="4"/>
  <c r="CI153" i="4"/>
  <c r="AE33" i="5" s="1"/>
  <c r="AH125" i="6"/>
  <c r="AH127" i="6" s="1"/>
  <c r="AT26" i="13"/>
  <c r="BD13" i="13"/>
  <c r="R194" i="13" l="1"/>
  <c r="R129" i="13" s="1"/>
  <c r="AX154" i="13"/>
  <c r="AX89" i="13" s="1"/>
  <c r="AT161" i="13"/>
  <c r="AT96" i="13" s="1"/>
  <c r="BH138" i="13"/>
  <c r="BH73" i="13" s="1"/>
  <c r="AC184" i="13"/>
  <c r="AC119" i="13" s="1"/>
  <c r="BN136" i="13"/>
  <c r="BN71" i="13" s="1"/>
  <c r="AM168" i="13"/>
  <c r="AM103" i="13" s="1"/>
  <c r="AT151" i="13"/>
  <c r="BK75" i="13"/>
  <c r="BK140" i="13"/>
  <c r="AJ174" i="13"/>
  <c r="AJ109" i="13" s="1"/>
  <c r="T193" i="13"/>
  <c r="T128" i="13" s="1"/>
  <c r="X188" i="13"/>
  <c r="X123" i="13" s="1"/>
  <c r="BC152" i="13"/>
  <c r="BC87" i="13" s="1"/>
  <c r="AK108" i="14"/>
  <c r="CK116" i="4"/>
  <c r="AJ91" i="6" s="1"/>
  <c r="AI91" i="6"/>
  <c r="BN79" i="14"/>
  <c r="Y49" i="13"/>
  <c r="CK125" i="4"/>
  <c r="AJ100" i="6" s="1"/>
  <c r="AI100" i="6"/>
  <c r="AC52" i="13"/>
  <c r="CK109" i="4"/>
  <c r="AJ84" i="6" s="1"/>
  <c r="AI84" i="6"/>
  <c r="AJ107" i="13"/>
  <c r="AE123" i="14"/>
  <c r="BG141" i="13"/>
  <c r="BG76" i="13" s="1"/>
  <c r="BK74" i="13"/>
  <c r="BK139" i="13"/>
  <c r="AP94" i="13"/>
  <c r="AP159" i="13"/>
  <c r="AP27" i="13" s="1"/>
  <c r="AS29" i="13"/>
  <c r="AT29" i="13" s="1"/>
  <c r="CK73" i="4"/>
  <c r="AJ47" i="6" s="1"/>
  <c r="AI47" i="6"/>
  <c r="AY156" i="13"/>
  <c r="AY91" i="13" s="1"/>
  <c r="CK107" i="4"/>
  <c r="AJ82" i="6" s="1"/>
  <c r="AI82" i="6"/>
  <c r="AU149" i="13"/>
  <c r="AF115" i="13"/>
  <c r="AF180" i="13"/>
  <c r="AF48" i="13" s="1"/>
  <c r="CK135" i="4"/>
  <c r="AJ111" i="6" s="1"/>
  <c r="AI111" i="6"/>
  <c r="CK128" i="4"/>
  <c r="AJ104" i="6" s="1"/>
  <c r="AI104" i="6"/>
  <c r="T58" i="13"/>
  <c r="CK163" i="4"/>
  <c r="AJ140" i="6" s="1"/>
  <c r="AI140" i="6"/>
  <c r="AH76" i="6"/>
  <c r="Y128" i="14"/>
  <c r="Z128" i="14" s="1"/>
  <c r="AJ117" i="14"/>
  <c r="AG47" i="13"/>
  <c r="AE175" i="13"/>
  <c r="AE110" i="13" s="1"/>
  <c r="CK164" i="4"/>
  <c r="AJ141" i="6" s="1"/>
  <c r="AI141" i="6"/>
  <c r="AF120" i="14"/>
  <c r="W56" i="13"/>
  <c r="X56" i="13" s="1"/>
  <c r="AW97" i="14"/>
  <c r="AX97" i="14" s="1"/>
  <c r="CK134" i="4"/>
  <c r="AJ110" i="6" s="1"/>
  <c r="AI110" i="6"/>
  <c r="CK121" i="4"/>
  <c r="AJ96" i="6" s="1"/>
  <c r="AI96" i="6"/>
  <c r="BC20" i="13"/>
  <c r="CK130" i="4"/>
  <c r="AJ106" i="6" s="1"/>
  <c r="AI106" i="6"/>
  <c r="CK110" i="4"/>
  <c r="AJ85" i="6" s="1"/>
  <c r="AI85" i="6"/>
  <c r="AK100" i="13"/>
  <c r="AK165" i="13"/>
  <c r="CK168" i="4"/>
  <c r="AG31" i="5" s="1"/>
  <c r="AF31" i="5"/>
  <c r="R195" i="13"/>
  <c r="R196" i="13" s="1"/>
  <c r="Q131" i="13"/>
  <c r="BA11" i="13"/>
  <c r="BA143" i="13"/>
  <c r="BA78" i="13" s="1"/>
  <c r="BX4" i="7"/>
  <c r="BX6" i="7" s="1"/>
  <c r="BX7" i="7"/>
  <c r="BY3" i="7" s="1"/>
  <c r="T125" i="13"/>
  <c r="AE108" i="13"/>
  <c r="AE173" i="13"/>
  <c r="CK111" i="4"/>
  <c r="AJ86" i="6" s="1"/>
  <c r="AI86" i="6"/>
  <c r="AC127" i="14"/>
  <c r="CJ101" i="4"/>
  <c r="AF29" i="5" s="1"/>
  <c r="CK93" i="4"/>
  <c r="AI68" i="6"/>
  <c r="CK131" i="4"/>
  <c r="AJ107" i="6" s="1"/>
  <c r="AI107" i="6"/>
  <c r="R137" i="14"/>
  <c r="AZ135" i="13"/>
  <c r="BC85" i="13"/>
  <c r="CK132" i="4"/>
  <c r="AJ108" i="6" s="1"/>
  <c r="AI108" i="6"/>
  <c r="CK105" i="4"/>
  <c r="AJ80" i="6" s="1"/>
  <c r="AI80" i="6"/>
  <c r="CK95" i="4"/>
  <c r="AJ70" i="6" s="1"/>
  <c r="AI70" i="6"/>
  <c r="BN142" i="13"/>
  <c r="BN85" i="14" s="1"/>
  <c r="BK82" i="14"/>
  <c r="T136" i="14"/>
  <c r="AH135" i="6"/>
  <c r="BK83" i="14"/>
  <c r="CK117" i="4"/>
  <c r="AJ92" i="6" s="1"/>
  <c r="AI92" i="6"/>
  <c r="BE83" i="13"/>
  <c r="BE148" i="13"/>
  <c r="BE16" i="13" s="1"/>
  <c r="AH65" i="6"/>
  <c r="BN4" i="13"/>
  <c r="Z182" i="13"/>
  <c r="Z125" i="14" s="1"/>
  <c r="AE113" i="13"/>
  <c r="AT160" i="13"/>
  <c r="AT28" i="13" s="1"/>
  <c r="AJ106" i="13"/>
  <c r="AJ171" i="13"/>
  <c r="AJ114" i="14" s="1"/>
  <c r="CK96" i="4"/>
  <c r="AJ71" i="6" s="1"/>
  <c r="AI71" i="6"/>
  <c r="AX100" i="14"/>
  <c r="AX25" i="13"/>
  <c r="BC93" i="14"/>
  <c r="AK33" i="13"/>
  <c r="BK7" i="13"/>
  <c r="CK97" i="4"/>
  <c r="AJ72" i="6" s="1"/>
  <c r="AI72" i="6"/>
  <c r="BK8" i="13"/>
  <c r="AJ115" i="14"/>
  <c r="AQ34" i="13"/>
  <c r="AR34" i="13" s="1"/>
  <c r="AQ109" i="14"/>
  <c r="BG6" i="13"/>
  <c r="BH6" i="13" s="1"/>
  <c r="CK76" i="4"/>
  <c r="AJ50" i="6" s="1"/>
  <c r="AI50" i="6"/>
  <c r="AJ39" i="13"/>
  <c r="AM102" i="13"/>
  <c r="AM167" i="13"/>
  <c r="AM110" i="14" s="1"/>
  <c r="CK137" i="4"/>
  <c r="AJ112" i="6" s="1"/>
  <c r="AI112" i="6"/>
  <c r="W131" i="14"/>
  <c r="X131" i="14" s="1"/>
  <c r="G81" i="11"/>
  <c r="J80" i="11"/>
  <c r="I80" i="11"/>
  <c r="H80" i="11"/>
  <c r="CJ158" i="4"/>
  <c r="CK156" i="4"/>
  <c r="AI130" i="6"/>
  <c r="AM36" i="13"/>
  <c r="AA183" i="13"/>
  <c r="AA118" i="13" s="1"/>
  <c r="CK84" i="4"/>
  <c r="CJ90" i="4"/>
  <c r="AF28" i="5" s="1"/>
  <c r="AI58" i="6"/>
  <c r="AI65" i="6" s="1"/>
  <c r="AE46" i="13"/>
  <c r="BD80" i="13"/>
  <c r="AU90" i="13"/>
  <c r="AM111" i="14"/>
  <c r="BG9" i="13"/>
  <c r="AU92" i="14"/>
  <c r="AS19" i="13"/>
  <c r="AT19" i="13" s="1"/>
  <c r="CK113" i="4"/>
  <c r="AJ88" i="6" s="1"/>
  <c r="AI88" i="6"/>
  <c r="U126" i="13"/>
  <c r="AM169" i="13"/>
  <c r="AM104" i="13" s="1"/>
  <c r="AF112" i="13"/>
  <c r="Y116" i="13"/>
  <c r="CK133" i="4"/>
  <c r="AJ109" i="6" s="1"/>
  <c r="AI109" i="6"/>
  <c r="CK127" i="4"/>
  <c r="AJ103" i="6" s="1"/>
  <c r="AI103" i="6"/>
  <c r="CK86" i="4"/>
  <c r="AJ61" i="6" s="1"/>
  <c r="AI61" i="6"/>
  <c r="R62" i="13"/>
  <c r="CK138" i="4"/>
  <c r="AJ113" i="6" s="1"/>
  <c r="AI113" i="6"/>
  <c r="U134" i="14"/>
  <c r="B83" i="14"/>
  <c r="C83" i="14" s="1"/>
  <c r="B82" i="13"/>
  <c r="C82" i="13" s="1"/>
  <c r="B82" i="12"/>
  <c r="C82" i="12" s="1"/>
  <c r="AG179" i="13"/>
  <c r="AG122" i="14" s="1"/>
  <c r="CK115" i="4"/>
  <c r="AJ90" i="6" s="1"/>
  <c r="AI90" i="6"/>
  <c r="CK146" i="4"/>
  <c r="AJ118" i="6" s="1"/>
  <c r="AI118" i="6"/>
  <c r="BH72" i="13"/>
  <c r="BH137" i="13"/>
  <c r="BH5" i="13" s="1"/>
  <c r="E17" i="15"/>
  <c r="K20" i="4"/>
  <c r="K74" i="4"/>
  <c r="K147" i="4"/>
  <c r="K60" i="4"/>
  <c r="J13" i="6" a="1"/>
  <c r="J13" i="6" s="1"/>
  <c r="H10" i="5" a="1"/>
  <c r="H10" i="5" s="1"/>
  <c r="BE81" i="13"/>
  <c r="BE146" i="13"/>
  <c r="BE14" i="13" s="1"/>
  <c r="Z121" i="13"/>
  <c r="Z186" i="13"/>
  <c r="Z54" i="13" s="1"/>
  <c r="AU158" i="13"/>
  <c r="AU26" i="13" s="1"/>
  <c r="AO98" i="13"/>
  <c r="AO163" i="13"/>
  <c r="AO106" i="14" s="1"/>
  <c r="Z120" i="13"/>
  <c r="Z185" i="13"/>
  <c r="Z53" i="13" s="1"/>
  <c r="CK139" i="4"/>
  <c r="AJ114" i="6" s="1"/>
  <c r="AI114" i="6"/>
  <c r="CK129" i="4"/>
  <c r="AI105" i="6"/>
  <c r="AO102" i="14"/>
  <c r="BF12" i="13"/>
  <c r="AR101" i="13"/>
  <c r="AR166" i="13"/>
  <c r="CK140" i="4"/>
  <c r="AJ115" i="6" s="1"/>
  <c r="AI115" i="6"/>
  <c r="AY82" i="13"/>
  <c r="AY147" i="13"/>
  <c r="AY90" i="14" s="1"/>
  <c r="CJ153" i="4"/>
  <c r="AF33" i="5" s="1"/>
  <c r="CK152" i="4"/>
  <c r="AI125" i="6"/>
  <c r="AI127" i="6" s="1"/>
  <c r="R138" i="14"/>
  <c r="Q139" i="14"/>
  <c r="AH142" i="6"/>
  <c r="CK87" i="4"/>
  <c r="AJ62" i="6" s="1"/>
  <c r="AI62" i="6"/>
  <c r="CK99" i="4"/>
  <c r="AJ74" i="6" s="1"/>
  <c r="AI74" i="6"/>
  <c r="CK108" i="4"/>
  <c r="AJ83" i="6" s="1"/>
  <c r="AI83" i="6"/>
  <c r="CK98" i="4"/>
  <c r="AJ73" i="6" s="1"/>
  <c r="AI73" i="6"/>
  <c r="AM35" i="13"/>
  <c r="T61" i="13"/>
  <c r="AI44" i="13"/>
  <c r="AX22" i="13"/>
  <c r="V60" i="13"/>
  <c r="V135" i="14"/>
  <c r="CK124" i="4"/>
  <c r="AJ98" i="6" s="1"/>
  <c r="AI98" i="6"/>
  <c r="M135" i="12"/>
  <c r="M3" i="12"/>
  <c r="AZ78" i="14"/>
  <c r="CK106" i="4"/>
  <c r="AJ81" i="6" s="1"/>
  <c r="AI81" i="6"/>
  <c r="AI105" i="13"/>
  <c r="AI170" i="13"/>
  <c r="AI113" i="14" s="1"/>
  <c r="AU23" i="13"/>
  <c r="Z117" i="13"/>
  <c r="BC95" i="14"/>
  <c r="W189" i="13"/>
  <c r="W132" i="14" s="1"/>
  <c r="BF79" i="13"/>
  <c r="BF144" i="13"/>
  <c r="BF87" i="14" s="1"/>
  <c r="AJ42" i="13"/>
  <c r="AI111" i="13"/>
  <c r="AI176" i="13"/>
  <c r="AI119" i="14" s="1"/>
  <c r="Z187" i="13"/>
  <c r="Z55" i="13" s="1"/>
  <c r="W57" i="13"/>
  <c r="CK104" i="4"/>
  <c r="CJ118" i="4"/>
  <c r="AF32" i="5" s="1"/>
  <c r="AI79" i="6"/>
  <c r="CK100" i="4"/>
  <c r="AJ75" i="6" s="1"/>
  <c r="AI75" i="6"/>
  <c r="AN164" i="13"/>
  <c r="AN99" i="13" s="1"/>
  <c r="CK75" i="4"/>
  <c r="AJ49" i="6" s="1"/>
  <c r="AI49" i="6"/>
  <c r="CK89" i="4"/>
  <c r="AJ64" i="6" s="1"/>
  <c r="AI64" i="6"/>
  <c r="AT104" i="14"/>
  <c r="Z129" i="14"/>
  <c r="CK157" i="4"/>
  <c r="AJ134" i="6" s="1"/>
  <c r="AI134" i="6"/>
  <c r="AO31" i="13"/>
  <c r="AS94" i="14"/>
  <c r="CK85" i="4"/>
  <c r="AJ59" i="6" s="1"/>
  <c r="AI59" i="6"/>
  <c r="J167" i="4"/>
  <c r="J142" i="4"/>
  <c r="J141" i="4"/>
  <c r="AH93" i="6"/>
  <c r="BH81" i="14"/>
  <c r="CJ165" i="4"/>
  <c r="CK161" i="4"/>
  <c r="AI139" i="6"/>
  <c r="AI142" i="6" s="1"/>
  <c r="Q64" i="13"/>
  <c r="AM32" i="13"/>
  <c r="AM107" i="14"/>
  <c r="CK112" i="4"/>
  <c r="AJ87" i="6" s="1"/>
  <c r="AI87" i="6"/>
  <c r="V127" i="13"/>
  <c r="CK114" i="4"/>
  <c r="AJ89" i="6" s="1"/>
  <c r="AI89" i="6"/>
  <c r="AE43" i="13"/>
  <c r="CK126" i="4"/>
  <c r="AJ101" i="6" s="1"/>
  <c r="AI101" i="6"/>
  <c r="CK122" i="4"/>
  <c r="AJ97" i="6" s="1"/>
  <c r="AI97" i="6"/>
  <c r="CK145" i="4"/>
  <c r="AJ119" i="6" s="1"/>
  <c r="AI119" i="6"/>
  <c r="AW21" i="13"/>
  <c r="CK148" i="4"/>
  <c r="AJ120" i="6" s="1"/>
  <c r="AI120" i="6"/>
  <c r="Q63" i="13"/>
  <c r="R63" i="13" s="1"/>
  <c r="CK88" i="4"/>
  <c r="AJ63" i="6" s="1"/>
  <c r="AI63" i="6"/>
  <c r="CK94" i="4"/>
  <c r="AJ69" i="6" s="1"/>
  <c r="AI69" i="6"/>
  <c r="Z130" i="14"/>
  <c r="AW96" i="14"/>
  <c r="AW153" i="13"/>
  <c r="AW88" i="13" s="1"/>
  <c r="AV162" i="13"/>
  <c r="AV97" i="13" s="1"/>
  <c r="AY154" i="13" l="1"/>
  <c r="AY89" i="13" s="1"/>
  <c r="AB118" i="13"/>
  <c r="AB183" i="13"/>
  <c r="BO71" i="13"/>
  <c r="BO136" i="13"/>
  <c r="AO164" i="13"/>
  <c r="AO99" i="13" s="1"/>
  <c r="AN169" i="13"/>
  <c r="AN104" i="13" s="1"/>
  <c r="Y123" i="13"/>
  <c r="Y188" i="13"/>
  <c r="AD184" i="13"/>
  <c r="AD119" i="13" s="1"/>
  <c r="AF110" i="13"/>
  <c r="AF175" i="13"/>
  <c r="U128" i="13"/>
  <c r="U193" i="13"/>
  <c r="BI138" i="13"/>
  <c r="BI73" i="13" s="1"/>
  <c r="AW162" i="13"/>
  <c r="AW97" i="13" s="1"/>
  <c r="AX88" i="13"/>
  <c r="AX153" i="13"/>
  <c r="AX96" i="14" s="1"/>
  <c r="BH76" i="13"/>
  <c r="BH141" i="13"/>
  <c r="AK174" i="13"/>
  <c r="AK117" i="14" s="1"/>
  <c r="S129" i="13"/>
  <c r="S194" i="13"/>
  <c r="BG79" i="13"/>
  <c r="BG144" i="13"/>
  <c r="BG87" i="14" s="1"/>
  <c r="J15" i="6"/>
  <c r="J16" i="6" s="1"/>
  <c r="AL33" i="13"/>
  <c r="BF83" i="13"/>
  <c r="BF148" i="13"/>
  <c r="BF16" i="13" s="1"/>
  <c r="U136" i="14"/>
  <c r="I144" i="6" a="1"/>
  <c r="I144" i="6" s="1"/>
  <c r="G36" i="5" a="1"/>
  <c r="G36" i="5" s="1"/>
  <c r="CK165" i="4"/>
  <c r="AJ139" i="6"/>
  <c r="AJ142" i="6" s="1"/>
  <c r="W124" i="13"/>
  <c r="Z122" i="13"/>
  <c r="BD95" i="14"/>
  <c r="AV105" i="14"/>
  <c r="AI93" i="6"/>
  <c r="AJ176" i="13"/>
  <c r="AJ44" i="13" s="1"/>
  <c r="AU101" i="14"/>
  <c r="AN107" i="14"/>
  <c r="J149" i="4"/>
  <c r="G30" i="5" s="1" a="1"/>
  <c r="G30" i="5" s="1"/>
  <c r="G38" i="5" s="1"/>
  <c r="G40" i="5" s="1"/>
  <c r="G50" i="5" s="1"/>
  <c r="I116" i="6" a="1"/>
  <c r="I116" i="6" s="1"/>
  <c r="I121" i="6" s="1"/>
  <c r="I146" i="6" s="1"/>
  <c r="I148" i="6" s="1"/>
  <c r="AT94" i="14"/>
  <c r="AI38" i="13"/>
  <c r="AG114" i="13"/>
  <c r="S62" i="13"/>
  <c r="AV30" i="13"/>
  <c r="AW30" i="13" s="1"/>
  <c r="BE145" i="13"/>
  <c r="AI135" i="6"/>
  <c r="BI6" i="13"/>
  <c r="AK114" i="14"/>
  <c r="BE91" i="14"/>
  <c r="BF91" i="14" s="1"/>
  <c r="AD127" i="14"/>
  <c r="BB78" i="13"/>
  <c r="BB143" i="13"/>
  <c r="Y56" i="13"/>
  <c r="AD52" i="13"/>
  <c r="W127" i="13"/>
  <c r="W192" i="13"/>
  <c r="W60" i="13" s="1"/>
  <c r="AF43" i="13"/>
  <c r="AN32" i="13"/>
  <c r="AO32" i="13" s="1"/>
  <c r="I117" i="6" a="1"/>
  <c r="I117" i="6" s="1"/>
  <c r="AP31" i="13"/>
  <c r="CK118" i="4"/>
  <c r="AG32" i="5" s="1"/>
  <c r="AJ79" i="6"/>
  <c r="AJ93" i="6" s="1"/>
  <c r="AJ170" i="13"/>
  <c r="AJ113" i="14" s="1"/>
  <c r="U61" i="13"/>
  <c r="CK153" i="4"/>
  <c r="AG33" i="5" s="1"/>
  <c r="AJ125" i="6"/>
  <c r="AJ127" i="6" s="1"/>
  <c r="AS166" i="13"/>
  <c r="AS34" i="13" s="1"/>
  <c r="AP98" i="13"/>
  <c r="AP163" i="13"/>
  <c r="AP106" i="14" s="1"/>
  <c r="H12" i="5"/>
  <c r="H13" i="5" s="1"/>
  <c r="BI5" i="13"/>
  <c r="AG177" i="13"/>
  <c r="AG45" i="13" s="1"/>
  <c r="AF46" i="13"/>
  <c r="CK158" i="4"/>
  <c r="AJ130" i="6"/>
  <c r="AJ135" i="6" s="1"/>
  <c r="AR109" i="14"/>
  <c r="AT103" i="14"/>
  <c r="S137" i="14"/>
  <c r="BB11" i="13"/>
  <c r="BD20" i="13"/>
  <c r="BD152" i="13"/>
  <c r="BD87" i="13" s="1"/>
  <c r="AG120" i="14"/>
  <c r="BE89" i="14"/>
  <c r="BL74" i="13"/>
  <c r="BL139" i="13"/>
  <c r="BL7" i="13" s="1"/>
  <c r="AM112" i="14"/>
  <c r="AG180" i="13"/>
  <c r="AG115" i="13" s="1"/>
  <c r="BN77" i="13"/>
  <c r="AJ105" i="6"/>
  <c r="AU93" i="13"/>
  <c r="J33" i="6" a="1"/>
  <c r="J33" i="6" s="1"/>
  <c r="AM37" i="13"/>
  <c r="B84" i="14"/>
  <c r="C84" i="14" s="1"/>
  <c r="B83" i="13"/>
  <c r="C83" i="13" s="1"/>
  <c r="B83" i="12"/>
  <c r="C83" i="12" s="1"/>
  <c r="AT95" i="13"/>
  <c r="BL82" i="14"/>
  <c r="AE41" i="13"/>
  <c r="AE116" i="14"/>
  <c r="BA86" i="14"/>
  <c r="BB86" i="14" s="1"/>
  <c r="AU84" i="13"/>
  <c r="BG84" i="14"/>
  <c r="BH84" i="14" s="1"/>
  <c r="Z49" i="13"/>
  <c r="AT86" i="13"/>
  <c r="BI72" i="13"/>
  <c r="BI137" i="13"/>
  <c r="AY15" i="13"/>
  <c r="AP102" i="14"/>
  <c r="V134" i="14"/>
  <c r="V126" i="13"/>
  <c r="V191" i="13"/>
  <c r="V59" i="13" s="1"/>
  <c r="CK90" i="4"/>
  <c r="AG28" i="5" s="1"/>
  <c r="AJ58" i="6"/>
  <c r="AJ65" i="6" s="1"/>
  <c r="AN167" i="13"/>
  <c r="AN35" i="13" s="1"/>
  <c r="BL8" i="13"/>
  <c r="AY157" i="13"/>
  <c r="AY92" i="13" s="1"/>
  <c r="AF178" i="13"/>
  <c r="AF121" i="14" s="1"/>
  <c r="BD150" i="13"/>
  <c r="BD18" i="13" s="1"/>
  <c r="AF173" i="13"/>
  <c r="AF108" i="13" s="1"/>
  <c r="AL100" i="13"/>
  <c r="AL165" i="13"/>
  <c r="AL108" i="14" s="1"/>
  <c r="AA128" i="14"/>
  <c r="AU17" i="13"/>
  <c r="AU161" i="13"/>
  <c r="AU96" i="13" s="1"/>
  <c r="AF123" i="14"/>
  <c r="AG123" i="14" s="1"/>
  <c r="AE118" i="14"/>
  <c r="AF118" i="14" s="1"/>
  <c r="AK39" i="13"/>
  <c r="AK171" i="13"/>
  <c r="AK106" i="13" s="1"/>
  <c r="BN10" i="13"/>
  <c r="AZ3" i="13"/>
  <c r="AI76" i="6"/>
  <c r="U125" i="13"/>
  <c r="U190" i="13"/>
  <c r="U133" i="14" s="1"/>
  <c r="R64" i="13"/>
  <c r="AK172" i="13"/>
  <c r="AK40" i="13" s="1"/>
  <c r="M70" i="12"/>
  <c r="AX21" i="13"/>
  <c r="AA51" i="13"/>
  <c r="AB51" i="13" s="1"/>
  <c r="R139" i="14"/>
  <c r="AZ147" i="13"/>
  <c r="AZ82" i="13" s="1"/>
  <c r="AA186" i="13"/>
  <c r="AA129" i="14" s="1"/>
  <c r="J48" i="6" a="1"/>
  <c r="J48" i="6" s="1"/>
  <c r="BH9" i="13"/>
  <c r="BI81" i="14"/>
  <c r="AA182" i="13"/>
  <c r="AA125" i="14" s="1"/>
  <c r="AY22" i="13"/>
  <c r="AA126" i="14"/>
  <c r="AB126" i="14" s="1"/>
  <c r="K23" i="4"/>
  <c r="K21" i="4"/>
  <c r="H81" i="11"/>
  <c r="G82" i="11"/>
  <c r="J81" i="11"/>
  <c r="I81" i="11"/>
  <c r="Z50" i="13"/>
  <c r="AZ70" i="13"/>
  <c r="CK101" i="4"/>
  <c r="AG29" i="5" s="1"/>
  <c r="AJ68" i="6"/>
  <c r="AJ76" i="6" s="1"/>
  <c r="BY7" i="7"/>
  <c r="BZ3" i="7" s="1"/>
  <c r="BY4" i="7"/>
  <c r="BY6" i="7" s="1"/>
  <c r="R130" i="13"/>
  <c r="AA120" i="13"/>
  <c r="AA185" i="13"/>
  <c r="AA53" i="13" s="1"/>
  <c r="BF81" i="13"/>
  <c r="BF146" i="13"/>
  <c r="BF14" i="13" s="1"/>
  <c r="I71" i="12"/>
  <c r="E21" i="15"/>
  <c r="Z116" i="13"/>
  <c r="Z181" i="13"/>
  <c r="Z124" i="14" s="1"/>
  <c r="M13" i="14"/>
  <c r="AV155" i="13"/>
  <c r="AV98" i="14" s="1"/>
  <c r="AN168" i="13"/>
  <c r="AN103" i="13" s="1"/>
  <c r="Y131" i="14"/>
  <c r="BH80" i="14"/>
  <c r="BI80" i="14" s="1"/>
  <c r="BO4" i="13"/>
  <c r="AY97" i="14"/>
  <c r="AY99" i="14"/>
  <c r="AY24" i="13"/>
  <c r="AQ94" i="13"/>
  <c r="AQ159" i="13"/>
  <c r="AQ27" i="13" s="1"/>
  <c r="BO79" i="14"/>
  <c r="BL75" i="13"/>
  <c r="BL140" i="13"/>
  <c r="BL83" i="14" s="1"/>
  <c r="AO104" i="13" l="1"/>
  <c r="AO169" i="13"/>
  <c r="AO168" i="13"/>
  <c r="AO103" i="13" s="1"/>
  <c r="BJ138" i="13"/>
  <c r="BJ73" i="13" s="1"/>
  <c r="BE152" i="13"/>
  <c r="BE87" i="13" s="1"/>
  <c r="AP164" i="13"/>
  <c r="AP99" i="13" s="1"/>
  <c r="AL171" i="13"/>
  <c r="AL106" i="13" s="1"/>
  <c r="AG173" i="13"/>
  <c r="AG108" i="13" s="1"/>
  <c r="C84" i="12"/>
  <c r="AH115" i="13"/>
  <c r="AH180" i="13"/>
  <c r="AX162" i="13"/>
  <c r="AX97" i="13" s="1"/>
  <c r="AE119" i="13"/>
  <c r="AE184" i="13"/>
  <c r="BA147" i="13"/>
  <c r="BA82" i="13" s="1"/>
  <c r="AV161" i="13"/>
  <c r="AV96" i="13" s="1"/>
  <c r="AZ89" i="13"/>
  <c r="AZ154" i="13"/>
  <c r="BM8" i="13"/>
  <c r="BE20" i="13"/>
  <c r="B85" i="14"/>
  <c r="C85" i="14" s="1"/>
  <c r="B84" i="13"/>
  <c r="C84" i="13" s="1"/>
  <c r="B84" i="12"/>
  <c r="AN111" i="14"/>
  <c r="AO111" i="14" s="1"/>
  <c r="BJ81" i="14"/>
  <c r="AN102" i="13"/>
  <c r="AO167" i="13" s="1"/>
  <c r="AO35" i="13" s="1"/>
  <c r="AA49" i="13"/>
  <c r="AA181" i="13"/>
  <c r="AF41" i="13"/>
  <c r="AN112" i="14"/>
  <c r="AO112" i="14" s="1"/>
  <c r="AL114" i="14"/>
  <c r="AZ156" i="13"/>
  <c r="AZ91" i="13" s="1"/>
  <c r="AN36" i="13"/>
  <c r="AO36" i="13" s="1"/>
  <c r="AA117" i="13"/>
  <c r="AK107" i="13"/>
  <c r="AU29" i="13"/>
  <c r="AV29" i="13" s="1"/>
  <c r="AS101" i="13"/>
  <c r="AE52" i="13"/>
  <c r="AH179" i="13"/>
  <c r="AU104" i="14"/>
  <c r="AV104" i="14" s="1"/>
  <c r="AK109" i="13"/>
  <c r="AA54" i="13"/>
  <c r="AZ90" i="14"/>
  <c r="AZ97" i="14"/>
  <c r="AV90" i="13"/>
  <c r="K49" i="4"/>
  <c r="BD85" i="13"/>
  <c r="BO142" i="13"/>
  <c r="BO85" i="14" s="1"/>
  <c r="AG112" i="13"/>
  <c r="U58" i="13"/>
  <c r="AJ38" i="13"/>
  <c r="AO107" i="14"/>
  <c r="AJ111" i="13"/>
  <c r="W135" i="14"/>
  <c r="AJ119" i="14"/>
  <c r="AG48" i="13"/>
  <c r="AH48" i="13" s="1"/>
  <c r="BM75" i="13"/>
  <c r="BM140" i="13"/>
  <c r="BM83" i="14" s="1"/>
  <c r="BG146" i="13"/>
  <c r="BG14" i="13" s="1"/>
  <c r="AY100" i="14"/>
  <c r="AQ102" i="14"/>
  <c r="AV149" i="13"/>
  <c r="AU95" i="13"/>
  <c r="AU160" i="13"/>
  <c r="AU28" i="13" s="1"/>
  <c r="AN37" i="13"/>
  <c r="AO37" i="13" s="1"/>
  <c r="BM139" i="13"/>
  <c r="BM7" i="13" s="1"/>
  <c r="BJ5" i="13"/>
  <c r="BJ6" i="13"/>
  <c r="T194" i="13"/>
  <c r="T137" i="14" s="1"/>
  <c r="BI76" i="13"/>
  <c r="BI141" i="13"/>
  <c r="BI9" i="13" s="1"/>
  <c r="AR94" i="13"/>
  <c r="AR159" i="13"/>
  <c r="AR27" i="13" s="1"/>
  <c r="BJ72" i="13"/>
  <c r="BJ137" i="13"/>
  <c r="BZ4" i="7"/>
  <c r="BZ7" i="7"/>
  <c r="CA3" i="7" s="1"/>
  <c r="AF116" i="14"/>
  <c r="AG116" i="14" s="1"/>
  <c r="BA135" i="13"/>
  <c r="BA3" i="13" s="1"/>
  <c r="K25" i="4"/>
  <c r="K24" i="4"/>
  <c r="BP4" i="13"/>
  <c r="AA124" i="14"/>
  <c r="AA50" i="13"/>
  <c r="V133" i="14"/>
  <c r="AF113" i="13"/>
  <c r="AZ15" i="13"/>
  <c r="BA15" i="13" s="1"/>
  <c r="BD93" i="14"/>
  <c r="BF89" i="14"/>
  <c r="AS109" i="14"/>
  <c r="V61" i="13"/>
  <c r="AP32" i="13"/>
  <c r="AK42" i="13"/>
  <c r="J170" i="4"/>
  <c r="J172" i="4" s="1"/>
  <c r="J179" i="4" s="1"/>
  <c r="AW105" i="14"/>
  <c r="AX105" i="14" s="1"/>
  <c r="X124" i="13"/>
  <c r="X189" i="13"/>
  <c r="V136" i="14"/>
  <c r="BG12" i="13"/>
  <c r="J82" i="11"/>
  <c r="I82" i="11"/>
  <c r="H82" i="11"/>
  <c r="G83" i="11"/>
  <c r="AH123" i="14"/>
  <c r="W191" i="13"/>
  <c r="W126" i="13" s="1"/>
  <c r="AV158" i="13"/>
  <c r="AV26" i="13" s="1"/>
  <c r="AQ98" i="13"/>
  <c r="AQ163" i="13"/>
  <c r="AQ106" i="14" s="1"/>
  <c r="I4" i="12"/>
  <c r="E22" i="15"/>
  <c r="AU151" i="13"/>
  <c r="BJ80" i="14"/>
  <c r="AA116" i="13"/>
  <c r="AB185" i="13"/>
  <c r="AB128" i="14" s="1"/>
  <c r="AY21" i="13"/>
  <c r="V125" i="13"/>
  <c r="V190" i="13"/>
  <c r="AL39" i="13"/>
  <c r="AM100" i="13"/>
  <c r="AM165" i="13"/>
  <c r="AM108" i="14" s="1"/>
  <c r="AZ92" i="13"/>
  <c r="AZ157" i="13"/>
  <c r="BC86" i="14"/>
  <c r="AK115" i="14"/>
  <c r="AG43" i="13"/>
  <c r="AG175" i="13"/>
  <c r="AG118" i="14" s="1"/>
  <c r="BC78" i="13"/>
  <c r="BC143" i="13"/>
  <c r="BC11" i="13" s="1"/>
  <c r="BE88" i="14"/>
  <c r="BE13" i="13"/>
  <c r="S195" i="13"/>
  <c r="R131" i="13"/>
  <c r="AZ22" i="13"/>
  <c r="AA121" i="13"/>
  <c r="AY25" i="13"/>
  <c r="W59" i="13"/>
  <c r="AN110" i="14"/>
  <c r="AJ105" i="13"/>
  <c r="AE127" i="14"/>
  <c r="BE80" i="13"/>
  <c r="N135" i="12"/>
  <c r="N70" i="12" s="1"/>
  <c r="V128" i="13"/>
  <c r="V193" i="13"/>
  <c r="BP136" i="13"/>
  <c r="BP79" i="14" s="1"/>
  <c r="AC118" i="13"/>
  <c r="AC183" i="13"/>
  <c r="AC51" i="13" s="1"/>
  <c r="AX30" i="13"/>
  <c r="BE95" i="14"/>
  <c r="BG148" i="13"/>
  <c r="BG91" i="14" s="1"/>
  <c r="Z188" i="13"/>
  <c r="Z131" i="14" s="1"/>
  <c r="X127" i="13"/>
  <c r="X192" i="13"/>
  <c r="X60" i="13" s="1"/>
  <c r="T62" i="13"/>
  <c r="AV23" i="13"/>
  <c r="AA187" i="13"/>
  <c r="AM33" i="13"/>
  <c r="BH79" i="13"/>
  <c r="BH144" i="13"/>
  <c r="BH87" i="14" s="1"/>
  <c r="AY153" i="13"/>
  <c r="AY96" i="14" s="1"/>
  <c r="AG110" i="13"/>
  <c r="BF152" i="13" l="1"/>
  <c r="BF20" i="13" s="1"/>
  <c r="AW161" i="13"/>
  <c r="AW96" i="13" s="1"/>
  <c r="AM171" i="13"/>
  <c r="AM106" i="13" s="1"/>
  <c r="AY162" i="13"/>
  <c r="AY97" i="13" s="1"/>
  <c r="BK73" i="13"/>
  <c r="BK138" i="13"/>
  <c r="AP168" i="13"/>
  <c r="AP111" i="14" s="1"/>
  <c r="BB82" i="13"/>
  <c r="BB147" i="13"/>
  <c r="BD11" i="13"/>
  <c r="AH173" i="13"/>
  <c r="AH108" i="13" s="1"/>
  <c r="BI87" i="14"/>
  <c r="AQ164" i="13"/>
  <c r="AQ99" i="13" s="1"/>
  <c r="X191" i="13"/>
  <c r="X126" i="13" s="1"/>
  <c r="BI79" i="13"/>
  <c r="BI144" i="13"/>
  <c r="BF80" i="13"/>
  <c r="BF145" i="13"/>
  <c r="BD143" i="13"/>
  <c r="BD78" i="13" s="1"/>
  <c r="AU19" i="13"/>
  <c r="AC126" i="14"/>
  <c r="AD126" i="14" s="1"/>
  <c r="AU86" i="13"/>
  <c r="AV93" i="13"/>
  <c r="BH12" i="13"/>
  <c r="BI12" i="13" s="1"/>
  <c r="AQ32" i="13"/>
  <c r="Z56" i="13"/>
  <c r="AZ100" i="14"/>
  <c r="BO77" i="13"/>
  <c r="K50" i="4"/>
  <c r="K72" i="4"/>
  <c r="AH122" i="14"/>
  <c r="AH47" i="13"/>
  <c r="AL107" i="13"/>
  <c r="AL172" i="13"/>
  <c r="AL40" i="13" s="1"/>
  <c r="AZ24" i="13"/>
  <c r="AB53" i="13"/>
  <c r="S196" i="13"/>
  <c r="S63" i="13"/>
  <c r="S138" i="14"/>
  <c r="BA157" i="13"/>
  <c r="BA92" i="13" s="1"/>
  <c r="AV92" i="14"/>
  <c r="X135" i="14"/>
  <c r="BM82" i="14"/>
  <c r="AH114" i="13"/>
  <c r="BO10" i="13"/>
  <c r="AD118" i="13"/>
  <c r="AD183" i="13"/>
  <c r="AD51" i="13" s="1"/>
  <c r="Z123" i="13"/>
  <c r="AA130" i="14"/>
  <c r="AA55" i="13"/>
  <c r="BP71" i="13"/>
  <c r="AK105" i="13"/>
  <c r="AK170" i="13"/>
  <c r="AK113" i="14" s="1"/>
  <c r="W136" i="14"/>
  <c r="W61" i="13"/>
  <c r="BA78" i="14"/>
  <c r="W134" i="14"/>
  <c r="X134" i="14" s="1"/>
  <c r="AS159" i="13"/>
  <c r="AA122" i="13"/>
  <c r="BG83" i="13"/>
  <c r="AO110" i="14"/>
  <c r="S130" i="13"/>
  <c r="AB120" i="13"/>
  <c r="X132" i="14"/>
  <c r="Y132" i="14" s="1"/>
  <c r="X57" i="13"/>
  <c r="Y57" i="13" s="1"/>
  <c r="BA70" i="13"/>
  <c r="CA7" i="7"/>
  <c r="CB3" i="7" s="1"/>
  <c r="CA4" i="7"/>
  <c r="CA6" i="7" s="1"/>
  <c r="AU103" i="14"/>
  <c r="AV84" i="13"/>
  <c r="AK176" i="13"/>
  <c r="AK44" i="13" s="1"/>
  <c r="BI84" i="14"/>
  <c r="AW155" i="13"/>
  <c r="AW98" i="14" s="1"/>
  <c r="AM114" i="14"/>
  <c r="BK81" i="14"/>
  <c r="AQ31" i="13"/>
  <c r="AP107" i="14"/>
  <c r="BM74" i="13"/>
  <c r="AR102" i="14"/>
  <c r="BG81" i="13"/>
  <c r="AK38" i="13"/>
  <c r="BE150" i="13"/>
  <c r="BE18" i="13" s="1"/>
  <c r="BA90" i="14"/>
  <c r="BB90" i="14" s="1"/>
  <c r="AT166" i="13"/>
  <c r="AT34" i="13" s="1"/>
  <c r="AZ99" i="14"/>
  <c r="AG41" i="13"/>
  <c r="AH41" i="13" s="1"/>
  <c r="BG16" i="13"/>
  <c r="W128" i="13"/>
  <c r="W193" i="13"/>
  <c r="AB181" i="13"/>
  <c r="AB124" i="14" s="1"/>
  <c r="BG89" i="14"/>
  <c r="AY30" i="13"/>
  <c r="N3" i="12"/>
  <c r="AZ25" i="13"/>
  <c r="BA25" i="13" s="1"/>
  <c r="BF13" i="13"/>
  <c r="AM39" i="13"/>
  <c r="J136" i="12"/>
  <c r="I65" i="12"/>
  <c r="G84" i="11"/>
  <c r="J83" i="11"/>
  <c r="I83" i="11"/>
  <c r="H83" i="11"/>
  <c r="AY105" i="14"/>
  <c r="BE93" i="14"/>
  <c r="AY88" i="13"/>
  <c r="BF88" i="14"/>
  <c r="B86" i="14"/>
  <c r="C86" i="14" s="1"/>
  <c r="B85" i="13"/>
  <c r="C85" i="13" s="1"/>
  <c r="B85" i="12"/>
  <c r="BB15" i="13"/>
  <c r="N13" i="14"/>
  <c r="T129" i="13"/>
  <c r="V58" i="13"/>
  <c r="AV17" i="13"/>
  <c r="AB117" i="13"/>
  <c r="AB182" i="13"/>
  <c r="AB125" i="14" s="1"/>
  <c r="AH110" i="13"/>
  <c r="AH175" i="13"/>
  <c r="AH43" i="13" s="1"/>
  <c r="X59" i="13"/>
  <c r="AN165" i="13"/>
  <c r="AN108" i="14" s="1"/>
  <c r="E23" i="15"/>
  <c r="K40" i="4"/>
  <c r="E34" i="15"/>
  <c r="AI123" i="14"/>
  <c r="Y124" i="13"/>
  <c r="Y189" i="13"/>
  <c r="BZ6" i="7"/>
  <c r="BJ141" i="13"/>
  <c r="BJ76" i="13" s="1"/>
  <c r="Y127" i="13"/>
  <c r="Y192" i="13"/>
  <c r="Y60" i="13" s="1"/>
  <c r="AU94" i="14"/>
  <c r="AB186" i="13"/>
  <c r="AB129" i="14" s="1"/>
  <c r="AL115" i="14"/>
  <c r="W190" i="13"/>
  <c r="W125" i="13" s="1"/>
  <c r="AR98" i="13"/>
  <c r="AR163" i="13"/>
  <c r="AR106" i="14" s="1"/>
  <c r="G44" i="5" a="1"/>
  <c r="G44" i="5" s="1"/>
  <c r="I155" i="6" a="1"/>
  <c r="I155" i="6" s="1"/>
  <c r="AG113" i="13"/>
  <c r="AG178" i="13"/>
  <c r="BK137" i="13"/>
  <c r="BK72" i="13" s="1"/>
  <c r="AV101" i="14"/>
  <c r="AV160" i="13"/>
  <c r="AV28" i="13" s="1"/>
  <c r="BN140" i="13"/>
  <c r="BN83" i="14" s="1"/>
  <c r="AH177" i="13"/>
  <c r="AH112" i="13" s="1"/>
  <c r="AL174" i="13"/>
  <c r="AL117" i="14" s="1"/>
  <c r="AB49" i="13"/>
  <c r="BA154" i="13"/>
  <c r="BA89" i="13" s="1"/>
  <c r="AI180" i="13"/>
  <c r="AI115" i="13" s="1"/>
  <c r="W133" i="14"/>
  <c r="K26" i="4"/>
  <c r="H15" i="5" a="1"/>
  <c r="H15" i="5" s="1"/>
  <c r="J18" i="6" a="1"/>
  <c r="J18" i="6" s="1"/>
  <c r="BK6" i="13"/>
  <c r="AV95" i="13"/>
  <c r="AI48" i="13"/>
  <c r="AW104" i="14"/>
  <c r="AW29" i="13"/>
  <c r="BA156" i="13"/>
  <c r="BA91" i="13" s="1"/>
  <c r="AO102" i="13"/>
  <c r="AF184" i="13"/>
  <c r="AF119" i="13" s="1"/>
  <c r="C85" i="12"/>
  <c r="AP169" i="13"/>
  <c r="AP112" i="14" s="1"/>
  <c r="X190" i="13" l="1"/>
  <c r="X125" i="13" s="1"/>
  <c r="Y191" i="13"/>
  <c r="Y126" i="13" s="1"/>
  <c r="AJ115" i="13"/>
  <c r="AJ180" i="13"/>
  <c r="BB156" i="13"/>
  <c r="BB91" i="13" s="1"/>
  <c r="AZ97" i="13"/>
  <c r="AZ162" i="13"/>
  <c r="BK76" i="13"/>
  <c r="BK141" i="13"/>
  <c r="BB157" i="13"/>
  <c r="BB92" i="13" s="1"/>
  <c r="BL72" i="13"/>
  <c r="BL137" i="13"/>
  <c r="C87" i="14"/>
  <c r="BE78" i="13"/>
  <c r="BE143" i="13"/>
  <c r="AN106" i="13"/>
  <c r="AN171" i="13"/>
  <c r="AX161" i="13"/>
  <c r="AX96" i="13" s="1"/>
  <c r="AG119" i="13"/>
  <c r="AG184" i="13"/>
  <c r="AI177" i="13"/>
  <c r="AI112" i="13" s="1"/>
  <c r="AJ48" i="13"/>
  <c r="AL109" i="13"/>
  <c r="U194" i="13"/>
  <c r="AR31" i="13"/>
  <c r="AT109" i="14"/>
  <c r="BK5" i="13"/>
  <c r="AA123" i="13"/>
  <c r="AA188" i="13"/>
  <c r="AA131" i="14" s="1"/>
  <c r="AI179" i="13"/>
  <c r="AI114" i="13" s="1"/>
  <c r="BA24" i="13"/>
  <c r="BB24" i="13" s="1"/>
  <c r="AK119" i="14"/>
  <c r="BG80" i="13"/>
  <c r="BG145" i="13"/>
  <c r="AI110" i="13"/>
  <c r="AI175" i="13"/>
  <c r="AI43" i="13" s="1"/>
  <c r="AZ105" i="14"/>
  <c r="BK80" i="14"/>
  <c r="BL80" i="14" s="1"/>
  <c r="AT101" i="13"/>
  <c r="AS102" i="14"/>
  <c r="BA97" i="14"/>
  <c r="AK111" i="13"/>
  <c r="S64" i="13"/>
  <c r="AM40" i="13"/>
  <c r="BA100" i="14"/>
  <c r="BJ9" i="13"/>
  <c r="BK9" i="13" s="1"/>
  <c r="AP103" i="13"/>
  <c r="AH118" i="14"/>
  <c r="AI118" i="14" s="1"/>
  <c r="BF87" i="13"/>
  <c r="BL6" i="13"/>
  <c r="B87" i="14"/>
  <c r="B86" i="13"/>
  <c r="C86" i="13" s="1"/>
  <c r="B86" i="12"/>
  <c r="C86" i="12" s="1"/>
  <c r="AN39" i="13"/>
  <c r="AB116" i="13"/>
  <c r="BN74" i="13"/>
  <c r="BN139" i="13"/>
  <c r="BN7" i="13" s="1"/>
  <c r="BL81" i="14"/>
  <c r="AW149" i="13"/>
  <c r="BD86" i="14"/>
  <c r="BE86" i="14" s="1"/>
  <c r="Y135" i="14"/>
  <c r="Z135" i="14" s="1"/>
  <c r="AN33" i="13"/>
  <c r="AM172" i="13"/>
  <c r="AM107" i="13" s="1"/>
  <c r="AA56" i="13"/>
  <c r="AF127" i="14"/>
  <c r="AG127" i="14" s="1"/>
  <c r="BJ144" i="13"/>
  <c r="BJ87" i="14" s="1"/>
  <c r="AL42" i="13"/>
  <c r="Z127" i="13"/>
  <c r="Z192" i="13"/>
  <c r="Z60" i="13" s="1"/>
  <c r="E40" i="15"/>
  <c r="E36" i="15"/>
  <c r="E35" i="15"/>
  <c r="E37" i="15" s="1"/>
  <c r="K43" i="4"/>
  <c r="AC117" i="13"/>
  <c r="AC182" i="13"/>
  <c r="AC125" i="14" s="1"/>
  <c r="BG13" i="13"/>
  <c r="BC90" i="14"/>
  <c r="AN114" i="14"/>
  <c r="AV103" i="14"/>
  <c r="AC185" i="13"/>
  <c r="AC128" i="14" s="1"/>
  <c r="AS94" i="13"/>
  <c r="AW92" i="14"/>
  <c r="AH116" i="14"/>
  <c r="AS27" i="13"/>
  <c r="AH113" i="13"/>
  <c r="AH178" i="13"/>
  <c r="E47" i="15"/>
  <c r="E48" i="15"/>
  <c r="K33" i="4"/>
  <c r="AB54" i="13"/>
  <c r="BB25" i="13"/>
  <c r="X193" i="13"/>
  <c r="X128" i="13" s="1"/>
  <c r="AF52" i="13"/>
  <c r="AG52" i="13" s="1"/>
  <c r="T130" i="13"/>
  <c r="T195" i="13"/>
  <c r="T196" i="13" s="1"/>
  <c r="S131" i="13"/>
  <c r="Y134" i="14"/>
  <c r="AL105" i="13"/>
  <c r="AE118" i="13"/>
  <c r="AE183" i="13"/>
  <c r="AE126" i="14" s="1"/>
  <c r="BA22" i="13"/>
  <c r="AI122" i="14"/>
  <c r="AR32" i="13"/>
  <c r="AR164" i="13"/>
  <c r="AR99" i="13" s="1"/>
  <c r="BE11" i="13"/>
  <c r="BC82" i="13"/>
  <c r="BC147" i="13"/>
  <c r="BC15" i="13" s="1"/>
  <c r="BL73" i="13"/>
  <c r="BL138" i="13"/>
  <c r="AX29" i="13"/>
  <c r="AB121" i="13"/>
  <c r="AW17" i="13"/>
  <c r="I84" i="11"/>
  <c r="H84" i="11"/>
  <c r="G85" i="11"/>
  <c r="J84" i="11"/>
  <c r="CB7" i="7"/>
  <c r="CC3" i="7" s="1"/>
  <c r="CB4" i="7"/>
  <c r="BQ136" i="13"/>
  <c r="AW23" i="13"/>
  <c r="BJ12" i="13"/>
  <c r="X133" i="14"/>
  <c r="AJ123" i="14"/>
  <c r="J196" i="12"/>
  <c r="J14" i="14"/>
  <c r="J71" i="12"/>
  <c r="AW160" i="13"/>
  <c r="AW28" i="13" s="1"/>
  <c r="AH120" i="14"/>
  <c r="AH45" i="13"/>
  <c r="AI45" i="13" s="1"/>
  <c r="AP102" i="13"/>
  <c r="AP167" i="13"/>
  <c r="AP35" i="13" s="1"/>
  <c r="AG121" i="14"/>
  <c r="AH121" i="14" s="1"/>
  <c r="AG46" i="13"/>
  <c r="AH46" i="13" s="1"/>
  <c r="AM115" i="14"/>
  <c r="J19" i="6"/>
  <c r="BN75" i="13"/>
  <c r="H16" i="5"/>
  <c r="O135" i="12"/>
  <c r="O13" i="14" s="1"/>
  <c r="O3" i="12"/>
  <c r="BH148" i="13"/>
  <c r="BH91" i="14" s="1"/>
  <c r="BE85" i="13"/>
  <c r="AQ107" i="14"/>
  <c r="AR107" i="14" s="1"/>
  <c r="BF95" i="14"/>
  <c r="K77" i="4"/>
  <c r="J45" i="6" a="1"/>
  <c r="J45" i="6" s="1"/>
  <c r="AP104" i="13"/>
  <c r="AX104" i="14"/>
  <c r="AP36" i="13"/>
  <c r="AN100" i="13"/>
  <c r="W58" i="13"/>
  <c r="X58" i="13" s="1"/>
  <c r="BG88" i="14"/>
  <c r="AI173" i="13"/>
  <c r="AI41" i="13" s="1"/>
  <c r="AL170" i="13"/>
  <c r="AL113" i="14" s="1"/>
  <c r="AW90" i="13"/>
  <c r="BB70" i="13"/>
  <c r="BB135" i="13"/>
  <c r="BB78" i="14" s="1"/>
  <c r="BH83" i="13"/>
  <c r="AB55" i="13"/>
  <c r="BN8" i="13"/>
  <c r="AC53" i="13"/>
  <c r="AW158" i="13"/>
  <c r="AW26" i="13" s="1"/>
  <c r="Z124" i="13"/>
  <c r="Z189" i="13"/>
  <c r="Z132" i="14" s="1"/>
  <c r="Y59" i="13"/>
  <c r="AP37" i="13"/>
  <c r="AZ153" i="13"/>
  <c r="J4" i="12"/>
  <c r="AZ30" i="13"/>
  <c r="BA99" i="14"/>
  <c r="BB99" i="14" s="1"/>
  <c r="BH146" i="13"/>
  <c r="BH14" i="13" s="1"/>
  <c r="BJ84" i="14"/>
  <c r="BK84" i="14" s="1"/>
  <c r="AB187" i="13"/>
  <c r="AB130" i="14" s="1"/>
  <c r="AB50" i="13"/>
  <c r="AC50" i="13" s="1"/>
  <c r="BP10" i="13"/>
  <c r="S139" i="14"/>
  <c r="BP142" i="13"/>
  <c r="BP85" i="14" s="1"/>
  <c r="AV86" i="13"/>
  <c r="AV151" i="13"/>
  <c r="AV94" i="14" s="1"/>
  <c r="E41" i="15" l="1"/>
  <c r="AJ177" i="13"/>
  <c r="AJ112" i="13" s="1"/>
  <c r="Y128" i="13"/>
  <c r="Y193" i="13"/>
  <c r="AS164" i="13"/>
  <c r="AS32" i="13" s="1"/>
  <c r="AN172" i="13"/>
  <c r="AN107" i="13" s="1"/>
  <c r="AJ179" i="13"/>
  <c r="AJ114" i="13" s="1"/>
  <c r="AA60" i="13"/>
  <c r="C87" i="12"/>
  <c r="BC91" i="13"/>
  <c r="BC156" i="13"/>
  <c r="BD15" i="13"/>
  <c r="AD125" i="14"/>
  <c r="AY161" i="13"/>
  <c r="AY29" i="13" s="1"/>
  <c r="BC157" i="13"/>
  <c r="BC92" i="13" s="1"/>
  <c r="Z191" i="13"/>
  <c r="Z126" i="13" s="1"/>
  <c r="Y190" i="13"/>
  <c r="Y125" i="13" s="1"/>
  <c r="CB6" i="7"/>
  <c r="AC186" i="13"/>
  <c r="AC129" i="14" s="1"/>
  <c r="AC54" i="13"/>
  <c r="AI178" i="13"/>
  <c r="AI113" i="13" s="1"/>
  <c r="AT94" i="13"/>
  <c r="AT159" i="13"/>
  <c r="AD117" i="13"/>
  <c r="AD182" i="13"/>
  <c r="BG152" i="13"/>
  <c r="BG20" i="13" s="1"/>
  <c r="X136" i="14"/>
  <c r="Y136" i="14" s="1"/>
  <c r="BH80" i="13"/>
  <c r="BH145" i="13"/>
  <c r="AB188" i="13"/>
  <c r="AB123" i="13" s="1"/>
  <c r="U137" i="14"/>
  <c r="U62" i="13"/>
  <c r="AH119" i="13"/>
  <c r="AH184" i="13"/>
  <c r="AE51" i="13"/>
  <c r="BA162" i="13"/>
  <c r="BA105" i="14" s="1"/>
  <c r="AK180" i="13"/>
  <c r="AK123" i="14" s="1"/>
  <c r="BD147" i="13"/>
  <c r="BD82" i="13" s="1"/>
  <c r="Y58" i="13"/>
  <c r="AQ167" i="13"/>
  <c r="AQ35" i="13" s="1"/>
  <c r="AO165" i="13"/>
  <c r="AO108" i="14" s="1"/>
  <c r="K54" i="4"/>
  <c r="E46" i="15"/>
  <c r="E29" i="15"/>
  <c r="Z57" i="13"/>
  <c r="X61" i="13"/>
  <c r="Y61" i="13" s="1"/>
  <c r="U129" i="13"/>
  <c r="AA189" i="13"/>
  <c r="AA132" i="14" s="1"/>
  <c r="AI46" i="13"/>
  <c r="AW151" i="13"/>
  <c r="AW86" i="13" s="1"/>
  <c r="AZ96" i="14"/>
  <c r="AZ21" i="13"/>
  <c r="BC135" i="13"/>
  <c r="AB122" i="13"/>
  <c r="AZ88" i="13"/>
  <c r="AW93" i="13"/>
  <c r="AX158" i="13" s="1"/>
  <c r="AX26" i="13" s="1"/>
  <c r="J51" i="6"/>
  <c r="BO140" i="13"/>
  <c r="BO83" i="14" s="1"/>
  <c r="AT27" i="13"/>
  <c r="BP77" i="13"/>
  <c r="AX155" i="13"/>
  <c r="AX98" i="14" s="1"/>
  <c r="BH16" i="13"/>
  <c r="AI120" i="14"/>
  <c r="AJ120" i="14" s="1"/>
  <c r="BB154" i="13"/>
  <c r="BB89" i="13" s="1"/>
  <c r="AH52" i="13"/>
  <c r="AV19" i="13"/>
  <c r="AW19" i="13" s="1"/>
  <c r="AC120" i="13"/>
  <c r="AW84" i="13"/>
  <c r="AQ168" i="13"/>
  <c r="AQ111" i="14" s="1"/>
  <c r="AL176" i="13"/>
  <c r="AL44" i="13" s="1"/>
  <c r="AL119" i="14"/>
  <c r="BL5" i="13"/>
  <c r="AM174" i="13"/>
  <c r="AM117" i="14" s="1"/>
  <c r="BM73" i="13"/>
  <c r="BM138" i="13"/>
  <c r="BF150" i="13"/>
  <c r="J23" i="6" a="1"/>
  <c r="J23" i="6" s="1"/>
  <c r="H18" i="5" a="1"/>
  <c r="H18" i="5" s="1"/>
  <c r="AI116" i="14"/>
  <c r="AW103" i="14"/>
  <c r="AA127" i="13"/>
  <c r="AA192" i="13"/>
  <c r="AO33" i="13"/>
  <c r="BM81" i="14"/>
  <c r="BL9" i="13"/>
  <c r="BC24" i="13"/>
  <c r="AK48" i="13"/>
  <c r="Y133" i="14"/>
  <c r="CC7" i="7"/>
  <c r="CD3" i="7" s="1"/>
  <c r="CC4" i="7"/>
  <c r="CC6" i="7" s="1"/>
  <c r="AJ122" i="14"/>
  <c r="U130" i="13"/>
  <c r="U195" i="13"/>
  <c r="U196" i="13" s="1"/>
  <c r="T131" i="13"/>
  <c r="Z59" i="13"/>
  <c r="BG95" i="14"/>
  <c r="P135" i="12"/>
  <c r="P3" i="12" s="1"/>
  <c r="T138" i="14"/>
  <c r="BH81" i="13"/>
  <c r="AL38" i="13"/>
  <c r="O70" i="12"/>
  <c r="AN115" i="14"/>
  <c r="AW95" i="13"/>
  <c r="G86" i="11"/>
  <c r="J85" i="11"/>
  <c r="I85" i="11"/>
  <c r="H85" i="11"/>
  <c r="AF183" i="13"/>
  <c r="AF118" i="13" s="1"/>
  <c r="AI47" i="13"/>
  <c r="AJ47" i="13" s="1"/>
  <c r="AA135" i="14"/>
  <c r="BO7" i="13"/>
  <c r="BB100" i="14"/>
  <c r="T63" i="13"/>
  <c r="U63" i="13" s="1"/>
  <c r="AO171" i="13"/>
  <c r="AO106" i="13" s="1"/>
  <c r="BL141" i="13"/>
  <c r="BL84" i="14" s="1"/>
  <c r="AT102" i="14"/>
  <c r="AJ175" i="13"/>
  <c r="AJ110" i="13" s="1"/>
  <c r="AS163" i="13"/>
  <c r="AI108" i="13"/>
  <c r="BM137" i="13"/>
  <c r="BM72" i="13" s="1"/>
  <c r="BQ79" i="14"/>
  <c r="BQ4" i="13"/>
  <c r="BM6" i="13"/>
  <c r="AY104" i="14"/>
  <c r="AI121" i="14"/>
  <c r="J74" i="14"/>
  <c r="J4" i="14" s="1"/>
  <c r="BQ71" i="13"/>
  <c r="Z134" i="14"/>
  <c r="BH13" i="13"/>
  <c r="BJ79" i="13"/>
  <c r="AC181" i="13"/>
  <c r="AU101" i="13"/>
  <c r="AU166" i="13"/>
  <c r="AU34" i="13" s="1"/>
  <c r="BC99" i="14"/>
  <c r="K71" i="12"/>
  <c r="J131" i="12"/>
  <c r="F26" i="15" s="1"/>
  <c r="B88" i="14"/>
  <c r="C88" i="14" s="1"/>
  <c r="B87" i="13"/>
  <c r="C87" i="13" s="1"/>
  <c r="B87" i="12"/>
  <c r="AM170" i="13"/>
  <c r="AM113" i="14" s="1"/>
  <c r="BD90" i="14"/>
  <c r="E42" i="15"/>
  <c r="BO139" i="13"/>
  <c r="BO74" i="13" s="1"/>
  <c r="AN40" i="13"/>
  <c r="BA30" i="13"/>
  <c r="AW101" i="14"/>
  <c r="BI148" i="13"/>
  <c r="BI83" i="13" s="1"/>
  <c r="AD50" i="13"/>
  <c r="K136" i="12"/>
  <c r="K4" i="12"/>
  <c r="BB3" i="13"/>
  <c r="BC3" i="13" s="1"/>
  <c r="BH88" i="14"/>
  <c r="AQ169" i="13"/>
  <c r="AQ112" i="14" s="1"/>
  <c r="F31" i="15"/>
  <c r="J64" i="12"/>
  <c r="F27" i="15" s="1"/>
  <c r="AP110" i="14"/>
  <c r="BC25" i="13"/>
  <c r="AH127" i="14"/>
  <c r="BN82" i="14"/>
  <c r="BO82" i="14" s="1"/>
  <c r="BM80" i="14"/>
  <c r="AB131" i="14"/>
  <c r="BH89" i="14"/>
  <c r="BF143" i="13"/>
  <c r="BF11" i="13" s="1"/>
  <c r="AA191" i="13" l="1"/>
  <c r="AA126" i="13" s="1"/>
  <c r="BP139" i="13"/>
  <c r="BP74" i="13" s="1"/>
  <c r="BD157" i="13"/>
  <c r="BD92" i="13" s="1"/>
  <c r="AK114" i="13"/>
  <c r="AK179" i="13"/>
  <c r="BE147" i="13"/>
  <c r="BE82" i="13" s="1"/>
  <c r="AC188" i="13"/>
  <c r="AC123" i="13" s="1"/>
  <c r="AO107" i="13"/>
  <c r="AO172" i="13"/>
  <c r="AK110" i="13"/>
  <c r="AK175" i="13"/>
  <c r="AJ178" i="13"/>
  <c r="AJ113" i="13" s="1"/>
  <c r="AG118" i="13"/>
  <c r="AG183" i="13"/>
  <c r="BJ148" i="13"/>
  <c r="BJ83" i="13" s="1"/>
  <c r="BN72" i="13"/>
  <c r="BN137" i="13"/>
  <c r="BN80" i="14" s="1"/>
  <c r="AP106" i="13"/>
  <c r="AP171" i="13"/>
  <c r="AX86" i="13"/>
  <c r="AX151" i="13"/>
  <c r="AK112" i="13"/>
  <c r="AK177" i="13"/>
  <c r="Z125" i="13"/>
  <c r="Z190" i="13"/>
  <c r="BR136" i="13"/>
  <c r="BR71" i="13" s="1"/>
  <c r="BP7" i="13"/>
  <c r="AQ36" i="13"/>
  <c r="AI184" i="13"/>
  <c r="AI52" i="13" s="1"/>
  <c r="AU159" i="13"/>
  <c r="AU102" i="14" s="1"/>
  <c r="BD156" i="13"/>
  <c r="BD91" i="13" s="1"/>
  <c r="AF126" i="14"/>
  <c r="AG126" i="14" s="1"/>
  <c r="BM5" i="13"/>
  <c r="BN5" i="13" s="1"/>
  <c r="J6" i="14"/>
  <c r="L15" i="4" s="1"/>
  <c r="J5" i="14"/>
  <c r="AX19" i="13"/>
  <c r="AJ46" i="13"/>
  <c r="BP82" i="14"/>
  <c r="L42" i="4"/>
  <c r="AO40" i="13"/>
  <c r="AB135" i="14"/>
  <c r="F28" i="15"/>
  <c r="L41" i="4"/>
  <c r="BE90" i="14"/>
  <c r="BK79" i="13"/>
  <c r="BK144" i="13"/>
  <c r="BR79" i="14"/>
  <c r="AM38" i="13"/>
  <c r="CD4" i="7"/>
  <c r="CD6" i="7" s="1"/>
  <c r="CD7" i="7"/>
  <c r="CE3" i="7" s="1"/>
  <c r="AX90" i="13"/>
  <c r="BO75" i="13"/>
  <c r="AQ102" i="13"/>
  <c r="AW94" i="14"/>
  <c r="AO39" i="13"/>
  <c r="AP39" i="13" s="1"/>
  <c r="L136" i="12"/>
  <c r="L4" i="12" s="1"/>
  <c r="AM105" i="13"/>
  <c r="AM42" i="13"/>
  <c r="G87" i="11"/>
  <c r="J86" i="11"/>
  <c r="I86" i="11"/>
  <c r="H86" i="11"/>
  <c r="BO8" i="13"/>
  <c r="AA59" i="13"/>
  <c r="Z133" i="14"/>
  <c r="BF93" i="14"/>
  <c r="BF18" i="13"/>
  <c r="BC154" i="13"/>
  <c r="BC89" i="13" s="1"/>
  <c r="AQ37" i="13"/>
  <c r="BI91" i="14"/>
  <c r="BJ91" i="14" s="1"/>
  <c r="AA124" i="13"/>
  <c r="BF85" i="13"/>
  <c r="AK115" i="13"/>
  <c r="V137" i="14"/>
  <c r="BG87" i="13"/>
  <c r="AB192" i="13"/>
  <c r="AB60" i="13" s="1"/>
  <c r="AI127" i="14"/>
  <c r="AS107" i="14"/>
  <c r="AV34" i="13"/>
  <c r="K14" i="14"/>
  <c r="AJ173" i="13"/>
  <c r="AJ41" i="13" s="1"/>
  <c r="BL76" i="13"/>
  <c r="AO114" i="14"/>
  <c r="AP114" i="14" s="1"/>
  <c r="AX23" i="13"/>
  <c r="BI81" i="13"/>
  <c r="BI146" i="13"/>
  <c r="BI14" i="13" s="1"/>
  <c r="AJ45" i="13"/>
  <c r="AK45" i="13" s="1"/>
  <c r="AL111" i="13"/>
  <c r="BB22" i="13"/>
  <c r="BC70" i="13"/>
  <c r="V194" i="13"/>
  <c r="V129" i="13" s="1"/>
  <c r="Z58" i="13"/>
  <c r="AB56" i="13"/>
  <c r="AC56" i="13" s="1"/>
  <c r="AY96" i="13"/>
  <c r="BE15" i="13"/>
  <c r="AS99" i="13"/>
  <c r="AK120" i="14"/>
  <c r="BQ142" i="13"/>
  <c r="K55" i="4"/>
  <c r="K57" i="4"/>
  <c r="K34" i="4"/>
  <c r="K62" i="4"/>
  <c r="K65" i="4"/>
  <c r="K61" i="4"/>
  <c r="K66" i="4"/>
  <c r="K67" i="4"/>
  <c r="K68" i="4"/>
  <c r="K63" i="4"/>
  <c r="K64" i="4"/>
  <c r="K56" i="4"/>
  <c r="J27" i="6" a="1"/>
  <c r="J27" i="6" s="1"/>
  <c r="H21" i="5" a="1"/>
  <c r="H21" i="5" s="1"/>
  <c r="BA97" i="13"/>
  <c r="T64" i="13"/>
  <c r="AJ43" i="13"/>
  <c r="AK43" i="13" s="1"/>
  <c r="AS106" i="14"/>
  <c r="AS98" i="13"/>
  <c r="AX95" i="13"/>
  <c r="AX160" i="13"/>
  <c r="AX28" i="13" s="1"/>
  <c r="BF78" i="13"/>
  <c r="AQ104" i="13"/>
  <c r="AS31" i="13"/>
  <c r="AO115" i="14"/>
  <c r="U64" i="13"/>
  <c r="AU109" i="14"/>
  <c r="AV109" i="14" s="1"/>
  <c r="AX103" i="14"/>
  <c r="AQ103" i="13"/>
  <c r="BI16" i="13"/>
  <c r="BJ16" i="13" s="1"/>
  <c r="AX93" i="13"/>
  <c r="BA96" i="14"/>
  <c r="AA57" i="13"/>
  <c r="AF51" i="13"/>
  <c r="AG51" i="13" s="1"/>
  <c r="AE182" i="13"/>
  <c r="AE125" i="14" s="1"/>
  <c r="BC78" i="14"/>
  <c r="AX149" i="13"/>
  <c r="AU27" i="13"/>
  <c r="BA88" i="13"/>
  <c r="BA153" i="13"/>
  <c r="BA21" i="13" s="1"/>
  <c r="AJ118" i="14"/>
  <c r="AK118" i="14" s="1"/>
  <c r="BI145" i="13"/>
  <c r="BI80" i="13" s="1"/>
  <c r="P13" i="14"/>
  <c r="BD25" i="13"/>
  <c r="BF86" i="14"/>
  <c r="AV101" i="13"/>
  <c r="AV166" i="13"/>
  <c r="AJ121" i="14"/>
  <c r="AK47" i="13"/>
  <c r="U138" i="14"/>
  <c r="T139" i="14"/>
  <c r="AB127" i="13"/>
  <c r="BN138" i="13"/>
  <c r="BN73" i="13" s="1"/>
  <c r="BI89" i="14"/>
  <c r="BI88" i="14"/>
  <c r="L19" i="4"/>
  <c r="AC49" i="13"/>
  <c r="AC124" i="14"/>
  <c r="AA134" i="14"/>
  <c r="BN6" i="13"/>
  <c r="V63" i="13"/>
  <c r="P70" i="12"/>
  <c r="V195" i="13"/>
  <c r="V196" i="13" s="1"/>
  <c r="U131" i="13"/>
  <c r="AJ116" i="14"/>
  <c r="AC131" i="14"/>
  <c r="AQ110" i="14"/>
  <c r="AX101" i="14"/>
  <c r="AC116" i="13"/>
  <c r="BR4" i="13"/>
  <c r="BC100" i="14"/>
  <c r="BD100" i="14" s="1"/>
  <c r="B89" i="14"/>
  <c r="C89" i="14" s="1"/>
  <c r="B88" i="13"/>
  <c r="C88" i="13" s="1"/>
  <c r="B88" i="12"/>
  <c r="C88" i="12" s="1"/>
  <c r="AK122" i="14"/>
  <c r="BB97" i="14"/>
  <c r="BC97" i="14" s="1"/>
  <c r="AM109" i="13"/>
  <c r="AD185" i="13"/>
  <c r="AC187" i="13"/>
  <c r="AO100" i="13"/>
  <c r="AC121" i="13"/>
  <c r="Z193" i="13"/>
  <c r="Z136" i="14" s="1"/>
  <c r="BF147" i="13" l="1"/>
  <c r="BF15" i="13" s="1"/>
  <c r="BO138" i="13"/>
  <c r="BO6" i="13" s="1"/>
  <c r="BE156" i="13"/>
  <c r="BE91" i="13" s="1"/>
  <c r="BK83" i="13"/>
  <c r="BK148" i="13"/>
  <c r="AD123" i="13"/>
  <c r="AD188" i="13"/>
  <c r="AC60" i="13"/>
  <c r="BD154" i="13"/>
  <c r="BD89" i="13" s="1"/>
  <c r="AK113" i="13"/>
  <c r="AK178" i="13"/>
  <c r="BS136" i="13"/>
  <c r="BS71" i="13" s="1"/>
  <c r="BJ145" i="13"/>
  <c r="BJ80" i="13" s="1"/>
  <c r="W194" i="13"/>
  <c r="W129" i="13" s="1"/>
  <c r="BE157" i="13"/>
  <c r="BE92" i="13" s="1"/>
  <c r="AB191" i="13"/>
  <c r="AB59" i="13" s="1"/>
  <c r="AD128" i="14"/>
  <c r="AD53" i="13"/>
  <c r="AY160" i="13"/>
  <c r="AY95" i="13" s="1"/>
  <c r="AB134" i="14"/>
  <c r="AX17" i="13"/>
  <c r="AX92" i="14"/>
  <c r="AT98" i="13"/>
  <c r="AT163" i="13"/>
  <c r="AT31" i="13" s="1"/>
  <c r="BD97" i="14"/>
  <c r="V130" i="13"/>
  <c r="AW166" i="13"/>
  <c r="AW101" i="13" s="1"/>
  <c r="J37" i="6" a="1"/>
  <c r="J37" i="6" s="1"/>
  <c r="E50" i="15"/>
  <c r="J24" i="6" a="1"/>
  <c r="J24" i="6" s="1"/>
  <c r="H19" i="5" a="1"/>
  <c r="H19" i="5" s="1"/>
  <c r="BD70" i="13"/>
  <c r="BD135" i="13"/>
  <c r="BM76" i="13"/>
  <c r="BM141" i="13"/>
  <c r="AB124" i="13"/>
  <c r="AB189" i="13"/>
  <c r="AB132" i="14" s="1"/>
  <c r="AX94" i="14"/>
  <c r="AY94" i="14" s="1"/>
  <c r="BS79" i="14"/>
  <c r="AC135" i="14"/>
  <c r="AE50" i="13"/>
  <c r="AP107" i="13"/>
  <c r="AP172" i="13"/>
  <c r="AP40" i="13" s="1"/>
  <c r="AT164" i="13"/>
  <c r="AT32" i="13" s="1"/>
  <c r="AD121" i="13"/>
  <c r="AD186" i="13"/>
  <c r="AL122" i="14"/>
  <c r="BG86" i="14"/>
  <c r="BD24" i="13"/>
  <c r="AY93" i="13"/>
  <c r="AY158" i="13"/>
  <c r="AY26" i="13" s="1"/>
  <c r="AR169" i="13"/>
  <c r="AR112" i="14" s="1"/>
  <c r="J36" i="6" a="1"/>
  <c r="J36" i="6" s="1"/>
  <c r="BC22" i="13"/>
  <c r="BD22" i="13" s="1"/>
  <c r="BK91" i="14"/>
  <c r="AA133" i="14"/>
  <c r="BD99" i="14"/>
  <c r="BE99" i="14" s="1"/>
  <c r="BK12" i="13"/>
  <c r="BK87" i="14"/>
  <c r="AR36" i="13"/>
  <c r="AC130" i="14"/>
  <c r="AC55" i="13"/>
  <c r="BJ88" i="14"/>
  <c r="AC122" i="13"/>
  <c r="AD131" i="14"/>
  <c r="V138" i="14"/>
  <c r="U139" i="14"/>
  <c r="BE100" i="14"/>
  <c r="AL47" i="13"/>
  <c r="AE117" i="13"/>
  <c r="J34" i="6" a="1"/>
  <c r="J34" i="6" s="1"/>
  <c r="K69" i="4"/>
  <c r="AD120" i="13"/>
  <c r="AK121" i="14"/>
  <c r="AN174" i="13"/>
  <c r="AN117" i="14" s="1"/>
  <c r="AD181" i="13"/>
  <c r="AD116" i="13" s="1"/>
  <c r="Z128" i="13"/>
  <c r="AC127" i="13"/>
  <c r="AC192" i="13"/>
  <c r="AP165" i="13"/>
  <c r="Q70" i="12"/>
  <c r="K14" i="6" a="1"/>
  <c r="K14" i="6" s="1"/>
  <c r="I11" i="5" a="1"/>
  <c r="I11" i="5" s="1"/>
  <c r="BK16" i="13"/>
  <c r="BG78" i="13"/>
  <c r="BG143" i="13"/>
  <c r="BG11" i="13" s="1"/>
  <c r="J41" i="6" a="1"/>
  <c r="J41" i="6" s="1"/>
  <c r="J28" i="6" a="1"/>
  <c r="J28" i="6" s="1"/>
  <c r="H22" i="5" a="1"/>
  <c r="H22" i="5" s="1"/>
  <c r="AZ96" i="13"/>
  <c r="AZ161" i="13"/>
  <c r="AM111" i="13"/>
  <c r="AM176" i="13"/>
  <c r="AJ108" i="13"/>
  <c r="AN170" i="13"/>
  <c r="AN113" i="14" s="1"/>
  <c r="V62" i="13"/>
  <c r="BN81" i="14"/>
  <c r="BO81" i="14" s="1"/>
  <c r="J3" i="14"/>
  <c r="J15" i="14" s="1"/>
  <c r="L14" i="4"/>
  <c r="BQ139" i="13"/>
  <c r="BQ7" i="13" s="1"/>
  <c r="AA125" i="13"/>
  <c r="AA190" i="13"/>
  <c r="AL112" i="13"/>
  <c r="AL177" i="13"/>
  <c r="AL45" i="13" s="1"/>
  <c r="BO137" i="13"/>
  <c r="BO80" i="14" s="1"/>
  <c r="BB153" i="13"/>
  <c r="BB96" i="14" s="1"/>
  <c r="BD78" i="14"/>
  <c r="AR103" i="13"/>
  <c r="AR168" i="13"/>
  <c r="AR111" i="14" s="1"/>
  <c r="BB162" i="13"/>
  <c r="BB97" i="13" s="1"/>
  <c r="J40" i="6" a="1"/>
  <c r="J40" i="6" s="1"/>
  <c r="Z61" i="13"/>
  <c r="L14" i="14"/>
  <c r="BP8" i="13"/>
  <c r="BP140" i="13"/>
  <c r="BP83" i="14" s="1"/>
  <c r="AR167" i="13"/>
  <c r="AR35" i="13" s="1"/>
  <c r="CE7" i="7"/>
  <c r="CF3" i="7" s="1"/>
  <c r="CE4" i="7"/>
  <c r="CE6" i="7" s="1"/>
  <c r="BF90" i="14"/>
  <c r="L22" i="4"/>
  <c r="AY103" i="14"/>
  <c r="AY28" i="13"/>
  <c r="J39" i="6" a="1"/>
  <c r="J39" i="6" s="1"/>
  <c r="AD56" i="13"/>
  <c r="BJ146" i="13"/>
  <c r="BJ89" i="14" s="1"/>
  <c r="BI13" i="13"/>
  <c r="BH152" i="13"/>
  <c r="B90" i="14"/>
  <c r="C90" i="14" s="1"/>
  <c r="B89" i="13"/>
  <c r="C89" i="13" s="1"/>
  <c r="B89" i="12"/>
  <c r="C89" i="12" s="1"/>
  <c r="AU94" i="13"/>
  <c r="Q135" i="12"/>
  <c r="AY86" i="13"/>
  <c r="AY151" i="13"/>
  <c r="AY19" i="13" s="1"/>
  <c r="AW109" i="14"/>
  <c r="BQ10" i="13"/>
  <c r="BQ85" i="14"/>
  <c r="AA58" i="13"/>
  <c r="AW34" i="13"/>
  <c r="W137" i="14"/>
  <c r="BP75" i="13"/>
  <c r="J38" i="6" a="1"/>
  <c r="J38" i="6" s="1"/>
  <c r="BQ77" i="13"/>
  <c r="AY23" i="13"/>
  <c r="AL180" i="13"/>
  <c r="AL115" i="13" s="1"/>
  <c r="AQ39" i="13"/>
  <c r="AY90" i="13"/>
  <c r="AY155" i="13"/>
  <c r="AY98" i="14" s="1"/>
  <c r="AK46" i="13"/>
  <c r="AI119" i="13"/>
  <c r="AJ184" i="13" s="1"/>
  <c r="L71" i="12"/>
  <c r="AQ106" i="13"/>
  <c r="AQ171" i="13"/>
  <c r="AL175" i="13"/>
  <c r="AL43" i="13" s="1"/>
  <c r="Q13" i="14"/>
  <c r="V64" i="13"/>
  <c r="AX84" i="13"/>
  <c r="AB57" i="13"/>
  <c r="AP115" i="14"/>
  <c r="AT106" i="14"/>
  <c r="J29" i="6" a="1"/>
  <c r="J29" i="6" s="1"/>
  <c r="H23" i="5" a="1"/>
  <c r="H23" i="5" s="1"/>
  <c r="H24" i="5" s="1"/>
  <c r="J35" i="6" a="1"/>
  <c r="J35" i="6" s="1"/>
  <c r="AL120" i="14"/>
  <c r="AQ114" i="14"/>
  <c r="AT107" i="14"/>
  <c r="BG150" i="13"/>
  <c r="BG85" i="13" s="1"/>
  <c r="J87" i="11"/>
  <c r="I87" i="11"/>
  <c r="H87" i="11"/>
  <c r="G88" i="11"/>
  <c r="AH126" i="14"/>
  <c r="AH118" i="13"/>
  <c r="AH183" i="13"/>
  <c r="AH51" i="13" s="1"/>
  <c r="AL114" i="13"/>
  <c r="AL179" i="13"/>
  <c r="BF157" i="13" l="1"/>
  <c r="BF92" i="13" s="1"/>
  <c r="AM180" i="13"/>
  <c r="AM115" i="13" s="1"/>
  <c r="AJ52" i="13"/>
  <c r="AJ127" i="14"/>
  <c r="BC97" i="13"/>
  <c r="BC162" i="13"/>
  <c r="X129" i="13"/>
  <c r="X194" i="13"/>
  <c r="BH85" i="13"/>
  <c r="BH150" i="13"/>
  <c r="AE116" i="13"/>
  <c r="AE181" i="13"/>
  <c r="AX101" i="13"/>
  <c r="AX166" i="13"/>
  <c r="AZ160" i="13"/>
  <c r="AZ95" i="13" s="1"/>
  <c r="BF156" i="13"/>
  <c r="BF99" i="14" s="1"/>
  <c r="BE89" i="13"/>
  <c r="BE154" i="13"/>
  <c r="AX109" i="14"/>
  <c r="AD127" i="13"/>
  <c r="AD192" i="13"/>
  <c r="J30" i="6"/>
  <c r="J53" i="6" s="1"/>
  <c r="J42" i="6"/>
  <c r="V139" i="14"/>
  <c r="AL118" i="14"/>
  <c r="BE135" i="13"/>
  <c r="AR110" i="14"/>
  <c r="AM114" i="13"/>
  <c r="AM179" i="13"/>
  <c r="AZ90" i="13"/>
  <c r="AZ155" i="13"/>
  <c r="L18" i="4"/>
  <c r="AR37" i="13"/>
  <c r="AD124" i="14"/>
  <c r="AE124" i="14" s="1"/>
  <c r="AL110" i="13"/>
  <c r="BO5" i="13"/>
  <c r="BQ82" i="14"/>
  <c r="BJ14" i="13"/>
  <c r="BO72" i="13"/>
  <c r="AK173" i="13"/>
  <c r="AD49" i="13"/>
  <c r="AE49" i="13" s="1"/>
  <c r="BL144" i="13"/>
  <c r="BL79" i="13" s="1"/>
  <c r="AN42" i="13"/>
  <c r="BO73" i="13"/>
  <c r="AY149" i="13"/>
  <c r="BB30" i="13"/>
  <c r="BB105" i="14"/>
  <c r="BC105" i="14" s="1"/>
  <c r="AI183" i="13"/>
  <c r="AI51" i="13" s="1"/>
  <c r="BG93" i="14"/>
  <c r="BH93" i="14" s="1"/>
  <c r="BG18" i="13"/>
  <c r="BH18" i="13" s="1"/>
  <c r="AN38" i="13"/>
  <c r="AM44" i="13"/>
  <c r="AM119" i="14"/>
  <c r="AF182" i="13"/>
  <c r="AF125" i="14" s="1"/>
  <c r="AD122" i="13"/>
  <c r="AD187" i="13"/>
  <c r="AD130" i="14" s="1"/>
  <c r="AY101" i="14"/>
  <c r="AZ101" i="14" s="1"/>
  <c r="AQ107" i="13"/>
  <c r="AQ172" i="13"/>
  <c r="AQ40" i="13" s="1"/>
  <c r="AC132" i="14"/>
  <c r="W130" i="13"/>
  <c r="W195" i="13"/>
  <c r="V131" i="13"/>
  <c r="AB126" i="13"/>
  <c r="AL178" i="13"/>
  <c r="AL113" i="13" s="1"/>
  <c r="AN176" i="13"/>
  <c r="AN111" i="13" s="1"/>
  <c r="BE97" i="14"/>
  <c r="AE188" i="13"/>
  <c r="AE123" i="13" s="1"/>
  <c r="AM122" i="14"/>
  <c r="AF50" i="13"/>
  <c r="AC124" i="13"/>
  <c r="AC189" i="13"/>
  <c r="CF4" i="7"/>
  <c r="CF6" i="7" s="1"/>
  <c r="CF7" i="7"/>
  <c r="CG3" i="7" s="1"/>
  <c r="BE78" i="14"/>
  <c r="W62" i="13"/>
  <c r="X62" i="13" s="1"/>
  <c r="AZ104" i="14"/>
  <c r="AZ29" i="13"/>
  <c r="BH11" i="13"/>
  <c r="BS4" i="13"/>
  <c r="AD55" i="13"/>
  <c r="AR104" i="13"/>
  <c r="AD54" i="13"/>
  <c r="AD129" i="14"/>
  <c r="BB21" i="13"/>
  <c r="M136" i="12"/>
  <c r="M14" i="14" s="1"/>
  <c r="AL123" i="14"/>
  <c r="AM123" i="14" s="1"/>
  <c r="AL48" i="13"/>
  <c r="AM48" i="13" s="1"/>
  <c r="BQ140" i="13"/>
  <c r="BQ75" i="13" s="1"/>
  <c r="AZ23" i="13"/>
  <c r="AZ28" i="13"/>
  <c r="AA193" i="13"/>
  <c r="AA136" i="14" s="1"/>
  <c r="AB125" i="13"/>
  <c r="AB190" i="13"/>
  <c r="AB58" i="13" s="1"/>
  <c r="BH143" i="13"/>
  <c r="BH86" i="14" s="1"/>
  <c r="AP33" i="13"/>
  <c r="AP108" i="14"/>
  <c r="AE185" i="13"/>
  <c r="AE120" i="13" s="1"/>
  <c r="BF100" i="14"/>
  <c r="AE186" i="13"/>
  <c r="AE121" i="13" s="1"/>
  <c r="AD135" i="14"/>
  <c r="BM84" i="14"/>
  <c r="BM9" i="13"/>
  <c r="BN9" i="13" s="1"/>
  <c r="BQ74" i="13"/>
  <c r="AD60" i="13"/>
  <c r="BL148" i="13"/>
  <c r="BL91" i="14" s="1"/>
  <c r="AM177" i="13"/>
  <c r="AM120" i="14" s="1"/>
  <c r="AZ103" i="14"/>
  <c r="AR102" i="13"/>
  <c r="AN105" i="13"/>
  <c r="AP100" i="13"/>
  <c r="AN109" i="13"/>
  <c r="K79" i="4"/>
  <c r="H25" i="5" s="1" a="1"/>
  <c r="H25" i="5" s="1"/>
  <c r="H26" i="5" s="1"/>
  <c r="K80" i="4"/>
  <c r="AS36" i="13"/>
  <c r="BE22" i="13"/>
  <c r="AZ158" i="13"/>
  <c r="AZ93" i="13" s="1"/>
  <c r="BN141" i="13"/>
  <c r="BN76" i="13" s="1"/>
  <c r="AU98" i="13"/>
  <c r="AU163" i="13"/>
  <c r="AU31" i="13" s="1"/>
  <c r="BF82" i="13"/>
  <c r="AI126" i="14"/>
  <c r="AR171" i="13"/>
  <c r="AR39" i="13" s="1"/>
  <c r="AS103" i="13"/>
  <c r="AS168" i="13"/>
  <c r="AS111" i="14" s="1"/>
  <c r="AM47" i="13"/>
  <c r="AU106" i="14"/>
  <c r="AJ119" i="13"/>
  <c r="X137" i="14"/>
  <c r="AZ86" i="13"/>
  <c r="AZ151" i="13"/>
  <c r="AZ94" i="14" s="1"/>
  <c r="BH95" i="14"/>
  <c r="BH20" i="13"/>
  <c r="BA161" i="13"/>
  <c r="BA96" i="13" s="1"/>
  <c r="G89" i="11"/>
  <c r="J88" i="11"/>
  <c r="I88" i="11"/>
  <c r="H88" i="11"/>
  <c r="AQ115" i="14"/>
  <c r="AL46" i="13"/>
  <c r="BR142" i="13"/>
  <c r="BR85" i="14" s="1"/>
  <c r="AX34" i="13"/>
  <c r="Q3" i="12"/>
  <c r="BH87" i="13"/>
  <c r="B91" i="14"/>
  <c r="C91" i="14" s="1"/>
  <c r="B90" i="13"/>
  <c r="C90" i="13" s="1"/>
  <c r="B90" i="12"/>
  <c r="C90" i="12" s="1"/>
  <c r="AC57" i="13"/>
  <c r="AZ98" i="14"/>
  <c r="BJ81" i="13"/>
  <c r="AV94" i="13"/>
  <c r="AV159" i="13"/>
  <c r="BJ13" i="13"/>
  <c r="BQ83" i="14"/>
  <c r="BB88" i="13"/>
  <c r="BE25" i="13"/>
  <c r="BF25" i="13" s="1"/>
  <c r="BE24" i="13"/>
  <c r="BF24" i="13" s="1"/>
  <c r="AT99" i="13"/>
  <c r="BD3" i="13"/>
  <c r="BE3" i="13" s="1"/>
  <c r="BA95" i="13" l="1"/>
  <c r="BA160" i="13"/>
  <c r="BB96" i="13"/>
  <c r="BB161" i="13"/>
  <c r="AT111" i="14"/>
  <c r="BA93" i="13"/>
  <c r="BA158" i="13"/>
  <c r="BR140" i="13"/>
  <c r="BR75" i="13" s="1"/>
  <c r="AF186" i="13"/>
  <c r="AF121" i="13" s="1"/>
  <c r="AF120" i="13"/>
  <c r="AF185" i="13"/>
  <c r="AO111" i="13"/>
  <c r="AO176" i="13"/>
  <c r="AM178" i="13"/>
  <c r="AM113" i="13" s="1"/>
  <c r="BG92" i="13"/>
  <c r="BG157" i="13"/>
  <c r="BA98" i="14"/>
  <c r="BA29" i="13"/>
  <c r="BB29" i="13" s="1"/>
  <c r="W196" i="13"/>
  <c r="W63" i="13"/>
  <c r="AN44" i="13"/>
  <c r="AF124" i="14"/>
  <c r="AN179" i="13"/>
  <c r="AN114" i="13" s="1"/>
  <c r="AE192" i="13"/>
  <c r="AE127" i="13" s="1"/>
  <c r="AE122" i="13"/>
  <c r="AE187" i="13"/>
  <c r="AE130" i="14" s="1"/>
  <c r="BP72" i="13"/>
  <c r="BP137" i="13"/>
  <c r="BP80" i="14" s="1"/>
  <c r="BL87" i="14"/>
  <c r="AF181" i="13"/>
  <c r="AF116" i="13" s="1"/>
  <c r="Y129" i="13"/>
  <c r="Y194" i="13"/>
  <c r="Y137" i="14" s="1"/>
  <c r="AM45" i="13"/>
  <c r="AM112" i="13"/>
  <c r="BC153" i="13"/>
  <c r="BC96" i="14" s="1"/>
  <c r="AR114" i="14"/>
  <c r="AQ108" i="14"/>
  <c r="AE129" i="14"/>
  <c r="B92" i="14"/>
  <c r="C92" i="14" s="1"/>
  <c r="B91" i="13"/>
  <c r="C91" i="13" s="1"/>
  <c r="B91" i="12"/>
  <c r="C91" i="12" s="1"/>
  <c r="AQ100" i="13"/>
  <c r="AQ165" i="13"/>
  <c r="AQ33" i="13" s="1"/>
  <c r="Y62" i="13"/>
  <c r="AI118" i="13"/>
  <c r="AY84" i="13"/>
  <c r="BL12" i="13"/>
  <c r="AS110" i="14"/>
  <c r="BQ8" i="13"/>
  <c r="BR8" i="13" s="1"/>
  <c r="BF91" i="13"/>
  <c r="R135" i="12"/>
  <c r="R3" i="12" s="1"/>
  <c r="BA104" i="14"/>
  <c r="BL16" i="13"/>
  <c r="AS169" i="13"/>
  <c r="AS112" i="14" s="1"/>
  <c r="AF117" i="13"/>
  <c r="AE56" i="13"/>
  <c r="W138" i="14"/>
  <c r="BD162" i="13"/>
  <c r="BD97" i="13" s="1"/>
  <c r="AT103" i="13"/>
  <c r="AT168" i="13"/>
  <c r="BO9" i="13"/>
  <c r="BO141" i="13"/>
  <c r="BO76" i="13" s="1"/>
  <c r="BT4" i="13"/>
  <c r="BT136" i="13"/>
  <c r="BK146" i="13"/>
  <c r="BK89" i="14" s="1"/>
  <c r="M4" i="12"/>
  <c r="BC88" i="13"/>
  <c r="AR106" i="13"/>
  <c r="AE135" i="14"/>
  <c r="AA61" i="13"/>
  <c r="AO174" i="13"/>
  <c r="AO117" i="14" s="1"/>
  <c r="BA28" i="13"/>
  <c r="AB133" i="14"/>
  <c r="AC133" i="14" s="1"/>
  <c r="X195" i="13"/>
  <c r="X196" i="13" s="1"/>
  <c r="W131" i="13"/>
  <c r="BM144" i="13"/>
  <c r="BM79" i="13" s="1"/>
  <c r="AY92" i="14"/>
  <c r="BR83" i="14"/>
  <c r="BG82" i="13"/>
  <c r="BG147" i="13"/>
  <c r="BL83" i="13"/>
  <c r="BA23" i="13"/>
  <c r="BA155" i="13"/>
  <c r="AE54" i="13"/>
  <c r="AF54" i="13" s="1"/>
  <c r="M71" i="12"/>
  <c r="BK13" i="13"/>
  <c r="BK145" i="13"/>
  <c r="AE128" i="14"/>
  <c r="AF128" i="14" s="1"/>
  <c r="AE60" i="13"/>
  <c r="AZ26" i="13"/>
  <c r="BA26" i="13" s="1"/>
  <c r="AL121" i="14"/>
  <c r="AM121" i="14" s="1"/>
  <c r="AE131" i="14"/>
  <c r="AY17" i="13"/>
  <c r="BR77" i="13"/>
  <c r="AO105" i="13"/>
  <c r="AO170" i="13"/>
  <c r="AO113" i="14" s="1"/>
  <c r="BR139" i="13"/>
  <c r="BR7" i="13" s="1"/>
  <c r="BH78" i="13"/>
  <c r="AA128" i="13"/>
  <c r="BR10" i="13"/>
  <c r="BC30" i="13"/>
  <c r="BD30" i="13" s="1"/>
  <c r="AF49" i="13"/>
  <c r="F17" i="15"/>
  <c r="L20" i="4"/>
  <c r="L147" i="4"/>
  <c r="L74" i="4"/>
  <c r="L60" i="4"/>
  <c r="K13" i="6" a="1"/>
  <c r="K13" i="6" s="1"/>
  <c r="I10" i="5" a="1"/>
  <c r="I10" i="5" s="1"/>
  <c r="AZ19" i="13"/>
  <c r="BA19" i="13" s="1"/>
  <c r="AT36" i="13"/>
  <c r="AN123" i="14"/>
  <c r="AU99" i="13"/>
  <c r="AU164" i="13"/>
  <c r="AV27" i="13"/>
  <c r="AV102" i="14"/>
  <c r="AM46" i="13"/>
  <c r="H89" i="11"/>
  <c r="G90" i="11"/>
  <c r="J89" i="11"/>
  <c r="I89" i="11"/>
  <c r="BA86" i="13"/>
  <c r="BA151" i="13"/>
  <c r="BA94" i="14" s="1"/>
  <c r="AV163" i="13"/>
  <c r="AV31" i="13" s="1"/>
  <c r="BF22" i="13"/>
  <c r="AS102" i="13"/>
  <c r="AS167" i="13"/>
  <c r="AS35" i="13" s="1"/>
  <c r="AE53" i="13"/>
  <c r="AF53" i="13" s="1"/>
  <c r="BG100" i="14"/>
  <c r="AN180" i="13"/>
  <c r="AN115" i="13" s="1"/>
  <c r="AE55" i="13"/>
  <c r="CG7" i="7"/>
  <c r="CH3" i="7" s="1"/>
  <c r="CG4" i="7"/>
  <c r="CG6" i="7" s="1"/>
  <c r="AD189" i="13"/>
  <c r="AD57" i="13" s="1"/>
  <c r="BF97" i="14"/>
  <c r="AR172" i="13"/>
  <c r="AR40" i="13" s="1"/>
  <c r="AO38" i="13"/>
  <c r="BP73" i="13"/>
  <c r="BP138" i="13"/>
  <c r="BP5" i="13"/>
  <c r="BE70" i="13"/>
  <c r="BA101" i="14"/>
  <c r="AO42" i="13"/>
  <c r="AK41" i="13"/>
  <c r="AK116" i="14"/>
  <c r="BA90" i="13"/>
  <c r="BF154" i="13"/>
  <c r="BF89" i="13" s="1"/>
  <c r="AY166" i="13"/>
  <c r="AY34" i="13" s="1"/>
  <c r="BI150" i="13"/>
  <c r="BI85" i="13" s="1"/>
  <c r="BA103" i="14"/>
  <c r="AC190" i="13"/>
  <c r="AC58" i="13" s="1"/>
  <c r="BG25" i="13"/>
  <c r="BI152" i="13"/>
  <c r="BI20" i="13" s="1"/>
  <c r="AK184" i="13"/>
  <c r="AK119" i="13" s="1"/>
  <c r="K167" i="4"/>
  <c r="K141" i="4"/>
  <c r="K142" i="4"/>
  <c r="BN84" i="14"/>
  <c r="BO84" i="14" s="1"/>
  <c r="AN122" i="14"/>
  <c r="AN119" i="14"/>
  <c r="AK108" i="13"/>
  <c r="AM175" i="13"/>
  <c r="AM43" i="13" s="1"/>
  <c r="AC191" i="13"/>
  <c r="AC126" i="13" s="1"/>
  <c r="BS140" i="13" l="1"/>
  <c r="BS75" i="13" s="1"/>
  <c r="AD190" i="13"/>
  <c r="AD58" i="13" s="1"/>
  <c r="C93" i="14"/>
  <c r="BP141" i="13"/>
  <c r="BP76" i="13" s="1"/>
  <c r="AG181" i="13"/>
  <c r="AG124" i="14" s="1"/>
  <c r="AN113" i="13"/>
  <c r="AN178" i="13"/>
  <c r="BJ85" i="13"/>
  <c r="BJ150" i="13"/>
  <c r="AF192" i="13"/>
  <c r="AF127" i="13" s="1"/>
  <c r="BN144" i="13"/>
  <c r="BN79" i="13" s="1"/>
  <c r="BG89" i="13"/>
  <c r="BG154" i="13"/>
  <c r="AD126" i="13"/>
  <c r="AD191" i="13"/>
  <c r="AL119" i="13"/>
  <c r="AL184" i="13"/>
  <c r="AO180" i="13"/>
  <c r="AO115" i="13" s="1"/>
  <c r="BE162" i="13"/>
  <c r="BE97" i="13" s="1"/>
  <c r="AF130" i="14"/>
  <c r="AG186" i="13"/>
  <c r="AG121" i="13" s="1"/>
  <c r="BP84" i="14"/>
  <c r="BI87" i="13"/>
  <c r="CH4" i="7"/>
  <c r="CH6" i="7" s="1"/>
  <c r="CH7" i="7"/>
  <c r="CI3" i="7" s="1"/>
  <c r="B93" i="14"/>
  <c r="B92" i="13"/>
  <c r="C92" i="13" s="1"/>
  <c r="B92" i="12"/>
  <c r="C92" i="12" s="1"/>
  <c r="K48" i="6" a="1"/>
  <c r="K48" i="6" s="1"/>
  <c r="AM110" i="13"/>
  <c r="BH25" i="13"/>
  <c r="AY101" i="13"/>
  <c r="BI18" i="13"/>
  <c r="BJ18" i="13" s="1"/>
  <c r="AU168" i="13"/>
  <c r="AU103" i="13" s="1"/>
  <c r="BS8" i="13"/>
  <c r="Z194" i="13"/>
  <c r="Z62" i="13" s="1"/>
  <c r="Z129" i="13"/>
  <c r="AF187" i="13"/>
  <c r="AF122" i="13" s="1"/>
  <c r="BH92" i="13"/>
  <c r="BH157" i="13"/>
  <c r="AG185" i="13"/>
  <c r="AG120" i="13" s="1"/>
  <c r="BB95" i="13"/>
  <c r="BB160" i="13"/>
  <c r="AL108" i="13"/>
  <c r="AL173" i="13"/>
  <c r="K149" i="4"/>
  <c r="H30" i="5" s="1" a="1"/>
  <c r="H30" i="5" s="1"/>
  <c r="J116" i="6" a="1"/>
  <c r="J116" i="6" s="1"/>
  <c r="J121" i="6" s="1"/>
  <c r="AR107" i="13"/>
  <c r="AV98" i="13"/>
  <c r="AW102" i="14"/>
  <c r="L21" i="4"/>
  <c r="L23" i="4"/>
  <c r="BR74" i="13"/>
  <c r="AN121" i="14"/>
  <c r="BI95" i="14"/>
  <c r="BM83" i="13"/>
  <c r="BM148" i="13"/>
  <c r="BM91" i="14" s="1"/>
  <c r="AO109" i="13"/>
  <c r="AN47" i="13"/>
  <c r="BG22" i="13"/>
  <c r="AU36" i="13"/>
  <c r="J117" i="6" a="1"/>
  <c r="J117" i="6" s="1"/>
  <c r="AF55" i="13"/>
  <c r="AN46" i="13"/>
  <c r="AT110" i="14"/>
  <c r="BI93" i="14"/>
  <c r="BJ93" i="14" s="1"/>
  <c r="AO119" i="14"/>
  <c r="AP119" i="14" s="1"/>
  <c r="AC125" i="13"/>
  <c r="AK127" i="14"/>
  <c r="AL127" i="14" s="1"/>
  <c r="AN48" i="13"/>
  <c r="AO48" i="13" s="1"/>
  <c r="AW27" i="13"/>
  <c r="AW159" i="13"/>
  <c r="AW94" i="13" s="1"/>
  <c r="J72" i="12"/>
  <c r="F21" i="15"/>
  <c r="BD105" i="14"/>
  <c r="BK80" i="13"/>
  <c r="BK88" i="14"/>
  <c r="BG15" i="13"/>
  <c r="BG90" i="14"/>
  <c r="AV106" i="14"/>
  <c r="BK81" i="13"/>
  <c r="BB104" i="14"/>
  <c r="AS37" i="13"/>
  <c r="AS114" i="14"/>
  <c r="AO44" i="13"/>
  <c r="AP44" i="13" s="1"/>
  <c r="BF135" i="13"/>
  <c r="BF70" i="13" s="1"/>
  <c r="BG97" i="14"/>
  <c r="BH100" i="14"/>
  <c r="BB151" i="13"/>
  <c r="BB19" i="13" s="1"/>
  <c r="AU32" i="13"/>
  <c r="AU107" i="14"/>
  <c r="AG49" i="13"/>
  <c r="AP170" i="13"/>
  <c r="AP105" i="13" s="1"/>
  <c r="AD132" i="14"/>
  <c r="BH147" i="13"/>
  <c r="BH82" i="13" s="1"/>
  <c r="BT71" i="13"/>
  <c r="BT79" i="14"/>
  <c r="X138" i="14"/>
  <c r="W139" i="14"/>
  <c r="AR115" i="14"/>
  <c r="BK14" i="13"/>
  <c r="AR165" i="13"/>
  <c r="AR108" i="14" s="1"/>
  <c r="BD96" i="14"/>
  <c r="BM87" i="14"/>
  <c r="BN87" i="14" s="1"/>
  <c r="X63" i="13"/>
  <c r="K170" i="4"/>
  <c r="K172" i="4" s="1"/>
  <c r="K179" i="4" s="1"/>
  <c r="J144" i="6" a="1"/>
  <c r="J144" i="6" s="1"/>
  <c r="H36" i="5" a="1"/>
  <c r="H36" i="5" s="1"/>
  <c r="AK52" i="13"/>
  <c r="AL52" i="13" s="1"/>
  <c r="BB155" i="13"/>
  <c r="BB90" i="13" s="1"/>
  <c r="AV164" i="13"/>
  <c r="AV99" i="13" s="1"/>
  <c r="I12" i="5"/>
  <c r="I13" i="5" s="1"/>
  <c r="BE30" i="13"/>
  <c r="BS77" i="13"/>
  <c r="BS142" i="13"/>
  <c r="BS85" i="14" s="1"/>
  <c r="X64" i="13"/>
  <c r="AF135" i="14"/>
  <c r="AF188" i="13"/>
  <c r="AF123" i="13" s="1"/>
  <c r="BM12" i="13"/>
  <c r="BN12" i="13" s="1"/>
  <c r="BC21" i="13"/>
  <c r="BD21" i="13" s="1"/>
  <c r="W64" i="13"/>
  <c r="AL116" i="14"/>
  <c r="BP81" i="14"/>
  <c r="BQ81" i="14" s="1"/>
  <c r="BP6" i="13"/>
  <c r="AD124" i="13"/>
  <c r="AT35" i="13"/>
  <c r="K15" i="6"/>
  <c r="K16" i="6" s="1"/>
  <c r="BS10" i="13"/>
  <c r="AY109" i="14"/>
  <c r="X130" i="13"/>
  <c r="AS106" i="13"/>
  <c r="AS171" i="13"/>
  <c r="AS39" i="13" s="1"/>
  <c r="AG182" i="13"/>
  <c r="R13" i="14"/>
  <c r="R70" i="12"/>
  <c r="AZ149" i="13"/>
  <c r="AZ92" i="14" s="1"/>
  <c r="AN177" i="13"/>
  <c r="AN120" i="14" s="1"/>
  <c r="BQ72" i="13"/>
  <c r="BQ137" i="13"/>
  <c r="BQ5" i="13" s="1"/>
  <c r="AM118" i="14"/>
  <c r="BC29" i="13"/>
  <c r="BB93" i="13"/>
  <c r="BB158" i="13"/>
  <c r="BB101" i="14" s="1"/>
  <c r="BB103" i="14"/>
  <c r="AC134" i="14"/>
  <c r="AD134" i="14" s="1"/>
  <c r="AC59" i="13"/>
  <c r="AD59" i="13" s="1"/>
  <c r="AL41" i="13"/>
  <c r="BQ138" i="13"/>
  <c r="BQ73" i="13" s="1"/>
  <c r="AT167" i="13"/>
  <c r="AT102" i="13" s="1"/>
  <c r="J90" i="11"/>
  <c r="I90" i="11"/>
  <c r="H90" i="11"/>
  <c r="G91" i="11"/>
  <c r="AO123" i="14"/>
  <c r="K33" i="6" a="1"/>
  <c r="K33" i="6" s="1"/>
  <c r="AB193" i="13"/>
  <c r="AB136" i="14" s="1"/>
  <c r="BB26" i="13"/>
  <c r="AG54" i="13"/>
  <c r="AD133" i="14"/>
  <c r="BD153" i="13"/>
  <c r="BD88" i="13" s="1"/>
  <c r="BP9" i="13"/>
  <c r="AJ183" i="13"/>
  <c r="BB98" i="14"/>
  <c r="AP176" i="13"/>
  <c r="AP111" i="13" s="1"/>
  <c r="AU111" i="14"/>
  <c r="BC96" i="13"/>
  <c r="BC161" i="13"/>
  <c r="BI143" i="13"/>
  <c r="BI78" i="13" s="1"/>
  <c r="BR82" i="14"/>
  <c r="AF60" i="13"/>
  <c r="BS83" i="14"/>
  <c r="BB28" i="13"/>
  <c r="N136" i="12"/>
  <c r="N4" i="12" s="1"/>
  <c r="AS104" i="13"/>
  <c r="BG91" i="13"/>
  <c r="BG156" i="13"/>
  <c r="AF129" i="14"/>
  <c r="AG129" i="14" s="1"/>
  <c r="AP180" i="13" l="1"/>
  <c r="AP115" i="13" s="1"/>
  <c r="BE153" i="13"/>
  <c r="BE88" i="13" s="1"/>
  <c r="AQ170" i="13"/>
  <c r="AQ105" i="13" s="1"/>
  <c r="AV103" i="13"/>
  <c r="AV168" i="13"/>
  <c r="AG127" i="13"/>
  <c r="AG192" i="13"/>
  <c r="BJ143" i="13"/>
  <c r="BJ78" i="13" s="1"/>
  <c r="AW164" i="13"/>
  <c r="AW99" i="13" s="1"/>
  <c r="BC90" i="13"/>
  <c r="BC155" i="13"/>
  <c r="BG135" i="13"/>
  <c r="AQ111" i="13"/>
  <c r="AQ176" i="13"/>
  <c r="BQ76" i="13"/>
  <c r="BQ141" i="13"/>
  <c r="BO144" i="13"/>
  <c r="BO79" i="13" s="1"/>
  <c r="AU102" i="13"/>
  <c r="AU167" i="13"/>
  <c r="AU110" i="14" s="1"/>
  <c r="AH185" i="13"/>
  <c r="AH120" i="13" s="1"/>
  <c r="BT140" i="13"/>
  <c r="BT75" i="13" s="1"/>
  <c r="BD96" i="13"/>
  <c r="BD161" i="13"/>
  <c r="BR137" i="13"/>
  <c r="BR5" i="13" s="1"/>
  <c r="AQ44" i="13"/>
  <c r="AO179" i="13"/>
  <c r="AA194" i="13"/>
  <c r="AA129" i="13" s="1"/>
  <c r="BH154" i="13"/>
  <c r="BH89" i="13" s="1"/>
  <c r="BH156" i="13"/>
  <c r="BH91" i="13" s="1"/>
  <c r="BC98" i="14"/>
  <c r="BC158" i="13"/>
  <c r="BC26" i="13" s="1"/>
  <c r="AT171" i="13"/>
  <c r="AT106" i="13" s="1"/>
  <c r="BT142" i="13"/>
  <c r="BT77" i="13" s="1"/>
  <c r="BO87" i="14"/>
  <c r="BL146" i="13"/>
  <c r="BL89" i="14" s="1"/>
  <c r="AV36" i="13"/>
  <c r="BI157" i="13"/>
  <c r="BI92" i="13" s="1"/>
  <c r="AT104" i="13"/>
  <c r="AT169" i="13"/>
  <c r="AT112" i="14" s="1"/>
  <c r="AN45" i="13"/>
  <c r="X131" i="13"/>
  <c r="AJ126" i="14"/>
  <c r="AJ51" i="13"/>
  <c r="G92" i="11"/>
  <c r="J91" i="11"/>
  <c r="I91" i="11"/>
  <c r="H91" i="11"/>
  <c r="AM41" i="13"/>
  <c r="AE124" i="13"/>
  <c r="AG188" i="13"/>
  <c r="AG123" i="13" s="1"/>
  <c r="AB61" i="13"/>
  <c r="BH90" i="14"/>
  <c r="AP38" i="13"/>
  <c r="AQ38" i="13" s="1"/>
  <c r="AS172" i="13"/>
  <c r="AS40" i="13" s="1"/>
  <c r="BI25" i="13"/>
  <c r="AM184" i="13"/>
  <c r="AM119" i="13" s="1"/>
  <c r="BB94" i="14"/>
  <c r="BK150" i="13"/>
  <c r="BK85" i="13" s="1"/>
  <c r="AJ118" i="13"/>
  <c r="AZ17" i="13"/>
  <c r="B94" i="14"/>
  <c r="B93" i="13"/>
  <c r="C93" i="13" s="1"/>
  <c r="B93" i="12"/>
  <c r="C93" i="12" s="1"/>
  <c r="BQ6" i="13"/>
  <c r="AF56" i="13"/>
  <c r="AG56" i="13" s="1"/>
  <c r="AR100" i="13"/>
  <c r="AV107" i="14"/>
  <c r="BH15" i="13"/>
  <c r="AX94" i="13"/>
  <c r="AX159" i="13"/>
  <c r="AX102" i="14" s="1"/>
  <c r="AG128" i="14"/>
  <c r="AH128" i="14" s="1"/>
  <c r="BS139" i="13"/>
  <c r="BS7" i="13" s="1"/>
  <c r="AN175" i="13"/>
  <c r="AN43" i="13" s="1"/>
  <c r="Z137" i="14"/>
  <c r="AA137" i="14" s="1"/>
  <c r="C94" i="14"/>
  <c r="AV111" i="14"/>
  <c r="BQ9" i="13"/>
  <c r="AB128" i="13"/>
  <c r="AG125" i="14"/>
  <c r="AG50" i="13"/>
  <c r="AZ109" i="14"/>
  <c r="AG135" i="14"/>
  <c r="AT114" i="14"/>
  <c r="BL80" i="13"/>
  <c r="BL145" i="13"/>
  <c r="BL13" i="13" s="1"/>
  <c r="J146" i="6"/>
  <c r="J148" i="6" s="1"/>
  <c r="BT83" i="14"/>
  <c r="BT10" i="13"/>
  <c r="AG53" i="13"/>
  <c r="AH53" i="13" s="1"/>
  <c r="J155" i="6" a="1"/>
  <c r="J155" i="6" s="1"/>
  <c r="H44" i="5" a="1"/>
  <c r="H44" i="5" s="1"/>
  <c r="BB86" i="13"/>
  <c r="AT37" i="13"/>
  <c r="BE105" i="14"/>
  <c r="AP174" i="13"/>
  <c r="H38" i="5"/>
  <c r="H40" i="5" s="1"/>
  <c r="H50" i="5" s="1"/>
  <c r="AR33" i="13"/>
  <c r="AG116" i="13"/>
  <c r="AP48" i="13"/>
  <c r="AG55" i="13"/>
  <c r="AG187" i="13"/>
  <c r="AG122" i="13" s="1"/>
  <c r="L49" i="4"/>
  <c r="BQ84" i="14"/>
  <c r="AN112" i="13"/>
  <c r="AG117" i="13"/>
  <c r="BG99" i="14"/>
  <c r="BH99" i="14" s="1"/>
  <c r="BG24" i="13"/>
  <c r="BH24" i="13" s="1"/>
  <c r="AG60" i="13"/>
  <c r="AT39" i="13"/>
  <c r="BQ80" i="14"/>
  <c r="BR80" i="14" s="1"/>
  <c r="BT85" i="14"/>
  <c r="Y195" i="13"/>
  <c r="Y196" i="13" s="1"/>
  <c r="X139" i="14"/>
  <c r="AE132" i="14"/>
  <c r="BI100" i="14"/>
  <c r="BC104" i="14"/>
  <c r="BD104" i="14" s="1"/>
  <c r="AP113" i="14"/>
  <c r="AQ113" i="14" s="1"/>
  <c r="AD125" i="13"/>
  <c r="BN91" i="14"/>
  <c r="BB23" i="13"/>
  <c r="BC23" i="13" s="1"/>
  <c r="BK18" i="13"/>
  <c r="S135" i="12"/>
  <c r="S70" i="12" s="1"/>
  <c r="N14" i="14"/>
  <c r="N71" i="12"/>
  <c r="AV32" i="13"/>
  <c r="AW32" i="13" s="1"/>
  <c r="BL88" i="14"/>
  <c r="L25" i="4"/>
  <c r="L24" i="4"/>
  <c r="BC160" i="13"/>
  <c r="BC28" i="13" s="1"/>
  <c r="BJ152" i="13"/>
  <c r="BJ20" i="13" s="1"/>
  <c r="AE126" i="13"/>
  <c r="AE191" i="13"/>
  <c r="AE134" i="14" s="1"/>
  <c r="AO113" i="13"/>
  <c r="AO178" i="13"/>
  <c r="AO46" i="13" s="1"/>
  <c r="BE21" i="13"/>
  <c r="BU79" i="14"/>
  <c r="BH97" i="14"/>
  <c r="AQ119" i="14"/>
  <c r="BN83" i="13"/>
  <c r="BN148" i="13"/>
  <c r="AM108" i="13"/>
  <c r="AM173" i="13"/>
  <c r="AM116" i="14" s="1"/>
  <c r="BT8" i="13"/>
  <c r="BI11" i="13"/>
  <c r="BJ11" i="13" s="1"/>
  <c r="BI86" i="14"/>
  <c r="BJ86" i="14" s="1"/>
  <c r="AH54" i="13"/>
  <c r="AH186" i="13"/>
  <c r="AH129" i="14" s="1"/>
  <c r="BD29" i="13"/>
  <c r="AZ84" i="13"/>
  <c r="AU35" i="13"/>
  <c r="BO12" i="13"/>
  <c r="BF162" i="13"/>
  <c r="BF30" i="13" s="1"/>
  <c r="BE96" i="14"/>
  <c r="BU71" i="13"/>
  <c r="BU136" i="13"/>
  <c r="BU4" i="13" s="1"/>
  <c r="BF3" i="13"/>
  <c r="BG3" i="13" s="1"/>
  <c r="BF78" i="14"/>
  <c r="F22" i="15"/>
  <c r="J5" i="12"/>
  <c r="BH22" i="13"/>
  <c r="AW163" i="13"/>
  <c r="AW31" i="13" s="1"/>
  <c r="AF131" i="14"/>
  <c r="AG131" i="14" s="1"/>
  <c r="BM16" i="13"/>
  <c r="BN16" i="13" s="1"/>
  <c r="AZ101" i="13"/>
  <c r="AZ166" i="13"/>
  <c r="AZ34" i="13" s="1"/>
  <c r="CI7" i="7"/>
  <c r="CJ3" i="7" s="1"/>
  <c r="CI4" i="7"/>
  <c r="CI6" i="7" s="1"/>
  <c r="AE189" i="13"/>
  <c r="AE57" i="13" s="1"/>
  <c r="AN119" i="13" l="1"/>
  <c r="AN184" i="13"/>
  <c r="AU171" i="13"/>
  <c r="AU114" i="14" s="1"/>
  <c r="BK78" i="13"/>
  <c r="BK143" i="13"/>
  <c r="AP46" i="13"/>
  <c r="AP178" i="13"/>
  <c r="AH122" i="13"/>
  <c r="AH187" i="13"/>
  <c r="BJ157" i="13"/>
  <c r="BJ92" i="13" s="1"/>
  <c r="BI156" i="13"/>
  <c r="BI91" i="13" s="1"/>
  <c r="BU75" i="13"/>
  <c r="BU140" i="13"/>
  <c r="BI89" i="13"/>
  <c r="BI154" i="13"/>
  <c r="AB194" i="13"/>
  <c r="AB129" i="13" s="1"/>
  <c r="AR105" i="13"/>
  <c r="AR170" i="13"/>
  <c r="BL150" i="13"/>
  <c r="BL85" i="13" s="1"/>
  <c r="AH123" i="13"/>
  <c r="AH188" i="13"/>
  <c r="BF153" i="13"/>
  <c r="BF88" i="13" s="1"/>
  <c r="BU142" i="13"/>
  <c r="BU77" i="13" s="1"/>
  <c r="BP79" i="13"/>
  <c r="BP144" i="13"/>
  <c r="AX164" i="13"/>
  <c r="AX99" i="13" s="1"/>
  <c r="AQ180" i="13"/>
  <c r="AQ115" i="13" s="1"/>
  <c r="BI22" i="13"/>
  <c r="AX32" i="13"/>
  <c r="Y64" i="13"/>
  <c r="AR176" i="13"/>
  <c r="AR119" i="14" s="1"/>
  <c r="BF97" i="13"/>
  <c r="BR141" i="13"/>
  <c r="BR76" i="13" s="1"/>
  <c r="BC101" i="14"/>
  <c r="AW168" i="13"/>
  <c r="AW103" i="13" s="1"/>
  <c r="BU10" i="13"/>
  <c r="AS165" i="13"/>
  <c r="AS108" i="14" s="1"/>
  <c r="BA149" i="13"/>
  <c r="L50" i="4"/>
  <c r="L72" i="4"/>
  <c r="AP42" i="13"/>
  <c r="AP117" i="14"/>
  <c r="AI53" i="13"/>
  <c r="AI185" i="13"/>
  <c r="AI120" i="13" s="1"/>
  <c r="BM80" i="13"/>
  <c r="BM145" i="13"/>
  <c r="AY159" i="13"/>
  <c r="AY94" i="13" s="1"/>
  <c r="S13" i="14"/>
  <c r="AO121" i="14"/>
  <c r="AP121" i="14" s="1"/>
  <c r="AM52" i="13"/>
  <c r="AN52" i="13" s="1"/>
  <c r="BK93" i="14"/>
  <c r="BL93" i="14" s="1"/>
  <c r="BS82" i="14"/>
  <c r="BC95" i="13"/>
  <c r="BL14" i="13"/>
  <c r="AE190" i="13"/>
  <c r="Y63" i="13"/>
  <c r="BI99" i="14"/>
  <c r="AP109" i="13"/>
  <c r="AC193" i="13"/>
  <c r="AC136" i="14" s="1"/>
  <c r="BI15" i="13"/>
  <c r="BI147" i="13"/>
  <c r="BI82" i="13" s="1"/>
  <c r="AR38" i="13"/>
  <c r="B95" i="14"/>
  <c r="C95" i="14" s="1"/>
  <c r="B94" i="13"/>
  <c r="C94" i="13" s="1"/>
  <c r="B94" i="12"/>
  <c r="C94" i="12" s="1"/>
  <c r="Y130" i="13"/>
  <c r="BG70" i="13"/>
  <c r="AH55" i="13"/>
  <c r="CJ7" i="7"/>
  <c r="CK3" i="7" s="1"/>
  <c r="CJ4" i="7"/>
  <c r="CJ6" i="7" s="1"/>
  <c r="AN173" i="13"/>
  <c r="AN108" i="13" s="1"/>
  <c r="BI24" i="13"/>
  <c r="AB137" i="14"/>
  <c r="BA166" i="13"/>
  <c r="BA109" i="14" s="1"/>
  <c r="BO148" i="13"/>
  <c r="BO83" i="13" s="1"/>
  <c r="AR113" i="14"/>
  <c r="BU85" i="14"/>
  <c r="AH117" i="13"/>
  <c r="AH182" i="13"/>
  <c r="AM127" i="14"/>
  <c r="AN127" i="14" s="1"/>
  <c r="AS115" i="14"/>
  <c r="BR9" i="13"/>
  <c r="AN110" i="13"/>
  <c r="AW107" i="14"/>
  <c r="AX107" i="14" s="1"/>
  <c r="AE59" i="13"/>
  <c r="AF59" i="13" s="1"/>
  <c r="AP123" i="14"/>
  <c r="AW36" i="13"/>
  <c r="AG130" i="14"/>
  <c r="AH130" i="14" s="1"/>
  <c r="BR72" i="13"/>
  <c r="AA62" i="13"/>
  <c r="AB62" i="13" s="1"/>
  <c r="K137" i="12"/>
  <c r="K5" i="12"/>
  <c r="J65" i="12"/>
  <c r="BF96" i="14"/>
  <c r="AP113" i="13"/>
  <c r="AF189" i="13"/>
  <c r="AF124" i="13" s="1"/>
  <c r="BK86" i="14"/>
  <c r="BI97" i="14"/>
  <c r="L26" i="4"/>
  <c r="I15" i="5" a="1"/>
  <c r="I15" i="5" s="1"/>
  <c r="K18" i="6" a="1"/>
  <c r="K18" i="6" s="1"/>
  <c r="BJ100" i="14"/>
  <c r="AU39" i="13"/>
  <c r="BC103" i="14"/>
  <c r="AQ48" i="13"/>
  <c r="AU37" i="13"/>
  <c r="BU83" i="14"/>
  <c r="BS74" i="13"/>
  <c r="I92" i="11"/>
  <c r="H92" i="11"/>
  <c r="G93" i="11"/>
  <c r="J92" i="11"/>
  <c r="BL81" i="13"/>
  <c r="BC93" i="13"/>
  <c r="AI128" i="14"/>
  <c r="AH56" i="13"/>
  <c r="BJ25" i="13"/>
  <c r="BI90" i="14"/>
  <c r="AU104" i="13"/>
  <c r="AU169" i="13"/>
  <c r="AU112" i="14" s="1"/>
  <c r="BP87" i="14"/>
  <c r="AO122" i="14"/>
  <c r="AO114" i="13"/>
  <c r="BE161" i="13"/>
  <c r="BE96" i="13" s="1"/>
  <c r="AV102" i="13"/>
  <c r="AV167" i="13"/>
  <c r="AV110" i="14" s="1"/>
  <c r="AR111" i="13"/>
  <c r="BD155" i="13"/>
  <c r="BD98" i="14" s="1"/>
  <c r="AO177" i="13"/>
  <c r="AO120" i="14" s="1"/>
  <c r="BF105" i="14"/>
  <c r="AW111" i="14"/>
  <c r="AH131" i="14"/>
  <c r="F23" i="15"/>
  <c r="L40" i="4"/>
  <c r="F34" i="15"/>
  <c r="AW106" i="14"/>
  <c r="BK11" i="13"/>
  <c r="BL18" i="13"/>
  <c r="BR84" i="14"/>
  <c r="AS33" i="13"/>
  <c r="AH50" i="13"/>
  <c r="BR138" i="13"/>
  <c r="BA17" i="13"/>
  <c r="AK183" i="13"/>
  <c r="AK51" i="13" s="1"/>
  <c r="AO47" i="13"/>
  <c r="O136" i="12"/>
  <c r="AH121" i="13"/>
  <c r="AH192" i="13"/>
  <c r="AH135" i="14" s="1"/>
  <c r="AF126" i="13"/>
  <c r="AF191" i="13"/>
  <c r="AF134" i="14" s="1"/>
  <c r="S3" i="12"/>
  <c r="AF132" i="14"/>
  <c r="AH181" i="13"/>
  <c r="AH116" i="13" s="1"/>
  <c r="BC151" i="13"/>
  <c r="BC19" i="13" s="1"/>
  <c r="AW98" i="13"/>
  <c r="BG78" i="14"/>
  <c r="BP12" i="13"/>
  <c r="BU8" i="13"/>
  <c r="BF21" i="13"/>
  <c r="BJ95" i="14"/>
  <c r="AV35" i="13"/>
  <c r="BJ87" i="13"/>
  <c r="BM88" i="14"/>
  <c r="BD23" i="13"/>
  <c r="Y138" i="14"/>
  <c r="BM13" i="13"/>
  <c r="AH125" i="14"/>
  <c r="AK118" i="13"/>
  <c r="AS107" i="13"/>
  <c r="AC61" i="13"/>
  <c r="AN118" i="14"/>
  <c r="AX27" i="13"/>
  <c r="AO108" i="13" l="1"/>
  <c r="AO173" i="13"/>
  <c r="AG189" i="13"/>
  <c r="AG132" i="14" s="1"/>
  <c r="AC194" i="13"/>
  <c r="AC129" i="13" s="1"/>
  <c r="BG153" i="13"/>
  <c r="BG88" i="13" s="1"/>
  <c r="BF161" i="13"/>
  <c r="BF96" i="13" s="1"/>
  <c r="AJ185" i="13"/>
  <c r="AJ120" i="13" s="1"/>
  <c r="AZ159" i="13"/>
  <c r="AX103" i="13"/>
  <c r="AX168" i="13"/>
  <c r="AR115" i="13"/>
  <c r="AR180" i="13"/>
  <c r="BM85" i="13"/>
  <c r="BM150" i="13"/>
  <c r="BJ156" i="13"/>
  <c r="BJ99" i="14" s="1"/>
  <c r="BP148" i="13"/>
  <c r="BP83" i="13" s="1"/>
  <c r="AY99" i="13"/>
  <c r="AY164" i="13"/>
  <c r="AI116" i="13"/>
  <c r="AI181" i="13"/>
  <c r="BS76" i="13"/>
  <c r="BS141" i="13"/>
  <c r="BE104" i="14"/>
  <c r="BQ144" i="13"/>
  <c r="BQ79" i="13" s="1"/>
  <c r="AI123" i="13"/>
  <c r="AI188" i="13"/>
  <c r="AX111" i="14"/>
  <c r="AV169" i="13"/>
  <c r="AV112" i="14" s="1"/>
  <c r="AI117" i="13"/>
  <c r="AI182" i="13"/>
  <c r="AI125" i="14" s="1"/>
  <c r="BQ12" i="13"/>
  <c r="BC86" i="13"/>
  <c r="B96" i="14"/>
  <c r="C96" i="14" s="1"/>
  <c r="B95" i="13"/>
  <c r="C95" i="13" s="1"/>
  <c r="B95" i="12"/>
  <c r="C95" i="12" s="1"/>
  <c r="K196" i="12"/>
  <c r="K15" i="14"/>
  <c r="K72" i="12"/>
  <c r="AY107" i="14"/>
  <c r="AC137" i="14"/>
  <c r="BM93" i="14"/>
  <c r="AR44" i="13"/>
  <c r="AN116" i="14"/>
  <c r="AO116" i="14" s="1"/>
  <c r="AU106" i="13"/>
  <c r="AT107" i="13"/>
  <c r="AT172" i="13"/>
  <c r="AT40" i="13" s="1"/>
  <c r="G94" i="11"/>
  <c r="J93" i="11"/>
  <c r="I93" i="11"/>
  <c r="H93" i="11"/>
  <c r="BA101" i="13"/>
  <c r="AO45" i="13"/>
  <c r="AC62" i="13"/>
  <c r="AO175" i="13"/>
  <c r="AO43" i="13" s="1"/>
  <c r="BJ82" i="13"/>
  <c r="BJ147" i="13"/>
  <c r="Z63" i="13"/>
  <c r="BA34" i="13"/>
  <c r="BO16" i="13"/>
  <c r="BP16" i="13" s="1"/>
  <c r="AW167" i="13"/>
  <c r="AW102" i="13" s="1"/>
  <c r="BC94" i="14"/>
  <c r="AX98" i="13"/>
  <c r="AX163" i="13"/>
  <c r="AX31" i="13" s="1"/>
  <c r="O4" i="12"/>
  <c r="AI50" i="13"/>
  <c r="AJ128" i="14"/>
  <c r="BT139" i="13"/>
  <c r="BT7" i="13" s="1"/>
  <c r="K19" i="6"/>
  <c r="BS9" i="13"/>
  <c r="O14" i="14"/>
  <c r="BJ15" i="13"/>
  <c r="AE58" i="13"/>
  <c r="AE133" i="14"/>
  <c r="AN41" i="13"/>
  <c r="AO41" i="13" s="1"/>
  <c r="BN145" i="13"/>
  <c r="BN88" i="14" s="1"/>
  <c r="BA92" i="14"/>
  <c r="AG191" i="13"/>
  <c r="AG126" i="13" s="1"/>
  <c r="BR81" i="14"/>
  <c r="BR73" i="13"/>
  <c r="AW35" i="13"/>
  <c r="BR6" i="13"/>
  <c r="AI56" i="13"/>
  <c r="AY27" i="13"/>
  <c r="AZ27" i="13" s="1"/>
  <c r="BK95" i="14"/>
  <c r="AF57" i="13"/>
  <c r="AG57" i="13" s="1"/>
  <c r="T135" i="12"/>
  <c r="T3" i="12" s="1"/>
  <c r="L43" i="4"/>
  <c r="BD90" i="13"/>
  <c r="BD158" i="13"/>
  <c r="BD26" i="13" s="1"/>
  <c r="I16" i="5"/>
  <c r="AT115" i="14"/>
  <c r="O71" i="12"/>
  <c r="BH135" i="13"/>
  <c r="AE125" i="13"/>
  <c r="BA84" i="13"/>
  <c r="BO91" i="14"/>
  <c r="BP91" i="14" s="1"/>
  <c r="BJ90" i="14"/>
  <c r="AQ174" i="13"/>
  <c r="AQ117" i="14" s="1"/>
  <c r="BE29" i="13"/>
  <c r="BF29" i="13" s="1"/>
  <c r="L77" i="4"/>
  <c r="K45" i="6" a="1"/>
  <c r="K45" i="6" s="1"/>
  <c r="AL118" i="13"/>
  <c r="AL183" i="13"/>
  <c r="AL51" i="13" s="1"/>
  <c r="BK87" i="13"/>
  <c r="BK152" i="13"/>
  <c r="BK20" i="13" s="1"/>
  <c r="BH78" i="14"/>
  <c r="AH49" i="13"/>
  <c r="AI49" i="13" s="1"/>
  <c r="AH124" i="14"/>
  <c r="AI124" i="14" s="1"/>
  <c r="AH127" i="13"/>
  <c r="BK25" i="13"/>
  <c r="BK157" i="13"/>
  <c r="BK100" i="14" s="1"/>
  <c r="F35" i="15"/>
  <c r="F36" i="15"/>
  <c r="F40" i="15"/>
  <c r="F48" i="15" s="1"/>
  <c r="AP179" i="13"/>
  <c r="AP47" i="13" s="1"/>
  <c r="AK126" i="14"/>
  <c r="AL126" i="14" s="1"/>
  <c r="AH60" i="13"/>
  <c r="BS84" i="14"/>
  <c r="F47" i="15"/>
  <c r="L33" i="4"/>
  <c r="AS176" i="13"/>
  <c r="AS111" i="13" s="1"/>
  <c r="BM146" i="13"/>
  <c r="BM89" i="14" s="1"/>
  <c r="AV37" i="13"/>
  <c r="AQ113" i="13"/>
  <c r="AQ178" i="13"/>
  <c r="AQ46" i="13" s="1"/>
  <c r="AX36" i="13"/>
  <c r="AO127" i="14"/>
  <c r="Z130" i="13"/>
  <c r="Z195" i="13"/>
  <c r="Z196" i="13" s="1"/>
  <c r="Y131" i="13"/>
  <c r="BM14" i="13"/>
  <c r="AQ121" i="14"/>
  <c r="AJ53" i="13"/>
  <c r="AY32" i="13"/>
  <c r="BJ154" i="13"/>
  <c r="BJ89" i="13" s="1"/>
  <c r="AI187" i="13"/>
  <c r="AI130" i="14" s="1"/>
  <c r="BL143" i="13"/>
  <c r="BL78" i="13" s="1"/>
  <c r="AY102" i="14"/>
  <c r="L137" i="12"/>
  <c r="AI186" i="13"/>
  <c r="AO112" i="13"/>
  <c r="BQ87" i="14"/>
  <c r="AO118" i="14"/>
  <c r="Z138" i="14"/>
  <c r="Y139" i="14"/>
  <c r="BG21" i="13"/>
  <c r="BM18" i="13"/>
  <c r="AI131" i="14"/>
  <c r="AR48" i="13"/>
  <c r="BJ97" i="14"/>
  <c r="BG96" i="14"/>
  <c r="AQ123" i="14"/>
  <c r="AR123" i="14" s="1"/>
  <c r="CK7" i="7"/>
  <c r="CL3" i="7" s="1"/>
  <c r="CK4" i="7"/>
  <c r="CK6" i="7" s="1"/>
  <c r="AC128" i="13"/>
  <c r="BD95" i="13"/>
  <c r="BD160" i="13"/>
  <c r="BD28" i="13" s="1"/>
  <c r="T13" i="14"/>
  <c r="AS100" i="13"/>
  <c r="BJ22" i="13"/>
  <c r="BS137" i="13"/>
  <c r="BT82" i="14"/>
  <c r="AQ42" i="13"/>
  <c r="BG162" i="13"/>
  <c r="BG30" i="13" s="1"/>
  <c r="AS170" i="13"/>
  <c r="AS38" i="13" s="1"/>
  <c r="AO184" i="13"/>
  <c r="AO52" i="13" s="1"/>
  <c r="BR144" i="13" l="1"/>
  <c r="BR79" i="13" s="1"/>
  <c r="BQ148" i="13"/>
  <c r="BQ83" i="13" s="1"/>
  <c r="AK120" i="13"/>
  <c r="AK185" i="13"/>
  <c r="BH153" i="13"/>
  <c r="BH88" i="13" s="1"/>
  <c r="AH191" i="13"/>
  <c r="AH126" i="13" s="1"/>
  <c r="AX102" i="13"/>
  <c r="AX167" i="13"/>
  <c r="AD194" i="13"/>
  <c r="AD137" i="14" s="1"/>
  <c r="BK89" i="13"/>
  <c r="BK154" i="13"/>
  <c r="AT176" i="13"/>
  <c r="AT111" i="13" s="1"/>
  <c r="BS5" i="13"/>
  <c r="BS80" i="14"/>
  <c r="AQ109" i="13"/>
  <c r="AF190" i="13"/>
  <c r="AF58" i="13" s="1"/>
  <c r="BT74" i="13"/>
  <c r="BB34" i="13"/>
  <c r="BB166" i="13"/>
  <c r="BB109" i="14" s="1"/>
  <c r="AU172" i="13"/>
  <c r="AU107" i="13" s="1"/>
  <c r="AJ117" i="13"/>
  <c r="AJ182" i="13"/>
  <c r="AJ125" i="14" s="1"/>
  <c r="AJ123" i="13"/>
  <c r="AJ188" i="13"/>
  <c r="AJ181" i="13"/>
  <c r="AJ116" i="13" s="1"/>
  <c r="BE160" i="13"/>
  <c r="BE95" i="13" s="1"/>
  <c r="AI54" i="13"/>
  <c r="AI129" i="14"/>
  <c r="AO119" i="13"/>
  <c r="AD193" i="13"/>
  <c r="AI121" i="13"/>
  <c r="AI122" i="13"/>
  <c r="AT100" i="13"/>
  <c r="AT165" i="13"/>
  <c r="AI192" i="13"/>
  <c r="AI135" i="14" s="1"/>
  <c r="T70" i="12"/>
  <c r="U135" i="12" s="1"/>
  <c r="BD101" i="14"/>
  <c r="AK128" i="14"/>
  <c r="AY163" i="13"/>
  <c r="AY31" i="13" s="1"/>
  <c r="BB101" i="13"/>
  <c r="BL11" i="13"/>
  <c r="AS113" i="14"/>
  <c r="BK92" i="13"/>
  <c r="BJ91" i="13"/>
  <c r="AG124" i="13"/>
  <c r="AJ131" i="14"/>
  <c r="BK22" i="13"/>
  <c r="F29" i="15"/>
  <c r="F46" i="15"/>
  <c r="AM118" i="13"/>
  <c r="AM183" i="13"/>
  <c r="AM51" i="13" s="1"/>
  <c r="AI55" i="13"/>
  <c r="BH3" i="13"/>
  <c r="AX35" i="13"/>
  <c r="AS105" i="13"/>
  <c r="CL4" i="7"/>
  <c r="CL7" i="7"/>
  <c r="CM3" i="7" s="1"/>
  <c r="L5" i="12"/>
  <c r="Z64" i="13"/>
  <c r="BM81" i="13"/>
  <c r="AJ124" i="14"/>
  <c r="AG59" i="13"/>
  <c r="AH59" i="13" s="1"/>
  <c r="BH70" i="13"/>
  <c r="BD93" i="13"/>
  <c r="BS138" i="13"/>
  <c r="BS73" i="13" s="1"/>
  <c r="AP122" i="14"/>
  <c r="B97" i="14"/>
  <c r="C97" i="14" s="1"/>
  <c r="B96" i="13"/>
  <c r="C96" i="13" s="1"/>
  <c r="B96" i="12"/>
  <c r="C96" i="12" s="1"/>
  <c r="AV171" i="13"/>
  <c r="BG105" i="14"/>
  <c r="AV104" i="13"/>
  <c r="AZ94" i="13"/>
  <c r="AG134" i="14"/>
  <c r="AH134" i="14" s="1"/>
  <c r="AJ49" i="13"/>
  <c r="K51" i="6"/>
  <c r="BE155" i="13"/>
  <c r="BS81" i="14"/>
  <c r="AJ50" i="13"/>
  <c r="BD94" i="14"/>
  <c r="BK82" i="13"/>
  <c r="BK147" i="13"/>
  <c r="BK15" i="13" s="1"/>
  <c r="L72" i="12"/>
  <c r="AX106" i="14"/>
  <c r="BF104" i="14"/>
  <c r="AZ164" i="13"/>
  <c r="AZ107" i="14" s="1"/>
  <c r="BN150" i="13"/>
  <c r="BN85" i="13" s="1"/>
  <c r="AW110" i="14"/>
  <c r="AX110" i="14" s="1"/>
  <c r="BK90" i="14"/>
  <c r="L54" i="4"/>
  <c r="BL86" i="14"/>
  <c r="BS72" i="13"/>
  <c r="P136" i="12"/>
  <c r="P14" i="14" s="1"/>
  <c r="BD103" i="14"/>
  <c r="BE103" i="14" s="1"/>
  <c r="BJ24" i="13"/>
  <c r="AS44" i="13"/>
  <c r="AT44" i="13" s="1"/>
  <c r="L15" i="14"/>
  <c r="K74" i="14"/>
  <c r="K4" i="14" s="1"/>
  <c r="BD86" i="13"/>
  <c r="BD151" i="13"/>
  <c r="BD19" i="13" s="1"/>
  <c r="AS119" i="14"/>
  <c r="AT119" i="14" s="1"/>
  <c r="AZ102" i="14"/>
  <c r="AM126" i="14"/>
  <c r="BK97" i="14"/>
  <c r="BR87" i="14"/>
  <c r="AK53" i="13"/>
  <c r="BQ91" i="14"/>
  <c r="AU115" i="14"/>
  <c r="BN13" i="13"/>
  <c r="BN80" i="13"/>
  <c r="G95" i="11"/>
  <c r="J94" i="11"/>
  <c r="I94" i="11"/>
  <c r="H94" i="11"/>
  <c r="G31" i="15"/>
  <c r="K64" i="12"/>
  <c r="G27" i="15" s="1"/>
  <c r="BR12" i="13"/>
  <c r="BT141" i="13"/>
  <c r="BT9" i="13" s="1"/>
  <c r="AS180" i="13"/>
  <c r="AS123" i="14" s="1"/>
  <c r="F42" i="15"/>
  <c r="BE28" i="13"/>
  <c r="AP177" i="13"/>
  <c r="AP120" i="14" s="1"/>
  <c r="AP114" i="13"/>
  <c r="BG161" i="13"/>
  <c r="BG96" i="13" s="1"/>
  <c r="BB84" i="13"/>
  <c r="BB149" i="13"/>
  <c r="AO110" i="13"/>
  <c r="Z139" i="14"/>
  <c r="AZ32" i="13"/>
  <c r="AA195" i="13"/>
  <c r="AA196" i="13" s="1"/>
  <c r="Z131" i="13"/>
  <c r="AI60" i="13"/>
  <c r="F37" i="15"/>
  <c r="BG97" i="13"/>
  <c r="BH96" i="14"/>
  <c r="AR178" i="13"/>
  <c r="AR121" i="14" s="1"/>
  <c r="K23" i="6" a="1"/>
  <c r="K23" i="6" s="1"/>
  <c r="I18" i="5" a="1"/>
  <c r="I18" i="5" s="1"/>
  <c r="BL152" i="13"/>
  <c r="BL20" i="13" s="1"/>
  <c r="AJ56" i="13"/>
  <c r="AF133" i="14"/>
  <c r="BQ16" i="13"/>
  <c r="AD62" i="13"/>
  <c r="AU40" i="13"/>
  <c r="AY168" i="13"/>
  <c r="AY111" i="14" s="1"/>
  <c r="AP173" i="13"/>
  <c r="AP108" i="13" s="1"/>
  <c r="BO150" i="13" l="1"/>
  <c r="BO85" i="13" s="1"/>
  <c r="AI126" i="13"/>
  <c r="AI191" i="13"/>
  <c r="BI88" i="13"/>
  <c r="BI153" i="13"/>
  <c r="U13" i="14"/>
  <c r="U3" i="12"/>
  <c r="AU176" i="13"/>
  <c r="AU111" i="13" s="1"/>
  <c r="C97" i="12"/>
  <c r="BH161" i="13"/>
  <c r="BH96" i="13" s="1"/>
  <c r="AQ173" i="13"/>
  <c r="AQ108" i="13" s="1"/>
  <c r="BF95" i="13"/>
  <c r="BF160" i="13"/>
  <c r="BF103" i="14" s="1"/>
  <c r="BR83" i="13"/>
  <c r="BR148" i="13"/>
  <c r="C97" i="13"/>
  <c r="BT138" i="13"/>
  <c r="BT73" i="13" s="1"/>
  <c r="AK116" i="13"/>
  <c r="AK181" i="13"/>
  <c r="BS144" i="13"/>
  <c r="BS87" i="14" s="1"/>
  <c r="AR113" i="13"/>
  <c r="B98" i="14"/>
  <c r="C98" i="14" s="1"/>
  <c r="B97" i="13"/>
  <c r="B97" i="12"/>
  <c r="BI96" i="14"/>
  <c r="BL95" i="14"/>
  <c r="AZ99" i="13"/>
  <c r="BL147" i="13"/>
  <c r="BL15" i="13" s="1"/>
  <c r="AI59" i="13"/>
  <c r="AT105" i="13"/>
  <c r="AT170" i="13"/>
  <c r="AT38" i="13" s="1"/>
  <c r="AA63" i="13"/>
  <c r="AJ186" i="13"/>
  <c r="AJ121" i="13" s="1"/>
  <c r="BS6" i="13"/>
  <c r="BT6" i="13" s="1"/>
  <c r="BL89" i="13"/>
  <c r="BL154" i="13"/>
  <c r="AY102" i="13"/>
  <c r="AY167" i="13"/>
  <c r="BN93" i="14"/>
  <c r="BO93" i="14" s="1"/>
  <c r="BC149" i="13"/>
  <c r="AS48" i="13"/>
  <c r="AV40" i="13"/>
  <c r="AV172" i="13"/>
  <c r="AV107" i="13" s="1"/>
  <c r="AA138" i="14"/>
  <c r="BT76" i="13"/>
  <c r="J95" i="11"/>
  <c r="I95" i="11"/>
  <c r="H95" i="11"/>
  <c r="G96" i="11"/>
  <c r="BG104" i="14"/>
  <c r="AV114" i="14"/>
  <c r="AV39" i="13"/>
  <c r="AK124" i="14"/>
  <c r="AY35" i="13"/>
  <c r="AH189" i="13"/>
  <c r="AD61" i="13"/>
  <c r="AD136" i="14"/>
  <c r="AL185" i="13"/>
  <c r="AL128" i="14" s="1"/>
  <c r="BB17" i="13"/>
  <c r="BC17" i="13" s="1"/>
  <c r="AP112" i="13"/>
  <c r="AS115" i="13"/>
  <c r="AY36" i="13"/>
  <c r="AY103" i="13"/>
  <c r="BL87" i="13"/>
  <c r="BF28" i="13"/>
  <c r="BG29" i="13"/>
  <c r="BH29" i="13" s="1"/>
  <c r="L34" i="4"/>
  <c r="L55" i="4"/>
  <c r="L62" i="4"/>
  <c r="L65" i="4"/>
  <c r="L61" i="4"/>
  <c r="L66" i="4"/>
  <c r="L68" i="4"/>
  <c r="L67" i="4"/>
  <c r="L64" i="4"/>
  <c r="L63" i="4"/>
  <c r="L56" i="4"/>
  <c r="K27" i="6" a="1"/>
  <c r="K27" i="6" s="1"/>
  <c r="I21" i="5" a="1"/>
  <c r="I21" i="5" s="1"/>
  <c r="AK49" i="13"/>
  <c r="AV106" i="13"/>
  <c r="BT84" i="14"/>
  <c r="BI3" i="13"/>
  <c r="BI135" i="13"/>
  <c r="AD128" i="13"/>
  <c r="AP45" i="13"/>
  <c r="AF125" i="13"/>
  <c r="AR46" i="13"/>
  <c r="AU44" i="13"/>
  <c r="BH162" i="13"/>
  <c r="BH30" i="13" s="1"/>
  <c r="F41" i="15"/>
  <c r="BS12" i="13"/>
  <c r="BL97" i="14"/>
  <c r="AU119" i="14"/>
  <c r="BR16" i="13"/>
  <c r="AP175" i="13"/>
  <c r="M41" i="4"/>
  <c r="BO145" i="13"/>
  <c r="BO88" i="14" s="1"/>
  <c r="BE19" i="13"/>
  <c r="BE151" i="13"/>
  <c r="BE94" i="14" s="1"/>
  <c r="AY106" i="14"/>
  <c r="BB92" i="14"/>
  <c r="BN81" i="13"/>
  <c r="BN146" i="13"/>
  <c r="BH21" i="13"/>
  <c r="BI21" i="13" s="1"/>
  <c r="BK91" i="13"/>
  <c r="BK156" i="13"/>
  <c r="BK99" i="14" s="1"/>
  <c r="AY98" i="13"/>
  <c r="AI127" i="13"/>
  <c r="AP184" i="13"/>
  <c r="AR174" i="13"/>
  <c r="AA64" i="13"/>
  <c r="AP41" i="13"/>
  <c r="AQ41" i="13" s="1"/>
  <c r="AQ114" i="13"/>
  <c r="AQ179" i="13"/>
  <c r="AQ47" i="13" s="1"/>
  <c r="M42" i="4"/>
  <c r="BE86" i="13"/>
  <c r="P4" i="12"/>
  <c r="AY110" i="14"/>
  <c r="BT81" i="14"/>
  <c r="AI134" i="14"/>
  <c r="BL22" i="13"/>
  <c r="BL157" i="13"/>
  <c r="BL92" i="13" s="1"/>
  <c r="AJ129" i="14"/>
  <c r="AK188" i="13"/>
  <c r="AK56" i="13" s="1"/>
  <c r="BA159" i="13"/>
  <c r="M137" i="12"/>
  <c r="M72" i="12" s="1"/>
  <c r="M5" i="12"/>
  <c r="AK131" i="14"/>
  <c r="AT113" i="14"/>
  <c r="AT33" i="13"/>
  <c r="AT108" i="14"/>
  <c r="AJ54" i="13"/>
  <c r="BN18" i="13"/>
  <c r="BO18" i="13" s="1"/>
  <c r="AD129" i="13"/>
  <c r="K6" i="14"/>
  <c r="M15" i="4" s="1"/>
  <c r="K5" i="14"/>
  <c r="BT72" i="13"/>
  <c r="BT137" i="13"/>
  <c r="P71" i="12"/>
  <c r="AP116" i="14"/>
  <c r="AQ116" i="14" s="1"/>
  <c r="BE23" i="13"/>
  <c r="BE98" i="14"/>
  <c r="AW104" i="13"/>
  <c r="AW169" i="13"/>
  <c r="AQ122" i="14"/>
  <c r="BE158" i="13"/>
  <c r="BE26" i="13" s="1"/>
  <c r="CM7" i="7"/>
  <c r="CN3" i="7" s="1"/>
  <c r="CM4" i="7"/>
  <c r="CM6" i="7" s="1"/>
  <c r="AN183" i="13"/>
  <c r="AN118" i="13" s="1"/>
  <c r="BM11" i="13"/>
  <c r="BM143" i="13"/>
  <c r="BM78" i="13" s="1"/>
  <c r="AU165" i="13"/>
  <c r="AU100" i="13" s="1"/>
  <c r="AK182" i="13"/>
  <c r="AK117" i="13" s="1"/>
  <c r="BU74" i="13"/>
  <c r="BU139" i="13"/>
  <c r="BT80" i="14"/>
  <c r="AV115" i="14"/>
  <c r="AA130" i="13"/>
  <c r="BR91" i="14"/>
  <c r="M15" i="14"/>
  <c r="BM86" i="14"/>
  <c r="BL90" i="14"/>
  <c r="BE90" i="13"/>
  <c r="BH105" i="14"/>
  <c r="BI70" i="13"/>
  <c r="CL6" i="7"/>
  <c r="BC166" i="13"/>
  <c r="BC109" i="14" s="1"/>
  <c r="U70" i="12"/>
  <c r="AJ187" i="13"/>
  <c r="AJ130" i="14" s="1"/>
  <c r="BT5" i="13"/>
  <c r="AO183" i="13" l="1"/>
  <c r="AO118" i="13" s="1"/>
  <c r="BG103" i="14"/>
  <c r="BF94" i="14"/>
  <c r="AV176" i="13"/>
  <c r="AV111" i="13" s="1"/>
  <c r="BM157" i="13"/>
  <c r="BM92" i="13" s="1"/>
  <c r="AW172" i="13"/>
  <c r="AW107" i="13" s="1"/>
  <c r="AR108" i="13"/>
  <c r="AR173" i="13"/>
  <c r="BI161" i="13"/>
  <c r="BI96" i="13" s="1"/>
  <c r="AV100" i="13"/>
  <c r="AV165" i="13"/>
  <c r="AK121" i="13"/>
  <c r="AK186" i="13"/>
  <c r="BU138" i="13"/>
  <c r="BU73" i="13" s="1"/>
  <c r="BP150" i="13"/>
  <c r="BP85" i="13" s="1"/>
  <c r="AR116" i="14"/>
  <c r="K36" i="6" a="1"/>
  <c r="K36" i="6" s="1"/>
  <c r="K28" i="6" a="1"/>
  <c r="K28" i="6" s="1"/>
  <c r="I22" i="5" a="1"/>
  <c r="I22" i="5" s="1"/>
  <c r="AZ103" i="13"/>
  <c r="AW171" i="13"/>
  <c r="AW39" i="13" s="1"/>
  <c r="G97" i="11"/>
  <c r="J96" i="11"/>
  <c r="I96" i="11"/>
  <c r="H96" i="11"/>
  <c r="BM89" i="13"/>
  <c r="BM154" i="13"/>
  <c r="AL116" i="13"/>
  <c r="AL181" i="13"/>
  <c r="BG160" i="13"/>
  <c r="BG95" i="13" s="1"/>
  <c r="V135" i="12"/>
  <c r="V3" i="12"/>
  <c r="AJ191" i="13"/>
  <c r="AJ126" i="13" s="1"/>
  <c r="AU108" i="14"/>
  <c r="AV108" i="14" s="1"/>
  <c r="BA27" i="13"/>
  <c r="BF86" i="13"/>
  <c r="BF151" i="13"/>
  <c r="AZ163" i="13"/>
  <c r="AZ31" i="13" s="1"/>
  <c r="AZ106" i="14"/>
  <c r="AP118" i="14"/>
  <c r="AP43" i="13"/>
  <c r="AS46" i="13"/>
  <c r="K37" i="6" a="1"/>
  <c r="K37" i="6" s="1"/>
  <c r="F50" i="15"/>
  <c r="K24" i="6" a="1"/>
  <c r="K24" i="6" s="1"/>
  <c r="I19" i="5" a="1"/>
  <c r="I19" i="5" s="1"/>
  <c r="AZ36" i="13"/>
  <c r="AZ168" i="13"/>
  <c r="AZ111" i="14" s="1"/>
  <c r="AL120" i="13"/>
  <c r="B99" i="14"/>
  <c r="C99" i="14" s="1"/>
  <c r="B98" i="13"/>
  <c r="C98" i="13" s="1"/>
  <c r="B98" i="12"/>
  <c r="BU6" i="13"/>
  <c r="BL82" i="13"/>
  <c r="AS113" i="13"/>
  <c r="AS178" i="13"/>
  <c r="AS121" i="14" s="1"/>
  <c r="AN51" i="13"/>
  <c r="AO51" i="13" s="1"/>
  <c r="V13" i="14"/>
  <c r="AK125" i="14"/>
  <c r="CN4" i="7"/>
  <c r="CN7" i="7"/>
  <c r="CO3" i="7" s="1"/>
  <c r="AK54" i="13"/>
  <c r="BL100" i="14"/>
  <c r="BL25" i="13"/>
  <c r="AJ127" i="13"/>
  <c r="AJ192" i="13"/>
  <c r="AB195" i="13"/>
  <c r="AB196" i="13" s="1"/>
  <c r="AA131" i="13"/>
  <c r="BE101" i="14"/>
  <c r="BE93" i="13"/>
  <c r="AU33" i="13"/>
  <c r="AV33" i="13" s="1"/>
  <c r="BA94" i="13"/>
  <c r="BM22" i="13"/>
  <c r="BO13" i="13"/>
  <c r="AP110" i="13"/>
  <c r="AG190" i="13"/>
  <c r="AL49" i="13"/>
  <c r="K40" i="6" a="1"/>
  <c r="K40" i="6" s="1"/>
  <c r="L57" i="4"/>
  <c r="AT180" i="13"/>
  <c r="AT123" i="14" s="1"/>
  <c r="BA164" i="13"/>
  <c r="Q136" i="12"/>
  <c r="Q71" i="12" s="1"/>
  <c r="Q4" i="12"/>
  <c r="BF90" i="13"/>
  <c r="BF155" i="13"/>
  <c r="AW115" i="14"/>
  <c r="BC101" i="13"/>
  <c r="BN143" i="13"/>
  <c r="BN86" i="14" s="1"/>
  <c r="BU137" i="13"/>
  <c r="BU5" i="13" s="1"/>
  <c r="AU113" i="14"/>
  <c r="BC34" i="13"/>
  <c r="AJ55" i="13"/>
  <c r="AR42" i="13"/>
  <c r="AR117" i="14"/>
  <c r="BF19" i="13"/>
  <c r="AQ45" i="13"/>
  <c r="AQ177" i="13"/>
  <c r="AQ120" i="14" s="1"/>
  <c r="AK50" i="13"/>
  <c r="K41" i="6" a="1"/>
  <c r="K41" i="6" s="1"/>
  <c r="AQ112" i="13"/>
  <c r="BH104" i="14"/>
  <c r="BI104" i="14" s="1"/>
  <c r="BC84" i="13"/>
  <c r="BU7" i="13"/>
  <c r="BU82" i="14"/>
  <c r="BN11" i="13"/>
  <c r="AW112" i="14"/>
  <c r="AW37" i="13"/>
  <c r="K3" i="14"/>
  <c r="K16" i="14" s="1"/>
  <c r="M14" i="4"/>
  <c r="AR109" i="13"/>
  <c r="AE128" i="13"/>
  <c r="AE193" i="13"/>
  <c r="AE136" i="14" s="1"/>
  <c r="K39" i="6" a="1"/>
  <c r="K39" i="6" s="1"/>
  <c r="BI29" i="13"/>
  <c r="AH57" i="13"/>
  <c r="AH132" i="14"/>
  <c r="BK24" i="13"/>
  <c r="BU141" i="13"/>
  <c r="BU9" i="13" s="1"/>
  <c r="BP93" i="14"/>
  <c r="BJ96" i="14"/>
  <c r="C98" i="12"/>
  <c r="BJ88" i="13"/>
  <c r="BJ153" i="13"/>
  <c r="BJ21" i="13" s="1"/>
  <c r="AK123" i="13"/>
  <c r="AJ134" i="14"/>
  <c r="BN14" i="13"/>
  <c r="BN89" i="14"/>
  <c r="BO80" i="13"/>
  <c r="I24" i="5"/>
  <c r="K34" i="6" a="1"/>
  <c r="K34" i="6" s="1"/>
  <c r="L69" i="4"/>
  <c r="BG28" i="13"/>
  <c r="AH124" i="13"/>
  <c r="AA139" i="14"/>
  <c r="AU38" i="13"/>
  <c r="BS79" i="13"/>
  <c r="AX169" i="13"/>
  <c r="AX104" i="13" s="1"/>
  <c r="BO146" i="13"/>
  <c r="BO81" i="13" s="1"/>
  <c r="AV119" i="14"/>
  <c r="BH97" i="13"/>
  <c r="BI78" i="14"/>
  <c r="K38" i="6" a="1"/>
  <c r="K38" i="6" s="1"/>
  <c r="AL53" i="13"/>
  <c r="AZ35" i="13"/>
  <c r="BA102" i="14"/>
  <c r="AZ102" i="13"/>
  <c r="AZ167" i="13"/>
  <c r="AU170" i="13"/>
  <c r="AU105" i="13" s="1"/>
  <c r="BS148" i="13"/>
  <c r="BS91" i="14" s="1"/>
  <c r="AJ122" i="13"/>
  <c r="BJ135" i="13"/>
  <c r="AN126" i="14"/>
  <c r="AO126" i="14" s="1"/>
  <c r="BF98" i="14"/>
  <c r="AE194" i="13"/>
  <c r="AE129" i="13" s="1"/>
  <c r="N137" i="12"/>
  <c r="AK129" i="14"/>
  <c r="BU81" i="14"/>
  <c r="AR114" i="13"/>
  <c r="AR179" i="13"/>
  <c r="AR47" i="13" s="1"/>
  <c r="AP52" i="13"/>
  <c r="AP127" i="14"/>
  <c r="BF23" i="13"/>
  <c r="BP18" i="13"/>
  <c r="AZ110" i="14"/>
  <c r="AR41" i="13"/>
  <c r="AP119" i="13"/>
  <c r="BC92" i="14"/>
  <c r="BM97" i="14"/>
  <c r="AV44" i="13"/>
  <c r="BJ3" i="13"/>
  <c r="K29" i="6" a="1"/>
  <c r="K29" i="6" s="1"/>
  <c r="I23" i="5" a="1"/>
  <c r="I23" i="5" s="1"/>
  <c r="K35" i="6" a="1"/>
  <c r="K35" i="6" s="1"/>
  <c r="BM152" i="13"/>
  <c r="BM20" i="13" s="1"/>
  <c r="AL124" i="14"/>
  <c r="AW40" i="13"/>
  <c r="AJ59" i="13"/>
  <c r="BP146" i="13" l="1"/>
  <c r="BP81" i="13" s="1"/>
  <c r="AK126" i="13"/>
  <c r="AK191" i="13"/>
  <c r="BJ161" i="13"/>
  <c r="BJ96" i="13" s="1"/>
  <c r="AF136" i="14"/>
  <c r="BQ150" i="13"/>
  <c r="BQ85" i="13" s="1"/>
  <c r="AX172" i="13"/>
  <c r="AX107" i="13" s="1"/>
  <c r="BN92" i="13"/>
  <c r="BN157" i="13"/>
  <c r="AV105" i="13"/>
  <c r="AV170" i="13"/>
  <c r="AW176" i="13"/>
  <c r="AW111" i="13" s="1"/>
  <c r="AF129" i="13"/>
  <c r="AF194" i="13"/>
  <c r="C100" i="14"/>
  <c r="AP118" i="13"/>
  <c r="AP183" i="13"/>
  <c r="BT144" i="13"/>
  <c r="AV113" i="14"/>
  <c r="BD166" i="13"/>
  <c r="BD109" i="14" s="1"/>
  <c r="CO7" i="7"/>
  <c r="CP3" i="7" s="1"/>
  <c r="CO4" i="7"/>
  <c r="CO6" i="7" s="1"/>
  <c r="W135" i="12"/>
  <c r="W3" i="12"/>
  <c r="BN89" i="13"/>
  <c r="BA168" i="13"/>
  <c r="BA103" i="13" s="1"/>
  <c r="AW100" i="13"/>
  <c r="AW165" i="13"/>
  <c r="BP13" i="13"/>
  <c r="AB130" i="13"/>
  <c r="CN6" i="7"/>
  <c r="W13" i="14"/>
  <c r="AW108" i="14"/>
  <c r="AT48" i="13"/>
  <c r="AX115" i="14"/>
  <c r="N15" i="14"/>
  <c r="AK59" i="13"/>
  <c r="BA167" i="13"/>
  <c r="BA35" i="13" s="1"/>
  <c r="BI97" i="13"/>
  <c r="BI162" i="13"/>
  <c r="BU76" i="13"/>
  <c r="AX37" i="13"/>
  <c r="AE61" i="13"/>
  <c r="BU72" i="13"/>
  <c r="BA32" i="13"/>
  <c r="BA107" i="14"/>
  <c r="BN22" i="13"/>
  <c r="BN154" i="13"/>
  <c r="B100" i="14"/>
  <c r="B99" i="13"/>
  <c r="C99" i="13" s="1"/>
  <c r="B99" i="12"/>
  <c r="AK187" i="13"/>
  <c r="AK130" i="14" s="1"/>
  <c r="BJ78" i="14"/>
  <c r="K42" i="6"/>
  <c r="M18" i="4"/>
  <c r="AQ184" i="13"/>
  <c r="AQ119" i="13" s="1"/>
  <c r="AV38" i="13"/>
  <c r="AL188" i="13"/>
  <c r="AL123" i="13" s="1"/>
  <c r="BJ104" i="14"/>
  <c r="AW119" i="14"/>
  <c r="AB138" i="14"/>
  <c r="BS16" i="13"/>
  <c r="BK153" i="13"/>
  <c r="BK21" i="13" s="1"/>
  <c r="BL156" i="13"/>
  <c r="AF193" i="13"/>
  <c r="AF128" i="13" s="1"/>
  <c r="AX112" i="14"/>
  <c r="AR177" i="13"/>
  <c r="AR45" i="13" s="1"/>
  <c r="AR122" i="14"/>
  <c r="AS122" i="14" s="1"/>
  <c r="BA99" i="13"/>
  <c r="AM49" i="13"/>
  <c r="AM181" i="13"/>
  <c r="BB159" i="13"/>
  <c r="AJ135" i="14"/>
  <c r="AJ60" i="13"/>
  <c r="AK60" i="13" s="1"/>
  <c r="V70" i="12"/>
  <c r="AP51" i="13"/>
  <c r="AW114" i="14"/>
  <c r="AK134" i="14"/>
  <c r="C99" i="12"/>
  <c r="BG155" i="13"/>
  <c r="BG90" i="13" s="1"/>
  <c r="AG58" i="13"/>
  <c r="AG133" i="14"/>
  <c r="AW33" i="13"/>
  <c r="AK192" i="13"/>
  <c r="AK127" i="13" s="1"/>
  <c r="AT121" i="14"/>
  <c r="AM185" i="13"/>
  <c r="AM128" i="14" s="1"/>
  <c r="AW106" i="13"/>
  <c r="AZ98" i="13"/>
  <c r="BQ93" i="14"/>
  <c r="AM124" i="14"/>
  <c r="BP80" i="13"/>
  <c r="BP145" i="13"/>
  <c r="BP88" i="14" s="1"/>
  <c r="AW44" i="13"/>
  <c r="AL129" i="14"/>
  <c r="BH160" i="13"/>
  <c r="BH28" i="13" s="1"/>
  <c r="BO89" i="14"/>
  <c r="BP89" i="14" s="1"/>
  <c r="BN78" i="13"/>
  <c r="AG125" i="13"/>
  <c r="BF158" i="13"/>
  <c r="BF26" i="13" s="1"/>
  <c r="BM25" i="13"/>
  <c r="BN25" i="13" s="1"/>
  <c r="AT178" i="13"/>
  <c r="AT113" i="13" s="1"/>
  <c r="BA111" i="14"/>
  <c r="AT46" i="13"/>
  <c r="H97" i="11"/>
  <c r="G98" i="11"/>
  <c r="J97" i="11"/>
  <c r="I97" i="11"/>
  <c r="AS173" i="13"/>
  <c r="AS116" i="14" s="1"/>
  <c r="AQ127" i="14"/>
  <c r="BA102" i="13"/>
  <c r="BD149" i="13"/>
  <c r="AE137" i="14"/>
  <c r="AF137" i="14" s="1"/>
  <c r="AE62" i="13"/>
  <c r="AF62" i="13" s="1"/>
  <c r="I26" i="5"/>
  <c r="AX40" i="13"/>
  <c r="BA110" i="14"/>
  <c r="L79" i="4"/>
  <c r="I25" i="5" s="1" a="1"/>
  <c r="I25" i="5" s="1"/>
  <c r="L80" i="4"/>
  <c r="BK96" i="14"/>
  <c r="AK55" i="13"/>
  <c r="BU80" i="14"/>
  <c r="R136" i="12"/>
  <c r="R71" i="12" s="1"/>
  <c r="R4" i="12"/>
  <c r="BM100" i="14"/>
  <c r="BN100" i="14" s="1"/>
  <c r="N72" i="12"/>
  <c r="AS114" i="13"/>
  <c r="AS179" i="13"/>
  <c r="AS47" i="13" s="1"/>
  <c r="AP126" i="14"/>
  <c r="BS83" i="13"/>
  <c r="AI124" i="13"/>
  <c r="AI189" i="13"/>
  <c r="AI132" i="14" s="1"/>
  <c r="BQ18" i="13"/>
  <c r="BM87" i="13"/>
  <c r="BN97" i="14"/>
  <c r="BJ70" i="13"/>
  <c r="BO14" i="13"/>
  <c r="AS174" i="13"/>
  <c r="AS117" i="14" s="1"/>
  <c r="AL182" i="13"/>
  <c r="AL117" i="13" s="1"/>
  <c r="AQ175" i="13"/>
  <c r="AQ110" i="13" s="1"/>
  <c r="BF101" i="14"/>
  <c r="BM147" i="13"/>
  <c r="BM82" i="13" s="1"/>
  <c r="BA36" i="13"/>
  <c r="AQ43" i="13"/>
  <c r="BG86" i="13"/>
  <c r="BG151" i="13"/>
  <c r="BG19" i="13" s="1"/>
  <c r="AM116" i="13"/>
  <c r="BU84" i="14"/>
  <c r="AL186" i="13"/>
  <c r="AL54" i="13" s="1"/>
  <c r="BG94" i="14"/>
  <c r="N5" i="12"/>
  <c r="K30" i="6"/>
  <c r="K53" i="6" s="1"/>
  <c r="AB63" i="13"/>
  <c r="BJ29" i="13"/>
  <c r="BM95" i="14"/>
  <c r="Q14" i="14"/>
  <c r="AT115" i="13"/>
  <c r="AQ118" i="14"/>
  <c r="BH155" i="13" l="1"/>
  <c r="BH90" i="13" s="1"/>
  <c r="AM123" i="13"/>
  <c r="AM188" i="13"/>
  <c r="AR119" i="13"/>
  <c r="AR184" i="13"/>
  <c r="AY172" i="13"/>
  <c r="AY107" i="13" s="1"/>
  <c r="BN82" i="13"/>
  <c r="BN147" i="13"/>
  <c r="AU178" i="13"/>
  <c r="AU46" i="13" s="1"/>
  <c r="AL192" i="13"/>
  <c r="AL127" i="13" s="1"/>
  <c r="AX176" i="13"/>
  <c r="AX111" i="13" s="1"/>
  <c r="BK161" i="13"/>
  <c r="BK104" i="14" s="1"/>
  <c r="AR110" i="13"/>
  <c r="AR175" i="13"/>
  <c r="BB168" i="13"/>
  <c r="BB103" i="13" s="1"/>
  <c r="AG193" i="13"/>
  <c r="AG128" i="13" s="1"/>
  <c r="BQ81" i="13"/>
  <c r="BQ146" i="13"/>
  <c r="O137" i="12"/>
  <c r="O5" i="12" s="1"/>
  <c r="AJ189" i="13"/>
  <c r="AJ124" i="13" s="1"/>
  <c r="AS108" i="13"/>
  <c r="AX44" i="13"/>
  <c r="BA163" i="13"/>
  <c r="AK135" i="14"/>
  <c r="AL135" i="14" s="1"/>
  <c r="BK88" i="13"/>
  <c r="BD101" i="13"/>
  <c r="C101" i="14"/>
  <c r="AR120" i="14"/>
  <c r="AL121" i="13"/>
  <c r="BP14" i="13"/>
  <c r="AI57" i="13"/>
  <c r="AJ57" i="13" s="1"/>
  <c r="BQ88" i="14"/>
  <c r="AX106" i="13"/>
  <c r="AX171" i="13"/>
  <c r="AX39" i="13" s="1"/>
  <c r="AR112" i="13"/>
  <c r="BT148" i="13"/>
  <c r="BT91" i="14" s="1"/>
  <c r="AW38" i="13"/>
  <c r="BK78" i="14"/>
  <c r="BH103" i="14"/>
  <c r="AC138" i="14"/>
  <c r="AB139" i="14"/>
  <c r="AQ52" i="13"/>
  <c r="AR52" i="13" s="1"/>
  <c r="AS41" i="13"/>
  <c r="BH95" i="13"/>
  <c r="AF61" i="13"/>
  <c r="AX100" i="13"/>
  <c r="AX165" i="13"/>
  <c r="AX108" i="14" s="1"/>
  <c r="BT12" i="13"/>
  <c r="BT87" i="14"/>
  <c r="AW170" i="13"/>
  <c r="AW113" i="14" s="1"/>
  <c r="AL191" i="13"/>
  <c r="AL126" i="13" s="1"/>
  <c r="AU115" i="13"/>
  <c r="AU180" i="13"/>
  <c r="AU123" i="14" s="1"/>
  <c r="BH86" i="13"/>
  <c r="BH151" i="13"/>
  <c r="BH19" i="13" s="1"/>
  <c r="AM182" i="13"/>
  <c r="AM117" i="13" s="1"/>
  <c r="BN152" i="13"/>
  <c r="BN20" i="13" s="1"/>
  <c r="AT114" i="13"/>
  <c r="AT179" i="13"/>
  <c r="AT47" i="13" s="1"/>
  <c r="BB167" i="13"/>
  <c r="BB110" i="14" s="1"/>
  <c r="R14" i="14"/>
  <c r="AR43" i="13"/>
  <c r="AL50" i="13"/>
  <c r="O72" i="12"/>
  <c r="BB27" i="13"/>
  <c r="BH94" i="14"/>
  <c r="BB36" i="13"/>
  <c r="BO100" i="14"/>
  <c r="L167" i="4"/>
  <c r="L141" i="4"/>
  <c r="L142" i="4"/>
  <c r="BB111" i="14"/>
  <c r="AS42" i="13"/>
  <c r="AL60" i="13"/>
  <c r="AT122" i="14"/>
  <c r="AL131" i="14"/>
  <c r="AM131" i="14" s="1"/>
  <c r="AL56" i="13"/>
  <c r="AM56" i="13" s="1"/>
  <c r="BB107" i="14"/>
  <c r="BJ97" i="13"/>
  <c r="BJ162" i="13"/>
  <c r="AC195" i="13"/>
  <c r="AC196" i="13" s="1"/>
  <c r="AB131" i="13"/>
  <c r="BO154" i="13"/>
  <c r="BO89" i="13" s="1"/>
  <c r="AQ118" i="13"/>
  <c r="AQ183" i="13"/>
  <c r="AG194" i="13"/>
  <c r="AG129" i="13" s="1"/>
  <c r="BO157" i="13"/>
  <c r="BO92" i="13" s="1"/>
  <c r="AG136" i="14"/>
  <c r="AR118" i="14"/>
  <c r="BD34" i="13"/>
  <c r="BM15" i="13"/>
  <c r="BN15" i="13" s="1"/>
  <c r="BM90" i="14"/>
  <c r="BN90" i="14" s="1"/>
  <c r="AS109" i="13"/>
  <c r="AL125" i="14"/>
  <c r="AM125" i="14" s="1"/>
  <c r="BK70" i="13"/>
  <c r="BK135" i="13"/>
  <c r="AQ126" i="14"/>
  <c r="S136" i="12"/>
  <c r="S4" i="12"/>
  <c r="BO25" i="13"/>
  <c r="BQ89" i="14"/>
  <c r="BQ80" i="13"/>
  <c r="BQ145" i="13"/>
  <c r="BQ13" i="13" s="1"/>
  <c r="AN181" i="13"/>
  <c r="AN49" i="13" s="1"/>
  <c r="BG23" i="13"/>
  <c r="BH23" i="13" s="1"/>
  <c r="BG98" i="14"/>
  <c r="BH98" i="14" s="1"/>
  <c r="BD17" i="13"/>
  <c r="AM120" i="13"/>
  <c r="BB94" i="13"/>
  <c r="AX119" i="14"/>
  <c r="AY40" i="13"/>
  <c r="BD84" i="13"/>
  <c r="J98" i="11"/>
  <c r="I98" i="11"/>
  <c r="H98" i="11"/>
  <c r="G99" i="11"/>
  <c r="BF93" i="13"/>
  <c r="AM53" i="13"/>
  <c r="AX114" i="14"/>
  <c r="AK122" i="13"/>
  <c r="AY169" i="13"/>
  <c r="AY104" i="13" s="1"/>
  <c r="O15" i="14"/>
  <c r="BT79" i="13"/>
  <c r="B101" i="14"/>
  <c r="B100" i="13"/>
  <c r="C100" i="13" s="1"/>
  <c r="B100" i="12"/>
  <c r="C100" i="12" s="1"/>
  <c r="AH125" i="13"/>
  <c r="AH190" i="13"/>
  <c r="AH58" i="13" s="1"/>
  <c r="AQ51" i="13"/>
  <c r="BL99" i="14"/>
  <c r="BL91" i="13"/>
  <c r="BO22" i="13"/>
  <c r="AY115" i="14"/>
  <c r="CP4" i="7"/>
  <c r="CP7" i="7"/>
  <c r="CQ3" i="7" s="1"/>
  <c r="BR150" i="13"/>
  <c r="BR93" i="14" s="1"/>
  <c r="AR127" i="14"/>
  <c r="BO143" i="13"/>
  <c r="BO78" i="13" s="1"/>
  <c r="BB102" i="14"/>
  <c r="W70" i="12"/>
  <c r="X135" i="12" s="1"/>
  <c r="BB164" i="13"/>
  <c r="BB32" i="13" s="1"/>
  <c r="BL24" i="13"/>
  <c r="G17" i="15"/>
  <c r="M74" i="4"/>
  <c r="M147" i="4"/>
  <c r="M60" i="4"/>
  <c r="J10" i="5" a="1"/>
  <c r="J10" i="5" s="1"/>
  <c r="L13" i="6" a="1"/>
  <c r="L13" i="6" s="1"/>
  <c r="BD92" i="14"/>
  <c r="BI105" i="14"/>
  <c r="BJ105" i="14" s="1"/>
  <c r="BI30" i="13"/>
  <c r="BJ30" i="13" s="1"/>
  <c r="AB64" i="13"/>
  <c r="AH128" i="13" l="1"/>
  <c r="AH193" i="13"/>
  <c r="AZ107" i="13"/>
  <c r="AZ172" i="13"/>
  <c r="AN117" i="13"/>
  <c r="AN182" i="13"/>
  <c r="BP157" i="13"/>
  <c r="BP92" i="13" s="1"/>
  <c r="BC168" i="13"/>
  <c r="BC103" i="13" s="1"/>
  <c r="AH129" i="13"/>
  <c r="AH194" i="13"/>
  <c r="BP89" i="13"/>
  <c r="BP154" i="13"/>
  <c r="P137" i="12"/>
  <c r="P5" i="12" s="1"/>
  <c r="AY176" i="13"/>
  <c r="AY111" i="13" s="1"/>
  <c r="X3" i="12"/>
  <c r="X13" i="14"/>
  <c r="BP143" i="13"/>
  <c r="BP78" i="13" s="1"/>
  <c r="AM127" i="13"/>
  <c r="AM192" i="13"/>
  <c r="AK189" i="13"/>
  <c r="AK124" i="13" s="1"/>
  <c r="AM126" i="13"/>
  <c r="AM191" i="13"/>
  <c r="BI155" i="13"/>
  <c r="BI23" i="13" s="1"/>
  <c r="BE166" i="13"/>
  <c r="BE109" i="14" s="1"/>
  <c r="AM135" i="14"/>
  <c r="AG62" i="13"/>
  <c r="AH62" i="13" s="1"/>
  <c r="BK96" i="13"/>
  <c r="AU113" i="13"/>
  <c r="AJ132" i="14"/>
  <c r="AZ115" i="14"/>
  <c r="AT108" i="13"/>
  <c r="AT173" i="13"/>
  <c r="AT116" i="14" s="1"/>
  <c r="AL134" i="14"/>
  <c r="BR85" i="13"/>
  <c r="AH136" i="14"/>
  <c r="C102" i="14"/>
  <c r="BR81" i="13"/>
  <c r="BR146" i="13"/>
  <c r="AL187" i="13"/>
  <c r="BN95" i="14"/>
  <c r="AU122" i="14"/>
  <c r="AU121" i="14"/>
  <c r="AM60" i="13"/>
  <c r="K117" i="6" a="1"/>
  <c r="K117" i="6" s="1"/>
  <c r="AL59" i="13"/>
  <c r="AM59" i="13" s="1"/>
  <c r="AY112" i="14"/>
  <c r="AG137" i="14"/>
  <c r="AH137" i="14" s="1"/>
  <c r="AH133" i="14"/>
  <c r="BO147" i="13"/>
  <c r="BO15" i="13" s="1"/>
  <c r="AS184" i="13"/>
  <c r="AS52" i="13" s="1"/>
  <c r="K73" i="12"/>
  <c r="G21" i="15"/>
  <c r="B102" i="14"/>
  <c r="B101" i="13"/>
  <c r="C101" i="13" s="1"/>
  <c r="B101" i="12"/>
  <c r="C101" i="12" s="1"/>
  <c r="BP25" i="13"/>
  <c r="BC36" i="13"/>
  <c r="AY165" i="13"/>
  <c r="AY100" i="13" s="1"/>
  <c r="BL88" i="13"/>
  <c r="BL153" i="13"/>
  <c r="BC111" i="14"/>
  <c r="BN87" i="13"/>
  <c r="AS127" i="14"/>
  <c r="AN116" i="13"/>
  <c r="BC27" i="13"/>
  <c r="AK57" i="13"/>
  <c r="AZ40" i="13"/>
  <c r="BK29" i="13"/>
  <c r="BO97" i="14"/>
  <c r="BP97" i="14" s="1"/>
  <c r="BE17" i="13"/>
  <c r="AC130" i="13"/>
  <c r="L149" i="4"/>
  <c r="I30" i="5" s="1" a="1"/>
  <c r="I30" i="5" s="1"/>
  <c r="K116" i="6" a="1"/>
  <c r="K116" i="6" s="1"/>
  <c r="K121" i="6" s="1"/>
  <c r="K146" i="6" s="1"/>
  <c r="K148" i="6" s="1"/>
  <c r="BB102" i="13"/>
  <c r="AW105" i="13"/>
  <c r="AG61" i="13"/>
  <c r="AH61" i="13" s="1"/>
  <c r="BT16" i="13"/>
  <c r="BT83" i="13"/>
  <c r="BB35" i="13"/>
  <c r="BO86" i="14"/>
  <c r="BP86" i="14" s="1"/>
  <c r="BO11" i="13"/>
  <c r="BP11" i="13" s="1"/>
  <c r="AZ169" i="13"/>
  <c r="AZ104" i="13" s="1"/>
  <c r="AY119" i="14"/>
  <c r="BP22" i="13"/>
  <c r="AY37" i="13"/>
  <c r="BC94" i="13"/>
  <c r="BC159" i="13"/>
  <c r="AT42" i="13"/>
  <c r="AT174" i="13"/>
  <c r="AT117" i="14" s="1"/>
  <c r="AV180" i="13"/>
  <c r="AV115" i="13" s="1"/>
  <c r="AY171" i="13"/>
  <c r="AY114" i="14" s="1"/>
  <c r="AN185" i="13"/>
  <c r="AN128" i="14" s="1"/>
  <c r="BB99" i="13"/>
  <c r="BM91" i="13"/>
  <c r="BM156" i="13"/>
  <c r="BM99" i="14" s="1"/>
  <c r="BE149" i="13"/>
  <c r="AN124" i="14"/>
  <c r="AN125" i="14"/>
  <c r="S14" i="14"/>
  <c r="AC139" i="14"/>
  <c r="L33" i="6" a="1"/>
  <c r="L33" i="6" s="1"/>
  <c r="BU144" i="13"/>
  <c r="BU12" i="13" s="1"/>
  <c r="AU48" i="13"/>
  <c r="AV48" i="13" s="1"/>
  <c r="X70" i="12"/>
  <c r="BR18" i="13"/>
  <c r="L48" i="6" a="1"/>
  <c r="L48" i="6" s="1"/>
  <c r="CQ7" i="7"/>
  <c r="CR3" i="7" s="1"/>
  <c r="CQ4" i="7"/>
  <c r="CQ6" i="7" s="1"/>
  <c r="BG158" i="13"/>
  <c r="AC63" i="13"/>
  <c r="BK3" i="13"/>
  <c r="AX33" i="13"/>
  <c r="P72" i="12"/>
  <c r="BI151" i="13"/>
  <c r="BI94" i="14" s="1"/>
  <c r="BU87" i="14"/>
  <c r="AS112" i="13"/>
  <c r="AS177" i="13"/>
  <c r="AS45" i="13" s="1"/>
  <c r="BQ14" i="13"/>
  <c r="BR14" i="13" s="1"/>
  <c r="BA31" i="13"/>
  <c r="BA106" i="14"/>
  <c r="BC102" i="14"/>
  <c r="CP6" i="7"/>
  <c r="P15" i="14"/>
  <c r="G100" i="11"/>
  <c r="J99" i="11"/>
  <c r="I99" i="11"/>
  <c r="H99" i="11"/>
  <c r="BR80" i="13"/>
  <c r="BR145" i="13"/>
  <c r="BR13" i="13" s="1"/>
  <c r="BE34" i="13"/>
  <c r="AR183" i="13"/>
  <c r="AR51" i="13" s="1"/>
  <c r="BK162" i="13"/>
  <c r="BK30" i="13" s="1"/>
  <c r="L170" i="4"/>
  <c r="L172" i="4" s="1"/>
  <c r="L179" i="4" s="1"/>
  <c r="K144" i="6" a="1"/>
  <c r="K144" i="6" s="1"/>
  <c r="I36" i="5" a="1"/>
  <c r="I36" i="5" s="1"/>
  <c r="AM50" i="13"/>
  <c r="AN50" i="13" s="1"/>
  <c r="BI160" i="13"/>
  <c r="BI28" i="13" s="1"/>
  <c r="AM121" i="13"/>
  <c r="AM186" i="13"/>
  <c r="BA98" i="13"/>
  <c r="BE92" i="14"/>
  <c r="AI190" i="13"/>
  <c r="AI125" i="13" s="1"/>
  <c r="BR89" i="14"/>
  <c r="BL135" i="13"/>
  <c r="BL78" i="14" s="1"/>
  <c r="BP100" i="14"/>
  <c r="AS43" i="13"/>
  <c r="AS175" i="13"/>
  <c r="AS110" i="13" s="1"/>
  <c r="AU114" i="13"/>
  <c r="AU179" i="13"/>
  <c r="AU47" i="13" s="1"/>
  <c r="AV123" i="14"/>
  <c r="AT41" i="13"/>
  <c r="AY39" i="13"/>
  <c r="AS120" i="14"/>
  <c r="AY44" i="13"/>
  <c r="AN188" i="13"/>
  <c r="AN123" i="13" s="1"/>
  <c r="S71" i="12"/>
  <c r="T136" i="12" s="1"/>
  <c r="BD168" i="13" l="1"/>
  <c r="BD103" i="13" s="1"/>
  <c r="BQ157" i="13"/>
  <c r="BQ92" i="13" s="1"/>
  <c r="AJ125" i="13"/>
  <c r="AJ190" i="13"/>
  <c r="C102" i="13"/>
  <c r="AZ176" i="13"/>
  <c r="AZ111" i="13" s="1"/>
  <c r="Q137" i="12"/>
  <c r="Q5" i="12"/>
  <c r="T4" i="12"/>
  <c r="AL189" i="13"/>
  <c r="AL124" i="13" s="1"/>
  <c r="AO123" i="13"/>
  <c r="AO188" i="13"/>
  <c r="AT110" i="13"/>
  <c r="AT175" i="13"/>
  <c r="AW115" i="13"/>
  <c r="AW180" i="13"/>
  <c r="BA169" i="13"/>
  <c r="BA104" i="13" s="1"/>
  <c r="AZ165" i="13"/>
  <c r="AZ100" i="13" s="1"/>
  <c r="BQ143" i="13"/>
  <c r="BQ78" i="13" s="1"/>
  <c r="BQ100" i="14"/>
  <c r="BI95" i="13"/>
  <c r="BK97" i="13"/>
  <c r="AZ44" i="13"/>
  <c r="AN186" i="13"/>
  <c r="AN121" i="13" s="1"/>
  <c r="K155" i="6" a="1"/>
  <c r="K155" i="6" s="1"/>
  <c r="I44" i="5" a="1"/>
  <c r="I44" i="5" s="1"/>
  <c r="B103" i="14"/>
  <c r="B102" i="13"/>
  <c r="B102" i="12"/>
  <c r="C102" i="12" s="1"/>
  <c r="AT177" i="13"/>
  <c r="AT120" i="14" s="1"/>
  <c r="BL3" i="13"/>
  <c r="BM24" i="13"/>
  <c r="BN24" i="13" s="1"/>
  <c r="BO90" i="14"/>
  <c r="BM153" i="13"/>
  <c r="BM88" i="13" s="1"/>
  <c r="AT109" i="13"/>
  <c r="BR88" i="14"/>
  <c r="Y135" i="12"/>
  <c r="Y3" i="12"/>
  <c r="BQ154" i="13"/>
  <c r="BQ89" i="13" s="1"/>
  <c r="AY108" i="14"/>
  <c r="AZ108" i="14" s="1"/>
  <c r="AI58" i="13"/>
  <c r="AJ58" i="13" s="1"/>
  <c r="BN156" i="13"/>
  <c r="BN91" i="13" s="1"/>
  <c r="AZ119" i="14"/>
  <c r="AR126" i="14"/>
  <c r="G22" i="15"/>
  <c r="K6" i="12"/>
  <c r="AV121" i="14"/>
  <c r="BI98" i="14"/>
  <c r="AK132" i="14"/>
  <c r="AN131" i="14"/>
  <c r="AO131" i="14" s="1"/>
  <c r="BI19" i="13"/>
  <c r="BU79" i="13"/>
  <c r="T14" i="14"/>
  <c r="BC164" i="13"/>
  <c r="AN56" i="13"/>
  <c r="AO56" i="13" s="1"/>
  <c r="AO116" i="13"/>
  <c r="AO181" i="13"/>
  <c r="AO49" i="13" s="1"/>
  <c r="K131" i="12"/>
  <c r="G26" i="15" s="1"/>
  <c r="AZ112" i="14"/>
  <c r="BA112" i="14" s="1"/>
  <c r="AL130" i="14"/>
  <c r="AL55" i="13"/>
  <c r="BS150" i="13"/>
  <c r="BS93" i="14" s="1"/>
  <c r="AV178" i="13"/>
  <c r="AV46" i="13" s="1"/>
  <c r="BK105" i="14"/>
  <c r="BI103" i="14"/>
  <c r="I100" i="11"/>
  <c r="H100" i="11"/>
  <c r="G101" i="11"/>
  <c r="J100" i="11"/>
  <c r="BI86" i="13"/>
  <c r="BG101" i="14"/>
  <c r="BG26" i="13"/>
  <c r="AY106" i="13"/>
  <c r="BC102" i="13"/>
  <c r="BC167" i="13"/>
  <c r="BC110" i="14" s="1"/>
  <c r="BD36" i="13"/>
  <c r="AX170" i="13"/>
  <c r="AL122" i="13"/>
  <c r="AM134" i="14"/>
  <c r="BL161" i="13"/>
  <c r="BL104" i="14" s="1"/>
  <c r="BI90" i="13"/>
  <c r="AT43" i="13"/>
  <c r="T71" i="12"/>
  <c r="AU41" i="13"/>
  <c r="AU173" i="13"/>
  <c r="AU108" i="13" s="1"/>
  <c r="AS118" i="14"/>
  <c r="AT118" i="14" s="1"/>
  <c r="AO50" i="13"/>
  <c r="AR118" i="13"/>
  <c r="BG93" i="13"/>
  <c r="BS18" i="13"/>
  <c r="AO124" i="14"/>
  <c r="BQ11" i="13"/>
  <c r="AN53" i="13"/>
  <c r="BQ25" i="13"/>
  <c r="AS119" i="13"/>
  <c r="AU116" i="14"/>
  <c r="AI62" i="13"/>
  <c r="AI129" i="13"/>
  <c r="AI194" i="13"/>
  <c r="AI137" i="14" s="1"/>
  <c r="BA172" i="13"/>
  <c r="BA107" i="13" s="1"/>
  <c r="AV122" i="14"/>
  <c r="AN135" i="14"/>
  <c r="Q15" i="14"/>
  <c r="Y70" i="12"/>
  <c r="BQ86" i="14"/>
  <c r="BL29" i="13"/>
  <c r="BO152" i="13"/>
  <c r="BO20" i="13" s="1"/>
  <c r="BS81" i="13"/>
  <c r="BS146" i="13"/>
  <c r="BS89" i="14" s="1"/>
  <c r="BL70" i="13"/>
  <c r="BB163" i="13"/>
  <c r="BB106" i="14" s="1"/>
  <c r="BS14" i="13"/>
  <c r="AY33" i="13"/>
  <c r="AZ33" i="13" s="1"/>
  <c r="AZ37" i="13"/>
  <c r="BA37" i="13" s="1"/>
  <c r="BC35" i="13"/>
  <c r="I38" i="5"/>
  <c r="I40" i="5" s="1"/>
  <c r="I50" i="5" s="1"/>
  <c r="BA40" i="13"/>
  <c r="BD111" i="14"/>
  <c r="BO82" i="13"/>
  <c r="AN192" i="13"/>
  <c r="AN60" i="13" s="1"/>
  <c r="C103" i="14"/>
  <c r="AN191" i="13"/>
  <c r="AN126" i="13" s="1"/>
  <c r="AO117" i="13"/>
  <c r="AO182" i="13"/>
  <c r="AO125" i="14" s="1"/>
  <c r="AI128" i="13"/>
  <c r="AI193" i="13"/>
  <c r="AI61" i="13" s="1"/>
  <c r="AW123" i="14"/>
  <c r="Q72" i="12"/>
  <c r="BD159" i="13"/>
  <c r="AV179" i="13"/>
  <c r="AV114" i="13" s="1"/>
  <c r="AM54" i="13"/>
  <c r="AN54" i="13" s="1"/>
  <c r="AM129" i="14"/>
  <c r="AN129" i="14" s="1"/>
  <c r="BS145" i="13"/>
  <c r="BS80" i="13" s="1"/>
  <c r="AT45" i="13"/>
  <c r="CR7" i="7"/>
  <c r="CS3" i="7" s="1"/>
  <c r="CR4" i="7"/>
  <c r="AW48" i="13"/>
  <c r="BE84" i="13"/>
  <c r="AN120" i="13"/>
  <c r="BQ22" i="13"/>
  <c r="BU148" i="13"/>
  <c r="BU91" i="14" s="1"/>
  <c r="AD130" i="13"/>
  <c r="AD195" i="13"/>
  <c r="AC131" i="13"/>
  <c r="AL57" i="13"/>
  <c r="BL21" i="13"/>
  <c r="BM21" i="13" s="1"/>
  <c r="BL96" i="14"/>
  <c r="BM96" i="14" s="1"/>
  <c r="AI133" i="14"/>
  <c r="AJ133" i="14" s="1"/>
  <c r="AC64" i="13"/>
  <c r="BE101" i="13"/>
  <c r="Y13" i="14"/>
  <c r="BA111" i="13" l="1"/>
  <c r="BA176" i="13"/>
  <c r="BB107" i="13"/>
  <c r="BB172" i="13"/>
  <c r="BR154" i="13"/>
  <c r="BR89" i="13" s="1"/>
  <c r="BR143" i="13"/>
  <c r="BR78" i="13" s="1"/>
  <c r="AO186" i="13"/>
  <c r="AO121" i="13" s="1"/>
  <c r="AV173" i="13"/>
  <c r="AV108" i="13" s="1"/>
  <c r="BO91" i="13"/>
  <c r="BO156" i="13"/>
  <c r="BO24" i="13" s="1"/>
  <c r="AM189" i="13"/>
  <c r="AM124" i="13" s="1"/>
  <c r="BR157" i="13"/>
  <c r="BR92" i="13" s="1"/>
  <c r="BT80" i="13"/>
  <c r="BT145" i="13"/>
  <c r="AW179" i="13"/>
  <c r="AW114" i="13" s="1"/>
  <c r="BN153" i="13"/>
  <c r="BN88" i="13" s="1"/>
  <c r="BA100" i="13"/>
  <c r="BA165" i="13"/>
  <c r="BB169" i="13"/>
  <c r="BB104" i="13" s="1"/>
  <c r="BE168" i="13"/>
  <c r="BE103" i="13" s="1"/>
  <c r="AJ193" i="13"/>
  <c r="AJ61" i="13" s="1"/>
  <c r="BF166" i="13"/>
  <c r="AE195" i="13"/>
  <c r="AE196" i="13" s="1"/>
  <c r="AD131" i="13"/>
  <c r="CS7" i="7"/>
  <c r="CT3" i="7" s="1"/>
  <c r="CS4" i="7"/>
  <c r="CS6" i="7" s="1"/>
  <c r="AP117" i="13"/>
  <c r="AP182" i="13"/>
  <c r="AP125" i="14" s="1"/>
  <c r="BP82" i="13"/>
  <c r="BP147" i="13"/>
  <c r="BP15" i="13" s="1"/>
  <c r="BR11" i="13"/>
  <c r="AS183" i="13"/>
  <c r="AS51" i="13" s="1"/>
  <c r="AX38" i="13"/>
  <c r="AX113" i="14"/>
  <c r="AX105" i="13"/>
  <c r="L138" i="12"/>
  <c r="L6" i="12"/>
  <c r="K65" i="12"/>
  <c r="BA115" i="14"/>
  <c r="BB115" i="14" s="1"/>
  <c r="BU16" i="13"/>
  <c r="BL97" i="13"/>
  <c r="BL162" i="13"/>
  <c r="BL30" i="13" s="1"/>
  <c r="AP188" i="13"/>
  <c r="AP123" i="13" s="1"/>
  <c r="AK125" i="13"/>
  <c r="AK190" i="13"/>
  <c r="AK58" i="13" s="1"/>
  <c r="AP50" i="13"/>
  <c r="AN59" i="13"/>
  <c r="BH101" i="14"/>
  <c r="BJ103" i="14"/>
  <c r="BJ19" i="13"/>
  <c r="G23" i="15"/>
  <c r="M40" i="4"/>
  <c r="G34" i="15"/>
  <c r="BA108" i="14"/>
  <c r="AI136" i="14"/>
  <c r="AJ136" i="14" s="1"/>
  <c r="BJ95" i="13"/>
  <c r="BJ160" i="13"/>
  <c r="BJ28" i="13" s="1"/>
  <c r="AX180" i="13"/>
  <c r="AX115" i="13" s="1"/>
  <c r="R137" i="12"/>
  <c r="R15" i="14" s="1"/>
  <c r="BT146" i="13"/>
  <c r="BT89" i="14" s="1"/>
  <c r="AJ62" i="13"/>
  <c r="BJ86" i="13"/>
  <c r="BJ151" i="13"/>
  <c r="BJ94" i="14" s="1"/>
  <c r="BL105" i="14"/>
  <c r="BB112" i="14"/>
  <c r="BC32" i="13"/>
  <c r="BC107" i="14"/>
  <c r="AU174" i="13"/>
  <c r="AU109" i="13" s="1"/>
  <c r="BR100" i="14"/>
  <c r="BS13" i="13"/>
  <c r="BT13" i="13" s="1"/>
  <c r="AV116" i="14"/>
  <c r="BJ90" i="13"/>
  <c r="BJ155" i="13"/>
  <c r="BJ23" i="13" s="1"/>
  <c r="BQ97" i="14"/>
  <c r="BR97" i="14" s="1"/>
  <c r="AN127" i="13"/>
  <c r="M19" i="4"/>
  <c r="G28" i="15"/>
  <c r="BC99" i="13"/>
  <c r="AL132" i="14"/>
  <c r="AM132" i="14" s="1"/>
  <c r="AV47" i="13"/>
  <c r="AW47" i="13" s="1"/>
  <c r="BO87" i="13"/>
  <c r="BP152" i="13" s="1"/>
  <c r="BP20" i="13" s="1"/>
  <c r="AT184" i="13"/>
  <c r="BD110" i="14"/>
  <c r="BJ98" i="14"/>
  <c r="BA119" i="14"/>
  <c r="Z135" i="12"/>
  <c r="Z3" i="12" s="1"/>
  <c r="BD102" i="14"/>
  <c r="U136" i="12"/>
  <c r="U4" i="12" s="1"/>
  <c r="AK133" i="14"/>
  <c r="BU83" i="13"/>
  <c r="BD94" i="13"/>
  <c r="AO129" i="14"/>
  <c r="AM57" i="13"/>
  <c r="BF84" i="13"/>
  <c r="BF149" i="13"/>
  <c r="BB37" i="13"/>
  <c r="BB98" i="13"/>
  <c r="BR86" i="14"/>
  <c r="BR25" i="13"/>
  <c r="BL96" i="13"/>
  <c r="BD167" i="13"/>
  <c r="BD102" i="13" s="1"/>
  <c r="AV113" i="13"/>
  <c r="U14" i="14"/>
  <c r="BO95" i="14"/>
  <c r="AT112" i="13"/>
  <c r="BN99" i="14"/>
  <c r="BO99" i="14" s="1"/>
  <c r="Z13" i="14"/>
  <c r="BM70" i="13"/>
  <c r="BM135" i="13"/>
  <c r="BM3" i="13" s="1"/>
  <c r="BH158" i="13"/>
  <c r="BH26" i="13" s="1"/>
  <c r="AV41" i="13"/>
  <c r="AN134" i="14"/>
  <c r="G102" i="11"/>
  <c r="J101" i="11"/>
  <c r="I101" i="11"/>
  <c r="H101" i="11"/>
  <c r="AP116" i="13"/>
  <c r="AP181" i="13"/>
  <c r="AP49" i="13" s="1"/>
  <c r="BD27" i="13"/>
  <c r="BA44" i="13"/>
  <c r="AU110" i="13"/>
  <c r="AU175" i="13"/>
  <c r="AU43" i="13" s="1"/>
  <c r="BE111" i="14"/>
  <c r="BA33" i="13"/>
  <c r="AJ194" i="13"/>
  <c r="AJ129" i="13" s="1"/>
  <c r="BB40" i="13"/>
  <c r="BN96" i="14"/>
  <c r="BR22" i="13"/>
  <c r="AW122" i="14"/>
  <c r="BN21" i="13"/>
  <c r="AO120" i="13"/>
  <c r="AO185" i="13"/>
  <c r="AO128" i="14" s="1"/>
  <c r="AX123" i="14"/>
  <c r="BD35" i="13"/>
  <c r="AZ171" i="13"/>
  <c r="AZ106" i="13" s="1"/>
  <c r="AD196" i="13"/>
  <c r="AD64" i="13" s="1"/>
  <c r="AD138" i="14"/>
  <c r="CR6" i="7"/>
  <c r="BB31" i="13"/>
  <c r="AM187" i="13"/>
  <c r="AM122" i="13" s="1"/>
  <c r="B104" i="14"/>
  <c r="C104" i="14" s="1"/>
  <c r="B103" i="13"/>
  <c r="C103" i="13" s="1"/>
  <c r="B103" i="12"/>
  <c r="C103" i="12" s="1"/>
  <c r="BS85" i="13"/>
  <c r="BS88" i="14"/>
  <c r="BT88" i="14" s="1"/>
  <c r="BP90" i="14"/>
  <c r="AD63" i="13"/>
  <c r="AE63" i="13" s="1"/>
  <c r="BA171" i="13" l="1"/>
  <c r="BA106" i="13" s="1"/>
  <c r="AX179" i="13"/>
  <c r="AX114" i="13" s="1"/>
  <c r="AP186" i="13"/>
  <c r="AP121" i="13" s="1"/>
  <c r="BS143" i="13"/>
  <c r="BS78" i="13" s="1"/>
  <c r="BS154" i="13"/>
  <c r="BS89" i="13" s="1"/>
  <c r="AN122" i="13"/>
  <c r="AN187" i="13"/>
  <c r="AV174" i="13"/>
  <c r="AV109" i="13" s="1"/>
  <c r="BF168" i="13"/>
  <c r="BF103" i="13" s="1"/>
  <c r="BS92" i="13"/>
  <c r="BS157" i="13"/>
  <c r="BC169" i="13"/>
  <c r="BC104" i="13" s="1"/>
  <c r="AY115" i="13"/>
  <c r="AY180" i="13"/>
  <c r="AW173" i="13"/>
  <c r="AW108" i="13" s="1"/>
  <c r="AK194" i="13"/>
  <c r="AK129" i="13" s="1"/>
  <c r="BE167" i="13"/>
  <c r="BE35" i="13" s="1"/>
  <c r="AQ123" i="13"/>
  <c r="AQ188" i="13"/>
  <c r="AN124" i="13"/>
  <c r="AN189" i="13"/>
  <c r="BN70" i="13"/>
  <c r="BN135" i="13"/>
  <c r="AW178" i="13"/>
  <c r="AO53" i="13"/>
  <c r="BH93" i="13"/>
  <c r="AP129" i="14"/>
  <c r="AX47" i="13"/>
  <c r="BS97" i="14"/>
  <c r="BK86" i="13"/>
  <c r="BK151" i="13"/>
  <c r="BK95" i="13"/>
  <c r="BK160" i="13"/>
  <c r="BK19" i="13"/>
  <c r="BM162" i="13"/>
  <c r="BM97" i="13" s="1"/>
  <c r="AM55" i="13"/>
  <c r="AN55" i="13" s="1"/>
  <c r="BQ147" i="13"/>
  <c r="BQ82" i="13" s="1"/>
  <c r="BF109" i="14"/>
  <c r="BF34" i="13"/>
  <c r="BC107" i="13"/>
  <c r="BC172" i="13"/>
  <c r="BS22" i="13"/>
  <c r="AQ116" i="13"/>
  <c r="AQ181" i="13"/>
  <c r="AQ49" i="13" s="1"/>
  <c r="BT150" i="13"/>
  <c r="BC40" i="13"/>
  <c r="B105" i="14"/>
  <c r="C105" i="14" s="1"/>
  <c r="B104" i="13"/>
  <c r="C104" i="13" s="1"/>
  <c r="B104" i="12"/>
  <c r="C104" i="12" s="1"/>
  <c r="Z70" i="12"/>
  <c r="AA135" i="12" s="1"/>
  <c r="AU177" i="13"/>
  <c r="AO54" i="13"/>
  <c r="AP54" i="13" s="1"/>
  <c r="BT14" i="13"/>
  <c r="AU118" i="14"/>
  <c r="AV118" i="14" s="1"/>
  <c r="AS126" i="14"/>
  <c r="BE36" i="13"/>
  <c r="BF36" i="13" s="1"/>
  <c r="BT81" i="13"/>
  <c r="AP56" i="13"/>
  <c r="AQ56" i="13" s="1"/>
  <c r="BF101" i="13"/>
  <c r="AK62" i="13"/>
  <c r="AZ39" i="13"/>
  <c r="BA39" i="13" s="1"/>
  <c r="AZ114" i="14"/>
  <c r="BA114" i="14" s="1"/>
  <c r="AV175" i="13"/>
  <c r="AV110" i="13" s="1"/>
  <c r="BM161" i="13"/>
  <c r="BM96" i="13" s="1"/>
  <c r="BE159" i="13"/>
  <c r="AT127" i="14"/>
  <c r="AT52" i="13"/>
  <c r="AN132" i="14"/>
  <c r="BK90" i="13"/>
  <c r="BK155" i="13"/>
  <c r="BK23" i="13" s="1"/>
  <c r="AP131" i="14"/>
  <c r="AQ131" i="14" s="1"/>
  <c r="AM130" i="14"/>
  <c r="AN130" i="14" s="1"/>
  <c r="BC115" i="14"/>
  <c r="AY113" i="14"/>
  <c r="AQ182" i="13"/>
  <c r="AQ125" i="14" s="1"/>
  <c r="AJ137" i="14"/>
  <c r="AK137" i="14" s="1"/>
  <c r="AY123" i="14"/>
  <c r="BM78" i="14"/>
  <c r="BP95" i="14"/>
  <c r="BF17" i="13"/>
  <c r="BF92" i="14"/>
  <c r="AT119" i="13"/>
  <c r="AW116" i="14"/>
  <c r="AP124" i="14"/>
  <c r="AQ124" i="14" s="1"/>
  <c r="R5" i="12"/>
  <c r="BB108" i="14"/>
  <c r="BK103" i="14"/>
  <c r="AY38" i="13"/>
  <c r="AJ128" i="13"/>
  <c r="CT4" i="7"/>
  <c r="CT7" i="7"/>
  <c r="CU3" i="7" s="1"/>
  <c r="AX48" i="13"/>
  <c r="AY48" i="13" s="1"/>
  <c r="BB165" i="13"/>
  <c r="BB100" i="13" s="1"/>
  <c r="BB176" i="13"/>
  <c r="BB44" i="13" s="1"/>
  <c r="BS86" i="14"/>
  <c r="AN57" i="13"/>
  <c r="BK98" i="14"/>
  <c r="BC112" i="14"/>
  <c r="AO59" i="13"/>
  <c r="AO191" i="13"/>
  <c r="AO126" i="13" s="1"/>
  <c r="M138" i="12"/>
  <c r="M6" i="12" s="1"/>
  <c r="AS118" i="13"/>
  <c r="BU145" i="13"/>
  <c r="BU13" i="13" s="1"/>
  <c r="BP156" i="13"/>
  <c r="BP24" i="13" s="1"/>
  <c r="AP185" i="13"/>
  <c r="AP128" i="14" s="1"/>
  <c r="G103" i="11"/>
  <c r="J102" i="11"/>
  <c r="I102" i="11"/>
  <c r="H102" i="11"/>
  <c r="G40" i="15"/>
  <c r="G35" i="15"/>
  <c r="G36" i="15"/>
  <c r="AO134" i="14"/>
  <c r="AX122" i="14"/>
  <c r="AW41" i="13"/>
  <c r="BC163" i="13"/>
  <c r="BC106" i="14" s="1"/>
  <c r="R72" i="12"/>
  <c r="L14" i="6" a="1"/>
  <c r="L14" i="6" s="1"/>
  <c r="L15" i="6" s="1"/>
  <c r="L16" i="6" s="1"/>
  <c r="J11" i="5" a="1"/>
  <c r="J11" i="5" s="1"/>
  <c r="J12" i="5" s="1"/>
  <c r="J13" i="5" s="1"/>
  <c r="M22" i="4"/>
  <c r="M20" i="4"/>
  <c r="BS100" i="14"/>
  <c r="BM105" i="14"/>
  <c r="M43" i="4"/>
  <c r="L196" i="12"/>
  <c r="L16" i="14"/>
  <c r="L73" i="12"/>
  <c r="BS11" i="13"/>
  <c r="AE64" i="13"/>
  <c r="AE138" i="14"/>
  <c r="AD139" i="14"/>
  <c r="BB33" i="13"/>
  <c r="BE27" i="13"/>
  <c r="BS25" i="13"/>
  <c r="BP87" i="13"/>
  <c r="G46" i="15"/>
  <c r="G29" i="15"/>
  <c r="BD164" i="13"/>
  <c r="BD99" i="13" s="1"/>
  <c r="AL190" i="13"/>
  <c r="AL58" i="13" s="1"/>
  <c r="BO21" i="13"/>
  <c r="BO153" i="13"/>
  <c r="BO88" i="13" s="1"/>
  <c r="BF111" i="14"/>
  <c r="BQ90" i="14"/>
  <c r="BE110" i="14"/>
  <c r="AO127" i="13"/>
  <c r="AO192" i="13"/>
  <c r="AU42" i="13"/>
  <c r="AV42" i="13" s="1"/>
  <c r="AU117" i="14"/>
  <c r="AV117" i="14" s="1"/>
  <c r="BK94" i="14"/>
  <c r="BK28" i="13"/>
  <c r="G47" i="15"/>
  <c r="M33" i="4"/>
  <c r="U71" i="12"/>
  <c r="BM30" i="13"/>
  <c r="AY105" i="13"/>
  <c r="AY170" i="13"/>
  <c r="BQ15" i="13"/>
  <c r="AE130" i="13"/>
  <c r="BG168" i="13" l="1"/>
  <c r="BG103" i="13" s="1"/>
  <c r="BB106" i="13"/>
  <c r="BB171" i="13"/>
  <c r="BN161" i="13"/>
  <c r="BN96" i="13" s="1"/>
  <c r="AW174" i="13"/>
  <c r="AW117" i="14" s="1"/>
  <c r="AW175" i="13"/>
  <c r="AW110" i="13" s="1"/>
  <c r="AX108" i="13"/>
  <c r="AX173" i="13"/>
  <c r="BR147" i="13"/>
  <c r="BR82" i="13" s="1"/>
  <c r="N138" i="12"/>
  <c r="N6" i="12" s="1"/>
  <c r="BT89" i="13"/>
  <c r="BT154" i="13"/>
  <c r="BD104" i="13"/>
  <c r="BD169" i="13"/>
  <c r="BT78" i="13"/>
  <c r="BT143" i="13"/>
  <c r="BP88" i="13"/>
  <c r="BP153" i="13"/>
  <c r="BN97" i="13"/>
  <c r="BN162" i="13"/>
  <c r="AQ121" i="13"/>
  <c r="AQ186" i="13"/>
  <c r="BE99" i="13"/>
  <c r="BE164" i="13"/>
  <c r="AA3" i="12"/>
  <c r="AA13" i="14"/>
  <c r="AY179" i="13"/>
  <c r="AY114" i="13" s="1"/>
  <c r="BG111" i="14"/>
  <c r="M54" i="4"/>
  <c r="G42" i="15"/>
  <c r="M16" i="14"/>
  <c r="N16" i="14" s="1"/>
  <c r="L74" i="14"/>
  <c r="L4" i="14" s="1"/>
  <c r="BG149" i="13"/>
  <c r="BB39" i="13"/>
  <c r="BT22" i="13"/>
  <c r="BT97" i="14"/>
  <c r="AP53" i="13"/>
  <c r="BE102" i="13"/>
  <c r="AV43" i="13"/>
  <c r="AW43" i="13" s="1"/>
  <c r="AZ105" i="13"/>
  <c r="AZ170" i="13"/>
  <c r="M73" i="12"/>
  <c r="AT183" i="13"/>
  <c r="AT51" i="13" s="1"/>
  <c r="AZ48" i="13"/>
  <c r="AZ180" i="13"/>
  <c r="AZ123" i="14" s="1"/>
  <c r="BN30" i="13"/>
  <c r="G37" i="15"/>
  <c r="CU7" i="7"/>
  <c r="CV3" i="7" s="1"/>
  <c r="CU4" i="7"/>
  <c r="CU6" i="7" s="1"/>
  <c r="BD32" i="13"/>
  <c r="H31" i="15"/>
  <c r="L64" i="12"/>
  <c r="H27" i="15" s="1"/>
  <c r="AX41" i="13"/>
  <c r="AP120" i="13"/>
  <c r="BT86" i="14"/>
  <c r="CT6" i="7"/>
  <c r="S137" i="12"/>
  <c r="S5" i="12" s="1"/>
  <c r="AL137" i="14"/>
  <c r="BE94" i="13"/>
  <c r="BU88" i="14"/>
  <c r="V136" i="12"/>
  <c r="AW42" i="13"/>
  <c r="BD172" i="13"/>
  <c r="BD107" i="13" s="1"/>
  <c r="AQ50" i="13"/>
  <c r="BC37" i="13"/>
  <c r="BD37" i="13" s="1"/>
  <c r="BC165" i="13"/>
  <c r="BC100" i="13" s="1"/>
  <c r="AO60" i="13"/>
  <c r="AO135" i="14"/>
  <c r="S72" i="12"/>
  <c r="AL133" i="14"/>
  <c r="BP91" i="13"/>
  <c r="AP126" i="13"/>
  <c r="AP191" i="13"/>
  <c r="AP134" i="14" s="1"/>
  <c r="BB111" i="13"/>
  <c r="BD107" i="14"/>
  <c r="BE107" i="14" s="1"/>
  <c r="BN78" i="14"/>
  <c r="AQ117" i="13"/>
  <c r="AL62" i="13"/>
  <c r="AL194" i="13"/>
  <c r="AL129" i="13" s="1"/>
  <c r="BD40" i="13"/>
  <c r="BE102" i="14"/>
  <c r="AW46" i="13"/>
  <c r="AW121" i="14"/>
  <c r="AO124" i="13"/>
  <c r="AO189" i="13"/>
  <c r="AO57" i="13" s="1"/>
  <c r="BT92" i="13"/>
  <c r="BT157" i="13"/>
  <c r="BT25" i="13" s="1"/>
  <c r="AO187" i="13"/>
  <c r="AO122" i="13" s="1"/>
  <c r="AW118" i="14"/>
  <c r="J18" i="5" a="1"/>
  <c r="J18" i="5" s="1"/>
  <c r="L23" i="6" a="1"/>
  <c r="L23" i="6" s="1"/>
  <c r="BP21" i="13"/>
  <c r="BQ87" i="13"/>
  <c r="BQ152" i="13"/>
  <c r="BQ20" i="13" s="1"/>
  <c r="AK128" i="13"/>
  <c r="AK193" i="13"/>
  <c r="AZ113" i="14"/>
  <c r="BG166" i="13"/>
  <c r="BG101" i="13" s="1"/>
  <c r="AQ54" i="13"/>
  <c r="BT18" i="13"/>
  <c r="BT93" i="14"/>
  <c r="AQ129" i="14"/>
  <c r="AW113" i="13"/>
  <c r="AE139" i="14"/>
  <c r="B106" i="14"/>
  <c r="C106" i="14" s="1"/>
  <c r="B105" i="13"/>
  <c r="C105" i="13" s="1"/>
  <c r="B105" i="12"/>
  <c r="C105" i="12" s="1"/>
  <c r="AX116" i="14"/>
  <c r="BR15" i="13"/>
  <c r="BB119" i="14"/>
  <c r="BT100" i="14"/>
  <c r="AY122" i="14"/>
  <c r="BQ95" i="14"/>
  <c r="BL155" i="13"/>
  <c r="BL23" i="13" s="1"/>
  <c r="BM29" i="13"/>
  <c r="BN29" i="13" s="1"/>
  <c r="BM104" i="14"/>
  <c r="BN104" i="14" s="1"/>
  <c r="AF195" i="13"/>
  <c r="AE131" i="13"/>
  <c r="AP192" i="13"/>
  <c r="AP127" i="13" s="1"/>
  <c r="BN105" i="14"/>
  <c r="AP59" i="13"/>
  <c r="BU80" i="13"/>
  <c r="BD112" i="14"/>
  <c r="AZ38" i="13"/>
  <c r="BD115" i="14"/>
  <c r="AU127" i="14"/>
  <c r="AR188" i="13"/>
  <c r="AR56" i="13" s="1"/>
  <c r="AU45" i="13"/>
  <c r="AU120" i="14"/>
  <c r="BT85" i="13"/>
  <c r="BL160" i="13"/>
  <c r="BL95" i="13" s="1"/>
  <c r="BP99" i="14"/>
  <c r="BC31" i="13"/>
  <c r="AR123" i="13"/>
  <c r="G48" i="15"/>
  <c r="AL125" i="13"/>
  <c r="BT11" i="13"/>
  <c r="M23" i="4"/>
  <c r="M21" i="4"/>
  <c r="BC98" i="13"/>
  <c r="BL103" i="14"/>
  <c r="AU119" i="13"/>
  <c r="AU184" i="13"/>
  <c r="AU52" i="13" s="1"/>
  <c r="AO130" i="14"/>
  <c r="BU81" i="13"/>
  <c r="BU146" i="13"/>
  <c r="BU89" i="14" s="1"/>
  <c r="AU112" i="13"/>
  <c r="BI158" i="13"/>
  <c r="BR90" i="14"/>
  <c r="J103" i="11"/>
  <c r="I103" i="11"/>
  <c r="H103" i="11"/>
  <c r="G104" i="11"/>
  <c r="BG92" i="14"/>
  <c r="BB114" i="14"/>
  <c r="BG36" i="13"/>
  <c r="AA70" i="12"/>
  <c r="AR181" i="13"/>
  <c r="AR124" i="14" s="1"/>
  <c r="AO55" i="13"/>
  <c r="BL151" i="13"/>
  <c r="BL94" i="14" s="1"/>
  <c r="BO96" i="14"/>
  <c r="BP96" i="14" s="1"/>
  <c r="BO135" i="13"/>
  <c r="AZ115" i="13"/>
  <c r="BN3" i="13"/>
  <c r="BS82" i="13" l="1"/>
  <c r="BS147" i="13"/>
  <c r="AV52" i="13"/>
  <c r="AV184" i="13"/>
  <c r="AX175" i="13"/>
  <c r="AX110" i="13" s="1"/>
  <c r="C106" i="13"/>
  <c r="BH103" i="13"/>
  <c r="BH168" i="13"/>
  <c r="AQ192" i="13"/>
  <c r="AQ127" i="13" s="1"/>
  <c r="BU25" i="13"/>
  <c r="AM194" i="13"/>
  <c r="AM129" i="13" s="1"/>
  <c r="BE172" i="13"/>
  <c r="BE107" i="13" s="1"/>
  <c r="AP57" i="13"/>
  <c r="BA123" i="14"/>
  <c r="AP122" i="13"/>
  <c r="AP187" i="13"/>
  <c r="BO161" i="13"/>
  <c r="BO96" i="13" s="1"/>
  <c r="T137" i="12"/>
  <c r="T5" i="12"/>
  <c r="BM160" i="13"/>
  <c r="BM95" i="13" s="1"/>
  <c r="AZ179" i="13"/>
  <c r="AZ114" i="13" s="1"/>
  <c r="BH166" i="13"/>
  <c r="BH101" i="13" s="1"/>
  <c r="BD100" i="13"/>
  <c r="BD165" i="13"/>
  <c r="BQ99" i="14"/>
  <c r="AV127" i="14"/>
  <c r="BO29" i="13"/>
  <c r="BS15" i="13"/>
  <c r="AM62" i="13"/>
  <c r="AQ191" i="13"/>
  <c r="AQ134" i="14" s="1"/>
  <c r="V14" i="14"/>
  <c r="V4" i="12"/>
  <c r="N42" i="4"/>
  <c r="CV4" i="7"/>
  <c r="CV6" i="7" s="1"/>
  <c r="CV7" i="7"/>
  <c r="CW3" i="7" s="1"/>
  <c r="BO162" i="13"/>
  <c r="BO105" i="14" s="1"/>
  <c r="BE169" i="13"/>
  <c r="BE37" i="13" s="1"/>
  <c r="BC171" i="13"/>
  <c r="BC106" i="13" s="1"/>
  <c r="BI101" i="14"/>
  <c r="BI26" i="13"/>
  <c r="AM190" i="13"/>
  <c r="AM58" i="13" s="1"/>
  <c r="AR116" i="13"/>
  <c r="G105" i="11"/>
  <c r="J104" i="11"/>
  <c r="I104" i="11"/>
  <c r="H104" i="11"/>
  <c r="BI93" i="13"/>
  <c r="AV45" i="13"/>
  <c r="BU100" i="14"/>
  <c r="BO70" i="13"/>
  <c r="BH36" i="13"/>
  <c r="BS90" i="14"/>
  <c r="AP130" i="14"/>
  <c r="M25" i="4"/>
  <c r="M24" i="4"/>
  <c r="BE115" i="14"/>
  <c r="BG109" i="14"/>
  <c r="AK61" i="13"/>
  <c r="AL61" i="13" s="1"/>
  <c r="AK136" i="14"/>
  <c r="AL136" i="14" s="1"/>
  <c r="AX118" i="14"/>
  <c r="AO132" i="14"/>
  <c r="BQ156" i="13"/>
  <c r="BQ24" i="13" s="1"/>
  <c r="BC33" i="13"/>
  <c r="BD33" i="13" s="1"/>
  <c r="G41" i="15"/>
  <c r="AT118" i="13"/>
  <c r="BC108" i="14"/>
  <c r="BL28" i="13"/>
  <c r="AB135" i="12"/>
  <c r="AB3" i="12"/>
  <c r="AR49" i="13"/>
  <c r="AW109" i="13"/>
  <c r="BA115" i="13"/>
  <c r="BA180" i="13"/>
  <c r="AF196" i="13"/>
  <c r="AF63" i="13"/>
  <c r="B107" i="14"/>
  <c r="C107" i="14" s="1"/>
  <c r="B106" i="13"/>
  <c r="B106" i="12"/>
  <c r="C106" i="12" s="1"/>
  <c r="M49" i="4"/>
  <c r="BL86" i="13"/>
  <c r="BC114" i="14"/>
  <c r="BA38" i="13"/>
  <c r="BL90" i="13"/>
  <c r="AL193" i="13"/>
  <c r="AL128" i="13" s="1"/>
  <c r="AR182" i="13"/>
  <c r="AR125" i="14" s="1"/>
  <c r="AM133" i="14"/>
  <c r="AY47" i="13"/>
  <c r="AZ47" i="13" s="1"/>
  <c r="BE32" i="13"/>
  <c r="N73" i="12"/>
  <c r="AT126" i="14"/>
  <c r="BM103" i="14"/>
  <c r="BO3" i="13"/>
  <c r="AP55" i="13"/>
  <c r="AV119" i="13"/>
  <c r="BU150" i="13"/>
  <c r="BU93" i="14" s="1"/>
  <c r="BE112" i="14"/>
  <c r="BR95" i="14"/>
  <c r="BL19" i="13"/>
  <c r="BO78" i="14"/>
  <c r="BF94" i="13"/>
  <c r="BF159" i="13"/>
  <c r="BF102" i="14" s="1"/>
  <c r="AQ185" i="13"/>
  <c r="AQ128" i="14" s="1"/>
  <c r="L6" i="14"/>
  <c r="N15" i="4" s="1"/>
  <c r="L5" i="14"/>
  <c r="M57" i="4"/>
  <c r="M34" i="4"/>
  <c r="M55" i="4"/>
  <c r="M64" i="4"/>
  <c r="M67" i="4"/>
  <c r="M62" i="4"/>
  <c r="M65" i="4"/>
  <c r="M61" i="4"/>
  <c r="M66" i="4"/>
  <c r="M63" i="4"/>
  <c r="M68" i="4"/>
  <c r="M56" i="4"/>
  <c r="L27" i="6" a="1"/>
  <c r="L27" i="6" s="1"/>
  <c r="J21" i="5" a="1"/>
  <c r="J21" i="5" s="1"/>
  <c r="BU154" i="13"/>
  <c r="BU97" i="14" s="1"/>
  <c r="AZ122" i="14"/>
  <c r="BR152" i="13"/>
  <c r="BR20" i="13" s="1"/>
  <c r="BG34" i="13"/>
  <c r="AM137" i="14"/>
  <c r="BO30" i="13"/>
  <c r="BA105" i="13"/>
  <c r="BA170" i="13"/>
  <c r="BA113" i="14" s="1"/>
  <c r="BF164" i="13"/>
  <c r="BF99" i="13" s="1"/>
  <c r="BQ153" i="13"/>
  <c r="BQ21" i="13" s="1"/>
  <c r="AY173" i="13"/>
  <c r="AY41" i="13" s="1"/>
  <c r="BU157" i="13"/>
  <c r="BU92" i="13" s="1"/>
  <c r="BE40" i="13"/>
  <c r="BF107" i="14"/>
  <c r="T72" i="12"/>
  <c r="AX43" i="13"/>
  <c r="AR131" i="14"/>
  <c r="BH111" i="14"/>
  <c r="AV177" i="13"/>
  <c r="AV120" i="14" s="1"/>
  <c r="AS188" i="13"/>
  <c r="AS56" i="13" s="1"/>
  <c r="AF130" i="13"/>
  <c r="AF138" i="14"/>
  <c r="BU14" i="13"/>
  <c r="BC176" i="13"/>
  <c r="BC44" i="13" s="1"/>
  <c r="AP135" i="14"/>
  <c r="V71" i="12"/>
  <c r="BA48" i="13"/>
  <c r="BF102" i="13"/>
  <c r="BF167" i="13"/>
  <c r="BG84" i="13"/>
  <c r="AR186" i="13"/>
  <c r="AR129" i="14" s="1"/>
  <c r="BU143" i="13"/>
  <c r="BU78" i="13" s="1"/>
  <c r="BD98" i="13"/>
  <c r="BD163" i="13"/>
  <c r="BD31" i="13"/>
  <c r="BO104" i="14"/>
  <c r="BC119" i="14"/>
  <c r="AX178" i="13"/>
  <c r="AX113" i="13" s="1"/>
  <c r="AP124" i="13"/>
  <c r="AP189" i="13"/>
  <c r="AP60" i="13"/>
  <c r="S15" i="14"/>
  <c r="N41" i="4"/>
  <c r="BL98" i="14"/>
  <c r="AQ53" i="13"/>
  <c r="BG17" i="13"/>
  <c r="BP96" i="13" l="1"/>
  <c r="BP161" i="13"/>
  <c r="BG164" i="13"/>
  <c r="BG107" i="14" s="1"/>
  <c r="BI166" i="13"/>
  <c r="BI101" i="13" s="1"/>
  <c r="C107" i="12"/>
  <c r="BD171" i="13"/>
  <c r="BD106" i="13" s="1"/>
  <c r="BG102" i="14"/>
  <c r="AY110" i="13"/>
  <c r="AY175" i="13"/>
  <c r="BN95" i="13"/>
  <c r="BN160" i="13"/>
  <c r="BF172" i="13"/>
  <c r="BF107" i="13" s="1"/>
  <c r="AY113" i="13"/>
  <c r="AY178" i="13"/>
  <c r="AN194" i="13"/>
  <c r="AN62" i="13" s="1"/>
  <c r="AR192" i="13"/>
  <c r="AR127" i="13" s="1"/>
  <c r="G50" i="15"/>
  <c r="J19" i="5" a="1"/>
  <c r="J19" i="5" s="1"/>
  <c r="L24" i="6" a="1"/>
  <c r="L24" i="6" s="1"/>
  <c r="BM90" i="13"/>
  <c r="AG195" i="13"/>
  <c r="AG196" i="13" s="1"/>
  <c r="AF131" i="13"/>
  <c r="AY108" i="13"/>
  <c r="BB38" i="13"/>
  <c r="AQ59" i="13"/>
  <c r="C107" i="13"/>
  <c r="AS123" i="13"/>
  <c r="U137" i="12"/>
  <c r="U72" i="12" s="1"/>
  <c r="U5" i="12"/>
  <c r="B108" i="14"/>
  <c r="C108" i="14" s="1"/>
  <c r="B107" i="13"/>
  <c r="B107" i="12"/>
  <c r="BE31" i="13"/>
  <c r="BE163" i="13"/>
  <c r="AR121" i="13"/>
  <c r="BD176" i="13"/>
  <c r="BD119" i="14" s="1"/>
  <c r="AV112" i="13"/>
  <c r="L35" i="6" a="1"/>
  <c r="L35" i="6" s="1"/>
  <c r="BC39" i="13"/>
  <c r="BD39" i="13" s="1"/>
  <c r="BU11" i="13"/>
  <c r="BF32" i="13"/>
  <c r="BG32" i="13" s="1"/>
  <c r="AG63" i="13"/>
  <c r="BH109" i="14"/>
  <c r="BI109" i="14" s="1"/>
  <c r="AQ130" i="14"/>
  <c r="BJ101" i="14"/>
  <c r="BO97" i="13"/>
  <c r="AX121" i="14"/>
  <c r="AY121" i="14" s="1"/>
  <c r="BQ96" i="14"/>
  <c r="BG94" i="13"/>
  <c r="BG159" i="13"/>
  <c r="BN103" i="14"/>
  <c r="AY118" i="14"/>
  <c r="BE165" i="13"/>
  <c r="BE33" i="13" s="1"/>
  <c r="BT147" i="13"/>
  <c r="BT15" i="13" s="1"/>
  <c r="BU89" i="13"/>
  <c r="AR117" i="13"/>
  <c r="CW7" i="7"/>
  <c r="CX3" i="7" s="1"/>
  <c r="CW4" i="7"/>
  <c r="CW6" i="7" s="1"/>
  <c r="BP104" i="14"/>
  <c r="BH34" i="13"/>
  <c r="BI34" i="13" s="1"/>
  <c r="BM86" i="13"/>
  <c r="BM151" i="13"/>
  <c r="BM94" i="14" s="1"/>
  <c r="M26" i="4"/>
  <c r="J15" i="5" a="1"/>
  <c r="J15" i="5" s="1"/>
  <c r="L18" i="6" a="1"/>
  <c r="L18" i="6" s="1"/>
  <c r="BJ158" i="13"/>
  <c r="BJ26" i="13" s="1"/>
  <c r="AQ189" i="13"/>
  <c r="AQ57" i="13" s="1"/>
  <c r="BH17" i="13"/>
  <c r="AQ60" i="13"/>
  <c r="BH149" i="13"/>
  <c r="BC111" i="13"/>
  <c r="BR87" i="13"/>
  <c r="L40" i="6" a="1"/>
  <c r="L40" i="6" s="1"/>
  <c r="BM19" i="13"/>
  <c r="AW184" i="13"/>
  <c r="AW52" i="13" s="1"/>
  <c r="BU86" i="14"/>
  <c r="AF64" i="13"/>
  <c r="BM28" i="13"/>
  <c r="BN28" i="13" s="1"/>
  <c r="AY116" i="14"/>
  <c r="BB170" i="13"/>
  <c r="BB113" i="14" s="1"/>
  <c r="L36" i="6" a="1"/>
  <c r="L36" i="6" s="1"/>
  <c r="AU183" i="13"/>
  <c r="AU51" i="13" s="1"/>
  <c r="AX46" i="13"/>
  <c r="AY46" i="13" s="1"/>
  <c r="L34" i="6" a="1"/>
  <c r="L34" i="6" s="1"/>
  <c r="M69" i="4"/>
  <c r="AR50" i="13"/>
  <c r="AM136" i="14"/>
  <c r="AW127" i="14"/>
  <c r="AQ135" i="14"/>
  <c r="BQ88" i="13"/>
  <c r="L38" i="6" a="1"/>
  <c r="L38" i="6" s="1"/>
  <c r="BU85" i="13"/>
  <c r="AM61" i="13"/>
  <c r="AM193" i="13"/>
  <c r="AM128" i="13" s="1"/>
  <c r="BD106" i="14"/>
  <c r="AS131" i="14"/>
  <c r="AR54" i="13"/>
  <c r="J23" i="5" a="1"/>
  <c r="J23" i="5" s="1"/>
  <c r="L29" i="6" a="1"/>
  <c r="L29" i="6" s="1"/>
  <c r="L37" i="6" a="1"/>
  <c r="L37" i="6" s="1"/>
  <c r="AQ120" i="13"/>
  <c r="BA179" i="13"/>
  <c r="BA114" i="13" s="1"/>
  <c r="M50" i="4"/>
  <c r="M72" i="4"/>
  <c r="BD108" i="14"/>
  <c r="BE108" i="14" s="1"/>
  <c r="BQ91" i="13"/>
  <c r="H105" i="11"/>
  <c r="G106" i="11"/>
  <c r="J105" i="11"/>
  <c r="I105" i="11"/>
  <c r="AB13" i="14"/>
  <c r="W136" i="12"/>
  <c r="W4" i="12" s="1"/>
  <c r="BG167" i="13"/>
  <c r="BG102" i="13" s="1"/>
  <c r="BF27" i="13"/>
  <c r="BG27" i="13" s="1"/>
  <c r="AX174" i="13"/>
  <c r="L39" i="6" a="1"/>
  <c r="L39" i="6" s="1"/>
  <c r="AS49" i="13"/>
  <c r="T15" i="14"/>
  <c r="L3" i="14"/>
  <c r="L17" i="14" s="1"/>
  <c r="N14" i="4"/>
  <c r="N18" i="4" s="1"/>
  <c r="BD114" i="14"/>
  <c r="BJ93" i="13"/>
  <c r="AM125" i="13"/>
  <c r="BE104" i="13"/>
  <c r="AQ126" i="13"/>
  <c r="BM155" i="13"/>
  <c r="BM23" i="13" s="1"/>
  <c r="AQ124" i="13"/>
  <c r="BE98" i="13"/>
  <c r="BF110" i="14"/>
  <c r="BG110" i="14" s="1"/>
  <c r="BF35" i="13"/>
  <c r="AG138" i="14"/>
  <c r="AF139" i="14"/>
  <c r="AY43" i="13"/>
  <c r="L41" i="6" a="1"/>
  <c r="L41" i="6" s="1"/>
  <c r="L28" i="6" a="1"/>
  <c r="L28" i="6" s="1"/>
  <c r="L30" i="6" s="1"/>
  <c r="J22" i="5" a="1"/>
  <c r="J22" i="5" s="1"/>
  <c r="J24" i="5" s="1"/>
  <c r="BU18" i="13"/>
  <c r="BP3" i="13"/>
  <c r="AB70" i="12"/>
  <c r="BB180" i="13"/>
  <c r="BB48" i="13" s="1"/>
  <c r="BU22" i="13"/>
  <c r="AP132" i="14"/>
  <c r="AQ132" i="14" s="1"/>
  <c r="BP70" i="13"/>
  <c r="BP135" i="13"/>
  <c r="AS181" i="13"/>
  <c r="AS124" i="14" s="1"/>
  <c r="W14" i="14"/>
  <c r="O138" i="12"/>
  <c r="O73" i="12" s="1"/>
  <c r="AQ122" i="13"/>
  <c r="AQ187" i="13"/>
  <c r="AQ55" i="13" s="1"/>
  <c r="BI168" i="13"/>
  <c r="BI103" i="13" s="1"/>
  <c r="BP29" i="13"/>
  <c r="AS192" i="13" l="1"/>
  <c r="AS127" i="13" s="1"/>
  <c r="BH167" i="13"/>
  <c r="BH102" i="13" s="1"/>
  <c r="BJ168" i="13"/>
  <c r="BJ103" i="13" s="1"/>
  <c r="BB179" i="13"/>
  <c r="BB114" i="13" s="1"/>
  <c r="AN193" i="13"/>
  <c r="AN128" i="13" s="1"/>
  <c r="C109" i="14"/>
  <c r="BE106" i="13"/>
  <c r="BE171" i="13"/>
  <c r="V72" i="12"/>
  <c r="BG107" i="13"/>
  <c r="BG172" i="13"/>
  <c r="BJ101" i="13"/>
  <c r="BJ166" i="13"/>
  <c r="BK26" i="13"/>
  <c r="BH110" i="14"/>
  <c r="BK158" i="13"/>
  <c r="BK93" i="13" s="1"/>
  <c r="L19" i="6"/>
  <c r="BE114" i="14"/>
  <c r="B109" i="14"/>
  <c r="B108" i="13"/>
  <c r="B108" i="12"/>
  <c r="BA47" i="13"/>
  <c r="BB47" i="13" s="1"/>
  <c r="AS54" i="13"/>
  <c r="AN136" i="14"/>
  <c r="BS152" i="13"/>
  <c r="J16" i="5"/>
  <c r="BB123" i="14"/>
  <c r="BT82" i="13"/>
  <c r="BU147" i="13" s="1"/>
  <c r="BU15" i="13" s="1"/>
  <c r="BR96" i="14"/>
  <c r="BD44" i="13"/>
  <c r="AT188" i="13"/>
  <c r="AT56" i="13" s="1"/>
  <c r="AZ173" i="13"/>
  <c r="AZ41" i="13" s="1"/>
  <c r="AN129" i="13"/>
  <c r="AS116" i="13"/>
  <c r="BB115" i="13"/>
  <c r="BF98" i="13"/>
  <c r="BF163" i="13"/>
  <c r="H17" i="15"/>
  <c r="N147" i="4"/>
  <c r="N60" i="4"/>
  <c r="N74" i="4"/>
  <c r="M48" i="6" s="1" a="1"/>
  <c r="M48" i="6" s="1"/>
  <c r="M13" i="6" a="1"/>
  <c r="M13" i="6" s="1"/>
  <c r="K10" i="5" a="1"/>
  <c r="K10" i="5" s="1"/>
  <c r="BI36" i="13"/>
  <c r="AT131" i="14"/>
  <c r="BB105" i="13"/>
  <c r="AW119" i="13"/>
  <c r="BI111" i="14"/>
  <c r="AS186" i="13"/>
  <c r="AS129" i="14" s="1"/>
  <c r="BG99" i="13"/>
  <c r="BQ104" i="14"/>
  <c r="BN155" i="13"/>
  <c r="BN90" i="13" s="1"/>
  <c r="BO160" i="13"/>
  <c r="BO95" i="13" s="1"/>
  <c r="AR187" i="13"/>
  <c r="AR55" i="13" s="1"/>
  <c r="AC70" i="12"/>
  <c r="BA122" i="14"/>
  <c r="BB122" i="14" s="1"/>
  <c r="AR124" i="13"/>
  <c r="AR189" i="13"/>
  <c r="AR57" i="13" s="1"/>
  <c r="BR156" i="13"/>
  <c r="AR120" i="13"/>
  <c r="AR185" i="13"/>
  <c r="BE106" i="14"/>
  <c r="BT90" i="14"/>
  <c r="BN19" i="13"/>
  <c r="BD111" i="13"/>
  <c r="BN94" i="14"/>
  <c r="CX4" i="7"/>
  <c r="CX7" i="7"/>
  <c r="CY3" i="7" s="1"/>
  <c r="BE100" i="13"/>
  <c r="BP162" i="13"/>
  <c r="BP97" i="13" s="1"/>
  <c r="BE39" i="13"/>
  <c r="J106" i="11"/>
  <c r="I106" i="11"/>
  <c r="H106" i="11"/>
  <c r="G107" i="11"/>
  <c r="AN61" i="13"/>
  <c r="BQ135" i="13"/>
  <c r="AZ43" i="13"/>
  <c r="AN137" i="14"/>
  <c r="AS182" i="13"/>
  <c r="AS125" i="14" s="1"/>
  <c r="BK101" i="14"/>
  <c r="BF31" i="13"/>
  <c r="W71" i="12"/>
  <c r="AZ110" i="13"/>
  <c r="AZ175" i="13"/>
  <c r="BQ161" i="13"/>
  <c r="BQ96" i="13" s="1"/>
  <c r="AR191" i="13"/>
  <c r="AR134" i="14" s="1"/>
  <c r="BM98" i="14"/>
  <c r="L42" i="6"/>
  <c r="AU118" i="13"/>
  <c r="BH92" i="14"/>
  <c r="BP78" i="14"/>
  <c r="AU126" i="14"/>
  <c r="BO103" i="14"/>
  <c r="C108" i="13"/>
  <c r="BQ29" i="13"/>
  <c r="BF115" i="14"/>
  <c r="BG115" i="14" s="1"/>
  <c r="AG139" i="14"/>
  <c r="BF104" i="13"/>
  <c r="BF169" i="13"/>
  <c r="M77" i="4"/>
  <c r="L45" i="6" a="1"/>
  <c r="L45" i="6" s="1"/>
  <c r="BF40" i="13"/>
  <c r="BG40" i="13" s="1"/>
  <c r="BO28" i="13"/>
  <c r="BH84" i="13"/>
  <c r="BJ109" i="14"/>
  <c r="AG64" i="13"/>
  <c r="BH159" i="13"/>
  <c r="BH102" i="14" s="1"/>
  <c r="O6" i="12"/>
  <c r="O16" i="14"/>
  <c r="AX42" i="13"/>
  <c r="AX117" i="14"/>
  <c r="AZ116" i="14"/>
  <c r="BN86" i="13"/>
  <c r="BN151" i="13"/>
  <c r="AZ118" i="14"/>
  <c r="V137" i="12"/>
  <c r="V5" i="12"/>
  <c r="AZ178" i="13"/>
  <c r="AZ113" i="13" s="1"/>
  <c r="C108" i="12"/>
  <c r="AX109" i="13"/>
  <c r="BR153" i="13"/>
  <c r="BR21" i="13" s="1"/>
  <c r="AR132" i="14"/>
  <c r="BG35" i="13"/>
  <c r="BH35" i="13" s="1"/>
  <c r="AN190" i="13"/>
  <c r="U15" i="14"/>
  <c r="AR135" i="14"/>
  <c r="AS135" i="14" s="1"/>
  <c r="AR60" i="13"/>
  <c r="AS60" i="13" s="1"/>
  <c r="BJ34" i="13"/>
  <c r="AW177" i="13"/>
  <c r="AC135" i="12"/>
  <c r="AC13" i="14" s="1"/>
  <c r="AG130" i="13"/>
  <c r="BK103" i="13" l="1"/>
  <c r="BK168" i="13"/>
  <c r="BL93" i="13"/>
  <c r="BL158" i="13"/>
  <c r="BA178" i="13"/>
  <c r="BA113" i="13" s="1"/>
  <c r="BR96" i="13"/>
  <c r="BR161" i="13"/>
  <c r="BR104" i="14" s="1"/>
  <c r="BQ162" i="13"/>
  <c r="BQ97" i="13" s="1"/>
  <c r="BP160" i="13"/>
  <c r="BP95" i="13" s="1"/>
  <c r="AO128" i="13"/>
  <c r="AO193" i="13"/>
  <c r="BC179" i="13"/>
  <c r="BC114" i="13" s="1"/>
  <c r="BO90" i="13"/>
  <c r="BO155" i="13"/>
  <c r="BI167" i="13"/>
  <c r="BI102" i="13" s="1"/>
  <c r="AT127" i="13"/>
  <c r="AT192" i="13"/>
  <c r="AT60" i="13" s="1"/>
  <c r="AS185" i="13"/>
  <c r="AS120" i="13" s="1"/>
  <c r="AX184" i="13"/>
  <c r="M33" i="6" a="1"/>
  <c r="M33" i="6" s="1"/>
  <c r="BL101" i="14"/>
  <c r="BR99" i="14"/>
  <c r="BR24" i="13"/>
  <c r="AO194" i="13"/>
  <c r="AO62" i="13" s="1"/>
  <c r="AT135" i="14"/>
  <c r="AS50" i="13"/>
  <c r="BI110" i="14"/>
  <c r="BU90" i="14"/>
  <c r="BH164" i="13"/>
  <c r="AZ108" i="13"/>
  <c r="AW120" i="14"/>
  <c r="AW45" i="13"/>
  <c r="W137" i="12"/>
  <c r="W5" i="12"/>
  <c r="BN23" i="13"/>
  <c r="BO23" i="13" s="1"/>
  <c r="AR59" i="13"/>
  <c r="BH27" i="13"/>
  <c r="AV118" i="13"/>
  <c r="AV183" i="13"/>
  <c r="AV51" i="13" s="1"/>
  <c r="BQ3" i="13"/>
  <c r="AZ46" i="13"/>
  <c r="BA46" i="13" s="1"/>
  <c r="BJ36" i="13"/>
  <c r="BK36" i="13" s="1"/>
  <c r="AW112" i="13"/>
  <c r="BF37" i="13"/>
  <c r="BF112" i="14"/>
  <c r="BG112" i="14" s="1"/>
  <c r="AO61" i="13"/>
  <c r="BF165" i="13"/>
  <c r="AR122" i="13"/>
  <c r="AS121" i="13"/>
  <c r="AT186" i="13" s="1"/>
  <c r="AT123" i="13"/>
  <c r="BH172" i="13"/>
  <c r="BH40" i="13" s="1"/>
  <c r="BG31" i="13"/>
  <c r="AT181" i="13"/>
  <c r="BQ78" i="14"/>
  <c r="BF171" i="13"/>
  <c r="BF114" i="14" s="1"/>
  <c r="AH195" i="13"/>
  <c r="AG131" i="13"/>
  <c r="L51" i="6"/>
  <c r="L53" i="6" s="1"/>
  <c r="AR126" i="13"/>
  <c r="BF39" i="13"/>
  <c r="AC3" i="12"/>
  <c r="BP105" i="14"/>
  <c r="BQ105" i="14" s="1"/>
  <c r="BP30" i="13"/>
  <c r="L74" i="12"/>
  <c r="H21" i="15"/>
  <c r="BL26" i="13"/>
  <c r="V15" i="14"/>
  <c r="AN58" i="13"/>
  <c r="AN133" i="14"/>
  <c r="AN125" i="13"/>
  <c r="BA118" i="14"/>
  <c r="P138" i="12"/>
  <c r="P73" i="12" s="1"/>
  <c r="P6" i="12"/>
  <c r="BI149" i="13"/>
  <c r="BI84" i="13" s="1"/>
  <c r="BG169" i="13"/>
  <c r="BG104" i="13" s="1"/>
  <c r="AR130" i="14"/>
  <c r="BA110" i="13"/>
  <c r="BA175" i="13"/>
  <c r="AO137" i="14"/>
  <c r="G108" i="11"/>
  <c r="J107" i="11"/>
  <c r="I107" i="11"/>
  <c r="H107" i="11"/>
  <c r="CY7" i="7"/>
  <c r="CZ3" i="7" s="1"/>
  <c r="CY4" i="7"/>
  <c r="CY6" i="7" s="1"/>
  <c r="BF106" i="14"/>
  <c r="AS124" i="13"/>
  <c r="AS189" i="13"/>
  <c r="AS132" i="14" s="1"/>
  <c r="AZ121" i="14"/>
  <c r="BA121" i="14" s="1"/>
  <c r="BG98" i="13"/>
  <c r="BG163" i="13"/>
  <c r="BE44" i="13"/>
  <c r="BS95" i="14"/>
  <c r="BS20" i="13"/>
  <c r="BO151" i="13"/>
  <c r="BO19" i="13" s="1"/>
  <c r="AV126" i="14"/>
  <c r="BH94" i="13"/>
  <c r="BQ70" i="13"/>
  <c r="BE176" i="13"/>
  <c r="BE119" i="14" s="1"/>
  <c r="BC105" i="13"/>
  <c r="BC170" i="13"/>
  <c r="BU82" i="13"/>
  <c r="BH107" i="13"/>
  <c r="BR91" i="13"/>
  <c r="BC47" i="13"/>
  <c r="BR88" i="13"/>
  <c r="M80" i="4"/>
  <c r="M79" i="4"/>
  <c r="J25" i="5" s="1" a="1"/>
  <c r="J25" i="5" s="1"/>
  <c r="J26" i="5" s="1"/>
  <c r="AS117" i="13"/>
  <c r="W72" i="12"/>
  <c r="BI35" i="13"/>
  <c r="AY174" i="13"/>
  <c r="AY117" i="14" s="1"/>
  <c r="BP28" i="13"/>
  <c r="BP103" i="14"/>
  <c r="BN98" i="14"/>
  <c r="BO98" i="14" s="1"/>
  <c r="X71" i="12"/>
  <c r="BA43" i="13"/>
  <c r="B110" i="14"/>
  <c r="C110" i="14" s="1"/>
  <c r="B109" i="13"/>
  <c r="C109" i="13" s="1"/>
  <c r="B109" i="12"/>
  <c r="C109" i="12" s="1"/>
  <c r="CX6" i="7"/>
  <c r="AR53" i="13"/>
  <c r="AS53" i="13" s="1"/>
  <c r="AR128" i="14"/>
  <c r="AS128" i="14" s="1"/>
  <c r="BJ111" i="14"/>
  <c r="BK111" i="14" s="1"/>
  <c r="BC180" i="13"/>
  <c r="BC48" i="13" s="1"/>
  <c r="BS87" i="13"/>
  <c r="BK166" i="13"/>
  <c r="BK101" i="13" s="1"/>
  <c r="AO136" i="14"/>
  <c r="X136" i="12"/>
  <c r="BD179" i="13" l="1"/>
  <c r="BD114" i="13" s="1"/>
  <c r="BJ149" i="13"/>
  <c r="C110" i="12"/>
  <c r="AT132" i="14"/>
  <c r="BL166" i="13"/>
  <c r="BL101" i="13" s="1"/>
  <c r="BJ167" i="13"/>
  <c r="BJ110" i="14" s="1"/>
  <c r="BH169" i="13"/>
  <c r="BH112" i="14" s="1"/>
  <c r="AT185" i="13"/>
  <c r="AT53" i="13" s="1"/>
  <c r="AT129" i="14"/>
  <c r="AT54" i="13"/>
  <c r="BQ160" i="13"/>
  <c r="BQ95" i="13" s="1"/>
  <c r="BH98" i="13"/>
  <c r="BH163" i="13"/>
  <c r="AT182" i="13"/>
  <c r="AT125" i="14" s="1"/>
  <c r="BC115" i="13"/>
  <c r="AT124" i="13"/>
  <c r="AT189" i="13"/>
  <c r="I108" i="11"/>
  <c r="H108" i="11"/>
  <c r="G109" i="11"/>
  <c r="J108" i="11"/>
  <c r="BB178" i="13"/>
  <c r="BB113" i="13" s="1"/>
  <c r="BM101" i="14"/>
  <c r="BP155" i="13"/>
  <c r="BP98" i="14" s="1"/>
  <c r="BM158" i="13"/>
  <c r="BM93" i="13" s="1"/>
  <c r="M167" i="4"/>
  <c r="M141" i="4"/>
  <c r="M142" i="4"/>
  <c r="L131" i="12"/>
  <c r="H26" i="15" s="1"/>
  <c r="AS191" i="13"/>
  <c r="AS134" i="14" s="1"/>
  <c r="BF106" i="13"/>
  <c r="AT124" i="14"/>
  <c r="AT49" i="13"/>
  <c r="BD170" i="13"/>
  <c r="BD105" i="13" s="1"/>
  <c r="BQ28" i="13"/>
  <c r="BI172" i="13"/>
  <c r="BI40" i="13" s="1"/>
  <c r="BI17" i="13"/>
  <c r="H22" i="15"/>
  <c r="L7" i="12"/>
  <c r="AU188" i="13"/>
  <c r="X137" i="12"/>
  <c r="X5" i="12"/>
  <c r="AY42" i="13"/>
  <c r="BI92" i="14"/>
  <c r="BH115" i="14"/>
  <c r="AS57" i="13"/>
  <c r="AT57" i="13" s="1"/>
  <c r="X4" i="12"/>
  <c r="X14" i="14"/>
  <c r="BC122" i="14"/>
  <c r="BD122" i="14" s="1"/>
  <c r="AY109" i="13"/>
  <c r="BS153" i="13"/>
  <c r="BS88" i="13" s="1"/>
  <c r="BC38" i="13"/>
  <c r="BD38" i="13" s="1"/>
  <c r="BC113" i="14"/>
  <c r="BG106" i="14"/>
  <c r="BQ30" i="13"/>
  <c r="BR29" i="13"/>
  <c r="AT116" i="13"/>
  <c r="BG37" i="13"/>
  <c r="BH37" i="13" s="1"/>
  <c r="AW183" i="13"/>
  <c r="AW51" i="13" s="1"/>
  <c r="BO94" i="14"/>
  <c r="BK109" i="14"/>
  <c r="BL109" i="14" s="1"/>
  <c r="BO86" i="13"/>
  <c r="CZ7" i="7"/>
  <c r="DA3" i="7" s="1"/>
  <c r="CZ4" i="7"/>
  <c r="CZ6" i="7" s="1"/>
  <c r="AS130" i="14"/>
  <c r="BH31" i="13"/>
  <c r="AT121" i="13"/>
  <c r="P16" i="14"/>
  <c r="Q16" i="14" s="1"/>
  <c r="BI159" i="13"/>
  <c r="BI102" i="14" s="1"/>
  <c r="BA173" i="13"/>
  <c r="BC123" i="14"/>
  <c r="AX52" i="13"/>
  <c r="AX127" i="14"/>
  <c r="AU127" i="13"/>
  <c r="AU192" i="13"/>
  <c r="AU60" i="13" s="1"/>
  <c r="AP193" i="13"/>
  <c r="AP128" i="13" s="1"/>
  <c r="X72" i="12"/>
  <c r="BS91" i="13"/>
  <c r="BS156" i="13"/>
  <c r="BE111" i="13"/>
  <c r="B111" i="14"/>
  <c r="C111" i="14" s="1"/>
  <c r="B110" i="13"/>
  <c r="C110" i="13" s="1"/>
  <c r="B110" i="12"/>
  <c r="BB118" i="14"/>
  <c r="W15" i="14"/>
  <c r="X15" i="14" s="1"/>
  <c r="AD135" i="12"/>
  <c r="AD3" i="12"/>
  <c r="AS122" i="13"/>
  <c r="AX177" i="13"/>
  <c r="AX120" i="14" s="1"/>
  <c r="AS59" i="13"/>
  <c r="BH32" i="13"/>
  <c r="BH107" i="14"/>
  <c r="AT50" i="13"/>
  <c r="AO129" i="13"/>
  <c r="AX119" i="13"/>
  <c r="AP136" i="14"/>
  <c r="BD47" i="13"/>
  <c r="BB110" i="13"/>
  <c r="BB175" i="13"/>
  <c r="BB43" i="13" s="1"/>
  <c r="Q138" i="12"/>
  <c r="Q6" i="12"/>
  <c r="BK34" i="13"/>
  <c r="BL34" i="13" s="1"/>
  <c r="Q73" i="12"/>
  <c r="BT87" i="13"/>
  <c r="BT152" i="13"/>
  <c r="BR135" i="13"/>
  <c r="BT20" i="13"/>
  <c r="BB121" i="14"/>
  <c r="AO125" i="13"/>
  <c r="AO190" i="13"/>
  <c r="AO133" i="14" s="1"/>
  <c r="BM26" i="13"/>
  <c r="AH196" i="13"/>
  <c r="AH64" i="13" s="1"/>
  <c r="AH63" i="13"/>
  <c r="AH138" i="14"/>
  <c r="BR78" i="14"/>
  <c r="BF108" i="14"/>
  <c r="BF33" i="13"/>
  <c r="BL168" i="13"/>
  <c r="BL36" i="13" s="1"/>
  <c r="BH99" i="13"/>
  <c r="BS24" i="13"/>
  <c r="BT95" i="14"/>
  <c r="AH130" i="13"/>
  <c r="BF100" i="13"/>
  <c r="BS99" i="14"/>
  <c r="AS187" i="13"/>
  <c r="AS55" i="13" s="1"/>
  <c r="BM101" i="13" l="1"/>
  <c r="BM166" i="13"/>
  <c r="BE170" i="13"/>
  <c r="BE105" i="13" s="1"/>
  <c r="BN158" i="13"/>
  <c r="BN93" i="13" s="1"/>
  <c r="BC113" i="13"/>
  <c r="BC178" i="13"/>
  <c r="AQ193" i="13"/>
  <c r="AQ128" i="13" s="1"/>
  <c r="BT153" i="13"/>
  <c r="BT88" i="13" s="1"/>
  <c r="BR160" i="13"/>
  <c r="BR95" i="13" s="1"/>
  <c r="BE114" i="13"/>
  <c r="BE179" i="13"/>
  <c r="BE47" i="13" s="1"/>
  <c r="BI163" i="13"/>
  <c r="BC121" i="14"/>
  <c r="BT156" i="13"/>
  <c r="BT91" i="13" s="1"/>
  <c r="BM109" i="14"/>
  <c r="BP86" i="13"/>
  <c r="BP151" i="13"/>
  <c r="BP19" i="13" s="1"/>
  <c r="L117" i="6" a="1"/>
  <c r="L117" i="6" s="1"/>
  <c r="BP90" i="13"/>
  <c r="G110" i="11"/>
  <c r="J109" i="11"/>
  <c r="I109" i="11"/>
  <c r="H109" i="11"/>
  <c r="BD180" i="13"/>
  <c r="BD48" i="13" s="1"/>
  <c r="BJ35" i="13"/>
  <c r="AT120" i="13"/>
  <c r="BJ102" i="13"/>
  <c r="C111" i="12"/>
  <c r="BT24" i="13"/>
  <c r="BM34" i="13"/>
  <c r="AQ136" i="14"/>
  <c r="AX112" i="13"/>
  <c r="BS29" i="13"/>
  <c r="BS161" i="13"/>
  <c r="BI115" i="14"/>
  <c r="AU131" i="14"/>
  <c r="AU56" i="13"/>
  <c r="BI107" i="13"/>
  <c r="BG171" i="13"/>
  <c r="M149" i="4"/>
  <c r="J30" i="5" s="1" a="1"/>
  <c r="J30" i="5" s="1"/>
  <c r="L116" i="6" a="1"/>
  <c r="L116" i="6" s="1"/>
  <c r="L121" i="6" s="1"/>
  <c r="BN101" i="14"/>
  <c r="B112" i="14"/>
  <c r="C112" i="14" s="1"/>
  <c r="B111" i="13"/>
  <c r="C111" i="13" s="1"/>
  <c r="B111" i="12"/>
  <c r="AT128" i="14"/>
  <c r="BI99" i="13"/>
  <c r="BI164" i="13"/>
  <c r="AH139" i="14"/>
  <c r="AY184" i="13"/>
  <c r="AY127" i="14" s="1"/>
  <c r="AT122" i="13"/>
  <c r="AT187" i="13"/>
  <c r="AU186" i="13"/>
  <c r="AU121" i="13" s="1"/>
  <c r="BL103" i="13"/>
  <c r="BR162" i="13"/>
  <c r="AZ109" i="13"/>
  <c r="AZ174" i="13"/>
  <c r="AZ117" i="14" s="1"/>
  <c r="BJ92" i="14"/>
  <c r="AU123" i="13"/>
  <c r="BR28" i="13"/>
  <c r="M170" i="4"/>
  <c r="M172" i="4" s="1"/>
  <c r="M179" i="4" s="1"/>
  <c r="J36" i="5" a="1"/>
  <c r="J36" i="5" s="1"/>
  <c r="L144" i="6" a="1"/>
  <c r="L144" i="6" s="1"/>
  <c r="DA7" i="7"/>
  <c r="DB3" i="7" s="1"/>
  <c r="DA4" i="7"/>
  <c r="DA6" i="7" s="1"/>
  <c r="AU49" i="13"/>
  <c r="AT117" i="13"/>
  <c r="AT55" i="13"/>
  <c r="BP23" i="13"/>
  <c r="BR70" i="13"/>
  <c r="AP129" i="13"/>
  <c r="AP194" i="13"/>
  <c r="BI31" i="13"/>
  <c r="AU135" i="14"/>
  <c r="AS126" i="13"/>
  <c r="BB46" i="13"/>
  <c r="BC46" i="13" s="1"/>
  <c r="BQ103" i="14"/>
  <c r="BR103" i="14" s="1"/>
  <c r="BH104" i="13"/>
  <c r="BJ84" i="13"/>
  <c r="AV192" i="13"/>
  <c r="AV60" i="13" s="1"/>
  <c r="BP94" i="14"/>
  <c r="AU181" i="13"/>
  <c r="AU124" i="14" s="1"/>
  <c r="AU57" i="13"/>
  <c r="R138" i="12"/>
  <c r="R73" i="12" s="1"/>
  <c r="AX45" i="13"/>
  <c r="BH106" i="14"/>
  <c r="BE122" i="14"/>
  <c r="M139" i="12"/>
  <c r="L65" i="12"/>
  <c r="N19" i="4"/>
  <c r="H28" i="15"/>
  <c r="BL111" i="14"/>
  <c r="AP61" i="13"/>
  <c r="AQ61" i="13" s="1"/>
  <c r="AU124" i="13"/>
  <c r="AU189" i="13"/>
  <c r="AU132" i="14" s="1"/>
  <c r="BC175" i="13"/>
  <c r="BC110" i="13" s="1"/>
  <c r="BI27" i="13"/>
  <c r="BD123" i="14"/>
  <c r="BN26" i="13"/>
  <c r="AD13" i="14"/>
  <c r="AD70" i="12"/>
  <c r="AT130" i="14"/>
  <c r="AW126" i="14"/>
  <c r="BR3" i="13"/>
  <c r="H23" i="15"/>
  <c r="N40" i="4"/>
  <c r="N43" i="4" s="1"/>
  <c r="H34" i="15"/>
  <c r="AU54" i="13"/>
  <c r="BU152" i="13"/>
  <c r="BU95" i="14" s="1"/>
  <c r="BE38" i="13"/>
  <c r="Y137" i="12"/>
  <c r="Y15" i="14" s="1"/>
  <c r="Y5" i="12"/>
  <c r="Y72" i="12"/>
  <c r="BS21" i="13"/>
  <c r="BT21" i="13" s="1"/>
  <c r="BS96" i="14"/>
  <c r="BT96" i="14" s="1"/>
  <c r="BT99" i="14"/>
  <c r="AE135" i="12"/>
  <c r="BG165" i="13"/>
  <c r="BG108" i="14" s="1"/>
  <c r="BI107" i="14"/>
  <c r="BF176" i="13"/>
  <c r="BA41" i="13"/>
  <c r="BA116" i="14"/>
  <c r="AI195" i="13"/>
  <c r="AI196" i="13" s="1"/>
  <c r="AH131" i="13"/>
  <c r="BI32" i="13"/>
  <c r="BA108" i="13"/>
  <c r="AW118" i="13"/>
  <c r="BD113" i="14"/>
  <c r="Y136" i="12"/>
  <c r="Y4" i="12"/>
  <c r="BJ17" i="13"/>
  <c r="AO58" i="13"/>
  <c r="BI94" i="13"/>
  <c r="AU129" i="14"/>
  <c r="BU153" i="13" l="1"/>
  <c r="BU88" i="13" s="1"/>
  <c r="BD175" i="13"/>
  <c r="BD110" i="13" s="1"/>
  <c r="Z15" i="14"/>
  <c r="AR128" i="13"/>
  <c r="AR193" i="13"/>
  <c r="BU91" i="13"/>
  <c r="BU156" i="13"/>
  <c r="BO158" i="13"/>
  <c r="BO93" i="13" s="1"/>
  <c r="AV121" i="13"/>
  <c r="AV186" i="13"/>
  <c r="BF170" i="13"/>
  <c r="BF105" i="13" s="1"/>
  <c r="BS160" i="13"/>
  <c r="BS95" i="13" s="1"/>
  <c r="Y71" i="12"/>
  <c r="AI130" i="13"/>
  <c r="AX183" i="13"/>
  <c r="AX51" i="13" s="1"/>
  <c r="AV54" i="13"/>
  <c r="Y14" i="14"/>
  <c r="AV189" i="13"/>
  <c r="AV57" i="13" s="1"/>
  <c r="M196" i="12"/>
  <c r="M17" i="14"/>
  <c r="M74" i="12"/>
  <c r="AQ129" i="13"/>
  <c r="AQ194" i="13"/>
  <c r="BM168" i="13"/>
  <c r="BM36" i="13" s="1"/>
  <c r="BJ107" i="13"/>
  <c r="BJ172" i="13"/>
  <c r="BJ40" i="13" s="1"/>
  <c r="BC118" i="14"/>
  <c r="BD118" i="14" s="1"/>
  <c r="BJ94" i="13"/>
  <c r="BJ159" i="13"/>
  <c r="BB173" i="13"/>
  <c r="BB41" i="13" s="1"/>
  <c r="BF44" i="13"/>
  <c r="BF119" i="14"/>
  <c r="Z137" i="12"/>
  <c r="Z5" i="12"/>
  <c r="AP190" i="13"/>
  <c r="BJ32" i="13"/>
  <c r="BF111" i="13"/>
  <c r="BU99" i="14"/>
  <c r="AT191" i="13"/>
  <c r="BO101" i="14"/>
  <c r="AR136" i="14"/>
  <c r="BC43" i="13"/>
  <c r="BD43" i="13" s="1"/>
  <c r="BS28" i="13"/>
  <c r="BQ155" i="13"/>
  <c r="BQ98" i="14" s="1"/>
  <c r="BM111" i="14"/>
  <c r="AU116" i="13"/>
  <c r="AI63" i="13"/>
  <c r="AI64" i="13" s="1"/>
  <c r="DB4" i="7"/>
  <c r="DB7" i="7"/>
  <c r="DC3" i="7" s="1"/>
  <c r="AI138" i="14"/>
  <c r="BG33" i="13"/>
  <c r="BJ107" i="14"/>
  <c r="BU96" i="14"/>
  <c r="BF38" i="13"/>
  <c r="N54" i="4"/>
  <c r="AE70" i="12"/>
  <c r="BJ27" i="13"/>
  <c r="BI106" i="14"/>
  <c r="AZ42" i="13"/>
  <c r="BA42" i="13" s="1"/>
  <c r="BQ23" i="13"/>
  <c r="BK92" i="14"/>
  <c r="AY52" i="13"/>
  <c r="BJ115" i="14"/>
  <c r="BN166" i="13"/>
  <c r="BN101" i="13" s="1"/>
  <c r="BD115" i="13"/>
  <c r="BF179" i="13"/>
  <c r="BF47" i="13" s="1"/>
  <c r="AU185" i="13"/>
  <c r="AU53" i="13" s="1"/>
  <c r="BU21" i="13"/>
  <c r="H47" i="15"/>
  <c r="N33" i="4"/>
  <c r="AE13" i="14"/>
  <c r="AY45" i="13"/>
  <c r="AV135" i="14"/>
  <c r="BA117" i="14"/>
  <c r="BJ99" i="13"/>
  <c r="BJ164" i="13"/>
  <c r="L146" i="6"/>
  <c r="L148" i="6" s="1"/>
  <c r="BS104" i="14"/>
  <c r="BS96" i="13"/>
  <c r="BU20" i="13"/>
  <c r="B113" i="14"/>
  <c r="C113" i="14" s="1"/>
  <c r="B112" i="13"/>
  <c r="C112" i="13" s="1"/>
  <c r="B112" i="12"/>
  <c r="M14" i="6" a="1"/>
  <c r="M14" i="6" s="1"/>
  <c r="M15" i="6" s="1"/>
  <c r="M16" i="6" s="1"/>
  <c r="K11" i="5" a="1"/>
  <c r="K11" i="5" s="1"/>
  <c r="K12" i="5" s="1"/>
  <c r="K13" i="5" s="1"/>
  <c r="N22" i="4"/>
  <c r="N20" i="4"/>
  <c r="AV127" i="13"/>
  <c r="BA174" i="13"/>
  <c r="BA109" i="13" s="1"/>
  <c r="AU187" i="13"/>
  <c r="AU130" i="14" s="1"/>
  <c r="AU128" i="14"/>
  <c r="J38" i="5"/>
  <c r="J40" i="5" s="1"/>
  <c r="J50" i="5" s="1"/>
  <c r="BU24" i="13"/>
  <c r="BQ151" i="13"/>
  <c r="BQ19" i="13" s="1"/>
  <c r="BD121" i="14"/>
  <c r="Z72" i="12"/>
  <c r="BU87" i="13"/>
  <c r="R6" i="12"/>
  <c r="BK149" i="13"/>
  <c r="BK17" i="13" s="1"/>
  <c r="AU182" i="13"/>
  <c r="AU117" i="13" s="1"/>
  <c r="L155" i="6" a="1"/>
  <c r="L155" i="6" s="1"/>
  <c r="J44" i="5" a="1"/>
  <c r="J44" i="5" s="1"/>
  <c r="BR97" i="13"/>
  <c r="BR105" i="14"/>
  <c r="BG39" i="13"/>
  <c r="BG114" i="14"/>
  <c r="R16" i="14"/>
  <c r="C112" i="12"/>
  <c r="BQ86" i="13"/>
  <c r="BG100" i="13"/>
  <c r="AV129" i="14"/>
  <c r="BE113" i="14"/>
  <c r="AE3" i="12"/>
  <c r="BO26" i="13"/>
  <c r="M7" i="12"/>
  <c r="BI104" i="13"/>
  <c r="BI169" i="13"/>
  <c r="AP62" i="13"/>
  <c r="AP137" i="14"/>
  <c r="AQ137" i="14" s="1"/>
  <c r="BR30" i="13"/>
  <c r="AY119" i="13"/>
  <c r="BG106" i="13"/>
  <c r="BK102" i="13"/>
  <c r="BK167" i="13"/>
  <c r="BK110" i="14" s="1"/>
  <c r="G111" i="11"/>
  <c r="J110" i="11"/>
  <c r="I110" i="11"/>
  <c r="H110" i="11"/>
  <c r="BN109" i="14"/>
  <c r="BD113" i="13"/>
  <c r="BD178" i="13"/>
  <c r="BD46" i="13" s="1"/>
  <c r="H36" i="15"/>
  <c r="H40" i="15"/>
  <c r="H46" i="15" s="1"/>
  <c r="H35" i="15"/>
  <c r="H37" i="15" s="1"/>
  <c r="AR61" i="13"/>
  <c r="BS135" i="13"/>
  <c r="AV123" i="13"/>
  <c r="AV188" i="13"/>
  <c r="AV56" i="13" s="1"/>
  <c r="AY112" i="13"/>
  <c r="AY177" i="13"/>
  <c r="AY120" i="14" s="1"/>
  <c r="BI98" i="13"/>
  <c r="BG170" i="13" l="1"/>
  <c r="BG105" i="13" s="1"/>
  <c r="BO101" i="13"/>
  <c r="BO166" i="13"/>
  <c r="BP158" i="13"/>
  <c r="BP93" i="13" s="1"/>
  <c r="H41" i="15"/>
  <c r="AV182" i="13"/>
  <c r="AV117" i="13" s="1"/>
  <c r="BT95" i="13"/>
  <c r="BB174" i="13"/>
  <c r="BB109" i="13" s="1"/>
  <c r="BL167" i="13"/>
  <c r="BL102" i="13" s="1"/>
  <c r="BH106" i="13"/>
  <c r="BH171" i="13"/>
  <c r="AU55" i="13"/>
  <c r="K18" i="5" a="1"/>
  <c r="K18" i="5" s="1"/>
  <c r="M23" i="6" a="1"/>
  <c r="M23" i="6" s="1"/>
  <c r="BF114" i="13"/>
  <c r="BK107" i="14"/>
  <c r="BK107" i="13"/>
  <c r="BK172" i="13"/>
  <c r="I31" i="15"/>
  <c r="O42" i="4" s="1"/>
  <c r="M64" i="12"/>
  <c r="I27" i="15" s="1"/>
  <c r="AJ130" i="13"/>
  <c r="AJ195" i="13"/>
  <c r="AJ196" i="13" s="1"/>
  <c r="AI131" i="13"/>
  <c r="AW186" i="13"/>
  <c r="AW121" i="13" s="1"/>
  <c r="AS193" i="13"/>
  <c r="AS128" i="13" s="1"/>
  <c r="BO109" i="14"/>
  <c r="BE121" i="14"/>
  <c r="AU122" i="13"/>
  <c r="AV132" i="14"/>
  <c r="BS78" i="14"/>
  <c r="BE180" i="13"/>
  <c r="AF70" i="12"/>
  <c r="AS136" i="14"/>
  <c r="AP133" i="14"/>
  <c r="AP125" i="13"/>
  <c r="BB108" i="13"/>
  <c r="BK35" i="13"/>
  <c r="BL35" i="13" s="1"/>
  <c r="B114" i="14"/>
  <c r="C114" i="14" s="1"/>
  <c r="B113" i="13"/>
  <c r="C113" i="13" s="1"/>
  <c r="B113" i="12"/>
  <c r="C113" i="12" s="1"/>
  <c r="BS3" i="13"/>
  <c r="H48" i="15"/>
  <c r="BQ94" i="14"/>
  <c r="AV131" i="14"/>
  <c r="AW131" i="14" s="1"/>
  <c r="AP58" i="13"/>
  <c r="BM103" i="13"/>
  <c r="AV124" i="13"/>
  <c r="N139" i="12"/>
  <c r="N7" i="12"/>
  <c r="AU50" i="13"/>
  <c r="AV50" i="13" s="1"/>
  <c r="AU125" i="14"/>
  <c r="AV125" i="14" s="1"/>
  <c r="AF135" i="12"/>
  <c r="AF3" i="12"/>
  <c r="BT96" i="13"/>
  <c r="BT161" i="13"/>
  <c r="BT29" i="13" s="1"/>
  <c r="AZ120" i="14"/>
  <c r="BF122" i="14"/>
  <c r="BB116" i="14"/>
  <c r="BH114" i="14"/>
  <c r="BT104" i="14"/>
  <c r="BN34" i="13"/>
  <c r="BO34" i="13" s="1"/>
  <c r="AJ138" i="14"/>
  <c r="AI139" i="14"/>
  <c r="BQ90" i="13"/>
  <c r="BP101" i="14"/>
  <c r="BJ102" i="14"/>
  <c r="AW123" i="13"/>
  <c r="AW188" i="13"/>
  <c r="AW56" i="13" s="1"/>
  <c r="BE113" i="13"/>
  <c r="BE178" i="13"/>
  <c r="BE46" i="13" s="1"/>
  <c r="BJ169" i="13"/>
  <c r="BJ104" i="13" s="1"/>
  <c r="BH100" i="13"/>
  <c r="BH165" i="13"/>
  <c r="BH108" i="14" s="1"/>
  <c r="BP26" i="13"/>
  <c r="AZ177" i="13"/>
  <c r="AZ112" i="13" s="1"/>
  <c r="BH39" i="13"/>
  <c r="BK115" i="14"/>
  <c r="AT134" i="14"/>
  <c r="AT59" i="13"/>
  <c r="AR194" i="13"/>
  <c r="AR129" i="13" s="1"/>
  <c r="AF13" i="14"/>
  <c r="BJ106" i="14"/>
  <c r="DC7" i="7"/>
  <c r="DD3" i="7" s="1"/>
  <c r="DC4" i="7"/>
  <c r="DC6" i="7" s="1"/>
  <c r="BT28" i="13"/>
  <c r="BT160" i="13"/>
  <c r="AA137" i="12"/>
  <c r="AA72" i="12" s="1"/>
  <c r="AA5" i="12"/>
  <c r="BK94" i="13"/>
  <c r="BK159" i="13"/>
  <c r="AW54" i="13"/>
  <c r="AX126" i="14"/>
  <c r="J111" i="11"/>
  <c r="I111" i="11"/>
  <c r="H111" i="11"/>
  <c r="G112" i="11"/>
  <c r="AQ62" i="13"/>
  <c r="AR62" i="13" s="1"/>
  <c r="BF113" i="14"/>
  <c r="BG113" i="14" s="1"/>
  <c r="BK84" i="13"/>
  <c r="AW192" i="13"/>
  <c r="AW60" i="13" s="1"/>
  <c r="Z136" i="12"/>
  <c r="H29" i="15"/>
  <c r="N55" i="4"/>
  <c r="N67" i="4"/>
  <c r="M40" i="6" s="1" a="1"/>
  <c r="M40" i="6" s="1"/>
  <c r="N63" i="4"/>
  <c r="M36" i="6" s="1" a="1"/>
  <c r="M36" i="6" s="1"/>
  <c r="N62" i="4"/>
  <c r="M35" i="6" s="1" a="1"/>
  <c r="M35" i="6" s="1"/>
  <c r="N64" i="4"/>
  <c r="M37" i="6" s="1" a="1"/>
  <c r="M37" i="6" s="1"/>
  <c r="N61" i="4"/>
  <c r="N68" i="4"/>
  <c r="M41" i="6" s="1" a="1"/>
  <c r="M41" i="6" s="1"/>
  <c r="N65" i="4"/>
  <c r="M38" i="6" s="1" a="1"/>
  <c r="M38" i="6" s="1"/>
  <c r="N66" i="4"/>
  <c r="M39" i="6" s="1" a="1"/>
  <c r="M39" i="6" s="1"/>
  <c r="N56" i="4"/>
  <c r="K21" i="5" a="1"/>
  <c r="K21" i="5" s="1"/>
  <c r="M27" i="6" a="1"/>
  <c r="M27" i="6" s="1"/>
  <c r="DB6" i="7"/>
  <c r="AT126" i="13"/>
  <c r="AU120" i="13"/>
  <c r="BS103" i="14"/>
  <c r="BT103" i="14" s="1"/>
  <c r="BB117" i="14"/>
  <c r="H42" i="15"/>
  <c r="BR151" i="13"/>
  <c r="BR86" i="13" s="1"/>
  <c r="BJ98" i="13"/>
  <c r="BJ163" i="13"/>
  <c r="BJ31" i="13" s="1"/>
  <c r="BS70" i="13"/>
  <c r="AZ184" i="13"/>
  <c r="AZ127" i="14" s="1"/>
  <c r="BL110" i="14"/>
  <c r="BI112" i="14"/>
  <c r="BI37" i="13"/>
  <c r="AW129" i="14"/>
  <c r="BS162" i="13"/>
  <c r="BS30" i="13" s="1"/>
  <c r="S138" i="12"/>
  <c r="S6" i="12"/>
  <c r="N23" i="4"/>
  <c r="N21" i="4"/>
  <c r="BK99" i="13"/>
  <c r="BK164" i="13"/>
  <c r="BK32" i="13" s="1"/>
  <c r="BG38" i="13"/>
  <c r="AJ63" i="13"/>
  <c r="BG119" i="14"/>
  <c r="N74" i="12"/>
  <c r="BK27" i="13"/>
  <c r="AV116" i="13"/>
  <c r="AV181" i="13"/>
  <c r="BE175" i="13"/>
  <c r="BE118" i="14" s="1"/>
  <c r="BG111" i="13"/>
  <c r="BG176" i="13"/>
  <c r="BG44" i="13"/>
  <c r="BK40" i="13"/>
  <c r="N17" i="14"/>
  <c r="M74" i="14"/>
  <c r="M4" i="14" s="1"/>
  <c r="AX118" i="13"/>
  <c r="C114" i="12" l="1"/>
  <c r="AX186" i="13"/>
  <c r="AX121" i="13" s="1"/>
  <c r="BC174" i="13"/>
  <c r="BC109" i="13" s="1"/>
  <c r="AB72" i="12"/>
  <c r="C114" i="13"/>
  <c r="C115" i="14"/>
  <c r="AW182" i="13"/>
  <c r="AW117" i="13" s="1"/>
  <c r="BQ158" i="13"/>
  <c r="BQ93" i="13" s="1"/>
  <c r="AS129" i="13"/>
  <c r="AS194" i="13"/>
  <c r="AS62" i="13" s="1"/>
  <c r="BA177" i="13"/>
  <c r="BA112" i="13" s="1"/>
  <c r="BS86" i="13"/>
  <c r="BS151" i="13"/>
  <c r="AT193" i="13"/>
  <c r="AT128" i="13" s="1"/>
  <c r="BH170" i="13"/>
  <c r="BH38" i="13" s="1"/>
  <c r="M6" i="14"/>
  <c r="O15" i="4" s="1"/>
  <c r="M5" i="14"/>
  <c r="AV124" i="14"/>
  <c r="AV49" i="13"/>
  <c r="AZ52" i="13"/>
  <c r="BH113" i="14"/>
  <c r="AJ139" i="14"/>
  <c r="AW50" i="13"/>
  <c r="AT136" i="14"/>
  <c r="AJ64" i="13"/>
  <c r="BE110" i="13"/>
  <c r="BL159" i="13"/>
  <c r="BL94" i="13" s="1"/>
  <c r="BI165" i="13"/>
  <c r="BI108" i="14" s="1"/>
  <c r="BP34" i="13"/>
  <c r="BH33" i="13"/>
  <c r="AJ131" i="13"/>
  <c r="BI106" i="13"/>
  <c r="BU95" i="13"/>
  <c r="BU160" i="13"/>
  <c r="BR19" i="13"/>
  <c r="BP166" i="13"/>
  <c r="BP101" i="13" s="1"/>
  <c r="AW181" i="13"/>
  <c r="AW116" i="13" s="1"/>
  <c r="AK63" i="13"/>
  <c r="AK195" i="13"/>
  <c r="AK196" i="13" s="1"/>
  <c r="AK64" i="13" s="1"/>
  <c r="BP109" i="14"/>
  <c r="O41" i="4"/>
  <c r="BG179" i="13"/>
  <c r="BG47" i="13" s="1"/>
  <c r="S73" i="12"/>
  <c r="Z4" i="12"/>
  <c r="BU96" i="13"/>
  <c r="BU161" i="13"/>
  <c r="BU29" i="13" s="1"/>
  <c r="B115" i="14"/>
  <c r="B114" i="13"/>
  <c r="B114" i="12"/>
  <c r="BI171" i="13"/>
  <c r="BI39" i="13" s="1"/>
  <c r="BI114" i="14"/>
  <c r="AG135" i="12"/>
  <c r="AG3" i="12" s="1"/>
  <c r="AZ119" i="13"/>
  <c r="AB137" i="12"/>
  <c r="AB5" i="12"/>
  <c r="Z14" i="14"/>
  <c r="BT135" i="13"/>
  <c r="BT196" i="13" s="1"/>
  <c r="BC117" i="14"/>
  <c r="M29" i="6" a="1"/>
  <c r="M29" i="6" s="1"/>
  <c r="K23" i="5" a="1"/>
  <c r="K23" i="5" s="1"/>
  <c r="BK102" i="14"/>
  <c r="BR94" i="14"/>
  <c r="BS94" i="14" s="1"/>
  <c r="BM167" i="13"/>
  <c r="BM102" i="13" s="1"/>
  <c r="BS97" i="13"/>
  <c r="BU103" i="14"/>
  <c r="AW127" i="13"/>
  <c r="AS61" i="13"/>
  <c r="AT61" i="13" s="1"/>
  <c r="AR137" i="14"/>
  <c r="AS137" i="14" s="1"/>
  <c r="AA15" i="14"/>
  <c r="AB15" i="14" s="1"/>
  <c r="BB42" i="13"/>
  <c r="BC42" i="13" s="1"/>
  <c r="O17" i="14"/>
  <c r="BL27" i="13"/>
  <c r="G113" i="11"/>
  <c r="J112" i="11"/>
  <c r="I112" i="11"/>
  <c r="H112" i="11"/>
  <c r="BU104" i="14"/>
  <c r="BH176" i="13"/>
  <c r="BH119" i="14" s="1"/>
  <c r="BL99" i="13"/>
  <c r="BL164" i="13"/>
  <c r="BL107" i="14" s="1"/>
  <c r="AX129" i="14"/>
  <c r="BK98" i="13"/>
  <c r="BK163" i="13"/>
  <c r="AV185" i="13"/>
  <c r="AV120" i="13" s="1"/>
  <c r="N57" i="4"/>
  <c r="BL149" i="13"/>
  <c r="BU28" i="13"/>
  <c r="BF113" i="13"/>
  <c r="BF178" i="13"/>
  <c r="BF46" i="13" s="1"/>
  <c r="BQ101" i="14"/>
  <c r="AW124" i="13"/>
  <c r="AW189" i="13"/>
  <c r="AW57" i="13" s="1"/>
  <c r="AZ45" i="13"/>
  <c r="BA45" i="13" s="1"/>
  <c r="BC108" i="13"/>
  <c r="BC173" i="13"/>
  <c r="BC41" i="13" s="1"/>
  <c r="BE123" i="14"/>
  <c r="BE48" i="13"/>
  <c r="BL172" i="13"/>
  <c r="BL40" i="13" s="1"/>
  <c r="AG13" i="14"/>
  <c r="O139" i="12"/>
  <c r="O7" i="12"/>
  <c r="K22" i="5" a="1"/>
  <c r="K22" i="5" s="1"/>
  <c r="K24" i="5" s="1"/>
  <c r="M28" i="6" a="1"/>
  <c r="M28" i="6" s="1"/>
  <c r="M30" i="6" s="1"/>
  <c r="BS105" i="14"/>
  <c r="BR90" i="13"/>
  <c r="BR155" i="13"/>
  <c r="BN103" i="13"/>
  <c r="BN168" i="13"/>
  <c r="AQ125" i="13"/>
  <c r="AQ190" i="13"/>
  <c r="AQ133" i="14" s="1"/>
  <c r="BE115" i="13"/>
  <c r="Z71" i="12"/>
  <c r="O74" i="12"/>
  <c r="N49" i="4"/>
  <c r="BJ37" i="13"/>
  <c r="AU126" i="13"/>
  <c r="AU191" i="13"/>
  <c r="AU134" i="14" s="1"/>
  <c r="AY183" i="13"/>
  <c r="AY51" i="13" s="1"/>
  <c r="BE43" i="13"/>
  <c r="N25" i="4"/>
  <c r="N24" i="4"/>
  <c r="BJ112" i="14"/>
  <c r="M34" i="6" a="1"/>
  <c r="M34" i="6" s="1"/>
  <c r="N69" i="4"/>
  <c r="AX54" i="13"/>
  <c r="DD4" i="7"/>
  <c r="DD7" i="7"/>
  <c r="DE3" i="7" s="1"/>
  <c r="BQ26" i="13"/>
  <c r="AX123" i="13"/>
  <c r="AX188" i="13"/>
  <c r="AX56" i="13" s="1"/>
  <c r="BG122" i="14"/>
  <c r="AW125" i="14"/>
  <c r="AQ58" i="13"/>
  <c r="S16" i="14"/>
  <c r="AW135" i="14"/>
  <c r="AV122" i="13"/>
  <c r="AV187" i="13"/>
  <c r="AV130" i="14" s="1"/>
  <c r="BM94" i="13" l="1"/>
  <c r="BM159" i="13"/>
  <c r="BR158" i="13"/>
  <c r="BR93" i="13" s="1"/>
  <c r="BN167" i="13"/>
  <c r="BN102" i="13" s="1"/>
  <c r="AU193" i="13"/>
  <c r="AU128" i="13" s="1"/>
  <c r="AX116" i="13"/>
  <c r="AX181" i="13"/>
  <c r="BD109" i="13"/>
  <c r="BD174" i="13"/>
  <c r="AW120" i="13"/>
  <c r="AW185" i="13"/>
  <c r="BQ166" i="13"/>
  <c r="BQ101" i="13" s="1"/>
  <c r="BB177" i="13"/>
  <c r="BB112" i="13" s="1"/>
  <c r="AY56" i="13"/>
  <c r="AY186" i="13"/>
  <c r="AY121" i="13" s="1"/>
  <c r="BM35" i="13"/>
  <c r="AU59" i="13"/>
  <c r="BN111" i="14"/>
  <c r="BN36" i="13"/>
  <c r="BF48" i="13"/>
  <c r="BH111" i="13"/>
  <c r="BM27" i="13"/>
  <c r="AX192" i="13"/>
  <c r="AX60" i="13" s="1"/>
  <c r="BT94" i="14"/>
  <c r="BT70" i="13"/>
  <c r="BG114" i="13"/>
  <c r="BJ171" i="13"/>
  <c r="BJ39" i="13" s="1"/>
  <c r="BF121" i="14"/>
  <c r="M3" i="14"/>
  <c r="M18" i="14" s="1"/>
  <c r="O14" i="4"/>
  <c r="O18" i="4" s="1"/>
  <c r="BK37" i="13"/>
  <c r="BK169" i="13"/>
  <c r="BK104" i="13" s="1"/>
  <c r="BT3" i="13"/>
  <c r="BG178" i="13"/>
  <c r="BG46" i="13" s="1"/>
  <c r="P17" i="14"/>
  <c r="AU136" i="14"/>
  <c r="BT86" i="13"/>
  <c r="BT151" i="13"/>
  <c r="AT129" i="13"/>
  <c r="AT194" i="13"/>
  <c r="AT62" i="13" s="1"/>
  <c r="AC72" i="12"/>
  <c r="AV191" i="13"/>
  <c r="AV126" i="13" s="1"/>
  <c r="T16" i="14"/>
  <c r="N72" i="4"/>
  <c r="N50" i="4"/>
  <c r="P74" i="12"/>
  <c r="BR23" i="13"/>
  <c r="BR98" i="14"/>
  <c r="BD42" i="13"/>
  <c r="BK31" i="13"/>
  <c r="BL102" i="14"/>
  <c r="BM102" i="14" s="1"/>
  <c r="AC137" i="12"/>
  <c r="AC5" i="12"/>
  <c r="AA136" i="12"/>
  <c r="AA4" i="12"/>
  <c r="AK130" i="13"/>
  <c r="BI100" i="13"/>
  <c r="AX131" i="14"/>
  <c r="AY131" i="14" s="1"/>
  <c r="BL32" i="13"/>
  <c r="P139" i="12"/>
  <c r="P7" i="12"/>
  <c r="AA71" i="12"/>
  <c r="BD108" i="13"/>
  <c r="BD173" i="13"/>
  <c r="BD41" i="13" s="1"/>
  <c r="BL163" i="13"/>
  <c r="B116" i="14"/>
  <c r="B115" i="13"/>
  <c r="C115" i="13" s="1"/>
  <c r="B115" i="12"/>
  <c r="AC15" i="14"/>
  <c r="BT97" i="13"/>
  <c r="BT162" i="13"/>
  <c r="BT30" i="13" s="1"/>
  <c r="BQ109" i="14"/>
  <c r="BT78" i="14"/>
  <c r="BL115" i="14"/>
  <c r="AX182" i="13"/>
  <c r="AX125" i="14" s="1"/>
  <c r="BA52" i="13"/>
  <c r="BH105" i="13"/>
  <c r="AY129" i="14"/>
  <c r="AW132" i="14"/>
  <c r="AX132" i="14" s="1"/>
  <c r="BA119" i="13"/>
  <c r="BA184" i="13"/>
  <c r="BA127" i="14" s="1"/>
  <c r="T73" i="12"/>
  <c r="AG70" i="12"/>
  <c r="AH135" i="12" s="1"/>
  <c r="BK106" i="14"/>
  <c r="T138" i="12"/>
  <c r="BA120" i="14"/>
  <c r="BB120" i="14" s="1"/>
  <c r="BM110" i="14"/>
  <c r="BN110" i="14" s="1"/>
  <c r="AY123" i="13"/>
  <c r="AY188" i="13"/>
  <c r="AR190" i="13"/>
  <c r="AR125" i="13" s="1"/>
  <c r="AX189" i="13"/>
  <c r="AX124" i="13" s="1"/>
  <c r="BM164" i="13"/>
  <c r="BM107" i="14" s="1"/>
  <c r="H113" i="11"/>
  <c r="G114" i="11"/>
  <c r="J113" i="11"/>
  <c r="I113" i="11"/>
  <c r="BR26" i="13"/>
  <c r="BL107" i="13"/>
  <c r="BR101" i="14"/>
  <c r="AV53" i="13"/>
  <c r="AW53" i="13" s="1"/>
  <c r="AV128" i="14"/>
  <c r="AW128" i="14" s="1"/>
  <c r="DE7" i="7"/>
  <c r="DF3" i="7" s="1"/>
  <c r="DE4" i="7"/>
  <c r="DE6" i="7" s="1"/>
  <c r="N26" i="4"/>
  <c r="K15" i="5" a="1"/>
  <c r="K15" i="5" s="1"/>
  <c r="M18" i="6" a="1"/>
  <c r="M18" i="6" s="1"/>
  <c r="N34" i="4"/>
  <c r="BO103" i="13"/>
  <c r="BO168" i="13"/>
  <c r="BF123" i="14"/>
  <c r="BH44" i="13"/>
  <c r="DD6" i="7"/>
  <c r="AY54" i="13"/>
  <c r="BS155" i="13"/>
  <c r="BS90" i="13" s="1"/>
  <c r="AY118" i="13"/>
  <c r="BF115" i="13"/>
  <c r="BF180" i="13"/>
  <c r="AY126" i="14"/>
  <c r="BB45" i="13"/>
  <c r="BL17" i="13"/>
  <c r="BL92" i="14"/>
  <c r="AW130" i="14"/>
  <c r="M42" i="6"/>
  <c r="BT105" i="14"/>
  <c r="AV55" i="13"/>
  <c r="AW55" i="13" s="1"/>
  <c r="AX57" i="13"/>
  <c r="BL84" i="13"/>
  <c r="BC116" i="14"/>
  <c r="BD116" i="14" s="1"/>
  <c r="BD117" i="14"/>
  <c r="BS19" i="13"/>
  <c r="BT19" i="13" s="1"/>
  <c r="BI33" i="13"/>
  <c r="BF175" i="13"/>
  <c r="BF118" i="14" s="1"/>
  <c r="AW187" i="13"/>
  <c r="AW122" i="13" s="1"/>
  <c r="AT137" i="14"/>
  <c r="AK138" i="14"/>
  <c r="AW49" i="13"/>
  <c r="AX49" i="13" s="1"/>
  <c r="AU61" i="13"/>
  <c r="BQ34" i="13"/>
  <c r="AW124" i="14"/>
  <c r="AX124" i="14" s="1"/>
  <c r="C116" i="14"/>
  <c r="C115" i="12"/>
  <c r="AS190" i="13" l="1"/>
  <c r="AS125" i="13" s="1"/>
  <c r="AZ121" i="13"/>
  <c r="AZ186" i="13"/>
  <c r="AX122" i="13"/>
  <c r="AX187" i="13"/>
  <c r="AV128" i="13"/>
  <c r="AV193" i="13"/>
  <c r="BR101" i="13"/>
  <c r="BR166" i="13"/>
  <c r="BO102" i="13"/>
  <c r="BO167" i="13"/>
  <c r="AH3" i="12"/>
  <c r="AH13" i="14"/>
  <c r="BS158" i="13"/>
  <c r="BS93" i="13" s="1"/>
  <c r="AY189" i="13"/>
  <c r="AY124" i="13" s="1"/>
  <c r="AW126" i="13"/>
  <c r="AW191" i="13"/>
  <c r="BT155" i="13"/>
  <c r="BT90" i="13" s="1"/>
  <c r="BE117" i="14"/>
  <c r="AZ123" i="13"/>
  <c r="AZ188" i="13"/>
  <c r="BB119" i="13"/>
  <c r="BB184" i="13"/>
  <c r="BE42" i="13"/>
  <c r="I17" i="15"/>
  <c r="O147" i="4"/>
  <c r="O60" i="4"/>
  <c r="O74" i="4"/>
  <c r="N48" i="6" s="1" a="1"/>
  <c r="N48" i="6" s="1"/>
  <c r="N13" i="6" a="1"/>
  <c r="N13" i="6" s="1"/>
  <c r="L10" i="5" a="1"/>
  <c r="L10" i="5" s="1"/>
  <c r="AV59" i="13"/>
  <c r="AW59" i="13" s="1"/>
  <c r="AV134" i="14"/>
  <c r="AW134" i="14" s="1"/>
  <c r="AX130" i="14"/>
  <c r="AZ54" i="13"/>
  <c r="B117" i="14"/>
  <c r="B116" i="13"/>
  <c r="C116" i="13" s="1"/>
  <c r="B116" i="12"/>
  <c r="BU78" i="14"/>
  <c r="BU139" i="14" s="1"/>
  <c r="BR34" i="13"/>
  <c r="AZ183" i="13"/>
  <c r="AZ51" i="13" s="1"/>
  <c r="BF43" i="13"/>
  <c r="H50" i="15"/>
  <c r="M24" i="6" a="1"/>
  <c r="M24" i="6" s="1"/>
  <c r="K19" i="5" a="1"/>
  <c r="K19" i="5" s="1"/>
  <c r="BS101" i="14"/>
  <c r="BO110" i="14"/>
  <c r="BR109" i="14"/>
  <c r="BL98" i="13"/>
  <c r="Q139" i="12"/>
  <c r="Q17" i="14" s="1"/>
  <c r="AB136" i="12"/>
  <c r="AB4" i="12"/>
  <c r="AV136" i="14"/>
  <c r="BN35" i="13"/>
  <c r="BO35" i="13" s="1"/>
  <c r="BG180" i="13"/>
  <c r="BG115" i="13" s="1"/>
  <c r="BM149" i="13"/>
  <c r="BM17" i="13" s="1"/>
  <c r="BM99" i="13"/>
  <c r="AZ129" i="14"/>
  <c r="BG113" i="13"/>
  <c r="BG121" i="14"/>
  <c r="AX127" i="13"/>
  <c r="M19" i="6"/>
  <c r="BM172" i="13"/>
  <c r="BM40" i="13" s="1"/>
  <c r="K16" i="5"/>
  <c r="BS26" i="13"/>
  <c r="T6" i="12"/>
  <c r="BI170" i="13"/>
  <c r="BI105" i="13" s="1"/>
  <c r="BU97" i="13"/>
  <c r="BU162" i="13"/>
  <c r="BU30" i="13" s="1"/>
  <c r="BE173" i="13"/>
  <c r="BE41" i="13" s="1"/>
  <c r="BM32" i="13"/>
  <c r="AD137" i="12"/>
  <c r="AD15" i="14" s="1"/>
  <c r="AD5" i="12"/>
  <c r="BS98" i="14"/>
  <c r="BT98" i="14" s="1"/>
  <c r="AD72" i="12"/>
  <c r="BU3" i="13"/>
  <c r="BU135" i="13"/>
  <c r="BU196" i="13" s="1"/>
  <c r="AX185" i="13"/>
  <c r="AX53" i="13" s="1"/>
  <c r="AR58" i="13"/>
  <c r="AS58" i="13" s="1"/>
  <c r="AX135" i="14"/>
  <c r="BL106" i="14"/>
  <c r="BB52" i="13"/>
  <c r="BS23" i="13"/>
  <c r="BT23" i="13" s="1"/>
  <c r="BJ114" i="14"/>
  <c r="BL169" i="13"/>
  <c r="BL104" i="13" s="1"/>
  <c r="BJ106" i="13"/>
  <c r="BI111" i="13"/>
  <c r="BI176" i="13"/>
  <c r="BI119" i="14" s="1"/>
  <c r="BP168" i="13"/>
  <c r="BP103" i="13" s="1"/>
  <c r="Q74" i="12"/>
  <c r="AU129" i="13"/>
  <c r="AU194" i="13"/>
  <c r="AU62" i="13" s="1"/>
  <c r="BL37" i="13"/>
  <c r="BG48" i="13"/>
  <c r="AZ56" i="13"/>
  <c r="BE109" i="13"/>
  <c r="BE174" i="13"/>
  <c r="AR133" i="14"/>
  <c r="AS133" i="14" s="1"/>
  <c r="AV61" i="13"/>
  <c r="AZ131" i="14"/>
  <c r="BN102" i="14"/>
  <c r="BK112" i="14"/>
  <c r="BL112" i="14" s="1"/>
  <c r="BH179" i="13"/>
  <c r="BO36" i="13"/>
  <c r="AX117" i="13"/>
  <c r="C116" i="12"/>
  <c r="AX55" i="13"/>
  <c r="BC177" i="13"/>
  <c r="BC112" i="13" s="1"/>
  <c r="C117" i="14"/>
  <c r="BF110" i="13"/>
  <c r="AH70" i="12"/>
  <c r="AY124" i="14"/>
  <c r="AY181" i="13"/>
  <c r="AY49" i="13" s="1"/>
  <c r="BG123" i="14"/>
  <c r="DF4" i="7"/>
  <c r="DF6" i="7" s="1"/>
  <c r="DF7" i="7"/>
  <c r="DG3" i="7" s="1"/>
  <c r="AX50" i="13"/>
  <c r="AB71" i="12"/>
  <c r="BJ165" i="13"/>
  <c r="BJ108" i="14" s="1"/>
  <c r="AL138" i="14"/>
  <c r="AK139" i="14"/>
  <c r="BU19" i="13"/>
  <c r="J114" i="11"/>
  <c r="I114" i="11"/>
  <c r="H114" i="11"/>
  <c r="G115" i="11"/>
  <c r="BB127" i="14"/>
  <c r="BM115" i="14"/>
  <c r="AL130" i="13"/>
  <c r="AL195" i="13"/>
  <c r="AK131" i="13"/>
  <c r="BL31" i="13"/>
  <c r="N77" i="4"/>
  <c r="M45" i="6" a="1"/>
  <c r="M45" i="6" s="1"/>
  <c r="BU151" i="13"/>
  <c r="BU94" i="14" s="1"/>
  <c r="AA14" i="14"/>
  <c r="BU70" i="13"/>
  <c r="BU131" i="13" s="1"/>
  <c r="BO111" i="14"/>
  <c r="BP111" i="14" s="1"/>
  <c r="AY116" i="13"/>
  <c r="BN94" i="13"/>
  <c r="BN159" i="13"/>
  <c r="BN27" i="13" s="1"/>
  <c r="BQ168" i="13" l="1"/>
  <c r="BQ103" i="13" s="1"/>
  <c r="AZ189" i="13"/>
  <c r="AZ124" i="13" s="1"/>
  <c r="BH180" i="13"/>
  <c r="BH115" i="13" s="1"/>
  <c r="BT93" i="13"/>
  <c r="BT158" i="13"/>
  <c r="C117" i="13"/>
  <c r="BM169" i="13"/>
  <c r="BM104" i="13" s="1"/>
  <c r="BD177" i="13"/>
  <c r="BD112" i="13" s="1"/>
  <c r="BU90" i="13"/>
  <c r="BU155" i="13"/>
  <c r="AT125" i="13"/>
  <c r="AT190" i="13"/>
  <c r="AM195" i="13"/>
  <c r="AM196" i="13" s="1"/>
  <c r="AL131" i="13"/>
  <c r="BE116" i="14"/>
  <c r="BF174" i="13"/>
  <c r="BF109" i="13" s="1"/>
  <c r="BP102" i="13"/>
  <c r="BP167" i="13"/>
  <c r="AY187" i="13"/>
  <c r="AY122" i="13" s="1"/>
  <c r="DG7" i="7"/>
  <c r="DH3" i="7" s="1"/>
  <c r="DG4" i="7"/>
  <c r="DG6" i="7" s="1"/>
  <c r="BM107" i="13"/>
  <c r="BA129" i="14"/>
  <c r="BT101" i="14"/>
  <c r="BM92" i="14"/>
  <c r="N79" i="4"/>
  <c r="K25" i="5" s="1" a="1"/>
  <c r="K25" i="5" s="1"/>
  <c r="K26" i="5" s="1"/>
  <c r="N80" i="4"/>
  <c r="AT133" i="14"/>
  <c r="BQ111" i="14"/>
  <c r="BJ33" i="13"/>
  <c r="BU105" i="14"/>
  <c r="BP36" i="13"/>
  <c r="BK114" i="14"/>
  <c r="AX120" i="13"/>
  <c r="U138" i="12"/>
  <c r="BC120" i="14"/>
  <c r="BD120" i="14" s="1"/>
  <c r="AU137" i="14"/>
  <c r="BC119" i="13"/>
  <c r="BC184" i="13"/>
  <c r="BC52" i="13" s="1"/>
  <c r="BS166" i="13"/>
  <c r="BS34" i="13" s="1"/>
  <c r="BA186" i="13"/>
  <c r="BA121" i="13" s="1"/>
  <c r="BM112" i="14"/>
  <c r="BC45" i="13"/>
  <c r="BO94" i="13"/>
  <c r="BO159" i="13"/>
  <c r="BO102" i="14" s="1"/>
  <c r="M51" i="6"/>
  <c r="M53" i="6" s="1"/>
  <c r="G116" i="11"/>
  <c r="J115" i="11"/>
  <c r="I115" i="11"/>
  <c r="H115" i="11"/>
  <c r="BH123" i="14"/>
  <c r="BN164" i="13"/>
  <c r="BN107" i="14" s="1"/>
  <c r="BP35" i="13"/>
  <c r="Q7" i="12"/>
  <c r="BA54" i="13"/>
  <c r="N33" i="6" a="1"/>
  <c r="N33" i="6" s="1"/>
  <c r="AV194" i="13"/>
  <c r="AV62" i="13" s="1"/>
  <c r="AT58" i="13"/>
  <c r="AE137" i="12"/>
  <c r="AE15" i="14" s="1"/>
  <c r="AE5" i="12"/>
  <c r="BI38" i="13"/>
  <c r="BI113" i="14"/>
  <c r="AC136" i="12"/>
  <c r="AC4" i="12"/>
  <c r="BP110" i="14"/>
  <c r="AZ181" i="13"/>
  <c r="AZ49" i="13" s="1"/>
  <c r="B118" i="14"/>
  <c r="B117" i="13"/>
  <c r="B117" i="12"/>
  <c r="C117" i="12" s="1"/>
  <c r="BJ100" i="13"/>
  <c r="AZ126" i="14"/>
  <c r="BI44" i="13"/>
  <c r="AY182" i="13"/>
  <c r="AY125" i="14" s="1"/>
  <c r="AC71" i="12"/>
  <c r="BG110" i="13"/>
  <c r="BG175" i="13"/>
  <c r="BG118" i="14" s="1"/>
  <c r="BH47" i="13"/>
  <c r="BH122" i="14"/>
  <c r="BU23" i="13"/>
  <c r="AL196" i="13"/>
  <c r="AL63" i="13"/>
  <c r="AM63" i="13" s="1"/>
  <c r="AX128" i="14"/>
  <c r="C118" i="14"/>
  <c r="BH114" i="13"/>
  <c r="BU64" i="13"/>
  <c r="BE108" i="13"/>
  <c r="BT26" i="13"/>
  <c r="AY127" i="13"/>
  <c r="AY192" i="13"/>
  <c r="AY60" i="13" s="1"/>
  <c r="BA123" i="13"/>
  <c r="BA188" i="13"/>
  <c r="BA131" i="14" s="1"/>
  <c r="BH48" i="13"/>
  <c r="BM163" i="13"/>
  <c r="BM31" i="13" s="1"/>
  <c r="BG43" i="13"/>
  <c r="AX134" i="14"/>
  <c r="AX126" i="13"/>
  <c r="AX191" i="13"/>
  <c r="AX59" i="13" s="1"/>
  <c r="AI135" i="12"/>
  <c r="AI3" i="12" s="1"/>
  <c r="AW128" i="13"/>
  <c r="AW193" i="13"/>
  <c r="AW136" i="14" s="1"/>
  <c r="BM106" i="14"/>
  <c r="M75" i="12"/>
  <c r="I21" i="15"/>
  <c r="BF117" i="14"/>
  <c r="AB14" i="14"/>
  <c r="BM37" i="13"/>
  <c r="BJ176" i="13"/>
  <c r="BJ119" i="14" s="1"/>
  <c r="AE72" i="12"/>
  <c r="BH178" i="13"/>
  <c r="BH46" i="13" s="1"/>
  <c r="BU86" i="13"/>
  <c r="BC127" i="14"/>
  <c r="AM138" i="14"/>
  <c r="AL139" i="14"/>
  <c r="AI70" i="12"/>
  <c r="AY55" i="13"/>
  <c r="BK106" i="13"/>
  <c r="BK171" i="13"/>
  <c r="BK39" i="13" s="1"/>
  <c r="AY135" i="14"/>
  <c r="BU98" i="14"/>
  <c r="AY57" i="13"/>
  <c r="BM84" i="13"/>
  <c r="AY132" i="14"/>
  <c r="AZ118" i="13"/>
  <c r="BG109" i="13" l="1"/>
  <c r="BG174" i="13"/>
  <c r="BE112" i="13"/>
  <c r="BE177" i="13"/>
  <c r="BN169" i="13"/>
  <c r="BN104" i="13" s="1"/>
  <c r="AZ122" i="13"/>
  <c r="AZ187" i="13"/>
  <c r="BI180" i="13"/>
  <c r="BI115" i="13" s="1"/>
  <c r="AJ135" i="12"/>
  <c r="BA124" i="13"/>
  <c r="BA189" i="13"/>
  <c r="BB186" i="13"/>
  <c r="BB121" i="13" s="1"/>
  <c r="BR168" i="13"/>
  <c r="BR111" i="14" s="1"/>
  <c r="BN84" i="13"/>
  <c r="BN149" i="13"/>
  <c r="AY191" i="13"/>
  <c r="AY126" i="13" s="1"/>
  <c r="BA126" i="14"/>
  <c r="BK165" i="13"/>
  <c r="BK108" i="14" s="1"/>
  <c r="AD136" i="12"/>
  <c r="AV129" i="13"/>
  <c r="BS101" i="13"/>
  <c r="BN32" i="13"/>
  <c r="AC14" i="14"/>
  <c r="AI13" i="14"/>
  <c r="BF173" i="13"/>
  <c r="BF41" i="13" s="1"/>
  <c r="AL64" i="13"/>
  <c r="AW61" i="13"/>
  <c r="BN99" i="13"/>
  <c r="AY185" i="13"/>
  <c r="AY53" i="13" s="1"/>
  <c r="N167" i="4"/>
  <c r="N142" i="4"/>
  <c r="M117" i="6" s="1" a="1"/>
  <c r="M117" i="6" s="1"/>
  <c r="N141" i="4"/>
  <c r="BN172" i="13"/>
  <c r="BF42" i="13"/>
  <c r="BG42" i="13" s="1"/>
  <c r="AM64" i="13"/>
  <c r="BO27" i="13"/>
  <c r="AM130" i="13"/>
  <c r="BI48" i="13"/>
  <c r="BH110" i="13"/>
  <c r="BH175" i="13"/>
  <c r="BH43" i="13" s="1"/>
  <c r="BQ102" i="13"/>
  <c r="BQ167" i="13"/>
  <c r="AM139" i="14"/>
  <c r="BG117" i="14"/>
  <c r="AX128" i="13"/>
  <c r="AX193" i="13"/>
  <c r="AX136" i="14" s="1"/>
  <c r="BJ113" i="14"/>
  <c r="BI123" i="14"/>
  <c r="BP94" i="13"/>
  <c r="BP159" i="13"/>
  <c r="BP102" i="14" s="1"/>
  <c r="BD119" i="13"/>
  <c r="BD184" i="13"/>
  <c r="BD52" i="13" s="1"/>
  <c r="BD127" i="14"/>
  <c r="BJ111" i="13"/>
  <c r="I22" i="15"/>
  <c r="M8" i="12"/>
  <c r="BM98" i="13"/>
  <c r="BA56" i="13"/>
  <c r="BJ38" i="13"/>
  <c r="BJ170" i="13"/>
  <c r="BJ105" i="13" s="1"/>
  <c r="B119" i="14"/>
  <c r="B118" i="13"/>
  <c r="C118" i="13" s="1"/>
  <c r="B118" i="12"/>
  <c r="C118" i="12" s="1"/>
  <c r="BD45" i="13"/>
  <c r="BE45" i="13" s="1"/>
  <c r="AV137" i="14"/>
  <c r="BQ36" i="13"/>
  <c r="AZ124" i="14"/>
  <c r="DH7" i="7"/>
  <c r="DI3" i="7" s="1"/>
  <c r="DH4" i="7"/>
  <c r="DH6" i="7" s="1"/>
  <c r="BF116" i="14"/>
  <c r="BB123" i="13"/>
  <c r="BB188" i="13"/>
  <c r="BB131" i="14" s="1"/>
  <c r="AF137" i="12"/>
  <c r="AF15" i="14" s="1"/>
  <c r="AF5" i="12"/>
  <c r="BE120" i="14"/>
  <c r="AU190" i="13"/>
  <c r="AU133" i="14" s="1"/>
  <c r="BU93" i="13"/>
  <c r="BU158" i="13"/>
  <c r="BU26" i="13" s="1"/>
  <c r="BA118" i="13"/>
  <c r="BA183" i="13"/>
  <c r="BA51" i="13" s="1"/>
  <c r="BS109" i="14"/>
  <c r="AY130" i="14"/>
  <c r="AZ130" i="14" s="1"/>
  <c r="C119" i="14"/>
  <c r="AY117" i="13"/>
  <c r="AZ116" i="13"/>
  <c r="BK33" i="13"/>
  <c r="BN92" i="14"/>
  <c r="AJ70" i="12"/>
  <c r="AY128" i="14"/>
  <c r="BQ35" i="13"/>
  <c r="U16" i="14"/>
  <c r="U73" i="12"/>
  <c r="AZ57" i="13"/>
  <c r="BA57" i="13" s="1"/>
  <c r="BH113" i="13"/>
  <c r="BL106" i="13"/>
  <c r="BL171" i="13"/>
  <c r="BL39" i="13" s="1"/>
  <c r="BN37" i="13"/>
  <c r="M131" i="12"/>
  <c r="I26" i="15" s="1"/>
  <c r="BH121" i="14"/>
  <c r="BI179" i="13"/>
  <c r="BI47" i="13" s="1"/>
  <c r="BI122" i="14"/>
  <c r="BB54" i="13"/>
  <c r="BN112" i="14"/>
  <c r="AZ132" i="14"/>
  <c r="BA132" i="14" s="1"/>
  <c r="AZ55" i="13"/>
  <c r="AZ192" i="13"/>
  <c r="AZ127" i="13" s="1"/>
  <c r="AY50" i="13"/>
  <c r="BH118" i="14"/>
  <c r="BJ44" i="13"/>
  <c r="BQ110" i="14"/>
  <c r="R139" i="12"/>
  <c r="I116" i="11"/>
  <c r="H116" i="11"/>
  <c r="G117" i="11"/>
  <c r="J116" i="11"/>
  <c r="U6" i="12"/>
  <c r="BU101" i="14"/>
  <c r="BJ180" i="13" l="1"/>
  <c r="BJ115" i="13" s="1"/>
  <c r="BO169" i="13"/>
  <c r="BO104" i="13" s="1"/>
  <c r="BC121" i="13"/>
  <c r="BC186" i="13"/>
  <c r="AZ191" i="13"/>
  <c r="AZ126" i="13" s="1"/>
  <c r="C119" i="12"/>
  <c r="BA192" i="13"/>
  <c r="BA127" i="13" s="1"/>
  <c r="BM171" i="13"/>
  <c r="BM39" i="13" s="1"/>
  <c r="BI114" i="13"/>
  <c r="AZ135" i="14"/>
  <c r="BI113" i="13"/>
  <c r="BI178" i="13"/>
  <c r="BI46" i="13" s="1"/>
  <c r="BL114" i="14"/>
  <c r="BM114" i="14" s="1"/>
  <c r="BR167" i="13"/>
  <c r="BR102" i="13" s="1"/>
  <c r="BF177" i="13"/>
  <c r="BF112" i="13" s="1"/>
  <c r="O19" i="4"/>
  <c r="I28" i="15"/>
  <c r="BR36" i="13"/>
  <c r="BB56" i="13"/>
  <c r="AY120" i="13"/>
  <c r="BF108" i="13"/>
  <c r="BB129" i="14"/>
  <c r="BC129" i="14" s="1"/>
  <c r="BN17" i="13"/>
  <c r="BR103" i="13"/>
  <c r="B120" i="14"/>
  <c r="C120" i="14" s="1"/>
  <c r="B119" i="13"/>
  <c r="C119" i="13" s="1"/>
  <c r="B119" i="12"/>
  <c r="BJ123" i="14"/>
  <c r="AW129" i="13"/>
  <c r="AW194" i="13"/>
  <c r="AW62" i="13" s="1"/>
  <c r="AU125" i="13"/>
  <c r="R17" i="14"/>
  <c r="R74" i="12"/>
  <c r="BO112" i="14"/>
  <c r="BB183" i="13"/>
  <c r="BB51" i="13" s="1"/>
  <c r="AW137" i="14"/>
  <c r="BN163" i="13"/>
  <c r="BE119" i="13"/>
  <c r="BE184" i="13"/>
  <c r="BE52" i="13" s="1"/>
  <c r="BI175" i="13"/>
  <c r="BI118" i="14" s="1"/>
  <c r="BN115" i="14"/>
  <c r="BN40" i="13"/>
  <c r="BO164" i="13"/>
  <c r="BO107" i="14" s="1"/>
  <c r="AJ13" i="14"/>
  <c r="BO149" i="13"/>
  <c r="BO92" i="14" s="1"/>
  <c r="BH109" i="13"/>
  <c r="BH174" i="13"/>
  <c r="BH42" i="13" s="1"/>
  <c r="BK111" i="13"/>
  <c r="BK176" i="13"/>
  <c r="BK119" i="14" s="1"/>
  <c r="AN195" i="13"/>
  <c r="AN130" i="13" s="1"/>
  <c r="AM131" i="13"/>
  <c r="AD14" i="14"/>
  <c r="BE127" i="14"/>
  <c r="V138" i="12"/>
  <c r="V73" i="12" s="1"/>
  <c r="AU58" i="13"/>
  <c r="BR110" i="14"/>
  <c r="G118" i="11"/>
  <c r="J117" i="11"/>
  <c r="I117" i="11"/>
  <c r="H117" i="11"/>
  <c r="BK44" i="13"/>
  <c r="BC54" i="13"/>
  <c r="BO37" i="13"/>
  <c r="BA116" i="13"/>
  <c r="BA181" i="13"/>
  <c r="BA49" i="13" s="1"/>
  <c r="BF45" i="13"/>
  <c r="N140" i="12"/>
  <c r="N8" i="12"/>
  <c r="M65" i="12"/>
  <c r="BH117" i="14"/>
  <c r="BJ48" i="13"/>
  <c r="BN107" i="13"/>
  <c r="AX61" i="13"/>
  <c r="BT101" i="13"/>
  <c r="BT166" i="13"/>
  <c r="BT34" i="13" s="1"/>
  <c r="BK100" i="13"/>
  <c r="BR35" i="13"/>
  <c r="AZ182" i="13"/>
  <c r="AZ125" i="14" s="1"/>
  <c r="BC123" i="13"/>
  <c r="BC188" i="13"/>
  <c r="BC131" i="14" s="1"/>
  <c r="I23" i="15"/>
  <c r="O40" i="4"/>
  <c r="O43" i="4" s="1"/>
  <c r="I34" i="15"/>
  <c r="BQ159" i="13"/>
  <c r="BQ102" i="14" s="1"/>
  <c r="N149" i="4"/>
  <c r="K30" i="5" s="1" a="1"/>
  <c r="K30" i="5" s="1"/>
  <c r="K38" i="5" s="1"/>
  <c r="K40" i="5" s="1"/>
  <c r="K50" i="5" s="1"/>
  <c r="M116" i="6" a="1"/>
  <c r="M116" i="6" s="1"/>
  <c r="M121" i="6" s="1"/>
  <c r="BB126" i="14"/>
  <c r="BB189" i="13"/>
  <c r="BB132" i="14" s="1"/>
  <c r="AY59" i="13"/>
  <c r="AZ59" i="13" s="1"/>
  <c r="BA187" i="13"/>
  <c r="BA122" i="13" s="1"/>
  <c r="M144" i="6" a="1"/>
  <c r="M144" i="6" s="1"/>
  <c r="K36" i="5" a="1"/>
  <c r="K36" i="5" s="1"/>
  <c r="AD71" i="12"/>
  <c r="AF72" i="12"/>
  <c r="R7" i="12"/>
  <c r="AZ60" i="13"/>
  <c r="BA60" i="13" s="1"/>
  <c r="BI121" i="14"/>
  <c r="AY134" i="14"/>
  <c r="AZ134" i="14" s="1"/>
  <c r="BF120" i="14"/>
  <c r="DI7" i="7"/>
  <c r="DJ3" i="7" s="1"/>
  <c r="DI4" i="7"/>
  <c r="DI6" i="7" s="1"/>
  <c r="BK170" i="13"/>
  <c r="BK105" i="13" s="1"/>
  <c r="BP27" i="13"/>
  <c r="BQ27" i="13" s="1"/>
  <c r="AD4" i="12"/>
  <c r="AJ3" i="12"/>
  <c r="BL170" i="13" l="1"/>
  <c r="BL105" i="13" s="1"/>
  <c r="BG177" i="13"/>
  <c r="BG112" i="13" s="1"/>
  <c r="BS102" i="13"/>
  <c r="BS167" i="13"/>
  <c r="BB187" i="13"/>
  <c r="BB122" i="13" s="1"/>
  <c r="AO130" i="13"/>
  <c r="AO195" i="13"/>
  <c r="AO196" i="13" s="1"/>
  <c r="AN131" i="13"/>
  <c r="BP169" i="13"/>
  <c r="BP104" i="13" s="1"/>
  <c r="BB127" i="13"/>
  <c r="BB192" i="13"/>
  <c r="BK115" i="13"/>
  <c r="BK180" i="13"/>
  <c r="BG120" i="14"/>
  <c r="DJ4" i="7"/>
  <c r="DJ7" i="7"/>
  <c r="DK3" i="7" s="1"/>
  <c r="BA191" i="13"/>
  <c r="BA134" i="14" s="1"/>
  <c r="BQ94" i="13"/>
  <c r="BS35" i="13"/>
  <c r="BI117" i="14"/>
  <c r="BS110" i="14"/>
  <c r="BP112" i="14"/>
  <c r="BK123" i="14"/>
  <c r="BK113" i="14"/>
  <c r="BJ113" i="13"/>
  <c r="BJ178" i="13"/>
  <c r="BD186" i="13"/>
  <c r="BD129" i="14" s="1"/>
  <c r="BG108" i="13"/>
  <c r="BB57" i="13"/>
  <c r="BG173" i="13"/>
  <c r="BA55" i="13"/>
  <c r="BB55" i="13" s="1"/>
  <c r="BF119" i="13"/>
  <c r="BF184" i="13"/>
  <c r="BF52" i="13" s="1"/>
  <c r="AE136" i="12"/>
  <c r="AE4" i="12"/>
  <c r="BA130" i="14"/>
  <c r="BB130" i="14" s="1"/>
  <c r="BB124" i="13"/>
  <c r="O54" i="4"/>
  <c r="BL165" i="13"/>
  <c r="BO84" i="13"/>
  <c r="BO99" i="13"/>
  <c r="BN31" i="13"/>
  <c r="BN106" i="14"/>
  <c r="AZ185" i="13"/>
  <c r="I29" i="15"/>
  <c r="BK38" i="13"/>
  <c r="BL38" i="13" s="1"/>
  <c r="I48" i="15"/>
  <c r="I47" i="15"/>
  <c r="O33" i="4"/>
  <c r="N196" i="12"/>
  <c r="N18" i="14"/>
  <c r="N75" i="12"/>
  <c r="B121" i="14"/>
  <c r="C121" i="14" s="1"/>
  <c r="B120" i="13"/>
  <c r="C120" i="13" s="1"/>
  <c r="B120" i="12"/>
  <c r="C120" i="12" s="1"/>
  <c r="V6" i="12"/>
  <c r="BN98" i="13"/>
  <c r="AV125" i="13"/>
  <c r="AV190" i="13"/>
  <c r="AV133" i="14" s="1"/>
  <c r="L11" i="5" a="1"/>
  <c r="L11" i="5" s="1"/>
  <c r="L12" i="5" s="1"/>
  <c r="L13" i="5" s="1"/>
  <c r="N14" i="6" a="1"/>
  <c r="N14" i="6" s="1"/>
  <c r="N15" i="6" s="1"/>
  <c r="N16" i="6" s="1"/>
  <c r="O22" i="4"/>
  <c r="O20" i="4"/>
  <c r="BA124" i="14"/>
  <c r="BA135" i="14"/>
  <c r="BB135" i="14" s="1"/>
  <c r="BI43" i="13"/>
  <c r="AK135" i="12"/>
  <c r="AK13" i="14" s="1"/>
  <c r="AK3" i="12"/>
  <c r="I40" i="15"/>
  <c r="I46" i="15" s="1"/>
  <c r="I35" i="15"/>
  <c r="I42" i="15" s="1"/>
  <c r="I36" i="15"/>
  <c r="AN196" i="13"/>
  <c r="AN63" i="13"/>
  <c r="AO63" i="13" s="1"/>
  <c r="AN138" i="14"/>
  <c r="N170" i="4"/>
  <c r="N172" i="4" s="1"/>
  <c r="N179" i="4" s="1"/>
  <c r="BU166" i="13"/>
  <c r="BU34" i="13" s="1"/>
  <c r="BG45" i="13"/>
  <c r="BL176" i="13"/>
  <c r="BL111" i="13" s="1"/>
  <c r="BO115" i="14"/>
  <c r="BC56" i="13"/>
  <c r="BJ179" i="13"/>
  <c r="BJ121" i="14"/>
  <c r="M146" i="6"/>
  <c r="M148" i="6" s="1"/>
  <c r="AY61" i="13"/>
  <c r="AY193" i="13"/>
  <c r="AZ50" i="13"/>
  <c r="BO32" i="13"/>
  <c r="BS103" i="13"/>
  <c r="BS168" i="13"/>
  <c r="BS111" i="14" s="1"/>
  <c r="BS36" i="13"/>
  <c r="AG137" i="12"/>
  <c r="AG72" i="12" s="1"/>
  <c r="AE71" i="12"/>
  <c r="BD54" i="13"/>
  <c r="BB60" i="13"/>
  <c r="BO172" i="13"/>
  <c r="BO107" i="13" s="1"/>
  <c r="BB181" i="13"/>
  <c r="BB49" i="13" s="1"/>
  <c r="G119" i="11"/>
  <c r="J118" i="11"/>
  <c r="I118" i="11"/>
  <c r="H118" i="11"/>
  <c r="BI110" i="13"/>
  <c r="BB118" i="13"/>
  <c r="AX194" i="13"/>
  <c r="AX137" i="14" s="1"/>
  <c r="BO17" i="13"/>
  <c r="BT109" i="14"/>
  <c r="BU109" i="14" s="1"/>
  <c r="BM106" i="13"/>
  <c r="S139" i="12"/>
  <c r="S74" i="12" s="1"/>
  <c r="AZ117" i="13"/>
  <c r="BK48" i="13"/>
  <c r="V16" i="14"/>
  <c r="AE14" i="14"/>
  <c r="BI109" i="13"/>
  <c r="BI174" i="13"/>
  <c r="BI42" i="13" s="1"/>
  <c r="AX129" i="13"/>
  <c r="BJ46" i="13"/>
  <c r="BQ104" i="13" l="1"/>
  <c r="BQ169" i="13"/>
  <c r="BM176" i="13"/>
  <c r="BM111" i="13" s="1"/>
  <c r="BC122" i="13"/>
  <c r="BC187" i="13"/>
  <c r="BP107" i="13"/>
  <c r="BP172" i="13"/>
  <c r="BM170" i="13"/>
  <c r="BM38" i="13" s="1"/>
  <c r="BH112" i="13"/>
  <c r="BH177" i="13"/>
  <c r="BH45" i="13" s="1"/>
  <c r="BP17" i="13"/>
  <c r="J119" i="11"/>
  <c r="I119" i="11"/>
  <c r="H119" i="11"/>
  <c r="G120" i="11"/>
  <c r="BP164" i="13"/>
  <c r="BP107" i="14" s="1"/>
  <c r="BK121" i="14"/>
  <c r="AW190" i="13"/>
  <c r="AW125" i="13" s="1"/>
  <c r="BP99" i="13"/>
  <c r="BG119" i="13"/>
  <c r="BG184" i="13"/>
  <c r="BG52" i="13" s="1"/>
  <c r="BL123" i="14"/>
  <c r="BL115" i="13"/>
  <c r="BK46" i="13"/>
  <c r="BL48" i="13"/>
  <c r="BL180" i="13"/>
  <c r="BJ47" i="13"/>
  <c r="BJ122" i="14"/>
  <c r="BP149" i="13"/>
  <c r="BP84" i="13" s="1"/>
  <c r="O67" i="4"/>
  <c r="N40" i="6" s="1" a="1"/>
  <c r="N40" i="6" s="1"/>
  <c r="O63" i="4"/>
  <c r="N36" i="6" s="1" a="1"/>
  <c r="N36" i="6" s="1"/>
  <c r="O55" i="4"/>
  <c r="O57" i="4"/>
  <c r="O64" i="4"/>
  <c r="N37" i="6" s="1" a="1"/>
  <c r="N37" i="6" s="1"/>
  <c r="O68" i="4"/>
  <c r="N41" i="6" s="1" a="1"/>
  <c r="N41" i="6" s="1"/>
  <c r="O65" i="4"/>
  <c r="N38" i="6" s="1" a="1"/>
  <c r="N38" i="6" s="1"/>
  <c r="O61" i="4"/>
  <c r="O62" i="4"/>
  <c r="N35" i="6" s="1" a="1"/>
  <c r="N35" i="6" s="1"/>
  <c r="O66" i="4"/>
  <c r="N39" i="6" s="1" a="1"/>
  <c r="N39" i="6" s="1"/>
  <c r="O56" i="4"/>
  <c r="N27" i="6" a="1"/>
  <c r="N27" i="6" s="1"/>
  <c r="L21" i="5" a="1"/>
  <c r="L21" i="5" s="1"/>
  <c r="BQ112" i="14"/>
  <c r="BA59" i="13"/>
  <c r="BA126" i="13"/>
  <c r="B122" i="14"/>
  <c r="C122" i="14" s="1"/>
  <c r="B121" i="13"/>
  <c r="C121" i="13" s="1"/>
  <c r="B121" i="12"/>
  <c r="C121" i="12" s="1"/>
  <c r="BT36" i="13"/>
  <c r="BP115" i="14"/>
  <c r="BO163" i="13"/>
  <c r="N74" i="14"/>
  <c r="N4" i="14" s="1"/>
  <c r="BA182" i="13"/>
  <c r="BA125" i="14" s="1"/>
  <c r="AX62" i="13"/>
  <c r="BB116" i="13"/>
  <c r="BF127" i="14"/>
  <c r="BG127" i="14" s="1"/>
  <c r="BJ114" i="13"/>
  <c r="BU101" i="13"/>
  <c r="BB124" i="14"/>
  <c r="BO40" i="13"/>
  <c r="BP40" i="13" s="1"/>
  <c r="J31" i="15"/>
  <c r="P42" i="4" s="1"/>
  <c r="N64" i="12"/>
  <c r="J27" i="15" s="1"/>
  <c r="BL44" i="13"/>
  <c r="BM44" i="13" s="1"/>
  <c r="BC55" i="13"/>
  <c r="BD121" i="13"/>
  <c r="AO64" i="13"/>
  <c r="BN171" i="13"/>
  <c r="AY194" i="13"/>
  <c r="AY129" i="13" s="1"/>
  <c r="BC118" i="13"/>
  <c r="BC183" i="13"/>
  <c r="M155" i="6" a="1"/>
  <c r="M155" i="6" s="1"/>
  <c r="K44" i="5" a="1"/>
  <c r="K44" i="5" s="1"/>
  <c r="O21" i="4"/>
  <c r="O23" i="4"/>
  <c r="BL119" i="14"/>
  <c r="BM119" i="14" s="1"/>
  <c r="DK7" i="7"/>
  <c r="DL3" i="7" s="1"/>
  <c r="DK4" i="7"/>
  <c r="DK6" i="7" s="1"/>
  <c r="BC192" i="13"/>
  <c r="BC135" i="14" s="1"/>
  <c r="AP195" i="13"/>
  <c r="AP196" i="13" s="1"/>
  <c r="AO131" i="13"/>
  <c r="BT167" i="13"/>
  <c r="BT35" i="13" s="1"/>
  <c r="BD188" i="13"/>
  <c r="BD56" i="13" s="1"/>
  <c r="AZ128" i="14"/>
  <c r="AZ53" i="13"/>
  <c r="BC130" i="14"/>
  <c r="S7" i="12"/>
  <c r="BJ175" i="13"/>
  <c r="BJ118" i="14" s="1"/>
  <c r="AG5" i="12"/>
  <c r="AG15" i="14"/>
  <c r="AY136" i="14"/>
  <c r="AY128" i="13"/>
  <c r="I37" i="15"/>
  <c r="I41" i="15" s="1"/>
  <c r="W138" i="12"/>
  <c r="W73" i="12" s="1"/>
  <c r="N23" i="6" a="1"/>
  <c r="N23" i="6" s="1"/>
  <c r="L18" i="5" a="1"/>
  <c r="L18" i="5" s="1"/>
  <c r="AZ120" i="13"/>
  <c r="O140" i="12"/>
  <c r="O8" i="12" s="1"/>
  <c r="BG41" i="13"/>
  <c r="BG116" i="14"/>
  <c r="BH116" i="14" s="1"/>
  <c r="BP37" i="13"/>
  <c r="BQ37" i="13" s="1"/>
  <c r="DJ6" i="7"/>
  <c r="AO138" i="14"/>
  <c r="AN139" i="14"/>
  <c r="AL135" i="12"/>
  <c r="AL13" i="14" s="1"/>
  <c r="AL3" i="12"/>
  <c r="S17" i="14"/>
  <c r="AF136" i="12"/>
  <c r="AF4" i="12"/>
  <c r="BC189" i="13"/>
  <c r="BC132" i="14" s="1"/>
  <c r="BK113" i="13"/>
  <c r="BK178" i="13"/>
  <c r="AV58" i="13"/>
  <c r="AW58" i="13" s="1"/>
  <c r="BJ174" i="13"/>
  <c r="BJ109" i="13" s="1"/>
  <c r="BC60" i="13"/>
  <c r="BT111" i="14"/>
  <c r="AK70" i="12"/>
  <c r="BO106" i="14"/>
  <c r="BL33" i="13"/>
  <c r="BL108" i="14"/>
  <c r="BH173" i="13"/>
  <c r="BH108" i="13" s="1"/>
  <c r="BL113" i="14"/>
  <c r="BM113" i="14" s="1"/>
  <c r="BH120" i="14"/>
  <c r="BT103" i="13"/>
  <c r="BT168" i="13"/>
  <c r="AN64" i="13"/>
  <c r="AW133" i="14"/>
  <c r="BO31" i="13"/>
  <c r="BL100" i="13"/>
  <c r="BR159" i="13"/>
  <c r="BI173" i="13" l="1"/>
  <c r="BI108" i="13" s="1"/>
  <c r="AX190" i="13"/>
  <c r="AX133" i="14" s="1"/>
  <c r="BH184" i="13"/>
  <c r="BH52" i="13" s="1"/>
  <c r="BK109" i="13"/>
  <c r="BK174" i="13"/>
  <c r="AZ194" i="13"/>
  <c r="AZ129" i="13" s="1"/>
  <c r="BQ149" i="13"/>
  <c r="BN111" i="13"/>
  <c r="BN176" i="13"/>
  <c r="AL70" i="12"/>
  <c r="AM135" i="12" s="1"/>
  <c r="AX58" i="13"/>
  <c r="N6" i="14"/>
  <c r="P15" i="4" s="1"/>
  <c r="N5" i="14"/>
  <c r="L24" i="5"/>
  <c r="BM180" i="13"/>
  <c r="BM115" i="13" s="1"/>
  <c r="B123" i="14"/>
  <c r="C123" i="14" s="1"/>
  <c r="B122" i="13"/>
  <c r="C122" i="13" s="1"/>
  <c r="B122" i="12"/>
  <c r="C122" i="12" s="1"/>
  <c r="AY137" i="14"/>
  <c r="T139" i="12"/>
  <c r="T74" i="12" s="1"/>
  <c r="T7" i="12"/>
  <c r="BJ117" i="14"/>
  <c r="BK117" i="14" s="1"/>
  <c r="BC127" i="13"/>
  <c r="BE186" i="13"/>
  <c r="BJ43" i="13"/>
  <c r="BM105" i="13"/>
  <c r="BJ42" i="13"/>
  <c r="BK42" i="13" s="1"/>
  <c r="BU168" i="13"/>
  <c r="BU111" i="14" s="1"/>
  <c r="BL178" i="13"/>
  <c r="BL113" i="13" s="1"/>
  <c r="BR27" i="13"/>
  <c r="BR102" i="14"/>
  <c r="BM33" i="13"/>
  <c r="BM165" i="13"/>
  <c r="BA185" i="13"/>
  <c r="BA120" i="13" s="1"/>
  <c r="AH137" i="12"/>
  <c r="AH72" i="12" s="1"/>
  <c r="T17" i="14"/>
  <c r="O18" i="14"/>
  <c r="N30" i="6"/>
  <c r="BM123" i="14"/>
  <c r="AP63" i="13"/>
  <c r="AP64" i="13" s="1"/>
  <c r="BR37" i="13"/>
  <c r="W6" i="12"/>
  <c r="BJ110" i="13"/>
  <c r="AF71" i="12"/>
  <c r="AG136" i="12" s="1"/>
  <c r="BC126" i="14"/>
  <c r="BC51" i="13"/>
  <c r="BD51" i="13" s="1"/>
  <c r="BK179" i="13"/>
  <c r="BK114" i="13" s="1"/>
  <c r="N29" i="6" a="1"/>
  <c r="N29" i="6" s="1"/>
  <c r="L23" i="5" a="1"/>
  <c r="L23" i="5" s="1"/>
  <c r="L22" i="5" a="1"/>
  <c r="L22" i="5" s="1"/>
  <c r="N28" i="6" a="1"/>
  <c r="N28" i="6" s="1"/>
  <c r="BK122" i="14"/>
  <c r="DL4" i="7"/>
  <c r="DL7" i="7"/>
  <c r="DM3" i="7" s="1"/>
  <c r="BD183" i="13"/>
  <c r="BD118" i="13" s="1"/>
  <c r="BC124" i="13"/>
  <c r="BH127" i="14"/>
  <c r="BH119" i="13"/>
  <c r="BQ17" i="13"/>
  <c r="BQ107" i="13"/>
  <c r="BQ172" i="13"/>
  <c r="BA50" i="13"/>
  <c r="BQ99" i="13"/>
  <c r="BQ164" i="13"/>
  <c r="BQ107" i="14"/>
  <c r="W16" i="14"/>
  <c r="BH41" i="13"/>
  <c r="BI41" i="13" s="1"/>
  <c r="BT102" i="13"/>
  <c r="BT110" i="14"/>
  <c r="BN44" i="13"/>
  <c r="BC181" i="13"/>
  <c r="BC49" i="13" s="1"/>
  <c r="BO98" i="13"/>
  <c r="BB191" i="13"/>
  <c r="BB134" i="14" s="1"/>
  <c r="BR94" i="13"/>
  <c r="BC57" i="13"/>
  <c r="P140" i="12"/>
  <c r="P8" i="12" s="1"/>
  <c r="AZ193" i="13"/>
  <c r="AZ61" i="13" s="1"/>
  <c r="BN119" i="14"/>
  <c r="P41" i="4"/>
  <c r="AY62" i="13"/>
  <c r="AZ62" i="13" s="1"/>
  <c r="N34" i="6" a="1"/>
  <c r="N34" i="6" s="1"/>
  <c r="N42" i="6" s="1"/>
  <c r="O69" i="4"/>
  <c r="BP32" i="13"/>
  <c r="BI116" i="14"/>
  <c r="O24" i="4"/>
  <c r="O25" i="4"/>
  <c r="BN39" i="13"/>
  <c r="BN114" i="14"/>
  <c r="AF14" i="14"/>
  <c r="BM48" i="13"/>
  <c r="O75" i="12"/>
  <c r="BI112" i="13"/>
  <c r="BI177" i="13"/>
  <c r="BI45" i="13" s="1"/>
  <c r="BD187" i="13"/>
  <c r="BD130" i="14" s="1"/>
  <c r="AP138" i="14"/>
  <c r="AO139" i="14"/>
  <c r="AH15" i="14"/>
  <c r="BD131" i="14"/>
  <c r="BD123" i="13"/>
  <c r="AP130" i="13"/>
  <c r="O49" i="4"/>
  <c r="BN106" i="13"/>
  <c r="BQ40" i="13"/>
  <c r="BA117" i="13"/>
  <c r="BQ115" i="14"/>
  <c r="BR112" i="14"/>
  <c r="BP92" i="14"/>
  <c r="BL46" i="13"/>
  <c r="G121" i="11"/>
  <c r="J120" i="11"/>
  <c r="I120" i="11"/>
  <c r="H120" i="11"/>
  <c r="BR104" i="13"/>
  <c r="BR169" i="13"/>
  <c r="BA194" i="13" l="1"/>
  <c r="BA129" i="13" s="1"/>
  <c r="BM178" i="13"/>
  <c r="BM113" i="13" s="1"/>
  <c r="AG4" i="12"/>
  <c r="BE118" i="13"/>
  <c r="BE183" i="13"/>
  <c r="BN180" i="13"/>
  <c r="BN115" i="13" s="1"/>
  <c r="BB120" i="13"/>
  <c r="BB185" i="13"/>
  <c r="AM13" i="14"/>
  <c r="AM3" i="12"/>
  <c r="BL179" i="13"/>
  <c r="BL122" i="14" s="1"/>
  <c r="C123" i="13"/>
  <c r="BJ108" i="13"/>
  <c r="BJ173" i="13"/>
  <c r="B124" i="14"/>
  <c r="C124" i="14" s="1"/>
  <c r="B123" i="13"/>
  <c r="B123" i="12"/>
  <c r="C123" i="12" s="1"/>
  <c r="BI120" i="14"/>
  <c r="BU167" i="13"/>
  <c r="BU35" i="13" s="1"/>
  <c r="BR164" i="13"/>
  <c r="BR99" i="13" s="1"/>
  <c r="BO106" i="13"/>
  <c r="BO171" i="13"/>
  <c r="AP139" i="14"/>
  <c r="BM46" i="13"/>
  <c r="O72" i="4"/>
  <c r="O50" i="4"/>
  <c r="AZ128" i="13"/>
  <c r="BK175" i="13"/>
  <c r="BK118" i="14" s="1"/>
  <c r="BO176" i="13"/>
  <c r="BO111" i="13" s="1"/>
  <c r="BE188" i="13"/>
  <c r="BE56" i="13" s="1"/>
  <c r="BO119" i="14"/>
  <c r="BP163" i="13"/>
  <c r="BQ92" i="14"/>
  <c r="BB59" i="13"/>
  <c r="BC124" i="14"/>
  <c r="AQ195" i="13"/>
  <c r="AQ196" i="13" s="1"/>
  <c r="AP131" i="13"/>
  <c r="AG14" i="14"/>
  <c r="BA128" i="14"/>
  <c r="BB128" i="14" s="1"/>
  <c r="BA62" i="13"/>
  <c r="BC116" i="13"/>
  <c r="X16" i="14"/>
  <c r="BL121" i="14"/>
  <c r="BM121" i="14" s="1"/>
  <c r="DM7" i="7"/>
  <c r="DN3" i="7" s="1"/>
  <c r="DM4" i="7"/>
  <c r="DM6" i="7" s="1"/>
  <c r="X138" i="12"/>
  <c r="X6" i="12" s="1"/>
  <c r="AH5" i="12"/>
  <c r="BM100" i="13"/>
  <c r="BU103" i="13"/>
  <c r="BI119" i="13"/>
  <c r="BI184" i="13"/>
  <c r="BI52" i="13" s="1"/>
  <c r="DL6" i="7"/>
  <c r="BD122" i="13"/>
  <c r="BO114" i="14"/>
  <c r="BD57" i="13"/>
  <c r="BK47" i="13"/>
  <c r="BL47" i="13" s="1"/>
  <c r="BN170" i="13"/>
  <c r="BQ84" i="13"/>
  <c r="AX125" i="13"/>
  <c r="BS94" i="13"/>
  <c r="BS159" i="13"/>
  <c r="BS102" i="14" s="1"/>
  <c r="BD55" i="13"/>
  <c r="BN123" i="14"/>
  <c r="BS27" i="13"/>
  <c r="BK43" i="13"/>
  <c r="U139" i="12"/>
  <c r="U17" i="14" s="1"/>
  <c r="AM70" i="12"/>
  <c r="BS169" i="13"/>
  <c r="BS37" i="13" s="1"/>
  <c r="BO44" i="13"/>
  <c r="BB182" i="13"/>
  <c r="BB125" i="14" s="1"/>
  <c r="BO39" i="13"/>
  <c r="BJ116" i="14"/>
  <c r="BE129" i="14"/>
  <c r="BE54" i="13"/>
  <c r="U74" i="12"/>
  <c r="BU36" i="13"/>
  <c r="BM108" i="14"/>
  <c r="BE51" i="13"/>
  <c r="H121" i="11"/>
  <c r="G122" i="11"/>
  <c r="J121" i="11"/>
  <c r="I121" i="11"/>
  <c r="P75" i="12"/>
  <c r="Q140" i="12" s="1"/>
  <c r="Q8" i="12" s="1"/>
  <c r="O26" i="4"/>
  <c r="L15" i="5" a="1"/>
  <c r="L15" i="5" s="1"/>
  <c r="L16" i="5" s="1"/>
  <c r="N18" i="6" a="1"/>
  <c r="N18" i="6" s="1"/>
  <c r="N19" i="6" s="1"/>
  <c r="O34" i="4"/>
  <c r="BQ32" i="13"/>
  <c r="BA53" i="13"/>
  <c r="BB53" i="13" s="1"/>
  <c r="BB126" i="13"/>
  <c r="BJ41" i="13"/>
  <c r="BD124" i="13"/>
  <c r="BD189" i="13"/>
  <c r="BD132" i="14" s="1"/>
  <c r="BD126" i="14"/>
  <c r="BE126" i="14" s="1"/>
  <c r="P18" i="14"/>
  <c r="BE121" i="13"/>
  <c r="AZ137" i="14"/>
  <c r="BA137" i="14" s="1"/>
  <c r="N3" i="14"/>
  <c r="N19" i="14" s="1"/>
  <c r="P14" i="4"/>
  <c r="P18" i="4" s="1"/>
  <c r="BJ177" i="13"/>
  <c r="BJ112" i="13" s="1"/>
  <c r="BI127" i="14"/>
  <c r="BN48" i="13"/>
  <c r="BR172" i="13"/>
  <c r="BR115" i="14" s="1"/>
  <c r="AG71" i="12"/>
  <c r="BD192" i="13"/>
  <c r="AZ136" i="14"/>
  <c r="BL174" i="13"/>
  <c r="BL109" i="13" s="1"/>
  <c r="BM109" i="13" l="1"/>
  <c r="BM174" i="13"/>
  <c r="BB194" i="13"/>
  <c r="BB129" i="13" s="1"/>
  <c r="BO180" i="13"/>
  <c r="BO115" i="13" s="1"/>
  <c r="BK112" i="13"/>
  <c r="BK177" i="13"/>
  <c r="BS164" i="13"/>
  <c r="BS99" i="13" s="1"/>
  <c r="BC185" i="13"/>
  <c r="BC120" i="13" s="1"/>
  <c r="BR107" i="13"/>
  <c r="BC126" i="13"/>
  <c r="BC191" i="13"/>
  <c r="BC134" i="14" s="1"/>
  <c r="BB117" i="13"/>
  <c r="U7" i="12"/>
  <c r="BS112" i="14"/>
  <c r="BU110" i="14"/>
  <c r="BL42" i="13"/>
  <c r="BM42" i="13" s="1"/>
  <c r="BL117" i="14"/>
  <c r="BM117" i="14" s="1"/>
  <c r="DN4" i="7"/>
  <c r="DN6" i="7" s="1"/>
  <c r="DN7" i="7"/>
  <c r="DO3" i="7" s="1"/>
  <c r="BR107" i="14"/>
  <c r="BR40" i="13"/>
  <c r="BL114" i="13"/>
  <c r="BE123" i="13"/>
  <c r="BJ45" i="13"/>
  <c r="BK45" i="13" s="1"/>
  <c r="BK41" i="13"/>
  <c r="BP106" i="13"/>
  <c r="BP171" i="13"/>
  <c r="BD135" i="14"/>
  <c r="BD60" i="13"/>
  <c r="BO48" i="13"/>
  <c r="AY190" i="13"/>
  <c r="I50" i="15"/>
  <c r="N24" i="6" a="1"/>
  <c r="N24" i="6" s="1"/>
  <c r="L19" i="5" a="1"/>
  <c r="L19" i="5" s="1"/>
  <c r="BN38" i="13"/>
  <c r="BN113" i="14"/>
  <c r="BK108" i="13"/>
  <c r="BK173" i="13"/>
  <c r="AN135" i="12"/>
  <c r="AN3" i="12" s="1"/>
  <c r="BF183" i="13"/>
  <c r="BF126" i="14" s="1"/>
  <c r="Q75" i="12"/>
  <c r="BJ119" i="13"/>
  <c r="BJ184" i="13"/>
  <c r="BJ52" i="13" s="1"/>
  <c r="BP119" i="14"/>
  <c r="BC53" i="13"/>
  <c r="BD127" i="13"/>
  <c r="J122" i="11"/>
  <c r="I122" i="11"/>
  <c r="H122" i="11"/>
  <c r="G123" i="11"/>
  <c r="BF54" i="13"/>
  <c r="BF186" i="13"/>
  <c r="BF121" i="13" s="1"/>
  <c r="BR149" i="13"/>
  <c r="BR84" i="13" s="1"/>
  <c r="BJ127" i="14"/>
  <c r="BS104" i="13"/>
  <c r="BE122" i="13"/>
  <c r="BB50" i="13"/>
  <c r="BD116" i="13"/>
  <c r="BD181" i="13"/>
  <c r="BD49" i="13" s="1"/>
  <c r="AQ130" i="13"/>
  <c r="BU102" i="13"/>
  <c r="AH136" i="12"/>
  <c r="AH71" i="12" s="1"/>
  <c r="BT94" i="13"/>
  <c r="BT159" i="13"/>
  <c r="BT102" i="14" s="1"/>
  <c r="BA193" i="13"/>
  <c r="BA61" i="13" s="1"/>
  <c r="BB137" i="14"/>
  <c r="BP44" i="13"/>
  <c r="BP176" i="13"/>
  <c r="BP111" i="13" s="1"/>
  <c r="O77" i="4"/>
  <c r="N45" i="6" a="1"/>
  <c r="N45" i="6" s="1"/>
  <c r="N51" i="6" s="1"/>
  <c r="N53" i="6" s="1"/>
  <c r="Q18" i="14"/>
  <c r="BT27" i="13"/>
  <c r="AI137" i="12"/>
  <c r="AI5" i="12" s="1"/>
  <c r="BO123" i="14"/>
  <c r="BK116" i="14"/>
  <c r="BE55" i="13"/>
  <c r="BE187" i="13"/>
  <c r="BE130" i="14" s="1"/>
  <c r="BB62" i="13"/>
  <c r="BP31" i="13"/>
  <c r="BP106" i="14"/>
  <c r="AQ138" i="14"/>
  <c r="BJ120" i="14"/>
  <c r="BK120" i="14" s="1"/>
  <c r="J17" i="15"/>
  <c r="P147" i="4"/>
  <c r="P60" i="4"/>
  <c r="P74" i="4"/>
  <c r="O48" i="6" s="1" a="1"/>
  <c r="O48" i="6" s="1"/>
  <c r="O13" i="6" a="1"/>
  <c r="O13" i="6" s="1"/>
  <c r="M10" i="5" a="1"/>
  <c r="M10" i="5" s="1"/>
  <c r="BM179" i="13"/>
  <c r="BM47" i="13" s="1"/>
  <c r="BR32" i="13"/>
  <c r="BS32" i="13" s="1"/>
  <c r="BP114" i="14"/>
  <c r="BN100" i="13"/>
  <c r="BN165" i="13"/>
  <c r="B125" i="14"/>
  <c r="C125" i="14" s="1"/>
  <c r="B124" i="13"/>
  <c r="C124" i="13" s="1"/>
  <c r="B124" i="12"/>
  <c r="C124" i="12" s="1"/>
  <c r="AQ64" i="13"/>
  <c r="BN178" i="13"/>
  <c r="BN113" i="13" s="1"/>
  <c r="AN70" i="12"/>
  <c r="BN105" i="13"/>
  <c r="BE131" i="14"/>
  <c r="BE189" i="13"/>
  <c r="BE124" i="13" s="1"/>
  <c r="BN108" i="14"/>
  <c r="BP39" i="13"/>
  <c r="AQ63" i="13"/>
  <c r="X73" i="12"/>
  <c r="Y138" i="12" s="1"/>
  <c r="BC128" i="14"/>
  <c r="BD124" i="14"/>
  <c r="BP98" i="13"/>
  <c r="BK110" i="13"/>
  <c r="BO178" i="13" l="1"/>
  <c r="BO113" i="13" s="1"/>
  <c r="BD185" i="13"/>
  <c r="BD53" i="13" s="1"/>
  <c r="AO135" i="12"/>
  <c r="BT99" i="13"/>
  <c r="BT164" i="13"/>
  <c r="BF189" i="13"/>
  <c r="BF124" i="13" s="1"/>
  <c r="BQ111" i="13"/>
  <c r="BQ176" i="13"/>
  <c r="BG186" i="13"/>
  <c r="BG54" i="13" s="1"/>
  <c r="BP180" i="13"/>
  <c r="BP115" i="13" s="1"/>
  <c r="Y16" i="14"/>
  <c r="Y6" i="12"/>
  <c r="BC129" i="13"/>
  <c r="BC194" i="13"/>
  <c r="BD191" i="13"/>
  <c r="BD126" i="13" s="1"/>
  <c r="BL177" i="13"/>
  <c r="BL112" i="13" s="1"/>
  <c r="AY58" i="13"/>
  <c r="AY133" i="14"/>
  <c r="BL45" i="13"/>
  <c r="BM122" i="14"/>
  <c r="BE192" i="13"/>
  <c r="BE127" i="13" s="1"/>
  <c r="BT32" i="13"/>
  <c r="O33" i="6" a="1"/>
  <c r="O33" i="6" s="1"/>
  <c r="BA128" i="13"/>
  <c r="AN13" i="14"/>
  <c r="BF51" i="13"/>
  <c r="BC59" i="13"/>
  <c r="BF118" i="13"/>
  <c r="BO113" i="14"/>
  <c r="AY125" i="13"/>
  <c r="BF188" i="13"/>
  <c r="BF56" i="13" s="1"/>
  <c r="BS107" i="13"/>
  <c r="BS172" i="13"/>
  <c r="BS115" i="14" s="1"/>
  <c r="BD128" i="14"/>
  <c r="R18" i="14"/>
  <c r="BQ106" i="14"/>
  <c r="O79" i="4"/>
  <c r="L25" i="5" s="1" a="1"/>
  <c r="L25" i="5" s="1"/>
  <c r="L26" i="5" s="1"/>
  <c r="O80" i="4"/>
  <c r="BE57" i="13"/>
  <c r="BF57" i="13" s="1"/>
  <c r="BO38" i="13"/>
  <c r="BE124" i="14"/>
  <c r="AR138" i="14"/>
  <c r="AQ139" i="14"/>
  <c r="BE116" i="13"/>
  <c r="BE181" i="13"/>
  <c r="BR17" i="13"/>
  <c r="AR63" i="13"/>
  <c r="BN121" i="14"/>
  <c r="BO121" i="14" s="1"/>
  <c r="BO170" i="13"/>
  <c r="BO105" i="13" s="1"/>
  <c r="BQ31" i="13"/>
  <c r="BQ163" i="13"/>
  <c r="BU94" i="13"/>
  <c r="BF122" i="13"/>
  <c r="BF187" i="13"/>
  <c r="BE60" i="13"/>
  <c r="BM114" i="13"/>
  <c r="BT112" i="14"/>
  <c r="BQ114" i="14"/>
  <c r="BC137" i="14"/>
  <c r="BE132" i="14"/>
  <c r="BF132" i="14" s="1"/>
  <c r="BR92" i="14"/>
  <c r="BT169" i="13"/>
  <c r="BT37" i="13" s="1"/>
  <c r="G124" i="11"/>
  <c r="J123" i="11"/>
  <c r="I123" i="11"/>
  <c r="H123" i="11"/>
  <c r="BQ119" i="14"/>
  <c r="BE135" i="14"/>
  <c r="BS40" i="13"/>
  <c r="V139" i="12"/>
  <c r="V7" i="12"/>
  <c r="BN46" i="13"/>
  <c r="BO46" i="13" s="1"/>
  <c r="BU159" i="13"/>
  <c r="BU102" i="14" s="1"/>
  <c r="Y73" i="12"/>
  <c r="BL110" i="13"/>
  <c r="BL175" i="13"/>
  <c r="N76" i="12"/>
  <c r="J21" i="15"/>
  <c r="BC62" i="13"/>
  <c r="AH14" i="14"/>
  <c r="BQ98" i="13"/>
  <c r="BN33" i="13"/>
  <c r="BA136" i="14"/>
  <c r="BF130" i="14"/>
  <c r="AR195" i="13"/>
  <c r="AR196" i="13" s="1"/>
  <c r="AQ131" i="13"/>
  <c r="BF129" i="14"/>
  <c r="B126" i="14"/>
  <c r="C126" i="14" s="1"/>
  <c r="B125" i="13"/>
  <c r="C125" i="13" s="1"/>
  <c r="B125" i="12"/>
  <c r="C125" i="12" s="1"/>
  <c r="BS107" i="14"/>
  <c r="BT107" i="14" s="1"/>
  <c r="BC182" i="13"/>
  <c r="BC125" i="14" s="1"/>
  <c r="R140" i="12"/>
  <c r="R8" i="12" s="1"/>
  <c r="BL120" i="14"/>
  <c r="BF55" i="13"/>
  <c r="AI15" i="14"/>
  <c r="AI72" i="12"/>
  <c r="AJ137" i="12" s="1"/>
  <c r="AJ5" i="12" s="1"/>
  <c r="BQ44" i="13"/>
  <c r="AH4" i="12"/>
  <c r="BE49" i="13"/>
  <c r="BK184" i="13"/>
  <c r="BK119" i="13" s="1"/>
  <c r="BL173" i="13"/>
  <c r="BL116" i="14" s="1"/>
  <c r="BQ171" i="13"/>
  <c r="BQ39" i="13" s="1"/>
  <c r="DO7" i="7"/>
  <c r="DP3" i="7" s="1"/>
  <c r="DO4" i="7"/>
  <c r="BN174" i="13"/>
  <c r="BN42" i="13" s="1"/>
  <c r="BM177" i="13" l="1"/>
  <c r="BM112" i="13" s="1"/>
  <c r="BL119" i="13"/>
  <c r="BL184" i="13"/>
  <c r="BE191" i="13"/>
  <c r="BE126" i="13" s="1"/>
  <c r="BG189" i="13"/>
  <c r="BG124" i="13" s="1"/>
  <c r="BF127" i="13"/>
  <c r="BF192" i="13"/>
  <c r="BF60" i="13" s="1"/>
  <c r="BQ180" i="13"/>
  <c r="BQ115" i="13" s="1"/>
  <c r="BP105" i="13"/>
  <c r="BP170" i="13"/>
  <c r="BP113" i="14" s="1"/>
  <c r="BP113" i="13"/>
  <c r="BP178" i="13"/>
  <c r="BL108" i="13"/>
  <c r="BD62" i="13"/>
  <c r="BN122" i="14"/>
  <c r="BG121" i="13"/>
  <c r="AJ15" i="14"/>
  <c r="BB193" i="13"/>
  <c r="BB61" i="13" s="1"/>
  <c r="BD129" i="13"/>
  <c r="BD194" i="13"/>
  <c r="BD134" i="14"/>
  <c r="BE134" i="14" s="1"/>
  <c r="BO165" i="13"/>
  <c r="I124" i="11"/>
  <c r="H124" i="11"/>
  <c r="G125" i="11"/>
  <c r="J124" i="11"/>
  <c r="BN179" i="13"/>
  <c r="BN47" i="13" s="1"/>
  <c r="BP48" i="13"/>
  <c r="BQ48" i="13" s="1"/>
  <c r="BF131" i="14"/>
  <c r="AZ190" i="13"/>
  <c r="AZ133" i="14" s="1"/>
  <c r="BP123" i="14"/>
  <c r="BQ123" i="14" s="1"/>
  <c r="BN117" i="14"/>
  <c r="BL41" i="13"/>
  <c r="BK127" i="14"/>
  <c r="BL127" i="14" s="1"/>
  <c r="V74" i="12"/>
  <c r="V17" i="14"/>
  <c r="BM45" i="13"/>
  <c r="R75" i="12"/>
  <c r="Z138" i="12"/>
  <c r="Z6" i="12" s="1"/>
  <c r="BR176" i="13"/>
  <c r="BR111" i="13" s="1"/>
  <c r="BB136" i="14"/>
  <c r="BG187" i="13"/>
  <c r="BG55" i="13" s="1"/>
  <c r="BS17" i="13"/>
  <c r="BS149" i="13"/>
  <c r="BM120" i="14"/>
  <c r="J22" i="15"/>
  <c r="N9" i="12"/>
  <c r="BG129" i="14"/>
  <c r="BG118" i="13"/>
  <c r="BG183" i="13"/>
  <c r="BG126" i="14" s="1"/>
  <c r="BD120" i="13"/>
  <c r="BN109" i="13"/>
  <c r="AR139" i="14"/>
  <c r="BK52" i="13"/>
  <c r="DO6" i="7"/>
  <c r="BP38" i="13"/>
  <c r="BF49" i="13"/>
  <c r="AO70" i="12"/>
  <c r="BU27" i="13"/>
  <c r="BT104" i="13"/>
  <c r="AR64" i="13"/>
  <c r="BF135" i="14"/>
  <c r="BC50" i="13"/>
  <c r="BT115" i="14"/>
  <c r="BD59" i="13"/>
  <c r="BE59" i="13" s="1"/>
  <c r="AZ58" i="13"/>
  <c r="BF123" i="13"/>
  <c r="W139" i="12"/>
  <c r="W7" i="12"/>
  <c r="DP7" i="7"/>
  <c r="DQ3" i="7" s="1"/>
  <c r="DP4" i="7"/>
  <c r="DP6" i="7" s="1"/>
  <c r="N131" i="12"/>
  <c r="J26" i="15" s="1"/>
  <c r="S18" i="14"/>
  <c r="S140" i="12"/>
  <c r="S8" i="12"/>
  <c r="BT40" i="13"/>
  <c r="BT172" i="13"/>
  <c r="BG57" i="13"/>
  <c r="BQ106" i="13"/>
  <c r="AI136" i="12"/>
  <c r="AI4" i="12" s="1"/>
  <c r="BC117" i="13"/>
  <c r="AR130" i="13"/>
  <c r="BL118" i="14"/>
  <c r="BM118" i="14" s="1"/>
  <c r="BL43" i="13"/>
  <c r="BM43" i="13" s="1"/>
  <c r="BP46" i="13"/>
  <c r="BR119" i="14"/>
  <c r="BG132" i="14"/>
  <c r="BF181" i="13"/>
  <c r="BF124" i="14" s="1"/>
  <c r="O167" i="4"/>
  <c r="O141" i="4"/>
  <c r="O142" i="4"/>
  <c r="N117" i="6" s="1" a="1"/>
  <c r="N117" i="6" s="1"/>
  <c r="BT107" i="13"/>
  <c r="BG51" i="13"/>
  <c r="BU164" i="13"/>
  <c r="BU32" i="13" s="1"/>
  <c r="AJ72" i="12"/>
  <c r="BU107" i="14"/>
  <c r="BG130" i="14"/>
  <c r="BR163" i="13"/>
  <c r="BM175" i="13"/>
  <c r="BM110" i="13" s="1"/>
  <c r="B127" i="14"/>
  <c r="C127" i="14" s="1"/>
  <c r="B126" i="13"/>
  <c r="C126" i="13" s="1"/>
  <c r="B126" i="12"/>
  <c r="C126" i="12" s="1"/>
  <c r="BD137" i="14"/>
  <c r="BP121" i="14"/>
  <c r="AO13" i="14"/>
  <c r="AO3" i="12"/>
  <c r="BS176" i="13" l="1"/>
  <c r="BS111" i="13" s="1"/>
  <c r="C127" i="13"/>
  <c r="BH124" i="13"/>
  <c r="BH189" i="13"/>
  <c r="BR180" i="13"/>
  <c r="BR48" i="13" s="1"/>
  <c r="BF191" i="13"/>
  <c r="BF126" i="13" s="1"/>
  <c r="AJ136" i="12"/>
  <c r="AJ4" i="12"/>
  <c r="BN175" i="13"/>
  <c r="BN110" i="13" s="1"/>
  <c r="BN177" i="13"/>
  <c r="BN112" i="13" s="1"/>
  <c r="T140" i="12"/>
  <c r="T8" i="12" s="1"/>
  <c r="BH126" i="14"/>
  <c r="BS84" i="13"/>
  <c r="W74" i="12"/>
  <c r="G126" i="11"/>
  <c r="J125" i="11"/>
  <c r="I125" i="11"/>
  <c r="H125" i="11"/>
  <c r="BF134" i="14"/>
  <c r="BH186" i="13"/>
  <c r="BH54" i="13" s="1"/>
  <c r="BU115" i="14"/>
  <c r="BR98" i="13"/>
  <c r="BH183" i="13"/>
  <c r="BH118" i="13" s="1"/>
  <c r="BM127" i="14"/>
  <c r="AZ125" i="13"/>
  <c r="B128" i="14"/>
  <c r="C128" i="14" s="1"/>
  <c r="B127" i="13"/>
  <c r="B127" i="12"/>
  <c r="C127" i="12" s="1"/>
  <c r="BN43" i="13"/>
  <c r="AI71" i="12"/>
  <c r="BG188" i="13"/>
  <c r="BG56" i="13" s="1"/>
  <c r="S75" i="12"/>
  <c r="BE194" i="13"/>
  <c r="BE137" i="14" s="1"/>
  <c r="BQ170" i="13"/>
  <c r="BQ113" i="14" s="1"/>
  <c r="BG192" i="13"/>
  <c r="BG60" i="13" s="1"/>
  <c r="BM184" i="13"/>
  <c r="BM119" i="13" s="1"/>
  <c r="BQ38" i="13"/>
  <c r="BO174" i="13"/>
  <c r="BO42" i="13" s="1"/>
  <c r="BR31" i="13"/>
  <c r="BN45" i="13"/>
  <c r="T18" i="14"/>
  <c r="AS195" i="13"/>
  <c r="AR131" i="13"/>
  <c r="BR106" i="14"/>
  <c r="BG135" i="14"/>
  <c r="BE185" i="13"/>
  <c r="BH129" i="14"/>
  <c r="AI14" i="14"/>
  <c r="Z73" i="12"/>
  <c r="BB128" i="13"/>
  <c r="BM108" i="13"/>
  <c r="BM173" i="13"/>
  <c r="BM116" i="14" s="1"/>
  <c r="AP135" i="12"/>
  <c r="AP70" i="12" s="1"/>
  <c r="AP3" i="12"/>
  <c r="P19" i="4"/>
  <c r="J28" i="15"/>
  <c r="BS92" i="14"/>
  <c r="BG122" i="13"/>
  <c r="O141" i="12"/>
  <c r="O9" i="12"/>
  <c r="N65" i="12"/>
  <c r="BM41" i="13"/>
  <c r="N144" i="6" a="1"/>
  <c r="N144" i="6" s="1"/>
  <c r="L36" i="5" a="1"/>
  <c r="L36" i="5" s="1"/>
  <c r="BR106" i="13"/>
  <c r="BR171" i="13"/>
  <c r="AP13" i="14"/>
  <c r="BD117" i="13"/>
  <c r="BD182" i="13"/>
  <c r="BD125" i="14" s="1"/>
  <c r="BH57" i="13"/>
  <c r="BO108" i="14"/>
  <c r="BO100" i="13"/>
  <c r="BU99" i="13"/>
  <c r="BF116" i="13"/>
  <c r="BR44" i="13"/>
  <c r="DQ7" i="7"/>
  <c r="DR3" i="7" s="1"/>
  <c r="DQ4" i="7"/>
  <c r="BU169" i="13"/>
  <c r="BL52" i="13"/>
  <c r="Z16" i="14"/>
  <c r="J23" i="15"/>
  <c r="P40" i="4"/>
  <c r="P43" i="4" s="1"/>
  <c r="J34" i="15"/>
  <c r="BO117" i="14"/>
  <c r="BN114" i="13"/>
  <c r="BO33" i="13"/>
  <c r="BU172" i="13"/>
  <c r="BU40" i="13" s="1"/>
  <c r="O149" i="4"/>
  <c r="L30" i="5" s="1" a="1"/>
  <c r="L30" i="5" s="1"/>
  <c r="L38" i="5" s="1"/>
  <c r="L40" i="5" s="1"/>
  <c r="L50" i="5" s="1"/>
  <c r="N116" i="6" a="1"/>
  <c r="N116" i="6" s="1"/>
  <c r="N121" i="6" s="1"/>
  <c r="N146" i="6" s="1"/>
  <c r="N148" i="6" s="1"/>
  <c r="BH51" i="13"/>
  <c r="BH132" i="14"/>
  <c r="BF59" i="13"/>
  <c r="W17" i="14"/>
  <c r="AK15" i="14"/>
  <c r="BQ178" i="13"/>
  <c r="BQ121" i="14" s="1"/>
  <c r="AK137" i="12"/>
  <c r="AK5" i="12" s="1"/>
  <c r="BN119" i="13" l="1"/>
  <c r="BN184" i="13"/>
  <c r="BG191" i="13"/>
  <c r="BG126" i="13" s="1"/>
  <c r="BO175" i="13"/>
  <c r="BO110" i="13" s="1"/>
  <c r="BT176" i="13"/>
  <c r="BT111" i="13" s="1"/>
  <c r="J47" i="15"/>
  <c r="P33" i="4"/>
  <c r="BE117" i="13"/>
  <c r="BE182" i="13"/>
  <c r="BC193" i="13"/>
  <c r="BN120" i="14"/>
  <c r="BU107" i="13"/>
  <c r="BM52" i="13"/>
  <c r="BN52" i="13" s="1"/>
  <c r="M11" i="5" a="1"/>
  <c r="M11" i="5" s="1"/>
  <c r="M12" i="5" s="1"/>
  <c r="M13" i="5" s="1"/>
  <c r="O14" i="6" a="1"/>
  <c r="O14" i="6" s="1"/>
  <c r="O15" i="6" s="1"/>
  <c r="O16" i="6" s="1"/>
  <c r="P22" i="4"/>
  <c r="P20" i="4"/>
  <c r="BG123" i="13"/>
  <c r="AA138" i="12"/>
  <c r="DQ6" i="7"/>
  <c r="BR123" i="14"/>
  <c r="T75" i="12"/>
  <c r="BG134" i="14"/>
  <c r="BI189" i="13"/>
  <c r="BI57" i="13" s="1"/>
  <c r="AA16" i="14"/>
  <c r="BG127" i="13"/>
  <c r="B129" i="14"/>
  <c r="C129" i="14" s="1"/>
  <c r="B128" i="13"/>
  <c r="B128" i="12"/>
  <c r="C128" i="12" s="1"/>
  <c r="BG59" i="13"/>
  <c r="BU37" i="13"/>
  <c r="BU112" i="14"/>
  <c r="BP165" i="13"/>
  <c r="BP108" i="14" s="1"/>
  <c r="AK72" i="12"/>
  <c r="AQ135" i="12"/>
  <c r="AQ3" i="12"/>
  <c r="AJ14" i="14"/>
  <c r="AS196" i="13"/>
  <c r="AS63" i="13"/>
  <c r="AS138" i="14"/>
  <c r="BO109" i="13"/>
  <c r="BQ105" i="13"/>
  <c r="AJ71" i="12"/>
  <c r="X139" i="12"/>
  <c r="BO43" i="13"/>
  <c r="BG181" i="13"/>
  <c r="O170" i="4"/>
  <c r="O172" i="4" s="1"/>
  <c r="O179" i="4" s="1"/>
  <c r="BN108" i="13"/>
  <c r="BN173" i="13"/>
  <c r="BN41" i="13" s="1"/>
  <c r="BO177" i="13"/>
  <c r="BO112" i="13" s="1"/>
  <c r="X17" i="14"/>
  <c r="C128" i="13"/>
  <c r="BP33" i="13"/>
  <c r="AL137" i="12"/>
  <c r="AL15" i="14" s="1"/>
  <c r="AL5" i="12"/>
  <c r="BO179" i="13"/>
  <c r="BU104" i="13"/>
  <c r="BR39" i="13"/>
  <c r="BS39" i="13" s="1"/>
  <c r="BR114" i="14"/>
  <c r="BS114" i="14" s="1"/>
  <c r="O196" i="12"/>
  <c r="O19" i="14"/>
  <c r="O76" i="12"/>
  <c r="AS130" i="13"/>
  <c r="BN118" i="14"/>
  <c r="BO118" i="14" s="1"/>
  <c r="BE62" i="13"/>
  <c r="BA125" i="13"/>
  <c r="BA190" i="13"/>
  <c r="BD50" i="13"/>
  <c r="BE50" i="13" s="1"/>
  <c r="BS119" i="14"/>
  <c r="BT119" i="14" s="1"/>
  <c r="G127" i="11"/>
  <c r="J126" i="11"/>
  <c r="I126" i="11"/>
  <c r="H126" i="11"/>
  <c r="BQ113" i="13"/>
  <c r="BI132" i="14"/>
  <c r="BS106" i="13"/>
  <c r="BS171" i="13"/>
  <c r="BN127" i="14"/>
  <c r="BQ46" i="13"/>
  <c r="BI51" i="13"/>
  <c r="BI183" i="13"/>
  <c r="BI118" i="13" s="1"/>
  <c r="J40" i="15"/>
  <c r="J46" i="15" s="1"/>
  <c r="J35" i="15"/>
  <c r="J42" i="15" s="1"/>
  <c r="J36" i="15"/>
  <c r="DR4" i="7"/>
  <c r="DR6" i="7" s="1"/>
  <c r="DR7" i="7"/>
  <c r="DS3" i="7" s="1"/>
  <c r="BE53" i="13"/>
  <c r="BE128" i="14"/>
  <c r="BE129" i="13"/>
  <c r="BS163" i="13"/>
  <c r="BT84" i="13"/>
  <c r="BT149" i="13"/>
  <c r="BT17" i="13" s="1"/>
  <c r="BR115" i="13"/>
  <c r="P54" i="4"/>
  <c r="BS44" i="13"/>
  <c r="BT44" i="13" s="1"/>
  <c r="BE125" i="14"/>
  <c r="BH122" i="13"/>
  <c r="BH187" i="13"/>
  <c r="BN116" i="14"/>
  <c r="BE120" i="13"/>
  <c r="BG131" i="14"/>
  <c r="BH121" i="13"/>
  <c r="BJ183" i="13" l="1"/>
  <c r="BJ118" i="13" s="1"/>
  <c r="BU111" i="13"/>
  <c r="BU176" i="13"/>
  <c r="BP175" i="13"/>
  <c r="BP110" i="13" s="1"/>
  <c r="BH191" i="13"/>
  <c r="BH126" i="13" s="1"/>
  <c r="BP177" i="13"/>
  <c r="BP112" i="13" s="1"/>
  <c r="BU149" i="13"/>
  <c r="BU84" i="13" s="1"/>
  <c r="K31" i="15"/>
  <c r="Q42" i="4" s="1"/>
  <c r="O64" i="12"/>
  <c r="K27" i="15" s="1"/>
  <c r="P55" i="4"/>
  <c r="P67" i="4"/>
  <c r="O40" i="6" s="1" a="1"/>
  <c r="O40" i="6" s="1"/>
  <c r="P63" i="4"/>
  <c r="O36" i="6" s="1" a="1"/>
  <c r="O36" i="6" s="1"/>
  <c r="P66" i="4"/>
  <c r="O39" i="6" s="1" a="1"/>
  <c r="O39" i="6" s="1"/>
  <c r="P64" i="4"/>
  <c r="O37" i="6" s="1" a="1"/>
  <c r="O37" i="6" s="1"/>
  <c r="P61" i="4"/>
  <c r="P68" i="4"/>
  <c r="O41" i="6" s="1" a="1"/>
  <c r="O41" i="6" s="1"/>
  <c r="P65" i="4"/>
  <c r="O38" i="6" s="1" a="1"/>
  <c r="O38" i="6" s="1"/>
  <c r="P62" i="4"/>
  <c r="O35" i="6" s="1" a="1"/>
  <c r="O35" i="6" s="1"/>
  <c r="P56" i="4"/>
  <c r="O27" i="6" a="1"/>
  <c r="O27" i="6" s="1"/>
  <c r="M21" i="5" a="1"/>
  <c r="M21" i="5" s="1"/>
  <c r="J37" i="15"/>
  <c r="J41" i="15" s="1"/>
  <c r="B130" i="14"/>
  <c r="C130" i="14" s="1"/>
  <c r="B129" i="13"/>
  <c r="B129" i="12"/>
  <c r="C129" i="12" s="1"/>
  <c r="BP118" i="14"/>
  <c r="C129" i="13"/>
  <c r="BG124" i="14"/>
  <c r="BG49" i="13"/>
  <c r="BR170" i="13"/>
  <c r="BP100" i="13"/>
  <c r="BS31" i="13"/>
  <c r="BI126" i="14"/>
  <c r="BJ126" i="14" s="1"/>
  <c r="J48" i="15"/>
  <c r="BS115" i="13"/>
  <c r="BS180" i="13"/>
  <c r="BS48" i="13" s="1"/>
  <c r="BS98" i="13"/>
  <c r="AT130" i="13"/>
  <c r="AT195" i="13"/>
  <c r="AT196" i="13" s="1"/>
  <c r="AS131" i="13"/>
  <c r="BG116" i="13"/>
  <c r="BP174" i="13"/>
  <c r="BS106" i="14"/>
  <c r="BI124" i="13"/>
  <c r="AA6" i="12"/>
  <c r="BC61" i="13"/>
  <c r="BC136" i="14"/>
  <c r="BH130" i="14"/>
  <c r="BH55" i="13"/>
  <c r="BF129" i="13"/>
  <c r="BF194" i="13"/>
  <c r="BF137" i="14" s="1"/>
  <c r="BT171" i="13"/>
  <c r="BT114" i="14" s="1"/>
  <c r="J127" i="11"/>
  <c r="I127" i="11"/>
  <c r="H127" i="11"/>
  <c r="G128" i="11"/>
  <c r="BP43" i="13"/>
  <c r="AT138" i="14"/>
  <c r="AS139" i="14"/>
  <c r="J29" i="15"/>
  <c r="BH134" i="14"/>
  <c r="BH188" i="13"/>
  <c r="BH56" i="13" s="1"/>
  <c r="BC128" i="13"/>
  <c r="AT63" i="13"/>
  <c r="BH59" i="13"/>
  <c r="U75" i="12"/>
  <c r="AQ13" i="14"/>
  <c r="U140" i="12"/>
  <c r="BU44" i="13"/>
  <c r="DS7" i="7"/>
  <c r="DT3" i="7" s="1"/>
  <c r="DS4" i="7"/>
  <c r="DS6" i="7" s="1"/>
  <c r="BI122" i="13"/>
  <c r="BI187" i="13"/>
  <c r="BU119" i="14"/>
  <c r="BO47" i="13"/>
  <c r="BO122" i="14"/>
  <c r="BU17" i="13"/>
  <c r="BR178" i="13"/>
  <c r="BR121" i="14" s="1"/>
  <c r="P19" i="14"/>
  <c r="O74" i="14"/>
  <c r="O4" i="14" s="1"/>
  <c r="BO114" i="13"/>
  <c r="BO45" i="13"/>
  <c r="BP45" i="13" s="1"/>
  <c r="X7" i="12"/>
  <c r="AS64" i="13"/>
  <c r="P141" i="12"/>
  <c r="P9" i="12" s="1"/>
  <c r="BS123" i="14"/>
  <c r="BO52" i="13"/>
  <c r="BT92" i="14"/>
  <c r="BU92" i="14" s="1"/>
  <c r="AL72" i="12"/>
  <c r="BA58" i="13"/>
  <c r="BA133" i="14"/>
  <c r="BR46" i="13"/>
  <c r="X74" i="12"/>
  <c r="AA73" i="12"/>
  <c r="BO120" i="14"/>
  <c r="BP120" i="14" s="1"/>
  <c r="BF182" i="13"/>
  <c r="BF125" i="14" s="1"/>
  <c r="BI186" i="13"/>
  <c r="BJ51" i="13"/>
  <c r="BH131" i="14"/>
  <c r="BO173" i="13"/>
  <c r="BO108" i="13" s="1"/>
  <c r="BF185" i="13"/>
  <c r="BF53" i="13" s="1"/>
  <c r="BF62" i="13"/>
  <c r="N155" i="6" a="1"/>
  <c r="N155" i="6" s="1"/>
  <c r="L44" i="5" a="1"/>
  <c r="L44" i="5" s="1"/>
  <c r="BH192" i="13"/>
  <c r="P23" i="4"/>
  <c r="P21" i="4"/>
  <c r="AK136" i="12"/>
  <c r="AK14" i="14" s="1"/>
  <c r="O23" i="6" a="1"/>
  <c r="O23" i="6" s="1"/>
  <c r="M18" i="5" a="1"/>
  <c r="M18" i="5" s="1"/>
  <c r="AQ70" i="12"/>
  <c r="BO184" i="13"/>
  <c r="BO127" i="14" s="1"/>
  <c r="BK183" i="13" l="1"/>
  <c r="BK118" i="13" s="1"/>
  <c r="BQ177" i="13"/>
  <c r="BQ120" i="14" s="1"/>
  <c r="BI191" i="13"/>
  <c r="BI126" i="13" s="1"/>
  <c r="BQ110" i="13"/>
  <c r="BP108" i="13"/>
  <c r="BP173" i="13"/>
  <c r="BG194" i="13"/>
  <c r="BG62" i="13" s="1"/>
  <c r="BJ124" i="13"/>
  <c r="BJ189" i="13"/>
  <c r="AU195" i="13"/>
  <c r="AU196" i="13" s="1"/>
  <c r="AT131" i="13"/>
  <c r="BR113" i="14"/>
  <c r="BR38" i="13"/>
  <c r="BH60" i="13"/>
  <c r="BH135" i="14"/>
  <c r="BI54" i="13"/>
  <c r="BI129" i="14"/>
  <c r="BB133" i="14"/>
  <c r="BF50" i="13"/>
  <c r="U18" i="14"/>
  <c r="U8" i="12"/>
  <c r="G129" i="11"/>
  <c r="J128" i="11"/>
  <c r="I128" i="11"/>
  <c r="H128" i="11"/>
  <c r="BI55" i="13"/>
  <c r="BJ55" i="13" s="1"/>
  <c r="BT163" i="13"/>
  <c r="BT106" i="14" s="1"/>
  <c r="BR105" i="13"/>
  <c r="M22" i="5" a="1"/>
  <c r="M22" i="5" s="1"/>
  <c r="M24" i="5" s="1"/>
  <c r="O28" i="6" a="1"/>
  <c r="O28" i="6" s="1"/>
  <c r="BH123" i="13"/>
  <c r="B131" i="14"/>
  <c r="C131" i="14" s="1"/>
  <c r="B130" i="12"/>
  <c r="C130" i="12" s="1"/>
  <c r="B130" i="13"/>
  <c r="BI130" i="14"/>
  <c r="BK126" i="14"/>
  <c r="BO119" i="13"/>
  <c r="BK51" i="13"/>
  <c r="BI134" i="14"/>
  <c r="BP117" i="14"/>
  <c r="BP42" i="13"/>
  <c r="BT115" i="13"/>
  <c r="BT180" i="13"/>
  <c r="BT48" i="13" s="1"/>
  <c r="BT31" i="13"/>
  <c r="O34" i="6" a="1"/>
  <c r="O34" i="6" s="1"/>
  <c r="O42" i="6" s="1"/>
  <c r="P69" i="4"/>
  <c r="Q41" i="4"/>
  <c r="BF120" i="13"/>
  <c r="Y139" i="12"/>
  <c r="Y7" i="12" s="1"/>
  <c r="BR113" i="13"/>
  <c r="BF128" i="14"/>
  <c r="P49" i="4"/>
  <c r="BF117" i="13"/>
  <c r="BI59" i="13"/>
  <c r="BP109" i="13"/>
  <c r="BQ100" i="13"/>
  <c r="BQ165" i="13"/>
  <c r="C130" i="13"/>
  <c r="BO41" i="13"/>
  <c r="BP41" i="13" s="1"/>
  <c r="Y74" i="12"/>
  <c r="AR70" i="12"/>
  <c r="BT123" i="14"/>
  <c r="BH127" i="13"/>
  <c r="BI121" i="13"/>
  <c r="BB58" i="13"/>
  <c r="BB190" i="13"/>
  <c r="BB125" i="13" s="1"/>
  <c r="AK4" i="12"/>
  <c r="P24" i="4"/>
  <c r="P25" i="4"/>
  <c r="AM137" i="12"/>
  <c r="BJ187" i="13"/>
  <c r="BJ122" i="13" s="1"/>
  <c r="AU63" i="13"/>
  <c r="BH181" i="13"/>
  <c r="BH124" i="14" s="1"/>
  <c r="BO116" i="14"/>
  <c r="AK71" i="12"/>
  <c r="BP179" i="13"/>
  <c r="BP114" i="13" s="1"/>
  <c r="P76" i="12"/>
  <c r="Q141" i="12" s="1"/>
  <c r="AU138" i="14"/>
  <c r="AT139" i="14"/>
  <c r="BT106" i="13"/>
  <c r="AB138" i="12"/>
  <c r="AB73" i="12" s="1"/>
  <c r="BT39" i="13"/>
  <c r="AR135" i="12"/>
  <c r="AR13" i="14" s="1"/>
  <c r="P57" i="4"/>
  <c r="O6" i="14"/>
  <c r="Q15" i="4" s="1"/>
  <c r="O5" i="14"/>
  <c r="DT4" i="7"/>
  <c r="DT6" i="7" s="1"/>
  <c r="DT7" i="7"/>
  <c r="DU3" i="7" s="1"/>
  <c r="BD193" i="13"/>
  <c r="BD136" i="14" s="1"/>
  <c r="BQ43" i="13"/>
  <c r="BQ175" i="13"/>
  <c r="BQ118" i="14" s="1"/>
  <c r="BG137" i="14"/>
  <c r="AT64" i="13"/>
  <c r="O29" i="6" a="1"/>
  <c r="O29" i="6" s="1"/>
  <c r="O30" i="6" s="1"/>
  <c r="M23" i="5" a="1"/>
  <c r="M23" i="5" s="1"/>
  <c r="BL183" i="13" l="1"/>
  <c r="BL118" i="13" s="1"/>
  <c r="Z139" i="12"/>
  <c r="Z7" i="12" s="1"/>
  <c r="C131" i="12"/>
  <c r="C132" i="14"/>
  <c r="BK187" i="13"/>
  <c r="BK55" i="13" s="1"/>
  <c r="Q9" i="12"/>
  <c r="Q19" i="14"/>
  <c r="BQ114" i="13"/>
  <c r="BQ179" i="13"/>
  <c r="BJ191" i="13"/>
  <c r="BJ59" i="13" s="1"/>
  <c r="BJ186" i="13"/>
  <c r="BJ54" i="13" s="1"/>
  <c r="BG120" i="13"/>
  <c r="BQ108" i="13"/>
  <c r="BQ173" i="13"/>
  <c r="BI127" i="13"/>
  <c r="BI192" i="13"/>
  <c r="B132" i="14"/>
  <c r="B131" i="13"/>
  <c r="C131" i="13" s="1"/>
  <c r="B131" i="12"/>
  <c r="BR110" i="13"/>
  <c r="BR175" i="13"/>
  <c r="BR118" i="14" s="1"/>
  <c r="AB6" i="12"/>
  <c r="BQ33" i="13"/>
  <c r="BR33" i="13" s="1"/>
  <c r="BQ108" i="14"/>
  <c r="BG128" i="14"/>
  <c r="BP184" i="13"/>
  <c r="BI188" i="13"/>
  <c r="BS38" i="13"/>
  <c r="BG129" i="13"/>
  <c r="BQ112" i="13"/>
  <c r="BQ109" i="13"/>
  <c r="BQ174" i="13"/>
  <c r="BQ42" i="13"/>
  <c r="BL126" i="14"/>
  <c r="BT98" i="13"/>
  <c r="H129" i="11"/>
  <c r="G130" i="11"/>
  <c r="J129" i="11"/>
  <c r="I129" i="11"/>
  <c r="BS113" i="14"/>
  <c r="BP47" i="13"/>
  <c r="BQ47" i="13" s="1"/>
  <c r="BU106" i="13"/>
  <c r="BD128" i="13"/>
  <c r="BQ45" i="13"/>
  <c r="BD61" i="13"/>
  <c r="BQ117" i="14"/>
  <c r="AU64" i="13"/>
  <c r="P26" i="4"/>
  <c r="M15" i="5" a="1"/>
  <c r="M15" i="5" s="1"/>
  <c r="M16" i="5" s="1"/>
  <c r="O18" i="6" a="1"/>
  <c r="O18" i="6" s="1"/>
  <c r="O19" i="6" s="1"/>
  <c r="P34" i="4"/>
  <c r="P50" i="4"/>
  <c r="P72" i="4"/>
  <c r="BS105" i="13"/>
  <c r="BS170" i="13"/>
  <c r="BI60" i="13"/>
  <c r="BH116" i="13"/>
  <c r="BR43" i="13"/>
  <c r="AL136" i="12"/>
  <c r="AL4" i="12"/>
  <c r="BR165" i="13"/>
  <c r="BR100" i="13" s="1"/>
  <c r="BS178" i="13"/>
  <c r="BU180" i="13"/>
  <c r="BU48" i="13" s="1"/>
  <c r="BH49" i="13"/>
  <c r="DU7" i="7"/>
  <c r="DV3" i="7" s="1"/>
  <c r="DU4" i="7"/>
  <c r="DU6" i="7" s="1"/>
  <c r="AR3" i="12"/>
  <c r="AU139" i="14"/>
  <c r="AM5" i="12"/>
  <c r="AM15" i="14"/>
  <c r="BC190" i="13"/>
  <c r="BC133" i="14" s="1"/>
  <c r="Z74" i="12"/>
  <c r="Y17" i="14"/>
  <c r="BJ130" i="14"/>
  <c r="BK130" i="14" s="1"/>
  <c r="V140" i="12"/>
  <c r="V75" i="12" s="1"/>
  <c r="V8" i="12"/>
  <c r="AU130" i="13"/>
  <c r="BP122" i="14"/>
  <c r="BQ122" i="14" s="1"/>
  <c r="BK189" i="13"/>
  <c r="BK124" i="13" s="1"/>
  <c r="O3" i="14"/>
  <c r="O20" i="14" s="1"/>
  <c r="Q14" i="4"/>
  <c r="Q18" i="4" s="1"/>
  <c r="BL51" i="13"/>
  <c r="AB16" i="14"/>
  <c r="BU39" i="13"/>
  <c r="BU171" i="13"/>
  <c r="BU114" i="14" s="1"/>
  <c r="Q76" i="12"/>
  <c r="BP116" i="14"/>
  <c r="BC58" i="13"/>
  <c r="BQ41" i="13"/>
  <c r="BG182" i="13"/>
  <c r="BG125" i="14" s="1"/>
  <c r="AM72" i="12"/>
  <c r="BJ134" i="14"/>
  <c r="V18" i="14"/>
  <c r="BI135" i="14"/>
  <c r="BJ132" i="14"/>
  <c r="BJ57" i="13"/>
  <c r="BG185" i="13"/>
  <c r="BG53" i="13" s="1"/>
  <c r="BM183" i="13" l="1"/>
  <c r="BM118" i="13" s="1"/>
  <c r="BL124" i="13"/>
  <c r="BL189" i="13"/>
  <c r="BS165" i="13"/>
  <c r="AA139" i="12"/>
  <c r="AA7" i="12"/>
  <c r="BI181" i="13"/>
  <c r="BI124" i="14" s="1"/>
  <c r="BH129" i="13"/>
  <c r="BH194" i="13"/>
  <c r="BM51" i="13"/>
  <c r="BM126" i="14"/>
  <c r="BU123" i="14"/>
  <c r="K17" i="15"/>
  <c r="Q147" i="4"/>
  <c r="Q74" i="4"/>
  <c r="P48" i="6" s="1" a="1"/>
  <c r="P48" i="6" s="1"/>
  <c r="Q60" i="4"/>
  <c r="N10" i="5" a="1"/>
  <c r="N10" i="5" s="1"/>
  <c r="P13" i="6" a="1"/>
  <c r="P13" i="6" s="1"/>
  <c r="BC125" i="13"/>
  <c r="BE193" i="13"/>
  <c r="BE136" i="14" s="1"/>
  <c r="BR42" i="13"/>
  <c r="BR174" i="13"/>
  <c r="BI56" i="13"/>
  <c r="BI131" i="14"/>
  <c r="BJ121" i="13"/>
  <c r="BJ126" i="13"/>
  <c r="AN137" i="12"/>
  <c r="AN72" i="12" s="1"/>
  <c r="BG50" i="13"/>
  <c r="BS46" i="13"/>
  <c r="BS121" i="14"/>
  <c r="BR117" i="14"/>
  <c r="J130" i="11"/>
  <c r="I130" i="11"/>
  <c r="H130" i="11"/>
  <c r="G131" i="11"/>
  <c r="BK57" i="13"/>
  <c r="BL57" i="13" s="1"/>
  <c r="AA74" i="12"/>
  <c r="J50" i="15"/>
  <c r="M19" i="5" a="1"/>
  <c r="M19" i="5" s="1"/>
  <c r="O24" i="6" a="1"/>
  <c r="O24" i="6" s="1"/>
  <c r="BU163" i="13"/>
  <c r="BH185" i="13"/>
  <c r="BH53" i="13" s="1"/>
  <c r="BK132" i="14"/>
  <c r="AV195" i="13"/>
  <c r="AV130" i="13" s="1"/>
  <c r="AU131" i="13"/>
  <c r="W140" i="12"/>
  <c r="W8" i="12"/>
  <c r="DV4" i="7"/>
  <c r="DV7" i="7"/>
  <c r="DW3" i="7" s="1"/>
  <c r="W18" i="14"/>
  <c r="BQ116" i="14"/>
  <c r="W75" i="12"/>
  <c r="BI49" i="13"/>
  <c r="BJ129" i="14"/>
  <c r="BI123" i="13"/>
  <c r="AC138" i="12"/>
  <c r="AC6" i="12" s="1"/>
  <c r="BK122" i="13"/>
  <c r="BT170" i="13"/>
  <c r="BT105" i="13" s="1"/>
  <c r="BR109" i="13"/>
  <c r="BP52" i="13"/>
  <c r="BP127" i="14"/>
  <c r="BJ192" i="13"/>
  <c r="BJ60" i="13" s="1"/>
  <c r="BR179" i="13"/>
  <c r="BR114" i="13" s="1"/>
  <c r="Z17" i="14"/>
  <c r="AA17" i="14" s="1"/>
  <c r="BU115" i="13"/>
  <c r="AL14" i="14"/>
  <c r="P77" i="4"/>
  <c r="O45" i="6" a="1"/>
  <c r="O45" i="6" s="1"/>
  <c r="O51" i="6" s="1"/>
  <c r="O53" i="6" s="1"/>
  <c r="AL71" i="12"/>
  <c r="AM136" i="12" s="1"/>
  <c r="BP119" i="13"/>
  <c r="C132" i="12"/>
  <c r="BS175" i="13"/>
  <c r="BS118" i="14" s="1"/>
  <c r="BR173" i="13"/>
  <c r="BR108" i="13" s="1"/>
  <c r="R19" i="14"/>
  <c r="BG117" i="13"/>
  <c r="AC16" i="14"/>
  <c r="BR122" i="14"/>
  <c r="AS135" i="12"/>
  <c r="AS3" i="12"/>
  <c r="BS113" i="13"/>
  <c r="BE61" i="13"/>
  <c r="B133" i="14"/>
  <c r="C133" i="14" s="1"/>
  <c r="B132" i="13"/>
  <c r="C132" i="13" s="1"/>
  <c r="B132" i="12"/>
  <c r="BR177" i="13"/>
  <c r="BR120" i="14" s="1"/>
  <c r="BR108" i="14"/>
  <c r="R141" i="12"/>
  <c r="R76" i="12" s="1"/>
  <c r="R9" i="12"/>
  <c r="S76" i="12" l="1"/>
  <c r="BS114" i="13"/>
  <c r="BS179" i="13"/>
  <c r="AM4" i="12"/>
  <c r="AV131" i="13"/>
  <c r="C133" i="13"/>
  <c r="BU170" i="13"/>
  <c r="BU105" i="13" s="1"/>
  <c r="BN118" i="13"/>
  <c r="BN183" i="13"/>
  <c r="BN126" i="14" s="1"/>
  <c r="AM14" i="14"/>
  <c r="BJ135" i="14"/>
  <c r="S141" i="12"/>
  <c r="S9" i="12"/>
  <c r="BJ131" i="14"/>
  <c r="AB139" i="12"/>
  <c r="AB7" i="12"/>
  <c r="BR47" i="13"/>
  <c r="BS47" i="13" s="1"/>
  <c r="BS110" i="13"/>
  <c r="BJ127" i="13"/>
  <c r="BT38" i="13"/>
  <c r="BU38" i="13" s="1"/>
  <c r="BH120" i="13"/>
  <c r="AB74" i="12"/>
  <c r="BS43" i="13"/>
  <c r="BN51" i="13"/>
  <c r="BS100" i="13"/>
  <c r="AC73" i="12"/>
  <c r="AD138" i="12" s="1"/>
  <c r="BR116" i="14"/>
  <c r="BR45" i="13"/>
  <c r="BS33" i="13"/>
  <c r="BR41" i="13"/>
  <c r="BT121" i="14"/>
  <c r="AN5" i="12"/>
  <c r="P33" i="6" a="1"/>
  <c r="P33" i="6" s="1"/>
  <c r="BH62" i="13"/>
  <c r="BH137" i="14"/>
  <c r="X18" i="14"/>
  <c r="BI194" i="13"/>
  <c r="BI129" i="13" s="1"/>
  <c r="BT113" i="13"/>
  <c r="BT178" i="13"/>
  <c r="BM189" i="13"/>
  <c r="BM57" i="13" s="1"/>
  <c r="BH128" i="14"/>
  <c r="BS108" i="14"/>
  <c r="BU31" i="13"/>
  <c r="BU106" i="14"/>
  <c r="DV6" i="7"/>
  <c r="BT113" i="14"/>
  <c r="BU113" i="14" s="1"/>
  <c r="B134" i="14"/>
  <c r="C134" i="14" s="1"/>
  <c r="B133" i="13"/>
  <c r="B133" i="12"/>
  <c r="C133" i="12" s="1"/>
  <c r="BE128" i="13"/>
  <c r="BI116" i="13"/>
  <c r="BH117" i="13"/>
  <c r="BH182" i="13"/>
  <c r="BH125" i="14" s="1"/>
  <c r="AB17" i="14"/>
  <c r="BJ123" i="13"/>
  <c r="BJ188" i="13"/>
  <c r="BJ56" i="13" s="1"/>
  <c r="BQ119" i="13"/>
  <c r="BQ184" i="13"/>
  <c r="BQ127" i="14" s="1"/>
  <c r="BS174" i="13"/>
  <c r="BS109" i="13" s="1"/>
  <c r="DW7" i="7"/>
  <c r="DX3" i="7" s="1"/>
  <c r="DW4" i="7"/>
  <c r="DW6" i="7" s="1"/>
  <c r="G132" i="11"/>
  <c r="J131" i="11"/>
  <c r="I131" i="11"/>
  <c r="H131" i="11"/>
  <c r="S19" i="14"/>
  <c r="AN15" i="14"/>
  <c r="X140" i="12"/>
  <c r="X8" i="12" s="1"/>
  <c r="BK126" i="13"/>
  <c r="BK191" i="13"/>
  <c r="O77" i="12"/>
  <c r="K21" i="15"/>
  <c r="BQ52" i="13"/>
  <c r="BT46" i="13"/>
  <c r="AT135" i="12"/>
  <c r="AT3" i="12"/>
  <c r="AV196" i="13"/>
  <c r="AV138" i="14"/>
  <c r="AV63" i="13"/>
  <c r="BU98" i="13"/>
  <c r="BH50" i="13"/>
  <c r="BR112" i="13"/>
  <c r="AS13" i="14"/>
  <c r="AS70" i="12"/>
  <c r="AM71" i="12"/>
  <c r="BS122" i="14"/>
  <c r="P79" i="4"/>
  <c r="M25" i="5" s="1" a="1"/>
  <c r="M25" i="5" s="1"/>
  <c r="M26" i="5" s="1"/>
  <c r="P80" i="4"/>
  <c r="BL122" i="13"/>
  <c r="BL187" i="13"/>
  <c r="X75" i="12"/>
  <c r="BL132" i="14"/>
  <c r="BK186" i="13"/>
  <c r="BK54" i="13" s="1"/>
  <c r="BD190" i="13"/>
  <c r="Y140" i="12" l="1"/>
  <c r="Y8" i="12"/>
  <c r="BT174" i="13"/>
  <c r="BT109" i="13" s="1"/>
  <c r="AD6" i="12"/>
  <c r="AD16" i="14"/>
  <c r="BK134" i="14"/>
  <c r="BK59" i="13"/>
  <c r="B135" i="14"/>
  <c r="C135" i="14" s="1"/>
  <c r="B134" i="13"/>
  <c r="B134" i="12"/>
  <c r="C134" i="12" s="1"/>
  <c r="BI182" i="13"/>
  <c r="BI117" i="13" s="1"/>
  <c r="BS42" i="13"/>
  <c r="BT165" i="13"/>
  <c r="BT100" i="13" s="1"/>
  <c r="BT179" i="13"/>
  <c r="BT114" i="13" s="1"/>
  <c r="BR184" i="13"/>
  <c r="BR127" i="14" s="1"/>
  <c r="BJ181" i="13"/>
  <c r="BK129" i="14"/>
  <c r="Y18" i="14"/>
  <c r="BS173" i="13"/>
  <c r="BS108" i="13" s="1"/>
  <c r="BK192" i="13"/>
  <c r="BK60" i="13" s="1"/>
  <c r="C134" i="13"/>
  <c r="BF128" i="13"/>
  <c r="BF193" i="13"/>
  <c r="BM124" i="13"/>
  <c r="BT110" i="13"/>
  <c r="BT175" i="13"/>
  <c r="BT118" i="14" s="1"/>
  <c r="BS117" i="14"/>
  <c r="BT117" i="14" s="1"/>
  <c r="Y75" i="12"/>
  <c r="DX7" i="7"/>
  <c r="DY3" i="7" s="1"/>
  <c r="DX4" i="7"/>
  <c r="BD58" i="13"/>
  <c r="BD133" i="14"/>
  <c r="P167" i="4"/>
  <c r="P141" i="4"/>
  <c r="P142" i="4"/>
  <c r="O117" i="6" s="1" a="1"/>
  <c r="O117" i="6" s="1"/>
  <c r="BD125" i="13"/>
  <c r="BS112" i="13"/>
  <c r="BS177" i="13"/>
  <c r="BS120" i="14" s="1"/>
  <c r="BL191" i="13"/>
  <c r="BL126" i="13" s="1"/>
  <c r="BK121" i="13"/>
  <c r="BI50" i="13"/>
  <c r="I132" i="11"/>
  <c r="H132" i="11"/>
  <c r="G133" i="11"/>
  <c r="J132" i="11"/>
  <c r="BI137" i="14"/>
  <c r="BS45" i="13"/>
  <c r="T141" i="12"/>
  <c r="T76" i="12" s="1"/>
  <c r="BO118" i="13"/>
  <c r="BO183" i="13"/>
  <c r="BO51" i="13" s="1"/>
  <c r="BM132" i="14"/>
  <c r="BI62" i="13"/>
  <c r="AN136" i="12"/>
  <c r="AN4" i="12" s="1"/>
  <c r="AW63" i="13"/>
  <c r="AW195" i="13"/>
  <c r="BT43" i="13"/>
  <c r="AC139" i="12"/>
  <c r="AC7" i="12"/>
  <c r="AN71" i="12"/>
  <c r="AD73" i="12"/>
  <c r="BL130" i="14"/>
  <c r="BL55" i="13"/>
  <c r="AT70" i="12"/>
  <c r="AW138" i="14"/>
  <c r="AV139" i="14"/>
  <c r="K22" i="15"/>
  <c r="O10" i="12"/>
  <c r="AC17" i="14"/>
  <c r="BT108" i="14"/>
  <c r="AC74" i="12"/>
  <c r="BK135" i="14"/>
  <c r="BK188" i="13"/>
  <c r="BK56" i="13" s="1"/>
  <c r="BU113" i="13"/>
  <c r="BU178" i="13"/>
  <c r="BU46" i="13" s="1"/>
  <c r="BM187" i="13"/>
  <c r="BM122" i="13" s="1"/>
  <c r="AT13" i="14"/>
  <c r="AV64" i="13"/>
  <c r="O131" i="12"/>
  <c r="K26" i="15" s="1"/>
  <c r="T19" i="14"/>
  <c r="BI125" i="14"/>
  <c r="BI128" i="14"/>
  <c r="AO137" i="12"/>
  <c r="AO72" i="12" s="1"/>
  <c r="BI120" i="13"/>
  <c r="BI185" i="13"/>
  <c r="BI53" i="13" s="1"/>
  <c r="BN122" i="13" l="1"/>
  <c r="BN187" i="13"/>
  <c r="BU114" i="13"/>
  <c r="BU179" i="13"/>
  <c r="BU165" i="13"/>
  <c r="BU100" i="13" s="1"/>
  <c r="AO136" i="12"/>
  <c r="AO4" i="12" s="1"/>
  <c r="BJ117" i="13"/>
  <c r="BP51" i="13"/>
  <c r="BU174" i="13"/>
  <c r="BU109" i="13" s="1"/>
  <c r="BK123" i="13"/>
  <c r="K23" i="15"/>
  <c r="Q40" i="4"/>
  <c r="Q43" i="4" s="1"/>
  <c r="K34" i="15"/>
  <c r="BU43" i="13"/>
  <c r="BJ62" i="13"/>
  <c r="BJ194" i="13"/>
  <c r="BJ129" i="13" s="1"/>
  <c r="BJ50" i="13"/>
  <c r="BJ182" i="13"/>
  <c r="BT112" i="13"/>
  <c r="BT177" i="13"/>
  <c r="BT45" i="13" s="1"/>
  <c r="BU110" i="13"/>
  <c r="BU175" i="13"/>
  <c r="Z18" i="14"/>
  <c r="BO126" i="14"/>
  <c r="BP126" i="14" s="1"/>
  <c r="BJ185" i="13"/>
  <c r="BJ128" i="14" s="1"/>
  <c r="AU13" i="14"/>
  <c r="AO15" i="14"/>
  <c r="BJ137" i="14"/>
  <c r="BL121" i="13"/>
  <c r="BL186" i="13"/>
  <c r="BL54" i="13" s="1"/>
  <c r="DX6" i="7"/>
  <c r="BL129" i="14"/>
  <c r="Z140" i="12"/>
  <c r="Z8" i="12"/>
  <c r="BJ125" i="14"/>
  <c r="AW139" i="14"/>
  <c r="AW196" i="13"/>
  <c r="AW64" i="13" s="1"/>
  <c r="AW130" i="13"/>
  <c r="BT122" i="14"/>
  <c r="BU122" i="14" s="1"/>
  <c r="BE190" i="13"/>
  <c r="BE58" i="13" s="1"/>
  <c r="DY7" i="7"/>
  <c r="DZ3" i="7" s="1"/>
  <c r="DY4" i="7"/>
  <c r="DY6" i="7" s="1"/>
  <c r="AN14" i="14"/>
  <c r="BJ49" i="13"/>
  <c r="BJ124" i="14"/>
  <c r="G134" i="11"/>
  <c r="J133" i="11"/>
  <c r="I133" i="11"/>
  <c r="H133" i="11"/>
  <c r="BR52" i="13"/>
  <c r="BT33" i="13"/>
  <c r="BU33" i="13" s="1"/>
  <c r="BK131" i="14"/>
  <c r="BJ116" i="13"/>
  <c r="BL59" i="13"/>
  <c r="AE138" i="12"/>
  <c r="AE6" i="12" s="1"/>
  <c r="P149" i="4"/>
  <c r="M30" i="5" s="1" a="1"/>
  <c r="M30" i="5" s="1"/>
  <c r="M38" i="5" s="1"/>
  <c r="M40" i="5" s="1"/>
  <c r="M50" i="5" s="1"/>
  <c r="O116" i="6" a="1"/>
  <c r="O116" i="6" s="1"/>
  <c r="O121" i="6" s="1"/>
  <c r="Z75" i="12"/>
  <c r="BN189" i="13"/>
  <c r="BN57" i="13" s="1"/>
  <c r="BU121" i="14"/>
  <c r="BL134" i="14"/>
  <c r="B136" i="14"/>
  <c r="C136" i="14" s="1"/>
  <c r="B135" i="13"/>
  <c r="C135" i="13" s="1"/>
  <c r="B135" i="12"/>
  <c r="C135" i="12" s="1"/>
  <c r="BJ53" i="13"/>
  <c r="Q19" i="4"/>
  <c r="K28" i="15"/>
  <c r="BU108" i="14"/>
  <c r="T9" i="12"/>
  <c r="BF136" i="14"/>
  <c r="BF61" i="13"/>
  <c r="BK127" i="13"/>
  <c r="BR119" i="13"/>
  <c r="BT42" i="13"/>
  <c r="BU42" i="13" s="1"/>
  <c r="BP118" i="13"/>
  <c r="BP183" i="13"/>
  <c r="AD139" i="12"/>
  <c r="AD7" i="12"/>
  <c r="BU117" i="14"/>
  <c r="BG193" i="13"/>
  <c r="BG128" i="13" s="1"/>
  <c r="BT108" i="13"/>
  <c r="BT173" i="13"/>
  <c r="AU135" i="12"/>
  <c r="AD17" i="14"/>
  <c r="BM55" i="13"/>
  <c r="BN55" i="13" s="1"/>
  <c r="M36" i="5" a="1"/>
  <c r="M36" i="5" s="1"/>
  <c r="O144" i="6" a="1"/>
  <c r="O144" i="6" s="1"/>
  <c r="AO5" i="12"/>
  <c r="P142" i="12"/>
  <c r="P10" i="12"/>
  <c r="O65" i="12"/>
  <c r="BM130" i="14"/>
  <c r="BN130" i="14" s="1"/>
  <c r="BS116" i="14"/>
  <c r="BT47" i="13"/>
  <c r="BU47" i="13" s="1"/>
  <c r="BT120" i="14"/>
  <c r="BE133" i="14"/>
  <c r="BU118" i="14"/>
  <c r="BS41" i="13"/>
  <c r="BT41" i="13" s="1"/>
  <c r="BH193" i="13" l="1"/>
  <c r="BH128" i="13" s="1"/>
  <c r="P196" i="12"/>
  <c r="P20" i="14"/>
  <c r="P77" i="12"/>
  <c r="BN124" i="13"/>
  <c r="DZ4" i="7"/>
  <c r="DZ6" i="7" s="1"/>
  <c r="DZ7" i="7"/>
  <c r="EA3" i="7" s="1"/>
  <c r="BJ120" i="13"/>
  <c r="K40" i="15"/>
  <c r="K36" i="15"/>
  <c r="K37" i="15" s="1"/>
  <c r="K41" i="15" s="1"/>
  <c r="K35" i="15"/>
  <c r="K42" i="15" s="1"/>
  <c r="BK117" i="13"/>
  <c r="BK182" i="13"/>
  <c r="BK50" i="13" s="1"/>
  <c r="P14" i="6" a="1"/>
  <c r="P14" i="6" s="1"/>
  <c r="P15" i="6" s="1"/>
  <c r="P16" i="6" s="1"/>
  <c r="N11" i="5" a="1"/>
  <c r="N11" i="5" s="1"/>
  <c r="N12" i="5" s="1"/>
  <c r="N13" i="5" s="1"/>
  <c r="Q22" i="4"/>
  <c r="Q20" i="4"/>
  <c r="AU3" i="12"/>
  <c r="BG136" i="14"/>
  <c r="BH136" i="14" s="1"/>
  <c r="AA140" i="12"/>
  <c r="AA8" i="12"/>
  <c r="BU177" i="13"/>
  <c r="BU120" i="14" s="1"/>
  <c r="Q54" i="4"/>
  <c r="BU173" i="13"/>
  <c r="BU41" i="13" s="1"/>
  <c r="BS184" i="13"/>
  <c r="BS127" i="14" s="1"/>
  <c r="BO189" i="13"/>
  <c r="BO57" i="13" s="1"/>
  <c r="BG61" i="13"/>
  <c r="AA75" i="12"/>
  <c r="BL131" i="14"/>
  <c r="AP137" i="12"/>
  <c r="AP72" i="12" s="1"/>
  <c r="U141" i="12"/>
  <c r="U9" i="12" s="1"/>
  <c r="O146" i="6"/>
  <c r="O148" i="6" s="1"/>
  <c r="BE125" i="13"/>
  <c r="AD74" i="12"/>
  <c r="AE139" i="12" s="1"/>
  <c r="K47" i="15"/>
  <c r="K48" i="15"/>
  <c r="Q33" i="4"/>
  <c r="AA18" i="14"/>
  <c r="BL123" i="13"/>
  <c r="BL188" i="13"/>
  <c r="BL56" i="13" s="1"/>
  <c r="BS52" i="13"/>
  <c r="BO187" i="13"/>
  <c r="BO122" i="13" s="1"/>
  <c r="B137" i="14"/>
  <c r="C137" i="14" s="1"/>
  <c r="B136" i="13"/>
  <c r="C136" i="13" s="1"/>
  <c r="B136" i="12"/>
  <c r="C136" i="12" s="1"/>
  <c r="BN132" i="14"/>
  <c r="P170" i="4"/>
  <c r="P172" i="4" s="1"/>
  <c r="P179" i="4" s="1"/>
  <c r="K46" i="15"/>
  <c r="K29" i="15"/>
  <c r="BL192" i="13"/>
  <c r="BL127" i="13" s="1"/>
  <c r="BK181" i="13"/>
  <c r="BK49" i="13" s="1"/>
  <c r="AX195" i="13"/>
  <c r="AW131" i="13"/>
  <c r="AO71" i="12"/>
  <c r="BK194" i="13"/>
  <c r="BK129" i="13" s="1"/>
  <c r="AO14" i="14"/>
  <c r="AU70" i="12"/>
  <c r="BM54" i="13"/>
  <c r="BT116" i="14"/>
  <c r="BU116" i="14" s="1"/>
  <c r="BQ183" i="13"/>
  <c r="BQ126" i="14" s="1"/>
  <c r="BM134" i="14"/>
  <c r="AE16" i="14"/>
  <c r="BK125" i="14"/>
  <c r="Q142" i="12"/>
  <c r="Q10" i="12"/>
  <c r="BM191" i="13"/>
  <c r="BM126" i="13" s="1"/>
  <c r="G135" i="11"/>
  <c r="J134" i="11"/>
  <c r="I134" i="11"/>
  <c r="H134" i="11"/>
  <c r="AE73" i="12"/>
  <c r="BM121" i="13"/>
  <c r="BM186" i="13"/>
  <c r="BM129" i="14" s="1"/>
  <c r="BN129" i="14" l="1"/>
  <c r="BL194" i="13"/>
  <c r="BL129" i="13" s="1"/>
  <c r="BM127" i="13"/>
  <c r="BM192" i="13"/>
  <c r="BL50" i="13"/>
  <c r="BP187" i="13"/>
  <c r="BP122" i="13" s="1"/>
  <c r="AE7" i="12"/>
  <c r="AE17" i="14"/>
  <c r="BI193" i="13"/>
  <c r="BI128" i="13" s="1"/>
  <c r="BK124" i="14"/>
  <c r="O155" i="6" a="1"/>
  <c r="O155" i="6" s="1"/>
  <c r="M44" i="5" a="1"/>
  <c r="M44" i="5" s="1"/>
  <c r="BF190" i="13"/>
  <c r="BS119" i="13"/>
  <c r="BK137" i="14"/>
  <c r="BL137" i="14" s="1"/>
  <c r="BN134" i="14"/>
  <c r="AV70" i="12"/>
  <c r="BQ51" i="13"/>
  <c r="AB140" i="12"/>
  <c r="AB75" i="12" s="1"/>
  <c r="AB8" i="12"/>
  <c r="BN186" i="13"/>
  <c r="BN54" i="13" s="1"/>
  <c r="AB18" i="14"/>
  <c r="B138" i="14"/>
  <c r="C138" i="14" s="1"/>
  <c r="B137" i="13"/>
  <c r="C137" i="13" s="1"/>
  <c r="B137" i="12"/>
  <c r="C137" i="12" s="1"/>
  <c r="BL125" i="14"/>
  <c r="BK62" i="13"/>
  <c r="BL62" i="13" s="1"/>
  <c r="J135" i="11"/>
  <c r="I135" i="11"/>
  <c r="H135" i="11"/>
  <c r="G136" i="11"/>
  <c r="BN126" i="13"/>
  <c r="BN191" i="13"/>
  <c r="BQ118" i="13"/>
  <c r="AX196" i="13"/>
  <c r="AX64" i="13" s="1"/>
  <c r="AX138" i="14"/>
  <c r="AX63" i="13"/>
  <c r="BO130" i="14"/>
  <c r="BP130" i="14" s="1"/>
  <c r="BM188" i="13"/>
  <c r="BM56" i="13" s="1"/>
  <c r="BL117" i="13"/>
  <c r="BL182" i="13"/>
  <c r="EA7" i="7"/>
  <c r="EB3" i="7" s="1"/>
  <c r="EA4" i="7"/>
  <c r="AP136" i="12"/>
  <c r="AP71" i="12" s="1"/>
  <c r="BM59" i="13"/>
  <c r="BN59" i="13" s="1"/>
  <c r="AX130" i="13"/>
  <c r="BO132" i="14"/>
  <c r="BH61" i="13"/>
  <c r="BI61" i="13" s="1"/>
  <c r="BU108" i="13"/>
  <c r="BO55" i="13"/>
  <c r="BP55" i="13" s="1"/>
  <c r="BU45" i="13"/>
  <c r="U76" i="12"/>
  <c r="V141" i="12" s="1"/>
  <c r="V9" i="12" s="1"/>
  <c r="U19" i="14"/>
  <c r="BI136" i="14"/>
  <c r="Q23" i="4"/>
  <c r="Q21" i="4"/>
  <c r="BK116" i="13"/>
  <c r="AF73" i="12"/>
  <c r="N18" i="5" a="1"/>
  <c r="N18" i="5" s="1"/>
  <c r="P23" i="6" a="1"/>
  <c r="P23" i="6" s="1"/>
  <c r="AP5" i="12"/>
  <c r="Q55" i="4"/>
  <c r="Q57" i="4" s="1"/>
  <c r="Q61" i="4"/>
  <c r="Q66" i="4"/>
  <c r="P39" i="6" s="1" a="1"/>
  <c r="P39" i="6" s="1"/>
  <c r="Q64" i="4"/>
  <c r="P37" i="6" s="1" a="1"/>
  <c r="P37" i="6" s="1"/>
  <c r="Q62" i="4"/>
  <c r="P35" i="6" s="1" a="1"/>
  <c r="P35" i="6" s="1"/>
  <c r="Q67" i="4"/>
  <c r="P40" i="6" s="1" a="1"/>
  <c r="P40" i="6" s="1"/>
  <c r="Q68" i="4"/>
  <c r="P41" i="6" s="1" a="1"/>
  <c r="P41" i="6" s="1"/>
  <c r="Q65" i="4"/>
  <c r="P38" i="6" s="1" a="1"/>
  <c r="P38" i="6" s="1"/>
  <c r="Q63" i="4"/>
  <c r="P36" i="6" s="1" a="1"/>
  <c r="P36" i="6" s="1"/>
  <c r="Q56" i="4"/>
  <c r="N21" i="5" a="1"/>
  <c r="N21" i="5" s="1"/>
  <c r="P27" i="6" a="1"/>
  <c r="P27" i="6" s="1"/>
  <c r="AV135" i="12"/>
  <c r="AV3" i="12"/>
  <c r="BO124" i="13"/>
  <c r="AF138" i="12"/>
  <c r="Q77" i="12"/>
  <c r="P131" i="12"/>
  <c r="L26" i="15" s="1"/>
  <c r="R19" i="4" s="1"/>
  <c r="AP14" i="14"/>
  <c r="BL135" i="14"/>
  <c r="BM135" i="14" s="1"/>
  <c r="BL60" i="13"/>
  <c r="BM60" i="13" s="1"/>
  <c r="BU112" i="13"/>
  <c r="Q20" i="14"/>
  <c r="P74" i="14"/>
  <c r="P4" i="14" s="1"/>
  <c r="AE74" i="12"/>
  <c r="AP15" i="14"/>
  <c r="BK185" i="13"/>
  <c r="L31" i="15"/>
  <c r="R42" i="4" s="1"/>
  <c r="P64" i="12"/>
  <c r="L27" i="15" s="1"/>
  <c r="W141" i="12" l="1"/>
  <c r="W9" i="12"/>
  <c r="AC75" i="12"/>
  <c r="BM194" i="13"/>
  <c r="BM129" i="13" s="1"/>
  <c r="C138" i="12"/>
  <c r="BJ128" i="13"/>
  <c r="BJ193" i="13"/>
  <c r="L28" i="15"/>
  <c r="R41" i="4"/>
  <c r="Q24" i="4"/>
  <c r="Q25" i="4"/>
  <c r="BK128" i="14"/>
  <c r="BK53" i="13"/>
  <c r="BK120" i="13"/>
  <c r="AF139" i="12"/>
  <c r="AF74" i="12" s="1"/>
  <c r="AF7" i="12"/>
  <c r="BN192" i="13"/>
  <c r="BN127" i="13" s="1"/>
  <c r="R77" i="12"/>
  <c r="BT184" i="13"/>
  <c r="EA6" i="7"/>
  <c r="AY138" i="14"/>
  <c r="AX139" i="14"/>
  <c r="N23" i="5" a="1"/>
  <c r="N23" i="5" s="1"/>
  <c r="P29" i="6" a="1"/>
  <c r="P29" i="6" s="1"/>
  <c r="P34" i="6" a="1"/>
  <c r="P34" i="6" s="1"/>
  <c r="P42" i="6" s="1"/>
  <c r="Q69" i="4"/>
  <c r="BQ187" i="13"/>
  <c r="BQ55" i="13" s="1"/>
  <c r="EB4" i="7"/>
  <c r="EB6" i="7" s="1"/>
  <c r="EB7" i="7"/>
  <c r="EC3" i="7" s="1"/>
  <c r="BM131" i="14"/>
  <c r="AF6" i="12"/>
  <c r="BL181" i="13"/>
  <c r="BL49" i="13" s="1"/>
  <c r="BR118" i="13"/>
  <c r="BR183" i="13"/>
  <c r="BR126" i="14" s="1"/>
  <c r="AF16" i="14"/>
  <c r="BN121" i="13"/>
  <c r="R142" i="12"/>
  <c r="R10" i="12" s="1"/>
  <c r="BN135" i="14"/>
  <c r="BP124" i="13"/>
  <c r="BP189" i="13"/>
  <c r="BP57" i="13" s="1"/>
  <c r="P28" i="6" a="1"/>
  <c r="P28" i="6" s="1"/>
  <c r="P30" i="6" s="1"/>
  <c r="N22" i="5" a="1"/>
  <c r="N22" i="5" s="1"/>
  <c r="N24" i="5" s="1"/>
  <c r="Q49" i="4"/>
  <c r="BJ61" i="13"/>
  <c r="BM182" i="13"/>
  <c r="BM50" i="13" s="1"/>
  <c r="BM62" i="13"/>
  <c r="BF58" i="13"/>
  <c r="BF133" i="14"/>
  <c r="P6" i="14"/>
  <c r="R15" i="4" s="1"/>
  <c r="R22" i="4" s="1"/>
  <c r="P5" i="14"/>
  <c r="AW135" i="12"/>
  <c r="AW70" i="12" s="1"/>
  <c r="AW3" i="12"/>
  <c r="BM125" i="14"/>
  <c r="BF125" i="13"/>
  <c r="BO191" i="13"/>
  <c r="BO126" i="13" s="1"/>
  <c r="AC140" i="12"/>
  <c r="AC18" i="14" s="1"/>
  <c r="AC8" i="12"/>
  <c r="R20" i="14"/>
  <c r="AV13" i="14"/>
  <c r="AQ137" i="12"/>
  <c r="AQ72" i="12" s="1"/>
  <c r="AQ5" i="12"/>
  <c r="BJ136" i="14"/>
  <c r="AY130" i="13"/>
  <c r="AY195" i="13"/>
  <c r="AY196" i="13" s="1"/>
  <c r="AX131" i="13"/>
  <c r="BM123" i="13"/>
  <c r="G137" i="11"/>
  <c r="J136" i="11"/>
  <c r="I136" i="11"/>
  <c r="H136" i="11"/>
  <c r="V19" i="14"/>
  <c r="Q14" i="6" a="1"/>
  <c r="Q14" i="6" s="1"/>
  <c r="O11" i="5" a="1"/>
  <c r="O11" i="5" s="1"/>
  <c r="BQ130" i="14"/>
  <c r="B139" i="14"/>
  <c r="C139" i="14" s="1"/>
  <c r="B138" i="13"/>
  <c r="C138" i="13" s="1"/>
  <c r="B138" i="12"/>
  <c r="V76" i="12"/>
  <c r="AP4" i="12"/>
  <c r="AY63" i="13"/>
  <c r="BP191" i="13" l="1"/>
  <c r="BP126" i="13" s="1"/>
  <c r="C139" i="13"/>
  <c r="BN129" i="13"/>
  <c r="BN194" i="13"/>
  <c r="BO127" i="13"/>
  <c r="BO192" i="13"/>
  <c r="EC7" i="7"/>
  <c r="ED3" i="7" s="1"/>
  <c r="EC4" i="7"/>
  <c r="EC6" i="7" s="1"/>
  <c r="AX135" i="12"/>
  <c r="AF17" i="14"/>
  <c r="AG17" i="14" s="1"/>
  <c r="AZ195" i="13"/>
  <c r="AZ196" i="13" s="1"/>
  <c r="AY131" i="13"/>
  <c r="BO134" i="14"/>
  <c r="BP134" i="14" s="1"/>
  <c r="B140" i="14"/>
  <c r="C140" i="14" s="1"/>
  <c r="B139" i="13"/>
  <c r="B139" i="12"/>
  <c r="BT52" i="13"/>
  <c r="BT127" i="14"/>
  <c r="AG139" i="12"/>
  <c r="AG74" i="12" s="1"/>
  <c r="AG7" i="12"/>
  <c r="AR137" i="12"/>
  <c r="AR5" i="12"/>
  <c r="AD140" i="12"/>
  <c r="AD18" i="14" s="1"/>
  <c r="C139" i="12"/>
  <c r="AR72" i="12"/>
  <c r="BQ124" i="13"/>
  <c r="BQ189" i="13"/>
  <c r="BQ57" i="13" s="1"/>
  <c r="BL124" i="14"/>
  <c r="W76" i="12"/>
  <c r="BO59" i="13"/>
  <c r="BP59" i="13" s="1"/>
  <c r="H137" i="11"/>
  <c r="G138" i="11"/>
  <c r="J137" i="11"/>
  <c r="I137" i="11"/>
  <c r="AW13" i="14"/>
  <c r="BM117" i="13"/>
  <c r="BO135" i="14"/>
  <c r="BL116" i="13"/>
  <c r="BM137" i="14"/>
  <c r="BN137" i="14" s="1"/>
  <c r="BQ122" i="13"/>
  <c r="S142" i="12"/>
  <c r="S77" i="12" s="1"/>
  <c r="S10" i="12"/>
  <c r="AG138" i="12"/>
  <c r="AG6" i="12" s="1"/>
  <c r="AZ138" i="14"/>
  <c r="AY139" i="14"/>
  <c r="BT119" i="13"/>
  <c r="BS183" i="13"/>
  <c r="BS118" i="13" s="1"/>
  <c r="AQ136" i="12"/>
  <c r="AQ4" i="12"/>
  <c r="BN62" i="13"/>
  <c r="Q26" i="4"/>
  <c r="N15" i="5" a="1"/>
  <c r="N15" i="5" s="1"/>
  <c r="N16" i="5" s="1"/>
  <c r="P18" i="6" a="1"/>
  <c r="P18" i="6" s="1"/>
  <c r="P19" i="6" s="1"/>
  <c r="Q34" i="4"/>
  <c r="BN188" i="13"/>
  <c r="BN56" i="13" s="1"/>
  <c r="BK193" i="13"/>
  <c r="BK61" i="13" s="1"/>
  <c r="P3" i="14"/>
  <c r="P21" i="14" s="1"/>
  <c r="R14" i="4"/>
  <c r="R18" i="4" s="1"/>
  <c r="BP132" i="14"/>
  <c r="BQ132" i="14" s="1"/>
  <c r="Q72" i="4"/>
  <c r="Q50" i="4"/>
  <c r="BO186" i="13"/>
  <c r="AQ15" i="14"/>
  <c r="AR15" i="14" s="1"/>
  <c r="BR51" i="13"/>
  <c r="W19" i="14"/>
  <c r="AY64" i="13"/>
  <c r="BG190" i="13"/>
  <c r="BG125" i="13" s="1"/>
  <c r="AG16" i="14"/>
  <c r="BN60" i="13"/>
  <c r="BO60" i="13" s="1"/>
  <c r="BL185" i="13"/>
  <c r="BL128" i="14" s="1"/>
  <c r="BT183" i="13" l="1"/>
  <c r="BT118" i="13" s="1"/>
  <c r="BH190" i="13"/>
  <c r="BH125" i="13" s="1"/>
  <c r="T77" i="12"/>
  <c r="BQ191" i="13"/>
  <c r="BQ59" i="13" s="1"/>
  <c r="AD8" i="12"/>
  <c r="BS126" i="14"/>
  <c r="BP192" i="13"/>
  <c r="BP127" i="13" s="1"/>
  <c r="BO129" i="13"/>
  <c r="BO194" i="13"/>
  <c r="BO137" i="14" s="1"/>
  <c r="X19" i="14"/>
  <c r="BN123" i="13"/>
  <c r="AZ139" i="14"/>
  <c r="BM116" i="13"/>
  <c r="BM181" i="13"/>
  <c r="BM49" i="13" s="1"/>
  <c r="BP135" i="14"/>
  <c r="J138" i="11"/>
  <c r="I138" i="11"/>
  <c r="H138" i="11"/>
  <c r="G139" i="11"/>
  <c r="AS137" i="12"/>
  <c r="AS72" i="12" s="1"/>
  <c r="S20" i="14"/>
  <c r="BR189" i="13"/>
  <c r="BR57" i="13" s="1"/>
  <c r="BG133" i="14"/>
  <c r="BS51" i="13"/>
  <c r="BT51" i="13" s="1"/>
  <c r="K50" i="15"/>
  <c r="P24" i="6" a="1"/>
  <c r="P24" i="6" s="1"/>
  <c r="N19" i="5" a="1"/>
  <c r="N19" i="5" s="1"/>
  <c r="AQ14" i="14"/>
  <c r="AQ71" i="12"/>
  <c r="AR136" i="12" s="1"/>
  <c r="BL120" i="13"/>
  <c r="AD75" i="12"/>
  <c r="BL53" i="13"/>
  <c r="BN182" i="13"/>
  <c r="B141" i="14"/>
  <c r="C141" i="14" s="1"/>
  <c r="B140" i="13"/>
  <c r="C140" i="13" s="1"/>
  <c r="B140" i="12"/>
  <c r="ED4" i="7"/>
  <c r="ED6" i="7" s="1"/>
  <c r="ED7" i="7"/>
  <c r="EE3" i="7" s="1"/>
  <c r="BP60" i="13"/>
  <c r="L17" i="15"/>
  <c r="R20" i="4"/>
  <c r="R147" i="4"/>
  <c r="R60" i="4"/>
  <c r="R74" i="4"/>
  <c r="Q48" i="6" s="1" a="1"/>
  <c r="Q48" i="6" s="1"/>
  <c r="Q13" i="6" a="1"/>
  <c r="Q13" i="6" s="1"/>
  <c r="Q15" i="6" s="1"/>
  <c r="Q16" i="6" s="1"/>
  <c r="O10" i="5" a="1"/>
  <c r="O10" i="5" s="1"/>
  <c r="O12" i="5" s="1"/>
  <c r="O13" i="5" s="1"/>
  <c r="AG73" i="12"/>
  <c r="C140" i="12"/>
  <c r="X141" i="12"/>
  <c r="X9" i="12" s="1"/>
  <c r="AZ63" i="13"/>
  <c r="AZ130" i="13"/>
  <c r="BK128" i="13"/>
  <c r="AX70" i="12"/>
  <c r="BO129" i="14"/>
  <c r="BO54" i="13"/>
  <c r="T142" i="12"/>
  <c r="T10" i="12"/>
  <c r="BO121" i="13"/>
  <c r="AX13" i="14"/>
  <c r="BM124" i="14"/>
  <c r="AH139" i="12"/>
  <c r="AH7" i="12" s="1"/>
  <c r="BG58" i="13"/>
  <c r="Q77" i="4"/>
  <c r="P45" i="6" a="1"/>
  <c r="P45" i="6" s="1"/>
  <c r="P51" i="6" s="1"/>
  <c r="P53" i="6" s="1"/>
  <c r="BK136" i="14"/>
  <c r="BO62" i="13"/>
  <c r="BU184" i="13"/>
  <c r="BU52" i="13" s="1"/>
  <c r="BR187" i="13"/>
  <c r="BR122" i="13" s="1"/>
  <c r="BN131" i="14"/>
  <c r="AX3" i="12"/>
  <c r="BI125" i="13" l="1"/>
  <c r="BI190" i="13"/>
  <c r="BU118" i="13"/>
  <c r="BQ192" i="13"/>
  <c r="BQ60" i="13" s="1"/>
  <c r="AR4" i="12"/>
  <c r="BS122" i="13"/>
  <c r="BS187" i="13"/>
  <c r="BL193" i="13"/>
  <c r="BL61" i="13" s="1"/>
  <c r="P78" i="12"/>
  <c r="L21" i="15"/>
  <c r="BA63" i="13"/>
  <c r="BR124" i="13"/>
  <c r="BQ126" i="13"/>
  <c r="Q80" i="4"/>
  <c r="Q79" i="4"/>
  <c r="N25" i="5" s="1" a="1"/>
  <c r="N25" i="5" s="1"/>
  <c r="N26" i="5" s="1"/>
  <c r="BA195" i="13"/>
  <c r="AZ131" i="13"/>
  <c r="BN125" i="14"/>
  <c r="BN50" i="13"/>
  <c r="AR14" i="14"/>
  <c r="BP194" i="13"/>
  <c r="BP129" i="13" s="1"/>
  <c r="BU119" i="13"/>
  <c r="BH58" i="13"/>
  <c r="BI58" i="13" s="1"/>
  <c r="BP186" i="13"/>
  <c r="BP129" i="14" s="1"/>
  <c r="BN117" i="13"/>
  <c r="AH17" i="14"/>
  <c r="U142" i="12"/>
  <c r="U10" i="12" s="1"/>
  <c r="EE7" i="7"/>
  <c r="EF3" i="7" s="1"/>
  <c r="EE4" i="7"/>
  <c r="EE6" i="7" s="1"/>
  <c r="BQ135" i="14"/>
  <c r="AY135" i="12"/>
  <c r="BL136" i="14"/>
  <c r="BQ134" i="14"/>
  <c r="X76" i="12"/>
  <c r="Y141" i="12" s="1"/>
  <c r="AE75" i="12"/>
  <c r="T20" i="14"/>
  <c r="BO123" i="13"/>
  <c r="BO188" i="13"/>
  <c r="BO56" i="13" s="1"/>
  <c r="AH74" i="12"/>
  <c r="BP54" i="13"/>
  <c r="AZ64" i="13"/>
  <c r="Q33" i="6" a="1"/>
  <c r="Q33" i="6" s="1"/>
  <c r="AS15" i="14"/>
  <c r="AS5" i="12"/>
  <c r="BR132" i="14"/>
  <c r="BT126" i="14"/>
  <c r="BU126" i="14" s="1"/>
  <c r="C141" i="12"/>
  <c r="BM185" i="13"/>
  <c r="BM128" i="14" s="1"/>
  <c r="BU51" i="13"/>
  <c r="BU183" i="13"/>
  <c r="BN181" i="13"/>
  <c r="BN49" i="13" s="1"/>
  <c r="BU127" i="14"/>
  <c r="BR55" i="13"/>
  <c r="BS55" i="13" s="1"/>
  <c r="BR130" i="14"/>
  <c r="BS130" i="14" s="1"/>
  <c r="BN124" i="14"/>
  <c r="R21" i="4"/>
  <c r="R23" i="4"/>
  <c r="BH133" i="14"/>
  <c r="BI133" i="14" s="1"/>
  <c r="G140" i="11"/>
  <c r="J139" i="11"/>
  <c r="I139" i="11"/>
  <c r="H139" i="11"/>
  <c r="AE140" i="12"/>
  <c r="AE18" i="14" s="1"/>
  <c r="AE8" i="12"/>
  <c r="AR71" i="12"/>
  <c r="B142" i="14"/>
  <c r="C142" i="14" s="1"/>
  <c r="B141" i="13"/>
  <c r="C141" i="13" s="1"/>
  <c r="B141" i="12"/>
  <c r="AH138" i="12"/>
  <c r="BQ194" i="13" l="1"/>
  <c r="BQ129" i="13" s="1"/>
  <c r="Y19" i="14"/>
  <c r="Y9" i="12"/>
  <c r="BP56" i="13"/>
  <c r="BP188" i="13"/>
  <c r="Q142" i="4"/>
  <c r="P117" i="6" s="1" a="1"/>
  <c r="P117" i="6" s="1"/>
  <c r="Q167" i="4"/>
  <c r="Q141" i="4"/>
  <c r="AY13" i="14"/>
  <c r="AT15" i="14"/>
  <c r="BP123" i="13"/>
  <c r="BP121" i="13"/>
  <c r="BO50" i="13"/>
  <c r="R25" i="4"/>
  <c r="R24" i="4"/>
  <c r="BT55" i="13"/>
  <c r="BM120" i="13"/>
  <c r="U20" i="14"/>
  <c r="U77" i="12"/>
  <c r="V142" i="12" s="1"/>
  <c r="V10" i="12" s="1"/>
  <c r="BO125" i="14"/>
  <c r="L22" i="15"/>
  <c r="P11" i="12"/>
  <c r="BQ127" i="13"/>
  <c r="Y76" i="12"/>
  <c r="BM53" i="13"/>
  <c r="BA196" i="13"/>
  <c r="BA64" i="13" s="1"/>
  <c r="BA138" i="14"/>
  <c r="BR191" i="13"/>
  <c r="BR59" i="13" s="1"/>
  <c r="AS136" i="12"/>
  <c r="BP137" i="14"/>
  <c r="BQ137" i="14" s="1"/>
  <c r="I140" i="11"/>
  <c r="H140" i="11"/>
  <c r="G141" i="11"/>
  <c r="J140" i="11"/>
  <c r="AT137" i="12"/>
  <c r="AT72" i="12" s="1"/>
  <c r="AT5" i="12"/>
  <c r="BT130" i="14"/>
  <c r="AH6" i="12"/>
  <c r="AH16" i="14"/>
  <c r="AF140" i="12"/>
  <c r="AF8" i="12"/>
  <c r="R49" i="4"/>
  <c r="C142" i="12"/>
  <c r="AF75" i="12"/>
  <c r="AH73" i="12"/>
  <c r="BT187" i="13"/>
  <c r="BT122" i="13" s="1"/>
  <c r="BP62" i="13"/>
  <c r="BQ62" i="13" s="1"/>
  <c r="BA130" i="13"/>
  <c r="BS189" i="13"/>
  <c r="BS57" i="13" s="1"/>
  <c r="BL128" i="13"/>
  <c r="BN116" i="13"/>
  <c r="BO131" i="14"/>
  <c r="BP131" i="14" s="1"/>
  <c r="EF7" i="7"/>
  <c r="EG3" i="7" s="1"/>
  <c r="EF4" i="7"/>
  <c r="EF6" i="7" s="1"/>
  <c r="BO117" i="13"/>
  <c r="BO182" i="13"/>
  <c r="BJ190" i="13"/>
  <c r="BJ133" i="14" s="1"/>
  <c r="AF18" i="14"/>
  <c r="B143" i="14"/>
  <c r="C143" i="14" s="1"/>
  <c r="B142" i="13"/>
  <c r="C142" i="13" s="1"/>
  <c r="B142" i="12"/>
  <c r="AY70" i="12"/>
  <c r="BR134" i="14"/>
  <c r="AI74" i="12"/>
  <c r="AY3" i="12"/>
  <c r="AI139" i="12"/>
  <c r="AI7" i="12" s="1"/>
  <c r="BU187" i="13" l="1"/>
  <c r="BU130" i="14" s="1"/>
  <c r="C143" i="13"/>
  <c r="C144" i="14"/>
  <c r="W142" i="12"/>
  <c r="W10" i="12"/>
  <c r="BR129" i="13"/>
  <c r="BR194" i="13"/>
  <c r="Z76" i="12"/>
  <c r="BQ188" i="13"/>
  <c r="BQ131" i="14" s="1"/>
  <c r="AI138" i="12"/>
  <c r="BR192" i="13"/>
  <c r="BN185" i="13"/>
  <c r="BN128" i="14" s="1"/>
  <c r="AU15" i="14"/>
  <c r="AS14" i="14"/>
  <c r="B144" i="14"/>
  <c r="B143" i="13"/>
  <c r="B143" i="12"/>
  <c r="BR126" i="13"/>
  <c r="L23" i="15"/>
  <c r="R40" i="4"/>
  <c r="R43" i="4" s="1"/>
  <c r="L34" i="15"/>
  <c r="AZ70" i="12"/>
  <c r="BJ125" i="13"/>
  <c r="BO116" i="13"/>
  <c r="BO181" i="13"/>
  <c r="AJ139" i="12"/>
  <c r="AJ7" i="12"/>
  <c r="Q149" i="4"/>
  <c r="N30" i="5" s="1" a="1"/>
  <c r="N30" i="5" s="1"/>
  <c r="P116" i="6" a="1"/>
  <c r="P116" i="6" s="1"/>
  <c r="P121" i="6" s="1"/>
  <c r="P146" i="6" s="1"/>
  <c r="P148" i="6" s="1"/>
  <c r="AJ74" i="12"/>
  <c r="EG7" i="7"/>
  <c r="EH3" i="7" s="1"/>
  <c r="EG4" i="7"/>
  <c r="EG6" i="7" s="1"/>
  <c r="BR62" i="13"/>
  <c r="AG75" i="12"/>
  <c r="C143" i="12"/>
  <c r="G142" i="11"/>
  <c r="J141" i="11"/>
  <c r="I141" i="11"/>
  <c r="H141" i="11"/>
  <c r="Q143" i="12"/>
  <c r="Q11" i="12"/>
  <c r="P65" i="12"/>
  <c r="BU55" i="13"/>
  <c r="R50" i="4"/>
  <c r="R72" i="4"/>
  <c r="BA139" i="14"/>
  <c r="BM193" i="13"/>
  <c r="AS71" i="12"/>
  <c r="BR137" i="14"/>
  <c r="BJ58" i="13"/>
  <c r="R26" i="4"/>
  <c r="O15" i="5" a="1"/>
  <c r="O15" i="5" s="1"/>
  <c r="O16" i="5" s="1"/>
  <c r="Q18" i="6" a="1"/>
  <c r="Q18" i="6" s="1"/>
  <c r="Q19" i="6" s="1"/>
  <c r="Q170" i="4"/>
  <c r="Q172" i="4" s="1"/>
  <c r="Q179" i="4" s="1"/>
  <c r="N36" i="5" a="1"/>
  <c r="N36" i="5" s="1"/>
  <c r="P144" i="6" a="1"/>
  <c r="P144" i="6" s="1"/>
  <c r="Z141" i="12"/>
  <c r="Z9" i="12"/>
  <c r="BB195" i="13"/>
  <c r="BA131" i="13"/>
  <c r="BS132" i="14"/>
  <c r="BP117" i="13"/>
  <c r="BP182" i="13"/>
  <c r="BP50" i="13" s="1"/>
  <c r="AG140" i="12"/>
  <c r="AG8" i="12"/>
  <c r="AU137" i="12"/>
  <c r="AU72" i="12" s="1"/>
  <c r="AU5" i="12"/>
  <c r="AI17" i="14"/>
  <c r="AJ17" i="14" s="1"/>
  <c r="Z19" i="14"/>
  <c r="V77" i="12"/>
  <c r="AZ135" i="12"/>
  <c r="AZ3" i="12"/>
  <c r="AG18" i="14"/>
  <c r="BS124" i="13"/>
  <c r="AI73" i="12"/>
  <c r="AS4" i="12"/>
  <c r="V20" i="14"/>
  <c r="W20" i="14" s="1"/>
  <c r="BQ186" i="13"/>
  <c r="AV72" i="12" l="1"/>
  <c r="BQ182" i="13"/>
  <c r="BQ50" i="13" s="1"/>
  <c r="BK190" i="13"/>
  <c r="BK133" i="14" s="1"/>
  <c r="L47" i="15"/>
  <c r="R33" i="4"/>
  <c r="BS137" i="14"/>
  <c r="EH4" i="7"/>
  <c r="EH7" i="7"/>
  <c r="EI3" i="7" s="1"/>
  <c r="BP181" i="13"/>
  <c r="BP116" i="13" s="1"/>
  <c r="L40" i="15"/>
  <c r="L35" i="15"/>
  <c r="L42" i="15" s="1"/>
  <c r="L36" i="15"/>
  <c r="L37" i="15"/>
  <c r="L41" i="15" s="1"/>
  <c r="BS194" i="13"/>
  <c r="BS62" i="13" s="1"/>
  <c r="BQ129" i="14"/>
  <c r="BQ54" i="13"/>
  <c r="AV15" i="14"/>
  <c r="BQ121" i="13"/>
  <c r="AH18" i="14"/>
  <c r="N44" i="5" a="1"/>
  <c r="N44" i="5" s="1"/>
  <c r="P155" i="6" a="1"/>
  <c r="P155" i="6" s="1"/>
  <c r="BM136" i="14"/>
  <c r="BM61" i="13"/>
  <c r="BA135" i="12"/>
  <c r="BA3" i="12" s="1"/>
  <c r="AV137" i="12"/>
  <c r="AV5" i="12"/>
  <c r="BM128" i="13"/>
  <c r="N38" i="5"/>
  <c r="N40" i="5" s="1"/>
  <c r="N50" i="5" s="1"/>
  <c r="BS126" i="13"/>
  <c r="BS191" i="13"/>
  <c r="BN120" i="13"/>
  <c r="C145" i="14"/>
  <c r="BN53" i="13"/>
  <c r="BB196" i="13"/>
  <c r="BB63" i="13"/>
  <c r="BQ56" i="13"/>
  <c r="Q196" i="12"/>
  <c r="Q21" i="14"/>
  <c r="Q78" i="12"/>
  <c r="BP125" i="14"/>
  <c r="BQ125" i="14" s="1"/>
  <c r="BR135" i="14"/>
  <c r="BR60" i="13"/>
  <c r="BB130" i="13"/>
  <c r="BT124" i="13"/>
  <c r="BT189" i="13"/>
  <c r="BT57" i="13" s="1"/>
  <c r="G143" i="11"/>
  <c r="J142" i="11"/>
  <c r="I142" i="11"/>
  <c r="H142" i="11"/>
  <c r="R54" i="4"/>
  <c r="BQ123" i="13"/>
  <c r="R143" i="12"/>
  <c r="R11" i="12"/>
  <c r="AA76" i="12"/>
  <c r="AT136" i="12"/>
  <c r="AT4" i="12" s="1"/>
  <c r="AK139" i="12"/>
  <c r="AK74" i="12" s="1"/>
  <c r="AK7" i="12"/>
  <c r="BR127" i="13"/>
  <c r="B145" i="14"/>
  <c r="B144" i="13"/>
  <c r="C144" i="13" s="1"/>
  <c r="B144" i="12"/>
  <c r="C144" i="12" s="1"/>
  <c r="AH140" i="12"/>
  <c r="AH8" i="12"/>
  <c r="AA141" i="12"/>
  <c r="AA19" i="14" s="1"/>
  <c r="AA9" i="12"/>
  <c r="BK58" i="13"/>
  <c r="BB138" i="14"/>
  <c r="AZ13" i="14"/>
  <c r="AI16" i="14"/>
  <c r="BU122" i="13"/>
  <c r="W77" i="12"/>
  <c r="R77" i="4"/>
  <c r="Q45" i="6" a="1"/>
  <c r="Q45" i="6" s="1"/>
  <c r="Q51" i="6" s="1"/>
  <c r="BO49" i="13"/>
  <c r="BO124" i="14"/>
  <c r="BP124" i="14" s="1"/>
  <c r="AI6" i="12"/>
  <c r="C145" i="12" l="1"/>
  <c r="BQ181" i="13"/>
  <c r="BQ116" i="13" s="1"/>
  <c r="B146" i="14"/>
  <c r="C146" i="14" s="1"/>
  <c r="B145" i="13"/>
  <c r="C145" i="13" s="1"/>
  <c r="B145" i="12"/>
  <c r="BA70" i="12"/>
  <c r="BB64" i="13"/>
  <c r="BS192" i="13"/>
  <c r="BS127" i="13" s="1"/>
  <c r="BR121" i="13"/>
  <c r="BS60" i="13"/>
  <c r="AB141" i="12"/>
  <c r="AB9" i="12" s="1"/>
  <c r="BR129" i="14"/>
  <c r="AL139" i="12"/>
  <c r="AL74" i="12" s="1"/>
  <c r="AL7" i="12"/>
  <c r="BR188" i="13"/>
  <c r="BR131" i="14" s="1"/>
  <c r="J143" i="11"/>
  <c r="I143" i="11"/>
  <c r="H143" i="11"/>
  <c r="G144" i="11"/>
  <c r="BS129" i="13"/>
  <c r="AT71" i="12"/>
  <c r="AU136" i="12" s="1"/>
  <c r="BN193" i="13"/>
  <c r="BN136" i="14" s="1"/>
  <c r="AJ138" i="12"/>
  <c r="AJ16" i="14" s="1"/>
  <c r="AJ6" i="12"/>
  <c r="R78" i="12"/>
  <c r="S143" i="12" s="1"/>
  <c r="S11" i="12" s="1"/>
  <c r="Q131" i="12"/>
  <c r="M26" i="15" s="1"/>
  <c r="S19" i="4" s="1"/>
  <c r="BN61" i="13"/>
  <c r="X142" i="12"/>
  <c r="L29" i="15"/>
  <c r="L46" i="15"/>
  <c r="Q23" i="6" a="1"/>
  <c r="Q23" i="6" s="1"/>
  <c r="O18" i="5" a="1"/>
  <c r="O18" i="5" s="1"/>
  <c r="BQ124" i="14"/>
  <c r="BA13" i="14"/>
  <c r="AK17" i="14"/>
  <c r="AL17" i="14" s="1"/>
  <c r="BU189" i="13"/>
  <c r="BU57" i="13" s="1"/>
  <c r="R21" i="14"/>
  <c r="Q74" i="14"/>
  <c r="Q4" i="14" s="1"/>
  <c r="BO185" i="13"/>
  <c r="BO128" i="14" s="1"/>
  <c r="AW137" i="12"/>
  <c r="AW5" i="12"/>
  <c r="AW15" i="14"/>
  <c r="L48" i="15"/>
  <c r="BQ117" i="13"/>
  <c r="BP49" i="13"/>
  <c r="AH75" i="12"/>
  <c r="R34" i="4"/>
  <c r="R55" i="4"/>
  <c r="R65" i="4"/>
  <c r="Q38" i="6" s="1" a="1"/>
  <c r="Q38" i="6" s="1"/>
  <c r="R61" i="4"/>
  <c r="R66" i="4"/>
  <c r="Q39" i="6" s="1" a="1"/>
  <c r="Q39" i="6" s="1"/>
  <c r="R68" i="4"/>
  <c r="Q41" i="6" s="1" a="1"/>
  <c r="Q41" i="6" s="1"/>
  <c r="R64" i="4"/>
  <c r="Q37" i="6" s="1" a="1"/>
  <c r="Q37" i="6" s="1"/>
  <c r="R67" i="4"/>
  <c r="Q40" i="6" s="1" a="1"/>
  <c r="Q40" i="6" s="1"/>
  <c r="R63" i="4"/>
  <c r="Q36" i="6" s="1" a="1"/>
  <c r="Q36" i="6" s="1"/>
  <c r="R62" i="4"/>
  <c r="Q35" i="6" s="1" a="1"/>
  <c r="Q35" i="6" s="1"/>
  <c r="R56" i="4"/>
  <c r="Q27" i="6" a="1"/>
  <c r="Q27" i="6" s="1"/>
  <c r="O21" i="5" a="1"/>
  <c r="O21" i="5" s="1"/>
  <c r="BC195" i="13"/>
  <c r="BC196" i="13" s="1"/>
  <c r="BB131" i="13"/>
  <c r="M31" i="15"/>
  <c r="S42" i="4" s="1"/>
  <c r="Q64" i="12"/>
  <c r="M27" i="15" s="1"/>
  <c r="BS134" i="14"/>
  <c r="BT134" i="14" s="1"/>
  <c r="BS59" i="13"/>
  <c r="BT59" i="13" s="1"/>
  <c r="BS135" i="14"/>
  <c r="BB139" i="14"/>
  <c r="BR56" i="13"/>
  <c r="BT126" i="13"/>
  <c r="BT191" i="13"/>
  <c r="AT14" i="14"/>
  <c r="EI7" i="7"/>
  <c r="EJ3" i="7" s="1"/>
  <c r="EI4" i="7"/>
  <c r="EI6" i="7" s="1"/>
  <c r="BT132" i="14"/>
  <c r="BU132" i="14" s="1"/>
  <c r="BR54" i="13"/>
  <c r="BR186" i="13"/>
  <c r="EH6" i="7"/>
  <c r="BK125" i="13"/>
  <c r="AW72" i="12"/>
  <c r="BR116" i="13" l="1"/>
  <c r="BR181" i="13"/>
  <c r="BT127" i="13"/>
  <c r="BT192" i="13"/>
  <c r="AU4" i="12"/>
  <c r="AC141" i="12"/>
  <c r="AC9" i="12"/>
  <c r="Q28" i="6" a="1"/>
  <c r="Q28" i="6" s="1"/>
  <c r="O22" i="5" a="1"/>
  <c r="O22" i="5" s="1"/>
  <c r="AX137" i="12"/>
  <c r="AX5" i="12"/>
  <c r="L50" i="15"/>
  <c r="O19" i="5" a="1"/>
  <c r="O19" i="5" s="1"/>
  <c r="Q24" i="6" a="1"/>
  <c r="Q24" i="6" s="1"/>
  <c r="BN128" i="13"/>
  <c r="BT60" i="13"/>
  <c r="BL190" i="13"/>
  <c r="BC138" i="14"/>
  <c r="EJ4" i="7"/>
  <c r="EJ6" i="7" s="1"/>
  <c r="EJ7" i="7"/>
  <c r="EK3" i="7" s="1"/>
  <c r="BB70" i="12"/>
  <c r="AI75" i="12"/>
  <c r="X10" i="12"/>
  <c r="X20" i="14"/>
  <c r="AI140" i="12"/>
  <c r="AU71" i="12"/>
  <c r="BS121" i="13"/>
  <c r="BS186" i="13"/>
  <c r="AU14" i="14"/>
  <c r="BT135" i="14"/>
  <c r="BC130" i="13"/>
  <c r="BQ49" i="13"/>
  <c r="BR49" i="13" s="1"/>
  <c r="BO120" i="13"/>
  <c r="BT194" i="13"/>
  <c r="BR123" i="13"/>
  <c r="BC63" i="13"/>
  <c r="AB76" i="12"/>
  <c r="BR182" i="13"/>
  <c r="Q6" i="14"/>
  <c r="S15" i="4" s="1"/>
  <c r="S22" i="4" s="1"/>
  <c r="Q5" i="14"/>
  <c r="BO53" i="13"/>
  <c r="AM139" i="12"/>
  <c r="AM7" i="12" s="1"/>
  <c r="BB135" i="12"/>
  <c r="AX72" i="12"/>
  <c r="BS54" i="13"/>
  <c r="BU191" i="13"/>
  <c r="BU134" i="14" s="1"/>
  <c r="BU59" i="13"/>
  <c r="Q30" i="6"/>
  <c r="Q53" i="6" s="1"/>
  <c r="Q34" i="6" a="1"/>
  <c r="Q34" i="6" s="1"/>
  <c r="Q42" i="6" s="1"/>
  <c r="R69" i="4"/>
  <c r="S21" i="14"/>
  <c r="BR124" i="14"/>
  <c r="P11" i="5" a="1"/>
  <c r="P11" i="5" s="1"/>
  <c r="R14" i="6" a="1"/>
  <c r="R14" i="6" s="1"/>
  <c r="X77" i="12"/>
  <c r="AB19" i="14"/>
  <c r="O23" i="5" a="1"/>
  <c r="O23" i="5" s="1"/>
  <c r="O24" i="5" s="1"/>
  <c r="Q29" i="6" a="1"/>
  <c r="Q29" i="6" s="1"/>
  <c r="AX15" i="14"/>
  <c r="S78" i="12"/>
  <c r="AK138" i="12"/>
  <c r="AK6" i="12" s="1"/>
  <c r="G145" i="11"/>
  <c r="J144" i="11"/>
  <c r="I144" i="11"/>
  <c r="H144" i="11"/>
  <c r="BS129" i="14"/>
  <c r="M28" i="15"/>
  <c r="S41" i="4"/>
  <c r="R57" i="4"/>
  <c r="BU124" i="13"/>
  <c r="AJ73" i="12"/>
  <c r="B147" i="14"/>
  <c r="C147" i="14" s="1"/>
  <c r="B146" i="13"/>
  <c r="C146" i="13" s="1"/>
  <c r="B146" i="12"/>
  <c r="C146" i="12" s="1"/>
  <c r="C147" i="12" l="1"/>
  <c r="C147" i="13"/>
  <c r="T78" i="12"/>
  <c r="BC64" i="13"/>
  <c r="BD138" i="14"/>
  <c r="BC139" i="14"/>
  <c r="AD141" i="12"/>
  <c r="AD9" i="12" s="1"/>
  <c r="B148" i="14"/>
  <c r="C148" i="14" s="1"/>
  <c r="B147" i="13"/>
  <c r="B147" i="12"/>
  <c r="BS123" i="13"/>
  <c r="BS188" i="13"/>
  <c r="BD130" i="13"/>
  <c r="BD195" i="13"/>
  <c r="BD196" i="13" s="1"/>
  <c r="BC131" i="13"/>
  <c r="BL58" i="13"/>
  <c r="BL133" i="14"/>
  <c r="AK73" i="12"/>
  <c r="BU126" i="13"/>
  <c r="BT62" i="13"/>
  <c r="BT137" i="14"/>
  <c r="BL125" i="13"/>
  <c r="AM17" i="14"/>
  <c r="AM74" i="12"/>
  <c r="BT129" i="13"/>
  <c r="AI18" i="14"/>
  <c r="AI8" i="12"/>
  <c r="AY137" i="12"/>
  <c r="AY5" i="12" s="1"/>
  <c r="H145" i="11"/>
  <c r="G146" i="11"/>
  <c r="J145" i="11"/>
  <c r="I145" i="11"/>
  <c r="T21" i="14"/>
  <c r="BR125" i="14"/>
  <c r="BR50" i="13"/>
  <c r="Y20" i="14"/>
  <c r="AC19" i="14"/>
  <c r="R80" i="4"/>
  <c r="R79" i="4"/>
  <c r="O25" i="5" s="1" a="1"/>
  <c r="O25" i="5" s="1"/>
  <c r="O26" i="5" s="1"/>
  <c r="BB3" i="12"/>
  <c r="BR117" i="13"/>
  <c r="BB13" i="14"/>
  <c r="Y142" i="12"/>
  <c r="Y77" i="12" s="1"/>
  <c r="Y10" i="12"/>
  <c r="EK7" i="7"/>
  <c r="EL3" i="7" s="1"/>
  <c r="EK4" i="7"/>
  <c r="BO193" i="13"/>
  <c r="AK16" i="14"/>
  <c r="BS181" i="13"/>
  <c r="BS124" i="14" s="1"/>
  <c r="Q3" i="14"/>
  <c r="Q22" i="14" s="1"/>
  <c r="S14" i="4"/>
  <c r="S18" i="4" s="1"/>
  <c r="AV71" i="12"/>
  <c r="AV136" i="12"/>
  <c r="AV4" i="12"/>
  <c r="BU192" i="13"/>
  <c r="BU135" i="14" s="1"/>
  <c r="BT129" i="14"/>
  <c r="AC76" i="12"/>
  <c r="BP185" i="13"/>
  <c r="BP128" i="14" s="1"/>
  <c r="BT186" i="13"/>
  <c r="BT121" i="13" s="1"/>
  <c r="T143" i="12"/>
  <c r="T11" i="12" s="1"/>
  <c r="BU186" i="13" l="1"/>
  <c r="BU121" i="13" s="1"/>
  <c r="BU129" i="14"/>
  <c r="M17" i="15"/>
  <c r="S20" i="4"/>
  <c r="S60" i="4"/>
  <c r="S74" i="4"/>
  <c r="R48" i="6" s="1" a="1"/>
  <c r="R48" i="6" s="1"/>
  <c r="S147" i="4"/>
  <c r="P10" i="5" a="1"/>
  <c r="P10" i="5" s="1"/>
  <c r="P12" i="5" s="1"/>
  <c r="P13" i="5" s="1"/>
  <c r="R13" i="6" a="1"/>
  <c r="R13" i="6" s="1"/>
  <c r="R15" i="6" s="1"/>
  <c r="R16" i="6" s="1"/>
  <c r="AN74" i="12"/>
  <c r="C148" i="13"/>
  <c r="EL4" i="7"/>
  <c r="EL6" i="7" s="1"/>
  <c r="EL7" i="7"/>
  <c r="EM3" i="7" s="1"/>
  <c r="AY72" i="12"/>
  <c r="AN17" i="14"/>
  <c r="BS131" i="14"/>
  <c r="BS56" i="13"/>
  <c r="AD76" i="12"/>
  <c r="BU127" i="13"/>
  <c r="Z142" i="12"/>
  <c r="Z77" i="12" s="1"/>
  <c r="Z10" i="12"/>
  <c r="AJ140" i="12"/>
  <c r="AJ75" i="12" s="1"/>
  <c r="BM190" i="13"/>
  <c r="BM58" i="13" s="1"/>
  <c r="BT188" i="13"/>
  <c r="BT123" i="13" s="1"/>
  <c r="BD139" i="14"/>
  <c r="AN139" i="12"/>
  <c r="AN7" i="12" s="1"/>
  <c r="BS116" i="13"/>
  <c r="R167" i="4"/>
  <c r="R142" i="4"/>
  <c r="Q117" i="6" s="1" a="1"/>
  <c r="Q117" i="6" s="1"/>
  <c r="R141" i="4"/>
  <c r="AY15" i="14"/>
  <c r="U143" i="12"/>
  <c r="U21" i="14" s="1"/>
  <c r="U11" i="12"/>
  <c r="AW136" i="12"/>
  <c r="AW4" i="12"/>
  <c r="BP53" i="13"/>
  <c r="AD19" i="14"/>
  <c r="BU194" i="13"/>
  <c r="BU137" i="14" s="1"/>
  <c r="BM133" i="14"/>
  <c r="BS49" i="13"/>
  <c r="AV14" i="14"/>
  <c r="BU60" i="13"/>
  <c r="G147" i="11"/>
  <c r="J146" i="11"/>
  <c r="I146" i="11"/>
  <c r="H146" i="11"/>
  <c r="BT54" i="13"/>
  <c r="BD63" i="13"/>
  <c r="AL138" i="12"/>
  <c r="EK6" i="7"/>
  <c r="BE195" i="13"/>
  <c r="BE196" i="13" s="1"/>
  <c r="BD131" i="13"/>
  <c r="BP120" i="13"/>
  <c r="BO136" i="14"/>
  <c r="BO61" i="13"/>
  <c r="BC13" i="14"/>
  <c r="B149" i="14"/>
  <c r="C149" i="14" s="1"/>
  <c r="B148" i="13"/>
  <c r="B148" i="12"/>
  <c r="BC135" i="12"/>
  <c r="BC3" i="12"/>
  <c r="AW71" i="12"/>
  <c r="BO128" i="13"/>
  <c r="BS182" i="13"/>
  <c r="BS117" i="13" s="1"/>
  <c r="BD64" i="13"/>
  <c r="C148" i="12"/>
  <c r="BT182" i="13" l="1"/>
  <c r="BT117" i="13" s="1"/>
  <c r="V21" i="14"/>
  <c r="BU188" i="13"/>
  <c r="BU123" i="13" s="1"/>
  <c r="R149" i="4"/>
  <c r="O30" i="5" s="1" a="1"/>
  <c r="O30" i="5" s="1"/>
  <c r="O38" i="5" s="1"/>
  <c r="O40" i="5" s="1"/>
  <c r="O50" i="5" s="1"/>
  <c r="Q116" i="6" a="1"/>
  <c r="Q116" i="6" s="1"/>
  <c r="Q121" i="6" s="1"/>
  <c r="Q146" i="6" s="1"/>
  <c r="Q148" i="6" s="1"/>
  <c r="BP193" i="13"/>
  <c r="BP61" i="13" s="1"/>
  <c r="AA142" i="12"/>
  <c r="AA77" i="12" s="1"/>
  <c r="EM7" i="7"/>
  <c r="EN3" i="7" s="1"/>
  <c r="EM4" i="7"/>
  <c r="BP136" i="14"/>
  <c r="G148" i="11"/>
  <c r="J147" i="11"/>
  <c r="I147" i="11"/>
  <c r="H147" i="11"/>
  <c r="R33" i="6" a="1"/>
  <c r="R33" i="6" s="1"/>
  <c r="AL6" i="12"/>
  <c r="BU129" i="13"/>
  <c r="R170" i="4"/>
  <c r="R172" i="4" s="1"/>
  <c r="R179" i="4" s="1"/>
  <c r="Q144" i="6" a="1"/>
  <c r="Q144" i="6" s="1"/>
  <c r="O36" i="5" a="1"/>
  <c r="O36" i="5" s="1"/>
  <c r="S21" i="4"/>
  <c r="S23" i="4"/>
  <c r="Z20" i="14"/>
  <c r="AA20" i="14" s="1"/>
  <c r="BE63" i="13"/>
  <c r="AW14" i="14"/>
  <c r="AE19" i="14"/>
  <c r="BM125" i="13"/>
  <c r="BN190" i="13" s="1"/>
  <c r="AE76" i="12"/>
  <c r="Q79" i="12"/>
  <c r="M21" i="15"/>
  <c r="AE141" i="12"/>
  <c r="AE9" i="12" s="1"/>
  <c r="BU62" i="13"/>
  <c r="BD135" i="12"/>
  <c r="BD3" i="12"/>
  <c r="BQ120" i="13"/>
  <c r="BQ185" i="13"/>
  <c r="BQ128" i="14" s="1"/>
  <c r="BQ53" i="13"/>
  <c r="BT181" i="13"/>
  <c r="BT124" i="14" s="1"/>
  <c r="BT56" i="13"/>
  <c r="BS125" i="14"/>
  <c r="BT125" i="14" s="1"/>
  <c r="BS50" i="13"/>
  <c r="BT50" i="13" s="1"/>
  <c r="BC70" i="12"/>
  <c r="BU54" i="13"/>
  <c r="AL16" i="14"/>
  <c r="AL73" i="12"/>
  <c r="AO139" i="12"/>
  <c r="AO17" i="14" s="1"/>
  <c r="AO7" i="12"/>
  <c r="AJ8" i="12"/>
  <c r="BT131" i="14"/>
  <c r="C149" i="12"/>
  <c r="B150" i="14"/>
  <c r="C150" i="14" s="1"/>
  <c r="B149" i="13"/>
  <c r="C149" i="13" s="1"/>
  <c r="B149" i="12"/>
  <c r="AX136" i="12"/>
  <c r="AX4" i="12" s="1"/>
  <c r="V143" i="12"/>
  <c r="V11" i="12" s="1"/>
  <c r="BE64" i="13"/>
  <c r="U78" i="12"/>
  <c r="BE130" i="13"/>
  <c r="AJ18" i="14"/>
  <c r="BE138" i="14"/>
  <c r="AZ137" i="12"/>
  <c r="AZ5" i="12" s="1"/>
  <c r="BU117" i="13" l="1"/>
  <c r="BU182" i="13"/>
  <c r="W143" i="12"/>
  <c r="W21" i="14" s="1"/>
  <c r="W11" i="12"/>
  <c r="AY136" i="12"/>
  <c r="AY4" i="12"/>
  <c r="AP17" i="14"/>
  <c r="C151" i="14"/>
  <c r="BN58" i="13"/>
  <c r="BN133" i="14"/>
  <c r="BF138" i="14"/>
  <c r="BE139" i="14"/>
  <c r="AK140" i="12"/>
  <c r="AK8" i="12"/>
  <c r="BR185" i="13"/>
  <c r="BR53" i="13" s="1"/>
  <c r="AO74" i="12"/>
  <c r="BF63" i="13"/>
  <c r="O44" i="5" a="1"/>
  <c r="O44" i="5" s="1"/>
  <c r="Q155" i="6" a="1"/>
  <c r="Q155" i="6" s="1"/>
  <c r="B151" i="14"/>
  <c r="B150" i="13"/>
  <c r="C150" i="13" s="1"/>
  <c r="B150" i="12"/>
  <c r="AK18" i="14"/>
  <c r="AP139" i="12"/>
  <c r="AP7" i="12"/>
  <c r="AF76" i="12"/>
  <c r="BU125" i="14"/>
  <c r="BN125" i="13"/>
  <c r="AM138" i="12"/>
  <c r="AM6" i="12"/>
  <c r="BU50" i="13"/>
  <c r="BT49" i="13"/>
  <c r="BD13" i="14"/>
  <c r="AM73" i="12"/>
  <c r="BU56" i="13"/>
  <c r="AZ15" i="14"/>
  <c r="S24" i="4"/>
  <c r="S25" i="4"/>
  <c r="G149" i="11"/>
  <c r="J148" i="11"/>
  <c r="I148" i="11"/>
  <c r="H148" i="11"/>
  <c r="BP128" i="13"/>
  <c r="AF141" i="12"/>
  <c r="AF9" i="12" s="1"/>
  <c r="AX71" i="12"/>
  <c r="EM6" i="7"/>
  <c r="AM16" i="14"/>
  <c r="V78" i="12"/>
  <c r="M22" i="15"/>
  <c r="Q12" i="12"/>
  <c r="EN7" i="7"/>
  <c r="EO3" i="7" s="1"/>
  <c r="EN4" i="7"/>
  <c r="EN6" i="7" s="1"/>
  <c r="BF130" i="13"/>
  <c r="BF195" i="13"/>
  <c r="BF196" i="13" s="1"/>
  <c r="BE131" i="13"/>
  <c r="AF19" i="14"/>
  <c r="S49" i="4"/>
  <c r="C150" i="12"/>
  <c r="BT116" i="13"/>
  <c r="AZ72" i="12"/>
  <c r="BU131" i="14"/>
  <c r="BD70" i="12"/>
  <c r="AX14" i="14"/>
  <c r="AA10" i="12"/>
  <c r="BS185" i="13" l="1"/>
  <c r="BS53" i="13" s="1"/>
  <c r="AG141" i="12"/>
  <c r="AG9" i="12"/>
  <c r="BQ128" i="13"/>
  <c r="BQ193" i="13"/>
  <c r="AG76" i="12"/>
  <c r="EO7" i="7"/>
  <c r="EP3" i="7" s="1"/>
  <c r="EO4" i="7"/>
  <c r="BU49" i="13"/>
  <c r="BR120" i="13"/>
  <c r="BG130" i="13"/>
  <c r="BG195" i="13"/>
  <c r="BG196" i="13" s="1"/>
  <c r="BF131" i="13"/>
  <c r="AN16" i="14"/>
  <c r="B152" i="14"/>
  <c r="B151" i="13"/>
  <c r="C151" i="13" s="1"/>
  <c r="B151" i="12"/>
  <c r="C151" i="12" s="1"/>
  <c r="AQ139" i="12"/>
  <c r="AQ17" i="14" s="1"/>
  <c r="AQ7" i="12"/>
  <c r="BF139" i="14"/>
  <c r="AB142" i="12"/>
  <c r="AB10" i="12"/>
  <c r="S50" i="4"/>
  <c r="S72" i="4"/>
  <c r="AN73" i="12"/>
  <c r="AP74" i="12"/>
  <c r="AY14" i="14"/>
  <c r="AG19" i="14"/>
  <c r="R144" i="12"/>
  <c r="R12" i="12"/>
  <c r="Q65" i="12"/>
  <c r="AY71" i="12"/>
  <c r="G150" i="11"/>
  <c r="H149" i="11"/>
  <c r="I149" i="11"/>
  <c r="J149" i="11"/>
  <c r="BO190" i="13"/>
  <c r="BO125" i="13" s="1"/>
  <c r="M23" i="15"/>
  <c r="S40" i="4"/>
  <c r="S43" i="4" s="1"/>
  <c r="M34" i="15"/>
  <c r="S26" i="4"/>
  <c r="R18" i="6" a="1"/>
  <c r="R18" i="6" s="1"/>
  <c r="R19" i="6" s="1"/>
  <c r="P15" i="5" a="1"/>
  <c r="P15" i="5" s="1"/>
  <c r="P16" i="5" s="1"/>
  <c r="C152" i="14"/>
  <c r="X143" i="12"/>
  <c r="X11" i="12" s="1"/>
  <c r="AN138" i="12"/>
  <c r="AN6" i="12"/>
  <c r="BR128" i="14"/>
  <c r="BA137" i="12"/>
  <c r="BA5" i="12" s="1"/>
  <c r="BE135" i="12"/>
  <c r="BU181" i="13"/>
  <c r="BU124" i="14" s="1"/>
  <c r="BF64" i="13"/>
  <c r="W78" i="12"/>
  <c r="AK75" i="12"/>
  <c r="Y143" i="12" l="1"/>
  <c r="Y11" i="12" s="1"/>
  <c r="BP190" i="13"/>
  <c r="BP125" i="13" s="1"/>
  <c r="AO16" i="14"/>
  <c r="AZ136" i="12"/>
  <c r="BA15" i="14"/>
  <c r="BE3" i="12"/>
  <c r="BO58" i="13"/>
  <c r="BP58" i="13" s="1"/>
  <c r="BR193" i="13"/>
  <c r="BR128" i="13" s="1"/>
  <c r="R196" i="12"/>
  <c r="R22" i="14"/>
  <c r="R79" i="12"/>
  <c r="BS128" i="14"/>
  <c r="AH19" i="14"/>
  <c r="X21" i="14"/>
  <c r="Y21" i="14" s="1"/>
  <c r="BU116" i="13"/>
  <c r="BA72" i="12"/>
  <c r="AO138" i="12"/>
  <c r="AO6" i="12"/>
  <c r="B153" i="14"/>
  <c r="C153" i="14" s="1"/>
  <c r="B152" i="13"/>
  <c r="C152" i="13" s="1"/>
  <c r="B152" i="12"/>
  <c r="C152" i="12" s="1"/>
  <c r="S77" i="4"/>
  <c r="R45" i="6" a="1"/>
  <c r="R45" i="6" s="1"/>
  <c r="R51" i="6" s="1"/>
  <c r="M40" i="15"/>
  <c r="M36" i="15"/>
  <c r="M35" i="15"/>
  <c r="M42" i="15" s="1"/>
  <c r="G151" i="11"/>
  <c r="J150" i="11"/>
  <c r="I150" i="11"/>
  <c r="H150" i="11"/>
  <c r="BH195" i="13"/>
  <c r="BH196" i="13" s="1"/>
  <c r="BG131" i="13"/>
  <c r="EO6" i="7"/>
  <c r="AH141" i="12"/>
  <c r="AH76" i="12" s="1"/>
  <c r="AH9" i="12"/>
  <c r="BE13" i="14"/>
  <c r="S54" i="4"/>
  <c r="AZ14" i="14"/>
  <c r="BE70" i="12"/>
  <c r="EP4" i="7"/>
  <c r="EP6" i="7" s="1"/>
  <c r="EP7" i="7"/>
  <c r="EQ3" i="7" s="1"/>
  <c r="AL140" i="12"/>
  <c r="M47" i="15"/>
  <c r="M48" i="15"/>
  <c r="S33" i="4"/>
  <c r="BO133" i="14"/>
  <c r="AB20" i="14"/>
  <c r="AB77" i="12"/>
  <c r="BG63" i="13"/>
  <c r="BH63" i="13" s="1"/>
  <c r="AZ71" i="12"/>
  <c r="X78" i="12"/>
  <c r="AQ74" i="12"/>
  <c r="BG138" i="14"/>
  <c r="BS120" i="13"/>
  <c r="BQ61" i="13"/>
  <c r="BR61" i="13" s="1"/>
  <c r="BQ136" i="14"/>
  <c r="BR136" i="14" s="1"/>
  <c r="Z143" i="12" l="1"/>
  <c r="Z21" i="14" s="1"/>
  <c r="Z11" i="12"/>
  <c r="BQ190" i="13"/>
  <c r="BQ58" i="13" s="1"/>
  <c r="BS193" i="13"/>
  <c r="BS61" i="13" s="1"/>
  <c r="C153" i="13"/>
  <c r="C154" i="14"/>
  <c r="AC77" i="12"/>
  <c r="BF13" i="14"/>
  <c r="M37" i="15"/>
  <c r="M41" i="15" s="1"/>
  <c r="AI19" i="14"/>
  <c r="BF135" i="12"/>
  <c r="BF3" i="12"/>
  <c r="BP133" i="14"/>
  <c r="BQ133" i="14" s="1"/>
  <c r="BF70" i="12"/>
  <c r="B154" i="14"/>
  <c r="B153" i="13"/>
  <c r="B153" i="12"/>
  <c r="C153" i="12" s="1"/>
  <c r="M46" i="15"/>
  <c r="M29" i="15"/>
  <c r="EQ7" i="7"/>
  <c r="ER3" i="7" s="1"/>
  <c r="EQ4" i="7"/>
  <c r="EQ6" i="7" s="1"/>
  <c r="S55" i="4"/>
  <c r="S34" i="4"/>
  <c r="S65" i="4"/>
  <c r="R38" i="6" s="1" a="1"/>
  <c r="R38" i="6" s="1"/>
  <c r="S61" i="4"/>
  <c r="S66" i="4"/>
  <c r="R39" i="6" s="1" a="1"/>
  <c r="R39" i="6" s="1"/>
  <c r="S68" i="4"/>
  <c r="R41" i="6" s="1" a="1"/>
  <c r="R41" i="6" s="1"/>
  <c r="S67" i="4"/>
  <c r="R40" i="6" s="1" a="1"/>
  <c r="R40" i="6" s="1"/>
  <c r="S63" i="4"/>
  <c r="R36" i="6" s="1" a="1"/>
  <c r="R36" i="6" s="1"/>
  <c r="S64" i="4"/>
  <c r="R37" i="6" s="1" a="1"/>
  <c r="R37" i="6" s="1"/>
  <c r="S62" i="4"/>
  <c r="R35" i="6" s="1" a="1"/>
  <c r="R35" i="6" s="1"/>
  <c r="S56" i="4"/>
  <c r="S57" i="4" s="1"/>
  <c r="P21" i="5" a="1"/>
  <c r="P21" i="5" s="1"/>
  <c r="R27" i="6" a="1"/>
  <c r="R27" i="6" s="1"/>
  <c r="AL8" i="12"/>
  <c r="AL18" i="14"/>
  <c r="AL75" i="12"/>
  <c r="BT185" i="13"/>
  <c r="BT53" i="13" s="1"/>
  <c r="BH64" i="13"/>
  <c r="N31" i="15"/>
  <c r="T42" i="4" s="1"/>
  <c r="R64" i="12"/>
  <c r="N27" i="15" s="1"/>
  <c r="BH138" i="14"/>
  <c r="BG139" i="14"/>
  <c r="AC20" i="14"/>
  <c r="BH130" i="13"/>
  <c r="R23" i="6" a="1"/>
  <c r="R23" i="6" s="1"/>
  <c r="P18" i="5" a="1"/>
  <c r="P18" i="5" s="1"/>
  <c r="AI141" i="12"/>
  <c r="AI76" i="12" s="1"/>
  <c r="AI9" i="12"/>
  <c r="AP138" i="12"/>
  <c r="AP16" i="14" s="1"/>
  <c r="AP6" i="12"/>
  <c r="Y78" i="12"/>
  <c r="AC142" i="12"/>
  <c r="AC10" i="12" s="1"/>
  <c r="BG64" i="13"/>
  <c r="AO73" i="12"/>
  <c r="AR139" i="12"/>
  <c r="AZ4" i="12"/>
  <c r="G152" i="11"/>
  <c r="J151" i="11"/>
  <c r="I151" i="11"/>
  <c r="H151" i="11"/>
  <c r="S144" i="12"/>
  <c r="S12" i="12" s="1"/>
  <c r="BB137" i="12"/>
  <c r="BB5" i="12" s="1"/>
  <c r="R74" i="14"/>
  <c r="R4" i="14" s="1"/>
  <c r="C154" i="12" l="1"/>
  <c r="R34" i="6" a="1"/>
  <c r="R34" i="6" s="1"/>
  <c r="R42" i="6" s="1"/>
  <c r="S69" i="4"/>
  <c r="AR17" i="14"/>
  <c r="AR7" i="12"/>
  <c r="AP73" i="12"/>
  <c r="AQ138" i="12" s="1"/>
  <c r="BS128" i="13"/>
  <c r="S79" i="12"/>
  <c r="G153" i="11"/>
  <c r="J152" i="11"/>
  <c r="I152" i="11"/>
  <c r="H152" i="11"/>
  <c r="BH139" i="14"/>
  <c r="M50" i="15"/>
  <c r="R24" i="6" a="1"/>
  <c r="R24" i="6" s="1"/>
  <c r="P19" i="5" a="1"/>
  <c r="P19" i="5" s="1"/>
  <c r="AR74" i="12"/>
  <c r="R6" i="14"/>
  <c r="T15" i="4" s="1"/>
  <c r="R5" i="14"/>
  <c r="AJ141" i="12"/>
  <c r="AJ76" i="12" s="1"/>
  <c r="AJ9" i="12"/>
  <c r="T41" i="4"/>
  <c r="AM18" i="14"/>
  <c r="BG135" i="12"/>
  <c r="BG3" i="12"/>
  <c r="BQ125" i="13"/>
  <c r="S22" i="14"/>
  <c r="AD142" i="12"/>
  <c r="AD10" i="12" s="1"/>
  <c r="AM140" i="12"/>
  <c r="AM8" i="12"/>
  <c r="P22" i="5" a="1"/>
  <c r="P22" i="5" s="1"/>
  <c r="P24" i="5" s="1"/>
  <c r="R28" i="6" a="1"/>
  <c r="R28" i="6" s="1"/>
  <c r="R30" i="6" s="1"/>
  <c r="R53" i="6" s="1"/>
  <c r="BT128" i="14"/>
  <c r="Z78" i="12"/>
  <c r="BA136" i="12"/>
  <c r="BA4" i="12"/>
  <c r="ER4" i="7"/>
  <c r="ER6" i="7" s="1"/>
  <c r="ER7" i="7"/>
  <c r="ES3" i="7" s="1"/>
  <c r="AA143" i="12"/>
  <c r="AA21" i="14" s="1"/>
  <c r="AA11" i="12"/>
  <c r="AD20" i="14"/>
  <c r="R29" i="6" a="1"/>
  <c r="R29" i="6" s="1"/>
  <c r="P23" i="5" a="1"/>
  <c r="P23" i="5" s="1"/>
  <c r="BB72" i="12"/>
  <c r="BC137" i="12" s="1"/>
  <c r="BC5" i="12" s="1"/>
  <c r="BB15" i="14"/>
  <c r="BS136" i="14"/>
  <c r="B155" i="14"/>
  <c r="C155" i="14" s="1"/>
  <c r="B154" i="13"/>
  <c r="B154" i="12"/>
  <c r="BI130" i="13"/>
  <c r="BH131" i="13"/>
  <c r="BT120" i="13"/>
  <c r="BI195" i="13"/>
  <c r="BG70" i="12"/>
  <c r="C154" i="13"/>
  <c r="C156" i="14" l="1"/>
  <c r="AQ6" i="12"/>
  <c r="AQ16" i="14"/>
  <c r="BD137" i="12"/>
  <c r="BD5" i="12" s="1"/>
  <c r="ES7" i="7"/>
  <c r="ET3" i="7" s="1"/>
  <c r="ES4" i="7"/>
  <c r="ES6" i="7" s="1"/>
  <c r="BU128" i="14"/>
  <c r="B156" i="14"/>
  <c r="B155" i="13"/>
  <c r="B155" i="12"/>
  <c r="AQ73" i="12"/>
  <c r="BH135" i="12"/>
  <c r="BH3" i="12" s="1"/>
  <c r="T144" i="12"/>
  <c r="T12" i="12" s="1"/>
  <c r="BJ195" i="13"/>
  <c r="BJ196" i="13" s="1"/>
  <c r="BI131" i="13"/>
  <c r="AS139" i="12"/>
  <c r="AS7" i="12" s="1"/>
  <c r="BT136" i="14"/>
  <c r="S79" i="4"/>
  <c r="P25" i="5" s="1" a="1"/>
  <c r="P25" i="5" s="1"/>
  <c r="P26" i="5" s="1"/>
  <c r="S80" i="4"/>
  <c r="BG13" i="14"/>
  <c r="T22" i="14"/>
  <c r="C155" i="12"/>
  <c r="C155" i="13"/>
  <c r="BR125" i="13"/>
  <c r="BR190" i="13"/>
  <c r="AD77" i="12"/>
  <c r="G154" i="11"/>
  <c r="J153" i="11"/>
  <c r="I153" i="11"/>
  <c r="H153" i="11"/>
  <c r="BB136" i="12"/>
  <c r="BB4" i="12" s="1"/>
  <c r="AK141" i="12"/>
  <c r="AK76" i="12" s="1"/>
  <c r="AK9" i="12"/>
  <c r="BI196" i="13"/>
  <c r="BI64" i="13" s="1"/>
  <c r="BI63" i="13"/>
  <c r="BA71" i="12"/>
  <c r="BA14" i="14"/>
  <c r="AN140" i="12"/>
  <c r="AN18" i="14" s="1"/>
  <c r="AN8" i="12"/>
  <c r="BT128" i="13"/>
  <c r="BT193" i="13"/>
  <c r="BT61" i="13" s="1"/>
  <c r="BC15" i="14"/>
  <c r="BU185" i="13"/>
  <c r="BU53" i="13" s="1"/>
  <c r="BC72" i="12"/>
  <c r="AJ19" i="14"/>
  <c r="AK19" i="14" s="1"/>
  <c r="AA78" i="12"/>
  <c r="AB143" i="12" s="1"/>
  <c r="R3" i="14"/>
  <c r="R23" i="14" s="1"/>
  <c r="T14" i="4"/>
  <c r="T18" i="4" s="1"/>
  <c r="BI138" i="14"/>
  <c r="AM75" i="12"/>
  <c r="AB11" i="12" l="1"/>
  <c r="AB21" i="14"/>
  <c r="BE137" i="12"/>
  <c r="BE5" i="12"/>
  <c r="BU128" i="13"/>
  <c r="BU193" i="13"/>
  <c r="B157" i="14"/>
  <c r="C157" i="14" s="1"/>
  <c r="B156" i="13"/>
  <c r="C156" i="13" s="1"/>
  <c r="B156" i="12"/>
  <c r="BS190" i="13"/>
  <c r="BS125" i="13" s="1"/>
  <c r="AL141" i="12"/>
  <c r="AL76" i="12" s="1"/>
  <c r="AL9" i="12"/>
  <c r="C156" i="12"/>
  <c r="ET4" i="7"/>
  <c r="ET7" i="7"/>
  <c r="EU3" i="7" s="1"/>
  <c r="AR138" i="12"/>
  <c r="BD72" i="12"/>
  <c r="G155" i="11"/>
  <c r="J154" i="11"/>
  <c r="I154" i="11"/>
  <c r="H154" i="11"/>
  <c r="U22" i="14"/>
  <c r="BJ130" i="13"/>
  <c r="BB14" i="14"/>
  <c r="BH13" i="14"/>
  <c r="BH70" i="12"/>
  <c r="BI135" i="12" s="1"/>
  <c r="U144" i="12"/>
  <c r="U12" i="12" s="1"/>
  <c r="AN75" i="12"/>
  <c r="BU120" i="13"/>
  <c r="BB71" i="12"/>
  <c r="T79" i="12"/>
  <c r="BU136" i="14"/>
  <c r="BJ138" i="14"/>
  <c r="BI139" i="14"/>
  <c r="BD15" i="14"/>
  <c r="BE15" i="14" s="1"/>
  <c r="AS17" i="14"/>
  <c r="S167" i="4"/>
  <c r="S141" i="4"/>
  <c r="S142" i="4"/>
  <c r="R117" i="6" s="1" a="1"/>
  <c r="R117" i="6" s="1"/>
  <c r="AS74" i="12"/>
  <c r="AE142" i="12"/>
  <c r="AB78" i="12"/>
  <c r="N17" i="15"/>
  <c r="T60" i="4"/>
  <c r="T147" i="4"/>
  <c r="T74" i="4"/>
  <c r="S48" i="6" s="1" a="1"/>
  <c r="S48" i="6" s="1"/>
  <c r="S13" i="6" a="1"/>
  <c r="S13" i="6" s="1"/>
  <c r="Q10" i="5" a="1"/>
  <c r="Q10" i="5" s="1"/>
  <c r="BU61" i="13"/>
  <c r="BJ63" i="13"/>
  <c r="BR58" i="13"/>
  <c r="BR133" i="14"/>
  <c r="V144" i="12" l="1"/>
  <c r="V22" i="14" s="1"/>
  <c r="V12" i="12"/>
  <c r="BI3" i="12"/>
  <c r="BT190" i="13"/>
  <c r="BT125" i="13" s="1"/>
  <c r="C157" i="13"/>
  <c r="C158" i="14"/>
  <c r="AM141" i="12"/>
  <c r="AM76" i="12" s="1"/>
  <c r="AM9" i="12"/>
  <c r="AC143" i="12"/>
  <c r="AC21" i="14" s="1"/>
  <c r="AC11" i="12"/>
  <c r="BI13" i="14"/>
  <c r="B158" i="14"/>
  <c r="B157" i="13"/>
  <c r="B157" i="12"/>
  <c r="EU7" i="7"/>
  <c r="EV3" i="7" s="1"/>
  <c r="EU4" i="7"/>
  <c r="EU6" i="7" s="1"/>
  <c r="AE10" i="12"/>
  <c r="AE20" i="14"/>
  <c r="BJ139" i="14"/>
  <c r="ET6" i="7"/>
  <c r="S149" i="4"/>
  <c r="P30" i="5" s="1" a="1"/>
  <c r="P30" i="5" s="1"/>
  <c r="R116" i="6" a="1"/>
  <c r="R116" i="6" s="1"/>
  <c r="R121" i="6" s="1"/>
  <c r="BC136" i="12"/>
  <c r="S33" i="6" a="1"/>
  <c r="S33" i="6" s="1"/>
  <c r="AO75" i="12"/>
  <c r="BS133" i="14"/>
  <c r="AE77" i="12"/>
  <c r="BS58" i="13"/>
  <c r="BT58" i="13" s="1"/>
  <c r="S170" i="4"/>
  <c r="S172" i="4" s="1"/>
  <c r="S179" i="4" s="1"/>
  <c r="R144" i="6" a="1"/>
  <c r="R144" i="6" s="1"/>
  <c r="P36" i="5" a="1"/>
  <c r="P36" i="5" s="1"/>
  <c r="AR16" i="14"/>
  <c r="G156" i="11"/>
  <c r="J155" i="11"/>
  <c r="I155" i="11"/>
  <c r="H155" i="11"/>
  <c r="AR73" i="12"/>
  <c r="AO140" i="12"/>
  <c r="BK63" i="13"/>
  <c r="R80" i="12"/>
  <c r="N21" i="15"/>
  <c r="BE72" i="12"/>
  <c r="BJ64" i="13"/>
  <c r="AL19" i="14"/>
  <c r="AM19" i="14" s="1"/>
  <c r="AT139" i="12"/>
  <c r="AT7" i="12" s="1"/>
  <c r="C157" i="12"/>
  <c r="AC78" i="12"/>
  <c r="U79" i="12"/>
  <c r="BI70" i="12"/>
  <c r="BK130" i="13"/>
  <c r="BK195" i="13"/>
  <c r="BK196" i="13" s="1"/>
  <c r="BJ131" i="13"/>
  <c r="AR6" i="12"/>
  <c r="BU190" i="13" l="1"/>
  <c r="BU125" i="13" s="1"/>
  <c r="AD21" i="14"/>
  <c r="AF142" i="12"/>
  <c r="AF20" i="14" s="1"/>
  <c r="AF10" i="12"/>
  <c r="C159" i="14"/>
  <c r="BJ70" i="12"/>
  <c r="AO18" i="14"/>
  <c r="AO8" i="12"/>
  <c r="C158" i="13"/>
  <c r="AS73" i="12"/>
  <c r="B159" i="14"/>
  <c r="B158" i="13"/>
  <c r="B158" i="12"/>
  <c r="BC4" i="12"/>
  <c r="EV7" i="7"/>
  <c r="EW3" i="7" s="1"/>
  <c r="EV4" i="7"/>
  <c r="R146" i="6"/>
  <c r="R148" i="6" s="1"/>
  <c r="AN141" i="12"/>
  <c r="AN19" i="14" s="1"/>
  <c r="AN9" i="12"/>
  <c r="BF72" i="12"/>
  <c r="BT133" i="14"/>
  <c r="BU133" i="14" s="1"/>
  <c r="P38" i="5"/>
  <c r="P40" i="5" s="1"/>
  <c r="P50" i="5" s="1"/>
  <c r="BJ135" i="12"/>
  <c r="BJ3" i="12"/>
  <c r="BK64" i="13"/>
  <c r="BC14" i="14"/>
  <c r="N22" i="15"/>
  <c r="R13" i="12"/>
  <c r="G157" i="11"/>
  <c r="J156" i="11"/>
  <c r="I156" i="11"/>
  <c r="H156" i="11"/>
  <c r="AT74" i="12"/>
  <c r="BK138" i="14"/>
  <c r="BL63" i="13"/>
  <c r="AD143" i="12"/>
  <c r="AD11" i="12"/>
  <c r="AU139" i="12"/>
  <c r="AU7" i="12"/>
  <c r="R155" i="6" a="1"/>
  <c r="R155" i="6" s="1"/>
  <c r="P44" i="5" a="1"/>
  <c r="P44" i="5" s="1"/>
  <c r="V79" i="12"/>
  <c r="AS138" i="12"/>
  <c r="AS6" i="12"/>
  <c r="AF77" i="12"/>
  <c r="BC71" i="12"/>
  <c r="BL130" i="13"/>
  <c r="BL195" i="13"/>
  <c r="BL196" i="13" s="1"/>
  <c r="BK131" i="13"/>
  <c r="AT17" i="14"/>
  <c r="R131" i="12"/>
  <c r="N26" i="15" s="1"/>
  <c r="AS16" i="14"/>
  <c r="BF137" i="12"/>
  <c r="BJ13" i="14"/>
  <c r="AD78" i="12"/>
  <c r="C158" i="12"/>
  <c r="AO19" i="14" l="1"/>
  <c r="BD136" i="12"/>
  <c r="BD4" i="12"/>
  <c r="C160" i="14"/>
  <c r="BL138" i="14"/>
  <c r="BK139" i="14"/>
  <c r="AE78" i="12"/>
  <c r="AU74" i="12"/>
  <c r="AO141" i="12"/>
  <c r="AO9" i="12"/>
  <c r="BK13" i="14"/>
  <c r="AU17" i="14"/>
  <c r="AT138" i="12"/>
  <c r="AE143" i="12"/>
  <c r="AE11" i="12"/>
  <c r="B160" i="14"/>
  <c r="B159" i="13"/>
  <c r="C159" i="13" s="1"/>
  <c r="B159" i="12"/>
  <c r="BK135" i="12"/>
  <c r="BK3" i="12"/>
  <c r="AE21" i="14"/>
  <c r="AP140" i="12"/>
  <c r="AP75" i="12" s="1"/>
  <c r="AN76" i="12"/>
  <c r="BL64" i="13"/>
  <c r="BU58" i="13"/>
  <c r="BD71" i="12"/>
  <c r="N23" i="15"/>
  <c r="T40" i="4"/>
  <c r="T43" i="4" s="1"/>
  <c r="N34" i="15"/>
  <c r="C159" i="12"/>
  <c r="AV139" i="12"/>
  <c r="AV7" i="12" s="1"/>
  <c r="AG142" i="12"/>
  <c r="AG20" i="14" s="1"/>
  <c r="W144" i="12"/>
  <c r="G158" i="11"/>
  <c r="J157" i="11"/>
  <c r="I157" i="11"/>
  <c r="H157" i="11"/>
  <c r="EV6" i="7"/>
  <c r="BK70" i="12"/>
  <c r="T19" i="4"/>
  <c r="N28" i="15"/>
  <c r="BD14" i="14"/>
  <c r="BF15" i="14"/>
  <c r="BF5" i="12"/>
  <c r="BM195" i="13"/>
  <c r="BM196" i="13" s="1"/>
  <c r="BL131" i="13"/>
  <c r="S145" i="12"/>
  <c r="R65" i="12"/>
  <c r="EW7" i="7"/>
  <c r="EX3" i="7" s="1"/>
  <c r="EW4" i="7"/>
  <c r="EW6" i="7" s="1"/>
  <c r="BE136" i="12" l="1"/>
  <c r="BE4" i="12"/>
  <c r="AV74" i="12"/>
  <c r="C160" i="12"/>
  <c r="S196" i="12"/>
  <c r="S23" i="14"/>
  <c r="S80" i="12"/>
  <c r="AV17" i="14"/>
  <c r="BM64" i="13"/>
  <c r="S14" i="6" a="1"/>
  <c r="S14" i="6" s="1"/>
  <c r="S15" i="6" s="1"/>
  <c r="S16" i="6" s="1"/>
  <c r="Q11" i="5" a="1"/>
  <c r="Q11" i="5" s="1"/>
  <c r="Q12" i="5" s="1"/>
  <c r="Q13" i="5" s="1"/>
  <c r="T22" i="4"/>
  <c r="T20" i="4"/>
  <c r="J158" i="11"/>
  <c r="I158" i="11"/>
  <c r="H158" i="11"/>
  <c r="AP18" i="14"/>
  <c r="BL13" i="14"/>
  <c r="BM130" i="13"/>
  <c r="W22" i="14"/>
  <c r="W12" i="12"/>
  <c r="AT73" i="12"/>
  <c r="BM63" i="13"/>
  <c r="BG137" i="12"/>
  <c r="BG72" i="12" s="1"/>
  <c r="BG5" i="12"/>
  <c r="W79" i="12"/>
  <c r="N40" i="15"/>
  <c r="N46" i="15" s="1"/>
  <c r="N35" i="15"/>
  <c r="N42" i="15" s="1"/>
  <c r="N36" i="15"/>
  <c r="AF143" i="12"/>
  <c r="AF78" i="12" s="1"/>
  <c r="AF11" i="12"/>
  <c r="BM138" i="14"/>
  <c r="BL139" i="14"/>
  <c r="EX4" i="7"/>
  <c r="EX6" i="7" s="1"/>
  <c r="EX7" i="7"/>
  <c r="EY3" i="7" s="1"/>
  <c r="BG15" i="14"/>
  <c r="AG10" i="12"/>
  <c r="T54" i="4"/>
  <c r="AO76" i="12"/>
  <c r="AP141" i="12" s="1"/>
  <c r="AF21" i="14"/>
  <c r="AG77" i="12"/>
  <c r="AT16" i="14"/>
  <c r="N47" i="15"/>
  <c r="T33" i="4"/>
  <c r="BL135" i="12"/>
  <c r="BL70" i="12" s="1"/>
  <c r="BL3" i="12"/>
  <c r="S13" i="12"/>
  <c r="B161" i="14"/>
  <c r="C161" i="14" s="1"/>
  <c r="B160" i="13"/>
  <c r="C160" i="13" s="1"/>
  <c r="B160" i="12"/>
  <c r="AP8" i="12"/>
  <c r="AT6" i="12"/>
  <c r="AP9" i="12" l="1"/>
  <c r="AP19" i="14"/>
  <c r="C161" i="13"/>
  <c r="BM139" i="14"/>
  <c r="T55" i="4"/>
  <c r="T63" i="4"/>
  <c r="S36" i="6" s="1" a="1"/>
  <c r="S36" i="6" s="1"/>
  <c r="T65" i="4"/>
  <c r="S38" i="6" s="1" a="1"/>
  <c r="S38" i="6" s="1"/>
  <c r="T61" i="4"/>
  <c r="T66" i="4"/>
  <c r="S39" i="6" s="1" a="1"/>
  <c r="S39" i="6" s="1"/>
  <c r="T68" i="4"/>
  <c r="S41" i="6" s="1" a="1"/>
  <c r="S41" i="6" s="1"/>
  <c r="T64" i="4"/>
  <c r="S37" i="6" s="1" a="1"/>
  <c r="S37" i="6" s="1"/>
  <c r="T62" i="4"/>
  <c r="S35" i="6" s="1" a="1"/>
  <c r="S35" i="6" s="1"/>
  <c r="T67" i="4"/>
  <c r="S40" i="6" s="1" a="1"/>
  <c r="S40" i="6" s="1"/>
  <c r="T56" i="4"/>
  <c r="Q21" i="5" a="1"/>
  <c r="Q21" i="5" s="1"/>
  <c r="S27" i="6" a="1"/>
  <c r="S27" i="6" s="1"/>
  <c r="X144" i="12"/>
  <c r="X22" i="14" s="1"/>
  <c r="O31" i="15"/>
  <c r="U42" i="4" s="1"/>
  <c r="S64" i="12"/>
  <c r="O27" i="15" s="1"/>
  <c r="BF136" i="12"/>
  <c r="T145" i="12"/>
  <c r="T13" i="12"/>
  <c r="Q18" i="5" a="1"/>
  <c r="Q18" i="5" s="1"/>
  <c r="S23" i="6" a="1"/>
  <c r="S23" i="6" s="1"/>
  <c r="AG143" i="12"/>
  <c r="AG11" i="12" s="1"/>
  <c r="B162" i="14"/>
  <c r="C162" i="14" s="1"/>
  <c r="B161" i="13"/>
  <c r="B161" i="12"/>
  <c r="AU138" i="12"/>
  <c r="AU16" i="14" s="1"/>
  <c r="N48" i="15"/>
  <c r="AH142" i="12"/>
  <c r="AH20" i="14" s="1"/>
  <c r="AH10" i="12"/>
  <c r="C161" i="12"/>
  <c r="BH137" i="12"/>
  <c r="BH15" i="14" s="1"/>
  <c r="BH5" i="12"/>
  <c r="BE71" i="12"/>
  <c r="N29" i="15"/>
  <c r="BE14" i="14"/>
  <c r="AQ140" i="12"/>
  <c r="AQ8" i="12"/>
  <c r="BH72" i="12"/>
  <c r="BN195" i="13"/>
  <c r="BN196" i="13" s="1"/>
  <c r="BM131" i="13"/>
  <c r="T23" i="4"/>
  <c r="T21" i="4"/>
  <c r="AH77" i="12"/>
  <c r="EY7" i="7"/>
  <c r="EZ3" i="7" s="1"/>
  <c r="EY4" i="7"/>
  <c r="EY6" i="7" s="1"/>
  <c r="N37" i="15"/>
  <c r="N41" i="15" s="1"/>
  <c r="T80" i="12"/>
  <c r="AW74" i="12"/>
  <c r="AW139" i="12"/>
  <c r="AW7" i="12" s="1"/>
  <c r="BM135" i="12"/>
  <c r="BM3" i="12" s="1"/>
  <c r="AP76" i="12"/>
  <c r="T23" i="14"/>
  <c r="S74" i="14"/>
  <c r="S4" i="14" s="1"/>
  <c r="AU6" i="12" l="1"/>
  <c r="AX74" i="12"/>
  <c r="S6" i="14"/>
  <c r="U15" i="4" s="1"/>
  <c r="S5" i="14"/>
  <c r="BM13" i="14"/>
  <c r="U80" i="12"/>
  <c r="T25" i="4"/>
  <c r="T24" i="4"/>
  <c r="S28" i="6" a="1"/>
  <c r="S28" i="6" s="1"/>
  <c r="S30" i="6" s="1"/>
  <c r="Q22" i="5" a="1"/>
  <c r="Q22" i="5" s="1"/>
  <c r="Q24" i="5" s="1"/>
  <c r="U41" i="4"/>
  <c r="Q23" i="5" a="1"/>
  <c r="Q23" i="5" s="1"/>
  <c r="S29" i="6" a="1"/>
  <c r="S29" i="6" s="1"/>
  <c r="U23" i="14"/>
  <c r="BM70" i="12"/>
  <c r="AG21" i="14"/>
  <c r="BN63" i="13"/>
  <c r="BN64" i="13" s="1"/>
  <c r="AW17" i="14"/>
  <c r="AX17" i="14" s="1"/>
  <c r="BN130" i="13"/>
  <c r="AQ75" i="12"/>
  <c r="AI142" i="12"/>
  <c r="AI10" i="12" s="1"/>
  <c r="U145" i="12"/>
  <c r="U13" i="12"/>
  <c r="AQ18" i="14"/>
  <c r="T57" i="4"/>
  <c r="AG78" i="12"/>
  <c r="BI137" i="12"/>
  <c r="BI15" i="14" s="1"/>
  <c r="X12" i="12"/>
  <c r="X79" i="12"/>
  <c r="AQ141" i="12"/>
  <c r="AQ76" i="12" s="1"/>
  <c r="AQ9" i="12"/>
  <c r="T49" i="4"/>
  <c r="BF14" i="14"/>
  <c r="AU73" i="12"/>
  <c r="EZ4" i="7"/>
  <c r="EZ6" i="7" s="1"/>
  <c r="EZ7" i="7"/>
  <c r="FA3" i="7" s="1"/>
  <c r="AX139" i="12"/>
  <c r="AX7" i="12"/>
  <c r="BF71" i="12"/>
  <c r="BF4" i="12"/>
  <c r="S34" i="6" a="1"/>
  <c r="S34" i="6" s="1"/>
  <c r="S42" i="6" s="1"/>
  <c r="T69" i="4"/>
  <c r="BN138" i="14"/>
  <c r="AR76" i="12" l="1"/>
  <c r="AJ142" i="12"/>
  <c r="AJ10" i="12" s="1"/>
  <c r="AR141" i="12"/>
  <c r="AR9" i="12"/>
  <c r="BN70" i="12"/>
  <c r="BO195" i="13"/>
  <c r="BO196" i="13" s="1"/>
  <c r="BN131" i="13"/>
  <c r="S3" i="14"/>
  <c r="S24" i="14" s="1"/>
  <c r="U14" i="4"/>
  <c r="U18" i="4" s="1"/>
  <c r="BN139" i="14"/>
  <c r="AI77" i="12"/>
  <c r="AQ19" i="14"/>
  <c r="AR19" i="14" s="1"/>
  <c r="AY17" i="14"/>
  <c r="V23" i="14"/>
  <c r="BN135" i="12"/>
  <c r="AY139" i="12"/>
  <c r="AY7" i="12"/>
  <c r="V145" i="12"/>
  <c r="V13" i="12" s="1"/>
  <c r="AY74" i="12"/>
  <c r="BI72" i="12"/>
  <c r="Y144" i="12"/>
  <c r="Y22" i="14" s="1"/>
  <c r="Y12" i="12"/>
  <c r="AI20" i="14"/>
  <c r="AR140" i="12"/>
  <c r="T26" i="4"/>
  <c r="Q15" i="5" a="1"/>
  <c r="Q15" i="5" s="1"/>
  <c r="Q16" i="5" s="1"/>
  <c r="S18" i="6" a="1"/>
  <c r="S18" i="6" s="1"/>
  <c r="S19" i="6" s="1"/>
  <c r="T34" i="4"/>
  <c r="BG136" i="12"/>
  <c r="BG4" i="12"/>
  <c r="FA7" i="7"/>
  <c r="FB3" i="7" s="1"/>
  <c r="FA4" i="7"/>
  <c r="FA6" i="7" s="1"/>
  <c r="T50" i="4"/>
  <c r="T72" i="4"/>
  <c r="BI5" i="12"/>
  <c r="AV138" i="12"/>
  <c r="AH143" i="12"/>
  <c r="AH11" i="12" s="1"/>
  <c r="FB4" i="7" l="1"/>
  <c r="FB6" i="7" s="1"/>
  <c r="FB7" i="7"/>
  <c r="FC3" i="7" s="1"/>
  <c r="AR8" i="12"/>
  <c r="AV16" i="14"/>
  <c r="BH136" i="12"/>
  <c r="BH4" i="12"/>
  <c r="AR18" i="14"/>
  <c r="AR75" i="12"/>
  <c r="BO63" i="13"/>
  <c r="BG14" i="14"/>
  <c r="BO130" i="13"/>
  <c r="BJ137" i="12"/>
  <c r="BJ15" i="14" s="1"/>
  <c r="BJ5" i="12"/>
  <c r="N50" i="15"/>
  <c r="S24" i="6" a="1"/>
  <c r="S24" i="6" s="1"/>
  <c r="Q19" i="5" a="1"/>
  <c r="Q19" i="5" s="1"/>
  <c r="AZ139" i="12"/>
  <c r="AZ17" i="14" s="1"/>
  <c r="AZ7" i="12"/>
  <c r="AJ77" i="12"/>
  <c r="AH78" i="12"/>
  <c r="V80" i="12"/>
  <c r="T77" i="4"/>
  <c r="S45" i="6" a="1"/>
  <c r="S45" i="6" s="1"/>
  <c r="S51" i="6" s="1"/>
  <c r="S53" i="6" s="1"/>
  <c r="BG71" i="12"/>
  <c r="AS141" i="12"/>
  <c r="AS19" i="14" s="1"/>
  <c r="AS9" i="12"/>
  <c r="AH21" i="14"/>
  <c r="BN3" i="12"/>
  <c r="BO138" i="14"/>
  <c r="O17" i="15"/>
  <c r="U74" i="4"/>
  <c r="T48" i="6" s="1" a="1"/>
  <c r="T48" i="6" s="1"/>
  <c r="V48" i="6" s="1"/>
  <c r="U60" i="4"/>
  <c r="U147" i="4"/>
  <c r="T13" i="6" a="1"/>
  <c r="T13" i="6" s="1"/>
  <c r="R10" i="5" a="1"/>
  <c r="R10" i="5" s="1"/>
  <c r="BN13" i="14"/>
  <c r="AV6" i="12"/>
  <c r="AJ20" i="14"/>
  <c r="Y79" i="12"/>
  <c r="AV73" i="12"/>
  <c r="V13" i="6" l="1"/>
  <c r="Z144" i="12"/>
  <c r="FC7" i="7"/>
  <c r="FD3" i="7" s="1"/>
  <c r="FC4" i="7"/>
  <c r="FC6" i="7" s="1"/>
  <c r="AI21" i="14"/>
  <c r="AI78" i="12"/>
  <c r="BK137" i="12"/>
  <c r="BK5" i="12"/>
  <c r="AW138" i="12"/>
  <c r="T33" i="6" a="1"/>
  <c r="T33" i="6" s="1"/>
  <c r="AT141" i="12"/>
  <c r="AT19" i="14" s="1"/>
  <c r="AT9" i="12"/>
  <c r="AK77" i="12"/>
  <c r="BK15" i="14"/>
  <c r="BO64" i="13"/>
  <c r="AI143" i="12"/>
  <c r="AI11" i="12" s="1"/>
  <c r="AS76" i="12"/>
  <c r="BH71" i="12"/>
  <c r="BP195" i="13"/>
  <c r="BP196" i="13" s="1"/>
  <c r="BO131" i="13"/>
  <c r="S81" i="12"/>
  <c r="O21" i="15"/>
  <c r="AZ74" i="12"/>
  <c r="BJ72" i="12"/>
  <c r="AK142" i="12"/>
  <c r="AK10" i="12" s="1"/>
  <c r="BO13" i="14"/>
  <c r="BO139" i="14"/>
  <c r="BH14" i="14"/>
  <c r="AS140" i="12"/>
  <c r="AS75" i="12" s="1"/>
  <c r="AS8" i="12"/>
  <c r="S10" i="5"/>
  <c r="BO135" i="12"/>
  <c r="BO3" i="12"/>
  <c r="T79" i="4"/>
  <c r="Q25" i="5" s="1" a="1"/>
  <c r="Q25" i="5" s="1"/>
  <c r="Q26" i="5" s="1"/>
  <c r="T80" i="4"/>
  <c r="W145" i="12"/>
  <c r="BA74" i="12" l="1"/>
  <c r="FD7" i="7"/>
  <c r="FE3" i="7" s="1"/>
  <c r="FD4" i="7"/>
  <c r="FD6" i="7" s="1"/>
  <c r="W13" i="12"/>
  <c r="W23" i="14"/>
  <c r="O22" i="15"/>
  <c r="S14" i="12"/>
  <c r="BP63" i="13"/>
  <c r="Z12" i="12"/>
  <c r="Z22" i="14"/>
  <c r="T167" i="4"/>
  <c r="T141" i="4"/>
  <c r="T142" i="4"/>
  <c r="S117" i="6" s="1" a="1"/>
  <c r="S117" i="6" s="1"/>
  <c r="AT140" i="12"/>
  <c r="AT75" i="12" s="1"/>
  <c r="AT8" i="12"/>
  <c r="BP138" i="14"/>
  <c r="S131" i="12"/>
  <c r="O26" i="15" s="1"/>
  <c r="BP130" i="13"/>
  <c r="W80" i="12"/>
  <c r="BA139" i="12"/>
  <c r="BP135" i="12"/>
  <c r="AS18" i="14"/>
  <c r="AT18" i="14" s="1"/>
  <c r="V33" i="6"/>
  <c r="BO70" i="12"/>
  <c r="AW73" i="12"/>
  <c r="Z79" i="12"/>
  <c r="AL142" i="12"/>
  <c r="AL10" i="12" s="1"/>
  <c r="AT76" i="12"/>
  <c r="BI136" i="12"/>
  <c r="BI71" i="12" s="1"/>
  <c r="AK20" i="14"/>
  <c r="BK72" i="12"/>
  <c r="AW16" i="14"/>
  <c r="AJ143" i="12"/>
  <c r="AJ21" i="14" s="1"/>
  <c r="AJ11" i="12"/>
  <c r="AW6" i="12"/>
  <c r="BL72" i="12" l="1"/>
  <c r="AK143" i="12"/>
  <c r="AK21" i="14" s="1"/>
  <c r="AK11" i="12"/>
  <c r="AU140" i="12"/>
  <c r="AU18" i="14" s="1"/>
  <c r="AJ78" i="12"/>
  <c r="AU141" i="12"/>
  <c r="AL77" i="12"/>
  <c r="FE7" i="7"/>
  <c r="FF3" i="7" s="1"/>
  <c r="FE4" i="7"/>
  <c r="FE6" i="7" s="1"/>
  <c r="BI14" i="14"/>
  <c r="BQ195" i="13"/>
  <c r="BQ196" i="13" s="1"/>
  <c r="BP131" i="13"/>
  <c r="BA17" i="14"/>
  <c r="BA7" i="12"/>
  <c r="U19" i="4"/>
  <c r="O28" i="15"/>
  <c r="T149" i="4"/>
  <c r="Q30" i="5" s="1" a="1"/>
  <c r="Q30" i="5" s="1"/>
  <c r="S116" i="6" a="1"/>
  <c r="S116" i="6" s="1"/>
  <c r="S121" i="6" s="1"/>
  <c r="BP64" i="13"/>
  <c r="AX138" i="12"/>
  <c r="AX6" i="12"/>
  <c r="AL20" i="14"/>
  <c r="BP13" i="14"/>
  <c r="T146" i="12"/>
  <c r="T14" i="12"/>
  <c r="S65" i="12"/>
  <c r="T170" i="4"/>
  <c r="T172" i="4" s="1"/>
  <c r="T179" i="4" s="1"/>
  <c r="Q36" i="5" a="1"/>
  <c r="Q36" i="5" s="1"/>
  <c r="S144" i="6" a="1"/>
  <c r="S144" i="6" s="1"/>
  <c r="O23" i="15"/>
  <c r="U40" i="4"/>
  <c r="U43" i="4" s="1"/>
  <c r="O34" i="15"/>
  <c r="BQ138" i="14"/>
  <c r="BP139" i="14"/>
  <c r="AA22" i="14"/>
  <c r="X23" i="14"/>
  <c r="BI4" i="12"/>
  <c r="BP70" i="12"/>
  <c r="BP3" i="12"/>
  <c r="BL137" i="12"/>
  <c r="AA144" i="12"/>
  <c r="AA79" i="12" s="1"/>
  <c r="AA12" i="12"/>
  <c r="X145" i="12"/>
  <c r="X80" i="12" s="1"/>
  <c r="X13" i="12"/>
  <c r="Y80" i="12" l="1"/>
  <c r="AB79" i="12"/>
  <c r="Y145" i="12"/>
  <c r="Y13" i="12"/>
  <c r="BB139" i="12"/>
  <c r="BB74" i="12" s="1"/>
  <c r="FF4" i="7"/>
  <c r="FF7" i="7"/>
  <c r="FG3" i="7" s="1"/>
  <c r="S155" i="6" a="1"/>
  <c r="S155" i="6" s="1"/>
  <c r="Q44" i="5" a="1"/>
  <c r="Q44" i="5" s="1"/>
  <c r="AY138" i="12"/>
  <c r="AY6" i="12"/>
  <c r="AM77" i="12"/>
  <c r="AB144" i="12"/>
  <c r="AB12" i="12"/>
  <c r="BQ139" i="14"/>
  <c r="AU19" i="14"/>
  <c r="AU9" i="12"/>
  <c r="AU76" i="12"/>
  <c r="AM142" i="12"/>
  <c r="AM10" i="12" s="1"/>
  <c r="AX16" i="14"/>
  <c r="AK78" i="12"/>
  <c r="BL5" i="12"/>
  <c r="BL15" i="14"/>
  <c r="O35" i="15"/>
  <c r="O42" i="15" s="1"/>
  <c r="O36" i="15"/>
  <c r="O40" i="15"/>
  <c r="H20" i="2" s="1"/>
  <c r="H29" i="2" s="1"/>
  <c r="U146" i="12"/>
  <c r="U14" i="12" s="1"/>
  <c r="S146" i="6"/>
  <c r="S148" i="6" s="1"/>
  <c r="BQ130" i="13"/>
  <c r="BQ135" i="12"/>
  <c r="BQ3" i="12"/>
  <c r="BJ136" i="12"/>
  <c r="BJ4" i="12"/>
  <c r="U54" i="4"/>
  <c r="T196" i="12"/>
  <c r="T24" i="14"/>
  <c r="T81" i="12"/>
  <c r="Q38" i="5"/>
  <c r="Q40" i="5" s="1"/>
  <c r="Q50" i="5" s="1"/>
  <c r="BQ63" i="13"/>
  <c r="AX73" i="12"/>
  <c r="AB22" i="14"/>
  <c r="BB17" i="14"/>
  <c r="O47" i="15"/>
  <c r="H16" i="2"/>
  <c r="U33" i="4"/>
  <c r="BQ13" i="14"/>
  <c r="AU75" i="12"/>
  <c r="BQ70" i="12"/>
  <c r="Y23" i="14"/>
  <c r="AM20" i="14"/>
  <c r="R11" i="5" a="1"/>
  <c r="R11" i="5" s="1"/>
  <c r="T14" i="6" a="1"/>
  <c r="T14" i="6" s="1"/>
  <c r="U22" i="4"/>
  <c r="U20" i="4"/>
  <c r="AU8" i="12"/>
  <c r="AC22" i="14" l="1"/>
  <c r="U55" i="4"/>
  <c r="U63" i="4"/>
  <c r="T36" i="6" s="1" a="1"/>
  <c r="T36" i="6" s="1"/>
  <c r="V36" i="6" s="1"/>
  <c r="U62" i="4"/>
  <c r="T35" i="6" s="1" a="1"/>
  <c r="T35" i="6" s="1"/>
  <c r="V35" i="6" s="1"/>
  <c r="U65" i="4"/>
  <c r="T38" i="6" s="1" a="1"/>
  <c r="T38" i="6" s="1"/>
  <c r="V38" i="6" s="1"/>
  <c r="U61" i="4"/>
  <c r="U68" i="4"/>
  <c r="T41" i="6" s="1" a="1"/>
  <c r="T41" i="6" s="1"/>
  <c r="V41" i="6" s="1"/>
  <c r="U66" i="4"/>
  <c r="T39" i="6" s="1" a="1"/>
  <c r="T39" i="6" s="1"/>
  <c r="V39" i="6" s="1"/>
  <c r="U64" i="4"/>
  <c r="T37" i="6" s="1" a="1"/>
  <c r="T37" i="6" s="1"/>
  <c r="V37" i="6" s="1"/>
  <c r="U67" i="4"/>
  <c r="T40" i="6" s="1" a="1"/>
  <c r="T40" i="6" s="1"/>
  <c r="V40" i="6" s="1"/>
  <c r="U56" i="4"/>
  <c r="T27" i="6" a="1"/>
  <c r="T27" i="6" s="1"/>
  <c r="R21" i="5" a="1"/>
  <c r="R21" i="5" s="1"/>
  <c r="S11" i="5"/>
  <c r="S12" i="5" s="1"/>
  <c r="R12" i="5"/>
  <c r="R13" i="5" s="1"/>
  <c r="S13" i="5" s="1"/>
  <c r="R18" i="5" a="1"/>
  <c r="R18" i="5" s="1"/>
  <c r="S18" i="5" s="1"/>
  <c r="T23" i="6" a="1"/>
  <c r="T23" i="6" s="1"/>
  <c r="V23" i="6" s="1"/>
  <c r="BR63" i="13"/>
  <c r="AL78" i="12"/>
  <c r="AZ138" i="12"/>
  <c r="AZ6" i="12"/>
  <c r="AN20" i="14"/>
  <c r="BJ71" i="12"/>
  <c r="BQ64" i="13"/>
  <c r="Z145" i="12"/>
  <c r="Z80" i="12" s="1"/>
  <c r="Z13" i="12"/>
  <c r="Z23" i="14"/>
  <c r="BJ14" i="14"/>
  <c r="U81" i="12"/>
  <c r="T131" i="12"/>
  <c r="P26" i="15" s="1"/>
  <c r="BR135" i="12"/>
  <c r="BR3" i="12"/>
  <c r="BR70" i="12"/>
  <c r="O29" i="15"/>
  <c r="O48" i="15"/>
  <c r="U24" i="14"/>
  <c r="T74" i="14"/>
  <c r="T4" i="14" s="1"/>
  <c r="AY16" i="14"/>
  <c r="AV140" i="12"/>
  <c r="O46" i="15"/>
  <c r="P31" i="15"/>
  <c r="T64" i="12"/>
  <c r="P27" i="15" s="1"/>
  <c r="AN142" i="12"/>
  <c r="AN10" i="12" s="1"/>
  <c r="AC144" i="12"/>
  <c r="AC12" i="12"/>
  <c r="AC79" i="12"/>
  <c r="U23" i="4"/>
  <c r="U21" i="4"/>
  <c r="BR130" i="13"/>
  <c r="BR195" i="13"/>
  <c r="BQ131" i="13"/>
  <c r="O37" i="15"/>
  <c r="O41" i="15" s="1"/>
  <c r="H21" i="2" s="1"/>
  <c r="AV76" i="12"/>
  <c r="FG7" i="7"/>
  <c r="FH3" i="7" s="1"/>
  <c r="FG4" i="7"/>
  <c r="FG6" i="7" s="1"/>
  <c r="BR13" i="14"/>
  <c r="AV141" i="12"/>
  <c r="AV9" i="12"/>
  <c r="FF6" i="7"/>
  <c r="V14" i="6"/>
  <c r="V15" i="6" s="1"/>
  <c r="T15" i="6"/>
  <c r="T16" i="6" s="1"/>
  <c r="V16" i="6" s="1"/>
  <c r="AL143" i="12"/>
  <c r="AY73" i="12"/>
  <c r="BM137" i="12"/>
  <c r="BM72" i="12" s="1"/>
  <c r="BM5" i="12"/>
  <c r="AV19" i="14"/>
  <c r="BB7" i="12"/>
  <c r="AA80" i="12" l="1"/>
  <c r="BS195" i="13"/>
  <c r="BS196" i="13" s="1"/>
  <c r="BR131" i="13"/>
  <c r="AV18" i="14"/>
  <c r="BS63" i="13"/>
  <c r="R23" i="5" a="1"/>
  <c r="R23" i="5" s="1"/>
  <c r="T29" i="6" a="1"/>
  <c r="T29" i="6" s="1"/>
  <c r="V29" i="6" s="1"/>
  <c r="AV75" i="12"/>
  <c r="BC139" i="12"/>
  <c r="BC7" i="12" s="1"/>
  <c r="R22" i="5" a="1"/>
  <c r="R22" i="5" s="1"/>
  <c r="T28" i="6" a="1"/>
  <c r="T28" i="6" s="1"/>
  <c r="V28" i="6" s="1"/>
  <c r="AW19" i="14"/>
  <c r="BA138" i="12"/>
  <c r="BA6" i="12"/>
  <c r="U25" i="4"/>
  <c r="U24" i="4"/>
  <c r="BS135" i="12"/>
  <c r="AW76" i="12"/>
  <c r="AA145" i="12"/>
  <c r="AA23" i="14" s="1"/>
  <c r="AA13" i="12"/>
  <c r="AZ16" i="14"/>
  <c r="AD144" i="12"/>
  <c r="AD12" i="12" s="1"/>
  <c r="T6" i="14"/>
  <c r="V15" i="4" s="1"/>
  <c r="T5" i="14"/>
  <c r="BM15" i="14"/>
  <c r="T34" i="6" a="1"/>
  <c r="T34" i="6" s="1"/>
  <c r="U69" i="4"/>
  <c r="V24" i="14"/>
  <c r="R24" i="5"/>
  <c r="P28" i="15"/>
  <c r="V41" i="4"/>
  <c r="U49" i="4"/>
  <c r="V42" i="4"/>
  <c r="BN137" i="12"/>
  <c r="BN72" i="12" s="1"/>
  <c r="FH4" i="7"/>
  <c r="FH7" i="7"/>
  <c r="FI3" i="7" s="1"/>
  <c r="U57" i="4"/>
  <c r="AN77" i="12"/>
  <c r="AZ73" i="12"/>
  <c r="AW141" i="12"/>
  <c r="AW9" i="12"/>
  <c r="V19" i="4"/>
  <c r="AL21" i="14"/>
  <c r="AL11" i="12"/>
  <c r="BR196" i="13"/>
  <c r="BR64" i="13" s="1"/>
  <c r="BR138" i="14"/>
  <c r="AV8" i="12"/>
  <c r="V81" i="12"/>
  <c r="BK136" i="12"/>
  <c r="V27" i="6"/>
  <c r="V146" i="12"/>
  <c r="V14" i="12" s="1"/>
  <c r="AB23" i="14" l="1"/>
  <c r="T30" i="6"/>
  <c r="AX76" i="12"/>
  <c r="BK4" i="12"/>
  <c r="AD79" i="12"/>
  <c r="AW140" i="12"/>
  <c r="AW18" i="14" s="1"/>
  <c r="AW8" i="12"/>
  <c r="AX141" i="12"/>
  <c r="AX19" i="14" s="1"/>
  <c r="AX9" i="12"/>
  <c r="BN15" i="14"/>
  <c r="BA16" i="14"/>
  <c r="BS13" i="14"/>
  <c r="BS138" i="14"/>
  <c r="BR139" i="14"/>
  <c r="BK71" i="12"/>
  <c r="AB145" i="12"/>
  <c r="AB13" i="12"/>
  <c r="FI7" i="7"/>
  <c r="FJ3" i="7" s="1"/>
  <c r="FI4" i="7"/>
  <c r="FI6" i="7" s="1"/>
  <c r="U50" i="4"/>
  <c r="U72" i="4"/>
  <c r="T3" i="14"/>
  <c r="T25" i="14" s="1"/>
  <c r="V14" i="4"/>
  <c r="BT64" i="13"/>
  <c r="W146" i="12"/>
  <c r="W24" i="14" s="1"/>
  <c r="W14" i="12"/>
  <c r="AM143" i="12"/>
  <c r="AM78" i="12" s="1"/>
  <c r="BA73" i="12"/>
  <c r="FH6" i="7"/>
  <c r="BS70" i="12"/>
  <c r="V22" i="4"/>
  <c r="U26" i="4"/>
  <c r="H6" i="3"/>
  <c r="T18" i="6" a="1"/>
  <c r="T18" i="6" s="1"/>
  <c r="R15" i="5" a="1"/>
  <c r="R15" i="5" s="1"/>
  <c r="U34" i="4"/>
  <c r="BS64" i="13"/>
  <c r="V30" i="6"/>
  <c r="AD22" i="14"/>
  <c r="BN5" i="12"/>
  <c r="BS130" i="13"/>
  <c r="BC17" i="14"/>
  <c r="BC74" i="12"/>
  <c r="BK14" i="14"/>
  <c r="AB80" i="12"/>
  <c r="BB138" i="12"/>
  <c r="BB6" i="12"/>
  <c r="AO77" i="12"/>
  <c r="V34" i="6"/>
  <c r="V42" i="6" s="1"/>
  <c r="T42" i="6"/>
  <c r="BS3" i="12"/>
  <c r="AO142" i="12"/>
  <c r="AX18" i="14" l="1"/>
  <c r="AY19" i="14"/>
  <c r="AY141" i="12"/>
  <c r="AY9" i="12"/>
  <c r="BT138" i="14"/>
  <c r="BT139" i="14"/>
  <c r="BS139" i="14"/>
  <c r="BT135" i="12"/>
  <c r="BT3" i="12"/>
  <c r="AY76" i="12"/>
  <c r="BT195" i="13"/>
  <c r="BT63" i="13" s="1"/>
  <c r="BT131" i="13"/>
  <c r="BS131" i="13"/>
  <c r="T19" i="6"/>
  <c r="V18" i="6"/>
  <c r="FJ4" i="7"/>
  <c r="FJ7" i="7"/>
  <c r="FK3" i="7" s="1"/>
  <c r="AX140" i="12"/>
  <c r="AX8" i="12"/>
  <c r="BO137" i="12"/>
  <c r="BO72" i="12" s="1"/>
  <c r="BO5" i="12"/>
  <c r="AO10" i="12"/>
  <c r="AO20" i="14"/>
  <c r="W81" i="12"/>
  <c r="X146" i="12" s="1"/>
  <c r="BB73" i="12"/>
  <c r="V18" i="4"/>
  <c r="AC145" i="12"/>
  <c r="AC80" i="12" s="1"/>
  <c r="AC13" i="12"/>
  <c r="AE79" i="12"/>
  <c r="AE144" i="12"/>
  <c r="AE12" i="12" s="1"/>
  <c r="AW75" i="12"/>
  <c r="AM21" i="14"/>
  <c r="AM11" i="12"/>
  <c r="BB16" i="14"/>
  <c r="BL136" i="12"/>
  <c r="BL4" i="12" s="1"/>
  <c r="BC138" i="12"/>
  <c r="BC6" i="12"/>
  <c r="BT70" i="12"/>
  <c r="U77" i="4"/>
  <c r="T45" i="6" a="1"/>
  <c r="T45" i="6" s="1"/>
  <c r="O50" i="15"/>
  <c r="R19" i="5" a="1"/>
  <c r="R19" i="5" s="1"/>
  <c r="S19" i="5" s="1"/>
  <c r="T24" i="6" a="1"/>
  <c r="T24" i="6" s="1"/>
  <c r="V24" i="6" s="1"/>
  <c r="R16" i="5"/>
  <c r="S15" i="5"/>
  <c r="S16" i="5" s="1"/>
  <c r="BO15" i="14"/>
  <c r="BD139" i="12"/>
  <c r="BD7" i="12" s="1"/>
  <c r="X24" i="14" l="1"/>
  <c r="X14" i="12"/>
  <c r="BM136" i="12"/>
  <c r="BM4" i="12"/>
  <c r="BE139" i="12"/>
  <c r="BE7" i="12" s="1"/>
  <c r="BC16" i="14"/>
  <c r="AD145" i="12"/>
  <c r="AD80" i="12" s="1"/>
  <c r="AD13" i="12"/>
  <c r="BP15" i="14"/>
  <c r="AP20" i="14"/>
  <c r="AC23" i="14"/>
  <c r="AD23" i="14" s="1"/>
  <c r="AZ76" i="12"/>
  <c r="AN143" i="12"/>
  <c r="AN78" i="12" s="1"/>
  <c r="AN11" i="12"/>
  <c r="AP142" i="12"/>
  <c r="AP77" i="12" s="1"/>
  <c r="AP10" i="12"/>
  <c r="AN21" i="14"/>
  <c r="P17" i="15"/>
  <c r="V20" i="4"/>
  <c r="V147" i="4"/>
  <c r="V60" i="4"/>
  <c r="V74" i="4"/>
  <c r="BP137" i="12"/>
  <c r="BP5" i="12"/>
  <c r="AZ141" i="12"/>
  <c r="AZ19" i="14" s="1"/>
  <c r="BL71" i="12"/>
  <c r="BD17" i="14"/>
  <c r="BE17" i="14" s="1"/>
  <c r="BP72" i="12"/>
  <c r="BT130" i="13"/>
  <c r="BU135" i="12"/>
  <c r="BU3" i="12" s="1"/>
  <c r="T51" i="6"/>
  <c r="T53" i="6" s="1"/>
  <c r="V45" i="6"/>
  <c r="V51" i="6" s="1"/>
  <c r="V53" i="6" s="1"/>
  <c r="AX75" i="12"/>
  <c r="AY140" i="12" s="1"/>
  <c r="BC73" i="12"/>
  <c r="FK7" i="7"/>
  <c r="FL3" i="7" s="1"/>
  <c r="FK4" i="7"/>
  <c r="FK6" i="7" s="1"/>
  <c r="U80" i="4"/>
  <c r="U79" i="4"/>
  <c r="R25" i="5" s="1" a="1"/>
  <c r="R25" i="5" s="1"/>
  <c r="R26" i="5" s="1"/>
  <c r="AF144" i="12"/>
  <c r="AF79" i="12" s="1"/>
  <c r="AE22" i="14"/>
  <c r="FJ6" i="7"/>
  <c r="BD74" i="12"/>
  <c r="BL14" i="14"/>
  <c r="V20" i="6"/>
  <c r="V19" i="6"/>
  <c r="V21" i="6" s="1"/>
  <c r="X81" i="12"/>
  <c r="AY8" i="12" l="1"/>
  <c r="AY18" i="14"/>
  <c r="AF22" i="14"/>
  <c r="AF12" i="12"/>
  <c r="BM14" i="14"/>
  <c r="AQ142" i="12"/>
  <c r="AQ20" i="14" s="1"/>
  <c r="BE74" i="12"/>
  <c r="T82" i="12"/>
  <c r="P21" i="15"/>
  <c r="AE145" i="12"/>
  <c r="AE80" i="12" s="1"/>
  <c r="AE13" i="12"/>
  <c r="U167" i="4"/>
  <c r="U141" i="4"/>
  <c r="U142" i="4"/>
  <c r="T117" i="6" s="1" a="1"/>
  <c r="T117" i="6" s="1"/>
  <c r="BM71" i="12"/>
  <c r="BQ137" i="12"/>
  <c r="BQ72" i="12" s="1"/>
  <c r="BQ5" i="12"/>
  <c r="AO143" i="12"/>
  <c r="AO21" i="14" s="1"/>
  <c r="AO11" i="12"/>
  <c r="BU70" i="12"/>
  <c r="AZ9" i="12"/>
  <c r="AO78" i="12"/>
  <c r="AY75" i="12"/>
  <c r="V23" i="4"/>
  <c r="V21" i="4"/>
  <c r="Y146" i="12"/>
  <c r="Y81" i="12" s="1"/>
  <c r="FL7" i="7"/>
  <c r="FM3" i="7" s="1"/>
  <c r="FL4" i="7"/>
  <c r="BU195" i="13"/>
  <c r="BD138" i="12"/>
  <c r="BD73" i="12" s="1"/>
  <c r="Y24" i="14"/>
  <c r="BA141" i="12" l="1"/>
  <c r="BA9" i="12" s="1"/>
  <c r="BD16" i="14"/>
  <c r="AF145" i="12"/>
  <c r="AF80" i="12" s="1"/>
  <c r="AF13" i="12"/>
  <c r="BF74" i="12"/>
  <c r="BF139" i="12"/>
  <c r="BU138" i="14"/>
  <c r="BU63" i="13"/>
  <c r="AP143" i="12"/>
  <c r="AP21" i="14" s="1"/>
  <c r="AP11" i="12"/>
  <c r="BQ15" i="14"/>
  <c r="AG144" i="12"/>
  <c r="AG79" i="12" s="1"/>
  <c r="FL6" i="7"/>
  <c r="V49" i="4"/>
  <c r="AQ77" i="12"/>
  <c r="AE23" i="14"/>
  <c r="FM7" i="7"/>
  <c r="FN3" i="7" s="1"/>
  <c r="FM4" i="7"/>
  <c r="FM6" i="7" s="1"/>
  <c r="V25" i="4"/>
  <c r="V24" i="4"/>
  <c r="U149" i="4"/>
  <c r="R30" i="5" s="1" a="1"/>
  <c r="R30" i="5" s="1"/>
  <c r="R38" i="5" s="1"/>
  <c r="R40" i="5" s="1"/>
  <c r="R50" i="5" s="1"/>
  <c r="T116" i="6" a="1"/>
  <c r="T116" i="6" s="1"/>
  <c r="T121" i="6" s="1"/>
  <c r="T146" i="6" s="1"/>
  <c r="T148" i="6" s="1"/>
  <c r="P22" i="15"/>
  <c r="T15" i="12"/>
  <c r="AQ10" i="12"/>
  <c r="BN136" i="12"/>
  <c r="BD6" i="12"/>
  <c r="U170" i="4"/>
  <c r="U172" i="4" s="1"/>
  <c r="U179" i="4" s="1"/>
  <c r="T144" i="6" a="1"/>
  <c r="T144" i="6" s="1"/>
  <c r="R36" i="5" a="1"/>
  <c r="R36" i="5" s="1"/>
  <c r="BR137" i="12"/>
  <c r="BR72" i="12" s="1"/>
  <c r="BR5" i="12"/>
  <c r="Y14" i="12"/>
  <c r="AZ75" i="12"/>
  <c r="BU130" i="13"/>
  <c r="AG22" i="14"/>
  <c r="AZ140" i="12"/>
  <c r="AZ18" i="14" s="1"/>
  <c r="AZ8" i="12"/>
  <c r="AG80" i="12" l="1"/>
  <c r="Z146" i="12"/>
  <c r="Z14" i="12"/>
  <c r="AG145" i="12"/>
  <c r="AG13" i="12"/>
  <c r="BS137" i="12"/>
  <c r="BS72" i="12" s="1"/>
  <c r="BS5" i="12"/>
  <c r="BN4" i="12"/>
  <c r="AR142" i="12"/>
  <c r="AR20" i="14" s="1"/>
  <c r="V50" i="4"/>
  <c r="V72" i="4"/>
  <c r="AP78" i="12"/>
  <c r="U147" i="12"/>
  <c r="T65" i="12"/>
  <c r="V26" i="4"/>
  <c r="BN71" i="12"/>
  <c r="P23" i="15"/>
  <c r="V40" i="4"/>
  <c r="P34" i="15"/>
  <c r="BF17" i="14"/>
  <c r="BF7" i="12"/>
  <c r="FN4" i="7"/>
  <c r="FN7" i="7"/>
  <c r="FO3" i="7" s="1"/>
  <c r="AG12" i="12"/>
  <c r="BA140" i="12"/>
  <c r="BA18" i="14" s="1"/>
  <c r="BA8" i="12"/>
  <c r="R44" i="5" a="1"/>
  <c r="R44" i="5" s="1"/>
  <c r="T155" i="6" a="1"/>
  <c r="T155" i="6" s="1"/>
  <c r="AF23" i="14"/>
  <c r="AG23" i="14" s="1"/>
  <c r="BN14" i="14"/>
  <c r="BA75" i="12"/>
  <c r="BE138" i="12"/>
  <c r="BE6" i="12" s="1"/>
  <c r="BR15" i="14"/>
  <c r="BS15" i="14" s="1"/>
  <c r="BA76" i="12"/>
  <c r="BA19" i="14"/>
  <c r="U196" i="12" l="1"/>
  <c r="U25" i="14"/>
  <c r="U82" i="12"/>
  <c r="BE16" i="14"/>
  <c r="Z81" i="12"/>
  <c r="AA146" i="12" s="1"/>
  <c r="AA14" i="12" s="1"/>
  <c r="Z24" i="14"/>
  <c r="AH144" i="12"/>
  <c r="AH12" i="12"/>
  <c r="P48" i="15"/>
  <c r="P47" i="15"/>
  <c r="V33" i="4"/>
  <c r="V77" i="4"/>
  <c r="BT137" i="12"/>
  <c r="BT72" i="12" s="1"/>
  <c r="BT5" i="12"/>
  <c r="AH80" i="12"/>
  <c r="AR77" i="12"/>
  <c r="FO7" i="7"/>
  <c r="FP3" i="7" s="1"/>
  <c r="FO4" i="7"/>
  <c r="FO6" i="7" s="1"/>
  <c r="FN6" i="7"/>
  <c r="AH145" i="12"/>
  <c r="AH13" i="12" s="1"/>
  <c r="BG139" i="12"/>
  <c r="BG74" i="12" s="1"/>
  <c r="BG7" i="12"/>
  <c r="AR10" i="12"/>
  <c r="BB76" i="12"/>
  <c r="V43" i="4"/>
  <c r="BE73" i="12"/>
  <c r="BG17" i="14"/>
  <c r="BB141" i="12"/>
  <c r="BB9" i="12" s="1"/>
  <c r="BO136" i="12"/>
  <c r="BO4" i="12"/>
  <c r="BB140" i="12"/>
  <c r="BB8" i="12" s="1"/>
  <c r="BB75" i="12"/>
  <c r="P37" i="15"/>
  <c r="P36" i="15"/>
  <c r="P35" i="15"/>
  <c r="P40" i="15"/>
  <c r="U15" i="12"/>
  <c r="AQ143" i="12"/>
  <c r="BC140" i="12" l="1"/>
  <c r="BC8" i="12"/>
  <c r="AI145" i="12"/>
  <c r="AI80" i="12" s="1"/>
  <c r="AI13" i="12"/>
  <c r="AQ21" i="14"/>
  <c r="AQ11" i="12"/>
  <c r="P41" i="15"/>
  <c r="AS77" i="12"/>
  <c r="V147" i="12"/>
  <c r="V15" i="12" s="1"/>
  <c r="AQ78" i="12"/>
  <c r="AS142" i="12"/>
  <c r="AS20" i="14" s="1"/>
  <c r="AS10" i="12"/>
  <c r="BO14" i="14"/>
  <c r="P43" i="15"/>
  <c r="P46" i="15"/>
  <c r="P29" i="15"/>
  <c r="AI144" i="12"/>
  <c r="AI12" i="12"/>
  <c r="BB18" i="14"/>
  <c r="BC18" i="14" s="1"/>
  <c r="BH17" i="14"/>
  <c r="BH139" i="12"/>
  <c r="BH7" i="12"/>
  <c r="AH22" i="14"/>
  <c r="AH79" i="12"/>
  <c r="BH74" i="12"/>
  <c r="BO71" i="12"/>
  <c r="BP136" i="12" s="1"/>
  <c r="AH23" i="14"/>
  <c r="BC141" i="12"/>
  <c r="BC9" i="12"/>
  <c r="P42" i="15"/>
  <c r="U74" i="14"/>
  <c r="U4" i="14" s="1"/>
  <c r="AA81" i="12"/>
  <c r="BC76" i="12"/>
  <c r="BC75" i="12"/>
  <c r="BU137" i="12"/>
  <c r="BU72" i="12" s="1"/>
  <c r="BU5" i="12"/>
  <c r="BB19" i="14"/>
  <c r="V54" i="4"/>
  <c r="FP4" i="7"/>
  <c r="FP6" i="7" s="1"/>
  <c r="FP7" i="7"/>
  <c r="FQ3" i="7" s="1"/>
  <c r="AA24" i="14"/>
  <c r="Q31" i="15"/>
  <c r="U64" i="12"/>
  <c r="Q27" i="15" s="1"/>
  <c r="BF138" i="12"/>
  <c r="BP4" i="12" l="1"/>
  <c r="BF6" i="12"/>
  <c r="V55" i="4"/>
  <c r="V34" i="4"/>
  <c r="P50" i="15" s="1"/>
  <c r="V61" i="4"/>
  <c r="V62" i="4"/>
  <c r="V66" i="4"/>
  <c r="V68" i="4"/>
  <c r="V67" i="4"/>
  <c r="V65" i="4"/>
  <c r="V63" i="4"/>
  <c r="V64" i="4"/>
  <c r="V56" i="4"/>
  <c r="W41" i="4"/>
  <c r="BD141" i="12"/>
  <c r="BD9" i="12"/>
  <c r="AJ144" i="12"/>
  <c r="AJ12" i="12"/>
  <c r="AT142" i="12"/>
  <c r="AT10" i="12"/>
  <c r="AJ145" i="12"/>
  <c r="AJ13" i="12" s="1"/>
  <c r="W42" i="4"/>
  <c r="BD76" i="12"/>
  <c r="BF73" i="12"/>
  <c r="AT20" i="14"/>
  <c r="AB24" i="14"/>
  <c r="AB81" i="12"/>
  <c r="V82" i="12"/>
  <c r="W147" i="12" s="1"/>
  <c r="W15" i="12" s="1"/>
  <c r="AI79" i="12"/>
  <c r="AR78" i="12"/>
  <c r="BC19" i="14"/>
  <c r="BD19" i="14" s="1"/>
  <c r="U6" i="14"/>
  <c r="W15" i="4" s="1"/>
  <c r="U5" i="14"/>
  <c r="AI23" i="14"/>
  <c r="AJ23" i="14" s="1"/>
  <c r="AI22" i="14"/>
  <c r="AJ22" i="14" s="1"/>
  <c r="AB146" i="12"/>
  <c r="AB14" i="12" s="1"/>
  <c r="FQ7" i="7"/>
  <c r="FR3" i="7" s="1"/>
  <c r="FQ4" i="7"/>
  <c r="FQ6" i="7" s="1"/>
  <c r="V25" i="14"/>
  <c r="BI139" i="12"/>
  <c r="BI7" i="12"/>
  <c r="BF16" i="14"/>
  <c r="P44" i="15"/>
  <c r="BP71" i="12"/>
  <c r="BI17" i="14"/>
  <c r="BP14" i="14"/>
  <c r="AR143" i="12"/>
  <c r="AR11" i="12"/>
  <c r="BD140" i="12"/>
  <c r="BD75" i="12" s="1"/>
  <c r="BD8" i="12"/>
  <c r="BI74" i="12"/>
  <c r="BD18" i="14"/>
  <c r="AT77" i="12"/>
  <c r="AR21" i="14"/>
  <c r="BE75" i="12" l="1"/>
  <c r="AC81" i="12"/>
  <c r="AU77" i="12"/>
  <c r="BJ139" i="12"/>
  <c r="BJ74" i="12" s="1"/>
  <c r="BJ7" i="12"/>
  <c r="U3" i="14"/>
  <c r="U26" i="14" s="1"/>
  <c r="W14" i="4"/>
  <c r="AU20" i="14"/>
  <c r="AU142" i="12"/>
  <c r="AU10" i="12"/>
  <c r="BQ14" i="14"/>
  <c r="BJ17" i="14"/>
  <c r="AJ80" i="12"/>
  <c r="AK145" i="12" s="1"/>
  <c r="AC24" i="14"/>
  <c r="BE140" i="12"/>
  <c r="BE8" i="12"/>
  <c r="W25" i="14"/>
  <c r="AK144" i="12"/>
  <c r="AK12" i="12" s="1"/>
  <c r="BG16" i="14"/>
  <c r="BG138" i="12"/>
  <c r="BG6" i="12"/>
  <c r="BE19" i="14"/>
  <c r="V69" i="4"/>
  <c r="AS78" i="12"/>
  <c r="FR4" i="7"/>
  <c r="FR7" i="7"/>
  <c r="FS3" i="7" s="1"/>
  <c r="AJ79" i="12"/>
  <c r="BE141" i="12"/>
  <c r="BE76" i="12" s="1"/>
  <c r="BE9" i="12"/>
  <c r="BQ136" i="12"/>
  <c r="BQ4" i="12"/>
  <c r="AS143" i="12"/>
  <c r="AS11" i="12"/>
  <c r="AS21" i="14"/>
  <c r="AC146" i="12"/>
  <c r="AC14" i="12"/>
  <c r="W82" i="12"/>
  <c r="X147" i="12" s="1"/>
  <c r="X15" i="12" s="1"/>
  <c r="V57" i="4"/>
  <c r="AK13" i="12" l="1"/>
  <c r="AK23" i="14"/>
  <c r="FR6" i="7"/>
  <c r="AD146" i="12"/>
  <c r="AD14" i="12"/>
  <c r="X25" i="14"/>
  <c r="BK139" i="12"/>
  <c r="BK74" i="12" s="1"/>
  <c r="BK7" i="12"/>
  <c r="AD81" i="12"/>
  <c r="BQ71" i="12"/>
  <c r="AK22" i="14"/>
  <c r="BF141" i="12"/>
  <c r="BF76" i="12" s="1"/>
  <c r="BF9" i="12"/>
  <c r="BF140" i="12"/>
  <c r="BF8" i="12"/>
  <c r="BG73" i="12"/>
  <c r="AT143" i="12"/>
  <c r="AT78" i="12" s="1"/>
  <c r="AT11" i="12"/>
  <c r="AV142" i="12"/>
  <c r="AV10" i="12"/>
  <c r="V79" i="4"/>
  <c r="V80" i="4"/>
  <c r="BE18" i="14"/>
  <c r="BF18" i="14" s="1"/>
  <c r="X82" i="12"/>
  <c r="AK79" i="12"/>
  <c r="AL144" i="12" s="1"/>
  <c r="AL12" i="12" s="1"/>
  <c r="AV20" i="14"/>
  <c r="AV77" i="12"/>
  <c r="BF19" i="14"/>
  <c r="AD24" i="14"/>
  <c r="FS7" i="7"/>
  <c r="FT3" i="7" s="1"/>
  <c r="FS4" i="7"/>
  <c r="FS6" i="7" s="1"/>
  <c r="AK80" i="12"/>
  <c r="W18" i="4"/>
  <c r="BF75" i="12"/>
  <c r="AU78" i="12" l="1"/>
  <c r="BG141" i="12"/>
  <c r="BG76" i="12" s="1"/>
  <c r="BG9" i="12"/>
  <c r="BL139" i="12"/>
  <c r="BL74" i="12" s="1"/>
  <c r="BL7" i="12"/>
  <c r="AL145" i="12"/>
  <c r="AL23" i="14" s="1"/>
  <c r="AL13" i="12"/>
  <c r="BH73" i="12"/>
  <c r="AE24" i="14"/>
  <c r="AU143" i="12"/>
  <c r="AU11" i="12"/>
  <c r="AW77" i="12"/>
  <c r="AT21" i="14"/>
  <c r="AU21" i="14" s="1"/>
  <c r="Q17" i="15"/>
  <c r="W60" i="4"/>
  <c r="W147" i="4"/>
  <c r="W74" i="4"/>
  <c r="BG19" i="14"/>
  <c r="V167" i="4"/>
  <c r="V142" i="4"/>
  <c r="V141" i="4"/>
  <c r="AL22" i="14"/>
  <c r="Y147" i="12"/>
  <c r="Y15" i="12" s="1"/>
  <c r="BK17" i="14"/>
  <c r="BL17" i="14" s="1"/>
  <c r="BG140" i="12"/>
  <c r="BG18" i="14" s="1"/>
  <c r="AW142" i="12"/>
  <c r="AW20" i="14" s="1"/>
  <c r="AW10" i="12"/>
  <c r="AE146" i="12"/>
  <c r="AE81" i="12" s="1"/>
  <c r="AE14" i="12"/>
  <c r="BH138" i="12"/>
  <c r="FT7" i="7"/>
  <c r="FU3" i="7" s="1"/>
  <c r="FT4" i="7"/>
  <c r="AL79" i="12"/>
  <c r="BR71" i="12"/>
  <c r="BR136" i="12"/>
  <c r="AF146" i="12" l="1"/>
  <c r="AF81" i="12" s="1"/>
  <c r="AF14" i="12"/>
  <c r="U83" i="12"/>
  <c r="Q21" i="15"/>
  <c r="AF24" i="14"/>
  <c r="BH141" i="12"/>
  <c r="BH19" i="14" s="1"/>
  <c r="BH9" i="12"/>
  <c r="AV21" i="14"/>
  <c r="AX77" i="12"/>
  <c r="Y82" i="12"/>
  <c r="Z147" i="12" s="1"/>
  <c r="Z15" i="12" s="1"/>
  <c r="AX142" i="12"/>
  <c r="AX20" i="14" s="1"/>
  <c r="AM22" i="14"/>
  <c r="FT6" i="7"/>
  <c r="BG75" i="12"/>
  <c r="FU7" i="7"/>
  <c r="FV3" i="7" s="1"/>
  <c r="FU4" i="7"/>
  <c r="FU6" i="7" s="1"/>
  <c r="AL80" i="12"/>
  <c r="V149" i="4"/>
  <c r="V170" i="4" s="1"/>
  <c r="V172" i="4" s="1"/>
  <c r="V179" i="4" s="1"/>
  <c r="BM139" i="12"/>
  <c r="BM17" i="14" s="1"/>
  <c r="AM144" i="12"/>
  <c r="AM12" i="12" s="1"/>
  <c r="Y25" i="14"/>
  <c r="AV143" i="12"/>
  <c r="AV78" i="12" s="1"/>
  <c r="AV11" i="12"/>
  <c r="BR4" i="12"/>
  <c r="BR14" i="14"/>
  <c r="BH16" i="14"/>
  <c r="BH6" i="12"/>
  <c r="BG8" i="12"/>
  <c r="AG146" i="12" l="1"/>
  <c r="AG81" i="12" s="1"/>
  <c r="AG14" i="12"/>
  <c r="BM7" i="12"/>
  <c r="BI141" i="12"/>
  <c r="BI19" i="14" s="1"/>
  <c r="BI9" i="12"/>
  <c r="BS136" i="12"/>
  <c r="BS4" i="12"/>
  <c r="AX10" i="12"/>
  <c r="AG24" i="14"/>
  <c r="BH76" i="12"/>
  <c r="AW143" i="12"/>
  <c r="AW78" i="12" s="1"/>
  <c r="AW11" i="12"/>
  <c r="AM79" i="12"/>
  <c r="Q22" i="15"/>
  <c r="U16" i="12"/>
  <c r="U131" i="12"/>
  <c r="Q26" i="15" s="1"/>
  <c r="BM74" i="12"/>
  <c r="Z82" i="12"/>
  <c r="AM80" i="12"/>
  <c r="FV4" i="7"/>
  <c r="FV7" i="7"/>
  <c r="FW3" i="7" s="1"/>
  <c r="BH140" i="12"/>
  <c r="BH18" i="14" s="1"/>
  <c r="BH8" i="12"/>
  <c r="BI138" i="12"/>
  <c r="BI6" i="12"/>
  <c r="Z25" i="14"/>
  <c r="AM145" i="12"/>
  <c r="AA82" i="12" l="1"/>
  <c r="Q23" i="15"/>
  <c r="W40" i="4"/>
  <c r="Q34" i="15"/>
  <c r="BI73" i="12"/>
  <c r="BS71" i="12"/>
  <c r="AA147" i="12"/>
  <c r="AA15" i="12" s="1"/>
  <c r="BI140" i="12"/>
  <c r="AH146" i="12"/>
  <c r="AH81" i="12" s="1"/>
  <c r="AH14" i="12"/>
  <c r="BI76" i="12"/>
  <c r="V148" i="12"/>
  <c r="V16" i="12"/>
  <c r="U65" i="12"/>
  <c r="AM23" i="14"/>
  <c r="AM13" i="12"/>
  <c r="BJ141" i="12"/>
  <c r="BJ19" i="14" s="1"/>
  <c r="BJ9" i="12"/>
  <c r="FW7" i="7"/>
  <c r="FX3" i="7" s="1"/>
  <c r="FW4" i="7"/>
  <c r="FW6" i="7" s="1"/>
  <c r="AW21" i="14"/>
  <c r="AH24" i="14"/>
  <c r="BN139" i="12"/>
  <c r="BN17" i="14" s="1"/>
  <c r="BN7" i="12"/>
  <c r="BJ138" i="12"/>
  <c r="BJ6" i="12"/>
  <c r="BT136" i="12"/>
  <c r="AX143" i="12"/>
  <c r="AX78" i="12" s="1"/>
  <c r="AX11" i="12"/>
  <c r="BS14" i="14"/>
  <c r="W19" i="4"/>
  <c r="Q28" i="15"/>
  <c r="BI16" i="14"/>
  <c r="FV6" i="7"/>
  <c r="AY142" i="12"/>
  <c r="AY10" i="12" s="1"/>
  <c r="BH75" i="12"/>
  <c r="AN144" i="12"/>
  <c r="BI75" i="12" l="1"/>
  <c r="FX4" i="7"/>
  <c r="FX6" i="7" s="1"/>
  <c r="FX7" i="7"/>
  <c r="FY3" i="7" s="1"/>
  <c r="V196" i="12"/>
  <c r="V26" i="14"/>
  <c r="V83" i="12"/>
  <c r="AA25" i="14"/>
  <c r="BT14" i="14"/>
  <c r="Q40" i="15"/>
  <c r="Q29" i="15" s="1"/>
  <c r="Q35" i="15"/>
  <c r="Q36" i="15"/>
  <c r="Q37" i="15"/>
  <c r="AB147" i="12"/>
  <c r="AB82" i="12" s="1"/>
  <c r="AB15" i="12"/>
  <c r="W43" i="4"/>
  <c r="BT15" i="14"/>
  <c r="BJ76" i="12"/>
  <c r="BT71" i="12"/>
  <c r="Q47" i="15"/>
  <c r="W33" i="4"/>
  <c r="AN12" i="12"/>
  <c r="AN22" i="14"/>
  <c r="W22" i="4"/>
  <c r="W20" i="4"/>
  <c r="AY20" i="14"/>
  <c r="AY77" i="12"/>
  <c r="AY143" i="12"/>
  <c r="AY78" i="12" s="1"/>
  <c r="AY11" i="12"/>
  <c r="BO139" i="12"/>
  <c r="BO7" i="12" s="1"/>
  <c r="AN145" i="12"/>
  <c r="AN80" i="12" s="1"/>
  <c r="AN13" i="12"/>
  <c r="BI18" i="14"/>
  <c r="AN23" i="14"/>
  <c r="AI146" i="12"/>
  <c r="AI81" i="12" s="1"/>
  <c r="AI14" i="12"/>
  <c r="Q46" i="15"/>
  <c r="AN79" i="12"/>
  <c r="BJ73" i="12"/>
  <c r="BN74" i="12"/>
  <c r="BJ16" i="14"/>
  <c r="BT4" i="12"/>
  <c r="AX21" i="14"/>
  <c r="AY21" i="14" s="1"/>
  <c r="BI8" i="12"/>
  <c r="AO144" i="12" l="1"/>
  <c r="AO22" i="14" s="1"/>
  <c r="AO12" i="12"/>
  <c r="BK76" i="12"/>
  <c r="BU136" i="12"/>
  <c r="BU4" i="12" s="1"/>
  <c r="W21" i="4"/>
  <c r="W23" i="4"/>
  <c r="BJ18" i="14"/>
  <c r="BJ140" i="12"/>
  <c r="BJ8" i="12" s="1"/>
  <c r="AJ146" i="12"/>
  <c r="AJ81" i="12" s="1"/>
  <c r="AJ14" i="12"/>
  <c r="BK73" i="12"/>
  <c r="AZ143" i="12"/>
  <c r="AZ11" i="12" s="1"/>
  <c r="BK138" i="12"/>
  <c r="AB25" i="14"/>
  <c r="Q41" i="15"/>
  <c r="V131" i="12"/>
  <c r="R26" i="15" s="1"/>
  <c r="AZ142" i="12"/>
  <c r="AZ10" i="12" s="1"/>
  <c r="BK16" i="14"/>
  <c r="AO145" i="12"/>
  <c r="AO13" i="12" s="1"/>
  <c r="Q48" i="15"/>
  <c r="W26" i="14"/>
  <c r="V74" i="14"/>
  <c r="V4" i="14" s="1"/>
  <c r="BO74" i="12"/>
  <c r="BP139" i="12" s="1"/>
  <c r="BP7" i="12" s="1"/>
  <c r="BK141" i="12"/>
  <c r="W148" i="12"/>
  <c r="W16" i="12" s="1"/>
  <c r="W54" i="4"/>
  <c r="Q42" i="15"/>
  <c r="R31" i="15"/>
  <c r="V64" i="12"/>
  <c r="R27" i="15" s="1"/>
  <c r="AO23" i="14"/>
  <c r="BU15" i="14"/>
  <c r="BO17" i="14"/>
  <c r="AI24" i="14"/>
  <c r="Q43" i="15"/>
  <c r="FY7" i="7"/>
  <c r="FZ3" i="7" s="1"/>
  <c r="FY4" i="7"/>
  <c r="AC147" i="12"/>
  <c r="AC82" i="12" s="1"/>
  <c r="AK81" i="12" l="1"/>
  <c r="V6" i="14"/>
  <c r="X15" i="4" s="1"/>
  <c r="V5" i="14"/>
  <c r="AC25" i="14"/>
  <c r="AZ77" i="12"/>
  <c r="BA142" i="12" s="1"/>
  <c r="BA10" i="12" s="1"/>
  <c r="AP144" i="12"/>
  <c r="AP12" i="12" s="1"/>
  <c r="AZ21" i="14"/>
  <c r="W25" i="4"/>
  <c r="W24" i="4"/>
  <c r="BU71" i="12"/>
  <c r="W62" i="4"/>
  <c r="W34" i="4"/>
  <c r="Q50" i="15" s="1"/>
  <c r="W67" i="4"/>
  <c r="W63" i="4"/>
  <c r="W55" i="4"/>
  <c r="W66" i="4"/>
  <c r="W64" i="4"/>
  <c r="W68" i="4"/>
  <c r="W65" i="4"/>
  <c r="W61" i="4"/>
  <c r="W56" i="4"/>
  <c r="X19" i="4"/>
  <c r="AO79" i="12"/>
  <c r="AK146" i="12"/>
  <c r="AK14" i="12"/>
  <c r="W49" i="4"/>
  <c r="AZ78" i="12"/>
  <c r="R28" i="15"/>
  <c r="X41" i="4"/>
  <c r="W83" i="12"/>
  <c r="BJ75" i="12"/>
  <c r="AC15" i="12"/>
  <c r="AJ24" i="14"/>
  <c r="AK24" i="14" s="1"/>
  <c r="X42" i="4"/>
  <c r="BK19" i="14"/>
  <c r="BK9" i="12"/>
  <c r="BK6" i="12"/>
  <c r="FZ4" i="7"/>
  <c r="FZ6" i="7" s="1"/>
  <c r="FZ7" i="7"/>
  <c r="GA3" i="7" s="1"/>
  <c r="BP17" i="14"/>
  <c r="AO80" i="12"/>
  <c r="AZ20" i="14"/>
  <c r="FY6" i="7"/>
  <c r="BP74" i="12"/>
  <c r="BQ139" i="12" s="1"/>
  <c r="BQ7" i="12" s="1"/>
  <c r="Q44" i="15"/>
  <c r="BU14" i="14"/>
  <c r="BU74" i="14" s="1"/>
  <c r="BU4" i="14" s="1"/>
  <c r="AD147" i="12" l="1"/>
  <c r="AD82" i="12" s="1"/>
  <c r="W26" i="4"/>
  <c r="X22" i="4"/>
  <c r="BA20" i="14"/>
  <c r="BL141" i="12"/>
  <c r="BL76" i="12" s="1"/>
  <c r="BL9" i="12"/>
  <c r="W50" i="4"/>
  <c r="W72" i="4"/>
  <c r="W69" i="4"/>
  <c r="BU6" i="14"/>
  <c r="BU5" i="14"/>
  <c r="BU3" i="14" s="1"/>
  <c r="AP80" i="12"/>
  <c r="BL19" i="14"/>
  <c r="X148" i="12"/>
  <c r="X83" i="12" s="1"/>
  <c r="AL146" i="12"/>
  <c r="AL14" i="12" s="1"/>
  <c r="AP145" i="12"/>
  <c r="BQ17" i="14"/>
  <c r="W57" i="4"/>
  <c r="BK140" i="12"/>
  <c r="BK75" i="12" s="1"/>
  <c r="V3" i="14"/>
  <c r="V27" i="14" s="1"/>
  <c r="X14" i="4"/>
  <c r="AP79" i="12"/>
  <c r="AP22" i="14"/>
  <c r="BL138" i="12"/>
  <c r="BL6" i="12"/>
  <c r="BA77" i="12"/>
  <c r="BQ74" i="12"/>
  <c r="GA7" i="7"/>
  <c r="GB3" i="7" s="1"/>
  <c r="GA4" i="7"/>
  <c r="GA6" i="7" s="1"/>
  <c r="BA143" i="12"/>
  <c r="BA11" i="12" s="1"/>
  <c r="BR74" i="12" l="1"/>
  <c r="BB77" i="12"/>
  <c r="BR139" i="12"/>
  <c r="BR7" i="12" s="1"/>
  <c r="AP23" i="14"/>
  <c r="AP13" i="12"/>
  <c r="AD25" i="14"/>
  <c r="AL24" i="14"/>
  <c r="BA78" i="12"/>
  <c r="BB20" i="14"/>
  <c r="BB142" i="12"/>
  <c r="BB10" i="12" s="1"/>
  <c r="AQ79" i="12"/>
  <c r="BR17" i="14"/>
  <c r="BA21" i="14"/>
  <c r="BB21" i="14" s="1"/>
  <c r="BB143" i="12"/>
  <c r="BB11" i="12"/>
  <c r="X26" i="14"/>
  <c r="X16" i="12"/>
  <c r="W77" i="4"/>
  <c r="X18" i="4"/>
  <c r="BM141" i="12"/>
  <c r="BM19" i="14" s="1"/>
  <c r="BM9" i="12"/>
  <c r="BL16" i="14"/>
  <c r="BL73" i="12"/>
  <c r="BM138" i="12" s="1"/>
  <c r="AL81" i="12"/>
  <c r="GB7" i="7"/>
  <c r="GC3" i="7" s="1"/>
  <c r="GB4" i="7"/>
  <c r="GB6" i="7" s="1"/>
  <c r="BK18" i="14"/>
  <c r="BK8" i="12"/>
  <c r="AD15" i="12"/>
  <c r="AQ144" i="12"/>
  <c r="AQ12" i="12" s="1"/>
  <c r="BM6" i="12" l="1"/>
  <c r="BC142" i="12"/>
  <c r="BC10" i="12"/>
  <c r="AQ145" i="12"/>
  <c r="AQ80" i="12" s="1"/>
  <c r="BL140" i="12"/>
  <c r="BL75" i="12" s="1"/>
  <c r="BC77" i="12"/>
  <c r="BB78" i="12"/>
  <c r="AE147" i="12"/>
  <c r="AE82" i="12" s="1"/>
  <c r="BM16" i="14"/>
  <c r="BC20" i="14"/>
  <c r="Y148" i="12"/>
  <c r="Y83" i="12" s="1"/>
  <c r="Y16" i="12"/>
  <c r="GC7" i="7"/>
  <c r="GD3" i="7" s="1"/>
  <c r="GC4" i="7"/>
  <c r="GC6" i="7" s="1"/>
  <c r="R17" i="15"/>
  <c r="X60" i="4"/>
  <c r="X20" i="4"/>
  <c r="X74" i="4"/>
  <c r="X147" i="4"/>
  <c r="AQ22" i="14"/>
  <c r="AR22" i="14" s="1"/>
  <c r="BM76" i="12"/>
  <c r="AE25" i="14"/>
  <c r="BS139" i="12"/>
  <c r="BS7" i="12" s="1"/>
  <c r="AR144" i="12"/>
  <c r="AR79" i="12" s="1"/>
  <c r="AR12" i="12"/>
  <c r="BM73" i="12"/>
  <c r="W79" i="4"/>
  <c r="W80" i="4"/>
  <c r="AM146" i="12"/>
  <c r="AM14" i="12" s="1"/>
  <c r="W167" i="4" l="1"/>
  <c r="W141" i="4"/>
  <c r="W142" i="4"/>
  <c r="V84" i="12"/>
  <c r="R21" i="15"/>
  <c r="BN76" i="12"/>
  <c r="BN73" i="12"/>
  <c r="GD4" i="7"/>
  <c r="GD6" i="7" s="1"/>
  <c r="GD7" i="7"/>
  <c r="GE3" i="7" s="1"/>
  <c r="BD20" i="14"/>
  <c r="BC78" i="12"/>
  <c r="AS144" i="12"/>
  <c r="AS79" i="12" s="1"/>
  <c r="AS12" i="12"/>
  <c r="BS74" i="12"/>
  <c r="BD142" i="12"/>
  <c r="BD77" i="12" s="1"/>
  <c r="BD10" i="12"/>
  <c r="AN146" i="12"/>
  <c r="AN14" i="12" s="1"/>
  <c r="AM24" i="14"/>
  <c r="BN141" i="12"/>
  <c r="AQ23" i="14"/>
  <c r="AM81" i="12"/>
  <c r="BL18" i="14"/>
  <c r="Y26" i="14"/>
  <c r="Z26" i="14" s="1"/>
  <c r="BS17" i="14"/>
  <c r="X21" i="4"/>
  <c r="X23" i="4"/>
  <c r="BC143" i="12"/>
  <c r="BL8" i="12"/>
  <c r="Z148" i="12"/>
  <c r="Z16" i="12"/>
  <c r="BN16" i="14"/>
  <c r="BN138" i="12"/>
  <c r="BN6" i="12"/>
  <c r="Z83" i="12"/>
  <c r="AE15" i="12"/>
  <c r="AQ13" i="12"/>
  <c r="AT79" i="12" l="1"/>
  <c r="AR145" i="12"/>
  <c r="AR80" i="12" s="1"/>
  <c r="AR13" i="12"/>
  <c r="AA148" i="12"/>
  <c r="AA26" i="14" s="1"/>
  <c r="AA16" i="12"/>
  <c r="W149" i="4"/>
  <c r="AA83" i="12"/>
  <c r="BE142" i="12"/>
  <c r="BE77" i="12" s="1"/>
  <c r="GE7" i="7"/>
  <c r="GF3" i="7" s="1"/>
  <c r="GE4" i="7"/>
  <c r="GE6" i="7" s="1"/>
  <c r="W170" i="4"/>
  <c r="W172" i="4" s="1"/>
  <c r="W179" i="4" s="1"/>
  <c r="BM140" i="12"/>
  <c r="BM75" i="12" s="1"/>
  <c r="BM8" i="12"/>
  <c r="AN81" i="12"/>
  <c r="R22" i="15"/>
  <c r="V17" i="12"/>
  <c r="BO138" i="12"/>
  <c r="BO73" i="12" s="1"/>
  <c r="BC11" i="12"/>
  <c r="BC21" i="14"/>
  <c r="AR23" i="14"/>
  <c r="AS22" i="14"/>
  <c r="AT22" i="14" s="1"/>
  <c r="X24" i="4"/>
  <c r="X25" i="4"/>
  <c r="BN19" i="14"/>
  <c r="BN9" i="12"/>
  <c r="BT74" i="12"/>
  <c r="BT139" i="12"/>
  <c r="BT7" i="12" s="1"/>
  <c r="AF147" i="12"/>
  <c r="AF15" i="12"/>
  <c r="AN24" i="14"/>
  <c r="AT144" i="12"/>
  <c r="AT12" i="12"/>
  <c r="BO16" i="14"/>
  <c r="X49" i="4"/>
  <c r="BU139" i="12" l="1"/>
  <c r="BU7" i="12"/>
  <c r="AB83" i="12"/>
  <c r="BU74" i="12"/>
  <c r="BO141" i="12"/>
  <c r="BO76" i="12" s="1"/>
  <c r="BO9" i="12"/>
  <c r="AU22" i="14"/>
  <c r="W149" i="12"/>
  <c r="W17" i="12"/>
  <c r="V65" i="12"/>
  <c r="AS145" i="12"/>
  <c r="AS80" i="12" s="1"/>
  <c r="AS13" i="12"/>
  <c r="AU144" i="12"/>
  <c r="AU12" i="12"/>
  <c r="BO19" i="14"/>
  <c r="R23" i="15"/>
  <c r="X40" i="4"/>
  <c r="R34" i="15"/>
  <c r="GF4" i="7"/>
  <c r="GF6" i="7" s="1"/>
  <c r="GF7" i="7"/>
  <c r="GG3" i="7" s="1"/>
  <c r="BE20" i="14"/>
  <c r="X72" i="4"/>
  <c r="X50" i="4"/>
  <c r="X26" i="4"/>
  <c r="BD143" i="12"/>
  <c r="BD78" i="12" s="1"/>
  <c r="BD11" i="12"/>
  <c r="BE10" i="12"/>
  <c r="AO146" i="12"/>
  <c r="AO14" i="12" s="1"/>
  <c r="BN140" i="12"/>
  <c r="BN75" i="12" s="1"/>
  <c r="AB148" i="12"/>
  <c r="AB26" i="14" s="1"/>
  <c r="AB16" i="12"/>
  <c r="AU79" i="12"/>
  <c r="AF82" i="12"/>
  <c r="AF25" i="14"/>
  <c r="BO6" i="12"/>
  <c r="BM18" i="14"/>
  <c r="BN18" i="14" s="1"/>
  <c r="AC26" i="14" l="1"/>
  <c r="AC83" i="12"/>
  <c r="BF142" i="12"/>
  <c r="BF77" i="12" s="1"/>
  <c r="BF10" i="12"/>
  <c r="BP138" i="12"/>
  <c r="AO81" i="12"/>
  <c r="R47" i="15"/>
  <c r="X33" i="4"/>
  <c r="BD21" i="14"/>
  <c r="BE21" i="14" s="1"/>
  <c r="AS23" i="14"/>
  <c r="W196" i="12"/>
  <c r="W27" i="14"/>
  <c r="W84" i="12"/>
  <c r="X149" i="12" s="1"/>
  <c r="X17" i="12" s="1"/>
  <c r="AP146" i="12"/>
  <c r="AP14" i="12" s="1"/>
  <c r="BE143" i="12"/>
  <c r="BE78" i="12" s="1"/>
  <c r="BE11" i="12"/>
  <c r="AT145" i="12"/>
  <c r="AT80" i="12" s="1"/>
  <c r="AT13" i="12"/>
  <c r="GG7" i="7"/>
  <c r="GH3" i="7" s="1"/>
  <c r="GG4" i="7"/>
  <c r="GG6" i="7" s="1"/>
  <c r="BP141" i="12"/>
  <c r="BP9" i="12"/>
  <c r="R40" i="15"/>
  <c r="R35" i="15"/>
  <c r="R36" i="15"/>
  <c r="X77" i="4"/>
  <c r="BF20" i="14"/>
  <c r="X43" i="4"/>
  <c r="AC148" i="12"/>
  <c r="AC16" i="12"/>
  <c r="BP19" i="14"/>
  <c r="AV144" i="12"/>
  <c r="AV79" i="12" s="1"/>
  <c r="AV12" i="12"/>
  <c r="AG147" i="12"/>
  <c r="AG15" i="12" s="1"/>
  <c r="BN8" i="12"/>
  <c r="AO24" i="14"/>
  <c r="BP76" i="12"/>
  <c r="Y149" i="12" l="1"/>
  <c r="Y17" i="12"/>
  <c r="X54" i="4"/>
  <c r="GH4" i="7"/>
  <c r="GH6" i="7" s="1"/>
  <c r="GH7" i="7"/>
  <c r="GI3" i="7" s="1"/>
  <c r="BP73" i="12"/>
  <c r="BP16" i="14"/>
  <c r="AW144" i="12"/>
  <c r="AW79" i="12" s="1"/>
  <c r="R42" i="15"/>
  <c r="AU145" i="12"/>
  <c r="AU80" i="12" s="1"/>
  <c r="AU13" i="12"/>
  <c r="R37" i="15"/>
  <c r="X27" i="14"/>
  <c r="W74" i="14"/>
  <c r="W4" i="14" s="1"/>
  <c r="BG142" i="12"/>
  <c r="BG20" i="14" s="1"/>
  <c r="BG10" i="12"/>
  <c r="BQ19" i="14"/>
  <c r="R43" i="15"/>
  <c r="R29" i="15"/>
  <c r="R46" i="15"/>
  <c r="AV22" i="14"/>
  <c r="AW22" i="14" s="1"/>
  <c r="S31" i="15"/>
  <c r="W64" i="12"/>
  <c r="S27" i="15" s="1"/>
  <c r="R48" i="15"/>
  <c r="AD148" i="12"/>
  <c r="AD16" i="12" s="1"/>
  <c r="AG82" i="12"/>
  <c r="AT23" i="14"/>
  <c r="AU23" i="14" s="1"/>
  <c r="AD83" i="12"/>
  <c r="BQ141" i="12"/>
  <c r="BQ76" i="12" s="1"/>
  <c r="BF143" i="12"/>
  <c r="BF78" i="12" s="1"/>
  <c r="BF11" i="12"/>
  <c r="BF21" i="14"/>
  <c r="AP81" i="12"/>
  <c r="AP24" i="14"/>
  <c r="BO140" i="12"/>
  <c r="BO8" i="12" s="1"/>
  <c r="AG25" i="14"/>
  <c r="BP6" i="12"/>
  <c r="AH147" i="12"/>
  <c r="AH15" i="12"/>
  <c r="AD26" i="14"/>
  <c r="X84" i="12"/>
  <c r="Y84" i="12" s="1"/>
  <c r="AE148" i="12" l="1"/>
  <c r="AE16" i="12" s="1"/>
  <c r="BP140" i="12"/>
  <c r="BQ73" i="12"/>
  <c r="Y41" i="4"/>
  <c r="Z149" i="12"/>
  <c r="Z17" i="12"/>
  <c r="AH82" i="12"/>
  <c r="BH142" i="12"/>
  <c r="BH20" i="14" s="1"/>
  <c r="BH10" i="12"/>
  <c r="BQ138" i="12"/>
  <c r="BQ6" i="12"/>
  <c r="W6" i="14"/>
  <c r="Y15" i="4" s="1"/>
  <c r="W5" i="14"/>
  <c r="AQ146" i="12"/>
  <c r="AQ14" i="12" s="1"/>
  <c r="BQ9" i="12"/>
  <c r="Y27" i="14"/>
  <c r="Z27" i="14" s="1"/>
  <c r="AW12" i="12"/>
  <c r="Y42" i="4"/>
  <c r="GI7" i="7"/>
  <c r="GJ3" i="7" s="1"/>
  <c r="GI4" i="7"/>
  <c r="GI6" i="7" s="1"/>
  <c r="BG143" i="12"/>
  <c r="BG11" i="12" s="1"/>
  <c r="AH25" i="14"/>
  <c r="R41" i="15"/>
  <c r="AE26" i="14"/>
  <c r="AQ24" i="14"/>
  <c r="AV145" i="12"/>
  <c r="AV80" i="12" s="1"/>
  <c r="X34" i="4"/>
  <c r="R50" i="15" s="1"/>
  <c r="X67" i="4"/>
  <c r="X63" i="4"/>
  <c r="X55" i="4"/>
  <c r="X57" i="4"/>
  <c r="X66" i="4"/>
  <c r="X62" i="4"/>
  <c r="X64" i="4"/>
  <c r="X68" i="4"/>
  <c r="X65" i="4"/>
  <c r="X61" i="4"/>
  <c r="X56" i="4"/>
  <c r="AI147" i="12"/>
  <c r="AI15" i="12" s="1"/>
  <c r="Z84" i="12"/>
  <c r="BO75" i="12"/>
  <c r="BO18" i="14"/>
  <c r="BG77" i="12"/>
  <c r="BQ16" i="14"/>
  <c r="AF148" i="12" l="1"/>
  <c r="AF16" i="12" s="1"/>
  <c r="BH143" i="12"/>
  <c r="BH11" i="12"/>
  <c r="BR141" i="12"/>
  <c r="BR9" i="12"/>
  <c r="GJ7" i="7"/>
  <c r="GK3" i="7" s="1"/>
  <c r="GJ4" i="7"/>
  <c r="GJ6" i="7" s="1"/>
  <c r="AR146" i="12"/>
  <c r="AR24" i="14" s="1"/>
  <c r="AR14" i="12"/>
  <c r="AQ81" i="12"/>
  <c r="BR16" i="14"/>
  <c r="W3" i="14"/>
  <c r="W28" i="14" s="1"/>
  <c r="Y14" i="4"/>
  <c r="BG78" i="12"/>
  <c r="BH77" i="12"/>
  <c r="X69" i="4"/>
  <c r="AI82" i="12"/>
  <c r="BR73" i="12"/>
  <c r="BP18" i="14"/>
  <c r="R44" i="15"/>
  <c r="BG21" i="14"/>
  <c r="AA149" i="12"/>
  <c r="AA27" i="14" s="1"/>
  <c r="AA17" i="12"/>
  <c r="BP75" i="12"/>
  <c r="AI25" i="14"/>
  <c r="AV23" i="14"/>
  <c r="AE83" i="12"/>
  <c r="AV13" i="12"/>
  <c r="AX144" i="12"/>
  <c r="AX12" i="12"/>
  <c r="BR138" i="12"/>
  <c r="BR6" i="12"/>
  <c r="BP8" i="12"/>
  <c r="AY144" i="12" l="1"/>
  <c r="AY12" i="12"/>
  <c r="BQ75" i="12"/>
  <c r="Y18" i="4"/>
  <c r="AW145" i="12"/>
  <c r="AW80" i="12" s="1"/>
  <c r="AA84" i="12"/>
  <c r="BH21" i="14"/>
  <c r="GK7" i="7"/>
  <c r="GL3" i="7" s="1"/>
  <c r="GK4" i="7"/>
  <c r="GK6" i="7" s="1"/>
  <c r="AJ147" i="12"/>
  <c r="AJ15" i="12" s="1"/>
  <c r="X80" i="4"/>
  <c r="X79" i="4"/>
  <c r="AR81" i="12"/>
  <c r="AF26" i="14"/>
  <c r="AF83" i="12"/>
  <c r="AG148" i="12" s="1"/>
  <c r="AG16" i="12" s="1"/>
  <c r="AB149" i="12"/>
  <c r="AB27" i="14" s="1"/>
  <c r="AB17" i="12"/>
  <c r="BQ140" i="12"/>
  <c r="BQ8" i="12" s="1"/>
  <c r="BS138" i="12"/>
  <c r="BS16" i="14" s="1"/>
  <c r="BS6" i="12"/>
  <c r="AX79" i="12"/>
  <c r="AX22" i="14"/>
  <c r="BI77" i="12"/>
  <c r="BH78" i="12"/>
  <c r="BI142" i="12"/>
  <c r="BR19" i="14"/>
  <c r="BR76" i="12"/>
  <c r="BR140" i="12" l="1"/>
  <c r="BR8" i="12"/>
  <c r="BT17" i="14"/>
  <c r="AH148" i="12"/>
  <c r="AH16" i="12"/>
  <c r="AW13" i="12"/>
  <c r="AW23" i="14"/>
  <c r="BS141" i="12"/>
  <c r="BS9" i="12" s="1"/>
  <c r="X167" i="4"/>
  <c r="X141" i="4"/>
  <c r="X142" i="4"/>
  <c r="S17" i="15"/>
  <c r="Y74" i="4"/>
  <c r="Y147" i="4"/>
  <c r="Y60" i="4"/>
  <c r="AC149" i="12"/>
  <c r="AC17" i="12" s="1"/>
  <c r="BI143" i="12"/>
  <c r="BI11" i="12" s="1"/>
  <c r="BR75" i="12"/>
  <c r="GL4" i="7"/>
  <c r="GL6" i="7" s="1"/>
  <c r="GL7" i="7"/>
  <c r="GM3" i="7" s="1"/>
  <c r="AG26" i="14"/>
  <c r="BS19" i="14"/>
  <c r="AG83" i="12"/>
  <c r="AS146" i="12"/>
  <c r="BQ18" i="14"/>
  <c r="BR18" i="14" s="1"/>
  <c r="AJ82" i="12"/>
  <c r="BI10" i="12"/>
  <c r="BI20" i="14"/>
  <c r="AY22" i="14"/>
  <c r="BT138" i="12"/>
  <c r="BT6" i="12"/>
  <c r="AY79" i="12"/>
  <c r="AJ25" i="14"/>
  <c r="BS73" i="12"/>
  <c r="AB84" i="12"/>
  <c r="AC84" i="12" l="1"/>
  <c r="BT16" i="14"/>
  <c r="BU17" i="14" s="1"/>
  <c r="BT73" i="12"/>
  <c r="AZ22" i="14"/>
  <c r="AS24" i="14"/>
  <c r="AS14" i="12"/>
  <c r="BJ143" i="12"/>
  <c r="BJ11" i="12" s="1"/>
  <c r="BI21" i="14"/>
  <c r="BJ20" i="14"/>
  <c r="AS81" i="12"/>
  <c r="BI78" i="12"/>
  <c r="AX23" i="14"/>
  <c r="AK25" i="14"/>
  <c r="BJ142" i="12"/>
  <c r="BJ77" i="12" s="1"/>
  <c r="BJ10" i="12"/>
  <c r="AH83" i="12"/>
  <c r="BS76" i="12"/>
  <c r="BT141" i="12" s="1"/>
  <c r="BT9" i="12" s="1"/>
  <c r="BS18" i="14"/>
  <c r="AC27" i="14"/>
  <c r="W85" i="12"/>
  <c r="S21" i="15"/>
  <c r="AX145" i="12"/>
  <c r="AX80" i="12" s="1"/>
  <c r="AX13" i="12"/>
  <c r="BS140" i="12"/>
  <c r="BS8" i="12"/>
  <c r="GM7" i="7"/>
  <c r="GN3" i="7" s="1"/>
  <c r="GM4" i="7"/>
  <c r="GM6" i="7" s="1"/>
  <c r="X149" i="4"/>
  <c r="X170" i="4" s="1"/>
  <c r="X172" i="4" s="1"/>
  <c r="X179" i="4" s="1"/>
  <c r="BS75" i="12"/>
  <c r="AK147" i="12"/>
  <c r="AK15" i="12" s="1"/>
  <c r="AZ144" i="12"/>
  <c r="AZ12" i="12" s="1"/>
  <c r="AH26" i="14"/>
  <c r="BU141" i="12" l="1"/>
  <c r="BU9" i="12"/>
  <c r="AY145" i="12"/>
  <c r="AY13" i="12"/>
  <c r="AY23" i="14"/>
  <c r="AI83" i="12"/>
  <c r="AT81" i="12"/>
  <c r="S22" i="15"/>
  <c r="W18" i="12"/>
  <c r="BK20" i="14"/>
  <c r="AI26" i="14"/>
  <c r="GN4" i="7"/>
  <c r="GN6" i="7" s="1"/>
  <c r="GN7" i="7"/>
  <c r="GO3" i="7" s="1"/>
  <c r="W131" i="12"/>
  <c r="S26" i="15" s="1"/>
  <c r="BK142" i="12"/>
  <c r="BK10" i="12"/>
  <c r="BJ21" i="14"/>
  <c r="BU73" i="12"/>
  <c r="BU138" i="12"/>
  <c r="BK77" i="12"/>
  <c r="AZ79" i="12"/>
  <c r="BT140" i="12"/>
  <c r="BT8" i="12"/>
  <c r="AI148" i="12"/>
  <c r="AI16" i="12" s="1"/>
  <c r="AK82" i="12"/>
  <c r="AY80" i="12"/>
  <c r="BT76" i="12"/>
  <c r="BJ78" i="12"/>
  <c r="AT146" i="12"/>
  <c r="AT24" i="14" s="1"/>
  <c r="AT14" i="12"/>
  <c r="AD149" i="12"/>
  <c r="AD17" i="12" s="1"/>
  <c r="AZ80" i="12" l="1"/>
  <c r="AJ83" i="12"/>
  <c r="AE149" i="12"/>
  <c r="AE17" i="12" s="1"/>
  <c r="AZ23" i="14"/>
  <c r="AD84" i="12"/>
  <c r="BL77" i="12"/>
  <c r="BL142" i="12"/>
  <c r="BL20" i="14" s="1"/>
  <c r="BL10" i="12"/>
  <c r="AZ145" i="12"/>
  <c r="AZ13" i="12"/>
  <c r="AU146" i="12"/>
  <c r="AU24" i="14" s="1"/>
  <c r="AU14" i="12"/>
  <c r="AL147" i="12"/>
  <c r="AL82" i="12" s="1"/>
  <c r="AD27" i="14"/>
  <c r="AE27" i="14" s="1"/>
  <c r="AJ148" i="12"/>
  <c r="AJ16" i="12"/>
  <c r="Y19" i="4"/>
  <c r="S28" i="15"/>
  <c r="X150" i="12"/>
  <c r="W65" i="12"/>
  <c r="BT75" i="12"/>
  <c r="BA144" i="12"/>
  <c r="S23" i="15"/>
  <c r="Y40" i="4"/>
  <c r="S34" i="15"/>
  <c r="BU76" i="12"/>
  <c r="BU16" i="14"/>
  <c r="BU6" i="12"/>
  <c r="GO7" i="7"/>
  <c r="GP3" i="7" s="1"/>
  <c r="GO4" i="7"/>
  <c r="GO6" i="7" s="1"/>
  <c r="BK143" i="12"/>
  <c r="BK11" i="12" s="1"/>
  <c r="AJ26" i="14"/>
  <c r="BM20" i="14" l="1"/>
  <c r="X196" i="12"/>
  <c r="X28" i="14"/>
  <c r="X85" i="12"/>
  <c r="BM77" i="12"/>
  <c r="BK21" i="14"/>
  <c r="Y43" i="4"/>
  <c r="AE84" i="12"/>
  <c r="GP4" i="7"/>
  <c r="GP6" i="7" s="1"/>
  <c r="GP7" i="7"/>
  <c r="GQ3" i="7" s="1"/>
  <c r="S47" i="15"/>
  <c r="Y33" i="4"/>
  <c r="BA145" i="12"/>
  <c r="BA13" i="12"/>
  <c r="BA23" i="14"/>
  <c r="AU81" i="12"/>
  <c r="BA12" i="12"/>
  <c r="BA22" i="14"/>
  <c r="Y22" i="4"/>
  <c r="Y20" i="4"/>
  <c r="BA79" i="12"/>
  <c r="BK78" i="12"/>
  <c r="AK148" i="12"/>
  <c r="AK83" i="12" s="1"/>
  <c r="AK16" i="12"/>
  <c r="BU140" i="12"/>
  <c r="BM142" i="12"/>
  <c r="BM10" i="12"/>
  <c r="BA80" i="12"/>
  <c r="AK26" i="14"/>
  <c r="S40" i="15"/>
  <c r="S29" i="15" s="1"/>
  <c r="S36" i="15"/>
  <c r="S35" i="15"/>
  <c r="X18" i="12"/>
  <c r="AL25" i="14"/>
  <c r="AL15" i="12"/>
  <c r="AM147" i="12" l="1"/>
  <c r="AM82" i="12" s="1"/>
  <c r="Y150" i="12"/>
  <c r="Y18" i="12"/>
  <c r="AL148" i="12"/>
  <c r="AL83" i="12" s="1"/>
  <c r="AL16" i="12"/>
  <c r="S48" i="15"/>
  <c r="Y54" i="4"/>
  <c r="T31" i="15"/>
  <c r="X64" i="12"/>
  <c r="T27" i="15" s="1"/>
  <c r="BB80" i="12"/>
  <c r="BL78" i="12"/>
  <c r="BB23" i="14"/>
  <c r="GQ7" i="7"/>
  <c r="GR3" i="7" s="1"/>
  <c r="GQ4" i="7"/>
  <c r="GQ6" i="7" s="1"/>
  <c r="BL143" i="12"/>
  <c r="BL11" i="12" s="1"/>
  <c r="S42" i="15"/>
  <c r="BN142" i="12"/>
  <c r="BN10" i="12" s="1"/>
  <c r="BB145" i="12"/>
  <c r="BB13" i="12"/>
  <c r="S37" i="15"/>
  <c r="Y23" i="4"/>
  <c r="Y21" i="4"/>
  <c r="AF149" i="12"/>
  <c r="AV146" i="12"/>
  <c r="AV81" i="12" s="1"/>
  <c r="BB22" i="14"/>
  <c r="Y85" i="12"/>
  <c r="S43" i="15"/>
  <c r="BU18" i="14"/>
  <c r="BU8" i="12"/>
  <c r="BU75" i="12"/>
  <c r="BB144" i="12"/>
  <c r="BB12" i="12" s="1"/>
  <c r="S46" i="15"/>
  <c r="Y28" i="14"/>
  <c r="X74" i="14"/>
  <c r="X4" i="14" s="1"/>
  <c r="AM25" i="14" l="1"/>
  <c r="Y34" i="4"/>
  <c r="S50" i="15" s="1"/>
  <c r="Y55" i="4"/>
  <c r="Y67" i="4"/>
  <c r="Y63" i="4"/>
  <c r="Y57" i="4"/>
  <c r="Y62" i="4"/>
  <c r="Y64" i="4"/>
  <c r="Y66" i="4"/>
  <c r="Y61" i="4"/>
  <c r="Y65" i="4"/>
  <c r="Y68" i="4"/>
  <c r="Y56" i="4"/>
  <c r="BN20" i="14"/>
  <c r="BN77" i="12"/>
  <c r="AM148" i="12"/>
  <c r="AM16" i="12" s="1"/>
  <c r="X6" i="14"/>
  <c r="Z15" i="4" s="1"/>
  <c r="X5" i="14"/>
  <c r="BC145" i="12"/>
  <c r="BC23" i="14" s="1"/>
  <c r="BC13" i="12"/>
  <c r="BC80" i="12"/>
  <c r="Z28" i="14"/>
  <c r="AF27" i="14"/>
  <c r="AF17" i="12"/>
  <c r="BM143" i="12"/>
  <c r="BM11" i="12"/>
  <c r="Z41" i="4"/>
  <c r="AL26" i="14"/>
  <c r="AM26" i="14" s="1"/>
  <c r="AF84" i="12"/>
  <c r="BB79" i="12"/>
  <c r="BC144" i="12" s="1"/>
  <c r="BL21" i="14"/>
  <c r="BM21" i="14" s="1"/>
  <c r="Z42" i="4"/>
  <c r="Z150" i="12"/>
  <c r="Z85" i="12" s="1"/>
  <c r="Z18" i="12"/>
  <c r="Y49" i="4"/>
  <c r="Y25" i="4"/>
  <c r="Y24" i="4"/>
  <c r="GR7" i="7"/>
  <c r="GS3" i="7" s="1"/>
  <c r="GR4" i="7"/>
  <c r="GR6" i="7" s="1"/>
  <c r="AM15" i="12"/>
  <c r="AV24" i="14"/>
  <c r="AV14" i="12"/>
  <c r="S41" i="15"/>
  <c r="BM78" i="12"/>
  <c r="BC12" i="12" l="1"/>
  <c r="BC22" i="14"/>
  <c r="GS7" i="7"/>
  <c r="GT3" i="7" s="1"/>
  <c r="GS4" i="7"/>
  <c r="GS6" i="7" s="1"/>
  <c r="Y50" i="4"/>
  <c r="Y72" i="4"/>
  <c r="BO77" i="12"/>
  <c r="S44" i="15"/>
  <c r="AA150" i="12"/>
  <c r="AA85" i="12" s="1"/>
  <c r="AA18" i="12"/>
  <c r="AM83" i="12"/>
  <c r="AW146" i="12"/>
  <c r="AW81" i="12" s="1"/>
  <c r="AW14" i="12"/>
  <c r="BD145" i="12"/>
  <c r="BD23" i="14" s="1"/>
  <c r="AW24" i="14"/>
  <c r="Y26" i="4"/>
  <c r="BN143" i="12"/>
  <c r="BN78" i="12" s="1"/>
  <c r="BN11" i="12"/>
  <c r="X3" i="14"/>
  <c r="X29" i="14" s="1"/>
  <c r="Z14" i="4"/>
  <c r="Z18" i="4" s="1"/>
  <c r="BN21" i="14"/>
  <c r="AN147" i="12"/>
  <c r="AN82" i="12" s="1"/>
  <c r="AN15" i="12"/>
  <c r="BC79" i="12"/>
  <c r="AG149" i="12"/>
  <c r="AG27" i="14" s="1"/>
  <c r="AG17" i="12"/>
  <c r="Y69" i="4"/>
  <c r="AN25" i="14"/>
  <c r="BO142" i="12"/>
  <c r="BO10" i="12" s="1"/>
  <c r="BO78" i="12" l="1"/>
  <c r="BD13" i="12"/>
  <c r="AH149" i="12"/>
  <c r="AH27" i="14" s="1"/>
  <c r="T17" i="15"/>
  <c r="Z60" i="4"/>
  <c r="Z74" i="4"/>
  <c r="Z147" i="4"/>
  <c r="GT4" i="7"/>
  <c r="GT6" i="7" s="1"/>
  <c r="GT7" i="7"/>
  <c r="GU3" i="7" s="1"/>
  <c r="AX146" i="12"/>
  <c r="AX14" i="12" s="1"/>
  <c r="AG84" i="12"/>
  <c r="BO143" i="12"/>
  <c r="BO21" i="14" s="1"/>
  <c r="BO11" i="12"/>
  <c r="BP77" i="12"/>
  <c r="BP142" i="12"/>
  <c r="BP10" i="12"/>
  <c r="AO147" i="12"/>
  <c r="AO25" i="14" s="1"/>
  <c r="AO15" i="12"/>
  <c r="AA28" i="14"/>
  <c r="AB28" i="14" s="1"/>
  <c r="BD144" i="12"/>
  <c r="BD22" i="14" s="1"/>
  <c r="BO20" i="14"/>
  <c r="BP20" i="14" s="1"/>
  <c r="BD80" i="12"/>
  <c r="Y77" i="4"/>
  <c r="AN148" i="12"/>
  <c r="AN83" i="12" s="1"/>
  <c r="AB150" i="12"/>
  <c r="AB85" i="12" s="1"/>
  <c r="AB18" i="12"/>
  <c r="AC85" i="12" l="1"/>
  <c r="BP21" i="14"/>
  <c r="AY146" i="12"/>
  <c r="AY14" i="12"/>
  <c r="AC28" i="14"/>
  <c r="Y79" i="4"/>
  <c r="Y80" i="4"/>
  <c r="AX81" i="12"/>
  <c r="GU7" i="7"/>
  <c r="GV3" i="7" s="1"/>
  <c r="GU4" i="7"/>
  <c r="GU6" i="7" s="1"/>
  <c r="BE80" i="12"/>
  <c r="BP143" i="12"/>
  <c r="BP11" i="12"/>
  <c r="BE145" i="12"/>
  <c r="BE23" i="14" s="1"/>
  <c r="BE13" i="12"/>
  <c r="BQ20" i="14"/>
  <c r="AO82" i="12"/>
  <c r="BD79" i="12"/>
  <c r="AX24" i="14"/>
  <c r="AC150" i="12"/>
  <c r="AC18" i="12"/>
  <c r="BQ142" i="12"/>
  <c r="BQ77" i="12" s="1"/>
  <c r="BQ10" i="12"/>
  <c r="AH84" i="12"/>
  <c r="BD12" i="12"/>
  <c r="AN16" i="12"/>
  <c r="AN26" i="14"/>
  <c r="X86" i="12"/>
  <c r="T21" i="15"/>
  <c r="BP78" i="12"/>
  <c r="AH17" i="12"/>
  <c r="AP82" i="12" l="1"/>
  <c r="BR142" i="12"/>
  <c r="BR77" i="12" s="1"/>
  <c r="BR10" i="12"/>
  <c r="GV4" i="7"/>
  <c r="GV6" i="7" s="1"/>
  <c r="GV7" i="7"/>
  <c r="GW3" i="7" s="1"/>
  <c r="X131" i="12"/>
  <c r="T26" i="15" s="1"/>
  <c r="BF23" i="14"/>
  <c r="AY81" i="12"/>
  <c r="AD150" i="12"/>
  <c r="AD18" i="12"/>
  <c r="BQ143" i="12"/>
  <c r="BQ21" i="14" s="1"/>
  <c r="BQ11" i="12"/>
  <c r="Y167" i="4"/>
  <c r="Y142" i="4"/>
  <c r="Y141" i="4"/>
  <c r="AO148" i="12"/>
  <c r="AO83" i="12" s="1"/>
  <c r="AO16" i="12"/>
  <c r="BF145" i="12"/>
  <c r="BF80" i="12" s="1"/>
  <c r="BF13" i="12"/>
  <c r="AY24" i="14"/>
  <c r="AD85" i="12"/>
  <c r="T22" i="15"/>
  <c r="X19" i="12"/>
  <c r="BE144" i="12"/>
  <c r="BE22" i="14" s="1"/>
  <c r="BE12" i="12"/>
  <c r="AI149" i="12"/>
  <c r="AI27" i="14" s="1"/>
  <c r="AP147" i="12"/>
  <c r="AD28" i="14"/>
  <c r="Y170" i="4" l="1"/>
  <c r="Y172" i="4" s="1"/>
  <c r="Y179" i="4" s="1"/>
  <c r="AZ81" i="12"/>
  <c r="BS142" i="12"/>
  <c r="BS10" i="12" s="1"/>
  <c r="BF144" i="12"/>
  <c r="BF12" i="12"/>
  <c r="BG145" i="12"/>
  <c r="BG80" i="12" s="1"/>
  <c r="BG13" i="12"/>
  <c r="BF22" i="14"/>
  <c r="Z19" i="4"/>
  <c r="T28" i="15"/>
  <c r="AZ146" i="12"/>
  <c r="AZ14" i="12" s="1"/>
  <c r="AE28" i="14"/>
  <c r="Y151" i="12"/>
  <c r="Y19" i="12"/>
  <c r="X65" i="12"/>
  <c r="AP148" i="12"/>
  <c r="AP16" i="12"/>
  <c r="AE150" i="12"/>
  <c r="AE85" i="12" s="1"/>
  <c r="AE18" i="12"/>
  <c r="AP15" i="12"/>
  <c r="AP25" i="14"/>
  <c r="T23" i="15"/>
  <c r="Z40" i="4"/>
  <c r="Z43" i="4" s="1"/>
  <c r="T34" i="15"/>
  <c r="AP83" i="12"/>
  <c r="GW7" i="7"/>
  <c r="GX3" i="7" s="1"/>
  <c r="GW4" i="7"/>
  <c r="GW6" i="7" s="1"/>
  <c r="BQ78" i="12"/>
  <c r="BR143" i="12" s="1"/>
  <c r="BE79" i="12"/>
  <c r="BR20" i="14"/>
  <c r="Y149" i="4"/>
  <c r="AO26" i="14"/>
  <c r="AP26" i="14" s="1"/>
  <c r="AI84" i="12"/>
  <c r="AI17" i="12"/>
  <c r="BR11" i="12" l="1"/>
  <c r="BR21" i="14"/>
  <c r="AJ149" i="12"/>
  <c r="AJ27" i="14" s="1"/>
  <c r="Z151" i="12"/>
  <c r="Z19" i="12" s="1"/>
  <c r="BA81" i="12"/>
  <c r="GX4" i="7"/>
  <c r="GX6" i="7" s="1"/>
  <c r="GX7" i="7"/>
  <c r="GY3" i="7" s="1"/>
  <c r="BH145" i="12"/>
  <c r="BH80" i="12" s="1"/>
  <c r="BH13" i="12"/>
  <c r="BA146" i="12"/>
  <c r="BA14" i="12"/>
  <c r="T35" i="15"/>
  <c r="T37" i="15" s="1"/>
  <c r="T40" i="15"/>
  <c r="T36" i="15"/>
  <c r="BG23" i="14"/>
  <c r="BH23" i="14" s="1"/>
  <c r="BS20" i="14"/>
  <c r="Z54" i="4"/>
  <c r="Z22" i="4"/>
  <c r="Z20" i="4"/>
  <c r="BS77" i="12"/>
  <c r="BR78" i="12"/>
  <c r="AQ147" i="12"/>
  <c r="AQ82" i="12" s="1"/>
  <c r="Y196" i="12"/>
  <c r="Y29" i="14"/>
  <c r="Y86" i="12"/>
  <c r="AQ26" i="14"/>
  <c r="AF150" i="12"/>
  <c r="AF28" i="14" s="1"/>
  <c r="AF18" i="12"/>
  <c r="AZ24" i="14"/>
  <c r="BA24" i="14" s="1"/>
  <c r="AQ148" i="12"/>
  <c r="AQ83" i="12" s="1"/>
  <c r="AQ16" i="12"/>
  <c r="BF79" i="12"/>
  <c r="T47" i="15"/>
  <c r="Z33" i="4"/>
  <c r="T41" i="15" l="1"/>
  <c r="T43" i="15"/>
  <c r="GY7" i="7"/>
  <c r="GZ3" i="7" s="1"/>
  <c r="GY4" i="7"/>
  <c r="GY6" i="7" s="1"/>
  <c r="BG79" i="12"/>
  <c r="AQ25" i="14"/>
  <c r="AF85" i="12"/>
  <c r="AJ84" i="12"/>
  <c r="BB146" i="12"/>
  <c r="BB14" i="12"/>
  <c r="BB81" i="12"/>
  <c r="BB24" i="14"/>
  <c r="Z86" i="12"/>
  <c r="AA151" i="12" s="1"/>
  <c r="AA19" i="12" s="1"/>
  <c r="Y131" i="12"/>
  <c r="U26" i="15" s="1"/>
  <c r="AA19" i="4" s="1"/>
  <c r="Z21" i="4"/>
  <c r="Z23" i="4"/>
  <c r="BG144" i="12"/>
  <c r="BT142" i="12"/>
  <c r="BT10" i="12" s="1"/>
  <c r="Z29" i="14"/>
  <c r="Y74" i="14"/>
  <c r="Y4" i="14" s="1"/>
  <c r="T29" i="15"/>
  <c r="U31" i="15"/>
  <c r="AA42" i="4" s="1"/>
  <c r="Y64" i="12"/>
  <c r="U27" i="15" s="1"/>
  <c r="BI145" i="12"/>
  <c r="BI80" i="12" s="1"/>
  <c r="BI13" i="12"/>
  <c r="BS143" i="12"/>
  <c r="BS78" i="12" s="1"/>
  <c r="T42" i="15"/>
  <c r="AR148" i="12"/>
  <c r="AR83" i="12" s="1"/>
  <c r="AR16" i="12"/>
  <c r="T48" i="15"/>
  <c r="T46" i="15"/>
  <c r="AQ15" i="12"/>
  <c r="Z55" i="4"/>
  <c r="Z68" i="4"/>
  <c r="Z63" i="4"/>
  <c r="Z62" i="4"/>
  <c r="Z64" i="4"/>
  <c r="Z65" i="4"/>
  <c r="Z67" i="4"/>
  <c r="Z61" i="4"/>
  <c r="Z66" i="4"/>
  <c r="Z56" i="4"/>
  <c r="Z57" i="4" s="1"/>
  <c r="AJ17" i="12"/>
  <c r="AS83" i="12" l="1"/>
  <c r="AG85" i="12"/>
  <c r="Y6" i="14"/>
  <c r="AA15" i="4" s="1"/>
  <c r="AA22" i="4" s="1"/>
  <c r="Y5" i="14"/>
  <c r="AS148" i="12"/>
  <c r="AS16" i="12"/>
  <c r="BJ145" i="12"/>
  <c r="BJ80" i="12" s="1"/>
  <c r="BJ13" i="12"/>
  <c r="AA29" i="14"/>
  <c r="BC81" i="12"/>
  <c r="AR25" i="14"/>
  <c r="BC146" i="12"/>
  <c r="BC24" i="14" s="1"/>
  <c r="BC14" i="12"/>
  <c r="U28" i="15"/>
  <c r="AA41" i="4"/>
  <c r="BG22" i="14"/>
  <c r="BG12" i="12"/>
  <c r="Z69" i="4"/>
  <c r="Z25" i="4"/>
  <c r="Z24" i="4"/>
  <c r="BT77" i="12"/>
  <c r="Z49" i="4"/>
  <c r="GZ7" i="7"/>
  <c r="HA3" i="7" s="1"/>
  <c r="GZ4" i="7"/>
  <c r="GZ6" i="7" s="1"/>
  <c r="T44" i="15"/>
  <c r="AR147" i="12"/>
  <c r="AR82" i="12" s="1"/>
  <c r="AR15" i="12"/>
  <c r="AG150" i="12"/>
  <c r="AR26" i="14"/>
  <c r="AS26" i="14" s="1"/>
  <c r="BI23" i="14"/>
  <c r="AK149" i="12"/>
  <c r="AK27" i="14" s="1"/>
  <c r="AK17" i="12"/>
  <c r="BS11" i="12"/>
  <c r="BS21" i="14"/>
  <c r="AA86" i="12"/>
  <c r="AS82" i="12" l="1"/>
  <c r="BT143" i="12"/>
  <c r="BT78" i="12" s="1"/>
  <c r="BT11" i="12"/>
  <c r="AS147" i="12"/>
  <c r="AS15" i="12"/>
  <c r="AS25" i="14"/>
  <c r="Y3" i="14"/>
  <c r="Y30" i="14" s="1"/>
  <c r="AA14" i="4"/>
  <c r="AA18" i="4" s="1"/>
  <c r="BU77" i="12"/>
  <c r="Z26" i="4"/>
  <c r="Z34" i="4"/>
  <c r="T50" i="15" s="1"/>
  <c r="BD146" i="12"/>
  <c r="BD81" i="12" s="1"/>
  <c r="BD14" i="12"/>
  <c r="BK145" i="12"/>
  <c r="BK80" i="12" s="1"/>
  <c r="BK13" i="12"/>
  <c r="BJ23" i="14"/>
  <c r="HA7" i="7"/>
  <c r="HB3" i="7" s="1"/>
  <c r="HA4" i="7"/>
  <c r="HA6" i="7" s="1"/>
  <c r="AT148" i="12"/>
  <c r="AT83" i="12" s="1"/>
  <c r="AT16" i="12"/>
  <c r="AB151" i="12"/>
  <c r="AB19" i="12" s="1"/>
  <c r="AT26" i="14"/>
  <c r="AK84" i="12"/>
  <c r="BH144" i="12"/>
  <c r="BH79" i="12" s="1"/>
  <c r="BH12" i="12"/>
  <c r="AL149" i="12"/>
  <c r="AL27" i="14" s="1"/>
  <c r="AL17" i="12"/>
  <c r="AG18" i="12"/>
  <c r="AG28" i="14"/>
  <c r="Z72" i="4"/>
  <c r="Z77" i="4" s="1"/>
  <c r="Z50" i="4"/>
  <c r="BH22" i="14"/>
  <c r="BU142" i="12"/>
  <c r="BU10" i="12" s="1"/>
  <c r="AU83" i="12" l="1"/>
  <c r="AH28" i="14"/>
  <c r="AU26" i="14"/>
  <c r="BL145" i="12"/>
  <c r="BL80" i="12" s="1"/>
  <c r="BU143" i="12"/>
  <c r="BU11" i="12"/>
  <c r="AH150" i="12"/>
  <c r="AH85" i="12" s="1"/>
  <c r="AH18" i="12"/>
  <c r="U17" i="15"/>
  <c r="AA20" i="4"/>
  <c r="AA147" i="4"/>
  <c r="AA60" i="4"/>
  <c r="AA74" i="4"/>
  <c r="BU78" i="12"/>
  <c r="AU148" i="12"/>
  <c r="AU16" i="12"/>
  <c r="BE146" i="12"/>
  <c r="BE81" i="12" s="1"/>
  <c r="BE14" i="12"/>
  <c r="AB29" i="14"/>
  <c r="AT147" i="12"/>
  <c r="AT25" i="14" s="1"/>
  <c r="AT15" i="12"/>
  <c r="AT82" i="12"/>
  <c r="BI22" i="14"/>
  <c r="BI144" i="12"/>
  <c r="BI12" i="12"/>
  <c r="HB4" i="7"/>
  <c r="HB6" i="7" s="1"/>
  <c r="HB7" i="7"/>
  <c r="HC3" i="7" s="1"/>
  <c r="BD24" i="14"/>
  <c r="BI79" i="12"/>
  <c r="BK23" i="14"/>
  <c r="AB86" i="12"/>
  <c r="Z80" i="4"/>
  <c r="Z79" i="4"/>
  <c r="AL84" i="12"/>
  <c r="AU25" i="14" l="1"/>
  <c r="BL13" i="12"/>
  <c r="BL23" i="14"/>
  <c r="AC86" i="12"/>
  <c r="AA23" i="4"/>
  <c r="AA21" i="4"/>
  <c r="BF146" i="12"/>
  <c r="BF81" i="12" s="1"/>
  <c r="BF14" i="12"/>
  <c r="AV148" i="12"/>
  <c r="AV83" i="12" s="1"/>
  <c r="AV16" i="12"/>
  <c r="AU147" i="12"/>
  <c r="AU15" i="12"/>
  <c r="AV26" i="14"/>
  <c r="BE24" i="14"/>
  <c r="BF24" i="14" s="1"/>
  <c r="Y87" i="12"/>
  <c r="U21" i="15"/>
  <c r="AC151" i="12"/>
  <c r="AC19" i="12" s="1"/>
  <c r="HC7" i="7"/>
  <c r="HD3" i="7" s="1"/>
  <c r="HC4" i="7"/>
  <c r="HC6" i="7" s="1"/>
  <c r="AU82" i="12"/>
  <c r="AI150" i="12"/>
  <c r="AI28" i="14" s="1"/>
  <c r="AI18" i="12"/>
  <c r="AM149" i="12"/>
  <c r="AI85" i="12"/>
  <c r="BJ144" i="12"/>
  <c r="BJ12" i="12" s="1"/>
  <c r="Z167" i="4"/>
  <c r="Z142" i="4"/>
  <c r="Z141" i="4"/>
  <c r="Z149" i="4" s="1"/>
  <c r="AJ28" i="14" l="1"/>
  <c r="BJ79" i="12"/>
  <c r="AA49" i="4"/>
  <c r="AA25" i="4"/>
  <c r="AA26" i="4" s="1"/>
  <c r="AA24" i="4"/>
  <c r="AV25" i="14"/>
  <c r="AM27" i="14"/>
  <c r="AM17" i="12"/>
  <c r="AV147" i="12"/>
  <c r="AV82" i="12" s="1"/>
  <c r="AV15" i="12"/>
  <c r="AD86" i="12"/>
  <c r="AM84" i="12"/>
  <c r="HD4" i="7"/>
  <c r="HD6" i="7" s="1"/>
  <c r="HD7" i="7"/>
  <c r="HE3" i="7" s="1"/>
  <c r="AJ150" i="12"/>
  <c r="AJ85" i="12" s="1"/>
  <c r="AJ18" i="12"/>
  <c r="AD151" i="12"/>
  <c r="AD19" i="12"/>
  <c r="AW148" i="12"/>
  <c r="AW83" i="12" s="1"/>
  <c r="AW16" i="12"/>
  <c r="BJ22" i="14"/>
  <c r="BM145" i="12"/>
  <c r="BM80" i="12" s="1"/>
  <c r="BM13" i="12"/>
  <c r="Z170" i="4"/>
  <c r="Z172" i="4" s="1"/>
  <c r="Z179" i="4" s="1"/>
  <c r="AC29" i="14"/>
  <c r="AD29" i="14" s="1"/>
  <c r="U22" i="15"/>
  <c r="Y20" i="12"/>
  <c r="BG146" i="12"/>
  <c r="BG81" i="12" s="1"/>
  <c r="BG14" i="12"/>
  <c r="BH146" i="12" l="1"/>
  <c r="BH81" i="12" s="1"/>
  <c r="BH14" i="12"/>
  <c r="BK22" i="14"/>
  <c r="HE7" i="7"/>
  <c r="HF3" i="7" s="1"/>
  <c r="HE4" i="7"/>
  <c r="HE6" i="7" s="1"/>
  <c r="AA50" i="4"/>
  <c r="AA72" i="4"/>
  <c r="AA77" i="4" s="1"/>
  <c r="AX148" i="12"/>
  <c r="AX83" i="12" s="1"/>
  <c r="AX16" i="12"/>
  <c r="BG24" i="14"/>
  <c r="BH24" i="14" s="1"/>
  <c r="Z152" i="12"/>
  <c r="Y65" i="12"/>
  <c r="BK79" i="12"/>
  <c r="U23" i="15"/>
  <c r="AA40" i="4"/>
  <c r="AA43" i="4" s="1"/>
  <c r="U34" i="15"/>
  <c r="AE151" i="12"/>
  <c r="AE19" i="12" s="1"/>
  <c r="AW147" i="12"/>
  <c r="AW25" i="14" s="1"/>
  <c r="AW15" i="12"/>
  <c r="AW26" i="14"/>
  <c r="AX26" i="14" s="1"/>
  <c r="AK150" i="12"/>
  <c r="AK85" i="12" s="1"/>
  <c r="BN145" i="12"/>
  <c r="BN13" i="12"/>
  <c r="AN149" i="12"/>
  <c r="AN84" i="12" s="1"/>
  <c r="AN17" i="12"/>
  <c r="BN80" i="12"/>
  <c r="BM23" i="14"/>
  <c r="BN23" i="14" s="1"/>
  <c r="AN27" i="14"/>
  <c r="BK144" i="12"/>
  <c r="BK12" i="12" s="1"/>
  <c r="AO84" i="12" l="1"/>
  <c r="BI81" i="12"/>
  <c r="AO27" i="14"/>
  <c r="Z196" i="12"/>
  <c r="Z30" i="14"/>
  <c r="Z87" i="12"/>
  <c r="HF4" i="7"/>
  <c r="HF6" i="7" s="1"/>
  <c r="HF7" i="7"/>
  <c r="HG3" i="7" s="1"/>
  <c r="AY26" i="14"/>
  <c r="U36" i="15"/>
  <c r="U40" i="15"/>
  <c r="U35" i="15"/>
  <c r="U42" i="15" s="1"/>
  <c r="BI24" i="14"/>
  <c r="AX147" i="12"/>
  <c r="AX25" i="14" s="1"/>
  <c r="AX15" i="12"/>
  <c r="AA54" i="4"/>
  <c r="AY148" i="12"/>
  <c r="AY83" i="12" s="1"/>
  <c r="AY16" i="12"/>
  <c r="AO149" i="12"/>
  <c r="AO17" i="12"/>
  <c r="U47" i="15"/>
  <c r="AA33" i="4"/>
  <c r="AE29" i="14"/>
  <c r="AW82" i="12"/>
  <c r="BO145" i="12"/>
  <c r="BO80" i="12" s="1"/>
  <c r="BO13" i="12"/>
  <c r="AK28" i="14"/>
  <c r="AE86" i="12"/>
  <c r="BO23" i="14"/>
  <c r="BI146" i="12"/>
  <c r="BI14" i="12"/>
  <c r="BL144" i="12"/>
  <c r="BL22" i="14" s="1"/>
  <c r="BL12" i="12"/>
  <c r="AK18" i="12"/>
  <c r="Z20" i="12"/>
  <c r="BP80" i="12" l="1"/>
  <c r="AA152" i="12"/>
  <c r="AA87" i="12" s="1"/>
  <c r="AA20" i="12"/>
  <c r="BP23" i="14"/>
  <c r="V31" i="15"/>
  <c r="AB42" i="4" s="1"/>
  <c r="Z64" i="12"/>
  <c r="V27" i="15" s="1"/>
  <c r="AL150" i="12"/>
  <c r="AL85" i="12" s="1"/>
  <c r="AL18" i="12"/>
  <c r="AA34" i="4"/>
  <c r="U50" i="15" s="1"/>
  <c r="AA55" i="4"/>
  <c r="AA61" i="4"/>
  <c r="AA69" i="4" s="1"/>
  <c r="AA66" i="4"/>
  <c r="AA68" i="4"/>
  <c r="AA67" i="4"/>
  <c r="AA63" i="4"/>
  <c r="AA64" i="4"/>
  <c r="AA62" i="4"/>
  <c r="AA65" i="4"/>
  <c r="AA56" i="4"/>
  <c r="AA57" i="4" s="1"/>
  <c r="U43" i="15"/>
  <c r="U46" i="15"/>
  <c r="U29" i="15"/>
  <c r="AL28" i="14"/>
  <c r="U48" i="15"/>
  <c r="BP145" i="12"/>
  <c r="BP13" i="12"/>
  <c r="BL79" i="12"/>
  <c r="AP149" i="12"/>
  <c r="AP17" i="12" s="1"/>
  <c r="HG7" i="7"/>
  <c r="HH3" i="7" s="1"/>
  <c r="HG4" i="7"/>
  <c r="HG6" i="7" s="1"/>
  <c r="AF151" i="12"/>
  <c r="AF19" i="12" s="1"/>
  <c r="BJ146" i="12"/>
  <c r="BJ81" i="12" s="1"/>
  <c r="BJ14" i="12"/>
  <c r="AX82" i="12"/>
  <c r="BJ24" i="14"/>
  <c r="AZ148" i="12"/>
  <c r="AZ83" i="12" s="1"/>
  <c r="U37" i="15"/>
  <c r="U41" i="15" s="1"/>
  <c r="U44" i="15" s="1"/>
  <c r="AA30" i="14"/>
  <c r="Z74" i="14"/>
  <c r="Z4" i="14" s="1"/>
  <c r="AF29" i="14"/>
  <c r="AP84" i="12"/>
  <c r="AQ149" i="12" l="1"/>
  <c r="AQ17" i="12"/>
  <c r="AB87" i="12"/>
  <c r="AM28" i="14"/>
  <c r="Z6" i="14"/>
  <c r="AB15" i="4" s="1"/>
  <c r="Z5" i="14"/>
  <c r="AA80" i="4"/>
  <c r="AA79" i="4"/>
  <c r="BQ23" i="14"/>
  <c r="BK146" i="12"/>
  <c r="BK81" i="12" s="1"/>
  <c r="AZ26" i="14"/>
  <c r="AB152" i="12"/>
  <c r="AB20" i="12"/>
  <c r="AB30" i="14"/>
  <c r="BQ145" i="12"/>
  <c r="BQ13" i="12"/>
  <c r="BM144" i="12"/>
  <c r="AP27" i="14"/>
  <c r="AQ27" i="14" s="1"/>
  <c r="AF86" i="12"/>
  <c r="AG151" i="12" s="1"/>
  <c r="AM150" i="12"/>
  <c r="AM85" i="12" s="1"/>
  <c r="AM18" i="12"/>
  <c r="AZ16" i="12"/>
  <c r="HH7" i="7"/>
  <c r="HI3" i="7" s="1"/>
  <c r="HH4" i="7"/>
  <c r="HH6" i="7" s="1"/>
  <c r="AQ84" i="12"/>
  <c r="AY147" i="12"/>
  <c r="AY82" i="12" s="1"/>
  <c r="AB41" i="4"/>
  <c r="BQ80" i="12"/>
  <c r="AG19" i="12" l="1"/>
  <c r="AG29" i="14"/>
  <c r="BR80" i="12"/>
  <c r="AN150" i="12"/>
  <c r="AN85" i="12" s="1"/>
  <c r="AC152" i="12"/>
  <c r="AC30" i="14" s="1"/>
  <c r="AC20" i="12"/>
  <c r="AA167" i="4"/>
  <c r="AA142" i="4"/>
  <c r="AA141" i="4"/>
  <c r="AA149" i="4" s="1"/>
  <c r="AR149" i="12"/>
  <c r="AR17" i="12" s="1"/>
  <c r="AR27" i="14"/>
  <c r="BK24" i="14"/>
  <c r="BA26" i="14"/>
  <c r="Z3" i="14"/>
  <c r="Z31" i="14" s="1"/>
  <c r="AB14" i="4"/>
  <c r="AB18" i="4" s="1"/>
  <c r="BK14" i="12"/>
  <c r="HI7" i="7"/>
  <c r="HJ3" i="7" s="1"/>
  <c r="HI4" i="7"/>
  <c r="HI6" i="7" s="1"/>
  <c r="BR145" i="12"/>
  <c r="BR13" i="12"/>
  <c r="BM22" i="14"/>
  <c r="BM12" i="12"/>
  <c r="AC87" i="12"/>
  <c r="BA148" i="12"/>
  <c r="BA83" i="12" s="1"/>
  <c r="BA16" i="12"/>
  <c r="BR23" i="14"/>
  <c r="BM79" i="12"/>
  <c r="AY15" i="12"/>
  <c r="AY25" i="14"/>
  <c r="AG86" i="12"/>
  <c r="AD87" i="12" l="1"/>
  <c r="BL146" i="12"/>
  <c r="BL81" i="12" s="1"/>
  <c r="AN18" i="12"/>
  <c r="BN144" i="12"/>
  <c r="BN12" i="12"/>
  <c r="V17" i="15"/>
  <c r="AB147" i="4"/>
  <c r="AB60" i="4"/>
  <c r="AB74" i="4"/>
  <c r="AZ147" i="12"/>
  <c r="AZ82" i="12" s="1"/>
  <c r="AZ15" i="12"/>
  <c r="BN22" i="14"/>
  <c r="BS80" i="12"/>
  <c r="BN79" i="12"/>
  <c r="BS145" i="12"/>
  <c r="BS13" i="12" s="1"/>
  <c r="AA170" i="4"/>
  <c r="AA172" i="4" s="1"/>
  <c r="AA179" i="4" s="1"/>
  <c r="BS23" i="14"/>
  <c r="BB148" i="12"/>
  <c r="BB26" i="14" s="1"/>
  <c r="BB16" i="12"/>
  <c r="AD152" i="12"/>
  <c r="AD30" i="14" s="1"/>
  <c r="AD20" i="12"/>
  <c r="HJ4" i="7"/>
  <c r="HJ6" i="7" s="1"/>
  <c r="HJ7" i="7"/>
  <c r="HK3" i="7" s="1"/>
  <c r="AR84" i="12"/>
  <c r="AH151" i="12"/>
  <c r="AH19" i="12" s="1"/>
  <c r="AN28" i="14"/>
  <c r="BT145" i="12" l="1"/>
  <c r="BT13" i="12"/>
  <c r="BC148" i="12"/>
  <c r="BC26" i="14" s="1"/>
  <c r="BC16" i="12"/>
  <c r="HK7" i="7"/>
  <c r="HL3" i="7" s="1"/>
  <c r="HK4" i="7"/>
  <c r="HK6" i="7" s="1"/>
  <c r="BT80" i="12"/>
  <c r="BL24" i="14"/>
  <c r="BL14" i="12"/>
  <c r="AS84" i="12"/>
  <c r="Z88" i="12"/>
  <c r="V21" i="15"/>
  <c r="AH86" i="12"/>
  <c r="BB83" i="12"/>
  <c r="BO144" i="12"/>
  <c r="BO12" i="12" s="1"/>
  <c r="AH29" i="14"/>
  <c r="BA147" i="12"/>
  <c r="BA15" i="12"/>
  <c r="AS149" i="12"/>
  <c r="AO28" i="14"/>
  <c r="AE152" i="12"/>
  <c r="AE87" i="12" s="1"/>
  <c r="AE20" i="12"/>
  <c r="BA82" i="12"/>
  <c r="AZ25" i="14"/>
  <c r="AO150" i="12"/>
  <c r="AO85" i="12" s="1"/>
  <c r="AO18" i="12"/>
  <c r="AF152" i="12" l="1"/>
  <c r="AF87" i="12" s="1"/>
  <c r="AF20" i="12"/>
  <c r="BO79" i="12"/>
  <c r="BM146" i="12"/>
  <c r="BM81" i="12" s="1"/>
  <c r="BM14" i="12"/>
  <c r="AS17" i="12"/>
  <c r="AS27" i="14"/>
  <c r="AE30" i="14"/>
  <c r="AF30" i="14" s="1"/>
  <c r="BB147" i="12"/>
  <c r="BB82" i="12" s="1"/>
  <c r="BB15" i="12"/>
  <c r="BO22" i="14"/>
  <c r="BC83" i="12"/>
  <c r="AP150" i="12"/>
  <c r="AP28" i="14" s="1"/>
  <c r="AP18" i="12"/>
  <c r="V22" i="15"/>
  <c r="Z21" i="12"/>
  <c r="BM24" i="14"/>
  <c r="BU145" i="12"/>
  <c r="BU80" i="12" s="1"/>
  <c r="BU13" i="12"/>
  <c r="Z131" i="12"/>
  <c r="V26" i="15" s="1"/>
  <c r="BA25" i="14"/>
  <c r="HL4" i="7"/>
  <c r="HL6" i="7" s="1"/>
  <c r="HL7" i="7"/>
  <c r="HM3" i="7" s="1"/>
  <c r="AI151" i="12"/>
  <c r="AI19" i="12" s="1"/>
  <c r="BC82" i="12" l="1"/>
  <c r="BP79" i="12"/>
  <c r="HM7" i="7"/>
  <c r="HN3" i="7" s="1"/>
  <c r="HM4" i="7"/>
  <c r="HM6" i="7" s="1"/>
  <c r="AG152" i="12"/>
  <c r="AG87" i="12" s="1"/>
  <c r="AG20" i="12"/>
  <c r="AI29" i="14"/>
  <c r="V23" i="15"/>
  <c r="AB40" i="4"/>
  <c r="AB43" i="4" s="1"/>
  <c r="V34" i="15"/>
  <c r="BC147" i="12"/>
  <c r="BC15" i="12"/>
  <c r="AB19" i="4"/>
  <c r="V28" i="15"/>
  <c r="AI86" i="12"/>
  <c r="BD83" i="12"/>
  <c r="AT149" i="12"/>
  <c r="AT84" i="12" s="1"/>
  <c r="BB25" i="14"/>
  <c r="BC25" i="14" s="1"/>
  <c r="AG30" i="14"/>
  <c r="AP85" i="12"/>
  <c r="BN146" i="12"/>
  <c r="BN24" i="14" s="1"/>
  <c r="BN14" i="12"/>
  <c r="AA153" i="12"/>
  <c r="AA21" i="12"/>
  <c r="Z65" i="12"/>
  <c r="BD148" i="12"/>
  <c r="BP144" i="12"/>
  <c r="BP12" i="12" s="1"/>
  <c r="V47" i="15" l="1"/>
  <c r="V48" i="15"/>
  <c r="AB33" i="4"/>
  <c r="AQ85" i="12"/>
  <c r="AQ150" i="12"/>
  <c r="BD16" i="12"/>
  <c r="BD26" i="14"/>
  <c r="AH30" i="14"/>
  <c r="V46" i="15"/>
  <c r="V29" i="15"/>
  <c r="AT27" i="14"/>
  <c r="BN81" i="12"/>
  <c r="AB22" i="4"/>
  <c r="AB20" i="4"/>
  <c r="AH152" i="12"/>
  <c r="AH87" i="12" s="1"/>
  <c r="AH20" i="12"/>
  <c r="AJ151" i="12"/>
  <c r="AJ19" i="12" s="1"/>
  <c r="AB153" i="12"/>
  <c r="AB21" i="12" s="1"/>
  <c r="BD147" i="12"/>
  <c r="BD25" i="14" s="1"/>
  <c r="BD15" i="12"/>
  <c r="AA196" i="12"/>
  <c r="AA31" i="14"/>
  <c r="AA88" i="12"/>
  <c r="BP22" i="14"/>
  <c r="BQ22" i="14" s="1"/>
  <c r="AB54" i="4"/>
  <c r="BQ144" i="12"/>
  <c r="BQ79" i="12" s="1"/>
  <c r="BQ12" i="12"/>
  <c r="AT17" i="12"/>
  <c r="V35" i="15"/>
  <c r="V42" i="15" s="1"/>
  <c r="V40" i="15"/>
  <c r="V43" i="15" s="1"/>
  <c r="V36" i="15"/>
  <c r="HN4" i="7"/>
  <c r="HN6" i="7" s="1"/>
  <c r="HN7" i="7"/>
  <c r="HO3" i="7" s="1"/>
  <c r="BD82" i="12"/>
  <c r="BE82" i="12" l="1"/>
  <c r="AU149" i="12"/>
  <c r="AU84" i="12" s="1"/>
  <c r="HO7" i="7"/>
  <c r="HP3" i="7" s="1"/>
  <c r="HO4" i="7"/>
  <c r="HO6" i="7" s="1"/>
  <c r="AB31" i="14"/>
  <c r="AA74" i="14"/>
  <c r="AA4" i="14" s="1"/>
  <c r="AI152" i="12"/>
  <c r="AI87" i="12" s="1"/>
  <c r="AB88" i="12"/>
  <c r="AA131" i="12"/>
  <c r="W26" i="15" s="1"/>
  <c r="AC19" i="4" s="1"/>
  <c r="BR144" i="12"/>
  <c r="BR22" i="14" s="1"/>
  <c r="BR12" i="12"/>
  <c r="AI30" i="14"/>
  <c r="W31" i="15"/>
  <c r="AC42" i="4" s="1"/>
  <c r="AA64" i="12"/>
  <c r="W27" i="15" s="1"/>
  <c r="V37" i="15"/>
  <c r="V41" i="15" s="1"/>
  <c r="V44" i="15" s="1"/>
  <c r="BE147" i="12"/>
  <c r="BE25" i="14" s="1"/>
  <c r="BE15" i="12"/>
  <c r="AB21" i="4"/>
  <c r="AB23" i="4"/>
  <c r="BE148" i="12"/>
  <c r="BE83" i="12" s="1"/>
  <c r="AB55" i="4"/>
  <c r="AB57" i="4" s="1"/>
  <c r="AB61" i="4"/>
  <c r="AB66" i="4"/>
  <c r="AB68" i="4"/>
  <c r="AB64" i="4"/>
  <c r="AB62" i="4"/>
  <c r="AB67" i="4"/>
  <c r="AB63" i="4"/>
  <c r="AB65" i="4"/>
  <c r="AB56" i="4"/>
  <c r="AQ28" i="14"/>
  <c r="AQ18" i="12"/>
  <c r="BO81" i="12"/>
  <c r="AJ29" i="14"/>
  <c r="BO146" i="12"/>
  <c r="AU27" i="14"/>
  <c r="AJ86" i="12"/>
  <c r="AR150" i="12" l="1"/>
  <c r="AR85" i="12" s="1"/>
  <c r="AB25" i="4"/>
  <c r="AB24" i="4"/>
  <c r="AA6" i="14"/>
  <c r="AC15" i="4" s="1"/>
  <c r="AC22" i="4" s="1"/>
  <c r="AA5" i="14"/>
  <c r="AR28" i="14"/>
  <c r="AB49" i="4"/>
  <c r="AB69" i="4"/>
  <c r="BF147" i="12"/>
  <c r="BF25" i="14" s="1"/>
  <c r="BF15" i="12"/>
  <c r="BR79" i="12"/>
  <c r="BS144" i="12" s="1"/>
  <c r="HP7" i="7"/>
  <c r="HQ3" i="7" s="1"/>
  <c r="HP4" i="7"/>
  <c r="HP6" i="7" s="1"/>
  <c r="AC153" i="12"/>
  <c r="AC21" i="12" s="1"/>
  <c r="BO14" i="12"/>
  <c r="BO24" i="14"/>
  <c r="BE26" i="14"/>
  <c r="AK151" i="12"/>
  <c r="AK19" i="12" s="1"/>
  <c r="AK29" i="14"/>
  <c r="BE16" i="12"/>
  <c r="W28" i="15"/>
  <c r="AC41" i="4"/>
  <c r="AI20" i="12"/>
  <c r="AU17" i="12"/>
  <c r="BS22" i="14" l="1"/>
  <c r="BS12" i="12"/>
  <c r="AJ152" i="12"/>
  <c r="BP146" i="12"/>
  <c r="BP81" i="12" s="1"/>
  <c r="BP14" i="12"/>
  <c r="BG147" i="12"/>
  <c r="BG15" i="12" s="1"/>
  <c r="AD153" i="12"/>
  <c r="AD21" i="12" s="1"/>
  <c r="BF82" i="12"/>
  <c r="AC88" i="12"/>
  <c r="AA3" i="14"/>
  <c r="AA32" i="14" s="1"/>
  <c r="AC14" i="4"/>
  <c r="AC18" i="4" s="1"/>
  <c r="BF148" i="12"/>
  <c r="BF83" i="12" s="1"/>
  <c r="BF16" i="12"/>
  <c r="AC31" i="14"/>
  <c r="AD31" i="14" s="1"/>
  <c r="HQ7" i="7"/>
  <c r="HR3" i="7" s="1"/>
  <c r="HQ4" i="7"/>
  <c r="HQ6" i="7" s="1"/>
  <c r="AB26" i="4"/>
  <c r="AB34" i="4"/>
  <c r="V50" i="15" s="1"/>
  <c r="BF26" i="14"/>
  <c r="AK86" i="12"/>
  <c r="AB50" i="4"/>
  <c r="AB72" i="4"/>
  <c r="AB77" i="4" s="1"/>
  <c r="AV149" i="12"/>
  <c r="AV17" i="12"/>
  <c r="BS79" i="12"/>
  <c r="AR18" i="12"/>
  <c r="BH147" i="12" l="1"/>
  <c r="BH15" i="12"/>
  <c r="BQ146" i="12"/>
  <c r="BQ14" i="12"/>
  <c r="AS150" i="12"/>
  <c r="AS18" i="12" s="1"/>
  <c r="BG82" i="12"/>
  <c r="AJ87" i="12"/>
  <c r="AJ30" i="14"/>
  <c r="AL86" i="12"/>
  <c r="BQ81" i="12"/>
  <c r="BP24" i="14"/>
  <c r="BQ24" i="14" s="1"/>
  <c r="HR4" i="7"/>
  <c r="HR6" i="7" s="1"/>
  <c r="HR7" i="7"/>
  <c r="HS3" i="7" s="1"/>
  <c r="BT144" i="12"/>
  <c r="BT79" i="12" s="1"/>
  <c r="BT12" i="12"/>
  <c r="AL151" i="12"/>
  <c r="BG148" i="12"/>
  <c r="BG83" i="12" s="1"/>
  <c r="AJ20" i="12"/>
  <c r="W17" i="15"/>
  <c r="AC20" i="4"/>
  <c r="AC147" i="4"/>
  <c r="AC60" i="4"/>
  <c r="AC74" i="4"/>
  <c r="BG25" i="14"/>
  <c r="BH25" i="14" s="1"/>
  <c r="AV27" i="14"/>
  <c r="AV84" i="12"/>
  <c r="AB79" i="4"/>
  <c r="AB80" i="4"/>
  <c r="AD88" i="12"/>
  <c r="BG16" i="12" l="1"/>
  <c r="AB167" i="4"/>
  <c r="AB141" i="4"/>
  <c r="AB142" i="4"/>
  <c r="BR146" i="12"/>
  <c r="BR81" i="12" s="1"/>
  <c r="BR14" i="12"/>
  <c r="AA89" i="12"/>
  <c r="W21" i="15"/>
  <c r="AL19" i="12"/>
  <c r="AL29" i="14"/>
  <c r="AC21" i="4"/>
  <c r="AC23" i="4"/>
  <c r="AK30" i="14"/>
  <c r="AS28" i="14"/>
  <c r="AS85" i="12"/>
  <c r="BG26" i="14"/>
  <c r="AW84" i="12"/>
  <c r="BU144" i="12"/>
  <c r="BU79" i="12" s="1"/>
  <c r="BU12" i="12"/>
  <c r="BI147" i="12"/>
  <c r="BI25" i="14" s="1"/>
  <c r="AW27" i="14"/>
  <c r="AW149" i="12"/>
  <c r="AW17" i="12" s="1"/>
  <c r="HS7" i="7"/>
  <c r="HT3" i="7" s="1"/>
  <c r="HS4" i="7"/>
  <c r="HS6" i="7" s="1"/>
  <c r="AK152" i="12"/>
  <c r="AK87" i="12" s="1"/>
  <c r="AK20" i="12"/>
  <c r="BH82" i="12"/>
  <c r="AE153" i="12"/>
  <c r="AE88" i="12" s="1"/>
  <c r="AL87" i="12" l="1"/>
  <c r="BI82" i="12"/>
  <c r="BI15" i="12"/>
  <c r="AT85" i="12"/>
  <c r="AL152" i="12"/>
  <c r="AL20" i="12"/>
  <c r="AL30" i="14"/>
  <c r="BH148" i="12"/>
  <c r="BH83" i="12" s="1"/>
  <c r="BH16" i="12"/>
  <c r="AT28" i="14"/>
  <c r="BS146" i="12"/>
  <c r="BS81" i="12" s="1"/>
  <c r="BS14" i="12"/>
  <c r="AC25" i="4"/>
  <c r="AC26" i="4" s="1"/>
  <c r="AC24" i="4"/>
  <c r="BR24" i="14"/>
  <c r="HT4" i="7"/>
  <c r="HT6" i="7" s="1"/>
  <c r="HT7" i="7"/>
  <c r="HU3" i="7" s="1"/>
  <c r="AX84" i="12"/>
  <c r="AC49" i="4"/>
  <c r="AB149" i="4"/>
  <c r="AT150" i="12"/>
  <c r="AT18" i="12" s="1"/>
  <c r="AX149" i="12"/>
  <c r="AX27" i="14" s="1"/>
  <c r="AX17" i="12"/>
  <c r="AM151" i="12"/>
  <c r="AM86" i="12" s="1"/>
  <c r="AM19" i="12"/>
  <c r="AE21" i="12"/>
  <c r="AE31" i="14"/>
  <c r="BH26" i="14"/>
  <c r="W22" i="15"/>
  <c r="AA22" i="12"/>
  <c r="AB170" i="4"/>
  <c r="AB172" i="4" s="1"/>
  <c r="AB179" i="4" s="1"/>
  <c r="AY27" i="14" l="1"/>
  <c r="AN151" i="12"/>
  <c r="AN19" i="12"/>
  <c r="BT146" i="12"/>
  <c r="BT81" i="12" s="1"/>
  <c r="BT14" i="12"/>
  <c r="AN86" i="12"/>
  <c r="AY84" i="12"/>
  <c r="AB154" i="12"/>
  <c r="AA65" i="12"/>
  <c r="AY149" i="12"/>
  <c r="AY17" i="12"/>
  <c r="HU7" i="7"/>
  <c r="HV3" i="7" s="1"/>
  <c r="HU4" i="7"/>
  <c r="HU6" i="7" s="1"/>
  <c r="AU28" i="14"/>
  <c r="AU85" i="12"/>
  <c r="W23" i="15"/>
  <c r="AC40" i="4"/>
  <c r="AC43" i="4" s="1"/>
  <c r="W34" i="15"/>
  <c r="BI148" i="12"/>
  <c r="BI16" i="12"/>
  <c r="BJ147" i="12"/>
  <c r="BJ25" i="14" s="1"/>
  <c r="BJ15" i="12"/>
  <c r="BI26" i="14"/>
  <c r="AU150" i="12"/>
  <c r="AU18" i="12"/>
  <c r="BS24" i="14"/>
  <c r="BI83" i="12"/>
  <c r="AM30" i="14"/>
  <c r="AM87" i="12"/>
  <c r="AF31" i="14"/>
  <c r="AM29" i="14"/>
  <c r="AM152" i="12"/>
  <c r="AM20" i="12"/>
  <c r="AF153" i="12"/>
  <c r="AF88" i="12" s="1"/>
  <c r="AF21" i="12"/>
  <c r="AC50" i="4"/>
  <c r="AC72" i="4"/>
  <c r="AC77" i="4" s="1"/>
  <c r="AB196" i="12" l="1"/>
  <c r="AB32" i="14"/>
  <c r="AB89" i="12"/>
  <c r="AN87" i="12"/>
  <c r="AZ84" i="12"/>
  <c r="AO86" i="12"/>
  <c r="AG153" i="12"/>
  <c r="AG21" i="12" s="1"/>
  <c r="BJ82" i="12"/>
  <c r="BJ148" i="12"/>
  <c r="BJ26" i="14" s="1"/>
  <c r="BJ16" i="12"/>
  <c r="HV4" i="7"/>
  <c r="HV6" i="7" s="1"/>
  <c r="HV7" i="7"/>
  <c r="HW3" i="7" s="1"/>
  <c r="BU146" i="12"/>
  <c r="BU81" i="12" s="1"/>
  <c r="BU14" i="12"/>
  <c r="AZ149" i="12"/>
  <c r="AZ17" i="12"/>
  <c r="AN152" i="12"/>
  <c r="AN30" i="14" s="1"/>
  <c r="AN20" i="12"/>
  <c r="W40" i="15"/>
  <c r="W36" i="15"/>
  <c r="W35" i="15"/>
  <c r="W42" i="15" s="1"/>
  <c r="AO151" i="12"/>
  <c r="AO19" i="12"/>
  <c r="AV150" i="12"/>
  <c r="AV85" i="12" s="1"/>
  <c r="AV18" i="12"/>
  <c r="AC54" i="4"/>
  <c r="AN29" i="14"/>
  <c r="W47" i="15"/>
  <c r="AC33" i="4"/>
  <c r="AB22" i="12"/>
  <c r="AZ27" i="14"/>
  <c r="AG31" i="14" l="1"/>
  <c r="BA27" i="14"/>
  <c r="AW150" i="12"/>
  <c r="AW18" i="12" s="1"/>
  <c r="W43" i="15"/>
  <c r="W46" i="15"/>
  <c r="W29" i="15"/>
  <c r="AP86" i="12"/>
  <c r="AC154" i="12"/>
  <c r="AC32" i="14" s="1"/>
  <c r="AC22" i="12"/>
  <c r="AO152" i="12"/>
  <c r="AO30" i="14" s="1"/>
  <c r="HW7" i="7"/>
  <c r="HX3" i="7" s="1"/>
  <c r="HW4" i="7"/>
  <c r="HW6" i="7" s="1"/>
  <c r="AP151" i="12"/>
  <c r="AP19" i="12"/>
  <c r="AC89" i="12"/>
  <c r="AB131" i="12"/>
  <c r="X26" i="15" s="1"/>
  <c r="AD19" i="4" s="1"/>
  <c r="BA149" i="12"/>
  <c r="BA17" i="12" s="1"/>
  <c r="AB74" i="14"/>
  <c r="AB4" i="14" s="1"/>
  <c r="W48" i="15"/>
  <c r="AV28" i="14"/>
  <c r="AW28" i="14" s="1"/>
  <c r="X31" i="15"/>
  <c r="AD42" i="4" s="1"/>
  <c r="AB64" i="12"/>
  <c r="X27" i="15" s="1"/>
  <c r="AO29" i="14"/>
  <c r="W37" i="15"/>
  <c r="W41" i="15" s="1"/>
  <c r="W44" i="15" s="1"/>
  <c r="BJ83" i="12"/>
  <c r="BK82" i="12"/>
  <c r="AC55" i="4"/>
  <c r="AC57" i="4"/>
  <c r="AC34" i="4"/>
  <c r="W50" i="15" s="1"/>
  <c r="AC62" i="4"/>
  <c r="AC65" i="4"/>
  <c r="AC67" i="4"/>
  <c r="AC61" i="4"/>
  <c r="AC63" i="4"/>
  <c r="AC68" i="4"/>
  <c r="AC66" i="4"/>
  <c r="AC64" i="4"/>
  <c r="AC56" i="4"/>
  <c r="AG88" i="12"/>
  <c r="BK147" i="12"/>
  <c r="AH31" i="14" l="1"/>
  <c r="AD154" i="12"/>
  <c r="AD32" i="14" s="1"/>
  <c r="AB6" i="14"/>
  <c r="AD15" i="4" s="1"/>
  <c r="AD22" i="4" s="1"/>
  <c r="AB5" i="14"/>
  <c r="AC69" i="4"/>
  <c r="AD89" i="12"/>
  <c r="BK83" i="12"/>
  <c r="AQ151" i="12"/>
  <c r="AQ19" i="12" s="1"/>
  <c r="AO87" i="12"/>
  <c r="BK15" i="12"/>
  <c r="BK25" i="14"/>
  <c r="BA84" i="12"/>
  <c r="BB149" i="12" s="1"/>
  <c r="AH88" i="12"/>
  <c r="AP29" i="14"/>
  <c r="AQ29" i="14" s="1"/>
  <c r="AH153" i="12"/>
  <c r="AH21" i="12" s="1"/>
  <c r="X28" i="15"/>
  <c r="AD41" i="4"/>
  <c r="BK148" i="12"/>
  <c r="HX7" i="7"/>
  <c r="HY3" i="7" s="1"/>
  <c r="HX4" i="7"/>
  <c r="HX6" i="7" s="1"/>
  <c r="AW85" i="12"/>
  <c r="AX150" i="12" s="1"/>
  <c r="AO20" i="12"/>
  <c r="AR151" i="12" l="1"/>
  <c r="AR19" i="12" s="1"/>
  <c r="AX28" i="14"/>
  <c r="AX18" i="12"/>
  <c r="BB27" i="14"/>
  <c r="BB17" i="12"/>
  <c r="AI88" i="12"/>
  <c r="AI31" i="14"/>
  <c r="HY7" i="7"/>
  <c r="HZ3" i="7" s="1"/>
  <c r="HY4" i="7"/>
  <c r="HY6" i="7" s="1"/>
  <c r="BK26" i="14"/>
  <c r="BK16" i="12"/>
  <c r="BL147" i="12"/>
  <c r="BL82" i="12" s="1"/>
  <c r="BL15" i="12"/>
  <c r="AP87" i="12"/>
  <c r="AC80" i="4"/>
  <c r="AC79" i="4"/>
  <c r="AQ86" i="12"/>
  <c r="AB3" i="14"/>
  <c r="AB33" i="14" s="1"/>
  <c r="AD14" i="4"/>
  <c r="AD18" i="4" s="1"/>
  <c r="AI153" i="12"/>
  <c r="AI21" i="12"/>
  <c r="AX85" i="12"/>
  <c r="BB84" i="12"/>
  <c r="AP152" i="12"/>
  <c r="AP30" i="14" s="1"/>
  <c r="AP20" i="12"/>
  <c r="AD22" i="12"/>
  <c r="AR29" i="14" l="1"/>
  <c r="X17" i="15"/>
  <c r="AD20" i="4"/>
  <c r="AD147" i="4"/>
  <c r="AD60" i="4"/>
  <c r="AD74" i="4"/>
  <c r="BM147" i="12"/>
  <c r="BM15" i="12" s="1"/>
  <c r="AQ152" i="12"/>
  <c r="AQ20" i="12"/>
  <c r="AJ88" i="12"/>
  <c r="AQ30" i="14"/>
  <c r="AR86" i="12"/>
  <c r="BL148" i="12"/>
  <c r="BL83" i="12" s="1"/>
  <c r="BL16" i="12"/>
  <c r="BC149" i="12"/>
  <c r="BC17" i="12"/>
  <c r="BC84" i="12"/>
  <c r="BL26" i="14"/>
  <c r="BC27" i="14"/>
  <c r="AY85" i="12"/>
  <c r="BL25" i="14"/>
  <c r="AY150" i="12"/>
  <c r="AY18" i="12"/>
  <c r="AJ153" i="12"/>
  <c r="AJ31" i="14" s="1"/>
  <c r="AJ21" i="12"/>
  <c r="AY28" i="14"/>
  <c r="AC167" i="4"/>
  <c r="AC141" i="4"/>
  <c r="AC142" i="4"/>
  <c r="HZ4" i="7"/>
  <c r="HZ6" i="7" s="1"/>
  <c r="HZ7" i="7"/>
  <c r="IA3" i="7" s="1"/>
  <c r="AQ87" i="12"/>
  <c r="AE154" i="12"/>
  <c r="AE22" i="12"/>
  <c r="AK31" i="14" l="1"/>
  <c r="AK153" i="12"/>
  <c r="AK88" i="12" s="1"/>
  <c r="AK21" i="12"/>
  <c r="BM82" i="12"/>
  <c r="IA7" i="7"/>
  <c r="IB3" i="7" s="1"/>
  <c r="IA4" i="7"/>
  <c r="IA6" i="7" s="1"/>
  <c r="BD149" i="12"/>
  <c r="BD17" i="12"/>
  <c r="AC170" i="4"/>
  <c r="AC172" i="4" s="1"/>
  <c r="AC179" i="4" s="1"/>
  <c r="AF154" i="12"/>
  <c r="AF22" i="12"/>
  <c r="AE32" i="14"/>
  <c r="AF32" i="14" s="1"/>
  <c r="AE89" i="12"/>
  <c r="AR87" i="12"/>
  <c r="BD84" i="12"/>
  <c r="AD23" i="4"/>
  <c r="AD21" i="4"/>
  <c r="AZ150" i="12"/>
  <c r="AZ28" i="14" s="1"/>
  <c r="AZ18" i="12"/>
  <c r="AR152" i="12"/>
  <c r="AR20" i="12"/>
  <c r="AB90" i="12"/>
  <c r="X21" i="15"/>
  <c r="BM148" i="12"/>
  <c r="BM83" i="12" s="1"/>
  <c r="BM16" i="12"/>
  <c r="AC149" i="4"/>
  <c r="BM25" i="14"/>
  <c r="BD27" i="14"/>
  <c r="AR30" i="14"/>
  <c r="AS151" i="12"/>
  <c r="AS19" i="12" s="1"/>
  <c r="AL153" i="12" l="1"/>
  <c r="AL31" i="14" s="1"/>
  <c r="BN148" i="12"/>
  <c r="BN83" i="12" s="1"/>
  <c r="BN16" i="12"/>
  <c r="AD49" i="4"/>
  <c r="AD25" i="4"/>
  <c r="AD26" i="4" s="1"/>
  <c r="AD24" i="4"/>
  <c r="BE84" i="12"/>
  <c r="BM26" i="14"/>
  <c r="AZ85" i="12"/>
  <c r="AS152" i="12"/>
  <c r="AS87" i="12" s="1"/>
  <c r="BE149" i="12"/>
  <c r="BE17" i="12"/>
  <c r="BA150" i="12"/>
  <c r="BA28" i="14" s="1"/>
  <c r="BA18" i="12"/>
  <c r="X22" i="15"/>
  <c r="AB23" i="12"/>
  <c r="BE27" i="14"/>
  <c r="AS86" i="12"/>
  <c r="AS29" i="14"/>
  <c r="AF89" i="12"/>
  <c r="IB4" i="7"/>
  <c r="IB6" i="7" s="1"/>
  <c r="IB7" i="7"/>
  <c r="IC3" i="7" s="1"/>
  <c r="BN147" i="12"/>
  <c r="BN15" i="12" s="1"/>
  <c r="X23" i="15" l="1"/>
  <c r="AD40" i="4"/>
  <c r="AD43" i="4" s="1"/>
  <c r="X34" i="15"/>
  <c r="BO147" i="12"/>
  <c r="BO15" i="12" s="1"/>
  <c r="AC155" i="12"/>
  <c r="AC23" i="12"/>
  <c r="AB65" i="12"/>
  <c r="AS20" i="12"/>
  <c r="BN25" i="14"/>
  <c r="IC7" i="7"/>
  <c r="ID3" i="7" s="1"/>
  <c r="IC4" i="7"/>
  <c r="IC6" i="7" s="1"/>
  <c r="BO148" i="12"/>
  <c r="BO83" i="12" s="1"/>
  <c r="BO16" i="12"/>
  <c r="AL21" i="12"/>
  <c r="AL88" i="12"/>
  <c r="AS30" i="14"/>
  <c r="BN82" i="12"/>
  <c r="AT29" i="14"/>
  <c r="AG154" i="12"/>
  <c r="AT86" i="12"/>
  <c r="BF149" i="12"/>
  <c r="BF27" i="14" s="1"/>
  <c r="BA85" i="12"/>
  <c r="AT151" i="12"/>
  <c r="AT19" i="12" s="1"/>
  <c r="BN26" i="14"/>
  <c r="BO26" i="14" s="1"/>
  <c r="AD50" i="4"/>
  <c r="AD72" i="4"/>
  <c r="AD77" i="4" s="1"/>
  <c r="BP83" i="12" l="1"/>
  <c r="ID4" i="7"/>
  <c r="ID6" i="7" s="1"/>
  <c r="ID7" i="7"/>
  <c r="IE3" i="7" s="1"/>
  <c r="BO25" i="14"/>
  <c r="AD54" i="4"/>
  <c r="BF84" i="12"/>
  <c r="BF17" i="12"/>
  <c r="X40" i="15"/>
  <c r="X36" i="15"/>
  <c r="X35" i="15"/>
  <c r="X42" i="15" s="1"/>
  <c r="AU86" i="12"/>
  <c r="BB150" i="12"/>
  <c r="AT152" i="12"/>
  <c r="AT87" i="12" s="1"/>
  <c r="AT20" i="12"/>
  <c r="X48" i="15"/>
  <c r="X47" i="15"/>
  <c r="AD33" i="4"/>
  <c r="AU29" i="14"/>
  <c r="AG32" i="14"/>
  <c r="AG22" i="12"/>
  <c r="AM153" i="12"/>
  <c r="AM31" i="14" s="1"/>
  <c r="AM21" i="12"/>
  <c r="BP148" i="12"/>
  <c r="BP16" i="12"/>
  <c r="AC196" i="12"/>
  <c r="AC33" i="14"/>
  <c r="AC90" i="12"/>
  <c r="BP26" i="14"/>
  <c r="AG89" i="12"/>
  <c r="BO82" i="12"/>
  <c r="BP147" i="12" s="1"/>
  <c r="BP15" i="12" s="1"/>
  <c r="AU151" i="12"/>
  <c r="AU19" i="12"/>
  <c r="BQ147" i="12" l="1"/>
  <c r="BQ15" i="12"/>
  <c r="BP25" i="14"/>
  <c r="AD90" i="12"/>
  <c r="AU152" i="12"/>
  <c r="AU20" i="12" s="1"/>
  <c r="IE7" i="7"/>
  <c r="IF3" i="7" s="1"/>
  <c r="IE4" i="7"/>
  <c r="IE6" i="7" s="1"/>
  <c r="AC74" i="14"/>
  <c r="AC4" i="14" s="1"/>
  <c r="AH154" i="12"/>
  <c r="AH89" i="12" s="1"/>
  <c r="AH22" i="12"/>
  <c r="AU87" i="12"/>
  <c r="X43" i="15"/>
  <c r="X46" i="15"/>
  <c r="X29" i="15"/>
  <c r="AT30" i="14"/>
  <c r="Y31" i="15"/>
  <c r="AE42" i="4" s="1"/>
  <c r="AC64" i="12"/>
  <c r="Y27" i="15" s="1"/>
  <c r="AH32" i="14"/>
  <c r="BB28" i="14"/>
  <c r="BB18" i="12"/>
  <c r="X37" i="15"/>
  <c r="X41" i="15" s="1"/>
  <c r="X44" i="15" s="1"/>
  <c r="BB85" i="12"/>
  <c r="AV151" i="12"/>
  <c r="AV19" i="12"/>
  <c r="BQ148" i="12"/>
  <c r="BQ26" i="14" s="1"/>
  <c r="BQ16" i="12"/>
  <c r="AV29" i="14"/>
  <c r="AV86" i="12"/>
  <c r="BG149" i="12"/>
  <c r="BG27" i="14" s="1"/>
  <c r="AM88" i="12"/>
  <c r="BP82" i="12"/>
  <c r="AD55" i="4"/>
  <c r="AD57" i="4"/>
  <c r="AD34" i="4"/>
  <c r="X50" i="15" s="1"/>
  <c r="AD67" i="4"/>
  <c r="AD65" i="4"/>
  <c r="AD66" i="4"/>
  <c r="AD63" i="4"/>
  <c r="AD61" i="4"/>
  <c r="AD68" i="4"/>
  <c r="AD64" i="4"/>
  <c r="AD62" i="4"/>
  <c r="AD56" i="4"/>
  <c r="AD155" i="12"/>
  <c r="AD23" i="12" s="1"/>
  <c r="BQ83" i="12"/>
  <c r="AV152" i="12" l="1"/>
  <c r="AV20" i="12"/>
  <c r="AV87" i="12"/>
  <c r="BR148" i="12"/>
  <c r="BR26" i="14" s="1"/>
  <c r="BR16" i="12"/>
  <c r="AI154" i="12"/>
  <c r="AI32" i="14" s="1"/>
  <c r="AD69" i="4"/>
  <c r="BQ82" i="12"/>
  <c r="AE41" i="4"/>
  <c r="AE155" i="12"/>
  <c r="AE23" i="12" s="1"/>
  <c r="BG84" i="12"/>
  <c r="AW151" i="12"/>
  <c r="AW29" i="14" s="1"/>
  <c r="AW19" i="12"/>
  <c r="AC6" i="14"/>
  <c r="AE15" i="4" s="1"/>
  <c r="AC5" i="14"/>
  <c r="BQ25" i="14"/>
  <c r="AN88" i="12"/>
  <c r="AU30" i="14"/>
  <c r="AV30" i="14" s="1"/>
  <c r="AD33" i="14"/>
  <c r="BG17" i="12"/>
  <c r="AN153" i="12"/>
  <c r="IF7" i="7"/>
  <c r="IG3" i="7" s="1"/>
  <c r="IF4" i="7"/>
  <c r="IF6" i="7" s="1"/>
  <c r="AW86" i="12"/>
  <c r="BC150" i="12"/>
  <c r="BC28" i="14" s="1"/>
  <c r="BC18" i="12"/>
  <c r="AX29" i="14" l="1"/>
  <c r="AF155" i="12"/>
  <c r="AF23" i="12" s="1"/>
  <c r="IG7" i="7"/>
  <c r="IH3" i="7" s="1"/>
  <c r="IG4" i="7"/>
  <c r="IG6" i="7" s="1"/>
  <c r="AE90" i="12"/>
  <c r="BD150" i="12"/>
  <c r="BD18" i="12" s="1"/>
  <c r="AC3" i="14"/>
  <c r="AC34" i="14" s="1"/>
  <c r="AE14" i="4"/>
  <c r="AE18" i="4" s="1"/>
  <c r="AN21" i="12"/>
  <c r="AN31" i="14"/>
  <c r="BC85" i="12"/>
  <c r="AX151" i="12"/>
  <c r="AX86" i="12" s="1"/>
  <c r="AX19" i="12"/>
  <c r="BH149" i="12"/>
  <c r="BH27" i="14" s="1"/>
  <c r="BH17" i="12"/>
  <c r="AD79" i="4"/>
  <c r="AD80" i="4"/>
  <c r="AE33" i="14"/>
  <c r="BR83" i="12"/>
  <c r="AW152" i="12"/>
  <c r="AW87" i="12" s="1"/>
  <c r="AW20" i="12"/>
  <c r="BR147" i="12"/>
  <c r="BR15" i="12" s="1"/>
  <c r="AI22" i="12"/>
  <c r="AI89" i="12"/>
  <c r="AY86" i="12" l="1"/>
  <c r="BI149" i="12"/>
  <c r="BI27" i="14" s="1"/>
  <c r="BI17" i="12"/>
  <c r="AX152" i="12"/>
  <c r="AX87" i="12" s="1"/>
  <c r="AX20" i="12"/>
  <c r="BR82" i="12"/>
  <c r="IH4" i="7"/>
  <c r="IH6" i="7" s="1"/>
  <c r="IH7" i="7"/>
  <c r="II3" i="7" s="1"/>
  <c r="BR25" i="14"/>
  <c r="BS25" i="14" s="1"/>
  <c r="BH84" i="12"/>
  <c r="AY151" i="12"/>
  <c r="AY19" i="12" s="1"/>
  <c r="BS148" i="12"/>
  <c r="AF33" i="14"/>
  <c r="Y17" i="15"/>
  <c r="AE147" i="4"/>
  <c r="AE60" i="4"/>
  <c r="AE74" i="4"/>
  <c r="BD28" i="14"/>
  <c r="AJ154" i="12"/>
  <c r="AJ32" i="14" s="1"/>
  <c r="AJ22" i="12"/>
  <c r="AD167" i="4"/>
  <c r="AD142" i="4"/>
  <c r="AD141" i="4"/>
  <c r="BD85" i="12"/>
  <c r="AW30" i="14"/>
  <c r="AX30" i="14" s="1"/>
  <c r="AO31" i="14"/>
  <c r="BS147" i="12"/>
  <c r="BS15" i="12" s="1"/>
  <c r="AF90" i="12"/>
  <c r="AO153" i="12"/>
  <c r="AO88" i="12" s="1"/>
  <c r="AO21" i="12"/>
  <c r="BT147" i="12" l="1"/>
  <c r="BT15" i="12"/>
  <c r="AZ151" i="12"/>
  <c r="AZ19" i="12"/>
  <c r="AD170" i="4"/>
  <c r="AD172" i="4" s="1"/>
  <c r="AD179" i="4" s="1"/>
  <c r="AC91" i="12"/>
  <c r="Y21" i="15"/>
  <c r="II7" i="7"/>
  <c r="IJ3" i="7" s="1"/>
  <c r="II4" i="7"/>
  <c r="II6" i="7" s="1"/>
  <c r="AP153" i="12"/>
  <c r="AP88" i="12" s="1"/>
  <c r="AP21" i="12"/>
  <c r="AJ89" i="12"/>
  <c r="BS82" i="12"/>
  <c r="BE28" i="14"/>
  <c r="BS26" i="14"/>
  <c r="BS16" i="12"/>
  <c r="BS83" i="12"/>
  <c r="AY29" i="14"/>
  <c r="AZ29" i="14" s="1"/>
  <c r="BE85" i="12"/>
  <c r="BE150" i="12"/>
  <c r="BE18" i="12" s="1"/>
  <c r="AY152" i="12"/>
  <c r="AY30" i="14" s="1"/>
  <c r="AY20" i="12"/>
  <c r="AZ86" i="12"/>
  <c r="AD149" i="4"/>
  <c r="BI84" i="12"/>
  <c r="AG155" i="12"/>
  <c r="AG23" i="12" s="1"/>
  <c r="BA29" i="14" l="1"/>
  <c r="AC131" i="12"/>
  <c r="Y26" i="15" s="1"/>
  <c r="AQ153" i="12"/>
  <c r="AQ88" i="12" s="1"/>
  <c r="AQ21" i="12"/>
  <c r="AH155" i="12"/>
  <c r="AH23" i="12"/>
  <c r="BT148" i="12"/>
  <c r="BT16" i="12" s="1"/>
  <c r="AP31" i="14"/>
  <c r="AG90" i="12"/>
  <c r="AG33" i="14"/>
  <c r="AH33" i="14" s="1"/>
  <c r="AY87" i="12"/>
  <c r="BF28" i="14"/>
  <c r="BJ149" i="12"/>
  <c r="BA151" i="12"/>
  <c r="BA86" i="12" s="1"/>
  <c r="BA19" i="12"/>
  <c r="BF150" i="12"/>
  <c r="BF85" i="12" s="1"/>
  <c r="BF18" i="12"/>
  <c r="BT82" i="12"/>
  <c r="BU147" i="12" s="1"/>
  <c r="BU15" i="12" s="1"/>
  <c r="IJ4" i="7"/>
  <c r="IJ6" i="7" s="1"/>
  <c r="IJ7" i="7"/>
  <c r="IK3" i="7" s="1"/>
  <c r="Y22" i="15"/>
  <c r="AC24" i="12"/>
  <c r="AK154" i="12"/>
  <c r="AK89" i="12" s="1"/>
  <c r="BG85" i="12" l="1"/>
  <c r="BB86" i="12"/>
  <c r="IK7" i="7"/>
  <c r="IK4" i="7"/>
  <c r="BJ27" i="14"/>
  <c r="BJ17" i="12"/>
  <c r="AE19" i="4"/>
  <c r="Y28" i="15"/>
  <c r="BB29" i="14"/>
  <c r="BG150" i="12"/>
  <c r="BG28" i="14" s="1"/>
  <c r="BG18" i="12"/>
  <c r="AH90" i="12"/>
  <c r="AD156" i="12"/>
  <c r="AD24" i="12"/>
  <c r="AC65" i="12"/>
  <c r="BJ84" i="12"/>
  <c r="BT83" i="12"/>
  <c r="AK22" i="12"/>
  <c r="AK32" i="14"/>
  <c r="BB151" i="12"/>
  <c r="BB19" i="12"/>
  <c r="AQ31" i="14"/>
  <c r="BU82" i="12"/>
  <c r="AR153" i="12"/>
  <c r="AR88" i="12" s="1"/>
  <c r="AR21" i="12"/>
  <c r="Y23" i="15"/>
  <c r="AE40" i="4"/>
  <c r="AE43" i="4" s="1"/>
  <c r="Y34" i="15"/>
  <c r="AZ152" i="12"/>
  <c r="AL154" i="12" l="1"/>
  <c r="AL89" i="12" s="1"/>
  <c r="AL22" i="12"/>
  <c r="BK27" i="14"/>
  <c r="IK6" i="7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BU83" i="12"/>
  <c r="AZ30" i="14"/>
  <c r="AZ20" i="12"/>
  <c r="AI155" i="12"/>
  <c r="BK84" i="12"/>
  <c r="AZ87" i="12"/>
  <c r="Y36" i="15"/>
  <c r="Y37" i="15" s="1"/>
  <c r="Y41" i="15" s="1"/>
  <c r="Y44" i="15" s="1"/>
  <c r="Y35" i="15"/>
  <c r="Y42" i="15" s="1"/>
  <c r="Y40" i="15"/>
  <c r="Y43" i="15" s="1"/>
  <c r="AR31" i="14"/>
  <c r="AE54" i="4"/>
  <c r="BC151" i="12"/>
  <c r="BC29" i="14" s="1"/>
  <c r="AE156" i="12"/>
  <c r="AE24" i="12" s="1"/>
  <c r="Y46" i="15"/>
  <c r="Y29" i="15"/>
  <c r="BU148" i="12"/>
  <c r="BU16" i="12" s="1"/>
  <c r="Y48" i="15"/>
  <c r="Y47" i="15"/>
  <c r="AE33" i="4"/>
  <c r="AD196" i="12"/>
  <c r="AD34" i="14"/>
  <c r="AD91" i="12"/>
  <c r="AE22" i="4"/>
  <c r="AE20" i="4"/>
  <c r="AL32" i="14"/>
  <c r="AS153" i="12"/>
  <c r="AS21" i="12" s="1"/>
  <c r="BK149" i="12"/>
  <c r="BK17" i="12" s="1"/>
  <c r="BH150" i="12"/>
  <c r="BH28" i="14" s="1"/>
  <c r="BH18" i="12"/>
  <c r="BL149" i="12" l="1"/>
  <c r="BL17" i="12" s="1"/>
  <c r="AT153" i="12"/>
  <c r="AT21" i="12"/>
  <c r="CD177" i="4"/>
  <c r="Z47" i="5"/>
  <c r="AC151" i="6"/>
  <c r="CK177" i="4"/>
  <c r="AJ151" i="6"/>
  <c r="AG47" i="5"/>
  <c r="AE23" i="4"/>
  <c r="AE21" i="4"/>
  <c r="AE55" i="4"/>
  <c r="AE57" i="4" s="1"/>
  <c r="AE65" i="4"/>
  <c r="AE66" i="4"/>
  <c r="AE61" i="4"/>
  <c r="AE68" i="4"/>
  <c r="AE64" i="4"/>
  <c r="AE67" i="4"/>
  <c r="AE62" i="4"/>
  <c r="AE63" i="4"/>
  <c r="AE56" i="4"/>
  <c r="CJ177" i="4"/>
  <c r="AF47" i="5"/>
  <c r="AI151" i="6"/>
  <c r="CB177" i="4"/>
  <c r="X47" i="5"/>
  <c r="AA151" i="6"/>
  <c r="Z151" i="6"/>
  <c r="W47" i="5"/>
  <c r="AE91" i="12"/>
  <c r="AI23" i="12"/>
  <c r="AI33" i="14"/>
  <c r="CH177" i="4"/>
  <c r="AD47" i="5"/>
  <c r="AG151" i="6"/>
  <c r="Y151" i="6"/>
  <c r="V47" i="5"/>
  <c r="BH85" i="12"/>
  <c r="BI150" i="12" s="1"/>
  <c r="AE34" i="14"/>
  <c r="AD74" i="14"/>
  <c r="AD4" i="14" s="1"/>
  <c r="BA152" i="12"/>
  <c r="BA30" i="14" s="1"/>
  <c r="BA20" i="12"/>
  <c r="CG177" i="4"/>
  <c r="AF151" i="6"/>
  <c r="AC47" i="5"/>
  <c r="U47" i="5"/>
  <c r="X151" i="6"/>
  <c r="AI90" i="12"/>
  <c r="CC177" i="4"/>
  <c r="AB151" i="6"/>
  <c r="Y47" i="5"/>
  <c r="BA87" i="12"/>
  <c r="AM154" i="12"/>
  <c r="AM89" i="12" s="1"/>
  <c r="AM22" i="12"/>
  <c r="AS31" i="14"/>
  <c r="CF177" i="4"/>
  <c r="AE151" i="6"/>
  <c r="AB47" i="5"/>
  <c r="T47" i="5"/>
  <c r="W151" i="6"/>
  <c r="AS88" i="12"/>
  <c r="BC86" i="12"/>
  <c r="CI177" i="4"/>
  <c r="AE47" i="5"/>
  <c r="AH151" i="6"/>
  <c r="Z31" i="15"/>
  <c r="AF42" i="4" s="1"/>
  <c r="AD64" i="12"/>
  <c r="Z27" i="15" s="1"/>
  <c r="BC19" i="12"/>
  <c r="CE177" i="4"/>
  <c r="AD151" i="6"/>
  <c r="AA47" i="5"/>
  <c r="S47" i="5"/>
  <c r="V151" i="6"/>
  <c r="BI28" i="14" l="1"/>
  <c r="BI18" i="12"/>
  <c r="AN89" i="12"/>
  <c r="AE24" i="4"/>
  <c r="AE25" i="4"/>
  <c r="AC42" i="5"/>
  <c r="AF153" i="6"/>
  <c r="BL27" i="14"/>
  <c r="AE42" i="5"/>
  <c r="AH153" i="6"/>
  <c r="AB42" i="5"/>
  <c r="AE153" i="6"/>
  <c r="Y42" i="5"/>
  <c r="AB153" i="6"/>
  <c r="AG153" i="6"/>
  <c r="AD42" i="5"/>
  <c r="BD86" i="12"/>
  <c r="AJ90" i="12"/>
  <c r="AD6" i="14"/>
  <c r="AF15" i="4" s="1"/>
  <c r="AD5" i="14"/>
  <c r="AJ153" i="6"/>
  <c r="AG42" i="5"/>
  <c r="AA42" i="5"/>
  <c r="AD153" i="6"/>
  <c r="AM32" i="14"/>
  <c r="AT31" i="14"/>
  <c r="AJ155" i="12"/>
  <c r="AJ33" i="14" s="1"/>
  <c r="AJ23" i="12"/>
  <c r="AE69" i="4"/>
  <c r="BB152" i="12"/>
  <c r="BB30" i="14" s="1"/>
  <c r="BB20" i="12"/>
  <c r="BL84" i="12"/>
  <c r="BM149" i="12" s="1"/>
  <c r="BM17" i="12" s="1"/>
  <c r="AF42" i="5"/>
  <c r="AI153" i="6"/>
  <c r="AT88" i="12"/>
  <c r="AN154" i="12"/>
  <c r="AN22" i="12"/>
  <c r="BI85" i="12"/>
  <c r="AF91" i="12"/>
  <c r="BD151" i="12"/>
  <c r="BD29" i="14" s="1"/>
  <c r="AF41" i="4"/>
  <c r="X42" i="5"/>
  <c r="AA153" i="6"/>
  <c r="AE49" i="4"/>
  <c r="Z42" i="5"/>
  <c r="AC153" i="6"/>
  <c r="AF156" i="12"/>
  <c r="AF24" i="12" s="1"/>
  <c r="BJ85" i="12" l="1"/>
  <c r="AO154" i="12"/>
  <c r="AO22" i="12"/>
  <c r="AO89" i="12"/>
  <c r="AK155" i="12"/>
  <c r="AK90" i="12" s="1"/>
  <c r="AK23" i="12"/>
  <c r="BJ150" i="12"/>
  <c r="BJ18" i="12"/>
  <c r="AU88" i="12"/>
  <c r="BJ28" i="14"/>
  <c r="AG156" i="12"/>
  <c r="AG91" i="12" s="1"/>
  <c r="AG24" i="12"/>
  <c r="AF34" i="14"/>
  <c r="AG34" i="14" s="1"/>
  <c r="AD3" i="14"/>
  <c r="AD35" i="14" s="1"/>
  <c r="AF14" i="4"/>
  <c r="AF18" i="4" s="1"/>
  <c r="AU153" i="12"/>
  <c r="AU21" i="12" s="1"/>
  <c r="BB87" i="12"/>
  <c r="BD19" i="12"/>
  <c r="AU31" i="14"/>
  <c r="AE50" i="4"/>
  <c r="AE72" i="4"/>
  <c r="AE77" i="4" s="1"/>
  <c r="BM27" i="14"/>
  <c r="BM84" i="12"/>
  <c r="AN32" i="14"/>
  <c r="AO32" i="14" s="1"/>
  <c r="AE26" i="4"/>
  <c r="AE34" i="4"/>
  <c r="Y50" i="15" s="1"/>
  <c r="AL90" i="12" l="1"/>
  <c r="AH91" i="12"/>
  <c r="BE151" i="12"/>
  <c r="BE19" i="12"/>
  <c r="AH156" i="12"/>
  <c r="AH34" i="14" s="1"/>
  <c r="AH24" i="12"/>
  <c r="BN27" i="14"/>
  <c r="BC87" i="12"/>
  <c r="AP154" i="12"/>
  <c r="AP22" i="12" s="1"/>
  <c r="AE79" i="4"/>
  <c r="AE80" i="4"/>
  <c r="BK28" i="14"/>
  <c r="BC152" i="12"/>
  <c r="BK85" i="12"/>
  <c r="AV153" i="12"/>
  <c r="AV21" i="12" s="1"/>
  <c r="BK150" i="12"/>
  <c r="BK18" i="12"/>
  <c r="AK33" i="14"/>
  <c r="Z17" i="15"/>
  <c r="AF74" i="4"/>
  <c r="AF147" i="4"/>
  <c r="AF60" i="4"/>
  <c r="AL155" i="12"/>
  <c r="AL23" i="12"/>
  <c r="AV31" i="14"/>
  <c r="BN149" i="12"/>
  <c r="BN17" i="12" s="1"/>
  <c r="AQ154" i="12" l="1"/>
  <c r="AQ22" i="12" s="1"/>
  <c r="BL85" i="12"/>
  <c r="AM90" i="12"/>
  <c r="AV88" i="12"/>
  <c r="AW153" i="12" s="1"/>
  <c r="AD92" i="12"/>
  <c r="Z21" i="15"/>
  <c r="BC30" i="14"/>
  <c r="BC20" i="12"/>
  <c r="AP89" i="12"/>
  <c r="AL33" i="14"/>
  <c r="AM33" i="14" s="1"/>
  <c r="BL28" i="14"/>
  <c r="AI156" i="12"/>
  <c r="AI24" i="12" s="1"/>
  <c r="AP32" i="14"/>
  <c r="BL150" i="12"/>
  <c r="BL18" i="12"/>
  <c r="AE167" i="4"/>
  <c r="AE141" i="4"/>
  <c r="AE142" i="4"/>
  <c r="BN84" i="12"/>
  <c r="BE86" i="12"/>
  <c r="BE29" i="14"/>
  <c r="AM155" i="12"/>
  <c r="AM23" i="12"/>
  <c r="AW21" i="12" l="1"/>
  <c r="AW31" i="14"/>
  <c r="BF86" i="12"/>
  <c r="AE149" i="4"/>
  <c r="AE170" i="4" s="1"/>
  <c r="AE172" i="4" s="1"/>
  <c r="AE179" i="4" s="1"/>
  <c r="AN33" i="14"/>
  <c r="AQ89" i="12"/>
  <c r="BF151" i="12"/>
  <c r="BF19" i="12" s="1"/>
  <c r="BM150" i="12"/>
  <c r="BM18" i="12" s="1"/>
  <c r="BD152" i="12"/>
  <c r="BD87" i="12" s="1"/>
  <c r="AN155" i="12"/>
  <c r="AN90" i="12" s="1"/>
  <c r="AN23" i="12"/>
  <c r="BO84" i="12"/>
  <c r="AI34" i="14"/>
  <c r="AQ32" i="14"/>
  <c r="Z22" i="15"/>
  <c r="AD25" i="12"/>
  <c r="AI91" i="12"/>
  <c r="BO149" i="12"/>
  <c r="AD131" i="12"/>
  <c r="Z26" i="15" s="1"/>
  <c r="AW88" i="12"/>
  <c r="AX88" i="12" l="1"/>
  <c r="Z23" i="15"/>
  <c r="AF40" i="4"/>
  <c r="AF43" i="4" s="1"/>
  <c r="Z34" i="15"/>
  <c r="AF19" i="4"/>
  <c r="Z28" i="15"/>
  <c r="AJ34" i="14"/>
  <c r="BD30" i="14"/>
  <c r="BG151" i="12"/>
  <c r="BG86" i="12" s="1"/>
  <c r="BG19" i="12"/>
  <c r="BF29" i="14"/>
  <c r="BG29" i="14" s="1"/>
  <c r="BM85" i="12"/>
  <c r="BO27" i="14"/>
  <c r="BO17" i="12"/>
  <c r="AO155" i="12"/>
  <c r="AO90" i="12" s="1"/>
  <c r="AO23" i="12"/>
  <c r="AR154" i="12"/>
  <c r="AR22" i="12" s="1"/>
  <c r="AJ91" i="12"/>
  <c r="AE157" i="12"/>
  <c r="AE25" i="12"/>
  <c r="AD65" i="12"/>
  <c r="BD20" i="12"/>
  <c r="AJ156" i="12"/>
  <c r="AJ24" i="12" s="1"/>
  <c r="AO33" i="14"/>
  <c r="AX31" i="14"/>
  <c r="BM28" i="14"/>
  <c r="AR32" i="14"/>
  <c r="AX153" i="12"/>
  <c r="AX21" i="12"/>
  <c r="BH86" i="12" l="1"/>
  <c r="AP90" i="12"/>
  <c r="AF22" i="4"/>
  <c r="AF20" i="4"/>
  <c r="AS154" i="12"/>
  <c r="AS22" i="12"/>
  <c r="Z40" i="15"/>
  <c r="Z43" i="15" s="1"/>
  <c r="Z35" i="15"/>
  <c r="Z42" i="15" s="1"/>
  <c r="Z36" i="15"/>
  <c r="BH151" i="12"/>
  <c r="BH29" i="14" s="1"/>
  <c r="BH19" i="12"/>
  <c r="AF54" i="4"/>
  <c r="AK156" i="12"/>
  <c r="AK91" i="12" s="1"/>
  <c r="AR89" i="12"/>
  <c r="AP155" i="12"/>
  <c r="AP33" i="14" s="1"/>
  <c r="AP23" i="12"/>
  <c r="Z47" i="15"/>
  <c r="Z48" i="15"/>
  <c r="AF33" i="4"/>
  <c r="AY153" i="12"/>
  <c r="AY31" i="14" s="1"/>
  <c r="AY21" i="12"/>
  <c r="BE152" i="12"/>
  <c r="BE87" i="12" s="1"/>
  <c r="BE20" i="12"/>
  <c r="BE30" i="14"/>
  <c r="AY88" i="12"/>
  <c r="BP149" i="12"/>
  <c r="BP84" i="12" s="1"/>
  <c r="AS32" i="14"/>
  <c r="BN28" i="14"/>
  <c r="AE196" i="12"/>
  <c r="AE35" i="14"/>
  <c r="AE92" i="12"/>
  <c r="BN150" i="12"/>
  <c r="BN18" i="12" s="1"/>
  <c r="AQ33" i="14" l="1"/>
  <c r="BO150" i="12"/>
  <c r="BO28" i="14" s="1"/>
  <c r="BO18" i="12"/>
  <c r="BP27" i="14"/>
  <c r="BF30" i="14"/>
  <c r="AQ155" i="12"/>
  <c r="AQ23" i="12"/>
  <c r="AF55" i="4"/>
  <c r="AF57" i="4" s="1"/>
  <c r="AF65" i="4"/>
  <c r="AF67" i="4"/>
  <c r="AF63" i="4"/>
  <c r="AF66" i="4"/>
  <c r="AF68" i="4"/>
  <c r="AF62" i="4"/>
  <c r="AF64" i="4"/>
  <c r="AF61" i="4"/>
  <c r="AF56" i="4"/>
  <c r="AT154" i="12"/>
  <c r="AT32" i="14" s="1"/>
  <c r="Z29" i="15"/>
  <c r="BF152" i="12"/>
  <c r="BF87" i="12" s="1"/>
  <c r="BF20" i="12"/>
  <c r="BI151" i="12"/>
  <c r="BI29" i="14" s="1"/>
  <c r="BI19" i="12"/>
  <c r="Z46" i="15"/>
  <c r="AK34" i="14"/>
  <c r="AS89" i="12"/>
  <c r="BN85" i="12"/>
  <c r="AZ153" i="12"/>
  <c r="AZ31" i="14" s="1"/>
  <c r="AZ21" i="12"/>
  <c r="AF23" i="4"/>
  <c r="AF21" i="4"/>
  <c r="AF92" i="12"/>
  <c r="AE131" i="12"/>
  <c r="AA26" i="15" s="1"/>
  <c r="AG19" i="4" s="1"/>
  <c r="AF157" i="12"/>
  <c r="AF25" i="12" s="1"/>
  <c r="Z37" i="15"/>
  <c r="Z41" i="15" s="1"/>
  <c r="Z44" i="15" s="1"/>
  <c r="AF35" i="14"/>
  <c r="AE74" i="14"/>
  <c r="AE4" i="14" s="1"/>
  <c r="BP17" i="12"/>
  <c r="AK24" i="12"/>
  <c r="AQ90" i="12"/>
  <c r="AA31" i="15"/>
  <c r="AG42" i="4" s="1"/>
  <c r="AE64" i="12"/>
  <c r="AA27" i="15" s="1"/>
  <c r="AL34" i="14" l="1"/>
  <c r="AF49" i="4"/>
  <c r="AF24" i="4"/>
  <c r="AF25" i="4"/>
  <c r="AE6" i="14"/>
  <c r="AG15" i="4" s="1"/>
  <c r="AG22" i="4" s="1"/>
  <c r="AE5" i="14"/>
  <c r="AG35" i="14"/>
  <c r="BG152" i="12"/>
  <c r="BG20" i="12" s="1"/>
  <c r="AZ88" i="12"/>
  <c r="AT22" i="12"/>
  <c r="AL156" i="12"/>
  <c r="AL91" i="12" s="1"/>
  <c r="AL24" i="12"/>
  <c r="BQ149" i="12"/>
  <c r="BQ84" i="12" s="1"/>
  <c r="BQ17" i="12"/>
  <c r="BA153" i="12"/>
  <c r="BA31" i="14" s="1"/>
  <c r="BA21" i="12"/>
  <c r="AF69" i="4"/>
  <c r="BI86" i="12"/>
  <c r="AA28" i="15"/>
  <c r="AG41" i="4"/>
  <c r="BO85" i="12"/>
  <c r="AG157" i="12"/>
  <c r="AG92" i="12" s="1"/>
  <c r="AT89" i="12"/>
  <c r="AR155" i="12"/>
  <c r="AR90" i="12" s="1"/>
  <c r="AR23" i="12"/>
  <c r="AS155" i="12" l="1"/>
  <c r="AS90" i="12" s="1"/>
  <c r="AS23" i="12"/>
  <c r="BR149" i="12"/>
  <c r="BR17" i="12" s="1"/>
  <c r="AF72" i="4"/>
  <c r="AF77" i="4" s="1"/>
  <c r="AF50" i="4"/>
  <c r="AM156" i="12"/>
  <c r="AM34" i="14" s="1"/>
  <c r="AM24" i="12"/>
  <c r="AE3" i="14"/>
  <c r="AE36" i="14" s="1"/>
  <c r="AG14" i="4"/>
  <c r="AG18" i="4" s="1"/>
  <c r="AG25" i="12"/>
  <c r="AU154" i="12"/>
  <c r="AU32" i="14" s="1"/>
  <c r="AU22" i="12"/>
  <c r="BG30" i="14"/>
  <c r="BG87" i="12"/>
  <c r="BH152" i="12" s="1"/>
  <c r="BH20" i="12" s="1"/>
  <c r="AF26" i="4"/>
  <c r="AF34" i="4"/>
  <c r="Z50" i="15" s="1"/>
  <c r="BP150" i="12"/>
  <c r="BQ27" i="14"/>
  <c r="BR27" i="14" s="1"/>
  <c r="BA88" i="12"/>
  <c r="BB153" i="12" s="1"/>
  <c r="AR33" i="14"/>
  <c r="BJ151" i="12"/>
  <c r="BJ86" i="12" s="1"/>
  <c r="BB21" i="12" l="1"/>
  <c r="BB31" i="14"/>
  <c r="BS149" i="12"/>
  <c r="BS27" i="14" s="1"/>
  <c r="BS17" i="12"/>
  <c r="BH30" i="14"/>
  <c r="BP18" i="12"/>
  <c r="BP28" i="14"/>
  <c r="BR84" i="12"/>
  <c r="AM91" i="12"/>
  <c r="AH157" i="12"/>
  <c r="AS33" i="14"/>
  <c r="BJ29" i="14"/>
  <c r="BJ19" i="12"/>
  <c r="AU89" i="12"/>
  <c r="AV154" i="12" s="1"/>
  <c r="AA17" i="15"/>
  <c r="AG147" i="4"/>
  <c r="AG20" i="4"/>
  <c r="AG74" i="4"/>
  <c r="AG60" i="4"/>
  <c r="AF79" i="4"/>
  <c r="AF80" i="4"/>
  <c r="AN156" i="12"/>
  <c r="AN24" i="12" s="1"/>
  <c r="AT155" i="12"/>
  <c r="AT90" i="12" s="1"/>
  <c r="BP85" i="12"/>
  <c r="BB88" i="12"/>
  <c r="BH87" i="12"/>
  <c r="AV32" i="14" l="1"/>
  <c r="AV22" i="12"/>
  <c r="AH35" i="14"/>
  <c r="AH92" i="12"/>
  <c r="AN91" i="12"/>
  <c r="BC153" i="12"/>
  <c r="BC31" i="14" s="1"/>
  <c r="BC21" i="12"/>
  <c r="BQ85" i="12"/>
  <c r="BQ28" i="14"/>
  <c r="AT23" i="12"/>
  <c r="AG23" i="4"/>
  <c r="AG21" i="4"/>
  <c r="BQ150" i="12"/>
  <c r="BQ18" i="12"/>
  <c r="AN34" i="14"/>
  <c r="AV89" i="12"/>
  <c r="AF167" i="4"/>
  <c r="AF141" i="4"/>
  <c r="AF142" i="4"/>
  <c r="BK151" i="12"/>
  <c r="BK86" i="12" s="1"/>
  <c r="BS84" i="12"/>
  <c r="BT149" i="12" s="1"/>
  <c r="BT17" i="12" s="1"/>
  <c r="AT33" i="14"/>
  <c r="AE93" i="12"/>
  <c r="AA21" i="15"/>
  <c r="AH25" i="12"/>
  <c r="BI152" i="12"/>
  <c r="BI20" i="12" s="1"/>
  <c r="BI30" i="14" l="1"/>
  <c r="BR150" i="12"/>
  <c r="BR18" i="12"/>
  <c r="AI92" i="12"/>
  <c r="AI157" i="12"/>
  <c r="AI25" i="12"/>
  <c r="BI87" i="12"/>
  <c r="AI35" i="14"/>
  <c r="AA22" i="15"/>
  <c r="AE26" i="12"/>
  <c r="AG49" i="4"/>
  <c r="BC88" i="12"/>
  <c r="AW154" i="12"/>
  <c r="AW89" i="12" s="1"/>
  <c r="AF149" i="4"/>
  <c r="AG24" i="4"/>
  <c r="AG25" i="4"/>
  <c r="AW32" i="14"/>
  <c r="AU33" i="14"/>
  <c r="AF170" i="4"/>
  <c r="AF172" i="4" s="1"/>
  <c r="AF179" i="4" s="1"/>
  <c r="AU155" i="12"/>
  <c r="AU90" i="12" s="1"/>
  <c r="BK29" i="14"/>
  <c r="AO156" i="12"/>
  <c r="AO24" i="12" s="1"/>
  <c r="BT84" i="12"/>
  <c r="BR28" i="14"/>
  <c r="BK19" i="12"/>
  <c r="BR85" i="12"/>
  <c r="AW22" i="12" l="1"/>
  <c r="BJ152" i="12"/>
  <c r="BJ20" i="12" s="1"/>
  <c r="AJ92" i="12"/>
  <c r="AJ35" i="14"/>
  <c r="AJ157" i="12"/>
  <c r="AJ25" i="12"/>
  <c r="AO91" i="12"/>
  <c r="AG26" i="4"/>
  <c r="H7" i="3"/>
  <c r="BD153" i="12"/>
  <c r="BD88" i="12" s="1"/>
  <c r="AO34" i="14"/>
  <c r="AG72" i="4"/>
  <c r="AG77" i="4" s="1"/>
  <c r="AG50" i="4"/>
  <c r="BS150" i="12"/>
  <c r="BS85" i="12" s="1"/>
  <c r="AU23" i="12"/>
  <c r="AF158" i="12"/>
  <c r="AF26" i="12"/>
  <c r="AE65" i="12"/>
  <c r="BU149" i="12"/>
  <c r="BU17" i="12" s="1"/>
  <c r="AP156" i="12"/>
  <c r="AP24" i="12"/>
  <c r="BL151" i="12"/>
  <c r="BL86" i="12" s="1"/>
  <c r="AA23" i="15"/>
  <c r="AG40" i="4"/>
  <c r="AG43" i="4" s="1"/>
  <c r="AA34" i="15"/>
  <c r="BJ30" i="14"/>
  <c r="AV155" i="12" l="1"/>
  <c r="AV23" i="12" s="1"/>
  <c r="AK92" i="12"/>
  <c r="AK35" i="14"/>
  <c r="BS18" i="12"/>
  <c r="BS28" i="14"/>
  <c r="AK157" i="12"/>
  <c r="AK25" i="12"/>
  <c r="BD31" i="14"/>
  <c r="BD21" i="12"/>
  <c r="AP91" i="12"/>
  <c r="BU84" i="12"/>
  <c r="AA37" i="15"/>
  <c r="AA41" i="15" s="1"/>
  <c r="AA40" i="15"/>
  <c r="AA36" i="15"/>
  <c r="AA35" i="15"/>
  <c r="AA42" i="15" s="1"/>
  <c r="BJ87" i="12"/>
  <c r="BK152" i="12" s="1"/>
  <c r="AG54" i="4"/>
  <c r="AX154" i="12"/>
  <c r="AX22" i="12" s="1"/>
  <c r="AA47" i="15"/>
  <c r="AG33" i="4"/>
  <c r="I16" i="2"/>
  <c r="BL29" i="14"/>
  <c r="AG158" i="12"/>
  <c r="AG26" i="12"/>
  <c r="BL19" i="12"/>
  <c r="AF196" i="12"/>
  <c r="AF36" i="14"/>
  <c r="AF93" i="12"/>
  <c r="AP34" i="14"/>
  <c r="AW155" i="12" l="1"/>
  <c r="AW23" i="12" s="1"/>
  <c r="BK30" i="14"/>
  <c r="BK20" i="12"/>
  <c r="BM151" i="12"/>
  <c r="BM86" i="12" s="1"/>
  <c r="BE153" i="12"/>
  <c r="BE88" i="12" s="1"/>
  <c r="BE21" i="12"/>
  <c r="BT150" i="12"/>
  <c r="BT85" i="12" s="1"/>
  <c r="BT18" i="12"/>
  <c r="AA43" i="15"/>
  <c r="I20" i="2"/>
  <c r="I29" i="2" s="1"/>
  <c r="AA46" i="15"/>
  <c r="AA29" i="15"/>
  <c r="AL92" i="12"/>
  <c r="AL157" i="12"/>
  <c r="AL35" i="14" s="1"/>
  <c r="AL25" i="12"/>
  <c r="AV90" i="12"/>
  <c r="AV33" i="14"/>
  <c r="AW33" i="14" s="1"/>
  <c r="AX89" i="12"/>
  <c r="AX32" i="14"/>
  <c r="AA44" i="15"/>
  <c r="I21" i="2"/>
  <c r="AQ34" i="14"/>
  <c r="AG93" i="12"/>
  <c r="AF131" i="12"/>
  <c r="AB26" i="15" s="1"/>
  <c r="AA48" i="15"/>
  <c r="AG34" i="4"/>
  <c r="AA50" i="15" s="1"/>
  <c r="AG67" i="4"/>
  <c r="AG63" i="4"/>
  <c r="AG61" i="4"/>
  <c r="AG55" i="4"/>
  <c r="AG57" i="4" s="1"/>
  <c r="AG66" i="4"/>
  <c r="AG62" i="4"/>
  <c r="AG68" i="4"/>
  <c r="AG65" i="4"/>
  <c r="AG64" i="4"/>
  <c r="AG56" i="4"/>
  <c r="AQ91" i="12"/>
  <c r="AG36" i="14"/>
  <c r="AF74" i="14"/>
  <c r="AF4" i="14" s="1"/>
  <c r="BK87" i="12"/>
  <c r="AB31" i="15"/>
  <c r="AF64" i="12"/>
  <c r="AB27" i="15" s="1"/>
  <c r="AQ156" i="12"/>
  <c r="AQ24" i="12" s="1"/>
  <c r="AX155" i="12" l="1"/>
  <c r="AX23" i="12" s="1"/>
  <c r="AM157" i="12"/>
  <c r="AM35" i="14" s="1"/>
  <c r="AM25" i="12"/>
  <c r="AR91" i="12"/>
  <c r="AG69" i="4"/>
  <c r="AR34" i="14"/>
  <c r="BE31" i="14"/>
  <c r="AH158" i="12"/>
  <c r="AH26" i="12" s="1"/>
  <c r="BL152" i="12"/>
  <c r="BL30" i="14" s="1"/>
  <c r="BL20" i="12"/>
  <c r="AR156" i="12"/>
  <c r="AR24" i="12"/>
  <c r="BM29" i="14"/>
  <c r="BU150" i="12"/>
  <c r="BU18" i="12" s="1"/>
  <c r="AM92" i="12"/>
  <c r="BF153" i="12"/>
  <c r="BF88" i="12" s="1"/>
  <c r="BF21" i="12"/>
  <c r="AB28" i="15"/>
  <c r="AH41" i="4"/>
  <c r="AH42" i="4"/>
  <c r="AF6" i="14"/>
  <c r="AH15" i="4" s="1"/>
  <c r="AF5" i="14"/>
  <c r="AH19" i="4"/>
  <c r="AW90" i="12"/>
  <c r="BM19" i="12"/>
  <c r="AY154" i="12"/>
  <c r="AY22" i="12" s="1"/>
  <c r="BG153" i="12" l="1"/>
  <c r="BG88" i="12" s="1"/>
  <c r="BG21" i="12"/>
  <c r="BN151" i="12"/>
  <c r="BN86" i="12" s="1"/>
  <c r="AG79" i="4"/>
  <c r="AG80" i="4"/>
  <c r="AX90" i="12"/>
  <c r="AY89" i="12"/>
  <c r="AS156" i="12"/>
  <c r="AS91" i="12" s="1"/>
  <c r="AS24" i="12"/>
  <c r="AY32" i="14"/>
  <c r="BU85" i="12"/>
  <c r="BM152" i="12"/>
  <c r="BM20" i="12" s="1"/>
  <c r="AN157" i="12"/>
  <c r="AN35" i="14" s="1"/>
  <c r="AN25" i="12"/>
  <c r="AF3" i="14"/>
  <c r="AF37" i="14" s="1"/>
  <c r="AH14" i="4"/>
  <c r="AX33" i="14"/>
  <c r="AN92" i="12"/>
  <c r="AH22" i="4"/>
  <c r="BL87" i="12"/>
  <c r="AH93" i="12"/>
  <c r="AH36" i="14"/>
  <c r="BF31" i="14"/>
  <c r="BG31" i="14" s="1"/>
  <c r="AO35" i="14" l="1"/>
  <c r="BH88" i="12"/>
  <c r="BH31" i="14"/>
  <c r="AT156" i="12"/>
  <c r="AT24" i="12" s="1"/>
  <c r="AO92" i="12"/>
  <c r="BH153" i="12"/>
  <c r="BH21" i="12"/>
  <c r="AY33" i="14"/>
  <c r="AZ32" i="14"/>
  <c r="AI93" i="12"/>
  <c r="AH18" i="4"/>
  <c r="AY90" i="12"/>
  <c r="AG142" i="4"/>
  <c r="AG141" i="4"/>
  <c r="AG149" i="4" s="1"/>
  <c r="AG167" i="4"/>
  <c r="AY155" i="12"/>
  <c r="AY23" i="12" s="1"/>
  <c r="AS34" i="14"/>
  <c r="AI158" i="12"/>
  <c r="AI26" i="12" s="1"/>
  <c r="BM30" i="14"/>
  <c r="BM87" i="12"/>
  <c r="BN29" i="14"/>
  <c r="AI36" i="14"/>
  <c r="AO157" i="12"/>
  <c r="AO25" i="12"/>
  <c r="AZ154" i="12"/>
  <c r="AZ22" i="12" s="1"/>
  <c r="BN19" i="12"/>
  <c r="AU156" i="12" l="1"/>
  <c r="AU24" i="12"/>
  <c r="AZ33" i="14"/>
  <c r="BO151" i="12"/>
  <c r="BO86" i="12" s="1"/>
  <c r="BO19" i="12"/>
  <c r="BI153" i="12"/>
  <c r="BI21" i="12" s="1"/>
  <c r="AP157" i="12"/>
  <c r="AP25" i="12"/>
  <c r="AZ90" i="12"/>
  <c r="AP92" i="12"/>
  <c r="AP35" i="14"/>
  <c r="AZ155" i="12"/>
  <c r="AZ23" i="12"/>
  <c r="AT91" i="12"/>
  <c r="AZ89" i="12"/>
  <c r="AG170" i="4"/>
  <c r="AG172" i="4" s="1"/>
  <c r="AG179" i="4" s="1"/>
  <c r="AB17" i="15"/>
  <c r="AH20" i="4"/>
  <c r="AH147" i="4"/>
  <c r="AH74" i="4"/>
  <c r="AH60" i="4"/>
  <c r="AJ93" i="12"/>
  <c r="BN30" i="14"/>
  <c r="AT34" i="14"/>
  <c r="AU34" i="14" s="1"/>
  <c r="BN87" i="12"/>
  <c r="AJ158" i="12"/>
  <c r="AJ36" i="14" s="1"/>
  <c r="AJ26" i="12"/>
  <c r="BN152" i="12"/>
  <c r="BN20" i="12" s="1"/>
  <c r="AK36" i="14" l="1"/>
  <c r="BJ153" i="12"/>
  <c r="BJ21" i="12" s="1"/>
  <c r="AQ35" i="14"/>
  <c r="AH23" i="4"/>
  <c r="AH21" i="4"/>
  <c r="AQ92" i="12"/>
  <c r="BP151" i="12"/>
  <c r="BP19" i="12"/>
  <c r="AF94" i="12"/>
  <c r="AB21" i="15"/>
  <c r="BP86" i="12"/>
  <c r="BI31" i="14"/>
  <c r="AQ157" i="12"/>
  <c r="AQ25" i="12"/>
  <c r="BI88" i="12"/>
  <c r="AK93" i="12"/>
  <c r="BA89" i="12"/>
  <c r="BO152" i="12"/>
  <c r="BO20" i="12" s="1"/>
  <c r="AU91" i="12"/>
  <c r="AK158" i="12"/>
  <c r="AK26" i="12"/>
  <c r="BA155" i="12"/>
  <c r="BA90" i="12" s="1"/>
  <c r="BA154" i="12"/>
  <c r="BO29" i="14"/>
  <c r="BP29" i="14" s="1"/>
  <c r="AV156" i="12"/>
  <c r="AV34" i="14" s="1"/>
  <c r="AV24" i="12"/>
  <c r="AB22" i="15" l="1"/>
  <c r="AF27" i="12"/>
  <c r="AH24" i="4"/>
  <c r="AH25" i="4"/>
  <c r="AL93" i="12"/>
  <c r="BO87" i="12"/>
  <c r="AL158" i="12"/>
  <c r="AL26" i="12"/>
  <c r="BJ88" i="12"/>
  <c r="AR157" i="12"/>
  <c r="AR92" i="12" s="1"/>
  <c r="AR25" i="12"/>
  <c r="BO30" i="14"/>
  <c r="AR35" i="14"/>
  <c r="BQ29" i="14"/>
  <c r="AV91" i="12"/>
  <c r="BQ151" i="12"/>
  <c r="BQ19" i="12"/>
  <c r="BA32" i="14"/>
  <c r="BA22" i="12"/>
  <c r="BJ31" i="14"/>
  <c r="AW156" i="12"/>
  <c r="AW34" i="14" s="1"/>
  <c r="AW24" i="12"/>
  <c r="BA23" i="12"/>
  <c r="BQ86" i="12"/>
  <c r="BA33" i="14"/>
  <c r="AH49" i="4"/>
  <c r="AL36" i="14"/>
  <c r="AG159" i="12" l="1"/>
  <c r="AG27" i="12"/>
  <c r="AF65" i="12"/>
  <c r="AH50" i="4"/>
  <c r="AH72" i="4"/>
  <c r="BB154" i="12"/>
  <c r="BB89" i="12" s="1"/>
  <c r="BB22" i="12"/>
  <c r="AS157" i="12"/>
  <c r="AS92" i="12" s="1"/>
  <c r="BR151" i="12"/>
  <c r="BR86" i="12" s="1"/>
  <c r="BR19" i="12"/>
  <c r="BK88" i="12"/>
  <c r="AM158" i="12"/>
  <c r="AM36" i="14" s="1"/>
  <c r="AH26" i="4"/>
  <c r="BB155" i="12"/>
  <c r="BB90" i="12" s="1"/>
  <c r="BB23" i="12"/>
  <c r="AW91" i="12"/>
  <c r="AX156" i="12" s="1"/>
  <c r="BK153" i="12"/>
  <c r="BK21" i="12" s="1"/>
  <c r="AB23" i="15"/>
  <c r="AH40" i="4"/>
  <c r="AB34" i="15"/>
  <c r="BP152" i="12"/>
  <c r="BP20" i="12" s="1"/>
  <c r="AX34" i="14" l="1"/>
  <c r="AX24" i="12"/>
  <c r="AH159" i="12"/>
  <c r="AH27" i="12"/>
  <c r="AB35" i="15"/>
  <c r="AB40" i="15"/>
  <c r="AB36" i="15"/>
  <c r="AB37" i="15"/>
  <c r="BC155" i="12"/>
  <c r="BC23" i="12" s="1"/>
  <c r="BS151" i="12"/>
  <c r="BS86" i="12" s="1"/>
  <c r="BS19" i="12"/>
  <c r="AG196" i="12"/>
  <c r="AG37" i="14"/>
  <c r="AG94" i="12"/>
  <c r="AH43" i="4"/>
  <c r="BP87" i="12"/>
  <c r="AB47" i="15"/>
  <c r="AB48" i="15"/>
  <c r="AH33" i="4"/>
  <c r="BB33" i="14"/>
  <c r="BP30" i="14"/>
  <c r="BR29" i="14"/>
  <c r="BS29" i="14" s="1"/>
  <c r="AM26" i="12"/>
  <c r="AM93" i="12"/>
  <c r="BK31" i="14"/>
  <c r="BL31" i="14" s="1"/>
  <c r="BQ152" i="12"/>
  <c r="BQ20" i="12"/>
  <c r="BC154" i="12"/>
  <c r="BC22" i="12"/>
  <c r="AH77" i="4"/>
  <c r="BB32" i="14"/>
  <c r="BC32" i="14" s="1"/>
  <c r="BL153" i="12"/>
  <c r="BL88" i="12" s="1"/>
  <c r="BL21" i="12"/>
  <c r="AS25" i="12"/>
  <c r="AS35" i="14"/>
  <c r="AX91" i="12"/>
  <c r="BC89" i="12"/>
  <c r="BM153" i="12" l="1"/>
  <c r="BM88" i="12" s="1"/>
  <c r="BM21" i="12"/>
  <c r="AH54" i="4"/>
  <c r="BR152" i="12"/>
  <c r="BR20" i="12"/>
  <c r="AI159" i="12"/>
  <c r="AI27" i="12"/>
  <c r="AH94" i="12"/>
  <c r="AG131" i="12"/>
  <c r="AC26" i="15" s="1"/>
  <c r="AB41" i="15"/>
  <c r="BD89" i="12"/>
  <c r="BC90" i="12"/>
  <c r="BD155" i="12" s="1"/>
  <c r="BD23" i="12" s="1"/>
  <c r="BT151" i="12"/>
  <c r="BT86" i="12" s="1"/>
  <c r="AY156" i="12"/>
  <c r="AY24" i="12"/>
  <c r="BQ30" i="14"/>
  <c r="BR30" i="14" s="1"/>
  <c r="AY34" i="14"/>
  <c r="AH37" i="14"/>
  <c r="AG74" i="14"/>
  <c r="AG4" i="14" s="1"/>
  <c r="AN158" i="12"/>
  <c r="AN36" i="14" s="1"/>
  <c r="AN26" i="12"/>
  <c r="AC31" i="15"/>
  <c r="AG64" i="12"/>
  <c r="AC27" i="15" s="1"/>
  <c r="AY91" i="12"/>
  <c r="AT35" i="14"/>
  <c r="BD154" i="12"/>
  <c r="BD32" i="14" s="1"/>
  <c r="BD22" i="12"/>
  <c r="AB43" i="15"/>
  <c r="AB29" i="15"/>
  <c r="AB46" i="15"/>
  <c r="AT157" i="12"/>
  <c r="AT92" i="12" s="1"/>
  <c r="AT25" i="12"/>
  <c r="BC33" i="14"/>
  <c r="BQ87" i="12"/>
  <c r="AB42" i="15"/>
  <c r="BE155" i="12" l="1"/>
  <c r="BE23" i="12"/>
  <c r="BE32" i="14"/>
  <c r="BN88" i="12"/>
  <c r="AO158" i="12"/>
  <c r="AO36" i="14" s="1"/>
  <c r="AO26" i="12"/>
  <c r="AZ156" i="12"/>
  <c r="AZ24" i="12"/>
  <c r="BM31" i="14"/>
  <c r="BN31" i="14" s="1"/>
  <c r="BR87" i="12"/>
  <c r="BE154" i="12"/>
  <c r="BE89" i="12" s="1"/>
  <c r="BE22" i="12"/>
  <c r="AG6" i="14"/>
  <c r="AI15" i="4" s="1"/>
  <c r="AG5" i="14"/>
  <c r="AN93" i="12"/>
  <c r="BD33" i="14"/>
  <c r="BE33" i="14" s="1"/>
  <c r="AI37" i="14"/>
  <c r="AJ37" i="14" s="1"/>
  <c r="AB44" i="15"/>
  <c r="AC28" i="15"/>
  <c r="AI41" i="4"/>
  <c r="AI42" i="4"/>
  <c r="AU157" i="12"/>
  <c r="AU35" i="14" s="1"/>
  <c r="AU25" i="12"/>
  <c r="AI19" i="4"/>
  <c r="AH34" i="4"/>
  <c r="AB50" i="15" s="1"/>
  <c r="AH55" i="4"/>
  <c r="AH67" i="4"/>
  <c r="AH63" i="4"/>
  <c r="AH57" i="4"/>
  <c r="AH66" i="4"/>
  <c r="AH62" i="4"/>
  <c r="AH68" i="4"/>
  <c r="AH65" i="4"/>
  <c r="AH64" i="4"/>
  <c r="AH61" i="4"/>
  <c r="AH56" i="4"/>
  <c r="AJ159" i="12"/>
  <c r="AJ27" i="12" s="1"/>
  <c r="BD90" i="12"/>
  <c r="BN153" i="12"/>
  <c r="BN21" i="12"/>
  <c r="AZ34" i="14"/>
  <c r="AU92" i="12"/>
  <c r="AZ91" i="12"/>
  <c r="BT19" i="12"/>
  <c r="AI94" i="12"/>
  <c r="AP36" i="14" l="1"/>
  <c r="BA91" i="12"/>
  <c r="AV157" i="12"/>
  <c r="AV35" i="14" s="1"/>
  <c r="AP158" i="12"/>
  <c r="AP26" i="12"/>
  <c r="BO31" i="14"/>
  <c r="BA34" i="14"/>
  <c r="BA156" i="12"/>
  <c r="BA24" i="12"/>
  <c r="BO88" i="12"/>
  <c r="AH69" i="4"/>
  <c r="AO93" i="12"/>
  <c r="BO153" i="12"/>
  <c r="BO21" i="12"/>
  <c r="AG3" i="14"/>
  <c r="AG38" i="14" s="1"/>
  <c r="AI14" i="4"/>
  <c r="AJ94" i="12"/>
  <c r="AK159" i="12" s="1"/>
  <c r="AI22" i="4"/>
  <c r="BU151" i="12"/>
  <c r="BU86" i="12" s="1"/>
  <c r="BU19" i="12"/>
  <c r="BE90" i="12"/>
  <c r="BF154" i="12"/>
  <c r="BF22" i="12" s="1"/>
  <c r="BS152" i="12"/>
  <c r="BS87" i="12" s="1"/>
  <c r="AK37" i="14" l="1"/>
  <c r="AK27" i="12"/>
  <c r="AH79" i="4"/>
  <c r="AH80" i="4"/>
  <c r="AP93" i="12"/>
  <c r="BB91" i="12"/>
  <c r="BP153" i="12"/>
  <c r="BP31" i="14" s="1"/>
  <c r="BP21" i="12"/>
  <c r="AV92" i="12"/>
  <c r="BF89" i="12"/>
  <c r="AK94" i="12"/>
  <c r="BB156" i="12"/>
  <c r="BB34" i="14" s="1"/>
  <c r="BB24" i="12"/>
  <c r="AQ158" i="12"/>
  <c r="AQ36" i="14" s="1"/>
  <c r="AQ26" i="12"/>
  <c r="BF32" i="14"/>
  <c r="BS30" i="14"/>
  <c r="BS20" i="12"/>
  <c r="BF155" i="12"/>
  <c r="AI18" i="4"/>
  <c r="AV25" i="12"/>
  <c r="BC34" i="14" l="1"/>
  <c r="AW157" i="12"/>
  <c r="AW35" i="14" s="1"/>
  <c r="AW25" i="12"/>
  <c r="BQ153" i="12"/>
  <c r="BQ31" i="14" s="1"/>
  <c r="BQ21" i="12"/>
  <c r="AH167" i="4"/>
  <c r="AH141" i="4"/>
  <c r="AH142" i="4"/>
  <c r="AC17" i="15"/>
  <c r="AI20" i="4"/>
  <c r="AI147" i="4"/>
  <c r="AI74" i="4"/>
  <c r="AI60" i="4"/>
  <c r="BC156" i="12"/>
  <c r="BC24" i="12"/>
  <c r="BC91" i="12"/>
  <c r="AL159" i="12"/>
  <c r="AL94" i="12" s="1"/>
  <c r="AL27" i="12"/>
  <c r="BF33" i="14"/>
  <c r="BF23" i="12"/>
  <c r="BT152" i="12"/>
  <c r="BT87" i="12" s="1"/>
  <c r="AQ93" i="12"/>
  <c r="AL37" i="14"/>
  <c r="AW92" i="12"/>
  <c r="BF90" i="12"/>
  <c r="BG154" i="12"/>
  <c r="BG22" i="12" s="1"/>
  <c r="BP88" i="12"/>
  <c r="AM94" i="12" l="1"/>
  <c r="BG155" i="12"/>
  <c r="BG90" i="12" s="1"/>
  <c r="BG23" i="12"/>
  <c r="AX92" i="12"/>
  <c r="BR153" i="12"/>
  <c r="BR31" i="14" s="1"/>
  <c r="BR21" i="12"/>
  <c r="BG32" i="14"/>
  <c r="BH32" i="14" s="1"/>
  <c r="AM159" i="12"/>
  <c r="AM27" i="12"/>
  <c r="BQ88" i="12"/>
  <c r="AM37" i="14"/>
  <c r="AI23" i="4"/>
  <c r="AI21" i="4"/>
  <c r="AX157" i="12"/>
  <c r="AX25" i="12"/>
  <c r="BD91" i="12"/>
  <c r="AG95" i="12"/>
  <c r="AC21" i="15"/>
  <c r="AX35" i="14"/>
  <c r="BG89" i="12"/>
  <c r="BD156" i="12"/>
  <c r="BD24" i="12"/>
  <c r="BD34" i="14"/>
  <c r="AR158" i="12"/>
  <c r="BT20" i="12"/>
  <c r="AH149" i="4"/>
  <c r="AH170" i="4" s="1"/>
  <c r="AH172" i="4" s="1"/>
  <c r="AH179" i="4" s="1"/>
  <c r="BH154" i="12"/>
  <c r="BH22" i="12"/>
  <c r="AI49" i="4" l="1"/>
  <c r="BI32" i="14"/>
  <c r="BU152" i="12"/>
  <c r="BU87" i="12" s="1"/>
  <c r="AI24" i="4"/>
  <c r="AI25" i="4"/>
  <c r="BS153" i="12"/>
  <c r="BS31" i="14" s="1"/>
  <c r="AR36" i="14"/>
  <c r="AR26" i="12"/>
  <c r="AC22" i="15"/>
  <c r="AG28" i="12"/>
  <c r="BH155" i="12"/>
  <c r="BH90" i="12" s="1"/>
  <c r="BH23" i="12"/>
  <c r="BR88" i="12"/>
  <c r="BG33" i="14"/>
  <c r="BH33" i="14" s="1"/>
  <c r="BI154" i="12"/>
  <c r="BI22" i="12"/>
  <c r="BE156" i="12"/>
  <c r="BE24" i="12" s="1"/>
  <c r="AR93" i="12"/>
  <c r="AY157" i="12"/>
  <c r="AY35" i="14" s="1"/>
  <c r="AY25" i="12"/>
  <c r="AN159" i="12"/>
  <c r="AN37" i="14" s="1"/>
  <c r="AN27" i="12"/>
  <c r="BH89" i="12"/>
  <c r="AO37" i="14" l="1"/>
  <c r="AO159" i="12"/>
  <c r="AO27" i="12"/>
  <c r="AS36" i="14"/>
  <c r="BJ154" i="12"/>
  <c r="BJ32" i="14" s="1"/>
  <c r="BJ22" i="12"/>
  <c r="BE34" i="14"/>
  <c r="BS21" i="12"/>
  <c r="BI155" i="12"/>
  <c r="BI90" i="12" s="1"/>
  <c r="BI23" i="12"/>
  <c r="BI33" i="14"/>
  <c r="AI50" i="4"/>
  <c r="AI72" i="4"/>
  <c r="AN94" i="12"/>
  <c r="BS88" i="12"/>
  <c r="AI26" i="4"/>
  <c r="AY92" i="12"/>
  <c r="BE91" i="12"/>
  <c r="BF156" i="12" s="1"/>
  <c r="BF24" i="12" s="1"/>
  <c r="AH160" i="12"/>
  <c r="AH28" i="12"/>
  <c r="AG65" i="12"/>
  <c r="AS93" i="12"/>
  <c r="AC23" i="15"/>
  <c r="AI40" i="4"/>
  <c r="AC34" i="15"/>
  <c r="BI89" i="12"/>
  <c r="AS158" i="12"/>
  <c r="AS26" i="12"/>
  <c r="BU20" i="12"/>
  <c r="BJ90" i="12" l="1"/>
  <c r="BJ33" i="14"/>
  <c r="BK154" i="12"/>
  <c r="BK32" i="14" s="1"/>
  <c r="BK22" i="12"/>
  <c r="AI43" i="4"/>
  <c r="BJ155" i="12"/>
  <c r="BJ23" i="12"/>
  <c r="AC47" i="15"/>
  <c r="AC48" i="15"/>
  <c r="AI33" i="4"/>
  <c r="AP159" i="12"/>
  <c r="AP27" i="12"/>
  <c r="AT158" i="12"/>
  <c r="AT36" i="14" s="1"/>
  <c r="AT26" i="12"/>
  <c r="AZ157" i="12"/>
  <c r="AO94" i="12"/>
  <c r="BJ89" i="12"/>
  <c r="AI160" i="12"/>
  <c r="AI28" i="12"/>
  <c r="AI77" i="4"/>
  <c r="BT153" i="12"/>
  <c r="BT88" i="12" s="1"/>
  <c r="BT21" i="12"/>
  <c r="AC36" i="15"/>
  <c r="AC40" i="15"/>
  <c r="AC35" i="15"/>
  <c r="AH196" i="12"/>
  <c r="AH38" i="14"/>
  <c r="AH95" i="12"/>
  <c r="BF34" i="14"/>
  <c r="BF91" i="12"/>
  <c r="AP37" i="14"/>
  <c r="BK33" i="14" l="1"/>
  <c r="BG91" i="12"/>
  <c r="BG34" i="14"/>
  <c r="AC42" i="15"/>
  <c r="AC43" i="15"/>
  <c r="AC46" i="15"/>
  <c r="AC29" i="15"/>
  <c r="AI95" i="12"/>
  <c r="AH131" i="12"/>
  <c r="AD26" i="15" s="1"/>
  <c r="AC37" i="15"/>
  <c r="BK89" i="12"/>
  <c r="BK155" i="12"/>
  <c r="BK23" i="12"/>
  <c r="BK90" i="12"/>
  <c r="AI38" i="14"/>
  <c r="AH74" i="14"/>
  <c r="AH4" i="14" s="1"/>
  <c r="AP94" i="12"/>
  <c r="AT93" i="12"/>
  <c r="AU158" i="12"/>
  <c r="AU36" i="14" s="1"/>
  <c r="AU26" i="12"/>
  <c r="AD31" i="15"/>
  <c r="AH64" i="12"/>
  <c r="AD27" i="15" s="1"/>
  <c r="AQ159" i="12"/>
  <c r="AQ37" i="14" s="1"/>
  <c r="BU153" i="12"/>
  <c r="BU88" i="12" s="1"/>
  <c r="BU21" i="12"/>
  <c r="AZ25" i="12"/>
  <c r="AZ35" i="14"/>
  <c r="AZ92" i="12"/>
  <c r="AI54" i="4"/>
  <c r="BG156" i="12"/>
  <c r="BG24" i="12" s="1"/>
  <c r="AQ27" i="12" l="1"/>
  <c r="AQ94" i="12"/>
  <c r="BL89" i="12"/>
  <c r="AC41" i="15"/>
  <c r="AI34" i="4"/>
  <c r="AI55" i="4"/>
  <c r="AI67" i="4"/>
  <c r="AI63" i="4"/>
  <c r="AI64" i="4"/>
  <c r="AI62" i="4"/>
  <c r="AI65" i="4"/>
  <c r="AI61" i="4"/>
  <c r="AI66" i="4"/>
  <c r="AI68" i="4"/>
  <c r="AI56" i="4"/>
  <c r="AD28" i="15"/>
  <c r="AJ41" i="4"/>
  <c r="AJ19" i="4"/>
  <c r="AJ42" i="4"/>
  <c r="AH6" i="14"/>
  <c r="AJ15" i="4" s="1"/>
  <c r="AH5" i="14"/>
  <c r="AJ160" i="12"/>
  <c r="AJ28" i="12" s="1"/>
  <c r="BA157" i="12"/>
  <c r="BA35" i="14" s="1"/>
  <c r="BA25" i="12"/>
  <c r="BL154" i="12"/>
  <c r="BL155" i="12"/>
  <c r="BL90" i="12" s="1"/>
  <c r="BL23" i="12"/>
  <c r="BH156" i="12"/>
  <c r="BH34" i="14" s="1"/>
  <c r="BH24" i="12"/>
  <c r="AU93" i="12"/>
  <c r="BI156" i="12" l="1"/>
  <c r="BI34" i="14" s="1"/>
  <c r="BI24" i="12"/>
  <c r="BB157" i="12"/>
  <c r="BB25" i="12" s="1"/>
  <c r="AJ22" i="4"/>
  <c r="AC44" i="15"/>
  <c r="BH91" i="12"/>
  <c r="AJ38" i="14"/>
  <c r="BA92" i="12"/>
  <c r="BL32" i="14"/>
  <c r="BL22" i="12"/>
  <c r="BL33" i="14"/>
  <c r="AI57" i="4"/>
  <c r="AR94" i="12"/>
  <c r="AR159" i="12"/>
  <c r="AR37" i="14" s="1"/>
  <c r="AR27" i="12"/>
  <c r="AJ95" i="12"/>
  <c r="AI69" i="4"/>
  <c r="BM155" i="12"/>
  <c r="BM23" i="12" s="1"/>
  <c r="AV158" i="12"/>
  <c r="AH3" i="14"/>
  <c r="AH39" i="14" s="1"/>
  <c r="AJ14" i="4"/>
  <c r="BC157" i="12" l="1"/>
  <c r="BC25" i="12" s="1"/>
  <c r="BB92" i="12"/>
  <c r="AJ18" i="4"/>
  <c r="AI80" i="4"/>
  <c r="AI79" i="4"/>
  <c r="BI91" i="12"/>
  <c r="BM90" i="12"/>
  <c r="AV36" i="14"/>
  <c r="AV26" i="12"/>
  <c r="BM33" i="14"/>
  <c r="AV93" i="12"/>
  <c r="AS159" i="12"/>
  <c r="AS37" i="14" s="1"/>
  <c r="AS27" i="12"/>
  <c r="BM154" i="12"/>
  <c r="BM89" i="12" s="1"/>
  <c r="BB35" i="14"/>
  <c r="AK160" i="12"/>
  <c r="AK28" i="12" s="1"/>
  <c r="BN90" i="12" l="1"/>
  <c r="BJ156" i="12"/>
  <c r="BC92" i="12"/>
  <c r="AL160" i="12"/>
  <c r="AL28" i="12"/>
  <c r="AK38" i="14"/>
  <c r="AL38" i="14" s="1"/>
  <c r="AS94" i="12"/>
  <c r="BM32" i="14"/>
  <c r="BN33" i="14"/>
  <c r="AK95" i="12"/>
  <c r="AI167" i="4"/>
  <c r="AI141" i="4"/>
  <c r="AI142" i="4"/>
  <c r="BC35" i="14"/>
  <c r="AW158" i="12"/>
  <c r="AW36" i="14" s="1"/>
  <c r="AW26" i="12"/>
  <c r="BN155" i="12"/>
  <c r="BN23" i="12" s="1"/>
  <c r="BM22" i="12"/>
  <c r="AD17" i="15"/>
  <c r="AJ20" i="4"/>
  <c r="AJ60" i="4"/>
  <c r="AJ147" i="4"/>
  <c r="AJ74" i="4"/>
  <c r="BJ34" i="14" l="1"/>
  <c r="BJ24" i="12"/>
  <c r="BN32" i="14"/>
  <c r="BJ91" i="12"/>
  <c r="AT94" i="12"/>
  <c r="AJ23" i="4"/>
  <c r="AJ21" i="4"/>
  <c r="AT159" i="12"/>
  <c r="AH96" i="12"/>
  <c r="AD21" i="15"/>
  <c r="AI149" i="4"/>
  <c r="AW93" i="12"/>
  <c r="BN154" i="12"/>
  <c r="BN89" i="12" s="1"/>
  <c r="BN22" i="12"/>
  <c r="AI170" i="4"/>
  <c r="AI172" i="4" s="1"/>
  <c r="AI179" i="4" s="1"/>
  <c r="BO155" i="12"/>
  <c r="BO90" i="12" s="1"/>
  <c r="AL95" i="12"/>
  <c r="BD157" i="12"/>
  <c r="BD25" i="12" s="1"/>
  <c r="AX93" i="12" l="1"/>
  <c r="AJ49" i="4"/>
  <c r="BO32" i="14"/>
  <c r="AJ25" i="4"/>
  <c r="AJ24" i="4"/>
  <c r="BK156" i="12"/>
  <c r="BK91" i="12" s="1"/>
  <c r="BK24" i="12"/>
  <c r="BO154" i="12"/>
  <c r="BO89" i="12" s="1"/>
  <c r="BO22" i="12"/>
  <c r="BK34" i="14"/>
  <c r="AD22" i="15"/>
  <c r="AH29" i="12"/>
  <c r="BO33" i="14"/>
  <c r="BD92" i="12"/>
  <c r="BD35" i="14"/>
  <c r="AM160" i="12"/>
  <c r="AT27" i="12"/>
  <c r="AT37" i="14"/>
  <c r="AX158" i="12"/>
  <c r="BO23" i="12"/>
  <c r="BL34" i="14" l="1"/>
  <c r="AJ26" i="4"/>
  <c r="AU159" i="12"/>
  <c r="AU94" i="12" s="1"/>
  <c r="BP154" i="12"/>
  <c r="BP89" i="12" s="1"/>
  <c r="BP22" i="12"/>
  <c r="BP32" i="14"/>
  <c r="AM38" i="14"/>
  <c r="AM28" i="12"/>
  <c r="AM95" i="12"/>
  <c r="AI161" i="12"/>
  <c r="AH65" i="12"/>
  <c r="BL156" i="12"/>
  <c r="BL91" i="12" s="1"/>
  <c r="BL24" i="12"/>
  <c r="BE35" i="14"/>
  <c r="AD23" i="15"/>
  <c r="AJ40" i="4"/>
  <c r="AD34" i="15"/>
  <c r="AJ50" i="4"/>
  <c r="AJ72" i="4"/>
  <c r="BP155" i="12"/>
  <c r="BP90" i="12" s="1"/>
  <c r="BP23" i="12"/>
  <c r="AX36" i="14"/>
  <c r="AX26" i="12"/>
  <c r="BE157" i="12"/>
  <c r="BE25" i="12" s="1"/>
  <c r="AY158" i="12" l="1"/>
  <c r="AY93" i="12" s="1"/>
  <c r="AY26" i="12"/>
  <c r="AI196" i="12"/>
  <c r="AI39" i="14"/>
  <c r="AI96" i="12"/>
  <c r="AJ43" i="4"/>
  <c r="AN95" i="12"/>
  <c r="AD47" i="15"/>
  <c r="AJ33" i="4"/>
  <c r="AN160" i="12"/>
  <c r="AN28" i="12"/>
  <c r="BQ155" i="12"/>
  <c r="BQ90" i="12" s="1"/>
  <c r="BQ23" i="12"/>
  <c r="AN38" i="14"/>
  <c r="BM34" i="14"/>
  <c r="BM156" i="12"/>
  <c r="BM91" i="12" s="1"/>
  <c r="BM24" i="12"/>
  <c r="BP33" i="14"/>
  <c r="BQ33" i="14" s="1"/>
  <c r="AJ77" i="4"/>
  <c r="BQ154" i="12"/>
  <c r="BQ22" i="12" s="1"/>
  <c r="AU37" i="14"/>
  <c r="BE92" i="12"/>
  <c r="AD35" i="15"/>
  <c r="AD40" i="15"/>
  <c r="AD36" i="15"/>
  <c r="AI29" i="12"/>
  <c r="AU27" i="12"/>
  <c r="BN34" i="14" l="1"/>
  <c r="AO38" i="14"/>
  <c r="AV159" i="12"/>
  <c r="AV94" i="12" s="1"/>
  <c r="AV27" i="12"/>
  <c r="AI74" i="14"/>
  <c r="AI4" i="14" s="1"/>
  <c r="BR155" i="12"/>
  <c r="BR23" i="12" s="1"/>
  <c r="AE31" i="15"/>
  <c r="AI64" i="12"/>
  <c r="AE27" i="15" s="1"/>
  <c r="BQ32" i="14"/>
  <c r="AZ158" i="12"/>
  <c r="AZ26" i="12"/>
  <c r="AO160" i="12"/>
  <c r="AO95" i="12" s="1"/>
  <c r="AO28" i="12"/>
  <c r="AJ54" i="4"/>
  <c r="AV37" i="14"/>
  <c r="BQ89" i="12"/>
  <c r="AD43" i="15"/>
  <c r="AD46" i="15"/>
  <c r="AD29" i="15"/>
  <c r="AI131" i="12"/>
  <c r="AE26" i="15" s="1"/>
  <c r="AD42" i="15"/>
  <c r="AD48" i="15"/>
  <c r="AJ161" i="12"/>
  <c r="AJ29" i="12" s="1"/>
  <c r="BF157" i="12"/>
  <c r="BN156" i="12"/>
  <c r="BN91" i="12" s="1"/>
  <c r="BN24" i="12"/>
  <c r="AZ93" i="12"/>
  <c r="AD37" i="15"/>
  <c r="AY36" i="14"/>
  <c r="AP95" i="12" l="1"/>
  <c r="AD41" i="15"/>
  <c r="AP160" i="12"/>
  <c r="AP28" i="12"/>
  <c r="AP38" i="14"/>
  <c r="BA93" i="12"/>
  <c r="BR33" i="14"/>
  <c r="BO156" i="12"/>
  <c r="BO91" i="12" s="1"/>
  <c r="BA158" i="12"/>
  <c r="BA26" i="12"/>
  <c r="AI6" i="14"/>
  <c r="AK15" i="4" s="1"/>
  <c r="AI5" i="14"/>
  <c r="AJ39" i="14"/>
  <c r="BF35" i="14"/>
  <c r="BF25" i="12"/>
  <c r="BR90" i="12"/>
  <c r="AK19" i="4"/>
  <c r="AE28" i="15"/>
  <c r="AK41" i="4"/>
  <c r="BF92" i="12"/>
  <c r="AJ96" i="12"/>
  <c r="AK42" i="4"/>
  <c r="AW159" i="12"/>
  <c r="AW37" i="14" s="1"/>
  <c r="AW27" i="12"/>
  <c r="BR154" i="12"/>
  <c r="BR22" i="12" s="1"/>
  <c r="AZ36" i="14"/>
  <c r="BA36" i="14" s="1"/>
  <c r="AJ34" i="4"/>
  <c r="AJ55" i="4"/>
  <c r="AJ57" i="4" s="1"/>
  <c r="AJ68" i="4"/>
  <c r="AJ63" i="4"/>
  <c r="AJ64" i="4"/>
  <c r="AJ62" i="4"/>
  <c r="AJ65" i="4"/>
  <c r="AJ61" i="4"/>
  <c r="AJ66" i="4"/>
  <c r="AJ67" i="4"/>
  <c r="AJ56" i="4"/>
  <c r="AW94" i="12"/>
  <c r="AX159" i="12" l="1"/>
  <c r="AX37" i="14" s="1"/>
  <c r="AX27" i="12"/>
  <c r="BO34" i="14"/>
  <c r="AD44" i="15"/>
  <c r="BR89" i="12"/>
  <c r="BS33" i="14"/>
  <c r="AI3" i="14"/>
  <c r="AI40" i="14" s="1"/>
  <c r="AK14" i="4"/>
  <c r="BS90" i="12"/>
  <c r="AK22" i="4"/>
  <c r="AQ38" i="14"/>
  <c r="BS155" i="12"/>
  <c r="BS23" i="12" s="1"/>
  <c r="BR32" i="14"/>
  <c r="BB158" i="12"/>
  <c r="BB93" i="12" s="1"/>
  <c r="BB26" i="12"/>
  <c r="AQ160" i="12"/>
  <c r="AQ95" i="12" s="1"/>
  <c r="AQ28" i="12"/>
  <c r="AJ69" i="4"/>
  <c r="AK161" i="12"/>
  <c r="AK29" i="12" s="1"/>
  <c r="BB36" i="14"/>
  <c r="BG157" i="12"/>
  <c r="BG92" i="12" s="1"/>
  <c r="BG25" i="12"/>
  <c r="BO24" i="12"/>
  <c r="AR160" i="12" l="1"/>
  <c r="AR95" i="12" s="1"/>
  <c r="AR28" i="12"/>
  <c r="BH157" i="12"/>
  <c r="BH92" i="12" s="1"/>
  <c r="BP156" i="12"/>
  <c r="BP91" i="12" s="1"/>
  <c r="BP24" i="12"/>
  <c r="AY159" i="12"/>
  <c r="AY37" i="14" s="1"/>
  <c r="AY27" i="12"/>
  <c r="BC158" i="12"/>
  <c r="BC93" i="12" s="1"/>
  <c r="BC26" i="12"/>
  <c r="AX94" i="12"/>
  <c r="BP34" i="14"/>
  <c r="BG35" i="14"/>
  <c r="AL161" i="12"/>
  <c r="AL29" i="12"/>
  <c r="BS32" i="14"/>
  <c r="AK18" i="4"/>
  <c r="AK39" i="14"/>
  <c r="AK96" i="12"/>
  <c r="BS154" i="12"/>
  <c r="BS22" i="12" s="1"/>
  <c r="AJ80" i="4"/>
  <c r="AJ79" i="4"/>
  <c r="BT155" i="12"/>
  <c r="BT23" i="12" s="1"/>
  <c r="BU155" i="12" l="1"/>
  <c r="BU23" i="12"/>
  <c r="AJ167" i="4"/>
  <c r="AJ142" i="4"/>
  <c r="AJ141" i="4"/>
  <c r="AE17" i="15"/>
  <c r="AK20" i="4"/>
  <c r="AK60" i="4"/>
  <c r="AK147" i="4"/>
  <c r="AK74" i="4"/>
  <c r="BT90" i="12"/>
  <c r="BH25" i="12"/>
  <c r="BD158" i="12"/>
  <c r="BD93" i="12" s="1"/>
  <c r="BD26" i="12"/>
  <c r="AS160" i="12"/>
  <c r="AS95" i="12" s="1"/>
  <c r="BH35" i="14"/>
  <c r="AL96" i="12"/>
  <c r="BQ34" i="14"/>
  <c r="BS89" i="12"/>
  <c r="AR38" i="14"/>
  <c r="AL39" i="14"/>
  <c r="BC36" i="14"/>
  <c r="BD36" i="14" s="1"/>
  <c r="BQ156" i="12"/>
  <c r="BQ24" i="12"/>
  <c r="AY94" i="12"/>
  <c r="BQ91" i="12"/>
  <c r="BE93" i="12" l="1"/>
  <c r="BT89" i="12"/>
  <c r="AS28" i="12"/>
  <c r="BR91" i="12"/>
  <c r="BR156" i="12"/>
  <c r="BR34" i="14" s="1"/>
  <c r="BR24" i="12"/>
  <c r="BI35" i="14"/>
  <c r="AM161" i="12"/>
  <c r="AM29" i="12" s="1"/>
  <c r="BE158" i="12"/>
  <c r="BE26" i="12"/>
  <c r="AK23" i="4"/>
  <c r="AK21" i="4"/>
  <c r="BE36" i="14"/>
  <c r="AZ159" i="12"/>
  <c r="AI97" i="12"/>
  <c r="AE21" i="15"/>
  <c r="BI157" i="12"/>
  <c r="BI92" i="12" s="1"/>
  <c r="BI25" i="12"/>
  <c r="AJ149" i="4"/>
  <c r="AJ170" i="4" s="1"/>
  <c r="AJ172" i="4" s="1"/>
  <c r="AJ179" i="4" s="1"/>
  <c r="AS38" i="14"/>
  <c r="BT154" i="12"/>
  <c r="BT22" i="12" s="1"/>
  <c r="BU90" i="12"/>
  <c r="AZ37" i="14" l="1"/>
  <c r="AZ27" i="12"/>
  <c r="BF36" i="14"/>
  <c r="AN161" i="12"/>
  <c r="AN29" i="12" s="1"/>
  <c r="BJ157" i="12"/>
  <c r="BJ25" i="12"/>
  <c r="AK49" i="4"/>
  <c r="BJ35" i="14"/>
  <c r="AT160" i="12"/>
  <c r="AT95" i="12" s="1"/>
  <c r="BJ92" i="12"/>
  <c r="AK24" i="4"/>
  <c r="AK25" i="4"/>
  <c r="BS156" i="12"/>
  <c r="BS34" i="14" s="1"/>
  <c r="BS24" i="12"/>
  <c r="AM39" i="14"/>
  <c r="BF158" i="12"/>
  <c r="BF26" i="12"/>
  <c r="AM96" i="12"/>
  <c r="BF93" i="12"/>
  <c r="BU154" i="12"/>
  <c r="BU89" i="12" s="1"/>
  <c r="BU22" i="12"/>
  <c r="AE22" i="15"/>
  <c r="AI30" i="12"/>
  <c r="AZ94" i="12"/>
  <c r="BK35" i="14" l="1"/>
  <c r="BA159" i="12"/>
  <c r="BA27" i="12"/>
  <c r="AN96" i="12"/>
  <c r="AK26" i="4"/>
  <c r="BA37" i="14"/>
  <c r="BA94" i="12"/>
  <c r="BG158" i="12"/>
  <c r="BG26" i="12" s="1"/>
  <c r="AK50" i="4"/>
  <c r="AK72" i="4"/>
  <c r="BS91" i="12"/>
  <c r="BK157" i="12"/>
  <c r="BK92" i="12" s="1"/>
  <c r="BK25" i="12"/>
  <c r="AJ162" i="12"/>
  <c r="AJ30" i="12"/>
  <c r="AI65" i="12"/>
  <c r="AN39" i="14"/>
  <c r="AT38" i="14"/>
  <c r="AE23" i="15"/>
  <c r="AK40" i="4"/>
  <c r="AE34" i="15"/>
  <c r="AT28" i="12"/>
  <c r="AE40" i="15" l="1"/>
  <c r="AE35" i="15"/>
  <c r="AE36" i="15"/>
  <c r="BG93" i="12"/>
  <c r="AJ196" i="12"/>
  <c r="AJ40" i="14"/>
  <c r="AJ97" i="12"/>
  <c r="BB94" i="12"/>
  <c r="BG36" i="14"/>
  <c r="AK43" i="4"/>
  <c r="BL157" i="12"/>
  <c r="BL92" i="12" s="1"/>
  <c r="BL25" i="12"/>
  <c r="BB37" i="14"/>
  <c r="BL35" i="14"/>
  <c r="AE48" i="15"/>
  <c r="AE47" i="15"/>
  <c r="AK33" i="4"/>
  <c r="BT91" i="12"/>
  <c r="AK77" i="4"/>
  <c r="BT156" i="12"/>
  <c r="BT24" i="12" s="1"/>
  <c r="BB159" i="12"/>
  <c r="BB27" i="12"/>
  <c r="AU160" i="12"/>
  <c r="AU95" i="12" s="1"/>
  <c r="AU28" i="12"/>
  <c r="AO161" i="12"/>
  <c r="AO29" i="12" s="1"/>
  <c r="BC37" i="14" l="1"/>
  <c r="AV160" i="12"/>
  <c r="AV28" i="12" s="1"/>
  <c r="BU91" i="12"/>
  <c r="AJ74" i="14"/>
  <c r="AJ4" i="14" s="1"/>
  <c r="AE42" i="15"/>
  <c r="BC159" i="12"/>
  <c r="BC94" i="12" s="1"/>
  <c r="BC27" i="12"/>
  <c r="AU38" i="14"/>
  <c r="BM157" i="12"/>
  <c r="BM92" i="12" s="1"/>
  <c r="BM25" i="12"/>
  <c r="AF31" i="15"/>
  <c r="AJ64" i="12"/>
  <c r="AF27" i="15" s="1"/>
  <c r="AE37" i="15"/>
  <c r="BH93" i="12"/>
  <c r="AO39" i="14"/>
  <c r="AK54" i="4"/>
  <c r="AE43" i="15"/>
  <c r="AE46" i="15"/>
  <c r="AE29" i="15"/>
  <c r="BU156" i="12"/>
  <c r="BU24" i="12"/>
  <c r="AK162" i="12"/>
  <c r="AK30" i="12" s="1"/>
  <c r="AO96" i="12"/>
  <c r="BH36" i="14"/>
  <c r="BH158" i="12"/>
  <c r="BH26" i="12" s="1"/>
  <c r="BD94" i="12" l="1"/>
  <c r="BN92" i="12"/>
  <c r="AJ6" i="14"/>
  <c r="AL15" i="4" s="1"/>
  <c r="AJ5" i="14"/>
  <c r="AK40" i="14"/>
  <c r="AK55" i="4"/>
  <c r="AK34" i="4"/>
  <c r="AK68" i="4"/>
  <c r="AK64" i="4"/>
  <c r="AK66" i="4"/>
  <c r="AK65" i="4"/>
  <c r="AK67" i="4"/>
  <c r="AK61" i="4"/>
  <c r="AK62" i="4"/>
  <c r="AK63" i="4"/>
  <c r="AK56" i="4"/>
  <c r="AK57" i="4" s="1"/>
  <c r="AV38" i="14"/>
  <c r="AP161" i="12"/>
  <c r="AP29" i="12" s="1"/>
  <c r="BD159" i="12"/>
  <c r="BD27" i="12"/>
  <c r="AV95" i="12"/>
  <c r="BD37" i="14"/>
  <c r="BI93" i="12"/>
  <c r="BM35" i="14"/>
  <c r="BN35" i="14" s="1"/>
  <c r="AK97" i="12"/>
  <c r="AL162" i="12" s="1"/>
  <c r="AL30" i="12" s="1"/>
  <c r="BI158" i="12"/>
  <c r="BI26" i="12"/>
  <c r="AE41" i="15"/>
  <c r="AL41" i="4"/>
  <c r="BN157" i="12"/>
  <c r="BN25" i="12"/>
  <c r="BI36" i="14"/>
  <c r="AL42" i="4"/>
  <c r="AM162" i="12" l="1"/>
  <c r="AM30" i="12" s="1"/>
  <c r="BO35" i="14"/>
  <c r="AW38" i="14"/>
  <c r="BJ93" i="12"/>
  <c r="AJ3" i="14"/>
  <c r="AJ41" i="14" s="1"/>
  <c r="AL14" i="4"/>
  <c r="AL18" i="4" s="1"/>
  <c r="AP96" i="12"/>
  <c r="AE44" i="15"/>
  <c r="BE159" i="12"/>
  <c r="BE37" i="14" s="1"/>
  <c r="BO157" i="12"/>
  <c r="BO92" i="12" s="1"/>
  <c r="BO25" i="12"/>
  <c r="BJ158" i="12"/>
  <c r="BJ36" i="14" s="1"/>
  <c r="BJ26" i="12"/>
  <c r="AK69" i="4"/>
  <c r="AP39" i="14"/>
  <c r="AL40" i="14"/>
  <c r="AW160" i="12"/>
  <c r="AW28" i="12" s="1"/>
  <c r="AL97" i="12"/>
  <c r="BP92" i="12" l="1"/>
  <c r="AK80" i="4"/>
  <c r="AK79" i="4"/>
  <c r="AF17" i="15"/>
  <c r="AL147" i="4"/>
  <c r="AL60" i="4"/>
  <c r="AL74" i="4"/>
  <c r="BK158" i="12"/>
  <c r="BK36" i="14" s="1"/>
  <c r="BK26" i="12"/>
  <c r="BK93" i="12"/>
  <c r="BE94" i="12"/>
  <c r="AM97" i="12"/>
  <c r="BP157" i="12"/>
  <c r="BP25" i="12"/>
  <c r="AQ96" i="12"/>
  <c r="BP35" i="14"/>
  <c r="AX160" i="12"/>
  <c r="AX38" i="14" s="1"/>
  <c r="AX28" i="12"/>
  <c r="AW95" i="12"/>
  <c r="AM40" i="14"/>
  <c r="AQ161" i="12"/>
  <c r="AQ29" i="12" s="1"/>
  <c r="AQ39" i="14"/>
  <c r="BE27" i="12"/>
  <c r="BL93" i="12" l="1"/>
  <c r="AJ98" i="12"/>
  <c r="AF21" i="15"/>
  <c r="BL158" i="12"/>
  <c r="BL36" i="14" s="1"/>
  <c r="BL26" i="12"/>
  <c r="BF159" i="12"/>
  <c r="BF37" i="14" s="1"/>
  <c r="BF27" i="12"/>
  <c r="AK167" i="4"/>
  <c r="AK141" i="4"/>
  <c r="AK142" i="4"/>
  <c r="BQ157" i="12"/>
  <c r="BQ35" i="14" s="1"/>
  <c r="BQ25" i="12"/>
  <c r="AR161" i="12"/>
  <c r="AR39" i="14" s="1"/>
  <c r="AR29" i="12"/>
  <c r="AN40" i="14"/>
  <c r="AN162" i="12"/>
  <c r="AN30" i="12" s="1"/>
  <c r="AX95" i="12"/>
  <c r="BF94" i="12"/>
  <c r="BQ92" i="12"/>
  <c r="BM36" i="14" l="1"/>
  <c r="BR35" i="14"/>
  <c r="AS161" i="12"/>
  <c r="AS39" i="14" s="1"/>
  <c r="AS29" i="12"/>
  <c r="AF22" i="15"/>
  <c r="AJ31" i="12"/>
  <c r="BR92" i="12"/>
  <c r="AR96" i="12"/>
  <c r="AJ131" i="12"/>
  <c r="AF26" i="15" s="1"/>
  <c r="BG94" i="12"/>
  <c r="BR157" i="12"/>
  <c r="BR25" i="12"/>
  <c r="BG159" i="12"/>
  <c r="BG27" i="12"/>
  <c r="BM93" i="12"/>
  <c r="AY95" i="12"/>
  <c r="BG37" i="14"/>
  <c r="AO162" i="12"/>
  <c r="AO30" i="12" s="1"/>
  <c r="BM158" i="12"/>
  <c r="BM26" i="12"/>
  <c r="AY160" i="12"/>
  <c r="AN97" i="12"/>
  <c r="AK149" i="4"/>
  <c r="AK170" i="4" s="1"/>
  <c r="AK172" i="4" s="1"/>
  <c r="AK179" i="4" s="1"/>
  <c r="AL19" i="4" l="1"/>
  <c r="AF28" i="15"/>
  <c r="AO97" i="12"/>
  <c r="BN93" i="12"/>
  <c r="AY38" i="14"/>
  <c r="AY28" i="12"/>
  <c r="BH159" i="12"/>
  <c r="BH37" i="14" s="1"/>
  <c r="BH27" i="12"/>
  <c r="AS96" i="12"/>
  <c r="AT161" i="12" s="1"/>
  <c r="BN158" i="12"/>
  <c r="BN26" i="12"/>
  <c r="AO40" i="14"/>
  <c r="BS157" i="12"/>
  <c r="BS92" i="12" s="1"/>
  <c r="BS25" i="12"/>
  <c r="BS35" i="14"/>
  <c r="AK163" i="12"/>
  <c r="AJ65" i="12"/>
  <c r="AF23" i="15"/>
  <c r="AL40" i="4"/>
  <c r="AL43" i="4" s="1"/>
  <c r="AF34" i="15"/>
  <c r="BN36" i="14"/>
  <c r="BT92" i="12" l="1"/>
  <c r="AT39" i="14"/>
  <c r="AT29" i="12"/>
  <c r="AK196" i="12"/>
  <c r="AK41" i="14"/>
  <c r="AK98" i="12"/>
  <c r="AF40" i="15"/>
  <c r="AF36" i="15"/>
  <c r="AF35" i="15"/>
  <c r="BT157" i="12"/>
  <c r="BT25" i="12"/>
  <c r="AF46" i="15"/>
  <c r="AF29" i="15"/>
  <c r="AL54" i="4"/>
  <c r="AZ160" i="12"/>
  <c r="AZ95" i="12" s="1"/>
  <c r="AZ28" i="12"/>
  <c r="AF48" i="15"/>
  <c r="AF47" i="15"/>
  <c r="AL33" i="4"/>
  <c r="AP40" i="14"/>
  <c r="AZ38" i="14"/>
  <c r="AL22" i="4"/>
  <c r="AL20" i="4"/>
  <c r="BH94" i="12"/>
  <c r="BI159" i="12" s="1"/>
  <c r="BO158" i="12"/>
  <c r="BO93" i="12" s="1"/>
  <c r="BO26" i="12"/>
  <c r="AP97" i="12"/>
  <c r="AK31" i="12"/>
  <c r="AP162" i="12"/>
  <c r="AP30" i="12" s="1"/>
  <c r="AT96" i="12"/>
  <c r="BI37" i="14" l="1"/>
  <c r="BI27" i="12"/>
  <c r="AL98" i="12"/>
  <c r="AK131" i="12"/>
  <c r="AG26" i="15" s="1"/>
  <c r="AM19" i="4" s="1"/>
  <c r="AL55" i="4"/>
  <c r="AL57" i="4"/>
  <c r="AL61" i="4"/>
  <c r="AL68" i="4"/>
  <c r="AL67" i="4"/>
  <c r="AL63" i="4"/>
  <c r="AL64" i="4"/>
  <c r="AL62" i="4"/>
  <c r="AL65" i="4"/>
  <c r="AL66" i="4"/>
  <c r="AL56" i="4"/>
  <c r="AG31" i="15"/>
  <c r="AM42" i="4" s="1"/>
  <c r="AK64" i="12"/>
  <c r="AG27" i="15" s="1"/>
  <c r="BA38" i="14"/>
  <c r="AL41" i="14"/>
  <c r="AK74" i="14"/>
  <c r="AK4" i="14" s="1"/>
  <c r="BP158" i="12"/>
  <c r="BP93" i="12" s="1"/>
  <c r="AL163" i="12"/>
  <c r="AL31" i="12"/>
  <c r="BO36" i="14"/>
  <c r="AF42" i="15"/>
  <c r="AU161" i="12"/>
  <c r="AU29" i="12" s="1"/>
  <c r="BA160" i="12"/>
  <c r="BA28" i="12"/>
  <c r="AF43" i="15"/>
  <c r="BI94" i="12"/>
  <c r="AU96" i="12"/>
  <c r="AL23" i="4"/>
  <c r="AL21" i="4"/>
  <c r="BU157" i="12"/>
  <c r="BU25" i="12"/>
  <c r="BU92" i="12"/>
  <c r="AQ162" i="12"/>
  <c r="AQ97" i="12" s="1"/>
  <c r="AQ30" i="12"/>
  <c r="BA95" i="12"/>
  <c r="AF37" i="15"/>
  <c r="AV161" i="12" l="1"/>
  <c r="AV96" i="12" s="1"/>
  <c r="AV29" i="12"/>
  <c r="AR162" i="12"/>
  <c r="AR97" i="12" s="1"/>
  <c r="AR30" i="12"/>
  <c r="AK6" i="14"/>
  <c r="AM15" i="4" s="1"/>
  <c r="AM22" i="4" s="1"/>
  <c r="AK5" i="14"/>
  <c r="BB160" i="12"/>
  <c r="BB95" i="12" s="1"/>
  <c r="BB28" i="12"/>
  <c r="BP36" i="14"/>
  <c r="BB38" i="14"/>
  <c r="AM98" i="12"/>
  <c r="AQ40" i="14"/>
  <c r="AR40" i="14" s="1"/>
  <c r="AG28" i="15"/>
  <c r="AM41" i="4"/>
  <c r="AL49" i="4"/>
  <c r="AU39" i="14"/>
  <c r="AV39" i="14" s="1"/>
  <c r="AM163" i="12"/>
  <c r="AM41" i="14" s="1"/>
  <c r="AM31" i="12"/>
  <c r="BJ159" i="12"/>
  <c r="BJ27" i="12" s="1"/>
  <c r="AF41" i="15"/>
  <c r="AL25" i="4"/>
  <c r="AL24" i="4"/>
  <c r="AL69" i="4"/>
  <c r="BJ37" i="14"/>
  <c r="BP26" i="12"/>
  <c r="AN41" i="14" l="1"/>
  <c r="AW96" i="12"/>
  <c r="AN98" i="12"/>
  <c r="BJ94" i="12"/>
  <c r="AN163" i="12"/>
  <c r="AN31" i="12"/>
  <c r="AS162" i="12"/>
  <c r="AS97" i="12" s="1"/>
  <c r="AS30" i="12"/>
  <c r="BQ36" i="14"/>
  <c r="AL50" i="4"/>
  <c r="AL72" i="4"/>
  <c r="AL77" i="4" s="1"/>
  <c r="BC160" i="12"/>
  <c r="BC95" i="12" s="1"/>
  <c r="BQ158" i="12"/>
  <c r="BQ93" i="12" s="1"/>
  <c r="BQ26" i="12"/>
  <c r="AS40" i="14"/>
  <c r="BC38" i="14"/>
  <c r="AW39" i="14"/>
  <c r="AL26" i="4"/>
  <c r="AL34" i="4"/>
  <c r="AW161" i="12"/>
  <c r="AW29" i="12"/>
  <c r="AF44" i="15"/>
  <c r="AK3" i="14"/>
  <c r="AK42" i="14" s="1"/>
  <c r="AM14" i="4"/>
  <c r="AM18" i="4" s="1"/>
  <c r="AX96" i="12" l="1"/>
  <c r="AT40" i="14"/>
  <c r="AT162" i="12"/>
  <c r="AT97" i="12" s="1"/>
  <c r="BR158" i="12"/>
  <c r="BR26" i="12"/>
  <c r="AX161" i="12"/>
  <c r="AX29" i="12"/>
  <c r="BR93" i="12"/>
  <c r="AO163" i="12"/>
  <c r="AO31" i="12" s="1"/>
  <c r="BC28" i="12"/>
  <c r="BK159" i="12"/>
  <c r="AL79" i="4"/>
  <c r="AL80" i="4"/>
  <c r="AX39" i="14"/>
  <c r="BR36" i="14"/>
  <c r="AG17" i="15"/>
  <c r="AM20" i="4"/>
  <c r="AM147" i="4"/>
  <c r="AM60" i="4"/>
  <c r="AM74" i="4"/>
  <c r="AY39" i="14" l="1"/>
  <c r="AL167" i="4"/>
  <c r="AL170" i="4" s="1"/>
  <c r="AL172" i="4" s="1"/>
  <c r="AL179" i="4" s="1"/>
  <c r="AL142" i="4"/>
  <c r="AL141" i="4"/>
  <c r="AL149" i="4" s="1"/>
  <c r="AY161" i="12"/>
  <c r="AY29" i="12"/>
  <c r="AY96" i="12"/>
  <c r="BS158" i="12"/>
  <c r="BS26" i="12" s="1"/>
  <c r="AO98" i="12"/>
  <c r="BK37" i="14"/>
  <c r="BK27" i="12"/>
  <c r="BK94" i="12"/>
  <c r="AM21" i="4"/>
  <c r="AM23" i="4"/>
  <c r="BD160" i="12"/>
  <c r="AO41" i="14"/>
  <c r="AK99" i="12"/>
  <c r="AG21" i="15"/>
  <c r="AT30" i="12"/>
  <c r="BD95" i="12" l="1"/>
  <c r="BD38" i="14"/>
  <c r="AM24" i="4"/>
  <c r="AM25" i="4"/>
  <c r="AM26" i="4" s="1"/>
  <c r="AM49" i="4"/>
  <c r="AU162" i="12"/>
  <c r="AU30" i="12"/>
  <c r="BL94" i="12"/>
  <c r="AZ161" i="12"/>
  <c r="AZ29" i="12" s="1"/>
  <c r="BS36" i="14"/>
  <c r="AG22" i="15"/>
  <c r="AK32" i="12"/>
  <c r="BL159" i="12"/>
  <c r="BL37" i="14" s="1"/>
  <c r="BS93" i="12"/>
  <c r="BT158" i="12" s="1"/>
  <c r="BT26" i="12" s="1"/>
  <c r="AP163" i="12"/>
  <c r="AP31" i="12" s="1"/>
  <c r="BD28" i="12"/>
  <c r="BA161" i="12" l="1"/>
  <c r="BA29" i="12" s="1"/>
  <c r="BL27" i="12"/>
  <c r="AV162" i="12"/>
  <c r="AV30" i="12" s="1"/>
  <c r="BE160" i="12"/>
  <c r="BE38" i="14" s="1"/>
  <c r="BE28" i="12"/>
  <c r="AU97" i="12"/>
  <c r="AU40" i="14"/>
  <c r="BE95" i="12"/>
  <c r="AQ163" i="12"/>
  <c r="AQ31" i="12" s="1"/>
  <c r="AL164" i="12"/>
  <c r="AL32" i="12"/>
  <c r="AK65" i="12"/>
  <c r="AZ96" i="12"/>
  <c r="AZ39" i="14"/>
  <c r="AP98" i="12"/>
  <c r="AG23" i="15"/>
  <c r="AM40" i="4"/>
  <c r="AM43" i="4" s="1"/>
  <c r="AG34" i="15"/>
  <c r="AM50" i="4"/>
  <c r="AM72" i="4"/>
  <c r="AM77" i="4" s="1"/>
  <c r="AP41" i="14"/>
  <c r="BT93" i="12"/>
  <c r="AW162" i="12" l="1"/>
  <c r="AW30" i="12"/>
  <c r="AQ98" i="12"/>
  <c r="BM159" i="12"/>
  <c r="BM27" i="12"/>
  <c r="BA39" i="14"/>
  <c r="AV40" i="14"/>
  <c r="AW40" i="14" s="1"/>
  <c r="AQ41" i="14"/>
  <c r="BA96" i="12"/>
  <c r="AV97" i="12"/>
  <c r="BF160" i="12"/>
  <c r="BF38" i="14" s="1"/>
  <c r="BF28" i="12"/>
  <c r="BU158" i="12"/>
  <c r="BU26" i="12" s="1"/>
  <c r="AG35" i="15"/>
  <c r="AG42" i="15" s="1"/>
  <c r="AG40" i="15"/>
  <c r="AG36" i="15"/>
  <c r="AL196" i="12"/>
  <c r="AL42" i="14"/>
  <c r="AL99" i="12"/>
  <c r="AG47" i="15"/>
  <c r="AM33" i="4"/>
  <c r="AM54" i="4"/>
  <c r="AM99" i="12" l="1"/>
  <c r="AM42" i="14"/>
  <c r="AL74" i="14"/>
  <c r="AL4" i="14" s="1"/>
  <c r="AR41" i="14"/>
  <c r="AH31" i="15"/>
  <c r="AN42" i="4" s="1"/>
  <c r="AL64" i="12"/>
  <c r="AH27" i="15" s="1"/>
  <c r="AM164" i="12"/>
  <c r="AM32" i="12" s="1"/>
  <c r="BB161" i="12"/>
  <c r="BB29" i="12" s="1"/>
  <c r="BG160" i="12"/>
  <c r="BG38" i="14" s="1"/>
  <c r="BG28" i="12"/>
  <c r="BB39" i="14"/>
  <c r="AM55" i="4"/>
  <c r="AM57" i="4" s="1"/>
  <c r="AM34" i="4"/>
  <c r="AM66" i="4"/>
  <c r="AM65" i="4"/>
  <c r="AM67" i="4"/>
  <c r="AM68" i="4"/>
  <c r="AM61" i="4"/>
  <c r="AM69" i="4" s="1"/>
  <c r="AM63" i="4"/>
  <c r="AM64" i="4"/>
  <c r="AM62" i="4"/>
  <c r="AM56" i="4"/>
  <c r="AG43" i="15"/>
  <c r="AG46" i="15"/>
  <c r="AG29" i="15"/>
  <c r="BU93" i="12"/>
  <c r="AR163" i="12"/>
  <c r="AR31" i="12" s="1"/>
  <c r="AX162" i="12"/>
  <c r="AX40" i="14" s="1"/>
  <c r="AX30" i="12"/>
  <c r="AG37" i="15"/>
  <c r="AG41" i="15" s="1"/>
  <c r="AG44" i="15" s="1"/>
  <c r="BM37" i="14"/>
  <c r="BM94" i="12"/>
  <c r="AG48" i="15"/>
  <c r="AW97" i="12"/>
  <c r="BF95" i="12"/>
  <c r="BN94" i="12" l="1"/>
  <c r="AM79" i="4"/>
  <c r="AM80" i="4"/>
  <c r="AL6" i="14"/>
  <c r="AN15" i="4" s="1"/>
  <c r="AL5" i="14"/>
  <c r="AY162" i="12"/>
  <c r="AY40" i="14" s="1"/>
  <c r="AY30" i="12"/>
  <c r="BB96" i="12"/>
  <c r="BG95" i="12"/>
  <c r="AN164" i="12"/>
  <c r="AN99" i="12" s="1"/>
  <c r="AN32" i="12"/>
  <c r="AR98" i="12"/>
  <c r="AX97" i="12"/>
  <c r="BN159" i="12"/>
  <c r="BN27" i="12" s="1"/>
  <c r="AN41" i="4"/>
  <c r="AO164" i="12" l="1"/>
  <c r="AO99" i="12" s="1"/>
  <c r="AO32" i="12"/>
  <c r="AM167" i="4"/>
  <c r="AM141" i="4"/>
  <c r="AM142" i="4"/>
  <c r="AN42" i="14"/>
  <c r="AL3" i="14"/>
  <c r="AL43" i="14" s="1"/>
  <c r="AN14" i="4"/>
  <c r="AN18" i="4" s="1"/>
  <c r="BO94" i="12"/>
  <c r="BO159" i="12"/>
  <c r="BO27" i="12"/>
  <c r="BH160" i="12"/>
  <c r="AS163" i="12"/>
  <c r="AS98" i="12" s="1"/>
  <c r="AY97" i="12"/>
  <c r="BC161" i="12"/>
  <c r="BC96" i="12" s="1"/>
  <c r="BN37" i="14"/>
  <c r="BO37" i="14" s="1"/>
  <c r="AP164" i="12" l="1"/>
  <c r="AP99" i="12" s="1"/>
  <c r="AP32" i="12"/>
  <c r="BH38" i="14"/>
  <c r="BH28" i="12"/>
  <c r="BH95" i="12"/>
  <c r="BP159" i="12"/>
  <c r="BP37" i="14" s="1"/>
  <c r="BP27" i="12"/>
  <c r="AO42" i="14"/>
  <c r="AP42" i="14" s="1"/>
  <c r="AZ162" i="12"/>
  <c r="AM149" i="4"/>
  <c r="AM170" i="4" s="1"/>
  <c r="AM172" i="4" s="1"/>
  <c r="AM179" i="4" s="1"/>
  <c r="BC29" i="12"/>
  <c r="BC39" i="14"/>
  <c r="AH17" i="15"/>
  <c r="AN74" i="4"/>
  <c r="AN147" i="4"/>
  <c r="AN60" i="4"/>
  <c r="AS31" i="12"/>
  <c r="AS41" i="14"/>
  <c r="BQ37" i="14" l="1"/>
  <c r="AQ99" i="12"/>
  <c r="AT163" i="12"/>
  <c r="AT98" i="12" s="1"/>
  <c r="AT31" i="12"/>
  <c r="BD161" i="12"/>
  <c r="BD96" i="12" s="1"/>
  <c r="BD29" i="12"/>
  <c r="AZ40" i="14"/>
  <c r="AZ30" i="12"/>
  <c r="AQ164" i="12"/>
  <c r="AQ32" i="12"/>
  <c r="AQ42" i="14"/>
  <c r="BQ159" i="12"/>
  <c r="BQ27" i="12"/>
  <c r="AZ97" i="12"/>
  <c r="AL100" i="12"/>
  <c r="AH21" i="15"/>
  <c r="BP94" i="12"/>
  <c r="AT41" i="14"/>
  <c r="BD39" i="14"/>
  <c r="BI160" i="12"/>
  <c r="BI95" i="12" s="1"/>
  <c r="BI28" i="12"/>
  <c r="AL131" i="12" l="1"/>
  <c r="AH26" i="15" s="1"/>
  <c r="BA40" i="14"/>
  <c r="BJ160" i="12"/>
  <c r="BJ95" i="12" s="1"/>
  <c r="BI38" i="14"/>
  <c r="BE161" i="12"/>
  <c r="BE96" i="12" s="1"/>
  <c r="BE29" i="12"/>
  <c r="AU41" i="14"/>
  <c r="AR164" i="12"/>
  <c r="AR42" i="14" s="1"/>
  <c r="AR32" i="12"/>
  <c r="AU163" i="12"/>
  <c r="AU31" i="12"/>
  <c r="BQ94" i="12"/>
  <c r="AU98" i="12"/>
  <c r="BA162" i="12"/>
  <c r="BA97" i="12" s="1"/>
  <c r="BA30" i="12"/>
  <c r="AH22" i="15"/>
  <c r="AL33" i="12"/>
  <c r="AV41" i="14" l="1"/>
  <c r="BJ28" i="12"/>
  <c r="AV98" i="12"/>
  <c r="BR94" i="12"/>
  <c r="BF161" i="12"/>
  <c r="BF29" i="12" s="1"/>
  <c r="AV163" i="12"/>
  <c r="AV31" i="12"/>
  <c r="BB40" i="14"/>
  <c r="BE39" i="14"/>
  <c r="AN19" i="4"/>
  <c r="AH28" i="15"/>
  <c r="AM165" i="12"/>
  <c r="AL65" i="12"/>
  <c r="BJ38" i="14"/>
  <c r="AH23" i="15"/>
  <c r="AN40" i="4"/>
  <c r="AN43" i="4" s="1"/>
  <c r="AH34" i="15"/>
  <c r="BB162" i="12"/>
  <c r="BB97" i="12" s="1"/>
  <c r="BB30" i="12"/>
  <c r="BR159" i="12"/>
  <c r="AR99" i="12"/>
  <c r="AH40" i="15" l="1"/>
  <c r="AH43" i="15" s="1"/>
  <c r="AH36" i="15"/>
  <c r="AH35" i="15"/>
  <c r="AH42" i="15" s="1"/>
  <c r="AM196" i="12"/>
  <c r="AM43" i="14"/>
  <c r="AM100" i="12"/>
  <c r="AN54" i="4"/>
  <c r="AH46" i="15"/>
  <c r="AH29" i="15"/>
  <c r="AH47" i="15"/>
  <c r="AN33" i="4"/>
  <c r="AN22" i="4"/>
  <c r="AN20" i="4"/>
  <c r="AW98" i="12"/>
  <c r="BK38" i="14"/>
  <c r="BF39" i="14"/>
  <c r="BK160" i="12"/>
  <c r="BK95" i="12" s="1"/>
  <c r="BK28" i="12"/>
  <c r="BC40" i="14"/>
  <c r="AW41" i="14"/>
  <c r="BR27" i="12"/>
  <c r="BR37" i="14"/>
  <c r="AS164" i="12"/>
  <c r="AW163" i="12"/>
  <c r="AW31" i="12"/>
  <c r="BC162" i="12"/>
  <c r="BC97" i="12" s="1"/>
  <c r="BC30" i="12"/>
  <c r="BF96" i="12"/>
  <c r="AM33" i="12"/>
  <c r="BD97" i="12" l="1"/>
  <c r="BS159" i="12"/>
  <c r="BS94" i="12" s="1"/>
  <c r="BS27" i="12"/>
  <c r="AN100" i="12"/>
  <c r="AM131" i="12"/>
  <c r="AI26" i="15" s="1"/>
  <c r="AO19" i="4" s="1"/>
  <c r="AH37" i="15"/>
  <c r="AH41" i="15" s="1"/>
  <c r="AH44" i="15" s="1"/>
  <c r="BD40" i="14"/>
  <c r="AN55" i="4"/>
  <c r="AN57" i="4" s="1"/>
  <c r="AN65" i="4"/>
  <c r="AN63" i="4"/>
  <c r="AN61" i="4"/>
  <c r="AN66" i="4"/>
  <c r="AN68" i="4"/>
  <c r="AN64" i="4"/>
  <c r="AN62" i="4"/>
  <c r="AN67" i="4"/>
  <c r="AN56" i="4"/>
  <c r="AM74" i="14"/>
  <c r="AM4" i="14" s="1"/>
  <c r="AS42" i="14"/>
  <c r="AS32" i="12"/>
  <c r="AN165" i="12"/>
  <c r="AN43" i="14" s="1"/>
  <c r="AN33" i="12"/>
  <c r="BG96" i="12"/>
  <c r="AN21" i="4"/>
  <c r="AN23" i="4"/>
  <c r="BD162" i="12"/>
  <c r="BD30" i="12"/>
  <c r="AS99" i="12"/>
  <c r="AX163" i="12"/>
  <c r="AX98" i="12" s="1"/>
  <c r="AX31" i="12"/>
  <c r="BL160" i="12"/>
  <c r="BL95" i="12" s="1"/>
  <c r="BL28" i="12"/>
  <c r="AH48" i="15"/>
  <c r="AI31" i="15"/>
  <c r="AO42" i="4" s="1"/>
  <c r="AM64" i="12"/>
  <c r="AI27" i="15" s="1"/>
  <c r="BG161" i="12"/>
  <c r="BG29" i="12" s="1"/>
  <c r="AY163" i="12" l="1"/>
  <c r="AY98" i="12" s="1"/>
  <c r="AY31" i="12"/>
  <c r="BT159" i="12"/>
  <c r="BT94" i="12" s="1"/>
  <c r="BT27" i="12"/>
  <c r="BM160" i="12"/>
  <c r="BM95" i="12" s="1"/>
  <c r="BM28" i="12"/>
  <c r="AN49" i="4"/>
  <c r="AO165" i="12"/>
  <c r="AO100" i="12" s="1"/>
  <c r="AO33" i="12"/>
  <c r="BH161" i="12"/>
  <c r="BH29" i="12"/>
  <c r="BS37" i="14"/>
  <c r="BE162" i="12"/>
  <c r="BE40" i="14" s="1"/>
  <c r="BE30" i="12"/>
  <c r="BL38" i="14"/>
  <c r="BM38" i="14" s="1"/>
  <c r="AT164" i="12"/>
  <c r="AT42" i="14" s="1"/>
  <c r="AT32" i="12"/>
  <c r="AX41" i="14"/>
  <c r="AM6" i="14"/>
  <c r="AO15" i="4" s="1"/>
  <c r="AO22" i="4" s="1"/>
  <c r="AM5" i="14"/>
  <c r="AN69" i="4"/>
  <c r="BG39" i="14"/>
  <c r="BH96" i="12"/>
  <c r="AI28" i="15"/>
  <c r="AO41" i="4"/>
  <c r="AN24" i="4"/>
  <c r="AN25" i="4"/>
  <c r="BE97" i="12"/>
  <c r="BN95" i="12" l="1"/>
  <c r="BF40" i="14"/>
  <c r="BU159" i="12"/>
  <c r="BU94" i="12" s="1"/>
  <c r="BU27" i="12"/>
  <c r="AO43" i="14"/>
  <c r="AP43" i="14" s="1"/>
  <c r="BI161" i="12"/>
  <c r="BI29" i="12"/>
  <c r="BI96" i="12"/>
  <c r="BF97" i="12"/>
  <c r="BH39" i="14"/>
  <c r="BN38" i="14"/>
  <c r="AP165" i="12"/>
  <c r="AP100" i="12" s="1"/>
  <c r="AP33" i="12"/>
  <c r="AZ163" i="12"/>
  <c r="AZ98" i="12" s="1"/>
  <c r="AZ31" i="12"/>
  <c r="AN26" i="4"/>
  <c r="AN34" i="4"/>
  <c r="BF162" i="12"/>
  <c r="BF30" i="12"/>
  <c r="AM3" i="14"/>
  <c r="AM44" i="14" s="1"/>
  <c r="AO14" i="4"/>
  <c r="AO18" i="4" s="1"/>
  <c r="AN50" i="4"/>
  <c r="AN72" i="4"/>
  <c r="AN77" i="4" s="1"/>
  <c r="AT99" i="12"/>
  <c r="AY41" i="14"/>
  <c r="AZ41" i="14" s="1"/>
  <c r="BN160" i="12"/>
  <c r="BN28" i="12"/>
  <c r="BA41" i="14" l="1"/>
  <c r="BG97" i="12"/>
  <c r="AQ43" i="14"/>
  <c r="BJ96" i="12"/>
  <c r="AN79" i="4"/>
  <c r="AN80" i="4"/>
  <c r="BA163" i="12"/>
  <c r="BA98" i="12" s="1"/>
  <c r="BA31" i="12"/>
  <c r="BJ161" i="12"/>
  <c r="BJ29" i="12"/>
  <c r="AI17" i="15"/>
  <c r="AO20" i="4"/>
  <c r="AO147" i="4"/>
  <c r="AO60" i="4"/>
  <c r="AO74" i="4"/>
  <c r="AQ165" i="12"/>
  <c r="AQ100" i="12" s="1"/>
  <c r="AQ33" i="12"/>
  <c r="AU164" i="12"/>
  <c r="BG40" i="14"/>
  <c r="BO160" i="12"/>
  <c r="BO28" i="12"/>
  <c r="BG162" i="12"/>
  <c r="BG30" i="12"/>
  <c r="BO38" i="14"/>
  <c r="BI39" i="14"/>
  <c r="BJ39" i="14" s="1"/>
  <c r="BO95" i="12"/>
  <c r="AO21" i="4" l="1"/>
  <c r="AO23" i="4"/>
  <c r="BP95" i="12"/>
  <c r="AU42" i="14"/>
  <c r="AU32" i="12"/>
  <c r="AM101" i="12"/>
  <c r="AI21" i="15"/>
  <c r="AU99" i="12"/>
  <c r="BK161" i="12"/>
  <c r="BK39" i="14" s="1"/>
  <c r="BK29" i="12"/>
  <c r="AR43" i="14"/>
  <c r="AR165" i="12"/>
  <c r="AR100" i="12" s="1"/>
  <c r="AR33" i="12"/>
  <c r="BH162" i="12"/>
  <c r="BH40" i="14" s="1"/>
  <c r="BH30" i="12"/>
  <c r="BB163" i="12"/>
  <c r="BB41" i="14" s="1"/>
  <c r="BB31" i="12"/>
  <c r="BP160" i="12"/>
  <c r="BP38" i="14" s="1"/>
  <c r="BP28" i="12"/>
  <c r="AN167" i="4"/>
  <c r="AN141" i="4"/>
  <c r="AN142" i="4"/>
  <c r="BQ38" i="14" l="1"/>
  <c r="BC163" i="12"/>
  <c r="BC41" i="14" s="1"/>
  <c r="BC31" i="12"/>
  <c r="AS43" i="14"/>
  <c r="AN149" i="4"/>
  <c r="AN170" i="4" s="1"/>
  <c r="AN172" i="4" s="1"/>
  <c r="AN179" i="4" s="1"/>
  <c r="BQ95" i="12"/>
  <c r="BI162" i="12"/>
  <c r="BI40" i="14" s="1"/>
  <c r="BI30" i="12"/>
  <c r="BK96" i="12"/>
  <c r="AO25" i="4"/>
  <c r="AO26" i="4" s="1"/>
  <c r="AO24" i="4"/>
  <c r="BH97" i="12"/>
  <c r="AV99" i="12"/>
  <c r="AO49" i="4"/>
  <c r="BQ160" i="12"/>
  <c r="BQ28" i="12"/>
  <c r="AS165" i="12"/>
  <c r="AS100" i="12" s="1"/>
  <c r="AS33" i="12"/>
  <c r="AI22" i="15"/>
  <c r="AM34" i="12"/>
  <c r="BB98" i="12"/>
  <c r="AV164" i="12"/>
  <c r="AV42" i="14" s="1"/>
  <c r="AV32" i="12"/>
  <c r="AW42" i="14" l="1"/>
  <c r="BL96" i="12"/>
  <c r="AO50" i="4"/>
  <c r="AO72" i="4"/>
  <c r="AO77" i="4" s="1"/>
  <c r="AN166" i="12"/>
  <c r="AN34" i="12"/>
  <c r="AM65" i="12"/>
  <c r="AW99" i="12"/>
  <c r="AI23" i="15"/>
  <c r="AO40" i="4"/>
  <c r="AO43" i="4" s="1"/>
  <c r="AI34" i="15"/>
  <c r="BI97" i="12"/>
  <c r="BR95" i="12"/>
  <c r="AT165" i="12"/>
  <c r="AT100" i="12" s="1"/>
  <c r="AT33" i="12"/>
  <c r="BR38" i="14"/>
  <c r="AW164" i="12"/>
  <c r="AW32" i="12"/>
  <c r="BL161" i="12"/>
  <c r="BR160" i="12"/>
  <c r="BR28" i="12"/>
  <c r="BC98" i="12"/>
  <c r="AU165" i="12" l="1"/>
  <c r="AU100" i="12" s="1"/>
  <c r="AU33" i="12"/>
  <c r="AT43" i="14"/>
  <c r="BS160" i="12"/>
  <c r="BS38" i="14" s="1"/>
  <c r="BS28" i="12"/>
  <c r="BS95" i="12"/>
  <c r="AN196" i="12"/>
  <c r="AN44" i="14"/>
  <c r="AN101" i="12"/>
  <c r="BL29" i="12"/>
  <c r="BL39" i="14"/>
  <c r="AI36" i="15"/>
  <c r="AI35" i="15"/>
  <c r="AI42" i="15" s="1"/>
  <c r="AI40" i="15"/>
  <c r="BD163" i="12"/>
  <c r="AX164" i="12"/>
  <c r="AX42" i="14" s="1"/>
  <c r="AX32" i="12"/>
  <c r="AO54" i="4"/>
  <c r="AI47" i="15"/>
  <c r="AI48" i="15"/>
  <c r="AO33" i="4"/>
  <c r="BJ162" i="12"/>
  <c r="AJ31" i="15" l="1"/>
  <c r="AP42" i="4" s="1"/>
  <c r="AN64" i="12"/>
  <c r="AJ27" i="15" s="1"/>
  <c r="AV165" i="12"/>
  <c r="AV100" i="12" s="1"/>
  <c r="AV33" i="12"/>
  <c r="AO57" i="4"/>
  <c r="AO34" i="4"/>
  <c r="AO67" i="4"/>
  <c r="AO55" i="4"/>
  <c r="AO63" i="4"/>
  <c r="AO65" i="4"/>
  <c r="AO66" i="4"/>
  <c r="AO68" i="4"/>
  <c r="AO64" i="4"/>
  <c r="AO61" i="4"/>
  <c r="AO69" i="4" s="1"/>
  <c r="AO62" i="4"/>
  <c r="AO56" i="4"/>
  <c r="AY164" i="12"/>
  <c r="AY42" i="14" s="1"/>
  <c r="AY32" i="12"/>
  <c r="BM39" i="14"/>
  <c r="BT160" i="12"/>
  <c r="BT95" i="12" s="1"/>
  <c r="BT28" i="12"/>
  <c r="BJ40" i="14"/>
  <c r="BJ30" i="12"/>
  <c r="BM161" i="12"/>
  <c r="BM96" i="12" s="1"/>
  <c r="BM29" i="12"/>
  <c r="BD41" i="14"/>
  <c r="BD31" i="12"/>
  <c r="BJ97" i="12"/>
  <c r="AU43" i="14"/>
  <c r="AV43" i="14" s="1"/>
  <c r="AX99" i="12"/>
  <c r="AI43" i="15"/>
  <c r="AI46" i="15"/>
  <c r="AI29" i="15"/>
  <c r="AN131" i="12"/>
  <c r="AJ26" i="15" s="1"/>
  <c r="AP19" i="4" s="1"/>
  <c r="AO166" i="12"/>
  <c r="AO34" i="12" s="1"/>
  <c r="AI37" i="15"/>
  <c r="AI41" i="15" s="1"/>
  <c r="AI44" i="15" s="1"/>
  <c r="AN74" i="14"/>
  <c r="AN4" i="14" s="1"/>
  <c r="BD98" i="12"/>
  <c r="BU160" i="12" l="1"/>
  <c r="BU95" i="12" s="1"/>
  <c r="BU28" i="12"/>
  <c r="AO79" i="4"/>
  <c r="AO80" i="4"/>
  <c r="BE163" i="12"/>
  <c r="BE98" i="12" s="1"/>
  <c r="BE31" i="12"/>
  <c r="BN39" i="14"/>
  <c r="AW165" i="12"/>
  <c r="AW100" i="12" s="1"/>
  <c r="AW33" i="12"/>
  <c r="AO101" i="12"/>
  <c r="BN161" i="12"/>
  <c r="BN96" i="12" s="1"/>
  <c r="BN29" i="12"/>
  <c r="AJ28" i="15"/>
  <c r="AP41" i="4"/>
  <c r="AN6" i="14"/>
  <c r="AP15" i="4" s="1"/>
  <c r="AP22" i="4" s="1"/>
  <c r="AN5" i="14"/>
  <c r="BK162" i="12"/>
  <c r="BK40" i="14" s="1"/>
  <c r="BK30" i="12"/>
  <c r="AO44" i="14"/>
  <c r="AY99" i="12"/>
  <c r="BO96" i="12" l="1"/>
  <c r="AZ99" i="12"/>
  <c r="AX165" i="12"/>
  <c r="AX100" i="12" s="1"/>
  <c r="AX33" i="12"/>
  <c r="AO141" i="4"/>
  <c r="AO167" i="4"/>
  <c r="AO142" i="4"/>
  <c r="BL162" i="12"/>
  <c r="BL40" i="14" s="1"/>
  <c r="BL30" i="12"/>
  <c r="BO161" i="12"/>
  <c r="BO29" i="12"/>
  <c r="BO39" i="14"/>
  <c r="BF163" i="12"/>
  <c r="BF98" i="12" s="1"/>
  <c r="BF31" i="12"/>
  <c r="AN3" i="14"/>
  <c r="AN45" i="14" s="1"/>
  <c r="AP14" i="4"/>
  <c r="AP18" i="4" s="1"/>
  <c r="AW43" i="14"/>
  <c r="AX43" i="14" s="1"/>
  <c r="AZ164" i="12"/>
  <c r="BK97" i="12"/>
  <c r="BE41" i="14"/>
  <c r="AP166" i="12"/>
  <c r="AP34" i="12" s="1"/>
  <c r="BM162" i="12" l="1"/>
  <c r="BM40" i="14" s="1"/>
  <c r="BM30" i="12"/>
  <c r="AJ17" i="15"/>
  <c r="AP20" i="4"/>
  <c r="AP147" i="4"/>
  <c r="AP74" i="4"/>
  <c r="AP60" i="4"/>
  <c r="AY165" i="12"/>
  <c r="AY100" i="12" s="1"/>
  <c r="AY33" i="12"/>
  <c r="AQ166" i="12"/>
  <c r="AQ34" i="12" s="1"/>
  <c r="BG163" i="12"/>
  <c r="BG98" i="12" s="1"/>
  <c r="BG31" i="12"/>
  <c r="AP101" i="12"/>
  <c r="AP44" i="14"/>
  <c r="BF41" i="14"/>
  <c r="BG41" i="14" s="1"/>
  <c r="BP39" i="14"/>
  <c r="BL97" i="12"/>
  <c r="BP161" i="12"/>
  <c r="BP96" i="12" s="1"/>
  <c r="BP29" i="12"/>
  <c r="AZ42" i="14"/>
  <c r="AZ32" i="12"/>
  <c r="AO149" i="4"/>
  <c r="AO170" i="4" s="1"/>
  <c r="AO172" i="4" s="1"/>
  <c r="AO179" i="4" s="1"/>
  <c r="BH98" i="12" l="1"/>
  <c r="AR166" i="12"/>
  <c r="AR34" i="12"/>
  <c r="BQ39" i="14"/>
  <c r="AP23" i="4"/>
  <c r="AP21" i="4"/>
  <c r="BA164" i="12"/>
  <c r="BA99" i="12" s="1"/>
  <c r="BA32" i="12"/>
  <c r="BH41" i="14"/>
  <c r="AN102" i="12"/>
  <c r="AJ21" i="15"/>
  <c r="BA42" i="14"/>
  <c r="AQ44" i="14"/>
  <c r="AQ101" i="12"/>
  <c r="AZ165" i="12"/>
  <c r="AZ100" i="12" s="1"/>
  <c r="AZ33" i="12"/>
  <c r="BQ161" i="12"/>
  <c r="BQ96" i="12" s="1"/>
  <c r="BQ29" i="12"/>
  <c r="AY43" i="14"/>
  <c r="BH163" i="12"/>
  <c r="BH31" i="12"/>
  <c r="BM97" i="12"/>
  <c r="BR161" i="12" l="1"/>
  <c r="BR96" i="12" s="1"/>
  <c r="BR29" i="12"/>
  <c r="BB42" i="14"/>
  <c r="BR39" i="14"/>
  <c r="AJ22" i="15"/>
  <c r="AN35" i="12"/>
  <c r="BA165" i="12"/>
  <c r="BA100" i="12" s="1"/>
  <c r="BA33" i="12"/>
  <c r="BI41" i="14"/>
  <c r="AR101" i="12"/>
  <c r="BB164" i="12"/>
  <c r="BB32" i="12"/>
  <c r="BI163" i="12"/>
  <c r="BI31" i="12"/>
  <c r="BB99" i="12"/>
  <c r="BI98" i="12"/>
  <c r="BN162" i="12"/>
  <c r="AP49" i="4"/>
  <c r="AZ43" i="14"/>
  <c r="BA43" i="14" s="1"/>
  <c r="AR44" i="14"/>
  <c r="AP24" i="4"/>
  <c r="AP25" i="4"/>
  <c r="AP26" i="4" s="1"/>
  <c r="AO167" i="12" l="1"/>
  <c r="AO35" i="12"/>
  <c r="AN65" i="12"/>
  <c r="BN30" i="12"/>
  <c r="BN40" i="14"/>
  <c r="BN97" i="12"/>
  <c r="BC99" i="12"/>
  <c r="BC42" i="14"/>
  <c r="BJ163" i="12"/>
  <c r="BJ98" i="12" s="1"/>
  <c r="BJ31" i="12"/>
  <c r="AS166" i="12"/>
  <c r="AS34" i="12" s="1"/>
  <c r="BS161" i="12"/>
  <c r="BS29" i="12" s="1"/>
  <c r="BC164" i="12"/>
  <c r="BC32" i="12"/>
  <c r="AP72" i="4"/>
  <c r="AP77" i="4" s="1"/>
  <c r="AP50" i="4"/>
  <c r="BJ41" i="14"/>
  <c r="AJ23" i="15"/>
  <c r="AP40" i="4"/>
  <c r="AP43" i="4" s="1"/>
  <c r="AJ34" i="15"/>
  <c r="BB165" i="12"/>
  <c r="BB100" i="12" s="1"/>
  <c r="BB33" i="12"/>
  <c r="BK98" i="12" l="1"/>
  <c r="AP54" i="4"/>
  <c r="BO40" i="14"/>
  <c r="AJ47" i="15"/>
  <c r="AP33" i="4"/>
  <c r="AT166" i="12"/>
  <c r="AT34" i="12"/>
  <c r="BO162" i="12"/>
  <c r="BO97" i="12" s="1"/>
  <c r="BO30" i="12"/>
  <c r="BC165" i="12"/>
  <c r="BC33" i="12" s="1"/>
  <c r="BK163" i="12"/>
  <c r="BK41" i="14" s="1"/>
  <c r="BK31" i="12"/>
  <c r="BB43" i="14"/>
  <c r="AO196" i="12"/>
  <c r="AO45" i="14"/>
  <c r="AO102" i="12"/>
  <c r="AS44" i="14"/>
  <c r="AT44" i="14" s="1"/>
  <c r="BD164" i="12"/>
  <c r="BD99" i="12" s="1"/>
  <c r="BD32" i="12"/>
  <c r="AS101" i="12"/>
  <c r="BS39" i="14"/>
  <c r="BS96" i="12"/>
  <c r="AJ35" i="15"/>
  <c r="AJ42" i="15" s="1"/>
  <c r="AJ40" i="15"/>
  <c r="AJ36" i="15"/>
  <c r="BE99" i="12" l="1"/>
  <c r="AJ43" i="15"/>
  <c r="AJ46" i="15"/>
  <c r="AJ29" i="15"/>
  <c r="BE164" i="12"/>
  <c r="BE32" i="12"/>
  <c r="BC43" i="14"/>
  <c r="BP162" i="12"/>
  <c r="BP97" i="12" s="1"/>
  <c r="BP30" i="12"/>
  <c r="AP34" i="4"/>
  <c r="AP67" i="4"/>
  <c r="AP63" i="4"/>
  <c r="AP55" i="4"/>
  <c r="AP57" i="4"/>
  <c r="AP66" i="4"/>
  <c r="AP62" i="4"/>
  <c r="AP61" i="4"/>
  <c r="AP64" i="4"/>
  <c r="AP68" i="4"/>
  <c r="AP65" i="4"/>
  <c r="AP56" i="4"/>
  <c r="AJ37" i="15"/>
  <c r="AJ41" i="15" s="1"/>
  <c r="AJ44" i="15" s="1"/>
  <c r="BT96" i="12"/>
  <c r="AP167" i="12"/>
  <c r="AP35" i="12" s="1"/>
  <c r="AU166" i="12"/>
  <c r="AU34" i="12" s="1"/>
  <c r="AO74" i="14"/>
  <c r="AO4" i="14" s="1"/>
  <c r="BL163" i="12"/>
  <c r="BL41" i="14" s="1"/>
  <c r="BL31" i="12"/>
  <c r="AK31" i="15"/>
  <c r="AQ42" i="4" s="1"/>
  <c r="AO64" i="12"/>
  <c r="AK27" i="15" s="1"/>
  <c r="BT161" i="12"/>
  <c r="BT29" i="12" s="1"/>
  <c r="AT101" i="12"/>
  <c r="BD42" i="14"/>
  <c r="BE42" i="14" s="1"/>
  <c r="AJ48" i="15"/>
  <c r="BC100" i="12"/>
  <c r="AQ41" i="4" l="1"/>
  <c r="AQ167" i="12"/>
  <c r="AQ35" i="12"/>
  <c r="AP102" i="12"/>
  <c r="AP69" i="4"/>
  <c r="BQ162" i="12"/>
  <c r="BQ97" i="12" s="1"/>
  <c r="BQ30" i="12"/>
  <c r="BD100" i="12"/>
  <c r="BU96" i="12"/>
  <c r="AO6" i="14"/>
  <c r="AQ15" i="4" s="1"/>
  <c r="AO5" i="14"/>
  <c r="AU44" i="14"/>
  <c r="BD165" i="12"/>
  <c r="BD33" i="12" s="1"/>
  <c r="BF42" i="14"/>
  <c r="AP45" i="14"/>
  <c r="AQ45" i="14" s="1"/>
  <c r="BP40" i="14"/>
  <c r="BQ40" i="14" s="1"/>
  <c r="AU101" i="12"/>
  <c r="BL98" i="12"/>
  <c r="BF164" i="12"/>
  <c r="BF99" i="12" s="1"/>
  <c r="BF32" i="12"/>
  <c r="BU161" i="12"/>
  <c r="BU29" i="12"/>
  <c r="BR40" i="14" l="1"/>
  <c r="BE100" i="12"/>
  <c r="BG42" i="14"/>
  <c r="BR162" i="12"/>
  <c r="BR97" i="12" s="1"/>
  <c r="BR30" i="12"/>
  <c r="BG164" i="12"/>
  <c r="BG99" i="12" s="1"/>
  <c r="BG32" i="12"/>
  <c r="BE165" i="12"/>
  <c r="BE33" i="12"/>
  <c r="BD43" i="14"/>
  <c r="BE43" i="14" s="1"/>
  <c r="AP80" i="4"/>
  <c r="AP79" i="4"/>
  <c r="AQ102" i="12"/>
  <c r="AO3" i="14"/>
  <c r="AO46" i="14" s="1"/>
  <c r="AQ14" i="4"/>
  <c r="AQ18" i="4" s="1"/>
  <c r="AV166" i="12"/>
  <c r="AV34" i="12" s="1"/>
  <c r="BM163" i="12"/>
  <c r="AP167" i="4" l="1"/>
  <c r="AP141" i="4"/>
  <c r="AP149" i="4" s="1"/>
  <c r="AP142" i="4"/>
  <c r="AK17" i="15"/>
  <c r="AQ74" i="4"/>
  <c r="AQ60" i="4"/>
  <c r="AQ147" i="4"/>
  <c r="BF43" i="14"/>
  <c r="BF165" i="12"/>
  <c r="BF100" i="12" s="1"/>
  <c r="BF33" i="12"/>
  <c r="AV101" i="12"/>
  <c r="AR102" i="12"/>
  <c r="BH164" i="12"/>
  <c r="BH32" i="12" s="1"/>
  <c r="AR167" i="12"/>
  <c r="AV44" i="14"/>
  <c r="BM41" i="14"/>
  <c r="BM31" i="12"/>
  <c r="BM98" i="12"/>
  <c r="BS162" i="12"/>
  <c r="BS30" i="12" s="1"/>
  <c r="BN98" i="12" l="1"/>
  <c r="AP170" i="4"/>
  <c r="AP172" i="4" s="1"/>
  <c r="AP179" i="4" s="1"/>
  <c r="BN163" i="12"/>
  <c r="BN31" i="12"/>
  <c r="AW101" i="12"/>
  <c r="BN41" i="14"/>
  <c r="BG165" i="12"/>
  <c r="BG100" i="12" s="1"/>
  <c r="BG33" i="12"/>
  <c r="BS40" i="14"/>
  <c r="AW166" i="12"/>
  <c r="AW34" i="12" s="1"/>
  <c r="AW44" i="14"/>
  <c r="AO103" i="12"/>
  <c r="AK21" i="15"/>
  <c r="BS97" i="12"/>
  <c r="AR35" i="12"/>
  <c r="AR45" i="14"/>
  <c r="BH42" i="14"/>
  <c r="BH99" i="12"/>
  <c r="BH165" i="12" l="1"/>
  <c r="BH100" i="12" s="1"/>
  <c r="BH33" i="12"/>
  <c r="AS167" i="12"/>
  <c r="AS102" i="12" s="1"/>
  <c r="AS35" i="12"/>
  <c r="BO98" i="12"/>
  <c r="BT97" i="12"/>
  <c r="BG43" i="14"/>
  <c r="AK22" i="15"/>
  <c r="AO36" i="12"/>
  <c r="AO131" i="12"/>
  <c r="AK26" i="15" s="1"/>
  <c r="AX101" i="12"/>
  <c r="BO163" i="12"/>
  <c r="BO41" i="14" s="1"/>
  <c r="BO31" i="12"/>
  <c r="BT162" i="12"/>
  <c r="BT30" i="12" s="1"/>
  <c r="BI99" i="12"/>
  <c r="AX166" i="12"/>
  <c r="AX44" i="14" s="1"/>
  <c r="AX34" i="12"/>
  <c r="BI42" i="14"/>
  <c r="BI164" i="12"/>
  <c r="BI32" i="12" s="1"/>
  <c r="BP41" i="14" l="1"/>
  <c r="AY166" i="12"/>
  <c r="AY101" i="12" s="1"/>
  <c r="AY34" i="12"/>
  <c r="AT167" i="12"/>
  <c r="AT35" i="12" s="1"/>
  <c r="BU162" i="12"/>
  <c r="BU97" i="12" s="1"/>
  <c r="BU30" i="12"/>
  <c r="BI165" i="12"/>
  <c r="BI100" i="12" s="1"/>
  <c r="BI33" i="12"/>
  <c r="BH43" i="14"/>
  <c r="BI43" i="14" s="1"/>
  <c r="AS45" i="14"/>
  <c r="AT45" i="14" s="1"/>
  <c r="BP98" i="12"/>
  <c r="AQ19" i="4"/>
  <c r="AK28" i="15"/>
  <c r="AP168" i="12"/>
  <c r="AP36" i="12"/>
  <c r="AO65" i="12"/>
  <c r="BP163" i="12"/>
  <c r="BP31" i="12"/>
  <c r="AK23" i="15"/>
  <c r="AQ40" i="4"/>
  <c r="AQ43" i="4" s="1"/>
  <c r="AK34" i="15"/>
  <c r="BJ164" i="12"/>
  <c r="BJ99" i="12" s="1"/>
  <c r="BJ32" i="12"/>
  <c r="BK164" i="12" l="1"/>
  <c r="BK99" i="12" s="1"/>
  <c r="BK32" i="12"/>
  <c r="AQ168" i="12"/>
  <c r="AQ36" i="12" s="1"/>
  <c r="AP196" i="12"/>
  <c r="AP46" i="14"/>
  <c r="AP103" i="12"/>
  <c r="AZ166" i="12"/>
  <c r="AZ101" i="12" s="1"/>
  <c r="AZ34" i="12"/>
  <c r="AK36" i="15"/>
  <c r="AK40" i="15"/>
  <c r="AK43" i="15" s="1"/>
  <c r="AK35" i="15"/>
  <c r="AK42" i="15" s="1"/>
  <c r="AT102" i="12"/>
  <c r="BJ165" i="12"/>
  <c r="BJ100" i="12" s="1"/>
  <c r="BJ33" i="12"/>
  <c r="AQ54" i="4"/>
  <c r="AK46" i="15"/>
  <c r="AK29" i="15"/>
  <c r="BJ42" i="14"/>
  <c r="AK47" i="15"/>
  <c r="AK48" i="15"/>
  <c r="AQ33" i="4"/>
  <c r="AQ22" i="4"/>
  <c r="AQ20" i="4"/>
  <c r="BQ163" i="12"/>
  <c r="BQ31" i="12"/>
  <c r="BQ98" i="12"/>
  <c r="BQ41" i="14"/>
  <c r="AY44" i="14"/>
  <c r="AZ44" i="14" s="1"/>
  <c r="AR168" i="12" l="1"/>
  <c r="AR36" i="12"/>
  <c r="BL99" i="12"/>
  <c r="BK165" i="12"/>
  <c r="BK100" i="12" s="1"/>
  <c r="BK33" i="12"/>
  <c r="BA166" i="12"/>
  <c r="BA101" i="12" s="1"/>
  <c r="BL164" i="12"/>
  <c r="BL32" i="12"/>
  <c r="BR41" i="14"/>
  <c r="AU102" i="12"/>
  <c r="BJ43" i="14"/>
  <c r="BK43" i="14" s="1"/>
  <c r="BR98" i="12"/>
  <c r="BK42" i="14"/>
  <c r="AQ103" i="12"/>
  <c r="AP131" i="12"/>
  <c r="AL26" i="15" s="1"/>
  <c r="AR19" i="4" s="1"/>
  <c r="BR163" i="12"/>
  <c r="BR31" i="12"/>
  <c r="AK37" i="15"/>
  <c r="AK41" i="15" s="1"/>
  <c r="AK44" i="15" s="1"/>
  <c r="AQ46" i="14"/>
  <c r="AR46" i="14" s="1"/>
  <c r="AP74" i="14"/>
  <c r="AP4" i="14" s="1"/>
  <c r="AL31" i="15"/>
  <c r="AR42" i="4" s="1"/>
  <c r="AP64" i="12"/>
  <c r="AL27" i="15" s="1"/>
  <c r="AU167" i="12"/>
  <c r="AQ21" i="4"/>
  <c r="AQ23" i="4"/>
  <c r="AQ55" i="4"/>
  <c r="AQ57" i="4" s="1"/>
  <c r="AQ62" i="4"/>
  <c r="AQ66" i="4"/>
  <c r="AQ64" i="4"/>
  <c r="AQ63" i="4"/>
  <c r="AQ68" i="4"/>
  <c r="AQ61" i="4"/>
  <c r="AQ65" i="4"/>
  <c r="AQ67" i="4"/>
  <c r="AQ56" i="4"/>
  <c r="AP6" i="14" l="1"/>
  <c r="AR15" i="4" s="1"/>
  <c r="AR22" i="4" s="1"/>
  <c r="AP5" i="14"/>
  <c r="BL165" i="12"/>
  <c r="BL33" i="12" s="1"/>
  <c r="AQ69" i="4"/>
  <c r="AQ25" i="4"/>
  <c r="AQ24" i="4"/>
  <c r="BS163" i="12"/>
  <c r="BS41" i="14" s="1"/>
  <c r="BS31" i="12"/>
  <c r="AQ49" i="4"/>
  <c r="BM164" i="12"/>
  <c r="BM99" i="12" s="1"/>
  <c r="BM32" i="12"/>
  <c r="AS168" i="12"/>
  <c r="AS46" i="14" s="1"/>
  <c r="AS36" i="12"/>
  <c r="AU45" i="14"/>
  <c r="AU35" i="12"/>
  <c r="AL28" i="15"/>
  <c r="AR41" i="4"/>
  <c r="AR103" i="12"/>
  <c r="BA44" i="14"/>
  <c r="BL42" i="14"/>
  <c r="BM42" i="14" s="1"/>
  <c r="BA34" i="12"/>
  <c r="BB166" i="12" l="1"/>
  <c r="BB101" i="12" s="1"/>
  <c r="BB34" i="12"/>
  <c r="AT168" i="12"/>
  <c r="AT36" i="12" s="1"/>
  <c r="BL43" i="14"/>
  <c r="BB44" i="14"/>
  <c r="BN164" i="12"/>
  <c r="BN42" i="14" s="1"/>
  <c r="BN32" i="12"/>
  <c r="AS103" i="12"/>
  <c r="BS98" i="12"/>
  <c r="AQ50" i="4"/>
  <c r="AQ72" i="4"/>
  <c r="AQ77" i="4" s="1"/>
  <c r="AQ26" i="4"/>
  <c r="AQ34" i="4"/>
  <c r="AP3" i="14"/>
  <c r="AP47" i="14" s="1"/>
  <c r="AR14" i="4"/>
  <c r="AR18" i="4" s="1"/>
  <c r="AV167" i="12"/>
  <c r="AV102" i="12" s="1"/>
  <c r="AV35" i="12"/>
  <c r="BL100" i="12"/>
  <c r="AV45" i="14"/>
  <c r="AL17" i="15" l="1"/>
  <c r="AR20" i="4"/>
  <c r="AR60" i="4"/>
  <c r="AR74" i="4"/>
  <c r="AR147" i="4"/>
  <c r="BO164" i="12"/>
  <c r="BO42" i="14" s="1"/>
  <c r="BC166" i="12"/>
  <c r="BC34" i="12"/>
  <c r="AW45" i="14"/>
  <c r="BC44" i="14"/>
  <c r="BC101" i="12"/>
  <c r="BN99" i="12"/>
  <c r="BO99" i="12" s="1"/>
  <c r="AW167" i="12"/>
  <c r="AW35" i="12"/>
  <c r="AQ79" i="4"/>
  <c r="AQ80" i="4"/>
  <c r="AW102" i="12"/>
  <c r="BM165" i="12"/>
  <c r="BM33" i="12" s="1"/>
  <c r="BT163" i="12"/>
  <c r="BT31" i="12" s="1"/>
  <c r="AT46" i="14"/>
  <c r="AT103" i="12"/>
  <c r="AU168" i="12" s="1"/>
  <c r="AU36" i="12" s="1"/>
  <c r="AX167" i="12" l="1"/>
  <c r="AX45" i="14" s="1"/>
  <c r="AX35" i="12"/>
  <c r="AR21" i="4"/>
  <c r="AR23" i="4"/>
  <c r="AP104" i="12"/>
  <c r="AL21" i="15"/>
  <c r="BD44" i="14"/>
  <c r="AU46" i="14"/>
  <c r="BU163" i="12"/>
  <c r="BU31" i="12" s="1"/>
  <c r="BT98" i="12"/>
  <c r="BM43" i="14"/>
  <c r="BO32" i="12"/>
  <c r="BD101" i="12"/>
  <c r="AQ167" i="4"/>
  <c r="AQ141" i="4"/>
  <c r="AQ149" i="4" s="1"/>
  <c r="AQ142" i="4"/>
  <c r="AU103" i="12"/>
  <c r="BD166" i="12"/>
  <c r="BD34" i="12"/>
  <c r="BM100" i="12"/>
  <c r="AR49" i="4" l="1"/>
  <c r="AQ170" i="4"/>
  <c r="AQ172" i="4" s="1"/>
  <c r="AQ179" i="4" s="1"/>
  <c r="BE44" i="14"/>
  <c r="BN165" i="12"/>
  <c r="BN33" i="12" s="1"/>
  <c r="AX102" i="12"/>
  <c r="BP164" i="12"/>
  <c r="BP32" i="12"/>
  <c r="BU98" i="12"/>
  <c r="AV168" i="12"/>
  <c r="AV36" i="12" s="1"/>
  <c r="AY167" i="12"/>
  <c r="AY35" i="12" s="1"/>
  <c r="BE166" i="12"/>
  <c r="BE101" i="12" s="1"/>
  <c r="BE34" i="12"/>
  <c r="AL22" i="15"/>
  <c r="AP37" i="12"/>
  <c r="AR25" i="4"/>
  <c r="AR26" i="4" s="1"/>
  <c r="AR24" i="4"/>
  <c r="BF101" i="12" l="1"/>
  <c r="AY102" i="12"/>
  <c r="AY45" i="14"/>
  <c r="AQ169" i="12"/>
  <c r="AQ37" i="12"/>
  <c r="AP65" i="12"/>
  <c r="AW168" i="12"/>
  <c r="AW36" i="12" s="1"/>
  <c r="AL23" i="15"/>
  <c r="AR40" i="4"/>
  <c r="AR43" i="4" s="1"/>
  <c r="AL34" i="15"/>
  <c r="BF44" i="14"/>
  <c r="BN43" i="14"/>
  <c r="BF166" i="12"/>
  <c r="BF34" i="12"/>
  <c r="AV46" i="14"/>
  <c r="AV103" i="12"/>
  <c r="BN100" i="12"/>
  <c r="BQ164" i="12"/>
  <c r="BQ32" i="12"/>
  <c r="AR72" i="4"/>
  <c r="AR77" i="4" s="1"/>
  <c r="AR50" i="4"/>
  <c r="BP42" i="14"/>
  <c r="BP99" i="12"/>
  <c r="BR164" i="12" l="1"/>
  <c r="BR32" i="12"/>
  <c r="BG44" i="14"/>
  <c r="AL37" i="15"/>
  <c r="AL41" i="15" s="1"/>
  <c r="AL44" i="15" s="1"/>
  <c r="AL35" i="15"/>
  <c r="AL42" i="15" s="1"/>
  <c r="AL40" i="15"/>
  <c r="AL36" i="15"/>
  <c r="AR169" i="12"/>
  <c r="AR37" i="12"/>
  <c r="AR54" i="4"/>
  <c r="AQ196" i="12"/>
  <c r="AQ47" i="14"/>
  <c r="AQ104" i="12"/>
  <c r="AW103" i="12"/>
  <c r="AL47" i="15"/>
  <c r="AL48" i="15"/>
  <c r="AR33" i="4"/>
  <c r="BQ99" i="12"/>
  <c r="AW46" i="14"/>
  <c r="AZ102" i="12"/>
  <c r="BQ42" i="14"/>
  <c r="BR42" i="14" s="1"/>
  <c r="BG166" i="12"/>
  <c r="BG101" i="12" s="1"/>
  <c r="BG34" i="12"/>
  <c r="BO165" i="12"/>
  <c r="BO33" i="12" s="1"/>
  <c r="AZ167" i="12"/>
  <c r="AZ35" i="12" s="1"/>
  <c r="BH166" i="12" l="1"/>
  <c r="BH101" i="12" s="1"/>
  <c r="BO100" i="12"/>
  <c r="BS164" i="12"/>
  <c r="BS42" i="14" s="1"/>
  <c r="BS32" i="12"/>
  <c r="AX46" i="14"/>
  <c r="BR99" i="12"/>
  <c r="AL43" i="15"/>
  <c r="AL46" i="15"/>
  <c r="AL29" i="15"/>
  <c r="BP165" i="12"/>
  <c r="BP33" i="12" s="1"/>
  <c r="AR34" i="4"/>
  <c r="AR55" i="4"/>
  <c r="AR67" i="4"/>
  <c r="AR63" i="4"/>
  <c r="AR64" i="4"/>
  <c r="AR62" i="4"/>
  <c r="AR65" i="4"/>
  <c r="AR61" i="4"/>
  <c r="AR66" i="4"/>
  <c r="AR68" i="4"/>
  <c r="AR56" i="4"/>
  <c r="AR57" i="4" s="1"/>
  <c r="BH44" i="14"/>
  <c r="AR104" i="12"/>
  <c r="AQ131" i="12"/>
  <c r="AM26" i="15" s="1"/>
  <c r="AS19" i="4" s="1"/>
  <c r="AR47" i="14"/>
  <c r="AQ74" i="14"/>
  <c r="AQ4" i="14" s="1"/>
  <c r="BO43" i="14"/>
  <c r="AM31" i="15"/>
  <c r="AS42" i="4" s="1"/>
  <c r="AQ64" i="12"/>
  <c r="AM27" i="15" s="1"/>
  <c r="BA167" i="12"/>
  <c r="BA102" i="12" s="1"/>
  <c r="BA35" i="12"/>
  <c r="AZ45" i="14"/>
  <c r="BA45" i="14" s="1"/>
  <c r="AX168" i="12"/>
  <c r="AX36" i="12" s="1"/>
  <c r="BT164" i="12" l="1"/>
  <c r="BT32" i="12"/>
  <c r="AY168" i="12"/>
  <c r="AY46" i="14" s="1"/>
  <c r="AY36" i="12"/>
  <c r="BB167" i="12"/>
  <c r="BB102" i="12" s="1"/>
  <c r="BB35" i="12"/>
  <c r="AX103" i="12"/>
  <c r="AS104" i="12"/>
  <c r="AM28" i="15"/>
  <c r="AS41" i="4"/>
  <c r="AS169" i="12"/>
  <c r="AS37" i="12" s="1"/>
  <c r="BP43" i="14"/>
  <c r="BS99" i="12"/>
  <c r="BP100" i="12"/>
  <c r="BH34" i="12"/>
  <c r="AS47" i="14"/>
  <c r="AR69" i="4"/>
  <c r="AQ6" i="14"/>
  <c r="AS15" i="4" s="1"/>
  <c r="AS22" i="4" s="1"/>
  <c r="AQ5" i="14"/>
  <c r="AR80" i="4" l="1"/>
  <c r="AR79" i="4"/>
  <c r="AT47" i="14"/>
  <c r="BI166" i="12"/>
  <c r="BU164" i="12"/>
  <c r="BU32" i="12"/>
  <c r="AY103" i="12"/>
  <c r="BT99" i="12"/>
  <c r="BC167" i="12"/>
  <c r="BC102" i="12" s="1"/>
  <c r="BC35" i="12"/>
  <c r="AQ3" i="14"/>
  <c r="AQ48" i="14" s="1"/>
  <c r="AS14" i="4"/>
  <c r="AS18" i="4" s="1"/>
  <c r="BQ165" i="12"/>
  <c r="BQ33" i="12" s="1"/>
  <c r="AT169" i="12"/>
  <c r="AT37" i="12" s="1"/>
  <c r="BB45" i="14"/>
  <c r="BC45" i="14" s="1"/>
  <c r="AZ103" i="12" l="1"/>
  <c r="BI101" i="12"/>
  <c r="BI44" i="14"/>
  <c r="BQ43" i="14"/>
  <c r="BQ100" i="12"/>
  <c r="AT104" i="12"/>
  <c r="AM17" i="15"/>
  <c r="AS20" i="4"/>
  <c r="AS74" i="4"/>
  <c r="AS60" i="4"/>
  <c r="AS147" i="4"/>
  <c r="AZ168" i="12"/>
  <c r="BD167" i="12"/>
  <c r="BD45" i="14" s="1"/>
  <c r="BD35" i="12"/>
  <c r="AR167" i="4"/>
  <c r="AR170" i="4" s="1"/>
  <c r="AR172" i="4"/>
  <c r="AR179" i="4" s="1"/>
  <c r="AR142" i="4"/>
  <c r="AR141" i="4"/>
  <c r="AR149" i="4" s="1"/>
  <c r="BU99" i="12"/>
  <c r="BI34" i="12"/>
  <c r="BE45" i="14" l="1"/>
  <c r="AS21" i="4"/>
  <c r="AS23" i="4"/>
  <c r="BE167" i="12"/>
  <c r="BE35" i="12"/>
  <c r="AQ105" i="12"/>
  <c r="AM21" i="15"/>
  <c r="BJ44" i="14"/>
  <c r="BJ166" i="12"/>
  <c r="BJ101" i="12" s="1"/>
  <c r="BJ34" i="12"/>
  <c r="BR100" i="12"/>
  <c r="AZ46" i="14"/>
  <c r="AZ36" i="12"/>
  <c r="BD102" i="12"/>
  <c r="BR165" i="12"/>
  <c r="BR33" i="12" s="1"/>
  <c r="AU169" i="12"/>
  <c r="BA168" i="12" l="1"/>
  <c r="BA103" i="12" s="1"/>
  <c r="BA36" i="12"/>
  <c r="BF45" i="14"/>
  <c r="BA46" i="14"/>
  <c r="AM22" i="15"/>
  <c r="AQ38" i="12"/>
  <c r="BF167" i="12"/>
  <c r="BF35" i="12"/>
  <c r="AU37" i="12"/>
  <c r="AU47" i="14"/>
  <c r="BK166" i="12"/>
  <c r="BK101" i="12" s="1"/>
  <c r="AS25" i="4"/>
  <c r="AS24" i="4"/>
  <c r="BS165" i="12"/>
  <c r="BS100" i="12" s="1"/>
  <c r="BS33" i="12"/>
  <c r="AS49" i="4"/>
  <c r="BE102" i="12"/>
  <c r="AU104" i="12"/>
  <c r="BR43" i="14"/>
  <c r="AV169" i="12" l="1"/>
  <c r="AV47" i="14" s="1"/>
  <c r="AV37" i="12"/>
  <c r="AR170" i="12"/>
  <c r="AR38" i="12"/>
  <c r="AQ65" i="12"/>
  <c r="AS50" i="4"/>
  <c r="AS72" i="4"/>
  <c r="AS77" i="4" s="1"/>
  <c r="AM23" i="15"/>
  <c r="AS40" i="4"/>
  <c r="AS43" i="4" s="1"/>
  <c r="AM34" i="15"/>
  <c r="BT165" i="12"/>
  <c r="BT100" i="12" s="1"/>
  <c r="BT33" i="12"/>
  <c r="BB46" i="14"/>
  <c r="BK44" i="14"/>
  <c r="BS43" i="14"/>
  <c r="BB168" i="12"/>
  <c r="BB103" i="12" s="1"/>
  <c r="BB36" i="12"/>
  <c r="AV104" i="12"/>
  <c r="H8" i="3"/>
  <c r="AS26" i="4"/>
  <c r="BF102" i="12"/>
  <c r="BK34" i="12"/>
  <c r="BU100" i="12" l="1"/>
  <c r="BC168" i="12"/>
  <c r="BC103" i="12" s="1"/>
  <c r="BC36" i="12"/>
  <c r="BU165" i="12"/>
  <c r="BU33" i="12"/>
  <c r="AR196" i="12"/>
  <c r="AR48" i="14"/>
  <c r="AR105" i="12"/>
  <c r="BL166" i="12"/>
  <c r="BL101" i="12" s="1"/>
  <c r="AM40" i="15"/>
  <c r="AM36" i="15"/>
  <c r="AM35" i="15"/>
  <c r="AM42" i="15" s="1"/>
  <c r="AW169" i="12"/>
  <c r="AW47" i="14" s="1"/>
  <c r="AW37" i="12"/>
  <c r="AS54" i="4"/>
  <c r="AM48" i="15"/>
  <c r="AM47" i="15"/>
  <c r="AS33" i="4"/>
  <c r="J16" i="2"/>
  <c r="BG167" i="12"/>
  <c r="BD168" i="12" l="1"/>
  <c r="BD103" i="12" s="1"/>
  <c r="BD36" i="12"/>
  <c r="AS105" i="12"/>
  <c r="AR131" i="12"/>
  <c r="AN26" i="15" s="1"/>
  <c r="AR74" i="14"/>
  <c r="AR4" i="14" s="1"/>
  <c r="BC46" i="14"/>
  <c r="AM37" i="15"/>
  <c r="AM41" i="15" s="1"/>
  <c r="AN31" i="15"/>
  <c r="AR64" i="12"/>
  <c r="AN27" i="15" s="1"/>
  <c r="AW104" i="12"/>
  <c r="BG35" i="12"/>
  <c r="BG45" i="14"/>
  <c r="AS34" i="4"/>
  <c r="AS55" i="4"/>
  <c r="AS67" i="4"/>
  <c r="AS64" i="4"/>
  <c r="AS66" i="4"/>
  <c r="AS63" i="4"/>
  <c r="AS65" i="4"/>
  <c r="AS61" i="4"/>
  <c r="AS62" i="4"/>
  <c r="AS68" i="4"/>
  <c r="AS56" i="4"/>
  <c r="AS57" i="4" s="1"/>
  <c r="AS170" i="12"/>
  <c r="AS38" i="12" s="1"/>
  <c r="BL44" i="14"/>
  <c r="AM43" i="15"/>
  <c r="J20" i="2"/>
  <c r="J29" i="2" s="1"/>
  <c r="AM46" i="15"/>
  <c r="AM29" i="15"/>
  <c r="BG102" i="12"/>
  <c r="BL34" i="12"/>
  <c r="AT170" i="12" l="1"/>
  <c r="AT105" i="12" s="1"/>
  <c r="AT38" i="12"/>
  <c r="AN28" i="15"/>
  <c r="AT41" i="4"/>
  <c r="BE168" i="12"/>
  <c r="BE103" i="12" s="1"/>
  <c r="BE36" i="12"/>
  <c r="BM166" i="12"/>
  <c r="BM101" i="12" s="1"/>
  <c r="BM34" i="12"/>
  <c r="AT42" i="4"/>
  <c r="BH102" i="12"/>
  <c r="AM44" i="15"/>
  <c r="J21" i="2"/>
  <c r="BD46" i="14"/>
  <c r="BE46" i="14" s="1"/>
  <c r="AS69" i="4"/>
  <c r="AR6" i="14"/>
  <c r="AT15" i="4" s="1"/>
  <c r="AR5" i="14"/>
  <c r="AX169" i="12"/>
  <c r="BH45" i="14"/>
  <c r="AS48" i="14"/>
  <c r="BH167" i="12"/>
  <c r="BH35" i="12"/>
  <c r="AT19" i="4"/>
  <c r="AX47" i="14" l="1"/>
  <c r="AX37" i="12"/>
  <c r="AR3" i="14"/>
  <c r="AR49" i="14" s="1"/>
  <c r="AT14" i="4"/>
  <c r="AU170" i="12"/>
  <c r="AU105" i="12" s="1"/>
  <c r="AU38" i="12"/>
  <c r="AT22" i="4"/>
  <c r="BN166" i="12"/>
  <c r="BN34" i="12"/>
  <c r="AS80" i="4"/>
  <c r="AS79" i="4"/>
  <c r="BN101" i="12"/>
  <c r="BI167" i="12"/>
  <c r="BI35" i="12" s="1"/>
  <c r="BF168" i="12"/>
  <c r="BF103" i="12" s="1"/>
  <c r="BF36" i="12"/>
  <c r="AX104" i="12"/>
  <c r="BM44" i="14"/>
  <c r="BN44" i="14" s="1"/>
  <c r="AT48" i="14"/>
  <c r="AU48" i="14" s="1"/>
  <c r="BG103" i="12" l="1"/>
  <c r="BO101" i="12"/>
  <c r="AV170" i="12"/>
  <c r="AV105" i="12" s="1"/>
  <c r="AV38" i="12"/>
  <c r="BO44" i="14"/>
  <c r="AS167" i="4"/>
  <c r="AS141" i="4"/>
  <c r="AS142" i="4"/>
  <c r="AT18" i="4"/>
  <c r="BI102" i="12"/>
  <c r="BG168" i="12"/>
  <c r="BG36" i="12"/>
  <c r="BO166" i="12"/>
  <c r="BO34" i="12"/>
  <c r="BI45" i="14"/>
  <c r="BF46" i="14"/>
  <c r="BG46" i="14" s="1"/>
  <c r="AY169" i="12"/>
  <c r="AY104" i="12" s="1"/>
  <c r="AW170" i="12" l="1"/>
  <c r="AW105" i="12" s="1"/>
  <c r="AW38" i="12"/>
  <c r="BJ45" i="14"/>
  <c r="AN17" i="15"/>
  <c r="AT20" i="4"/>
  <c r="AT74" i="4"/>
  <c r="AT147" i="4"/>
  <c r="AT60" i="4"/>
  <c r="BP166" i="12"/>
  <c r="BP34" i="12" s="1"/>
  <c r="AS149" i="4"/>
  <c r="AV48" i="14"/>
  <c r="AS170" i="4"/>
  <c r="AS172" i="4" s="1"/>
  <c r="AS179" i="4" s="1"/>
  <c r="AY47" i="14"/>
  <c r="BH168" i="12"/>
  <c r="BH103" i="12" s="1"/>
  <c r="BH36" i="12"/>
  <c r="AY37" i="12"/>
  <c r="BJ167" i="12"/>
  <c r="BJ35" i="12" s="1"/>
  <c r="AX105" i="12" l="1"/>
  <c r="BI103" i="12"/>
  <c r="AZ169" i="12"/>
  <c r="AZ104" i="12" s="1"/>
  <c r="AZ37" i="12"/>
  <c r="BP101" i="12"/>
  <c r="AX170" i="12"/>
  <c r="AX38" i="12"/>
  <c r="BH46" i="14"/>
  <c r="BP44" i="14"/>
  <c r="AW48" i="14"/>
  <c r="AX48" i="14" s="1"/>
  <c r="BJ102" i="12"/>
  <c r="AT23" i="4"/>
  <c r="AT21" i="4"/>
  <c r="BI168" i="12"/>
  <c r="BI36" i="12"/>
  <c r="BK167" i="12"/>
  <c r="BK45" i="14" s="1"/>
  <c r="BK35" i="12"/>
  <c r="AR106" i="12"/>
  <c r="AN21" i="15"/>
  <c r="AY170" i="12" l="1"/>
  <c r="AY38" i="12"/>
  <c r="AY48" i="14"/>
  <c r="BJ168" i="12"/>
  <c r="BJ103" i="12" s="1"/>
  <c r="BJ36" i="12"/>
  <c r="BQ44" i="14"/>
  <c r="BQ101" i="12"/>
  <c r="AT49" i="4"/>
  <c r="BI46" i="14"/>
  <c r="BA169" i="12"/>
  <c r="BA37" i="12"/>
  <c r="AN22" i="15"/>
  <c r="AR39" i="12"/>
  <c r="AT25" i="4"/>
  <c r="AT24" i="4"/>
  <c r="BA104" i="12"/>
  <c r="BK102" i="12"/>
  <c r="AZ47" i="14"/>
  <c r="BQ166" i="12"/>
  <c r="BQ34" i="12" s="1"/>
  <c r="BL167" i="12"/>
  <c r="BL45" i="14" s="1"/>
  <c r="BL35" i="12"/>
  <c r="AY105" i="12"/>
  <c r="BK103" i="12" l="1"/>
  <c r="BR44" i="14"/>
  <c r="BB169" i="12"/>
  <c r="BB104" i="12" s="1"/>
  <c r="BB37" i="12"/>
  <c r="BM167" i="12"/>
  <c r="BM45" i="14" s="1"/>
  <c r="BL102" i="12"/>
  <c r="AN23" i="15"/>
  <c r="AT40" i="4"/>
  <c r="AN34" i="15"/>
  <c r="BR101" i="12"/>
  <c r="AZ105" i="12"/>
  <c r="BK168" i="12"/>
  <c r="BK36" i="12"/>
  <c r="BJ46" i="14"/>
  <c r="BK46" i="14" s="1"/>
  <c r="AZ170" i="12"/>
  <c r="AZ48" i="14" s="1"/>
  <c r="AZ38" i="12"/>
  <c r="BR166" i="12"/>
  <c r="BR34" i="12"/>
  <c r="AT26" i="4"/>
  <c r="AT50" i="4"/>
  <c r="AT72" i="4"/>
  <c r="BA47" i="14"/>
  <c r="BB47" i="14" s="1"/>
  <c r="AS171" i="12"/>
  <c r="AR65" i="12"/>
  <c r="AS196" i="12" l="1"/>
  <c r="AS49" i="14"/>
  <c r="AS106" i="12"/>
  <c r="BA170" i="12"/>
  <c r="BA48" i="14" s="1"/>
  <c r="BA38" i="12"/>
  <c r="BC47" i="14"/>
  <c r="BC169" i="12"/>
  <c r="BC104" i="12" s="1"/>
  <c r="BC37" i="12"/>
  <c r="AN40" i="15"/>
  <c r="AN36" i="15"/>
  <c r="AN35" i="15"/>
  <c r="AN37" i="15" s="1"/>
  <c r="AT43" i="4"/>
  <c r="AN48" i="15"/>
  <c r="AN47" i="15"/>
  <c r="AT33" i="4"/>
  <c r="BS166" i="12"/>
  <c r="BS101" i="12" s="1"/>
  <c r="BS34" i="12"/>
  <c r="BM102" i="12"/>
  <c r="AS39" i="12"/>
  <c r="BM35" i="12"/>
  <c r="AT77" i="4"/>
  <c r="BS44" i="14"/>
  <c r="BL168" i="12"/>
  <c r="BL46" i="14" s="1"/>
  <c r="BL36" i="12"/>
  <c r="AN41" i="15" l="1"/>
  <c r="BN167" i="12"/>
  <c r="BN45" i="14" s="1"/>
  <c r="AT171" i="12"/>
  <c r="AT106" i="12" s="1"/>
  <c r="AT39" i="12"/>
  <c r="AN43" i="15"/>
  <c r="AN46" i="15"/>
  <c r="AN29" i="15"/>
  <c r="AT49" i="14"/>
  <c r="AS74" i="14"/>
  <c r="AS4" i="14" s="1"/>
  <c r="AO31" i="15"/>
  <c r="AS64" i="12"/>
  <c r="AO27" i="15" s="1"/>
  <c r="BB170" i="12"/>
  <c r="BB48" i="14" s="1"/>
  <c r="BB38" i="12"/>
  <c r="BL103" i="12"/>
  <c r="BT166" i="12"/>
  <c r="BT101" i="12" s="1"/>
  <c r="AT54" i="4"/>
  <c r="BD169" i="12"/>
  <c r="BD104" i="12" s="1"/>
  <c r="BD37" i="12"/>
  <c r="BA105" i="12"/>
  <c r="AN42" i="15"/>
  <c r="BN102" i="12" l="1"/>
  <c r="BM168" i="12"/>
  <c r="BB105" i="12"/>
  <c r="AU41" i="4"/>
  <c r="AU171" i="12"/>
  <c r="AU106" i="12" s="1"/>
  <c r="AU39" i="12"/>
  <c r="BD47" i="14"/>
  <c r="AU42" i="4"/>
  <c r="AT55" i="4"/>
  <c r="AT34" i="4"/>
  <c r="AT63" i="4"/>
  <c r="AT64" i="4"/>
  <c r="AT62" i="4"/>
  <c r="AT65" i="4"/>
  <c r="AT61" i="4"/>
  <c r="AT66" i="4"/>
  <c r="AT68" i="4"/>
  <c r="AT67" i="4"/>
  <c r="AT56" i="4"/>
  <c r="AS6" i="14"/>
  <c r="AU15" i="4" s="1"/>
  <c r="AS5" i="14"/>
  <c r="BE169" i="12"/>
  <c r="BE104" i="12" s="1"/>
  <c r="BE37" i="12"/>
  <c r="AN44" i="15"/>
  <c r="BT34" i="12"/>
  <c r="AU49" i="14"/>
  <c r="BN35" i="12"/>
  <c r="AV106" i="12" l="1"/>
  <c r="AV49" i="14"/>
  <c r="BM36" i="12"/>
  <c r="BM46" i="14"/>
  <c r="BO102" i="12"/>
  <c r="AV171" i="12"/>
  <c r="AV39" i="12"/>
  <c r="AT57" i="4"/>
  <c r="BU166" i="12"/>
  <c r="BU101" i="12" s="1"/>
  <c r="BU34" i="12"/>
  <c r="BM103" i="12"/>
  <c r="BF169" i="12"/>
  <c r="BF104" i="12" s="1"/>
  <c r="AT69" i="4"/>
  <c r="AS3" i="14"/>
  <c r="AS50" i="14" s="1"/>
  <c r="AU14" i="4"/>
  <c r="BO167" i="12"/>
  <c r="BO45" i="14" s="1"/>
  <c r="BO35" i="12"/>
  <c r="BE47" i="14"/>
  <c r="BF47" i="14" s="1"/>
  <c r="BC170" i="12"/>
  <c r="BC105" i="12" s="1"/>
  <c r="BN103" i="12" l="1"/>
  <c r="AW171" i="12"/>
  <c r="AW49" i="14" s="1"/>
  <c r="AW39" i="12"/>
  <c r="AT80" i="4"/>
  <c r="AT79" i="4"/>
  <c r="BP167" i="12"/>
  <c r="BP102" i="12" s="1"/>
  <c r="BP35" i="12"/>
  <c r="BP45" i="14"/>
  <c r="BF37" i="12"/>
  <c r="BN46" i="14"/>
  <c r="BC38" i="12"/>
  <c r="BC48" i="14"/>
  <c r="BN168" i="12"/>
  <c r="BN36" i="12"/>
  <c r="AU18" i="4"/>
  <c r="AW106" i="12"/>
  <c r="BQ102" i="12" l="1"/>
  <c r="BD170" i="12"/>
  <c r="BD105" i="12" s="1"/>
  <c r="BD38" i="12"/>
  <c r="BO46" i="14"/>
  <c r="AX171" i="12"/>
  <c r="AX49" i="14" s="1"/>
  <c r="AX39" i="12"/>
  <c r="BG169" i="12"/>
  <c r="BG37" i="12" s="1"/>
  <c r="AO17" i="15"/>
  <c r="AU60" i="4"/>
  <c r="AU74" i="4"/>
  <c r="AU147" i="4"/>
  <c r="BQ45" i="14"/>
  <c r="BQ167" i="12"/>
  <c r="BQ35" i="12"/>
  <c r="BO168" i="12"/>
  <c r="BO103" i="12" s="1"/>
  <c r="BO36" i="12"/>
  <c r="AT167" i="4"/>
  <c r="AT142" i="4"/>
  <c r="AT141" i="4"/>
  <c r="BD48" i="14"/>
  <c r="AT170" i="4" l="1"/>
  <c r="AT172" i="4" s="1"/>
  <c r="AT179" i="4" s="1"/>
  <c r="BP168" i="12"/>
  <c r="BP103" i="12" s="1"/>
  <c r="BP36" i="12"/>
  <c r="BP46" i="14"/>
  <c r="AX106" i="12"/>
  <c r="BR167" i="12"/>
  <c r="BR35" i="12"/>
  <c r="BE170" i="12"/>
  <c r="BE105" i="12" s="1"/>
  <c r="BE38" i="12"/>
  <c r="BE48" i="14"/>
  <c r="AS107" i="12"/>
  <c r="AO21" i="15"/>
  <c r="AT149" i="4"/>
  <c r="BR45" i="14"/>
  <c r="BG104" i="12"/>
  <c r="BG47" i="14"/>
  <c r="BR102" i="12"/>
  <c r="AY106" i="12" l="1"/>
  <c r="BH47" i="14"/>
  <c r="AO22" i="15"/>
  <c r="AS40" i="12"/>
  <c r="AY171" i="12"/>
  <c r="AS131" i="12"/>
  <c r="AO26" i="15" s="1"/>
  <c r="BS45" i="14"/>
  <c r="BQ46" i="14"/>
  <c r="BF170" i="12"/>
  <c r="BF105" i="12" s="1"/>
  <c r="BQ168" i="12"/>
  <c r="BQ103" i="12" s="1"/>
  <c r="BQ36" i="12"/>
  <c r="BS167" i="12"/>
  <c r="BS102" i="12" s="1"/>
  <c r="BS35" i="12"/>
  <c r="BH169" i="12"/>
  <c r="BH37" i="12" s="1"/>
  <c r="BR46" i="14" l="1"/>
  <c r="AT172" i="12"/>
  <c r="AT40" i="12"/>
  <c r="AS65" i="12"/>
  <c r="BF48" i="14"/>
  <c r="AO23" i="15"/>
  <c r="AU40" i="4"/>
  <c r="AO34" i="15"/>
  <c r="BT167" i="12"/>
  <c r="BT102" i="12" s="1"/>
  <c r="BR168" i="12"/>
  <c r="BR103" i="12" s="1"/>
  <c r="BR36" i="12"/>
  <c r="BH104" i="12"/>
  <c r="AU19" i="4"/>
  <c r="AO28" i="15"/>
  <c r="BF38" i="12"/>
  <c r="AY49" i="14"/>
  <c r="AY39" i="12"/>
  <c r="AO29" i="15" l="1"/>
  <c r="AU172" i="12"/>
  <c r="AU40" i="12"/>
  <c r="AT196" i="12"/>
  <c r="AT50" i="14"/>
  <c r="AT107" i="12"/>
  <c r="AU43" i="4"/>
  <c r="BS168" i="12"/>
  <c r="BS103" i="12" s="1"/>
  <c r="BS36" i="12"/>
  <c r="AO47" i="15"/>
  <c r="AU33" i="4"/>
  <c r="AZ171" i="12"/>
  <c r="AZ106" i="12" s="1"/>
  <c r="AZ39" i="12"/>
  <c r="BG48" i="14"/>
  <c r="AO40" i="15"/>
  <c r="AO46" i="15" s="1"/>
  <c r="AO36" i="15"/>
  <c r="AO35" i="15"/>
  <c r="AO37" i="15"/>
  <c r="AU22" i="4"/>
  <c r="AU20" i="4"/>
  <c r="BG170" i="12"/>
  <c r="BG105" i="12" s="1"/>
  <c r="BG38" i="12"/>
  <c r="BT35" i="12"/>
  <c r="BI169" i="12"/>
  <c r="AP31" i="15" l="1"/>
  <c r="AT64" i="12"/>
  <c r="AP27" i="15" s="1"/>
  <c r="BI37" i="12"/>
  <c r="BI47" i="14"/>
  <c r="BA171" i="12"/>
  <c r="BA106" i="12" s="1"/>
  <c r="BU167" i="12"/>
  <c r="BU102" i="12" s="1"/>
  <c r="BU35" i="12"/>
  <c r="BS46" i="14"/>
  <c r="BH170" i="12"/>
  <c r="BH48" i="14" s="1"/>
  <c r="BH38" i="12"/>
  <c r="BH105" i="12"/>
  <c r="AO42" i="15"/>
  <c r="AZ49" i="14"/>
  <c r="BA49" i="14" s="1"/>
  <c r="BI104" i="12"/>
  <c r="AU21" i="4"/>
  <c r="AU23" i="4"/>
  <c r="AU107" i="12"/>
  <c r="BT168" i="12"/>
  <c r="BT103" i="12" s="1"/>
  <c r="BT36" i="12"/>
  <c r="AV172" i="12"/>
  <c r="AV40" i="12" s="1"/>
  <c r="AO41" i="15"/>
  <c r="AU54" i="4"/>
  <c r="AO43" i="15"/>
  <c r="AO48" i="15"/>
  <c r="AU50" i="14"/>
  <c r="AT74" i="14"/>
  <c r="AT4" i="14" s="1"/>
  <c r="BU103" i="12" l="1"/>
  <c r="AO44" i="15"/>
  <c r="AU24" i="4"/>
  <c r="AU25" i="4"/>
  <c r="AU34" i="4" s="1"/>
  <c r="BA39" i="12"/>
  <c r="BI105" i="12"/>
  <c r="BU168" i="12"/>
  <c r="BU36" i="12"/>
  <c r="AU49" i="4"/>
  <c r="BI170" i="12"/>
  <c r="BI48" i="14" s="1"/>
  <c r="BI38" i="12"/>
  <c r="BJ169" i="12"/>
  <c r="BJ47" i="14" s="1"/>
  <c r="AV41" i="4"/>
  <c r="AU55" i="4"/>
  <c r="AU68" i="4"/>
  <c r="AU65" i="4"/>
  <c r="AU61" i="4"/>
  <c r="AU64" i="4"/>
  <c r="AU67" i="4"/>
  <c r="AU62" i="4"/>
  <c r="AU63" i="4"/>
  <c r="AU66" i="4"/>
  <c r="AU56" i="4"/>
  <c r="AV42" i="4"/>
  <c r="AT6" i="14"/>
  <c r="AV15" i="4" s="1"/>
  <c r="AT5" i="14"/>
  <c r="AV107" i="12"/>
  <c r="AV50" i="14"/>
  <c r="BJ104" i="12" l="1"/>
  <c r="AW107" i="12"/>
  <c r="BJ170" i="12"/>
  <c r="BJ48" i="14" s="1"/>
  <c r="BJ38" i="12"/>
  <c r="AT3" i="14"/>
  <c r="AT51" i="14" s="1"/>
  <c r="AV14" i="4"/>
  <c r="BB171" i="12"/>
  <c r="BB39" i="12"/>
  <c r="AU50" i="4"/>
  <c r="AU72" i="4"/>
  <c r="AU26" i="4"/>
  <c r="AU57" i="4"/>
  <c r="AU69" i="4"/>
  <c r="BJ37" i="12"/>
  <c r="AW172" i="12"/>
  <c r="AW40" i="12" s="1"/>
  <c r="AU77" i="4" l="1"/>
  <c r="BJ105" i="12"/>
  <c r="AX107" i="12"/>
  <c r="BB106" i="12"/>
  <c r="BB49" i="14"/>
  <c r="AW50" i="14"/>
  <c r="AX50" i="14" s="1"/>
  <c r="AV18" i="4"/>
  <c r="BK169" i="12"/>
  <c r="BK47" i="14" s="1"/>
  <c r="AX172" i="12"/>
  <c r="AX40" i="12"/>
  <c r="AP17" i="15" l="1"/>
  <c r="AV60" i="4"/>
  <c r="AV74" i="4"/>
  <c r="AV147" i="4"/>
  <c r="BC49" i="14"/>
  <c r="AY172" i="12"/>
  <c r="AY107" i="12" s="1"/>
  <c r="BC106" i="12"/>
  <c r="BK170" i="12"/>
  <c r="BK105" i="12" s="1"/>
  <c r="BK37" i="12"/>
  <c r="BC171" i="12"/>
  <c r="BC39" i="12" s="1"/>
  <c r="AU79" i="4"/>
  <c r="AU80" i="4"/>
  <c r="BK104" i="12"/>
  <c r="BL169" i="12" l="1"/>
  <c r="BL47" i="14" s="1"/>
  <c r="BL37" i="12"/>
  <c r="BD49" i="14"/>
  <c r="AT108" i="12"/>
  <c r="AP21" i="15"/>
  <c r="BD171" i="12"/>
  <c r="BD39" i="12"/>
  <c r="BD106" i="12"/>
  <c r="BK48" i="14"/>
  <c r="BK38" i="12"/>
  <c r="BL104" i="12"/>
  <c r="AY40" i="12"/>
  <c r="AU167" i="4"/>
  <c r="AU141" i="4"/>
  <c r="AU142" i="4"/>
  <c r="AY50" i="14"/>
  <c r="AZ172" i="12" l="1"/>
  <c r="AZ107" i="12" s="1"/>
  <c r="AZ40" i="12"/>
  <c r="AP22" i="15"/>
  <c r="AT41" i="12"/>
  <c r="AZ50" i="14"/>
  <c r="BM104" i="12"/>
  <c r="AT131" i="12"/>
  <c r="AP26" i="15" s="1"/>
  <c r="BL170" i="12"/>
  <c r="BL105" i="12" s="1"/>
  <c r="BL38" i="12"/>
  <c r="AU149" i="4"/>
  <c r="AU170" i="4" s="1"/>
  <c r="AU172" i="4" s="1"/>
  <c r="AU179" i="4" s="1"/>
  <c r="BM169" i="12"/>
  <c r="BM37" i="12"/>
  <c r="BM47" i="14"/>
  <c r="BE171" i="12"/>
  <c r="BE39" i="12" s="1"/>
  <c r="BE49" i="14" l="1"/>
  <c r="BA50" i="14"/>
  <c r="BM170" i="12"/>
  <c r="BM105" i="12" s="1"/>
  <c r="BM38" i="12"/>
  <c r="BE106" i="12"/>
  <c r="AU173" i="12"/>
  <c r="AU41" i="12"/>
  <c r="AT65" i="12"/>
  <c r="BN169" i="12"/>
  <c r="BN104" i="12" s="1"/>
  <c r="BN37" i="12"/>
  <c r="AP23" i="15"/>
  <c r="AV40" i="4"/>
  <c r="AP34" i="15"/>
  <c r="BA172" i="12"/>
  <c r="BA107" i="12" s="1"/>
  <c r="BA40" i="12"/>
  <c r="BL48" i="14"/>
  <c r="AV19" i="4"/>
  <c r="AP28" i="15"/>
  <c r="BO104" i="12" l="1"/>
  <c r="AP47" i="15"/>
  <c r="AV33" i="4"/>
  <c r="BO169" i="12"/>
  <c r="BO37" i="12"/>
  <c r="BN170" i="12"/>
  <c r="BN105" i="12" s="1"/>
  <c r="BN38" i="12"/>
  <c r="AV22" i="4"/>
  <c r="AV20" i="4"/>
  <c r="BM48" i="14"/>
  <c r="BN48" i="14" s="1"/>
  <c r="BN47" i="14"/>
  <c r="BO47" i="14" s="1"/>
  <c r="BB172" i="12"/>
  <c r="BB107" i="12" s="1"/>
  <c r="BB40" i="12"/>
  <c r="BB50" i="14"/>
  <c r="AV173" i="12"/>
  <c r="AV41" i="12"/>
  <c r="AP40" i="15"/>
  <c r="AP35" i="15"/>
  <c r="AP36" i="15"/>
  <c r="AU196" i="12"/>
  <c r="AU51" i="14"/>
  <c r="AU108" i="12"/>
  <c r="AV43" i="4"/>
  <c r="BF171" i="12"/>
  <c r="BF39" i="12" s="1"/>
  <c r="BO48" i="14" l="1"/>
  <c r="AW173" i="12"/>
  <c r="AW41" i="12"/>
  <c r="AV51" i="14"/>
  <c r="AW51" i="14" s="1"/>
  <c r="AU74" i="14"/>
  <c r="AU4" i="14" s="1"/>
  <c r="AP43" i="15"/>
  <c r="BF106" i="12"/>
  <c r="AQ31" i="15"/>
  <c r="AU64" i="12"/>
  <c r="AQ27" i="15" s="1"/>
  <c r="BF49" i="14"/>
  <c r="AV23" i="4"/>
  <c r="AV21" i="4"/>
  <c r="AV54" i="4"/>
  <c r="AP48" i="15"/>
  <c r="BO170" i="12"/>
  <c r="BO105" i="12" s="1"/>
  <c r="BO38" i="12"/>
  <c r="AP29" i="15"/>
  <c r="BC172" i="12"/>
  <c r="BC107" i="12" s="1"/>
  <c r="BC40" i="12"/>
  <c r="BP104" i="12"/>
  <c r="AP46" i="15"/>
  <c r="AP37" i="15"/>
  <c r="BP169" i="12"/>
  <c r="BP47" i="14" s="1"/>
  <c r="BP37" i="12"/>
  <c r="AV108" i="12"/>
  <c r="AU131" i="12"/>
  <c r="AQ26" i="15" s="1"/>
  <c r="AP42" i="15"/>
  <c r="AX173" i="12" l="1"/>
  <c r="AX51" i="14" s="1"/>
  <c r="AX41" i="12"/>
  <c r="BD172" i="12"/>
  <c r="BD107" i="12" s="1"/>
  <c r="BD40" i="12"/>
  <c r="AQ28" i="15"/>
  <c r="AW41" i="4"/>
  <c r="AW19" i="4"/>
  <c r="AW42" i="4"/>
  <c r="AW108" i="12"/>
  <c r="BQ169" i="12"/>
  <c r="BQ47" i="14" s="1"/>
  <c r="BQ37" i="12"/>
  <c r="BP170" i="12"/>
  <c r="BP105" i="12" s="1"/>
  <c r="AV55" i="4"/>
  <c r="AV57" i="4" s="1"/>
  <c r="AV68" i="4"/>
  <c r="AV67" i="4"/>
  <c r="AV64" i="4"/>
  <c r="AV63" i="4"/>
  <c r="AV62" i="4"/>
  <c r="AV65" i="4"/>
  <c r="AV61" i="4"/>
  <c r="AV66" i="4"/>
  <c r="AV56" i="4"/>
  <c r="BG171" i="12"/>
  <c r="BG39" i="12" s="1"/>
  <c r="AV49" i="4"/>
  <c r="AP41" i="15"/>
  <c r="BC50" i="14"/>
  <c r="BD50" i="14" s="1"/>
  <c r="AV24" i="4"/>
  <c r="AV25" i="4"/>
  <c r="AU6" i="14"/>
  <c r="AW15" i="4" s="1"/>
  <c r="AU5" i="14"/>
  <c r="AV26" i="4" l="1"/>
  <c r="AV50" i="4"/>
  <c r="AV72" i="4"/>
  <c r="BP38" i="12"/>
  <c r="BQ104" i="12"/>
  <c r="BG106" i="12"/>
  <c r="AY173" i="12"/>
  <c r="AY51" i="14" s="1"/>
  <c r="AY41" i="12"/>
  <c r="BE50" i="14"/>
  <c r="AX108" i="12"/>
  <c r="AU3" i="14"/>
  <c r="AU52" i="14" s="1"/>
  <c r="AW14" i="4"/>
  <c r="AP44" i="15"/>
  <c r="AV69" i="4"/>
  <c r="BP48" i="14"/>
  <c r="BE172" i="12"/>
  <c r="BE107" i="12" s="1"/>
  <c r="BE40" i="12"/>
  <c r="BH171" i="12"/>
  <c r="BH39" i="12"/>
  <c r="BG49" i="14"/>
  <c r="BH49" i="14" s="1"/>
  <c r="AW22" i="4"/>
  <c r="AV34" i="4"/>
  <c r="BF107" i="12" l="1"/>
  <c r="AZ51" i="14"/>
  <c r="AV77" i="4"/>
  <c r="AZ173" i="12"/>
  <c r="AZ41" i="12"/>
  <c r="AW18" i="4"/>
  <c r="BF172" i="12"/>
  <c r="BF50" i="14" s="1"/>
  <c r="BF40" i="12"/>
  <c r="BH106" i="12"/>
  <c r="BR104" i="12"/>
  <c r="BQ48" i="14"/>
  <c r="BR169" i="12"/>
  <c r="AY108" i="12"/>
  <c r="BQ170" i="12"/>
  <c r="BQ105" i="12" s="1"/>
  <c r="BQ38" i="12"/>
  <c r="BG107" i="12" l="1"/>
  <c r="BI106" i="12"/>
  <c r="BI171" i="12"/>
  <c r="BR170" i="12"/>
  <c r="BR48" i="14" s="1"/>
  <c r="BR38" i="12"/>
  <c r="BG172" i="12"/>
  <c r="BG50" i="14" s="1"/>
  <c r="BG40" i="12"/>
  <c r="BR105" i="12"/>
  <c r="AV79" i="4"/>
  <c r="AV80" i="4"/>
  <c r="AZ108" i="12"/>
  <c r="BA173" i="12" s="1"/>
  <c r="BR37" i="12"/>
  <c r="BR47" i="14"/>
  <c r="AQ17" i="15"/>
  <c r="AW20" i="4"/>
  <c r="AW60" i="4"/>
  <c r="AW74" i="4"/>
  <c r="AW147" i="4"/>
  <c r="BA41" i="12" l="1"/>
  <c r="BA51" i="14"/>
  <c r="BS105" i="12"/>
  <c r="AU109" i="12"/>
  <c r="AQ21" i="15"/>
  <c r="BS170" i="12"/>
  <c r="BS48" i="14" s="1"/>
  <c r="BS38" i="12"/>
  <c r="BS169" i="12"/>
  <c r="BS104" i="12" s="1"/>
  <c r="BS37" i="12"/>
  <c r="AV167" i="4"/>
  <c r="AV141" i="4"/>
  <c r="AV142" i="4"/>
  <c r="AW21" i="4"/>
  <c r="AW23" i="4"/>
  <c r="BH172" i="12"/>
  <c r="BH40" i="12" s="1"/>
  <c r="BA108" i="12"/>
  <c r="BI49" i="14"/>
  <c r="BI39" i="12"/>
  <c r="AV149" i="4" l="1"/>
  <c r="BH50" i="14"/>
  <c r="AW25" i="4"/>
  <c r="AW24" i="4"/>
  <c r="AQ22" i="15"/>
  <c r="AU42" i="12"/>
  <c r="AV170" i="4"/>
  <c r="AV172" i="4" s="1"/>
  <c r="AV179" i="4" s="1"/>
  <c r="BT170" i="12"/>
  <c r="BT38" i="12"/>
  <c r="AW49" i="4"/>
  <c r="BT169" i="12"/>
  <c r="BT37" i="12" s="1"/>
  <c r="BJ171" i="12"/>
  <c r="BJ106" i="12" s="1"/>
  <c r="BJ39" i="12"/>
  <c r="BH107" i="12"/>
  <c r="BT105" i="12"/>
  <c r="BB173" i="12"/>
  <c r="BB108" i="12" s="1"/>
  <c r="BS47" i="14"/>
  <c r="BJ49" i="14"/>
  <c r="BT104" i="12" l="1"/>
  <c r="AW26" i="4"/>
  <c r="BB51" i="14"/>
  <c r="AW50" i="4"/>
  <c r="AW72" i="4"/>
  <c r="AV174" i="12"/>
  <c r="AV42" i="12"/>
  <c r="AU65" i="12"/>
  <c r="BK49" i="14"/>
  <c r="BK171" i="12"/>
  <c r="BK39" i="12"/>
  <c r="AQ23" i="15"/>
  <c r="AW40" i="4"/>
  <c r="AQ34" i="15"/>
  <c r="BK106" i="12"/>
  <c r="BU170" i="12"/>
  <c r="BU38" i="12" s="1"/>
  <c r="BB41" i="12"/>
  <c r="BI172" i="12"/>
  <c r="BI40" i="12" s="1"/>
  <c r="BL49" i="14" l="1"/>
  <c r="BI50" i="14"/>
  <c r="BU105" i="12"/>
  <c r="AV196" i="12"/>
  <c r="AV52" i="14"/>
  <c r="AV109" i="12"/>
  <c r="AQ36" i="15"/>
  <c r="AQ40" i="15"/>
  <c r="AQ35" i="15"/>
  <c r="AW77" i="4"/>
  <c r="AW43" i="4"/>
  <c r="BU104" i="12"/>
  <c r="BJ172" i="12"/>
  <c r="BJ40" i="12"/>
  <c r="AQ47" i="15"/>
  <c r="AQ48" i="15"/>
  <c r="AW33" i="4"/>
  <c r="BC173" i="12"/>
  <c r="BC108" i="12" s="1"/>
  <c r="BL171" i="12"/>
  <c r="BL106" i="12" s="1"/>
  <c r="BC51" i="14"/>
  <c r="BU169" i="12"/>
  <c r="BU37" i="12" s="1"/>
  <c r="BI107" i="12"/>
  <c r="AV131" i="12" l="1"/>
  <c r="AR26" i="15" s="1"/>
  <c r="BL39" i="12"/>
  <c r="BK172" i="12"/>
  <c r="BK40" i="12"/>
  <c r="AW174" i="12"/>
  <c r="AW42" i="12" s="1"/>
  <c r="AQ43" i="15"/>
  <c r="AQ46" i="15"/>
  <c r="AQ29" i="15"/>
  <c r="AV74" i="14"/>
  <c r="AV4" i="14" s="1"/>
  <c r="AR31" i="15"/>
  <c r="AV64" i="12"/>
  <c r="AR27" i="15" s="1"/>
  <c r="BC41" i="12"/>
  <c r="AQ42" i="15"/>
  <c r="AW54" i="4"/>
  <c r="AQ37" i="15"/>
  <c r="BJ107" i="12"/>
  <c r="BJ50" i="14"/>
  <c r="AQ41" i="15" l="1"/>
  <c r="AR28" i="15"/>
  <c r="AX41" i="4"/>
  <c r="AX42" i="4"/>
  <c r="AW55" i="4"/>
  <c r="AW57" i="4" s="1"/>
  <c r="AW34" i="4"/>
  <c r="AW61" i="4"/>
  <c r="AW66" i="4"/>
  <c r="AW67" i="4"/>
  <c r="AW63" i="4"/>
  <c r="AW68" i="4"/>
  <c r="AW64" i="4"/>
  <c r="AW62" i="4"/>
  <c r="AW65" i="4"/>
  <c r="AW56" i="4"/>
  <c r="AV6" i="14"/>
  <c r="AX15" i="4" s="1"/>
  <c r="AV5" i="14"/>
  <c r="AW52" i="14"/>
  <c r="BK50" i="14"/>
  <c r="BM171" i="12"/>
  <c r="BM39" i="12"/>
  <c r="AX19" i="4"/>
  <c r="AW109" i="12"/>
  <c r="BK107" i="12"/>
  <c r="BD173" i="12"/>
  <c r="BD41" i="12"/>
  <c r="AX22" i="4" l="1"/>
  <c r="BM49" i="14"/>
  <c r="BM106" i="12"/>
  <c r="AW69" i="4"/>
  <c r="BE173" i="12"/>
  <c r="BE41" i="12" s="1"/>
  <c r="BD51" i="14"/>
  <c r="BD108" i="12"/>
  <c r="BL172" i="12"/>
  <c r="BL40" i="12" s="1"/>
  <c r="AV3" i="14"/>
  <c r="AV53" i="14" s="1"/>
  <c r="AX14" i="4"/>
  <c r="AX18" i="4" s="1"/>
  <c r="AX174" i="12"/>
  <c r="AX42" i="12" s="1"/>
  <c r="AQ44" i="15"/>
  <c r="AY174" i="12" l="1"/>
  <c r="AY42" i="12"/>
  <c r="AX52" i="14"/>
  <c r="AY52" i="14" s="1"/>
  <c r="BN106" i="12"/>
  <c r="BE51" i="14"/>
  <c r="BL50" i="14"/>
  <c r="BN171" i="12"/>
  <c r="BN39" i="12" s="1"/>
  <c r="AW80" i="4"/>
  <c r="AW79" i="4"/>
  <c r="AR17" i="15"/>
  <c r="AX20" i="4"/>
  <c r="AX74" i="4"/>
  <c r="AX60" i="4"/>
  <c r="AX147" i="4"/>
  <c r="BE108" i="12"/>
  <c r="BN49" i="14"/>
  <c r="BM172" i="12"/>
  <c r="BM40" i="12"/>
  <c r="AX109" i="12"/>
  <c r="BL107" i="12"/>
  <c r="BO49" i="14" l="1"/>
  <c r="AW142" i="4"/>
  <c r="AW141" i="4"/>
  <c r="AW167" i="4"/>
  <c r="BF108" i="12"/>
  <c r="BM50" i="14"/>
  <c r="BF173" i="12"/>
  <c r="BF41" i="12" s="1"/>
  <c r="BM107" i="12"/>
  <c r="AY109" i="12"/>
  <c r="AX23" i="4"/>
  <c r="AX21" i="4"/>
  <c r="AV110" i="12"/>
  <c r="AR21" i="15"/>
  <c r="BO106" i="12"/>
  <c r="AZ174" i="12"/>
  <c r="AZ52" i="14" s="1"/>
  <c r="AZ42" i="12"/>
  <c r="BO171" i="12"/>
  <c r="BO39" i="12"/>
  <c r="AX49" i="4" l="1"/>
  <c r="BG108" i="12"/>
  <c r="AX25" i="4"/>
  <c r="AX26" i="4" s="1"/>
  <c r="AX24" i="4"/>
  <c r="BP106" i="12"/>
  <c r="AZ109" i="12"/>
  <c r="AW149" i="4"/>
  <c r="AW170" i="4" s="1"/>
  <c r="AW172" i="4" s="1"/>
  <c r="AW179" i="4" s="1"/>
  <c r="AR22" i="15"/>
  <c r="AV43" i="12"/>
  <c r="BG173" i="12"/>
  <c r="BG41" i="12"/>
  <c r="BF51" i="14"/>
  <c r="BP171" i="12"/>
  <c r="BP49" i="14" s="1"/>
  <c r="BP39" i="12"/>
  <c r="BN172" i="12"/>
  <c r="BN40" i="12" s="1"/>
  <c r="BN50" i="14"/>
  <c r="BH173" i="12" l="1"/>
  <c r="BH108" i="12" s="1"/>
  <c r="BH41" i="12"/>
  <c r="BA109" i="12"/>
  <c r="AX72" i="4"/>
  <c r="AX77" i="4" s="1"/>
  <c r="AX50" i="4"/>
  <c r="BQ171" i="12"/>
  <c r="BQ49" i="14" s="1"/>
  <c r="BQ39" i="12"/>
  <c r="AW175" i="12"/>
  <c r="AW43" i="12"/>
  <c r="AV65" i="12"/>
  <c r="BA174" i="12"/>
  <c r="AR23" i="15"/>
  <c r="AX40" i="4"/>
  <c r="AX43" i="4" s="1"/>
  <c r="AR34" i="15"/>
  <c r="BG51" i="14"/>
  <c r="BH51" i="14" s="1"/>
  <c r="BN107" i="12"/>
  <c r="AX175" i="12" l="1"/>
  <c r="AX43" i="12"/>
  <c r="BO172" i="12"/>
  <c r="AW196" i="12"/>
  <c r="AW53" i="14"/>
  <c r="AW110" i="12"/>
  <c r="AR35" i="15"/>
  <c r="AR40" i="15"/>
  <c r="AR36" i="15"/>
  <c r="BR171" i="12"/>
  <c r="BR49" i="14" s="1"/>
  <c r="BR39" i="12"/>
  <c r="BI173" i="12"/>
  <c r="BI51" i="14" s="1"/>
  <c r="BI41" i="12"/>
  <c r="AX54" i="4"/>
  <c r="AR47" i="15"/>
  <c r="AX33" i="4"/>
  <c r="BA52" i="14"/>
  <c r="BA42" i="12"/>
  <c r="BQ106" i="12"/>
  <c r="BS49" i="14" l="1"/>
  <c r="BO50" i="14"/>
  <c r="BO40" i="12"/>
  <c r="AR43" i="15"/>
  <c r="AR29" i="15"/>
  <c r="AR46" i="15"/>
  <c r="AR42" i="15"/>
  <c r="BS171" i="12"/>
  <c r="BS39" i="12"/>
  <c r="BO107" i="12"/>
  <c r="AR48" i="15"/>
  <c r="AX110" i="12"/>
  <c r="AW131" i="12"/>
  <c r="AS26" i="15" s="1"/>
  <c r="AY19" i="4" s="1"/>
  <c r="BI108" i="12"/>
  <c r="BR106" i="12"/>
  <c r="AX53" i="14"/>
  <c r="AW74" i="14"/>
  <c r="AW4" i="14" s="1"/>
  <c r="BB174" i="12"/>
  <c r="BB109" i="12" s="1"/>
  <c r="BB42" i="12"/>
  <c r="AS31" i="15"/>
  <c r="AY42" i="4" s="1"/>
  <c r="AW64" i="12"/>
  <c r="AS27" i="15" s="1"/>
  <c r="BB52" i="14"/>
  <c r="AX34" i="4"/>
  <c r="AX67" i="4"/>
  <c r="AX63" i="4"/>
  <c r="AX55" i="4"/>
  <c r="AX57" i="4" s="1"/>
  <c r="AX66" i="4"/>
  <c r="AX62" i="4"/>
  <c r="AX68" i="4"/>
  <c r="AX64" i="4"/>
  <c r="AX65" i="4"/>
  <c r="AX61" i="4"/>
  <c r="AX56" i="4"/>
  <c r="AR37" i="15"/>
  <c r="BJ173" i="12" l="1"/>
  <c r="AS28" i="15"/>
  <c r="AY41" i="4"/>
  <c r="BP172" i="12"/>
  <c r="BP50" i="14" s="1"/>
  <c r="BP40" i="12"/>
  <c r="AY110" i="12"/>
  <c r="AY175" i="12"/>
  <c r="AY43" i="12" s="1"/>
  <c r="AR41" i="15"/>
  <c r="BC174" i="12"/>
  <c r="BC52" i="14" s="1"/>
  <c r="BC42" i="12"/>
  <c r="BC109" i="12"/>
  <c r="BP107" i="12"/>
  <c r="AX69" i="4"/>
  <c r="AW6" i="14"/>
  <c r="AY15" i="4" s="1"/>
  <c r="AY22" i="4" s="1"/>
  <c r="AW5" i="14"/>
  <c r="AY53" i="14"/>
  <c r="BS106" i="12"/>
  <c r="BT171" i="12" s="1"/>
  <c r="BT39" i="12" s="1"/>
  <c r="BD52" i="14" l="1"/>
  <c r="AZ110" i="12"/>
  <c r="AZ53" i="14"/>
  <c r="AW3" i="14"/>
  <c r="AW54" i="14" s="1"/>
  <c r="AY14" i="4"/>
  <c r="AY18" i="4" s="1"/>
  <c r="AR44" i="15"/>
  <c r="BJ41" i="12"/>
  <c r="BJ51" i="14"/>
  <c r="BJ108" i="12"/>
  <c r="BQ107" i="12"/>
  <c r="BT106" i="12"/>
  <c r="BD109" i="12"/>
  <c r="BQ172" i="12"/>
  <c r="BQ50" i="14" s="1"/>
  <c r="BQ40" i="12"/>
  <c r="BD174" i="12"/>
  <c r="BD42" i="12"/>
  <c r="AX79" i="4"/>
  <c r="AX80" i="4"/>
  <c r="AZ175" i="12"/>
  <c r="AZ43" i="12"/>
  <c r="AX167" i="4" l="1"/>
  <c r="AX142" i="4"/>
  <c r="AX141" i="4"/>
  <c r="AX149" i="4" s="1"/>
  <c r="BE109" i="12"/>
  <c r="AS17" i="15"/>
  <c r="AY20" i="4"/>
  <c r="AY60" i="4"/>
  <c r="AY74" i="4"/>
  <c r="AY147" i="4"/>
  <c r="BR107" i="12"/>
  <c r="BA53" i="14"/>
  <c r="BA110" i="12"/>
  <c r="BE174" i="12"/>
  <c r="BE42" i="12"/>
  <c r="BE52" i="14"/>
  <c r="BK173" i="12"/>
  <c r="BK108" i="12" s="1"/>
  <c r="BK41" i="12"/>
  <c r="BA175" i="12"/>
  <c r="BA43" i="12"/>
  <c r="BR172" i="12"/>
  <c r="BR50" i="14" s="1"/>
  <c r="BR40" i="12"/>
  <c r="BU171" i="12"/>
  <c r="BU39" i="12" s="1"/>
  <c r="BL173" i="12" l="1"/>
  <c r="BL108" i="12" s="1"/>
  <c r="BL41" i="12"/>
  <c r="BB53" i="14"/>
  <c r="AY23" i="4"/>
  <c r="AY21" i="4"/>
  <c r="AW111" i="12"/>
  <c r="AS21" i="15"/>
  <c r="BF52" i="14"/>
  <c r="BF109" i="12"/>
  <c r="BK51" i="14"/>
  <c r="BL51" i="14" s="1"/>
  <c r="BS172" i="12"/>
  <c r="BS50" i="14" s="1"/>
  <c r="BF174" i="12"/>
  <c r="BF42" i="12"/>
  <c r="BU106" i="12"/>
  <c r="BB175" i="12"/>
  <c r="BB43" i="12"/>
  <c r="BB110" i="12"/>
  <c r="AX170" i="4"/>
  <c r="AX172" i="4" s="1"/>
  <c r="AX179" i="4" s="1"/>
  <c r="AY24" i="4" l="1"/>
  <c r="AY25" i="4"/>
  <c r="AY26" i="4" s="1"/>
  <c r="BM51" i="14"/>
  <c r="BC175" i="12"/>
  <c r="BC43" i="12" s="1"/>
  <c r="BG174" i="12"/>
  <c r="BG52" i="14" s="1"/>
  <c r="BG42" i="12"/>
  <c r="BS107" i="12"/>
  <c r="BS40" i="12"/>
  <c r="AY49" i="4"/>
  <c r="BM173" i="12"/>
  <c r="BM108" i="12" s="1"/>
  <c r="BM41" i="12"/>
  <c r="AS22" i="15"/>
  <c r="AW44" i="12"/>
  <c r="BN108" i="12" l="1"/>
  <c r="AY50" i="4"/>
  <c r="AY72" i="4"/>
  <c r="AY77" i="4" s="1"/>
  <c r="BN51" i="14"/>
  <c r="AX176" i="12"/>
  <c r="AX44" i="12"/>
  <c r="AW65" i="12"/>
  <c r="BT172" i="12"/>
  <c r="BT40" i="12"/>
  <c r="BC110" i="12"/>
  <c r="AS23" i="15"/>
  <c r="AY40" i="4"/>
  <c r="AY43" i="4" s="1"/>
  <c r="AS34" i="15"/>
  <c r="BT107" i="12"/>
  <c r="BN173" i="12"/>
  <c r="BN41" i="12"/>
  <c r="BG109" i="12"/>
  <c r="BC53" i="14"/>
  <c r="BU107" i="12" l="1"/>
  <c r="AS36" i="15"/>
  <c r="AS37" i="15"/>
  <c r="AS41" i="15" s="1"/>
  <c r="AS44" i="15" s="1"/>
  <c r="AS40" i="15"/>
  <c r="AS35" i="15"/>
  <c r="AS42" i="15" s="1"/>
  <c r="AX196" i="12"/>
  <c r="AX54" i="14"/>
  <c r="AX111" i="12"/>
  <c r="AY54" i="4"/>
  <c r="BH109" i="12"/>
  <c r="AS47" i="15"/>
  <c r="AY33" i="4"/>
  <c r="BD110" i="12"/>
  <c r="BH174" i="12"/>
  <c r="BU172" i="12"/>
  <c r="BU40" i="12"/>
  <c r="BO173" i="12"/>
  <c r="BO108" i="12" s="1"/>
  <c r="BD175" i="12"/>
  <c r="BD43" i="12" s="1"/>
  <c r="BE175" i="12" l="1"/>
  <c r="BE43" i="12"/>
  <c r="AY55" i="4"/>
  <c r="AY34" i="4"/>
  <c r="AY62" i="4"/>
  <c r="AY68" i="4"/>
  <c r="AY64" i="4"/>
  <c r="AY66" i="4"/>
  <c r="AY61" i="4"/>
  <c r="AY65" i="4"/>
  <c r="AY67" i="4"/>
  <c r="AY63" i="4"/>
  <c r="AY56" i="4"/>
  <c r="AY57" i="4" s="1"/>
  <c r="BD53" i="14"/>
  <c r="BE53" i="14" s="1"/>
  <c r="AX74" i="14"/>
  <c r="AX4" i="14" s="1"/>
  <c r="AY176" i="12"/>
  <c r="AY44" i="12" s="1"/>
  <c r="AT31" i="15"/>
  <c r="AZ42" i="4" s="1"/>
  <c r="AX64" i="12"/>
  <c r="AT27" i="15" s="1"/>
  <c r="BH42" i="12"/>
  <c r="BH52" i="14"/>
  <c r="BO51" i="14"/>
  <c r="BE110" i="12"/>
  <c r="AS43" i="15"/>
  <c r="AS46" i="15"/>
  <c r="AS29" i="15"/>
  <c r="AS48" i="15"/>
  <c r="BO41" i="12"/>
  <c r="BI174" i="12" l="1"/>
  <c r="BI109" i="12" s="1"/>
  <c r="BI42" i="12"/>
  <c r="BP173" i="12"/>
  <c r="BP108" i="12" s="1"/>
  <c r="BP41" i="12"/>
  <c r="BF53" i="14"/>
  <c r="AZ41" i="4"/>
  <c r="AX6" i="14"/>
  <c r="AZ15" i="4" s="1"/>
  <c r="AX5" i="14"/>
  <c r="AY69" i="4"/>
  <c r="BF175" i="12"/>
  <c r="BF43" i="12" s="1"/>
  <c r="AY54" i="14"/>
  <c r="BI52" i="14"/>
  <c r="AY111" i="12"/>
  <c r="AY79" i="4" l="1"/>
  <c r="AY80" i="4"/>
  <c r="AZ111" i="12"/>
  <c r="BF110" i="12"/>
  <c r="BP51" i="14"/>
  <c r="AZ176" i="12"/>
  <c r="AZ44" i="12" s="1"/>
  <c r="AX3" i="14"/>
  <c r="AX55" i="14" s="1"/>
  <c r="AZ14" i="4"/>
  <c r="AZ18" i="4" s="1"/>
  <c r="BQ173" i="12"/>
  <c r="BQ41" i="12" s="1"/>
  <c r="BJ174" i="12"/>
  <c r="BJ109" i="12" s="1"/>
  <c r="BJ42" i="12"/>
  <c r="AT17" i="15" l="1"/>
  <c r="AZ60" i="4"/>
  <c r="AZ74" i="4"/>
  <c r="AZ147" i="4"/>
  <c r="BQ108" i="12"/>
  <c r="BK174" i="12"/>
  <c r="BK109" i="12" s="1"/>
  <c r="BK42" i="12"/>
  <c r="BA176" i="12"/>
  <c r="BA111" i="12" s="1"/>
  <c r="BA44" i="12"/>
  <c r="AY167" i="4"/>
  <c r="AY141" i="4"/>
  <c r="AY142" i="4"/>
  <c r="BQ51" i="14"/>
  <c r="BJ52" i="14"/>
  <c r="BK52" i="14" s="1"/>
  <c r="AZ54" i="14"/>
  <c r="BA54" i="14" s="1"/>
  <c r="BG175" i="12"/>
  <c r="BG43" i="12" l="1"/>
  <c r="BG53" i="14"/>
  <c r="BB176" i="12"/>
  <c r="BB111" i="12" s="1"/>
  <c r="BB44" i="12"/>
  <c r="BB54" i="14"/>
  <c r="BL174" i="12"/>
  <c r="BL109" i="12" s="1"/>
  <c r="BL42" i="12"/>
  <c r="BR51" i="14"/>
  <c r="AX112" i="12"/>
  <c r="AT21" i="15"/>
  <c r="BG110" i="12"/>
  <c r="AY149" i="4"/>
  <c r="AY170" i="4" s="1"/>
  <c r="AY172" i="4" s="1"/>
  <c r="AY179" i="4" s="1"/>
  <c r="BR173" i="12"/>
  <c r="BR41" i="12" s="1"/>
  <c r="BH110" i="12" l="1"/>
  <c r="AT22" i="15"/>
  <c r="AX45" i="12"/>
  <c r="BC176" i="12"/>
  <c r="BC111" i="12" s="1"/>
  <c r="BC44" i="12"/>
  <c r="AX131" i="12"/>
  <c r="AT26" i="15" s="1"/>
  <c r="BH53" i="14"/>
  <c r="BS173" i="12"/>
  <c r="BS51" i="14" s="1"/>
  <c r="BS41" i="12"/>
  <c r="BM174" i="12"/>
  <c r="BM109" i="12" s="1"/>
  <c r="BH175" i="12"/>
  <c r="BH43" i="12"/>
  <c r="BR108" i="12"/>
  <c r="BL52" i="14"/>
  <c r="BD176" i="12" l="1"/>
  <c r="BD111" i="12" s="1"/>
  <c r="BD44" i="12"/>
  <c r="AY177" i="12"/>
  <c r="AY45" i="12"/>
  <c r="AX65" i="12"/>
  <c r="BM52" i="14"/>
  <c r="BI53" i="14"/>
  <c r="AT23" i="15"/>
  <c r="AZ40" i="4"/>
  <c r="AZ43" i="4" s="1"/>
  <c r="AT34" i="15"/>
  <c r="BS108" i="12"/>
  <c r="BC54" i="14"/>
  <c r="BD54" i="14" s="1"/>
  <c r="BI175" i="12"/>
  <c r="BI43" i="12"/>
  <c r="AZ19" i="4"/>
  <c r="AT28" i="15"/>
  <c r="BI110" i="12"/>
  <c r="BM42" i="12"/>
  <c r="BE54" i="14" l="1"/>
  <c r="BT108" i="12"/>
  <c r="AY196" i="12"/>
  <c r="AY55" i="14"/>
  <c r="AY112" i="12"/>
  <c r="BN174" i="12"/>
  <c r="BN109" i="12" s="1"/>
  <c r="BN42" i="12"/>
  <c r="AT35" i="15"/>
  <c r="AT42" i="15" s="1"/>
  <c r="AT40" i="15"/>
  <c r="AT43" i="15" s="1"/>
  <c r="AT36" i="15"/>
  <c r="AT37" i="15"/>
  <c r="AT41" i="15" s="1"/>
  <c r="AT44" i="15" s="1"/>
  <c r="BJ110" i="12"/>
  <c r="AZ54" i="4"/>
  <c r="BT173" i="12"/>
  <c r="BT41" i="12" s="1"/>
  <c r="AT46" i="15"/>
  <c r="AT29" i="15"/>
  <c r="AT47" i="15"/>
  <c r="AT48" i="15"/>
  <c r="AZ33" i="4"/>
  <c r="BE176" i="12"/>
  <c r="BE111" i="12" s="1"/>
  <c r="BE44" i="12"/>
  <c r="AZ22" i="4"/>
  <c r="AZ20" i="4"/>
  <c r="BJ175" i="12"/>
  <c r="BJ53" i="14" s="1"/>
  <c r="BJ43" i="12"/>
  <c r="BN52" i="14"/>
  <c r="BK53" i="14" l="1"/>
  <c r="BK110" i="12"/>
  <c r="AZ112" i="12"/>
  <c r="AY131" i="12"/>
  <c r="AU26" i="15" s="1"/>
  <c r="BA19" i="4" s="1"/>
  <c r="BK175" i="12"/>
  <c r="BK43" i="12"/>
  <c r="AY74" i="14"/>
  <c r="AY4" i="14" s="1"/>
  <c r="AU31" i="15"/>
  <c r="BA42" i="4" s="1"/>
  <c r="AY64" i="12"/>
  <c r="AU27" i="15" s="1"/>
  <c r="BU108" i="12"/>
  <c r="AZ23" i="4"/>
  <c r="AZ21" i="4"/>
  <c r="BU173" i="12"/>
  <c r="BU41" i="12"/>
  <c r="AZ177" i="12"/>
  <c r="AZ45" i="12" s="1"/>
  <c r="BF176" i="12"/>
  <c r="BF111" i="12" s="1"/>
  <c r="BF44" i="12"/>
  <c r="BO174" i="12"/>
  <c r="BO52" i="14" s="1"/>
  <c r="BO42" i="12"/>
  <c r="AZ55" i="4"/>
  <c r="AZ57" i="4" s="1"/>
  <c r="AZ65" i="4"/>
  <c r="AZ67" i="4"/>
  <c r="AZ63" i="4"/>
  <c r="AZ66" i="4"/>
  <c r="AZ62" i="4"/>
  <c r="AZ68" i="4"/>
  <c r="AZ64" i="4"/>
  <c r="AZ61" i="4"/>
  <c r="AZ56" i="4"/>
  <c r="AZ24" i="4" l="1"/>
  <c r="AZ25" i="4"/>
  <c r="BA112" i="12"/>
  <c r="BO109" i="12"/>
  <c r="AU28" i="15"/>
  <c r="BA41" i="4"/>
  <c r="AZ69" i="4"/>
  <c r="AY6" i="14"/>
  <c r="BA15" i="4" s="1"/>
  <c r="BA22" i="4" s="1"/>
  <c r="AY5" i="14"/>
  <c r="AZ55" i="14"/>
  <c r="BA55" i="14" s="1"/>
  <c r="BL175" i="12"/>
  <c r="BL43" i="12" s="1"/>
  <c r="BF54" i="14"/>
  <c r="AZ49" i="4"/>
  <c r="BP174" i="12"/>
  <c r="BP52" i="14" s="1"/>
  <c r="BP42" i="12"/>
  <c r="BG176" i="12"/>
  <c r="BG111" i="12" s="1"/>
  <c r="BG44" i="12"/>
  <c r="BA177" i="12"/>
  <c r="BA45" i="12"/>
  <c r="BH176" i="12" l="1"/>
  <c r="BH111" i="12" s="1"/>
  <c r="BH44" i="12"/>
  <c r="BQ174" i="12"/>
  <c r="BQ42" i="12" s="1"/>
  <c r="AY3" i="14"/>
  <c r="AY56" i="14" s="1"/>
  <c r="BA14" i="4"/>
  <c r="BA18" i="4" s="1"/>
  <c r="AZ26" i="4"/>
  <c r="AZ34" i="4"/>
  <c r="BL53" i="14"/>
  <c r="BB177" i="12"/>
  <c r="BB55" i="14" s="1"/>
  <c r="BB45" i="12"/>
  <c r="BG54" i="14"/>
  <c r="BL110" i="12"/>
  <c r="BP109" i="12"/>
  <c r="AZ50" i="4"/>
  <c r="AZ72" i="4"/>
  <c r="AZ77" i="4" s="1"/>
  <c r="BI111" i="12" l="1"/>
  <c r="AZ79" i="4"/>
  <c r="AZ80" i="4"/>
  <c r="BC177" i="12"/>
  <c r="BC55" i="14" s="1"/>
  <c r="BC45" i="12"/>
  <c r="BB112" i="12"/>
  <c r="BI176" i="12"/>
  <c r="BI44" i="12"/>
  <c r="BQ109" i="12"/>
  <c r="BM110" i="12"/>
  <c r="AU17" i="15"/>
  <c r="BA20" i="4"/>
  <c r="BA74" i="4"/>
  <c r="BA147" i="4"/>
  <c r="BA60" i="4"/>
  <c r="BM175" i="12"/>
  <c r="BM43" i="12" s="1"/>
  <c r="BQ52" i="14"/>
  <c r="BH54" i="14"/>
  <c r="BI54" i="14" s="1"/>
  <c r="BA23" i="4" l="1"/>
  <c r="BA21" i="4"/>
  <c r="BJ54" i="14"/>
  <c r="AY113" i="12"/>
  <c r="AU21" i="15"/>
  <c r="AZ167" i="4"/>
  <c r="AZ141" i="4"/>
  <c r="AZ142" i="4"/>
  <c r="BN175" i="12"/>
  <c r="BN43" i="12" s="1"/>
  <c r="BJ176" i="12"/>
  <c r="BJ44" i="12"/>
  <c r="BJ111" i="12"/>
  <c r="BM53" i="14"/>
  <c r="BC112" i="12"/>
  <c r="BR174" i="12"/>
  <c r="BR42" i="12" s="1"/>
  <c r="AU22" i="15" l="1"/>
  <c r="AY46" i="12"/>
  <c r="BR109" i="12"/>
  <c r="BN53" i="14"/>
  <c r="AZ149" i="4"/>
  <c r="AZ170" i="4" s="1"/>
  <c r="AZ172" i="4" s="1"/>
  <c r="AZ179" i="4" s="1"/>
  <c r="BD177" i="12"/>
  <c r="BK176" i="12"/>
  <c r="BK44" i="12" s="1"/>
  <c r="BA49" i="4"/>
  <c r="BN110" i="12"/>
  <c r="BA24" i="4"/>
  <c r="BA25" i="4"/>
  <c r="BA26" i="4" s="1"/>
  <c r="BR52" i="14"/>
  <c r="BD55" i="14" l="1"/>
  <c r="BD45" i="12"/>
  <c r="BD112" i="12"/>
  <c r="BK111" i="12"/>
  <c r="AZ178" i="12"/>
  <c r="AY65" i="12"/>
  <c r="AU23" i="15"/>
  <c r="BA40" i="4"/>
  <c r="BA43" i="4" s="1"/>
  <c r="AU34" i="15"/>
  <c r="BK54" i="14"/>
  <c r="BA50" i="4"/>
  <c r="BA72" i="4"/>
  <c r="BA77" i="4" s="1"/>
  <c r="BS174" i="12"/>
  <c r="BS42" i="12" s="1"/>
  <c r="BS52" i="14"/>
  <c r="BO175" i="12"/>
  <c r="BO43" i="12" s="1"/>
  <c r="AU40" i="15" l="1"/>
  <c r="AU36" i="15"/>
  <c r="AU35" i="15"/>
  <c r="AU42" i="15" s="1"/>
  <c r="BP175" i="12"/>
  <c r="BP43" i="12" s="1"/>
  <c r="BA54" i="4"/>
  <c r="BE177" i="12"/>
  <c r="BE45" i="12"/>
  <c r="AU48" i="15"/>
  <c r="AU47" i="15"/>
  <c r="BA33" i="4"/>
  <c r="BS109" i="12"/>
  <c r="AZ196" i="12"/>
  <c r="AZ56" i="14"/>
  <c r="AZ113" i="12"/>
  <c r="BE112" i="12"/>
  <c r="BE55" i="14"/>
  <c r="BO110" i="12"/>
  <c r="BO53" i="14"/>
  <c r="AZ46" i="12"/>
  <c r="BL176" i="12"/>
  <c r="BL44" i="12" s="1"/>
  <c r="BM176" i="12" l="1"/>
  <c r="BM44" i="12"/>
  <c r="BA113" i="12"/>
  <c r="AZ131" i="12"/>
  <c r="AV26" i="15" s="1"/>
  <c r="BB19" i="4" s="1"/>
  <c r="BA178" i="12"/>
  <c r="BA46" i="12"/>
  <c r="BA56" i="14"/>
  <c r="AZ74" i="14"/>
  <c r="AZ4" i="14" s="1"/>
  <c r="BF177" i="12"/>
  <c r="BF55" i="14" s="1"/>
  <c r="BF45" i="12"/>
  <c r="AV31" i="15"/>
  <c r="BB42" i="4" s="1"/>
  <c r="AZ64" i="12"/>
  <c r="AV27" i="15" s="1"/>
  <c r="AU43" i="15"/>
  <c r="AU46" i="15"/>
  <c r="AU29" i="15"/>
  <c r="AU37" i="15"/>
  <c r="AU41" i="15" s="1"/>
  <c r="AU44" i="15" s="1"/>
  <c r="BP53" i="14"/>
  <c r="BA34" i="4"/>
  <c r="BA55" i="4"/>
  <c r="BA67" i="4"/>
  <c r="BA63" i="4"/>
  <c r="BA66" i="4"/>
  <c r="BA65" i="4"/>
  <c r="BA61" i="4"/>
  <c r="BA68" i="4"/>
  <c r="BA64" i="4"/>
  <c r="BA62" i="4"/>
  <c r="BA56" i="4"/>
  <c r="BA57" i="4" s="1"/>
  <c r="BL111" i="12"/>
  <c r="BP110" i="12"/>
  <c r="BT174" i="12"/>
  <c r="BT42" i="12" s="1"/>
  <c r="BL54" i="14"/>
  <c r="BM54" i="14" s="1"/>
  <c r="BA69" i="4" l="1"/>
  <c r="BG177" i="12"/>
  <c r="BG55" i="14" s="1"/>
  <c r="BG45" i="12"/>
  <c r="BT109" i="12"/>
  <c r="AZ6" i="14"/>
  <c r="BB15" i="4" s="1"/>
  <c r="BB22" i="4" s="1"/>
  <c r="AZ5" i="14"/>
  <c r="BF112" i="12"/>
  <c r="BM111" i="12"/>
  <c r="BB178" i="12"/>
  <c r="BB113" i="12" s="1"/>
  <c r="BB46" i="12"/>
  <c r="BQ175" i="12"/>
  <c r="BQ43" i="12" s="1"/>
  <c r="AV28" i="15"/>
  <c r="BB41" i="4"/>
  <c r="BR175" i="12" l="1"/>
  <c r="BR43" i="12"/>
  <c r="BQ53" i="14"/>
  <c r="BC178" i="12"/>
  <c r="BC113" i="12" s="1"/>
  <c r="BC46" i="12"/>
  <c r="BQ110" i="12"/>
  <c r="BA80" i="4"/>
  <c r="BA79" i="4"/>
  <c r="BB56" i="14"/>
  <c r="BC56" i="14" s="1"/>
  <c r="BU174" i="12"/>
  <c r="BU42" i="12" s="1"/>
  <c r="BG112" i="12"/>
  <c r="BN176" i="12"/>
  <c r="AZ3" i="14"/>
  <c r="AZ57" i="14" s="1"/>
  <c r="BB14" i="4"/>
  <c r="BB18" i="4" s="1"/>
  <c r="BS175" i="12" l="1"/>
  <c r="BS43" i="12"/>
  <c r="AV17" i="15"/>
  <c r="BB20" i="4"/>
  <c r="BB147" i="4"/>
  <c r="BB74" i="4"/>
  <c r="BB60" i="4"/>
  <c r="BA167" i="4"/>
  <c r="BA141" i="4"/>
  <c r="BA142" i="4"/>
  <c r="BR110" i="12"/>
  <c r="BN44" i="12"/>
  <c r="BN54" i="14"/>
  <c r="BD178" i="12"/>
  <c r="BD113" i="12" s="1"/>
  <c r="BD46" i="12"/>
  <c r="BH112" i="12"/>
  <c r="BH177" i="12"/>
  <c r="BN111" i="12"/>
  <c r="BR53" i="14"/>
  <c r="BU109" i="12"/>
  <c r="AZ114" i="12" l="1"/>
  <c r="AV21" i="15"/>
  <c r="BA149" i="4"/>
  <c r="BA170" i="4"/>
  <c r="BA172" i="4" s="1"/>
  <c r="BA179" i="4" s="1"/>
  <c r="BS53" i="14"/>
  <c r="BS110" i="12"/>
  <c r="BH55" i="14"/>
  <c r="BH45" i="12"/>
  <c r="BB21" i="4"/>
  <c r="BB23" i="4"/>
  <c r="BE178" i="12"/>
  <c r="BE113" i="12" s="1"/>
  <c r="BT175" i="12"/>
  <c r="BT43" i="12"/>
  <c r="BD56" i="14"/>
  <c r="BO176" i="12"/>
  <c r="BO111" i="12" s="1"/>
  <c r="BO44" i="12"/>
  <c r="BB49" i="4" l="1"/>
  <c r="BE56" i="14"/>
  <c r="BO54" i="14"/>
  <c r="BP54" i="14" s="1"/>
  <c r="BB25" i="4"/>
  <c r="BB26" i="4" s="1"/>
  <c r="BB24" i="4"/>
  <c r="BP176" i="12"/>
  <c r="BP111" i="12" s="1"/>
  <c r="BP44" i="12"/>
  <c r="BI177" i="12"/>
  <c r="BI112" i="12" s="1"/>
  <c r="BI45" i="12"/>
  <c r="BI55" i="14"/>
  <c r="AV22" i="15"/>
  <c r="AZ47" i="12"/>
  <c r="BE46" i="12"/>
  <c r="BT110" i="12"/>
  <c r="BF178" i="12" l="1"/>
  <c r="BF113" i="12" s="1"/>
  <c r="BF46" i="12"/>
  <c r="BJ177" i="12"/>
  <c r="BJ55" i="14" s="1"/>
  <c r="BJ45" i="12"/>
  <c r="BF56" i="14"/>
  <c r="BB72" i="4"/>
  <c r="BB77" i="4" s="1"/>
  <c r="BB50" i="4"/>
  <c r="BQ176" i="12"/>
  <c r="BQ111" i="12" s="1"/>
  <c r="BQ44" i="12"/>
  <c r="BU175" i="12"/>
  <c r="BU43" i="12" s="1"/>
  <c r="BA179" i="12"/>
  <c r="BA47" i="12"/>
  <c r="AZ65" i="12"/>
  <c r="AV23" i="15"/>
  <c r="BB40" i="4"/>
  <c r="BB43" i="4" s="1"/>
  <c r="AV34" i="15"/>
  <c r="BR176" i="12" l="1"/>
  <c r="BR111" i="12" s="1"/>
  <c r="BR44" i="12"/>
  <c r="BU110" i="12"/>
  <c r="AV37" i="15"/>
  <c r="AV41" i="15" s="1"/>
  <c r="AV44" i="15" s="1"/>
  <c r="AV40" i="15"/>
  <c r="AV36" i="15"/>
  <c r="AV35" i="15"/>
  <c r="AV42" i="15" s="1"/>
  <c r="BB54" i="4"/>
  <c r="BQ54" i="14"/>
  <c r="BR54" i="14" s="1"/>
  <c r="AV47" i="15"/>
  <c r="BB33" i="4"/>
  <c r="BJ112" i="12"/>
  <c r="BG178" i="12"/>
  <c r="BG56" i="14" s="1"/>
  <c r="BG46" i="12"/>
  <c r="BG113" i="12"/>
  <c r="BB179" i="12"/>
  <c r="BB47" i="12" s="1"/>
  <c r="BA196" i="12"/>
  <c r="BA57" i="14"/>
  <c r="BA114" i="12"/>
  <c r="BH56" i="14" l="1"/>
  <c r="AV43" i="15"/>
  <c r="AV46" i="15"/>
  <c r="AV29" i="15"/>
  <c r="BH178" i="12"/>
  <c r="BH113" i="12" s="1"/>
  <c r="BH46" i="12"/>
  <c r="BB55" i="4"/>
  <c r="BB34" i="4"/>
  <c r="BB57" i="4"/>
  <c r="BB64" i="4"/>
  <c r="BB62" i="4"/>
  <c r="BB67" i="4"/>
  <c r="BB63" i="4"/>
  <c r="BB65" i="4"/>
  <c r="BB66" i="4"/>
  <c r="BB61" i="4"/>
  <c r="BB68" i="4"/>
  <c r="BB56" i="4"/>
  <c r="BS176" i="12"/>
  <c r="BS44" i="12" s="1"/>
  <c r="BB114" i="12"/>
  <c r="BA131" i="12"/>
  <c r="AW26" i="15" s="1"/>
  <c r="BC19" i="4" s="1"/>
  <c r="BK177" i="12"/>
  <c r="BB57" i="14"/>
  <c r="BA74" i="14"/>
  <c r="BA4" i="14" s="1"/>
  <c r="AW31" i="15"/>
  <c r="BC42" i="4" s="1"/>
  <c r="BA64" i="12"/>
  <c r="AW27" i="15" s="1"/>
  <c r="AV48" i="15"/>
  <c r="BA6" i="14" l="1"/>
  <c r="BC15" i="4" s="1"/>
  <c r="BC22" i="4" s="1"/>
  <c r="BA5" i="14"/>
  <c r="BK55" i="14"/>
  <c r="BK45" i="12"/>
  <c r="BB69" i="4"/>
  <c r="BS54" i="14"/>
  <c r="BK112" i="12"/>
  <c r="BS111" i="12"/>
  <c r="BT176" i="12" s="1"/>
  <c r="BT44" i="12" s="1"/>
  <c r="BI178" i="12"/>
  <c r="BI113" i="12" s="1"/>
  <c r="BI46" i="12"/>
  <c r="BI56" i="14"/>
  <c r="BC114" i="12"/>
  <c r="AW28" i="15"/>
  <c r="BC41" i="4"/>
  <c r="BC179" i="12"/>
  <c r="BC47" i="12" s="1"/>
  <c r="BJ113" i="12" l="1"/>
  <c r="BD114" i="12"/>
  <c r="BB80" i="4"/>
  <c r="BB79" i="4"/>
  <c r="BA3" i="14"/>
  <c r="BA58" i="14" s="1"/>
  <c r="BC14" i="4"/>
  <c r="BC18" i="4" s="1"/>
  <c r="BD179" i="12"/>
  <c r="BD47" i="12"/>
  <c r="BC57" i="14"/>
  <c r="BD57" i="14" s="1"/>
  <c r="BJ56" i="14"/>
  <c r="BL177" i="12"/>
  <c r="BL112" i="12" s="1"/>
  <c r="BL45" i="12"/>
  <c r="BJ178" i="12"/>
  <c r="BJ46" i="12"/>
  <c r="BL55" i="14"/>
  <c r="BT111" i="12"/>
  <c r="BM177" i="12" l="1"/>
  <c r="BM45" i="12" s="1"/>
  <c r="BU111" i="12"/>
  <c r="BE179" i="12"/>
  <c r="BE114" i="12" s="1"/>
  <c r="BE47" i="12"/>
  <c r="BK178" i="12"/>
  <c r="BK113" i="12" s="1"/>
  <c r="BK46" i="12"/>
  <c r="BU176" i="12"/>
  <c r="BU44" i="12" s="1"/>
  <c r="AW17" i="15"/>
  <c r="BC20" i="4"/>
  <c r="BC74" i="4"/>
  <c r="BC60" i="4"/>
  <c r="BC147" i="4"/>
  <c r="BB167" i="4"/>
  <c r="BB141" i="4"/>
  <c r="BB142" i="4"/>
  <c r="BK56" i="14"/>
  <c r="BN177" i="12" l="1"/>
  <c r="BN45" i="12"/>
  <c r="BL178" i="12"/>
  <c r="BL113" i="12" s="1"/>
  <c r="BL46" i="12"/>
  <c r="BL56" i="14"/>
  <c r="BM112" i="12"/>
  <c r="BM55" i="14"/>
  <c r="BF179" i="12"/>
  <c r="BF114" i="12" s="1"/>
  <c r="BF47" i="12"/>
  <c r="BE57" i="14"/>
  <c r="BF57" i="14" s="1"/>
  <c r="BB149" i="4"/>
  <c r="BB170" i="4" s="1"/>
  <c r="BB172" i="4" s="1"/>
  <c r="BB179" i="4" s="1"/>
  <c r="BC21" i="4"/>
  <c r="BC23" i="4"/>
  <c r="BA115" i="12"/>
  <c r="AW21" i="15"/>
  <c r="BC49" i="4" l="1"/>
  <c r="BM178" i="12"/>
  <c r="BM113" i="12" s="1"/>
  <c r="BM46" i="12"/>
  <c r="AW22" i="15"/>
  <c r="BA48" i="12"/>
  <c r="BG179" i="12"/>
  <c r="BG57" i="14" s="1"/>
  <c r="BG47" i="12"/>
  <c r="BN55" i="14"/>
  <c r="BC25" i="4"/>
  <c r="BC26" i="4" s="1"/>
  <c r="BC24" i="4"/>
  <c r="BN112" i="12"/>
  <c r="BN178" i="12" l="1"/>
  <c r="BN113" i="12" s="1"/>
  <c r="BN46" i="12"/>
  <c r="BO112" i="12"/>
  <c r="BO177" i="12"/>
  <c r="BO45" i="12" s="1"/>
  <c r="BM56" i="14"/>
  <c r="BN56" i="14" s="1"/>
  <c r="BC50" i="4"/>
  <c r="BC72" i="4"/>
  <c r="BC77" i="4" s="1"/>
  <c r="BB180" i="12"/>
  <c r="BB48" i="12" s="1"/>
  <c r="BA65" i="12"/>
  <c r="BO55" i="14"/>
  <c r="AW23" i="15"/>
  <c r="BC40" i="4"/>
  <c r="BC43" i="4" s="1"/>
  <c r="AW34" i="15"/>
  <c r="BG114" i="12"/>
  <c r="BO178" i="12" l="1"/>
  <c r="BO113" i="12" s="1"/>
  <c r="BO46" i="12"/>
  <c r="BH114" i="12"/>
  <c r="AW40" i="15"/>
  <c r="AW35" i="15"/>
  <c r="AW42" i="15" s="1"/>
  <c r="AW36" i="15"/>
  <c r="AW37" i="15" s="1"/>
  <c r="AW41" i="15" s="1"/>
  <c r="AW44" i="15" s="1"/>
  <c r="BC54" i="4"/>
  <c r="AW47" i="15"/>
  <c r="BC33" i="4"/>
  <c r="BH179" i="12"/>
  <c r="BO56" i="14"/>
  <c r="BP177" i="12"/>
  <c r="BP112" i="12" s="1"/>
  <c r="BP45" i="12"/>
  <c r="BP55" i="14"/>
  <c r="BB196" i="12"/>
  <c r="BB58" i="14"/>
  <c r="BB115" i="12"/>
  <c r="BQ177" i="12" l="1"/>
  <c r="BQ112" i="12" s="1"/>
  <c r="BQ45" i="12"/>
  <c r="BC55" i="4"/>
  <c r="BC57" i="4"/>
  <c r="BC34" i="4"/>
  <c r="BC61" i="4"/>
  <c r="BC64" i="4"/>
  <c r="BC67" i="4"/>
  <c r="BC63" i="4"/>
  <c r="BC62" i="4"/>
  <c r="BC66" i="4"/>
  <c r="BC68" i="4"/>
  <c r="BC65" i="4"/>
  <c r="BC56" i="4"/>
  <c r="BP178" i="12"/>
  <c r="BP113" i="12" s="1"/>
  <c r="BP46" i="12"/>
  <c r="BP56" i="14"/>
  <c r="BH57" i="14"/>
  <c r="BH47" i="12"/>
  <c r="BC115" i="12"/>
  <c r="BB131" i="12"/>
  <c r="AX26" i="15" s="1"/>
  <c r="BD19" i="4" s="1"/>
  <c r="BB74" i="14"/>
  <c r="BB4" i="14" s="1"/>
  <c r="AW43" i="15"/>
  <c r="AW46" i="15"/>
  <c r="AW29" i="15"/>
  <c r="AX31" i="15"/>
  <c r="BD42" i="4" s="1"/>
  <c r="BB64" i="12"/>
  <c r="AX27" i="15" s="1"/>
  <c r="AW48" i="15"/>
  <c r="BC180" i="12"/>
  <c r="BC48" i="12" s="1"/>
  <c r="AX28" i="15" l="1"/>
  <c r="BD41" i="4"/>
  <c r="BD115" i="12"/>
  <c r="BI179" i="12"/>
  <c r="BI114" i="12" s="1"/>
  <c r="BR177" i="12"/>
  <c r="BR112" i="12" s="1"/>
  <c r="BR45" i="12"/>
  <c r="BQ178" i="12"/>
  <c r="BQ113" i="12" s="1"/>
  <c r="BQ46" i="12"/>
  <c r="BB6" i="14"/>
  <c r="BD15" i="4" s="1"/>
  <c r="BD22" i="4" s="1"/>
  <c r="BB5" i="14"/>
  <c r="BQ55" i="14"/>
  <c r="BD180" i="12"/>
  <c r="BD48" i="12"/>
  <c r="BC58" i="14"/>
  <c r="BD58" i="14" s="1"/>
  <c r="BC69" i="4"/>
  <c r="BS177" i="12" l="1"/>
  <c r="BS112" i="12" s="1"/>
  <c r="BS45" i="12"/>
  <c r="BQ56" i="14"/>
  <c r="BR56" i="14" s="1"/>
  <c r="BR55" i="14"/>
  <c r="BI57" i="14"/>
  <c r="BB3" i="14"/>
  <c r="BB59" i="14" s="1"/>
  <c r="BD14" i="4"/>
  <c r="BD18" i="4" s="1"/>
  <c r="BI47" i="12"/>
  <c r="BR178" i="12"/>
  <c r="BR113" i="12" s="1"/>
  <c r="BR46" i="12"/>
  <c r="BC79" i="4"/>
  <c r="BC80" i="4"/>
  <c r="BE180" i="12"/>
  <c r="BE115" i="12" s="1"/>
  <c r="BE48" i="12"/>
  <c r="BF115" i="12" l="1"/>
  <c r="BF180" i="12"/>
  <c r="BF48" i="12"/>
  <c r="BJ57" i="14"/>
  <c r="BS178" i="12"/>
  <c r="BS113" i="12" s="1"/>
  <c r="BJ179" i="12"/>
  <c r="BJ114" i="12" s="1"/>
  <c r="BJ47" i="12"/>
  <c r="BT177" i="12"/>
  <c r="BT112" i="12" s="1"/>
  <c r="BT45" i="12"/>
  <c r="AX17" i="15"/>
  <c r="BD20" i="4"/>
  <c r="BD74" i="4"/>
  <c r="BD147" i="4"/>
  <c r="BD60" i="4"/>
  <c r="BC167" i="4"/>
  <c r="BC141" i="4"/>
  <c r="BC142" i="4"/>
  <c r="BE58" i="14"/>
  <c r="BF58" i="14" s="1"/>
  <c r="BS55" i="14"/>
  <c r="BD23" i="4" l="1"/>
  <c r="BD21" i="4"/>
  <c r="BK57" i="14"/>
  <c r="BB116" i="12"/>
  <c r="AX21" i="15"/>
  <c r="BC149" i="4"/>
  <c r="BU177" i="12"/>
  <c r="BU112" i="12" s="1"/>
  <c r="BU45" i="12"/>
  <c r="BG180" i="12"/>
  <c r="BG58" i="14" s="1"/>
  <c r="BG48" i="12"/>
  <c r="BC170" i="4"/>
  <c r="BC172" i="4" s="1"/>
  <c r="BC179" i="4" s="1"/>
  <c r="BK179" i="12"/>
  <c r="BK47" i="12" s="1"/>
  <c r="BS56" i="14"/>
  <c r="BS46" i="12"/>
  <c r="BG115" i="12"/>
  <c r="BL179" i="12" l="1"/>
  <c r="BL47" i="12"/>
  <c r="BH180" i="12"/>
  <c r="BH48" i="12" s="1"/>
  <c r="BD49" i="4"/>
  <c r="BT178" i="12"/>
  <c r="BT113" i="12" s="1"/>
  <c r="BT46" i="12"/>
  <c r="BD24" i="4"/>
  <c r="BD25" i="4"/>
  <c r="BD26" i="4" s="1"/>
  <c r="BK114" i="12"/>
  <c r="AX22" i="15"/>
  <c r="BB49" i="12"/>
  <c r="BL57" i="14"/>
  <c r="BH115" i="12" l="1"/>
  <c r="BU178" i="12"/>
  <c r="BU46" i="12"/>
  <c r="BU113" i="12"/>
  <c r="BM179" i="12"/>
  <c r="BM47" i="12" s="1"/>
  <c r="BC181" i="12"/>
  <c r="BC49" i="12"/>
  <c r="BB65" i="12"/>
  <c r="BD50" i="4"/>
  <c r="BD72" i="4"/>
  <c r="BD77" i="4" s="1"/>
  <c r="AX23" i="15"/>
  <c r="BD40" i="4"/>
  <c r="BD43" i="4" s="1"/>
  <c r="AX34" i="15"/>
  <c r="BH58" i="14"/>
  <c r="BL114" i="12"/>
  <c r="BD54" i="4" l="1"/>
  <c r="AX47" i="15"/>
  <c r="AX48" i="15"/>
  <c r="BD33" i="4"/>
  <c r="BM57" i="14"/>
  <c r="BM114" i="12"/>
  <c r="BD181" i="12"/>
  <c r="BD49" i="12"/>
  <c r="BI115" i="12"/>
  <c r="BC196" i="12"/>
  <c r="BC59" i="14"/>
  <c r="BC116" i="12"/>
  <c r="AX40" i="15"/>
  <c r="AX36" i="15"/>
  <c r="AX35" i="15"/>
  <c r="AX42" i="15" s="1"/>
  <c r="AX37" i="15"/>
  <c r="AX41" i="15" s="1"/>
  <c r="AX44" i="15" s="1"/>
  <c r="BI180" i="12"/>
  <c r="BI48" i="12" s="1"/>
  <c r="BJ115" i="12" l="1"/>
  <c r="BJ180" i="12"/>
  <c r="BJ48" i="12"/>
  <c r="AY31" i="15"/>
  <c r="BE42" i="4" s="1"/>
  <c r="BC64" i="12"/>
  <c r="AY27" i="15" s="1"/>
  <c r="BI58" i="14"/>
  <c r="BJ58" i="14" s="1"/>
  <c r="BE181" i="12"/>
  <c r="BE49" i="12"/>
  <c r="AX43" i="15"/>
  <c r="AX46" i="15"/>
  <c r="AX29" i="15"/>
  <c r="BD34" i="4"/>
  <c r="BD55" i="4"/>
  <c r="BD64" i="4"/>
  <c r="BD62" i="4"/>
  <c r="BD67" i="4"/>
  <c r="BD65" i="4"/>
  <c r="BD63" i="4"/>
  <c r="BD61" i="4"/>
  <c r="BD66" i="4"/>
  <c r="BD68" i="4"/>
  <c r="BD56" i="4"/>
  <c r="BD57" i="4" s="1"/>
  <c r="BD116" i="12"/>
  <c r="BC131" i="12"/>
  <c r="AY26" i="15" s="1"/>
  <c r="BE19" i="4" s="1"/>
  <c r="BD59" i="14"/>
  <c r="BC74" i="14"/>
  <c r="BC4" i="14" s="1"/>
  <c r="BN179" i="12"/>
  <c r="BN47" i="12" s="1"/>
  <c r="BC6" i="14" l="1"/>
  <c r="BE15" i="4" s="1"/>
  <c r="BE22" i="4" s="1"/>
  <c r="BC5" i="14"/>
  <c r="BD69" i="4"/>
  <c r="BE59" i="14"/>
  <c r="BN114" i="12"/>
  <c r="BN57" i="14"/>
  <c r="BK180" i="12"/>
  <c r="BK58" i="14" s="1"/>
  <c r="BK48" i="12"/>
  <c r="AY28" i="15"/>
  <c r="BE41" i="4"/>
  <c r="BE116" i="12"/>
  <c r="BF181" i="12" s="1"/>
  <c r="BF49" i="12" s="1"/>
  <c r="BK115" i="12"/>
  <c r="BF59" i="14" l="1"/>
  <c r="BC3" i="14"/>
  <c r="BC60" i="14" s="1"/>
  <c r="BE14" i="4"/>
  <c r="BE18" i="4" s="1"/>
  <c r="BL180" i="12"/>
  <c r="BL58" i="14" s="1"/>
  <c r="BF116" i="12"/>
  <c r="BD80" i="4"/>
  <c r="BD79" i="4"/>
  <c r="BO179" i="12"/>
  <c r="BO47" i="12" s="1"/>
  <c r="AY17" i="15" l="1"/>
  <c r="BE20" i="4"/>
  <c r="BE147" i="4"/>
  <c r="BE60" i="4"/>
  <c r="BE74" i="4"/>
  <c r="BD167" i="4"/>
  <c r="BD141" i="4"/>
  <c r="BD149" i="4" s="1"/>
  <c r="BD142" i="4"/>
  <c r="BL115" i="12"/>
  <c r="BL48" i="12"/>
  <c r="BO114" i="12"/>
  <c r="BG181" i="12"/>
  <c r="BG49" i="12" s="1"/>
  <c r="BO57" i="14"/>
  <c r="BD170" i="4" l="1"/>
  <c r="BD172" i="4" s="1"/>
  <c r="BD179" i="4" s="1"/>
  <c r="BM180" i="12"/>
  <c r="BM58" i="14" s="1"/>
  <c r="BM48" i="12"/>
  <c r="BM115" i="12"/>
  <c r="BG116" i="12"/>
  <c r="BG59" i="14"/>
  <c r="BE21" i="4"/>
  <c r="BE23" i="4"/>
  <c r="BC117" i="12"/>
  <c r="AY21" i="15"/>
  <c r="BP179" i="12"/>
  <c r="BP47" i="12" s="1"/>
  <c r="BP114" i="12" l="1"/>
  <c r="BQ179" i="12"/>
  <c r="BQ47" i="12"/>
  <c r="AY22" i="15"/>
  <c r="BC50" i="12"/>
  <c r="BN115" i="12"/>
  <c r="BN180" i="12"/>
  <c r="BN48" i="12"/>
  <c r="BE25" i="4"/>
  <c r="BE24" i="4"/>
  <c r="BN58" i="14"/>
  <c r="BE49" i="4"/>
  <c r="BP57" i="14"/>
  <c r="BQ57" i="14" s="1"/>
  <c r="BH181" i="12"/>
  <c r="BH49" i="12" s="1"/>
  <c r="BD182" i="12" l="1"/>
  <c r="BD50" i="12"/>
  <c r="BC65" i="12"/>
  <c r="BE26" i="4"/>
  <c r="H9" i="3"/>
  <c r="AY23" i="15"/>
  <c r="BE40" i="4"/>
  <c r="BE43" i="4" s="1"/>
  <c r="AY34" i="15"/>
  <c r="BO180" i="12"/>
  <c r="BO58" i="14" s="1"/>
  <c r="BO48" i="12"/>
  <c r="BQ114" i="12"/>
  <c r="BE50" i="4"/>
  <c r="BE72" i="4"/>
  <c r="BE77" i="4" s="1"/>
  <c r="BH59" i="14"/>
  <c r="BH116" i="12"/>
  <c r="BI181" i="12" s="1"/>
  <c r="BI49" i="12" s="1"/>
  <c r="BE182" i="12" l="1"/>
  <c r="BE50" i="12"/>
  <c r="BD196" i="12"/>
  <c r="BD60" i="14"/>
  <c r="BD117" i="12"/>
  <c r="BO115" i="12"/>
  <c r="BI59" i="14"/>
  <c r="BE54" i="4"/>
  <c r="AY47" i="15"/>
  <c r="BE33" i="4"/>
  <c r="K16" i="2"/>
  <c r="BI116" i="12"/>
  <c r="BP180" i="12"/>
  <c r="BP58" i="14" s="1"/>
  <c r="BP48" i="12"/>
  <c r="BR179" i="12"/>
  <c r="AY40" i="15"/>
  <c r="AY36" i="15"/>
  <c r="AY35" i="15"/>
  <c r="AY42" i="15" s="1"/>
  <c r="BE60" i="14" l="1"/>
  <c r="BD74" i="14"/>
  <c r="BD4" i="14" s="1"/>
  <c r="BQ180" i="12"/>
  <c r="BQ58" i="14" s="1"/>
  <c r="BQ48" i="12"/>
  <c r="BJ116" i="12"/>
  <c r="BE55" i="4"/>
  <c r="BE34" i="4"/>
  <c r="BE68" i="4"/>
  <c r="BE62" i="4"/>
  <c r="BE67" i="4"/>
  <c r="BE64" i="4"/>
  <c r="BE63" i="4"/>
  <c r="BE65" i="4"/>
  <c r="BE61" i="4"/>
  <c r="BE66" i="4"/>
  <c r="BE56" i="4"/>
  <c r="BE57" i="4" s="1"/>
  <c r="AY37" i="15"/>
  <c r="AY41" i="15" s="1"/>
  <c r="BJ181" i="12"/>
  <c r="BJ49" i="12" s="1"/>
  <c r="AY43" i="15"/>
  <c r="K20" i="2"/>
  <c r="K29" i="2" s="1"/>
  <c r="AY46" i="15"/>
  <c r="AY29" i="15"/>
  <c r="BR57" i="14"/>
  <c r="BR47" i="12"/>
  <c r="AZ31" i="15"/>
  <c r="BD64" i="12"/>
  <c r="AZ27" i="15" s="1"/>
  <c r="BF182" i="12"/>
  <c r="BF50" i="12" s="1"/>
  <c r="BR114" i="12"/>
  <c r="BP115" i="12"/>
  <c r="AY48" i="15"/>
  <c r="BE117" i="12"/>
  <c r="BD131" i="12"/>
  <c r="AZ26" i="15" s="1"/>
  <c r="AZ28" i="15" l="1"/>
  <c r="BF41" i="4"/>
  <c r="BF117" i="12"/>
  <c r="BS179" i="12"/>
  <c r="BS47" i="12" s="1"/>
  <c r="BD6" i="14"/>
  <c r="BF15" i="4" s="1"/>
  <c r="BD5" i="14"/>
  <c r="BE69" i="4"/>
  <c r="BK181" i="12"/>
  <c r="BK116" i="12" s="1"/>
  <c r="BK49" i="12"/>
  <c r="BF19" i="4"/>
  <c r="BF42" i="4"/>
  <c r="AY44" i="15"/>
  <c r="K21" i="2"/>
  <c r="BJ59" i="14"/>
  <c r="BF60" i="14"/>
  <c r="BQ115" i="12"/>
  <c r="BL181" i="12" l="1"/>
  <c r="BL116" i="12" s="1"/>
  <c r="BL49" i="12"/>
  <c r="BG117" i="12"/>
  <c r="BE79" i="4"/>
  <c r="BE80" i="4"/>
  <c r="BR115" i="12"/>
  <c r="BS114" i="12"/>
  <c r="BD3" i="14"/>
  <c r="BD61" i="14" s="1"/>
  <c r="BF14" i="4"/>
  <c r="BS57" i="14"/>
  <c r="BF22" i="4"/>
  <c r="BK59" i="14"/>
  <c r="BR180" i="12"/>
  <c r="BG182" i="12"/>
  <c r="BG50" i="12" s="1"/>
  <c r="BT114" i="12" l="1"/>
  <c r="BM181" i="12"/>
  <c r="BM116" i="12" s="1"/>
  <c r="BM49" i="12"/>
  <c r="BF18" i="4"/>
  <c r="BE167" i="4"/>
  <c r="BE141" i="4"/>
  <c r="BE142" i="4"/>
  <c r="BH182" i="12"/>
  <c r="BH117" i="12" s="1"/>
  <c r="BH50" i="12"/>
  <c r="BG60" i="14"/>
  <c r="BT179" i="12"/>
  <c r="BT47" i="12" s="1"/>
  <c r="BR48" i="12"/>
  <c r="BR58" i="14"/>
  <c r="BL59" i="14"/>
  <c r="BM59" i="14" s="1"/>
  <c r="AZ17" i="15" l="1"/>
  <c r="BF20" i="4"/>
  <c r="BF147" i="4"/>
  <c r="BF60" i="4"/>
  <c r="BF74" i="4"/>
  <c r="BE149" i="4"/>
  <c r="BE170" i="4"/>
  <c r="BE172" i="4" s="1"/>
  <c r="BE179" i="4" s="1"/>
  <c r="BU114" i="12"/>
  <c r="BS180" i="12"/>
  <c r="BS115" i="12" s="1"/>
  <c r="BS48" i="12"/>
  <c r="BU179" i="12"/>
  <c r="BU47" i="12"/>
  <c r="BH60" i="14"/>
  <c r="BI60" i="14" s="1"/>
  <c r="BI182" i="12"/>
  <c r="BI117" i="12" s="1"/>
  <c r="BI50" i="12"/>
  <c r="BN181" i="12"/>
  <c r="BN59" i="14" s="1"/>
  <c r="BN49" i="12"/>
  <c r="BD118" i="12" l="1"/>
  <c r="AZ21" i="15"/>
  <c r="BN116" i="12"/>
  <c r="BT180" i="12"/>
  <c r="BT115" i="12" s="1"/>
  <c r="BT48" i="12"/>
  <c r="BJ182" i="12"/>
  <c r="BJ117" i="12" s="1"/>
  <c r="BJ50" i="12"/>
  <c r="BF21" i="4"/>
  <c r="BF23" i="4"/>
  <c r="BS58" i="14"/>
  <c r="BK182" i="12" l="1"/>
  <c r="BK117" i="12" s="1"/>
  <c r="BK50" i="12"/>
  <c r="BU180" i="12"/>
  <c r="BU115" i="12" s="1"/>
  <c r="BU48" i="12"/>
  <c r="BJ60" i="14"/>
  <c r="BK60" i="14" s="1"/>
  <c r="BO116" i="12"/>
  <c r="AZ22" i="15"/>
  <c r="BD51" i="12"/>
  <c r="BF25" i="4"/>
  <c r="BF24" i="4"/>
  <c r="BF49" i="4"/>
  <c r="BO181" i="12"/>
  <c r="BL60" i="14" l="1"/>
  <c r="BF26" i="4"/>
  <c r="BO59" i="14"/>
  <c r="BO49" i="12"/>
  <c r="BL182" i="12"/>
  <c r="BL117" i="12" s="1"/>
  <c r="BL50" i="12"/>
  <c r="BE183" i="12"/>
  <c r="BE51" i="12"/>
  <c r="BD65" i="12"/>
  <c r="BF50" i="4"/>
  <c r="BF72" i="4"/>
  <c r="AZ23" i="15"/>
  <c r="BF40" i="4"/>
  <c r="AZ34" i="15"/>
  <c r="BP181" i="12" l="1"/>
  <c r="BP116" i="12" s="1"/>
  <c r="BP49" i="12"/>
  <c r="BF77" i="4"/>
  <c r="BM60" i="14"/>
  <c r="AZ36" i="15"/>
  <c r="AZ35" i="15"/>
  <c r="AZ37" i="15"/>
  <c r="AZ40" i="15"/>
  <c r="AZ48" i="15" s="1"/>
  <c r="BE196" i="12"/>
  <c r="BE61" i="14"/>
  <c r="BE118" i="12"/>
  <c r="BF118" i="12" s="1"/>
  <c r="AZ47" i="15"/>
  <c r="BF33" i="4"/>
  <c r="BP59" i="14"/>
  <c r="BF183" i="12"/>
  <c r="BF51" i="12"/>
  <c r="BF43" i="4"/>
  <c r="BM182" i="12"/>
  <c r="BM117" i="12" s="1"/>
  <c r="BM50" i="12"/>
  <c r="BG183" i="12" l="1"/>
  <c r="BG51" i="12"/>
  <c r="AZ41" i="15"/>
  <c r="BF61" i="14"/>
  <c r="BE74" i="14"/>
  <c r="BE4" i="14" s="1"/>
  <c r="BQ59" i="14"/>
  <c r="BA31" i="15"/>
  <c r="BE64" i="12"/>
  <c r="BA27" i="15" s="1"/>
  <c r="BN182" i="12"/>
  <c r="BN117" i="12" s="1"/>
  <c r="BF54" i="4"/>
  <c r="AZ43" i="15"/>
  <c r="AZ29" i="15"/>
  <c r="AZ46" i="15"/>
  <c r="BQ181" i="12"/>
  <c r="BQ116" i="12" s="1"/>
  <c r="BQ49" i="12"/>
  <c r="BG118" i="12"/>
  <c r="AZ42" i="15"/>
  <c r="BE6" i="14" l="1"/>
  <c r="BG15" i="4" s="1"/>
  <c r="BE5" i="14"/>
  <c r="BN50" i="12"/>
  <c r="BG61" i="14"/>
  <c r="BH61" i="14" s="1"/>
  <c r="BN60" i="14"/>
  <c r="BG41" i="4"/>
  <c r="BG42" i="4"/>
  <c r="AZ44" i="15"/>
  <c r="BH118" i="12"/>
  <c r="BR181" i="12"/>
  <c r="BR116" i="12" s="1"/>
  <c r="BR49" i="12"/>
  <c r="BH183" i="12"/>
  <c r="BH51" i="12"/>
  <c r="BF55" i="4"/>
  <c r="BF57" i="4" s="1"/>
  <c r="BF34" i="4"/>
  <c r="BF68" i="4"/>
  <c r="BF67" i="4"/>
  <c r="BF64" i="4"/>
  <c r="BF62" i="4"/>
  <c r="BF65" i="4"/>
  <c r="BF63" i="4"/>
  <c r="BF61" i="4"/>
  <c r="BF66" i="4"/>
  <c r="BF56" i="4"/>
  <c r="BF69" i="4" l="1"/>
  <c r="BI183" i="12"/>
  <c r="BI118" i="12" s="1"/>
  <c r="BI51" i="12"/>
  <c r="BR59" i="14"/>
  <c r="BS59" i="14" s="1"/>
  <c r="BO182" i="12"/>
  <c r="BO117" i="12" s="1"/>
  <c r="BO50" i="12"/>
  <c r="BE3" i="14"/>
  <c r="BE62" i="14" s="1"/>
  <c r="BG14" i="4"/>
  <c r="BS181" i="12"/>
  <c r="BS116" i="12" s="1"/>
  <c r="BS49" i="12"/>
  <c r="BI61" i="14" l="1"/>
  <c r="BJ61" i="14" s="1"/>
  <c r="BF79" i="4"/>
  <c r="BF80" i="4"/>
  <c r="BP117" i="12"/>
  <c r="BO60" i="14"/>
  <c r="BJ183" i="12"/>
  <c r="BJ118" i="12" s="1"/>
  <c r="BJ51" i="12"/>
  <c r="BG18" i="4"/>
  <c r="BP182" i="12"/>
  <c r="BP50" i="12"/>
  <c r="BT181" i="12"/>
  <c r="BT49" i="12" s="1"/>
  <c r="BQ182" i="12" l="1"/>
  <c r="BQ50" i="12"/>
  <c r="BQ117" i="12"/>
  <c r="BF167" i="4"/>
  <c r="BF141" i="4"/>
  <c r="BF142" i="4"/>
  <c r="BK61" i="14"/>
  <c r="BA17" i="15"/>
  <c r="BG60" i="4"/>
  <c r="BG147" i="4"/>
  <c r="BG74" i="4"/>
  <c r="BK183" i="12"/>
  <c r="BK118" i="12" s="1"/>
  <c r="BK51" i="12"/>
  <c r="BT116" i="12"/>
  <c r="BU181" i="12" s="1"/>
  <c r="BU49" i="12" s="1"/>
  <c r="BP60" i="14"/>
  <c r="BQ60" i="14" s="1"/>
  <c r="BL61" i="14" l="1"/>
  <c r="BR182" i="12"/>
  <c r="BR60" i="14" s="1"/>
  <c r="BR50" i="12"/>
  <c r="BU116" i="12"/>
  <c r="BE119" i="12"/>
  <c r="BA21" i="15"/>
  <c r="BL183" i="12"/>
  <c r="BL118" i="12" s="1"/>
  <c r="BL51" i="12"/>
  <c r="BF149" i="4"/>
  <c r="BF170" i="4" s="1"/>
  <c r="BF172" i="4" s="1"/>
  <c r="BF179" i="4" s="1"/>
  <c r="BM118" i="12" l="1"/>
  <c r="BR117" i="12"/>
  <c r="BA22" i="15"/>
  <c r="BE52" i="12"/>
  <c r="BE131" i="12"/>
  <c r="BA26" i="15" s="1"/>
  <c r="BM183" i="12"/>
  <c r="BM61" i="14" s="1"/>
  <c r="BM51" i="12"/>
  <c r="BF184" i="12" l="1"/>
  <c r="BF52" i="12"/>
  <c r="BE65" i="12"/>
  <c r="BA23" i="15"/>
  <c r="BG40" i="4"/>
  <c r="BA34" i="15"/>
  <c r="BN183" i="12"/>
  <c r="BN61" i="14" s="1"/>
  <c r="BN51" i="12"/>
  <c r="BG19" i="4"/>
  <c r="BA28" i="15"/>
  <c r="BS182" i="12"/>
  <c r="BS60" i="14" l="1"/>
  <c r="BS50" i="12"/>
  <c r="BA46" i="15"/>
  <c r="BA29" i="15"/>
  <c r="BG43" i="4"/>
  <c r="BA47" i="15"/>
  <c r="BG33" i="4"/>
  <c r="BG22" i="4"/>
  <c r="BG20" i="4"/>
  <c r="BS117" i="12"/>
  <c r="BO183" i="12"/>
  <c r="BO61" i="14" s="1"/>
  <c r="BO51" i="12"/>
  <c r="BF196" i="12"/>
  <c r="BF62" i="14"/>
  <c r="BF119" i="12"/>
  <c r="BN118" i="12"/>
  <c r="BA36" i="15"/>
  <c r="BA40" i="15"/>
  <c r="BA35" i="15"/>
  <c r="BA37" i="15"/>
  <c r="BF131" i="12" l="1"/>
  <c r="BB26" i="15" s="1"/>
  <c r="BG21" i="4"/>
  <c r="BG23" i="4"/>
  <c r="BG54" i="4"/>
  <c r="BF74" i="14"/>
  <c r="BF4" i="14" s="1"/>
  <c r="BA41" i="15"/>
  <c r="BB31" i="15"/>
  <c r="BF64" i="12"/>
  <c r="BB27" i="15" s="1"/>
  <c r="BA42" i="15"/>
  <c r="BA43" i="15"/>
  <c r="BT182" i="12"/>
  <c r="BT117" i="12" s="1"/>
  <c r="BT50" i="12"/>
  <c r="BG184" i="12"/>
  <c r="BG52" i="12" s="1"/>
  <c r="BA48" i="15"/>
  <c r="BO118" i="12"/>
  <c r="BH42" i="4" l="1"/>
  <c r="BG57" i="4"/>
  <c r="BG34" i="4"/>
  <c r="BG61" i="4"/>
  <c r="BG55" i="4"/>
  <c r="BG65" i="4"/>
  <c r="BG68" i="4"/>
  <c r="BG66" i="4"/>
  <c r="BG64" i="4"/>
  <c r="BG62" i="4"/>
  <c r="BG67" i="4"/>
  <c r="BG63" i="4"/>
  <c r="BG56" i="4"/>
  <c r="BG25" i="4"/>
  <c r="BG24" i="4"/>
  <c r="BH184" i="12"/>
  <c r="BH52" i="12"/>
  <c r="BG49" i="4"/>
  <c r="BG62" i="14"/>
  <c r="BH62" i="14" s="1"/>
  <c r="BG119" i="12"/>
  <c r="BB28" i="15"/>
  <c r="BH41" i="4"/>
  <c r="BP183" i="12"/>
  <c r="BA44" i="15"/>
  <c r="BF6" i="14"/>
  <c r="BH15" i="4" s="1"/>
  <c r="BF5" i="14"/>
  <c r="BH19" i="4"/>
  <c r="BU182" i="12"/>
  <c r="BU117" i="12" s="1"/>
  <c r="BU50" i="12" l="1"/>
  <c r="BP61" i="14"/>
  <c r="BP51" i="12"/>
  <c r="BG50" i="4"/>
  <c r="BG72" i="4"/>
  <c r="BF3" i="14"/>
  <c r="BF63" i="14" s="1"/>
  <c r="BH14" i="4"/>
  <c r="BG69" i="4"/>
  <c r="BH119" i="12"/>
  <c r="BH22" i="4"/>
  <c r="BG26" i="4"/>
  <c r="BP118" i="12"/>
  <c r="BI119" i="12" l="1"/>
  <c r="BQ118" i="12"/>
  <c r="BH18" i="4"/>
  <c r="BG77" i="4"/>
  <c r="BQ183" i="12"/>
  <c r="BQ61" i="14" s="1"/>
  <c r="BQ51" i="12"/>
  <c r="BI184" i="12"/>
  <c r="BI62" i="14" l="1"/>
  <c r="BI52" i="12"/>
  <c r="BG79" i="4"/>
  <c r="BG80" i="4"/>
  <c r="BB17" i="15"/>
  <c r="BH20" i="4"/>
  <c r="BH60" i="4"/>
  <c r="BH74" i="4"/>
  <c r="BH147" i="4"/>
  <c r="BR183" i="12"/>
  <c r="BR61" i="14" s="1"/>
  <c r="BR51" i="12"/>
  <c r="BF120" i="12" l="1"/>
  <c r="BB21" i="15"/>
  <c r="BR118" i="12"/>
  <c r="BJ184" i="12"/>
  <c r="BJ119" i="12" s="1"/>
  <c r="BH21" i="4"/>
  <c r="BH23" i="4"/>
  <c r="BG167" i="4"/>
  <c r="BG142" i="4"/>
  <c r="BG141" i="4"/>
  <c r="BG149" i="4" l="1"/>
  <c r="BB22" i="15"/>
  <c r="BF53" i="12"/>
  <c r="BH24" i="4"/>
  <c r="BH25" i="4"/>
  <c r="BS118" i="12"/>
  <c r="BG170" i="4"/>
  <c r="BG172" i="4" s="1"/>
  <c r="BG179" i="4" s="1"/>
  <c r="BH49" i="4"/>
  <c r="BS183" i="12"/>
  <c r="BJ62" i="14"/>
  <c r="BJ52" i="12"/>
  <c r="BH26" i="4" l="1"/>
  <c r="BH72" i="4"/>
  <c r="BH50" i="4"/>
  <c r="BK184" i="12"/>
  <c r="BK119" i="12" s="1"/>
  <c r="BK52" i="12"/>
  <c r="BK62" i="14"/>
  <c r="BG185" i="12"/>
  <c r="BF65" i="12"/>
  <c r="BB23" i="15"/>
  <c r="BH40" i="4"/>
  <c r="BB34" i="15"/>
  <c r="BS61" i="14"/>
  <c r="BS51" i="12"/>
  <c r="BG196" i="12" l="1"/>
  <c r="BG63" i="14"/>
  <c r="BG120" i="12"/>
  <c r="BB40" i="15"/>
  <c r="BB48" i="15" s="1"/>
  <c r="BB35" i="15"/>
  <c r="BB37" i="15"/>
  <c r="BB36" i="15"/>
  <c r="BL184" i="12"/>
  <c r="BL119" i="12" s="1"/>
  <c r="BL52" i="12"/>
  <c r="BH43" i="4"/>
  <c r="BB47" i="15"/>
  <c r="BH33" i="4"/>
  <c r="BH77" i="4"/>
  <c r="BT183" i="12"/>
  <c r="BT118" i="12" s="1"/>
  <c r="BT51" i="12"/>
  <c r="BG53" i="12"/>
  <c r="BB41" i="15" l="1"/>
  <c r="BM184" i="12"/>
  <c r="BM119" i="12" s="1"/>
  <c r="BM52" i="12"/>
  <c r="BB42" i="15"/>
  <c r="BL62" i="14"/>
  <c r="BH185" i="12"/>
  <c r="BH120" i="12" s="1"/>
  <c r="BH53" i="12"/>
  <c r="BU118" i="12"/>
  <c r="BH54" i="4"/>
  <c r="BB43" i="15"/>
  <c r="BB46" i="15"/>
  <c r="BB29" i="15"/>
  <c r="BG74" i="14"/>
  <c r="BG4" i="14" s="1"/>
  <c r="BU183" i="12"/>
  <c r="BU51" i="12"/>
  <c r="BC31" i="15"/>
  <c r="BG64" i="12"/>
  <c r="BC27" i="15" s="1"/>
  <c r="BH34" i="4" l="1"/>
  <c r="BH63" i="4"/>
  <c r="BH55" i="4"/>
  <c r="BH57" i="4" s="1"/>
  <c r="BH67" i="4"/>
  <c r="BH62" i="4"/>
  <c r="BH68" i="4"/>
  <c r="BH66" i="4"/>
  <c r="BH65" i="4"/>
  <c r="BH64" i="4"/>
  <c r="BH61" i="4"/>
  <c r="BH56" i="4"/>
  <c r="BI41" i="4"/>
  <c r="BN184" i="12"/>
  <c r="BN119" i="12" s="1"/>
  <c r="BN52" i="12"/>
  <c r="BH63" i="14"/>
  <c r="BI63" i="14" s="1"/>
  <c r="BM62" i="14"/>
  <c r="BN62" i="14" s="1"/>
  <c r="BB44" i="15"/>
  <c r="BI42" i="4"/>
  <c r="BI185" i="12"/>
  <c r="BI120" i="12" s="1"/>
  <c r="BI53" i="12"/>
  <c r="BG6" i="14"/>
  <c r="BI15" i="4" s="1"/>
  <c r="BG5" i="14"/>
  <c r="BJ120" i="12" l="1"/>
  <c r="BG3" i="14"/>
  <c r="BG64" i="14" s="1"/>
  <c r="BI14" i="4"/>
  <c r="BO62" i="14"/>
  <c r="BJ185" i="12"/>
  <c r="BJ53" i="12"/>
  <c r="BJ63" i="14"/>
  <c r="BH69" i="4"/>
  <c r="BO184" i="12"/>
  <c r="BO119" i="12" s="1"/>
  <c r="BO52" i="12"/>
  <c r="BP184" i="12" l="1"/>
  <c r="BP119" i="12" s="1"/>
  <c r="BP52" i="12"/>
  <c r="BH79" i="4"/>
  <c r="BH80" i="4"/>
  <c r="BK120" i="12"/>
  <c r="BI18" i="4"/>
  <c r="BK185" i="12"/>
  <c r="BK63" i="14" s="1"/>
  <c r="BK53" i="12"/>
  <c r="BL185" i="12" l="1"/>
  <c r="BL63" i="14" s="1"/>
  <c r="BL53" i="12"/>
  <c r="BH167" i="4"/>
  <c r="BH142" i="4"/>
  <c r="BH141" i="4"/>
  <c r="BQ184" i="12"/>
  <c r="BQ119" i="12" s="1"/>
  <c r="BQ52" i="12"/>
  <c r="BC17" i="15"/>
  <c r="BI60" i="4"/>
  <c r="BI147" i="4"/>
  <c r="BI74" i="4"/>
  <c r="BP62" i="14"/>
  <c r="BQ62" i="14" s="1"/>
  <c r="BM185" i="12" l="1"/>
  <c r="BM63" i="14" s="1"/>
  <c r="BM53" i="12"/>
  <c r="BG121" i="12"/>
  <c r="BC21" i="15"/>
  <c r="BR184" i="12"/>
  <c r="BR119" i="12" s="1"/>
  <c r="BR52" i="12"/>
  <c r="BL120" i="12"/>
  <c r="BR62" i="14"/>
  <c r="BH149" i="4"/>
  <c r="BH170" i="4" s="1"/>
  <c r="BH172" i="4" s="1"/>
  <c r="BH179" i="4" s="1"/>
  <c r="BM120" i="12" l="1"/>
  <c r="BN185" i="12" s="1"/>
  <c r="BS184" i="12"/>
  <c r="BS119" i="12" s="1"/>
  <c r="BS52" i="12"/>
  <c r="BC22" i="15"/>
  <c r="BG54" i="12"/>
  <c r="BG131" i="12"/>
  <c r="BC26" i="15" s="1"/>
  <c r="BT119" i="12" l="1"/>
  <c r="BN63" i="14"/>
  <c r="BN53" i="12"/>
  <c r="BH186" i="12"/>
  <c r="BH54" i="12" s="1"/>
  <c r="BG65" i="12"/>
  <c r="BT184" i="12"/>
  <c r="BT52" i="12"/>
  <c r="BN120" i="12"/>
  <c r="BI19" i="4"/>
  <c r="BC28" i="15"/>
  <c r="BS62" i="14"/>
  <c r="BC23" i="15"/>
  <c r="BI40" i="4"/>
  <c r="BC34" i="15"/>
  <c r="BO185" i="12" l="1"/>
  <c r="BO120" i="12" s="1"/>
  <c r="BO53" i="12"/>
  <c r="BI22" i="4"/>
  <c r="BI20" i="4"/>
  <c r="BU184" i="12"/>
  <c r="BU119" i="12" s="1"/>
  <c r="BU52" i="12"/>
  <c r="BI43" i="4"/>
  <c r="BC48" i="15"/>
  <c r="BC47" i="15"/>
  <c r="BI33" i="4"/>
  <c r="BH196" i="12"/>
  <c r="BH64" i="14"/>
  <c r="BH121" i="12"/>
  <c r="BO63" i="14"/>
  <c r="BC35" i="15"/>
  <c r="BC40" i="15"/>
  <c r="BC36" i="15"/>
  <c r="BP185" i="12" l="1"/>
  <c r="BP120" i="12" s="1"/>
  <c r="BP53" i="12"/>
  <c r="BI64" i="14"/>
  <c r="BH74" i="14"/>
  <c r="BH4" i="14" s="1"/>
  <c r="BC43" i="15"/>
  <c r="BI121" i="12"/>
  <c r="BI54" i="4"/>
  <c r="BD31" i="15"/>
  <c r="BH64" i="12"/>
  <c r="BD27" i="15" s="1"/>
  <c r="BC29" i="15"/>
  <c r="BC42" i="15"/>
  <c r="BC46" i="15"/>
  <c r="BC37" i="15"/>
  <c r="BI21" i="4"/>
  <c r="BI23" i="4"/>
  <c r="BI186" i="12"/>
  <c r="BI54" i="12" s="1"/>
  <c r="BI49" i="4" l="1"/>
  <c r="BJ41" i="4"/>
  <c r="BJ42" i="4"/>
  <c r="BC41" i="15"/>
  <c r="BH6" i="14"/>
  <c r="BJ15" i="4" s="1"/>
  <c r="BH5" i="14"/>
  <c r="BI34" i="4"/>
  <c r="BI55" i="4"/>
  <c r="BI63" i="4"/>
  <c r="BI67" i="4"/>
  <c r="BI57" i="4"/>
  <c r="BI65" i="4"/>
  <c r="BI68" i="4"/>
  <c r="BI64" i="4"/>
  <c r="BI62" i="4"/>
  <c r="BI61" i="4"/>
  <c r="BI66" i="4"/>
  <c r="BI56" i="4"/>
  <c r="BQ185" i="12"/>
  <c r="BQ120" i="12" s="1"/>
  <c r="BQ53" i="12"/>
  <c r="BJ186" i="12"/>
  <c r="BJ54" i="12" s="1"/>
  <c r="BP63" i="14"/>
  <c r="BI25" i="4"/>
  <c r="BI24" i="4"/>
  <c r="BJ64" i="14" l="1"/>
  <c r="BJ121" i="12"/>
  <c r="BR185" i="12"/>
  <c r="BR120" i="12" s="1"/>
  <c r="BR53" i="12"/>
  <c r="BH3" i="14"/>
  <c r="BH65" i="14" s="1"/>
  <c r="BJ14" i="4"/>
  <c r="BJ18" i="4" s="1"/>
  <c r="BI26" i="4"/>
  <c r="BQ63" i="14"/>
  <c r="BR63" i="14" s="1"/>
  <c r="BC44" i="15"/>
  <c r="BI50" i="4"/>
  <c r="BI72" i="4"/>
  <c r="BI69" i="4"/>
  <c r="BS185" i="12" l="1"/>
  <c r="BS120" i="12" s="1"/>
  <c r="BS53" i="12"/>
  <c r="BS63" i="14"/>
  <c r="BI77" i="4"/>
  <c r="BD17" i="15"/>
  <c r="BJ74" i="4"/>
  <c r="BJ60" i="4"/>
  <c r="BJ147" i="4"/>
  <c r="BK186" i="12"/>
  <c r="BK54" i="12" s="1"/>
  <c r="BK121" i="12" l="1"/>
  <c r="BL186" i="12" s="1"/>
  <c r="BL54" i="12" s="1"/>
  <c r="BT185" i="12"/>
  <c r="BT120" i="12" s="1"/>
  <c r="BT53" i="12"/>
  <c r="BK64" i="14"/>
  <c r="BH122" i="12"/>
  <c r="BD21" i="15"/>
  <c r="BI80" i="4"/>
  <c r="BI79" i="4"/>
  <c r="BL64" i="14" l="1"/>
  <c r="BU185" i="12"/>
  <c r="BU120" i="12" s="1"/>
  <c r="BU53" i="12"/>
  <c r="BI167" i="4"/>
  <c r="BI141" i="4"/>
  <c r="BI142" i="4"/>
  <c r="BD22" i="15"/>
  <c r="BH55" i="12"/>
  <c r="BL121" i="12"/>
  <c r="BH131" i="12"/>
  <c r="BD26" i="15" s="1"/>
  <c r="BI187" i="12" l="1"/>
  <c r="BI55" i="12"/>
  <c r="BH65" i="12"/>
  <c r="BM64" i="14"/>
  <c r="BD23" i="15"/>
  <c r="BJ40" i="4"/>
  <c r="BJ43" i="4" s="1"/>
  <c r="BD34" i="15"/>
  <c r="BM186" i="12"/>
  <c r="BM54" i="12" s="1"/>
  <c r="BI149" i="4"/>
  <c r="BI170" i="4" s="1"/>
  <c r="BI172" i="4" s="1"/>
  <c r="BI179" i="4" s="1"/>
  <c r="BJ19" i="4"/>
  <c r="BD28" i="15"/>
  <c r="BD46" i="15" l="1"/>
  <c r="BD29" i="15"/>
  <c r="BD40" i="15"/>
  <c r="BD36" i="15"/>
  <c r="BD35" i="15"/>
  <c r="BD37" i="15" s="1"/>
  <c r="BJ54" i="4"/>
  <c r="BD48" i="15"/>
  <c r="BD47" i="15"/>
  <c r="BJ33" i="4"/>
  <c r="BJ22" i="4"/>
  <c r="BJ20" i="4"/>
  <c r="BI196" i="12"/>
  <c r="BI65" i="14"/>
  <c r="BI122" i="12"/>
  <c r="BM121" i="12"/>
  <c r="BN186" i="12" s="1"/>
  <c r="BN64" i="14" l="1"/>
  <c r="BN54" i="12"/>
  <c r="BD41" i="15"/>
  <c r="BJ122" i="12"/>
  <c r="BJ65" i="14"/>
  <c r="BI74" i="14"/>
  <c r="BI4" i="14" s="1"/>
  <c r="BE31" i="15"/>
  <c r="BK42" i="4" s="1"/>
  <c r="BI64" i="12"/>
  <c r="BE27" i="15" s="1"/>
  <c r="BD43" i="15"/>
  <c r="BJ21" i="4"/>
  <c r="BJ23" i="4"/>
  <c r="BJ55" i="4"/>
  <c r="BJ57" i="4" s="1"/>
  <c r="BJ67" i="4"/>
  <c r="BJ63" i="4"/>
  <c r="BJ62" i="4"/>
  <c r="BJ66" i="4"/>
  <c r="BJ65" i="4"/>
  <c r="BJ61" i="4"/>
  <c r="BJ68" i="4"/>
  <c r="BJ64" i="4"/>
  <c r="BJ56" i="4"/>
  <c r="BJ187" i="12"/>
  <c r="BJ55" i="12" s="1"/>
  <c r="BN121" i="12"/>
  <c r="BD42" i="15"/>
  <c r="BJ69" i="4" l="1"/>
  <c r="BI6" i="14"/>
  <c r="BK15" i="4" s="1"/>
  <c r="BI5" i="14"/>
  <c r="BJ25" i="4"/>
  <c r="BJ24" i="4"/>
  <c r="BJ49" i="4"/>
  <c r="BO121" i="12"/>
  <c r="BK187" i="12"/>
  <c r="BK122" i="12" s="1"/>
  <c r="BK55" i="12"/>
  <c r="BD44" i="15"/>
  <c r="BK41" i="4"/>
  <c r="BO186" i="12"/>
  <c r="BO54" i="12"/>
  <c r="BO64" i="14"/>
  <c r="BL187" i="12" l="1"/>
  <c r="BL122" i="12" s="1"/>
  <c r="BL55" i="12"/>
  <c r="BP121" i="12"/>
  <c r="BI3" i="14"/>
  <c r="BI66" i="14" s="1"/>
  <c r="BK14" i="4"/>
  <c r="BK18" i="4" s="1"/>
  <c r="BK65" i="14"/>
  <c r="BL65" i="14" s="1"/>
  <c r="BP64" i="14"/>
  <c r="BJ26" i="4"/>
  <c r="BJ34" i="4"/>
  <c r="BP186" i="12"/>
  <c r="BP54" i="12"/>
  <c r="BJ50" i="4"/>
  <c r="BJ72" i="4"/>
  <c r="BJ77" i="4" s="1"/>
  <c r="BM122" i="12" l="1"/>
  <c r="BJ79" i="4"/>
  <c r="BJ80" i="4"/>
  <c r="BM65" i="14"/>
  <c r="BE17" i="15"/>
  <c r="BK74" i="4"/>
  <c r="BK60" i="4"/>
  <c r="BK147" i="4"/>
  <c r="BQ186" i="12"/>
  <c r="BQ121" i="12" s="1"/>
  <c r="BQ54" i="12"/>
  <c r="BM187" i="12"/>
  <c r="BM55" i="12"/>
  <c r="BJ167" i="4" l="1"/>
  <c r="BJ141" i="4"/>
  <c r="BJ142" i="4"/>
  <c r="BQ64" i="14"/>
  <c r="BR64" i="14" s="1"/>
  <c r="BN187" i="12"/>
  <c r="BN122" i="12" s="1"/>
  <c r="BN55" i="12"/>
  <c r="BR186" i="12"/>
  <c r="BR121" i="12" s="1"/>
  <c r="BR54" i="12"/>
  <c r="BI123" i="12"/>
  <c r="BE21" i="15"/>
  <c r="BN65" i="14"/>
  <c r="BO187" i="12" l="1"/>
  <c r="BO122" i="12" s="1"/>
  <c r="BO55" i="12"/>
  <c r="BO65" i="14"/>
  <c r="BE22" i="15"/>
  <c r="BI56" i="12"/>
  <c r="BI131" i="12"/>
  <c r="BE26" i="15" s="1"/>
  <c r="BS186" i="12"/>
  <c r="BS64" i="14" s="1"/>
  <c r="BS54" i="12"/>
  <c r="BJ149" i="4"/>
  <c r="BJ170" i="4"/>
  <c r="BJ172" i="4" s="1"/>
  <c r="BJ179" i="4" s="1"/>
  <c r="BP122" i="12" l="1"/>
  <c r="BE23" i="15"/>
  <c r="BK40" i="4"/>
  <c r="BK43" i="4" s="1"/>
  <c r="BE34" i="15"/>
  <c r="BP65" i="14"/>
  <c r="BT186" i="12"/>
  <c r="BT54" i="12"/>
  <c r="BP187" i="12"/>
  <c r="BP55" i="12"/>
  <c r="BK19" i="4"/>
  <c r="BE28" i="15"/>
  <c r="BS121" i="12"/>
  <c r="BJ188" i="12"/>
  <c r="BJ56" i="12"/>
  <c r="BI65" i="12"/>
  <c r="BK22" i="4" l="1"/>
  <c r="BK20" i="4"/>
  <c r="BE47" i="15"/>
  <c r="BK33" i="4"/>
  <c r="BQ187" i="12"/>
  <c r="BQ55" i="12" s="1"/>
  <c r="BK188" i="12"/>
  <c r="BK56" i="12"/>
  <c r="BJ196" i="12"/>
  <c r="BJ66" i="14"/>
  <c r="BJ123" i="12"/>
  <c r="BQ65" i="14"/>
  <c r="BT121" i="12"/>
  <c r="BE40" i="15"/>
  <c r="BE43" i="15" s="1"/>
  <c r="BE36" i="15"/>
  <c r="BE35" i="15"/>
  <c r="BE42" i="15" s="1"/>
  <c r="BE29" i="15"/>
  <c r="BK54" i="4"/>
  <c r="BQ122" i="12" l="1"/>
  <c r="BE46" i="15"/>
  <c r="BK123" i="12"/>
  <c r="BK66" i="14"/>
  <c r="BJ74" i="14"/>
  <c r="BJ4" i="14" s="1"/>
  <c r="BF31" i="15"/>
  <c r="BL42" i="4" s="1"/>
  <c r="BJ64" i="12"/>
  <c r="BF27" i="15" s="1"/>
  <c r="BE48" i="15"/>
  <c r="BE37" i="15"/>
  <c r="BE41" i="15" s="1"/>
  <c r="BE44" i="15" s="1"/>
  <c r="BK21" i="4"/>
  <c r="BK23" i="4"/>
  <c r="BK55" i="4"/>
  <c r="BK62" i="4"/>
  <c r="BK67" i="4"/>
  <c r="BK66" i="4"/>
  <c r="BK63" i="4"/>
  <c r="BK68" i="4"/>
  <c r="BK65" i="4"/>
  <c r="BK61" i="4"/>
  <c r="BK64" i="4"/>
  <c r="BK56" i="4"/>
  <c r="BK57" i="4" s="1"/>
  <c r="BU186" i="12"/>
  <c r="BU54" i="12" s="1"/>
  <c r="BU121" i="12" l="1"/>
  <c r="BR122" i="12"/>
  <c r="BL188" i="12"/>
  <c r="BL56" i="12" s="1"/>
  <c r="BK69" i="4"/>
  <c r="BL41" i="4"/>
  <c r="BR187" i="12"/>
  <c r="BK24" i="4"/>
  <c r="BK25" i="4"/>
  <c r="BJ6" i="14"/>
  <c r="BL15" i="4" s="1"/>
  <c r="BJ5" i="14"/>
  <c r="BK49" i="4"/>
  <c r="BR55" i="12" l="1"/>
  <c r="BR65" i="14"/>
  <c r="BJ3" i="14"/>
  <c r="BJ67" i="14" s="1"/>
  <c r="BL14" i="4"/>
  <c r="BL18" i="4" s="1"/>
  <c r="BL66" i="14"/>
  <c r="BK72" i="4"/>
  <c r="BK77" i="4" s="1"/>
  <c r="BK50" i="4"/>
  <c r="BK26" i="4"/>
  <c r="BK34" i="4"/>
  <c r="BL123" i="12"/>
  <c r="BK80" i="4" l="1"/>
  <c r="BK79" i="4"/>
  <c r="BF17" i="15"/>
  <c r="BL74" i="4"/>
  <c r="BL60" i="4"/>
  <c r="BL147" i="4"/>
  <c r="BM188" i="12"/>
  <c r="BM56" i="12" s="1"/>
  <c r="BS187" i="12"/>
  <c r="BS122" i="12" s="1"/>
  <c r="BS65" i="14" l="1"/>
  <c r="BK167" i="4"/>
  <c r="BK141" i="4"/>
  <c r="BK142" i="4"/>
  <c r="BM123" i="12"/>
  <c r="BS55" i="12"/>
  <c r="BJ124" i="12"/>
  <c r="BF21" i="15"/>
  <c r="BM66" i="14"/>
  <c r="BT187" i="12" l="1"/>
  <c r="BT122" i="12" s="1"/>
  <c r="BT55" i="12"/>
  <c r="BF22" i="15"/>
  <c r="BJ57" i="12"/>
  <c r="BJ131" i="12"/>
  <c r="BF26" i="15" s="1"/>
  <c r="BK149" i="4"/>
  <c r="BK170" i="4"/>
  <c r="BK172" i="4" s="1"/>
  <c r="BK179" i="4" s="1"/>
  <c r="BN188" i="12"/>
  <c r="BN56" i="12" s="1"/>
  <c r="BL19" i="4" l="1"/>
  <c r="BF28" i="15"/>
  <c r="BK189" i="12"/>
  <c r="BK57" i="12"/>
  <c r="BJ65" i="12"/>
  <c r="BF23" i="15"/>
  <c r="BL40" i="4"/>
  <c r="BL43" i="4" s="1"/>
  <c r="BF34" i="15"/>
  <c r="BN123" i="12"/>
  <c r="BN66" i="14"/>
  <c r="BU187" i="12"/>
  <c r="BU55" i="12"/>
  <c r="BU122" i="12"/>
  <c r="BL54" i="4" l="1"/>
  <c r="BF40" i="15"/>
  <c r="BF43" i="15" s="1"/>
  <c r="BF35" i="15"/>
  <c r="BF42" i="15" s="1"/>
  <c r="BF36" i="15"/>
  <c r="BF37" i="15"/>
  <c r="BF41" i="15" s="1"/>
  <c r="BF44" i="15" s="1"/>
  <c r="BF47" i="15"/>
  <c r="BL33" i="4"/>
  <c r="BL189" i="12"/>
  <c r="BL57" i="12"/>
  <c r="BK196" i="12"/>
  <c r="BK67" i="14"/>
  <c r="BK124" i="12"/>
  <c r="BF29" i="15"/>
  <c r="BO188" i="12"/>
  <c r="BO56" i="12" s="1"/>
  <c r="BL22" i="4"/>
  <c r="BL20" i="4"/>
  <c r="BG31" i="15" l="1"/>
  <c r="BM42" i="4" s="1"/>
  <c r="BK64" i="12"/>
  <c r="BG27" i="15" s="1"/>
  <c r="BL23" i="4"/>
  <c r="BL21" i="4"/>
  <c r="BO123" i="12"/>
  <c r="BM189" i="12"/>
  <c r="BM57" i="12"/>
  <c r="BO66" i="14"/>
  <c r="BP66" i="14" s="1"/>
  <c r="BF46" i="15"/>
  <c r="BL124" i="12"/>
  <c r="BK131" i="12"/>
  <c r="BG26" i="15" s="1"/>
  <c r="BM19" i="4" s="1"/>
  <c r="BF48" i="15"/>
  <c r="BL55" i="4"/>
  <c r="BL62" i="4"/>
  <c r="BL67" i="4"/>
  <c r="BL63" i="4"/>
  <c r="BL65" i="4"/>
  <c r="BL61" i="4"/>
  <c r="BL66" i="4"/>
  <c r="BL68" i="4"/>
  <c r="BL64" i="4"/>
  <c r="BL56" i="4"/>
  <c r="BL57" i="4" s="1"/>
  <c r="BL67" i="14"/>
  <c r="BK74" i="14"/>
  <c r="BK4" i="14" s="1"/>
  <c r="BP188" i="12"/>
  <c r="BP56" i="12" s="1"/>
  <c r="BP123" i="12" l="1"/>
  <c r="BQ188" i="12" s="1"/>
  <c r="BL49" i="4"/>
  <c r="BL69" i="4"/>
  <c r="BL24" i="4"/>
  <c r="BL25" i="4"/>
  <c r="BK6" i="14"/>
  <c r="BM15" i="4" s="1"/>
  <c r="BM22" i="4" s="1"/>
  <c r="BK5" i="14"/>
  <c r="BM124" i="12"/>
  <c r="BG28" i="15"/>
  <c r="BM41" i="4"/>
  <c r="BM67" i="14"/>
  <c r="BQ66" i="14" l="1"/>
  <c r="BQ56" i="12"/>
  <c r="BN189" i="12"/>
  <c r="BN57" i="12" s="1"/>
  <c r="BK3" i="14"/>
  <c r="BK68" i="14" s="1"/>
  <c r="BM14" i="4"/>
  <c r="BM18" i="4" s="1"/>
  <c r="BL50" i="4"/>
  <c r="BL72" i="4"/>
  <c r="BL77" i="4" s="1"/>
  <c r="BL26" i="4"/>
  <c r="BL34" i="4"/>
  <c r="BQ123" i="12"/>
  <c r="BN67" i="14"/>
  <c r="BN124" i="12" l="1"/>
  <c r="BR188" i="12"/>
  <c r="BR56" i="12"/>
  <c r="BR66" i="14"/>
  <c r="BG17" i="15"/>
  <c r="BM20" i="4"/>
  <c r="BM147" i="4"/>
  <c r="BM60" i="4"/>
  <c r="BM74" i="4"/>
  <c r="BR123" i="12"/>
  <c r="BL80" i="4"/>
  <c r="BL79" i="4"/>
  <c r="BL167" i="4" l="1"/>
  <c r="BL142" i="4"/>
  <c r="BL141" i="4"/>
  <c r="BL149" i="4" s="1"/>
  <c r="BS188" i="12"/>
  <c r="BS66" i="14" s="1"/>
  <c r="BS56" i="12"/>
  <c r="BS123" i="12"/>
  <c r="BO189" i="12"/>
  <c r="BM23" i="4"/>
  <c r="BM21" i="4"/>
  <c r="BK125" i="12"/>
  <c r="BG21" i="15"/>
  <c r="BG22" i="15" l="1"/>
  <c r="BK58" i="12"/>
  <c r="BT188" i="12"/>
  <c r="BT123" i="12" s="1"/>
  <c r="BT56" i="12"/>
  <c r="BM49" i="4"/>
  <c r="BM25" i="4"/>
  <c r="BM26" i="4" s="1"/>
  <c r="BM24" i="4"/>
  <c r="BO67" i="14"/>
  <c r="BO57" i="12"/>
  <c r="BL170" i="4"/>
  <c r="BL172" i="4" s="1"/>
  <c r="BL179" i="4" s="1"/>
  <c r="BO124" i="12"/>
  <c r="BP189" i="12" l="1"/>
  <c r="BP124" i="12" s="1"/>
  <c r="BP57" i="12"/>
  <c r="BU188" i="12"/>
  <c r="BU123" i="12" s="1"/>
  <c r="BU56" i="12"/>
  <c r="BP67" i="14"/>
  <c r="BL190" i="12"/>
  <c r="BL58" i="12"/>
  <c r="BK65" i="12"/>
  <c r="BG23" i="15"/>
  <c r="BM40" i="4"/>
  <c r="BM43" i="4" s="1"/>
  <c r="BG34" i="15"/>
  <c r="BM50" i="4"/>
  <c r="BM72" i="4"/>
  <c r="BM77" i="4" s="1"/>
  <c r="BG36" i="15" l="1"/>
  <c r="BG40" i="15"/>
  <c r="BG35" i="15"/>
  <c r="BG42" i="15" s="1"/>
  <c r="BG37" i="15"/>
  <c r="BG41" i="15" s="1"/>
  <c r="BG44" i="15" s="1"/>
  <c r="BM54" i="4"/>
  <c r="BQ189" i="12"/>
  <c r="BQ124" i="12" s="1"/>
  <c r="BQ57" i="12"/>
  <c r="BG47" i="15"/>
  <c r="BG48" i="15"/>
  <c r="BM33" i="4"/>
  <c r="BM190" i="12"/>
  <c r="BM58" i="12"/>
  <c r="BL196" i="12"/>
  <c r="BL68" i="14"/>
  <c r="BL125" i="12"/>
  <c r="BM125" i="12" s="1"/>
  <c r="BN190" i="12" l="1"/>
  <c r="BN125" i="12" s="1"/>
  <c r="BN58" i="12"/>
  <c r="BM55" i="4"/>
  <c r="BM57" i="4"/>
  <c r="BM34" i="4"/>
  <c r="BM68" i="4"/>
  <c r="BM62" i="4"/>
  <c r="BM64" i="4"/>
  <c r="BM65" i="4"/>
  <c r="BM61" i="4"/>
  <c r="BM66" i="4"/>
  <c r="BM67" i="4"/>
  <c r="BM63" i="4"/>
  <c r="BM56" i="4"/>
  <c r="BG43" i="15"/>
  <c r="BG46" i="15"/>
  <c r="BG29" i="15"/>
  <c r="BR189" i="12"/>
  <c r="BR124" i="12" s="1"/>
  <c r="BR57" i="12"/>
  <c r="BM68" i="14"/>
  <c r="BN68" i="14" s="1"/>
  <c r="BL74" i="14"/>
  <c r="BL4" i="14" s="1"/>
  <c r="BQ67" i="14"/>
  <c r="BH31" i="15"/>
  <c r="BN42" i="4" s="1"/>
  <c r="BL64" i="12"/>
  <c r="BH27" i="15" s="1"/>
  <c r="BO68" i="14" l="1"/>
  <c r="BO190" i="12"/>
  <c r="BO125" i="12" s="1"/>
  <c r="BO58" i="12"/>
  <c r="BR67" i="14"/>
  <c r="BS67" i="14" s="1"/>
  <c r="BL6" i="14"/>
  <c r="BN15" i="4" s="1"/>
  <c r="BL5" i="14"/>
  <c r="BS189" i="12"/>
  <c r="BS124" i="12" s="1"/>
  <c r="BS57" i="12"/>
  <c r="BM69" i="4"/>
  <c r="BN41" i="4"/>
  <c r="BP190" i="12" l="1"/>
  <c r="BP125" i="12" s="1"/>
  <c r="BM79" i="4"/>
  <c r="BM80" i="4"/>
  <c r="BT189" i="12"/>
  <c r="BT57" i="12" s="1"/>
  <c r="BL3" i="14"/>
  <c r="BL69" i="14" s="1"/>
  <c r="BN14" i="4"/>
  <c r="BN18" i="4" s="1"/>
  <c r="BP68" i="14"/>
  <c r="BP58" i="12" l="1"/>
  <c r="BH17" i="15"/>
  <c r="BN74" i="4"/>
  <c r="BN60" i="4"/>
  <c r="BN147" i="4"/>
  <c r="BT124" i="12"/>
  <c r="BM141" i="4"/>
  <c r="BM149" i="4" s="1"/>
  <c r="BM167" i="4"/>
  <c r="BM170" i="4" s="1"/>
  <c r="BM172" i="4" s="1"/>
  <c r="BM179" i="4" s="1"/>
  <c r="BM142" i="4"/>
  <c r="BL126" i="12" l="1"/>
  <c r="BH21" i="15"/>
  <c r="BQ190" i="12"/>
  <c r="BQ58" i="12"/>
  <c r="BU189" i="12"/>
  <c r="BU57" i="12" s="1"/>
  <c r="BU124" i="12" l="1"/>
  <c r="BQ125" i="12"/>
  <c r="BQ68" i="14"/>
  <c r="BH22" i="15"/>
  <c r="BL59" i="12"/>
  <c r="BL131" i="12"/>
  <c r="BH26" i="15" s="1"/>
  <c r="BR190" i="12" l="1"/>
  <c r="BR58" i="12" s="1"/>
  <c r="BN19" i="4"/>
  <c r="BH28" i="15"/>
  <c r="BM191" i="12"/>
  <c r="BM59" i="12"/>
  <c r="BL65" i="12"/>
  <c r="BH23" i="15"/>
  <c r="BN40" i="4"/>
  <c r="BN43" i="4" s="1"/>
  <c r="BH34" i="15"/>
  <c r="BR68" i="14"/>
  <c r="BH47" i="15" l="1"/>
  <c r="BN33" i="4"/>
  <c r="BM196" i="12"/>
  <c r="BM69" i="14"/>
  <c r="BM126" i="12"/>
  <c r="BN22" i="4"/>
  <c r="BN20" i="4"/>
  <c r="BH40" i="15"/>
  <c r="BH43" i="15" s="1"/>
  <c r="BH35" i="15"/>
  <c r="BH42" i="15" s="1"/>
  <c r="BH36" i="15"/>
  <c r="BN54" i="4"/>
  <c r="BR125" i="12"/>
  <c r="BS125" i="12" l="1"/>
  <c r="BI31" i="15"/>
  <c r="BO42" i="4" s="1"/>
  <c r="BM64" i="12"/>
  <c r="BI27" i="15" s="1"/>
  <c r="BN21" i="4"/>
  <c r="BN23" i="4"/>
  <c r="BH37" i="15"/>
  <c r="BH41" i="15" s="1"/>
  <c r="BH44" i="15" s="1"/>
  <c r="BN126" i="12"/>
  <c r="BM131" i="12"/>
  <c r="BI26" i="15" s="1"/>
  <c r="BO19" i="4" s="1"/>
  <c r="BM74" i="14"/>
  <c r="BM4" i="14" s="1"/>
  <c r="BN55" i="4"/>
  <c r="BN64" i="4"/>
  <c r="BN62" i="4"/>
  <c r="BN65" i="4"/>
  <c r="BN67" i="4"/>
  <c r="BN61" i="4"/>
  <c r="BN66" i="4"/>
  <c r="BN63" i="4"/>
  <c r="BN68" i="4"/>
  <c r="BN56" i="4"/>
  <c r="BN57" i="4" s="1"/>
  <c r="BN191" i="12"/>
  <c r="BN59" i="12" s="1"/>
  <c r="BS190" i="12"/>
  <c r="BH29" i="15"/>
  <c r="BH48" i="15"/>
  <c r="BH46" i="15"/>
  <c r="BO191" i="12" l="1"/>
  <c r="BO59" i="12"/>
  <c r="BI28" i="15"/>
  <c r="BO41" i="4"/>
  <c r="BN69" i="4"/>
  <c r="BS68" i="14"/>
  <c r="BS58" i="12"/>
  <c r="BO126" i="12"/>
  <c r="BN25" i="4"/>
  <c r="BN24" i="4"/>
  <c r="BN49" i="4"/>
  <c r="BM6" i="14"/>
  <c r="BO15" i="4" s="1"/>
  <c r="BO22" i="4" s="1"/>
  <c r="BM5" i="14"/>
  <c r="BN69" i="14"/>
  <c r="BO69" i="14" s="1"/>
  <c r="BN26" i="4" l="1"/>
  <c r="BN34" i="4"/>
  <c r="BP191" i="12"/>
  <c r="BP59" i="12"/>
  <c r="BP126" i="12"/>
  <c r="BM3" i="14"/>
  <c r="BM70" i="14" s="1"/>
  <c r="BO14" i="4"/>
  <c r="BO18" i="4" s="1"/>
  <c r="BT190" i="12"/>
  <c r="BT125" i="12" s="1"/>
  <c r="BT58" i="12"/>
  <c r="BN50" i="4"/>
  <c r="BN72" i="4"/>
  <c r="BN77" i="4" s="1"/>
  <c r="BP69" i="14"/>
  <c r="BQ69" i="14" l="1"/>
  <c r="BN79" i="4"/>
  <c r="BN80" i="4"/>
  <c r="BU190" i="12"/>
  <c r="BU125" i="12" s="1"/>
  <c r="BU58" i="12"/>
  <c r="BQ191" i="12"/>
  <c r="BQ126" i="12" s="1"/>
  <c r="BQ59" i="12"/>
  <c r="BI17" i="15"/>
  <c r="BO20" i="4"/>
  <c r="BO147" i="4"/>
  <c r="BO74" i="4"/>
  <c r="BO60" i="4"/>
  <c r="BO23" i="4" l="1"/>
  <c r="BO21" i="4"/>
  <c r="BN167" i="4"/>
  <c r="BN170" i="4" s="1"/>
  <c r="BN172" i="4" s="1"/>
  <c r="BN179" i="4" s="1"/>
  <c r="BN142" i="4"/>
  <c r="BN141" i="4"/>
  <c r="BN149" i="4" s="1"/>
  <c r="BM127" i="12"/>
  <c r="BI21" i="15"/>
  <c r="BR191" i="12"/>
  <c r="BR126" i="12" s="1"/>
  <c r="BR59" i="12" l="1"/>
  <c r="BO49" i="4"/>
  <c r="BR69" i="14"/>
  <c r="BO25" i="4"/>
  <c r="BO26" i="4" s="1"/>
  <c r="BO24" i="4"/>
  <c r="BI22" i="15"/>
  <c r="BM60" i="12"/>
  <c r="BS69" i="14" l="1"/>
  <c r="BS191" i="12"/>
  <c r="BS126" i="12" s="1"/>
  <c r="BS59" i="12"/>
  <c r="BO50" i="4"/>
  <c r="BO72" i="4"/>
  <c r="BO77" i="4" s="1"/>
  <c r="BN192" i="12"/>
  <c r="BN60" i="12" s="1"/>
  <c r="BM65" i="12"/>
  <c r="BI23" i="15"/>
  <c r="BO40" i="4"/>
  <c r="BO43" i="4" s="1"/>
  <c r="BI34" i="15"/>
  <c r="BN196" i="12" l="1"/>
  <c r="BN70" i="14"/>
  <c r="BN127" i="12"/>
  <c r="BI36" i="15"/>
  <c r="BI40" i="15"/>
  <c r="BI35" i="15"/>
  <c r="BI42" i="15" s="1"/>
  <c r="BT191" i="12"/>
  <c r="BT126" i="12" s="1"/>
  <c r="BT59" i="12"/>
  <c r="BO54" i="4"/>
  <c r="BI47" i="15"/>
  <c r="BI48" i="15"/>
  <c r="BO33" i="4"/>
  <c r="BO55" i="4" l="1"/>
  <c r="BO57" i="4" s="1"/>
  <c r="BO34" i="4"/>
  <c r="BO64" i="4"/>
  <c r="BO62" i="4"/>
  <c r="BO67" i="4"/>
  <c r="BO65" i="4"/>
  <c r="BO63" i="4"/>
  <c r="BO61" i="4"/>
  <c r="BO66" i="4"/>
  <c r="BO68" i="4"/>
  <c r="BO56" i="4"/>
  <c r="BU191" i="12"/>
  <c r="BU126" i="12" s="1"/>
  <c r="BU59" i="12"/>
  <c r="BI43" i="15"/>
  <c r="BI29" i="15"/>
  <c r="BI46" i="15"/>
  <c r="BO70" i="14"/>
  <c r="BN74" i="14"/>
  <c r="BN4" i="14" s="1"/>
  <c r="BJ31" i="15"/>
  <c r="BP42" i="4" s="1"/>
  <c r="BN64" i="12"/>
  <c r="BJ27" i="15" s="1"/>
  <c r="BI37" i="15"/>
  <c r="BI41" i="15" s="1"/>
  <c r="BI44" i="15" s="1"/>
  <c r="BO192" i="12"/>
  <c r="BO60" i="12" s="1"/>
  <c r="BO127" i="12" l="1"/>
  <c r="BP41" i="4"/>
  <c r="BN6" i="14"/>
  <c r="BP15" i="4" s="1"/>
  <c r="BN5" i="14"/>
  <c r="BO69" i="4"/>
  <c r="BN3" i="14" l="1"/>
  <c r="BN71" i="14" s="1"/>
  <c r="BP14" i="4"/>
  <c r="BP18" i="4" s="1"/>
  <c r="BO79" i="4"/>
  <c r="BO80" i="4"/>
  <c r="BP192" i="12"/>
  <c r="BP60" i="12" l="1"/>
  <c r="BP70" i="14"/>
  <c r="BO167" i="4"/>
  <c r="BO142" i="4"/>
  <c r="BO141" i="4"/>
  <c r="BO149" i="4" s="1"/>
  <c r="BP127" i="12"/>
  <c r="BJ17" i="15"/>
  <c r="BP60" i="4"/>
  <c r="BP147" i="4"/>
  <c r="BP74" i="4"/>
  <c r="BN128" i="12" l="1"/>
  <c r="BJ21" i="15"/>
  <c r="BO170" i="4"/>
  <c r="BO172" i="4" s="1"/>
  <c r="BO179" i="4" s="1"/>
  <c r="BQ70" i="14"/>
  <c r="BQ192" i="12"/>
  <c r="BQ127" i="12" s="1"/>
  <c r="BQ60" i="12"/>
  <c r="BR192" i="12" l="1"/>
  <c r="BR127" i="12" s="1"/>
  <c r="BR60" i="12"/>
  <c r="BJ22" i="15"/>
  <c r="BN61" i="12"/>
  <c r="BR70" i="14"/>
  <c r="BN131" i="12"/>
  <c r="BJ26" i="15" s="1"/>
  <c r="BP19" i="4" l="1"/>
  <c r="BJ28" i="15"/>
  <c r="BS70" i="14"/>
  <c r="BO193" i="12"/>
  <c r="BO61" i="12"/>
  <c r="BN65" i="12"/>
  <c r="BJ23" i="15"/>
  <c r="BP40" i="4"/>
  <c r="BP43" i="4" s="1"/>
  <c r="BJ34" i="15"/>
  <c r="BS192" i="12"/>
  <c r="BS127" i="12" s="1"/>
  <c r="BS60" i="12"/>
  <c r="BO196" i="12" l="1"/>
  <c r="BO71" i="14"/>
  <c r="BO128" i="12"/>
  <c r="BJ47" i="15"/>
  <c r="BJ48" i="15"/>
  <c r="BP33" i="4"/>
  <c r="BT192" i="12"/>
  <c r="BT127" i="12" s="1"/>
  <c r="BT60" i="12"/>
  <c r="BJ40" i="15"/>
  <c r="BJ43" i="15" s="1"/>
  <c r="BJ36" i="15"/>
  <c r="BJ35" i="15"/>
  <c r="BJ42" i="15" s="1"/>
  <c r="BP22" i="4"/>
  <c r="BP20" i="4"/>
  <c r="BP54" i="4"/>
  <c r="BW43" i="4"/>
  <c r="BX43" i="4"/>
  <c r="BY43" i="4"/>
  <c r="BZ43" i="4"/>
  <c r="CA43" i="4"/>
  <c r="BP55" i="4" l="1"/>
  <c r="BP57" i="4" s="1"/>
  <c r="BP66" i="4"/>
  <c r="BP68" i="4"/>
  <c r="BP65" i="4"/>
  <c r="BP67" i="4"/>
  <c r="BP62" i="4"/>
  <c r="BP64" i="4"/>
  <c r="BP61" i="4"/>
  <c r="BP63" i="4"/>
  <c r="BP56" i="4"/>
  <c r="BJ29" i="15"/>
  <c r="BO74" i="14"/>
  <c r="BO4" i="14" s="1"/>
  <c r="BP21" i="4"/>
  <c r="BP23" i="4"/>
  <c r="BJ46" i="15"/>
  <c r="BK31" i="15"/>
  <c r="BO64" i="12"/>
  <c r="BK27" i="15" s="1"/>
  <c r="BU192" i="12"/>
  <c r="BU60" i="12" s="1"/>
  <c r="BJ37" i="15"/>
  <c r="BJ41" i="15" s="1"/>
  <c r="BJ44" i="15" s="1"/>
  <c r="BP193" i="12"/>
  <c r="BP61" i="12" s="1"/>
  <c r="BQ41" i="4" l="1"/>
  <c r="BQ27" i="15"/>
  <c r="BR27" i="15"/>
  <c r="BS27" i="15"/>
  <c r="BT27" i="15"/>
  <c r="BU27" i="15"/>
  <c r="BQ42" i="4"/>
  <c r="BQ31" i="15"/>
  <c r="BR31" i="15"/>
  <c r="BR32" i="15" s="1"/>
  <c r="BS31" i="15"/>
  <c r="BS32" i="15" s="1"/>
  <c r="BT31" i="15"/>
  <c r="BT32" i="15" s="1"/>
  <c r="BU31" i="15"/>
  <c r="BU32" i="15" s="1"/>
  <c r="BP69" i="4"/>
  <c r="BP25" i="4"/>
  <c r="BP24" i="4"/>
  <c r="BP49" i="4"/>
  <c r="BP128" i="12"/>
  <c r="BO6" i="14"/>
  <c r="BQ15" i="4" s="1"/>
  <c r="BO5" i="14"/>
  <c r="BU127" i="12"/>
  <c r="BP71" i="14"/>
  <c r="BO3" i="14" l="1"/>
  <c r="BO72" i="14" s="1"/>
  <c r="BQ14" i="4"/>
  <c r="BQ18" i="4" s="1"/>
  <c r="BP26" i="4"/>
  <c r="BP34" i="4"/>
  <c r="BQ128" i="12"/>
  <c r="BP50" i="4"/>
  <c r="BP72" i="4"/>
  <c r="BP77" i="4" s="1"/>
  <c r="BQ193" i="12"/>
  <c r="BQ61" i="12" s="1"/>
  <c r="BP79" i="4" l="1"/>
  <c r="BP80" i="4"/>
  <c r="BR193" i="12"/>
  <c r="BR128" i="12" s="1"/>
  <c r="BR61" i="12"/>
  <c r="BK17" i="15"/>
  <c r="BQ74" i="4"/>
  <c r="BQ147" i="4"/>
  <c r="BQ60" i="4"/>
  <c r="BQ71" i="14"/>
  <c r="BO129" i="12" l="1"/>
  <c r="BK21" i="15"/>
  <c r="BQ17" i="15"/>
  <c r="BR17" i="15"/>
  <c r="BS17" i="15"/>
  <c r="BT17" i="15"/>
  <c r="BU17" i="15"/>
  <c r="BS193" i="12"/>
  <c r="BS128" i="12" s="1"/>
  <c r="BS61" i="12"/>
  <c r="BR71" i="14"/>
  <c r="BS71" i="14" s="1"/>
  <c r="BP167" i="4"/>
  <c r="BP142" i="4"/>
  <c r="BP141" i="4"/>
  <c r="BK22" i="15" l="1"/>
  <c r="BO62" i="12"/>
  <c r="BQ21" i="15"/>
  <c r="BR21" i="15"/>
  <c r="BS21" i="15"/>
  <c r="BT21" i="15"/>
  <c r="BU21" i="15"/>
  <c r="BT193" i="12"/>
  <c r="BT128" i="12" s="1"/>
  <c r="BT61" i="12"/>
  <c r="BO131" i="12"/>
  <c r="BK26" i="15" s="1"/>
  <c r="BP149" i="4"/>
  <c r="BP170" i="4" s="1"/>
  <c r="BP172" i="4" s="1"/>
  <c r="BP179" i="4" s="1"/>
  <c r="BQ19" i="4" l="1"/>
  <c r="BQ26" i="15"/>
  <c r="BR26" i="15"/>
  <c r="BS26" i="15"/>
  <c r="BT26" i="15"/>
  <c r="BU26" i="15"/>
  <c r="BK28" i="15"/>
  <c r="BP194" i="12"/>
  <c r="BP62" i="12"/>
  <c r="BO65" i="12"/>
  <c r="BU193" i="12"/>
  <c r="BU128" i="12" s="1"/>
  <c r="BU61" i="12"/>
  <c r="BK23" i="15"/>
  <c r="BQ40" i="4"/>
  <c r="BQ43" i="4" s="1"/>
  <c r="BQ22" i="15"/>
  <c r="BR22" i="15"/>
  <c r="BS22" i="15"/>
  <c r="BT22" i="15"/>
  <c r="BU22" i="15"/>
  <c r="BK34" i="15"/>
  <c r="BK46" i="15" l="1"/>
  <c r="BR28" i="15"/>
  <c r="BR29" i="15" s="1"/>
  <c r="BS28" i="15"/>
  <c r="BS29" i="15" s="1"/>
  <c r="BT28" i="15"/>
  <c r="BT29" i="15" s="1"/>
  <c r="BU28" i="15"/>
  <c r="BU29" i="15" s="1"/>
  <c r="BQ54" i="4"/>
  <c r="BK48" i="15"/>
  <c r="BK47" i="15"/>
  <c r="BQ33" i="4"/>
  <c r="L16" i="2"/>
  <c r="BQ23" i="15"/>
  <c r="BR23" i="15"/>
  <c r="BS23" i="15"/>
  <c r="BT23" i="15"/>
  <c r="BU23" i="15"/>
  <c r="BK40" i="15"/>
  <c r="BK36" i="15"/>
  <c r="BK35" i="15"/>
  <c r="BK37" i="15" s="1"/>
  <c r="BQ34" i="15"/>
  <c r="BR34" i="15"/>
  <c r="BS34" i="15"/>
  <c r="BT34" i="15"/>
  <c r="BU34" i="15"/>
  <c r="BQ194" i="12"/>
  <c r="BQ62" i="12"/>
  <c r="BQ22" i="4"/>
  <c r="BQ20" i="4"/>
  <c r="BP196" i="12"/>
  <c r="BP72" i="14"/>
  <c r="BP129" i="12"/>
  <c r="BK41" i="15" l="1"/>
  <c r="BQ37" i="15"/>
  <c r="BR37" i="15"/>
  <c r="BS37" i="15"/>
  <c r="BT37" i="15"/>
  <c r="BU37" i="15"/>
  <c r="BQ63" i="4"/>
  <c r="BQ55" i="4"/>
  <c r="BQ57" i="4" s="1"/>
  <c r="BQ67" i="4"/>
  <c r="BQ64" i="4"/>
  <c r="BQ61" i="4"/>
  <c r="BQ68" i="4"/>
  <c r="BQ62" i="4"/>
  <c r="BQ65" i="4"/>
  <c r="BQ66" i="4"/>
  <c r="BQ56" i="4"/>
  <c r="BS47" i="15"/>
  <c r="BS48" i="15"/>
  <c r="BS24" i="15"/>
  <c r="BT47" i="15"/>
  <c r="BT24" i="15"/>
  <c r="BQ23" i="4"/>
  <c r="BQ21" i="4"/>
  <c r="BR47" i="15"/>
  <c r="BR48" i="15"/>
  <c r="BR24" i="15"/>
  <c r="H24" i="2"/>
  <c r="H10" i="2" s="1"/>
  <c r="H30" i="2" s="1"/>
  <c r="I24" i="2"/>
  <c r="I10" i="2" s="1"/>
  <c r="I30" i="2" s="1"/>
  <c r="J24" i="2"/>
  <c r="J10" i="2" s="1"/>
  <c r="J30" i="2" s="1"/>
  <c r="K24" i="2"/>
  <c r="K10" i="2" s="1"/>
  <c r="BL31" i="15"/>
  <c r="BR42" i="4" s="1"/>
  <c r="BP64" i="12"/>
  <c r="BL27" i="15" s="1"/>
  <c r="BQ36" i="15"/>
  <c r="BR36" i="15"/>
  <c r="BS36" i="15"/>
  <c r="BT36" i="15"/>
  <c r="BU36" i="15"/>
  <c r="BQ129" i="12"/>
  <c r="BK43" i="15"/>
  <c r="L20" i="2"/>
  <c r="L29" i="2" s="1"/>
  <c r="BQ40" i="15"/>
  <c r="BQ45" i="15" s="1"/>
  <c r="BR40" i="15"/>
  <c r="BS40" i="15"/>
  <c r="BT40" i="15"/>
  <c r="BU40" i="15"/>
  <c r="BU48" i="15" s="1"/>
  <c r="BK29" i="15"/>
  <c r="BK42" i="15"/>
  <c r="BQ35" i="15"/>
  <c r="BQ42" i="15" s="1"/>
  <c r="BR35" i="15"/>
  <c r="BR42" i="15" s="1"/>
  <c r="BS35" i="15"/>
  <c r="BS42" i="15" s="1"/>
  <c r="BT35" i="15"/>
  <c r="BT42" i="15" s="1"/>
  <c r="BU35" i="15"/>
  <c r="BQ47" i="15"/>
  <c r="BQ48" i="15"/>
  <c r="BQ72" i="14"/>
  <c r="BP74" i="14"/>
  <c r="BP4" i="14" s="1"/>
  <c r="BU47" i="15"/>
  <c r="BU24" i="15"/>
  <c r="H6" i="2"/>
  <c r="I6" i="2"/>
  <c r="J6" i="2"/>
  <c r="K6" i="2"/>
  <c r="BR41" i="4" l="1"/>
  <c r="BR194" i="12"/>
  <c r="BR62" i="12" s="1"/>
  <c r="BU42" i="15"/>
  <c r="H25" i="2"/>
  <c r="H32" i="2" s="1"/>
  <c r="I25" i="2"/>
  <c r="I32" i="2" s="1"/>
  <c r="J25" i="2"/>
  <c r="J32" i="2" s="1"/>
  <c r="K25" i="2"/>
  <c r="K32" i="2" s="1"/>
  <c r="BT43" i="15"/>
  <c r="BT45" i="15"/>
  <c r="BS43" i="15"/>
  <c r="BS45" i="15"/>
  <c r="BP6" i="14"/>
  <c r="BR15" i="4" s="1"/>
  <c r="BP5" i="14"/>
  <c r="BR43" i="15"/>
  <c r="BR45" i="15"/>
  <c r="BT48" i="15"/>
  <c r="H27" i="2"/>
  <c r="H11" i="2" s="1"/>
  <c r="H31" i="2" s="1"/>
  <c r="I27" i="2"/>
  <c r="I11" i="2" s="1"/>
  <c r="I31" i="2" s="1"/>
  <c r="J27" i="2"/>
  <c r="J11" i="2" s="1"/>
  <c r="J31" i="2" s="1"/>
  <c r="K27" i="2"/>
  <c r="K11" i="2" s="1"/>
  <c r="K31" i="2" s="1"/>
  <c r="BQ69" i="4"/>
  <c r="BQ49" i="4"/>
  <c r="BU43" i="15"/>
  <c r="BU45" i="15"/>
  <c r="H26" i="2"/>
  <c r="I26" i="2"/>
  <c r="J26" i="2"/>
  <c r="K26" i="2"/>
  <c r="K30" i="2"/>
  <c r="BQ24" i="4"/>
  <c r="BQ25" i="4"/>
  <c r="BK44" i="15"/>
  <c r="L21" i="2"/>
  <c r="BQ41" i="15"/>
  <c r="BR41" i="15"/>
  <c r="BR44" i="15" s="1"/>
  <c r="BS41" i="15"/>
  <c r="BS44" i="15" s="1"/>
  <c r="BT41" i="15"/>
  <c r="BT44" i="15" s="1"/>
  <c r="BU41" i="15"/>
  <c r="BU44" i="15" s="1"/>
  <c r="BQ50" i="4" l="1"/>
  <c r="BQ72" i="4"/>
  <c r="BQ77" i="4" s="1"/>
  <c r="BR129" i="12"/>
  <c r="BR72" i="14"/>
  <c r="BP3" i="14"/>
  <c r="BP73" i="14" s="1"/>
  <c r="BR14" i="4"/>
  <c r="BR18" i="4" s="1"/>
  <c r="BQ26" i="4"/>
  <c r="BQ34" i="4"/>
  <c r="BQ80" i="4" l="1"/>
  <c r="BQ79" i="4"/>
  <c r="BS194" i="12"/>
  <c r="BS62" i="12" s="1"/>
  <c r="BL17" i="15"/>
  <c r="BR60" i="4"/>
  <c r="BR147" i="4"/>
  <c r="BR74" i="4"/>
  <c r="BS129" i="12" l="1"/>
  <c r="BS72" i="14"/>
  <c r="BP130" i="12"/>
  <c r="BL21" i="15"/>
  <c r="BT194" i="12"/>
  <c r="BT62" i="12"/>
  <c r="BQ167" i="4"/>
  <c r="BQ142" i="4"/>
  <c r="BQ141" i="4"/>
  <c r="BQ149" i="4" s="1"/>
  <c r="BL22" i="15" l="1"/>
  <c r="BP63" i="12"/>
  <c r="BP131" i="12"/>
  <c r="BL26" i="15" s="1"/>
  <c r="BQ170" i="4"/>
  <c r="BQ172" i="4" s="1"/>
  <c r="BQ179" i="4" s="1"/>
  <c r="BT129" i="12"/>
  <c r="BQ195" i="12" l="1"/>
  <c r="BQ63" i="12"/>
  <c r="BP65" i="12"/>
  <c r="BL23" i="15"/>
  <c r="BR40" i="4"/>
  <c r="BR43" i="4" s="1"/>
  <c r="BL34" i="15"/>
  <c r="BR19" i="4"/>
  <c r="BL28" i="15"/>
  <c r="BU194" i="12"/>
  <c r="BU62" i="12" s="1"/>
  <c r="BR54" i="4" l="1"/>
  <c r="BR22" i="4"/>
  <c r="BR20" i="4"/>
  <c r="BL40" i="15"/>
  <c r="BL43" i="15" s="1"/>
  <c r="BL36" i="15"/>
  <c r="BL35" i="15"/>
  <c r="BL48" i="15"/>
  <c r="BL47" i="15"/>
  <c r="BR33" i="4"/>
  <c r="BU129" i="12"/>
  <c r="BQ196" i="12"/>
  <c r="BQ73" i="14"/>
  <c r="BQ130" i="12"/>
  <c r="BR195" i="12" s="1"/>
  <c r="BR196" i="12" l="1"/>
  <c r="BR63" i="12"/>
  <c r="BQ65" i="12"/>
  <c r="BM31" i="15"/>
  <c r="BS42" i="4" s="1"/>
  <c r="BQ64" i="12"/>
  <c r="BM27" i="15" s="1"/>
  <c r="BL42" i="15"/>
  <c r="BR130" i="12"/>
  <c r="BR131" i="12"/>
  <c r="BN26" i="15" s="1"/>
  <c r="BT19" i="4" s="1"/>
  <c r="BQ131" i="12"/>
  <c r="BM26" i="15" s="1"/>
  <c r="BS19" i="4" s="1"/>
  <c r="BR73" i="14"/>
  <c r="BR74" i="14"/>
  <c r="BR4" i="14" s="1"/>
  <c r="BQ74" i="14"/>
  <c r="BQ4" i="14" s="1"/>
  <c r="BR55" i="4"/>
  <c r="BR57" i="4" s="1"/>
  <c r="BR63" i="4"/>
  <c r="BR67" i="4"/>
  <c r="BR66" i="4"/>
  <c r="BR64" i="4"/>
  <c r="BR62" i="4"/>
  <c r="BR61" i="4"/>
  <c r="BR68" i="4"/>
  <c r="BR65" i="4"/>
  <c r="BR56" i="4"/>
  <c r="BL37" i="15"/>
  <c r="BL29" i="15"/>
  <c r="BR21" i="4"/>
  <c r="BR23" i="4"/>
  <c r="BL46" i="15"/>
  <c r="BR6" i="14" l="1"/>
  <c r="BT15" i="4" s="1"/>
  <c r="BT22" i="4" s="1"/>
  <c r="BR5" i="14"/>
  <c r="BR69" i="4"/>
  <c r="BR25" i="4"/>
  <c r="BR24" i="4"/>
  <c r="BQ6" i="14"/>
  <c r="BS15" i="4" s="1"/>
  <c r="BS22" i="4" s="1"/>
  <c r="BQ5" i="14"/>
  <c r="BR49" i="4"/>
  <c r="BM28" i="15"/>
  <c r="BS41" i="4"/>
  <c r="BL41" i="15"/>
  <c r="BL44" i="15" s="1"/>
  <c r="BS195" i="12"/>
  <c r="BS196" i="12" s="1"/>
  <c r="BR65" i="12"/>
  <c r="BN31" i="15"/>
  <c r="BT42" i="4" s="1"/>
  <c r="BR64" i="12"/>
  <c r="BN27" i="15" s="1"/>
  <c r="BN28" i="15" l="1"/>
  <c r="BT41" i="4"/>
  <c r="BO31" i="15"/>
  <c r="BU42" i="4" s="1"/>
  <c r="BQ3" i="14"/>
  <c r="BS14" i="4"/>
  <c r="BS18" i="4" s="1"/>
  <c r="BS73" i="14"/>
  <c r="BR26" i="4"/>
  <c r="BR34" i="4"/>
  <c r="BS130" i="12"/>
  <c r="BR3" i="14"/>
  <c r="BT14" i="4"/>
  <c r="BT18" i="4" s="1"/>
  <c r="BS63" i="12"/>
  <c r="BR72" i="4"/>
  <c r="BR77" i="4" s="1"/>
  <c r="BR50" i="4"/>
  <c r="BR79" i="4" l="1"/>
  <c r="BR80" i="4"/>
  <c r="BT195" i="12"/>
  <c r="BT196" i="12" s="1"/>
  <c r="BT63" i="12"/>
  <c r="BS65" i="12"/>
  <c r="BS74" i="14"/>
  <c r="BS4" i="14" s="1"/>
  <c r="BT74" i="14"/>
  <c r="BT4" i="14" s="1"/>
  <c r="BN17" i="15"/>
  <c r="BN21" i="15" s="1"/>
  <c r="BN22" i="15" s="1"/>
  <c r="BT20" i="4"/>
  <c r="BT74" i="4"/>
  <c r="BT147" i="4"/>
  <c r="BT60" i="4"/>
  <c r="BM17" i="15"/>
  <c r="BM21" i="15" s="1"/>
  <c r="BM22" i="15" s="1"/>
  <c r="BS20" i="4"/>
  <c r="BS60" i="4"/>
  <c r="BS147" i="4"/>
  <c r="BS74" i="4"/>
  <c r="BS64" i="12"/>
  <c r="BO27" i="15" s="1"/>
  <c r="BW42" i="4"/>
  <c r="BX42" i="4"/>
  <c r="BY42" i="4"/>
  <c r="BZ42" i="4"/>
  <c r="CA42" i="4"/>
  <c r="BT130" i="12"/>
  <c r="BS131" i="12"/>
  <c r="BO26" i="15" s="1"/>
  <c r="BU19" i="4" s="1"/>
  <c r="BU130" i="12" l="1"/>
  <c r="BU131" i="12" s="1"/>
  <c r="BN23" i="15"/>
  <c r="BT40" i="4"/>
  <c r="BT6" i="14"/>
  <c r="BT5" i="14"/>
  <c r="BT3" i="14" s="1"/>
  <c r="BS21" i="4"/>
  <c r="BS23" i="4"/>
  <c r="BS6" i="14"/>
  <c r="BU15" i="4" s="1"/>
  <c r="BS5" i="14"/>
  <c r="BM23" i="15"/>
  <c r="BS40" i="4"/>
  <c r="BS43" i="4" s="1"/>
  <c r="BM34" i="15"/>
  <c r="BU195" i="12"/>
  <c r="BU196" i="12" s="1"/>
  <c r="BU63" i="12"/>
  <c r="BT65" i="12"/>
  <c r="BT64" i="12"/>
  <c r="BW19" i="4"/>
  <c r="BX19" i="4"/>
  <c r="BY19" i="4"/>
  <c r="BZ19" i="4"/>
  <c r="CA19" i="4"/>
  <c r="BO28" i="15"/>
  <c r="BU41" i="4"/>
  <c r="BR167" i="4"/>
  <c r="BR142" i="4"/>
  <c r="BR141" i="4"/>
  <c r="BR149" i="4" s="1"/>
  <c r="BT131" i="12"/>
  <c r="BU65" i="12" l="1"/>
  <c r="BT23" i="4"/>
  <c r="BS24" i="4"/>
  <c r="BS25" i="4"/>
  <c r="BS26" i="4" s="1"/>
  <c r="Z14" i="6"/>
  <c r="W11" i="5"/>
  <c r="CB19" i="4"/>
  <c r="BU64" i="12"/>
  <c r="BT21" i="4"/>
  <c r="BS49" i="4"/>
  <c r="V11" i="5"/>
  <c r="Y14" i="6"/>
  <c r="U11" i="5"/>
  <c r="X14" i="6"/>
  <c r="BN34" i="15"/>
  <c r="BM36" i="15"/>
  <c r="BM35" i="15"/>
  <c r="BM40" i="15"/>
  <c r="W14" i="6"/>
  <c r="T11" i="5"/>
  <c r="BS54" i="4"/>
  <c r="BT43" i="4"/>
  <c r="BR170" i="4"/>
  <c r="BR172" i="4" s="1"/>
  <c r="BR179" i="4" s="1"/>
  <c r="BM47" i="15"/>
  <c r="BS33" i="4"/>
  <c r="BS3" i="14"/>
  <c r="BU14" i="4"/>
  <c r="BN47" i="15"/>
  <c r="BT33" i="4"/>
  <c r="BW41" i="4"/>
  <c r="BX41" i="4"/>
  <c r="BY41" i="4"/>
  <c r="BZ41" i="4"/>
  <c r="CA41" i="4"/>
  <c r="BU22" i="4"/>
  <c r="BW15" i="4"/>
  <c r="BX15" i="4"/>
  <c r="BY15" i="4"/>
  <c r="BZ15" i="4"/>
  <c r="CA15" i="4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BM43" i="15" l="1"/>
  <c r="BM46" i="15"/>
  <c r="BM29" i="15"/>
  <c r="BM48" i="15"/>
  <c r="BM42" i="15"/>
  <c r="BS50" i="4"/>
  <c r="BT49" i="4" s="1"/>
  <c r="BS72" i="4"/>
  <c r="BS77" i="4" s="1"/>
  <c r="BT24" i="4"/>
  <c r="BT25" i="4"/>
  <c r="BT26" i="4" s="1"/>
  <c r="BT54" i="4"/>
  <c r="BN40" i="15"/>
  <c r="BN36" i="15"/>
  <c r="BN35" i="15"/>
  <c r="BN42" i="15" s="1"/>
  <c r="BU18" i="4"/>
  <c r="BW14" i="4"/>
  <c r="BX14" i="4"/>
  <c r="BY14" i="4"/>
  <c r="BZ14" i="4"/>
  <c r="CA14" i="4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BS34" i="4"/>
  <c r="BS55" i="4"/>
  <c r="BS67" i="4"/>
  <c r="BS63" i="4"/>
  <c r="BS57" i="4"/>
  <c r="BS66" i="4"/>
  <c r="BS62" i="4"/>
  <c r="BS64" i="4"/>
  <c r="BS68" i="4"/>
  <c r="BS65" i="4"/>
  <c r="BS61" i="4"/>
  <c r="BS56" i="4"/>
  <c r="BM37" i="15"/>
  <c r="AA14" i="6"/>
  <c r="X11" i="5"/>
  <c r="CC19" i="4"/>
  <c r="BT72" i="4" l="1"/>
  <c r="BT77" i="4" s="1"/>
  <c r="BT50" i="4"/>
  <c r="BM41" i="15"/>
  <c r="BM44" i="15" s="1"/>
  <c r="BT34" i="4"/>
  <c r="BT55" i="4"/>
  <c r="BT65" i="4"/>
  <c r="BT61" i="4"/>
  <c r="BT66" i="4"/>
  <c r="BT68" i="4"/>
  <c r="BT63" i="4"/>
  <c r="BT64" i="4"/>
  <c r="BT67" i="4"/>
  <c r="BT62" i="4"/>
  <c r="BT56" i="4"/>
  <c r="BT57" i="4" s="1"/>
  <c r="BS69" i="4"/>
  <c r="BO17" i="15"/>
  <c r="BO21" i="15" s="1"/>
  <c r="BO22" i="15" s="1"/>
  <c r="BU20" i="4"/>
  <c r="BU60" i="4"/>
  <c r="BU74" i="4"/>
  <c r="BU147" i="4"/>
  <c r="BW18" i="4"/>
  <c r="BX18" i="4"/>
  <c r="BY18" i="4"/>
  <c r="BZ18" i="4"/>
  <c r="CA18" i="4"/>
  <c r="AB14" i="6"/>
  <c r="Y11" i="5"/>
  <c r="CD19" i="4"/>
  <c r="BN37" i="15"/>
  <c r="BN41" i="15" s="1"/>
  <c r="BN44" i="15" s="1"/>
  <c r="BN43" i="15"/>
  <c r="BN46" i="15"/>
  <c r="BN29" i="15"/>
  <c r="BN48" i="15"/>
  <c r="BS79" i="4"/>
  <c r="BS80" i="4"/>
  <c r="AC14" i="6" l="1"/>
  <c r="Z11" i="5"/>
  <c r="CE19" i="4"/>
  <c r="BW147" i="4"/>
  <c r="R58" i="3" s="1"/>
  <c r="BX147" i="4"/>
  <c r="BY147" i="4"/>
  <c r="BZ147" i="4"/>
  <c r="CA147" i="4"/>
  <c r="CB147" i="4" s="1"/>
  <c r="CC147" i="4" s="1"/>
  <c r="CD147" i="4" s="1"/>
  <c r="CE147" i="4" s="1"/>
  <c r="CF147" i="4" s="1"/>
  <c r="CG147" i="4" s="1"/>
  <c r="CH147" i="4" s="1"/>
  <c r="CI147" i="4" s="1"/>
  <c r="CJ147" i="4" s="1"/>
  <c r="CK147" i="4" s="1"/>
  <c r="BS167" i="4"/>
  <c r="BS142" i="4"/>
  <c r="BS141" i="4"/>
  <c r="BS149" i="4" s="1"/>
  <c r="BW60" i="4"/>
  <c r="BX60" i="4"/>
  <c r="BY60" i="4"/>
  <c r="BZ60" i="4"/>
  <c r="CA60" i="4"/>
  <c r="Z13" i="6"/>
  <c r="Z15" i="6" s="1"/>
  <c r="CB18" i="4"/>
  <c r="W10" i="5"/>
  <c r="W12" i="5" s="1"/>
  <c r="T10" i="5"/>
  <c r="T12" i="5" s="1"/>
  <c r="T13" i="5" s="1"/>
  <c r="U13" i="5" s="1"/>
  <c r="W13" i="6"/>
  <c r="W15" i="6" s="1"/>
  <c r="W16" i="6" s="1"/>
  <c r="X16" i="6" s="1"/>
  <c r="BW74" i="4"/>
  <c r="BX74" i="4"/>
  <c r="W48" i="6" s="1"/>
  <c r="BY74" i="4"/>
  <c r="X48" i="6" s="1"/>
  <c r="BZ74" i="4"/>
  <c r="Y48" i="6" s="1"/>
  <c r="CA74" i="4"/>
  <c r="BW20" i="4"/>
  <c r="BX20" i="4"/>
  <c r="BY20" i="4"/>
  <c r="BZ20" i="4"/>
  <c r="CA20" i="4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BU21" i="4"/>
  <c r="BU23" i="4"/>
  <c r="Y13" i="6"/>
  <c r="Y15" i="6" s="1"/>
  <c r="V10" i="5"/>
  <c r="V12" i="5" s="1"/>
  <c r="BO23" i="15"/>
  <c r="BU40" i="4"/>
  <c r="BO34" i="15"/>
  <c r="U10" i="5"/>
  <c r="U12" i="5" s="1"/>
  <c r="X13" i="6"/>
  <c r="X15" i="6" s="1"/>
  <c r="BT69" i="4"/>
  <c r="BT80" i="4"/>
  <c r="BT79" i="4"/>
  <c r="X33" i="6" l="1"/>
  <c r="Y16" i="6"/>
  <c r="Z16" i="6" s="1"/>
  <c r="AA16" i="6" s="1"/>
  <c r="W33" i="6"/>
  <c r="BO47" i="15"/>
  <c r="BO48" i="15"/>
  <c r="BU33" i="4"/>
  <c r="L6" i="2"/>
  <c r="V13" i="5"/>
  <c r="W13" i="5" s="1"/>
  <c r="BT167" i="4"/>
  <c r="BT141" i="4"/>
  <c r="BT142" i="4"/>
  <c r="BU25" i="4"/>
  <c r="BU24" i="4"/>
  <c r="BW23" i="4"/>
  <c r="BX23" i="4"/>
  <c r="BY23" i="4"/>
  <c r="BZ23" i="4"/>
  <c r="CA23" i="4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B74" i="4"/>
  <c r="Z48" i="6"/>
  <c r="AA13" i="6"/>
  <c r="AA15" i="6" s="1"/>
  <c r="X10" i="5"/>
  <c r="X12" i="5" s="1"/>
  <c r="CC18" i="4"/>
  <c r="AD14" i="6"/>
  <c r="CF19" i="4"/>
  <c r="AA11" i="5"/>
  <c r="BU49" i="4"/>
  <c r="BW21" i="4"/>
  <c r="BX21" i="4"/>
  <c r="BY21" i="4"/>
  <c r="BZ21" i="4"/>
  <c r="CA21" i="4"/>
  <c r="CB60" i="4"/>
  <c r="Z33" i="6"/>
  <c r="BW40" i="4"/>
  <c r="BX40" i="4"/>
  <c r="BY40" i="4"/>
  <c r="BZ40" i="4"/>
  <c r="CA40" i="4"/>
  <c r="BU43" i="4"/>
  <c r="BU54" i="4" s="1"/>
  <c r="BO36" i="15"/>
  <c r="L26" i="2" s="1"/>
  <c r="BO35" i="15"/>
  <c r="BO40" i="15"/>
  <c r="L24" i="2"/>
  <c r="L10" i="2" s="1"/>
  <c r="L30" i="2" s="1"/>
  <c r="Y33" i="6"/>
  <c r="BS170" i="4"/>
  <c r="BS172" i="4" s="1"/>
  <c r="BS179" i="4" s="1"/>
  <c r="BO42" i="15" l="1"/>
  <c r="L25" i="2"/>
  <c r="L32" i="2" s="1"/>
  <c r="CC74" i="4"/>
  <c r="AA48" i="6"/>
  <c r="BT149" i="4"/>
  <c r="BT170" i="4"/>
  <c r="BT172" i="4" s="1"/>
  <c r="BT179" i="4" s="1"/>
  <c r="AB13" i="6"/>
  <c r="AB15" i="6" s="1"/>
  <c r="Y10" i="5"/>
  <c r="Y12" i="5" s="1"/>
  <c r="CD18" i="4"/>
  <c r="X13" i="5"/>
  <c r="AB16" i="6"/>
  <c r="BU26" i="4"/>
  <c r="H10" i="3"/>
  <c r="BW25" i="4"/>
  <c r="BX25" i="4"/>
  <c r="BY25" i="4"/>
  <c r="BZ25" i="4"/>
  <c r="CA25" i="4"/>
  <c r="BW33" i="4"/>
  <c r="BX33" i="4"/>
  <c r="BY33" i="4"/>
  <c r="BZ33" i="4"/>
  <c r="CA33" i="4"/>
  <c r="BU50" i="4"/>
  <c r="BU72" i="4"/>
  <c r="BO37" i="15"/>
  <c r="CC60" i="4"/>
  <c r="AA33" i="6"/>
  <c r="BU34" i="4"/>
  <c r="BU55" i="4"/>
  <c r="BU68" i="4"/>
  <c r="BU62" i="4"/>
  <c r="BU64" i="4"/>
  <c r="BU65" i="4"/>
  <c r="BU67" i="4"/>
  <c r="BU61" i="4"/>
  <c r="BU66" i="4"/>
  <c r="BU63" i="4"/>
  <c r="BU56" i="4"/>
  <c r="BW54" i="4"/>
  <c r="BX54" i="4"/>
  <c r="BY54" i="4"/>
  <c r="BZ54" i="4"/>
  <c r="CA54" i="4"/>
  <c r="AE14" i="6"/>
  <c r="AB11" i="5"/>
  <c r="CG19" i="4"/>
  <c r="BO43" i="15"/>
  <c r="BO46" i="15"/>
  <c r="BO29" i="15"/>
  <c r="BW24" i="4"/>
  <c r="J6" i="3" s="1"/>
  <c r="BX24" i="4"/>
  <c r="J7" i="3" s="1"/>
  <c r="BY24" i="4"/>
  <c r="J8" i="3" s="1"/>
  <c r="BZ24" i="4"/>
  <c r="J9" i="3" s="1"/>
  <c r="CA24" i="4"/>
  <c r="J10" i="3" l="1"/>
  <c r="CB24" i="4"/>
  <c r="CC24" i="4" s="1"/>
  <c r="CD24" i="4" s="1"/>
  <c r="CE24" i="4" s="1"/>
  <c r="CF24" i="4" s="1"/>
  <c r="CG24" i="4" s="1"/>
  <c r="CH24" i="4" s="1"/>
  <c r="CI24" i="4" s="1"/>
  <c r="CJ24" i="4" s="1"/>
  <c r="CK24" i="4" s="1"/>
  <c r="BW50" i="4"/>
  <c r="BX50" i="4"/>
  <c r="BY50" i="4"/>
  <c r="BZ50" i="4"/>
  <c r="CA50" i="4"/>
  <c r="CB50" i="4" s="1"/>
  <c r="CC50" i="4" s="1"/>
  <c r="CD50" i="4" s="1"/>
  <c r="CE50" i="4" s="1"/>
  <c r="CF50" i="4" s="1"/>
  <c r="CG50" i="4" s="1"/>
  <c r="CH50" i="4" s="1"/>
  <c r="CI50" i="4" s="1"/>
  <c r="CJ50" i="4" s="1"/>
  <c r="CK50" i="4" s="1"/>
  <c r="Z23" i="6"/>
  <c r="CB33" i="4"/>
  <c r="W18" i="5"/>
  <c r="T15" i="5"/>
  <c r="T16" i="5" s="1"/>
  <c r="W18" i="6"/>
  <c r="CB54" i="4"/>
  <c r="CA34" i="4"/>
  <c r="Z27" i="6"/>
  <c r="W21" i="5"/>
  <c r="BW61" i="4"/>
  <c r="BX61" i="4"/>
  <c r="BY61" i="4"/>
  <c r="BZ61" i="4"/>
  <c r="CA61" i="4"/>
  <c r="BU69" i="4"/>
  <c r="V18" i="5"/>
  <c r="Y23" i="6"/>
  <c r="U18" i="5"/>
  <c r="X23" i="6"/>
  <c r="BX34" i="4"/>
  <c r="W27" i="6"/>
  <c r="T21" i="5"/>
  <c r="CD60" i="4"/>
  <c r="AB33" i="6"/>
  <c r="CB25" i="4"/>
  <c r="W15" i="5"/>
  <c r="W16" i="5" s="1"/>
  <c r="Z18" i="6"/>
  <c r="Y13" i="5"/>
  <c r="Z13" i="5" s="1"/>
  <c r="CD74" i="4"/>
  <c r="AB48" i="6"/>
  <c r="BW64" i="4"/>
  <c r="BX64" i="4"/>
  <c r="W37" i="6" s="1"/>
  <c r="BY64" i="4"/>
  <c r="X37" i="6" s="1"/>
  <c r="BZ64" i="4"/>
  <c r="Y37" i="6" s="1"/>
  <c r="CA64" i="4"/>
  <c r="V15" i="5"/>
  <c r="V16" i="5" s="1"/>
  <c r="Y18" i="6"/>
  <c r="AC13" i="6"/>
  <c r="AC15" i="6" s="1"/>
  <c r="AC16" i="6" s="1"/>
  <c r="Z10" i="5"/>
  <c r="Z12" i="5" s="1"/>
  <c r="CE18" i="4"/>
  <c r="AC11" i="5"/>
  <c r="AF14" i="6"/>
  <c r="CH19" i="4"/>
  <c r="BW56" i="4"/>
  <c r="S23" i="5" s="1"/>
  <c r="BX56" i="4"/>
  <c r="BY56" i="4"/>
  <c r="BZ56" i="4"/>
  <c r="CA56" i="4"/>
  <c r="BW68" i="4"/>
  <c r="BX68" i="4"/>
  <c r="W41" i="6" s="1"/>
  <c r="BY68" i="4"/>
  <c r="X41" i="6" s="1"/>
  <c r="BZ68" i="4"/>
  <c r="Y41" i="6" s="1"/>
  <c r="CA68" i="4"/>
  <c r="BU77" i="4"/>
  <c r="BW72" i="4"/>
  <c r="BW77" i="4" s="1"/>
  <c r="BX72" i="4"/>
  <c r="BY72" i="4"/>
  <c r="BZ72" i="4"/>
  <c r="CA72" i="4"/>
  <c r="BW63" i="4"/>
  <c r="BX63" i="4"/>
  <c r="W36" i="6" s="1"/>
  <c r="BY63" i="4"/>
  <c r="X36" i="6" s="1"/>
  <c r="BZ63" i="4"/>
  <c r="Y36" i="6" s="1"/>
  <c r="CA63" i="4"/>
  <c r="BZ34" i="4"/>
  <c r="Y27" i="6"/>
  <c r="V21" i="5"/>
  <c r="BW67" i="4"/>
  <c r="BX67" i="4"/>
  <c r="W40" i="6" s="1"/>
  <c r="BY67" i="4"/>
  <c r="X40" i="6" s="1"/>
  <c r="BZ67" i="4"/>
  <c r="Y40" i="6" s="1"/>
  <c r="CA67" i="4"/>
  <c r="BY34" i="4"/>
  <c r="U21" i="5"/>
  <c r="X27" i="6"/>
  <c r="BW65" i="4"/>
  <c r="BX65" i="4"/>
  <c r="W38" i="6" s="1"/>
  <c r="BY65" i="4"/>
  <c r="X38" i="6" s="1"/>
  <c r="BZ65" i="4"/>
  <c r="Y38" i="6" s="1"/>
  <c r="CA65" i="4"/>
  <c r="W23" i="6"/>
  <c r="T18" i="5"/>
  <c r="BW26" i="4"/>
  <c r="BX26" i="4"/>
  <c r="BY26" i="4"/>
  <c r="BZ26" i="4"/>
  <c r="CA26" i="4"/>
  <c r="CB26" i="4" s="1"/>
  <c r="CC26" i="4" s="1"/>
  <c r="CD26" i="4" s="1"/>
  <c r="CE26" i="4" s="1"/>
  <c r="CF26" i="4" s="1"/>
  <c r="CG26" i="4" s="1"/>
  <c r="CH26" i="4" s="1"/>
  <c r="CI26" i="4" s="1"/>
  <c r="CJ26" i="4" s="1"/>
  <c r="CK26" i="4" s="1"/>
  <c r="BW34" i="4"/>
  <c r="H19" i="3" s="1"/>
  <c r="S21" i="5"/>
  <c r="BW62" i="4"/>
  <c r="BX62" i="4"/>
  <c r="W35" i="6" s="1"/>
  <c r="BY62" i="4"/>
  <c r="X35" i="6" s="1"/>
  <c r="BZ62" i="4"/>
  <c r="Y35" i="6" s="1"/>
  <c r="CA62" i="4"/>
  <c r="BO41" i="15"/>
  <c r="BO44" i="15" s="1"/>
  <c r="L27" i="2"/>
  <c r="L11" i="2" s="1"/>
  <c r="L31" i="2" s="1"/>
  <c r="BU57" i="4"/>
  <c r="U15" i="5"/>
  <c r="U16" i="5" s="1"/>
  <c r="X18" i="6"/>
  <c r="BW66" i="4"/>
  <c r="BX66" i="4"/>
  <c r="W39" i="6" s="1"/>
  <c r="BY66" i="4"/>
  <c r="X39" i="6" s="1"/>
  <c r="BZ66" i="4"/>
  <c r="Y39" i="6" s="1"/>
  <c r="CA66" i="4"/>
  <c r="BW55" i="4"/>
  <c r="BX55" i="4"/>
  <c r="BY55" i="4"/>
  <c r="BY57" i="4" s="1"/>
  <c r="BZ55" i="4"/>
  <c r="BZ57" i="4" s="1"/>
  <c r="CA55" i="4"/>
  <c r="CA57" i="4" s="1"/>
  <c r="CB68" i="4" l="1"/>
  <c r="Z41" i="6"/>
  <c r="T23" i="5"/>
  <c r="W29" i="6"/>
  <c r="Y19" i="6"/>
  <c r="Y21" i="6" s="1"/>
  <c r="Y20" i="6"/>
  <c r="CE74" i="4"/>
  <c r="AC48" i="6"/>
  <c r="BX36" i="4"/>
  <c r="T22" i="5"/>
  <c r="T24" i="5" s="1"/>
  <c r="W28" i="6"/>
  <c r="W30" i="6" s="1"/>
  <c r="W53" i="6" s="1"/>
  <c r="U23" i="5"/>
  <c r="X29" i="6"/>
  <c r="X30" i="6" s="1"/>
  <c r="X53" i="6" s="1"/>
  <c r="BW36" i="4"/>
  <c r="S22" i="5"/>
  <c r="S24" i="5" s="1"/>
  <c r="S26" i="5" s="1"/>
  <c r="CB66" i="4"/>
  <c r="Z39" i="6"/>
  <c r="AA13" i="5"/>
  <c r="Z24" i="6"/>
  <c r="W19" i="5"/>
  <c r="H23" i="3"/>
  <c r="BW57" i="4"/>
  <c r="X24" i="6"/>
  <c r="U19" i="5"/>
  <c r="H21" i="3"/>
  <c r="CA77" i="4"/>
  <c r="CB72" i="4"/>
  <c r="Z45" i="6"/>
  <c r="Z51" i="6" s="1"/>
  <c r="AG14" i="6"/>
  <c r="AD11" i="5"/>
  <c r="CI19" i="4"/>
  <c r="CB64" i="4"/>
  <c r="Z37" i="6"/>
  <c r="Z19" i="6"/>
  <c r="Z21" i="6" s="1"/>
  <c r="Z20" i="6"/>
  <c r="W24" i="6"/>
  <c r="T19" i="5"/>
  <c r="H20" i="3"/>
  <c r="CB61" i="4"/>
  <c r="Z34" i="6"/>
  <c r="Z42" i="6" s="1"/>
  <c r="CA69" i="4"/>
  <c r="CA36" i="4"/>
  <c r="CB55" i="4"/>
  <c r="Z28" i="6"/>
  <c r="Z30" i="6" s="1"/>
  <c r="Z53" i="6" s="1"/>
  <c r="W22" i="5"/>
  <c r="W24" i="5" s="1"/>
  <c r="BU80" i="4"/>
  <c r="BU79" i="4"/>
  <c r="CB62" i="4"/>
  <c r="Z35" i="6"/>
  <c r="CB65" i="4"/>
  <c r="Z38" i="6"/>
  <c r="V19" i="5"/>
  <c r="Y24" i="6"/>
  <c r="H22" i="3"/>
  <c r="BZ77" i="4"/>
  <c r="Y45" i="6"/>
  <c r="Y51" i="6" s="1"/>
  <c r="BX57" i="4"/>
  <c r="Y34" i="6"/>
  <c r="Y42" i="6" s="1"/>
  <c r="BZ69" i="4"/>
  <c r="CB34" i="4"/>
  <c r="CC54" i="4"/>
  <c r="CB57" i="4"/>
  <c r="AA27" i="6"/>
  <c r="X21" i="5"/>
  <c r="CB67" i="4"/>
  <c r="Z40" i="6"/>
  <c r="BY77" i="4"/>
  <c r="X45" i="6"/>
  <c r="X51" i="6" s="1"/>
  <c r="CC25" i="4"/>
  <c r="X15" i="5"/>
  <c r="X16" i="5" s="1"/>
  <c r="AA18" i="6"/>
  <c r="AA19" i="6" s="1"/>
  <c r="X34" i="6"/>
  <c r="X42" i="6" s="1"/>
  <c r="BY69" i="4"/>
  <c r="W19" i="6"/>
  <c r="W21" i="6" s="1"/>
  <c r="W20" i="6"/>
  <c r="CB63" i="4"/>
  <c r="Z36" i="6"/>
  <c r="BX77" i="4"/>
  <c r="W45" i="6"/>
  <c r="W51" i="6" s="1"/>
  <c r="CB56" i="4"/>
  <c r="Z29" i="6"/>
  <c r="W23" i="5"/>
  <c r="AD13" i="6"/>
  <c r="AD15" i="6" s="1"/>
  <c r="AD16" i="6" s="1"/>
  <c r="AA10" i="5"/>
  <c r="AA12" i="5" s="1"/>
  <c r="CF18" i="4"/>
  <c r="W34" i="6"/>
  <c r="W42" i="6" s="1"/>
  <c r="BX69" i="4"/>
  <c r="BZ36" i="4"/>
  <c r="Y28" i="6"/>
  <c r="Y30" i="6" s="1"/>
  <c r="Y53" i="6" s="1"/>
  <c r="V22" i="5"/>
  <c r="BY36" i="4"/>
  <c r="X28" i="6"/>
  <c r="U22" i="5"/>
  <c r="U24" i="5" s="1"/>
  <c r="X19" i="6"/>
  <c r="X21" i="6" s="1"/>
  <c r="X20" i="6"/>
  <c r="V23" i="5"/>
  <c r="V24" i="5" s="1"/>
  <c r="Y29" i="6"/>
  <c r="BW69" i="4"/>
  <c r="BW79" i="4" s="1"/>
  <c r="S25" i="5" s="1"/>
  <c r="CE60" i="4"/>
  <c r="AC33" i="6"/>
  <c r="AA23" i="6"/>
  <c r="X18" i="5"/>
  <c r="CC33" i="4"/>
  <c r="C72" i="3" l="1"/>
  <c r="U26" i="5"/>
  <c r="W26" i="5"/>
  <c r="X54" i="6"/>
  <c r="Z54" i="6"/>
  <c r="W54" i="6"/>
  <c r="C73" i="3"/>
  <c r="T26" i="5"/>
  <c r="Y54" i="6"/>
  <c r="CF74" i="4"/>
  <c r="AD48" i="6"/>
  <c r="BX79" i="4"/>
  <c r="T25" i="5" s="1"/>
  <c r="BX80" i="4"/>
  <c r="CF60" i="4"/>
  <c r="AD33" i="6"/>
  <c r="CD25" i="4"/>
  <c r="Y15" i="5"/>
  <c r="Y16" i="5" s="1"/>
  <c r="AB18" i="6"/>
  <c r="AB19" i="6" s="1"/>
  <c r="CC34" i="4"/>
  <c r="CD54" i="4"/>
  <c r="CC57" i="4"/>
  <c r="AB27" i="6"/>
  <c r="Y21" i="5"/>
  <c r="BU167" i="4"/>
  <c r="BU142" i="4"/>
  <c r="BU141" i="4"/>
  <c r="AA24" i="6"/>
  <c r="X19" i="5"/>
  <c r="CC64" i="4"/>
  <c r="AA37" i="6"/>
  <c r="CC61" i="4"/>
  <c r="AA34" i="6"/>
  <c r="CB69" i="4"/>
  <c r="AH14" i="6"/>
  <c r="AE11" i="5"/>
  <c r="CJ19" i="4"/>
  <c r="CC65" i="4"/>
  <c r="AA38" i="6"/>
  <c r="CB36" i="4"/>
  <c r="CC55" i="4"/>
  <c r="AA28" i="6"/>
  <c r="X22" i="5"/>
  <c r="AB20" i="6"/>
  <c r="AD20" i="6" s="1"/>
  <c r="AF20" i="6" s="1"/>
  <c r="AH20" i="6" s="1"/>
  <c r="AJ20" i="6" s="1"/>
  <c r="AA20" i="6"/>
  <c r="AC20" i="6" s="1"/>
  <c r="AE20" i="6" s="1"/>
  <c r="AG20" i="6" s="1"/>
  <c r="AI20" i="6" s="1"/>
  <c r="CB77" i="4"/>
  <c r="CC72" i="4"/>
  <c r="AA45" i="6"/>
  <c r="AA51" i="6" s="1"/>
  <c r="CC66" i="4"/>
  <c r="AA39" i="6"/>
  <c r="BZ80" i="4"/>
  <c r="BZ79" i="4"/>
  <c r="V25" i="5" s="1"/>
  <c r="V26" i="5" s="1"/>
  <c r="AB23" i="6"/>
  <c r="CD33" i="4"/>
  <c r="Y18" i="5"/>
  <c r="CC63" i="4"/>
  <c r="AA36" i="6"/>
  <c r="BW80" i="4"/>
  <c r="CC67" i="4"/>
  <c r="AA40" i="6"/>
  <c r="AB21" i="6"/>
  <c r="AD21" i="6" s="1"/>
  <c r="AF21" i="6" s="1"/>
  <c r="AH21" i="6" s="1"/>
  <c r="AJ21" i="6" s="1"/>
  <c r="AA21" i="6"/>
  <c r="AC21" i="6" s="1"/>
  <c r="AE21" i="6" s="1"/>
  <c r="AG21" i="6" s="1"/>
  <c r="AI21" i="6" s="1"/>
  <c r="CA79" i="4"/>
  <c r="W25" i="5" s="1"/>
  <c r="CA80" i="4"/>
  <c r="CC68" i="4"/>
  <c r="AA41" i="6"/>
  <c r="AB10" i="5"/>
  <c r="AB12" i="5" s="1"/>
  <c r="AB13" i="5" s="1"/>
  <c r="AE13" i="6"/>
  <c r="AE15" i="6" s="1"/>
  <c r="AE16" i="6" s="1"/>
  <c r="CG18" i="4"/>
  <c r="BY79" i="4"/>
  <c r="U25" i="5" s="1"/>
  <c r="BY80" i="4"/>
  <c r="CC56" i="4"/>
  <c r="AA29" i="6"/>
  <c r="AA30" i="6" s="1"/>
  <c r="X23" i="5"/>
  <c r="X24" i="5"/>
  <c r="CC62" i="4"/>
  <c r="AA35" i="6"/>
  <c r="CD62" i="4" l="1"/>
  <c r="AB35" i="6"/>
  <c r="AF13" i="6"/>
  <c r="AF15" i="6" s="1"/>
  <c r="AF16" i="6" s="1"/>
  <c r="AC10" i="5"/>
  <c r="AC12" i="5" s="1"/>
  <c r="AC13" i="5" s="1"/>
  <c r="CH18" i="4"/>
  <c r="CB79" i="4"/>
  <c r="X25" i="5" s="1"/>
  <c r="CB80" i="4"/>
  <c r="CD65" i="4"/>
  <c r="AB38" i="6"/>
  <c r="CD64" i="4"/>
  <c r="AB37" i="6"/>
  <c r="X26" i="5"/>
  <c r="AI14" i="6"/>
  <c r="AF11" i="5"/>
  <c r="CK19" i="4"/>
  <c r="AB30" i="6"/>
  <c r="CD67" i="4"/>
  <c r="AB40" i="6"/>
  <c r="CG60" i="4"/>
  <c r="AE33" i="6"/>
  <c r="CE54" i="4"/>
  <c r="CD34" i="4"/>
  <c r="AC27" i="6"/>
  <c r="Z21" i="5"/>
  <c r="CD56" i="4"/>
  <c r="Y23" i="5"/>
  <c r="Y24" i="5" s="1"/>
  <c r="AB29" i="6"/>
  <c r="CD68" i="4"/>
  <c r="AB41" i="6"/>
  <c r="BU149" i="4"/>
  <c r="BW141" i="4"/>
  <c r="BX141" i="4"/>
  <c r="BY141" i="4"/>
  <c r="BZ141" i="4"/>
  <c r="CA141" i="4"/>
  <c r="AB24" i="6"/>
  <c r="Y19" i="5"/>
  <c r="CD63" i="4"/>
  <c r="AB36" i="6"/>
  <c r="CD66" i="4"/>
  <c r="AB39" i="6"/>
  <c r="CD55" i="4"/>
  <c r="CD57" i="4" s="1"/>
  <c r="CC36" i="4"/>
  <c r="AB28" i="6"/>
  <c r="Y22" i="5"/>
  <c r="AA42" i="6"/>
  <c r="AA53" i="6" s="1"/>
  <c r="BW142" i="4"/>
  <c r="BX142" i="4"/>
  <c r="W117" i="6" s="1"/>
  <c r="BY142" i="4"/>
  <c r="X117" i="6" s="1"/>
  <c r="BZ142" i="4"/>
  <c r="Y117" i="6" s="1"/>
  <c r="CA142" i="4"/>
  <c r="CD61" i="4"/>
  <c r="AB34" i="6"/>
  <c r="CC69" i="4"/>
  <c r="BU170" i="4"/>
  <c r="BU172" i="4" s="1"/>
  <c r="BU179" i="4" s="1"/>
  <c r="BW167" i="4"/>
  <c r="BX167" i="4"/>
  <c r="BY167" i="4"/>
  <c r="BZ167" i="4"/>
  <c r="CA167" i="4"/>
  <c r="CG74" i="4"/>
  <c r="AE48" i="6"/>
  <c r="AC23" i="6"/>
  <c r="Z18" i="5"/>
  <c r="CE33" i="4"/>
  <c r="CD72" i="4"/>
  <c r="CC77" i="4"/>
  <c r="AB45" i="6"/>
  <c r="AB51" i="6" s="1"/>
  <c r="CE25" i="4"/>
  <c r="Z15" i="5"/>
  <c r="Z16" i="5" s="1"/>
  <c r="AC18" i="6"/>
  <c r="AC19" i="6" s="1"/>
  <c r="AA54" i="6" l="1"/>
  <c r="Y26" i="5"/>
  <c r="BW170" i="4"/>
  <c r="BW172" i="4" s="1"/>
  <c r="BW179" i="4" s="1"/>
  <c r="S36" i="5"/>
  <c r="V144" i="6"/>
  <c r="CF54" i="4"/>
  <c r="CE34" i="4"/>
  <c r="AD27" i="6"/>
  <c r="AA21" i="5"/>
  <c r="CE67" i="4"/>
  <c r="AC40" i="6"/>
  <c r="Y116" i="6"/>
  <c r="Y121" i="6" s="1"/>
  <c r="Y146" i="6" s="1"/>
  <c r="BZ149" i="4"/>
  <c r="V30" i="5" s="1"/>
  <c r="X116" i="6"/>
  <c r="X121" i="6" s="1"/>
  <c r="BY149" i="4"/>
  <c r="U30" i="5" s="1"/>
  <c r="U38" i="5" s="1"/>
  <c r="U40" i="5" s="1"/>
  <c r="CE56" i="4"/>
  <c r="AC29" i="6"/>
  <c r="Z23" i="5"/>
  <c r="W116" i="6"/>
  <c r="W121" i="6" s="1"/>
  <c r="W146" i="6" s="1"/>
  <c r="BX149" i="4"/>
  <c r="T30" i="5" s="1"/>
  <c r="T38" i="5" s="1"/>
  <c r="T40" i="5" s="1"/>
  <c r="CE64" i="4"/>
  <c r="AC37" i="6"/>
  <c r="CH74" i="4"/>
  <c r="AF48" i="6"/>
  <c r="CE62" i="4"/>
  <c r="AC35" i="6"/>
  <c r="Z24" i="5"/>
  <c r="CH60" i="4"/>
  <c r="AF33" i="6"/>
  <c r="CE72" i="4"/>
  <c r="CD77" i="4"/>
  <c r="AC45" i="6"/>
  <c r="AC51" i="6" s="1"/>
  <c r="BY170" i="4"/>
  <c r="BY172" i="4" s="1"/>
  <c r="BY179" i="4" s="1"/>
  <c r="U36" i="5"/>
  <c r="X144" i="6"/>
  <c r="CB142" i="4"/>
  <c r="Z117" i="6"/>
  <c r="CE68" i="4"/>
  <c r="AC41" i="6"/>
  <c r="CE66" i="4"/>
  <c r="AC39" i="6"/>
  <c r="R55" i="3"/>
  <c r="V117" i="6"/>
  <c r="CF25" i="4"/>
  <c r="AA15" i="5"/>
  <c r="AA16" i="5" s="1"/>
  <c r="AD18" i="6"/>
  <c r="AD19" i="6" s="1"/>
  <c r="AB42" i="6"/>
  <c r="AB53" i="6" s="1"/>
  <c r="CE63" i="4"/>
  <c r="AC36" i="6"/>
  <c r="R54" i="3"/>
  <c r="V116" i="6"/>
  <c r="V121" i="6" s="1"/>
  <c r="BW149" i="4"/>
  <c r="AJ14" i="6"/>
  <c r="AG11" i="5"/>
  <c r="CA170" i="4"/>
  <c r="CA172" i="4" s="1"/>
  <c r="CA179" i="4" s="1"/>
  <c r="CB167" i="4"/>
  <c r="W36" i="5"/>
  <c r="Z144" i="6"/>
  <c r="CE61" i="4"/>
  <c r="AC34" i="6"/>
  <c r="CD69" i="4"/>
  <c r="CE65" i="4"/>
  <c r="AC38" i="6"/>
  <c r="CC79" i="4"/>
  <c r="Y25" i="5" s="1"/>
  <c r="CC80" i="4"/>
  <c r="BZ170" i="4"/>
  <c r="BZ172" i="4" s="1"/>
  <c r="BZ179" i="4" s="1"/>
  <c r="V36" i="5"/>
  <c r="Y144" i="6"/>
  <c r="AD23" i="6"/>
  <c r="AA18" i="5"/>
  <c r="CF33" i="4"/>
  <c r="T36" i="5"/>
  <c r="W144" i="6"/>
  <c r="CE55" i="4"/>
  <c r="CE57" i="4" s="1"/>
  <c r="CD36" i="4"/>
  <c r="Z22" i="5"/>
  <c r="AC28" i="6"/>
  <c r="AC30" i="6" s="1"/>
  <c r="CB141" i="4"/>
  <c r="Z116" i="6"/>
  <c r="CA149" i="4"/>
  <c r="W30" i="5" s="1"/>
  <c r="W38" i="5" s="1"/>
  <c r="W40" i="5" s="1"/>
  <c r="AC24" i="6"/>
  <c r="Z19" i="5"/>
  <c r="AG13" i="6"/>
  <c r="AG15" i="6" s="1"/>
  <c r="AG16" i="6" s="1"/>
  <c r="AD10" i="5"/>
  <c r="AD12" i="5" s="1"/>
  <c r="AD13" i="5" s="1"/>
  <c r="CI18" i="4"/>
  <c r="AB54" i="6" l="1"/>
  <c r="Y147" i="6"/>
  <c r="Y148" i="6"/>
  <c r="CD80" i="4"/>
  <c r="CD79" i="4"/>
  <c r="Z25" i="5" s="1"/>
  <c r="U51" i="5"/>
  <c r="U50" i="5"/>
  <c r="Z155" i="6"/>
  <c r="W44" i="5"/>
  <c r="CF66" i="4"/>
  <c r="AD39" i="6"/>
  <c r="X155" i="6"/>
  <c r="U44" i="5"/>
  <c r="Z26" i="5"/>
  <c r="CF65" i="4"/>
  <c r="AD38" i="6"/>
  <c r="W147" i="6"/>
  <c r="W148" i="6"/>
  <c r="CF67" i="4"/>
  <c r="AD40" i="6"/>
  <c r="V155" i="6"/>
  <c r="S44" i="5"/>
  <c r="CF55" i="4"/>
  <c r="CE36" i="4"/>
  <c r="AA22" i="5"/>
  <c r="AA24" i="5" s="1"/>
  <c r="AD28" i="6"/>
  <c r="AC42" i="6"/>
  <c r="AC53" i="6" s="1"/>
  <c r="CI74" i="4"/>
  <c r="AG48" i="6"/>
  <c r="CF56" i="4"/>
  <c r="AD29" i="6"/>
  <c r="AA23" i="5"/>
  <c r="CC142" i="4"/>
  <c r="AA117" i="6"/>
  <c r="Z121" i="6"/>
  <c r="Z146" i="6" s="1"/>
  <c r="BX170" i="4"/>
  <c r="BX172" i="4" s="1"/>
  <c r="BX179" i="4" s="1"/>
  <c r="CF64" i="4"/>
  <c r="AD37" i="6"/>
  <c r="X146" i="6"/>
  <c r="AD24" i="6"/>
  <c r="AA19" i="5"/>
  <c r="AH13" i="6"/>
  <c r="AH15" i="6" s="1"/>
  <c r="AH16" i="6" s="1"/>
  <c r="AE10" i="5"/>
  <c r="AE12" i="5" s="1"/>
  <c r="AE13" i="5" s="1"/>
  <c r="CJ18" i="4"/>
  <c r="CF63" i="4"/>
  <c r="AD36" i="6"/>
  <c r="T51" i="5"/>
  <c r="T50" i="5"/>
  <c r="CF62" i="4"/>
  <c r="AD35" i="6"/>
  <c r="CF68" i="4"/>
  <c r="AD41" i="6"/>
  <c r="CF72" i="4"/>
  <c r="CE77" i="4"/>
  <c r="AD45" i="6"/>
  <c r="AD51" i="6" s="1"/>
  <c r="CF61" i="4"/>
  <c r="AD34" i="6"/>
  <c r="CE69" i="4"/>
  <c r="R60" i="3"/>
  <c r="S30" i="5"/>
  <c r="S38" i="5" s="1"/>
  <c r="CG25" i="4"/>
  <c r="AE18" i="6"/>
  <c r="AE19" i="6" s="1"/>
  <c r="AB15" i="5"/>
  <c r="AB16" i="5" s="1"/>
  <c r="AD30" i="6"/>
  <c r="W50" i="5"/>
  <c r="W51" i="5"/>
  <c r="Y155" i="6"/>
  <c r="V44" i="5"/>
  <c r="V146" i="6"/>
  <c r="V148" i="6" s="1"/>
  <c r="CC141" i="4"/>
  <c r="AA116" i="6"/>
  <c r="CB149" i="4"/>
  <c r="X30" i="5" s="1"/>
  <c r="X38" i="5" s="1"/>
  <c r="X40" i="5" s="1"/>
  <c r="AE23" i="6"/>
  <c r="AB18" i="5"/>
  <c r="CG33" i="4"/>
  <c r="CC167" i="4"/>
  <c r="X36" i="5"/>
  <c r="AA144" i="6"/>
  <c r="CI60" i="4"/>
  <c r="AG33" i="6"/>
  <c r="V38" i="5"/>
  <c r="V40" i="5" s="1"/>
  <c r="CF57" i="4"/>
  <c r="CG54" i="4"/>
  <c r="CF34" i="4"/>
  <c r="AE27" i="6"/>
  <c r="AB21" i="5"/>
  <c r="AC54" i="6" l="1"/>
  <c r="AI16" i="6"/>
  <c r="AA26" i="5"/>
  <c r="AD42" i="6"/>
  <c r="AD53" i="6" s="1"/>
  <c r="CG68" i="4"/>
  <c r="AE41" i="6"/>
  <c r="T44" i="5"/>
  <c r="W155" i="6"/>
  <c r="CJ74" i="4"/>
  <c r="AH48" i="6"/>
  <c r="Z147" i="6"/>
  <c r="Z148" i="6"/>
  <c r="CG67" i="4"/>
  <c r="AE40" i="6"/>
  <c r="CG66" i="4"/>
  <c r="AE39" i="6"/>
  <c r="CH54" i="4"/>
  <c r="CG34" i="4"/>
  <c r="AC21" i="5"/>
  <c r="AF27" i="6"/>
  <c r="CB170" i="4"/>
  <c r="CB172" i="4" s="1"/>
  <c r="CB179" i="4" s="1"/>
  <c r="CD142" i="4"/>
  <c r="AB117" i="6"/>
  <c r="X147" i="6"/>
  <c r="X148" i="6"/>
  <c r="CJ60" i="4"/>
  <c r="AH33" i="6"/>
  <c r="CD141" i="4"/>
  <c r="AB116" i="6"/>
  <c r="AB121" i="6" s="1"/>
  <c r="CC149" i="4"/>
  <c r="Y30" i="5" s="1"/>
  <c r="Y38" i="5" s="1"/>
  <c r="Y40" i="5" s="1"/>
  <c r="C74" i="3"/>
  <c r="C67" i="3"/>
  <c r="S40" i="5"/>
  <c r="CE80" i="4"/>
  <c r="CE79" i="4"/>
  <c r="AA25" i="5" s="1"/>
  <c r="X50" i="5"/>
  <c r="X51" i="5"/>
  <c r="AA121" i="6"/>
  <c r="AA146" i="6" s="1"/>
  <c r="CG61" i="4"/>
  <c r="AE34" i="6"/>
  <c r="AE42" i="6" s="1"/>
  <c r="CF69" i="4"/>
  <c r="AE24" i="6"/>
  <c r="AB19" i="5"/>
  <c r="CG62" i="4"/>
  <c r="AE35" i="6"/>
  <c r="W52" i="5"/>
  <c r="W53" i="5"/>
  <c r="CD167" i="4"/>
  <c r="Y36" i="5"/>
  <c r="AB144" i="6"/>
  <c r="CH25" i="4"/>
  <c r="AC15" i="5"/>
  <c r="AC16" i="5" s="1"/>
  <c r="AF18" i="6"/>
  <c r="AF19" i="6" s="1"/>
  <c r="V50" i="5"/>
  <c r="V51" i="5"/>
  <c r="C57" i="3" s="1"/>
  <c r="C26" i="7" s="1"/>
  <c r="AF23" i="6"/>
  <c r="AC18" i="5"/>
  <c r="CH33" i="4"/>
  <c r="V53" i="5"/>
  <c r="V52" i="5"/>
  <c r="CG55" i="4"/>
  <c r="CG57" i="4" s="1"/>
  <c r="CF36" i="4"/>
  <c r="AB22" i="5"/>
  <c r="AB24" i="5" s="1"/>
  <c r="AE28" i="6"/>
  <c r="AE30" i="6" s="1"/>
  <c r="AE53" i="6" s="1"/>
  <c r="CG65" i="4"/>
  <c r="AE38" i="6"/>
  <c r="CG72" i="4"/>
  <c r="CF77" i="4"/>
  <c r="AE45" i="6"/>
  <c r="AE51" i="6" s="1"/>
  <c r="CG63" i="4"/>
  <c r="AE36" i="6"/>
  <c r="CG64" i="4"/>
  <c r="AE37" i="6"/>
  <c r="CG56" i="4"/>
  <c r="AB23" i="5"/>
  <c r="AE29" i="6"/>
  <c r="S52" i="5"/>
  <c r="S53" i="5"/>
  <c r="AI13" i="6"/>
  <c r="AI15" i="6" s="1"/>
  <c r="AF10" i="5"/>
  <c r="AF12" i="5" s="1"/>
  <c r="AF13" i="5" s="1"/>
  <c r="CK18" i="4"/>
  <c r="U52" i="5"/>
  <c r="U53" i="5"/>
  <c r="AD54" i="6" l="1"/>
  <c r="AE54" i="6"/>
  <c r="AB26" i="5"/>
  <c r="CD170" i="4"/>
  <c r="CD172" i="4" s="1"/>
  <c r="CD179" i="4" s="1"/>
  <c r="CE167" i="4"/>
  <c r="AC144" i="6"/>
  <c r="Z36" i="5"/>
  <c r="CK60" i="4"/>
  <c r="AI33" i="6"/>
  <c r="CH61" i="4"/>
  <c r="AF34" i="6"/>
  <c r="CG69" i="4"/>
  <c r="S50" i="5"/>
  <c r="S51" i="5"/>
  <c r="C56" i="3" s="1"/>
  <c r="C25" i="7" s="1"/>
  <c r="CF79" i="4"/>
  <c r="AB25" i="5" s="1"/>
  <c r="CF80" i="4"/>
  <c r="AF24" i="6"/>
  <c r="AC19" i="5"/>
  <c r="CH72" i="4"/>
  <c r="CG77" i="4"/>
  <c r="AF45" i="6"/>
  <c r="AF51" i="6" s="1"/>
  <c r="AA147" i="6"/>
  <c r="AA148" i="6"/>
  <c r="CI54" i="4"/>
  <c r="CH34" i="4"/>
  <c r="AG27" i="6"/>
  <c r="AD21" i="5"/>
  <c r="AJ13" i="6"/>
  <c r="AJ15" i="6" s="1"/>
  <c r="AJ16" i="6" s="1"/>
  <c r="AG10" i="5"/>
  <c r="AG12" i="5" s="1"/>
  <c r="AG13" i="5" s="1"/>
  <c r="CH56" i="4"/>
  <c r="AC23" i="5"/>
  <c r="AF29" i="6"/>
  <c r="CI25" i="4"/>
  <c r="AD15" i="5"/>
  <c r="AD16" i="5" s="1"/>
  <c r="AG18" i="6"/>
  <c r="AG19" i="6" s="1"/>
  <c r="CH62" i="4"/>
  <c r="AF35" i="6"/>
  <c r="Y50" i="5"/>
  <c r="Y51" i="5"/>
  <c r="CK74" i="4"/>
  <c r="AJ48" i="6" s="1"/>
  <c r="AI48" i="6"/>
  <c r="AG23" i="6"/>
  <c r="AD18" i="5"/>
  <c r="CI33" i="4"/>
  <c r="AB146" i="6"/>
  <c r="CH64" i="4"/>
  <c r="AF37" i="6"/>
  <c r="CH65" i="4"/>
  <c r="AF38" i="6"/>
  <c r="CE141" i="4"/>
  <c r="AC116" i="6"/>
  <c r="CD149" i="4"/>
  <c r="Z30" i="5" s="1"/>
  <c r="Z38" i="5" s="1"/>
  <c r="Z40" i="5" s="1"/>
  <c r="CE142" i="4"/>
  <c r="AC117" i="6"/>
  <c r="CH66" i="4"/>
  <c r="AF39" i="6"/>
  <c r="T53" i="5"/>
  <c r="T52" i="5"/>
  <c r="CH63" i="4"/>
  <c r="AF36" i="6"/>
  <c r="CH67" i="4"/>
  <c r="AF40" i="6"/>
  <c r="CH68" i="4"/>
  <c r="AF41" i="6"/>
  <c r="CH55" i="4"/>
  <c r="CG36" i="4"/>
  <c r="AF28" i="6"/>
  <c r="AF30" i="6" s="1"/>
  <c r="AC22" i="5"/>
  <c r="AC24" i="5" s="1"/>
  <c r="CC170" i="4"/>
  <c r="CC172" i="4" s="1"/>
  <c r="CC179" i="4" s="1"/>
  <c r="X44" i="5"/>
  <c r="AA155" i="6"/>
  <c r="AB155" i="6" l="1"/>
  <c r="Y44" i="5"/>
  <c r="CI67" i="4"/>
  <c r="AG40" i="6"/>
  <c r="CI64" i="4"/>
  <c r="AG37" i="6"/>
  <c r="CF142" i="4"/>
  <c r="AD117" i="6"/>
  <c r="AB147" i="6"/>
  <c r="AB148" i="6"/>
  <c r="CI56" i="4"/>
  <c r="AD23" i="5"/>
  <c r="AG29" i="6"/>
  <c r="CH57" i="4"/>
  <c r="Z51" i="5"/>
  <c r="Z50" i="5"/>
  <c r="AH23" i="6"/>
  <c r="AE18" i="5"/>
  <c r="CJ33" i="4"/>
  <c r="AJ33" i="6"/>
  <c r="CI63" i="4"/>
  <c r="AG36" i="6"/>
  <c r="CI55" i="4"/>
  <c r="CH36" i="4"/>
  <c r="AG28" i="6"/>
  <c r="AG30" i="6" s="1"/>
  <c r="AD22" i="5"/>
  <c r="AD24" i="5" s="1"/>
  <c r="CF141" i="4"/>
  <c r="AD116" i="6"/>
  <c r="AD121" i="6" s="1"/>
  <c r="CE149" i="4"/>
  <c r="AA30" i="5" s="1"/>
  <c r="X52" i="5"/>
  <c r="X53" i="5"/>
  <c r="CI68" i="4"/>
  <c r="AG41" i="6"/>
  <c r="CI65" i="4"/>
  <c r="AG38" i="6"/>
  <c r="CH77" i="4"/>
  <c r="CI72" i="4"/>
  <c r="AG45" i="6"/>
  <c r="AG51" i="6" s="1"/>
  <c r="CI66" i="4"/>
  <c r="AG39" i="6"/>
  <c r="AD19" i="5"/>
  <c r="AG24" i="6"/>
  <c r="AF42" i="6"/>
  <c r="AF53" i="6" s="1"/>
  <c r="CE170" i="4"/>
  <c r="CE172" i="4" s="1"/>
  <c r="CE179" i="4" s="1"/>
  <c r="CF167" i="4"/>
  <c r="AA36" i="5"/>
  <c r="AD144" i="6"/>
  <c r="CJ54" i="4"/>
  <c r="CI57" i="4"/>
  <c r="CI34" i="4"/>
  <c r="AH27" i="6"/>
  <c r="AE21" i="5"/>
  <c r="CI61" i="4"/>
  <c r="AG34" i="6"/>
  <c r="CH69" i="4"/>
  <c r="Z44" i="5"/>
  <c r="AC155" i="6"/>
  <c r="AC121" i="6"/>
  <c r="AC146" i="6" s="1"/>
  <c r="CI62" i="4"/>
  <c r="AG35" i="6"/>
  <c r="CG79" i="4"/>
  <c r="AC25" i="5" s="1"/>
  <c r="AC26" i="5" s="1"/>
  <c r="CG80" i="4"/>
  <c r="CJ25" i="4"/>
  <c r="AE15" i="5"/>
  <c r="AE16" i="5" s="1"/>
  <c r="AH18" i="6"/>
  <c r="AH19" i="6" s="1"/>
  <c r="AF54" i="6" l="1"/>
  <c r="AG53" i="6"/>
  <c r="AI23" i="6"/>
  <c r="AF18" i="5"/>
  <c r="CK33" i="4"/>
  <c r="Z52" i="5"/>
  <c r="Z53" i="5"/>
  <c r="CK54" i="4"/>
  <c r="CJ34" i="4"/>
  <c r="AI27" i="6"/>
  <c r="AF21" i="5"/>
  <c r="CI36" i="4"/>
  <c r="CJ55" i="4"/>
  <c r="AE22" i="5"/>
  <c r="AH28" i="6"/>
  <c r="CJ56" i="4"/>
  <c r="AH29" i="6"/>
  <c r="AH30" i="6" s="1"/>
  <c r="AE23" i="5"/>
  <c r="AE24" i="5" s="1"/>
  <c r="AE26" i="5" s="1"/>
  <c r="CJ67" i="4"/>
  <c r="AH40" i="6"/>
  <c r="CJ61" i="4"/>
  <c r="AH34" i="6"/>
  <c r="CI69" i="4"/>
  <c r="CG167" i="4"/>
  <c r="AB36" i="5"/>
  <c r="AE144" i="6"/>
  <c r="CI77" i="4"/>
  <c r="CJ72" i="4"/>
  <c r="AH45" i="6"/>
  <c r="AH51" i="6" s="1"/>
  <c r="Y52" i="5"/>
  <c r="Y53" i="5"/>
  <c r="CJ65" i="4"/>
  <c r="AH38" i="6"/>
  <c r="CK25" i="4"/>
  <c r="AF15" i="5"/>
  <c r="AF16" i="5" s="1"/>
  <c r="AI18" i="6"/>
  <c r="AI19" i="6" s="1"/>
  <c r="CJ64" i="4"/>
  <c r="AH37" i="6"/>
  <c r="CJ66" i="4"/>
  <c r="AH39" i="6"/>
  <c r="CJ68" i="4"/>
  <c r="AH41" i="6"/>
  <c r="AG42" i="6"/>
  <c r="AD155" i="6"/>
  <c r="AA44" i="5"/>
  <c r="CH80" i="4"/>
  <c r="CH79" i="4"/>
  <c r="AD25" i="5" s="1"/>
  <c r="AD26" i="5" s="1"/>
  <c r="AA38" i="5"/>
  <c r="AA40" i="5" s="1"/>
  <c r="CJ63" i="4"/>
  <c r="AH36" i="6"/>
  <c r="CJ62" i="4"/>
  <c r="AH35" i="6"/>
  <c r="AD146" i="6"/>
  <c r="AC147" i="6"/>
  <c r="AC148" i="6"/>
  <c r="AE19" i="5"/>
  <c r="AH24" i="6"/>
  <c r="CG141" i="4"/>
  <c r="AE116" i="6"/>
  <c r="CF149" i="4"/>
  <c r="AB30" i="5" s="1"/>
  <c r="CG142" i="4"/>
  <c r="AE117" i="6"/>
  <c r="AJ23" i="6" l="1"/>
  <c r="AG18" i="5"/>
  <c r="AI24" i="6"/>
  <c r="AF19" i="5"/>
  <c r="AG54" i="6"/>
  <c r="AA50" i="5"/>
  <c r="AA51" i="5"/>
  <c r="CK68" i="4"/>
  <c r="AJ41" i="6" s="1"/>
  <c r="AI41" i="6"/>
  <c r="AJ18" i="6"/>
  <c r="AJ19" i="6" s="1"/>
  <c r="AG15" i="5"/>
  <c r="AG16" i="5" s="1"/>
  <c r="CI79" i="4"/>
  <c r="CI80" i="4"/>
  <c r="CH142" i="4"/>
  <c r="AF117" i="6"/>
  <c r="CK66" i="4"/>
  <c r="AJ39" i="6" s="1"/>
  <c r="AI39" i="6"/>
  <c r="CK65" i="4"/>
  <c r="AJ38" i="6" s="1"/>
  <c r="AI38" i="6"/>
  <c r="AB38" i="5"/>
  <c r="AB40" i="5" s="1"/>
  <c r="AD147" i="6"/>
  <c r="AD148" i="6"/>
  <c r="AA52" i="5"/>
  <c r="AA53" i="5"/>
  <c r="CF170" i="4"/>
  <c r="CF172" i="4" s="1"/>
  <c r="CF179" i="4" s="1"/>
  <c r="CH167" i="4"/>
  <c r="AC36" i="5"/>
  <c r="AF144" i="6"/>
  <c r="CK56" i="4"/>
  <c r="AI29" i="6"/>
  <c r="AI30" i="6" s="1"/>
  <c r="AF23" i="5"/>
  <c r="CK34" i="4"/>
  <c r="AJ27" i="6"/>
  <c r="AG21" i="5"/>
  <c r="CH141" i="4"/>
  <c r="AF116" i="6"/>
  <c r="AF121" i="6" s="1"/>
  <c r="AF146" i="6" s="1"/>
  <c r="CG149" i="4"/>
  <c r="AC30" i="5" s="1"/>
  <c r="AC38" i="5" s="1"/>
  <c r="AC40" i="5" s="1"/>
  <c r="CK62" i="4"/>
  <c r="AJ35" i="6" s="1"/>
  <c r="AI35" i="6"/>
  <c r="CK64" i="4"/>
  <c r="AJ37" i="6" s="1"/>
  <c r="AI37" i="6"/>
  <c r="AH42" i="6"/>
  <c r="AH53" i="6" s="1"/>
  <c r="CK67" i="4"/>
  <c r="AJ40" i="6" s="1"/>
  <c r="AI40" i="6"/>
  <c r="AE121" i="6"/>
  <c r="AE146" i="6" s="1"/>
  <c r="CJ57" i="4"/>
  <c r="CK63" i="4"/>
  <c r="AJ36" i="6" s="1"/>
  <c r="AI36" i="6"/>
  <c r="CJ77" i="4"/>
  <c r="CK72" i="4"/>
  <c r="AI45" i="6"/>
  <c r="AI51" i="6" s="1"/>
  <c r="CK61" i="4"/>
  <c r="AI34" i="6"/>
  <c r="CJ69" i="4"/>
  <c r="CJ36" i="4"/>
  <c r="CK55" i="4"/>
  <c r="AI28" i="6"/>
  <c r="AF22" i="5"/>
  <c r="AF24" i="5" s="1"/>
  <c r="AF26" i="5" s="1"/>
  <c r="AH54" i="6" l="1"/>
  <c r="AJ24" i="6"/>
  <c r="AG19" i="5"/>
  <c r="AB44" i="5"/>
  <c r="AE155" i="6"/>
  <c r="AJ34" i="6"/>
  <c r="AJ42" i="6" s="1"/>
  <c r="CK69" i="4"/>
  <c r="AI42" i="6"/>
  <c r="AI53" i="6" s="1"/>
  <c r="AE147" i="6"/>
  <c r="AE148" i="6"/>
  <c r="AC50" i="5"/>
  <c r="AC51" i="5"/>
  <c r="CI142" i="4"/>
  <c r="AG117" i="6"/>
  <c r="AB51" i="5"/>
  <c r="AB50" i="5"/>
  <c r="CG170" i="4"/>
  <c r="CG172" i="4" s="1"/>
  <c r="CG179" i="4" s="1"/>
  <c r="AF147" i="6"/>
  <c r="AF148" i="6"/>
  <c r="AJ29" i="6"/>
  <c r="AG23" i="5"/>
  <c r="CI141" i="4"/>
  <c r="AG116" i="6"/>
  <c r="AG121" i="6" s="1"/>
  <c r="AG146" i="6" s="1"/>
  <c r="CH149" i="4"/>
  <c r="AD30" i="5" s="1"/>
  <c r="AD38" i="5" s="1"/>
  <c r="AD40" i="5" s="1"/>
  <c r="CK77" i="4"/>
  <c r="AJ45" i="6"/>
  <c r="AJ51" i="6" s="1"/>
  <c r="CJ79" i="4"/>
  <c r="CJ80" i="4"/>
  <c r="CK36" i="4"/>
  <c r="AG22" i="5"/>
  <c r="AG24" i="5" s="1"/>
  <c r="AG26" i="5" s="1"/>
  <c r="AJ28" i="6"/>
  <c r="AJ30" i="6" s="1"/>
  <c r="AJ53" i="6" s="1"/>
  <c r="CK57" i="4"/>
  <c r="CI167" i="4"/>
  <c r="CH170" i="4"/>
  <c r="CH172" i="4" s="1"/>
  <c r="CH179" i="4" s="1"/>
  <c r="AG144" i="6"/>
  <c r="AD36" i="5"/>
  <c r="AI54" i="6" l="1"/>
  <c r="AJ54" i="6"/>
  <c r="AG155" i="6"/>
  <c r="AD44" i="5"/>
  <c r="CJ167" i="4"/>
  <c r="AH144" i="6"/>
  <c r="AE36" i="5"/>
  <c r="CK79" i="4"/>
  <c r="CK80" i="4"/>
  <c r="AB53" i="5"/>
  <c r="AB52" i="5"/>
  <c r="AD50" i="5"/>
  <c r="AD51" i="5"/>
  <c r="AF155" i="6"/>
  <c r="AC44" i="5"/>
  <c r="AG147" i="6"/>
  <c r="AG148" i="6"/>
  <c r="CJ141" i="4"/>
  <c r="AH116" i="6"/>
  <c r="AH121" i="6" s="1"/>
  <c r="AH146" i="6" s="1"/>
  <c r="CI149" i="4"/>
  <c r="AE30" i="5" s="1"/>
  <c r="AE38" i="5" s="1"/>
  <c r="CJ142" i="4"/>
  <c r="AH117" i="6"/>
  <c r="AE39" i="5" l="1"/>
  <c r="AE40" i="5"/>
  <c r="CI170" i="4"/>
  <c r="CI172" i="4" s="1"/>
  <c r="CI179" i="4" s="1"/>
  <c r="AD53" i="5"/>
  <c r="AD52" i="5"/>
  <c r="CK141" i="4"/>
  <c r="AI116" i="6"/>
  <c r="CJ149" i="4"/>
  <c r="AF30" i="5" s="1"/>
  <c r="AH147" i="6"/>
  <c r="AH148" i="6"/>
  <c r="AC52" i="5"/>
  <c r="AC53" i="5"/>
  <c r="CK142" i="4"/>
  <c r="AJ117" i="6" s="1"/>
  <c r="AI117" i="6"/>
  <c r="CJ170" i="4"/>
  <c r="CJ172" i="4" s="1"/>
  <c r="CJ179" i="4" s="1"/>
  <c r="CK167" i="4"/>
  <c r="AI144" i="6"/>
  <c r="AF36" i="5"/>
  <c r="AJ116" i="6" l="1"/>
  <c r="AJ121" i="6" s="1"/>
  <c r="CK149" i="4"/>
  <c r="AG30" i="5" s="1"/>
  <c r="AE44" i="5"/>
  <c r="AE52" i="5" s="1"/>
  <c r="AH155" i="6"/>
  <c r="AI155" i="6"/>
  <c r="AF44" i="5"/>
  <c r="AF52" i="5" s="1"/>
  <c r="AF38" i="5"/>
  <c r="AI121" i="6"/>
  <c r="AI146" i="6" s="1"/>
  <c r="AE50" i="5"/>
  <c r="AE51" i="5"/>
  <c r="CK170" i="4"/>
  <c r="CK172" i="4" s="1"/>
  <c r="CK179" i="4" s="1"/>
  <c r="AG36" i="5"/>
  <c r="AJ144" i="6"/>
  <c r="AJ155" i="6" l="1"/>
  <c r="AG44" i="5"/>
  <c r="AG52" i="5" s="1"/>
  <c r="AG38" i="5"/>
  <c r="AI147" i="6"/>
  <c r="AI148" i="6"/>
  <c r="AF39" i="5"/>
  <c r="AF40" i="5"/>
  <c r="AJ146" i="6"/>
  <c r="AJ147" i="6" l="1"/>
  <c r="AJ148" i="6"/>
  <c r="AF50" i="5"/>
  <c r="AF51" i="5"/>
  <c r="AG39" i="5"/>
  <c r="AG40" i="5"/>
  <c r="AG50" i="5" l="1"/>
  <c r="AG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0" authorId="0" shapeId="0" xr:uid="{00000000-0006-0000-0200-000001000000}">
      <text>
        <r>
          <rPr>
            <sz val="11"/>
            <color theme="1"/>
            <rFont val="Calibri"/>
            <scheme val="minor"/>
          </rPr>
          <t>Managed 29%</t>
        </r>
      </text>
    </comment>
  </commentList>
</comments>
</file>

<file path=xl/sharedStrings.xml><?xml version="1.0" encoding="utf-8"?>
<sst xmlns="http://schemas.openxmlformats.org/spreadsheetml/2006/main" count="1279" uniqueCount="732">
  <si>
    <t>Year</t>
  </si>
  <si>
    <t>In-Place</t>
  </si>
  <si>
    <t>Assumptions</t>
  </si>
  <si>
    <t>Average Rates</t>
  </si>
  <si>
    <t>Starting Rate</t>
  </si>
  <si>
    <t>Occupancy</t>
  </si>
  <si>
    <t xml:space="preserve"> Rental Rate</t>
  </si>
  <si>
    <t>Rate Growth</t>
  </si>
  <si>
    <t>Avg. Rental Rate</t>
  </si>
  <si>
    <t>Implied Full-Price Rate</t>
  </si>
  <si>
    <t>Implied Internet Rate</t>
  </si>
  <si>
    <t>In-Place Rate</t>
  </si>
  <si>
    <t>Achieved Rate</t>
  </si>
  <si>
    <t>Property Age</t>
  </si>
  <si>
    <t>Ending Rates</t>
  </si>
  <si>
    <t>Writeoff %</t>
  </si>
  <si>
    <t>Net Effective Rate</t>
  </si>
  <si>
    <t>Implied Avg. Rental Rate</t>
  </si>
  <si>
    <t>Cust. Choice</t>
  </si>
  <si>
    <t>Cust Choice %</t>
  </si>
  <si>
    <t>Non-FMF Disc</t>
  </si>
  <si>
    <t>Churn Adj.</t>
  </si>
  <si>
    <t>In-Place Metrics</t>
  </si>
  <si>
    <t>Total SF</t>
  </si>
  <si>
    <t>Net Rental Income Buildup</t>
  </si>
  <si>
    <t>Occ SF</t>
  </si>
  <si>
    <t>Rental Income</t>
  </si>
  <si>
    <t>Proj Rent</t>
  </si>
  <si>
    <t>Discounts</t>
  </si>
  <si>
    <t>Write-Offs</t>
  </si>
  <si>
    <t>Net Rental Income</t>
  </si>
  <si>
    <t>Ending In-Place Rate Growth</t>
  </si>
  <si>
    <t>Full Year In-Place Rate Growth</t>
  </si>
  <si>
    <t>Ann'l Achieved RPSF Growth</t>
  </si>
  <si>
    <t>Disc % of Rental Income</t>
  </si>
  <si>
    <t>Basic Info</t>
  </si>
  <si>
    <t>Rental Income Assumptions</t>
  </si>
  <si>
    <t>Expense Assumptions</t>
  </si>
  <si>
    <t>Expense Calcluations for Model</t>
  </si>
  <si>
    <t>Market</t>
  </si>
  <si>
    <t>GM  Pay</t>
  </si>
  <si>
    <t>SM Pay</t>
  </si>
  <si>
    <t>Address</t>
  </si>
  <si>
    <t>250 Dolson Avenue</t>
  </si>
  <si>
    <t>Occupancy Inputs</t>
  </si>
  <si>
    <t>Payroll Expense</t>
  </si>
  <si>
    <t>Comp Data</t>
  </si>
  <si>
    <t>Override</t>
  </si>
  <si>
    <t>Model</t>
  </si>
  <si>
    <t>Year 1 Total</t>
  </si>
  <si>
    <t>Hours</t>
  </si>
  <si>
    <t>Avg Rate</t>
  </si>
  <si>
    <t>Major Metro</t>
  </si>
  <si>
    <t>City</t>
  </si>
  <si>
    <t>Middletown</t>
  </si>
  <si>
    <t xml:space="preserve">Current Occupancy </t>
  </si>
  <si>
    <t># of Full-Time Employees</t>
  </si>
  <si>
    <t>Total Store Hours</t>
  </si>
  <si>
    <t>National</t>
  </si>
  <si>
    <t>State</t>
  </si>
  <si>
    <t>New York</t>
  </si>
  <si>
    <t>Rented SF</t>
  </si>
  <si>
    <t>Ending Occ %</t>
  </si>
  <si>
    <t>Avg Occ</t>
  </si>
  <si>
    <t>Medical Expense</t>
  </si>
  <si>
    <t>per FTE</t>
  </si>
  <si>
    <t>Gen. Mgr</t>
  </si>
  <si>
    <t>Secondary</t>
  </si>
  <si>
    <t>Zip</t>
  </si>
  <si>
    <t>Payroll Taxes</t>
  </si>
  <si>
    <t>% of  Sal.</t>
  </si>
  <si>
    <t>Manager</t>
  </si>
  <si>
    <t>New Development?</t>
  </si>
  <si>
    <t>Workers Comp.</t>
  </si>
  <si>
    <t>Maint.</t>
  </si>
  <si>
    <t>Maintenance Pay</t>
  </si>
  <si>
    <t>Projection Start Date (EOM)</t>
  </si>
  <si>
    <t>Total</t>
  </si>
  <si>
    <t>Annual Salary</t>
  </si>
  <si>
    <t>1 Year Budget/Upload Start</t>
  </si>
  <si>
    <t>Utility Expense</t>
  </si>
  <si>
    <t>Year 1</t>
  </si>
  <si>
    <t>Hourly Rate</t>
  </si>
  <si>
    <t>Property Age (Years)</t>
  </si>
  <si>
    <t>Rubbish Removal</t>
  </si>
  <si>
    <t>psf</t>
  </si>
  <si>
    <t>Year 1 Output</t>
  </si>
  <si>
    <t>Payroll</t>
  </si>
  <si>
    <t>Exterminating</t>
  </si>
  <si>
    <t>Current Property Info</t>
  </si>
  <si>
    <t>1st Fully Stable Year</t>
  </si>
  <si>
    <t>Electric</t>
  </si>
  <si>
    <t>Historical Utility Expense Calculator</t>
  </si>
  <si>
    <t>Total Square Feet</t>
  </si>
  <si>
    <t>Stable Average Occupancy</t>
  </si>
  <si>
    <t>Telephone</t>
  </si>
  <si>
    <t>Ann'l Expense</t>
  </si>
  <si>
    <t>Growth</t>
  </si>
  <si>
    <t>PSF</t>
  </si>
  <si>
    <t>Total Units</t>
  </si>
  <si>
    <t>Water/Sewer</t>
  </si>
  <si>
    <t>Owned</t>
  </si>
  <si>
    <t>Climated Controlled SF</t>
  </si>
  <si>
    <t>Rate Inputs</t>
  </si>
  <si>
    <t>IP Rate</t>
  </si>
  <si>
    <t>Rate Input</t>
  </si>
  <si>
    <t>Output</t>
  </si>
  <si>
    <t>Gas &amp; Utilities</t>
  </si>
  <si>
    <t>Managed</t>
  </si>
  <si>
    <t>Climate Controlled %</t>
  </si>
  <si>
    <t>Starting Rates</t>
  </si>
  <si>
    <t>Security Expense</t>
  </si>
  <si>
    <t>JV</t>
  </si>
  <si>
    <t>Starting Point</t>
  </si>
  <si>
    <t>Fire Alarm Monitoring</t>
  </si>
  <si>
    <t>Occupied SF</t>
  </si>
  <si>
    <t>Occupied Units</t>
  </si>
  <si>
    <t>Projected Rent</t>
  </si>
  <si>
    <t>R&amp;M Expense</t>
  </si>
  <si>
    <t>Insurance Pen.</t>
  </si>
  <si>
    <t>R&amp;M Roof</t>
  </si>
  <si>
    <t>Non-Storage Income</t>
  </si>
  <si>
    <t>Repairs &amp; Maintenance</t>
  </si>
  <si>
    <t>Non-Storage Total SF (Covered parking)</t>
  </si>
  <si>
    <t>R&amp;M Elevator</t>
  </si>
  <si>
    <t>Dev Store Ref. Table</t>
  </si>
  <si>
    <t>----------------------------------------------------&gt;</t>
  </si>
  <si>
    <t>Non-Storage Occ SF (Covered parking)</t>
  </si>
  <si>
    <t>R&amp;M Doors</t>
  </si>
  <si>
    <t>R&amp;M Phase-in Input</t>
  </si>
  <si>
    <t>Non-Covered Parking Total SF (removed from total)</t>
  </si>
  <si>
    <t>Avg. Rate Increases %</t>
  </si>
  <si>
    <t>R&amp;M Gates</t>
  </si>
  <si>
    <t>Non-Covered Parking Occ SF (removed from total)</t>
  </si>
  <si>
    <t>R&amp;M Golf Carts</t>
  </si>
  <si>
    <t>Year 2</t>
  </si>
  <si>
    <t>Non-Storage Total Units</t>
  </si>
  <si>
    <t>R&amp;M Parking Lot</t>
  </si>
  <si>
    <t>Year 3</t>
  </si>
  <si>
    <t>Non-Storage Occ Units</t>
  </si>
  <si>
    <t>Modeling Methodology</t>
  </si>
  <si>
    <t>None</t>
  </si>
  <si>
    <t>R&amp;M Cameras</t>
  </si>
  <si>
    <t>Non-Storage GPI</t>
  </si>
  <si>
    <t>Simple Annual Growth Rate</t>
  </si>
  <si>
    <t>R&amp;M HVAC</t>
  </si>
  <si>
    <t>Input Stable R&amp;M Total</t>
  </si>
  <si>
    <t>Non-Storage Proj Rent</t>
  </si>
  <si>
    <t>Leaseup: Starting Non-Storage GPI</t>
  </si>
  <si>
    <t>R&amp;M Fire Protection</t>
  </si>
  <si>
    <t>Leaseup: # of Months to Stabilization</t>
  </si>
  <si>
    <t>R&amp;M Lighting/Electrical</t>
  </si>
  <si>
    <t>CC</t>
  </si>
  <si>
    <t>NON</t>
  </si>
  <si>
    <t>LT Growth Assumptions</t>
  </si>
  <si>
    <t>Leaseup: Fully-Stable Mtly Non-Storage Rental Income</t>
  </si>
  <si>
    <t>R&amp;M Plumbing</t>
  </si>
  <si>
    <t>Rate</t>
  </si>
  <si>
    <t>R&amp;M Exterior Bldg Repair</t>
  </si>
  <si>
    <t>CC%</t>
  </si>
  <si>
    <t>LT Revenue Growth</t>
  </si>
  <si>
    <t>Other Revenue Assumptions</t>
  </si>
  <si>
    <t>R&amp;M Apartments</t>
  </si>
  <si>
    <t>Blended</t>
  </si>
  <si>
    <t>Ann'l Expense Growth</t>
  </si>
  <si>
    <t>Comp</t>
  </si>
  <si>
    <t>Ann'l RE Tax Growth</t>
  </si>
  <si>
    <t>Stable Discounts</t>
  </si>
  <si>
    <t>% of RI</t>
  </si>
  <si>
    <t>Management Contract</t>
  </si>
  <si>
    <t>WriteOffSum</t>
  </si>
  <si>
    <t>Write-offs</t>
  </si>
  <si>
    <t>Other Operating Expense</t>
  </si>
  <si>
    <t>Sales Center</t>
  </si>
  <si>
    <t>Training</t>
  </si>
  <si>
    <t>per month</t>
  </si>
  <si>
    <t>Management Fee Min</t>
  </si>
  <si>
    <t>Fee Income</t>
  </si>
  <si>
    <t>Uniforms</t>
  </si>
  <si>
    <t>per EE</t>
  </si>
  <si>
    <t>Management Fee %</t>
  </si>
  <si>
    <t>Admin Fees</t>
  </si>
  <si>
    <t>per rental</t>
  </si>
  <si>
    <t>Supplies</t>
  </si>
  <si>
    <t>3PM Owner Insurance %</t>
  </si>
  <si>
    <t>Late Fees</t>
  </si>
  <si>
    <t>Help Desk</t>
  </si>
  <si>
    <t>New Property Start-Up Costs</t>
  </si>
  <si>
    <t>Other Fee Rev.</t>
  </si>
  <si>
    <t>Truck Expense</t>
  </si>
  <si>
    <t>Inputs</t>
  </si>
  <si>
    <t>Recommended</t>
  </si>
  <si>
    <t>Acquisition &amp; Financing Assumptions</t>
  </si>
  <si>
    <t>Convenience Fee</t>
  </si>
  <si>
    <t>Dues &amp; Subscriptions</t>
  </si>
  <si>
    <t>Fee Write Off</t>
  </si>
  <si>
    <t>Landscaping</t>
  </si>
  <si>
    <t>Purchase Price</t>
  </si>
  <si>
    <t>Fees Waived</t>
  </si>
  <si>
    <t>Signs</t>
  </si>
  <si>
    <t>Loan Amount</t>
  </si>
  <si>
    <t>Fees Waived - Admin</t>
  </si>
  <si>
    <t>Auto Expense</t>
  </si>
  <si>
    <t>Sale Items</t>
  </si>
  <si>
    <t>Interest Rate</t>
  </si>
  <si>
    <t>Fees Waived - Late Fee</t>
  </si>
  <si>
    <t>Fees/Licenses</t>
  </si>
  <si>
    <t>Computer Expense</t>
  </si>
  <si>
    <t>Loan Term (Years)</t>
  </si>
  <si>
    <t>CC Chargebacks</t>
  </si>
  <si>
    <t>Postage/UPS</t>
  </si>
  <si>
    <t>Store Marketing</t>
  </si>
  <si>
    <t>Interest Only Period (Months)</t>
  </si>
  <si>
    <t>Office Supplies</t>
  </si>
  <si>
    <t>Travel &amp; Lodging</t>
  </si>
  <si>
    <t>Closing Costs</t>
  </si>
  <si>
    <t>Ancillary Income</t>
  </si>
  <si>
    <t>Bank Charges</t>
  </si>
  <si>
    <t>CapEx Budget</t>
  </si>
  <si>
    <t>Max Insurance Penetration</t>
  </si>
  <si>
    <t>CMS Expense</t>
  </si>
  <si>
    <t>Origination Fees</t>
  </si>
  <si>
    <t>Penske Truck Rental</t>
  </si>
  <si>
    <t>Site Truck Rental</t>
  </si>
  <si>
    <t>Bank Printing Fees</t>
  </si>
  <si>
    <t>Equipment (New Dev Only)</t>
  </si>
  <si>
    <t>LTV Ratio</t>
  </si>
  <si>
    <t>Merchandise</t>
  </si>
  <si>
    <t>Visa/MC</t>
  </si>
  <si>
    <t>% of Rev</t>
  </si>
  <si>
    <t>Equity Contribution</t>
  </si>
  <si>
    <t>Amer. Exp.</t>
  </si>
  <si>
    <t>Year 1 Cap Rate (6.5% Market Avg)</t>
  </si>
  <si>
    <t>Capital Expenditures / Soft Costs</t>
  </si>
  <si>
    <t>Legal Advertising</t>
  </si>
  <si>
    <t>Year 4 Cap Rate</t>
  </si>
  <si>
    <t>Amount</t>
  </si>
  <si>
    <t>Legal/Auction</t>
  </si>
  <si>
    <t xml:space="preserve">New Asphalt </t>
  </si>
  <si>
    <t>Free Move Vouchers</t>
  </si>
  <si>
    <t>$ per rental</t>
  </si>
  <si>
    <t>Property Characteristics</t>
  </si>
  <si>
    <t>Roof Replacement</t>
  </si>
  <si>
    <t>Truck R&amp;M</t>
  </si>
  <si>
    <t>Move-In Truck?</t>
  </si>
  <si>
    <t>Security Upgrades</t>
  </si>
  <si>
    <t>CC?</t>
  </si>
  <si>
    <t>Doors</t>
  </si>
  <si>
    <t>Multi-Story?</t>
  </si>
  <si>
    <t>Marketing Expense</t>
  </si>
  <si>
    <t>Golf Cart?</t>
  </si>
  <si>
    <t>Apartment?</t>
  </si>
  <si>
    <t>Estimated Development Cost</t>
  </si>
  <si>
    <t>Annual</t>
  </si>
  <si>
    <t>Land</t>
  </si>
  <si>
    <t xml:space="preserve">PSF and % Assumptions </t>
  </si>
  <si>
    <t>Non-Controllable Expenses</t>
  </si>
  <si>
    <t>Opex: $5.31 – $6.27/sf</t>
  </si>
  <si>
    <t>Real Estate Taxes</t>
  </si>
  <si>
    <t>Payroll:  $0.73 – $1.28/sf</t>
  </si>
  <si>
    <t>Snow Removal</t>
  </si>
  <si>
    <t>Utilities/Maintenance: $1-1.50/sf</t>
  </si>
  <si>
    <t>Insurance Property Type</t>
  </si>
  <si>
    <t>Non-Cat</t>
  </si>
  <si>
    <t>Insurance Rates</t>
  </si>
  <si>
    <t>Property Taxes: $2.09-2.47/sf</t>
  </si>
  <si>
    <t>Insurance</t>
  </si>
  <si>
    <t>Insurance: $.27/sf</t>
  </si>
  <si>
    <t>Insurance - Flood/Pollution</t>
  </si>
  <si>
    <t>Tier 1</t>
  </si>
  <si>
    <t>Revenue: $15/sf (Lower for New Dev)</t>
  </si>
  <si>
    <t>Reserves</t>
  </si>
  <si>
    <t>Insurance - Input Override</t>
  </si>
  <si>
    <t>annual</t>
  </si>
  <si>
    <t>S. FLA Tier I</t>
  </si>
  <si>
    <t>Ancillary Income: 3% (higher if managed)</t>
  </si>
  <si>
    <t>California</t>
  </si>
  <si>
    <t>Expenses: 21.5% – 35.0% (higher for New Dev)</t>
  </si>
  <si>
    <t>Other Expenses</t>
  </si>
  <si>
    <t>Other Insurance psf</t>
  </si>
  <si>
    <t xml:space="preserve">Avg Cost to Develop (25-70 psf) </t>
  </si>
  <si>
    <t>Commissions</t>
  </si>
  <si>
    <t>CC Cost to Develop</t>
  </si>
  <si>
    <t>Professional Fees</t>
  </si>
  <si>
    <t>NCC Cost to Develop</t>
  </si>
  <si>
    <t>Land Lease</t>
  </si>
  <si>
    <t>Property Info</t>
  </si>
  <si>
    <t>Storage SF:</t>
  </si>
  <si>
    <t>Total SF w/ Parking:</t>
  </si>
  <si>
    <t>Units:</t>
  </si>
  <si>
    <t>Total Units w/ Parking:</t>
  </si>
  <si>
    <t>Avg Unit SF:</t>
  </si>
  <si>
    <t>Summary Year</t>
  </si>
  <si>
    <t>Year:</t>
  </si>
  <si>
    <t>Total Projection Month:</t>
  </si>
  <si>
    <t>Mkt Rate</t>
  </si>
  <si>
    <t>Revenue Forecast</t>
  </si>
  <si>
    <t>Automated Occupancy</t>
  </si>
  <si>
    <t>Automated Rentals</t>
  </si>
  <si>
    <t>Automated Vacates</t>
  </si>
  <si>
    <t>Vacate Change</t>
  </si>
  <si>
    <t>MI</t>
  </si>
  <si>
    <t>Move In's</t>
  </si>
  <si>
    <t>MO</t>
  </si>
  <si>
    <t>Move Out's</t>
  </si>
  <si>
    <t>Net</t>
  </si>
  <si>
    <t>Net Rentals</t>
  </si>
  <si>
    <t>RentEnd</t>
  </si>
  <si>
    <t>Ending Occupied Units</t>
  </si>
  <si>
    <t>StorageSF</t>
  </si>
  <si>
    <t>Storage Square Feet Rented</t>
  </si>
  <si>
    <t>StorageOcc</t>
  </si>
  <si>
    <t>Storage SF Occupancy</t>
  </si>
  <si>
    <t>Total SF Rented</t>
  </si>
  <si>
    <t>Total SF Occupancy</t>
  </si>
  <si>
    <t>Rates</t>
  </si>
  <si>
    <t>AvgNER</t>
  </si>
  <si>
    <t>Effective Rate</t>
  </si>
  <si>
    <t>AvgFullPriceAsk</t>
  </si>
  <si>
    <t>Full Price Rental Rate</t>
  </si>
  <si>
    <t>AvgRentRate</t>
  </si>
  <si>
    <t>Rental Rate</t>
  </si>
  <si>
    <t>IPRPSF</t>
  </si>
  <si>
    <t>Disc %</t>
  </si>
  <si>
    <t>Discounts (% of Rental Income)</t>
  </si>
  <si>
    <t>Rental Income Calculation</t>
  </si>
  <si>
    <t>Rental Income Calc</t>
  </si>
  <si>
    <t>Move-In Revenue (non-Prorated)</t>
  </si>
  <si>
    <t>Move-In $</t>
  </si>
  <si>
    <t>Move-Out Revenue (non-Prorated)</t>
  </si>
  <si>
    <t>Move-Out $</t>
  </si>
  <si>
    <t>Rate Increase Revenue (non-prorated)</t>
  </si>
  <si>
    <t>TRIs</t>
  </si>
  <si>
    <t>Ending Storage Rental Income</t>
  </si>
  <si>
    <t>Commercial/Parking Income</t>
  </si>
  <si>
    <t>Commercial/Parking GPI</t>
  </si>
  <si>
    <t>Commercial/Parking Occ SF</t>
  </si>
  <si>
    <t>Insurance Calculation</t>
  </si>
  <si>
    <t>Insurance Calc</t>
  </si>
  <si>
    <t>Insunits</t>
  </si>
  <si>
    <t>Insured Units</t>
  </si>
  <si>
    <t>InsPen</t>
  </si>
  <si>
    <t>Insurance Penetration</t>
  </si>
  <si>
    <t>Revenue Budget</t>
  </si>
  <si>
    <t>NetRentInc</t>
  </si>
  <si>
    <t>Other Income</t>
  </si>
  <si>
    <t>Fees Waived - Admin Fee</t>
  </si>
  <si>
    <t>Credit Card Chargebacks</t>
  </si>
  <si>
    <t>OtherOpInc</t>
  </si>
  <si>
    <t>Total Other Income</t>
  </si>
  <si>
    <t>Insurance Commission (Managed)</t>
  </si>
  <si>
    <t>Merchandise ($/rental)</t>
  </si>
  <si>
    <t>Miscellaneous</t>
  </si>
  <si>
    <t>AncInc</t>
  </si>
  <si>
    <t>TotAncInc</t>
  </si>
  <si>
    <t>Total Ancillary Income</t>
  </si>
  <si>
    <t>Income</t>
  </si>
  <si>
    <t>Total Revenues</t>
  </si>
  <si>
    <t>Property operating expenses</t>
  </si>
  <si>
    <t>Personnel Expense</t>
  </si>
  <si>
    <t>Salaries</t>
  </si>
  <si>
    <t>Medical Exp.</t>
  </si>
  <si>
    <t>401k Expense</t>
  </si>
  <si>
    <t>Bonus</t>
  </si>
  <si>
    <t>Workers Comp. Premium</t>
  </si>
  <si>
    <t>PayExp</t>
  </si>
  <si>
    <t>Total Personnel Expense</t>
  </si>
  <si>
    <t>TotUtil</t>
  </si>
  <si>
    <t>Total Utility Expense</t>
  </si>
  <si>
    <t>Repair &amp; Maintenance Expense</t>
  </si>
  <si>
    <t>R&amp;M</t>
  </si>
  <si>
    <t>Total R&amp;M Expense</t>
  </si>
  <si>
    <t>Outside Services</t>
  </si>
  <si>
    <t>Equipment</t>
  </si>
  <si>
    <t>Equipment Lease</t>
  </si>
  <si>
    <t>Rent Expense</t>
  </si>
  <si>
    <t>OthOpExp</t>
  </si>
  <si>
    <t>Total Other Operating Expense</t>
  </si>
  <si>
    <t>MktExp</t>
  </si>
  <si>
    <t>Total Marketing Expense</t>
  </si>
  <si>
    <t>Taxes &amp; Insurance Expense</t>
  </si>
  <si>
    <t>TotTax</t>
  </si>
  <si>
    <t>Total Taxes &amp; Insurance Expense</t>
  </si>
  <si>
    <t>Other Non-Controllable Expense</t>
  </si>
  <si>
    <t>TotOthNon</t>
  </si>
  <si>
    <t>Total Other Non-Controllable Expense</t>
  </si>
  <si>
    <t>Management Fee Expense</t>
  </si>
  <si>
    <t>PropertyExp</t>
  </si>
  <si>
    <t>Total Property Operating Expenses</t>
  </si>
  <si>
    <t>PropertyProfit</t>
  </si>
  <si>
    <t>Net Operating Income</t>
  </si>
  <si>
    <t>Beginning Loan Balance</t>
  </si>
  <si>
    <t>Interest Payment</t>
  </si>
  <si>
    <t>Principal Payment</t>
  </si>
  <si>
    <t>Total Debt Service</t>
  </si>
  <si>
    <t>Ending Loan Balance</t>
  </si>
  <si>
    <t>Levered Cash Flow</t>
  </si>
  <si>
    <t>Loan Period</t>
  </si>
  <si>
    <t>Net Rentable Sq. Feet:</t>
  </si>
  <si>
    <t>Unit Count: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</si>
  <si>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</si>
  <si>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</si>
  <si>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</si>
  <si>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</si>
  <si>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</si>
  <si>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</si>
  <si>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</si>
  <si>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</si>
  <si>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</si>
  <si>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</si>
  <si>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</si>
  <si>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</si>
  <si>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Rentals</t>
  </si>
  <si>
    <t>Vacates</t>
  </si>
  <si>
    <t>Rented Units (EoM)</t>
  </si>
  <si>
    <t>SFRent</t>
  </si>
  <si>
    <t>Sq. Feet Rented</t>
  </si>
  <si>
    <t>SFOcc%</t>
  </si>
  <si>
    <t>Avg. Square Foot Occupancy</t>
  </si>
  <si>
    <t>Avg. Rent Rate on Rentals</t>
  </si>
  <si>
    <t>Write Off</t>
  </si>
  <si>
    <t>Property Revenue</t>
  </si>
  <si>
    <t>Utilities</t>
  </si>
  <si>
    <t>Operating Expenses</t>
  </si>
  <si>
    <t>Marketing</t>
  </si>
  <si>
    <t>Taxes</t>
  </si>
  <si>
    <t>Management Fees</t>
  </si>
  <si>
    <t>Property Expenses</t>
  </si>
  <si>
    <t>Property NOI</t>
  </si>
  <si>
    <t>DSCR</t>
  </si>
  <si>
    <t>Cap Rate</t>
  </si>
  <si>
    <t>Cash on Cash Return</t>
  </si>
  <si>
    <t>Yield on Cash</t>
  </si>
  <si>
    <t>Total Sq. Feet:</t>
  </si>
  <si>
    <t>Total Units:</t>
  </si>
  <si>
    <t>GL Acct</t>
  </si>
  <si>
    <t>Occupancy Statistics</t>
  </si>
  <si>
    <t>Mone-In's</t>
  </si>
  <si>
    <t>Move-Out's</t>
  </si>
  <si>
    <t>Rented Units (End of Mo.)</t>
  </si>
  <si>
    <t>Ending SF Occupancy</t>
  </si>
  <si>
    <t>Ending SF Occupancy %</t>
  </si>
  <si>
    <t>Rent Write Off</t>
  </si>
  <si>
    <t>Total Net Rental Income</t>
  </si>
  <si>
    <t>Total Fee Income</t>
  </si>
  <si>
    <t>OthOpINc</t>
  </si>
  <si>
    <t>TotalFees</t>
  </si>
  <si>
    <t>Total Fees</t>
  </si>
  <si>
    <t>Ancillary Sales/Other Income</t>
  </si>
  <si>
    <t>Tenant Pd Ins.</t>
  </si>
  <si>
    <t>Insurance Comm.</t>
  </si>
  <si>
    <t>Penske Commissions</t>
  </si>
  <si>
    <t>Merchandise Sales</t>
  </si>
  <si>
    <t>AncillarySales</t>
  </si>
  <si>
    <t>Total Ancillary Sales/Other Inc.</t>
  </si>
  <si>
    <t>Total Property Revenue</t>
  </si>
  <si>
    <t>Expense Budget</t>
  </si>
  <si>
    <t>Personnel</t>
  </si>
  <si>
    <t>Medical Reimbursement</t>
  </si>
  <si>
    <t>PayrollExpense</t>
  </si>
  <si>
    <t>Total Personnel</t>
  </si>
  <si>
    <t>UtilityExpense</t>
  </si>
  <si>
    <t>Total Utilities</t>
  </si>
  <si>
    <t>RMExpense</t>
  </si>
  <si>
    <t>Total R&amp;M</t>
  </si>
  <si>
    <t>Other Controllable Expenses</t>
  </si>
  <si>
    <t>Fire/Elevator Inspection Fee</t>
  </si>
  <si>
    <t>Visa/Mastercard Fees</t>
  </si>
  <si>
    <t>American Express Fees</t>
  </si>
  <si>
    <t>Truck Repairs &amp; Maint.</t>
  </si>
  <si>
    <t>OtherContrExpense</t>
  </si>
  <si>
    <t>Total Other Controllable Expenses</t>
  </si>
  <si>
    <t>Internet/Website Costs</t>
  </si>
  <si>
    <t>Marketing Campaigns</t>
  </si>
  <si>
    <t>MarketingExpense</t>
  </si>
  <si>
    <t>Total Marketing</t>
  </si>
  <si>
    <t>Property Taxes &amp; Insurance</t>
  </si>
  <si>
    <t>R.E. Tax Refunds</t>
  </si>
  <si>
    <t>Personal Property Taxes</t>
  </si>
  <si>
    <t>Total Taxes &amp; Insurance</t>
  </si>
  <si>
    <t>Other NonControllable Expenses</t>
  </si>
  <si>
    <t>Sales Tax Allowance</t>
  </si>
  <si>
    <t>Total Other NonControllable</t>
  </si>
  <si>
    <t>Third Party Management Fees</t>
  </si>
  <si>
    <t>Expense</t>
  </si>
  <si>
    <t>Total Property Expenses</t>
  </si>
  <si>
    <t>Rental</t>
  </si>
  <si>
    <t>REIT vs.</t>
  </si>
  <si>
    <t>Miles</t>
  </si>
  <si>
    <t>Climate</t>
  </si>
  <si>
    <t>Non-Climate</t>
  </si>
  <si>
    <t>Weighted</t>
  </si>
  <si>
    <t>NCC</t>
  </si>
  <si>
    <t>Comps</t>
  </si>
  <si>
    <t>Non REIT</t>
  </si>
  <si>
    <t>Away</t>
  </si>
  <si>
    <t>5x5</t>
  </si>
  <si>
    <t>5x10</t>
  </si>
  <si>
    <t>10x10</t>
  </si>
  <si>
    <t>10x15</t>
  </si>
  <si>
    <t>10x20</t>
  </si>
  <si>
    <t>10x30</t>
  </si>
  <si>
    <t>Totals</t>
  </si>
  <si>
    <t>Subject Site Name</t>
  </si>
  <si>
    <t>Allspace Storage</t>
  </si>
  <si>
    <t>The Storage Depot</t>
  </si>
  <si>
    <t>A&amp;L Self Storage</t>
  </si>
  <si>
    <t>CubeSmart Self Storage</t>
  </si>
  <si>
    <t>REIT</t>
  </si>
  <si>
    <t>55 Self Storage</t>
  </si>
  <si>
    <t>U-Haul Self Storage</t>
  </si>
  <si>
    <t>Extra Space Storage</t>
  </si>
  <si>
    <t>Prime Storage</t>
  </si>
  <si>
    <t>Rental Comp 12</t>
  </si>
  <si>
    <t>Rental Comp 13</t>
  </si>
  <si>
    <t>Rental Comp 14</t>
  </si>
  <si>
    <t>Rental Comp 15</t>
  </si>
  <si>
    <t>Market Average</t>
  </si>
  <si>
    <t>REIT Average</t>
  </si>
  <si>
    <t>Non REIT Average</t>
  </si>
  <si>
    <t>Market Maximum</t>
  </si>
  <si>
    <t>Market Minimum</t>
  </si>
  <si>
    <t>Subject Site Rental Rates</t>
  </si>
  <si>
    <t>Unit Sqft</t>
  </si>
  <si>
    <t>Subject Site Total Unit Count</t>
  </si>
  <si>
    <t>Subject Site Occupied Units</t>
  </si>
  <si>
    <t>Subject Site Unit Occupancy</t>
  </si>
  <si>
    <t>Subject Site Sqft Available</t>
  </si>
  <si>
    <t>Subject Site Sqft Occupied</t>
  </si>
  <si>
    <t>Total Rentable Sqft</t>
  </si>
  <si>
    <t>Subject Site Sqft Occupancy</t>
  </si>
  <si>
    <t>% of Unit Mix</t>
  </si>
  <si>
    <t>Subject Site Price / Sqft</t>
  </si>
  <si>
    <t>Market Price / Sqft</t>
  </si>
  <si>
    <t>REIT Price / Sqft</t>
  </si>
  <si>
    <t>Non REIT Price / Sqft</t>
  </si>
  <si>
    <t>Maximum Price / Sqft</t>
  </si>
  <si>
    <t>Minimum Price  / Sqft</t>
  </si>
  <si>
    <t>% Delta from Market</t>
  </si>
  <si>
    <t>% Delta from REIT</t>
  </si>
  <si>
    <t>% Delta from Non REIT</t>
  </si>
  <si>
    <t>% Delta from Maximum</t>
  </si>
  <si>
    <t>% Delta from Minimum</t>
  </si>
  <si>
    <t>CC%?</t>
  </si>
  <si>
    <t>SqFoot_Total</t>
  </si>
  <si>
    <t>SqFootRent_Total</t>
  </si>
  <si>
    <t>Units_Total</t>
  </si>
  <si>
    <t>Units Rented</t>
  </si>
  <si>
    <t>SF Occupancy</t>
  </si>
  <si>
    <t>T-12 Churns:</t>
  </si>
  <si>
    <t>Discounts Charged</t>
  </si>
  <si>
    <t>Rent Written Off</t>
  </si>
  <si>
    <t>ProjectedRent</t>
  </si>
  <si>
    <t>Discount %:</t>
  </si>
  <si>
    <t>Write-off %:</t>
  </si>
  <si>
    <t>Admin Fee</t>
  </si>
  <si>
    <t>Late Fee Revenue</t>
  </si>
  <si>
    <t>Other Fee Revenue</t>
  </si>
  <si>
    <t>Nsf Fee</t>
  </si>
  <si>
    <t>Convenience Fee Payments</t>
  </si>
  <si>
    <t>Fees Written Off</t>
  </si>
  <si>
    <t>PropertyInc</t>
  </si>
  <si>
    <t>Total Revenue</t>
  </si>
  <si>
    <t>Merchandise Sales Totals:</t>
  </si>
  <si>
    <t>Medical Exp Employee Portion</t>
  </si>
  <si>
    <t>Employee Rewards</t>
  </si>
  <si>
    <t>Payroll Tax</t>
  </si>
  <si>
    <t>Workers Comp Premium</t>
  </si>
  <si>
    <t>Personnel Totals:</t>
  </si>
  <si>
    <t>Propane Gas</t>
  </si>
  <si>
    <t>Video Monitoring</t>
  </si>
  <si>
    <t>Utilities Totals:</t>
  </si>
  <si>
    <t>R &amp; M Elevator</t>
  </si>
  <si>
    <t>R &amp; M Doors</t>
  </si>
  <si>
    <t>R &amp; M Gates</t>
  </si>
  <si>
    <t>R &amp; M Golf Carts</t>
  </si>
  <si>
    <t>R &amp; M Parking Lot</t>
  </si>
  <si>
    <t>R &amp; M Cameras</t>
  </si>
  <si>
    <t>R &amp; M Hvac</t>
  </si>
  <si>
    <t>R &amp; M Plumbing</t>
  </si>
  <si>
    <t>R &amp; M Exterior Building Repair</t>
  </si>
  <si>
    <t>R &amp; M - Apartment</t>
  </si>
  <si>
    <t>R&amp;M Totals:</t>
  </si>
  <si>
    <t>Trash Removal Fees</t>
  </si>
  <si>
    <t>Casual Labor</t>
  </si>
  <si>
    <t>Truck Expenses</t>
  </si>
  <si>
    <t>Gas Parking Tolls Etc</t>
  </si>
  <si>
    <t>Fees / Licenses</t>
  </si>
  <si>
    <t>Convenience Fee Expense</t>
  </si>
  <si>
    <t>Postage</t>
  </si>
  <si>
    <t>Commercial Cleaning (Operating)</t>
  </si>
  <si>
    <t>Drinking Water</t>
  </si>
  <si>
    <t>Office Expense</t>
  </si>
  <si>
    <t>Printing Expense</t>
  </si>
  <si>
    <t>Office Lease</t>
  </si>
  <si>
    <t>Bank Printing Charges</t>
  </si>
  <si>
    <t>Bank Adjustments</t>
  </si>
  <si>
    <t>Loss &amp; Damage</t>
  </si>
  <si>
    <t>It - Repairs And Services</t>
  </si>
  <si>
    <t>Compliance Costs</t>
  </si>
  <si>
    <t>Organization Cost Expense</t>
  </si>
  <si>
    <t>Partners Expense</t>
  </si>
  <si>
    <t>Truck Insurance</t>
  </si>
  <si>
    <t>Truck Repairs &amp; Maint</t>
  </si>
  <si>
    <t>Other Operating Expenses Totals:</t>
  </si>
  <si>
    <t>Promotional Signage</t>
  </si>
  <si>
    <t>Field/Local Marketing</t>
  </si>
  <si>
    <t>Marketing Totals:</t>
  </si>
  <si>
    <t>Real Estate Tax Refunds</t>
  </si>
  <si>
    <t>Taxes and Insurance Totals:</t>
  </si>
  <si>
    <t>Snow Removal &amp; Salting</t>
  </si>
  <si>
    <t>Business Use Tax</t>
  </si>
  <si>
    <t>Total Expenses:</t>
  </si>
  <si>
    <t>Total Expenses without Taxes/Insurance:</t>
  </si>
  <si>
    <t>Seasonality Assumptions</t>
  </si>
  <si>
    <t>Revenue Seasonality</t>
  </si>
  <si>
    <r>
      <rPr>
        <b/>
        <sz val="11"/>
        <color theme="1"/>
        <rFont val="Calibri"/>
        <family val="2"/>
      </rPr>
      <t xml:space="preserve">Occ </t>
    </r>
    <r>
      <rPr>
        <sz val="11"/>
        <color theme="1"/>
        <rFont val="Calibri"/>
        <family val="2"/>
      </rPr>
      <t>Δ</t>
    </r>
  </si>
  <si>
    <t>vs. Avg Occ</t>
  </si>
  <si>
    <t>Asking Rate</t>
  </si>
  <si>
    <t>Leaseup</t>
  </si>
  <si>
    <t>Boost</t>
  </si>
  <si>
    <t>Seasonal</t>
  </si>
  <si>
    <t>NER Seasonality</t>
  </si>
  <si>
    <t>WC Rate</t>
  </si>
  <si>
    <t>Property Ages</t>
  </si>
  <si>
    <t>AL</t>
  </si>
  <si>
    <t>AR</t>
  </si>
  <si>
    <t>CA</t>
  </si>
  <si>
    <t>CO</t>
  </si>
  <si>
    <t>CT</t>
  </si>
  <si>
    <t>Stable</t>
  </si>
  <si>
    <t>DC</t>
  </si>
  <si>
    <t>GA</t>
  </si>
  <si>
    <t>IL</t>
  </si>
  <si>
    <t>IN</t>
  </si>
  <si>
    <t>KS</t>
  </si>
  <si>
    <t>LA</t>
  </si>
  <si>
    <t>MD</t>
  </si>
  <si>
    <t>Expense Seasonality</t>
  </si>
  <si>
    <t>MN</t>
  </si>
  <si>
    <t>Gas</t>
  </si>
  <si>
    <t>Snow</t>
  </si>
  <si>
    <t>Landscape</t>
  </si>
  <si>
    <t>MS</t>
  </si>
  <si>
    <t>NC</t>
  </si>
  <si>
    <t>NH</t>
  </si>
  <si>
    <t>NJ</t>
  </si>
  <si>
    <t>NM</t>
  </si>
  <si>
    <t>NV</t>
  </si>
  <si>
    <t>NY</t>
  </si>
  <si>
    <t>PA</t>
  </si>
  <si>
    <t>RI</t>
  </si>
  <si>
    <t>SC</t>
  </si>
  <si>
    <t>TN</t>
  </si>
  <si>
    <t>TX</t>
  </si>
  <si>
    <t>UT</t>
  </si>
  <si>
    <t>VA</t>
  </si>
  <si>
    <t>VT</t>
  </si>
  <si>
    <t>Input</t>
  </si>
  <si>
    <t>WV</t>
  </si>
  <si>
    <t>AZ</t>
  </si>
  <si>
    <t>FL</t>
  </si>
  <si>
    <t>MA</t>
  </si>
  <si>
    <t>WI</t>
  </si>
  <si>
    <t>Budget ST Vacate Rate Query</t>
  </si>
  <si>
    <t>Full Baseline Attrition Curves</t>
  </si>
  <si>
    <t>MT &amp; LT Vacate Rate Curves</t>
  </si>
  <si>
    <t>Customers Choice Multiplier</t>
  </si>
  <si>
    <t>Customers Choice Plus Multiplier</t>
  </si>
  <si>
    <t>Property Age - Rent Roll Distribution</t>
  </si>
  <si>
    <t>Seasonality</t>
  </si>
  <si>
    <t>RentalMonth</t>
  </si>
  <si>
    <t>VacateMonth</t>
  </si>
  <si>
    <t>VacateRate</t>
  </si>
  <si>
    <t>LOS</t>
  </si>
  <si>
    <t>Seasonality (use 0 - normal)</t>
  </si>
  <si>
    <t>Max LOS</t>
  </si>
  <si>
    <t>Beta</t>
  </si>
  <si>
    <t>Intercept</t>
  </si>
  <si>
    <t>Month</t>
  </si>
  <si>
    <t>FMF</t>
  </si>
  <si>
    <t>Disc</t>
  </si>
  <si>
    <t>Los</t>
  </si>
  <si>
    <t>20+</t>
  </si>
  <si>
    <t>Max Rate vs. Web</t>
  </si>
  <si>
    <t>Incr. TRI Vacate Rate</t>
  </si>
  <si>
    <t>MI Rate vs. Expected</t>
  </si>
  <si>
    <t>MO Rate vs. Expected</t>
  </si>
  <si>
    <t>MT &amp; LT Vacate Seasonality</t>
  </si>
  <si>
    <t>MT</t>
  </si>
  <si>
    <t>LT</t>
  </si>
  <si>
    <t>In-Place Rent</t>
  </si>
  <si>
    <t>TRI %</t>
  </si>
  <si>
    <t>LT Attrition</t>
  </si>
  <si>
    <t>Attrition Curve</t>
  </si>
  <si>
    <t>Vacate Rate</t>
  </si>
  <si>
    <t>Retention</t>
  </si>
  <si>
    <t>MO $</t>
  </si>
  <si>
    <t>Square Footage</t>
  </si>
  <si>
    <t>MO SF</t>
  </si>
  <si>
    <t>TRI's</t>
  </si>
  <si>
    <t>TRI $s</t>
  </si>
  <si>
    <t>RR Distr.</t>
  </si>
  <si>
    <t>Rented SF Calc</t>
  </si>
  <si>
    <t>Input Occ</t>
  </si>
  <si>
    <t>MI SF</t>
  </si>
  <si>
    <t>Stabilization Year</t>
  </si>
  <si>
    <t>MO SF Calc</t>
  </si>
  <si>
    <t>Square Footage - Traditional</t>
  </si>
  <si>
    <t>Square Footage - IP</t>
  </si>
  <si>
    <t>Rental Rates</t>
  </si>
  <si>
    <t>NER</t>
  </si>
  <si>
    <t>NER Growth</t>
  </si>
  <si>
    <t>Implied CC Full Price Rate</t>
  </si>
  <si>
    <t>Implied CC Internet Rate</t>
  </si>
  <si>
    <t>Implied Trad. Rental Rate</t>
  </si>
  <si>
    <t>% FMF</t>
  </si>
  <si>
    <t>CC FMF MI $</t>
  </si>
  <si>
    <t>CC NonDisc MI $</t>
  </si>
  <si>
    <t>Traditional MI $</t>
  </si>
  <si>
    <t>Total MI $</t>
  </si>
  <si>
    <t>Avg. MI Rate</t>
  </si>
  <si>
    <t>Avg. MO Rate</t>
  </si>
  <si>
    <t>TRI $</t>
  </si>
  <si>
    <t>In-Place Rent psf</t>
  </si>
  <si>
    <t>Achieved Rent psf</t>
  </si>
  <si>
    <t>Discount % of Rental Income</t>
  </si>
  <si>
    <t>IP RPSF Growth</t>
  </si>
  <si>
    <t>Ach RPSF Growth</t>
  </si>
  <si>
    <t>MO vs. IP</t>
  </si>
  <si>
    <t>Churn</t>
  </si>
  <si>
    <t>MI vs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</si>
</sst>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Year &quot;#"/>
    <numFmt numFmtId="166" formatCode="_(* #,##0_);_(* \(#,##0\);_(* &quot;-&quot;??_);_(@_)"/>
    <numFmt numFmtId="167" formatCode="_(&quot;$&quot;* #,##0_);_(&quot;$&quot;* \(#,##0\);_(&quot;$&quot;* &quot;-&quot;??_);_(@_)"/>
    <numFmt numFmtId="168" formatCode="00000"/>
    <numFmt numFmtId="169" formatCode="[$-409]mmm\-yy"/>
    <numFmt numFmtId="170" formatCode="&quot;Year&quot;\ 0\ &quot;Rate&quot;"/>
    <numFmt numFmtId="171" formatCode="&quot;$&quot;#,##0.00"/>
    <numFmt numFmtId="172" formatCode="&quot;$&quot;#,##0"/>
    <numFmt numFmtId="173" formatCode="_([$$-409]* #,##0_);_([$$-409]* \(#,##0\);_([$$-409]* &quot;-&quot;??_);_(@_)"/>
    <numFmt numFmtId="174" formatCode="&quot;$&quot;#,##0.0000"/>
    <numFmt numFmtId="175" formatCode="&quot;Year&quot;\ 0"/>
    <numFmt numFmtId="176" formatCode="_(* #,##0.0_);_(* \(#,##0.0\);_(* &quot;-&quot;??_);_(@_)"/>
    <numFmt numFmtId="177" formatCode="_([$$-409]* #,##0.00_);_([$$-409]* \(#,##0.00\);_([$$-409]* &quot;-&quot;??_);_(@_)"/>
    <numFmt numFmtId="178" formatCode="_(* #,##0_);_(* \(#,##0\);_(* &quot;-&quot;??_);_(@_)&quot; sf&quot;"/>
    <numFmt numFmtId="179" formatCode="mmmm"/>
    <numFmt numFmtId="180" formatCode="0.00\x"/>
    <numFmt numFmtId="181" formatCode="mmm"/>
    <numFmt numFmtId="182" formatCode="_(* #,##0.0_);_(* \(#,##0.0\);_(* &quot;-&quot;?_);_(@_)"/>
  </numFmts>
  <fonts count="8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u/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2"/>
      <color theme="0"/>
      <name val="Calibri"/>
      <family val="2"/>
    </font>
    <font>
      <b/>
      <u/>
      <sz val="11"/>
      <color theme="1"/>
      <name val="Calibri"/>
      <family val="2"/>
    </font>
    <font>
      <b/>
      <sz val="11"/>
      <color rgb="FFFFFFFF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BFBFBF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FF0000"/>
      <name val="Calibri"/>
      <family val="2"/>
    </font>
    <font>
      <i/>
      <sz val="11"/>
      <color theme="1"/>
      <name val="Calibri"/>
      <family val="2"/>
    </font>
    <font>
      <sz val="11"/>
      <color rgb="FF0A0432"/>
      <name val="Calibri"/>
      <family val="2"/>
    </font>
    <font>
      <sz val="11"/>
      <color rgb="FF0A0432"/>
      <name val="Calibri"/>
      <family val="2"/>
      <scheme val="minor"/>
    </font>
    <font>
      <b/>
      <i/>
      <sz val="11"/>
      <color rgb="FF0A0432"/>
      <name val="Calibri"/>
      <family val="2"/>
    </font>
    <font>
      <b/>
      <sz val="11"/>
      <color rgb="FF0A0432"/>
      <name val="Calibri"/>
      <family val="2"/>
    </font>
    <font>
      <sz val="11"/>
      <color rgb="FF1F3864"/>
      <name val="Calibri"/>
      <family val="2"/>
    </font>
    <font>
      <sz val="11"/>
      <color rgb="FF1F3864"/>
      <name val="Calibri"/>
      <family val="2"/>
      <scheme val="minor"/>
    </font>
    <font>
      <b/>
      <sz val="11"/>
      <color rgb="FF1F3864"/>
      <name val="Calibri"/>
      <family val="2"/>
    </font>
    <font>
      <sz val="11"/>
      <color rgb="FFFFFFFF"/>
      <name val="Calibri"/>
      <family val="2"/>
      <scheme val="minor"/>
    </font>
    <font>
      <b/>
      <sz val="14"/>
      <color rgb="FFFFFFFF"/>
      <name val="Calibri"/>
      <family val="2"/>
    </font>
    <font>
      <b/>
      <sz val="24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2060"/>
      <name val="Calibri"/>
      <family val="2"/>
    </font>
    <font>
      <i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2060"/>
      <name val="Calibri"/>
      <family val="2"/>
    </font>
    <font>
      <b/>
      <sz val="24"/>
      <color rgb="FF1F3864"/>
      <name val="Calibri"/>
      <family val="2"/>
    </font>
    <font>
      <i/>
      <sz val="11"/>
      <color rgb="FF1F3864"/>
      <name val="Calibri"/>
      <family val="2"/>
    </font>
    <font>
      <i/>
      <sz val="11"/>
      <color rgb="FF0000FF"/>
      <name val="Calibri"/>
      <family val="2"/>
    </font>
    <font>
      <b/>
      <sz val="10"/>
      <color rgb="FFFFFFFF"/>
      <name val="Lato"/>
    </font>
    <font>
      <b/>
      <sz val="10"/>
      <color theme="1"/>
      <name val="Lato"/>
    </font>
    <font>
      <sz val="10"/>
      <color rgb="FF0000FF"/>
      <name val="Lato"/>
    </font>
    <font>
      <sz val="10"/>
      <color theme="1"/>
      <name val="Lato"/>
    </font>
    <font>
      <b/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66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  <fill>
      <patternFill patternType="solid">
        <fgColor rgb="FF002060"/>
        <bgColor rgb="FF00206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0A0432"/>
        <bgColor rgb="FF0A0432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 style="dotted">
        <color rgb="FF000000"/>
      </right>
      <top style="dotted">
        <color rgb="FF7F7F7F"/>
      </top>
      <bottom style="dotted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medium">
        <color rgb="FF000000"/>
      </bottom>
      <diagonal/>
    </border>
    <border>
      <left style="thin">
        <color rgb="FFBFBFBF"/>
      </left>
      <right style="thin">
        <color rgb="FF7F7F7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7F7F7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7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3" xfId="0" applyFont="1" applyBorder="1"/>
    <xf numFmtId="44" fontId="1" fillId="0" borderId="4" xfId="0" applyNumberFormat="1" applyFont="1" applyBorder="1"/>
    <xf numFmtId="0" fontId="1" fillId="0" borderId="5" xfId="0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7" xfId="0" applyFont="1" applyBorder="1"/>
    <xf numFmtId="8" fontId="5" fillId="0" borderId="8" xfId="0" applyNumberFormat="1" applyFont="1" applyBorder="1"/>
    <xf numFmtId="0" fontId="1" fillId="0" borderId="0" xfId="0" applyFont="1"/>
    <xf numFmtId="8" fontId="1" fillId="0" borderId="0" xfId="0" applyNumberFormat="1" applyFont="1"/>
    <xf numFmtId="8" fontId="1" fillId="0" borderId="8" xfId="0" applyNumberFormat="1" applyFont="1" applyBorder="1"/>
    <xf numFmtId="165" fontId="1" fillId="0" borderId="7" xfId="0" applyNumberFormat="1" applyFont="1" applyBorder="1" applyAlignment="1">
      <alignment horizontal="left"/>
    </xf>
    <xf numFmtId="164" fontId="1" fillId="3" borderId="9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8" fontId="1" fillId="0" borderId="11" xfId="0" applyNumberFormat="1" applyFont="1" applyBorder="1"/>
    <xf numFmtId="8" fontId="1" fillId="0" borderId="12" xfId="0" applyNumberFormat="1" applyFont="1" applyBorder="1"/>
    <xf numFmtId="0" fontId="1" fillId="0" borderId="8" xfId="0" applyFont="1" applyBorder="1"/>
    <xf numFmtId="166" fontId="5" fillId="0" borderId="9" xfId="0" applyNumberFormat="1" applyFont="1" applyBorder="1"/>
    <xf numFmtId="164" fontId="1" fillId="0" borderId="9" xfId="0" applyNumberFormat="1" applyFont="1" applyBorder="1"/>
    <xf numFmtId="0" fontId="5" fillId="0" borderId="8" xfId="0" applyFont="1" applyBorder="1"/>
    <xf numFmtId="164" fontId="1" fillId="0" borderId="8" xfId="0" applyNumberFormat="1" applyFont="1" applyBorder="1"/>
    <xf numFmtId="164" fontId="1" fillId="0" borderId="0" xfId="0" applyNumberFormat="1" applyFont="1"/>
    <xf numFmtId="164" fontId="1" fillId="0" borderId="12" xfId="0" applyNumberFormat="1" applyFont="1" applyBorder="1"/>
    <xf numFmtId="166" fontId="1" fillId="0" borderId="6" xfId="0" applyNumberFormat="1" applyFont="1" applyBorder="1"/>
    <xf numFmtId="166" fontId="1" fillId="0" borderId="8" xfId="0" applyNumberFormat="1" applyFont="1" applyBorder="1"/>
    <xf numFmtId="166" fontId="1" fillId="0" borderId="0" xfId="0" applyNumberFormat="1" applyFont="1"/>
    <xf numFmtId="166" fontId="1" fillId="0" borderId="12" xfId="0" applyNumberFormat="1" applyFont="1" applyBorder="1"/>
    <xf numFmtId="0" fontId="1" fillId="0" borderId="13" xfId="0" applyFont="1" applyBorder="1"/>
    <xf numFmtId="166" fontId="1" fillId="0" borderId="13" xfId="0" applyNumberFormat="1" applyFont="1" applyBorder="1"/>
    <xf numFmtId="164" fontId="1" fillId="0" borderId="11" xfId="0" applyNumberFormat="1" applyFont="1" applyBorder="1"/>
    <xf numFmtId="0" fontId="1" fillId="4" borderId="14" xfId="0" applyFont="1" applyFill="1" applyBorder="1"/>
    <xf numFmtId="167" fontId="1" fillId="0" borderId="0" xfId="0" applyNumberFormat="1" applyFont="1"/>
    <xf numFmtId="0" fontId="3" fillId="0" borderId="16" xfId="0" applyFont="1" applyBorder="1"/>
    <xf numFmtId="0" fontId="1" fillId="0" borderId="7" xfId="0" applyFont="1" applyBorder="1" applyAlignment="1">
      <alignment horizontal="left"/>
    </xf>
    <xf numFmtId="0" fontId="5" fillId="6" borderId="17" xfId="0" applyFont="1" applyFill="1" applyBorder="1" applyAlignment="1">
      <alignment horizontal="center"/>
    </xf>
    <xf numFmtId="0" fontId="3" fillId="7" borderId="18" xfId="0" applyFont="1" applyFill="1" applyBorder="1"/>
    <xf numFmtId="0" fontId="3" fillId="7" borderId="19" xfId="0" applyFont="1" applyFill="1" applyBorder="1"/>
    <xf numFmtId="0" fontId="1" fillId="7" borderId="19" xfId="0" applyFont="1" applyFill="1" applyBorder="1"/>
    <xf numFmtId="0" fontId="1" fillId="7" borderId="20" xfId="0" applyFont="1" applyFill="1" applyBorder="1"/>
    <xf numFmtId="0" fontId="8" fillId="7" borderId="19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16" xfId="0" applyFont="1" applyBorder="1"/>
    <xf numFmtId="44" fontId="5" fillId="6" borderId="16" xfId="0" applyNumberFormat="1" applyFont="1" applyFill="1" applyBorder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4" fontId="1" fillId="0" borderId="16" xfId="0" applyNumberFormat="1" applyFont="1" applyBorder="1"/>
    <xf numFmtId="0" fontId="13" fillId="0" borderId="7" xfId="0" applyFont="1" applyBorder="1"/>
    <xf numFmtId="0" fontId="1" fillId="0" borderId="0" xfId="0" applyFont="1" applyAlignment="1">
      <alignment horizontal="right"/>
    </xf>
    <xf numFmtId="166" fontId="5" fillId="6" borderId="14" xfId="0" applyNumberFormat="1" applyFont="1" applyFill="1" applyBorder="1"/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4" fillId="0" borderId="0" xfId="0" applyFont="1"/>
    <xf numFmtId="164" fontId="15" fillId="0" borderId="0" xfId="0" applyNumberFormat="1" applyFont="1"/>
    <xf numFmtId="0" fontId="16" fillId="0" borderId="8" xfId="0" applyFont="1" applyBorder="1" applyAlignment="1">
      <alignment horizontal="center"/>
    </xf>
    <xf numFmtId="167" fontId="5" fillId="6" borderId="14" xfId="0" applyNumberFormat="1" applyFont="1" applyFill="1" applyBorder="1"/>
    <xf numFmtId="43" fontId="5" fillId="6" borderId="14" xfId="0" applyNumberFormat="1" applyFont="1" applyFill="1" applyBorder="1"/>
    <xf numFmtId="44" fontId="5" fillId="6" borderId="17" xfId="0" applyNumberFormat="1" applyFont="1" applyFill="1" applyBorder="1"/>
    <xf numFmtId="9" fontId="1" fillId="0" borderId="0" xfId="0" applyNumberFormat="1" applyFont="1" applyAlignment="1">
      <alignment horizontal="center"/>
    </xf>
    <xf numFmtId="168" fontId="5" fillId="6" borderId="17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left"/>
    </xf>
    <xf numFmtId="164" fontId="5" fillId="6" borderId="14" xfId="0" applyNumberFormat="1" applyFont="1" applyFill="1" applyBorder="1"/>
    <xf numFmtId="164" fontId="1" fillId="0" borderId="8" xfId="0" applyNumberFormat="1" applyFont="1" applyBorder="1" applyAlignment="1">
      <alignment horizontal="center"/>
    </xf>
    <xf numFmtId="44" fontId="3" fillId="0" borderId="0" xfId="0" applyNumberFormat="1" applyFont="1" applyAlignment="1">
      <alignment horizontal="center"/>
    </xf>
    <xf numFmtId="0" fontId="7" fillId="0" borderId="0" xfId="0" applyFont="1"/>
    <xf numFmtId="169" fontId="5" fillId="6" borderId="17" xfId="0" applyNumberFormat="1" applyFont="1" applyFill="1" applyBorder="1" applyAlignment="1">
      <alignment horizontal="center"/>
    </xf>
    <xf numFmtId="43" fontId="1" fillId="0" borderId="0" xfId="0" applyNumberFormat="1" applyFont="1"/>
    <xf numFmtId="44" fontId="1" fillId="0" borderId="8" xfId="0" applyNumberFormat="1" applyFont="1" applyBorder="1"/>
    <xf numFmtId="0" fontId="1" fillId="0" borderId="10" xfId="0" applyFont="1" applyBorder="1" applyAlignment="1">
      <alignment horizontal="left"/>
    </xf>
    <xf numFmtId="0" fontId="5" fillId="6" borderId="21" xfId="0" applyFont="1" applyFill="1" applyBorder="1" applyAlignment="1">
      <alignment horizontal="center"/>
    </xf>
    <xf numFmtId="44" fontId="1" fillId="0" borderId="0" xfId="0" applyNumberFormat="1" applyFont="1"/>
    <xf numFmtId="44" fontId="5" fillId="6" borderId="14" xfId="0" applyNumberFormat="1" applyFont="1" applyFill="1" applyBorder="1"/>
    <xf numFmtId="167" fontId="1" fillId="0" borderId="8" xfId="0" applyNumberFormat="1" applyFont="1" applyBorder="1"/>
    <xf numFmtId="0" fontId="1" fillId="7" borderId="22" xfId="0" applyFont="1" applyFill="1" applyBorder="1"/>
    <xf numFmtId="0" fontId="1" fillId="7" borderId="23" xfId="0" applyFont="1" applyFill="1" applyBorder="1"/>
    <xf numFmtId="44" fontId="1" fillId="7" borderId="21" xfId="0" applyNumberFormat="1" applyFont="1" applyFill="1" applyBorder="1"/>
    <xf numFmtId="166" fontId="5" fillId="6" borderId="20" xfId="0" applyNumberFormat="1" applyFont="1" applyFill="1" applyBorder="1"/>
    <xf numFmtId="0" fontId="17" fillId="0" borderId="1" xfId="0" applyFont="1" applyBorder="1" applyAlignment="1">
      <alignment horizontal="left"/>
    </xf>
    <xf numFmtId="164" fontId="18" fillId="0" borderId="16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66" fontId="5" fillId="6" borderId="17" xfId="0" applyNumberFormat="1" applyFont="1" applyFill="1" applyBorder="1"/>
    <xf numFmtId="166" fontId="5" fillId="6" borderId="24" xfId="0" applyNumberFormat="1" applyFont="1" applyFill="1" applyBorder="1"/>
    <xf numFmtId="164" fontId="5" fillId="6" borderId="25" xfId="0" applyNumberFormat="1" applyFont="1" applyFill="1" applyBorder="1" applyAlignment="1">
      <alignment horizontal="center"/>
    </xf>
    <xf numFmtId="44" fontId="1" fillId="0" borderId="26" xfId="0" applyNumberFormat="1" applyFont="1" applyBorder="1"/>
    <xf numFmtId="0" fontId="12" fillId="0" borderId="0" xfId="0" applyFont="1"/>
    <xf numFmtId="0" fontId="3" fillId="7" borderId="24" xfId="0" applyFont="1" applyFill="1" applyBorder="1"/>
    <xf numFmtId="0" fontId="1" fillId="7" borderId="14" xfId="0" applyFont="1" applyFill="1" applyBorder="1"/>
    <xf numFmtId="44" fontId="20" fillId="7" borderId="14" xfId="0" applyNumberFormat="1" applyFont="1" applyFill="1" applyBorder="1" applyAlignment="1">
      <alignment horizontal="center"/>
    </xf>
    <xf numFmtId="44" fontId="21" fillId="7" borderId="14" xfId="0" applyNumberFormat="1" applyFont="1" applyFill="1" applyBorder="1" applyAlignment="1">
      <alignment horizontal="left"/>
    </xf>
    <xf numFmtId="0" fontId="22" fillId="7" borderId="14" xfId="0" applyFont="1" applyFill="1" applyBorder="1"/>
    <xf numFmtId="0" fontId="23" fillId="7" borderId="17" xfId="0" applyFont="1" applyFill="1" applyBorder="1"/>
    <xf numFmtId="8" fontId="1" fillId="0" borderId="0" xfId="0" applyNumberFormat="1" applyFont="1" applyAlignment="1">
      <alignment horizontal="center"/>
    </xf>
    <xf numFmtId="44" fontId="24" fillId="6" borderId="27" xfId="0" applyNumberFormat="1" applyFont="1" applyFill="1" applyBorder="1" applyAlignment="1">
      <alignment horizontal="left"/>
    </xf>
    <xf numFmtId="17" fontId="1" fillId="0" borderId="0" xfId="0" applyNumberFormat="1" applyFont="1"/>
    <xf numFmtId="0" fontId="1" fillId="7" borderId="17" xfId="0" applyFont="1" applyFill="1" applyBorder="1"/>
    <xf numFmtId="9" fontId="1" fillId="0" borderId="0" xfId="0" applyNumberFormat="1" applyFont="1"/>
    <xf numFmtId="9" fontId="3" fillId="0" borderId="0" xfId="0" applyNumberFormat="1" applyFont="1"/>
    <xf numFmtId="44" fontId="25" fillId="0" borderId="0" xfId="0" applyNumberFormat="1" applyFont="1" applyAlignment="1">
      <alignment horizontal="left"/>
    </xf>
    <xf numFmtId="167" fontId="3" fillId="0" borderId="8" xfId="0" applyNumberFormat="1" applyFont="1" applyBorder="1"/>
    <xf numFmtId="170" fontId="1" fillId="0" borderId="7" xfId="0" applyNumberFormat="1" applyFont="1" applyBorder="1" applyAlignment="1">
      <alignment horizontal="left"/>
    </xf>
    <xf numFmtId="8" fontId="1" fillId="0" borderId="8" xfId="0" applyNumberFormat="1" applyFont="1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0" fontId="27" fillId="7" borderId="17" xfId="0" applyFont="1" applyFill="1" applyBorder="1" applyAlignment="1">
      <alignment horizontal="center"/>
    </xf>
    <xf numFmtId="164" fontId="5" fillId="6" borderId="17" xfId="0" applyNumberFormat="1" applyFont="1" applyFill="1" applyBorder="1"/>
    <xf numFmtId="166" fontId="5" fillId="6" borderId="22" xfId="0" applyNumberFormat="1" applyFont="1" applyFill="1" applyBorder="1"/>
    <xf numFmtId="164" fontId="5" fillId="6" borderId="28" xfId="0" applyNumberFormat="1" applyFont="1" applyFill="1" applyBorder="1" applyAlignment="1">
      <alignment horizontal="center"/>
    </xf>
    <xf numFmtId="44" fontId="1" fillId="0" borderId="29" xfId="0" applyNumberFormat="1" applyFont="1" applyBorder="1"/>
    <xf numFmtId="0" fontId="1" fillId="0" borderId="0" xfId="0" quotePrefix="1" applyFont="1"/>
    <xf numFmtId="44" fontId="1" fillId="0" borderId="0" xfId="0" applyNumberFormat="1" applyFont="1" applyAlignment="1">
      <alignment horizontal="left"/>
    </xf>
    <xf numFmtId="0" fontId="1" fillId="7" borderId="14" xfId="0" applyFont="1" applyFill="1" applyBorder="1" applyAlignment="1">
      <alignment horizontal="left"/>
    </xf>
    <xf numFmtId="44" fontId="1" fillId="7" borderId="14" xfId="0" applyNumberFormat="1" applyFont="1" applyFill="1" applyBorder="1" applyAlignment="1">
      <alignment horizontal="left"/>
    </xf>
    <xf numFmtId="44" fontId="1" fillId="7" borderId="14" xfId="0" applyNumberFormat="1" applyFont="1" applyFill="1" applyBorder="1"/>
    <xf numFmtId="164" fontId="5" fillId="6" borderId="14" xfId="0" applyNumberFormat="1" applyFont="1" applyFill="1" applyBorder="1" applyAlignment="1">
      <alignment horizontal="center"/>
    </xf>
    <xf numFmtId="171" fontId="1" fillId="0" borderId="0" xfId="0" applyNumberFormat="1" applyFont="1"/>
    <xf numFmtId="9" fontId="5" fillId="6" borderId="14" xfId="0" applyNumberFormat="1" applyFont="1" applyFill="1" applyBorder="1"/>
    <xf numFmtId="0" fontId="1" fillId="0" borderId="1" xfId="0" applyFont="1" applyBorder="1"/>
    <xf numFmtId="0" fontId="1" fillId="0" borderId="15" xfId="0" applyFont="1" applyBorder="1"/>
    <xf numFmtId="172" fontId="5" fillId="6" borderId="27" xfId="0" applyNumberFormat="1" applyFont="1" applyFill="1" applyBorder="1"/>
    <xf numFmtId="166" fontId="5" fillId="6" borderId="21" xfId="0" applyNumberFormat="1" applyFont="1" applyFill="1" applyBorder="1"/>
    <xf numFmtId="166" fontId="5" fillId="0" borderId="0" xfId="0" applyNumberFormat="1" applyFont="1"/>
    <xf numFmtId="43" fontId="1" fillId="0" borderId="7" xfId="0" applyNumberFormat="1" applyFont="1" applyBorder="1"/>
    <xf numFmtId="0" fontId="5" fillId="6" borderId="14" xfId="0" applyFont="1" applyFill="1" applyBorder="1"/>
    <xf numFmtId="0" fontId="3" fillId="0" borderId="16" xfId="0" applyFont="1" applyBorder="1" applyAlignment="1">
      <alignment horizontal="center"/>
    </xf>
    <xf numFmtId="166" fontId="5" fillId="0" borderId="11" xfId="0" applyNumberFormat="1" applyFont="1" applyBorder="1"/>
    <xf numFmtId="0" fontId="1" fillId="0" borderId="12" xfId="0" applyFont="1" applyBorder="1"/>
    <xf numFmtId="44" fontId="1" fillId="0" borderId="16" xfId="0" applyNumberFormat="1" applyFont="1" applyBorder="1" applyAlignment="1">
      <alignment horizontal="center"/>
    </xf>
    <xf numFmtId="0" fontId="3" fillId="7" borderId="24" xfId="0" applyFont="1" applyFill="1" applyBorder="1" applyAlignment="1">
      <alignment horizontal="left"/>
    </xf>
    <xf numFmtId="0" fontId="1" fillId="7" borderId="17" xfId="0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9" fontId="1" fillId="0" borderId="33" xfId="0" applyNumberFormat="1" applyFont="1" applyBorder="1" applyAlignment="1">
      <alignment horizontal="center"/>
    </xf>
    <xf numFmtId="44" fontId="5" fillId="6" borderId="14" xfId="0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7" borderId="18" xfId="0" applyFont="1" applyFill="1" applyBorder="1" applyAlignment="1">
      <alignment horizontal="left"/>
    </xf>
    <xf numFmtId="0" fontId="13" fillId="7" borderId="19" xfId="0" applyFont="1" applyFill="1" applyBorder="1"/>
    <xf numFmtId="0" fontId="28" fillId="7" borderId="19" xfId="0" applyFont="1" applyFill="1" applyBorder="1" applyAlignment="1">
      <alignment horizontal="center"/>
    </xf>
    <xf numFmtId="0" fontId="29" fillId="7" borderId="20" xfId="0" applyFont="1" applyFill="1" applyBorder="1" applyAlignment="1">
      <alignment horizontal="center"/>
    </xf>
    <xf numFmtId="164" fontId="5" fillId="8" borderId="14" xfId="0" applyNumberFormat="1" applyFont="1" applyFill="1" applyBorder="1"/>
    <xf numFmtId="0" fontId="1" fillId="4" borderId="24" xfId="0" applyFont="1" applyFill="1" applyBorder="1" applyAlignment="1">
      <alignment horizontal="left"/>
    </xf>
    <xf numFmtId="0" fontId="13" fillId="7" borderId="14" xfId="0" applyFont="1" applyFill="1" applyBorder="1"/>
    <xf numFmtId="0" fontId="30" fillId="7" borderId="14" xfId="0" applyFont="1" applyFill="1" applyBorder="1" applyAlignment="1">
      <alignment horizontal="center"/>
    </xf>
    <xf numFmtId="0" fontId="31" fillId="7" borderId="17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164" fontId="5" fillId="6" borderId="21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0" borderId="0" xfId="0" applyFont="1"/>
    <xf numFmtId="167" fontId="5" fillId="6" borderId="17" xfId="0" applyNumberFormat="1" applyFont="1" applyFill="1" applyBorder="1"/>
    <xf numFmtId="10" fontId="5" fillId="6" borderId="17" xfId="0" applyNumberFormat="1" applyFont="1" applyFill="1" applyBorder="1"/>
    <xf numFmtId="1" fontId="5" fillId="6" borderId="17" xfId="0" applyNumberFormat="1" applyFont="1" applyFill="1" applyBorder="1"/>
    <xf numFmtId="0" fontId="1" fillId="4" borderId="24" xfId="0" applyFont="1" applyFill="1" applyBorder="1" applyAlignment="1">
      <alignment horizontal="right"/>
    </xf>
    <xf numFmtId="167" fontId="5" fillId="6" borderId="21" xfId="0" applyNumberFormat="1" applyFont="1" applyFill="1" applyBorder="1"/>
    <xf numFmtId="0" fontId="1" fillId="4" borderId="22" xfId="0" applyFont="1" applyFill="1" applyBorder="1" applyAlignment="1">
      <alignment horizontal="center"/>
    </xf>
    <xf numFmtId="44" fontId="1" fillId="0" borderId="11" xfId="0" applyNumberFormat="1" applyFont="1" applyBorder="1"/>
    <xf numFmtId="44" fontId="5" fillId="6" borderId="23" xfId="0" applyNumberFormat="1" applyFont="1" applyFill="1" applyBorder="1"/>
    <xf numFmtId="44" fontId="1" fillId="0" borderId="12" xfId="0" applyNumberFormat="1" applyFont="1" applyBorder="1"/>
    <xf numFmtId="0" fontId="34" fillId="0" borderId="0" xfId="0" applyFont="1"/>
    <xf numFmtId="0" fontId="1" fillId="0" borderId="3" xfId="0" applyFont="1" applyBorder="1" applyAlignment="1">
      <alignment horizontal="left"/>
    </xf>
    <xf numFmtId="0" fontId="5" fillId="6" borderId="20" xfId="0" applyFont="1" applyFill="1" applyBorder="1"/>
    <xf numFmtId="2" fontId="12" fillId="0" borderId="0" xfId="0" applyNumberFormat="1" applyFont="1"/>
    <xf numFmtId="2" fontId="34" fillId="0" borderId="0" xfId="0" applyNumberFormat="1" applyFont="1"/>
    <xf numFmtId="0" fontId="35" fillId="0" borderId="0" xfId="0" applyFont="1"/>
    <xf numFmtId="0" fontId="5" fillId="6" borderId="17" xfId="0" applyFont="1" applyFill="1" applyBorder="1"/>
    <xf numFmtId="0" fontId="36" fillId="7" borderId="24" xfId="0" applyFont="1" applyFill="1" applyBorder="1"/>
    <xf numFmtId="0" fontId="5" fillId="6" borderId="21" xfId="0" applyFont="1" applyFill="1" applyBorder="1"/>
    <xf numFmtId="173" fontId="1" fillId="0" borderId="8" xfId="0" applyNumberFormat="1" applyFont="1" applyBorder="1"/>
    <xf numFmtId="0" fontId="38" fillId="0" borderId="7" xfId="0" applyFont="1" applyBorder="1"/>
    <xf numFmtId="0" fontId="39" fillId="0" borderId="0" xfId="0" applyFont="1" applyAlignment="1">
      <alignment horizontal="center"/>
    </xf>
    <xf numFmtId="0" fontId="37" fillId="5" borderId="37" xfId="0" applyFont="1" applyFill="1" applyBorder="1" applyAlignment="1">
      <alignment horizontal="center"/>
    </xf>
    <xf numFmtId="2" fontId="40" fillId="9" borderId="17" xfId="0" applyNumberFormat="1" applyFont="1" applyFill="1" applyBorder="1"/>
    <xf numFmtId="171" fontId="5" fillId="6" borderId="28" xfId="0" applyNumberFormat="1" applyFont="1" applyFill="1" applyBorder="1" applyAlignment="1">
      <alignment horizontal="center"/>
    </xf>
    <xf numFmtId="174" fontId="1" fillId="0" borderId="8" xfId="0" applyNumberFormat="1" applyFont="1" applyBorder="1"/>
    <xf numFmtId="0" fontId="1" fillId="0" borderId="7" xfId="0" applyFont="1" applyBorder="1" applyAlignment="1">
      <alignment horizontal="left" wrapText="1"/>
    </xf>
    <xf numFmtId="2" fontId="40" fillId="9" borderId="38" xfId="0" applyNumberFormat="1" applyFont="1" applyFill="1" applyBorder="1"/>
    <xf numFmtId="10" fontId="33" fillId="9" borderId="8" xfId="0" applyNumberFormat="1" applyFont="1" applyFill="1" applyBorder="1"/>
    <xf numFmtId="0" fontId="1" fillId="4" borderId="32" xfId="0" applyFont="1" applyFill="1" applyBorder="1"/>
    <xf numFmtId="0" fontId="1" fillId="0" borderId="10" xfId="0" applyFont="1" applyBorder="1" applyAlignment="1">
      <alignment horizontal="left" wrapText="1"/>
    </xf>
    <xf numFmtId="10" fontId="33" fillId="9" borderId="12" xfId="0" applyNumberFormat="1" applyFont="1" applyFill="1" applyBorder="1"/>
    <xf numFmtId="174" fontId="1" fillId="0" borderId="12" xfId="0" applyNumberFormat="1" applyFont="1" applyBorder="1"/>
    <xf numFmtId="0" fontId="33" fillId="9" borderId="0" xfId="0" applyFont="1" applyFill="1"/>
    <xf numFmtId="167" fontId="1" fillId="0" borderId="11" xfId="0" applyNumberFormat="1" applyFont="1" applyBorder="1"/>
    <xf numFmtId="14" fontId="1" fillId="0" borderId="0" xfId="0" applyNumberFormat="1" applyFont="1"/>
    <xf numFmtId="0" fontId="1" fillId="0" borderId="40" xfId="0" applyFont="1" applyBorder="1"/>
    <xf numFmtId="0" fontId="1" fillId="0" borderId="42" xfId="0" applyFont="1" applyBorder="1"/>
    <xf numFmtId="166" fontId="1" fillId="0" borderId="43" xfId="0" applyNumberFormat="1" applyFont="1" applyBorder="1" applyAlignment="1">
      <alignment horizontal="left"/>
    </xf>
    <xf numFmtId="0" fontId="1" fillId="0" borderId="43" xfId="0" applyFont="1" applyBorder="1" applyAlignment="1">
      <alignment horizontal="center"/>
    </xf>
    <xf numFmtId="166" fontId="1" fillId="0" borderId="43" xfId="0" applyNumberFormat="1" applyFont="1" applyBorder="1"/>
    <xf numFmtId="10" fontId="1" fillId="0" borderId="0" xfId="0" applyNumberFormat="1" applyFont="1"/>
    <xf numFmtId="1" fontId="1" fillId="0" borderId="0" xfId="0" applyNumberFormat="1" applyFont="1"/>
    <xf numFmtId="43" fontId="4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4" xfId="0" applyFont="1" applyFill="1" applyBorder="1"/>
    <xf numFmtId="0" fontId="41" fillId="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69" fontId="42" fillId="0" borderId="0" xfId="0" applyNumberFormat="1" applyFont="1" applyAlignment="1">
      <alignment horizontal="center"/>
    </xf>
    <xf numFmtId="169" fontId="43" fillId="0" borderId="44" xfId="0" applyNumberFormat="1" applyFont="1" applyBorder="1" applyAlignment="1">
      <alignment horizontal="center"/>
    </xf>
    <xf numFmtId="175" fontId="44" fillId="0" borderId="0" xfId="0" applyNumberFormat="1" applyFont="1" applyAlignment="1">
      <alignment horizontal="center"/>
    </xf>
    <xf numFmtId="0" fontId="1" fillId="0" borderId="44" xfId="0" applyFont="1" applyBorder="1"/>
    <xf numFmtId="0" fontId="4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5" borderId="14" xfId="0" applyFont="1" applyFill="1" applyBorder="1" applyAlignment="1">
      <alignment horizontal="left"/>
    </xf>
    <xf numFmtId="0" fontId="12" fillId="5" borderId="14" xfId="0" applyFont="1" applyFill="1" applyBorder="1"/>
    <xf numFmtId="0" fontId="12" fillId="5" borderId="14" xfId="0" applyFont="1" applyFill="1" applyBorder="1" applyAlignment="1">
      <alignment horizontal="left"/>
    </xf>
    <xf numFmtId="0" fontId="12" fillId="5" borderId="14" xfId="0" applyFont="1" applyFill="1" applyBorder="1" applyAlignment="1">
      <alignment horizontal="center"/>
    </xf>
    <xf numFmtId="0" fontId="7" fillId="5" borderId="14" xfId="0" applyFont="1" applyFill="1" applyBorder="1"/>
    <xf numFmtId="9" fontId="12" fillId="5" borderId="45" xfId="0" applyNumberFormat="1" applyFont="1" applyFill="1" applyBorder="1"/>
    <xf numFmtId="0" fontId="12" fillId="10" borderId="14" xfId="0" applyFont="1" applyFill="1" applyBorder="1"/>
    <xf numFmtId="0" fontId="7" fillId="10" borderId="14" xfId="0" applyFont="1" applyFill="1" applyBorder="1"/>
    <xf numFmtId="9" fontId="7" fillId="5" borderId="14" xfId="0" applyNumberFormat="1" applyFont="1" applyFill="1" applyBorder="1"/>
    <xf numFmtId="9" fontId="34" fillId="5" borderId="14" xfId="0" applyNumberFormat="1" applyFont="1" applyFill="1" applyBorder="1"/>
    <xf numFmtId="0" fontId="3" fillId="2" borderId="23" xfId="0" applyFont="1" applyFill="1" applyBorder="1"/>
    <xf numFmtId="0" fontId="1" fillId="2" borderId="23" xfId="0" applyFont="1" applyFill="1" applyBorder="1"/>
    <xf numFmtId="0" fontId="1" fillId="2" borderId="23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166" fontId="1" fillId="2" borderId="23" xfId="0" applyNumberFormat="1" applyFont="1" applyFill="1" applyBorder="1"/>
    <xf numFmtId="164" fontId="1" fillId="2" borderId="23" xfId="0" applyNumberFormat="1" applyFont="1" applyFill="1" applyBorder="1"/>
    <xf numFmtId="166" fontId="1" fillId="2" borderId="46" xfId="0" applyNumberFormat="1" applyFont="1" applyFill="1" applyBorder="1"/>
    <xf numFmtId="166" fontId="34" fillId="2" borderId="23" xfId="0" applyNumberFormat="1" applyFont="1" applyFill="1" applyBorder="1"/>
    <xf numFmtId="0" fontId="46" fillId="0" borderId="0" xfId="0" applyFont="1"/>
    <xf numFmtId="0" fontId="1" fillId="2" borderId="14" xfId="0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center"/>
    </xf>
    <xf numFmtId="164" fontId="1" fillId="2" borderId="14" xfId="0" applyNumberFormat="1" applyFont="1" applyFill="1" applyBorder="1"/>
    <xf numFmtId="166" fontId="1" fillId="2" borderId="14" xfId="0" applyNumberFormat="1" applyFont="1" applyFill="1" applyBorder="1"/>
    <xf numFmtId="166" fontId="1" fillId="2" borderId="45" xfId="0" applyNumberFormat="1" applyFont="1" applyFill="1" applyBorder="1"/>
    <xf numFmtId="164" fontId="1" fillId="0" borderId="0" xfId="0" applyNumberFormat="1" applyFont="1" applyAlignment="1">
      <alignment horizontal="center"/>
    </xf>
    <xf numFmtId="164" fontId="5" fillId="0" borderId="0" xfId="0" applyNumberFormat="1" applyFont="1"/>
    <xf numFmtId="164" fontId="5" fillId="0" borderId="44" xfId="0" applyNumberFormat="1" applyFont="1" applyBorder="1"/>
    <xf numFmtId="176" fontId="34" fillId="0" borderId="0" xfId="0" applyNumberFormat="1" applyFont="1"/>
    <xf numFmtId="164" fontId="1" fillId="0" borderId="44" xfId="0" applyNumberFormat="1" applyFont="1" applyBorder="1"/>
    <xf numFmtId="166" fontId="5" fillId="0" borderId="44" xfId="0" applyNumberFormat="1" applyFont="1" applyBorder="1"/>
    <xf numFmtId="0" fontId="1" fillId="0" borderId="11" xfId="0" applyFont="1" applyBorder="1" applyAlignment="1">
      <alignment horizontal="center"/>
    </xf>
    <xf numFmtId="166" fontId="1" fillId="0" borderId="11" xfId="0" applyNumberFormat="1" applyFont="1" applyBorder="1"/>
    <xf numFmtId="166" fontId="1" fillId="0" borderId="47" xfId="0" applyNumberFormat="1" applyFont="1" applyBorder="1"/>
    <xf numFmtId="166" fontId="1" fillId="0" borderId="44" xfId="0" applyNumberFormat="1" applyFont="1" applyBorder="1"/>
    <xf numFmtId="37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15" xfId="0" applyFont="1" applyBorder="1"/>
    <xf numFmtId="164" fontId="3" fillId="0" borderId="15" xfId="0" applyNumberFormat="1" applyFont="1" applyBorder="1" applyAlignment="1">
      <alignment horizontal="center"/>
    </xf>
    <xf numFmtId="164" fontId="3" fillId="0" borderId="15" xfId="0" applyNumberFormat="1" applyFont="1" applyBorder="1"/>
    <xf numFmtId="164" fontId="3" fillId="0" borderId="48" xfId="0" applyNumberFormat="1" applyFont="1" applyBorder="1"/>
    <xf numFmtId="164" fontId="3" fillId="0" borderId="1" xfId="0" applyNumberFormat="1" applyFont="1" applyBorder="1"/>
    <xf numFmtId="0" fontId="46" fillId="0" borderId="0" xfId="0" applyFont="1" applyAlignment="1">
      <alignment horizontal="left"/>
    </xf>
    <xf numFmtId="164" fontId="5" fillId="0" borderId="49" xfId="0" applyNumberFormat="1" applyFont="1" applyBorder="1"/>
    <xf numFmtId="164" fontId="5" fillId="0" borderId="50" xfId="0" applyNumberFormat="1" applyFont="1" applyBorder="1"/>
    <xf numFmtId="164" fontId="5" fillId="0" borderId="51" xfId="0" applyNumberFormat="1" applyFont="1" applyBorder="1"/>
    <xf numFmtId="164" fontId="1" fillId="0" borderId="49" xfId="0" applyNumberFormat="1" applyFont="1" applyBorder="1"/>
    <xf numFmtId="8" fontId="1" fillId="0" borderId="49" xfId="0" applyNumberFormat="1" applyFont="1" applyBorder="1"/>
    <xf numFmtId="8" fontId="1" fillId="0" borderId="51" xfId="0" applyNumberFormat="1" applyFont="1" applyBorder="1"/>
    <xf numFmtId="8" fontId="1" fillId="0" borderId="50" xfId="0" applyNumberFormat="1" applyFont="1" applyBorder="1"/>
    <xf numFmtId="44" fontId="1" fillId="0" borderId="44" xfId="0" applyNumberFormat="1" applyFont="1" applyBorder="1"/>
    <xf numFmtId="44" fontId="1" fillId="0" borderId="49" xfId="0" applyNumberFormat="1" applyFont="1" applyBorder="1"/>
    <xf numFmtId="44" fontId="1" fillId="0" borderId="51" xfId="0" applyNumberFormat="1" applyFont="1" applyBorder="1"/>
    <xf numFmtId="44" fontId="1" fillId="0" borderId="50" xfId="0" applyNumberFormat="1" applyFont="1" applyBorder="1"/>
    <xf numFmtId="43" fontId="1" fillId="0" borderId="0" xfId="0" applyNumberFormat="1" applyFont="1" applyAlignment="1">
      <alignment horizontal="center"/>
    </xf>
    <xf numFmtId="9" fontId="1" fillId="2" borderId="46" xfId="0" applyNumberFormat="1" applyFont="1" applyFill="1" applyBorder="1"/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44" xfId="0" applyNumberFormat="1" applyFont="1" applyBorder="1"/>
    <xf numFmtId="164" fontId="1" fillId="0" borderId="0" xfId="0" applyNumberFormat="1" applyFont="1" applyAlignment="1">
      <alignment horizontal="right"/>
    </xf>
    <xf numFmtId="9" fontId="1" fillId="0" borderId="44" xfId="0" applyNumberFormat="1" applyFont="1" applyBorder="1"/>
    <xf numFmtId="166" fontId="12" fillId="5" borderId="14" xfId="0" applyNumberFormat="1" applyFont="1" applyFill="1" applyBorder="1"/>
    <xf numFmtId="166" fontId="12" fillId="5" borderId="45" xfId="0" applyNumberFormat="1" applyFont="1" applyFill="1" applyBorder="1"/>
    <xf numFmtId="0" fontId="1" fillId="5" borderId="14" xfId="0" applyFont="1" applyFill="1" applyBorder="1"/>
    <xf numFmtId="177" fontId="1" fillId="0" borderId="0" xfId="0" applyNumberFormat="1" applyFont="1"/>
    <xf numFmtId="177" fontId="1" fillId="0" borderId="44" xfId="0" applyNumberFormat="1" applyFont="1" applyBorder="1"/>
    <xf numFmtId="0" fontId="47" fillId="0" borderId="0" xfId="0" applyFont="1"/>
    <xf numFmtId="0" fontId="48" fillId="0" borderId="0" xfId="0" applyFont="1"/>
    <xf numFmtId="0" fontId="49" fillId="0" borderId="0" xfId="0" applyFont="1" applyAlignment="1">
      <alignment horizontal="left"/>
    </xf>
    <xf numFmtId="0" fontId="50" fillId="0" borderId="0" xfId="0" applyFont="1"/>
    <xf numFmtId="0" fontId="50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166" fontId="50" fillId="0" borderId="0" xfId="0" applyNumberFormat="1" applyFont="1"/>
    <xf numFmtId="166" fontId="50" fillId="0" borderId="44" xfId="0" applyNumberFormat="1" applyFont="1" applyBorder="1"/>
    <xf numFmtId="0" fontId="51" fillId="0" borderId="0" xfId="0" applyFont="1"/>
    <xf numFmtId="0" fontId="51" fillId="0" borderId="0" xfId="0" applyFont="1" applyAlignment="1">
      <alignment horizontal="left"/>
    </xf>
    <xf numFmtId="0" fontId="52" fillId="0" borderId="0" xfId="0" applyFont="1"/>
    <xf numFmtId="0" fontId="53" fillId="0" borderId="0" xfId="0" applyFont="1"/>
    <xf numFmtId="0" fontId="53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166" fontId="53" fillId="0" borderId="0" xfId="0" applyNumberFormat="1" applyFont="1"/>
    <xf numFmtId="166" fontId="53" fillId="0" borderId="44" xfId="0" applyNumberFormat="1" applyFont="1" applyBorder="1"/>
    <xf numFmtId="0" fontId="45" fillId="0" borderId="0" xfId="0" applyFont="1"/>
    <xf numFmtId="0" fontId="45" fillId="0" borderId="0" xfId="0" applyFont="1" applyAlignment="1">
      <alignment horizontal="left"/>
    </xf>
    <xf numFmtId="166" fontId="45" fillId="0" borderId="0" xfId="0" applyNumberFormat="1" applyFont="1"/>
    <xf numFmtId="166" fontId="45" fillId="0" borderId="44" xfId="0" applyNumberFormat="1" applyFont="1" applyBorder="1"/>
    <xf numFmtId="0" fontId="12" fillId="5" borderId="45" xfId="0" applyFont="1" applyFill="1" applyBorder="1"/>
    <xf numFmtId="167" fontId="1" fillId="0" borderId="0" xfId="0" applyNumberFormat="1" applyFont="1" applyAlignment="1">
      <alignment horizontal="right"/>
    </xf>
    <xf numFmtId="44" fontId="1" fillId="0" borderId="11" xfId="0" applyNumberFormat="1" applyFont="1" applyBorder="1" applyAlignment="1">
      <alignment horizontal="right"/>
    </xf>
    <xf numFmtId="0" fontId="53" fillId="0" borderId="0" xfId="0" applyFont="1" applyAlignment="1">
      <alignment horizontal="center"/>
    </xf>
    <xf numFmtId="167" fontId="51" fillId="0" borderId="0" xfId="0" applyNumberFormat="1" applyFont="1"/>
    <xf numFmtId="167" fontId="51" fillId="0" borderId="0" xfId="0" applyNumberFormat="1" applyFont="1" applyAlignment="1">
      <alignment horizontal="center"/>
    </xf>
    <xf numFmtId="166" fontId="51" fillId="0" borderId="0" xfId="0" applyNumberFormat="1" applyFont="1"/>
    <xf numFmtId="167" fontId="1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0" fontId="40" fillId="0" borderId="0" xfId="0" applyFont="1"/>
    <xf numFmtId="0" fontId="54" fillId="11" borderId="0" xfId="0" applyFont="1" applyFill="1"/>
    <xf numFmtId="0" fontId="37" fillId="11" borderId="0" xfId="0" applyFont="1" applyFill="1" applyAlignment="1">
      <alignment horizontal="center"/>
    </xf>
    <xf numFmtId="0" fontId="37" fillId="0" borderId="32" xfId="0" applyFont="1" applyBorder="1"/>
    <xf numFmtId="0" fontId="37" fillId="0" borderId="14" xfId="0" applyFont="1" applyBorder="1"/>
    <xf numFmtId="0" fontId="55" fillId="0" borderId="14" xfId="0" applyFont="1" applyBorder="1"/>
    <xf numFmtId="0" fontId="37" fillId="12" borderId="14" xfId="0" applyFont="1" applyFill="1" applyBorder="1"/>
    <xf numFmtId="0" fontId="37" fillId="0" borderId="0" xfId="0" applyFont="1"/>
    <xf numFmtId="0" fontId="54" fillId="0" borderId="0" xfId="0" applyFont="1"/>
    <xf numFmtId="0" fontId="33" fillId="11" borderId="0" xfId="0" applyFont="1" applyFill="1"/>
    <xf numFmtId="166" fontId="37" fillId="11" borderId="0" xfId="0" applyNumberFormat="1" applyFont="1" applyFill="1" applyAlignment="1">
      <alignment horizontal="right"/>
    </xf>
    <xf numFmtId="178" fontId="37" fillId="11" borderId="0" xfId="0" applyNumberFormat="1" applyFont="1" applyFill="1"/>
    <xf numFmtId="178" fontId="1" fillId="11" borderId="0" xfId="0" applyNumberFormat="1" applyFont="1" applyFill="1"/>
    <xf numFmtId="166" fontId="1" fillId="11" borderId="0" xfId="0" applyNumberFormat="1" applyFont="1" applyFill="1" applyAlignment="1">
      <alignment horizontal="right"/>
    </xf>
    <xf numFmtId="166" fontId="57" fillId="0" borderId="0" xfId="0" applyNumberFormat="1" applyFont="1" applyAlignment="1">
      <alignment horizontal="right"/>
    </xf>
    <xf numFmtId="166" fontId="57" fillId="11" borderId="0" xfId="0" applyNumberFormat="1" applyFont="1" applyFill="1" applyAlignment="1">
      <alignment horizontal="right"/>
    </xf>
    <xf numFmtId="178" fontId="57" fillId="11" borderId="0" xfId="0" applyNumberFormat="1" applyFont="1" applyFill="1"/>
    <xf numFmtId="0" fontId="37" fillId="11" borderId="0" xfId="0" applyFont="1" applyFill="1" applyAlignment="1">
      <alignment horizontal="center" wrapText="1"/>
    </xf>
    <xf numFmtId="0" fontId="3" fillId="11" borderId="0" xfId="0" applyFont="1" applyFill="1" applyAlignment="1">
      <alignment horizontal="center" wrapText="1"/>
    </xf>
    <xf numFmtId="0" fontId="37" fillId="0" borderId="0" xfId="0" applyFont="1" applyAlignment="1">
      <alignment horizontal="center" wrapText="1"/>
    </xf>
    <xf numFmtId="0" fontId="57" fillId="11" borderId="0" xfId="0" applyFont="1" applyFill="1"/>
    <xf numFmtId="14" fontId="58" fillId="11" borderId="0" xfId="0" applyNumberFormat="1" applyFont="1" applyFill="1" applyAlignment="1">
      <alignment horizontal="center"/>
    </xf>
    <xf numFmtId="179" fontId="7" fillId="11" borderId="52" xfId="0" applyNumberFormat="1" applyFont="1" applyFill="1" applyBorder="1" applyAlignment="1">
      <alignment horizontal="center"/>
    </xf>
    <xf numFmtId="179" fontId="7" fillId="11" borderId="53" xfId="0" applyNumberFormat="1" applyFont="1" applyFill="1" applyBorder="1" applyAlignment="1">
      <alignment horizontal="center"/>
    </xf>
    <xf numFmtId="179" fontId="7" fillId="11" borderId="54" xfId="0" applyNumberFormat="1" applyFont="1" applyFill="1" applyBorder="1" applyAlignment="1">
      <alignment horizontal="center"/>
    </xf>
    <xf numFmtId="0" fontId="7" fillId="11" borderId="55" xfId="0" applyFont="1" applyFill="1" applyBorder="1" applyAlignment="1">
      <alignment horizontal="center" wrapText="1"/>
    </xf>
    <xf numFmtId="0" fontId="7" fillId="11" borderId="53" xfId="0" applyFont="1" applyFill="1" applyBorder="1" applyAlignment="1">
      <alignment horizontal="center" wrapText="1"/>
    </xf>
    <xf numFmtId="0" fontId="7" fillId="11" borderId="54" xfId="0" applyFont="1" applyFill="1" applyBorder="1" applyAlignment="1">
      <alignment horizontal="center" wrapText="1"/>
    </xf>
    <xf numFmtId="0" fontId="57" fillId="11" borderId="0" xfId="0" applyFont="1" applyFill="1" applyAlignment="1">
      <alignment horizontal="left"/>
    </xf>
    <xf numFmtId="0" fontId="54" fillId="11" borderId="0" xfId="0" applyFont="1" applyFill="1" applyAlignment="1">
      <alignment horizontal="left"/>
    </xf>
    <xf numFmtId="0" fontId="54" fillId="11" borderId="0" xfId="0" applyFont="1" applyFill="1" applyAlignment="1">
      <alignment horizontal="center"/>
    </xf>
    <xf numFmtId="166" fontId="57" fillId="11" borderId="0" xfId="0" applyNumberFormat="1" applyFont="1" applyFill="1"/>
    <xf numFmtId="37" fontId="1" fillId="13" borderId="32" xfId="0" applyNumberFormat="1" applyFont="1" applyFill="1" applyBorder="1"/>
    <xf numFmtId="37" fontId="1" fillId="13" borderId="0" xfId="0" applyNumberFormat="1" applyFont="1" applyFill="1"/>
    <xf numFmtId="37" fontId="1" fillId="13" borderId="14" xfId="0" applyNumberFormat="1" applyFont="1" applyFill="1" applyBorder="1"/>
    <xf numFmtId="37" fontId="1" fillId="13" borderId="8" xfId="0" applyNumberFormat="1" applyFont="1" applyFill="1" applyBorder="1"/>
    <xf numFmtId="37" fontId="1" fillId="13" borderId="17" xfId="0" applyNumberFormat="1" applyFont="1" applyFill="1" applyBorder="1"/>
    <xf numFmtId="37" fontId="57" fillId="0" borderId="0" xfId="0" applyNumberFormat="1" applyFont="1"/>
    <xf numFmtId="37" fontId="57" fillId="11" borderId="0" xfId="0" applyNumberFormat="1" applyFont="1" applyFill="1"/>
    <xf numFmtId="166" fontId="3" fillId="13" borderId="56" xfId="0" applyNumberFormat="1" applyFont="1" applyFill="1" applyBorder="1"/>
    <xf numFmtId="166" fontId="3" fillId="13" borderId="5" xfId="0" applyNumberFormat="1" applyFont="1" applyFill="1" applyBorder="1"/>
    <xf numFmtId="166" fontId="3" fillId="13" borderId="19" xfId="0" applyNumberFormat="1" applyFont="1" applyFill="1" applyBorder="1"/>
    <xf numFmtId="166" fontId="3" fillId="13" borderId="6" xfId="0" applyNumberFormat="1" applyFont="1" applyFill="1" applyBorder="1"/>
    <xf numFmtId="166" fontId="3" fillId="13" borderId="20" xfId="0" applyNumberFormat="1" applyFont="1" applyFill="1" applyBorder="1"/>
    <xf numFmtId="166" fontId="37" fillId="0" borderId="0" xfId="0" applyNumberFormat="1" applyFont="1"/>
    <xf numFmtId="166" fontId="3" fillId="13" borderId="57" xfId="0" applyNumberFormat="1" applyFont="1" applyFill="1" applyBorder="1"/>
    <xf numFmtId="166" fontId="3" fillId="13" borderId="0" xfId="0" applyNumberFormat="1" applyFont="1" applyFill="1"/>
    <xf numFmtId="166" fontId="3" fillId="13" borderId="58" xfId="0" applyNumberFormat="1" applyFont="1" applyFill="1" applyBorder="1"/>
    <xf numFmtId="166" fontId="3" fillId="13" borderId="8" xfId="0" applyNumberFormat="1" applyFont="1" applyFill="1" applyBorder="1"/>
    <xf numFmtId="166" fontId="3" fillId="13" borderId="32" xfId="0" applyNumberFormat="1" applyFont="1" applyFill="1" applyBorder="1"/>
    <xf numFmtId="166" fontId="3" fillId="13" borderId="17" xfId="0" applyNumberFormat="1" applyFont="1" applyFill="1" applyBorder="1"/>
    <xf numFmtId="166" fontId="37" fillId="11" borderId="0" xfId="0" applyNumberFormat="1" applyFont="1" applyFill="1"/>
    <xf numFmtId="166" fontId="3" fillId="13" borderId="59" xfId="0" applyNumberFormat="1" applyFont="1" applyFill="1" applyBorder="1"/>
    <xf numFmtId="166" fontId="3" fillId="13" borderId="60" xfId="0" applyNumberFormat="1" applyFont="1" applyFill="1" applyBorder="1"/>
    <xf numFmtId="166" fontId="3" fillId="13" borderId="61" xfId="0" applyNumberFormat="1" applyFont="1" applyFill="1" applyBorder="1"/>
    <xf numFmtId="166" fontId="3" fillId="13" borderId="62" xfId="0" applyNumberFormat="1" applyFont="1" applyFill="1" applyBorder="1"/>
    <xf numFmtId="166" fontId="3" fillId="13" borderId="63" xfId="0" applyNumberFormat="1" applyFont="1" applyFill="1" applyBorder="1"/>
    <xf numFmtId="0" fontId="33" fillId="11" borderId="0" xfId="0" applyFont="1" applyFill="1" applyAlignment="1">
      <alignment horizontal="left"/>
    </xf>
    <xf numFmtId="37" fontId="1" fillId="13" borderId="64" xfId="0" applyNumberFormat="1" applyFont="1" applyFill="1" applyBorder="1"/>
    <xf numFmtId="37" fontId="1" fillId="13" borderId="65" xfId="0" applyNumberFormat="1" applyFont="1" applyFill="1" applyBorder="1"/>
    <xf numFmtId="0" fontId="37" fillId="11" borderId="0" xfId="0" applyFont="1" applyFill="1" applyAlignment="1">
      <alignment horizontal="left"/>
    </xf>
    <xf numFmtId="166" fontId="1" fillId="13" borderId="32" xfId="0" applyNumberFormat="1" applyFont="1" applyFill="1" applyBorder="1"/>
    <xf numFmtId="166" fontId="1" fillId="13" borderId="0" xfId="0" applyNumberFormat="1" applyFont="1" applyFill="1"/>
    <xf numFmtId="166" fontId="1" fillId="13" borderId="14" xfId="0" applyNumberFormat="1" applyFont="1" applyFill="1" applyBorder="1"/>
    <xf numFmtId="166" fontId="1" fillId="13" borderId="8" xfId="0" applyNumberFormat="1" applyFont="1" applyFill="1" applyBorder="1"/>
    <xf numFmtId="166" fontId="1" fillId="13" borderId="32" xfId="0" applyNumberFormat="1" applyFont="1" applyFill="1" applyBorder="1" applyAlignment="1">
      <alignment horizontal="right"/>
    </xf>
    <xf numFmtId="166" fontId="1" fillId="13" borderId="0" xfId="0" applyNumberFormat="1" applyFont="1" applyFill="1" applyAlignment="1">
      <alignment horizontal="right"/>
    </xf>
    <xf numFmtId="166" fontId="1" fillId="13" borderId="14" xfId="0" applyNumberFormat="1" applyFont="1" applyFill="1" applyBorder="1" applyAlignment="1">
      <alignment horizontal="right"/>
    </xf>
    <xf numFmtId="166" fontId="1" fillId="13" borderId="8" xfId="0" applyNumberFormat="1" applyFont="1" applyFill="1" applyBorder="1" applyAlignment="1">
      <alignment horizontal="right"/>
    </xf>
    <xf numFmtId="166" fontId="1" fillId="13" borderId="17" xfId="0" applyNumberFormat="1" applyFont="1" applyFill="1" applyBorder="1" applyAlignment="1">
      <alignment horizontal="right"/>
    </xf>
    <xf numFmtId="167" fontId="57" fillId="11" borderId="0" xfId="0" applyNumberFormat="1" applyFont="1" applyFill="1" applyAlignment="1">
      <alignment horizontal="left"/>
    </xf>
    <xf numFmtId="164" fontId="57" fillId="11" borderId="0" xfId="0" applyNumberFormat="1" applyFont="1" applyFill="1"/>
    <xf numFmtId="164" fontId="1" fillId="13" borderId="32" xfId="0" applyNumberFormat="1" applyFont="1" applyFill="1" applyBorder="1"/>
    <xf numFmtId="164" fontId="1" fillId="13" borderId="0" xfId="0" applyNumberFormat="1" applyFont="1" applyFill="1"/>
    <xf numFmtId="164" fontId="1" fillId="13" borderId="14" xfId="0" applyNumberFormat="1" applyFont="1" applyFill="1" applyBorder="1"/>
    <xf numFmtId="164" fontId="1" fillId="13" borderId="8" xfId="0" applyNumberFormat="1" applyFont="1" applyFill="1" applyBorder="1"/>
    <xf numFmtId="164" fontId="1" fillId="13" borderId="32" xfId="0" applyNumberFormat="1" applyFont="1" applyFill="1" applyBorder="1" applyAlignment="1">
      <alignment horizontal="right"/>
    </xf>
    <xf numFmtId="164" fontId="1" fillId="13" borderId="0" xfId="0" applyNumberFormat="1" applyFont="1" applyFill="1" applyAlignment="1">
      <alignment horizontal="right"/>
    </xf>
    <xf numFmtId="164" fontId="1" fillId="13" borderId="14" xfId="0" applyNumberFormat="1" applyFont="1" applyFill="1" applyBorder="1" applyAlignment="1">
      <alignment horizontal="right"/>
    </xf>
    <xf numFmtId="164" fontId="1" fillId="13" borderId="8" xfId="0" applyNumberFormat="1" applyFont="1" applyFill="1" applyBorder="1" applyAlignment="1">
      <alignment horizontal="right"/>
    </xf>
    <xf numFmtId="164" fontId="1" fillId="13" borderId="17" xfId="0" applyNumberFormat="1" applyFont="1" applyFill="1" applyBorder="1" applyAlignment="1">
      <alignment horizontal="right"/>
    </xf>
    <xf numFmtId="164" fontId="57" fillId="0" borderId="0" xfId="0" applyNumberFormat="1" applyFont="1" applyAlignment="1">
      <alignment horizontal="right"/>
    </xf>
    <xf numFmtId="0" fontId="59" fillId="11" borderId="0" xfId="0" applyFont="1" applyFill="1" applyAlignment="1">
      <alignment horizontal="left"/>
    </xf>
    <xf numFmtId="0" fontId="59" fillId="11" borderId="0" xfId="0" applyFont="1" applyFill="1"/>
    <xf numFmtId="171" fontId="46" fillId="13" borderId="32" xfId="0" applyNumberFormat="1" applyFont="1" applyFill="1" applyBorder="1"/>
    <xf numFmtId="171" fontId="46" fillId="13" borderId="0" xfId="0" applyNumberFormat="1" applyFont="1" applyFill="1"/>
    <xf numFmtId="171" fontId="46" fillId="13" borderId="14" xfId="0" applyNumberFormat="1" applyFont="1" applyFill="1" applyBorder="1"/>
    <xf numFmtId="171" fontId="46" fillId="13" borderId="8" xfId="0" applyNumberFormat="1" applyFont="1" applyFill="1" applyBorder="1"/>
    <xf numFmtId="9" fontId="3" fillId="13" borderId="32" xfId="0" applyNumberFormat="1" applyFont="1" applyFill="1" applyBorder="1"/>
    <xf numFmtId="9" fontId="3" fillId="13" borderId="0" xfId="0" applyNumberFormat="1" applyFont="1" applyFill="1"/>
    <xf numFmtId="9" fontId="3" fillId="13" borderId="14" xfId="0" applyNumberFormat="1" applyFont="1" applyFill="1" applyBorder="1"/>
    <xf numFmtId="9" fontId="3" fillId="13" borderId="8" xfId="0" applyNumberFormat="1" applyFont="1" applyFill="1" applyBorder="1"/>
    <xf numFmtId="9" fontId="3" fillId="13" borderId="17" xfId="0" applyNumberFormat="1" applyFont="1" applyFill="1" applyBorder="1"/>
    <xf numFmtId="9" fontId="37" fillId="0" borderId="0" xfId="0" applyNumberFormat="1" applyFont="1"/>
    <xf numFmtId="44" fontId="59" fillId="11" borderId="0" xfId="0" applyNumberFormat="1" applyFont="1" applyFill="1"/>
    <xf numFmtId="171" fontId="1" fillId="13" borderId="32" xfId="0" applyNumberFormat="1" applyFont="1" applyFill="1" applyBorder="1"/>
    <xf numFmtId="171" fontId="1" fillId="13" borderId="0" xfId="0" applyNumberFormat="1" applyFont="1" applyFill="1"/>
    <xf numFmtId="171" fontId="1" fillId="13" borderId="14" xfId="0" applyNumberFormat="1" applyFont="1" applyFill="1" applyBorder="1"/>
    <xf numFmtId="171" fontId="1" fillId="13" borderId="8" xfId="0" applyNumberFormat="1" applyFont="1" applyFill="1" applyBorder="1"/>
    <xf numFmtId="171" fontId="1" fillId="13" borderId="17" xfId="0" applyNumberFormat="1" applyFont="1" applyFill="1" applyBorder="1"/>
    <xf numFmtId="171" fontId="57" fillId="0" borderId="0" xfId="0" applyNumberFormat="1" applyFont="1"/>
    <xf numFmtId="171" fontId="1" fillId="13" borderId="36" xfId="0" applyNumberFormat="1" applyFont="1" applyFill="1" applyBorder="1"/>
    <xf numFmtId="171" fontId="1" fillId="13" borderId="11" xfId="0" applyNumberFormat="1" applyFont="1" applyFill="1" applyBorder="1"/>
    <xf numFmtId="171" fontId="1" fillId="13" borderId="23" xfId="0" applyNumberFormat="1" applyFont="1" applyFill="1" applyBorder="1"/>
    <xf numFmtId="171" fontId="1" fillId="13" borderId="12" xfId="0" applyNumberFormat="1" applyFont="1" applyFill="1" applyBorder="1"/>
    <xf numFmtId="0" fontId="37" fillId="11" borderId="0" xfId="0" applyFont="1" applyFill="1" applyAlignment="1">
      <alignment horizontal="right"/>
    </xf>
    <xf numFmtId="166" fontId="1" fillId="13" borderId="64" xfId="0" applyNumberFormat="1" applyFont="1" applyFill="1" applyBorder="1"/>
    <xf numFmtId="166" fontId="1" fillId="13" borderId="65" xfId="0" applyNumberFormat="1" applyFont="1" applyFill="1" applyBorder="1"/>
    <xf numFmtId="166" fontId="1" fillId="13" borderId="17" xfId="0" applyNumberFormat="1" applyFont="1" applyFill="1" applyBorder="1"/>
    <xf numFmtId="44" fontId="59" fillId="11" borderId="0" xfId="0" applyNumberFormat="1" applyFont="1" applyFill="1" applyAlignment="1">
      <alignment horizontal="right"/>
    </xf>
    <xf numFmtId="166" fontId="57" fillId="0" borderId="0" xfId="0" applyNumberFormat="1" applyFont="1"/>
    <xf numFmtId="164" fontId="59" fillId="11" borderId="0" xfId="0" applyNumberFormat="1" applyFont="1" applyFill="1" applyAlignment="1">
      <alignment horizontal="right"/>
    </xf>
    <xf numFmtId="0" fontId="57" fillId="11" borderId="0" xfId="0" applyFont="1" applyFill="1" applyAlignment="1">
      <alignment horizontal="right"/>
    </xf>
    <xf numFmtId="166" fontId="40" fillId="13" borderId="32" xfId="0" applyNumberFormat="1" applyFont="1" applyFill="1" applyBorder="1"/>
    <xf numFmtId="166" fontId="40" fillId="13" borderId="66" xfId="0" applyNumberFormat="1" applyFont="1" applyFill="1" applyBorder="1"/>
    <xf numFmtId="166" fontId="58" fillId="13" borderId="32" xfId="0" applyNumberFormat="1" applyFont="1" applyFill="1" applyBorder="1"/>
    <xf numFmtId="166" fontId="58" fillId="13" borderId="66" xfId="0" applyNumberFormat="1" applyFont="1" applyFill="1" applyBorder="1"/>
    <xf numFmtId="41" fontId="58" fillId="13" borderId="32" xfId="0" applyNumberFormat="1" applyFont="1" applyFill="1" applyBorder="1"/>
    <xf numFmtId="41" fontId="58" fillId="13" borderId="0" xfId="0" applyNumberFormat="1" applyFont="1" applyFill="1"/>
    <xf numFmtId="41" fontId="58" fillId="13" borderId="17" xfId="0" applyNumberFormat="1" applyFont="1" applyFill="1" applyBorder="1"/>
    <xf numFmtId="41" fontId="37" fillId="0" borderId="0" xfId="0" applyNumberFormat="1" applyFont="1"/>
    <xf numFmtId="0" fontId="7" fillId="11" borderId="0" xfId="0" applyFont="1" applyFill="1" applyAlignment="1">
      <alignment horizontal="left"/>
    </xf>
    <xf numFmtId="0" fontId="60" fillId="11" borderId="0" xfId="0" applyFont="1" applyFill="1" applyAlignment="1">
      <alignment horizontal="left"/>
    </xf>
    <xf numFmtId="0" fontId="12" fillId="11" borderId="0" xfId="0" applyFont="1" applyFill="1" applyAlignment="1">
      <alignment horizontal="right"/>
    </xf>
    <xf numFmtId="166" fontId="58" fillId="13" borderId="36" xfId="0" applyNumberFormat="1" applyFont="1" applyFill="1" applyBorder="1"/>
    <xf numFmtId="166" fontId="58" fillId="13" borderId="67" xfId="0" applyNumberFormat="1" applyFont="1" applyFill="1" applyBorder="1"/>
    <xf numFmtId="41" fontId="58" fillId="0" borderId="32" xfId="0" applyNumberFormat="1" applyFont="1" applyBorder="1"/>
    <xf numFmtId="41" fontId="58" fillId="0" borderId="0" xfId="0" applyNumberFormat="1" applyFont="1"/>
    <xf numFmtId="41" fontId="58" fillId="0" borderId="17" xfId="0" applyNumberFormat="1" applyFont="1" applyBorder="1"/>
    <xf numFmtId="0" fontId="1" fillId="13" borderId="64" xfId="0" applyFont="1" applyFill="1" applyBorder="1"/>
    <xf numFmtId="0" fontId="33" fillId="13" borderId="0" xfId="0" applyFont="1" applyFill="1"/>
    <xf numFmtId="0" fontId="1" fillId="13" borderId="65" xfId="0" applyFont="1" applyFill="1" applyBorder="1"/>
    <xf numFmtId="0" fontId="1" fillId="13" borderId="8" xfId="0" applyFont="1" applyFill="1" applyBorder="1"/>
    <xf numFmtId="0" fontId="33" fillId="13" borderId="8" xfId="0" applyFont="1" applyFill="1" applyBorder="1"/>
    <xf numFmtId="0" fontId="1" fillId="13" borderId="32" xfId="0" applyFont="1" applyFill="1" applyBorder="1"/>
    <xf numFmtId="0" fontId="1" fillId="13" borderId="17" xfId="0" applyFont="1" applyFill="1" applyBorder="1"/>
    <xf numFmtId="0" fontId="57" fillId="0" borderId="0" xfId="0" applyFont="1"/>
    <xf numFmtId="10" fontId="57" fillId="11" borderId="0" xfId="0" applyNumberFormat="1" applyFont="1" applyFill="1"/>
    <xf numFmtId="0" fontId="1" fillId="13" borderId="59" xfId="0" applyFont="1" applyFill="1" applyBorder="1"/>
    <xf numFmtId="0" fontId="1" fillId="13" borderId="60" xfId="0" applyFont="1" applyFill="1" applyBorder="1"/>
    <xf numFmtId="164" fontId="46" fillId="13" borderId="0" xfId="0" applyNumberFormat="1" applyFont="1" applyFill="1"/>
    <xf numFmtId="164" fontId="46" fillId="13" borderId="60" xfId="0" applyNumberFormat="1" applyFont="1" applyFill="1" applyBorder="1"/>
    <xf numFmtId="164" fontId="46" fillId="13" borderId="8" xfId="0" applyNumberFormat="1" applyFont="1" applyFill="1" applyBorder="1"/>
    <xf numFmtId="164" fontId="46" fillId="13" borderId="32" xfId="0" applyNumberFormat="1" applyFont="1" applyFill="1" applyBorder="1"/>
    <xf numFmtId="164" fontId="46" fillId="13" borderId="17" xfId="0" applyNumberFormat="1" applyFont="1" applyFill="1" applyBorder="1"/>
    <xf numFmtId="164" fontId="59" fillId="0" borderId="0" xfId="0" applyNumberFormat="1" applyFont="1"/>
    <xf numFmtId="0" fontId="12" fillId="11" borderId="0" xfId="0" applyFont="1" applyFill="1" applyAlignment="1">
      <alignment horizontal="left"/>
    </xf>
    <xf numFmtId="0" fontId="12" fillId="11" borderId="0" xfId="0" applyFont="1" applyFill="1"/>
    <xf numFmtId="166" fontId="40" fillId="13" borderId="59" xfId="0" applyNumberFormat="1" applyFont="1" applyFill="1" applyBorder="1"/>
    <xf numFmtId="166" fontId="40" fillId="13" borderId="0" xfId="0" applyNumberFormat="1" applyFont="1" applyFill="1"/>
    <xf numFmtId="166" fontId="40" fillId="13" borderId="60" xfId="0" applyNumberFormat="1" applyFont="1" applyFill="1" applyBorder="1"/>
    <xf numFmtId="166" fontId="40" fillId="13" borderId="8" xfId="0" applyNumberFormat="1" applyFont="1" applyFill="1" applyBorder="1"/>
    <xf numFmtId="41" fontId="40" fillId="13" borderId="59" xfId="0" applyNumberFormat="1" applyFont="1" applyFill="1" applyBorder="1"/>
    <xf numFmtId="41" fontId="40" fillId="13" borderId="0" xfId="0" applyNumberFormat="1" applyFont="1" applyFill="1"/>
    <xf numFmtId="41" fontId="40" fillId="13" borderId="60" xfId="0" applyNumberFormat="1" applyFont="1" applyFill="1" applyBorder="1"/>
    <xf numFmtId="41" fontId="40" fillId="13" borderId="8" xfId="0" applyNumberFormat="1" applyFont="1" applyFill="1" applyBorder="1"/>
    <xf numFmtId="41" fontId="58" fillId="0" borderId="68" xfId="0" applyNumberFormat="1" applyFont="1" applyBorder="1"/>
    <xf numFmtId="41" fontId="58" fillId="0" borderId="13" xfId="0" applyNumberFormat="1" applyFont="1" applyBorder="1"/>
    <xf numFmtId="41" fontId="58" fillId="0" borderId="69" xfId="0" applyNumberFormat="1" applyFont="1" applyBorder="1"/>
    <xf numFmtId="0" fontId="37" fillId="11" borderId="0" xfId="0" applyFont="1" applyFill="1"/>
    <xf numFmtId="166" fontId="61" fillId="13" borderId="59" xfId="0" applyNumberFormat="1" applyFont="1" applyFill="1" applyBorder="1"/>
    <xf numFmtId="166" fontId="61" fillId="13" borderId="0" xfId="0" applyNumberFormat="1" applyFont="1" applyFill="1"/>
    <xf numFmtId="166" fontId="61" fillId="13" borderId="60" xfId="0" applyNumberFormat="1" applyFont="1" applyFill="1" applyBorder="1"/>
    <xf numFmtId="166" fontId="61" fillId="13" borderId="8" xfId="0" applyNumberFormat="1" applyFont="1" applyFill="1" applyBorder="1"/>
    <xf numFmtId="41" fontId="61" fillId="13" borderId="59" xfId="0" applyNumberFormat="1" applyFont="1" applyFill="1" applyBorder="1"/>
    <xf numFmtId="41" fontId="61" fillId="13" borderId="0" xfId="0" applyNumberFormat="1" applyFont="1" applyFill="1"/>
    <xf numFmtId="41" fontId="61" fillId="13" borderId="60" xfId="0" applyNumberFormat="1" applyFont="1" applyFill="1" applyBorder="1"/>
    <xf numFmtId="41" fontId="61" fillId="13" borderId="8" xfId="0" applyNumberFormat="1" applyFont="1" applyFill="1" applyBorder="1"/>
    <xf numFmtId="166" fontId="3" fillId="13" borderId="70" xfId="0" applyNumberFormat="1" applyFont="1" applyFill="1" applyBorder="1"/>
    <xf numFmtId="166" fontId="40" fillId="13" borderId="14" xfId="0" applyNumberFormat="1" applyFont="1" applyFill="1" applyBorder="1"/>
    <xf numFmtId="41" fontId="40" fillId="13" borderId="32" xfId="0" applyNumberFormat="1" applyFont="1" applyFill="1" applyBorder="1"/>
    <xf numFmtId="41" fontId="40" fillId="13" borderId="14" xfId="0" applyNumberFormat="1" applyFont="1" applyFill="1" applyBorder="1"/>
    <xf numFmtId="166" fontId="58" fillId="13" borderId="59" xfId="0" applyNumberFormat="1" applyFont="1" applyFill="1" applyBorder="1"/>
    <xf numFmtId="166" fontId="58" fillId="13" borderId="0" xfId="0" applyNumberFormat="1" applyFont="1" applyFill="1"/>
    <xf numFmtId="166" fontId="58" fillId="13" borderId="60" xfId="0" applyNumberFormat="1" applyFont="1" applyFill="1" applyBorder="1"/>
    <xf numFmtId="166" fontId="58" fillId="13" borderId="8" xfId="0" applyNumberFormat="1" applyFont="1" applyFill="1" applyBorder="1"/>
    <xf numFmtId="41" fontId="58" fillId="13" borderId="59" xfId="0" applyNumberFormat="1" applyFont="1" applyFill="1" applyBorder="1"/>
    <xf numFmtId="41" fontId="58" fillId="13" borderId="60" xfId="0" applyNumberFormat="1" applyFont="1" applyFill="1" applyBorder="1"/>
    <xf numFmtId="41" fontId="58" fillId="13" borderId="8" xfId="0" applyNumberFormat="1" applyFont="1" applyFill="1" applyBorder="1"/>
    <xf numFmtId="166" fontId="58" fillId="14" borderId="68" xfId="0" applyNumberFormat="1" applyFont="1" applyFill="1" applyBorder="1"/>
    <xf numFmtId="166" fontId="58" fillId="14" borderId="13" xfId="0" applyNumberFormat="1" applyFont="1" applyFill="1" applyBorder="1"/>
    <xf numFmtId="166" fontId="58" fillId="14" borderId="71" xfId="0" applyNumberFormat="1" applyFont="1" applyFill="1" applyBorder="1"/>
    <xf numFmtId="166" fontId="58" fillId="14" borderId="72" xfId="0" applyNumberFormat="1" applyFont="1" applyFill="1" applyBorder="1"/>
    <xf numFmtId="41" fontId="58" fillId="13" borderId="68" xfId="0" applyNumberFormat="1" applyFont="1" applyFill="1" applyBorder="1"/>
    <xf numFmtId="41" fontId="58" fillId="13" borderId="13" xfId="0" applyNumberFormat="1" applyFont="1" applyFill="1" applyBorder="1"/>
    <xf numFmtId="41" fontId="58" fillId="13" borderId="71" xfId="0" applyNumberFormat="1" applyFont="1" applyFill="1" applyBorder="1"/>
    <xf numFmtId="41" fontId="58" fillId="13" borderId="72" xfId="0" applyNumberFormat="1" applyFont="1" applyFill="1" applyBorder="1"/>
    <xf numFmtId="41" fontId="58" fillId="13" borderId="69" xfId="0" applyNumberFormat="1" applyFont="1" applyFill="1" applyBorder="1"/>
    <xf numFmtId="166" fontId="62" fillId="13" borderId="56" xfId="0" applyNumberFormat="1" applyFont="1" applyFill="1" applyBorder="1"/>
    <xf numFmtId="166" fontId="62" fillId="13" borderId="5" xfId="0" applyNumberFormat="1" applyFont="1" applyFill="1" applyBorder="1"/>
    <xf numFmtId="166" fontId="62" fillId="13" borderId="19" xfId="0" applyNumberFormat="1" applyFont="1" applyFill="1" applyBorder="1"/>
    <xf numFmtId="166" fontId="62" fillId="13" borderId="6" xfId="0" applyNumberFormat="1" applyFont="1" applyFill="1" applyBorder="1"/>
    <xf numFmtId="41" fontId="62" fillId="13" borderId="56" xfId="0" applyNumberFormat="1" applyFont="1" applyFill="1" applyBorder="1"/>
    <xf numFmtId="41" fontId="62" fillId="13" borderId="5" xfId="0" applyNumberFormat="1" applyFont="1" applyFill="1" applyBorder="1"/>
    <xf numFmtId="41" fontId="62" fillId="13" borderId="19" xfId="0" applyNumberFormat="1" applyFont="1" applyFill="1" applyBorder="1"/>
    <xf numFmtId="41" fontId="62" fillId="13" borderId="6" xfId="0" applyNumberFormat="1" applyFont="1" applyFill="1" applyBorder="1"/>
    <xf numFmtId="41" fontId="58" fillId="13" borderId="56" xfId="0" applyNumberFormat="1" applyFont="1" applyFill="1" applyBorder="1"/>
    <xf numFmtId="41" fontId="58" fillId="13" borderId="5" xfId="0" applyNumberFormat="1" applyFont="1" applyFill="1" applyBorder="1"/>
    <xf numFmtId="41" fontId="58" fillId="13" borderId="20" xfId="0" applyNumberFormat="1" applyFont="1" applyFill="1" applyBorder="1"/>
    <xf numFmtId="166" fontId="62" fillId="13" borderId="32" xfId="0" applyNumberFormat="1" applyFont="1" applyFill="1" applyBorder="1"/>
    <xf numFmtId="166" fontId="62" fillId="13" borderId="0" xfId="0" applyNumberFormat="1" applyFont="1" applyFill="1"/>
    <xf numFmtId="166" fontId="62" fillId="13" borderId="14" xfId="0" applyNumberFormat="1" applyFont="1" applyFill="1" applyBorder="1"/>
    <xf numFmtId="166" fontId="62" fillId="13" borderId="8" xfId="0" applyNumberFormat="1" applyFont="1" applyFill="1" applyBorder="1"/>
    <xf numFmtId="41" fontId="62" fillId="13" borderId="32" xfId="0" applyNumberFormat="1" applyFont="1" applyFill="1" applyBorder="1"/>
    <xf numFmtId="41" fontId="62" fillId="13" borderId="0" xfId="0" applyNumberFormat="1" applyFont="1" applyFill="1"/>
    <xf numFmtId="41" fontId="62" fillId="13" borderId="14" xfId="0" applyNumberFormat="1" applyFont="1" applyFill="1" applyBorder="1"/>
    <xf numFmtId="41" fontId="62" fillId="13" borderId="8" xfId="0" applyNumberFormat="1" applyFont="1" applyFill="1" applyBorder="1"/>
    <xf numFmtId="41" fontId="62" fillId="13" borderId="17" xfId="0" applyNumberFormat="1" applyFont="1" applyFill="1" applyBorder="1"/>
    <xf numFmtId="41" fontId="57" fillId="0" borderId="0" xfId="0" applyNumberFormat="1" applyFont="1"/>
    <xf numFmtId="43" fontId="58" fillId="13" borderId="13" xfId="0" applyNumberFormat="1" applyFont="1" applyFill="1" applyBorder="1"/>
    <xf numFmtId="43" fontId="58" fillId="13" borderId="71" xfId="0" applyNumberFormat="1" applyFont="1" applyFill="1" applyBorder="1"/>
    <xf numFmtId="43" fontId="58" fillId="13" borderId="72" xfId="0" applyNumberFormat="1" applyFont="1" applyFill="1" applyBorder="1"/>
    <xf numFmtId="43" fontId="58" fillId="13" borderId="3" xfId="0" applyNumberFormat="1" applyFont="1" applyFill="1" applyBorder="1"/>
    <xf numFmtId="43" fontId="58" fillId="13" borderId="5" xfId="0" applyNumberFormat="1" applyFont="1" applyFill="1" applyBorder="1"/>
    <xf numFmtId="43" fontId="58" fillId="13" borderId="6" xfId="0" applyNumberFormat="1" applyFont="1" applyFill="1" applyBorder="1"/>
    <xf numFmtId="43" fontId="37" fillId="0" borderId="0" xfId="0" applyNumberFormat="1" applyFont="1"/>
    <xf numFmtId="0" fontId="53" fillId="13" borderId="0" xfId="0" applyFont="1" applyFill="1" applyAlignment="1">
      <alignment horizontal="right"/>
    </xf>
    <xf numFmtId="9" fontId="58" fillId="13" borderId="7" xfId="0" applyNumberFormat="1" applyFont="1" applyFill="1" applyBorder="1"/>
    <xf numFmtId="9" fontId="58" fillId="13" borderId="0" xfId="0" applyNumberFormat="1" applyFont="1" applyFill="1"/>
    <xf numFmtId="9" fontId="58" fillId="13" borderId="8" xfId="0" applyNumberFormat="1" applyFont="1" applyFill="1" applyBorder="1"/>
    <xf numFmtId="180" fontId="58" fillId="13" borderId="7" xfId="0" applyNumberFormat="1" applyFont="1" applyFill="1" applyBorder="1"/>
    <xf numFmtId="180" fontId="58" fillId="13" borderId="0" xfId="0" applyNumberFormat="1" applyFont="1" applyFill="1"/>
    <xf numFmtId="180" fontId="58" fillId="13" borderId="8" xfId="0" applyNumberFormat="1" applyFont="1" applyFill="1" applyBorder="1"/>
    <xf numFmtId="180" fontId="58" fillId="13" borderId="73" xfId="0" applyNumberFormat="1" applyFont="1" applyFill="1" applyBorder="1"/>
    <xf numFmtId="180" fontId="58" fillId="13" borderId="74" xfId="0" applyNumberFormat="1" applyFont="1" applyFill="1" applyBorder="1"/>
    <xf numFmtId="180" fontId="37" fillId="0" borderId="0" xfId="0" applyNumberFormat="1" applyFont="1"/>
    <xf numFmtId="180" fontId="58" fillId="13" borderId="75" xfId="0" applyNumberFormat="1" applyFont="1" applyFill="1" applyBorder="1"/>
    <xf numFmtId="166" fontId="53" fillId="0" borderId="0" xfId="0" applyNumberFormat="1" applyFont="1" applyAlignment="1">
      <alignment horizontal="right"/>
    </xf>
    <xf numFmtId="178" fontId="53" fillId="0" borderId="0" xfId="0" applyNumberFormat="1" applyFont="1"/>
    <xf numFmtId="166" fontId="1" fillId="0" borderId="0" xfId="0" applyNumberFormat="1" applyFont="1" applyAlignment="1">
      <alignment horizontal="right"/>
    </xf>
    <xf numFmtId="178" fontId="1" fillId="0" borderId="0" xfId="0" applyNumberFormat="1" applyFont="1"/>
    <xf numFmtId="0" fontId="3" fillId="0" borderId="0" xfId="0" applyFont="1" applyAlignment="1">
      <alignment horizontal="center" wrapText="1"/>
    </xf>
    <xf numFmtId="0" fontId="7" fillId="11" borderId="0" xfId="0" applyFont="1" applyFill="1" applyAlignment="1">
      <alignment horizontal="center"/>
    </xf>
    <xf numFmtId="181" fontId="7" fillId="11" borderId="52" xfId="0" applyNumberFormat="1" applyFont="1" applyFill="1" applyBorder="1" applyAlignment="1">
      <alignment horizontal="center"/>
    </xf>
    <xf numFmtId="181" fontId="7" fillId="11" borderId="53" xfId="0" applyNumberFormat="1" applyFont="1" applyFill="1" applyBorder="1" applyAlignment="1">
      <alignment horizontal="center"/>
    </xf>
    <xf numFmtId="181" fontId="7" fillId="11" borderId="54" xfId="0" applyNumberFormat="1" applyFont="1" applyFill="1" applyBorder="1" applyAlignment="1">
      <alignment horizontal="center"/>
    </xf>
    <xf numFmtId="0" fontId="53" fillId="0" borderId="3" xfId="0" applyFont="1" applyBorder="1"/>
    <xf numFmtId="0" fontId="51" fillId="0" borderId="5" xfId="0" applyFont="1" applyBorder="1"/>
    <xf numFmtId="166" fontId="51" fillId="2" borderId="19" xfId="0" applyNumberFormat="1" applyFont="1" applyFill="1" applyBorder="1"/>
    <xf numFmtId="0" fontId="51" fillId="2" borderId="19" xfId="0" applyFont="1" applyFill="1" applyBorder="1"/>
    <xf numFmtId="0" fontId="51" fillId="0" borderId="6" xfId="0" applyFont="1" applyBorder="1"/>
    <xf numFmtId="0" fontId="51" fillId="2" borderId="18" xfId="0" applyFont="1" applyFill="1" applyBorder="1"/>
    <xf numFmtId="0" fontId="51" fillId="2" borderId="20" xfId="0" applyFont="1" applyFill="1" applyBorder="1"/>
    <xf numFmtId="37" fontId="1" fillId="2" borderId="14" xfId="0" applyNumberFormat="1" applyFont="1" applyFill="1" applyBorder="1"/>
    <xf numFmtId="37" fontId="1" fillId="0" borderId="0" xfId="0" applyNumberFormat="1" applyFont="1"/>
    <xf numFmtId="37" fontId="1" fillId="0" borderId="8" xfId="0" applyNumberFormat="1" applyFont="1" applyBorder="1"/>
    <xf numFmtId="37" fontId="1" fillId="2" borderId="24" xfId="0" applyNumberFormat="1" applyFont="1" applyFill="1" applyBorder="1"/>
    <xf numFmtId="37" fontId="1" fillId="2" borderId="17" xfId="0" applyNumberFormat="1" applyFont="1" applyFill="1" applyBorder="1"/>
    <xf numFmtId="0" fontId="3" fillId="0" borderId="3" xfId="0" applyFont="1" applyBorder="1"/>
    <xf numFmtId="0" fontId="3" fillId="0" borderId="5" xfId="0" applyFont="1" applyBorder="1"/>
    <xf numFmtId="37" fontId="1" fillId="0" borderId="5" xfId="0" applyNumberFormat="1" applyFont="1" applyBorder="1"/>
    <xf numFmtId="166" fontId="3" fillId="2" borderId="19" xfId="0" applyNumberFormat="1" applyFont="1" applyFill="1" applyBorder="1"/>
    <xf numFmtId="166" fontId="3" fillId="0" borderId="5" xfId="0" applyNumberFormat="1" applyFont="1" applyBorder="1"/>
    <xf numFmtId="166" fontId="3" fillId="0" borderId="6" xfId="0" applyNumberFormat="1" applyFont="1" applyBorder="1"/>
    <xf numFmtId="166" fontId="3" fillId="2" borderId="18" xfId="0" applyNumberFormat="1" applyFont="1" applyFill="1" applyBorder="1"/>
    <xf numFmtId="166" fontId="3" fillId="2" borderId="20" xfId="0" applyNumberFormat="1" applyFont="1" applyFill="1" applyBorder="1"/>
    <xf numFmtId="0" fontId="3" fillId="0" borderId="7" xfId="0" applyFont="1" applyBorder="1"/>
    <xf numFmtId="166" fontId="3" fillId="2" borderId="14" xfId="0" applyNumberFormat="1" applyFont="1" applyFill="1" applyBorder="1"/>
    <xf numFmtId="166" fontId="3" fillId="0" borderId="8" xfId="0" applyNumberFormat="1" applyFont="1" applyBorder="1"/>
    <xf numFmtId="166" fontId="3" fillId="2" borderId="24" xfId="0" applyNumberFormat="1" applyFont="1" applyFill="1" applyBorder="1"/>
    <xf numFmtId="166" fontId="3" fillId="2" borderId="17" xfId="0" applyNumberFormat="1" applyFont="1" applyFill="1" applyBorder="1"/>
    <xf numFmtId="0" fontId="3" fillId="0" borderId="10" xfId="0" applyFont="1" applyBorder="1"/>
    <xf numFmtId="166" fontId="3" fillId="0" borderId="62" xfId="0" applyNumberFormat="1" applyFont="1" applyBorder="1"/>
    <xf numFmtId="166" fontId="3" fillId="2" borderId="76" xfId="0" applyNumberFormat="1" applyFont="1" applyFill="1" applyBorder="1"/>
    <xf numFmtId="166" fontId="3" fillId="0" borderId="77" xfId="0" applyNumberFormat="1" applyFont="1" applyBorder="1"/>
    <xf numFmtId="166" fontId="3" fillId="2" borderId="78" xfId="0" applyNumberFormat="1" applyFont="1" applyFill="1" applyBorder="1"/>
    <xf numFmtId="166" fontId="3" fillId="2" borderId="63" xfId="0" applyNumberFormat="1" applyFont="1" applyFill="1" applyBorder="1"/>
    <xf numFmtId="37" fontId="1" fillId="2" borderId="18" xfId="0" applyNumberFormat="1" applyFont="1" applyFill="1" applyBorder="1"/>
    <xf numFmtId="166" fontId="1" fillId="2" borderId="24" xfId="0" applyNumberFormat="1" applyFont="1" applyFill="1" applyBorder="1"/>
    <xf numFmtId="166" fontId="1" fillId="2" borderId="17" xfId="0" applyNumberFormat="1" applyFont="1" applyFill="1" applyBorder="1"/>
    <xf numFmtId="164" fontId="3" fillId="0" borderId="0" xfId="0" applyNumberFormat="1" applyFont="1"/>
    <xf numFmtId="164" fontId="3" fillId="2" borderId="14" xfId="0" applyNumberFormat="1" applyFont="1" applyFill="1" applyBorder="1"/>
    <xf numFmtId="164" fontId="3" fillId="0" borderId="8" xfId="0" applyNumberFormat="1" applyFont="1" applyBorder="1"/>
    <xf numFmtId="164" fontId="3" fillId="2" borderId="24" xfId="0" applyNumberFormat="1" applyFont="1" applyFill="1" applyBorder="1"/>
    <xf numFmtId="164" fontId="3" fillId="2" borderId="17" xfId="0" applyNumberFormat="1" applyFont="1" applyFill="1" applyBorder="1"/>
    <xf numFmtId="166" fontId="3" fillId="2" borderId="24" xfId="0" applyNumberFormat="1" applyFont="1" applyFill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2" borderId="14" xfId="0" applyNumberFormat="1" applyFont="1" applyFill="1" applyBorder="1" applyAlignment="1">
      <alignment horizontal="right"/>
    </xf>
    <xf numFmtId="166" fontId="3" fillId="2" borderId="17" xfId="0" applyNumberFormat="1" applyFont="1" applyFill="1" applyBorder="1" applyAlignment="1">
      <alignment horizontal="right"/>
    </xf>
    <xf numFmtId="164" fontId="3" fillId="2" borderId="24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2" borderId="14" xfId="0" applyNumberFormat="1" applyFont="1" applyFill="1" applyBorder="1" applyAlignment="1">
      <alignment horizontal="right"/>
    </xf>
    <xf numFmtId="164" fontId="3" fillId="2" borderId="17" xfId="0" applyNumberFormat="1" applyFont="1" applyFill="1" applyBorder="1" applyAlignment="1">
      <alignment horizontal="right"/>
    </xf>
    <xf numFmtId="0" fontId="45" fillId="0" borderId="7" xfId="0" applyFont="1" applyBorder="1"/>
    <xf numFmtId="171" fontId="46" fillId="2" borderId="14" xfId="0" applyNumberFormat="1" applyFont="1" applyFill="1" applyBorder="1"/>
    <xf numFmtId="171" fontId="46" fillId="0" borderId="0" xfId="0" applyNumberFormat="1" applyFont="1"/>
    <xf numFmtId="171" fontId="46" fillId="0" borderId="8" xfId="0" applyNumberFormat="1" applyFont="1" applyBorder="1"/>
    <xf numFmtId="171" fontId="46" fillId="2" borderId="24" xfId="0" applyNumberFormat="1" applyFont="1" applyFill="1" applyBorder="1"/>
    <xf numFmtId="171" fontId="46" fillId="2" borderId="17" xfId="0" applyNumberFormat="1" applyFont="1" applyFill="1" applyBorder="1"/>
    <xf numFmtId="44" fontId="1" fillId="2" borderId="14" xfId="0" applyNumberFormat="1" applyFont="1" applyFill="1" applyBorder="1"/>
    <xf numFmtId="171" fontId="1" fillId="2" borderId="24" xfId="0" applyNumberFormat="1" applyFont="1" applyFill="1" applyBorder="1"/>
    <xf numFmtId="171" fontId="1" fillId="2" borderId="14" xfId="0" applyNumberFormat="1" applyFont="1" applyFill="1" applyBorder="1"/>
    <xf numFmtId="171" fontId="1" fillId="2" borderId="17" xfId="0" applyNumberFormat="1" applyFont="1" applyFill="1" applyBorder="1"/>
    <xf numFmtId="0" fontId="51" fillId="0" borderId="7" xfId="0" applyFont="1" applyBorder="1"/>
    <xf numFmtId="0" fontId="51" fillId="2" borderId="14" xfId="0" applyFont="1" applyFill="1" applyBorder="1"/>
    <xf numFmtId="0" fontId="51" fillId="0" borderId="8" xfId="0" applyFont="1" applyBorder="1"/>
    <xf numFmtId="0" fontId="51" fillId="2" borderId="24" xfId="0" applyFont="1" applyFill="1" applyBorder="1"/>
    <xf numFmtId="164" fontId="64" fillId="0" borderId="0" xfId="0" applyNumberFormat="1" applyFont="1"/>
    <xf numFmtId="164" fontId="64" fillId="2" borderId="14" xfId="0" applyNumberFormat="1" applyFont="1" applyFill="1" applyBorder="1"/>
    <xf numFmtId="164" fontId="64" fillId="2" borderId="17" xfId="0" applyNumberFormat="1" applyFont="1" applyFill="1" applyBorder="1"/>
    <xf numFmtId="44" fontId="46" fillId="0" borderId="0" xfId="0" applyNumberFormat="1" applyFont="1"/>
    <xf numFmtId="164" fontId="46" fillId="0" borderId="0" xfId="0" applyNumberFormat="1" applyFont="1"/>
    <xf numFmtId="166" fontId="53" fillId="2" borderId="14" xfId="0" applyNumberFormat="1" applyFont="1" applyFill="1" applyBorder="1"/>
    <xf numFmtId="166" fontId="53" fillId="0" borderId="8" xfId="0" applyNumberFormat="1" applyFont="1" applyBorder="1"/>
    <xf numFmtId="166" fontId="53" fillId="2" borderId="24" xfId="0" applyNumberFormat="1" applyFont="1" applyFill="1" applyBorder="1"/>
    <xf numFmtId="166" fontId="53" fillId="2" borderId="17" xfId="0" applyNumberFormat="1" applyFont="1" applyFill="1" applyBorder="1"/>
    <xf numFmtId="0" fontId="1" fillId="2" borderId="24" xfId="0" applyFont="1" applyFill="1" applyBorder="1"/>
    <xf numFmtId="0" fontId="1" fillId="2" borderId="17" xfId="0" applyFont="1" applyFill="1" applyBorder="1"/>
    <xf numFmtId="9" fontId="51" fillId="2" borderId="14" xfId="0" applyNumberFormat="1" applyFont="1" applyFill="1" applyBorder="1"/>
    <xf numFmtId="0" fontId="51" fillId="2" borderId="17" xfId="0" applyFont="1" applyFill="1" applyBorder="1"/>
    <xf numFmtId="0" fontId="53" fillId="0" borderId="7" xfId="0" applyFont="1" applyBorder="1"/>
    <xf numFmtId="164" fontId="46" fillId="2" borderId="14" xfId="0" applyNumberFormat="1" applyFont="1" applyFill="1" applyBorder="1"/>
    <xf numFmtId="164" fontId="46" fillId="2" borderId="17" xfId="0" applyNumberFormat="1" applyFont="1" applyFill="1" applyBorder="1"/>
    <xf numFmtId="182" fontId="51" fillId="2" borderId="14" xfId="0" applyNumberFormat="1" applyFont="1" applyFill="1" applyBorder="1"/>
    <xf numFmtId="182" fontId="51" fillId="0" borderId="0" xfId="0" applyNumberFormat="1" applyFont="1"/>
    <xf numFmtId="164" fontId="65" fillId="0" borderId="0" xfId="0" applyNumberFormat="1" applyFont="1"/>
    <xf numFmtId="9" fontId="51" fillId="0" borderId="0" xfId="0" applyNumberFormat="1" applyFont="1"/>
    <xf numFmtId="166" fontId="46" fillId="0" borderId="0" xfId="0" applyNumberFormat="1" applyFont="1"/>
    <xf numFmtId="9" fontId="5" fillId="0" borderId="0" xfId="0" applyNumberFormat="1" applyFont="1"/>
    <xf numFmtId="0" fontId="53" fillId="0" borderId="79" xfId="0" applyFont="1" applyBorder="1"/>
    <xf numFmtId="0" fontId="51" fillId="0" borderId="13" xfId="0" applyFont="1" applyBorder="1"/>
    <xf numFmtId="166" fontId="53" fillId="2" borderId="71" xfId="0" applyNumberFormat="1" applyFont="1" applyFill="1" applyBorder="1"/>
    <xf numFmtId="166" fontId="53" fillId="0" borderId="13" xfId="0" applyNumberFormat="1" applyFont="1" applyBorder="1"/>
    <xf numFmtId="166" fontId="53" fillId="0" borderId="72" xfId="0" applyNumberFormat="1" applyFont="1" applyBorder="1"/>
    <xf numFmtId="166" fontId="53" fillId="2" borderId="80" xfId="0" applyNumberFormat="1" applyFont="1" applyFill="1" applyBorder="1"/>
    <xf numFmtId="166" fontId="53" fillId="2" borderId="69" xfId="0" applyNumberFormat="1" applyFont="1" applyFill="1" applyBorder="1"/>
    <xf numFmtId="0" fontId="53" fillId="0" borderId="5" xfId="0" applyFont="1" applyBorder="1"/>
    <xf numFmtId="166" fontId="53" fillId="2" borderId="19" xfId="0" applyNumberFormat="1" applyFont="1" applyFill="1" applyBorder="1"/>
    <xf numFmtId="166" fontId="53" fillId="0" borderId="5" xfId="0" applyNumberFormat="1" applyFont="1" applyBorder="1"/>
    <xf numFmtId="166" fontId="53" fillId="0" borderId="6" xfId="0" applyNumberFormat="1" applyFont="1" applyBorder="1"/>
    <xf numFmtId="41" fontId="53" fillId="2" borderId="18" xfId="0" applyNumberFormat="1" applyFont="1" applyFill="1" applyBorder="1"/>
    <xf numFmtId="41" fontId="53" fillId="0" borderId="5" xfId="0" applyNumberFormat="1" applyFont="1" applyBorder="1"/>
    <xf numFmtId="41" fontId="53" fillId="2" borderId="19" xfId="0" applyNumberFormat="1" applyFont="1" applyFill="1" applyBorder="1"/>
    <xf numFmtId="41" fontId="53" fillId="2" borderId="20" xfId="0" applyNumberFormat="1" applyFont="1" applyFill="1" applyBorder="1"/>
    <xf numFmtId="0" fontId="12" fillId="0" borderId="8" xfId="0" applyFont="1" applyBorder="1"/>
    <xf numFmtId="41" fontId="53" fillId="2" borderId="24" xfId="0" applyNumberFormat="1" applyFont="1" applyFill="1" applyBorder="1"/>
    <xf numFmtId="41" fontId="53" fillId="0" borderId="0" xfId="0" applyNumberFormat="1" applyFont="1"/>
    <xf numFmtId="41" fontId="53" fillId="2" borderId="14" xfId="0" applyNumberFormat="1" applyFont="1" applyFill="1" applyBorder="1"/>
    <xf numFmtId="41" fontId="53" fillId="2" borderId="17" xfId="0" applyNumberFormat="1" applyFont="1" applyFill="1" applyBorder="1"/>
    <xf numFmtId="10" fontId="1" fillId="0" borderId="11" xfId="0" applyNumberFormat="1" applyFont="1" applyBorder="1"/>
    <xf numFmtId="166" fontId="1" fillId="2" borderId="22" xfId="0" applyNumberFormat="1" applyFont="1" applyFill="1" applyBorder="1"/>
    <xf numFmtId="166" fontId="1" fillId="2" borderId="21" xfId="0" applyNumberFormat="1" applyFont="1" applyFill="1" applyBorder="1"/>
    <xf numFmtId="167" fontId="40" fillId="0" borderId="8" xfId="0" applyNumberFormat="1" applyFont="1" applyBorder="1"/>
    <xf numFmtId="10" fontId="40" fillId="0" borderId="8" xfId="0" applyNumberFormat="1" applyFont="1" applyBorder="1"/>
    <xf numFmtId="1" fontId="40" fillId="0" borderId="8" xfId="0" applyNumberFormat="1" applyFont="1" applyBorder="1"/>
    <xf numFmtId="0" fontId="66" fillId="15" borderId="81" xfId="0" applyFont="1" applyFill="1" applyBorder="1"/>
    <xf numFmtId="0" fontId="66" fillId="15" borderId="82" xfId="0" applyFont="1" applyFill="1" applyBorder="1" applyAlignment="1">
      <alignment horizontal="center"/>
    </xf>
    <xf numFmtId="0" fontId="66" fillId="15" borderId="87" xfId="0" applyFont="1" applyFill="1" applyBorder="1" applyAlignment="1">
      <alignment horizontal="center"/>
    </xf>
    <xf numFmtId="0" fontId="66" fillId="15" borderId="88" xfId="0" applyFont="1" applyFill="1" applyBorder="1"/>
    <xf numFmtId="0" fontId="66" fillId="15" borderId="14" xfId="0" applyFont="1" applyFill="1" applyBorder="1" applyAlignment="1">
      <alignment horizontal="center"/>
    </xf>
    <xf numFmtId="0" fontId="67" fillId="16" borderId="24" xfId="0" applyFont="1" applyFill="1" applyBorder="1" applyAlignment="1">
      <alignment horizontal="center"/>
    </xf>
    <xf numFmtId="0" fontId="67" fillId="16" borderId="14" xfId="0" applyFont="1" applyFill="1" applyBorder="1" applyAlignment="1">
      <alignment horizontal="center"/>
    </xf>
    <xf numFmtId="0" fontId="67" fillId="16" borderId="17" xfId="0" applyFont="1" applyFill="1" applyBorder="1" applyAlignment="1">
      <alignment horizontal="center"/>
    </xf>
    <xf numFmtId="0" fontId="67" fillId="17" borderId="14" xfId="0" applyFont="1" applyFill="1" applyBorder="1" applyAlignment="1">
      <alignment horizontal="center"/>
    </xf>
    <xf numFmtId="0" fontId="67" fillId="17" borderId="17" xfId="0" applyFont="1" applyFill="1" applyBorder="1" applyAlignment="1">
      <alignment horizontal="center"/>
    </xf>
    <xf numFmtId="0" fontId="66" fillId="15" borderId="89" xfId="0" applyFont="1" applyFill="1" applyBorder="1" applyAlignment="1">
      <alignment horizontal="center"/>
    </xf>
    <xf numFmtId="0" fontId="68" fillId="13" borderId="88" xfId="0" applyFont="1" applyFill="1" applyBorder="1"/>
    <xf numFmtId="2" fontId="68" fillId="13" borderId="14" xfId="0" applyNumberFormat="1" applyFont="1" applyFill="1" applyBorder="1" applyAlignment="1">
      <alignment horizontal="center"/>
    </xf>
    <xf numFmtId="171" fontId="68" fillId="13" borderId="24" xfId="0" applyNumberFormat="1" applyFont="1" applyFill="1" applyBorder="1" applyAlignment="1">
      <alignment horizontal="center"/>
    </xf>
    <xf numFmtId="171" fontId="68" fillId="13" borderId="14" xfId="0" applyNumberFormat="1" applyFont="1" applyFill="1" applyBorder="1" applyAlignment="1">
      <alignment horizontal="center"/>
    </xf>
    <xf numFmtId="171" fontId="68" fillId="13" borderId="17" xfId="0" applyNumberFormat="1" applyFont="1" applyFill="1" applyBorder="1" applyAlignment="1">
      <alignment horizontal="center"/>
    </xf>
    <xf numFmtId="171" fontId="69" fillId="13" borderId="14" xfId="0" applyNumberFormat="1" applyFont="1" applyFill="1" applyBorder="1" applyAlignment="1">
      <alignment horizontal="center"/>
    </xf>
    <xf numFmtId="171" fontId="69" fillId="13" borderId="89" xfId="0" applyNumberFormat="1" applyFont="1" applyFill="1" applyBorder="1" applyAlignment="1">
      <alignment horizontal="center"/>
    </xf>
    <xf numFmtId="0" fontId="68" fillId="0" borderId="90" xfId="0" applyFont="1" applyBorder="1"/>
    <xf numFmtId="2" fontId="68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171" fontId="68" fillId="0" borderId="7" xfId="0" applyNumberFormat="1" applyFont="1" applyBorder="1" applyAlignment="1">
      <alignment horizontal="center"/>
    </xf>
    <xf numFmtId="171" fontId="68" fillId="0" borderId="0" xfId="0" applyNumberFormat="1" applyFont="1" applyAlignment="1">
      <alignment horizontal="center"/>
    </xf>
    <xf numFmtId="171" fontId="68" fillId="0" borderId="8" xfId="0" applyNumberFormat="1" applyFont="1" applyBorder="1" applyAlignment="1">
      <alignment horizontal="center"/>
    </xf>
    <xf numFmtId="171" fontId="69" fillId="0" borderId="0" xfId="0" applyNumberFormat="1" applyFont="1" applyAlignment="1">
      <alignment horizontal="center"/>
    </xf>
    <xf numFmtId="171" fontId="69" fillId="0" borderId="91" xfId="0" applyNumberFormat="1" applyFont="1" applyBorder="1" applyAlignment="1">
      <alignment horizontal="center"/>
    </xf>
    <xf numFmtId="0" fontId="67" fillId="18" borderId="88" xfId="0" applyFont="1" applyFill="1" applyBorder="1"/>
    <xf numFmtId="0" fontId="67" fillId="18" borderId="14" xfId="0" applyFont="1" applyFill="1" applyBorder="1" applyAlignment="1">
      <alignment horizontal="center"/>
    </xf>
    <xf numFmtId="2" fontId="67" fillId="18" borderId="14" xfId="0" applyNumberFormat="1" applyFont="1" applyFill="1" applyBorder="1" applyAlignment="1">
      <alignment horizontal="center"/>
    </xf>
    <xf numFmtId="171" fontId="67" fillId="18" borderId="24" xfId="0" applyNumberFormat="1" applyFont="1" applyFill="1" applyBorder="1" applyAlignment="1">
      <alignment horizontal="center"/>
    </xf>
    <xf numFmtId="171" fontId="67" fillId="18" borderId="14" xfId="0" applyNumberFormat="1" applyFont="1" applyFill="1" applyBorder="1" applyAlignment="1">
      <alignment horizontal="center"/>
    </xf>
    <xf numFmtId="171" fontId="67" fillId="18" borderId="17" xfId="0" applyNumberFormat="1" applyFont="1" applyFill="1" applyBorder="1" applyAlignment="1">
      <alignment horizontal="center"/>
    </xf>
    <xf numFmtId="171" fontId="67" fillId="13" borderId="14" xfId="0" applyNumberFormat="1" applyFont="1" applyFill="1" applyBorder="1" applyAlignment="1">
      <alignment horizontal="center"/>
    </xf>
    <xf numFmtId="171" fontId="67" fillId="13" borderId="89" xfId="0" applyNumberFormat="1" applyFont="1" applyFill="1" applyBorder="1" applyAlignment="1">
      <alignment horizontal="center"/>
    </xf>
    <xf numFmtId="0" fontId="69" fillId="0" borderId="90" xfId="0" applyFont="1" applyBorder="1"/>
    <xf numFmtId="0" fontId="69" fillId="0" borderId="0" xfId="0" applyFont="1" applyAlignment="1">
      <alignment horizontal="center"/>
    </xf>
    <xf numFmtId="0" fontId="69" fillId="0" borderId="7" xfId="0" applyFont="1" applyBorder="1" applyAlignment="1">
      <alignment horizontal="center"/>
    </xf>
    <xf numFmtId="0" fontId="69" fillId="0" borderId="8" xfId="0" applyFont="1" applyBorder="1" applyAlignment="1">
      <alignment horizontal="center"/>
    </xf>
    <xf numFmtId="0" fontId="69" fillId="0" borderId="91" xfId="0" applyFont="1" applyBorder="1" applyAlignment="1">
      <alignment horizontal="center"/>
    </xf>
    <xf numFmtId="0" fontId="69" fillId="18" borderId="88" xfId="0" applyFont="1" applyFill="1" applyBorder="1"/>
    <xf numFmtId="0" fontId="69" fillId="18" borderId="14" xfId="0" applyFont="1" applyFill="1" applyBorder="1" applyAlignment="1">
      <alignment horizontal="center"/>
    </xf>
    <xf numFmtId="0" fontId="68" fillId="18" borderId="24" xfId="0" applyFont="1" applyFill="1" applyBorder="1" applyAlignment="1">
      <alignment horizontal="center"/>
    </xf>
    <xf numFmtId="0" fontId="68" fillId="18" borderId="14" xfId="0" applyFont="1" applyFill="1" applyBorder="1" applyAlignment="1">
      <alignment horizontal="center"/>
    </xf>
    <xf numFmtId="0" fontId="68" fillId="18" borderId="17" xfId="0" applyFont="1" applyFill="1" applyBorder="1" applyAlignment="1">
      <alignment horizontal="center"/>
    </xf>
    <xf numFmtId="0" fontId="69" fillId="18" borderId="89" xfId="0" applyFont="1" applyFill="1" applyBorder="1" applyAlignment="1">
      <alignment horizontal="center"/>
    </xf>
    <xf numFmtId="10" fontId="67" fillId="18" borderId="24" xfId="0" applyNumberFormat="1" applyFont="1" applyFill="1" applyBorder="1" applyAlignment="1">
      <alignment horizontal="center"/>
    </xf>
    <xf numFmtId="10" fontId="67" fillId="18" borderId="14" xfId="0" applyNumberFormat="1" applyFont="1" applyFill="1" applyBorder="1" applyAlignment="1">
      <alignment horizontal="center"/>
    </xf>
    <xf numFmtId="10" fontId="67" fillId="18" borderId="17" xfId="0" applyNumberFormat="1" applyFont="1" applyFill="1" applyBorder="1" applyAlignment="1">
      <alignment horizontal="center"/>
    </xf>
    <xf numFmtId="10" fontId="67" fillId="18" borderId="89" xfId="0" applyNumberFormat="1" applyFont="1" applyFill="1" applyBorder="1" applyAlignment="1">
      <alignment horizontal="center"/>
    </xf>
    <xf numFmtId="3" fontId="69" fillId="18" borderId="24" xfId="0" applyNumberFormat="1" applyFont="1" applyFill="1" applyBorder="1" applyAlignment="1">
      <alignment horizontal="center"/>
    </xf>
    <xf numFmtId="3" fontId="69" fillId="18" borderId="14" xfId="0" applyNumberFormat="1" applyFont="1" applyFill="1" applyBorder="1" applyAlignment="1">
      <alignment horizontal="center"/>
    </xf>
    <xf numFmtId="3" fontId="69" fillId="18" borderId="17" xfId="0" applyNumberFormat="1" applyFont="1" applyFill="1" applyBorder="1" applyAlignment="1">
      <alignment horizontal="center"/>
    </xf>
    <xf numFmtId="3" fontId="69" fillId="18" borderId="89" xfId="0" applyNumberFormat="1" applyFont="1" applyFill="1" applyBorder="1" applyAlignment="1">
      <alignment horizontal="center"/>
    </xf>
    <xf numFmtId="10" fontId="69" fillId="18" borderId="24" xfId="0" applyNumberFormat="1" applyFont="1" applyFill="1" applyBorder="1" applyAlignment="1">
      <alignment horizontal="center"/>
    </xf>
    <xf numFmtId="10" fontId="69" fillId="18" borderId="14" xfId="0" applyNumberFormat="1" applyFont="1" applyFill="1" applyBorder="1" applyAlignment="1">
      <alignment horizontal="center"/>
    </xf>
    <xf numFmtId="10" fontId="69" fillId="18" borderId="17" xfId="0" applyNumberFormat="1" applyFont="1" applyFill="1" applyBorder="1" applyAlignment="1">
      <alignment horizontal="center"/>
    </xf>
    <xf numFmtId="10" fontId="69" fillId="18" borderId="89" xfId="0" applyNumberFormat="1" applyFont="1" applyFill="1" applyBorder="1" applyAlignment="1">
      <alignment horizontal="center"/>
    </xf>
    <xf numFmtId="171" fontId="69" fillId="0" borderId="7" xfId="0" applyNumberFormat="1" applyFont="1" applyBorder="1" applyAlignment="1">
      <alignment horizontal="center"/>
    </xf>
    <xf numFmtId="171" fontId="69" fillId="0" borderId="8" xfId="0" applyNumberFormat="1" applyFont="1" applyBorder="1" applyAlignment="1">
      <alignment horizontal="center"/>
    </xf>
    <xf numFmtId="171" fontId="69" fillId="19" borderId="14" xfId="0" applyNumberFormat="1" applyFont="1" applyFill="1" applyBorder="1" applyAlignment="1">
      <alignment horizontal="center"/>
    </xf>
    <xf numFmtId="171" fontId="69" fillId="19" borderId="89" xfId="0" applyNumberFormat="1" applyFont="1" applyFill="1" applyBorder="1" applyAlignment="1">
      <alignment horizontal="center"/>
    </xf>
    <xf numFmtId="0" fontId="67" fillId="20" borderId="88" xfId="0" applyFont="1" applyFill="1" applyBorder="1"/>
    <xf numFmtId="0" fontId="67" fillId="20" borderId="14" xfId="0" applyFont="1" applyFill="1" applyBorder="1" applyAlignment="1">
      <alignment horizontal="center"/>
    </xf>
    <xf numFmtId="10" fontId="69" fillId="20" borderId="24" xfId="0" applyNumberFormat="1" applyFont="1" applyFill="1" applyBorder="1" applyAlignment="1">
      <alignment horizontal="center"/>
    </xf>
    <xf numFmtId="10" fontId="69" fillId="20" borderId="14" xfId="0" applyNumberFormat="1" applyFont="1" applyFill="1" applyBorder="1" applyAlignment="1">
      <alignment horizontal="center"/>
    </xf>
    <xf numFmtId="10" fontId="69" fillId="20" borderId="17" xfId="0" applyNumberFormat="1" applyFont="1" applyFill="1" applyBorder="1" applyAlignment="1">
      <alignment horizontal="center"/>
    </xf>
    <xf numFmtId="10" fontId="67" fillId="20" borderId="14" xfId="0" applyNumberFormat="1" applyFont="1" applyFill="1" applyBorder="1" applyAlignment="1">
      <alignment horizontal="center"/>
    </xf>
    <xf numFmtId="10" fontId="67" fillId="20" borderId="89" xfId="0" applyNumberFormat="1" applyFont="1" applyFill="1" applyBorder="1" applyAlignment="1">
      <alignment horizontal="center"/>
    </xf>
    <xf numFmtId="0" fontId="67" fillId="20" borderId="92" xfId="0" applyFont="1" applyFill="1" applyBorder="1"/>
    <xf numFmtId="0" fontId="67" fillId="20" borderId="93" xfId="0" applyFont="1" applyFill="1" applyBorder="1" applyAlignment="1">
      <alignment horizontal="center"/>
    </xf>
    <xf numFmtId="10" fontId="69" fillId="20" borderId="94" xfId="0" applyNumberFormat="1" applyFont="1" applyFill="1" applyBorder="1" applyAlignment="1">
      <alignment horizontal="center"/>
    </xf>
    <xf numFmtId="10" fontId="69" fillId="20" borderId="93" xfId="0" applyNumberFormat="1" applyFont="1" applyFill="1" applyBorder="1" applyAlignment="1">
      <alignment horizontal="center"/>
    </xf>
    <xf numFmtId="10" fontId="69" fillId="20" borderId="95" xfId="0" applyNumberFormat="1" applyFont="1" applyFill="1" applyBorder="1" applyAlignment="1">
      <alignment horizontal="center"/>
    </xf>
    <xf numFmtId="10" fontId="67" fillId="20" borderId="93" xfId="0" applyNumberFormat="1" applyFont="1" applyFill="1" applyBorder="1" applyAlignment="1">
      <alignment horizontal="center"/>
    </xf>
    <xf numFmtId="10" fontId="67" fillId="20" borderId="96" xfId="0" applyNumberFormat="1" applyFont="1" applyFill="1" applyBorder="1" applyAlignment="1">
      <alignment horizontal="center"/>
    </xf>
    <xf numFmtId="0" fontId="1" fillId="0" borderId="6" xfId="0" applyFont="1" applyBorder="1"/>
    <xf numFmtId="0" fontId="1" fillId="0" borderId="97" xfId="0" applyFont="1" applyBorder="1"/>
    <xf numFmtId="166" fontId="1" fillId="0" borderId="26" xfId="0" applyNumberFormat="1" applyFont="1" applyBorder="1"/>
    <xf numFmtId="164" fontId="1" fillId="0" borderId="26" xfId="0" applyNumberFormat="1" applyFont="1" applyBorder="1"/>
    <xf numFmtId="0" fontId="3" fillId="0" borderId="8" xfId="0" applyFont="1" applyBorder="1"/>
    <xf numFmtId="9" fontId="3" fillId="0" borderId="26" xfId="0" applyNumberFormat="1" applyFont="1" applyBorder="1"/>
    <xf numFmtId="166" fontId="1" fillId="0" borderId="5" xfId="0" applyNumberFormat="1" applyFont="1" applyBorder="1"/>
    <xf numFmtId="166" fontId="1" fillId="0" borderId="97" xfId="0" applyNumberFormat="1" applyFont="1" applyBorder="1"/>
    <xf numFmtId="0" fontId="1" fillId="0" borderId="26" xfId="0" applyFont="1" applyBorder="1"/>
    <xf numFmtId="164" fontId="3" fillId="0" borderId="26" xfId="0" applyNumberFormat="1" applyFont="1" applyBorder="1"/>
    <xf numFmtId="166" fontId="3" fillId="0" borderId="26" xfId="0" applyNumberFormat="1" applyFont="1" applyBorder="1"/>
    <xf numFmtId="177" fontId="1" fillId="0" borderId="26" xfId="0" applyNumberFormat="1" applyFont="1" applyBorder="1"/>
    <xf numFmtId="0" fontId="3" fillId="0" borderId="6" xfId="0" applyFont="1" applyBorder="1"/>
    <xf numFmtId="166" fontId="3" fillId="0" borderId="97" xfId="0" applyNumberFormat="1" applyFont="1" applyBorder="1"/>
    <xf numFmtId="0" fontId="3" fillId="0" borderId="12" xfId="0" applyFont="1" applyBorder="1"/>
    <xf numFmtId="166" fontId="3" fillId="0" borderId="11" xfId="0" applyNumberFormat="1" applyFont="1" applyBorder="1"/>
    <xf numFmtId="166" fontId="3" fillId="0" borderId="12" xfId="0" applyNumberFormat="1" applyFont="1" applyBorder="1"/>
    <xf numFmtId="166" fontId="3" fillId="0" borderId="29" xfId="0" applyNumberFormat="1" applyFont="1" applyBorder="1"/>
    <xf numFmtId="0" fontId="34" fillId="0" borderId="5" xfId="0" applyFont="1" applyBorder="1"/>
    <xf numFmtId="166" fontId="34" fillId="0" borderId="3" xfId="0" applyNumberFormat="1" applyFont="1" applyBorder="1"/>
    <xf numFmtId="166" fontId="34" fillId="0" borderId="5" xfId="0" applyNumberFormat="1" applyFont="1" applyBorder="1"/>
    <xf numFmtId="166" fontId="34" fillId="0" borderId="6" xfId="0" applyNumberFormat="1" applyFont="1" applyBorder="1"/>
    <xf numFmtId="166" fontId="1" fillId="0" borderId="7" xfId="0" applyNumberFormat="1" applyFont="1" applyBorder="1"/>
    <xf numFmtId="166" fontId="34" fillId="0" borderId="7" xfId="0" applyNumberFormat="1" applyFont="1" applyBorder="1"/>
    <xf numFmtId="166" fontId="34" fillId="0" borderId="0" xfId="0" applyNumberFormat="1" applyFont="1"/>
    <xf numFmtId="166" fontId="34" fillId="0" borderId="8" xfId="0" applyNumberFormat="1" applyFont="1" applyBorder="1"/>
    <xf numFmtId="0" fontId="3" fillId="0" borderId="11" xfId="0" applyFont="1" applyBorder="1"/>
    <xf numFmtId="166" fontId="3" fillId="0" borderId="10" xfId="0" applyNumberFormat="1" applyFont="1" applyBorder="1"/>
    <xf numFmtId="166" fontId="1" fillId="0" borderId="29" xfId="0" applyNumberFormat="1" applyFont="1" applyBorder="1"/>
    <xf numFmtId="0" fontId="3" fillId="0" borderId="2" xfId="0" applyFont="1" applyBorder="1"/>
    <xf numFmtId="0" fontId="13" fillId="0" borderId="0" xfId="0" applyFont="1"/>
    <xf numFmtId="0" fontId="3" fillId="0" borderId="11" xfId="0" applyFont="1" applyBorder="1" applyAlignment="1">
      <alignment horizontal="center"/>
    </xf>
    <xf numFmtId="0" fontId="70" fillId="0" borderId="0" xfId="0" applyFont="1" applyAlignment="1">
      <alignment horizontal="left"/>
    </xf>
    <xf numFmtId="10" fontId="1" fillId="21" borderId="14" xfId="0" applyNumberFormat="1" applyFont="1" applyFill="1" applyBorder="1"/>
    <xf numFmtId="1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6" borderId="14" xfId="0" applyNumberFormat="1" applyFont="1" applyFill="1" applyBorder="1"/>
    <xf numFmtId="164" fontId="5" fillId="21" borderId="14" xfId="0" applyNumberFormat="1" applyFont="1" applyFill="1" applyBorder="1"/>
    <xf numFmtId="0" fontId="3" fillId="2" borderId="55" xfId="0" applyFont="1" applyFill="1" applyBorder="1" applyAlignment="1">
      <alignment horizontal="center"/>
    </xf>
    <xf numFmtId="0" fontId="1" fillId="0" borderId="2" xfId="0" applyFont="1" applyBorder="1"/>
    <xf numFmtId="0" fontId="71" fillId="0" borderId="3" xfId="0" applyFont="1" applyBorder="1"/>
    <xf numFmtId="0" fontId="72" fillId="0" borderId="5" xfId="0" applyFont="1" applyBorder="1"/>
    <xf numFmtId="0" fontId="73" fillId="0" borderId="6" xfId="0" applyFont="1" applyBorder="1"/>
    <xf numFmtId="0" fontId="74" fillId="0" borderId="3" xfId="0" applyFont="1" applyBorder="1" applyAlignment="1">
      <alignment horizontal="center"/>
    </xf>
    <xf numFmtId="0" fontId="75" fillId="0" borderId="5" xfId="0" applyFont="1" applyBorder="1" applyAlignment="1">
      <alignment horizontal="center"/>
    </xf>
    <xf numFmtId="0" fontId="76" fillId="0" borderId="6" xfId="0" applyFont="1" applyBorder="1" applyAlignment="1">
      <alignment horizontal="center"/>
    </xf>
    <xf numFmtId="0" fontId="77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0" fontId="78" fillId="0" borderId="7" xfId="0" applyFont="1" applyBorder="1" applyAlignment="1">
      <alignment horizontal="center"/>
    </xf>
    <xf numFmtId="2" fontId="1" fillId="0" borderId="0" xfId="0" applyNumberFormat="1" applyFont="1"/>
    <xf numFmtId="2" fontId="1" fillId="0" borderId="8" xfId="0" applyNumberFormat="1" applyFont="1" applyBorder="1"/>
    <xf numFmtId="164" fontId="1" fillId="0" borderId="3" xfId="0" applyNumberFormat="1" applyFont="1" applyBorder="1"/>
    <xf numFmtId="164" fontId="1" fillId="7" borderId="14" xfId="0" applyNumberFormat="1" applyFont="1" applyFill="1" applyBorder="1"/>
    <xf numFmtId="164" fontId="1" fillId="7" borderId="17" xfId="0" applyNumberFormat="1" applyFont="1" applyFill="1" applyBorder="1"/>
    <xf numFmtId="164" fontId="1" fillId="0" borderId="7" xfId="0" applyNumberFormat="1" applyFont="1" applyBorder="1"/>
    <xf numFmtId="0" fontId="1" fillId="6" borderId="18" xfId="0" applyFont="1" applyFill="1" applyBorder="1"/>
    <xf numFmtId="0" fontId="1" fillId="6" borderId="19" xfId="0" applyFont="1" applyFill="1" applyBorder="1"/>
    <xf numFmtId="9" fontId="5" fillId="6" borderId="20" xfId="0" applyNumberFormat="1" applyFont="1" applyFill="1" applyBorder="1"/>
    <xf numFmtId="0" fontId="1" fillId="6" borderId="22" xfId="0" applyFont="1" applyFill="1" applyBorder="1"/>
    <xf numFmtId="0" fontId="1" fillId="6" borderId="23" xfId="0" applyFont="1" applyFill="1" applyBorder="1"/>
    <xf numFmtId="9" fontId="5" fillId="6" borderId="21" xfId="0" applyNumberFormat="1" applyFont="1" applyFill="1" applyBorder="1"/>
    <xf numFmtId="164" fontId="5" fillId="6" borderId="20" xfId="0" applyNumberFormat="1" applyFont="1" applyFill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0" fontId="1" fillId="0" borderId="29" xfId="0" applyFont="1" applyBorder="1"/>
    <xf numFmtId="164" fontId="1" fillId="0" borderId="10" xfId="0" applyNumberFormat="1" applyFont="1" applyBorder="1"/>
    <xf numFmtId="164" fontId="1" fillId="7" borderId="23" xfId="0" applyNumberFormat="1" applyFont="1" applyFill="1" applyBorder="1"/>
    <xf numFmtId="164" fontId="1" fillId="7" borderId="21" xfId="0" applyNumberFormat="1" applyFont="1" applyFill="1" applyBorder="1"/>
    <xf numFmtId="0" fontId="3" fillId="0" borderId="73" xfId="0" applyFont="1" applyBorder="1"/>
    <xf numFmtId="0" fontId="1" fillId="0" borderId="73" xfId="0" applyFont="1" applyBorder="1"/>
    <xf numFmtId="0" fontId="1" fillId="0" borderId="98" xfId="0" applyFont="1" applyBorder="1"/>
    <xf numFmtId="0" fontId="1" fillId="0" borderId="11" xfId="0" applyFont="1" applyBorder="1" applyAlignment="1">
      <alignment horizontal="right"/>
    </xf>
    <xf numFmtId="166" fontId="1" fillId="0" borderId="99" xfId="0" applyNumberFormat="1" applyFont="1" applyBorder="1"/>
    <xf numFmtId="0" fontId="1" fillId="7" borderId="24" xfId="0" applyFont="1" applyFill="1" applyBorder="1"/>
    <xf numFmtId="166" fontId="1" fillId="0" borderId="100" xfId="0" applyNumberFormat="1" applyFont="1" applyBorder="1"/>
    <xf numFmtId="0" fontId="3" fillId="0" borderId="13" xfId="0" applyFont="1" applyBorder="1"/>
    <xf numFmtId="166" fontId="3" fillId="0" borderId="101" xfId="0" applyNumberFormat="1" applyFont="1" applyBorder="1"/>
    <xf numFmtId="166" fontId="3" fillId="0" borderId="102" xfId="0" applyNumberFormat="1" applyFont="1" applyBorder="1"/>
    <xf numFmtId="164" fontId="1" fillId="0" borderId="73" xfId="0" applyNumberFormat="1" applyFont="1" applyBorder="1"/>
    <xf numFmtId="0" fontId="1" fillId="21" borderId="14" xfId="0" applyFont="1" applyFill="1" applyBorder="1"/>
    <xf numFmtId="164" fontId="1" fillId="21" borderId="14" xfId="0" applyNumberFormat="1" applyFont="1" applyFill="1" applyBorder="1"/>
    <xf numFmtId="166" fontId="1" fillId="6" borderId="99" xfId="0" applyNumberFormat="1" applyFont="1" applyFill="1" applyBorder="1"/>
    <xf numFmtId="164" fontId="1" fillId="6" borderId="17" xfId="0" applyNumberFormat="1" applyFont="1" applyFill="1" applyBorder="1"/>
    <xf numFmtId="166" fontId="1" fillId="22" borderId="103" xfId="0" applyNumberFormat="1" applyFont="1" applyFill="1" applyBorder="1"/>
    <xf numFmtId="166" fontId="1" fillId="0" borderId="73" xfId="0" applyNumberFormat="1" applyFont="1" applyBorder="1"/>
    <xf numFmtId="3" fontId="1" fillId="0" borderId="12" xfId="0" applyNumberFormat="1" applyFont="1" applyBorder="1"/>
    <xf numFmtId="166" fontId="1" fillId="22" borderId="104" xfId="0" applyNumberFormat="1" applyFont="1" applyFill="1" applyBorder="1"/>
    <xf numFmtId="0" fontId="1" fillId="0" borderId="10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5" xfId="0" applyFont="1" applyBorder="1" applyAlignment="1">
      <alignment horizontal="center"/>
    </xf>
    <xf numFmtId="0" fontId="1" fillId="0" borderId="106" xfId="0" applyFont="1" applyBorder="1"/>
    <xf numFmtId="164" fontId="79" fillId="0" borderId="0" xfId="0" applyNumberFormat="1" applyFont="1"/>
    <xf numFmtId="9" fontId="1" fillId="0" borderId="99" xfId="0" applyNumberFormat="1" applyFont="1" applyBorder="1"/>
    <xf numFmtId="9" fontId="1" fillId="0" borderId="107" xfId="0" applyNumberFormat="1" applyFont="1" applyBorder="1"/>
    <xf numFmtId="9" fontId="1" fillId="0" borderId="108" xfId="0" applyNumberFormat="1" applyFont="1" applyBorder="1"/>
    <xf numFmtId="164" fontId="1" fillId="0" borderId="99" xfId="0" applyNumberFormat="1" applyFont="1" applyBorder="1"/>
    <xf numFmtId="166" fontId="79" fillId="0" borderId="0" xfId="0" applyNumberFormat="1" applyFont="1"/>
    <xf numFmtId="166" fontId="1" fillId="0" borderId="107" xfId="0" applyNumberFormat="1" applyFont="1" applyBorder="1"/>
    <xf numFmtId="166" fontId="1" fillId="0" borderId="108" xfId="0" applyNumberFormat="1" applyFont="1" applyBorder="1"/>
    <xf numFmtId="166" fontId="1" fillId="0" borderId="105" xfId="0" applyNumberFormat="1" applyFont="1" applyBorder="1"/>
    <xf numFmtId="44" fontId="79" fillId="0" borderId="0" xfId="0" applyNumberFormat="1" applyFont="1"/>
    <xf numFmtId="8" fontId="1" fillId="0" borderId="99" xfId="0" applyNumberFormat="1" applyFont="1" applyBorder="1"/>
    <xf numFmtId="164" fontId="1" fillId="0" borderId="100" xfId="0" applyNumberFormat="1" applyFont="1" applyBorder="1"/>
    <xf numFmtId="164" fontId="1" fillId="0" borderId="109" xfId="0" applyNumberFormat="1" applyFont="1" applyBorder="1"/>
    <xf numFmtId="164" fontId="1" fillId="0" borderId="110" xfId="0" applyNumberFormat="1" applyFont="1" applyBorder="1"/>
    <xf numFmtId="164" fontId="79" fillId="0" borderId="100" xfId="0" applyNumberFormat="1" applyFont="1" applyBorder="1"/>
    <xf numFmtId="8" fontId="79" fillId="0" borderId="0" xfId="0" applyNumberFormat="1" applyFont="1"/>
    <xf numFmtId="8" fontId="1" fillId="0" borderId="107" xfId="0" applyNumberFormat="1" applyFont="1" applyBorder="1"/>
    <xf numFmtId="8" fontId="1" fillId="0" borderId="108" xfId="0" applyNumberFormat="1" applyFont="1" applyBorder="1"/>
    <xf numFmtId="0" fontId="1" fillId="0" borderId="105" xfId="0" applyFont="1" applyBorder="1"/>
    <xf numFmtId="9" fontId="79" fillId="0" borderId="0" xfId="0" applyNumberFormat="1" applyFont="1"/>
    <xf numFmtId="44" fontId="1" fillId="0" borderId="105" xfId="0" applyNumberFormat="1" applyFont="1" applyBorder="1"/>
    <xf numFmtId="43" fontId="1" fillId="0" borderId="73" xfId="0" applyNumberFormat="1" applyFont="1" applyBorder="1"/>
    <xf numFmtId="44" fontId="1" fillId="0" borderId="99" xfId="0" applyNumberFormat="1" applyFont="1" applyBorder="1"/>
    <xf numFmtId="44" fontId="1" fillId="0" borderId="107" xfId="0" applyNumberFormat="1" applyFont="1" applyBorder="1"/>
    <xf numFmtId="44" fontId="1" fillId="0" borderId="108" xfId="0" applyNumberFormat="1" applyFont="1" applyBorder="1"/>
    <xf numFmtId="164" fontId="1" fillId="0" borderId="107" xfId="0" applyNumberFormat="1" applyFont="1" applyBorder="1"/>
    <xf numFmtId="164" fontId="1" fillId="0" borderId="108" xfId="0" applyNumberFormat="1" applyFont="1" applyBorder="1"/>
    <xf numFmtId="164" fontId="1" fillId="7" borderId="99" xfId="0" applyNumberFormat="1" applyFont="1" applyFill="1" applyBorder="1"/>
    <xf numFmtId="164" fontId="1" fillId="7" borderId="107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6" fillId="0" borderId="7" xfId="0" applyFont="1" applyBorder="1" applyAlignment="1">
      <alignment horizontal="center"/>
    </xf>
    <xf numFmtId="0" fontId="4" fillId="0" borderId="8" xfId="0" applyFont="1" applyBorder="1"/>
    <xf numFmtId="0" fontId="7" fillId="5" borderId="1" xfId="0" applyFont="1" applyFill="1" applyBorder="1" applyAlignment="1">
      <alignment horizontal="center"/>
    </xf>
    <xf numFmtId="0" fontId="4" fillId="0" borderId="15" xfId="0" applyFont="1" applyBorder="1"/>
    <xf numFmtId="0" fontId="7" fillId="5" borderId="30" xfId="0" applyFont="1" applyFill="1" applyBorder="1" applyAlignment="1">
      <alignment horizontal="center"/>
    </xf>
    <xf numFmtId="0" fontId="4" fillId="0" borderId="31" xfId="0" applyFont="1" applyBorder="1"/>
    <xf numFmtId="0" fontId="4" fillId="0" borderId="32" xfId="0" applyFont="1" applyBorder="1"/>
    <xf numFmtId="44" fontId="3" fillId="0" borderId="10" xfId="0" applyNumberFormat="1" applyFont="1" applyBorder="1" applyAlignment="1">
      <alignment horizontal="center"/>
    </xf>
    <xf numFmtId="0" fontId="4" fillId="0" borderId="12" xfId="0" applyFont="1" applyBorder="1"/>
    <xf numFmtId="0" fontId="7" fillId="5" borderId="34" xfId="0" applyFont="1" applyFill="1" applyBorder="1" applyAlignment="1">
      <alignment horizontal="center"/>
    </xf>
    <xf numFmtId="0" fontId="4" fillId="0" borderId="35" xfId="0" applyFont="1" applyBorder="1"/>
    <xf numFmtId="0" fontId="4" fillId="0" borderId="36" xfId="0" applyFont="1" applyBorder="1"/>
    <xf numFmtId="0" fontId="1" fillId="0" borderId="7" xfId="0" applyFont="1" applyBorder="1" applyAlignment="1">
      <alignment horizontal="center"/>
    </xf>
    <xf numFmtId="0" fontId="0" fillId="0" borderId="0" xfId="0"/>
    <xf numFmtId="0" fontId="1" fillId="4" borderId="39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/>
    </xf>
    <xf numFmtId="0" fontId="7" fillId="5" borderId="40" xfId="0" applyFont="1" applyFill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37" fillId="11" borderId="0" xfId="0" applyFont="1" applyFill="1" applyAlignment="1">
      <alignment horizontal="center"/>
    </xf>
    <xf numFmtId="0" fontId="56" fillId="11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3" fillId="0" borderId="0" xfId="0" applyFont="1" applyAlignment="1">
      <alignment horizontal="center"/>
    </xf>
    <xf numFmtId="0" fontId="63" fillId="0" borderId="0" xfId="0" applyFont="1" applyAlignment="1">
      <alignment horizontal="center" vertical="center" wrapText="1"/>
    </xf>
    <xf numFmtId="0" fontId="67" fillId="16" borderId="83" xfId="0" applyFont="1" applyFill="1" applyBorder="1" applyAlignment="1">
      <alignment horizontal="center"/>
    </xf>
    <xf numFmtId="0" fontId="4" fillId="0" borderId="84" xfId="0" applyFont="1" applyBorder="1"/>
    <xf numFmtId="0" fontId="4" fillId="0" borderId="85" xfId="0" applyFont="1" applyBorder="1"/>
    <xf numFmtId="0" fontId="67" fillId="17" borderId="8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1734800" cy="455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38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80975" cy="38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tractiq.com/2024-self-storage-us-real-estate-market-valu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tabSelected="1" workbookViewId="0"/>
  </sheetViews>
  <sheetFormatPr baseColWidth="10" defaultColWidth="14.5" defaultRowHeight="15" customHeight="1" x14ac:dyDescent="0.2"/>
  <cols>
    <col min="1" max="26" width="10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CAAC"/>
  </sheetPr>
  <dimension ref="B1:N1000"/>
  <sheetViews>
    <sheetView showGridLines="0" workbookViewId="0"/>
  </sheetViews>
  <sheetFormatPr baseColWidth="10" defaultColWidth="14.5" defaultRowHeight="15" customHeight="1" outlineLevelCol="1" x14ac:dyDescent="0.2"/>
  <cols>
    <col min="1" max="1" width="2.6640625" customWidth="1"/>
    <col min="2" max="2" width="15.33203125" customWidth="1" outlineLevel="1"/>
    <col min="3" max="3" width="8.6640625" customWidth="1" outlineLevel="1"/>
    <col min="4" max="5" width="2.6640625" customWidth="1" outlineLevel="1"/>
    <col min="6" max="6" width="24.33203125" customWidth="1" outlineLevel="1"/>
    <col min="7" max="7" width="8.6640625" customWidth="1" outlineLevel="1"/>
    <col min="8" max="12" width="10.5" customWidth="1" outlineLevel="1"/>
    <col min="13" max="13" width="8.6640625" customWidth="1" outlineLevel="1"/>
    <col min="14" max="14" width="8.6640625" customWidth="1"/>
  </cols>
  <sheetData>
    <row r="1" spans="2:12" ht="14.25" customHeight="1" x14ac:dyDescent="0.2"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2:12" ht="14.25" customHeight="1" x14ac:dyDescent="0.2">
      <c r="G2" s="2" t="s">
        <v>1</v>
      </c>
      <c r="H2" s="2">
        <v>1</v>
      </c>
      <c r="I2" s="2">
        <f t="shared" ref="I2:L2" si="0">H2+1</f>
        <v>2</v>
      </c>
      <c r="J2" s="2">
        <f t="shared" si="0"/>
        <v>3</v>
      </c>
      <c r="K2" s="2">
        <f t="shared" si="0"/>
        <v>4</v>
      </c>
      <c r="L2" s="2">
        <f t="shared" si="0"/>
        <v>5</v>
      </c>
    </row>
    <row r="3" spans="2:12" ht="14.25" customHeight="1" x14ac:dyDescent="0.2">
      <c r="B3" s="847" t="s">
        <v>2</v>
      </c>
      <c r="C3" s="848"/>
      <c r="E3" s="3" t="s">
        <v>3</v>
      </c>
    </row>
    <row r="4" spans="2:12" ht="14.25" customHeight="1" x14ac:dyDescent="0.2">
      <c r="B4" s="4" t="s">
        <v>4</v>
      </c>
      <c r="C4" s="5">
        <f>Projection!I30</f>
        <v>17.789291226931812</v>
      </c>
      <c r="E4" s="4"/>
      <c r="F4" s="6" t="s">
        <v>5</v>
      </c>
      <c r="G4" s="7">
        <f>$C$24/$C$23</f>
        <v>0</v>
      </c>
      <c r="H4" s="7">
        <f>AVERAGEIF(Monthly!$2:$2,Summary!H$2,Monthly!$6:$6)</f>
        <v>0.18741742541459103</v>
      </c>
      <c r="I4" s="7">
        <f>AVERAGEIF(Monthly!$2:$2,Summary!I$2,Monthly!$6:$6)</f>
        <v>0.52877605725789956</v>
      </c>
      <c r="J4" s="7">
        <f>AVERAGEIF(Monthly!$2:$2,Summary!J$2,Monthly!$6:$6)</f>
        <v>0.81630358211970266</v>
      </c>
      <c r="K4" s="7">
        <f>AVERAGEIF(Monthly!$2:$2,Summary!K$2,Monthly!$6:$6)</f>
        <v>0.92000000000000026</v>
      </c>
      <c r="L4" s="8">
        <f>AVERAGEIF(Monthly!$2:$2,Summary!L$2,Monthly!$6:$6)</f>
        <v>0.917604166666667</v>
      </c>
    </row>
    <row r="5" spans="2:12" ht="14.25" customHeight="1" x14ac:dyDescent="0.2">
      <c r="B5" s="9"/>
      <c r="C5" s="10"/>
      <c r="E5" s="9"/>
      <c r="F5" s="11" t="s">
        <v>6</v>
      </c>
      <c r="G5" s="12">
        <f>$C$4</f>
        <v>17.789291226931812</v>
      </c>
      <c r="H5" s="12">
        <f>AVERAGEIF(Monthly!$2:$2,Summary!H$2,Monthly!$10:$10)</f>
        <v>18.918678391177092</v>
      </c>
      <c r="I5" s="12">
        <f>AVERAGEIF(Monthly!$2:$2,Summary!I$2,Monthly!$10:$10)</f>
        <v>19.607006223153704</v>
      </c>
      <c r="J5" s="12">
        <f>AVERAGEIF(Monthly!$2:$2,Summary!J$2,Monthly!$10:$10)</f>
        <v>20.320377834324464</v>
      </c>
      <c r="K5" s="12">
        <f>AVERAGEIF(Monthly!$2:$2,Summary!K$2,Monthly!$10:$10)</f>
        <v>21.059704405157721</v>
      </c>
      <c r="L5" s="13">
        <f>AVERAGEIF(Monthly!$2:$2,Summary!L$2,Monthly!$10:$10)</f>
        <v>21.812381626859704</v>
      </c>
    </row>
    <row r="6" spans="2:12" ht="14.25" customHeight="1" x14ac:dyDescent="0.2">
      <c r="B6" s="849" t="s">
        <v>7</v>
      </c>
      <c r="C6" s="850"/>
      <c r="E6" s="9"/>
      <c r="F6" s="11" t="s">
        <v>8</v>
      </c>
      <c r="G6" s="12"/>
      <c r="H6" s="12">
        <f>AVERAGEIF(Monthly!$2:$2,Summary!H$2,Monthly!$23:$23)</f>
        <v>19.265520828348674</v>
      </c>
      <c r="I6" s="12">
        <f>AVERAGEIF(Monthly!$2:$2,Summary!I$2,Monthly!$23:$23)</f>
        <v>19.966468003911526</v>
      </c>
      <c r="J6" s="12">
        <f>AVERAGEIF(Monthly!$2:$2,Summary!J$2,Monthly!$23:$23)</f>
        <v>20.41365420714504</v>
      </c>
      <c r="K6" s="12">
        <f>AVERAGEIF(Monthly!$2:$2,Summary!K$2,Monthly!$23:$23)</f>
        <v>20.553837930869026</v>
      </c>
      <c r="L6" s="13">
        <f>AVERAGEIF(Monthly!$2:$2,Summary!L$2,Monthly!$23:$23)</f>
        <v>21.313117068040626</v>
      </c>
    </row>
    <row r="7" spans="2:12" ht="14.25" customHeight="1" x14ac:dyDescent="0.2">
      <c r="B7" s="14">
        <v>1</v>
      </c>
      <c r="C7" s="15">
        <f>Inputs!I19</f>
        <v>0.04</v>
      </c>
      <c r="E7" s="9"/>
      <c r="F7" s="11" t="s">
        <v>9</v>
      </c>
      <c r="G7" s="12"/>
      <c r="H7" s="12">
        <f>AVERAGEIF(Monthly!$2:$2,Summary!H$2,Monthly!$12:$12)</f>
        <v>0</v>
      </c>
      <c r="I7" s="12">
        <f>AVERAGEIF(Monthly!$2:$2,Summary!I$2,Monthly!$12:$12)</f>
        <v>0</v>
      </c>
      <c r="J7" s="12">
        <f>AVERAGEIF(Monthly!$2:$2,Summary!J$2,Monthly!$12:$12)</f>
        <v>0</v>
      </c>
      <c r="K7" s="12">
        <f>AVERAGEIF(Monthly!$2:$2,Summary!K$2,Monthly!$12:$12)</f>
        <v>0</v>
      </c>
      <c r="L7" s="13">
        <f>AVERAGEIF(Monthly!$2:$2,Summary!L$2,Monthly!$12:$12)</f>
        <v>0</v>
      </c>
    </row>
    <row r="8" spans="2:12" ht="14.25" customHeight="1" x14ac:dyDescent="0.2">
      <c r="B8" s="14">
        <v>2</v>
      </c>
      <c r="C8" s="15">
        <f>Inputs!I20</f>
        <v>0.04</v>
      </c>
      <c r="E8" s="9"/>
      <c r="F8" s="11" t="s">
        <v>10</v>
      </c>
      <c r="G8" s="12"/>
      <c r="H8" s="12">
        <f>AVERAGEIF(Monthly!$2:$2,Summary!H$2,Monthly!$13:$13)</f>
        <v>0</v>
      </c>
      <c r="I8" s="12">
        <f>AVERAGEIF(Monthly!$2:$2,Summary!I$2,Monthly!$13:$13)</f>
        <v>0</v>
      </c>
      <c r="J8" s="12">
        <f>AVERAGEIF(Monthly!$2:$2,Summary!J$2,Monthly!$13:$13)</f>
        <v>0</v>
      </c>
      <c r="K8" s="12">
        <f>AVERAGEIF(Monthly!$2:$2,Summary!K$2,Monthly!$13:$13)</f>
        <v>0</v>
      </c>
      <c r="L8" s="13">
        <f>AVERAGEIF(Monthly!$2:$2,Summary!L$2,Monthly!$13:$13)</f>
        <v>0</v>
      </c>
    </row>
    <row r="9" spans="2:12" ht="14.25" customHeight="1" x14ac:dyDescent="0.2">
      <c r="B9" s="14">
        <v>3</v>
      </c>
      <c r="C9" s="15">
        <f>Inputs!I21</f>
        <v>0.04</v>
      </c>
      <c r="E9" s="9"/>
      <c r="G9" s="12"/>
      <c r="H9" s="12"/>
      <c r="I9" s="12"/>
      <c r="J9" s="12"/>
      <c r="K9" s="12"/>
      <c r="L9" s="13"/>
    </row>
    <row r="10" spans="2:12" ht="14.25" customHeight="1" x14ac:dyDescent="0.2">
      <c r="B10" s="14">
        <v>4</v>
      </c>
      <c r="C10" s="15">
        <f>Inputs!I22</f>
        <v>0.04</v>
      </c>
      <c r="E10" s="9"/>
      <c r="F10" s="11" t="s">
        <v>11</v>
      </c>
      <c r="G10" s="12">
        <f>IFERROR($C$25/$C$24*12,0)</f>
        <v>0</v>
      </c>
      <c r="H10" s="12">
        <f t="shared" ref="H10:L10" si="1">H24/(H4*$C$23)</f>
        <v>19.859233071721494</v>
      </c>
      <c r="I10" s="12">
        <f t="shared" si="1"/>
        <v>20.810242046836883</v>
      </c>
      <c r="J10" s="12">
        <f t="shared" si="1"/>
        <v>21.79434210948731</v>
      </c>
      <c r="K10" s="12">
        <f t="shared" si="1"/>
        <v>22.648494719726628</v>
      </c>
      <c r="L10" s="13">
        <f t="shared" si="1"/>
        <v>31.686166967263489</v>
      </c>
    </row>
    <row r="11" spans="2:12" ht="14.25" customHeight="1" x14ac:dyDescent="0.2">
      <c r="B11" s="14">
        <v>5</v>
      </c>
      <c r="C11" s="15">
        <f>Inputs!I23</f>
        <v>0.04</v>
      </c>
      <c r="E11" s="16"/>
      <c r="F11" s="17" t="s">
        <v>12</v>
      </c>
      <c r="G11" s="18"/>
      <c r="H11" s="18">
        <f t="shared" ref="H11:L11" si="2">H27/(H4*$C$23)</f>
        <v>15.346933811469322</v>
      </c>
      <c r="I11" s="18">
        <f t="shared" si="2"/>
        <v>17.945767202680656</v>
      </c>
      <c r="J11" s="18">
        <f t="shared" si="2"/>
        <v>19.927323503867377</v>
      </c>
      <c r="K11" s="18">
        <f t="shared" si="2"/>
        <v>21.735555440316926</v>
      </c>
      <c r="L11" s="19">
        <f t="shared" si="2"/>
        <v>30.474012029119514</v>
      </c>
    </row>
    <row r="12" spans="2:12" ht="14.25" customHeight="1" x14ac:dyDescent="0.2">
      <c r="B12" s="9"/>
      <c r="C12" s="20"/>
    </row>
    <row r="13" spans="2:12" ht="14.25" customHeight="1" x14ac:dyDescent="0.2">
      <c r="B13" s="9" t="s">
        <v>13</v>
      </c>
      <c r="C13" s="21">
        <f>Inputs!C10</f>
        <v>1</v>
      </c>
      <c r="E13" s="3" t="s">
        <v>14</v>
      </c>
    </row>
    <row r="14" spans="2:12" ht="14.25" customHeight="1" x14ac:dyDescent="0.2">
      <c r="B14" s="9"/>
      <c r="C14" s="21"/>
      <c r="E14" s="4"/>
      <c r="F14" s="6" t="s">
        <v>5</v>
      </c>
      <c r="G14" s="7">
        <f>$C$24/$C$23</f>
        <v>0</v>
      </c>
      <c r="H14" s="7">
        <f>SUMIFS(Monthly!$6:$6,Monthly!$3:$3,12*Summary!H$2,Monthly!$2:$2,Summary!H$2)</f>
        <v>0.3299999999999999</v>
      </c>
      <c r="I14" s="7">
        <f>SUMIFS(Monthly!$6:$6,Monthly!$3:$3,12*Summary!I$2,Monthly!$2:$2,Summary!I$2)</f>
        <v>0.67999999999999994</v>
      </c>
      <c r="J14" s="7">
        <f>SUMIFS(Monthly!$6:$6,Monthly!$3:$3,12*Summary!J$2,Monthly!$2:$2,Summary!J$2)</f>
        <v>0.92</v>
      </c>
      <c r="K14" s="7">
        <f>SUMIFS(Monthly!$6:$6,Monthly!$3:$3,12*Summary!K$2,Monthly!$2:$2,Summary!K$2)</f>
        <v>0.90766666666666684</v>
      </c>
      <c r="L14" s="8">
        <f>SUMIFS(Monthly!$6:$6,Monthly!$3:$3,12*Summary!L$2,Monthly!$2:$2,Summary!L$2)</f>
        <v>0.90766666666666684</v>
      </c>
    </row>
    <row r="15" spans="2:12" ht="14.25" customHeight="1" x14ac:dyDescent="0.2">
      <c r="B15" s="9" t="s">
        <v>15</v>
      </c>
      <c r="C15" s="22">
        <f>Inputs!J37</f>
        <v>-0.01</v>
      </c>
      <c r="E15" s="9"/>
      <c r="F15" s="11" t="s">
        <v>16</v>
      </c>
      <c r="G15" s="12">
        <f>Monthly!C10</f>
        <v>17.789291226931812</v>
      </c>
      <c r="H15" s="12">
        <f>SUMIFS(Monthly!$10:$10,Monthly!$3:$3,12*Summary!H$2,Monthly!$2:$2,Summary!H$2)</f>
        <v>18.436527995243551</v>
      </c>
      <c r="I15" s="12">
        <f>SUMIFS(Monthly!$10:$10,Monthly!$3:$3,12*Summary!I$2,Monthly!$2:$2,Summary!I$2)</f>
        <v>19.107313505824479</v>
      </c>
      <c r="J15" s="12">
        <f>SUMIFS(Monthly!$10:$10,Monthly!$3:$3,12*Summary!J$2,Monthly!$2:$2,Summary!J$2)</f>
        <v>19.80250454445936</v>
      </c>
      <c r="K15" s="12">
        <f>SUMIFS(Monthly!$10:$10,Monthly!$3:$3,12*Summary!K$2,Monthly!$2:$2,Summary!K$2)</f>
        <v>20.522989069802922</v>
      </c>
      <c r="L15" s="13">
        <f>SUMIFS(Monthly!$10:$10,Monthly!$3:$3,12*Summary!L$2,Monthly!$2:$2,Summary!L$2)</f>
        <v>21.269687347558161</v>
      </c>
    </row>
    <row r="16" spans="2:12" ht="14.25" customHeight="1" x14ac:dyDescent="0.2">
      <c r="B16" s="9"/>
      <c r="C16" s="20"/>
      <c r="E16" s="9"/>
      <c r="F16" s="11" t="s">
        <v>17</v>
      </c>
      <c r="G16" s="12"/>
      <c r="H16" s="12">
        <f>SUMIFS(Monthly!$23:$23,Monthly!$3:$3,12*Summary!H$2,Monthly!$2:$2,Summary!H$2)</f>
        <v>18.774531008489681</v>
      </c>
      <c r="I16" s="12">
        <f>SUMIFS(Monthly!$23:$23,Monthly!$3:$3,12*Summary!I$2,Monthly!$2:$2,Summary!I$2)</f>
        <v>19.457614253431259</v>
      </c>
      <c r="J16" s="12">
        <f>SUMIFS(Monthly!$23:$23,Monthly!$3:$3,12*Summary!J$2,Monthly!$2:$2,Summary!J$2)</f>
        <v>19.333655419769787</v>
      </c>
      <c r="K16" s="12">
        <f>SUMIFS(Monthly!$23:$23,Monthly!$3:$3,12*Summary!K$2,Monthly!$2:$2,Summary!K$2)</f>
        <v>20.148213612265018</v>
      </c>
      <c r="L16" s="13">
        <f>SUMIFS(Monthly!$23:$23,Monthly!$3:$3,12*Summary!L$2,Monthly!$2:$2,Summary!L$2)</f>
        <v>20.881276245244692</v>
      </c>
    </row>
    <row r="17" spans="2:14" ht="14.25" customHeight="1" x14ac:dyDescent="0.2">
      <c r="B17" s="9" t="s">
        <v>18</v>
      </c>
      <c r="C17" s="23" t="b">
        <v>0</v>
      </c>
      <c r="E17" s="9"/>
      <c r="F17" s="11" t="s">
        <v>9</v>
      </c>
      <c r="G17" s="12">
        <f>Monthly!C12</f>
        <v>0</v>
      </c>
      <c r="H17" s="12">
        <f>SUMIFS(Monthly!$12:$12,Monthly!$3:$3,12*Summary!H$2,Monthly!$2:$2,Summary!H$2)</f>
        <v>0</v>
      </c>
      <c r="I17" s="12">
        <f>SUMIFS(Monthly!$12:$12,Monthly!$3:$3,12*Summary!I$2,Monthly!$2:$2,Summary!I$2)</f>
        <v>0</v>
      </c>
      <c r="J17" s="12">
        <f>SUMIFS(Monthly!$12:$12,Monthly!$3:$3,12*Summary!J$2,Monthly!$2:$2,Summary!J$2)</f>
        <v>0</v>
      </c>
      <c r="K17" s="12">
        <f>SUMIFS(Monthly!$12:$12,Monthly!$3:$3,12*Summary!K$2,Monthly!$2:$2,Summary!K$2)</f>
        <v>0</v>
      </c>
      <c r="L17" s="13">
        <f>SUMIFS(Monthly!$12:$12,Monthly!$3:$3,12*Summary!L$2,Monthly!$2:$2,Summary!L$2)</f>
        <v>0</v>
      </c>
    </row>
    <row r="18" spans="2:14" ht="14.25" customHeight="1" x14ac:dyDescent="0.2">
      <c r="B18" s="9" t="s">
        <v>19</v>
      </c>
      <c r="C18" s="24">
        <v>0.25</v>
      </c>
      <c r="E18" s="9"/>
      <c r="F18" s="11" t="s">
        <v>10</v>
      </c>
      <c r="G18" s="12">
        <f>Monthly!C13</f>
        <v>0</v>
      </c>
      <c r="H18" s="12">
        <f>SUMIFS(Monthly!$13:$13,Monthly!$3:$3,12*Summary!H$2,Monthly!$2:$2,Summary!H$2)</f>
        <v>0</v>
      </c>
      <c r="I18" s="12">
        <f>SUMIFS(Monthly!$13:$13,Monthly!$3:$3,12*Summary!I$2,Monthly!$2:$2,Summary!I$2)</f>
        <v>0</v>
      </c>
      <c r="J18" s="12">
        <f>SUMIFS(Monthly!$13:$13,Monthly!$3:$3,12*Summary!J$2,Monthly!$2:$2,Summary!J$2)</f>
        <v>0</v>
      </c>
      <c r="K18" s="12">
        <f>SUMIFS(Monthly!$13:$13,Monthly!$3:$3,12*Summary!K$2,Monthly!$2:$2,Summary!K$2)</f>
        <v>0</v>
      </c>
      <c r="L18" s="13">
        <f>SUMIFS(Monthly!$13:$13,Monthly!$3:$3,12*Summary!L$2,Monthly!$2:$2,Summary!L$2)</f>
        <v>0</v>
      </c>
    </row>
    <row r="19" spans="2:14" ht="14.25" customHeight="1" x14ac:dyDescent="0.2">
      <c r="B19" s="9" t="s">
        <v>20</v>
      </c>
      <c r="C19" s="24">
        <v>-5.0000000000000001E-3</v>
      </c>
      <c r="E19" s="9"/>
      <c r="G19" s="12"/>
      <c r="H19" s="12"/>
      <c r="I19" s="12"/>
      <c r="J19" s="12"/>
      <c r="K19" s="12"/>
      <c r="L19" s="13"/>
      <c r="N19" s="25"/>
    </row>
    <row r="20" spans="2:14" ht="14.25" customHeight="1" x14ac:dyDescent="0.2">
      <c r="B20" s="16" t="s">
        <v>21</v>
      </c>
      <c r="C20" s="26">
        <v>0</v>
      </c>
      <c r="E20" s="9"/>
      <c r="F20" s="11" t="s">
        <v>11</v>
      </c>
      <c r="G20" s="12">
        <f>IFERROR($C$25/$C$24*12,0)</f>
        <v>0</v>
      </c>
      <c r="H20" s="12">
        <f>SUMIFS(Monthly!$40:$40,Monthly!$3:$3,12*Summary!H$2,Monthly!$2:$2,Summary!H$2)</f>
        <v>20.160365481173756</v>
      </c>
      <c r="I20" s="12">
        <f>SUMIFS(Monthly!$40:$40,Monthly!$3:$3,12*Summary!I$2,Monthly!$2:$2,Summary!I$2)</f>
        <v>21.209467319939311</v>
      </c>
      <c r="J20" s="12">
        <f>SUMIFS(Monthly!$40:$40,Monthly!$3:$3,12*Summary!J$2,Monthly!$2:$2,Summary!J$2)</f>
        <v>22.057439713871041</v>
      </c>
      <c r="K20" s="12">
        <f>SUMIFS(Monthly!$40:$40,Monthly!$3:$3,12*Summary!K$2,Monthly!$2:$2,Summary!K$2)</f>
        <v>23.088462026396073</v>
      </c>
      <c r="L20" s="13">
        <f>SUMIFS(Monthly!$40:$40,Monthly!$3:$3,12*Summary!L$2,Monthly!$2:$2,Summary!L$2)</f>
        <v>24.114293174370324</v>
      </c>
      <c r="N20" s="25"/>
    </row>
    <row r="21" spans="2:14" ht="14.25" customHeight="1" x14ac:dyDescent="0.2">
      <c r="E21" s="16"/>
      <c r="F21" s="17" t="s">
        <v>12</v>
      </c>
      <c r="G21" s="18"/>
      <c r="H21" s="18">
        <f>SUMIFS(Monthly!$41:$41,Monthly!$3:$3,12*Summary!H$2,Monthly!$2:$2,Summary!H$2)</f>
        <v>17.465949537497107</v>
      </c>
      <c r="I21" s="18">
        <f>SUMIFS(Monthly!$41:$41,Monthly!$3:$3,12*Summary!I$2,Monthly!$2:$2,Summary!I$2)</f>
        <v>18.996297356353054</v>
      </c>
      <c r="J21" s="18">
        <f>SUMIFS(Monthly!$41:$41,Monthly!$3:$3,12*Summary!J$2,Monthly!$2:$2,Summary!J$2)</f>
        <v>21.002753345826136</v>
      </c>
      <c r="K21" s="18">
        <f>SUMIFS(Monthly!$41:$41,Monthly!$3:$3,12*Summary!K$2,Monthly!$2:$2,Summary!K$2)</f>
        <v>22.181987109294838</v>
      </c>
      <c r="L21" s="19">
        <f>SUMIFS(Monthly!$41:$41,Monthly!$3:$3,12*Summary!L$2,Monthly!$2:$2,Summary!L$2)</f>
        <v>23.213143231399552</v>
      </c>
    </row>
    <row r="22" spans="2:14" ht="14.25" customHeight="1" x14ac:dyDescent="0.2">
      <c r="B22" s="847" t="s">
        <v>22</v>
      </c>
      <c r="C22" s="848"/>
    </row>
    <row r="23" spans="2:14" ht="14.25" customHeight="1" x14ac:dyDescent="0.2">
      <c r="B23" s="4" t="s">
        <v>23</v>
      </c>
      <c r="C23" s="27">
        <f>Inputs!C13-Inputs!C23</f>
        <v>105807</v>
      </c>
      <c r="E23" s="3" t="s">
        <v>24</v>
      </c>
    </row>
    <row r="24" spans="2:14" ht="14.25" customHeight="1" x14ac:dyDescent="0.2">
      <c r="B24" s="9" t="s">
        <v>25</v>
      </c>
      <c r="C24" s="28">
        <f>Inputs!C18</f>
        <v>0</v>
      </c>
      <c r="F24" s="11" t="s">
        <v>26</v>
      </c>
      <c r="H24" s="29">
        <f>SUMIF(Monthly!$2:$2,Summary!H$2,Monthly!34:34)</f>
        <v>393810.09179682535</v>
      </c>
      <c r="I24" s="29">
        <f>SUMIF(Monthly!$2:$2,Summary!I$2,Monthly!34:34)</f>
        <v>1164295.7566077097</v>
      </c>
      <c r="J24" s="29">
        <f>SUMIF(Monthly!$2:$2,Summary!J$2,Monthly!34:34)</f>
        <v>1882391.1262851316</v>
      </c>
      <c r="K24" s="29">
        <f>SUMIF(Monthly!$2:$2,Summary!K$2,Monthly!34:34)</f>
        <v>2204659.7383453068</v>
      </c>
      <c r="L24" s="29">
        <f>SUMIF(Monthly!$2:$2,Summary!L$2,Monthly!34:34)</f>
        <v>3076376.4922396811</v>
      </c>
    </row>
    <row r="25" spans="2:14" ht="14.25" customHeight="1" x14ac:dyDescent="0.2">
      <c r="B25" s="16" t="s">
        <v>27</v>
      </c>
      <c r="C25" s="30">
        <f>Inputs!C20</f>
        <v>0</v>
      </c>
      <c r="F25" s="11" t="s">
        <v>28</v>
      </c>
      <c r="H25" s="29">
        <f>SUMIF(Monthly!$2:$2,Summary!H$2,Monthly!35:35)</f>
        <v>-85541.134230593176</v>
      </c>
      <c r="I25" s="29">
        <f>SUMIF(Monthly!$2:$2,Summary!I$2,Monthly!35:35)</f>
        <v>-148619.27765706152</v>
      </c>
      <c r="J25" s="29">
        <f>SUMIF(Monthly!$2:$2,Summary!J$2,Monthly!35:35)</f>
        <v>-142431.66773892601</v>
      </c>
      <c r="K25" s="29">
        <f>SUMIF(Monthly!$2:$2,Summary!K$2,Monthly!35:35)</f>
        <v>-66821.139646129726</v>
      </c>
      <c r="L25" s="29">
        <f>SUMIF(Monthly!$2:$2,Summary!L$2,Monthly!35:35)</f>
        <v>-86923.078062145782</v>
      </c>
    </row>
    <row r="26" spans="2:14" ht="14.25" customHeight="1" x14ac:dyDescent="0.2">
      <c r="F26" s="11" t="s">
        <v>29</v>
      </c>
      <c r="H26" s="29">
        <f>SUMIF(Monthly!$2:$2,Summary!H$2,Monthly!36:36)</f>
        <v>-3938.1009179682537</v>
      </c>
      <c r="I26" s="29">
        <f>SUMIF(Monthly!$2:$2,Summary!I$2,Monthly!36:36)</f>
        <v>-11642.957566077095</v>
      </c>
      <c r="J26" s="29">
        <f>SUMIF(Monthly!$2:$2,Summary!J$2,Monthly!36:36)</f>
        <v>-18823.911262851318</v>
      </c>
      <c r="K26" s="29">
        <f>SUMIF(Monthly!$2:$2,Summary!K$2,Monthly!36:36)</f>
        <v>-22046.597383453071</v>
      </c>
      <c r="L26" s="29">
        <f>SUMIF(Monthly!$2:$2,Summary!L$2,Monthly!36:36)</f>
        <v>-30763.764922396811</v>
      </c>
    </row>
    <row r="27" spans="2:14" ht="14.25" customHeight="1" x14ac:dyDescent="0.2">
      <c r="E27" s="31"/>
      <c r="F27" s="31" t="s">
        <v>30</v>
      </c>
      <c r="G27" s="31"/>
      <c r="H27" s="32">
        <f>SUMIF(Monthly!$2:$2,Summary!H$2,Monthly!37:37)</f>
        <v>304330.85664826393</v>
      </c>
      <c r="I27" s="32">
        <f>SUMIF(Monthly!$2:$2,Summary!I$2,Monthly!37:37)</f>
        <v>1004033.521384571</v>
      </c>
      <c r="J27" s="32">
        <f>SUMIF(Monthly!$2:$2,Summary!J$2,Monthly!37:37)</f>
        <v>1721135.547283354</v>
      </c>
      <c r="K27" s="32">
        <f>SUMIF(Monthly!$2:$2,Summary!K$2,Monthly!37:37)</f>
        <v>2115792.0013157246</v>
      </c>
      <c r="L27" s="32">
        <f>SUMIF(Monthly!$2:$2,Summary!L$2,Monthly!37:37)</f>
        <v>2958689.6492551374</v>
      </c>
    </row>
    <row r="28" spans="2:14" ht="14.25" customHeight="1" x14ac:dyDescent="0.2"/>
    <row r="29" spans="2:14" ht="14.25" customHeight="1" x14ac:dyDescent="0.2">
      <c r="E29" s="4"/>
      <c r="F29" s="6" t="s">
        <v>31</v>
      </c>
      <c r="G29" s="6"/>
      <c r="H29" s="7">
        <f t="shared" ref="H29:L29" si="3">IFERROR(H20/G20-1,0)</f>
        <v>0</v>
      </c>
      <c r="I29" s="7">
        <f t="shared" si="3"/>
        <v>5.2037838289451299E-2</v>
      </c>
      <c r="J29" s="7">
        <f t="shared" si="3"/>
        <v>3.9980843513902853E-2</v>
      </c>
      <c r="K29" s="7">
        <f t="shared" si="3"/>
        <v>4.6742610470636992E-2</v>
      </c>
      <c r="L29" s="8">
        <f t="shared" si="3"/>
        <v>4.4430466906000943E-2</v>
      </c>
    </row>
    <row r="30" spans="2:14" ht="14.25" customHeight="1" x14ac:dyDescent="0.2">
      <c r="E30" s="9"/>
      <c r="F30" s="11" t="s">
        <v>32</v>
      </c>
      <c r="H30" s="25">
        <f t="shared" ref="H30:L30" si="4">IFERROR(H10/G10-1,0)</f>
        <v>0</v>
      </c>
      <c r="I30" s="25">
        <f t="shared" si="4"/>
        <v>4.7887497552439484E-2</v>
      </c>
      <c r="J30" s="25">
        <f t="shared" si="4"/>
        <v>4.7289217512970216E-2</v>
      </c>
      <c r="K30" s="25">
        <f t="shared" si="4"/>
        <v>3.9191484007562449E-2</v>
      </c>
      <c r="L30" s="24">
        <f t="shared" si="4"/>
        <v>0.39904074683008095</v>
      </c>
    </row>
    <row r="31" spans="2:14" ht="14.25" customHeight="1" x14ac:dyDescent="0.2">
      <c r="E31" s="9"/>
      <c r="F31" s="11" t="s">
        <v>33</v>
      </c>
      <c r="H31" s="25">
        <f t="shared" ref="H31:L31" si="5">IFERROR(H11/G11-1,0)</f>
        <v>0</v>
      </c>
      <c r="I31" s="25">
        <f t="shared" si="5"/>
        <v>0.16933893265827016</v>
      </c>
      <c r="J31" s="25">
        <f t="shared" si="5"/>
        <v>0.11041914668829134</v>
      </c>
      <c r="K31" s="25">
        <f t="shared" si="5"/>
        <v>9.0741334936355944E-2</v>
      </c>
      <c r="L31" s="24">
        <f t="shared" si="5"/>
        <v>0.40203511765766842</v>
      </c>
    </row>
    <row r="32" spans="2:14" ht="14.25" customHeight="1" x14ac:dyDescent="0.2">
      <c r="E32" s="16"/>
      <c r="F32" s="17" t="s">
        <v>34</v>
      </c>
      <c r="G32" s="17"/>
      <c r="H32" s="33">
        <f t="shared" ref="H32:L32" si="6">H25/H24</f>
        <v>-0.21721417508702542</v>
      </c>
      <c r="I32" s="33">
        <f t="shared" si="6"/>
        <v>-0.12764735833967</v>
      </c>
      <c r="J32" s="33">
        <f t="shared" si="6"/>
        <v>-7.5665288552444782E-2</v>
      </c>
      <c r="K32" s="33">
        <f t="shared" si="6"/>
        <v>-3.0309048822328429E-2</v>
      </c>
      <c r="L32" s="26">
        <f t="shared" si="6"/>
        <v>-2.8255019592502331E-2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3:C3"/>
    <mergeCell ref="B6:C6"/>
    <mergeCell ref="B22:C22"/>
  </mergeCells>
  <pageMargins left="1" right="1" top="1" bottom="1" header="0" footer="0"/>
  <pageSetup paperSize="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showGridLines="0" workbookViewId="0"/>
  </sheetViews>
  <sheetFormatPr baseColWidth="10" defaultColWidth="14.5" defaultRowHeight="15" customHeight="1" x14ac:dyDescent="0.2"/>
  <cols>
    <col min="1" max="1" width="2.5" customWidth="1"/>
    <col min="2" max="2" width="41.5" customWidth="1"/>
    <col min="3" max="3" width="21.33203125" customWidth="1"/>
    <col min="4" max="4" width="3.5" customWidth="1"/>
    <col min="5" max="5" width="15" customWidth="1"/>
    <col min="6" max="6" width="20.5" customWidth="1"/>
    <col min="7" max="8" width="12.5" customWidth="1"/>
    <col min="9" max="9" width="12.33203125" customWidth="1"/>
    <col min="10" max="10" width="10.5" customWidth="1"/>
    <col min="11" max="11" width="3.5" customWidth="1"/>
    <col min="12" max="12" width="8.33203125" customWidth="1"/>
    <col min="13" max="13" width="27.6640625" customWidth="1"/>
    <col min="14" max="14" width="11" customWidth="1"/>
    <col min="15" max="16" width="12.5" customWidth="1"/>
    <col min="17" max="17" width="8.6640625" customWidth="1"/>
    <col min="18" max="18" width="12.33203125" customWidth="1"/>
    <col min="19" max="19" width="3.5" customWidth="1"/>
    <col min="20" max="20" width="22.6640625" customWidth="1"/>
    <col min="21" max="21" width="14.5" customWidth="1"/>
    <col min="22" max="22" width="12.5" customWidth="1"/>
    <col min="23" max="23" width="9" customWidth="1"/>
    <col min="24" max="24" width="12.33203125" customWidth="1"/>
    <col min="25" max="25" width="11.6640625" customWidth="1"/>
    <col min="26" max="26" width="11.5" customWidth="1"/>
    <col min="27" max="27" width="14.5" customWidth="1"/>
    <col min="28" max="28" width="12.6640625" customWidth="1"/>
    <col min="29" max="31" width="8.6640625" customWidth="1"/>
    <col min="32" max="32" width="12.33203125" customWidth="1"/>
  </cols>
  <sheetData>
    <row r="1" spans="1:32" ht="14.25" customHeight="1" x14ac:dyDescent="0.2">
      <c r="D1" s="34"/>
      <c r="K1" s="34"/>
      <c r="L1" s="34"/>
      <c r="M1" s="34"/>
      <c r="S1" s="35"/>
    </row>
    <row r="2" spans="1:32" ht="14.25" customHeight="1" x14ac:dyDescent="0.2">
      <c r="B2" s="851" t="s">
        <v>35</v>
      </c>
      <c r="C2" s="848"/>
      <c r="D2" s="34"/>
      <c r="E2" s="851" t="s">
        <v>36</v>
      </c>
      <c r="F2" s="852"/>
      <c r="G2" s="852"/>
      <c r="H2" s="852"/>
      <c r="I2" s="852"/>
      <c r="J2" s="848"/>
      <c r="L2" s="851" t="s">
        <v>37</v>
      </c>
      <c r="M2" s="852"/>
      <c r="N2" s="852"/>
      <c r="O2" s="852"/>
      <c r="P2" s="852"/>
      <c r="Q2" s="852"/>
      <c r="R2" s="848"/>
      <c r="S2" s="35"/>
      <c r="T2" s="851" t="s">
        <v>38</v>
      </c>
      <c r="U2" s="852"/>
      <c r="V2" s="848"/>
      <c r="X2" s="36" t="s">
        <v>39</v>
      </c>
      <c r="Y2" s="36" t="s">
        <v>40</v>
      </c>
      <c r="Z2" s="36" t="s">
        <v>41</v>
      </c>
    </row>
    <row r="3" spans="1:32" ht="14.25" customHeight="1" x14ac:dyDescent="0.2">
      <c r="B3" s="37" t="s">
        <v>42</v>
      </c>
      <c r="C3" s="38" t="s">
        <v>43</v>
      </c>
      <c r="D3" s="34"/>
      <c r="E3" s="39" t="s">
        <v>44</v>
      </c>
      <c r="F3" s="40"/>
      <c r="G3" s="41"/>
      <c r="H3" s="41"/>
      <c r="I3" s="41"/>
      <c r="J3" s="42"/>
      <c r="L3" s="39" t="s">
        <v>45</v>
      </c>
      <c r="M3" s="41"/>
      <c r="N3" s="41"/>
      <c r="O3" s="43" t="s">
        <v>46</v>
      </c>
      <c r="P3" s="43" t="s">
        <v>47</v>
      </c>
      <c r="Q3" s="43" t="s">
        <v>48</v>
      </c>
      <c r="R3" s="44" t="s">
        <v>49</v>
      </c>
      <c r="S3" s="35"/>
      <c r="T3" s="4"/>
      <c r="U3" s="45" t="s">
        <v>50</v>
      </c>
      <c r="V3" s="46" t="s">
        <v>51</v>
      </c>
      <c r="X3" s="47" t="s">
        <v>52</v>
      </c>
      <c r="Y3" s="48">
        <v>30.05</v>
      </c>
      <c r="Z3" s="48">
        <v>25.38</v>
      </c>
      <c r="AE3" s="49"/>
    </row>
    <row r="4" spans="1:32" ht="14.25" customHeight="1" x14ac:dyDescent="0.2">
      <c r="B4" s="37" t="s">
        <v>53</v>
      </c>
      <c r="C4" s="38" t="s">
        <v>54</v>
      </c>
      <c r="D4" s="34"/>
      <c r="E4" s="37" t="s">
        <v>55</v>
      </c>
      <c r="G4" s="50">
        <v>0</v>
      </c>
      <c r="I4" s="51">
        <f>(Inputs!C18-Inputs!C24)/(Inputs!C13-Inputs!C23)</f>
        <v>0</v>
      </c>
      <c r="J4" s="20"/>
      <c r="L4" s="52"/>
      <c r="M4" s="11" t="s">
        <v>56</v>
      </c>
      <c r="O4" s="53">
        <f>ROUNDDOWN($U$8/40,0)</f>
        <v>1</v>
      </c>
      <c r="P4" s="54">
        <v>0</v>
      </c>
      <c r="Q4" s="29">
        <f t="shared" ref="Q4:Q7" si="0">IF(P4=0,O4,P4)</f>
        <v>1</v>
      </c>
      <c r="R4" s="20"/>
      <c r="S4" s="35"/>
      <c r="T4" s="9" t="s">
        <v>57</v>
      </c>
      <c r="U4" s="53">
        <f>IF(Inputs!$C$14&lt;300,64,64+(INT(Inputs!$C$14/100-2)*8))</f>
        <v>96</v>
      </c>
      <c r="V4" s="20"/>
      <c r="X4" s="47" t="s">
        <v>58</v>
      </c>
      <c r="Y4" s="48">
        <v>24.55</v>
      </c>
      <c r="Z4" s="48">
        <v>20.43</v>
      </c>
      <c r="AD4" s="49"/>
      <c r="AE4" s="55"/>
    </row>
    <row r="5" spans="1:32" ht="14.25" customHeight="1" x14ac:dyDescent="0.2">
      <c r="B5" s="37" t="s">
        <v>59</v>
      </c>
      <c r="C5" s="38" t="s">
        <v>60</v>
      </c>
      <c r="D5" s="34"/>
      <c r="E5" s="37"/>
      <c r="F5" s="56"/>
      <c r="G5" s="50"/>
      <c r="H5" s="57" t="s">
        <v>61</v>
      </c>
      <c r="I5" s="58" t="s">
        <v>62</v>
      </c>
      <c r="J5" s="59" t="s">
        <v>63</v>
      </c>
      <c r="L5" s="9">
        <v>6112</v>
      </c>
      <c r="M5" s="11" t="s">
        <v>64</v>
      </c>
      <c r="N5" s="11" t="s">
        <v>65</v>
      </c>
      <c r="P5" s="60">
        <v>822</v>
      </c>
      <c r="Q5" s="35">
        <f t="shared" si="0"/>
        <v>822</v>
      </c>
      <c r="R5" s="28">
        <f>Projection!$BW$85</f>
        <v>9864</v>
      </c>
      <c r="S5" s="35"/>
      <c r="T5" s="9" t="s">
        <v>66</v>
      </c>
      <c r="U5" s="61">
        <v>40</v>
      </c>
      <c r="V5" s="62">
        <f>Y9</f>
        <v>28.846153846153847</v>
      </c>
      <c r="X5" s="47" t="s">
        <v>67</v>
      </c>
      <c r="Y5" s="48">
        <v>19.82</v>
      </c>
      <c r="Z5" s="48">
        <v>16</v>
      </c>
      <c r="AD5" s="49"/>
      <c r="AE5" s="63"/>
    </row>
    <row r="6" spans="1:32" ht="14.25" customHeight="1" x14ac:dyDescent="0.2">
      <c r="B6" s="37" t="s">
        <v>68</v>
      </c>
      <c r="C6" s="64">
        <v>10940</v>
      </c>
      <c r="D6" s="34"/>
      <c r="E6" s="65"/>
      <c r="F6" s="56" t="str">
        <f t="shared" ref="F6:F10" si="1">IF(G6&lt;$I$12,"Occ @ End of Year:","Average Occ")</f>
        <v>Occ @ End of Year:</v>
      </c>
      <c r="G6" s="1">
        <v>1</v>
      </c>
      <c r="H6" s="29">
        <f>Projection!U25</f>
        <v>34916.30999999999</v>
      </c>
      <c r="I6" s="66">
        <v>0.33</v>
      </c>
      <c r="J6" s="67">
        <f>HLOOKUP($E19,Projection!$BW$7:$CC$24,18,FALSE)</f>
        <v>0.18741742541459103</v>
      </c>
      <c r="L6" s="9">
        <v>6130</v>
      </c>
      <c r="M6" s="11" t="s">
        <v>69</v>
      </c>
      <c r="N6" s="11" t="s">
        <v>70</v>
      </c>
      <c r="O6" s="25" t="str">
        <f>IFERROR(SUMIF('Expense Comp Data'!$B:$B,Inputs!$L6,'Expense Comp Data'!$I:$I)/SUMIF('Expense Comp Data'!$B:$B,6100,'Expense Comp Data'!$I:$I),"No Comps")</f>
        <v>No Comps</v>
      </c>
      <c r="P6" s="66">
        <v>0.01</v>
      </c>
      <c r="Q6" s="25">
        <f t="shared" si="0"/>
        <v>0.01</v>
      </c>
      <c r="R6" s="28">
        <f>Projection!BW87</f>
        <v>601.33846153846139</v>
      </c>
      <c r="S6" s="35"/>
      <c r="T6" s="9" t="s">
        <v>71</v>
      </c>
      <c r="U6" s="61">
        <v>0</v>
      </c>
      <c r="V6" s="62">
        <f>Z9</f>
        <v>21.634615384615383</v>
      </c>
      <c r="AD6" s="49"/>
      <c r="AE6" s="68"/>
    </row>
    <row r="7" spans="1:32" ht="14.25" customHeight="1" x14ac:dyDescent="0.2">
      <c r="B7" s="37" t="s">
        <v>72</v>
      </c>
      <c r="C7" s="38" t="b">
        <v>1</v>
      </c>
      <c r="D7" s="34"/>
      <c r="E7" s="65"/>
      <c r="F7" s="56" t="str">
        <f t="shared" si="1"/>
        <v>Occ @ End of Year:</v>
      </c>
      <c r="G7" s="1">
        <v>2</v>
      </c>
      <c r="H7" s="29">
        <f>Projection!AG25</f>
        <v>71948.759999999995</v>
      </c>
      <c r="I7" s="66">
        <v>0.68</v>
      </c>
      <c r="J7" s="67">
        <f>HLOOKUP($E20,Projection!$BW$7:$CC$24,18,FALSE)</f>
        <v>0.52877605725789956</v>
      </c>
      <c r="L7" s="9">
        <v>6283</v>
      </c>
      <c r="M7" s="11" t="s">
        <v>73</v>
      </c>
      <c r="N7" s="11" t="s">
        <v>70</v>
      </c>
      <c r="O7" s="25" t="str">
        <f>IFERROR(SUMIF('Expense Comp Data'!$B:$B,Inputs!$L7,'Expense Comp Data'!$I:$I)/SUMIF('Expense Comp Data'!$B:$B,6100,'Expense Comp Data'!$I:$I),"No Comps")</f>
        <v>No Comps</v>
      </c>
      <c r="P7" s="66">
        <v>0.01</v>
      </c>
      <c r="Q7" s="25">
        <f t="shared" si="0"/>
        <v>0.01</v>
      </c>
      <c r="R7" s="28">
        <f>Projection!BW89</f>
        <v>595.38461538461547</v>
      </c>
      <c r="S7" s="35"/>
      <c r="T7" s="9" t="s">
        <v>74</v>
      </c>
      <c r="U7" s="61">
        <v>0</v>
      </c>
      <c r="V7" s="62"/>
      <c r="X7" s="36" t="s">
        <v>39</v>
      </c>
      <c r="Y7" s="36" t="s">
        <v>40</v>
      </c>
      <c r="Z7" s="36" t="s">
        <v>41</v>
      </c>
      <c r="AA7" s="36" t="s">
        <v>75</v>
      </c>
      <c r="AB7" s="69"/>
    </row>
    <row r="8" spans="1:32" ht="14.25" customHeight="1" x14ac:dyDescent="0.2">
      <c r="B8" s="37" t="s">
        <v>76</v>
      </c>
      <c r="C8" s="70">
        <v>46053</v>
      </c>
      <c r="D8" s="34"/>
      <c r="E8" s="65"/>
      <c r="F8" s="56" t="str">
        <f t="shared" si="1"/>
        <v>Occ @ End of Year:</v>
      </c>
      <c r="G8" s="1">
        <v>3</v>
      </c>
      <c r="H8" s="29">
        <f>Projection!AS25</f>
        <v>97342.44</v>
      </c>
      <c r="I8" s="66">
        <v>0.92</v>
      </c>
      <c r="J8" s="67">
        <f>HLOOKUP($E21,Projection!$BW$7:$CC$24,18,FALSE)</f>
        <v>0.81630358211970266</v>
      </c>
      <c r="L8" s="16"/>
      <c r="M8" s="17"/>
      <c r="N8" s="17"/>
      <c r="O8" s="33"/>
      <c r="P8" s="17"/>
      <c r="Q8" s="33"/>
      <c r="R8" s="30">
        <f>Projection!BW90</f>
        <v>71789.953846153818</v>
      </c>
      <c r="S8" s="35"/>
      <c r="T8" s="9" t="s">
        <v>77</v>
      </c>
      <c r="U8" s="71">
        <f>SUM(U5:U7)</f>
        <v>40</v>
      </c>
      <c r="V8" s="72">
        <f>SUMPRODUCT($V$5:$V$7,$U$5:$U$7)/$U$8</f>
        <v>28.846153846153847</v>
      </c>
      <c r="X8" s="47" t="s">
        <v>78</v>
      </c>
      <c r="Y8" s="48">
        <v>60000</v>
      </c>
      <c r="Z8" s="48">
        <v>45000</v>
      </c>
      <c r="AA8" s="48">
        <v>50000</v>
      </c>
    </row>
    <row r="9" spans="1:32" ht="14.25" customHeight="1" x14ac:dyDescent="0.2">
      <c r="B9" s="37" t="s">
        <v>79</v>
      </c>
      <c r="C9" s="70">
        <f>C8</f>
        <v>46053</v>
      </c>
      <c r="D9" s="34"/>
      <c r="E9" s="65"/>
      <c r="F9" s="56" t="str">
        <f t="shared" si="1"/>
        <v>Average Occ</v>
      </c>
      <c r="G9" s="1">
        <v>4</v>
      </c>
      <c r="H9" s="29">
        <f>Projection!BE25</f>
        <v>96037.487000000023</v>
      </c>
      <c r="I9" s="66">
        <v>0.92</v>
      </c>
      <c r="J9" s="67">
        <f>HLOOKUP($E22,Projection!$BW$7:$CC$24,18,FALSE)</f>
        <v>0.92000000000000026</v>
      </c>
      <c r="L9" s="39" t="s">
        <v>80</v>
      </c>
      <c r="M9" s="41"/>
      <c r="N9" s="41"/>
      <c r="O9" s="43" t="s">
        <v>46</v>
      </c>
      <c r="P9" s="43" t="s">
        <v>47</v>
      </c>
      <c r="Q9" s="43" t="s">
        <v>48</v>
      </c>
      <c r="R9" s="44" t="s">
        <v>81</v>
      </c>
      <c r="S9" s="35"/>
      <c r="T9" s="9"/>
      <c r="V9" s="20"/>
      <c r="X9" s="47" t="s">
        <v>82</v>
      </c>
      <c r="Y9" s="48">
        <f t="shared" ref="Y9:AA9" si="2">Y8/2080</f>
        <v>28.846153846153847</v>
      </c>
      <c r="Z9" s="48">
        <f t="shared" si="2"/>
        <v>21.634615384615383</v>
      </c>
      <c r="AA9" s="48">
        <f t="shared" si="2"/>
        <v>24.03846153846154</v>
      </c>
    </row>
    <row r="10" spans="1:32" ht="14.25" customHeight="1" x14ac:dyDescent="0.2">
      <c r="B10" s="73" t="s">
        <v>83</v>
      </c>
      <c r="C10" s="74">
        <v>1</v>
      </c>
      <c r="D10" s="34"/>
      <c r="E10" s="65"/>
      <c r="F10" s="56" t="str">
        <f t="shared" si="1"/>
        <v>Average Occ</v>
      </c>
      <c r="G10" s="1">
        <v>5</v>
      </c>
      <c r="H10" s="29">
        <f>Projection!BU25</f>
        <v>96883.943000000028</v>
      </c>
      <c r="I10" s="66">
        <v>0.92</v>
      </c>
      <c r="J10" s="67">
        <f>HLOOKUP($E23,Projection!$BW$7:$CC$24,18,FALSE)</f>
        <v>0.92000000000000026</v>
      </c>
      <c r="L10" s="9">
        <v>6150</v>
      </c>
      <c r="M10" s="11" t="s">
        <v>84</v>
      </c>
      <c r="N10" s="11" t="s">
        <v>85</v>
      </c>
      <c r="O10" s="75" t="str">
        <f>IFERROR(SUMIF('Expense Comp Data'!$B:$B,Inputs!$L10,'Expense Comp Data'!$I:$I)/SUMIF('Expense Comp Data'!$B:$B,"SqFoot_Total",'Expense Comp Data'!$I:$I),"No Comps")</f>
        <v>No Comps</v>
      </c>
      <c r="P10" s="76">
        <v>0.11</v>
      </c>
      <c r="Q10" s="75">
        <f t="shared" ref="Q10:Q17" si="3">IF(P10=0,O10,P10)</f>
        <v>0.11</v>
      </c>
      <c r="R10" s="77">
        <f>Projection!BW93</f>
        <v>11638.769999999997</v>
      </c>
      <c r="S10" s="35"/>
      <c r="T10" s="78" t="s">
        <v>86</v>
      </c>
      <c r="U10" s="79" t="s">
        <v>87</v>
      </c>
      <c r="V10" s="80">
        <f>Projection!BW84</f>
        <v>59538.461538461532</v>
      </c>
    </row>
    <row r="11" spans="1:32" ht="14.25" customHeight="1" x14ac:dyDescent="0.2">
      <c r="D11" s="34"/>
      <c r="E11" s="9"/>
      <c r="J11" s="20"/>
      <c r="L11" s="9">
        <v>6158</v>
      </c>
      <c r="M11" s="11" t="s">
        <v>88</v>
      </c>
      <c r="N11" s="11" t="s">
        <v>85</v>
      </c>
      <c r="O11" s="75" t="str">
        <f>IFERROR(SUMIF('Expense Comp Data'!$B:$B,Inputs!$L11,'Expense Comp Data'!$I:$I)/SUMIF('Expense Comp Data'!$B:$B,"SqFoot_Total",'Expense Comp Data'!$I:$I),"No Comps")</f>
        <v>No Comps</v>
      </c>
      <c r="P11" s="76">
        <v>0.05</v>
      </c>
      <c r="Q11" s="75">
        <f t="shared" si="3"/>
        <v>0.05</v>
      </c>
      <c r="R11" s="77">
        <f>Projection!BW94</f>
        <v>5290.3500000000013</v>
      </c>
      <c r="S11" s="35"/>
      <c r="U11" s="11"/>
      <c r="V11" s="75"/>
    </row>
    <row r="12" spans="1:32" ht="14.25" customHeight="1" x14ac:dyDescent="0.2">
      <c r="B12" s="851" t="s">
        <v>89</v>
      </c>
      <c r="C12" s="848"/>
      <c r="D12" s="34"/>
      <c r="E12" s="9" t="s">
        <v>90</v>
      </c>
      <c r="I12" s="54">
        <v>4</v>
      </c>
      <c r="J12" s="20"/>
      <c r="L12" s="9">
        <v>6184</v>
      </c>
      <c r="M12" s="11" t="s">
        <v>91</v>
      </c>
      <c r="N12" s="11" t="s">
        <v>85</v>
      </c>
      <c r="O12" s="75" t="str">
        <f>IFERROR(SUMIF('Expense Comp Data'!$B:$B,Inputs!$L12,'Expense Comp Data'!$I:$I)/SUMIF('Expense Comp Data'!$B:$B,"SqFoot_Total",'Expense Comp Data'!$I:$I),"No Comps")</f>
        <v>No Comps</v>
      </c>
      <c r="P12" s="76">
        <v>0.28000000000000003</v>
      </c>
      <c r="Q12" s="75">
        <f t="shared" si="3"/>
        <v>0.28000000000000003</v>
      </c>
      <c r="R12" s="77">
        <f>Projection!BW95</f>
        <v>29625.960000000003</v>
      </c>
      <c r="S12" s="35"/>
      <c r="T12" s="851" t="s">
        <v>92</v>
      </c>
      <c r="U12" s="852"/>
      <c r="V12" s="848"/>
    </row>
    <row r="13" spans="1:32" ht="14.25" customHeight="1" x14ac:dyDescent="0.2">
      <c r="B13" s="4" t="s">
        <v>93</v>
      </c>
      <c r="C13" s="81">
        <v>105807</v>
      </c>
      <c r="D13" s="34"/>
      <c r="E13" s="9" t="s">
        <v>94</v>
      </c>
      <c r="I13" s="66">
        <v>0.92</v>
      </c>
      <c r="J13" s="20"/>
      <c r="L13" s="9">
        <v>6185</v>
      </c>
      <c r="M13" s="11" t="s">
        <v>95</v>
      </c>
      <c r="N13" s="11" t="s">
        <v>85</v>
      </c>
      <c r="O13" s="75" t="str">
        <f>IFERROR(SUMIF('Expense Comp Data'!$B:$B,Inputs!$L13,'Expense Comp Data'!$I:$I)/SUMIF('Expense Comp Data'!$B:$B,"SqFoot_Total",'Expense Comp Data'!$I:$I),"No Comps")</f>
        <v>No Comps</v>
      </c>
      <c r="P13" s="76">
        <v>0.05</v>
      </c>
      <c r="Q13" s="75">
        <f t="shared" si="3"/>
        <v>0.05</v>
      </c>
      <c r="R13" s="77">
        <f>Projection!BW96</f>
        <v>5290.3500000000013</v>
      </c>
      <c r="S13" s="35"/>
      <c r="T13" s="82" t="s">
        <v>96</v>
      </c>
      <c r="U13" s="83" t="s">
        <v>97</v>
      </c>
      <c r="V13" s="84" t="s">
        <v>98</v>
      </c>
    </row>
    <row r="14" spans="1:32" ht="14.25" customHeight="1" x14ac:dyDescent="0.2">
      <c r="B14" s="9" t="s">
        <v>99</v>
      </c>
      <c r="C14" s="85">
        <v>684</v>
      </c>
      <c r="E14" s="9"/>
      <c r="J14" s="20"/>
      <c r="L14" s="9">
        <v>6186</v>
      </c>
      <c r="M14" s="11" t="s">
        <v>100</v>
      </c>
      <c r="N14" s="11" t="s">
        <v>85</v>
      </c>
      <c r="O14" s="75" t="str">
        <f>IFERROR(SUMIF('Expense Comp Data'!$B:$B,Inputs!$L14,'Expense Comp Data'!$I:$I)/SUMIF('Expense Comp Data'!$B:$B,"SqFoot_Total",'Expense Comp Data'!$I:$I),"No Comps")</f>
        <v>No Comps</v>
      </c>
      <c r="P14" s="76">
        <v>0.12</v>
      </c>
      <c r="Q14" s="75">
        <f t="shared" si="3"/>
        <v>0.12</v>
      </c>
      <c r="R14" s="77">
        <f>Projection!BW97</f>
        <v>12696.839999999998</v>
      </c>
      <c r="S14" s="35"/>
      <c r="T14" s="86">
        <v>0</v>
      </c>
      <c r="U14" s="87">
        <v>2.5000000000000001E-2</v>
      </c>
      <c r="V14" s="88">
        <f>($T14*(1+U14))/Projection!$F$3</f>
        <v>0</v>
      </c>
    </row>
    <row r="15" spans="1:32" ht="14.25" customHeight="1" x14ac:dyDescent="0.2">
      <c r="A15" s="89" t="s">
        <v>101</v>
      </c>
      <c r="B15" s="9" t="s">
        <v>102</v>
      </c>
      <c r="C15" s="85">
        <f>C13</f>
        <v>105807</v>
      </c>
      <c r="D15" s="34"/>
      <c r="E15" s="90" t="s">
        <v>103</v>
      </c>
      <c r="F15" s="91"/>
      <c r="G15" s="92"/>
      <c r="H15" s="93" t="s">
        <v>104</v>
      </c>
      <c r="I15" s="94" t="s">
        <v>105</v>
      </c>
      <c r="J15" s="95" t="s">
        <v>106</v>
      </c>
      <c r="L15" s="9">
        <v>6187</v>
      </c>
      <c r="M15" s="11" t="s">
        <v>107</v>
      </c>
      <c r="N15" s="11" t="s">
        <v>85</v>
      </c>
      <c r="O15" s="75" t="str">
        <f>IFERROR(SUMIF('Expense Comp Data'!$B:$B,Inputs!$L15,'Expense Comp Data'!$I:$I)/SUMIF('Expense Comp Data'!$B:$B,"SqFoot_Total",'Expense Comp Data'!$I:$I),"No Comps")</f>
        <v>No Comps</v>
      </c>
      <c r="P15" s="76">
        <v>0.1</v>
      </c>
      <c r="Q15" s="75">
        <f t="shared" si="3"/>
        <v>0.1</v>
      </c>
      <c r="R15" s="77">
        <f>Projection!BW98</f>
        <v>10580.7</v>
      </c>
      <c r="S15" s="35"/>
      <c r="T15" s="86">
        <v>0</v>
      </c>
      <c r="U15" s="87">
        <v>2.5000000000000001E-2</v>
      </c>
      <c r="V15" s="88">
        <f>($T15*(1+U15))/Projection!$F$3</f>
        <v>0</v>
      </c>
      <c r="AD15" s="69"/>
      <c r="AE15" s="69"/>
      <c r="AF15" s="69"/>
    </row>
    <row r="16" spans="1:32" ht="14.25" customHeight="1" x14ac:dyDescent="0.2">
      <c r="A16" s="89" t="s">
        <v>108</v>
      </c>
      <c r="B16" s="16" t="s">
        <v>109</v>
      </c>
      <c r="C16" s="26">
        <f>IFERROR(C15/C13, 0)</f>
        <v>1</v>
      </c>
      <c r="D16" s="34"/>
      <c r="E16" s="9" t="s">
        <v>110</v>
      </c>
      <c r="F16" s="57"/>
      <c r="G16" s="96"/>
      <c r="H16" s="12">
        <f>IFERROR((C20-C30)/(C18-C24)*12,0)</f>
        <v>0</v>
      </c>
      <c r="I16" s="97">
        <f>(('Rate Calculation'!R38*12)*0)+(1.55*12)</f>
        <v>18.600000000000001</v>
      </c>
      <c r="J16" s="72">
        <f>I16</f>
        <v>18.600000000000001</v>
      </c>
      <c r="L16" s="9">
        <v>6200</v>
      </c>
      <c r="M16" s="11" t="s">
        <v>111</v>
      </c>
      <c r="N16" s="11" t="s">
        <v>85</v>
      </c>
      <c r="O16" s="75" t="str">
        <f>IFERROR(SUMIF('Expense Comp Data'!$B:$B,Inputs!$L16,'Expense Comp Data'!$I:$I)/SUMIF('Expense Comp Data'!$B:$B,"SqFoot_Total",'Expense Comp Data'!$I:$I),"No Comps")</f>
        <v>No Comps</v>
      </c>
      <c r="P16" s="76">
        <v>9.9999999999999998E-13</v>
      </c>
      <c r="Q16" s="75">
        <f t="shared" si="3"/>
        <v>9.9999999999999998E-13</v>
      </c>
      <c r="R16" s="77">
        <f>Projection!BW99</f>
        <v>1.05807E-7</v>
      </c>
      <c r="S16" s="35"/>
      <c r="T16" s="86">
        <v>0</v>
      </c>
      <c r="U16" s="87">
        <v>2.5000000000000001E-2</v>
      </c>
      <c r="V16" s="88">
        <f>($T16*(1+U16))/Projection!$F$3</f>
        <v>0</v>
      </c>
      <c r="AD16" s="98"/>
      <c r="AE16" s="98"/>
      <c r="AF16" s="3"/>
    </row>
    <row r="17" spans="1:32" ht="14.25" customHeight="1" x14ac:dyDescent="0.2">
      <c r="A17" s="89" t="s">
        <v>112</v>
      </c>
      <c r="B17" s="90" t="s">
        <v>113</v>
      </c>
      <c r="C17" s="99"/>
      <c r="D17" s="34"/>
      <c r="E17" s="9"/>
      <c r="F17" s="56"/>
      <c r="H17" s="25"/>
      <c r="I17" s="75"/>
      <c r="J17" s="20"/>
      <c r="L17" s="9">
        <v>6205</v>
      </c>
      <c r="M17" s="11" t="s">
        <v>114</v>
      </c>
      <c r="N17" s="11" t="s">
        <v>85</v>
      </c>
      <c r="O17" s="75" t="str">
        <f>IFERROR(SUMIF('Expense Comp Data'!$B:$B,Inputs!$L17,'Expense Comp Data'!$I:$I)/SUMIF('Expense Comp Data'!$B:$B,"SqFoot_Total",'Expense Comp Data'!$I:$I),"No Comps")</f>
        <v>No Comps</v>
      </c>
      <c r="P17" s="76">
        <v>0.01</v>
      </c>
      <c r="Q17" s="75">
        <f t="shared" si="3"/>
        <v>0.01</v>
      </c>
      <c r="R17" s="77">
        <f>Projection!BW100</f>
        <v>1058.07</v>
      </c>
      <c r="S17" s="35"/>
      <c r="T17" s="86">
        <v>0</v>
      </c>
      <c r="U17" s="87">
        <v>2.5000000000000001E-2</v>
      </c>
      <c r="V17" s="88">
        <f>($T17*(1+U17))/Projection!$F$3</f>
        <v>0</v>
      </c>
      <c r="Z17" s="100"/>
      <c r="AA17" s="75"/>
      <c r="AB17" s="75"/>
      <c r="AC17" s="75"/>
      <c r="AD17" s="75"/>
      <c r="AE17" s="75"/>
      <c r="AF17" s="101"/>
    </row>
    <row r="18" spans="1:32" ht="14.25" customHeight="1" x14ac:dyDescent="0.2">
      <c r="A18" s="89"/>
      <c r="B18" s="9" t="s">
        <v>115</v>
      </c>
      <c r="C18" s="85">
        <v>0</v>
      </c>
      <c r="D18" s="34"/>
      <c r="E18" s="9"/>
      <c r="F18" s="56"/>
      <c r="H18" s="102" t="s">
        <v>104</v>
      </c>
      <c r="I18" s="2" t="s">
        <v>7</v>
      </c>
      <c r="J18" s="59" t="s">
        <v>51</v>
      </c>
      <c r="L18" s="9"/>
      <c r="M18" s="3" t="s">
        <v>77</v>
      </c>
      <c r="O18" s="75"/>
      <c r="Q18" s="75"/>
      <c r="R18" s="103">
        <f>Projection!BW101</f>
        <v>76181.040000105815</v>
      </c>
      <c r="S18" s="35"/>
      <c r="T18" s="86">
        <v>0</v>
      </c>
      <c r="U18" s="87">
        <v>2.5000000000000001E-2</v>
      </c>
      <c r="V18" s="88">
        <f>($T18*(1+U18))/Projection!$F$3</f>
        <v>0</v>
      </c>
      <c r="Y18" s="100"/>
      <c r="Z18" s="100"/>
      <c r="AA18" s="75"/>
      <c r="AB18" s="75"/>
      <c r="AC18" s="75"/>
      <c r="AD18" s="75"/>
      <c r="AE18" s="75"/>
      <c r="AF18" s="101"/>
    </row>
    <row r="19" spans="1:32" ht="14.25" customHeight="1" x14ac:dyDescent="0.2">
      <c r="B19" s="9" t="s">
        <v>116</v>
      </c>
      <c r="C19" s="85">
        <v>0</v>
      </c>
      <c r="D19" s="34"/>
      <c r="E19" s="104">
        <v>1</v>
      </c>
      <c r="F19" s="57"/>
      <c r="H19" s="75">
        <f>Projection!BW34</f>
        <v>19.859233071721498</v>
      </c>
      <c r="I19" s="66">
        <v>0.04</v>
      </c>
      <c r="J19" s="105">
        <f>Projection!BW30</f>
        <v>18.918678391177092</v>
      </c>
      <c r="L19" s="9"/>
      <c r="R19" s="20"/>
      <c r="S19" s="35"/>
      <c r="T19" s="86">
        <v>0</v>
      </c>
      <c r="U19" s="87">
        <v>2.5000000000000001E-2</v>
      </c>
      <c r="V19" s="88">
        <f>($T19*(1+U19))/Projection!$F$3</f>
        <v>0</v>
      </c>
      <c r="Y19" s="100"/>
      <c r="Z19" s="100"/>
      <c r="AA19" s="75"/>
      <c r="AB19" s="75"/>
      <c r="AC19" s="75"/>
      <c r="AD19" s="75"/>
      <c r="AE19" s="75"/>
      <c r="AF19" s="101"/>
    </row>
    <row r="20" spans="1:32" ht="14.25" customHeight="1" x14ac:dyDescent="0.2">
      <c r="B20" s="9" t="s">
        <v>117</v>
      </c>
      <c r="C20" s="85">
        <v>0</v>
      </c>
      <c r="D20" s="34"/>
      <c r="E20" s="104">
        <v>2</v>
      </c>
      <c r="F20" s="57"/>
      <c r="H20" s="75">
        <f>Projection!BX34</f>
        <v>20.810242046836876</v>
      </c>
      <c r="I20" s="66">
        <v>0.04</v>
      </c>
      <c r="J20" s="105">
        <f>Projection!BX30</f>
        <v>19.607006223153704</v>
      </c>
      <c r="L20" s="90" t="s">
        <v>118</v>
      </c>
      <c r="M20" s="91"/>
      <c r="N20" s="91"/>
      <c r="O20" s="106" t="s">
        <v>46</v>
      </c>
      <c r="P20" s="106" t="s">
        <v>47</v>
      </c>
      <c r="Q20" s="106" t="s">
        <v>48</v>
      </c>
      <c r="R20" s="107" t="s">
        <v>81</v>
      </c>
      <c r="S20" s="35"/>
      <c r="T20" s="86">
        <v>0</v>
      </c>
      <c r="U20" s="87">
        <v>2.5000000000000001E-2</v>
      </c>
      <c r="V20" s="88">
        <f>($T20*(1+U20))/Projection!$F$3</f>
        <v>0</v>
      </c>
      <c r="Y20" s="100"/>
      <c r="Z20" s="100"/>
      <c r="AA20" s="75"/>
      <c r="AB20" s="75"/>
      <c r="AC20" s="75"/>
      <c r="AD20" s="75"/>
      <c r="AE20" s="75"/>
      <c r="AF20" s="101"/>
    </row>
    <row r="21" spans="1:32" ht="14.25" customHeight="1" x14ac:dyDescent="0.2">
      <c r="B21" s="9" t="s">
        <v>119</v>
      </c>
      <c r="C21" s="108">
        <v>0</v>
      </c>
      <c r="D21" s="34"/>
      <c r="E21" s="104">
        <v>3</v>
      </c>
      <c r="F21" s="57"/>
      <c r="H21" s="75">
        <f>Projection!BY34</f>
        <v>21.794342109487307</v>
      </c>
      <c r="I21" s="66">
        <v>0.04</v>
      </c>
      <c r="J21" s="105">
        <f>Projection!BY30</f>
        <v>20.320377834324464</v>
      </c>
      <c r="L21" s="9">
        <v>6189</v>
      </c>
      <c r="M21" s="11" t="s">
        <v>120</v>
      </c>
      <c r="N21" s="11" t="s">
        <v>85</v>
      </c>
      <c r="O21" s="75" t="str">
        <f>IFERROR(SUMIF('Expense Comp Data'!$B:$B,Inputs!$L21,'Expense Comp Data'!$I:$I)/SUMIF('Expense Comp Data'!$B:$B,"SqFoot_Total",'Expense Comp Data'!$I:$I),"No Comps")</f>
        <v>No Comps</v>
      </c>
      <c r="P21" s="76">
        <f>IF($V$29=0,0,Modeling!E36)</f>
        <v>9.4499999999999983E-3</v>
      </c>
      <c r="Q21" s="75">
        <f t="shared" ref="Q21:Q34" si="4">IF(P21=0,O21,P21)</f>
        <v>9.4499999999999983E-3</v>
      </c>
      <c r="R21" s="77">
        <f>Projection!BW104</f>
        <v>299.96284499999996</v>
      </c>
      <c r="S21" s="35"/>
      <c r="T21" s="109">
        <v>0</v>
      </c>
      <c r="U21" s="110">
        <v>2.5000000000000001E-2</v>
      </c>
      <c r="V21" s="111">
        <f>($T21*(1+U21))/Projection!$F$3</f>
        <v>0</v>
      </c>
    </row>
    <row r="22" spans="1:32" ht="14.25" customHeight="1" x14ac:dyDescent="0.2">
      <c r="B22" s="90" t="s">
        <v>121</v>
      </c>
      <c r="C22" s="99"/>
      <c r="D22" s="34"/>
      <c r="E22" s="104">
        <v>4</v>
      </c>
      <c r="F22" s="57"/>
      <c r="H22" s="75">
        <f>Projection!BZ34</f>
        <v>22.648494719726632</v>
      </c>
      <c r="I22" s="66">
        <v>0.04</v>
      </c>
      <c r="J22" s="105">
        <f>Projection!BZ30</f>
        <v>21.059704405157721</v>
      </c>
      <c r="L22" s="9">
        <v>6192</v>
      </c>
      <c r="M22" s="11" t="s">
        <v>122</v>
      </c>
      <c r="N22" s="11" t="s">
        <v>85</v>
      </c>
      <c r="O22" s="75" t="str">
        <f>IFERROR(SUMIF('Expense Comp Data'!$B:$B,Inputs!$L22,'Expense Comp Data'!$I:$I)/SUMIF('Expense Comp Data'!$B:$B,"SqFoot_Total",'Expense Comp Data'!$I:$I),"No Comps")</f>
        <v>No Comps</v>
      </c>
      <c r="P22" s="76">
        <f>IF($V$29=0,0,Modeling!E37)</f>
        <v>1.2599999999999998E-2</v>
      </c>
      <c r="Q22" s="75">
        <f t="shared" si="4"/>
        <v>1.2599999999999998E-2</v>
      </c>
      <c r="R22" s="77">
        <f>Projection!BW105</f>
        <v>399.95045999999996</v>
      </c>
      <c r="S22" s="35"/>
    </row>
    <row r="23" spans="1:32" ht="14.25" customHeight="1" x14ac:dyDescent="0.2">
      <c r="B23" s="9" t="s">
        <v>123</v>
      </c>
      <c r="C23" s="85">
        <v>0</v>
      </c>
      <c r="D23" s="34"/>
      <c r="E23" s="104">
        <v>5</v>
      </c>
      <c r="H23" s="75">
        <f>Projection!CA34</f>
        <v>23.666244382776995</v>
      </c>
      <c r="I23" s="66">
        <v>0.04</v>
      </c>
      <c r="J23" s="105">
        <f>Projection!CA30</f>
        <v>21.825930268061068</v>
      </c>
      <c r="K23" s="89"/>
      <c r="L23" s="9">
        <v>6193</v>
      </c>
      <c r="M23" s="11" t="s">
        <v>124</v>
      </c>
      <c r="N23" s="11" t="s">
        <v>85</v>
      </c>
      <c r="O23" s="75" t="str">
        <f>IFERROR(SUMIF('Expense Comp Data'!$B:$B,Inputs!$L23,'Expense Comp Data'!$I:$I)/SUMIF('Expense Comp Data'!$B:$B,"SqFoot_Total",'Expense Comp Data'!$I:$I),"No Comps")</f>
        <v>No Comps</v>
      </c>
      <c r="P23" s="76">
        <f>IF(C62=FALSE,0,IF($V$29=0,0,Modeling!E38))</f>
        <v>5.8800000000000005E-2</v>
      </c>
      <c r="Q23" s="75">
        <f t="shared" si="4"/>
        <v>5.8800000000000005E-2</v>
      </c>
      <c r="R23" s="77">
        <f>Projection!BW106</f>
        <v>1866.4354799999999</v>
      </c>
      <c r="S23" s="35"/>
      <c r="T23" s="11" t="s">
        <v>125</v>
      </c>
      <c r="U23" s="112" t="s">
        <v>126</v>
      </c>
    </row>
    <row r="24" spans="1:32" ht="14.25" customHeight="1" x14ac:dyDescent="0.2">
      <c r="B24" s="9" t="s">
        <v>127</v>
      </c>
      <c r="C24" s="85">
        <v>0</v>
      </c>
      <c r="D24" s="34"/>
      <c r="E24" s="9"/>
      <c r="J24" s="20"/>
      <c r="K24" s="89"/>
      <c r="L24" s="9">
        <v>6194</v>
      </c>
      <c r="M24" s="11" t="s">
        <v>128</v>
      </c>
      <c r="N24" s="11" t="s">
        <v>85</v>
      </c>
      <c r="O24" s="75" t="str">
        <f>IFERROR(SUMIF('Expense Comp Data'!$B:$B,Inputs!$L24,'Expense Comp Data'!$I:$I)/SUMIF('Expense Comp Data'!$B:$B,"SqFoot_Total",'Expense Comp Data'!$I:$I),"No Comps")</f>
        <v>No Comps</v>
      </c>
      <c r="P24" s="76">
        <f>IF($V$29=0,0,Modeling!E39)</f>
        <v>1.1549999999999998E-2</v>
      </c>
      <c r="Q24" s="75">
        <f t="shared" si="4"/>
        <v>1.1549999999999998E-2</v>
      </c>
      <c r="R24" s="77">
        <f>Projection!BW107</f>
        <v>366.62125499999996</v>
      </c>
      <c r="S24" s="35"/>
      <c r="T24" s="853" t="s">
        <v>129</v>
      </c>
      <c r="U24" s="854"/>
      <c r="V24" s="855"/>
    </row>
    <row r="25" spans="1:32" ht="14.25" customHeight="1" x14ac:dyDescent="0.2">
      <c r="B25" s="9" t="s">
        <v>130</v>
      </c>
      <c r="C25" s="85">
        <v>0</v>
      </c>
      <c r="D25" s="34"/>
      <c r="E25" s="9" t="s">
        <v>131</v>
      </c>
      <c r="F25" s="56"/>
      <c r="G25" s="113"/>
      <c r="I25" s="66">
        <v>0.12</v>
      </c>
      <c r="J25" s="20"/>
      <c r="L25" s="9">
        <v>6195</v>
      </c>
      <c r="M25" s="11" t="s">
        <v>132</v>
      </c>
      <c r="N25" s="11" t="s">
        <v>85</v>
      </c>
      <c r="O25" s="75" t="str">
        <f>IFERROR(SUMIF('Expense Comp Data'!$B:$B,Inputs!$L25,'Expense Comp Data'!$I:$I)/SUMIF('Expense Comp Data'!$B:$B,"SqFoot_Total",'Expense Comp Data'!$I:$I),"No Comps")</f>
        <v>No Comps</v>
      </c>
      <c r="P25" s="76">
        <f>IF($V$29=0,0,Modeling!E40)</f>
        <v>1.3124999999999998E-2</v>
      </c>
      <c r="Q25" s="75">
        <f t="shared" si="4"/>
        <v>1.3124999999999998E-2</v>
      </c>
      <c r="R25" s="77">
        <f>Projection!BW108</f>
        <v>416.61506249999996</v>
      </c>
      <c r="S25" s="25"/>
      <c r="T25" s="11" t="s">
        <v>81</v>
      </c>
      <c r="V25" s="66">
        <v>0.3</v>
      </c>
    </row>
    <row r="26" spans="1:32" ht="14.25" customHeight="1" x14ac:dyDescent="0.2">
      <c r="B26" s="9" t="s">
        <v>133</v>
      </c>
      <c r="C26" s="85">
        <v>0</v>
      </c>
      <c r="D26" s="34"/>
      <c r="E26" s="9"/>
      <c r="J26" s="20"/>
      <c r="L26" s="9">
        <v>6196</v>
      </c>
      <c r="M26" s="11" t="s">
        <v>134</v>
      </c>
      <c r="N26" s="11" t="s">
        <v>85</v>
      </c>
      <c r="O26" s="75" t="str">
        <f>IFERROR(SUMIF('Expense Comp Data'!$B:$B,Inputs!$L26,'Expense Comp Data'!$I:$I)/SUMIF('Expense Comp Data'!$B:$B,"SqFoot_Total",'Expense Comp Data'!$I:$I),"No Comps")</f>
        <v>No Comps</v>
      </c>
      <c r="P26" s="76">
        <f>IF(C63=FALSE,0,IF($V$29=0,0,Modeling!E41))</f>
        <v>0</v>
      </c>
      <c r="Q26" s="75" t="str">
        <f t="shared" si="4"/>
        <v>No Comps</v>
      </c>
      <c r="R26" s="77">
        <f>Projection!BW109</f>
        <v>0</v>
      </c>
      <c r="S26" s="25"/>
      <c r="T26" s="11" t="s">
        <v>135</v>
      </c>
      <c r="V26" s="66">
        <v>0.6</v>
      </c>
    </row>
    <row r="27" spans="1:32" ht="14.25" customHeight="1" x14ac:dyDescent="0.2">
      <c r="B27" s="9" t="s">
        <v>136</v>
      </c>
      <c r="C27" s="85">
        <v>0</v>
      </c>
      <c r="D27" s="34"/>
      <c r="E27" s="90" t="s">
        <v>121</v>
      </c>
      <c r="F27" s="114"/>
      <c r="G27" s="115"/>
      <c r="H27" s="91"/>
      <c r="I27" s="116"/>
      <c r="J27" s="99"/>
      <c r="L27" s="9">
        <v>6197</v>
      </c>
      <c r="M27" s="11" t="s">
        <v>137</v>
      </c>
      <c r="N27" s="11" t="s">
        <v>85</v>
      </c>
      <c r="O27" s="75" t="str">
        <f>IFERROR(SUMIF('Expense Comp Data'!$B:$B,Inputs!$L27,'Expense Comp Data'!$I:$I)/SUMIF('Expense Comp Data'!$B:$B,"SqFoot_Total",'Expense Comp Data'!$I:$I),"No Comps")</f>
        <v>No Comps</v>
      </c>
      <c r="P27" s="76">
        <f>IF($V$29=0,0,Modeling!E42)</f>
        <v>2.0999999999999999E-3</v>
      </c>
      <c r="Q27" s="75">
        <f t="shared" si="4"/>
        <v>2.0999999999999999E-3</v>
      </c>
      <c r="R27" s="77">
        <f>Projection!BW110</f>
        <v>66.658409999999989</v>
      </c>
      <c r="S27" s="25"/>
      <c r="T27" s="11" t="s">
        <v>138</v>
      </c>
      <c r="V27" s="66">
        <v>1</v>
      </c>
    </row>
    <row r="28" spans="1:32" ht="14.25" customHeight="1" x14ac:dyDescent="0.2">
      <c r="B28" s="9" t="s">
        <v>139</v>
      </c>
      <c r="C28" s="85">
        <v>0</v>
      </c>
      <c r="D28" s="34"/>
      <c r="E28" s="9" t="s">
        <v>140</v>
      </c>
      <c r="I28" s="117" t="s">
        <v>141</v>
      </c>
      <c r="J28" s="20"/>
      <c r="L28" s="9">
        <v>6198</v>
      </c>
      <c r="M28" s="11" t="s">
        <v>142</v>
      </c>
      <c r="N28" s="11" t="s">
        <v>85</v>
      </c>
      <c r="O28" s="75" t="str">
        <f>IFERROR(SUMIF('Expense Comp Data'!$B:$B,Inputs!$L28,'Expense Comp Data'!$I:$I)/SUMIF('Expense Comp Data'!$B:$B,"SqFoot_Total",'Expense Comp Data'!$I:$I),"No Comps")</f>
        <v>No Comps</v>
      </c>
      <c r="P28" s="76">
        <f>IF($V$29=0,0,Modeling!E43)</f>
        <v>5.2499999999999995E-3</v>
      </c>
      <c r="Q28" s="75">
        <f t="shared" si="4"/>
        <v>5.2499999999999995E-3</v>
      </c>
      <c r="R28" s="77">
        <f>Projection!BW111</f>
        <v>166.64602499999998</v>
      </c>
      <c r="S28" s="25"/>
      <c r="V28" s="118"/>
    </row>
    <row r="29" spans="1:32" ht="14.25" customHeight="1" x14ac:dyDescent="0.2">
      <c r="B29" s="9" t="s">
        <v>143</v>
      </c>
      <c r="C29" s="85">
        <v>0</v>
      </c>
      <c r="D29" s="34"/>
      <c r="E29" s="9" t="s">
        <v>144</v>
      </c>
      <c r="I29" s="119">
        <v>0.03</v>
      </c>
      <c r="J29" s="20"/>
      <c r="L29" s="9">
        <v>6199</v>
      </c>
      <c r="M29" s="11" t="s">
        <v>145</v>
      </c>
      <c r="N29" s="11" t="s">
        <v>85</v>
      </c>
      <c r="O29" s="75" t="str">
        <f>IFERROR(SUMIF('Expense Comp Data'!$B:$B,Inputs!$L29,'Expense Comp Data'!$I:$I)/SUMIF('Expense Comp Data'!$B:$B,"SqFoot_Total",'Expense Comp Data'!$I:$I),"No Comps")</f>
        <v>No Comps</v>
      </c>
      <c r="P29" s="76">
        <f>IF($V$29=0,0,Modeling!E44)</f>
        <v>4.4099999999999993E-2</v>
      </c>
      <c r="Q29" s="75">
        <f t="shared" si="4"/>
        <v>4.4099999999999993E-2</v>
      </c>
      <c r="R29" s="77">
        <f>Projection!BW112</f>
        <v>1399.8266099999998</v>
      </c>
      <c r="S29" s="25"/>
      <c r="T29" s="120" t="s">
        <v>146</v>
      </c>
      <c r="U29" s="121"/>
      <c r="V29" s="122">
        <f>0.21*C13</f>
        <v>22219.469999999998</v>
      </c>
    </row>
    <row r="30" spans="1:32" ht="14.25" customHeight="1" x14ac:dyDescent="0.2">
      <c r="B30" s="16" t="s">
        <v>147</v>
      </c>
      <c r="C30" s="123">
        <v>0</v>
      </c>
      <c r="D30" s="34"/>
      <c r="E30" s="9" t="s">
        <v>148</v>
      </c>
      <c r="I30" s="124">
        <f>C29</f>
        <v>0</v>
      </c>
      <c r="J30" s="20"/>
      <c r="L30" s="9">
        <v>6201</v>
      </c>
      <c r="M30" s="11" t="s">
        <v>149</v>
      </c>
      <c r="N30" s="11" t="s">
        <v>85</v>
      </c>
      <c r="O30" s="75" t="str">
        <f>IFERROR(SUMIF('Expense Comp Data'!$B:$B,Inputs!$L30,'Expense Comp Data'!$I:$I)/SUMIF('Expense Comp Data'!$B:$B,"SqFoot_Total",'Expense Comp Data'!$I:$I),"No Comps")</f>
        <v>No Comps</v>
      </c>
      <c r="P30" s="76">
        <f>IF($V$29=0,0,Modeling!E45)</f>
        <v>2.3099999999999996E-2</v>
      </c>
      <c r="Q30" s="75">
        <f t="shared" si="4"/>
        <v>2.3099999999999996E-2</v>
      </c>
      <c r="R30" s="77">
        <f>Projection!BW113</f>
        <v>733.24250999999992</v>
      </c>
      <c r="S30" s="100"/>
      <c r="V30" s="118"/>
    </row>
    <row r="31" spans="1:32" ht="14.25" customHeight="1" x14ac:dyDescent="0.2">
      <c r="B31" s="125"/>
      <c r="C31" s="29"/>
      <c r="D31" s="34"/>
      <c r="E31" s="9" t="s">
        <v>150</v>
      </c>
      <c r="I31" s="126">
        <v>0</v>
      </c>
      <c r="J31" s="20"/>
      <c r="L31" s="9">
        <v>6203</v>
      </c>
      <c r="M31" s="11" t="s">
        <v>151</v>
      </c>
      <c r="N31" s="11" t="s">
        <v>85</v>
      </c>
      <c r="O31" s="75" t="str">
        <f>IFERROR(SUMIF('Expense Comp Data'!$B:$B,Inputs!$L31,'Expense Comp Data'!$I:$I)/SUMIF('Expense Comp Data'!$B:$B,"SqFoot_Total",'Expense Comp Data'!$I:$I),"No Comps")</f>
        <v>No Comps</v>
      </c>
      <c r="P31" s="76">
        <f>IF($V$29=0,0,Modeling!E46)</f>
        <v>1.6799999999999999E-2</v>
      </c>
      <c r="Q31" s="75">
        <f t="shared" si="4"/>
        <v>1.6799999999999999E-2</v>
      </c>
      <c r="R31" s="77">
        <f>Projection!BW114</f>
        <v>533.26727999999991</v>
      </c>
      <c r="S31" s="25"/>
      <c r="U31" s="127" t="s">
        <v>152</v>
      </c>
      <c r="V31" s="127" t="s">
        <v>153</v>
      </c>
    </row>
    <row r="32" spans="1:32" ht="14.25" customHeight="1" x14ac:dyDescent="0.2">
      <c r="B32" s="851" t="s">
        <v>154</v>
      </c>
      <c r="C32" s="848"/>
      <c r="D32" s="34"/>
      <c r="E32" s="16" t="s">
        <v>155</v>
      </c>
      <c r="F32" s="17"/>
      <c r="G32" s="17"/>
      <c r="H32" s="17"/>
      <c r="I32" s="128">
        <f>I30*I10</f>
        <v>0</v>
      </c>
      <c r="J32" s="129"/>
      <c r="L32" s="9">
        <v>6204</v>
      </c>
      <c r="M32" s="11" t="s">
        <v>156</v>
      </c>
      <c r="N32" s="11" t="s">
        <v>85</v>
      </c>
      <c r="O32" s="75" t="str">
        <f>IFERROR(SUMIF('Expense Comp Data'!$B:$B,Inputs!$L32,'Expense Comp Data'!$I:$I)/SUMIF('Expense Comp Data'!$B:$B,"SqFoot_Total",'Expense Comp Data'!$I:$I),"No Comps")</f>
        <v>No Comps</v>
      </c>
      <c r="P32" s="76">
        <f>IF($V$29=0,0,Modeling!E47)</f>
        <v>6.8249999999999995E-3</v>
      </c>
      <c r="Q32" s="75">
        <f t="shared" si="4"/>
        <v>6.8249999999999995E-3</v>
      </c>
      <c r="R32" s="77">
        <f>Projection!BW115</f>
        <v>216.63983249999998</v>
      </c>
      <c r="S32" s="25"/>
      <c r="T32" s="127" t="s">
        <v>157</v>
      </c>
      <c r="U32" s="130"/>
      <c r="V32" s="130"/>
    </row>
    <row r="33" spans="2:24" ht="14.25" customHeight="1" x14ac:dyDescent="0.2">
      <c r="B33" s="131"/>
      <c r="C33" s="132"/>
      <c r="D33" s="34"/>
      <c r="L33" s="9">
        <v>6206</v>
      </c>
      <c r="M33" s="11" t="s">
        <v>158</v>
      </c>
      <c r="N33" s="11" t="s">
        <v>85</v>
      </c>
      <c r="O33" s="75" t="str">
        <f>IFERROR(SUMIF('Expense Comp Data'!$B:$B,Inputs!$L33,'Expense Comp Data'!$I:$I)/SUMIF('Expense Comp Data'!$B:$B,"SqFoot_Total",'Expense Comp Data'!$I:$I),"No Comps")</f>
        <v>No Comps</v>
      </c>
      <c r="P33" s="76">
        <f>IF($V$29=0,0,Modeling!E48)</f>
        <v>6.2999999999999992E-3</v>
      </c>
      <c r="Q33" s="75">
        <f t="shared" si="4"/>
        <v>6.2999999999999992E-3</v>
      </c>
      <c r="R33" s="77">
        <f>Projection!BW116</f>
        <v>199.97522999999998</v>
      </c>
      <c r="S33" s="25"/>
      <c r="T33" s="133" t="s">
        <v>159</v>
      </c>
      <c r="U33" s="134">
        <f>$C$16</f>
        <v>1</v>
      </c>
      <c r="V33" s="134">
        <f>1-U33</f>
        <v>0</v>
      </c>
    </row>
    <row r="34" spans="2:24" ht="14.25" customHeight="1" x14ac:dyDescent="0.2">
      <c r="B34" s="37" t="s">
        <v>160</v>
      </c>
      <c r="C34" s="108">
        <v>0.04</v>
      </c>
      <c r="D34" s="34"/>
      <c r="E34" s="851" t="s">
        <v>161</v>
      </c>
      <c r="F34" s="852"/>
      <c r="G34" s="852"/>
      <c r="H34" s="852"/>
      <c r="I34" s="852"/>
      <c r="J34" s="848"/>
      <c r="L34" s="9">
        <v>6321</v>
      </c>
      <c r="M34" s="11" t="s">
        <v>162</v>
      </c>
      <c r="N34" s="11" t="s">
        <v>85</v>
      </c>
      <c r="O34" s="75" t="str">
        <f>IFERROR(SUMIF('Expense Comp Data'!$B:$B,Inputs!$L34,'Expense Comp Data'!$I:$I)/SUMIF('Expense Comp Data'!$B:$B,"SqFoot_Total",'Expense Comp Data'!$I:$I),"No Comps")</f>
        <v>No Comps</v>
      </c>
      <c r="P34" s="135">
        <f>IF(C64=FALSE,0,IF($V$29=0,O34,Modeling!E49))</f>
        <v>0</v>
      </c>
      <c r="Q34" s="75" t="str">
        <f t="shared" si="4"/>
        <v>No Comps</v>
      </c>
      <c r="R34" s="77">
        <f>Projection!BW117</f>
        <v>0</v>
      </c>
      <c r="S34" s="25"/>
      <c r="T34" s="136" t="s">
        <v>163</v>
      </c>
      <c r="U34" s="856">
        <f>(U32*U33)+(V32*V33)</f>
        <v>0</v>
      </c>
      <c r="V34" s="857"/>
    </row>
    <row r="35" spans="2:24" ht="14.25" customHeight="1" x14ac:dyDescent="0.2">
      <c r="B35" s="37" t="s">
        <v>164</v>
      </c>
      <c r="C35" s="108">
        <v>2.5000000000000001E-2</v>
      </c>
      <c r="D35" s="34"/>
      <c r="E35" s="137" t="s">
        <v>30</v>
      </c>
      <c r="F35" s="138"/>
      <c r="G35" s="41"/>
      <c r="H35" s="139" t="s">
        <v>165</v>
      </c>
      <c r="I35" s="139" t="s">
        <v>47</v>
      </c>
      <c r="J35" s="140" t="s">
        <v>48</v>
      </c>
      <c r="L35" s="9"/>
      <c r="M35" s="3" t="s">
        <v>77</v>
      </c>
      <c r="R35" s="103">
        <f>Projection!BW118</f>
        <v>6665.8409999999994</v>
      </c>
      <c r="S35" s="25"/>
      <c r="V35" s="118"/>
    </row>
    <row r="36" spans="2:24" ht="14.25" customHeight="1" x14ac:dyDescent="0.2">
      <c r="B36" s="37" t="s">
        <v>166</v>
      </c>
      <c r="C36" s="108">
        <v>0.01</v>
      </c>
      <c r="D36" s="34"/>
      <c r="E36" s="37">
        <v>4700</v>
      </c>
      <c r="F36" s="11" t="s">
        <v>167</v>
      </c>
      <c r="G36" s="11" t="s">
        <v>168</v>
      </c>
      <c r="H36" s="25" t="str">
        <f>IFERROR(SUMIF('Expense Comp Data'!$B:$B,Inputs!$E36,'Expense Comp Data'!$I:$I)/SUMIF('Expense Comp Data'!$B:$B,"ProjectedRent",'Expense Comp Data'!$I:$I),"No Comps")</f>
        <v>No Comps</v>
      </c>
      <c r="I36" s="141">
        <v>-2.5000000000000001E-2</v>
      </c>
      <c r="J36" s="24"/>
      <c r="L36" s="9"/>
      <c r="R36" s="20"/>
      <c r="S36" s="25"/>
      <c r="V36" s="118"/>
    </row>
    <row r="37" spans="2:24" ht="14.25" customHeight="1" x14ac:dyDescent="0.2">
      <c r="B37" s="131" t="s">
        <v>169</v>
      </c>
      <c r="C37" s="99"/>
      <c r="D37" s="34"/>
      <c r="E37" s="142" t="s">
        <v>170</v>
      </c>
      <c r="F37" s="11" t="s">
        <v>171</v>
      </c>
      <c r="G37" s="11" t="s">
        <v>168</v>
      </c>
      <c r="H37" s="25" t="str">
        <f>IFERROR(SUMIF('Expense Comp Data'!$B:$B,Inputs!$E37,'Expense Comp Data'!$I:$I)/SUMIF('Expense Comp Data'!$B:$B,"ProjectedRent",'Expense Comp Data'!$I:$I),"No Comps")</f>
        <v>No Comps</v>
      </c>
      <c r="I37" s="66">
        <v>-0.01</v>
      </c>
      <c r="J37" s="24">
        <f>MIN(IF(I37=0,H37,I37),-0.6%)</f>
        <v>-0.01</v>
      </c>
      <c r="L37" s="90" t="s">
        <v>172</v>
      </c>
      <c r="M37" s="91"/>
      <c r="N37" s="91"/>
      <c r="O37" s="106" t="s">
        <v>46</v>
      </c>
      <c r="P37" s="106" t="s">
        <v>47</v>
      </c>
      <c r="Q37" s="106" t="s">
        <v>48</v>
      </c>
      <c r="R37" s="107" t="s">
        <v>81</v>
      </c>
      <c r="S37" s="25"/>
      <c r="V37" s="118"/>
    </row>
    <row r="38" spans="2:24" ht="14.25" customHeight="1" x14ac:dyDescent="0.2">
      <c r="B38" s="37" t="s">
        <v>173</v>
      </c>
      <c r="C38" s="85"/>
      <c r="D38" s="34"/>
      <c r="E38" s="142"/>
      <c r="J38" s="20"/>
      <c r="L38" s="9">
        <v>6122</v>
      </c>
      <c r="M38" s="11" t="s">
        <v>174</v>
      </c>
      <c r="N38" s="11" t="s">
        <v>175</v>
      </c>
      <c r="O38" s="29"/>
      <c r="P38" s="76">
        <v>15</v>
      </c>
      <c r="Q38" s="35">
        <f t="shared" ref="Q38:Q59" si="5">IF(P38=0,O38,P38)</f>
        <v>15</v>
      </c>
      <c r="R38" s="77">
        <f>Projection!BW121</f>
        <v>180</v>
      </c>
      <c r="S38" s="100"/>
    </row>
    <row r="39" spans="2:24" ht="14.25" customHeight="1" x14ac:dyDescent="0.2">
      <c r="B39" s="37" t="s">
        <v>176</v>
      </c>
      <c r="C39" s="85"/>
      <c r="D39" s="34"/>
      <c r="E39" s="131" t="s">
        <v>177</v>
      </c>
      <c r="F39" s="143"/>
      <c r="G39" s="91"/>
      <c r="H39" s="144" t="s">
        <v>165</v>
      </c>
      <c r="I39" s="144" t="s">
        <v>47</v>
      </c>
      <c r="J39" s="145" t="s">
        <v>48</v>
      </c>
      <c r="L39" s="9">
        <v>6152</v>
      </c>
      <c r="M39" s="11" t="s">
        <v>178</v>
      </c>
      <c r="N39" s="11" t="s">
        <v>179</v>
      </c>
      <c r="O39" s="35">
        <f>SUMIF('Expense Comp Data'!$B:$B,Inputs!$L39,'Expense Comp Data'!$I:$I)/12</f>
        <v>0</v>
      </c>
      <c r="P39" s="76">
        <v>175</v>
      </c>
      <c r="Q39" s="35">
        <f t="shared" si="5"/>
        <v>175</v>
      </c>
      <c r="R39" s="77">
        <f>Projection!BW122</f>
        <v>175</v>
      </c>
      <c r="S39" s="25"/>
    </row>
    <row r="40" spans="2:24" ht="14.25" customHeight="1" x14ac:dyDescent="0.2">
      <c r="B40" s="37" t="s">
        <v>180</v>
      </c>
      <c r="C40" s="108"/>
      <c r="D40" s="34"/>
      <c r="E40" s="146">
        <v>4281</v>
      </c>
      <c r="F40" s="11" t="s">
        <v>181</v>
      </c>
      <c r="G40" s="11" t="s">
        <v>182</v>
      </c>
      <c r="H40" s="35" t="str">
        <f>IFERROR(SUMIF('Expense Comp Data'!$B:$B,$E40,'Expense Comp Data'!$I:$I)/SUMIF('Expense Comp Data'!$B:$B,"Rentals",'Expense Comp Data'!$I:$I),"No Comps")</f>
        <v>No Comps</v>
      </c>
      <c r="I40" s="60">
        <v>15</v>
      </c>
      <c r="J40" s="77">
        <f t="shared" ref="J40:J48" si="6">IF(I40=0,H40,I40)</f>
        <v>15</v>
      </c>
      <c r="L40" s="9">
        <v>6162</v>
      </c>
      <c r="M40" s="11" t="s">
        <v>183</v>
      </c>
      <c r="N40" s="11" t="s">
        <v>175</v>
      </c>
      <c r="O40" s="35">
        <f>SUMIF('Expense Comp Data'!$B:$B,Inputs!$L40,'Expense Comp Data'!$I:$I)/12</f>
        <v>0</v>
      </c>
      <c r="P40" s="76">
        <v>0</v>
      </c>
      <c r="Q40" s="35">
        <f t="shared" si="5"/>
        <v>0</v>
      </c>
      <c r="R40" s="77">
        <f>Projection!BW125</f>
        <v>0</v>
      </c>
      <c r="S40" s="35"/>
    </row>
    <row r="41" spans="2:24" ht="14.25" customHeight="1" x14ac:dyDescent="0.2">
      <c r="B41" s="16" t="s">
        <v>184</v>
      </c>
      <c r="C41" s="147">
        <v>0.5</v>
      </c>
      <c r="D41" s="34"/>
      <c r="E41" s="146">
        <v>4282</v>
      </c>
      <c r="F41" s="11" t="s">
        <v>185</v>
      </c>
      <c r="G41" s="11" t="s">
        <v>168</v>
      </c>
      <c r="H41" s="35" t="str">
        <f>IFERROR(SUMIF('Expense Comp Data'!$B:$B,$E41,'Expense Comp Data'!$I:$I)/SUMIF('Expense Comp Data'!$B:$B,"ProjectedRent",'Expense Comp Data'!$I:$I),"No Comps")</f>
        <v>No Comps</v>
      </c>
      <c r="I41" s="66">
        <v>1E-3</v>
      </c>
      <c r="J41" s="24">
        <f t="shared" si="6"/>
        <v>1E-3</v>
      </c>
      <c r="L41" s="9">
        <v>6163</v>
      </c>
      <c r="M41" s="11" t="s">
        <v>186</v>
      </c>
      <c r="N41" s="11" t="s">
        <v>175</v>
      </c>
      <c r="P41" s="76">
        <v>43</v>
      </c>
      <c r="Q41" s="35">
        <f t="shared" si="5"/>
        <v>43</v>
      </c>
      <c r="R41" s="77">
        <f>Projection!BW126</f>
        <v>516</v>
      </c>
      <c r="S41" s="35"/>
      <c r="T41" s="858" t="s">
        <v>187</v>
      </c>
      <c r="U41" s="859"/>
      <c r="V41" s="860"/>
      <c r="W41" s="11"/>
    </row>
    <row r="42" spans="2:24" ht="14.25" customHeight="1" x14ac:dyDescent="0.2">
      <c r="D42" s="34"/>
      <c r="E42" s="146">
        <v>4283</v>
      </c>
      <c r="F42" s="11" t="s">
        <v>188</v>
      </c>
      <c r="G42" s="11" t="s">
        <v>168</v>
      </c>
      <c r="H42" s="35" t="str">
        <f>IFERROR(SUMIF('Expense Comp Data'!$B:$B,$E42,'Expense Comp Data'!$I:$I)/SUMIF('Expense Comp Data'!$B:$B,"ProjectedRent",'Expense Comp Data'!$I:$I),"No Comps")</f>
        <v>No Comps</v>
      </c>
      <c r="I42" s="66">
        <v>1E-3</v>
      </c>
      <c r="J42" s="24">
        <f t="shared" si="6"/>
        <v>1E-3</v>
      </c>
      <c r="L42" s="9">
        <v>6166</v>
      </c>
      <c r="M42" s="11" t="s">
        <v>189</v>
      </c>
      <c r="N42" s="11" t="s">
        <v>175</v>
      </c>
      <c r="O42" s="35">
        <f>SUMIF('Expense Comp Data'!$B:$B,Inputs!$L42,'Expense Comp Data'!$I:$I)/12</f>
        <v>0</v>
      </c>
      <c r="P42" s="76">
        <v>0</v>
      </c>
      <c r="Q42" s="35">
        <f t="shared" si="5"/>
        <v>0</v>
      </c>
      <c r="R42" s="77">
        <f>Projection!BW127</f>
        <v>0</v>
      </c>
      <c r="S42" s="35"/>
      <c r="T42" s="148"/>
      <c r="U42" s="149"/>
      <c r="V42" s="150" t="s">
        <v>190</v>
      </c>
      <c r="W42" s="151" t="s">
        <v>191</v>
      </c>
    </row>
    <row r="43" spans="2:24" ht="14.25" customHeight="1" x14ac:dyDescent="0.2">
      <c r="B43" s="851" t="s">
        <v>192</v>
      </c>
      <c r="C43" s="848"/>
      <c r="D43" s="34"/>
      <c r="E43" s="146">
        <v>4286</v>
      </c>
      <c r="F43" s="11" t="s">
        <v>193</v>
      </c>
      <c r="G43" s="11" t="s">
        <v>168</v>
      </c>
      <c r="H43" s="35" t="str">
        <f>IFERROR(SUMIF('Expense Comp Data'!$B:$B,$E43,'Expense Comp Data'!$I:$I)/SUMIF('Expense Comp Data'!$B:$B,"ProjectedRent",'Expense Comp Data'!$I:$I),"No Comps")</f>
        <v>No Comps</v>
      </c>
      <c r="I43" s="66">
        <v>1E-3</v>
      </c>
      <c r="J43" s="24">
        <f t="shared" si="6"/>
        <v>1E-3</v>
      </c>
      <c r="L43" s="9">
        <v>6168</v>
      </c>
      <c r="M43" s="11" t="s">
        <v>194</v>
      </c>
      <c r="N43" s="11" t="s">
        <v>175</v>
      </c>
      <c r="O43" s="75">
        <f>IFERROR(SUMIF('Expense Comp Data'!$B:$B,Inputs!$L43,'Expense Comp Data'!$I:$I)/SUMIF('Expense Comp Data'!$B:$B,"SqFoot_Total",'Expense Comp Data'!$I:$I),VALUE(0))</f>
        <v>0</v>
      </c>
      <c r="P43" s="76">
        <v>12</v>
      </c>
      <c r="Q43" s="35">
        <f t="shared" si="5"/>
        <v>12</v>
      </c>
      <c r="R43" s="77">
        <f>Projection!BW128</f>
        <v>135</v>
      </c>
      <c r="S43" s="35"/>
      <c r="T43" s="9" t="s">
        <v>174</v>
      </c>
      <c r="V43" s="152"/>
      <c r="W43" s="152">
        <v>0</v>
      </c>
    </row>
    <row r="44" spans="2:24" ht="14.25" customHeight="1" x14ac:dyDescent="0.2">
      <c r="B44" s="131"/>
      <c r="C44" s="132"/>
      <c r="D44" s="34"/>
      <c r="E44" s="146">
        <v>7102</v>
      </c>
      <c r="F44" s="11" t="s">
        <v>195</v>
      </c>
      <c r="G44" s="11" t="s">
        <v>168</v>
      </c>
      <c r="H44" s="35" t="str">
        <f>IFERROR(SUMIF('Expense Comp Data'!$B:$B,$E44,'Expense Comp Data'!$I:$I)/SUMIF('Expense Comp Data'!$B:$B,"ProjectedRent",'Expense Comp Data'!$I:$I),"No Comps")</f>
        <v>No Comps</v>
      </c>
      <c r="I44" s="66">
        <v>1E-3</v>
      </c>
      <c r="J44" s="24">
        <f t="shared" si="6"/>
        <v>1E-3</v>
      </c>
      <c r="L44" s="9">
        <v>6170</v>
      </c>
      <c r="M44" s="11" t="s">
        <v>196</v>
      </c>
      <c r="N44" s="11" t="s">
        <v>85</v>
      </c>
      <c r="O44" s="75">
        <f>IFERROR(SUMIF('Expense Comp Data'!$B:$B,Inputs!$L44,'Expense Comp Data'!$I:$I)/SUMIF('Expense Comp Data'!$B:$B,"SqFoot_Total",'Expense Comp Data'!$I:$I),VALUE(0))</f>
        <v>0</v>
      </c>
      <c r="P44" s="76">
        <v>0.14000000000000001</v>
      </c>
      <c r="Q44" s="75">
        <f t="shared" si="5"/>
        <v>0.14000000000000001</v>
      </c>
      <c r="R44" s="77">
        <f>Projection!BW129</f>
        <v>14812.980000000005</v>
      </c>
      <c r="S44" s="35"/>
      <c r="T44" s="9" t="s">
        <v>178</v>
      </c>
      <c r="V44" s="152"/>
      <c r="W44" s="152">
        <v>250</v>
      </c>
    </row>
    <row r="45" spans="2:24" ht="14.25" customHeight="1" x14ac:dyDescent="0.2">
      <c r="B45" s="37" t="s">
        <v>197</v>
      </c>
      <c r="C45" s="152">
        <v>14903660</v>
      </c>
      <c r="D45" s="34"/>
      <c r="E45" s="146">
        <v>4285</v>
      </c>
      <c r="F45" s="11" t="s">
        <v>198</v>
      </c>
      <c r="G45" s="11" t="s">
        <v>168</v>
      </c>
      <c r="H45" s="35" t="str">
        <f>IFERROR(SUMIF('Expense Comp Data'!$B:$B,$E45,'Expense Comp Data'!$I:$I)/SUMIF('Expense Comp Data'!$B:$B,"ProjectedRent",'Expense Comp Data'!$I:$I),"No Comps")</f>
        <v>No Comps</v>
      </c>
      <c r="I45" s="66">
        <v>1E-3</v>
      </c>
      <c r="J45" s="24">
        <f t="shared" si="6"/>
        <v>1E-3</v>
      </c>
      <c r="L45" s="9">
        <v>6174</v>
      </c>
      <c r="M45" s="11" t="s">
        <v>199</v>
      </c>
      <c r="N45" s="11" t="s">
        <v>175</v>
      </c>
      <c r="O45" s="35">
        <f>SUMIF('Expense Comp Data'!$B:$B,Inputs!$L45,'Expense Comp Data'!$I:$I)/12</f>
        <v>0</v>
      </c>
      <c r="P45" s="76">
        <v>9.9999999999999995E-8</v>
      </c>
      <c r="Q45" s="35">
        <f t="shared" si="5"/>
        <v>9.9999999999999995E-8</v>
      </c>
      <c r="R45" s="77">
        <f>Projection!BW130</f>
        <v>1.1999999999999999E-6</v>
      </c>
      <c r="S45" s="35"/>
      <c r="T45" s="9" t="s">
        <v>183</v>
      </c>
      <c r="V45" s="152"/>
      <c r="W45" s="152">
        <v>1200</v>
      </c>
    </row>
    <row r="46" spans="2:24" ht="14.25" customHeight="1" x14ac:dyDescent="0.2">
      <c r="B46" s="37" t="s">
        <v>200</v>
      </c>
      <c r="C46" s="85">
        <f>C45*0.65</f>
        <v>9687379</v>
      </c>
      <c r="D46" s="34"/>
      <c r="E46" s="146">
        <v>4287</v>
      </c>
      <c r="F46" s="11" t="s">
        <v>201</v>
      </c>
      <c r="G46" s="11" t="s">
        <v>168</v>
      </c>
      <c r="H46" s="35" t="str">
        <f>IFERROR(SUMIF('Expense Comp Data'!$B:$B,$E46,'Expense Comp Data'!$I:$I)/SUMIF('Expense Comp Data'!$B:$B,"ProjectedRent",'Expense Comp Data'!$I:$I),"No Comps")</f>
        <v>No Comps</v>
      </c>
      <c r="I46" s="66">
        <v>1E-3</v>
      </c>
      <c r="J46" s="24">
        <f t="shared" si="6"/>
        <v>1E-3</v>
      </c>
      <c r="L46" s="9">
        <v>6176</v>
      </c>
      <c r="M46" s="11" t="s">
        <v>202</v>
      </c>
      <c r="N46" s="11" t="s">
        <v>175</v>
      </c>
      <c r="O46" s="35">
        <f>SUMIF('Expense Comp Data'!$B:$B,Inputs!$L46,'Expense Comp Data'!$I:$I)/12</f>
        <v>0</v>
      </c>
      <c r="P46" s="76">
        <v>0</v>
      </c>
      <c r="Q46" s="35">
        <f t="shared" si="5"/>
        <v>0</v>
      </c>
      <c r="R46" s="77">
        <f>Projection!BW131</f>
        <v>0</v>
      </c>
      <c r="S46" s="35"/>
      <c r="T46" s="9" t="s">
        <v>203</v>
      </c>
      <c r="V46" s="152"/>
      <c r="W46" s="152">
        <v>1800</v>
      </c>
    </row>
    <row r="47" spans="2:24" ht="14.25" customHeight="1" x14ac:dyDescent="0.2">
      <c r="B47" s="37" t="s">
        <v>204</v>
      </c>
      <c r="C47" s="153">
        <v>7.4999999999999997E-2</v>
      </c>
      <c r="D47" s="34"/>
      <c r="E47" s="146">
        <v>4288</v>
      </c>
      <c r="F47" s="11" t="s">
        <v>205</v>
      </c>
      <c r="G47" s="11" t="s">
        <v>168</v>
      </c>
      <c r="H47" s="35" t="str">
        <f>IFERROR(SUMIF('Expense Comp Data'!$B:$B,$E47,'Expense Comp Data'!$I:$I)/SUMIF('Expense Comp Data'!$B:$B,"ProjectedRent",'Expense Comp Data'!$I:$I),"No Comps")</f>
        <v>No Comps</v>
      </c>
      <c r="I47" s="66">
        <v>1E-3</v>
      </c>
      <c r="J47" s="24">
        <f t="shared" si="6"/>
        <v>1E-3</v>
      </c>
      <c r="L47" s="9">
        <v>6182</v>
      </c>
      <c r="M47" s="11" t="s">
        <v>206</v>
      </c>
      <c r="N47" s="11" t="s">
        <v>175</v>
      </c>
      <c r="O47" s="35">
        <f>SUMIF('Expense Comp Data'!$B:$B,Inputs!$L47,'Expense Comp Data'!$I:$I)/12</f>
        <v>0</v>
      </c>
      <c r="P47" s="76">
        <v>17</v>
      </c>
      <c r="Q47" s="35">
        <f t="shared" si="5"/>
        <v>17</v>
      </c>
      <c r="R47" s="77">
        <f>Projection!BW132</f>
        <v>204</v>
      </c>
      <c r="S47" s="35"/>
      <c r="T47" s="9" t="s">
        <v>207</v>
      </c>
      <c r="V47" s="152"/>
      <c r="W47" s="152">
        <v>5000</v>
      </c>
      <c r="X47" s="11"/>
    </row>
    <row r="48" spans="2:24" ht="14.25" customHeight="1" x14ac:dyDescent="0.2">
      <c r="B48" s="37" t="s">
        <v>208</v>
      </c>
      <c r="C48" s="154">
        <v>25</v>
      </c>
      <c r="D48" s="34"/>
      <c r="E48" s="146">
        <v>4255</v>
      </c>
      <c r="F48" s="11" t="s">
        <v>209</v>
      </c>
      <c r="G48" s="11" t="s">
        <v>168</v>
      </c>
      <c r="H48" s="35" t="str">
        <f>IFERROR(SUMIF('Expense Comp Data'!$B:$B,$E48,'Expense Comp Data'!$I:$I)/SUMIF('Expense Comp Data'!$B:$B,"ProjectedRent",'Expense Comp Data'!$I:$I),"No Comps")</f>
        <v>No Comps</v>
      </c>
      <c r="I48" s="66">
        <v>1E-3</v>
      </c>
      <c r="J48" s="24">
        <f t="shared" si="6"/>
        <v>1E-3</v>
      </c>
      <c r="L48" s="9">
        <v>6190</v>
      </c>
      <c r="M48" s="11" t="s">
        <v>210</v>
      </c>
      <c r="N48" s="11" t="s">
        <v>175</v>
      </c>
      <c r="O48" s="35">
        <f>SUMIF('Expense Comp Data'!$B:$B,Inputs!$L48,'Expense Comp Data'!$I:$I)/12</f>
        <v>0</v>
      </c>
      <c r="P48" s="76">
        <v>0</v>
      </c>
      <c r="Q48" s="35">
        <f t="shared" si="5"/>
        <v>0</v>
      </c>
      <c r="R48" s="77">
        <f>Projection!BW133</f>
        <v>0</v>
      </c>
      <c r="S48" s="35"/>
      <c r="T48" s="9" t="s">
        <v>211</v>
      </c>
      <c r="V48" s="152"/>
      <c r="W48" s="152">
        <v>10000</v>
      </c>
    </row>
    <row r="49" spans="2:25" ht="14.25" customHeight="1" x14ac:dyDescent="0.2">
      <c r="B49" s="37" t="s">
        <v>212</v>
      </c>
      <c r="C49" s="154">
        <v>0</v>
      </c>
      <c r="D49" s="34"/>
      <c r="E49" s="155"/>
      <c r="H49" s="25"/>
      <c r="I49" s="66"/>
      <c r="J49" s="24"/>
      <c r="L49" s="9">
        <v>6212</v>
      </c>
      <c r="M49" s="11" t="s">
        <v>213</v>
      </c>
      <c r="N49" s="11" t="s">
        <v>175</v>
      </c>
      <c r="O49" s="35">
        <f>SUMIF('Expense Comp Data'!$B:$B,Inputs!$L49,'Expense Comp Data'!$I:$I)/12</f>
        <v>0</v>
      </c>
      <c r="P49" s="76">
        <v>0</v>
      </c>
      <c r="Q49" s="35">
        <f t="shared" si="5"/>
        <v>0</v>
      </c>
      <c r="R49" s="77">
        <f>Projection!BW134</f>
        <v>0</v>
      </c>
      <c r="S49" s="35"/>
      <c r="T49" s="9" t="s">
        <v>214</v>
      </c>
      <c r="V49" s="152"/>
      <c r="W49" s="152">
        <v>0</v>
      </c>
    </row>
    <row r="50" spans="2:25" ht="14.25" customHeight="1" x14ac:dyDescent="0.2">
      <c r="B50" s="37" t="s">
        <v>215</v>
      </c>
      <c r="C50" s="152">
        <v>50000</v>
      </c>
      <c r="D50" s="34"/>
      <c r="E50" s="131" t="s">
        <v>216</v>
      </c>
      <c r="F50" s="143"/>
      <c r="G50" s="91"/>
      <c r="H50" s="144" t="s">
        <v>165</v>
      </c>
      <c r="I50" s="144" t="s">
        <v>47</v>
      </c>
      <c r="J50" s="145" t="s">
        <v>48</v>
      </c>
      <c r="L50" s="9">
        <v>6224</v>
      </c>
      <c r="M50" s="11" t="s">
        <v>207</v>
      </c>
      <c r="N50" s="11" t="s">
        <v>175</v>
      </c>
      <c r="O50" s="35">
        <f>SUMIF('Expense Comp Data'!$B:$B,Inputs!$L50,'Expense Comp Data'!$I:$I)/12</f>
        <v>0</v>
      </c>
      <c r="P50" s="76">
        <v>64</v>
      </c>
      <c r="Q50" s="35">
        <f t="shared" si="5"/>
        <v>64</v>
      </c>
      <c r="R50" s="77">
        <f>Projection!BW137</f>
        <v>768</v>
      </c>
      <c r="S50" s="35"/>
      <c r="T50" s="9" t="s">
        <v>217</v>
      </c>
      <c r="V50" s="152"/>
      <c r="W50" s="152">
        <v>0</v>
      </c>
    </row>
    <row r="51" spans="2:25" ht="14.25" customHeight="1" x14ac:dyDescent="0.2">
      <c r="B51" s="37" t="s">
        <v>218</v>
      </c>
      <c r="C51" s="152">
        <f>SUM(I58:I72)*0</f>
        <v>0</v>
      </c>
      <c r="D51" s="34"/>
      <c r="E51" s="9" t="s">
        <v>219</v>
      </c>
      <c r="H51" s="25"/>
      <c r="I51" s="66">
        <v>0.75</v>
      </c>
      <c r="J51" s="24">
        <f t="shared" ref="J51:J52" si="7">IF(I51=0,H51,I51)</f>
        <v>0.75</v>
      </c>
      <c r="L51" s="9">
        <v>6225</v>
      </c>
      <c r="M51" s="11" t="s">
        <v>220</v>
      </c>
      <c r="N51" s="11" t="s">
        <v>175</v>
      </c>
      <c r="O51" s="35">
        <f>SUMIF('Expense Comp Data'!$B:$B,Inputs!$L51,'Expense Comp Data'!$I:$I)/12</f>
        <v>0</v>
      </c>
      <c r="P51" s="76">
        <v>189</v>
      </c>
      <c r="Q51" s="35">
        <f t="shared" si="5"/>
        <v>189</v>
      </c>
      <c r="R51" s="77">
        <f>Projection!BW138</f>
        <v>2268</v>
      </c>
      <c r="S51" s="35"/>
      <c r="T51" s="9" t="s">
        <v>199</v>
      </c>
      <c r="V51" s="152"/>
      <c r="W51" s="152">
        <v>0</v>
      </c>
    </row>
    <row r="52" spans="2:25" ht="14.25" customHeight="1" x14ac:dyDescent="0.2">
      <c r="B52" s="37" t="s">
        <v>221</v>
      </c>
      <c r="C52" s="152">
        <f>C46*0.02</f>
        <v>193747.58000000002</v>
      </c>
      <c r="D52" s="34"/>
      <c r="E52" s="146">
        <v>4940</v>
      </c>
      <c r="F52" s="11" t="s">
        <v>222</v>
      </c>
      <c r="G52" s="11" t="s">
        <v>175</v>
      </c>
      <c r="H52" s="25"/>
      <c r="I52" s="60">
        <v>0</v>
      </c>
      <c r="J52" s="77">
        <f t="shared" si="7"/>
        <v>0</v>
      </c>
      <c r="L52" s="9">
        <v>6226</v>
      </c>
      <c r="M52" s="11" t="s">
        <v>217</v>
      </c>
      <c r="N52" s="11" t="s">
        <v>175</v>
      </c>
      <c r="O52" s="35">
        <f>SUMIF('Expense Comp Data'!$B:$B,Inputs!$L52,'Expense Comp Data'!$I:$I)/12</f>
        <v>0</v>
      </c>
      <c r="P52" s="76"/>
      <c r="Q52" s="35">
        <f t="shared" si="5"/>
        <v>0</v>
      </c>
      <c r="R52" s="77">
        <f>Projection!BW139</f>
        <v>0</v>
      </c>
      <c r="S52" s="35"/>
      <c r="T52" s="9" t="s">
        <v>213</v>
      </c>
      <c r="V52" s="152"/>
      <c r="W52" s="152">
        <v>500</v>
      </c>
    </row>
    <row r="53" spans="2:25" ht="14.25" customHeight="1" x14ac:dyDescent="0.2">
      <c r="B53" s="131"/>
      <c r="C53" s="99"/>
      <c r="D53" s="34"/>
      <c r="E53" s="146">
        <v>4962</v>
      </c>
      <c r="F53" s="11" t="s">
        <v>223</v>
      </c>
      <c r="G53" s="11" t="s">
        <v>175</v>
      </c>
      <c r="H53" s="25"/>
      <c r="I53" s="60">
        <v>0</v>
      </c>
      <c r="J53" s="77">
        <v>0</v>
      </c>
      <c r="L53" s="9">
        <v>6227</v>
      </c>
      <c r="M53" s="11" t="s">
        <v>224</v>
      </c>
      <c r="N53" s="11" t="s">
        <v>175</v>
      </c>
      <c r="O53" s="35">
        <f>SUMIF('Expense Comp Data'!$B:$B,Inputs!$L53,'Expense Comp Data'!$I:$I)/12</f>
        <v>0</v>
      </c>
      <c r="P53" s="76">
        <v>1.0000000000000001E-9</v>
      </c>
      <c r="Q53" s="35">
        <f t="shared" si="5"/>
        <v>1.0000000000000001E-9</v>
      </c>
      <c r="R53" s="77">
        <f>Projection!BW140</f>
        <v>1.2000000000000003E-8</v>
      </c>
      <c r="S53" s="35"/>
      <c r="T53" s="16" t="s">
        <v>225</v>
      </c>
      <c r="U53" s="17"/>
      <c r="V53" s="156"/>
      <c r="W53" s="156">
        <f>IF(D18=0,3000,0)</f>
        <v>3000</v>
      </c>
    </row>
    <row r="54" spans="2:25" ht="14.25" customHeight="1" x14ac:dyDescent="0.2">
      <c r="B54" s="37" t="s">
        <v>226</v>
      </c>
      <c r="C54" s="24">
        <f>C46/C45</f>
        <v>0.65</v>
      </c>
      <c r="D54" s="34"/>
      <c r="E54" s="157">
        <v>4961</v>
      </c>
      <c r="F54" s="17" t="s">
        <v>227</v>
      </c>
      <c r="G54" s="17" t="s">
        <v>182</v>
      </c>
      <c r="H54" s="158" t="str">
        <f>IFERROR(SUMIF('Expense Comp Data'!$B:$B,Inputs!$E54,'Expense Comp Data'!$I:$I)/SUMIF('Expense Comp Data'!$B:$B,"Rentals",'Expense Comp Data'!$I:$I),"No Comps")</f>
        <v>No Comps</v>
      </c>
      <c r="I54" s="159">
        <v>2.5</v>
      </c>
      <c r="J54" s="160">
        <f>IF(I54=0,H54,I54)</f>
        <v>2.5</v>
      </c>
      <c r="L54" s="9">
        <v>6232</v>
      </c>
      <c r="M54" s="11" t="s">
        <v>228</v>
      </c>
      <c r="N54" s="11" t="s">
        <v>229</v>
      </c>
      <c r="O54" s="75">
        <f>IFERROR(SUMIF('Expense Comp Data'!$B:$B,Inputs!$L54,'Expense Comp Data'!$I:$I)/SUMIF('Expense Comp Data'!$B:$B,"SqFoot_Total",'Expense Comp Data'!$I:$I),VALUE(0))</f>
        <v>0</v>
      </c>
      <c r="P54" s="66">
        <v>1.4999999999999999E-2</v>
      </c>
      <c r="Q54" s="25">
        <f t="shared" si="5"/>
        <v>1.4999999999999999E-2</v>
      </c>
      <c r="R54" s="77">
        <f>Projection!BW141</f>
        <v>5939.0577510659177</v>
      </c>
      <c r="S54" s="35"/>
    </row>
    <row r="55" spans="2:25" ht="14.25" customHeight="1" x14ac:dyDescent="0.2">
      <c r="B55" s="37" t="s">
        <v>230</v>
      </c>
      <c r="C55" s="77">
        <f>C45-C46+C50+C51+C52</f>
        <v>5460028.5800000001</v>
      </c>
      <c r="D55" s="34"/>
      <c r="L55" s="9">
        <v>6233</v>
      </c>
      <c r="M55" s="11" t="s">
        <v>231</v>
      </c>
      <c r="N55" s="11" t="s">
        <v>229</v>
      </c>
      <c r="O55" s="75">
        <f>IFERROR(SUMIF('Expense Comp Data'!$B:$B,Inputs!$L55,'Expense Comp Data'!$I:$I)/SUMIF('Expense Comp Data'!$B:$B,"SqFoot_Total",'Expense Comp Data'!$I:$I),VALUE(0))</f>
        <v>0</v>
      </c>
      <c r="P55" s="66">
        <v>8.0000000000000002E-3</v>
      </c>
      <c r="Q55" s="25">
        <f t="shared" si="5"/>
        <v>8.0000000000000002E-3</v>
      </c>
      <c r="R55" s="77">
        <f>Projection!BW142</f>
        <v>3167.4974672351564</v>
      </c>
      <c r="S55" s="35"/>
    </row>
    <row r="56" spans="2:25" ht="14.25" customHeight="1" x14ac:dyDescent="0.2">
      <c r="B56" s="37" t="s">
        <v>232</v>
      </c>
      <c r="C56" s="24">
        <f>'7 Year Projection'!S51</f>
        <v>2.1455036583738251E-3</v>
      </c>
      <c r="D56" s="34"/>
      <c r="E56" s="851" t="s">
        <v>233</v>
      </c>
      <c r="F56" s="852"/>
      <c r="G56" s="852"/>
      <c r="H56" s="852"/>
      <c r="I56" s="852"/>
      <c r="J56" s="848"/>
      <c r="L56" s="9">
        <v>6261</v>
      </c>
      <c r="M56" s="11" t="s">
        <v>234</v>
      </c>
      <c r="N56" s="11" t="s">
        <v>175</v>
      </c>
      <c r="O56" s="35">
        <f>SUMIF('Expense Comp Data'!$B:$B,Inputs!$L56,'Expense Comp Data'!$I:$I)/12</f>
        <v>0</v>
      </c>
      <c r="P56" s="76">
        <v>0</v>
      </c>
      <c r="Q56" s="35">
        <f t="shared" si="5"/>
        <v>0</v>
      </c>
      <c r="R56" s="77">
        <f>Projection!BW145</f>
        <v>0</v>
      </c>
      <c r="S56" s="35"/>
    </row>
    <row r="57" spans="2:25" ht="14.25" customHeight="1" x14ac:dyDescent="0.2">
      <c r="B57" s="16" t="s">
        <v>235</v>
      </c>
      <c r="C57" s="26">
        <f>'7 Year Projection'!V51</f>
        <v>0.1077052359386184</v>
      </c>
      <c r="D57" s="34"/>
      <c r="E57" s="137"/>
      <c r="F57" s="138"/>
      <c r="G57" s="41"/>
      <c r="H57" s="139"/>
      <c r="I57" s="139" t="s">
        <v>236</v>
      </c>
      <c r="J57" s="140"/>
      <c r="L57" s="9">
        <v>6256</v>
      </c>
      <c r="M57" s="11" t="s">
        <v>237</v>
      </c>
      <c r="N57" s="11" t="s">
        <v>175</v>
      </c>
      <c r="O57" s="35">
        <f>MAX(SUMIF('Expense Comp Data'!$B:$B,Inputs!$L57,'Expense Comp Data'!$I:$I)/12,50)</f>
        <v>50</v>
      </c>
      <c r="P57" s="76">
        <v>50</v>
      </c>
      <c r="Q57" s="35">
        <f t="shared" si="5"/>
        <v>50</v>
      </c>
      <c r="R57" s="77">
        <f>Projection!BW146</f>
        <v>600</v>
      </c>
      <c r="S57" s="35"/>
    </row>
    <row r="58" spans="2:25" ht="14.25" customHeight="1" x14ac:dyDescent="0.2">
      <c r="B58" s="56"/>
      <c r="D58" s="34"/>
      <c r="E58" s="861" t="s">
        <v>238</v>
      </c>
      <c r="F58" s="862"/>
      <c r="G58" s="862"/>
      <c r="H58" s="862"/>
      <c r="I58" s="76"/>
      <c r="J58" s="24"/>
      <c r="L58" s="9">
        <v>6311</v>
      </c>
      <c r="M58" s="11" t="s">
        <v>239</v>
      </c>
      <c r="N58" s="11" t="s">
        <v>240</v>
      </c>
      <c r="O58" s="75">
        <f>IFERROR(SUMIF('Expense Comp Data'!$B:$B,Inputs!$L58,'Expense Comp Data'!$I:$I)/SUMIF('Expense Comp Data'!$B:$B,"Rentals",'Expense Comp Data'!$I:$I),0)</f>
        <v>0</v>
      </c>
      <c r="P58" s="76">
        <v>1E-8</v>
      </c>
      <c r="Q58" s="35">
        <f t="shared" si="5"/>
        <v>1E-8</v>
      </c>
      <c r="R58" s="77">
        <f>Projection!BW147</f>
        <v>3.3357223205543316E-6</v>
      </c>
      <c r="S58" s="35"/>
    </row>
    <row r="59" spans="2:25" ht="14.25" customHeight="1" x14ac:dyDescent="0.2">
      <c r="B59" s="851" t="s">
        <v>241</v>
      </c>
      <c r="C59" s="848"/>
      <c r="D59" s="34"/>
      <c r="E59" s="861" t="s">
        <v>242</v>
      </c>
      <c r="F59" s="862"/>
      <c r="G59" s="862"/>
      <c r="H59" s="862"/>
      <c r="I59" s="76">
        <v>0</v>
      </c>
      <c r="J59" s="24"/>
      <c r="L59" s="9">
        <v>6320</v>
      </c>
      <c r="M59" s="11" t="s">
        <v>243</v>
      </c>
      <c r="N59" s="11" t="s">
        <v>175</v>
      </c>
      <c r="O59" s="35">
        <f>SUMIF('Expense Comp Data'!$B:$B,Inputs!$L59,'Expense Comp Data'!$I:$I)/12</f>
        <v>0</v>
      </c>
      <c r="P59" s="76">
        <f>IF(C60=FALSE,0.001,O59)</f>
        <v>1E-3</v>
      </c>
      <c r="Q59" s="35">
        <f t="shared" si="5"/>
        <v>1E-3</v>
      </c>
      <c r="R59" s="77">
        <f>Projection!BW148</f>
        <v>1.2000000000000004E-2</v>
      </c>
      <c r="S59" s="35"/>
      <c r="T59" s="161"/>
      <c r="U59" s="161"/>
      <c r="V59" s="161"/>
    </row>
    <row r="60" spans="2:25" ht="14.25" customHeight="1" x14ac:dyDescent="0.2">
      <c r="B60" s="162" t="s">
        <v>244</v>
      </c>
      <c r="C60" s="163" t="b">
        <v>0</v>
      </c>
      <c r="D60" s="34"/>
      <c r="E60" s="861" t="s">
        <v>245</v>
      </c>
      <c r="F60" s="862"/>
      <c r="G60" s="862"/>
      <c r="H60" s="862"/>
      <c r="I60" s="76">
        <v>0</v>
      </c>
      <c r="J60" s="24"/>
      <c r="L60" s="9"/>
      <c r="M60" s="3" t="s">
        <v>77</v>
      </c>
      <c r="R60" s="103">
        <f>Projection!BW149</f>
        <v>13952.567222848795</v>
      </c>
      <c r="S60" s="35"/>
      <c r="T60" s="164"/>
      <c r="U60" s="165"/>
      <c r="V60" s="161"/>
    </row>
    <row r="61" spans="2:25" ht="14.25" customHeight="1" x14ac:dyDescent="0.2">
      <c r="B61" s="37" t="s">
        <v>246</v>
      </c>
      <c r="C61" s="20" t="b">
        <f>IF(C16&gt;0%,TRUE,FALSE)</f>
        <v>1</v>
      </c>
      <c r="D61" s="34"/>
      <c r="E61" s="861" t="s">
        <v>247</v>
      </c>
      <c r="F61" s="862"/>
      <c r="G61" s="862"/>
      <c r="H61" s="862"/>
      <c r="I61" s="76">
        <v>0</v>
      </c>
      <c r="J61" s="24"/>
      <c r="L61" s="9"/>
      <c r="R61" s="20"/>
      <c r="S61" s="35"/>
      <c r="T61" s="166"/>
      <c r="U61" s="161"/>
      <c r="V61" s="161"/>
    </row>
    <row r="62" spans="2:25" ht="14.25" customHeight="1" x14ac:dyDescent="0.2">
      <c r="B62" s="37" t="s">
        <v>248</v>
      </c>
      <c r="C62" s="167" t="b">
        <v>1</v>
      </c>
      <c r="D62" s="34"/>
      <c r="E62" s="861"/>
      <c r="F62" s="862"/>
      <c r="G62" s="862"/>
      <c r="H62" s="862"/>
      <c r="I62" s="76"/>
      <c r="J62" s="24"/>
      <c r="L62" s="168" t="s">
        <v>249</v>
      </c>
      <c r="M62" s="91"/>
      <c r="N62" s="91"/>
      <c r="O62" s="144" t="s">
        <v>46</v>
      </c>
      <c r="P62" s="144" t="s">
        <v>47</v>
      </c>
      <c r="Q62" s="144" t="s">
        <v>48</v>
      </c>
      <c r="R62" s="99"/>
      <c r="S62" s="35"/>
      <c r="T62" s="166"/>
      <c r="U62" s="161"/>
      <c r="V62" s="161"/>
    </row>
    <row r="63" spans="2:25" ht="14.25" customHeight="1" x14ac:dyDescent="0.2">
      <c r="B63" s="37" t="s">
        <v>250</v>
      </c>
      <c r="C63" s="167" t="b">
        <v>0</v>
      </c>
      <c r="D63" s="34"/>
      <c r="E63" s="861"/>
      <c r="F63" s="862"/>
      <c r="G63" s="862"/>
      <c r="H63" s="862"/>
      <c r="I63" s="76"/>
      <c r="J63" s="24"/>
      <c r="L63" s="9"/>
      <c r="R63" s="20"/>
      <c r="S63" s="35"/>
    </row>
    <row r="64" spans="2:25" ht="14.25" customHeight="1" x14ac:dyDescent="0.2">
      <c r="B64" s="73" t="s">
        <v>251</v>
      </c>
      <c r="C64" s="169" t="b">
        <v>0</v>
      </c>
      <c r="D64" s="34"/>
      <c r="E64" s="861" t="s">
        <v>252</v>
      </c>
      <c r="F64" s="862"/>
      <c r="G64" s="862"/>
      <c r="H64" s="862"/>
      <c r="I64" s="60">
        <f>SUM(H76:H77)*0</f>
        <v>0</v>
      </c>
      <c r="J64" s="24"/>
      <c r="L64" s="9">
        <v>6377</v>
      </c>
      <c r="M64" s="11" t="s">
        <v>249</v>
      </c>
      <c r="N64" s="11" t="s">
        <v>253</v>
      </c>
      <c r="P64" s="60">
        <v>12000</v>
      </c>
      <c r="Q64" s="35">
        <f>IF(P64=0,O64,P64)</f>
        <v>12000</v>
      </c>
      <c r="R64" s="103">
        <f>Projection!BW153</f>
        <v>12000</v>
      </c>
      <c r="S64" s="35"/>
      <c r="T64" s="11"/>
      <c r="U64" s="11"/>
      <c r="V64" s="35"/>
      <c r="W64" s="35"/>
      <c r="X64" s="35"/>
      <c r="Y64" s="35"/>
    </row>
    <row r="65" spans="2:27" ht="14.25" customHeight="1" x14ac:dyDescent="0.2">
      <c r="D65" s="34"/>
      <c r="E65" s="861" t="s">
        <v>254</v>
      </c>
      <c r="F65" s="862"/>
      <c r="G65" s="862"/>
      <c r="H65" s="862"/>
      <c r="I65" s="60">
        <v>0</v>
      </c>
      <c r="J65" s="24"/>
      <c r="L65" s="9"/>
      <c r="R65" s="170"/>
      <c r="S65" s="35"/>
      <c r="T65" s="35"/>
      <c r="U65" s="35"/>
      <c r="V65" s="35"/>
      <c r="W65" s="35"/>
      <c r="X65" s="35"/>
      <c r="Y65" s="35"/>
    </row>
    <row r="66" spans="2:27" ht="14.25" customHeight="1" x14ac:dyDescent="0.2">
      <c r="B66" s="864" t="s">
        <v>255</v>
      </c>
      <c r="C66" s="848"/>
      <c r="D66" s="34"/>
      <c r="E66" s="861"/>
      <c r="F66" s="862"/>
      <c r="G66" s="862"/>
      <c r="H66" s="862"/>
      <c r="I66" s="76"/>
      <c r="J66" s="24"/>
      <c r="L66" s="171" t="s">
        <v>256</v>
      </c>
      <c r="O66" s="172" t="s">
        <v>46</v>
      </c>
      <c r="P66" s="172" t="s">
        <v>47</v>
      </c>
      <c r="Q66" s="172" t="s">
        <v>48</v>
      </c>
      <c r="R66" s="20"/>
      <c r="S66" s="35"/>
      <c r="T66" s="173">
        <v>1</v>
      </c>
      <c r="U66" s="173">
        <v>2</v>
      </c>
      <c r="V66" s="173">
        <v>3</v>
      </c>
      <c r="W66" s="173">
        <v>4</v>
      </c>
      <c r="X66" s="173">
        <v>5</v>
      </c>
    </row>
    <row r="67" spans="2:27" ht="14.25" customHeight="1" x14ac:dyDescent="0.2">
      <c r="B67" s="37" t="s">
        <v>257</v>
      </c>
      <c r="C67" s="174">
        <f>'7 Year Projection'!S38/'7 Year Projection'!U4</f>
        <v>3.4277721896387616</v>
      </c>
      <c r="D67" s="34"/>
      <c r="E67" s="861"/>
      <c r="F67" s="862"/>
      <c r="G67" s="862"/>
      <c r="H67" s="862"/>
      <c r="I67" s="76"/>
      <c r="J67" s="24"/>
      <c r="L67" s="9">
        <v>6270</v>
      </c>
      <c r="M67" s="11" t="s">
        <v>258</v>
      </c>
      <c r="N67" s="11" t="s">
        <v>85</v>
      </c>
      <c r="O67" s="75" t="str">
        <f>IFERROR(SUMIF('Expense Comp Data'!$B:$B,Inputs!$L67,'Expense Comp Data'!$I:$I)/SUMIF('Expense Comp Data'!$B:$B,"SqFoot_Total",'Expense Comp Data'!$I:$I),"No Comps")</f>
        <v>No Comps</v>
      </c>
      <c r="P67" s="76">
        <f>T67/C13</f>
        <v>1.2009909552298053</v>
      </c>
      <c r="Q67" s="75">
        <f t="shared" ref="Q67:Q68" si="8">IF(P67=0,O67,P67)</f>
        <v>1.2009909552298053</v>
      </c>
      <c r="R67" s="28">
        <f>Projection!BW156</f>
        <v>127073.25</v>
      </c>
      <c r="S67" s="35"/>
      <c r="T67" s="175">
        <f>U67*0.75</f>
        <v>127073.25</v>
      </c>
      <c r="U67" s="175">
        <v>169431</v>
      </c>
      <c r="V67" s="175"/>
      <c r="W67" s="175"/>
      <c r="X67" s="175"/>
    </row>
    <row r="68" spans="2:27" ht="14.25" customHeight="1" x14ac:dyDescent="0.2">
      <c r="B68" s="37" t="s">
        <v>259</v>
      </c>
      <c r="C68" s="174">
        <f>R8/C13</f>
        <v>0.67849909595918811</v>
      </c>
      <c r="D68" s="34"/>
      <c r="E68" s="861"/>
      <c r="F68" s="862"/>
      <c r="G68" s="862"/>
      <c r="H68" s="862"/>
      <c r="I68" s="76"/>
      <c r="J68" s="24"/>
      <c r="L68" s="9">
        <v>6172</v>
      </c>
      <c r="M68" s="11" t="s">
        <v>260</v>
      </c>
      <c r="N68" s="11" t="s">
        <v>85</v>
      </c>
      <c r="O68" s="75" t="str">
        <f>IFERROR(SUMIF('Expense Comp Data'!$B:$B,Inputs!$L68,'Expense Comp Data'!$I:$I)/SUMIF('Expense Comp Data'!$B:$B,"SqFoot_Total",'Expense Comp Data'!$I:$I),"No Comps")</f>
        <v>No Comps</v>
      </c>
      <c r="P68" s="76">
        <v>0.11</v>
      </c>
      <c r="Q68" s="75">
        <f t="shared" si="8"/>
        <v>0.11</v>
      </c>
      <c r="R68" s="77">
        <f>Projection!BW161</f>
        <v>11638.77</v>
      </c>
      <c r="S68" s="35"/>
    </row>
    <row r="69" spans="2:27" ht="14.25" customHeight="1" x14ac:dyDescent="0.2">
      <c r="B69" s="37" t="s">
        <v>261</v>
      </c>
      <c r="C69" s="174">
        <f>(R18+R35+R68)/C13</f>
        <v>0.8930000000010001</v>
      </c>
      <c r="D69" s="34"/>
      <c r="E69" s="861"/>
      <c r="F69" s="862"/>
      <c r="G69" s="862"/>
      <c r="H69" s="862"/>
      <c r="I69" s="76"/>
      <c r="J69" s="24"/>
      <c r="L69" s="9"/>
      <c r="M69" s="11" t="s">
        <v>262</v>
      </c>
      <c r="O69" s="75"/>
      <c r="P69" s="76" t="s">
        <v>263</v>
      </c>
      <c r="Q69" s="75"/>
      <c r="R69" s="20"/>
      <c r="S69" s="35"/>
      <c r="T69" s="851" t="s">
        <v>264</v>
      </c>
      <c r="U69" s="852"/>
      <c r="V69" s="848"/>
    </row>
    <row r="70" spans="2:27" ht="14.25" customHeight="1" x14ac:dyDescent="0.2">
      <c r="B70" s="37" t="s">
        <v>265</v>
      </c>
      <c r="C70" s="174">
        <f>'7 Year Projection'!S34/'7 Year Projection'!U4</f>
        <v>1.2009909552298053</v>
      </c>
      <c r="D70" s="34"/>
      <c r="E70" s="861"/>
      <c r="F70" s="862"/>
      <c r="G70" s="862"/>
      <c r="H70" s="862"/>
      <c r="I70" s="76"/>
      <c r="J70" s="24"/>
      <c r="L70" s="9">
        <v>6280</v>
      </c>
      <c r="M70" s="11" t="s">
        <v>266</v>
      </c>
      <c r="N70" s="11" t="s">
        <v>85</v>
      </c>
      <c r="O70" s="75" t="str">
        <f>IFERROR(SUMIF('Expense Comp Data'!$B:$B,Inputs!$L70,'Expense Comp Data'!$I:$I)/SUMIF('Expense Comp Data'!$B:$B,"SqFoot_Total",'Expense Comp Data'!$I:$I),"No Comps")</f>
        <v>No Comps</v>
      </c>
      <c r="P70" s="76">
        <v>0.27</v>
      </c>
      <c r="Q70" s="75">
        <f t="shared" ref="Q70:Q71" si="9">IF(P70=0,O70,P70)</f>
        <v>0.27</v>
      </c>
      <c r="R70" s="77">
        <f>Projection!BW157</f>
        <v>28567.89000000001</v>
      </c>
      <c r="S70" s="35"/>
      <c r="T70" s="9" t="s">
        <v>263</v>
      </c>
      <c r="V70" s="176">
        <v>6.4335580000000003E-2</v>
      </c>
    </row>
    <row r="71" spans="2:27" ht="14.25" customHeight="1" x14ac:dyDescent="0.2">
      <c r="B71" s="37" t="s">
        <v>267</v>
      </c>
      <c r="C71" s="174">
        <f>'7 Year Projection'!S35/'7 Year Projection'!U4</f>
        <v>0.27000000000000007</v>
      </c>
      <c r="D71" s="34"/>
      <c r="E71" s="861"/>
      <c r="F71" s="862"/>
      <c r="G71" s="862"/>
      <c r="H71" s="862"/>
      <c r="I71" s="76"/>
      <c r="J71" s="24"/>
      <c r="L71" s="9"/>
      <c r="M71" s="11" t="s">
        <v>268</v>
      </c>
      <c r="N71" s="11" t="s">
        <v>175</v>
      </c>
      <c r="O71" s="75"/>
      <c r="P71" s="60">
        <v>0</v>
      </c>
      <c r="Q71" s="35">
        <f t="shared" si="9"/>
        <v>0</v>
      </c>
      <c r="R71" s="20"/>
      <c r="S71" s="35"/>
      <c r="T71" s="9" t="s">
        <v>269</v>
      </c>
      <c r="V71" s="176">
        <v>0.10967763</v>
      </c>
    </row>
    <row r="72" spans="2:27" ht="14.25" customHeight="1" x14ac:dyDescent="0.2">
      <c r="B72" s="177" t="s">
        <v>270</v>
      </c>
      <c r="C72" s="178">
        <f>'7 Year Projection'!S26/C13</f>
        <v>3.7420698385210285</v>
      </c>
      <c r="D72" s="34"/>
      <c r="E72" s="863" t="s">
        <v>271</v>
      </c>
      <c r="F72" s="859"/>
      <c r="G72" s="859"/>
      <c r="H72" s="860"/>
      <c r="I72" s="159"/>
      <c r="J72" s="160"/>
      <c r="L72" s="9"/>
      <c r="M72" s="11" t="s">
        <v>272</v>
      </c>
      <c r="N72" s="11" t="s">
        <v>273</v>
      </c>
      <c r="O72" s="75"/>
      <c r="P72" s="60">
        <v>0</v>
      </c>
      <c r="Q72" s="35"/>
      <c r="R72" s="20"/>
      <c r="S72" s="35"/>
      <c r="T72" s="9" t="s">
        <v>274</v>
      </c>
      <c r="V72" s="176">
        <v>0.11064818</v>
      </c>
    </row>
    <row r="73" spans="2:27" ht="14.25" customHeight="1" x14ac:dyDescent="0.2">
      <c r="B73" s="37" t="s">
        <v>275</v>
      </c>
      <c r="C73" s="179">
        <f>'7 Year Projection'!S25/'7 Year Projection'!S26</f>
        <v>4.0184265301012961E-2</v>
      </c>
      <c r="D73" s="180"/>
      <c r="L73" s="9"/>
      <c r="O73" s="75"/>
      <c r="Q73" s="75"/>
      <c r="R73" s="20"/>
      <c r="S73" s="35"/>
      <c r="T73" s="9" t="s">
        <v>276</v>
      </c>
      <c r="V73" s="176">
        <v>0.10732799000000001</v>
      </c>
    </row>
    <row r="74" spans="2:27" ht="14.25" customHeight="1" x14ac:dyDescent="0.2">
      <c r="B74" s="181" t="s">
        <v>277</v>
      </c>
      <c r="C74" s="182">
        <f>'7 Year Projection'!S38/'7 Year Projection'!S26</f>
        <v>0.91600967848144532</v>
      </c>
      <c r="D74" s="180"/>
      <c r="L74" s="171" t="s">
        <v>278</v>
      </c>
      <c r="O74" s="172" t="s">
        <v>46</v>
      </c>
      <c r="P74" s="172" t="s">
        <v>47</v>
      </c>
      <c r="Q74" s="172" t="s">
        <v>48</v>
      </c>
      <c r="R74" s="20"/>
      <c r="S74" s="35"/>
      <c r="T74" s="16" t="s">
        <v>279</v>
      </c>
      <c r="U74" s="17"/>
      <c r="V74" s="183">
        <v>2.22749420286893E-2</v>
      </c>
      <c r="AA74" s="89" t="s">
        <v>0</v>
      </c>
    </row>
    <row r="75" spans="2:27" ht="14.25" customHeight="1" x14ac:dyDescent="0.2">
      <c r="D75" s="34"/>
      <c r="E75" s="151" t="s">
        <v>280</v>
      </c>
      <c r="F75" s="184"/>
      <c r="G75" s="151">
        <v>67.819999999999993</v>
      </c>
      <c r="H75" s="151">
        <f>I64/C13</f>
        <v>0</v>
      </c>
      <c r="L75" s="9">
        <v>7500</v>
      </c>
      <c r="M75" s="11" t="s">
        <v>281</v>
      </c>
      <c r="N75" s="11" t="s">
        <v>175</v>
      </c>
      <c r="O75" s="75"/>
      <c r="P75" s="76">
        <v>0</v>
      </c>
      <c r="Q75" s="35">
        <f t="shared" ref="Q75:Q77" si="10">IF(P75=0,O75,P75)</f>
        <v>0</v>
      </c>
      <c r="R75" s="20"/>
      <c r="S75" s="35"/>
      <c r="AA75" s="89" t="s">
        <v>253</v>
      </c>
    </row>
    <row r="76" spans="2:27" ht="14.25" customHeight="1" x14ac:dyDescent="0.2">
      <c r="D76" s="34"/>
      <c r="E76" s="151" t="s">
        <v>282</v>
      </c>
      <c r="G76" s="151">
        <v>65</v>
      </c>
      <c r="H76" s="151">
        <f>G76*C15</f>
        <v>6877455</v>
      </c>
      <c r="L76" s="9">
        <v>7530</v>
      </c>
      <c r="M76" s="11" t="s">
        <v>283</v>
      </c>
      <c r="N76" s="11" t="s">
        <v>175</v>
      </c>
      <c r="O76" s="75"/>
      <c r="P76" s="76">
        <v>0</v>
      </c>
      <c r="Q76" s="35">
        <f t="shared" si="10"/>
        <v>0</v>
      </c>
      <c r="R76" s="20"/>
      <c r="S76" s="35"/>
    </row>
    <row r="77" spans="2:27" ht="14.25" customHeight="1" x14ac:dyDescent="0.2">
      <c r="D77" s="34"/>
      <c r="E77" s="151" t="s">
        <v>284</v>
      </c>
      <c r="G77" s="151">
        <v>35</v>
      </c>
      <c r="H77" s="151">
        <f>G77*(C13-C15)</f>
        <v>0</v>
      </c>
      <c r="L77" s="16">
        <v>7550</v>
      </c>
      <c r="M77" s="17" t="s">
        <v>285</v>
      </c>
      <c r="N77" s="17" t="s">
        <v>175</v>
      </c>
      <c r="O77" s="158"/>
      <c r="P77" s="159">
        <v>0</v>
      </c>
      <c r="Q77" s="185">
        <f t="shared" si="10"/>
        <v>0</v>
      </c>
      <c r="R77" s="129"/>
      <c r="S77" s="35"/>
    </row>
    <row r="78" spans="2:27" ht="14.25" customHeight="1" x14ac:dyDescent="0.2">
      <c r="D78" s="34"/>
      <c r="S78" s="35"/>
    </row>
    <row r="79" spans="2:27" ht="14.25" customHeight="1" x14ac:dyDescent="0.2">
      <c r="D79" s="34"/>
      <c r="L79" s="3"/>
      <c r="O79" s="71"/>
      <c r="S79" s="35"/>
    </row>
    <row r="80" spans="2:27" ht="14.25" customHeight="1" x14ac:dyDescent="0.2">
      <c r="D80" s="34"/>
      <c r="P80" s="29"/>
      <c r="S80" s="35"/>
    </row>
    <row r="81" spans="4:19" ht="14.25" customHeight="1" x14ac:dyDescent="0.2">
      <c r="D81" s="34"/>
      <c r="S81" s="35"/>
    </row>
    <row r="82" spans="4:19" ht="14.25" customHeight="1" x14ac:dyDescent="0.2">
      <c r="D82" s="34"/>
      <c r="S82" s="35"/>
    </row>
    <row r="83" spans="4:19" ht="14.25" customHeight="1" x14ac:dyDescent="0.2">
      <c r="D83" s="34"/>
      <c r="S83" s="35"/>
    </row>
    <row r="84" spans="4:19" ht="14.25" customHeight="1" x14ac:dyDescent="0.2">
      <c r="D84" s="34"/>
      <c r="S84" s="35"/>
    </row>
    <row r="85" spans="4:19" ht="14.25" customHeight="1" x14ac:dyDescent="0.2">
      <c r="D85" s="34"/>
      <c r="S85" s="35"/>
    </row>
    <row r="86" spans="4:19" ht="14.25" customHeight="1" x14ac:dyDescent="0.2">
      <c r="D86" s="34"/>
      <c r="S86" s="35"/>
    </row>
    <row r="87" spans="4:19" ht="14.25" customHeight="1" x14ac:dyDescent="0.2">
      <c r="D87" s="34"/>
      <c r="S87" s="35"/>
    </row>
    <row r="88" spans="4:19" ht="14.25" customHeight="1" x14ac:dyDescent="0.2">
      <c r="D88" s="34"/>
      <c r="S88" s="35"/>
    </row>
    <row r="89" spans="4:19" ht="14.25" customHeight="1" x14ac:dyDescent="0.2">
      <c r="D89" s="34"/>
      <c r="S89" s="35"/>
    </row>
    <row r="90" spans="4:19" ht="14.25" customHeight="1" x14ac:dyDescent="0.2">
      <c r="D90" s="34"/>
      <c r="S90" s="35"/>
    </row>
    <row r="91" spans="4:19" ht="14.25" customHeight="1" x14ac:dyDescent="0.2">
      <c r="D91" s="34"/>
      <c r="S91" s="35"/>
    </row>
    <row r="92" spans="4:19" ht="14.25" customHeight="1" x14ac:dyDescent="0.2">
      <c r="D92" s="34"/>
      <c r="S92" s="35"/>
    </row>
    <row r="93" spans="4:19" ht="14.25" customHeight="1" x14ac:dyDescent="0.2">
      <c r="D93" s="34"/>
      <c r="S93" s="35"/>
    </row>
    <row r="94" spans="4:19" ht="14.25" customHeight="1" x14ac:dyDescent="0.2">
      <c r="D94" s="34"/>
      <c r="S94" s="35"/>
    </row>
    <row r="95" spans="4:19" ht="14.25" customHeight="1" x14ac:dyDescent="0.2">
      <c r="D95" s="34"/>
      <c r="S95" s="35"/>
    </row>
    <row r="96" spans="4:19" ht="14.25" customHeight="1" x14ac:dyDescent="0.2">
      <c r="D96" s="34"/>
      <c r="S96" s="35"/>
    </row>
    <row r="97" spans="4:19" ht="14.25" customHeight="1" x14ac:dyDescent="0.2">
      <c r="D97" s="34"/>
      <c r="S97" s="35"/>
    </row>
    <row r="98" spans="4:19" ht="14.25" customHeight="1" x14ac:dyDescent="0.2">
      <c r="D98" s="34"/>
      <c r="S98" s="35"/>
    </row>
    <row r="99" spans="4:19" ht="14.25" customHeight="1" x14ac:dyDescent="0.2">
      <c r="D99" s="34"/>
      <c r="S99" s="35"/>
    </row>
    <row r="100" spans="4:19" ht="14.25" customHeight="1" x14ac:dyDescent="0.2">
      <c r="D100" s="34"/>
      <c r="S100" s="35"/>
    </row>
    <row r="101" spans="4:19" ht="14.25" customHeight="1" x14ac:dyDescent="0.2">
      <c r="D101" s="34"/>
      <c r="S101" s="35"/>
    </row>
    <row r="102" spans="4:19" ht="14.25" customHeight="1" x14ac:dyDescent="0.2">
      <c r="D102" s="34"/>
      <c r="S102" s="35"/>
    </row>
    <row r="103" spans="4:19" ht="14.25" customHeight="1" x14ac:dyDescent="0.2">
      <c r="D103" s="34"/>
      <c r="S103" s="35"/>
    </row>
    <row r="104" spans="4:19" ht="14.25" customHeight="1" x14ac:dyDescent="0.2">
      <c r="D104" s="34"/>
      <c r="S104" s="35"/>
    </row>
    <row r="105" spans="4:19" ht="14.25" customHeight="1" x14ac:dyDescent="0.2">
      <c r="D105" s="34"/>
      <c r="S105" s="35"/>
    </row>
    <row r="106" spans="4:19" ht="14.25" customHeight="1" x14ac:dyDescent="0.2">
      <c r="D106" s="34"/>
      <c r="S106" s="35"/>
    </row>
    <row r="107" spans="4:19" ht="14.25" customHeight="1" x14ac:dyDescent="0.2">
      <c r="D107" s="34"/>
      <c r="S107" s="35"/>
    </row>
    <row r="108" spans="4:19" ht="14.25" customHeight="1" x14ac:dyDescent="0.2">
      <c r="D108" s="34"/>
      <c r="S108" s="35"/>
    </row>
    <row r="109" spans="4:19" ht="14.25" customHeight="1" x14ac:dyDescent="0.2">
      <c r="D109" s="34"/>
      <c r="S109" s="35"/>
    </row>
    <row r="110" spans="4:19" ht="14.25" customHeight="1" x14ac:dyDescent="0.2">
      <c r="D110" s="34"/>
      <c r="S110" s="35"/>
    </row>
    <row r="111" spans="4:19" ht="14.25" customHeight="1" x14ac:dyDescent="0.2">
      <c r="D111" s="34"/>
      <c r="S111" s="35"/>
    </row>
    <row r="112" spans="4:19" ht="14.25" customHeight="1" x14ac:dyDescent="0.2">
      <c r="D112" s="34"/>
      <c r="S112" s="35"/>
    </row>
    <row r="113" spans="4:19" ht="14.25" customHeight="1" x14ac:dyDescent="0.2">
      <c r="D113" s="34"/>
      <c r="S113" s="35"/>
    </row>
    <row r="114" spans="4:19" ht="14.25" customHeight="1" x14ac:dyDescent="0.2">
      <c r="D114" s="34"/>
      <c r="S114" s="35"/>
    </row>
    <row r="115" spans="4:19" ht="14.25" customHeight="1" x14ac:dyDescent="0.2">
      <c r="D115" s="34"/>
      <c r="S115" s="35"/>
    </row>
    <row r="116" spans="4:19" ht="14.25" customHeight="1" x14ac:dyDescent="0.2">
      <c r="D116" s="34"/>
      <c r="S116" s="35"/>
    </row>
    <row r="117" spans="4:19" ht="14.25" customHeight="1" x14ac:dyDescent="0.2">
      <c r="D117" s="34"/>
      <c r="S117" s="35"/>
    </row>
    <row r="118" spans="4:19" ht="14.25" customHeight="1" x14ac:dyDescent="0.2">
      <c r="D118" s="34"/>
      <c r="S118" s="35"/>
    </row>
    <row r="119" spans="4:19" ht="14.25" customHeight="1" x14ac:dyDescent="0.2">
      <c r="D119" s="34"/>
      <c r="S119" s="35"/>
    </row>
    <row r="120" spans="4:19" ht="14.25" customHeight="1" x14ac:dyDescent="0.2">
      <c r="D120" s="34"/>
      <c r="S120" s="35"/>
    </row>
    <row r="121" spans="4:19" ht="14.25" customHeight="1" x14ac:dyDescent="0.2">
      <c r="D121" s="34"/>
      <c r="S121" s="35"/>
    </row>
    <row r="122" spans="4:19" ht="14.25" customHeight="1" x14ac:dyDescent="0.2">
      <c r="D122" s="34"/>
      <c r="S122" s="35"/>
    </row>
    <row r="123" spans="4:19" ht="14.25" customHeight="1" x14ac:dyDescent="0.2">
      <c r="D123" s="34"/>
      <c r="S123" s="35"/>
    </row>
    <row r="124" spans="4:19" ht="14.25" customHeight="1" x14ac:dyDescent="0.2">
      <c r="D124" s="34"/>
      <c r="S124" s="35"/>
    </row>
    <row r="125" spans="4:19" ht="14.25" customHeight="1" x14ac:dyDescent="0.2">
      <c r="D125" s="34"/>
      <c r="S125" s="35"/>
    </row>
    <row r="126" spans="4:19" ht="14.25" customHeight="1" x14ac:dyDescent="0.2">
      <c r="D126" s="34"/>
      <c r="S126" s="35"/>
    </row>
    <row r="127" spans="4:19" ht="14.25" customHeight="1" x14ac:dyDescent="0.2">
      <c r="D127" s="34"/>
      <c r="S127" s="35"/>
    </row>
    <row r="128" spans="4:19" ht="14.25" customHeight="1" x14ac:dyDescent="0.2">
      <c r="D128" s="34"/>
      <c r="S128" s="35"/>
    </row>
    <row r="129" spans="4:19" ht="14.25" customHeight="1" x14ac:dyDescent="0.2">
      <c r="D129" s="34"/>
      <c r="S129" s="35"/>
    </row>
    <row r="130" spans="4:19" ht="14.25" customHeight="1" x14ac:dyDescent="0.2">
      <c r="D130" s="34"/>
      <c r="S130" s="35"/>
    </row>
    <row r="131" spans="4:19" ht="14.25" customHeight="1" x14ac:dyDescent="0.2">
      <c r="D131" s="34"/>
      <c r="S131" s="35"/>
    </row>
    <row r="132" spans="4:19" ht="14.25" customHeight="1" x14ac:dyDescent="0.2">
      <c r="D132" s="34"/>
      <c r="S132" s="35"/>
    </row>
    <row r="133" spans="4:19" ht="14.25" customHeight="1" x14ac:dyDescent="0.2">
      <c r="D133" s="34"/>
      <c r="S133" s="35"/>
    </row>
    <row r="134" spans="4:19" ht="14.25" customHeight="1" x14ac:dyDescent="0.2">
      <c r="D134" s="34"/>
      <c r="S134" s="35"/>
    </row>
    <row r="135" spans="4:19" ht="14.25" customHeight="1" x14ac:dyDescent="0.2">
      <c r="D135" s="34"/>
      <c r="S135" s="35"/>
    </row>
    <row r="136" spans="4:19" ht="14.25" customHeight="1" x14ac:dyDescent="0.2">
      <c r="D136" s="34"/>
      <c r="S136" s="35"/>
    </row>
    <row r="137" spans="4:19" ht="14.25" customHeight="1" x14ac:dyDescent="0.2">
      <c r="D137" s="34"/>
      <c r="S137" s="35"/>
    </row>
    <row r="138" spans="4:19" ht="14.25" customHeight="1" x14ac:dyDescent="0.2">
      <c r="D138" s="34"/>
      <c r="S138" s="35"/>
    </row>
    <row r="139" spans="4:19" ht="14.25" customHeight="1" x14ac:dyDescent="0.2">
      <c r="D139" s="34"/>
      <c r="S139" s="35"/>
    </row>
    <row r="140" spans="4:19" ht="14.25" customHeight="1" x14ac:dyDescent="0.2">
      <c r="D140" s="34"/>
      <c r="S140" s="35"/>
    </row>
    <row r="141" spans="4:19" ht="14.25" customHeight="1" x14ac:dyDescent="0.2">
      <c r="D141" s="34"/>
      <c r="S141" s="35"/>
    </row>
    <row r="142" spans="4:19" ht="14.25" customHeight="1" x14ac:dyDescent="0.2">
      <c r="D142" s="34"/>
      <c r="S142" s="35"/>
    </row>
    <row r="143" spans="4:19" ht="14.25" customHeight="1" x14ac:dyDescent="0.2">
      <c r="D143" s="34"/>
      <c r="S143" s="35"/>
    </row>
    <row r="144" spans="4:19" ht="14.25" customHeight="1" x14ac:dyDescent="0.2">
      <c r="D144" s="34"/>
      <c r="S144" s="35"/>
    </row>
    <row r="145" spans="4:19" ht="14.25" customHeight="1" x14ac:dyDescent="0.2">
      <c r="D145" s="34"/>
      <c r="S145" s="35"/>
    </row>
    <row r="146" spans="4:19" ht="14.25" customHeight="1" x14ac:dyDescent="0.2">
      <c r="D146" s="34"/>
      <c r="S146" s="35"/>
    </row>
    <row r="147" spans="4:19" ht="14.25" customHeight="1" x14ac:dyDescent="0.2">
      <c r="D147" s="34"/>
      <c r="S147" s="35"/>
    </row>
    <row r="148" spans="4:19" ht="14.25" customHeight="1" x14ac:dyDescent="0.2">
      <c r="D148" s="34"/>
      <c r="S148" s="35"/>
    </row>
    <row r="149" spans="4:19" ht="14.25" customHeight="1" x14ac:dyDescent="0.2">
      <c r="D149" s="34"/>
      <c r="S149" s="35"/>
    </row>
    <row r="150" spans="4:19" ht="14.25" customHeight="1" x14ac:dyDescent="0.2">
      <c r="D150" s="34"/>
      <c r="S150" s="35"/>
    </row>
    <row r="151" spans="4:19" ht="14.25" customHeight="1" x14ac:dyDescent="0.2">
      <c r="D151" s="34"/>
      <c r="S151" s="35"/>
    </row>
    <row r="152" spans="4:19" ht="14.25" customHeight="1" x14ac:dyDescent="0.2">
      <c r="D152" s="34"/>
      <c r="S152" s="35"/>
    </row>
    <row r="153" spans="4:19" ht="14.25" customHeight="1" x14ac:dyDescent="0.2">
      <c r="D153" s="34"/>
      <c r="S153" s="35"/>
    </row>
    <row r="154" spans="4:19" ht="14.25" customHeight="1" x14ac:dyDescent="0.2">
      <c r="D154" s="34"/>
      <c r="S154" s="35"/>
    </row>
    <row r="155" spans="4:19" ht="14.25" customHeight="1" x14ac:dyDescent="0.2">
      <c r="D155" s="34"/>
      <c r="S155" s="35"/>
    </row>
    <row r="156" spans="4:19" ht="14.25" customHeight="1" x14ac:dyDescent="0.2">
      <c r="D156" s="34"/>
      <c r="S156" s="35"/>
    </row>
    <row r="157" spans="4:19" ht="14.25" customHeight="1" x14ac:dyDescent="0.2">
      <c r="D157" s="34"/>
      <c r="S157" s="35"/>
    </row>
    <row r="158" spans="4:19" ht="14.25" customHeight="1" x14ac:dyDescent="0.2">
      <c r="D158" s="34"/>
      <c r="S158" s="35"/>
    </row>
    <row r="159" spans="4:19" ht="14.25" customHeight="1" x14ac:dyDescent="0.2">
      <c r="D159" s="34"/>
      <c r="S159" s="35"/>
    </row>
    <row r="160" spans="4:19" ht="14.25" customHeight="1" x14ac:dyDescent="0.2">
      <c r="D160" s="34"/>
      <c r="S160" s="35"/>
    </row>
    <row r="161" spans="4:19" ht="14.25" customHeight="1" x14ac:dyDescent="0.2">
      <c r="D161" s="34"/>
      <c r="S161" s="35"/>
    </row>
    <row r="162" spans="4:19" ht="14.25" customHeight="1" x14ac:dyDescent="0.2">
      <c r="D162" s="34"/>
      <c r="S162" s="35"/>
    </row>
    <row r="163" spans="4:19" ht="14.25" customHeight="1" x14ac:dyDescent="0.2">
      <c r="D163" s="34"/>
      <c r="S163" s="35"/>
    </row>
    <row r="164" spans="4:19" ht="14.25" customHeight="1" x14ac:dyDescent="0.2">
      <c r="D164" s="34"/>
      <c r="S164" s="35"/>
    </row>
    <row r="165" spans="4:19" ht="14.25" customHeight="1" x14ac:dyDescent="0.2">
      <c r="D165" s="34"/>
      <c r="S165" s="35"/>
    </row>
    <row r="166" spans="4:19" ht="14.25" customHeight="1" x14ac:dyDescent="0.2">
      <c r="D166" s="34"/>
      <c r="S166" s="35"/>
    </row>
    <row r="167" spans="4:19" ht="14.25" customHeight="1" x14ac:dyDescent="0.2">
      <c r="D167" s="34"/>
      <c r="S167" s="35"/>
    </row>
    <row r="168" spans="4:19" ht="14.25" customHeight="1" x14ac:dyDescent="0.2">
      <c r="D168" s="34"/>
      <c r="S168" s="35"/>
    </row>
    <row r="169" spans="4:19" ht="14.25" customHeight="1" x14ac:dyDescent="0.2">
      <c r="D169" s="34"/>
      <c r="S169" s="35"/>
    </row>
    <row r="170" spans="4:19" ht="14.25" customHeight="1" x14ac:dyDescent="0.2">
      <c r="D170" s="34"/>
      <c r="S170" s="35"/>
    </row>
    <row r="171" spans="4:19" ht="14.25" customHeight="1" x14ac:dyDescent="0.2">
      <c r="D171" s="34"/>
      <c r="S171" s="35"/>
    </row>
    <row r="172" spans="4:19" ht="14.25" customHeight="1" x14ac:dyDescent="0.2">
      <c r="D172" s="34"/>
      <c r="S172" s="35"/>
    </row>
    <row r="173" spans="4:19" ht="14.25" customHeight="1" x14ac:dyDescent="0.2">
      <c r="D173" s="34"/>
      <c r="S173" s="35"/>
    </row>
    <row r="174" spans="4:19" ht="14.25" customHeight="1" x14ac:dyDescent="0.2">
      <c r="D174" s="34"/>
      <c r="S174" s="35"/>
    </row>
    <row r="175" spans="4:19" ht="14.25" customHeight="1" x14ac:dyDescent="0.2">
      <c r="D175" s="34"/>
      <c r="S175" s="35"/>
    </row>
    <row r="176" spans="4:19" ht="14.25" customHeight="1" x14ac:dyDescent="0.2">
      <c r="D176" s="34"/>
      <c r="S176" s="35"/>
    </row>
    <row r="177" spans="4:19" ht="14.25" customHeight="1" x14ac:dyDescent="0.2">
      <c r="D177" s="34"/>
      <c r="S177" s="35"/>
    </row>
    <row r="178" spans="4:19" ht="14.25" customHeight="1" x14ac:dyDescent="0.2">
      <c r="D178" s="34"/>
      <c r="S178" s="35"/>
    </row>
    <row r="179" spans="4:19" ht="14.25" customHeight="1" x14ac:dyDescent="0.2">
      <c r="D179" s="34"/>
      <c r="S179" s="35"/>
    </row>
    <row r="180" spans="4:19" ht="14.25" customHeight="1" x14ac:dyDescent="0.2">
      <c r="D180" s="34"/>
      <c r="S180" s="35"/>
    </row>
    <row r="181" spans="4:19" ht="14.25" customHeight="1" x14ac:dyDescent="0.2">
      <c r="D181" s="34"/>
      <c r="S181" s="35"/>
    </row>
    <row r="182" spans="4:19" ht="14.25" customHeight="1" x14ac:dyDescent="0.2">
      <c r="D182" s="34"/>
      <c r="S182" s="35"/>
    </row>
    <row r="183" spans="4:19" ht="14.25" customHeight="1" x14ac:dyDescent="0.2">
      <c r="D183" s="34"/>
      <c r="S183" s="35"/>
    </row>
    <row r="184" spans="4:19" ht="14.25" customHeight="1" x14ac:dyDescent="0.2">
      <c r="D184" s="34"/>
      <c r="S184" s="35"/>
    </row>
    <row r="185" spans="4:19" ht="14.25" customHeight="1" x14ac:dyDescent="0.2">
      <c r="D185" s="34"/>
      <c r="S185" s="35"/>
    </row>
    <row r="186" spans="4:19" ht="14.25" customHeight="1" x14ac:dyDescent="0.2">
      <c r="D186" s="34"/>
      <c r="S186" s="35"/>
    </row>
    <row r="187" spans="4:19" ht="14.25" customHeight="1" x14ac:dyDescent="0.2">
      <c r="D187" s="34"/>
      <c r="S187" s="35"/>
    </row>
    <row r="188" spans="4:19" ht="14.25" customHeight="1" x14ac:dyDescent="0.2">
      <c r="D188" s="34"/>
      <c r="S188" s="35"/>
    </row>
    <row r="189" spans="4:19" ht="14.25" customHeight="1" x14ac:dyDescent="0.2">
      <c r="D189" s="34"/>
      <c r="S189" s="35"/>
    </row>
    <row r="190" spans="4:19" ht="14.25" customHeight="1" x14ac:dyDescent="0.2">
      <c r="D190" s="34"/>
      <c r="S190" s="35"/>
    </row>
    <row r="191" spans="4:19" ht="14.25" customHeight="1" x14ac:dyDescent="0.2">
      <c r="D191" s="34"/>
      <c r="S191" s="35"/>
    </row>
    <row r="192" spans="4:19" ht="14.25" customHeight="1" x14ac:dyDescent="0.2">
      <c r="D192" s="34"/>
      <c r="S192" s="35"/>
    </row>
    <row r="193" spans="4:19" ht="14.25" customHeight="1" x14ac:dyDescent="0.2">
      <c r="D193" s="34"/>
      <c r="S193" s="35"/>
    </row>
    <row r="194" spans="4:19" ht="14.25" customHeight="1" x14ac:dyDescent="0.2">
      <c r="D194" s="34"/>
      <c r="S194" s="35"/>
    </row>
    <row r="195" spans="4:19" ht="14.25" customHeight="1" x14ac:dyDescent="0.2">
      <c r="D195" s="34"/>
      <c r="S195" s="35"/>
    </row>
    <row r="196" spans="4:19" ht="14.25" customHeight="1" x14ac:dyDescent="0.2">
      <c r="D196" s="34"/>
      <c r="S196" s="35"/>
    </row>
    <row r="197" spans="4:19" ht="14.25" customHeight="1" x14ac:dyDescent="0.2">
      <c r="D197" s="34"/>
      <c r="S197" s="35"/>
    </row>
    <row r="198" spans="4:19" ht="14.25" customHeight="1" x14ac:dyDescent="0.2">
      <c r="D198" s="34"/>
      <c r="S198" s="35"/>
    </row>
    <row r="199" spans="4:19" ht="14.25" customHeight="1" x14ac:dyDescent="0.2">
      <c r="D199" s="34"/>
      <c r="S199" s="35"/>
    </row>
    <row r="200" spans="4:19" ht="14.25" customHeight="1" x14ac:dyDescent="0.2">
      <c r="D200" s="34"/>
      <c r="S200" s="35"/>
    </row>
    <row r="201" spans="4:19" ht="14.25" customHeight="1" x14ac:dyDescent="0.2">
      <c r="D201" s="34"/>
      <c r="S201" s="35"/>
    </row>
    <row r="202" spans="4:19" ht="14.25" customHeight="1" x14ac:dyDescent="0.2">
      <c r="D202" s="34"/>
      <c r="S202" s="35"/>
    </row>
    <row r="203" spans="4:19" ht="14.25" customHeight="1" x14ac:dyDescent="0.2">
      <c r="D203" s="34"/>
      <c r="S203" s="35"/>
    </row>
    <row r="204" spans="4:19" ht="14.25" customHeight="1" x14ac:dyDescent="0.2">
      <c r="D204" s="34"/>
      <c r="S204" s="35"/>
    </row>
    <row r="205" spans="4:19" ht="14.25" customHeight="1" x14ac:dyDescent="0.2">
      <c r="D205" s="34"/>
      <c r="S205" s="35"/>
    </row>
    <row r="206" spans="4:19" ht="14.25" customHeight="1" x14ac:dyDescent="0.2">
      <c r="D206" s="34"/>
      <c r="S206" s="35"/>
    </row>
    <row r="207" spans="4:19" ht="14.25" customHeight="1" x14ac:dyDescent="0.2">
      <c r="D207" s="34"/>
      <c r="S207" s="35"/>
    </row>
    <row r="208" spans="4:19" ht="14.25" customHeight="1" x14ac:dyDescent="0.2">
      <c r="D208" s="34"/>
      <c r="S208" s="35"/>
    </row>
    <row r="209" spans="4:19" ht="14.25" customHeight="1" x14ac:dyDescent="0.2">
      <c r="D209" s="34"/>
      <c r="S209" s="35"/>
    </row>
    <row r="210" spans="4:19" ht="14.25" customHeight="1" x14ac:dyDescent="0.2">
      <c r="D210" s="34"/>
      <c r="S210" s="35"/>
    </row>
    <row r="211" spans="4:19" ht="14.25" customHeight="1" x14ac:dyDescent="0.2">
      <c r="D211" s="34"/>
      <c r="S211" s="35"/>
    </row>
    <row r="212" spans="4:19" ht="14.25" customHeight="1" x14ac:dyDescent="0.2">
      <c r="D212" s="34"/>
      <c r="S212" s="35"/>
    </row>
    <row r="213" spans="4:19" ht="14.25" customHeight="1" x14ac:dyDescent="0.2">
      <c r="D213" s="34"/>
      <c r="S213" s="35"/>
    </row>
    <row r="214" spans="4:19" ht="14.25" customHeight="1" x14ac:dyDescent="0.2">
      <c r="D214" s="34"/>
      <c r="S214" s="35"/>
    </row>
    <row r="215" spans="4:19" ht="14.25" customHeight="1" x14ac:dyDescent="0.2">
      <c r="D215" s="34"/>
      <c r="S215" s="35"/>
    </row>
    <row r="216" spans="4:19" ht="14.25" customHeight="1" x14ac:dyDescent="0.2">
      <c r="D216" s="34"/>
      <c r="S216" s="35"/>
    </row>
    <row r="217" spans="4:19" ht="14.25" customHeight="1" x14ac:dyDescent="0.2">
      <c r="D217" s="34"/>
      <c r="S217" s="35"/>
    </row>
    <row r="218" spans="4:19" ht="14.25" customHeight="1" x14ac:dyDescent="0.2">
      <c r="D218" s="34"/>
      <c r="S218" s="35"/>
    </row>
    <row r="219" spans="4:19" ht="14.25" customHeight="1" x14ac:dyDescent="0.2">
      <c r="D219" s="34"/>
      <c r="S219" s="35"/>
    </row>
    <row r="220" spans="4:19" ht="14.25" customHeight="1" x14ac:dyDescent="0.2">
      <c r="D220" s="34"/>
      <c r="S220" s="35"/>
    </row>
    <row r="221" spans="4:19" ht="14.25" customHeight="1" x14ac:dyDescent="0.2">
      <c r="D221" s="34"/>
      <c r="S221" s="35"/>
    </row>
    <row r="222" spans="4:19" ht="14.25" customHeight="1" x14ac:dyDescent="0.2">
      <c r="D222" s="34"/>
      <c r="S222" s="35"/>
    </row>
    <row r="223" spans="4:19" ht="14.25" customHeight="1" x14ac:dyDescent="0.2">
      <c r="D223" s="34"/>
      <c r="S223" s="35"/>
    </row>
    <row r="224" spans="4:19" ht="14.25" customHeight="1" x14ac:dyDescent="0.2">
      <c r="D224" s="34"/>
      <c r="S224" s="35"/>
    </row>
    <row r="225" spans="4:19" ht="14.25" customHeight="1" x14ac:dyDescent="0.2">
      <c r="D225" s="34"/>
      <c r="S225" s="35"/>
    </row>
    <row r="226" spans="4:19" ht="14.25" customHeight="1" x14ac:dyDescent="0.2">
      <c r="D226" s="34"/>
      <c r="S226" s="35"/>
    </row>
    <row r="227" spans="4:19" ht="14.25" customHeight="1" x14ac:dyDescent="0.2">
      <c r="D227" s="34"/>
      <c r="S227" s="35"/>
    </row>
    <row r="228" spans="4:19" ht="14.25" customHeight="1" x14ac:dyDescent="0.2">
      <c r="D228" s="34"/>
      <c r="S228" s="35"/>
    </row>
    <row r="229" spans="4:19" ht="14.25" customHeight="1" x14ac:dyDescent="0.2">
      <c r="D229" s="34"/>
      <c r="S229" s="35"/>
    </row>
    <row r="230" spans="4:19" ht="14.25" customHeight="1" x14ac:dyDescent="0.2">
      <c r="D230" s="34"/>
      <c r="S230" s="35"/>
    </row>
    <row r="231" spans="4:19" ht="14.25" customHeight="1" x14ac:dyDescent="0.2">
      <c r="D231" s="34"/>
      <c r="S231" s="35"/>
    </row>
    <row r="232" spans="4:19" ht="14.25" customHeight="1" x14ac:dyDescent="0.2">
      <c r="D232" s="34"/>
      <c r="S232" s="35"/>
    </row>
    <row r="233" spans="4:19" ht="14.25" customHeight="1" x14ac:dyDescent="0.2">
      <c r="D233" s="34"/>
      <c r="S233" s="35"/>
    </row>
    <row r="234" spans="4:19" ht="14.25" customHeight="1" x14ac:dyDescent="0.2">
      <c r="D234" s="34"/>
      <c r="S234" s="35"/>
    </row>
    <row r="235" spans="4:19" ht="14.25" customHeight="1" x14ac:dyDescent="0.2">
      <c r="D235" s="34"/>
      <c r="S235" s="35"/>
    </row>
    <row r="236" spans="4:19" ht="14.25" customHeight="1" x14ac:dyDescent="0.2">
      <c r="D236" s="34"/>
      <c r="S236" s="35"/>
    </row>
    <row r="237" spans="4:19" ht="14.25" customHeight="1" x14ac:dyDescent="0.2">
      <c r="D237" s="34"/>
      <c r="S237" s="35"/>
    </row>
    <row r="238" spans="4:19" ht="14.25" customHeight="1" x14ac:dyDescent="0.2">
      <c r="D238" s="34"/>
      <c r="S238" s="35"/>
    </row>
    <row r="239" spans="4:19" ht="14.25" customHeight="1" x14ac:dyDescent="0.2">
      <c r="D239" s="34"/>
      <c r="S239" s="35"/>
    </row>
    <row r="240" spans="4:19" ht="14.25" customHeight="1" x14ac:dyDescent="0.2">
      <c r="D240" s="34"/>
      <c r="S240" s="35"/>
    </row>
    <row r="241" spans="4:19" ht="14.25" customHeight="1" x14ac:dyDescent="0.2">
      <c r="D241" s="34"/>
      <c r="S241" s="35"/>
    </row>
    <row r="242" spans="4:19" ht="14.25" customHeight="1" x14ac:dyDescent="0.2">
      <c r="D242" s="34"/>
      <c r="S242" s="35"/>
    </row>
    <row r="243" spans="4:19" ht="14.25" customHeight="1" x14ac:dyDescent="0.2">
      <c r="D243" s="34"/>
      <c r="S243" s="35"/>
    </row>
    <row r="244" spans="4:19" ht="14.25" customHeight="1" x14ac:dyDescent="0.2">
      <c r="D244" s="34"/>
      <c r="S244" s="35"/>
    </row>
    <row r="245" spans="4:19" ht="14.25" customHeight="1" x14ac:dyDescent="0.2">
      <c r="D245" s="34"/>
      <c r="S245" s="35"/>
    </row>
    <row r="246" spans="4:19" ht="14.25" customHeight="1" x14ac:dyDescent="0.2">
      <c r="D246" s="34"/>
      <c r="S246" s="35"/>
    </row>
    <row r="247" spans="4:19" ht="14.25" customHeight="1" x14ac:dyDescent="0.2">
      <c r="D247" s="34"/>
      <c r="S247" s="35"/>
    </row>
    <row r="248" spans="4:19" ht="14.25" customHeight="1" x14ac:dyDescent="0.2">
      <c r="D248" s="34"/>
      <c r="S248" s="35"/>
    </row>
    <row r="249" spans="4:19" ht="14.25" customHeight="1" x14ac:dyDescent="0.2">
      <c r="D249" s="34"/>
      <c r="S249" s="35"/>
    </row>
    <row r="250" spans="4:19" ht="14.25" customHeight="1" x14ac:dyDescent="0.2">
      <c r="D250" s="34"/>
      <c r="S250" s="35"/>
    </row>
    <row r="251" spans="4:19" ht="14.25" customHeight="1" x14ac:dyDescent="0.2">
      <c r="D251" s="34"/>
      <c r="S251" s="35"/>
    </row>
    <row r="252" spans="4:19" ht="14.25" customHeight="1" x14ac:dyDescent="0.2">
      <c r="D252" s="34"/>
      <c r="S252" s="35"/>
    </row>
    <row r="253" spans="4:19" ht="14.25" customHeight="1" x14ac:dyDescent="0.2">
      <c r="D253" s="34"/>
      <c r="S253" s="35"/>
    </row>
    <row r="254" spans="4:19" ht="14.25" customHeight="1" x14ac:dyDescent="0.2">
      <c r="D254" s="34"/>
      <c r="S254" s="35"/>
    </row>
    <row r="255" spans="4:19" ht="14.25" customHeight="1" x14ac:dyDescent="0.2">
      <c r="D255" s="34"/>
      <c r="S255" s="35"/>
    </row>
    <row r="256" spans="4:19" ht="14.25" customHeight="1" x14ac:dyDescent="0.2">
      <c r="D256" s="34"/>
      <c r="S256" s="35"/>
    </row>
    <row r="257" spans="4:19" ht="14.25" customHeight="1" x14ac:dyDescent="0.2">
      <c r="D257" s="34"/>
      <c r="S257" s="35"/>
    </row>
    <row r="258" spans="4:19" ht="14.25" customHeight="1" x14ac:dyDescent="0.2">
      <c r="D258" s="34"/>
      <c r="S258" s="35"/>
    </row>
    <row r="259" spans="4:19" ht="14.25" customHeight="1" x14ac:dyDescent="0.2">
      <c r="D259" s="34"/>
      <c r="S259" s="35"/>
    </row>
    <row r="260" spans="4:19" ht="14.25" customHeight="1" x14ac:dyDescent="0.2">
      <c r="D260" s="34"/>
      <c r="S260" s="35"/>
    </row>
    <row r="261" spans="4:19" ht="14.25" customHeight="1" x14ac:dyDescent="0.2">
      <c r="D261" s="34"/>
      <c r="S261" s="35"/>
    </row>
    <row r="262" spans="4:19" ht="14.25" customHeight="1" x14ac:dyDescent="0.2">
      <c r="D262" s="34"/>
      <c r="S262" s="35"/>
    </row>
    <row r="263" spans="4:19" ht="14.25" customHeight="1" x14ac:dyDescent="0.2">
      <c r="D263" s="34"/>
      <c r="S263" s="35"/>
    </row>
    <row r="264" spans="4:19" ht="14.25" customHeight="1" x14ac:dyDescent="0.2">
      <c r="D264" s="34"/>
      <c r="S264" s="35"/>
    </row>
    <row r="265" spans="4:19" ht="14.25" customHeight="1" x14ac:dyDescent="0.2">
      <c r="D265" s="34"/>
      <c r="S265" s="35"/>
    </row>
    <row r="266" spans="4:19" ht="14.25" customHeight="1" x14ac:dyDescent="0.2">
      <c r="D266" s="34"/>
      <c r="S266" s="35"/>
    </row>
    <row r="267" spans="4:19" ht="14.25" customHeight="1" x14ac:dyDescent="0.2">
      <c r="D267" s="34"/>
      <c r="S267" s="35"/>
    </row>
    <row r="268" spans="4:19" ht="14.25" customHeight="1" x14ac:dyDescent="0.2">
      <c r="D268" s="34"/>
      <c r="S268" s="35"/>
    </row>
    <row r="269" spans="4:19" ht="14.25" customHeight="1" x14ac:dyDescent="0.2">
      <c r="D269" s="34"/>
      <c r="S269" s="35"/>
    </row>
    <row r="270" spans="4:19" ht="14.25" customHeight="1" x14ac:dyDescent="0.2">
      <c r="D270" s="34"/>
      <c r="S270" s="35"/>
    </row>
    <row r="271" spans="4:19" ht="14.25" customHeight="1" x14ac:dyDescent="0.2">
      <c r="D271" s="34"/>
      <c r="S271" s="35"/>
    </row>
    <row r="272" spans="4:19" ht="14.25" customHeight="1" x14ac:dyDescent="0.2">
      <c r="D272" s="34"/>
      <c r="S272" s="35"/>
    </row>
    <row r="273" spans="4:19" ht="14.25" customHeight="1" x14ac:dyDescent="0.2">
      <c r="D273" s="34"/>
      <c r="S273" s="35"/>
    </row>
    <row r="274" spans="4:19" ht="14.25" customHeight="1" x14ac:dyDescent="0.2">
      <c r="D274" s="34"/>
      <c r="S274" s="35"/>
    </row>
    <row r="275" spans="4:19" ht="14.25" customHeight="1" x14ac:dyDescent="0.2">
      <c r="D275" s="34"/>
      <c r="S275" s="35"/>
    </row>
    <row r="276" spans="4:19" ht="14.25" customHeight="1" x14ac:dyDescent="0.2">
      <c r="D276" s="34"/>
      <c r="S276" s="35"/>
    </row>
    <row r="277" spans="4:19" ht="14.25" customHeight="1" x14ac:dyDescent="0.2">
      <c r="D277" s="34"/>
      <c r="S277" s="35"/>
    </row>
    <row r="278" spans="4:19" ht="15.75" customHeight="1" x14ac:dyDescent="0.2"/>
    <row r="279" spans="4:19" ht="15.75" customHeight="1" x14ac:dyDescent="0.2"/>
    <row r="280" spans="4:19" ht="15.75" customHeight="1" x14ac:dyDescent="0.2"/>
    <row r="281" spans="4:19" ht="15.75" customHeight="1" x14ac:dyDescent="0.2"/>
    <row r="282" spans="4:19" ht="15.75" customHeight="1" x14ac:dyDescent="0.2"/>
    <row r="283" spans="4:19" ht="15.75" customHeight="1" x14ac:dyDescent="0.2"/>
    <row r="284" spans="4:19" ht="15.75" customHeight="1" x14ac:dyDescent="0.2"/>
    <row r="285" spans="4:19" ht="15.75" customHeight="1" x14ac:dyDescent="0.2"/>
    <row r="286" spans="4:19" ht="15.75" customHeight="1" x14ac:dyDescent="0.2"/>
    <row r="287" spans="4:19" ht="15.75" customHeight="1" x14ac:dyDescent="0.2"/>
    <row r="288" spans="4:19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1">
    <mergeCell ref="T69:V69"/>
    <mergeCell ref="E70:H70"/>
    <mergeCell ref="E71:H71"/>
    <mergeCell ref="E72:H72"/>
    <mergeCell ref="E65:H65"/>
    <mergeCell ref="B66:C66"/>
    <mergeCell ref="E66:H66"/>
    <mergeCell ref="E67:H67"/>
    <mergeCell ref="E68:H68"/>
    <mergeCell ref="E69:H69"/>
    <mergeCell ref="E60:H60"/>
    <mergeCell ref="E61:H61"/>
    <mergeCell ref="E62:H62"/>
    <mergeCell ref="E63:H63"/>
    <mergeCell ref="E64:H64"/>
    <mergeCell ref="B43:C43"/>
    <mergeCell ref="E56:J56"/>
    <mergeCell ref="B59:C59"/>
    <mergeCell ref="E58:H58"/>
    <mergeCell ref="E59:H59"/>
    <mergeCell ref="T24:V24"/>
    <mergeCell ref="B32:C32"/>
    <mergeCell ref="E34:J34"/>
    <mergeCell ref="U34:V34"/>
    <mergeCell ref="T41:V41"/>
    <mergeCell ref="B2:C2"/>
    <mergeCell ref="E2:J2"/>
    <mergeCell ref="L2:R2"/>
    <mergeCell ref="T2:V2"/>
    <mergeCell ref="B12:C12"/>
    <mergeCell ref="T12:V12"/>
  </mergeCells>
  <dataValidations count="2">
    <dataValidation type="list" allowBlank="1" showErrorMessage="1" sqref="P72" xr:uid="{00000000-0002-0000-0200-000001000000}">
      <formula1>$T$70:$T$73</formula1>
    </dataValidation>
    <dataValidation type="list" allowBlank="1" showErrorMessage="1" sqref="I28" xr:uid="{00000000-0002-0000-0200-000002000000}">
      <formula1>"Growth,Leaseup,None"</formula1>
    </dataValidation>
  </dataValidations>
  <hyperlinks>
    <hyperlink ref="B66" r:id="rId1" xr:uid="{00000000-0004-0000-0200-000000000000}"/>
  </hyperlinks>
  <pageMargins left="0.7" right="0.7" top="0.75" bottom="0.75" header="0" footer="0"/>
  <pageSetup orientation="portrait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Modeling!$U$5:$U$9</xm:f>
          </x14:formula1>
          <xm:sqref>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372"/>
  <sheetViews>
    <sheetView showGridLines="0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I10" sqref="I10"/>
    </sheetView>
  </sheetViews>
  <sheetFormatPr baseColWidth="10" defaultColWidth="14.5" defaultRowHeight="15" customHeight="1" outlineLevelRow="2" outlineLevelCol="1" x14ac:dyDescent="0.2"/>
  <cols>
    <col min="1" max="1" width="4.6640625" customWidth="1" outlineLevel="1"/>
    <col min="2" max="2" width="8.6640625" customWidth="1" outlineLevel="1"/>
    <col min="3" max="3" width="3.33203125" customWidth="1"/>
    <col min="4" max="4" width="10.33203125" customWidth="1"/>
    <col min="5" max="5" width="2.33203125" customWidth="1"/>
    <col min="6" max="6" width="9" customWidth="1"/>
    <col min="7" max="7" width="30.6640625" customWidth="1"/>
    <col min="8" max="8" width="13.6640625" customWidth="1"/>
    <col min="9" max="9" width="11.5" customWidth="1"/>
    <col min="10" max="10" width="16.83203125" customWidth="1"/>
    <col min="11" max="14" width="14.6640625" customWidth="1"/>
    <col min="15" max="15" width="11.1640625" customWidth="1"/>
    <col min="16" max="16" width="9.5" customWidth="1"/>
    <col min="17" max="18" width="10.6640625" customWidth="1"/>
    <col min="19" max="19" width="15.6640625" customWidth="1"/>
    <col min="20" max="20" width="9.5" customWidth="1"/>
    <col min="21" max="21" width="10.6640625" customWidth="1"/>
    <col min="22" max="22" width="9.5" customWidth="1" outlineLevel="1"/>
    <col min="23" max="59" width="9.33203125" customWidth="1" outlineLevel="1"/>
    <col min="60" max="61" width="12.1640625" customWidth="1" outlineLevel="1"/>
    <col min="62" max="62" width="13.1640625" customWidth="1" outlineLevel="1"/>
    <col min="63" max="66" width="9.5" customWidth="1" outlineLevel="1"/>
    <col min="67" max="68" width="8.6640625" customWidth="1" outlineLevel="1"/>
    <col min="69" max="69" width="9.6640625" customWidth="1" outlineLevel="1"/>
    <col min="70" max="72" width="8.6640625" customWidth="1" outlineLevel="1"/>
    <col min="73" max="73" width="9.6640625" customWidth="1" outlineLevel="1"/>
    <col min="74" max="74" width="2.6640625" customWidth="1"/>
    <col min="75" max="75" width="15.83203125" customWidth="1"/>
    <col min="76" max="89" width="12.1640625" customWidth="1"/>
  </cols>
  <sheetData>
    <row r="1" spans="1:89" ht="14.25" customHeight="1" x14ac:dyDescent="0.2">
      <c r="A1" s="11"/>
      <c r="B1" s="11"/>
      <c r="F1" s="56"/>
      <c r="I1" s="1"/>
      <c r="L1" s="11"/>
    </row>
    <row r="2" spans="1:89" ht="14.25" customHeight="1" x14ac:dyDescent="0.2">
      <c r="A2" s="11"/>
      <c r="B2" s="11"/>
      <c r="D2" s="865" t="s">
        <v>286</v>
      </c>
      <c r="E2" s="866"/>
      <c r="F2" s="866"/>
      <c r="G2" s="866"/>
      <c r="H2" s="867"/>
      <c r="I2" s="1"/>
      <c r="K2" s="11"/>
      <c r="O2" s="71">
        <f>SUM(J4:O4)</f>
        <v>0</v>
      </c>
      <c r="Q2" s="71"/>
      <c r="R2" s="71"/>
      <c r="S2" s="71"/>
      <c r="AT2" s="186"/>
    </row>
    <row r="3" spans="1:89" ht="14.25" customHeight="1" x14ac:dyDescent="0.2">
      <c r="A3" s="11"/>
      <c r="B3" s="11"/>
      <c r="D3" s="187" t="s">
        <v>287</v>
      </c>
      <c r="E3" s="188"/>
      <c r="F3" s="189">
        <f>Inputs!C13-Inputs!C23</f>
        <v>105807</v>
      </c>
      <c r="G3" s="190" t="s">
        <v>288</v>
      </c>
      <c r="H3" s="191">
        <f>F3+(Inputs!C23-Inputs!C25)</f>
        <v>105807</v>
      </c>
      <c r="I3" s="1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3"/>
      <c r="AG3" s="192"/>
      <c r="AS3" s="192"/>
      <c r="BE3" s="192"/>
      <c r="BF3" s="11">
        <f>IF(AND($H44="Leaseup",BF$8&lt;=Inputs!$I$31),(Projection!BF44-Projection!BE44)/Inputs!$I$30*(Inputs!$C$23-Inputs!$C$25),0)</f>
        <v>0</v>
      </c>
    </row>
    <row r="4" spans="1:89" ht="14.25" customHeight="1" x14ac:dyDescent="0.2">
      <c r="A4" s="11"/>
      <c r="B4" s="11"/>
      <c r="D4" s="187" t="s">
        <v>289</v>
      </c>
      <c r="E4" s="188"/>
      <c r="F4" s="189">
        <f>Inputs!C14-Inputs!C27</f>
        <v>684</v>
      </c>
      <c r="G4" s="190" t="s">
        <v>290</v>
      </c>
      <c r="H4" s="191">
        <f>F4+Inputs!C27</f>
        <v>684</v>
      </c>
      <c r="I4" s="1"/>
      <c r="J4" s="194">
        <f>IF(AND($H44="Leaseup",J$8&lt;=Inputs!$I$31),(Projection!J44-Projection!I44)/Inputs!$I$30*(Inputs!$C$23-Inputs!$C$25),0)</f>
        <v>0</v>
      </c>
      <c r="K4" s="194">
        <f>IF(AND($H44="Leaseup",K$8&lt;=Inputs!$I$31),(Projection!K44-Projection!J44)/Inputs!$I$30*(Inputs!$C$23-Inputs!$C$25),0)</f>
        <v>0</v>
      </c>
      <c r="L4" s="194">
        <f>IF(AND($H44="Leaseup",L$8&lt;=Inputs!$I$31),(Projection!L44-Projection!K44)/Inputs!$I$30*(Inputs!$C$23-Inputs!$C$25),0)</f>
        <v>0</v>
      </c>
      <c r="M4" s="194">
        <f>IF(AND($H44="Leaseup",M$8&lt;=Inputs!$I$31),(Projection!M44-Projection!L44)/Inputs!$I$30*(Inputs!$C$23-Inputs!$C$25),0)</f>
        <v>0</v>
      </c>
      <c r="N4" s="194">
        <f>IF(AND($H44="Leaseup",N$8&lt;=Inputs!$I$31),(Projection!N44-Projection!M44)/Inputs!$I$30*(Inputs!$C$23-Inputs!$C$25),0)</f>
        <v>0</v>
      </c>
      <c r="O4" s="194">
        <f>IF(AND($H44="Leaseup",O$8&lt;=Inputs!$I$31),(Projection!O44-Projection!N44)/Inputs!$I$30*(Inputs!$C$23-Inputs!$C$25),0)</f>
        <v>0</v>
      </c>
      <c r="P4" s="194">
        <f>IF(AND($H44="Leaseup",P$8&lt;=Inputs!$I$31),(Projection!P44-Projection!O44)/Inputs!$I$30*(Inputs!$C$23-Inputs!$C$25),0)</f>
        <v>0</v>
      </c>
      <c r="Q4" s="194">
        <f>IF(AND($H44="Leaseup",Q$8&lt;=Inputs!$I$31),(Projection!Q44-Projection!P44)/Inputs!$I$30*(Inputs!$C$23-Inputs!$C$25),0)</f>
        <v>0</v>
      </c>
      <c r="R4" s="194">
        <f>IF(AND($H44="Leaseup",R$8&lt;=Inputs!$I$31),(Projection!R44-Projection!Q44)/Inputs!$I$30*(Inputs!$C$23-Inputs!$C$25),0)</f>
        <v>0</v>
      </c>
      <c r="S4" s="194">
        <f>IF(AND($H44="Leaseup",S$8&lt;=Inputs!$I$31),(Projection!S44-Projection!R44)/Inputs!$I$30*(Inputs!$C$23-Inputs!$C$25),0)</f>
        <v>0</v>
      </c>
      <c r="T4" s="194">
        <f>IF(AND($H44="Leaseup",T$8&lt;=Inputs!$I$31),(Projection!T44-Projection!S44)/Inputs!$I$30*(Inputs!$C$23-Inputs!$C$25),0)</f>
        <v>0</v>
      </c>
      <c r="U4" s="194">
        <f>IF(AND($H44="Leaseup",U$8&lt;=Inputs!$I$31),(Projection!U44-Projection!T44)/Inputs!$I$30*(Inputs!$C$23-Inputs!$C$25),0)</f>
        <v>0</v>
      </c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</row>
    <row r="5" spans="1:89" ht="14.25" customHeight="1" x14ac:dyDescent="0.2">
      <c r="A5" s="11"/>
      <c r="B5" s="11"/>
      <c r="D5" s="11" t="s">
        <v>291</v>
      </c>
      <c r="F5" s="195">
        <f>F3/F4</f>
        <v>154.68859649122808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</row>
    <row r="6" spans="1:89" ht="14.25" customHeight="1" outlineLevel="1" x14ac:dyDescent="0.2">
      <c r="A6" s="11"/>
      <c r="B6" s="11"/>
      <c r="D6" s="196" t="s">
        <v>292</v>
      </c>
      <c r="E6" s="197"/>
      <c r="F6" s="196"/>
      <c r="G6" s="197"/>
      <c r="H6" s="197"/>
      <c r="I6" s="198">
        <v>0</v>
      </c>
      <c r="J6" s="198">
        <f>IF(Inputs!$C$9&gt;Projection!J9,0,ROUNDDOWN((IF(J9&lt;Inputs!$C$9,0,I8+1)-1)/12,0)+1)</f>
        <v>1</v>
      </c>
      <c r="K6" s="198">
        <f>IF(Inputs!$C$9&gt;Projection!K9,0,ROUNDDOWN((IF(K9&lt;Inputs!$C$9,0,J8+1)-1)/12,0)+1)</f>
        <v>1</v>
      </c>
      <c r="L6" s="198">
        <f>IF(Inputs!$C$9&gt;Projection!L9,0,ROUNDDOWN((IF(L9&lt;Inputs!$C$9,0,K8+1)-1)/12,0)+1)</f>
        <v>1</v>
      </c>
      <c r="M6" s="198">
        <f>IF(Inputs!$C$9&gt;Projection!M9,0,ROUNDDOWN((IF(M9&lt;Inputs!$C$9,0,L8+1)-1)/12,0)+1)</f>
        <v>1</v>
      </c>
      <c r="N6" s="198">
        <f>IF(Inputs!$C$9&gt;Projection!N9,0,ROUNDDOWN((IF(N9&lt;Inputs!$C$9,0,M8+1)-1)/12,0)+1)</f>
        <v>1</v>
      </c>
      <c r="O6" s="198">
        <f>IF(Inputs!$C$9&gt;Projection!O9,0,ROUNDDOWN((IF(O9&lt;Inputs!$C$9,0,N8+1)-1)/12,0)+1)</f>
        <v>1</v>
      </c>
      <c r="P6" s="198">
        <f>IF(Inputs!$C$9&gt;Projection!P9,0,ROUNDDOWN((IF(P9&lt;Inputs!$C$9,0,O8+1)-1)/12,0)+1)</f>
        <v>1</v>
      </c>
      <c r="Q6" s="198">
        <f>IF(Inputs!$C$9&gt;Projection!Q9,0,ROUNDDOWN((IF(Q9&lt;Inputs!$C$9,0,P8+1)-1)/12,0)+1)</f>
        <v>1</v>
      </c>
      <c r="R6" s="198">
        <f>IF(Inputs!$C$9&gt;Projection!R9,0,ROUNDDOWN((IF(R9&lt;Inputs!$C$9,0,Q8+1)-1)/12,0)+1)</f>
        <v>1</v>
      </c>
      <c r="S6" s="198">
        <f>IF(Inputs!$C$9&gt;Projection!S9,0,ROUNDDOWN((IF(S9&lt;Inputs!$C$9,0,R8+1)-1)/12,0)+1)</f>
        <v>1</v>
      </c>
      <c r="T6" s="198">
        <f>IF(Inputs!$C$9&gt;Projection!T9,0,ROUNDDOWN((IF(T9&lt;Inputs!$C$9,0,S8+1)-1)/12,0)+1)</f>
        <v>1</v>
      </c>
      <c r="U6" s="198">
        <f>IF(Inputs!$C$9&gt;Projection!U9,0,ROUNDDOWN((IF(U9&lt;Inputs!$C$9,0,T8+1)-1)/12,0)+1)</f>
        <v>1</v>
      </c>
      <c r="V6" s="198">
        <f>IF(Inputs!$C$9&gt;Projection!V9,0,ROUNDDOWN((IF(V9&lt;Inputs!$C$9,0,U8+1)-1)/12,0)+1)</f>
        <v>2</v>
      </c>
      <c r="W6" s="198">
        <f>IF(Inputs!$C$9&gt;Projection!W9,0,ROUNDDOWN((IF(W9&lt;Inputs!$C$9,0,V8+1)-1)/12,0)+1)</f>
        <v>2</v>
      </c>
      <c r="X6" s="198">
        <f>IF(Inputs!$C$9&gt;Projection!X9,0,ROUNDDOWN((IF(X9&lt;Inputs!$C$9,0,W8+1)-1)/12,0)+1)</f>
        <v>2</v>
      </c>
      <c r="Y6" s="198">
        <f>IF(Inputs!$C$9&gt;Projection!Y9,0,ROUNDDOWN((IF(Y9&lt;Inputs!$C$9,0,X8+1)-1)/12,0)+1)</f>
        <v>2</v>
      </c>
      <c r="Z6" s="198">
        <f>IF(Inputs!$C$9&gt;Projection!Z9,0,ROUNDDOWN((IF(Z9&lt;Inputs!$C$9,0,Y8+1)-1)/12,0)+1)</f>
        <v>2</v>
      </c>
      <c r="AA6" s="198">
        <f>IF(Inputs!$C$9&gt;Projection!AA9,0,ROUNDDOWN((IF(AA9&lt;Inputs!$C$9,0,Z8+1)-1)/12,0)+1)</f>
        <v>2</v>
      </c>
      <c r="AB6" s="198">
        <f>IF(Inputs!$C$9&gt;Projection!AB9,0,ROUNDDOWN((IF(AB9&lt;Inputs!$C$9,0,AA8+1)-1)/12,0)+1)</f>
        <v>2</v>
      </c>
      <c r="AC6" s="198">
        <f>IF(Inputs!$C$9&gt;Projection!AC9,0,ROUNDDOWN((IF(AC9&lt;Inputs!$C$9,0,AB8+1)-1)/12,0)+1)</f>
        <v>2</v>
      </c>
      <c r="AD6" s="198">
        <f>IF(Inputs!$C$9&gt;Projection!AD9,0,ROUNDDOWN((IF(AD9&lt;Inputs!$C$9,0,AC8+1)-1)/12,0)+1)</f>
        <v>2</v>
      </c>
      <c r="AE6" s="198">
        <f>IF(Inputs!$C$9&gt;Projection!AE9,0,ROUNDDOWN((IF(AE9&lt;Inputs!$C$9,0,AD8+1)-1)/12,0)+1)</f>
        <v>2</v>
      </c>
      <c r="AF6" s="198">
        <f>IF(Inputs!$C$9&gt;Projection!AF9,0,ROUNDDOWN((IF(AF9&lt;Inputs!$C$9,0,AE8+1)-1)/12,0)+1)</f>
        <v>2</v>
      </c>
      <c r="AG6" s="198">
        <f>IF(Inputs!$C$9&gt;Projection!AG9,0,ROUNDDOWN((IF(AG9&lt;Inputs!$C$9,0,AF8+1)-1)/12,0)+1)</f>
        <v>2</v>
      </c>
      <c r="AH6" s="198">
        <f>IF(Inputs!$C$9&gt;Projection!AH9,0,ROUNDDOWN((IF(AH9&lt;Inputs!$C$9,0,AG8+1)-1)/12,0)+1)</f>
        <v>3</v>
      </c>
      <c r="AI6" s="198">
        <f>IF(Inputs!$C$9&gt;Projection!AI9,0,ROUNDDOWN((IF(AI9&lt;Inputs!$C$9,0,AH8+1)-1)/12,0)+1)</f>
        <v>3</v>
      </c>
      <c r="AJ6" s="198">
        <f>IF(Inputs!$C$9&gt;Projection!AJ9,0,ROUNDDOWN((IF(AJ9&lt;Inputs!$C$9,0,AI8+1)-1)/12,0)+1)</f>
        <v>3</v>
      </c>
      <c r="AK6" s="198">
        <f>IF(Inputs!$C$9&gt;Projection!AK9,0,ROUNDDOWN((IF(AK9&lt;Inputs!$C$9,0,AJ8+1)-1)/12,0)+1)</f>
        <v>3</v>
      </c>
      <c r="AL6" s="198">
        <f>IF(Inputs!$C$9&gt;Projection!AL9,0,ROUNDDOWN((IF(AL9&lt;Inputs!$C$9,0,AK8+1)-1)/12,0)+1)</f>
        <v>3</v>
      </c>
      <c r="AM6" s="198">
        <f>IF(Inputs!$C$9&gt;Projection!AM9,0,ROUNDDOWN((IF(AM9&lt;Inputs!$C$9,0,AL8+1)-1)/12,0)+1)</f>
        <v>3</v>
      </c>
      <c r="AN6" s="198">
        <f>IF(Inputs!$C$9&gt;Projection!AN9,0,ROUNDDOWN((IF(AN9&lt;Inputs!$C$9,0,AM8+1)-1)/12,0)+1)</f>
        <v>3</v>
      </c>
      <c r="AO6" s="198">
        <f>IF(Inputs!$C$9&gt;Projection!AO9,0,ROUNDDOWN((IF(AO9&lt;Inputs!$C$9,0,AN8+1)-1)/12,0)+1)</f>
        <v>3</v>
      </c>
      <c r="AP6" s="198">
        <f>IF(Inputs!$C$9&gt;Projection!AP9,0,ROUNDDOWN((IF(AP9&lt;Inputs!$C$9,0,AO8+1)-1)/12,0)+1)</f>
        <v>3</v>
      </c>
      <c r="AQ6" s="198">
        <f>IF(Inputs!$C$9&gt;Projection!AQ9,0,ROUNDDOWN((IF(AQ9&lt;Inputs!$C$9,0,AP8+1)-1)/12,0)+1)</f>
        <v>3</v>
      </c>
      <c r="AR6" s="198">
        <f>IF(Inputs!$C$9&gt;Projection!AR9,0,ROUNDDOWN((IF(AR9&lt;Inputs!$C$9,0,AQ8+1)-1)/12,0)+1)</f>
        <v>3</v>
      </c>
      <c r="AS6" s="198">
        <f>IF(Inputs!$C$9&gt;Projection!AS9,0,ROUNDDOWN((IF(AS9&lt;Inputs!$C$9,0,AR8+1)-1)/12,0)+1)</f>
        <v>3</v>
      </c>
      <c r="AT6" s="198">
        <f>IF(Inputs!$C$9&gt;Projection!AT9,0,ROUNDDOWN((IF(AT9&lt;Inputs!$C$9,0,AS8+1)-1)/12,0)+1)</f>
        <v>4</v>
      </c>
      <c r="AU6" s="198">
        <f>IF(Inputs!$C$9&gt;Projection!AU9,0,ROUNDDOWN((IF(AU9&lt;Inputs!$C$9,0,AT8+1)-1)/12,0)+1)</f>
        <v>4</v>
      </c>
      <c r="AV6" s="198">
        <f>IF(Inputs!$C$9&gt;Projection!AV9,0,ROUNDDOWN((IF(AV9&lt;Inputs!$C$9,0,AU8+1)-1)/12,0)+1)</f>
        <v>4</v>
      </c>
      <c r="AW6" s="198">
        <f>IF(Inputs!$C$9&gt;Projection!AW9,0,ROUNDDOWN((IF(AW9&lt;Inputs!$C$9,0,AV8+1)-1)/12,0)+1)</f>
        <v>4</v>
      </c>
      <c r="AX6" s="198">
        <f>IF(Inputs!$C$9&gt;Projection!AX9,0,ROUNDDOWN((IF(AX9&lt;Inputs!$C$9,0,AW8+1)-1)/12,0)+1)</f>
        <v>4</v>
      </c>
      <c r="AY6" s="198">
        <f>IF(Inputs!$C$9&gt;Projection!AY9,0,ROUNDDOWN((IF(AY9&lt;Inputs!$C$9,0,AX8+1)-1)/12,0)+1)</f>
        <v>4</v>
      </c>
      <c r="AZ6" s="198">
        <f>IF(Inputs!$C$9&gt;Projection!AZ9,0,ROUNDDOWN((IF(AZ9&lt;Inputs!$C$9,0,AY8+1)-1)/12,0)+1)</f>
        <v>4</v>
      </c>
      <c r="BA6" s="198">
        <f>IF(Inputs!$C$9&gt;Projection!BA9,0,ROUNDDOWN((IF(BA9&lt;Inputs!$C$9,0,AZ8+1)-1)/12,0)+1)</f>
        <v>4</v>
      </c>
      <c r="BB6" s="198">
        <f>IF(Inputs!$C$9&gt;Projection!BB9,0,ROUNDDOWN((IF(BB9&lt;Inputs!$C$9,0,BA8+1)-1)/12,0)+1)</f>
        <v>4</v>
      </c>
      <c r="BC6" s="198">
        <f>IF(Inputs!$C$9&gt;Projection!BC9,0,ROUNDDOWN((IF(BC9&lt;Inputs!$C$9,0,BB8+1)-1)/12,0)+1)</f>
        <v>4</v>
      </c>
      <c r="BD6" s="198">
        <f>IF(Inputs!$C$9&gt;Projection!BD9,0,ROUNDDOWN((IF(BD9&lt;Inputs!$C$9,0,BC8+1)-1)/12,0)+1)</f>
        <v>4</v>
      </c>
      <c r="BE6" s="198">
        <f>IF(Inputs!$C$9&gt;Projection!BE9,0,ROUNDDOWN((IF(BE9&lt;Inputs!$C$9,0,BD8+1)-1)/12,0)+1)</f>
        <v>4</v>
      </c>
      <c r="BF6" s="198">
        <f>IF(Inputs!$C$9&gt;Projection!BF9,0,ROUNDDOWN((IF(BF9&lt;Inputs!$C$9,0,BE8+1)-1)/12,0)+1)</f>
        <v>5</v>
      </c>
      <c r="BG6" s="198">
        <f>IF(Inputs!$C$9&gt;Projection!BG9,0,ROUNDDOWN((IF(BG9&lt;Inputs!$C$9,0,BF8+1)-1)/12,0)+1)</f>
        <v>5</v>
      </c>
      <c r="BH6" s="198">
        <f>IF(Inputs!$C$9&gt;Projection!BH9,0,ROUNDDOWN((IF(BH9&lt;Inputs!$C$9,0,BG8+1)-1)/12,0)+1)</f>
        <v>5</v>
      </c>
      <c r="BI6" s="198">
        <f>IF(Inputs!$C$9&gt;Projection!BI9,0,ROUNDDOWN((IF(BI9&lt;Inputs!$C$9,0,BH8+1)-1)/12,0)+1)</f>
        <v>5</v>
      </c>
      <c r="BJ6" s="198">
        <f>IF(Inputs!$C$9&gt;Projection!BJ9,0,ROUNDDOWN((IF(BJ9&lt;Inputs!$C$9,0,BI8+1)-1)/12,0)+1)</f>
        <v>5</v>
      </c>
      <c r="BK6" s="198">
        <f>IF(Inputs!$C$9&gt;Projection!BK9,0,ROUNDDOWN((IF(BK9&lt;Inputs!$C$9,0,BJ8+1)-1)/12,0)+1)</f>
        <v>5</v>
      </c>
      <c r="BL6" s="198">
        <f>IF(Inputs!$C$9&gt;Projection!BL9,0,ROUNDDOWN((IF(BL9&lt;Inputs!$C$9,0,BK8+1)-1)/12,0)+1)</f>
        <v>5</v>
      </c>
      <c r="BM6" s="198">
        <f>IF(Inputs!$C$9&gt;Projection!BM9,0,ROUNDDOWN((IF(BM9&lt;Inputs!$C$9,0,BL8+1)-1)/12,0)+1)</f>
        <v>5</v>
      </c>
      <c r="BN6" s="198">
        <f>IF(Inputs!$C$9&gt;Projection!BN9,0,ROUNDDOWN((IF(BN9&lt;Inputs!$C$9,0,BM8+1)-1)/12,0)+1)</f>
        <v>5</v>
      </c>
      <c r="BO6" s="198">
        <f>IF(Inputs!$C$9&gt;Projection!BO9,0,ROUNDDOWN((IF(BO9&lt;Inputs!$C$9,0,BN8+1)-1)/12,0)+1)</f>
        <v>5</v>
      </c>
      <c r="BP6" s="198">
        <f>IF(Inputs!$C$9&gt;Projection!BP9,0,ROUNDDOWN((IF(BP9&lt;Inputs!$C$9,0,BO8+1)-1)/12,0)+1)</f>
        <v>5</v>
      </c>
      <c r="BQ6" s="198">
        <f>IF(Inputs!$C$9&gt;Projection!BQ9,0,ROUNDDOWN((IF(BQ9&lt;Inputs!$C$9,0,BP8+1)-1)/12,0)+1)</f>
        <v>5</v>
      </c>
      <c r="BR6" s="198">
        <f>IF(Inputs!$C$9&gt;Projection!BR9,0,ROUNDDOWN((IF(BR9&lt;Inputs!$C$9,0,BQ8+1)-1)/12,0)+1)</f>
        <v>6</v>
      </c>
      <c r="BS6" s="198">
        <f>IF(Inputs!$C$9&gt;Projection!BS9,0,ROUNDDOWN((IF(BS9&lt;Inputs!$C$9,0,BR8+1)-1)/12,0)+1)</f>
        <v>6</v>
      </c>
      <c r="BT6" s="198">
        <f>IF(Inputs!$C$9&gt;Projection!BT9,0,ROUNDDOWN((IF(BT9&lt;Inputs!$C$9,0,BS8+1)-1)/12,0)+1)</f>
        <v>6</v>
      </c>
      <c r="BU6" s="198">
        <f>IF(Inputs!$C$9&gt;Projection!BU9,0,ROUNDDOWN((IF(BU9&lt;Inputs!$C$9,0,BT8+1)-1)/12,0)+1)</f>
        <v>6</v>
      </c>
    </row>
    <row r="7" spans="1:89" ht="14.25" customHeight="1" outlineLevel="1" x14ac:dyDescent="0.2">
      <c r="A7" s="11"/>
      <c r="B7" s="11"/>
      <c r="D7" s="196" t="s">
        <v>293</v>
      </c>
      <c r="E7" s="197"/>
      <c r="F7" s="196"/>
      <c r="G7" s="197"/>
      <c r="H7" s="197"/>
      <c r="I7" s="199"/>
      <c r="J7" s="198">
        <v>1</v>
      </c>
      <c r="K7" s="198">
        <v>1</v>
      </c>
      <c r="L7" s="198">
        <v>1</v>
      </c>
      <c r="M7" s="198">
        <v>1</v>
      </c>
      <c r="N7" s="198">
        <v>1</v>
      </c>
      <c r="O7" s="198">
        <v>1</v>
      </c>
      <c r="P7" s="198">
        <v>1</v>
      </c>
      <c r="Q7" s="198">
        <v>1</v>
      </c>
      <c r="R7" s="198">
        <v>1</v>
      </c>
      <c r="S7" s="198">
        <v>1</v>
      </c>
      <c r="T7" s="198">
        <v>1</v>
      </c>
      <c r="U7" s="198">
        <v>1</v>
      </c>
      <c r="V7" s="198">
        <v>2</v>
      </c>
      <c r="W7" s="198">
        <v>2</v>
      </c>
      <c r="X7" s="198">
        <v>2</v>
      </c>
      <c r="Y7" s="198">
        <v>2</v>
      </c>
      <c r="Z7" s="198">
        <v>2</v>
      </c>
      <c r="AA7" s="198">
        <v>2</v>
      </c>
      <c r="AB7" s="198">
        <v>2</v>
      </c>
      <c r="AC7" s="198">
        <v>2</v>
      </c>
      <c r="AD7" s="198">
        <v>2</v>
      </c>
      <c r="AE7" s="198">
        <v>2</v>
      </c>
      <c r="AF7" s="198">
        <v>2</v>
      </c>
      <c r="AG7" s="198">
        <v>2</v>
      </c>
      <c r="AH7" s="198">
        <v>3</v>
      </c>
      <c r="AI7" s="198">
        <v>3</v>
      </c>
      <c r="AJ7" s="198">
        <v>3</v>
      </c>
      <c r="AK7" s="198">
        <v>3</v>
      </c>
      <c r="AL7" s="198">
        <v>3</v>
      </c>
      <c r="AM7" s="198">
        <v>3</v>
      </c>
      <c r="AN7" s="198">
        <v>3</v>
      </c>
      <c r="AO7" s="198">
        <v>3</v>
      </c>
      <c r="AP7" s="198">
        <v>3</v>
      </c>
      <c r="AQ7" s="198">
        <v>3</v>
      </c>
      <c r="AR7" s="198">
        <v>3</v>
      </c>
      <c r="AS7" s="198">
        <v>3</v>
      </c>
      <c r="AT7" s="198">
        <v>4</v>
      </c>
      <c r="AU7" s="198">
        <v>4</v>
      </c>
      <c r="AV7" s="198">
        <v>4</v>
      </c>
      <c r="AW7" s="198">
        <v>4</v>
      </c>
      <c r="AX7" s="198">
        <v>4</v>
      </c>
      <c r="AY7" s="198">
        <v>4</v>
      </c>
      <c r="AZ7" s="198">
        <v>4</v>
      </c>
      <c r="BA7" s="198">
        <v>4</v>
      </c>
      <c r="BB7" s="198">
        <v>4</v>
      </c>
      <c r="BC7" s="198">
        <v>4</v>
      </c>
      <c r="BD7" s="198">
        <v>4</v>
      </c>
      <c r="BE7" s="198">
        <v>4</v>
      </c>
      <c r="BF7" s="198">
        <v>5</v>
      </c>
      <c r="BG7" s="198">
        <v>5</v>
      </c>
      <c r="BH7" s="198">
        <v>5</v>
      </c>
      <c r="BI7" s="198">
        <v>5</v>
      </c>
      <c r="BJ7" s="198">
        <v>5</v>
      </c>
      <c r="BK7" s="198">
        <v>5</v>
      </c>
      <c r="BL7" s="198">
        <v>5</v>
      </c>
      <c r="BM7" s="198">
        <v>5</v>
      </c>
      <c r="BN7" s="198">
        <v>5</v>
      </c>
      <c r="BO7" s="198">
        <v>5</v>
      </c>
      <c r="BP7" s="198">
        <v>5</v>
      </c>
      <c r="BQ7" s="198">
        <v>5</v>
      </c>
      <c r="BR7" s="198">
        <v>6</v>
      </c>
      <c r="BS7" s="198">
        <v>6</v>
      </c>
      <c r="BT7" s="198">
        <v>6</v>
      </c>
      <c r="BU7" s="198">
        <v>6</v>
      </c>
      <c r="BV7" s="1"/>
      <c r="BW7" s="198">
        <v>1</v>
      </c>
      <c r="BX7" s="198">
        <v>2</v>
      </c>
      <c r="BY7" s="198">
        <v>3</v>
      </c>
      <c r="BZ7" s="198">
        <v>4</v>
      </c>
      <c r="CA7" s="198">
        <v>5</v>
      </c>
      <c r="CB7" s="198">
        <v>6</v>
      </c>
      <c r="CC7" s="198">
        <v>7</v>
      </c>
      <c r="CD7" s="198"/>
      <c r="CE7" s="198"/>
      <c r="CF7" s="198"/>
      <c r="CG7" s="198"/>
      <c r="CH7" s="198"/>
      <c r="CI7" s="198"/>
      <c r="CJ7" s="198"/>
      <c r="CK7" s="198"/>
    </row>
    <row r="8" spans="1:89" ht="14.25" customHeight="1" outlineLevel="1" x14ac:dyDescent="0.2">
      <c r="A8" s="11"/>
      <c r="B8" s="11"/>
      <c r="D8" s="196" t="s">
        <v>294</v>
      </c>
      <c r="E8" s="197"/>
      <c r="F8" s="196"/>
      <c r="G8" s="197"/>
      <c r="H8" s="197"/>
      <c r="I8" s="199"/>
      <c r="J8" s="198">
        <f>IF(J9&lt;Inputs!$C$9,0,I8+1)</f>
        <v>1</v>
      </c>
      <c r="K8" s="198">
        <f>IF(K9&lt;Inputs!$C$9,0,J8+1)</f>
        <v>2</v>
      </c>
      <c r="L8" s="198">
        <f>IF(L9&lt;Inputs!$C$9,0,K8+1)</f>
        <v>3</v>
      </c>
      <c r="M8" s="198">
        <f>IF(M9&lt;Inputs!$C$9,0,L8+1)</f>
        <v>4</v>
      </c>
      <c r="N8" s="198">
        <f>IF(N9&lt;Inputs!$C$9,0,M8+1)</f>
        <v>5</v>
      </c>
      <c r="O8" s="198">
        <f>IF(O9&lt;Inputs!$C$9,0,N8+1)</f>
        <v>6</v>
      </c>
      <c r="P8" s="198">
        <f>IF(P9&lt;Inputs!$C$9,0,O8+1)</f>
        <v>7</v>
      </c>
      <c r="Q8" s="198">
        <f>IF(Q9&lt;Inputs!$C$9,0,P8+1)</f>
        <v>8</v>
      </c>
      <c r="R8" s="198">
        <f>IF(R9&lt;Inputs!$C$9,0,Q8+1)</f>
        <v>9</v>
      </c>
      <c r="S8" s="198">
        <f>IF(S9&lt;Inputs!$C$9,0,R8+1)</f>
        <v>10</v>
      </c>
      <c r="T8" s="198">
        <f>IF(T9&lt;Inputs!$C$9,0,S8+1)</f>
        <v>11</v>
      </c>
      <c r="U8" s="198">
        <f>IF(U9&lt;Inputs!$C$9,0,T8+1)</f>
        <v>12</v>
      </c>
      <c r="V8" s="198">
        <f>IF(V9&lt;Inputs!$C$9,0,U8+1)</f>
        <v>13</v>
      </c>
      <c r="W8" s="198">
        <f>IF(W9&lt;Inputs!$C$9,0,V8+1)</f>
        <v>14</v>
      </c>
      <c r="X8" s="198">
        <f>IF(X9&lt;Inputs!$C$9,0,W8+1)</f>
        <v>15</v>
      </c>
      <c r="Y8" s="198">
        <f>IF(Y9&lt;Inputs!$C$9,0,X8+1)</f>
        <v>16</v>
      </c>
      <c r="Z8" s="198">
        <f>IF(Z9&lt;Inputs!$C$9,0,Y8+1)</f>
        <v>17</v>
      </c>
      <c r="AA8" s="198">
        <f>IF(AA9&lt;Inputs!$C$9,0,Z8+1)</f>
        <v>18</v>
      </c>
      <c r="AB8" s="198">
        <f>IF(AB9&lt;Inputs!$C$9,0,AA8+1)</f>
        <v>19</v>
      </c>
      <c r="AC8" s="198">
        <f>IF(AC9&lt;Inputs!$C$9,0,AB8+1)</f>
        <v>20</v>
      </c>
      <c r="AD8" s="198">
        <f>IF(AD9&lt;Inputs!$C$9,0,AC8+1)</f>
        <v>21</v>
      </c>
      <c r="AE8" s="198">
        <f>IF(AE9&lt;Inputs!$C$9,0,AD8+1)</f>
        <v>22</v>
      </c>
      <c r="AF8" s="198">
        <f>IF(AF9&lt;Inputs!$C$9,0,AE8+1)</f>
        <v>23</v>
      </c>
      <c r="AG8" s="198">
        <f>IF(AG9&lt;Inputs!$C$9,0,AF8+1)</f>
        <v>24</v>
      </c>
      <c r="AH8" s="198">
        <f>IF(AH9&lt;Inputs!$C$9,0,AG8+1)</f>
        <v>25</v>
      </c>
      <c r="AI8" s="198">
        <f>IF(AI9&lt;Inputs!$C$9,0,AH8+1)</f>
        <v>26</v>
      </c>
      <c r="AJ8" s="198">
        <f>IF(AJ9&lt;Inputs!$C$9,0,AI8+1)</f>
        <v>27</v>
      </c>
      <c r="AK8" s="198">
        <f>IF(AK9&lt;Inputs!$C$9,0,AJ8+1)</f>
        <v>28</v>
      </c>
      <c r="AL8" s="198">
        <f>IF(AL9&lt;Inputs!$C$9,0,AK8+1)</f>
        <v>29</v>
      </c>
      <c r="AM8" s="198">
        <f>IF(AM9&lt;Inputs!$C$9,0,AL8+1)</f>
        <v>30</v>
      </c>
      <c r="AN8" s="198">
        <f>IF(AN9&lt;Inputs!$C$9,0,AM8+1)</f>
        <v>31</v>
      </c>
      <c r="AO8" s="198">
        <f>IF(AO9&lt;Inputs!$C$9,0,AN8+1)</f>
        <v>32</v>
      </c>
      <c r="AP8" s="198">
        <f>IF(AP9&lt;Inputs!$C$9,0,AO8+1)</f>
        <v>33</v>
      </c>
      <c r="AQ8" s="198">
        <f>IF(AQ9&lt;Inputs!$C$9,0,AP8+1)</f>
        <v>34</v>
      </c>
      <c r="AR8" s="198">
        <f>IF(AR9&lt;Inputs!$C$9,0,AQ8+1)</f>
        <v>35</v>
      </c>
      <c r="AS8" s="198">
        <f>IF(AS9&lt;Inputs!$C$9,0,AR8+1)</f>
        <v>36</v>
      </c>
      <c r="AT8" s="198">
        <f>IF(AT9&lt;Inputs!$C$9,0,AS8+1)</f>
        <v>37</v>
      </c>
      <c r="AU8" s="198">
        <f>IF(AU9&lt;Inputs!$C$9,0,AT8+1)</f>
        <v>38</v>
      </c>
      <c r="AV8" s="198">
        <f>IF(AV9&lt;Inputs!$C$9,0,AU8+1)</f>
        <v>39</v>
      </c>
      <c r="AW8" s="198">
        <f>IF(AW9&lt;Inputs!$C$9,0,AV8+1)</f>
        <v>40</v>
      </c>
      <c r="AX8" s="198">
        <f>IF(AX9&lt;Inputs!$C$9,0,AW8+1)</f>
        <v>41</v>
      </c>
      <c r="AY8" s="198">
        <f>IF(AY9&lt;Inputs!$C$9,0,AX8+1)</f>
        <v>42</v>
      </c>
      <c r="AZ8" s="198">
        <f>IF(AZ9&lt;Inputs!$C$9,0,AY8+1)</f>
        <v>43</v>
      </c>
      <c r="BA8" s="198">
        <f>IF(BA9&lt;Inputs!$C$9,0,AZ8+1)</f>
        <v>44</v>
      </c>
      <c r="BB8" s="198">
        <f>IF(BB9&lt;Inputs!$C$9,0,BA8+1)</f>
        <v>45</v>
      </c>
      <c r="BC8" s="198">
        <f>IF(BC9&lt;Inputs!$C$9,0,BB8+1)</f>
        <v>46</v>
      </c>
      <c r="BD8" s="198">
        <f>IF(BD9&lt;Inputs!$C$9,0,BC8+1)</f>
        <v>47</v>
      </c>
      <c r="BE8" s="198">
        <f>IF(BE9&lt;Inputs!$C$9,0,BD8+1)</f>
        <v>48</v>
      </c>
      <c r="BF8" s="198">
        <f>IF(BF9&lt;Inputs!$C$9,0,BE8+1)</f>
        <v>49</v>
      </c>
      <c r="BG8" s="198">
        <f>IF(BG9&lt;Inputs!$C$9,0,BF8+1)</f>
        <v>50</v>
      </c>
      <c r="BH8" s="198">
        <f>IF(BH9&lt;Inputs!$C$9,0,BG8+1)</f>
        <v>51</v>
      </c>
      <c r="BI8" s="198">
        <f>IF(BI9&lt;Inputs!$C$9,0,BH8+1)</f>
        <v>52</v>
      </c>
      <c r="BJ8" s="198">
        <f>IF(BJ9&lt;Inputs!$C$9,0,BI8+1)</f>
        <v>53</v>
      </c>
      <c r="BK8" s="198">
        <f>IF(BK9&lt;Inputs!$C$9,0,BJ8+1)</f>
        <v>54</v>
      </c>
      <c r="BL8" s="198">
        <f>IF(BL9&lt;Inputs!$C$9,0,BK8+1)</f>
        <v>55</v>
      </c>
      <c r="BM8" s="198">
        <f>IF(BM9&lt;Inputs!$C$9,0,BL8+1)</f>
        <v>56</v>
      </c>
      <c r="BN8" s="198">
        <f>IF(BN9&lt;Inputs!$C$9,0,BM8+1)</f>
        <v>57</v>
      </c>
      <c r="BO8" s="198">
        <f>IF(BO9&lt;Inputs!$C$9,0,BN8+1)</f>
        <v>58</v>
      </c>
      <c r="BP8" s="198">
        <f>IF(BP9&lt;Inputs!$C$9,0,BO8+1)</f>
        <v>59</v>
      </c>
      <c r="BQ8" s="198">
        <f>IF(BQ9&lt;Inputs!$C$9,0,BP8+1)</f>
        <v>60</v>
      </c>
      <c r="BR8" s="198">
        <f>IF(BR9&lt;Inputs!$C$9,0,BQ8+1)</f>
        <v>61</v>
      </c>
      <c r="BS8" s="198">
        <f>IF(BS9&lt;Inputs!$C$9,0,BR8+1)</f>
        <v>62</v>
      </c>
      <c r="BT8" s="198">
        <f>IF(BT9&lt;Inputs!$C$9,0,BS8+1)</f>
        <v>63</v>
      </c>
      <c r="BU8" s="198">
        <f>IF(BU9&lt;Inputs!$C$9,0,BT8+1)</f>
        <v>64</v>
      </c>
      <c r="BV8" s="1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</row>
    <row r="9" spans="1:89" ht="14.25" customHeight="1" x14ac:dyDescent="0.2">
      <c r="A9" s="11">
        <f t="shared" ref="A9:A16" si="0">$F$2</f>
        <v>0</v>
      </c>
      <c r="B9" s="11"/>
      <c r="F9" s="56"/>
      <c r="H9" s="200" t="s">
        <v>295</v>
      </c>
      <c r="I9" s="200" t="s">
        <v>1</v>
      </c>
      <c r="J9" s="200">
        <f>Inputs!$C$8</f>
        <v>46053</v>
      </c>
      <c r="K9" s="200">
        <f t="shared" ref="K9:BU9" si="1">EOMONTH(J9,1)</f>
        <v>46081</v>
      </c>
      <c r="L9" s="200">
        <f t="shared" si="1"/>
        <v>46112</v>
      </c>
      <c r="M9" s="200">
        <f t="shared" si="1"/>
        <v>46142</v>
      </c>
      <c r="N9" s="200">
        <f t="shared" si="1"/>
        <v>46173</v>
      </c>
      <c r="O9" s="200">
        <f t="shared" si="1"/>
        <v>46203</v>
      </c>
      <c r="P9" s="200">
        <f t="shared" si="1"/>
        <v>46234</v>
      </c>
      <c r="Q9" s="200">
        <f t="shared" si="1"/>
        <v>46265</v>
      </c>
      <c r="R9" s="200">
        <f t="shared" si="1"/>
        <v>46295</v>
      </c>
      <c r="S9" s="200">
        <f t="shared" si="1"/>
        <v>46326</v>
      </c>
      <c r="T9" s="200">
        <f t="shared" si="1"/>
        <v>46356</v>
      </c>
      <c r="U9" s="201">
        <f t="shared" si="1"/>
        <v>46387</v>
      </c>
      <c r="V9" s="200">
        <f t="shared" si="1"/>
        <v>46418</v>
      </c>
      <c r="W9" s="200">
        <f t="shared" si="1"/>
        <v>46446</v>
      </c>
      <c r="X9" s="200">
        <f t="shared" si="1"/>
        <v>46477</v>
      </c>
      <c r="Y9" s="200">
        <f t="shared" si="1"/>
        <v>46507</v>
      </c>
      <c r="Z9" s="200">
        <f t="shared" si="1"/>
        <v>46538</v>
      </c>
      <c r="AA9" s="200">
        <f t="shared" si="1"/>
        <v>46568</v>
      </c>
      <c r="AB9" s="200">
        <f t="shared" si="1"/>
        <v>46599</v>
      </c>
      <c r="AC9" s="200">
        <f t="shared" si="1"/>
        <v>46630</v>
      </c>
      <c r="AD9" s="200">
        <f t="shared" si="1"/>
        <v>46660</v>
      </c>
      <c r="AE9" s="200">
        <f t="shared" si="1"/>
        <v>46691</v>
      </c>
      <c r="AF9" s="200">
        <f t="shared" si="1"/>
        <v>46721</v>
      </c>
      <c r="AG9" s="201">
        <f t="shared" si="1"/>
        <v>46752</v>
      </c>
      <c r="AH9" s="200">
        <f t="shared" si="1"/>
        <v>46783</v>
      </c>
      <c r="AI9" s="200">
        <f t="shared" si="1"/>
        <v>46812</v>
      </c>
      <c r="AJ9" s="200">
        <f t="shared" si="1"/>
        <v>46843</v>
      </c>
      <c r="AK9" s="200">
        <f t="shared" si="1"/>
        <v>46873</v>
      </c>
      <c r="AL9" s="200">
        <f t="shared" si="1"/>
        <v>46904</v>
      </c>
      <c r="AM9" s="200">
        <f t="shared" si="1"/>
        <v>46934</v>
      </c>
      <c r="AN9" s="200">
        <f t="shared" si="1"/>
        <v>46965</v>
      </c>
      <c r="AO9" s="200">
        <f t="shared" si="1"/>
        <v>46996</v>
      </c>
      <c r="AP9" s="200">
        <f t="shared" si="1"/>
        <v>47026</v>
      </c>
      <c r="AQ9" s="200">
        <f t="shared" si="1"/>
        <v>47057</v>
      </c>
      <c r="AR9" s="200">
        <f t="shared" si="1"/>
        <v>47087</v>
      </c>
      <c r="AS9" s="201">
        <f t="shared" si="1"/>
        <v>47118</v>
      </c>
      <c r="AT9" s="200">
        <f t="shared" si="1"/>
        <v>47149</v>
      </c>
      <c r="AU9" s="200">
        <f t="shared" si="1"/>
        <v>47177</v>
      </c>
      <c r="AV9" s="200">
        <f t="shared" si="1"/>
        <v>47208</v>
      </c>
      <c r="AW9" s="200">
        <f t="shared" si="1"/>
        <v>47238</v>
      </c>
      <c r="AX9" s="200">
        <f t="shared" si="1"/>
        <v>47269</v>
      </c>
      <c r="AY9" s="200">
        <f t="shared" si="1"/>
        <v>47299</v>
      </c>
      <c r="AZ9" s="200">
        <f t="shared" si="1"/>
        <v>47330</v>
      </c>
      <c r="BA9" s="200">
        <f t="shared" si="1"/>
        <v>47361</v>
      </c>
      <c r="BB9" s="200">
        <f t="shared" si="1"/>
        <v>47391</v>
      </c>
      <c r="BC9" s="200">
        <f t="shared" si="1"/>
        <v>47422</v>
      </c>
      <c r="BD9" s="200">
        <f t="shared" si="1"/>
        <v>47452</v>
      </c>
      <c r="BE9" s="201">
        <f t="shared" si="1"/>
        <v>47483</v>
      </c>
      <c r="BF9" s="200">
        <f t="shared" si="1"/>
        <v>47514</v>
      </c>
      <c r="BG9" s="200">
        <f t="shared" si="1"/>
        <v>47542</v>
      </c>
      <c r="BH9" s="200">
        <f t="shared" si="1"/>
        <v>47573</v>
      </c>
      <c r="BI9" s="200">
        <f t="shared" si="1"/>
        <v>47603</v>
      </c>
      <c r="BJ9" s="200">
        <f t="shared" si="1"/>
        <v>47634</v>
      </c>
      <c r="BK9" s="200">
        <f t="shared" si="1"/>
        <v>47664</v>
      </c>
      <c r="BL9" s="200">
        <f t="shared" si="1"/>
        <v>47695</v>
      </c>
      <c r="BM9" s="200">
        <f t="shared" si="1"/>
        <v>47726</v>
      </c>
      <c r="BN9" s="200">
        <f t="shared" si="1"/>
        <v>47756</v>
      </c>
      <c r="BO9" s="200">
        <f t="shared" si="1"/>
        <v>47787</v>
      </c>
      <c r="BP9" s="200">
        <f t="shared" si="1"/>
        <v>47817</v>
      </c>
      <c r="BQ9" s="200">
        <f t="shared" si="1"/>
        <v>47848</v>
      </c>
      <c r="BR9" s="200">
        <f t="shared" si="1"/>
        <v>47879</v>
      </c>
      <c r="BS9" s="200">
        <f t="shared" si="1"/>
        <v>47907</v>
      </c>
      <c r="BT9" s="200">
        <f t="shared" si="1"/>
        <v>47938</v>
      </c>
      <c r="BU9" s="200">
        <f t="shared" si="1"/>
        <v>47968</v>
      </c>
      <c r="BW9" s="202">
        <v>1</v>
      </c>
      <c r="BX9" s="202">
        <v>2</v>
      </c>
      <c r="BY9" s="202">
        <v>3</v>
      </c>
      <c r="BZ9" s="202">
        <v>4</v>
      </c>
      <c r="CA9" s="202">
        <v>5</v>
      </c>
      <c r="CB9" s="202">
        <v>6</v>
      </c>
      <c r="CC9" s="202">
        <v>7</v>
      </c>
      <c r="CD9" s="202">
        <v>8</v>
      </c>
      <c r="CE9" s="202">
        <v>9</v>
      </c>
      <c r="CF9" s="202">
        <v>10</v>
      </c>
      <c r="CG9" s="202">
        <v>11</v>
      </c>
      <c r="CH9" s="202">
        <v>12</v>
      </c>
      <c r="CI9" s="202">
        <v>13</v>
      </c>
      <c r="CJ9" s="202">
        <v>14</v>
      </c>
      <c r="CK9" s="202">
        <v>15</v>
      </c>
    </row>
    <row r="10" spans="1:89" ht="14.25" customHeight="1" x14ac:dyDescent="0.2">
      <c r="A10" s="11">
        <f t="shared" si="0"/>
        <v>0</v>
      </c>
      <c r="B10" s="11"/>
      <c r="F10" s="56"/>
      <c r="I10" s="1"/>
      <c r="U10" s="203"/>
      <c r="AG10" s="203"/>
      <c r="AS10" s="203"/>
      <c r="BE10" s="203"/>
      <c r="BW10" s="204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</row>
    <row r="11" spans="1:89" ht="14.25" customHeight="1" x14ac:dyDescent="0.2">
      <c r="A11" s="11">
        <f t="shared" si="0"/>
        <v>0</v>
      </c>
      <c r="B11" s="11"/>
      <c r="D11" s="206" t="s">
        <v>296</v>
      </c>
      <c r="E11" s="207"/>
      <c r="F11" s="208"/>
      <c r="G11" s="207"/>
      <c r="H11" s="207"/>
      <c r="I11" s="209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10"/>
      <c r="U11" s="211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3"/>
      <c r="AG11" s="211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3"/>
      <c r="AS11" s="211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3"/>
      <c r="BE11" s="211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3"/>
      <c r="BQ11" s="213"/>
      <c r="BR11" s="213"/>
      <c r="BS11" s="213"/>
      <c r="BT11" s="213"/>
      <c r="BU11" s="213"/>
      <c r="BW11" s="214" t="s">
        <v>296</v>
      </c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215"/>
    </row>
    <row r="12" spans="1:89" ht="14.25" customHeight="1" x14ac:dyDescent="0.2">
      <c r="A12" s="11">
        <f t="shared" si="0"/>
        <v>0</v>
      </c>
      <c r="B12" s="11"/>
      <c r="D12" s="216" t="s">
        <v>5</v>
      </c>
      <c r="E12" s="217"/>
      <c r="F12" s="218"/>
      <c r="G12" s="217"/>
      <c r="H12" s="217"/>
      <c r="I12" s="219"/>
      <c r="J12" s="220"/>
      <c r="K12" s="220"/>
      <c r="L12" s="220"/>
      <c r="M12" s="220"/>
      <c r="N12" s="221"/>
      <c r="O12" s="220"/>
      <c r="P12" s="220"/>
      <c r="Q12" s="220"/>
      <c r="R12" s="220"/>
      <c r="S12" s="220"/>
      <c r="T12" s="220"/>
      <c r="U12" s="222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2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2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2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W12" s="216" t="str">
        <f>D12</f>
        <v>Occupancy</v>
      </c>
      <c r="BX12" s="223"/>
      <c r="BY12" s="223"/>
      <c r="BZ12" s="223"/>
      <c r="CA12" s="223"/>
      <c r="CB12" s="223"/>
      <c r="CC12" s="223"/>
      <c r="CD12" s="223"/>
      <c r="CE12" s="223"/>
      <c r="CF12" s="223"/>
      <c r="CG12" s="223"/>
      <c r="CH12" s="223"/>
      <c r="CI12" s="223"/>
      <c r="CJ12" s="223"/>
      <c r="CK12" s="223"/>
    </row>
    <row r="13" spans="1:89" ht="14.25" customHeight="1" outlineLevel="1" x14ac:dyDescent="0.2">
      <c r="A13" s="11">
        <f t="shared" si="0"/>
        <v>0</v>
      </c>
      <c r="B13" s="11"/>
      <c r="E13" s="224"/>
      <c r="F13" s="197" t="s">
        <v>297</v>
      </c>
      <c r="G13" s="197"/>
      <c r="H13" s="225"/>
      <c r="I13" s="226">
        <f>(Inputs!C18-Inputs!C24)/(Inputs!C13-Inputs!C23)</f>
        <v>0</v>
      </c>
      <c r="J13" s="227">
        <f>IF(J$7&gt;=Inputs!$I$12,Inputs!$I$13+VLOOKUP(MONTH(J$9),Modeling!$B$4:$G$16,4,FALSE),RentalsVacates!G2+(VLOOKUP(J$7,Inputs!$G$4:$I$10,3,FALSE)-VLOOKUP(J$7-1,Inputs!$G$4:$I$10,3,FALSE))/12*VLOOKUP(MONTH(J$9),Modeling!$B$4:$I$16,8,FALSE)+IF(Inputs!$I$6&lt;60%,VLOOKUP(Projection!J$8,Modeling!$B$4:$K$16,9,FALSE)+VLOOKUP(MONTH(J$9),Modeling!$B$4:$K$16,10,FALSE),0))</f>
        <v>2.1821417204108347E-2</v>
      </c>
      <c r="K13" s="227">
        <f>IF(K$7&gt;=Inputs!$I$12,Inputs!$I$13+VLOOKUP(MONTH(K$9),Modeling!$B$4:$G$16,4,FALSE),RentalsVacates!H2+(VLOOKUP(K$7,Inputs!$G$4:$I$10,3,FALSE)-VLOOKUP(K$7-1,Inputs!$G$4:$I$10,3,FALSE))/12*VLOOKUP(MONTH(K$9),Modeling!$B$4:$I$16,8,FALSE)+IF(Inputs!$I$6&lt;60%,VLOOKUP(Projection!K$8,Modeling!$B$4:$K$16,9,FALSE)+VLOOKUP(MONTH(K$9),Modeling!$B$4:$K$16,10,FALSE),0))</f>
        <v>4.3379584984163666E-2</v>
      </c>
      <c r="L13" s="227">
        <f>IF(L$7&gt;=Inputs!$I$12,Inputs!$I$13+VLOOKUP(MONTH(L$9),Modeling!$B$4:$G$16,4,FALSE),RentalsVacates!I2+(VLOOKUP(L$7,Inputs!$G$4:$I$10,3,FALSE)-VLOOKUP(L$7-1,Inputs!$G$4:$I$10,3,FALSE))/12*VLOOKUP(MONTH(L$9),Modeling!$B$4:$I$16,8,FALSE)+IF(Inputs!$I$6&lt;60%,VLOOKUP(Projection!L$8,Modeling!$B$4:$K$16,9,FALSE)+VLOOKUP(MONTH(L$9),Modeling!$B$4:$K$16,10,FALSE),0))</f>
        <v>7.3093854055082952E-2</v>
      </c>
      <c r="M13" s="227">
        <f>IF(M$7&gt;=Inputs!$I$12,Inputs!$I$13+VLOOKUP(MONTH(M$9),Modeling!$B$4:$G$16,4,FALSE),RentalsVacates!J2+(VLOOKUP(M$7,Inputs!$G$4:$I$10,3,FALSE)-VLOOKUP(M$7-1,Inputs!$G$4:$I$10,3,FALSE))/12*VLOOKUP(MONTH(M$9),Modeling!$B$4:$I$16,8,FALSE)+IF(Inputs!$I$6&lt;60%,VLOOKUP(Projection!M$8,Modeling!$B$4:$K$16,9,FALSE)+VLOOKUP(MONTH(M$9),Modeling!$B$4:$K$16,10,FALSE),0))</f>
        <v>0.10328731956173533</v>
      </c>
      <c r="N13" s="227">
        <f>IF(N$7&gt;=Inputs!$I$12,Inputs!$I$13+VLOOKUP(MONTH(N$9),Modeling!$B$4:$G$16,4,FALSE),RentalsVacates!K2+(VLOOKUP(N$7,Inputs!$G$4:$I$10,3,FALSE)-VLOOKUP(N$7-1,Inputs!$G$4:$I$10,3,FALSE))/12*VLOOKUP(MONTH(N$9),Modeling!$B$4:$I$16,8,FALSE)+IF(Inputs!$I$6&lt;60%,VLOOKUP(Projection!N$8,Modeling!$B$4:$K$16,9,FALSE)+VLOOKUP(MONTH(N$9),Modeling!$B$4:$K$16,10,FALSE),0))</f>
        <v>0.14958765426309115</v>
      </c>
      <c r="O13" s="227">
        <f>IF(O$7&gt;=Inputs!$I$12,Inputs!$I$13+VLOOKUP(MONTH(O$9),Modeling!$B$4:$G$16,4,FALSE),RentalsVacates!L2+(VLOOKUP(O$7,Inputs!$G$4:$I$10,3,FALSE)-VLOOKUP(O$7-1,Inputs!$G$4:$I$10,3,FALSE))/12*VLOOKUP(MONTH(O$9),Modeling!$B$4:$I$16,8,FALSE)+IF(Inputs!$I$6&lt;60%,VLOOKUP(Projection!O$8,Modeling!$B$4:$K$16,9,FALSE)+VLOOKUP(MONTH(O$9),Modeling!$B$4:$K$16,10,FALSE),0))</f>
        <v>0.18780909762492512</v>
      </c>
      <c r="P13" s="227">
        <f>IF(P$7&gt;=Inputs!$I$12,Inputs!$I$13+VLOOKUP(MONTH(P$9),Modeling!$B$4:$G$16,4,FALSE),RentalsVacates!M2+(VLOOKUP(P$7,Inputs!$G$4:$I$10,3,FALSE)-VLOOKUP(P$7-1,Inputs!$G$4:$I$10,3,FALSE))/12*VLOOKUP(MONTH(P$9),Modeling!$B$4:$I$16,8,FALSE)+IF(Inputs!$I$6&lt;60%,VLOOKUP(Projection!P$8,Modeling!$B$4:$K$16,9,FALSE)+VLOOKUP(MONTH(P$9),Modeling!$B$4:$K$16,10,FALSE),0))</f>
        <v>0.2212248110020551</v>
      </c>
      <c r="Q13" s="227">
        <f>IF(Q$7&gt;=Inputs!$I$12,Inputs!$I$13+VLOOKUP(MONTH(Q$9),Modeling!$B$4:$G$16,4,FALSE),RentalsVacates!N2+(VLOOKUP(Q$7,Inputs!$G$4:$I$10,3,FALSE)-VLOOKUP(Q$7-1,Inputs!$G$4:$I$10,3,FALSE))/12*VLOOKUP(MONTH(Q$9),Modeling!$B$4:$I$16,8,FALSE)+IF(Inputs!$I$6&lt;60%,VLOOKUP(Projection!Q$8,Modeling!$B$4:$K$16,9,FALSE)+VLOOKUP(MONTH(Q$9),Modeling!$B$4:$K$16,10,FALSE),0))</f>
        <v>0.24645210180915708</v>
      </c>
      <c r="R13" s="227">
        <f>IF(R$7&gt;=Inputs!$I$12,Inputs!$I$13+VLOOKUP(MONTH(R$9),Modeling!$B$4:$G$16,4,FALSE),RentalsVacates!O2+(VLOOKUP(R$7,Inputs!$G$4:$I$10,3,FALSE)-VLOOKUP(R$7-1,Inputs!$G$4:$I$10,3,FALSE))/12*VLOOKUP(MONTH(R$9),Modeling!$B$4:$I$16,8,FALSE)+IF(Inputs!$I$6&lt;60%,VLOOKUP(Projection!R$8,Modeling!$B$4:$K$16,9,FALSE)+VLOOKUP(MONTH(R$9),Modeling!$B$4:$K$16,10,FALSE),0))</f>
        <v>0.26872804944950796</v>
      </c>
      <c r="S13" s="227">
        <f>IF(S$7&gt;=Inputs!$I$12,Inputs!$I$13+VLOOKUP(MONTH(S$9),Modeling!$B$4:$G$16,4,FALSE),RentalsVacates!P2+(VLOOKUP(S$7,Inputs!$G$4:$I$10,3,FALSE)-VLOOKUP(S$7-1,Inputs!$G$4:$I$10,3,FALSE))/12*VLOOKUP(MONTH(S$9),Modeling!$B$4:$I$16,8,FALSE)+IF(Inputs!$I$6&lt;60%,VLOOKUP(Projection!S$8,Modeling!$B$4:$K$16,9,FALSE)+VLOOKUP(MONTH(S$9),Modeling!$B$4:$K$16,10,FALSE),0))</f>
        <v>0.29128918224233857</v>
      </c>
      <c r="T13" s="227">
        <f>IF(T$7&gt;=Inputs!$I$12,Inputs!$I$13+VLOOKUP(MONTH(T$9),Modeling!$B$4:$G$16,4,FALSE),RentalsVacates!Q2+(VLOOKUP(T$7,Inputs!$G$4:$I$10,3,FALSE)-VLOOKUP(T$7-1,Inputs!$G$4:$I$10,3,FALSE))/12*VLOOKUP(MONTH(T$9),Modeling!$B$4:$I$16,8,FALSE)+IF(Inputs!$I$6&lt;60%,VLOOKUP(Projection!T$8,Modeling!$B$4:$K$16,9,FALSE)+VLOOKUP(MONTH(T$9),Modeling!$B$4:$K$16,10,FALSE),0))</f>
        <v>0.31233603277892696</v>
      </c>
      <c r="U13" s="227">
        <f>IF(U$7&gt;=Inputs!$I$12,Inputs!$I$13+VLOOKUP(MONTH(U$9),Modeling!$B$4:$G$16,4,FALSE),RentalsVacates!R2+(VLOOKUP(U$7,Inputs!$G$4:$I$10,3,FALSE)-VLOOKUP(U$7-1,Inputs!$G$4:$I$10,3,FALSE))/12*VLOOKUP(MONTH(U$9),Modeling!$B$4:$I$16,8,FALSE)+IF(Inputs!$I$6&lt;60%,VLOOKUP(Projection!U$8,Modeling!$B$4:$K$16,9,FALSE)+VLOOKUP(MONTH(U$9),Modeling!$B$4:$K$16,10,FALSE),0))</f>
        <v>0.3299999999999999</v>
      </c>
      <c r="V13" s="227">
        <f>IF(V$7&gt;=Inputs!$I$12,Inputs!$I$13+VLOOKUP(MONTH(V$9),Modeling!$B$4:$G$16,4,FALSE),RentalsVacates!S2+(VLOOKUP(V$7,Inputs!$G$4:$I$10,3,FALSE)-VLOOKUP(V$7-1,Inputs!$G$4:$I$10,3,FALSE))/12*VLOOKUP(MONTH(V$9),Modeling!$B$4:$I$16,8,FALSE)+VLOOKUP(MONTH(V$9),Modeling!$B$4:$K$16,10,FALSE))</f>
        <v>0.35314392733769057</v>
      </c>
      <c r="W13" s="227">
        <f>IF(W$7&gt;=Inputs!$I$12,Inputs!$I$13+VLOOKUP(MONTH(W$9),Modeling!$B$4:$G$16,4,FALSE),RentalsVacates!T2+(VLOOKUP(W$7,Inputs!$G$4:$I$10,3,FALSE)-VLOOKUP(W$7-1,Inputs!$G$4:$I$10,3,FALSE))/12*VLOOKUP(MONTH(W$9),Modeling!$B$4:$I$16,8,FALSE)+VLOOKUP(MONTH(W$9),Modeling!$B$4:$K$16,10,FALSE))</f>
        <v>0.37600865074077955</v>
      </c>
      <c r="X13" s="227">
        <f>IF(X$7&gt;=Inputs!$I$12,Inputs!$I$13+VLOOKUP(MONTH(X$9),Modeling!$B$4:$G$16,4,FALSE),RentalsVacates!U2+(VLOOKUP(X$7,Inputs!$G$4:$I$10,3,FALSE)-VLOOKUP(X$7-1,Inputs!$G$4:$I$10,3,FALSE))/12*VLOOKUP(MONTH(X$9),Modeling!$B$4:$I$16,8,FALSE)+VLOOKUP(MONTH(X$9),Modeling!$B$4:$K$16,10,FALSE))</f>
        <v>0.40752378460387578</v>
      </c>
      <c r="Y13" s="227">
        <f>IF(Y$7&gt;=Inputs!$I$12,Inputs!$I$13+VLOOKUP(MONTH(Y$9),Modeling!$B$4:$G$16,4,FALSE),RentalsVacates!V2+(VLOOKUP(Y$7,Inputs!$G$4:$I$10,3,FALSE)-VLOOKUP(Y$7-1,Inputs!$G$4:$I$10,3,FALSE))/12*VLOOKUP(MONTH(Y$9),Modeling!$B$4:$I$16,8,FALSE)+VLOOKUP(MONTH(Y$9),Modeling!$B$4:$K$16,10,FALSE))</f>
        <v>0.43954715711093134</v>
      </c>
      <c r="Z13" s="227">
        <f>IF(Z$7&gt;=Inputs!$I$12,Inputs!$I$13+VLOOKUP(MONTH(Z$9),Modeling!$B$4:$G$16,4,FALSE),RentalsVacates!W2+(VLOOKUP(Z$7,Inputs!$G$4:$I$10,3,FALSE)-VLOOKUP(Z$7-1,Inputs!$G$4:$I$10,3,FALSE))/12*VLOOKUP(MONTH(Z$9),Modeling!$B$4:$I$16,8,FALSE)+VLOOKUP(MONTH(Z$9),Modeling!$B$4:$K$16,10,FALSE))</f>
        <v>0.48865357270327842</v>
      </c>
      <c r="AA13" s="227">
        <f>IF(AA$7&gt;=Inputs!$I$12,Inputs!$I$13+VLOOKUP(MONTH(AA$9),Modeling!$B$4:$G$16,4,FALSE),RentalsVacates!X2+(VLOOKUP(AA$7,Inputs!$G$4:$I$10,3,FALSE)-VLOOKUP(AA$7-1,Inputs!$G$4:$I$10,3,FALSE))/12*VLOOKUP(MONTH(AA$9),Modeling!$B$4:$I$16,8,FALSE)+VLOOKUP(MONTH(AA$9),Modeling!$B$4:$K$16,10,FALSE))</f>
        <v>0.52919146717795085</v>
      </c>
      <c r="AB13" s="227">
        <f>IF(AB$7&gt;=Inputs!$I$12,Inputs!$I$13+VLOOKUP(MONTH(AB$9),Modeling!$B$4:$G$16,4,FALSE),RentalsVacates!Y2+(VLOOKUP(AB$7,Inputs!$G$4:$I$10,3,FALSE)-VLOOKUP(AB$7-1,Inputs!$G$4:$I$10,3,FALSE))/12*VLOOKUP(MONTH(AB$9),Modeling!$B$4:$I$16,8,FALSE)+VLOOKUP(MONTH(AB$9),Modeling!$B$4:$K$16,10,FALSE))</f>
        <v>0.56463237530520993</v>
      </c>
      <c r="AC13" s="227">
        <f>IF(AC$7&gt;=Inputs!$I$12,Inputs!$I$13+VLOOKUP(MONTH(AC$9),Modeling!$B$4:$G$16,4,FALSE),RentalsVacates!Z2+(VLOOKUP(AC$7,Inputs!$G$4:$I$10,3,FALSE)-VLOOKUP(AC$7-1,Inputs!$G$4:$I$10,3,FALSE))/12*VLOOKUP(MONTH(AC$9),Modeling!$B$4:$I$16,8,FALSE)+VLOOKUP(MONTH(AC$9),Modeling!$B$4:$K$16,10,FALSE))</f>
        <v>0.59138859282789391</v>
      </c>
      <c r="AD13" s="227">
        <f>IF(AD$7&gt;=Inputs!$I$12,Inputs!$I$13+VLOOKUP(MONTH(AD$9),Modeling!$B$4:$G$16,4,FALSE),RentalsVacates!AA2+(VLOOKUP(AD$7,Inputs!$G$4:$I$10,3,FALSE)-VLOOKUP(AD$7-1,Inputs!$G$4:$I$10,3,FALSE))/12*VLOOKUP(MONTH(AD$9),Modeling!$B$4:$I$16,8,FALSE)+VLOOKUP(MONTH(AD$9),Modeling!$B$4:$K$16,10,FALSE))</f>
        <v>0.61501459790099333</v>
      </c>
      <c r="AE13" s="227">
        <f>IF(AE$7&gt;=Inputs!$I$12,Inputs!$I$13+VLOOKUP(MONTH(AE$9),Modeling!$B$4:$G$16,4,FALSE),RentalsVacates!AB2+(VLOOKUP(AE$7,Inputs!$G$4:$I$10,3,FALSE)-VLOOKUP(AE$7-1,Inputs!$G$4:$I$10,3,FALSE))/12*VLOOKUP(MONTH(AE$9),Modeling!$B$4:$I$16,8,FALSE)+VLOOKUP(MONTH(AE$9),Modeling!$B$4:$K$16,10,FALSE))</f>
        <v>0.63894307207520762</v>
      </c>
      <c r="AF13" s="227">
        <f>IF(AF$7&gt;=Inputs!$I$12,Inputs!$I$13+VLOOKUP(MONTH(AF$9),Modeling!$B$4:$G$16,4,FALSE),RentalsVacates!AC2+(VLOOKUP(AF$7,Inputs!$G$4:$I$10,3,FALSE)-VLOOKUP(AF$7-1,Inputs!$G$4:$I$10,3,FALSE))/12*VLOOKUP(MONTH(AF$9),Modeling!$B$4:$I$16,8,FALSE)+VLOOKUP(MONTH(AF$9),Modeling!$B$4:$K$16,10,FALSE))</f>
        <v>0.66126548931098317</v>
      </c>
      <c r="AG13" s="227">
        <f>IF(AG$7&gt;=Inputs!$I$12,Inputs!$I$13+VLOOKUP(MONTH(AG$9),Modeling!$B$4:$G$16,4,FALSE),RentalsVacates!AD2+(VLOOKUP(AG$7,Inputs!$G$4:$I$10,3,FALSE)-VLOOKUP(AG$7-1,Inputs!$G$4:$I$10,3,FALSE))/12*VLOOKUP(MONTH(AG$9),Modeling!$B$4:$I$16,8,FALSE)+VLOOKUP(MONTH(AG$9),Modeling!$B$4:$K$16,10,FALSE))</f>
        <v>0.67999999999999994</v>
      </c>
      <c r="AH13" s="227">
        <f>IF(AH$7&gt;=Inputs!$I$12,Inputs!$I$13+VLOOKUP(MONTH(AH$9),Modeling!$B$4:$G$16,4,FALSE),RentalsVacates!AE2+(VLOOKUP(AH$7,Inputs!$G$4:$I$10,3,FALSE)-VLOOKUP(AH$7-1,Inputs!$G$4:$I$10,3,FALSE))/12*VLOOKUP(MONTH(AH$9),Modeling!$B$4:$I$16,8,FALSE)+VLOOKUP(MONTH(AH$9),Modeling!$B$4:$K$16,10,FALSE))</f>
        <v>0.69587012160298778</v>
      </c>
      <c r="AI13" s="227">
        <f>IF(AI$7&gt;=Inputs!$I$12,Inputs!$I$13+VLOOKUP(MONTH(AI$9),Modeling!$B$4:$G$16,4,FALSE),RentalsVacates!AF2+(VLOOKUP(AI$7,Inputs!$G$4:$I$10,3,FALSE)-VLOOKUP(AI$7-1,Inputs!$G$4:$I$10,3,FALSE))/12*VLOOKUP(MONTH(AI$9),Modeling!$B$4:$I$16,8,FALSE)+VLOOKUP(MONTH(AI$9),Modeling!$B$4:$K$16,10,FALSE))</f>
        <v>0.71154878907939167</v>
      </c>
      <c r="AJ13" s="227">
        <f>IF(AJ$7&gt;=Inputs!$I$12,Inputs!$I$13+VLOOKUP(MONTH(AJ$9),Modeling!$B$4:$G$16,4,FALSE),RentalsVacates!AG2+(VLOOKUP(AJ$7,Inputs!$G$4:$I$10,3,FALSE)-VLOOKUP(AJ$7-1,Inputs!$G$4:$I$10,3,FALSE))/12*VLOOKUP(MONTH(AJ$9),Modeling!$B$4:$I$16,8,FALSE)+VLOOKUP(MONTH(AJ$9),Modeling!$B$4:$K$16,10,FALSE))</f>
        <v>0.73315916658551483</v>
      </c>
      <c r="AK13" s="227">
        <f>IF(AK$7&gt;=Inputs!$I$12,Inputs!$I$13+VLOOKUP(MONTH(AK$9),Modeling!$B$4:$G$16,4,FALSE),RentalsVacates!AH2+(VLOOKUP(AK$7,Inputs!$G$4:$I$10,3,FALSE)-VLOOKUP(AK$7-1,Inputs!$G$4:$I$10,3,FALSE))/12*VLOOKUP(MONTH(AK$9),Modeling!$B$4:$I$16,8,FALSE)+VLOOKUP(MONTH(AK$9),Modeling!$B$4:$K$16,10,FALSE))</f>
        <v>0.75511805059035297</v>
      </c>
      <c r="AL13" s="227">
        <f>IF(AL$7&gt;=Inputs!$I$12,Inputs!$I$13+VLOOKUP(MONTH(AL$9),Modeling!$B$4:$G$16,4,FALSE),RentalsVacates!AI2+(VLOOKUP(AL$7,Inputs!$G$4:$I$10,3,FALSE)-VLOOKUP(AL$7-1,Inputs!$G$4:$I$10,3,FALSE))/12*VLOOKUP(MONTH(AL$9),Modeling!$B$4:$I$16,8,FALSE)+VLOOKUP(MONTH(AL$9),Modeling!$B$4:$K$16,10,FALSE))</f>
        <v>0.78879102128224809</v>
      </c>
      <c r="AM13" s="227">
        <f>IF(AM$7&gt;=Inputs!$I$12,Inputs!$I$13+VLOOKUP(MONTH(AM$9),Modeling!$B$4:$G$16,4,FALSE),RentalsVacates!AJ2+(VLOOKUP(AM$7,Inputs!$G$4:$I$10,3,FALSE)-VLOOKUP(AM$7-1,Inputs!$G$4:$I$10,3,FALSE))/12*VLOOKUP(MONTH(AM$9),Modeling!$B$4:$I$16,8,FALSE)+VLOOKUP(MONTH(AM$9),Modeling!$B$4:$K$16,10,FALSE))</f>
        <v>0.81658843463630915</v>
      </c>
      <c r="AN13" s="227">
        <f>IF(AN$7&gt;=Inputs!$I$12,Inputs!$I$13+VLOOKUP(MONTH(AN$9),Modeling!$B$4:$G$16,4,FALSE),RentalsVacates!AK2+(VLOOKUP(AN$7,Inputs!$G$4:$I$10,3,FALSE)-VLOOKUP(AN$7-1,Inputs!$G$4:$I$10,3,FALSE))/12*VLOOKUP(MONTH(AN$9),Modeling!$B$4:$I$16,8,FALSE)+VLOOKUP(MONTH(AN$9),Modeling!$B$4:$K$16,10,FALSE))</f>
        <v>0.84089077163785819</v>
      </c>
      <c r="AO13" s="227">
        <f>IF(AO$7&gt;=Inputs!$I$12,Inputs!$I$13+VLOOKUP(MONTH(AO$9),Modeling!$B$4:$G$16,4,FALSE),RentalsVacates!AL2+(VLOOKUP(AO$7,Inputs!$G$4:$I$10,3,FALSE)-VLOOKUP(AO$7-1,Inputs!$G$4:$I$10,3,FALSE))/12*VLOOKUP(MONTH(AO$9),Modeling!$B$4:$I$16,8,FALSE)+VLOOKUP(MONTH(AO$9),Modeling!$B$4:$K$16,10,FALSE))</f>
        <v>0.85923789222484148</v>
      </c>
      <c r="AP13" s="227">
        <f>IF(AP$7&gt;=Inputs!$I$12,Inputs!$I$13+VLOOKUP(MONTH(AP$9),Modeling!$B$4:$G$16,4,FALSE),RentalsVacates!AM2+(VLOOKUP(AP$7,Inputs!$G$4:$I$10,3,FALSE)-VLOOKUP(AP$7-1,Inputs!$G$4:$I$10,3,FALSE))/12*VLOOKUP(MONTH(AP$9),Modeling!$B$4:$I$16,8,FALSE)+VLOOKUP(MONTH(AP$9),Modeling!$B$4:$K$16,10,FALSE))</f>
        <v>0.87543858141782394</v>
      </c>
      <c r="AQ13" s="227">
        <f>IF(AQ$7&gt;=Inputs!$I$12,Inputs!$I$13+VLOOKUP(MONTH(AQ$9),Modeling!$B$4:$G$16,4,FALSE),RentalsVacates!AN2+(VLOOKUP(AQ$7,Inputs!$G$4:$I$10,3,FALSE)-VLOOKUP(AQ$7-1,Inputs!$G$4:$I$10,3,FALSE))/12*VLOOKUP(MONTH(AQ$9),Modeling!$B$4:$I$16,8,FALSE)+VLOOKUP(MONTH(AQ$9),Modeling!$B$4:$K$16,10,FALSE))</f>
        <v>0.89184667799442807</v>
      </c>
      <c r="AR13" s="227">
        <f>IF(AR$7&gt;=Inputs!$I$12,Inputs!$I$13+VLOOKUP(MONTH(AR$9),Modeling!$B$4:$G$16,4,FALSE),RentalsVacates!AO2+(VLOOKUP(AR$7,Inputs!$G$4:$I$10,3,FALSE)-VLOOKUP(AR$7-1,Inputs!$G$4:$I$10,3,FALSE))/12*VLOOKUP(MONTH(AR$9),Modeling!$B$4:$I$16,8,FALSE)+VLOOKUP(MONTH(AR$9),Modeling!$B$4:$K$16,10,FALSE))</f>
        <v>0.90715347838467419</v>
      </c>
      <c r="AS13" s="227">
        <f>IF(AS$7&gt;=Inputs!$I$12,Inputs!$I$13+VLOOKUP(MONTH(AS$9),Modeling!$B$4:$G$16,4,FALSE),RentalsVacates!AP2+(VLOOKUP(AS$7,Inputs!$G$4:$I$10,3,FALSE)-VLOOKUP(AS$7-1,Inputs!$G$4:$I$10,3,FALSE))/12*VLOOKUP(MONTH(AS$9),Modeling!$B$4:$I$16,8,FALSE)+VLOOKUP(MONTH(AS$9),Modeling!$B$4:$K$16,10,FALSE))</f>
        <v>0.92</v>
      </c>
      <c r="AT13" s="227">
        <f>IF(AT$7&gt;=Inputs!$I$12,Inputs!$I$13+VLOOKUP(MONTH(AT$9),Modeling!$B$4:$G$16,4,FALSE),RentalsVacates!AQ2+(VLOOKUP(AT$7,Inputs!$G$4:$I$10,3,FALSE)-VLOOKUP(AT$7-1,Inputs!$G$4:$I$10,3,FALSE))/12*VLOOKUP(MONTH(AT$9),Modeling!$B$4:$I$16,8,FALSE)+VLOOKUP(MONTH(AT$9),Modeling!$B$4:$K$16,10,FALSE))</f>
        <v>0.90766666666666695</v>
      </c>
      <c r="AU13" s="227">
        <f>IF(AU$7&gt;=Inputs!$I$12,Inputs!$I$13+VLOOKUP(MONTH(AU$9),Modeling!$B$4:$G$16,4,FALSE),RentalsVacates!AR2+(VLOOKUP(AU$7,Inputs!$G$4:$I$10,3,FALSE)-VLOOKUP(AU$7-1,Inputs!$G$4:$I$10,3,FALSE))/12*VLOOKUP(MONTH(AU$9),Modeling!$B$4:$I$16,8,FALSE)+VLOOKUP(MONTH(AU$9),Modeling!$B$4:$K$16,10,FALSE))</f>
        <v>0.90766666666666695</v>
      </c>
      <c r="AV13" s="227">
        <f>IF(AV$7&gt;=Inputs!$I$12,Inputs!$I$13+VLOOKUP(MONTH(AV$9),Modeling!$B$4:$G$16,4,FALSE),RentalsVacates!AS2+(VLOOKUP(AV$7,Inputs!$G$4:$I$10,3,FALSE)-VLOOKUP(AV$7-1,Inputs!$G$4:$I$10,3,FALSE))/12*VLOOKUP(MONTH(AV$9),Modeling!$B$4:$I$16,8,FALSE)+VLOOKUP(MONTH(AV$9),Modeling!$B$4:$K$16,10,FALSE))</f>
        <v>0.91066666666666696</v>
      </c>
      <c r="AW13" s="227">
        <f>IF(AW$7&gt;=Inputs!$I$12,Inputs!$I$13+VLOOKUP(MONTH(AW$9),Modeling!$B$4:$G$16,4,FALSE),RentalsVacates!AT2+(VLOOKUP(AW$7,Inputs!$G$4:$I$10,3,FALSE)-VLOOKUP(AW$7-1,Inputs!$G$4:$I$10,3,FALSE))/12*VLOOKUP(MONTH(AW$9),Modeling!$B$4:$I$16,8,FALSE)+VLOOKUP(MONTH(AW$9),Modeling!$B$4:$K$16,10,FALSE))</f>
        <v>0.91566666666666696</v>
      </c>
      <c r="AX13" s="227">
        <f>IF(AX$7&gt;=Inputs!$I$12,Inputs!$I$13+VLOOKUP(MONTH(AX$9),Modeling!$B$4:$G$16,4,FALSE),RentalsVacates!AU2+(VLOOKUP(AX$7,Inputs!$G$4:$I$10,3,FALSE)-VLOOKUP(AX$7-1,Inputs!$G$4:$I$10,3,FALSE))/12*VLOOKUP(MONTH(AX$9),Modeling!$B$4:$I$16,8,FALSE)+VLOOKUP(MONTH(AX$9),Modeling!$B$4:$K$16,10,FALSE))</f>
        <v>0.92866666666666686</v>
      </c>
      <c r="AY13" s="227">
        <f>IF(AY$7&gt;=Inputs!$I$12,Inputs!$I$13+VLOOKUP(MONTH(AY$9),Modeling!$B$4:$G$16,4,FALSE),RentalsVacates!AV2+(VLOOKUP(AY$7,Inputs!$G$4:$I$10,3,FALSE)-VLOOKUP(AY$7-1,Inputs!$G$4:$I$10,3,FALSE))/12*VLOOKUP(MONTH(AY$9),Modeling!$B$4:$I$16,8,FALSE)+VLOOKUP(MONTH(AY$9),Modeling!$B$4:$K$16,10,FALSE))</f>
        <v>0.93666666666666687</v>
      </c>
      <c r="AZ13" s="227">
        <f>IF(AZ$7&gt;=Inputs!$I$12,Inputs!$I$13+VLOOKUP(MONTH(AZ$9),Modeling!$B$4:$G$16,4,FALSE),RentalsVacates!AW2+(VLOOKUP(AZ$7,Inputs!$G$4:$I$10,3,FALSE)-VLOOKUP(AZ$7-1,Inputs!$G$4:$I$10,3,FALSE))/12*VLOOKUP(MONTH(AZ$9),Modeling!$B$4:$I$16,8,FALSE)+VLOOKUP(MONTH(AZ$9),Modeling!$B$4:$K$16,10,FALSE))</f>
        <v>0.93866666666666687</v>
      </c>
      <c r="BA13" s="227">
        <f>IF(BA$7&gt;=Inputs!$I$12,Inputs!$I$13+VLOOKUP(MONTH(BA$9),Modeling!$B$4:$G$16,4,FALSE),RentalsVacates!AX2+(VLOOKUP(BA$7,Inputs!$G$4:$I$10,3,FALSE)-VLOOKUP(BA$7-1,Inputs!$G$4:$I$10,3,FALSE))/12*VLOOKUP(MONTH(BA$9),Modeling!$B$4:$I$16,8,FALSE)+VLOOKUP(MONTH(BA$9),Modeling!$B$4:$K$16,10,FALSE))</f>
        <v>0.93066666666666686</v>
      </c>
      <c r="BB13" s="227">
        <f>IF(BB$7&gt;=Inputs!$I$12,Inputs!$I$13+VLOOKUP(MONTH(BB$9),Modeling!$B$4:$G$16,4,FALSE),RentalsVacates!AY2+(VLOOKUP(BB$7,Inputs!$G$4:$I$10,3,FALSE)-VLOOKUP(BB$7-1,Inputs!$G$4:$I$10,3,FALSE))/12*VLOOKUP(MONTH(BB$9),Modeling!$B$4:$I$16,8,FALSE)+VLOOKUP(MONTH(BB$9),Modeling!$B$4:$K$16,10,FALSE))</f>
        <v>0.92466666666666686</v>
      </c>
      <c r="BC13" s="227">
        <f>IF(BC$7&gt;=Inputs!$I$12,Inputs!$I$13+VLOOKUP(MONTH(BC$9),Modeling!$B$4:$G$16,4,FALSE),RentalsVacates!AZ2+(VLOOKUP(BC$7,Inputs!$G$4:$I$10,3,FALSE)-VLOOKUP(BC$7-1,Inputs!$G$4:$I$10,3,FALSE))/12*VLOOKUP(MONTH(BC$9),Modeling!$B$4:$I$16,8,FALSE)+VLOOKUP(MONTH(BC$9),Modeling!$B$4:$K$16,10,FALSE))</f>
        <v>0.91866666666666685</v>
      </c>
      <c r="BD13" s="227">
        <f>IF(BD$7&gt;=Inputs!$I$12,Inputs!$I$13+VLOOKUP(MONTH(BD$9),Modeling!$B$4:$G$16,4,FALSE),RentalsVacates!BA2+(VLOOKUP(BD$7,Inputs!$G$4:$I$10,3,FALSE)-VLOOKUP(BD$7-1,Inputs!$G$4:$I$10,3,FALSE))/12*VLOOKUP(MONTH(BD$9),Modeling!$B$4:$I$16,8,FALSE)+VLOOKUP(MONTH(BD$9),Modeling!$B$4:$K$16,10,FALSE))</f>
        <v>0.91266666666666685</v>
      </c>
      <c r="BE13" s="227">
        <f>IF(BE$7&gt;=Inputs!$I$12,Inputs!$I$13+VLOOKUP(MONTH(BE$9),Modeling!$B$4:$G$16,4,FALSE),RentalsVacates!BB2+(VLOOKUP(BE$7,Inputs!$G$4:$I$10,3,FALSE)-VLOOKUP(BE$7-1,Inputs!$G$4:$I$10,3,FALSE))/12*VLOOKUP(MONTH(BE$9),Modeling!$B$4:$I$16,8,FALSE)+VLOOKUP(MONTH(BE$9),Modeling!$B$4:$K$16,10,FALSE))</f>
        <v>0.90766666666666684</v>
      </c>
      <c r="BF13" s="227">
        <f>IF(BF$7&gt;=Inputs!$I$12,Inputs!$I$13+VLOOKUP(MONTH(BF$9),Modeling!$B$4:$G$16,4,FALSE),RentalsVacates!BC2+(VLOOKUP(BF$7,Inputs!$G$4:$I$10,3,FALSE)-VLOOKUP(BF$7-1,Inputs!$G$4:$I$10,3,FALSE))/12*VLOOKUP(MONTH(BF$9),Modeling!$B$4:$I$16,8,FALSE)+VLOOKUP(MONTH(BF$9),Modeling!$B$4:$K$16,10,FALSE))</f>
        <v>0.90766666666666695</v>
      </c>
      <c r="BG13" s="227">
        <f>IF(BG$7&gt;=Inputs!$I$12,Inputs!$I$13+VLOOKUP(MONTH(BG$9),Modeling!$B$4:$G$16,4,FALSE),RentalsVacates!BD2+(VLOOKUP(BG$7,Inputs!$G$4:$I$10,3,FALSE)-VLOOKUP(BG$7-1,Inputs!$G$4:$I$10,3,FALSE))/12*VLOOKUP(MONTH(BG$9),Modeling!$B$4:$I$16,8,FALSE)+VLOOKUP(MONTH(BG$9),Modeling!$B$4:$K$16,10,FALSE))</f>
        <v>0.90766666666666695</v>
      </c>
      <c r="BH13" s="227">
        <f>IF(BH$7&gt;=Inputs!$I$12,Inputs!$I$13+VLOOKUP(MONTH(BH$9),Modeling!$B$4:$G$16,4,FALSE),RentalsVacates!BE2+(VLOOKUP(BH$7,Inputs!$G$4:$I$10,3,FALSE)-VLOOKUP(BH$7-1,Inputs!$G$4:$I$10,3,FALSE))/12*VLOOKUP(MONTH(BH$9),Modeling!$B$4:$I$16,8,FALSE)+VLOOKUP(MONTH(BH$9),Modeling!$B$4:$K$16,10,FALSE))</f>
        <v>0.91066666666666696</v>
      </c>
      <c r="BI13" s="227">
        <f>IF(BI$7&gt;=Inputs!$I$12,Inputs!$I$13+VLOOKUP(MONTH(BI$9),Modeling!$B$4:$G$16,4,FALSE),RentalsVacates!BF2+(VLOOKUP(BI$7,Inputs!$G$4:$I$10,3,FALSE)-VLOOKUP(BI$7-1,Inputs!$G$4:$I$10,3,FALSE))/12*VLOOKUP(MONTH(BI$9),Modeling!$B$4:$I$16,8,FALSE)+VLOOKUP(MONTH(BI$9),Modeling!$B$4:$K$16,10,FALSE))</f>
        <v>0.91566666666666696</v>
      </c>
      <c r="BJ13" s="227">
        <f>IF(BJ$7&gt;=Inputs!$I$12,Inputs!$I$13+VLOOKUP(MONTH(BJ$9),Modeling!$B$4:$G$16,4,FALSE),RentalsVacates!BG2+(VLOOKUP(BJ$7,Inputs!$G$4:$I$10,3,FALSE)-VLOOKUP(BJ$7-1,Inputs!$G$4:$I$10,3,FALSE))/12*VLOOKUP(MONTH(BJ$9),Modeling!$B$4:$I$16,8,FALSE)+VLOOKUP(MONTH(BJ$9),Modeling!$B$4:$K$16,10,FALSE))</f>
        <v>0.92866666666666686</v>
      </c>
      <c r="BK13" s="227">
        <f>IF(BK$7&gt;=Inputs!$I$12,Inputs!$I$13+VLOOKUP(MONTH(BK$9),Modeling!$B$4:$G$16,4,FALSE),RentalsVacates!BH2+(VLOOKUP(BK$7,Inputs!$G$4:$I$10,3,FALSE)-VLOOKUP(BK$7-1,Inputs!$G$4:$I$10,3,FALSE))/12*VLOOKUP(MONTH(BK$9),Modeling!$B$4:$I$16,8,FALSE)+VLOOKUP(MONTH(BK$9),Modeling!$B$4:$K$16,10,FALSE))</f>
        <v>0.93666666666666687</v>
      </c>
      <c r="BL13" s="227">
        <f>IF(BL$7&gt;=Inputs!$I$12,Inputs!$I$13+VLOOKUP(MONTH(BL$9),Modeling!$B$4:$G$16,4,FALSE),RentalsVacates!BI2+(VLOOKUP(BL$7,Inputs!$G$4:$I$10,3,FALSE)-VLOOKUP(BL$7-1,Inputs!$G$4:$I$10,3,FALSE))/12*VLOOKUP(MONTH(BL$9),Modeling!$B$4:$I$16,8,FALSE)+VLOOKUP(MONTH(BL$9),Modeling!$B$4:$K$16,10,FALSE))</f>
        <v>0.93866666666666687</v>
      </c>
      <c r="BM13" s="227">
        <f>IF(BM$7&gt;=Inputs!$I$12,Inputs!$I$13+VLOOKUP(MONTH(BM$9),Modeling!$B$4:$G$16,4,FALSE),RentalsVacates!BJ2+(VLOOKUP(BM$7,Inputs!$G$4:$I$10,3,FALSE)-VLOOKUP(BM$7-1,Inputs!$G$4:$I$10,3,FALSE))/12*VLOOKUP(MONTH(BM$9),Modeling!$B$4:$I$16,8,FALSE)+VLOOKUP(MONTH(BM$9),Modeling!$B$4:$K$16,10,FALSE))</f>
        <v>0.93066666666666686</v>
      </c>
      <c r="BN13" s="227">
        <f>IF(BN$7&gt;=Inputs!$I$12,Inputs!$I$13+VLOOKUP(MONTH(BN$9),Modeling!$B$4:$G$16,4,FALSE),RentalsVacates!BK2+(VLOOKUP(BN$7,Inputs!$G$4:$I$10,3,FALSE)-VLOOKUP(BN$7-1,Inputs!$G$4:$I$10,3,FALSE))/12*VLOOKUP(MONTH(BN$9),Modeling!$B$4:$I$16,8,FALSE)+VLOOKUP(MONTH(BN$9),Modeling!$B$4:$K$16,10,FALSE))</f>
        <v>0.92466666666666686</v>
      </c>
      <c r="BO13" s="227">
        <f>IF(BO$7&gt;=Inputs!$I$12,Inputs!$I$13+VLOOKUP(MONTH(BO$9),Modeling!$B$4:$G$16,4,FALSE),RentalsVacates!BL2+(VLOOKUP(BO$7,Inputs!$G$4:$I$10,3,FALSE)-VLOOKUP(BO$7-1,Inputs!$G$4:$I$10,3,FALSE))/12*VLOOKUP(MONTH(BO$9),Modeling!$B$4:$I$16,8,FALSE)+VLOOKUP(MONTH(BO$9),Modeling!$B$4:$K$16,10,FALSE))</f>
        <v>0.91866666666666685</v>
      </c>
      <c r="BP13" s="227">
        <f>IF(BP$7&gt;=Inputs!$I$12,Inputs!$I$13+VLOOKUP(MONTH(BP$9),Modeling!$B$4:$G$16,4,FALSE),RentalsVacates!BM2+(VLOOKUP(BP$7,Inputs!$G$4:$I$10,3,FALSE)-VLOOKUP(BP$7-1,Inputs!$G$4:$I$10,3,FALSE))/12*VLOOKUP(MONTH(BP$9),Modeling!$B$4:$I$16,8,FALSE)+VLOOKUP(MONTH(BP$9),Modeling!$B$4:$K$16,10,FALSE))</f>
        <v>0.91266666666666685</v>
      </c>
      <c r="BQ13" s="227">
        <f>IF(BQ$7&gt;=Inputs!$I$12,Inputs!$I$13+VLOOKUP(MONTH(BQ$9),Modeling!$B$4:$G$16,4,FALSE),RentalsVacates!BN2+(VLOOKUP(BQ$7,Inputs!$G$4:$I$10,3,FALSE)-VLOOKUP(BQ$7-1,Inputs!$G$4:$I$10,3,FALSE))/12*VLOOKUP(MONTH(BQ$9),Modeling!$B$4:$I$16,8,FALSE)+VLOOKUP(MONTH(BQ$9),Modeling!$B$4:$K$16,10,FALSE))</f>
        <v>0.90766666666666684</v>
      </c>
      <c r="BR13" s="227">
        <f>IF(BR$7&gt;=Inputs!$I$12,Inputs!$I$13+VLOOKUP(MONTH(BR$9),Modeling!$B$4:$G$16,4,FALSE),RentalsVacates!BO2+(VLOOKUP(BR$7,Inputs!$G$4:$I$10,3,FALSE)-VLOOKUP(BR$7-1,Inputs!$G$4:$I$10,3,FALSE))/12*VLOOKUP(MONTH(BR$9),Modeling!$B$4:$I$16,8,FALSE)+VLOOKUP(MONTH(BR$9),Modeling!$B$4:$K$16,10,FALSE))</f>
        <v>0.90766666666666695</v>
      </c>
      <c r="BS13" s="227">
        <f>IF(BS$7&gt;=Inputs!$I$12,Inputs!$I$13+VLOOKUP(MONTH(BS$9),Modeling!$B$4:$G$16,4,FALSE),RentalsVacates!BP2+(VLOOKUP(BS$7,Inputs!$G$4:$I$10,3,FALSE)-VLOOKUP(BS$7-1,Inputs!$G$4:$I$10,3,FALSE))/12*VLOOKUP(MONTH(BS$9),Modeling!$B$4:$I$16,8,FALSE)+VLOOKUP(MONTH(BS$9),Modeling!$B$4:$K$16,10,FALSE))</f>
        <v>0.90766666666666695</v>
      </c>
      <c r="BT13" s="227">
        <f>IF(BT$7&gt;=Inputs!$I$12,Inputs!$I$13+VLOOKUP(MONTH(BT$9),Modeling!$B$4:$G$16,4,FALSE),RentalsVacates!BQ2+(VLOOKUP(BT$7,Inputs!$G$4:$I$10,3,FALSE)-VLOOKUP(BT$7-1,Inputs!$G$4:$I$10,3,FALSE))/12*VLOOKUP(MONTH(BT$9),Modeling!$B$4:$I$16,8,FALSE)+VLOOKUP(MONTH(BT$9),Modeling!$B$4:$K$16,10,FALSE))</f>
        <v>0.91066666666666696</v>
      </c>
      <c r="BU13" s="227">
        <f>IF(BU$7&gt;=Inputs!$I$12,Inputs!$I$13+VLOOKUP(MONTH(BU$9),Modeling!$B$4:$G$16,4,FALSE),RentalsVacates!BR2+(VLOOKUP(BU$7,Inputs!$G$4:$I$10,3,FALSE)-VLOOKUP(BU$7-1,Inputs!$G$4:$I$10,3,FALSE))/12*VLOOKUP(MONTH(BU$9),Modeling!$B$4:$I$16,8,FALSE)+VLOOKUP(MONTH(BU$9),Modeling!$B$4:$K$16,10,FALSE))</f>
        <v>0.91566666666666696</v>
      </c>
      <c r="BW13" s="227">
        <f t="shared" ref="BW13:CA13" ca="1" si="2">AVERAGEIF($J$6:$BU$6,BW$9,$K13:$BU13)</f>
        <v>0.21502763459238949</v>
      </c>
      <c r="BX13" s="227">
        <f t="shared" ca="1" si="2"/>
        <v>0.5573365734466742</v>
      </c>
      <c r="BY13" s="227">
        <f t="shared" ca="1" si="2"/>
        <v>0.83395329420834241</v>
      </c>
      <c r="BZ13" s="227">
        <f t="shared" ca="1" si="2"/>
        <v>0.92000000000000037</v>
      </c>
      <c r="CA13" s="227">
        <f t="shared" ca="1" si="2"/>
        <v>0.92000000000000037</v>
      </c>
      <c r="CB13" s="227">
        <f t="shared" ref="CB13:CK13" ca="1" si="3">CA13</f>
        <v>0.92000000000000037</v>
      </c>
      <c r="CC13" s="227">
        <f t="shared" ca="1" si="3"/>
        <v>0.92000000000000037</v>
      </c>
      <c r="CD13" s="227">
        <f t="shared" ca="1" si="3"/>
        <v>0.92000000000000037</v>
      </c>
      <c r="CE13" s="227">
        <f t="shared" ca="1" si="3"/>
        <v>0.92000000000000037</v>
      </c>
      <c r="CF13" s="227">
        <f t="shared" ca="1" si="3"/>
        <v>0.92000000000000037</v>
      </c>
      <c r="CG13" s="227">
        <f t="shared" ca="1" si="3"/>
        <v>0.92000000000000037</v>
      </c>
      <c r="CH13" s="227">
        <f t="shared" ca="1" si="3"/>
        <v>0.92000000000000037</v>
      </c>
      <c r="CI13" s="227">
        <f t="shared" ca="1" si="3"/>
        <v>0.92000000000000037</v>
      </c>
      <c r="CJ13" s="227">
        <f t="shared" ca="1" si="3"/>
        <v>0.92000000000000037</v>
      </c>
      <c r="CK13" s="227">
        <f t="shared" ca="1" si="3"/>
        <v>0.92000000000000037</v>
      </c>
    </row>
    <row r="14" spans="1:89" ht="14.25" customHeight="1" outlineLevel="1" x14ac:dyDescent="0.2">
      <c r="A14" s="11">
        <f t="shared" si="0"/>
        <v>0</v>
      </c>
      <c r="B14" s="11"/>
      <c r="E14" s="224"/>
      <c r="F14" s="197" t="s">
        <v>298</v>
      </c>
      <c r="G14" s="197"/>
      <c r="H14" s="197"/>
      <c r="I14" s="199"/>
      <c r="J14" s="228">
        <f>RentalsVacates!H5</f>
        <v>14.925849367610109</v>
      </c>
      <c r="K14" s="228">
        <f>RentalsVacates!I5</f>
        <v>14.745786761557836</v>
      </c>
      <c r="L14" s="228">
        <f>RentalsVacates!J5</f>
        <v>21.810252620146763</v>
      </c>
      <c r="M14" s="228">
        <f>RentalsVacates!K5</f>
        <v>23.883929222909323</v>
      </c>
      <c r="N14" s="228">
        <f>RentalsVacates!L5</f>
        <v>36.709849789672333</v>
      </c>
      <c r="O14" s="228">
        <f>RentalsVacates!M5</f>
        <v>34.292549426628845</v>
      </c>
      <c r="P14" s="228">
        <f>RentalsVacates!N5</f>
        <v>33.833200071911101</v>
      </c>
      <c r="Q14" s="228">
        <f>RentalsVacates!O5</f>
        <v>32.233434189666653</v>
      </c>
      <c r="R14" s="228">
        <f>RentalsVacates!P5</f>
        <v>30.460308770243216</v>
      </c>
      <c r="S14" s="228">
        <f>RentalsVacates!Q5</f>
        <v>31.18532948884496</v>
      </c>
      <c r="T14" s="228">
        <f>RentalsVacates!R5</f>
        <v>30.733388749212899</v>
      </c>
      <c r="U14" s="229">
        <f>RentalsVacates!S5</f>
        <v>28.758353597029124</v>
      </c>
      <c r="V14" s="228">
        <f>RentalsVacates!T5</f>
        <v>32.366646203452092</v>
      </c>
      <c r="W14" s="228">
        <f>RentalsVacates!U5</f>
        <v>32.404361091984875</v>
      </c>
      <c r="X14" s="228">
        <f>RentalsVacates!V5</f>
        <v>40.941287570415248</v>
      </c>
      <c r="Y14" s="228">
        <f>RentalsVacates!W5</f>
        <v>42.164019821339515</v>
      </c>
      <c r="Z14" s="228">
        <f>RentalsVacates!X5</f>
        <v>55.520243905546828</v>
      </c>
      <c r="AA14" s="228">
        <f>RentalsVacates!Y5</f>
        <v>52.962380374772557</v>
      </c>
      <c r="AB14" s="228">
        <f>RentalsVacates!Z5</f>
        <v>52.42714154639291</v>
      </c>
      <c r="AC14" s="228">
        <f>RentalsVacates!AA5</f>
        <v>51.877024312123254</v>
      </c>
      <c r="AD14" s="228">
        <f>RentalsVacates!AB5</f>
        <v>48.762464255755994</v>
      </c>
      <c r="AE14" s="228">
        <f>RentalsVacates!AC5</f>
        <v>49.071075537959786</v>
      </c>
      <c r="AF14" s="228">
        <f>RentalsVacates!AD5</f>
        <v>47.850449846459945</v>
      </c>
      <c r="AG14" s="229">
        <f>RentalsVacates!AE5</f>
        <v>45.299253566508256</v>
      </c>
      <c r="AH14" s="228">
        <f>RentalsVacates!AF5</f>
        <v>41.597816382178941</v>
      </c>
      <c r="AI14" s="228">
        <f>RentalsVacates!AG5</f>
        <v>40.268761086281714</v>
      </c>
      <c r="AJ14" s="228">
        <f>RentalsVacates!AH5</f>
        <v>47.575055582139974</v>
      </c>
      <c r="AK14" s="228">
        <f>RentalsVacates!AI5</f>
        <v>47.454076641678135</v>
      </c>
      <c r="AL14" s="228">
        <f>RentalsVacates!AJ5</f>
        <v>56.581288983455842</v>
      </c>
      <c r="AM14" s="228">
        <f>RentalsVacates!AK5</f>
        <v>55.179935252170047</v>
      </c>
      <c r="AN14" s="228">
        <f>RentalsVacates!AL5</f>
        <v>55.264219482099755</v>
      </c>
      <c r="AO14" s="228">
        <f>RentalsVacates!AM5</f>
        <v>56.48629196394144</v>
      </c>
      <c r="AP14" s="228">
        <f>RentalsVacates!AN5</f>
        <v>53.045701514092258</v>
      </c>
      <c r="AQ14" s="228">
        <f>RentalsVacates!AO5</f>
        <v>52.794010167871939</v>
      </c>
      <c r="AR14" s="228">
        <f>RentalsVacates!AP5</f>
        <v>51.239949505551003</v>
      </c>
      <c r="AS14" s="229">
        <f>RentalsVacates!AQ5</f>
        <v>48.710576072188701</v>
      </c>
      <c r="AT14" s="228">
        <f>RentalsVacates!AR5</f>
        <v>29.571150878230231</v>
      </c>
      <c r="AU14" s="228">
        <f>RentalsVacates!AS5</f>
        <v>34.703219625507515</v>
      </c>
      <c r="AV14" s="228">
        <f>RentalsVacates!AT5</f>
        <v>39.487916082274168</v>
      </c>
      <c r="AW14" s="228">
        <f>RentalsVacates!AU5</f>
        <v>38.948764540788112</v>
      </c>
      <c r="AX14" s="228">
        <f>RentalsVacates!AV5</f>
        <v>44.997470995251589</v>
      </c>
      <c r="AY14" s="228">
        <f>RentalsVacates!AW5</f>
        <v>43.338717196343538</v>
      </c>
      <c r="AZ14" s="228">
        <f>RentalsVacates!AX5</f>
        <v>40.843912194507205</v>
      </c>
      <c r="BA14" s="228">
        <f>RentalsVacates!AY5</f>
        <v>37.670117801679865</v>
      </c>
      <c r="BB14" s="228">
        <f>RentalsVacates!AZ5</f>
        <v>35.636757819133152</v>
      </c>
      <c r="BC14" s="228">
        <f>RentalsVacates!BA5</f>
        <v>34.309601226533651</v>
      </c>
      <c r="BD14" s="228">
        <f>RentalsVacates!BB5</f>
        <v>32.562981236677309</v>
      </c>
      <c r="BE14" s="229">
        <f>RentalsVacates!BC5</f>
        <v>31.229273043126621</v>
      </c>
      <c r="BF14" s="228">
        <f>RentalsVacates!BD5</f>
        <v>32.873194838877509</v>
      </c>
      <c r="BG14" s="228">
        <f>RentalsVacates!BE5</f>
        <v>31.011484670327562</v>
      </c>
      <c r="BH14" s="228">
        <f>RentalsVacates!BF5</f>
        <v>35.191361358731044</v>
      </c>
      <c r="BI14" s="228">
        <f>RentalsVacates!BG5</f>
        <v>34.755288781801326</v>
      </c>
      <c r="BJ14" s="228">
        <f>RentalsVacates!BH5</f>
        <v>41.421517763782369</v>
      </c>
      <c r="BK14" s="228">
        <f>RentalsVacates!BI5</f>
        <v>40.433522695325706</v>
      </c>
      <c r="BL14" s="228">
        <f>RentalsVacates!BJ5</f>
        <v>38.311337908347731</v>
      </c>
      <c r="BM14" s="228">
        <f>RentalsVacates!BK5</f>
        <v>35.163299112830657</v>
      </c>
      <c r="BN14" s="228">
        <f>RentalsVacates!BL5</f>
        <v>33.415935774500348</v>
      </c>
      <c r="BO14" s="228">
        <f>RentalsVacates!BM5</f>
        <v>32.253192842361571</v>
      </c>
      <c r="BP14" s="228">
        <f>RentalsVacates!BN5</f>
        <v>30.767190060852222</v>
      </c>
      <c r="BQ14" s="228">
        <f>RentalsVacates!BO5</f>
        <v>29.018714086307849</v>
      </c>
      <c r="BR14" s="228">
        <f>RentalsVacates!BP5</f>
        <v>30.53402868912471</v>
      </c>
      <c r="BS14" s="228">
        <f>RentalsVacates!BQ5</f>
        <v>29.498243283576329</v>
      </c>
      <c r="BT14" s="228">
        <f>RentalsVacates!BR5</f>
        <v>30.476701908693069</v>
      </c>
      <c r="BU14" s="228">
        <f>RentalsVacates!BS5</f>
        <v>27.40297733839812</v>
      </c>
      <c r="BW14" s="228">
        <f t="shared" ref="BW14:CA14" si="4">SUMIF($J$6:$BU$6,BW$9,$J14:$BU14)</f>
        <v>333.57223205543312</v>
      </c>
      <c r="BX14" s="228">
        <f t="shared" si="4"/>
        <v>551.64634803271122</v>
      </c>
      <c r="BY14" s="228">
        <f t="shared" si="4"/>
        <v>606.19768263364972</v>
      </c>
      <c r="BZ14" s="228">
        <f t="shared" si="4"/>
        <v>443.29988264005294</v>
      </c>
      <c r="CA14" s="228">
        <f t="shared" si="4"/>
        <v>414.61603989404585</v>
      </c>
      <c r="CB14" s="228">
        <f t="shared" ref="CB14:CK14" si="5">CA14</f>
        <v>414.61603989404585</v>
      </c>
      <c r="CC14" s="228">
        <f t="shared" si="5"/>
        <v>414.61603989404585</v>
      </c>
      <c r="CD14" s="228">
        <f t="shared" si="5"/>
        <v>414.61603989404585</v>
      </c>
      <c r="CE14" s="228">
        <f t="shared" si="5"/>
        <v>414.61603989404585</v>
      </c>
      <c r="CF14" s="228">
        <f t="shared" si="5"/>
        <v>414.61603989404585</v>
      </c>
      <c r="CG14" s="228">
        <f t="shared" si="5"/>
        <v>414.61603989404585</v>
      </c>
      <c r="CH14" s="228">
        <f t="shared" si="5"/>
        <v>414.61603989404585</v>
      </c>
      <c r="CI14" s="228">
        <f t="shared" si="5"/>
        <v>414.61603989404585</v>
      </c>
      <c r="CJ14" s="228">
        <f t="shared" si="5"/>
        <v>414.61603989404585</v>
      </c>
      <c r="CK14" s="228">
        <f t="shared" si="5"/>
        <v>414.61603989404585</v>
      </c>
    </row>
    <row r="15" spans="1:89" ht="14.25" customHeight="1" outlineLevel="1" x14ac:dyDescent="0.2">
      <c r="A15" s="11">
        <f t="shared" si="0"/>
        <v>0</v>
      </c>
      <c r="B15" s="11"/>
      <c r="E15" s="224"/>
      <c r="F15" s="197" t="s">
        <v>299</v>
      </c>
      <c r="G15" s="197"/>
      <c r="H15" s="197"/>
      <c r="I15" s="199"/>
      <c r="J15" s="228">
        <f>RentalsVacates!H6</f>
        <v>0</v>
      </c>
      <c r="K15" s="228">
        <f>RentalsVacates!I6</f>
        <v>0</v>
      </c>
      <c r="L15" s="228">
        <f>RentalsVacates!J6</f>
        <v>-1.4856925756379715</v>
      </c>
      <c r="M15" s="228">
        <f>RentalsVacates!K6</f>
        <v>-3.2315988163590976</v>
      </c>
      <c r="N15" s="228">
        <f>RentalsVacates!L6</f>
        <v>-5.0404208539449558</v>
      </c>
      <c r="O15" s="228">
        <f>RentalsVacates!M6</f>
        <v>-8.149082167134404</v>
      </c>
      <c r="P15" s="228">
        <f>RentalsVacates!N6</f>
        <v>-10.976852121954209</v>
      </c>
      <c r="Q15" s="228">
        <f>RentalsVacates!O6</f>
        <v>-14.977967277608899</v>
      </c>
      <c r="R15" s="228">
        <f>RentalsVacates!P6</f>
        <v>-15.223560584243204</v>
      </c>
      <c r="S15" s="228">
        <f>RentalsVacates!Q6</f>
        <v>-15.753514658548831</v>
      </c>
      <c r="T15" s="228">
        <f>RentalsVacates!R6</f>
        <v>-16.337342982186428</v>
      </c>
      <c r="U15" s="229">
        <f>RentalsVacates!S6</f>
        <v>-16.676200017815244</v>
      </c>
      <c r="V15" s="228">
        <f>RentalsVacates!T6</f>
        <v>-16.536199904471665</v>
      </c>
      <c r="W15" s="228">
        <f>RentalsVacates!U6</f>
        <v>-16.764890284272038</v>
      </c>
      <c r="X15" s="228">
        <f>RentalsVacates!V6</f>
        <v>-19.38493600805743</v>
      </c>
      <c r="Y15" s="228">
        <f>RentalsVacates!W6</f>
        <v>-20.260033026513518</v>
      </c>
      <c r="Z15" s="228">
        <f>RentalsVacates!X6</f>
        <v>-21.931455640381429</v>
      </c>
      <c r="AA15" s="228">
        <f>RentalsVacates!Y6</f>
        <v>-25.234460554096596</v>
      </c>
      <c r="AB15" s="228">
        <f>RentalsVacates!Z6</f>
        <v>-28.185560387347731</v>
      </c>
      <c r="AC15" s="228">
        <f>RentalsVacates!AA6</f>
        <v>-33.575771526607397</v>
      </c>
      <c r="AD15" s="228">
        <f>RentalsVacates!AB6</f>
        <v>-32.60227678575599</v>
      </c>
      <c r="AE15" s="228">
        <f>RentalsVacates!AC6</f>
        <v>-32.703999202797235</v>
      </c>
      <c r="AF15" s="228">
        <f>RentalsVacates!AD6</f>
        <v>-32.581916457189443</v>
      </c>
      <c r="AG15" s="229">
        <f>RentalsVacates!AE6</f>
        <v>-32.484848255220768</v>
      </c>
      <c r="AH15" s="228">
        <f>RentalsVacates!AF6</f>
        <v>-30.742653205735234</v>
      </c>
      <c r="AI15" s="228">
        <f>RentalsVacates!AG6</f>
        <v>-29.544552532421452</v>
      </c>
      <c r="AJ15" s="228">
        <f>RentalsVacates!AH6</f>
        <v>-32.793557367951777</v>
      </c>
      <c r="AK15" s="228">
        <f>RentalsVacates!AI6</f>
        <v>-32.434199982368803</v>
      </c>
      <c r="AL15" s="228">
        <f>RentalsVacates!AJ6</f>
        <v>-33.548977030199651</v>
      </c>
      <c r="AM15" s="228">
        <f>RentalsVacates!AK6</f>
        <v>-36.166504517992266</v>
      </c>
      <c r="AN15" s="228">
        <f>RentalsVacates!AL6</f>
        <v>-38.641420973040233</v>
      </c>
      <c r="AO15" s="228">
        <f>RentalsVacates!AM6</f>
        <v>-43.93686148244484</v>
      </c>
      <c r="AP15" s="228">
        <f>RentalsVacates!AN6</f>
        <v>-41.964430106092287</v>
      </c>
      <c r="AQ15" s="228">
        <f>RentalsVacates!AO6</f>
        <v>-41.57087210947472</v>
      </c>
      <c r="AR15" s="228">
        <f>RentalsVacates!AP6</f>
        <v>-40.770098038622592</v>
      </c>
      <c r="AS15" s="229">
        <f>RentalsVacates!AQ6</f>
        <v>-39.923555287305859</v>
      </c>
      <c r="AT15" s="228">
        <f>RentalsVacates!AR6</f>
        <v>-38.00715087823</v>
      </c>
      <c r="AU15" s="228">
        <f>RentalsVacates!AS6</f>
        <v>-34.703219625507515</v>
      </c>
      <c r="AV15" s="228">
        <f>RentalsVacates!AT6</f>
        <v>-37.435916082274247</v>
      </c>
      <c r="AW15" s="228">
        <f>RentalsVacates!AU6</f>
        <v>-35.528764540788089</v>
      </c>
      <c r="AX15" s="228">
        <f>RentalsVacates!AV6</f>
        <v>-36.105470995251622</v>
      </c>
      <c r="AY15" s="228">
        <f>RentalsVacates!AW6</f>
        <v>-37.866717196343501</v>
      </c>
      <c r="AZ15" s="228">
        <f>RentalsVacates!AX6</f>
        <v>-39.475912194507288</v>
      </c>
      <c r="BA15" s="228">
        <f>RentalsVacates!AY6</f>
        <v>-43.142117801679809</v>
      </c>
      <c r="BB15" s="228">
        <f>RentalsVacates!AZ6</f>
        <v>-39.740757819133179</v>
      </c>
      <c r="BC15" s="228">
        <f>RentalsVacates!BA6</f>
        <v>-38.413601226533679</v>
      </c>
      <c r="BD15" s="228">
        <f>RentalsVacates!BB6</f>
        <v>-36.666981236677245</v>
      </c>
      <c r="BE15" s="229">
        <f>RentalsVacates!BC6</f>
        <v>-34.649273043126641</v>
      </c>
      <c r="BF15" s="228">
        <f>RentalsVacates!BD6</f>
        <v>-32.873194838877417</v>
      </c>
      <c r="BG15" s="228">
        <f>RentalsVacates!BE6</f>
        <v>-31.011484670327562</v>
      </c>
      <c r="BH15" s="228">
        <f>RentalsVacates!BF6</f>
        <v>-33.139361358731122</v>
      </c>
      <c r="BI15" s="228">
        <f>RentalsVacates!BG6</f>
        <v>-31.335288781801307</v>
      </c>
      <c r="BJ15" s="228">
        <f>RentalsVacates!BH6</f>
        <v>-32.529517763782401</v>
      </c>
      <c r="BK15" s="228">
        <f>RentalsVacates!BI6</f>
        <v>-34.961522695325669</v>
      </c>
      <c r="BL15" s="228">
        <f>RentalsVacates!BJ6</f>
        <v>-36.943337908347821</v>
      </c>
      <c r="BM15" s="228">
        <f>RentalsVacates!BK6</f>
        <v>-40.635299112830602</v>
      </c>
      <c r="BN15" s="228">
        <f>RentalsVacates!BL6</f>
        <v>-37.519935774500375</v>
      </c>
      <c r="BO15" s="228">
        <f>RentalsVacates!BM6</f>
        <v>-36.357192842361592</v>
      </c>
      <c r="BP15" s="228">
        <f>RentalsVacates!BN6</f>
        <v>-34.87119006085215</v>
      </c>
      <c r="BQ15" s="228">
        <f>RentalsVacates!BO6</f>
        <v>-32.438714086307876</v>
      </c>
      <c r="BR15" s="228">
        <f>RentalsVacates!BP6</f>
        <v>-30.534028689124618</v>
      </c>
      <c r="BS15" s="228">
        <f>RentalsVacates!BQ6</f>
        <v>-29.498243283576329</v>
      </c>
      <c r="BT15" s="228">
        <f>RentalsVacates!BR6</f>
        <v>-28.424701908693152</v>
      </c>
      <c r="BU15" s="228">
        <f>RentalsVacates!BS6</f>
        <v>-23.982977338398097</v>
      </c>
      <c r="BW15" s="228">
        <f t="shared" ref="BW15:CA15" si="6">SUMIF($J$6:$BU$6,BW$9,$J15:$BU15)</f>
        <v>-107.85223205543323</v>
      </c>
      <c r="BX15" s="228">
        <f t="shared" si="6"/>
        <v>-312.24634803271124</v>
      </c>
      <c r="BY15" s="228">
        <f t="shared" si="6"/>
        <v>-442.03768263364969</v>
      </c>
      <c r="BZ15" s="228">
        <f t="shared" si="6"/>
        <v>-451.73588264005286</v>
      </c>
      <c r="CA15" s="228">
        <f t="shared" si="6"/>
        <v>-414.61603989404585</v>
      </c>
      <c r="CB15" s="228">
        <f t="shared" ref="CB15:CK15" si="7">CA15</f>
        <v>-414.61603989404585</v>
      </c>
      <c r="CC15" s="228">
        <f t="shared" si="7"/>
        <v>-414.61603989404585</v>
      </c>
      <c r="CD15" s="228">
        <f t="shared" si="7"/>
        <v>-414.61603989404585</v>
      </c>
      <c r="CE15" s="228">
        <f t="shared" si="7"/>
        <v>-414.61603989404585</v>
      </c>
      <c r="CF15" s="228">
        <f t="shared" si="7"/>
        <v>-414.61603989404585</v>
      </c>
      <c r="CG15" s="228">
        <f t="shared" si="7"/>
        <v>-414.61603989404585</v>
      </c>
      <c r="CH15" s="228">
        <f t="shared" si="7"/>
        <v>-414.61603989404585</v>
      </c>
      <c r="CI15" s="228">
        <f t="shared" si="7"/>
        <v>-414.61603989404585</v>
      </c>
      <c r="CJ15" s="228">
        <f t="shared" si="7"/>
        <v>-414.61603989404585</v>
      </c>
      <c r="CK15" s="228">
        <f t="shared" si="7"/>
        <v>-414.61603989404585</v>
      </c>
    </row>
    <row r="16" spans="1:89" ht="14.25" customHeight="1" outlineLevel="1" x14ac:dyDescent="0.2">
      <c r="A16" s="11">
        <f t="shared" si="0"/>
        <v>0</v>
      </c>
      <c r="B16" s="11"/>
      <c r="E16" s="224"/>
      <c r="F16" s="11" t="s">
        <v>300</v>
      </c>
      <c r="H16" s="53"/>
      <c r="I16" s="230"/>
      <c r="J16" s="231">
        <v>0</v>
      </c>
      <c r="K16" s="231">
        <v>0</v>
      </c>
      <c r="L16" s="231">
        <v>0</v>
      </c>
      <c r="M16" s="231">
        <v>0</v>
      </c>
      <c r="N16" s="231">
        <v>0</v>
      </c>
      <c r="O16" s="231">
        <v>0</v>
      </c>
      <c r="P16" s="231">
        <v>0</v>
      </c>
      <c r="Q16" s="231">
        <v>0</v>
      </c>
      <c r="R16" s="231">
        <v>0</v>
      </c>
      <c r="S16" s="231">
        <v>0</v>
      </c>
      <c r="T16" s="231">
        <v>0</v>
      </c>
      <c r="U16" s="232">
        <v>0</v>
      </c>
      <c r="V16" s="231">
        <v>0</v>
      </c>
      <c r="W16" s="231">
        <v>0</v>
      </c>
      <c r="X16" s="231">
        <v>0</v>
      </c>
      <c r="Y16" s="231">
        <v>0</v>
      </c>
      <c r="Z16" s="231">
        <v>0</v>
      </c>
      <c r="AA16" s="231">
        <v>0</v>
      </c>
      <c r="AB16" s="231">
        <v>0</v>
      </c>
      <c r="AC16" s="231">
        <v>0</v>
      </c>
      <c r="AD16" s="231">
        <v>0</v>
      </c>
      <c r="AE16" s="231">
        <v>0</v>
      </c>
      <c r="AF16" s="231">
        <v>0</v>
      </c>
      <c r="AG16" s="232">
        <v>0</v>
      </c>
      <c r="AH16" s="231">
        <v>0</v>
      </c>
      <c r="AI16" s="231">
        <v>0</v>
      </c>
      <c r="AJ16" s="231">
        <v>0</v>
      </c>
      <c r="AK16" s="231">
        <v>0</v>
      </c>
      <c r="AL16" s="231">
        <v>0</v>
      </c>
      <c r="AM16" s="231">
        <v>0</v>
      </c>
      <c r="AN16" s="231">
        <v>0</v>
      </c>
      <c r="AO16" s="231">
        <v>0</v>
      </c>
      <c r="AP16" s="231">
        <v>0</v>
      </c>
      <c r="AQ16" s="231">
        <v>0</v>
      </c>
      <c r="AR16" s="231">
        <v>0</v>
      </c>
      <c r="AS16" s="232">
        <v>0</v>
      </c>
      <c r="AT16" s="231">
        <v>0</v>
      </c>
      <c r="AU16" s="231">
        <v>0</v>
      </c>
      <c r="AV16" s="231">
        <v>0</v>
      </c>
      <c r="AW16" s="231">
        <v>0</v>
      </c>
      <c r="AX16" s="231">
        <v>0</v>
      </c>
      <c r="AY16" s="231">
        <v>0</v>
      </c>
      <c r="AZ16" s="231">
        <v>0</v>
      </c>
      <c r="BA16" s="231">
        <v>0</v>
      </c>
      <c r="BB16" s="231">
        <v>0</v>
      </c>
      <c r="BC16" s="231">
        <v>0</v>
      </c>
      <c r="BD16" s="231">
        <v>0</v>
      </c>
      <c r="BE16" s="232">
        <v>0</v>
      </c>
      <c r="BF16" s="231">
        <v>0</v>
      </c>
      <c r="BG16" s="231">
        <v>0</v>
      </c>
      <c r="BH16" s="231">
        <v>0</v>
      </c>
      <c r="BI16" s="231">
        <v>0</v>
      </c>
      <c r="BJ16" s="231">
        <v>0</v>
      </c>
      <c r="BK16" s="231">
        <v>0</v>
      </c>
      <c r="BL16" s="231">
        <v>0</v>
      </c>
      <c r="BM16" s="231">
        <v>0</v>
      </c>
      <c r="BN16" s="231">
        <v>0</v>
      </c>
      <c r="BO16" s="231">
        <v>0</v>
      </c>
      <c r="BP16" s="231">
        <v>0</v>
      </c>
      <c r="BQ16" s="231">
        <v>0</v>
      </c>
      <c r="BR16" s="231">
        <v>0</v>
      </c>
      <c r="BS16" s="231">
        <v>0</v>
      </c>
      <c r="BT16" s="231">
        <v>0</v>
      </c>
      <c r="BU16" s="231">
        <v>0</v>
      </c>
      <c r="BW16" s="233"/>
      <c r="BX16" s="233"/>
      <c r="BY16" s="233"/>
      <c r="BZ16" s="233"/>
      <c r="CA16" s="233"/>
      <c r="CB16" s="233"/>
      <c r="CC16" s="233"/>
      <c r="CD16" s="233"/>
      <c r="CE16" s="233"/>
      <c r="CF16" s="233"/>
      <c r="CG16" s="233"/>
      <c r="CH16" s="233"/>
      <c r="CI16" s="233"/>
      <c r="CJ16" s="233"/>
      <c r="CK16" s="233"/>
    </row>
    <row r="17" spans="1:89" ht="14.25" customHeight="1" outlineLevel="1" x14ac:dyDescent="0.2">
      <c r="A17" s="11"/>
      <c r="B17" s="11"/>
      <c r="E17" s="224"/>
      <c r="H17" s="53"/>
      <c r="I17" s="230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34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4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4"/>
      <c r="AT17" s="231"/>
      <c r="AU17" s="231"/>
      <c r="AV17" s="231"/>
      <c r="AW17" s="231"/>
      <c r="AX17" s="231"/>
      <c r="AY17" s="231"/>
      <c r="AZ17" s="231"/>
      <c r="BA17" s="231"/>
      <c r="BB17" s="231"/>
      <c r="BC17" s="231"/>
      <c r="BD17" s="231"/>
      <c r="BE17" s="234"/>
      <c r="BF17" s="231"/>
      <c r="BG17" s="231"/>
      <c r="BH17" s="231"/>
      <c r="BI17" s="231"/>
      <c r="BJ17" s="231"/>
      <c r="BK17" s="231"/>
      <c r="BL17" s="231"/>
      <c r="BM17" s="231"/>
      <c r="BN17" s="231"/>
      <c r="BO17" s="231"/>
      <c r="BP17" s="231"/>
      <c r="BQ17" s="231"/>
      <c r="BR17" s="231"/>
      <c r="BS17" s="231"/>
      <c r="BT17" s="231"/>
      <c r="BU17" s="231"/>
      <c r="BW17" s="233"/>
      <c r="BX17" s="233"/>
      <c r="BY17" s="233"/>
      <c r="BZ17" s="233"/>
      <c r="CA17" s="233"/>
      <c r="CB17" s="233"/>
      <c r="CC17" s="233"/>
      <c r="CD17" s="233"/>
      <c r="CE17" s="233"/>
      <c r="CF17" s="233"/>
      <c r="CG17" s="233"/>
      <c r="CH17" s="233"/>
      <c r="CI17" s="233"/>
      <c r="CJ17" s="233"/>
      <c r="CK17" s="233"/>
    </row>
    <row r="18" spans="1:89" ht="14.25" customHeight="1" x14ac:dyDescent="0.2">
      <c r="A18" s="11">
        <f t="shared" ref="A18:A30" si="8">$F$2</f>
        <v>0</v>
      </c>
      <c r="B18" s="56" t="s">
        <v>301</v>
      </c>
      <c r="E18" s="224"/>
      <c r="F18" s="11" t="s">
        <v>302</v>
      </c>
      <c r="I18" s="1"/>
      <c r="J18" s="124">
        <f t="shared" ref="J18:BU18" si="9">J14</f>
        <v>14.925849367610109</v>
      </c>
      <c r="K18" s="124">
        <f t="shared" si="9"/>
        <v>14.745786761557836</v>
      </c>
      <c r="L18" s="124">
        <f t="shared" si="9"/>
        <v>21.810252620146763</v>
      </c>
      <c r="M18" s="124">
        <f t="shared" si="9"/>
        <v>23.883929222909323</v>
      </c>
      <c r="N18" s="124">
        <f t="shared" si="9"/>
        <v>36.709849789672333</v>
      </c>
      <c r="O18" s="124">
        <f t="shared" si="9"/>
        <v>34.292549426628845</v>
      </c>
      <c r="P18" s="124">
        <f t="shared" si="9"/>
        <v>33.833200071911101</v>
      </c>
      <c r="Q18" s="124">
        <f t="shared" si="9"/>
        <v>32.233434189666653</v>
      </c>
      <c r="R18" s="124">
        <f t="shared" si="9"/>
        <v>30.460308770243216</v>
      </c>
      <c r="S18" s="124">
        <f t="shared" si="9"/>
        <v>31.18532948884496</v>
      </c>
      <c r="T18" s="124">
        <f t="shared" si="9"/>
        <v>30.733388749212899</v>
      </c>
      <c r="U18" s="235">
        <f t="shared" si="9"/>
        <v>28.758353597029124</v>
      </c>
      <c r="V18" s="124">
        <f t="shared" si="9"/>
        <v>32.366646203452092</v>
      </c>
      <c r="W18" s="124">
        <f t="shared" si="9"/>
        <v>32.404361091984875</v>
      </c>
      <c r="X18" s="124">
        <f t="shared" si="9"/>
        <v>40.941287570415248</v>
      </c>
      <c r="Y18" s="124">
        <f t="shared" si="9"/>
        <v>42.164019821339515</v>
      </c>
      <c r="Z18" s="124">
        <f t="shared" si="9"/>
        <v>55.520243905546828</v>
      </c>
      <c r="AA18" s="124">
        <f t="shared" si="9"/>
        <v>52.962380374772557</v>
      </c>
      <c r="AB18" s="124">
        <f t="shared" si="9"/>
        <v>52.42714154639291</v>
      </c>
      <c r="AC18" s="124">
        <f t="shared" si="9"/>
        <v>51.877024312123254</v>
      </c>
      <c r="AD18" s="124">
        <f t="shared" si="9"/>
        <v>48.762464255755994</v>
      </c>
      <c r="AE18" s="124">
        <f t="shared" si="9"/>
        <v>49.071075537959786</v>
      </c>
      <c r="AF18" s="124">
        <f t="shared" si="9"/>
        <v>47.850449846459945</v>
      </c>
      <c r="AG18" s="235">
        <f t="shared" si="9"/>
        <v>45.299253566508256</v>
      </c>
      <c r="AH18" s="124">
        <f t="shared" si="9"/>
        <v>41.597816382178941</v>
      </c>
      <c r="AI18" s="124">
        <f t="shared" si="9"/>
        <v>40.268761086281714</v>
      </c>
      <c r="AJ18" s="124">
        <f t="shared" si="9"/>
        <v>47.575055582139974</v>
      </c>
      <c r="AK18" s="124">
        <f t="shared" si="9"/>
        <v>47.454076641678135</v>
      </c>
      <c r="AL18" s="124">
        <f t="shared" si="9"/>
        <v>56.581288983455842</v>
      </c>
      <c r="AM18" s="124">
        <f t="shared" si="9"/>
        <v>55.179935252170047</v>
      </c>
      <c r="AN18" s="124">
        <f t="shared" si="9"/>
        <v>55.264219482099755</v>
      </c>
      <c r="AO18" s="124">
        <f t="shared" si="9"/>
        <v>56.48629196394144</v>
      </c>
      <c r="AP18" s="124">
        <f t="shared" si="9"/>
        <v>53.045701514092258</v>
      </c>
      <c r="AQ18" s="124">
        <f t="shared" si="9"/>
        <v>52.794010167871939</v>
      </c>
      <c r="AR18" s="124">
        <f t="shared" si="9"/>
        <v>51.239949505551003</v>
      </c>
      <c r="AS18" s="235">
        <f t="shared" si="9"/>
        <v>48.710576072188701</v>
      </c>
      <c r="AT18" s="124">
        <f t="shared" si="9"/>
        <v>29.571150878230231</v>
      </c>
      <c r="AU18" s="124">
        <f t="shared" si="9"/>
        <v>34.703219625507515</v>
      </c>
      <c r="AV18" s="124">
        <f t="shared" si="9"/>
        <v>39.487916082274168</v>
      </c>
      <c r="AW18" s="124">
        <f t="shared" si="9"/>
        <v>38.948764540788112</v>
      </c>
      <c r="AX18" s="124">
        <f t="shared" si="9"/>
        <v>44.997470995251589</v>
      </c>
      <c r="AY18" s="124">
        <f t="shared" si="9"/>
        <v>43.338717196343538</v>
      </c>
      <c r="AZ18" s="124">
        <f t="shared" si="9"/>
        <v>40.843912194507205</v>
      </c>
      <c r="BA18" s="124">
        <f t="shared" si="9"/>
        <v>37.670117801679865</v>
      </c>
      <c r="BB18" s="124">
        <f t="shared" si="9"/>
        <v>35.636757819133152</v>
      </c>
      <c r="BC18" s="124">
        <f t="shared" si="9"/>
        <v>34.309601226533651</v>
      </c>
      <c r="BD18" s="124">
        <f t="shared" si="9"/>
        <v>32.562981236677309</v>
      </c>
      <c r="BE18" s="235">
        <f t="shared" si="9"/>
        <v>31.229273043126621</v>
      </c>
      <c r="BF18" s="235">
        <f t="shared" si="9"/>
        <v>32.873194838877509</v>
      </c>
      <c r="BG18" s="235">
        <f t="shared" si="9"/>
        <v>31.011484670327562</v>
      </c>
      <c r="BH18" s="235">
        <f t="shared" si="9"/>
        <v>35.191361358731044</v>
      </c>
      <c r="BI18" s="235">
        <f t="shared" si="9"/>
        <v>34.755288781801326</v>
      </c>
      <c r="BJ18" s="235">
        <f t="shared" si="9"/>
        <v>41.421517763782369</v>
      </c>
      <c r="BK18" s="235">
        <f t="shared" si="9"/>
        <v>40.433522695325706</v>
      </c>
      <c r="BL18" s="235">
        <f t="shared" si="9"/>
        <v>38.311337908347731</v>
      </c>
      <c r="BM18" s="235">
        <f t="shared" si="9"/>
        <v>35.163299112830657</v>
      </c>
      <c r="BN18" s="235">
        <f t="shared" si="9"/>
        <v>33.415935774500348</v>
      </c>
      <c r="BO18" s="235">
        <f t="shared" si="9"/>
        <v>32.253192842361571</v>
      </c>
      <c r="BP18" s="235">
        <f t="shared" si="9"/>
        <v>30.767190060852222</v>
      </c>
      <c r="BQ18" s="235">
        <f t="shared" si="9"/>
        <v>29.018714086307849</v>
      </c>
      <c r="BR18" s="235">
        <f t="shared" si="9"/>
        <v>30.53402868912471</v>
      </c>
      <c r="BS18" s="235">
        <f t="shared" si="9"/>
        <v>29.498243283576329</v>
      </c>
      <c r="BT18" s="235">
        <f t="shared" si="9"/>
        <v>30.476701908693069</v>
      </c>
      <c r="BU18" s="235">
        <f t="shared" si="9"/>
        <v>27.40297733839812</v>
      </c>
      <c r="BW18" s="228">
        <f t="shared" ref="BW18:CA18" si="10">SUMIF($J$6:$BU$6,BW$9,$J18:$BU18)</f>
        <v>333.57223205543312</v>
      </c>
      <c r="BX18" s="228">
        <f t="shared" si="10"/>
        <v>551.64634803271122</v>
      </c>
      <c r="BY18" s="228">
        <f t="shared" si="10"/>
        <v>606.19768263364972</v>
      </c>
      <c r="BZ18" s="228">
        <f t="shared" si="10"/>
        <v>443.29988264005294</v>
      </c>
      <c r="CA18" s="228">
        <f t="shared" si="10"/>
        <v>414.61603989404585</v>
      </c>
      <c r="CB18" s="228">
        <f t="shared" ref="CB18:CK18" si="11">CA18</f>
        <v>414.61603989404585</v>
      </c>
      <c r="CC18" s="228">
        <f t="shared" si="11"/>
        <v>414.61603989404585</v>
      </c>
      <c r="CD18" s="228">
        <f t="shared" si="11"/>
        <v>414.61603989404585</v>
      </c>
      <c r="CE18" s="228">
        <f t="shared" si="11"/>
        <v>414.61603989404585</v>
      </c>
      <c r="CF18" s="228">
        <f t="shared" si="11"/>
        <v>414.61603989404585</v>
      </c>
      <c r="CG18" s="228">
        <f t="shared" si="11"/>
        <v>414.61603989404585</v>
      </c>
      <c r="CH18" s="228">
        <f t="shared" si="11"/>
        <v>414.61603989404585</v>
      </c>
      <c r="CI18" s="228">
        <f t="shared" si="11"/>
        <v>414.61603989404585</v>
      </c>
      <c r="CJ18" s="228">
        <f t="shared" si="11"/>
        <v>414.61603989404585</v>
      </c>
      <c r="CK18" s="228">
        <f t="shared" si="11"/>
        <v>414.61603989404585</v>
      </c>
    </row>
    <row r="19" spans="1:89" ht="14.25" customHeight="1" x14ac:dyDescent="0.2">
      <c r="A19" s="11">
        <f t="shared" si="8"/>
        <v>0</v>
      </c>
      <c r="B19" s="56" t="s">
        <v>303</v>
      </c>
      <c r="E19" s="224"/>
      <c r="F19" s="17" t="s">
        <v>304</v>
      </c>
      <c r="G19" s="17"/>
      <c r="H19" s="17"/>
      <c r="I19" s="236"/>
      <c r="J19" s="237">
        <f>Monthly!D26/Projection!$F$5</f>
        <v>0</v>
      </c>
      <c r="K19" s="237">
        <f>Monthly!E26/Projection!$F$5</f>
        <v>0</v>
      </c>
      <c r="L19" s="237">
        <f>Monthly!F26/Projection!$F$5</f>
        <v>-1.4856925756379715</v>
      </c>
      <c r="M19" s="237">
        <f>Monthly!G26/Projection!$F$5</f>
        <v>-3.2315988163590976</v>
      </c>
      <c r="N19" s="237">
        <f>Monthly!H26/Projection!$F$5</f>
        <v>-5.0404208539449558</v>
      </c>
      <c r="O19" s="237">
        <f>Monthly!I26/Projection!$F$5</f>
        <v>-8.149082167134404</v>
      </c>
      <c r="P19" s="237">
        <f>Monthly!J26/Projection!$F$5</f>
        <v>-10.976852121954209</v>
      </c>
      <c r="Q19" s="237">
        <f>Monthly!K26/Projection!$F$5</f>
        <v>-14.977967277608899</v>
      </c>
      <c r="R19" s="237">
        <f>Monthly!L26/Projection!$F$5</f>
        <v>-15.223560584243204</v>
      </c>
      <c r="S19" s="237">
        <f>Monthly!M26/Projection!$F$5</f>
        <v>-15.753514658548831</v>
      </c>
      <c r="T19" s="237">
        <f>Monthly!N26/Projection!$F$5</f>
        <v>-16.337342982186428</v>
      </c>
      <c r="U19" s="238">
        <f>Monthly!O26/Projection!$F$5</f>
        <v>-16.676200017815244</v>
      </c>
      <c r="V19" s="237">
        <f>Monthly!P26/Projection!$F$5</f>
        <v>-16.536199904471665</v>
      </c>
      <c r="W19" s="237">
        <f>Monthly!Q26/Projection!$F$5</f>
        <v>-16.764890284272038</v>
      </c>
      <c r="X19" s="237">
        <f>Monthly!R26/Projection!$F$5</f>
        <v>-19.38493600805743</v>
      </c>
      <c r="Y19" s="237">
        <f>Monthly!S26/Projection!$F$5</f>
        <v>-20.260033026513518</v>
      </c>
      <c r="Z19" s="237">
        <f>Monthly!T26/Projection!$F$5</f>
        <v>-21.931455640381429</v>
      </c>
      <c r="AA19" s="237">
        <f>Monthly!U26/Projection!$F$5</f>
        <v>-25.234460554096596</v>
      </c>
      <c r="AB19" s="237">
        <f>Monthly!V26/Projection!$F$5</f>
        <v>-28.185560387347731</v>
      </c>
      <c r="AC19" s="237">
        <f>Monthly!W26/Projection!$F$5</f>
        <v>-33.575771526607397</v>
      </c>
      <c r="AD19" s="237">
        <f>Monthly!X26/Projection!$F$5</f>
        <v>-32.60227678575599</v>
      </c>
      <c r="AE19" s="237">
        <f>Monthly!Y26/Projection!$F$5</f>
        <v>-32.703999202797235</v>
      </c>
      <c r="AF19" s="237">
        <f>Monthly!Z26/Projection!$F$5</f>
        <v>-32.581916457189443</v>
      </c>
      <c r="AG19" s="238">
        <f>Monthly!AA26/Projection!$F$5</f>
        <v>-32.484848255220768</v>
      </c>
      <c r="AH19" s="237">
        <f>Monthly!AB26/Projection!$F$5</f>
        <v>-30.742653205735234</v>
      </c>
      <c r="AI19" s="237">
        <f>Monthly!AC26/Projection!$F$5</f>
        <v>-29.544552532421452</v>
      </c>
      <c r="AJ19" s="237">
        <f>Monthly!AD26/Projection!$F$5</f>
        <v>-32.793557367951777</v>
      </c>
      <c r="AK19" s="237">
        <f>Monthly!AE26/Projection!$F$5</f>
        <v>-32.434199982368803</v>
      </c>
      <c r="AL19" s="237">
        <f>Monthly!AF26/Projection!$F$5</f>
        <v>-33.548977030199651</v>
      </c>
      <c r="AM19" s="237">
        <f>Monthly!AG26/Projection!$F$5</f>
        <v>-36.166504517992266</v>
      </c>
      <c r="AN19" s="237">
        <f>Monthly!AH26/Projection!$F$5</f>
        <v>-38.641420973040233</v>
      </c>
      <c r="AO19" s="237">
        <f>Monthly!AI26/Projection!$F$5</f>
        <v>-43.93686148244484</v>
      </c>
      <c r="AP19" s="237">
        <f>Monthly!AJ26/Projection!$F$5</f>
        <v>-41.964430106092287</v>
      </c>
      <c r="AQ19" s="237">
        <f>Monthly!AK26/Projection!$F$5</f>
        <v>-41.57087210947472</v>
      </c>
      <c r="AR19" s="237">
        <f>Monthly!AL26/Projection!$F$5</f>
        <v>-40.770098038622592</v>
      </c>
      <c r="AS19" s="238">
        <f>Monthly!AM26/Projection!$F$5</f>
        <v>-39.923555287305859</v>
      </c>
      <c r="AT19" s="237">
        <f>Monthly!AN26/Projection!$F$5</f>
        <v>-38.00715087823</v>
      </c>
      <c r="AU19" s="237">
        <f>Monthly!AO26/Projection!$F$5</f>
        <v>-34.703219625507515</v>
      </c>
      <c r="AV19" s="237">
        <f>Monthly!AP26/Projection!$F$5</f>
        <v>-37.435916082274247</v>
      </c>
      <c r="AW19" s="237">
        <f>Monthly!AQ26/Projection!$F$5</f>
        <v>-35.528764540788089</v>
      </c>
      <c r="AX19" s="237">
        <f>Monthly!AR26/Projection!$F$5</f>
        <v>-36.105470995251622</v>
      </c>
      <c r="AY19" s="237">
        <f>Monthly!AS26/Projection!$F$5</f>
        <v>-37.866717196343501</v>
      </c>
      <c r="AZ19" s="237">
        <f>Monthly!AT26/Projection!$F$5</f>
        <v>-39.475912194507288</v>
      </c>
      <c r="BA19" s="237">
        <f>Monthly!AU26/Projection!$F$5</f>
        <v>-43.142117801679809</v>
      </c>
      <c r="BB19" s="237">
        <f>Monthly!AV26/Projection!$F$5</f>
        <v>-39.740757819133179</v>
      </c>
      <c r="BC19" s="237">
        <f>Monthly!AW26/Projection!$F$5</f>
        <v>-38.413601226533679</v>
      </c>
      <c r="BD19" s="237">
        <f>Monthly!AX26/Projection!$F$5</f>
        <v>-36.666981236677245</v>
      </c>
      <c r="BE19" s="238">
        <f>Monthly!AY26/Projection!$F$5</f>
        <v>-34.649273043126641</v>
      </c>
      <c r="BF19" s="238">
        <f>Monthly!AZ26/Projection!$F$5</f>
        <v>-32.873194838877417</v>
      </c>
      <c r="BG19" s="238">
        <f>Monthly!BA26/Projection!$F$5</f>
        <v>-31.011484670327562</v>
      </c>
      <c r="BH19" s="238">
        <f>Monthly!BB26/Projection!$F$5</f>
        <v>-33.139361358731122</v>
      </c>
      <c r="BI19" s="238">
        <f>Monthly!BC26/Projection!$F$5</f>
        <v>-31.335288781801307</v>
      </c>
      <c r="BJ19" s="238">
        <f>Monthly!BD26/Projection!$F$5</f>
        <v>-32.529517763782401</v>
      </c>
      <c r="BK19" s="238">
        <f>Monthly!BE26/Projection!$F$5</f>
        <v>-34.961522695325669</v>
      </c>
      <c r="BL19" s="238">
        <f>Monthly!BF26/Projection!$F$5</f>
        <v>-36.943337908347821</v>
      </c>
      <c r="BM19" s="238">
        <f>Monthly!BG26/Projection!$F$5</f>
        <v>-40.635299112830602</v>
      </c>
      <c r="BN19" s="238">
        <f>Monthly!BH26/Projection!$F$5</f>
        <v>-37.519935774500375</v>
      </c>
      <c r="BO19" s="238">
        <f>Monthly!BI26/Projection!$F$5</f>
        <v>-36.357192842361592</v>
      </c>
      <c r="BP19" s="238">
        <f>Monthly!BJ26/Projection!$F$5</f>
        <v>-34.87119006085215</v>
      </c>
      <c r="BQ19" s="238">
        <f>Monthly!BK26/Projection!$F$5</f>
        <v>-32.438714086307876</v>
      </c>
      <c r="BR19" s="238">
        <f>Monthly!BL26/Projection!$F$5</f>
        <v>-30.534028689124618</v>
      </c>
      <c r="BS19" s="238">
        <f>Monthly!BM26/Projection!$F$5</f>
        <v>-29.498243283576329</v>
      </c>
      <c r="BT19" s="238">
        <f>Monthly!BN26/Projection!$F$5</f>
        <v>-28.424701908693152</v>
      </c>
      <c r="BU19" s="238">
        <f>Monthly!BO26/Projection!$F$5</f>
        <v>-23.982977338398097</v>
      </c>
      <c r="BW19" s="237">
        <f t="shared" ref="BW19:CA19" si="12">SUMIF($J$6:$BU$6,BW$9,$J19:$BU19)</f>
        <v>-107.85223205543323</v>
      </c>
      <c r="BX19" s="237">
        <f t="shared" si="12"/>
        <v>-312.24634803271124</v>
      </c>
      <c r="BY19" s="237">
        <f t="shared" si="12"/>
        <v>-442.03768263364969</v>
      </c>
      <c r="BZ19" s="237">
        <f t="shared" si="12"/>
        <v>-451.73588264005286</v>
      </c>
      <c r="CA19" s="237">
        <f t="shared" si="12"/>
        <v>-414.61603989404585</v>
      </c>
      <c r="CB19" s="237">
        <f t="shared" ref="CB19:CK19" si="13">CA19</f>
        <v>-414.61603989404585</v>
      </c>
      <c r="CC19" s="237">
        <f t="shared" si="13"/>
        <v>-414.61603989404585</v>
      </c>
      <c r="CD19" s="237">
        <f t="shared" si="13"/>
        <v>-414.61603989404585</v>
      </c>
      <c r="CE19" s="237">
        <f t="shared" si="13"/>
        <v>-414.61603989404585</v>
      </c>
      <c r="CF19" s="237">
        <f t="shared" si="13"/>
        <v>-414.61603989404585</v>
      </c>
      <c r="CG19" s="237">
        <f t="shared" si="13"/>
        <v>-414.61603989404585</v>
      </c>
      <c r="CH19" s="237">
        <f t="shared" si="13"/>
        <v>-414.61603989404585</v>
      </c>
      <c r="CI19" s="237">
        <f t="shared" si="13"/>
        <v>-414.61603989404585</v>
      </c>
      <c r="CJ19" s="237">
        <f t="shared" si="13"/>
        <v>-414.61603989404585</v>
      </c>
      <c r="CK19" s="237">
        <f t="shared" si="13"/>
        <v>-414.61603989404585</v>
      </c>
    </row>
    <row r="20" spans="1:89" ht="14.25" customHeight="1" x14ac:dyDescent="0.2">
      <c r="A20" s="11">
        <f t="shared" si="8"/>
        <v>0</v>
      </c>
      <c r="B20" s="56" t="s">
        <v>305</v>
      </c>
      <c r="E20" s="224"/>
      <c r="F20" s="11" t="s">
        <v>306</v>
      </c>
      <c r="I20" s="1"/>
      <c r="J20" s="29">
        <f t="shared" ref="J20:BU20" si="14">J18+J19</f>
        <v>14.925849367610109</v>
      </c>
      <c r="K20" s="29">
        <f t="shared" si="14"/>
        <v>14.745786761557836</v>
      </c>
      <c r="L20" s="29">
        <f t="shared" si="14"/>
        <v>20.32456004450879</v>
      </c>
      <c r="M20" s="29">
        <f t="shared" si="14"/>
        <v>20.652330406550227</v>
      </c>
      <c r="N20" s="29">
        <f t="shared" si="14"/>
        <v>31.669428935727378</v>
      </c>
      <c r="O20" s="29">
        <f t="shared" si="14"/>
        <v>26.143467259494443</v>
      </c>
      <c r="P20" s="29">
        <f t="shared" si="14"/>
        <v>22.856347949956891</v>
      </c>
      <c r="Q20" s="29">
        <f t="shared" si="14"/>
        <v>17.255466912057756</v>
      </c>
      <c r="R20" s="29">
        <f t="shared" si="14"/>
        <v>15.236748186000012</v>
      </c>
      <c r="S20" s="29">
        <f t="shared" si="14"/>
        <v>15.43181483029613</v>
      </c>
      <c r="T20" s="29">
        <f t="shared" si="14"/>
        <v>14.396045767026472</v>
      </c>
      <c r="U20" s="239">
        <f t="shared" si="14"/>
        <v>12.08215357921388</v>
      </c>
      <c r="V20" s="29">
        <f t="shared" si="14"/>
        <v>15.830446298980426</v>
      </c>
      <c r="W20" s="29">
        <f t="shared" si="14"/>
        <v>15.639470807712836</v>
      </c>
      <c r="X20" s="29">
        <f t="shared" si="14"/>
        <v>21.556351562357818</v>
      </c>
      <c r="Y20" s="29">
        <f t="shared" si="14"/>
        <v>21.903986794825997</v>
      </c>
      <c r="Z20" s="29">
        <f t="shared" si="14"/>
        <v>33.588788265165398</v>
      </c>
      <c r="AA20" s="29">
        <f t="shared" si="14"/>
        <v>27.727919820675961</v>
      </c>
      <c r="AB20" s="29">
        <f t="shared" si="14"/>
        <v>24.241581159045179</v>
      </c>
      <c r="AC20" s="29">
        <f t="shared" si="14"/>
        <v>18.301252785515857</v>
      </c>
      <c r="AD20" s="29">
        <f t="shared" si="14"/>
        <v>16.160187470000004</v>
      </c>
      <c r="AE20" s="29">
        <f t="shared" si="14"/>
        <v>16.367076335162551</v>
      </c>
      <c r="AF20" s="29">
        <f t="shared" si="14"/>
        <v>15.268533389270502</v>
      </c>
      <c r="AG20" s="239">
        <f t="shared" si="14"/>
        <v>12.814405311287487</v>
      </c>
      <c r="AH20" s="29">
        <f t="shared" si="14"/>
        <v>10.855163176443707</v>
      </c>
      <c r="AI20" s="29">
        <f t="shared" si="14"/>
        <v>10.724208553860262</v>
      </c>
      <c r="AJ20" s="29">
        <f t="shared" si="14"/>
        <v>14.781498214188197</v>
      </c>
      <c r="AK20" s="29">
        <f t="shared" si="14"/>
        <v>15.019876659309332</v>
      </c>
      <c r="AL20" s="29">
        <f t="shared" si="14"/>
        <v>23.03231195325619</v>
      </c>
      <c r="AM20" s="29">
        <f t="shared" si="14"/>
        <v>19.013430734177781</v>
      </c>
      <c r="AN20" s="29">
        <f t="shared" si="14"/>
        <v>16.622798509059521</v>
      </c>
      <c r="AO20" s="29">
        <f t="shared" si="14"/>
        <v>12.5494304814966</v>
      </c>
      <c r="AP20" s="29">
        <f t="shared" si="14"/>
        <v>11.081271407999971</v>
      </c>
      <c r="AQ20" s="29">
        <f t="shared" si="14"/>
        <v>11.223138058397218</v>
      </c>
      <c r="AR20" s="29">
        <f t="shared" si="14"/>
        <v>10.469851466928411</v>
      </c>
      <c r="AS20" s="239">
        <f t="shared" si="14"/>
        <v>8.7870207848828414</v>
      </c>
      <c r="AT20" s="29">
        <f t="shared" si="14"/>
        <v>-8.435999999999769</v>
      </c>
      <c r="AU20" s="29">
        <f t="shared" si="14"/>
        <v>0</v>
      </c>
      <c r="AV20" s="29">
        <f t="shared" si="14"/>
        <v>2.0519999999999214</v>
      </c>
      <c r="AW20" s="29">
        <f t="shared" si="14"/>
        <v>3.420000000000023</v>
      </c>
      <c r="AX20" s="29">
        <f t="shared" si="14"/>
        <v>8.8919999999999675</v>
      </c>
      <c r="AY20" s="29">
        <f t="shared" si="14"/>
        <v>5.4720000000000368</v>
      </c>
      <c r="AZ20" s="29">
        <f t="shared" si="14"/>
        <v>1.3679999999999168</v>
      </c>
      <c r="BA20" s="29">
        <f t="shared" si="14"/>
        <v>-5.4719999999999445</v>
      </c>
      <c r="BB20" s="29">
        <f t="shared" si="14"/>
        <v>-4.1040000000000276</v>
      </c>
      <c r="BC20" s="29">
        <f t="shared" si="14"/>
        <v>-4.1040000000000276</v>
      </c>
      <c r="BD20" s="29">
        <f t="shared" si="14"/>
        <v>-4.1039999999999353</v>
      </c>
      <c r="BE20" s="239">
        <f t="shared" si="14"/>
        <v>-3.4200000000000195</v>
      </c>
      <c r="BF20" s="29">
        <f t="shared" si="14"/>
        <v>9.2370555648813024E-14</v>
      </c>
      <c r="BG20" s="29">
        <f t="shared" si="14"/>
        <v>0</v>
      </c>
      <c r="BH20" s="29">
        <f t="shared" si="14"/>
        <v>2.0519999999999214</v>
      </c>
      <c r="BI20" s="29">
        <f t="shared" si="14"/>
        <v>3.4200000000000195</v>
      </c>
      <c r="BJ20" s="29">
        <f t="shared" si="14"/>
        <v>8.8919999999999675</v>
      </c>
      <c r="BK20" s="29">
        <f t="shared" si="14"/>
        <v>5.4720000000000368</v>
      </c>
      <c r="BL20" s="29">
        <f t="shared" si="14"/>
        <v>1.3679999999999097</v>
      </c>
      <c r="BM20" s="29">
        <f t="shared" si="14"/>
        <v>-5.4719999999999445</v>
      </c>
      <c r="BN20" s="29">
        <f t="shared" si="14"/>
        <v>-4.1040000000000276</v>
      </c>
      <c r="BO20" s="29">
        <f t="shared" si="14"/>
        <v>-4.1040000000000205</v>
      </c>
      <c r="BP20" s="29">
        <f t="shared" si="14"/>
        <v>-4.1039999999999281</v>
      </c>
      <c r="BQ20" s="29">
        <f t="shared" si="14"/>
        <v>-3.4200000000000266</v>
      </c>
      <c r="BR20" s="29">
        <f t="shared" si="14"/>
        <v>9.2370555648813024E-14</v>
      </c>
      <c r="BS20" s="29">
        <f t="shared" si="14"/>
        <v>0</v>
      </c>
      <c r="BT20" s="29">
        <f t="shared" si="14"/>
        <v>2.0519999999999179</v>
      </c>
      <c r="BU20" s="29">
        <f t="shared" si="14"/>
        <v>3.420000000000023</v>
      </c>
      <c r="BW20" s="29">
        <f t="shared" ref="BW20:CA20" si="15">SUMIF($J$6:$BU$6,BW$9,$J20:$BU20)</f>
        <v>225.71999999999991</v>
      </c>
      <c r="BX20" s="29">
        <f t="shared" si="15"/>
        <v>239.40000000000003</v>
      </c>
      <c r="BY20" s="29">
        <f t="shared" si="15"/>
        <v>164.16000000000003</v>
      </c>
      <c r="BZ20" s="29">
        <f t="shared" si="15"/>
        <v>-8.4359999999998578</v>
      </c>
      <c r="CA20" s="29">
        <f t="shared" si="15"/>
        <v>0</v>
      </c>
      <c r="CB20" s="29">
        <f t="shared" ref="CB20:CK20" si="16">CA20</f>
        <v>0</v>
      </c>
      <c r="CC20" s="29">
        <f t="shared" si="16"/>
        <v>0</v>
      </c>
      <c r="CD20" s="29">
        <f t="shared" si="16"/>
        <v>0</v>
      </c>
      <c r="CE20" s="29">
        <f t="shared" si="16"/>
        <v>0</v>
      </c>
      <c r="CF20" s="29">
        <f t="shared" si="16"/>
        <v>0</v>
      </c>
      <c r="CG20" s="29">
        <f t="shared" si="16"/>
        <v>0</v>
      </c>
      <c r="CH20" s="29">
        <f t="shared" si="16"/>
        <v>0</v>
      </c>
      <c r="CI20" s="29">
        <f t="shared" si="16"/>
        <v>0</v>
      </c>
      <c r="CJ20" s="29">
        <f t="shared" si="16"/>
        <v>0</v>
      </c>
      <c r="CK20" s="29">
        <f t="shared" si="16"/>
        <v>0</v>
      </c>
    </row>
    <row r="21" spans="1:89" ht="14.25" customHeight="1" x14ac:dyDescent="0.2">
      <c r="A21" s="11">
        <f t="shared" si="8"/>
        <v>0</v>
      </c>
      <c r="B21" s="56" t="s">
        <v>307</v>
      </c>
      <c r="F21" s="11" t="s">
        <v>308</v>
      </c>
      <c r="I21" s="240">
        <f>(Inputs!C19-Inputs!C28)</f>
        <v>0</v>
      </c>
      <c r="J21" s="29">
        <f t="shared" ref="J21:BU21" si="17">I21+J20</f>
        <v>14.925849367610109</v>
      </c>
      <c r="K21" s="29">
        <f t="shared" si="17"/>
        <v>29.671636129167943</v>
      </c>
      <c r="L21" s="29">
        <f t="shared" si="17"/>
        <v>49.996196173676736</v>
      </c>
      <c r="M21" s="29">
        <f t="shared" si="17"/>
        <v>70.648526580226957</v>
      </c>
      <c r="N21" s="29">
        <f t="shared" si="17"/>
        <v>102.31795551595434</v>
      </c>
      <c r="O21" s="29">
        <f t="shared" si="17"/>
        <v>128.4614227754488</v>
      </c>
      <c r="P21" s="29">
        <f t="shared" si="17"/>
        <v>151.31777072540569</v>
      </c>
      <c r="Q21" s="29">
        <f t="shared" si="17"/>
        <v>168.57323763746345</v>
      </c>
      <c r="R21" s="29">
        <f t="shared" si="17"/>
        <v>183.80998582346345</v>
      </c>
      <c r="S21" s="29">
        <f t="shared" si="17"/>
        <v>199.24180065375958</v>
      </c>
      <c r="T21" s="29">
        <f t="shared" si="17"/>
        <v>213.63784642078605</v>
      </c>
      <c r="U21" s="239">
        <f t="shared" si="17"/>
        <v>225.71999999999991</v>
      </c>
      <c r="V21" s="29">
        <f t="shared" si="17"/>
        <v>241.55044629898035</v>
      </c>
      <c r="W21" s="29">
        <f t="shared" si="17"/>
        <v>257.1899171066932</v>
      </c>
      <c r="X21" s="29">
        <f t="shared" si="17"/>
        <v>278.74626866905101</v>
      </c>
      <c r="Y21" s="29">
        <f t="shared" si="17"/>
        <v>300.65025546387699</v>
      </c>
      <c r="Z21" s="29">
        <f t="shared" si="17"/>
        <v>334.23904372904241</v>
      </c>
      <c r="AA21" s="29">
        <f t="shared" si="17"/>
        <v>361.96696354971834</v>
      </c>
      <c r="AB21" s="29">
        <f t="shared" si="17"/>
        <v>386.2085447087635</v>
      </c>
      <c r="AC21" s="29">
        <f t="shared" si="17"/>
        <v>404.50979749427938</v>
      </c>
      <c r="AD21" s="29">
        <f t="shared" si="17"/>
        <v>420.66998496427937</v>
      </c>
      <c r="AE21" s="29">
        <f t="shared" si="17"/>
        <v>437.03706129944192</v>
      </c>
      <c r="AF21" s="29">
        <f t="shared" si="17"/>
        <v>452.3055946887124</v>
      </c>
      <c r="AG21" s="239">
        <f t="shared" si="17"/>
        <v>465.11999999999989</v>
      </c>
      <c r="AH21" s="29">
        <f t="shared" si="17"/>
        <v>475.97516317644357</v>
      </c>
      <c r="AI21" s="29">
        <f t="shared" si="17"/>
        <v>486.69937173030382</v>
      </c>
      <c r="AJ21" s="29">
        <f t="shared" si="17"/>
        <v>501.48086994449204</v>
      </c>
      <c r="AK21" s="29">
        <f t="shared" si="17"/>
        <v>516.50074660380142</v>
      </c>
      <c r="AL21" s="29">
        <f t="shared" si="17"/>
        <v>539.53305855705764</v>
      </c>
      <c r="AM21" s="29">
        <f t="shared" si="17"/>
        <v>558.54648929123539</v>
      </c>
      <c r="AN21" s="29">
        <f t="shared" si="17"/>
        <v>575.16928780029491</v>
      </c>
      <c r="AO21" s="29">
        <f t="shared" si="17"/>
        <v>587.71871828179155</v>
      </c>
      <c r="AP21" s="29">
        <f t="shared" si="17"/>
        <v>598.79998968979157</v>
      </c>
      <c r="AQ21" s="29">
        <f t="shared" si="17"/>
        <v>610.02312774818881</v>
      </c>
      <c r="AR21" s="29">
        <f t="shared" si="17"/>
        <v>620.4929792151172</v>
      </c>
      <c r="AS21" s="239">
        <f t="shared" si="17"/>
        <v>629.28000000000009</v>
      </c>
      <c r="AT21" s="29">
        <f t="shared" si="17"/>
        <v>620.84400000000028</v>
      </c>
      <c r="AU21" s="29">
        <f t="shared" si="17"/>
        <v>620.84400000000028</v>
      </c>
      <c r="AV21" s="29">
        <f t="shared" si="17"/>
        <v>622.89600000000019</v>
      </c>
      <c r="AW21" s="29">
        <f t="shared" si="17"/>
        <v>626.31600000000026</v>
      </c>
      <c r="AX21" s="29">
        <f t="shared" si="17"/>
        <v>635.2080000000002</v>
      </c>
      <c r="AY21" s="29">
        <f t="shared" si="17"/>
        <v>640.68000000000029</v>
      </c>
      <c r="AZ21" s="29">
        <f t="shared" si="17"/>
        <v>642.04800000000023</v>
      </c>
      <c r="BA21" s="29">
        <f t="shared" si="17"/>
        <v>636.57600000000025</v>
      </c>
      <c r="BB21" s="29">
        <f t="shared" si="17"/>
        <v>632.47200000000021</v>
      </c>
      <c r="BC21" s="29">
        <f t="shared" si="17"/>
        <v>628.36800000000017</v>
      </c>
      <c r="BD21" s="29">
        <f t="shared" si="17"/>
        <v>624.26400000000024</v>
      </c>
      <c r="BE21" s="239">
        <f t="shared" si="17"/>
        <v>620.84400000000016</v>
      </c>
      <c r="BF21" s="29">
        <f t="shared" si="17"/>
        <v>620.84400000000028</v>
      </c>
      <c r="BG21" s="29">
        <f t="shared" si="17"/>
        <v>620.84400000000028</v>
      </c>
      <c r="BH21" s="29">
        <f t="shared" si="17"/>
        <v>622.89600000000019</v>
      </c>
      <c r="BI21" s="29">
        <f t="shared" si="17"/>
        <v>626.31600000000026</v>
      </c>
      <c r="BJ21" s="29">
        <f t="shared" si="17"/>
        <v>635.2080000000002</v>
      </c>
      <c r="BK21" s="29">
        <f t="shared" si="17"/>
        <v>640.68000000000029</v>
      </c>
      <c r="BL21" s="29">
        <f t="shared" si="17"/>
        <v>642.04800000000023</v>
      </c>
      <c r="BM21" s="29">
        <f t="shared" si="17"/>
        <v>636.57600000000025</v>
      </c>
      <c r="BN21" s="29">
        <f t="shared" si="17"/>
        <v>632.47200000000021</v>
      </c>
      <c r="BO21" s="29">
        <f t="shared" si="17"/>
        <v>628.36800000000017</v>
      </c>
      <c r="BP21" s="29">
        <f t="shared" si="17"/>
        <v>624.26400000000024</v>
      </c>
      <c r="BQ21" s="29">
        <f t="shared" si="17"/>
        <v>620.84400000000016</v>
      </c>
      <c r="BR21" s="29">
        <f t="shared" si="17"/>
        <v>620.84400000000028</v>
      </c>
      <c r="BS21" s="29">
        <f t="shared" si="17"/>
        <v>620.84400000000028</v>
      </c>
      <c r="BT21" s="29">
        <f t="shared" si="17"/>
        <v>622.89600000000019</v>
      </c>
      <c r="BU21" s="29">
        <f t="shared" si="17"/>
        <v>626.31600000000026</v>
      </c>
      <c r="BW21" s="29">
        <f t="shared" ref="BW21:CA21" si="18">SUMIF($J$6:$BU$6,BW$9,$J21:$BU21)/12</f>
        <v>128.19351898358025</v>
      </c>
      <c r="BX21" s="29">
        <f t="shared" si="18"/>
        <v>361.68282316440326</v>
      </c>
      <c r="BY21" s="29">
        <f t="shared" si="18"/>
        <v>558.35165016987651</v>
      </c>
      <c r="BZ21" s="29">
        <f t="shared" si="18"/>
        <v>629.2800000000002</v>
      </c>
      <c r="CA21" s="29">
        <f t="shared" si="18"/>
        <v>629.2800000000002</v>
      </c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" ht="14.25" customHeight="1" x14ac:dyDescent="0.2">
      <c r="A22" s="11">
        <f t="shared" si="8"/>
        <v>0</v>
      </c>
      <c r="B22" s="56"/>
      <c r="I22" s="241"/>
      <c r="J22" s="29">
        <f t="shared" ref="J22:BU22" si="19">J15-J19</f>
        <v>0</v>
      </c>
      <c r="K22" s="29">
        <f t="shared" si="19"/>
        <v>0</v>
      </c>
      <c r="L22" s="29">
        <f t="shared" si="19"/>
        <v>0</v>
      </c>
      <c r="M22" s="29">
        <f t="shared" si="19"/>
        <v>0</v>
      </c>
      <c r="N22" s="29">
        <f t="shared" si="19"/>
        <v>0</v>
      </c>
      <c r="O22" s="29">
        <f t="shared" si="19"/>
        <v>0</v>
      </c>
      <c r="P22" s="29">
        <f t="shared" si="19"/>
        <v>0</v>
      </c>
      <c r="Q22" s="29">
        <f t="shared" si="19"/>
        <v>0</v>
      </c>
      <c r="R22" s="29">
        <f t="shared" si="19"/>
        <v>0</v>
      </c>
      <c r="S22" s="29">
        <f t="shared" si="19"/>
        <v>0</v>
      </c>
      <c r="T22" s="29">
        <f t="shared" si="19"/>
        <v>0</v>
      </c>
      <c r="U22" s="239">
        <f t="shared" si="19"/>
        <v>0</v>
      </c>
      <c r="V22" s="29">
        <f t="shared" si="19"/>
        <v>0</v>
      </c>
      <c r="W22" s="29">
        <f t="shared" si="19"/>
        <v>0</v>
      </c>
      <c r="X22" s="29">
        <f t="shared" si="19"/>
        <v>0</v>
      </c>
      <c r="Y22" s="29">
        <f t="shared" si="19"/>
        <v>0</v>
      </c>
      <c r="Z22" s="29">
        <f t="shared" si="19"/>
        <v>0</v>
      </c>
      <c r="AA22" s="29">
        <f t="shared" si="19"/>
        <v>0</v>
      </c>
      <c r="AB22" s="29">
        <f t="shared" si="19"/>
        <v>0</v>
      </c>
      <c r="AC22" s="29">
        <f t="shared" si="19"/>
        <v>0</v>
      </c>
      <c r="AD22" s="29">
        <f t="shared" si="19"/>
        <v>0</v>
      </c>
      <c r="AE22" s="29">
        <f t="shared" si="19"/>
        <v>0</v>
      </c>
      <c r="AF22" s="29">
        <f t="shared" si="19"/>
        <v>0</v>
      </c>
      <c r="AG22" s="239">
        <f t="shared" si="19"/>
        <v>0</v>
      </c>
      <c r="AH22" s="29">
        <f t="shared" si="19"/>
        <v>0</v>
      </c>
      <c r="AI22" s="29">
        <f t="shared" si="19"/>
        <v>0</v>
      </c>
      <c r="AJ22" s="29">
        <f t="shared" si="19"/>
        <v>0</v>
      </c>
      <c r="AK22" s="29">
        <f t="shared" si="19"/>
        <v>0</v>
      </c>
      <c r="AL22" s="29">
        <f t="shared" si="19"/>
        <v>0</v>
      </c>
      <c r="AM22" s="29">
        <f t="shared" si="19"/>
        <v>0</v>
      </c>
      <c r="AN22" s="29">
        <f t="shared" si="19"/>
        <v>0</v>
      </c>
      <c r="AO22" s="29">
        <f t="shared" si="19"/>
        <v>0</v>
      </c>
      <c r="AP22" s="29">
        <f t="shared" si="19"/>
        <v>0</v>
      </c>
      <c r="AQ22" s="29">
        <f t="shared" si="19"/>
        <v>0</v>
      </c>
      <c r="AR22" s="29">
        <f t="shared" si="19"/>
        <v>0</v>
      </c>
      <c r="AS22" s="239">
        <f t="shared" si="19"/>
        <v>0</v>
      </c>
      <c r="AT22" s="29">
        <f t="shared" si="19"/>
        <v>0</v>
      </c>
      <c r="AU22" s="29">
        <f t="shared" si="19"/>
        <v>0</v>
      </c>
      <c r="AV22" s="29">
        <f t="shared" si="19"/>
        <v>0</v>
      </c>
      <c r="AW22" s="29">
        <f t="shared" si="19"/>
        <v>0</v>
      </c>
      <c r="AX22" s="29">
        <f t="shared" si="19"/>
        <v>0</v>
      </c>
      <c r="AY22" s="29">
        <f t="shared" si="19"/>
        <v>0</v>
      </c>
      <c r="AZ22" s="29">
        <f t="shared" si="19"/>
        <v>0</v>
      </c>
      <c r="BA22" s="29">
        <f t="shared" si="19"/>
        <v>0</v>
      </c>
      <c r="BB22" s="29">
        <f t="shared" si="19"/>
        <v>0</v>
      </c>
      <c r="BC22" s="29">
        <f t="shared" si="19"/>
        <v>0</v>
      </c>
      <c r="BD22" s="29">
        <f t="shared" si="19"/>
        <v>0</v>
      </c>
      <c r="BE22" s="239">
        <f t="shared" si="19"/>
        <v>0</v>
      </c>
      <c r="BF22" s="29">
        <f t="shared" si="19"/>
        <v>0</v>
      </c>
      <c r="BG22" s="29">
        <f t="shared" si="19"/>
        <v>0</v>
      </c>
      <c r="BH22" s="29">
        <f t="shared" si="19"/>
        <v>0</v>
      </c>
      <c r="BI22" s="29">
        <f t="shared" si="19"/>
        <v>0</v>
      </c>
      <c r="BJ22" s="29">
        <f t="shared" si="19"/>
        <v>0</v>
      </c>
      <c r="BK22" s="29">
        <f t="shared" si="19"/>
        <v>0</v>
      </c>
      <c r="BL22" s="29">
        <f t="shared" si="19"/>
        <v>0</v>
      </c>
      <c r="BM22" s="29">
        <f t="shared" si="19"/>
        <v>0</v>
      </c>
      <c r="BN22" s="29">
        <f t="shared" si="19"/>
        <v>0</v>
      </c>
      <c r="BO22" s="29">
        <f t="shared" si="19"/>
        <v>0</v>
      </c>
      <c r="BP22" s="29">
        <f t="shared" si="19"/>
        <v>0</v>
      </c>
      <c r="BQ22" s="29">
        <f t="shared" si="19"/>
        <v>0</v>
      </c>
      <c r="BR22" s="29">
        <f t="shared" si="19"/>
        <v>0</v>
      </c>
      <c r="BS22" s="29">
        <f t="shared" si="19"/>
        <v>0</v>
      </c>
      <c r="BT22" s="29">
        <f t="shared" si="19"/>
        <v>0</v>
      </c>
      <c r="BU22" s="29">
        <f t="shared" si="19"/>
        <v>0</v>
      </c>
    </row>
    <row r="23" spans="1:89" ht="14.25" customHeight="1" outlineLevel="1" x14ac:dyDescent="0.2">
      <c r="A23" s="11">
        <f t="shared" si="8"/>
        <v>0</v>
      </c>
      <c r="B23" s="56" t="s">
        <v>309</v>
      </c>
      <c r="F23" s="11" t="s">
        <v>310</v>
      </c>
      <c r="I23" s="240">
        <f>(Inputs!C18-Inputs!C24)</f>
        <v>0</v>
      </c>
      <c r="J23" s="29">
        <f t="shared" ref="J23:BU23" si="20">I23+J$20*$F$5</f>
        <v>2308.858690115092</v>
      </c>
      <c r="K23" s="29">
        <f t="shared" si="20"/>
        <v>4589.8637484194051</v>
      </c>
      <c r="L23" s="29">
        <f t="shared" si="20"/>
        <v>7733.841416006162</v>
      </c>
      <c r="M23" s="29">
        <f t="shared" si="20"/>
        <v>10928.52142086853</v>
      </c>
      <c r="N23" s="29">
        <f t="shared" si="20"/>
        <v>15827.420934614885</v>
      </c>
      <c r="O23" s="29">
        <f t="shared" si="20"/>
        <v>19871.517192400453</v>
      </c>
      <c r="P23" s="29">
        <f t="shared" si="20"/>
        <v>23407.133577694443</v>
      </c>
      <c r="Q23" s="29">
        <f t="shared" si="20"/>
        <v>26076.357536121483</v>
      </c>
      <c r="R23" s="29">
        <f t="shared" si="20"/>
        <v>28433.30872810409</v>
      </c>
      <c r="S23" s="29">
        <f t="shared" si="20"/>
        <v>30820.434505515117</v>
      </c>
      <c r="T23" s="29">
        <f t="shared" si="20"/>
        <v>33047.338620239927</v>
      </c>
      <c r="U23" s="239">
        <f t="shared" si="20"/>
        <v>34916.30999999999</v>
      </c>
      <c r="V23" s="29">
        <f t="shared" si="20"/>
        <v>37365.099519819029</v>
      </c>
      <c r="W23" s="29">
        <f t="shared" si="20"/>
        <v>39784.34730892966</v>
      </c>
      <c r="X23" s="29">
        <f t="shared" si="20"/>
        <v>43118.869077582283</v>
      </c>
      <c r="Y23" s="29">
        <f t="shared" si="20"/>
        <v>46507.166052436311</v>
      </c>
      <c r="Z23" s="29">
        <f t="shared" si="20"/>
        <v>51702.968567015778</v>
      </c>
      <c r="AA23" s="29">
        <f t="shared" si="20"/>
        <v>55992.161567697447</v>
      </c>
      <c r="AB23" s="29">
        <f t="shared" si="20"/>
        <v>59742.057733918344</v>
      </c>
      <c r="AC23" s="29">
        <f t="shared" si="20"/>
        <v>62573.05284134097</v>
      </c>
      <c r="AD23" s="29">
        <f t="shared" si="20"/>
        <v>65072.8495601104</v>
      </c>
      <c r="AE23" s="29">
        <f t="shared" si="20"/>
        <v>67604.649627061488</v>
      </c>
      <c r="AF23" s="29">
        <f t="shared" si="20"/>
        <v>69966.517627527195</v>
      </c>
      <c r="AG23" s="239">
        <f t="shared" si="20"/>
        <v>71948.759999999995</v>
      </c>
      <c r="AH23" s="29">
        <f t="shared" si="20"/>
        <v>73627.929956447333</v>
      </c>
      <c r="AI23" s="29">
        <f t="shared" si="20"/>
        <v>75286.842726123199</v>
      </c>
      <c r="AJ23" s="29">
        <f t="shared" si="20"/>
        <v>77573.371938913566</v>
      </c>
      <c r="AK23" s="29">
        <f t="shared" si="20"/>
        <v>79896.775578813482</v>
      </c>
      <c r="AL23" s="29">
        <f t="shared" si="20"/>
        <v>83459.611588810818</v>
      </c>
      <c r="AM23" s="29">
        <f t="shared" si="20"/>
        <v>86400.77250356396</v>
      </c>
      <c r="AN23" s="29">
        <f t="shared" si="20"/>
        <v>88972.129874686856</v>
      </c>
      <c r="AO23" s="29">
        <f t="shared" si="20"/>
        <v>90913.383662633802</v>
      </c>
      <c r="AP23" s="29">
        <f t="shared" si="20"/>
        <v>92627.529984075692</v>
      </c>
      <c r="AQ23" s="29">
        <f t="shared" si="20"/>
        <v>94363.621458556445</v>
      </c>
      <c r="AR23" s="29">
        <f t="shared" si="20"/>
        <v>95983.188087447226</v>
      </c>
      <c r="AS23" s="239">
        <f t="shared" si="20"/>
        <v>97342.44</v>
      </c>
      <c r="AT23" s="29">
        <f t="shared" si="20"/>
        <v>96037.487000000037</v>
      </c>
      <c r="AU23" s="29">
        <f t="shared" si="20"/>
        <v>96037.487000000037</v>
      </c>
      <c r="AV23" s="29">
        <f t="shared" si="20"/>
        <v>96354.908000000025</v>
      </c>
      <c r="AW23" s="29">
        <f t="shared" si="20"/>
        <v>96883.943000000028</v>
      </c>
      <c r="AX23" s="29">
        <f t="shared" si="20"/>
        <v>98259.434000000023</v>
      </c>
      <c r="AY23" s="29">
        <f t="shared" si="20"/>
        <v>99105.890000000029</v>
      </c>
      <c r="AZ23" s="29">
        <f t="shared" si="20"/>
        <v>99317.504000000015</v>
      </c>
      <c r="BA23" s="29">
        <f t="shared" si="20"/>
        <v>98471.048000000024</v>
      </c>
      <c r="BB23" s="29">
        <f t="shared" si="20"/>
        <v>97836.20600000002</v>
      </c>
      <c r="BC23" s="29">
        <f t="shared" si="20"/>
        <v>97201.364000000016</v>
      </c>
      <c r="BD23" s="29">
        <f t="shared" si="20"/>
        <v>96566.522000000026</v>
      </c>
      <c r="BE23" s="239">
        <f t="shared" si="20"/>
        <v>96037.487000000023</v>
      </c>
      <c r="BF23" s="29">
        <f t="shared" si="20"/>
        <v>96037.487000000037</v>
      </c>
      <c r="BG23" s="29">
        <f t="shared" si="20"/>
        <v>96037.487000000037</v>
      </c>
      <c r="BH23" s="29">
        <f t="shared" si="20"/>
        <v>96354.908000000025</v>
      </c>
      <c r="BI23" s="29">
        <f t="shared" si="20"/>
        <v>96883.943000000028</v>
      </c>
      <c r="BJ23" s="29">
        <f t="shared" si="20"/>
        <v>98259.434000000023</v>
      </c>
      <c r="BK23" s="29">
        <f t="shared" si="20"/>
        <v>99105.890000000029</v>
      </c>
      <c r="BL23" s="29">
        <f t="shared" si="20"/>
        <v>99317.504000000015</v>
      </c>
      <c r="BM23" s="29">
        <f t="shared" si="20"/>
        <v>98471.048000000024</v>
      </c>
      <c r="BN23" s="29">
        <f t="shared" si="20"/>
        <v>97836.20600000002</v>
      </c>
      <c r="BO23" s="29">
        <f t="shared" si="20"/>
        <v>97201.364000000016</v>
      </c>
      <c r="BP23" s="29">
        <f t="shared" si="20"/>
        <v>96566.522000000026</v>
      </c>
      <c r="BQ23" s="29">
        <f t="shared" si="20"/>
        <v>96037.487000000023</v>
      </c>
      <c r="BR23" s="29">
        <f t="shared" si="20"/>
        <v>96037.487000000037</v>
      </c>
      <c r="BS23" s="29">
        <f t="shared" si="20"/>
        <v>96037.487000000037</v>
      </c>
      <c r="BT23" s="29">
        <f t="shared" si="20"/>
        <v>96354.908000000025</v>
      </c>
      <c r="BU23" s="29">
        <f t="shared" si="20"/>
        <v>96883.943000000028</v>
      </c>
      <c r="BW23" s="29">
        <f t="shared" ref="BW23:CA23" si="21">SUMIF($J$6:$BU$6,BW$9,$J23:$BU23)/12</f>
        <v>19830.07553084163</v>
      </c>
      <c r="BX23" s="29">
        <f t="shared" si="21"/>
        <v>55948.208290286588</v>
      </c>
      <c r="BY23" s="29">
        <f t="shared" si="21"/>
        <v>86370.633113339369</v>
      </c>
      <c r="BZ23" s="29">
        <f t="shared" si="21"/>
        <v>97342.440000000017</v>
      </c>
      <c r="CA23" s="29">
        <f t="shared" si="21"/>
        <v>97342.440000000017</v>
      </c>
      <c r="CB23" s="29">
        <f t="shared" ref="CB23:CK23" si="22">CA23</f>
        <v>97342.440000000017</v>
      </c>
      <c r="CC23" s="29">
        <f t="shared" si="22"/>
        <v>97342.440000000017</v>
      </c>
      <c r="CD23" s="29">
        <f t="shared" si="22"/>
        <v>97342.440000000017</v>
      </c>
      <c r="CE23" s="29">
        <f t="shared" si="22"/>
        <v>97342.440000000017</v>
      </c>
      <c r="CF23" s="29">
        <f t="shared" si="22"/>
        <v>97342.440000000017</v>
      </c>
      <c r="CG23" s="29">
        <f t="shared" si="22"/>
        <v>97342.440000000017</v>
      </c>
      <c r="CH23" s="29">
        <f t="shared" si="22"/>
        <v>97342.440000000017</v>
      </c>
      <c r="CI23" s="29">
        <f t="shared" si="22"/>
        <v>97342.440000000017</v>
      </c>
      <c r="CJ23" s="29">
        <f t="shared" si="22"/>
        <v>97342.440000000017</v>
      </c>
      <c r="CK23" s="29">
        <f t="shared" si="22"/>
        <v>97342.440000000017</v>
      </c>
    </row>
    <row r="24" spans="1:89" ht="14.25" customHeight="1" outlineLevel="1" x14ac:dyDescent="0.2">
      <c r="A24" s="11">
        <f t="shared" si="8"/>
        <v>0</v>
      </c>
      <c r="B24" s="56" t="s">
        <v>311</v>
      </c>
      <c r="F24" s="11" t="s">
        <v>312</v>
      </c>
      <c r="I24" s="230">
        <f>(Inputs!C18-Inputs!C24)/(Inputs!C13-Inputs!C23)</f>
        <v>0</v>
      </c>
      <c r="J24" s="25">
        <f t="shared" ref="J24:BU24" si="23">J23/$F$3</f>
        <v>2.1821417204108347E-2</v>
      </c>
      <c r="K24" s="25">
        <f t="shared" si="23"/>
        <v>4.3379584984163666E-2</v>
      </c>
      <c r="L24" s="25">
        <f t="shared" si="23"/>
        <v>7.3093854055082952E-2</v>
      </c>
      <c r="M24" s="25">
        <f t="shared" si="23"/>
        <v>0.10328731956173533</v>
      </c>
      <c r="N24" s="25">
        <f t="shared" si="23"/>
        <v>0.14958765426309115</v>
      </c>
      <c r="O24" s="25">
        <f t="shared" si="23"/>
        <v>0.18780909762492512</v>
      </c>
      <c r="P24" s="25">
        <f t="shared" si="23"/>
        <v>0.2212248110020551</v>
      </c>
      <c r="Q24" s="25">
        <f t="shared" si="23"/>
        <v>0.24645210180915708</v>
      </c>
      <c r="R24" s="25">
        <f t="shared" si="23"/>
        <v>0.26872804944950796</v>
      </c>
      <c r="S24" s="25">
        <f t="shared" si="23"/>
        <v>0.29128918224233857</v>
      </c>
      <c r="T24" s="25">
        <f t="shared" si="23"/>
        <v>0.31233603277892696</v>
      </c>
      <c r="U24" s="234">
        <f t="shared" si="23"/>
        <v>0.3299999999999999</v>
      </c>
      <c r="V24" s="25">
        <f t="shared" si="23"/>
        <v>0.35314392733769057</v>
      </c>
      <c r="W24" s="25">
        <f t="shared" si="23"/>
        <v>0.37600865074077955</v>
      </c>
      <c r="X24" s="25">
        <f t="shared" si="23"/>
        <v>0.40752378460387578</v>
      </c>
      <c r="Y24" s="25">
        <f t="shared" si="23"/>
        <v>0.43954715711093134</v>
      </c>
      <c r="Z24" s="25">
        <f t="shared" si="23"/>
        <v>0.48865357270327842</v>
      </c>
      <c r="AA24" s="25">
        <f t="shared" si="23"/>
        <v>0.52919146717795085</v>
      </c>
      <c r="AB24" s="25">
        <f t="shared" si="23"/>
        <v>0.56463237530520993</v>
      </c>
      <c r="AC24" s="25">
        <f t="shared" si="23"/>
        <v>0.59138859282789391</v>
      </c>
      <c r="AD24" s="25">
        <f t="shared" si="23"/>
        <v>0.61501459790099333</v>
      </c>
      <c r="AE24" s="25">
        <f t="shared" si="23"/>
        <v>0.63894307207520762</v>
      </c>
      <c r="AF24" s="25">
        <f t="shared" si="23"/>
        <v>0.66126548931098317</v>
      </c>
      <c r="AG24" s="234">
        <f t="shared" si="23"/>
        <v>0.67999999999999994</v>
      </c>
      <c r="AH24" s="25">
        <f t="shared" si="23"/>
        <v>0.69587012160298778</v>
      </c>
      <c r="AI24" s="25">
        <f t="shared" si="23"/>
        <v>0.71154878907939167</v>
      </c>
      <c r="AJ24" s="25">
        <f t="shared" si="23"/>
        <v>0.73315916658551483</v>
      </c>
      <c r="AK24" s="25">
        <f t="shared" si="23"/>
        <v>0.75511805059035297</v>
      </c>
      <c r="AL24" s="25">
        <f t="shared" si="23"/>
        <v>0.78879102128224798</v>
      </c>
      <c r="AM24" s="25">
        <f t="shared" si="23"/>
        <v>0.81658843463630915</v>
      </c>
      <c r="AN24" s="25">
        <f t="shared" si="23"/>
        <v>0.84089077163785819</v>
      </c>
      <c r="AO24" s="25">
        <f t="shared" si="23"/>
        <v>0.85923789222484148</v>
      </c>
      <c r="AP24" s="25">
        <f t="shared" si="23"/>
        <v>0.87543858141782394</v>
      </c>
      <c r="AQ24" s="25">
        <f t="shared" si="23"/>
        <v>0.89184667799442796</v>
      </c>
      <c r="AR24" s="25">
        <f t="shared" si="23"/>
        <v>0.90715347838467419</v>
      </c>
      <c r="AS24" s="234">
        <f t="shared" si="23"/>
        <v>0.92</v>
      </c>
      <c r="AT24" s="25">
        <f t="shared" si="23"/>
        <v>0.90766666666666707</v>
      </c>
      <c r="AU24" s="25">
        <f t="shared" si="23"/>
        <v>0.90766666666666707</v>
      </c>
      <c r="AV24" s="25">
        <f t="shared" si="23"/>
        <v>0.91066666666666696</v>
      </c>
      <c r="AW24" s="25">
        <f t="shared" si="23"/>
        <v>0.91566666666666696</v>
      </c>
      <c r="AX24" s="25">
        <f t="shared" si="23"/>
        <v>0.92866666666666686</v>
      </c>
      <c r="AY24" s="25">
        <f t="shared" si="23"/>
        <v>0.93666666666666698</v>
      </c>
      <c r="AZ24" s="25">
        <f t="shared" si="23"/>
        <v>0.93866666666666676</v>
      </c>
      <c r="BA24" s="25">
        <f t="shared" si="23"/>
        <v>0.93066666666666686</v>
      </c>
      <c r="BB24" s="25">
        <f t="shared" si="23"/>
        <v>0.92466666666666686</v>
      </c>
      <c r="BC24" s="25">
        <f t="shared" si="23"/>
        <v>0.91866666666666685</v>
      </c>
      <c r="BD24" s="25">
        <f t="shared" si="23"/>
        <v>0.91266666666666696</v>
      </c>
      <c r="BE24" s="234">
        <f t="shared" si="23"/>
        <v>0.90766666666666684</v>
      </c>
      <c r="BF24" s="25">
        <f t="shared" si="23"/>
        <v>0.90766666666666707</v>
      </c>
      <c r="BG24" s="25">
        <f t="shared" si="23"/>
        <v>0.90766666666666707</v>
      </c>
      <c r="BH24" s="25">
        <f t="shared" si="23"/>
        <v>0.91066666666666696</v>
      </c>
      <c r="BI24" s="25">
        <f t="shared" si="23"/>
        <v>0.91566666666666696</v>
      </c>
      <c r="BJ24" s="25">
        <f t="shared" si="23"/>
        <v>0.92866666666666686</v>
      </c>
      <c r="BK24" s="25">
        <f t="shared" si="23"/>
        <v>0.93666666666666698</v>
      </c>
      <c r="BL24" s="25">
        <f t="shared" si="23"/>
        <v>0.93866666666666676</v>
      </c>
      <c r="BM24" s="25">
        <f t="shared" si="23"/>
        <v>0.93066666666666686</v>
      </c>
      <c r="BN24" s="25">
        <f t="shared" si="23"/>
        <v>0.92466666666666686</v>
      </c>
      <c r="BO24" s="25">
        <f t="shared" si="23"/>
        <v>0.91866666666666685</v>
      </c>
      <c r="BP24" s="25">
        <f t="shared" si="23"/>
        <v>0.91266666666666696</v>
      </c>
      <c r="BQ24" s="25">
        <f t="shared" si="23"/>
        <v>0.90766666666666684</v>
      </c>
      <c r="BR24" s="25">
        <f t="shared" si="23"/>
        <v>0.90766666666666707</v>
      </c>
      <c r="BS24" s="25">
        <f t="shared" si="23"/>
        <v>0.90766666666666707</v>
      </c>
      <c r="BT24" s="25">
        <f t="shared" si="23"/>
        <v>0.91066666666666696</v>
      </c>
      <c r="BU24" s="25">
        <f t="shared" si="23"/>
        <v>0.91566666666666696</v>
      </c>
      <c r="BW24" s="25">
        <f t="shared" ref="BW24:CA24" si="24">AVERAGEIF($J$6:$BU$6,BW$9,$J24:$BU24)</f>
        <v>0.18741742541459103</v>
      </c>
      <c r="BX24" s="25">
        <f t="shared" si="24"/>
        <v>0.52877605725789956</v>
      </c>
      <c r="BY24" s="25">
        <f t="shared" si="24"/>
        <v>0.81630358211970266</v>
      </c>
      <c r="BZ24" s="25">
        <f t="shared" si="24"/>
        <v>0.92000000000000026</v>
      </c>
      <c r="CA24" s="25">
        <f t="shared" si="24"/>
        <v>0.92000000000000026</v>
      </c>
      <c r="CB24" s="25">
        <f t="shared" ref="CB24:CK24" si="25">CA24</f>
        <v>0.92000000000000026</v>
      </c>
      <c r="CC24" s="25">
        <f t="shared" si="25"/>
        <v>0.92000000000000026</v>
      </c>
      <c r="CD24" s="25">
        <f t="shared" si="25"/>
        <v>0.92000000000000026</v>
      </c>
      <c r="CE24" s="25">
        <f t="shared" si="25"/>
        <v>0.92000000000000026</v>
      </c>
      <c r="CF24" s="25">
        <f t="shared" si="25"/>
        <v>0.92000000000000026</v>
      </c>
      <c r="CG24" s="25">
        <f t="shared" si="25"/>
        <v>0.92000000000000026</v>
      </c>
      <c r="CH24" s="25">
        <f t="shared" si="25"/>
        <v>0.92000000000000026</v>
      </c>
      <c r="CI24" s="25">
        <f t="shared" si="25"/>
        <v>0.92000000000000026</v>
      </c>
      <c r="CJ24" s="25">
        <f t="shared" si="25"/>
        <v>0.92000000000000026</v>
      </c>
      <c r="CK24" s="25">
        <f t="shared" si="25"/>
        <v>0.92000000000000026</v>
      </c>
    </row>
    <row r="25" spans="1:89" ht="14.25" customHeight="1" x14ac:dyDescent="0.2">
      <c r="A25" s="11">
        <f t="shared" si="8"/>
        <v>0</v>
      </c>
      <c r="B25" s="56" t="str">
        <f>'7 Year Projection-Expanded'!A18</f>
        <v>SFRent</v>
      </c>
      <c r="F25" s="11" t="s">
        <v>313</v>
      </c>
      <c r="I25" s="240">
        <f>I23+Inputs!C24-Inputs!C26</f>
        <v>0</v>
      </c>
      <c r="J25" s="29">
        <f t="shared" ref="J25:BU25" si="26">J23+J46</f>
        <v>2308.858690115092</v>
      </c>
      <c r="K25" s="29">
        <f t="shared" si="26"/>
        <v>4589.8637484194051</v>
      </c>
      <c r="L25" s="29">
        <f t="shared" si="26"/>
        <v>7733.841416006162</v>
      </c>
      <c r="M25" s="29">
        <f t="shared" si="26"/>
        <v>10928.52142086853</v>
      </c>
      <c r="N25" s="29">
        <f t="shared" si="26"/>
        <v>15827.420934614885</v>
      </c>
      <c r="O25" s="29">
        <f t="shared" si="26"/>
        <v>19871.517192400453</v>
      </c>
      <c r="P25" s="29">
        <f t="shared" si="26"/>
        <v>23407.133577694443</v>
      </c>
      <c r="Q25" s="29">
        <f t="shared" si="26"/>
        <v>26076.357536121483</v>
      </c>
      <c r="R25" s="29">
        <f t="shared" si="26"/>
        <v>28433.30872810409</v>
      </c>
      <c r="S25" s="29">
        <f t="shared" si="26"/>
        <v>30820.434505515117</v>
      </c>
      <c r="T25" s="29">
        <f t="shared" si="26"/>
        <v>33047.338620239927</v>
      </c>
      <c r="U25" s="29">
        <f t="shared" si="26"/>
        <v>34916.30999999999</v>
      </c>
      <c r="V25" s="29">
        <f t="shared" si="26"/>
        <v>37365.099519819029</v>
      </c>
      <c r="W25" s="29">
        <f t="shared" si="26"/>
        <v>39784.34730892966</v>
      </c>
      <c r="X25" s="29">
        <f t="shared" si="26"/>
        <v>43118.869077582283</v>
      </c>
      <c r="Y25" s="29">
        <f t="shared" si="26"/>
        <v>46507.166052436311</v>
      </c>
      <c r="Z25" s="29">
        <f t="shared" si="26"/>
        <v>51702.968567015778</v>
      </c>
      <c r="AA25" s="29">
        <f t="shared" si="26"/>
        <v>55992.161567697447</v>
      </c>
      <c r="AB25" s="29">
        <f t="shared" si="26"/>
        <v>59742.057733918344</v>
      </c>
      <c r="AC25" s="29">
        <f t="shared" si="26"/>
        <v>62573.05284134097</v>
      </c>
      <c r="AD25" s="29">
        <f t="shared" si="26"/>
        <v>65072.8495601104</v>
      </c>
      <c r="AE25" s="29">
        <f t="shared" si="26"/>
        <v>67604.649627061488</v>
      </c>
      <c r="AF25" s="29">
        <f t="shared" si="26"/>
        <v>69966.517627527195</v>
      </c>
      <c r="AG25" s="29">
        <f t="shared" si="26"/>
        <v>71948.759999999995</v>
      </c>
      <c r="AH25" s="29">
        <f t="shared" si="26"/>
        <v>73627.929956447333</v>
      </c>
      <c r="AI25" s="29">
        <f t="shared" si="26"/>
        <v>75286.842726123199</v>
      </c>
      <c r="AJ25" s="29">
        <f t="shared" si="26"/>
        <v>77573.371938913566</v>
      </c>
      <c r="AK25" s="29">
        <f t="shared" si="26"/>
        <v>79896.775578813482</v>
      </c>
      <c r="AL25" s="29">
        <f t="shared" si="26"/>
        <v>83459.611588810818</v>
      </c>
      <c r="AM25" s="29">
        <f t="shared" si="26"/>
        <v>86400.77250356396</v>
      </c>
      <c r="AN25" s="29">
        <f t="shared" si="26"/>
        <v>88972.129874686856</v>
      </c>
      <c r="AO25" s="29">
        <f t="shared" si="26"/>
        <v>90913.383662633802</v>
      </c>
      <c r="AP25" s="29">
        <f t="shared" si="26"/>
        <v>92627.529984075692</v>
      </c>
      <c r="AQ25" s="29">
        <f t="shared" si="26"/>
        <v>94363.621458556445</v>
      </c>
      <c r="AR25" s="29">
        <f t="shared" si="26"/>
        <v>95983.188087447226</v>
      </c>
      <c r="AS25" s="29">
        <f t="shared" si="26"/>
        <v>97342.44</v>
      </c>
      <c r="AT25" s="29">
        <f t="shared" si="26"/>
        <v>96037.487000000037</v>
      </c>
      <c r="AU25" s="29">
        <f t="shared" si="26"/>
        <v>96037.487000000037</v>
      </c>
      <c r="AV25" s="29">
        <f t="shared" si="26"/>
        <v>96354.908000000025</v>
      </c>
      <c r="AW25" s="29">
        <f t="shared" si="26"/>
        <v>96883.943000000028</v>
      </c>
      <c r="AX25" s="29">
        <f t="shared" si="26"/>
        <v>98259.434000000023</v>
      </c>
      <c r="AY25" s="29">
        <f t="shared" si="26"/>
        <v>99105.890000000029</v>
      </c>
      <c r="AZ25" s="29">
        <f t="shared" si="26"/>
        <v>99317.504000000015</v>
      </c>
      <c r="BA25" s="29">
        <f t="shared" si="26"/>
        <v>98471.048000000024</v>
      </c>
      <c r="BB25" s="29">
        <f t="shared" si="26"/>
        <v>97836.20600000002</v>
      </c>
      <c r="BC25" s="29">
        <f t="shared" si="26"/>
        <v>97201.364000000016</v>
      </c>
      <c r="BD25" s="29">
        <f t="shared" si="26"/>
        <v>96566.522000000026</v>
      </c>
      <c r="BE25" s="29">
        <f t="shared" si="26"/>
        <v>96037.487000000023</v>
      </c>
      <c r="BF25" s="29">
        <f t="shared" si="26"/>
        <v>96037.487000000037</v>
      </c>
      <c r="BG25" s="29">
        <f t="shared" si="26"/>
        <v>96037.487000000037</v>
      </c>
      <c r="BH25" s="29">
        <f t="shared" si="26"/>
        <v>96354.908000000025</v>
      </c>
      <c r="BI25" s="29">
        <f t="shared" si="26"/>
        <v>96883.943000000028</v>
      </c>
      <c r="BJ25" s="29">
        <f t="shared" si="26"/>
        <v>98259.434000000023</v>
      </c>
      <c r="BK25" s="29">
        <f t="shared" si="26"/>
        <v>99105.890000000029</v>
      </c>
      <c r="BL25" s="29">
        <f t="shared" si="26"/>
        <v>99317.504000000015</v>
      </c>
      <c r="BM25" s="29">
        <f t="shared" si="26"/>
        <v>98471.048000000024</v>
      </c>
      <c r="BN25" s="29">
        <f t="shared" si="26"/>
        <v>97836.20600000002</v>
      </c>
      <c r="BO25" s="29">
        <f t="shared" si="26"/>
        <v>97201.364000000016</v>
      </c>
      <c r="BP25" s="29">
        <f t="shared" si="26"/>
        <v>96566.522000000026</v>
      </c>
      <c r="BQ25" s="29">
        <f t="shared" si="26"/>
        <v>96037.487000000023</v>
      </c>
      <c r="BR25" s="29">
        <f t="shared" si="26"/>
        <v>96037.487000000037</v>
      </c>
      <c r="BS25" s="29">
        <f t="shared" si="26"/>
        <v>96037.487000000037</v>
      </c>
      <c r="BT25" s="29">
        <f t="shared" si="26"/>
        <v>96354.908000000025</v>
      </c>
      <c r="BU25" s="29">
        <f t="shared" si="26"/>
        <v>96883.943000000028</v>
      </c>
      <c r="BW25" s="29">
        <f t="shared" ref="BW25:CA25" si="27">AVERAGEIF($J$6:$BU$6,BW$9,$J25:$BU25)</f>
        <v>19830.07553084163</v>
      </c>
      <c r="BX25" s="29">
        <f t="shared" si="27"/>
        <v>55948.208290286588</v>
      </c>
      <c r="BY25" s="29">
        <f t="shared" si="27"/>
        <v>86370.633113339369</v>
      </c>
      <c r="BZ25" s="29">
        <f t="shared" si="27"/>
        <v>97342.440000000017</v>
      </c>
      <c r="CA25" s="29">
        <f t="shared" si="27"/>
        <v>97342.440000000017</v>
      </c>
      <c r="CB25" s="29">
        <f t="shared" ref="CB25:CK25" si="28">CA25</f>
        <v>97342.440000000017</v>
      </c>
      <c r="CC25" s="29">
        <f t="shared" si="28"/>
        <v>97342.440000000017</v>
      </c>
      <c r="CD25" s="29">
        <f t="shared" si="28"/>
        <v>97342.440000000017</v>
      </c>
      <c r="CE25" s="29">
        <f t="shared" si="28"/>
        <v>97342.440000000017</v>
      </c>
      <c r="CF25" s="29">
        <f t="shared" si="28"/>
        <v>97342.440000000017</v>
      </c>
      <c r="CG25" s="29">
        <f t="shared" si="28"/>
        <v>97342.440000000017</v>
      </c>
      <c r="CH25" s="29">
        <f t="shared" si="28"/>
        <v>97342.440000000017</v>
      </c>
      <c r="CI25" s="29">
        <f t="shared" si="28"/>
        <v>97342.440000000017</v>
      </c>
      <c r="CJ25" s="29">
        <f t="shared" si="28"/>
        <v>97342.440000000017</v>
      </c>
      <c r="CK25" s="29">
        <f t="shared" si="28"/>
        <v>97342.440000000017</v>
      </c>
    </row>
    <row r="26" spans="1:89" ht="14.25" customHeight="1" x14ac:dyDescent="0.2">
      <c r="A26" s="3">
        <f t="shared" si="8"/>
        <v>0</v>
      </c>
      <c r="B26" s="242" t="str">
        <f>'7 Year Projection-Expanded'!A19</f>
        <v>SFOcc%</v>
      </c>
      <c r="C26" s="3"/>
      <c r="D26" s="3"/>
      <c r="E26" s="3"/>
      <c r="F26" s="243" t="s">
        <v>314</v>
      </c>
      <c r="G26" s="244"/>
      <c r="H26" s="244"/>
      <c r="I26" s="245">
        <f t="shared" ref="I26:BU26" si="29">I25/$H$3</f>
        <v>0</v>
      </c>
      <c r="J26" s="246">
        <f t="shared" si="29"/>
        <v>2.1821417204108347E-2</v>
      </c>
      <c r="K26" s="246">
        <f t="shared" si="29"/>
        <v>4.3379584984163666E-2</v>
      </c>
      <c r="L26" s="246">
        <f t="shared" si="29"/>
        <v>7.3093854055082952E-2</v>
      </c>
      <c r="M26" s="246">
        <f t="shared" si="29"/>
        <v>0.10328731956173533</v>
      </c>
      <c r="N26" s="246">
        <f t="shared" si="29"/>
        <v>0.14958765426309115</v>
      </c>
      <c r="O26" s="246">
        <f t="shared" si="29"/>
        <v>0.18780909762492512</v>
      </c>
      <c r="P26" s="246">
        <f t="shared" si="29"/>
        <v>0.2212248110020551</v>
      </c>
      <c r="Q26" s="246">
        <f t="shared" si="29"/>
        <v>0.24645210180915708</v>
      </c>
      <c r="R26" s="246">
        <f t="shared" si="29"/>
        <v>0.26872804944950796</v>
      </c>
      <c r="S26" s="246">
        <f t="shared" si="29"/>
        <v>0.29128918224233857</v>
      </c>
      <c r="T26" s="246">
        <f t="shared" si="29"/>
        <v>0.31233603277892696</v>
      </c>
      <c r="U26" s="247">
        <f t="shared" si="29"/>
        <v>0.3299999999999999</v>
      </c>
      <c r="V26" s="246">
        <f t="shared" si="29"/>
        <v>0.35314392733769057</v>
      </c>
      <c r="W26" s="246">
        <f t="shared" si="29"/>
        <v>0.37600865074077955</v>
      </c>
      <c r="X26" s="246">
        <f t="shared" si="29"/>
        <v>0.40752378460387578</v>
      </c>
      <c r="Y26" s="246">
        <f t="shared" si="29"/>
        <v>0.43954715711093134</v>
      </c>
      <c r="Z26" s="246">
        <f t="shared" si="29"/>
        <v>0.48865357270327842</v>
      </c>
      <c r="AA26" s="246">
        <f t="shared" si="29"/>
        <v>0.52919146717795085</v>
      </c>
      <c r="AB26" s="246">
        <f t="shared" si="29"/>
        <v>0.56463237530520993</v>
      </c>
      <c r="AC26" s="246">
        <f t="shared" si="29"/>
        <v>0.59138859282789391</v>
      </c>
      <c r="AD26" s="246">
        <f t="shared" si="29"/>
        <v>0.61501459790099333</v>
      </c>
      <c r="AE26" s="246">
        <f t="shared" si="29"/>
        <v>0.63894307207520762</v>
      </c>
      <c r="AF26" s="246">
        <f t="shared" si="29"/>
        <v>0.66126548931098317</v>
      </c>
      <c r="AG26" s="247">
        <f t="shared" si="29"/>
        <v>0.67999999999999994</v>
      </c>
      <c r="AH26" s="246">
        <f t="shared" si="29"/>
        <v>0.69587012160298778</v>
      </c>
      <c r="AI26" s="246">
        <f t="shared" si="29"/>
        <v>0.71154878907939167</v>
      </c>
      <c r="AJ26" s="246">
        <f t="shared" si="29"/>
        <v>0.73315916658551483</v>
      </c>
      <c r="AK26" s="246">
        <f t="shared" si="29"/>
        <v>0.75511805059035297</v>
      </c>
      <c r="AL26" s="246">
        <f t="shared" si="29"/>
        <v>0.78879102128224798</v>
      </c>
      <c r="AM26" s="246">
        <f t="shared" si="29"/>
        <v>0.81658843463630915</v>
      </c>
      <c r="AN26" s="246">
        <f t="shared" si="29"/>
        <v>0.84089077163785819</v>
      </c>
      <c r="AO26" s="246">
        <f t="shared" si="29"/>
        <v>0.85923789222484148</v>
      </c>
      <c r="AP26" s="246">
        <f t="shared" si="29"/>
        <v>0.87543858141782394</v>
      </c>
      <c r="AQ26" s="246">
        <f t="shared" si="29"/>
        <v>0.89184667799442796</v>
      </c>
      <c r="AR26" s="246">
        <f t="shared" si="29"/>
        <v>0.90715347838467419</v>
      </c>
      <c r="AS26" s="247">
        <f t="shared" si="29"/>
        <v>0.92</v>
      </c>
      <c r="AT26" s="246">
        <f t="shared" si="29"/>
        <v>0.90766666666666707</v>
      </c>
      <c r="AU26" s="246">
        <f t="shared" si="29"/>
        <v>0.90766666666666707</v>
      </c>
      <c r="AV26" s="246">
        <f t="shared" si="29"/>
        <v>0.91066666666666696</v>
      </c>
      <c r="AW26" s="246">
        <f t="shared" si="29"/>
        <v>0.91566666666666696</v>
      </c>
      <c r="AX26" s="246">
        <f t="shared" si="29"/>
        <v>0.92866666666666686</v>
      </c>
      <c r="AY26" s="246">
        <f t="shared" si="29"/>
        <v>0.93666666666666698</v>
      </c>
      <c r="AZ26" s="246">
        <f t="shared" si="29"/>
        <v>0.93866666666666676</v>
      </c>
      <c r="BA26" s="246">
        <f t="shared" si="29"/>
        <v>0.93066666666666686</v>
      </c>
      <c r="BB26" s="246">
        <f t="shared" si="29"/>
        <v>0.92466666666666686</v>
      </c>
      <c r="BC26" s="246">
        <f t="shared" si="29"/>
        <v>0.91866666666666685</v>
      </c>
      <c r="BD26" s="246">
        <f t="shared" si="29"/>
        <v>0.91266666666666696</v>
      </c>
      <c r="BE26" s="247">
        <f t="shared" si="29"/>
        <v>0.90766666666666684</v>
      </c>
      <c r="BF26" s="246">
        <f t="shared" si="29"/>
        <v>0.90766666666666707</v>
      </c>
      <c r="BG26" s="246">
        <f t="shared" si="29"/>
        <v>0.90766666666666707</v>
      </c>
      <c r="BH26" s="246">
        <f t="shared" si="29"/>
        <v>0.91066666666666696</v>
      </c>
      <c r="BI26" s="246">
        <f t="shared" si="29"/>
        <v>0.91566666666666696</v>
      </c>
      <c r="BJ26" s="246">
        <f t="shared" si="29"/>
        <v>0.92866666666666686</v>
      </c>
      <c r="BK26" s="246">
        <f t="shared" si="29"/>
        <v>0.93666666666666698</v>
      </c>
      <c r="BL26" s="246">
        <f t="shared" si="29"/>
        <v>0.93866666666666676</v>
      </c>
      <c r="BM26" s="246">
        <f t="shared" si="29"/>
        <v>0.93066666666666686</v>
      </c>
      <c r="BN26" s="246">
        <f t="shared" si="29"/>
        <v>0.92466666666666686</v>
      </c>
      <c r="BO26" s="246">
        <f t="shared" si="29"/>
        <v>0.91866666666666685</v>
      </c>
      <c r="BP26" s="246">
        <f t="shared" si="29"/>
        <v>0.91266666666666696</v>
      </c>
      <c r="BQ26" s="246">
        <f t="shared" si="29"/>
        <v>0.90766666666666684</v>
      </c>
      <c r="BR26" s="246">
        <f t="shared" si="29"/>
        <v>0.90766666666666707</v>
      </c>
      <c r="BS26" s="246">
        <f t="shared" si="29"/>
        <v>0.90766666666666707</v>
      </c>
      <c r="BT26" s="246">
        <f t="shared" si="29"/>
        <v>0.91066666666666696</v>
      </c>
      <c r="BU26" s="246">
        <f t="shared" si="29"/>
        <v>0.91566666666666696</v>
      </c>
      <c r="BV26" s="3"/>
      <c r="BW26" s="248">
        <f t="shared" ref="BW26:CA26" si="30">AVERAGEIF($J$6:$BU$6,BW$9,$J26:$BU26)</f>
        <v>0.18741742541459103</v>
      </c>
      <c r="BX26" s="246">
        <f t="shared" si="30"/>
        <v>0.52877605725789956</v>
      </c>
      <c r="BY26" s="246">
        <f t="shared" si="30"/>
        <v>0.81630358211970266</v>
      </c>
      <c r="BZ26" s="246">
        <f t="shared" si="30"/>
        <v>0.92000000000000026</v>
      </c>
      <c r="CA26" s="246">
        <f t="shared" si="30"/>
        <v>0.92000000000000026</v>
      </c>
      <c r="CB26" s="246">
        <f t="shared" ref="CB26:CK26" si="31">CA26</f>
        <v>0.92000000000000026</v>
      </c>
      <c r="CC26" s="246">
        <f t="shared" si="31"/>
        <v>0.92000000000000026</v>
      </c>
      <c r="CD26" s="246">
        <f t="shared" si="31"/>
        <v>0.92000000000000026</v>
      </c>
      <c r="CE26" s="246">
        <f t="shared" si="31"/>
        <v>0.92000000000000026</v>
      </c>
      <c r="CF26" s="246">
        <f t="shared" si="31"/>
        <v>0.92000000000000026</v>
      </c>
      <c r="CG26" s="246">
        <f t="shared" si="31"/>
        <v>0.92000000000000026</v>
      </c>
      <c r="CH26" s="246">
        <f t="shared" si="31"/>
        <v>0.92000000000000026</v>
      </c>
      <c r="CI26" s="246">
        <f t="shared" si="31"/>
        <v>0.92000000000000026</v>
      </c>
      <c r="CJ26" s="246">
        <f t="shared" si="31"/>
        <v>0.92000000000000026</v>
      </c>
      <c r="CK26" s="246">
        <f t="shared" si="31"/>
        <v>0.92000000000000026</v>
      </c>
    </row>
    <row r="27" spans="1:89" ht="8.25" customHeight="1" x14ac:dyDescent="0.2">
      <c r="A27" s="11">
        <f t="shared" si="8"/>
        <v>0</v>
      </c>
      <c r="B27" s="11"/>
      <c r="D27" s="249"/>
      <c r="E27" s="3"/>
      <c r="F27" s="249"/>
      <c r="I27" s="1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3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3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3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3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</row>
    <row r="28" spans="1:89" ht="14.25" customHeight="1" outlineLevel="1" x14ac:dyDescent="0.2">
      <c r="A28" s="11">
        <f t="shared" si="8"/>
        <v>0</v>
      </c>
      <c r="B28" s="11"/>
      <c r="D28" s="216" t="s">
        <v>315</v>
      </c>
      <c r="E28" s="217"/>
      <c r="F28" s="218"/>
      <c r="G28" s="217"/>
      <c r="H28" s="217"/>
      <c r="I28" s="219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2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2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2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2"/>
      <c r="BF28" s="220"/>
      <c r="BG28" s="220"/>
      <c r="BH28" s="220"/>
      <c r="BI28" s="220"/>
      <c r="BJ28" s="220"/>
      <c r="BK28" s="220"/>
      <c r="BL28" s="220"/>
      <c r="BM28" s="220"/>
      <c r="BN28" s="220"/>
      <c r="BO28" s="220"/>
      <c r="BP28" s="220"/>
      <c r="BQ28" s="220"/>
      <c r="BR28" s="220"/>
      <c r="BS28" s="220"/>
      <c r="BT28" s="220"/>
      <c r="BU28" s="220"/>
      <c r="BW28" s="216" t="s">
        <v>315</v>
      </c>
      <c r="BX28" s="217"/>
      <c r="BY28" s="217"/>
      <c r="BZ28" s="217"/>
      <c r="CA28" s="217"/>
      <c r="CB28" s="217"/>
      <c r="CC28" s="217"/>
      <c r="CD28" s="217"/>
      <c r="CE28" s="217"/>
      <c r="CF28" s="217"/>
      <c r="CG28" s="217"/>
      <c r="CH28" s="217"/>
      <c r="CI28" s="217"/>
      <c r="CJ28" s="217"/>
      <c r="CK28" s="217"/>
    </row>
    <row r="29" spans="1:89" ht="14.25" customHeight="1" outlineLevel="1" x14ac:dyDescent="0.2">
      <c r="A29" s="11">
        <f t="shared" si="8"/>
        <v>0</v>
      </c>
      <c r="B29" s="11"/>
      <c r="E29" s="224"/>
      <c r="F29" s="56" t="s">
        <v>97</v>
      </c>
      <c r="I29" s="1"/>
      <c r="J29" s="250">
        <f>IFERROR(VLOOKUP(J$7,Inputs!$E$19:$J$23,5,FALSE)/12+(VLOOKUP(MONTH(J$9),Modeling!$B$5:$L$16,11,FALSE)),(VLOOKUP(5,Inputs!$E$19:$J$23,5,FALSE)/12+(VLOOKUP(MONTH(J$9),Modeling!$B$5:$L$16,11,FALSE))))</f>
        <v>3.3333333333333335E-3</v>
      </c>
      <c r="K29" s="250">
        <f>IFERROR(VLOOKUP(K$7,Inputs!$E$19:$J$23,5,FALSE)/12+(VLOOKUP(MONTH(K$9),Modeling!$B$5:$L$16,11,FALSE)),(VLOOKUP(5,Inputs!$E$19:$J$23,5,FALSE)/12+(VLOOKUP(MONTH(K$9),Modeling!$B$5:$L$16,11,FALSE))))</f>
        <v>3.3333333333333335E-3</v>
      </c>
      <c r="L29" s="250">
        <f>IFERROR(VLOOKUP(L$7,Inputs!$E$19:$J$23,5,FALSE)/12+(VLOOKUP(MONTH(L$9),Modeling!$B$5:$L$16,11,FALSE)),(VLOOKUP(5,Inputs!$E$19:$J$23,5,FALSE)/12+(VLOOKUP(MONTH(L$9),Modeling!$B$5:$L$16,11,FALSE))))</f>
        <v>1.3333333333333334E-2</v>
      </c>
      <c r="M29" s="250">
        <f>IFERROR(VLOOKUP(M$7,Inputs!$E$19:$J$23,5,FALSE)/12+(VLOOKUP(MONTH(M$9),Modeling!$B$5:$L$16,11,FALSE)),(VLOOKUP(5,Inputs!$E$19:$J$23,5,FALSE)/12+(VLOOKUP(MONTH(M$9),Modeling!$B$5:$L$16,11,FALSE))))</f>
        <v>4.3333333333333335E-2</v>
      </c>
      <c r="N29" s="250">
        <f>IFERROR(VLOOKUP(N$7,Inputs!$E$19:$J$23,5,FALSE)/12+(VLOOKUP(MONTH(N$9),Modeling!$B$5:$L$16,11,FALSE)),(VLOOKUP(5,Inputs!$E$19:$J$23,5,FALSE)/12+(VLOOKUP(MONTH(N$9),Modeling!$B$5:$L$16,11,FALSE))))</f>
        <v>4.3333333333333335E-2</v>
      </c>
      <c r="O29" s="250">
        <f>IFERROR(VLOOKUP(O$7,Inputs!$E$19:$J$23,5,FALSE)/12+(VLOOKUP(MONTH(O$9),Modeling!$B$5:$L$16,11,FALSE)),(VLOOKUP(5,Inputs!$E$19:$J$23,5,FALSE)/12+(VLOOKUP(MONTH(O$9),Modeling!$B$5:$L$16,11,FALSE))))</f>
        <v>2.8333333333333335E-2</v>
      </c>
      <c r="P29" s="250">
        <f>IFERROR(VLOOKUP(P$7,Inputs!$E$19:$J$23,5,FALSE)/12+(VLOOKUP(MONTH(P$9),Modeling!$B$5:$L$16,11,FALSE)),(VLOOKUP(5,Inputs!$E$19:$J$23,5,FALSE)/12+(VLOOKUP(MONTH(P$9),Modeling!$B$5:$L$16,11,FALSE))))</f>
        <v>3.3333333333333335E-3</v>
      </c>
      <c r="Q29" s="250">
        <f>IFERROR(VLOOKUP(Q$7,Inputs!$E$19:$J$23,5,FALSE)/12+(VLOOKUP(MONTH(Q$9),Modeling!$B$5:$L$16,11,FALSE)),(VLOOKUP(5,Inputs!$E$19:$J$23,5,FALSE)/12+(VLOOKUP(MONTH(Q$9),Modeling!$B$5:$L$16,11,FALSE))))</f>
        <v>-5.6666666666666664E-2</v>
      </c>
      <c r="R29" s="250">
        <f>IFERROR(VLOOKUP(R$7,Inputs!$E$19:$J$23,5,FALSE)/12+(VLOOKUP(MONTH(R$9),Modeling!$B$5:$L$16,11,FALSE)),(VLOOKUP(5,Inputs!$E$19:$J$23,5,FALSE)/12+(VLOOKUP(MONTH(R$9),Modeling!$B$5:$L$16,11,FALSE))))</f>
        <v>-1.6666666666666666E-2</v>
      </c>
      <c r="S29" s="250">
        <f>IFERROR(VLOOKUP(S$7,Inputs!$E$19:$J$23,5,FALSE)/12+(VLOOKUP(MONTH(S$9),Modeling!$B$5:$L$16,11,FALSE)),(VLOOKUP(5,Inputs!$E$19:$J$23,5,FALSE)/12+(VLOOKUP(MONTH(S$9),Modeling!$B$5:$L$16,11,FALSE))))</f>
        <v>-1.1666666666666665E-2</v>
      </c>
      <c r="T29" s="250">
        <f>IFERROR(VLOOKUP(T$7,Inputs!$E$19:$J$23,5,FALSE)/12+(VLOOKUP(MONTH(T$9),Modeling!$B$5:$L$16,11,FALSE)),(VLOOKUP(5,Inputs!$E$19:$J$23,5,FALSE)/12+(VLOOKUP(MONTH(T$9),Modeling!$B$5:$L$16,11,FALSE))))</f>
        <v>-1.0666666666666666E-2</v>
      </c>
      <c r="U29" s="250">
        <f>IFERROR(VLOOKUP(U$7,Inputs!$E$19:$J$23,5,FALSE)/12+(VLOOKUP(MONTH(U$9),Modeling!$B$5:$L$16,11,FALSE)),(VLOOKUP(5,Inputs!$E$19:$J$23,5,FALSE)/12+(VLOOKUP(MONTH(U$9),Modeling!$B$5:$L$16,11,FALSE))))</f>
        <v>-2.6666666666666666E-3</v>
      </c>
      <c r="V29" s="251">
        <f>IFERROR(VLOOKUP(V$7,Inputs!$E$19:$J$23,5,FALSE)/12+(VLOOKUP(MONTH(V$9),Modeling!$B$5:$L$16,11,FALSE)),(VLOOKUP(5,Inputs!$E$19:$J$23,5,FALSE)/12+(VLOOKUP(MONTH(V$9),Modeling!$B$5:$L$16,11,FALSE))))</f>
        <v>3.3333333333333335E-3</v>
      </c>
      <c r="W29" s="250">
        <f>IFERROR(VLOOKUP(W$7,Inputs!$E$19:$J$23,5,FALSE)/12+(VLOOKUP(MONTH(W$9),Modeling!$B$5:$L$16,11,FALSE)),(VLOOKUP(5,Inputs!$E$19:$J$23,5,FALSE)/12+(VLOOKUP(MONTH(W$9),Modeling!$B$5:$L$16,11,FALSE))))</f>
        <v>3.3333333333333335E-3</v>
      </c>
      <c r="X29" s="250">
        <f>IFERROR(VLOOKUP(X$7,Inputs!$E$19:$J$23,5,FALSE)/12+(VLOOKUP(MONTH(X$9),Modeling!$B$5:$L$16,11,FALSE)),(VLOOKUP(5,Inputs!$E$19:$J$23,5,FALSE)/12+(VLOOKUP(MONTH(X$9),Modeling!$B$5:$L$16,11,FALSE))))</f>
        <v>1.3333333333333334E-2</v>
      </c>
      <c r="Y29" s="250">
        <f>IFERROR(VLOOKUP(Y$7,Inputs!$E$19:$J$23,5,FALSE)/12+(VLOOKUP(MONTH(Y$9),Modeling!$B$5:$L$16,11,FALSE)),(VLOOKUP(5,Inputs!$E$19:$J$23,5,FALSE)/12+(VLOOKUP(MONTH(Y$9),Modeling!$B$5:$L$16,11,FALSE))))</f>
        <v>4.3333333333333335E-2</v>
      </c>
      <c r="Z29" s="250">
        <f>IFERROR(VLOOKUP(Z$7,Inputs!$E$19:$J$23,5,FALSE)/12+(VLOOKUP(MONTH(Z$9),Modeling!$B$5:$L$16,11,FALSE)),(VLOOKUP(5,Inputs!$E$19:$J$23,5,FALSE)/12+(VLOOKUP(MONTH(Z$9),Modeling!$B$5:$L$16,11,FALSE))))</f>
        <v>4.3333333333333335E-2</v>
      </c>
      <c r="AA29" s="250">
        <f>IFERROR(VLOOKUP(AA$7,Inputs!$E$19:$J$23,5,FALSE)/12+(VLOOKUP(MONTH(AA$9),Modeling!$B$5:$L$16,11,FALSE)),(VLOOKUP(5,Inputs!$E$19:$J$23,5,FALSE)/12+(VLOOKUP(MONTH(AA$9),Modeling!$B$5:$L$16,11,FALSE))))</f>
        <v>2.8333333333333335E-2</v>
      </c>
      <c r="AB29" s="250">
        <f>IFERROR(VLOOKUP(AB$7,Inputs!$E$19:$J$23,5,FALSE)/12+(VLOOKUP(MONTH(AB$9),Modeling!$B$5:$L$16,11,FALSE)),(VLOOKUP(5,Inputs!$E$19:$J$23,5,FALSE)/12+(VLOOKUP(MONTH(AB$9),Modeling!$B$5:$L$16,11,FALSE))))</f>
        <v>3.3333333333333335E-3</v>
      </c>
      <c r="AC29" s="250">
        <f>IFERROR(VLOOKUP(AC$7,Inputs!$E$19:$J$23,5,FALSE)/12+(VLOOKUP(MONTH(AC$9),Modeling!$B$5:$L$16,11,FALSE)),(VLOOKUP(5,Inputs!$E$19:$J$23,5,FALSE)/12+(VLOOKUP(MONTH(AC$9),Modeling!$B$5:$L$16,11,FALSE))))</f>
        <v>-5.6666666666666664E-2</v>
      </c>
      <c r="AD29" s="250">
        <f>IFERROR(VLOOKUP(AD$7,Inputs!$E$19:$J$23,5,FALSE)/12+(VLOOKUP(MONTH(AD$9),Modeling!$B$5:$L$16,11,FALSE)),(VLOOKUP(5,Inputs!$E$19:$J$23,5,FALSE)/12+(VLOOKUP(MONTH(AD$9),Modeling!$B$5:$L$16,11,FALSE))))</f>
        <v>-1.6666666666666666E-2</v>
      </c>
      <c r="AE29" s="250">
        <f>IFERROR(VLOOKUP(AE$7,Inputs!$E$19:$J$23,5,FALSE)/12+(VLOOKUP(MONTH(AE$9),Modeling!$B$5:$L$16,11,FALSE)),(VLOOKUP(5,Inputs!$E$19:$J$23,5,FALSE)/12+(VLOOKUP(MONTH(AE$9),Modeling!$B$5:$L$16,11,FALSE))))</f>
        <v>-1.1666666666666665E-2</v>
      </c>
      <c r="AF29" s="250">
        <f>IFERROR(VLOOKUP(AF$7,Inputs!$E$19:$J$23,5,FALSE)/12+(VLOOKUP(MONTH(AF$9),Modeling!$B$5:$L$16,11,FALSE)),(VLOOKUP(5,Inputs!$E$19:$J$23,5,FALSE)/12+(VLOOKUP(MONTH(AF$9),Modeling!$B$5:$L$16,11,FALSE))))</f>
        <v>-1.0666666666666666E-2</v>
      </c>
      <c r="AG29" s="252">
        <f>IFERROR(VLOOKUP(AG$7,Inputs!$E$19:$J$23,5,FALSE)/12+(VLOOKUP(MONTH(AG$9),Modeling!$B$5:$L$16,11,FALSE)),(VLOOKUP(5,Inputs!$E$19:$J$23,5,FALSE)/12+(VLOOKUP(MONTH(AG$9),Modeling!$B$5:$L$16,11,FALSE))))</f>
        <v>-2.6666666666666666E-3</v>
      </c>
      <c r="AH29" s="250">
        <f>IFERROR(VLOOKUP(AH$7,Inputs!$E$19:$J$23,5,FALSE)/12+(VLOOKUP(MONTH(AH$9),Modeling!$B$5:$L$16,11,FALSE)),(VLOOKUP(5,Inputs!$E$19:$J$23,5,FALSE)/12+(VLOOKUP(MONTH(AH$9),Modeling!$B$5:$L$16,11,FALSE))))</f>
        <v>3.3333333333333335E-3</v>
      </c>
      <c r="AI29" s="250">
        <f>IFERROR(VLOOKUP(AI$7,Inputs!$E$19:$J$23,5,FALSE)/12+(VLOOKUP(MONTH(AI$9),Modeling!$B$5:$L$16,11,FALSE)),(VLOOKUP(5,Inputs!$E$19:$J$23,5,FALSE)/12+(VLOOKUP(MONTH(AI$9),Modeling!$B$5:$L$16,11,FALSE))))</f>
        <v>3.3333333333333335E-3</v>
      </c>
      <c r="AJ29" s="250">
        <f>IFERROR(VLOOKUP(AJ$7,Inputs!$E$19:$J$23,5,FALSE)/12+(VLOOKUP(MONTH(AJ$9),Modeling!$B$5:$L$16,11,FALSE)),(VLOOKUP(5,Inputs!$E$19:$J$23,5,FALSE)/12+(VLOOKUP(MONTH(AJ$9),Modeling!$B$5:$L$16,11,FALSE))))</f>
        <v>1.3333333333333334E-2</v>
      </c>
      <c r="AK29" s="250">
        <f>IFERROR(VLOOKUP(AK$7,Inputs!$E$19:$J$23,5,FALSE)/12+(VLOOKUP(MONTH(AK$9),Modeling!$B$5:$L$16,11,FALSE)),(VLOOKUP(5,Inputs!$E$19:$J$23,5,FALSE)/12+(VLOOKUP(MONTH(AK$9),Modeling!$B$5:$L$16,11,FALSE))))</f>
        <v>4.3333333333333335E-2</v>
      </c>
      <c r="AL29" s="250">
        <f>IFERROR(VLOOKUP(AL$7,Inputs!$E$19:$J$23,5,FALSE)/12+(VLOOKUP(MONTH(AL$9),Modeling!$B$5:$L$16,11,FALSE)),(VLOOKUP(5,Inputs!$E$19:$J$23,5,FALSE)/12+(VLOOKUP(MONTH(AL$9),Modeling!$B$5:$L$16,11,FALSE))))</f>
        <v>4.3333333333333335E-2</v>
      </c>
      <c r="AM29" s="250">
        <f>IFERROR(VLOOKUP(AM$7,Inputs!$E$19:$J$23,5,FALSE)/12+(VLOOKUP(MONTH(AM$9),Modeling!$B$5:$L$16,11,FALSE)),(VLOOKUP(5,Inputs!$E$19:$J$23,5,FALSE)/12+(VLOOKUP(MONTH(AM$9),Modeling!$B$5:$L$16,11,FALSE))))</f>
        <v>2.8333333333333335E-2</v>
      </c>
      <c r="AN29" s="250">
        <f>IFERROR(VLOOKUP(AN$7,Inputs!$E$19:$J$23,5,FALSE)/12+(VLOOKUP(MONTH(AN$9),Modeling!$B$5:$L$16,11,FALSE)),(VLOOKUP(5,Inputs!$E$19:$J$23,5,FALSE)/12+(VLOOKUP(MONTH(AN$9),Modeling!$B$5:$L$16,11,FALSE))))</f>
        <v>3.3333333333333335E-3</v>
      </c>
      <c r="AO29" s="250">
        <f>IFERROR(VLOOKUP(AO$7,Inputs!$E$19:$J$23,5,FALSE)/12+(VLOOKUP(MONTH(AO$9),Modeling!$B$5:$L$16,11,FALSE)),(VLOOKUP(5,Inputs!$E$19:$J$23,5,FALSE)/12+(VLOOKUP(MONTH(AO$9),Modeling!$B$5:$L$16,11,FALSE))))</f>
        <v>-5.6666666666666664E-2</v>
      </c>
      <c r="AP29" s="250">
        <f>IFERROR(VLOOKUP(AP$7,Inputs!$E$19:$J$23,5,FALSE)/12+(VLOOKUP(MONTH(AP$9),Modeling!$B$5:$L$16,11,FALSE)),(VLOOKUP(5,Inputs!$E$19:$J$23,5,FALSE)/12+(VLOOKUP(MONTH(AP$9),Modeling!$B$5:$L$16,11,FALSE))))</f>
        <v>-1.6666666666666666E-2</v>
      </c>
      <c r="AQ29" s="250">
        <f>IFERROR(VLOOKUP(AQ$7,Inputs!$E$19:$J$23,5,FALSE)/12+(VLOOKUP(MONTH(AQ$9),Modeling!$B$5:$L$16,11,FALSE)),(VLOOKUP(5,Inputs!$E$19:$J$23,5,FALSE)/12+(VLOOKUP(MONTH(AQ$9),Modeling!$B$5:$L$16,11,FALSE))))</f>
        <v>-1.1666666666666665E-2</v>
      </c>
      <c r="AR29" s="250">
        <f>IFERROR(VLOOKUP(AR$7,Inputs!$E$19:$J$23,5,FALSE)/12+(VLOOKUP(MONTH(AR$9),Modeling!$B$5:$L$16,11,FALSE)),(VLOOKUP(5,Inputs!$E$19:$J$23,5,FALSE)/12+(VLOOKUP(MONTH(AR$9),Modeling!$B$5:$L$16,11,FALSE))))</f>
        <v>-1.0666666666666666E-2</v>
      </c>
      <c r="AS29" s="252">
        <f>IFERROR(VLOOKUP(AS$7,Inputs!$E$19:$J$23,5,FALSE)/12+(VLOOKUP(MONTH(AS$9),Modeling!$B$5:$L$16,11,FALSE)),(VLOOKUP(5,Inputs!$E$19:$J$23,5,FALSE)/12+(VLOOKUP(MONTH(AS$9),Modeling!$B$5:$L$16,11,FALSE))))</f>
        <v>-2.6666666666666666E-3</v>
      </c>
      <c r="AT29" s="250">
        <f>IFERROR(VLOOKUP(AT$7,Inputs!$E$19:$J$23,5,FALSE)/12+(VLOOKUP(MONTH(AT$9),Modeling!$B$5:$L$16,11,FALSE)),(VLOOKUP(5,Inputs!$E$19:$J$23,5,FALSE)/12+(VLOOKUP(MONTH(AT$9),Modeling!$B$5:$L$16,11,FALSE))))</f>
        <v>3.3333333333333335E-3</v>
      </c>
      <c r="AU29" s="250">
        <f>IFERROR(VLOOKUP(AU$7,Inputs!$E$19:$J$23,5,FALSE)/12+(VLOOKUP(MONTH(AU$9),Modeling!$B$5:$L$16,11,FALSE)),(VLOOKUP(5,Inputs!$E$19:$J$23,5,FALSE)/12+(VLOOKUP(MONTH(AU$9),Modeling!$B$5:$L$16,11,FALSE))))</f>
        <v>3.3333333333333335E-3</v>
      </c>
      <c r="AV29" s="250">
        <f>IFERROR(VLOOKUP(AV$7,Inputs!$E$19:$J$23,5,FALSE)/12+(VLOOKUP(MONTH(AV$9),Modeling!$B$5:$L$16,11,FALSE)),(VLOOKUP(5,Inputs!$E$19:$J$23,5,FALSE)/12+(VLOOKUP(MONTH(AV$9),Modeling!$B$5:$L$16,11,FALSE))))</f>
        <v>1.3333333333333334E-2</v>
      </c>
      <c r="AW29" s="250">
        <f>IFERROR(VLOOKUP(AW$7,Inputs!$E$19:$J$23,5,FALSE)/12+(VLOOKUP(MONTH(AW$9),Modeling!$B$5:$L$16,11,FALSE)),(VLOOKUP(5,Inputs!$E$19:$J$23,5,FALSE)/12+(VLOOKUP(MONTH(AW$9),Modeling!$B$5:$L$16,11,FALSE))))</f>
        <v>4.3333333333333335E-2</v>
      </c>
      <c r="AX29" s="250">
        <f>IFERROR(VLOOKUP(AX$7,Inputs!$E$19:$J$23,5,FALSE)/12+(VLOOKUP(MONTH(AX$9),Modeling!$B$5:$L$16,11,FALSE)),(VLOOKUP(5,Inputs!$E$19:$J$23,5,FALSE)/12+(VLOOKUP(MONTH(AX$9),Modeling!$B$5:$L$16,11,FALSE))))</f>
        <v>4.3333333333333335E-2</v>
      </c>
      <c r="AY29" s="250">
        <f>IFERROR(VLOOKUP(AY$7,Inputs!$E$19:$J$23,5,FALSE)/12+(VLOOKUP(MONTH(AY$9),Modeling!$B$5:$L$16,11,FALSE)),(VLOOKUP(5,Inputs!$E$19:$J$23,5,FALSE)/12+(VLOOKUP(MONTH(AY$9),Modeling!$B$5:$L$16,11,FALSE))))</f>
        <v>2.8333333333333335E-2</v>
      </c>
      <c r="AZ29" s="250">
        <f>IFERROR(VLOOKUP(AZ$7,Inputs!$E$19:$J$23,5,FALSE)/12+(VLOOKUP(MONTH(AZ$9),Modeling!$B$5:$L$16,11,FALSE)),(VLOOKUP(5,Inputs!$E$19:$J$23,5,FALSE)/12+(VLOOKUP(MONTH(AZ$9),Modeling!$B$5:$L$16,11,FALSE))))</f>
        <v>3.3333333333333335E-3</v>
      </c>
      <c r="BA29" s="250">
        <f>IFERROR(VLOOKUP(BA$7,Inputs!$E$19:$J$23,5,FALSE)/12+(VLOOKUP(MONTH(BA$9),Modeling!$B$5:$L$16,11,FALSE)),(VLOOKUP(5,Inputs!$E$19:$J$23,5,FALSE)/12+(VLOOKUP(MONTH(BA$9),Modeling!$B$5:$L$16,11,FALSE))))</f>
        <v>-5.6666666666666664E-2</v>
      </c>
      <c r="BB29" s="250">
        <f>IFERROR(VLOOKUP(BB$7,Inputs!$E$19:$J$23,5,FALSE)/12+(VLOOKUP(MONTH(BB$9),Modeling!$B$5:$L$16,11,FALSE)),(VLOOKUP(5,Inputs!$E$19:$J$23,5,FALSE)/12+(VLOOKUP(MONTH(BB$9),Modeling!$B$5:$L$16,11,FALSE))))</f>
        <v>-1.6666666666666666E-2</v>
      </c>
      <c r="BC29" s="250">
        <f>IFERROR(VLOOKUP(BC$7,Inputs!$E$19:$J$23,5,FALSE)/12+(VLOOKUP(MONTH(BC$9),Modeling!$B$5:$L$16,11,FALSE)),(VLOOKUP(5,Inputs!$E$19:$J$23,5,FALSE)/12+(VLOOKUP(MONTH(BC$9),Modeling!$B$5:$L$16,11,FALSE))))</f>
        <v>-1.1666666666666665E-2</v>
      </c>
      <c r="BD29" s="250">
        <f>IFERROR(VLOOKUP(BD$7,Inputs!$E$19:$J$23,5,FALSE)/12+(VLOOKUP(MONTH(BD$9),Modeling!$B$5:$L$16,11,FALSE)),(VLOOKUP(5,Inputs!$E$19:$J$23,5,FALSE)/12+(VLOOKUP(MONTH(BD$9),Modeling!$B$5:$L$16,11,FALSE))))</f>
        <v>-1.0666666666666666E-2</v>
      </c>
      <c r="BE29" s="252">
        <f>IFERROR(VLOOKUP(BE$7,Inputs!$E$19:$J$23,5,FALSE)/12+(VLOOKUP(MONTH(BE$9),Modeling!$B$5:$L$16,11,FALSE)),(VLOOKUP(5,Inputs!$E$19:$J$23,5,FALSE)/12+(VLOOKUP(MONTH(BE$9),Modeling!$B$5:$L$16,11,FALSE))))</f>
        <v>-2.6666666666666666E-3</v>
      </c>
      <c r="BF29" s="250">
        <f>IFERROR(VLOOKUP(BF$7,Inputs!$E$19:$J$23,5,FALSE)/12+(VLOOKUP(MONTH(BF$9),Modeling!$B$5:$L$16,11,FALSE)),(VLOOKUP(5,Inputs!$E$19:$J$23,5,FALSE)/12+(VLOOKUP(MONTH(BF$9),Modeling!$B$5:$L$16,11,FALSE))))</f>
        <v>3.3333333333333335E-3</v>
      </c>
      <c r="BG29" s="250">
        <f>IFERROR(VLOOKUP(BG$7,Inputs!$E$19:$J$23,5,FALSE)/12+(VLOOKUP(MONTH(BG$9),Modeling!$B$5:$L$16,11,FALSE)),(VLOOKUP(5,Inputs!$E$19:$J$23,5,FALSE)/12+(VLOOKUP(MONTH(BG$9),Modeling!$B$5:$L$16,11,FALSE))))</f>
        <v>3.3333333333333335E-3</v>
      </c>
      <c r="BH29" s="250">
        <f>IFERROR(VLOOKUP(BH$7,Inputs!$E$19:$J$23,5,FALSE)/12+(VLOOKUP(MONTH(BH$9),Modeling!$B$5:$L$16,11,FALSE)),(VLOOKUP(5,Inputs!$E$19:$J$23,5,FALSE)/12+(VLOOKUP(MONTH(BH$9),Modeling!$B$5:$L$16,11,FALSE))))</f>
        <v>1.3333333333333334E-2</v>
      </c>
      <c r="BI29" s="250">
        <f>IFERROR(VLOOKUP(BI$7,Inputs!$E$19:$J$23,5,FALSE)/12+(VLOOKUP(MONTH(BI$9),Modeling!$B$5:$L$16,11,FALSE)),(VLOOKUP(5,Inputs!$E$19:$J$23,5,FALSE)/12+(VLOOKUP(MONTH(BI$9),Modeling!$B$5:$L$16,11,FALSE))))</f>
        <v>4.3333333333333335E-2</v>
      </c>
      <c r="BJ29" s="250">
        <f>IFERROR(VLOOKUP(BJ$7,Inputs!$E$19:$J$23,5,FALSE)/12+(VLOOKUP(MONTH(BJ$9),Modeling!$B$5:$L$16,11,FALSE)),(VLOOKUP(5,Inputs!$E$19:$J$23,5,FALSE)/12+(VLOOKUP(MONTH(BJ$9),Modeling!$B$5:$L$16,11,FALSE))))</f>
        <v>4.3333333333333335E-2</v>
      </c>
      <c r="BK29" s="250">
        <f>IFERROR(VLOOKUP(BK$7,Inputs!$E$19:$J$23,5,FALSE)/12+(VLOOKUP(MONTH(BK$9),Modeling!$B$5:$L$16,11,FALSE)),(VLOOKUP(5,Inputs!$E$19:$J$23,5,FALSE)/12+(VLOOKUP(MONTH(BK$9),Modeling!$B$5:$L$16,11,FALSE))))</f>
        <v>2.8333333333333335E-2</v>
      </c>
      <c r="BL29" s="250">
        <f>IFERROR(VLOOKUP(BL$7,Inputs!$E$19:$J$23,5,FALSE)/12+(VLOOKUP(MONTH(BL$9),Modeling!$B$5:$L$16,11,FALSE)),(VLOOKUP(5,Inputs!$E$19:$J$23,5,FALSE)/12+(VLOOKUP(MONTH(BL$9),Modeling!$B$5:$L$16,11,FALSE))))</f>
        <v>3.3333333333333335E-3</v>
      </c>
      <c r="BM29" s="250">
        <f>IFERROR(VLOOKUP(BM$7,Inputs!$E$19:$J$23,5,FALSE)/12+(VLOOKUP(MONTH(BM$9),Modeling!$B$5:$L$16,11,FALSE)),(VLOOKUP(5,Inputs!$E$19:$J$23,5,FALSE)/12+(VLOOKUP(MONTH(BM$9),Modeling!$B$5:$L$16,11,FALSE))))</f>
        <v>-5.6666666666666664E-2</v>
      </c>
      <c r="BN29" s="250">
        <f>IFERROR(VLOOKUP(BN$7,Inputs!$E$19:$J$23,5,FALSE)/12+(VLOOKUP(MONTH(BN$9),Modeling!$B$5:$L$16,11,FALSE)),(VLOOKUP(5,Inputs!$E$19:$J$23,5,FALSE)/12+(VLOOKUP(MONTH(BN$9),Modeling!$B$5:$L$16,11,FALSE))))</f>
        <v>-1.6666666666666666E-2</v>
      </c>
      <c r="BO29" s="250">
        <f>IFERROR(VLOOKUP(BO$7,Inputs!$E$19:$J$23,5,FALSE)/12+(VLOOKUP(MONTH(BO$9),Modeling!$B$5:$L$16,11,FALSE)),(VLOOKUP(5,Inputs!$E$19:$J$23,5,FALSE)/12+(VLOOKUP(MONTH(BO$9),Modeling!$B$5:$L$16,11,FALSE))))</f>
        <v>-1.1666666666666665E-2</v>
      </c>
      <c r="BP29" s="250">
        <f>IFERROR(VLOOKUP(BP$7,Inputs!$E$19:$J$23,5,FALSE)/12+(VLOOKUP(MONTH(BP$9),Modeling!$B$5:$L$16,11,FALSE)),(VLOOKUP(5,Inputs!$E$19:$J$23,5,FALSE)/12+(VLOOKUP(MONTH(BP$9),Modeling!$B$5:$L$16,11,FALSE))))</f>
        <v>-1.0666666666666666E-2</v>
      </c>
      <c r="BQ29" s="250">
        <f>IFERROR(VLOOKUP(BQ$7,Inputs!$E$19:$J$23,5,FALSE)/12+(VLOOKUP(MONTH(BQ$9),Modeling!$B$5:$L$16,11,FALSE)),(VLOOKUP(5,Inputs!$E$19:$J$23,5,FALSE)/12+(VLOOKUP(MONTH(BQ$9),Modeling!$B$5:$L$16,11,FALSE))))</f>
        <v>-2.6666666666666666E-3</v>
      </c>
      <c r="BR29" s="250">
        <f>IFERROR(VLOOKUP(BR$7,Inputs!$E$19:$J$23,5,FALSE)/12+(VLOOKUP(MONTH(BR$9),Modeling!$B$5:$L$16,11,FALSE)),(VLOOKUP(5,Inputs!$E$19:$J$23,5,FALSE)/12+(VLOOKUP(MONTH(BR$9),Modeling!$B$5:$L$16,11,FALSE))))</f>
        <v>3.3333333333333335E-3</v>
      </c>
      <c r="BS29" s="250">
        <f>IFERROR(VLOOKUP(BS$7,Inputs!$E$19:$J$23,5,FALSE)/12+(VLOOKUP(MONTH(BS$9),Modeling!$B$5:$L$16,11,FALSE)),(VLOOKUP(5,Inputs!$E$19:$J$23,5,FALSE)/12+(VLOOKUP(MONTH(BS$9),Modeling!$B$5:$L$16,11,FALSE))))</f>
        <v>3.3333333333333335E-3</v>
      </c>
      <c r="BT29" s="250">
        <f>IFERROR(VLOOKUP(BT$7,Inputs!$E$19:$J$23,5,FALSE)/12+(VLOOKUP(MONTH(BT$9),Modeling!$B$5:$L$16,11,FALSE)),(VLOOKUP(5,Inputs!$E$19:$J$23,5,FALSE)/12+(VLOOKUP(MONTH(BT$9),Modeling!$B$5:$L$16,11,FALSE))))</f>
        <v>1.3333333333333334E-2</v>
      </c>
      <c r="BU29" s="250">
        <f>IFERROR(VLOOKUP(BU$7,Inputs!$E$19:$J$23,5,FALSE)/12+(VLOOKUP(MONTH(BU$9),Modeling!$B$5:$L$16,11,FALSE)),(VLOOKUP(5,Inputs!$E$19:$J$23,5,FALSE)/12+(VLOOKUP(MONTH(BU$9),Modeling!$B$5:$L$16,11,FALSE))))</f>
        <v>4.3333333333333335E-2</v>
      </c>
      <c r="BV29" s="25"/>
      <c r="BW29" s="253">
        <f t="shared" ref="BW29:CA29" si="32">SUMIF($J$6:$BU$6,BW$9,$J29:$BU29)</f>
        <v>4.0000000000000008E-2</v>
      </c>
      <c r="BX29" s="253">
        <f t="shared" si="32"/>
        <v>4.0000000000000008E-2</v>
      </c>
      <c r="BY29" s="253">
        <f t="shared" si="32"/>
        <v>4.0000000000000008E-2</v>
      </c>
      <c r="BZ29" s="253">
        <f t="shared" si="32"/>
        <v>4.0000000000000008E-2</v>
      </c>
      <c r="CA29" s="253">
        <f t="shared" si="32"/>
        <v>4.0000000000000008E-2</v>
      </c>
      <c r="CB29" s="253">
        <f t="shared" ref="CB29:CK29" si="33">CA29</f>
        <v>4.0000000000000008E-2</v>
      </c>
      <c r="CC29" s="253">
        <f t="shared" si="33"/>
        <v>4.0000000000000008E-2</v>
      </c>
      <c r="CD29" s="253">
        <f t="shared" si="33"/>
        <v>4.0000000000000008E-2</v>
      </c>
      <c r="CE29" s="253">
        <f t="shared" si="33"/>
        <v>4.0000000000000008E-2</v>
      </c>
      <c r="CF29" s="253">
        <f t="shared" si="33"/>
        <v>4.0000000000000008E-2</v>
      </c>
      <c r="CG29" s="253">
        <f t="shared" si="33"/>
        <v>4.0000000000000008E-2</v>
      </c>
      <c r="CH29" s="253">
        <f t="shared" si="33"/>
        <v>4.0000000000000008E-2</v>
      </c>
      <c r="CI29" s="253">
        <f t="shared" si="33"/>
        <v>4.0000000000000008E-2</v>
      </c>
      <c r="CJ29" s="253">
        <f t="shared" si="33"/>
        <v>4.0000000000000008E-2</v>
      </c>
      <c r="CK29" s="253">
        <f t="shared" si="33"/>
        <v>4.0000000000000008E-2</v>
      </c>
    </row>
    <row r="30" spans="1:89" ht="14.25" customHeight="1" outlineLevel="1" x14ac:dyDescent="0.2">
      <c r="A30" s="11">
        <f t="shared" si="8"/>
        <v>0</v>
      </c>
      <c r="B30" s="11" t="s">
        <v>316</v>
      </c>
      <c r="F30" s="56" t="s">
        <v>317</v>
      </c>
      <c r="I30" s="55">
        <f>Inputs!$J$16*VLOOKUP(MONTH(EOMONTH(Inputs!$C$8,-1)),Modeling!$B$5:$M$16,12,FALSE)</f>
        <v>17.789291226931812</v>
      </c>
      <c r="J30" s="254">
        <f t="shared" ref="J30:BU30" si="34">I30*(1+J29)</f>
        <v>17.84858886435492</v>
      </c>
      <c r="K30" s="254">
        <f t="shared" si="34"/>
        <v>17.908084160569437</v>
      </c>
      <c r="L30" s="254">
        <f t="shared" si="34"/>
        <v>18.146858616043698</v>
      </c>
      <c r="M30" s="254">
        <f t="shared" si="34"/>
        <v>18.933222489405594</v>
      </c>
      <c r="N30" s="254">
        <f t="shared" si="34"/>
        <v>19.753662130613172</v>
      </c>
      <c r="O30" s="254">
        <f t="shared" si="34"/>
        <v>20.313349224313878</v>
      </c>
      <c r="P30" s="254">
        <f t="shared" si="34"/>
        <v>20.381060388394925</v>
      </c>
      <c r="Q30" s="254">
        <f t="shared" si="34"/>
        <v>19.226133633052545</v>
      </c>
      <c r="R30" s="254">
        <f t="shared" si="34"/>
        <v>18.905698072501668</v>
      </c>
      <c r="S30" s="254">
        <f t="shared" si="34"/>
        <v>18.685131594989148</v>
      </c>
      <c r="T30" s="254">
        <f t="shared" si="34"/>
        <v>18.485823524642598</v>
      </c>
      <c r="U30" s="255">
        <f t="shared" si="34"/>
        <v>18.436527995243551</v>
      </c>
      <c r="V30" s="256">
        <f t="shared" si="34"/>
        <v>18.497983088561032</v>
      </c>
      <c r="W30" s="254">
        <f t="shared" si="34"/>
        <v>18.55964303218957</v>
      </c>
      <c r="X30" s="254">
        <f t="shared" si="34"/>
        <v>18.807104939285431</v>
      </c>
      <c r="Y30" s="254">
        <f t="shared" si="34"/>
        <v>19.622079486654467</v>
      </c>
      <c r="Z30" s="254">
        <f t="shared" si="34"/>
        <v>20.47236959774283</v>
      </c>
      <c r="AA30" s="254">
        <f t="shared" si="34"/>
        <v>21.052420069678877</v>
      </c>
      <c r="AB30" s="254">
        <f t="shared" si="34"/>
        <v>21.122594803244475</v>
      </c>
      <c r="AC30" s="254">
        <f t="shared" si="34"/>
        <v>19.925647764393954</v>
      </c>
      <c r="AD30" s="254">
        <f t="shared" si="34"/>
        <v>19.593553634987387</v>
      </c>
      <c r="AE30" s="254">
        <f t="shared" si="34"/>
        <v>19.364962175912535</v>
      </c>
      <c r="AF30" s="254">
        <f t="shared" si="34"/>
        <v>19.158402579369465</v>
      </c>
      <c r="AG30" s="255">
        <f t="shared" si="34"/>
        <v>19.107313505824479</v>
      </c>
      <c r="AH30" s="254">
        <f t="shared" si="34"/>
        <v>19.171004550843897</v>
      </c>
      <c r="AI30" s="254">
        <f t="shared" si="34"/>
        <v>19.234907899346712</v>
      </c>
      <c r="AJ30" s="254">
        <f t="shared" si="34"/>
        <v>19.491373338004671</v>
      </c>
      <c r="AK30" s="254">
        <f t="shared" si="34"/>
        <v>20.335999515984874</v>
      </c>
      <c r="AL30" s="254">
        <f t="shared" si="34"/>
        <v>21.217226161677555</v>
      </c>
      <c r="AM30" s="254">
        <f t="shared" si="34"/>
        <v>21.818380902925085</v>
      </c>
      <c r="AN30" s="254">
        <f t="shared" si="34"/>
        <v>21.891108839268171</v>
      </c>
      <c r="AO30" s="254">
        <f t="shared" si="34"/>
        <v>20.650612671709641</v>
      </c>
      <c r="AP30" s="254">
        <f t="shared" si="34"/>
        <v>20.306435793847815</v>
      </c>
      <c r="AQ30" s="254">
        <f t="shared" si="34"/>
        <v>20.069527376252921</v>
      </c>
      <c r="AR30" s="254">
        <f t="shared" si="34"/>
        <v>19.855452417572888</v>
      </c>
      <c r="AS30" s="255">
        <f t="shared" si="34"/>
        <v>19.80250454445936</v>
      </c>
      <c r="AT30" s="254">
        <f t="shared" si="34"/>
        <v>19.868512892940892</v>
      </c>
      <c r="AU30" s="254">
        <f t="shared" si="34"/>
        <v>19.934741269250697</v>
      </c>
      <c r="AV30" s="254">
        <f t="shared" si="34"/>
        <v>20.200537819507375</v>
      </c>
      <c r="AW30" s="254">
        <f t="shared" si="34"/>
        <v>21.075894458352696</v>
      </c>
      <c r="AX30" s="254">
        <f t="shared" si="34"/>
        <v>21.989183218214649</v>
      </c>
      <c r="AY30" s="254">
        <f t="shared" si="34"/>
        <v>22.612210076064063</v>
      </c>
      <c r="AZ30" s="254">
        <f t="shared" si="34"/>
        <v>22.687584109650945</v>
      </c>
      <c r="BA30" s="254">
        <f t="shared" si="34"/>
        <v>21.401954343437392</v>
      </c>
      <c r="BB30" s="254">
        <f t="shared" si="34"/>
        <v>21.0452551043801</v>
      </c>
      <c r="BC30" s="254">
        <f t="shared" si="34"/>
        <v>20.799727128162331</v>
      </c>
      <c r="BD30" s="254">
        <f t="shared" si="34"/>
        <v>20.577863372128597</v>
      </c>
      <c r="BE30" s="255">
        <f t="shared" si="34"/>
        <v>20.522989069802922</v>
      </c>
      <c r="BF30" s="254">
        <f t="shared" si="34"/>
        <v>20.591399033368933</v>
      </c>
      <c r="BG30" s="254">
        <f t="shared" si="34"/>
        <v>20.660037030146832</v>
      </c>
      <c r="BH30" s="254">
        <f t="shared" si="34"/>
        <v>20.935504190548791</v>
      </c>
      <c r="BI30" s="254">
        <f t="shared" si="34"/>
        <v>21.84270937213924</v>
      </c>
      <c r="BJ30" s="254">
        <f t="shared" si="34"/>
        <v>22.789226778265277</v>
      </c>
      <c r="BK30" s="254">
        <f t="shared" si="34"/>
        <v>23.434921536982792</v>
      </c>
      <c r="BL30" s="254">
        <f t="shared" si="34"/>
        <v>23.51303794210607</v>
      </c>
      <c r="BM30" s="254">
        <f t="shared" si="34"/>
        <v>22.180632458720059</v>
      </c>
      <c r="BN30" s="254">
        <f t="shared" si="34"/>
        <v>21.810955251074724</v>
      </c>
      <c r="BO30" s="254">
        <f t="shared" si="34"/>
        <v>21.556494106478851</v>
      </c>
      <c r="BP30" s="254">
        <f t="shared" si="34"/>
        <v>21.326558169343077</v>
      </c>
      <c r="BQ30" s="254">
        <f t="shared" si="34"/>
        <v>21.269687347558161</v>
      </c>
      <c r="BR30" s="254">
        <f t="shared" si="34"/>
        <v>21.340586305383358</v>
      </c>
      <c r="BS30" s="254">
        <f t="shared" si="34"/>
        <v>21.41172159306797</v>
      </c>
      <c r="BT30" s="254">
        <f t="shared" si="34"/>
        <v>21.697211214308879</v>
      </c>
      <c r="BU30" s="254">
        <f t="shared" si="34"/>
        <v>22.637423700262268</v>
      </c>
      <c r="BW30" s="254">
        <f t="shared" ref="BW30:CA30" si="35">AVERAGEIF($J$6:$BU$6,BW$9,$J30:$BU30)</f>
        <v>18.918678391177092</v>
      </c>
      <c r="BX30" s="254">
        <f t="shared" si="35"/>
        <v>19.607006223153704</v>
      </c>
      <c r="BY30" s="254">
        <f t="shared" si="35"/>
        <v>20.320377834324464</v>
      </c>
      <c r="BZ30" s="254">
        <f t="shared" si="35"/>
        <v>21.059704405157721</v>
      </c>
      <c r="CA30" s="254">
        <f t="shared" si="35"/>
        <v>21.825930268061068</v>
      </c>
      <c r="CB30" s="254">
        <f>CA30*(1+Inputs!$C$34)</f>
        <v>22.698967478783512</v>
      </c>
      <c r="CC30" s="254">
        <f>CB30*(1+Inputs!$C$34)</f>
        <v>23.606926177934852</v>
      </c>
      <c r="CD30" s="254">
        <f>CC30*(1+Inputs!$C$34)</f>
        <v>24.551203225052248</v>
      </c>
      <c r="CE30" s="254">
        <f>CD30*(1+Inputs!$C$34)</f>
        <v>25.53325135405434</v>
      </c>
      <c r="CF30" s="254">
        <f>CE30*(1+Inputs!$C$34)</f>
        <v>26.554581408216514</v>
      </c>
      <c r="CG30" s="254">
        <f>CF30*(1+Inputs!$C$34)</f>
        <v>27.616764664545176</v>
      </c>
      <c r="CH30" s="254">
        <f>CG30*(1+Inputs!$C$34)</f>
        <v>28.721435251126984</v>
      </c>
      <c r="CI30" s="254">
        <f>CH30*(1+Inputs!$C$34)</f>
        <v>29.870292661172066</v>
      </c>
      <c r="CJ30" s="254">
        <f>CI30*(1+Inputs!$C$34)</f>
        <v>31.06510436761895</v>
      </c>
      <c r="CK30" s="254">
        <f>CJ30*(1+Inputs!$C$34)</f>
        <v>32.307708542323709</v>
      </c>
    </row>
    <row r="31" spans="1:89" ht="14.25" customHeight="1" outlineLevel="1" x14ac:dyDescent="0.2">
      <c r="A31" s="11"/>
      <c r="B31" s="11"/>
      <c r="F31" s="56"/>
      <c r="I31" s="55"/>
      <c r="J31" s="12"/>
      <c r="K31" s="25"/>
      <c r="L31" s="75"/>
      <c r="M31" s="75"/>
      <c r="N31" s="75"/>
      <c r="O31" s="75"/>
      <c r="P31" s="75"/>
      <c r="Q31" s="75"/>
      <c r="R31" s="75"/>
      <c r="S31" s="75"/>
      <c r="T31" s="75"/>
      <c r="U31" s="257"/>
      <c r="V31" s="12"/>
      <c r="W31" s="25"/>
      <c r="X31" s="75"/>
      <c r="Y31" s="75"/>
      <c r="Z31" s="75"/>
      <c r="AA31" s="75"/>
      <c r="AB31" s="75"/>
      <c r="AC31" s="75"/>
      <c r="AD31" s="75"/>
      <c r="AE31" s="75"/>
      <c r="AF31" s="75"/>
      <c r="AG31" s="257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257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257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W31" s="75"/>
      <c r="BX31" s="75"/>
      <c r="BY31" s="2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</row>
    <row r="32" spans="1:89" ht="14.25" customHeight="1" outlineLevel="1" x14ac:dyDescent="0.2">
      <c r="A32" s="11">
        <f t="shared" ref="A32:A36" si="36">$F$2</f>
        <v>0</v>
      </c>
      <c r="B32" s="11" t="s">
        <v>318</v>
      </c>
      <c r="F32" s="56" t="s">
        <v>319</v>
      </c>
      <c r="I32" s="55"/>
      <c r="J32" s="258">
        <f>Monthly!D14</f>
        <v>19.335971269717827</v>
      </c>
      <c r="K32" s="258">
        <f>Monthly!E14</f>
        <v>19.400424507283557</v>
      </c>
      <c r="L32" s="258">
        <f>Monthly!F14</f>
        <v>19.65909683404734</v>
      </c>
      <c r="M32" s="258">
        <f>Monthly!G14</f>
        <v>20.510991030189391</v>
      </c>
      <c r="N32" s="258">
        <f>Monthly!H14</f>
        <v>21.399800641497603</v>
      </c>
      <c r="O32" s="258">
        <f>Monthly!I14</f>
        <v>22.006128326340033</v>
      </c>
      <c r="P32" s="258">
        <f>Monthly!J14</f>
        <v>22.079482087427834</v>
      </c>
      <c r="Q32" s="258">
        <f>Monthly!K14</f>
        <v>20.828311435806921</v>
      </c>
      <c r="R32" s="258">
        <f>Monthly!L14</f>
        <v>20.481172911876804</v>
      </c>
      <c r="S32" s="258">
        <f>Monthly!M14</f>
        <v>20.242225894571575</v>
      </c>
      <c r="T32" s="258">
        <f>Monthly!N14</f>
        <v>20.026308818362814</v>
      </c>
      <c r="U32" s="259">
        <f>Monthly!O14</f>
        <v>19.972905328180513</v>
      </c>
      <c r="V32" s="260">
        <f>Monthly!P14</f>
        <v>20.039481679274449</v>
      </c>
      <c r="W32" s="258">
        <f>Monthly!Q14</f>
        <v>20.106279951538699</v>
      </c>
      <c r="X32" s="258">
        <f>Monthly!R14</f>
        <v>20.374363684225884</v>
      </c>
      <c r="Y32" s="258">
        <f>Monthly!S14</f>
        <v>21.257252777209004</v>
      </c>
      <c r="Z32" s="258">
        <f>Monthly!T14</f>
        <v>22.178400397554732</v>
      </c>
      <c r="AA32" s="258">
        <f>Monthly!U14</f>
        <v>22.806788408818782</v>
      </c>
      <c r="AB32" s="258">
        <f>Monthly!V14</f>
        <v>22.882811036848178</v>
      </c>
      <c r="AC32" s="258">
        <f>Monthly!W14</f>
        <v>21.586118411426781</v>
      </c>
      <c r="AD32" s="258">
        <f>Monthly!X14</f>
        <v>21.226349771236336</v>
      </c>
      <c r="AE32" s="258">
        <f>Monthly!Y14</f>
        <v>20.978709023905246</v>
      </c>
      <c r="AF32" s="258">
        <f>Monthly!Z14</f>
        <v>20.754936127650254</v>
      </c>
      <c r="AG32" s="259">
        <f>Monthly!AA14</f>
        <v>20.699589631309852</v>
      </c>
      <c r="AH32" s="258">
        <f>Monthly!AB14</f>
        <v>20.76858826341422</v>
      </c>
      <c r="AI32" s="258">
        <f>Monthly!AC14</f>
        <v>20.837816890958937</v>
      </c>
      <c r="AJ32" s="258">
        <f>Monthly!AD14</f>
        <v>21.115654449505058</v>
      </c>
      <c r="AK32" s="258">
        <f>Monthly!AE14</f>
        <v>22.030666142316946</v>
      </c>
      <c r="AL32" s="258">
        <f>Monthly!AF14</f>
        <v>22.98532834181735</v>
      </c>
      <c r="AM32" s="258">
        <f>Monthly!AG14</f>
        <v>23.54480866230853</v>
      </c>
      <c r="AN32" s="258">
        <f>Monthly!AH14</f>
        <v>23.443893475857116</v>
      </c>
      <c r="AO32" s="258">
        <f>Monthly!AI14</f>
        <v>21.978350461360186</v>
      </c>
      <c r="AP32" s="258">
        <f>Monthly!AJ14</f>
        <v>21.48545821582611</v>
      </c>
      <c r="AQ32" s="258">
        <f>Monthly!AK14</f>
        <v>21.099846036626172</v>
      </c>
      <c r="AR32" s="258">
        <f>Monthly!AL14</f>
        <v>20.741711470616472</v>
      </c>
      <c r="AS32" s="259">
        <f>Monthly!AM14</f>
        <v>20.567718531669986</v>
      </c>
      <c r="AT32" s="258">
        <f>Monthly!AN14</f>
        <v>20.750732967269698</v>
      </c>
      <c r="AU32" s="258">
        <f>Monthly!AO14</f>
        <v>20.819902077160599</v>
      </c>
      <c r="AV32" s="258">
        <f>Monthly!AP14</f>
        <v>21.069809120645466</v>
      </c>
      <c r="AW32" s="258">
        <f>Monthly!AQ14</f>
        <v>21.933779992824661</v>
      </c>
      <c r="AX32" s="258">
        <f>Monthly!AR14</f>
        <v>22.745250526991224</v>
      </c>
      <c r="AY32" s="258">
        <f>Monthly!AS14</f>
        <v>23.296929684594847</v>
      </c>
      <c r="AZ32" s="258">
        <f>Monthly!AT14</f>
        <v>23.350689609510646</v>
      </c>
      <c r="BA32" s="258">
        <f>Monthly!AU14</f>
        <v>22.11622335675774</v>
      </c>
      <c r="BB32" s="258">
        <f>Monthly!AV14</f>
        <v>21.810715092693755</v>
      </c>
      <c r="BC32" s="258">
        <f>Monthly!AW14</f>
        <v>21.616770102731884</v>
      </c>
      <c r="BD32" s="258">
        <f>Monthly!AX14</f>
        <v>21.444348062610288</v>
      </c>
      <c r="BE32" s="259">
        <f>Monthly!AY14</f>
        <v>21.434269800281932</v>
      </c>
      <c r="BF32" s="258">
        <f>Monthly!AZ14</f>
        <v>21.505717366282873</v>
      </c>
      <c r="BG32" s="258">
        <f>Monthly!BA14</f>
        <v>21.577403090837151</v>
      </c>
      <c r="BH32" s="258">
        <f>Monthly!BB14</f>
        <v>21.836402628516424</v>
      </c>
      <c r="BI32" s="258">
        <f>Monthly!BC14</f>
        <v>22.731807789341033</v>
      </c>
      <c r="BJ32" s="258">
        <f>Monthly!BD14</f>
        <v>23.572802465836499</v>
      </c>
      <c r="BK32" s="258">
        <f>Monthly!BE14</f>
        <v>24.144553644891527</v>
      </c>
      <c r="BL32" s="258">
        <f>Monthly!BF14</f>
        <v>24.200269544310373</v>
      </c>
      <c r="BM32" s="258">
        <f>Monthly!BG14</f>
        <v>22.920889082338604</v>
      </c>
      <c r="BN32" s="258">
        <f>Monthly!BH14</f>
        <v>22.604265356786986</v>
      </c>
      <c r="BO32" s="258">
        <f>Monthly!BI14</f>
        <v>22.403263968291196</v>
      </c>
      <c r="BP32" s="258">
        <f>Monthly!BJ14</f>
        <v>22.224568609991245</v>
      </c>
      <c r="BQ32" s="258">
        <f>Monthly!BK14</f>
        <v>22.214123665153931</v>
      </c>
      <c r="BR32" s="258">
        <f>Monthly!BL14</f>
        <v>22.288170744037782</v>
      </c>
      <c r="BS32" s="258">
        <f>Monthly!BM14</f>
        <v>22.362464646517907</v>
      </c>
      <c r="BT32" s="258">
        <f>Monthly!BN14</f>
        <v>22.630887495200604</v>
      </c>
      <c r="BU32" s="258">
        <f>Monthly!BO14</f>
        <v>23.558870634272285</v>
      </c>
      <c r="BW32" s="258">
        <f t="shared" ref="BW32:CA32" si="37">AVERAGEIF($J$6:$BU$6,BW$9,$J32:$BU32)</f>
        <v>20.495234923775183</v>
      </c>
      <c r="BX32" s="258">
        <f t="shared" si="37"/>
        <v>21.240923408416517</v>
      </c>
      <c r="BY32" s="258">
        <f t="shared" si="37"/>
        <v>21.716653411856424</v>
      </c>
      <c r="BZ32" s="258">
        <f t="shared" si="37"/>
        <v>21.865785032839398</v>
      </c>
      <c r="CA32" s="258">
        <f t="shared" si="37"/>
        <v>22.661338934381487</v>
      </c>
      <c r="CB32" s="258">
        <f>CA32*(1+Inputs!$C$34)</f>
        <v>23.567792491756748</v>
      </c>
      <c r="CC32" s="258">
        <f>CB32*(1+Inputs!$C$34)</f>
        <v>24.510504191427017</v>
      </c>
      <c r="CD32" s="258">
        <f>CC32*(1+Inputs!$C$34)</f>
        <v>25.490924359084097</v>
      </c>
      <c r="CE32" s="258">
        <f>CD32*(1+Inputs!$C$34)</f>
        <v>26.510561333447463</v>
      </c>
      <c r="CF32" s="258">
        <f>CE32*(1+Inputs!$C$34)</f>
        <v>27.570983786785362</v>
      </c>
      <c r="CG32" s="258">
        <f>CF32*(1+Inputs!$C$34)</f>
        <v>28.673823138256779</v>
      </c>
      <c r="CH32" s="258">
        <f>CG32*(1+Inputs!$C$34)</f>
        <v>29.820776063787051</v>
      </c>
      <c r="CI32" s="258">
        <f>CH32*(1+Inputs!$C$34)</f>
        <v>31.013607106338533</v>
      </c>
      <c r="CJ32" s="258">
        <f>CI32*(1+Inputs!$C$34)</f>
        <v>32.254151390592078</v>
      </c>
      <c r="CK32" s="258">
        <f>CJ32*(1+Inputs!$C$34)</f>
        <v>33.544317446215764</v>
      </c>
    </row>
    <row r="33" spans="1:89" ht="14.25" customHeight="1" outlineLevel="1" x14ac:dyDescent="0.2">
      <c r="A33" s="11">
        <f t="shared" si="36"/>
        <v>0</v>
      </c>
      <c r="B33" s="11" t="s">
        <v>320</v>
      </c>
      <c r="D33" s="249"/>
      <c r="E33" s="3"/>
      <c r="F33" s="56" t="s">
        <v>321</v>
      </c>
      <c r="I33" s="261"/>
      <c r="J33" s="258">
        <f>Monthly!D23</f>
        <v>18.175812993534755</v>
      </c>
      <c r="K33" s="258">
        <f>Monthly!E23</f>
        <v>18.236399036846546</v>
      </c>
      <c r="L33" s="258">
        <f>Monthly!F23</f>
        <v>18.4795510240045</v>
      </c>
      <c r="M33" s="258">
        <f>Monthly!G23</f>
        <v>19.280331568378024</v>
      </c>
      <c r="N33" s="258">
        <f>Monthly!H23</f>
        <v>20.115812603007747</v>
      </c>
      <c r="O33" s="258">
        <f>Monthly!I23</f>
        <v>20.685760626759631</v>
      </c>
      <c r="P33" s="258">
        <f>Monthly!J23</f>
        <v>20.754713162182163</v>
      </c>
      <c r="Q33" s="258">
        <f>Monthly!K23</f>
        <v>19.578612749658504</v>
      </c>
      <c r="R33" s="258">
        <f>Monthly!L23</f>
        <v>19.252302537164198</v>
      </c>
      <c r="S33" s="258">
        <f>Monthly!M23</f>
        <v>19.027692340897278</v>
      </c>
      <c r="T33" s="258">
        <f>Monthly!N23</f>
        <v>18.824730289261041</v>
      </c>
      <c r="U33" s="259">
        <f>Monthly!O23</f>
        <v>18.774531008489681</v>
      </c>
      <c r="V33" s="260">
        <f>Monthly!P23</f>
        <v>18.83711277851798</v>
      </c>
      <c r="W33" s="258">
        <f>Monthly!Q23</f>
        <v>18.899903154446378</v>
      </c>
      <c r="X33" s="258">
        <f>Monthly!R23</f>
        <v>19.151901863172331</v>
      </c>
      <c r="Y33" s="258">
        <f>Monthly!S23</f>
        <v>19.981817610576464</v>
      </c>
      <c r="Z33" s="258">
        <f>Monthly!T23</f>
        <v>20.847696373701446</v>
      </c>
      <c r="AA33" s="258">
        <f>Monthly!U23</f>
        <v>21.438381104289654</v>
      </c>
      <c r="AB33" s="258">
        <f>Monthly!V23</f>
        <v>21.509842374637287</v>
      </c>
      <c r="AC33" s="258">
        <f>Monthly!W23</f>
        <v>20.290951306741174</v>
      </c>
      <c r="AD33" s="258">
        <f>Monthly!X23</f>
        <v>19.952768784962153</v>
      </c>
      <c r="AE33" s="258">
        <f>Monthly!Y23</f>
        <v>19.719986482470929</v>
      </c>
      <c r="AF33" s="258">
        <f>Monthly!Z23</f>
        <v>19.509639959991233</v>
      </c>
      <c r="AG33" s="259">
        <f>Monthly!AA23</f>
        <v>19.457614253431259</v>
      </c>
      <c r="AH33" s="258">
        <f>Monthly!AB23</f>
        <v>19.522472967609367</v>
      </c>
      <c r="AI33" s="258">
        <f>Monthly!AC23</f>
        <v>19.5875478775014</v>
      </c>
      <c r="AJ33" s="258">
        <f>Monthly!AD23</f>
        <v>19.848715182534754</v>
      </c>
      <c r="AK33" s="258">
        <f>Monthly!AE23</f>
        <v>20.708826173777929</v>
      </c>
      <c r="AL33" s="258">
        <f>Monthly!AF23</f>
        <v>21.606208641308307</v>
      </c>
      <c r="AM33" s="258">
        <f>Monthly!AG23</f>
        <v>22.132120142570017</v>
      </c>
      <c r="AN33" s="258">
        <f>Monthly!AH23</f>
        <v>22.037259867305686</v>
      </c>
      <c r="AO33" s="258">
        <f>Monthly!AI23</f>
        <v>20.659649433678574</v>
      </c>
      <c r="AP33" s="258">
        <f>Monthly!AJ23</f>
        <v>20.196330722876542</v>
      </c>
      <c r="AQ33" s="258">
        <f>Monthly!AK23</f>
        <v>19.833855274428601</v>
      </c>
      <c r="AR33" s="258">
        <f>Monthly!AL23</f>
        <v>19.497208782379481</v>
      </c>
      <c r="AS33" s="259">
        <f>Monthly!AM23</f>
        <v>19.333655419769787</v>
      </c>
      <c r="AT33" s="258">
        <f>Monthly!AN23</f>
        <v>19.505688989233519</v>
      </c>
      <c r="AU33" s="258">
        <f>Monthly!AO23</f>
        <v>19.570707952530963</v>
      </c>
      <c r="AV33" s="258">
        <f>Monthly!AP23</f>
        <v>19.805620573406738</v>
      </c>
      <c r="AW33" s="258">
        <f>Monthly!AQ23</f>
        <v>20.617753193255183</v>
      </c>
      <c r="AX33" s="258">
        <f>Monthly!AR23</f>
        <v>21.380535495371745</v>
      </c>
      <c r="AY33" s="258">
        <f>Monthly!AS23</f>
        <v>21.899113903519154</v>
      </c>
      <c r="AZ33" s="258">
        <f>Monthly!AT23</f>
        <v>21.949648232940003</v>
      </c>
      <c r="BA33" s="258">
        <f>Monthly!AU23</f>
        <v>20.789249955352275</v>
      </c>
      <c r="BB33" s="258">
        <f>Monthly!AV23</f>
        <v>20.502072187132129</v>
      </c>
      <c r="BC33" s="258">
        <f>Monthly!AW23</f>
        <v>20.31976389656797</v>
      </c>
      <c r="BD33" s="258">
        <f>Monthly!AX23</f>
        <v>20.157687178853671</v>
      </c>
      <c r="BE33" s="259">
        <f>Monthly!AY23</f>
        <v>20.148213612265018</v>
      </c>
      <c r="BF33" s="258">
        <f>Monthly!AZ23</f>
        <v>20.215374324305898</v>
      </c>
      <c r="BG33" s="258">
        <f>Monthly!BA23</f>
        <v>20.28275890538692</v>
      </c>
      <c r="BH33" s="258">
        <f>Monthly!BB23</f>
        <v>20.526218470805439</v>
      </c>
      <c r="BI33" s="258">
        <f>Monthly!BC23</f>
        <v>21.36789932198057</v>
      </c>
      <c r="BJ33" s="258">
        <f>Monthly!BD23</f>
        <v>22.158434317886311</v>
      </c>
      <c r="BK33" s="258">
        <f>Monthly!BE23</f>
        <v>22.695880426198034</v>
      </c>
      <c r="BL33" s="258">
        <f>Monthly!BF23</f>
        <v>22.748253371651746</v>
      </c>
      <c r="BM33" s="258">
        <f>Monthly!BG23</f>
        <v>21.545635737398285</v>
      </c>
      <c r="BN33" s="258">
        <f>Monthly!BH23</f>
        <v>21.248009435379764</v>
      </c>
      <c r="BO33" s="258">
        <f>Monthly!BI23</f>
        <v>21.059068130193722</v>
      </c>
      <c r="BP33" s="258">
        <f>Monthly!BJ23</f>
        <v>20.891094493391769</v>
      </c>
      <c r="BQ33" s="258">
        <f>Monthly!BK23</f>
        <v>20.881276245244692</v>
      </c>
      <c r="BR33" s="258">
        <f>Monthly!BL23</f>
        <v>20.950880499395517</v>
      </c>
      <c r="BS33" s="258">
        <f>Monthly!BM23</f>
        <v>21.020716767726828</v>
      </c>
      <c r="BT33" s="258">
        <f>Monthly!BN23</f>
        <v>21.273034245488567</v>
      </c>
      <c r="BU33" s="258">
        <f>Monthly!BO23</f>
        <v>22.145338396215944</v>
      </c>
      <c r="BW33" s="258">
        <f t="shared" ref="BW33:CA33" si="38">AVERAGEIF($J$6:$BU$6,BW$9,$J33:$BU33)</f>
        <v>19.265520828348674</v>
      </c>
      <c r="BX33" s="258">
        <f t="shared" si="38"/>
        <v>19.966468003911526</v>
      </c>
      <c r="BY33" s="258">
        <f t="shared" si="38"/>
        <v>20.41365420714504</v>
      </c>
      <c r="BZ33" s="258">
        <f t="shared" si="38"/>
        <v>20.553837930869026</v>
      </c>
      <c r="CA33" s="258">
        <f t="shared" si="38"/>
        <v>21.301658598318593</v>
      </c>
      <c r="CB33" s="258">
        <f>CA33*(1+Inputs!$C$34)</f>
        <v>22.153724942251337</v>
      </c>
      <c r="CC33" s="258">
        <f>CB33*(1+Inputs!$C$34)</f>
        <v>23.039873939941391</v>
      </c>
      <c r="CD33" s="258">
        <f>CC33*(1+Inputs!$C$34)</f>
        <v>23.961468897539046</v>
      </c>
      <c r="CE33" s="258">
        <f>CD33*(1+Inputs!$C$34)</f>
        <v>24.91992765344061</v>
      </c>
      <c r="CF33" s="258">
        <f>CE33*(1+Inputs!$C$34)</f>
        <v>25.916724759578234</v>
      </c>
      <c r="CG33" s="258">
        <f>CF33*(1+Inputs!$C$34)</f>
        <v>26.953393749961364</v>
      </c>
      <c r="CH33" s="258">
        <f>CG33*(1+Inputs!$C$34)</f>
        <v>28.03152949995982</v>
      </c>
      <c r="CI33" s="258">
        <f>CH33*(1+Inputs!$C$34)</f>
        <v>29.152790679958215</v>
      </c>
      <c r="CJ33" s="258">
        <f>CI33*(1+Inputs!$C$34)</f>
        <v>30.318902307156545</v>
      </c>
      <c r="CK33" s="258">
        <f>CJ33*(1+Inputs!$C$34)</f>
        <v>31.531658399442808</v>
      </c>
    </row>
    <row r="34" spans="1:89" ht="14.25" customHeight="1" outlineLevel="1" x14ac:dyDescent="0.2">
      <c r="A34" s="11">
        <f t="shared" si="36"/>
        <v>0</v>
      </c>
      <c r="B34" s="11" t="s">
        <v>322</v>
      </c>
      <c r="D34" s="249"/>
      <c r="E34" s="3"/>
      <c r="F34" s="56" t="s">
        <v>11</v>
      </c>
      <c r="I34" s="55">
        <f>IFERROR((Inputs!$C$20-Inputs!$C$30)/(Inputs!$C$18-Inputs!$C$24)*12,0)</f>
        <v>0</v>
      </c>
      <c r="J34" s="258">
        <f t="shared" ref="J34:BU34" si="39">(J54/J25)*12</f>
        <v>18.175812993534755</v>
      </c>
      <c r="K34" s="258">
        <f t="shared" si="39"/>
        <v>18.205922181700618</v>
      </c>
      <c r="L34" s="258">
        <f t="shared" si="39"/>
        <v>18.324383892603841</v>
      </c>
      <c r="M34" s="258">
        <f t="shared" si="39"/>
        <v>18.644271786405977</v>
      </c>
      <c r="N34" s="258">
        <f t="shared" si="39"/>
        <v>19.165449511653879</v>
      </c>
      <c r="O34" s="258">
        <f t="shared" si="39"/>
        <v>19.760768955489748</v>
      </c>
      <c r="P34" s="258">
        <f t="shared" si="39"/>
        <v>20.085302092062847</v>
      </c>
      <c r="Q34" s="258">
        <f t="shared" si="39"/>
        <v>20.121591975980181</v>
      </c>
      <c r="R34" s="258">
        <f t="shared" si="39"/>
        <v>20.123861790494857</v>
      </c>
      <c r="S34" s="258">
        <f t="shared" si="39"/>
        <v>20.170155408378825</v>
      </c>
      <c r="T34" s="258">
        <f t="shared" si="39"/>
        <v>20.155966216600028</v>
      </c>
      <c r="U34" s="258">
        <f t="shared" si="39"/>
        <v>20.160365481173752</v>
      </c>
      <c r="V34" s="258">
        <f t="shared" si="39"/>
        <v>20.145554896165311</v>
      </c>
      <c r="W34" s="258">
        <f t="shared" si="39"/>
        <v>20.139689936256875</v>
      </c>
      <c r="X34" s="258">
        <f t="shared" si="39"/>
        <v>20.141858694046267</v>
      </c>
      <c r="Y34" s="258">
        <f t="shared" si="39"/>
        <v>20.256499266600056</v>
      </c>
      <c r="Z34" s="258">
        <f t="shared" si="39"/>
        <v>20.470980790289161</v>
      </c>
      <c r="AA34" s="258">
        <f t="shared" si="39"/>
        <v>20.784408021316061</v>
      </c>
      <c r="AB34" s="258">
        <f t="shared" si="39"/>
        <v>21.007309947168761</v>
      </c>
      <c r="AC34" s="258">
        <f t="shared" si="39"/>
        <v>21.06628890683962</v>
      </c>
      <c r="AD34" s="258">
        <f t="shared" si="39"/>
        <v>21.099091431136813</v>
      </c>
      <c r="AE34" s="258">
        <f t="shared" si="39"/>
        <v>21.163569463960876</v>
      </c>
      <c r="AF34" s="258">
        <f t="shared" si="39"/>
        <v>21.180024215317722</v>
      </c>
      <c r="AG34" s="258">
        <f t="shared" si="39"/>
        <v>21.209467319939307</v>
      </c>
      <c r="AH34" s="258">
        <f t="shared" si="39"/>
        <v>21.250935276293568</v>
      </c>
      <c r="AI34" s="258">
        <f t="shared" si="39"/>
        <v>21.293720173945221</v>
      </c>
      <c r="AJ34" s="258">
        <f t="shared" si="39"/>
        <v>21.338305780448064</v>
      </c>
      <c r="AK34" s="258">
        <f t="shared" si="39"/>
        <v>21.454853192179076</v>
      </c>
      <c r="AL34" s="258">
        <f t="shared" si="39"/>
        <v>21.631414257824609</v>
      </c>
      <c r="AM34" s="258">
        <f t="shared" si="39"/>
        <v>21.851619444315318</v>
      </c>
      <c r="AN34" s="258">
        <f t="shared" si="39"/>
        <v>22.012833943243194</v>
      </c>
      <c r="AO34" s="258">
        <f t="shared" si="39"/>
        <v>22.051291144972151</v>
      </c>
      <c r="AP34" s="258">
        <f t="shared" si="39"/>
        <v>22.065365205175706</v>
      </c>
      <c r="AQ34" s="258">
        <f t="shared" si="39"/>
        <v>22.096673884929409</v>
      </c>
      <c r="AR34" s="258">
        <f t="shared" si="39"/>
        <v>22.073619414224257</v>
      </c>
      <c r="AS34" s="258">
        <f t="shared" si="39"/>
        <v>22.057439713871037</v>
      </c>
      <c r="AT34" s="258">
        <f t="shared" si="39"/>
        <v>22.15167912303972</v>
      </c>
      <c r="AU34" s="258">
        <f t="shared" si="39"/>
        <v>22.214703858934087</v>
      </c>
      <c r="AV34" s="258">
        <f t="shared" si="39"/>
        <v>22.275227970047091</v>
      </c>
      <c r="AW34" s="258">
        <f t="shared" si="39"/>
        <v>22.380940519537532</v>
      </c>
      <c r="AX34" s="258">
        <f t="shared" si="39"/>
        <v>22.509281479058842</v>
      </c>
      <c r="AY34" s="258">
        <f t="shared" si="39"/>
        <v>22.638010988216507</v>
      </c>
      <c r="AZ34" s="258">
        <f t="shared" si="39"/>
        <v>22.758488498867564</v>
      </c>
      <c r="BA34" s="258">
        <f t="shared" si="39"/>
        <v>22.834972966901397</v>
      </c>
      <c r="BB34" s="258">
        <f t="shared" si="39"/>
        <v>22.902082552293045</v>
      </c>
      <c r="BC34" s="258">
        <f t="shared" si="39"/>
        <v>22.985204401550973</v>
      </c>
      <c r="BD34" s="258">
        <f t="shared" si="39"/>
        <v>23.030612926784165</v>
      </c>
      <c r="BE34" s="258">
        <f t="shared" si="39"/>
        <v>23.088462026396073</v>
      </c>
      <c r="BF34" s="258">
        <f t="shared" si="39"/>
        <v>23.149371266451656</v>
      </c>
      <c r="BG34" s="258">
        <f t="shared" si="39"/>
        <v>23.215186720143482</v>
      </c>
      <c r="BH34" s="258">
        <f t="shared" si="39"/>
        <v>23.280202880845131</v>
      </c>
      <c r="BI34" s="258">
        <f t="shared" si="39"/>
        <v>23.388059278321474</v>
      </c>
      <c r="BJ34" s="258">
        <f t="shared" si="39"/>
        <v>23.513699201985713</v>
      </c>
      <c r="BK34" s="258">
        <f t="shared" si="39"/>
        <v>23.655521784665883</v>
      </c>
      <c r="BL34" s="258">
        <f t="shared" si="39"/>
        <v>23.783405235701625</v>
      </c>
      <c r="BM34" s="258">
        <f t="shared" si="39"/>
        <v>23.86876265805429</v>
      </c>
      <c r="BN34" s="258">
        <f t="shared" si="39"/>
        <v>23.937104521708253</v>
      </c>
      <c r="BO34" s="258">
        <f t="shared" si="39"/>
        <v>24.017175417578414</v>
      </c>
      <c r="BP34" s="258">
        <f t="shared" si="39"/>
        <v>24.059126759501677</v>
      </c>
      <c r="BQ34" s="258">
        <f t="shared" si="39"/>
        <v>24.114293174370317</v>
      </c>
      <c r="BR34" s="258">
        <f t="shared" si="39"/>
        <v>23.995567662432848</v>
      </c>
      <c r="BS34" s="258">
        <f t="shared" si="39"/>
        <v>24.024254912064851</v>
      </c>
      <c r="BT34" s="258">
        <f t="shared" si="39"/>
        <v>24.070215737268853</v>
      </c>
      <c r="BU34" s="258">
        <f t="shared" si="39"/>
        <v>24.16057438394262</v>
      </c>
      <c r="BW34" s="258">
        <f t="shared" ref="BW34:CK34" si="40">BW54/BW25</f>
        <v>19.859233071721498</v>
      </c>
      <c r="BX34" s="258">
        <f t="shared" si="40"/>
        <v>20.810242046836876</v>
      </c>
      <c r="BY34" s="258">
        <f t="shared" si="40"/>
        <v>21.794342109487307</v>
      </c>
      <c r="BZ34" s="258">
        <f t="shared" si="40"/>
        <v>22.648494719726632</v>
      </c>
      <c r="CA34" s="258">
        <f t="shared" si="40"/>
        <v>23.666244382776995</v>
      </c>
      <c r="CB34" s="258">
        <f t="shared" si="40"/>
        <v>24.612894158088075</v>
      </c>
      <c r="CC34" s="258">
        <f t="shared" si="40"/>
        <v>25.5974099244116</v>
      </c>
      <c r="CD34" s="258">
        <f t="shared" si="40"/>
        <v>26.621306321388065</v>
      </c>
      <c r="CE34" s="258">
        <f t="shared" si="40"/>
        <v>27.686158574243589</v>
      </c>
      <c r="CF34" s="258">
        <f t="shared" si="40"/>
        <v>28.793604917213333</v>
      </c>
      <c r="CG34" s="258">
        <f t="shared" si="40"/>
        <v>29.945349113901869</v>
      </c>
      <c r="CH34" s="258">
        <f t="shared" si="40"/>
        <v>31.143163078457949</v>
      </c>
      <c r="CI34" s="258">
        <f t="shared" si="40"/>
        <v>32.388889601596269</v>
      </c>
      <c r="CJ34" s="258">
        <f t="shared" si="40"/>
        <v>33.684445185660117</v>
      </c>
      <c r="CK34" s="258">
        <f t="shared" si="40"/>
        <v>35.031822993086521</v>
      </c>
    </row>
    <row r="35" spans="1:89" ht="14.25" customHeight="1" outlineLevel="1" x14ac:dyDescent="0.2">
      <c r="A35" s="11">
        <f t="shared" si="36"/>
        <v>0</v>
      </c>
      <c r="B35" s="11"/>
      <c r="D35" s="216" t="s">
        <v>28</v>
      </c>
      <c r="E35" s="217"/>
      <c r="F35" s="218"/>
      <c r="G35" s="217"/>
      <c r="H35" s="217"/>
      <c r="I35" s="219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62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62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62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62"/>
      <c r="BF35" s="220"/>
      <c r="BG35" s="220"/>
      <c r="BH35" s="220"/>
      <c r="BI35" s="220"/>
      <c r="BJ35" s="220"/>
      <c r="BK35" s="220"/>
      <c r="BL35" s="220"/>
      <c r="BM35" s="220"/>
      <c r="BN35" s="220"/>
      <c r="BO35" s="220"/>
      <c r="BP35" s="220"/>
      <c r="BQ35" s="220"/>
      <c r="BR35" s="220"/>
      <c r="BS35" s="220"/>
      <c r="BT35" s="220"/>
      <c r="BU35" s="220"/>
    </row>
    <row r="36" spans="1:89" ht="14.25" customHeight="1" outlineLevel="1" x14ac:dyDescent="0.2">
      <c r="A36" s="11">
        <f t="shared" si="36"/>
        <v>0</v>
      </c>
      <c r="B36" s="11" t="s">
        <v>323</v>
      </c>
      <c r="F36" s="56" t="s">
        <v>324</v>
      </c>
      <c r="I36" s="1"/>
      <c r="J36" s="250">
        <f>IF(Inputs!$I$36=0,Monthly!D42,Inputs!$I$36)</f>
        <v>-2.5000000000000001E-2</v>
      </c>
      <c r="K36" s="250">
        <f>IF(Inputs!$I$36=0,Monthly!E42,Inputs!$I$36)</f>
        <v>-2.5000000000000001E-2</v>
      </c>
      <c r="L36" s="250">
        <f>IF(Inputs!$I$36=0,Monthly!F42,Inputs!$I$36)</f>
        <v>-2.5000000000000001E-2</v>
      </c>
      <c r="M36" s="250">
        <f>IF(Inputs!$I$36=0,Monthly!G42,Inputs!$I$36)</f>
        <v>-2.5000000000000001E-2</v>
      </c>
      <c r="N36" s="250">
        <f>IF(Inputs!$I$36=0,Monthly!H42,Inputs!$I$36)</f>
        <v>-2.5000000000000001E-2</v>
      </c>
      <c r="O36" s="250">
        <f>IF(Inputs!$I$36=0,Monthly!I42,Inputs!$I$36)</f>
        <v>-2.5000000000000001E-2</v>
      </c>
      <c r="P36" s="250">
        <f>IF(Inputs!$I$36=0,Monthly!J42,Inputs!$I$36)</f>
        <v>-2.5000000000000001E-2</v>
      </c>
      <c r="Q36" s="250">
        <f>IF(Inputs!$I$36=0,Monthly!K42,Inputs!$I$36)</f>
        <v>-2.5000000000000001E-2</v>
      </c>
      <c r="R36" s="250">
        <f>IF(Inputs!$I$36=0,Monthly!L42,Inputs!$I$36)</f>
        <v>-2.5000000000000001E-2</v>
      </c>
      <c r="S36" s="250">
        <f>IF(Inputs!$I$36=0,Monthly!M42,Inputs!$I$36)</f>
        <v>-2.5000000000000001E-2</v>
      </c>
      <c r="T36" s="250">
        <f>IF(Inputs!$I$36=0,Monthly!N42,Inputs!$I$36)</f>
        <v>-2.5000000000000001E-2</v>
      </c>
      <c r="U36" s="252">
        <f>IF(Inputs!$I$36=0,Monthly!O42,Inputs!$I$36)</f>
        <v>-2.5000000000000001E-2</v>
      </c>
      <c r="V36" s="251">
        <f>IF(Inputs!$I$36=0,Monthly!P42,Inputs!$I$36)</f>
        <v>-2.5000000000000001E-2</v>
      </c>
      <c r="W36" s="250">
        <f>IF(Inputs!$I$36=0,Monthly!Q42,Inputs!$I$36)</f>
        <v>-2.5000000000000001E-2</v>
      </c>
      <c r="X36" s="250">
        <f>IF(Inputs!$I$36=0,Monthly!R42,Inputs!$I$36)</f>
        <v>-2.5000000000000001E-2</v>
      </c>
      <c r="Y36" s="250">
        <f>IF(Inputs!$I$36=0,Monthly!S42,Inputs!$I$36)</f>
        <v>-2.5000000000000001E-2</v>
      </c>
      <c r="Z36" s="250">
        <f>IF(Inputs!$I$36=0,Monthly!T42,Inputs!$I$36)</f>
        <v>-2.5000000000000001E-2</v>
      </c>
      <c r="AA36" s="250">
        <f>IF(Inputs!$I$36=0,Monthly!U42,Inputs!$I$36)</f>
        <v>-2.5000000000000001E-2</v>
      </c>
      <c r="AB36" s="250">
        <f>IF(Inputs!$I$36=0,Monthly!V42,Inputs!$I$36)</f>
        <v>-2.5000000000000001E-2</v>
      </c>
      <c r="AC36" s="250">
        <f>IF(Inputs!$I$36=0,Monthly!W42,Inputs!$I$36)</f>
        <v>-2.5000000000000001E-2</v>
      </c>
      <c r="AD36" s="250">
        <f>IF(Inputs!$I$36=0,Monthly!X42,Inputs!$I$36)</f>
        <v>-2.5000000000000001E-2</v>
      </c>
      <c r="AE36" s="250">
        <f>IF(Inputs!$I$36=0,Monthly!Y42,Inputs!$I$36)</f>
        <v>-2.5000000000000001E-2</v>
      </c>
      <c r="AF36" s="250">
        <f>IF(Inputs!$I$36=0,Monthly!Z42,Inputs!$I$36)</f>
        <v>-2.5000000000000001E-2</v>
      </c>
      <c r="AG36" s="252">
        <f>IF(Inputs!$I$36=0,Monthly!AA42,Inputs!$I$36)</f>
        <v>-2.5000000000000001E-2</v>
      </c>
      <c r="AH36" s="250">
        <f>IF(Inputs!$I$36=0,Monthly!AB42,Inputs!$I$36)</f>
        <v>-2.5000000000000001E-2</v>
      </c>
      <c r="AI36" s="250">
        <f>IF(Inputs!$I$36=0,Monthly!AC42,Inputs!$I$36)</f>
        <v>-2.5000000000000001E-2</v>
      </c>
      <c r="AJ36" s="250">
        <f>IF(Inputs!$I$36=0,Monthly!AD42,Inputs!$I$36)</f>
        <v>-2.5000000000000001E-2</v>
      </c>
      <c r="AK36" s="250">
        <f>IF(Inputs!$I$36=0,Monthly!AE42,Inputs!$I$36)</f>
        <v>-2.5000000000000001E-2</v>
      </c>
      <c r="AL36" s="250">
        <f>IF(Inputs!$I$36=0,Monthly!AF42,Inputs!$I$36)</f>
        <v>-2.5000000000000001E-2</v>
      </c>
      <c r="AM36" s="250">
        <f>IF(Inputs!$I$36=0,Monthly!AG42,Inputs!$I$36)</f>
        <v>-2.5000000000000001E-2</v>
      </c>
      <c r="AN36" s="250">
        <f>IF(Inputs!$I$36=0,Monthly!AH42,Inputs!$I$36)</f>
        <v>-2.5000000000000001E-2</v>
      </c>
      <c r="AO36" s="250">
        <f>IF(Inputs!$I$36=0,Monthly!AI42,Inputs!$I$36)</f>
        <v>-2.5000000000000001E-2</v>
      </c>
      <c r="AP36" s="250">
        <f>IF(Inputs!$I$36=0,Monthly!AJ42,Inputs!$I$36)</f>
        <v>-2.5000000000000001E-2</v>
      </c>
      <c r="AQ36" s="250">
        <f>IF(Inputs!$I$36=0,Monthly!AK42,Inputs!$I$36)</f>
        <v>-2.5000000000000001E-2</v>
      </c>
      <c r="AR36" s="250">
        <f>IF(Inputs!$I$36=0,Monthly!AL42,Inputs!$I$36)</f>
        <v>-2.5000000000000001E-2</v>
      </c>
      <c r="AS36" s="252">
        <f>IF(Inputs!$I$36=0,Monthly!AM42,Inputs!$I$36)</f>
        <v>-2.5000000000000001E-2</v>
      </c>
      <c r="AT36" s="250">
        <f>IF(Inputs!$I$36=0,Monthly!AN42,Inputs!$I$36)</f>
        <v>-2.5000000000000001E-2</v>
      </c>
      <c r="AU36" s="250">
        <f>IF(Inputs!$I$36=0,Monthly!AO42,Inputs!$I$36)</f>
        <v>-2.5000000000000001E-2</v>
      </c>
      <c r="AV36" s="250">
        <f>IF(Inputs!$I$36=0,Monthly!AP42,Inputs!$I$36)</f>
        <v>-2.5000000000000001E-2</v>
      </c>
      <c r="AW36" s="250">
        <f>IF(Inputs!$I$36=0,Monthly!AQ42,Inputs!$I$36)</f>
        <v>-2.5000000000000001E-2</v>
      </c>
      <c r="AX36" s="250">
        <f>IF(Inputs!$I$36=0,Monthly!AR42,Inputs!$I$36)</f>
        <v>-2.5000000000000001E-2</v>
      </c>
      <c r="AY36" s="250">
        <f>IF(Inputs!$I$36=0,Monthly!AS42,Inputs!$I$36)</f>
        <v>-2.5000000000000001E-2</v>
      </c>
      <c r="AZ36" s="250">
        <f>IF(Inputs!$I$36=0,Monthly!AT42,Inputs!$I$36)</f>
        <v>-2.5000000000000001E-2</v>
      </c>
      <c r="BA36" s="250">
        <f>IF(Inputs!$I$36=0,Monthly!AU42,Inputs!$I$36)</f>
        <v>-2.5000000000000001E-2</v>
      </c>
      <c r="BB36" s="250">
        <f>IF(Inputs!$I$36=0,Monthly!AV42,Inputs!$I$36)</f>
        <v>-2.5000000000000001E-2</v>
      </c>
      <c r="BC36" s="250">
        <f>IF(Inputs!$I$36=0,Monthly!AW42,Inputs!$I$36)</f>
        <v>-2.5000000000000001E-2</v>
      </c>
      <c r="BD36" s="250">
        <f>IF(Inputs!$I$36=0,Monthly!AX42,Inputs!$I$36)</f>
        <v>-2.5000000000000001E-2</v>
      </c>
      <c r="BE36" s="252">
        <f>IF(Inputs!$I$36=0,Monthly!AY42,Inputs!$I$36)</f>
        <v>-2.5000000000000001E-2</v>
      </c>
      <c r="BF36" s="250">
        <f>IF(Inputs!$I$36=0,Monthly!AZ42,Inputs!$I$36)</f>
        <v>-2.5000000000000001E-2</v>
      </c>
      <c r="BG36" s="250">
        <f>IF(Inputs!$I$36=0,Monthly!BA42,Inputs!$I$36)</f>
        <v>-2.5000000000000001E-2</v>
      </c>
      <c r="BH36" s="250">
        <f>IF(Inputs!$I$36=0,Monthly!BB42,Inputs!$I$36)</f>
        <v>-2.5000000000000001E-2</v>
      </c>
      <c r="BI36" s="250">
        <f>IF(Inputs!$I$36=0,Monthly!BC42,Inputs!$I$36)</f>
        <v>-2.5000000000000001E-2</v>
      </c>
      <c r="BJ36" s="250">
        <f>IF(Inputs!$I$36=0,Monthly!BD42,Inputs!$I$36)</f>
        <v>-2.5000000000000001E-2</v>
      </c>
      <c r="BK36" s="250">
        <f>IF(Inputs!$I$36=0,Monthly!BE42,Inputs!$I$36)</f>
        <v>-2.5000000000000001E-2</v>
      </c>
      <c r="BL36" s="250">
        <f>IF(Inputs!$I$36=0,Monthly!BF42,Inputs!$I$36)</f>
        <v>-2.5000000000000001E-2</v>
      </c>
      <c r="BM36" s="250">
        <f>IF(Inputs!$I$36=0,Monthly!BG42,Inputs!$I$36)</f>
        <v>-2.5000000000000001E-2</v>
      </c>
      <c r="BN36" s="250">
        <f>IF(Inputs!$I$36=0,Monthly!BH42,Inputs!$I$36)</f>
        <v>-2.5000000000000001E-2</v>
      </c>
      <c r="BO36" s="250">
        <f>IF(Inputs!$I$36=0,Monthly!BI42,Inputs!$I$36)</f>
        <v>-2.5000000000000001E-2</v>
      </c>
      <c r="BP36" s="250">
        <f>IF(Inputs!$I$36=0,Monthly!BJ42,Inputs!$I$36)</f>
        <v>-2.5000000000000001E-2</v>
      </c>
      <c r="BQ36" s="250">
        <f>IF(Inputs!$I$36=0,Monthly!BK42,Inputs!$I$36)</f>
        <v>-2.5000000000000001E-2</v>
      </c>
      <c r="BR36" s="250">
        <f>IF(Inputs!$I$36=0,Monthly!BL42,Inputs!$I$36)</f>
        <v>-2.5000000000000001E-2</v>
      </c>
      <c r="BS36" s="250">
        <f>IF(Inputs!$I$36=0,Monthly!BM42,Inputs!$I$36)</f>
        <v>-2.5000000000000001E-2</v>
      </c>
      <c r="BT36" s="250">
        <f>IF(Inputs!$I$36=0,Monthly!BN42,Inputs!$I$36)</f>
        <v>-2.5000000000000001E-2</v>
      </c>
      <c r="BU36" s="250">
        <f>IF(Inputs!$I$36=0,Monthly!BO42,Inputs!$I$36)</f>
        <v>-2.5000000000000001E-2</v>
      </c>
      <c r="BW36" s="253">
        <f t="shared" ref="BW36:CK36" si="41">BW55/BW54</f>
        <v>-2.5000000000000001E-2</v>
      </c>
      <c r="BX36" s="253">
        <f t="shared" si="41"/>
        <v>-2.4999999999999998E-2</v>
      </c>
      <c r="BY36" s="253">
        <f t="shared" si="41"/>
        <v>-2.5000000000000001E-2</v>
      </c>
      <c r="BZ36" s="253">
        <f t="shared" si="41"/>
        <v>-2.5000000000000001E-2</v>
      </c>
      <c r="CA36" s="253">
        <f t="shared" si="41"/>
        <v>-2.5000000000000001E-2</v>
      </c>
      <c r="CB36" s="253">
        <f t="shared" si="41"/>
        <v>-2.4999999999999998E-2</v>
      </c>
      <c r="CC36" s="253">
        <f t="shared" si="41"/>
        <v>-2.4999999999999998E-2</v>
      </c>
      <c r="CD36" s="253">
        <f t="shared" si="41"/>
        <v>-2.4999999999999998E-2</v>
      </c>
      <c r="CE36" s="253">
        <f t="shared" si="41"/>
        <v>-2.5000000000000001E-2</v>
      </c>
      <c r="CF36" s="253">
        <f t="shared" si="41"/>
        <v>-2.4999999999999998E-2</v>
      </c>
      <c r="CG36" s="253">
        <f t="shared" si="41"/>
        <v>-2.4999999999999998E-2</v>
      </c>
      <c r="CH36" s="253">
        <f t="shared" si="41"/>
        <v>-2.4999999999999994E-2</v>
      </c>
      <c r="CI36" s="253">
        <f t="shared" si="41"/>
        <v>-2.4999999999999994E-2</v>
      </c>
      <c r="CJ36" s="253">
        <f t="shared" si="41"/>
        <v>-2.4999999999999994E-2</v>
      </c>
      <c r="CK36" s="253">
        <f t="shared" si="41"/>
        <v>-2.4999999999999994E-2</v>
      </c>
    </row>
    <row r="37" spans="1:89" ht="14.25" customHeight="1" outlineLevel="1" x14ac:dyDescent="0.2">
      <c r="A37" s="11"/>
      <c r="B37" s="11"/>
      <c r="F37" s="56"/>
      <c r="I37" s="1"/>
      <c r="U37" s="239"/>
      <c r="AG37" s="239"/>
      <c r="AS37" s="239"/>
      <c r="BE37" s="239"/>
    </row>
    <row r="38" spans="1:89" ht="8.25" customHeight="1" outlineLevel="1" x14ac:dyDescent="0.2">
      <c r="A38" s="11">
        <f t="shared" ref="A38:A45" si="42">$F$2</f>
        <v>0</v>
      </c>
      <c r="B38" s="11"/>
      <c r="D38" s="249"/>
      <c r="E38" s="3"/>
      <c r="F38" s="249"/>
      <c r="I38" s="1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3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3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3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3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</row>
    <row r="39" spans="1:89" ht="14.25" customHeight="1" outlineLevel="1" x14ac:dyDescent="0.2">
      <c r="A39" s="11">
        <f t="shared" si="42"/>
        <v>0</v>
      </c>
      <c r="B39" s="11"/>
      <c r="D39" s="216" t="s">
        <v>325</v>
      </c>
      <c r="E39" s="217"/>
      <c r="F39" s="218"/>
      <c r="G39" s="217"/>
      <c r="H39" s="217"/>
      <c r="I39" s="219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2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2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2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2"/>
      <c r="BF39" s="220"/>
      <c r="BG39" s="220"/>
      <c r="BH39" s="220"/>
      <c r="BI39" s="220"/>
      <c r="BJ39" s="220"/>
      <c r="BK39" s="220"/>
      <c r="BL39" s="220"/>
      <c r="BM39" s="220"/>
      <c r="BN39" s="220"/>
      <c r="BO39" s="220"/>
      <c r="BP39" s="220"/>
      <c r="BQ39" s="220"/>
      <c r="BR39" s="220"/>
      <c r="BS39" s="220"/>
      <c r="BT39" s="220"/>
      <c r="BU39" s="220"/>
      <c r="BW39" s="216" t="s">
        <v>326</v>
      </c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</row>
    <row r="40" spans="1:89" ht="14.25" customHeight="1" outlineLevel="2" x14ac:dyDescent="0.2">
      <c r="A40" s="11">
        <f t="shared" si="42"/>
        <v>0</v>
      </c>
      <c r="B40" s="11" t="s">
        <v>327</v>
      </c>
      <c r="F40" s="56" t="s">
        <v>328</v>
      </c>
      <c r="I40" s="1"/>
      <c r="J40" s="29">
        <f>Monthly!D22</f>
        <v>3497.1153150024606</v>
      </c>
      <c r="K40" s="29">
        <f>Monthly!E22</f>
        <v>3466.4432040252391</v>
      </c>
      <c r="L40" s="29">
        <f>Monthly!F22</f>
        <v>5195.5217155690143</v>
      </c>
      <c r="M40" s="29">
        <f>Monthly!G22</f>
        <v>5936.0469444912333</v>
      </c>
      <c r="N40" s="29">
        <f>Monthly!H22</f>
        <v>9519.1296426761128</v>
      </c>
      <c r="O40" s="29">
        <f>Monthly!I22</f>
        <v>9144.2548444099775</v>
      </c>
      <c r="P40" s="29">
        <f>Monthly!J22</f>
        <v>9051.8399339913158</v>
      </c>
      <c r="Q40" s="29">
        <f>Monthly!K22</f>
        <v>8135.1496745877221</v>
      </c>
      <c r="R40" s="29">
        <f>Monthly!L22</f>
        <v>7559.5167230179695</v>
      </c>
      <c r="S40" s="29">
        <f>Monthly!M22</f>
        <v>7649.1558674071211</v>
      </c>
      <c r="T40" s="29">
        <f>Monthly!N22</f>
        <v>7457.895006801984</v>
      </c>
      <c r="U40" s="239">
        <f>Monthly!O22</f>
        <v>6960.0148996289026</v>
      </c>
      <c r="V40" s="29">
        <f>Monthly!P22</f>
        <v>7859.3945534426066</v>
      </c>
      <c r="W40" s="29">
        <f>Monthly!Q22</f>
        <v>7894.7811377028129</v>
      </c>
      <c r="X40" s="29">
        <f>Monthly!R22</f>
        <v>10107.656106306758</v>
      </c>
      <c r="Y40" s="29">
        <f>Monthly!S22</f>
        <v>10860.605841640225</v>
      </c>
      <c r="Z40" s="29">
        <f>Monthly!T22</f>
        <v>14920.607008491033</v>
      </c>
      <c r="AA40" s="29">
        <f>Monthly!U22</f>
        <v>14636.476375413084</v>
      </c>
      <c r="AB40" s="29">
        <f>Monthly!V22</f>
        <v>14536.855064955866</v>
      </c>
      <c r="AC40" s="29">
        <f>Monthly!W22</f>
        <v>13569.208586195937</v>
      </c>
      <c r="AD40" s="29">
        <f>Monthly!X22</f>
        <v>12541.973185230914</v>
      </c>
      <c r="AE40" s="29">
        <f>Monthly!Y22</f>
        <v>12474.100619394152</v>
      </c>
      <c r="AF40" s="29">
        <f>Monthly!Z22</f>
        <v>12034.064441889235</v>
      </c>
      <c r="AG40" s="239">
        <f>Monthly!AA22</f>
        <v>11362.075953360341</v>
      </c>
      <c r="AH40" s="29">
        <f>Monthly!AB22</f>
        <v>10468.450810772045</v>
      </c>
      <c r="AI40" s="29">
        <f>Monthly!AC22</f>
        <v>10167.762475127103</v>
      </c>
      <c r="AJ40" s="29">
        <f>Monthly!AD22</f>
        <v>12172.751529369185</v>
      </c>
      <c r="AK40" s="29">
        <f>Monthly!AE22</f>
        <v>12667.941906690014</v>
      </c>
      <c r="AL40" s="29">
        <f>Monthly!AF22</f>
        <v>15758.992742427572</v>
      </c>
      <c r="AM40" s="29">
        <f>Monthly!AG22</f>
        <v>15742.773920101237</v>
      </c>
      <c r="AN40" s="29">
        <f>Monthly!AH22</f>
        <v>15699.242095050509</v>
      </c>
      <c r="AO40" s="29">
        <f>Monthly!AI22</f>
        <v>15043.298297760357</v>
      </c>
      <c r="AP40" s="29">
        <f>Monthly!AJ22</f>
        <v>13810.192239433594</v>
      </c>
      <c r="AQ40" s="29">
        <f>Monthly!AK22</f>
        <v>13497.981999839187</v>
      </c>
      <c r="AR40" s="29">
        <f>Monthly!AL22</f>
        <v>12878.289640001678</v>
      </c>
      <c r="AS40" s="239">
        <f>Monthly!AM22</f>
        <v>12139.877173747924</v>
      </c>
      <c r="AT40" s="29">
        <f>Monthly!AN22</f>
        <v>7435.4383219103674</v>
      </c>
      <c r="AU40" s="29">
        <f>Monthly!AO22</f>
        <v>8754.9437060097953</v>
      </c>
      <c r="AV40" s="29">
        <f>Monthly!AP22</f>
        <v>10081.606049843473</v>
      </c>
      <c r="AW40" s="29">
        <f>Monthly!AQ22</f>
        <v>10351.70950103892</v>
      </c>
      <c r="AX40" s="29">
        <f>Monthly!AR22</f>
        <v>12401.771834978908</v>
      </c>
      <c r="AY40" s="29">
        <f>Monthly!AS22</f>
        <v>12234.314706758178</v>
      </c>
      <c r="AZ40" s="29">
        <f>Monthly!AT22</f>
        <v>11556.649757422258</v>
      </c>
      <c r="BA40" s="29">
        <f>Monthly!AU22</f>
        <v>10095.151765000901</v>
      </c>
      <c r="BB40" s="29">
        <f>Monthly!AV22</f>
        <v>9418.3103479124293</v>
      </c>
      <c r="BC40" s="29">
        <f>Monthly!AW22</f>
        <v>8986.9304520492315</v>
      </c>
      <c r="BD40" s="29">
        <f>Monthly!AX22</f>
        <v>8461.3939031567879</v>
      </c>
      <c r="BE40" s="239">
        <f>Monthly!AY22</f>
        <v>8111.0200406727981</v>
      </c>
      <c r="BF40" s="29">
        <f>Monthly!AZ22</f>
        <v>8566.4474346477873</v>
      </c>
      <c r="BG40" s="29">
        <f>Monthly!BA22</f>
        <v>8108.2408362242404</v>
      </c>
      <c r="BH40" s="29">
        <f>Monthly!BB22</f>
        <v>9311.551886858857</v>
      </c>
      <c r="BI40" s="29">
        <f>Monthly!BC22</f>
        <v>9573.2584380392891</v>
      </c>
      <c r="BJ40" s="29">
        <f>Monthly!BD22</f>
        <v>11831.563305508125</v>
      </c>
      <c r="BK40" s="29">
        <f>Monthly!BE22</f>
        <v>11829.480366671496</v>
      </c>
      <c r="BL40" s="29">
        <f>Monthly!BF22</f>
        <v>11234.465851959729</v>
      </c>
      <c r="BM40" s="29">
        <f>Monthly!BG22</f>
        <v>9766.2082587378627</v>
      </c>
      <c r="BN40" s="29">
        <f>Monthly!BH22</f>
        <v>9152.6937506992217</v>
      </c>
      <c r="BO40" s="29">
        <f>Monthly!BI22</f>
        <v>8755.6605481798233</v>
      </c>
      <c r="BP40" s="29">
        <f>Monthly!BJ22</f>
        <v>8285.6403998340338</v>
      </c>
      <c r="BQ40" s="29">
        <f>Monthly!BK22</f>
        <v>7811.1010355722228</v>
      </c>
      <c r="BR40" s="29">
        <f>Monthly!BL22</f>
        <v>8246.3818697295119</v>
      </c>
      <c r="BS40" s="29">
        <f>Monthly!BM22</f>
        <v>7993.200865045289</v>
      </c>
      <c r="BT40" s="29">
        <f>Monthly!BN22</f>
        <v>8357.4629408457131</v>
      </c>
      <c r="BU40" s="29">
        <f>Monthly!BO22</f>
        <v>7822.7081086502612</v>
      </c>
      <c r="BW40" s="29">
        <f t="shared" ref="BW40:CA40" si="43">SUMIF($J$6:$BU$6,BW$9,$J40:$BU40)</f>
        <v>83572.083771609061</v>
      </c>
      <c r="BX40" s="29">
        <f t="shared" si="43"/>
        <v>142797.79887402296</v>
      </c>
      <c r="BY40" s="29">
        <f t="shared" si="43"/>
        <v>160047.55483032041</v>
      </c>
      <c r="BZ40" s="29">
        <f t="shared" si="43"/>
        <v>117889.24038675404</v>
      </c>
      <c r="CA40" s="29">
        <f t="shared" si="43"/>
        <v>114226.3121129327</v>
      </c>
      <c r="CB40" s="29">
        <f t="shared" ref="CB40:CK40" si="44">SUMIF($J$7:$BP$7,CB$7,$J40:$BP40)</f>
        <v>0</v>
      </c>
      <c r="CC40" s="29">
        <f t="shared" si="44"/>
        <v>0</v>
      </c>
      <c r="CD40" s="29">
        <f t="shared" si="44"/>
        <v>0</v>
      </c>
      <c r="CE40" s="29">
        <f t="shared" si="44"/>
        <v>0</v>
      </c>
      <c r="CF40" s="29">
        <f t="shared" si="44"/>
        <v>0</v>
      </c>
      <c r="CG40" s="29">
        <f t="shared" si="44"/>
        <v>0</v>
      </c>
      <c r="CH40" s="29">
        <f t="shared" si="44"/>
        <v>0</v>
      </c>
      <c r="CI40" s="29">
        <f t="shared" si="44"/>
        <v>0</v>
      </c>
      <c r="CJ40" s="29">
        <f t="shared" si="44"/>
        <v>0</v>
      </c>
      <c r="CK40" s="29">
        <f t="shared" si="44"/>
        <v>0</v>
      </c>
    </row>
    <row r="41" spans="1:89" ht="14.25" customHeight="1" outlineLevel="2" x14ac:dyDescent="0.2">
      <c r="A41" s="11">
        <f t="shared" si="42"/>
        <v>0</v>
      </c>
      <c r="B41" s="11" t="s">
        <v>329</v>
      </c>
      <c r="F41" s="56" t="s">
        <v>330</v>
      </c>
      <c r="I41" s="241"/>
      <c r="J41" s="29">
        <f>Monthly!D27</f>
        <v>0</v>
      </c>
      <c r="K41" s="29">
        <f>Monthly!E27</f>
        <v>0</v>
      </c>
      <c r="L41" s="29">
        <f>Monthly!F27</f>
        <v>-349.25697864539779</v>
      </c>
      <c r="M41" s="29">
        <f>Monthly!G27</f>
        <v>-766.34323425651019</v>
      </c>
      <c r="N41" s="29">
        <f>Monthly!H27</f>
        <v>-1220.3535403575497</v>
      </c>
      <c r="O41" s="29">
        <f>Monthly!I27</f>
        <v>-2035.24264698251</v>
      </c>
      <c r="P41" s="29">
        <f>Monthly!J27</f>
        <v>-2825.4601780747989</v>
      </c>
      <c r="Q41" s="29">
        <f>Monthly!K27</f>
        <v>-3931.7865927217777</v>
      </c>
      <c r="R41" s="29">
        <f>Monthly!L27</f>
        <v>-3992.62685693091</v>
      </c>
      <c r="S41" s="29">
        <f>Monthly!M27</f>
        <v>-4142.6035312140712</v>
      </c>
      <c r="T41" s="29">
        <f>Monthly!N27</f>
        <v>-4300.9614113376556</v>
      </c>
      <c r="U41" s="239">
        <f>Monthly!O27</f>
        <v>-4370.8471044398166</v>
      </c>
      <c r="V41" s="29">
        <f>Monthly!P27</f>
        <v>-4312.9753719199289</v>
      </c>
      <c r="W41" s="29">
        <f>Monthly!Q27</f>
        <v>-4346.6059539140088</v>
      </c>
      <c r="X41" s="29">
        <f>Monthly!R27</f>
        <v>-5016.1113045890233</v>
      </c>
      <c r="Y41" s="29">
        <f>Monthly!S27</f>
        <v>-5228.5069498652992</v>
      </c>
      <c r="Z41" s="29">
        <f>Monthly!T27</f>
        <v>-5696.0839780713186</v>
      </c>
      <c r="AA41" s="29">
        <f>Monthly!U27</f>
        <v>-6666.8797215685354</v>
      </c>
      <c r="AB41" s="29">
        <f>Monthly!V27</f>
        <v>-7577.4555830587797</v>
      </c>
      <c r="AC41" s="29">
        <f>Monthly!W27</f>
        <v>-9156.158287295988</v>
      </c>
      <c r="AD41" s="29">
        <f>Monthly!X27</f>
        <v>-8898.0534562128141</v>
      </c>
      <c r="AE41" s="29">
        <f>Monthly!Y27</f>
        <v>-8955.8803856304876</v>
      </c>
      <c r="AF41" s="29">
        <f>Monthly!Z27</f>
        <v>-8939.3223354315487</v>
      </c>
      <c r="AG41" s="239">
        <f>Monthly!AA27</f>
        <v>-8891.2554055872788</v>
      </c>
      <c r="AH41" s="29">
        <f>Monthly!AB27</f>
        <v>-8398.5264114591191</v>
      </c>
      <c r="AI41" s="29">
        <f>Monthly!AC27</f>
        <v>-8046.3621540770473</v>
      </c>
      <c r="AJ41" s="29">
        <f>Monthly!AD27</f>
        <v>-8930.6591350978797</v>
      </c>
      <c r="AK41" s="29">
        <f>Monthly!AE27</f>
        <v>-8826.8251083825598</v>
      </c>
      <c r="AL41" s="29">
        <f>Monthly!AF27</f>
        <v>-9183.7387851701515</v>
      </c>
      <c r="AM41" s="29">
        <f>Monthly!AG27</f>
        <v>-10027.013901940381</v>
      </c>
      <c r="AN41" s="29">
        <f>Monthly!AH27</f>
        <v>-10859.849624505287</v>
      </c>
      <c r="AO41" s="29">
        <f>Monthly!AI27</f>
        <v>-12475.308176504694</v>
      </c>
      <c r="AP41" s="29">
        <f>Monthly!AJ27</f>
        <v>-11906.623776795823</v>
      </c>
      <c r="AQ41" s="29">
        <f>Monthly!AK27</f>
        <v>-11811.090743636483</v>
      </c>
      <c r="AR41" s="29">
        <f>Monthly!AL27</f>
        <v>-11576.224028348248</v>
      </c>
      <c r="AS41" s="239">
        <f>Monthly!AM27</f>
        <v>-11267.384226718501</v>
      </c>
      <c r="AT41" s="29">
        <f>Monthly!AN27</f>
        <v>-10704.869329757465</v>
      </c>
      <c r="AU41" s="29">
        <f>Monthly!AO27</f>
        <v>-9771.9529340132667</v>
      </c>
      <c r="AV41" s="29">
        <f>Monthly!AP27</f>
        <v>-10529.040829587912</v>
      </c>
      <c r="AW41" s="29">
        <f>Monthly!AQ27</f>
        <v>-9974.8263735268702</v>
      </c>
      <c r="AX41" s="29">
        <f>Monthly!AR27</f>
        <v>-10196.022379566184</v>
      </c>
      <c r="AY41" s="29">
        <f>Monthly!AS27</f>
        <v>-10789.478206248157</v>
      </c>
      <c r="AZ41" s="29">
        <f>Monthly!AT27</f>
        <v>-11357.424120843036</v>
      </c>
      <c r="BA41" s="29">
        <f>Monthly!AU27</f>
        <v>-12502.506930853437</v>
      </c>
      <c r="BB41" s="29">
        <f>Monthly!AV27</f>
        <v>-11543.55660151166</v>
      </c>
      <c r="BC41" s="29">
        <f>Monthly!AW27</f>
        <v>-11206.284592444217</v>
      </c>
      <c r="BD41" s="29">
        <f>Monthly!AX27</f>
        <v>-10726.694673199228</v>
      </c>
      <c r="BE41" s="239">
        <f>Monthly!AY27</f>
        <v>-10105.534184951981</v>
      </c>
      <c r="BF41" s="29">
        <f>Monthly!AZ27</f>
        <v>-9627.7298647895659</v>
      </c>
      <c r="BG41" s="29">
        <f>Monthly!BA27</f>
        <v>-9067.5797532951874</v>
      </c>
      <c r="BH41" s="29">
        <f>Monthly!BB27</f>
        <v>-9669.2084644145216</v>
      </c>
      <c r="BI41" s="29">
        <f>Monthly!BC27</f>
        <v>-9108.0320159034181</v>
      </c>
      <c r="BJ41" s="29">
        <f>Monthly!BD27</f>
        <v>-9528.5716949322341</v>
      </c>
      <c r="BK41" s="29">
        <f>Monthly!BE27</f>
        <v>-10347.300619175232</v>
      </c>
      <c r="BL41" s="29">
        <f>Monthly!BF27</f>
        <v>-11048.108174420686</v>
      </c>
      <c r="BM41" s="29">
        <f>Monthly!BG27</f>
        <v>-12242.773219781318</v>
      </c>
      <c r="BN41" s="29">
        <f>Monthly!BH27</f>
        <v>-11331.695968558053</v>
      </c>
      <c r="BO41" s="29">
        <f>Monthly!BI27</f>
        <v>-11018.212556694551</v>
      </c>
      <c r="BP41" s="29">
        <f>Monthly!BJ27</f>
        <v>-10595.87342999562</v>
      </c>
      <c r="BQ41" s="29">
        <f>Monthly!BK27</f>
        <v>-9816.3855403994348</v>
      </c>
      <c r="BR41" s="29">
        <f>Monthly!BL27</f>
        <v>-9196.5568538347725</v>
      </c>
      <c r="BS41" s="29">
        <f>Monthly!BM27</f>
        <v>-8882.8346614643324</v>
      </c>
      <c r="BT41" s="29">
        <f>Monthly!BN27</f>
        <v>-8623.7794874245374</v>
      </c>
      <c r="BU41" s="29">
        <f>Monthly!BO27</f>
        <v>-7312.015210342568</v>
      </c>
      <c r="BW41" s="29">
        <f t="shared" ref="BW41:CA41" si="45">SUMIF($J$6:$BU$6,BW$9,$J41:$BU41)</f>
        <v>-27935.482074961001</v>
      </c>
      <c r="BX41" s="29">
        <f t="shared" si="45"/>
        <v>-83685.288733145004</v>
      </c>
      <c r="BY41" s="29">
        <f t="shared" si="45"/>
        <v>-123309.60607263616</v>
      </c>
      <c r="BZ41" s="29">
        <f t="shared" si="45"/>
        <v>-129408.19115650342</v>
      </c>
      <c r="CA41" s="29">
        <f t="shared" si="45"/>
        <v>-123401.47130235983</v>
      </c>
      <c r="CB41" s="29">
        <f t="shared" ref="CB41:CK41" si="46">SUMIF($J$7:$BP$7,CB$7,$J41:$BP41)</f>
        <v>0</v>
      </c>
      <c r="CC41" s="29">
        <f t="shared" si="46"/>
        <v>0</v>
      </c>
      <c r="CD41" s="29">
        <f t="shared" si="46"/>
        <v>0</v>
      </c>
      <c r="CE41" s="29">
        <f t="shared" si="46"/>
        <v>0</v>
      </c>
      <c r="CF41" s="29">
        <f t="shared" si="46"/>
        <v>0</v>
      </c>
      <c r="CG41" s="29">
        <f t="shared" si="46"/>
        <v>0</v>
      </c>
      <c r="CH41" s="29">
        <f t="shared" si="46"/>
        <v>0</v>
      </c>
      <c r="CI41" s="29">
        <f t="shared" si="46"/>
        <v>0</v>
      </c>
      <c r="CJ41" s="29">
        <f t="shared" si="46"/>
        <v>0</v>
      </c>
      <c r="CK41" s="29">
        <f t="shared" si="46"/>
        <v>0</v>
      </c>
    </row>
    <row r="42" spans="1:89" ht="14.25" customHeight="1" outlineLevel="2" x14ac:dyDescent="0.2">
      <c r="A42" s="11">
        <f t="shared" si="42"/>
        <v>0</v>
      </c>
      <c r="B42" s="11" t="s">
        <v>331</v>
      </c>
      <c r="F42" s="263" t="s">
        <v>332</v>
      </c>
      <c r="G42" s="17"/>
      <c r="H42" s="33"/>
      <c r="I42" s="264">
        <f>Inputs!$I$25</f>
        <v>0.12</v>
      </c>
      <c r="J42" s="237">
        <f>Monthly!D31</f>
        <v>0</v>
      </c>
      <c r="K42" s="237">
        <f>Monthly!E31</f>
        <v>0</v>
      </c>
      <c r="L42" s="237">
        <f>Monthly!F31</f>
        <v>0</v>
      </c>
      <c r="M42" s="237">
        <f>Monthly!G31</f>
        <v>0</v>
      </c>
      <c r="N42" s="237">
        <f>Monthly!H31</f>
        <v>0</v>
      </c>
      <c r="O42" s="237">
        <f>Monthly!I31</f>
        <v>335.72307024023621</v>
      </c>
      <c r="P42" s="237">
        <f>Monthly!J31</f>
        <v>228.86099268290195</v>
      </c>
      <c r="Q42" s="237">
        <f>Monthly!K31</f>
        <v>343.17671349669251</v>
      </c>
      <c r="R42" s="237">
        <f>Monthly!L31</f>
        <v>390.62251134839568</v>
      </c>
      <c r="S42" s="237">
        <f>Monthly!M31</f>
        <v>615.52921707055509</v>
      </c>
      <c r="T42" s="237">
        <f>Monthly!N31</f>
        <v>547.07365854368572</v>
      </c>
      <c r="U42" s="238">
        <f>Monthly!O31</f>
        <v>562.87637779961256</v>
      </c>
      <c r="V42" s="237">
        <f>Monthly!P31</f>
        <v>521.50521208004659</v>
      </c>
      <c r="W42" s="237">
        <f>Monthly!Q31</f>
        <v>493.80444462824835</v>
      </c>
      <c r="X42" s="237">
        <f>Monthly!R31</f>
        <v>512.60093907763826</v>
      </c>
      <c r="Y42" s="237">
        <f>Monthly!S31</f>
        <v>499.41836031505591</v>
      </c>
      <c r="Z42" s="237">
        <f>Monthly!T31</f>
        <v>470.31874487037311</v>
      </c>
      <c r="AA42" s="237">
        <f>Monthly!U31</f>
        <v>809.85798633641593</v>
      </c>
      <c r="AB42" s="237">
        <f>Monthly!V31</f>
        <v>645.26649140269888</v>
      </c>
      <c r="AC42" s="237">
        <f>Monthly!W31</f>
        <v>850.45680447985421</v>
      </c>
      <c r="AD42" s="237">
        <f>Monthly!X31</f>
        <v>922.41307221102591</v>
      </c>
      <c r="AE42" s="237">
        <f>Monthly!Y31</f>
        <v>1296.5877592089955</v>
      </c>
      <c r="AF42" s="237">
        <f>Monthly!Z31</f>
        <v>1166.6611554946364</v>
      </c>
      <c r="AG42" s="238">
        <f>Monthly!AA31</f>
        <v>1204.3741453666041</v>
      </c>
      <c r="AH42" s="237">
        <f>Monthly!AB31</f>
        <v>1152.3672758355888</v>
      </c>
      <c r="AI42" s="237">
        <f>Monthly!AC31</f>
        <v>1084.8153254459544</v>
      </c>
      <c r="AJ42" s="237">
        <f>Monthly!AD31</f>
        <v>1103.5216943183859</v>
      </c>
      <c r="AK42" s="237">
        <f>Monthly!AE31</f>
        <v>1066.3215116054348</v>
      </c>
      <c r="AL42" s="237">
        <f>Monthly!AF31</f>
        <v>1022.7328346412846</v>
      </c>
      <c r="AM42" s="237">
        <f>Monthly!AG31</f>
        <v>1171.5206791755422</v>
      </c>
      <c r="AN42" s="237">
        <f>Monthly!AH31</f>
        <v>1038.2675349052497</v>
      </c>
      <c r="AO42" s="237">
        <f>Monthly!AI31</f>
        <v>1284.4075130063113</v>
      </c>
      <c r="AP42" s="237">
        <f>Monthly!AJ31</f>
        <v>1354.9969567539665</v>
      </c>
      <c r="AQ42" s="237">
        <f>Monthly!AK31</f>
        <v>1751.5998120185718</v>
      </c>
      <c r="AR42" s="237">
        <f>Monthly!AL31</f>
        <v>1495.7838913102983</v>
      </c>
      <c r="AS42" s="238">
        <f>Monthly!AM31</f>
        <v>1496.5602108785154</v>
      </c>
      <c r="AT42" s="237">
        <f>Monthly!AN31</f>
        <v>1624.9805000129859</v>
      </c>
      <c r="AU42" s="237">
        <f>Monthly!AO31</f>
        <v>1521.4039991812847</v>
      </c>
      <c r="AV42" s="237">
        <f>Monthly!AP31</f>
        <v>1521.0355023845721</v>
      </c>
      <c r="AW42" s="237">
        <f>Monthly!AQ31</f>
        <v>1458.6355265171871</v>
      </c>
      <c r="AX42" s="237">
        <f>Monthly!AR31</f>
        <v>1410.5415693988866</v>
      </c>
      <c r="AY42" s="237">
        <f>Monthly!AS31</f>
        <v>1206.0775776542905</v>
      </c>
      <c r="AZ42" s="237">
        <f>Monthly!AT31</f>
        <v>1197.111505358861</v>
      </c>
      <c r="BA42" s="237">
        <f>Monthly!AU31</f>
        <v>1429.6423810372589</v>
      </c>
      <c r="BB42" s="237">
        <f>Monthly!AV31</f>
        <v>1464.3418629907496</v>
      </c>
      <c r="BC42" s="237">
        <f>Monthly!AW31</f>
        <v>1681.0502432624867</v>
      </c>
      <c r="BD42" s="237">
        <f>Monthly!AX31</f>
        <v>1414.7149548948732</v>
      </c>
      <c r="BE42" s="238">
        <f>Monthly!AY31</f>
        <v>1442.1542977974518</v>
      </c>
      <c r="BF42" s="237">
        <f>Monthly!AZ31</f>
        <v>1548.7466259766225</v>
      </c>
      <c r="BG42" s="237">
        <f>Monthly!BA31</f>
        <v>1486.0681485982675</v>
      </c>
      <c r="BH42" s="237">
        <f>Monthly!BB31</f>
        <v>1493.7910747902633</v>
      </c>
      <c r="BI42" s="237">
        <f>Monthly!BC31</f>
        <v>1431.9065108934028</v>
      </c>
      <c r="BJ42" s="237">
        <f>Monthly!BD31</f>
        <v>1406.6227920781776</v>
      </c>
      <c r="BK42" s="237">
        <f>Monthly!BE31</f>
        <v>1347.7173400315046</v>
      </c>
      <c r="BL42" s="237">
        <f>Monthly!BF31</f>
        <v>1289.217718020659</v>
      </c>
      <c r="BM42" s="237">
        <f>Monthly!BG31</f>
        <v>1499.3673586646639</v>
      </c>
      <c r="BN42" s="237">
        <f>Monthly!BH31</f>
        <v>1473.4535201512062</v>
      </c>
      <c r="BO42" s="237">
        <f>Monthly!BI31</f>
        <v>1644.7787573906567</v>
      </c>
      <c r="BP42" s="237">
        <f>Monthly!BJ31</f>
        <v>1377.231655687975</v>
      </c>
      <c r="BQ42" s="237">
        <f>Monthly!BK31</f>
        <v>1386.1114819580951</v>
      </c>
      <c r="BR42" s="237">
        <f>Monthly!BL31</f>
        <v>0</v>
      </c>
      <c r="BS42" s="237">
        <f>Monthly!BM31</f>
        <v>1119.2214100523361</v>
      </c>
      <c r="BT42" s="237">
        <f>Monthly!BN31</f>
        <v>1270.8460551269882</v>
      </c>
      <c r="BU42" s="237">
        <f>Monthly!BO31</f>
        <v>1279.9978147310071</v>
      </c>
      <c r="BW42" s="237">
        <f t="shared" ref="BW42:CA42" si="47">SUMIF($J$6:$BU$6,BW$9,$J42:$BU42)</f>
        <v>3023.8625411820794</v>
      </c>
      <c r="BX42" s="237">
        <f t="shared" si="47"/>
        <v>9393.2651154715932</v>
      </c>
      <c r="BY42" s="237">
        <f t="shared" si="47"/>
        <v>15022.895239895106</v>
      </c>
      <c r="BZ42" s="237">
        <f t="shared" si="47"/>
        <v>17371.689920490888</v>
      </c>
      <c r="CA42" s="237">
        <f t="shared" si="47"/>
        <v>17385.012984241494</v>
      </c>
      <c r="CB42" s="237">
        <f t="shared" ref="CB42:CK42" si="48">SUMIF($J$7:$BP$7,CB$7,$J42:$BP42)</f>
        <v>0</v>
      </c>
      <c r="CC42" s="237">
        <f t="shared" si="48"/>
        <v>0</v>
      </c>
      <c r="CD42" s="237">
        <f t="shared" si="48"/>
        <v>0</v>
      </c>
      <c r="CE42" s="237">
        <f t="shared" si="48"/>
        <v>0</v>
      </c>
      <c r="CF42" s="237">
        <f t="shared" si="48"/>
        <v>0</v>
      </c>
      <c r="CG42" s="237">
        <f t="shared" si="48"/>
        <v>0</v>
      </c>
      <c r="CH42" s="237">
        <f t="shared" si="48"/>
        <v>0</v>
      </c>
      <c r="CI42" s="237">
        <f t="shared" si="48"/>
        <v>0</v>
      </c>
      <c r="CJ42" s="237">
        <f t="shared" si="48"/>
        <v>0</v>
      </c>
      <c r="CK42" s="237">
        <f t="shared" si="48"/>
        <v>0</v>
      </c>
    </row>
    <row r="43" spans="1:89" ht="14.25" customHeight="1" outlineLevel="2" x14ac:dyDescent="0.2">
      <c r="A43" s="3">
        <f t="shared" si="42"/>
        <v>0</v>
      </c>
      <c r="B43" s="3"/>
      <c r="C43" s="3"/>
      <c r="D43" s="3"/>
      <c r="E43" s="3"/>
      <c r="F43" s="242" t="s">
        <v>333</v>
      </c>
      <c r="G43" s="3"/>
      <c r="H43" s="265"/>
      <c r="I43" s="266">
        <f>Inputs!$C$20-Inputs!$C$30</f>
        <v>0</v>
      </c>
      <c r="J43" s="265">
        <f t="shared" ref="J43:BU43" si="49">I43+SUM(J40:J42)</f>
        <v>3497.1153150024606</v>
      </c>
      <c r="K43" s="265">
        <f t="shared" si="49"/>
        <v>6963.5585190276997</v>
      </c>
      <c r="L43" s="265">
        <f t="shared" si="49"/>
        <v>11809.823255951316</v>
      </c>
      <c r="M43" s="265">
        <f t="shared" si="49"/>
        <v>16979.52696618604</v>
      </c>
      <c r="N43" s="265">
        <f t="shared" si="49"/>
        <v>25278.303068504603</v>
      </c>
      <c r="O43" s="265">
        <f t="shared" si="49"/>
        <v>32723.038336172307</v>
      </c>
      <c r="P43" s="265">
        <f t="shared" si="49"/>
        <v>39178.279084771726</v>
      </c>
      <c r="Q43" s="265">
        <f t="shared" si="49"/>
        <v>43724.818880134364</v>
      </c>
      <c r="R43" s="265">
        <f t="shared" si="49"/>
        <v>47682.331257569822</v>
      </c>
      <c r="S43" s="265">
        <f t="shared" si="49"/>
        <v>51804.412810833426</v>
      </c>
      <c r="T43" s="265">
        <f t="shared" si="49"/>
        <v>55508.420064841441</v>
      </c>
      <c r="U43" s="267">
        <f t="shared" si="49"/>
        <v>58660.464237830136</v>
      </c>
      <c r="V43" s="265">
        <f t="shared" si="49"/>
        <v>62728.388631432863</v>
      </c>
      <c r="W43" s="265">
        <f t="shared" si="49"/>
        <v>66770.368259849914</v>
      </c>
      <c r="X43" s="265">
        <f t="shared" si="49"/>
        <v>72374.514000645286</v>
      </c>
      <c r="Y43" s="265">
        <f t="shared" si="49"/>
        <v>78506.031252735265</v>
      </c>
      <c r="Z43" s="265">
        <f t="shared" si="49"/>
        <v>88200.873028025351</v>
      </c>
      <c r="AA43" s="265">
        <f t="shared" si="49"/>
        <v>96980.327668206315</v>
      </c>
      <c r="AB43" s="265">
        <f t="shared" si="49"/>
        <v>104584.99364150609</v>
      </c>
      <c r="AC43" s="265">
        <f t="shared" si="49"/>
        <v>109848.5007448859</v>
      </c>
      <c r="AD43" s="265">
        <f t="shared" si="49"/>
        <v>114414.83354611503</v>
      </c>
      <c r="AE43" s="265">
        <f t="shared" si="49"/>
        <v>119229.64153908769</v>
      </c>
      <c r="AF43" s="265">
        <f t="shared" si="49"/>
        <v>123491.04480104001</v>
      </c>
      <c r="AG43" s="267">
        <f t="shared" si="49"/>
        <v>127166.23949417968</v>
      </c>
      <c r="AH43" s="265">
        <f t="shared" si="49"/>
        <v>130388.5311693282</v>
      </c>
      <c r="AI43" s="265">
        <f t="shared" si="49"/>
        <v>133594.74681582421</v>
      </c>
      <c r="AJ43" s="265">
        <f t="shared" si="49"/>
        <v>137940.36090441392</v>
      </c>
      <c r="AK43" s="265">
        <f t="shared" si="49"/>
        <v>142847.79921432681</v>
      </c>
      <c r="AL43" s="265">
        <f t="shared" si="49"/>
        <v>150445.78600622551</v>
      </c>
      <c r="AM43" s="265">
        <f t="shared" si="49"/>
        <v>157333.0667035619</v>
      </c>
      <c r="AN43" s="265">
        <f t="shared" si="49"/>
        <v>163210.72670901238</v>
      </c>
      <c r="AO43" s="265">
        <f t="shared" si="49"/>
        <v>167063.12434327436</v>
      </c>
      <c r="AP43" s="265">
        <f t="shared" si="49"/>
        <v>170321.68976266609</v>
      </c>
      <c r="AQ43" s="265">
        <f t="shared" si="49"/>
        <v>173760.18083088737</v>
      </c>
      <c r="AR43" s="265">
        <f t="shared" si="49"/>
        <v>176558.03033385111</v>
      </c>
      <c r="AS43" s="267">
        <f t="shared" si="49"/>
        <v>178927.08349175905</v>
      </c>
      <c r="AT43" s="265">
        <f t="shared" si="49"/>
        <v>177282.63298392494</v>
      </c>
      <c r="AU43" s="265">
        <f t="shared" si="49"/>
        <v>177787.02775510275</v>
      </c>
      <c r="AV43" s="265">
        <f t="shared" si="49"/>
        <v>178860.6284777429</v>
      </c>
      <c r="AW43" s="265">
        <f t="shared" si="49"/>
        <v>180696.14713177213</v>
      </c>
      <c r="AX43" s="265">
        <f t="shared" si="49"/>
        <v>184312.43815658375</v>
      </c>
      <c r="AY43" s="265">
        <f t="shared" si="49"/>
        <v>186963.35223474808</v>
      </c>
      <c r="AZ43" s="265">
        <f t="shared" si="49"/>
        <v>188359.68937668615</v>
      </c>
      <c r="BA43" s="265">
        <f t="shared" si="49"/>
        <v>187381.97659187086</v>
      </c>
      <c r="BB43" s="265">
        <f t="shared" si="49"/>
        <v>186721.07220126237</v>
      </c>
      <c r="BC43" s="265">
        <f t="shared" si="49"/>
        <v>186182.76830412989</v>
      </c>
      <c r="BD43" s="265">
        <f t="shared" si="49"/>
        <v>185332.18248898233</v>
      </c>
      <c r="BE43" s="267">
        <f t="shared" si="49"/>
        <v>184779.8226425006</v>
      </c>
      <c r="BF43" s="265">
        <f t="shared" si="49"/>
        <v>185267.28683833545</v>
      </c>
      <c r="BG43" s="265">
        <f t="shared" si="49"/>
        <v>185794.01606986276</v>
      </c>
      <c r="BH43" s="265">
        <f t="shared" si="49"/>
        <v>186930.15056709736</v>
      </c>
      <c r="BI43" s="265">
        <f t="shared" si="49"/>
        <v>188827.28350012662</v>
      </c>
      <c r="BJ43" s="265">
        <f t="shared" si="49"/>
        <v>192536.89790278068</v>
      </c>
      <c r="BK43" s="265">
        <f t="shared" si="49"/>
        <v>195366.79499030844</v>
      </c>
      <c r="BL43" s="265">
        <f t="shared" si="49"/>
        <v>196842.37038586813</v>
      </c>
      <c r="BM43" s="265">
        <f t="shared" si="49"/>
        <v>195865.17278348934</v>
      </c>
      <c r="BN43" s="265">
        <f t="shared" si="49"/>
        <v>195159.62408578172</v>
      </c>
      <c r="BO43" s="265">
        <f t="shared" si="49"/>
        <v>194541.85083465764</v>
      </c>
      <c r="BP43" s="265">
        <f t="shared" si="49"/>
        <v>193608.84946018402</v>
      </c>
      <c r="BQ43" s="265">
        <f t="shared" si="49"/>
        <v>192989.67643731489</v>
      </c>
      <c r="BR43" s="265">
        <f t="shared" si="49"/>
        <v>192039.50145320964</v>
      </c>
      <c r="BS43" s="265">
        <f t="shared" si="49"/>
        <v>192269.08906684292</v>
      </c>
      <c r="BT43" s="265">
        <f t="shared" si="49"/>
        <v>193273.6185753911</v>
      </c>
      <c r="BU43" s="265">
        <f t="shared" si="49"/>
        <v>195064.30928842979</v>
      </c>
      <c r="BV43" s="3"/>
      <c r="BW43" s="265">
        <f t="shared" ref="BW43:CA43" si="50">SUMIF($J$7:$BP$7,BW$9,$J43:$BP43)</f>
        <v>393810.09179682535</v>
      </c>
      <c r="BX43" s="265">
        <f t="shared" si="50"/>
        <v>1164295.7566077095</v>
      </c>
      <c r="BY43" s="265">
        <f t="shared" si="50"/>
        <v>1882391.1262851309</v>
      </c>
      <c r="BZ43" s="265">
        <f t="shared" si="50"/>
        <v>2204659.7383453068</v>
      </c>
      <c r="CA43" s="265">
        <f t="shared" si="50"/>
        <v>2110740.2974184919</v>
      </c>
      <c r="CB43" s="265">
        <f t="shared" ref="CB43:CK43" si="51">SUMIF($J$7:$BP$7,CB$7,$J43:$BP43)</f>
        <v>0</v>
      </c>
      <c r="CC43" s="265">
        <f t="shared" si="51"/>
        <v>0</v>
      </c>
      <c r="CD43" s="265">
        <f t="shared" si="51"/>
        <v>0</v>
      </c>
      <c r="CE43" s="265">
        <f t="shared" si="51"/>
        <v>0</v>
      </c>
      <c r="CF43" s="265">
        <f t="shared" si="51"/>
        <v>0</v>
      </c>
      <c r="CG43" s="265">
        <f t="shared" si="51"/>
        <v>0</v>
      </c>
      <c r="CH43" s="265">
        <f t="shared" si="51"/>
        <v>0</v>
      </c>
      <c r="CI43" s="265">
        <f t="shared" si="51"/>
        <v>0</v>
      </c>
      <c r="CJ43" s="265">
        <f t="shared" si="51"/>
        <v>0</v>
      </c>
      <c r="CK43" s="265">
        <f t="shared" si="51"/>
        <v>0</v>
      </c>
    </row>
    <row r="44" spans="1:89" ht="14.25" customHeight="1" outlineLevel="2" x14ac:dyDescent="0.2">
      <c r="A44" s="11">
        <f t="shared" si="42"/>
        <v>0</v>
      </c>
      <c r="B44" s="11"/>
      <c r="F44" s="56" t="s">
        <v>334</v>
      </c>
      <c r="H44" s="268" t="str">
        <f>Inputs!$I$28</f>
        <v>None</v>
      </c>
      <c r="I44" s="241">
        <f>Inputs!$C$28</f>
        <v>0</v>
      </c>
      <c r="J44" s="29">
        <f>IF($H44="None",I44,IF(AND($H$44="Leaseup",J$8&lt;=Inputs!$I31),I44+(Inputs!$I$32-Inputs!$C$30)/Inputs!$I$31,I44*(1+Inputs!$I$29/12)))</f>
        <v>0</v>
      </c>
      <c r="K44" s="29">
        <f>IF($H44="None",J44,IF(AND($H$44="Leaseup",K$8&lt;=Inputs!$I31),J44+(Inputs!$I$32-Inputs!$C$30)/Inputs!$I$31,J44*(1+Inputs!$I$29/12)))</f>
        <v>0</v>
      </c>
      <c r="L44" s="29">
        <f>IF($H44="None",K44,IF(AND($H$44="Leaseup",L$8&lt;=Inputs!$I31),K44+(Inputs!$I$32-Inputs!$C$30)/Inputs!$I$31,K44*(1+Inputs!$I$29/12)))</f>
        <v>0</v>
      </c>
      <c r="M44" s="29">
        <f>IF($H44="None",L44,IF(AND($H$44="Leaseup",M$8&lt;=Inputs!$I31),L44+(Inputs!$I$32-Inputs!$C$30)/Inputs!$I$31,L44*(1+Inputs!$I$29/12)))</f>
        <v>0</v>
      </c>
      <c r="N44" s="29">
        <f>IF($H44="None",M44,IF(AND($H$44="Leaseup",N$8&lt;=Inputs!$I31),M44+(Inputs!$I$32-Inputs!$C$30)/Inputs!$I$31,M44*(1+Inputs!$I$29/12)))</f>
        <v>0</v>
      </c>
      <c r="O44" s="29">
        <f>IF($H44="None",N44,IF(AND($H$44="Leaseup",O$8&lt;=Inputs!$I31),N44+(Inputs!$I$32-Inputs!$C$30)/Inputs!$I$31,N44*(1+Inputs!$I$29/12)))</f>
        <v>0</v>
      </c>
      <c r="P44" s="29">
        <f>IF($H44="None",O44,IF(AND($H$44="Leaseup",P$8&lt;=Inputs!$I31),O44+(Inputs!$I$32-Inputs!$C$30)/Inputs!$I$31,O44*(1+Inputs!$I$29/12)))</f>
        <v>0</v>
      </c>
      <c r="Q44" s="29">
        <f>IF($H44="None",P44,IF(AND($H$44="Leaseup",Q$8&lt;=Inputs!$I31),P44+(Inputs!$I$32-Inputs!$C$30)/Inputs!$I$31,P44*(1+Inputs!$I$29/12)))</f>
        <v>0</v>
      </c>
      <c r="R44" s="29">
        <f>IF($H44="None",Q44,IF(AND($H$44="Leaseup",R$8&lt;=Inputs!$I31),Q44+(Inputs!$I$32-Inputs!$C$30)/Inputs!$I$31,Q44*(1+Inputs!$I$29/12)))</f>
        <v>0</v>
      </c>
      <c r="S44" s="29">
        <f>IF($H44="None",R44,IF(AND($H$44="Leaseup",S$8&lt;=Inputs!$I31),R44+(Inputs!$I$32-Inputs!$C$30)/Inputs!$I$31,R44*(1+Inputs!$I$29/12)))</f>
        <v>0</v>
      </c>
      <c r="T44" s="29">
        <f>IF($H44="None",S44,IF(AND($H$44="Leaseup",T$8&lt;=Inputs!$I31),S44+(Inputs!$I$32-Inputs!$C$30)/Inputs!$I$31,S44*(1+Inputs!$I$29/12)))</f>
        <v>0</v>
      </c>
      <c r="U44" s="239">
        <f>IF($H44="None",T44,IF(AND($H$44="Leaseup",U$8&lt;=Inputs!$I31),T44+(Inputs!$I$32-Inputs!$C$30)/Inputs!$I$31,T44*(1+Inputs!$I$29/12)))</f>
        <v>0</v>
      </c>
      <c r="V44" s="29">
        <f>IF($H44="None",U44,IF(AND($H$44="Leaseup",V$8&lt;=Inputs!$I31),U44+(Inputs!$I$32-Inputs!$C$30)/Inputs!$I$31,U44*(1+Inputs!$I$29/12)))</f>
        <v>0</v>
      </c>
      <c r="W44" s="29">
        <f>IF($H44="None",V44,IF(AND($H$44="Leaseup",W$8&lt;=Inputs!$I31),V44+(Inputs!$I$32-Inputs!$C$30)/Inputs!$I$31,V44*(1+Inputs!$I$29/12)))</f>
        <v>0</v>
      </c>
      <c r="X44" s="29">
        <f>IF($H44="None",W44,IF(AND($H$44="Leaseup",X$8&lt;=Inputs!$I31),W44+(Inputs!$I$32-Inputs!$C$30)/Inputs!$I$31,W44*(1+Inputs!$I$29/12)))</f>
        <v>0</v>
      </c>
      <c r="Y44" s="29">
        <f>IF($H44="None",X44,IF(AND($H$44="Leaseup",Y$8&lt;=Inputs!$I31),X44+(Inputs!$I$32-Inputs!$C$30)/Inputs!$I$31,X44*(1+Inputs!$I$29/12)))</f>
        <v>0</v>
      </c>
      <c r="Z44" s="29">
        <f>IF($H44="None",Y44,IF(AND($H$44="Leaseup",Z$8&lt;=Inputs!$I31),Y44+(Inputs!$I$32-Inputs!$C$30)/Inputs!$I$31,Y44*(1+Inputs!$I$29/12)))</f>
        <v>0</v>
      </c>
      <c r="AA44" s="29">
        <f>IF($H44="None",Z44,IF(AND($H$44="Leaseup",AA$8&lt;=Inputs!$I31),Z44+(Inputs!$I$32-Inputs!$C$30)/Inputs!$I$31,Z44*(1+Inputs!$I$29/12)))</f>
        <v>0</v>
      </c>
      <c r="AB44" s="29">
        <f>IF($H44="None",AA44,IF(AND($H$44="Leaseup",AB$8&lt;=Inputs!$I31),AA44+(Inputs!$I$32-Inputs!$C$30)/Inputs!$I$31,AA44*(1+Inputs!$I$29/12)))</f>
        <v>0</v>
      </c>
      <c r="AC44" s="29">
        <f>IF($H44="None",AB44,IF(AND($H$44="Leaseup",AC$8&lt;=Inputs!$I31),AB44+(Inputs!$I$32-Inputs!$C$30)/Inputs!$I$31,AB44*(1+Inputs!$I$29/12)))</f>
        <v>0</v>
      </c>
      <c r="AD44" s="29">
        <f>IF($H44="None",AC44,IF(AND($H$44="Leaseup",AD$8&lt;=Inputs!$I31),AC44+(Inputs!$I$32-Inputs!$C$30)/Inputs!$I$31,AC44*(1+Inputs!$I$29/12)))</f>
        <v>0</v>
      </c>
      <c r="AE44" s="29">
        <f>IF($H44="None",AD44,IF(AND($H$44="Leaseup",AE$8&lt;=Inputs!$I31),AD44+(Inputs!$I$32-Inputs!$C$30)/Inputs!$I$31,AD44*(1+Inputs!$I$29/12)))</f>
        <v>0</v>
      </c>
      <c r="AF44" s="29">
        <f>IF($H44="None",AE44,IF(AND($H$44="Leaseup",AF$8&lt;=Inputs!$I31),AE44+(Inputs!$I$32-Inputs!$C$30)/Inputs!$I$31,AE44*(1+Inputs!$I$29/12)))</f>
        <v>0</v>
      </c>
      <c r="AG44" s="239">
        <f>IF($H44="None",AF44,IF(AND($H$44="Leaseup",AG$8&lt;=Inputs!$I31),AF44+(Inputs!$I$32-Inputs!$C$30)/Inputs!$I$31,AF44*(1+Inputs!$I$29/12)))</f>
        <v>0</v>
      </c>
      <c r="AH44" s="29">
        <f>IF($H44="None",AG44,IF(AND($H$44="Leaseup",AH$8&lt;=Inputs!$I31),AG44+(Inputs!$I$32-Inputs!$C$30)/Inputs!$I$31,AG44*(1+Inputs!$I$29/12)))</f>
        <v>0</v>
      </c>
      <c r="AI44" s="29">
        <f>IF($H44="None",AH44,IF(AND($H$44="Leaseup",AI$8&lt;=Inputs!$I31),AH44+(Inputs!$I$32-Inputs!$C$30)/Inputs!$I$31,AH44*(1+Inputs!$I$29/12)))</f>
        <v>0</v>
      </c>
      <c r="AJ44" s="29">
        <f>IF($H44="None",AI44,IF(AND($H$44="Leaseup",AJ$8&lt;=Inputs!$I31),AI44+(Inputs!$I$32-Inputs!$C$30)/Inputs!$I$31,AI44*(1+Inputs!$I$29/12)))</f>
        <v>0</v>
      </c>
      <c r="AK44" s="29">
        <f>IF($H44="None",AJ44,IF(AND($H$44="Leaseup",AK$8&lt;=Inputs!$I31),AJ44+(Inputs!$I$32-Inputs!$C$30)/Inputs!$I$31,AJ44*(1+Inputs!$I$29/12)))</f>
        <v>0</v>
      </c>
      <c r="AL44" s="29">
        <f>IF($H44="None",AK44,IF(AND($H$44="Leaseup",AL$8&lt;=Inputs!$I31),AK44+(Inputs!$I$32-Inputs!$C$30)/Inputs!$I$31,AK44*(1+Inputs!$I$29/12)))</f>
        <v>0</v>
      </c>
      <c r="AM44" s="29">
        <f>IF($H44="None",AL44,IF(AND($H$44="Leaseup",AM$8&lt;=Inputs!$I31),AL44+(Inputs!$I$32-Inputs!$C$30)/Inputs!$I$31,AL44*(1+Inputs!$I$29/12)))</f>
        <v>0</v>
      </c>
      <c r="AN44" s="29">
        <f>IF($H44="None",AM44,IF(AND($H$44="Leaseup",AN$8&lt;=Inputs!$I31),AM44+(Inputs!$I$32-Inputs!$C$30)/Inputs!$I$31,AM44*(1+Inputs!$I$29/12)))</f>
        <v>0</v>
      </c>
      <c r="AO44" s="29">
        <f>IF($H44="None",AN44,IF(AND($H$44="Leaseup",AO$8&lt;=Inputs!$I31),AN44+(Inputs!$I$32-Inputs!$C$30)/Inputs!$I$31,AN44*(1+Inputs!$I$29/12)))</f>
        <v>0</v>
      </c>
      <c r="AP44" s="29">
        <f>IF($H44="None",AO44,IF(AND($H$44="Leaseup",AP$8&lt;=Inputs!$I31),AO44+(Inputs!$I$32-Inputs!$C$30)/Inputs!$I$31,AO44*(1+Inputs!$I$29/12)))</f>
        <v>0</v>
      </c>
      <c r="AQ44" s="29">
        <f>IF($H44="None",AP44,IF(AND($H$44="Leaseup",AQ$8&lt;=Inputs!$I31),AP44+(Inputs!$I$32-Inputs!$C$30)/Inputs!$I$31,AP44*(1+Inputs!$I$29/12)))</f>
        <v>0</v>
      </c>
      <c r="AR44" s="29">
        <f>IF($H44="None",AQ44,IF(AND($H$44="Leaseup",AR$8&lt;=Inputs!$I31),AQ44+(Inputs!$I$32-Inputs!$C$30)/Inputs!$I$31,AQ44*(1+Inputs!$I$29/12)))</f>
        <v>0</v>
      </c>
      <c r="AS44" s="239">
        <f>IF($H44="None",AR44,IF(AND($H$44="Leaseup",AS$8&lt;=Inputs!$I31),AR44+(Inputs!$I$32-Inputs!$C$30)/Inputs!$I$31,AR44*(1+Inputs!$I$29/12)))</f>
        <v>0</v>
      </c>
      <c r="AT44" s="29">
        <f>IF($H44="None",AS44,IF(AND($H$44="Leaseup",AT$8&lt;=Inputs!$I31),AS44+(Inputs!$I$32-Inputs!$C$30)/Inputs!$I$31,AS44*(1+Inputs!$I$29/12)))</f>
        <v>0</v>
      </c>
      <c r="AU44" s="29">
        <f>IF($H44="None",AT44,IF(AND($H$44="Leaseup",AU$8&lt;=Inputs!$I31),AT44+(Inputs!$I$32-Inputs!$C$30)/Inputs!$I$31,AT44*(1+Inputs!$I$29/12)))</f>
        <v>0</v>
      </c>
      <c r="AV44" s="29">
        <f>IF($H44="None",AU44,IF(AND($H$44="Leaseup",AV$8&lt;=Inputs!$I31),AU44+(Inputs!$I$32-Inputs!$C$30)/Inputs!$I$31,AU44*(1+Inputs!$I$29/12)))</f>
        <v>0</v>
      </c>
      <c r="AW44" s="29">
        <f>IF($H44="None",AV44,IF(AND($H$44="Leaseup",AW$8&lt;=Inputs!$I31),AV44+(Inputs!$I$32-Inputs!$C$30)/Inputs!$I$31,AV44*(1+Inputs!$I$29/12)))</f>
        <v>0</v>
      </c>
      <c r="AX44" s="29">
        <f>IF($H44="None",AW44,IF(AND($H$44="Leaseup",AX$8&lt;=Inputs!$I31),AW44+(Inputs!$I$32-Inputs!$C$30)/Inputs!$I$31,AW44*(1+Inputs!$I$29/12)))</f>
        <v>0</v>
      </c>
      <c r="AY44" s="29">
        <f>IF($H44="None",AX44,IF(AND($H$44="Leaseup",AY$8&lt;=Inputs!$I31),AX44+(Inputs!$I$32-Inputs!$C$30)/Inputs!$I$31,AX44*(1+Inputs!$I$29/12)))</f>
        <v>0</v>
      </c>
      <c r="AZ44" s="29">
        <f>IF($H44="None",AY44,IF(AND($H$44="Leaseup",AZ$8&lt;=Inputs!$I31),AY44+(Inputs!$I$32-Inputs!$C$30)/Inputs!$I$31,AY44*(1+Inputs!$I$29/12)))</f>
        <v>0</v>
      </c>
      <c r="BA44" s="29">
        <f>IF($H44="None",AZ44,IF(AND($H$44="Leaseup",BA$8&lt;=Inputs!$I31),AZ44+(Inputs!$I$32-Inputs!$C$30)/Inputs!$I$31,AZ44*(1+Inputs!$I$29/12)))</f>
        <v>0</v>
      </c>
      <c r="BB44" s="29">
        <f>IF($H44="None",BA44,IF(AND($H$44="Leaseup",BB$8&lt;=Inputs!$I31),BA44+(Inputs!$I$32-Inputs!$C$30)/Inputs!$I$31,BA44*(1+Inputs!$I$29/12)))</f>
        <v>0</v>
      </c>
      <c r="BC44" s="29">
        <f>IF($H44="None",BB44,IF(AND($H$44="Leaseup",BC$8&lt;=Inputs!$I31),BB44+(Inputs!$I$32-Inputs!$C$30)/Inputs!$I$31,BB44*(1+Inputs!$I$29/12)))</f>
        <v>0</v>
      </c>
      <c r="BD44" s="29">
        <f>IF($H44="None",BC44,IF(AND($H$44="Leaseup",BD$8&lt;=Inputs!$I31),BC44+(Inputs!$I$32-Inputs!$C$30)/Inputs!$I$31,BC44*(1+Inputs!$I$29/12)))</f>
        <v>0</v>
      </c>
      <c r="BE44" s="239">
        <f>IF($H44="None",BD44,IF(AND($H$44="Leaseup",BE$8&lt;=Inputs!$I31),BD44+(Inputs!$I$32-Inputs!$C$30)/Inputs!$I$31,BD44*(1+Inputs!$I$29/12)))</f>
        <v>0</v>
      </c>
      <c r="BF44" s="29">
        <f>IF($H44="None",BE44,IF(AND($H$44="Leaseup",BF$8&lt;=Inputs!$I31),BE44+(Inputs!$I$32-Inputs!$C$30)/Inputs!$I$31,BE44*(1+Inputs!$I$29/12)))</f>
        <v>0</v>
      </c>
      <c r="BG44" s="29">
        <f>IF($H44="None",BF44,IF(AND($H$44="Leaseup",BG$8&lt;=Inputs!$I31),BF44+(Inputs!$I$32-Inputs!$C$30)/Inputs!$I$31,BF44*(1+Inputs!$I$29/12)))</f>
        <v>0</v>
      </c>
      <c r="BH44" s="29">
        <f>IF($H44="None",BG44,IF(AND($H$44="Leaseup",BH$8&lt;=Inputs!$I31),BG44+(Inputs!$I$32-Inputs!$C$30)/Inputs!$I$31,BG44*(1+Inputs!$I$29/12)))</f>
        <v>0</v>
      </c>
      <c r="BI44" s="29">
        <f>IF($H44="None",BH44,IF(AND($H$44="Leaseup",BI$8&lt;=Inputs!$I31),BH44+(Inputs!$I$32-Inputs!$C$30)/Inputs!$I$31,BH44*(1+Inputs!$I$29/12)))</f>
        <v>0</v>
      </c>
      <c r="BJ44" s="29">
        <f>IF($H44="None",BI44,IF(AND($H$44="Leaseup",BJ$8&lt;=Inputs!$I31),BI44+(Inputs!$I$32-Inputs!$C$30)/Inputs!$I$31,BI44*(1+Inputs!$I$29/12)))</f>
        <v>0</v>
      </c>
      <c r="BK44" s="29">
        <f>IF($H44="None",BJ44,IF(AND($H$44="Leaseup",BK$8&lt;=Inputs!$I31),BJ44+(Inputs!$I$32-Inputs!$C$30)/Inputs!$I$31,BJ44*(1+Inputs!$I$29/12)))</f>
        <v>0</v>
      </c>
      <c r="BL44" s="29">
        <f>IF($H44="None",BK44,IF(AND($H$44="Leaseup",BL$8&lt;=Inputs!$I31),BK44+(Inputs!$I$32-Inputs!$C$30)/Inputs!$I$31,BK44*(1+Inputs!$I$29/12)))</f>
        <v>0</v>
      </c>
      <c r="BM44" s="29">
        <f>IF($H44="None",BL44,IF(AND($H$44="Leaseup",BM$8&lt;=Inputs!$I31),BL44+(Inputs!$I$32-Inputs!$C$30)/Inputs!$I$31,BL44*(1+Inputs!$I$29/12)))</f>
        <v>0</v>
      </c>
      <c r="BN44" s="29">
        <f>IF($H44="None",BM44,IF(AND($H$44="Leaseup",BN$8&lt;=Inputs!$I31),BM44+(Inputs!$I$32-Inputs!$C$30)/Inputs!$I$31,BM44*(1+Inputs!$I$29/12)))</f>
        <v>0</v>
      </c>
      <c r="BO44" s="29">
        <f>IF($H44="None",BN44,IF(AND($H$44="Leaseup",BO$8&lt;=Inputs!$I31),BN44+(Inputs!$I$32-Inputs!$C$30)/Inputs!$I$31,BN44*(1+Inputs!$I$29/12)))</f>
        <v>0</v>
      </c>
      <c r="BP44" s="29">
        <f>IF($H44="None",BO44,IF(AND($H$44="Leaseup",BP$8&lt;=Inputs!$I31),BO44+(Inputs!$I$32-Inputs!$C$30)/Inputs!$I$31,BO44*(1+Inputs!$I$29/12)))</f>
        <v>0</v>
      </c>
      <c r="BQ44" s="29">
        <f>IF($H44="None",BP44,IF(AND($H$44="Leaseup",BQ$8&lt;=Inputs!$I31),BP44+(Inputs!$I$32-Inputs!$C$30)/Inputs!$I$31,BP44*(1+Inputs!$I$29/12)))</f>
        <v>0</v>
      </c>
      <c r="BR44" s="29">
        <f>IF($H44="None",BQ44,IF(AND($H$44="Leaseup",BR$8&lt;=Inputs!$I31),BQ44+(Inputs!$I$32-Inputs!$C$30)/Inputs!$I$31,BQ44*(1+Inputs!$I$29/12)))</f>
        <v>0</v>
      </c>
      <c r="BS44" s="29">
        <f>IF($H44="None",BR44,IF(AND($H$44="Leaseup",BS$8&lt;=Inputs!$I31),BR44+(Inputs!$I$32-Inputs!$C$30)/Inputs!$I$31,BR44*(1+Inputs!$I$29/12)))</f>
        <v>0</v>
      </c>
      <c r="BT44" s="29">
        <f>IF($H44="None",BS44,IF(AND($H$44="Leaseup",BT$8&lt;=Inputs!$I31),BS44+(Inputs!$I$32-Inputs!$C$30)/Inputs!$I$31,BS44*(1+Inputs!$I$29/12)))</f>
        <v>0</v>
      </c>
      <c r="BU44" s="29">
        <f>IF($H44="None",BT44,IF(AND($H$44="Leaseup",BU$8&lt;=Inputs!$I31),BT44+(Inputs!$I$32-Inputs!$C$30)/Inputs!$I$31,BT44*(1+Inputs!$I$29/12)))</f>
        <v>0</v>
      </c>
      <c r="BW44" s="29">
        <f t="shared" ref="BW44:CA44" si="52">SUMIF($J$6:$BU$6,BW$9,$J44:$BU44)</f>
        <v>0</v>
      </c>
      <c r="BX44" s="29">
        <f t="shared" si="52"/>
        <v>0</v>
      </c>
      <c r="BY44" s="29">
        <f t="shared" si="52"/>
        <v>0</v>
      </c>
      <c r="BZ44" s="29">
        <f t="shared" si="52"/>
        <v>0</v>
      </c>
      <c r="CA44" s="29">
        <f t="shared" si="52"/>
        <v>0</v>
      </c>
      <c r="CB44" s="29">
        <f t="shared" ref="CB44:CK44" si="53">SUMIF($J$7:$BP$7,CB$7,$J44:$BP44)</f>
        <v>0</v>
      </c>
      <c r="CC44" s="29">
        <f t="shared" si="53"/>
        <v>0</v>
      </c>
      <c r="CD44" s="29">
        <f t="shared" si="53"/>
        <v>0</v>
      </c>
      <c r="CE44" s="29">
        <f t="shared" si="53"/>
        <v>0</v>
      </c>
      <c r="CF44" s="29">
        <f t="shared" si="53"/>
        <v>0</v>
      </c>
      <c r="CG44" s="29">
        <f t="shared" si="53"/>
        <v>0</v>
      </c>
      <c r="CH44" s="29">
        <f t="shared" si="53"/>
        <v>0</v>
      </c>
      <c r="CI44" s="29">
        <f t="shared" si="53"/>
        <v>0</v>
      </c>
      <c r="CJ44" s="29">
        <f t="shared" si="53"/>
        <v>0</v>
      </c>
      <c r="CK44" s="29">
        <f t="shared" si="53"/>
        <v>0</v>
      </c>
    </row>
    <row r="45" spans="1:89" ht="14.25" customHeight="1" outlineLevel="2" x14ac:dyDescent="0.2">
      <c r="A45" s="11">
        <f t="shared" si="42"/>
        <v>0</v>
      </c>
      <c r="B45" s="11"/>
      <c r="F45" s="56" t="s">
        <v>335</v>
      </c>
      <c r="G45" s="53"/>
      <c r="H45" s="29"/>
      <c r="I45" s="241">
        <f>IF(Inputs!$I$28="Leaseup",Inputs!$I$30,Inputs!$C$29)</f>
        <v>0</v>
      </c>
      <c r="J45" s="29">
        <f>IF($H44="None",0,IF(AND($H$44="Leaseup",J$8&lt;=Inputs!$I$31),Projection!I45,Projection!I45+Projection!J44-Projection!I44))</f>
        <v>0</v>
      </c>
      <c r="K45" s="29">
        <f>IF($H44="None",0,IF(AND($H$44="Leaseup",K$8&lt;=Inputs!$I$31),Projection!J45,Projection!J45+Projection!K44-Projection!J44))</f>
        <v>0</v>
      </c>
      <c r="L45" s="29">
        <f>IF($H44="None",0,IF(AND($H$44="Leaseup",L$8&lt;=Inputs!$I$31),Projection!K45,Projection!K45+Projection!L44-Projection!K44))</f>
        <v>0</v>
      </c>
      <c r="M45" s="29">
        <f>IF($H44="None",0,IF(AND($H$44="Leaseup",M$8&lt;=Inputs!$I$31),Projection!L45,Projection!L45+Projection!M44-Projection!L44))</f>
        <v>0</v>
      </c>
      <c r="N45" s="29">
        <f>IF($H44="None",0,IF(AND($H$44="Leaseup",N$8&lt;=Inputs!$I$31),Projection!M45,Projection!M45+Projection!N44-Projection!M44))</f>
        <v>0</v>
      </c>
      <c r="O45" s="29">
        <f>IF($H44="None",0,IF(AND($H$44="Leaseup",O$8&lt;=Inputs!$I$31),Projection!N45,Projection!N45+Projection!O44-Projection!N44))</f>
        <v>0</v>
      </c>
      <c r="P45" s="29">
        <f>IF($H44="None",0,IF(AND($H$44="Leaseup",P$8&lt;=Inputs!$I$31),Projection!O45,Projection!O45+Projection!P44-Projection!O44))</f>
        <v>0</v>
      </c>
      <c r="Q45" s="29">
        <f>IF($H44="None",0,IF(AND($H$44="Leaseup",Q$8&lt;=Inputs!$I$31),Projection!P45,Projection!P45+Projection!Q44-Projection!P44))</f>
        <v>0</v>
      </c>
      <c r="R45" s="29">
        <f>IF($H44="None",0,IF(AND($H$44="Leaseup",R$8&lt;=Inputs!$I$31),Projection!Q45,Projection!Q45+Projection!R44-Projection!Q44))</f>
        <v>0</v>
      </c>
      <c r="S45" s="29">
        <f>IF($H44="None",0,IF(AND($H$44="Leaseup",S$8&lt;=Inputs!$I$31),Projection!R45,Projection!R45+Projection!S44-Projection!R44))</f>
        <v>0</v>
      </c>
      <c r="T45" s="29">
        <f>IF($H44="None",0,IF(AND($H$44="Leaseup",T$8&lt;=Inputs!$I$31),Projection!S45,Projection!S45+Projection!T44-Projection!S44))</f>
        <v>0</v>
      </c>
      <c r="U45" s="239">
        <f>IF($H44="None",0,IF(AND($H$44="Leaseup",U$8&lt;=Inputs!$I$31),Projection!T45,Projection!T45+Projection!U44-Projection!T44))</f>
        <v>0</v>
      </c>
      <c r="V45" s="29">
        <f>IF($H44="None",0,IF(AND($H$44="Leaseup",V$8&lt;=Inputs!$I$31),Projection!U45,Projection!U45+Projection!V44-Projection!U44))</f>
        <v>0</v>
      </c>
      <c r="W45" s="29">
        <f>IF($H44="None",0,IF(AND($H$44="Leaseup",W$8&lt;=Inputs!$I$31),Projection!V45,Projection!V45+Projection!W44-Projection!V44))</f>
        <v>0</v>
      </c>
      <c r="X45" s="29">
        <f>IF($H44="None",0,IF(AND($H$44="Leaseup",X$8&lt;=Inputs!$I$31),Projection!W45,Projection!W45+Projection!X44-Projection!W44))</f>
        <v>0</v>
      </c>
      <c r="Y45" s="29">
        <f>IF($H44="None",0,IF(AND($H$44="Leaseup",Y$8&lt;=Inputs!$I$31),Projection!X45,Projection!X45+Projection!Y44-Projection!X44))</f>
        <v>0</v>
      </c>
      <c r="Z45" s="29">
        <f>IF($H44="None",0,IF(AND($H$44="Leaseup",Z$8&lt;=Inputs!$I$31),Projection!Y45,Projection!Y45+Projection!Z44-Projection!Y44))</f>
        <v>0</v>
      </c>
      <c r="AA45" s="29">
        <f>IF($H44="None",0,IF(AND($H$44="Leaseup",AA$8&lt;=Inputs!$I$31),Projection!Z45,Projection!Z45+Projection!AA44-Projection!Z44))</f>
        <v>0</v>
      </c>
      <c r="AB45" s="29">
        <f>IF($H44="None",0,IF(AND($H$44="Leaseup",AB$8&lt;=Inputs!$I$31),Projection!AA45,Projection!AA45+Projection!AB44-Projection!AA44))</f>
        <v>0</v>
      </c>
      <c r="AC45" s="29">
        <f>IF($H44="None",0,IF(AND($H$44="Leaseup",AC$8&lt;=Inputs!$I$31),Projection!AB45,Projection!AB45+Projection!AC44-Projection!AB44))</f>
        <v>0</v>
      </c>
      <c r="AD45" s="29">
        <f>IF($H44="None",0,IF(AND($H$44="Leaseup",AD$8&lt;=Inputs!$I$31),Projection!AC45,Projection!AC45+Projection!AD44-Projection!AC44))</f>
        <v>0</v>
      </c>
      <c r="AE45" s="29">
        <f>IF($H44="None",0,IF(AND($H$44="Leaseup",AE$8&lt;=Inputs!$I$31),Projection!AD45,Projection!AD45+Projection!AE44-Projection!AD44))</f>
        <v>0</v>
      </c>
      <c r="AF45" s="29">
        <f>IF($H44="None",0,IF(AND($H$44="Leaseup",AF$8&lt;=Inputs!$I$31),Projection!AE45,Projection!AE45+Projection!AF44-Projection!AE44))</f>
        <v>0</v>
      </c>
      <c r="AG45" s="239">
        <f>IF($H44="None",0,IF(AND($H$44="Leaseup",AG$8&lt;=Inputs!$I$31),Projection!AF45,Projection!AF45+Projection!AG44-Projection!AF44))</f>
        <v>0</v>
      </c>
      <c r="AH45" s="29">
        <f>IF($H44="None",0,IF(AND($H$44="Leaseup",AH$8&lt;=Inputs!$I$31),Projection!AG45,Projection!AG45+Projection!AH44-Projection!AG44))</f>
        <v>0</v>
      </c>
      <c r="AI45" s="29">
        <f>IF($H44="None",0,IF(AND($H$44="Leaseup",AI$8&lt;=Inputs!$I$31),Projection!AH45,Projection!AH45+Projection!AI44-Projection!AH44))</f>
        <v>0</v>
      </c>
      <c r="AJ45" s="29">
        <f>IF($H44="None",0,IF(AND($H$44="Leaseup",AJ$8&lt;=Inputs!$I$31),Projection!AI45,Projection!AI45+Projection!AJ44-Projection!AI44))</f>
        <v>0</v>
      </c>
      <c r="AK45" s="29">
        <f>IF($H44="None",0,IF(AND($H$44="Leaseup",AK$8&lt;=Inputs!$I$31),Projection!AJ45,Projection!AJ45+Projection!AK44-Projection!AJ44))</f>
        <v>0</v>
      </c>
      <c r="AL45" s="29">
        <f>IF($H44="None",0,IF(AND($H$44="Leaseup",AL$8&lt;=Inputs!$I$31),Projection!AK45,Projection!AK45+Projection!AL44-Projection!AK44))</f>
        <v>0</v>
      </c>
      <c r="AM45" s="29">
        <f>IF($H44="None",0,IF(AND($H$44="Leaseup",AM$8&lt;=Inputs!$I$31),Projection!AL45,Projection!AL45+Projection!AM44-Projection!AL44))</f>
        <v>0</v>
      </c>
      <c r="AN45" s="29">
        <f>IF($H44="None",0,IF(AND($H$44="Leaseup",AN$8&lt;=Inputs!$I$31),Projection!AM45,Projection!AM45+Projection!AN44-Projection!AM44))</f>
        <v>0</v>
      </c>
      <c r="AO45" s="29">
        <f>IF($H44="None",0,IF(AND($H$44="Leaseup",AO$8&lt;=Inputs!$I$31),Projection!AN45,Projection!AN45+Projection!AO44-Projection!AN44))</f>
        <v>0</v>
      </c>
      <c r="AP45" s="29">
        <f>IF($H44="None",0,IF(AND($H$44="Leaseup",AP$8&lt;=Inputs!$I$31),Projection!AO45,Projection!AO45+Projection!AP44-Projection!AO44))</f>
        <v>0</v>
      </c>
      <c r="AQ45" s="29">
        <f>IF($H44="None",0,IF(AND($H$44="Leaseup",AQ$8&lt;=Inputs!$I$31),Projection!AP45,Projection!AP45+Projection!AQ44-Projection!AP44))</f>
        <v>0</v>
      </c>
      <c r="AR45" s="29">
        <f>IF($H44="None",0,IF(AND($H$44="Leaseup",AR$8&lt;=Inputs!$I$31),Projection!AQ45,Projection!AQ45+Projection!AR44-Projection!AQ44))</f>
        <v>0</v>
      </c>
      <c r="AS45" s="239">
        <f>IF($H44="None",0,IF(AND($H$44="Leaseup",AS$8&lt;=Inputs!$I$31),Projection!AR45,Projection!AR45+Projection!AS44-Projection!AR44))</f>
        <v>0</v>
      </c>
      <c r="AT45" s="29">
        <f>IF($H44="None",0,IF(AND($H$44="Leaseup",AT$8&lt;=Inputs!$I$31),Projection!AS45,Projection!AS45+Projection!AT44-Projection!AS44))</f>
        <v>0</v>
      </c>
      <c r="AU45" s="29">
        <f>IF($H44="None",0,IF(AND($H$44="Leaseup",AU$8&lt;=Inputs!$I$31),Projection!AT45,Projection!AT45+Projection!AU44-Projection!AT44))</f>
        <v>0</v>
      </c>
      <c r="AV45" s="29">
        <f>IF($H44="None",0,IF(AND($H$44="Leaseup",AV$8&lt;=Inputs!$I$31),Projection!AU45,Projection!AU45+Projection!AV44-Projection!AU44))</f>
        <v>0</v>
      </c>
      <c r="AW45" s="29">
        <f>IF($H44="None",0,IF(AND($H$44="Leaseup",AW$8&lt;=Inputs!$I$31),Projection!AV45,Projection!AV45+Projection!AW44-Projection!AV44))</f>
        <v>0</v>
      </c>
      <c r="AX45" s="29">
        <f>IF($H44="None",0,IF(AND($H$44="Leaseup",AX$8&lt;=Inputs!$I$31),Projection!AW45,Projection!AW45+Projection!AX44-Projection!AW44))</f>
        <v>0</v>
      </c>
      <c r="AY45" s="29">
        <f>IF($H44="None",0,IF(AND($H$44="Leaseup",AY$8&lt;=Inputs!$I$31),Projection!AX45,Projection!AX45+Projection!AY44-Projection!AX44))</f>
        <v>0</v>
      </c>
      <c r="AZ45" s="29">
        <f>IF($H44="None",0,IF(AND($H$44="Leaseup",AZ$8&lt;=Inputs!$I$31),Projection!AY45,Projection!AY45+Projection!AZ44-Projection!AY44))</f>
        <v>0</v>
      </c>
      <c r="BA45" s="29">
        <f>IF($H44="None",0,IF(AND($H$44="Leaseup",BA$8&lt;=Inputs!$I$31),Projection!AZ45,Projection!AZ45+Projection!BA44-Projection!AZ44))</f>
        <v>0</v>
      </c>
      <c r="BB45" s="29">
        <f>IF($H44="None",0,IF(AND($H$44="Leaseup",BB$8&lt;=Inputs!$I$31),Projection!BA45,Projection!BA45+Projection!BB44-Projection!BA44))</f>
        <v>0</v>
      </c>
      <c r="BC45" s="29">
        <f>IF($H44="None",0,IF(AND($H$44="Leaseup",BC$8&lt;=Inputs!$I$31),Projection!BB45,Projection!BB45+Projection!BC44-Projection!BB44))</f>
        <v>0</v>
      </c>
      <c r="BD45" s="29">
        <f>IF($H44="None",0,IF(AND($H$44="Leaseup",BD$8&lt;=Inputs!$I$31),Projection!BC45,Projection!BC45+Projection!BD44-Projection!BC44))</f>
        <v>0</v>
      </c>
      <c r="BE45" s="239">
        <f>IF($H44="None",0,IF(AND($H$44="Leaseup",BE$8&lt;=Inputs!$I$31),Projection!BD45,Projection!BD45+Projection!BE44-Projection!BD44))</f>
        <v>0</v>
      </c>
      <c r="BF45" s="29">
        <f>IF($H44="None",0,IF(AND($H$44="Leaseup",BF$8&lt;=Inputs!$I$31),Projection!BE45,Projection!BE45+Projection!BF44-Projection!BE44))</f>
        <v>0</v>
      </c>
      <c r="BG45" s="29">
        <f>IF($H44="None",0,IF(AND($H$44="Leaseup",BG$8&lt;=Inputs!$I$31),Projection!BF45,Projection!BF45+Projection!BG44-Projection!BF44))</f>
        <v>0</v>
      </c>
      <c r="BH45" s="29">
        <f>IF($H44="None",0,IF(AND($H$44="Leaseup",BH$8&lt;=Inputs!$I$31),Projection!BG45,Projection!BG45+Projection!BH44-Projection!BG44))</f>
        <v>0</v>
      </c>
      <c r="BI45" s="29">
        <f>IF($H44="None",0,IF(AND($H$44="Leaseup",BI$8&lt;=Inputs!$I$31),Projection!BH45,Projection!BH45+Projection!BI44-Projection!BH44))</f>
        <v>0</v>
      </c>
      <c r="BJ45" s="29">
        <f>IF($H44="None",0,IF(AND($H$44="Leaseup",BJ$8&lt;=Inputs!$I$31),Projection!BI45,Projection!BI45+Projection!BJ44-Projection!BI44))</f>
        <v>0</v>
      </c>
      <c r="BK45" s="29">
        <f>IF($H44="None",0,IF(AND($H$44="Leaseup",BK$8&lt;=Inputs!$I$31),Projection!BJ45,Projection!BJ45+Projection!BK44-Projection!BJ44))</f>
        <v>0</v>
      </c>
      <c r="BL45" s="29">
        <f>IF($H44="None",0,IF(AND($H$44="Leaseup",BL$8&lt;=Inputs!$I$31),Projection!BK45,Projection!BK45+Projection!BL44-Projection!BK44))</f>
        <v>0</v>
      </c>
      <c r="BM45" s="29">
        <f>IF($H44="None",0,IF(AND($H$44="Leaseup",BM$8&lt;=Inputs!$I$31),Projection!BL45,Projection!BL45+Projection!BM44-Projection!BL44))</f>
        <v>0</v>
      </c>
      <c r="BN45" s="29">
        <f>IF($H44="None",0,IF(AND($H$44="Leaseup",BN$8&lt;=Inputs!$I$31),Projection!BM45,Projection!BM45+Projection!BN44-Projection!BM44))</f>
        <v>0</v>
      </c>
      <c r="BO45" s="29">
        <f>IF($H44="None",0,IF(AND($H$44="Leaseup",BO$8&lt;=Inputs!$I$31),Projection!BN45,Projection!BN45+Projection!BO44-Projection!BN44))</f>
        <v>0</v>
      </c>
      <c r="BP45" s="29">
        <f>IF($H44="None",0,IF(AND($H$44="Leaseup",BP$8&lt;=Inputs!$I$31),Projection!BO45,Projection!BO45+Projection!BP44-Projection!BO44))</f>
        <v>0</v>
      </c>
      <c r="BQ45" s="29">
        <f>IF($H44="None",0,IF(AND($H$44="Leaseup",BQ$8&lt;=Inputs!$I$31),Projection!BP45,Projection!BP45+Projection!BQ44-Projection!BP44))</f>
        <v>0</v>
      </c>
      <c r="BR45" s="29">
        <f>IF($H44="None",0,IF(AND($H$44="Leaseup",BR$8&lt;=Inputs!$I$31),Projection!BQ45,Projection!BQ45+Projection!BR44-Projection!BQ44))</f>
        <v>0</v>
      </c>
      <c r="BS45" s="29">
        <f>IF($H44="None",0,IF(AND($H$44="Leaseup",BS$8&lt;=Inputs!$I$31),Projection!BR45,Projection!BR45+Projection!BS44-Projection!BR44))</f>
        <v>0</v>
      </c>
      <c r="BT45" s="29">
        <f>IF($H44="None",0,IF(AND($H$44="Leaseup",BT$8&lt;=Inputs!$I$31),Projection!BS45,Projection!BS45+Projection!BT44-Projection!BS44))</f>
        <v>0</v>
      </c>
      <c r="BU45" s="29">
        <f>IF($H44="None",0,IF(AND($H$44="Leaseup",BU$8&lt;=Inputs!$I$31),Projection!BT45,Projection!BT45+Projection!BU44-Projection!BT44))</f>
        <v>0</v>
      </c>
      <c r="BW45" s="29">
        <f t="shared" ref="BW45:CA45" si="54">SUMIF($J$6:$BU$6,BW$9,$J45:$BU45)</f>
        <v>0</v>
      </c>
      <c r="BX45" s="29">
        <f t="shared" si="54"/>
        <v>0</v>
      </c>
      <c r="BY45" s="29">
        <f t="shared" si="54"/>
        <v>0</v>
      </c>
      <c r="BZ45" s="29">
        <f t="shared" si="54"/>
        <v>0</v>
      </c>
      <c r="CA45" s="29">
        <f t="shared" si="54"/>
        <v>0</v>
      </c>
      <c r="CB45" s="29">
        <f t="shared" ref="CB45:CK45" si="55">SUMIF($J$7:$BP$7,CB$7,$J45:$BP45)</f>
        <v>0</v>
      </c>
      <c r="CC45" s="29">
        <f t="shared" si="55"/>
        <v>0</v>
      </c>
      <c r="CD45" s="29">
        <f t="shared" si="55"/>
        <v>0</v>
      </c>
      <c r="CE45" s="29">
        <f t="shared" si="55"/>
        <v>0</v>
      </c>
      <c r="CF45" s="29">
        <f t="shared" si="55"/>
        <v>0</v>
      </c>
      <c r="CG45" s="29">
        <f t="shared" si="55"/>
        <v>0</v>
      </c>
      <c r="CH45" s="29">
        <f t="shared" si="55"/>
        <v>0</v>
      </c>
      <c r="CI45" s="29">
        <f t="shared" si="55"/>
        <v>0</v>
      </c>
      <c r="CJ45" s="29">
        <f t="shared" si="55"/>
        <v>0</v>
      </c>
      <c r="CK45" s="29">
        <f t="shared" si="55"/>
        <v>0</v>
      </c>
    </row>
    <row r="46" spans="1:89" ht="14.25" customHeight="1" outlineLevel="2" x14ac:dyDescent="0.2">
      <c r="A46" s="11"/>
      <c r="B46" s="11"/>
      <c r="F46" s="56" t="s">
        <v>336</v>
      </c>
      <c r="G46" s="53"/>
      <c r="H46" s="29"/>
      <c r="I46" s="241">
        <f>Inputs!$C$24</f>
        <v>0</v>
      </c>
      <c r="J46" s="29">
        <f>IF(AND(Inputs!$I$28="Leaseup",J$8&lt;Inputs!$I$31),Inputs!$C$24+(Inputs!$C$23*Inputs!$I$13-Inputs!$C$24)/Inputs!$I$31*Projection!J$8,Projection!I46)</f>
        <v>0</v>
      </c>
      <c r="K46" s="29">
        <f>IF(AND(Inputs!$I$28="Leaseup",K$8&lt;Inputs!$I$31),Inputs!$C$24+(Inputs!$C$23*Inputs!$I$13-Inputs!$C$24)/Inputs!$I$31*Projection!K$8,Projection!J46)</f>
        <v>0</v>
      </c>
      <c r="L46" s="29">
        <f>IF(AND(Inputs!$I$28="Leaseup",L$8&lt;Inputs!$I$31),Inputs!$C$24+(Inputs!$C$23*Inputs!$I$13-Inputs!$C$24)/Inputs!$I$31*Projection!L$8,Projection!K46)</f>
        <v>0</v>
      </c>
      <c r="M46" s="29">
        <f>IF(AND(Inputs!$I$28="Leaseup",M$8&lt;Inputs!$I$31),Inputs!$C$24+(Inputs!$C$23*Inputs!$I$13-Inputs!$C$24)/Inputs!$I$31*Projection!M$8,Projection!L46)</f>
        <v>0</v>
      </c>
      <c r="N46" s="29">
        <f>IF(AND(Inputs!$I$28="Leaseup",N$8&lt;Inputs!$I$31),Inputs!$C$24+(Inputs!$C$23*Inputs!$I$13-Inputs!$C$24)/Inputs!$I$31*Projection!N$8,Projection!M46)</f>
        <v>0</v>
      </c>
      <c r="O46" s="29">
        <f>IF(AND(Inputs!$I$28="Leaseup",O$8&lt;Inputs!$I$31),Inputs!$C$24+(Inputs!$C$23*Inputs!$I$13-Inputs!$C$24)/Inputs!$I$31*Projection!O$8,Projection!N46)</f>
        <v>0</v>
      </c>
      <c r="P46" s="29">
        <f>IF(AND(Inputs!$I$28="Leaseup",P$8&lt;Inputs!$I$31),Inputs!$C$24+(Inputs!$C$23*Inputs!$I$13-Inputs!$C$24)/Inputs!$I$31*Projection!P$8,Projection!O46)</f>
        <v>0</v>
      </c>
      <c r="Q46" s="29">
        <f>IF(AND(Inputs!$I$28="Leaseup",Q$8&lt;Inputs!$I$31),Inputs!$C$24+(Inputs!$C$23*Inputs!$I$13-Inputs!$C$24)/Inputs!$I$31*Projection!Q$8,Projection!P46)</f>
        <v>0</v>
      </c>
      <c r="R46" s="29">
        <f>IF(AND(Inputs!$I$28="Leaseup",R$8&lt;Inputs!$I$31),Inputs!$C$24+(Inputs!$C$23*Inputs!$I$13-Inputs!$C$24)/Inputs!$I$31*Projection!R$8,Projection!Q46)</f>
        <v>0</v>
      </c>
      <c r="S46" s="29">
        <f>IF(AND(Inputs!$I$28="Leaseup",S$8&lt;Inputs!$I$31),Inputs!$C$24+(Inputs!$C$23*Inputs!$I$13-Inputs!$C$24)/Inputs!$I$31*Projection!S$8,Projection!R46)</f>
        <v>0</v>
      </c>
      <c r="T46" s="29">
        <f>IF(AND(Inputs!$I$28="Leaseup",T$8&lt;Inputs!$I$31),Inputs!$C$24+(Inputs!$C$23*Inputs!$I$13-Inputs!$C$24)/Inputs!$I$31*Projection!T$8,Projection!S46)</f>
        <v>0</v>
      </c>
      <c r="U46" s="239">
        <f>IF(AND(Inputs!$I$28="Leaseup",U$8&lt;Inputs!$I$31),Inputs!$C$24+(Inputs!$C$23*Inputs!$I$13-Inputs!$C$24)/Inputs!$I$31*Projection!U$8,Projection!T46)</f>
        <v>0</v>
      </c>
      <c r="V46" s="29">
        <f>IF(AND(Inputs!$I$28="Leaseup",V$8&lt;Inputs!$I$31),Inputs!$C$24+(Inputs!$C$23*Inputs!$I$13-Inputs!$C$24)/Inputs!$I$31*Projection!V$8,Projection!U46)</f>
        <v>0</v>
      </c>
      <c r="W46" s="29">
        <f>IF(AND(Inputs!$I$28="Leaseup",W$8&lt;Inputs!$I$31),Inputs!$C$24+(Inputs!$C$23*Inputs!$I$13-Inputs!$C$24)/Inputs!$I$31*Projection!W$8,Projection!V46)</f>
        <v>0</v>
      </c>
      <c r="X46" s="29">
        <f>IF(AND(Inputs!$I$28="Leaseup",X$8&lt;Inputs!$I$31),Inputs!$C$24+(Inputs!$C$23*Inputs!$I$13-Inputs!$C$24)/Inputs!$I$31*Projection!X$8,Projection!W46)</f>
        <v>0</v>
      </c>
      <c r="Y46" s="29">
        <f>IF(AND(Inputs!$I$28="Leaseup",Y$8&lt;Inputs!$I$31),Inputs!$C$24+(Inputs!$C$23*Inputs!$I$13-Inputs!$C$24)/Inputs!$I$31*Projection!Y$8,Projection!X46)</f>
        <v>0</v>
      </c>
      <c r="Z46" s="29">
        <f>IF(AND(Inputs!$I$28="Leaseup",Z$8&lt;Inputs!$I$31),Inputs!$C$24+(Inputs!$C$23*Inputs!$I$13-Inputs!$C$24)/Inputs!$I$31*Projection!Z$8,Projection!Y46)</f>
        <v>0</v>
      </c>
      <c r="AA46" s="29">
        <f>IF(AND(Inputs!$I$28="Leaseup",AA$8&lt;Inputs!$I$31),Inputs!$C$24+(Inputs!$C$23*Inputs!$I$13-Inputs!$C$24)/Inputs!$I$31*Projection!AA$8,Projection!Z46)</f>
        <v>0</v>
      </c>
      <c r="AB46" s="29">
        <f>IF(AND(Inputs!$I$28="Leaseup",AB$8&lt;Inputs!$I$31),Inputs!$C$24+(Inputs!$C$23*Inputs!$I$13-Inputs!$C$24)/Inputs!$I$31*Projection!AB$8,Projection!AA46)</f>
        <v>0</v>
      </c>
      <c r="AC46" s="29">
        <f>IF(AND(Inputs!$I$28="Leaseup",AC$8&lt;Inputs!$I$31),Inputs!$C$24+(Inputs!$C$23*Inputs!$I$13-Inputs!$C$24)/Inputs!$I$31*Projection!AC$8,Projection!AB46)</f>
        <v>0</v>
      </c>
      <c r="AD46" s="29">
        <f>IF(AND(Inputs!$I$28="Leaseup",AD$8&lt;Inputs!$I$31),Inputs!$C$24+(Inputs!$C$23*Inputs!$I$13-Inputs!$C$24)/Inputs!$I$31*Projection!AD$8,Projection!AC46)</f>
        <v>0</v>
      </c>
      <c r="AE46" s="29">
        <f>IF(AND(Inputs!$I$28="Leaseup",AE$8&lt;Inputs!$I$31),Inputs!$C$24+(Inputs!$C$23*Inputs!$I$13-Inputs!$C$24)/Inputs!$I$31*Projection!AE$8,Projection!AD46)</f>
        <v>0</v>
      </c>
      <c r="AF46" s="29">
        <f>IF(AND(Inputs!$I$28="Leaseup",AF$8&lt;Inputs!$I$31),Inputs!$C$24+(Inputs!$C$23*Inputs!$I$13-Inputs!$C$24)/Inputs!$I$31*Projection!AF$8,Projection!AE46)</f>
        <v>0</v>
      </c>
      <c r="AG46" s="239">
        <f>IF(AND(Inputs!$I$28="Leaseup",AG$8&lt;Inputs!$I$31),Inputs!$C$24+(Inputs!$C$23*Inputs!$I$13-Inputs!$C$24)/Inputs!$I$31*Projection!AG$8,Projection!AF46)</f>
        <v>0</v>
      </c>
      <c r="AH46" s="29">
        <f>IF(AND(Inputs!$I$28="Leaseup",AH$8&lt;Inputs!$I$31),Inputs!$C$24+(Inputs!$C$23*Inputs!$I$13-Inputs!$C$24)/Inputs!$I$31*Projection!AH$8,Projection!AG46)</f>
        <v>0</v>
      </c>
      <c r="AI46" s="29">
        <f>IF(AND(Inputs!$I$28="Leaseup",AI$8&lt;Inputs!$I$31),Inputs!$C$24+(Inputs!$C$23*Inputs!$I$13-Inputs!$C$24)/Inputs!$I$31*Projection!AI$8,Projection!AH46)</f>
        <v>0</v>
      </c>
      <c r="AJ46" s="29">
        <f>IF(AND(Inputs!$I$28="Leaseup",AJ$8&lt;Inputs!$I$31),Inputs!$C$24+(Inputs!$C$23*Inputs!$I$13-Inputs!$C$24)/Inputs!$I$31*Projection!AJ$8,Projection!AI46)</f>
        <v>0</v>
      </c>
      <c r="AK46" s="29">
        <f>IF(AND(Inputs!$I$28="Leaseup",AK$8&lt;Inputs!$I$31),Inputs!$C$24+(Inputs!$C$23*Inputs!$I$13-Inputs!$C$24)/Inputs!$I$31*Projection!AK$8,Projection!AJ46)</f>
        <v>0</v>
      </c>
      <c r="AL46" s="29">
        <f>IF(AND(Inputs!$I$28="Leaseup",AL$8&lt;Inputs!$I$31),Inputs!$C$24+(Inputs!$C$23*Inputs!$I$13-Inputs!$C$24)/Inputs!$I$31*Projection!AL$8,Projection!AK46)</f>
        <v>0</v>
      </c>
      <c r="AM46" s="29">
        <f>IF(AND(Inputs!$I$28="Leaseup",AM$8&lt;Inputs!$I$31),Inputs!$C$24+(Inputs!$C$23*Inputs!$I$13-Inputs!$C$24)/Inputs!$I$31*Projection!AM$8,Projection!AL46)</f>
        <v>0</v>
      </c>
      <c r="AN46" s="29">
        <f>IF(AND(Inputs!$I$28="Leaseup",AN$8&lt;Inputs!$I$31),Inputs!$C$24+(Inputs!$C$23*Inputs!$I$13-Inputs!$C$24)/Inputs!$I$31*Projection!AN$8,Projection!AM46)</f>
        <v>0</v>
      </c>
      <c r="AO46" s="29">
        <f>IF(AND(Inputs!$I$28="Leaseup",AO$8&lt;Inputs!$I$31),Inputs!$C$24+(Inputs!$C$23*Inputs!$I$13-Inputs!$C$24)/Inputs!$I$31*Projection!AO$8,Projection!AN46)</f>
        <v>0</v>
      </c>
      <c r="AP46" s="29">
        <f>IF(AND(Inputs!$I$28="Leaseup",AP$8&lt;Inputs!$I$31),Inputs!$C$24+(Inputs!$C$23*Inputs!$I$13-Inputs!$C$24)/Inputs!$I$31*Projection!AP$8,Projection!AO46)</f>
        <v>0</v>
      </c>
      <c r="AQ46" s="29">
        <f>IF(AND(Inputs!$I$28="Leaseup",AQ$8&lt;Inputs!$I$31),Inputs!$C$24+(Inputs!$C$23*Inputs!$I$13-Inputs!$C$24)/Inputs!$I$31*Projection!AQ$8,Projection!AP46)</f>
        <v>0</v>
      </c>
      <c r="AR46" s="29">
        <f>IF(AND(Inputs!$I$28="Leaseup",AR$8&lt;Inputs!$I$31),Inputs!$C$24+(Inputs!$C$23*Inputs!$I$13-Inputs!$C$24)/Inputs!$I$31*Projection!AR$8,Projection!AQ46)</f>
        <v>0</v>
      </c>
      <c r="AS46" s="239">
        <f>IF(AND(Inputs!$I$28="Leaseup",AS$8&lt;Inputs!$I$31),Inputs!$C$24+(Inputs!$C$23*Inputs!$I$13-Inputs!$C$24)/Inputs!$I$31*Projection!AS$8,Projection!AR46)</f>
        <v>0</v>
      </c>
      <c r="AT46" s="29">
        <f>IF(AND(Inputs!$I$28="Leaseup",AT$8&lt;Inputs!$I$31),Inputs!$C$24+(Inputs!$C$23*Inputs!$I$13-Inputs!$C$24)/Inputs!$I$31*Projection!AT$8,Projection!AS46)</f>
        <v>0</v>
      </c>
      <c r="AU46" s="29">
        <f>IF(AND(Inputs!$I$28="Leaseup",AU$8&lt;Inputs!$I$31),Inputs!$C$24+(Inputs!$C$23*Inputs!$I$13-Inputs!$C$24)/Inputs!$I$31*Projection!AU$8,Projection!AT46)</f>
        <v>0</v>
      </c>
      <c r="AV46" s="29">
        <f>IF(AND(Inputs!$I$28="Leaseup",AV$8&lt;Inputs!$I$31),Inputs!$C$24+(Inputs!$C$23*Inputs!$I$13-Inputs!$C$24)/Inputs!$I$31*Projection!AV$8,Projection!AU46)</f>
        <v>0</v>
      </c>
      <c r="AW46" s="29">
        <f>IF(AND(Inputs!$I$28="Leaseup",AW$8&lt;Inputs!$I$31),Inputs!$C$24+(Inputs!$C$23*Inputs!$I$13-Inputs!$C$24)/Inputs!$I$31*Projection!AW$8,Projection!AV46)</f>
        <v>0</v>
      </c>
      <c r="AX46" s="29">
        <f>IF(AND(Inputs!$I$28="Leaseup",AX$8&lt;Inputs!$I$31),Inputs!$C$24+(Inputs!$C$23*Inputs!$I$13-Inputs!$C$24)/Inputs!$I$31*Projection!AX$8,Projection!AW46)</f>
        <v>0</v>
      </c>
      <c r="AY46" s="29">
        <f>IF(AND(Inputs!$I$28="Leaseup",AY$8&lt;Inputs!$I$31),Inputs!$C$24+(Inputs!$C$23*Inputs!$I$13-Inputs!$C$24)/Inputs!$I$31*Projection!AY$8,Projection!AX46)</f>
        <v>0</v>
      </c>
      <c r="AZ46" s="29">
        <f>IF(AND(Inputs!$I$28="Leaseup",AZ$8&lt;Inputs!$I$31),Inputs!$C$24+(Inputs!$C$23*Inputs!$I$13-Inputs!$C$24)/Inputs!$I$31*Projection!AZ$8,Projection!AY46)</f>
        <v>0</v>
      </c>
      <c r="BA46" s="29">
        <f>IF(AND(Inputs!$I$28="Leaseup",BA$8&lt;Inputs!$I$31),Inputs!$C$24+(Inputs!$C$23*Inputs!$I$13-Inputs!$C$24)/Inputs!$I$31*Projection!BA$8,Projection!AZ46)</f>
        <v>0</v>
      </c>
      <c r="BB46" s="29">
        <f>IF(AND(Inputs!$I$28="Leaseup",BB$8&lt;Inputs!$I$31),Inputs!$C$24+(Inputs!$C$23*Inputs!$I$13-Inputs!$C$24)/Inputs!$I$31*Projection!BB$8,Projection!BA46)</f>
        <v>0</v>
      </c>
      <c r="BC46" s="29">
        <f>IF(AND(Inputs!$I$28="Leaseup",BC$8&lt;Inputs!$I$31),Inputs!$C$24+(Inputs!$C$23*Inputs!$I$13-Inputs!$C$24)/Inputs!$I$31*Projection!BC$8,Projection!BB46)</f>
        <v>0</v>
      </c>
      <c r="BD46" s="29">
        <f>IF(AND(Inputs!$I$28="Leaseup",BD$8&lt;Inputs!$I$31),Inputs!$C$24+(Inputs!$C$23*Inputs!$I$13-Inputs!$C$24)/Inputs!$I$31*Projection!BD$8,Projection!BC46)</f>
        <v>0</v>
      </c>
      <c r="BE46" s="239">
        <f>IF(AND(Inputs!$I$28="Leaseup",BE$8&lt;Inputs!$I$31),Inputs!$C$24+(Inputs!$C$23*Inputs!$I$13-Inputs!$C$24)/Inputs!$I$31*Projection!BE$8,Projection!BD46)</f>
        <v>0</v>
      </c>
      <c r="BF46" s="29">
        <f>IF(AND(Inputs!$I$28="Leaseup",BF$8&lt;Inputs!$I$31),Inputs!$C$24+(Inputs!$C$23*Inputs!$I$13-Inputs!$C$24)/Inputs!$I$31*Projection!BF$8,Projection!BE46)</f>
        <v>0</v>
      </c>
      <c r="BG46" s="29">
        <f>IF(AND(Inputs!$I$28="Leaseup",BG$8&lt;Inputs!$I$31),Inputs!$C$24+(Inputs!$C$23*Inputs!$I$13-Inputs!$C$24)/Inputs!$I$31*Projection!BG$8,Projection!BF46)</f>
        <v>0</v>
      </c>
      <c r="BH46" s="29">
        <f>IF(AND(Inputs!$I$28="Leaseup",BH$8&lt;Inputs!$I$31),Inputs!$C$24+(Inputs!$C$23*Inputs!$I$13-Inputs!$C$24)/Inputs!$I$31*Projection!BH$8,Projection!BG46)</f>
        <v>0</v>
      </c>
      <c r="BI46" s="29">
        <f>IF(AND(Inputs!$I$28="Leaseup",BI$8&lt;Inputs!$I$31),Inputs!$C$24+(Inputs!$C$23*Inputs!$I$13-Inputs!$C$24)/Inputs!$I$31*Projection!BI$8,Projection!BH46)</f>
        <v>0</v>
      </c>
      <c r="BJ46" s="29">
        <f>IF(AND(Inputs!$I$28="Leaseup",BJ$8&lt;Inputs!$I$31),Inputs!$C$24+(Inputs!$C$23*Inputs!$I$13-Inputs!$C$24)/Inputs!$I$31*Projection!BJ$8,Projection!BI46)</f>
        <v>0</v>
      </c>
      <c r="BK46" s="29">
        <f>IF(AND(Inputs!$I$28="Leaseup",BK$8&lt;Inputs!$I$31),Inputs!$C$24+(Inputs!$C$23*Inputs!$I$13-Inputs!$C$24)/Inputs!$I$31*Projection!BK$8,Projection!BJ46)</f>
        <v>0</v>
      </c>
      <c r="BL46" s="29">
        <f>IF(AND(Inputs!$I$28="Leaseup",BL$8&lt;Inputs!$I$31),Inputs!$C$24+(Inputs!$C$23*Inputs!$I$13-Inputs!$C$24)/Inputs!$I$31*Projection!BL$8,Projection!BK46)</f>
        <v>0</v>
      </c>
      <c r="BM46" s="29">
        <f>IF(AND(Inputs!$I$28="Leaseup",BM$8&lt;Inputs!$I$31),Inputs!$C$24+(Inputs!$C$23*Inputs!$I$13-Inputs!$C$24)/Inputs!$I$31*Projection!BM$8,Projection!BL46)</f>
        <v>0</v>
      </c>
      <c r="BN46" s="29">
        <f>IF(AND(Inputs!$I$28="Leaseup",BN$8&lt;Inputs!$I$31),Inputs!$C$24+(Inputs!$C$23*Inputs!$I$13-Inputs!$C$24)/Inputs!$I$31*Projection!BN$8,Projection!BM46)</f>
        <v>0</v>
      </c>
      <c r="BO46" s="29">
        <f>IF(AND(Inputs!$I$28="Leaseup",BO$8&lt;Inputs!$I$31),Inputs!$C$24+(Inputs!$C$23*Inputs!$I$13-Inputs!$C$24)/Inputs!$I$31*Projection!BO$8,Projection!BN46)</f>
        <v>0</v>
      </c>
      <c r="BP46" s="29">
        <f>IF(AND(Inputs!$I$28="Leaseup",BP$8&lt;Inputs!$I$31),Inputs!$C$24+(Inputs!$C$23*Inputs!$I$13-Inputs!$C$24)/Inputs!$I$31*Projection!BP$8,Projection!BO46)</f>
        <v>0</v>
      </c>
      <c r="BQ46" s="29">
        <f>IF(AND(Inputs!$I$28="Leaseup",BQ$8&lt;Inputs!$I$31),Inputs!$C$24+(Inputs!$C$23*Inputs!$I$13-Inputs!$C$24)/Inputs!$I$31*Projection!BQ$8,Projection!BP46)</f>
        <v>0</v>
      </c>
      <c r="BR46" s="29">
        <f>IF(AND(Inputs!$I$28="Leaseup",BR$8&lt;Inputs!$I$31),Inputs!$C$24+(Inputs!$C$23*Inputs!$I$13-Inputs!$C$24)/Inputs!$I$31*Projection!BR$8,Projection!BQ46)</f>
        <v>0</v>
      </c>
      <c r="BS46" s="29">
        <f>IF(AND(Inputs!$I$28="Leaseup",BS$8&lt;Inputs!$I$31),Inputs!$C$24+(Inputs!$C$23*Inputs!$I$13-Inputs!$C$24)/Inputs!$I$31*Projection!BS$8,Projection!BR46)</f>
        <v>0</v>
      </c>
      <c r="BT46" s="29">
        <f>IF(AND(Inputs!$I$28="Leaseup",BT$8&lt;Inputs!$I$31),Inputs!$C$24+(Inputs!$C$23*Inputs!$I$13-Inputs!$C$24)/Inputs!$I$31*Projection!BT$8,Projection!BS46)</f>
        <v>0</v>
      </c>
      <c r="BU46" s="29">
        <f>IF(AND(Inputs!$I$28="Leaseup",BU$8&lt;Inputs!$I$31),Inputs!$C$24+(Inputs!$C$23*Inputs!$I$13-Inputs!$C$24)/Inputs!$I$31*Projection!BU$8,Projection!BT46)</f>
        <v>0</v>
      </c>
      <c r="BW46" s="29">
        <f t="shared" ref="BW46:CA46" si="56">SUMIF($J$6:$BU$6,BW$9,$J46:$BU46)</f>
        <v>0</v>
      </c>
      <c r="BX46" s="29">
        <f t="shared" si="56"/>
        <v>0</v>
      </c>
      <c r="BY46" s="29">
        <f t="shared" si="56"/>
        <v>0</v>
      </c>
      <c r="BZ46" s="29">
        <f t="shared" si="56"/>
        <v>0</v>
      </c>
      <c r="CA46" s="29">
        <f t="shared" si="56"/>
        <v>0</v>
      </c>
      <c r="CB46" s="29">
        <f t="shared" ref="CB46:CK46" si="57">SUMIF($J$7:$BP$7,CB$7,$J46:$BP46)</f>
        <v>0</v>
      </c>
      <c r="CC46" s="29">
        <f t="shared" si="57"/>
        <v>0</v>
      </c>
      <c r="CD46" s="29">
        <f t="shared" si="57"/>
        <v>0</v>
      </c>
      <c r="CE46" s="29">
        <f t="shared" si="57"/>
        <v>0</v>
      </c>
      <c r="CF46" s="29">
        <f t="shared" si="57"/>
        <v>0</v>
      </c>
      <c r="CG46" s="29">
        <f t="shared" si="57"/>
        <v>0</v>
      </c>
      <c r="CH46" s="29">
        <f t="shared" si="57"/>
        <v>0</v>
      </c>
      <c r="CI46" s="29">
        <f t="shared" si="57"/>
        <v>0</v>
      </c>
      <c r="CJ46" s="29">
        <f t="shared" si="57"/>
        <v>0</v>
      </c>
      <c r="CK46" s="29">
        <f t="shared" si="57"/>
        <v>0</v>
      </c>
    </row>
    <row r="47" spans="1:89" ht="14.25" customHeight="1" outlineLevel="1" x14ac:dyDescent="0.2">
      <c r="A47" s="11">
        <f t="shared" ref="A47:A172" si="58">$F$2</f>
        <v>0</v>
      </c>
      <c r="B47" s="11"/>
      <c r="D47" s="249"/>
      <c r="E47" s="3"/>
      <c r="F47" s="249"/>
      <c r="I47" s="1"/>
      <c r="J47" s="75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269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269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269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269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</row>
    <row r="48" spans="1:89" ht="14.25" customHeight="1" outlineLevel="1" x14ac:dyDescent="0.2">
      <c r="A48" s="11">
        <f t="shared" si="58"/>
        <v>0</v>
      </c>
      <c r="B48" s="11"/>
      <c r="D48" s="216" t="s">
        <v>337</v>
      </c>
      <c r="E48" s="217"/>
      <c r="F48" s="218"/>
      <c r="G48" s="217"/>
      <c r="H48" s="217"/>
      <c r="I48" s="219"/>
      <c r="J48" s="221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2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2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2"/>
      <c r="AT48" s="220"/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2"/>
      <c r="BF48" s="220"/>
      <c r="BG48" s="220"/>
      <c r="BH48" s="220"/>
      <c r="BI48" s="220"/>
      <c r="BJ48" s="220"/>
      <c r="BK48" s="220"/>
      <c r="BL48" s="220"/>
      <c r="BM48" s="220"/>
      <c r="BN48" s="220"/>
      <c r="BO48" s="220"/>
      <c r="BP48" s="220"/>
      <c r="BQ48" s="220"/>
      <c r="BR48" s="220"/>
      <c r="BS48" s="220"/>
      <c r="BT48" s="220"/>
      <c r="BU48" s="220"/>
      <c r="BW48" s="216" t="s">
        <v>338</v>
      </c>
      <c r="BX48" s="216"/>
      <c r="BY48" s="216"/>
      <c r="BZ48" s="216"/>
      <c r="CA48" s="216"/>
      <c r="CB48" s="216"/>
      <c r="CC48" s="216"/>
      <c r="CD48" s="216"/>
      <c r="CE48" s="216"/>
      <c r="CF48" s="216"/>
      <c r="CG48" s="216"/>
      <c r="CH48" s="216"/>
      <c r="CI48" s="216"/>
      <c r="CJ48" s="216"/>
      <c r="CK48" s="216"/>
    </row>
    <row r="49" spans="1:109" ht="14.25" customHeight="1" outlineLevel="1" x14ac:dyDescent="0.2">
      <c r="A49" s="11">
        <f t="shared" si="58"/>
        <v>0</v>
      </c>
      <c r="B49" s="11" t="s">
        <v>339</v>
      </c>
      <c r="F49" s="56" t="s">
        <v>340</v>
      </c>
      <c r="I49" s="241">
        <f>I$50*I$21</f>
        <v>0</v>
      </c>
      <c r="J49" s="29">
        <f>MIN(J$21*MAX(Inputs!$I$51,Inputs!$C$21),I49+J$19*I50+J$18*Inputs!$J$51)</f>
        <v>11.194387025707581</v>
      </c>
      <c r="K49" s="29">
        <f>MIN(K$21*MAX(Inputs!$I$51,Inputs!$C$21),J49+K$19*J50+K$18*Inputs!$J$51)</f>
        <v>22.253727096875956</v>
      </c>
      <c r="L49" s="29">
        <f>MIN(L$21*MAX(Inputs!$I$51,Inputs!$C$21),K49+L$19*K50+L$18*Inputs!$J$51)</f>
        <v>37.497147130257545</v>
      </c>
      <c r="M49" s="29">
        <f>MIN(M$21*MAX(Inputs!$I$51,Inputs!$C$21),L49+M$19*L50+M$18*Inputs!$J$51)</f>
        <v>52.98639493517021</v>
      </c>
      <c r="N49" s="29">
        <f>MIN(N$21*MAX(Inputs!$I$51,Inputs!$C$21),M49+N$19*M50+N$18*Inputs!$J$51)</f>
        <v>76.73846663696574</v>
      </c>
      <c r="O49" s="29">
        <f>MIN(O$21*MAX(Inputs!$I$51,Inputs!$C$21),N49+O$19*N50+O$18*Inputs!$J$51)</f>
        <v>96.346067081586568</v>
      </c>
      <c r="P49" s="29">
        <f>MIN(P$21*MAX(Inputs!$I$51,Inputs!$C$21),O49+P$19*O50+P$18*Inputs!$J$51)</f>
        <v>113.48832804405424</v>
      </c>
      <c r="Q49" s="29">
        <f>MIN(Q$21*MAX(Inputs!$I$51,Inputs!$C$21),P49+Q$19*P50+Q$18*Inputs!$J$51)</f>
        <v>126.42992822809757</v>
      </c>
      <c r="R49" s="29">
        <f>MIN(R$21*MAX(Inputs!$I$51,Inputs!$C$21),Q49+R$19*Q50+R$18*Inputs!$J$51)</f>
        <v>137.85748936759757</v>
      </c>
      <c r="S49" s="29">
        <f>MIN(S$21*MAX(Inputs!$I$51,Inputs!$C$21),R49+S$19*R50+S$18*Inputs!$J$51)</f>
        <v>149.43135049031966</v>
      </c>
      <c r="T49" s="29">
        <f>MIN(T$21*MAX(Inputs!$I$51,Inputs!$C$21),S49+T$19*S50+T$18*Inputs!$J$51)</f>
        <v>160.22838481558949</v>
      </c>
      <c r="U49" s="239">
        <f>MIN(U$21*MAX(Inputs!$I$51,Inputs!$C$21),T49+U$19*T50+U$18*Inputs!$J$51)</f>
        <v>169.28999999999991</v>
      </c>
      <c r="V49" s="29">
        <f>MIN(V$21*MAX(Inputs!$I$51,Inputs!$C$21),U49+V$19*U50+V$18*Inputs!$J$51)</f>
        <v>181.16283472423524</v>
      </c>
      <c r="W49" s="29">
        <f>MIN(W$21*MAX(Inputs!$I$51,Inputs!$C$21),V49+W$19*V50+W$18*Inputs!$J$51)</f>
        <v>192.89243783001987</v>
      </c>
      <c r="X49" s="29">
        <f>MIN(X$21*MAX(Inputs!$I$51,Inputs!$C$21),W49+X$19*W50+X$18*Inputs!$J$51)</f>
        <v>209.05970150178823</v>
      </c>
      <c r="Y49" s="29">
        <f>MIN(Y$21*MAX(Inputs!$I$51,Inputs!$C$21),X49+Y$19*X50+Y$18*Inputs!$J$51)</f>
        <v>225.48769159790774</v>
      </c>
      <c r="Z49" s="29">
        <f>MIN(Z$21*MAX(Inputs!$I$51,Inputs!$C$21),Y49+Z$19*Y50+Z$18*Inputs!$J$51)</f>
        <v>250.67928279678179</v>
      </c>
      <c r="AA49" s="29">
        <f>MIN(AA$21*MAX(Inputs!$I$51,Inputs!$C$21),Z49+AA$19*Z50+AA$18*Inputs!$J$51)</f>
        <v>271.47522266228873</v>
      </c>
      <c r="AB49" s="29">
        <f>MIN(AB$21*MAX(Inputs!$I$51,Inputs!$C$21),AA49+AB$19*AA50+AB$18*Inputs!$J$51)</f>
        <v>289.65640853157259</v>
      </c>
      <c r="AC49" s="29">
        <f>MIN(AC$21*MAX(Inputs!$I$51,Inputs!$C$21),AB49+AC$19*AB50+AC$18*Inputs!$J$51)</f>
        <v>303.38234812070948</v>
      </c>
      <c r="AD49" s="29">
        <f>MIN(AD$21*MAX(Inputs!$I$51,Inputs!$C$21),AC49+AD$19*AC50+AD$18*Inputs!$J$51)</f>
        <v>315.50248872320947</v>
      </c>
      <c r="AE49" s="29">
        <f>MIN(AE$21*MAX(Inputs!$I$51,Inputs!$C$21),AD49+AE$19*AD50+AE$18*Inputs!$J$51)</f>
        <v>327.77779597458141</v>
      </c>
      <c r="AF49" s="29">
        <f>MIN(AF$21*MAX(Inputs!$I$51,Inputs!$C$21),AE49+AF$19*AE50+AF$18*Inputs!$J$51)</f>
        <v>339.22919601653427</v>
      </c>
      <c r="AG49" s="239">
        <f>MIN(AG$21*MAX(Inputs!$I$51,Inputs!$C$21),AF49+AG$19*AF50+AG$18*Inputs!$J$51)</f>
        <v>348.83999999999986</v>
      </c>
      <c r="AH49" s="29">
        <f>MIN(AH$21*MAX(Inputs!$I$51,Inputs!$C$21),AG49+AH$19*AG50+AH$18*Inputs!$J$51)</f>
        <v>356.98137238233267</v>
      </c>
      <c r="AI49" s="29">
        <f>MIN(AI$21*MAX(Inputs!$I$51,Inputs!$C$21),AH49+AI$19*AH50+AI$18*Inputs!$J$51)</f>
        <v>365.02452879772784</v>
      </c>
      <c r="AJ49" s="29">
        <f>MIN(AJ$21*MAX(Inputs!$I$51,Inputs!$C$21),AI49+AJ$19*AI50+AJ$18*Inputs!$J$51)</f>
        <v>376.11065245836897</v>
      </c>
      <c r="AK49" s="29">
        <f>MIN(AK$21*MAX(Inputs!$I$51,Inputs!$C$21),AJ49+AK$19*AJ50+AK$18*Inputs!$J$51)</f>
        <v>387.37555995285101</v>
      </c>
      <c r="AL49" s="29">
        <f>MIN(AL$21*MAX(Inputs!$I$51,Inputs!$C$21),AK49+AL$19*AK50+AL$18*Inputs!$J$51)</f>
        <v>404.6497939177932</v>
      </c>
      <c r="AM49" s="29">
        <f>MIN(AM$21*MAX(Inputs!$I$51,Inputs!$C$21),AL49+AM$19*AL50+AM$18*Inputs!$J$51)</f>
        <v>418.90986696842651</v>
      </c>
      <c r="AN49" s="29">
        <f>MIN(AN$21*MAX(Inputs!$I$51,Inputs!$C$21),AM49+AN$19*AM50+AN$18*Inputs!$J$51)</f>
        <v>431.37696585022115</v>
      </c>
      <c r="AO49" s="29">
        <f>MIN(AO$21*MAX(Inputs!$I$51,Inputs!$C$21),AN49+AO$19*AN50+AO$18*Inputs!$J$51)</f>
        <v>440.78903871134361</v>
      </c>
      <c r="AP49" s="29">
        <f>MIN(AP$21*MAX(Inputs!$I$51,Inputs!$C$21),AO49+AP$19*AO50+AP$18*Inputs!$J$51)</f>
        <v>449.09999226734362</v>
      </c>
      <c r="AQ49" s="29">
        <f>MIN(AQ$21*MAX(Inputs!$I$51,Inputs!$C$21),AP49+AQ$19*AP50+AQ$18*Inputs!$J$51)</f>
        <v>457.51734581114152</v>
      </c>
      <c r="AR49" s="29">
        <f>MIN(AR$21*MAX(Inputs!$I$51,Inputs!$C$21),AQ49+AR$19*AQ50+AR$18*Inputs!$J$51)</f>
        <v>465.36973441133784</v>
      </c>
      <c r="AS49" s="239">
        <f>MIN(AS$21*MAX(Inputs!$I$51,Inputs!$C$21),AR49+AS$19*AR50+AS$18*Inputs!$J$51)</f>
        <v>471.95999999999992</v>
      </c>
      <c r="AT49" s="29">
        <f>MIN(AT$21*MAX(Inputs!$I$51,Inputs!$C$21),AS49+AT$19*AS50+AT$18*Inputs!$J$51)</f>
        <v>465.6330000000001</v>
      </c>
      <c r="AU49" s="29">
        <f>MIN(AU$21*MAX(Inputs!$I$51,Inputs!$C$21),AT49+AU$19*AT50+AU$18*Inputs!$J$51)</f>
        <v>465.63300000000015</v>
      </c>
      <c r="AV49" s="29">
        <f>MIN(AV$21*MAX(Inputs!$I$51,Inputs!$C$21),AU49+AV$19*AU50+AV$18*Inputs!$J$51)</f>
        <v>467.17200000000008</v>
      </c>
      <c r="AW49" s="29">
        <f>MIN(AW$21*MAX(Inputs!$I$51,Inputs!$C$21),AV49+AW$19*AV50+AW$18*Inputs!$J$51)</f>
        <v>469.73700000000008</v>
      </c>
      <c r="AX49" s="29">
        <f>MIN(AX$21*MAX(Inputs!$I$51,Inputs!$C$21),AW49+AX$19*AW50+AX$18*Inputs!$J$51)</f>
        <v>476.40600000000006</v>
      </c>
      <c r="AY49" s="29">
        <f>MIN(AY$21*MAX(Inputs!$I$51,Inputs!$C$21),AX49+AY$19*AX50+AY$18*Inputs!$J$51)</f>
        <v>480.5100000000001</v>
      </c>
      <c r="AZ49" s="29">
        <f>MIN(AZ$21*MAX(Inputs!$I$51,Inputs!$C$21),AY49+AZ$19*AY50+AZ$18*Inputs!$J$51)</f>
        <v>481.53600000000006</v>
      </c>
      <c r="BA49" s="29">
        <f>MIN(BA$21*MAX(Inputs!$I$51,Inputs!$C$21),AZ49+BA$19*AZ50+BA$18*Inputs!$J$51)</f>
        <v>477.43200000000007</v>
      </c>
      <c r="BB49" s="29">
        <f>MIN(BB$21*MAX(Inputs!$I$51,Inputs!$C$21),BA49+BB$19*BA50+BB$18*Inputs!$J$51)</f>
        <v>474.35400000000004</v>
      </c>
      <c r="BC49" s="29">
        <f>MIN(BC$21*MAX(Inputs!$I$51,Inputs!$C$21),BB49+BC$19*BB50+BC$18*Inputs!$J$51)</f>
        <v>471.27600000000007</v>
      </c>
      <c r="BD49" s="29">
        <f>MIN(BD$21*MAX(Inputs!$I$51,Inputs!$C$21),BC49+BD$19*BC50+BD$18*Inputs!$J$51)</f>
        <v>468.19800000000015</v>
      </c>
      <c r="BE49" s="239">
        <f>MIN(BE$21*MAX(Inputs!$I$51,Inputs!$C$21),BD49+BE$19*BD50+BE$18*Inputs!$J$51)</f>
        <v>465.63300000000015</v>
      </c>
      <c r="BF49" s="29">
        <f>MIN(BF$21*MAX(Inputs!$I$51,Inputs!$C$21),BE49+BF$19*BE50+BF$18*Inputs!$J$51)</f>
        <v>465.63300000000021</v>
      </c>
      <c r="BG49" s="29">
        <f>MIN(BG$21*MAX(Inputs!$I$51,Inputs!$C$21),BF49+BG$19*BF50+BG$18*Inputs!$J$51)</f>
        <v>465.63300000000021</v>
      </c>
      <c r="BH49" s="29">
        <f>MIN(BH$21*MAX(Inputs!$I$51,Inputs!$C$21),BG49+BH$19*BG50+BH$18*Inputs!$J$51)</f>
        <v>467.17200000000014</v>
      </c>
      <c r="BI49" s="29">
        <f>MIN(BI$21*MAX(Inputs!$I$51,Inputs!$C$21),BH49+BI$19*BH50+BI$18*Inputs!$J$51)</f>
        <v>469.73700000000014</v>
      </c>
      <c r="BJ49" s="29">
        <f>MIN(BJ$21*MAX(Inputs!$I$51,Inputs!$C$21),BI49+BJ$19*BI50+BJ$18*Inputs!$J$51)</f>
        <v>476.40600000000012</v>
      </c>
      <c r="BK49" s="29">
        <f>MIN(BK$21*MAX(Inputs!$I$51,Inputs!$C$21),BJ49+BK$19*BJ50+BK$18*Inputs!$J$51)</f>
        <v>480.51000000000016</v>
      </c>
      <c r="BL49" s="29">
        <f>MIN(BL$21*MAX(Inputs!$I$51,Inputs!$C$21),BK49+BL$19*BK50+BL$18*Inputs!$J$51)</f>
        <v>481.53600000000006</v>
      </c>
      <c r="BM49" s="29">
        <f>MIN(BM$21*MAX(Inputs!$I$51,Inputs!$C$21),BL49+BM$19*BL50+BM$18*Inputs!$J$51)</f>
        <v>477.43200000000013</v>
      </c>
      <c r="BN49" s="29">
        <f>MIN(BN$21*MAX(Inputs!$I$51,Inputs!$C$21),BM49+BN$19*BM50+BN$18*Inputs!$J$51)</f>
        <v>474.35400000000016</v>
      </c>
      <c r="BO49" s="29">
        <f>MIN(BO$21*MAX(Inputs!$I$51,Inputs!$C$21),BN49+BO$19*BN50+BO$18*Inputs!$J$51)</f>
        <v>471.27600000000012</v>
      </c>
      <c r="BP49" s="29">
        <f>MIN(BP$21*MAX(Inputs!$I$51,Inputs!$C$21),BO49+BP$19*BO50+BP$18*Inputs!$J$51)</f>
        <v>468.19800000000015</v>
      </c>
      <c r="BQ49" s="29">
        <f>MIN(BQ$21*MAX(Inputs!$I$51,Inputs!$C$21),BP49+BQ$19*BP50+BQ$18*Inputs!$J$51)</f>
        <v>465.6330000000001</v>
      </c>
      <c r="BR49" s="29">
        <f>MIN(BR$21*MAX(Inputs!$I$51,Inputs!$C$21),BQ49+BR$19*BQ50+BR$18*Inputs!$J$51)</f>
        <v>465.63300000000015</v>
      </c>
      <c r="BS49" s="29">
        <f>MIN(BS$21*MAX(Inputs!$I$51,Inputs!$C$21),BR49+BS$19*BR50+BS$18*Inputs!$J$51)</f>
        <v>465.63300000000015</v>
      </c>
      <c r="BT49" s="29">
        <f>MIN(BT$21*MAX(Inputs!$I$51,Inputs!$C$21),BS49+BT$19*BS50+BT$18*Inputs!$J$51)</f>
        <v>467.17200000000014</v>
      </c>
      <c r="BU49" s="29">
        <f>MIN(BU$21*MAX(Inputs!$I$51,Inputs!$C$21),BT49+BU$19*BT50+BU$18*Inputs!$J$51)</f>
        <v>469.73700000000019</v>
      </c>
    </row>
    <row r="50" spans="1:109" ht="14.25" customHeight="1" outlineLevel="1" x14ac:dyDescent="0.2">
      <c r="A50" s="11">
        <f t="shared" si="58"/>
        <v>0</v>
      </c>
      <c r="B50" s="11" t="s">
        <v>341</v>
      </c>
      <c r="F50" s="56" t="s">
        <v>342</v>
      </c>
      <c r="I50" s="230">
        <f>Inputs!$C$21</f>
        <v>0</v>
      </c>
      <c r="J50" s="25">
        <f t="shared" ref="J50:BU50" si="59">J49/J21</f>
        <v>0.74999999999999989</v>
      </c>
      <c r="K50" s="25">
        <f t="shared" si="59"/>
        <v>0.74999999999999989</v>
      </c>
      <c r="L50" s="25">
        <f t="shared" si="59"/>
        <v>0.74999999999999989</v>
      </c>
      <c r="M50" s="25">
        <f t="shared" si="59"/>
        <v>0.74999999999999989</v>
      </c>
      <c r="N50" s="25">
        <f t="shared" si="59"/>
        <v>0.74999999999999989</v>
      </c>
      <c r="O50" s="25">
        <f t="shared" si="59"/>
        <v>0.74999999999999978</v>
      </c>
      <c r="P50" s="25">
        <f t="shared" si="59"/>
        <v>0.74999999999999978</v>
      </c>
      <c r="Q50" s="25">
        <f t="shared" si="59"/>
        <v>0.74999999999999989</v>
      </c>
      <c r="R50" s="25">
        <f t="shared" si="59"/>
        <v>0.74999999999999989</v>
      </c>
      <c r="S50" s="25">
        <f t="shared" si="59"/>
        <v>0.74999999999999989</v>
      </c>
      <c r="T50" s="25">
        <f t="shared" si="59"/>
        <v>0.74999999999999978</v>
      </c>
      <c r="U50" s="234">
        <f t="shared" si="59"/>
        <v>0.74999999999999989</v>
      </c>
      <c r="V50" s="25">
        <f t="shared" si="59"/>
        <v>0.74999999999999989</v>
      </c>
      <c r="W50" s="25">
        <f t="shared" si="59"/>
        <v>0.74999999999999989</v>
      </c>
      <c r="X50" s="25">
        <f t="shared" si="59"/>
        <v>0.74999999999999989</v>
      </c>
      <c r="Y50" s="25">
        <f t="shared" si="59"/>
        <v>0.75</v>
      </c>
      <c r="Z50" s="25">
        <f t="shared" si="59"/>
        <v>0.75</v>
      </c>
      <c r="AA50" s="25">
        <f t="shared" si="59"/>
        <v>0.74999999999999989</v>
      </c>
      <c r="AB50" s="25">
        <f t="shared" si="59"/>
        <v>0.74999999999999989</v>
      </c>
      <c r="AC50" s="25">
        <f t="shared" si="59"/>
        <v>0.74999999999999989</v>
      </c>
      <c r="AD50" s="25">
        <f t="shared" si="59"/>
        <v>0.74999999999999989</v>
      </c>
      <c r="AE50" s="25">
        <f t="shared" si="59"/>
        <v>0.74999999999999989</v>
      </c>
      <c r="AF50" s="25">
        <f t="shared" si="59"/>
        <v>0.74999999999999989</v>
      </c>
      <c r="AG50" s="234">
        <f t="shared" si="59"/>
        <v>0.74999999999999989</v>
      </c>
      <c r="AH50" s="25">
        <f t="shared" si="59"/>
        <v>0.75</v>
      </c>
      <c r="AI50" s="25">
        <f t="shared" si="59"/>
        <v>0.74999999999999989</v>
      </c>
      <c r="AJ50" s="25">
        <f t="shared" si="59"/>
        <v>0.74999999999999989</v>
      </c>
      <c r="AK50" s="25">
        <f t="shared" si="59"/>
        <v>0.74999999999999989</v>
      </c>
      <c r="AL50" s="25">
        <f t="shared" si="59"/>
        <v>0.75</v>
      </c>
      <c r="AM50" s="25">
        <f t="shared" si="59"/>
        <v>0.75</v>
      </c>
      <c r="AN50" s="25">
        <f t="shared" si="59"/>
        <v>0.75</v>
      </c>
      <c r="AO50" s="25">
        <f t="shared" si="59"/>
        <v>0.74999999999999989</v>
      </c>
      <c r="AP50" s="25">
        <f t="shared" si="59"/>
        <v>0.74999999999999989</v>
      </c>
      <c r="AQ50" s="25">
        <f t="shared" si="59"/>
        <v>0.74999999999999989</v>
      </c>
      <c r="AR50" s="25">
        <f t="shared" si="59"/>
        <v>0.74999999999999989</v>
      </c>
      <c r="AS50" s="234">
        <f t="shared" si="59"/>
        <v>0.74999999999999978</v>
      </c>
      <c r="AT50" s="25">
        <f t="shared" si="59"/>
        <v>0.74999999999999978</v>
      </c>
      <c r="AU50" s="25">
        <f t="shared" si="59"/>
        <v>0.74999999999999989</v>
      </c>
      <c r="AV50" s="25">
        <f t="shared" si="59"/>
        <v>0.74999999999999989</v>
      </c>
      <c r="AW50" s="25">
        <f t="shared" si="59"/>
        <v>0.74999999999999978</v>
      </c>
      <c r="AX50" s="25">
        <f t="shared" si="59"/>
        <v>0.74999999999999989</v>
      </c>
      <c r="AY50" s="25">
        <f t="shared" si="59"/>
        <v>0.74999999999999978</v>
      </c>
      <c r="AZ50" s="25">
        <f t="shared" si="59"/>
        <v>0.74999999999999978</v>
      </c>
      <c r="BA50" s="25">
        <f t="shared" si="59"/>
        <v>0.74999999999999978</v>
      </c>
      <c r="BB50" s="25">
        <f t="shared" si="59"/>
        <v>0.74999999999999978</v>
      </c>
      <c r="BC50" s="25">
        <f t="shared" si="59"/>
        <v>0.74999999999999989</v>
      </c>
      <c r="BD50" s="25">
        <f t="shared" si="59"/>
        <v>0.75</v>
      </c>
      <c r="BE50" s="234">
        <f t="shared" si="59"/>
        <v>0.75</v>
      </c>
      <c r="BF50" s="25">
        <f t="shared" si="59"/>
        <v>0.75</v>
      </c>
      <c r="BG50" s="25">
        <f t="shared" si="59"/>
        <v>0.75</v>
      </c>
      <c r="BH50" s="25">
        <f t="shared" si="59"/>
        <v>0.75</v>
      </c>
      <c r="BI50" s="25">
        <f t="shared" si="59"/>
        <v>0.74999999999999989</v>
      </c>
      <c r="BJ50" s="25">
        <f t="shared" si="59"/>
        <v>0.75</v>
      </c>
      <c r="BK50" s="25">
        <f t="shared" si="59"/>
        <v>0.74999999999999989</v>
      </c>
      <c r="BL50" s="25">
        <f t="shared" si="59"/>
        <v>0.74999999999999978</v>
      </c>
      <c r="BM50" s="25">
        <f t="shared" si="59"/>
        <v>0.74999999999999989</v>
      </c>
      <c r="BN50" s="25">
        <f t="shared" si="59"/>
        <v>0.75</v>
      </c>
      <c r="BO50" s="25">
        <f t="shared" si="59"/>
        <v>0.75</v>
      </c>
      <c r="BP50" s="25">
        <f t="shared" si="59"/>
        <v>0.75</v>
      </c>
      <c r="BQ50" s="25">
        <f t="shared" si="59"/>
        <v>0.75</v>
      </c>
      <c r="BR50" s="25">
        <f t="shared" si="59"/>
        <v>0.74999999999999989</v>
      </c>
      <c r="BS50" s="25">
        <f t="shared" si="59"/>
        <v>0.74999999999999989</v>
      </c>
      <c r="BT50" s="25">
        <f t="shared" si="59"/>
        <v>0.75</v>
      </c>
      <c r="BU50" s="25">
        <f t="shared" si="59"/>
        <v>0.75</v>
      </c>
      <c r="BW50" s="25">
        <f t="shared" ref="BW50:CA50" si="60">AVERAGEIF($J$6:$BU$6,BW$9,$J50:$BU50)</f>
        <v>0.74999999999999989</v>
      </c>
      <c r="BX50" s="25">
        <f t="shared" si="60"/>
        <v>0.74999999999999989</v>
      </c>
      <c r="BY50" s="25">
        <f t="shared" si="60"/>
        <v>0.75</v>
      </c>
      <c r="BZ50" s="25">
        <f t="shared" si="60"/>
        <v>0.75</v>
      </c>
      <c r="CA50" s="25">
        <f t="shared" si="60"/>
        <v>0.75</v>
      </c>
      <c r="CB50" s="25">
        <f t="shared" ref="CB50:CK50" si="61">CA50</f>
        <v>0.75</v>
      </c>
      <c r="CC50" s="25">
        <f t="shared" si="61"/>
        <v>0.75</v>
      </c>
      <c r="CD50" s="25">
        <f t="shared" si="61"/>
        <v>0.75</v>
      </c>
      <c r="CE50" s="25">
        <f t="shared" si="61"/>
        <v>0.75</v>
      </c>
      <c r="CF50" s="25">
        <f t="shared" si="61"/>
        <v>0.75</v>
      </c>
      <c r="CG50" s="25">
        <f t="shared" si="61"/>
        <v>0.75</v>
      </c>
      <c r="CH50" s="25">
        <f t="shared" si="61"/>
        <v>0.75</v>
      </c>
      <c r="CI50" s="25">
        <f t="shared" si="61"/>
        <v>0.75</v>
      </c>
      <c r="CJ50" s="25">
        <f t="shared" si="61"/>
        <v>0.75</v>
      </c>
      <c r="CK50" s="25">
        <f t="shared" si="61"/>
        <v>0.75</v>
      </c>
    </row>
    <row r="51" spans="1:109" ht="8.25" customHeight="1" outlineLevel="1" x14ac:dyDescent="0.2">
      <c r="A51" s="11">
        <f t="shared" si="58"/>
        <v>0</v>
      </c>
      <c r="B51" s="11"/>
      <c r="D51" s="249"/>
      <c r="E51" s="3"/>
      <c r="F51" s="249"/>
      <c r="I51" s="1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3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3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3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3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</row>
    <row r="52" spans="1:109" ht="14.25" customHeight="1" x14ac:dyDescent="0.2">
      <c r="A52" s="11">
        <f t="shared" si="58"/>
        <v>0</v>
      </c>
      <c r="B52" s="11"/>
      <c r="D52" s="206" t="s">
        <v>343</v>
      </c>
      <c r="E52" s="207"/>
      <c r="F52" s="208"/>
      <c r="G52" s="207"/>
      <c r="H52" s="207"/>
      <c r="I52" s="209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1"/>
      <c r="V52" s="270"/>
      <c r="W52" s="270"/>
      <c r="X52" s="270"/>
      <c r="Y52" s="270"/>
      <c r="Z52" s="270"/>
      <c r="AA52" s="270"/>
      <c r="AB52" s="270"/>
      <c r="AC52" s="270"/>
      <c r="AD52" s="270"/>
      <c r="AE52" s="270"/>
      <c r="AF52" s="270"/>
      <c r="AG52" s="271"/>
      <c r="AH52" s="270"/>
      <c r="AI52" s="270"/>
      <c r="AJ52" s="270"/>
      <c r="AK52" s="270"/>
      <c r="AL52" s="270"/>
      <c r="AM52" s="270"/>
      <c r="AN52" s="270"/>
      <c r="AO52" s="270"/>
      <c r="AP52" s="270"/>
      <c r="AQ52" s="270"/>
      <c r="AR52" s="270"/>
      <c r="AS52" s="271"/>
      <c r="AT52" s="270"/>
      <c r="AU52" s="270"/>
      <c r="AV52" s="270"/>
      <c r="AW52" s="270"/>
      <c r="AX52" s="270"/>
      <c r="AY52" s="270"/>
      <c r="AZ52" s="270"/>
      <c r="BA52" s="270"/>
      <c r="BB52" s="270"/>
      <c r="BC52" s="270"/>
      <c r="BD52" s="270"/>
      <c r="BE52" s="271"/>
      <c r="BF52" s="270"/>
      <c r="BG52" s="270"/>
      <c r="BH52" s="270"/>
      <c r="BI52" s="270"/>
      <c r="BJ52" s="270"/>
      <c r="BK52" s="270"/>
      <c r="BL52" s="270"/>
      <c r="BM52" s="270"/>
      <c r="BN52" s="270"/>
      <c r="BO52" s="270"/>
      <c r="BP52" s="270"/>
      <c r="BQ52" s="270"/>
      <c r="BR52" s="270"/>
      <c r="BS52" s="270"/>
      <c r="BT52" s="270"/>
      <c r="BU52" s="270"/>
      <c r="BW52" s="272"/>
      <c r="BX52" s="272"/>
      <c r="BY52" s="272"/>
      <c r="BZ52" s="272"/>
      <c r="CA52" s="272"/>
      <c r="CB52" s="272"/>
      <c r="CC52" s="272"/>
      <c r="CD52" s="272"/>
      <c r="CE52" s="272"/>
      <c r="CF52" s="272"/>
      <c r="CG52" s="272"/>
      <c r="CH52" s="272"/>
      <c r="CI52" s="272"/>
      <c r="CJ52" s="272"/>
      <c r="CK52" s="272"/>
    </row>
    <row r="53" spans="1:109" ht="14.25" customHeight="1" x14ac:dyDescent="0.2">
      <c r="A53" s="11">
        <f t="shared" si="58"/>
        <v>0</v>
      </c>
      <c r="B53" s="11"/>
      <c r="F53" s="3" t="s">
        <v>30</v>
      </c>
      <c r="I53" s="1"/>
      <c r="J53" s="25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4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4"/>
      <c r="AH53" s="273"/>
      <c r="AI53" s="273"/>
      <c r="AJ53" s="273"/>
      <c r="AK53" s="273"/>
      <c r="AL53" s="273"/>
      <c r="AM53" s="273"/>
      <c r="AN53" s="273"/>
      <c r="AO53" s="273"/>
      <c r="AP53" s="273"/>
      <c r="AQ53" s="273"/>
      <c r="AR53" s="273"/>
      <c r="AS53" s="274"/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  <c r="BD53" s="273"/>
      <c r="BE53" s="274"/>
      <c r="BF53" s="273"/>
      <c r="BG53" s="273"/>
      <c r="BH53" s="273"/>
      <c r="BI53" s="273"/>
      <c r="BJ53" s="273"/>
      <c r="BK53" s="273"/>
      <c r="BL53" s="273"/>
      <c r="BM53" s="273"/>
      <c r="BN53" s="273"/>
      <c r="BO53" s="273"/>
      <c r="BP53" s="273"/>
      <c r="BQ53" s="273"/>
      <c r="BR53" s="273"/>
      <c r="BS53" s="273"/>
      <c r="BT53" s="273"/>
      <c r="BU53" s="273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</row>
    <row r="54" spans="1:109" ht="14.25" customHeight="1" x14ac:dyDescent="0.2">
      <c r="A54" s="11">
        <f t="shared" si="58"/>
        <v>0</v>
      </c>
      <c r="B54" s="56">
        <f t="shared" ref="B54:B56" si="62">F54</f>
        <v>4100</v>
      </c>
      <c r="D54" s="56"/>
      <c r="F54" s="56">
        <v>4100</v>
      </c>
      <c r="G54" s="112" t="s">
        <v>26</v>
      </c>
      <c r="I54" s="1"/>
      <c r="J54" s="29">
        <f t="shared" ref="J54:BU54" si="63">SUM(J43:J44)</f>
        <v>3497.1153150024606</v>
      </c>
      <c r="K54" s="29">
        <f t="shared" si="63"/>
        <v>6963.5585190276997</v>
      </c>
      <c r="L54" s="29">
        <f t="shared" si="63"/>
        <v>11809.823255951316</v>
      </c>
      <c r="M54" s="29">
        <f t="shared" si="63"/>
        <v>16979.52696618604</v>
      </c>
      <c r="N54" s="29">
        <f t="shared" si="63"/>
        <v>25278.303068504603</v>
      </c>
      <c r="O54" s="29">
        <f t="shared" si="63"/>
        <v>32723.038336172307</v>
      </c>
      <c r="P54" s="29">
        <f t="shared" si="63"/>
        <v>39178.279084771726</v>
      </c>
      <c r="Q54" s="29">
        <f t="shared" si="63"/>
        <v>43724.818880134364</v>
      </c>
      <c r="R54" s="29">
        <f t="shared" si="63"/>
        <v>47682.331257569822</v>
      </c>
      <c r="S54" s="29">
        <f t="shared" si="63"/>
        <v>51804.412810833426</v>
      </c>
      <c r="T54" s="29">
        <f t="shared" si="63"/>
        <v>55508.420064841441</v>
      </c>
      <c r="U54" s="239">
        <f t="shared" si="63"/>
        <v>58660.464237830136</v>
      </c>
      <c r="V54" s="29">
        <f t="shared" si="63"/>
        <v>62728.388631432863</v>
      </c>
      <c r="W54" s="29">
        <f t="shared" si="63"/>
        <v>66770.368259849914</v>
      </c>
      <c r="X54" s="29">
        <f t="shared" si="63"/>
        <v>72374.514000645286</v>
      </c>
      <c r="Y54" s="29">
        <f t="shared" si="63"/>
        <v>78506.031252735265</v>
      </c>
      <c r="Z54" s="29">
        <f t="shared" si="63"/>
        <v>88200.873028025351</v>
      </c>
      <c r="AA54" s="29">
        <f t="shared" si="63"/>
        <v>96980.327668206315</v>
      </c>
      <c r="AB54" s="29">
        <f t="shared" si="63"/>
        <v>104584.99364150609</v>
      </c>
      <c r="AC54" s="29">
        <f t="shared" si="63"/>
        <v>109848.5007448859</v>
      </c>
      <c r="AD54" s="29">
        <f t="shared" si="63"/>
        <v>114414.83354611503</v>
      </c>
      <c r="AE54" s="29">
        <f t="shared" si="63"/>
        <v>119229.64153908769</v>
      </c>
      <c r="AF54" s="29">
        <f t="shared" si="63"/>
        <v>123491.04480104001</v>
      </c>
      <c r="AG54" s="239">
        <f t="shared" si="63"/>
        <v>127166.23949417968</v>
      </c>
      <c r="AH54" s="29">
        <f t="shared" si="63"/>
        <v>130388.5311693282</v>
      </c>
      <c r="AI54" s="29">
        <f t="shared" si="63"/>
        <v>133594.74681582421</v>
      </c>
      <c r="AJ54" s="29">
        <f t="shared" si="63"/>
        <v>137940.36090441392</v>
      </c>
      <c r="AK54" s="29">
        <f t="shared" si="63"/>
        <v>142847.79921432681</v>
      </c>
      <c r="AL54" s="29">
        <f t="shared" si="63"/>
        <v>150445.78600622551</v>
      </c>
      <c r="AM54" s="29">
        <f t="shared" si="63"/>
        <v>157333.0667035619</v>
      </c>
      <c r="AN54" s="29">
        <f t="shared" si="63"/>
        <v>163210.72670901238</v>
      </c>
      <c r="AO54" s="29">
        <f t="shared" si="63"/>
        <v>167063.12434327436</v>
      </c>
      <c r="AP54" s="29">
        <f t="shared" si="63"/>
        <v>170321.68976266609</v>
      </c>
      <c r="AQ54" s="29">
        <f t="shared" si="63"/>
        <v>173760.18083088737</v>
      </c>
      <c r="AR54" s="29">
        <f t="shared" si="63"/>
        <v>176558.03033385111</v>
      </c>
      <c r="AS54" s="239">
        <f t="shared" si="63"/>
        <v>178927.08349175905</v>
      </c>
      <c r="AT54" s="29">
        <f t="shared" si="63"/>
        <v>177282.63298392494</v>
      </c>
      <c r="AU54" s="29">
        <f t="shared" si="63"/>
        <v>177787.02775510275</v>
      </c>
      <c r="AV54" s="29">
        <f t="shared" si="63"/>
        <v>178860.6284777429</v>
      </c>
      <c r="AW54" s="29">
        <f t="shared" si="63"/>
        <v>180696.14713177213</v>
      </c>
      <c r="AX54" s="29">
        <f t="shared" si="63"/>
        <v>184312.43815658375</v>
      </c>
      <c r="AY54" s="29">
        <f t="shared" si="63"/>
        <v>186963.35223474808</v>
      </c>
      <c r="AZ54" s="29">
        <f t="shared" si="63"/>
        <v>188359.68937668615</v>
      </c>
      <c r="BA54" s="29">
        <f t="shared" si="63"/>
        <v>187381.97659187086</v>
      </c>
      <c r="BB54" s="29">
        <f t="shared" si="63"/>
        <v>186721.07220126237</v>
      </c>
      <c r="BC54" s="29">
        <f t="shared" si="63"/>
        <v>186182.76830412989</v>
      </c>
      <c r="BD54" s="29">
        <f t="shared" si="63"/>
        <v>185332.18248898233</v>
      </c>
      <c r="BE54" s="239">
        <f t="shared" si="63"/>
        <v>184779.8226425006</v>
      </c>
      <c r="BF54" s="29">
        <f t="shared" si="63"/>
        <v>185267.28683833545</v>
      </c>
      <c r="BG54" s="29">
        <f t="shared" si="63"/>
        <v>185794.01606986276</v>
      </c>
      <c r="BH54" s="29">
        <f t="shared" si="63"/>
        <v>186930.15056709736</v>
      </c>
      <c r="BI54" s="29">
        <f t="shared" si="63"/>
        <v>188827.28350012662</v>
      </c>
      <c r="BJ54" s="29">
        <f t="shared" si="63"/>
        <v>192536.89790278068</v>
      </c>
      <c r="BK54" s="29">
        <f t="shared" si="63"/>
        <v>195366.79499030844</v>
      </c>
      <c r="BL54" s="29">
        <f t="shared" si="63"/>
        <v>196842.37038586813</v>
      </c>
      <c r="BM54" s="29">
        <f t="shared" si="63"/>
        <v>195865.17278348934</v>
      </c>
      <c r="BN54" s="29">
        <f t="shared" si="63"/>
        <v>195159.62408578172</v>
      </c>
      <c r="BO54" s="29">
        <f t="shared" si="63"/>
        <v>194541.85083465764</v>
      </c>
      <c r="BP54" s="29">
        <f t="shared" si="63"/>
        <v>193608.84946018402</v>
      </c>
      <c r="BQ54" s="29">
        <f t="shared" si="63"/>
        <v>192989.67643731489</v>
      </c>
      <c r="BR54" s="29">
        <f t="shared" si="63"/>
        <v>192039.50145320964</v>
      </c>
      <c r="BS54" s="29">
        <f t="shared" si="63"/>
        <v>192269.08906684292</v>
      </c>
      <c r="BT54" s="29">
        <f t="shared" si="63"/>
        <v>193273.6185753911</v>
      </c>
      <c r="BU54" s="29">
        <f t="shared" si="63"/>
        <v>195064.30928842979</v>
      </c>
      <c r="BW54" s="29">
        <f t="shared" ref="BW54:CA54" si="64">SUMIF($J$6:$BU$6,BW$9,$J54:$BU54)</f>
        <v>393810.09179682535</v>
      </c>
      <c r="BX54" s="29">
        <f t="shared" si="64"/>
        <v>1164295.7566077095</v>
      </c>
      <c r="BY54" s="29">
        <f t="shared" si="64"/>
        <v>1882391.1262851309</v>
      </c>
      <c r="BZ54" s="29">
        <f t="shared" si="64"/>
        <v>2204659.7383453068</v>
      </c>
      <c r="CA54" s="29">
        <f t="shared" si="64"/>
        <v>2303729.973855807</v>
      </c>
      <c r="CB54" s="29">
        <f>CA54*(1+Inputs!$C$34)</f>
        <v>2395879.1728100395</v>
      </c>
      <c r="CC54" s="29">
        <f>CB54*(1+Inputs!$C$34)</f>
        <v>2491714.339722441</v>
      </c>
      <c r="CD54" s="29">
        <f>CC54*(1+Inputs!$C$34)</f>
        <v>2591382.913311339</v>
      </c>
      <c r="CE54" s="29">
        <f>CD54*(1+Inputs!$C$34)</f>
        <v>2695038.2298437925</v>
      </c>
      <c r="CF54" s="29">
        <f>CE54*(1+Inputs!$C$34)</f>
        <v>2802839.7590375445</v>
      </c>
      <c r="CG54" s="29">
        <f>CF54*(1+Inputs!$C$34)</f>
        <v>2914953.3493990465</v>
      </c>
      <c r="CH54" s="29">
        <f>CG54*(1+Inputs!$C$34)</f>
        <v>3031551.4833750087</v>
      </c>
      <c r="CI54" s="29">
        <f>CH54*(1+Inputs!$C$34)</f>
        <v>3152813.542710009</v>
      </c>
      <c r="CJ54" s="29">
        <f>CI54*(1+Inputs!$C$34)</f>
        <v>3278926.0844184095</v>
      </c>
      <c r="CK54" s="29">
        <f>CJ54*(1+Inputs!$C$34)</f>
        <v>3410083.1277951458</v>
      </c>
    </row>
    <row r="55" spans="1:109" ht="14.25" customHeight="1" x14ac:dyDescent="0.2">
      <c r="A55" s="11">
        <f t="shared" si="58"/>
        <v>0</v>
      </c>
      <c r="B55" s="56">
        <f t="shared" si="62"/>
        <v>4700</v>
      </c>
      <c r="D55" s="56"/>
      <c r="F55" s="56">
        <v>4700</v>
      </c>
      <c r="G55" s="11" t="s">
        <v>28</v>
      </c>
      <c r="I55" s="1"/>
      <c r="J55" s="29">
        <f t="shared" ref="J55:BU55" si="65">J$54*J$36</f>
        <v>-87.427882875061528</v>
      </c>
      <c r="K55" s="29">
        <f t="shared" si="65"/>
        <v>-174.08896297569251</v>
      </c>
      <c r="L55" s="29">
        <f t="shared" si="65"/>
        <v>-295.24558139878292</v>
      </c>
      <c r="M55" s="29">
        <f t="shared" si="65"/>
        <v>-424.48817415465101</v>
      </c>
      <c r="N55" s="29">
        <f t="shared" si="65"/>
        <v>-631.95757671261515</v>
      </c>
      <c r="O55" s="29">
        <f t="shared" si="65"/>
        <v>-818.0759584043077</v>
      </c>
      <c r="P55" s="29">
        <f t="shared" si="65"/>
        <v>-979.45697711929324</v>
      </c>
      <c r="Q55" s="29">
        <f t="shared" si="65"/>
        <v>-1093.1204720033591</v>
      </c>
      <c r="R55" s="29">
        <f t="shared" si="65"/>
        <v>-1192.0582814392455</v>
      </c>
      <c r="S55" s="29">
        <f t="shared" si="65"/>
        <v>-1295.1103202708357</v>
      </c>
      <c r="T55" s="29">
        <f t="shared" si="65"/>
        <v>-1387.7105016210362</v>
      </c>
      <c r="U55" s="239">
        <f t="shared" si="65"/>
        <v>-1466.5116059457534</v>
      </c>
      <c r="V55" s="29">
        <f t="shared" si="65"/>
        <v>-1568.2097157858216</v>
      </c>
      <c r="W55" s="29">
        <f t="shared" si="65"/>
        <v>-1669.259206496248</v>
      </c>
      <c r="X55" s="29">
        <f t="shared" si="65"/>
        <v>-1809.3628500161321</v>
      </c>
      <c r="Y55" s="29">
        <f t="shared" si="65"/>
        <v>-1962.6507813183816</v>
      </c>
      <c r="Z55" s="29">
        <f t="shared" si="65"/>
        <v>-2205.0218257006341</v>
      </c>
      <c r="AA55" s="29">
        <f t="shared" si="65"/>
        <v>-2424.508191705158</v>
      </c>
      <c r="AB55" s="29">
        <f t="shared" si="65"/>
        <v>-2614.6248410376525</v>
      </c>
      <c r="AC55" s="29">
        <f t="shared" si="65"/>
        <v>-2746.2125186221474</v>
      </c>
      <c r="AD55" s="29">
        <f t="shared" si="65"/>
        <v>-2860.370838652876</v>
      </c>
      <c r="AE55" s="29">
        <f t="shared" si="65"/>
        <v>-2980.7410384771924</v>
      </c>
      <c r="AF55" s="29">
        <f t="shared" si="65"/>
        <v>-3087.2761200260006</v>
      </c>
      <c r="AG55" s="239">
        <f t="shared" si="65"/>
        <v>-3179.155987354492</v>
      </c>
      <c r="AH55" s="29">
        <f t="shared" si="65"/>
        <v>-3259.713279233205</v>
      </c>
      <c r="AI55" s="29">
        <f t="shared" si="65"/>
        <v>-3339.8686703956055</v>
      </c>
      <c r="AJ55" s="29">
        <f t="shared" si="65"/>
        <v>-3448.509022610348</v>
      </c>
      <c r="AK55" s="29">
        <f t="shared" si="65"/>
        <v>-3571.1949803581701</v>
      </c>
      <c r="AL55" s="29">
        <f t="shared" si="65"/>
        <v>-3761.1446501556379</v>
      </c>
      <c r="AM55" s="29">
        <f t="shared" si="65"/>
        <v>-3933.3266675890477</v>
      </c>
      <c r="AN55" s="29">
        <f t="shared" si="65"/>
        <v>-4080.2681677253095</v>
      </c>
      <c r="AO55" s="29">
        <f t="shared" si="65"/>
        <v>-4176.5781085818589</v>
      </c>
      <c r="AP55" s="29">
        <f t="shared" si="65"/>
        <v>-4258.0422440666525</v>
      </c>
      <c r="AQ55" s="29">
        <f t="shared" si="65"/>
        <v>-4344.0045207721842</v>
      </c>
      <c r="AR55" s="29">
        <f t="shared" si="65"/>
        <v>-4413.9507583462782</v>
      </c>
      <c r="AS55" s="239">
        <f t="shared" si="65"/>
        <v>-4473.1770872939769</v>
      </c>
      <c r="AT55" s="29">
        <f t="shared" si="65"/>
        <v>-4432.065824598124</v>
      </c>
      <c r="AU55" s="29">
        <f t="shared" si="65"/>
        <v>-4444.6756938775688</v>
      </c>
      <c r="AV55" s="29">
        <f t="shared" si="65"/>
        <v>-4471.5157119435726</v>
      </c>
      <c r="AW55" s="29">
        <f t="shared" si="65"/>
        <v>-4517.4036782943031</v>
      </c>
      <c r="AX55" s="29">
        <f t="shared" si="65"/>
        <v>-4607.8109539145944</v>
      </c>
      <c r="AY55" s="29">
        <f t="shared" si="65"/>
        <v>-4674.0838058687023</v>
      </c>
      <c r="AZ55" s="29">
        <f t="shared" si="65"/>
        <v>-4708.9922344171537</v>
      </c>
      <c r="BA55" s="29">
        <f t="shared" si="65"/>
        <v>-4684.549414796772</v>
      </c>
      <c r="BB55" s="29">
        <f t="shared" si="65"/>
        <v>-4668.0268050315599</v>
      </c>
      <c r="BC55" s="29">
        <f t="shared" si="65"/>
        <v>-4654.5692076032474</v>
      </c>
      <c r="BD55" s="29">
        <f t="shared" si="65"/>
        <v>-4633.3045622245581</v>
      </c>
      <c r="BE55" s="239">
        <f t="shared" si="65"/>
        <v>-4619.4955660625155</v>
      </c>
      <c r="BF55" s="29">
        <f t="shared" si="65"/>
        <v>-4631.6821709583865</v>
      </c>
      <c r="BG55" s="29">
        <f t="shared" si="65"/>
        <v>-4644.8504017465693</v>
      </c>
      <c r="BH55" s="29">
        <f t="shared" si="65"/>
        <v>-4673.2537641774343</v>
      </c>
      <c r="BI55" s="29">
        <f t="shared" si="65"/>
        <v>-4720.6820875031653</v>
      </c>
      <c r="BJ55" s="29">
        <f t="shared" si="65"/>
        <v>-4813.4224475695173</v>
      </c>
      <c r="BK55" s="29">
        <f t="shared" si="65"/>
        <v>-4884.1698747577111</v>
      </c>
      <c r="BL55" s="29">
        <f t="shared" si="65"/>
        <v>-4921.0592596467031</v>
      </c>
      <c r="BM55" s="29">
        <f t="shared" si="65"/>
        <v>-4896.629319587234</v>
      </c>
      <c r="BN55" s="29">
        <f t="shared" si="65"/>
        <v>-4878.9906021445431</v>
      </c>
      <c r="BO55" s="29">
        <f t="shared" si="65"/>
        <v>-4863.5462708664409</v>
      </c>
      <c r="BP55" s="29">
        <f t="shared" si="65"/>
        <v>-4840.2212365046007</v>
      </c>
      <c r="BQ55" s="29">
        <f t="shared" si="65"/>
        <v>-4824.7419109328721</v>
      </c>
      <c r="BR55" s="29">
        <f t="shared" si="65"/>
        <v>-4800.9875363302408</v>
      </c>
      <c r="BS55" s="29">
        <f t="shared" si="65"/>
        <v>-4806.7272266710734</v>
      </c>
      <c r="BT55" s="29">
        <f t="shared" si="65"/>
        <v>-4831.840464384778</v>
      </c>
      <c r="BU55" s="29">
        <f t="shared" si="65"/>
        <v>-4876.6077322107449</v>
      </c>
      <c r="BW55" s="29">
        <f t="shared" ref="BW55:CA55" si="66">SUMIF($J$6:$BU$6,BW$9,$J55:$BU55)</f>
        <v>-9845.2522949206341</v>
      </c>
      <c r="BX55" s="29">
        <f t="shared" si="66"/>
        <v>-29107.393915192733</v>
      </c>
      <c r="BY55" s="29">
        <f t="shared" si="66"/>
        <v>-47059.778157128276</v>
      </c>
      <c r="BZ55" s="29">
        <f t="shared" si="66"/>
        <v>-55116.493458632671</v>
      </c>
      <c r="CA55" s="29">
        <f t="shared" si="66"/>
        <v>-57593.249346395176</v>
      </c>
      <c r="CB55" s="29">
        <f>CA55*(1+Inputs!$C$34)</f>
        <v>-59896.979320250983</v>
      </c>
      <c r="CC55" s="29">
        <f>CB55*(1+Inputs!$C$34)</f>
        <v>-62292.858493061023</v>
      </c>
      <c r="CD55" s="29">
        <f>CC55*(1+Inputs!$C$34)</f>
        <v>-64784.572832783466</v>
      </c>
      <c r="CE55" s="29">
        <f>CD55*(1+Inputs!$C$34)</f>
        <v>-67375.955746094813</v>
      </c>
      <c r="CF55" s="29">
        <f>CE55*(1+Inputs!$C$34)</f>
        <v>-70070.993975938603</v>
      </c>
      <c r="CG55" s="29">
        <f>CF55*(1+Inputs!$C$34)</f>
        <v>-72873.833734976157</v>
      </c>
      <c r="CH55" s="29">
        <f>CG55*(1+Inputs!$C$34)</f>
        <v>-75788.787084375203</v>
      </c>
      <c r="CI55" s="29">
        <f>CH55*(1+Inputs!$C$34)</f>
        <v>-78820.338567750208</v>
      </c>
      <c r="CJ55" s="29">
        <f>CI55*(1+Inputs!$C$34)</f>
        <v>-81973.152110460214</v>
      </c>
      <c r="CK55" s="29">
        <f>CJ55*(1+Inputs!$C$34)</f>
        <v>-85252.078194878632</v>
      </c>
    </row>
    <row r="56" spans="1:109" ht="14.25" customHeight="1" x14ac:dyDescent="0.2">
      <c r="A56" s="11">
        <f t="shared" si="58"/>
        <v>0</v>
      </c>
      <c r="B56" s="56">
        <f t="shared" si="62"/>
        <v>7101</v>
      </c>
      <c r="D56" s="56"/>
      <c r="F56" s="263">
        <v>7101</v>
      </c>
      <c r="G56" s="17" t="s">
        <v>171</v>
      </c>
      <c r="H56" s="33">
        <f>Inputs!$J$37</f>
        <v>-0.01</v>
      </c>
      <c r="I56" s="236"/>
      <c r="J56" s="237">
        <f t="shared" ref="J56:BU56" si="67">$H56*J$54</f>
        <v>-34.971153150024605</v>
      </c>
      <c r="K56" s="237">
        <f t="shared" si="67"/>
        <v>-69.635585190276998</v>
      </c>
      <c r="L56" s="237">
        <f t="shared" si="67"/>
        <v>-118.09823255951316</v>
      </c>
      <c r="M56" s="237">
        <f t="shared" si="67"/>
        <v>-169.7952696618604</v>
      </c>
      <c r="N56" s="237">
        <f t="shared" si="67"/>
        <v>-252.78303068504604</v>
      </c>
      <c r="O56" s="237">
        <f t="shared" si="67"/>
        <v>-327.23038336172306</v>
      </c>
      <c r="P56" s="237">
        <f t="shared" si="67"/>
        <v>-391.78279084771725</v>
      </c>
      <c r="Q56" s="237">
        <f t="shared" si="67"/>
        <v>-437.24818880134364</v>
      </c>
      <c r="R56" s="237">
        <f t="shared" si="67"/>
        <v>-476.82331257569825</v>
      </c>
      <c r="S56" s="237">
        <f t="shared" si="67"/>
        <v>-518.04412810833423</v>
      </c>
      <c r="T56" s="237">
        <f t="shared" si="67"/>
        <v>-555.08420064841437</v>
      </c>
      <c r="U56" s="238">
        <f t="shared" si="67"/>
        <v>-586.60464237830138</v>
      </c>
      <c r="V56" s="237">
        <f t="shared" si="67"/>
        <v>-627.2838863143287</v>
      </c>
      <c r="W56" s="237">
        <f t="shared" si="67"/>
        <v>-667.7036825984992</v>
      </c>
      <c r="X56" s="237">
        <f t="shared" si="67"/>
        <v>-723.74514000645286</v>
      </c>
      <c r="Y56" s="237">
        <f t="shared" si="67"/>
        <v>-785.06031252735272</v>
      </c>
      <c r="Z56" s="237">
        <f t="shared" si="67"/>
        <v>-882.00873028025353</v>
      </c>
      <c r="AA56" s="237">
        <f t="shared" si="67"/>
        <v>-969.80327668206314</v>
      </c>
      <c r="AB56" s="237">
        <f t="shared" si="67"/>
        <v>-1045.8499364150609</v>
      </c>
      <c r="AC56" s="237">
        <f t="shared" si="67"/>
        <v>-1098.4850074488591</v>
      </c>
      <c r="AD56" s="237">
        <f t="shared" si="67"/>
        <v>-1144.1483354611503</v>
      </c>
      <c r="AE56" s="237">
        <f t="shared" si="67"/>
        <v>-1192.296415390877</v>
      </c>
      <c r="AF56" s="237">
        <f t="shared" si="67"/>
        <v>-1234.9104480104002</v>
      </c>
      <c r="AG56" s="238">
        <f t="shared" si="67"/>
        <v>-1271.6623949417969</v>
      </c>
      <c r="AH56" s="237">
        <f t="shared" si="67"/>
        <v>-1303.8853116932821</v>
      </c>
      <c r="AI56" s="237">
        <f t="shared" si="67"/>
        <v>-1335.9474681582421</v>
      </c>
      <c r="AJ56" s="237">
        <f t="shared" si="67"/>
        <v>-1379.4036090441391</v>
      </c>
      <c r="AK56" s="237">
        <f t="shared" si="67"/>
        <v>-1428.477992143268</v>
      </c>
      <c r="AL56" s="237">
        <f t="shared" si="67"/>
        <v>-1504.4578600622551</v>
      </c>
      <c r="AM56" s="237">
        <f t="shared" si="67"/>
        <v>-1573.3306670356189</v>
      </c>
      <c r="AN56" s="237">
        <f t="shared" si="67"/>
        <v>-1632.1072670901237</v>
      </c>
      <c r="AO56" s="237">
        <f t="shared" si="67"/>
        <v>-1670.6312434327438</v>
      </c>
      <c r="AP56" s="237">
        <f t="shared" si="67"/>
        <v>-1703.216897626661</v>
      </c>
      <c r="AQ56" s="237">
        <f t="shared" si="67"/>
        <v>-1737.6018083088738</v>
      </c>
      <c r="AR56" s="237">
        <f t="shared" si="67"/>
        <v>-1765.5803033385112</v>
      </c>
      <c r="AS56" s="238">
        <f t="shared" si="67"/>
        <v>-1789.2708349175905</v>
      </c>
      <c r="AT56" s="237">
        <f t="shared" si="67"/>
        <v>-1772.8263298392494</v>
      </c>
      <c r="AU56" s="237">
        <f t="shared" si="67"/>
        <v>-1777.8702775510276</v>
      </c>
      <c r="AV56" s="237">
        <f t="shared" si="67"/>
        <v>-1788.606284777429</v>
      </c>
      <c r="AW56" s="237">
        <f t="shared" si="67"/>
        <v>-1806.9614713177214</v>
      </c>
      <c r="AX56" s="237">
        <f t="shared" si="67"/>
        <v>-1843.1243815658377</v>
      </c>
      <c r="AY56" s="237">
        <f t="shared" si="67"/>
        <v>-1869.6335223474807</v>
      </c>
      <c r="AZ56" s="237">
        <f t="shared" si="67"/>
        <v>-1883.5968937668615</v>
      </c>
      <c r="BA56" s="237">
        <f t="shared" si="67"/>
        <v>-1873.8197659187085</v>
      </c>
      <c r="BB56" s="237">
        <f t="shared" si="67"/>
        <v>-1867.2107220126238</v>
      </c>
      <c r="BC56" s="237">
        <f t="shared" si="67"/>
        <v>-1861.827683041299</v>
      </c>
      <c r="BD56" s="237">
        <f t="shared" si="67"/>
        <v>-1853.3218248898233</v>
      </c>
      <c r="BE56" s="238">
        <f t="shared" si="67"/>
        <v>-1847.7982264250061</v>
      </c>
      <c r="BF56" s="237">
        <f t="shared" si="67"/>
        <v>-1852.6728683833546</v>
      </c>
      <c r="BG56" s="237">
        <f t="shared" si="67"/>
        <v>-1857.9401606986276</v>
      </c>
      <c r="BH56" s="237">
        <f t="shared" si="67"/>
        <v>-1869.3015056709737</v>
      </c>
      <c r="BI56" s="237">
        <f t="shared" si="67"/>
        <v>-1888.2728350012662</v>
      </c>
      <c r="BJ56" s="237">
        <f t="shared" si="67"/>
        <v>-1925.3689790278067</v>
      </c>
      <c r="BK56" s="237">
        <f t="shared" si="67"/>
        <v>-1953.6679499030845</v>
      </c>
      <c r="BL56" s="237">
        <f t="shared" si="67"/>
        <v>-1968.4237038586814</v>
      </c>
      <c r="BM56" s="237">
        <f t="shared" si="67"/>
        <v>-1958.6517278348933</v>
      </c>
      <c r="BN56" s="237">
        <f t="shared" si="67"/>
        <v>-1951.5962408578173</v>
      </c>
      <c r="BO56" s="237">
        <f t="shared" si="67"/>
        <v>-1945.4185083465763</v>
      </c>
      <c r="BP56" s="237">
        <f t="shared" si="67"/>
        <v>-1936.0884946018402</v>
      </c>
      <c r="BQ56" s="237">
        <f t="shared" si="67"/>
        <v>-1929.8967643731489</v>
      </c>
      <c r="BR56" s="237">
        <f t="shared" si="67"/>
        <v>-1920.3950145320964</v>
      </c>
      <c r="BS56" s="237">
        <f t="shared" si="67"/>
        <v>-1922.6908906684293</v>
      </c>
      <c r="BT56" s="237">
        <f t="shared" si="67"/>
        <v>-1932.7361857539111</v>
      </c>
      <c r="BU56" s="237">
        <f t="shared" si="67"/>
        <v>-1950.6430928842981</v>
      </c>
      <c r="BW56" s="237">
        <f t="shared" ref="BW56:CA56" si="68">SUMIF($J$6:$BU$6,BW$9,$J56:$BU56)</f>
        <v>-3938.1009179682537</v>
      </c>
      <c r="BX56" s="237">
        <f t="shared" si="68"/>
        <v>-11642.957566077095</v>
      </c>
      <c r="BY56" s="237">
        <f t="shared" si="68"/>
        <v>-18823.91126285131</v>
      </c>
      <c r="BZ56" s="237">
        <f t="shared" si="68"/>
        <v>-22046.597383453067</v>
      </c>
      <c r="CA56" s="237">
        <f t="shared" si="68"/>
        <v>-23037.299738558071</v>
      </c>
      <c r="CB56" s="237">
        <f>CA56*(1+Inputs!$C$34)</f>
        <v>-23958.791728100394</v>
      </c>
      <c r="CC56" s="237">
        <f>CB56*(1+Inputs!$C$34)</f>
        <v>-24917.143397224412</v>
      </c>
      <c r="CD56" s="237">
        <f>CC56*(1+Inputs!$C$34)</f>
        <v>-25913.829133113388</v>
      </c>
      <c r="CE56" s="237">
        <f>CD56*(1+Inputs!$C$34)</f>
        <v>-26950.382298437926</v>
      </c>
      <c r="CF56" s="237">
        <f>CE56*(1+Inputs!$C$34)</f>
        <v>-28028.397590375444</v>
      </c>
      <c r="CG56" s="237">
        <f>CF56*(1+Inputs!$C$34)</f>
        <v>-29149.533493990461</v>
      </c>
      <c r="CH56" s="237">
        <f>CG56*(1+Inputs!$C$34)</f>
        <v>-30315.51483375008</v>
      </c>
      <c r="CI56" s="237">
        <f>CH56*(1+Inputs!$C$34)</f>
        <v>-31528.135427100086</v>
      </c>
      <c r="CJ56" s="237">
        <f>CI56*(1+Inputs!$C$34)</f>
        <v>-32789.260844184093</v>
      </c>
      <c r="CK56" s="237">
        <f>CJ56*(1+Inputs!$C$34)</f>
        <v>-34100.83127795146</v>
      </c>
    </row>
    <row r="57" spans="1:109" ht="14.25" customHeight="1" x14ac:dyDescent="0.2">
      <c r="A57" s="275">
        <f t="shared" si="58"/>
        <v>0</v>
      </c>
      <c r="B57" s="275" t="s">
        <v>344</v>
      </c>
      <c r="C57" s="276"/>
      <c r="D57" s="277"/>
      <c r="E57" s="278"/>
      <c r="F57" s="279" t="s">
        <v>30</v>
      </c>
      <c r="G57" s="278"/>
      <c r="H57" s="276"/>
      <c r="I57" s="280"/>
      <c r="J57" s="281">
        <f t="shared" ref="J57:BU57" si="69">SUM(J54:J56)</f>
        <v>3374.7162789773743</v>
      </c>
      <c r="K57" s="281">
        <f t="shared" si="69"/>
        <v>6719.8339708617304</v>
      </c>
      <c r="L57" s="281">
        <f t="shared" si="69"/>
        <v>11396.47944199302</v>
      </c>
      <c r="M57" s="281">
        <f t="shared" si="69"/>
        <v>16385.243522369528</v>
      </c>
      <c r="N57" s="281">
        <f t="shared" si="69"/>
        <v>24393.562461106943</v>
      </c>
      <c r="O57" s="281">
        <f t="shared" si="69"/>
        <v>31577.731994406276</v>
      </c>
      <c r="P57" s="281">
        <f t="shared" si="69"/>
        <v>37807.039316804716</v>
      </c>
      <c r="Q57" s="281">
        <f t="shared" si="69"/>
        <v>42194.450219329665</v>
      </c>
      <c r="R57" s="281">
        <f t="shared" si="69"/>
        <v>46013.449663554878</v>
      </c>
      <c r="S57" s="281">
        <f t="shared" si="69"/>
        <v>49991.25836245426</v>
      </c>
      <c r="T57" s="281">
        <f t="shared" si="69"/>
        <v>53565.625362571991</v>
      </c>
      <c r="U57" s="282">
        <f t="shared" si="69"/>
        <v>56607.347989506081</v>
      </c>
      <c r="V57" s="281">
        <f t="shared" si="69"/>
        <v>60532.895029332714</v>
      </c>
      <c r="W57" s="281">
        <f t="shared" si="69"/>
        <v>64433.405370755172</v>
      </c>
      <c r="X57" s="281">
        <f t="shared" si="69"/>
        <v>69841.406010622712</v>
      </c>
      <c r="Y57" s="281">
        <f t="shared" si="69"/>
        <v>75758.320158889532</v>
      </c>
      <c r="Z57" s="281">
        <f t="shared" si="69"/>
        <v>85113.84247204446</v>
      </c>
      <c r="AA57" s="281">
        <f t="shared" si="69"/>
        <v>93586.016199819089</v>
      </c>
      <c r="AB57" s="281">
        <f t="shared" si="69"/>
        <v>100924.51886405337</v>
      </c>
      <c r="AC57" s="281">
        <f t="shared" si="69"/>
        <v>106003.80321881488</v>
      </c>
      <c r="AD57" s="281">
        <f t="shared" si="69"/>
        <v>110410.314372001</v>
      </c>
      <c r="AE57" s="281">
        <f t="shared" si="69"/>
        <v>115056.60408521962</v>
      </c>
      <c r="AF57" s="281">
        <f t="shared" si="69"/>
        <v>119168.85823300362</v>
      </c>
      <c r="AG57" s="282">
        <f t="shared" si="69"/>
        <v>122715.42111188339</v>
      </c>
      <c r="AH57" s="281">
        <f t="shared" si="69"/>
        <v>125824.93257840171</v>
      </c>
      <c r="AI57" s="281">
        <f t="shared" si="69"/>
        <v>128918.93067727037</v>
      </c>
      <c r="AJ57" s="281">
        <f t="shared" si="69"/>
        <v>133112.44827275941</v>
      </c>
      <c r="AK57" s="281">
        <f t="shared" si="69"/>
        <v>137848.12624182535</v>
      </c>
      <c r="AL57" s="281">
        <f t="shared" si="69"/>
        <v>145180.18349600761</v>
      </c>
      <c r="AM57" s="281">
        <f t="shared" si="69"/>
        <v>151826.40936893722</v>
      </c>
      <c r="AN57" s="281">
        <f t="shared" si="69"/>
        <v>157498.35127419696</v>
      </c>
      <c r="AO57" s="281">
        <f t="shared" si="69"/>
        <v>161215.91499125975</v>
      </c>
      <c r="AP57" s="281">
        <f t="shared" si="69"/>
        <v>164360.43062097277</v>
      </c>
      <c r="AQ57" s="281">
        <f t="shared" si="69"/>
        <v>167678.57450180632</v>
      </c>
      <c r="AR57" s="281">
        <f t="shared" si="69"/>
        <v>170378.49927216634</v>
      </c>
      <c r="AS57" s="282">
        <f t="shared" si="69"/>
        <v>172664.63556954751</v>
      </c>
      <c r="AT57" s="281">
        <f t="shared" si="69"/>
        <v>171077.74082948756</v>
      </c>
      <c r="AU57" s="281">
        <f t="shared" si="69"/>
        <v>171564.48178367416</v>
      </c>
      <c r="AV57" s="281">
        <f t="shared" si="69"/>
        <v>172600.5064810219</v>
      </c>
      <c r="AW57" s="281">
        <f t="shared" si="69"/>
        <v>174371.78198216012</v>
      </c>
      <c r="AX57" s="281">
        <f t="shared" si="69"/>
        <v>177861.50282110332</v>
      </c>
      <c r="AY57" s="281">
        <f t="shared" si="69"/>
        <v>180419.63490653189</v>
      </c>
      <c r="AZ57" s="281">
        <f t="shared" si="69"/>
        <v>181767.10024850213</v>
      </c>
      <c r="BA57" s="281">
        <f t="shared" si="69"/>
        <v>180823.60741115536</v>
      </c>
      <c r="BB57" s="281">
        <f t="shared" si="69"/>
        <v>180185.8346742182</v>
      </c>
      <c r="BC57" s="281">
        <f t="shared" si="69"/>
        <v>179666.37141348532</v>
      </c>
      <c r="BD57" s="281">
        <f t="shared" si="69"/>
        <v>178845.55610186793</v>
      </c>
      <c r="BE57" s="282">
        <f t="shared" si="69"/>
        <v>178312.52885001307</v>
      </c>
      <c r="BF57" s="281">
        <f t="shared" si="69"/>
        <v>178782.93179899373</v>
      </c>
      <c r="BG57" s="281">
        <f t="shared" si="69"/>
        <v>179291.22550741755</v>
      </c>
      <c r="BH57" s="281">
        <f t="shared" si="69"/>
        <v>180387.59529724895</v>
      </c>
      <c r="BI57" s="281">
        <f t="shared" si="69"/>
        <v>182218.32857762219</v>
      </c>
      <c r="BJ57" s="281">
        <f t="shared" si="69"/>
        <v>185798.10647618334</v>
      </c>
      <c r="BK57" s="281">
        <f t="shared" si="69"/>
        <v>188528.95716564765</v>
      </c>
      <c r="BL57" s="281">
        <f t="shared" si="69"/>
        <v>189952.88742236275</v>
      </c>
      <c r="BM57" s="281">
        <f t="shared" si="69"/>
        <v>189009.89173606722</v>
      </c>
      <c r="BN57" s="281">
        <f t="shared" si="69"/>
        <v>188329.03724277936</v>
      </c>
      <c r="BO57" s="281">
        <f t="shared" si="69"/>
        <v>187732.88605544463</v>
      </c>
      <c r="BP57" s="281">
        <f t="shared" si="69"/>
        <v>186832.53972907757</v>
      </c>
      <c r="BQ57" s="281">
        <f t="shared" si="69"/>
        <v>186235.03776200887</v>
      </c>
      <c r="BR57" s="281">
        <f t="shared" si="69"/>
        <v>185318.11890234731</v>
      </c>
      <c r="BS57" s="281">
        <f t="shared" si="69"/>
        <v>185539.67094950343</v>
      </c>
      <c r="BT57" s="281">
        <f t="shared" si="69"/>
        <v>186509.04192525239</v>
      </c>
      <c r="BU57" s="281">
        <f t="shared" si="69"/>
        <v>188237.05846333475</v>
      </c>
      <c r="BV57" s="276"/>
      <c r="BW57" s="281">
        <f t="shared" ref="BW57:CK57" si="70">SUM(BW54:BW56)</f>
        <v>380026.73858393647</v>
      </c>
      <c r="BX57" s="281">
        <f t="shared" si="70"/>
        <v>1123545.4051264396</v>
      </c>
      <c r="BY57" s="281">
        <f t="shared" si="70"/>
        <v>1816507.4368651514</v>
      </c>
      <c r="BZ57" s="281">
        <f t="shared" si="70"/>
        <v>2127496.6475032209</v>
      </c>
      <c r="CA57" s="281">
        <f t="shared" si="70"/>
        <v>2223099.4247708539</v>
      </c>
      <c r="CB57" s="281">
        <f t="shared" si="70"/>
        <v>2312023.4017616883</v>
      </c>
      <c r="CC57" s="281">
        <f t="shared" si="70"/>
        <v>2404504.3378321556</v>
      </c>
      <c r="CD57" s="281">
        <f t="shared" si="70"/>
        <v>2500684.5113454419</v>
      </c>
      <c r="CE57" s="281">
        <f t="shared" si="70"/>
        <v>2600711.8917992599</v>
      </c>
      <c r="CF57" s="281">
        <f t="shared" si="70"/>
        <v>2704740.3674712302</v>
      </c>
      <c r="CG57" s="281">
        <f t="shared" si="70"/>
        <v>2812929.9821700798</v>
      </c>
      <c r="CH57" s="281">
        <f t="shared" si="70"/>
        <v>2925447.1814568834</v>
      </c>
      <c r="CI57" s="281">
        <f t="shared" si="70"/>
        <v>3042465.0687151588</v>
      </c>
      <c r="CJ57" s="281">
        <f t="shared" si="70"/>
        <v>3164163.6714637652</v>
      </c>
      <c r="CK57" s="281">
        <f t="shared" si="70"/>
        <v>3290730.2183223157</v>
      </c>
      <c r="CL57" s="276"/>
      <c r="CM57" s="276"/>
      <c r="CN57" s="276"/>
      <c r="CO57" s="276"/>
      <c r="CP57" s="276"/>
      <c r="CQ57" s="276"/>
      <c r="CR57" s="276"/>
      <c r="CS57" s="276"/>
      <c r="CT57" s="276"/>
      <c r="CU57" s="276"/>
      <c r="CV57" s="276"/>
      <c r="CW57" s="276"/>
      <c r="CX57" s="276"/>
      <c r="CY57" s="276"/>
      <c r="CZ57" s="276"/>
      <c r="DA57" s="276"/>
      <c r="DB57" s="276"/>
      <c r="DC57" s="276"/>
      <c r="DD57" s="276"/>
      <c r="DE57" s="276"/>
    </row>
    <row r="58" spans="1:109" ht="8.25" customHeight="1" x14ac:dyDescent="0.2">
      <c r="A58" s="11">
        <f t="shared" si="58"/>
        <v>0</v>
      </c>
      <c r="B58" s="249"/>
      <c r="D58" s="249"/>
      <c r="E58" s="3"/>
      <c r="F58" s="249"/>
      <c r="I58" s="1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3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3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3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3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</row>
    <row r="59" spans="1:109" ht="14.25" customHeight="1" x14ac:dyDescent="0.2">
      <c r="A59" s="11">
        <f t="shared" si="58"/>
        <v>0</v>
      </c>
      <c r="B59" s="249"/>
      <c r="F59" s="3" t="s">
        <v>345</v>
      </c>
      <c r="G59" s="224"/>
      <c r="I59" s="1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3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3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3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3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</row>
    <row r="60" spans="1:109" ht="14.25" customHeight="1" x14ac:dyDescent="0.2">
      <c r="A60" s="11">
        <f t="shared" si="58"/>
        <v>0</v>
      </c>
      <c r="B60" s="56">
        <v>4281</v>
      </c>
      <c r="D60" s="56"/>
      <c r="F60" s="56">
        <v>4281</v>
      </c>
      <c r="G60" s="11" t="s">
        <v>181</v>
      </c>
      <c r="H60" s="35">
        <f>VLOOKUP($F60,Inputs!$E:$J,6,FALSE)</f>
        <v>15</v>
      </c>
      <c r="I60" s="1"/>
      <c r="J60" s="29">
        <f t="shared" ref="J60:BU60" si="71">$H60*J$18</f>
        <v>223.88774051415163</v>
      </c>
      <c r="K60" s="29">
        <f t="shared" si="71"/>
        <v>221.18680142336754</v>
      </c>
      <c r="L60" s="29">
        <f t="shared" si="71"/>
        <v>327.15378930220146</v>
      </c>
      <c r="M60" s="29">
        <f t="shared" si="71"/>
        <v>358.25893834363984</v>
      </c>
      <c r="N60" s="29">
        <f t="shared" si="71"/>
        <v>550.64774684508495</v>
      </c>
      <c r="O60" s="29">
        <f t="shared" si="71"/>
        <v>514.38824139943267</v>
      </c>
      <c r="P60" s="29">
        <f t="shared" si="71"/>
        <v>507.4980010786665</v>
      </c>
      <c r="Q60" s="29">
        <f t="shared" si="71"/>
        <v>483.50151284499981</v>
      </c>
      <c r="R60" s="29">
        <f t="shared" si="71"/>
        <v>456.90463155364824</v>
      </c>
      <c r="S60" s="29">
        <f t="shared" si="71"/>
        <v>467.77994233267441</v>
      </c>
      <c r="T60" s="29">
        <f t="shared" si="71"/>
        <v>461.00083123819348</v>
      </c>
      <c r="U60" s="239">
        <f t="shared" si="71"/>
        <v>431.37530395543689</v>
      </c>
      <c r="V60" s="29">
        <f t="shared" si="71"/>
        <v>485.49969305178138</v>
      </c>
      <c r="W60" s="29">
        <f t="shared" si="71"/>
        <v>486.06541637977313</v>
      </c>
      <c r="X60" s="29">
        <f t="shared" si="71"/>
        <v>614.11931355622869</v>
      </c>
      <c r="Y60" s="29">
        <f t="shared" si="71"/>
        <v>632.46029732009276</v>
      </c>
      <c r="Z60" s="29">
        <f t="shared" si="71"/>
        <v>832.80365858320238</v>
      </c>
      <c r="AA60" s="29">
        <f t="shared" si="71"/>
        <v>794.43570562158834</v>
      </c>
      <c r="AB60" s="29">
        <f t="shared" si="71"/>
        <v>786.40712319589363</v>
      </c>
      <c r="AC60" s="29">
        <f t="shared" si="71"/>
        <v>778.15536468184882</v>
      </c>
      <c r="AD60" s="29">
        <f t="shared" si="71"/>
        <v>731.43696383633994</v>
      </c>
      <c r="AE60" s="29">
        <f t="shared" si="71"/>
        <v>736.06613306939676</v>
      </c>
      <c r="AF60" s="29">
        <f t="shared" si="71"/>
        <v>717.7567476968992</v>
      </c>
      <c r="AG60" s="239">
        <f t="shared" si="71"/>
        <v>679.48880349762385</v>
      </c>
      <c r="AH60" s="29">
        <f t="shared" si="71"/>
        <v>623.96724573268409</v>
      </c>
      <c r="AI60" s="29">
        <f t="shared" si="71"/>
        <v>604.03141629422566</v>
      </c>
      <c r="AJ60" s="29">
        <f t="shared" si="71"/>
        <v>713.62583373209964</v>
      </c>
      <c r="AK60" s="29">
        <f t="shared" si="71"/>
        <v>711.81114962517199</v>
      </c>
      <c r="AL60" s="29">
        <f t="shared" si="71"/>
        <v>848.71933475183766</v>
      </c>
      <c r="AM60" s="29">
        <f t="shared" si="71"/>
        <v>827.69902878255073</v>
      </c>
      <c r="AN60" s="29">
        <f t="shared" si="71"/>
        <v>828.96329223149633</v>
      </c>
      <c r="AO60" s="29">
        <f t="shared" si="71"/>
        <v>847.29437945912161</v>
      </c>
      <c r="AP60" s="29">
        <f t="shared" si="71"/>
        <v>795.6855227113839</v>
      </c>
      <c r="AQ60" s="29">
        <f t="shared" si="71"/>
        <v>791.91015251807903</v>
      </c>
      <c r="AR60" s="29">
        <f t="shared" si="71"/>
        <v>768.5992425832651</v>
      </c>
      <c r="AS60" s="239">
        <f t="shared" si="71"/>
        <v>730.65864108283051</v>
      </c>
      <c r="AT60" s="29">
        <f t="shared" si="71"/>
        <v>443.56726317345345</v>
      </c>
      <c r="AU60" s="29">
        <f t="shared" si="71"/>
        <v>520.54829438261277</v>
      </c>
      <c r="AV60" s="29">
        <f t="shared" si="71"/>
        <v>592.31874123411251</v>
      </c>
      <c r="AW60" s="29">
        <f t="shared" si="71"/>
        <v>584.23146811182164</v>
      </c>
      <c r="AX60" s="29">
        <f t="shared" si="71"/>
        <v>674.96206492877388</v>
      </c>
      <c r="AY60" s="29">
        <f t="shared" si="71"/>
        <v>650.0807579451531</v>
      </c>
      <c r="AZ60" s="29">
        <f t="shared" si="71"/>
        <v>612.65868291760808</v>
      </c>
      <c r="BA60" s="29">
        <f t="shared" si="71"/>
        <v>565.05176702519793</v>
      </c>
      <c r="BB60" s="29">
        <f t="shared" si="71"/>
        <v>534.55136728699722</v>
      </c>
      <c r="BC60" s="29">
        <f t="shared" si="71"/>
        <v>514.64401839800473</v>
      </c>
      <c r="BD60" s="29">
        <f t="shared" si="71"/>
        <v>488.44471855015962</v>
      </c>
      <c r="BE60" s="239">
        <f t="shared" si="71"/>
        <v>468.43909564689932</v>
      </c>
      <c r="BF60" s="29">
        <f t="shared" si="71"/>
        <v>493.09792258316264</v>
      </c>
      <c r="BG60" s="29">
        <f t="shared" si="71"/>
        <v>465.17227005491344</v>
      </c>
      <c r="BH60" s="29">
        <f t="shared" si="71"/>
        <v>527.8704203809657</v>
      </c>
      <c r="BI60" s="29">
        <f t="shared" si="71"/>
        <v>521.32933172701985</v>
      </c>
      <c r="BJ60" s="29">
        <f t="shared" si="71"/>
        <v>621.32276645673551</v>
      </c>
      <c r="BK60" s="29">
        <f t="shared" si="71"/>
        <v>606.50284042988562</v>
      </c>
      <c r="BL60" s="29">
        <f t="shared" si="71"/>
        <v>574.670068625216</v>
      </c>
      <c r="BM60" s="29">
        <f t="shared" si="71"/>
        <v>527.44948669245991</v>
      </c>
      <c r="BN60" s="29">
        <f t="shared" si="71"/>
        <v>501.23903661750523</v>
      </c>
      <c r="BO60" s="29">
        <f t="shared" si="71"/>
        <v>483.79789263542358</v>
      </c>
      <c r="BP60" s="29">
        <f t="shared" si="71"/>
        <v>461.50785091278334</v>
      </c>
      <c r="BQ60" s="29">
        <f t="shared" si="71"/>
        <v>435.28071129461773</v>
      </c>
      <c r="BR60" s="29">
        <f t="shared" si="71"/>
        <v>458.01043033687063</v>
      </c>
      <c r="BS60" s="29">
        <f t="shared" si="71"/>
        <v>442.47364925364491</v>
      </c>
      <c r="BT60" s="29">
        <f t="shared" si="71"/>
        <v>457.15052863039602</v>
      </c>
      <c r="BU60" s="29">
        <f t="shared" si="71"/>
        <v>411.04466007597182</v>
      </c>
      <c r="BW60" s="29">
        <f t="shared" ref="BW60:CA60" si="72">SUMIF($J$6:$BU$6,BW$9,$J60:$BU60)</f>
        <v>5003.5834808314976</v>
      </c>
      <c r="BX60" s="29">
        <f t="shared" si="72"/>
        <v>8274.6952204906665</v>
      </c>
      <c r="BY60" s="29">
        <f t="shared" si="72"/>
        <v>9092.9652395047469</v>
      </c>
      <c r="BZ60" s="29">
        <f t="shared" si="72"/>
        <v>6649.4982396007954</v>
      </c>
      <c r="CA60" s="29">
        <f t="shared" si="72"/>
        <v>6219.2405984106881</v>
      </c>
      <c r="CB60" s="29">
        <f>CA60*(1+Inputs!$C$34)</f>
        <v>6468.0102223471158</v>
      </c>
      <c r="CC60" s="29">
        <f>CB60*(1+Inputs!$C$34)</f>
        <v>6726.730631241001</v>
      </c>
      <c r="CD60" s="29">
        <f>CC60*(1+Inputs!$C$34)</f>
        <v>6995.7998564906411</v>
      </c>
      <c r="CE60" s="29">
        <f>CD60*(1+Inputs!$C$34)</f>
        <v>7275.6318507502674</v>
      </c>
      <c r="CF60" s="29">
        <f>CE60*(1+Inputs!$C$34)</f>
        <v>7566.6571247802785</v>
      </c>
      <c r="CG60" s="29">
        <f>CF60*(1+Inputs!$C$34)</f>
        <v>7869.3234097714903</v>
      </c>
      <c r="CH60" s="29">
        <f>CG60*(1+Inputs!$C$34)</f>
        <v>8184.0963461623505</v>
      </c>
      <c r="CI60" s="29">
        <f>CH60*(1+Inputs!$C$34)</f>
        <v>8511.4602000088453</v>
      </c>
      <c r="CJ60" s="29">
        <f>CI60*(1+Inputs!$C$34)</f>
        <v>8851.9186080091986</v>
      </c>
      <c r="CK60" s="29">
        <f>CJ60*(1+Inputs!$C$34)</f>
        <v>9205.9953523295662</v>
      </c>
    </row>
    <row r="61" spans="1:109" ht="14.25" customHeight="1" x14ac:dyDescent="0.2">
      <c r="A61" s="11">
        <f t="shared" si="58"/>
        <v>0</v>
      </c>
      <c r="B61" s="56">
        <f t="shared" ref="B61:B68" si="73">F61</f>
        <v>4282</v>
      </c>
      <c r="D61" s="56"/>
      <c r="F61" s="56">
        <v>4282</v>
      </c>
      <c r="G61" s="11" t="s">
        <v>185</v>
      </c>
      <c r="H61" s="25">
        <f>VLOOKUP($F61,Inputs!$E:$J,6,FALSE)</f>
        <v>1E-3</v>
      </c>
      <c r="I61" s="1"/>
      <c r="J61" s="29">
        <f t="shared" ref="J61:BU61" si="74">$H61*J$54</f>
        <v>3.4971153150024605</v>
      </c>
      <c r="K61" s="29">
        <f t="shared" si="74"/>
        <v>6.9635585190276998</v>
      </c>
      <c r="L61" s="29">
        <f t="shared" si="74"/>
        <v>11.809823255951317</v>
      </c>
      <c r="M61" s="29">
        <f t="shared" si="74"/>
        <v>16.97952696618604</v>
      </c>
      <c r="N61" s="29">
        <f t="shared" si="74"/>
        <v>25.278303068504602</v>
      </c>
      <c r="O61" s="29">
        <f t="shared" si="74"/>
        <v>32.723038336172309</v>
      </c>
      <c r="P61" s="29">
        <f t="shared" si="74"/>
        <v>39.178279084771724</v>
      </c>
      <c r="Q61" s="29">
        <f t="shared" si="74"/>
        <v>43.724818880134364</v>
      </c>
      <c r="R61" s="29">
        <f t="shared" si="74"/>
        <v>47.682331257569821</v>
      </c>
      <c r="S61" s="29">
        <f t="shared" si="74"/>
        <v>51.804412810833426</v>
      </c>
      <c r="T61" s="29">
        <f t="shared" si="74"/>
        <v>55.508420064841445</v>
      </c>
      <c r="U61" s="239">
        <f t="shared" si="74"/>
        <v>58.660464237830141</v>
      </c>
      <c r="V61" s="29">
        <f t="shared" si="74"/>
        <v>62.728388631432864</v>
      </c>
      <c r="W61" s="29">
        <f t="shared" si="74"/>
        <v>66.770368259849917</v>
      </c>
      <c r="X61" s="29">
        <f t="shared" si="74"/>
        <v>72.374514000645291</v>
      </c>
      <c r="Y61" s="29">
        <f t="shared" si="74"/>
        <v>78.506031252735269</v>
      </c>
      <c r="Z61" s="29">
        <f t="shared" si="74"/>
        <v>88.200873028025356</v>
      </c>
      <c r="AA61" s="29">
        <f t="shared" si="74"/>
        <v>96.980327668206314</v>
      </c>
      <c r="AB61" s="29">
        <f t="shared" si="74"/>
        <v>104.5849936415061</v>
      </c>
      <c r="AC61" s="29">
        <f t="shared" si="74"/>
        <v>109.8485007448859</v>
      </c>
      <c r="AD61" s="29">
        <f t="shared" si="74"/>
        <v>114.41483354611503</v>
      </c>
      <c r="AE61" s="29">
        <f t="shared" si="74"/>
        <v>119.22964153908769</v>
      </c>
      <c r="AF61" s="29">
        <f t="shared" si="74"/>
        <v>123.49104480104002</v>
      </c>
      <c r="AG61" s="239">
        <f t="shared" si="74"/>
        <v>127.16623949417968</v>
      </c>
      <c r="AH61" s="29">
        <f t="shared" si="74"/>
        <v>130.38853116932819</v>
      </c>
      <c r="AI61" s="29">
        <f t="shared" si="74"/>
        <v>133.59474681582421</v>
      </c>
      <c r="AJ61" s="29">
        <f t="shared" si="74"/>
        <v>137.94036090441392</v>
      </c>
      <c r="AK61" s="29">
        <f t="shared" si="74"/>
        <v>142.84779921432681</v>
      </c>
      <c r="AL61" s="29">
        <f t="shared" si="74"/>
        <v>150.44578600622552</v>
      </c>
      <c r="AM61" s="29">
        <f t="shared" si="74"/>
        <v>157.33306670356191</v>
      </c>
      <c r="AN61" s="29">
        <f t="shared" si="74"/>
        <v>163.21072670901239</v>
      </c>
      <c r="AO61" s="29">
        <f t="shared" si="74"/>
        <v>167.06312434327438</v>
      </c>
      <c r="AP61" s="29">
        <f t="shared" si="74"/>
        <v>170.3216897626661</v>
      </c>
      <c r="AQ61" s="29">
        <f t="shared" si="74"/>
        <v>173.76018083088738</v>
      </c>
      <c r="AR61" s="29">
        <f t="shared" si="74"/>
        <v>176.55803033385112</v>
      </c>
      <c r="AS61" s="239">
        <f t="shared" si="74"/>
        <v>178.92708349175905</v>
      </c>
      <c r="AT61" s="29">
        <f t="shared" si="74"/>
        <v>177.28263298392494</v>
      </c>
      <c r="AU61" s="29">
        <f t="shared" si="74"/>
        <v>177.78702775510277</v>
      </c>
      <c r="AV61" s="29">
        <f t="shared" si="74"/>
        <v>178.86062847774289</v>
      </c>
      <c r="AW61" s="29">
        <f t="shared" si="74"/>
        <v>180.69614713177214</v>
      </c>
      <c r="AX61" s="29">
        <f t="shared" si="74"/>
        <v>184.31243815658377</v>
      </c>
      <c r="AY61" s="29">
        <f t="shared" si="74"/>
        <v>186.96335223474807</v>
      </c>
      <c r="AZ61" s="29">
        <f t="shared" si="74"/>
        <v>188.35968937668616</v>
      </c>
      <c r="BA61" s="29">
        <f t="shared" si="74"/>
        <v>187.38197659187085</v>
      </c>
      <c r="BB61" s="29">
        <f t="shared" si="74"/>
        <v>186.72107220126239</v>
      </c>
      <c r="BC61" s="29">
        <f t="shared" si="74"/>
        <v>186.18276830412989</v>
      </c>
      <c r="BD61" s="29">
        <f t="shared" si="74"/>
        <v>185.33218248898234</v>
      </c>
      <c r="BE61" s="239">
        <f t="shared" si="74"/>
        <v>184.77982264250059</v>
      </c>
      <c r="BF61" s="29">
        <f t="shared" si="74"/>
        <v>185.26728683833545</v>
      </c>
      <c r="BG61" s="29">
        <f t="shared" si="74"/>
        <v>185.79401606986275</v>
      </c>
      <c r="BH61" s="29">
        <f t="shared" si="74"/>
        <v>186.93015056709737</v>
      </c>
      <c r="BI61" s="29">
        <f t="shared" si="74"/>
        <v>188.82728350012661</v>
      </c>
      <c r="BJ61" s="29">
        <f t="shared" si="74"/>
        <v>192.53689790278068</v>
      </c>
      <c r="BK61" s="29">
        <f t="shared" si="74"/>
        <v>195.36679499030845</v>
      </c>
      <c r="BL61" s="29">
        <f t="shared" si="74"/>
        <v>196.84237038586812</v>
      </c>
      <c r="BM61" s="29">
        <f t="shared" si="74"/>
        <v>195.86517278348936</v>
      </c>
      <c r="BN61" s="29">
        <f t="shared" si="74"/>
        <v>195.15962408578173</v>
      </c>
      <c r="BO61" s="29">
        <f t="shared" si="74"/>
        <v>194.54185083465765</v>
      </c>
      <c r="BP61" s="29">
        <f t="shared" si="74"/>
        <v>193.60884946018402</v>
      </c>
      <c r="BQ61" s="29">
        <f t="shared" si="74"/>
        <v>192.9896764373149</v>
      </c>
      <c r="BR61" s="29">
        <f t="shared" si="74"/>
        <v>192.03950145320965</v>
      </c>
      <c r="BS61" s="29">
        <f t="shared" si="74"/>
        <v>192.26908906684292</v>
      </c>
      <c r="BT61" s="29">
        <f t="shared" si="74"/>
        <v>193.27361857539111</v>
      </c>
      <c r="BU61" s="29">
        <f t="shared" si="74"/>
        <v>195.0643092884298</v>
      </c>
      <c r="BW61" s="29">
        <f t="shared" ref="BW61:CA61" si="75">SUMIF($J$6:$BU$6,BW$9,$J61:$BU61)</f>
        <v>393.81009179682536</v>
      </c>
      <c r="BX61" s="29">
        <f t="shared" si="75"/>
        <v>1164.2957566077093</v>
      </c>
      <c r="BY61" s="29">
        <f t="shared" si="75"/>
        <v>1882.3911262851309</v>
      </c>
      <c r="BZ61" s="29">
        <f t="shared" si="75"/>
        <v>2204.6597383453068</v>
      </c>
      <c r="CA61" s="29">
        <f t="shared" si="75"/>
        <v>2303.7299738558067</v>
      </c>
      <c r="CB61" s="29">
        <f>CA61*(1+Inputs!$C$34)</f>
        <v>2395.8791728100391</v>
      </c>
      <c r="CC61" s="29">
        <f>CB61*(1+Inputs!$C$34)</f>
        <v>2491.7143397224409</v>
      </c>
      <c r="CD61" s="29">
        <f>CC61*(1+Inputs!$C$34)</f>
        <v>2591.3829133113386</v>
      </c>
      <c r="CE61" s="29">
        <f>CD61*(1+Inputs!$C$34)</f>
        <v>2695.0382298437921</v>
      </c>
      <c r="CF61" s="29">
        <f>CE61*(1+Inputs!$C$34)</f>
        <v>2802.8397590375439</v>
      </c>
      <c r="CG61" s="29">
        <f>CF61*(1+Inputs!$C$34)</f>
        <v>2914.9533493990457</v>
      </c>
      <c r="CH61" s="29">
        <f>CG61*(1+Inputs!$C$34)</f>
        <v>3031.5514833750076</v>
      </c>
      <c r="CI61" s="29">
        <f>CH61*(1+Inputs!$C$34)</f>
        <v>3152.8135427100078</v>
      </c>
      <c r="CJ61" s="29">
        <f>CI61*(1+Inputs!$C$34)</f>
        <v>3278.9260844184082</v>
      </c>
      <c r="CK61" s="29">
        <f>CJ61*(1+Inputs!$C$34)</f>
        <v>3410.0831277951447</v>
      </c>
    </row>
    <row r="62" spans="1:109" ht="14.25" customHeight="1" x14ac:dyDescent="0.2">
      <c r="A62" s="11">
        <f t="shared" si="58"/>
        <v>0</v>
      </c>
      <c r="B62" s="56">
        <f t="shared" si="73"/>
        <v>4283</v>
      </c>
      <c r="D62" s="56"/>
      <c r="F62" s="56">
        <v>4283</v>
      </c>
      <c r="G62" s="11" t="s">
        <v>188</v>
      </c>
      <c r="H62" s="25">
        <f>VLOOKUP($F62,Inputs!$E:$J,6,FALSE)</f>
        <v>1E-3</v>
      </c>
      <c r="I62" s="1"/>
      <c r="J62" s="29">
        <f t="shared" ref="J62:BU62" si="76">$H62*J$54</f>
        <v>3.4971153150024605</v>
      </c>
      <c r="K62" s="29">
        <f t="shared" si="76"/>
        <v>6.9635585190276998</v>
      </c>
      <c r="L62" s="29">
        <f t="shared" si="76"/>
        <v>11.809823255951317</v>
      </c>
      <c r="M62" s="29">
        <f t="shared" si="76"/>
        <v>16.97952696618604</v>
      </c>
      <c r="N62" s="29">
        <f t="shared" si="76"/>
        <v>25.278303068504602</v>
      </c>
      <c r="O62" s="29">
        <f t="shared" si="76"/>
        <v>32.723038336172309</v>
      </c>
      <c r="P62" s="29">
        <f t="shared" si="76"/>
        <v>39.178279084771724</v>
      </c>
      <c r="Q62" s="29">
        <f t="shared" si="76"/>
        <v>43.724818880134364</v>
      </c>
      <c r="R62" s="29">
        <f t="shared" si="76"/>
        <v>47.682331257569821</v>
      </c>
      <c r="S62" s="29">
        <f t="shared" si="76"/>
        <v>51.804412810833426</v>
      </c>
      <c r="T62" s="29">
        <f t="shared" si="76"/>
        <v>55.508420064841445</v>
      </c>
      <c r="U62" s="239">
        <f t="shared" si="76"/>
        <v>58.660464237830141</v>
      </c>
      <c r="V62" s="29">
        <f t="shared" si="76"/>
        <v>62.728388631432864</v>
      </c>
      <c r="W62" s="29">
        <f t="shared" si="76"/>
        <v>66.770368259849917</v>
      </c>
      <c r="X62" s="29">
        <f t="shared" si="76"/>
        <v>72.374514000645291</v>
      </c>
      <c r="Y62" s="29">
        <f t="shared" si="76"/>
        <v>78.506031252735269</v>
      </c>
      <c r="Z62" s="29">
        <f t="shared" si="76"/>
        <v>88.200873028025356</v>
      </c>
      <c r="AA62" s="29">
        <f t="shared" si="76"/>
        <v>96.980327668206314</v>
      </c>
      <c r="AB62" s="29">
        <f t="shared" si="76"/>
        <v>104.5849936415061</v>
      </c>
      <c r="AC62" s="29">
        <f t="shared" si="76"/>
        <v>109.8485007448859</v>
      </c>
      <c r="AD62" s="29">
        <f t="shared" si="76"/>
        <v>114.41483354611503</v>
      </c>
      <c r="AE62" s="29">
        <f t="shared" si="76"/>
        <v>119.22964153908769</v>
      </c>
      <c r="AF62" s="29">
        <f t="shared" si="76"/>
        <v>123.49104480104002</v>
      </c>
      <c r="AG62" s="239">
        <f t="shared" si="76"/>
        <v>127.16623949417968</v>
      </c>
      <c r="AH62" s="29">
        <f t="shared" si="76"/>
        <v>130.38853116932819</v>
      </c>
      <c r="AI62" s="29">
        <f t="shared" si="76"/>
        <v>133.59474681582421</v>
      </c>
      <c r="AJ62" s="29">
        <f t="shared" si="76"/>
        <v>137.94036090441392</v>
      </c>
      <c r="AK62" s="29">
        <f t="shared" si="76"/>
        <v>142.84779921432681</v>
      </c>
      <c r="AL62" s="29">
        <f t="shared" si="76"/>
        <v>150.44578600622552</v>
      </c>
      <c r="AM62" s="29">
        <f t="shared" si="76"/>
        <v>157.33306670356191</v>
      </c>
      <c r="AN62" s="29">
        <f t="shared" si="76"/>
        <v>163.21072670901239</v>
      </c>
      <c r="AO62" s="29">
        <f t="shared" si="76"/>
        <v>167.06312434327438</v>
      </c>
      <c r="AP62" s="29">
        <f t="shared" si="76"/>
        <v>170.3216897626661</v>
      </c>
      <c r="AQ62" s="29">
        <f t="shared" si="76"/>
        <v>173.76018083088738</v>
      </c>
      <c r="AR62" s="29">
        <f t="shared" si="76"/>
        <v>176.55803033385112</v>
      </c>
      <c r="AS62" s="239">
        <f t="shared" si="76"/>
        <v>178.92708349175905</v>
      </c>
      <c r="AT62" s="29">
        <f t="shared" si="76"/>
        <v>177.28263298392494</v>
      </c>
      <c r="AU62" s="29">
        <f t="shared" si="76"/>
        <v>177.78702775510277</v>
      </c>
      <c r="AV62" s="29">
        <f t="shared" si="76"/>
        <v>178.86062847774289</v>
      </c>
      <c r="AW62" s="29">
        <f t="shared" si="76"/>
        <v>180.69614713177214</v>
      </c>
      <c r="AX62" s="29">
        <f t="shared" si="76"/>
        <v>184.31243815658377</v>
      </c>
      <c r="AY62" s="29">
        <f t="shared" si="76"/>
        <v>186.96335223474807</v>
      </c>
      <c r="AZ62" s="29">
        <f t="shared" si="76"/>
        <v>188.35968937668616</v>
      </c>
      <c r="BA62" s="29">
        <f t="shared" si="76"/>
        <v>187.38197659187085</v>
      </c>
      <c r="BB62" s="29">
        <f t="shared" si="76"/>
        <v>186.72107220126239</v>
      </c>
      <c r="BC62" s="29">
        <f t="shared" si="76"/>
        <v>186.18276830412989</v>
      </c>
      <c r="BD62" s="29">
        <f t="shared" si="76"/>
        <v>185.33218248898234</v>
      </c>
      <c r="BE62" s="239">
        <f t="shared" si="76"/>
        <v>184.77982264250059</v>
      </c>
      <c r="BF62" s="29">
        <f t="shared" si="76"/>
        <v>185.26728683833545</v>
      </c>
      <c r="BG62" s="29">
        <f t="shared" si="76"/>
        <v>185.79401606986275</v>
      </c>
      <c r="BH62" s="29">
        <f t="shared" si="76"/>
        <v>186.93015056709737</v>
      </c>
      <c r="BI62" s="29">
        <f t="shared" si="76"/>
        <v>188.82728350012661</v>
      </c>
      <c r="BJ62" s="29">
        <f t="shared" si="76"/>
        <v>192.53689790278068</v>
      </c>
      <c r="BK62" s="29">
        <f t="shared" si="76"/>
        <v>195.36679499030845</v>
      </c>
      <c r="BL62" s="29">
        <f t="shared" si="76"/>
        <v>196.84237038586812</v>
      </c>
      <c r="BM62" s="29">
        <f t="shared" si="76"/>
        <v>195.86517278348936</v>
      </c>
      <c r="BN62" s="29">
        <f t="shared" si="76"/>
        <v>195.15962408578173</v>
      </c>
      <c r="BO62" s="29">
        <f t="shared" si="76"/>
        <v>194.54185083465765</v>
      </c>
      <c r="BP62" s="29">
        <f t="shared" si="76"/>
        <v>193.60884946018402</v>
      </c>
      <c r="BQ62" s="29">
        <f t="shared" si="76"/>
        <v>192.9896764373149</v>
      </c>
      <c r="BR62" s="29">
        <f t="shared" si="76"/>
        <v>192.03950145320965</v>
      </c>
      <c r="BS62" s="29">
        <f t="shared" si="76"/>
        <v>192.26908906684292</v>
      </c>
      <c r="BT62" s="29">
        <f t="shared" si="76"/>
        <v>193.27361857539111</v>
      </c>
      <c r="BU62" s="29">
        <f t="shared" si="76"/>
        <v>195.0643092884298</v>
      </c>
      <c r="BW62" s="29">
        <f t="shared" ref="BW62:CA62" si="77">SUMIF($J$6:$BU$6,BW$9,$J62:$BU62)</f>
        <v>393.81009179682536</v>
      </c>
      <c r="BX62" s="29">
        <f t="shared" si="77"/>
        <v>1164.2957566077093</v>
      </c>
      <c r="BY62" s="29">
        <f t="shared" si="77"/>
        <v>1882.3911262851309</v>
      </c>
      <c r="BZ62" s="29">
        <f t="shared" si="77"/>
        <v>2204.6597383453068</v>
      </c>
      <c r="CA62" s="29">
        <f t="shared" si="77"/>
        <v>2303.7299738558067</v>
      </c>
      <c r="CB62" s="29">
        <f>CA62*(1+Inputs!$C$34)</f>
        <v>2395.8791728100391</v>
      </c>
      <c r="CC62" s="29">
        <f>CB62*(1+Inputs!$C$34)</f>
        <v>2491.7143397224409</v>
      </c>
      <c r="CD62" s="29">
        <f>CC62*(1+Inputs!$C$34)</f>
        <v>2591.3829133113386</v>
      </c>
      <c r="CE62" s="29">
        <f>CD62*(1+Inputs!$C$34)</f>
        <v>2695.0382298437921</v>
      </c>
      <c r="CF62" s="29">
        <f>CE62*(1+Inputs!$C$34)</f>
        <v>2802.8397590375439</v>
      </c>
      <c r="CG62" s="29">
        <f>CF62*(1+Inputs!$C$34)</f>
        <v>2914.9533493990457</v>
      </c>
      <c r="CH62" s="29">
        <f>CG62*(1+Inputs!$C$34)</f>
        <v>3031.5514833750076</v>
      </c>
      <c r="CI62" s="29">
        <f>CH62*(1+Inputs!$C$34)</f>
        <v>3152.8135427100078</v>
      </c>
      <c r="CJ62" s="29">
        <f>CI62*(1+Inputs!$C$34)</f>
        <v>3278.9260844184082</v>
      </c>
      <c r="CK62" s="29">
        <f>CJ62*(1+Inputs!$C$34)</f>
        <v>3410.0831277951447</v>
      </c>
    </row>
    <row r="63" spans="1:109" ht="14.25" customHeight="1" x14ac:dyDescent="0.2">
      <c r="A63" s="11">
        <f t="shared" si="58"/>
        <v>0</v>
      </c>
      <c r="B63" s="56">
        <f t="shared" si="73"/>
        <v>7102</v>
      </c>
      <c r="D63" s="56"/>
      <c r="F63" s="56">
        <v>7102</v>
      </c>
      <c r="G63" s="11" t="s">
        <v>195</v>
      </c>
      <c r="H63" s="25">
        <f>VLOOKUP($F63,Inputs!$E:$J,6,FALSE)</f>
        <v>1E-3</v>
      </c>
      <c r="I63" s="1"/>
      <c r="J63" s="29">
        <f t="shared" ref="J63:BU63" si="78">$H63*J$54</f>
        <v>3.4971153150024605</v>
      </c>
      <c r="K63" s="29">
        <f t="shared" si="78"/>
        <v>6.9635585190276998</v>
      </c>
      <c r="L63" s="29">
        <f t="shared" si="78"/>
        <v>11.809823255951317</v>
      </c>
      <c r="M63" s="29">
        <f t="shared" si="78"/>
        <v>16.97952696618604</v>
      </c>
      <c r="N63" s="29">
        <f t="shared" si="78"/>
        <v>25.278303068504602</v>
      </c>
      <c r="O63" s="29">
        <f t="shared" si="78"/>
        <v>32.723038336172309</v>
      </c>
      <c r="P63" s="29">
        <f t="shared" si="78"/>
        <v>39.178279084771724</v>
      </c>
      <c r="Q63" s="29">
        <f t="shared" si="78"/>
        <v>43.724818880134364</v>
      </c>
      <c r="R63" s="29">
        <f t="shared" si="78"/>
        <v>47.682331257569821</v>
      </c>
      <c r="S63" s="29">
        <f t="shared" si="78"/>
        <v>51.804412810833426</v>
      </c>
      <c r="T63" s="29">
        <f t="shared" si="78"/>
        <v>55.508420064841445</v>
      </c>
      <c r="U63" s="239">
        <f t="shared" si="78"/>
        <v>58.660464237830141</v>
      </c>
      <c r="V63" s="29">
        <f t="shared" si="78"/>
        <v>62.728388631432864</v>
      </c>
      <c r="W63" s="29">
        <f t="shared" si="78"/>
        <v>66.770368259849917</v>
      </c>
      <c r="X63" s="29">
        <f t="shared" si="78"/>
        <v>72.374514000645291</v>
      </c>
      <c r="Y63" s="29">
        <f t="shared" si="78"/>
        <v>78.506031252735269</v>
      </c>
      <c r="Z63" s="29">
        <f t="shared" si="78"/>
        <v>88.200873028025356</v>
      </c>
      <c r="AA63" s="29">
        <f t="shared" si="78"/>
        <v>96.980327668206314</v>
      </c>
      <c r="AB63" s="29">
        <f t="shared" si="78"/>
        <v>104.5849936415061</v>
      </c>
      <c r="AC63" s="29">
        <f t="shared" si="78"/>
        <v>109.8485007448859</v>
      </c>
      <c r="AD63" s="29">
        <f t="shared" si="78"/>
        <v>114.41483354611503</v>
      </c>
      <c r="AE63" s="29">
        <f t="shared" si="78"/>
        <v>119.22964153908769</v>
      </c>
      <c r="AF63" s="29">
        <f t="shared" si="78"/>
        <v>123.49104480104002</v>
      </c>
      <c r="AG63" s="239">
        <f t="shared" si="78"/>
        <v>127.16623949417968</v>
      </c>
      <c r="AH63" s="29">
        <f t="shared" si="78"/>
        <v>130.38853116932819</v>
      </c>
      <c r="AI63" s="29">
        <f t="shared" si="78"/>
        <v>133.59474681582421</v>
      </c>
      <c r="AJ63" s="29">
        <f t="shared" si="78"/>
        <v>137.94036090441392</v>
      </c>
      <c r="AK63" s="29">
        <f t="shared" si="78"/>
        <v>142.84779921432681</v>
      </c>
      <c r="AL63" s="29">
        <f t="shared" si="78"/>
        <v>150.44578600622552</v>
      </c>
      <c r="AM63" s="29">
        <f t="shared" si="78"/>
        <v>157.33306670356191</v>
      </c>
      <c r="AN63" s="29">
        <f t="shared" si="78"/>
        <v>163.21072670901239</v>
      </c>
      <c r="AO63" s="29">
        <f t="shared" si="78"/>
        <v>167.06312434327438</v>
      </c>
      <c r="AP63" s="29">
        <f t="shared" si="78"/>
        <v>170.3216897626661</v>
      </c>
      <c r="AQ63" s="29">
        <f t="shared" si="78"/>
        <v>173.76018083088738</v>
      </c>
      <c r="AR63" s="29">
        <f t="shared" si="78"/>
        <v>176.55803033385112</v>
      </c>
      <c r="AS63" s="239">
        <f t="shared" si="78"/>
        <v>178.92708349175905</v>
      </c>
      <c r="AT63" s="29">
        <f t="shared" si="78"/>
        <v>177.28263298392494</v>
      </c>
      <c r="AU63" s="29">
        <f t="shared" si="78"/>
        <v>177.78702775510277</v>
      </c>
      <c r="AV63" s="29">
        <f t="shared" si="78"/>
        <v>178.86062847774289</v>
      </c>
      <c r="AW63" s="29">
        <f t="shared" si="78"/>
        <v>180.69614713177214</v>
      </c>
      <c r="AX63" s="29">
        <f t="shared" si="78"/>
        <v>184.31243815658377</v>
      </c>
      <c r="AY63" s="29">
        <f t="shared" si="78"/>
        <v>186.96335223474807</v>
      </c>
      <c r="AZ63" s="29">
        <f t="shared" si="78"/>
        <v>188.35968937668616</v>
      </c>
      <c r="BA63" s="29">
        <f t="shared" si="78"/>
        <v>187.38197659187085</v>
      </c>
      <c r="BB63" s="29">
        <f t="shared" si="78"/>
        <v>186.72107220126239</v>
      </c>
      <c r="BC63" s="29">
        <f t="shared" si="78"/>
        <v>186.18276830412989</v>
      </c>
      <c r="BD63" s="29">
        <f t="shared" si="78"/>
        <v>185.33218248898234</v>
      </c>
      <c r="BE63" s="239">
        <f t="shared" si="78"/>
        <v>184.77982264250059</v>
      </c>
      <c r="BF63" s="29">
        <f t="shared" si="78"/>
        <v>185.26728683833545</v>
      </c>
      <c r="BG63" s="29">
        <f t="shared" si="78"/>
        <v>185.79401606986275</v>
      </c>
      <c r="BH63" s="29">
        <f t="shared" si="78"/>
        <v>186.93015056709737</v>
      </c>
      <c r="BI63" s="29">
        <f t="shared" si="78"/>
        <v>188.82728350012661</v>
      </c>
      <c r="BJ63" s="29">
        <f t="shared" si="78"/>
        <v>192.53689790278068</v>
      </c>
      <c r="BK63" s="29">
        <f t="shared" si="78"/>
        <v>195.36679499030845</v>
      </c>
      <c r="BL63" s="29">
        <f t="shared" si="78"/>
        <v>196.84237038586812</v>
      </c>
      <c r="BM63" s="29">
        <f t="shared" si="78"/>
        <v>195.86517278348936</v>
      </c>
      <c r="BN63" s="29">
        <f t="shared" si="78"/>
        <v>195.15962408578173</v>
      </c>
      <c r="BO63" s="29">
        <f t="shared" si="78"/>
        <v>194.54185083465765</v>
      </c>
      <c r="BP63" s="29">
        <f t="shared" si="78"/>
        <v>193.60884946018402</v>
      </c>
      <c r="BQ63" s="29">
        <f t="shared" si="78"/>
        <v>192.9896764373149</v>
      </c>
      <c r="BR63" s="29">
        <f t="shared" si="78"/>
        <v>192.03950145320965</v>
      </c>
      <c r="BS63" s="29">
        <f t="shared" si="78"/>
        <v>192.26908906684292</v>
      </c>
      <c r="BT63" s="29">
        <f t="shared" si="78"/>
        <v>193.27361857539111</v>
      </c>
      <c r="BU63" s="29">
        <f t="shared" si="78"/>
        <v>195.0643092884298</v>
      </c>
      <c r="BW63" s="29">
        <f t="shared" ref="BW63:CA63" si="79">SUMIF($J$6:$BU$6,BW$9,$J63:$BU63)</f>
        <v>393.81009179682536</v>
      </c>
      <c r="BX63" s="29">
        <f t="shared" si="79"/>
        <v>1164.2957566077093</v>
      </c>
      <c r="BY63" s="29">
        <f t="shared" si="79"/>
        <v>1882.3911262851309</v>
      </c>
      <c r="BZ63" s="29">
        <f t="shared" si="79"/>
        <v>2204.6597383453068</v>
      </c>
      <c r="CA63" s="29">
        <f t="shared" si="79"/>
        <v>2303.7299738558067</v>
      </c>
      <c r="CB63" s="29">
        <f>CA63*(1+Inputs!$C$34)</f>
        <v>2395.8791728100391</v>
      </c>
      <c r="CC63" s="29">
        <f>CB63*(1+Inputs!$C$34)</f>
        <v>2491.7143397224409</v>
      </c>
      <c r="CD63" s="29">
        <f>CC63*(1+Inputs!$C$34)</f>
        <v>2591.3829133113386</v>
      </c>
      <c r="CE63" s="29">
        <f>CD63*(1+Inputs!$C$34)</f>
        <v>2695.0382298437921</v>
      </c>
      <c r="CF63" s="29">
        <f>CE63*(1+Inputs!$C$34)</f>
        <v>2802.8397590375439</v>
      </c>
      <c r="CG63" s="29">
        <f>CF63*(1+Inputs!$C$34)</f>
        <v>2914.9533493990457</v>
      </c>
      <c r="CH63" s="29">
        <f>CG63*(1+Inputs!$C$34)</f>
        <v>3031.5514833750076</v>
      </c>
      <c r="CI63" s="29">
        <f>CH63*(1+Inputs!$C$34)</f>
        <v>3152.8135427100078</v>
      </c>
      <c r="CJ63" s="29">
        <f>CI63*(1+Inputs!$C$34)</f>
        <v>3278.9260844184082</v>
      </c>
      <c r="CK63" s="29">
        <f>CJ63*(1+Inputs!$C$34)</f>
        <v>3410.0831277951447</v>
      </c>
    </row>
    <row r="64" spans="1:109" ht="14.25" customHeight="1" x14ac:dyDescent="0.2">
      <c r="A64" s="11">
        <f t="shared" si="58"/>
        <v>0</v>
      </c>
      <c r="B64" s="56">
        <f t="shared" si="73"/>
        <v>4285</v>
      </c>
      <c r="D64" s="56"/>
      <c r="F64" s="56">
        <v>4285</v>
      </c>
      <c r="G64" s="11" t="s">
        <v>198</v>
      </c>
      <c r="H64" s="25">
        <f>VLOOKUP($F64,Inputs!$E:$J,6,FALSE)</f>
        <v>1E-3</v>
      </c>
      <c r="I64" s="1"/>
      <c r="J64" s="29">
        <f t="shared" ref="J64:BU64" si="80">$H64*J$54</f>
        <v>3.4971153150024605</v>
      </c>
      <c r="K64" s="29">
        <f t="shared" si="80"/>
        <v>6.9635585190276998</v>
      </c>
      <c r="L64" s="29">
        <f t="shared" si="80"/>
        <v>11.809823255951317</v>
      </c>
      <c r="M64" s="29">
        <f t="shared" si="80"/>
        <v>16.97952696618604</v>
      </c>
      <c r="N64" s="29">
        <f t="shared" si="80"/>
        <v>25.278303068504602</v>
      </c>
      <c r="O64" s="29">
        <f t="shared" si="80"/>
        <v>32.723038336172309</v>
      </c>
      <c r="P64" s="29">
        <f t="shared" si="80"/>
        <v>39.178279084771724</v>
      </c>
      <c r="Q64" s="29">
        <f t="shared" si="80"/>
        <v>43.724818880134364</v>
      </c>
      <c r="R64" s="29">
        <f t="shared" si="80"/>
        <v>47.682331257569821</v>
      </c>
      <c r="S64" s="29">
        <f t="shared" si="80"/>
        <v>51.804412810833426</v>
      </c>
      <c r="T64" s="29">
        <f t="shared" si="80"/>
        <v>55.508420064841445</v>
      </c>
      <c r="U64" s="239">
        <f t="shared" si="80"/>
        <v>58.660464237830141</v>
      </c>
      <c r="V64" s="29">
        <f t="shared" si="80"/>
        <v>62.728388631432864</v>
      </c>
      <c r="W64" s="29">
        <f t="shared" si="80"/>
        <v>66.770368259849917</v>
      </c>
      <c r="X64" s="29">
        <f t="shared" si="80"/>
        <v>72.374514000645291</v>
      </c>
      <c r="Y64" s="29">
        <f t="shared" si="80"/>
        <v>78.506031252735269</v>
      </c>
      <c r="Z64" s="29">
        <f t="shared" si="80"/>
        <v>88.200873028025356</v>
      </c>
      <c r="AA64" s="29">
        <f t="shared" si="80"/>
        <v>96.980327668206314</v>
      </c>
      <c r="AB64" s="29">
        <f t="shared" si="80"/>
        <v>104.5849936415061</v>
      </c>
      <c r="AC64" s="29">
        <f t="shared" si="80"/>
        <v>109.8485007448859</v>
      </c>
      <c r="AD64" s="29">
        <f t="shared" si="80"/>
        <v>114.41483354611503</v>
      </c>
      <c r="AE64" s="29">
        <f t="shared" si="80"/>
        <v>119.22964153908769</v>
      </c>
      <c r="AF64" s="29">
        <f t="shared" si="80"/>
        <v>123.49104480104002</v>
      </c>
      <c r="AG64" s="239">
        <f t="shared" si="80"/>
        <v>127.16623949417968</v>
      </c>
      <c r="AH64" s="29">
        <f t="shared" si="80"/>
        <v>130.38853116932819</v>
      </c>
      <c r="AI64" s="29">
        <f t="shared" si="80"/>
        <v>133.59474681582421</v>
      </c>
      <c r="AJ64" s="29">
        <f t="shared" si="80"/>
        <v>137.94036090441392</v>
      </c>
      <c r="AK64" s="29">
        <f t="shared" si="80"/>
        <v>142.84779921432681</v>
      </c>
      <c r="AL64" s="29">
        <f t="shared" si="80"/>
        <v>150.44578600622552</v>
      </c>
      <c r="AM64" s="29">
        <f t="shared" si="80"/>
        <v>157.33306670356191</v>
      </c>
      <c r="AN64" s="29">
        <f t="shared" si="80"/>
        <v>163.21072670901239</v>
      </c>
      <c r="AO64" s="29">
        <f t="shared" si="80"/>
        <v>167.06312434327438</v>
      </c>
      <c r="AP64" s="29">
        <f t="shared" si="80"/>
        <v>170.3216897626661</v>
      </c>
      <c r="AQ64" s="29">
        <f t="shared" si="80"/>
        <v>173.76018083088738</v>
      </c>
      <c r="AR64" s="29">
        <f t="shared" si="80"/>
        <v>176.55803033385112</v>
      </c>
      <c r="AS64" s="239">
        <f t="shared" si="80"/>
        <v>178.92708349175905</v>
      </c>
      <c r="AT64" s="29">
        <f t="shared" si="80"/>
        <v>177.28263298392494</v>
      </c>
      <c r="AU64" s="29">
        <f t="shared" si="80"/>
        <v>177.78702775510277</v>
      </c>
      <c r="AV64" s="29">
        <f t="shared" si="80"/>
        <v>178.86062847774289</v>
      </c>
      <c r="AW64" s="29">
        <f t="shared" si="80"/>
        <v>180.69614713177214</v>
      </c>
      <c r="AX64" s="29">
        <f t="shared" si="80"/>
        <v>184.31243815658377</v>
      </c>
      <c r="AY64" s="29">
        <f t="shared" si="80"/>
        <v>186.96335223474807</v>
      </c>
      <c r="AZ64" s="29">
        <f t="shared" si="80"/>
        <v>188.35968937668616</v>
      </c>
      <c r="BA64" s="29">
        <f t="shared" si="80"/>
        <v>187.38197659187085</v>
      </c>
      <c r="BB64" s="29">
        <f t="shared" si="80"/>
        <v>186.72107220126239</v>
      </c>
      <c r="BC64" s="29">
        <f t="shared" si="80"/>
        <v>186.18276830412989</v>
      </c>
      <c r="BD64" s="29">
        <f t="shared" si="80"/>
        <v>185.33218248898234</v>
      </c>
      <c r="BE64" s="239">
        <f t="shared" si="80"/>
        <v>184.77982264250059</v>
      </c>
      <c r="BF64" s="29">
        <f t="shared" si="80"/>
        <v>185.26728683833545</v>
      </c>
      <c r="BG64" s="29">
        <f t="shared" si="80"/>
        <v>185.79401606986275</v>
      </c>
      <c r="BH64" s="29">
        <f t="shared" si="80"/>
        <v>186.93015056709737</v>
      </c>
      <c r="BI64" s="29">
        <f t="shared" si="80"/>
        <v>188.82728350012661</v>
      </c>
      <c r="BJ64" s="29">
        <f t="shared" si="80"/>
        <v>192.53689790278068</v>
      </c>
      <c r="BK64" s="29">
        <f t="shared" si="80"/>
        <v>195.36679499030845</v>
      </c>
      <c r="BL64" s="29">
        <f t="shared" si="80"/>
        <v>196.84237038586812</v>
      </c>
      <c r="BM64" s="29">
        <f t="shared" si="80"/>
        <v>195.86517278348936</v>
      </c>
      <c r="BN64" s="29">
        <f t="shared" si="80"/>
        <v>195.15962408578173</v>
      </c>
      <c r="BO64" s="29">
        <f t="shared" si="80"/>
        <v>194.54185083465765</v>
      </c>
      <c r="BP64" s="29">
        <f t="shared" si="80"/>
        <v>193.60884946018402</v>
      </c>
      <c r="BQ64" s="29">
        <f t="shared" si="80"/>
        <v>192.9896764373149</v>
      </c>
      <c r="BR64" s="29">
        <f t="shared" si="80"/>
        <v>192.03950145320965</v>
      </c>
      <c r="BS64" s="29">
        <f t="shared" si="80"/>
        <v>192.26908906684292</v>
      </c>
      <c r="BT64" s="29">
        <f t="shared" si="80"/>
        <v>193.27361857539111</v>
      </c>
      <c r="BU64" s="29">
        <f t="shared" si="80"/>
        <v>195.0643092884298</v>
      </c>
      <c r="BW64" s="29">
        <f t="shared" ref="BW64:CA64" si="81">SUMIF($J$6:$BU$6,BW$9,$J64:$BU64)</f>
        <v>393.81009179682536</v>
      </c>
      <c r="BX64" s="29">
        <f t="shared" si="81"/>
        <v>1164.2957566077093</v>
      </c>
      <c r="BY64" s="29">
        <f t="shared" si="81"/>
        <v>1882.3911262851309</v>
      </c>
      <c r="BZ64" s="29">
        <f t="shared" si="81"/>
        <v>2204.6597383453068</v>
      </c>
      <c r="CA64" s="29">
        <f t="shared" si="81"/>
        <v>2303.7299738558067</v>
      </c>
      <c r="CB64" s="29">
        <f>CA64*(1+Inputs!$C$34)</f>
        <v>2395.8791728100391</v>
      </c>
      <c r="CC64" s="29">
        <f>CB64*(1+Inputs!$C$34)</f>
        <v>2491.7143397224409</v>
      </c>
      <c r="CD64" s="29">
        <f>CC64*(1+Inputs!$C$34)</f>
        <v>2591.3829133113386</v>
      </c>
      <c r="CE64" s="29">
        <f>CD64*(1+Inputs!$C$34)</f>
        <v>2695.0382298437921</v>
      </c>
      <c r="CF64" s="29">
        <f>CE64*(1+Inputs!$C$34)</f>
        <v>2802.8397590375439</v>
      </c>
      <c r="CG64" s="29">
        <f>CF64*(1+Inputs!$C$34)</f>
        <v>2914.9533493990457</v>
      </c>
      <c r="CH64" s="29">
        <f>CG64*(1+Inputs!$C$34)</f>
        <v>3031.5514833750076</v>
      </c>
      <c r="CI64" s="29">
        <f>CH64*(1+Inputs!$C$34)</f>
        <v>3152.8135427100078</v>
      </c>
      <c r="CJ64" s="29">
        <f>CI64*(1+Inputs!$C$34)</f>
        <v>3278.9260844184082</v>
      </c>
      <c r="CK64" s="29">
        <f>CJ64*(1+Inputs!$C$34)</f>
        <v>3410.0831277951447</v>
      </c>
    </row>
    <row r="65" spans="1:109" ht="14.25" customHeight="1" x14ac:dyDescent="0.2">
      <c r="A65" s="11">
        <f t="shared" si="58"/>
        <v>0</v>
      </c>
      <c r="B65" s="56">
        <f t="shared" si="73"/>
        <v>4286</v>
      </c>
      <c r="D65" s="56"/>
      <c r="F65" s="56">
        <v>4286</v>
      </c>
      <c r="G65" s="11" t="s">
        <v>193</v>
      </c>
      <c r="H65" s="25">
        <f>VLOOKUP($F65,Inputs!$E:$J,6,FALSE)</f>
        <v>1E-3</v>
      </c>
      <c r="I65" s="1"/>
      <c r="J65" s="29">
        <f t="shared" ref="J65:BU65" si="82">$H65*J$54</f>
        <v>3.4971153150024605</v>
      </c>
      <c r="K65" s="29">
        <f t="shared" si="82"/>
        <v>6.9635585190276998</v>
      </c>
      <c r="L65" s="29">
        <f t="shared" si="82"/>
        <v>11.809823255951317</v>
      </c>
      <c r="M65" s="29">
        <f t="shared" si="82"/>
        <v>16.97952696618604</v>
      </c>
      <c r="N65" s="29">
        <f t="shared" si="82"/>
        <v>25.278303068504602</v>
      </c>
      <c r="O65" s="29">
        <f t="shared" si="82"/>
        <v>32.723038336172309</v>
      </c>
      <c r="P65" s="29">
        <f t="shared" si="82"/>
        <v>39.178279084771724</v>
      </c>
      <c r="Q65" s="29">
        <f t="shared" si="82"/>
        <v>43.724818880134364</v>
      </c>
      <c r="R65" s="29">
        <f t="shared" si="82"/>
        <v>47.682331257569821</v>
      </c>
      <c r="S65" s="29">
        <f t="shared" si="82"/>
        <v>51.804412810833426</v>
      </c>
      <c r="T65" s="29">
        <f t="shared" si="82"/>
        <v>55.508420064841445</v>
      </c>
      <c r="U65" s="239">
        <f t="shared" si="82"/>
        <v>58.660464237830141</v>
      </c>
      <c r="V65" s="29">
        <f t="shared" si="82"/>
        <v>62.728388631432864</v>
      </c>
      <c r="W65" s="29">
        <f t="shared" si="82"/>
        <v>66.770368259849917</v>
      </c>
      <c r="X65" s="29">
        <f t="shared" si="82"/>
        <v>72.374514000645291</v>
      </c>
      <c r="Y65" s="29">
        <f t="shared" si="82"/>
        <v>78.506031252735269</v>
      </c>
      <c r="Z65" s="29">
        <f t="shared" si="82"/>
        <v>88.200873028025356</v>
      </c>
      <c r="AA65" s="29">
        <f t="shared" si="82"/>
        <v>96.980327668206314</v>
      </c>
      <c r="AB65" s="29">
        <f t="shared" si="82"/>
        <v>104.5849936415061</v>
      </c>
      <c r="AC65" s="29">
        <f t="shared" si="82"/>
        <v>109.8485007448859</v>
      </c>
      <c r="AD65" s="29">
        <f t="shared" si="82"/>
        <v>114.41483354611503</v>
      </c>
      <c r="AE65" s="29">
        <f t="shared" si="82"/>
        <v>119.22964153908769</v>
      </c>
      <c r="AF65" s="29">
        <f t="shared" si="82"/>
        <v>123.49104480104002</v>
      </c>
      <c r="AG65" s="239">
        <f t="shared" si="82"/>
        <v>127.16623949417968</v>
      </c>
      <c r="AH65" s="29">
        <f t="shared" si="82"/>
        <v>130.38853116932819</v>
      </c>
      <c r="AI65" s="29">
        <f t="shared" si="82"/>
        <v>133.59474681582421</v>
      </c>
      <c r="AJ65" s="29">
        <f t="shared" si="82"/>
        <v>137.94036090441392</v>
      </c>
      <c r="AK65" s="29">
        <f t="shared" si="82"/>
        <v>142.84779921432681</v>
      </c>
      <c r="AL65" s="29">
        <f t="shared" si="82"/>
        <v>150.44578600622552</v>
      </c>
      <c r="AM65" s="29">
        <f t="shared" si="82"/>
        <v>157.33306670356191</v>
      </c>
      <c r="AN65" s="29">
        <f t="shared" si="82"/>
        <v>163.21072670901239</v>
      </c>
      <c r="AO65" s="29">
        <f t="shared" si="82"/>
        <v>167.06312434327438</v>
      </c>
      <c r="AP65" s="29">
        <f t="shared" si="82"/>
        <v>170.3216897626661</v>
      </c>
      <c r="AQ65" s="29">
        <f t="shared" si="82"/>
        <v>173.76018083088738</v>
      </c>
      <c r="AR65" s="29">
        <f t="shared" si="82"/>
        <v>176.55803033385112</v>
      </c>
      <c r="AS65" s="239">
        <f t="shared" si="82"/>
        <v>178.92708349175905</v>
      </c>
      <c r="AT65" s="29">
        <f t="shared" si="82"/>
        <v>177.28263298392494</v>
      </c>
      <c r="AU65" s="29">
        <f t="shared" si="82"/>
        <v>177.78702775510277</v>
      </c>
      <c r="AV65" s="29">
        <f t="shared" si="82"/>
        <v>178.86062847774289</v>
      </c>
      <c r="AW65" s="29">
        <f t="shared" si="82"/>
        <v>180.69614713177214</v>
      </c>
      <c r="AX65" s="29">
        <f t="shared" si="82"/>
        <v>184.31243815658377</v>
      </c>
      <c r="AY65" s="29">
        <f t="shared" si="82"/>
        <v>186.96335223474807</v>
      </c>
      <c r="AZ65" s="29">
        <f t="shared" si="82"/>
        <v>188.35968937668616</v>
      </c>
      <c r="BA65" s="29">
        <f t="shared" si="82"/>
        <v>187.38197659187085</v>
      </c>
      <c r="BB65" s="29">
        <f t="shared" si="82"/>
        <v>186.72107220126239</v>
      </c>
      <c r="BC65" s="29">
        <f t="shared" si="82"/>
        <v>186.18276830412989</v>
      </c>
      <c r="BD65" s="29">
        <f t="shared" si="82"/>
        <v>185.33218248898234</v>
      </c>
      <c r="BE65" s="239">
        <f t="shared" si="82"/>
        <v>184.77982264250059</v>
      </c>
      <c r="BF65" s="29">
        <f t="shared" si="82"/>
        <v>185.26728683833545</v>
      </c>
      <c r="BG65" s="29">
        <f t="shared" si="82"/>
        <v>185.79401606986275</v>
      </c>
      <c r="BH65" s="29">
        <f t="shared" si="82"/>
        <v>186.93015056709737</v>
      </c>
      <c r="BI65" s="29">
        <f t="shared" si="82"/>
        <v>188.82728350012661</v>
      </c>
      <c r="BJ65" s="29">
        <f t="shared" si="82"/>
        <v>192.53689790278068</v>
      </c>
      <c r="BK65" s="29">
        <f t="shared" si="82"/>
        <v>195.36679499030845</v>
      </c>
      <c r="BL65" s="29">
        <f t="shared" si="82"/>
        <v>196.84237038586812</v>
      </c>
      <c r="BM65" s="29">
        <f t="shared" si="82"/>
        <v>195.86517278348936</v>
      </c>
      <c r="BN65" s="29">
        <f t="shared" si="82"/>
        <v>195.15962408578173</v>
      </c>
      <c r="BO65" s="29">
        <f t="shared" si="82"/>
        <v>194.54185083465765</v>
      </c>
      <c r="BP65" s="29">
        <f t="shared" si="82"/>
        <v>193.60884946018402</v>
      </c>
      <c r="BQ65" s="29">
        <f t="shared" si="82"/>
        <v>192.9896764373149</v>
      </c>
      <c r="BR65" s="29">
        <f t="shared" si="82"/>
        <v>192.03950145320965</v>
      </c>
      <c r="BS65" s="29">
        <f t="shared" si="82"/>
        <v>192.26908906684292</v>
      </c>
      <c r="BT65" s="29">
        <f t="shared" si="82"/>
        <v>193.27361857539111</v>
      </c>
      <c r="BU65" s="29">
        <f t="shared" si="82"/>
        <v>195.0643092884298</v>
      </c>
      <c r="BW65" s="29">
        <f t="shared" ref="BW65:CA65" si="83">SUMIF($J$6:$BU$6,BW$9,$J65:$BU65)</f>
        <v>393.81009179682536</v>
      </c>
      <c r="BX65" s="29">
        <f t="shared" si="83"/>
        <v>1164.2957566077093</v>
      </c>
      <c r="BY65" s="29">
        <f t="shared" si="83"/>
        <v>1882.3911262851309</v>
      </c>
      <c r="BZ65" s="29">
        <f t="shared" si="83"/>
        <v>2204.6597383453068</v>
      </c>
      <c r="CA65" s="29">
        <f t="shared" si="83"/>
        <v>2303.7299738558067</v>
      </c>
      <c r="CB65" s="29">
        <f>CA65*(1+Inputs!$C$34)</f>
        <v>2395.8791728100391</v>
      </c>
      <c r="CC65" s="29">
        <f>CB65*(1+Inputs!$C$34)</f>
        <v>2491.7143397224409</v>
      </c>
      <c r="CD65" s="29">
        <f>CC65*(1+Inputs!$C$34)</f>
        <v>2591.3829133113386</v>
      </c>
      <c r="CE65" s="29">
        <f>CD65*(1+Inputs!$C$34)</f>
        <v>2695.0382298437921</v>
      </c>
      <c r="CF65" s="29">
        <f>CE65*(1+Inputs!$C$34)</f>
        <v>2802.8397590375439</v>
      </c>
      <c r="CG65" s="29">
        <f>CF65*(1+Inputs!$C$34)</f>
        <v>2914.9533493990457</v>
      </c>
      <c r="CH65" s="29">
        <f>CG65*(1+Inputs!$C$34)</f>
        <v>3031.5514833750076</v>
      </c>
      <c r="CI65" s="29">
        <f>CH65*(1+Inputs!$C$34)</f>
        <v>3152.8135427100078</v>
      </c>
      <c r="CJ65" s="29">
        <f>CI65*(1+Inputs!$C$34)</f>
        <v>3278.9260844184082</v>
      </c>
      <c r="CK65" s="29">
        <f>CJ65*(1+Inputs!$C$34)</f>
        <v>3410.0831277951447</v>
      </c>
    </row>
    <row r="66" spans="1:109" ht="14.25" customHeight="1" x14ac:dyDescent="0.2">
      <c r="A66" s="11">
        <f t="shared" si="58"/>
        <v>0</v>
      </c>
      <c r="B66" s="56">
        <f t="shared" si="73"/>
        <v>4287</v>
      </c>
      <c r="D66" s="56"/>
      <c r="F66" s="56">
        <v>4287</v>
      </c>
      <c r="G66" s="11" t="s">
        <v>346</v>
      </c>
      <c r="H66" s="25">
        <f>VLOOKUP($F66,Inputs!$E:$J,6,FALSE)</f>
        <v>1E-3</v>
      </c>
      <c r="I66" s="1"/>
      <c r="J66" s="29">
        <f t="shared" ref="J66:BU66" si="84">$H66*J$54</f>
        <v>3.4971153150024605</v>
      </c>
      <c r="K66" s="29">
        <f t="shared" si="84"/>
        <v>6.9635585190276998</v>
      </c>
      <c r="L66" s="29">
        <f t="shared" si="84"/>
        <v>11.809823255951317</v>
      </c>
      <c r="M66" s="29">
        <f t="shared" si="84"/>
        <v>16.97952696618604</v>
      </c>
      <c r="N66" s="29">
        <f t="shared" si="84"/>
        <v>25.278303068504602</v>
      </c>
      <c r="O66" s="29">
        <f t="shared" si="84"/>
        <v>32.723038336172309</v>
      </c>
      <c r="P66" s="29">
        <f t="shared" si="84"/>
        <v>39.178279084771724</v>
      </c>
      <c r="Q66" s="29">
        <f t="shared" si="84"/>
        <v>43.724818880134364</v>
      </c>
      <c r="R66" s="29">
        <f t="shared" si="84"/>
        <v>47.682331257569821</v>
      </c>
      <c r="S66" s="29">
        <f t="shared" si="84"/>
        <v>51.804412810833426</v>
      </c>
      <c r="T66" s="29">
        <f t="shared" si="84"/>
        <v>55.508420064841445</v>
      </c>
      <c r="U66" s="239">
        <f t="shared" si="84"/>
        <v>58.660464237830141</v>
      </c>
      <c r="V66" s="29">
        <f t="shared" si="84"/>
        <v>62.728388631432864</v>
      </c>
      <c r="W66" s="29">
        <f t="shared" si="84"/>
        <v>66.770368259849917</v>
      </c>
      <c r="X66" s="29">
        <f t="shared" si="84"/>
        <v>72.374514000645291</v>
      </c>
      <c r="Y66" s="29">
        <f t="shared" si="84"/>
        <v>78.506031252735269</v>
      </c>
      <c r="Z66" s="29">
        <f t="shared" si="84"/>
        <v>88.200873028025356</v>
      </c>
      <c r="AA66" s="29">
        <f t="shared" si="84"/>
        <v>96.980327668206314</v>
      </c>
      <c r="AB66" s="29">
        <f t="shared" si="84"/>
        <v>104.5849936415061</v>
      </c>
      <c r="AC66" s="29">
        <f t="shared" si="84"/>
        <v>109.8485007448859</v>
      </c>
      <c r="AD66" s="29">
        <f t="shared" si="84"/>
        <v>114.41483354611503</v>
      </c>
      <c r="AE66" s="29">
        <f t="shared" si="84"/>
        <v>119.22964153908769</v>
      </c>
      <c r="AF66" s="29">
        <f t="shared" si="84"/>
        <v>123.49104480104002</v>
      </c>
      <c r="AG66" s="239">
        <f t="shared" si="84"/>
        <v>127.16623949417968</v>
      </c>
      <c r="AH66" s="29">
        <f t="shared" si="84"/>
        <v>130.38853116932819</v>
      </c>
      <c r="AI66" s="29">
        <f t="shared" si="84"/>
        <v>133.59474681582421</v>
      </c>
      <c r="AJ66" s="29">
        <f t="shared" si="84"/>
        <v>137.94036090441392</v>
      </c>
      <c r="AK66" s="29">
        <f t="shared" si="84"/>
        <v>142.84779921432681</v>
      </c>
      <c r="AL66" s="29">
        <f t="shared" si="84"/>
        <v>150.44578600622552</v>
      </c>
      <c r="AM66" s="29">
        <f t="shared" si="84"/>
        <v>157.33306670356191</v>
      </c>
      <c r="AN66" s="29">
        <f t="shared" si="84"/>
        <v>163.21072670901239</v>
      </c>
      <c r="AO66" s="29">
        <f t="shared" si="84"/>
        <v>167.06312434327438</v>
      </c>
      <c r="AP66" s="29">
        <f t="shared" si="84"/>
        <v>170.3216897626661</v>
      </c>
      <c r="AQ66" s="29">
        <f t="shared" si="84"/>
        <v>173.76018083088738</v>
      </c>
      <c r="AR66" s="29">
        <f t="shared" si="84"/>
        <v>176.55803033385112</v>
      </c>
      <c r="AS66" s="239">
        <f t="shared" si="84"/>
        <v>178.92708349175905</v>
      </c>
      <c r="AT66" s="29">
        <f t="shared" si="84"/>
        <v>177.28263298392494</v>
      </c>
      <c r="AU66" s="29">
        <f t="shared" si="84"/>
        <v>177.78702775510277</v>
      </c>
      <c r="AV66" s="29">
        <f t="shared" si="84"/>
        <v>178.86062847774289</v>
      </c>
      <c r="AW66" s="29">
        <f t="shared" si="84"/>
        <v>180.69614713177214</v>
      </c>
      <c r="AX66" s="29">
        <f t="shared" si="84"/>
        <v>184.31243815658377</v>
      </c>
      <c r="AY66" s="29">
        <f t="shared" si="84"/>
        <v>186.96335223474807</v>
      </c>
      <c r="AZ66" s="29">
        <f t="shared" si="84"/>
        <v>188.35968937668616</v>
      </c>
      <c r="BA66" s="29">
        <f t="shared" si="84"/>
        <v>187.38197659187085</v>
      </c>
      <c r="BB66" s="29">
        <f t="shared" si="84"/>
        <v>186.72107220126239</v>
      </c>
      <c r="BC66" s="29">
        <f t="shared" si="84"/>
        <v>186.18276830412989</v>
      </c>
      <c r="BD66" s="29">
        <f t="shared" si="84"/>
        <v>185.33218248898234</v>
      </c>
      <c r="BE66" s="239">
        <f t="shared" si="84"/>
        <v>184.77982264250059</v>
      </c>
      <c r="BF66" s="29">
        <f t="shared" si="84"/>
        <v>185.26728683833545</v>
      </c>
      <c r="BG66" s="29">
        <f t="shared" si="84"/>
        <v>185.79401606986275</v>
      </c>
      <c r="BH66" s="29">
        <f t="shared" si="84"/>
        <v>186.93015056709737</v>
      </c>
      <c r="BI66" s="29">
        <f t="shared" si="84"/>
        <v>188.82728350012661</v>
      </c>
      <c r="BJ66" s="29">
        <f t="shared" si="84"/>
        <v>192.53689790278068</v>
      </c>
      <c r="BK66" s="29">
        <f t="shared" si="84"/>
        <v>195.36679499030845</v>
      </c>
      <c r="BL66" s="29">
        <f t="shared" si="84"/>
        <v>196.84237038586812</v>
      </c>
      <c r="BM66" s="29">
        <f t="shared" si="84"/>
        <v>195.86517278348936</v>
      </c>
      <c r="BN66" s="29">
        <f t="shared" si="84"/>
        <v>195.15962408578173</v>
      </c>
      <c r="BO66" s="29">
        <f t="shared" si="84"/>
        <v>194.54185083465765</v>
      </c>
      <c r="BP66" s="29">
        <f t="shared" si="84"/>
        <v>193.60884946018402</v>
      </c>
      <c r="BQ66" s="29">
        <f t="shared" si="84"/>
        <v>192.9896764373149</v>
      </c>
      <c r="BR66" s="29">
        <f t="shared" si="84"/>
        <v>192.03950145320965</v>
      </c>
      <c r="BS66" s="29">
        <f t="shared" si="84"/>
        <v>192.26908906684292</v>
      </c>
      <c r="BT66" s="29">
        <f t="shared" si="84"/>
        <v>193.27361857539111</v>
      </c>
      <c r="BU66" s="29">
        <f t="shared" si="84"/>
        <v>195.0643092884298</v>
      </c>
      <c r="BW66" s="29">
        <f t="shared" ref="BW66:CA66" si="85">SUMIF($J$6:$BU$6,BW$9,$J66:$BU66)</f>
        <v>393.81009179682536</v>
      </c>
      <c r="BX66" s="29">
        <f t="shared" si="85"/>
        <v>1164.2957566077093</v>
      </c>
      <c r="BY66" s="29">
        <f t="shared" si="85"/>
        <v>1882.3911262851309</v>
      </c>
      <c r="BZ66" s="29">
        <f t="shared" si="85"/>
        <v>2204.6597383453068</v>
      </c>
      <c r="CA66" s="29">
        <f t="shared" si="85"/>
        <v>2303.7299738558067</v>
      </c>
      <c r="CB66" s="29">
        <f>CA66*(1+Inputs!$C$34)</f>
        <v>2395.8791728100391</v>
      </c>
      <c r="CC66" s="29">
        <f>CB66*(1+Inputs!$C$34)</f>
        <v>2491.7143397224409</v>
      </c>
      <c r="CD66" s="29">
        <f>CC66*(1+Inputs!$C$34)</f>
        <v>2591.3829133113386</v>
      </c>
      <c r="CE66" s="29">
        <f>CD66*(1+Inputs!$C$34)</f>
        <v>2695.0382298437921</v>
      </c>
      <c r="CF66" s="29">
        <f>CE66*(1+Inputs!$C$34)</f>
        <v>2802.8397590375439</v>
      </c>
      <c r="CG66" s="29">
        <f>CF66*(1+Inputs!$C$34)</f>
        <v>2914.9533493990457</v>
      </c>
      <c r="CH66" s="29">
        <f>CG66*(1+Inputs!$C$34)</f>
        <v>3031.5514833750076</v>
      </c>
      <c r="CI66" s="29">
        <f>CH66*(1+Inputs!$C$34)</f>
        <v>3152.8135427100078</v>
      </c>
      <c r="CJ66" s="29">
        <f>CI66*(1+Inputs!$C$34)</f>
        <v>3278.9260844184082</v>
      </c>
      <c r="CK66" s="29">
        <f>CJ66*(1+Inputs!$C$34)</f>
        <v>3410.0831277951447</v>
      </c>
    </row>
    <row r="67" spans="1:109" ht="14.25" customHeight="1" x14ac:dyDescent="0.2">
      <c r="A67" s="11">
        <f t="shared" si="58"/>
        <v>0</v>
      </c>
      <c r="B67" s="56">
        <f t="shared" si="73"/>
        <v>4288</v>
      </c>
      <c r="D67" s="56"/>
      <c r="F67" s="56">
        <v>4288</v>
      </c>
      <c r="G67" s="11" t="s">
        <v>205</v>
      </c>
      <c r="H67" s="25">
        <f>VLOOKUP($F67,Inputs!$E:$J,6,FALSE)</f>
        <v>1E-3</v>
      </c>
      <c r="I67" s="1"/>
      <c r="J67" s="29">
        <f t="shared" ref="J67:BU67" si="86">$H67*J$54</f>
        <v>3.4971153150024605</v>
      </c>
      <c r="K67" s="29">
        <f t="shared" si="86"/>
        <v>6.9635585190276998</v>
      </c>
      <c r="L67" s="29">
        <f t="shared" si="86"/>
        <v>11.809823255951317</v>
      </c>
      <c r="M67" s="29">
        <f t="shared" si="86"/>
        <v>16.97952696618604</v>
      </c>
      <c r="N67" s="29">
        <f t="shared" si="86"/>
        <v>25.278303068504602</v>
      </c>
      <c r="O67" s="29">
        <f t="shared" si="86"/>
        <v>32.723038336172309</v>
      </c>
      <c r="P67" s="29">
        <f t="shared" si="86"/>
        <v>39.178279084771724</v>
      </c>
      <c r="Q67" s="29">
        <f t="shared" si="86"/>
        <v>43.724818880134364</v>
      </c>
      <c r="R67" s="29">
        <f t="shared" si="86"/>
        <v>47.682331257569821</v>
      </c>
      <c r="S67" s="29">
        <f t="shared" si="86"/>
        <v>51.804412810833426</v>
      </c>
      <c r="T67" s="29">
        <f t="shared" si="86"/>
        <v>55.508420064841445</v>
      </c>
      <c r="U67" s="239">
        <f t="shared" si="86"/>
        <v>58.660464237830141</v>
      </c>
      <c r="V67" s="29">
        <f t="shared" si="86"/>
        <v>62.728388631432864</v>
      </c>
      <c r="W67" s="29">
        <f t="shared" si="86"/>
        <v>66.770368259849917</v>
      </c>
      <c r="X67" s="29">
        <f t="shared" si="86"/>
        <v>72.374514000645291</v>
      </c>
      <c r="Y67" s="29">
        <f t="shared" si="86"/>
        <v>78.506031252735269</v>
      </c>
      <c r="Z67" s="29">
        <f t="shared" si="86"/>
        <v>88.200873028025356</v>
      </c>
      <c r="AA67" s="29">
        <f t="shared" si="86"/>
        <v>96.980327668206314</v>
      </c>
      <c r="AB67" s="29">
        <f t="shared" si="86"/>
        <v>104.5849936415061</v>
      </c>
      <c r="AC67" s="29">
        <f t="shared" si="86"/>
        <v>109.8485007448859</v>
      </c>
      <c r="AD67" s="29">
        <f t="shared" si="86"/>
        <v>114.41483354611503</v>
      </c>
      <c r="AE67" s="29">
        <f t="shared" si="86"/>
        <v>119.22964153908769</v>
      </c>
      <c r="AF67" s="29">
        <f t="shared" si="86"/>
        <v>123.49104480104002</v>
      </c>
      <c r="AG67" s="239">
        <f t="shared" si="86"/>
        <v>127.16623949417968</v>
      </c>
      <c r="AH67" s="29">
        <f t="shared" si="86"/>
        <v>130.38853116932819</v>
      </c>
      <c r="AI67" s="29">
        <f t="shared" si="86"/>
        <v>133.59474681582421</v>
      </c>
      <c r="AJ67" s="29">
        <f t="shared" si="86"/>
        <v>137.94036090441392</v>
      </c>
      <c r="AK67" s="29">
        <f t="shared" si="86"/>
        <v>142.84779921432681</v>
      </c>
      <c r="AL67" s="29">
        <f t="shared" si="86"/>
        <v>150.44578600622552</v>
      </c>
      <c r="AM67" s="29">
        <f t="shared" si="86"/>
        <v>157.33306670356191</v>
      </c>
      <c r="AN67" s="29">
        <f t="shared" si="86"/>
        <v>163.21072670901239</v>
      </c>
      <c r="AO67" s="29">
        <f t="shared" si="86"/>
        <v>167.06312434327438</v>
      </c>
      <c r="AP67" s="29">
        <f t="shared" si="86"/>
        <v>170.3216897626661</v>
      </c>
      <c r="AQ67" s="29">
        <f t="shared" si="86"/>
        <v>173.76018083088738</v>
      </c>
      <c r="AR67" s="29">
        <f t="shared" si="86"/>
        <v>176.55803033385112</v>
      </c>
      <c r="AS67" s="239">
        <f t="shared" si="86"/>
        <v>178.92708349175905</v>
      </c>
      <c r="AT67" s="29">
        <f t="shared" si="86"/>
        <v>177.28263298392494</v>
      </c>
      <c r="AU67" s="29">
        <f t="shared" si="86"/>
        <v>177.78702775510277</v>
      </c>
      <c r="AV67" s="29">
        <f t="shared" si="86"/>
        <v>178.86062847774289</v>
      </c>
      <c r="AW67" s="29">
        <f t="shared" si="86"/>
        <v>180.69614713177214</v>
      </c>
      <c r="AX67" s="29">
        <f t="shared" si="86"/>
        <v>184.31243815658377</v>
      </c>
      <c r="AY67" s="29">
        <f t="shared" si="86"/>
        <v>186.96335223474807</v>
      </c>
      <c r="AZ67" s="29">
        <f t="shared" si="86"/>
        <v>188.35968937668616</v>
      </c>
      <c r="BA67" s="29">
        <f t="shared" si="86"/>
        <v>187.38197659187085</v>
      </c>
      <c r="BB67" s="29">
        <f t="shared" si="86"/>
        <v>186.72107220126239</v>
      </c>
      <c r="BC67" s="29">
        <f t="shared" si="86"/>
        <v>186.18276830412989</v>
      </c>
      <c r="BD67" s="29">
        <f t="shared" si="86"/>
        <v>185.33218248898234</v>
      </c>
      <c r="BE67" s="239">
        <f t="shared" si="86"/>
        <v>184.77982264250059</v>
      </c>
      <c r="BF67" s="29">
        <f t="shared" si="86"/>
        <v>185.26728683833545</v>
      </c>
      <c r="BG67" s="29">
        <f t="shared" si="86"/>
        <v>185.79401606986275</v>
      </c>
      <c r="BH67" s="29">
        <f t="shared" si="86"/>
        <v>186.93015056709737</v>
      </c>
      <c r="BI67" s="29">
        <f t="shared" si="86"/>
        <v>188.82728350012661</v>
      </c>
      <c r="BJ67" s="29">
        <f t="shared" si="86"/>
        <v>192.53689790278068</v>
      </c>
      <c r="BK67" s="29">
        <f t="shared" si="86"/>
        <v>195.36679499030845</v>
      </c>
      <c r="BL67" s="29">
        <f t="shared" si="86"/>
        <v>196.84237038586812</v>
      </c>
      <c r="BM67" s="29">
        <f t="shared" si="86"/>
        <v>195.86517278348936</v>
      </c>
      <c r="BN67" s="29">
        <f t="shared" si="86"/>
        <v>195.15962408578173</v>
      </c>
      <c r="BO67" s="29">
        <f t="shared" si="86"/>
        <v>194.54185083465765</v>
      </c>
      <c r="BP67" s="29">
        <f t="shared" si="86"/>
        <v>193.60884946018402</v>
      </c>
      <c r="BQ67" s="29">
        <f t="shared" si="86"/>
        <v>192.9896764373149</v>
      </c>
      <c r="BR67" s="29">
        <f t="shared" si="86"/>
        <v>192.03950145320965</v>
      </c>
      <c r="BS67" s="29">
        <f t="shared" si="86"/>
        <v>192.26908906684292</v>
      </c>
      <c r="BT67" s="29">
        <f t="shared" si="86"/>
        <v>193.27361857539111</v>
      </c>
      <c r="BU67" s="29">
        <f t="shared" si="86"/>
        <v>195.0643092884298</v>
      </c>
      <c r="BW67" s="29">
        <f t="shared" ref="BW67:CA67" si="87">SUMIF($J$6:$BU$6,BW$9,$J67:$BU67)</f>
        <v>393.81009179682536</v>
      </c>
      <c r="BX67" s="29">
        <f t="shared" si="87"/>
        <v>1164.2957566077093</v>
      </c>
      <c r="BY67" s="29">
        <f t="shared" si="87"/>
        <v>1882.3911262851309</v>
      </c>
      <c r="BZ67" s="29">
        <f t="shared" si="87"/>
        <v>2204.6597383453068</v>
      </c>
      <c r="CA67" s="29">
        <f t="shared" si="87"/>
        <v>2303.7299738558067</v>
      </c>
      <c r="CB67" s="29">
        <f>CA67*(1+Inputs!$C$34)</f>
        <v>2395.8791728100391</v>
      </c>
      <c r="CC67" s="29">
        <f>CB67*(1+Inputs!$C$34)</f>
        <v>2491.7143397224409</v>
      </c>
      <c r="CD67" s="29">
        <f>CC67*(1+Inputs!$C$34)</f>
        <v>2591.3829133113386</v>
      </c>
      <c r="CE67" s="29">
        <f>CD67*(1+Inputs!$C$34)</f>
        <v>2695.0382298437921</v>
      </c>
      <c r="CF67" s="29">
        <f>CE67*(1+Inputs!$C$34)</f>
        <v>2802.8397590375439</v>
      </c>
      <c r="CG67" s="29">
        <f>CF67*(1+Inputs!$C$34)</f>
        <v>2914.9533493990457</v>
      </c>
      <c r="CH67" s="29">
        <f>CG67*(1+Inputs!$C$34)</f>
        <v>3031.5514833750076</v>
      </c>
      <c r="CI67" s="29">
        <f>CH67*(1+Inputs!$C$34)</f>
        <v>3152.8135427100078</v>
      </c>
      <c r="CJ67" s="29">
        <f>CI67*(1+Inputs!$C$34)</f>
        <v>3278.9260844184082</v>
      </c>
      <c r="CK67" s="29">
        <f>CJ67*(1+Inputs!$C$34)</f>
        <v>3410.0831277951447</v>
      </c>
    </row>
    <row r="68" spans="1:109" ht="14.25" customHeight="1" x14ac:dyDescent="0.2">
      <c r="A68" s="11">
        <f t="shared" si="58"/>
        <v>0</v>
      </c>
      <c r="B68" s="56">
        <f t="shared" si="73"/>
        <v>4255</v>
      </c>
      <c r="D68" s="56"/>
      <c r="F68" s="263">
        <v>4255</v>
      </c>
      <c r="G68" s="17" t="s">
        <v>347</v>
      </c>
      <c r="H68" s="33">
        <f>VLOOKUP($F68,Inputs!$E:$J,6,FALSE)</f>
        <v>1E-3</v>
      </c>
      <c r="I68" s="236"/>
      <c r="J68" s="237">
        <f t="shared" ref="J68:BU68" si="88">$H68*J$54</f>
        <v>3.4971153150024605</v>
      </c>
      <c r="K68" s="237">
        <f t="shared" si="88"/>
        <v>6.9635585190276998</v>
      </c>
      <c r="L68" s="237">
        <f t="shared" si="88"/>
        <v>11.809823255951317</v>
      </c>
      <c r="M68" s="237">
        <f t="shared" si="88"/>
        <v>16.97952696618604</v>
      </c>
      <c r="N68" s="237">
        <f t="shared" si="88"/>
        <v>25.278303068504602</v>
      </c>
      <c r="O68" s="237">
        <f t="shared" si="88"/>
        <v>32.723038336172309</v>
      </c>
      <c r="P68" s="237">
        <f t="shared" si="88"/>
        <v>39.178279084771724</v>
      </c>
      <c r="Q68" s="237">
        <f t="shared" si="88"/>
        <v>43.724818880134364</v>
      </c>
      <c r="R68" s="237">
        <f t="shared" si="88"/>
        <v>47.682331257569821</v>
      </c>
      <c r="S68" s="237">
        <f t="shared" si="88"/>
        <v>51.804412810833426</v>
      </c>
      <c r="T68" s="237">
        <f t="shared" si="88"/>
        <v>55.508420064841445</v>
      </c>
      <c r="U68" s="238">
        <f t="shared" si="88"/>
        <v>58.660464237830141</v>
      </c>
      <c r="V68" s="237">
        <f t="shared" si="88"/>
        <v>62.728388631432864</v>
      </c>
      <c r="W68" s="237">
        <f t="shared" si="88"/>
        <v>66.770368259849917</v>
      </c>
      <c r="X68" s="237">
        <f t="shared" si="88"/>
        <v>72.374514000645291</v>
      </c>
      <c r="Y68" s="237">
        <f t="shared" si="88"/>
        <v>78.506031252735269</v>
      </c>
      <c r="Z68" s="237">
        <f t="shared" si="88"/>
        <v>88.200873028025356</v>
      </c>
      <c r="AA68" s="237">
        <f t="shared" si="88"/>
        <v>96.980327668206314</v>
      </c>
      <c r="AB68" s="237">
        <f t="shared" si="88"/>
        <v>104.5849936415061</v>
      </c>
      <c r="AC68" s="237">
        <f t="shared" si="88"/>
        <v>109.8485007448859</v>
      </c>
      <c r="AD68" s="237">
        <f t="shared" si="88"/>
        <v>114.41483354611503</v>
      </c>
      <c r="AE68" s="237">
        <f t="shared" si="88"/>
        <v>119.22964153908769</v>
      </c>
      <c r="AF68" s="237">
        <f t="shared" si="88"/>
        <v>123.49104480104002</v>
      </c>
      <c r="AG68" s="238">
        <f t="shared" si="88"/>
        <v>127.16623949417968</v>
      </c>
      <c r="AH68" s="237">
        <f t="shared" si="88"/>
        <v>130.38853116932819</v>
      </c>
      <c r="AI68" s="237">
        <f t="shared" si="88"/>
        <v>133.59474681582421</v>
      </c>
      <c r="AJ68" s="237">
        <f t="shared" si="88"/>
        <v>137.94036090441392</v>
      </c>
      <c r="AK68" s="237">
        <f t="shared" si="88"/>
        <v>142.84779921432681</v>
      </c>
      <c r="AL68" s="237">
        <f t="shared" si="88"/>
        <v>150.44578600622552</v>
      </c>
      <c r="AM68" s="237">
        <f t="shared" si="88"/>
        <v>157.33306670356191</v>
      </c>
      <c r="AN68" s="237">
        <f t="shared" si="88"/>
        <v>163.21072670901239</v>
      </c>
      <c r="AO68" s="237">
        <f t="shared" si="88"/>
        <v>167.06312434327438</v>
      </c>
      <c r="AP68" s="237">
        <f t="shared" si="88"/>
        <v>170.3216897626661</v>
      </c>
      <c r="AQ68" s="237">
        <f t="shared" si="88"/>
        <v>173.76018083088738</v>
      </c>
      <c r="AR68" s="237">
        <f t="shared" si="88"/>
        <v>176.55803033385112</v>
      </c>
      <c r="AS68" s="238">
        <f t="shared" si="88"/>
        <v>178.92708349175905</v>
      </c>
      <c r="AT68" s="237">
        <f t="shared" si="88"/>
        <v>177.28263298392494</v>
      </c>
      <c r="AU68" s="237">
        <f t="shared" si="88"/>
        <v>177.78702775510277</v>
      </c>
      <c r="AV68" s="237">
        <f t="shared" si="88"/>
        <v>178.86062847774289</v>
      </c>
      <c r="AW68" s="237">
        <f t="shared" si="88"/>
        <v>180.69614713177214</v>
      </c>
      <c r="AX68" s="237">
        <f t="shared" si="88"/>
        <v>184.31243815658377</v>
      </c>
      <c r="AY68" s="237">
        <f t="shared" si="88"/>
        <v>186.96335223474807</v>
      </c>
      <c r="AZ68" s="237">
        <f t="shared" si="88"/>
        <v>188.35968937668616</v>
      </c>
      <c r="BA68" s="237">
        <f t="shared" si="88"/>
        <v>187.38197659187085</v>
      </c>
      <c r="BB68" s="237">
        <f t="shared" si="88"/>
        <v>186.72107220126239</v>
      </c>
      <c r="BC68" s="237">
        <f t="shared" si="88"/>
        <v>186.18276830412989</v>
      </c>
      <c r="BD68" s="237">
        <f t="shared" si="88"/>
        <v>185.33218248898234</v>
      </c>
      <c r="BE68" s="238">
        <f t="shared" si="88"/>
        <v>184.77982264250059</v>
      </c>
      <c r="BF68" s="237">
        <f t="shared" si="88"/>
        <v>185.26728683833545</v>
      </c>
      <c r="BG68" s="237">
        <f t="shared" si="88"/>
        <v>185.79401606986275</v>
      </c>
      <c r="BH68" s="237">
        <f t="shared" si="88"/>
        <v>186.93015056709737</v>
      </c>
      <c r="BI68" s="237">
        <f t="shared" si="88"/>
        <v>188.82728350012661</v>
      </c>
      <c r="BJ68" s="237">
        <f t="shared" si="88"/>
        <v>192.53689790278068</v>
      </c>
      <c r="BK68" s="237">
        <f t="shared" si="88"/>
        <v>195.36679499030845</v>
      </c>
      <c r="BL68" s="237">
        <f t="shared" si="88"/>
        <v>196.84237038586812</v>
      </c>
      <c r="BM68" s="237">
        <f t="shared" si="88"/>
        <v>195.86517278348936</v>
      </c>
      <c r="BN68" s="237">
        <f t="shared" si="88"/>
        <v>195.15962408578173</v>
      </c>
      <c r="BO68" s="237">
        <f t="shared" si="88"/>
        <v>194.54185083465765</v>
      </c>
      <c r="BP68" s="237">
        <f t="shared" si="88"/>
        <v>193.60884946018402</v>
      </c>
      <c r="BQ68" s="237">
        <f t="shared" si="88"/>
        <v>192.9896764373149</v>
      </c>
      <c r="BR68" s="237">
        <f t="shared" si="88"/>
        <v>192.03950145320965</v>
      </c>
      <c r="BS68" s="237">
        <f t="shared" si="88"/>
        <v>192.26908906684292</v>
      </c>
      <c r="BT68" s="237">
        <f t="shared" si="88"/>
        <v>193.27361857539111</v>
      </c>
      <c r="BU68" s="237">
        <f t="shared" si="88"/>
        <v>195.0643092884298</v>
      </c>
      <c r="BW68" s="237">
        <f t="shared" ref="BW68:CA68" si="89">SUMIF($J$6:$BU$6,BW$9,$J68:$BU68)</f>
        <v>393.81009179682536</v>
      </c>
      <c r="BX68" s="237">
        <f t="shared" si="89"/>
        <v>1164.2957566077093</v>
      </c>
      <c r="BY68" s="237">
        <f t="shared" si="89"/>
        <v>1882.3911262851309</v>
      </c>
      <c r="BZ68" s="237">
        <f t="shared" si="89"/>
        <v>2204.6597383453068</v>
      </c>
      <c r="CA68" s="237">
        <f t="shared" si="89"/>
        <v>2303.7299738558067</v>
      </c>
      <c r="CB68" s="237">
        <f>CA68*(1+Inputs!$C$34)</f>
        <v>2395.8791728100391</v>
      </c>
      <c r="CC68" s="237">
        <f>CB68*(1+Inputs!$C$34)</f>
        <v>2491.7143397224409</v>
      </c>
      <c r="CD68" s="237">
        <f>CC68*(1+Inputs!$C$34)</f>
        <v>2591.3829133113386</v>
      </c>
      <c r="CE68" s="237">
        <f>CD68*(1+Inputs!$C$34)</f>
        <v>2695.0382298437921</v>
      </c>
      <c r="CF68" s="237">
        <f>CE68*(1+Inputs!$C$34)</f>
        <v>2802.8397590375439</v>
      </c>
      <c r="CG68" s="237">
        <f>CF68*(1+Inputs!$C$34)</f>
        <v>2914.9533493990457</v>
      </c>
      <c r="CH68" s="237">
        <f>CG68*(1+Inputs!$C$34)</f>
        <v>3031.5514833750076</v>
      </c>
      <c r="CI68" s="237">
        <f>CH68*(1+Inputs!$C$34)</f>
        <v>3152.8135427100078</v>
      </c>
      <c r="CJ68" s="237">
        <f>CI68*(1+Inputs!$C$34)</f>
        <v>3278.9260844184082</v>
      </c>
      <c r="CK68" s="237">
        <f>CJ68*(1+Inputs!$C$34)</f>
        <v>3410.0831277951447</v>
      </c>
    </row>
    <row r="69" spans="1:109" ht="14.25" customHeight="1" x14ac:dyDescent="0.2">
      <c r="A69" s="283">
        <f t="shared" si="58"/>
        <v>0</v>
      </c>
      <c r="B69" s="284" t="s">
        <v>348</v>
      </c>
      <c r="C69" s="285"/>
      <c r="D69" s="284"/>
      <c r="E69" s="286"/>
      <c r="F69" s="287" t="s">
        <v>349</v>
      </c>
      <c r="G69" s="286"/>
      <c r="H69" s="285"/>
      <c r="I69" s="288"/>
      <c r="J69" s="289">
        <f t="shared" ref="J69:BU69" si="90">SUM(J60:J68)</f>
        <v>251.86466303417143</v>
      </c>
      <c r="K69" s="289">
        <f t="shared" si="90"/>
        <v>276.89526957558905</v>
      </c>
      <c r="L69" s="289">
        <f t="shared" si="90"/>
        <v>421.63237534981187</v>
      </c>
      <c r="M69" s="289">
        <f t="shared" si="90"/>
        <v>494.09515407312807</v>
      </c>
      <c r="N69" s="289">
        <f t="shared" si="90"/>
        <v>752.8741713931214</v>
      </c>
      <c r="O69" s="289">
        <f t="shared" si="90"/>
        <v>776.17254808881103</v>
      </c>
      <c r="P69" s="289">
        <f t="shared" si="90"/>
        <v>820.92423375684018</v>
      </c>
      <c r="Q69" s="289">
        <f t="shared" si="90"/>
        <v>833.30006388607444</v>
      </c>
      <c r="R69" s="289">
        <f t="shared" si="90"/>
        <v>838.36328161420658</v>
      </c>
      <c r="S69" s="289">
        <f t="shared" si="90"/>
        <v>882.21524481934216</v>
      </c>
      <c r="T69" s="289">
        <f t="shared" si="90"/>
        <v>905.06819175692476</v>
      </c>
      <c r="U69" s="290">
        <f t="shared" si="90"/>
        <v>900.6590178580783</v>
      </c>
      <c r="V69" s="289">
        <f t="shared" si="90"/>
        <v>987.32680210324406</v>
      </c>
      <c r="W69" s="289">
        <f t="shared" si="90"/>
        <v>1020.2283624585722</v>
      </c>
      <c r="X69" s="289">
        <f t="shared" si="90"/>
        <v>1193.115425561391</v>
      </c>
      <c r="Y69" s="289">
        <f t="shared" si="90"/>
        <v>1260.5085473419749</v>
      </c>
      <c r="Z69" s="289">
        <f t="shared" si="90"/>
        <v>1538.4106428074056</v>
      </c>
      <c r="AA69" s="289">
        <f t="shared" si="90"/>
        <v>1570.2783269672395</v>
      </c>
      <c r="AB69" s="289">
        <f t="shared" si="90"/>
        <v>1623.0870723279425</v>
      </c>
      <c r="AC69" s="289">
        <f t="shared" si="90"/>
        <v>1656.9433706409366</v>
      </c>
      <c r="AD69" s="289">
        <f t="shared" si="90"/>
        <v>1646.7556322052601</v>
      </c>
      <c r="AE69" s="289">
        <f t="shared" si="90"/>
        <v>1689.903265382098</v>
      </c>
      <c r="AF69" s="289">
        <f t="shared" si="90"/>
        <v>1705.6851061052196</v>
      </c>
      <c r="AG69" s="290">
        <f t="shared" si="90"/>
        <v>1696.8187194510617</v>
      </c>
      <c r="AH69" s="289">
        <f t="shared" si="90"/>
        <v>1667.0754950873097</v>
      </c>
      <c r="AI69" s="289">
        <f t="shared" si="90"/>
        <v>1672.7893908208196</v>
      </c>
      <c r="AJ69" s="289">
        <f t="shared" si="90"/>
        <v>1817.1487209674106</v>
      </c>
      <c r="AK69" s="289">
        <f t="shared" si="90"/>
        <v>1854.5935433397869</v>
      </c>
      <c r="AL69" s="289">
        <f t="shared" si="90"/>
        <v>2052.2856228016417</v>
      </c>
      <c r="AM69" s="289">
        <f t="shared" si="90"/>
        <v>2086.3635624110457</v>
      </c>
      <c r="AN69" s="289">
        <f t="shared" si="90"/>
        <v>2134.6491059035952</v>
      </c>
      <c r="AO69" s="289">
        <f t="shared" si="90"/>
        <v>2183.7993742053172</v>
      </c>
      <c r="AP69" s="289">
        <f t="shared" si="90"/>
        <v>2158.2590408127135</v>
      </c>
      <c r="AQ69" s="289">
        <f t="shared" si="90"/>
        <v>2181.9915991651778</v>
      </c>
      <c r="AR69" s="289">
        <f t="shared" si="90"/>
        <v>2181.0634852540738</v>
      </c>
      <c r="AS69" s="290">
        <f t="shared" si="90"/>
        <v>2162.0753090169028</v>
      </c>
      <c r="AT69" s="289">
        <f t="shared" si="90"/>
        <v>1861.828327044853</v>
      </c>
      <c r="AU69" s="289">
        <f t="shared" si="90"/>
        <v>1942.8445164234354</v>
      </c>
      <c r="AV69" s="289">
        <f t="shared" si="90"/>
        <v>2023.2037690560558</v>
      </c>
      <c r="AW69" s="289">
        <f t="shared" si="90"/>
        <v>2029.8006451659994</v>
      </c>
      <c r="AX69" s="289">
        <f t="shared" si="90"/>
        <v>2149.4615701814441</v>
      </c>
      <c r="AY69" s="289">
        <f t="shared" si="90"/>
        <v>2145.7875758231376</v>
      </c>
      <c r="AZ69" s="289">
        <f t="shared" si="90"/>
        <v>2119.5361979310978</v>
      </c>
      <c r="BA69" s="289">
        <f t="shared" si="90"/>
        <v>2064.1075797601648</v>
      </c>
      <c r="BB69" s="289">
        <f t="shared" si="90"/>
        <v>2028.3199448970961</v>
      </c>
      <c r="BC69" s="289">
        <f t="shared" si="90"/>
        <v>2004.106164831044</v>
      </c>
      <c r="BD69" s="289">
        <f t="shared" si="90"/>
        <v>1971.1021784620189</v>
      </c>
      <c r="BE69" s="290">
        <f t="shared" si="90"/>
        <v>1946.6776767869044</v>
      </c>
      <c r="BF69" s="289">
        <f t="shared" si="90"/>
        <v>1975.2362172898459</v>
      </c>
      <c r="BG69" s="289">
        <f t="shared" si="90"/>
        <v>1951.524398613815</v>
      </c>
      <c r="BH69" s="289">
        <f t="shared" si="90"/>
        <v>2023.3116249177447</v>
      </c>
      <c r="BI69" s="289">
        <f t="shared" si="90"/>
        <v>2031.9475997280331</v>
      </c>
      <c r="BJ69" s="289">
        <f t="shared" si="90"/>
        <v>2161.6179496789814</v>
      </c>
      <c r="BK69" s="289">
        <f t="shared" si="90"/>
        <v>2169.4372003523526</v>
      </c>
      <c r="BL69" s="289">
        <f t="shared" si="90"/>
        <v>2149.4090317121613</v>
      </c>
      <c r="BM69" s="289">
        <f t="shared" si="90"/>
        <v>2094.3708689603754</v>
      </c>
      <c r="BN69" s="289">
        <f t="shared" si="90"/>
        <v>2062.5160293037584</v>
      </c>
      <c r="BO69" s="289">
        <f t="shared" si="90"/>
        <v>2040.132699312685</v>
      </c>
      <c r="BP69" s="289">
        <f t="shared" si="90"/>
        <v>2010.3786465942555</v>
      </c>
      <c r="BQ69" s="289">
        <f t="shared" si="90"/>
        <v>1979.1981227931371</v>
      </c>
      <c r="BR69" s="289">
        <f t="shared" si="90"/>
        <v>1994.3264419625475</v>
      </c>
      <c r="BS69" s="289">
        <f t="shared" si="90"/>
        <v>1980.6263617883887</v>
      </c>
      <c r="BT69" s="289">
        <f t="shared" si="90"/>
        <v>2003.3394772335248</v>
      </c>
      <c r="BU69" s="289">
        <f t="shared" si="90"/>
        <v>1971.5591343834099</v>
      </c>
      <c r="BV69" s="285"/>
      <c r="BW69" s="289">
        <f t="shared" ref="BW69:CK69" si="91">SUM(BW60:BW68)</f>
        <v>8154.0642152060973</v>
      </c>
      <c r="BX69" s="289">
        <f t="shared" si="91"/>
        <v>17589.061273352341</v>
      </c>
      <c r="BY69" s="289">
        <f t="shared" si="91"/>
        <v>24152.094249785801</v>
      </c>
      <c r="BZ69" s="289">
        <f t="shared" si="91"/>
        <v>24286.776146363252</v>
      </c>
      <c r="CA69" s="289">
        <f t="shared" si="91"/>
        <v>24649.080389257142</v>
      </c>
      <c r="CB69" s="289">
        <f t="shared" si="91"/>
        <v>25635.043604827431</v>
      </c>
      <c r="CC69" s="289">
        <f t="shared" si="91"/>
        <v>26660.445349020534</v>
      </c>
      <c r="CD69" s="289">
        <f t="shared" si="91"/>
        <v>27726.863162981357</v>
      </c>
      <c r="CE69" s="289">
        <f t="shared" si="91"/>
        <v>28835.937689500599</v>
      </c>
      <c r="CF69" s="289">
        <f t="shared" si="91"/>
        <v>29989.375197080626</v>
      </c>
      <c r="CG69" s="289">
        <f t="shared" si="91"/>
        <v>31188.950204963854</v>
      </c>
      <c r="CH69" s="289">
        <f t="shared" si="91"/>
        <v>32436.5082131624</v>
      </c>
      <c r="CI69" s="289">
        <f t="shared" si="91"/>
        <v>33733.968541688897</v>
      </c>
      <c r="CJ69" s="289">
        <f t="shared" si="91"/>
        <v>35083.32728335647</v>
      </c>
      <c r="CK69" s="289">
        <f t="shared" si="91"/>
        <v>36486.66037469072</v>
      </c>
      <c r="CL69" s="285"/>
      <c r="CM69" s="285"/>
      <c r="CN69" s="285"/>
      <c r="CO69" s="285"/>
      <c r="CP69" s="285"/>
      <c r="CQ69" s="285"/>
      <c r="CR69" s="285"/>
      <c r="CS69" s="285"/>
      <c r="CT69" s="285"/>
      <c r="CU69" s="285"/>
      <c r="CV69" s="285"/>
      <c r="CW69" s="285"/>
      <c r="CX69" s="285"/>
      <c r="CY69" s="285"/>
      <c r="CZ69" s="285"/>
      <c r="DA69" s="285"/>
      <c r="DB69" s="285"/>
      <c r="DC69" s="285"/>
      <c r="DD69" s="285"/>
      <c r="DE69" s="285"/>
    </row>
    <row r="70" spans="1:109" ht="8.25" customHeight="1" x14ac:dyDescent="0.2">
      <c r="A70" s="11">
        <f t="shared" si="58"/>
        <v>0</v>
      </c>
      <c r="B70" s="249"/>
      <c r="D70" s="249"/>
      <c r="E70" s="3"/>
      <c r="F70" s="249"/>
      <c r="I70" s="1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3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3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3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3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</row>
    <row r="71" spans="1:109" ht="14.25" customHeight="1" x14ac:dyDescent="0.2">
      <c r="A71" s="11">
        <f t="shared" si="58"/>
        <v>0</v>
      </c>
      <c r="B71" s="56"/>
      <c r="F71" s="3" t="s">
        <v>216</v>
      </c>
      <c r="G71" s="3"/>
      <c r="I71" s="1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3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3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3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3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</row>
    <row r="72" spans="1:109" ht="14.25" customHeight="1" x14ac:dyDescent="0.2">
      <c r="A72" s="11">
        <f t="shared" si="58"/>
        <v>0</v>
      </c>
      <c r="B72" s="56">
        <f t="shared" ref="B72:B76" si="92">F72</f>
        <v>4920</v>
      </c>
      <c r="D72" s="56"/>
      <c r="F72" s="56">
        <v>4920</v>
      </c>
      <c r="G72" s="11" t="s">
        <v>350</v>
      </c>
      <c r="H72" s="75">
        <f>12*Inputs!$C$41</f>
        <v>6</v>
      </c>
      <c r="I72" s="1"/>
      <c r="J72" s="29">
        <f t="shared" ref="J72:BU72" si="93">$H72*J$49</f>
        <v>67.166322154245478</v>
      </c>
      <c r="K72" s="29">
        <f t="shared" si="93"/>
        <v>133.52236258125572</v>
      </c>
      <c r="L72" s="29">
        <f t="shared" si="93"/>
        <v>224.98288278154527</v>
      </c>
      <c r="M72" s="29">
        <f t="shared" si="93"/>
        <v>317.91836961102126</v>
      </c>
      <c r="N72" s="29">
        <f t="shared" si="93"/>
        <v>460.43079982179444</v>
      </c>
      <c r="O72" s="29">
        <f t="shared" si="93"/>
        <v>578.07640248951941</v>
      </c>
      <c r="P72" s="29">
        <f t="shared" si="93"/>
        <v>680.92996826432545</v>
      </c>
      <c r="Q72" s="29">
        <f t="shared" si="93"/>
        <v>758.57956936858545</v>
      </c>
      <c r="R72" s="29">
        <f t="shared" si="93"/>
        <v>827.1449362055854</v>
      </c>
      <c r="S72" s="29">
        <f t="shared" si="93"/>
        <v>896.5881029419179</v>
      </c>
      <c r="T72" s="29">
        <f t="shared" si="93"/>
        <v>961.37030889353696</v>
      </c>
      <c r="U72" s="239">
        <f t="shared" si="93"/>
        <v>1015.7399999999994</v>
      </c>
      <c r="V72" s="29">
        <f t="shared" si="93"/>
        <v>1086.9770083454114</v>
      </c>
      <c r="W72" s="29">
        <f t="shared" si="93"/>
        <v>1157.3546269801193</v>
      </c>
      <c r="X72" s="29">
        <f t="shared" si="93"/>
        <v>1254.3582090107293</v>
      </c>
      <c r="Y72" s="29">
        <f t="shared" si="93"/>
        <v>1352.9261495874464</v>
      </c>
      <c r="Z72" s="29">
        <f t="shared" si="93"/>
        <v>1504.0756967806908</v>
      </c>
      <c r="AA72" s="29">
        <f t="shared" si="93"/>
        <v>1628.8513359737324</v>
      </c>
      <c r="AB72" s="29">
        <f t="shared" si="93"/>
        <v>1737.9384511894355</v>
      </c>
      <c r="AC72" s="29">
        <f t="shared" si="93"/>
        <v>1820.2940887242569</v>
      </c>
      <c r="AD72" s="29">
        <f t="shared" si="93"/>
        <v>1893.0149323392568</v>
      </c>
      <c r="AE72" s="29">
        <f t="shared" si="93"/>
        <v>1966.6667758474885</v>
      </c>
      <c r="AF72" s="29">
        <f t="shared" si="93"/>
        <v>2035.3751760992056</v>
      </c>
      <c r="AG72" s="239">
        <f t="shared" si="93"/>
        <v>2093.0399999999991</v>
      </c>
      <c r="AH72" s="29">
        <f t="shared" si="93"/>
        <v>2141.888234293996</v>
      </c>
      <c r="AI72" s="29">
        <f t="shared" si="93"/>
        <v>2190.1471727863673</v>
      </c>
      <c r="AJ72" s="29">
        <f t="shared" si="93"/>
        <v>2256.6639147502137</v>
      </c>
      <c r="AK72" s="29">
        <f t="shared" si="93"/>
        <v>2324.2533597171059</v>
      </c>
      <c r="AL72" s="29">
        <f t="shared" si="93"/>
        <v>2427.8987635067592</v>
      </c>
      <c r="AM72" s="29">
        <f t="shared" si="93"/>
        <v>2513.4592018105591</v>
      </c>
      <c r="AN72" s="29">
        <f t="shared" si="93"/>
        <v>2588.2617951013272</v>
      </c>
      <c r="AO72" s="29">
        <f t="shared" si="93"/>
        <v>2644.7342322680615</v>
      </c>
      <c r="AP72" s="29">
        <f t="shared" si="93"/>
        <v>2694.5999536040617</v>
      </c>
      <c r="AQ72" s="29">
        <f t="shared" si="93"/>
        <v>2745.1040748668493</v>
      </c>
      <c r="AR72" s="29">
        <f t="shared" si="93"/>
        <v>2792.2184064680268</v>
      </c>
      <c r="AS72" s="239">
        <f t="shared" si="93"/>
        <v>2831.7599999999993</v>
      </c>
      <c r="AT72" s="29">
        <f t="shared" si="93"/>
        <v>2793.7980000000007</v>
      </c>
      <c r="AU72" s="29">
        <f t="shared" si="93"/>
        <v>2793.7980000000007</v>
      </c>
      <c r="AV72" s="29">
        <f t="shared" si="93"/>
        <v>2803.0320000000006</v>
      </c>
      <c r="AW72" s="29">
        <f t="shared" si="93"/>
        <v>2818.4220000000005</v>
      </c>
      <c r="AX72" s="29">
        <f t="shared" si="93"/>
        <v>2858.4360000000006</v>
      </c>
      <c r="AY72" s="29">
        <f t="shared" si="93"/>
        <v>2883.0600000000004</v>
      </c>
      <c r="AZ72" s="29">
        <f t="shared" si="93"/>
        <v>2889.2160000000003</v>
      </c>
      <c r="BA72" s="29">
        <f t="shared" si="93"/>
        <v>2864.5920000000006</v>
      </c>
      <c r="BB72" s="29">
        <f t="shared" si="93"/>
        <v>2846.1240000000003</v>
      </c>
      <c r="BC72" s="29">
        <f t="shared" si="93"/>
        <v>2827.6560000000004</v>
      </c>
      <c r="BD72" s="29">
        <f t="shared" si="93"/>
        <v>2809.188000000001</v>
      </c>
      <c r="BE72" s="239">
        <f t="shared" si="93"/>
        <v>2793.7980000000007</v>
      </c>
      <c r="BF72" s="29">
        <f t="shared" si="93"/>
        <v>2793.7980000000011</v>
      </c>
      <c r="BG72" s="29">
        <f t="shared" si="93"/>
        <v>2793.7980000000011</v>
      </c>
      <c r="BH72" s="29">
        <f t="shared" si="93"/>
        <v>2803.0320000000011</v>
      </c>
      <c r="BI72" s="29">
        <f t="shared" si="93"/>
        <v>2818.4220000000009</v>
      </c>
      <c r="BJ72" s="29">
        <f t="shared" si="93"/>
        <v>2858.4360000000006</v>
      </c>
      <c r="BK72" s="29">
        <f t="shared" si="93"/>
        <v>2883.0600000000009</v>
      </c>
      <c r="BL72" s="29">
        <f t="shared" si="93"/>
        <v>2889.2160000000003</v>
      </c>
      <c r="BM72" s="29">
        <f t="shared" si="93"/>
        <v>2864.5920000000006</v>
      </c>
      <c r="BN72" s="29">
        <f t="shared" si="93"/>
        <v>2846.1240000000007</v>
      </c>
      <c r="BO72" s="29">
        <f t="shared" si="93"/>
        <v>2827.6560000000009</v>
      </c>
      <c r="BP72" s="29">
        <f t="shared" si="93"/>
        <v>2809.188000000001</v>
      </c>
      <c r="BQ72" s="29">
        <f t="shared" si="93"/>
        <v>2793.7980000000007</v>
      </c>
      <c r="BR72" s="29">
        <f t="shared" si="93"/>
        <v>2793.7980000000007</v>
      </c>
      <c r="BS72" s="29">
        <f t="shared" si="93"/>
        <v>2793.7980000000007</v>
      </c>
      <c r="BT72" s="29">
        <f t="shared" si="93"/>
        <v>2803.0320000000011</v>
      </c>
      <c r="BU72" s="29">
        <f t="shared" si="93"/>
        <v>2818.4220000000014</v>
      </c>
      <c r="BW72" s="29">
        <f t="shared" ref="BW72:CA72" si="94">SUMIF($J$6:$BU$6,BW$9,$J72:$BU72)</f>
        <v>6922.4500251133331</v>
      </c>
      <c r="BX72" s="29">
        <f t="shared" si="94"/>
        <v>19530.872450877774</v>
      </c>
      <c r="BY72" s="29">
        <f t="shared" si="94"/>
        <v>30150.989109173323</v>
      </c>
      <c r="BZ72" s="29">
        <f t="shared" si="94"/>
        <v>33981.12000000001</v>
      </c>
      <c r="CA72" s="29">
        <f t="shared" si="94"/>
        <v>33981.12000000001</v>
      </c>
      <c r="CB72" s="29">
        <f>CA72*(1+Inputs!$C$34)</f>
        <v>35340.36480000001</v>
      </c>
      <c r="CC72" s="29">
        <f>CB72*(1+Inputs!$C$34)</f>
        <v>36753.979392000008</v>
      </c>
      <c r="CD72" s="29">
        <f>CC72*(1+Inputs!$C$34)</f>
        <v>38224.138567680013</v>
      </c>
      <c r="CE72" s="29">
        <f>CD72*(1+Inputs!$C$34)</f>
        <v>39753.104110387212</v>
      </c>
      <c r="CF72" s="29">
        <f>CE72*(1+Inputs!$C$34)</f>
        <v>41343.228274802699</v>
      </c>
      <c r="CG72" s="29">
        <f>CF72*(1+Inputs!$C$34)</f>
        <v>42996.957405794812</v>
      </c>
      <c r="CH72" s="29">
        <f>CG72*(1+Inputs!$C$34)</f>
        <v>44716.835702026605</v>
      </c>
      <c r="CI72" s="29">
        <f>CH72*(1+Inputs!$C$34)</f>
        <v>46505.509130107668</v>
      </c>
      <c r="CJ72" s="29">
        <f>CI72*(1+Inputs!$C$34)</f>
        <v>48365.729495311978</v>
      </c>
      <c r="CK72" s="29">
        <f>CJ72*(1+Inputs!$C$34)</f>
        <v>50300.358675124458</v>
      </c>
    </row>
    <row r="73" spans="1:109" ht="14.25" customHeight="1" x14ac:dyDescent="0.2">
      <c r="A73" s="11">
        <f t="shared" si="58"/>
        <v>0</v>
      </c>
      <c r="B73" s="56">
        <f t="shared" si="92"/>
        <v>4940</v>
      </c>
      <c r="D73" s="56"/>
      <c r="F73" s="56">
        <v>4940</v>
      </c>
      <c r="G73" s="11" t="s">
        <v>222</v>
      </c>
      <c r="H73" s="35">
        <f>VLOOKUP($F73,Inputs!$E:$J,6,FALSE)</f>
        <v>0</v>
      </c>
      <c r="I73" s="1"/>
      <c r="J73" s="29">
        <f>$H73*(1+Inputs!$C$35)^(J$7-1)</f>
        <v>0</v>
      </c>
      <c r="K73" s="29">
        <f>$H73*(1+Inputs!$C$35)^(K$7-1)</f>
        <v>0</v>
      </c>
      <c r="L73" s="29">
        <f>$H73*(1+Inputs!$C$35)^(L$7-1)</f>
        <v>0</v>
      </c>
      <c r="M73" s="29">
        <f>$H73*(1+Inputs!$C$35)^(M$7-1)</f>
        <v>0</v>
      </c>
      <c r="N73" s="29">
        <f>$H73*(1+Inputs!$C$35)^(N$7-1)</f>
        <v>0</v>
      </c>
      <c r="O73" s="29">
        <f>$H73*(1+Inputs!$C$35)^(O$7-1)</f>
        <v>0</v>
      </c>
      <c r="P73" s="29">
        <f>$H73*(1+Inputs!$C$35)^(P$7-1)</f>
        <v>0</v>
      </c>
      <c r="Q73" s="29">
        <f>$H73*(1+Inputs!$C$35)^(Q$7-1)</f>
        <v>0</v>
      </c>
      <c r="R73" s="29">
        <f>$H73*(1+Inputs!$C$35)^(R$7-1)</f>
        <v>0</v>
      </c>
      <c r="S73" s="29">
        <f>$H73*(1+Inputs!$C$35)^(S$7-1)</f>
        <v>0</v>
      </c>
      <c r="T73" s="29">
        <f>$H73*(1+Inputs!$C$35)^(T$7-1)</f>
        <v>0</v>
      </c>
      <c r="U73" s="239">
        <f>$H73*(1+Inputs!$C$35)^(U$7-1)</f>
        <v>0</v>
      </c>
      <c r="V73" s="29">
        <f>$H73*(1+Inputs!$C$35)^(V$7-1)</f>
        <v>0</v>
      </c>
      <c r="W73" s="29">
        <f>$H73*(1+Inputs!$C$35)^(W$7-1)</f>
        <v>0</v>
      </c>
      <c r="X73" s="29">
        <f>$H73*(1+Inputs!$C$35)^(X$7-1)</f>
        <v>0</v>
      </c>
      <c r="Y73" s="29">
        <f>$H73*(1+Inputs!$C$35)^(Y$7-1)</f>
        <v>0</v>
      </c>
      <c r="Z73" s="29">
        <f>$H73*(1+Inputs!$C$35)^(Z$7-1)</f>
        <v>0</v>
      </c>
      <c r="AA73" s="29">
        <f>$H73*(1+Inputs!$C$35)^(AA$7-1)</f>
        <v>0</v>
      </c>
      <c r="AB73" s="29">
        <f>$H73*(1+Inputs!$C$35)^(AB$7-1)</f>
        <v>0</v>
      </c>
      <c r="AC73" s="29">
        <f>$H73*(1+Inputs!$C$35)^(AC$7-1)</f>
        <v>0</v>
      </c>
      <c r="AD73" s="29">
        <f>$H73*(1+Inputs!$C$35)^(AD$7-1)</f>
        <v>0</v>
      </c>
      <c r="AE73" s="29">
        <f>$H73*(1+Inputs!$C$35)^(AE$7-1)</f>
        <v>0</v>
      </c>
      <c r="AF73" s="29">
        <f>$H73*(1+Inputs!$C$35)^(AF$7-1)</f>
        <v>0</v>
      </c>
      <c r="AG73" s="239">
        <f>$H73*(1+Inputs!$C$35)^(AG$7-1)</f>
        <v>0</v>
      </c>
      <c r="AH73" s="29">
        <f>$H73*(1+Inputs!$C$35)^(AH$7-1)</f>
        <v>0</v>
      </c>
      <c r="AI73" s="29">
        <f>$H73*(1+Inputs!$C$35)^(AI$7-1)</f>
        <v>0</v>
      </c>
      <c r="AJ73" s="29">
        <f>$H73*(1+Inputs!$C$35)^(AJ$7-1)</f>
        <v>0</v>
      </c>
      <c r="AK73" s="29">
        <f>$H73*(1+Inputs!$C$35)^(AK$7-1)</f>
        <v>0</v>
      </c>
      <c r="AL73" s="29">
        <f>$H73*(1+Inputs!$C$35)^(AL$7-1)</f>
        <v>0</v>
      </c>
      <c r="AM73" s="29">
        <f>$H73*(1+Inputs!$C$35)^(AM$7-1)</f>
        <v>0</v>
      </c>
      <c r="AN73" s="29">
        <f>$H73*(1+Inputs!$C$35)^(AN$7-1)</f>
        <v>0</v>
      </c>
      <c r="AO73" s="29">
        <f>$H73*(1+Inputs!$C$35)^(AO$7-1)</f>
        <v>0</v>
      </c>
      <c r="AP73" s="29">
        <f>$H73*(1+Inputs!$C$35)^(AP$7-1)</f>
        <v>0</v>
      </c>
      <c r="AQ73" s="29">
        <f>$H73*(1+Inputs!$C$35)^(AQ$7-1)</f>
        <v>0</v>
      </c>
      <c r="AR73" s="29">
        <f>$H73*(1+Inputs!$C$35)^(AR$7-1)</f>
        <v>0</v>
      </c>
      <c r="AS73" s="239">
        <f>$H73*(1+Inputs!$C$35)^(AS$7-1)</f>
        <v>0</v>
      </c>
      <c r="AT73" s="29">
        <f>$H73*(1+Inputs!$C$35)^(AT$7-1)</f>
        <v>0</v>
      </c>
      <c r="AU73" s="29">
        <f>$H73*(1+Inputs!$C$35)^(AU$7-1)</f>
        <v>0</v>
      </c>
      <c r="AV73" s="29">
        <f>$H73*(1+Inputs!$C$35)^(AV$7-1)</f>
        <v>0</v>
      </c>
      <c r="AW73" s="29">
        <f>$H73*(1+Inputs!$C$35)^(AW$7-1)</f>
        <v>0</v>
      </c>
      <c r="AX73" s="29">
        <f>$H73*(1+Inputs!$C$35)^(AX$7-1)</f>
        <v>0</v>
      </c>
      <c r="AY73" s="29">
        <f>$H73*(1+Inputs!$C$35)^(AY$7-1)</f>
        <v>0</v>
      </c>
      <c r="AZ73" s="29">
        <f>$H73*(1+Inputs!$C$35)^(AZ$7-1)</f>
        <v>0</v>
      </c>
      <c r="BA73" s="29">
        <f>$H73*(1+Inputs!$C$35)^(BA$7-1)</f>
        <v>0</v>
      </c>
      <c r="BB73" s="29">
        <f>$H73*(1+Inputs!$C$35)^(BB$7-1)</f>
        <v>0</v>
      </c>
      <c r="BC73" s="29">
        <f>$H73*(1+Inputs!$C$35)^(BC$7-1)</f>
        <v>0</v>
      </c>
      <c r="BD73" s="29">
        <f>$H73*(1+Inputs!$C$35)^(BD$7-1)</f>
        <v>0</v>
      </c>
      <c r="BE73" s="239">
        <f>$H73*(1+Inputs!$C$35)^(BE$7-1)</f>
        <v>0</v>
      </c>
      <c r="BF73" s="29">
        <f>$H73*(1+Inputs!$C$35)^(BF$7-1)</f>
        <v>0</v>
      </c>
      <c r="BG73" s="29">
        <f>$H73*(1+Inputs!$C$35)^(BG$7-1)</f>
        <v>0</v>
      </c>
      <c r="BH73" s="29">
        <f>$H73*(1+Inputs!$C$35)^(BH$7-1)</f>
        <v>0</v>
      </c>
      <c r="BI73" s="29">
        <f>$H73*(1+Inputs!$C$35)^(BI$7-1)</f>
        <v>0</v>
      </c>
      <c r="BJ73" s="29">
        <f>$H73*(1+Inputs!$C$35)^(BJ$7-1)</f>
        <v>0</v>
      </c>
      <c r="BK73" s="29">
        <f>$H73*(1+Inputs!$C$35)^(BK$7-1)</f>
        <v>0</v>
      </c>
      <c r="BL73" s="29">
        <f>$H73*(1+Inputs!$C$35)^(BL$7-1)</f>
        <v>0</v>
      </c>
      <c r="BM73" s="29">
        <f>$H73*(1+Inputs!$C$35)^(BM$7-1)</f>
        <v>0</v>
      </c>
      <c r="BN73" s="29">
        <f>$H73*(1+Inputs!$C$35)^(BN$7-1)</f>
        <v>0</v>
      </c>
      <c r="BO73" s="29">
        <f>$H73*(1+Inputs!$C$35)^(BO$7-1)</f>
        <v>0</v>
      </c>
      <c r="BP73" s="29">
        <f>$H73*(1+Inputs!$C$35)^(BP$7-1)</f>
        <v>0</v>
      </c>
      <c r="BQ73" s="29">
        <f>$H73*(1+Inputs!$C$35)^(BQ$7-1)</f>
        <v>0</v>
      </c>
      <c r="BR73" s="29">
        <f>$H73*(1+Inputs!$C$35)^(BR$7-1)</f>
        <v>0</v>
      </c>
      <c r="BS73" s="29">
        <f>$H73*(1+Inputs!$C$35)^(BS$7-1)</f>
        <v>0</v>
      </c>
      <c r="BT73" s="29">
        <f>$H73*(1+Inputs!$C$35)^(BT$7-1)</f>
        <v>0</v>
      </c>
      <c r="BU73" s="29">
        <f>$H73*(1+Inputs!$C$35)^(BU$7-1)</f>
        <v>0</v>
      </c>
      <c r="BW73" s="29">
        <f t="shared" ref="BW73:CA73" si="95">SUMIF($J$6:$BU$6,BW$9,$J73:$BU73)</f>
        <v>0</v>
      </c>
      <c r="BX73" s="29">
        <f t="shared" si="95"/>
        <v>0</v>
      </c>
      <c r="BY73" s="29">
        <f t="shared" si="95"/>
        <v>0</v>
      </c>
      <c r="BZ73" s="29">
        <f t="shared" si="95"/>
        <v>0</v>
      </c>
      <c r="CA73" s="29">
        <f t="shared" si="95"/>
        <v>0</v>
      </c>
      <c r="CB73" s="29">
        <f>CA73*(1+Inputs!$C$34)</f>
        <v>0</v>
      </c>
      <c r="CC73" s="29">
        <f>CB73*(1+Inputs!$C$34)</f>
        <v>0</v>
      </c>
      <c r="CD73" s="29">
        <f>CC73*(1+Inputs!$C$34)</f>
        <v>0</v>
      </c>
      <c r="CE73" s="29">
        <f>CD73*(1+Inputs!$C$34)</f>
        <v>0</v>
      </c>
      <c r="CF73" s="29">
        <f>CE73*(1+Inputs!$C$34)</f>
        <v>0</v>
      </c>
      <c r="CG73" s="29">
        <f>CF73*(1+Inputs!$C$34)</f>
        <v>0</v>
      </c>
      <c r="CH73" s="29">
        <f>CG73*(1+Inputs!$C$34)</f>
        <v>0</v>
      </c>
      <c r="CI73" s="29">
        <f>CH73*(1+Inputs!$C$34)</f>
        <v>0</v>
      </c>
      <c r="CJ73" s="29">
        <f>CI73*(1+Inputs!$C$34)</f>
        <v>0</v>
      </c>
      <c r="CK73" s="29">
        <f>CJ73*(1+Inputs!$C$34)</f>
        <v>0</v>
      </c>
    </row>
    <row r="74" spans="1:109" ht="14.25" customHeight="1" x14ac:dyDescent="0.2">
      <c r="A74" s="11">
        <f t="shared" si="58"/>
        <v>0</v>
      </c>
      <c r="B74" s="56">
        <f t="shared" si="92"/>
        <v>4961</v>
      </c>
      <c r="D74" s="56"/>
      <c r="F74" s="56">
        <v>4961</v>
      </c>
      <c r="G74" s="11" t="s">
        <v>351</v>
      </c>
      <c r="H74" s="35">
        <f>VLOOKUP($F74,Inputs!$E:$J,6,FALSE)</f>
        <v>2.5</v>
      </c>
      <c r="I74" s="1"/>
      <c r="J74" s="29">
        <f t="shared" ref="J74:BU74" si="96">$H74*J$18</f>
        <v>37.314623419025274</v>
      </c>
      <c r="K74" s="29">
        <f t="shared" si="96"/>
        <v>36.864466903894588</v>
      </c>
      <c r="L74" s="29">
        <f t="shared" si="96"/>
        <v>54.52563155036691</v>
      </c>
      <c r="M74" s="29">
        <f t="shared" si="96"/>
        <v>59.709823057273312</v>
      </c>
      <c r="N74" s="29">
        <f t="shared" si="96"/>
        <v>91.774624474180825</v>
      </c>
      <c r="O74" s="29">
        <f t="shared" si="96"/>
        <v>85.731373566572117</v>
      </c>
      <c r="P74" s="29">
        <f t="shared" si="96"/>
        <v>84.583000179777756</v>
      </c>
      <c r="Q74" s="29">
        <f t="shared" si="96"/>
        <v>80.583585474166625</v>
      </c>
      <c r="R74" s="29">
        <f t="shared" si="96"/>
        <v>76.150771925608041</v>
      </c>
      <c r="S74" s="29">
        <f t="shared" si="96"/>
        <v>77.963323722112406</v>
      </c>
      <c r="T74" s="29">
        <f t="shared" si="96"/>
        <v>76.833471873032252</v>
      </c>
      <c r="U74" s="239">
        <f t="shared" si="96"/>
        <v>71.895883992572806</v>
      </c>
      <c r="V74" s="29">
        <f t="shared" si="96"/>
        <v>80.91661550863023</v>
      </c>
      <c r="W74" s="29">
        <f t="shared" si="96"/>
        <v>81.010902729962183</v>
      </c>
      <c r="X74" s="29">
        <f t="shared" si="96"/>
        <v>102.35321892603812</v>
      </c>
      <c r="Y74" s="29">
        <f t="shared" si="96"/>
        <v>105.41004955334878</v>
      </c>
      <c r="Z74" s="29">
        <f t="shared" si="96"/>
        <v>138.80060976386707</v>
      </c>
      <c r="AA74" s="29">
        <f t="shared" si="96"/>
        <v>132.40595093693139</v>
      </c>
      <c r="AB74" s="29">
        <f t="shared" si="96"/>
        <v>131.06785386598227</v>
      </c>
      <c r="AC74" s="29">
        <f t="shared" si="96"/>
        <v>129.69256078030813</v>
      </c>
      <c r="AD74" s="29">
        <f t="shared" si="96"/>
        <v>121.90616063938998</v>
      </c>
      <c r="AE74" s="29">
        <f t="shared" si="96"/>
        <v>122.67768884489946</v>
      </c>
      <c r="AF74" s="29">
        <f t="shared" si="96"/>
        <v>119.62612461614987</v>
      </c>
      <c r="AG74" s="239">
        <f t="shared" si="96"/>
        <v>113.24813391627063</v>
      </c>
      <c r="AH74" s="29">
        <f t="shared" si="96"/>
        <v>103.99454095544735</v>
      </c>
      <c r="AI74" s="29">
        <f t="shared" si="96"/>
        <v>100.67190271570428</v>
      </c>
      <c r="AJ74" s="29">
        <f t="shared" si="96"/>
        <v>118.93763895534994</v>
      </c>
      <c r="AK74" s="29">
        <f t="shared" si="96"/>
        <v>118.63519160419534</v>
      </c>
      <c r="AL74" s="29">
        <f t="shared" si="96"/>
        <v>141.4532224586396</v>
      </c>
      <c r="AM74" s="29">
        <f t="shared" si="96"/>
        <v>137.94983813042512</v>
      </c>
      <c r="AN74" s="29">
        <f t="shared" si="96"/>
        <v>138.1605487052494</v>
      </c>
      <c r="AO74" s="29">
        <f t="shared" si="96"/>
        <v>141.21572990985359</v>
      </c>
      <c r="AP74" s="29">
        <f t="shared" si="96"/>
        <v>132.61425378523063</v>
      </c>
      <c r="AQ74" s="29">
        <f t="shared" si="96"/>
        <v>131.98502541967986</v>
      </c>
      <c r="AR74" s="29">
        <f t="shared" si="96"/>
        <v>128.0998737638775</v>
      </c>
      <c r="AS74" s="239">
        <f t="shared" si="96"/>
        <v>121.77644018047175</v>
      </c>
      <c r="AT74" s="29">
        <f t="shared" si="96"/>
        <v>73.927877195575576</v>
      </c>
      <c r="AU74" s="29">
        <f t="shared" si="96"/>
        <v>86.758049063768794</v>
      </c>
      <c r="AV74" s="29">
        <f t="shared" si="96"/>
        <v>98.719790205685428</v>
      </c>
      <c r="AW74" s="29">
        <f t="shared" si="96"/>
        <v>97.371911351970283</v>
      </c>
      <c r="AX74" s="29">
        <f t="shared" si="96"/>
        <v>112.49367748812898</v>
      </c>
      <c r="AY74" s="29">
        <f t="shared" si="96"/>
        <v>108.34679299085884</v>
      </c>
      <c r="AZ74" s="29">
        <f t="shared" si="96"/>
        <v>102.10978048626801</v>
      </c>
      <c r="BA74" s="29">
        <f t="shared" si="96"/>
        <v>94.175294504199655</v>
      </c>
      <c r="BB74" s="29">
        <f t="shared" si="96"/>
        <v>89.091894547832879</v>
      </c>
      <c r="BC74" s="29">
        <f t="shared" si="96"/>
        <v>85.774003066334132</v>
      </c>
      <c r="BD74" s="29">
        <f t="shared" si="96"/>
        <v>81.40745309169327</v>
      </c>
      <c r="BE74" s="239">
        <f t="shared" si="96"/>
        <v>78.073182607816548</v>
      </c>
      <c r="BF74" s="29">
        <f t="shared" si="96"/>
        <v>82.182987097193774</v>
      </c>
      <c r="BG74" s="29">
        <f t="shared" si="96"/>
        <v>77.528711675818897</v>
      </c>
      <c r="BH74" s="29">
        <f t="shared" si="96"/>
        <v>87.978403396827616</v>
      </c>
      <c r="BI74" s="29">
        <f t="shared" si="96"/>
        <v>86.888221954503308</v>
      </c>
      <c r="BJ74" s="29">
        <f t="shared" si="96"/>
        <v>103.55379440945592</v>
      </c>
      <c r="BK74" s="29">
        <f t="shared" si="96"/>
        <v>101.08380673831427</v>
      </c>
      <c r="BL74" s="29">
        <f t="shared" si="96"/>
        <v>95.778344770869325</v>
      </c>
      <c r="BM74" s="29">
        <f t="shared" si="96"/>
        <v>87.908247782076643</v>
      </c>
      <c r="BN74" s="29">
        <f t="shared" si="96"/>
        <v>83.539839436250872</v>
      </c>
      <c r="BO74" s="29">
        <f t="shared" si="96"/>
        <v>80.63298210590392</v>
      </c>
      <c r="BP74" s="29">
        <f t="shared" si="96"/>
        <v>76.917975152130552</v>
      </c>
      <c r="BQ74" s="29">
        <f t="shared" si="96"/>
        <v>72.546785215769617</v>
      </c>
      <c r="BR74" s="29">
        <f t="shared" si="96"/>
        <v>76.335071722811776</v>
      </c>
      <c r="BS74" s="29">
        <f t="shared" si="96"/>
        <v>73.745608208940823</v>
      </c>
      <c r="BT74" s="29">
        <f t="shared" si="96"/>
        <v>76.191754771732676</v>
      </c>
      <c r="BU74" s="29">
        <f t="shared" si="96"/>
        <v>68.507443345995299</v>
      </c>
      <c r="BW74" s="29">
        <f t="shared" ref="BW74:CA74" si="97">SUMIF($J$6:$BU$6,BW$9,$J74:$BU74)</f>
        <v>833.93058013858285</v>
      </c>
      <c r="BX74" s="29">
        <f t="shared" si="97"/>
        <v>1379.1158700817782</v>
      </c>
      <c r="BY74" s="29">
        <f t="shared" si="97"/>
        <v>1515.4942065841244</v>
      </c>
      <c r="BZ74" s="29">
        <f t="shared" si="97"/>
        <v>1108.2497066001324</v>
      </c>
      <c r="CA74" s="29">
        <f t="shared" si="97"/>
        <v>1036.5400997351146</v>
      </c>
      <c r="CB74" s="29">
        <f>CA74*(1+Inputs!$C$34)</f>
        <v>1078.0017037245193</v>
      </c>
      <c r="CC74" s="29">
        <f>CB74*(1+Inputs!$C$34)</f>
        <v>1121.1217718735002</v>
      </c>
      <c r="CD74" s="29">
        <f>CC74*(1+Inputs!$C$34)</f>
        <v>1165.9666427484401</v>
      </c>
      <c r="CE74" s="29">
        <f>CD74*(1+Inputs!$C$34)</f>
        <v>1212.6053084583777</v>
      </c>
      <c r="CF74" s="29">
        <f>CE74*(1+Inputs!$C$34)</f>
        <v>1261.109520796713</v>
      </c>
      <c r="CG74" s="29">
        <f>CF74*(1+Inputs!$C$34)</f>
        <v>1311.5539016285816</v>
      </c>
      <c r="CH74" s="29">
        <f>CG74*(1+Inputs!$C$34)</f>
        <v>1364.0160576937249</v>
      </c>
      <c r="CI74" s="29">
        <f>CH74*(1+Inputs!$C$34)</f>
        <v>1418.5767000014739</v>
      </c>
      <c r="CJ74" s="29">
        <f>CI74*(1+Inputs!$C$34)</f>
        <v>1475.319768001533</v>
      </c>
      <c r="CK74" s="29">
        <f>CJ74*(1+Inputs!$C$34)</f>
        <v>1534.3325587215943</v>
      </c>
    </row>
    <row r="75" spans="1:109" ht="14.25" customHeight="1" x14ac:dyDescent="0.2">
      <c r="A75" s="11">
        <f t="shared" si="58"/>
        <v>0</v>
      </c>
      <c r="B75" s="56">
        <f t="shared" si="92"/>
        <v>4962</v>
      </c>
      <c r="D75" s="56"/>
      <c r="F75" s="56">
        <v>4962</v>
      </c>
      <c r="G75" s="11" t="s">
        <v>223</v>
      </c>
      <c r="H75" s="35">
        <f>VLOOKUP($F75,Inputs!$E:$J,6,FALSE)</f>
        <v>0</v>
      </c>
      <c r="I75" s="1"/>
      <c r="J75" s="29">
        <f>$H75*(1+Inputs!$C$35)^(J$7-1)</f>
        <v>0</v>
      </c>
      <c r="K75" s="29">
        <f>$H75*(1+Inputs!$C$35)^(K$7-1)</f>
        <v>0</v>
      </c>
      <c r="L75" s="29">
        <f>$H75*(1+Inputs!$C$35)^(L$7-1)</f>
        <v>0</v>
      </c>
      <c r="M75" s="29">
        <f>$H75*(1+Inputs!$C$35)^(M$7-1)</f>
        <v>0</v>
      </c>
      <c r="N75" s="29">
        <f>$H75*(1+Inputs!$C$35)^(N$7-1)</f>
        <v>0</v>
      </c>
      <c r="O75" s="29">
        <f>$H75*(1+Inputs!$C$35)^(O$7-1)</f>
        <v>0</v>
      </c>
      <c r="P75" s="29">
        <f>$H75*(1+Inputs!$C$35)^(P$7-1)</f>
        <v>0</v>
      </c>
      <c r="Q75" s="29">
        <f>$H75*(1+Inputs!$C$35)^(Q$7-1)</f>
        <v>0</v>
      </c>
      <c r="R75" s="29">
        <f>$H75*(1+Inputs!$C$35)^(R$7-1)</f>
        <v>0</v>
      </c>
      <c r="S75" s="29">
        <f>$H75*(1+Inputs!$C$35)^(S$7-1)</f>
        <v>0</v>
      </c>
      <c r="T75" s="29">
        <f>$H75*(1+Inputs!$C$35)^(T$7-1)</f>
        <v>0</v>
      </c>
      <c r="U75" s="239">
        <f>$H75*(1+Inputs!$C$35)^(U$7-1)</f>
        <v>0</v>
      </c>
      <c r="V75" s="29">
        <f>$H75*(1+Inputs!$C$35)^(V$7-1)</f>
        <v>0</v>
      </c>
      <c r="W75" s="29">
        <f>$H75*(1+Inputs!$C$35)^(W$7-1)</f>
        <v>0</v>
      </c>
      <c r="X75" s="29">
        <f>$H75*(1+Inputs!$C$35)^(X$7-1)</f>
        <v>0</v>
      </c>
      <c r="Y75" s="29">
        <f>$H75*(1+Inputs!$C$35)^(Y$7-1)</f>
        <v>0</v>
      </c>
      <c r="Z75" s="29">
        <f>$H75*(1+Inputs!$C$35)^(Z$7-1)</f>
        <v>0</v>
      </c>
      <c r="AA75" s="29">
        <f>$H75*(1+Inputs!$C$35)^(AA$7-1)</f>
        <v>0</v>
      </c>
      <c r="AB75" s="29">
        <f>$H75*(1+Inputs!$C$35)^(AB$7-1)</f>
        <v>0</v>
      </c>
      <c r="AC75" s="29">
        <f>$H75*(1+Inputs!$C$35)^(AC$7-1)</f>
        <v>0</v>
      </c>
      <c r="AD75" s="29">
        <f>$H75*(1+Inputs!$C$35)^(AD$7-1)</f>
        <v>0</v>
      </c>
      <c r="AE75" s="29">
        <f>$H75*(1+Inputs!$C$35)^(AE$7-1)</f>
        <v>0</v>
      </c>
      <c r="AF75" s="29">
        <f>$H75*(1+Inputs!$C$35)^(AF$7-1)</f>
        <v>0</v>
      </c>
      <c r="AG75" s="239">
        <f>$H75*(1+Inputs!$C$35)^(AG$7-1)</f>
        <v>0</v>
      </c>
      <c r="AH75" s="29">
        <f>$H75*(1+Inputs!$C$35)^(AH$7-1)</f>
        <v>0</v>
      </c>
      <c r="AI75" s="29">
        <f>$H75*(1+Inputs!$C$35)^(AI$7-1)</f>
        <v>0</v>
      </c>
      <c r="AJ75" s="29">
        <f>$H75*(1+Inputs!$C$35)^(AJ$7-1)</f>
        <v>0</v>
      </c>
      <c r="AK75" s="29">
        <f>$H75*(1+Inputs!$C$35)^(AK$7-1)</f>
        <v>0</v>
      </c>
      <c r="AL75" s="29">
        <f>$H75*(1+Inputs!$C$35)^(AL$7-1)</f>
        <v>0</v>
      </c>
      <c r="AM75" s="29">
        <f>$H75*(1+Inputs!$C$35)^(AM$7-1)</f>
        <v>0</v>
      </c>
      <c r="AN75" s="29">
        <f>$H75*(1+Inputs!$C$35)^(AN$7-1)</f>
        <v>0</v>
      </c>
      <c r="AO75" s="29">
        <f>$H75*(1+Inputs!$C$35)^(AO$7-1)</f>
        <v>0</v>
      </c>
      <c r="AP75" s="29">
        <f>$H75*(1+Inputs!$C$35)^(AP$7-1)</f>
        <v>0</v>
      </c>
      <c r="AQ75" s="29">
        <f>$H75*(1+Inputs!$C$35)^(AQ$7-1)</f>
        <v>0</v>
      </c>
      <c r="AR75" s="29">
        <f>$H75*(1+Inputs!$C$35)^(AR$7-1)</f>
        <v>0</v>
      </c>
      <c r="AS75" s="239">
        <f>$H75*(1+Inputs!$C$35)^(AS$7-1)</f>
        <v>0</v>
      </c>
      <c r="AT75" s="29">
        <f>$H75*(1+Inputs!$C$35)^(AT$7-1)</f>
        <v>0</v>
      </c>
      <c r="AU75" s="29">
        <f>$H75*(1+Inputs!$C$35)^(AU$7-1)</f>
        <v>0</v>
      </c>
      <c r="AV75" s="29">
        <f>$H75*(1+Inputs!$C$35)^(AV$7-1)</f>
        <v>0</v>
      </c>
      <c r="AW75" s="29">
        <f>$H75*(1+Inputs!$C$35)^(AW$7-1)</f>
        <v>0</v>
      </c>
      <c r="AX75" s="29">
        <f>$H75*(1+Inputs!$C$35)^(AX$7-1)</f>
        <v>0</v>
      </c>
      <c r="AY75" s="29">
        <f>$H75*(1+Inputs!$C$35)^(AY$7-1)</f>
        <v>0</v>
      </c>
      <c r="AZ75" s="29">
        <f>$H75*(1+Inputs!$C$35)^(AZ$7-1)</f>
        <v>0</v>
      </c>
      <c r="BA75" s="29">
        <f>$H75*(1+Inputs!$C$35)^(BA$7-1)</f>
        <v>0</v>
      </c>
      <c r="BB75" s="29">
        <f>$H75*(1+Inputs!$C$35)^(BB$7-1)</f>
        <v>0</v>
      </c>
      <c r="BC75" s="29">
        <f>$H75*(1+Inputs!$C$35)^(BC$7-1)</f>
        <v>0</v>
      </c>
      <c r="BD75" s="29">
        <f>$H75*(1+Inputs!$C$35)^(BD$7-1)</f>
        <v>0</v>
      </c>
      <c r="BE75" s="239">
        <f>$H75*(1+Inputs!$C$35)^(BE$7-1)</f>
        <v>0</v>
      </c>
      <c r="BF75" s="29">
        <f>$H75*(1+Inputs!$C$35)^(BF$7-1)</f>
        <v>0</v>
      </c>
      <c r="BG75" s="29">
        <f>$H75*(1+Inputs!$C$35)^(BG$7-1)</f>
        <v>0</v>
      </c>
      <c r="BH75" s="29">
        <f>$H75*(1+Inputs!$C$35)^(BH$7-1)</f>
        <v>0</v>
      </c>
      <c r="BI75" s="29">
        <f>$H75*(1+Inputs!$C$35)^(BI$7-1)</f>
        <v>0</v>
      </c>
      <c r="BJ75" s="29">
        <f>$H75*(1+Inputs!$C$35)^(BJ$7-1)</f>
        <v>0</v>
      </c>
      <c r="BK75" s="29">
        <f>$H75*(1+Inputs!$C$35)^(BK$7-1)</f>
        <v>0</v>
      </c>
      <c r="BL75" s="29">
        <f>$H75*(1+Inputs!$C$35)^(BL$7-1)</f>
        <v>0</v>
      </c>
      <c r="BM75" s="29">
        <f>$H75*(1+Inputs!$C$35)^(BM$7-1)</f>
        <v>0</v>
      </c>
      <c r="BN75" s="29">
        <f>$H75*(1+Inputs!$C$35)^(BN$7-1)</f>
        <v>0</v>
      </c>
      <c r="BO75" s="29">
        <f>$H75*(1+Inputs!$C$35)^(BO$7-1)</f>
        <v>0</v>
      </c>
      <c r="BP75" s="29">
        <f>$H75*(1+Inputs!$C$35)^(BP$7-1)</f>
        <v>0</v>
      </c>
      <c r="BQ75" s="29">
        <f>$H75*(1+Inputs!$C$35)^(BQ$7-1)</f>
        <v>0</v>
      </c>
      <c r="BR75" s="29">
        <f>$H75*(1+Inputs!$C$35)^(BR$7-1)</f>
        <v>0</v>
      </c>
      <c r="BS75" s="29">
        <f>$H75*(1+Inputs!$C$35)^(BS$7-1)</f>
        <v>0</v>
      </c>
      <c r="BT75" s="29">
        <f>$H75*(1+Inputs!$C$35)^(BT$7-1)</f>
        <v>0</v>
      </c>
      <c r="BU75" s="29">
        <f>$H75*(1+Inputs!$C$35)^(BU$7-1)</f>
        <v>0</v>
      </c>
      <c r="BW75" s="29">
        <f t="shared" ref="BW75:CA75" si="98">SUMIF($J$6:$BU$6,BW$9,$J75:$BU75)</f>
        <v>0</v>
      </c>
      <c r="BX75" s="29">
        <f t="shared" si="98"/>
        <v>0</v>
      </c>
      <c r="BY75" s="29">
        <f t="shared" si="98"/>
        <v>0</v>
      </c>
      <c r="BZ75" s="29">
        <f t="shared" si="98"/>
        <v>0</v>
      </c>
      <c r="CA75" s="29">
        <f t="shared" si="98"/>
        <v>0</v>
      </c>
      <c r="CB75" s="29">
        <f>CA75*(1+Inputs!$C$34)</f>
        <v>0</v>
      </c>
      <c r="CC75" s="29">
        <f>CB75*(1+Inputs!$C$34)</f>
        <v>0</v>
      </c>
      <c r="CD75" s="29">
        <f>CC75*(1+Inputs!$C$34)</f>
        <v>0</v>
      </c>
      <c r="CE75" s="29">
        <f>CD75*(1+Inputs!$C$34)</f>
        <v>0</v>
      </c>
      <c r="CF75" s="29">
        <f>CE75*(1+Inputs!$C$34)</f>
        <v>0</v>
      </c>
      <c r="CG75" s="29">
        <f>CF75*(1+Inputs!$C$34)</f>
        <v>0</v>
      </c>
      <c r="CH75" s="29">
        <f>CG75*(1+Inputs!$C$34)</f>
        <v>0</v>
      </c>
      <c r="CI75" s="29">
        <f>CH75*(1+Inputs!$C$34)</f>
        <v>0</v>
      </c>
      <c r="CJ75" s="29">
        <f>CI75*(1+Inputs!$C$34)</f>
        <v>0</v>
      </c>
      <c r="CK75" s="29">
        <f>CJ75*(1+Inputs!$C$34)</f>
        <v>0</v>
      </c>
    </row>
    <row r="76" spans="1:109" ht="14.25" customHeight="1" x14ac:dyDescent="0.2">
      <c r="A76" s="11">
        <f t="shared" si="58"/>
        <v>0</v>
      </c>
      <c r="B76" s="56">
        <f t="shared" si="92"/>
        <v>4999</v>
      </c>
      <c r="D76" s="56"/>
      <c r="F76" s="263">
        <v>4999</v>
      </c>
      <c r="G76" s="17" t="s">
        <v>352</v>
      </c>
      <c r="H76" s="17"/>
      <c r="I76" s="236"/>
      <c r="J76" s="237">
        <v>0</v>
      </c>
      <c r="K76" s="237">
        <v>0</v>
      </c>
      <c r="L76" s="237">
        <v>0</v>
      </c>
      <c r="M76" s="237">
        <v>0</v>
      </c>
      <c r="N76" s="237">
        <v>0</v>
      </c>
      <c r="O76" s="237">
        <v>0</v>
      </c>
      <c r="P76" s="237">
        <v>0</v>
      </c>
      <c r="Q76" s="237">
        <v>0</v>
      </c>
      <c r="R76" s="237">
        <v>0</v>
      </c>
      <c r="S76" s="237">
        <v>0</v>
      </c>
      <c r="T76" s="237">
        <v>0</v>
      </c>
      <c r="U76" s="238">
        <v>0</v>
      </c>
      <c r="V76" s="237">
        <v>0</v>
      </c>
      <c r="W76" s="237">
        <v>0</v>
      </c>
      <c r="X76" s="237">
        <v>0</v>
      </c>
      <c r="Y76" s="237">
        <v>0</v>
      </c>
      <c r="Z76" s="237">
        <v>0</v>
      </c>
      <c r="AA76" s="237">
        <v>0</v>
      </c>
      <c r="AB76" s="237">
        <v>0</v>
      </c>
      <c r="AC76" s="237">
        <v>0</v>
      </c>
      <c r="AD76" s="237">
        <v>0</v>
      </c>
      <c r="AE76" s="237">
        <v>0</v>
      </c>
      <c r="AF76" s="237">
        <v>0</v>
      </c>
      <c r="AG76" s="238">
        <v>0</v>
      </c>
      <c r="AH76" s="237">
        <v>0</v>
      </c>
      <c r="AI76" s="237">
        <v>0</v>
      </c>
      <c r="AJ76" s="237">
        <v>0</v>
      </c>
      <c r="AK76" s="237">
        <v>0</v>
      </c>
      <c r="AL76" s="237">
        <v>0</v>
      </c>
      <c r="AM76" s="237">
        <v>0</v>
      </c>
      <c r="AN76" s="237">
        <v>0</v>
      </c>
      <c r="AO76" s="237">
        <v>0</v>
      </c>
      <c r="AP76" s="237">
        <v>0</v>
      </c>
      <c r="AQ76" s="237">
        <v>0</v>
      </c>
      <c r="AR76" s="237">
        <v>0</v>
      </c>
      <c r="AS76" s="238">
        <v>0</v>
      </c>
      <c r="AT76" s="237">
        <v>0</v>
      </c>
      <c r="AU76" s="237">
        <v>0</v>
      </c>
      <c r="AV76" s="237">
        <v>0</v>
      </c>
      <c r="AW76" s="237">
        <v>0</v>
      </c>
      <c r="AX76" s="237">
        <v>0</v>
      </c>
      <c r="AY76" s="237">
        <v>0</v>
      </c>
      <c r="AZ76" s="237">
        <v>0</v>
      </c>
      <c r="BA76" s="237">
        <v>0</v>
      </c>
      <c r="BB76" s="237">
        <v>0</v>
      </c>
      <c r="BC76" s="237">
        <v>0</v>
      </c>
      <c r="BD76" s="237">
        <v>0</v>
      </c>
      <c r="BE76" s="238">
        <v>0</v>
      </c>
      <c r="BF76" s="237">
        <v>0</v>
      </c>
      <c r="BG76" s="237">
        <v>0</v>
      </c>
      <c r="BH76" s="237">
        <v>0</v>
      </c>
      <c r="BI76" s="237">
        <v>0</v>
      </c>
      <c r="BJ76" s="237">
        <v>0</v>
      </c>
      <c r="BK76" s="237">
        <v>0</v>
      </c>
      <c r="BL76" s="237">
        <v>0</v>
      </c>
      <c r="BM76" s="237">
        <v>0</v>
      </c>
      <c r="BN76" s="237">
        <v>0</v>
      </c>
      <c r="BO76" s="237">
        <v>0</v>
      </c>
      <c r="BP76" s="237">
        <v>0</v>
      </c>
      <c r="BQ76" s="237">
        <v>0</v>
      </c>
      <c r="BR76" s="237">
        <v>0</v>
      </c>
      <c r="BS76" s="237">
        <v>0</v>
      </c>
      <c r="BT76" s="237">
        <v>0</v>
      </c>
      <c r="BU76" s="237">
        <v>0</v>
      </c>
      <c r="BW76" s="237">
        <f t="shared" ref="BW76:CA76" si="99">SUMIF($J$6:$BU$6,BW$9,$J76:$BU76)</f>
        <v>0</v>
      </c>
      <c r="BX76" s="237">
        <f t="shared" si="99"/>
        <v>0</v>
      </c>
      <c r="BY76" s="237">
        <f t="shared" si="99"/>
        <v>0</v>
      </c>
      <c r="BZ76" s="237">
        <f t="shared" si="99"/>
        <v>0</v>
      </c>
      <c r="CA76" s="237">
        <f t="shared" si="99"/>
        <v>0</v>
      </c>
      <c r="CB76" s="237">
        <f>CA76*(1+Inputs!$C$34)</f>
        <v>0</v>
      </c>
      <c r="CC76" s="237">
        <f>CB76*(1+Inputs!$C$34)</f>
        <v>0</v>
      </c>
      <c r="CD76" s="237">
        <f>CC76*(1+Inputs!$C$34)</f>
        <v>0</v>
      </c>
      <c r="CE76" s="237">
        <f>CD76*(1+Inputs!$C$34)</f>
        <v>0</v>
      </c>
      <c r="CF76" s="237">
        <f>CE76*(1+Inputs!$C$34)</f>
        <v>0</v>
      </c>
      <c r="CG76" s="237">
        <f>CF76*(1+Inputs!$C$34)</f>
        <v>0</v>
      </c>
      <c r="CH76" s="237">
        <f>CG76*(1+Inputs!$C$34)</f>
        <v>0</v>
      </c>
      <c r="CI76" s="237">
        <f>CH76*(1+Inputs!$C$34)</f>
        <v>0</v>
      </c>
      <c r="CJ76" s="237">
        <f>CI76*(1+Inputs!$C$34)</f>
        <v>0</v>
      </c>
      <c r="CK76" s="237">
        <f>CJ76*(1+Inputs!$C$34)</f>
        <v>0</v>
      </c>
    </row>
    <row r="77" spans="1:109" ht="14.25" customHeight="1" x14ac:dyDescent="0.2">
      <c r="A77" s="283">
        <f t="shared" si="58"/>
        <v>0</v>
      </c>
      <c r="B77" s="284" t="s">
        <v>353</v>
      </c>
      <c r="C77" s="285"/>
      <c r="D77" s="284"/>
      <c r="E77" s="286"/>
      <c r="F77" s="287" t="s">
        <v>216</v>
      </c>
      <c r="G77" s="286"/>
      <c r="H77" s="285"/>
      <c r="I77" s="288"/>
      <c r="J77" s="289">
        <f t="shared" ref="J77:BU77" si="100">SUM(J72:J76)</f>
        <v>104.48094557327076</v>
      </c>
      <c r="K77" s="289">
        <f t="shared" si="100"/>
        <v>170.38682948515032</v>
      </c>
      <c r="L77" s="289">
        <f t="shared" si="100"/>
        <v>279.50851433191218</v>
      </c>
      <c r="M77" s="289">
        <f t="shared" si="100"/>
        <v>377.62819266829456</v>
      </c>
      <c r="N77" s="289">
        <f t="shared" si="100"/>
        <v>552.20542429597526</v>
      </c>
      <c r="O77" s="289">
        <f t="shared" si="100"/>
        <v>663.80777605609148</v>
      </c>
      <c r="P77" s="289">
        <f t="shared" si="100"/>
        <v>765.51296844410319</v>
      </c>
      <c r="Q77" s="289">
        <f t="shared" si="100"/>
        <v>839.16315484275208</v>
      </c>
      <c r="R77" s="289">
        <f t="shared" si="100"/>
        <v>903.29570813119346</v>
      </c>
      <c r="S77" s="289">
        <f t="shared" si="100"/>
        <v>974.55142666403026</v>
      </c>
      <c r="T77" s="289">
        <f t="shared" si="100"/>
        <v>1038.2037807665693</v>
      </c>
      <c r="U77" s="290">
        <f t="shared" si="100"/>
        <v>1087.6358839925722</v>
      </c>
      <c r="V77" s="289">
        <f t="shared" si="100"/>
        <v>1167.8936238540416</v>
      </c>
      <c r="W77" s="289">
        <f t="shared" si="100"/>
        <v>1238.3655297100815</v>
      </c>
      <c r="X77" s="289">
        <f t="shared" si="100"/>
        <v>1356.7114279367674</v>
      </c>
      <c r="Y77" s="289">
        <f t="shared" si="100"/>
        <v>1458.3361991407951</v>
      </c>
      <c r="Z77" s="289">
        <f t="shared" si="100"/>
        <v>1642.8763065445578</v>
      </c>
      <c r="AA77" s="289">
        <f t="shared" si="100"/>
        <v>1761.2572869106639</v>
      </c>
      <c r="AB77" s="289">
        <f t="shared" si="100"/>
        <v>1869.0063050554177</v>
      </c>
      <c r="AC77" s="289">
        <f t="shared" si="100"/>
        <v>1949.9866495045651</v>
      </c>
      <c r="AD77" s="289">
        <f t="shared" si="100"/>
        <v>2014.9210929786468</v>
      </c>
      <c r="AE77" s="289">
        <f t="shared" si="100"/>
        <v>2089.3444646923881</v>
      </c>
      <c r="AF77" s="289">
        <f t="shared" si="100"/>
        <v>2155.0013007153557</v>
      </c>
      <c r="AG77" s="290">
        <f t="shared" si="100"/>
        <v>2206.2881339162695</v>
      </c>
      <c r="AH77" s="289">
        <f t="shared" si="100"/>
        <v>2245.8827752494435</v>
      </c>
      <c r="AI77" s="289">
        <f t="shared" si="100"/>
        <v>2290.8190755020714</v>
      </c>
      <c r="AJ77" s="289">
        <f t="shared" si="100"/>
        <v>2375.6015537055637</v>
      </c>
      <c r="AK77" s="289">
        <f t="shared" si="100"/>
        <v>2442.8885513213013</v>
      </c>
      <c r="AL77" s="289">
        <f t="shared" si="100"/>
        <v>2569.3519859653989</v>
      </c>
      <c r="AM77" s="289">
        <f t="shared" si="100"/>
        <v>2651.4090399409843</v>
      </c>
      <c r="AN77" s="289">
        <f t="shared" si="100"/>
        <v>2726.4223438065765</v>
      </c>
      <c r="AO77" s="289">
        <f t="shared" si="100"/>
        <v>2785.949962177915</v>
      </c>
      <c r="AP77" s="289">
        <f t="shared" si="100"/>
        <v>2827.2142073892924</v>
      </c>
      <c r="AQ77" s="289">
        <f t="shared" si="100"/>
        <v>2877.0891002865292</v>
      </c>
      <c r="AR77" s="289">
        <f t="shared" si="100"/>
        <v>2920.3182802319043</v>
      </c>
      <c r="AS77" s="290">
        <f t="shared" si="100"/>
        <v>2953.5364401804709</v>
      </c>
      <c r="AT77" s="289">
        <f t="shared" si="100"/>
        <v>2867.7258771955762</v>
      </c>
      <c r="AU77" s="289">
        <f t="shared" si="100"/>
        <v>2880.5560490637695</v>
      </c>
      <c r="AV77" s="289">
        <f t="shared" si="100"/>
        <v>2901.7517902056861</v>
      </c>
      <c r="AW77" s="289">
        <f t="shared" si="100"/>
        <v>2915.7939113519706</v>
      </c>
      <c r="AX77" s="289">
        <f t="shared" si="100"/>
        <v>2970.9296774881295</v>
      </c>
      <c r="AY77" s="289">
        <f t="shared" si="100"/>
        <v>2991.4067929908592</v>
      </c>
      <c r="AZ77" s="289">
        <f t="shared" si="100"/>
        <v>2991.3257804862683</v>
      </c>
      <c r="BA77" s="289">
        <f t="shared" si="100"/>
        <v>2958.7672945042004</v>
      </c>
      <c r="BB77" s="289">
        <f t="shared" si="100"/>
        <v>2935.2158945478332</v>
      </c>
      <c r="BC77" s="289">
        <f t="shared" si="100"/>
        <v>2913.4300030663344</v>
      </c>
      <c r="BD77" s="289">
        <f t="shared" si="100"/>
        <v>2890.5954530916943</v>
      </c>
      <c r="BE77" s="290">
        <f t="shared" si="100"/>
        <v>2871.8711826078174</v>
      </c>
      <c r="BF77" s="289">
        <f t="shared" si="100"/>
        <v>2875.9809870971949</v>
      </c>
      <c r="BG77" s="289">
        <f t="shared" si="100"/>
        <v>2871.3267116758202</v>
      </c>
      <c r="BH77" s="289">
        <f t="shared" si="100"/>
        <v>2891.0104033968287</v>
      </c>
      <c r="BI77" s="289">
        <f t="shared" si="100"/>
        <v>2905.3102219545044</v>
      </c>
      <c r="BJ77" s="289">
        <f t="shared" si="100"/>
        <v>2961.9897944094564</v>
      </c>
      <c r="BK77" s="289">
        <f t="shared" si="100"/>
        <v>2984.1438067383151</v>
      </c>
      <c r="BL77" s="289">
        <f t="shared" si="100"/>
        <v>2984.9943447708697</v>
      </c>
      <c r="BM77" s="289">
        <f t="shared" si="100"/>
        <v>2952.5002477820772</v>
      </c>
      <c r="BN77" s="289">
        <f t="shared" si="100"/>
        <v>2929.6638394362517</v>
      </c>
      <c r="BO77" s="289">
        <f t="shared" si="100"/>
        <v>2908.2889821059048</v>
      </c>
      <c r="BP77" s="289">
        <f t="shared" si="100"/>
        <v>2886.1059751521316</v>
      </c>
      <c r="BQ77" s="289">
        <f t="shared" si="100"/>
        <v>2866.3447852157701</v>
      </c>
      <c r="BR77" s="289">
        <f t="shared" si="100"/>
        <v>2870.1330717228125</v>
      </c>
      <c r="BS77" s="289">
        <f t="shared" si="100"/>
        <v>2867.5436082089414</v>
      </c>
      <c r="BT77" s="289">
        <f t="shared" si="100"/>
        <v>2879.2237547717336</v>
      </c>
      <c r="BU77" s="289">
        <f t="shared" si="100"/>
        <v>2886.9294433459968</v>
      </c>
      <c r="BV77" s="285"/>
      <c r="BW77" s="289">
        <f t="shared" ref="BW77:CK77" si="101">SUM(BW72:BW76)</f>
        <v>7756.3806052519158</v>
      </c>
      <c r="BX77" s="289">
        <f t="shared" si="101"/>
        <v>20909.988320959554</v>
      </c>
      <c r="BY77" s="289">
        <f t="shared" si="101"/>
        <v>31666.483315757447</v>
      </c>
      <c r="BZ77" s="289">
        <f t="shared" si="101"/>
        <v>35089.36970660014</v>
      </c>
      <c r="CA77" s="289">
        <f t="shared" si="101"/>
        <v>35017.660099735127</v>
      </c>
      <c r="CB77" s="289">
        <f t="shared" si="101"/>
        <v>36418.36650372453</v>
      </c>
      <c r="CC77" s="289">
        <f t="shared" si="101"/>
        <v>37875.101163873507</v>
      </c>
      <c r="CD77" s="289">
        <f t="shared" si="101"/>
        <v>39390.105210428454</v>
      </c>
      <c r="CE77" s="289">
        <f t="shared" si="101"/>
        <v>40965.709418845589</v>
      </c>
      <c r="CF77" s="289">
        <f t="shared" si="101"/>
        <v>42604.337795599415</v>
      </c>
      <c r="CG77" s="289">
        <f t="shared" si="101"/>
        <v>44308.511307423396</v>
      </c>
      <c r="CH77" s="289">
        <f t="shared" si="101"/>
        <v>46080.851759720332</v>
      </c>
      <c r="CI77" s="289">
        <f t="shared" si="101"/>
        <v>47924.085830109143</v>
      </c>
      <c r="CJ77" s="289">
        <f t="shared" si="101"/>
        <v>49841.049263313515</v>
      </c>
      <c r="CK77" s="289">
        <f t="shared" si="101"/>
        <v>51834.691233846053</v>
      </c>
      <c r="CL77" s="285"/>
      <c r="CM77" s="285"/>
      <c r="CN77" s="285"/>
      <c r="CO77" s="285"/>
      <c r="CP77" s="285"/>
      <c r="CQ77" s="285"/>
      <c r="CR77" s="285"/>
      <c r="CS77" s="285"/>
      <c r="CT77" s="285"/>
      <c r="CU77" s="285"/>
      <c r="CV77" s="285"/>
      <c r="CW77" s="285"/>
      <c r="CX77" s="285"/>
      <c r="CY77" s="285"/>
      <c r="CZ77" s="285"/>
      <c r="DA77" s="285"/>
      <c r="DB77" s="285"/>
      <c r="DC77" s="285"/>
      <c r="DD77" s="285"/>
      <c r="DE77" s="285"/>
    </row>
    <row r="78" spans="1:109" ht="14.25" customHeight="1" x14ac:dyDescent="0.2">
      <c r="A78" s="11">
        <f t="shared" si="58"/>
        <v>0</v>
      </c>
      <c r="B78" s="242"/>
      <c r="D78" s="242"/>
      <c r="E78" s="291"/>
      <c r="F78" s="292"/>
      <c r="G78" s="291"/>
      <c r="I78" s="1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4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G78" s="294"/>
      <c r="AH78" s="293"/>
      <c r="AI78" s="293"/>
      <c r="AJ78" s="293"/>
      <c r="AK78" s="293"/>
      <c r="AL78" s="293"/>
      <c r="AM78" s="293"/>
      <c r="AN78" s="293"/>
      <c r="AO78" s="293"/>
      <c r="AP78" s="293"/>
      <c r="AQ78" s="293"/>
      <c r="AR78" s="293"/>
      <c r="AS78" s="294"/>
      <c r="AT78" s="293"/>
      <c r="AU78" s="293"/>
      <c r="AV78" s="293"/>
      <c r="AW78" s="293"/>
      <c r="AX78" s="293"/>
      <c r="AY78" s="293"/>
      <c r="AZ78" s="293"/>
      <c r="BA78" s="293"/>
      <c r="BB78" s="293"/>
      <c r="BC78" s="293"/>
      <c r="BD78" s="293"/>
      <c r="BE78" s="294"/>
      <c r="BF78" s="293"/>
      <c r="BG78" s="293"/>
      <c r="BH78" s="293"/>
      <c r="BI78" s="293"/>
      <c r="BJ78" s="293"/>
      <c r="BK78" s="293"/>
      <c r="BL78" s="293"/>
      <c r="BM78" s="293"/>
      <c r="BN78" s="293"/>
      <c r="BO78" s="293"/>
      <c r="BP78" s="293"/>
      <c r="BQ78" s="293"/>
      <c r="BR78" s="293"/>
      <c r="BS78" s="293"/>
      <c r="BT78" s="293"/>
      <c r="BU78" s="293"/>
      <c r="BW78" s="293"/>
      <c r="BX78" s="293"/>
      <c r="BY78" s="293"/>
      <c r="BZ78" s="293"/>
      <c r="CA78" s="293"/>
      <c r="CB78" s="293"/>
      <c r="CC78" s="293"/>
      <c r="CD78" s="293"/>
      <c r="CE78" s="293"/>
      <c r="CF78" s="293"/>
      <c r="CG78" s="293"/>
      <c r="CH78" s="293"/>
      <c r="CI78" s="293"/>
      <c r="CJ78" s="293"/>
      <c r="CK78" s="293"/>
    </row>
    <row r="79" spans="1:109" ht="14.25" customHeight="1" x14ac:dyDescent="0.2">
      <c r="A79" s="283">
        <f t="shared" si="58"/>
        <v>0</v>
      </c>
      <c r="B79" s="284" t="s">
        <v>354</v>
      </c>
      <c r="C79" s="285"/>
      <c r="D79" s="284"/>
      <c r="E79" s="286"/>
      <c r="F79" s="287" t="s">
        <v>355</v>
      </c>
      <c r="G79" s="286"/>
      <c r="H79" s="285"/>
      <c r="I79" s="288"/>
      <c r="J79" s="289">
        <f t="shared" ref="J79:BU79" si="102">J77+J69</f>
        <v>356.34560860744216</v>
      </c>
      <c r="K79" s="289">
        <f t="shared" si="102"/>
        <v>447.28209906073937</v>
      </c>
      <c r="L79" s="289">
        <f t="shared" si="102"/>
        <v>701.14088968172405</v>
      </c>
      <c r="M79" s="289">
        <f t="shared" si="102"/>
        <v>871.72334674142257</v>
      </c>
      <c r="N79" s="289">
        <f t="shared" si="102"/>
        <v>1305.0795956890965</v>
      </c>
      <c r="O79" s="289">
        <f t="shared" si="102"/>
        <v>1439.9803241449026</v>
      </c>
      <c r="P79" s="289">
        <f t="shared" si="102"/>
        <v>1586.4372022009434</v>
      </c>
      <c r="Q79" s="289">
        <f t="shared" si="102"/>
        <v>1672.4632187288266</v>
      </c>
      <c r="R79" s="289">
        <f t="shared" si="102"/>
        <v>1741.6589897454</v>
      </c>
      <c r="S79" s="289">
        <f t="shared" si="102"/>
        <v>1856.7666714833724</v>
      </c>
      <c r="T79" s="289">
        <f t="shared" si="102"/>
        <v>1943.271972523494</v>
      </c>
      <c r="U79" s="289">
        <f t="shared" si="102"/>
        <v>1988.2949018506506</v>
      </c>
      <c r="V79" s="289">
        <f t="shared" si="102"/>
        <v>2155.2204259572854</v>
      </c>
      <c r="W79" s="289">
        <f t="shared" si="102"/>
        <v>2258.5938921686538</v>
      </c>
      <c r="X79" s="289">
        <f t="shared" si="102"/>
        <v>2549.8268534981585</v>
      </c>
      <c r="Y79" s="289">
        <f t="shared" si="102"/>
        <v>2718.84474648277</v>
      </c>
      <c r="Z79" s="289">
        <f t="shared" si="102"/>
        <v>3181.2869493519634</v>
      </c>
      <c r="AA79" s="289">
        <f t="shared" si="102"/>
        <v>3331.5356138779034</v>
      </c>
      <c r="AB79" s="289">
        <f t="shared" si="102"/>
        <v>3492.0933773833603</v>
      </c>
      <c r="AC79" s="289">
        <f t="shared" si="102"/>
        <v>3606.9300201455017</v>
      </c>
      <c r="AD79" s="289">
        <f t="shared" si="102"/>
        <v>3661.6767251839069</v>
      </c>
      <c r="AE79" s="289">
        <f t="shared" si="102"/>
        <v>3779.2477300744858</v>
      </c>
      <c r="AF79" s="289">
        <f t="shared" si="102"/>
        <v>3860.686406820575</v>
      </c>
      <c r="AG79" s="289">
        <f t="shared" si="102"/>
        <v>3903.1068533673315</v>
      </c>
      <c r="AH79" s="289">
        <f t="shared" si="102"/>
        <v>3912.9582703367532</v>
      </c>
      <c r="AI79" s="289">
        <f t="shared" si="102"/>
        <v>3963.6084663228912</v>
      </c>
      <c r="AJ79" s="289">
        <f t="shared" si="102"/>
        <v>4192.7502746729742</v>
      </c>
      <c r="AK79" s="289">
        <f t="shared" si="102"/>
        <v>4297.482094661088</v>
      </c>
      <c r="AL79" s="289">
        <f t="shared" si="102"/>
        <v>4621.6376087670405</v>
      </c>
      <c r="AM79" s="289">
        <f t="shared" si="102"/>
        <v>4737.7726023520299</v>
      </c>
      <c r="AN79" s="289">
        <f t="shared" si="102"/>
        <v>4861.0714497101717</v>
      </c>
      <c r="AO79" s="289">
        <f t="shared" si="102"/>
        <v>4969.7493363832327</v>
      </c>
      <c r="AP79" s="289">
        <f t="shared" si="102"/>
        <v>4985.4732482020063</v>
      </c>
      <c r="AQ79" s="289">
        <f t="shared" si="102"/>
        <v>5059.080699451707</v>
      </c>
      <c r="AR79" s="289">
        <f t="shared" si="102"/>
        <v>5101.3817654859777</v>
      </c>
      <c r="AS79" s="289">
        <f t="shared" si="102"/>
        <v>5115.6117491973737</v>
      </c>
      <c r="AT79" s="289">
        <f t="shared" si="102"/>
        <v>4729.5542042404295</v>
      </c>
      <c r="AU79" s="289">
        <f t="shared" si="102"/>
        <v>4823.4005654872053</v>
      </c>
      <c r="AV79" s="289">
        <f t="shared" si="102"/>
        <v>4924.9555592617417</v>
      </c>
      <c r="AW79" s="289">
        <f t="shared" si="102"/>
        <v>4945.59455651797</v>
      </c>
      <c r="AX79" s="289">
        <f t="shared" si="102"/>
        <v>5120.3912476695732</v>
      </c>
      <c r="AY79" s="289">
        <f t="shared" si="102"/>
        <v>5137.1943688139963</v>
      </c>
      <c r="AZ79" s="289">
        <f t="shared" si="102"/>
        <v>5110.8619784173661</v>
      </c>
      <c r="BA79" s="289">
        <f t="shared" si="102"/>
        <v>5022.8748742643656</v>
      </c>
      <c r="BB79" s="289">
        <f t="shared" si="102"/>
        <v>4963.5358394449295</v>
      </c>
      <c r="BC79" s="289">
        <f t="shared" si="102"/>
        <v>4917.5361678973786</v>
      </c>
      <c r="BD79" s="289">
        <f t="shared" si="102"/>
        <v>4861.6976315537131</v>
      </c>
      <c r="BE79" s="289">
        <f t="shared" si="102"/>
        <v>4818.5488593947221</v>
      </c>
      <c r="BF79" s="289">
        <f t="shared" si="102"/>
        <v>4851.2172043870405</v>
      </c>
      <c r="BG79" s="289">
        <f t="shared" si="102"/>
        <v>4822.8511102896355</v>
      </c>
      <c r="BH79" s="289">
        <f t="shared" si="102"/>
        <v>4914.3220283145729</v>
      </c>
      <c r="BI79" s="289">
        <f t="shared" si="102"/>
        <v>4937.2578216825377</v>
      </c>
      <c r="BJ79" s="289">
        <f t="shared" si="102"/>
        <v>5123.6077440884383</v>
      </c>
      <c r="BK79" s="289">
        <f t="shared" si="102"/>
        <v>5153.5810070906682</v>
      </c>
      <c r="BL79" s="289">
        <f t="shared" si="102"/>
        <v>5134.403376483031</v>
      </c>
      <c r="BM79" s="289">
        <f t="shared" si="102"/>
        <v>5046.8711167424526</v>
      </c>
      <c r="BN79" s="289">
        <f t="shared" si="102"/>
        <v>4992.1798687400096</v>
      </c>
      <c r="BO79" s="289">
        <f t="shared" si="102"/>
        <v>4948.4216814185893</v>
      </c>
      <c r="BP79" s="289">
        <f t="shared" si="102"/>
        <v>4896.4846217463873</v>
      </c>
      <c r="BQ79" s="289">
        <f t="shared" si="102"/>
        <v>4845.542908008907</v>
      </c>
      <c r="BR79" s="289">
        <f t="shared" si="102"/>
        <v>4864.4595136853604</v>
      </c>
      <c r="BS79" s="289">
        <f t="shared" si="102"/>
        <v>4848.1699699973306</v>
      </c>
      <c r="BT79" s="289">
        <f t="shared" si="102"/>
        <v>4882.5632320052582</v>
      </c>
      <c r="BU79" s="289">
        <f t="shared" si="102"/>
        <v>4858.4885777294066</v>
      </c>
      <c r="BV79" s="285"/>
      <c r="BW79" s="289">
        <f t="shared" ref="BW79:CK79" si="103">BW77+BW69</f>
        <v>15910.444820458013</v>
      </c>
      <c r="BX79" s="289">
        <f t="shared" si="103"/>
        <v>38499.049594311895</v>
      </c>
      <c r="BY79" s="289">
        <f t="shared" si="103"/>
        <v>55818.577565543252</v>
      </c>
      <c r="BZ79" s="289">
        <f t="shared" si="103"/>
        <v>59376.145852963396</v>
      </c>
      <c r="CA79" s="289">
        <f t="shared" si="103"/>
        <v>59666.740488992269</v>
      </c>
      <c r="CB79" s="289">
        <f t="shared" si="103"/>
        <v>62053.410108551965</v>
      </c>
      <c r="CC79" s="289">
        <f t="shared" si="103"/>
        <v>64535.546512894041</v>
      </c>
      <c r="CD79" s="289">
        <f t="shared" si="103"/>
        <v>67116.968373409807</v>
      </c>
      <c r="CE79" s="289">
        <f t="shared" si="103"/>
        <v>69801.647108346195</v>
      </c>
      <c r="CF79" s="289">
        <f t="shared" si="103"/>
        <v>72593.712992680041</v>
      </c>
      <c r="CG79" s="289">
        <f t="shared" si="103"/>
        <v>75497.46151238725</v>
      </c>
      <c r="CH79" s="289">
        <f t="shared" si="103"/>
        <v>78517.359972882725</v>
      </c>
      <c r="CI79" s="289">
        <f t="shared" si="103"/>
        <v>81658.054371798033</v>
      </c>
      <c r="CJ79" s="289">
        <f t="shared" si="103"/>
        <v>84924.376546669984</v>
      </c>
      <c r="CK79" s="289">
        <f t="shared" si="103"/>
        <v>88321.351608536774</v>
      </c>
      <c r="CL79" s="285"/>
      <c r="CM79" s="285"/>
      <c r="CN79" s="285"/>
      <c r="CO79" s="285"/>
      <c r="CP79" s="285"/>
      <c r="CQ79" s="285"/>
      <c r="CR79" s="285"/>
      <c r="CS79" s="285"/>
      <c r="CT79" s="285"/>
      <c r="CU79" s="285"/>
      <c r="CV79" s="285"/>
      <c r="CW79" s="285"/>
      <c r="CX79" s="285"/>
      <c r="CY79" s="285"/>
      <c r="CZ79" s="285"/>
      <c r="DA79" s="285"/>
      <c r="DB79" s="285"/>
      <c r="DC79" s="285"/>
      <c r="DD79" s="285"/>
      <c r="DE79" s="285"/>
    </row>
    <row r="80" spans="1:109" ht="14.25" customHeight="1" x14ac:dyDescent="0.2">
      <c r="A80" s="283">
        <f t="shared" si="58"/>
        <v>0</v>
      </c>
      <c r="B80" s="284" t="s">
        <v>356</v>
      </c>
      <c r="C80" s="285"/>
      <c r="D80" s="285"/>
      <c r="E80" s="285"/>
      <c r="F80" s="287" t="s">
        <v>357</v>
      </c>
      <c r="G80" s="283"/>
      <c r="H80" s="285"/>
      <c r="I80" s="288"/>
      <c r="J80" s="289">
        <f t="shared" ref="J80:BU80" si="104">J77+J69+J57</f>
        <v>3731.0618875848163</v>
      </c>
      <c r="K80" s="289">
        <f t="shared" si="104"/>
        <v>7167.1160699224702</v>
      </c>
      <c r="L80" s="289">
        <f t="shared" si="104"/>
        <v>12097.620331674745</v>
      </c>
      <c r="M80" s="289">
        <f t="shared" si="104"/>
        <v>17256.966869110951</v>
      </c>
      <c r="N80" s="289">
        <f t="shared" si="104"/>
        <v>25698.642056796041</v>
      </c>
      <c r="O80" s="289">
        <f t="shared" si="104"/>
        <v>33017.712318551181</v>
      </c>
      <c r="P80" s="289">
        <f t="shared" si="104"/>
        <v>39393.476519005657</v>
      </c>
      <c r="Q80" s="289">
        <f t="shared" si="104"/>
        <v>43866.913438058495</v>
      </c>
      <c r="R80" s="289">
        <f t="shared" si="104"/>
        <v>47755.108653300282</v>
      </c>
      <c r="S80" s="289">
        <f t="shared" si="104"/>
        <v>51848.025033937636</v>
      </c>
      <c r="T80" s="289">
        <f t="shared" si="104"/>
        <v>55508.897335095484</v>
      </c>
      <c r="U80" s="290">
        <f t="shared" si="104"/>
        <v>58595.642891356729</v>
      </c>
      <c r="V80" s="289">
        <f t="shared" si="104"/>
        <v>62688.115455289997</v>
      </c>
      <c r="W80" s="289">
        <f t="shared" si="104"/>
        <v>66691.999262923826</v>
      </c>
      <c r="X80" s="289">
        <f t="shared" si="104"/>
        <v>72391.232864120873</v>
      </c>
      <c r="Y80" s="289">
        <f t="shared" si="104"/>
        <v>78477.164905372309</v>
      </c>
      <c r="Z80" s="289">
        <f t="shared" si="104"/>
        <v>88295.129421396428</v>
      </c>
      <c r="AA80" s="289">
        <f t="shared" si="104"/>
        <v>96917.551813696991</v>
      </c>
      <c r="AB80" s="289">
        <f t="shared" si="104"/>
        <v>104416.61224143673</v>
      </c>
      <c r="AC80" s="289">
        <f t="shared" si="104"/>
        <v>109610.73323896038</v>
      </c>
      <c r="AD80" s="289">
        <f t="shared" si="104"/>
        <v>114071.9910971849</v>
      </c>
      <c r="AE80" s="289">
        <f t="shared" si="104"/>
        <v>118835.8518152941</v>
      </c>
      <c r="AF80" s="289">
        <f t="shared" si="104"/>
        <v>123029.54463982419</v>
      </c>
      <c r="AG80" s="290">
        <f t="shared" si="104"/>
        <v>126618.52796525072</v>
      </c>
      <c r="AH80" s="289">
        <f t="shared" si="104"/>
        <v>129737.89084873846</v>
      </c>
      <c r="AI80" s="289">
        <f t="shared" si="104"/>
        <v>132882.53914359325</v>
      </c>
      <c r="AJ80" s="289">
        <f t="shared" si="104"/>
        <v>137305.1985474324</v>
      </c>
      <c r="AK80" s="289">
        <f t="shared" si="104"/>
        <v>142145.60833648645</v>
      </c>
      <c r="AL80" s="289">
        <f t="shared" si="104"/>
        <v>149801.82110477466</v>
      </c>
      <c r="AM80" s="289">
        <f t="shared" si="104"/>
        <v>156564.18197128925</v>
      </c>
      <c r="AN80" s="289">
        <f t="shared" si="104"/>
        <v>162359.42272390713</v>
      </c>
      <c r="AO80" s="289">
        <f t="shared" si="104"/>
        <v>166185.664327643</v>
      </c>
      <c r="AP80" s="289">
        <f t="shared" si="104"/>
        <v>169345.90386917477</v>
      </c>
      <c r="AQ80" s="289">
        <f t="shared" si="104"/>
        <v>172737.65520125802</v>
      </c>
      <c r="AR80" s="289">
        <f t="shared" si="104"/>
        <v>175479.88103765232</v>
      </c>
      <c r="AS80" s="290">
        <f t="shared" si="104"/>
        <v>177780.24731874489</v>
      </c>
      <c r="AT80" s="289">
        <f t="shared" si="104"/>
        <v>175807.29503372801</v>
      </c>
      <c r="AU80" s="289">
        <f t="shared" si="104"/>
        <v>176387.88234916137</v>
      </c>
      <c r="AV80" s="289">
        <f t="shared" si="104"/>
        <v>177525.46204028366</v>
      </c>
      <c r="AW80" s="289">
        <f t="shared" si="104"/>
        <v>179317.37653867807</v>
      </c>
      <c r="AX80" s="289">
        <f t="shared" si="104"/>
        <v>182981.8940687729</v>
      </c>
      <c r="AY80" s="289">
        <f t="shared" si="104"/>
        <v>185556.8292753459</v>
      </c>
      <c r="AZ80" s="289">
        <f t="shared" si="104"/>
        <v>186877.96222691951</v>
      </c>
      <c r="BA80" s="289">
        <f t="shared" si="104"/>
        <v>185846.48228541971</v>
      </c>
      <c r="BB80" s="289">
        <f t="shared" si="104"/>
        <v>185149.37051366313</v>
      </c>
      <c r="BC80" s="289">
        <f t="shared" si="104"/>
        <v>184583.90758138269</v>
      </c>
      <c r="BD80" s="289">
        <f t="shared" si="104"/>
        <v>183707.25373342165</v>
      </c>
      <c r="BE80" s="290">
        <f t="shared" si="104"/>
        <v>183131.07770940778</v>
      </c>
      <c r="BF80" s="289">
        <f t="shared" si="104"/>
        <v>183634.14900338076</v>
      </c>
      <c r="BG80" s="289">
        <f t="shared" si="104"/>
        <v>184114.07661770718</v>
      </c>
      <c r="BH80" s="289">
        <f t="shared" si="104"/>
        <v>185301.91732556353</v>
      </c>
      <c r="BI80" s="289">
        <f t="shared" si="104"/>
        <v>187155.58639930474</v>
      </c>
      <c r="BJ80" s="289">
        <f t="shared" si="104"/>
        <v>190921.71422027177</v>
      </c>
      <c r="BK80" s="289">
        <f t="shared" si="104"/>
        <v>193682.53817273831</v>
      </c>
      <c r="BL80" s="289">
        <f t="shared" si="104"/>
        <v>195087.29079884579</v>
      </c>
      <c r="BM80" s="289">
        <f t="shared" si="104"/>
        <v>194056.76285280968</v>
      </c>
      <c r="BN80" s="289">
        <f t="shared" si="104"/>
        <v>193321.21711151936</v>
      </c>
      <c r="BO80" s="289">
        <f t="shared" si="104"/>
        <v>192681.30773686321</v>
      </c>
      <c r="BP80" s="289">
        <f t="shared" si="104"/>
        <v>191729.02435082395</v>
      </c>
      <c r="BQ80" s="289">
        <f t="shared" si="104"/>
        <v>191080.58067001778</v>
      </c>
      <c r="BR80" s="289">
        <f t="shared" si="104"/>
        <v>190182.57841603266</v>
      </c>
      <c r="BS80" s="289">
        <f t="shared" si="104"/>
        <v>190387.84091950077</v>
      </c>
      <c r="BT80" s="289">
        <f t="shared" si="104"/>
        <v>191391.60515725764</v>
      </c>
      <c r="BU80" s="289">
        <f t="shared" si="104"/>
        <v>193095.54704106416</v>
      </c>
      <c r="BV80" s="285"/>
      <c r="BW80" s="289">
        <f t="shared" ref="BW80:CK80" si="105">BW77+BW69+BW57</f>
        <v>395937.18340439448</v>
      </c>
      <c r="BX80" s="289">
        <f t="shared" si="105"/>
        <v>1162044.4547207516</v>
      </c>
      <c r="BY80" s="289">
        <f t="shared" si="105"/>
        <v>1872326.0144306947</v>
      </c>
      <c r="BZ80" s="289">
        <f t="shared" si="105"/>
        <v>2186872.7933561844</v>
      </c>
      <c r="CA80" s="289">
        <f t="shared" si="105"/>
        <v>2282766.165259846</v>
      </c>
      <c r="CB80" s="289">
        <f t="shared" si="105"/>
        <v>2374076.8118702401</v>
      </c>
      <c r="CC80" s="289">
        <f t="shared" si="105"/>
        <v>2469039.8843450495</v>
      </c>
      <c r="CD80" s="289">
        <f t="shared" si="105"/>
        <v>2567801.4797188519</v>
      </c>
      <c r="CE80" s="289">
        <f t="shared" si="105"/>
        <v>2670513.5389076062</v>
      </c>
      <c r="CF80" s="289">
        <f t="shared" si="105"/>
        <v>2777334.0804639105</v>
      </c>
      <c r="CG80" s="289">
        <f t="shared" si="105"/>
        <v>2888427.4436824671</v>
      </c>
      <c r="CH80" s="289">
        <f t="shared" si="105"/>
        <v>3003964.541429766</v>
      </c>
      <c r="CI80" s="289">
        <f t="shared" si="105"/>
        <v>3124123.1230869568</v>
      </c>
      <c r="CJ80" s="289">
        <f t="shared" si="105"/>
        <v>3249088.048010435</v>
      </c>
      <c r="CK80" s="289">
        <f t="shared" si="105"/>
        <v>3379051.5699308524</v>
      </c>
      <c r="CL80" s="285"/>
      <c r="CM80" s="285"/>
      <c r="CN80" s="285"/>
      <c r="CO80" s="285"/>
      <c r="CP80" s="285"/>
      <c r="CQ80" s="285"/>
      <c r="CR80" s="285"/>
      <c r="CS80" s="285"/>
      <c r="CT80" s="285"/>
      <c r="CU80" s="285"/>
      <c r="CV80" s="285"/>
      <c r="CW80" s="285"/>
      <c r="CX80" s="285"/>
      <c r="CY80" s="285"/>
      <c r="CZ80" s="285"/>
      <c r="DA80" s="285"/>
      <c r="DB80" s="285"/>
      <c r="DC80" s="285"/>
      <c r="DD80" s="285"/>
      <c r="DE80" s="285"/>
    </row>
    <row r="81" spans="1:109" ht="8.25" customHeight="1" x14ac:dyDescent="0.2">
      <c r="A81" s="11">
        <f t="shared" si="58"/>
        <v>0</v>
      </c>
      <c r="B81" s="249"/>
      <c r="D81" s="249"/>
      <c r="E81" s="3"/>
      <c r="F81" s="249"/>
      <c r="I81" s="1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3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3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3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3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</row>
    <row r="82" spans="1:109" ht="14.25" customHeight="1" x14ac:dyDescent="0.2">
      <c r="A82" s="11">
        <f t="shared" si="58"/>
        <v>0</v>
      </c>
      <c r="B82" s="11"/>
      <c r="D82" s="206" t="s">
        <v>358</v>
      </c>
      <c r="E82" s="207"/>
      <c r="F82" s="208"/>
      <c r="G82" s="207"/>
      <c r="H82" s="207"/>
      <c r="I82" s="209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95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95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95"/>
      <c r="AT82" s="207"/>
      <c r="AU82" s="207"/>
      <c r="AV82" s="207"/>
      <c r="AW82" s="207"/>
      <c r="AX82" s="207"/>
      <c r="AY82" s="207"/>
      <c r="AZ82" s="207"/>
      <c r="BA82" s="207"/>
      <c r="BB82" s="207"/>
      <c r="BC82" s="207"/>
      <c r="BD82" s="207"/>
      <c r="BE82" s="295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207"/>
      <c r="BW82" s="272"/>
      <c r="BX82" s="272"/>
      <c r="BY82" s="272"/>
      <c r="BZ82" s="272"/>
      <c r="CA82" s="272"/>
      <c r="CB82" s="272"/>
      <c r="CC82" s="272"/>
      <c r="CD82" s="272"/>
      <c r="CE82" s="272"/>
      <c r="CF82" s="272"/>
      <c r="CG82" s="272"/>
      <c r="CH82" s="272"/>
      <c r="CI82" s="272"/>
      <c r="CJ82" s="272"/>
      <c r="CK82" s="272"/>
    </row>
    <row r="83" spans="1:109" ht="14.25" customHeight="1" x14ac:dyDescent="0.2">
      <c r="A83" s="11">
        <f t="shared" si="58"/>
        <v>0</v>
      </c>
      <c r="B83" s="56"/>
      <c r="F83" s="3" t="s">
        <v>359</v>
      </c>
      <c r="I83" s="1"/>
      <c r="U83" s="203"/>
      <c r="AG83" s="203"/>
      <c r="AS83" s="203"/>
      <c r="BE83" s="203"/>
    </row>
    <row r="84" spans="1:109" ht="14.25" customHeight="1" x14ac:dyDescent="0.2">
      <c r="A84" s="11">
        <f t="shared" si="58"/>
        <v>0</v>
      </c>
      <c r="B84" s="56">
        <f t="shared" ref="B84:B89" si="106">F84</f>
        <v>6100</v>
      </c>
      <c r="D84" s="56"/>
      <c r="F84" s="56">
        <v>6100</v>
      </c>
      <c r="G84" s="11" t="s">
        <v>360</v>
      </c>
      <c r="H84" s="193"/>
      <c r="I84" s="1"/>
      <c r="J84" s="29">
        <f>Inputs!$U$8*Inputs!$V$8*4.3</f>
        <v>4961.538461538461</v>
      </c>
      <c r="K84" s="29">
        <f>Inputs!$U$8*Inputs!$V$8*4.3</f>
        <v>4961.538461538461</v>
      </c>
      <c r="L84" s="29">
        <f>Inputs!$U$8*Inputs!$V$8*4.3</f>
        <v>4961.538461538461</v>
      </c>
      <c r="M84" s="29">
        <f>Inputs!$U$8*Inputs!$V$8*4.3</f>
        <v>4961.538461538461</v>
      </c>
      <c r="N84" s="29">
        <f>Inputs!$U$8*Inputs!$V$8*4.3</f>
        <v>4961.538461538461</v>
      </c>
      <c r="O84" s="29">
        <f>Inputs!$U$8*Inputs!$V$8*4.3</f>
        <v>4961.538461538461</v>
      </c>
      <c r="P84" s="29">
        <f>Inputs!$U$8*Inputs!$V$8*4.3</f>
        <v>4961.538461538461</v>
      </c>
      <c r="Q84" s="29">
        <f>Inputs!$U$8*Inputs!$V$8*4.3</f>
        <v>4961.538461538461</v>
      </c>
      <c r="R84" s="29">
        <f>Inputs!$U$8*Inputs!$V$8*4.3</f>
        <v>4961.538461538461</v>
      </c>
      <c r="S84" s="29">
        <f>Inputs!$U$8*Inputs!$V$8*4.3</f>
        <v>4961.538461538461</v>
      </c>
      <c r="T84" s="29">
        <f>Inputs!$U$8*Inputs!$V$8*4.3</f>
        <v>4961.538461538461</v>
      </c>
      <c r="U84" s="239">
        <f>Inputs!$U$8*Inputs!$V$8*4.3</f>
        <v>4961.538461538461</v>
      </c>
      <c r="V84" s="29">
        <f>J84*(1+Inputs!$C$35)</f>
        <v>5085.576923076922</v>
      </c>
      <c r="W84" s="29">
        <f>K84*(1+Inputs!$C$35)</f>
        <v>5085.576923076922</v>
      </c>
      <c r="X84" s="29">
        <f>L84*(1+Inputs!$C$35)</f>
        <v>5085.576923076922</v>
      </c>
      <c r="Y84" s="29">
        <f>M84*(1+Inputs!$C$35)</f>
        <v>5085.576923076922</v>
      </c>
      <c r="Z84" s="29">
        <f>N84*(1+Inputs!$C$35)</f>
        <v>5085.576923076922</v>
      </c>
      <c r="AA84" s="29">
        <f>O84*(1+Inputs!$C$35)</f>
        <v>5085.576923076922</v>
      </c>
      <c r="AB84" s="29">
        <f>P84*(1+Inputs!$C$35)</f>
        <v>5085.576923076922</v>
      </c>
      <c r="AC84" s="29">
        <f>Q84*(1+Inputs!$C$35)</f>
        <v>5085.576923076922</v>
      </c>
      <c r="AD84" s="29">
        <f>R84*(1+Inputs!$C$35)</f>
        <v>5085.576923076922</v>
      </c>
      <c r="AE84" s="29">
        <f>S84*(1+Inputs!$C$35)</f>
        <v>5085.576923076922</v>
      </c>
      <c r="AF84" s="29">
        <f>T84*(1+Inputs!$C$35)</f>
        <v>5085.576923076922</v>
      </c>
      <c r="AG84" s="239">
        <f>U84*(1+Inputs!$C$35)</f>
        <v>5085.576923076922</v>
      </c>
      <c r="AH84" s="29">
        <f>V84*(1+Inputs!$C$35)</f>
        <v>5212.7163461538448</v>
      </c>
      <c r="AI84" s="29">
        <f>W84*(1+Inputs!$C$35)</f>
        <v>5212.7163461538448</v>
      </c>
      <c r="AJ84" s="29">
        <f>X84*(1+Inputs!$C$35)</f>
        <v>5212.7163461538448</v>
      </c>
      <c r="AK84" s="29">
        <f>Y84*(1+Inputs!$C$35)</f>
        <v>5212.7163461538448</v>
      </c>
      <c r="AL84" s="29">
        <f>Z84*(1+Inputs!$C$35)</f>
        <v>5212.7163461538448</v>
      </c>
      <c r="AM84" s="29">
        <f>AA84*(1+Inputs!$C$35)</f>
        <v>5212.7163461538448</v>
      </c>
      <c r="AN84" s="29">
        <f>AB84*(1+Inputs!$C$35)</f>
        <v>5212.7163461538448</v>
      </c>
      <c r="AO84" s="29">
        <f>AC84*(1+Inputs!$C$35)</f>
        <v>5212.7163461538448</v>
      </c>
      <c r="AP84" s="29">
        <f>AD84*(1+Inputs!$C$35)</f>
        <v>5212.7163461538448</v>
      </c>
      <c r="AQ84" s="29">
        <f>AE84*(1+Inputs!$C$35)</f>
        <v>5212.7163461538448</v>
      </c>
      <c r="AR84" s="29">
        <f>AF84*(1+Inputs!$C$35)</f>
        <v>5212.7163461538448</v>
      </c>
      <c r="AS84" s="239">
        <f>AG84*(1+Inputs!$C$35)</f>
        <v>5212.7163461538448</v>
      </c>
      <c r="AT84" s="29">
        <f>AH84*(1+Inputs!$C$35)</f>
        <v>5343.0342548076906</v>
      </c>
      <c r="AU84" s="29">
        <f>AI84*(1+Inputs!$C$35)</f>
        <v>5343.0342548076906</v>
      </c>
      <c r="AV84" s="29">
        <f>AJ84*(1+Inputs!$C$35)</f>
        <v>5343.0342548076906</v>
      </c>
      <c r="AW84" s="29">
        <f>AK84*(1+Inputs!$C$35)</f>
        <v>5343.0342548076906</v>
      </c>
      <c r="AX84" s="29">
        <f>AL84*(1+Inputs!$C$35)</f>
        <v>5343.0342548076906</v>
      </c>
      <c r="AY84" s="29">
        <f>AM84*(1+Inputs!$C$35)</f>
        <v>5343.0342548076906</v>
      </c>
      <c r="AZ84" s="29">
        <f>AN84*(1+Inputs!$C$35)</f>
        <v>5343.0342548076906</v>
      </c>
      <c r="BA84" s="29">
        <f>AO84*(1+Inputs!$C$35)</f>
        <v>5343.0342548076906</v>
      </c>
      <c r="BB84" s="29">
        <f>AP84*(1+Inputs!$C$35)</f>
        <v>5343.0342548076906</v>
      </c>
      <c r="BC84" s="29">
        <f>AQ84*(1+Inputs!$C$35)</f>
        <v>5343.0342548076906</v>
      </c>
      <c r="BD84" s="29">
        <f>AR84*(1+Inputs!$C$35)</f>
        <v>5343.0342548076906</v>
      </c>
      <c r="BE84" s="239">
        <f>AS84*(1+Inputs!$C$35)</f>
        <v>5343.0342548076906</v>
      </c>
      <c r="BF84" s="29">
        <f>AT84*(1+Inputs!$C$35)</f>
        <v>5476.6101111778826</v>
      </c>
      <c r="BG84" s="29">
        <f>AU84*(1+Inputs!$C$35)</f>
        <v>5476.6101111778826</v>
      </c>
      <c r="BH84" s="29">
        <f>AV84*(1+Inputs!$C$35)</f>
        <v>5476.6101111778826</v>
      </c>
      <c r="BI84" s="29">
        <f>AW84*(1+Inputs!$C$35)</f>
        <v>5476.6101111778826</v>
      </c>
      <c r="BJ84" s="29">
        <f>AX84*(1+Inputs!$C$35)</f>
        <v>5476.6101111778826</v>
      </c>
      <c r="BK84" s="29">
        <f>AY84*(1+Inputs!$C$35)</f>
        <v>5476.6101111778826</v>
      </c>
      <c r="BL84" s="29">
        <f>AZ84*(1+Inputs!$C$35)</f>
        <v>5476.6101111778826</v>
      </c>
      <c r="BM84" s="29">
        <f>BA84*(1+Inputs!$C$35)</f>
        <v>5476.6101111778826</v>
      </c>
      <c r="BN84" s="29">
        <f>BB84*(1+Inputs!$C$35)</f>
        <v>5476.6101111778826</v>
      </c>
      <c r="BO84" s="29">
        <f>BC84*(1+Inputs!$C$35)</f>
        <v>5476.6101111778826</v>
      </c>
      <c r="BP84" s="29">
        <f>BD84*(1+Inputs!$C$35)</f>
        <v>5476.6101111778826</v>
      </c>
      <c r="BQ84" s="29">
        <f>BE84*(1+Inputs!$C$35)</f>
        <v>5476.6101111778826</v>
      </c>
      <c r="BR84" s="29">
        <f>BF84*(1+Inputs!$C$35)</f>
        <v>5613.5253639573293</v>
      </c>
      <c r="BS84" s="29">
        <f>BG84*(1+Inputs!$C$35)</f>
        <v>5613.5253639573293</v>
      </c>
      <c r="BT84" s="29">
        <f>BH84*(1+Inputs!$C$35)</f>
        <v>5613.5253639573293</v>
      </c>
      <c r="BU84" s="29">
        <f>BI84*(1+Inputs!$C$35)</f>
        <v>5613.5253639573293</v>
      </c>
      <c r="BW84" s="29">
        <f t="shared" ref="BW84:CA84" si="107">SUMIF($J$6:$BU$6,BW$9,$J84:$BU84)</f>
        <v>59538.461538461532</v>
      </c>
      <c r="BX84" s="29">
        <f t="shared" si="107"/>
        <v>61026.923076923063</v>
      </c>
      <c r="BY84" s="29">
        <f t="shared" si="107"/>
        <v>62552.596153846134</v>
      </c>
      <c r="BZ84" s="29">
        <f t="shared" si="107"/>
        <v>64116.411057692276</v>
      </c>
      <c r="CA84" s="29">
        <f t="shared" si="107"/>
        <v>65719.321334134598</v>
      </c>
      <c r="CB84" s="29">
        <f>CA84*(1+Inputs!$C$35)</f>
        <v>67362.304367487959</v>
      </c>
      <c r="CC84" s="29">
        <f>CB84*(1+Inputs!$C$35)</f>
        <v>69046.361976675151</v>
      </c>
      <c r="CD84" s="29">
        <f>CC84*(1+Inputs!$C$35)</f>
        <v>70772.521026092028</v>
      </c>
      <c r="CE84" s="29">
        <f>CD84*(1+Inputs!$C$35)</f>
        <v>72541.834051744328</v>
      </c>
      <c r="CF84" s="29">
        <f>CE84*(1+Inputs!$C$35)</f>
        <v>74355.37990303793</v>
      </c>
      <c r="CG84" s="29">
        <f>CF84*(1+Inputs!$C$35)</f>
        <v>76214.264400613873</v>
      </c>
      <c r="CH84" s="29">
        <f>CG84*(1+Inputs!$C$35)</f>
        <v>78119.621010629213</v>
      </c>
      <c r="CI84" s="29">
        <f>CH84*(1+Inputs!$C$35)</f>
        <v>80072.611535894932</v>
      </c>
      <c r="CJ84" s="29">
        <f>CI84*(1+Inputs!$C$35)</f>
        <v>82074.426824292299</v>
      </c>
      <c r="CK84" s="29">
        <f>CJ84*(1+Inputs!$C$35)</f>
        <v>84126.287494899603</v>
      </c>
    </row>
    <row r="85" spans="1:109" ht="14.25" customHeight="1" x14ac:dyDescent="0.2">
      <c r="A85" s="11">
        <f t="shared" si="58"/>
        <v>0</v>
      </c>
      <c r="B85" s="56">
        <f t="shared" si="106"/>
        <v>6112</v>
      </c>
      <c r="D85" s="56"/>
      <c r="F85" s="56">
        <v>6112</v>
      </c>
      <c r="G85" s="11" t="s">
        <v>361</v>
      </c>
      <c r="H85" s="296">
        <f>Inputs!$Q5*Inputs!$Q4</f>
        <v>822</v>
      </c>
      <c r="I85" s="1"/>
      <c r="J85" s="29">
        <f t="shared" ref="J85:U85" si="108">$H85</f>
        <v>822</v>
      </c>
      <c r="K85" s="29">
        <f t="shared" si="108"/>
        <v>822</v>
      </c>
      <c r="L85" s="29">
        <f t="shared" si="108"/>
        <v>822</v>
      </c>
      <c r="M85" s="29">
        <f t="shared" si="108"/>
        <v>822</v>
      </c>
      <c r="N85" s="29">
        <f t="shared" si="108"/>
        <v>822</v>
      </c>
      <c r="O85" s="29">
        <f t="shared" si="108"/>
        <v>822</v>
      </c>
      <c r="P85" s="29">
        <f t="shared" si="108"/>
        <v>822</v>
      </c>
      <c r="Q85" s="29">
        <f t="shared" si="108"/>
        <v>822</v>
      </c>
      <c r="R85" s="29">
        <f t="shared" si="108"/>
        <v>822</v>
      </c>
      <c r="S85" s="29">
        <f t="shared" si="108"/>
        <v>822</v>
      </c>
      <c r="T85" s="29">
        <f t="shared" si="108"/>
        <v>822</v>
      </c>
      <c r="U85" s="239">
        <f t="shared" si="108"/>
        <v>822</v>
      </c>
      <c r="V85" s="29">
        <f>J85*(1+Inputs!$C$35)</f>
        <v>842.55</v>
      </c>
      <c r="W85" s="29">
        <f>K85*(1+Inputs!$C$35)</f>
        <v>842.55</v>
      </c>
      <c r="X85" s="29">
        <f>L85*(1+Inputs!$C$35)</f>
        <v>842.55</v>
      </c>
      <c r="Y85" s="29">
        <f>M85*(1+Inputs!$C$35)</f>
        <v>842.55</v>
      </c>
      <c r="Z85" s="29">
        <f>N85*(1+Inputs!$C$35)</f>
        <v>842.55</v>
      </c>
      <c r="AA85" s="29">
        <f>O85*(1+Inputs!$C$35)</f>
        <v>842.55</v>
      </c>
      <c r="AB85" s="29">
        <f>P85*(1+Inputs!$C$35)</f>
        <v>842.55</v>
      </c>
      <c r="AC85" s="29">
        <f>Q85*(1+Inputs!$C$35)</f>
        <v>842.55</v>
      </c>
      <c r="AD85" s="29">
        <f>R85*(1+Inputs!$C$35)</f>
        <v>842.55</v>
      </c>
      <c r="AE85" s="29">
        <f>S85*(1+Inputs!$C$35)</f>
        <v>842.55</v>
      </c>
      <c r="AF85" s="29">
        <f>T85*(1+Inputs!$C$35)</f>
        <v>842.55</v>
      </c>
      <c r="AG85" s="239">
        <f>U85*(1+Inputs!$C$35)</f>
        <v>842.55</v>
      </c>
      <c r="AH85" s="29">
        <f>V85*(1+Inputs!$C$35)</f>
        <v>863.61374999999987</v>
      </c>
      <c r="AI85" s="29">
        <f>W85*(1+Inputs!$C$35)</f>
        <v>863.61374999999987</v>
      </c>
      <c r="AJ85" s="29">
        <f>X85*(1+Inputs!$C$35)</f>
        <v>863.61374999999987</v>
      </c>
      <c r="AK85" s="29">
        <f>Y85*(1+Inputs!$C$35)</f>
        <v>863.61374999999987</v>
      </c>
      <c r="AL85" s="29">
        <f>Z85*(1+Inputs!$C$35)</f>
        <v>863.61374999999987</v>
      </c>
      <c r="AM85" s="29">
        <f>AA85*(1+Inputs!$C$35)</f>
        <v>863.61374999999987</v>
      </c>
      <c r="AN85" s="29">
        <f>AB85*(1+Inputs!$C$35)</f>
        <v>863.61374999999987</v>
      </c>
      <c r="AO85" s="29">
        <f>AC85*(1+Inputs!$C$35)</f>
        <v>863.61374999999987</v>
      </c>
      <c r="AP85" s="29">
        <f>AD85*(1+Inputs!$C$35)</f>
        <v>863.61374999999987</v>
      </c>
      <c r="AQ85" s="29">
        <f>AE85*(1+Inputs!$C$35)</f>
        <v>863.61374999999987</v>
      </c>
      <c r="AR85" s="29">
        <f>AF85*(1+Inputs!$C$35)</f>
        <v>863.61374999999987</v>
      </c>
      <c r="AS85" s="239">
        <f>AG85*(1+Inputs!$C$35)</f>
        <v>863.61374999999987</v>
      </c>
      <c r="AT85" s="29">
        <f>AH85*(1+Inputs!$C$35)</f>
        <v>885.20409374999974</v>
      </c>
      <c r="AU85" s="29">
        <f>AI85*(1+Inputs!$C$35)</f>
        <v>885.20409374999974</v>
      </c>
      <c r="AV85" s="29">
        <f>AJ85*(1+Inputs!$C$35)</f>
        <v>885.20409374999974</v>
      </c>
      <c r="AW85" s="29">
        <f>AK85*(1+Inputs!$C$35)</f>
        <v>885.20409374999974</v>
      </c>
      <c r="AX85" s="29">
        <f>AL85*(1+Inputs!$C$35)</f>
        <v>885.20409374999974</v>
      </c>
      <c r="AY85" s="29">
        <f>AM85*(1+Inputs!$C$35)</f>
        <v>885.20409374999974</v>
      </c>
      <c r="AZ85" s="29">
        <f>AN85*(1+Inputs!$C$35)</f>
        <v>885.20409374999974</v>
      </c>
      <c r="BA85" s="29">
        <f>AO85*(1+Inputs!$C$35)</f>
        <v>885.20409374999974</v>
      </c>
      <c r="BB85" s="29">
        <f>AP85*(1+Inputs!$C$35)</f>
        <v>885.20409374999974</v>
      </c>
      <c r="BC85" s="29">
        <f>AQ85*(1+Inputs!$C$35)</f>
        <v>885.20409374999974</v>
      </c>
      <c r="BD85" s="29">
        <f>AR85*(1+Inputs!$C$35)</f>
        <v>885.20409374999974</v>
      </c>
      <c r="BE85" s="239">
        <f>AS85*(1+Inputs!$C$35)</f>
        <v>885.20409374999974</v>
      </c>
      <c r="BF85" s="29">
        <f>AT85*(1+Inputs!$C$35)</f>
        <v>907.33419609374971</v>
      </c>
      <c r="BG85" s="29">
        <f>AU85*(1+Inputs!$C$35)</f>
        <v>907.33419609374971</v>
      </c>
      <c r="BH85" s="29">
        <f>AV85*(1+Inputs!$C$35)</f>
        <v>907.33419609374971</v>
      </c>
      <c r="BI85" s="29">
        <f>AW85*(1+Inputs!$C$35)</f>
        <v>907.33419609374971</v>
      </c>
      <c r="BJ85" s="29">
        <f>AX85*(1+Inputs!$C$35)</f>
        <v>907.33419609374971</v>
      </c>
      <c r="BK85" s="29">
        <f>AY85*(1+Inputs!$C$35)</f>
        <v>907.33419609374971</v>
      </c>
      <c r="BL85" s="29">
        <f>AZ85*(1+Inputs!$C$35)</f>
        <v>907.33419609374971</v>
      </c>
      <c r="BM85" s="29">
        <f>BA85*(1+Inputs!$C$35)</f>
        <v>907.33419609374971</v>
      </c>
      <c r="BN85" s="29">
        <f>BB85*(1+Inputs!$C$35)</f>
        <v>907.33419609374971</v>
      </c>
      <c r="BO85" s="29">
        <f>BC85*(1+Inputs!$C$35)</f>
        <v>907.33419609374971</v>
      </c>
      <c r="BP85" s="29">
        <f>BD85*(1+Inputs!$C$35)</f>
        <v>907.33419609374971</v>
      </c>
      <c r="BQ85" s="29">
        <f>BE85*(1+Inputs!$C$35)</f>
        <v>907.33419609374971</v>
      </c>
      <c r="BR85" s="29">
        <f>BF85*(1+Inputs!$C$35)</f>
        <v>930.01755099609341</v>
      </c>
      <c r="BS85" s="29">
        <f>BG85*(1+Inputs!$C$35)</f>
        <v>930.01755099609341</v>
      </c>
      <c r="BT85" s="29">
        <f>BH85*(1+Inputs!$C$35)</f>
        <v>930.01755099609341</v>
      </c>
      <c r="BU85" s="29">
        <f>BI85*(1+Inputs!$C$35)</f>
        <v>930.01755099609341</v>
      </c>
      <c r="BW85" s="29">
        <f t="shared" ref="BW85:CA85" si="109">SUMIF($J$6:$BU$6,BW$9,$J85:$BU85)</f>
        <v>9864</v>
      </c>
      <c r="BX85" s="29">
        <f t="shared" si="109"/>
        <v>10110.599999999999</v>
      </c>
      <c r="BY85" s="29">
        <f t="shared" si="109"/>
        <v>10363.364999999998</v>
      </c>
      <c r="BZ85" s="29">
        <f t="shared" si="109"/>
        <v>10622.449124999999</v>
      </c>
      <c r="CA85" s="29">
        <f t="shared" si="109"/>
        <v>10888.010353124999</v>
      </c>
      <c r="CB85" s="29">
        <f>CA85*(1+Inputs!$C$35)</f>
        <v>11160.210611953124</v>
      </c>
      <c r="CC85" s="29">
        <f>CB85*(1+Inputs!$C$35)</f>
        <v>11439.215877251951</v>
      </c>
      <c r="CD85" s="29">
        <f>CC85*(1+Inputs!$C$35)</f>
        <v>11725.196274183249</v>
      </c>
      <c r="CE85" s="29">
        <f>CD85*(1+Inputs!$C$35)</f>
        <v>12018.326181037828</v>
      </c>
      <c r="CF85" s="29">
        <f>CE85*(1+Inputs!$C$35)</f>
        <v>12318.784335563772</v>
      </c>
      <c r="CG85" s="29">
        <f>CF85*(1+Inputs!$C$35)</f>
        <v>12626.753943952866</v>
      </c>
      <c r="CH85" s="29">
        <f>CG85*(1+Inputs!$C$35)</f>
        <v>12942.422792551686</v>
      </c>
      <c r="CI85" s="29">
        <f>CH85*(1+Inputs!$C$35)</f>
        <v>13265.983362365478</v>
      </c>
      <c r="CJ85" s="29">
        <f>CI85*(1+Inputs!$C$35)</f>
        <v>13597.632946424614</v>
      </c>
      <c r="CK85" s="29">
        <f>CJ85*(1+Inputs!$C$35)</f>
        <v>13937.573770085228</v>
      </c>
    </row>
    <row r="86" spans="1:109" ht="14.25" customHeight="1" x14ac:dyDescent="0.2">
      <c r="A86" s="11">
        <f t="shared" si="58"/>
        <v>0</v>
      </c>
      <c r="B86" s="56">
        <f t="shared" si="106"/>
        <v>6118</v>
      </c>
      <c r="D86" s="56"/>
      <c r="F86" s="56">
        <v>6118</v>
      </c>
      <c r="G86" s="11" t="s">
        <v>362</v>
      </c>
      <c r="H86" s="268">
        <v>0.01</v>
      </c>
      <c r="I86" s="1"/>
      <c r="J86" s="29">
        <f t="shared" ref="J86:BU86" si="110">$H86*J$84</f>
        <v>49.615384615384613</v>
      </c>
      <c r="K86" s="29">
        <f t="shared" si="110"/>
        <v>49.615384615384613</v>
      </c>
      <c r="L86" s="29">
        <f t="shared" si="110"/>
        <v>49.615384615384613</v>
      </c>
      <c r="M86" s="29">
        <f t="shared" si="110"/>
        <v>49.615384615384613</v>
      </c>
      <c r="N86" s="29">
        <f t="shared" si="110"/>
        <v>49.615384615384613</v>
      </c>
      <c r="O86" s="29">
        <f t="shared" si="110"/>
        <v>49.615384615384613</v>
      </c>
      <c r="P86" s="29">
        <f t="shared" si="110"/>
        <v>49.615384615384613</v>
      </c>
      <c r="Q86" s="29">
        <f t="shared" si="110"/>
        <v>49.615384615384613</v>
      </c>
      <c r="R86" s="29">
        <f t="shared" si="110"/>
        <v>49.615384615384613</v>
      </c>
      <c r="S86" s="29">
        <f t="shared" si="110"/>
        <v>49.615384615384613</v>
      </c>
      <c r="T86" s="29">
        <f t="shared" si="110"/>
        <v>49.615384615384613</v>
      </c>
      <c r="U86" s="239">
        <f t="shared" si="110"/>
        <v>49.615384615384613</v>
      </c>
      <c r="V86" s="29">
        <f t="shared" si="110"/>
        <v>50.855769230769219</v>
      </c>
      <c r="W86" s="29">
        <f t="shared" si="110"/>
        <v>50.855769230769219</v>
      </c>
      <c r="X86" s="29">
        <f t="shared" si="110"/>
        <v>50.855769230769219</v>
      </c>
      <c r="Y86" s="29">
        <f t="shared" si="110"/>
        <v>50.855769230769219</v>
      </c>
      <c r="Z86" s="29">
        <f t="shared" si="110"/>
        <v>50.855769230769219</v>
      </c>
      <c r="AA86" s="29">
        <f t="shared" si="110"/>
        <v>50.855769230769219</v>
      </c>
      <c r="AB86" s="29">
        <f t="shared" si="110"/>
        <v>50.855769230769219</v>
      </c>
      <c r="AC86" s="29">
        <f t="shared" si="110"/>
        <v>50.855769230769219</v>
      </c>
      <c r="AD86" s="29">
        <f t="shared" si="110"/>
        <v>50.855769230769219</v>
      </c>
      <c r="AE86" s="29">
        <f t="shared" si="110"/>
        <v>50.855769230769219</v>
      </c>
      <c r="AF86" s="29">
        <f t="shared" si="110"/>
        <v>50.855769230769219</v>
      </c>
      <c r="AG86" s="239">
        <f t="shared" si="110"/>
        <v>50.855769230769219</v>
      </c>
      <c r="AH86" s="29">
        <f t="shared" si="110"/>
        <v>52.127163461538451</v>
      </c>
      <c r="AI86" s="29">
        <f t="shared" si="110"/>
        <v>52.127163461538451</v>
      </c>
      <c r="AJ86" s="29">
        <f t="shared" si="110"/>
        <v>52.127163461538451</v>
      </c>
      <c r="AK86" s="29">
        <f t="shared" si="110"/>
        <v>52.127163461538451</v>
      </c>
      <c r="AL86" s="29">
        <f t="shared" si="110"/>
        <v>52.127163461538451</v>
      </c>
      <c r="AM86" s="29">
        <f t="shared" si="110"/>
        <v>52.127163461538451</v>
      </c>
      <c r="AN86" s="29">
        <f t="shared" si="110"/>
        <v>52.127163461538451</v>
      </c>
      <c r="AO86" s="29">
        <f t="shared" si="110"/>
        <v>52.127163461538451</v>
      </c>
      <c r="AP86" s="29">
        <f t="shared" si="110"/>
        <v>52.127163461538451</v>
      </c>
      <c r="AQ86" s="29">
        <f t="shared" si="110"/>
        <v>52.127163461538451</v>
      </c>
      <c r="AR86" s="29">
        <f t="shared" si="110"/>
        <v>52.127163461538451</v>
      </c>
      <c r="AS86" s="239">
        <f t="shared" si="110"/>
        <v>52.127163461538451</v>
      </c>
      <c r="AT86" s="29">
        <f t="shared" si="110"/>
        <v>53.430342548076908</v>
      </c>
      <c r="AU86" s="29">
        <f t="shared" si="110"/>
        <v>53.430342548076908</v>
      </c>
      <c r="AV86" s="29">
        <f t="shared" si="110"/>
        <v>53.430342548076908</v>
      </c>
      <c r="AW86" s="29">
        <f t="shared" si="110"/>
        <v>53.430342548076908</v>
      </c>
      <c r="AX86" s="29">
        <f t="shared" si="110"/>
        <v>53.430342548076908</v>
      </c>
      <c r="AY86" s="29">
        <f t="shared" si="110"/>
        <v>53.430342548076908</v>
      </c>
      <c r="AZ86" s="29">
        <f t="shared" si="110"/>
        <v>53.430342548076908</v>
      </c>
      <c r="BA86" s="29">
        <f t="shared" si="110"/>
        <v>53.430342548076908</v>
      </c>
      <c r="BB86" s="29">
        <f t="shared" si="110"/>
        <v>53.430342548076908</v>
      </c>
      <c r="BC86" s="29">
        <f t="shared" si="110"/>
        <v>53.430342548076908</v>
      </c>
      <c r="BD86" s="29">
        <f t="shared" si="110"/>
        <v>53.430342548076908</v>
      </c>
      <c r="BE86" s="239">
        <f t="shared" si="110"/>
        <v>53.430342548076908</v>
      </c>
      <c r="BF86" s="29">
        <f t="shared" si="110"/>
        <v>54.766101111778823</v>
      </c>
      <c r="BG86" s="29">
        <f t="shared" si="110"/>
        <v>54.766101111778823</v>
      </c>
      <c r="BH86" s="29">
        <f t="shared" si="110"/>
        <v>54.766101111778823</v>
      </c>
      <c r="BI86" s="29">
        <f t="shared" si="110"/>
        <v>54.766101111778823</v>
      </c>
      <c r="BJ86" s="29">
        <f t="shared" si="110"/>
        <v>54.766101111778823</v>
      </c>
      <c r="BK86" s="29">
        <f t="shared" si="110"/>
        <v>54.766101111778823</v>
      </c>
      <c r="BL86" s="29">
        <f t="shared" si="110"/>
        <v>54.766101111778823</v>
      </c>
      <c r="BM86" s="29">
        <f t="shared" si="110"/>
        <v>54.766101111778823</v>
      </c>
      <c r="BN86" s="29">
        <f t="shared" si="110"/>
        <v>54.766101111778823</v>
      </c>
      <c r="BO86" s="29">
        <f t="shared" si="110"/>
        <v>54.766101111778823</v>
      </c>
      <c r="BP86" s="29">
        <f t="shared" si="110"/>
        <v>54.766101111778823</v>
      </c>
      <c r="BQ86" s="29">
        <f t="shared" si="110"/>
        <v>54.766101111778823</v>
      </c>
      <c r="BR86" s="29">
        <f t="shared" si="110"/>
        <v>56.135253639573293</v>
      </c>
      <c r="BS86" s="29">
        <f t="shared" si="110"/>
        <v>56.135253639573293</v>
      </c>
      <c r="BT86" s="29">
        <f t="shared" si="110"/>
        <v>56.135253639573293</v>
      </c>
      <c r="BU86" s="29">
        <f t="shared" si="110"/>
        <v>56.135253639573293</v>
      </c>
      <c r="BW86" s="29">
        <f t="shared" ref="BW86:CA86" si="111">SUMIF($J$6:$BU$6,BW$9,$J86:$BU86)</f>
        <v>595.38461538461547</v>
      </c>
      <c r="BX86" s="29">
        <f t="shared" si="111"/>
        <v>610.2692307692306</v>
      </c>
      <c r="BY86" s="29">
        <f t="shared" si="111"/>
        <v>625.52596153846127</v>
      </c>
      <c r="BZ86" s="29">
        <f t="shared" si="111"/>
        <v>641.16411057692289</v>
      </c>
      <c r="CA86" s="29">
        <f t="shared" si="111"/>
        <v>657.19321334134588</v>
      </c>
      <c r="CB86" s="29">
        <f>CA86*(1+Inputs!$C$35)</f>
        <v>673.62304367487945</v>
      </c>
      <c r="CC86" s="29">
        <f>CB86*(1+Inputs!$C$35)</f>
        <v>690.46361976675144</v>
      </c>
      <c r="CD86" s="29">
        <f>CC86*(1+Inputs!$C$35)</f>
        <v>707.72521026092011</v>
      </c>
      <c r="CE86" s="29">
        <f>CD86*(1+Inputs!$C$35)</f>
        <v>725.41834051744308</v>
      </c>
      <c r="CF86" s="29">
        <f>CE86*(1+Inputs!$C$35)</f>
        <v>743.55379903037908</v>
      </c>
      <c r="CG86" s="29">
        <f>CF86*(1+Inputs!$C$35)</f>
        <v>762.14264400613854</v>
      </c>
      <c r="CH86" s="29">
        <f>CG86*(1+Inputs!$C$35)</f>
        <v>781.19621010629191</v>
      </c>
      <c r="CI86" s="29">
        <f>CH86*(1+Inputs!$C$35)</f>
        <v>800.72611535894919</v>
      </c>
      <c r="CJ86" s="29">
        <f>CI86*(1+Inputs!$C$35)</f>
        <v>820.74426824292289</v>
      </c>
      <c r="CK86" s="29">
        <f>CJ86*(1+Inputs!$C$35)</f>
        <v>841.26287494899589</v>
      </c>
    </row>
    <row r="87" spans="1:109" ht="14.25" customHeight="1" x14ac:dyDescent="0.2">
      <c r="A87" s="11">
        <f t="shared" si="58"/>
        <v>0</v>
      </c>
      <c r="B87" s="56">
        <f t="shared" si="106"/>
        <v>6130</v>
      </c>
      <c r="D87" s="56"/>
      <c r="F87" s="56">
        <v>6130</v>
      </c>
      <c r="G87" s="11" t="s">
        <v>69</v>
      </c>
      <c r="H87" s="268">
        <f>VLOOKUP($F87,Inputs!$L:$Q,6,FALSE)</f>
        <v>0.01</v>
      </c>
      <c r="I87" s="1"/>
      <c r="J87" s="29">
        <f t="shared" ref="J87:BU87" si="112">$H87*(J88+J84)</f>
        <v>50.111538461538458</v>
      </c>
      <c r="K87" s="29">
        <f t="shared" si="112"/>
        <v>50.111538461538458</v>
      </c>
      <c r="L87" s="29">
        <f t="shared" si="112"/>
        <v>50.111538461538458</v>
      </c>
      <c r="M87" s="29">
        <f t="shared" si="112"/>
        <v>50.111538461538458</v>
      </c>
      <c r="N87" s="29">
        <f t="shared" si="112"/>
        <v>50.111538461538458</v>
      </c>
      <c r="O87" s="29">
        <f t="shared" si="112"/>
        <v>50.111538461538458</v>
      </c>
      <c r="P87" s="29">
        <f t="shared" si="112"/>
        <v>50.111538461538458</v>
      </c>
      <c r="Q87" s="29">
        <f t="shared" si="112"/>
        <v>50.111538461538458</v>
      </c>
      <c r="R87" s="29">
        <f t="shared" si="112"/>
        <v>50.111538461538458</v>
      </c>
      <c r="S87" s="29">
        <f t="shared" si="112"/>
        <v>50.111538461538458</v>
      </c>
      <c r="T87" s="29">
        <f t="shared" si="112"/>
        <v>50.111538461538458</v>
      </c>
      <c r="U87" s="239">
        <f t="shared" si="112"/>
        <v>50.111538461538458</v>
      </c>
      <c r="V87" s="29">
        <f t="shared" si="112"/>
        <v>51.364326923076916</v>
      </c>
      <c r="W87" s="29">
        <f t="shared" si="112"/>
        <v>51.364326923076916</v>
      </c>
      <c r="X87" s="29">
        <f t="shared" si="112"/>
        <v>51.364326923076916</v>
      </c>
      <c r="Y87" s="29">
        <f t="shared" si="112"/>
        <v>51.364326923076916</v>
      </c>
      <c r="Z87" s="29">
        <f t="shared" si="112"/>
        <v>51.364326923076916</v>
      </c>
      <c r="AA87" s="29">
        <f t="shared" si="112"/>
        <v>51.364326923076916</v>
      </c>
      <c r="AB87" s="29">
        <f t="shared" si="112"/>
        <v>51.364326923076916</v>
      </c>
      <c r="AC87" s="29">
        <f t="shared" si="112"/>
        <v>51.364326923076916</v>
      </c>
      <c r="AD87" s="29">
        <f t="shared" si="112"/>
        <v>51.364326923076916</v>
      </c>
      <c r="AE87" s="29">
        <f t="shared" si="112"/>
        <v>51.364326923076916</v>
      </c>
      <c r="AF87" s="29">
        <f t="shared" si="112"/>
        <v>51.364326923076916</v>
      </c>
      <c r="AG87" s="239">
        <f t="shared" si="112"/>
        <v>51.364326923076916</v>
      </c>
      <c r="AH87" s="29">
        <f t="shared" si="112"/>
        <v>52.648435096153833</v>
      </c>
      <c r="AI87" s="29">
        <f t="shared" si="112"/>
        <v>52.648435096153833</v>
      </c>
      <c r="AJ87" s="29">
        <f t="shared" si="112"/>
        <v>52.648435096153833</v>
      </c>
      <c r="AK87" s="29">
        <f t="shared" si="112"/>
        <v>52.648435096153833</v>
      </c>
      <c r="AL87" s="29">
        <f t="shared" si="112"/>
        <v>52.648435096153833</v>
      </c>
      <c r="AM87" s="29">
        <f t="shared" si="112"/>
        <v>52.648435096153833</v>
      </c>
      <c r="AN87" s="29">
        <f t="shared" si="112"/>
        <v>52.648435096153833</v>
      </c>
      <c r="AO87" s="29">
        <f t="shared" si="112"/>
        <v>52.648435096153833</v>
      </c>
      <c r="AP87" s="29">
        <f t="shared" si="112"/>
        <v>52.648435096153833</v>
      </c>
      <c r="AQ87" s="29">
        <f t="shared" si="112"/>
        <v>52.648435096153833</v>
      </c>
      <c r="AR87" s="29">
        <f t="shared" si="112"/>
        <v>52.648435096153833</v>
      </c>
      <c r="AS87" s="239">
        <f t="shared" si="112"/>
        <v>52.648435096153833</v>
      </c>
      <c r="AT87" s="29">
        <f t="shared" si="112"/>
        <v>53.964645973557673</v>
      </c>
      <c r="AU87" s="29">
        <f t="shared" si="112"/>
        <v>53.964645973557673</v>
      </c>
      <c r="AV87" s="29">
        <f t="shared" si="112"/>
        <v>53.964645973557673</v>
      </c>
      <c r="AW87" s="29">
        <f t="shared" si="112"/>
        <v>53.964645973557673</v>
      </c>
      <c r="AX87" s="29">
        <f t="shared" si="112"/>
        <v>53.964645973557673</v>
      </c>
      <c r="AY87" s="29">
        <f t="shared" si="112"/>
        <v>53.964645973557673</v>
      </c>
      <c r="AZ87" s="29">
        <f t="shared" si="112"/>
        <v>53.964645973557673</v>
      </c>
      <c r="BA87" s="29">
        <f t="shared" si="112"/>
        <v>53.964645973557673</v>
      </c>
      <c r="BB87" s="29">
        <f t="shared" si="112"/>
        <v>53.964645973557673</v>
      </c>
      <c r="BC87" s="29">
        <f t="shared" si="112"/>
        <v>53.964645973557673</v>
      </c>
      <c r="BD87" s="29">
        <f t="shared" si="112"/>
        <v>53.964645973557673</v>
      </c>
      <c r="BE87" s="239">
        <f t="shared" si="112"/>
        <v>53.964645973557673</v>
      </c>
      <c r="BF87" s="29">
        <f t="shared" si="112"/>
        <v>55.313762122896613</v>
      </c>
      <c r="BG87" s="29">
        <f t="shared" si="112"/>
        <v>55.313762122896613</v>
      </c>
      <c r="BH87" s="29">
        <f t="shared" si="112"/>
        <v>55.313762122896613</v>
      </c>
      <c r="BI87" s="29">
        <f t="shared" si="112"/>
        <v>55.313762122896613</v>
      </c>
      <c r="BJ87" s="29">
        <f t="shared" si="112"/>
        <v>55.313762122896613</v>
      </c>
      <c r="BK87" s="29">
        <f t="shared" si="112"/>
        <v>55.313762122896613</v>
      </c>
      <c r="BL87" s="29">
        <f t="shared" si="112"/>
        <v>55.313762122896613</v>
      </c>
      <c r="BM87" s="29">
        <f t="shared" si="112"/>
        <v>55.313762122896613</v>
      </c>
      <c r="BN87" s="29">
        <f t="shared" si="112"/>
        <v>55.313762122896613</v>
      </c>
      <c r="BO87" s="29">
        <f t="shared" si="112"/>
        <v>55.313762122896613</v>
      </c>
      <c r="BP87" s="29">
        <f t="shared" si="112"/>
        <v>55.313762122896613</v>
      </c>
      <c r="BQ87" s="29">
        <f t="shared" si="112"/>
        <v>55.313762122896613</v>
      </c>
      <c r="BR87" s="29">
        <f t="shared" si="112"/>
        <v>56.696606175969031</v>
      </c>
      <c r="BS87" s="29">
        <f t="shared" si="112"/>
        <v>56.696606175969031</v>
      </c>
      <c r="BT87" s="29">
        <f t="shared" si="112"/>
        <v>56.696606175969031</v>
      </c>
      <c r="BU87" s="29">
        <f t="shared" si="112"/>
        <v>56.696606175969031</v>
      </c>
      <c r="BW87" s="29">
        <f t="shared" ref="BW87:CA87" si="113">SUMIF($J$6:$BU$6,BW$9,$J87:$BU87)</f>
        <v>601.33846153846139</v>
      </c>
      <c r="BX87" s="29">
        <f t="shared" si="113"/>
        <v>616.37192307692294</v>
      </c>
      <c r="BY87" s="29">
        <f t="shared" si="113"/>
        <v>631.78122115384599</v>
      </c>
      <c r="BZ87" s="29">
        <f t="shared" si="113"/>
        <v>647.57575168269204</v>
      </c>
      <c r="CA87" s="29">
        <f t="shared" si="113"/>
        <v>663.76514547475938</v>
      </c>
      <c r="CB87" s="29">
        <f>CA87*(1+Inputs!$C$35)</f>
        <v>680.35927411162834</v>
      </c>
      <c r="CC87" s="29">
        <f>CB87*(1+Inputs!$C$35)</f>
        <v>697.36825596441895</v>
      </c>
      <c r="CD87" s="29">
        <f>CC87*(1+Inputs!$C$35)</f>
        <v>714.80246236352934</v>
      </c>
      <c r="CE87" s="29">
        <f>CD87*(1+Inputs!$C$35)</f>
        <v>732.67252392261753</v>
      </c>
      <c r="CF87" s="29">
        <f>CE87*(1+Inputs!$C$35)</f>
        <v>750.98933702068291</v>
      </c>
      <c r="CG87" s="29">
        <f>CF87*(1+Inputs!$C$35)</f>
        <v>769.76407044619987</v>
      </c>
      <c r="CH87" s="29">
        <f>CG87*(1+Inputs!$C$35)</f>
        <v>789.00817220735485</v>
      </c>
      <c r="CI87" s="29">
        <f>CH87*(1+Inputs!$C$35)</f>
        <v>808.7333765125386</v>
      </c>
      <c r="CJ87" s="29">
        <f>CI87*(1+Inputs!$C$35)</f>
        <v>828.95171092535202</v>
      </c>
      <c r="CK87" s="29">
        <f>CJ87*(1+Inputs!$C$35)</f>
        <v>849.67550369848573</v>
      </c>
    </row>
    <row r="88" spans="1:109" ht="14.25" customHeight="1" x14ac:dyDescent="0.2">
      <c r="A88" s="11">
        <f t="shared" si="58"/>
        <v>0</v>
      </c>
      <c r="B88" s="56">
        <f t="shared" si="106"/>
        <v>6135</v>
      </c>
      <c r="D88" s="56"/>
      <c r="F88" s="56">
        <v>6135</v>
      </c>
      <c r="G88" s="11" t="s">
        <v>363</v>
      </c>
      <c r="H88" s="268">
        <v>0.01</v>
      </c>
      <c r="I88" s="1"/>
      <c r="J88" s="29">
        <f t="shared" ref="J88:BU88" si="114">$H88*J$84</f>
        <v>49.615384615384613</v>
      </c>
      <c r="K88" s="29">
        <f t="shared" si="114"/>
        <v>49.615384615384613</v>
      </c>
      <c r="L88" s="29">
        <f t="shared" si="114"/>
        <v>49.615384615384613</v>
      </c>
      <c r="M88" s="29">
        <f t="shared" si="114"/>
        <v>49.615384615384613</v>
      </c>
      <c r="N88" s="29">
        <f t="shared" si="114"/>
        <v>49.615384615384613</v>
      </c>
      <c r="O88" s="29">
        <f t="shared" si="114"/>
        <v>49.615384615384613</v>
      </c>
      <c r="P88" s="29">
        <f t="shared" si="114"/>
        <v>49.615384615384613</v>
      </c>
      <c r="Q88" s="29">
        <f t="shared" si="114"/>
        <v>49.615384615384613</v>
      </c>
      <c r="R88" s="29">
        <f t="shared" si="114"/>
        <v>49.615384615384613</v>
      </c>
      <c r="S88" s="29">
        <f t="shared" si="114"/>
        <v>49.615384615384613</v>
      </c>
      <c r="T88" s="29">
        <f t="shared" si="114"/>
        <v>49.615384615384613</v>
      </c>
      <c r="U88" s="239">
        <f t="shared" si="114"/>
        <v>49.615384615384613</v>
      </c>
      <c r="V88" s="29">
        <f t="shared" si="114"/>
        <v>50.855769230769219</v>
      </c>
      <c r="W88" s="29">
        <f t="shared" si="114"/>
        <v>50.855769230769219</v>
      </c>
      <c r="X88" s="29">
        <f t="shared" si="114"/>
        <v>50.855769230769219</v>
      </c>
      <c r="Y88" s="29">
        <f t="shared" si="114"/>
        <v>50.855769230769219</v>
      </c>
      <c r="Z88" s="29">
        <f t="shared" si="114"/>
        <v>50.855769230769219</v>
      </c>
      <c r="AA88" s="29">
        <f t="shared" si="114"/>
        <v>50.855769230769219</v>
      </c>
      <c r="AB88" s="29">
        <f t="shared" si="114"/>
        <v>50.855769230769219</v>
      </c>
      <c r="AC88" s="29">
        <f t="shared" si="114"/>
        <v>50.855769230769219</v>
      </c>
      <c r="AD88" s="29">
        <f t="shared" si="114"/>
        <v>50.855769230769219</v>
      </c>
      <c r="AE88" s="29">
        <f t="shared" si="114"/>
        <v>50.855769230769219</v>
      </c>
      <c r="AF88" s="29">
        <f t="shared" si="114"/>
        <v>50.855769230769219</v>
      </c>
      <c r="AG88" s="239">
        <f t="shared" si="114"/>
        <v>50.855769230769219</v>
      </c>
      <c r="AH88" s="29">
        <f t="shared" si="114"/>
        <v>52.127163461538451</v>
      </c>
      <c r="AI88" s="29">
        <f t="shared" si="114"/>
        <v>52.127163461538451</v>
      </c>
      <c r="AJ88" s="29">
        <f t="shared" si="114"/>
        <v>52.127163461538451</v>
      </c>
      <c r="AK88" s="29">
        <f t="shared" si="114"/>
        <v>52.127163461538451</v>
      </c>
      <c r="AL88" s="29">
        <f t="shared" si="114"/>
        <v>52.127163461538451</v>
      </c>
      <c r="AM88" s="29">
        <f t="shared" si="114"/>
        <v>52.127163461538451</v>
      </c>
      <c r="AN88" s="29">
        <f t="shared" si="114"/>
        <v>52.127163461538451</v>
      </c>
      <c r="AO88" s="29">
        <f t="shared" si="114"/>
        <v>52.127163461538451</v>
      </c>
      <c r="AP88" s="29">
        <f t="shared" si="114"/>
        <v>52.127163461538451</v>
      </c>
      <c r="AQ88" s="29">
        <f t="shared" si="114"/>
        <v>52.127163461538451</v>
      </c>
      <c r="AR88" s="29">
        <f t="shared" si="114"/>
        <v>52.127163461538451</v>
      </c>
      <c r="AS88" s="239">
        <f t="shared" si="114"/>
        <v>52.127163461538451</v>
      </c>
      <c r="AT88" s="29">
        <f t="shared" si="114"/>
        <v>53.430342548076908</v>
      </c>
      <c r="AU88" s="29">
        <f t="shared" si="114"/>
        <v>53.430342548076908</v>
      </c>
      <c r="AV88" s="29">
        <f t="shared" si="114"/>
        <v>53.430342548076908</v>
      </c>
      <c r="AW88" s="29">
        <f t="shared" si="114"/>
        <v>53.430342548076908</v>
      </c>
      <c r="AX88" s="29">
        <f t="shared" si="114"/>
        <v>53.430342548076908</v>
      </c>
      <c r="AY88" s="29">
        <f t="shared" si="114"/>
        <v>53.430342548076908</v>
      </c>
      <c r="AZ88" s="29">
        <f t="shared" si="114"/>
        <v>53.430342548076908</v>
      </c>
      <c r="BA88" s="29">
        <f t="shared" si="114"/>
        <v>53.430342548076908</v>
      </c>
      <c r="BB88" s="29">
        <f t="shared" si="114"/>
        <v>53.430342548076908</v>
      </c>
      <c r="BC88" s="29">
        <f t="shared" si="114"/>
        <v>53.430342548076908</v>
      </c>
      <c r="BD88" s="29">
        <f t="shared" si="114"/>
        <v>53.430342548076908</v>
      </c>
      <c r="BE88" s="239">
        <f t="shared" si="114"/>
        <v>53.430342548076908</v>
      </c>
      <c r="BF88" s="29">
        <f t="shared" si="114"/>
        <v>54.766101111778823</v>
      </c>
      <c r="BG88" s="29">
        <f t="shared" si="114"/>
        <v>54.766101111778823</v>
      </c>
      <c r="BH88" s="29">
        <f t="shared" si="114"/>
        <v>54.766101111778823</v>
      </c>
      <c r="BI88" s="29">
        <f t="shared" si="114"/>
        <v>54.766101111778823</v>
      </c>
      <c r="BJ88" s="29">
        <f t="shared" si="114"/>
        <v>54.766101111778823</v>
      </c>
      <c r="BK88" s="29">
        <f t="shared" si="114"/>
        <v>54.766101111778823</v>
      </c>
      <c r="BL88" s="29">
        <f t="shared" si="114"/>
        <v>54.766101111778823</v>
      </c>
      <c r="BM88" s="29">
        <f t="shared" si="114"/>
        <v>54.766101111778823</v>
      </c>
      <c r="BN88" s="29">
        <f t="shared" si="114"/>
        <v>54.766101111778823</v>
      </c>
      <c r="BO88" s="29">
        <f t="shared" si="114"/>
        <v>54.766101111778823</v>
      </c>
      <c r="BP88" s="29">
        <f t="shared" si="114"/>
        <v>54.766101111778823</v>
      </c>
      <c r="BQ88" s="29">
        <f t="shared" si="114"/>
        <v>54.766101111778823</v>
      </c>
      <c r="BR88" s="29">
        <f t="shared" si="114"/>
        <v>56.135253639573293</v>
      </c>
      <c r="BS88" s="29">
        <f t="shared" si="114"/>
        <v>56.135253639573293</v>
      </c>
      <c r="BT88" s="29">
        <f t="shared" si="114"/>
        <v>56.135253639573293</v>
      </c>
      <c r="BU88" s="29">
        <f t="shared" si="114"/>
        <v>56.135253639573293</v>
      </c>
      <c r="BW88" s="29">
        <f t="shared" ref="BW88:CA88" si="115">SUMIF($J$6:$BU$6,BW$9,$J88:$BU88)</f>
        <v>595.38461538461547</v>
      </c>
      <c r="BX88" s="29">
        <f t="shared" si="115"/>
        <v>610.2692307692306</v>
      </c>
      <c r="BY88" s="29">
        <f t="shared" si="115"/>
        <v>625.52596153846127</v>
      </c>
      <c r="BZ88" s="29">
        <f t="shared" si="115"/>
        <v>641.16411057692289</v>
      </c>
      <c r="CA88" s="29">
        <f t="shared" si="115"/>
        <v>657.19321334134588</v>
      </c>
      <c r="CB88" s="29">
        <f>CA88*(1+Inputs!$C$35)</f>
        <v>673.62304367487945</v>
      </c>
      <c r="CC88" s="29">
        <f>CB88*(1+Inputs!$C$35)</f>
        <v>690.46361976675144</v>
      </c>
      <c r="CD88" s="29">
        <f>CC88*(1+Inputs!$C$35)</f>
        <v>707.72521026092011</v>
      </c>
      <c r="CE88" s="29">
        <f>CD88*(1+Inputs!$C$35)</f>
        <v>725.41834051744308</v>
      </c>
      <c r="CF88" s="29">
        <f>CE88*(1+Inputs!$C$35)</f>
        <v>743.55379903037908</v>
      </c>
      <c r="CG88" s="29">
        <f>CF88*(1+Inputs!$C$35)</f>
        <v>762.14264400613854</v>
      </c>
      <c r="CH88" s="29">
        <f>CG88*(1+Inputs!$C$35)</f>
        <v>781.19621010629191</v>
      </c>
      <c r="CI88" s="29">
        <f>CH88*(1+Inputs!$C$35)</f>
        <v>800.72611535894919</v>
      </c>
      <c r="CJ88" s="29">
        <f>CI88*(1+Inputs!$C$35)</f>
        <v>820.74426824292289</v>
      </c>
      <c r="CK88" s="29">
        <f>CJ88*(1+Inputs!$C$35)</f>
        <v>841.26287494899589</v>
      </c>
    </row>
    <row r="89" spans="1:109" ht="14.25" customHeight="1" x14ac:dyDescent="0.2">
      <c r="A89" s="11">
        <f t="shared" si="58"/>
        <v>0</v>
      </c>
      <c r="B89" s="56">
        <f t="shared" si="106"/>
        <v>6283</v>
      </c>
      <c r="D89" s="56"/>
      <c r="F89" s="263">
        <v>6283</v>
      </c>
      <c r="G89" s="17" t="s">
        <v>364</v>
      </c>
      <c r="H89" s="297">
        <f>IFERROR(VLOOKUP(Inputs!$C$5,Modeling!$N$4:$O$39,2,FALSE),Inputs!$Q$7)</f>
        <v>0.01</v>
      </c>
      <c r="I89" s="236"/>
      <c r="J89" s="237">
        <f>IF($H$89=Inputs!$Q$7,$H89*J$84,$H89*J$84/100)</f>
        <v>49.615384615384613</v>
      </c>
      <c r="K89" s="237">
        <f>IF($H$89=Inputs!$Q$7,$H89*K$84,$H89*K$84/100)</f>
        <v>49.615384615384613</v>
      </c>
      <c r="L89" s="237">
        <f>IF($H$89=Inputs!$Q$7,$H89*L$84,$H89*L$84/100)</f>
        <v>49.615384615384613</v>
      </c>
      <c r="M89" s="237">
        <f>IF($H$89=Inputs!$Q$7,$H89*M$84,$H89*M$84/100)</f>
        <v>49.615384615384613</v>
      </c>
      <c r="N89" s="237">
        <f>IF($H$89=Inputs!$Q$7,$H89*N$84,$H89*N$84/100)</f>
        <v>49.615384615384613</v>
      </c>
      <c r="O89" s="237">
        <f>IF($H$89=Inputs!$Q$7,$H89*O$84,$H89*O$84/100)</f>
        <v>49.615384615384613</v>
      </c>
      <c r="P89" s="237">
        <f>IF($H$89=Inputs!$Q$7,$H89*P$84,$H89*P$84/100)</f>
        <v>49.615384615384613</v>
      </c>
      <c r="Q89" s="237">
        <f>IF($H$89=Inputs!$Q$7,$H89*Q$84,$H89*Q$84/100)</f>
        <v>49.615384615384613</v>
      </c>
      <c r="R89" s="237">
        <f>IF($H$89=Inputs!$Q$7,$H89*R$84,$H89*R$84/100)</f>
        <v>49.615384615384613</v>
      </c>
      <c r="S89" s="237">
        <f>IF($H$89=Inputs!$Q$7,$H89*S$84,$H89*S$84/100)</f>
        <v>49.615384615384613</v>
      </c>
      <c r="T89" s="237">
        <f>IF($H$89=Inputs!$Q$7,$H89*T$84,$H89*T$84/100)</f>
        <v>49.615384615384613</v>
      </c>
      <c r="U89" s="238">
        <f>IF($H$89=Inputs!$Q$7,$H89*U$84,$H89*U$84/100)</f>
        <v>49.615384615384613</v>
      </c>
      <c r="V89" s="237">
        <f>IF($H$89=Inputs!$Q$7,$H89*V$84,$H89*V$84/100)</f>
        <v>50.855769230769219</v>
      </c>
      <c r="W89" s="237">
        <f>IF($H$89=Inputs!$Q$7,$H89*W$84,$H89*W$84/100)</f>
        <v>50.855769230769219</v>
      </c>
      <c r="X89" s="237">
        <f>IF($H$89=Inputs!$Q$7,$H89*X$84,$H89*X$84/100)</f>
        <v>50.855769230769219</v>
      </c>
      <c r="Y89" s="237">
        <f>IF($H$89=Inputs!$Q$7,$H89*Y$84,$H89*Y$84/100)</f>
        <v>50.855769230769219</v>
      </c>
      <c r="Z89" s="237">
        <f>IF($H$89=Inputs!$Q$7,$H89*Z$84,$H89*Z$84/100)</f>
        <v>50.855769230769219</v>
      </c>
      <c r="AA89" s="237">
        <f>IF($H$89=Inputs!$Q$7,$H89*AA$84,$H89*AA$84/100)</f>
        <v>50.855769230769219</v>
      </c>
      <c r="AB89" s="237">
        <f>IF($H$89=Inputs!$Q$7,$H89*AB$84,$H89*AB$84/100)</f>
        <v>50.855769230769219</v>
      </c>
      <c r="AC89" s="237">
        <f>IF($H$89=Inputs!$Q$7,$H89*AC$84,$H89*AC$84/100)</f>
        <v>50.855769230769219</v>
      </c>
      <c r="AD89" s="237">
        <f>IF($H$89=Inputs!$Q$7,$H89*AD$84,$H89*AD$84/100)</f>
        <v>50.855769230769219</v>
      </c>
      <c r="AE89" s="237">
        <f>IF($H$89=Inputs!$Q$7,$H89*AE$84,$H89*AE$84/100)</f>
        <v>50.855769230769219</v>
      </c>
      <c r="AF89" s="237">
        <f>IF($H$89=Inputs!$Q$7,$H89*AF$84,$H89*AF$84/100)</f>
        <v>50.855769230769219</v>
      </c>
      <c r="AG89" s="238">
        <f>IF($H$89=Inputs!$Q$7,$H89*AG$84,$H89*AG$84/100)</f>
        <v>50.855769230769219</v>
      </c>
      <c r="AH89" s="237">
        <f>IF($H$89=Inputs!$Q$7,$H89*AH$84,$H89*AH$84/100)</f>
        <v>52.127163461538451</v>
      </c>
      <c r="AI89" s="237">
        <f>IF($H$89=Inputs!$Q$7,$H89*AI$84,$H89*AI$84/100)</f>
        <v>52.127163461538451</v>
      </c>
      <c r="AJ89" s="237">
        <f>IF($H$89=Inputs!$Q$7,$H89*AJ$84,$H89*AJ$84/100)</f>
        <v>52.127163461538451</v>
      </c>
      <c r="AK89" s="237">
        <f>IF($H$89=Inputs!$Q$7,$H89*AK$84,$H89*AK$84/100)</f>
        <v>52.127163461538451</v>
      </c>
      <c r="AL89" s="237">
        <f>IF($H$89=Inputs!$Q$7,$H89*AL$84,$H89*AL$84/100)</f>
        <v>52.127163461538451</v>
      </c>
      <c r="AM89" s="237">
        <f>IF($H$89=Inputs!$Q$7,$H89*AM$84,$H89*AM$84/100)</f>
        <v>52.127163461538451</v>
      </c>
      <c r="AN89" s="237">
        <f>IF($H$89=Inputs!$Q$7,$H89*AN$84,$H89*AN$84/100)</f>
        <v>52.127163461538451</v>
      </c>
      <c r="AO89" s="237">
        <f>IF($H$89=Inputs!$Q$7,$H89*AO$84,$H89*AO$84/100)</f>
        <v>52.127163461538451</v>
      </c>
      <c r="AP89" s="237">
        <f>IF($H$89=Inputs!$Q$7,$H89*AP$84,$H89*AP$84/100)</f>
        <v>52.127163461538451</v>
      </c>
      <c r="AQ89" s="237">
        <f>IF($H$89=Inputs!$Q$7,$H89*AQ$84,$H89*AQ$84/100)</f>
        <v>52.127163461538451</v>
      </c>
      <c r="AR89" s="237">
        <f>IF($H$89=Inputs!$Q$7,$H89*AR$84,$H89*AR$84/100)</f>
        <v>52.127163461538451</v>
      </c>
      <c r="AS89" s="238">
        <f>IF($H$89=Inputs!$Q$7,$H89*AS$84,$H89*AS$84/100)</f>
        <v>52.127163461538451</v>
      </c>
      <c r="AT89" s="237">
        <f>IF($H$89=Inputs!$Q$7,$H89*AT$84,$H89*AT$84/100)</f>
        <v>53.430342548076908</v>
      </c>
      <c r="AU89" s="237">
        <f>IF($H$89=Inputs!$Q$7,$H89*AU$84,$H89*AU$84/100)</f>
        <v>53.430342548076908</v>
      </c>
      <c r="AV89" s="237">
        <f>IF($H$89=Inputs!$Q$7,$H89*AV$84,$H89*AV$84/100)</f>
        <v>53.430342548076908</v>
      </c>
      <c r="AW89" s="237">
        <f>IF($H$89=Inputs!$Q$7,$H89*AW$84,$H89*AW$84/100)</f>
        <v>53.430342548076908</v>
      </c>
      <c r="AX89" s="237">
        <f>IF($H$89=Inputs!$Q$7,$H89*AX$84,$H89*AX$84/100)</f>
        <v>53.430342548076908</v>
      </c>
      <c r="AY89" s="237">
        <f>IF($H$89=Inputs!$Q$7,$H89*AY$84,$H89*AY$84/100)</f>
        <v>53.430342548076908</v>
      </c>
      <c r="AZ89" s="237">
        <f>IF($H$89=Inputs!$Q$7,$H89*AZ$84,$H89*AZ$84/100)</f>
        <v>53.430342548076908</v>
      </c>
      <c r="BA89" s="237">
        <f>IF($H$89=Inputs!$Q$7,$H89*BA$84,$H89*BA$84/100)</f>
        <v>53.430342548076908</v>
      </c>
      <c r="BB89" s="237">
        <f>IF($H$89=Inputs!$Q$7,$H89*BB$84,$H89*BB$84/100)</f>
        <v>53.430342548076908</v>
      </c>
      <c r="BC89" s="237">
        <f>IF($H$89=Inputs!$Q$7,$H89*BC$84,$H89*BC$84/100)</f>
        <v>53.430342548076908</v>
      </c>
      <c r="BD89" s="237">
        <f>IF($H$89=Inputs!$Q$7,$H89*BD$84,$H89*BD$84/100)</f>
        <v>53.430342548076908</v>
      </c>
      <c r="BE89" s="238">
        <f>IF($H$89=Inputs!$Q$7,$H89*BE$84,$H89*BE$84/100)</f>
        <v>53.430342548076908</v>
      </c>
      <c r="BF89" s="237">
        <f>IF($H$89=Inputs!$Q$7,$H89*BF$84,$H89*BF$84/100)</f>
        <v>54.766101111778823</v>
      </c>
      <c r="BG89" s="237">
        <f>IF($H$89=Inputs!$Q$7,$H89*BG$84,$H89*BG$84/100)</f>
        <v>54.766101111778823</v>
      </c>
      <c r="BH89" s="237">
        <f>IF($H$89=Inputs!$Q$7,$H89*BH$84,$H89*BH$84/100)</f>
        <v>54.766101111778823</v>
      </c>
      <c r="BI89" s="237">
        <f>IF($H$89=Inputs!$Q$7,$H89*BI$84,$H89*BI$84/100)</f>
        <v>54.766101111778823</v>
      </c>
      <c r="BJ89" s="237">
        <f>IF($H$89=Inputs!$Q$7,$H89*BJ$84,$H89*BJ$84/100)</f>
        <v>54.766101111778823</v>
      </c>
      <c r="BK89" s="237">
        <f>IF($H$89=Inputs!$Q$7,$H89*BK$84,$H89*BK$84/100)</f>
        <v>54.766101111778823</v>
      </c>
      <c r="BL89" s="237">
        <f>IF($H$89=Inputs!$Q$7,$H89*BL$84,$H89*BL$84/100)</f>
        <v>54.766101111778823</v>
      </c>
      <c r="BM89" s="237">
        <f>IF($H$89=Inputs!$Q$7,$H89*BM$84,$H89*BM$84/100)</f>
        <v>54.766101111778823</v>
      </c>
      <c r="BN89" s="237">
        <f>IF($H$89=Inputs!$Q$7,$H89*BN$84,$H89*BN$84/100)</f>
        <v>54.766101111778823</v>
      </c>
      <c r="BO89" s="237">
        <f>IF($H$89=Inputs!$Q$7,$H89*BO$84,$H89*BO$84/100)</f>
        <v>54.766101111778823</v>
      </c>
      <c r="BP89" s="237">
        <f>IF($H$89=Inputs!$Q$7,$H89*BP$84,$H89*BP$84/100)</f>
        <v>54.766101111778823</v>
      </c>
      <c r="BQ89" s="237">
        <f>IF($H$89=Inputs!$Q$7,$H89*BQ$84,$H89*BQ$84/100)</f>
        <v>54.766101111778823</v>
      </c>
      <c r="BR89" s="237">
        <f>IF($H$89=Inputs!$Q$7,$H89*BR$84,$H89*BR$84/100)</f>
        <v>56.135253639573293</v>
      </c>
      <c r="BS89" s="237">
        <f>IF($H$89=Inputs!$Q$7,$H89*BS$84,$H89*BS$84/100)</f>
        <v>56.135253639573293</v>
      </c>
      <c r="BT89" s="237">
        <f>IF($H$89=Inputs!$Q$7,$H89*BT$84,$H89*BT$84/100)</f>
        <v>56.135253639573293</v>
      </c>
      <c r="BU89" s="237">
        <f>IF($H$89=Inputs!$Q$7,$H89*BU$84,$H89*BU$84/100)</f>
        <v>56.135253639573293</v>
      </c>
      <c r="BW89" s="237">
        <f t="shared" ref="BW89:CA89" si="116">SUMIF($J$6:$BU$6,BW$9,$J89:$BU89)</f>
        <v>595.38461538461547</v>
      </c>
      <c r="BX89" s="237">
        <f t="shared" si="116"/>
        <v>610.2692307692306</v>
      </c>
      <c r="BY89" s="237">
        <f t="shared" si="116"/>
        <v>625.52596153846127</v>
      </c>
      <c r="BZ89" s="237">
        <f t="shared" si="116"/>
        <v>641.16411057692289</v>
      </c>
      <c r="CA89" s="237">
        <f t="shared" si="116"/>
        <v>657.19321334134588</v>
      </c>
      <c r="CB89" s="237">
        <f>CA89*(1+Inputs!$C$35)</f>
        <v>673.62304367487945</v>
      </c>
      <c r="CC89" s="237">
        <f>CB89*(1+Inputs!$C$35)</f>
        <v>690.46361976675144</v>
      </c>
      <c r="CD89" s="237">
        <f>CC89*(1+Inputs!$C$35)</f>
        <v>707.72521026092011</v>
      </c>
      <c r="CE89" s="237">
        <f>CD89*(1+Inputs!$C$35)</f>
        <v>725.41834051744308</v>
      </c>
      <c r="CF89" s="237">
        <f>CE89*(1+Inputs!$C$35)</f>
        <v>743.55379903037908</v>
      </c>
      <c r="CG89" s="237">
        <f>CF89*(1+Inputs!$C$35)</f>
        <v>762.14264400613854</v>
      </c>
      <c r="CH89" s="237">
        <f>CG89*(1+Inputs!$C$35)</f>
        <v>781.19621010629191</v>
      </c>
      <c r="CI89" s="237">
        <f>CH89*(1+Inputs!$C$35)</f>
        <v>800.72611535894919</v>
      </c>
      <c r="CJ89" s="237">
        <f>CI89*(1+Inputs!$C$35)</f>
        <v>820.74426824292289</v>
      </c>
      <c r="CK89" s="237">
        <f>CJ89*(1+Inputs!$C$35)</f>
        <v>841.26287494899589</v>
      </c>
    </row>
    <row r="90" spans="1:109" ht="14.25" customHeight="1" x14ac:dyDescent="0.2">
      <c r="A90" s="283">
        <f t="shared" si="58"/>
        <v>0</v>
      </c>
      <c r="B90" s="284" t="s">
        <v>365</v>
      </c>
      <c r="C90" s="285"/>
      <c r="D90" s="284"/>
      <c r="E90" s="286"/>
      <c r="F90" s="287" t="s">
        <v>366</v>
      </c>
      <c r="G90" s="286"/>
      <c r="H90" s="286"/>
      <c r="I90" s="298"/>
      <c r="J90" s="289">
        <f t="shared" ref="J90:BU90" si="117">SUM(J84:J89)</f>
        <v>5982.4961538461539</v>
      </c>
      <c r="K90" s="289">
        <f t="shared" si="117"/>
        <v>5982.4961538461539</v>
      </c>
      <c r="L90" s="289">
        <f t="shared" si="117"/>
        <v>5982.4961538461539</v>
      </c>
      <c r="M90" s="289">
        <f t="shared" si="117"/>
        <v>5982.4961538461539</v>
      </c>
      <c r="N90" s="289">
        <f t="shared" si="117"/>
        <v>5982.4961538461539</v>
      </c>
      <c r="O90" s="289">
        <f t="shared" si="117"/>
        <v>5982.4961538461539</v>
      </c>
      <c r="P90" s="289">
        <f t="shared" si="117"/>
        <v>5982.4961538461539</v>
      </c>
      <c r="Q90" s="289">
        <f t="shared" si="117"/>
        <v>5982.4961538461539</v>
      </c>
      <c r="R90" s="289">
        <f t="shared" si="117"/>
        <v>5982.4961538461539</v>
      </c>
      <c r="S90" s="289">
        <f t="shared" si="117"/>
        <v>5982.4961538461539</v>
      </c>
      <c r="T90" s="289">
        <f t="shared" si="117"/>
        <v>5982.4961538461539</v>
      </c>
      <c r="U90" s="290">
        <f t="shared" si="117"/>
        <v>5982.4961538461539</v>
      </c>
      <c r="V90" s="289">
        <f t="shared" si="117"/>
        <v>6132.0585576923077</v>
      </c>
      <c r="W90" s="289">
        <f t="shared" si="117"/>
        <v>6132.0585576923077</v>
      </c>
      <c r="X90" s="289">
        <f t="shared" si="117"/>
        <v>6132.0585576923077</v>
      </c>
      <c r="Y90" s="289">
        <f t="shared" si="117"/>
        <v>6132.0585576923077</v>
      </c>
      <c r="Z90" s="289">
        <f t="shared" si="117"/>
        <v>6132.0585576923077</v>
      </c>
      <c r="AA90" s="289">
        <f t="shared" si="117"/>
        <v>6132.0585576923077</v>
      </c>
      <c r="AB90" s="289">
        <f t="shared" si="117"/>
        <v>6132.0585576923077</v>
      </c>
      <c r="AC90" s="289">
        <f t="shared" si="117"/>
        <v>6132.0585576923077</v>
      </c>
      <c r="AD90" s="289">
        <f t="shared" si="117"/>
        <v>6132.0585576923077</v>
      </c>
      <c r="AE90" s="289">
        <f t="shared" si="117"/>
        <v>6132.0585576923077</v>
      </c>
      <c r="AF90" s="289">
        <f t="shared" si="117"/>
        <v>6132.0585576923077</v>
      </c>
      <c r="AG90" s="290">
        <f t="shared" si="117"/>
        <v>6132.0585576923077</v>
      </c>
      <c r="AH90" s="289">
        <f t="shared" si="117"/>
        <v>6285.360021634614</v>
      </c>
      <c r="AI90" s="289">
        <f t="shared" si="117"/>
        <v>6285.360021634614</v>
      </c>
      <c r="AJ90" s="289">
        <f t="shared" si="117"/>
        <v>6285.360021634614</v>
      </c>
      <c r="AK90" s="289">
        <f t="shared" si="117"/>
        <v>6285.360021634614</v>
      </c>
      <c r="AL90" s="289">
        <f t="shared" si="117"/>
        <v>6285.360021634614</v>
      </c>
      <c r="AM90" s="289">
        <f t="shared" si="117"/>
        <v>6285.360021634614</v>
      </c>
      <c r="AN90" s="289">
        <f t="shared" si="117"/>
        <v>6285.360021634614</v>
      </c>
      <c r="AO90" s="289">
        <f t="shared" si="117"/>
        <v>6285.360021634614</v>
      </c>
      <c r="AP90" s="289">
        <f t="shared" si="117"/>
        <v>6285.360021634614</v>
      </c>
      <c r="AQ90" s="289">
        <f t="shared" si="117"/>
        <v>6285.360021634614</v>
      </c>
      <c r="AR90" s="289">
        <f t="shared" si="117"/>
        <v>6285.360021634614</v>
      </c>
      <c r="AS90" s="290">
        <f t="shared" si="117"/>
        <v>6285.360021634614</v>
      </c>
      <c r="AT90" s="289">
        <f t="shared" si="117"/>
        <v>6442.4940221754778</v>
      </c>
      <c r="AU90" s="289">
        <f t="shared" si="117"/>
        <v>6442.4940221754778</v>
      </c>
      <c r="AV90" s="289">
        <f t="shared" si="117"/>
        <v>6442.4940221754778</v>
      </c>
      <c r="AW90" s="289">
        <f t="shared" si="117"/>
        <v>6442.4940221754778</v>
      </c>
      <c r="AX90" s="289">
        <f t="shared" si="117"/>
        <v>6442.4940221754778</v>
      </c>
      <c r="AY90" s="289">
        <f t="shared" si="117"/>
        <v>6442.4940221754778</v>
      </c>
      <c r="AZ90" s="289">
        <f t="shared" si="117"/>
        <v>6442.4940221754778</v>
      </c>
      <c r="BA90" s="289">
        <f t="shared" si="117"/>
        <v>6442.4940221754778</v>
      </c>
      <c r="BB90" s="289">
        <f t="shared" si="117"/>
        <v>6442.4940221754778</v>
      </c>
      <c r="BC90" s="289">
        <f t="shared" si="117"/>
        <v>6442.4940221754778</v>
      </c>
      <c r="BD90" s="289">
        <f t="shared" si="117"/>
        <v>6442.4940221754778</v>
      </c>
      <c r="BE90" s="290">
        <f t="shared" si="117"/>
        <v>6442.4940221754778</v>
      </c>
      <c r="BF90" s="289">
        <f t="shared" si="117"/>
        <v>6603.5563727298659</v>
      </c>
      <c r="BG90" s="289">
        <f t="shared" si="117"/>
        <v>6603.5563727298659</v>
      </c>
      <c r="BH90" s="289">
        <f t="shared" si="117"/>
        <v>6603.5563727298659</v>
      </c>
      <c r="BI90" s="289">
        <f t="shared" si="117"/>
        <v>6603.5563727298659</v>
      </c>
      <c r="BJ90" s="289">
        <f t="shared" si="117"/>
        <v>6603.5563727298659</v>
      </c>
      <c r="BK90" s="289">
        <f t="shared" si="117"/>
        <v>6603.5563727298659</v>
      </c>
      <c r="BL90" s="289">
        <f t="shared" si="117"/>
        <v>6603.5563727298659</v>
      </c>
      <c r="BM90" s="289">
        <f t="shared" si="117"/>
        <v>6603.5563727298659</v>
      </c>
      <c r="BN90" s="289">
        <f t="shared" si="117"/>
        <v>6603.5563727298659</v>
      </c>
      <c r="BO90" s="289">
        <f t="shared" si="117"/>
        <v>6603.5563727298659</v>
      </c>
      <c r="BP90" s="289">
        <f t="shared" si="117"/>
        <v>6603.5563727298659</v>
      </c>
      <c r="BQ90" s="289">
        <f t="shared" si="117"/>
        <v>6603.5563727298659</v>
      </c>
      <c r="BR90" s="289">
        <f t="shared" si="117"/>
        <v>6768.6452820481127</v>
      </c>
      <c r="BS90" s="289">
        <f t="shared" si="117"/>
        <v>6768.6452820481127</v>
      </c>
      <c r="BT90" s="289">
        <f t="shared" si="117"/>
        <v>6768.6452820481127</v>
      </c>
      <c r="BU90" s="289">
        <f t="shared" si="117"/>
        <v>6768.6452820481127</v>
      </c>
      <c r="BV90" s="285"/>
      <c r="BW90" s="289">
        <f t="shared" ref="BW90:CK90" si="118">SUM(BW84:BW89)</f>
        <v>71789.953846153818</v>
      </c>
      <c r="BX90" s="289">
        <f t="shared" si="118"/>
        <v>73584.702692307692</v>
      </c>
      <c r="BY90" s="289">
        <f t="shared" si="118"/>
        <v>75424.320259615342</v>
      </c>
      <c r="BZ90" s="289">
        <f t="shared" si="118"/>
        <v>77309.928266105722</v>
      </c>
      <c r="CA90" s="289">
        <f t="shared" si="118"/>
        <v>79242.676472758409</v>
      </c>
      <c r="CB90" s="289">
        <f t="shared" si="118"/>
        <v>81223.743384577334</v>
      </c>
      <c r="CC90" s="289">
        <f t="shared" si="118"/>
        <v>83254.336969191791</v>
      </c>
      <c r="CD90" s="289">
        <f t="shared" si="118"/>
        <v>85335.695393421571</v>
      </c>
      <c r="CE90" s="289">
        <f t="shared" si="118"/>
        <v>87469.087778257104</v>
      </c>
      <c r="CF90" s="289">
        <f t="shared" si="118"/>
        <v>89655.814972713546</v>
      </c>
      <c r="CG90" s="289">
        <f t="shared" si="118"/>
        <v>91897.21034703133</v>
      </c>
      <c r="CH90" s="289">
        <f t="shared" si="118"/>
        <v>94194.640605707144</v>
      </c>
      <c r="CI90" s="289">
        <f t="shared" si="118"/>
        <v>96549.506620849788</v>
      </c>
      <c r="CJ90" s="289">
        <f t="shared" si="118"/>
        <v>98963.244286371031</v>
      </c>
      <c r="CK90" s="289">
        <f t="shared" si="118"/>
        <v>101437.32539353031</v>
      </c>
      <c r="CL90" s="285"/>
      <c r="CM90" s="285"/>
      <c r="CN90" s="285"/>
      <c r="CO90" s="285"/>
      <c r="CP90" s="285"/>
      <c r="CQ90" s="285"/>
      <c r="CR90" s="285"/>
      <c r="CS90" s="285"/>
      <c r="CT90" s="285"/>
      <c r="CU90" s="285"/>
      <c r="CV90" s="285"/>
      <c r="CW90" s="285"/>
      <c r="CX90" s="285"/>
      <c r="CY90" s="285"/>
      <c r="CZ90" s="285"/>
      <c r="DA90" s="285"/>
      <c r="DB90" s="285"/>
      <c r="DC90" s="285"/>
      <c r="DD90" s="285"/>
      <c r="DE90" s="285"/>
    </row>
    <row r="91" spans="1:109" ht="8.25" customHeight="1" x14ac:dyDescent="0.2">
      <c r="A91" s="11">
        <f t="shared" si="58"/>
        <v>0</v>
      </c>
      <c r="B91" s="249"/>
      <c r="D91" s="249"/>
      <c r="E91" s="3"/>
      <c r="F91" s="249"/>
      <c r="I91" s="1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3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3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3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3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</row>
    <row r="92" spans="1:109" ht="14.25" customHeight="1" x14ac:dyDescent="0.2">
      <c r="A92" s="11">
        <f t="shared" si="58"/>
        <v>0</v>
      </c>
      <c r="B92" s="56"/>
      <c r="F92" s="3" t="s">
        <v>80</v>
      </c>
      <c r="I92" s="1"/>
      <c r="U92" s="203"/>
      <c r="AG92" s="203"/>
      <c r="AS92" s="203"/>
      <c r="BE92" s="203"/>
    </row>
    <row r="93" spans="1:109" ht="14.25" customHeight="1" x14ac:dyDescent="0.2">
      <c r="A93" s="11">
        <f t="shared" si="58"/>
        <v>0</v>
      </c>
      <c r="B93" s="56">
        <f t="shared" ref="B93:B100" si="119">F93</f>
        <v>6150</v>
      </c>
      <c r="D93" s="56"/>
      <c r="F93" s="56">
        <v>6150</v>
      </c>
      <c r="G93" s="11" t="s">
        <v>84</v>
      </c>
      <c r="H93" s="75">
        <f>VLOOKUP($F93,Inputs!$L:$Q,6,FALSE)</f>
        <v>0.11</v>
      </c>
      <c r="I93" s="1"/>
      <c r="J93" s="29">
        <f t="shared" ref="J93:U93" si="120">($H93*$F$3)/12</f>
        <v>969.89750000000004</v>
      </c>
      <c r="K93" s="29">
        <f t="shared" si="120"/>
        <v>969.89750000000004</v>
      </c>
      <c r="L93" s="29">
        <f t="shared" si="120"/>
        <v>969.89750000000004</v>
      </c>
      <c r="M93" s="29">
        <f t="shared" si="120"/>
        <v>969.89750000000004</v>
      </c>
      <c r="N93" s="29">
        <f t="shared" si="120"/>
        <v>969.89750000000004</v>
      </c>
      <c r="O93" s="29">
        <f t="shared" si="120"/>
        <v>969.89750000000004</v>
      </c>
      <c r="P93" s="29">
        <f t="shared" si="120"/>
        <v>969.89750000000004</v>
      </c>
      <c r="Q93" s="29">
        <f t="shared" si="120"/>
        <v>969.89750000000004</v>
      </c>
      <c r="R93" s="29">
        <f t="shared" si="120"/>
        <v>969.89750000000004</v>
      </c>
      <c r="S93" s="29">
        <f t="shared" si="120"/>
        <v>969.89750000000004</v>
      </c>
      <c r="T93" s="29">
        <f t="shared" si="120"/>
        <v>969.89750000000004</v>
      </c>
      <c r="U93" s="239">
        <f t="shared" si="120"/>
        <v>969.89750000000004</v>
      </c>
      <c r="V93" s="29">
        <f>J93*(1+Inputs!$C$35)</f>
        <v>994.14493749999997</v>
      </c>
      <c r="W93" s="29">
        <f>K93*(1+Inputs!$C$35)</f>
        <v>994.14493749999997</v>
      </c>
      <c r="X93" s="29">
        <f>L93*(1+Inputs!$C$35)</f>
        <v>994.14493749999997</v>
      </c>
      <c r="Y93" s="29">
        <f>M93*(1+Inputs!$C$35)</f>
        <v>994.14493749999997</v>
      </c>
      <c r="Z93" s="29">
        <f>N93*(1+Inputs!$C$35)</f>
        <v>994.14493749999997</v>
      </c>
      <c r="AA93" s="29">
        <f>O93*(1+Inputs!$C$35)</f>
        <v>994.14493749999997</v>
      </c>
      <c r="AB93" s="29">
        <f>P93*(1+Inputs!$C$35)</f>
        <v>994.14493749999997</v>
      </c>
      <c r="AC93" s="29">
        <f>Q93*(1+Inputs!$C$35)</f>
        <v>994.14493749999997</v>
      </c>
      <c r="AD93" s="29">
        <f>R93*(1+Inputs!$C$35)</f>
        <v>994.14493749999997</v>
      </c>
      <c r="AE93" s="29">
        <f>S93*(1+Inputs!$C$35)</f>
        <v>994.14493749999997</v>
      </c>
      <c r="AF93" s="29">
        <f>T93*(1+Inputs!$C$35)</f>
        <v>994.14493749999997</v>
      </c>
      <c r="AG93" s="239">
        <f>U93*(1+Inputs!$C$35)</f>
        <v>994.14493749999997</v>
      </c>
      <c r="AH93" s="29">
        <f>V93*(1+Inputs!$C$35)</f>
        <v>1018.9985609374999</v>
      </c>
      <c r="AI93" s="29">
        <f>W93*(1+Inputs!$C$35)</f>
        <v>1018.9985609374999</v>
      </c>
      <c r="AJ93" s="29">
        <f>X93*(1+Inputs!$C$35)</f>
        <v>1018.9985609374999</v>
      </c>
      <c r="AK93" s="29">
        <f>Y93*(1+Inputs!$C$35)</f>
        <v>1018.9985609374999</v>
      </c>
      <c r="AL93" s="29">
        <f>Z93*(1+Inputs!$C$35)</f>
        <v>1018.9985609374999</v>
      </c>
      <c r="AM93" s="29">
        <f>AA93*(1+Inputs!$C$35)</f>
        <v>1018.9985609374999</v>
      </c>
      <c r="AN93" s="29">
        <f>AB93*(1+Inputs!$C$35)</f>
        <v>1018.9985609374999</v>
      </c>
      <c r="AO93" s="29">
        <f>AC93*(1+Inputs!$C$35)</f>
        <v>1018.9985609374999</v>
      </c>
      <c r="AP93" s="29">
        <f>AD93*(1+Inputs!$C$35)</f>
        <v>1018.9985609374999</v>
      </c>
      <c r="AQ93" s="29">
        <f>AE93*(1+Inputs!$C$35)</f>
        <v>1018.9985609374999</v>
      </c>
      <c r="AR93" s="29">
        <f>AF93*(1+Inputs!$C$35)</f>
        <v>1018.9985609374999</v>
      </c>
      <c r="AS93" s="239">
        <f>AG93*(1+Inputs!$C$35)</f>
        <v>1018.9985609374999</v>
      </c>
      <c r="AT93" s="29">
        <f>AH93*(1+Inputs!$C$35)</f>
        <v>1044.4735249609373</v>
      </c>
      <c r="AU93" s="29">
        <f>AI93*(1+Inputs!$C$35)</f>
        <v>1044.4735249609373</v>
      </c>
      <c r="AV93" s="29">
        <f>AJ93*(1+Inputs!$C$35)</f>
        <v>1044.4735249609373</v>
      </c>
      <c r="AW93" s="29">
        <f>AK93*(1+Inputs!$C$35)</f>
        <v>1044.4735249609373</v>
      </c>
      <c r="AX93" s="29">
        <f>AL93*(1+Inputs!$C$35)</f>
        <v>1044.4735249609373</v>
      </c>
      <c r="AY93" s="29">
        <f>AM93*(1+Inputs!$C$35)</f>
        <v>1044.4735249609373</v>
      </c>
      <c r="AZ93" s="29">
        <f>AN93*(1+Inputs!$C$35)</f>
        <v>1044.4735249609373</v>
      </c>
      <c r="BA93" s="29">
        <f>AO93*(1+Inputs!$C$35)</f>
        <v>1044.4735249609373</v>
      </c>
      <c r="BB93" s="29">
        <f>AP93*(1+Inputs!$C$35)</f>
        <v>1044.4735249609373</v>
      </c>
      <c r="BC93" s="29">
        <f>AQ93*(1+Inputs!$C$35)</f>
        <v>1044.4735249609373</v>
      </c>
      <c r="BD93" s="29">
        <f>AR93*(1+Inputs!$C$35)</f>
        <v>1044.4735249609373</v>
      </c>
      <c r="BE93" s="239">
        <f>AS93*(1+Inputs!$C$35)</f>
        <v>1044.4735249609373</v>
      </c>
      <c r="BF93" s="29">
        <f>AT93*(1+Inputs!$C$35)</f>
        <v>1070.5853630849606</v>
      </c>
      <c r="BG93" s="29">
        <f>AU93*(1+Inputs!$C$35)</f>
        <v>1070.5853630849606</v>
      </c>
      <c r="BH93" s="29">
        <f>AV93*(1+Inputs!$C$35)</f>
        <v>1070.5853630849606</v>
      </c>
      <c r="BI93" s="29">
        <f>AW93*(1+Inputs!$C$35)</f>
        <v>1070.5853630849606</v>
      </c>
      <c r="BJ93" s="29">
        <f>AX93*(1+Inputs!$C$35)</f>
        <v>1070.5853630849606</v>
      </c>
      <c r="BK93" s="29">
        <f>AY93*(1+Inputs!$C$35)</f>
        <v>1070.5853630849606</v>
      </c>
      <c r="BL93" s="29">
        <f>AZ93*(1+Inputs!$C$35)</f>
        <v>1070.5853630849606</v>
      </c>
      <c r="BM93" s="29">
        <f>BA93*(1+Inputs!$C$35)</f>
        <v>1070.5853630849606</v>
      </c>
      <c r="BN93" s="29">
        <f>BB93*(1+Inputs!$C$35)</f>
        <v>1070.5853630849606</v>
      </c>
      <c r="BO93" s="29">
        <f>BC93*(1+Inputs!$C$35)</f>
        <v>1070.5853630849606</v>
      </c>
      <c r="BP93" s="29">
        <f>BD93*(1+Inputs!$C$35)</f>
        <v>1070.5853630849606</v>
      </c>
      <c r="BQ93" s="29">
        <f>BE93*(1+Inputs!$C$35)</f>
        <v>1070.5853630849606</v>
      </c>
      <c r="BR93" s="29">
        <f>BF93*(1+Inputs!$C$35)</f>
        <v>1097.3499971620845</v>
      </c>
      <c r="BS93" s="29">
        <f>BG93*(1+Inputs!$C$35)</f>
        <v>1097.3499971620845</v>
      </c>
      <c r="BT93" s="29">
        <f>BH93*(1+Inputs!$C$35)</f>
        <v>1097.3499971620845</v>
      </c>
      <c r="BU93" s="29">
        <f>BI93*(1+Inputs!$C$35)</f>
        <v>1097.3499971620845</v>
      </c>
      <c r="BW93" s="29">
        <f t="shared" ref="BW93:CA93" si="121">SUMIF($J$6:$BU$6,BW$9,$J93:$BU93)</f>
        <v>11638.769999999997</v>
      </c>
      <c r="BX93" s="29">
        <f t="shared" si="121"/>
        <v>11929.739249999999</v>
      </c>
      <c r="BY93" s="29">
        <f t="shared" si="121"/>
        <v>12227.982731249998</v>
      </c>
      <c r="BZ93" s="29">
        <f t="shared" si="121"/>
        <v>12533.682299531245</v>
      </c>
      <c r="CA93" s="29">
        <f t="shared" si="121"/>
        <v>12847.024357019523</v>
      </c>
      <c r="CB93" s="29">
        <f>CA93*(1+Inputs!$C$35)</f>
        <v>13168.19996594501</v>
      </c>
      <c r="CC93" s="29">
        <f>CB93*(1+Inputs!$C$35)</f>
        <v>13497.404965093634</v>
      </c>
      <c r="CD93" s="29">
        <f>CC93*(1+Inputs!$C$35)</f>
        <v>13834.840089220974</v>
      </c>
      <c r="CE93" s="29">
        <f>CD93*(1+Inputs!$C$35)</f>
        <v>14180.711091451496</v>
      </c>
      <c r="CF93" s="29">
        <f>CE93*(1+Inputs!$C$35)</f>
        <v>14535.228868737782</v>
      </c>
      <c r="CG93" s="29">
        <f>CF93*(1+Inputs!$C$35)</f>
        <v>14898.609590456226</v>
      </c>
      <c r="CH93" s="29">
        <f>CG93*(1+Inputs!$C$35)</f>
        <v>15271.074830217631</v>
      </c>
      <c r="CI93" s="29">
        <f>CH93*(1+Inputs!$C$35)</f>
        <v>15652.851700973069</v>
      </c>
      <c r="CJ93" s="29">
        <f>CI93*(1+Inputs!$C$35)</f>
        <v>16044.172993497396</v>
      </c>
      <c r="CK93" s="29">
        <f>CJ93*(1+Inputs!$C$35)</f>
        <v>16445.277318334829</v>
      </c>
    </row>
    <row r="94" spans="1:109" ht="14.25" customHeight="1" x14ac:dyDescent="0.2">
      <c r="A94" s="11">
        <f t="shared" si="58"/>
        <v>0</v>
      </c>
      <c r="B94" s="56">
        <f t="shared" si="119"/>
        <v>6158</v>
      </c>
      <c r="D94" s="56"/>
      <c r="F94" s="56">
        <v>6158</v>
      </c>
      <c r="G94" s="11" t="s">
        <v>88</v>
      </c>
      <c r="H94" s="75">
        <f>VLOOKUP($F94,Inputs!$L:$Q,6,FALSE)</f>
        <v>0.05</v>
      </c>
      <c r="I94" s="1"/>
      <c r="J94" s="29">
        <f t="shared" ref="J94:U94" si="122">($H94*$F$3)/12</f>
        <v>440.86250000000001</v>
      </c>
      <c r="K94" s="29">
        <f t="shared" si="122"/>
        <v>440.86250000000001</v>
      </c>
      <c r="L94" s="29">
        <f t="shared" si="122"/>
        <v>440.86250000000001</v>
      </c>
      <c r="M94" s="29">
        <f t="shared" si="122"/>
        <v>440.86250000000001</v>
      </c>
      <c r="N94" s="29">
        <f t="shared" si="122"/>
        <v>440.86250000000001</v>
      </c>
      <c r="O94" s="29">
        <f t="shared" si="122"/>
        <v>440.86250000000001</v>
      </c>
      <c r="P94" s="29">
        <f t="shared" si="122"/>
        <v>440.86250000000001</v>
      </c>
      <c r="Q94" s="29">
        <f t="shared" si="122"/>
        <v>440.86250000000001</v>
      </c>
      <c r="R94" s="29">
        <f t="shared" si="122"/>
        <v>440.86250000000001</v>
      </c>
      <c r="S94" s="29">
        <f t="shared" si="122"/>
        <v>440.86250000000001</v>
      </c>
      <c r="T94" s="29">
        <f t="shared" si="122"/>
        <v>440.86250000000001</v>
      </c>
      <c r="U94" s="239">
        <f t="shared" si="122"/>
        <v>440.86250000000001</v>
      </c>
      <c r="V94" s="29">
        <f>J94*(1+Inputs!$C$35)</f>
        <v>451.88406249999997</v>
      </c>
      <c r="W94" s="29">
        <f>K94*(1+Inputs!$C$35)</f>
        <v>451.88406249999997</v>
      </c>
      <c r="X94" s="29">
        <f>L94*(1+Inputs!$C$35)</f>
        <v>451.88406249999997</v>
      </c>
      <c r="Y94" s="29">
        <f>M94*(1+Inputs!$C$35)</f>
        <v>451.88406249999997</v>
      </c>
      <c r="Z94" s="29">
        <f>N94*(1+Inputs!$C$35)</f>
        <v>451.88406249999997</v>
      </c>
      <c r="AA94" s="29">
        <f>O94*(1+Inputs!$C$35)</f>
        <v>451.88406249999997</v>
      </c>
      <c r="AB94" s="29">
        <f>P94*(1+Inputs!$C$35)</f>
        <v>451.88406249999997</v>
      </c>
      <c r="AC94" s="29">
        <f>Q94*(1+Inputs!$C$35)</f>
        <v>451.88406249999997</v>
      </c>
      <c r="AD94" s="29">
        <f>R94*(1+Inputs!$C$35)</f>
        <v>451.88406249999997</v>
      </c>
      <c r="AE94" s="29">
        <f>S94*(1+Inputs!$C$35)</f>
        <v>451.88406249999997</v>
      </c>
      <c r="AF94" s="29">
        <f>T94*(1+Inputs!$C$35)</f>
        <v>451.88406249999997</v>
      </c>
      <c r="AG94" s="239">
        <f>U94*(1+Inputs!$C$35)</f>
        <v>451.88406249999997</v>
      </c>
      <c r="AH94" s="29">
        <f>V94*(1+Inputs!$C$35)</f>
        <v>463.18116406249993</v>
      </c>
      <c r="AI94" s="29">
        <f>W94*(1+Inputs!$C$35)</f>
        <v>463.18116406249993</v>
      </c>
      <c r="AJ94" s="29">
        <f>X94*(1+Inputs!$C$35)</f>
        <v>463.18116406249993</v>
      </c>
      <c r="AK94" s="29">
        <f>Y94*(1+Inputs!$C$35)</f>
        <v>463.18116406249993</v>
      </c>
      <c r="AL94" s="29">
        <f>Z94*(1+Inputs!$C$35)</f>
        <v>463.18116406249993</v>
      </c>
      <c r="AM94" s="29">
        <f>AA94*(1+Inputs!$C$35)</f>
        <v>463.18116406249993</v>
      </c>
      <c r="AN94" s="29">
        <f>AB94*(1+Inputs!$C$35)</f>
        <v>463.18116406249993</v>
      </c>
      <c r="AO94" s="29">
        <f>AC94*(1+Inputs!$C$35)</f>
        <v>463.18116406249993</v>
      </c>
      <c r="AP94" s="29">
        <f>AD94*(1+Inputs!$C$35)</f>
        <v>463.18116406249993</v>
      </c>
      <c r="AQ94" s="29">
        <f>AE94*(1+Inputs!$C$35)</f>
        <v>463.18116406249993</v>
      </c>
      <c r="AR94" s="29">
        <f>AF94*(1+Inputs!$C$35)</f>
        <v>463.18116406249993</v>
      </c>
      <c r="AS94" s="239">
        <f>AG94*(1+Inputs!$C$35)</f>
        <v>463.18116406249993</v>
      </c>
      <c r="AT94" s="29">
        <f>AH94*(1+Inputs!$C$35)</f>
        <v>474.76069316406239</v>
      </c>
      <c r="AU94" s="29">
        <f>AI94*(1+Inputs!$C$35)</f>
        <v>474.76069316406239</v>
      </c>
      <c r="AV94" s="29">
        <f>AJ94*(1+Inputs!$C$35)</f>
        <v>474.76069316406239</v>
      </c>
      <c r="AW94" s="29">
        <f>AK94*(1+Inputs!$C$35)</f>
        <v>474.76069316406239</v>
      </c>
      <c r="AX94" s="29">
        <f>AL94*(1+Inputs!$C$35)</f>
        <v>474.76069316406239</v>
      </c>
      <c r="AY94" s="29">
        <f>AM94*(1+Inputs!$C$35)</f>
        <v>474.76069316406239</v>
      </c>
      <c r="AZ94" s="29">
        <f>AN94*(1+Inputs!$C$35)</f>
        <v>474.76069316406239</v>
      </c>
      <c r="BA94" s="29">
        <f>AO94*(1+Inputs!$C$35)</f>
        <v>474.76069316406239</v>
      </c>
      <c r="BB94" s="29">
        <f>AP94*(1+Inputs!$C$35)</f>
        <v>474.76069316406239</v>
      </c>
      <c r="BC94" s="29">
        <f>AQ94*(1+Inputs!$C$35)</f>
        <v>474.76069316406239</v>
      </c>
      <c r="BD94" s="29">
        <f>AR94*(1+Inputs!$C$35)</f>
        <v>474.76069316406239</v>
      </c>
      <c r="BE94" s="239">
        <f>AS94*(1+Inputs!$C$35)</f>
        <v>474.76069316406239</v>
      </c>
      <c r="BF94" s="29">
        <f>AT94*(1+Inputs!$C$35)</f>
        <v>486.62971049316388</v>
      </c>
      <c r="BG94" s="29">
        <f>AU94*(1+Inputs!$C$35)</f>
        <v>486.62971049316388</v>
      </c>
      <c r="BH94" s="29">
        <f>AV94*(1+Inputs!$C$35)</f>
        <v>486.62971049316388</v>
      </c>
      <c r="BI94" s="29">
        <f>AW94*(1+Inputs!$C$35)</f>
        <v>486.62971049316388</v>
      </c>
      <c r="BJ94" s="29">
        <f>AX94*(1+Inputs!$C$35)</f>
        <v>486.62971049316388</v>
      </c>
      <c r="BK94" s="29">
        <f>AY94*(1+Inputs!$C$35)</f>
        <v>486.62971049316388</v>
      </c>
      <c r="BL94" s="29">
        <f>AZ94*(1+Inputs!$C$35)</f>
        <v>486.62971049316388</v>
      </c>
      <c r="BM94" s="29">
        <f>BA94*(1+Inputs!$C$35)</f>
        <v>486.62971049316388</v>
      </c>
      <c r="BN94" s="29">
        <f>BB94*(1+Inputs!$C$35)</f>
        <v>486.62971049316388</v>
      </c>
      <c r="BO94" s="29">
        <f>BC94*(1+Inputs!$C$35)</f>
        <v>486.62971049316388</v>
      </c>
      <c r="BP94" s="29">
        <f>BD94*(1+Inputs!$C$35)</f>
        <v>486.62971049316388</v>
      </c>
      <c r="BQ94" s="29">
        <f>BE94*(1+Inputs!$C$35)</f>
        <v>486.62971049316388</v>
      </c>
      <c r="BR94" s="29">
        <f>BF94*(1+Inputs!$C$35)</f>
        <v>498.79545325549293</v>
      </c>
      <c r="BS94" s="29">
        <f>BG94*(1+Inputs!$C$35)</f>
        <v>498.79545325549293</v>
      </c>
      <c r="BT94" s="29">
        <f>BH94*(1+Inputs!$C$35)</f>
        <v>498.79545325549293</v>
      </c>
      <c r="BU94" s="29">
        <f>BI94*(1+Inputs!$C$35)</f>
        <v>498.79545325549293</v>
      </c>
      <c r="BW94" s="29">
        <f t="shared" ref="BW94:CA94" si="123">SUMIF($J$6:$BU$6,BW$9,$J94:$BU94)</f>
        <v>5290.3500000000013</v>
      </c>
      <c r="BX94" s="29">
        <f t="shared" si="123"/>
        <v>5422.6087499999994</v>
      </c>
      <c r="BY94" s="29">
        <f t="shared" si="123"/>
        <v>5558.1739687500003</v>
      </c>
      <c r="BZ94" s="29">
        <f t="shared" si="123"/>
        <v>5697.128317968748</v>
      </c>
      <c r="CA94" s="29">
        <f t="shared" si="123"/>
        <v>5839.5565259179648</v>
      </c>
      <c r="CB94" s="29">
        <f>CA94*(1+Inputs!$C$35)</f>
        <v>5985.5454390659133</v>
      </c>
      <c r="CC94" s="29">
        <f>CB94*(1+Inputs!$C$35)</f>
        <v>6135.1840750425608</v>
      </c>
      <c r="CD94" s="29">
        <f>CC94*(1+Inputs!$C$35)</f>
        <v>6288.563676918624</v>
      </c>
      <c r="CE94" s="29">
        <f>CD94*(1+Inputs!$C$35)</f>
        <v>6445.777768841589</v>
      </c>
      <c r="CF94" s="29">
        <f>CE94*(1+Inputs!$C$35)</f>
        <v>6606.9222130626285</v>
      </c>
      <c r="CG94" s="29">
        <f>CF94*(1+Inputs!$C$35)</f>
        <v>6772.0952683891937</v>
      </c>
      <c r="CH94" s="29">
        <f>CG94*(1+Inputs!$C$35)</f>
        <v>6941.3976500989229</v>
      </c>
      <c r="CI94" s="29">
        <f>CH94*(1+Inputs!$C$35)</f>
        <v>7114.9325913513958</v>
      </c>
      <c r="CJ94" s="29">
        <f>CI94*(1+Inputs!$C$35)</f>
        <v>7292.8059061351796</v>
      </c>
      <c r="CK94" s="29">
        <f>CJ94*(1+Inputs!$C$35)</f>
        <v>7475.1260537885582</v>
      </c>
    </row>
    <row r="95" spans="1:109" ht="14.25" customHeight="1" x14ac:dyDescent="0.2">
      <c r="A95" s="11">
        <f t="shared" si="58"/>
        <v>0</v>
      </c>
      <c r="B95" s="56">
        <f t="shared" si="119"/>
        <v>6184</v>
      </c>
      <c r="D95" s="56"/>
      <c r="F95" s="56">
        <v>6184</v>
      </c>
      <c r="G95" s="11" t="s">
        <v>91</v>
      </c>
      <c r="H95" s="75">
        <f>VLOOKUP($F95,Inputs!$L:$Q,6,FALSE)</f>
        <v>0.28000000000000003</v>
      </c>
      <c r="I95" s="1"/>
      <c r="J95" s="29">
        <f>($H95*$F$3)*VLOOKUP(MONTH(J$9),Modeling!$B$19:$F$31,2,FALSE)</f>
        <v>2221.9470000000001</v>
      </c>
      <c r="K95" s="29">
        <f>($H95*$F$3)*VLOOKUP(MONTH(K$9),Modeling!$B$19:$F$31,2,FALSE)</f>
        <v>2221.9470000000001</v>
      </c>
      <c r="L95" s="29">
        <f>($H95*$F$3)*VLOOKUP(MONTH(L$9),Modeling!$B$19:$F$31,2,FALSE)</f>
        <v>2221.9470000000001</v>
      </c>
      <c r="M95" s="29">
        <f>($H95*$F$3)*VLOOKUP(MONTH(M$9),Modeling!$B$19:$F$31,2,FALSE)</f>
        <v>2221.9470000000001</v>
      </c>
      <c r="N95" s="29">
        <f>($H95*$F$3)*VLOOKUP(MONTH(N$9),Modeling!$B$19:$F$31,2,FALSE)</f>
        <v>2221.9470000000001</v>
      </c>
      <c r="O95" s="29">
        <f>($H95*$F$3)*VLOOKUP(MONTH(O$9),Modeling!$B$19:$F$31,2,FALSE)</f>
        <v>2370.0768000000003</v>
      </c>
      <c r="P95" s="29">
        <f>($H95*$F$3)*VLOOKUP(MONTH(P$9),Modeling!$B$19:$F$31,2,FALSE)</f>
        <v>3110.7258000000002</v>
      </c>
      <c r="Q95" s="29">
        <f>($H95*$F$3)*VLOOKUP(MONTH(Q$9),Modeling!$B$19:$F$31,2,FALSE)</f>
        <v>3110.7258000000002</v>
      </c>
      <c r="R95" s="29">
        <f>($H95*$F$3)*VLOOKUP(MONTH(R$9),Modeling!$B$19:$F$31,2,FALSE)</f>
        <v>2962.5960000000005</v>
      </c>
      <c r="S95" s="29">
        <f>($H95*$F$3)*VLOOKUP(MONTH(S$9),Modeling!$B$19:$F$31,2,FALSE)</f>
        <v>2370.0768000000003</v>
      </c>
      <c r="T95" s="29">
        <f>($H95*$F$3)*VLOOKUP(MONTH(T$9),Modeling!$B$19:$F$31,2,FALSE)</f>
        <v>2370.0768000000003</v>
      </c>
      <c r="U95" s="239">
        <f>($H95*$F$3)*VLOOKUP(MONTH(U$9),Modeling!$B$19:$F$31,2,FALSE)</f>
        <v>2221.9470000000001</v>
      </c>
      <c r="V95" s="29">
        <f>J95*(1+Inputs!$C$35)</f>
        <v>2277.4956750000001</v>
      </c>
      <c r="W95" s="29">
        <f>K95*(1+Inputs!$C$35)</f>
        <v>2277.4956750000001</v>
      </c>
      <c r="X95" s="29">
        <f>L95*(1+Inputs!$C$35)</f>
        <v>2277.4956750000001</v>
      </c>
      <c r="Y95" s="29">
        <f>M95*(1+Inputs!$C$35)</f>
        <v>2277.4956750000001</v>
      </c>
      <c r="Z95" s="29">
        <f>N95*(1+Inputs!$C$35)</f>
        <v>2277.4956750000001</v>
      </c>
      <c r="AA95" s="29">
        <f>O95*(1+Inputs!$C$35)</f>
        <v>2429.32872</v>
      </c>
      <c r="AB95" s="29">
        <f>P95*(1+Inputs!$C$35)</f>
        <v>3188.4939449999997</v>
      </c>
      <c r="AC95" s="29">
        <f>Q95*(1+Inputs!$C$35)</f>
        <v>3188.4939449999997</v>
      </c>
      <c r="AD95" s="29">
        <f>R95*(1+Inputs!$C$35)</f>
        <v>3036.6609000000003</v>
      </c>
      <c r="AE95" s="29">
        <f>S95*(1+Inputs!$C$35)</f>
        <v>2429.32872</v>
      </c>
      <c r="AF95" s="29">
        <f>T95*(1+Inputs!$C$35)</f>
        <v>2429.32872</v>
      </c>
      <c r="AG95" s="239">
        <f>U95*(1+Inputs!$C$35)</f>
        <v>2277.4956750000001</v>
      </c>
      <c r="AH95" s="29">
        <f>V95*(1+Inputs!$C$35)</f>
        <v>2334.4330668749999</v>
      </c>
      <c r="AI95" s="29">
        <f>W95*(1+Inputs!$C$35)</f>
        <v>2334.4330668749999</v>
      </c>
      <c r="AJ95" s="29">
        <f>X95*(1+Inputs!$C$35)</f>
        <v>2334.4330668749999</v>
      </c>
      <c r="AK95" s="29">
        <f>Y95*(1+Inputs!$C$35)</f>
        <v>2334.4330668749999</v>
      </c>
      <c r="AL95" s="29">
        <f>Z95*(1+Inputs!$C$35)</f>
        <v>2334.4330668749999</v>
      </c>
      <c r="AM95" s="29">
        <f>AA95*(1+Inputs!$C$35)</f>
        <v>2490.0619379999998</v>
      </c>
      <c r="AN95" s="29">
        <f>AB95*(1+Inputs!$C$35)</f>
        <v>3268.2062936249995</v>
      </c>
      <c r="AO95" s="29">
        <f>AC95*(1+Inputs!$C$35)</f>
        <v>3268.2062936249995</v>
      </c>
      <c r="AP95" s="29">
        <f>AD95*(1+Inputs!$C$35)</f>
        <v>3112.5774225</v>
      </c>
      <c r="AQ95" s="29">
        <f>AE95*(1+Inputs!$C$35)</f>
        <v>2490.0619379999998</v>
      </c>
      <c r="AR95" s="29">
        <f>AF95*(1+Inputs!$C$35)</f>
        <v>2490.0619379999998</v>
      </c>
      <c r="AS95" s="239">
        <f>AG95*(1+Inputs!$C$35)</f>
        <v>2334.4330668749999</v>
      </c>
      <c r="AT95" s="29">
        <f>AH95*(1+Inputs!$C$35)</f>
        <v>2392.7938935468746</v>
      </c>
      <c r="AU95" s="29">
        <f>AI95*(1+Inputs!$C$35)</f>
        <v>2392.7938935468746</v>
      </c>
      <c r="AV95" s="29">
        <f>AJ95*(1+Inputs!$C$35)</f>
        <v>2392.7938935468746</v>
      </c>
      <c r="AW95" s="29">
        <f>AK95*(1+Inputs!$C$35)</f>
        <v>2392.7938935468746</v>
      </c>
      <c r="AX95" s="29">
        <f>AL95*(1+Inputs!$C$35)</f>
        <v>2392.7938935468746</v>
      </c>
      <c r="AY95" s="29">
        <f>AM95*(1+Inputs!$C$35)</f>
        <v>2552.3134864499998</v>
      </c>
      <c r="AZ95" s="29">
        <f>AN95*(1+Inputs!$C$35)</f>
        <v>3349.9114509656242</v>
      </c>
      <c r="BA95" s="29">
        <f>AO95*(1+Inputs!$C$35)</f>
        <v>3349.9114509656242</v>
      </c>
      <c r="BB95" s="29">
        <f>AP95*(1+Inputs!$C$35)</f>
        <v>3190.3918580624995</v>
      </c>
      <c r="BC95" s="29">
        <f>AQ95*(1+Inputs!$C$35)</f>
        <v>2552.3134864499998</v>
      </c>
      <c r="BD95" s="29">
        <f>AR95*(1+Inputs!$C$35)</f>
        <v>2552.3134864499998</v>
      </c>
      <c r="BE95" s="239">
        <f>AS95*(1+Inputs!$C$35)</f>
        <v>2392.7938935468746</v>
      </c>
      <c r="BF95" s="29">
        <f>AT95*(1+Inputs!$C$35)</f>
        <v>2452.6137408855461</v>
      </c>
      <c r="BG95" s="29">
        <f>AU95*(1+Inputs!$C$35)</f>
        <v>2452.6137408855461</v>
      </c>
      <c r="BH95" s="29">
        <f>AV95*(1+Inputs!$C$35)</f>
        <v>2452.6137408855461</v>
      </c>
      <c r="BI95" s="29">
        <f>AW95*(1+Inputs!$C$35)</f>
        <v>2452.6137408855461</v>
      </c>
      <c r="BJ95" s="29">
        <f>AX95*(1+Inputs!$C$35)</f>
        <v>2452.6137408855461</v>
      </c>
      <c r="BK95" s="29">
        <f>AY95*(1+Inputs!$C$35)</f>
        <v>2616.1213236112494</v>
      </c>
      <c r="BL95" s="29">
        <f>AZ95*(1+Inputs!$C$35)</f>
        <v>3433.6592372397645</v>
      </c>
      <c r="BM95" s="29">
        <f>BA95*(1+Inputs!$C$35)</f>
        <v>3433.6592372397645</v>
      </c>
      <c r="BN95" s="29">
        <f>BB95*(1+Inputs!$C$35)</f>
        <v>3270.1516545140616</v>
      </c>
      <c r="BO95" s="29">
        <f>BC95*(1+Inputs!$C$35)</f>
        <v>2616.1213236112494</v>
      </c>
      <c r="BP95" s="29">
        <f>BD95*(1+Inputs!$C$35)</f>
        <v>2616.1213236112494</v>
      </c>
      <c r="BQ95" s="29">
        <f>BE95*(1+Inputs!$C$35)</f>
        <v>2452.6137408855461</v>
      </c>
      <c r="BR95" s="29">
        <f>BF95*(1+Inputs!$C$35)</f>
        <v>2513.9290844076845</v>
      </c>
      <c r="BS95" s="29">
        <f>BG95*(1+Inputs!$C$35)</f>
        <v>2513.9290844076845</v>
      </c>
      <c r="BT95" s="29">
        <f>BH95*(1+Inputs!$C$35)</f>
        <v>2513.9290844076845</v>
      </c>
      <c r="BU95" s="29">
        <f>BI95*(1+Inputs!$C$35)</f>
        <v>2513.9290844076845</v>
      </c>
      <c r="BW95" s="29">
        <f t="shared" ref="BW95:CA95" si="124">SUMIF($J$6:$BU$6,BW$9,$J95:$BU95)</f>
        <v>29625.960000000003</v>
      </c>
      <c r="BX95" s="29">
        <f t="shared" si="124"/>
        <v>30366.608999999997</v>
      </c>
      <c r="BY95" s="29">
        <f t="shared" si="124"/>
        <v>31125.774224999997</v>
      </c>
      <c r="BZ95" s="29">
        <f t="shared" si="124"/>
        <v>31903.918580624992</v>
      </c>
      <c r="CA95" s="29">
        <f t="shared" si="124"/>
        <v>32701.516545140617</v>
      </c>
      <c r="CB95" s="29">
        <f>CA95*(1+Inputs!$C$35)</f>
        <v>33519.054458769133</v>
      </c>
      <c r="CC95" s="29">
        <f>CB95*(1+Inputs!$C$35)</f>
        <v>34357.03082023836</v>
      </c>
      <c r="CD95" s="29">
        <f>CC95*(1+Inputs!$C$35)</f>
        <v>35215.956590744318</v>
      </c>
      <c r="CE95" s="29">
        <f>CD95*(1+Inputs!$C$35)</f>
        <v>36096.355505512925</v>
      </c>
      <c r="CF95" s="29">
        <f>CE95*(1+Inputs!$C$35)</f>
        <v>36998.764393150748</v>
      </c>
      <c r="CG95" s="29">
        <f>CF95*(1+Inputs!$C$35)</f>
        <v>37923.733502979514</v>
      </c>
      <c r="CH95" s="29">
        <f>CG95*(1+Inputs!$C$35)</f>
        <v>38871.826840554</v>
      </c>
      <c r="CI95" s="29">
        <f>CH95*(1+Inputs!$C$35)</f>
        <v>39843.622511567846</v>
      </c>
      <c r="CJ95" s="29">
        <f>CI95*(1+Inputs!$C$35)</f>
        <v>40839.713074357038</v>
      </c>
      <c r="CK95" s="29">
        <f>CJ95*(1+Inputs!$C$35)</f>
        <v>41860.705901215959</v>
      </c>
    </row>
    <row r="96" spans="1:109" ht="14.25" customHeight="1" x14ac:dyDescent="0.2">
      <c r="A96" s="11">
        <f t="shared" si="58"/>
        <v>0</v>
      </c>
      <c r="B96" s="56">
        <f t="shared" si="119"/>
        <v>6185</v>
      </c>
      <c r="D96" s="56"/>
      <c r="F96" s="56">
        <v>6185</v>
      </c>
      <c r="G96" s="11" t="s">
        <v>95</v>
      </c>
      <c r="H96" s="75">
        <f>VLOOKUP($F96,Inputs!$L:$Q,6,FALSE)</f>
        <v>0.05</v>
      </c>
      <c r="I96" s="1"/>
      <c r="J96" s="29">
        <f t="shared" ref="J96:U96" si="125">($H96*$F$3)/12</f>
        <v>440.86250000000001</v>
      </c>
      <c r="K96" s="29">
        <f t="shared" si="125"/>
        <v>440.86250000000001</v>
      </c>
      <c r="L96" s="29">
        <f t="shared" si="125"/>
        <v>440.86250000000001</v>
      </c>
      <c r="M96" s="29">
        <f t="shared" si="125"/>
        <v>440.86250000000001</v>
      </c>
      <c r="N96" s="29">
        <f t="shared" si="125"/>
        <v>440.86250000000001</v>
      </c>
      <c r="O96" s="29">
        <f t="shared" si="125"/>
        <v>440.86250000000001</v>
      </c>
      <c r="P96" s="29">
        <f t="shared" si="125"/>
        <v>440.86250000000001</v>
      </c>
      <c r="Q96" s="29">
        <f t="shared" si="125"/>
        <v>440.86250000000001</v>
      </c>
      <c r="R96" s="29">
        <f t="shared" si="125"/>
        <v>440.86250000000001</v>
      </c>
      <c r="S96" s="29">
        <f t="shared" si="125"/>
        <v>440.86250000000001</v>
      </c>
      <c r="T96" s="29">
        <f t="shared" si="125"/>
        <v>440.86250000000001</v>
      </c>
      <c r="U96" s="239">
        <f t="shared" si="125"/>
        <v>440.86250000000001</v>
      </c>
      <c r="V96" s="29">
        <f>J96*(1+Inputs!$C$35)</f>
        <v>451.88406249999997</v>
      </c>
      <c r="W96" s="29">
        <f>K96*(1+Inputs!$C$35)</f>
        <v>451.88406249999997</v>
      </c>
      <c r="X96" s="29">
        <f>L96*(1+Inputs!$C$35)</f>
        <v>451.88406249999997</v>
      </c>
      <c r="Y96" s="29">
        <f>M96*(1+Inputs!$C$35)</f>
        <v>451.88406249999997</v>
      </c>
      <c r="Z96" s="29">
        <f>N96*(1+Inputs!$C$35)</f>
        <v>451.88406249999997</v>
      </c>
      <c r="AA96" s="29">
        <f>O96*(1+Inputs!$C$35)</f>
        <v>451.88406249999997</v>
      </c>
      <c r="AB96" s="29">
        <f>P96*(1+Inputs!$C$35)</f>
        <v>451.88406249999997</v>
      </c>
      <c r="AC96" s="29">
        <f>Q96*(1+Inputs!$C$35)</f>
        <v>451.88406249999997</v>
      </c>
      <c r="AD96" s="29">
        <f>R96*(1+Inputs!$C$35)</f>
        <v>451.88406249999997</v>
      </c>
      <c r="AE96" s="29">
        <f>S96*(1+Inputs!$C$35)</f>
        <v>451.88406249999997</v>
      </c>
      <c r="AF96" s="29">
        <f>T96*(1+Inputs!$C$35)</f>
        <v>451.88406249999997</v>
      </c>
      <c r="AG96" s="239">
        <f>U96*(1+Inputs!$C$35)</f>
        <v>451.88406249999997</v>
      </c>
      <c r="AH96" s="29">
        <f>V96*(1+Inputs!$C$35)</f>
        <v>463.18116406249993</v>
      </c>
      <c r="AI96" s="29">
        <f>W96*(1+Inputs!$C$35)</f>
        <v>463.18116406249993</v>
      </c>
      <c r="AJ96" s="29">
        <f>X96*(1+Inputs!$C$35)</f>
        <v>463.18116406249993</v>
      </c>
      <c r="AK96" s="29">
        <f>Y96*(1+Inputs!$C$35)</f>
        <v>463.18116406249993</v>
      </c>
      <c r="AL96" s="29">
        <f>Z96*(1+Inputs!$C$35)</f>
        <v>463.18116406249993</v>
      </c>
      <c r="AM96" s="29">
        <f>AA96*(1+Inputs!$C$35)</f>
        <v>463.18116406249993</v>
      </c>
      <c r="AN96" s="29">
        <f>AB96*(1+Inputs!$C$35)</f>
        <v>463.18116406249993</v>
      </c>
      <c r="AO96" s="29">
        <f>AC96*(1+Inputs!$C$35)</f>
        <v>463.18116406249993</v>
      </c>
      <c r="AP96" s="29">
        <f>AD96*(1+Inputs!$C$35)</f>
        <v>463.18116406249993</v>
      </c>
      <c r="AQ96" s="29">
        <f>AE96*(1+Inputs!$C$35)</f>
        <v>463.18116406249993</v>
      </c>
      <c r="AR96" s="29">
        <f>AF96*(1+Inputs!$C$35)</f>
        <v>463.18116406249993</v>
      </c>
      <c r="AS96" s="239">
        <f>AG96*(1+Inputs!$C$35)</f>
        <v>463.18116406249993</v>
      </c>
      <c r="AT96" s="29">
        <f>AH96*(1+Inputs!$C$35)</f>
        <v>474.76069316406239</v>
      </c>
      <c r="AU96" s="29">
        <f>AI96*(1+Inputs!$C$35)</f>
        <v>474.76069316406239</v>
      </c>
      <c r="AV96" s="29">
        <f>AJ96*(1+Inputs!$C$35)</f>
        <v>474.76069316406239</v>
      </c>
      <c r="AW96" s="29">
        <f>AK96*(1+Inputs!$C$35)</f>
        <v>474.76069316406239</v>
      </c>
      <c r="AX96" s="29">
        <f>AL96*(1+Inputs!$C$35)</f>
        <v>474.76069316406239</v>
      </c>
      <c r="AY96" s="29">
        <f>AM96*(1+Inputs!$C$35)</f>
        <v>474.76069316406239</v>
      </c>
      <c r="AZ96" s="29">
        <f>AN96*(1+Inputs!$C$35)</f>
        <v>474.76069316406239</v>
      </c>
      <c r="BA96" s="29">
        <f>AO96*(1+Inputs!$C$35)</f>
        <v>474.76069316406239</v>
      </c>
      <c r="BB96" s="29">
        <f>AP96*(1+Inputs!$C$35)</f>
        <v>474.76069316406239</v>
      </c>
      <c r="BC96" s="29">
        <f>AQ96*(1+Inputs!$C$35)</f>
        <v>474.76069316406239</v>
      </c>
      <c r="BD96" s="29">
        <f>AR96*(1+Inputs!$C$35)</f>
        <v>474.76069316406239</v>
      </c>
      <c r="BE96" s="239">
        <f>AS96*(1+Inputs!$C$35)</f>
        <v>474.76069316406239</v>
      </c>
      <c r="BF96" s="29">
        <f>AT96*(1+Inputs!$C$35)</f>
        <v>486.62971049316388</v>
      </c>
      <c r="BG96" s="29">
        <f>AU96*(1+Inputs!$C$35)</f>
        <v>486.62971049316388</v>
      </c>
      <c r="BH96" s="29">
        <f>AV96*(1+Inputs!$C$35)</f>
        <v>486.62971049316388</v>
      </c>
      <c r="BI96" s="29">
        <f>AW96*(1+Inputs!$C$35)</f>
        <v>486.62971049316388</v>
      </c>
      <c r="BJ96" s="29">
        <f>AX96*(1+Inputs!$C$35)</f>
        <v>486.62971049316388</v>
      </c>
      <c r="BK96" s="29">
        <f>AY96*(1+Inputs!$C$35)</f>
        <v>486.62971049316388</v>
      </c>
      <c r="BL96" s="29">
        <f>AZ96*(1+Inputs!$C$35)</f>
        <v>486.62971049316388</v>
      </c>
      <c r="BM96" s="29">
        <f>BA96*(1+Inputs!$C$35)</f>
        <v>486.62971049316388</v>
      </c>
      <c r="BN96" s="29">
        <f>BB96*(1+Inputs!$C$35)</f>
        <v>486.62971049316388</v>
      </c>
      <c r="BO96" s="29">
        <f>BC96*(1+Inputs!$C$35)</f>
        <v>486.62971049316388</v>
      </c>
      <c r="BP96" s="29">
        <f>BD96*(1+Inputs!$C$35)</f>
        <v>486.62971049316388</v>
      </c>
      <c r="BQ96" s="29">
        <f>BE96*(1+Inputs!$C$35)</f>
        <v>486.62971049316388</v>
      </c>
      <c r="BR96" s="29">
        <f>BF96*(1+Inputs!$C$35)</f>
        <v>498.79545325549293</v>
      </c>
      <c r="BS96" s="29">
        <f>BG96*(1+Inputs!$C$35)</f>
        <v>498.79545325549293</v>
      </c>
      <c r="BT96" s="29">
        <f>BH96*(1+Inputs!$C$35)</f>
        <v>498.79545325549293</v>
      </c>
      <c r="BU96" s="29">
        <f>BI96*(1+Inputs!$C$35)</f>
        <v>498.79545325549293</v>
      </c>
      <c r="BW96" s="29">
        <f t="shared" ref="BW96:CA96" si="126">SUMIF($J$6:$BU$6,BW$9,$J96:$BU96)</f>
        <v>5290.3500000000013</v>
      </c>
      <c r="BX96" s="29">
        <f t="shared" si="126"/>
        <v>5422.6087499999994</v>
      </c>
      <c r="BY96" s="29">
        <f t="shared" si="126"/>
        <v>5558.1739687500003</v>
      </c>
      <c r="BZ96" s="29">
        <f t="shared" si="126"/>
        <v>5697.128317968748</v>
      </c>
      <c r="CA96" s="29">
        <f t="shared" si="126"/>
        <v>5839.5565259179648</v>
      </c>
      <c r="CB96" s="29">
        <f>CA96*(1+Inputs!$C$35)</f>
        <v>5985.5454390659133</v>
      </c>
      <c r="CC96" s="29">
        <f>CB96*(1+Inputs!$C$35)</f>
        <v>6135.1840750425608</v>
      </c>
      <c r="CD96" s="29">
        <f>CC96*(1+Inputs!$C$35)</f>
        <v>6288.563676918624</v>
      </c>
      <c r="CE96" s="29">
        <f>CD96*(1+Inputs!$C$35)</f>
        <v>6445.777768841589</v>
      </c>
      <c r="CF96" s="29">
        <f>CE96*(1+Inputs!$C$35)</f>
        <v>6606.9222130626285</v>
      </c>
      <c r="CG96" s="29">
        <f>CF96*(1+Inputs!$C$35)</f>
        <v>6772.0952683891937</v>
      </c>
      <c r="CH96" s="29">
        <f>CG96*(1+Inputs!$C$35)</f>
        <v>6941.3976500989229</v>
      </c>
      <c r="CI96" s="29">
        <f>CH96*(1+Inputs!$C$35)</f>
        <v>7114.9325913513958</v>
      </c>
      <c r="CJ96" s="29">
        <f>CI96*(1+Inputs!$C$35)</f>
        <v>7292.8059061351796</v>
      </c>
      <c r="CK96" s="29">
        <f>CJ96*(1+Inputs!$C$35)</f>
        <v>7475.1260537885582</v>
      </c>
    </row>
    <row r="97" spans="1:109" ht="14.25" customHeight="1" x14ac:dyDescent="0.2">
      <c r="A97" s="11">
        <f t="shared" si="58"/>
        <v>0</v>
      </c>
      <c r="B97" s="56">
        <f t="shared" si="119"/>
        <v>6186</v>
      </c>
      <c r="D97" s="56"/>
      <c r="F97" s="56">
        <v>6186</v>
      </c>
      <c r="G97" s="11" t="s">
        <v>100</v>
      </c>
      <c r="H97" s="75">
        <f>VLOOKUP($F97,Inputs!$L:$Q,6,FALSE)</f>
        <v>0.12</v>
      </c>
      <c r="I97" s="1"/>
      <c r="J97" s="29">
        <f t="shared" ref="J97:U97" si="127">($H97*$F$3)/12</f>
        <v>1058.07</v>
      </c>
      <c r="K97" s="29">
        <f t="shared" si="127"/>
        <v>1058.07</v>
      </c>
      <c r="L97" s="29">
        <f t="shared" si="127"/>
        <v>1058.07</v>
      </c>
      <c r="M97" s="29">
        <f t="shared" si="127"/>
        <v>1058.07</v>
      </c>
      <c r="N97" s="29">
        <f t="shared" si="127"/>
        <v>1058.07</v>
      </c>
      <c r="O97" s="29">
        <f t="shared" si="127"/>
        <v>1058.07</v>
      </c>
      <c r="P97" s="29">
        <f t="shared" si="127"/>
        <v>1058.07</v>
      </c>
      <c r="Q97" s="29">
        <f t="shared" si="127"/>
        <v>1058.07</v>
      </c>
      <c r="R97" s="29">
        <f t="shared" si="127"/>
        <v>1058.07</v>
      </c>
      <c r="S97" s="29">
        <f t="shared" si="127"/>
        <v>1058.07</v>
      </c>
      <c r="T97" s="29">
        <f t="shared" si="127"/>
        <v>1058.07</v>
      </c>
      <c r="U97" s="239">
        <f t="shared" si="127"/>
        <v>1058.07</v>
      </c>
      <c r="V97" s="29">
        <f>J97*(1+Inputs!$C$35)</f>
        <v>1084.5217499999999</v>
      </c>
      <c r="W97" s="29">
        <f>K97*(1+Inputs!$C$35)</f>
        <v>1084.5217499999999</v>
      </c>
      <c r="X97" s="29">
        <f>L97*(1+Inputs!$C$35)</f>
        <v>1084.5217499999999</v>
      </c>
      <c r="Y97" s="29">
        <f>M97*(1+Inputs!$C$35)</f>
        <v>1084.5217499999999</v>
      </c>
      <c r="Z97" s="29">
        <f>N97*(1+Inputs!$C$35)</f>
        <v>1084.5217499999999</v>
      </c>
      <c r="AA97" s="29">
        <f>O97*(1+Inputs!$C$35)</f>
        <v>1084.5217499999999</v>
      </c>
      <c r="AB97" s="29">
        <f>P97*(1+Inputs!$C$35)</f>
        <v>1084.5217499999999</v>
      </c>
      <c r="AC97" s="29">
        <f>Q97*(1+Inputs!$C$35)</f>
        <v>1084.5217499999999</v>
      </c>
      <c r="AD97" s="29">
        <f>R97*(1+Inputs!$C$35)</f>
        <v>1084.5217499999999</v>
      </c>
      <c r="AE97" s="29">
        <f>S97*(1+Inputs!$C$35)</f>
        <v>1084.5217499999999</v>
      </c>
      <c r="AF97" s="29">
        <f>T97*(1+Inputs!$C$35)</f>
        <v>1084.5217499999999</v>
      </c>
      <c r="AG97" s="239">
        <f>U97*(1+Inputs!$C$35)</f>
        <v>1084.5217499999999</v>
      </c>
      <c r="AH97" s="29">
        <f>V97*(1+Inputs!$C$35)</f>
        <v>1111.6347937499997</v>
      </c>
      <c r="AI97" s="29">
        <f>W97*(1+Inputs!$C$35)</f>
        <v>1111.6347937499997</v>
      </c>
      <c r="AJ97" s="29">
        <f>X97*(1+Inputs!$C$35)</f>
        <v>1111.6347937499997</v>
      </c>
      <c r="AK97" s="29">
        <f>Y97*(1+Inputs!$C$35)</f>
        <v>1111.6347937499997</v>
      </c>
      <c r="AL97" s="29">
        <f>Z97*(1+Inputs!$C$35)</f>
        <v>1111.6347937499997</v>
      </c>
      <c r="AM97" s="29">
        <f>AA97*(1+Inputs!$C$35)</f>
        <v>1111.6347937499997</v>
      </c>
      <c r="AN97" s="29">
        <f>AB97*(1+Inputs!$C$35)</f>
        <v>1111.6347937499997</v>
      </c>
      <c r="AO97" s="29">
        <f>AC97*(1+Inputs!$C$35)</f>
        <v>1111.6347937499997</v>
      </c>
      <c r="AP97" s="29">
        <f>AD97*(1+Inputs!$C$35)</f>
        <v>1111.6347937499997</v>
      </c>
      <c r="AQ97" s="29">
        <f>AE97*(1+Inputs!$C$35)</f>
        <v>1111.6347937499997</v>
      </c>
      <c r="AR97" s="29">
        <f>AF97*(1+Inputs!$C$35)</f>
        <v>1111.6347937499997</v>
      </c>
      <c r="AS97" s="239">
        <f>AG97*(1+Inputs!$C$35)</f>
        <v>1111.6347937499997</v>
      </c>
      <c r="AT97" s="29">
        <f>AH97*(1+Inputs!$C$35)</f>
        <v>1139.4256635937497</v>
      </c>
      <c r="AU97" s="29">
        <f>AI97*(1+Inputs!$C$35)</f>
        <v>1139.4256635937497</v>
      </c>
      <c r="AV97" s="29">
        <f>AJ97*(1+Inputs!$C$35)</f>
        <v>1139.4256635937497</v>
      </c>
      <c r="AW97" s="29">
        <f>AK97*(1+Inputs!$C$35)</f>
        <v>1139.4256635937497</v>
      </c>
      <c r="AX97" s="29">
        <f>AL97*(1+Inputs!$C$35)</f>
        <v>1139.4256635937497</v>
      </c>
      <c r="AY97" s="29">
        <f>AM97*(1+Inputs!$C$35)</f>
        <v>1139.4256635937497</v>
      </c>
      <c r="AZ97" s="29">
        <f>AN97*(1+Inputs!$C$35)</f>
        <v>1139.4256635937497</v>
      </c>
      <c r="BA97" s="29">
        <f>AO97*(1+Inputs!$C$35)</f>
        <v>1139.4256635937497</v>
      </c>
      <c r="BB97" s="29">
        <f>AP97*(1+Inputs!$C$35)</f>
        <v>1139.4256635937497</v>
      </c>
      <c r="BC97" s="29">
        <f>AQ97*(1+Inputs!$C$35)</f>
        <v>1139.4256635937497</v>
      </c>
      <c r="BD97" s="29">
        <f>AR97*(1+Inputs!$C$35)</f>
        <v>1139.4256635937497</v>
      </c>
      <c r="BE97" s="239">
        <f>AS97*(1+Inputs!$C$35)</f>
        <v>1139.4256635937497</v>
      </c>
      <c r="BF97" s="29">
        <f>AT97*(1+Inputs!$C$35)</f>
        <v>1167.9113051835934</v>
      </c>
      <c r="BG97" s="29">
        <f>AU97*(1+Inputs!$C$35)</f>
        <v>1167.9113051835934</v>
      </c>
      <c r="BH97" s="29">
        <f>AV97*(1+Inputs!$C$35)</f>
        <v>1167.9113051835934</v>
      </c>
      <c r="BI97" s="29">
        <f>AW97*(1+Inputs!$C$35)</f>
        <v>1167.9113051835934</v>
      </c>
      <c r="BJ97" s="29">
        <f>AX97*(1+Inputs!$C$35)</f>
        <v>1167.9113051835934</v>
      </c>
      <c r="BK97" s="29">
        <f>AY97*(1+Inputs!$C$35)</f>
        <v>1167.9113051835934</v>
      </c>
      <c r="BL97" s="29">
        <f>AZ97*(1+Inputs!$C$35)</f>
        <v>1167.9113051835934</v>
      </c>
      <c r="BM97" s="29">
        <f>BA97*(1+Inputs!$C$35)</f>
        <v>1167.9113051835934</v>
      </c>
      <c r="BN97" s="29">
        <f>BB97*(1+Inputs!$C$35)</f>
        <v>1167.9113051835934</v>
      </c>
      <c r="BO97" s="29">
        <f>BC97*(1+Inputs!$C$35)</f>
        <v>1167.9113051835934</v>
      </c>
      <c r="BP97" s="29">
        <f>BD97*(1+Inputs!$C$35)</f>
        <v>1167.9113051835934</v>
      </c>
      <c r="BQ97" s="29">
        <f>BE97*(1+Inputs!$C$35)</f>
        <v>1167.9113051835934</v>
      </c>
      <c r="BR97" s="29">
        <f>BF97*(1+Inputs!$C$35)</f>
        <v>1197.1090878131831</v>
      </c>
      <c r="BS97" s="29">
        <f>BG97*(1+Inputs!$C$35)</f>
        <v>1197.1090878131831</v>
      </c>
      <c r="BT97" s="29">
        <f>BH97*(1+Inputs!$C$35)</f>
        <v>1197.1090878131831</v>
      </c>
      <c r="BU97" s="29">
        <f>BI97*(1+Inputs!$C$35)</f>
        <v>1197.1090878131831</v>
      </c>
      <c r="BW97" s="29">
        <f t="shared" ref="BW97:CA97" si="128">SUMIF($J$6:$BU$6,BW$9,$J97:$BU97)</f>
        <v>12696.839999999998</v>
      </c>
      <c r="BX97" s="29">
        <f t="shared" si="128"/>
        <v>13014.260999999999</v>
      </c>
      <c r="BY97" s="29">
        <f t="shared" si="128"/>
        <v>13339.617524999996</v>
      </c>
      <c r="BZ97" s="29">
        <f t="shared" si="128"/>
        <v>13673.107963124994</v>
      </c>
      <c r="CA97" s="29">
        <f t="shared" si="128"/>
        <v>14014.935662203125</v>
      </c>
      <c r="CB97" s="29">
        <f>CA97*(1+Inputs!$C$35)</f>
        <v>14365.309053758201</v>
      </c>
      <c r="CC97" s="29">
        <f>CB97*(1+Inputs!$C$35)</f>
        <v>14724.441780102155</v>
      </c>
      <c r="CD97" s="29">
        <f>CC97*(1+Inputs!$C$35)</f>
        <v>15092.552824604709</v>
      </c>
      <c r="CE97" s="29">
        <f>CD97*(1+Inputs!$C$35)</f>
        <v>15469.866645219825</v>
      </c>
      <c r="CF97" s="29">
        <f>CE97*(1+Inputs!$C$35)</f>
        <v>15856.613311350318</v>
      </c>
      <c r="CG97" s="29">
        <f>CF97*(1+Inputs!$C$35)</f>
        <v>16253.028644134074</v>
      </c>
      <c r="CH97" s="29">
        <f>CG97*(1+Inputs!$C$35)</f>
        <v>16659.354360237423</v>
      </c>
      <c r="CI97" s="29">
        <f>CH97*(1+Inputs!$C$35)</f>
        <v>17075.838219243356</v>
      </c>
      <c r="CJ97" s="29">
        <f>CI97*(1+Inputs!$C$35)</f>
        <v>17502.734174724439</v>
      </c>
      <c r="CK97" s="29">
        <f>CJ97*(1+Inputs!$C$35)</f>
        <v>17940.302529092547</v>
      </c>
    </row>
    <row r="98" spans="1:109" ht="14.25" customHeight="1" x14ac:dyDescent="0.2">
      <c r="A98" s="11">
        <f t="shared" si="58"/>
        <v>0</v>
      </c>
      <c r="B98" s="56">
        <f t="shared" si="119"/>
        <v>6187</v>
      </c>
      <c r="D98" s="56"/>
      <c r="F98" s="56">
        <v>6187</v>
      </c>
      <c r="G98" s="11" t="s">
        <v>107</v>
      </c>
      <c r="H98" s="75">
        <f>VLOOKUP($F98,Inputs!$L:$Q,6,FALSE)</f>
        <v>0.1</v>
      </c>
      <c r="I98" s="1"/>
      <c r="J98" s="29">
        <f>($H98*$F$3)*VLOOKUP(MONTH(J$9),Modeling!$B$19:$F$31,3,FALSE)</f>
        <v>2116.1400000000003</v>
      </c>
      <c r="K98" s="29">
        <f>($H98*$F$3)*VLOOKUP(MONTH(K$9),Modeling!$B$19:$F$31,3,FALSE)</f>
        <v>2116.1400000000003</v>
      </c>
      <c r="L98" s="29">
        <f>($H98*$F$3)*VLOOKUP(MONTH(L$9),Modeling!$B$19:$F$31,3,FALSE)</f>
        <v>2116.1400000000003</v>
      </c>
      <c r="M98" s="29">
        <f>($H98*$F$3)*VLOOKUP(MONTH(M$9),Modeling!$B$19:$F$31,3,FALSE)</f>
        <v>1587.105</v>
      </c>
      <c r="N98" s="29">
        <f>($H98*$F$3)*VLOOKUP(MONTH(N$9),Modeling!$B$19:$F$31,3,FALSE)</f>
        <v>529.03500000000008</v>
      </c>
      <c r="O98" s="29">
        <f>($H98*$F$3)*VLOOKUP(MONTH(O$9),Modeling!$B$19:$F$31,3,FALSE)</f>
        <v>0</v>
      </c>
      <c r="P98" s="29">
        <f>($H98*$F$3)*VLOOKUP(MONTH(P$9),Modeling!$B$19:$F$31,3,FALSE)</f>
        <v>0</v>
      </c>
      <c r="Q98" s="29">
        <f>($H98*$F$3)*VLOOKUP(MONTH(Q$9),Modeling!$B$19:$F$31,3,FALSE)</f>
        <v>0</v>
      </c>
      <c r="R98" s="29">
        <f>($H98*$F$3)*VLOOKUP(MONTH(R$9),Modeling!$B$19:$F$31,3,FALSE)</f>
        <v>0</v>
      </c>
      <c r="S98" s="29">
        <f>($H98*$F$3)*VLOOKUP(MONTH(S$9),Modeling!$B$19:$F$31,3,FALSE)</f>
        <v>0</v>
      </c>
      <c r="T98" s="29">
        <f>($H98*$F$3)*VLOOKUP(MONTH(T$9),Modeling!$B$19:$F$31,3,FALSE)</f>
        <v>529.03500000000008</v>
      </c>
      <c r="U98" s="239">
        <f>($H98*$F$3)*VLOOKUP(MONTH(U$9),Modeling!$B$19:$F$31,3,FALSE)</f>
        <v>1587.105</v>
      </c>
      <c r="V98" s="29">
        <f>J98*(1+Inputs!$C$35)</f>
        <v>2169.0435000000002</v>
      </c>
      <c r="W98" s="29">
        <f>K98*(1+Inputs!$C$35)</f>
        <v>2169.0435000000002</v>
      </c>
      <c r="X98" s="29">
        <f>L98*(1+Inputs!$C$35)</f>
        <v>2169.0435000000002</v>
      </c>
      <c r="Y98" s="29">
        <f>M98*(1+Inputs!$C$35)</f>
        <v>1626.7826249999998</v>
      </c>
      <c r="Z98" s="29">
        <f>N98*(1+Inputs!$C$35)</f>
        <v>542.26087500000006</v>
      </c>
      <c r="AA98" s="29">
        <f>O98*(1+Inputs!$C$35)</f>
        <v>0</v>
      </c>
      <c r="AB98" s="29">
        <f>P98*(1+Inputs!$C$35)</f>
        <v>0</v>
      </c>
      <c r="AC98" s="29">
        <f>Q98*(1+Inputs!$C$35)</f>
        <v>0</v>
      </c>
      <c r="AD98" s="29">
        <f>R98*(1+Inputs!$C$35)</f>
        <v>0</v>
      </c>
      <c r="AE98" s="29">
        <f>S98*(1+Inputs!$C$35)</f>
        <v>0</v>
      </c>
      <c r="AF98" s="29">
        <f>T98*(1+Inputs!$C$35)</f>
        <v>542.26087500000006</v>
      </c>
      <c r="AG98" s="239">
        <f>U98*(1+Inputs!$C$35)</f>
        <v>1626.7826249999998</v>
      </c>
      <c r="AH98" s="29">
        <f>V98*(1+Inputs!$C$35)</f>
        <v>2223.2695874999999</v>
      </c>
      <c r="AI98" s="29">
        <f>W98*(1+Inputs!$C$35)</f>
        <v>2223.2695874999999</v>
      </c>
      <c r="AJ98" s="29">
        <f>X98*(1+Inputs!$C$35)</f>
        <v>2223.2695874999999</v>
      </c>
      <c r="AK98" s="29">
        <f>Y98*(1+Inputs!$C$35)</f>
        <v>1667.4521906249997</v>
      </c>
      <c r="AL98" s="29">
        <f>Z98*(1+Inputs!$C$35)</f>
        <v>555.81739687499999</v>
      </c>
      <c r="AM98" s="29">
        <f>AA98*(1+Inputs!$C$35)</f>
        <v>0</v>
      </c>
      <c r="AN98" s="29">
        <f>AB98*(1+Inputs!$C$35)</f>
        <v>0</v>
      </c>
      <c r="AO98" s="29">
        <f>AC98*(1+Inputs!$C$35)</f>
        <v>0</v>
      </c>
      <c r="AP98" s="29">
        <f>AD98*(1+Inputs!$C$35)</f>
        <v>0</v>
      </c>
      <c r="AQ98" s="29">
        <f>AE98*(1+Inputs!$C$35)</f>
        <v>0</v>
      </c>
      <c r="AR98" s="29">
        <f>AF98*(1+Inputs!$C$35)</f>
        <v>555.81739687499999</v>
      </c>
      <c r="AS98" s="239">
        <f>AG98*(1+Inputs!$C$35)</f>
        <v>1667.4521906249997</v>
      </c>
      <c r="AT98" s="29">
        <f>AH98*(1+Inputs!$C$35)</f>
        <v>2278.8513271874999</v>
      </c>
      <c r="AU98" s="29">
        <f>AI98*(1+Inputs!$C$35)</f>
        <v>2278.8513271874999</v>
      </c>
      <c r="AV98" s="29">
        <f>AJ98*(1+Inputs!$C$35)</f>
        <v>2278.8513271874999</v>
      </c>
      <c r="AW98" s="29">
        <f>AK98*(1+Inputs!$C$35)</f>
        <v>1709.1384953906245</v>
      </c>
      <c r="AX98" s="29">
        <f>AL98*(1+Inputs!$C$35)</f>
        <v>569.71283179687498</v>
      </c>
      <c r="AY98" s="29">
        <f>AM98*(1+Inputs!$C$35)</f>
        <v>0</v>
      </c>
      <c r="AZ98" s="29">
        <f>AN98*(1+Inputs!$C$35)</f>
        <v>0</v>
      </c>
      <c r="BA98" s="29">
        <f>AO98*(1+Inputs!$C$35)</f>
        <v>0</v>
      </c>
      <c r="BB98" s="29">
        <f>AP98*(1+Inputs!$C$35)</f>
        <v>0</v>
      </c>
      <c r="BC98" s="29">
        <f>AQ98*(1+Inputs!$C$35)</f>
        <v>0</v>
      </c>
      <c r="BD98" s="29">
        <f>AR98*(1+Inputs!$C$35)</f>
        <v>569.71283179687498</v>
      </c>
      <c r="BE98" s="239">
        <f>AS98*(1+Inputs!$C$35)</f>
        <v>1709.1384953906245</v>
      </c>
      <c r="BF98" s="29">
        <f>AT98*(1+Inputs!$C$35)</f>
        <v>2335.8226103671873</v>
      </c>
      <c r="BG98" s="29">
        <f>AU98*(1+Inputs!$C$35)</f>
        <v>2335.8226103671873</v>
      </c>
      <c r="BH98" s="29">
        <f>AV98*(1+Inputs!$C$35)</f>
        <v>2335.8226103671873</v>
      </c>
      <c r="BI98" s="29">
        <f>AW98*(1+Inputs!$C$35)</f>
        <v>1751.8669577753899</v>
      </c>
      <c r="BJ98" s="29">
        <f>AX98*(1+Inputs!$C$35)</f>
        <v>583.95565259179682</v>
      </c>
      <c r="BK98" s="29">
        <f>AY98*(1+Inputs!$C$35)</f>
        <v>0</v>
      </c>
      <c r="BL98" s="29">
        <f>AZ98*(1+Inputs!$C$35)</f>
        <v>0</v>
      </c>
      <c r="BM98" s="29">
        <f>BA98*(1+Inputs!$C$35)</f>
        <v>0</v>
      </c>
      <c r="BN98" s="29">
        <f>BB98*(1+Inputs!$C$35)</f>
        <v>0</v>
      </c>
      <c r="BO98" s="29">
        <f>BC98*(1+Inputs!$C$35)</f>
        <v>0</v>
      </c>
      <c r="BP98" s="29">
        <f>BD98*(1+Inputs!$C$35)</f>
        <v>583.95565259179682</v>
      </c>
      <c r="BQ98" s="29">
        <f>BE98*(1+Inputs!$C$35)</f>
        <v>1751.8669577753899</v>
      </c>
      <c r="BR98" s="29">
        <f>BF98*(1+Inputs!$C$35)</f>
        <v>2394.2181756263667</v>
      </c>
      <c r="BS98" s="29">
        <f>BG98*(1+Inputs!$C$35)</f>
        <v>2394.2181756263667</v>
      </c>
      <c r="BT98" s="29">
        <f>BH98*(1+Inputs!$C$35)</f>
        <v>2394.2181756263667</v>
      </c>
      <c r="BU98" s="29">
        <f>BI98*(1+Inputs!$C$35)</f>
        <v>1795.6636317197745</v>
      </c>
      <c r="BW98" s="29">
        <f t="shared" ref="BW98:CA98" si="129">SUMIF($J$6:$BU$6,BW$9,$J98:$BU98)</f>
        <v>10580.7</v>
      </c>
      <c r="BX98" s="29">
        <f t="shared" si="129"/>
        <v>10845.217500000001</v>
      </c>
      <c r="BY98" s="29">
        <f t="shared" si="129"/>
        <v>11116.347937499999</v>
      </c>
      <c r="BZ98" s="29">
        <f t="shared" si="129"/>
        <v>11394.256635937498</v>
      </c>
      <c r="CA98" s="29">
        <f t="shared" si="129"/>
        <v>11679.113051835933</v>
      </c>
      <c r="CB98" s="29">
        <f>CA98*(1+Inputs!$C$35)</f>
        <v>11971.09087813183</v>
      </c>
      <c r="CC98" s="29">
        <f>CB98*(1+Inputs!$C$35)</f>
        <v>12270.368150085125</v>
      </c>
      <c r="CD98" s="29">
        <f>CC98*(1+Inputs!$C$35)</f>
        <v>12577.127353837252</v>
      </c>
      <c r="CE98" s="29">
        <f>CD98*(1+Inputs!$C$35)</f>
        <v>12891.555537683182</v>
      </c>
      <c r="CF98" s="29">
        <f>CE98*(1+Inputs!$C$35)</f>
        <v>13213.844426125261</v>
      </c>
      <c r="CG98" s="29">
        <f>CF98*(1+Inputs!$C$35)</f>
        <v>13544.190536778391</v>
      </c>
      <c r="CH98" s="29">
        <f>CG98*(1+Inputs!$C$35)</f>
        <v>13882.795300197849</v>
      </c>
      <c r="CI98" s="29">
        <f>CH98*(1+Inputs!$C$35)</f>
        <v>14229.865182702795</v>
      </c>
      <c r="CJ98" s="29">
        <f>CI98*(1+Inputs!$C$35)</f>
        <v>14585.611812270365</v>
      </c>
      <c r="CK98" s="29">
        <f>CJ98*(1+Inputs!$C$35)</f>
        <v>14950.252107577122</v>
      </c>
    </row>
    <row r="99" spans="1:109" ht="14.25" customHeight="1" x14ac:dyDescent="0.2">
      <c r="A99" s="11">
        <f t="shared" si="58"/>
        <v>0</v>
      </c>
      <c r="B99" s="56">
        <f t="shared" si="119"/>
        <v>6200</v>
      </c>
      <c r="D99" s="56"/>
      <c r="F99" s="56">
        <v>6200</v>
      </c>
      <c r="G99" s="11" t="s">
        <v>111</v>
      </c>
      <c r="H99" s="75">
        <f>VLOOKUP($F99,Inputs!$L:$Q,6,FALSE)</f>
        <v>9.9999999999999998E-13</v>
      </c>
      <c r="I99" s="1"/>
      <c r="J99" s="29">
        <f t="shared" ref="J99:U99" si="130">($H99*$F$3)/12</f>
        <v>8.8172500000000008E-9</v>
      </c>
      <c r="K99" s="29">
        <f t="shared" si="130"/>
        <v>8.8172500000000008E-9</v>
      </c>
      <c r="L99" s="29">
        <f t="shared" si="130"/>
        <v>8.8172500000000008E-9</v>
      </c>
      <c r="M99" s="29">
        <f t="shared" si="130"/>
        <v>8.8172500000000008E-9</v>
      </c>
      <c r="N99" s="29">
        <f t="shared" si="130"/>
        <v>8.8172500000000008E-9</v>
      </c>
      <c r="O99" s="29">
        <f t="shared" si="130"/>
        <v>8.8172500000000008E-9</v>
      </c>
      <c r="P99" s="29">
        <f t="shared" si="130"/>
        <v>8.8172500000000008E-9</v>
      </c>
      <c r="Q99" s="29">
        <f t="shared" si="130"/>
        <v>8.8172500000000008E-9</v>
      </c>
      <c r="R99" s="29">
        <f t="shared" si="130"/>
        <v>8.8172500000000008E-9</v>
      </c>
      <c r="S99" s="29">
        <f t="shared" si="130"/>
        <v>8.8172500000000008E-9</v>
      </c>
      <c r="T99" s="29">
        <f t="shared" si="130"/>
        <v>8.8172500000000008E-9</v>
      </c>
      <c r="U99" s="239">
        <f t="shared" si="130"/>
        <v>8.8172500000000008E-9</v>
      </c>
      <c r="V99" s="29">
        <f>J99*(1+Inputs!$C$35)</f>
        <v>9.0376812499999997E-9</v>
      </c>
      <c r="W99" s="29">
        <f>K99*(1+Inputs!$C$35)</f>
        <v>9.0376812499999997E-9</v>
      </c>
      <c r="X99" s="29">
        <f>L99*(1+Inputs!$C$35)</f>
        <v>9.0376812499999997E-9</v>
      </c>
      <c r="Y99" s="29">
        <f>M99*(1+Inputs!$C$35)</f>
        <v>9.0376812499999997E-9</v>
      </c>
      <c r="Z99" s="29">
        <f>N99*(1+Inputs!$C$35)</f>
        <v>9.0376812499999997E-9</v>
      </c>
      <c r="AA99" s="29">
        <f>O99*(1+Inputs!$C$35)</f>
        <v>9.0376812499999997E-9</v>
      </c>
      <c r="AB99" s="29">
        <f>P99*(1+Inputs!$C$35)</f>
        <v>9.0376812499999997E-9</v>
      </c>
      <c r="AC99" s="29">
        <f>Q99*(1+Inputs!$C$35)</f>
        <v>9.0376812499999997E-9</v>
      </c>
      <c r="AD99" s="29">
        <f>R99*(1+Inputs!$C$35)</f>
        <v>9.0376812499999997E-9</v>
      </c>
      <c r="AE99" s="29">
        <f>S99*(1+Inputs!$C$35)</f>
        <v>9.0376812499999997E-9</v>
      </c>
      <c r="AF99" s="29">
        <f>T99*(1+Inputs!$C$35)</f>
        <v>9.0376812499999997E-9</v>
      </c>
      <c r="AG99" s="239">
        <f>U99*(1+Inputs!$C$35)</f>
        <v>9.0376812499999997E-9</v>
      </c>
      <c r="AH99" s="29">
        <f>V99*(1+Inputs!$C$35)</f>
        <v>9.2636232812499994E-9</v>
      </c>
      <c r="AI99" s="29">
        <f>W99*(1+Inputs!$C$35)</f>
        <v>9.2636232812499994E-9</v>
      </c>
      <c r="AJ99" s="29">
        <f>X99*(1+Inputs!$C$35)</f>
        <v>9.2636232812499994E-9</v>
      </c>
      <c r="AK99" s="29">
        <f>Y99*(1+Inputs!$C$35)</f>
        <v>9.2636232812499994E-9</v>
      </c>
      <c r="AL99" s="29">
        <f>Z99*(1+Inputs!$C$35)</f>
        <v>9.2636232812499994E-9</v>
      </c>
      <c r="AM99" s="29">
        <f>AA99*(1+Inputs!$C$35)</f>
        <v>9.2636232812499994E-9</v>
      </c>
      <c r="AN99" s="29">
        <f>AB99*(1+Inputs!$C$35)</f>
        <v>9.2636232812499994E-9</v>
      </c>
      <c r="AO99" s="29">
        <f>AC99*(1+Inputs!$C$35)</f>
        <v>9.2636232812499994E-9</v>
      </c>
      <c r="AP99" s="29">
        <f>AD99*(1+Inputs!$C$35)</f>
        <v>9.2636232812499994E-9</v>
      </c>
      <c r="AQ99" s="29">
        <f>AE99*(1+Inputs!$C$35)</f>
        <v>9.2636232812499994E-9</v>
      </c>
      <c r="AR99" s="29">
        <f>AF99*(1+Inputs!$C$35)</f>
        <v>9.2636232812499994E-9</v>
      </c>
      <c r="AS99" s="239">
        <f>AG99*(1+Inputs!$C$35)</f>
        <v>9.2636232812499994E-9</v>
      </c>
      <c r="AT99" s="29">
        <f>AH99*(1+Inputs!$C$35)</f>
        <v>9.4952138632812478E-9</v>
      </c>
      <c r="AU99" s="29">
        <f>AI99*(1+Inputs!$C$35)</f>
        <v>9.4952138632812478E-9</v>
      </c>
      <c r="AV99" s="29">
        <f>AJ99*(1+Inputs!$C$35)</f>
        <v>9.4952138632812478E-9</v>
      </c>
      <c r="AW99" s="29">
        <f>AK99*(1+Inputs!$C$35)</f>
        <v>9.4952138632812478E-9</v>
      </c>
      <c r="AX99" s="29">
        <f>AL99*(1+Inputs!$C$35)</f>
        <v>9.4952138632812478E-9</v>
      </c>
      <c r="AY99" s="29">
        <f>AM99*(1+Inputs!$C$35)</f>
        <v>9.4952138632812478E-9</v>
      </c>
      <c r="AZ99" s="29">
        <f>AN99*(1+Inputs!$C$35)</f>
        <v>9.4952138632812478E-9</v>
      </c>
      <c r="BA99" s="29">
        <f>AO99*(1+Inputs!$C$35)</f>
        <v>9.4952138632812478E-9</v>
      </c>
      <c r="BB99" s="29">
        <f>AP99*(1+Inputs!$C$35)</f>
        <v>9.4952138632812478E-9</v>
      </c>
      <c r="BC99" s="29">
        <f>AQ99*(1+Inputs!$C$35)</f>
        <v>9.4952138632812478E-9</v>
      </c>
      <c r="BD99" s="29">
        <f>AR99*(1+Inputs!$C$35)</f>
        <v>9.4952138632812478E-9</v>
      </c>
      <c r="BE99" s="239">
        <f>AS99*(1+Inputs!$C$35)</f>
        <v>9.4952138632812478E-9</v>
      </c>
      <c r="BF99" s="29">
        <f>AT99*(1+Inputs!$C$35)</f>
        <v>9.7325942098632783E-9</v>
      </c>
      <c r="BG99" s="29">
        <f>AU99*(1+Inputs!$C$35)</f>
        <v>9.7325942098632783E-9</v>
      </c>
      <c r="BH99" s="29">
        <f>AV99*(1+Inputs!$C$35)</f>
        <v>9.7325942098632783E-9</v>
      </c>
      <c r="BI99" s="29">
        <f>AW99*(1+Inputs!$C$35)</f>
        <v>9.7325942098632783E-9</v>
      </c>
      <c r="BJ99" s="29">
        <f>AX99*(1+Inputs!$C$35)</f>
        <v>9.7325942098632783E-9</v>
      </c>
      <c r="BK99" s="29">
        <f>AY99*(1+Inputs!$C$35)</f>
        <v>9.7325942098632783E-9</v>
      </c>
      <c r="BL99" s="29">
        <f>AZ99*(1+Inputs!$C$35)</f>
        <v>9.7325942098632783E-9</v>
      </c>
      <c r="BM99" s="29">
        <f>BA99*(1+Inputs!$C$35)</f>
        <v>9.7325942098632783E-9</v>
      </c>
      <c r="BN99" s="29">
        <f>BB99*(1+Inputs!$C$35)</f>
        <v>9.7325942098632783E-9</v>
      </c>
      <c r="BO99" s="29">
        <f>BC99*(1+Inputs!$C$35)</f>
        <v>9.7325942098632783E-9</v>
      </c>
      <c r="BP99" s="29">
        <f>BD99*(1+Inputs!$C$35)</f>
        <v>9.7325942098632783E-9</v>
      </c>
      <c r="BQ99" s="29">
        <f>BE99*(1+Inputs!$C$35)</f>
        <v>9.7325942098632783E-9</v>
      </c>
      <c r="BR99" s="29">
        <f>BF99*(1+Inputs!$C$35)</f>
        <v>9.9759090651098595E-9</v>
      </c>
      <c r="BS99" s="29">
        <f>BG99*(1+Inputs!$C$35)</f>
        <v>9.9759090651098595E-9</v>
      </c>
      <c r="BT99" s="29">
        <f>BH99*(1+Inputs!$C$35)</f>
        <v>9.9759090651098595E-9</v>
      </c>
      <c r="BU99" s="29">
        <f>BI99*(1+Inputs!$C$35)</f>
        <v>9.9759090651098595E-9</v>
      </c>
      <c r="BW99" s="29">
        <f t="shared" ref="BW99:CA99" si="131">SUMIF($J$6:$BU$6,BW$9,$J99:$BU99)</f>
        <v>1.05807E-7</v>
      </c>
      <c r="BX99" s="29">
        <f t="shared" si="131"/>
        <v>1.08452175E-7</v>
      </c>
      <c r="BY99" s="29">
        <f t="shared" si="131"/>
        <v>1.1116347937500002E-7</v>
      </c>
      <c r="BZ99" s="29">
        <f t="shared" si="131"/>
        <v>1.1394256635937497E-7</v>
      </c>
      <c r="CA99" s="29">
        <f t="shared" si="131"/>
        <v>1.1679113051835932E-7</v>
      </c>
      <c r="CB99" s="29">
        <f>CA99*(1+Inputs!$C$35)</f>
        <v>1.1971090878131829E-7</v>
      </c>
      <c r="CC99" s="29">
        <f>CB99*(1+Inputs!$C$35)</f>
        <v>1.2270368150085124E-7</v>
      </c>
      <c r="CD99" s="29">
        <f>CC99*(1+Inputs!$C$35)</f>
        <v>1.2577127353837251E-7</v>
      </c>
      <c r="CE99" s="29">
        <f>CD99*(1+Inputs!$C$35)</f>
        <v>1.2891555537683182E-7</v>
      </c>
      <c r="CF99" s="29">
        <f>CE99*(1+Inputs!$C$35)</f>
        <v>1.3213844426125261E-7</v>
      </c>
      <c r="CG99" s="29">
        <f>CF99*(1+Inputs!$C$35)</f>
        <v>1.354419053677839E-7</v>
      </c>
      <c r="CH99" s="29">
        <f>CG99*(1+Inputs!$C$35)</f>
        <v>1.388279530019785E-7</v>
      </c>
      <c r="CI99" s="29">
        <f>CH99*(1+Inputs!$C$35)</f>
        <v>1.4229865182702796E-7</v>
      </c>
      <c r="CJ99" s="29">
        <f>CI99*(1+Inputs!$C$35)</f>
        <v>1.4585611812270364E-7</v>
      </c>
      <c r="CK99" s="29">
        <f>CJ99*(1+Inputs!$C$35)</f>
        <v>1.4950252107577122E-7</v>
      </c>
    </row>
    <row r="100" spans="1:109" ht="14.25" customHeight="1" x14ac:dyDescent="0.2">
      <c r="A100" s="11">
        <f t="shared" si="58"/>
        <v>0</v>
      </c>
      <c r="B100" s="56">
        <f t="shared" si="119"/>
        <v>6205</v>
      </c>
      <c r="D100" s="56"/>
      <c r="F100" s="263">
        <v>6205</v>
      </c>
      <c r="G100" s="17" t="s">
        <v>114</v>
      </c>
      <c r="H100" s="158">
        <f>VLOOKUP($F100,Inputs!$L:$Q,6,FALSE)</f>
        <v>0.01</v>
      </c>
      <c r="I100" s="236"/>
      <c r="J100" s="237">
        <f t="shared" ref="J100:U100" si="132">($H100*$F$3)/12</f>
        <v>88.172499999999999</v>
      </c>
      <c r="K100" s="237">
        <f t="shared" si="132"/>
        <v>88.172499999999999</v>
      </c>
      <c r="L100" s="237">
        <f t="shared" si="132"/>
        <v>88.172499999999999</v>
      </c>
      <c r="M100" s="237">
        <f t="shared" si="132"/>
        <v>88.172499999999999</v>
      </c>
      <c r="N100" s="237">
        <f t="shared" si="132"/>
        <v>88.172499999999999</v>
      </c>
      <c r="O100" s="237">
        <f t="shared" si="132"/>
        <v>88.172499999999999</v>
      </c>
      <c r="P100" s="237">
        <f t="shared" si="132"/>
        <v>88.172499999999999</v>
      </c>
      <c r="Q100" s="237">
        <f t="shared" si="132"/>
        <v>88.172499999999999</v>
      </c>
      <c r="R100" s="237">
        <f t="shared" si="132"/>
        <v>88.172499999999999</v>
      </c>
      <c r="S100" s="237">
        <f t="shared" si="132"/>
        <v>88.172499999999999</v>
      </c>
      <c r="T100" s="237">
        <f t="shared" si="132"/>
        <v>88.172499999999999</v>
      </c>
      <c r="U100" s="238">
        <f t="shared" si="132"/>
        <v>88.172499999999999</v>
      </c>
      <c r="V100" s="237">
        <f>J100*(1+Inputs!$C$35)</f>
        <v>90.376812499999986</v>
      </c>
      <c r="W100" s="237">
        <f>K100*(1+Inputs!$C$35)</f>
        <v>90.376812499999986</v>
      </c>
      <c r="X100" s="237">
        <f>L100*(1+Inputs!$C$35)</f>
        <v>90.376812499999986</v>
      </c>
      <c r="Y100" s="237">
        <f>M100*(1+Inputs!$C$35)</f>
        <v>90.376812499999986</v>
      </c>
      <c r="Z100" s="237">
        <f>N100*(1+Inputs!$C$35)</f>
        <v>90.376812499999986</v>
      </c>
      <c r="AA100" s="237">
        <f>O100*(1+Inputs!$C$35)</f>
        <v>90.376812499999986</v>
      </c>
      <c r="AB100" s="237">
        <f>P100*(1+Inputs!$C$35)</f>
        <v>90.376812499999986</v>
      </c>
      <c r="AC100" s="237">
        <f>Q100*(1+Inputs!$C$35)</f>
        <v>90.376812499999986</v>
      </c>
      <c r="AD100" s="237">
        <f>R100*(1+Inputs!$C$35)</f>
        <v>90.376812499999986</v>
      </c>
      <c r="AE100" s="237">
        <f>S100*(1+Inputs!$C$35)</f>
        <v>90.376812499999986</v>
      </c>
      <c r="AF100" s="237">
        <f>T100*(1+Inputs!$C$35)</f>
        <v>90.376812499999986</v>
      </c>
      <c r="AG100" s="238">
        <f>U100*(1+Inputs!$C$35)</f>
        <v>90.376812499999986</v>
      </c>
      <c r="AH100" s="237">
        <f>V100*(1+Inputs!$C$35)</f>
        <v>92.636232812499983</v>
      </c>
      <c r="AI100" s="237">
        <f>W100*(1+Inputs!$C$35)</f>
        <v>92.636232812499983</v>
      </c>
      <c r="AJ100" s="237">
        <f>X100*(1+Inputs!$C$35)</f>
        <v>92.636232812499983</v>
      </c>
      <c r="AK100" s="237">
        <f>Y100*(1+Inputs!$C$35)</f>
        <v>92.636232812499983</v>
      </c>
      <c r="AL100" s="237">
        <f>Z100*(1+Inputs!$C$35)</f>
        <v>92.636232812499983</v>
      </c>
      <c r="AM100" s="237">
        <f>AA100*(1+Inputs!$C$35)</f>
        <v>92.636232812499983</v>
      </c>
      <c r="AN100" s="237">
        <f>AB100*(1+Inputs!$C$35)</f>
        <v>92.636232812499983</v>
      </c>
      <c r="AO100" s="237">
        <f>AC100*(1+Inputs!$C$35)</f>
        <v>92.636232812499983</v>
      </c>
      <c r="AP100" s="237">
        <f>AD100*(1+Inputs!$C$35)</f>
        <v>92.636232812499983</v>
      </c>
      <c r="AQ100" s="237">
        <f>AE100*(1+Inputs!$C$35)</f>
        <v>92.636232812499983</v>
      </c>
      <c r="AR100" s="237">
        <f>AF100*(1+Inputs!$C$35)</f>
        <v>92.636232812499983</v>
      </c>
      <c r="AS100" s="238">
        <f>AG100*(1+Inputs!$C$35)</f>
        <v>92.636232812499983</v>
      </c>
      <c r="AT100" s="237">
        <f>AH100*(1+Inputs!$C$35)</f>
        <v>94.952138632812478</v>
      </c>
      <c r="AU100" s="237">
        <f>AI100*(1+Inputs!$C$35)</f>
        <v>94.952138632812478</v>
      </c>
      <c r="AV100" s="237">
        <f>AJ100*(1+Inputs!$C$35)</f>
        <v>94.952138632812478</v>
      </c>
      <c r="AW100" s="237">
        <f>AK100*(1+Inputs!$C$35)</f>
        <v>94.952138632812478</v>
      </c>
      <c r="AX100" s="237">
        <f>AL100*(1+Inputs!$C$35)</f>
        <v>94.952138632812478</v>
      </c>
      <c r="AY100" s="237">
        <f>AM100*(1+Inputs!$C$35)</f>
        <v>94.952138632812478</v>
      </c>
      <c r="AZ100" s="237">
        <f>AN100*(1+Inputs!$C$35)</f>
        <v>94.952138632812478</v>
      </c>
      <c r="BA100" s="237">
        <f>AO100*(1+Inputs!$C$35)</f>
        <v>94.952138632812478</v>
      </c>
      <c r="BB100" s="237">
        <f>AP100*(1+Inputs!$C$35)</f>
        <v>94.952138632812478</v>
      </c>
      <c r="BC100" s="237">
        <f>AQ100*(1+Inputs!$C$35)</f>
        <v>94.952138632812478</v>
      </c>
      <c r="BD100" s="237">
        <f>AR100*(1+Inputs!$C$35)</f>
        <v>94.952138632812478</v>
      </c>
      <c r="BE100" s="238">
        <f>AS100*(1+Inputs!$C$35)</f>
        <v>94.952138632812478</v>
      </c>
      <c r="BF100" s="237">
        <f>AT100*(1+Inputs!$C$35)</f>
        <v>97.32594209863278</v>
      </c>
      <c r="BG100" s="237">
        <f>AU100*(1+Inputs!$C$35)</f>
        <v>97.32594209863278</v>
      </c>
      <c r="BH100" s="237">
        <f>AV100*(1+Inputs!$C$35)</f>
        <v>97.32594209863278</v>
      </c>
      <c r="BI100" s="237">
        <f>AW100*(1+Inputs!$C$35)</f>
        <v>97.32594209863278</v>
      </c>
      <c r="BJ100" s="237">
        <f>AX100*(1+Inputs!$C$35)</f>
        <v>97.32594209863278</v>
      </c>
      <c r="BK100" s="237">
        <f>AY100*(1+Inputs!$C$35)</f>
        <v>97.32594209863278</v>
      </c>
      <c r="BL100" s="237">
        <f>AZ100*(1+Inputs!$C$35)</f>
        <v>97.32594209863278</v>
      </c>
      <c r="BM100" s="237">
        <f>BA100*(1+Inputs!$C$35)</f>
        <v>97.32594209863278</v>
      </c>
      <c r="BN100" s="237">
        <f>BB100*(1+Inputs!$C$35)</f>
        <v>97.32594209863278</v>
      </c>
      <c r="BO100" s="237">
        <f>BC100*(1+Inputs!$C$35)</f>
        <v>97.32594209863278</v>
      </c>
      <c r="BP100" s="237">
        <f>BD100*(1+Inputs!$C$35)</f>
        <v>97.32594209863278</v>
      </c>
      <c r="BQ100" s="237">
        <f>BE100*(1+Inputs!$C$35)</f>
        <v>97.32594209863278</v>
      </c>
      <c r="BR100" s="237">
        <f>BF100*(1+Inputs!$C$35)</f>
        <v>99.759090651098589</v>
      </c>
      <c r="BS100" s="237">
        <f>BG100*(1+Inputs!$C$35)</f>
        <v>99.759090651098589</v>
      </c>
      <c r="BT100" s="237">
        <f>BH100*(1+Inputs!$C$35)</f>
        <v>99.759090651098589</v>
      </c>
      <c r="BU100" s="237">
        <f>BI100*(1+Inputs!$C$35)</f>
        <v>99.759090651098589</v>
      </c>
      <c r="BW100" s="237">
        <f t="shared" ref="BW100:CA100" si="133">SUMIF($J$6:$BU$6,BW$9,$J100:$BU100)</f>
        <v>1058.07</v>
      </c>
      <c r="BX100" s="237">
        <f t="shared" si="133"/>
        <v>1084.5217500000001</v>
      </c>
      <c r="BY100" s="237">
        <f t="shared" si="133"/>
        <v>1111.6347937499997</v>
      </c>
      <c r="BZ100" s="237">
        <f t="shared" si="133"/>
        <v>1139.4256635937495</v>
      </c>
      <c r="CA100" s="237">
        <f t="shared" si="133"/>
        <v>1167.9113051835936</v>
      </c>
      <c r="CB100" s="237">
        <f>CA100*(1+Inputs!$C$35)</f>
        <v>1197.1090878131834</v>
      </c>
      <c r="CC100" s="237">
        <f>CB100*(1+Inputs!$C$35)</f>
        <v>1227.0368150085128</v>
      </c>
      <c r="CD100" s="237">
        <f>CC100*(1+Inputs!$C$35)</f>
        <v>1257.7127353837254</v>
      </c>
      <c r="CE100" s="237">
        <f>CD100*(1+Inputs!$C$35)</f>
        <v>1289.1555537683184</v>
      </c>
      <c r="CF100" s="237">
        <f>CE100*(1+Inputs!$C$35)</f>
        <v>1321.3844426125263</v>
      </c>
      <c r="CG100" s="237">
        <f>CF100*(1+Inputs!$C$35)</f>
        <v>1354.4190536778394</v>
      </c>
      <c r="CH100" s="237">
        <f>CG100*(1+Inputs!$C$35)</f>
        <v>1388.2795300197854</v>
      </c>
      <c r="CI100" s="237">
        <f>CH100*(1+Inputs!$C$35)</f>
        <v>1422.9865182702799</v>
      </c>
      <c r="CJ100" s="237">
        <f>CI100*(1+Inputs!$C$35)</f>
        <v>1458.5611812270367</v>
      </c>
      <c r="CK100" s="237">
        <f>CJ100*(1+Inputs!$C$35)</f>
        <v>1495.0252107577126</v>
      </c>
    </row>
    <row r="101" spans="1:109" ht="14.25" customHeight="1" x14ac:dyDescent="0.2">
      <c r="A101" s="283">
        <f t="shared" si="58"/>
        <v>0</v>
      </c>
      <c r="B101" s="284" t="s">
        <v>367</v>
      </c>
      <c r="C101" s="285"/>
      <c r="D101" s="284"/>
      <c r="E101" s="286"/>
      <c r="F101" s="287" t="s">
        <v>368</v>
      </c>
      <c r="G101" s="286"/>
      <c r="H101" s="286"/>
      <c r="I101" s="298"/>
      <c r="J101" s="289">
        <f t="shared" ref="J101:BU101" si="134">SUM(J93:J100)</f>
        <v>7335.9520000088178</v>
      </c>
      <c r="K101" s="289">
        <f t="shared" si="134"/>
        <v>7335.9520000088178</v>
      </c>
      <c r="L101" s="289">
        <f t="shared" si="134"/>
        <v>7335.9520000088178</v>
      </c>
      <c r="M101" s="289">
        <f t="shared" si="134"/>
        <v>6806.9170000088179</v>
      </c>
      <c r="N101" s="289">
        <f t="shared" si="134"/>
        <v>5748.8470000088173</v>
      </c>
      <c r="O101" s="289">
        <f t="shared" si="134"/>
        <v>5367.9418000088172</v>
      </c>
      <c r="P101" s="289">
        <f t="shared" si="134"/>
        <v>6108.5908000088175</v>
      </c>
      <c r="Q101" s="289">
        <f t="shared" si="134"/>
        <v>6108.5908000088175</v>
      </c>
      <c r="R101" s="289">
        <f t="shared" si="134"/>
        <v>5960.4610000088178</v>
      </c>
      <c r="S101" s="289">
        <f t="shared" si="134"/>
        <v>5367.9418000088172</v>
      </c>
      <c r="T101" s="289">
        <f t="shared" si="134"/>
        <v>5896.976800008817</v>
      </c>
      <c r="U101" s="290">
        <f t="shared" si="134"/>
        <v>6806.9170000088179</v>
      </c>
      <c r="V101" s="289">
        <f t="shared" si="134"/>
        <v>7519.3508000090369</v>
      </c>
      <c r="W101" s="289">
        <f t="shared" si="134"/>
        <v>7519.3508000090369</v>
      </c>
      <c r="X101" s="289">
        <f t="shared" si="134"/>
        <v>7519.3508000090369</v>
      </c>
      <c r="Y101" s="289">
        <f t="shared" si="134"/>
        <v>6977.089925009037</v>
      </c>
      <c r="Z101" s="289">
        <f t="shared" si="134"/>
        <v>5892.5681750090371</v>
      </c>
      <c r="AA101" s="289">
        <f t="shared" si="134"/>
        <v>5502.1403450090374</v>
      </c>
      <c r="AB101" s="289">
        <f t="shared" si="134"/>
        <v>6261.3055700090372</v>
      </c>
      <c r="AC101" s="289">
        <f t="shared" si="134"/>
        <v>6261.3055700090372</v>
      </c>
      <c r="AD101" s="289">
        <f t="shared" si="134"/>
        <v>6109.4725250090378</v>
      </c>
      <c r="AE101" s="289">
        <f t="shared" si="134"/>
        <v>5502.1403450090374</v>
      </c>
      <c r="AF101" s="289">
        <f t="shared" si="134"/>
        <v>6044.4012200090374</v>
      </c>
      <c r="AG101" s="290">
        <f t="shared" si="134"/>
        <v>6977.089925009037</v>
      </c>
      <c r="AH101" s="289">
        <f t="shared" si="134"/>
        <v>7707.3345700092623</v>
      </c>
      <c r="AI101" s="289">
        <f t="shared" si="134"/>
        <v>7707.3345700092623</v>
      </c>
      <c r="AJ101" s="289">
        <f t="shared" si="134"/>
        <v>7707.3345700092623</v>
      </c>
      <c r="AK101" s="289">
        <f t="shared" si="134"/>
        <v>7151.5171731342625</v>
      </c>
      <c r="AL101" s="289">
        <f t="shared" si="134"/>
        <v>6039.8823793842621</v>
      </c>
      <c r="AM101" s="289">
        <f t="shared" si="134"/>
        <v>5639.6938536342623</v>
      </c>
      <c r="AN101" s="289">
        <f t="shared" si="134"/>
        <v>6417.8382092592619</v>
      </c>
      <c r="AO101" s="289">
        <f t="shared" si="134"/>
        <v>6417.8382092592619</v>
      </c>
      <c r="AP101" s="289">
        <f t="shared" si="134"/>
        <v>6262.209338134262</v>
      </c>
      <c r="AQ101" s="289">
        <f t="shared" si="134"/>
        <v>5639.6938536342623</v>
      </c>
      <c r="AR101" s="289">
        <f t="shared" si="134"/>
        <v>6195.511250509262</v>
      </c>
      <c r="AS101" s="290">
        <f t="shared" si="134"/>
        <v>7151.5171731342625</v>
      </c>
      <c r="AT101" s="289">
        <f t="shared" si="134"/>
        <v>7900.0179342594938</v>
      </c>
      <c r="AU101" s="289">
        <f t="shared" si="134"/>
        <v>7900.0179342594938</v>
      </c>
      <c r="AV101" s="289">
        <f t="shared" si="134"/>
        <v>7900.0179342594938</v>
      </c>
      <c r="AW101" s="289">
        <f t="shared" si="134"/>
        <v>7330.3051024626184</v>
      </c>
      <c r="AX101" s="289">
        <f t="shared" si="134"/>
        <v>6190.8794388688693</v>
      </c>
      <c r="AY101" s="289">
        <f t="shared" si="134"/>
        <v>5780.6861999751191</v>
      </c>
      <c r="AZ101" s="289">
        <f t="shared" si="134"/>
        <v>6578.284164490743</v>
      </c>
      <c r="BA101" s="289">
        <f t="shared" si="134"/>
        <v>6578.284164490743</v>
      </c>
      <c r="BB101" s="289">
        <f t="shared" si="134"/>
        <v>6418.7645715876188</v>
      </c>
      <c r="BC101" s="289">
        <f t="shared" si="134"/>
        <v>5780.6861999751191</v>
      </c>
      <c r="BD101" s="289">
        <f t="shared" si="134"/>
        <v>6350.3990317719945</v>
      </c>
      <c r="BE101" s="290">
        <f t="shared" si="134"/>
        <v>7330.3051024626184</v>
      </c>
      <c r="BF101" s="289">
        <f t="shared" si="134"/>
        <v>8097.51838261598</v>
      </c>
      <c r="BG101" s="289">
        <f t="shared" si="134"/>
        <v>8097.51838261598</v>
      </c>
      <c r="BH101" s="289">
        <f t="shared" si="134"/>
        <v>8097.51838261598</v>
      </c>
      <c r="BI101" s="289">
        <f t="shared" si="134"/>
        <v>7513.5627300241822</v>
      </c>
      <c r="BJ101" s="289">
        <f t="shared" si="134"/>
        <v>6345.6514248405892</v>
      </c>
      <c r="BK101" s="289">
        <f t="shared" si="134"/>
        <v>5925.2033549744965</v>
      </c>
      <c r="BL101" s="289">
        <f t="shared" si="134"/>
        <v>6742.7412686030102</v>
      </c>
      <c r="BM101" s="289">
        <f t="shared" si="134"/>
        <v>6742.7412686030102</v>
      </c>
      <c r="BN101" s="289">
        <f t="shared" si="134"/>
        <v>6579.2336858773078</v>
      </c>
      <c r="BO101" s="289">
        <f t="shared" si="134"/>
        <v>5925.2033549744965</v>
      </c>
      <c r="BP101" s="289">
        <f t="shared" si="134"/>
        <v>6509.1590075662934</v>
      </c>
      <c r="BQ101" s="289">
        <f t="shared" si="134"/>
        <v>7513.5627300241822</v>
      </c>
      <c r="BR101" s="289">
        <f t="shared" si="134"/>
        <v>8299.9563421813782</v>
      </c>
      <c r="BS101" s="289">
        <f t="shared" si="134"/>
        <v>8299.9563421813782</v>
      </c>
      <c r="BT101" s="289">
        <f t="shared" si="134"/>
        <v>8299.9563421813782</v>
      </c>
      <c r="BU101" s="289">
        <f t="shared" si="134"/>
        <v>7701.4017982747873</v>
      </c>
      <c r="BV101" s="285"/>
      <c r="BW101" s="289">
        <f t="shared" ref="BW101:CK101" si="135">SUM(BW93:BW100)</f>
        <v>76181.040000105815</v>
      </c>
      <c r="BX101" s="289">
        <f t="shared" si="135"/>
        <v>78085.566000108447</v>
      </c>
      <c r="BY101" s="289">
        <f t="shared" si="135"/>
        <v>80037.705150111156</v>
      </c>
      <c r="BZ101" s="289">
        <f t="shared" si="135"/>
        <v>82038.647778863902</v>
      </c>
      <c r="CA101" s="289">
        <f t="shared" si="135"/>
        <v>84089.613973335508</v>
      </c>
      <c r="CB101" s="289">
        <f t="shared" si="135"/>
        <v>86191.854322668878</v>
      </c>
      <c r="CC101" s="289">
        <f t="shared" si="135"/>
        <v>88346.650680735605</v>
      </c>
      <c r="CD101" s="289">
        <f t="shared" si="135"/>
        <v>90555.316947753992</v>
      </c>
      <c r="CE101" s="289">
        <f t="shared" si="135"/>
        <v>92819.19987144784</v>
      </c>
      <c r="CF101" s="289">
        <f t="shared" si="135"/>
        <v>95139.67986823403</v>
      </c>
      <c r="CG101" s="289">
        <f t="shared" si="135"/>
        <v>97518.171864939854</v>
      </c>
      <c r="CH101" s="289">
        <f t="shared" si="135"/>
        <v>99956.126161563356</v>
      </c>
      <c r="CI101" s="289">
        <f t="shared" si="135"/>
        <v>102455.02931560244</v>
      </c>
      <c r="CJ101" s="289">
        <f t="shared" si="135"/>
        <v>105016.40504849248</v>
      </c>
      <c r="CK101" s="289">
        <f t="shared" si="135"/>
        <v>107641.81517470478</v>
      </c>
      <c r="CL101" s="285"/>
      <c r="CM101" s="285"/>
      <c r="CN101" s="285"/>
      <c r="CO101" s="285"/>
      <c r="CP101" s="285"/>
      <c r="CQ101" s="285"/>
      <c r="CR101" s="285"/>
      <c r="CS101" s="285"/>
      <c r="CT101" s="285"/>
      <c r="CU101" s="285"/>
      <c r="CV101" s="285"/>
      <c r="CW101" s="285"/>
      <c r="CX101" s="285"/>
      <c r="CY101" s="285"/>
      <c r="CZ101" s="285"/>
      <c r="DA101" s="285"/>
      <c r="DB101" s="285"/>
      <c r="DC101" s="285"/>
      <c r="DD101" s="285"/>
      <c r="DE101" s="285"/>
    </row>
    <row r="102" spans="1:109" ht="8.25" customHeight="1" x14ac:dyDescent="0.2">
      <c r="A102" s="11">
        <f t="shared" si="58"/>
        <v>0</v>
      </c>
      <c r="B102" s="249"/>
      <c r="D102" s="249"/>
      <c r="E102" s="3"/>
      <c r="F102" s="249"/>
      <c r="I102" s="1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3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3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3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3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</row>
    <row r="103" spans="1:109" ht="14.25" customHeight="1" x14ac:dyDescent="0.2">
      <c r="A103" s="11">
        <f t="shared" si="58"/>
        <v>0</v>
      </c>
      <c r="B103" s="56"/>
      <c r="F103" s="3" t="s">
        <v>369</v>
      </c>
      <c r="I103" s="1"/>
      <c r="U103" s="203"/>
      <c r="AG103" s="203"/>
      <c r="AS103" s="203"/>
      <c r="BE103" s="203"/>
    </row>
    <row r="104" spans="1:109" ht="14.25" customHeight="1" x14ac:dyDescent="0.2">
      <c r="A104" s="11">
        <f t="shared" si="58"/>
        <v>0</v>
      </c>
      <c r="B104" s="56">
        <f t="shared" ref="B104:B117" si="136">F104</f>
        <v>6189</v>
      </c>
      <c r="D104" s="56"/>
      <c r="F104" s="56">
        <v>6189</v>
      </c>
      <c r="G104" s="11" t="s">
        <v>120</v>
      </c>
      <c r="H104" s="75">
        <f>VLOOKUP($F104,Inputs!$L:$Q,6,FALSE)</f>
        <v>9.4499999999999983E-3</v>
      </c>
      <c r="I104" s="1"/>
      <c r="J104" s="29">
        <f>($H104*$F$3)/12*Inputs!$V$25</f>
        <v>24.996903749999998</v>
      </c>
      <c r="K104" s="29">
        <f>($H104*$F$3)/12*Inputs!$V$25</f>
        <v>24.996903749999998</v>
      </c>
      <c r="L104" s="29">
        <f>($H104*$F$3)/12*Inputs!$V$25</f>
        <v>24.996903749999998</v>
      </c>
      <c r="M104" s="29">
        <f>($H104*$F$3)/12*Inputs!$V$25</f>
        <v>24.996903749999998</v>
      </c>
      <c r="N104" s="29">
        <f>($H104*$F$3)/12*Inputs!$V$25</f>
        <v>24.996903749999998</v>
      </c>
      <c r="O104" s="29">
        <f>($H104*$F$3)/12*Inputs!$V$25</f>
        <v>24.996903749999998</v>
      </c>
      <c r="P104" s="29">
        <f>($H104*$F$3)/12*Inputs!$V$25</f>
        <v>24.996903749999998</v>
      </c>
      <c r="Q104" s="29">
        <f>($H104*$F$3)/12*Inputs!$V$25</f>
        <v>24.996903749999998</v>
      </c>
      <c r="R104" s="29">
        <f>($H104*$F$3)/12*Inputs!$V$25</f>
        <v>24.996903749999998</v>
      </c>
      <c r="S104" s="29">
        <f>($H104*$F$3)/12*Inputs!$V$25</f>
        <v>24.996903749999998</v>
      </c>
      <c r="T104" s="29">
        <f>($H104*$F$3)/12*Inputs!$V$25</f>
        <v>24.996903749999998</v>
      </c>
      <c r="U104" s="239">
        <f>($H104*$F$3)/12*Inputs!$V$25</f>
        <v>24.996903749999998</v>
      </c>
      <c r="V104" s="29">
        <f>($H104*$F$3)/12*Inputs!$V$26</f>
        <v>49.993807499999996</v>
      </c>
      <c r="W104" s="29">
        <f>($H104*$F$3)/12*Inputs!$V$26</f>
        <v>49.993807499999996</v>
      </c>
      <c r="X104" s="29">
        <f>($H104*$F$3)/12*Inputs!$V$26</f>
        <v>49.993807499999996</v>
      </c>
      <c r="Y104" s="29">
        <f>($H104*$F$3)/12*Inputs!$V$26</f>
        <v>49.993807499999996</v>
      </c>
      <c r="Z104" s="29">
        <f>($H104*$F$3)/12*Inputs!$V$26</f>
        <v>49.993807499999996</v>
      </c>
      <c r="AA104" s="29">
        <f>($H104*$F$3)/12*Inputs!$V$26</f>
        <v>49.993807499999996</v>
      </c>
      <c r="AB104" s="29">
        <f>($H104*$F$3)/12*Inputs!$V$26</f>
        <v>49.993807499999996</v>
      </c>
      <c r="AC104" s="29">
        <f>($H104*$F$3)/12*Inputs!$V$26</f>
        <v>49.993807499999996</v>
      </c>
      <c r="AD104" s="29">
        <f>($H104*$F$3)/12*Inputs!$V$26</f>
        <v>49.993807499999996</v>
      </c>
      <c r="AE104" s="29">
        <f>($H104*$F$3)/12*Inputs!$V$26</f>
        <v>49.993807499999996</v>
      </c>
      <c r="AF104" s="29">
        <f>($H104*$F$3)/12*Inputs!$V$26</f>
        <v>49.993807499999996</v>
      </c>
      <c r="AG104" s="239">
        <f>($H104*$F$3)/12*Inputs!$V$26</f>
        <v>49.993807499999996</v>
      </c>
      <c r="AH104" s="29">
        <f>($H104*$F$3)/12*Inputs!$V$27</f>
        <v>83.32301249999999</v>
      </c>
      <c r="AI104" s="29">
        <f>($H104*$F$3)/12*Inputs!$V$27</f>
        <v>83.32301249999999</v>
      </c>
      <c r="AJ104" s="29">
        <f>($H104*$F$3)/12*Inputs!$V$27</f>
        <v>83.32301249999999</v>
      </c>
      <c r="AK104" s="29">
        <f>($H104*$F$3)/12*Inputs!$V$27</f>
        <v>83.32301249999999</v>
      </c>
      <c r="AL104" s="29">
        <f>($H104*$F$3)/12*Inputs!$V$27</f>
        <v>83.32301249999999</v>
      </c>
      <c r="AM104" s="29">
        <f>($H104*$F$3)/12*Inputs!$V$27</f>
        <v>83.32301249999999</v>
      </c>
      <c r="AN104" s="29">
        <f>($H104*$F$3)/12*Inputs!$V$27</f>
        <v>83.32301249999999</v>
      </c>
      <c r="AO104" s="29">
        <f>($H104*$F$3)/12*Inputs!$V$27</f>
        <v>83.32301249999999</v>
      </c>
      <c r="AP104" s="29">
        <f>($H104*$F$3)/12*Inputs!$V$27</f>
        <v>83.32301249999999</v>
      </c>
      <c r="AQ104" s="29">
        <f>($H104*$F$3)/12*Inputs!$V$27</f>
        <v>83.32301249999999</v>
      </c>
      <c r="AR104" s="29">
        <f>($H104*$F$3)/12*Inputs!$V$27</f>
        <v>83.32301249999999</v>
      </c>
      <c r="AS104" s="239">
        <f>($H104*$F$3)/12*Inputs!$V$27</f>
        <v>83.32301249999999</v>
      </c>
      <c r="AT104" s="29">
        <f>AH104*(1+Inputs!$C$35)</f>
        <v>85.406087812499976</v>
      </c>
      <c r="AU104" s="29">
        <f>AI104*(1+Inputs!$C$35)</f>
        <v>85.406087812499976</v>
      </c>
      <c r="AV104" s="29">
        <f>AJ104*(1+Inputs!$C$35)</f>
        <v>85.406087812499976</v>
      </c>
      <c r="AW104" s="29">
        <f>AK104*(1+Inputs!$C$35)</f>
        <v>85.406087812499976</v>
      </c>
      <c r="AX104" s="29">
        <f>AL104*(1+Inputs!$C$35)</f>
        <v>85.406087812499976</v>
      </c>
      <c r="AY104" s="29">
        <f>AM104*(1+Inputs!$C$35)</f>
        <v>85.406087812499976</v>
      </c>
      <c r="AZ104" s="29">
        <f>AN104*(1+Inputs!$C$35)</f>
        <v>85.406087812499976</v>
      </c>
      <c r="BA104" s="29">
        <f>AO104*(1+Inputs!$C$35)</f>
        <v>85.406087812499976</v>
      </c>
      <c r="BB104" s="29">
        <f>AP104*(1+Inputs!$C$35)</f>
        <v>85.406087812499976</v>
      </c>
      <c r="BC104" s="29">
        <f>AQ104*(1+Inputs!$C$35)</f>
        <v>85.406087812499976</v>
      </c>
      <c r="BD104" s="29">
        <f>AR104*(1+Inputs!$C$35)</f>
        <v>85.406087812499976</v>
      </c>
      <c r="BE104" s="239">
        <f>AS104*(1+Inputs!$C$35)</f>
        <v>85.406087812499976</v>
      </c>
      <c r="BF104" s="29">
        <f>AT104*(1+Inputs!$C$35)</f>
        <v>87.541240007812462</v>
      </c>
      <c r="BG104" s="29">
        <f>AU104*(1+Inputs!$C$35)</f>
        <v>87.541240007812462</v>
      </c>
      <c r="BH104" s="29">
        <f>AV104*(1+Inputs!$C$35)</f>
        <v>87.541240007812462</v>
      </c>
      <c r="BI104" s="29">
        <f>AW104*(1+Inputs!$C$35)</f>
        <v>87.541240007812462</v>
      </c>
      <c r="BJ104" s="29">
        <f>AX104*(1+Inputs!$C$35)</f>
        <v>87.541240007812462</v>
      </c>
      <c r="BK104" s="29">
        <f>AY104*(1+Inputs!$C$35)</f>
        <v>87.541240007812462</v>
      </c>
      <c r="BL104" s="29">
        <f>AZ104*(1+Inputs!$C$35)</f>
        <v>87.541240007812462</v>
      </c>
      <c r="BM104" s="29">
        <f>BA104*(1+Inputs!$C$35)</f>
        <v>87.541240007812462</v>
      </c>
      <c r="BN104" s="29">
        <f>BB104*(1+Inputs!$C$35)</f>
        <v>87.541240007812462</v>
      </c>
      <c r="BO104" s="29">
        <f>BC104*(1+Inputs!$C$35)</f>
        <v>87.541240007812462</v>
      </c>
      <c r="BP104" s="29">
        <f>BD104*(1+Inputs!$C$35)</f>
        <v>87.541240007812462</v>
      </c>
      <c r="BQ104" s="29">
        <f>BE104*(1+Inputs!$C$35)</f>
        <v>87.541240007812462</v>
      </c>
      <c r="BR104" s="29">
        <f>BF104*(1+Inputs!$C$35)</f>
        <v>89.729771008007759</v>
      </c>
      <c r="BS104" s="29">
        <f>BG104*(1+Inputs!$C$35)</f>
        <v>89.729771008007759</v>
      </c>
      <c r="BT104" s="29">
        <f>BH104*(1+Inputs!$C$35)</f>
        <v>89.729771008007759</v>
      </c>
      <c r="BU104" s="29">
        <f>BI104*(1+Inputs!$C$35)</f>
        <v>89.729771008007759</v>
      </c>
      <c r="BW104" s="29">
        <f t="shared" ref="BW104:CA104" si="137">SUMIF($J$6:$BU$6,BW$9,$J104:$BU104)</f>
        <v>299.96284499999996</v>
      </c>
      <c r="BX104" s="29">
        <f t="shared" si="137"/>
        <v>599.92568999999992</v>
      </c>
      <c r="BY104" s="29">
        <f t="shared" si="137"/>
        <v>999.87614999999994</v>
      </c>
      <c r="BZ104" s="29">
        <f t="shared" si="137"/>
        <v>1024.8730537499998</v>
      </c>
      <c r="CA104" s="29">
        <f t="shared" si="137"/>
        <v>1050.4948800937495</v>
      </c>
      <c r="CB104" s="29">
        <f>CA104*(1+Inputs!$C$35)</f>
        <v>1076.7572520960932</v>
      </c>
      <c r="CC104" s="29">
        <f>CB104*(1+Inputs!$C$35)</f>
        <v>1103.6761833984954</v>
      </c>
      <c r="CD104" s="29">
        <f>CC104*(1+Inputs!$C$35)</f>
        <v>1131.2680879834577</v>
      </c>
      <c r="CE104" s="29">
        <f>CD104*(1+Inputs!$C$35)</f>
        <v>1159.549790183044</v>
      </c>
      <c r="CF104" s="29">
        <f>CE104*(1+Inputs!$C$35)</f>
        <v>1188.5385349376199</v>
      </c>
      <c r="CG104" s="29">
        <f>CF104*(1+Inputs!$C$35)</f>
        <v>1218.2519983110603</v>
      </c>
      <c r="CH104" s="29">
        <f>CG104*(1+Inputs!$C$35)</f>
        <v>1248.7082982688366</v>
      </c>
      <c r="CI104" s="29">
        <f>CH104*(1+Inputs!$C$35)</f>
        <v>1279.9260057255574</v>
      </c>
      <c r="CJ104" s="29">
        <f>CI104*(1+Inputs!$C$35)</f>
        <v>1311.9241558686963</v>
      </c>
      <c r="CK104" s="29">
        <f>CJ104*(1+Inputs!$C$35)</f>
        <v>1344.7222597654136</v>
      </c>
    </row>
    <row r="105" spans="1:109" ht="14.25" customHeight="1" x14ac:dyDescent="0.2">
      <c r="A105" s="11">
        <f t="shared" si="58"/>
        <v>0</v>
      </c>
      <c r="B105" s="56">
        <f t="shared" si="136"/>
        <v>6192</v>
      </c>
      <c r="D105" s="56"/>
      <c r="F105" s="56">
        <v>6192</v>
      </c>
      <c r="G105" s="11" t="s">
        <v>122</v>
      </c>
      <c r="H105" s="75">
        <f>VLOOKUP($F105,Inputs!$L:$Q,6,FALSE)</f>
        <v>1.2599999999999998E-2</v>
      </c>
      <c r="I105" s="1"/>
      <c r="J105" s="29">
        <f>($H105*$F$3)/12*Inputs!$V$25</f>
        <v>33.329204999999995</v>
      </c>
      <c r="K105" s="29">
        <f>($H105*$F$3)/12*Inputs!$V$25</f>
        <v>33.329204999999995</v>
      </c>
      <c r="L105" s="29">
        <f>($H105*$F$3)/12*Inputs!$V$25</f>
        <v>33.329204999999995</v>
      </c>
      <c r="M105" s="29">
        <f>($H105*$F$3)/12*Inputs!$V$25</f>
        <v>33.329204999999995</v>
      </c>
      <c r="N105" s="29">
        <f>($H105*$F$3)/12*Inputs!$V$25</f>
        <v>33.329204999999995</v>
      </c>
      <c r="O105" s="29">
        <f>($H105*$F$3)/12*Inputs!$V$25</f>
        <v>33.329204999999995</v>
      </c>
      <c r="P105" s="29">
        <f>($H105*$F$3)/12*Inputs!$V$25</f>
        <v>33.329204999999995</v>
      </c>
      <c r="Q105" s="29">
        <f>($H105*$F$3)/12*Inputs!$V$25</f>
        <v>33.329204999999995</v>
      </c>
      <c r="R105" s="29">
        <f>($H105*$F$3)/12*Inputs!$V$25</f>
        <v>33.329204999999995</v>
      </c>
      <c r="S105" s="29">
        <f>($H105*$F$3)/12*Inputs!$V$25</f>
        <v>33.329204999999995</v>
      </c>
      <c r="T105" s="29">
        <f>($H105*$F$3)/12*Inputs!$V$25</f>
        <v>33.329204999999995</v>
      </c>
      <c r="U105" s="239">
        <f>($H105*$F$3)/12*Inputs!$V$25</f>
        <v>33.329204999999995</v>
      </c>
      <c r="V105" s="29">
        <f>($H105*$F$3)/12*Inputs!$V$26</f>
        <v>66.658409999999989</v>
      </c>
      <c r="W105" s="29">
        <f>($H105*$F$3)/12*Inputs!$V$26</f>
        <v>66.658409999999989</v>
      </c>
      <c r="X105" s="29">
        <f>($H105*$F$3)/12*Inputs!$V$26</f>
        <v>66.658409999999989</v>
      </c>
      <c r="Y105" s="29">
        <f>($H105*$F$3)/12*Inputs!$V$26</f>
        <v>66.658409999999989</v>
      </c>
      <c r="Z105" s="29">
        <f>($H105*$F$3)/12*Inputs!$V$26</f>
        <v>66.658409999999989</v>
      </c>
      <c r="AA105" s="29">
        <f>($H105*$F$3)/12*Inputs!$V$26</f>
        <v>66.658409999999989</v>
      </c>
      <c r="AB105" s="29">
        <f>($H105*$F$3)/12*Inputs!$V$26</f>
        <v>66.658409999999989</v>
      </c>
      <c r="AC105" s="29">
        <f>($H105*$F$3)/12*Inputs!$V$26</f>
        <v>66.658409999999989</v>
      </c>
      <c r="AD105" s="29">
        <f>($H105*$F$3)/12*Inputs!$V$26</f>
        <v>66.658409999999989</v>
      </c>
      <c r="AE105" s="29">
        <f>($H105*$F$3)/12*Inputs!$V$26</f>
        <v>66.658409999999989</v>
      </c>
      <c r="AF105" s="29">
        <f>($H105*$F$3)/12*Inputs!$V$26</f>
        <v>66.658409999999989</v>
      </c>
      <c r="AG105" s="239">
        <f>($H105*$F$3)/12*Inputs!$V$26</f>
        <v>66.658409999999989</v>
      </c>
      <c r="AH105" s="29">
        <f>($H105*$F$3)/12*Inputs!$V$27</f>
        <v>111.09734999999999</v>
      </c>
      <c r="AI105" s="29">
        <f>($H105*$F$3)/12*Inputs!$V$27</f>
        <v>111.09734999999999</v>
      </c>
      <c r="AJ105" s="29">
        <f>($H105*$F$3)/12*Inputs!$V$27</f>
        <v>111.09734999999999</v>
      </c>
      <c r="AK105" s="29">
        <f>($H105*$F$3)/12*Inputs!$V$27</f>
        <v>111.09734999999999</v>
      </c>
      <c r="AL105" s="29">
        <f>($H105*$F$3)/12*Inputs!$V$27</f>
        <v>111.09734999999999</v>
      </c>
      <c r="AM105" s="29">
        <f>($H105*$F$3)/12*Inputs!$V$27</f>
        <v>111.09734999999999</v>
      </c>
      <c r="AN105" s="29">
        <f>($H105*$F$3)/12*Inputs!$V$27</f>
        <v>111.09734999999999</v>
      </c>
      <c r="AO105" s="29">
        <f>($H105*$F$3)/12*Inputs!$V$27</f>
        <v>111.09734999999999</v>
      </c>
      <c r="AP105" s="29">
        <f>($H105*$F$3)/12*Inputs!$V$27</f>
        <v>111.09734999999999</v>
      </c>
      <c r="AQ105" s="29">
        <f>($H105*$F$3)/12*Inputs!$V$27</f>
        <v>111.09734999999999</v>
      </c>
      <c r="AR105" s="29">
        <f>($H105*$F$3)/12*Inputs!$V$27</f>
        <v>111.09734999999999</v>
      </c>
      <c r="AS105" s="239">
        <f>($H105*$F$3)/12*Inputs!$V$27</f>
        <v>111.09734999999999</v>
      </c>
      <c r="AT105" s="29">
        <f>AH105*(1+Inputs!$C$35)</f>
        <v>113.87478374999998</v>
      </c>
      <c r="AU105" s="29">
        <f>AI105*(1+Inputs!$C$35)</f>
        <v>113.87478374999998</v>
      </c>
      <c r="AV105" s="29">
        <f>AJ105*(1+Inputs!$C$35)</f>
        <v>113.87478374999998</v>
      </c>
      <c r="AW105" s="29">
        <f>AK105*(1+Inputs!$C$35)</f>
        <v>113.87478374999998</v>
      </c>
      <c r="AX105" s="29">
        <f>AL105*(1+Inputs!$C$35)</f>
        <v>113.87478374999998</v>
      </c>
      <c r="AY105" s="29">
        <f>AM105*(1+Inputs!$C$35)</f>
        <v>113.87478374999998</v>
      </c>
      <c r="AZ105" s="29">
        <f>AN105*(1+Inputs!$C$35)</f>
        <v>113.87478374999998</v>
      </c>
      <c r="BA105" s="29">
        <f>AO105*(1+Inputs!$C$35)</f>
        <v>113.87478374999998</v>
      </c>
      <c r="BB105" s="29">
        <f>AP105*(1+Inputs!$C$35)</f>
        <v>113.87478374999998</v>
      </c>
      <c r="BC105" s="29">
        <f>AQ105*(1+Inputs!$C$35)</f>
        <v>113.87478374999998</v>
      </c>
      <c r="BD105" s="29">
        <f>AR105*(1+Inputs!$C$35)</f>
        <v>113.87478374999998</v>
      </c>
      <c r="BE105" s="239">
        <f>AS105*(1+Inputs!$C$35)</f>
        <v>113.87478374999998</v>
      </c>
      <c r="BF105" s="29">
        <f>AT105*(1+Inputs!$C$35)</f>
        <v>116.72165334374996</v>
      </c>
      <c r="BG105" s="29">
        <f>AU105*(1+Inputs!$C$35)</f>
        <v>116.72165334374996</v>
      </c>
      <c r="BH105" s="29">
        <f>AV105*(1+Inputs!$C$35)</f>
        <v>116.72165334374996</v>
      </c>
      <c r="BI105" s="29">
        <f>AW105*(1+Inputs!$C$35)</f>
        <v>116.72165334374996</v>
      </c>
      <c r="BJ105" s="29">
        <f>AX105*(1+Inputs!$C$35)</f>
        <v>116.72165334374996</v>
      </c>
      <c r="BK105" s="29">
        <f>AY105*(1+Inputs!$C$35)</f>
        <v>116.72165334374996</v>
      </c>
      <c r="BL105" s="29">
        <f>AZ105*(1+Inputs!$C$35)</f>
        <v>116.72165334374996</v>
      </c>
      <c r="BM105" s="29">
        <f>BA105*(1+Inputs!$C$35)</f>
        <v>116.72165334374996</v>
      </c>
      <c r="BN105" s="29">
        <f>BB105*(1+Inputs!$C$35)</f>
        <v>116.72165334374996</v>
      </c>
      <c r="BO105" s="29">
        <f>BC105*(1+Inputs!$C$35)</f>
        <v>116.72165334374996</v>
      </c>
      <c r="BP105" s="29">
        <f>BD105*(1+Inputs!$C$35)</f>
        <v>116.72165334374996</v>
      </c>
      <c r="BQ105" s="29">
        <f>BE105*(1+Inputs!$C$35)</f>
        <v>116.72165334374996</v>
      </c>
      <c r="BR105" s="29">
        <f>BF105*(1+Inputs!$C$35)</f>
        <v>119.6396946773437</v>
      </c>
      <c r="BS105" s="29">
        <f>BG105*(1+Inputs!$C$35)</f>
        <v>119.6396946773437</v>
      </c>
      <c r="BT105" s="29">
        <f>BH105*(1+Inputs!$C$35)</f>
        <v>119.6396946773437</v>
      </c>
      <c r="BU105" s="29">
        <f>BI105*(1+Inputs!$C$35)</f>
        <v>119.6396946773437</v>
      </c>
      <c r="BW105" s="29">
        <f t="shared" ref="BW105:CA105" si="138">SUMIF($J$6:$BU$6,BW$9,$J105:$BU105)</f>
        <v>399.95045999999996</v>
      </c>
      <c r="BX105" s="29">
        <f t="shared" si="138"/>
        <v>799.90091999999993</v>
      </c>
      <c r="BY105" s="29">
        <f t="shared" si="138"/>
        <v>1333.1681999999998</v>
      </c>
      <c r="BZ105" s="29">
        <f t="shared" si="138"/>
        <v>1366.4974049999998</v>
      </c>
      <c r="CA105" s="29">
        <f t="shared" si="138"/>
        <v>1400.6598401249996</v>
      </c>
      <c r="CB105" s="29">
        <f>CA105*(1+Inputs!$C$35)</f>
        <v>1435.6763361281244</v>
      </c>
      <c r="CC105" s="29">
        <f>CB105*(1+Inputs!$C$35)</f>
        <v>1471.5682445313273</v>
      </c>
      <c r="CD105" s="29">
        <f>CC105*(1+Inputs!$C$35)</f>
        <v>1508.3574506446103</v>
      </c>
      <c r="CE105" s="29">
        <f>CD105*(1+Inputs!$C$35)</f>
        <v>1546.0663869107254</v>
      </c>
      <c r="CF105" s="29">
        <f>CE105*(1+Inputs!$C$35)</f>
        <v>1584.7180465834933</v>
      </c>
      <c r="CG105" s="29">
        <f>CF105*(1+Inputs!$C$35)</f>
        <v>1624.3359977480804</v>
      </c>
      <c r="CH105" s="29">
        <f>CG105*(1+Inputs!$C$35)</f>
        <v>1664.9443976917823</v>
      </c>
      <c r="CI105" s="29">
        <f>CH105*(1+Inputs!$C$35)</f>
        <v>1706.5680076340768</v>
      </c>
      <c r="CJ105" s="29">
        <f>CI105*(1+Inputs!$C$35)</f>
        <v>1749.2322078249285</v>
      </c>
      <c r="CK105" s="29">
        <f>CJ105*(1+Inputs!$C$35)</f>
        <v>1792.9630130205517</v>
      </c>
    </row>
    <row r="106" spans="1:109" ht="14.25" customHeight="1" x14ac:dyDescent="0.2">
      <c r="A106" s="11">
        <f t="shared" si="58"/>
        <v>0</v>
      </c>
      <c r="B106" s="56">
        <f t="shared" si="136"/>
        <v>6193</v>
      </c>
      <c r="D106" s="56"/>
      <c r="F106" s="56">
        <v>6193</v>
      </c>
      <c r="G106" s="11" t="s">
        <v>124</v>
      </c>
      <c r="H106" s="75">
        <f>IF(Inputs!$C$62=TRUE,VLOOKUP($F106,Inputs!$L:$Q,6,FALSE),0)</f>
        <v>5.8800000000000005E-2</v>
      </c>
      <c r="I106" s="1"/>
      <c r="J106" s="29">
        <f>($H106*$F$3)/12*Inputs!$V$25</f>
        <v>155.53628999999998</v>
      </c>
      <c r="K106" s="29">
        <f>($H106*$F$3)/12*Inputs!$V$25</f>
        <v>155.53628999999998</v>
      </c>
      <c r="L106" s="29">
        <f>($H106*$F$3)/12*Inputs!$V$25</f>
        <v>155.53628999999998</v>
      </c>
      <c r="M106" s="29">
        <f>($H106*$F$3)/12*Inputs!$V$25</f>
        <v>155.53628999999998</v>
      </c>
      <c r="N106" s="29">
        <f>($H106*$F$3)/12*Inputs!$V$25</f>
        <v>155.53628999999998</v>
      </c>
      <c r="O106" s="29">
        <f>($H106*$F$3)/12*Inputs!$V$25</f>
        <v>155.53628999999998</v>
      </c>
      <c r="P106" s="29">
        <f>($H106*$F$3)/12*Inputs!$V$25</f>
        <v>155.53628999999998</v>
      </c>
      <c r="Q106" s="29">
        <f>($H106*$F$3)/12*Inputs!$V$25</f>
        <v>155.53628999999998</v>
      </c>
      <c r="R106" s="29">
        <f>($H106*$F$3)/12*Inputs!$V$25</f>
        <v>155.53628999999998</v>
      </c>
      <c r="S106" s="29">
        <f>($H106*$F$3)/12*Inputs!$V$25</f>
        <v>155.53628999999998</v>
      </c>
      <c r="T106" s="29">
        <f>($H106*$F$3)/12*Inputs!$V$25</f>
        <v>155.53628999999998</v>
      </c>
      <c r="U106" s="239">
        <f>($H106*$F$3)/12*Inputs!$V$25</f>
        <v>155.53628999999998</v>
      </c>
      <c r="V106" s="29">
        <f>($H106*$F$3)/12*Inputs!$V$26</f>
        <v>311.07257999999996</v>
      </c>
      <c r="W106" s="29">
        <f>($H106*$F$3)/12*Inputs!$V$26</f>
        <v>311.07257999999996</v>
      </c>
      <c r="X106" s="29">
        <f>($H106*$F$3)/12*Inputs!$V$26</f>
        <v>311.07257999999996</v>
      </c>
      <c r="Y106" s="29">
        <f>($H106*$F$3)/12*Inputs!$V$26</f>
        <v>311.07257999999996</v>
      </c>
      <c r="Z106" s="29">
        <f>($H106*$F$3)/12*Inputs!$V$26</f>
        <v>311.07257999999996</v>
      </c>
      <c r="AA106" s="29">
        <f>($H106*$F$3)/12*Inputs!$V$26</f>
        <v>311.07257999999996</v>
      </c>
      <c r="AB106" s="29">
        <f>($H106*$F$3)/12*Inputs!$V$26</f>
        <v>311.07257999999996</v>
      </c>
      <c r="AC106" s="29">
        <f>($H106*$F$3)/12*Inputs!$V$26</f>
        <v>311.07257999999996</v>
      </c>
      <c r="AD106" s="29">
        <f>($H106*$F$3)/12*Inputs!$V$26</f>
        <v>311.07257999999996</v>
      </c>
      <c r="AE106" s="29">
        <f>($H106*$F$3)/12*Inputs!$V$26</f>
        <v>311.07257999999996</v>
      </c>
      <c r="AF106" s="29">
        <f>($H106*$F$3)/12*Inputs!$V$26</f>
        <v>311.07257999999996</v>
      </c>
      <c r="AG106" s="239">
        <f>($H106*$F$3)/12*Inputs!$V$26</f>
        <v>311.07257999999996</v>
      </c>
      <c r="AH106" s="29">
        <f>($H106*$F$3)/12*Inputs!$V$27</f>
        <v>518.45429999999999</v>
      </c>
      <c r="AI106" s="29">
        <f>($H106*$F$3)/12*Inputs!$V$27</f>
        <v>518.45429999999999</v>
      </c>
      <c r="AJ106" s="29">
        <f>($H106*$F$3)/12*Inputs!$V$27</f>
        <v>518.45429999999999</v>
      </c>
      <c r="AK106" s="29">
        <f>($H106*$F$3)/12*Inputs!$V$27</f>
        <v>518.45429999999999</v>
      </c>
      <c r="AL106" s="29">
        <f>($H106*$F$3)/12*Inputs!$V$27</f>
        <v>518.45429999999999</v>
      </c>
      <c r="AM106" s="29">
        <f>($H106*$F$3)/12*Inputs!$V$27</f>
        <v>518.45429999999999</v>
      </c>
      <c r="AN106" s="29">
        <f>($H106*$F$3)/12*Inputs!$V$27</f>
        <v>518.45429999999999</v>
      </c>
      <c r="AO106" s="29">
        <f>($H106*$F$3)/12*Inputs!$V$27</f>
        <v>518.45429999999999</v>
      </c>
      <c r="AP106" s="29">
        <f>($H106*$F$3)/12*Inputs!$V$27</f>
        <v>518.45429999999999</v>
      </c>
      <c r="AQ106" s="29">
        <f>($H106*$F$3)/12*Inputs!$V$27</f>
        <v>518.45429999999999</v>
      </c>
      <c r="AR106" s="29">
        <f>($H106*$F$3)/12*Inputs!$V$27</f>
        <v>518.45429999999999</v>
      </c>
      <c r="AS106" s="239">
        <f>($H106*$F$3)/12*Inputs!$V$27</f>
        <v>518.45429999999999</v>
      </c>
      <c r="AT106" s="29">
        <f>AH106*(1+Inputs!$C$35)</f>
        <v>531.41565749999995</v>
      </c>
      <c r="AU106" s="29">
        <f>AI106*(1+Inputs!$C$35)</f>
        <v>531.41565749999995</v>
      </c>
      <c r="AV106" s="29">
        <f>AJ106*(1+Inputs!$C$35)</f>
        <v>531.41565749999995</v>
      </c>
      <c r="AW106" s="29">
        <f>AK106*(1+Inputs!$C$35)</f>
        <v>531.41565749999995</v>
      </c>
      <c r="AX106" s="29">
        <f>AL106*(1+Inputs!$C$35)</f>
        <v>531.41565749999995</v>
      </c>
      <c r="AY106" s="29">
        <f>AM106*(1+Inputs!$C$35)</f>
        <v>531.41565749999995</v>
      </c>
      <c r="AZ106" s="29">
        <f>AN106*(1+Inputs!$C$35)</f>
        <v>531.41565749999995</v>
      </c>
      <c r="BA106" s="29">
        <f>AO106*(1+Inputs!$C$35)</f>
        <v>531.41565749999995</v>
      </c>
      <c r="BB106" s="29">
        <f>AP106*(1+Inputs!$C$35)</f>
        <v>531.41565749999995</v>
      </c>
      <c r="BC106" s="29">
        <f>AQ106*(1+Inputs!$C$35)</f>
        <v>531.41565749999995</v>
      </c>
      <c r="BD106" s="29">
        <f>AR106*(1+Inputs!$C$35)</f>
        <v>531.41565749999995</v>
      </c>
      <c r="BE106" s="239">
        <f>AS106*(1+Inputs!$C$35)</f>
        <v>531.41565749999995</v>
      </c>
      <c r="BF106" s="29">
        <f>AT106*(1+Inputs!$C$35)</f>
        <v>544.70104893749988</v>
      </c>
      <c r="BG106" s="29">
        <f>AU106*(1+Inputs!$C$35)</f>
        <v>544.70104893749988</v>
      </c>
      <c r="BH106" s="29">
        <f>AV106*(1+Inputs!$C$35)</f>
        <v>544.70104893749988</v>
      </c>
      <c r="BI106" s="29">
        <f>AW106*(1+Inputs!$C$35)</f>
        <v>544.70104893749988</v>
      </c>
      <c r="BJ106" s="29">
        <f>AX106*(1+Inputs!$C$35)</f>
        <v>544.70104893749988</v>
      </c>
      <c r="BK106" s="29">
        <f>AY106*(1+Inputs!$C$35)</f>
        <v>544.70104893749988</v>
      </c>
      <c r="BL106" s="29">
        <f>AZ106*(1+Inputs!$C$35)</f>
        <v>544.70104893749988</v>
      </c>
      <c r="BM106" s="29">
        <f>BA106*(1+Inputs!$C$35)</f>
        <v>544.70104893749988</v>
      </c>
      <c r="BN106" s="29">
        <f>BB106*(1+Inputs!$C$35)</f>
        <v>544.70104893749988</v>
      </c>
      <c r="BO106" s="29">
        <f>BC106*(1+Inputs!$C$35)</f>
        <v>544.70104893749988</v>
      </c>
      <c r="BP106" s="29">
        <f>BD106*(1+Inputs!$C$35)</f>
        <v>544.70104893749988</v>
      </c>
      <c r="BQ106" s="29">
        <f>BE106*(1+Inputs!$C$35)</f>
        <v>544.70104893749988</v>
      </c>
      <c r="BR106" s="29">
        <f>BF106*(1+Inputs!$C$35)</f>
        <v>558.31857516093737</v>
      </c>
      <c r="BS106" s="29">
        <f>BG106*(1+Inputs!$C$35)</f>
        <v>558.31857516093737</v>
      </c>
      <c r="BT106" s="29">
        <f>BH106*(1+Inputs!$C$35)</f>
        <v>558.31857516093737</v>
      </c>
      <c r="BU106" s="29">
        <f>BI106*(1+Inputs!$C$35)</f>
        <v>558.31857516093737</v>
      </c>
      <c r="BW106" s="29">
        <f t="shared" ref="BW106:CA106" si="139">SUMIF($J$6:$BU$6,BW$9,$J106:$BU106)</f>
        <v>1866.4354799999999</v>
      </c>
      <c r="BX106" s="29">
        <f t="shared" si="139"/>
        <v>3732.8709599999997</v>
      </c>
      <c r="BY106" s="29">
        <f t="shared" si="139"/>
        <v>6221.4516000000012</v>
      </c>
      <c r="BZ106" s="29">
        <f t="shared" si="139"/>
        <v>6376.9878899999976</v>
      </c>
      <c r="CA106" s="29">
        <f t="shared" si="139"/>
        <v>6536.4125872499981</v>
      </c>
      <c r="CB106" s="29">
        <f>CA106*(1+Inputs!$C$35)</f>
        <v>6699.8229019312475</v>
      </c>
      <c r="CC106" s="29">
        <f>CB106*(1+Inputs!$C$35)</f>
        <v>6867.318474479528</v>
      </c>
      <c r="CD106" s="29">
        <f>CC106*(1+Inputs!$C$35)</f>
        <v>7039.0014363415157</v>
      </c>
      <c r="CE106" s="29">
        <f>CD106*(1+Inputs!$C$35)</f>
        <v>7214.9764722500531</v>
      </c>
      <c r="CF106" s="29">
        <f>CE106*(1+Inputs!$C$35)</f>
        <v>7395.3508840563036</v>
      </c>
      <c r="CG106" s="29">
        <f>CF106*(1+Inputs!$C$35)</f>
        <v>7580.2346561577106</v>
      </c>
      <c r="CH106" s="29">
        <f>CG106*(1+Inputs!$C$35)</f>
        <v>7769.7405225616531</v>
      </c>
      <c r="CI106" s="29">
        <f>CH106*(1+Inputs!$C$35)</f>
        <v>7963.9840356256937</v>
      </c>
      <c r="CJ106" s="29">
        <f>CI106*(1+Inputs!$C$35)</f>
        <v>8163.083636516335</v>
      </c>
      <c r="CK106" s="29">
        <f>CJ106*(1+Inputs!$C$35)</f>
        <v>8367.1607274292419</v>
      </c>
    </row>
    <row r="107" spans="1:109" ht="14.25" customHeight="1" x14ac:dyDescent="0.2">
      <c r="A107" s="11">
        <f t="shared" si="58"/>
        <v>0</v>
      </c>
      <c r="B107" s="56">
        <f t="shared" si="136"/>
        <v>6194</v>
      </c>
      <c r="D107" s="56"/>
      <c r="F107" s="56">
        <v>6194</v>
      </c>
      <c r="G107" s="11" t="s">
        <v>128</v>
      </c>
      <c r="H107" s="75">
        <f>VLOOKUP($F107,Inputs!$L:$Q,6,FALSE)</f>
        <v>1.1549999999999998E-2</v>
      </c>
      <c r="I107" s="1"/>
      <c r="J107" s="29">
        <f>($H107*$F$3)/12*Inputs!$V$25</f>
        <v>30.551771249999994</v>
      </c>
      <c r="K107" s="29">
        <f>($H107*$F$3)/12*Inputs!$V$25</f>
        <v>30.551771249999994</v>
      </c>
      <c r="L107" s="29">
        <f>($H107*$F$3)/12*Inputs!$V$25</f>
        <v>30.551771249999994</v>
      </c>
      <c r="M107" s="29">
        <f>($H107*$F$3)/12*Inputs!$V$25</f>
        <v>30.551771249999994</v>
      </c>
      <c r="N107" s="29">
        <f>($H107*$F$3)/12*Inputs!$V$25</f>
        <v>30.551771249999994</v>
      </c>
      <c r="O107" s="29">
        <f>($H107*$F$3)/12*Inputs!$V$25</f>
        <v>30.551771249999994</v>
      </c>
      <c r="P107" s="29">
        <f>($H107*$F$3)/12*Inputs!$V$25</f>
        <v>30.551771249999994</v>
      </c>
      <c r="Q107" s="29">
        <f>($H107*$F$3)/12*Inputs!$V$25</f>
        <v>30.551771249999994</v>
      </c>
      <c r="R107" s="29">
        <f>($H107*$F$3)/12*Inputs!$V$25</f>
        <v>30.551771249999994</v>
      </c>
      <c r="S107" s="29">
        <f>($H107*$F$3)/12*Inputs!$V$25</f>
        <v>30.551771249999994</v>
      </c>
      <c r="T107" s="29">
        <f>($H107*$F$3)/12*Inputs!$V$25</f>
        <v>30.551771249999994</v>
      </c>
      <c r="U107" s="239">
        <f>($H107*$F$3)/12*Inputs!$V$25</f>
        <v>30.551771249999994</v>
      </c>
      <c r="V107" s="29">
        <f>($H107*$F$3)/12*Inputs!$V$26</f>
        <v>61.103542499999989</v>
      </c>
      <c r="W107" s="29">
        <f>($H107*$F$3)/12*Inputs!$V$26</f>
        <v>61.103542499999989</v>
      </c>
      <c r="X107" s="29">
        <f>($H107*$F$3)/12*Inputs!$V$26</f>
        <v>61.103542499999989</v>
      </c>
      <c r="Y107" s="29">
        <f>($H107*$F$3)/12*Inputs!$V$26</f>
        <v>61.103542499999989</v>
      </c>
      <c r="Z107" s="29">
        <f>($H107*$F$3)/12*Inputs!$V$26</f>
        <v>61.103542499999989</v>
      </c>
      <c r="AA107" s="29">
        <f>($H107*$F$3)/12*Inputs!$V$26</f>
        <v>61.103542499999989</v>
      </c>
      <c r="AB107" s="29">
        <f>($H107*$F$3)/12*Inputs!$V$26</f>
        <v>61.103542499999989</v>
      </c>
      <c r="AC107" s="29">
        <f>($H107*$F$3)/12*Inputs!$V$26</f>
        <v>61.103542499999989</v>
      </c>
      <c r="AD107" s="29">
        <f>($H107*$F$3)/12*Inputs!$V$26</f>
        <v>61.103542499999989</v>
      </c>
      <c r="AE107" s="29">
        <f>($H107*$F$3)/12*Inputs!$V$26</f>
        <v>61.103542499999989</v>
      </c>
      <c r="AF107" s="29">
        <f>($H107*$F$3)/12*Inputs!$V$26</f>
        <v>61.103542499999989</v>
      </c>
      <c r="AG107" s="239">
        <f>($H107*$F$3)/12*Inputs!$V$26</f>
        <v>61.103542499999989</v>
      </c>
      <c r="AH107" s="29">
        <f>($H107*$F$3)/12*Inputs!$V$27</f>
        <v>101.83923749999998</v>
      </c>
      <c r="AI107" s="29">
        <f>($H107*$F$3)/12*Inputs!$V$27</f>
        <v>101.83923749999998</v>
      </c>
      <c r="AJ107" s="29">
        <f>($H107*$F$3)/12*Inputs!$V$27</f>
        <v>101.83923749999998</v>
      </c>
      <c r="AK107" s="29">
        <f>($H107*$F$3)/12*Inputs!$V$27</f>
        <v>101.83923749999998</v>
      </c>
      <c r="AL107" s="29">
        <f>($H107*$F$3)/12*Inputs!$V$27</f>
        <v>101.83923749999998</v>
      </c>
      <c r="AM107" s="29">
        <f>($H107*$F$3)/12*Inputs!$V$27</f>
        <v>101.83923749999998</v>
      </c>
      <c r="AN107" s="29">
        <f>($H107*$F$3)/12*Inputs!$V$27</f>
        <v>101.83923749999998</v>
      </c>
      <c r="AO107" s="29">
        <f>($H107*$F$3)/12*Inputs!$V$27</f>
        <v>101.83923749999998</v>
      </c>
      <c r="AP107" s="29">
        <f>($H107*$F$3)/12*Inputs!$V$27</f>
        <v>101.83923749999998</v>
      </c>
      <c r="AQ107" s="29">
        <f>($H107*$F$3)/12*Inputs!$V$27</f>
        <v>101.83923749999998</v>
      </c>
      <c r="AR107" s="29">
        <f>($H107*$F$3)/12*Inputs!$V$27</f>
        <v>101.83923749999998</v>
      </c>
      <c r="AS107" s="239">
        <f>($H107*$F$3)/12*Inputs!$V$27</f>
        <v>101.83923749999998</v>
      </c>
      <c r="AT107" s="29">
        <f>AH107*(1+Inputs!$C$35)</f>
        <v>104.38521843749997</v>
      </c>
      <c r="AU107" s="29">
        <f>AI107*(1+Inputs!$C$35)</f>
        <v>104.38521843749997</v>
      </c>
      <c r="AV107" s="29">
        <f>AJ107*(1+Inputs!$C$35)</f>
        <v>104.38521843749997</v>
      </c>
      <c r="AW107" s="29">
        <f>AK107*(1+Inputs!$C$35)</f>
        <v>104.38521843749997</v>
      </c>
      <c r="AX107" s="29">
        <f>AL107*(1+Inputs!$C$35)</f>
        <v>104.38521843749997</v>
      </c>
      <c r="AY107" s="29">
        <f>AM107*(1+Inputs!$C$35)</f>
        <v>104.38521843749997</v>
      </c>
      <c r="AZ107" s="29">
        <f>AN107*(1+Inputs!$C$35)</f>
        <v>104.38521843749997</v>
      </c>
      <c r="BA107" s="29">
        <f>AO107*(1+Inputs!$C$35)</f>
        <v>104.38521843749997</v>
      </c>
      <c r="BB107" s="29">
        <f>AP107*(1+Inputs!$C$35)</f>
        <v>104.38521843749997</v>
      </c>
      <c r="BC107" s="29">
        <f>AQ107*(1+Inputs!$C$35)</f>
        <v>104.38521843749997</v>
      </c>
      <c r="BD107" s="29">
        <f>AR107*(1+Inputs!$C$35)</f>
        <v>104.38521843749997</v>
      </c>
      <c r="BE107" s="239">
        <f>AS107*(1+Inputs!$C$35)</f>
        <v>104.38521843749997</v>
      </c>
      <c r="BF107" s="29">
        <f>AT107*(1+Inputs!$C$35)</f>
        <v>106.99484889843747</v>
      </c>
      <c r="BG107" s="29">
        <f>AU107*(1+Inputs!$C$35)</f>
        <v>106.99484889843747</v>
      </c>
      <c r="BH107" s="29">
        <f>AV107*(1+Inputs!$C$35)</f>
        <v>106.99484889843747</v>
      </c>
      <c r="BI107" s="29">
        <f>AW107*(1+Inputs!$C$35)</f>
        <v>106.99484889843747</v>
      </c>
      <c r="BJ107" s="29">
        <f>AX107*(1+Inputs!$C$35)</f>
        <v>106.99484889843747</v>
      </c>
      <c r="BK107" s="29">
        <f>AY107*(1+Inputs!$C$35)</f>
        <v>106.99484889843747</v>
      </c>
      <c r="BL107" s="29">
        <f>AZ107*(1+Inputs!$C$35)</f>
        <v>106.99484889843747</v>
      </c>
      <c r="BM107" s="29">
        <f>BA107*(1+Inputs!$C$35)</f>
        <v>106.99484889843747</v>
      </c>
      <c r="BN107" s="29">
        <f>BB107*(1+Inputs!$C$35)</f>
        <v>106.99484889843747</v>
      </c>
      <c r="BO107" s="29">
        <f>BC107*(1+Inputs!$C$35)</f>
        <v>106.99484889843747</v>
      </c>
      <c r="BP107" s="29">
        <f>BD107*(1+Inputs!$C$35)</f>
        <v>106.99484889843747</v>
      </c>
      <c r="BQ107" s="29">
        <f>BE107*(1+Inputs!$C$35)</f>
        <v>106.99484889843747</v>
      </c>
      <c r="BR107" s="29">
        <f>BF107*(1+Inputs!$C$35)</f>
        <v>109.66972012089839</v>
      </c>
      <c r="BS107" s="29">
        <f>BG107*(1+Inputs!$C$35)</f>
        <v>109.66972012089839</v>
      </c>
      <c r="BT107" s="29">
        <f>BH107*(1+Inputs!$C$35)</f>
        <v>109.66972012089839</v>
      </c>
      <c r="BU107" s="29">
        <f>BI107*(1+Inputs!$C$35)</f>
        <v>109.66972012089839</v>
      </c>
      <c r="BW107" s="29">
        <f t="shared" ref="BW107:CA107" si="140">SUMIF($J$6:$BU$6,BW$9,$J107:$BU107)</f>
        <v>366.62125499999996</v>
      </c>
      <c r="BX107" s="29">
        <f t="shared" si="140"/>
        <v>733.24250999999992</v>
      </c>
      <c r="BY107" s="29">
        <f t="shared" si="140"/>
        <v>1222.0708499999998</v>
      </c>
      <c r="BZ107" s="29">
        <f t="shared" si="140"/>
        <v>1252.6226212499996</v>
      </c>
      <c r="CA107" s="29">
        <f t="shared" si="140"/>
        <v>1283.9381867812499</v>
      </c>
      <c r="CB107" s="29">
        <f>CA107*(1+Inputs!$C$35)</f>
        <v>1316.036641450781</v>
      </c>
      <c r="CC107" s="29">
        <f>CB107*(1+Inputs!$C$35)</f>
        <v>1348.9375574870503</v>
      </c>
      <c r="CD107" s="29">
        <f>CC107*(1+Inputs!$C$35)</f>
        <v>1382.6609964242264</v>
      </c>
      <c r="CE107" s="29">
        <f>CD107*(1+Inputs!$C$35)</f>
        <v>1417.2275213348319</v>
      </c>
      <c r="CF107" s="29">
        <f>CE107*(1+Inputs!$C$35)</f>
        <v>1452.6582093682025</v>
      </c>
      <c r="CG107" s="29">
        <f>CF107*(1+Inputs!$C$35)</f>
        <v>1488.9746646024075</v>
      </c>
      <c r="CH107" s="29">
        <f>CG107*(1+Inputs!$C$35)</f>
        <v>1526.1990312174676</v>
      </c>
      <c r="CI107" s="29">
        <f>CH107*(1+Inputs!$C$35)</f>
        <v>1564.3540069979042</v>
      </c>
      <c r="CJ107" s="29">
        <f>CI107*(1+Inputs!$C$35)</f>
        <v>1603.4628571728517</v>
      </c>
      <c r="CK107" s="29">
        <f>CJ107*(1+Inputs!$C$35)</f>
        <v>1643.5494286021728</v>
      </c>
    </row>
    <row r="108" spans="1:109" ht="14.25" customHeight="1" x14ac:dyDescent="0.2">
      <c r="A108" s="11">
        <f t="shared" si="58"/>
        <v>0</v>
      </c>
      <c r="B108" s="56">
        <f t="shared" si="136"/>
        <v>6195</v>
      </c>
      <c r="D108" s="56"/>
      <c r="F108" s="56">
        <v>6195</v>
      </c>
      <c r="G108" s="11" t="s">
        <v>132</v>
      </c>
      <c r="H108" s="75">
        <f>VLOOKUP($F108,Inputs!$L:$Q,6,FALSE)</f>
        <v>1.3124999999999998E-2</v>
      </c>
      <c r="I108" s="1"/>
      <c r="J108" s="29">
        <f>($H108*$F$3)/12*Inputs!$V$25</f>
        <v>34.717921874999995</v>
      </c>
      <c r="K108" s="29">
        <f>($H108*$F$3)/12*Inputs!$V$25</f>
        <v>34.717921874999995</v>
      </c>
      <c r="L108" s="29">
        <f>($H108*$F$3)/12*Inputs!$V$25</f>
        <v>34.717921874999995</v>
      </c>
      <c r="M108" s="29">
        <f>($H108*$F$3)/12*Inputs!$V$25</f>
        <v>34.717921874999995</v>
      </c>
      <c r="N108" s="29">
        <f>($H108*$F$3)/12*Inputs!$V$25</f>
        <v>34.717921874999995</v>
      </c>
      <c r="O108" s="29">
        <f>($H108*$F$3)/12*Inputs!$V$25</f>
        <v>34.717921874999995</v>
      </c>
      <c r="P108" s="29">
        <f>($H108*$F$3)/12*Inputs!$V$25</f>
        <v>34.717921874999995</v>
      </c>
      <c r="Q108" s="29">
        <f>($H108*$F$3)/12*Inputs!$V$25</f>
        <v>34.717921874999995</v>
      </c>
      <c r="R108" s="29">
        <f>($H108*$F$3)/12*Inputs!$V$25</f>
        <v>34.717921874999995</v>
      </c>
      <c r="S108" s="29">
        <f>($H108*$F$3)/12*Inputs!$V$25</f>
        <v>34.717921874999995</v>
      </c>
      <c r="T108" s="29">
        <f>($H108*$F$3)/12*Inputs!$V$25</f>
        <v>34.717921874999995</v>
      </c>
      <c r="U108" s="239">
        <f>($H108*$F$3)/12*Inputs!$V$25</f>
        <v>34.717921874999995</v>
      </c>
      <c r="V108" s="29">
        <f>($H108*$F$3)/12*Inputs!$V$26</f>
        <v>69.435843749999989</v>
      </c>
      <c r="W108" s="29">
        <f>($H108*$F$3)/12*Inputs!$V$26</f>
        <v>69.435843749999989</v>
      </c>
      <c r="X108" s="29">
        <f>($H108*$F$3)/12*Inputs!$V$26</f>
        <v>69.435843749999989</v>
      </c>
      <c r="Y108" s="29">
        <f>($H108*$F$3)/12*Inputs!$V$26</f>
        <v>69.435843749999989</v>
      </c>
      <c r="Z108" s="29">
        <f>($H108*$F$3)/12*Inputs!$V$26</f>
        <v>69.435843749999989</v>
      </c>
      <c r="AA108" s="29">
        <f>($H108*$F$3)/12*Inputs!$V$26</f>
        <v>69.435843749999989</v>
      </c>
      <c r="AB108" s="29">
        <f>($H108*$F$3)/12*Inputs!$V$26</f>
        <v>69.435843749999989</v>
      </c>
      <c r="AC108" s="29">
        <f>($H108*$F$3)/12*Inputs!$V$26</f>
        <v>69.435843749999989</v>
      </c>
      <c r="AD108" s="29">
        <f>($H108*$F$3)/12*Inputs!$V$26</f>
        <v>69.435843749999989</v>
      </c>
      <c r="AE108" s="29">
        <f>($H108*$F$3)/12*Inputs!$V$26</f>
        <v>69.435843749999989</v>
      </c>
      <c r="AF108" s="29">
        <f>($H108*$F$3)/12*Inputs!$V$26</f>
        <v>69.435843749999989</v>
      </c>
      <c r="AG108" s="239">
        <f>($H108*$F$3)/12*Inputs!$V$26</f>
        <v>69.435843749999989</v>
      </c>
      <c r="AH108" s="29">
        <f>($H108*$F$3)/12*Inputs!$V$27</f>
        <v>115.72640624999998</v>
      </c>
      <c r="AI108" s="29">
        <f>($H108*$F$3)/12*Inputs!$V$27</f>
        <v>115.72640624999998</v>
      </c>
      <c r="AJ108" s="29">
        <f>($H108*$F$3)/12*Inputs!$V$27</f>
        <v>115.72640624999998</v>
      </c>
      <c r="AK108" s="29">
        <f>($H108*$F$3)/12*Inputs!$V$27</f>
        <v>115.72640624999998</v>
      </c>
      <c r="AL108" s="29">
        <f>($H108*$F$3)/12*Inputs!$V$27</f>
        <v>115.72640624999998</v>
      </c>
      <c r="AM108" s="29">
        <f>($H108*$F$3)/12*Inputs!$V$27</f>
        <v>115.72640624999998</v>
      </c>
      <c r="AN108" s="29">
        <f>($H108*$F$3)/12*Inputs!$V$27</f>
        <v>115.72640624999998</v>
      </c>
      <c r="AO108" s="29">
        <f>($H108*$F$3)/12*Inputs!$V$27</f>
        <v>115.72640624999998</v>
      </c>
      <c r="AP108" s="29">
        <f>($H108*$F$3)/12*Inputs!$V$27</f>
        <v>115.72640624999998</v>
      </c>
      <c r="AQ108" s="29">
        <f>($H108*$F$3)/12*Inputs!$V$27</f>
        <v>115.72640624999998</v>
      </c>
      <c r="AR108" s="29">
        <f>($H108*$F$3)/12*Inputs!$V$27</f>
        <v>115.72640624999998</v>
      </c>
      <c r="AS108" s="239">
        <f>($H108*$F$3)/12*Inputs!$V$27</f>
        <v>115.72640624999998</v>
      </c>
      <c r="AT108" s="29">
        <f>AH108*(1+Inputs!$C$35)</f>
        <v>118.61956640624997</v>
      </c>
      <c r="AU108" s="29">
        <f>AI108*(1+Inputs!$C$35)</f>
        <v>118.61956640624997</v>
      </c>
      <c r="AV108" s="29">
        <f>AJ108*(1+Inputs!$C$35)</f>
        <v>118.61956640624997</v>
      </c>
      <c r="AW108" s="29">
        <f>AK108*(1+Inputs!$C$35)</f>
        <v>118.61956640624997</v>
      </c>
      <c r="AX108" s="29">
        <f>AL108*(1+Inputs!$C$35)</f>
        <v>118.61956640624997</v>
      </c>
      <c r="AY108" s="29">
        <f>AM108*(1+Inputs!$C$35)</f>
        <v>118.61956640624997</v>
      </c>
      <c r="AZ108" s="29">
        <f>AN108*(1+Inputs!$C$35)</f>
        <v>118.61956640624997</v>
      </c>
      <c r="BA108" s="29">
        <f>AO108*(1+Inputs!$C$35)</f>
        <v>118.61956640624997</v>
      </c>
      <c r="BB108" s="29">
        <f>AP108*(1+Inputs!$C$35)</f>
        <v>118.61956640624997</v>
      </c>
      <c r="BC108" s="29">
        <f>AQ108*(1+Inputs!$C$35)</f>
        <v>118.61956640624997</v>
      </c>
      <c r="BD108" s="29">
        <f>AR108*(1+Inputs!$C$35)</f>
        <v>118.61956640624997</v>
      </c>
      <c r="BE108" s="239">
        <f>AS108*(1+Inputs!$C$35)</f>
        <v>118.61956640624997</v>
      </c>
      <c r="BF108" s="29">
        <f>AT108*(1+Inputs!$C$35)</f>
        <v>121.58505556640621</v>
      </c>
      <c r="BG108" s="29">
        <f>AU108*(1+Inputs!$C$35)</f>
        <v>121.58505556640621</v>
      </c>
      <c r="BH108" s="29">
        <f>AV108*(1+Inputs!$C$35)</f>
        <v>121.58505556640621</v>
      </c>
      <c r="BI108" s="29">
        <f>AW108*(1+Inputs!$C$35)</f>
        <v>121.58505556640621</v>
      </c>
      <c r="BJ108" s="29">
        <f>AX108*(1+Inputs!$C$35)</f>
        <v>121.58505556640621</v>
      </c>
      <c r="BK108" s="29">
        <f>AY108*(1+Inputs!$C$35)</f>
        <v>121.58505556640621</v>
      </c>
      <c r="BL108" s="29">
        <f>AZ108*(1+Inputs!$C$35)</f>
        <v>121.58505556640621</v>
      </c>
      <c r="BM108" s="29">
        <f>BA108*(1+Inputs!$C$35)</f>
        <v>121.58505556640621</v>
      </c>
      <c r="BN108" s="29">
        <f>BB108*(1+Inputs!$C$35)</f>
        <v>121.58505556640621</v>
      </c>
      <c r="BO108" s="29">
        <f>BC108*(1+Inputs!$C$35)</f>
        <v>121.58505556640621</v>
      </c>
      <c r="BP108" s="29">
        <f>BD108*(1+Inputs!$C$35)</f>
        <v>121.58505556640621</v>
      </c>
      <c r="BQ108" s="29">
        <f>BE108*(1+Inputs!$C$35)</f>
        <v>121.58505556640621</v>
      </c>
      <c r="BR108" s="29">
        <f>BF108*(1+Inputs!$C$35)</f>
        <v>124.62468195556636</v>
      </c>
      <c r="BS108" s="29">
        <f>BG108*(1+Inputs!$C$35)</f>
        <v>124.62468195556636</v>
      </c>
      <c r="BT108" s="29">
        <f>BH108*(1+Inputs!$C$35)</f>
        <v>124.62468195556636</v>
      </c>
      <c r="BU108" s="29">
        <f>BI108*(1+Inputs!$C$35)</f>
        <v>124.62468195556636</v>
      </c>
      <c r="BW108" s="29">
        <f t="shared" ref="BW108:CA108" si="141">SUMIF($J$6:$BU$6,BW$9,$J108:$BU108)</f>
        <v>416.61506249999996</v>
      </c>
      <c r="BX108" s="29">
        <f t="shared" si="141"/>
        <v>833.23012499999993</v>
      </c>
      <c r="BY108" s="29">
        <f t="shared" si="141"/>
        <v>1388.7168750000001</v>
      </c>
      <c r="BZ108" s="29">
        <f t="shared" si="141"/>
        <v>1423.4347968749996</v>
      </c>
      <c r="CA108" s="29">
        <f t="shared" si="141"/>
        <v>1459.0206667968748</v>
      </c>
      <c r="CB108" s="29">
        <f>CA108*(1+Inputs!$C$35)</f>
        <v>1495.4961834667965</v>
      </c>
      <c r="CC108" s="29">
        <f>CB108*(1+Inputs!$C$35)</f>
        <v>1532.8835880534664</v>
      </c>
      <c r="CD108" s="29">
        <f>CC108*(1+Inputs!$C$35)</f>
        <v>1571.205677754803</v>
      </c>
      <c r="CE108" s="29">
        <f>CD108*(1+Inputs!$C$35)</f>
        <v>1610.4858196986729</v>
      </c>
      <c r="CF108" s="29">
        <f>CE108*(1+Inputs!$C$35)</f>
        <v>1650.7479651911397</v>
      </c>
      <c r="CG108" s="29">
        <f>CF108*(1+Inputs!$C$35)</f>
        <v>1692.0166643209179</v>
      </c>
      <c r="CH108" s="29">
        <f>CG108*(1+Inputs!$C$35)</f>
        <v>1734.3170809289406</v>
      </c>
      <c r="CI108" s="29">
        <f>CH108*(1+Inputs!$C$35)</f>
        <v>1777.6750079521639</v>
      </c>
      <c r="CJ108" s="29">
        <f>CI108*(1+Inputs!$C$35)</f>
        <v>1822.1168831509679</v>
      </c>
      <c r="CK108" s="29">
        <f>CJ108*(1+Inputs!$C$35)</f>
        <v>1867.669805229742</v>
      </c>
    </row>
    <row r="109" spans="1:109" ht="14.25" customHeight="1" x14ac:dyDescent="0.2">
      <c r="A109" s="11">
        <f t="shared" si="58"/>
        <v>0</v>
      </c>
      <c r="B109" s="56">
        <f t="shared" si="136"/>
        <v>6196</v>
      </c>
      <c r="D109" s="56"/>
      <c r="F109" s="56">
        <v>6196</v>
      </c>
      <c r="G109" s="11" t="s">
        <v>134</v>
      </c>
      <c r="H109" s="75">
        <f>IF(Inputs!$C$63=TRUE,VLOOKUP($F109,Inputs!$L:$Q,6,FALSE),0)</f>
        <v>0</v>
      </c>
      <c r="I109" s="1"/>
      <c r="J109" s="29">
        <f>($H109*$F$3)/12*Inputs!$V$25</f>
        <v>0</v>
      </c>
      <c r="K109" s="29">
        <f>($H109*$F$3)/12*Inputs!$V$25</f>
        <v>0</v>
      </c>
      <c r="L109" s="29">
        <f>($H109*$F$3)/12*Inputs!$V$25</f>
        <v>0</v>
      </c>
      <c r="M109" s="29">
        <f>($H109*$F$3)/12*Inputs!$V$25</f>
        <v>0</v>
      </c>
      <c r="N109" s="29">
        <f>($H109*$F$3)/12*Inputs!$V$25</f>
        <v>0</v>
      </c>
      <c r="O109" s="29">
        <f>($H109*$F$3)/12*Inputs!$V$25</f>
        <v>0</v>
      </c>
      <c r="P109" s="29">
        <f>($H109*$F$3)/12*Inputs!$V$25</f>
        <v>0</v>
      </c>
      <c r="Q109" s="29">
        <f>($H109*$F$3)/12*Inputs!$V$25</f>
        <v>0</v>
      </c>
      <c r="R109" s="29">
        <f>($H109*$F$3)/12*Inputs!$V$25</f>
        <v>0</v>
      </c>
      <c r="S109" s="29">
        <f>($H109*$F$3)/12*Inputs!$V$25</f>
        <v>0</v>
      </c>
      <c r="T109" s="29">
        <f>($H109*$F$3)/12*Inputs!$V$25</f>
        <v>0</v>
      </c>
      <c r="U109" s="239">
        <f>($H109*$F$3)/12*Inputs!$V$25</f>
        <v>0</v>
      </c>
      <c r="V109" s="29">
        <f>($H109*$F$3)/12*Inputs!$V$26</f>
        <v>0</v>
      </c>
      <c r="W109" s="29">
        <f>($H109*$F$3)/12*Inputs!$V$26</f>
        <v>0</v>
      </c>
      <c r="X109" s="29">
        <f>($H109*$F$3)/12*Inputs!$V$26</f>
        <v>0</v>
      </c>
      <c r="Y109" s="29">
        <f>($H109*$F$3)/12*Inputs!$V$26</f>
        <v>0</v>
      </c>
      <c r="Z109" s="29">
        <f>($H109*$F$3)/12*Inputs!$V$26</f>
        <v>0</v>
      </c>
      <c r="AA109" s="29">
        <f>($H109*$F$3)/12*Inputs!$V$26</f>
        <v>0</v>
      </c>
      <c r="AB109" s="29">
        <f>($H109*$F$3)/12*Inputs!$V$26</f>
        <v>0</v>
      </c>
      <c r="AC109" s="29">
        <f>($H109*$F$3)/12*Inputs!$V$26</f>
        <v>0</v>
      </c>
      <c r="AD109" s="29">
        <f>($H109*$F$3)/12*Inputs!$V$26</f>
        <v>0</v>
      </c>
      <c r="AE109" s="29">
        <f>($H109*$F$3)/12*Inputs!$V$26</f>
        <v>0</v>
      </c>
      <c r="AF109" s="29">
        <f>($H109*$F$3)/12*Inputs!$V$26</f>
        <v>0</v>
      </c>
      <c r="AG109" s="239">
        <f>($H109*$F$3)/12*Inputs!$V$26</f>
        <v>0</v>
      </c>
      <c r="AH109" s="29">
        <f>($H109*$F$3)/12*Inputs!$V$27</f>
        <v>0</v>
      </c>
      <c r="AI109" s="29">
        <f>($H109*$F$3)/12*Inputs!$V$27</f>
        <v>0</v>
      </c>
      <c r="AJ109" s="29">
        <f>($H109*$F$3)/12*Inputs!$V$27</f>
        <v>0</v>
      </c>
      <c r="AK109" s="29">
        <f>($H109*$F$3)/12*Inputs!$V$27</f>
        <v>0</v>
      </c>
      <c r="AL109" s="29">
        <f>($H109*$F$3)/12*Inputs!$V$27</f>
        <v>0</v>
      </c>
      <c r="AM109" s="29">
        <f>($H109*$F$3)/12*Inputs!$V$27</f>
        <v>0</v>
      </c>
      <c r="AN109" s="29">
        <f>($H109*$F$3)/12*Inputs!$V$27</f>
        <v>0</v>
      </c>
      <c r="AO109" s="29">
        <f>($H109*$F$3)/12*Inputs!$V$27</f>
        <v>0</v>
      </c>
      <c r="AP109" s="29">
        <f>($H109*$F$3)/12*Inputs!$V$27</f>
        <v>0</v>
      </c>
      <c r="AQ109" s="29">
        <f>($H109*$F$3)/12*Inputs!$V$27</f>
        <v>0</v>
      </c>
      <c r="AR109" s="29">
        <f>($H109*$F$3)/12*Inputs!$V$27</f>
        <v>0</v>
      </c>
      <c r="AS109" s="239">
        <f>($H109*$F$3)/12*Inputs!$V$27</f>
        <v>0</v>
      </c>
      <c r="AT109" s="29">
        <f>AH109*(1+Inputs!$C$35)</f>
        <v>0</v>
      </c>
      <c r="AU109" s="29">
        <f>AI109*(1+Inputs!$C$35)</f>
        <v>0</v>
      </c>
      <c r="AV109" s="29">
        <f>AJ109*(1+Inputs!$C$35)</f>
        <v>0</v>
      </c>
      <c r="AW109" s="29">
        <f>AK109*(1+Inputs!$C$35)</f>
        <v>0</v>
      </c>
      <c r="AX109" s="29">
        <f>AL109*(1+Inputs!$C$35)</f>
        <v>0</v>
      </c>
      <c r="AY109" s="29">
        <f>AM109*(1+Inputs!$C$35)</f>
        <v>0</v>
      </c>
      <c r="AZ109" s="29">
        <f>AN109*(1+Inputs!$C$35)</f>
        <v>0</v>
      </c>
      <c r="BA109" s="29">
        <f>AO109*(1+Inputs!$C$35)</f>
        <v>0</v>
      </c>
      <c r="BB109" s="29">
        <f>AP109*(1+Inputs!$C$35)</f>
        <v>0</v>
      </c>
      <c r="BC109" s="29">
        <f>AQ109*(1+Inputs!$C$35)</f>
        <v>0</v>
      </c>
      <c r="BD109" s="29">
        <f>AR109*(1+Inputs!$C$35)</f>
        <v>0</v>
      </c>
      <c r="BE109" s="239">
        <f>AS109*(1+Inputs!$C$35)</f>
        <v>0</v>
      </c>
      <c r="BF109" s="29">
        <f>AT109*(1+Inputs!$C$35)</f>
        <v>0</v>
      </c>
      <c r="BG109" s="29">
        <f>AU109*(1+Inputs!$C$35)</f>
        <v>0</v>
      </c>
      <c r="BH109" s="29">
        <f>AV109*(1+Inputs!$C$35)</f>
        <v>0</v>
      </c>
      <c r="BI109" s="29">
        <f>AW109*(1+Inputs!$C$35)</f>
        <v>0</v>
      </c>
      <c r="BJ109" s="29">
        <f>AX109*(1+Inputs!$C$35)</f>
        <v>0</v>
      </c>
      <c r="BK109" s="29">
        <f>AY109*(1+Inputs!$C$35)</f>
        <v>0</v>
      </c>
      <c r="BL109" s="29">
        <f>AZ109*(1+Inputs!$C$35)</f>
        <v>0</v>
      </c>
      <c r="BM109" s="29">
        <f>BA109*(1+Inputs!$C$35)</f>
        <v>0</v>
      </c>
      <c r="BN109" s="29">
        <f>BB109*(1+Inputs!$C$35)</f>
        <v>0</v>
      </c>
      <c r="BO109" s="29">
        <f>BC109*(1+Inputs!$C$35)</f>
        <v>0</v>
      </c>
      <c r="BP109" s="29">
        <f>BD109*(1+Inputs!$C$35)</f>
        <v>0</v>
      </c>
      <c r="BQ109" s="29">
        <f>BE109*(1+Inputs!$C$35)</f>
        <v>0</v>
      </c>
      <c r="BR109" s="29">
        <f>BF109*(1+Inputs!$C$35)</f>
        <v>0</v>
      </c>
      <c r="BS109" s="29">
        <f>BG109*(1+Inputs!$C$35)</f>
        <v>0</v>
      </c>
      <c r="BT109" s="29">
        <f>BH109*(1+Inputs!$C$35)</f>
        <v>0</v>
      </c>
      <c r="BU109" s="29">
        <f>BI109*(1+Inputs!$C$35)</f>
        <v>0</v>
      </c>
      <c r="BW109" s="29">
        <f t="shared" ref="BW109:CA109" si="142">SUMIF($J$6:$BU$6,BW$9,$J109:$BU109)</f>
        <v>0</v>
      </c>
      <c r="BX109" s="29">
        <f t="shared" si="142"/>
        <v>0</v>
      </c>
      <c r="BY109" s="29">
        <f t="shared" si="142"/>
        <v>0</v>
      </c>
      <c r="BZ109" s="29">
        <f t="shared" si="142"/>
        <v>0</v>
      </c>
      <c r="CA109" s="29">
        <f t="shared" si="142"/>
        <v>0</v>
      </c>
      <c r="CB109" s="29">
        <f>CA109*(1+Inputs!$C$35)</f>
        <v>0</v>
      </c>
      <c r="CC109" s="29">
        <f>CB109*(1+Inputs!$C$35)</f>
        <v>0</v>
      </c>
      <c r="CD109" s="29">
        <f>CC109*(1+Inputs!$C$35)</f>
        <v>0</v>
      </c>
      <c r="CE109" s="29">
        <f>CD109*(1+Inputs!$C$35)</f>
        <v>0</v>
      </c>
      <c r="CF109" s="29">
        <f>CE109*(1+Inputs!$C$35)</f>
        <v>0</v>
      </c>
      <c r="CG109" s="29">
        <f>CF109*(1+Inputs!$C$35)</f>
        <v>0</v>
      </c>
      <c r="CH109" s="29">
        <f>CG109*(1+Inputs!$C$35)</f>
        <v>0</v>
      </c>
      <c r="CI109" s="29">
        <f>CH109*(1+Inputs!$C$35)</f>
        <v>0</v>
      </c>
      <c r="CJ109" s="29">
        <f>CI109*(1+Inputs!$C$35)</f>
        <v>0</v>
      </c>
      <c r="CK109" s="29">
        <f>CJ109*(1+Inputs!$C$35)</f>
        <v>0</v>
      </c>
    </row>
    <row r="110" spans="1:109" ht="14.25" customHeight="1" x14ac:dyDescent="0.2">
      <c r="A110" s="11">
        <f t="shared" si="58"/>
        <v>0</v>
      </c>
      <c r="B110" s="56">
        <f t="shared" si="136"/>
        <v>6197</v>
      </c>
      <c r="D110" s="56"/>
      <c r="F110" s="56">
        <v>6197</v>
      </c>
      <c r="G110" s="11" t="s">
        <v>137</v>
      </c>
      <c r="H110" s="75">
        <f>VLOOKUP($F110,Inputs!$L:$Q,6,FALSE)</f>
        <v>2.0999999999999999E-3</v>
      </c>
      <c r="I110" s="1"/>
      <c r="J110" s="29">
        <f>($H110*$F$3)/12*Inputs!$V$25</f>
        <v>5.5548674999999994</v>
      </c>
      <c r="K110" s="29">
        <f>($H110*$F$3)/12*Inputs!$V$25</f>
        <v>5.5548674999999994</v>
      </c>
      <c r="L110" s="29">
        <f>($H110*$F$3)/12*Inputs!$V$25</f>
        <v>5.5548674999999994</v>
      </c>
      <c r="M110" s="29">
        <f>($H110*$F$3)/12*Inputs!$V$25</f>
        <v>5.5548674999999994</v>
      </c>
      <c r="N110" s="29">
        <f>($H110*$F$3)/12*Inputs!$V$25</f>
        <v>5.5548674999999994</v>
      </c>
      <c r="O110" s="29">
        <f>($H110*$F$3)/12*Inputs!$V$25</f>
        <v>5.5548674999999994</v>
      </c>
      <c r="P110" s="29">
        <f>($H110*$F$3)/12*Inputs!$V$25</f>
        <v>5.5548674999999994</v>
      </c>
      <c r="Q110" s="29">
        <f>($H110*$F$3)/12*Inputs!$V$25</f>
        <v>5.5548674999999994</v>
      </c>
      <c r="R110" s="29">
        <f>($H110*$F$3)/12*Inputs!$V$25</f>
        <v>5.5548674999999994</v>
      </c>
      <c r="S110" s="29">
        <f>($H110*$F$3)/12*Inputs!$V$25</f>
        <v>5.5548674999999994</v>
      </c>
      <c r="T110" s="29">
        <f>($H110*$F$3)/12*Inputs!$V$25</f>
        <v>5.5548674999999994</v>
      </c>
      <c r="U110" s="239">
        <f>($H110*$F$3)/12*Inputs!$V$25</f>
        <v>5.5548674999999994</v>
      </c>
      <c r="V110" s="29">
        <f>($H110*$F$3)/12*Inputs!$V$26</f>
        <v>11.109734999999999</v>
      </c>
      <c r="W110" s="29">
        <f>($H110*$F$3)/12*Inputs!$V$26</f>
        <v>11.109734999999999</v>
      </c>
      <c r="X110" s="29">
        <f>($H110*$F$3)/12*Inputs!$V$26</f>
        <v>11.109734999999999</v>
      </c>
      <c r="Y110" s="29">
        <f>($H110*$F$3)/12*Inputs!$V$26</f>
        <v>11.109734999999999</v>
      </c>
      <c r="Z110" s="29">
        <f>($H110*$F$3)/12*Inputs!$V$26</f>
        <v>11.109734999999999</v>
      </c>
      <c r="AA110" s="29">
        <f>($H110*$F$3)/12*Inputs!$V$26</f>
        <v>11.109734999999999</v>
      </c>
      <c r="AB110" s="29">
        <f>($H110*$F$3)/12*Inputs!$V$26</f>
        <v>11.109734999999999</v>
      </c>
      <c r="AC110" s="29">
        <f>($H110*$F$3)/12*Inputs!$V$26</f>
        <v>11.109734999999999</v>
      </c>
      <c r="AD110" s="29">
        <f>($H110*$F$3)/12*Inputs!$V$26</f>
        <v>11.109734999999999</v>
      </c>
      <c r="AE110" s="29">
        <f>($H110*$F$3)/12*Inputs!$V$26</f>
        <v>11.109734999999999</v>
      </c>
      <c r="AF110" s="29">
        <f>($H110*$F$3)/12*Inputs!$V$26</f>
        <v>11.109734999999999</v>
      </c>
      <c r="AG110" s="239">
        <f>($H110*$F$3)/12*Inputs!$V$26</f>
        <v>11.109734999999999</v>
      </c>
      <c r="AH110" s="29">
        <f>($H110*$F$3)/12*Inputs!$V$27</f>
        <v>18.516224999999999</v>
      </c>
      <c r="AI110" s="29">
        <f>($H110*$F$3)/12*Inputs!$V$27</f>
        <v>18.516224999999999</v>
      </c>
      <c r="AJ110" s="29">
        <f>($H110*$F$3)/12*Inputs!$V$27</f>
        <v>18.516224999999999</v>
      </c>
      <c r="AK110" s="29">
        <f>($H110*$F$3)/12*Inputs!$V$27</f>
        <v>18.516224999999999</v>
      </c>
      <c r="AL110" s="29">
        <f>($H110*$F$3)/12*Inputs!$V$27</f>
        <v>18.516224999999999</v>
      </c>
      <c r="AM110" s="29">
        <f>($H110*$F$3)/12*Inputs!$V$27</f>
        <v>18.516224999999999</v>
      </c>
      <c r="AN110" s="29">
        <f>($H110*$F$3)/12*Inputs!$V$27</f>
        <v>18.516224999999999</v>
      </c>
      <c r="AO110" s="29">
        <f>($H110*$F$3)/12*Inputs!$V$27</f>
        <v>18.516224999999999</v>
      </c>
      <c r="AP110" s="29">
        <f>($H110*$F$3)/12*Inputs!$V$27</f>
        <v>18.516224999999999</v>
      </c>
      <c r="AQ110" s="29">
        <f>($H110*$F$3)/12*Inputs!$V$27</f>
        <v>18.516224999999999</v>
      </c>
      <c r="AR110" s="29">
        <f>($H110*$F$3)/12*Inputs!$V$27</f>
        <v>18.516224999999999</v>
      </c>
      <c r="AS110" s="239">
        <f>($H110*$F$3)/12*Inputs!$V$27</f>
        <v>18.516224999999999</v>
      </c>
      <c r="AT110" s="29">
        <f>AH110*(1+Inputs!$C$35)</f>
        <v>18.979130624999996</v>
      </c>
      <c r="AU110" s="29">
        <f>AI110*(1+Inputs!$C$35)</f>
        <v>18.979130624999996</v>
      </c>
      <c r="AV110" s="29">
        <f>AJ110*(1+Inputs!$C$35)</f>
        <v>18.979130624999996</v>
      </c>
      <c r="AW110" s="29">
        <f>AK110*(1+Inputs!$C$35)</f>
        <v>18.979130624999996</v>
      </c>
      <c r="AX110" s="29">
        <f>AL110*(1+Inputs!$C$35)</f>
        <v>18.979130624999996</v>
      </c>
      <c r="AY110" s="29">
        <f>AM110*(1+Inputs!$C$35)</f>
        <v>18.979130624999996</v>
      </c>
      <c r="AZ110" s="29">
        <f>AN110*(1+Inputs!$C$35)</f>
        <v>18.979130624999996</v>
      </c>
      <c r="BA110" s="29">
        <f>AO110*(1+Inputs!$C$35)</f>
        <v>18.979130624999996</v>
      </c>
      <c r="BB110" s="29">
        <f>AP110*(1+Inputs!$C$35)</f>
        <v>18.979130624999996</v>
      </c>
      <c r="BC110" s="29">
        <f>AQ110*(1+Inputs!$C$35)</f>
        <v>18.979130624999996</v>
      </c>
      <c r="BD110" s="29">
        <f>AR110*(1+Inputs!$C$35)</f>
        <v>18.979130624999996</v>
      </c>
      <c r="BE110" s="239">
        <f>AS110*(1+Inputs!$C$35)</f>
        <v>18.979130624999996</v>
      </c>
      <c r="BF110" s="29">
        <f>AT110*(1+Inputs!$C$35)</f>
        <v>19.453608890624995</v>
      </c>
      <c r="BG110" s="29">
        <f>AU110*(1+Inputs!$C$35)</f>
        <v>19.453608890624995</v>
      </c>
      <c r="BH110" s="29">
        <f>AV110*(1+Inputs!$C$35)</f>
        <v>19.453608890624995</v>
      </c>
      <c r="BI110" s="29">
        <f>AW110*(1+Inputs!$C$35)</f>
        <v>19.453608890624995</v>
      </c>
      <c r="BJ110" s="29">
        <f>AX110*(1+Inputs!$C$35)</f>
        <v>19.453608890624995</v>
      </c>
      <c r="BK110" s="29">
        <f>AY110*(1+Inputs!$C$35)</f>
        <v>19.453608890624995</v>
      </c>
      <c r="BL110" s="29">
        <f>AZ110*(1+Inputs!$C$35)</f>
        <v>19.453608890624995</v>
      </c>
      <c r="BM110" s="29">
        <f>BA110*(1+Inputs!$C$35)</f>
        <v>19.453608890624995</v>
      </c>
      <c r="BN110" s="29">
        <f>BB110*(1+Inputs!$C$35)</f>
        <v>19.453608890624995</v>
      </c>
      <c r="BO110" s="29">
        <f>BC110*(1+Inputs!$C$35)</f>
        <v>19.453608890624995</v>
      </c>
      <c r="BP110" s="29">
        <f>BD110*(1+Inputs!$C$35)</f>
        <v>19.453608890624995</v>
      </c>
      <c r="BQ110" s="29">
        <f>BE110*(1+Inputs!$C$35)</f>
        <v>19.453608890624995</v>
      </c>
      <c r="BR110" s="29">
        <f>BF110*(1+Inputs!$C$35)</f>
        <v>19.93994911289062</v>
      </c>
      <c r="BS110" s="29">
        <f>BG110*(1+Inputs!$C$35)</f>
        <v>19.93994911289062</v>
      </c>
      <c r="BT110" s="29">
        <f>BH110*(1+Inputs!$C$35)</f>
        <v>19.93994911289062</v>
      </c>
      <c r="BU110" s="29">
        <f>BI110*(1+Inputs!$C$35)</f>
        <v>19.93994911289062</v>
      </c>
      <c r="BW110" s="29">
        <f t="shared" ref="BW110:CA110" si="143">SUMIF($J$6:$BU$6,BW$9,$J110:$BU110)</f>
        <v>66.658409999999989</v>
      </c>
      <c r="BX110" s="29">
        <f t="shared" si="143"/>
        <v>133.31681999999998</v>
      </c>
      <c r="BY110" s="29">
        <f t="shared" si="143"/>
        <v>222.19469999999993</v>
      </c>
      <c r="BZ110" s="29">
        <f t="shared" si="143"/>
        <v>227.7495674999999</v>
      </c>
      <c r="CA110" s="29">
        <f t="shared" si="143"/>
        <v>233.44330668749993</v>
      </c>
      <c r="CB110" s="29">
        <f>CA110*(1+Inputs!$C$35)</f>
        <v>239.2793893546874</v>
      </c>
      <c r="CC110" s="29">
        <f>CB110*(1+Inputs!$C$35)</f>
        <v>245.26137408855456</v>
      </c>
      <c r="CD110" s="29">
        <f>CC110*(1+Inputs!$C$35)</f>
        <v>251.39290844076839</v>
      </c>
      <c r="CE110" s="29">
        <f>CD110*(1+Inputs!$C$35)</f>
        <v>257.67773115178755</v>
      </c>
      <c r="CF110" s="29">
        <f>CE110*(1+Inputs!$C$35)</f>
        <v>264.11967443058222</v>
      </c>
      <c r="CG110" s="29">
        <f>CF110*(1+Inputs!$C$35)</f>
        <v>270.72266629134674</v>
      </c>
      <c r="CH110" s="29">
        <f>CG110*(1+Inputs!$C$35)</f>
        <v>277.49073294863041</v>
      </c>
      <c r="CI110" s="29">
        <f>CH110*(1+Inputs!$C$35)</f>
        <v>284.42800127234614</v>
      </c>
      <c r="CJ110" s="29">
        <f>CI110*(1+Inputs!$C$35)</f>
        <v>291.53870130415476</v>
      </c>
      <c r="CK110" s="29">
        <f>CJ110*(1+Inputs!$C$35)</f>
        <v>298.82716883675857</v>
      </c>
    </row>
    <row r="111" spans="1:109" ht="14.25" customHeight="1" x14ac:dyDescent="0.2">
      <c r="A111" s="11">
        <f t="shared" si="58"/>
        <v>0</v>
      </c>
      <c r="B111" s="56">
        <f t="shared" si="136"/>
        <v>6198</v>
      </c>
      <c r="D111" s="56"/>
      <c r="F111" s="56">
        <v>6198</v>
      </c>
      <c r="G111" s="11" t="s">
        <v>142</v>
      </c>
      <c r="H111" s="75">
        <f>VLOOKUP($F111,Inputs!$L:$Q,6,FALSE)</f>
        <v>5.2499999999999995E-3</v>
      </c>
      <c r="I111" s="1"/>
      <c r="J111" s="29">
        <f>($H111*$F$3)/12*Inputs!$V$25</f>
        <v>13.887168749999997</v>
      </c>
      <c r="K111" s="29">
        <f>($H111*$F$3)/12*Inputs!$V$25</f>
        <v>13.887168749999997</v>
      </c>
      <c r="L111" s="29">
        <f>($H111*$F$3)/12*Inputs!$V$25</f>
        <v>13.887168749999997</v>
      </c>
      <c r="M111" s="29">
        <f>($H111*$F$3)/12*Inputs!$V$25</f>
        <v>13.887168749999997</v>
      </c>
      <c r="N111" s="29">
        <f>($H111*$F$3)/12*Inputs!$V$25</f>
        <v>13.887168749999997</v>
      </c>
      <c r="O111" s="29">
        <f>($H111*$F$3)/12*Inputs!$V$25</f>
        <v>13.887168749999997</v>
      </c>
      <c r="P111" s="29">
        <f>($H111*$F$3)/12*Inputs!$V$25</f>
        <v>13.887168749999997</v>
      </c>
      <c r="Q111" s="29">
        <f>($H111*$F$3)/12*Inputs!$V$25</f>
        <v>13.887168749999997</v>
      </c>
      <c r="R111" s="29">
        <f>($H111*$F$3)/12*Inputs!$V$25</f>
        <v>13.887168749999997</v>
      </c>
      <c r="S111" s="29">
        <f>($H111*$F$3)/12*Inputs!$V$25</f>
        <v>13.887168749999997</v>
      </c>
      <c r="T111" s="29">
        <f>($H111*$F$3)/12*Inputs!$V$25</f>
        <v>13.887168749999997</v>
      </c>
      <c r="U111" s="239">
        <f>($H111*$F$3)/12*Inputs!$V$25</f>
        <v>13.887168749999997</v>
      </c>
      <c r="V111" s="29">
        <f>($H111*$F$3)/12*Inputs!$V$26</f>
        <v>27.774337499999994</v>
      </c>
      <c r="W111" s="29">
        <f>($H111*$F$3)/12*Inputs!$V$26</f>
        <v>27.774337499999994</v>
      </c>
      <c r="X111" s="29">
        <f>($H111*$F$3)/12*Inputs!$V$26</f>
        <v>27.774337499999994</v>
      </c>
      <c r="Y111" s="29">
        <f>($H111*$F$3)/12*Inputs!$V$26</f>
        <v>27.774337499999994</v>
      </c>
      <c r="Z111" s="29">
        <f>($H111*$F$3)/12*Inputs!$V$26</f>
        <v>27.774337499999994</v>
      </c>
      <c r="AA111" s="29">
        <f>($H111*$F$3)/12*Inputs!$V$26</f>
        <v>27.774337499999994</v>
      </c>
      <c r="AB111" s="29">
        <f>($H111*$F$3)/12*Inputs!$V$26</f>
        <v>27.774337499999994</v>
      </c>
      <c r="AC111" s="29">
        <f>($H111*$F$3)/12*Inputs!$V$26</f>
        <v>27.774337499999994</v>
      </c>
      <c r="AD111" s="29">
        <f>($H111*$F$3)/12*Inputs!$V$26</f>
        <v>27.774337499999994</v>
      </c>
      <c r="AE111" s="29">
        <f>($H111*$F$3)/12*Inputs!$V$26</f>
        <v>27.774337499999994</v>
      </c>
      <c r="AF111" s="29">
        <f>($H111*$F$3)/12*Inputs!$V$26</f>
        <v>27.774337499999994</v>
      </c>
      <c r="AG111" s="239">
        <f>($H111*$F$3)/12*Inputs!$V$26</f>
        <v>27.774337499999994</v>
      </c>
      <c r="AH111" s="29">
        <f>($H111*$F$3)/12*Inputs!$V$27</f>
        <v>46.290562499999993</v>
      </c>
      <c r="AI111" s="29">
        <f>($H111*$F$3)/12*Inputs!$V$27</f>
        <v>46.290562499999993</v>
      </c>
      <c r="AJ111" s="29">
        <f>($H111*$F$3)/12*Inputs!$V$27</f>
        <v>46.290562499999993</v>
      </c>
      <c r="AK111" s="29">
        <f>($H111*$F$3)/12*Inputs!$V$27</f>
        <v>46.290562499999993</v>
      </c>
      <c r="AL111" s="29">
        <f>($H111*$F$3)/12*Inputs!$V$27</f>
        <v>46.290562499999993</v>
      </c>
      <c r="AM111" s="29">
        <f>($H111*$F$3)/12*Inputs!$V$27</f>
        <v>46.290562499999993</v>
      </c>
      <c r="AN111" s="29">
        <f>($H111*$F$3)/12*Inputs!$V$27</f>
        <v>46.290562499999993</v>
      </c>
      <c r="AO111" s="29">
        <f>($H111*$F$3)/12*Inputs!$V$27</f>
        <v>46.290562499999993</v>
      </c>
      <c r="AP111" s="29">
        <f>($H111*$F$3)/12*Inputs!$V$27</f>
        <v>46.290562499999993</v>
      </c>
      <c r="AQ111" s="29">
        <f>($H111*$F$3)/12*Inputs!$V$27</f>
        <v>46.290562499999993</v>
      </c>
      <c r="AR111" s="29">
        <f>($H111*$F$3)/12*Inputs!$V$27</f>
        <v>46.290562499999993</v>
      </c>
      <c r="AS111" s="239">
        <f>($H111*$F$3)/12*Inputs!$V$27</f>
        <v>46.290562499999993</v>
      </c>
      <c r="AT111" s="29">
        <f>AH111*(1+Inputs!$C$35)</f>
        <v>47.447826562499991</v>
      </c>
      <c r="AU111" s="29">
        <f>AI111*(1+Inputs!$C$35)</f>
        <v>47.447826562499991</v>
      </c>
      <c r="AV111" s="29">
        <f>AJ111*(1+Inputs!$C$35)</f>
        <v>47.447826562499991</v>
      </c>
      <c r="AW111" s="29">
        <f>AK111*(1+Inputs!$C$35)</f>
        <v>47.447826562499991</v>
      </c>
      <c r="AX111" s="29">
        <f>AL111*(1+Inputs!$C$35)</f>
        <v>47.447826562499991</v>
      </c>
      <c r="AY111" s="29">
        <f>AM111*(1+Inputs!$C$35)</f>
        <v>47.447826562499991</v>
      </c>
      <c r="AZ111" s="29">
        <f>AN111*(1+Inputs!$C$35)</f>
        <v>47.447826562499991</v>
      </c>
      <c r="BA111" s="29">
        <f>AO111*(1+Inputs!$C$35)</f>
        <v>47.447826562499991</v>
      </c>
      <c r="BB111" s="29">
        <f>AP111*(1+Inputs!$C$35)</f>
        <v>47.447826562499991</v>
      </c>
      <c r="BC111" s="29">
        <f>AQ111*(1+Inputs!$C$35)</f>
        <v>47.447826562499991</v>
      </c>
      <c r="BD111" s="29">
        <f>AR111*(1+Inputs!$C$35)</f>
        <v>47.447826562499991</v>
      </c>
      <c r="BE111" s="239">
        <f>AS111*(1+Inputs!$C$35)</f>
        <v>47.447826562499991</v>
      </c>
      <c r="BF111" s="29">
        <f>AT111*(1+Inputs!$C$35)</f>
        <v>48.634022226562486</v>
      </c>
      <c r="BG111" s="29">
        <f>AU111*(1+Inputs!$C$35)</f>
        <v>48.634022226562486</v>
      </c>
      <c r="BH111" s="29">
        <f>AV111*(1+Inputs!$C$35)</f>
        <v>48.634022226562486</v>
      </c>
      <c r="BI111" s="29">
        <f>AW111*(1+Inputs!$C$35)</f>
        <v>48.634022226562486</v>
      </c>
      <c r="BJ111" s="29">
        <f>AX111*(1+Inputs!$C$35)</f>
        <v>48.634022226562486</v>
      </c>
      <c r="BK111" s="29">
        <f>AY111*(1+Inputs!$C$35)</f>
        <v>48.634022226562486</v>
      </c>
      <c r="BL111" s="29">
        <f>AZ111*(1+Inputs!$C$35)</f>
        <v>48.634022226562486</v>
      </c>
      <c r="BM111" s="29">
        <f>BA111*(1+Inputs!$C$35)</f>
        <v>48.634022226562486</v>
      </c>
      <c r="BN111" s="29">
        <f>BB111*(1+Inputs!$C$35)</f>
        <v>48.634022226562486</v>
      </c>
      <c r="BO111" s="29">
        <f>BC111*(1+Inputs!$C$35)</f>
        <v>48.634022226562486</v>
      </c>
      <c r="BP111" s="29">
        <f>BD111*(1+Inputs!$C$35)</f>
        <v>48.634022226562486</v>
      </c>
      <c r="BQ111" s="29">
        <f>BE111*(1+Inputs!$C$35)</f>
        <v>48.634022226562486</v>
      </c>
      <c r="BR111" s="29">
        <f>BF111*(1+Inputs!$C$35)</f>
        <v>49.849872782226541</v>
      </c>
      <c r="BS111" s="29">
        <f>BG111*(1+Inputs!$C$35)</f>
        <v>49.849872782226541</v>
      </c>
      <c r="BT111" s="29">
        <f>BH111*(1+Inputs!$C$35)</f>
        <v>49.849872782226541</v>
      </c>
      <c r="BU111" s="29">
        <f>BI111*(1+Inputs!$C$35)</f>
        <v>49.849872782226541</v>
      </c>
      <c r="BW111" s="29">
        <f t="shared" ref="BW111:CA111" si="144">SUMIF($J$6:$BU$6,BW$9,$J111:$BU111)</f>
        <v>166.64602499999998</v>
      </c>
      <c r="BX111" s="29">
        <f t="shared" si="144"/>
        <v>333.29204999999996</v>
      </c>
      <c r="BY111" s="29">
        <f t="shared" si="144"/>
        <v>555.4867499999998</v>
      </c>
      <c r="BZ111" s="29">
        <f t="shared" si="144"/>
        <v>569.37391874999992</v>
      </c>
      <c r="CA111" s="29">
        <f t="shared" si="144"/>
        <v>583.60826671874986</v>
      </c>
      <c r="CB111" s="29">
        <f>CA111*(1+Inputs!$C$35)</f>
        <v>598.19847338671855</v>
      </c>
      <c r="CC111" s="29">
        <f>CB111*(1+Inputs!$C$35)</f>
        <v>613.15343522138642</v>
      </c>
      <c r="CD111" s="29">
        <f>CC111*(1+Inputs!$C$35)</f>
        <v>628.48227110192101</v>
      </c>
      <c r="CE111" s="29">
        <f>CD111*(1+Inputs!$C$35)</f>
        <v>644.19432787946903</v>
      </c>
      <c r="CF111" s="29">
        <f>CE111*(1+Inputs!$C$35)</f>
        <v>660.29918607645573</v>
      </c>
      <c r="CG111" s="29">
        <f>CF111*(1+Inputs!$C$35)</f>
        <v>676.80666572836708</v>
      </c>
      <c r="CH111" s="29">
        <f>CG111*(1+Inputs!$C$35)</f>
        <v>693.72683237157617</v>
      </c>
      <c r="CI111" s="29">
        <f>CH111*(1+Inputs!$C$35)</f>
        <v>711.07000318086546</v>
      </c>
      <c r="CJ111" s="29">
        <f>CI111*(1+Inputs!$C$35)</f>
        <v>728.846753260387</v>
      </c>
      <c r="CK111" s="29">
        <f>CJ111*(1+Inputs!$C$35)</f>
        <v>747.06792209189666</v>
      </c>
    </row>
    <row r="112" spans="1:109" ht="14.25" customHeight="1" x14ac:dyDescent="0.2">
      <c r="A112" s="11">
        <f t="shared" si="58"/>
        <v>0</v>
      </c>
      <c r="B112" s="56">
        <f t="shared" si="136"/>
        <v>6199</v>
      </c>
      <c r="D112" s="56"/>
      <c r="F112" s="56">
        <v>6199</v>
      </c>
      <c r="G112" s="11" t="s">
        <v>145</v>
      </c>
      <c r="H112" s="75">
        <f>IF(Inputs!$C$61=TRUE,VLOOKUP($F112,Inputs!$L:$Q,6,FALSE),0)</f>
        <v>4.4099999999999993E-2</v>
      </c>
      <c r="I112" s="1"/>
      <c r="J112" s="29">
        <f>($H112*$F$3)/12*Inputs!$V$25</f>
        <v>116.65221749999998</v>
      </c>
      <c r="K112" s="29">
        <f>($H112*$F$3)/12*Inputs!$V$25</f>
        <v>116.65221749999998</v>
      </c>
      <c r="L112" s="29">
        <f>($H112*$F$3)/12*Inputs!$V$25</f>
        <v>116.65221749999998</v>
      </c>
      <c r="M112" s="29">
        <f>($H112*$F$3)/12*Inputs!$V$25</f>
        <v>116.65221749999998</v>
      </c>
      <c r="N112" s="29">
        <f>($H112*$F$3)/12*Inputs!$V$25</f>
        <v>116.65221749999998</v>
      </c>
      <c r="O112" s="29">
        <f>($H112*$F$3)/12*Inputs!$V$25</f>
        <v>116.65221749999998</v>
      </c>
      <c r="P112" s="29">
        <f>($H112*$F$3)/12*Inputs!$V$25</f>
        <v>116.65221749999998</v>
      </c>
      <c r="Q112" s="29">
        <f>($H112*$F$3)/12*Inputs!$V$25</f>
        <v>116.65221749999998</v>
      </c>
      <c r="R112" s="29">
        <f>($H112*$F$3)/12*Inputs!$V$25</f>
        <v>116.65221749999998</v>
      </c>
      <c r="S112" s="29">
        <f>($H112*$F$3)/12*Inputs!$V$25</f>
        <v>116.65221749999998</v>
      </c>
      <c r="T112" s="29">
        <f>($H112*$F$3)/12*Inputs!$V$25</f>
        <v>116.65221749999998</v>
      </c>
      <c r="U112" s="239">
        <f>($H112*$F$3)/12*Inputs!$V$25</f>
        <v>116.65221749999998</v>
      </c>
      <c r="V112" s="29">
        <f>($H112*$F$3)/12*Inputs!$V$26</f>
        <v>233.30443499999996</v>
      </c>
      <c r="W112" s="29">
        <f>($H112*$F$3)/12*Inputs!$V$26</f>
        <v>233.30443499999996</v>
      </c>
      <c r="X112" s="29">
        <f>($H112*$F$3)/12*Inputs!$V$26</f>
        <v>233.30443499999996</v>
      </c>
      <c r="Y112" s="29">
        <f>($H112*$F$3)/12*Inputs!$V$26</f>
        <v>233.30443499999996</v>
      </c>
      <c r="Z112" s="29">
        <f>($H112*$F$3)/12*Inputs!$V$26</f>
        <v>233.30443499999996</v>
      </c>
      <c r="AA112" s="29">
        <f>($H112*$F$3)/12*Inputs!$V$26</f>
        <v>233.30443499999996</v>
      </c>
      <c r="AB112" s="29">
        <f>($H112*$F$3)/12*Inputs!$V$26</f>
        <v>233.30443499999996</v>
      </c>
      <c r="AC112" s="29">
        <f>($H112*$F$3)/12*Inputs!$V$26</f>
        <v>233.30443499999996</v>
      </c>
      <c r="AD112" s="29">
        <f>($H112*$F$3)/12*Inputs!$V$26</f>
        <v>233.30443499999996</v>
      </c>
      <c r="AE112" s="29">
        <f>($H112*$F$3)/12*Inputs!$V$26</f>
        <v>233.30443499999996</v>
      </c>
      <c r="AF112" s="29">
        <f>($H112*$F$3)/12*Inputs!$V$26</f>
        <v>233.30443499999996</v>
      </c>
      <c r="AG112" s="239">
        <f>($H112*$F$3)/12*Inputs!$V$26</f>
        <v>233.30443499999996</v>
      </c>
      <c r="AH112" s="29">
        <f>($H112*$F$3)/12*Inputs!$V$27</f>
        <v>388.84072499999996</v>
      </c>
      <c r="AI112" s="29">
        <f>($H112*$F$3)/12*Inputs!$V$27</f>
        <v>388.84072499999996</v>
      </c>
      <c r="AJ112" s="29">
        <f>($H112*$F$3)/12*Inputs!$V$27</f>
        <v>388.84072499999996</v>
      </c>
      <c r="AK112" s="29">
        <f>($H112*$F$3)/12*Inputs!$V$27</f>
        <v>388.84072499999996</v>
      </c>
      <c r="AL112" s="29">
        <f>($H112*$F$3)/12*Inputs!$V$27</f>
        <v>388.84072499999996</v>
      </c>
      <c r="AM112" s="29">
        <f>($H112*$F$3)/12*Inputs!$V$27</f>
        <v>388.84072499999996</v>
      </c>
      <c r="AN112" s="29">
        <f>($H112*$F$3)/12*Inputs!$V$27</f>
        <v>388.84072499999996</v>
      </c>
      <c r="AO112" s="29">
        <f>($H112*$F$3)/12*Inputs!$V$27</f>
        <v>388.84072499999996</v>
      </c>
      <c r="AP112" s="29">
        <f>($H112*$F$3)/12*Inputs!$V$27</f>
        <v>388.84072499999996</v>
      </c>
      <c r="AQ112" s="29">
        <f>($H112*$F$3)/12*Inputs!$V$27</f>
        <v>388.84072499999996</v>
      </c>
      <c r="AR112" s="29">
        <f>($H112*$F$3)/12*Inputs!$V$27</f>
        <v>388.84072499999996</v>
      </c>
      <c r="AS112" s="239">
        <f>($H112*$F$3)/12*Inputs!$V$27</f>
        <v>388.84072499999996</v>
      </c>
      <c r="AT112" s="29">
        <f>AH112*(1+Inputs!$C$35)</f>
        <v>398.56174312499991</v>
      </c>
      <c r="AU112" s="29">
        <f>AI112*(1+Inputs!$C$35)</f>
        <v>398.56174312499991</v>
      </c>
      <c r="AV112" s="29">
        <f>AJ112*(1+Inputs!$C$35)</f>
        <v>398.56174312499991</v>
      </c>
      <c r="AW112" s="29">
        <f>AK112*(1+Inputs!$C$35)</f>
        <v>398.56174312499991</v>
      </c>
      <c r="AX112" s="29">
        <f>AL112*(1+Inputs!$C$35)</f>
        <v>398.56174312499991</v>
      </c>
      <c r="AY112" s="29">
        <f>AM112*(1+Inputs!$C$35)</f>
        <v>398.56174312499991</v>
      </c>
      <c r="AZ112" s="29">
        <f>AN112*(1+Inputs!$C$35)</f>
        <v>398.56174312499991</v>
      </c>
      <c r="BA112" s="29">
        <f>AO112*(1+Inputs!$C$35)</f>
        <v>398.56174312499991</v>
      </c>
      <c r="BB112" s="29">
        <f>AP112*(1+Inputs!$C$35)</f>
        <v>398.56174312499991</v>
      </c>
      <c r="BC112" s="29">
        <f>AQ112*(1+Inputs!$C$35)</f>
        <v>398.56174312499991</v>
      </c>
      <c r="BD112" s="29">
        <f>AR112*(1+Inputs!$C$35)</f>
        <v>398.56174312499991</v>
      </c>
      <c r="BE112" s="239">
        <f>AS112*(1+Inputs!$C$35)</f>
        <v>398.56174312499991</v>
      </c>
      <c r="BF112" s="29">
        <f>AT112*(1+Inputs!$C$35)</f>
        <v>408.52578670312488</v>
      </c>
      <c r="BG112" s="29">
        <f>AU112*(1+Inputs!$C$35)</f>
        <v>408.52578670312488</v>
      </c>
      <c r="BH112" s="29">
        <f>AV112*(1+Inputs!$C$35)</f>
        <v>408.52578670312488</v>
      </c>
      <c r="BI112" s="29">
        <f>AW112*(1+Inputs!$C$35)</f>
        <v>408.52578670312488</v>
      </c>
      <c r="BJ112" s="29">
        <f>AX112*(1+Inputs!$C$35)</f>
        <v>408.52578670312488</v>
      </c>
      <c r="BK112" s="29">
        <f>AY112*(1+Inputs!$C$35)</f>
        <v>408.52578670312488</v>
      </c>
      <c r="BL112" s="29">
        <f>AZ112*(1+Inputs!$C$35)</f>
        <v>408.52578670312488</v>
      </c>
      <c r="BM112" s="29">
        <f>BA112*(1+Inputs!$C$35)</f>
        <v>408.52578670312488</v>
      </c>
      <c r="BN112" s="29">
        <f>BB112*(1+Inputs!$C$35)</f>
        <v>408.52578670312488</v>
      </c>
      <c r="BO112" s="29">
        <f>BC112*(1+Inputs!$C$35)</f>
        <v>408.52578670312488</v>
      </c>
      <c r="BP112" s="29">
        <f>BD112*(1+Inputs!$C$35)</f>
        <v>408.52578670312488</v>
      </c>
      <c r="BQ112" s="29">
        <f>BE112*(1+Inputs!$C$35)</f>
        <v>408.52578670312488</v>
      </c>
      <c r="BR112" s="29">
        <f>BF112*(1+Inputs!$C$35)</f>
        <v>418.73893137070297</v>
      </c>
      <c r="BS112" s="29">
        <f>BG112*(1+Inputs!$C$35)</f>
        <v>418.73893137070297</v>
      </c>
      <c r="BT112" s="29">
        <f>BH112*(1+Inputs!$C$35)</f>
        <v>418.73893137070297</v>
      </c>
      <c r="BU112" s="29">
        <f>BI112*(1+Inputs!$C$35)</f>
        <v>418.73893137070297</v>
      </c>
      <c r="BW112" s="29">
        <f t="shared" ref="BW112:CA112" si="145">SUMIF($J$6:$BU$6,BW$9,$J112:$BU112)</f>
        <v>1399.8266099999998</v>
      </c>
      <c r="BX112" s="29">
        <f t="shared" si="145"/>
        <v>2799.6532199999997</v>
      </c>
      <c r="BY112" s="29">
        <f t="shared" si="145"/>
        <v>4666.0886999999993</v>
      </c>
      <c r="BZ112" s="29">
        <f t="shared" si="145"/>
        <v>4782.7409174999984</v>
      </c>
      <c r="CA112" s="29">
        <f t="shared" si="145"/>
        <v>4902.3094404374997</v>
      </c>
      <c r="CB112" s="29">
        <f>CA112*(1+Inputs!$C$35)</f>
        <v>5024.867176448437</v>
      </c>
      <c r="CC112" s="29">
        <f>CB112*(1+Inputs!$C$35)</f>
        <v>5150.4888558596476</v>
      </c>
      <c r="CD112" s="29">
        <f>CC112*(1+Inputs!$C$35)</f>
        <v>5279.2510772561382</v>
      </c>
      <c r="CE112" s="29">
        <f>CD112*(1+Inputs!$C$35)</f>
        <v>5411.2323541875412</v>
      </c>
      <c r="CF112" s="29">
        <f>CE112*(1+Inputs!$C$35)</f>
        <v>5546.5131630422293</v>
      </c>
      <c r="CG112" s="29">
        <f>CF112*(1+Inputs!$C$35)</f>
        <v>5685.1759921182847</v>
      </c>
      <c r="CH112" s="29">
        <f>CG112*(1+Inputs!$C$35)</f>
        <v>5827.3053919212416</v>
      </c>
      <c r="CI112" s="29">
        <f>CH112*(1+Inputs!$C$35)</f>
        <v>5972.9880267192721</v>
      </c>
      <c r="CJ112" s="29">
        <f>CI112*(1+Inputs!$C$35)</f>
        <v>6122.3127273872533</v>
      </c>
      <c r="CK112" s="29">
        <f>CJ112*(1+Inputs!$C$35)</f>
        <v>6275.3705455719337</v>
      </c>
    </row>
    <row r="113" spans="1:109" ht="14.25" customHeight="1" x14ac:dyDescent="0.2">
      <c r="A113" s="11">
        <f t="shared" si="58"/>
        <v>0</v>
      </c>
      <c r="B113" s="56">
        <f t="shared" si="136"/>
        <v>6201</v>
      </c>
      <c r="D113" s="56"/>
      <c r="F113" s="56">
        <v>6201</v>
      </c>
      <c r="G113" s="11" t="s">
        <v>149</v>
      </c>
      <c r="H113" s="75">
        <f>VLOOKUP($F113,Inputs!$L:$Q,6,FALSE)</f>
        <v>2.3099999999999996E-2</v>
      </c>
      <c r="I113" s="1"/>
      <c r="J113" s="29">
        <f>($H113*$F$3)/12*Inputs!$V$25</f>
        <v>61.103542499999989</v>
      </c>
      <c r="K113" s="29">
        <f>($H113*$F$3)/12*Inputs!$V$25</f>
        <v>61.103542499999989</v>
      </c>
      <c r="L113" s="29">
        <f>($H113*$F$3)/12*Inputs!$V$25</f>
        <v>61.103542499999989</v>
      </c>
      <c r="M113" s="29">
        <f>($H113*$F$3)/12*Inputs!$V$25</f>
        <v>61.103542499999989</v>
      </c>
      <c r="N113" s="29">
        <f>($H113*$F$3)/12*Inputs!$V$25</f>
        <v>61.103542499999989</v>
      </c>
      <c r="O113" s="29">
        <f>($H113*$F$3)/12*Inputs!$V$25</f>
        <v>61.103542499999989</v>
      </c>
      <c r="P113" s="29">
        <f>($H113*$F$3)/12*Inputs!$V$25</f>
        <v>61.103542499999989</v>
      </c>
      <c r="Q113" s="29">
        <f>($H113*$F$3)/12*Inputs!$V$25</f>
        <v>61.103542499999989</v>
      </c>
      <c r="R113" s="29">
        <f>($H113*$F$3)/12*Inputs!$V$25</f>
        <v>61.103542499999989</v>
      </c>
      <c r="S113" s="29">
        <f>($H113*$F$3)/12*Inputs!$V$25</f>
        <v>61.103542499999989</v>
      </c>
      <c r="T113" s="29">
        <f>($H113*$F$3)/12*Inputs!$V$25</f>
        <v>61.103542499999989</v>
      </c>
      <c r="U113" s="239">
        <f>($H113*$F$3)/12*Inputs!$V$25</f>
        <v>61.103542499999989</v>
      </c>
      <c r="V113" s="29">
        <f>($H113*$F$3)/12*Inputs!$V$26</f>
        <v>122.20708499999998</v>
      </c>
      <c r="W113" s="29">
        <f>($H113*$F$3)/12*Inputs!$V$26</f>
        <v>122.20708499999998</v>
      </c>
      <c r="X113" s="29">
        <f>($H113*$F$3)/12*Inputs!$V$26</f>
        <v>122.20708499999998</v>
      </c>
      <c r="Y113" s="29">
        <f>($H113*$F$3)/12*Inputs!$V$26</f>
        <v>122.20708499999998</v>
      </c>
      <c r="Z113" s="29">
        <f>($H113*$F$3)/12*Inputs!$V$26</f>
        <v>122.20708499999998</v>
      </c>
      <c r="AA113" s="29">
        <f>($H113*$F$3)/12*Inputs!$V$26</f>
        <v>122.20708499999998</v>
      </c>
      <c r="AB113" s="29">
        <f>($H113*$F$3)/12*Inputs!$V$26</f>
        <v>122.20708499999998</v>
      </c>
      <c r="AC113" s="29">
        <f>($H113*$F$3)/12*Inputs!$V$26</f>
        <v>122.20708499999998</v>
      </c>
      <c r="AD113" s="29">
        <f>($H113*$F$3)/12*Inputs!$V$26</f>
        <v>122.20708499999998</v>
      </c>
      <c r="AE113" s="29">
        <f>($H113*$F$3)/12*Inputs!$V$26</f>
        <v>122.20708499999998</v>
      </c>
      <c r="AF113" s="29">
        <f>($H113*$F$3)/12*Inputs!$V$26</f>
        <v>122.20708499999998</v>
      </c>
      <c r="AG113" s="239">
        <f>($H113*$F$3)/12*Inputs!$V$26</f>
        <v>122.20708499999998</v>
      </c>
      <c r="AH113" s="29">
        <f>($H113*$F$3)/12*Inputs!$V$27</f>
        <v>203.67847499999996</v>
      </c>
      <c r="AI113" s="29">
        <f>($H113*$F$3)/12*Inputs!$V$27</f>
        <v>203.67847499999996</v>
      </c>
      <c r="AJ113" s="29">
        <f>($H113*$F$3)/12*Inputs!$V$27</f>
        <v>203.67847499999996</v>
      </c>
      <c r="AK113" s="29">
        <f>($H113*$F$3)/12*Inputs!$V$27</f>
        <v>203.67847499999996</v>
      </c>
      <c r="AL113" s="29">
        <f>($H113*$F$3)/12*Inputs!$V$27</f>
        <v>203.67847499999996</v>
      </c>
      <c r="AM113" s="29">
        <f>($H113*$F$3)/12*Inputs!$V$27</f>
        <v>203.67847499999996</v>
      </c>
      <c r="AN113" s="29">
        <f>($H113*$F$3)/12*Inputs!$V$27</f>
        <v>203.67847499999996</v>
      </c>
      <c r="AO113" s="29">
        <f>($H113*$F$3)/12*Inputs!$V$27</f>
        <v>203.67847499999996</v>
      </c>
      <c r="AP113" s="29">
        <f>($H113*$F$3)/12*Inputs!$V$27</f>
        <v>203.67847499999996</v>
      </c>
      <c r="AQ113" s="29">
        <f>($H113*$F$3)/12*Inputs!$V$27</f>
        <v>203.67847499999996</v>
      </c>
      <c r="AR113" s="29">
        <f>($H113*$F$3)/12*Inputs!$V$27</f>
        <v>203.67847499999996</v>
      </c>
      <c r="AS113" s="239">
        <f>($H113*$F$3)/12*Inputs!$V$27</f>
        <v>203.67847499999996</v>
      </c>
      <c r="AT113" s="29">
        <f>AH113*(1+Inputs!$C$35)</f>
        <v>208.77043687499994</v>
      </c>
      <c r="AU113" s="29">
        <f>AI113*(1+Inputs!$C$35)</f>
        <v>208.77043687499994</v>
      </c>
      <c r="AV113" s="29">
        <f>AJ113*(1+Inputs!$C$35)</f>
        <v>208.77043687499994</v>
      </c>
      <c r="AW113" s="29">
        <f>AK113*(1+Inputs!$C$35)</f>
        <v>208.77043687499994</v>
      </c>
      <c r="AX113" s="29">
        <f>AL113*(1+Inputs!$C$35)</f>
        <v>208.77043687499994</v>
      </c>
      <c r="AY113" s="29">
        <f>AM113*(1+Inputs!$C$35)</f>
        <v>208.77043687499994</v>
      </c>
      <c r="AZ113" s="29">
        <f>AN113*(1+Inputs!$C$35)</f>
        <v>208.77043687499994</v>
      </c>
      <c r="BA113" s="29">
        <f>AO113*(1+Inputs!$C$35)</f>
        <v>208.77043687499994</v>
      </c>
      <c r="BB113" s="29">
        <f>AP113*(1+Inputs!$C$35)</f>
        <v>208.77043687499994</v>
      </c>
      <c r="BC113" s="29">
        <f>AQ113*(1+Inputs!$C$35)</f>
        <v>208.77043687499994</v>
      </c>
      <c r="BD113" s="29">
        <f>AR113*(1+Inputs!$C$35)</f>
        <v>208.77043687499994</v>
      </c>
      <c r="BE113" s="239">
        <f>AS113*(1+Inputs!$C$35)</f>
        <v>208.77043687499994</v>
      </c>
      <c r="BF113" s="29">
        <f>AT113*(1+Inputs!$C$35)</f>
        <v>213.98969779687494</v>
      </c>
      <c r="BG113" s="29">
        <f>AU113*(1+Inputs!$C$35)</f>
        <v>213.98969779687494</v>
      </c>
      <c r="BH113" s="29">
        <f>AV113*(1+Inputs!$C$35)</f>
        <v>213.98969779687494</v>
      </c>
      <c r="BI113" s="29">
        <f>AW113*(1+Inputs!$C$35)</f>
        <v>213.98969779687494</v>
      </c>
      <c r="BJ113" s="29">
        <f>AX113*(1+Inputs!$C$35)</f>
        <v>213.98969779687494</v>
      </c>
      <c r="BK113" s="29">
        <f>AY113*(1+Inputs!$C$35)</f>
        <v>213.98969779687494</v>
      </c>
      <c r="BL113" s="29">
        <f>AZ113*(1+Inputs!$C$35)</f>
        <v>213.98969779687494</v>
      </c>
      <c r="BM113" s="29">
        <f>BA113*(1+Inputs!$C$35)</f>
        <v>213.98969779687494</v>
      </c>
      <c r="BN113" s="29">
        <f>BB113*(1+Inputs!$C$35)</f>
        <v>213.98969779687494</v>
      </c>
      <c r="BO113" s="29">
        <f>BC113*(1+Inputs!$C$35)</f>
        <v>213.98969779687494</v>
      </c>
      <c r="BP113" s="29">
        <f>BD113*(1+Inputs!$C$35)</f>
        <v>213.98969779687494</v>
      </c>
      <c r="BQ113" s="29">
        <f>BE113*(1+Inputs!$C$35)</f>
        <v>213.98969779687494</v>
      </c>
      <c r="BR113" s="29">
        <f>BF113*(1+Inputs!$C$35)</f>
        <v>219.33944024179678</v>
      </c>
      <c r="BS113" s="29">
        <f>BG113*(1+Inputs!$C$35)</f>
        <v>219.33944024179678</v>
      </c>
      <c r="BT113" s="29">
        <f>BH113*(1+Inputs!$C$35)</f>
        <v>219.33944024179678</v>
      </c>
      <c r="BU113" s="29">
        <f>BI113*(1+Inputs!$C$35)</f>
        <v>219.33944024179678</v>
      </c>
      <c r="BW113" s="29">
        <f t="shared" ref="BW113:CA113" si="146">SUMIF($J$6:$BU$6,BW$9,$J113:$BU113)</f>
        <v>733.24250999999992</v>
      </c>
      <c r="BX113" s="29">
        <f t="shared" si="146"/>
        <v>1466.4850199999998</v>
      </c>
      <c r="BY113" s="29">
        <f t="shared" si="146"/>
        <v>2444.1416999999997</v>
      </c>
      <c r="BZ113" s="29">
        <f t="shared" si="146"/>
        <v>2505.2452424999992</v>
      </c>
      <c r="CA113" s="29">
        <f t="shared" si="146"/>
        <v>2567.8763735624998</v>
      </c>
      <c r="CB113" s="29">
        <f>CA113*(1+Inputs!$C$35)</f>
        <v>2632.0732829015619</v>
      </c>
      <c r="CC113" s="29">
        <f>CB113*(1+Inputs!$C$35)</f>
        <v>2697.8751149741006</v>
      </c>
      <c r="CD113" s="29">
        <f>CC113*(1+Inputs!$C$35)</f>
        <v>2765.3219928484527</v>
      </c>
      <c r="CE113" s="29">
        <f>CD113*(1+Inputs!$C$35)</f>
        <v>2834.4550426696637</v>
      </c>
      <c r="CF113" s="29">
        <f>CE113*(1+Inputs!$C$35)</f>
        <v>2905.316418736405</v>
      </c>
      <c r="CG113" s="29">
        <f>CF113*(1+Inputs!$C$35)</f>
        <v>2977.9493292048151</v>
      </c>
      <c r="CH113" s="29">
        <f>CG113*(1+Inputs!$C$35)</f>
        <v>3052.3980624349351</v>
      </c>
      <c r="CI113" s="29">
        <f>CH113*(1+Inputs!$C$35)</f>
        <v>3128.7080139958084</v>
      </c>
      <c r="CJ113" s="29">
        <f>CI113*(1+Inputs!$C$35)</f>
        <v>3206.9257143457035</v>
      </c>
      <c r="CK113" s="29">
        <f>CJ113*(1+Inputs!$C$35)</f>
        <v>3287.0988572043457</v>
      </c>
    </row>
    <row r="114" spans="1:109" ht="14.25" customHeight="1" x14ac:dyDescent="0.2">
      <c r="A114" s="11">
        <f t="shared" si="58"/>
        <v>0</v>
      </c>
      <c r="B114" s="56">
        <f t="shared" si="136"/>
        <v>6203</v>
      </c>
      <c r="D114" s="56"/>
      <c r="F114" s="56">
        <v>6203</v>
      </c>
      <c r="G114" s="11" t="s">
        <v>151</v>
      </c>
      <c r="H114" s="75">
        <f>VLOOKUP($F114,Inputs!$L:$Q,6,FALSE)</f>
        <v>1.6799999999999999E-2</v>
      </c>
      <c r="I114" s="1"/>
      <c r="J114" s="29">
        <f>($H114*$F$3)/12*Inputs!$V$25</f>
        <v>44.438939999999995</v>
      </c>
      <c r="K114" s="29">
        <f>($H114*$F$3)/12*Inputs!$V$25</f>
        <v>44.438939999999995</v>
      </c>
      <c r="L114" s="29">
        <f>($H114*$F$3)/12*Inputs!$V$25</f>
        <v>44.438939999999995</v>
      </c>
      <c r="M114" s="29">
        <f>($H114*$F$3)/12*Inputs!$V$25</f>
        <v>44.438939999999995</v>
      </c>
      <c r="N114" s="29">
        <f>($H114*$F$3)/12*Inputs!$V$25</f>
        <v>44.438939999999995</v>
      </c>
      <c r="O114" s="29">
        <f>($H114*$F$3)/12*Inputs!$V$25</f>
        <v>44.438939999999995</v>
      </c>
      <c r="P114" s="29">
        <f>($H114*$F$3)/12*Inputs!$V$25</f>
        <v>44.438939999999995</v>
      </c>
      <c r="Q114" s="29">
        <f>($H114*$F$3)/12*Inputs!$V$25</f>
        <v>44.438939999999995</v>
      </c>
      <c r="R114" s="29">
        <f>($H114*$F$3)/12*Inputs!$V$25</f>
        <v>44.438939999999995</v>
      </c>
      <c r="S114" s="29">
        <f>($H114*$F$3)/12*Inputs!$V$25</f>
        <v>44.438939999999995</v>
      </c>
      <c r="T114" s="29">
        <f>($H114*$F$3)/12*Inputs!$V$25</f>
        <v>44.438939999999995</v>
      </c>
      <c r="U114" s="239">
        <f>($H114*$F$3)/12*Inputs!$V$25</f>
        <v>44.438939999999995</v>
      </c>
      <c r="V114" s="29">
        <f>($H114*$F$3)/12*Inputs!$V$26</f>
        <v>88.87787999999999</v>
      </c>
      <c r="W114" s="29">
        <f>($H114*$F$3)/12*Inputs!$V$26</f>
        <v>88.87787999999999</v>
      </c>
      <c r="X114" s="29">
        <f>($H114*$F$3)/12*Inputs!$V$26</f>
        <v>88.87787999999999</v>
      </c>
      <c r="Y114" s="29">
        <f>($H114*$F$3)/12*Inputs!$V$26</f>
        <v>88.87787999999999</v>
      </c>
      <c r="Z114" s="29">
        <f>($H114*$F$3)/12*Inputs!$V$26</f>
        <v>88.87787999999999</v>
      </c>
      <c r="AA114" s="29">
        <f>($H114*$F$3)/12*Inputs!$V$26</f>
        <v>88.87787999999999</v>
      </c>
      <c r="AB114" s="29">
        <f>($H114*$F$3)/12*Inputs!$V$26</f>
        <v>88.87787999999999</v>
      </c>
      <c r="AC114" s="29">
        <f>($H114*$F$3)/12*Inputs!$V$26</f>
        <v>88.87787999999999</v>
      </c>
      <c r="AD114" s="29">
        <f>($H114*$F$3)/12*Inputs!$V$26</f>
        <v>88.87787999999999</v>
      </c>
      <c r="AE114" s="29">
        <f>($H114*$F$3)/12*Inputs!$V$26</f>
        <v>88.87787999999999</v>
      </c>
      <c r="AF114" s="29">
        <f>($H114*$F$3)/12*Inputs!$V$26</f>
        <v>88.87787999999999</v>
      </c>
      <c r="AG114" s="239">
        <f>($H114*$F$3)/12*Inputs!$V$26</f>
        <v>88.87787999999999</v>
      </c>
      <c r="AH114" s="29">
        <f>($H114*$F$3)/12*Inputs!$V$27</f>
        <v>148.12979999999999</v>
      </c>
      <c r="AI114" s="29">
        <f>($H114*$F$3)/12*Inputs!$V$27</f>
        <v>148.12979999999999</v>
      </c>
      <c r="AJ114" s="29">
        <f>($H114*$F$3)/12*Inputs!$V$27</f>
        <v>148.12979999999999</v>
      </c>
      <c r="AK114" s="29">
        <f>($H114*$F$3)/12*Inputs!$V$27</f>
        <v>148.12979999999999</v>
      </c>
      <c r="AL114" s="29">
        <f>($H114*$F$3)/12*Inputs!$V$27</f>
        <v>148.12979999999999</v>
      </c>
      <c r="AM114" s="29">
        <f>($H114*$F$3)/12*Inputs!$V$27</f>
        <v>148.12979999999999</v>
      </c>
      <c r="AN114" s="29">
        <f>($H114*$F$3)/12*Inputs!$V$27</f>
        <v>148.12979999999999</v>
      </c>
      <c r="AO114" s="29">
        <f>($H114*$F$3)/12*Inputs!$V$27</f>
        <v>148.12979999999999</v>
      </c>
      <c r="AP114" s="29">
        <f>($H114*$F$3)/12*Inputs!$V$27</f>
        <v>148.12979999999999</v>
      </c>
      <c r="AQ114" s="29">
        <f>($H114*$F$3)/12*Inputs!$V$27</f>
        <v>148.12979999999999</v>
      </c>
      <c r="AR114" s="29">
        <f>($H114*$F$3)/12*Inputs!$V$27</f>
        <v>148.12979999999999</v>
      </c>
      <c r="AS114" s="239">
        <f>($H114*$F$3)/12*Inputs!$V$27</f>
        <v>148.12979999999999</v>
      </c>
      <c r="AT114" s="29">
        <f>AH114*(1+Inputs!$C$35)</f>
        <v>151.83304499999997</v>
      </c>
      <c r="AU114" s="29">
        <f>AI114*(1+Inputs!$C$35)</f>
        <v>151.83304499999997</v>
      </c>
      <c r="AV114" s="29">
        <f>AJ114*(1+Inputs!$C$35)</f>
        <v>151.83304499999997</v>
      </c>
      <c r="AW114" s="29">
        <f>AK114*(1+Inputs!$C$35)</f>
        <v>151.83304499999997</v>
      </c>
      <c r="AX114" s="29">
        <f>AL114*(1+Inputs!$C$35)</f>
        <v>151.83304499999997</v>
      </c>
      <c r="AY114" s="29">
        <f>AM114*(1+Inputs!$C$35)</f>
        <v>151.83304499999997</v>
      </c>
      <c r="AZ114" s="29">
        <f>AN114*(1+Inputs!$C$35)</f>
        <v>151.83304499999997</v>
      </c>
      <c r="BA114" s="29">
        <f>AO114*(1+Inputs!$C$35)</f>
        <v>151.83304499999997</v>
      </c>
      <c r="BB114" s="29">
        <f>AP114*(1+Inputs!$C$35)</f>
        <v>151.83304499999997</v>
      </c>
      <c r="BC114" s="29">
        <f>AQ114*(1+Inputs!$C$35)</f>
        <v>151.83304499999997</v>
      </c>
      <c r="BD114" s="29">
        <f>AR114*(1+Inputs!$C$35)</f>
        <v>151.83304499999997</v>
      </c>
      <c r="BE114" s="239">
        <f>AS114*(1+Inputs!$C$35)</f>
        <v>151.83304499999997</v>
      </c>
      <c r="BF114" s="29">
        <f>AT114*(1+Inputs!$C$35)</f>
        <v>155.62887112499996</v>
      </c>
      <c r="BG114" s="29">
        <f>AU114*(1+Inputs!$C$35)</f>
        <v>155.62887112499996</v>
      </c>
      <c r="BH114" s="29">
        <f>AV114*(1+Inputs!$C$35)</f>
        <v>155.62887112499996</v>
      </c>
      <c r="BI114" s="29">
        <f>AW114*(1+Inputs!$C$35)</f>
        <v>155.62887112499996</v>
      </c>
      <c r="BJ114" s="29">
        <f>AX114*(1+Inputs!$C$35)</f>
        <v>155.62887112499996</v>
      </c>
      <c r="BK114" s="29">
        <f>AY114*(1+Inputs!$C$35)</f>
        <v>155.62887112499996</v>
      </c>
      <c r="BL114" s="29">
        <f>AZ114*(1+Inputs!$C$35)</f>
        <v>155.62887112499996</v>
      </c>
      <c r="BM114" s="29">
        <f>BA114*(1+Inputs!$C$35)</f>
        <v>155.62887112499996</v>
      </c>
      <c r="BN114" s="29">
        <f>BB114*(1+Inputs!$C$35)</f>
        <v>155.62887112499996</v>
      </c>
      <c r="BO114" s="29">
        <f>BC114*(1+Inputs!$C$35)</f>
        <v>155.62887112499996</v>
      </c>
      <c r="BP114" s="29">
        <f>BD114*(1+Inputs!$C$35)</f>
        <v>155.62887112499996</v>
      </c>
      <c r="BQ114" s="29">
        <f>BE114*(1+Inputs!$C$35)</f>
        <v>155.62887112499996</v>
      </c>
      <c r="BR114" s="29">
        <f>BF114*(1+Inputs!$C$35)</f>
        <v>159.51959290312496</v>
      </c>
      <c r="BS114" s="29">
        <f>BG114*(1+Inputs!$C$35)</f>
        <v>159.51959290312496</v>
      </c>
      <c r="BT114" s="29">
        <f>BH114*(1+Inputs!$C$35)</f>
        <v>159.51959290312496</v>
      </c>
      <c r="BU114" s="29">
        <f>BI114*(1+Inputs!$C$35)</f>
        <v>159.51959290312496</v>
      </c>
      <c r="BW114" s="29">
        <f t="shared" ref="BW114:CA114" si="147">SUMIF($J$6:$BU$6,BW$9,$J114:$BU114)</f>
        <v>533.26727999999991</v>
      </c>
      <c r="BX114" s="29">
        <f t="shared" si="147"/>
        <v>1066.5345599999998</v>
      </c>
      <c r="BY114" s="29">
        <f t="shared" si="147"/>
        <v>1777.5575999999994</v>
      </c>
      <c r="BZ114" s="29">
        <f t="shared" si="147"/>
        <v>1821.9965399999992</v>
      </c>
      <c r="CA114" s="29">
        <f t="shared" si="147"/>
        <v>1867.5464534999994</v>
      </c>
      <c r="CB114" s="29">
        <f>CA114*(1+Inputs!$C$35)</f>
        <v>1914.2351148374992</v>
      </c>
      <c r="CC114" s="29">
        <f>CB114*(1+Inputs!$C$35)</f>
        <v>1962.0909927084365</v>
      </c>
      <c r="CD114" s="29">
        <f>CC114*(1+Inputs!$C$35)</f>
        <v>2011.1432675261472</v>
      </c>
      <c r="CE114" s="29">
        <f>CD114*(1+Inputs!$C$35)</f>
        <v>2061.4218492143004</v>
      </c>
      <c r="CF114" s="29">
        <f>CE114*(1+Inputs!$C$35)</f>
        <v>2112.9573954446578</v>
      </c>
      <c r="CG114" s="29">
        <f>CF114*(1+Inputs!$C$35)</f>
        <v>2165.7813303307739</v>
      </c>
      <c r="CH114" s="29">
        <f>CG114*(1+Inputs!$C$35)</f>
        <v>2219.9258635890433</v>
      </c>
      <c r="CI114" s="29">
        <f>CH114*(1+Inputs!$C$35)</f>
        <v>2275.4240101787691</v>
      </c>
      <c r="CJ114" s="29">
        <f>CI114*(1+Inputs!$C$35)</f>
        <v>2332.309610433238</v>
      </c>
      <c r="CK114" s="29">
        <f>CJ114*(1+Inputs!$C$35)</f>
        <v>2390.6173506940686</v>
      </c>
    </row>
    <row r="115" spans="1:109" ht="14.25" customHeight="1" x14ac:dyDescent="0.2">
      <c r="A115" s="11">
        <f t="shared" si="58"/>
        <v>0</v>
      </c>
      <c r="B115" s="56">
        <f t="shared" si="136"/>
        <v>6204</v>
      </c>
      <c r="D115" s="56"/>
      <c r="F115" s="56">
        <v>6204</v>
      </c>
      <c r="G115" s="11" t="s">
        <v>156</v>
      </c>
      <c r="H115" s="75">
        <f>VLOOKUP($F115,Inputs!$L:$Q,6,FALSE)</f>
        <v>6.8249999999999995E-3</v>
      </c>
      <c r="I115" s="1"/>
      <c r="J115" s="29">
        <f>($H115*$F$3)/12*Inputs!$V$25</f>
        <v>18.053319374999997</v>
      </c>
      <c r="K115" s="29">
        <f>($H115*$F$3)/12*Inputs!$V$25</f>
        <v>18.053319374999997</v>
      </c>
      <c r="L115" s="29">
        <f>($H115*$F$3)/12*Inputs!$V$25</f>
        <v>18.053319374999997</v>
      </c>
      <c r="M115" s="29">
        <f>($H115*$F$3)/12*Inputs!$V$25</f>
        <v>18.053319374999997</v>
      </c>
      <c r="N115" s="29">
        <f>($H115*$F$3)/12*Inputs!$V$25</f>
        <v>18.053319374999997</v>
      </c>
      <c r="O115" s="29">
        <f>($H115*$F$3)/12*Inputs!$V$25</f>
        <v>18.053319374999997</v>
      </c>
      <c r="P115" s="29">
        <f>($H115*$F$3)/12*Inputs!$V$25</f>
        <v>18.053319374999997</v>
      </c>
      <c r="Q115" s="29">
        <f>($H115*$F$3)/12*Inputs!$V$25</f>
        <v>18.053319374999997</v>
      </c>
      <c r="R115" s="29">
        <f>($H115*$F$3)/12*Inputs!$V$25</f>
        <v>18.053319374999997</v>
      </c>
      <c r="S115" s="29">
        <f>($H115*$F$3)/12*Inputs!$V$25</f>
        <v>18.053319374999997</v>
      </c>
      <c r="T115" s="29">
        <f>($H115*$F$3)/12*Inputs!$V$25</f>
        <v>18.053319374999997</v>
      </c>
      <c r="U115" s="239">
        <f>($H115*$F$3)/12*Inputs!$V$25</f>
        <v>18.053319374999997</v>
      </c>
      <c r="V115" s="29">
        <f>($H115*$F$3)/12*Inputs!$V$26</f>
        <v>36.106638749999995</v>
      </c>
      <c r="W115" s="29">
        <f>($H115*$F$3)/12*Inputs!$V$26</f>
        <v>36.106638749999995</v>
      </c>
      <c r="X115" s="29">
        <f>($H115*$F$3)/12*Inputs!$V$26</f>
        <v>36.106638749999995</v>
      </c>
      <c r="Y115" s="29">
        <f>($H115*$F$3)/12*Inputs!$V$26</f>
        <v>36.106638749999995</v>
      </c>
      <c r="Z115" s="29">
        <f>($H115*$F$3)/12*Inputs!$V$26</f>
        <v>36.106638749999995</v>
      </c>
      <c r="AA115" s="29">
        <f>($H115*$F$3)/12*Inputs!$V$26</f>
        <v>36.106638749999995</v>
      </c>
      <c r="AB115" s="29">
        <f>($H115*$F$3)/12*Inputs!$V$26</f>
        <v>36.106638749999995</v>
      </c>
      <c r="AC115" s="29">
        <f>($H115*$F$3)/12*Inputs!$V$26</f>
        <v>36.106638749999995</v>
      </c>
      <c r="AD115" s="29">
        <f>($H115*$F$3)/12*Inputs!$V$26</f>
        <v>36.106638749999995</v>
      </c>
      <c r="AE115" s="29">
        <f>($H115*$F$3)/12*Inputs!$V$26</f>
        <v>36.106638749999995</v>
      </c>
      <c r="AF115" s="29">
        <f>($H115*$F$3)/12*Inputs!$V$26</f>
        <v>36.106638749999995</v>
      </c>
      <c r="AG115" s="239">
        <f>($H115*$F$3)/12*Inputs!$V$26</f>
        <v>36.106638749999995</v>
      </c>
      <c r="AH115" s="29">
        <f>($H115*$F$3)/12*Inputs!$V$27</f>
        <v>60.177731249999994</v>
      </c>
      <c r="AI115" s="29">
        <f>($H115*$F$3)/12*Inputs!$V$27</f>
        <v>60.177731249999994</v>
      </c>
      <c r="AJ115" s="29">
        <f>($H115*$F$3)/12*Inputs!$V$27</f>
        <v>60.177731249999994</v>
      </c>
      <c r="AK115" s="29">
        <f>($H115*$F$3)/12*Inputs!$V$27</f>
        <v>60.177731249999994</v>
      </c>
      <c r="AL115" s="29">
        <f>($H115*$F$3)/12*Inputs!$V$27</f>
        <v>60.177731249999994</v>
      </c>
      <c r="AM115" s="29">
        <f>($H115*$F$3)/12*Inputs!$V$27</f>
        <v>60.177731249999994</v>
      </c>
      <c r="AN115" s="29">
        <f>($H115*$F$3)/12*Inputs!$V$27</f>
        <v>60.177731249999994</v>
      </c>
      <c r="AO115" s="29">
        <f>($H115*$F$3)/12*Inputs!$V$27</f>
        <v>60.177731249999994</v>
      </c>
      <c r="AP115" s="29">
        <f>($H115*$F$3)/12*Inputs!$V$27</f>
        <v>60.177731249999994</v>
      </c>
      <c r="AQ115" s="29">
        <f>($H115*$F$3)/12*Inputs!$V$27</f>
        <v>60.177731249999994</v>
      </c>
      <c r="AR115" s="29">
        <f>($H115*$F$3)/12*Inputs!$V$27</f>
        <v>60.177731249999994</v>
      </c>
      <c r="AS115" s="239">
        <f>($H115*$F$3)/12*Inputs!$V$27</f>
        <v>60.177731249999994</v>
      </c>
      <c r="AT115" s="29">
        <f>AH115*(1+Inputs!$C$35)</f>
        <v>61.682174531249991</v>
      </c>
      <c r="AU115" s="29">
        <f>AI115*(1+Inputs!$C$35)</f>
        <v>61.682174531249991</v>
      </c>
      <c r="AV115" s="29">
        <f>AJ115*(1+Inputs!$C$35)</f>
        <v>61.682174531249991</v>
      </c>
      <c r="AW115" s="29">
        <f>AK115*(1+Inputs!$C$35)</f>
        <v>61.682174531249991</v>
      </c>
      <c r="AX115" s="29">
        <f>AL115*(1+Inputs!$C$35)</f>
        <v>61.682174531249991</v>
      </c>
      <c r="AY115" s="29">
        <f>AM115*(1+Inputs!$C$35)</f>
        <v>61.682174531249991</v>
      </c>
      <c r="AZ115" s="29">
        <f>AN115*(1+Inputs!$C$35)</f>
        <v>61.682174531249991</v>
      </c>
      <c r="BA115" s="29">
        <f>AO115*(1+Inputs!$C$35)</f>
        <v>61.682174531249991</v>
      </c>
      <c r="BB115" s="29">
        <f>AP115*(1+Inputs!$C$35)</f>
        <v>61.682174531249991</v>
      </c>
      <c r="BC115" s="29">
        <f>AQ115*(1+Inputs!$C$35)</f>
        <v>61.682174531249991</v>
      </c>
      <c r="BD115" s="29">
        <f>AR115*(1+Inputs!$C$35)</f>
        <v>61.682174531249991</v>
      </c>
      <c r="BE115" s="239">
        <f>AS115*(1+Inputs!$C$35)</f>
        <v>61.682174531249991</v>
      </c>
      <c r="BF115" s="29">
        <f>AT115*(1+Inputs!$C$35)</f>
        <v>63.224228894531237</v>
      </c>
      <c r="BG115" s="29">
        <f>AU115*(1+Inputs!$C$35)</f>
        <v>63.224228894531237</v>
      </c>
      <c r="BH115" s="29">
        <f>AV115*(1+Inputs!$C$35)</f>
        <v>63.224228894531237</v>
      </c>
      <c r="BI115" s="29">
        <f>AW115*(1+Inputs!$C$35)</f>
        <v>63.224228894531237</v>
      </c>
      <c r="BJ115" s="29">
        <f>AX115*(1+Inputs!$C$35)</f>
        <v>63.224228894531237</v>
      </c>
      <c r="BK115" s="29">
        <f>AY115*(1+Inputs!$C$35)</f>
        <v>63.224228894531237</v>
      </c>
      <c r="BL115" s="29">
        <f>AZ115*(1+Inputs!$C$35)</f>
        <v>63.224228894531237</v>
      </c>
      <c r="BM115" s="29">
        <f>BA115*(1+Inputs!$C$35)</f>
        <v>63.224228894531237</v>
      </c>
      <c r="BN115" s="29">
        <f>BB115*(1+Inputs!$C$35)</f>
        <v>63.224228894531237</v>
      </c>
      <c r="BO115" s="29">
        <f>BC115*(1+Inputs!$C$35)</f>
        <v>63.224228894531237</v>
      </c>
      <c r="BP115" s="29">
        <f>BD115*(1+Inputs!$C$35)</f>
        <v>63.224228894531237</v>
      </c>
      <c r="BQ115" s="29">
        <f>BE115*(1+Inputs!$C$35)</f>
        <v>63.224228894531237</v>
      </c>
      <c r="BR115" s="29">
        <f>BF115*(1+Inputs!$C$35)</f>
        <v>64.80483461689451</v>
      </c>
      <c r="BS115" s="29">
        <f>BG115*(1+Inputs!$C$35)</f>
        <v>64.80483461689451</v>
      </c>
      <c r="BT115" s="29">
        <f>BH115*(1+Inputs!$C$35)</f>
        <v>64.80483461689451</v>
      </c>
      <c r="BU115" s="29">
        <f>BI115*(1+Inputs!$C$35)</f>
        <v>64.80483461689451</v>
      </c>
      <c r="BW115" s="29">
        <f t="shared" ref="BW115:CA115" si="148">SUMIF($J$6:$BU$6,BW$9,$J115:$BU115)</f>
        <v>216.63983249999998</v>
      </c>
      <c r="BX115" s="29">
        <f t="shared" si="148"/>
        <v>433.27966499999997</v>
      </c>
      <c r="BY115" s="29">
        <f t="shared" si="148"/>
        <v>722.1327749999997</v>
      </c>
      <c r="BZ115" s="29">
        <f t="shared" si="148"/>
        <v>740.18609437499993</v>
      </c>
      <c r="CA115" s="29">
        <f t="shared" si="148"/>
        <v>758.6907467343749</v>
      </c>
      <c r="CB115" s="29">
        <f>CA115*(1+Inputs!$C$35)</f>
        <v>777.65801540273424</v>
      </c>
      <c r="CC115" s="29">
        <f>CB115*(1+Inputs!$C$35)</f>
        <v>797.0994657878025</v>
      </c>
      <c r="CD115" s="29">
        <f>CC115*(1+Inputs!$C$35)</f>
        <v>817.02695243249752</v>
      </c>
      <c r="CE115" s="29">
        <f>CD115*(1+Inputs!$C$35)</f>
        <v>837.45262624330985</v>
      </c>
      <c r="CF115" s="29">
        <f>CE115*(1+Inputs!$C$35)</f>
        <v>858.38894189939253</v>
      </c>
      <c r="CG115" s="29">
        <f>CF115*(1+Inputs!$C$35)</f>
        <v>879.84866544687725</v>
      </c>
      <c r="CH115" s="29">
        <f>CG115*(1+Inputs!$C$35)</f>
        <v>901.84488208304913</v>
      </c>
      <c r="CI115" s="29">
        <f>CH115*(1+Inputs!$C$35)</f>
        <v>924.39100413512529</v>
      </c>
      <c r="CJ115" s="29">
        <f>CI115*(1+Inputs!$C$35)</f>
        <v>947.50077923850336</v>
      </c>
      <c r="CK115" s="29">
        <f>CJ115*(1+Inputs!$C$35)</f>
        <v>971.18829871946582</v>
      </c>
    </row>
    <row r="116" spans="1:109" ht="14.25" customHeight="1" x14ac:dyDescent="0.2">
      <c r="A116" s="11">
        <f t="shared" si="58"/>
        <v>0</v>
      </c>
      <c r="B116" s="56">
        <f t="shared" si="136"/>
        <v>6206</v>
      </c>
      <c r="D116" s="56"/>
      <c r="F116" s="56">
        <v>6206</v>
      </c>
      <c r="G116" s="11" t="s">
        <v>158</v>
      </c>
      <c r="H116" s="75">
        <f>VLOOKUP($F116,Inputs!$L:$Q,6,FALSE)</f>
        <v>6.2999999999999992E-3</v>
      </c>
      <c r="I116" s="1"/>
      <c r="J116" s="29">
        <f>($H116*$F$3)/12*Inputs!$V$25</f>
        <v>16.664602499999997</v>
      </c>
      <c r="K116" s="29">
        <f>($H116*$F$3)/12*Inputs!$V$25</f>
        <v>16.664602499999997</v>
      </c>
      <c r="L116" s="29">
        <f>($H116*$F$3)/12*Inputs!$V$25</f>
        <v>16.664602499999997</v>
      </c>
      <c r="M116" s="29">
        <f>($H116*$F$3)/12*Inputs!$V$25</f>
        <v>16.664602499999997</v>
      </c>
      <c r="N116" s="29">
        <f>($H116*$F$3)/12*Inputs!$V$25</f>
        <v>16.664602499999997</v>
      </c>
      <c r="O116" s="29">
        <f>($H116*$F$3)/12*Inputs!$V$25</f>
        <v>16.664602499999997</v>
      </c>
      <c r="P116" s="29">
        <f>($H116*$F$3)/12*Inputs!$V$25</f>
        <v>16.664602499999997</v>
      </c>
      <c r="Q116" s="29">
        <f>($H116*$F$3)/12*Inputs!$V$25</f>
        <v>16.664602499999997</v>
      </c>
      <c r="R116" s="29">
        <f>($H116*$F$3)/12*Inputs!$V$25</f>
        <v>16.664602499999997</v>
      </c>
      <c r="S116" s="29">
        <f>($H116*$F$3)/12*Inputs!$V$25</f>
        <v>16.664602499999997</v>
      </c>
      <c r="T116" s="29">
        <f>($H116*$F$3)/12*Inputs!$V$25</f>
        <v>16.664602499999997</v>
      </c>
      <c r="U116" s="239">
        <f>($H116*$F$3)/12*Inputs!$V$25</f>
        <v>16.664602499999997</v>
      </c>
      <c r="V116" s="29">
        <f>($H116*$F$3)/12*Inputs!$V$26</f>
        <v>33.329204999999995</v>
      </c>
      <c r="W116" s="29">
        <f>($H116*$F$3)/12*Inputs!$V$26</f>
        <v>33.329204999999995</v>
      </c>
      <c r="X116" s="29">
        <f>($H116*$F$3)/12*Inputs!$V$26</f>
        <v>33.329204999999995</v>
      </c>
      <c r="Y116" s="29">
        <f>($H116*$F$3)/12*Inputs!$V$26</f>
        <v>33.329204999999995</v>
      </c>
      <c r="Z116" s="29">
        <f>($H116*$F$3)/12*Inputs!$V$26</f>
        <v>33.329204999999995</v>
      </c>
      <c r="AA116" s="29">
        <f>($H116*$F$3)/12*Inputs!$V$26</f>
        <v>33.329204999999995</v>
      </c>
      <c r="AB116" s="29">
        <f>($H116*$F$3)/12*Inputs!$V$26</f>
        <v>33.329204999999995</v>
      </c>
      <c r="AC116" s="29">
        <f>($H116*$F$3)/12*Inputs!$V$26</f>
        <v>33.329204999999995</v>
      </c>
      <c r="AD116" s="29">
        <f>($H116*$F$3)/12*Inputs!$V$26</f>
        <v>33.329204999999995</v>
      </c>
      <c r="AE116" s="29">
        <f>($H116*$F$3)/12*Inputs!$V$26</f>
        <v>33.329204999999995</v>
      </c>
      <c r="AF116" s="29">
        <f>($H116*$F$3)/12*Inputs!$V$26</f>
        <v>33.329204999999995</v>
      </c>
      <c r="AG116" s="239">
        <f>($H116*$F$3)/12*Inputs!$V$26</f>
        <v>33.329204999999995</v>
      </c>
      <c r="AH116" s="29">
        <f>($H116*$F$3)/12*Inputs!$V$27</f>
        <v>55.548674999999996</v>
      </c>
      <c r="AI116" s="29">
        <f>($H116*$F$3)/12*Inputs!$V$27</f>
        <v>55.548674999999996</v>
      </c>
      <c r="AJ116" s="29">
        <f>($H116*$F$3)/12*Inputs!$V$27</f>
        <v>55.548674999999996</v>
      </c>
      <c r="AK116" s="29">
        <f>($H116*$F$3)/12*Inputs!$V$27</f>
        <v>55.548674999999996</v>
      </c>
      <c r="AL116" s="29">
        <f>($H116*$F$3)/12*Inputs!$V$27</f>
        <v>55.548674999999996</v>
      </c>
      <c r="AM116" s="29">
        <f>($H116*$F$3)/12*Inputs!$V$27</f>
        <v>55.548674999999996</v>
      </c>
      <c r="AN116" s="29">
        <f>($H116*$F$3)/12*Inputs!$V$27</f>
        <v>55.548674999999996</v>
      </c>
      <c r="AO116" s="29">
        <f>($H116*$F$3)/12*Inputs!$V$27</f>
        <v>55.548674999999996</v>
      </c>
      <c r="AP116" s="29">
        <f>($H116*$F$3)/12*Inputs!$V$27</f>
        <v>55.548674999999996</v>
      </c>
      <c r="AQ116" s="29">
        <f>($H116*$F$3)/12*Inputs!$V$27</f>
        <v>55.548674999999996</v>
      </c>
      <c r="AR116" s="29">
        <f>($H116*$F$3)/12*Inputs!$V$27</f>
        <v>55.548674999999996</v>
      </c>
      <c r="AS116" s="239">
        <f>($H116*$F$3)/12*Inputs!$V$27</f>
        <v>55.548674999999996</v>
      </c>
      <c r="AT116" s="29">
        <f>AH116*(1+Inputs!$C$35)</f>
        <v>56.937391874999989</v>
      </c>
      <c r="AU116" s="29">
        <f>AI116*(1+Inputs!$C$35)</f>
        <v>56.937391874999989</v>
      </c>
      <c r="AV116" s="29">
        <f>AJ116*(1+Inputs!$C$35)</f>
        <v>56.937391874999989</v>
      </c>
      <c r="AW116" s="29">
        <f>AK116*(1+Inputs!$C$35)</f>
        <v>56.937391874999989</v>
      </c>
      <c r="AX116" s="29">
        <f>AL116*(1+Inputs!$C$35)</f>
        <v>56.937391874999989</v>
      </c>
      <c r="AY116" s="29">
        <f>AM116*(1+Inputs!$C$35)</f>
        <v>56.937391874999989</v>
      </c>
      <c r="AZ116" s="29">
        <f>AN116*(1+Inputs!$C$35)</f>
        <v>56.937391874999989</v>
      </c>
      <c r="BA116" s="29">
        <f>AO116*(1+Inputs!$C$35)</f>
        <v>56.937391874999989</v>
      </c>
      <c r="BB116" s="29">
        <f>AP116*(1+Inputs!$C$35)</f>
        <v>56.937391874999989</v>
      </c>
      <c r="BC116" s="29">
        <f>AQ116*(1+Inputs!$C$35)</f>
        <v>56.937391874999989</v>
      </c>
      <c r="BD116" s="29">
        <f>AR116*(1+Inputs!$C$35)</f>
        <v>56.937391874999989</v>
      </c>
      <c r="BE116" s="239">
        <f>AS116*(1+Inputs!$C$35)</f>
        <v>56.937391874999989</v>
      </c>
      <c r="BF116" s="29">
        <f>AT116*(1+Inputs!$C$35)</f>
        <v>58.360826671874982</v>
      </c>
      <c r="BG116" s="29">
        <f>AU116*(1+Inputs!$C$35)</f>
        <v>58.360826671874982</v>
      </c>
      <c r="BH116" s="29">
        <f>AV116*(1+Inputs!$C$35)</f>
        <v>58.360826671874982</v>
      </c>
      <c r="BI116" s="29">
        <f>AW116*(1+Inputs!$C$35)</f>
        <v>58.360826671874982</v>
      </c>
      <c r="BJ116" s="29">
        <f>AX116*(1+Inputs!$C$35)</f>
        <v>58.360826671874982</v>
      </c>
      <c r="BK116" s="29">
        <f>AY116*(1+Inputs!$C$35)</f>
        <v>58.360826671874982</v>
      </c>
      <c r="BL116" s="29">
        <f>AZ116*(1+Inputs!$C$35)</f>
        <v>58.360826671874982</v>
      </c>
      <c r="BM116" s="29">
        <f>BA116*(1+Inputs!$C$35)</f>
        <v>58.360826671874982</v>
      </c>
      <c r="BN116" s="29">
        <f>BB116*(1+Inputs!$C$35)</f>
        <v>58.360826671874982</v>
      </c>
      <c r="BO116" s="29">
        <f>BC116*(1+Inputs!$C$35)</f>
        <v>58.360826671874982</v>
      </c>
      <c r="BP116" s="29">
        <f>BD116*(1+Inputs!$C$35)</f>
        <v>58.360826671874982</v>
      </c>
      <c r="BQ116" s="29">
        <f>BE116*(1+Inputs!$C$35)</f>
        <v>58.360826671874982</v>
      </c>
      <c r="BR116" s="29">
        <f>BF116*(1+Inputs!$C$35)</f>
        <v>59.819847338671849</v>
      </c>
      <c r="BS116" s="29">
        <f>BG116*(1+Inputs!$C$35)</f>
        <v>59.819847338671849</v>
      </c>
      <c r="BT116" s="29">
        <f>BH116*(1+Inputs!$C$35)</f>
        <v>59.819847338671849</v>
      </c>
      <c r="BU116" s="29">
        <f>BI116*(1+Inputs!$C$35)</f>
        <v>59.819847338671849</v>
      </c>
      <c r="BW116" s="29">
        <f t="shared" ref="BW116:CA116" si="149">SUMIF($J$6:$BU$6,BW$9,$J116:$BU116)</f>
        <v>199.97522999999998</v>
      </c>
      <c r="BX116" s="29">
        <f t="shared" si="149"/>
        <v>399.95045999999996</v>
      </c>
      <c r="BY116" s="29">
        <f t="shared" si="149"/>
        <v>666.58409999999992</v>
      </c>
      <c r="BZ116" s="29">
        <f t="shared" si="149"/>
        <v>683.24870249999992</v>
      </c>
      <c r="CA116" s="29">
        <f t="shared" si="149"/>
        <v>700.32992006249981</v>
      </c>
      <c r="CB116" s="29">
        <f>CA116*(1+Inputs!$C$35)</f>
        <v>717.83816806406219</v>
      </c>
      <c r="CC116" s="29">
        <f>CB116*(1+Inputs!$C$35)</f>
        <v>735.78412226566365</v>
      </c>
      <c r="CD116" s="29">
        <f>CC116*(1+Inputs!$C$35)</f>
        <v>754.17872532230513</v>
      </c>
      <c r="CE116" s="29">
        <f>CD116*(1+Inputs!$C$35)</f>
        <v>773.03319345536272</v>
      </c>
      <c r="CF116" s="29">
        <f>CE116*(1+Inputs!$C$35)</f>
        <v>792.35902329174667</v>
      </c>
      <c r="CG116" s="29">
        <f>CF116*(1+Inputs!$C$35)</f>
        <v>812.16799887404022</v>
      </c>
      <c r="CH116" s="29">
        <f>CG116*(1+Inputs!$C$35)</f>
        <v>832.47219884589117</v>
      </c>
      <c r="CI116" s="29">
        <f>CH116*(1+Inputs!$C$35)</f>
        <v>853.28400381703841</v>
      </c>
      <c r="CJ116" s="29">
        <f>CI116*(1+Inputs!$C$35)</f>
        <v>874.61610391246427</v>
      </c>
      <c r="CK116" s="29">
        <f>CJ116*(1+Inputs!$C$35)</f>
        <v>896.48150651027584</v>
      </c>
    </row>
    <row r="117" spans="1:109" ht="14.25" customHeight="1" x14ac:dyDescent="0.2">
      <c r="A117" s="11">
        <f t="shared" si="58"/>
        <v>0</v>
      </c>
      <c r="B117" s="56">
        <f t="shared" si="136"/>
        <v>6321</v>
      </c>
      <c r="D117" s="56"/>
      <c r="F117" s="263">
        <v>6321</v>
      </c>
      <c r="G117" s="17" t="s">
        <v>162</v>
      </c>
      <c r="H117" s="158">
        <f>IF(Inputs!$C$64=TRUE,VLOOKUP($F117,Inputs!$L:$Q,6,FALSE),0)</f>
        <v>0</v>
      </c>
      <c r="I117" s="236"/>
      <c r="J117" s="237">
        <f>($H117*$F$3)/12*Inputs!$V$25/12</f>
        <v>0</v>
      </c>
      <c r="K117" s="237">
        <f>($H117*$F$3)/12*Inputs!$V$25/12</f>
        <v>0</v>
      </c>
      <c r="L117" s="237">
        <f>($H117*$F$3)/12*Inputs!$V$25/12</f>
        <v>0</v>
      </c>
      <c r="M117" s="237">
        <f>($H117*$F$3)/12*Inputs!$V$25/12</f>
        <v>0</v>
      </c>
      <c r="N117" s="237">
        <f>($H117*$F$3)/12*Inputs!$V$25/12</f>
        <v>0</v>
      </c>
      <c r="O117" s="237">
        <f>($H117*$F$3)/12*Inputs!$V$25/12</f>
        <v>0</v>
      </c>
      <c r="P117" s="237">
        <f>($H117*$F$3)/12*Inputs!$V$25/12</f>
        <v>0</v>
      </c>
      <c r="Q117" s="237">
        <f>($H117*$F$3)/12*Inputs!$V$25/12</f>
        <v>0</v>
      </c>
      <c r="R117" s="237">
        <f>($H117*$F$3)/12*Inputs!$V$25/12</f>
        <v>0</v>
      </c>
      <c r="S117" s="237">
        <f>($H117*$F$3)/12*Inputs!$V$25/12</f>
        <v>0</v>
      </c>
      <c r="T117" s="237">
        <f>($H117*$F$3)/12*Inputs!$V$25/12</f>
        <v>0</v>
      </c>
      <c r="U117" s="238">
        <f>($H117*$F$3)/12*Inputs!$V$25/12</f>
        <v>0</v>
      </c>
      <c r="V117" s="237">
        <f>IF(Inputs!$V$29=0,Projection!$H117*Inputs!$V$26,($H117*$F$3)/12*Inputs!$V$26)/12</f>
        <v>0</v>
      </c>
      <c r="W117" s="237">
        <f>IF(Inputs!$V$29=0,Projection!$H117*Inputs!$V$26,($H117*$F$3)/12*Inputs!$V$26)/12</f>
        <v>0</v>
      </c>
      <c r="X117" s="237">
        <f>IF(Inputs!$V$29=0,Projection!$H117*Inputs!$V$26,($H117*$F$3)/12*Inputs!$V$26)/12</f>
        <v>0</v>
      </c>
      <c r="Y117" s="237">
        <f>IF(Inputs!$V$29=0,Projection!$H117*Inputs!$V$26,($H117*$F$3)/12*Inputs!$V$26)/12</f>
        <v>0</v>
      </c>
      <c r="Z117" s="237">
        <f>IF(Inputs!$V$29=0,Projection!$H117*Inputs!$V$26,($H117*$F$3)/12*Inputs!$V$26)/12</f>
        <v>0</v>
      </c>
      <c r="AA117" s="237">
        <f>IF(Inputs!$V$29=0,Projection!$H117*Inputs!$V$26,($H117*$F$3)/12*Inputs!$V$26)/12</f>
        <v>0</v>
      </c>
      <c r="AB117" s="237">
        <f>IF(Inputs!$V$29=0,Projection!$H117*Inputs!$V$26,($H117*$F$3)/12*Inputs!$V$26)/12</f>
        <v>0</v>
      </c>
      <c r="AC117" s="237">
        <f>IF(Inputs!$V$29=0,Projection!$H117*Inputs!$V$26,($H117*$F$3)/12*Inputs!$V$26)/12</f>
        <v>0</v>
      </c>
      <c r="AD117" s="237">
        <f>IF(Inputs!$V$29=0,Projection!$H117*Inputs!$V$26,($H117*$F$3)/12*Inputs!$V$26)/12</f>
        <v>0</v>
      </c>
      <c r="AE117" s="237">
        <f>IF(Inputs!$V$29=0,Projection!$H117*Inputs!$V$26,($H117*$F$3)/12*Inputs!$V$26)/12</f>
        <v>0</v>
      </c>
      <c r="AF117" s="237">
        <f>IF(Inputs!$V$29=0,Projection!$H117*Inputs!$V$26,($H117*$F$3)/12*Inputs!$V$26)/12</f>
        <v>0</v>
      </c>
      <c r="AG117" s="238">
        <f>IF(Inputs!$V$29=0,Projection!$H117*Inputs!$V$26,($H117*$F$3)/12*Inputs!$V$26)/12</f>
        <v>0</v>
      </c>
      <c r="AH117" s="237">
        <f>IF(Inputs!$V$29=0,Projection!$H117*Inputs!$V$27,($H117*$F$3)/12*Inputs!$V$27)/12</f>
        <v>0</v>
      </c>
      <c r="AI117" s="237">
        <f>IF(Inputs!$V$29=0,Projection!$H117*Inputs!$V$27,($H117*$F$3)/12*Inputs!$V$27)/12</f>
        <v>0</v>
      </c>
      <c r="AJ117" s="237">
        <f>IF(Inputs!$V$29=0,Projection!$H117*Inputs!$V$27,($H117*$F$3)/12*Inputs!$V$27)/12</f>
        <v>0</v>
      </c>
      <c r="AK117" s="237">
        <f>IF(Inputs!$V$29=0,Projection!$H117*Inputs!$V$27,($H117*$F$3)/12*Inputs!$V$27)/12</f>
        <v>0</v>
      </c>
      <c r="AL117" s="237">
        <f>IF(Inputs!$V$29=0,Projection!$H117*Inputs!$V$27,($H117*$F$3)/12*Inputs!$V$27)/12</f>
        <v>0</v>
      </c>
      <c r="AM117" s="237">
        <f>IF(Inputs!$V$29=0,Projection!$H117*Inputs!$V$27,($H117*$F$3)/12*Inputs!$V$27)/12</f>
        <v>0</v>
      </c>
      <c r="AN117" s="237">
        <f>IF(Inputs!$V$29=0,Projection!$H117*Inputs!$V$27,($H117*$F$3)/12*Inputs!$V$27)/12</f>
        <v>0</v>
      </c>
      <c r="AO117" s="237">
        <f>IF(Inputs!$V$29=0,Projection!$H117*Inputs!$V$27,($H117*$F$3)/12*Inputs!$V$27)/12</f>
        <v>0</v>
      </c>
      <c r="AP117" s="237">
        <f>IF(Inputs!$V$29=0,Projection!$H117*Inputs!$V$27,($H117*$F$3)/12*Inputs!$V$27)/12</f>
        <v>0</v>
      </c>
      <c r="AQ117" s="237">
        <f>IF(Inputs!$V$29=0,Projection!$H117*Inputs!$V$27,($H117*$F$3)/12*Inputs!$V$27)/12</f>
        <v>0</v>
      </c>
      <c r="AR117" s="237">
        <f>IF(Inputs!$V$29=0,Projection!$H117*Inputs!$V$27,($H117*$F$3)/12*Inputs!$V$27)/12</f>
        <v>0</v>
      </c>
      <c r="AS117" s="238">
        <f>IF(Inputs!$V$29=0,Projection!$H117*Inputs!$V$27,($H117*$F$3)/12*Inputs!$V$27)/12</f>
        <v>0</v>
      </c>
      <c r="AT117" s="237">
        <f>AH117*(1+Inputs!$C$35)</f>
        <v>0</v>
      </c>
      <c r="AU117" s="237">
        <f>AI117*(1+Inputs!$C$35)</f>
        <v>0</v>
      </c>
      <c r="AV117" s="237">
        <f>AJ117*(1+Inputs!$C$35)</f>
        <v>0</v>
      </c>
      <c r="AW117" s="237">
        <f>AK117*(1+Inputs!$C$35)</f>
        <v>0</v>
      </c>
      <c r="AX117" s="237">
        <f>AL117*(1+Inputs!$C$35)</f>
        <v>0</v>
      </c>
      <c r="AY117" s="237">
        <f>AM117*(1+Inputs!$C$35)</f>
        <v>0</v>
      </c>
      <c r="AZ117" s="237">
        <f>AN117*(1+Inputs!$C$35)</f>
        <v>0</v>
      </c>
      <c r="BA117" s="237">
        <f>AO117*(1+Inputs!$C$35)</f>
        <v>0</v>
      </c>
      <c r="BB117" s="237">
        <f>AP117*(1+Inputs!$C$35)</f>
        <v>0</v>
      </c>
      <c r="BC117" s="237">
        <f>AQ117*(1+Inputs!$C$35)</f>
        <v>0</v>
      </c>
      <c r="BD117" s="237">
        <f>AR117*(1+Inputs!$C$35)</f>
        <v>0</v>
      </c>
      <c r="BE117" s="238">
        <f>AS117*(1+Inputs!$C$35)</f>
        <v>0</v>
      </c>
      <c r="BF117" s="237">
        <f>AT117*(1+Inputs!$C$35)</f>
        <v>0</v>
      </c>
      <c r="BG117" s="237">
        <f>AU117*(1+Inputs!$C$35)</f>
        <v>0</v>
      </c>
      <c r="BH117" s="237">
        <f>AV117*(1+Inputs!$C$35)</f>
        <v>0</v>
      </c>
      <c r="BI117" s="237">
        <f>AW117*(1+Inputs!$C$35)</f>
        <v>0</v>
      </c>
      <c r="BJ117" s="237">
        <f>AX117*(1+Inputs!$C$35)</f>
        <v>0</v>
      </c>
      <c r="BK117" s="237">
        <f>AY117*(1+Inputs!$C$35)</f>
        <v>0</v>
      </c>
      <c r="BL117" s="237">
        <f>AZ117*(1+Inputs!$C$35)</f>
        <v>0</v>
      </c>
      <c r="BM117" s="237">
        <f>BA117*(1+Inputs!$C$35)</f>
        <v>0</v>
      </c>
      <c r="BN117" s="237">
        <f>BB117*(1+Inputs!$C$35)</f>
        <v>0</v>
      </c>
      <c r="BO117" s="237">
        <f>BC117*(1+Inputs!$C$35)</f>
        <v>0</v>
      </c>
      <c r="BP117" s="237">
        <f>BD117*(1+Inputs!$C$35)</f>
        <v>0</v>
      </c>
      <c r="BQ117" s="237">
        <f>BE117*(1+Inputs!$C$35)</f>
        <v>0</v>
      </c>
      <c r="BR117" s="237">
        <f>BF117*(1+Inputs!$C$35)</f>
        <v>0</v>
      </c>
      <c r="BS117" s="237">
        <f>BG117*(1+Inputs!$C$35)</f>
        <v>0</v>
      </c>
      <c r="BT117" s="237">
        <f>BH117*(1+Inputs!$C$35)</f>
        <v>0</v>
      </c>
      <c r="BU117" s="237">
        <f>BI117*(1+Inputs!$C$35)</f>
        <v>0</v>
      </c>
      <c r="BW117" s="237">
        <f t="shared" ref="BW117:CA117" si="150">SUMIF($J$6:$BU$6,BW$9,$J117:$BU117)</f>
        <v>0</v>
      </c>
      <c r="BX117" s="237">
        <f t="shared" si="150"/>
        <v>0</v>
      </c>
      <c r="BY117" s="237">
        <f t="shared" si="150"/>
        <v>0</v>
      </c>
      <c r="BZ117" s="237">
        <f t="shared" si="150"/>
        <v>0</v>
      </c>
      <c r="CA117" s="237">
        <f t="shared" si="150"/>
        <v>0</v>
      </c>
      <c r="CB117" s="237">
        <f>CA117*(1+Inputs!$C$35)</f>
        <v>0</v>
      </c>
      <c r="CC117" s="237">
        <f>CB117*(1+Inputs!$C$35)</f>
        <v>0</v>
      </c>
      <c r="CD117" s="237">
        <f>CC117*(1+Inputs!$C$35)</f>
        <v>0</v>
      </c>
      <c r="CE117" s="237">
        <f>CD117*(1+Inputs!$C$35)</f>
        <v>0</v>
      </c>
      <c r="CF117" s="237">
        <f>CE117*(1+Inputs!$C$35)</f>
        <v>0</v>
      </c>
      <c r="CG117" s="237">
        <f>CF117*(1+Inputs!$C$35)</f>
        <v>0</v>
      </c>
      <c r="CH117" s="237">
        <f>CG117*(1+Inputs!$C$35)</f>
        <v>0</v>
      </c>
      <c r="CI117" s="237">
        <f>CH117*(1+Inputs!$C$35)</f>
        <v>0</v>
      </c>
      <c r="CJ117" s="237">
        <f>CI117*(1+Inputs!$C$35)</f>
        <v>0</v>
      </c>
      <c r="CK117" s="237">
        <f>CJ117*(1+Inputs!$C$35)</f>
        <v>0</v>
      </c>
    </row>
    <row r="118" spans="1:109" ht="14.25" customHeight="1" x14ac:dyDescent="0.2">
      <c r="A118" s="283">
        <f t="shared" si="58"/>
        <v>0</v>
      </c>
      <c r="B118" s="284" t="s">
        <v>370</v>
      </c>
      <c r="C118" s="285"/>
      <c r="D118" s="284"/>
      <c r="E118" s="286"/>
      <c r="F118" s="287" t="s">
        <v>371</v>
      </c>
      <c r="G118" s="286"/>
      <c r="H118" s="286"/>
      <c r="I118" s="298"/>
      <c r="J118" s="289">
        <f t="shared" ref="J118:BU118" si="151">SUM(J104:J117)</f>
        <v>555.48674999999992</v>
      </c>
      <c r="K118" s="289">
        <f t="shared" si="151"/>
        <v>555.48674999999992</v>
      </c>
      <c r="L118" s="289">
        <f t="shared" si="151"/>
        <v>555.48674999999992</v>
      </c>
      <c r="M118" s="289">
        <f t="shared" si="151"/>
        <v>555.48674999999992</v>
      </c>
      <c r="N118" s="289">
        <f t="shared" si="151"/>
        <v>555.48674999999992</v>
      </c>
      <c r="O118" s="289">
        <f t="shared" si="151"/>
        <v>555.48674999999992</v>
      </c>
      <c r="P118" s="289">
        <f t="shared" si="151"/>
        <v>555.48674999999992</v>
      </c>
      <c r="Q118" s="289">
        <f t="shared" si="151"/>
        <v>555.48674999999992</v>
      </c>
      <c r="R118" s="289">
        <f t="shared" si="151"/>
        <v>555.48674999999992</v>
      </c>
      <c r="S118" s="289">
        <f t="shared" si="151"/>
        <v>555.48674999999992</v>
      </c>
      <c r="T118" s="289">
        <f t="shared" si="151"/>
        <v>555.48674999999992</v>
      </c>
      <c r="U118" s="290">
        <f t="shared" si="151"/>
        <v>555.48674999999992</v>
      </c>
      <c r="V118" s="289">
        <f t="shared" si="151"/>
        <v>1110.9734999999998</v>
      </c>
      <c r="W118" s="289">
        <f t="shared" si="151"/>
        <v>1110.9734999999998</v>
      </c>
      <c r="X118" s="289">
        <f t="shared" si="151"/>
        <v>1110.9734999999998</v>
      </c>
      <c r="Y118" s="289">
        <f t="shared" si="151"/>
        <v>1110.9734999999998</v>
      </c>
      <c r="Z118" s="289">
        <f t="shared" si="151"/>
        <v>1110.9734999999998</v>
      </c>
      <c r="AA118" s="289">
        <f t="shared" si="151"/>
        <v>1110.9734999999998</v>
      </c>
      <c r="AB118" s="289">
        <f t="shared" si="151"/>
        <v>1110.9734999999998</v>
      </c>
      <c r="AC118" s="289">
        <f t="shared" si="151"/>
        <v>1110.9734999999998</v>
      </c>
      <c r="AD118" s="289">
        <f t="shared" si="151"/>
        <v>1110.9734999999998</v>
      </c>
      <c r="AE118" s="289">
        <f t="shared" si="151"/>
        <v>1110.9734999999998</v>
      </c>
      <c r="AF118" s="289">
        <f t="shared" si="151"/>
        <v>1110.9734999999998</v>
      </c>
      <c r="AG118" s="290">
        <f t="shared" si="151"/>
        <v>1110.9734999999998</v>
      </c>
      <c r="AH118" s="289">
        <f t="shared" si="151"/>
        <v>1851.6224999999997</v>
      </c>
      <c r="AI118" s="289">
        <f t="shared" si="151"/>
        <v>1851.6224999999997</v>
      </c>
      <c r="AJ118" s="289">
        <f t="shared" si="151"/>
        <v>1851.6224999999997</v>
      </c>
      <c r="AK118" s="289">
        <f t="shared" si="151"/>
        <v>1851.6224999999997</v>
      </c>
      <c r="AL118" s="289">
        <f t="shared" si="151"/>
        <v>1851.6224999999997</v>
      </c>
      <c r="AM118" s="289">
        <f t="shared" si="151"/>
        <v>1851.6224999999997</v>
      </c>
      <c r="AN118" s="289">
        <f t="shared" si="151"/>
        <v>1851.6224999999997</v>
      </c>
      <c r="AO118" s="289">
        <f t="shared" si="151"/>
        <v>1851.6224999999997</v>
      </c>
      <c r="AP118" s="289">
        <f t="shared" si="151"/>
        <v>1851.6224999999997</v>
      </c>
      <c r="AQ118" s="289">
        <f t="shared" si="151"/>
        <v>1851.6224999999997</v>
      </c>
      <c r="AR118" s="289">
        <f t="shared" si="151"/>
        <v>1851.6224999999997</v>
      </c>
      <c r="AS118" s="290">
        <f t="shared" si="151"/>
        <v>1851.6224999999997</v>
      </c>
      <c r="AT118" s="289">
        <f t="shared" si="151"/>
        <v>1897.9130624999996</v>
      </c>
      <c r="AU118" s="289">
        <f t="shared" si="151"/>
        <v>1897.9130624999996</v>
      </c>
      <c r="AV118" s="289">
        <f t="shared" si="151"/>
        <v>1897.9130624999996</v>
      </c>
      <c r="AW118" s="289">
        <f t="shared" si="151"/>
        <v>1897.9130624999996</v>
      </c>
      <c r="AX118" s="289">
        <f t="shared" si="151"/>
        <v>1897.9130624999996</v>
      </c>
      <c r="AY118" s="289">
        <f t="shared" si="151"/>
        <v>1897.9130624999996</v>
      </c>
      <c r="AZ118" s="289">
        <f t="shared" si="151"/>
        <v>1897.9130624999996</v>
      </c>
      <c r="BA118" s="289">
        <f t="shared" si="151"/>
        <v>1897.9130624999996</v>
      </c>
      <c r="BB118" s="289">
        <f t="shared" si="151"/>
        <v>1897.9130624999996</v>
      </c>
      <c r="BC118" s="289">
        <f t="shared" si="151"/>
        <v>1897.9130624999996</v>
      </c>
      <c r="BD118" s="289">
        <f t="shared" si="151"/>
        <v>1897.9130624999996</v>
      </c>
      <c r="BE118" s="290">
        <f t="shared" si="151"/>
        <v>1897.9130624999996</v>
      </c>
      <c r="BF118" s="289">
        <f t="shared" si="151"/>
        <v>1945.3608890624994</v>
      </c>
      <c r="BG118" s="289">
        <f t="shared" si="151"/>
        <v>1945.3608890624994</v>
      </c>
      <c r="BH118" s="289">
        <f t="shared" si="151"/>
        <v>1945.3608890624994</v>
      </c>
      <c r="BI118" s="289">
        <f t="shared" si="151"/>
        <v>1945.3608890624994</v>
      </c>
      <c r="BJ118" s="289">
        <f t="shared" si="151"/>
        <v>1945.3608890624994</v>
      </c>
      <c r="BK118" s="289">
        <f t="shared" si="151"/>
        <v>1945.3608890624994</v>
      </c>
      <c r="BL118" s="289">
        <f t="shared" si="151"/>
        <v>1945.3608890624994</v>
      </c>
      <c r="BM118" s="289">
        <f t="shared" si="151"/>
        <v>1945.3608890624994</v>
      </c>
      <c r="BN118" s="289">
        <f t="shared" si="151"/>
        <v>1945.3608890624994</v>
      </c>
      <c r="BO118" s="289">
        <f t="shared" si="151"/>
        <v>1945.3608890624994</v>
      </c>
      <c r="BP118" s="289">
        <f t="shared" si="151"/>
        <v>1945.3608890624994</v>
      </c>
      <c r="BQ118" s="289">
        <f t="shared" si="151"/>
        <v>1945.3608890624994</v>
      </c>
      <c r="BR118" s="289">
        <f t="shared" si="151"/>
        <v>1993.994911289062</v>
      </c>
      <c r="BS118" s="289">
        <f t="shared" si="151"/>
        <v>1993.994911289062</v>
      </c>
      <c r="BT118" s="289">
        <f t="shared" si="151"/>
        <v>1993.994911289062</v>
      </c>
      <c r="BU118" s="289">
        <f t="shared" si="151"/>
        <v>1993.994911289062</v>
      </c>
      <c r="BV118" s="285"/>
      <c r="BW118" s="289">
        <f t="shared" ref="BW118:CK118" si="152">SUM(BW104:BW117)</f>
        <v>6665.8409999999994</v>
      </c>
      <c r="BX118" s="289">
        <f t="shared" si="152"/>
        <v>13331.681999999999</v>
      </c>
      <c r="BY118" s="289">
        <f t="shared" si="152"/>
        <v>22219.469999999998</v>
      </c>
      <c r="BZ118" s="289">
        <f t="shared" si="152"/>
        <v>22774.95674999999</v>
      </c>
      <c r="CA118" s="289">
        <f t="shared" si="152"/>
        <v>23344.330668749993</v>
      </c>
      <c r="CB118" s="289">
        <f t="shared" si="152"/>
        <v>23927.938935468741</v>
      </c>
      <c r="CC118" s="289">
        <f t="shared" si="152"/>
        <v>24526.137408855458</v>
      </c>
      <c r="CD118" s="289">
        <f t="shared" si="152"/>
        <v>25139.290844076841</v>
      </c>
      <c r="CE118" s="289">
        <f t="shared" si="152"/>
        <v>25767.773115178763</v>
      </c>
      <c r="CF118" s="289">
        <f t="shared" si="152"/>
        <v>26411.967443058227</v>
      </c>
      <c r="CG118" s="289">
        <f t="shared" si="152"/>
        <v>27072.26662913468</v>
      </c>
      <c r="CH118" s="289">
        <f t="shared" si="152"/>
        <v>27749.07329486305</v>
      </c>
      <c r="CI118" s="289">
        <f t="shared" si="152"/>
        <v>28442.800127234623</v>
      </c>
      <c r="CJ118" s="289">
        <f t="shared" si="152"/>
        <v>29153.870130415486</v>
      </c>
      <c r="CK118" s="289">
        <f t="shared" si="152"/>
        <v>29882.716883675868</v>
      </c>
      <c r="CL118" s="285"/>
      <c r="CM118" s="285"/>
      <c r="CN118" s="285"/>
      <c r="CO118" s="285"/>
      <c r="CP118" s="285"/>
      <c r="CQ118" s="285"/>
      <c r="CR118" s="285"/>
      <c r="CS118" s="285"/>
      <c r="CT118" s="285"/>
      <c r="CU118" s="285"/>
      <c r="CV118" s="285"/>
      <c r="CW118" s="285"/>
      <c r="CX118" s="285"/>
      <c r="CY118" s="285"/>
      <c r="CZ118" s="285"/>
      <c r="DA118" s="285"/>
      <c r="DB118" s="285"/>
      <c r="DC118" s="285"/>
      <c r="DD118" s="285"/>
      <c r="DE118" s="285"/>
    </row>
    <row r="119" spans="1:109" ht="8.25" customHeight="1" x14ac:dyDescent="0.2">
      <c r="A119" s="11">
        <f t="shared" si="58"/>
        <v>0</v>
      </c>
      <c r="B119" s="249"/>
      <c r="D119" s="249"/>
      <c r="E119" s="3"/>
      <c r="F119" s="249"/>
      <c r="I119" s="1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3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3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3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3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</row>
    <row r="120" spans="1:109" ht="14.25" customHeight="1" x14ac:dyDescent="0.2">
      <c r="A120" s="11">
        <f t="shared" si="58"/>
        <v>0</v>
      </c>
      <c r="B120" s="56"/>
      <c r="F120" s="3" t="s">
        <v>172</v>
      </c>
      <c r="I120" s="1"/>
      <c r="U120" s="203"/>
      <c r="AG120" s="203"/>
      <c r="AS120" s="203"/>
      <c r="BE120" s="203"/>
    </row>
    <row r="121" spans="1:109" ht="14.25" customHeight="1" x14ac:dyDescent="0.2">
      <c r="A121" s="11">
        <f t="shared" si="58"/>
        <v>0</v>
      </c>
      <c r="B121" s="56">
        <f t="shared" ref="B121:B128" si="153">F121</f>
        <v>6122</v>
      </c>
      <c r="D121" s="56"/>
      <c r="F121" s="56">
        <v>6122</v>
      </c>
      <c r="G121" s="11" t="s">
        <v>174</v>
      </c>
      <c r="H121" s="35">
        <f>VLOOKUP($F121,Inputs!$L:$Q,6,FALSE)</f>
        <v>15</v>
      </c>
      <c r="I121" s="1"/>
      <c r="J121" s="29">
        <f t="shared" ref="J121:U121" si="154">$H121</f>
        <v>15</v>
      </c>
      <c r="K121" s="29">
        <f t="shared" si="154"/>
        <v>15</v>
      </c>
      <c r="L121" s="29">
        <f t="shared" si="154"/>
        <v>15</v>
      </c>
      <c r="M121" s="29">
        <f t="shared" si="154"/>
        <v>15</v>
      </c>
      <c r="N121" s="29">
        <f t="shared" si="154"/>
        <v>15</v>
      </c>
      <c r="O121" s="29">
        <f t="shared" si="154"/>
        <v>15</v>
      </c>
      <c r="P121" s="29">
        <f t="shared" si="154"/>
        <v>15</v>
      </c>
      <c r="Q121" s="29">
        <f t="shared" si="154"/>
        <v>15</v>
      </c>
      <c r="R121" s="29">
        <f t="shared" si="154"/>
        <v>15</v>
      </c>
      <c r="S121" s="29">
        <f t="shared" si="154"/>
        <v>15</v>
      </c>
      <c r="T121" s="29">
        <f t="shared" si="154"/>
        <v>15</v>
      </c>
      <c r="U121" s="239">
        <f t="shared" si="154"/>
        <v>15</v>
      </c>
      <c r="V121" s="29">
        <f>J121*(1+Inputs!$C$35)</f>
        <v>15.374999999999998</v>
      </c>
      <c r="W121" s="29">
        <f>K121*(1+Inputs!$C$35)</f>
        <v>15.374999999999998</v>
      </c>
      <c r="X121" s="29">
        <f>L121*(1+Inputs!$C$35)</f>
        <v>15.374999999999998</v>
      </c>
      <c r="Y121" s="29">
        <f>M121*(1+Inputs!$C$35)</f>
        <v>15.374999999999998</v>
      </c>
      <c r="Z121" s="29">
        <f>N121*(1+Inputs!$C$35)</f>
        <v>15.374999999999998</v>
      </c>
      <c r="AA121" s="29">
        <f>O121*(1+Inputs!$C$35)</f>
        <v>15.374999999999998</v>
      </c>
      <c r="AB121" s="29">
        <f>P121*(1+Inputs!$C$35)</f>
        <v>15.374999999999998</v>
      </c>
      <c r="AC121" s="29">
        <f>Q121*(1+Inputs!$C$35)</f>
        <v>15.374999999999998</v>
      </c>
      <c r="AD121" s="29">
        <f>R121*(1+Inputs!$C$35)</f>
        <v>15.374999999999998</v>
      </c>
      <c r="AE121" s="29">
        <f>S121*(1+Inputs!$C$35)</f>
        <v>15.374999999999998</v>
      </c>
      <c r="AF121" s="29">
        <f>T121*(1+Inputs!$C$35)</f>
        <v>15.374999999999998</v>
      </c>
      <c r="AG121" s="239">
        <f>U121*(1+Inputs!$C$35)</f>
        <v>15.374999999999998</v>
      </c>
      <c r="AH121" s="29">
        <f>V121*(1+Inputs!$C$35)</f>
        <v>15.759374999999997</v>
      </c>
      <c r="AI121" s="29">
        <f>W121*(1+Inputs!$C$35)</f>
        <v>15.759374999999997</v>
      </c>
      <c r="AJ121" s="29">
        <f>X121*(1+Inputs!$C$35)</f>
        <v>15.759374999999997</v>
      </c>
      <c r="AK121" s="29">
        <f>Y121*(1+Inputs!$C$35)</f>
        <v>15.759374999999997</v>
      </c>
      <c r="AL121" s="29">
        <f>Z121*(1+Inputs!$C$35)</f>
        <v>15.759374999999997</v>
      </c>
      <c r="AM121" s="29">
        <f>AA121*(1+Inputs!$C$35)</f>
        <v>15.759374999999997</v>
      </c>
      <c r="AN121" s="29">
        <f>AB121*(1+Inputs!$C$35)</f>
        <v>15.759374999999997</v>
      </c>
      <c r="AO121" s="29">
        <f>AC121*(1+Inputs!$C$35)</f>
        <v>15.759374999999997</v>
      </c>
      <c r="AP121" s="29">
        <f>AD121*(1+Inputs!$C$35)</f>
        <v>15.759374999999997</v>
      </c>
      <c r="AQ121" s="29">
        <f>AE121*(1+Inputs!$C$35)</f>
        <v>15.759374999999997</v>
      </c>
      <c r="AR121" s="29">
        <f>AF121*(1+Inputs!$C$35)</f>
        <v>15.759374999999997</v>
      </c>
      <c r="AS121" s="239">
        <f>AG121*(1+Inputs!$C$35)</f>
        <v>15.759374999999997</v>
      </c>
      <c r="AT121" s="29">
        <f>AH121*(1+Inputs!$C$35)</f>
        <v>16.153359374999994</v>
      </c>
      <c r="AU121" s="29">
        <f>AI121*(1+Inputs!$C$35)</f>
        <v>16.153359374999994</v>
      </c>
      <c r="AV121" s="29">
        <f>AJ121*(1+Inputs!$C$35)</f>
        <v>16.153359374999994</v>
      </c>
      <c r="AW121" s="29">
        <f>AK121*(1+Inputs!$C$35)</f>
        <v>16.153359374999994</v>
      </c>
      <c r="AX121" s="29">
        <f>AL121*(1+Inputs!$C$35)</f>
        <v>16.153359374999994</v>
      </c>
      <c r="AY121" s="29">
        <f>AM121*(1+Inputs!$C$35)</f>
        <v>16.153359374999994</v>
      </c>
      <c r="AZ121" s="29">
        <f>AN121*(1+Inputs!$C$35)</f>
        <v>16.153359374999994</v>
      </c>
      <c r="BA121" s="29">
        <f>AO121*(1+Inputs!$C$35)</f>
        <v>16.153359374999994</v>
      </c>
      <c r="BB121" s="29">
        <f>AP121*(1+Inputs!$C$35)</f>
        <v>16.153359374999994</v>
      </c>
      <c r="BC121" s="29">
        <f>AQ121*(1+Inputs!$C$35)</f>
        <v>16.153359374999994</v>
      </c>
      <c r="BD121" s="29">
        <f>AR121*(1+Inputs!$C$35)</f>
        <v>16.153359374999994</v>
      </c>
      <c r="BE121" s="239">
        <f>AS121*(1+Inputs!$C$35)</f>
        <v>16.153359374999994</v>
      </c>
      <c r="BF121" s="29">
        <f>AT121*(1+Inputs!$C$35)</f>
        <v>16.557193359374992</v>
      </c>
      <c r="BG121" s="29">
        <f>AU121*(1+Inputs!$C$35)</f>
        <v>16.557193359374992</v>
      </c>
      <c r="BH121" s="29">
        <f>AV121*(1+Inputs!$C$35)</f>
        <v>16.557193359374992</v>
      </c>
      <c r="BI121" s="29">
        <f>AW121*(1+Inputs!$C$35)</f>
        <v>16.557193359374992</v>
      </c>
      <c r="BJ121" s="29">
        <f>AX121*(1+Inputs!$C$35)</f>
        <v>16.557193359374992</v>
      </c>
      <c r="BK121" s="29">
        <f>AY121*(1+Inputs!$C$35)</f>
        <v>16.557193359374992</v>
      </c>
      <c r="BL121" s="29">
        <f>AZ121*(1+Inputs!$C$35)</f>
        <v>16.557193359374992</v>
      </c>
      <c r="BM121" s="29">
        <f>BA121*(1+Inputs!$C$35)</f>
        <v>16.557193359374992</v>
      </c>
      <c r="BN121" s="29">
        <f>BB121*(1+Inputs!$C$35)</f>
        <v>16.557193359374992</v>
      </c>
      <c r="BO121" s="29">
        <f>BC121*(1+Inputs!$C$35)</f>
        <v>16.557193359374992</v>
      </c>
      <c r="BP121" s="29">
        <f>BD121*(1+Inputs!$C$35)</f>
        <v>16.557193359374992</v>
      </c>
      <c r="BQ121" s="29">
        <f>BE121*(1+Inputs!$C$35)</f>
        <v>16.557193359374992</v>
      </c>
      <c r="BR121" s="29">
        <f>BF121*(1+Inputs!$C$35)</f>
        <v>16.971123193359364</v>
      </c>
      <c r="BS121" s="29">
        <f>BG121*(1+Inputs!$C$35)</f>
        <v>16.971123193359364</v>
      </c>
      <c r="BT121" s="29">
        <f>BH121*(1+Inputs!$C$35)</f>
        <v>16.971123193359364</v>
      </c>
      <c r="BU121" s="29">
        <f>BI121*(1+Inputs!$C$35)</f>
        <v>16.971123193359364</v>
      </c>
      <c r="BW121" s="29">
        <f t="shared" ref="BW121:CA121" si="155">SUMIF($J$6:$BU$6,BW$9,$J121:$BU121)</f>
        <v>180</v>
      </c>
      <c r="BX121" s="29">
        <f t="shared" si="155"/>
        <v>184.49999999999997</v>
      </c>
      <c r="BY121" s="29">
        <f t="shared" si="155"/>
        <v>189.11249999999998</v>
      </c>
      <c r="BZ121" s="29">
        <f t="shared" si="155"/>
        <v>193.84031249999987</v>
      </c>
      <c r="CA121" s="29">
        <f t="shared" si="155"/>
        <v>198.6863203124999</v>
      </c>
      <c r="CB121" s="29">
        <f>CA121*(1+Inputs!$C$35)</f>
        <v>203.65347832031239</v>
      </c>
      <c r="CC121" s="29">
        <f>CB121*(1+Inputs!$C$35)</f>
        <v>208.74481527832017</v>
      </c>
      <c r="CD121" s="29">
        <f>CC121*(1+Inputs!$C$35)</f>
        <v>213.96343566027815</v>
      </c>
      <c r="CE121" s="29">
        <f>CD121*(1+Inputs!$C$35)</f>
        <v>219.3125215517851</v>
      </c>
      <c r="CF121" s="29">
        <f>CE121*(1+Inputs!$C$35)</f>
        <v>224.7953345905797</v>
      </c>
      <c r="CG121" s="29">
        <f>CF121*(1+Inputs!$C$35)</f>
        <v>230.41521795534416</v>
      </c>
      <c r="CH121" s="29">
        <f>CG121*(1+Inputs!$C$35)</f>
        <v>236.17559840422774</v>
      </c>
      <c r="CI121" s="29">
        <f>CH121*(1+Inputs!$C$35)</f>
        <v>242.07998836433342</v>
      </c>
      <c r="CJ121" s="29">
        <f>CI121*(1+Inputs!$C$35)</f>
        <v>248.13198807344173</v>
      </c>
      <c r="CK121" s="29">
        <f>CJ121*(1+Inputs!$C$35)</f>
        <v>254.33528777527775</v>
      </c>
    </row>
    <row r="122" spans="1:109" ht="14.25" customHeight="1" x14ac:dyDescent="0.2">
      <c r="A122" s="11">
        <f t="shared" si="58"/>
        <v>0</v>
      </c>
      <c r="B122" s="56">
        <f t="shared" si="153"/>
        <v>6152</v>
      </c>
      <c r="D122" s="56"/>
      <c r="F122" s="56">
        <v>6152</v>
      </c>
      <c r="G122" s="11" t="s">
        <v>178</v>
      </c>
      <c r="H122" s="35">
        <f>VLOOKUP($F122,Inputs!$L:$Q,6,FALSE)</f>
        <v>175</v>
      </c>
      <c r="I122" s="1"/>
      <c r="J122" s="29">
        <f>H122</f>
        <v>175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f>H122*Inputs!Q4</f>
        <v>175</v>
      </c>
      <c r="W122" s="29">
        <f>K122*(1+Inputs!$C$35)</f>
        <v>0</v>
      </c>
      <c r="X122" s="29">
        <f>L122*(1+Inputs!$C$35)</f>
        <v>0</v>
      </c>
      <c r="Y122" s="29">
        <f>M122*(1+Inputs!$C$35)</f>
        <v>0</v>
      </c>
      <c r="Z122" s="29">
        <f>N122*(1+Inputs!$C$35)</f>
        <v>0</v>
      </c>
      <c r="AA122" s="29">
        <f>O122*(1+Inputs!$C$35)</f>
        <v>0</v>
      </c>
      <c r="AB122" s="29">
        <f>P122*(1+Inputs!$C$35)</f>
        <v>0</v>
      </c>
      <c r="AC122" s="29">
        <f>Q122*(1+Inputs!$C$35)</f>
        <v>0</v>
      </c>
      <c r="AD122" s="29">
        <f>R122*(1+Inputs!$C$35)</f>
        <v>0</v>
      </c>
      <c r="AE122" s="29">
        <f>S122*(1+Inputs!$C$35)</f>
        <v>0</v>
      </c>
      <c r="AF122" s="29">
        <f>T122*(1+Inputs!$C$35)</f>
        <v>0</v>
      </c>
      <c r="AG122" s="239">
        <f>U122*(1+Inputs!$C$35)</f>
        <v>0</v>
      </c>
      <c r="AH122" s="29">
        <f>V122</f>
        <v>175</v>
      </c>
      <c r="AI122" s="29">
        <f>W122*(1+Inputs!$C$35)</f>
        <v>0</v>
      </c>
      <c r="AJ122" s="29">
        <f>X122*(1+Inputs!$C$35)</f>
        <v>0</v>
      </c>
      <c r="AK122" s="29">
        <f>Y122*(1+Inputs!$C$35)</f>
        <v>0</v>
      </c>
      <c r="AL122" s="29">
        <f>Z122*(1+Inputs!$C$35)</f>
        <v>0</v>
      </c>
      <c r="AM122" s="29">
        <f>AA122*(1+Inputs!$C$35)</f>
        <v>0</v>
      </c>
      <c r="AN122" s="29">
        <f>AB122*(1+Inputs!$C$35)</f>
        <v>0</v>
      </c>
      <c r="AO122" s="29">
        <f>AC122*(1+Inputs!$C$35)</f>
        <v>0</v>
      </c>
      <c r="AP122" s="29">
        <f>AD122*(1+Inputs!$C$35)</f>
        <v>0</v>
      </c>
      <c r="AQ122" s="29">
        <f>AE122*(1+Inputs!$C$35)</f>
        <v>0</v>
      </c>
      <c r="AR122" s="29">
        <f>AF122*(1+Inputs!$C$35)</f>
        <v>0</v>
      </c>
      <c r="AS122" s="239">
        <f>AG122*(1+Inputs!$C$35)</f>
        <v>0</v>
      </c>
      <c r="AT122" s="29">
        <f>AH122</f>
        <v>175</v>
      </c>
      <c r="AU122" s="29">
        <f>AI122*(1+Inputs!$C$35)</f>
        <v>0</v>
      </c>
      <c r="AV122" s="29">
        <f>AJ122*(1+Inputs!$C$35)</f>
        <v>0</v>
      </c>
      <c r="AW122" s="29">
        <f>AK122*(1+Inputs!$C$35)</f>
        <v>0</v>
      </c>
      <c r="AX122" s="29">
        <f>AL122*(1+Inputs!$C$35)</f>
        <v>0</v>
      </c>
      <c r="AY122" s="29">
        <f>AM122*(1+Inputs!$C$35)</f>
        <v>0</v>
      </c>
      <c r="AZ122" s="29">
        <f>AN122*(1+Inputs!$C$35)</f>
        <v>0</v>
      </c>
      <c r="BA122" s="29">
        <f>AO122*(1+Inputs!$C$35)</f>
        <v>0</v>
      </c>
      <c r="BB122" s="29">
        <f>AP122*(1+Inputs!$C$35)</f>
        <v>0</v>
      </c>
      <c r="BC122" s="29">
        <f>AQ122*(1+Inputs!$C$35)</f>
        <v>0</v>
      </c>
      <c r="BD122" s="29">
        <f>AR122*(1+Inputs!$C$35)</f>
        <v>0</v>
      </c>
      <c r="BE122" s="239">
        <f>AS122*(1+Inputs!$C$35)</f>
        <v>0</v>
      </c>
      <c r="BF122" s="29">
        <f>AT122</f>
        <v>175</v>
      </c>
      <c r="BG122" s="29">
        <f>AU122*(1+Inputs!$C$35)</f>
        <v>0</v>
      </c>
      <c r="BH122" s="29">
        <f>AV122*(1+Inputs!$C$35)</f>
        <v>0</v>
      </c>
      <c r="BI122" s="29">
        <f>AW122*(1+Inputs!$C$35)</f>
        <v>0</v>
      </c>
      <c r="BJ122" s="29">
        <f>AX122*(1+Inputs!$C$35)</f>
        <v>0</v>
      </c>
      <c r="BK122" s="29">
        <f>AY122*(1+Inputs!$C$35)</f>
        <v>0</v>
      </c>
      <c r="BL122" s="29">
        <f>AZ122*(1+Inputs!$C$35)</f>
        <v>0</v>
      </c>
      <c r="BM122" s="29">
        <f>BA122*(1+Inputs!$C$35)</f>
        <v>0</v>
      </c>
      <c r="BN122" s="29">
        <f>BB122*(1+Inputs!$C$35)</f>
        <v>0</v>
      </c>
      <c r="BO122" s="29">
        <f>BC122*(1+Inputs!$C$35)</f>
        <v>0</v>
      </c>
      <c r="BP122" s="29">
        <f>BD122*(1+Inputs!$C$35)</f>
        <v>0</v>
      </c>
      <c r="BQ122" s="29">
        <f>BE122*(1+Inputs!$C$35)</f>
        <v>0</v>
      </c>
      <c r="BR122" s="29">
        <f>BF122</f>
        <v>175</v>
      </c>
      <c r="BS122" s="29">
        <f>BG122*(1+Inputs!$C$35)</f>
        <v>0</v>
      </c>
      <c r="BT122" s="29">
        <f>BH122*(1+Inputs!$C$35)</f>
        <v>0</v>
      </c>
      <c r="BU122" s="29">
        <f>BI122*(1+Inputs!$C$35)</f>
        <v>0</v>
      </c>
      <c r="BW122" s="29">
        <f t="shared" ref="BW122:CA122" si="156">SUMIF($J$6:$BU$6,BW$9,$J122:$BU122)</f>
        <v>175</v>
      </c>
      <c r="BX122" s="29">
        <f t="shared" si="156"/>
        <v>175</v>
      </c>
      <c r="BY122" s="29">
        <f t="shared" si="156"/>
        <v>175</v>
      </c>
      <c r="BZ122" s="29">
        <f t="shared" si="156"/>
        <v>175</v>
      </c>
      <c r="CA122" s="29">
        <f t="shared" si="156"/>
        <v>175</v>
      </c>
      <c r="CB122" s="29">
        <f>CA122*(1+Inputs!$C$35)</f>
        <v>179.37499999999997</v>
      </c>
      <c r="CC122" s="29">
        <f>CB122*(1+Inputs!$C$35)</f>
        <v>183.85937499999994</v>
      </c>
      <c r="CD122" s="29">
        <f>CC122*(1+Inputs!$C$35)</f>
        <v>188.45585937499993</v>
      </c>
      <c r="CE122" s="29">
        <f>CD122*(1+Inputs!$C$35)</f>
        <v>193.1672558593749</v>
      </c>
      <c r="CF122" s="29">
        <f>CE122*(1+Inputs!$C$35)</f>
        <v>197.99643725585926</v>
      </c>
      <c r="CG122" s="29">
        <f>CF122*(1+Inputs!$C$35)</f>
        <v>202.94634818725572</v>
      </c>
      <c r="CH122" s="29">
        <f>CG122*(1+Inputs!$C$35)</f>
        <v>208.0200068919371</v>
      </c>
      <c r="CI122" s="29">
        <f>CH122*(1+Inputs!$C$35)</f>
        <v>213.22050706423551</v>
      </c>
      <c r="CJ122" s="29">
        <f>CI122*(1+Inputs!$C$35)</f>
        <v>218.55101974084138</v>
      </c>
      <c r="CK122" s="29">
        <f>CJ122*(1+Inputs!$C$35)</f>
        <v>224.0147952343624</v>
      </c>
    </row>
    <row r="123" spans="1:109" ht="14.25" customHeight="1" x14ac:dyDescent="0.2">
      <c r="A123" s="11">
        <f t="shared" si="58"/>
        <v>0</v>
      </c>
      <c r="B123" s="56">
        <f t="shared" si="153"/>
        <v>6156</v>
      </c>
      <c r="D123" s="56"/>
      <c r="F123" s="56">
        <v>6156</v>
      </c>
      <c r="G123" s="11" t="s">
        <v>372</v>
      </c>
      <c r="H123" s="35">
        <v>0</v>
      </c>
      <c r="I123" s="1"/>
      <c r="J123" s="29">
        <f t="shared" ref="J123:U123" si="157">$H123</f>
        <v>0</v>
      </c>
      <c r="K123" s="29">
        <f t="shared" si="157"/>
        <v>0</v>
      </c>
      <c r="L123" s="29">
        <f t="shared" si="157"/>
        <v>0</v>
      </c>
      <c r="M123" s="29">
        <f t="shared" si="157"/>
        <v>0</v>
      </c>
      <c r="N123" s="29">
        <f t="shared" si="157"/>
        <v>0</v>
      </c>
      <c r="O123" s="29">
        <f t="shared" si="157"/>
        <v>0</v>
      </c>
      <c r="P123" s="29">
        <f t="shared" si="157"/>
        <v>0</v>
      </c>
      <c r="Q123" s="29">
        <f t="shared" si="157"/>
        <v>0</v>
      </c>
      <c r="R123" s="29">
        <f t="shared" si="157"/>
        <v>0</v>
      </c>
      <c r="S123" s="29">
        <f t="shared" si="157"/>
        <v>0</v>
      </c>
      <c r="T123" s="29">
        <f t="shared" si="157"/>
        <v>0</v>
      </c>
      <c r="U123" s="239">
        <f t="shared" si="157"/>
        <v>0</v>
      </c>
      <c r="V123" s="29">
        <f>J123*(1+Inputs!$C$35)</f>
        <v>0</v>
      </c>
      <c r="W123" s="29">
        <f>K123*(1+Inputs!$C$35)</f>
        <v>0</v>
      </c>
      <c r="X123" s="29">
        <f>L123*(1+Inputs!$C$35)</f>
        <v>0</v>
      </c>
      <c r="Y123" s="29">
        <f>M123*(1+Inputs!$C$35)</f>
        <v>0</v>
      </c>
      <c r="Z123" s="29">
        <f>N123*(1+Inputs!$C$35)</f>
        <v>0</v>
      </c>
      <c r="AA123" s="29">
        <f>O123*(1+Inputs!$C$35)</f>
        <v>0</v>
      </c>
      <c r="AB123" s="29">
        <f>P123*(1+Inputs!$C$35)</f>
        <v>0</v>
      </c>
      <c r="AC123" s="29">
        <f>Q123*(1+Inputs!$C$35)</f>
        <v>0</v>
      </c>
      <c r="AD123" s="29">
        <f>R123*(1+Inputs!$C$35)</f>
        <v>0</v>
      </c>
      <c r="AE123" s="29">
        <f>S123*(1+Inputs!$C$35)</f>
        <v>0</v>
      </c>
      <c r="AF123" s="29">
        <f>T123*(1+Inputs!$C$35)</f>
        <v>0</v>
      </c>
      <c r="AG123" s="239">
        <f>U123*(1+Inputs!$C$35)</f>
        <v>0</v>
      </c>
      <c r="AH123" s="29">
        <f>V123*(1+Inputs!$C$35)</f>
        <v>0</v>
      </c>
      <c r="AI123" s="29">
        <f>W123*(1+Inputs!$C$35)</f>
        <v>0</v>
      </c>
      <c r="AJ123" s="29">
        <f>X123*(1+Inputs!$C$35)</f>
        <v>0</v>
      </c>
      <c r="AK123" s="29">
        <f>Y123*(1+Inputs!$C$35)</f>
        <v>0</v>
      </c>
      <c r="AL123" s="29">
        <f>Z123*(1+Inputs!$C$35)</f>
        <v>0</v>
      </c>
      <c r="AM123" s="29">
        <f>AA123*(1+Inputs!$C$35)</f>
        <v>0</v>
      </c>
      <c r="AN123" s="29">
        <f>AB123*(1+Inputs!$C$35)</f>
        <v>0</v>
      </c>
      <c r="AO123" s="29">
        <f>AC123*(1+Inputs!$C$35)</f>
        <v>0</v>
      </c>
      <c r="AP123" s="29">
        <f>AD123*(1+Inputs!$C$35)</f>
        <v>0</v>
      </c>
      <c r="AQ123" s="29">
        <f>AE123*(1+Inputs!$C$35)</f>
        <v>0</v>
      </c>
      <c r="AR123" s="29">
        <f>AF123*(1+Inputs!$C$35)</f>
        <v>0</v>
      </c>
      <c r="AS123" s="239">
        <f>AG123*(1+Inputs!$C$35)</f>
        <v>0</v>
      </c>
      <c r="AT123" s="29">
        <f>AH123*(1+Inputs!$C$35)</f>
        <v>0</v>
      </c>
      <c r="AU123" s="29">
        <f>AI123*(1+Inputs!$C$35)</f>
        <v>0</v>
      </c>
      <c r="AV123" s="29">
        <f>AJ123*(1+Inputs!$C$35)</f>
        <v>0</v>
      </c>
      <c r="AW123" s="29">
        <f>AK123*(1+Inputs!$C$35)</f>
        <v>0</v>
      </c>
      <c r="AX123" s="29">
        <f>AL123*(1+Inputs!$C$35)</f>
        <v>0</v>
      </c>
      <c r="AY123" s="29">
        <f>AM123*(1+Inputs!$C$35)</f>
        <v>0</v>
      </c>
      <c r="AZ123" s="29">
        <f>AN123*(1+Inputs!$C$35)</f>
        <v>0</v>
      </c>
      <c r="BA123" s="29">
        <f>AO123*(1+Inputs!$C$35)</f>
        <v>0</v>
      </c>
      <c r="BB123" s="29">
        <f>AP123*(1+Inputs!$C$35)</f>
        <v>0</v>
      </c>
      <c r="BC123" s="29">
        <f>AQ123*(1+Inputs!$C$35)</f>
        <v>0</v>
      </c>
      <c r="BD123" s="29">
        <f>AR123*(1+Inputs!$C$35)</f>
        <v>0</v>
      </c>
      <c r="BE123" s="239">
        <f>AS123*(1+Inputs!$C$35)</f>
        <v>0</v>
      </c>
      <c r="BF123" s="29">
        <f>AT123*(1+Inputs!$C$35)</f>
        <v>0</v>
      </c>
      <c r="BG123" s="29">
        <f>AU123*(1+Inputs!$C$35)</f>
        <v>0</v>
      </c>
      <c r="BH123" s="29">
        <f>AV123*(1+Inputs!$C$35)</f>
        <v>0</v>
      </c>
      <c r="BI123" s="29">
        <f>AW123*(1+Inputs!$C$35)</f>
        <v>0</v>
      </c>
      <c r="BJ123" s="29">
        <f>AX123*(1+Inputs!$C$35)</f>
        <v>0</v>
      </c>
      <c r="BK123" s="29">
        <f>AY123*(1+Inputs!$C$35)</f>
        <v>0</v>
      </c>
      <c r="BL123" s="29">
        <f>AZ123*(1+Inputs!$C$35)</f>
        <v>0</v>
      </c>
      <c r="BM123" s="29">
        <f>BA123*(1+Inputs!$C$35)</f>
        <v>0</v>
      </c>
      <c r="BN123" s="29">
        <f>BB123*(1+Inputs!$C$35)</f>
        <v>0</v>
      </c>
      <c r="BO123" s="29">
        <f>BC123*(1+Inputs!$C$35)</f>
        <v>0</v>
      </c>
      <c r="BP123" s="29">
        <f>BD123*(1+Inputs!$C$35)</f>
        <v>0</v>
      </c>
      <c r="BQ123" s="29">
        <f>BE123*(1+Inputs!$C$35)</f>
        <v>0</v>
      </c>
      <c r="BR123" s="29">
        <f>BF123*(1+Inputs!$C$35)</f>
        <v>0</v>
      </c>
      <c r="BS123" s="29">
        <f>BG123*(1+Inputs!$C$35)</f>
        <v>0</v>
      </c>
      <c r="BT123" s="29">
        <f>BH123*(1+Inputs!$C$35)</f>
        <v>0</v>
      </c>
      <c r="BU123" s="29">
        <f>BI123*(1+Inputs!$C$35)</f>
        <v>0</v>
      </c>
      <c r="BW123" s="29">
        <f t="shared" ref="BW123:CA123" si="158">SUMIF($J$6:$BU$6,BW$9,$J123:$BU123)</f>
        <v>0</v>
      </c>
      <c r="BX123" s="29">
        <f t="shared" si="158"/>
        <v>0</v>
      </c>
      <c r="BY123" s="29">
        <f t="shared" si="158"/>
        <v>0</v>
      </c>
      <c r="BZ123" s="29">
        <f t="shared" si="158"/>
        <v>0</v>
      </c>
      <c r="CA123" s="29">
        <f t="shared" si="158"/>
        <v>0</v>
      </c>
      <c r="CB123" s="29">
        <f>CA123*(1+Inputs!$C$35)</f>
        <v>0</v>
      </c>
      <c r="CC123" s="29">
        <f>CB123*(1+Inputs!$C$35)</f>
        <v>0</v>
      </c>
      <c r="CD123" s="29">
        <f>CC123*(1+Inputs!$C$35)</f>
        <v>0</v>
      </c>
      <c r="CE123" s="29">
        <f>CD123*(1+Inputs!$C$35)</f>
        <v>0</v>
      </c>
      <c r="CF123" s="29">
        <f>CE123*(1+Inputs!$C$35)</f>
        <v>0</v>
      </c>
      <c r="CG123" s="29">
        <f>CF123*(1+Inputs!$C$35)</f>
        <v>0</v>
      </c>
      <c r="CH123" s="29">
        <f>CG123*(1+Inputs!$C$35)</f>
        <v>0</v>
      </c>
      <c r="CI123" s="29">
        <f>CH123*(1+Inputs!$C$35)</f>
        <v>0</v>
      </c>
      <c r="CJ123" s="29">
        <f>CI123*(1+Inputs!$C$35)</f>
        <v>0</v>
      </c>
      <c r="CK123" s="29">
        <f>CJ123*(1+Inputs!$C$35)</f>
        <v>0</v>
      </c>
    </row>
    <row r="124" spans="1:109" ht="14.25" customHeight="1" x14ac:dyDescent="0.2">
      <c r="A124" s="11">
        <f t="shared" si="58"/>
        <v>0</v>
      </c>
      <c r="B124" s="56">
        <f t="shared" si="153"/>
        <v>6159</v>
      </c>
      <c r="D124" s="56"/>
      <c r="F124" s="56">
        <v>6159</v>
      </c>
      <c r="G124" s="11" t="s">
        <v>173</v>
      </c>
      <c r="H124" s="35">
        <f>Inputs!C38</f>
        <v>0</v>
      </c>
      <c r="I124" s="1"/>
      <c r="J124" s="29">
        <f t="shared" ref="J124:U124" si="159">$H124</f>
        <v>0</v>
      </c>
      <c r="K124" s="29">
        <f t="shared" si="159"/>
        <v>0</v>
      </c>
      <c r="L124" s="29">
        <f t="shared" si="159"/>
        <v>0</v>
      </c>
      <c r="M124" s="29">
        <f t="shared" si="159"/>
        <v>0</v>
      </c>
      <c r="N124" s="29">
        <f t="shared" si="159"/>
        <v>0</v>
      </c>
      <c r="O124" s="29">
        <f t="shared" si="159"/>
        <v>0</v>
      </c>
      <c r="P124" s="29">
        <f t="shared" si="159"/>
        <v>0</v>
      </c>
      <c r="Q124" s="29">
        <f t="shared" si="159"/>
        <v>0</v>
      </c>
      <c r="R124" s="29">
        <f t="shared" si="159"/>
        <v>0</v>
      </c>
      <c r="S124" s="29">
        <f t="shared" si="159"/>
        <v>0</v>
      </c>
      <c r="T124" s="29">
        <f t="shared" si="159"/>
        <v>0</v>
      </c>
      <c r="U124" s="239">
        <f t="shared" si="159"/>
        <v>0</v>
      </c>
      <c r="V124" s="29">
        <f>J124*(1+Inputs!$C$35)</f>
        <v>0</v>
      </c>
      <c r="W124" s="29">
        <f>K124*(1+Inputs!$C$35)</f>
        <v>0</v>
      </c>
      <c r="X124" s="29">
        <f>L124*(1+Inputs!$C$35)</f>
        <v>0</v>
      </c>
      <c r="Y124" s="29">
        <f>M124*(1+Inputs!$C$35)</f>
        <v>0</v>
      </c>
      <c r="Z124" s="29">
        <f>N124*(1+Inputs!$C$35)</f>
        <v>0</v>
      </c>
      <c r="AA124" s="29">
        <f>O124*(1+Inputs!$C$35)</f>
        <v>0</v>
      </c>
      <c r="AB124" s="29">
        <f>P124*(1+Inputs!$C$35)</f>
        <v>0</v>
      </c>
      <c r="AC124" s="29">
        <f>Q124*(1+Inputs!$C$35)</f>
        <v>0</v>
      </c>
      <c r="AD124" s="29">
        <f>R124*(1+Inputs!$C$35)</f>
        <v>0</v>
      </c>
      <c r="AE124" s="29">
        <f>S124*(1+Inputs!$C$35)</f>
        <v>0</v>
      </c>
      <c r="AF124" s="29">
        <f>T124*(1+Inputs!$C$35)</f>
        <v>0</v>
      </c>
      <c r="AG124" s="239">
        <f>U124*(1+Inputs!$C$35)</f>
        <v>0</v>
      </c>
      <c r="AH124" s="29">
        <f>V124*(1+Inputs!$C$35)</f>
        <v>0</v>
      </c>
      <c r="AI124" s="29">
        <f>W124*(1+Inputs!$C$35)</f>
        <v>0</v>
      </c>
      <c r="AJ124" s="29">
        <f>X124*(1+Inputs!$C$35)</f>
        <v>0</v>
      </c>
      <c r="AK124" s="29">
        <f>Y124*(1+Inputs!$C$35)</f>
        <v>0</v>
      </c>
      <c r="AL124" s="29">
        <f>Z124*(1+Inputs!$C$35)</f>
        <v>0</v>
      </c>
      <c r="AM124" s="29">
        <f>AA124*(1+Inputs!$C$35)</f>
        <v>0</v>
      </c>
      <c r="AN124" s="29">
        <f>AB124*(1+Inputs!$C$35)</f>
        <v>0</v>
      </c>
      <c r="AO124" s="29">
        <f>AC124*(1+Inputs!$C$35)</f>
        <v>0</v>
      </c>
      <c r="AP124" s="29">
        <f>AD124*(1+Inputs!$C$35)</f>
        <v>0</v>
      </c>
      <c r="AQ124" s="29">
        <f>AE124*(1+Inputs!$C$35)</f>
        <v>0</v>
      </c>
      <c r="AR124" s="29">
        <f>AF124*(1+Inputs!$C$35)</f>
        <v>0</v>
      </c>
      <c r="AS124" s="239">
        <f>AG124*(1+Inputs!$C$35)</f>
        <v>0</v>
      </c>
      <c r="AT124" s="29">
        <f>AH124*(1+Inputs!$C$35)</f>
        <v>0</v>
      </c>
      <c r="AU124" s="29">
        <f>AI124*(1+Inputs!$C$35)</f>
        <v>0</v>
      </c>
      <c r="AV124" s="29">
        <f>AJ124*(1+Inputs!$C$35)</f>
        <v>0</v>
      </c>
      <c r="AW124" s="29">
        <f>AK124*(1+Inputs!$C$35)</f>
        <v>0</v>
      </c>
      <c r="AX124" s="29">
        <f>AL124*(1+Inputs!$C$35)</f>
        <v>0</v>
      </c>
      <c r="AY124" s="29">
        <f>AM124*(1+Inputs!$C$35)</f>
        <v>0</v>
      </c>
      <c r="AZ124" s="29">
        <f>AN124*(1+Inputs!$C$35)</f>
        <v>0</v>
      </c>
      <c r="BA124" s="29">
        <f>AO124*(1+Inputs!$C$35)</f>
        <v>0</v>
      </c>
      <c r="BB124" s="29">
        <f>AP124*(1+Inputs!$C$35)</f>
        <v>0</v>
      </c>
      <c r="BC124" s="29">
        <f>AQ124*(1+Inputs!$C$35)</f>
        <v>0</v>
      </c>
      <c r="BD124" s="29">
        <f>AR124*(1+Inputs!$C$35)</f>
        <v>0</v>
      </c>
      <c r="BE124" s="239">
        <f>AS124*(1+Inputs!$C$35)</f>
        <v>0</v>
      </c>
      <c r="BF124" s="29">
        <f>AT124*(1+Inputs!$C$35)</f>
        <v>0</v>
      </c>
      <c r="BG124" s="29">
        <f>AU124*(1+Inputs!$C$35)</f>
        <v>0</v>
      </c>
      <c r="BH124" s="29">
        <f>AV124*(1+Inputs!$C$35)</f>
        <v>0</v>
      </c>
      <c r="BI124" s="29">
        <f>AW124*(1+Inputs!$C$35)</f>
        <v>0</v>
      </c>
      <c r="BJ124" s="29">
        <f>AX124*(1+Inputs!$C$35)</f>
        <v>0</v>
      </c>
      <c r="BK124" s="29">
        <f>AY124*(1+Inputs!$C$35)</f>
        <v>0</v>
      </c>
      <c r="BL124" s="29">
        <f>AZ124*(1+Inputs!$C$35)</f>
        <v>0</v>
      </c>
      <c r="BM124" s="29">
        <f>BA124*(1+Inputs!$C$35)</f>
        <v>0</v>
      </c>
      <c r="BN124" s="29">
        <f>BB124*(1+Inputs!$C$35)</f>
        <v>0</v>
      </c>
      <c r="BO124" s="29">
        <f>BC124*(1+Inputs!$C$35)</f>
        <v>0</v>
      </c>
      <c r="BP124" s="29">
        <f>BD124*(1+Inputs!$C$35)</f>
        <v>0</v>
      </c>
      <c r="BQ124" s="29">
        <f>BE124*(1+Inputs!$C$35)</f>
        <v>0</v>
      </c>
      <c r="BR124" s="29">
        <f>BF124*(1+Inputs!$C$35)</f>
        <v>0</v>
      </c>
      <c r="BS124" s="29">
        <f>BG124*(1+Inputs!$C$35)</f>
        <v>0</v>
      </c>
      <c r="BT124" s="29">
        <f>BH124*(1+Inputs!$C$35)</f>
        <v>0</v>
      </c>
      <c r="BU124" s="29">
        <f>BI124*(1+Inputs!$C$35)</f>
        <v>0</v>
      </c>
      <c r="BW124" s="29">
        <f t="shared" ref="BW124:CA124" si="160">SUMIF($J$6:$BU$6,BW$9,$J124:$BU124)</f>
        <v>0</v>
      </c>
      <c r="BX124" s="29">
        <f t="shared" si="160"/>
        <v>0</v>
      </c>
      <c r="BY124" s="29">
        <f t="shared" si="160"/>
        <v>0</v>
      </c>
      <c r="BZ124" s="29">
        <f t="shared" si="160"/>
        <v>0</v>
      </c>
      <c r="CA124" s="29">
        <f t="shared" si="160"/>
        <v>0</v>
      </c>
      <c r="CB124" s="29">
        <f>CA124*(1+Inputs!$C$35)</f>
        <v>0</v>
      </c>
      <c r="CC124" s="29">
        <f>CB124*(1+Inputs!$C$35)</f>
        <v>0</v>
      </c>
      <c r="CD124" s="29">
        <f>CC124*(1+Inputs!$C$35)</f>
        <v>0</v>
      </c>
      <c r="CE124" s="29">
        <f>CD124*(1+Inputs!$C$35)</f>
        <v>0</v>
      </c>
      <c r="CF124" s="29">
        <f>CE124*(1+Inputs!$C$35)</f>
        <v>0</v>
      </c>
      <c r="CG124" s="29">
        <f>CF124*(1+Inputs!$C$35)</f>
        <v>0</v>
      </c>
      <c r="CH124" s="29">
        <f>CG124*(1+Inputs!$C$35)</f>
        <v>0</v>
      </c>
      <c r="CI124" s="29">
        <f>CH124*(1+Inputs!$C$35)</f>
        <v>0</v>
      </c>
      <c r="CJ124" s="29">
        <f>CI124*(1+Inputs!$C$35)</f>
        <v>0</v>
      </c>
      <c r="CK124" s="29">
        <f>CJ124*(1+Inputs!$C$35)</f>
        <v>0</v>
      </c>
    </row>
    <row r="125" spans="1:109" ht="14.25" customHeight="1" x14ac:dyDescent="0.2">
      <c r="A125" s="11">
        <f t="shared" si="58"/>
        <v>0</v>
      </c>
      <c r="B125" s="56">
        <f t="shared" si="153"/>
        <v>6162</v>
      </c>
      <c r="D125" s="56"/>
      <c r="F125" s="56">
        <v>6162</v>
      </c>
      <c r="G125" s="11" t="s">
        <v>183</v>
      </c>
      <c r="H125" s="35">
        <f>VLOOKUP($F125,Inputs!$L:$Q,6,FALSE)</f>
        <v>0</v>
      </c>
      <c r="I125" s="1"/>
      <c r="J125" s="29">
        <f t="shared" ref="J125:U125" si="161">$H125</f>
        <v>0</v>
      </c>
      <c r="K125" s="29">
        <f t="shared" si="161"/>
        <v>0</v>
      </c>
      <c r="L125" s="29">
        <f t="shared" si="161"/>
        <v>0</v>
      </c>
      <c r="M125" s="29">
        <f t="shared" si="161"/>
        <v>0</v>
      </c>
      <c r="N125" s="29">
        <f t="shared" si="161"/>
        <v>0</v>
      </c>
      <c r="O125" s="29">
        <f t="shared" si="161"/>
        <v>0</v>
      </c>
      <c r="P125" s="29">
        <f t="shared" si="161"/>
        <v>0</v>
      </c>
      <c r="Q125" s="29">
        <f t="shared" si="161"/>
        <v>0</v>
      </c>
      <c r="R125" s="29">
        <f t="shared" si="161"/>
        <v>0</v>
      </c>
      <c r="S125" s="29">
        <f t="shared" si="161"/>
        <v>0</v>
      </c>
      <c r="T125" s="29">
        <f t="shared" si="161"/>
        <v>0</v>
      </c>
      <c r="U125" s="239">
        <f t="shared" si="161"/>
        <v>0</v>
      </c>
      <c r="V125" s="29">
        <f>$H125*(1+Inputs!$C$35)</f>
        <v>0</v>
      </c>
      <c r="W125" s="29">
        <f>K125*(1+Inputs!$C$35)</f>
        <v>0</v>
      </c>
      <c r="X125" s="29">
        <f>L125*(1+Inputs!$C$35)</f>
        <v>0</v>
      </c>
      <c r="Y125" s="29">
        <f>M125*(1+Inputs!$C$35)</f>
        <v>0</v>
      </c>
      <c r="Z125" s="29">
        <f>N125*(1+Inputs!$C$35)</f>
        <v>0</v>
      </c>
      <c r="AA125" s="29">
        <f>O125*(1+Inputs!$C$35)</f>
        <v>0</v>
      </c>
      <c r="AB125" s="29">
        <f>P125*(1+Inputs!$C$35)</f>
        <v>0</v>
      </c>
      <c r="AC125" s="29">
        <f>Q125*(1+Inputs!$C$35)</f>
        <v>0</v>
      </c>
      <c r="AD125" s="29">
        <f>R125*(1+Inputs!$C$35)</f>
        <v>0</v>
      </c>
      <c r="AE125" s="29">
        <f>S125*(1+Inputs!$C$35)</f>
        <v>0</v>
      </c>
      <c r="AF125" s="29">
        <f>T125*(1+Inputs!$C$35)</f>
        <v>0</v>
      </c>
      <c r="AG125" s="239">
        <f>U125*(1+Inputs!$C$35)</f>
        <v>0</v>
      </c>
      <c r="AH125" s="29">
        <f>V125*(1+Inputs!$C$35)</f>
        <v>0</v>
      </c>
      <c r="AI125" s="29">
        <f>W125*(1+Inputs!$C$35)</f>
        <v>0</v>
      </c>
      <c r="AJ125" s="29">
        <f>X125*(1+Inputs!$C$35)</f>
        <v>0</v>
      </c>
      <c r="AK125" s="29">
        <f>Y125*(1+Inputs!$C$35)</f>
        <v>0</v>
      </c>
      <c r="AL125" s="29">
        <f>Z125*(1+Inputs!$C$35)</f>
        <v>0</v>
      </c>
      <c r="AM125" s="29">
        <f>AA125*(1+Inputs!$C$35)</f>
        <v>0</v>
      </c>
      <c r="AN125" s="29">
        <f>AB125*(1+Inputs!$C$35)</f>
        <v>0</v>
      </c>
      <c r="AO125" s="29">
        <f>AC125*(1+Inputs!$C$35)</f>
        <v>0</v>
      </c>
      <c r="AP125" s="29">
        <f>AD125*(1+Inputs!$C$35)</f>
        <v>0</v>
      </c>
      <c r="AQ125" s="29">
        <f>AE125*(1+Inputs!$C$35)</f>
        <v>0</v>
      </c>
      <c r="AR125" s="29">
        <f>AF125*(1+Inputs!$C$35)</f>
        <v>0</v>
      </c>
      <c r="AS125" s="239">
        <f>AG125*(1+Inputs!$C$35)</f>
        <v>0</v>
      </c>
      <c r="AT125" s="29">
        <f>AH125*(1+Inputs!$C$35)</f>
        <v>0</v>
      </c>
      <c r="AU125" s="29">
        <f>AI125*(1+Inputs!$C$35)</f>
        <v>0</v>
      </c>
      <c r="AV125" s="29">
        <f>AJ125*(1+Inputs!$C$35)</f>
        <v>0</v>
      </c>
      <c r="AW125" s="29">
        <f>AK125*(1+Inputs!$C$35)</f>
        <v>0</v>
      </c>
      <c r="AX125" s="29">
        <f>AL125*(1+Inputs!$C$35)</f>
        <v>0</v>
      </c>
      <c r="AY125" s="29">
        <f>AM125*(1+Inputs!$C$35)</f>
        <v>0</v>
      </c>
      <c r="AZ125" s="29">
        <f>AN125*(1+Inputs!$C$35)</f>
        <v>0</v>
      </c>
      <c r="BA125" s="29">
        <f>AO125*(1+Inputs!$C$35)</f>
        <v>0</v>
      </c>
      <c r="BB125" s="29">
        <f>AP125*(1+Inputs!$C$35)</f>
        <v>0</v>
      </c>
      <c r="BC125" s="29">
        <f>AQ125*(1+Inputs!$C$35)</f>
        <v>0</v>
      </c>
      <c r="BD125" s="29">
        <f>AR125*(1+Inputs!$C$35)</f>
        <v>0</v>
      </c>
      <c r="BE125" s="239">
        <f>AS125*(1+Inputs!$C$35)</f>
        <v>0</v>
      </c>
      <c r="BF125" s="29">
        <f>AT125*(1+Inputs!$C$35)</f>
        <v>0</v>
      </c>
      <c r="BG125" s="29">
        <f>AU125*(1+Inputs!$C$35)</f>
        <v>0</v>
      </c>
      <c r="BH125" s="29">
        <f>AV125*(1+Inputs!$C$35)</f>
        <v>0</v>
      </c>
      <c r="BI125" s="29">
        <f>AW125*(1+Inputs!$C$35)</f>
        <v>0</v>
      </c>
      <c r="BJ125" s="29">
        <f>AX125*(1+Inputs!$C$35)</f>
        <v>0</v>
      </c>
      <c r="BK125" s="29">
        <f>AY125*(1+Inputs!$C$35)</f>
        <v>0</v>
      </c>
      <c r="BL125" s="29">
        <f>AZ125*(1+Inputs!$C$35)</f>
        <v>0</v>
      </c>
      <c r="BM125" s="29">
        <f>BA125*(1+Inputs!$C$35)</f>
        <v>0</v>
      </c>
      <c r="BN125" s="29">
        <f>BB125*(1+Inputs!$C$35)</f>
        <v>0</v>
      </c>
      <c r="BO125" s="29">
        <f>BC125*(1+Inputs!$C$35)</f>
        <v>0</v>
      </c>
      <c r="BP125" s="29">
        <f>BD125*(1+Inputs!$C$35)</f>
        <v>0</v>
      </c>
      <c r="BQ125" s="29">
        <f>BE125*(1+Inputs!$C$35)</f>
        <v>0</v>
      </c>
      <c r="BR125" s="29">
        <f>BF125*(1+Inputs!$C$35)</f>
        <v>0</v>
      </c>
      <c r="BS125" s="29">
        <f>BG125*(1+Inputs!$C$35)</f>
        <v>0</v>
      </c>
      <c r="BT125" s="29">
        <f>BH125*(1+Inputs!$C$35)</f>
        <v>0</v>
      </c>
      <c r="BU125" s="29">
        <f>BI125*(1+Inputs!$C$35)</f>
        <v>0</v>
      </c>
      <c r="BW125" s="29">
        <f t="shared" ref="BW125:CA125" si="162">SUMIF($J$6:$BU$6,BW$9,$J125:$BU125)</f>
        <v>0</v>
      </c>
      <c r="BX125" s="29">
        <f t="shared" si="162"/>
        <v>0</v>
      </c>
      <c r="BY125" s="29">
        <f t="shared" si="162"/>
        <v>0</v>
      </c>
      <c r="BZ125" s="29">
        <f t="shared" si="162"/>
        <v>0</v>
      </c>
      <c r="CA125" s="29">
        <f t="shared" si="162"/>
        <v>0</v>
      </c>
      <c r="CB125" s="29">
        <f>CA125*(1+Inputs!$C$35)</f>
        <v>0</v>
      </c>
      <c r="CC125" s="29">
        <f>CB125*(1+Inputs!$C$35)</f>
        <v>0</v>
      </c>
      <c r="CD125" s="29">
        <f>CC125*(1+Inputs!$C$35)</f>
        <v>0</v>
      </c>
      <c r="CE125" s="29">
        <f>CD125*(1+Inputs!$C$35)</f>
        <v>0</v>
      </c>
      <c r="CF125" s="29">
        <f>CE125*(1+Inputs!$C$35)</f>
        <v>0</v>
      </c>
      <c r="CG125" s="29">
        <f>CF125*(1+Inputs!$C$35)</f>
        <v>0</v>
      </c>
      <c r="CH125" s="29">
        <f>CG125*(1+Inputs!$C$35)</f>
        <v>0</v>
      </c>
      <c r="CI125" s="29">
        <f>CH125*(1+Inputs!$C$35)</f>
        <v>0</v>
      </c>
      <c r="CJ125" s="29">
        <f>CI125*(1+Inputs!$C$35)</f>
        <v>0</v>
      </c>
      <c r="CK125" s="29">
        <f>CJ125*(1+Inputs!$C$35)</f>
        <v>0</v>
      </c>
    </row>
    <row r="126" spans="1:109" ht="14.25" customHeight="1" x14ac:dyDescent="0.2">
      <c r="A126" s="11">
        <f t="shared" si="58"/>
        <v>0</v>
      </c>
      <c r="B126" s="56">
        <f t="shared" si="153"/>
        <v>6163</v>
      </c>
      <c r="D126" s="56"/>
      <c r="F126" s="56">
        <v>6163</v>
      </c>
      <c r="G126" s="11" t="s">
        <v>186</v>
      </c>
      <c r="H126" s="35">
        <f>VLOOKUP($F126,Inputs!$L:$Q,6,FALSE)</f>
        <v>43</v>
      </c>
      <c r="I126" s="1"/>
      <c r="J126" s="29">
        <f t="shared" ref="J126:U126" si="163">$H126</f>
        <v>43</v>
      </c>
      <c r="K126" s="29">
        <f t="shared" si="163"/>
        <v>43</v>
      </c>
      <c r="L126" s="29">
        <f t="shared" si="163"/>
        <v>43</v>
      </c>
      <c r="M126" s="29">
        <f t="shared" si="163"/>
        <v>43</v>
      </c>
      <c r="N126" s="29">
        <f t="shared" si="163"/>
        <v>43</v>
      </c>
      <c r="O126" s="29">
        <f t="shared" si="163"/>
        <v>43</v>
      </c>
      <c r="P126" s="29">
        <f t="shared" si="163"/>
        <v>43</v>
      </c>
      <c r="Q126" s="29">
        <f t="shared" si="163"/>
        <v>43</v>
      </c>
      <c r="R126" s="29">
        <f t="shared" si="163"/>
        <v>43</v>
      </c>
      <c r="S126" s="29">
        <f t="shared" si="163"/>
        <v>43</v>
      </c>
      <c r="T126" s="29">
        <f t="shared" si="163"/>
        <v>43</v>
      </c>
      <c r="U126" s="239">
        <f t="shared" si="163"/>
        <v>43</v>
      </c>
      <c r="V126" s="29">
        <f>J126*(1+Inputs!$C$35)</f>
        <v>44.074999999999996</v>
      </c>
      <c r="W126" s="29">
        <f>K126*(1+Inputs!$C$35)</f>
        <v>44.074999999999996</v>
      </c>
      <c r="X126" s="29">
        <f>L126*(1+Inputs!$C$35)</f>
        <v>44.074999999999996</v>
      </c>
      <c r="Y126" s="29">
        <f>M126*(1+Inputs!$C$35)</f>
        <v>44.074999999999996</v>
      </c>
      <c r="Z126" s="29">
        <f>N126*(1+Inputs!$C$35)</f>
        <v>44.074999999999996</v>
      </c>
      <c r="AA126" s="29">
        <f>O126*(1+Inputs!$C$35)</f>
        <v>44.074999999999996</v>
      </c>
      <c r="AB126" s="29">
        <f>P126*(1+Inputs!$C$35)</f>
        <v>44.074999999999996</v>
      </c>
      <c r="AC126" s="29">
        <f>Q126*(1+Inputs!$C$35)</f>
        <v>44.074999999999996</v>
      </c>
      <c r="AD126" s="29">
        <f>R126*(1+Inputs!$C$35)</f>
        <v>44.074999999999996</v>
      </c>
      <c r="AE126" s="29">
        <f>S126*(1+Inputs!$C$35)</f>
        <v>44.074999999999996</v>
      </c>
      <c r="AF126" s="29">
        <f>T126*(1+Inputs!$C$35)</f>
        <v>44.074999999999996</v>
      </c>
      <c r="AG126" s="239">
        <f>U126*(1+Inputs!$C$35)</f>
        <v>44.074999999999996</v>
      </c>
      <c r="AH126" s="29">
        <f>V126*(1+Inputs!$C$35)</f>
        <v>45.176874999999988</v>
      </c>
      <c r="AI126" s="29">
        <f>W126*(1+Inputs!$C$35)</f>
        <v>45.176874999999988</v>
      </c>
      <c r="AJ126" s="29">
        <f>X126*(1+Inputs!$C$35)</f>
        <v>45.176874999999988</v>
      </c>
      <c r="AK126" s="29">
        <f>Y126*(1+Inputs!$C$35)</f>
        <v>45.176874999999988</v>
      </c>
      <c r="AL126" s="29">
        <f>Z126*(1+Inputs!$C$35)</f>
        <v>45.176874999999988</v>
      </c>
      <c r="AM126" s="29">
        <f>AA126*(1+Inputs!$C$35)</f>
        <v>45.176874999999988</v>
      </c>
      <c r="AN126" s="29">
        <f>AB126*(1+Inputs!$C$35)</f>
        <v>45.176874999999988</v>
      </c>
      <c r="AO126" s="29">
        <f>AC126*(1+Inputs!$C$35)</f>
        <v>45.176874999999988</v>
      </c>
      <c r="AP126" s="29">
        <f>AD126*(1+Inputs!$C$35)</f>
        <v>45.176874999999988</v>
      </c>
      <c r="AQ126" s="29">
        <f>AE126*(1+Inputs!$C$35)</f>
        <v>45.176874999999988</v>
      </c>
      <c r="AR126" s="29">
        <f>AF126*(1+Inputs!$C$35)</f>
        <v>45.176874999999988</v>
      </c>
      <c r="AS126" s="239">
        <f>AG126*(1+Inputs!$C$35)</f>
        <v>45.176874999999988</v>
      </c>
      <c r="AT126" s="29">
        <f>AH126*(1+Inputs!$C$35)</f>
        <v>46.306296874999987</v>
      </c>
      <c r="AU126" s="29">
        <f>AI126*(1+Inputs!$C$35)</f>
        <v>46.306296874999987</v>
      </c>
      <c r="AV126" s="29">
        <f>AJ126*(1+Inputs!$C$35)</f>
        <v>46.306296874999987</v>
      </c>
      <c r="AW126" s="29">
        <f>AK126*(1+Inputs!$C$35)</f>
        <v>46.306296874999987</v>
      </c>
      <c r="AX126" s="29">
        <f>AL126*(1+Inputs!$C$35)</f>
        <v>46.306296874999987</v>
      </c>
      <c r="AY126" s="29">
        <f>AM126*(1+Inputs!$C$35)</f>
        <v>46.306296874999987</v>
      </c>
      <c r="AZ126" s="29">
        <f>AN126*(1+Inputs!$C$35)</f>
        <v>46.306296874999987</v>
      </c>
      <c r="BA126" s="29">
        <f>AO126*(1+Inputs!$C$35)</f>
        <v>46.306296874999987</v>
      </c>
      <c r="BB126" s="29">
        <f>AP126*(1+Inputs!$C$35)</f>
        <v>46.306296874999987</v>
      </c>
      <c r="BC126" s="29">
        <f>AQ126*(1+Inputs!$C$35)</f>
        <v>46.306296874999987</v>
      </c>
      <c r="BD126" s="29">
        <f>AR126*(1+Inputs!$C$35)</f>
        <v>46.306296874999987</v>
      </c>
      <c r="BE126" s="239">
        <f>AS126*(1+Inputs!$C$35)</f>
        <v>46.306296874999987</v>
      </c>
      <c r="BF126" s="29">
        <f>AT126*(1+Inputs!$C$35)</f>
        <v>47.463954296874981</v>
      </c>
      <c r="BG126" s="29">
        <f>AU126*(1+Inputs!$C$35)</f>
        <v>47.463954296874981</v>
      </c>
      <c r="BH126" s="29">
        <f>AV126*(1+Inputs!$C$35)</f>
        <v>47.463954296874981</v>
      </c>
      <c r="BI126" s="29">
        <f>AW126*(1+Inputs!$C$35)</f>
        <v>47.463954296874981</v>
      </c>
      <c r="BJ126" s="29">
        <f>AX126*(1+Inputs!$C$35)</f>
        <v>47.463954296874981</v>
      </c>
      <c r="BK126" s="29">
        <f>AY126*(1+Inputs!$C$35)</f>
        <v>47.463954296874981</v>
      </c>
      <c r="BL126" s="29">
        <f>AZ126*(1+Inputs!$C$35)</f>
        <v>47.463954296874981</v>
      </c>
      <c r="BM126" s="29">
        <f>BA126*(1+Inputs!$C$35)</f>
        <v>47.463954296874981</v>
      </c>
      <c r="BN126" s="29">
        <f>BB126*(1+Inputs!$C$35)</f>
        <v>47.463954296874981</v>
      </c>
      <c r="BO126" s="29">
        <f>BC126*(1+Inputs!$C$35)</f>
        <v>47.463954296874981</v>
      </c>
      <c r="BP126" s="29">
        <f>BD126*(1+Inputs!$C$35)</f>
        <v>47.463954296874981</v>
      </c>
      <c r="BQ126" s="29">
        <f>BE126*(1+Inputs!$C$35)</f>
        <v>47.463954296874981</v>
      </c>
      <c r="BR126" s="29">
        <f>BF126*(1+Inputs!$C$35)</f>
        <v>48.650553154296851</v>
      </c>
      <c r="BS126" s="29">
        <f>BG126*(1+Inputs!$C$35)</f>
        <v>48.650553154296851</v>
      </c>
      <c r="BT126" s="29">
        <f>BH126*(1+Inputs!$C$35)</f>
        <v>48.650553154296851</v>
      </c>
      <c r="BU126" s="29">
        <f>BI126*(1+Inputs!$C$35)</f>
        <v>48.650553154296851</v>
      </c>
      <c r="BW126" s="29">
        <f t="shared" ref="BW126:CA126" si="164">SUMIF($J$6:$BU$6,BW$9,$J126:$BU126)</f>
        <v>516</v>
      </c>
      <c r="BX126" s="29">
        <f t="shared" si="164"/>
        <v>528.9</v>
      </c>
      <c r="BY126" s="29">
        <f t="shared" si="164"/>
        <v>542.12249999999983</v>
      </c>
      <c r="BZ126" s="29">
        <f t="shared" si="164"/>
        <v>555.67556249999984</v>
      </c>
      <c r="CA126" s="29">
        <f t="shared" si="164"/>
        <v>569.56745156249974</v>
      </c>
      <c r="CB126" s="29">
        <f>CA126*(1+Inputs!$C$35)</f>
        <v>583.80663785156219</v>
      </c>
      <c r="CC126" s="29">
        <f>CB126*(1+Inputs!$C$35)</f>
        <v>598.40180379785124</v>
      </c>
      <c r="CD126" s="29">
        <f>CC126*(1+Inputs!$C$35)</f>
        <v>613.36184889279752</v>
      </c>
      <c r="CE126" s="29">
        <f>CD126*(1+Inputs!$C$35)</f>
        <v>628.69589511511742</v>
      </c>
      <c r="CF126" s="29">
        <f>CE126*(1+Inputs!$C$35)</f>
        <v>644.41329249299531</v>
      </c>
      <c r="CG126" s="29">
        <f>CF126*(1+Inputs!$C$35)</f>
        <v>660.52362480532008</v>
      </c>
      <c r="CH126" s="29">
        <f>CG126*(1+Inputs!$C$35)</f>
        <v>677.03671542545305</v>
      </c>
      <c r="CI126" s="29">
        <f>CH126*(1+Inputs!$C$35)</f>
        <v>693.96263331108935</v>
      </c>
      <c r="CJ126" s="29">
        <f>CI126*(1+Inputs!$C$35)</f>
        <v>711.31169914386658</v>
      </c>
      <c r="CK126" s="29">
        <f>CJ126*(1+Inputs!$C$35)</f>
        <v>729.09449162246312</v>
      </c>
    </row>
    <row r="127" spans="1:109" ht="14.25" customHeight="1" x14ac:dyDescent="0.2">
      <c r="A127" s="11">
        <f t="shared" si="58"/>
        <v>0</v>
      </c>
      <c r="B127" s="56">
        <f t="shared" si="153"/>
        <v>6166</v>
      </c>
      <c r="D127" s="56"/>
      <c r="F127" s="56">
        <v>6166</v>
      </c>
      <c r="G127" s="11" t="s">
        <v>189</v>
      </c>
      <c r="H127" s="35">
        <f>VLOOKUP($F127,Inputs!$L:$Q,6,FALSE)</f>
        <v>0</v>
      </c>
      <c r="I127" s="1"/>
      <c r="J127" s="29"/>
      <c r="K127" s="29">
        <f t="shared" ref="K127:U127" si="165">$H127</f>
        <v>0</v>
      </c>
      <c r="L127" s="29">
        <f t="shared" si="165"/>
        <v>0</v>
      </c>
      <c r="M127" s="29">
        <f t="shared" si="165"/>
        <v>0</v>
      </c>
      <c r="N127" s="29">
        <f t="shared" si="165"/>
        <v>0</v>
      </c>
      <c r="O127" s="29">
        <f t="shared" si="165"/>
        <v>0</v>
      </c>
      <c r="P127" s="29">
        <f t="shared" si="165"/>
        <v>0</v>
      </c>
      <c r="Q127" s="29">
        <f t="shared" si="165"/>
        <v>0</v>
      </c>
      <c r="R127" s="29">
        <f t="shared" si="165"/>
        <v>0</v>
      </c>
      <c r="S127" s="29">
        <f t="shared" si="165"/>
        <v>0</v>
      </c>
      <c r="T127" s="29">
        <f t="shared" si="165"/>
        <v>0</v>
      </c>
      <c r="U127" s="239">
        <f t="shared" si="165"/>
        <v>0</v>
      </c>
      <c r="V127" s="29">
        <f>J127*(1+Inputs!$C$35)</f>
        <v>0</v>
      </c>
      <c r="W127" s="29">
        <f>K127*(1+Inputs!$C$35)</f>
        <v>0</v>
      </c>
      <c r="X127" s="29">
        <f>L127*(1+Inputs!$C$35)</f>
        <v>0</v>
      </c>
      <c r="Y127" s="29">
        <f>M127*(1+Inputs!$C$35)</f>
        <v>0</v>
      </c>
      <c r="Z127" s="29">
        <f>N127*(1+Inputs!$C$35)</f>
        <v>0</v>
      </c>
      <c r="AA127" s="29">
        <f>O127*(1+Inputs!$C$35)</f>
        <v>0</v>
      </c>
      <c r="AB127" s="29">
        <f>P127*(1+Inputs!$C$35)</f>
        <v>0</v>
      </c>
      <c r="AC127" s="29">
        <f>Q127*(1+Inputs!$C$35)</f>
        <v>0</v>
      </c>
      <c r="AD127" s="29">
        <f>R127*(1+Inputs!$C$35)</f>
        <v>0</v>
      </c>
      <c r="AE127" s="29">
        <f>S127*(1+Inputs!$C$35)</f>
        <v>0</v>
      </c>
      <c r="AF127" s="29">
        <f>T127*(1+Inputs!$C$35)</f>
        <v>0</v>
      </c>
      <c r="AG127" s="239">
        <f>U127*(1+Inputs!$C$35)</f>
        <v>0</v>
      </c>
      <c r="AH127" s="29">
        <f>V127*(1+Inputs!$C$35)</f>
        <v>0</v>
      </c>
      <c r="AI127" s="29">
        <f>W127*(1+Inputs!$C$35)</f>
        <v>0</v>
      </c>
      <c r="AJ127" s="29">
        <f>X127*(1+Inputs!$C$35)</f>
        <v>0</v>
      </c>
      <c r="AK127" s="29">
        <f>Y127*(1+Inputs!$C$35)</f>
        <v>0</v>
      </c>
      <c r="AL127" s="29">
        <f>Z127*(1+Inputs!$C$35)</f>
        <v>0</v>
      </c>
      <c r="AM127" s="29">
        <f>AA127*(1+Inputs!$C$35)</f>
        <v>0</v>
      </c>
      <c r="AN127" s="29">
        <f>AB127*(1+Inputs!$C$35)</f>
        <v>0</v>
      </c>
      <c r="AO127" s="29">
        <f>AC127*(1+Inputs!$C$35)</f>
        <v>0</v>
      </c>
      <c r="AP127" s="29">
        <f>AD127*(1+Inputs!$C$35)</f>
        <v>0</v>
      </c>
      <c r="AQ127" s="29">
        <f>AE127*(1+Inputs!$C$35)</f>
        <v>0</v>
      </c>
      <c r="AR127" s="29">
        <f>AF127*(1+Inputs!$C$35)</f>
        <v>0</v>
      </c>
      <c r="AS127" s="239">
        <f>AG127*(1+Inputs!$C$35)</f>
        <v>0</v>
      </c>
      <c r="AT127" s="29">
        <f>AH127*(1+Inputs!$C$35)</f>
        <v>0</v>
      </c>
      <c r="AU127" s="29">
        <f>AI127*(1+Inputs!$C$35)</f>
        <v>0</v>
      </c>
      <c r="AV127" s="29">
        <f>AJ127*(1+Inputs!$C$35)</f>
        <v>0</v>
      </c>
      <c r="AW127" s="29">
        <f>AK127*(1+Inputs!$C$35)</f>
        <v>0</v>
      </c>
      <c r="AX127" s="29">
        <f>AL127*(1+Inputs!$C$35)</f>
        <v>0</v>
      </c>
      <c r="AY127" s="29">
        <f>AM127*(1+Inputs!$C$35)</f>
        <v>0</v>
      </c>
      <c r="AZ127" s="29">
        <f>AN127*(1+Inputs!$C$35)</f>
        <v>0</v>
      </c>
      <c r="BA127" s="29">
        <f>AO127*(1+Inputs!$C$35)</f>
        <v>0</v>
      </c>
      <c r="BB127" s="29">
        <f>AP127*(1+Inputs!$C$35)</f>
        <v>0</v>
      </c>
      <c r="BC127" s="29">
        <f>AQ127*(1+Inputs!$C$35)</f>
        <v>0</v>
      </c>
      <c r="BD127" s="29">
        <f>AR127*(1+Inputs!$C$35)</f>
        <v>0</v>
      </c>
      <c r="BE127" s="239">
        <f>AS127*(1+Inputs!$C$35)</f>
        <v>0</v>
      </c>
      <c r="BF127" s="29">
        <f>AT127*(1+Inputs!$C$35)</f>
        <v>0</v>
      </c>
      <c r="BG127" s="29">
        <f>AU127*(1+Inputs!$C$35)</f>
        <v>0</v>
      </c>
      <c r="BH127" s="29">
        <f>AV127*(1+Inputs!$C$35)</f>
        <v>0</v>
      </c>
      <c r="BI127" s="29">
        <f>AW127*(1+Inputs!$C$35)</f>
        <v>0</v>
      </c>
      <c r="BJ127" s="29">
        <f>AX127*(1+Inputs!$C$35)</f>
        <v>0</v>
      </c>
      <c r="BK127" s="29">
        <f>AY127*(1+Inputs!$C$35)</f>
        <v>0</v>
      </c>
      <c r="BL127" s="29">
        <f>AZ127*(1+Inputs!$C$35)</f>
        <v>0</v>
      </c>
      <c r="BM127" s="29">
        <f>BA127*(1+Inputs!$C$35)</f>
        <v>0</v>
      </c>
      <c r="BN127" s="29">
        <f>BB127*(1+Inputs!$C$35)</f>
        <v>0</v>
      </c>
      <c r="BO127" s="29">
        <f>BC127*(1+Inputs!$C$35)</f>
        <v>0</v>
      </c>
      <c r="BP127" s="29">
        <f>BD127*(1+Inputs!$C$35)</f>
        <v>0</v>
      </c>
      <c r="BQ127" s="29">
        <f>BE127*(1+Inputs!$C$35)</f>
        <v>0</v>
      </c>
      <c r="BR127" s="29">
        <f>BF127*(1+Inputs!$C$35)</f>
        <v>0</v>
      </c>
      <c r="BS127" s="29">
        <f>BG127*(1+Inputs!$C$35)</f>
        <v>0</v>
      </c>
      <c r="BT127" s="29">
        <f>BH127*(1+Inputs!$C$35)</f>
        <v>0</v>
      </c>
      <c r="BU127" s="29">
        <f>BI127*(1+Inputs!$C$35)</f>
        <v>0</v>
      </c>
      <c r="BW127" s="29">
        <f t="shared" ref="BW127:CA127" si="166">SUMIF($J$6:$BU$6,BW$9,$J127:$BU127)</f>
        <v>0</v>
      </c>
      <c r="BX127" s="29">
        <f t="shared" si="166"/>
        <v>0</v>
      </c>
      <c r="BY127" s="29">
        <f t="shared" si="166"/>
        <v>0</v>
      </c>
      <c r="BZ127" s="29">
        <f t="shared" si="166"/>
        <v>0</v>
      </c>
      <c r="CA127" s="29">
        <f t="shared" si="166"/>
        <v>0</v>
      </c>
      <c r="CB127" s="29">
        <f>CA127*(1+Inputs!$C$35)</f>
        <v>0</v>
      </c>
      <c r="CC127" s="29">
        <f>CB127*(1+Inputs!$C$35)</f>
        <v>0</v>
      </c>
      <c r="CD127" s="29">
        <f>CC127*(1+Inputs!$C$35)</f>
        <v>0</v>
      </c>
      <c r="CE127" s="29">
        <f>CD127*(1+Inputs!$C$35)</f>
        <v>0</v>
      </c>
      <c r="CF127" s="29">
        <f>CE127*(1+Inputs!$C$35)</f>
        <v>0</v>
      </c>
      <c r="CG127" s="29">
        <f>CF127*(1+Inputs!$C$35)</f>
        <v>0</v>
      </c>
      <c r="CH127" s="29">
        <f>CG127*(1+Inputs!$C$35)</f>
        <v>0</v>
      </c>
      <c r="CI127" s="29">
        <f>CH127*(1+Inputs!$C$35)</f>
        <v>0</v>
      </c>
      <c r="CJ127" s="29">
        <f>CI127*(1+Inputs!$C$35)</f>
        <v>0</v>
      </c>
      <c r="CK127" s="29">
        <f>CJ127*(1+Inputs!$C$35)</f>
        <v>0</v>
      </c>
    </row>
    <row r="128" spans="1:109" ht="14.25" customHeight="1" x14ac:dyDescent="0.2">
      <c r="A128" s="11">
        <f t="shared" si="58"/>
        <v>0</v>
      </c>
      <c r="B128" s="56">
        <f t="shared" si="153"/>
        <v>6168</v>
      </c>
      <c r="D128" s="56"/>
      <c r="F128" s="56">
        <v>6168</v>
      </c>
      <c r="G128" s="11" t="s">
        <v>194</v>
      </c>
      <c r="H128" s="35">
        <f>VLOOKUP($F128,Inputs!$L:$Q,6,FALSE)</f>
        <v>12</v>
      </c>
      <c r="I128" s="1"/>
      <c r="J128" s="29">
        <v>135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f>J128*(1+Inputs!$C$35)</f>
        <v>138.375</v>
      </c>
      <c r="W128" s="29">
        <f>K128*(1+Inputs!$C$35)</f>
        <v>0</v>
      </c>
      <c r="X128" s="29">
        <f>L128*(1+Inputs!$C$35)</f>
        <v>0</v>
      </c>
      <c r="Y128" s="29">
        <f>M128*(1+Inputs!$C$35)</f>
        <v>0</v>
      </c>
      <c r="Z128" s="29">
        <f>N128*(1+Inputs!$C$35)</f>
        <v>0</v>
      </c>
      <c r="AA128" s="29">
        <f>O128*(1+Inputs!$C$35)</f>
        <v>0</v>
      </c>
      <c r="AB128" s="29">
        <f>P128*(1+Inputs!$C$35)</f>
        <v>0</v>
      </c>
      <c r="AC128" s="29">
        <f>Q128*(1+Inputs!$C$35)</f>
        <v>0</v>
      </c>
      <c r="AD128" s="29">
        <f>R128*(1+Inputs!$C$35)</f>
        <v>0</v>
      </c>
      <c r="AE128" s="29">
        <f>S128*(1+Inputs!$C$35)</f>
        <v>0</v>
      </c>
      <c r="AF128" s="29">
        <f>T128*(1+Inputs!$C$35)</f>
        <v>0</v>
      </c>
      <c r="AG128" s="239">
        <f>U128*(1+Inputs!$C$35)</f>
        <v>0</v>
      </c>
      <c r="AH128" s="29">
        <f>V128*(1+Inputs!$C$35)</f>
        <v>141.83437499999999</v>
      </c>
      <c r="AI128" s="29">
        <f>W128*(1+Inputs!$C$35)</f>
        <v>0</v>
      </c>
      <c r="AJ128" s="29">
        <f>X128*(1+Inputs!$C$35)</f>
        <v>0</v>
      </c>
      <c r="AK128" s="29">
        <f>Y128*(1+Inputs!$C$35)</f>
        <v>0</v>
      </c>
      <c r="AL128" s="29">
        <f>Z128*(1+Inputs!$C$35)</f>
        <v>0</v>
      </c>
      <c r="AM128" s="29">
        <f>AA128*(1+Inputs!$C$35)</f>
        <v>0</v>
      </c>
      <c r="AN128" s="29">
        <f>AB128*(1+Inputs!$C$35)</f>
        <v>0</v>
      </c>
      <c r="AO128" s="29">
        <f>AC128*(1+Inputs!$C$35)</f>
        <v>0</v>
      </c>
      <c r="AP128" s="29">
        <f>AD128*(1+Inputs!$C$35)</f>
        <v>0</v>
      </c>
      <c r="AQ128" s="29">
        <f>AE128*(1+Inputs!$C$35)</f>
        <v>0</v>
      </c>
      <c r="AR128" s="29">
        <f>AF128*(1+Inputs!$C$35)</f>
        <v>0</v>
      </c>
      <c r="AS128" s="239">
        <f>AG128*(1+Inputs!$C$35)</f>
        <v>0</v>
      </c>
      <c r="AT128" s="29">
        <f>AH128*(1+Inputs!$C$35)</f>
        <v>145.38023437499999</v>
      </c>
      <c r="AU128" s="29">
        <f>AI128*(1+Inputs!$C$35)</f>
        <v>0</v>
      </c>
      <c r="AV128" s="29">
        <f>AJ128*(1+Inputs!$C$35)</f>
        <v>0</v>
      </c>
      <c r="AW128" s="29">
        <f>AK128*(1+Inputs!$C$35)</f>
        <v>0</v>
      </c>
      <c r="AX128" s="29">
        <f>AL128*(1+Inputs!$C$35)</f>
        <v>0</v>
      </c>
      <c r="AY128" s="29">
        <f>AM128*(1+Inputs!$C$35)</f>
        <v>0</v>
      </c>
      <c r="AZ128" s="29">
        <f>AN128*(1+Inputs!$C$35)</f>
        <v>0</v>
      </c>
      <c r="BA128" s="29">
        <f>AO128*(1+Inputs!$C$35)</f>
        <v>0</v>
      </c>
      <c r="BB128" s="29">
        <f>AP128*(1+Inputs!$C$35)</f>
        <v>0</v>
      </c>
      <c r="BC128" s="29">
        <f>AQ128*(1+Inputs!$C$35)</f>
        <v>0</v>
      </c>
      <c r="BD128" s="29">
        <f>AR128*(1+Inputs!$C$35)</f>
        <v>0</v>
      </c>
      <c r="BE128" s="239">
        <f>AS128*(1+Inputs!$C$35)</f>
        <v>0</v>
      </c>
      <c r="BF128" s="29">
        <f>AT128*(1+Inputs!$C$35)</f>
        <v>149.01474023437498</v>
      </c>
      <c r="BG128" s="29">
        <f>AU128*(1+Inputs!$C$35)</f>
        <v>0</v>
      </c>
      <c r="BH128" s="29">
        <f>AV128*(1+Inputs!$C$35)</f>
        <v>0</v>
      </c>
      <c r="BI128" s="29">
        <f>AW128*(1+Inputs!$C$35)</f>
        <v>0</v>
      </c>
      <c r="BJ128" s="29">
        <f>AX128*(1+Inputs!$C$35)</f>
        <v>0</v>
      </c>
      <c r="BK128" s="29">
        <f>AY128*(1+Inputs!$C$35)</f>
        <v>0</v>
      </c>
      <c r="BL128" s="29">
        <f>AZ128*(1+Inputs!$C$35)</f>
        <v>0</v>
      </c>
      <c r="BM128" s="29">
        <f>BA128*(1+Inputs!$C$35)</f>
        <v>0</v>
      </c>
      <c r="BN128" s="29">
        <f>BB128*(1+Inputs!$C$35)</f>
        <v>0</v>
      </c>
      <c r="BO128" s="29">
        <f>BC128*(1+Inputs!$C$35)</f>
        <v>0</v>
      </c>
      <c r="BP128" s="29">
        <f>BD128*(1+Inputs!$C$35)</f>
        <v>0</v>
      </c>
      <c r="BQ128" s="29">
        <f>BE128*(1+Inputs!$C$35)</f>
        <v>0</v>
      </c>
      <c r="BR128" s="29">
        <f>BF128*(1+Inputs!$C$35)</f>
        <v>152.74010874023435</v>
      </c>
      <c r="BS128" s="29">
        <f>BG128*(1+Inputs!$C$35)</f>
        <v>0</v>
      </c>
      <c r="BT128" s="29">
        <f>BH128*(1+Inputs!$C$35)</f>
        <v>0</v>
      </c>
      <c r="BU128" s="29">
        <f>BI128*(1+Inputs!$C$35)</f>
        <v>0</v>
      </c>
      <c r="BW128" s="29">
        <f t="shared" ref="BW128:CA128" si="167">SUMIF($J$6:$BU$6,BW$9,$J128:$BU128)</f>
        <v>135</v>
      </c>
      <c r="BX128" s="29">
        <f t="shared" si="167"/>
        <v>138.375</v>
      </c>
      <c r="BY128" s="29">
        <f t="shared" si="167"/>
        <v>141.83437499999999</v>
      </c>
      <c r="BZ128" s="29">
        <f t="shared" si="167"/>
        <v>145.38023437499999</v>
      </c>
      <c r="CA128" s="29">
        <f t="shared" si="167"/>
        <v>149.01474023437498</v>
      </c>
      <c r="CB128" s="29">
        <f>CA128*(1+Inputs!$C$35)</f>
        <v>152.74010874023435</v>
      </c>
      <c r="CC128" s="29">
        <f>CB128*(1+Inputs!$C$35)</f>
        <v>156.55861145874019</v>
      </c>
      <c r="CD128" s="29">
        <f>CC128*(1+Inputs!$C$35)</f>
        <v>160.47257674520867</v>
      </c>
      <c r="CE128" s="29">
        <f>CD128*(1+Inputs!$C$35)</f>
        <v>164.48439116383886</v>
      </c>
      <c r="CF128" s="29">
        <f>CE128*(1+Inputs!$C$35)</f>
        <v>168.59650094293482</v>
      </c>
      <c r="CG128" s="29">
        <f>CF128*(1+Inputs!$C$35)</f>
        <v>172.81141346650818</v>
      </c>
      <c r="CH128" s="29">
        <f>CG128*(1+Inputs!$C$35)</f>
        <v>177.13169880317088</v>
      </c>
      <c r="CI128" s="29">
        <f>CH128*(1+Inputs!$C$35)</f>
        <v>181.55999127325012</v>
      </c>
      <c r="CJ128" s="29">
        <f>CI128*(1+Inputs!$C$35)</f>
        <v>186.09899105508137</v>
      </c>
      <c r="CK128" s="29">
        <f>CJ128*(1+Inputs!$C$35)</f>
        <v>190.75146583145838</v>
      </c>
    </row>
    <row r="129" spans="1:89" ht="14.25" customHeight="1" x14ac:dyDescent="0.2">
      <c r="A129" s="11">
        <f t="shared" si="58"/>
        <v>0</v>
      </c>
      <c r="B129" s="56">
        <v>6170</v>
      </c>
      <c r="D129" s="56"/>
      <c r="F129" s="56">
        <v>6170</v>
      </c>
      <c r="G129" s="11" t="s">
        <v>196</v>
      </c>
      <c r="H129" s="75">
        <f>VLOOKUP($F129,Inputs!$L:$Q,6,FALSE)</f>
        <v>0.14000000000000001</v>
      </c>
      <c r="I129" s="1"/>
      <c r="J129" s="29">
        <f>($H129*$F$3)*VLOOKUP(MONTH(J$9),Modeling!$B$19:$F$31,5,FALSE)</f>
        <v>0</v>
      </c>
      <c r="K129" s="29">
        <f>($H129*$F$3)*VLOOKUP(MONTH(K$9),Modeling!$B$19:$F$31,5,FALSE)</f>
        <v>0</v>
      </c>
      <c r="L129" s="29">
        <f>($H129*$F$3)*VLOOKUP(MONTH(L$9),Modeling!$B$19:$F$31,5,FALSE)</f>
        <v>2962.5960000000005</v>
      </c>
      <c r="M129" s="29">
        <f>($H129*$F$3)*VLOOKUP(MONTH(M$9),Modeling!$B$19:$F$31,5,FALSE)</f>
        <v>1481.2980000000002</v>
      </c>
      <c r="N129" s="29">
        <f>($H129*$F$3)*VLOOKUP(MONTH(N$9),Modeling!$B$19:$F$31,5,FALSE)</f>
        <v>1481.2980000000002</v>
      </c>
      <c r="O129" s="29">
        <f>($H129*$F$3)*VLOOKUP(MONTH(O$9),Modeling!$B$19:$F$31,5,FALSE)</f>
        <v>1481.2980000000002</v>
      </c>
      <c r="P129" s="29">
        <f>($H129*$F$3)*VLOOKUP(MONTH(P$9),Modeling!$B$19:$F$31,5,FALSE)</f>
        <v>1481.2980000000002</v>
      </c>
      <c r="Q129" s="29">
        <f>($H129*$F$3)*VLOOKUP(MONTH(Q$9),Modeling!$B$19:$F$31,5,FALSE)</f>
        <v>1481.2980000000002</v>
      </c>
      <c r="R129" s="29">
        <f>($H129*$F$3)*VLOOKUP(MONTH(R$9),Modeling!$B$19:$F$31,5,FALSE)</f>
        <v>2962.5960000000005</v>
      </c>
      <c r="S129" s="29">
        <f>($H129*$F$3)*VLOOKUP(MONTH(S$9),Modeling!$B$19:$F$31,5,FALSE)</f>
        <v>1481.2980000000002</v>
      </c>
      <c r="T129" s="29">
        <f>($H129*$F$3)*VLOOKUP(MONTH(T$9),Modeling!$B$19:$F$31,5,FALSE)</f>
        <v>0</v>
      </c>
      <c r="U129" s="239">
        <f>($H129*$F$3)*VLOOKUP(MONTH(U$9),Modeling!$B$19:$F$31,5,FALSE)</f>
        <v>0</v>
      </c>
      <c r="V129" s="29">
        <f>J129*(1+Inputs!$C$35)</f>
        <v>0</v>
      </c>
      <c r="W129" s="29">
        <f>K129*(1+Inputs!$C$35)</f>
        <v>0</v>
      </c>
      <c r="X129" s="29">
        <f>L129*(1+Inputs!$C$35)</f>
        <v>3036.6609000000003</v>
      </c>
      <c r="Y129" s="29">
        <f>M129*(1+Inputs!$C$35)</f>
        <v>1518.3304500000002</v>
      </c>
      <c r="Z129" s="29">
        <f>N129*(1+Inputs!$C$35)</f>
        <v>1518.3304500000002</v>
      </c>
      <c r="AA129" s="29">
        <f>O129*(1+Inputs!$C$35)</f>
        <v>1518.3304500000002</v>
      </c>
      <c r="AB129" s="29">
        <f>P129*(1+Inputs!$C$35)</f>
        <v>1518.3304500000002</v>
      </c>
      <c r="AC129" s="29">
        <f>Q129*(1+Inputs!$C$35)</f>
        <v>1518.3304500000002</v>
      </c>
      <c r="AD129" s="29">
        <f>R129*(1+Inputs!$C$35)</f>
        <v>3036.6609000000003</v>
      </c>
      <c r="AE129" s="29">
        <f>S129*(1+Inputs!$C$35)</f>
        <v>1518.3304500000002</v>
      </c>
      <c r="AF129" s="29">
        <f>T129*(1+Inputs!$C$35)</f>
        <v>0</v>
      </c>
      <c r="AG129" s="239">
        <f>U129*(1+Inputs!$C$35)</f>
        <v>0</v>
      </c>
      <c r="AH129" s="29">
        <f>V129*(1+Inputs!$C$35)</f>
        <v>0</v>
      </c>
      <c r="AI129" s="29">
        <f>W129*(1+Inputs!$C$35)</f>
        <v>0</v>
      </c>
      <c r="AJ129" s="29">
        <f>X129*(1+Inputs!$C$35)</f>
        <v>3112.5774225</v>
      </c>
      <c r="AK129" s="29">
        <f>Y129*(1+Inputs!$C$35)</f>
        <v>1556.28871125</v>
      </c>
      <c r="AL129" s="29">
        <f>Z129*(1+Inputs!$C$35)</f>
        <v>1556.28871125</v>
      </c>
      <c r="AM129" s="29">
        <f>AA129*(1+Inputs!$C$35)</f>
        <v>1556.28871125</v>
      </c>
      <c r="AN129" s="29">
        <f>AB129*(1+Inputs!$C$35)</f>
        <v>1556.28871125</v>
      </c>
      <c r="AO129" s="29">
        <f>AC129*(1+Inputs!$C$35)</f>
        <v>1556.28871125</v>
      </c>
      <c r="AP129" s="29">
        <f>AD129*(1+Inputs!$C$35)</f>
        <v>3112.5774225</v>
      </c>
      <c r="AQ129" s="29">
        <f>AE129*(1+Inputs!$C$35)</f>
        <v>1556.28871125</v>
      </c>
      <c r="AR129" s="29">
        <f>AF129*(1+Inputs!$C$35)</f>
        <v>0</v>
      </c>
      <c r="AS129" s="239">
        <f>AG129*(1+Inputs!$C$35)</f>
        <v>0</v>
      </c>
      <c r="AT129" s="29">
        <f>AH129*(1+Inputs!$C$35)</f>
        <v>0</v>
      </c>
      <c r="AU129" s="29">
        <f>AI129*(1+Inputs!$C$35)</f>
        <v>0</v>
      </c>
      <c r="AV129" s="29">
        <f>AJ129*(1+Inputs!$C$35)</f>
        <v>3190.3918580624995</v>
      </c>
      <c r="AW129" s="29">
        <f>AK129*(1+Inputs!$C$35)</f>
        <v>1595.1959290312498</v>
      </c>
      <c r="AX129" s="29">
        <f>AL129*(1+Inputs!$C$35)</f>
        <v>1595.1959290312498</v>
      </c>
      <c r="AY129" s="29">
        <f>AM129*(1+Inputs!$C$35)</f>
        <v>1595.1959290312498</v>
      </c>
      <c r="AZ129" s="29">
        <f>AN129*(1+Inputs!$C$35)</f>
        <v>1595.1959290312498</v>
      </c>
      <c r="BA129" s="29">
        <f>AO129*(1+Inputs!$C$35)</f>
        <v>1595.1959290312498</v>
      </c>
      <c r="BB129" s="29">
        <f>AP129*(1+Inputs!$C$35)</f>
        <v>3190.3918580624995</v>
      </c>
      <c r="BC129" s="29">
        <f>AQ129*(1+Inputs!$C$35)</f>
        <v>1595.1959290312498</v>
      </c>
      <c r="BD129" s="29">
        <f>AR129*(1+Inputs!$C$35)</f>
        <v>0</v>
      </c>
      <c r="BE129" s="239">
        <f>AS129*(1+Inputs!$C$35)</f>
        <v>0</v>
      </c>
      <c r="BF129" s="29">
        <f>AT129*(1+Inputs!$C$35)</f>
        <v>0</v>
      </c>
      <c r="BG129" s="29">
        <f>AU129*(1+Inputs!$C$35)</f>
        <v>0</v>
      </c>
      <c r="BH129" s="29">
        <f>AV129*(1+Inputs!$C$35)</f>
        <v>3270.1516545140616</v>
      </c>
      <c r="BI129" s="29">
        <f>AW129*(1+Inputs!$C$35)</f>
        <v>1635.0758272570308</v>
      </c>
      <c r="BJ129" s="29">
        <f>AX129*(1+Inputs!$C$35)</f>
        <v>1635.0758272570308</v>
      </c>
      <c r="BK129" s="29">
        <f>AY129*(1+Inputs!$C$35)</f>
        <v>1635.0758272570308</v>
      </c>
      <c r="BL129" s="29">
        <f>AZ129*(1+Inputs!$C$35)</f>
        <v>1635.0758272570308</v>
      </c>
      <c r="BM129" s="29">
        <f>BA129*(1+Inputs!$C$35)</f>
        <v>1635.0758272570308</v>
      </c>
      <c r="BN129" s="29">
        <f>BB129*(1+Inputs!$C$35)</f>
        <v>3270.1516545140616</v>
      </c>
      <c r="BO129" s="29">
        <f>BC129*(1+Inputs!$C$35)</f>
        <v>1635.0758272570308</v>
      </c>
      <c r="BP129" s="29">
        <f>BD129*(1+Inputs!$C$35)</f>
        <v>0</v>
      </c>
      <c r="BQ129" s="29">
        <f>BE129*(1+Inputs!$C$35)</f>
        <v>0</v>
      </c>
      <c r="BR129" s="29">
        <f>BF129*(1+Inputs!$C$35)</f>
        <v>0</v>
      </c>
      <c r="BS129" s="29">
        <f>BG129*(1+Inputs!$C$35)</f>
        <v>0</v>
      </c>
      <c r="BT129" s="29">
        <f>BH129*(1+Inputs!$C$35)</f>
        <v>3351.9054458769128</v>
      </c>
      <c r="BU129" s="29">
        <f>BI129*(1+Inputs!$C$35)</f>
        <v>1675.9527229384564</v>
      </c>
      <c r="BW129" s="29">
        <f t="shared" ref="BW129:CA129" si="168">SUMIF($J$6:$BU$6,BW$9,$J129:$BU129)</f>
        <v>14812.980000000005</v>
      </c>
      <c r="BX129" s="29">
        <f t="shared" si="168"/>
        <v>15183.3045</v>
      </c>
      <c r="BY129" s="29">
        <f t="shared" si="168"/>
        <v>15562.887112499999</v>
      </c>
      <c r="BZ129" s="29">
        <f t="shared" si="168"/>
        <v>15951.959290312498</v>
      </c>
      <c r="CA129" s="29">
        <f t="shared" si="168"/>
        <v>16350.758272570309</v>
      </c>
      <c r="CB129" s="29">
        <f>CA129*(1+Inputs!$C$35)</f>
        <v>16759.527229384566</v>
      </c>
      <c r="CC129" s="29">
        <f>CB129*(1+Inputs!$C$35)</f>
        <v>17178.51541011918</v>
      </c>
      <c r="CD129" s="29">
        <f>CC129*(1+Inputs!$C$35)</f>
        <v>17607.978295372159</v>
      </c>
      <c r="CE129" s="29">
        <f>CD129*(1+Inputs!$C$35)</f>
        <v>18048.177752756463</v>
      </c>
      <c r="CF129" s="29">
        <f>CE129*(1+Inputs!$C$35)</f>
        <v>18499.382196575374</v>
      </c>
      <c r="CG129" s="29">
        <f>CF129*(1+Inputs!$C$35)</f>
        <v>18961.866751489757</v>
      </c>
      <c r="CH129" s="29">
        <f>CG129*(1+Inputs!$C$35)</f>
        <v>19435.913420277</v>
      </c>
      <c r="CI129" s="29">
        <f>CH129*(1+Inputs!$C$35)</f>
        <v>19921.811255783923</v>
      </c>
      <c r="CJ129" s="29">
        <f>CI129*(1+Inputs!$C$35)</f>
        <v>20419.856537178519</v>
      </c>
      <c r="CK129" s="29">
        <f>CJ129*(1+Inputs!$C$35)</f>
        <v>20930.352950607979</v>
      </c>
    </row>
    <row r="130" spans="1:89" ht="14.25" customHeight="1" x14ac:dyDescent="0.2">
      <c r="A130" s="11">
        <f t="shared" si="58"/>
        <v>0</v>
      </c>
      <c r="B130" s="56">
        <f t="shared" ref="B130:B148" si="169">F130</f>
        <v>6174</v>
      </c>
      <c r="D130" s="56"/>
      <c r="F130" s="56">
        <v>6174</v>
      </c>
      <c r="G130" s="11" t="s">
        <v>199</v>
      </c>
      <c r="H130" s="35">
        <f>VLOOKUP($F130,Inputs!$L:$Q,6,FALSE)</f>
        <v>9.9999999999999995E-8</v>
      </c>
      <c r="I130" s="1"/>
      <c r="J130" s="29">
        <f t="shared" ref="J130:U130" si="170">$H130</f>
        <v>9.9999999999999995E-8</v>
      </c>
      <c r="K130" s="29">
        <f t="shared" si="170"/>
        <v>9.9999999999999995E-8</v>
      </c>
      <c r="L130" s="29">
        <f t="shared" si="170"/>
        <v>9.9999999999999995E-8</v>
      </c>
      <c r="M130" s="29">
        <f t="shared" si="170"/>
        <v>9.9999999999999995E-8</v>
      </c>
      <c r="N130" s="29">
        <f t="shared" si="170"/>
        <v>9.9999999999999995E-8</v>
      </c>
      <c r="O130" s="29">
        <f t="shared" si="170"/>
        <v>9.9999999999999995E-8</v>
      </c>
      <c r="P130" s="29">
        <f t="shared" si="170"/>
        <v>9.9999999999999995E-8</v>
      </c>
      <c r="Q130" s="29">
        <f t="shared" si="170"/>
        <v>9.9999999999999995E-8</v>
      </c>
      <c r="R130" s="29">
        <f t="shared" si="170"/>
        <v>9.9999999999999995E-8</v>
      </c>
      <c r="S130" s="29">
        <f t="shared" si="170"/>
        <v>9.9999999999999995E-8</v>
      </c>
      <c r="T130" s="29">
        <f t="shared" si="170"/>
        <v>9.9999999999999995E-8</v>
      </c>
      <c r="U130" s="239">
        <f t="shared" si="170"/>
        <v>9.9999999999999995E-8</v>
      </c>
      <c r="V130" s="29">
        <f>J130*(1+Inputs!$C$35)</f>
        <v>1.0249999999999998E-7</v>
      </c>
      <c r="W130" s="29">
        <f>K130*(1+Inputs!$C$35)</f>
        <v>1.0249999999999998E-7</v>
      </c>
      <c r="X130" s="29">
        <f>L130*(1+Inputs!$C$35)</f>
        <v>1.0249999999999998E-7</v>
      </c>
      <c r="Y130" s="29">
        <f>M130*(1+Inputs!$C$35)</f>
        <v>1.0249999999999998E-7</v>
      </c>
      <c r="Z130" s="29">
        <f>N130*(1+Inputs!$C$35)</f>
        <v>1.0249999999999998E-7</v>
      </c>
      <c r="AA130" s="29">
        <f>O130*(1+Inputs!$C$35)</f>
        <v>1.0249999999999998E-7</v>
      </c>
      <c r="AB130" s="29">
        <f>P130*(1+Inputs!$C$35)</f>
        <v>1.0249999999999998E-7</v>
      </c>
      <c r="AC130" s="29">
        <f>Q130*(1+Inputs!$C$35)</f>
        <v>1.0249999999999998E-7</v>
      </c>
      <c r="AD130" s="29">
        <f>R130*(1+Inputs!$C$35)</f>
        <v>1.0249999999999998E-7</v>
      </c>
      <c r="AE130" s="29">
        <f>S130*(1+Inputs!$C$35)</f>
        <v>1.0249999999999998E-7</v>
      </c>
      <c r="AF130" s="29">
        <f>T130*(1+Inputs!$C$35)</f>
        <v>1.0249999999999998E-7</v>
      </c>
      <c r="AG130" s="239">
        <f>U130*(1+Inputs!$C$35)</f>
        <v>1.0249999999999998E-7</v>
      </c>
      <c r="AH130" s="29">
        <f>V130*(1+Inputs!$C$35)</f>
        <v>1.0506249999999998E-7</v>
      </c>
      <c r="AI130" s="29">
        <f>W130*(1+Inputs!$C$35)</f>
        <v>1.0506249999999998E-7</v>
      </c>
      <c r="AJ130" s="29">
        <f>X130*(1+Inputs!$C$35)</f>
        <v>1.0506249999999998E-7</v>
      </c>
      <c r="AK130" s="29">
        <f>Y130*(1+Inputs!$C$35)</f>
        <v>1.0506249999999998E-7</v>
      </c>
      <c r="AL130" s="29">
        <f>Z130*(1+Inputs!$C$35)</f>
        <v>1.0506249999999998E-7</v>
      </c>
      <c r="AM130" s="29">
        <f>AA130*(1+Inputs!$C$35)</f>
        <v>1.0506249999999998E-7</v>
      </c>
      <c r="AN130" s="29">
        <f>AB130*(1+Inputs!$C$35)</f>
        <v>1.0506249999999998E-7</v>
      </c>
      <c r="AO130" s="29">
        <f>AC130*(1+Inputs!$C$35)</f>
        <v>1.0506249999999998E-7</v>
      </c>
      <c r="AP130" s="29">
        <f>AD130*(1+Inputs!$C$35)</f>
        <v>1.0506249999999998E-7</v>
      </c>
      <c r="AQ130" s="29">
        <f>AE130*(1+Inputs!$C$35)</f>
        <v>1.0506249999999998E-7</v>
      </c>
      <c r="AR130" s="29">
        <f>AF130*(1+Inputs!$C$35)</f>
        <v>1.0506249999999998E-7</v>
      </c>
      <c r="AS130" s="239">
        <f>AG130*(1+Inputs!$C$35)</f>
        <v>1.0506249999999998E-7</v>
      </c>
      <c r="AT130" s="29">
        <f>AH130*(1+Inputs!$C$35)</f>
        <v>1.0768906249999997E-7</v>
      </c>
      <c r="AU130" s="29">
        <f>AI130*(1+Inputs!$C$35)</f>
        <v>1.0768906249999997E-7</v>
      </c>
      <c r="AV130" s="29">
        <f>AJ130*(1+Inputs!$C$35)</f>
        <v>1.0768906249999997E-7</v>
      </c>
      <c r="AW130" s="29">
        <f>AK130*(1+Inputs!$C$35)</f>
        <v>1.0768906249999997E-7</v>
      </c>
      <c r="AX130" s="29">
        <f>AL130*(1+Inputs!$C$35)</f>
        <v>1.0768906249999997E-7</v>
      </c>
      <c r="AY130" s="29">
        <f>AM130*(1+Inputs!$C$35)</f>
        <v>1.0768906249999997E-7</v>
      </c>
      <c r="AZ130" s="29">
        <f>AN130*(1+Inputs!$C$35)</f>
        <v>1.0768906249999997E-7</v>
      </c>
      <c r="BA130" s="29">
        <f>AO130*(1+Inputs!$C$35)</f>
        <v>1.0768906249999997E-7</v>
      </c>
      <c r="BB130" s="29">
        <f>AP130*(1+Inputs!$C$35)</f>
        <v>1.0768906249999997E-7</v>
      </c>
      <c r="BC130" s="29">
        <f>AQ130*(1+Inputs!$C$35)</f>
        <v>1.0768906249999997E-7</v>
      </c>
      <c r="BD130" s="29">
        <f>AR130*(1+Inputs!$C$35)</f>
        <v>1.0768906249999997E-7</v>
      </c>
      <c r="BE130" s="239">
        <f>AS130*(1+Inputs!$C$35)</f>
        <v>1.0768906249999997E-7</v>
      </c>
      <c r="BF130" s="29">
        <f>AT130*(1+Inputs!$C$35)</f>
        <v>1.1038128906249996E-7</v>
      </c>
      <c r="BG130" s="29">
        <f>AU130*(1+Inputs!$C$35)</f>
        <v>1.1038128906249996E-7</v>
      </c>
      <c r="BH130" s="29">
        <f>AV130*(1+Inputs!$C$35)</f>
        <v>1.1038128906249996E-7</v>
      </c>
      <c r="BI130" s="29">
        <f>AW130*(1+Inputs!$C$35)</f>
        <v>1.1038128906249996E-7</v>
      </c>
      <c r="BJ130" s="29">
        <f>AX130*(1+Inputs!$C$35)</f>
        <v>1.1038128906249996E-7</v>
      </c>
      <c r="BK130" s="29">
        <f>AY130*(1+Inputs!$C$35)</f>
        <v>1.1038128906249996E-7</v>
      </c>
      <c r="BL130" s="29">
        <f>AZ130*(1+Inputs!$C$35)</f>
        <v>1.1038128906249996E-7</v>
      </c>
      <c r="BM130" s="29">
        <f>BA130*(1+Inputs!$C$35)</f>
        <v>1.1038128906249996E-7</v>
      </c>
      <c r="BN130" s="29">
        <f>BB130*(1+Inputs!$C$35)</f>
        <v>1.1038128906249996E-7</v>
      </c>
      <c r="BO130" s="29">
        <f>BC130*(1+Inputs!$C$35)</f>
        <v>1.1038128906249996E-7</v>
      </c>
      <c r="BP130" s="29">
        <f>BD130*(1+Inputs!$C$35)</f>
        <v>1.1038128906249996E-7</v>
      </c>
      <c r="BQ130" s="29">
        <f>BE130*(1+Inputs!$C$35)</f>
        <v>1.1038128906249996E-7</v>
      </c>
      <c r="BR130" s="29">
        <f>BF130*(1+Inputs!$C$35)</f>
        <v>1.1314082128906244E-7</v>
      </c>
      <c r="BS130" s="29">
        <f>BG130*(1+Inputs!$C$35)</f>
        <v>1.1314082128906244E-7</v>
      </c>
      <c r="BT130" s="29">
        <f>BH130*(1+Inputs!$C$35)</f>
        <v>1.1314082128906244E-7</v>
      </c>
      <c r="BU130" s="29">
        <f>BI130*(1+Inputs!$C$35)</f>
        <v>1.1314082128906244E-7</v>
      </c>
      <c r="BW130" s="29">
        <f t="shared" ref="BW130:CA130" si="171">SUMIF($J$6:$BU$6,BW$9,$J130:$BU130)</f>
        <v>1.1999999999999999E-6</v>
      </c>
      <c r="BX130" s="29">
        <f t="shared" si="171"/>
        <v>1.2300000000000001E-6</v>
      </c>
      <c r="BY130" s="29">
        <f t="shared" si="171"/>
        <v>1.2607499999999997E-6</v>
      </c>
      <c r="BZ130" s="29">
        <f t="shared" si="171"/>
        <v>1.2922687499999992E-6</v>
      </c>
      <c r="CA130" s="29">
        <f t="shared" si="171"/>
        <v>1.3245754687499998E-6</v>
      </c>
      <c r="CB130" s="29">
        <f>CA130*(1+Inputs!$C$35)</f>
        <v>1.3576898554687496E-6</v>
      </c>
      <c r="CC130" s="29">
        <f>CB130*(1+Inputs!$C$35)</f>
        <v>1.3916321018554682E-6</v>
      </c>
      <c r="CD130" s="29">
        <f>CC130*(1+Inputs!$C$35)</f>
        <v>1.4264229044018548E-6</v>
      </c>
      <c r="CE130" s="29">
        <f>CD130*(1+Inputs!$C$35)</f>
        <v>1.4620834770119011E-6</v>
      </c>
      <c r="CF130" s="29">
        <f>CE130*(1+Inputs!$C$35)</f>
        <v>1.4986355639371984E-6</v>
      </c>
      <c r="CG130" s="29">
        <f>CF130*(1+Inputs!$C$35)</f>
        <v>1.5361014530356282E-6</v>
      </c>
      <c r="CH130" s="29">
        <f>CG130*(1+Inputs!$C$35)</f>
        <v>1.5745039893615188E-6</v>
      </c>
      <c r="CI130" s="29">
        <f>CH130*(1+Inputs!$C$35)</f>
        <v>1.6138665890955567E-6</v>
      </c>
      <c r="CJ130" s="29">
        <f>CI130*(1+Inputs!$C$35)</f>
        <v>1.6542132538229455E-6</v>
      </c>
      <c r="CK130" s="29">
        <f>CJ130*(1+Inputs!$C$35)</f>
        <v>1.6955685851685191E-6</v>
      </c>
    </row>
    <row r="131" spans="1:89" ht="14.25" customHeight="1" x14ac:dyDescent="0.2">
      <c r="A131" s="11">
        <f t="shared" si="58"/>
        <v>0</v>
      </c>
      <c r="B131" s="56">
        <f t="shared" si="169"/>
        <v>6176</v>
      </c>
      <c r="D131" s="56"/>
      <c r="F131" s="56">
        <v>6176</v>
      </c>
      <c r="G131" s="11" t="s">
        <v>202</v>
      </c>
      <c r="H131" s="35">
        <f>VLOOKUP($F131,Inputs!$L:$Q,6,FALSE)</f>
        <v>0</v>
      </c>
      <c r="I131" s="1"/>
      <c r="J131" s="29">
        <f t="shared" ref="J131:U131" si="172">$H131</f>
        <v>0</v>
      </c>
      <c r="K131" s="29">
        <f t="shared" si="172"/>
        <v>0</v>
      </c>
      <c r="L131" s="29">
        <f t="shared" si="172"/>
        <v>0</v>
      </c>
      <c r="M131" s="29">
        <f t="shared" si="172"/>
        <v>0</v>
      </c>
      <c r="N131" s="29">
        <f t="shared" si="172"/>
        <v>0</v>
      </c>
      <c r="O131" s="29">
        <f t="shared" si="172"/>
        <v>0</v>
      </c>
      <c r="P131" s="29">
        <f t="shared" si="172"/>
        <v>0</v>
      </c>
      <c r="Q131" s="29">
        <f t="shared" si="172"/>
        <v>0</v>
      </c>
      <c r="R131" s="29">
        <f t="shared" si="172"/>
        <v>0</v>
      </c>
      <c r="S131" s="29">
        <f t="shared" si="172"/>
        <v>0</v>
      </c>
      <c r="T131" s="29">
        <f t="shared" si="172"/>
        <v>0</v>
      </c>
      <c r="U131" s="239">
        <f t="shared" si="172"/>
        <v>0</v>
      </c>
      <c r="V131" s="29">
        <f>J131*(1+Inputs!$C$35)</f>
        <v>0</v>
      </c>
      <c r="W131" s="29">
        <f>K131*(1+Inputs!$C$35)</f>
        <v>0</v>
      </c>
      <c r="X131" s="29">
        <f>L131*(1+Inputs!$C$35)</f>
        <v>0</v>
      </c>
      <c r="Y131" s="29">
        <f>M131*(1+Inputs!$C$35)</f>
        <v>0</v>
      </c>
      <c r="Z131" s="29">
        <f>N131*(1+Inputs!$C$35)</f>
        <v>0</v>
      </c>
      <c r="AA131" s="29">
        <f>O131*(1+Inputs!$C$35)</f>
        <v>0</v>
      </c>
      <c r="AB131" s="29">
        <f>P131*(1+Inputs!$C$35)</f>
        <v>0</v>
      </c>
      <c r="AC131" s="29">
        <f>Q131*(1+Inputs!$C$35)</f>
        <v>0</v>
      </c>
      <c r="AD131" s="29">
        <f>R131*(1+Inputs!$C$35)</f>
        <v>0</v>
      </c>
      <c r="AE131" s="29">
        <f>S131*(1+Inputs!$C$35)</f>
        <v>0</v>
      </c>
      <c r="AF131" s="29">
        <f>T131*(1+Inputs!$C$35)</f>
        <v>0</v>
      </c>
      <c r="AG131" s="239">
        <f>U131*(1+Inputs!$C$35)</f>
        <v>0</v>
      </c>
      <c r="AH131" s="29">
        <f>V131*(1+Inputs!$C$35)</f>
        <v>0</v>
      </c>
      <c r="AI131" s="29">
        <f>W131*(1+Inputs!$C$35)</f>
        <v>0</v>
      </c>
      <c r="AJ131" s="29">
        <f>X131*(1+Inputs!$C$35)</f>
        <v>0</v>
      </c>
      <c r="AK131" s="29">
        <f>Y131*(1+Inputs!$C$35)</f>
        <v>0</v>
      </c>
      <c r="AL131" s="29">
        <f>Z131*(1+Inputs!$C$35)</f>
        <v>0</v>
      </c>
      <c r="AM131" s="29">
        <f>AA131*(1+Inputs!$C$35)</f>
        <v>0</v>
      </c>
      <c r="AN131" s="29">
        <f>AB131*(1+Inputs!$C$35)</f>
        <v>0</v>
      </c>
      <c r="AO131" s="29">
        <f>AC131*(1+Inputs!$C$35)</f>
        <v>0</v>
      </c>
      <c r="AP131" s="29">
        <f>AD131*(1+Inputs!$C$35)</f>
        <v>0</v>
      </c>
      <c r="AQ131" s="29">
        <f>AE131*(1+Inputs!$C$35)</f>
        <v>0</v>
      </c>
      <c r="AR131" s="29">
        <f>AF131*(1+Inputs!$C$35)</f>
        <v>0</v>
      </c>
      <c r="AS131" s="239">
        <f>AG131*(1+Inputs!$C$35)</f>
        <v>0</v>
      </c>
      <c r="AT131" s="29">
        <f>AH131*(1+Inputs!$C$35)</f>
        <v>0</v>
      </c>
      <c r="AU131" s="29">
        <f>AI131*(1+Inputs!$C$35)</f>
        <v>0</v>
      </c>
      <c r="AV131" s="29">
        <f>AJ131*(1+Inputs!$C$35)</f>
        <v>0</v>
      </c>
      <c r="AW131" s="29">
        <f>AK131*(1+Inputs!$C$35)</f>
        <v>0</v>
      </c>
      <c r="AX131" s="29">
        <f>AL131*(1+Inputs!$C$35)</f>
        <v>0</v>
      </c>
      <c r="AY131" s="29">
        <f>AM131*(1+Inputs!$C$35)</f>
        <v>0</v>
      </c>
      <c r="AZ131" s="29">
        <f>AN131*(1+Inputs!$C$35)</f>
        <v>0</v>
      </c>
      <c r="BA131" s="29">
        <f>AO131*(1+Inputs!$C$35)</f>
        <v>0</v>
      </c>
      <c r="BB131" s="29">
        <f>AP131*(1+Inputs!$C$35)</f>
        <v>0</v>
      </c>
      <c r="BC131" s="29">
        <f>AQ131*(1+Inputs!$C$35)</f>
        <v>0</v>
      </c>
      <c r="BD131" s="29">
        <f>AR131*(1+Inputs!$C$35)</f>
        <v>0</v>
      </c>
      <c r="BE131" s="239">
        <f>AS131*(1+Inputs!$C$35)</f>
        <v>0</v>
      </c>
      <c r="BF131" s="29">
        <f>AT131*(1+Inputs!$C$35)</f>
        <v>0</v>
      </c>
      <c r="BG131" s="29">
        <f>AU131*(1+Inputs!$C$35)</f>
        <v>0</v>
      </c>
      <c r="BH131" s="29">
        <f>AV131*(1+Inputs!$C$35)</f>
        <v>0</v>
      </c>
      <c r="BI131" s="29">
        <f>AW131*(1+Inputs!$C$35)</f>
        <v>0</v>
      </c>
      <c r="BJ131" s="29">
        <f>AX131*(1+Inputs!$C$35)</f>
        <v>0</v>
      </c>
      <c r="BK131" s="29">
        <f>AY131*(1+Inputs!$C$35)</f>
        <v>0</v>
      </c>
      <c r="BL131" s="29">
        <f>AZ131*(1+Inputs!$C$35)</f>
        <v>0</v>
      </c>
      <c r="BM131" s="29">
        <f>BA131*(1+Inputs!$C$35)</f>
        <v>0</v>
      </c>
      <c r="BN131" s="29">
        <f>BB131*(1+Inputs!$C$35)</f>
        <v>0</v>
      </c>
      <c r="BO131" s="29">
        <f>BC131*(1+Inputs!$C$35)</f>
        <v>0</v>
      </c>
      <c r="BP131" s="29">
        <f>BD131*(1+Inputs!$C$35)</f>
        <v>0</v>
      </c>
      <c r="BQ131" s="29">
        <f>BE131*(1+Inputs!$C$35)</f>
        <v>0</v>
      </c>
      <c r="BR131" s="29">
        <f>BF131*(1+Inputs!$C$35)</f>
        <v>0</v>
      </c>
      <c r="BS131" s="29">
        <f>BG131*(1+Inputs!$C$35)</f>
        <v>0</v>
      </c>
      <c r="BT131" s="29">
        <f>BH131*(1+Inputs!$C$35)</f>
        <v>0</v>
      </c>
      <c r="BU131" s="29">
        <f>BI131*(1+Inputs!$C$35)</f>
        <v>0</v>
      </c>
      <c r="BW131" s="29">
        <f t="shared" ref="BW131:CA131" si="173">SUMIF($J$6:$BU$6,BW$9,$J131:$BU131)</f>
        <v>0</v>
      </c>
      <c r="BX131" s="29">
        <f t="shared" si="173"/>
        <v>0</v>
      </c>
      <c r="BY131" s="29">
        <f t="shared" si="173"/>
        <v>0</v>
      </c>
      <c r="BZ131" s="29">
        <f t="shared" si="173"/>
        <v>0</v>
      </c>
      <c r="CA131" s="29">
        <f t="shared" si="173"/>
        <v>0</v>
      </c>
      <c r="CB131" s="29">
        <f>CA131*(1+Inputs!$C$35)</f>
        <v>0</v>
      </c>
      <c r="CC131" s="29">
        <f>CB131*(1+Inputs!$C$35)</f>
        <v>0</v>
      </c>
      <c r="CD131" s="29">
        <f>CC131*(1+Inputs!$C$35)</f>
        <v>0</v>
      </c>
      <c r="CE131" s="29">
        <f>CD131*(1+Inputs!$C$35)</f>
        <v>0</v>
      </c>
      <c r="CF131" s="29">
        <f>CE131*(1+Inputs!$C$35)</f>
        <v>0</v>
      </c>
      <c r="CG131" s="29">
        <f>CF131*(1+Inputs!$C$35)</f>
        <v>0</v>
      </c>
      <c r="CH131" s="29">
        <f>CG131*(1+Inputs!$C$35)</f>
        <v>0</v>
      </c>
      <c r="CI131" s="29">
        <f>CH131*(1+Inputs!$C$35)</f>
        <v>0</v>
      </c>
      <c r="CJ131" s="29">
        <f>CI131*(1+Inputs!$C$35)</f>
        <v>0</v>
      </c>
      <c r="CK131" s="29">
        <f>CJ131*(1+Inputs!$C$35)</f>
        <v>0</v>
      </c>
    </row>
    <row r="132" spans="1:89" ht="14.25" customHeight="1" x14ac:dyDescent="0.2">
      <c r="A132" s="11">
        <f t="shared" si="58"/>
        <v>0</v>
      </c>
      <c r="B132" s="56">
        <f t="shared" si="169"/>
        <v>6182</v>
      </c>
      <c r="D132" s="56"/>
      <c r="F132" s="56">
        <v>6182</v>
      </c>
      <c r="G132" s="11" t="s">
        <v>206</v>
      </c>
      <c r="H132" s="35">
        <f>VLOOKUP($F132,Inputs!$L:$Q,6,FALSE)</f>
        <v>17</v>
      </c>
      <c r="I132" s="1"/>
      <c r="J132" s="29">
        <f t="shared" ref="J132:U132" si="174">$H132</f>
        <v>17</v>
      </c>
      <c r="K132" s="29">
        <f t="shared" si="174"/>
        <v>17</v>
      </c>
      <c r="L132" s="29">
        <f t="shared" si="174"/>
        <v>17</v>
      </c>
      <c r="M132" s="29">
        <f t="shared" si="174"/>
        <v>17</v>
      </c>
      <c r="N132" s="29">
        <f t="shared" si="174"/>
        <v>17</v>
      </c>
      <c r="O132" s="29">
        <f t="shared" si="174"/>
        <v>17</v>
      </c>
      <c r="P132" s="29">
        <f t="shared" si="174"/>
        <v>17</v>
      </c>
      <c r="Q132" s="29">
        <f t="shared" si="174"/>
        <v>17</v>
      </c>
      <c r="R132" s="29">
        <f t="shared" si="174"/>
        <v>17</v>
      </c>
      <c r="S132" s="29">
        <f t="shared" si="174"/>
        <v>17</v>
      </c>
      <c r="T132" s="29">
        <f t="shared" si="174"/>
        <v>17</v>
      </c>
      <c r="U132" s="239">
        <f t="shared" si="174"/>
        <v>17</v>
      </c>
      <c r="V132" s="29">
        <f>J132*(1+Inputs!$C$35)</f>
        <v>17.424999999999997</v>
      </c>
      <c r="W132" s="29">
        <f>K132*(1+Inputs!$C$35)</f>
        <v>17.424999999999997</v>
      </c>
      <c r="X132" s="29">
        <f>L132*(1+Inputs!$C$35)</f>
        <v>17.424999999999997</v>
      </c>
      <c r="Y132" s="29">
        <f>M132*(1+Inputs!$C$35)</f>
        <v>17.424999999999997</v>
      </c>
      <c r="Z132" s="29">
        <f>N132*(1+Inputs!$C$35)</f>
        <v>17.424999999999997</v>
      </c>
      <c r="AA132" s="29">
        <f>O132*(1+Inputs!$C$35)</f>
        <v>17.424999999999997</v>
      </c>
      <c r="AB132" s="29">
        <f>P132*(1+Inputs!$C$35)</f>
        <v>17.424999999999997</v>
      </c>
      <c r="AC132" s="29">
        <f>Q132*(1+Inputs!$C$35)</f>
        <v>17.424999999999997</v>
      </c>
      <c r="AD132" s="29">
        <f>R132*(1+Inputs!$C$35)</f>
        <v>17.424999999999997</v>
      </c>
      <c r="AE132" s="29">
        <f>S132*(1+Inputs!$C$35)</f>
        <v>17.424999999999997</v>
      </c>
      <c r="AF132" s="29">
        <f>T132*(1+Inputs!$C$35)</f>
        <v>17.424999999999997</v>
      </c>
      <c r="AG132" s="239">
        <f>U132*(1+Inputs!$C$35)</f>
        <v>17.424999999999997</v>
      </c>
      <c r="AH132" s="29">
        <f>V132*(1+Inputs!$C$35)</f>
        <v>17.860624999999995</v>
      </c>
      <c r="AI132" s="29">
        <f>W132*(1+Inputs!$C$35)</f>
        <v>17.860624999999995</v>
      </c>
      <c r="AJ132" s="29">
        <f>X132*(1+Inputs!$C$35)</f>
        <v>17.860624999999995</v>
      </c>
      <c r="AK132" s="29">
        <f>Y132*(1+Inputs!$C$35)</f>
        <v>17.860624999999995</v>
      </c>
      <c r="AL132" s="29">
        <f>Z132*(1+Inputs!$C$35)</f>
        <v>17.860624999999995</v>
      </c>
      <c r="AM132" s="29">
        <f>AA132*(1+Inputs!$C$35)</f>
        <v>17.860624999999995</v>
      </c>
      <c r="AN132" s="29">
        <f>AB132*(1+Inputs!$C$35)</f>
        <v>17.860624999999995</v>
      </c>
      <c r="AO132" s="29">
        <f>AC132*(1+Inputs!$C$35)</f>
        <v>17.860624999999995</v>
      </c>
      <c r="AP132" s="29">
        <f>AD132*(1+Inputs!$C$35)</f>
        <v>17.860624999999995</v>
      </c>
      <c r="AQ132" s="29">
        <f>AE132*(1+Inputs!$C$35)</f>
        <v>17.860624999999995</v>
      </c>
      <c r="AR132" s="29">
        <f>AF132*(1+Inputs!$C$35)</f>
        <v>17.860624999999995</v>
      </c>
      <c r="AS132" s="239">
        <f>AG132*(1+Inputs!$C$35)</f>
        <v>17.860624999999995</v>
      </c>
      <c r="AT132" s="29">
        <f>AH132*(1+Inputs!$C$35)</f>
        <v>18.307140624999995</v>
      </c>
      <c r="AU132" s="29">
        <f>AI132*(1+Inputs!$C$35)</f>
        <v>18.307140624999995</v>
      </c>
      <c r="AV132" s="29">
        <f>AJ132*(1+Inputs!$C$35)</f>
        <v>18.307140624999995</v>
      </c>
      <c r="AW132" s="29">
        <f>AK132*(1+Inputs!$C$35)</f>
        <v>18.307140624999995</v>
      </c>
      <c r="AX132" s="29">
        <f>AL132*(1+Inputs!$C$35)</f>
        <v>18.307140624999995</v>
      </c>
      <c r="AY132" s="29">
        <f>AM132*(1+Inputs!$C$35)</f>
        <v>18.307140624999995</v>
      </c>
      <c r="AZ132" s="29">
        <f>AN132*(1+Inputs!$C$35)</f>
        <v>18.307140624999995</v>
      </c>
      <c r="BA132" s="29">
        <f>AO132*(1+Inputs!$C$35)</f>
        <v>18.307140624999995</v>
      </c>
      <c r="BB132" s="29">
        <f>AP132*(1+Inputs!$C$35)</f>
        <v>18.307140624999995</v>
      </c>
      <c r="BC132" s="29">
        <f>AQ132*(1+Inputs!$C$35)</f>
        <v>18.307140624999995</v>
      </c>
      <c r="BD132" s="29">
        <f>AR132*(1+Inputs!$C$35)</f>
        <v>18.307140624999995</v>
      </c>
      <c r="BE132" s="239">
        <f>AS132*(1+Inputs!$C$35)</f>
        <v>18.307140624999995</v>
      </c>
      <c r="BF132" s="29">
        <f>AT132*(1+Inputs!$C$35)</f>
        <v>18.764819140624994</v>
      </c>
      <c r="BG132" s="29">
        <f>AU132*(1+Inputs!$C$35)</f>
        <v>18.764819140624994</v>
      </c>
      <c r="BH132" s="29">
        <f>AV132*(1+Inputs!$C$35)</f>
        <v>18.764819140624994</v>
      </c>
      <c r="BI132" s="29">
        <f>AW132*(1+Inputs!$C$35)</f>
        <v>18.764819140624994</v>
      </c>
      <c r="BJ132" s="29">
        <f>AX132*(1+Inputs!$C$35)</f>
        <v>18.764819140624994</v>
      </c>
      <c r="BK132" s="29">
        <f>AY132*(1+Inputs!$C$35)</f>
        <v>18.764819140624994</v>
      </c>
      <c r="BL132" s="29">
        <f>AZ132*(1+Inputs!$C$35)</f>
        <v>18.764819140624994</v>
      </c>
      <c r="BM132" s="29">
        <f>BA132*(1+Inputs!$C$35)</f>
        <v>18.764819140624994</v>
      </c>
      <c r="BN132" s="29">
        <f>BB132*(1+Inputs!$C$35)</f>
        <v>18.764819140624994</v>
      </c>
      <c r="BO132" s="29">
        <f>BC132*(1+Inputs!$C$35)</f>
        <v>18.764819140624994</v>
      </c>
      <c r="BP132" s="29">
        <f>BD132*(1+Inputs!$C$35)</f>
        <v>18.764819140624994</v>
      </c>
      <c r="BQ132" s="29">
        <f>BE132*(1+Inputs!$C$35)</f>
        <v>18.764819140624994</v>
      </c>
      <c r="BR132" s="29">
        <f>BF132*(1+Inputs!$C$35)</f>
        <v>19.233939619140617</v>
      </c>
      <c r="BS132" s="29">
        <f>BG132*(1+Inputs!$C$35)</f>
        <v>19.233939619140617</v>
      </c>
      <c r="BT132" s="29">
        <f>BH132*(1+Inputs!$C$35)</f>
        <v>19.233939619140617</v>
      </c>
      <c r="BU132" s="29">
        <f>BI132*(1+Inputs!$C$35)</f>
        <v>19.233939619140617</v>
      </c>
      <c r="BW132" s="29">
        <f t="shared" ref="BW132:CA132" si="175">SUMIF($J$6:$BU$6,BW$9,$J132:$BU132)</f>
        <v>204</v>
      </c>
      <c r="BX132" s="29">
        <f t="shared" si="175"/>
        <v>209.10000000000002</v>
      </c>
      <c r="BY132" s="29">
        <f t="shared" si="175"/>
        <v>214.32749999999996</v>
      </c>
      <c r="BZ132" s="29">
        <f t="shared" si="175"/>
        <v>219.68568749999989</v>
      </c>
      <c r="CA132" s="29">
        <f t="shared" si="175"/>
        <v>225.17782968749987</v>
      </c>
      <c r="CB132" s="29">
        <f>CA132*(1+Inputs!$C$35)</f>
        <v>230.80727542968734</v>
      </c>
      <c r="CC132" s="29">
        <f>CB132*(1+Inputs!$C$35)</f>
        <v>236.57745731542951</v>
      </c>
      <c r="CD132" s="29">
        <f>CC132*(1+Inputs!$C$35)</f>
        <v>242.49189374831522</v>
      </c>
      <c r="CE132" s="29">
        <f>CD132*(1+Inputs!$C$35)</f>
        <v>248.55419109202307</v>
      </c>
      <c r="CF132" s="29">
        <f>CE132*(1+Inputs!$C$35)</f>
        <v>254.76804586932363</v>
      </c>
      <c r="CG132" s="29">
        <f>CF132*(1+Inputs!$C$35)</f>
        <v>261.13724701605668</v>
      </c>
      <c r="CH132" s="29">
        <f>CG132*(1+Inputs!$C$35)</f>
        <v>267.66567819145808</v>
      </c>
      <c r="CI132" s="29">
        <f>CH132*(1+Inputs!$C$35)</f>
        <v>274.35732014624449</v>
      </c>
      <c r="CJ132" s="29">
        <f>CI132*(1+Inputs!$C$35)</f>
        <v>281.21625314990058</v>
      </c>
      <c r="CK132" s="29">
        <f>CJ132*(1+Inputs!$C$35)</f>
        <v>288.2466594786481</v>
      </c>
    </row>
    <row r="133" spans="1:89" ht="14.25" customHeight="1" x14ac:dyDescent="0.2">
      <c r="A133" s="11">
        <f t="shared" si="58"/>
        <v>0</v>
      </c>
      <c r="B133" s="56">
        <f t="shared" si="169"/>
        <v>6190</v>
      </c>
      <c r="D133" s="56"/>
      <c r="F133" s="56">
        <v>6190</v>
      </c>
      <c r="G133" s="11" t="s">
        <v>210</v>
      </c>
      <c r="H133" s="35">
        <f>VLOOKUP($F133,Inputs!$L:$Q,6,FALSE)</f>
        <v>0</v>
      </c>
      <c r="I133" s="1"/>
      <c r="J133" s="29">
        <f t="shared" ref="J133:U133" si="176">$H133</f>
        <v>0</v>
      </c>
      <c r="K133" s="29">
        <f t="shared" si="176"/>
        <v>0</v>
      </c>
      <c r="L133" s="29">
        <f t="shared" si="176"/>
        <v>0</v>
      </c>
      <c r="M133" s="29">
        <f t="shared" si="176"/>
        <v>0</v>
      </c>
      <c r="N133" s="29">
        <f t="shared" si="176"/>
        <v>0</v>
      </c>
      <c r="O133" s="29">
        <f t="shared" si="176"/>
        <v>0</v>
      </c>
      <c r="P133" s="29">
        <f t="shared" si="176"/>
        <v>0</v>
      </c>
      <c r="Q133" s="29">
        <f t="shared" si="176"/>
        <v>0</v>
      </c>
      <c r="R133" s="29">
        <f t="shared" si="176"/>
        <v>0</v>
      </c>
      <c r="S133" s="29">
        <f t="shared" si="176"/>
        <v>0</v>
      </c>
      <c r="T133" s="29">
        <f t="shared" si="176"/>
        <v>0</v>
      </c>
      <c r="U133" s="239">
        <f t="shared" si="176"/>
        <v>0</v>
      </c>
      <c r="V133" s="29">
        <f>J133*(1+Inputs!$C$35)</f>
        <v>0</v>
      </c>
      <c r="W133" s="29">
        <f>K133*(1+Inputs!$C$35)</f>
        <v>0</v>
      </c>
      <c r="X133" s="29">
        <f>L133*(1+Inputs!$C$35)</f>
        <v>0</v>
      </c>
      <c r="Y133" s="29">
        <f>M133*(1+Inputs!$C$35)</f>
        <v>0</v>
      </c>
      <c r="Z133" s="29">
        <f>N133*(1+Inputs!$C$35)</f>
        <v>0</v>
      </c>
      <c r="AA133" s="29">
        <f>O133*(1+Inputs!$C$35)</f>
        <v>0</v>
      </c>
      <c r="AB133" s="29">
        <f>P133*(1+Inputs!$C$35)</f>
        <v>0</v>
      </c>
      <c r="AC133" s="29">
        <f>Q133*(1+Inputs!$C$35)</f>
        <v>0</v>
      </c>
      <c r="AD133" s="29">
        <f>R133*(1+Inputs!$C$35)</f>
        <v>0</v>
      </c>
      <c r="AE133" s="29">
        <f>S133*(1+Inputs!$C$35)</f>
        <v>0</v>
      </c>
      <c r="AF133" s="29">
        <f>T133*(1+Inputs!$C$35)</f>
        <v>0</v>
      </c>
      <c r="AG133" s="239">
        <f>U133*(1+Inputs!$C$35)</f>
        <v>0</v>
      </c>
      <c r="AH133" s="29">
        <f>V133*(1+Inputs!$C$35)</f>
        <v>0</v>
      </c>
      <c r="AI133" s="29">
        <f>W133*(1+Inputs!$C$35)</f>
        <v>0</v>
      </c>
      <c r="AJ133" s="29">
        <f>X133*(1+Inputs!$C$35)</f>
        <v>0</v>
      </c>
      <c r="AK133" s="29">
        <f>Y133*(1+Inputs!$C$35)</f>
        <v>0</v>
      </c>
      <c r="AL133" s="29">
        <f>Z133*(1+Inputs!$C$35)</f>
        <v>0</v>
      </c>
      <c r="AM133" s="29">
        <f>AA133*(1+Inputs!$C$35)</f>
        <v>0</v>
      </c>
      <c r="AN133" s="29">
        <f>AB133*(1+Inputs!$C$35)</f>
        <v>0</v>
      </c>
      <c r="AO133" s="29">
        <f>AC133*(1+Inputs!$C$35)</f>
        <v>0</v>
      </c>
      <c r="AP133" s="29">
        <f>AD133*(1+Inputs!$C$35)</f>
        <v>0</v>
      </c>
      <c r="AQ133" s="29">
        <f>AE133*(1+Inputs!$C$35)</f>
        <v>0</v>
      </c>
      <c r="AR133" s="29">
        <f>AF133*(1+Inputs!$C$35)</f>
        <v>0</v>
      </c>
      <c r="AS133" s="239">
        <f>AG133*(1+Inputs!$C$35)</f>
        <v>0</v>
      </c>
      <c r="AT133" s="29">
        <f>AH133*(1+Inputs!$C$35)</f>
        <v>0</v>
      </c>
      <c r="AU133" s="29">
        <f>AI133*(1+Inputs!$C$35)</f>
        <v>0</v>
      </c>
      <c r="AV133" s="29">
        <f>AJ133*(1+Inputs!$C$35)</f>
        <v>0</v>
      </c>
      <c r="AW133" s="29">
        <f>AK133*(1+Inputs!$C$35)</f>
        <v>0</v>
      </c>
      <c r="AX133" s="29">
        <f>AL133*(1+Inputs!$C$35)</f>
        <v>0</v>
      </c>
      <c r="AY133" s="29">
        <f>AM133*(1+Inputs!$C$35)</f>
        <v>0</v>
      </c>
      <c r="AZ133" s="29">
        <f>AN133*(1+Inputs!$C$35)</f>
        <v>0</v>
      </c>
      <c r="BA133" s="29">
        <f>AO133*(1+Inputs!$C$35)</f>
        <v>0</v>
      </c>
      <c r="BB133" s="29">
        <f>AP133*(1+Inputs!$C$35)</f>
        <v>0</v>
      </c>
      <c r="BC133" s="29">
        <f>AQ133*(1+Inputs!$C$35)</f>
        <v>0</v>
      </c>
      <c r="BD133" s="29">
        <f>AR133*(1+Inputs!$C$35)</f>
        <v>0</v>
      </c>
      <c r="BE133" s="239">
        <f>AS133*(1+Inputs!$C$35)</f>
        <v>0</v>
      </c>
      <c r="BF133" s="29">
        <f>AT133*(1+Inputs!$C$35)</f>
        <v>0</v>
      </c>
      <c r="BG133" s="29">
        <f>AU133*(1+Inputs!$C$35)</f>
        <v>0</v>
      </c>
      <c r="BH133" s="29">
        <f>AV133*(1+Inputs!$C$35)</f>
        <v>0</v>
      </c>
      <c r="BI133" s="29">
        <f>AW133*(1+Inputs!$C$35)</f>
        <v>0</v>
      </c>
      <c r="BJ133" s="29">
        <f>AX133*(1+Inputs!$C$35)</f>
        <v>0</v>
      </c>
      <c r="BK133" s="29">
        <f>AY133*(1+Inputs!$C$35)</f>
        <v>0</v>
      </c>
      <c r="BL133" s="29">
        <f>AZ133*(1+Inputs!$C$35)</f>
        <v>0</v>
      </c>
      <c r="BM133" s="29">
        <f>BA133*(1+Inputs!$C$35)</f>
        <v>0</v>
      </c>
      <c r="BN133" s="29">
        <f>BB133*(1+Inputs!$C$35)</f>
        <v>0</v>
      </c>
      <c r="BO133" s="29">
        <f>BC133*(1+Inputs!$C$35)</f>
        <v>0</v>
      </c>
      <c r="BP133" s="29">
        <f>BD133*(1+Inputs!$C$35)</f>
        <v>0</v>
      </c>
      <c r="BQ133" s="29">
        <f>BE133*(1+Inputs!$C$35)</f>
        <v>0</v>
      </c>
      <c r="BR133" s="29">
        <f>BF133*(1+Inputs!$C$35)</f>
        <v>0</v>
      </c>
      <c r="BS133" s="29">
        <f>BG133*(1+Inputs!$C$35)</f>
        <v>0</v>
      </c>
      <c r="BT133" s="29">
        <f>BH133*(1+Inputs!$C$35)</f>
        <v>0</v>
      </c>
      <c r="BU133" s="29">
        <f>BI133*(1+Inputs!$C$35)</f>
        <v>0</v>
      </c>
      <c r="BW133" s="29">
        <f t="shared" ref="BW133:CA133" si="177">SUMIF($J$6:$BU$6,BW$9,$J133:$BU133)</f>
        <v>0</v>
      </c>
      <c r="BX133" s="29">
        <f t="shared" si="177"/>
        <v>0</v>
      </c>
      <c r="BY133" s="29">
        <f t="shared" si="177"/>
        <v>0</v>
      </c>
      <c r="BZ133" s="29">
        <f t="shared" si="177"/>
        <v>0</v>
      </c>
      <c r="CA133" s="29">
        <f t="shared" si="177"/>
        <v>0</v>
      </c>
      <c r="CB133" s="29">
        <f>CA133*(1+Inputs!$C$35)</f>
        <v>0</v>
      </c>
      <c r="CC133" s="29">
        <f>CB133*(1+Inputs!$C$35)</f>
        <v>0</v>
      </c>
      <c r="CD133" s="29">
        <f>CC133*(1+Inputs!$C$35)</f>
        <v>0</v>
      </c>
      <c r="CE133" s="29">
        <f>CD133*(1+Inputs!$C$35)</f>
        <v>0</v>
      </c>
      <c r="CF133" s="29">
        <f>CE133*(1+Inputs!$C$35)</f>
        <v>0</v>
      </c>
      <c r="CG133" s="29">
        <f>CF133*(1+Inputs!$C$35)</f>
        <v>0</v>
      </c>
      <c r="CH133" s="29">
        <f>CG133*(1+Inputs!$C$35)</f>
        <v>0</v>
      </c>
      <c r="CI133" s="29">
        <f>CH133*(1+Inputs!$C$35)</f>
        <v>0</v>
      </c>
      <c r="CJ133" s="29">
        <f>CI133*(1+Inputs!$C$35)</f>
        <v>0</v>
      </c>
      <c r="CK133" s="29">
        <f>CJ133*(1+Inputs!$C$35)</f>
        <v>0</v>
      </c>
    </row>
    <row r="134" spans="1:89" ht="14.25" customHeight="1" x14ac:dyDescent="0.2">
      <c r="A134" s="11">
        <f t="shared" si="58"/>
        <v>0</v>
      </c>
      <c r="B134" s="56">
        <f t="shared" si="169"/>
        <v>6212</v>
      </c>
      <c r="D134" s="56"/>
      <c r="F134" s="56">
        <v>6212</v>
      </c>
      <c r="G134" s="11" t="s">
        <v>213</v>
      </c>
      <c r="H134" s="35">
        <f>VLOOKUP($F134,Inputs!$L:$Q,6,FALSE)</f>
        <v>0</v>
      </c>
      <c r="I134" s="1"/>
      <c r="J134" s="29">
        <f t="shared" ref="J134:U134" si="178">$H134</f>
        <v>0</v>
      </c>
      <c r="K134" s="29">
        <f t="shared" si="178"/>
        <v>0</v>
      </c>
      <c r="L134" s="29">
        <f t="shared" si="178"/>
        <v>0</v>
      </c>
      <c r="M134" s="29">
        <f t="shared" si="178"/>
        <v>0</v>
      </c>
      <c r="N134" s="29">
        <f t="shared" si="178"/>
        <v>0</v>
      </c>
      <c r="O134" s="29">
        <f t="shared" si="178"/>
        <v>0</v>
      </c>
      <c r="P134" s="29">
        <f t="shared" si="178"/>
        <v>0</v>
      </c>
      <c r="Q134" s="29">
        <f t="shared" si="178"/>
        <v>0</v>
      </c>
      <c r="R134" s="29">
        <f t="shared" si="178"/>
        <v>0</v>
      </c>
      <c r="S134" s="29">
        <f t="shared" si="178"/>
        <v>0</v>
      </c>
      <c r="T134" s="29">
        <f t="shared" si="178"/>
        <v>0</v>
      </c>
      <c r="U134" s="239">
        <f t="shared" si="178"/>
        <v>0</v>
      </c>
      <c r="V134" s="29">
        <f>$H134*(1+Inputs!$C$35)</f>
        <v>0</v>
      </c>
      <c r="W134" s="29">
        <f>K134*(1+Inputs!$C$35)</f>
        <v>0</v>
      </c>
      <c r="X134" s="29">
        <f>L134*(1+Inputs!$C$35)</f>
        <v>0</v>
      </c>
      <c r="Y134" s="29">
        <f>M134*(1+Inputs!$C$35)</f>
        <v>0</v>
      </c>
      <c r="Z134" s="29">
        <f>N134*(1+Inputs!$C$35)</f>
        <v>0</v>
      </c>
      <c r="AA134" s="29">
        <f>O134*(1+Inputs!$C$35)</f>
        <v>0</v>
      </c>
      <c r="AB134" s="29">
        <f>P134*(1+Inputs!$C$35)</f>
        <v>0</v>
      </c>
      <c r="AC134" s="29">
        <f>Q134*(1+Inputs!$C$35)</f>
        <v>0</v>
      </c>
      <c r="AD134" s="29">
        <f>R134*(1+Inputs!$C$35)</f>
        <v>0</v>
      </c>
      <c r="AE134" s="29">
        <f>S134*(1+Inputs!$C$35)</f>
        <v>0</v>
      </c>
      <c r="AF134" s="29">
        <f>T134*(1+Inputs!$C$35)</f>
        <v>0</v>
      </c>
      <c r="AG134" s="239">
        <f>U134*(1+Inputs!$C$35)</f>
        <v>0</v>
      </c>
      <c r="AH134" s="29">
        <f>V134*(1+Inputs!$C$35)</f>
        <v>0</v>
      </c>
      <c r="AI134" s="29">
        <f>W134*(1+Inputs!$C$35)</f>
        <v>0</v>
      </c>
      <c r="AJ134" s="29">
        <f>X134*(1+Inputs!$C$35)</f>
        <v>0</v>
      </c>
      <c r="AK134" s="29">
        <f>Y134*(1+Inputs!$C$35)</f>
        <v>0</v>
      </c>
      <c r="AL134" s="29">
        <f>Z134*(1+Inputs!$C$35)</f>
        <v>0</v>
      </c>
      <c r="AM134" s="29">
        <f>AA134*(1+Inputs!$C$35)</f>
        <v>0</v>
      </c>
      <c r="AN134" s="29">
        <f>AB134*(1+Inputs!$C$35)</f>
        <v>0</v>
      </c>
      <c r="AO134" s="29">
        <f>AC134*(1+Inputs!$C$35)</f>
        <v>0</v>
      </c>
      <c r="AP134" s="29">
        <f>AD134*(1+Inputs!$C$35)</f>
        <v>0</v>
      </c>
      <c r="AQ134" s="29">
        <f>AE134*(1+Inputs!$C$35)</f>
        <v>0</v>
      </c>
      <c r="AR134" s="29">
        <f>AF134*(1+Inputs!$C$35)</f>
        <v>0</v>
      </c>
      <c r="AS134" s="239">
        <f>AG134*(1+Inputs!$C$35)</f>
        <v>0</v>
      </c>
      <c r="AT134" s="29">
        <f>AH134*(1+Inputs!$C$35)</f>
        <v>0</v>
      </c>
      <c r="AU134" s="29">
        <f>AI134*(1+Inputs!$C$35)</f>
        <v>0</v>
      </c>
      <c r="AV134" s="29">
        <f>AJ134*(1+Inputs!$C$35)</f>
        <v>0</v>
      </c>
      <c r="AW134" s="29">
        <f>AK134*(1+Inputs!$C$35)</f>
        <v>0</v>
      </c>
      <c r="AX134" s="29">
        <f>AL134*(1+Inputs!$C$35)</f>
        <v>0</v>
      </c>
      <c r="AY134" s="29">
        <f>AM134*(1+Inputs!$C$35)</f>
        <v>0</v>
      </c>
      <c r="AZ134" s="29">
        <f>AN134*(1+Inputs!$C$35)</f>
        <v>0</v>
      </c>
      <c r="BA134" s="29">
        <f>AO134*(1+Inputs!$C$35)</f>
        <v>0</v>
      </c>
      <c r="BB134" s="29">
        <f>AP134*(1+Inputs!$C$35)</f>
        <v>0</v>
      </c>
      <c r="BC134" s="29">
        <f>AQ134*(1+Inputs!$C$35)</f>
        <v>0</v>
      </c>
      <c r="BD134" s="29">
        <f>AR134*(1+Inputs!$C$35)</f>
        <v>0</v>
      </c>
      <c r="BE134" s="239">
        <f>AS134*(1+Inputs!$C$35)</f>
        <v>0</v>
      </c>
      <c r="BF134" s="29">
        <f>AT134*(1+Inputs!$C$35)</f>
        <v>0</v>
      </c>
      <c r="BG134" s="29">
        <f>AU134*(1+Inputs!$C$35)</f>
        <v>0</v>
      </c>
      <c r="BH134" s="29">
        <f>AV134*(1+Inputs!$C$35)</f>
        <v>0</v>
      </c>
      <c r="BI134" s="29">
        <f>AW134*(1+Inputs!$C$35)</f>
        <v>0</v>
      </c>
      <c r="BJ134" s="29">
        <f>AX134*(1+Inputs!$C$35)</f>
        <v>0</v>
      </c>
      <c r="BK134" s="29">
        <f>AY134*(1+Inputs!$C$35)</f>
        <v>0</v>
      </c>
      <c r="BL134" s="29">
        <f>AZ134*(1+Inputs!$C$35)</f>
        <v>0</v>
      </c>
      <c r="BM134" s="29">
        <f>BA134*(1+Inputs!$C$35)</f>
        <v>0</v>
      </c>
      <c r="BN134" s="29">
        <f>BB134*(1+Inputs!$C$35)</f>
        <v>0</v>
      </c>
      <c r="BO134" s="29">
        <f>BC134*(1+Inputs!$C$35)</f>
        <v>0</v>
      </c>
      <c r="BP134" s="29">
        <f>BD134*(1+Inputs!$C$35)</f>
        <v>0</v>
      </c>
      <c r="BQ134" s="29">
        <f>BE134*(1+Inputs!$C$35)</f>
        <v>0</v>
      </c>
      <c r="BR134" s="29">
        <f>BF134*(1+Inputs!$C$35)</f>
        <v>0</v>
      </c>
      <c r="BS134" s="29">
        <f>BG134*(1+Inputs!$C$35)</f>
        <v>0</v>
      </c>
      <c r="BT134" s="29">
        <f>BH134*(1+Inputs!$C$35)</f>
        <v>0</v>
      </c>
      <c r="BU134" s="29">
        <f>BI134*(1+Inputs!$C$35)</f>
        <v>0</v>
      </c>
      <c r="BW134" s="29">
        <f t="shared" ref="BW134:CA134" si="179">SUMIF($J$6:$BU$6,BW$9,$J134:$BU134)</f>
        <v>0</v>
      </c>
      <c r="BX134" s="29">
        <f t="shared" si="179"/>
        <v>0</v>
      </c>
      <c r="BY134" s="29">
        <f t="shared" si="179"/>
        <v>0</v>
      </c>
      <c r="BZ134" s="29">
        <f t="shared" si="179"/>
        <v>0</v>
      </c>
      <c r="CA134" s="29">
        <f t="shared" si="179"/>
        <v>0</v>
      </c>
      <c r="CB134" s="29">
        <f>CA134*(1+Inputs!$C$35)</f>
        <v>0</v>
      </c>
      <c r="CC134" s="29">
        <f>CB134*(1+Inputs!$C$35)</f>
        <v>0</v>
      </c>
      <c r="CD134" s="29">
        <f>CC134*(1+Inputs!$C$35)</f>
        <v>0</v>
      </c>
      <c r="CE134" s="29">
        <f>CD134*(1+Inputs!$C$35)</f>
        <v>0</v>
      </c>
      <c r="CF134" s="29">
        <f>CE134*(1+Inputs!$C$35)</f>
        <v>0</v>
      </c>
      <c r="CG134" s="29">
        <f>CF134*(1+Inputs!$C$35)</f>
        <v>0</v>
      </c>
      <c r="CH134" s="29">
        <f>CG134*(1+Inputs!$C$35)</f>
        <v>0</v>
      </c>
      <c r="CI134" s="29">
        <f>CH134*(1+Inputs!$C$35)</f>
        <v>0</v>
      </c>
      <c r="CJ134" s="29">
        <f>CI134*(1+Inputs!$C$35)</f>
        <v>0</v>
      </c>
      <c r="CK134" s="29">
        <f>CJ134*(1+Inputs!$C$35)</f>
        <v>0</v>
      </c>
    </row>
    <row r="135" spans="1:89" ht="14.25" customHeight="1" x14ac:dyDescent="0.2">
      <c r="A135" s="11">
        <f t="shared" si="58"/>
        <v>0</v>
      </c>
      <c r="B135" s="56">
        <f t="shared" si="169"/>
        <v>6220</v>
      </c>
      <c r="D135" s="56"/>
      <c r="F135" s="56">
        <v>6220</v>
      </c>
      <c r="G135" s="11" t="s">
        <v>373</v>
      </c>
      <c r="H135" s="35">
        <v>0</v>
      </c>
      <c r="I135" s="1"/>
      <c r="J135" s="29">
        <f>Inputs!V53</f>
        <v>0</v>
      </c>
      <c r="K135" s="29">
        <f t="shared" ref="K135:U135" si="180">$H135</f>
        <v>0</v>
      </c>
      <c r="L135" s="29">
        <f t="shared" si="180"/>
        <v>0</v>
      </c>
      <c r="M135" s="29">
        <f t="shared" si="180"/>
        <v>0</v>
      </c>
      <c r="N135" s="29">
        <f t="shared" si="180"/>
        <v>0</v>
      </c>
      <c r="O135" s="29">
        <f t="shared" si="180"/>
        <v>0</v>
      </c>
      <c r="P135" s="29">
        <f t="shared" si="180"/>
        <v>0</v>
      </c>
      <c r="Q135" s="29">
        <f t="shared" si="180"/>
        <v>0</v>
      </c>
      <c r="R135" s="29">
        <f t="shared" si="180"/>
        <v>0</v>
      </c>
      <c r="S135" s="29">
        <f t="shared" si="180"/>
        <v>0</v>
      </c>
      <c r="T135" s="29">
        <f t="shared" si="180"/>
        <v>0</v>
      </c>
      <c r="U135" s="239">
        <f t="shared" si="180"/>
        <v>0</v>
      </c>
      <c r="V135" s="29">
        <v>0</v>
      </c>
      <c r="W135" s="29">
        <f>K135*(1+Inputs!$C$35)</f>
        <v>0</v>
      </c>
      <c r="X135" s="29">
        <f>L135*(1+Inputs!$C$35)</f>
        <v>0</v>
      </c>
      <c r="Y135" s="29">
        <f>M135*(1+Inputs!$C$35)</f>
        <v>0</v>
      </c>
      <c r="Z135" s="29">
        <f>N135*(1+Inputs!$C$35)</f>
        <v>0</v>
      </c>
      <c r="AA135" s="29">
        <f>O135*(1+Inputs!$C$35)</f>
        <v>0</v>
      </c>
      <c r="AB135" s="29">
        <f>P135*(1+Inputs!$C$35)</f>
        <v>0</v>
      </c>
      <c r="AC135" s="29">
        <f>Q135*(1+Inputs!$C$35)</f>
        <v>0</v>
      </c>
      <c r="AD135" s="29">
        <f>R135*(1+Inputs!$C$35)</f>
        <v>0</v>
      </c>
      <c r="AE135" s="29">
        <f>S135*(1+Inputs!$C$35)</f>
        <v>0</v>
      </c>
      <c r="AF135" s="29">
        <f>T135*(1+Inputs!$C$35)</f>
        <v>0</v>
      </c>
      <c r="AG135" s="239">
        <f>U135*(1+Inputs!$C$35)</f>
        <v>0</v>
      </c>
      <c r="AH135" s="29">
        <f>V135*(1+Inputs!$C$35)</f>
        <v>0</v>
      </c>
      <c r="AI135" s="29">
        <f>W135*(1+Inputs!$C$35)</f>
        <v>0</v>
      </c>
      <c r="AJ135" s="29">
        <f>X135*(1+Inputs!$C$35)</f>
        <v>0</v>
      </c>
      <c r="AK135" s="29">
        <f>Y135*(1+Inputs!$C$35)</f>
        <v>0</v>
      </c>
      <c r="AL135" s="29">
        <f>Z135*(1+Inputs!$C$35)</f>
        <v>0</v>
      </c>
      <c r="AM135" s="29">
        <f>AA135*(1+Inputs!$C$35)</f>
        <v>0</v>
      </c>
      <c r="AN135" s="29">
        <f>AB135*(1+Inputs!$C$35)</f>
        <v>0</v>
      </c>
      <c r="AO135" s="29">
        <f>AC135*(1+Inputs!$C$35)</f>
        <v>0</v>
      </c>
      <c r="AP135" s="29">
        <f>AD135*(1+Inputs!$C$35)</f>
        <v>0</v>
      </c>
      <c r="AQ135" s="29">
        <f>AE135*(1+Inputs!$C$35)</f>
        <v>0</v>
      </c>
      <c r="AR135" s="29">
        <f>AF135*(1+Inputs!$C$35)</f>
        <v>0</v>
      </c>
      <c r="AS135" s="239">
        <f>AG135*(1+Inputs!$C$35)</f>
        <v>0</v>
      </c>
      <c r="AT135" s="29">
        <f>AH135*(1+Inputs!$C$35)</f>
        <v>0</v>
      </c>
      <c r="AU135" s="29">
        <f>AI135*(1+Inputs!$C$35)</f>
        <v>0</v>
      </c>
      <c r="AV135" s="29">
        <f>AJ135*(1+Inputs!$C$35)</f>
        <v>0</v>
      </c>
      <c r="AW135" s="29">
        <f>AK135*(1+Inputs!$C$35)</f>
        <v>0</v>
      </c>
      <c r="AX135" s="29">
        <f>AL135*(1+Inputs!$C$35)</f>
        <v>0</v>
      </c>
      <c r="AY135" s="29">
        <f>AM135*(1+Inputs!$C$35)</f>
        <v>0</v>
      </c>
      <c r="AZ135" s="29">
        <f>AN135*(1+Inputs!$C$35)</f>
        <v>0</v>
      </c>
      <c r="BA135" s="29">
        <f>AO135*(1+Inputs!$C$35)</f>
        <v>0</v>
      </c>
      <c r="BB135" s="29">
        <f>AP135*(1+Inputs!$C$35)</f>
        <v>0</v>
      </c>
      <c r="BC135" s="29">
        <f>AQ135*(1+Inputs!$C$35)</f>
        <v>0</v>
      </c>
      <c r="BD135" s="29">
        <f>AR135*(1+Inputs!$C$35)</f>
        <v>0</v>
      </c>
      <c r="BE135" s="239">
        <f>AS135*(1+Inputs!$C$35)</f>
        <v>0</v>
      </c>
      <c r="BF135" s="29">
        <f>AT135*(1+Inputs!$C$35)</f>
        <v>0</v>
      </c>
      <c r="BG135" s="29">
        <f>AU135*(1+Inputs!$C$35)</f>
        <v>0</v>
      </c>
      <c r="BH135" s="29">
        <f>AV135*(1+Inputs!$C$35)</f>
        <v>0</v>
      </c>
      <c r="BI135" s="29">
        <f>AW135*(1+Inputs!$C$35)</f>
        <v>0</v>
      </c>
      <c r="BJ135" s="29">
        <f>AX135*(1+Inputs!$C$35)</f>
        <v>0</v>
      </c>
      <c r="BK135" s="29">
        <f>AY135*(1+Inputs!$C$35)</f>
        <v>0</v>
      </c>
      <c r="BL135" s="29">
        <f>AZ135*(1+Inputs!$C$35)</f>
        <v>0</v>
      </c>
      <c r="BM135" s="29">
        <f>BA135*(1+Inputs!$C$35)</f>
        <v>0</v>
      </c>
      <c r="BN135" s="29">
        <f>BB135*(1+Inputs!$C$35)</f>
        <v>0</v>
      </c>
      <c r="BO135" s="29">
        <f>BC135*(1+Inputs!$C$35)</f>
        <v>0</v>
      </c>
      <c r="BP135" s="29">
        <f>BD135*(1+Inputs!$C$35)</f>
        <v>0</v>
      </c>
      <c r="BQ135" s="29">
        <f>BE135*(1+Inputs!$C$35)</f>
        <v>0</v>
      </c>
      <c r="BR135" s="29">
        <f>BF135*(1+Inputs!$C$35)</f>
        <v>0</v>
      </c>
      <c r="BS135" s="29">
        <f>BG135*(1+Inputs!$C$35)</f>
        <v>0</v>
      </c>
      <c r="BT135" s="29">
        <f>BH135*(1+Inputs!$C$35)</f>
        <v>0</v>
      </c>
      <c r="BU135" s="29">
        <f>BI135*(1+Inputs!$C$35)</f>
        <v>0</v>
      </c>
      <c r="BW135" s="29">
        <f t="shared" ref="BW135:CA135" si="181">SUMIF($J$6:$BU$6,BW$9,$J135:$BU135)</f>
        <v>0</v>
      </c>
      <c r="BX135" s="29">
        <f t="shared" si="181"/>
        <v>0</v>
      </c>
      <c r="BY135" s="29">
        <f t="shared" si="181"/>
        <v>0</v>
      </c>
      <c r="BZ135" s="29">
        <f t="shared" si="181"/>
        <v>0</v>
      </c>
      <c r="CA135" s="29">
        <f t="shared" si="181"/>
        <v>0</v>
      </c>
      <c r="CB135" s="29">
        <f>CA135*(1+Inputs!$C$35)</f>
        <v>0</v>
      </c>
      <c r="CC135" s="29">
        <f>CB135*(1+Inputs!$C$35)</f>
        <v>0</v>
      </c>
      <c r="CD135" s="29">
        <f>CC135*(1+Inputs!$C$35)</f>
        <v>0</v>
      </c>
      <c r="CE135" s="29">
        <f>CD135*(1+Inputs!$C$35)</f>
        <v>0</v>
      </c>
      <c r="CF135" s="29">
        <f>CE135*(1+Inputs!$C$35)</f>
        <v>0</v>
      </c>
      <c r="CG135" s="29">
        <f>CF135*(1+Inputs!$C$35)</f>
        <v>0</v>
      </c>
      <c r="CH135" s="29">
        <f>CG135*(1+Inputs!$C$35)</f>
        <v>0</v>
      </c>
      <c r="CI135" s="29">
        <f>CH135*(1+Inputs!$C$35)</f>
        <v>0</v>
      </c>
      <c r="CJ135" s="29">
        <f>CI135*(1+Inputs!$C$35)</f>
        <v>0</v>
      </c>
      <c r="CK135" s="29">
        <f>CJ135*(1+Inputs!$C$35)</f>
        <v>0</v>
      </c>
    </row>
    <row r="136" spans="1:89" ht="14.25" customHeight="1" x14ac:dyDescent="0.2">
      <c r="A136" s="11">
        <f t="shared" si="58"/>
        <v>0</v>
      </c>
      <c r="B136" s="56">
        <f t="shared" si="169"/>
        <v>6221</v>
      </c>
      <c r="D136" s="56"/>
      <c r="F136" s="56">
        <v>6221</v>
      </c>
      <c r="G136" s="11" t="s">
        <v>374</v>
      </c>
      <c r="H136" s="35">
        <v>0</v>
      </c>
      <c r="I136" s="1"/>
      <c r="J136" s="29">
        <f t="shared" ref="J136:U136" si="182">$H136</f>
        <v>0</v>
      </c>
      <c r="K136" s="29">
        <f t="shared" si="182"/>
        <v>0</v>
      </c>
      <c r="L136" s="29">
        <f t="shared" si="182"/>
        <v>0</v>
      </c>
      <c r="M136" s="29">
        <f t="shared" si="182"/>
        <v>0</v>
      </c>
      <c r="N136" s="29">
        <f t="shared" si="182"/>
        <v>0</v>
      </c>
      <c r="O136" s="29">
        <f t="shared" si="182"/>
        <v>0</v>
      </c>
      <c r="P136" s="29">
        <f t="shared" si="182"/>
        <v>0</v>
      </c>
      <c r="Q136" s="29">
        <f t="shared" si="182"/>
        <v>0</v>
      </c>
      <c r="R136" s="29">
        <f t="shared" si="182"/>
        <v>0</v>
      </c>
      <c r="S136" s="29">
        <f t="shared" si="182"/>
        <v>0</v>
      </c>
      <c r="T136" s="29">
        <f t="shared" si="182"/>
        <v>0</v>
      </c>
      <c r="U136" s="239">
        <f t="shared" si="182"/>
        <v>0</v>
      </c>
      <c r="V136" s="29">
        <f>J136*(1+Inputs!$C$35)</f>
        <v>0</v>
      </c>
      <c r="W136" s="29">
        <f>K136*(1+Inputs!$C$35)</f>
        <v>0</v>
      </c>
      <c r="X136" s="29">
        <f>L136*(1+Inputs!$C$35)</f>
        <v>0</v>
      </c>
      <c r="Y136" s="29">
        <f>M136*(1+Inputs!$C$35)</f>
        <v>0</v>
      </c>
      <c r="Z136" s="29">
        <f>N136*(1+Inputs!$C$35)</f>
        <v>0</v>
      </c>
      <c r="AA136" s="29">
        <f>O136*(1+Inputs!$C$35)</f>
        <v>0</v>
      </c>
      <c r="AB136" s="29">
        <f>P136*(1+Inputs!$C$35)</f>
        <v>0</v>
      </c>
      <c r="AC136" s="29">
        <f>Q136*(1+Inputs!$C$35)</f>
        <v>0</v>
      </c>
      <c r="AD136" s="29">
        <f>R136*(1+Inputs!$C$35)</f>
        <v>0</v>
      </c>
      <c r="AE136" s="29">
        <f>S136*(1+Inputs!$C$35)</f>
        <v>0</v>
      </c>
      <c r="AF136" s="29">
        <f>T136*(1+Inputs!$C$35)</f>
        <v>0</v>
      </c>
      <c r="AG136" s="239">
        <f>U136*(1+Inputs!$C$35)</f>
        <v>0</v>
      </c>
      <c r="AH136" s="29">
        <f>V136*(1+Inputs!$C$35)</f>
        <v>0</v>
      </c>
      <c r="AI136" s="29">
        <f>W136*(1+Inputs!$C$35)</f>
        <v>0</v>
      </c>
      <c r="AJ136" s="29">
        <f>X136*(1+Inputs!$C$35)</f>
        <v>0</v>
      </c>
      <c r="AK136" s="29">
        <f>Y136*(1+Inputs!$C$35)</f>
        <v>0</v>
      </c>
      <c r="AL136" s="29">
        <f>Z136*(1+Inputs!$C$35)</f>
        <v>0</v>
      </c>
      <c r="AM136" s="29">
        <f>AA136*(1+Inputs!$C$35)</f>
        <v>0</v>
      </c>
      <c r="AN136" s="29">
        <f>AB136*(1+Inputs!$C$35)</f>
        <v>0</v>
      </c>
      <c r="AO136" s="29">
        <f>AC136*(1+Inputs!$C$35)</f>
        <v>0</v>
      </c>
      <c r="AP136" s="29">
        <f>AD136*(1+Inputs!$C$35)</f>
        <v>0</v>
      </c>
      <c r="AQ136" s="29">
        <f>AE136*(1+Inputs!$C$35)</f>
        <v>0</v>
      </c>
      <c r="AR136" s="29">
        <f>AF136*(1+Inputs!$C$35)</f>
        <v>0</v>
      </c>
      <c r="AS136" s="239">
        <f>AG136*(1+Inputs!$C$35)</f>
        <v>0</v>
      </c>
      <c r="AT136" s="29">
        <f>AH136*(1+Inputs!$C$35)</f>
        <v>0</v>
      </c>
      <c r="AU136" s="29">
        <f>AI136*(1+Inputs!$C$35)</f>
        <v>0</v>
      </c>
      <c r="AV136" s="29">
        <f>AJ136*(1+Inputs!$C$35)</f>
        <v>0</v>
      </c>
      <c r="AW136" s="29">
        <f>AK136*(1+Inputs!$C$35)</f>
        <v>0</v>
      </c>
      <c r="AX136" s="29">
        <f>AL136*(1+Inputs!$C$35)</f>
        <v>0</v>
      </c>
      <c r="AY136" s="29">
        <f>AM136*(1+Inputs!$C$35)</f>
        <v>0</v>
      </c>
      <c r="AZ136" s="29">
        <f>AN136*(1+Inputs!$C$35)</f>
        <v>0</v>
      </c>
      <c r="BA136" s="29">
        <f>AO136*(1+Inputs!$C$35)</f>
        <v>0</v>
      </c>
      <c r="BB136" s="29">
        <f>AP136*(1+Inputs!$C$35)</f>
        <v>0</v>
      </c>
      <c r="BC136" s="29">
        <f>AQ136*(1+Inputs!$C$35)</f>
        <v>0</v>
      </c>
      <c r="BD136" s="29">
        <f>AR136*(1+Inputs!$C$35)</f>
        <v>0</v>
      </c>
      <c r="BE136" s="239">
        <f>AS136*(1+Inputs!$C$35)</f>
        <v>0</v>
      </c>
      <c r="BF136" s="29">
        <f>AT136*(1+Inputs!$C$35)</f>
        <v>0</v>
      </c>
      <c r="BG136" s="29">
        <f>AU136*(1+Inputs!$C$35)</f>
        <v>0</v>
      </c>
      <c r="BH136" s="29">
        <f>AV136*(1+Inputs!$C$35)</f>
        <v>0</v>
      </c>
      <c r="BI136" s="29">
        <f>AW136*(1+Inputs!$C$35)</f>
        <v>0</v>
      </c>
      <c r="BJ136" s="29">
        <f>AX136*(1+Inputs!$C$35)</f>
        <v>0</v>
      </c>
      <c r="BK136" s="29">
        <f>AY136*(1+Inputs!$C$35)</f>
        <v>0</v>
      </c>
      <c r="BL136" s="29">
        <f>AZ136*(1+Inputs!$C$35)</f>
        <v>0</v>
      </c>
      <c r="BM136" s="29">
        <f>BA136*(1+Inputs!$C$35)</f>
        <v>0</v>
      </c>
      <c r="BN136" s="29">
        <f>BB136*(1+Inputs!$C$35)</f>
        <v>0</v>
      </c>
      <c r="BO136" s="29">
        <f>BC136*(1+Inputs!$C$35)</f>
        <v>0</v>
      </c>
      <c r="BP136" s="29">
        <f>BD136*(1+Inputs!$C$35)</f>
        <v>0</v>
      </c>
      <c r="BQ136" s="29">
        <f>BE136*(1+Inputs!$C$35)</f>
        <v>0</v>
      </c>
      <c r="BR136" s="29">
        <f>BF136*(1+Inputs!$C$35)</f>
        <v>0</v>
      </c>
      <c r="BS136" s="29">
        <f>BG136*(1+Inputs!$C$35)</f>
        <v>0</v>
      </c>
      <c r="BT136" s="29">
        <f>BH136*(1+Inputs!$C$35)</f>
        <v>0</v>
      </c>
      <c r="BU136" s="29">
        <f>BI136*(1+Inputs!$C$35)</f>
        <v>0</v>
      </c>
      <c r="BW136" s="29">
        <f t="shared" ref="BW136:CA136" si="183">SUMIF($J$6:$BU$6,BW$9,$J136:$BU136)</f>
        <v>0</v>
      </c>
      <c r="BX136" s="29">
        <f t="shared" si="183"/>
        <v>0</v>
      </c>
      <c r="BY136" s="29">
        <f t="shared" si="183"/>
        <v>0</v>
      </c>
      <c r="BZ136" s="29">
        <f t="shared" si="183"/>
        <v>0</v>
      </c>
      <c r="CA136" s="29">
        <f t="shared" si="183"/>
        <v>0</v>
      </c>
      <c r="CB136" s="29">
        <f>CA136*(1+Inputs!$C$35)</f>
        <v>0</v>
      </c>
      <c r="CC136" s="29">
        <f>CB136*(1+Inputs!$C$35)</f>
        <v>0</v>
      </c>
      <c r="CD136" s="29">
        <f>CC136*(1+Inputs!$C$35)</f>
        <v>0</v>
      </c>
      <c r="CE136" s="29">
        <f>CD136*(1+Inputs!$C$35)</f>
        <v>0</v>
      </c>
      <c r="CF136" s="29">
        <f>CE136*(1+Inputs!$C$35)</f>
        <v>0</v>
      </c>
      <c r="CG136" s="29">
        <f>CF136*(1+Inputs!$C$35)</f>
        <v>0</v>
      </c>
      <c r="CH136" s="29">
        <f>CG136*(1+Inputs!$C$35)</f>
        <v>0</v>
      </c>
      <c r="CI136" s="29">
        <f>CH136*(1+Inputs!$C$35)</f>
        <v>0</v>
      </c>
      <c r="CJ136" s="29">
        <f>CI136*(1+Inputs!$C$35)</f>
        <v>0</v>
      </c>
      <c r="CK136" s="29">
        <f>CJ136*(1+Inputs!$C$35)</f>
        <v>0</v>
      </c>
    </row>
    <row r="137" spans="1:89" ht="14.25" customHeight="1" x14ac:dyDescent="0.2">
      <c r="A137" s="11">
        <f t="shared" si="58"/>
        <v>0</v>
      </c>
      <c r="B137" s="56">
        <f t="shared" si="169"/>
        <v>6224</v>
      </c>
      <c r="D137" s="56"/>
      <c r="F137" s="56">
        <v>6224</v>
      </c>
      <c r="G137" s="11" t="s">
        <v>207</v>
      </c>
      <c r="H137" s="35">
        <f>VLOOKUP($F137,Inputs!$L:$Q,6,FALSE)</f>
        <v>64</v>
      </c>
      <c r="I137" s="1"/>
      <c r="J137" s="29">
        <f t="shared" ref="J137:U137" si="184">$H137</f>
        <v>64</v>
      </c>
      <c r="K137" s="29">
        <f t="shared" si="184"/>
        <v>64</v>
      </c>
      <c r="L137" s="29">
        <f t="shared" si="184"/>
        <v>64</v>
      </c>
      <c r="M137" s="29">
        <f t="shared" si="184"/>
        <v>64</v>
      </c>
      <c r="N137" s="29">
        <f t="shared" si="184"/>
        <v>64</v>
      </c>
      <c r="O137" s="29">
        <f t="shared" si="184"/>
        <v>64</v>
      </c>
      <c r="P137" s="29">
        <f t="shared" si="184"/>
        <v>64</v>
      </c>
      <c r="Q137" s="29">
        <f t="shared" si="184"/>
        <v>64</v>
      </c>
      <c r="R137" s="29">
        <f t="shared" si="184"/>
        <v>64</v>
      </c>
      <c r="S137" s="29">
        <f t="shared" si="184"/>
        <v>64</v>
      </c>
      <c r="T137" s="29">
        <f t="shared" si="184"/>
        <v>64</v>
      </c>
      <c r="U137" s="239">
        <f t="shared" si="184"/>
        <v>64</v>
      </c>
      <c r="V137" s="29">
        <f>$H137*(1+Inputs!$C$35)</f>
        <v>65.599999999999994</v>
      </c>
      <c r="W137" s="29">
        <f>K137*(1+Inputs!$C$35)</f>
        <v>65.599999999999994</v>
      </c>
      <c r="X137" s="29">
        <f>L137*(1+Inputs!$C$35)</f>
        <v>65.599999999999994</v>
      </c>
      <c r="Y137" s="29">
        <f>M137*(1+Inputs!$C$35)</f>
        <v>65.599999999999994</v>
      </c>
      <c r="Z137" s="29">
        <f>N137*(1+Inputs!$C$35)</f>
        <v>65.599999999999994</v>
      </c>
      <c r="AA137" s="29">
        <f>O137*(1+Inputs!$C$35)</f>
        <v>65.599999999999994</v>
      </c>
      <c r="AB137" s="29">
        <f>P137*(1+Inputs!$C$35)</f>
        <v>65.599999999999994</v>
      </c>
      <c r="AC137" s="29">
        <f>Q137*(1+Inputs!$C$35)</f>
        <v>65.599999999999994</v>
      </c>
      <c r="AD137" s="29">
        <f>R137*(1+Inputs!$C$35)</f>
        <v>65.599999999999994</v>
      </c>
      <c r="AE137" s="29">
        <f>S137*(1+Inputs!$C$35)</f>
        <v>65.599999999999994</v>
      </c>
      <c r="AF137" s="29">
        <f>T137*(1+Inputs!$C$35)</f>
        <v>65.599999999999994</v>
      </c>
      <c r="AG137" s="239">
        <f>U137*(1+Inputs!$C$35)</f>
        <v>65.599999999999994</v>
      </c>
      <c r="AH137" s="29">
        <f>V137*(1+Inputs!$C$35)</f>
        <v>67.239999999999995</v>
      </c>
      <c r="AI137" s="29">
        <f>W137*(1+Inputs!$C$35)</f>
        <v>67.239999999999995</v>
      </c>
      <c r="AJ137" s="29">
        <f>X137*(1+Inputs!$C$35)</f>
        <v>67.239999999999995</v>
      </c>
      <c r="AK137" s="29">
        <f>Y137*(1+Inputs!$C$35)</f>
        <v>67.239999999999995</v>
      </c>
      <c r="AL137" s="29">
        <f>Z137*(1+Inputs!$C$35)</f>
        <v>67.239999999999995</v>
      </c>
      <c r="AM137" s="29">
        <f>AA137*(1+Inputs!$C$35)</f>
        <v>67.239999999999995</v>
      </c>
      <c r="AN137" s="29">
        <f>AB137*(1+Inputs!$C$35)</f>
        <v>67.239999999999995</v>
      </c>
      <c r="AO137" s="29">
        <f>AC137*(1+Inputs!$C$35)</f>
        <v>67.239999999999995</v>
      </c>
      <c r="AP137" s="29">
        <f>AD137*(1+Inputs!$C$35)</f>
        <v>67.239999999999995</v>
      </c>
      <c r="AQ137" s="29">
        <f>AE137*(1+Inputs!$C$35)</f>
        <v>67.239999999999995</v>
      </c>
      <c r="AR137" s="29">
        <f>AF137*(1+Inputs!$C$35)</f>
        <v>67.239999999999995</v>
      </c>
      <c r="AS137" s="239">
        <f>AG137*(1+Inputs!$C$35)</f>
        <v>67.239999999999995</v>
      </c>
      <c r="AT137" s="29">
        <f>AH137*(1+Inputs!$C$35)</f>
        <v>68.920999999999992</v>
      </c>
      <c r="AU137" s="29">
        <f>AI137*(1+Inputs!$C$35)</f>
        <v>68.920999999999992</v>
      </c>
      <c r="AV137" s="29">
        <f>AJ137*(1+Inputs!$C$35)</f>
        <v>68.920999999999992</v>
      </c>
      <c r="AW137" s="29">
        <f>AK137*(1+Inputs!$C$35)</f>
        <v>68.920999999999992</v>
      </c>
      <c r="AX137" s="29">
        <f>AL137*(1+Inputs!$C$35)</f>
        <v>68.920999999999992</v>
      </c>
      <c r="AY137" s="29">
        <f>AM137*(1+Inputs!$C$35)</f>
        <v>68.920999999999992</v>
      </c>
      <c r="AZ137" s="29">
        <f>AN137*(1+Inputs!$C$35)</f>
        <v>68.920999999999992</v>
      </c>
      <c r="BA137" s="29">
        <f>AO137*(1+Inputs!$C$35)</f>
        <v>68.920999999999992</v>
      </c>
      <c r="BB137" s="29">
        <f>AP137*(1+Inputs!$C$35)</f>
        <v>68.920999999999992</v>
      </c>
      <c r="BC137" s="29">
        <f>AQ137*(1+Inputs!$C$35)</f>
        <v>68.920999999999992</v>
      </c>
      <c r="BD137" s="29">
        <f>AR137*(1+Inputs!$C$35)</f>
        <v>68.920999999999992</v>
      </c>
      <c r="BE137" s="239">
        <f>AS137*(1+Inputs!$C$35)</f>
        <v>68.920999999999992</v>
      </c>
      <c r="BF137" s="29">
        <f>AT137*(1+Inputs!$C$35)</f>
        <v>70.644024999999985</v>
      </c>
      <c r="BG137" s="29">
        <f>AU137*(1+Inputs!$C$35)</f>
        <v>70.644024999999985</v>
      </c>
      <c r="BH137" s="29">
        <f>AV137*(1+Inputs!$C$35)</f>
        <v>70.644024999999985</v>
      </c>
      <c r="BI137" s="29">
        <f>AW137*(1+Inputs!$C$35)</f>
        <v>70.644024999999985</v>
      </c>
      <c r="BJ137" s="29">
        <f>AX137*(1+Inputs!$C$35)</f>
        <v>70.644024999999985</v>
      </c>
      <c r="BK137" s="29">
        <f>AY137*(1+Inputs!$C$35)</f>
        <v>70.644024999999985</v>
      </c>
      <c r="BL137" s="29">
        <f>AZ137*(1+Inputs!$C$35)</f>
        <v>70.644024999999985</v>
      </c>
      <c r="BM137" s="29">
        <f>BA137*(1+Inputs!$C$35)</f>
        <v>70.644024999999985</v>
      </c>
      <c r="BN137" s="29">
        <f>BB137*(1+Inputs!$C$35)</f>
        <v>70.644024999999985</v>
      </c>
      <c r="BO137" s="29">
        <f>BC137*(1+Inputs!$C$35)</f>
        <v>70.644024999999985</v>
      </c>
      <c r="BP137" s="29">
        <f>BD137*(1+Inputs!$C$35)</f>
        <v>70.644024999999985</v>
      </c>
      <c r="BQ137" s="29">
        <f>BE137*(1+Inputs!$C$35)</f>
        <v>70.644024999999985</v>
      </c>
      <c r="BR137" s="29">
        <f>BF137*(1+Inputs!$C$35)</f>
        <v>72.410125624999978</v>
      </c>
      <c r="BS137" s="29">
        <f>BG137*(1+Inputs!$C$35)</f>
        <v>72.410125624999978</v>
      </c>
      <c r="BT137" s="29">
        <f>BH137*(1+Inputs!$C$35)</f>
        <v>72.410125624999978</v>
      </c>
      <c r="BU137" s="29">
        <f>BI137*(1+Inputs!$C$35)</f>
        <v>72.410125624999978</v>
      </c>
      <c r="BW137" s="29">
        <f t="shared" ref="BW137:CA137" si="185">SUMIF($J$6:$BU$6,BW$9,$J137:$BU137)</f>
        <v>768</v>
      </c>
      <c r="BX137" s="29">
        <f t="shared" si="185"/>
        <v>787.20000000000016</v>
      </c>
      <c r="BY137" s="29">
        <f t="shared" si="185"/>
        <v>806.88</v>
      </c>
      <c r="BZ137" s="29">
        <f t="shared" si="185"/>
        <v>827.05200000000013</v>
      </c>
      <c r="CA137" s="29">
        <f t="shared" si="185"/>
        <v>847.72829999999965</v>
      </c>
      <c r="CB137" s="29">
        <f>CA137*(1+Inputs!$C$35)</f>
        <v>868.92150749999962</v>
      </c>
      <c r="CC137" s="29">
        <f>CB137*(1+Inputs!$C$35)</f>
        <v>890.64454518749949</v>
      </c>
      <c r="CD137" s="29">
        <f>CC137*(1+Inputs!$C$35)</f>
        <v>912.91065881718691</v>
      </c>
      <c r="CE137" s="29">
        <f>CD137*(1+Inputs!$C$35)</f>
        <v>935.73342528761646</v>
      </c>
      <c r="CF137" s="29">
        <f>CE137*(1+Inputs!$C$35)</f>
        <v>959.12676091980677</v>
      </c>
      <c r="CG137" s="29">
        <f>CF137*(1+Inputs!$C$35)</f>
        <v>983.10492994280185</v>
      </c>
      <c r="CH137" s="29">
        <f>CG137*(1+Inputs!$C$35)</f>
        <v>1007.6825531913718</v>
      </c>
      <c r="CI137" s="29">
        <f>CH137*(1+Inputs!$C$35)</f>
        <v>1032.8746170211559</v>
      </c>
      <c r="CJ137" s="29">
        <f>CI137*(1+Inputs!$C$35)</f>
        <v>1058.6964824466847</v>
      </c>
      <c r="CK137" s="29">
        <f>CJ137*(1+Inputs!$C$35)</f>
        <v>1085.1638945078519</v>
      </c>
    </row>
    <row r="138" spans="1:89" ht="14.25" customHeight="1" x14ac:dyDescent="0.2">
      <c r="A138" s="11">
        <f t="shared" si="58"/>
        <v>0</v>
      </c>
      <c r="B138" s="56">
        <f t="shared" si="169"/>
        <v>6225</v>
      </c>
      <c r="D138" s="56"/>
      <c r="F138" s="56">
        <v>6225</v>
      </c>
      <c r="G138" s="11" t="s">
        <v>220</v>
      </c>
      <c r="H138" s="35">
        <f>VLOOKUP($F138,Inputs!$L:$Q,6,FALSE)</f>
        <v>189</v>
      </c>
      <c r="I138" s="1"/>
      <c r="J138" s="29">
        <f t="shared" ref="J138:U138" si="186">$H138</f>
        <v>189</v>
      </c>
      <c r="K138" s="29">
        <f t="shared" si="186"/>
        <v>189</v>
      </c>
      <c r="L138" s="29">
        <f t="shared" si="186"/>
        <v>189</v>
      </c>
      <c r="M138" s="29">
        <f t="shared" si="186"/>
        <v>189</v>
      </c>
      <c r="N138" s="29">
        <f t="shared" si="186"/>
        <v>189</v>
      </c>
      <c r="O138" s="29">
        <f t="shared" si="186"/>
        <v>189</v>
      </c>
      <c r="P138" s="29">
        <f t="shared" si="186"/>
        <v>189</v>
      </c>
      <c r="Q138" s="29">
        <f t="shared" si="186"/>
        <v>189</v>
      </c>
      <c r="R138" s="29">
        <f t="shared" si="186"/>
        <v>189</v>
      </c>
      <c r="S138" s="29">
        <f t="shared" si="186"/>
        <v>189</v>
      </c>
      <c r="T138" s="29">
        <f t="shared" si="186"/>
        <v>189</v>
      </c>
      <c r="U138" s="239">
        <f t="shared" si="186"/>
        <v>189</v>
      </c>
      <c r="V138" s="29">
        <f>J138*(1+Inputs!$C$35)</f>
        <v>193.72499999999999</v>
      </c>
      <c r="W138" s="29">
        <f>K138*(1+Inputs!$C$35)</f>
        <v>193.72499999999999</v>
      </c>
      <c r="X138" s="29">
        <f>L138*(1+Inputs!$C$35)</f>
        <v>193.72499999999999</v>
      </c>
      <c r="Y138" s="29">
        <f>M138*(1+Inputs!$C$35)</f>
        <v>193.72499999999999</v>
      </c>
      <c r="Z138" s="29">
        <f>N138*(1+Inputs!$C$35)</f>
        <v>193.72499999999999</v>
      </c>
      <c r="AA138" s="29">
        <f>O138*(1+Inputs!$C$35)</f>
        <v>193.72499999999999</v>
      </c>
      <c r="AB138" s="29">
        <f>P138*(1+Inputs!$C$35)</f>
        <v>193.72499999999999</v>
      </c>
      <c r="AC138" s="29">
        <f>Q138*(1+Inputs!$C$35)</f>
        <v>193.72499999999999</v>
      </c>
      <c r="AD138" s="29">
        <f>R138*(1+Inputs!$C$35)</f>
        <v>193.72499999999999</v>
      </c>
      <c r="AE138" s="29">
        <f>S138*(1+Inputs!$C$35)</f>
        <v>193.72499999999999</v>
      </c>
      <c r="AF138" s="29">
        <f>T138*(1+Inputs!$C$35)</f>
        <v>193.72499999999999</v>
      </c>
      <c r="AG138" s="239">
        <f>U138*(1+Inputs!$C$35)</f>
        <v>193.72499999999999</v>
      </c>
      <c r="AH138" s="29">
        <f>V138*(1+Inputs!$C$35)</f>
        <v>198.56812499999998</v>
      </c>
      <c r="AI138" s="29">
        <f>W138*(1+Inputs!$C$35)</f>
        <v>198.56812499999998</v>
      </c>
      <c r="AJ138" s="29">
        <f>X138*(1+Inputs!$C$35)</f>
        <v>198.56812499999998</v>
      </c>
      <c r="AK138" s="29">
        <f>Y138*(1+Inputs!$C$35)</f>
        <v>198.56812499999998</v>
      </c>
      <c r="AL138" s="29">
        <f>Z138*(1+Inputs!$C$35)</f>
        <v>198.56812499999998</v>
      </c>
      <c r="AM138" s="29">
        <f>AA138*(1+Inputs!$C$35)</f>
        <v>198.56812499999998</v>
      </c>
      <c r="AN138" s="29">
        <f>AB138*(1+Inputs!$C$35)</f>
        <v>198.56812499999998</v>
      </c>
      <c r="AO138" s="29">
        <f>AC138*(1+Inputs!$C$35)</f>
        <v>198.56812499999998</v>
      </c>
      <c r="AP138" s="29">
        <f>AD138*(1+Inputs!$C$35)</f>
        <v>198.56812499999998</v>
      </c>
      <c r="AQ138" s="29">
        <f>AE138*(1+Inputs!$C$35)</f>
        <v>198.56812499999998</v>
      </c>
      <c r="AR138" s="29">
        <f>AF138*(1+Inputs!$C$35)</f>
        <v>198.56812499999998</v>
      </c>
      <c r="AS138" s="239">
        <f>AG138*(1+Inputs!$C$35)</f>
        <v>198.56812499999998</v>
      </c>
      <c r="AT138" s="29">
        <f>AH138*(1+Inputs!$C$35)</f>
        <v>203.53232812499996</v>
      </c>
      <c r="AU138" s="29">
        <f>AI138*(1+Inputs!$C$35)</f>
        <v>203.53232812499996</v>
      </c>
      <c r="AV138" s="29">
        <f>AJ138*(1+Inputs!$C$35)</f>
        <v>203.53232812499996</v>
      </c>
      <c r="AW138" s="29">
        <f>AK138*(1+Inputs!$C$35)</f>
        <v>203.53232812499996</v>
      </c>
      <c r="AX138" s="29">
        <f>AL138*(1+Inputs!$C$35)</f>
        <v>203.53232812499996</v>
      </c>
      <c r="AY138" s="29">
        <f>AM138*(1+Inputs!$C$35)</f>
        <v>203.53232812499996</v>
      </c>
      <c r="AZ138" s="29">
        <f>AN138*(1+Inputs!$C$35)</f>
        <v>203.53232812499996</v>
      </c>
      <c r="BA138" s="29">
        <f>AO138*(1+Inputs!$C$35)</f>
        <v>203.53232812499996</v>
      </c>
      <c r="BB138" s="29">
        <f>AP138*(1+Inputs!$C$35)</f>
        <v>203.53232812499996</v>
      </c>
      <c r="BC138" s="29">
        <f>AQ138*(1+Inputs!$C$35)</f>
        <v>203.53232812499996</v>
      </c>
      <c r="BD138" s="29">
        <f>AR138*(1+Inputs!$C$35)</f>
        <v>203.53232812499996</v>
      </c>
      <c r="BE138" s="239">
        <f>AS138*(1+Inputs!$C$35)</f>
        <v>203.53232812499996</v>
      </c>
      <c r="BF138" s="29">
        <f>AT138*(1+Inputs!$C$35)</f>
        <v>208.62063632812493</v>
      </c>
      <c r="BG138" s="29">
        <f>AU138*(1+Inputs!$C$35)</f>
        <v>208.62063632812493</v>
      </c>
      <c r="BH138" s="29">
        <f>AV138*(1+Inputs!$C$35)</f>
        <v>208.62063632812493</v>
      </c>
      <c r="BI138" s="29">
        <f>AW138*(1+Inputs!$C$35)</f>
        <v>208.62063632812493</v>
      </c>
      <c r="BJ138" s="29">
        <f>AX138*(1+Inputs!$C$35)</f>
        <v>208.62063632812493</v>
      </c>
      <c r="BK138" s="29">
        <f>AY138*(1+Inputs!$C$35)</f>
        <v>208.62063632812493</v>
      </c>
      <c r="BL138" s="29">
        <f>AZ138*(1+Inputs!$C$35)</f>
        <v>208.62063632812493</v>
      </c>
      <c r="BM138" s="29">
        <f>BA138*(1+Inputs!$C$35)</f>
        <v>208.62063632812493</v>
      </c>
      <c r="BN138" s="29">
        <f>BB138*(1+Inputs!$C$35)</f>
        <v>208.62063632812493</v>
      </c>
      <c r="BO138" s="29">
        <f>BC138*(1+Inputs!$C$35)</f>
        <v>208.62063632812493</v>
      </c>
      <c r="BP138" s="29">
        <f>BD138*(1+Inputs!$C$35)</f>
        <v>208.62063632812493</v>
      </c>
      <c r="BQ138" s="29">
        <f>BE138*(1+Inputs!$C$35)</f>
        <v>208.62063632812493</v>
      </c>
      <c r="BR138" s="29">
        <f>BF138*(1+Inputs!$C$35)</f>
        <v>213.83615223632805</v>
      </c>
      <c r="BS138" s="29">
        <f>BG138*(1+Inputs!$C$35)</f>
        <v>213.83615223632805</v>
      </c>
      <c r="BT138" s="29">
        <f>BH138*(1+Inputs!$C$35)</f>
        <v>213.83615223632805</v>
      </c>
      <c r="BU138" s="29">
        <f>BI138*(1+Inputs!$C$35)</f>
        <v>213.83615223632805</v>
      </c>
      <c r="BW138" s="29">
        <f t="shared" ref="BW138:CA138" si="187">SUMIF($J$6:$BU$6,BW$9,$J138:$BU138)</f>
        <v>2268</v>
      </c>
      <c r="BX138" s="29">
        <f t="shared" si="187"/>
        <v>2324.6999999999994</v>
      </c>
      <c r="BY138" s="29">
        <f t="shared" si="187"/>
        <v>2382.8174999999997</v>
      </c>
      <c r="BZ138" s="29">
        <f t="shared" si="187"/>
        <v>2442.3879374999997</v>
      </c>
      <c r="CA138" s="29">
        <f t="shared" si="187"/>
        <v>2503.4476359374989</v>
      </c>
      <c r="CB138" s="29">
        <f>CA138*(1+Inputs!$C$35)</f>
        <v>2566.033826835936</v>
      </c>
      <c r="CC138" s="29">
        <f>CB138*(1+Inputs!$C$35)</f>
        <v>2630.184672506834</v>
      </c>
      <c r="CD138" s="29">
        <f>CC138*(1+Inputs!$C$35)</f>
        <v>2695.9392893195045</v>
      </c>
      <c r="CE138" s="29">
        <f>CD138*(1+Inputs!$C$35)</f>
        <v>2763.3377715524921</v>
      </c>
      <c r="CF138" s="29">
        <f>CE138*(1+Inputs!$C$35)</f>
        <v>2832.4212158413043</v>
      </c>
      <c r="CG138" s="29">
        <f>CF138*(1+Inputs!$C$35)</f>
        <v>2903.2317462373367</v>
      </c>
      <c r="CH138" s="29">
        <f>CG138*(1+Inputs!$C$35)</f>
        <v>2975.8125398932698</v>
      </c>
      <c r="CI138" s="29">
        <f>CH138*(1+Inputs!$C$35)</f>
        <v>3050.2078533906015</v>
      </c>
      <c r="CJ138" s="29">
        <f>CI138*(1+Inputs!$C$35)</f>
        <v>3126.4630497253661</v>
      </c>
      <c r="CK138" s="29">
        <f>CJ138*(1+Inputs!$C$35)</f>
        <v>3204.6246259684999</v>
      </c>
    </row>
    <row r="139" spans="1:89" ht="14.25" customHeight="1" x14ac:dyDescent="0.2">
      <c r="A139" s="11">
        <f t="shared" si="58"/>
        <v>0</v>
      </c>
      <c r="B139" s="56">
        <f t="shared" si="169"/>
        <v>6226</v>
      </c>
      <c r="D139" s="56"/>
      <c r="F139" s="56">
        <v>6226</v>
      </c>
      <c r="G139" s="11" t="s">
        <v>217</v>
      </c>
      <c r="H139" s="35">
        <f>VLOOKUP($F139,Inputs!$L:$Q,6,FALSE)</f>
        <v>0</v>
      </c>
      <c r="I139" s="1"/>
      <c r="J139" s="29">
        <f t="shared" ref="J139:U139" si="188">$H139</f>
        <v>0</v>
      </c>
      <c r="K139" s="29">
        <f t="shared" si="188"/>
        <v>0</v>
      </c>
      <c r="L139" s="29">
        <f t="shared" si="188"/>
        <v>0</v>
      </c>
      <c r="M139" s="29">
        <f t="shared" si="188"/>
        <v>0</v>
      </c>
      <c r="N139" s="29">
        <f t="shared" si="188"/>
        <v>0</v>
      </c>
      <c r="O139" s="29">
        <f t="shared" si="188"/>
        <v>0</v>
      </c>
      <c r="P139" s="29">
        <f t="shared" si="188"/>
        <v>0</v>
      </c>
      <c r="Q139" s="29">
        <f t="shared" si="188"/>
        <v>0</v>
      </c>
      <c r="R139" s="29">
        <f t="shared" si="188"/>
        <v>0</v>
      </c>
      <c r="S139" s="29">
        <f t="shared" si="188"/>
        <v>0</v>
      </c>
      <c r="T139" s="29">
        <f t="shared" si="188"/>
        <v>0</v>
      </c>
      <c r="U139" s="239">
        <f t="shared" si="188"/>
        <v>0</v>
      </c>
      <c r="V139" s="29">
        <f>$H139*(1+Inputs!$C$35)</f>
        <v>0</v>
      </c>
      <c r="W139" s="29">
        <f>K139*(1+Inputs!$C$35)</f>
        <v>0</v>
      </c>
      <c r="X139" s="29">
        <f>L139*(1+Inputs!$C$35)</f>
        <v>0</v>
      </c>
      <c r="Y139" s="29">
        <f>M139*(1+Inputs!$C$35)</f>
        <v>0</v>
      </c>
      <c r="Z139" s="29">
        <f>N139*(1+Inputs!$C$35)</f>
        <v>0</v>
      </c>
      <c r="AA139" s="29">
        <f>O139*(1+Inputs!$C$35)</f>
        <v>0</v>
      </c>
      <c r="AB139" s="29">
        <f>P139*(1+Inputs!$C$35)</f>
        <v>0</v>
      </c>
      <c r="AC139" s="29">
        <f>Q139*(1+Inputs!$C$35)</f>
        <v>0</v>
      </c>
      <c r="AD139" s="29">
        <f>R139*(1+Inputs!$C$35)</f>
        <v>0</v>
      </c>
      <c r="AE139" s="29">
        <f>S139*(1+Inputs!$C$35)</f>
        <v>0</v>
      </c>
      <c r="AF139" s="29">
        <f>T139*(1+Inputs!$C$35)</f>
        <v>0</v>
      </c>
      <c r="AG139" s="239">
        <f>U139*(1+Inputs!$C$35)</f>
        <v>0</v>
      </c>
      <c r="AH139" s="29">
        <f>V139*(1+Inputs!$C$35)</f>
        <v>0</v>
      </c>
      <c r="AI139" s="29">
        <f>W139*(1+Inputs!$C$35)</f>
        <v>0</v>
      </c>
      <c r="AJ139" s="29">
        <f>X139*(1+Inputs!$C$35)</f>
        <v>0</v>
      </c>
      <c r="AK139" s="29">
        <f>Y139*(1+Inputs!$C$35)</f>
        <v>0</v>
      </c>
      <c r="AL139" s="29">
        <f>Z139*(1+Inputs!$C$35)</f>
        <v>0</v>
      </c>
      <c r="AM139" s="29">
        <f>AA139*(1+Inputs!$C$35)</f>
        <v>0</v>
      </c>
      <c r="AN139" s="29">
        <f>AB139*(1+Inputs!$C$35)</f>
        <v>0</v>
      </c>
      <c r="AO139" s="29">
        <f>AC139*(1+Inputs!$C$35)</f>
        <v>0</v>
      </c>
      <c r="AP139" s="29">
        <f>AD139*(1+Inputs!$C$35)</f>
        <v>0</v>
      </c>
      <c r="AQ139" s="29">
        <f>AE139*(1+Inputs!$C$35)</f>
        <v>0</v>
      </c>
      <c r="AR139" s="29">
        <f>AF139*(1+Inputs!$C$35)</f>
        <v>0</v>
      </c>
      <c r="AS139" s="239">
        <f>AG139*(1+Inputs!$C$35)</f>
        <v>0</v>
      </c>
      <c r="AT139" s="29">
        <f>AH139*(1+Inputs!$C$35)</f>
        <v>0</v>
      </c>
      <c r="AU139" s="29">
        <f>AI139*(1+Inputs!$C$35)</f>
        <v>0</v>
      </c>
      <c r="AV139" s="29">
        <f>AJ139*(1+Inputs!$C$35)</f>
        <v>0</v>
      </c>
      <c r="AW139" s="29">
        <f>AK139*(1+Inputs!$C$35)</f>
        <v>0</v>
      </c>
      <c r="AX139" s="29">
        <f>AL139*(1+Inputs!$C$35)</f>
        <v>0</v>
      </c>
      <c r="AY139" s="29">
        <f>AM139*(1+Inputs!$C$35)</f>
        <v>0</v>
      </c>
      <c r="AZ139" s="29">
        <f>AN139*(1+Inputs!$C$35)</f>
        <v>0</v>
      </c>
      <c r="BA139" s="29">
        <f>AO139*(1+Inputs!$C$35)</f>
        <v>0</v>
      </c>
      <c r="BB139" s="29">
        <f>AP139*(1+Inputs!$C$35)</f>
        <v>0</v>
      </c>
      <c r="BC139" s="29">
        <f>AQ139*(1+Inputs!$C$35)</f>
        <v>0</v>
      </c>
      <c r="BD139" s="29">
        <f>AR139*(1+Inputs!$C$35)</f>
        <v>0</v>
      </c>
      <c r="BE139" s="239">
        <f>AS139*(1+Inputs!$C$35)</f>
        <v>0</v>
      </c>
      <c r="BF139" s="29">
        <f>AT139*(1+Inputs!$C$35)</f>
        <v>0</v>
      </c>
      <c r="BG139" s="29">
        <f>AU139*(1+Inputs!$C$35)</f>
        <v>0</v>
      </c>
      <c r="BH139" s="29">
        <f>AV139*(1+Inputs!$C$35)</f>
        <v>0</v>
      </c>
      <c r="BI139" s="29">
        <f>AW139*(1+Inputs!$C$35)</f>
        <v>0</v>
      </c>
      <c r="BJ139" s="29">
        <f>AX139*(1+Inputs!$C$35)</f>
        <v>0</v>
      </c>
      <c r="BK139" s="29">
        <f>AY139*(1+Inputs!$C$35)</f>
        <v>0</v>
      </c>
      <c r="BL139" s="29">
        <f>AZ139*(1+Inputs!$C$35)</f>
        <v>0</v>
      </c>
      <c r="BM139" s="29">
        <f>BA139*(1+Inputs!$C$35)</f>
        <v>0</v>
      </c>
      <c r="BN139" s="29">
        <f>BB139*(1+Inputs!$C$35)</f>
        <v>0</v>
      </c>
      <c r="BO139" s="29">
        <f>BC139*(1+Inputs!$C$35)</f>
        <v>0</v>
      </c>
      <c r="BP139" s="29">
        <f>BD139*(1+Inputs!$C$35)</f>
        <v>0</v>
      </c>
      <c r="BQ139" s="29">
        <f>BE139*(1+Inputs!$C$35)</f>
        <v>0</v>
      </c>
      <c r="BR139" s="29">
        <f>BF139*(1+Inputs!$C$35)</f>
        <v>0</v>
      </c>
      <c r="BS139" s="29">
        <f>BG139*(1+Inputs!$C$35)</f>
        <v>0</v>
      </c>
      <c r="BT139" s="29">
        <f>BH139*(1+Inputs!$C$35)</f>
        <v>0</v>
      </c>
      <c r="BU139" s="29">
        <f>BI139*(1+Inputs!$C$35)</f>
        <v>0</v>
      </c>
      <c r="BW139" s="29">
        <f t="shared" ref="BW139:CA139" si="189">SUMIF($J$6:$BU$6,BW$9,$J139:$BU139)</f>
        <v>0</v>
      </c>
      <c r="BX139" s="29">
        <f t="shared" si="189"/>
        <v>0</v>
      </c>
      <c r="BY139" s="29">
        <f t="shared" si="189"/>
        <v>0</v>
      </c>
      <c r="BZ139" s="29">
        <f t="shared" si="189"/>
        <v>0</v>
      </c>
      <c r="CA139" s="29">
        <f t="shared" si="189"/>
        <v>0</v>
      </c>
      <c r="CB139" s="29">
        <f>CA139*(1+Inputs!$C$35)</f>
        <v>0</v>
      </c>
      <c r="CC139" s="29">
        <f>CB139*(1+Inputs!$C$35)</f>
        <v>0</v>
      </c>
      <c r="CD139" s="29">
        <f>CC139*(1+Inputs!$C$35)</f>
        <v>0</v>
      </c>
      <c r="CE139" s="29">
        <f>CD139*(1+Inputs!$C$35)</f>
        <v>0</v>
      </c>
      <c r="CF139" s="29">
        <f>CE139*(1+Inputs!$C$35)</f>
        <v>0</v>
      </c>
      <c r="CG139" s="29">
        <f>CF139*(1+Inputs!$C$35)</f>
        <v>0</v>
      </c>
      <c r="CH139" s="29">
        <f>CG139*(1+Inputs!$C$35)</f>
        <v>0</v>
      </c>
      <c r="CI139" s="29">
        <f>CH139*(1+Inputs!$C$35)</f>
        <v>0</v>
      </c>
      <c r="CJ139" s="29">
        <f>CI139*(1+Inputs!$C$35)</f>
        <v>0</v>
      </c>
      <c r="CK139" s="29">
        <f>CJ139*(1+Inputs!$C$35)</f>
        <v>0</v>
      </c>
    </row>
    <row r="140" spans="1:89" ht="14.25" customHeight="1" x14ac:dyDescent="0.2">
      <c r="A140" s="11">
        <f t="shared" si="58"/>
        <v>0</v>
      </c>
      <c r="B140" s="56">
        <f t="shared" si="169"/>
        <v>6227</v>
      </c>
      <c r="D140" s="56"/>
      <c r="F140" s="56">
        <v>6227</v>
      </c>
      <c r="G140" s="11" t="s">
        <v>224</v>
      </c>
      <c r="H140" s="35">
        <f>VLOOKUP($F140,Inputs!$L:$Q,6,FALSE)</f>
        <v>1.0000000000000001E-9</v>
      </c>
      <c r="I140" s="1"/>
      <c r="J140" s="29">
        <f t="shared" ref="J140:U140" si="190">$H140</f>
        <v>1.0000000000000001E-9</v>
      </c>
      <c r="K140" s="29">
        <f t="shared" si="190"/>
        <v>1.0000000000000001E-9</v>
      </c>
      <c r="L140" s="29">
        <f t="shared" si="190"/>
        <v>1.0000000000000001E-9</v>
      </c>
      <c r="M140" s="29">
        <f t="shared" si="190"/>
        <v>1.0000000000000001E-9</v>
      </c>
      <c r="N140" s="29">
        <f t="shared" si="190"/>
        <v>1.0000000000000001E-9</v>
      </c>
      <c r="O140" s="29">
        <f t="shared" si="190"/>
        <v>1.0000000000000001E-9</v>
      </c>
      <c r="P140" s="29">
        <f t="shared" si="190"/>
        <v>1.0000000000000001E-9</v>
      </c>
      <c r="Q140" s="29">
        <f t="shared" si="190"/>
        <v>1.0000000000000001E-9</v>
      </c>
      <c r="R140" s="29">
        <f t="shared" si="190"/>
        <v>1.0000000000000001E-9</v>
      </c>
      <c r="S140" s="29">
        <f t="shared" si="190"/>
        <v>1.0000000000000001E-9</v>
      </c>
      <c r="T140" s="29">
        <f t="shared" si="190"/>
        <v>1.0000000000000001E-9</v>
      </c>
      <c r="U140" s="239">
        <f t="shared" si="190"/>
        <v>1.0000000000000001E-9</v>
      </c>
      <c r="V140" s="29">
        <f>$H140*(1+Inputs!$C$35)</f>
        <v>1.0249999999999999E-9</v>
      </c>
      <c r="W140" s="29">
        <f>K140*(1+Inputs!$C$35)</f>
        <v>1.0249999999999999E-9</v>
      </c>
      <c r="X140" s="29">
        <f>L140*(1+Inputs!$C$35)</f>
        <v>1.0249999999999999E-9</v>
      </c>
      <c r="Y140" s="29">
        <f>M140*(1+Inputs!$C$35)</f>
        <v>1.0249999999999999E-9</v>
      </c>
      <c r="Z140" s="29">
        <f>N140*(1+Inputs!$C$35)</f>
        <v>1.0249999999999999E-9</v>
      </c>
      <c r="AA140" s="29">
        <f>O140*(1+Inputs!$C$35)</f>
        <v>1.0249999999999999E-9</v>
      </c>
      <c r="AB140" s="29">
        <f>P140*(1+Inputs!$C$35)</f>
        <v>1.0249999999999999E-9</v>
      </c>
      <c r="AC140" s="29">
        <f>Q140*(1+Inputs!$C$35)</f>
        <v>1.0249999999999999E-9</v>
      </c>
      <c r="AD140" s="29">
        <f>R140*(1+Inputs!$C$35)</f>
        <v>1.0249999999999999E-9</v>
      </c>
      <c r="AE140" s="29">
        <f>S140*(1+Inputs!$C$35)</f>
        <v>1.0249999999999999E-9</v>
      </c>
      <c r="AF140" s="29">
        <f>T140*(1+Inputs!$C$35)</f>
        <v>1.0249999999999999E-9</v>
      </c>
      <c r="AG140" s="239">
        <f>U140*(1+Inputs!$C$35)</f>
        <v>1.0249999999999999E-9</v>
      </c>
      <c r="AH140" s="29">
        <f>V140*(1+Inputs!$C$35)</f>
        <v>1.0506249999999998E-9</v>
      </c>
      <c r="AI140" s="29">
        <f>W140*(1+Inputs!$C$35)</f>
        <v>1.0506249999999998E-9</v>
      </c>
      <c r="AJ140" s="29">
        <f>X140*(1+Inputs!$C$35)</f>
        <v>1.0506249999999998E-9</v>
      </c>
      <c r="AK140" s="29">
        <f>Y140*(1+Inputs!$C$35)</f>
        <v>1.0506249999999998E-9</v>
      </c>
      <c r="AL140" s="29">
        <f>Z140*(1+Inputs!$C$35)</f>
        <v>1.0506249999999998E-9</v>
      </c>
      <c r="AM140" s="29">
        <f>AA140*(1+Inputs!$C$35)</f>
        <v>1.0506249999999998E-9</v>
      </c>
      <c r="AN140" s="29">
        <f>AB140*(1+Inputs!$C$35)</f>
        <v>1.0506249999999998E-9</v>
      </c>
      <c r="AO140" s="29">
        <f>AC140*(1+Inputs!$C$35)</f>
        <v>1.0506249999999998E-9</v>
      </c>
      <c r="AP140" s="29">
        <f>AD140*(1+Inputs!$C$35)</f>
        <v>1.0506249999999998E-9</v>
      </c>
      <c r="AQ140" s="29">
        <f>AE140*(1+Inputs!$C$35)</f>
        <v>1.0506249999999998E-9</v>
      </c>
      <c r="AR140" s="29">
        <f>AF140*(1+Inputs!$C$35)</f>
        <v>1.0506249999999998E-9</v>
      </c>
      <c r="AS140" s="239">
        <f>AG140*(1+Inputs!$C$35)</f>
        <v>1.0506249999999998E-9</v>
      </c>
      <c r="AT140" s="29">
        <f>AH140*(1+Inputs!$C$35)</f>
        <v>1.0768906249999996E-9</v>
      </c>
      <c r="AU140" s="29">
        <f>AI140*(1+Inputs!$C$35)</f>
        <v>1.0768906249999996E-9</v>
      </c>
      <c r="AV140" s="29">
        <f>AJ140*(1+Inputs!$C$35)</f>
        <v>1.0768906249999996E-9</v>
      </c>
      <c r="AW140" s="29">
        <f>AK140*(1+Inputs!$C$35)</f>
        <v>1.0768906249999996E-9</v>
      </c>
      <c r="AX140" s="29">
        <f>AL140*(1+Inputs!$C$35)</f>
        <v>1.0768906249999996E-9</v>
      </c>
      <c r="AY140" s="29">
        <f>AM140*(1+Inputs!$C$35)</f>
        <v>1.0768906249999996E-9</v>
      </c>
      <c r="AZ140" s="29">
        <f>AN140*(1+Inputs!$C$35)</f>
        <v>1.0768906249999996E-9</v>
      </c>
      <c r="BA140" s="29">
        <f>AO140*(1+Inputs!$C$35)</f>
        <v>1.0768906249999996E-9</v>
      </c>
      <c r="BB140" s="29">
        <f>AP140*(1+Inputs!$C$35)</f>
        <v>1.0768906249999996E-9</v>
      </c>
      <c r="BC140" s="29">
        <f>AQ140*(1+Inputs!$C$35)</f>
        <v>1.0768906249999996E-9</v>
      </c>
      <c r="BD140" s="29">
        <f>AR140*(1+Inputs!$C$35)</f>
        <v>1.0768906249999996E-9</v>
      </c>
      <c r="BE140" s="239">
        <f>AS140*(1+Inputs!$C$35)</f>
        <v>1.0768906249999996E-9</v>
      </c>
      <c r="BF140" s="29">
        <f>AT140*(1+Inputs!$C$35)</f>
        <v>1.1038128906249995E-9</v>
      </c>
      <c r="BG140" s="29">
        <f>AU140*(1+Inputs!$C$35)</f>
        <v>1.1038128906249995E-9</v>
      </c>
      <c r="BH140" s="29">
        <f>AV140*(1+Inputs!$C$35)</f>
        <v>1.1038128906249995E-9</v>
      </c>
      <c r="BI140" s="29">
        <f>AW140*(1+Inputs!$C$35)</f>
        <v>1.1038128906249995E-9</v>
      </c>
      <c r="BJ140" s="29">
        <f>AX140*(1+Inputs!$C$35)</f>
        <v>1.1038128906249995E-9</v>
      </c>
      <c r="BK140" s="29">
        <f>AY140*(1+Inputs!$C$35)</f>
        <v>1.1038128906249995E-9</v>
      </c>
      <c r="BL140" s="29">
        <f>AZ140*(1+Inputs!$C$35)</f>
        <v>1.1038128906249995E-9</v>
      </c>
      <c r="BM140" s="29">
        <f>BA140*(1+Inputs!$C$35)</f>
        <v>1.1038128906249995E-9</v>
      </c>
      <c r="BN140" s="29">
        <f>BB140*(1+Inputs!$C$35)</f>
        <v>1.1038128906249995E-9</v>
      </c>
      <c r="BO140" s="29">
        <f>BC140*(1+Inputs!$C$35)</f>
        <v>1.1038128906249995E-9</v>
      </c>
      <c r="BP140" s="29">
        <f>BD140*(1+Inputs!$C$35)</f>
        <v>1.1038128906249995E-9</v>
      </c>
      <c r="BQ140" s="29">
        <f>BE140*(1+Inputs!$C$35)</f>
        <v>1.1038128906249995E-9</v>
      </c>
      <c r="BR140" s="29">
        <f>BF140*(1+Inputs!$C$35)</f>
        <v>1.1314082128906244E-9</v>
      </c>
      <c r="BS140" s="29">
        <f>BG140*(1+Inputs!$C$35)</f>
        <v>1.1314082128906244E-9</v>
      </c>
      <c r="BT140" s="29">
        <f>BH140*(1+Inputs!$C$35)</f>
        <v>1.1314082128906244E-9</v>
      </c>
      <c r="BU140" s="29">
        <f>BI140*(1+Inputs!$C$35)</f>
        <v>1.1314082128906244E-9</v>
      </c>
      <c r="BW140" s="29">
        <f t="shared" ref="BW140:CA140" si="191">SUMIF($J$6:$BU$6,BW$9,$J140:$BU140)</f>
        <v>1.2000000000000003E-8</v>
      </c>
      <c r="BX140" s="29">
        <f t="shared" si="191"/>
        <v>1.2299999999999996E-8</v>
      </c>
      <c r="BY140" s="29">
        <f t="shared" si="191"/>
        <v>1.2607500000000001E-8</v>
      </c>
      <c r="BZ140" s="29">
        <f t="shared" si="191"/>
        <v>1.2922687499999992E-8</v>
      </c>
      <c r="CA140" s="29">
        <f t="shared" si="191"/>
        <v>1.324575468749999E-8</v>
      </c>
      <c r="CB140" s="29">
        <f>CA140*(1+Inputs!$C$35)</f>
        <v>1.3576898554687488E-8</v>
      </c>
      <c r="CC140" s="29">
        <f>CB140*(1+Inputs!$C$35)</f>
        <v>1.3916321018554674E-8</v>
      </c>
      <c r="CD140" s="29">
        <f>CC140*(1+Inputs!$C$35)</f>
        <v>1.426422904401854E-8</v>
      </c>
      <c r="CE140" s="29">
        <f>CD140*(1+Inputs!$C$35)</f>
        <v>1.4620834770119003E-8</v>
      </c>
      <c r="CF140" s="29">
        <f>CE140*(1+Inputs!$C$35)</f>
        <v>1.4986355639371978E-8</v>
      </c>
      <c r="CG140" s="29">
        <f>CF140*(1+Inputs!$C$35)</f>
        <v>1.5361014530356275E-8</v>
      </c>
      <c r="CH140" s="29">
        <f>CG140*(1+Inputs!$C$35)</f>
        <v>1.5745039893615182E-8</v>
      </c>
      <c r="CI140" s="29">
        <f>CH140*(1+Inputs!$C$35)</f>
        <v>1.6138665890955562E-8</v>
      </c>
      <c r="CJ140" s="29">
        <f>CI140*(1+Inputs!$C$35)</f>
        <v>1.654213253822945E-8</v>
      </c>
      <c r="CK140" s="29">
        <f>CJ140*(1+Inputs!$C$35)</f>
        <v>1.6955685851685185E-8</v>
      </c>
    </row>
    <row r="141" spans="1:89" ht="14.25" customHeight="1" x14ac:dyDescent="0.2">
      <c r="A141" s="11">
        <f t="shared" si="58"/>
        <v>0</v>
      </c>
      <c r="B141" s="56">
        <f t="shared" si="169"/>
        <v>6232</v>
      </c>
      <c r="D141" s="56"/>
      <c r="F141" s="56">
        <v>6232</v>
      </c>
      <c r="G141" s="11" t="s">
        <v>228</v>
      </c>
      <c r="H141" s="25">
        <f>VLOOKUP($F141,Inputs!$L:$Q,6,FALSE)</f>
        <v>1.4999999999999999E-2</v>
      </c>
      <c r="I141" s="1"/>
      <c r="J141" s="29">
        <f t="shared" ref="J141:U141" si="192">$H141*J$80</f>
        <v>55.965928313772245</v>
      </c>
      <c r="K141" s="29">
        <f t="shared" si="192"/>
        <v>107.50674104883704</v>
      </c>
      <c r="L141" s="29">
        <f t="shared" si="192"/>
        <v>181.46430497512117</v>
      </c>
      <c r="M141" s="29">
        <f t="shared" si="192"/>
        <v>258.85450303666425</v>
      </c>
      <c r="N141" s="29">
        <f t="shared" si="192"/>
        <v>385.47963085194061</v>
      </c>
      <c r="O141" s="29">
        <f t="shared" si="192"/>
        <v>495.26568477826771</v>
      </c>
      <c r="P141" s="29">
        <f t="shared" si="192"/>
        <v>590.90214778508482</v>
      </c>
      <c r="Q141" s="29">
        <f t="shared" si="192"/>
        <v>658.00370157087741</v>
      </c>
      <c r="R141" s="29">
        <f t="shared" si="192"/>
        <v>716.32662979950419</v>
      </c>
      <c r="S141" s="29">
        <f t="shared" si="192"/>
        <v>777.72037550906452</v>
      </c>
      <c r="T141" s="29">
        <f t="shared" si="192"/>
        <v>832.6334600264322</v>
      </c>
      <c r="U141" s="239">
        <f t="shared" si="192"/>
        <v>878.93464337035095</v>
      </c>
      <c r="V141" s="29">
        <f>$H141*V$80*(1+Inputs!$C$35)^(V$7-1)</f>
        <v>963.82977512508353</v>
      </c>
      <c r="W141" s="29">
        <f>$H141*W$80*(1+Inputs!$C$35)^(W$7-1)</f>
        <v>1025.3894886674536</v>
      </c>
      <c r="X141" s="29">
        <f>$H141*X$80*(1+Inputs!$C$35)^(X$7-1)</f>
        <v>1113.0152052858582</v>
      </c>
      <c r="Y141" s="29">
        <f>$H141*Y$80*(1+Inputs!$C$35)^(Y$7-1)</f>
        <v>1206.5864104200991</v>
      </c>
      <c r="Z141" s="29">
        <f>$H141*Z$80*(1+Inputs!$C$35)^(Z$7-1)</f>
        <v>1357.5376148539699</v>
      </c>
      <c r="AA141" s="29">
        <f>$H141*AA$80*(1+Inputs!$C$35)^(AA$7-1)</f>
        <v>1490.1073591355912</v>
      </c>
      <c r="AB141" s="29">
        <f>$H141*AB$80*(1+Inputs!$C$35)^(AB$7-1)</f>
        <v>1605.4054132120896</v>
      </c>
      <c r="AC141" s="29">
        <f>$H141*AC$80*(1+Inputs!$C$35)^(AC$7-1)</f>
        <v>1685.2650235490157</v>
      </c>
      <c r="AD141" s="29">
        <f>$H141*AD$80*(1+Inputs!$C$35)^(AD$7-1)</f>
        <v>1753.8568631192177</v>
      </c>
      <c r="AE141" s="29">
        <f>$H141*AE$80*(1+Inputs!$C$35)^(AE$7-1)</f>
        <v>1827.1012216601466</v>
      </c>
      <c r="AF141" s="29">
        <f>$H141*AF$80*(1+Inputs!$C$35)^(AF$7-1)</f>
        <v>1891.5792488372967</v>
      </c>
      <c r="AG141" s="239">
        <f>$H141*AG$80*(1+Inputs!$C$35)^(AG$7-1)</f>
        <v>1946.7598674657295</v>
      </c>
      <c r="AH141" s="29">
        <f>$H141*AH$80*(1+Inputs!$C$35)^(AH$7-1)</f>
        <v>2044.5880735943374</v>
      </c>
      <c r="AI141" s="29">
        <f>$H141*AI$80*(1+Inputs!$C$35)^(AI$7-1)</f>
        <v>2094.1457653160646</v>
      </c>
      <c r="AJ141" s="29">
        <f>$H141*AJ$80*(1+Inputs!$C$35)^(AJ$7-1)</f>
        <v>2163.8441133584424</v>
      </c>
      <c r="AK141" s="29">
        <f>$H141*AK$80*(1+Inputs!$C$35)^(AK$7-1)</f>
        <v>2240.125946377816</v>
      </c>
      <c r="AL141" s="29">
        <f>$H141*AL$80*(1+Inputs!$C$35)^(AL$7-1)</f>
        <v>2360.7830744730582</v>
      </c>
      <c r="AM141" s="29">
        <f>$H141*AM$80*(1+Inputs!$C$35)^(AM$7-1)</f>
        <v>2467.3536552537862</v>
      </c>
      <c r="AN141" s="29">
        <f>$H141*AN$80*(1+Inputs!$C$35)^(AN$7-1)</f>
        <v>2558.6830274895738</v>
      </c>
      <c r="AO141" s="29">
        <f>$H141*AO$80*(1+Inputs!$C$35)^(AO$7-1)</f>
        <v>2618.9822037634485</v>
      </c>
      <c r="AP141" s="29">
        <f>$H141*AP$80*(1+Inputs!$C$35)^(AP$7-1)</f>
        <v>2668.7856037882757</v>
      </c>
      <c r="AQ141" s="29">
        <f>$H141*AQ$80*(1+Inputs!$C$35)^(AQ$7-1)</f>
        <v>2722.2374849373255</v>
      </c>
      <c r="AR141" s="29">
        <f>$H141*AR$80*(1+Inputs!$C$35)^(AR$7-1)</f>
        <v>2765.4532502277516</v>
      </c>
      <c r="AS141" s="239">
        <f>$H141*AS$80*(1+Inputs!$C$35)^(AS$7-1)</f>
        <v>2801.7055850888446</v>
      </c>
      <c r="AT141" s="29">
        <f>$H141*AT$80*(1+Inputs!$C$35)^(AT$7-1)</f>
        <v>2839.8784174264611</v>
      </c>
      <c r="AU141" s="29">
        <f>$H141*AU$80*(1+Inputs!$C$35)^(AU$7-1)</f>
        <v>2849.2568529812224</v>
      </c>
      <c r="AV141" s="29">
        <f>$H141*AV$80*(1+Inputs!$C$35)^(AV$7-1)</f>
        <v>2867.6325865496219</v>
      </c>
      <c r="AW141" s="29">
        <f>$H141*AW$80*(1+Inputs!$C$35)^(AW$7-1)</f>
        <v>2896.5780254114602</v>
      </c>
      <c r="AX141" s="29">
        <f>$H141*AX$80*(1+Inputs!$C$35)^(AX$7-1)</f>
        <v>2955.7722940110693</v>
      </c>
      <c r="AY141" s="29">
        <f>$H141*AY$80*(1+Inputs!$C$35)^(AY$7-1)</f>
        <v>2997.3661477701826</v>
      </c>
      <c r="AZ141" s="29">
        <f>$H141*AZ$80*(1+Inputs!$C$35)^(AZ$7-1)</f>
        <v>3018.7068831191054</v>
      </c>
      <c r="BA141" s="29">
        <f>$H141*BA$80*(1+Inputs!$C$35)^(BA$7-1)</f>
        <v>3002.0450169359556</v>
      </c>
      <c r="BB141" s="29">
        <f>$H141*BB$80*(1+Inputs!$C$35)^(BB$7-1)</f>
        <v>2990.7843199622284</v>
      </c>
      <c r="BC141" s="29">
        <f>$H141*BC$80*(1+Inputs!$C$35)^(BC$7-1)</f>
        <v>2981.6501940038615</v>
      </c>
      <c r="BD141" s="29">
        <f>$H141*BD$80*(1+Inputs!$C$35)^(BD$7-1)</f>
        <v>2967.4892893502697</v>
      </c>
      <c r="BE141" s="239">
        <f>$H141*BE$80*(1+Inputs!$C$35)^(BE$7-1)</f>
        <v>2958.1821109711154</v>
      </c>
      <c r="BF141" s="29">
        <f>$H141*BF$80*(1+Inputs!$C$35)^(BF$7-1)</f>
        <v>3040.4661124332542</v>
      </c>
      <c r="BG141" s="29">
        <f>$H141*BG$80*(1+Inputs!$C$35)^(BG$7-1)</f>
        <v>3048.4123667421604</v>
      </c>
      <c r="BH141" s="29">
        <f>$H141*BH$80*(1+Inputs!$C$35)^(BH$7-1)</f>
        <v>3068.0796750222753</v>
      </c>
      <c r="BI141" s="29">
        <f>$H141*BI$80*(1+Inputs!$C$35)^(BI$7-1)</f>
        <v>3098.7712323005021</v>
      </c>
      <c r="BJ141" s="29">
        <f>$H141*BJ$80*(1+Inputs!$C$35)^(BJ$7-1)</f>
        <v>3161.1277388483745</v>
      </c>
      <c r="BK141" s="29">
        <f>$H141*BK$80*(1+Inputs!$C$35)^(BK$7-1)</f>
        <v>3206.8392348605566</v>
      </c>
      <c r="BL141" s="29">
        <f>$H141*BL$80*(1+Inputs!$C$35)^(BL$7-1)</f>
        <v>3230.0979957131085</v>
      </c>
      <c r="BM141" s="29">
        <f>$H141*BM$80*(1+Inputs!$C$35)^(BM$7-1)</f>
        <v>3213.0353452483487</v>
      </c>
      <c r="BN141" s="29">
        <f>$H141*BN$80*(1+Inputs!$C$35)^(BN$7-1)</f>
        <v>3200.8567721851405</v>
      </c>
      <c r="BO141" s="29">
        <f>$H141*BO$80*(1+Inputs!$C$35)^(BO$7-1)</f>
        <v>3190.2616689364813</v>
      </c>
      <c r="BP141" s="29">
        <f>$H141*BP$80*(1+Inputs!$C$35)^(BP$7-1)</f>
        <v>3174.4945287809091</v>
      </c>
      <c r="BQ141" s="29">
        <f>$H141*BQ$80*(1+Inputs!$C$35)^(BQ$7-1)</f>
        <v>3163.7581213751369</v>
      </c>
      <c r="BR141" s="29">
        <f>$H141*BR$80*(1+Inputs!$C$35)^(BR$7-1)</f>
        <v>3227.6119675292189</v>
      </c>
      <c r="BS141" s="29">
        <f>$H141*BS$80*(1+Inputs!$C$35)^(BS$7-1)</f>
        <v>3231.0955027625537</v>
      </c>
      <c r="BT141" s="29">
        <f>$H141*BT$80*(1+Inputs!$C$35)^(BT$7-1)</f>
        <v>3248.1305092986136</v>
      </c>
      <c r="BU141" s="29">
        <f>$H141*BU$80*(1+Inputs!$C$35)^(BU$7-1)</f>
        <v>3277.0483169230192</v>
      </c>
      <c r="BW141" s="29">
        <f t="shared" ref="BW141:CA141" si="193">SUMIF($J$6:$BU$6,BW$9,$J141:$BU141)</f>
        <v>5939.0577510659177</v>
      </c>
      <c r="BX141" s="29">
        <f t="shared" si="193"/>
        <v>17866.433491331554</v>
      </c>
      <c r="BY141" s="29">
        <f t="shared" si="193"/>
        <v>29506.687783668727</v>
      </c>
      <c r="BZ141" s="29">
        <f t="shared" si="193"/>
        <v>35325.342138492553</v>
      </c>
      <c r="CA141" s="29">
        <f t="shared" si="193"/>
        <v>37796.200792446245</v>
      </c>
      <c r="CB141" s="29">
        <f>CA141*(1+Inputs!$C$35)</f>
        <v>38741.105812257396</v>
      </c>
      <c r="CC141" s="29">
        <f>CB141*(1+Inputs!$C$35)</f>
        <v>39709.633457563825</v>
      </c>
      <c r="CD141" s="29">
        <f>CC141*(1+Inputs!$C$35)</f>
        <v>40702.374294002919</v>
      </c>
      <c r="CE141" s="29">
        <f>CD141*(1+Inputs!$C$35)</f>
        <v>41719.933651352985</v>
      </c>
      <c r="CF141" s="29">
        <f>CE141*(1+Inputs!$C$35)</f>
        <v>42762.931992636804</v>
      </c>
      <c r="CG141" s="29">
        <f>CF141*(1+Inputs!$C$35)</f>
        <v>43832.005292452719</v>
      </c>
      <c r="CH141" s="29">
        <f>CG141*(1+Inputs!$C$35)</f>
        <v>44927.805424764032</v>
      </c>
      <c r="CI141" s="29">
        <f>CH141*(1+Inputs!$C$35)</f>
        <v>46051.000560383131</v>
      </c>
      <c r="CJ141" s="29">
        <f>CI141*(1+Inputs!$C$35)</f>
        <v>47202.275574392705</v>
      </c>
      <c r="CK141" s="29">
        <f>CJ141*(1+Inputs!$C$35)</f>
        <v>48382.332463752515</v>
      </c>
    </row>
    <row r="142" spans="1:89" ht="14.25" customHeight="1" x14ac:dyDescent="0.2">
      <c r="A142" s="11">
        <f t="shared" si="58"/>
        <v>0</v>
      </c>
      <c r="B142" s="56">
        <f t="shared" si="169"/>
        <v>6233</v>
      </c>
      <c r="D142" s="56"/>
      <c r="F142" s="56">
        <v>6233</v>
      </c>
      <c r="G142" s="11" t="s">
        <v>231</v>
      </c>
      <c r="H142" s="25">
        <f>VLOOKUP($F142,Inputs!$L:$Q,6,FALSE)</f>
        <v>8.0000000000000002E-3</v>
      </c>
      <c r="I142" s="1"/>
      <c r="J142" s="29">
        <f t="shared" ref="J142:U142" si="194">$H142*J$80</f>
        <v>29.84849510067853</v>
      </c>
      <c r="K142" s="29">
        <f t="shared" si="194"/>
        <v>57.336928559379764</v>
      </c>
      <c r="L142" s="29">
        <f t="shared" si="194"/>
        <v>96.780962653397964</v>
      </c>
      <c r="M142" s="29">
        <f t="shared" si="194"/>
        <v>138.0557349528876</v>
      </c>
      <c r="N142" s="29">
        <f t="shared" si="194"/>
        <v>205.58913645436834</v>
      </c>
      <c r="O142" s="29">
        <f t="shared" si="194"/>
        <v>264.14169854840947</v>
      </c>
      <c r="P142" s="29">
        <f t="shared" si="194"/>
        <v>315.14781215204528</v>
      </c>
      <c r="Q142" s="29">
        <f t="shared" si="194"/>
        <v>350.93530750446797</v>
      </c>
      <c r="R142" s="29">
        <f t="shared" si="194"/>
        <v>382.04086922640226</v>
      </c>
      <c r="S142" s="29">
        <f t="shared" si="194"/>
        <v>414.78420027150111</v>
      </c>
      <c r="T142" s="29">
        <f t="shared" si="194"/>
        <v>444.07117868076386</v>
      </c>
      <c r="U142" s="239">
        <f t="shared" si="194"/>
        <v>468.76514313085386</v>
      </c>
      <c r="V142" s="29">
        <f>$H142*V$80*(1+Inputs!$C$35)^(V$7-1)</f>
        <v>514.04254673337789</v>
      </c>
      <c r="W142" s="29">
        <f>$H142*W$80*(1+Inputs!$C$35)^(W$7-1)</f>
        <v>546.87439395597539</v>
      </c>
      <c r="X142" s="29">
        <f>$H142*X$80*(1+Inputs!$C$35)^(X$7-1)</f>
        <v>593.60810948579115</v>
      </c>
      <c r="Y142" s="29">
        <f>$H142*Y$80*(1+Inputs!$C$35)^(Y$7-1)</f>
        <v>643.51275222405286</v>
      </c>
      <c r="Z142" s="29">
        <f>$H142*Z$80*(1+Inputs!$C$35)^(Z$7-1)</f>
        <v>724.02006125545063</v>
      </c>
      <c r="AA142" s="29">
        <f>$H142*AA$80*(1+Inputs!$C$35)^(AA$7-1)</f>
        <v>794.72392487231525</v>
      </c>
      <c r="AB142" s="29">
        <f>$H142*AB$80*(1+Inputs!$C$35)^(AB$7-1)</f>
        <v>856.21622037978102</v>
      </c>
      <c r="AC142" s="29">
        <f>$H142*AC$80*(1+Inputs!$C$35)^(AC$7-1)</f>
        <v>898.80801255947517</v>
      </c>
      <c r="AD142" s="29">
        <f>$H142*AD$80*(1+Inputs!$C$35)^(AD$7-1)</f>
        <v>935.3903269969162</v>
      </c>
      <c r="AE142" s="29">
        <f>$H142*AE$80*(1+Inputs!$C$35)^(AE$7-1)</f>
        <v>974.4539848854115</v>
      </c>
      <c r="AF142" s="29">
        <f>$H142*AF$80*(1+Inputs!$C$35)^(AF$7-1)</f>
        <v>1008.8422660465583</v>
      </c>
      <c r="AG142" s="239">
        <f>$H142*AG$80*(1+Inputs!$C$35)^(AG$7-1)</f>
        <v>1038.2719293150558</v>
      </c>
      <c r="AH142" s="29">
        <f>$H142*AH$80*(1+Inputs!$C$35)^(AH$7-1)</f>
        <v>1090.4469725836466</v>
      </c>
      <c r="AI142" s="29">
        <f>$H142*AI$80*(1+Inputs!$C$35)^(AI$7-1)</f>
        <v>1116.8777415019013</v>
      </c>
      <c r="AJ142" s="29">
        <f>$H142*AJ$80*(1+Inputs!$C$35)^(AJ$7-1)</f>
        <v>1154.0501937911692</v>
      </c>
      <c r="AK142" s="29">
        <f>$H142*AK$80*(1+Inputs!$C$35)^(AK$7-1)</f>
        <v>1194.7338380681686</v>
      </c>
      <c r="AL142" s="29">
        <f>$H142*AL$80*(1+Inputs!$C$35)^(AL$7-1)</f>
        <v>1259.084306385631</v>
      </c>
      <c r="AM142" s="29">
        <f>$H142*AM$80*(1+Inputs!$C$35)^(AM$7-1)</f>
        <v>1315.9219494686861</v>
      </c>
      <c r="AN142" s="29">
        <f>$H142*AN$80*(1+Inputs!$C$35)^(AN$7-1)</f>
        <v>1364.6309479944393</v>
      </c>
      <c r="AO142" s="29">
        <f>$H142*AO$80*(1+Inputs!$C$35)^(AO$7-1)</f>
        <v>1396.7905086738392</v>
      </c>
      <c r="AP142" s="29">
        <f>$H142*AP$80*(1+Inputs!$C$35)^(AP$7-1)</f>
        <v>1423.3523220204138</v>
      </c>
      <c r="AQ142" s="29">
        <f>$H142*AQ$80*(1+Inputs!$C$35)^(AQ$7-1)</f>
        <v>1451.8599919665737</v>
      </c>
      <c r="AR142" s="29">
        <f>$H142*AR$80*(1+Inputs!$C$35)^(AR$7-1)</f>
        <v>1474.9084001214676</v>
      </c>
      <c r="AS142" s="239">
        <f>$H142*AS$80*(1+Inputs!$C$35)^(AS$7-1)</f>
        <v>1494.2429787140507</v>
      </c>
      <c r="AT142" s="29">
        <f>$H142*AT$80*(1+Inputs!$C$35)^(AT$7-1)</f>
        <v>1514.6018226274457</v>
      </c>
      <c r="AU142" s="29">
        <f>$H142*AU$80*(1+Inputs!$C$35)^(AU$7-1)</f>
        <v>1519.6036549233188</v>
      </c>
      <c r="AV142" s="29">
        <f>$H142*AV$80*(1+Inputs!$C$35)^(AV$7-1)</f>
        <v>1529.4040461597986</v>
      </c>
      <c r="AW142" s="29">
        <f>$H142*AW$80*(1+Inputs!$C$35)^(AW$7-1)</f>
        <v>1544.8416135527789</v>
      </c>
      <c r="AX142" s="29">
        <f>$H142*AX$80*(1+Inputs!$C$35)^(AX$7-1)</f>
        <v>1576.4118901392369</v>
      </c>
      <c r="AY142" s="29">
        <f>$H142*AY$80*(1+Inputs!$C$35)^(AY$7-1)</f>
        <v>1598.5952788107643</v>
      </c>
      <c r="AZ142" s="29">
        <f>$H142*AZ$80*(1+Inputs!$C$35)^(AZ$7-1)</f>
        <v>1609.9770043301899</v>
      </c>
      <c r="BA142" s="29">
        <f>$H142*BA$80*(1+Inputs!$C$35)^(BA$7-1)</f>
        <v>1601.0906756991762</v>
      </c>
      <c r="BB142" s="29">
        <f>$H142*BB$80*(1+Inputs!$C$35)^(BB$7-1)</f>
        <v>1595.0849706465219</v>
      </c>
      <c r="BC142" s="29">
        <f>$H142*BC$80*(1+Inputs!$C$35)^(BC$7-1)</f>
        <v>1590.2134368020595</v>
      </c>
      <c r="BD142" s="29">
        <f>$H142*BD$80*(1+Inputs!$C$35)^(BD$7-1)</f>
        <v>1582.6609543201441</v>
      </c>
      <c r="BE142" s="239">
        <f>$H142*BE$80*(1+Inputs!$C$35)^(BE$7-1)</f>
        <v>1577.6971258512615</v>
      </c>
      <c r="BF142" s="29">
        <f>$H142*BF$80*(1+Inputs!$C$35)^(BF$7-1)</f>
        <v>1621.5819266310691</v>
      </c>
      <c r="BG142" s="29">
        <f>$H142*BG$80*(1+Inputs!$C$35)^(BG$7-1)</f>
        <v>1625.8199289291524</v>
      </c>
      <c r="BH142" s="29">
        <f>$H142*BH$80*(1+Inputs!$C$35)^(BH$7-1)</f>
        <v>1636.3091600118801</v>
      </c>
      <c r="BI142" s="29">
        <f>$H142*BI$80*(1+Inputs!$C$35)^(BI$7-1)</f>
        <v>1652.6779905602677</v>
      </c>
      <c r="BJ142" s="29">
        <f>$H142*BJ$80*(1+Inputs!$C$35)^(BJ$7-1)</f>
        <v>1685.9347940524665</v>
      </c>
      <c r="BK142" s="29">
        <f>$H142*BK$80*(1+Inputs!$C$35)^(BK$7-1)</f>
        <v>1710.3142585922969</v>
      </c>
      <c r="BL142" s="29">
        <f>$H142*BL$80*(1+Inputs!$C$35)^(BL$7-1)</f>
        <v>1722.7189310469912</v>
      </c>
      <c r="BM142" s="29">
        <f>$H142*BM$80*(1+Inputs!$C$35)^(BM$7-1)</f>
        <v>1713.6188507991196</v>
      </c>
      <c r="BN142" s="29">
        <f>$H142*BN$80*(1+Inputs!$C$35)^(BN$7-1)</f>
        <v>1707.1236118320749</v>
      </c>
      <c r="BO142" s="29">
        <f>$H142*BO$80*(1+Inputs!$C$35)^(BO$7-1)</f>
        <v>1701.4728900994569</v>
      </c>
      <c r="BP142" s="29">
        <f>$H142*BP$80*(1+Inputs!$C$35)^(BP$7-1)</f>
        <v>1693.0637486831515</v>
      </c>
      <c r="BQ142" s="29">
        <f>$H142*BQ$80*(1+Inputs!$C$35)^(BQ$7-1)</f>
        <v>1687.3376647334062</v>
      </c>
      <c r="BR142" s="29">
        <f>$H142*BR$80*(1+Inputs!$C$35)^(BR$7-1)</f>
        <v>1721.3930493489167</v>
      </c>
      <c r="BS142" s="29">
        <f>$H142*BS$80*(1+Inputs!$C$35)^(BS$7-1)</f>
        <v>1723.2509348066953</v>
      </c>
      <c r="BT142" s="29">
        <f>$H142*BT$80*(1+Inputs!$C$35)^(BT$7-1)</f>
        <v>1732.3362716259276</v>
      </c>
      <c r="BU142" s="29">
        <f>$H142*BU$80*(1+Inputs!$C$35)^(BU$7-1)</f>
        <v>1747.7591023589434</v>
      </c>
      <c r="BW142" s="29">
        <f t="shared" ref="BW142:CA142" si="195">SUMIF($J$6:$BU$6,BW$9,$J142:$BU142)</f>
        <v>3167.4974672351564</v>
      </c>
      <c r="BX142" s="29">
        <f t="shared" si="195"/>
        <v>9528.7645287101623</v>
      </c>
      <c r="BY142" s="29">
        <f t="shared" si="195"/>
        <v>15736.900151289985</v>
      </c>
      <c r="BZ142" s="29">
        <f t="shared" si="195"/>
        <v>18840.182473862693</v>
      </c>
      <c r="CA142" s="29">
        <f t="shared" si="195"/>
        <v>20157.973755971332</v>
      </c>
      <c r="CB142" s="29">
        <f>CA142*(1+Inputs!$C$35)</f>
        <v>20661.923099870615</v>
      </c>
      <c r="CC142" s="29">
        <f>CB142*(1+Inputs!$C$35)</f>
        <v>21178.471177367377</v>
      </c>
      <c r="CD142" s="29">
        <f>CC142*(1+Inputs!$C$35)</f>
        <v>21707.93295680156</v>
      </c>
      <c r="CE142" s="29">
        <f>CD142*(1+Inputs!$C$35)</f>
        <v>22250.631280721598</v>
      </c>
      <c r="CF142" s="29">
        <f>CE142*(1+Inputs!$C$35)</f>
        <v>22806.897062739637</v>
      </c>
      <c r="CG142" s="29">
        <f>CF142*(1+Inputs!$C$35)</f>
        <v>23377.069489308127</v>
      </c>
      <c r="CH142" s="29">
        <f>CG142*(1+Inputs!$C$35)</f>
        <v>23961.496226540829</v>
      </c>
      <c r="CI142" s="29">
        <f>CH142*(1+Inputs!$C$35)</f>
        <v>24560.533632204348</v>
      </c>
      <c r="CJ142" s="29">
        <f>CI142*(1+Inputs!$C$35)</f>
        <v>25174.546973009456</v>
      </c>
      <c r="CK142" s="29">
        <f>CJ142*(1+Inputs!$C$35)</f>
        <v>25803.910647334691</v>
      </c>
    </row>
    <row r="143" spans="1:89" ht="14.25" customHeight="1" x14ac:dyDescent="0.2">
      <c r="A143" s="11">
        <f t="shared" si="58"/>
        <v>0</v>
      </c>
      <c r="B143" s="56">
        <f t="shared" si="169"/>
        <v>6238</v>
      </c>
      <c r="D143" s="56"/>
      <c r="F143" s="56">
        <v>6238</v>
      </c>
      <c r="G143" s="11" t="s">
        <v>375</v>
      </c>
      <c r="H143" s="35">
        <v>0</v>
      </c>
      <c r="I143" s="1"/>
      <c r="J143" s="29">
        <f t="shared" ref="J143:U143" si="196">$H143</f>
        <v>0</v>
      </c>
      <c r="K143" s="29">
        <f t="shared" si="196"/>
        <v>0</v>
      </c>
      <c r="L143" s="29">
        <f t="shared" si="196"/>
        <v>0</v>
      </c>
      <c r="M143" s="29">
        <f t="shared" si="196"/>
        <v>0</v>
      </c>
      <c r="N143" s="29">
        <f t="shared" si="196"/>
        <v>0</v>
      </c>
      <c r="O143" s="29">
        <f t="shared" si="196"/>
        <v>0</v>
      </c>
      <c r="P143" s="29">
        <f t="shared" si="196"/>
        <v>0</v>
      </c>
      <c r="Q143" s="29">
        <f t="shared" si="196"/>
        <v>0</v>
      </c>
      <c r="R143" s="29">
        <f t="shared" si="196"/>
        <v>0</v>
      </c>
      <c r="S143" s="29">
        <f t="shared" si="196"/>
        <v>0</v>
      </c>
      <c r="T143" s="29">
        <f t="shared" si="196"/>
        <v>0</v>
      </c>
      <c r="U143" s="239">
        <f t="shared" si="196"/>
        <v>0</v>
      </c>
      <c r="V143" s="29">
        <f>J143*(1+Inputs!$C$35)</f>
        <v>0</v>
      </c>
      <c r="W143" s="29">
        <f>K143*(1+Inputs!$C$35)</f>
        <v>0</v>
      </c>
      <c r="X143" s="29">
        <f>L143*(1+Inputs!$C$35)</f>
        <v>0</v>
      </c>
      <c r="Y143" s="29">
        <f>M143*(1+Inputs!$C$35)</f>
        <v>0</v>
      </c>
      <c r="Z143" s="29">
        <f>N143*(1+Inputs!$C$35)</f>
        <v>0</v>
      </c>
      <c r="AA143" s="29">
        <f>O143*(1+Inputs!$C$35)</f>
        <v>0</v>
      </c>
      <c r="AB143" s="29">
        <f>P143*(1+Inputs!$C$35)</f>
        <v>0</v>
      </c>
      <c r="AC143" s="29">
        <f>Q143*(1+Inputs!$C$35)</f>
        <v>0</v>
      </c>
      <c r="AD143" s="29">
        <f>R143*(1+Inputs!$C$35)</f>
        <v>0</v>
      </c>
      <c r="AE143" s="29">
        <f>S143*(1+Inputs!$C$35)</f>
        <v>0</v>
      </c>
      <c r="AF143" s="29">
        <f>T143*(1+Inputs!$C$35)</f>
        <v>0</v>
      </c>
      <c r="AG143" s="239">
        <f>U143*(1+Inputs!$C$35)</f>
        <v>0</v>
      </c>
      <c r="AH143" s="29">
        <f>V143*(1+Inputs!$C$35)</f>
        <v>0</v>
      </c>
      <c r="AI143" s="29">
        <f>W143*(1+Inputs!$C$35)</f>
        <v>0</v>
      </c>
      <c r="AJ143" s="29">
        <f>X143*(1+Inputs!$C$35)</f>
        <v>0</v>
      </c>
      <c r="AK143" s="29">
        <f>Y143*(1+Inputs!$C$35)</f>
        <v>0</v>
      </c>
      <c r="AL143" s="29">
        <f>Z143*(1+Inputs!$C$35)</f>
        <v>0</v>
      </c>
      <c r="AM143" s="29">
        <f>AA143*(1+Inputs!$C$35)</f>
        <v>0</v>
      </c>
      <c r="AN143" s="29">
        <f>AB143*(1+Inputs!$C$35)</f>
        <v>0</v>
      </c>
      <c r="AO143" s="29">
        <f>AC143*(1+Inputs!$C$35)</f>
        <v>0</v>
      </c>
      <c r="AP143" s="29">
        <f>AD143*(1+Inputs!$C$35)</f>
        <v>0</v>
      </c>
      <c r="AQ143" s="29">
        <f>AE143*(1+Inputs!$C$35)</f>
        <v>0</v>
      </c>
      <c r="AR143" s="29">
        <f>AF143*(1+Inputs!$C$35)</f>
        <v>0</v>
      </c>
      <c r="AS143" s="239">
        <f>AG143*(1+Inputs!$C$35)</f>
        <v>0</v>
      </c>
      <c r="AT143" s="29">
        <f>AH143*(1+Inputs!$C$35)</f>
        <v>0</v>
      </c>
      <c r="AU143" s="29">
        <f>AI143*(1+Inputs!$C$35)</f>
        <v>0</v>
      </c>
      <c r="AV143" s="29">
        <f>AJ143*(1+Inputs!$C$35)</f>
        <v>0</v>
      </c>
      <c r="AW143" s="29">
        <f>AK143*(1+Inputs!$C$35)</f>
        <v>0</v>
      </c>
      <c r="AX143" s="29">
        <f>AL143*(1+Inputs!$C$35)</f>
        <v>0</v>
      </c>
      <c r="AY143" s="29">
        <f>AM143*(1+Inputs!$C$35)</f>
        <v>0</v>
      </c>
      <c r="AZ143" s="29">
        <f>AN143*(1+Inputs!$C$35)</f>
        <v>0</v>
      </c>
      <c r="BA143" s="29">
        <f>AO143*(1+Inputs!$C$35)</f>
        <v>0</v>
      </c>
      <c r="BB143" s="29">
        <f>AP143*(1+Inputs!$C$35)</f>
        <v>0</v>
      </c>
      <c r="BC143" s="29">
        <f>AQ143*(1+Inputs!$C$35)</f>
        <v>0</v>
      </c>
      <c r="BD143" s="29">
        <f>AR143*(1+Inputs!$C$35)</f>
        <v>0</v>
      </c>
      <c r="BE143" s="239">
        <f>AS143*(1+Inputs!$C$35)</f>
        <v>0</v>
      </c>
      <c r="BF143" s="29">
        <f>AT143*(1+Inputs!$C$35)</f>
        <v>0</v>
      </c>
      <c r="BG143" s="29">
        <f>AU143*(1+Inputs!$C$35)</f>
        <v>0</v>
      </c>
      <c r="BH143" s="29">
        <f>AV143*(1+Inputs!$C$35)</f>
        <v>0</v>
      </c>
      <c r="BI143" s="29">
        <f>AW143*(1+Inputs!$C$35)</f>
        <v>0</v>
      </c>
      <c r="BJ143" s="29">
        <f>AX143*(1+Inputs!$C$35)</f>
        <v>0</v>
      </c>
      <c r="BK143" s="29">
        <f>AY143*(1+Inputs!$C$35)</f>
        <v>0</v>
      </c>
      <c r="BL143" s="29">
        <f>AZ143*(1+Inputs!$C$35)</f>
        <v>0</v>
      </c>
      <c r="BM143" s="29">
        <f>BA143*(1+Inputs!$C$35)</f>
        <v>0</v>
      </c>
      <c r="BN143" s="29">
        <f>BB143*(1+Inputs!$C$35)</f>
        <v>0</v>
      </c>
      <c r="BO143" s="29">
        <f>BC143*(1+Inputs!$C$35)</f>
        <v>0</v>
      </c>
      <c r="BP143" s="29">
        <f>BD143*(1+Inputs!$C$35)</f>
        <v>0</v>
      </c>
      <c r="BQ143" s="29">
        <f>BE143*(1+Inputs!$C$35)</f>
        <v>0</v>
      </c>
      <c r="BR143" s="29">
        <f>BF143*(1+Inputs!$C$35)</f>
        <v>0</v>
      </c>
      <c r="BS143" s="29">
        <f>BG143*(1+Inputs!$C$35)</f>
        <v>0</v>
      </c>
      <c r="BT143" s="29">
        <f>BH143*(1+Inputs!$C$35)</f>
        <v>0</v>
      </c>
      <c r="BU143" s="29">
        <f>BI143*(1+Inputs!$C$35)</f>
        <v>0</v>
      </c>
      <c r="BW143" s="29">
        <f t="shared" ref="BW143:CA143" si="197">SUMIF($J$6:$BU$6,BW$9,$J143:$BU143)</f>
        <v>0</v>
      </c>
      <c r="BX143" s="29">
        <f t="shared" si="197"/>
        <v>0</v>
      </c>
      <c r="BY143" s="29">
        <f t="shared" si="197"/>
        <v>0</v>
      </c>
      <c r="BZ143" s="29">
        <f t="shared" si="197"/>
        <v>0</v>
      </c>
      <c r="CA143" s="29">
        <f t="shared" si="197"/>
        <v>0</v>
      </c>
      <c r="CB143" s="29">
        <f>CA143*(1+Inputs!$C$35)</f>
        <v>0</v>
      </c>
      <c r="CC143" s="29">
        <f>CB143*(1+Inputs!$C$35)</f>
        <v>0</v>
      </c>
      <c r="CD143" s="29">
        <f>CC143*(1+Inputs!$C$35)</f>
        <v>0</v>
      </c>
      <c r="CE143" s="29">
        <f>CD143*(1+Inputs!$C$35)</f>
        <v>0</v>
      </c>
      <c r="CF143" s="29">
        <f>CE143*(1+Inputs!$C$35)</f>
        <v>0</v>
      </c>
      <c r="CG143" s="29">
        <f>CF143*(1+Inputs!$C$35)</f>
        <v>0</v>
      </c>
      <c r="CH143" s="29">
        <f>CG143*(1+Inputs!$C$35)</f>
        <v>0</v>
      </c>
      <c r="CI143" s="29">
        <f>CH143*(1+Inputs!$C$35)</f>
        <v>0</v>
      </c>
      <c r="CJ143" s="29">
        <f>CI143*(1+Inputs!$C$35)</f>
        <v>0</v>
      </c>
      <c r="CK143" s="29">
        <f>CJ143*(1+Inputs!$C$35)</f>
        <v>0</v>
      </c>
    </row>
    <row r="144" spans="1:89" ht="14.25" customHeight="1" x14ac:dyDescent="0.2">
      <c r="A144" s="11">
        <f t="shared" si="58"/>
        <v>0</v>
      </c>
      <c r="B144" s="56">
        <f t="shared" si="169"/>
        <v>6248</v>
      </c>
      <c r="D144" s="56"/>
      <c r="F144" s="56">
        <v>6248</v>
      </c>
      <c r="G144" s="11" t="s">
        <v>214</v>
      </c>
      <c r="H144" s="35">
        <v>0</v>
      </c>
      <c r="I144" s="1"/>
      <c r="J144" s="29">
        <f t="shared" ref="J144:U144" si="198">$H144</f>
        <v>0</v>
      </c>
      <c r="K144" s="29">
        <f t="shared" si="198"/>
        <v>0</v>
      </c>
      <c r="L144" s="29">
        <f t="shared" si="198"/>
        <v>0</v>
      </c>
      <c r="M144" s="29">
        <f t="shared" si="198"/>
        <v>0</v>
      </c>
      <c r="N144" s="29">
        <f t="shared" si="198"/>
        <v>0</v>
      </c>
      <c r="O144" s="29">
        <f t="shared" si="198"/>
        <v>0</v>
      </c>
      <c r="P144" s="29">
        <f t="shared" si="198"/>
        <v>0</v>
      </c>
      <c r="Q144" s="29">
        <f t="shared" si="198"/>
        <v>0</v>
      </c>
      <c r="R144" s="29">
        <f t="shared" si="198"/>
        <v>0</v>
      </c>
      <c r="S144" s="29">
        <f t="shared" si="198"/>
        <v>0</v>
      </c>
      <c r="T144" s="29">
        <f t="shared" si="198"/>
        <v>0</v>
      </c>
      <c r="U144" s="239">
        <f t="shared" si="198"/>
        <v>0</v>
      </c>
      <c r="V144" s="29">
        <f>$H144*(1+Inputs!$C$35)</f>
        <v>0</v>
      </c>
      <c r="W144" s="29">
        <f>K144*(1+Inputs!$C$35)</f>
        <v>0</v>
      </c>
      <c r="X144" s="29">
        <f>L144*(1+Inputs!$C$35)</f>
        <v>0</v>
      </c>
      <c r="Y144" s="29">
        <f>M144*(1+Inputs!$C$35)</f>
        <v>0</v>
      </c>
      <c r="Z144" s="29">
        <f>N144*(1+Inputs!$C$35)</f>
        <v>0</v>
      </c>
      <c r="AA144" s="29">
        <f>O144*(1+Inputs!$C$35)</f>
        <v>0</v>
      </c>
      <c r="AB144" s="29">
        <f>P144*(1+Inputs!$C$35)</f>
        <v>0</v>
      </c>
      <c r="AC144" s="29">
        <f>Q144*(1+Inputs!$C$35)</f>
        <v>0</v>
      </c>
      <c r="AD144" s="29">
        <f>R144*(1+Inputs!$C$35)</f>
        <v>0</v>
      </c>
      <c r="AE144" s="29">
        <f>S144*(1+Inputs!$C$35)</f>
        <v>0</v>
      </c>
      <c r="AF144" s="29">
        <f>T144*(1+Inputs!$C$35)</f>
        <v>0</v>
      </c>
      <c r="AG144" s="239">
        <f>U144*(1+Inputs!$C$35)</f>
        <v>0</v>
      </c>
      <c r="AH144" s="29">
        <f>V144*(1+Inputs!$C$35)</f>
        <v>0</v>
      </c>
      <c r="AI144" s="29">
        <f>W144*(1+Inputs!$C$35)</f>
        <v>0</v>
      </c>
      <c r="AJ144" s="29">
        <f>X144*(1+Inputs!$C$35)</f>
        <v>0</v>
      </c>
      <c r="AK144" s="29">
        <f>Y144*(1+Inputs!$C$35)</f>
        <v>0</v>
      </c>
      <c r="AL144" s="29">
        <f>Z144*(1+Inputs!$C$35)</f>
        <v>0</v>
      </c>
      <c r="AM144" s="29">
        <f>AA144*(1+Inputs!$C$35)</f>
        <v>0</v>
      </c>
      <c r="AN144" s="29">
        <f>AB144*(1+Inputs!$C$35)</f>
        <v>0</v>
      </c>
      <c r="AO144" s="29">
        <f>AC144*(1+Inputs!$C$35)</f>
        <v>0</v>
      </c>
      <c r="AP144" s="29">
        <f>AD144*(1+Inputs!$C$35)</f>
        <v>0</v>
      </c>
      <c r="AQ144" s="29">
        <f>AE144*(1+Inputs!$C$35)</f>
        <v>0</v>
      </c>
      <c r="AR144" s="29">
        <f>AF144*(1+Inputs!$C$35)</f>
        <v>0</v>
      </c>
      <c r="AS144" s="239">
        <f>AG144*(1+Inputs!$C$35)</f>
        <v>0</v>
      </c>
      <c r="AT144" s="29">
        <f>AH144*(1+Inputs!$C$35)</f>
        <v>0</v>
      </c>
      <c r="AU144" s="29">
        <f>AI144*(1+Inputs!$C$35)</f>
        <v>0</v>
      </c>
      <c r="AV144" s="29">
        <f>AJ144*(1+Inputs!$C$35)</f>
        <v>0</v>
      </c>
      <c r="AW144" s="29">
        <f>AK144*(1+Inputs!$C$35)</f>
        <v>0</v>
      </c>
      <c r="AX144" s="29">
        <f>AL144*(1+Inputs!$C$35)</f>
        <v>0</v>
      </c>
      <c r="AY144" s="29">
        <f>AM144*(1+Inputs!$C$35)</f>
        <v>0</v>
      </c>
      <c r="AZ144" s="29">
        <f>AN144*(1+Inputs!$C$35)</f>
        <v>0</v>
      </c>
      <c r="BA144" s="29">
        <f>AO144*(1+Inputs!$C$35)</f>
        <v>0</v>
      </c>
      <c r="BB144" s="29">
        <f>AP144*(1+Inputs!$C$35)</f>
        <v>0</v>
      </c>
      <c r="BC144" s="29">
        <f>AQ144*(1+Inputs!$C$35)</f>
        <v>0</v>
      </c>
      <c r="BD144" s="29">
        <f>AR144*(1+Inputs!$C$35)</f>
        <v>0</v>
      </c>
      <c r="BE144" s="239">
        <f>AS144*(1+Inputs!$C$35)</f>
        <v>0</v>
      </c>
      <c r="BF144" s="29">
        <f>AT144*(1+Inputs!$C$35)</f>
        <v>0</v>
      </c>
      <c r="BG144" s="29">
        <f>AU144*(1+Inputs!$C$35)</f>
        <v>0</v>
      </c>
      <c r="BH144" s="29">
        <f>AV144*(1+Inputs!$C$35)</f>
        <v>0</v>
      </c>
      <c r="BI144" s="29">
        <f>AW144*(1+Inputs!$C$35)</f>
        <v>0</v>
      </c>
      <c r="BJ144" s="29">
        <f>AX144*(1+Inputs!$C$35)</f>
        <v>0</v>
      </c>
      <c r="BK144" s="29">
        <f>AY144*(1+Inputs!$C$35)</f>
        <v>0</v>
      </c>
      <c r="BL144" s="29">
        <f>AZ144*(1+Inputs!$C$35)</f>
        <v>0</v>
      </c>
      <c r="BM144" s="29">
        <f>BA144*(1+Inputs!$C$35)</f>
        <v>0</v>
      </c>
      <c r="BN144" s="29">
        <f>BB144*(1+Inputs!$C$35)</f>
        <v>0</v>
      </c>
      <c r="BO144" s="29">
        <f>BC144*(1+Inputs!$C$35)</f>
        <v>0</v>
      </c>
      <c r="BP144" s="29">
        <f>BD144*(1+Inputs!$C$35)</f>
        <v>0</v>
      </c>
      <c r="BQ144" s="29">
        <f>BE144*(1+Inputs!$C$35)</f>
        <v>0</v>
      </c>
      <c r="BR144" s="29">
        <f>BF144*(1+Inputs!$C$35)</f>
        <v>0</v>
      </c>
      <c r="BS144" s="29">
        <f>BG144*(1+Inputs!$C$35)</f>
        <v>0</v>
      </c>
      <c r="BT144" s="29">
        <f>BH144*(1+Inputs!$C$35)</f>
        <v>0</v>
      </c>
      <c r="BU144" s="29">
        <f>BI144*(1+Inputs!$C$35)</f>
        <v>0</v>
      </c>
      <c r="BW144" s="29">
        <f t="shared" ref="BW144:CA144" si="199">SUMIF($J$6:$BU$6,BW$9,$J144:$BU144)</f>
        <v>0</v>
      </c>
      <c r="BX144" s="29">
        <f t="shared" si="199"/>
        <v>0</v>
      </c>
      <c r="BY144" s="29">
        <f t="shared" si="199"/>
        <v>0</v>
      </c>
      <c r="BZ144" s="29">
        <f t="shared" si="199"/>
        <v>0</v>
      </c>
      <c r="CA144" s="29">
        <f t="shared" si="199"/>
        <v>0</v>
      </c>
      <c r="CB144" s="29">
        <f>CA144*(1+Inputs!$C$35)</f>
        <v>0</v>
      </c>
      <c r="CC144" s="29">
        <f>CB144*(1+Inputs!$C$35)</f>
        <v>0</v>
      </c>
      <c r="CD144" s="29">
        <f>CC144*(1+Inputs!$C$35)</f>
        <v>0</v>
      </c>
      <c r="CE144" s="29">
        <f>CD144*(1+Inputs!$C$35)</f>
        <v>0</v>
      </c>
      <c r="CF144" s="29">
        <f>CE144*(1+Inputs!$C$35)</f>
        <v>0</v>
      </c>
      <c r="CG144" s="29">
        <f>CF144*(1+Inputs!$C$35)</f>
        <v>0</v>
      </c>
      <c r="CH144" s="29">
        <f>CG144*(1+Inputs!$C$35)</f>
        <v>0</v>
      </c>
      <c r="CI144" s="29">
        <f>CH144*(1+Inputs!$C$35)</f>
        <v>0</v>
      </c>
      <c r="CJ144" s="29">
        <f>CI144*(1+Inputs!$C$35)</f>
        <v>0</v>
      </c>
      <c r="CK144" s="29">
        <f>CJ144*(1+Inputs!$C$35)</f>
        <v>0</v>
      </c>
    </row>
    <row r="145" spans="1:109" ht="14.25" customHeight="1" x14ac:dyDescent="0.2">
      <c r="A145" s="11">
        <f t="shared" si="58"/>
        <v>0</v>
      </c>
      <c r="B145" s="56">
        <f t="shared" si="169"/>
        <v>6261</v>
      </c>
      <c r="D145" s="56"/>
      <c r="F145" s="56">
        <v>6261</v>
      </c>
      <c r="G145" s="11" t="s">
        <v>234</v>
      </c>
      <c r="H145" s="35">
        <f>VLOOKUP($F145,Inputs!$L:$Q,6,FALSE)</f>
        <v>0</v>
      </c>
      <c r="I145" s="1"/>
      <c r="J145" s="29">
        <f t="shared" ref="J145:U145" si="200">$H145</f>
        <v>0</v>
      </c>
      <c r="K145" s="29">
        <f t="shared" si="200"/>
        <v>0</v>
      </c>
      <c r="L145" s="29">
        <f t="shared" si="200"/>
        <v>0</v>
      </c>
      <c r="M145" s="29">
        <f t="shared" si="200"/>
        <v>0</v>
      </c>
      <c r="N145" s="29">
        <f t="shared" si="200"/>
        <v>0</v>
      </c>
      <c r="O145" s="29">
        <f t="shared" si="200"/>
        <v>0</v>
      </c>
      <c r="P145" s="29">
        <f t="shared" si="200"/>
        <v>0</v>
      </c>
      <c r="Q145" s="29">
        <f t="shared" si="200"/>
        <v>0</v>
      </c>
      <c r="R145" s="29">
        <f t="shared" si="200"/>
        <v>0</v>
      </c>
      <c r="S145" s="29">
        <f t="shared" si="200"/>
        <v>0</v>
      </c>
      <c r="T145" s="29">
        <f t="shared" si="200"/>
        <v>0</v>
      </c>
      <c r="U145" s="239">
        <f t="shared" si="200"/>
        <v>0</v>
      </c>
      <c r="V145" s="29">
        <f>J145*(1+Inputs!$C$35)</f>
        <v>0</v>
      </c>
      <c r="W145" s="29">
        <f>K145*(1+Inputs!$C$35)</f>
        <v>0</v>
      </c>
      <c r="X145" s="29">
        <f>L145*(1+Inputs!$C$35)</f>
        <v>0</v>
      </c>
      <c r="Y145" s="29">
        <f>M145*(1+Inputs!$C$35)</f>
        <v>0</v>
      </c>
      <c r="Z145" s="29">
        <f>N145*(1+Inputs!$C$35)</f>
        <v>0</v>
      </c>
      <c r="AA145" s="29">
        <f>O145*(1+Inputs!$C$35)</f>
        <v>0</v>
      </c>
      <c r="AB145" s="29">
        <f>P145*(1+Inputs!$C$35)</f>
        <v>0</v>
      </c>
      <c r="AC145" s="29">
        <f>Q145*(1+Inputs!$C$35)</f>
        <v>0</v>
      </c>
      <c r="AD145" s="29">
        <f>R145*(1+Inputs!$C$35)</f>
        <v>0</v>
      </c>
      <c r="AE145" s="29">
        <f>S145*(1+Inputs!$C$35)</f>
        <v>0</v>
      </c>
      <c r="AF145" s="29">
        <f>T145*(1+Inputs!$C$35)</f>
        <v>0</v>
      </c>
      <c r="AG145" s="239">
        <f>U145*(1+Inputs!$C$35)</f>
        <v>0</v>
      </c>
      <c r="AH145" s="29">
        <f>V145*(1+Inputs!$C$35)</f>
        <v>0</v>
      </c>
      <c r="AI145" s="29">
        <f>W145*(1+Inputs!$C$35)</f>
        <v>0</v>
      </c>
      <c r="AJ145" s="29">
        <f>X145*(1+Inputs!$C$35)</f>
        <v>0</v>
      </c>
      <c r="AK145" s="29">
        <f>Y145*(1+Inputs!$C$35)</f>
        <v>0</v>
      </c>
      <c r="AL145" s="29">
        <f>Z145*(1+Inputs!$C$35)</f>
        <v>0</v>
      </c>
      <c r="AM145" s="29">
        <f>AA145*(1+Inputs!$C$35)</f>
        <v>0</v>
      </c>
      <c r="AN145" s="29">
        <f>AB145*(1+Inputs!$C$35)</f>
        <v>0</v>
      </c>
      <c r="AO145" s="29">
        <f>AC145*(1+Inputs!$C$35)</f>
        <v>0</v>
      </c>
      <c r="AP145" s="29">
        <f>AD145*(1+Inputs!$C$35)</f>
        <v>0</v>
      </c>
      <c r="AQ145" s="29">
        <f>AE145*(1+Inputs!$C$35)</f>
        <v>0</v>
      </c>
      <c r="AR145" s="29">
        <f>AF145*(1+Inputs!$C$35)</f>
        <v>0</v>
      </c>
      <c r="AS145" s="239">
        <f>AG145*(1+Inputs!$C$35)</f>
        <v>0</v>
      </c>
      <c r="AT145" s="29">
        <f>AH145*(1+Inputs!$C$35)</f>
        <v>0</v>
      </c>
      <c r="AU145" s="29">
        <f>AI145*(1+Inputs!$C$35)</f>
        <v>0</v>
      </c>
      <c r="AV145" s="29">
        <f>AJ145*(1+Inputs!$C$35)</f>
        <v>0</v>
      </c>
      <c r="AW145" s="29">
        <f>AK145*(1+Inputs!$C$35)</f>
        <v>0</v>
      </c>
      <c r="AX145" s="29">
        <f>AL145*(1+Inputs!$C$35)</f>
        <v>0</v>
      </c>
      <c r="AY145" s="29">
        <f>AM145*(1+Inputs!$C$35)</f>
        <v>0</v>
      </c>
      <c r="AZ145" s="29">
        <f>AN145*(1+Inputs!$C$35)</f>
        <v>0</v>
      </c>
      <c r="BA145" s="29">
        <f>AO145*(1+Inputs!$C$35)</f>
        <v>0</v>
      </c>
      <c r="BB145" s="29">
        <f>AP145*(1+Inputs!$C$35)</f>
        <v>0</v>
      </c>
      <c r="BC145" s="29">
        <f>AQ145*(1+Inputs!$C$35)</f>
        <v>0</v>
      </c>
      <c r="BD145" s="29">
        <f>AR145*(1+Inputs!$C$35)</f>
        <v>0</v>
      </c>
      <c r="BE145" s="239">
        <f>AS145*(1+Inputs!$C$35)</f>
        <v>0</v>
      </c>
      <c r="BF145" s="29">
        <f>AT145*(1+Inputs!$C$35)</f>
        <v>0</v>
      </c>
      <c r="BG145" s="29">
        <f>AU145*(1+Inputs!$C$35)</f>
        <v>0</v>
      </c>
      <c r="BH145" s="29">
        <f>AV145*(1+Inputs!$C$35)</f>
        <v>0</v>
      </c>
      <c r="BI145" s="29">
        <f>AW145*(1+Inputs!$C$35)</f>
        <v>0</v>
      </c>
      <c r="BJ145" s="29">
        <f>AX145*(1+Inputs!$C$35)</f>
        <v>0</v>
      </c>
      <c r="BK145" s="29">
        <f>AY145*(1+Inputs!$C$35)</f>
        <v>0</v>
      </c>
      <c r="BL145" s="29">
        <f>AZ145*(1+Inputs!$C$35)</f>
        <v>0</v>
      </c>
      <c r="BM145" s="29">
        <f>BA145*(1+Inputs!$C$35)</f>
        <v>0</v>
      </c>
      <c r="BN145" s="29">
        <f>BB145*(1+Inputs!$C$35)</f>
        <v>0</v>
      </c>
      <c r="BO145" s="29">
        <f>BC145*(1+Inputs!$C$35)</f>
        <v>0</v>
      </c>
      <c r="BP145" s="29">
        <f>BD145*(1+Inputs!$C$35)</f>
        <v>0</v>
      </c>
      <c r="BQ145" s="29">
        <f>BE145*(1+Inputs!$C$35)</f>
        <v>0</v>
      </c>
      <c r="BR145" s="29">
        <f>BF145*(1+Inputs!$C$35)</f>
        <v>0</v>
      </c>
      <c r="BS145" s="29">
        <f>BG145*(1+Inputs!$C$35)</f>
        <v>0</v>
      </c>
      <c r="BT145" s="29">
        <f>BH145*(1+Inputs!$C$35)</f>
        <v>0</v>
      </c>
      <c r="BU145" s="29">
        <f>BI145*(1+Inputs!$C$35)</f>
        <v>0</v>
      </c>
      <c r="BW145" s="29">
        <f t="shared" ref="BW145:CA145" si="201">SUMIF($J$6:$BU$6,BW$9,$J145:$BU145)</f>
        <v>0</v>
      </c>
      <c r="BX145" s="29">
        <f t="shared" si="201"/>
        <v>0</v>
      </c>
      <c r="BY145" s="29">
        <f t="shared" si="201"/>
        <v>0</v>
      </c>
      <c r="BZ145" s="29">
        <f t="shared" si="201"/>
        <v>0</v>
      </c>
      <c r="CA145" s="29">
        <f t="shared" si="201"/>
        <v>0</v>
      </c>
      <c r="CB145" s="29">
        <f>CA145*(1+Inputs!$C$35)</f>
        <v>0</v>
      </c>
      <c r="CC145" s="29">
        <f>CB145*(1+Inputs!$C$35)</f>
        <v>0</v>
      </c>
      <c r="CD145" s="29">
        <f>CC145*(1+Inputs!$C$35)</f>
        <v>0</v>
      </c>
      <c r="CE145" s="29">
        <f>CD145*(1+Inputs!$C$35)</f>
        <v>0</v>
      </c>
      <c r="CF145" s="29">
        <f>CE145*(1+Inputs!$C$35)</f>
        <v>0</v>
      </c>
      <c r="CG145" s="29">
        <f>CF145*(1+Inputs!$C$35)</f>
        <v>0</v>
      </c>
      <c r="CH145" s="29">
        <f>CG145*(1+Inputs!$C$35)</f>
        <v>0</v>
      </c>
      <c r="CI145" s="29">
        <f>CH145*(1+Inputs!$C$35)</f>
        <v>0</v>
      </c>
      <c r="CJ145" s="29">
        <f>CI145*(1+Inputs!$C$35)</f>
        <v>0</v>
      </c>
      <c r="CK145" s="29">
        <f>CJ145*(1+Inputs!$C$35)</f>
        <v>0</v>
      </c>
    </row>
    <row r="146" spans="1:109" ht="14.25" customHeight="1" x14ac:dyDescent="0.2">
      <c r="A146" s="11">
        <f t="shared" si="58"/>
        <v>0</v>
      </c>
      <c r="B146" s="56">
        <f t="shared" si="169"/>
        <v>6256</v>
      </c>
      <c r="D146" s="56"/>
      <c r="F146" s="56">
        <v>6256</v>
      </c>
      <c r="G146" s="11" t="s">
        <v>237</v>
      </c>
      <c r="H146" s="35">
        <f>VLOOKUP($F146,Inputs!$L:$Q,6,FALSE)</f>
        <v>50</v>
      </c>
      <c r="I146" s="1"/>
      <c r="J146" s="29">
        <f t="shared" ref="J146:U146" si="202">$H146</f>
        <v>50</v>
      </c>
      <c r="K146" s="29">
        <f t="shared" si="202"/>
        <v>50</v>
      </c>
      <c r="L146" s="29">
        <f t="shared" si="202"/>
        <v>50</v>
      </c>
      <c r="M146" s="29">
        <f t="shared" si="202"/>
        <v>50</v>
      </c>
      <c r="N146" s="29">
        <f t="shared" si="202"/>
        <v>50</v>
      </c>
      <c r="O146" s="29">
        <f t="shared" si="202"/>
        <v>50</v>
      </c>
      <c r="P146" s="29">
        <f t="shared" si="202"/>
        <v>50</v>
      </c>
      <c r="Q146" s="29">
        <f t="shared" si="202"/>
        <v>50</v>
      </c>
      <c r="R146" s="29">
        <f t="shared" si="202"/>
        <v>50</v>
      </c>
      <c r="S146" s="29">
        <f t="shared" si="202"/>
        <v>50</v>
      </c>
      <c r="T146" s="29">
        <f t="shared" si="202"/>
        <v>50</v>
      </c>
      <c r="U146" s="239">
        <f t="shared" si="202"/>
        <v>50</v>
      </c>
      <c r="V146" s="29">
        <f>J146*(1+Inputs!$C$35)</f>
        <v>51.249999999999993</v>
      </c>
      <c r="W146" s="29">
        <f>K146*(1+Inputs!$C$35)</f>
        <v>51.249999999999993</v>
      </c>
      <c r="X146" s="29">
        <f>L146*(1+Inputs!$C$35)</f>
        <v>51.249999999999993</v>
      </c>
      <c r="Y146" s="29">
        <f>M146*(1+Inputs!$C$35)</f>
        <v>51.249999999999993</v>
      </c>
      <c r="Z146" s="29">
        <f>N146*(1+Inputs!$C$35)</f>
        <v>51.249999999999993</v>
      </c>
      <c r="AA146" s="29">
        <f>O146*(1+Inputs!$C$35)</f>
        <v>51.249999999999993</v>
      </c>
      <c r="AB146" s="29">
        <f>P146*(1+Inputs!$C$35)</f>
        <v>51.249999999999993</v>
      </c>
      <c r="AC146" s="29">
        <f>Q146*(1+Inputs!$C$35)</f>
        <v>51.249999999999993</v>
      </c>
      <c r="AD146" s="29">
        <f>R146*(1+Inputs!$C$35)</f>
        <v>51.249999999999993</v>
      </c>
      <c r="AE146" s="29">
        <f>S146*(1+Inputs!$C$35)</f>
        <v>51.249999999999993</v>
      </c>
      <c r="AF146" s="29">
        <f>T146*(1+Inputs!$C$35)</f>
        <v>51.249999999999993</v>
      </c>
      <c r="AG146" s="239">
        <f>U146*(1+Inputs!$C$35)</f>
        <v>51.249999999999993</v>
      </c>
      <c r="AH146" s="29">
        <f>V146*(1+Inputs!$C$35)</f>
        <v>52.531249999999986</v>
      </c>
      <c r="AI146" s="29">
        <f>W146*(1+Inputs!$C$35)</f>
        <v>52.531249999999986</v>
      </c>
      <c r="AJ146" s="29">
        <f>X146*(1+Inputs!$C$35)</f>
        <v>52.531249999999986</v>
      </c>
      <c r="AK146" s="29">
        <f>Y146*(1+Inputs!$C$35)</f>
        <v>52.531249999999986</v>
      </c>
      <c r="AL146" s="29">
        <f>Z146*(1+Inputs!$C$35)</f>
        <v>52.531249999999986</v>
      </c>
      <c r="AM146" s="29">
        <f>AA146*(1+Inputs!$C$35)</f>
        <v>52.531249999999986</v>
      </c>
      <c r="AN146" s="29">
        <f>AB146*(1+Inputs!$C$35)</f>
        <v>52.531249999999986</v>
      </c>
      <c r="AO146" s="29">
        <f>AC146*(1+Inputs!$C$35)</f>
        <v>52.531249999999986</v>
      </c>
      <c r="AP146" s="29">
        <f>AD146*(1+Inputs!$C$35)</f>
        <v>52.531249999999986</v>
      </c>
      <c r="AQ146" s="29">
        <f>AE146*(1+Inputs!$C$35)</f>
        <v>52.531249999999986</v>
      </c>
      <c r="AR146" s="29">
        <f>AF146*(1+Inputs!$C$35)</f>
        <v>52.531249999999986</v>
      </c>
      <c r="AS146" s="239">
        <f>AG146*(1+Inputs!$C$35)</f>
        <v>52.531249999999986</v>
      </c>
      <c r="AT146" s="29">
        <f>AH146*(1+Inputs!$C$35)</f>
        <v>53.844531249999982</v>
      </c>
      <c r="AU146" s="29">
        <f>AI146*(1+Inputs!$C$35)</f>
        <v>53.844531249999982</v>
      </c>
      <c r="AV146" s="29">
        <f>AJ146*(1+Inputs!$C$35)</f>
        <v>53.844531249999982</v>
      </c>
      <c r="AW146" s="29">
        <f>AK146*(1+Inputs!$C$35)</f>
        <v>53.844531249999982</v>
      </c>
      <c r="AX146" s="29">
        <f>AL146*(1+Inputs!$C$35)</f>
        <v>53.844531249999982</v>
      </c>
      <c r="AY146" s="29">
        <f>AM146*(1+Inputs!$C$35)</f>
        <v>53.844531249999982</v>
      </c>
      <c r="AZ146" s="29">
        <f>AN146*(1+Inputs!$C$35)</f>
        <v>53.844531249999982</v>
      </c>
      <c r="BA146" s="29">
        <f>AO146*(1+Inputs!$C$35)</f>
        <v>53.844531249999982</v>
      </c>
      <c r="BB146" s="29">
        <f>AP146*(1+Inputs!$C$35)</f>
        <v>53.844531249999982</v>
      </c>
      <c r="BC146" s="29">
        <f>AQ146*(1+Inputs!$C$35)</f>
        <v>53.844531249999982</v>
      </c>
      <c r="BD146" s="29">
        <f>AR146*(1+Inputs!$C$35)</f>
        <v>53.844531249999982</v>
      </c>
      <c r="BE146" s="239">
        <f>AS146*(1+Inputs!$C$35)</f>
        <v>53.844531249999982</v>
      </c>
      <c r="BF146" s="29">
        <f>AT146*(1+Inputs!$C$35)</f>
        <v>55.19064453124998</v>
      </c>
      <c r="BG146" s="29">
        <f>AU146*(1+Inputs!$C$35)</f>
        <v>55.19064453124998</v>
      </c>
      <c r="BH146" s="29">
        <f>AV146*(1+Inputs!$C$35)</f>
        <v>55.19064453124998</v>
      </c>
      <c r="BI146" s="29">
        <f>AW146*(1+Inputs!$C$35)</f>
        <v>55.19064453124998</v>
      </c>
      <c r="BJ146" s="29">
        <f>AX146*(1+Inputs!$C$35)</f>
        <v>55.19064453124998</v>
      </c>
      <c r="BK146" s="29">
        <f>AY146*(1+Inputs!$C$35)</f>
        <v>55.19064453124998</v>
      </c>
      <c r="BL146" s="29">
        <f>AZ146*(1+Inputs!$C$35)</f>
        <v>55.19064453124998</v>
      </c>
      <c r="BM146" s="29">
        <f>BA146*(1+Inputs!$C$35)</f>
        <v>55.19064453124998</v>
      </c>
      <c r="BN146" s="29">
        <f>BB146*(1+Inputs!$C$35)</f>
        <v>55.19064453124998</v>
      </c>
      <c r="BO146" s="29">
        <f>BC146*(1+Inputs!$C$35)</f>
        <v>55.19064453124998</v>
      </c>
      <c r="BP146" s="29">
        <f>BD146*(1+Inputs!$C$35)</f>
        <v>55.19064453124998</v>
      </c>
      <c r="BQ146" s="29">
        <f>BE146*(1+Inputs!$C$35)</f>
        <v>55.19064453124998</v>
      </c>
      <c r="BR146" s="29">
        <f>BF146*(1+Inputs!$C$35)</f>
        <v>56.570410644531222</v>
      </c>
      <c r="BS146" s="29">
        <f>BG146*(1+Inputs!$C$35)</f>
        <v>56.570410644531222</v>
      </c>
      <c r="BT146" s="29">
        <f>BH146*(1+Inputs!$C$35)</f>
        <v>56.570410644531222</v>
      </c>
      <c r="BU146" s="29">
        <f>BI146*(1+Inputs!$C$35)</f>
        <v>56.570410644531222</v>
      </c>
      <c r="BW146" s="29">
        <f t="shared" ref="BW146:CA146" si="203">SUMIF($J$6:$BU$6,BW$9,$J146:$BU146)</f>
        <v>600</v>
      </c>
      <c r="BX146" s="29">
        <f t="shared" si="203"/>
        <v>614.99999999999989</v>
      </c>
      <c r="BY146" s="29">
        <f t="shared" si="203"/>
        <v>630.37499999999989</v>
      </c>
      <c r="BZ146" s="29">
        <f t="shared" si="203"/>
        <v>646.13437499999964</v>
      </c>
      <c r="CA146" s="29">
        <f t="shared" si="203"/>
        <v>662.28773437499979</v>
      </c>
      <c r="CB146" s="29">
        <f>CA146*(1+Inputs!$C$35)</f>
        <v>678.84492773437478</v>
      </c>
      <c r="CC146" s="29">
        <f>CB146*(1+Inputs!$C$35)</f>
        <v>695.81605092773407</v>
      </c>
      <c r="CD146" s="29">
        <f>CC146*(1+Inputs!$C$35)</f>
        <v>713.2114522009274</v>
      </c>
      <c r="CE146" s="29">
        <f>CD146*(1+Inputs!$C$35)</f>
        <v>731.04173850595055</v>
      </c>
      <c r="CF146" s="29">
        <f>CE146*(1+Inputs!$C$35)</f>
        <v>749.31778196859921</v>
      </c>
      <c r="CG146" s="29">
        <f>CF146*(1+Inputs!$C$35)</f>
        <v>768.05072651781416</v>
      </c>
      <c r="CH146" s="29">
        <f>CG146*(1+Inputs!$C$35)</f>
        <v>787.25199468075948</v>
      </c>
      <c r="CI146" s="29">
        <f>CH146*(1+Inputs!$C$35)</f>
        <v>806.93329454777836</v>
      </c>
      <c r="CJ146" s="29">
        <f>CI146*(1+Inputs!$C$35)</f>
        <v>827.10662691147274</v>
      </c>
      <c r="CK146" s="29">
        <f>CJ146*(1+Inputs!$C$35)</f>
        <v>847.78429258425945</v>
      </c>
    </row>
    <row r="147" spans="1:109" ht="14.25" customHeight="1" x14ac:dyDescent="0.2">
      <c r="A147" s="11">
        <f t="shared" si="58"/>
        <v>0</v>
      </c>
      <c r="B147" s="56">
        <f t="shared" si="169"/>
        <v>6311</v>
      </c>
      <c r="D147" s="56"/>
      <c r="F147" s="56">
        <v>6311</v>
      </c>
      <c r="G147" s="11" t="s">
        <v>239</v>
      </c>
      <c r="H147" s="35">
        <f>VLOOKUP($F147,Inputs!$L:$Q,6,FALSE)</f>
        <v>1E-8</v>
      </c>
      <c r="I147" s="1"/>
      <c r="J147" s="29">
        <f t="shared" ref="J147:U147" si="204">$H147*J$18</f>
        <v>1.492584936761011E-7</v>
      </c>
      <c r="K147" s="29">
        <f t="shared" si="204"/>
        <v>1.4745786761557835E-7</v>
      </c>
      <c r="L147" s="29">
        <f t="shared" si="204"/>
        <v>2.1810252620146764E-7</v>
      </c>
      <c r="M147" s="29">
        <f t="shared" si="204"/>
        <v>2.3883929222909326E-7</v>
      </c>
      <c r="N147" s="29">
        <f t="shared" si="204"/>
        <v>3.6709849789672334E-7</v>
      </c>
      <c r="O147" s="29">
        <f t="shared" si="204"/>
        <v>3.4292549426628845E-7</v>
      </c>
      <c r="P147" s="29">
        <f t="shared" si="204"/>
        <v>3.38332000719111E-7</v>
      </c>
      <c r="Q147" s="29">
        <f t="shared" si="204"/>
        <v>3.2233434189666656E-7</v>
      </c>
      <c r="R147" s="29">
        <f t="shared" si="204"/>
        <v>3.0460308770243218E-7</v>
      </c>
      <c r="S147" s="29">
        <f t="shared" si="204"/>
        <v>3.1185329488844959E-7</v>
      </c>
      <c r="T147" s="29">
        <f t="shared" si="204"/>
        <v>3.0733388749212901E-7</v>
      </c>
      <c r="U147" s="239">
        <f t="shared" si="204"/>
        <v>2.8758353597029127E-7</v>
      </c>
      <c r="V147" s="29">
        <f>$H147*V$18*(1+Inputs!$C$35)^(V$7-1)</f>
        <v>3.3175812358538396E-7</v>
      </c>
      <c r="W147" s="29">
        <f>$H147*W$18*(1+Inputs!$C$35)^(W$7-1)</f>
        <v>3.3214470119284496E-7</v>
      </c>
      <c r="X147" s="29">
        <f>$H147*X$18*(1+Inputs!$C$35)^(X$7-1)</f>
        <v>4.1964819759675626E-7</v>
      </c>
      <c r="Y147" s="29">
        <f>$H147*Y$18*(1+Inputs!$C$35)^(Y$7-1)</f>
        <v>4.3218120316872999E-7</v>
      </c>
      <c r="Z147" s="29">
        <f>$H147*Z$18*(1+Inputs!$C$35)^(Z$7-1)</f>
        <v>5.6908250003185503E-7</v>
      </c>
      <c r="AA147" s="29">
        <f>$H147*AA$18*(1+Inputs!$C$35)^(AA$7-1)</f>
        <v>5.4286439884141865E-7</v>
      </c>
      <c r="AB147" s="29">
        <f>$H147*AB$18*(1+Inputs!$C$35)^(AB$7-1)</f>
        <v>5.3737820085052732E-7</v>
      </c>
      <c r="AC147" s="29">
        <f>$H147*AC$18*(1+Inputs!$C$35)^(AC$7-1)</f>
        <v>5.3173949919926329E-7</v>
      </c>
      <c r="AD147" s="29">
        <f>$H147*AD$18*(1+Inputs!$C$35)^(AD$7-1)</f>
        <v>4.9981525862149893E-7</v>
      </c>
      <c r="AE147" s="29">
        <f>$H147*AE$18*(1+Inputs!$C$35)^(AE$7-1)</f>
        <v>5.0297852426408784E-7</v>
      </c>
      <c r="AF147" s="29">
        <f>$H147*AF$18*(1+Inputs!$C$35)^(AF$7-1)</f>
        <v>4.9046711092621435E-7</v>
      </c>
      <c r="AG147" s="239">
        <f>$H147*AG$18*(1+Inputs!$C$35)^(AG$7-1)</f>
        <v>4.6431734905670958E-7</v>
      </c>
      <c r="AH147" s="29">
        <f>$H147*AH$18*(1+Inputs!$C$35)^(AH$7-1)</f>
        <v>4.3703705836526747E-7</v>
      </c>
      <c r="AI147" s="29">
        <f>$H147*AI$18*(1+Inputs!$C$35)^(AI$7-1)</f>
        <v>4.2307367116274723E-7</v>
      </c>
      <c r="AJ147" s="29">
        <f>$H147*AJ$18*(1+Inputs!$C$35)^(AJ$7-1)</f>
        <v>4.9983542770985802E-7</v>
      </c>
      <c r="AK147" s="29">
        <f>$H147*AK$18*(1+Inputs!$C$35)^(AK$7-1)</f>
        <v>4.9856439271663094E-7</v>
      </c>
      <c r="AL147" s="29">
        <f>$H147*AL$18*(1+Inputs!$C$35)^(AL$7-1)</f>
        <v>5.9445716738243287E-7</v>
      </c>
      <c r="AM147" s="29">
        <f>$H147*AM$18*(1+Inputs!$C$35)^(AM$7-1)</f>
        <v>5.7973419474311152E-7</v>
      </c>
      <c r="AN147" s="29">
        <f>$H147*AN$18*(1+Inputs!$C$35)^(AN$7-1)</f>
        <v>5.8061970593381053E-7</v>
      </c>
      <c r="AO147" s="29">
        <f>$H147*AO$18*(1+Inputs!$C$35)^(AO$7-1)</f>
        <v>5.9345910494615973E-7</v>
      </c>
      <c r="AP147" s="29">
        <f>$H147*AP$18*(1+Inputs!$C$35)^(AP$7-1)</f>
        <v>5.5731140153243168E-7</v>
      </c>
      <c r="AQ147" s="29">
        <f>$H147*AQ$18*(1+Inputs!$C$35)^(AQ$7-1)</f>
        <v>5.546670693262045E-7</v>
      </c>
      <c r="AR147" s="29">
        <f>$H147*AR$18*(1+Inputs!$C$35)^(AR$7-1)</f>
        <v>5.3833971949269522E-7</v>
      </c>
      <c r="AS147" s="239">
        <f>$H147*AS$18*(1+Inputs!$C$35)^(AS$7-1)</f>
        <v>5.1176548985843251E-7</v>
      </c>
      <c r="AT147" s="29">
        <f>$H147*AT$18*(1+Inputs!$C$35)^(AT$7-1)</f>
        <v>3.1844895151226652E-7</v>
      </c>
      <c r="AU147" s="29">
        <f>$H147*AU$18*(1+Inputs!$C$35)^(AU$7-1)</f>
        <v>3.737157187202505E-7</v>
      </c>
      <c r="AV147" s="29">
        <f>$H147*AV$18*(1+Inputs!$C$35)^(AV$7-1)</f>
        <v>4.2524166629787779E-7</v>
      </c>
      <c r="AW147" s="29">
        <f>$H147*AW$18*(1+Inputs!$C$35)^(AW$7-1)</f>
        <v>4.1943559389307142E-7</v>
      </c>
      <c r="AX147" s="29">
        <f>$H147*AX$18*(1+Inputs!$C$35)^(AX$7-1)</f>
        <v>4.8457354663495851E-7</v>
      </c>
      <c r="AY147" s="29">
        <f>$H147*AY$18*(1+Inputs!$C$35)^(AY$7-1)</f>
        <v>4.6671058248268635E-7</v>
      </c>
      <c r="AZ147" s="29">
        <f>$H147*AZ$18*(1+Inputs!$C$35)^(AZ$7-1)</f>
        <v>4.3984426130587979E-7</v>
      </c>
      <c r="BA147" s="29">
        <f>$H147*BA$18*(1+Inputs!$C$35)^(BA$7-1)</f>
        <v>4.0566596703274649E-7</v>
      </c>
      <c r="BB147" s="29">
        <f>$H147*BB$18*(1+Inputs!$C$35)^(BB$7-1)</f>
        <v>3.8376890400819933E-7</v>
      </c>
      <c r="BC147" s="29">
        <f>$H147*BC$18*(1+Inputs!$C$35)^(BC$7-1)</f>
        <v>3.6947687908342582E-7</v>
      </c>
      <c r="BD147" s="29">
        <f>$H147*BD$18*(1+Inputs!$C$35)^(BD$7-1)</f>
        <v>3.5066769215828695E-7</v>
      </c>
      <c r="BE147" s="239">
        <f>$H147*BE$18*(1+Inputs!$C$35)^(BE$7-1)</f>
        <v>3.3630511365708277E-7</v>
      </c>
      <c r="BF147" s="29">
        <f>$H147*BF$18*(1+Inputs!$C$35)^(BF$7-1)</f>
        <v>3.6285856219180207E-7</v>
      </c>
      <c r="BG147" s="29">
        <f>$H147*BG$18*(1+Inputs!$C$35)^(BG$7-1)</f>
        <v>3.4230876536527138E-7</v>
      </c>
      <c r="BH147" s="29">
        <f>$H147*BH$18*(1+Inputs!$C$35)^(BH$7-1)</f>
        <v>3.8844678306409831E-7</v>
      </c>
      <c r="BI147" s="29">
        <f>$H147*BI$18*(1+Inputs!$C$35)^(BI$7-1)</f>
        <v>3.8363335774746751E-7</v>
      </c>
      <c r="BJ147" s="29">
        <f>$H147*BJ$18*(1+Inputs!$C$35)^(BJ$7-1)</f>
        <v>4.5721605256915393E-7</v>
      </c>
      <c r="BK147" s="29">
        <f>$H147*BK$18*(1+Inputs!$C$35)^(BK$7-1)</f>
        <v>4.4631043564478998E-7</v>
      </c>
      <c r="BL147" s="29">
        <f>$H147*BL$18*(1+Inputs!$C$35)^(BL$7-1)</f>
        <v>4.2288548640324447E-7</v>
      </c>
      <c r="BM147" s="29">
        <f>$H147*BM$18*(1+Inputs!$C$35)^(BM$7-1)</f>
        <v>3.8813702837645098E-7</v>
      </c>
      <c r="BN147" s="29">
        <f>$H147*BN$18*(1+Inputs!$C$35)^(BN$7-1)</f>
        <v>3.6884940660190573E-7</v>
      </c>
      <c r="BO147" s="29">
        <f>$H147*BO$18*(1+Inputs!$C$35)^(BO$7-1)</f>
        <v>3.5601490023212679E-7</v>
      </c>
      <c r="BP147" s="29">
        <f>$H147*BP$18*(1+Inputs!$C$35)^(BP$7-1)</f>
        <v>3.3961220997478058E-7</v>
      </c>
      <c r="BQ147" s="29">
        <f>$H147*BQ$18*(1+Inputs!$C$35)^(BQ$7-1)</f>
        <v>3.2031230677827864E-7</v>
      </c>
      <c r="BR147" s="29">
        <f>$H147*BR$18*(1+Inputs!$C$35)^(BR$7-1)</f>
        <v>3.4546450831513651E-7</v>
      </c>
      <c r="BS147" s="29">
        <f>$H147*BS$18*(1+Inputs!$C$35)^(BS$7-1)</f>
        <v>3.3374554716883963E-7</v>
      </c>
      <c r="BT147" s="29">
        <f>$H147*BT$18*(1+Inputs!$C$35)^(BT$7-1)</f>
        <v>3.4481590841314717E-7</v>
      </c>
      <c r="BU147" s="29">
        <f>$H147*BU$18*(1+Inputs!$C$35)^(BU$7-1)</f>
        <v>3.1003953618319306E-7</v>
      </c>
      <c r="BW147" s="29">
        <f t="shared" ref="BW147:CA147" si="205">SUMIF($J$6:$BU$6,BW$9,$J147:$BU147)</f>
        <v>3.3357223205543316E-6</v>
      </c>
      <c r="BX147" s="29">
        <f t="shared" si="205"/>
        <v>5.6543750673352903E-6</v>
      </c>
      <c r="BY147" s="29">
        <f t="shared" si="205"/>
        <v>6.3688644031697817E-6</v>
      </c>
      <c r="BZ147" s="29">
        <f t="shared" si="205"/>
        <v>4.7738548767867322E-6</v>
      </c>
      <c r="CA147" s="29">
        <f t="shared" si="205"/>
        <v>4.5765852949493704E-6</v>
      </c>
      <c r="CB147" s="29">
        <f>CA147*(1+Inputs!$C$35)</f>
        <v>4.690999927323104E-6</v>
      </c>
      <c r="CC147" s="29">
        <f>CB147*(1+Inputs!$C$35)</f>
        <v>4.8082749255061816E-6</v>
      </c>
      <c r="CD147" s="29">
        <f>CC147*(1+Inputs!$C$35)</f>
        <v>4.9284817986438354E-6</v>
      </c>
      <c r="CE147" s="29">
        <f>CD147*(1+Inputs!$C$35)</f>
        <v>5.0516938436099307E-6</v>
      </c>
      <c r="CF147" s="29">
        <f>CE147*(1+Inputs!$C$35)</f>
        <v>5.1779861897001786E-6</v>
      </c>
      <c r="CG147" s="29">
        <f>CF147*(1+Inputs!$C$35)</f>
        <v>5.3074358444426825E-6</v>
      </c>
      <c r="CH147" s="29">
        <f>CG147*(1+Inputs!$C$35)</f>
        <v>5.440121740553749E-6</v>
      </c>
      <c r="CI147" s="29">
        <f>CH147*(1+Inputs!$C$35)</f>
        <v>5.5761247840675924E-6</v>
      </c>
      <c r="CJ147" s="29">
        <f>CI147*(1+Inputs!$C$35)</f>
        <v>5.7155279036692821E-6</v>
      </c>
      <c r="CK147" s="29">
        <f>CJ147*(1+Inputs!$C$35)</f>
        <v>5.8584161012610136E-6</v>
      </c>
    </row>
    <row r="148" spans="1:109" ht="14.25" customHeight="1" x14ac:dyDescent="0.2">
      <c r="A148" s="11">
        <f t="shared" si="58"/>
        <v>0</v>
      </c>
      <c r="B148" s="56">
        <f t="shared" si="169"/>
        <v>6320</v>
      </c>
      <c r="D148" s="56"/>
      <c r="F148" s="263">
        <v>6320</v>
      </c>
      <c r="G148" s="17" t="s">
        <v>243</v>
      </c>
      <c r="H148" s="185">
        <f>VLOOKUP($F148,Inputs!$L:$Q,6,FALSE)</f>
        <v>1E-3</v>
      </c>
      <c r="I148" s="236"/>
      <c r="J148" s="237">
        <f t="shared" ref="J148:U148" si="206">$H148</f>
        <v>1E-3</v>
      </c>
      <c r="K148" s="237">
        <f t="shared" si="206"/>
        <v>1E-3</v>
      </c>
      <c r="L148" s="237">
        <f t="shared" si="206"/>
        <v>1E-3</v>
      </c>
      <c r="M148" s="237">
        <f t="shared" si="206"/>
        <v>1E-3</v>
      </c>
      <c r="N148" s="237">
        <f t="shared" si="206"/>
        <v>1E-3</v>
      </c>
      <c r="O148" s="237">
        <f t="shared" si="206"/>
        <v>1E-3</v>
      </c>
      <c r="P148" s="237">
        <f t="shared" si="206"/>
        <v>1E-3</v>
      </c>
      <c r="Q148" s="237">
        <f t="shared" si="206"/>
        <v>1E-3</v>
      </c>
      <c r="R148" s="237">
        <f t="shared" si="206"/>
        <v>1E-3</v>
      </c>
      <c r="S148" s="237">
        <f t="shared" si="206"/>
        <v>1E-3</v>
      </c>
      <c r="T148" s="237">
        <f t="shared" si="206"/>
        <v>1E-3</v>
      </c>
      <c r="U148" s="238">
        <f t="shared" si="206"/>
        <v>1E-3</v>
      </c>
      <c r="V148" s="237">
        <f>J148*(1+Inputs!$C$35)</f>
        <v>1.0249999999999999E-3</v>
      </c>
      <c r="W148" s="237">
        <f>K148*(1+Inputs!$C$35)</f>
        <v>1.0249999999999999E-3</v>
      </c>
      <c r="X148" s="237">
        <f>L148*(1+Inputs!$C$35)</f>
        <v>1.0249999999999999E-3</v>
      </c>
      <c r="Y148" s="237">
        <f>M148*(1+Inputs!$C$35)</f>
        <v>1.0249999999999999E-3</v>
      </c>
      <c r="Z148" s="237">
        <f>N148*(1+Inputs!$C$35)</f>
        <v>1.0249999999999999E-3</v>
      </c>
      <c r="AA148" s="237">
        <f>O148*(1+Inputs!$C$35)</f>
        <v>1.0249999999999999E-3</v>
      </c>
      <c r="AB148" s="237">
        <f>P148*(1+Inputs!$C$35)</f>
        <v>1.0249999999999999E-3</v>
      </c>
      <c r="AC148" s="237">
        <f>Q148*(1+Inputs!$C$35)</f>
        <v>1.0249999999999999E-3</v>
      </c>
      <c r="AD148" s="237">
        <f>R148*(1+Inputs!$C$35)</f>
        <v>1.0249999999999999E-3</v>
      </c>
      <c r="AE148" s="237">
        <f>S148*(1+Inputs!$C$35)</f>
        <v>1.0249999999999999E-3</v>
      </c>
      <c r="AF148" s="237">
        <f>T148*(1+Inputs!$C$35)</f>
        <v>1.0249999999999999E-3</v>
      </c>
      <c r="AG148" s="238">
        <f>U148*(1+Inputs!$C$35)</f>
        <v>1.0249999999999999E-3</v>
      </c>
      <c r="AH148" s="237">
        <f>V148*(1+Inputs!$C$35)</f>
        <v>1.0506249999999997E-3</v>
      </c>
      <c r="AI148" s="237">
        <f>W148*(1+Inputs!$C$35)</f>
        <v>1.0506249999999997E-3</v>
      </c>
      <c r="AJ148" s="237">
        <f>X148*(1+Inputs!$C$35)</f>
        <v>1.0506249999999997E-3</v>
      </c>
      <c r="AK148" s="237">
        <f>Y148*(1+Inputs!$C$35)</f>
        <v>1.0506249999999997E-3</v>
      </c>
      <c r="AL148" s="237">
        <f>Z148*(1+Inputs!$C$35)</f>
        <v>1.0506249999999997E-3</v>
      </c>
      <c r="AM148" s="237">
        <f>AA148*(1+Inputs!$C$35)</f>
        <v>1.0506249999999997E-3</v>
      </c>
      <c r="AN148" s="237">
        <f>AB148*(1+Inputs!$C$35)</f>
        <v>1.0506249999999997E-3</v>
      </c>
      <c r="AO148" s="237">
        <f>AC148*(1+Inputs!$C$35)</f>
        <v>1.0506249999999997E-3</v>
      </c>
      <c r="AP148" s="237">
        <f>AD148*(1+Inputs!$C$35)</f>
        <v>1.0506249999999997E-3</v>
      </c>
      <c r="AQ148" s="237">
        <f>AE148*(1+Inputs!$C$35)</f>
        <v>1.0506249999999997E-3</v>
      </c>
      <c r="AR148" s="237">
        <f>AF148*(1+Inputs!$C$35)</f>
        <v>1.0506249999999997E-3</v>
      </c>
      <c r="AS148" s="238">
        <f>AG148*(1+Inputs!$C$35)</f>
        <v>1.0506249999999997E-3</v>
      </c>
      <c r="AT148" s="237">
        <f>AH148*(1+Inputs!$C$35)</f>
        <v>1.0768906249999995E-3</v>
      </c>
      <c r="AU148" s="237">
        <f>AI148*(1+Inputs!$C$35)</f>
        <v>1.0768906249999995E-3</v>
      </c>
      <c r="AV148" s="237">
        <f>AJ148*(1+Inputs!$C$35)</f>
        <v>1.0768906249999995E-3</v>
      </c>
      <c r="AW148" s="237">
        <f>AK148*(1+Inputs!$C$35)</f>
        <v>1.0768906249999995E-3</v>
      </c>
      <c r="AX148" s="237">
        <f>AL148*(1+Inputs!$C$35)</f>
        <v>1.0768906249999995E-3</v>
      </c>
      <c r="AY148" s="237">
        <f>AM148*(1+Inputs!$C$35)</f>
        <v>1.0768906249999995E-3</v>
      </c>
      <c r="AZ148" s="237">
        <f>AN148*(1+Inputs!$C$35)</f>
        <v>1.0768906249999995E-3</v>
      </c>
      <c r="BA148" s="237">
        <f>AO148*(1+Inputs!$C$35)</f>
        <v>1.0768906249999995E-3</v>
      </c>
      <c r="BB148" s="237">
        <f>AP148*(1+Inputs!$C$35)</f>
        <v>1.0768906249999995E-3</v>
      </c>
      <c r="BC148" s="237">
        <f>AQ148*(1+Inputs!$C$35)</f>
        <v>1.0768906249999995E-3</v>
      </c>
      <c r="BD148" s="237">
        <f>AR148*(1+Inputs!$C$35)</f>
        <v>1.0768906249999995E-3</v>
      </c>
      <c r="BE148" s="238">
        <f>AS148*(1+Inputs!$C$35)</f>
        <v>1.0768906249999995E-3</v>
      </c>
      <c r="BF148" s="237">
        <f>AT148*(1+Inputs!$C$35)</f>
        <v>1.1038128906249993E-3</v>
      </c>
      <c r="BG148" s="237">
        <f>AU148*(1+Inputs!$C$35)</f>
        <v>1.1038128906249993E-3</v>
      </c>
      <c r="BH148" s="237">
        <f>AV148*(1+Inputs!$C$35)</f>
        <v>1.1038128906249993E-3</v>
      </c>
      <c r="BI148" s="237">
        <f>AW148*(1+Inputs!$C$35)</f>
        <v>1.1038128906249993E-3</v>
      </c>
      <c r="BJ148" s="237">
        <f>AX148*(1+Inputs!$C$35)</f>
        <v>1.1038128906249993E-3</v>
      </c>
      <c r="BK148" s="237">
        <f>AY148*(1+Inputs!$C$35)</f>
        <v>1.1038128906249993E-3</v>
      </c>
      <c r="BL148" s="237">
        <f>AZ148*(1+Inputs!$C$35)</f>
        <v>1.1038128906249993E-3</v>
      </c>
      <c r="BM148" s="237">
        <f>BA148*(1+Inputs!$C$35)</f>
        <v>1.1038128906249993E-3</v>
      </c>
      <c r="BN148" s="237">
        <f>BB148*(1+Inputs!$C$35)</f>
        <v>1.1038128906249993E-3</v>
      </c>
      <c r="BO148" s="237">
        <f>BC148*(1+Inputs!$C$35)</f>
        <v>1.1038128906249993E-3</v>
      </c>
      <c r="BP148" s="237">
        <f>BD148*(1+Inputs!$C$35)</f>
        <v>1.1038128906249993E-3</v>
      </c>
      <c r="BQ148" s="237">
        <f>BE148*(1+Inputs!$C$35)</f>
        <v>1.1038128906249993E-3</v>
      </c>
      <c r="BR148" s="237">
        <f>BF148*(1+Inputs!$C$35)</f>
        <v>1.1314082128906242E-3</v>
      </c>
      <c r="BS148" s="237">
        <f>BG148*(1+Inputs!$C$35)</f>
        <v>1.1314082128906242E-3</v>
      </c>
      <c r="BT148" s="237">
        <f>BH148*(1+Inputs!$C$35)</f>
        <v>1.1314082128906242E-3</v>
      </c>
      <c r="BU148" s="237">
        <f>BI148*(1+Inputs!$C$35)</f>
        <v>1.1314082128906242E-3</v>
      </c>
      <c r="BW148" s="237">
        <f t="shared" ref="BW148:CA148" si="207">SUMIF($J$6:$BU$6,BW$9,$J148:$BU148)</f>
        <v>1.2000000000000004E-2</v>
      </c>
      <c r="BX148" s="237">
        <f t="shared" si="207"/>
        <v>1.2299999999999998E-2</v>
      </c>
      <c r="BY148" s="237">
        <f t="shared" si="207"/>
        <v>1.2607499999999995E-2</v>
      </c>
      <c r="BZ148" s="237">
        <f t="shared" si="207"/>
        <v>1.2922687499999997E-2</v>
      </c>
      <c r="CA148" s="237">
        <f t="shared" si="207"/>
        <v>1.3245754687499995E-2</v>
      </c>
      <c r="CB148" s="237">
        <f>CA148*(1+Inputs!$C$35)</f>
        <v>1.3576898554687493E-2</v>
      </c>
      <c r="CC148" s="237">
        <f>CB148*(1+Inputs!$C$35)</f>
        <v>1.3916321018554679E-2</v>
      </c>
      <c r="CD148" s="237">
        <f>CC148*(1+Inputs!$C$35)</f>
        <v>1.4264229044018546E-2</v>
      </c>
      <c r="CE148" s="237">
        <f>CD148*(1+Inputs!$C$35)</f>
        <v>1.4620834770119008E-2</v>
      </c>
      <c r="CF148" s="237">
        <f>CE148*(1+Inputs!$C$35)</f>
        <v>1.4986355639371982E-2</v>
      </c>
      <c r="CG148" s="237">
        <f>CF148*(1+Inputs!$C$35)</f>
        <v>1.5361014530356281E-2</v>
      </c>
      <c r="CH148" s="237">
        <f>CG148*(1+Inputs!$C$35)</f>
        <v>1.5745039893615188E-2</v>
      </c>
      <c r="CI148" s="237">
        <f>CH148*(1+Inputs!$C$35)</f>
        <v>1.6138665890955566E-2</v>
      </c>
      <c r="CJ148" s="237">
        <f>CI148*(1+Inputs!$C$35)</f>
        <v>1.6542132538229455E-2</v>
      </c>
      <c r="CK148" s="237">
        <f>CJ148*(1+Inputs!$C$35)</f>
        <v>1.6955685851685189E-2</v>
      </c>
    </row>
    <row r="149" spans="1:109" ht="14.25" customHeight="1" x14ac:dyDescent="0.2">
      <c r="A149" s="283">
        <f t="shared" si="58"/>
        <v>0</v>
      </c>
      <c r="B149" s="284" t="s">
        <v>376</v>
      </c>
      <c r="C149" s="285"/>
      <c r="D149" s="284"/>
      <c r="E149" s="286"/>
      <c r="F149" s="287" t="s">
        <v>377</v>
      </c>
      <c r="G149" s="286"/>
      <c r="H149" s="286"/>
      <c r="I149" s="298"/>
      <c r="J149" s="289">
        <f t="shared" ref="J149:BU149" si="208">SUM(J121:J147)-J129</f>
        <v>773.81442366470935</v>
      </c>
      <c r="K149" s="289">
        <f t="shared" si="208"/>
        <v>542.84366985667464</v>
      </c>
      <c r="L149" s="289">
        <f t="shared" si="208"/>
        <v>656.24526794762187</v>
      </c>
      <c r="M149" s="289">
        <f t="shared" si="208"/>
        <v>774.91023832939118</v>
      </c>
      <c r="N149" s="289">
        <f t="shared" si="208"/>
        <v>969.06876777440721</v>
      </c>
      <c r="O149" s="289">
        <f t="shared" si="208"/>
        <v>1137.4073837706023</v>
      </c>
      <c r="P149" s="289">
        <f t="shared" si="208"/>
        <v>1284.0499603764624</v>
      </c>
      <c r="Q149" s="289">
        <f t="shared" si="208"/>
        <v>1386.9390094986798</v>
      </c>
      <c r="R149" s="289">
        <f t="shared" si="208"/>
        <v>1476.3674994315097</v>
      </c>
      <c r="S149" s="289">
        <f t="shared" si="208"/>
        <v>1570.5045761934193</v>
      </c>
      <c r="T149" s="289">
        <f t="shared" si="208"/>
        <v>1654.7046391155297</v>
      </c>
      <c r="U149" s="289">
        <f t="shared" si="208"/>
        <v>1725.6997868897884</v>
      </c>
      <c r="V149" s="289">
        <f t="shared" si="208"/>
        <v>2178.6973222937445</v>
      </c>
      <c r="W149" s="289">
        <f t="shared" si="208"/>
        <v>1959.7138830590989</v>
      </c>
      <c r="X149" s="289">
        <f t="shared" si="208"/>
        <v>2094.0733152948219</v>
      </c>
      <c r="Y149" s="289">
        <f t="shared" si="208"/>
        <v>2237.5491631798586</v>
      </c>
      <c r="Z149" s="289">
        <f t="shared" si="208"/>
        <v>2469.0076767820283</v>
      </c>
      <c r="AA149" s="289">
        <f t="shared" si="208"/>
        <v>2672.2812846542956</v>
      </c>
      <c r="AB149" s="289">
        <f t="shared" si="208"/>
        <v>2849.0716342327732</v>
      </c>
      <c r="AC149" s="289">
        <f t="shared" si="208"/>
        <v>2971.5230367437553</v>
      </c>
      <c r="AD149" s="289">
        <f t="shared" si="208"/>
        <v>3076.6971907194743</v>
      </c>
      <c r="AE149" s="289">
        <f t="shared" si="208"/>
        <v>3189.0052071520622</v>
      </c>
      <c r="AF149" s="289">
        <f t="shared" si="208"/>
        <v>3287.871515477847</v>
      </c>
      <c r="AG149" s="289">
        <f t="shared" si="208"/>
        <v>3372.4817973486279</v>
      </c>
      <c r="AH149" s="289">
        <f t="shared" si="208"/>
        <v>3849.0056717211341</v>
      </c>
      <c r="AI149" s="289">
        <f t="shared" si="208"/>
        <v>3608.1597573471527</v>
      </c>
      <c r="AJ149" s="289">
        <f t="shared" si="208"/>
        <v>3715.0305577555596</v>
      </c>
      <c r="AK149" s="289">
        <f t="shared" si="208"/>
        <v>3831.9960350506617</v>
      </c>
      <c r="AL149" s="289">
        <f t="shared" si="208"/>
        <v>4017.0036315592597</v>
      </c>
      <c r="AM149" s="289">
        <f t="shared" si="208"/>
        <v>4180.4118554083188</v>
      </c>
      <c r="AN149" s="289">
        <f t="shared" si="208"/>
        <v>4320.4502261707457</v>
      </c>
      <c r="AO149" s="289">
        <f t="shared" si="208"/>
        <v>4412.9089631368597</v>
      </c>
      <c r="AP149" s="289">
        <f t="shared" si="208"/>
        <v>4489.2741764721122</v>
      </c>
      <c r="AQ149" s="289">
        <f t="shared" si="208"/>
        <v>4571.2337275646796</v>
      </c>
      <c r="AR149" s="289">
        <f t="shared" si="208"/>
        <v>4637.4979009936724</v>
      </c>
      <c r="AS149" s="289">
        <f t="shared" si="208"/>
        <v>4693.0848144207739</v>
      </c>
      <c r="AT149" s="289">
        <f t="shared" si="208"/>
        <v>5081.9251311061207</v>
      </c>
      <c r="AU149" s="289">
        <f t="shared" si="208"/>
        <v>4775.925164637023</v>
      </c>
      <c r="AV149" s="289">
        <f t="shared" si="208"/>
        <v>4804.1012894934283</v>
      </c>
      <c r="AW149" s="289">
        <f t="shared" si="208"/>
        <v>4848.4842957424398</v>
      </c>
      <c r="AX149" s="289">
        <f t="shared" si="208"/>
        <v>4939.248840993645</v>
      </c>
      <c r="AY149" s="289">
        <f t="shared" si="208"/>
        <v>5003.0260834064238</v>
      </c>
      <c r="AZ149" s="289">
        <f t="shared" si="208"/>
        <v>5035.7485442479056</v>
      </c>
      <c r="BA149" s="289">
        <f t="shared" si="208"/>
        <v>5010.2003493995635</v>
      </c>
      <c r="BB149" s="289">
        <f t="shared" si="208"/>
        <v>4992.9339473512837</v>
      </c>
      <c r="BC149" s="289">
        <f t="shared" si="208"/>
        <v>4978.9282875341642</v>
      </c>
      <c r="BD149" s="289">
        <f t="shared" si="208"/>
        <v>4957.2149003798468</v>
      </c>
      <c r="BE149" s="289">
        <f t="shared" si="208"/>
        <v>4942.9438935174476</v>
      </c>
      <c r="BF149" s="289">
        <f t="shared" si="208"/>
        <v>5403.3040524292919</v>
      </c>
      <c r="BG149" s="289">
        <f t="shared" si="208"/>
        <v>5091.4735687813563</v>
      </c>
      <c r="BH149" s="289">
        <f t="shared" si="208"/>
        <v>5121.6301081903384</v>
      </c>
      <c r="BI149" s="289">
        <f t="shared" si="208"/>
        <v>5168.6904960121374</v>
      </c>
      <c r="BJ149" s="289">
        <f t="shared" si="208"/>
        <v>5264.3038061257912</v>
      </c>
      <c r="BK149" s="289">
        <f t="shared" si="208"/>
        <v>5334.3947666668992</v>
      </c>
      <c r="BL149" s="289">
        <f t="shared" si="208"/>
        <v>5370.0581999507203</v>
      </c>
      <c r="BM149" s="289">
        <f t="shared" si="208"/>
        <v>5343.8954692033403</v>
      </c>
      <c r="BN149" s="289">
        <f t="shared" si="208"/>
        <v>5325.2216571538011</v>
      </c>
      <c r="BO149" s="289">
        <f t="shared" si="208"/>
        <v>5308.9758321596883</v>
      </c>
      <c r="BP149" s="289">
        <f t="shared" si="208"/>
        <v>5284.799550571408</v>
      </c>
      <c r="BQ149" s="289">
        <f t="shared" si="208"/>
        <v>5268.3370591965904</v>
      </c>
      <c r="BR149" s="289">
        <f t="shared" si="208"/>
        <v>5704.4174305507622</v>
      </c>
      <c r="BS149" s="289">
        <f t="shared" si="208"/>
        <v>5382.0187424899223</v>
      </c>
      <c r="BT149" s="289">
        <f t="shared" si="208"/>
        <v>5408.1390858562863</v>
      </c>
      <c r="BU149" s="289">
        <f t="shared" si="208"/>
        <v>5452.4797241789302</v>
      </c>
      <c r="BV149" s="285"/>
      <c r="BW149" s="289">
        <f t="shared" ref="BW149:CK149" si="209">SUM(BW121:BW148)-BW129</f>
        <v>13952.567222848795</v>
      </c>
      <c r="BX149" s="289">
        <f t="shared" si="209"/>
        <v>32357.985326938397</v>
      </c>
      <c r="BY149" s="289">
        <f t="shared" si="209"/>
        <v>50326.069925100936</v>
      </c>
      <c r="BZ149" s="289">
        <f t="shared" si="209"/>
        <v>59370.693650496789</v>
      </c>
      <c r="CA149" s="289">
        <f t="shared" si="209"/>
        <v>63285.097812196051</v>
      </c>
      <c r="CB149" s="289">
        <f t="shared" si="209"/>
        <v>64867.225257500948</v>
      </c>
      <c r="CC149" s="289">
        <f t="shared" si="209"/>
        <v>66488.905888938461</v>
      </c>
      <c r="CD149" s="289">
        <f t="shared" si="209"/>
        <v>68151.128536161908</v>
      </c>
      <c r="CE149" s="289">
        <f t="shared" si="209"/>
        <v>69854.906749565969</v>
      </c>
      <c r="CF149" s="289">
        <f t="shared" si="209"/>
        <v>71601.279418305101</v>
      </c>
      <c r="CG149" s="289">
        <f t="shared" si="209"/>
        <v>73391.311403762709</v>
      </c>
      <c r="CH149" s="289">
        <f t="shared" si="209"/>
        <v>75226.094188856776</v>
      </c>
      <c r="CI149" s="289">
        <f t="shared" si="209"/>
        <v>77106.746543578178</v>
      </c>
      <c r="CJ149" s="289">
        <f t="shared" si="209"/>
        <v>79034.415207167636</v>
      </c>
      <c r="CK149" s="289">
        <f t="shared" si="209"/>
        <v>81010.275587346798</v>
      </c>
      <c r="CL149" s="285"/>
      <c r="CM149" s="285"/>
      <c r="CN149" s="285"/>
      <c r="CO149" s="285"/>
      <c r="CP149" s="285"/>
      <c r="CQ149" s="285"/>
      <c r="CR149" s="285"/>
      <c r="CS149" s="285"/>
      <c r="CT149" s="285"/>
      <c r="CU149" s="285"/>
      <c r="CV149" s="285"/>
      <c r="CW149" s="285"/>
      <c r="CX149" s="285"/>
      <c r="CY149" s="285"/>
      <c r="CZ149" s="285"/>
      <c r="DA149" s="285"/>
      <c r="DB149" s="285"/>
      <c r="DC149" s="285"/>
      <c r="DD149" s="285"/>
      <c r="DE149" s="285"/>
    </row>
    <row r="150" spans="1:109" ht="8.25" customHeight="1" x14ac:dyDescent="0.2">
      <c r="A150" s="11">
        <f t="shared" si="58"/>
        <v>0</v>
      </c>
      <c r="B150" s="249"/>
      <c r="D150" s="249"/>
      <c r="E150" s="3"/>
      <c r="F150" s="249"/>
      <c r="I150" s="1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3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3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3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3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</row>
    <row r="151" spans="1:109" ht="14.25" customHeight="1" x14ac:dyDescent="0.2">
      <c r="A151" s="11">
        <f t="shared" si="58"/>
        <v>0</v>
      </c>
      <c r="B151" s="56"/>
      <c r="F151" s="3" t="s">
        <v>249</v>
      </c>
      <c r="I151" s="1"/>
      <c r="U151" s="203"/>
      <c r="V151" s="25"/>
      <c r="AG151" s="203"/>
      <c r="AS151" s="203"/>
      <c r="BE151" s="203"/>
    </row>
    <row r="152" spans="1:109" ht="14.25" customHeight="1" x14ac:dyDescent="0.2">
      <c r="A152" s="11">
        <f t="shared" si="58"/>
        <v>0</v>
      </c>
      <c r="B152" s="56">
        <f>F152</f>
        <v>6377</v>
      </c>
      <c r="D152" s="56"/>
      <c r="F152" s="263">
        <v>6377</v>
      </c>
      <c r="G152" s="17" t="s">
        <v>249</v>
      </c>
      <c r="H152" s="185">
        <f>VLOOKUP($F152,Inputs!$L:$Q,6,FALSE)</f>
        <v>12000</v>
      </c>
      <c r="I152" s="236"/>
      <c r="J152" s="237">
        <f t="shared" ref="J152:U152" si="210">$H152/12</f>
        <v>1000</v>
      </c>
      <c r="K152" s="237">
        <f t="shared" si="210"/>
        <v>1000</v>
      </c>
      <c r="L152" s="237">
        <f t="shared" si="210"/>
        <v>1000</v>
      </c>
      <c r="M152" s="237">
        <f t="shared" si="210"/>
        <v>1000</v>
      </c>
      <c r="N152" s="237">
        <f t="shared" si="210"/>
        <v>1000</v>
      </c>
      <c r="O152" s="237">
        <f t="shared" si="210"/>
        <v>1000</v>
      </c>
      <c r="P152" s="237">
        <f t="shared" si="210"/>
        <v>1000</v>
      </c>
      <c r="Q152" s="237">
        <f t="shared" si="210"/>
        <v>1000</v>
      </c>
      <c r="R152" s="237">
        <f t="shared" si="210"/>
        <v>1000</v>
      </c>
      <c r="S152" s="237">
        <f t="shared" si="210"/>
        <v>1000</v>
      </c>
      <c r="T152" s="237">
        <f t="shared" si="210"/>
        <v>1000</v>
      </c>
      <c r="U152" s="238">
        <f t="shared" si="210"/>
        <v>1000</v>
      </c>
      <c r="V152" s="237">
        <f>J152*(1+Inputs!$C$35)</f>
        <v>1025</v>
      </c>
      <c r="W152" s="237">
        <f>K152*(1+Inputs!$C$35)</f>
        <v>1025</v>
      </c>
      <c r="X152" s="237">
        <f>L152*(1+Inputs!$C$35)</f>
        <v>1025</v>
      </c>
      <c r="Y152" s="237">
        <f>M152*(1+Inputs!$C$35)</f>
        <v>1025</v>
      </c>
      <c r="Z152" s="237">
        <f>N152*(1+Inputs!$C$35)</f>
        <v>1025</v>
      </c>
      <c r="AA152" s="237">
        <f>O152*(1+Inputs!$C$35)</f>
        <v>1025</v>
      </c>
      <c r="AB152" s="237">
        <f>P152*(1+Inputs!$C$35)</f>
        <v>1025</v>
      </c>
      <c r="AC152" s="237">
        <f>Q152*(1+Inputs!$C$35)</f>
        <v>1025</v>
      </c>
      <c r="AD152" s="237">
        <f>R152*(1+Inputs!$C$35)</f>
        <v>1025</v>
      </c>
      <c r="AE152" s="237">
        <f>S152*(1+Inputs!$C$35)</f>
        <v>1025</v>
      </c>
      <c r="AF152" s="237">
        <f>T152*(1+Inputs!$C$35)</f>
        <v>1025</v>
      </c>
      <c r="AG152" s="238">
        <f>U152*(1+Inputs!$C$35)</f>
        <v>1025</v>
      </c>
      <c r="AH152" s="237">
        <f>V152*(1+Inputs!$C$35)</f>
        <v>1050.625</v>
      </c>
      <c r="AI152" s="237">
        <f>W152*(1+Inputs!$C$35)</f>
        <v>1050.625</v>
      </c>
      <c r="AJ152" s="237">
        <f>X152*(1+Inputs!$C$35)</f>
        <v>1050.625</v>
      </c>
      <c r="AK152" s="237">
        <f>Y152*(1+Inputs!$C$35)</f>
        <v>1050.625</v>
      </c>
      <c r="AL152" s="237">
        <f>Z152*(1+Inputs!$C$35)</f>
        <v>1050.625</v>
      </c>
      <c r="AM152" s="237">
        <f>AA152*(1+Inputs!$C$35)</f>
        <v>1050.625</v>
      </c>
      <c r="AN152" s="237">
        <f>AB152*(1+Inputs!$C$35)</f>
        <v>1050.625</v>
      </c>
      <c r="AO152" s="237">
        <f>AC152*(1+Inputs!$C$35)</f>
        <v>1050.625</v>
      </c>
      <c r="AP152" s="237">
        <f>AD152*(1+Inputs!$C$35)</f>
        <v>1050.625</v>
      </c>
      <c r="AQ152" s="237">
        <f>AE152*(1+Inputs!$C$35)</f>
        <v>1050.625</v>
      </c>
      <c r="AR152" s="237">
        <f>AF152*(1+Inputs!$C$35)</f>
        <v>1050.625</v>
      </c>
      <c r="AS152" s="238">
        <f>AG152*(1+Inputs!$C$35)</f>
        <v>1050.625</v>
      </c>
      <c r="AT152" s="237">
        <f>AH152*(1+Inputs!$C$35)</f>
        <v>1076.890625</v>
      </c>
      <c r="AU152" s="237">
        <f>AI152*(1+Inputs!$C$35)</f>
        <v>1076.890625</v>
      </c>
      <c r="AV152" s="237">
        <f>AJ152*(1+Inputs!$C$35)</f>
        <v>1076.890625</v>
      </c>
      <c r="AW152" s="237">
        <f>AK152*(1+Inputs!$C$35)</f>
        <v>1076.890625</v>
      </c>
      <c r="AX152" s="237">
        <f>AL152*(1+Inputs!$C$35)</f>
        <v>1076.890625</v>
      </c>
      <c r="AY152" s="237">
        <f>AM152*(1+Inputs!$C$35)</f>
        <v>1076.890625</v>
      </c>
      <c r="AZ152" s="237">
        <f>AN152*(1+Inputs!$C$35)</f>
        <v>1076.890625</v>
      </c>
      <c r="BA152" s="237">
        <f>AO152*(1+Inputs!$C$35)</f>
        <v>1076.890625</v>
      </c>
      <c r="BB152" s="237">
        <f>AP152*(1+Inputs!$C$35)</f>
        <v>1076.890625</v>
      </c>
      <c r="BC152" s="237">
        <f>AQ152*(1+Inputs!$C$35)</f>
        <v>1076.890625</v>
      </c>
      <c r="BD152" s="237">
        <f>AR152*(1+Inputs!$C$35)</f>
        <v>1076.890625</v>
      </c>
      <c r="BE152" s="238">
        <f>AS152*(1+Inputs!$C$35)</f>
        <v>1076.890625</v>
      </c>
      <c r="BF152" s="237">
        <f>AT152*(1+Inputs!$C$35)</f>
        <v>1103.8128906249999</v>
      </c>
      <c r="BG152" s="237">
        <f>AU152*(1+Inputs!$C$35)</f>
        <v>1103.8128906249999</v>
      </c>
      <c r="BH152" s="237">
        <f>AV152*(1+Inputs!$C$35)</f>
        <v>1103.8128906249999</v>
      </c>
      <c r="BI152" s="237">
        <f>AW152*(1+Inputs!$C$35)</f>
        <v>1103.8128906249999</v>
      </c>
      <c r="BJ152" s="237">
        <f>AX152*(1+Inputs!$C$35)</f>
        <v>1103.8128906249999</v>
      </c>
      <c r="BK152" s="237">
        <f>AY152*(1+Inputs!$C$35)</f>
        <v>1103.8128906249999</v>
      </c>
      <c r="BL152" s="237">
        <f>AZ152*(1+Inputs!$C$35)</f>
        <v>1103.8128906249999</v>
      </c>
      <c r="BM152" s="237">
        <f>BA152*(1+Inputs!$C$35)</f>
        <v>1103.8128906249999</v>
      </c>
      <c r="BN152" s="237">
        <f>BB152*(1+Inputs!$C$35)</f>
        <v>1103.8128906249999</v>
      </c>
      <c r="BO152" s="237">
        <f>BC152*(1+Inputs!$C$35)</f>
        <v>1103.8128906249999</v>
      </c>
      <c r="BP152" s="237">
        <f>BD152*(1+Inputs!$C$35)</f>
        <v>1103.8128906249999</v>
      </c>
      <c r="BQ152" s="237">
        <f>BE152*(1+Inputs!$C$35)</f>
        <v>1103.8128906249999</v>
      </c>
      <c r="BR152" s="237">
        <f>BF152*(1+Inputs!$C$35)</f>
        <v>1131.4082128906248</v>
      </c>
      <c r="BS152" s="237">
        <f>BG152*(1+Inputs!$C$35)</f>
        <v>1131.4082128906248</v>
      </c>
      <c r="BT152" s="237">
        <f>BH152*(1+Inputs!$C$35)</f>
        <v>1131.4082128906248</v>
      </c>
      <c r="BU152" s="237">
        <f>BI152*(1+Inputs!$C$35)</f>
        <v>1131.4082128906248</v>
      </c>
      <c r="BW152" s="237">
        <f t="shared" ref="BW152:CA152" si="211">SUMIF($J$6:$BU$6,BW$9,$J152:$BU152)</f>
        <v>12000</v>
      </c>
      <c r="BX152" s="237">
        <f t="shared" si="211"/>
        <v>12300</v>
      </c>
      <c r="BY152" s="237">
        <f t="shared" si="211"/>
        <v>12607.5</v>
      </c>
      <c r="BZ152" s="237">
        <f t="shared" si="211"/>
        <v>12922.6875</v>
      </c>
      <c r="CA152" s="237">
        <f t="shared" si="211"/>
        <v>13245.754687500003</v>
      </c>
      <c r="CB152" s="237">
        <f>CA152*(1+Inputs!$C$34)</f>
        <v>13775.584875000002</v>
      </c>
      <c r="CC152" s="237">
        <f>CB152*(1+Inputs!$C$34)</f>
        <v>14326.608270000002</v>
      </c>
      <c r="CD152" s="237">
        <f>CC152*(1+Inputs!$C$34)</f>
        <v>14899.672600800002</v>
      </c>
      <c r="CE152" s="237">
        <f>CD152*(1+Inputs!$C$34)</f>
        <v>15495.659504832003</v>
      </c>
      <c r="CF152" s="237">
        <f>CE152*(1+Inputs!$C$34)</f>
        <v>16115.485885025284</v>
      </c>
      <c r="CG152" s="237">
        <f>CF152*(1+Inputs!$C$34)</f>
        <v>16760.105320426297</v>
      </c>
      <c r="CH152" s="237">
        <f>CG152*(1+Inputs!$C$34)</f>
        <v>17430.509533243348</v>
      </c>
      <c r="CI152" s="237">
        <f>CH152*(1+Inputs!$C$34)</f>
        <v>18127.729914573083</v>
      </c>
      <c r="CJ152" s="237">
        <f>CI152*(1+Inputs!$C$34)</f>
        <v>18852.839111156009</v>
      </c>
      <c r="CK152" s="237">
        <f>CJ152*(1+Inputs!$C$34)</f>
        <v>19606.95267560225</v>
      </c>
    </row>
    <row r="153" spans="1:109" ht="14.25" customHeight="1" x14ac:dyDescent="0.2">
      <c r="A153" s="283">
        <f t="shared" si="58"/>
        <v>0</v>
      </c>
      <c r="B153" s="284" t="s">
        <v>378</v>
      </c>
      <c r="C153" s="285"/>
      <c r="D153" s="284"/>
      <c r="E153" s="286"/>
      <c r="F153" s="287" t="s">
        <v>379</v>
      </c>
      <c r="G153" s="286"/>
      <c r="H153" s="286"/>
      <c r="I153" s="298"/>
      <c r="J153" s="289">
        <f t="shared" ref="J153:BU153" si="212">J152</f>
        <v>1000</v>
      </c>
      <c r="K153" s="289">
        <f t="shared" si="212"/>
        <v>1000</v>
      </c>
      <c r="L153" s="289">
        <f t="shared" si="212"/>
        <v>1000</v>
      </c>
      <c r="M153" s="289">
        <f t="shared" si="212"/>
        <v>1000</v>
      </c>
      <c r="N153" s="289">
        <f t="shared" si="212"/>
        <v>1000</v>
      </c>
      <c r="O153" s="289">
        <f t="shared" si="212"/>
        <v>1000</v>
      </c>
      <c r="P153" s="289">
        <f t="shared" si="212"/>
        <v>1000</v>
      </c>
      <c r="Q153" s="289">
        <f t="shared" si="212"/>
        <v>1000</v>
      </c>
      <c r="R153" s="289">
        <f t="shared" si="212"/>
        <v>1000</v>
      </c>
      <c r="S153" s="289">
        <f t="shared" si="212"/>
        <v>1000</v>
      </c>
      <c r="T153" s="289">
        <f t="shared" si="212"/>
        <v>1000</v>
      </c>
      <c r="U153" s="290">
        <f t="shared" si="212"/>
        <v>1000</v>
      </c>
      <c r="V153" s="289">
        <f t="shared" si="212"/>
        <v>1025</v>
      </c>
      <c r="W153" s="289">
        <f t="shared" si="212"/>
        <v>1025</v>
      </c>
      <c r="X153" s="289">
        <f t="shared" si="212"/>
        <v>1025</v>
      </c>
      <c r="Y153" s="289">
        <f t="shared" si="212"/>
        <v>1025</v>
      </c>
      <c r="Z153" s="289">
        <f t="shared" si="212"/>
        <v>1025</v>
      </c>
      <c r="AA153" s="289">
        <f t="shared" si="212"/>
        <v>1025</v>
      </c>
      <c r="AB153" s="289">
        <f t="shared" si="212"/>
        <v>1025</v>
      </c>
      <c r="AC153" s="289">
        <f t="shared" si="212"/>
        <v>1025</v>
      </c>
      <c r="AD153" s="289">
        <f t="shared" si="212"/>
        <v>1025</v>
      </c>
      <c r="AE153" s="289">
        <f t="shared" si="212"/>
        <v>1025</v>
      </c>
      <c r="AF153" s="289">
        <f t="shared" si="212"/>
        <v>1025</v>
      </c>
      <c r="AG153" s="290">
        <f t="shared" si="212"/>
        <v>1025</v>
      </c>
      <c r="AH153" s="289">
        <f t="shared" si="212"/>
        <v>1050.625</v>
      </c>
      <c r="AI153" s="289">
        <f t="shared" si="212"/>
        <v>1050.625</v>
      </c>
      <c r="AJ153" s="289">
        <f t="shared" si="212"/>
        <v>1050.625</v>
      </c>
      <c r="AK153" s="289">
        <f t="shared" si="212"/>
        <v>1050.625</v>
      </c>
      <c r="AL153" s="289">
        <f t="shared" si="212"/>
        <v>1050.625</v>
      </c>
      <c r="AM153" s="289">
        <f t="shared" si="212"/>
        <v>1050.625</v>
      </c>
      <c r="AN153" s="289">
        <f t="shared" si="212"/>
        <v>1050.625</v>
      </c>
      <c r="AO153" s="289">
        <f t="shared" si="212"/>
        <v>1050.625</v>
      </c>
      <c r="AP153" s="289">
        <f t="shared" si="212"/>
        <v>1050.625</v>
      </c>
      <c r="AQ153" s="289">
        <f t="shared" si="212"/>
        <v>1050.625</v>
      </c>
      <c r="AR153" s="289">
        <f t="shared" si="212"/>
        <v>1050.625</v>
      </c>
      <c r="AS153" s="290">
        <f t="shared" si="212"/>
        <v>1050.625</v>
      </c>
      <c r="AT153" s="289">
        <f t="shared" si="212"/>
        <v>1076.890625</v>
      </c>
      <c r="AU153" s="289">
        <f t="shared" si="212"/>
        <v>1076.890625</v>
      </c>
      <c r="AV153" s="289">
        <f t="shared" si="212"/>
        <v>1076.890625</v>
      </c>
      <c r="AW153" s="289">
        <f t="shared" si="212"/>
        <v>1076.890625</v>
      </c>
      <c r="AX153" s="289">
        <f t="shared" si="212"/>
        <v>1076.890625</v>
      </c>
      <c r="AY153" s="289">
        <f t="shared" si="212"/>
        <v>1076.890625</v>
      </c>
      <c r="AZ153" s="289">
        <f t="shared" si="212"/>
        <v>1076.890625</v>
      </c>
      <c r="BA153" s="289">
        <f t="shared" si="212"/>
        <v>1076.890625</v>
      </c>
      <c r="BB153" s="289">
        <f t="shared" si="212"/>
        <v>1076.890625</v>
      </c>
      <c r="BC153" s="289">
        <f t="shared" si="212"/>
        <v>1076.890625</v>
      </c>
      <c r="BD153" s="289">
        <f t="shared" si="212"/>
        <v>1076.890625</v>
      </c>
      <c r="BE153" s="290">
        <f t="shared" si="212"/>
        <v>1076.890625</v>
      </c>
      <c r="BF153" s="289">
        <f t="shared" si="212"/>
        <v>1103.8128906249999</v>
      </c>
      <c r="BG153" s="289">
        <f t="shared" si="212"/>
        <v>1103.8128906249999</v>
      </c>
      <c r="BH153" s="289">
        <f t="shared" si="212"/>
        <v>1103.8128906249999</v>
      </c>
      <c r="BI153" s="289">
        <f t="shared" si="212"/>
        <v>1103.8128906249999</v>
      </c>
      <c r="BJ153" s="289">
        <f t="shared" si="212"/>
        <v>1103.8128906249999</v>
      </c>
      <c r="BK153" s="289">
        <f t="shared" si="212"/>
        <v>1103.8128906249999</v>
      </c>
      <c r="BL153" s="289">
        <f t="shared" si="212"/>
        <v>1103.8128906249999</v>
      </c>
      <c r="BM153" s="289">
        <f t="shared" si="212"/>
        <v>1103.8128906249999</v>
      </c>
      <c r="BN153" s="289">
        <f t="shared" si="212"/>
        <v>1103.8128906249999</v>
      </c>
      <c r="BO153" s="289">
        <f t="shared" si="212"/>
        <v>1103.8128906249999</v>
      </c>
      <c r="BP153" s="289">
        <f t="shared" si="212"/>
        <v>1103.8128906249999</v>
      </c>
      <c r="BQ153" s="289">
        <f t="shared" si="212"/>
        <v>1103.8128906249999</v>
      </c>
      <c r="BR153" s="289">
        <f t="shared" si="212"/>
        <v>1131.4082128906248</v>
      </c>
      <c r="BS153" s="289">
        <f t="shared" si="212"/>
        <v>1131.4082128906248</v>
      </c>
      <c r="BT153" s="289">
        <f t="shared" si="212"/>
        <v>1131.4082128906248</v>
      </c>
      <c r="BU153" s="289">
        <f t="shared" si="212"/>
        <v>1131.4082128906248</v>
      </c>
      <c r="BV153" s="285"/>
      <c r="BW153" s="289">
        <f t="shared" ref="BW153:CK153" si="213">SUM(BW152)</f>
        <v>12000</v>
      </c>
      <c r="BX153" s="289">
        <f t="shared" si="213"/>
        <v>12300</v>
      </c>
      <c r="BY153" s="289">
        <f t="shared" si="213"/>
        <v>12607.5</v>
      </c>
      <c r="BZ153" s="289">
        <f t="shared" si="213"/>
        <v>12922.6875</v>
      </c>
      <c r="CA153" s="289">
        <f t="shared" si="213"/>
        <v>13245.754687500003</v>
      </c>
      <c r="CB153" s="289">
        <f t="shared" si="213"/>
        <v>13775.584875000002</v>
      </c>
      <c r="CC153" s="289">
        <f t="shared" si="213"/>
        <v>14326.608270000002</v>
      </c>
      <c r="CD153" s="289">
        <f t="shared" si="213"/>
        <v>14899.672600800002</v>
      </c>
      <c r="CE153" s="289">
        <f t="shared" si="213"/>
        <v>15495.659504832003</v>
      </c>
      <c r="CF153" s="289">
        <f t="shared" si="213"/>
        <v>16115.485885025284</v>
      </c>
      <c r="CG153" s="289">
        <f t="shared" si="213"/>
        <v>16760.105320426297</v>
      </c>
      <c r="CH153" s="289">
        <f t="shared" si="213"/>
        <v>17430.509533243348</v>
      </c>
      <c r="CI153" s="289">
        <f t="shared" si="213"/>
        <v>18127.729914573083</v>
      </c>
      <c r="CJ153" s="289">
        <f t="shared" si="213"/>
        <v>18852.839111156009</v>
      </c>
      <c r="CK153" s="289">
        <f t="shared" si="213"/>
        <v>19606.95267560225</v>
      </c>
      <c r="CL153" s="285"/>
      <c r="CM153" s="285"/>
      <c r="CN153" s="285"/>
      <c r="CO153" s="285"/>
      <c r="CP153" s="285"/>
      <c r="CQ153" s="285"/>
      <c r="CR153" s="285"/>
      <c r="CS153" s="285"/>
      <c r="CT153" s="285"/>
      <c r="CU153" s="285"/>
      <c r="CV153" s="285"/>
      <c r="CW153" s="285"/>
      <c r="CX153" s="285"/>
      <c r="CY153" s="285"/>
      <c r="CZ153" s="285"/>
      <c r="DA153" s="285"/>
      <c r="DB153" s="285"/>
      <c r="DC153" s="285"/>
      <c r="DD153" s="285"/>
      <c r="DE153" s="285"/>
    </row>
    <row r="154" spans="1:109" ht="14.25" customHeight="1" x14ac:dyDescent="0.2">
      <c r="A154" s="11">
        <f t="shared" si="58"/>
        <v>0</v>
      </c>
      <c r="B154" s="249"/>
      <c r="D154" s="249"/>
      <c r="E154" s="3"/>
      <c r="F154" s="249"/>
      <c r="I154" s="1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39"/>
      <c r="V154" s="25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3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3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3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</row>
    <row r="155" spans="1:109" ht="14.25" customHeight="1" x14ac:dyDescent="0.2">
      <c r="A155" s="11">
        <f t="shared" si="58"/>
        <v>0</v>
      </c>
      <c r="B155" s="56"/>
      <c r="F155" s="3" t="s">
        <v>380</v>
      </c>
      <c r="I155" s="1"/>
      <c r="J155" s="29"/>
      <c r="U155" s="203"/>
      <c r="AG155" s="203"/>
      <c r="AS155" s="203"/>
      <c r="BE155" s="203"/>
    </row>
    <row r="156" spans="1:109" ht="14.25" customHeight="1" x14ac:dyDescent="0.2">
      <c r="A156" s="11">
        <f t="shared" si="58"/>
        <v>0</v>
      </c>
      <c r="B156" s="56">
        <f t="shared" ref="B156:B157" si="214">F156</f>
        <v>6270</v>
      </c>
      <c r="D156" s="56"/>
      <c r="F156" s="56">
        <v>6270</v>
      </c>
      <c r="G156" s="11" t="s">
        <v>258</v>
      </c>
      <c r="H156" s="75">
        <f>VLOOKUP($F156,Inputs!$L:$Q,6,FALSE)</f>
        <v>1.2009909552298053</v>
      </c>
      <c r="I156" s="1"/>
      <c r="J156" s="29">
        <f>IF(
  NOT(ISBLANK(HLOOKUP(J$7, Inputs!$T$66:$X$67, 2, FALSE))),
  HLOOKUP(J$7, Inputs!$T$66:$X$67, 2, FALSE) / 12,
  I156 * (1 + Inputs!$C$36)
)</f>
        <v>10589.4375</v>
      </c>
      <c r="K156" s="29">
        <f>IF(
  NOT(ISBLANK(HLOOKUP(K$7, Inputs!$T$66:$X$67, 2, FALSE))),
  HLOOKUP(K$7, Inputs!$T$66:$X$67, 2, FALSE) / 12,
  J156 * (1 + Inputs!$C$36)
)</f>
        <v>10589.4375</v>
      </c>
      <c r="L156" s="29">
        <f>IF(
  NOT(ISBLANK(HLOOKUP(L$7, Inputs!$T$66:$X$67, 2, FALSE))),
  HLOOKUP(L$7, Inputs!$T$66:$X$67, 2, FALSE) / 12,
  K156 * (1 + Inputs!$C$36)
)</f>
        <v>10589.4375</v>
      </c>
      <c r="M156" s="29">
        <f>IF(
  NOT(ISBLANK(HLOOKUP(M$7, Inputs!$T$66:$X$67, 2, FALSE))),
  HLOOKUP(M$7, Inputs!$T$66:$X$67, 2, FALSE) / 12,
  L156 * (1 + Inputs!$C$36)
)</f>
        <v>10589.4375</v>
      </c>
      <c r="N156" s="29">
        <f>IF(
  NOT(ISBLANK(HLOOKUP(N$7, Inputs!$T$66:$X$67, 2, FALSE))),
  HLOOKUP(N$7, Inputs!$T$66:$X$67, 2, FALSE) / 12,
  M156 * (1 + Inputs!$C$36)
)</f>
        <v>10589.4375</v>
      </c>
      <c r="O156" s="29">
        <f>IF(
  NOT(ISBLANK(HLOOKUP(O$7, Inputs!$T$66:$X$67, 2, FALSE))),
  HLOOKUP(O$7, Inputs!$T$66:$X$67, 2, FALSE) / 12,
  N156 * (1 + Inputs!$C$36)
)</f>
        <v>10589.4375</v>
      </c>
      <c r="P156" s="29">
        <f>IF(
  NOT(ISBLANK(HLOOKUP(P$7, Inputs!$T$66:$X$67, 2, FALSE))),
  HLOOKUP(P$7, Inputs!$T$66:$X$67, 2, FALSE) / 12,
  O156 * (1 + Inputs!$C$36)
)</f>
        <v>10589.4375</v>
      </c>
      <c r="Q156" s="29">
        <f>IF(
  NOT(ISBLANK(HLOOKUP(Q$7, Inputs!$T$66:$X$67, 2, FALSE))),
  HLOOKUP(Q$7, Inputs!$T$66:$X$67, 2, FALSE) / 12,
  P156 * (1 + Inputs!$C$36)
)</f>
        <v>10589.4375</v>
      </c>
      <c r="R156" s="29">
        <f>IF(
  NOT(ISBLANK(HLOOKUP(R$7, Inputs!$T$66:$X$67, 2, FALSE))),
  HLOOKUP(R$7, Inputs!$T$66:$X$67, 2, FALSE) / 12,
  Q156 * (1 + Inputs!$C$36)
)</f>
        <v>10589.4375</v>
      </c>
      <c r="S156" s="29">
        <f>IF(
  NOT(ISBLANK(HLOOKUP(S$7, Inputs!$T$66:$X$67, 2, FALSE))),
  HLOOKUP(S$7, Inputs!$T$66:$X$67, 2, FALSE) / 12,
  R156 * (1 + Inputs!$C$36)
)</f>
        <v>10589.4375</v>
      </c>
      <c r="T156" s="29">
        <f>IF(
  NOT(ISBLANK(HLOOKUP(T$7, Inputs!$T$66:$X$67, 2, FALSE))),
  HLOOKUP(T$7, Inputs!$T$66:$X$67, 2, FALSE) / 12,
  S156 * (1 + Inputs!$C$36)
)</f>
        <v>10589.4375</v>
      </c>
      <c r="U156" s="29">
        <f>IF(
  NOT(ISBLANK(HLOOKUP(U$7, Inputs!$T$66:$X$67, 2, FALSE))),
  HLOOKUP(U$7, Inputs!$T$66:$X$67, 2, FALSE) / 12,
  T156 * (1 + Inputs!$C$36)
)</f>
        <v>10589.4375</v>
      </c>
      <c r="V156" s="29">
        <f>IF(
  NOT(ISBLANK(HLOOKUP(V$7, Inputs!$T$66:$X$67, 2, FALSE))),
  HLOOKUP(V$7, Inputs!$T$66:$X$67, 2, FALSE) / 12,
  U156 * (1 + Inputs!$C$36)
)</f>
        <v>14119.25</v>
      </c>
      <c r="W156" s="29">
        <f>IF(
  NOT(ISBLANK(HLOOKUP(W$7, Inputs!$T$66:$X$67, 2, FALSE))),
  HLOOKUP(W$7, Inputs!$T$66:$X$67, 2, FALSE) / 12,
  V156 * (1 + Inputs!$C$36)
)</f>
        <v>14119.25</v>
      </c>
      <c r="X156" s="29">
        <f>IF(
  NOT(ISBLANK(HLOOKUP(X$7, Inputs!$T$66:$X$67, 2, FALSE))),
  HLOOKUP(X$7, Inputs!$T$66:$X$67, 2, FALSE) / 12,
  W156 * (1 + Inputs!$C$36)
)</f>
        <v>14119.25</v>
      </c>
      <c r="Y156" s="29">
        <f>IF(
  NOT(ISBLANK(HLOOKUP(Y$7, Inputs!$T$66:$X$67, 2, FALSE))),
  HLOOKUP(Y$7, Inputs!$T$66:$X$67, 2, FALSE) / 12,
  X156 * (1 + Inputs!$C$36)
)</f>
        <v>14119.25</v>
      </c>
      <c r="Z156" s="29">
        <f>IF(
  NOT(ISBLANK(HLOOKUP(Z$7, Inputs!$T$66:$X$67, 2, FALSE))),
  HLOOKUP(Z$7, Inputs!$T$66:$X$67, 2, FALSE) / 12,
  Y156 * (1 + Inputs!$C$36)
)</f>
        <v>14119.25</v>
      </c>
      <c r="AA156" s="29">
        <f>IF(
  NOT(ISBLANK(HLOOKUP(AA$7, Inputs!$T$66:$X$67, 2, FALSE))),
  HLOOKUP(AA$7, Inputs!$T$66:$X$67, 2, FALSE) / 12,
  Z156 * (1 + Inputs!$C$36)
)</f>
        <v>14119.25</v>
      </c>
      <c r="AB156" s="29">
        <f>IF(
  NOT(ISBLANK(HLOOKUP(AB$7, Inputs!$T$66:$X$67, 2, FALSE))),
  HLOOKUP(AB$7, Inputs!$T$66:$X$67, 2, FALSE) / 12,
  AA156 * (1 + Inputs!$C$36)
)</f>
        <v>14119.25</v>
      </c>
      <c r="AC156" s="29">
        <f>IF(
  NOT(ISBLANK(HLOOKUP(AC$7, Inputs!$T$66:$X$67, 2, FALSE))),
  HLOOKUP(AC$7, Inputs!$T$66:$X$67, 2, FALSE) / 12,
  AB156 * (1 + Inputs!$C$36)
)</f>
        <v>14119.25</v>
      </c>
      <c r="AD156" s="29">
        <f>IF(
  NOT(ISBLANK(HLOOKUP(AD$7, Inputs!$T$66:$X$67, 2, FALSE))),
  HLOOKUP(AD$7, Inputs!$T$66:$X$67, 2, FALSE) / 12,
  AC156 * (1 + Inputs!$C$36)
)</f>
        <v>14119.25</v>
      </c>
      <c r="AE156" s="29">
        <f>IF(
  NOT(ISBLANK(HLOOKUP(AE$7, Inputs!$T$66:$X$67, 2, FALSE))),
  HLOOKUP(AE$7, Inputs!$T$66:$X$67, 2, FALSE) / 12,
  AD156 * (1 + Inputs!$C$36)
)</f>
        <v>14119.25</v>
      </c>
      <c r="AF156" s="29">
        <f>IF(
  NOT(ISBLANK(HLOOKUP(AF$7, Inputs!$T$66:$X$67, 2, FALSE))),
  HLOOKUP(AF$7, Inputs!$T$66:$X$67, 2, FALSE) / 12,
  AE156 * (1 + Inputs!$C$36)
)</f>
        <v>14119.25</v>
      </c>
      <c r="AG156" s="29">
        <f>IF(
  NOT(ISBLANK(HLOOKUP(AG$7, Inputs!$T$66:$X$67, 2, FALSE))),
  HLOOKUP(AG$7, Inputs!$T$66:$X$67, 2, FALSE) / 12,
  AF156 * (1 + Inputs!$C$36)
)</f>
        <v>14119.25</v>
      </c>
      <c r="AH156" s="29">
        <f>IF(
  NOT(ISBLANK(HLOOKUP(AH$7, Inputs!$T$66:$X$67, 2, FALSE))),
  HLOOKUP(AH$7, Inputs!$T$66:$X$67, 2, FALSE) / 12,
  AG156 * (1 + Inputs!$C$36)
)</f>
        <v>14260.442500000001</v>
      </c>
      <c r="AI156" s="29">
        <f>IF(
  NOT(ISBLANK(HLOOKUP(AI$7, Inputs!$T$66:$X$67, 2, FALSE))),
  HLOOKUP(AI$7, Inputs!$T$66:$X$67, 2, FALSE) / 12,
  AH156 * (1 + Inputs!$C$36)
)</f>
        <v>14403.046925000001</v>
      </c>
      <c r="AJ156" s="29">
        <f>IF(
  NOT(ISBLANK(HLOOKUP(AJ$7, Inputs!$T$66:$X$67, 2, FALSE))),
  HLOOKUP(AJ$7, Inputs!$T$66:$X$67, 2, FALSE) / 12,
  AI156 * (1 + Inputs!$C$36)
)</f>
        <v>14547.07739425</v>
      </c>
      <c r="AK156" s="29">
        <f>IF(
  NOT(ISBLANK(HLOOKUP(AK$7, Inputs!$T$66:$X$67, 2, FALSE))),
  HLOOKUP(AK$7, Inputs!$T$66:$X$67, 2, FALSE) / 12,
  AJ156 * (1 + Inputs!$C$36)
)</f>
        <v>14692.548168192499</v>
      </c>
      <c r="AL156" s="29">
        <f>IF(
  NOT(ISBLANK(HLOOKUP(AL$7, Inputs!$T$66:$X$67, 2, FALSE))),
  HLOOKUP(AL$7, Inputs!$T$66:$X$67, 2, FALSE) / 12,
  AK156 * (1 + Inputs!$C$36)
)</f>
        <v>14839.473649874424</v>
      </c>
      <c r="AM156" s="29">
        <f>IF(
  NOT(ISBLANK(HLOOKUP(AM$7, Inputs!$T$66:$X$67, 2, FALSE))),
  HLOOKUP(AM$7, Inputs!$T$66:$X$67, 2, FALSE) / 12,
  AL156 * (1 + Inputs!$C$36)
)</f>
        <v>14987.868386373169</v>
      </c>
      <c r="AN156" s="29">
        <f>IF(
  NOT(ISBLANK(HLOOKUP(AN$7, Inputs!$T$66:$X$67, 2, FALSE))),
  HLOOKUP(AN$7, Inputs!$T$66:$X$67, 2, FALSE) / 12,
  AM156 * (1 + Inputs!$C$36)
)</f>
        <v>15137.747070236901</v>
      </c>
      <c r="AO156" s="29">
        <f>IF(
  NOT(ISBLANK(HLOOKUP(AO$7, Inputs!$T$66:$X$67, 2, FALSE))),
  HLOOKUP(AO$7, Inputs!$T$66:$X$67, 2, FALSE) / 12,
  AN156 * (1 + Inputs!$C$36)
)</f>
        <v>15289.12454093927</v>
      </c>
      <c r="AP156" s="29">
        <f>IF(
  NOT(ISBLANK(HLOOKUP(AP$7, Inputs!$T$66:$X$67, 2, FALSE))),
  HLOOKUP(AP$7, Inputs!$T$66:$X$67, 2, FALSE) / 12,
  AO156 * (1 + Inputs!$C$36)
)</f>
        <v>15442.015786348664</v>
      </c>
      <c r="AQ156" s="29">
        <f>IF(
  NOT(ISBLANK(HLOOKUP(AQ$7, Inputs!$T$66:$X$67, 2, FALSE))),
  HLOOKUP(AQ$7, Inputs!$T$66:$X$67, 2, FALSE) / 12,
  AP156 * (1 + Inputs!$C$36)
)</f>
        <v>15596.435944212151</v>
      </c>
      <c r="AR156" s="29">
        <f>IF(
  NOT(ISBLANK(HLOOKUP(AR$7, Inputs!$T$66:$X$67, 2, FALSE))),
  HLOOKUP(AR$7, Inputs!$T$66:$X$67, 2, FALSE) / 12,
  AQ156 * (1 + Inputs!$C$36)
)</f>
        <v>15752.400303654273</v>
      </c>
      <c r="AS156" s="29">
        <f>IF(
  NOT(ISBLANK(HLOOKUP(AS$7, Inputs!$T$66:$X$67, 2, FALSE))),
  HLOOKUP(AS$7, Inputs!$T$66:$X$67, 2, FALSE) / 12,
  AR156 * (1 + Inputs!$C$36)
)</f>
        <v>15909.924306690815</v>
      </c>
      <c r="AT156" s="29">
        <f>IF(
  NOT(ISBLANK(HLOOKUP(AT$7, Inputs!$T$66:$X$67, 2, FALSE))),
  HLOOKUP(AT$7, Inputs!$T$66:$X$67, 2, FALSE) / 12,
  AS156 * (1 + Inputs!$C$36)
)</f>
        <v>16069.023549757723</v>
      </c>
      <c r="AU156" s="29">
        <f>IF(
  NOT(ISBLANK(HLOOKUP(AU$7, Inputs!$T$66:$X$67, 2, FALSE))),
  HLOOKUP(AU$7, Inputs!$T$66:$X$67, 2, FALSE) / 12,
  AT156 * (1 + Inputs!$C$36)
)</f>
        <v>16229.713785255301</v>
      </c>
      <c r="AV156" s="29">
        <f>IF(
  NOT(ISBLANK(HLOOKUP(AV$7, Inputs!$T$66:$X$67, 2, FALSE))),
  HLOOKUP(AV$7, Inputs!$T$66:$X$67, 2, FALSE) / 12,
  AU156 * (1 + Inputs!$C$36)
)</f>
        <v>16392.010923107853</v>
      </c>
      <c r="AW156" s="29">
        <f>IF(
  NOT(ISBLANK(HLOOKUP(AW$7, Inputs!$T$66:$X$67, 2, FALSE))),
  HLOOKUP(AW$7, Inputs!$T$66:$X$67, 2, FALSE) / 12,
  AV156 * (1 + Inputs!$C$36)
)</f>
        <v>16555.931032338933</v>
      </c>
      <c r="AX156" s="29">
        <f>IF(
  NOT(ISBLANK(HLOOKUP(AX$7, Inputs!$T$66:$X$67, 2, FALSE))),
  HLOOKUP(AX$7, Inputs!$T$66:$X$67, 2, FALSE) / 12,
  AW156 * (1 + Inputs!$C$36)
)</f>
        <v>16721.49034266232</v>
      </c>
      <c r="AY156" s="29">
        <f>IF(
  NOT(ISBLANK(HLOOKUP(AY$7, Inputs!$T$66:$X$67, 2, FALSE))),
  HLOOKUP(AY$7, Inputs!$T$66:$X$67, 2, FALSE) / 12,
  AX156 * (1 + Inputs!$C$36)
)</f>
        <v>16888.705246088943</v>
      </c>
      <c r="AZ156" s="29">
        <f>IF(
  NOT(ISBLANK(HLOOKUP(AZ$7, Inputs!$T$66:$X$67, 2, FALSE))),
  HLOOKUP(AZ$7, Inputs!$T$66:$X$67, 2, FALSE) / 12,
  AY156 * (1 + Inputs!$C$36)
)</f>
        <v>17057.592298549833</v>
      </c>
      <c r="BA156" s="29">
        <f>IF(
  NOT(ISBLANK(HLOOKUP(BA$7, Inputs!$T$66:$X$67, 2, FALSE))),
  HLOOKUP(BA$7, Inputs!$T$66:$X$67, 2, FALSE) / 12,
  AZ156 * (1 + Inputs!$C$36)
)</f>
        <v>17228.168221535332</v>
      </c>
      <c r="BB156" s="29">
        <f>IF(
  NOT(ISBLANK(HLOOKUP(BB$7, Inputs!$T$66:$X$67, 2, FALSE))),
  HLOOKUP(BB$7, Inputs!$T$66:$X$67, 2, FALSE) / 12,
  BA156 * (1 + Inputs!$C$36)
)</f>
        <v>17400.449903750687</v>
      </c>
      <c r="BC156" s="29">
        <f>IF(
  NOT(ISBLANK(HLOOKUP(BC$7, Inputs!$T$66:$X$67, 2, FALSE))),
  HLOOKUP(BC$7, Inputs!$T$66:$X$67, 2, FALSE) / 12,
  BB156 * (1 + Inputs!$C$36)
)</f>
        <v>17574.454402788193</v>
      </c>
      <c r="BD156" s="29">
        <f>IF(
  NOT(ISBLANK(HLOOKUP(BD$7, Inputs!$T$66:$X$67, 2, FALSE))),
  HLOOKUP(BD$7, Inputs!$T$66:$X$67, 2, FALSE) / 12,
  BC156 * (1 + Inputs!$C$36)
)</f>
        <v>17750.198946816075</v>
      </c>
      <c r="BE156" s="29">
        <f>IF(
  NOT(ISBLANK(HLOOKUP(BE$7, Inputs!$T$66:$X$67, 2, FALSE))),
  HLOOKUP(BE$7, Inputs!$T$66:$X$67, 2, FALSE) / 12,
  BD156 * (1 + Inputs!$C$36)
)</f>
        <v>17927.700936284236</v>
      </c>
      <c r="BF156" s="29">
        <f>IF(
  NOT(ISBLANK(HLOOKUP(BF$7, Inputs!$T$66:$X$67, 2, FALSE))),
  HLOOKUP(BF$7, Inputs!$T$66:$X$67, 2, FALSE) / 12,
  BE156 * (1 + Inputs!$C$36)
)</f>
        <v>18106.977945647079</v>
      </c>
      <c r="BG156" s="29">
        <f>IF(
  NOT(ISBLANK(HLOOKUP(BG$7, Inputs!$T$66:$X$67, 2, FALSE))),
  HLOOKUP(BG$7, Inputs!$T$66:$X$67, 2, FALSE) / 12,
  BF156 * (1 + Inputs!$C$36)
)</f>
        <v>18288.047725103548</v>
      </c>
      <c r="BH156" s="29">
        <f>IF(
  NOT(ISBLANK(HLOOKUP(BH$7, Inputs!$T$66:$X$67, 2, FALSE))),
  HLOOKUP(BH$7, Inputs!$T$66:$X$67, 2, FALSE) / 12,
  BG156 * (1 + Inputs!$C$36)
)</f>
        <v>18470.928202354582</v>
      </c>
      <c r="BI156" s="29">
        <f>IF(
  NOT(ISBLANK(HLOOKUP(BI$7, Inputs!$T$66:$X$67, 2, FALSE))),
  HLOOKUP(BI$7, Inputs!$T$66:$X$67, 2, FALSE) / 12,
  BH156 * (1 + Inputs!$C$36)
)</f>
        <v>18655.637484378127</v>
      </c>
      <c r="BJ156" s="29">
        <f>IF(
  NOT(ISBLANK(HLOOKUP(BJ$7, Inputs!$T$66:$X$67, 2, FALSE))),
  HLOOKUP(BJ$7, Inputs!$T$66:$X$67, 2, FALSE) / 12,
  BI156 * (1 + Inputs!$C$36)
)</f>
        <v>18842.193859221908</v>
      </c>
      <c r="BK156" s="29">
        <f>IF(
  NOT(ISBLANK(HLOOKUP(BK$7, Inputs!$T$66:$X$67, 2, FALSE))),
  HLOOKUP(BK$7, Inputs!$T$66:$X$67, 2, FALSE) / 12,
  BJ156 * (1 + Inputs!$C$36)
)</f>
        <v>19030.615797814127</v>
      </c>
      <c r="BL156" s="29">
        <f>IF(
  NOT(ISBLANK(HLOOKUP(BL$7, Inputs!$T$66:$X$67, 2, FALSE))),
  HLOOKUP(BL$7, Inputs!$T$66:$X$67, 2, FALSE) / 12,
  BK156 * (1 + Inputs!$C$36)
)</f>
        <v>19220.92195579227</v>
      </c>
      <c r="BM156" s="29">
        <f>IF(
  NOT(ISBLANK(HLOOKUP(BM$7, Inputs!$T$66:$X$67, 2, FALSE))),
  HLOOKUP(BM$7, Inputs!$T$66:$X$67, 2, FALSE) / 12,
  BL156 * (1 + Inputs!$C$36)
)</f>
        <v>19413.131175350194</v>
      </c>
      <c r="BN156" s="29">
        <f>IF(
  NOT(ISBLANK(HLOOKUP(BN$7, Inputs!$T$66:$X$67, 2, FALSE))),
  HLOOKUP(BN$7, Inputs!$T$66:$X$67, 2, FALSE) / 12,
  BM156 * (1 + Inputs!$C$36)
)</f>
        <v>19607.262487103697</v>
      </c>
      <c r="BO156" s="29">
        <f>IF(
  NOT(ISBLANK(HLOOKUP(BO$7, Inputs!$T$66:$X$67, 2, FALSE))),
  HLOOKUP(BO$7, Inputs!$T$66:$X$67, 2, FALSE) / 12,
  BN156 * (1 + Inputs!$C$36)
)</f>
        <v>19803.335111974735</v>
      </c>
      <c r="BP156" s="29">
        <f>IF(
  NOT(ISBLANK(HLOOKUP(BP$7, Inputs!$T$66:$X$67, 2, FALSE))),
  HLOOKUP(BP$7, Inputs!$T$66:$X$67, 2, FALSE) / 12,
  BO156 * (1 + Inputs!$C$36)
)</f>
        <v>20001.368463094481</v>
      </c>
      <c r="BQ156" s="29">
        <f>IF(
  NOT(ISBLANK(HLOOKUP(BQ$7, Inputs!$T$66:$X$67, 2, FALSE))),
  HLOOKUP(BQ$7, Inputs!$T$66:$X$67, 2, FALSE) / 12,
  BP156 * (1 + Inputs!$C$36)
)</f>
        <v>20201.382147725424</v>
      </c>
      <c r="BR156" s="29" t="e">
        <f>IF(
  NOT(ISBLANK(HLOOKUP(BR$7, Inputs!$T$66:$X$67, 2, FALSE))),
  HLOOKUP(BR$7, Inputs!$T$66:$X$67, 2, FALSE) / 12,
  BQ156 * (1 + Inputs!$C$36)
)</f>
        <v>#N/A</v>
      </c>
      <c r="BS156" s="29" t="e">
        <f>IF(
  NOT(ISBLANK(HLOOKUP(BS$7, Inputs!$T$66:$X$67, 2, FALSE))),
  HLOOKUP(BS$7, Inputs!$T$66:$X$67, 2, FALSE) / 12,
  BR156 * (1 + Inputs!$C$36)
)</f>
        <v>#N/A</v>
      </c>
      <c r="BT156" s="29" t="e">
        <f>IF(
  NOT(ISBLANK(HLOOKUP(BT$7, Inputs!$T$66:$X$67, 2, FALSE))),
  HLOOKUP(BT$7, Inputs!$T$66:$X$67, 2, FALSE) / 12,
  BS156 * (1 + Inputs!$C$36)
)</f>
        <v>#N/A</v>
      </c>
      <c r="BU156" s="29" t="e">
        <f>IF(
  NOT(ISBLANK(HLOOKUP(BU$7, Inputs!$T$66:$X$67, 2, FALSE))),
  HLOOKUP(BU$7, Inputs!$T$66:$X$67, 2, FALSE) / 12,
  BT156 * (1 + Inputs!$C$36)
)</f>
        <v>#N/A</v>
      </c>
      <c r="BW156" s="29">
        <f t="shared" ref="BW156:CA156" si="215">SUMIF($J$6:$BU$6,BW$9,$J156:$BU156)</f>
        <v>127073.25</v>
      </c>
      <c r="BX156" s="29">
        <f t="shared" si="215"/>
        <v>169431</v>
      </c>
      <c r="BY156" s="29">
        <f t="shared" si="215"/>
        <v>180858.10497577218</v>
      </c>
      <c r="BZ156" s="29">
        <f t="shared" si="215"/>
        <v>203795.43958893543</v>
      </c>
      <c r="CA156" s="29">
        <f t="shared" si="215"/>
        <v>229641.80235556018</v>
      </c>
      <c r="CB156" s="29">
        <f>CA156*(1+Inputs!$C$34)</f>
        <v>238827.4744497826</v>
      </c>
      <c r="CC156" s="29">
        <f>CB156*(1+Inputs!$C$34)</f>
        <v>248380.57342777392</v>
      </c>
      <c r="CD156" s="29">
        <f>CC156*(1+Inputs!$C$34)</f>
        <v>258315.79636488488</v>
      </c>
      <c r="CE156" s="29">
        <f>CD156*(1+Inputs!$C$34)</f>
        <v>268648.42821948027</v>
      </c>
      <c r="CF156" s="29">
        <f>CE156*(1+Inputs!$C$34)</f>
        <v>279394.36534825951</v>
      </c>
      <c r="CG156" s="29">
        <f>CF156*(1+Inputs!$C$34)</f>
        <v>290570.13996218989</v>
      </c>
      <c r="CH156" s="29">
        <f>CG156*(1+Inputs!$C$34)</f>
        <v>302192.9455606775</v>
      </c>
      <c r="CI156" s="29">
        <f>CH156*(1+Inputs!$C$34)</f>
        <v>314280.66338310461</v>
      </c>
      <c r="CJ156" s="29">
        <f>CI156*(1+Inputs!$C$34)</f>
        <v>326851.88991842879</v>
      </c>
      <c r="CK156" s="29">
        <f>CJ156*(1+Inputs!$C$34)</f>
        <v>339925.96551516594</v>
      </c>
    </row>
    <row r="157" spans="1:109" ht="14.25" customHeight="1" x14ac:dyDescent="0.2">
      <c r="A157" s="11">
        <f t="shared" si="58"/>
        <v>0</v>
      </c>
      <c r="B157" s="56">
        <f t="shared" si="214"/>
        <v>6280</v>
      </c>
      <c r="D157" s="56"/>
      <c r="F157" s="263">
        <v>6280</v>
      </c>
      <c r="G157" s="17" t="s">
        <v>266</v>
      </c>
      <c r="H157" s="158">
        <f>VLOOKUP($F157,Inputs!$L:$Q,6,FALSE)</f>
        <v>0.27</v>
      </c>
      <c r="I157" s="236"/>
      <c r="J157" s="237">
        <f>IF(Inputs!$P$72&gt;0,Inputs!$P$72/12,($H157*$F$3)/12+Inputs!$P$71)</f>
        <v>2380.6575000000003</v>
      </c>
      <c r="K157" s="237">
        <f>IF(Inputs!$P$72&gt;0,Inputs!$P$72/12,($H157*$F$3)/12+Inputs!$P$71)</f>
        <v>2380.6575000000003</v>
      </c>
      <c r="L157" s="237">
        <f>IF(Inputs!$P$72&gt;0,Inputs!$P$72/12,($H157*$F$3)/12+Inputs!$P$71)</f>
        <v>2380.6575000000003</v>
      </c>
      <c r="M157" s="237">
        <f>IF(Inputs!$P$72&gt;0,Inputs!$P$72/12,($H157*$F$3)/12+Inputs!$P$71)</f>
        <v>2380.6575000000003</v>
      </c>
      <c r="N157" s="237">
        <f>IF(Inputs!$P$72&gt;0,Inputs!$P$72/12,($H157*$F$3)/12+Inputs!$P$71)</f>
        <v>2380.6575000000003</v>
      </c>
      <c r="O157" s="237">
        <f>IF(Inputs!$P$72&gt;0,Inputs!$P$72/12,($H157*$F$3)/12+Inputs!$P$71)</f>
        <v>2380.6575000000003</v>
      </c>
      <c r="P157" s="237">
        <f>IF(Inputs!$P$72&gt;0,Inputs!$P$72/12,($H157*$F$3)/12+Inputs!$P$71)</f>
        <v>2380.6575000000003</v>
      </c>
      <c r="Q157" s="237">
        <f>IF(Inputs!$P$72&gt;0,Inputs!$P$72/12,($H157*$F$3)/12+Inputs!$P$71)</f>
        <v>2380.6575000000003</v>
      </c>
      <c r="R157" s="237">
        <f>IF(Inputs!$P$72&gt;0,Inputs!$P$72/12,($H157*$F$3)/12+Inputs!$P$71)</f>
        <v>2380.6575000000003</v>
      </c>
      <c r="S157" s="237">
        <f>IF(Inputs!$P$72&gt;0,Inputs!$P$72/12,($H157*$F$3)/12+Inputs!$P$71)</f>
        <v>2380.6575000000003</v>
      </c>
      <c r="T157" s="237">
        <f>IF(Inputs!$P$72&gt;0,Inputs!$P$72/12,($H157*$F$3)/12+Inputs!$P$71)</f>
        <v>2380.6575000000003</v>
      </c>
      <c r="U157" s="238">
        <f>IF(Inputs!$P$72&gt;0,Inputs!$P$72/12,($H157*$F$3)/12+Inputs!$P$71)</f>
        <v>2380.6575000000003</v>
      </c>
      <c r="V157" s="237">
        <f>J157*(1+Inputs!$C$35)</f>
        <v>2440.1739375000002</v>
      </c>
      <c r="W157" s="237">
        <f>K157*(1+Inputs!$C$35)</f>
        <v>2440.1739375000002</v>
      </c>
      <c r="X157" s="237">
        <f>L157*(1+Inputs!$C$35)</f>
        <v>2440.1739375000002</v>
      </c>
      <c r="Y157" s="237">
        <f>M157*(1+Inputs!$C$35)</f>
        <v>2440.1739375000002</v>
      </c>
      <c r="Z157" s="237">
        <f>N157*(1+Inputs!$C$35)</f>
        <v>2440.1739375000002</v>
      </c>
      <c r="AA157" s="237">
        <f>O157*(1+Inputs!$C$35)</f>
        <v>2440.1739375000002</v>
      </c>
      <c r="AB157" s="237">
        <f>P157*(1+Inputs!$C$35)</f>
        <v>2440.1739375000002</v>
      </c>
      <c r="AC157" s="237">
        <f>Q157*(1+Inputs!$C$35)</f>
        <v>2440.1739375000002</v>
      </c>
      <c r="AD157" s="237">
        <f>R157*(1+Inputs!$C$35)</f>
        <v>2440.1739375000002</v>
      </c>
      <c r="AE157" s="237">
        <f>S157*(1+Inputs!$C$35)</f>
        <v>2440.1739375000002</v>
      </c>
      <c r="AF157" s="237">
        <f>T157*(1+Inputs!$C$35)</f>
        <v>2440.1739375000002</v>
      </c>
      <c r="AG157" s="238">
        <f>U157*(1+Inputs!$C$35)</f>
        <v>2440.1739375000002</v>
      </c>
      <c r="AH157" s="237">
        <f>V157*(1+Inputs!$C$35)</f>
        <v>2501.1782859374998</v>
      </c>
      <c r="AI157" s="237">
        <f>W157*(1+Inputs!$C$35)</f>
        <v>2501.1782859374998</v>
      </c>
      <c r="AJ157" s="237">
        <f>X157*(1+Inputs!$C$35)</f>
        <v>2501.1782859374998</v>
      </c>
      <c r="AK157" s="237">
        <f>Y157*(1+Inputs!$C$35)</f>
        <v>2501.1782859374998</v>
      </c>
      <c r="AL157" s="237">
        <f>Z157*(1+Inputs!$C$35)</f>
        <v>2501.1782859374998</v>
      </c>
      <c r="AM157" s="237">
        <f>AA157*(1+Inputs!$C$35)</f>
        <v>2501.1782859374998</v>
      </c>
      <c r="AN157" s="237">
        <f>AB157*(1+Inputs!$C$35)</f>
        <v>2501.1782859374998</v>
      </c>
      <c r="AO157" s="237">
        <f>AC157*(1+Inputs!$C$35)</f>
        <v>2501.1782859374998</v>
      </c>
      <c r="AP157" s="237">
        <f>AD157*(1+Inputs!$C$35)</f>
        <v>2501.1782859374998</v>
      </c>
      <c r="AQ157" s="237">
        <f>AE157*(1+Inputs!$C$35)</f>
        <v>2501.1782859374998</v>
      </c>
      <c r="AR157" s="237">
        <f>AF157*(1+Inputs!$C$35)</f>
        <v>2501.1782859374998</v>
      </c>
      <c r="AS157" s="238">
        <f>AG157*(1+Inputs!$C$35)</f>
        <v>2501.1782859374998</v>
      </c>
      <c r="AT157" s="237">
        <f>AH157*(1+Inputs!$C$35)</f>
        <v>2563.7077430859372</v>
      </c>
      <c r="AU157" s="237">
        <f>AI157*(1+Inputs!$C$35)</f>
        <v>2563.7077430859372</v>
      </c>
      <c r="AV157" s="237">
        <f>AJ157*(1+Inputs!$C$35)</f>
        <v>2563.7077430859372</v>
      </c>
      <c r="AW157" s="237">
        <f>AK157*(1+Inputs!$C$35)</f>
        <v>2563.7077430859372</v>
      </c>
      <c r="AX157" s="237">
        <f>AL157*(1+Inputs!$C$35)</f>
        <v>2563.7077430859372</v>
      </c>
      <c r="AY157" s="237">
        <f>AM157*(1+Inputs!$C$35)</f>
        <v>2563.7077430859372</v>
      </c>
      <c r="AZ157" s="237">
        <f>AN157*(1+Inputs!$C$35)</f>
        <v>2563.7077430859372</v>
      </c>
      <c r="BA157" s="237">
        <f>AO157*(1+Inputs!$C$35)</f>
        <v>2563.7077430859372</v>
      </c>
      <c r="BB157" s="237">
        <f>AP157*(1+Inputs!$C$35)</f>
        <v>2563.7077430859372</v>
      </c>
      <c r="BC157" s="237">
        <f>AQ157*(1+Inputs!$C$35)</f>
        <v>2563.7077430859372</v>
      </c>
      <c r="BD157" s="237">
        <f>AR157*(1+Inputs!$C$35)</f>
        <v>2563.7077430859372</v>
      </c>
      <c r="BE157" s="238">
        <f>AS157*(1+Inputs!$C$35)</f>
        <v>2563.7077430859372</v>
      </c>
      <c r="BF157" s="237">
        <f>AT157*(1+Inputs!$C$35)</f>
        <v>2627.8004366630853</v>
      </c>
      <c r="BG157" s="237">
        <f>AU157*(1+Inputs!$C$35)</f>
        <v>2627.8004366630853</v>
      </c>
      <c r="BH157" s="237">
        <f>AV157*(1+Inputs!$C$35)</f>
        <v>2627.8004366630853</v>
      </c>
      <c r="BI157" s="237">
        <f>AW157*(1+Inputs!$C$35)</f>
        <v>2627.8004366630853</v>
      </c>
      <c r="BJ157" s="237">
        <f>AX157*(1+Inputs!$C$35)</f>
        <v>2627.8004366630853</v>
      </c>
      <c r="BK157" s="237">
        <f>AY157*(1+Inputs!$C$35)</f>
        <v>2627.8004366630853</v>
      </c>
      <c r="BL157" s="237">
        <f>AZ157*(1+Inputs!$C$35)</f>
        <v>2627.8004366630853</v>
      </c>
      <c r="BM157" s="237">
        <f>BA157*(1+Inputs!$C$35)</f>
        <v>2627.8004366630853</v>
      </c>
      <c r="BN157" s="237">
        <f>BB157*(1+Inputs!$C$35)</f>
        <v>2627.8004366630853</v>
      </c>
      <c r="BO157" s="237">
        <f>BC157*(1+Inputs!$C$35)</f>
        <v>2627.8004366630853</v>
      </c>
      <c r="BP157" s="237">
        <f>BD157*(1+Inputs!$C$35)</f>
        <v>2627.8004366630853</v>
      </c>
      <c r="BQ157" s="237">
        <f>BE157*(1+Inputs!$C$35)</f>
        <v>2627.8004366630853</v>
      </c>
      <c r="BR157" s="237">
        <f>BF157*(1+Inputs!$C$35)</f>
        <v>2693.4954475796621</v>
      </c>
      <c r="BS157" s="237">
        <f>BG157*(1+Inputs!$C$35)</f>
        <v>2693.4954475796621</v>
      </c>
      <c r="BT157" s="237">
        <f>BH157*(1+Inputs!$C$35)</f>
        <v>2693.4954475796621</v>
      </c>
      <c r="BU157" s="237">
        <f>BI157*(1+Inputs!$C$35)</f>
        <v>2693.4954475796621</v>
      </c>
      <c r="BW157" s="237">
        <f t="shared" ref="BW157:CA157" si="216">SUMIF($J$6:$BU$6,BW$9,$J157:$BU157)</f>
        <v>28567.89000000001</v>
      </c>
      <c r="BX157" s="237">
        <f t="shared" si="216"/>
        <v>29282.08725</v>
      </c>
      <c r="BY157" s="237">
        <f t="shared" si="216"/>
        <v>30014.139431250005</v>
      </c>
      <c r="BZ157" s="237">
        <f t="shared" si="216"/>
        <v>30764.492917031239</v>
      </c>
      <c r="CA157" s="237">
        <f t="shared" si="216"/>
        <v>31533.605239957022</v>
      </c>
      <c r="CB157" s="237">
        <f>CA157*(1+Inputs!$C$36)</f>
        <v>31848.941292356591</v>
      </c>
      <c r="CC157" s="237">
        <f>CB157*(1+Inputs!$C$36)</f>
        <v>32167.430705280156</v>
      </c>
      <c r="CD157" s="237">
        <f>CC157*(1+Inputs!$C$36)</f>
        <v>32489.105012332959</v>
      </c>
      <c r="CE157" s="237">
        <f>CD157*(1+Inputs!$C$36)</f>
        <v>32813.996062456288</v>
      </c>
      <c r="CF157" s="237">
        <f>CE157*(1+Inputs!$C$36)</f>
        <v>33142.13602308085</v>
      </c>
      <c r="CG157" s="237">
        <f>CF157*(1+Inputs!$C$36)</f>
        <v>33473.557383311658</v>
      </c>
      <c r="CH157" s="237">
        <f>CG157*(1+Inputs!$C$36)</f>
        <v>33808.292957144775</v>
      </c>
      <c r="CI157" s="237">
        <f>CH157*(1+Inputs!$C$36)</f>
        <v>34146.375886716225</v>
      </c>
      <c r="CJ157" s="237">
        <f>CI157*(1+Inputs!$C$36)</f>
        <v>34487.839645583386</v>
      </c>
      <c r="CK157" s="237">
        <f>CJ157*(1+Inputs!$C$36)</f>
        <v>34832.718042039218</v>
      </c>
    </row>
    <row r="158" spans="1:109" ht="14.25" customHeight="1" x14ac:dyDescent="0.2">
      <c r="A158" s="283">
        <f t="shared" si="58"/>
        <v>0</v>
      </c>
      <c r="B158" s="284" t="s">
        <v>381</v>
      </c>
      <c r="C158" s="285"/>
      <c r="D158" s="284"/>
      <c r="E158" s="286"/>
      <c r="F158" s="287" t="s">
        <v>382</v>
      </c>
      <c r="G158" s="286"/>
      <c r="H158" s="286"/>
      <c r="I158" s="298"/>
      <c r="J158" s="289">
        <f t="shared" ref="J158:BU158" si="217">SUM(J156:J157)</f>
        <v>12970.095000000001</v>
      </c>
      <c r="K158" s="289">
        <f t="shared" si="217"/>
        <v>12970.095000000001</v>
      </c>
      <c r="L158" s="289">
        <f t="shared" si="217"/>
        <v>12970.095000000001</v>
      </c>
      <c r="M158" s="289">
        <f t="shared" si="217"/>
        <v>12970.095000000001</v>
      </c>
      <c r="N158" s="289">
        <f t="shared" si="217"/>
        <v>12970.095000000001</v>
      </c>
      <c r="O158" s="289">
        <f t="shared" si="217"/>
        <v>12970.095000000001</v>
      </c>
      <c r="P158" s="289">
        <f t="shared" si="217"/>
        <v>12970.095000000001</v>
      </c>
      <c r="Q158" s="289">
        <f t="shared" si="217"/>
        <v>12970.095000000001</v>
      </c>
      <c r="R158" s="289">
        <f t="shared" si="217"/>
        <v>12970.095000000001</v>
      </c>
      <c r="S158" s="289">
        <f t="shared" si="217"/>
        <v>12970.095000000001</v>
      </c>
      <c r="T158" s="289">
        <f t="shared" si="217"/>
        <v>12970.095000000001</v>
      </c>
      <c r="U158" s="290">
        <f t="shared" si="217"/>
        <v>12970.095000000001</v>
      </c>
      <c r="V158" s="289">
        <f t="shared" si="217"/>
        <v>16559.4239375</v>
      </c>
      <c r="W158" s="289">
        <f t="shared" si="217"/>
        <v>16559.4239375</v>
      </c>
      <c r="X158" s="289">
        <f t="shared" si="217"/>
        <v>16559.4239375</v>
      </c>
      <c r="Y158" s="289">
        <f t="shared" si="217"/>
        <v>16559.4239375</v>
      </c>
      <c r="Z158" s="289">
        <f t="shared" si="217"/>
        <v>16559.4239375</v>
      </c>
      <c r="AA158" s="289">
        <f t="shared" si="217"/>
        <v>16559.4239375</v>
      </c>
      <c r="AB158" s="289">
        <f t="shared" si="217"/>
        <v>16559.4239375</v>
      </c>
      <c r="AC158" s="289">
        <f t="shared" si="217"/>
        <v>16559.4239375</v>
      </c>
      <c r="AD158" s="289">
        <f t="shared" si="217"/>
        <v>16559.4239375</v>
      </c>
      <c r="AE158" s="289">
        <f t="shared" si="217"/>
        <v>16559.4239375</v>
      </c>
      <c r="AF158" s="289">
        <f t="shared" si="217"/>
        <v>16559.4239375</v>
      </c>
      <c r="AG158" s="290">
        <f t="shared" si="217"/>
        <v>16559.4239375</v>
      </c>
      <c r="AH158" s="289">
        <f t="shared" si="217"/>
        <v>16761.620785937499</v>
      </c>
      <c r="AI158" s="289">
        <f t="shared" si="217"/>
        <v>16904.2252109375</v>
      </c>
      <c r="AJ158" s="289">
        <f t="shared" si="217"/>
        <v>17048.2556801875</v>
      </c>
      <c r="AK158" s="289">
        <f t="shared" si="217"/>
        <v>17193.726454129999</v>
      </c>
      <c r="AL158" s="289">
        <f t="shared" si="217"/>
        <v>17340.651935811926</v>
      </c>
      <c r="AM158" s="289">
        <f t="shared" si="217"/>
        <v>17489.046672310669</v>
      </c>
      <c r="AN158" s="289">
        <f t="shared" si="217"/>
        <v>17638.925356174401</v>
      </c>
      <c r="AO158" s="289">
        <f t="shared" si="217"/>
        <v>17790.30282687677</v>
      </c>
      <c r="AP158" s="289">
        <f t="shared" si="217"/>
        <v>17943.194072286162</v>
      </c>
      <c r="AQ158" s="289">
        <f t="shared" si="217"/>
        <v>18097.614230149651</v>
      </c>
      <c r="AR158" s="289">
        <f t="shared" si="217"/>
        <v>18253.578589591772</v>
      </c>
      <c r="AS158" s="290">
        <f t="shared" si="217"/>
        <v>18411.102592628315</v>
      </c>
      <c r="AT158" s="289">
        <f t="shared" si="217"/>
        <v>18632.731292843659</v>
      </c>
      <c r="AU158" s="289">
        <f t="shared" si="217"/>
        <v>18793.421528341238</v>
      </c>
      <c r="AV158" s="289">
        <f t="shared" si="217"/>
        <v>18955.718666193789</v>
      </c>
      <c r="AW158" s="289">
        <f t="shared" si="217"/>
        <v>19119.638775424872</v>
      </c>
      <c r="AX158" s="289">
        <f t="shared" si="217"/>
        <v>19285.198085748256</v>
      </c>
      <c r="AY158" s="289">
        <f t="shared" si="217"/>
        <v>19452.412989174882</v>
      </c>
      <c r="AZ158" s="289">
        <f t="shared" si="217"/>
        <v>19621.300041635768</v>
      </c>
      <c r="BA158" s="289">
        <f t="shared" si="217"/>
        <v>19791.875964621271</v>
      </c>
      <c r="BB158" s="289">
        <f t="shared" si="217"/>
        <v>19964.157646836626</v>
      </c>
      <c r="BC158" s="289">
        <f t="shared" si="217"/>
        <v>20138.162145874128</v>
      </c>
      <c r="BD158" s="289">
        <f t="shared" si="217"/>
        <v>20313.906689902011</v>
      </c>
      <c r="BE158" s="290">
        <f t="shared" si="217"/>
        <v>20491.408679370172</v>
      </c>
      <c r="BF158" s="289">
        <f t="shared" si="217"/>
        <v>20734.778382310164</v>
      </c>
      <c r="BG158" s="289">
        <f t="shared" si="217"/>
        <v>20915.848161766633</v>
      </c>
      <c r="BH158" s="289">
        <f t="shared" si="217"/>
        <v>21098.728639017667</v>
      </c>
      <c r="BI158" s="289">
        <f t="shared" si="217"/>
        <v>21283.437921041212</v>
      </c>
      <c r="BJ158" s="289">
        <f t="shared" si="217"/>
        <v>21469.994295884993</v>
      </c>
      <c r="BK158" s="289">
        <f t="shared" si="217"/>
        <v>21658.416234477212</v>
      </c>
      <c r="BL158" s="289">
        <f t="shared" si="217"/>
        <v>21848.722392455355</v>
      </c>
      <c r="BM158" s="289">
        <f t="shared" si="217"/>
        <v>22040.931612013279</v>
      </c>
      <c r="BN158" s="289">
        <f t="shared" si="217"/>
        <v>22235.062923766782</v>
      </c>
      <c r="BO158" s="289">
        <f t="shared" si="217"/>
        <v>22431.13554863782</v>
      </c>
      <c r="BP158" s="289">
        <f t="shared" si="217"/>
        <v>22629.168899757566</v>
      </c>
      <c r="BQ158" s="289">
        <f t="shared" si="217"/>
        <v>22829.182584388509</v>
      </c>
      <c r="BR158" s="289" t="e">
        <f t="shared" si="217"/>
        <v>#N/A</v>
      </c>
      <c r="BS158" s="289" t="e">
        <f t="shared" si="217"/>
        <v>#N/A</v>
      </c>
      <c r="BT158" s="289" t="e">
        <f t="shared" si="217"/>
        <v>#N/A</v>
      </c>
      <c r="BU158" s="289" t="e">
        <f t="shared" si="217"/>
        <v>#N/A</v>
      </c>
      <c r="BV158" s="285"/>
      <c r="BW158" s="289">
        <f t="shared" ref="BW158:CK158" si="218">SUM(BW156:BW157)</f>
        <v>155641.14000000001</v>
      </c>
      <c r="BX158" s="289">
        <f t="shared" si="218"/>
        <v>198713.08725000001</v>
      </c>
      <c r="BY158" s="289">
        <f t="shared" si="218"/>
        <v>210872.2444070222</v>
      </c>
      <c r="BZ158" s="289">
        <f t="shared" si="218"/>
        <v>234559.93250596669</v>
      </c>
      <c r="CA158" s="289">
        <f t="shared" si="218"/>
        <v>261175.4075955172</v>
      </c>
      <c r="CB158" s="289">
        <f t="shared" si="218"/>
        <v>270676.41574213922</v>
      </c>
      <c r="CC158" s="289">
        <f t="shared" si="218"/>
        <v>280548.00413305406</v>
      </c>
      <c r="CD158" s="289">
        <f t="shared" si="218"/>
        <v>290804.90137721784</v>
      </c>
      <c r="CE158" s="289">
        <f t="shared" si="218"/>
        <v>301462.42428193655</v>
      </c>
      <c r="CF158" s="289">
        <f t="shared" si="218"/>
        <v>312536.50137134036</v>
      </c>
      <c r="CG158" s="289">
        <f t="shared" si="218"/>
        <v>324043.69734550157</v>
      </c>
      <c r="CH158" s="289">
        <f t="shared" si="218"/>
        <v>336001.23851782229</v>
      </c>
      <c r="CI158" s="289">
        <f t="shared" si="218"/>
        <v>348427.03926982085</v>
      </c>
      <c r="CJ158" s="289">
        <f t="shared" si="218"/>
        <v>361339.72956401214</v>
      </c>
      <c r="CK158" s="289">
        <f t="shared" si="218"/>
        <v>374758.68355720514</v>
      </c>
      <c r="CL158" s="285"/>
      <c r="CM158" s="285"/>
      <c r="CN158" s="285"/>
      <c r="CO158" s="285"/>
      <c r="CP158" s="285"/>
      <c r="CQ158" s="285"/>
      <c r="CR158" s="285"/>
      <c r="CS158" s="285"/>
      <c r="CT158" s="285"/>
      <c r="CU158" s="285"/>
      <c r="CV158" s="285"/>
      <c r="CW158" s="285"/>
      <c r="CX158" s="285"/>
      <c r="CY158" s="285"/>
      <c r="CZ158" s="285"/>
      <c r="DA158" s="285"/>
      <c r="DB158" s="285"/>
      <c r="DC158" s="285"/>
      <c r="DD158" s="285"/>
      <c r="DE158" s="285"/>
    </row>
    <row r="159" spans="1:109" ht="8.25" customHeight="1" x14ac:dyDescent="0.2">
      <c r="A159" s="11">
        <f t="shared" si="58"/>
        <v>0</v>
      </c>
      <c r="B159" s="249"/>
      <c r="D159" s="249"/>
      <c r="E159" s="3"/>
      <c r="F159" s="249"/>
      <c r="I159" s="1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3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3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3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3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</row>
    <row r="160" spans="1:109" ht="14.25" customHeight="1" x14ac:dyDescent="0.2">
      <c r="A160" s="11">
        <f t="shared" si="58"/>
        <v>0</v>
      </c>
      <c r="B160" s="56"/>
      <c r="F160" s="3" t="s">
        <v>383</v>
      </c>
      <c r="I160" s="1"/>
      <c r="U160" s="203"/>
      <c r="AG160" s="203"/>
      <c r="AS160" s="203"/>
      <c r="BE160" s="203"/>
    </row>
    <row r="161" spans="1:109" ht="14.25" customHeight="1" x14ac:dyDescent="0.2">
      <c r="A161" s="11">
        <f t="shared" si="58"/>
        <v>0</v>
      </c>
      <c r="B161" s="56">
        <v>6172</v>
      </c>
      <c r="D161" s="56"/>
      <c r="F161" s="56">
        <v>6172</v>
      </c>
      <c r="G161" s="11" t="s">
        <v>260</v>
      </c>
      <c r="H161" s="75">
        <f>VLOOKUP($F161,Inputs!$L:$Q,6,FALSE)</f>
        <v>0.11</v>
      </c>
      <c r="I161" s="1"/>
      <c r="J161" s="29">
        <f>($H161*$F$3)*VLOOKUP(MONTH(J$9),Modeling!$B$19:$F$31,4,FALSE)</f>
        <v>2909.6925000000001</v>
      </c>
      <c r="K161" s="29">
        <f>($H161*$F$3)*VLOOKUP(MONTH(K$9),Modeling!$B$19:$F$31,4,FALSE)</f>
        <v>4655.5080000000007</v>
      </c>
      <c r="L161" s="29">
        <f>($H161*$F$3)*VLOOKUP(MONTH(L$9),Modeling!$B$19:$F$31,4,FALSE)</f>
        <v>2909.6925000000001</v>
      </c>
      <c r="M161" s="29">
        <f>($H161*$F$3)*VLOOKUP(MONTH(M$9),Modeling!$B$19:$F$31,4,FALSE)</f>
        <v>0</v>
      </c>
      <c r="N161" s="29">
        <f>($H161*$F$3)*VLOOKUP(MONTH(N$9),Modeling!$B$19:$F$31,4,FALSE)</f>
        <v>0</v>
      </c>
      <c r="O161" s="29">
        <f>($H161*$F$3)*VLOOKUP(MONTH(O$9),Modeling!$B$19:$F$31,4,FALSE)</f>
        <v>0</v>
      </c>
      <c r="P161" s="29">
        <f>($H161*$F$3)*VLOOKUP(MONTH(P$9),Modeling!$B$19:$F$31,4,FALSE)</f>
        <v>0</v>
      </c>
      <c r="Q161" s="29">
        <f>($H161*$F$3)*VLOOKUP(MONTH(Q$9),Modeling!$B$19:$F$31,4,FALSE)</f>
        <v>0</v>
      </c>
      <c r="R161" s="29">
        <f>($H161*$F$3)*VLOOKUP(MONTH(R$9),Modeling!$B$19:$F$31,4,FALSE)</f>
        <v>0</v>
      </c>
      <c r="S161" s="29">
        <f>($H161*$F$3)*VLOOKUP(MONTH(S$9),Modeling!$B$19:$F$31,4,FALSE)</f>
        <v>0</v>
      </c>
      <c r="T161" s="29">
        <f>($H161*$F$3)*VLOOKUP(MONTH(T$9),Modeling!$B$19:$F$31,4,FALSE)</f>
        <v>0</v>
      </c>
      <c r="U161" s="239">
        <f>($H161*$F$3)*VLOOKUP(MONTH(U$9),Modeling!$B$19:$F$31,4,FALSE)</f>
        <v>1163.8770000000002</v>
      </c>
      <c r="V161" s="29">
        <f>J161*(1+Inputs!$C$35)</f>
        <v>2982.4348124999997</v>
      </c>
      <c r="W161" s="29">
        <f>K161*(1+Inputs!$C$35)</f>
        <v>4771.8957</v>
      </c>
      <c r="X161" s="29">
        <f>L161*(1+Inputs!$C$35)</f>
        <v>2982.4348124999997</v>
      </c>
      <c r="Y161" s="29">
        <f>M161*(1+Inputs!$C$35)</f>
        <v>0</v>
      </c>
      <c r="Z161" s="29">
        <f>N161*(1+Inputs!$C$35)</f>
        <v>0</v>
      </c>
      <c r="AA161" s="29">
        <f>O161*(1+Inputs!$C$35)</f>
        <v>0</v>
      </c>
      <c r="AB161" s="29">
        <f>P161*(1+Inputs!$C$35)</f>
        <v>0</v>
      </c>
      <c r="AC161" s="29">
        <f>Q161*(1+Inputs!$C$35)</f>
        <v>0</v>
      </c>
      <c r="AD161" s="29">
        <f>R161*(1+Inputs!$C$35)</f>
        <v>0</v>
      </c>
      <c r="AE161" s="29">
        <f>S161*(1+Inputs!$C$35)</f>
        <v>0</v>
      </c>
      <c r="AF161" s="29">
        <f>T161*(1+Inputs!$C$35)</f>
        <v>0</v>
      </c>
      <c r="AG161" s="239">
        <f>U161*(1+Inputs!$C$35)</f>
        <v>1192.973925</v>
      </c>
      <c r="AH161" s="29">
        <f>V161*(1+Inputs!$C$35)</f>
        <v>3056.9956828124996</v>
      </c>
      <c r="AI161" s="29">
        <f>W161*(1+Inputs!$C$35)</f>
        <v>4891.1930924999997</v>
      </c>
      <c r="AJ161" s="29">
        <f>X161*(1+Inputs!$C$35)</f>
        <v>3056.9956828124996</v>
      </c>
      <c r="AK161" s="29">
        <f>Y161*(1+Inputs!$C$35)</f>
        <v>0</v>
      </c>
      <c r="AL161" s="29">
        <f>Z161*(1+Inputs!$C$35)</f>
        <v>0</v>
      </c>
      <c r="AM161" s="29">
        <f>AA161*(1+Inputs!$C$35)</f>
        <v>0</v>
      </c>
      <c r="AN161" s="29">
        <f>AB161*(1+Inputs!$C$35)</f>
        <v>0</v>
      </c>
      <c r="AO161" s="29">
        <f>AC161*(1+Inputs!$C$35)</f>
        <v>0</v>
      </c>
      <c r="AP161" s="29">
        <f>AD161*(1+Inputs!$C$35)</f>
        <v>0</v>
      </c>
      <c r="AQ161" s="29">
        <f>AE161*(1+Inputs!$C$35)</f>
        <v>0</v>
      </c>
      <c r="AR161" s="29">
        <f>AF161*(1+Inputs!$C$35)</f>
        <v>0</v>
      </c>
      <c r="AS161" s="239">
        <f>AG161*(1+Inputs!$C$35)</f>
        <v>1222.7982731249999</v>
      </c>
      <c r="AT161" s="29">
        <f>AH161*(1+Inputs!$C$35)</f>
        <v>3133.4205748828117</v>
      </c>
      <c r="AU161" s="29">
        <f>AI161*(1+Inputs!$C$35)</f>
        <v>5013.4729198124996</v>
      </c>
      <c r="AV161" s="29">
        <f>AJ161*(1+Inputs!$C$35)</f>
        <v>3133.4205748828117</v>
      </c>
      <c r="AW161" s="29">
        <f>AK161*(1+Inputs!$C$35)</f>
        <v>0</v>
      </c>
      <c r="AX161" s="29">
        <f>AL161*(1+Inputs!$C$35)</f>
        <v>0</v>
      </c>
      <c r="AY161" s="29">
        <f>AM161*(1+Inputs!$C$35)</f>
        <v>0</v>
      </c>
      <c r="AZ161" s="29">
        <f>AN161*(1+Inputs!$C$35)</f>
        <v>0</v>
      </c>
      <c r="BA161" s="29">
        <f>AO161*(1+Inputs!$C$35)</f>
        <v>0</v>
      </c>
      <c r="BB161" s="29">
        <f>AP161*(1+Inputs!$C$35)</f>
        <v>0</v>
      </c>
      <c r="BC161" s="29">
        <f>AQ161*(1+Inputs!$C$35)</f>
        <v>0</v>
      </c>
      <c r="BD161" s="29">
        <f>AR161*(1+Inputs!$C$35)</f>
        <v>0</v>
      </c>
      <c r="BE161" s="239">
        <f>AS161*(1+Inputs!$C$35)</f>
        <v>1253.3682299531249</v>
      </c>
      <c r="BF161" s="29">
        <f>AT161*(1+Inputs!$C$35)</f>
        <v>3211.7560892548818</v>
      </c>
      <c r="BG161" s="29">
        <f>AU161*(1+Inputs!$C$35)</f>
        <v>5138.8097428078117</v>
      </c>
      <c r="BH161" s="29">
        <f>AV161*(1+Inputs!$C$35)</f>
        <v>3211.7560892548818</v>
      </c>
      <c r="BI161" s="29">
        <f>AW161*(1+Inputs!$C$35)</f>
        <v>0</v>
      </c>
      <c r="BJ161" s="29">
        <f>AX161*(1+Inputs!$C$35)</f>
        <v>0</v>
      </c>
      <c r="BK161" s="29">
        <f>AY161*(1+Inputs!$C$35)</f>
        <v>0</v>
      </c>
      <c r="BL161" s="29">
        <f>AZ161*(1+Inputs!$C$35)</f>
        <v>0</v>
      </c>
      <c r="BM161" s="29">
        <f>BA161*(1+Inputs!$C$35)</f>
        <v>0</v>
      </c>
      <c r="BN161" s="29">
        <f>BB161*(1+Inputs!$C$35)</f>
        <v>0</v>
      </c>
      <c r="BO161" s="29">
        <f>BC161*(1+Inputs!$C$35)</f>
        <v>0</v>
      </c>
      <c r="BP161" s="29">
        <f>BD161*(1+Inputs!$C$35)</f>
        <v>0</v>
      </c>
      <c r="BQ161" s="29">
        <f>BE161*(1+Inputs!$C$35)</f>
        <v>1284.7024357019529</v>
      </c>
      <c r="BR161" s="29">
        <f>BF161*(1+Inputs!$C$35)</f>
        <v>3292.0499914862535</v>
      </c>
      <c r="BS161" s="29">
        <f>BG161*(1+Inputs!$C$35)</f>
        <v>5267.2799863780065</v>
      </c>
      <c r="BT161" s="29">
        <f>BH161*(1+Inputs!$C$35)</f>
        <v>3292.0499914862535</v>
      </c>
      <c r="BU161" s="29">
        <f>BI161*(1+Inputs!$C$35)</f>
        <v>0</v>
      </c>
      <c r="BW161" s="29">
        <f t="shared" ref="BW161:CA161" si="219">SUMIF($J$6:$BU$6,BW$9,$J161:$BU161)</f>
        <v>11638.77</v>
      </c>
      <c r="BX161" s="29">
        <f t="shared" si="219"/>
        <v>11929.739250000001</v>
      </c>
      <c r="BY161" s="29">
        <f t="shared" si="219"/>
        <v>12227.982731249998</v>
      </c>
      <c r="BZ161" s="29">
        <f t="shared" si="219"/>
        <v>12533.682299531247</v>
      </c>
      <c r="CA161" s="29">
        <f t="shared" si="219"/>
        <v>12847.024357019529</v>
      </c>
      <c r="CB161" s="29">
        <f>CA161*(1+Inputs!$C$35)</f>
        <v>13168.199965945016</v>
      </c>
      <c r="CC161" s="29">
        <f>CB161*(1+Inputs!$C$35)</f>
        <v>13497.404965093639</v>
      </c>
      <c r="CD161" s="29">
        <f>CC161*(1+Inputs!$C$35)</f>
        <v>13834.840089220979</v>
      </c>
      <c r="CE161" s="29">
        <f>CD161*(1+Inputs!$C$35)</f>
        <v>14180.711091451503</v>
      </c>
      <c r="CF161" s="29">
        <f>CE161*(1+Inputs!$C$35)</f>
        <v>14535.22886873779</v>
      </c>
      <c r="CG161" s="29">
        <f>CF161*(1+Inputs!$C$35)</f>
        <v>14898.609590456233</v>
      </c>
      <c r="CH161" s="29">
        <f>CG161*(1+Inputs!$C$35)</f>
        <v>15271.074830217638</v>
      </c>
      <c r="CI161" s="29">
        <f>CH161*(1+Inputs!$C$35)</f>
        <v>15652.851700973077</v>
      </c>
      <c r="CJ161" s="29">
        <f>CI161*(1+Inputs!$C$35)</f>
        <v>16044.172993497403</v>
      </c>
      <c r="CK161" s="29">
        <f>CJ161*(1+Inputs!$C$35)</f>
        <v>16445.277318334836</v>
      </c>
    </row>
    <row r="162" spans="1:109" ht="14.25" customHeight="1" x14ac:dyDescent="0.2">
      <c r="A162" s="11">
        <f t="shared" si="58"/>
        <v>0</v>
      </c>
      <c r="B162" s="56">
        <f t="shared" ref="B162:B164" si="220">F162</f>
        <v>7500</v>
      </c>
      <c r="D162" s="56"/>
      <c r="F162" s="56">
        <v>7500</v>
      </c>
      <c r="G162" s="11" t="s">
        <v>281</v>
      </c>
      <c r="H162" s="35">
        <f>VLOOKUP($F162,Inputs!$L:$Q,6,FALSE)</f>
        <v>0</v>
      </c>
      <c r="I162" s="1"/>
      <c r="J162" s="29">
        <f t="shared" ref="J162:U162" si="221">$H162</f>
        <v>0</v>
      </c>
      <c r="K162" s="29">
        <f t="shared" si="221"/>
        <v>0</v>
      </c>
      <c r="L162" s="29">
        <f t="shared" si="221"/>
        <v>0</v>
      </c>
      <c r="M162" s="29">
        <f t="shared" si="221"/>
        <v>0</v>
      </c>
      <c r="N162" s="29">
        <f t="shared" si="221"/>
        <v>0</v>
      </c>
      <c r="O162" s="29">
        <f t="shared" si="221"/>
        <v>0</v>
      </c>
      <c r="P162" s="29">
        <f t="shared" si="221"/>
        <v>0</v>
      </c>
      <c r="Q162" s="29">
        <f t="shared" si="221"/>
        <v>0</v>
      </c>
      <c r="R162" s="29">
        <f t="shared" si="221"/>
        <v>0</v>
      </c>
      <c r="S162" s="29">
        <f t="shared" si="221"/>
        <v>0</v>
      </c>
      <c r="T162" s="29">
        <f t="shared" si="221"/>
        <v>0</v>
      </c>
      <c r="U162" s="239">
        <f t="shared" si="221"/>
        <v>0</v>
      </c>
      <c r="V162" s="29">
        <f>J162*(1+Inputs!$C$35)</f>
        <v>0</v>
      </c>
      <c r="W162" s="29">
        <f>K162*(1+Inputs!$C$35)</f>
        <v>0</v>
      </c>
      <c r="X162" s="29">
        <f>L162*(1+Inputs!$C$35)</f>
        <v>0</v>
      </c>
      <c r="Y162" s="29">
        <f>M162*(1+Inputs!$C$35)</f>
        <v>0</v>
      </c>
      <c r="Z162" s="29">
        <f>N162*(1+Inputs!$C$35)</f>
        <v>0</v>
      </c>
      <c r="AA162" s="29">
        <f>O162*(1+Inputs!$C$35)</f>
        <v>0</v>
      </c>
      <c r="AB162" s="29">
        <f>P162*(1+Inputs!$C$35)</f>
        <v>0</v>
      </c>
      <c r="AC162" s="29">
        <f>Q162*(1+Inputs!$C$35)</f>
        <v>0</v>
      </c>
      <c r="AD162" s="29">
        <f>R162*(1+Inputs!$C$35)</f>
        <v>0</v>
      </c>
      <c r="AE162" s="29">
        <f>S162*(1+Inputs!$C$35)</f>
        <v>0</v>
      </c>
      <c r="AF162" s="29">
        <f>T162*(1+Inputs!$C$35)</f>
        <v>0</v>
      </c>
      <c r="AG162" s="239">
        <f>U162*(1+Inputs!$C$35)</f>
        <v>0</v>
      </c>
      <c r="AH162" s="29">
        <f>V162*(1+Inputs!$C$35)</f>
        <v>0</v>
      </c>
      <c r="AI162" s="29">
        <f>W162*(1+Inputs!$C$35)</f>
        <v>0</v>
      </c>
      <c r="AJ162" s="29">
        <f>X162*(1+Inputs!$C$35)</f>
        <v>0</v>
      </c>
      <c r="AK162" s="29">
        <f>Y162*(1+Inputs!$C$35)</f>
        <v>0</v>
      </c>
      <c r="AL162" s="29">
        <f>Z162*(1+Inputs!$C$35)</f>
        <v>0</v>
      </c>
      <c r="AM162" s="29">
        <f>AA162*(1+Inputs!$C$35)</f>
        <v>0</v>
      </c>
      <c r="AN162" s="29">
        <f>AB162*(1+Inputs!$C$35)</f>
        <v>0</v>
      </c>
      <c r="AO162" s="29">
        <f>AC162*(1+Inputs!$C$35)</f>
        <v>0</v>
      </c>
      <c r="AP162" s="29">
        <f>AD162*(1+Inputs!$C$35)</f>
        <v>0</v>
      </c>
      <c r="AQ162" s="29">
        <f>AE162*(1+Inputs!$C$35)</f>
        <v>0</v>
      </c>
      <c r="AR162" s="29">
        <f>AF162*(1+Inputs!$C$35)</f>
        <v>0</v>
      </c>
      <c r="AS162" s="239">
        <f>AG162*(1+Inputs!$C$35)</f>
        <v>0</v>
      </c>
      <c r="AT162" s="29">
        <f>AH162*(1+Inputs!$C$35)</f>
        <v>0</v>
      </c>
      <c r="AU162" s="29">
        <f>AI162*(1+Inputs!$C$35)</f>
        <v>0</v>
      </c>
      <c r="AV162" s="29">
        <f>AJ162*(1+Inputs!$C$35)</f>
        <v>0</v>
      </c>
      <c r="AW162" s="29">
        <f>AK162*(1+Inputs!$C$35)</f>
        <v>0</v>
      </c>
      <c r="AX162" s="29">
        <f>AL162*(1+Inputs!$C$35)</f>
        <v>0</v>
      </c>
      <c r="AY162" s="29">
        <f>AM162*(1+Inputs!$C$35)</f>
        <v>0</v>
      </c>
      <c r="AZ162" s="29">
        <f>AN162*(1+Inputs!$C$35)</f>
        <v>0</v>
      </c>
      <c r="BA162" s="29">
        <f>AO162*(1+Inputs!$C$35)</f>
        <v>0</v>
      </c>
      <c r="BB162" s="29">
        <f>AP162*(1+Inputs!$C$35)</f>
        <v>0</v>
      </c>
      <c r="BC162" s="29">
        <f>AQ162*(1+Inputs!$C$35)</f>
        <v>0</v>
      </c>
      <c r="BD162" s="29">
        <f>AR162*(1+Inputs!$C$35)</f>
        <v>0</v>
      </c>
      <c r="BE162" s="239">
        <f>AS162*(1+Inputs!$C$35)</f>
        <v>0</v>
      </c>
      <c r="BF162" s="29">
        <f>AT162*(1+Inputs!$C$35)</f>
        <v>0</v>
      </c>
      <c r="BG162" s="29">
        <f>AU162*(1+Inputs!$C$35)</f>
        <v>0</v>
      </c>
      <c r="BH162" s="29">
        <f>AV162*(1+Inputs!$C$35)</f>
        <v>0</v>
      </c>
      <c r="BI162" s="29">
        <f>AW162*(1+Inputs!$C$35)</f>
        <v>0</v>
      </c>
      <c r="BJ162" s="29">
        <f>AX162*(1+Inputs!$C$35)</f>
        <v>0</v>
      </c>
      <c r="BK162" s="29">
        <f>AY162*(1+Inputs!$C$35)</f>
        <v>0</v>
      </c>
      <c r="BL162" s="29">
        <f>AZ162*(1+Inputs!$C$35)</f>
        <v>0</v>
      </c>
      <c r="BM162" s="29">
        <f>BA162*(1+Inputs!$C$35)</f>
        <v>0</v>
      </c>
      <c r="BN162" s="29">
        <f>BB162*(1+Inputs!$C$35)</f>
        <v>0</v>
      </c>
      <c r="BO162" s="29">
        <f>BC162*(1+Inputs!$C$35)</f>
        <v>0</v>
      </c>
      <c r="BP162" s="29">
        <f>BD162*(1+Inputs!$C$35)</f>
        <v>0</v>
      </c>
      <c r="BQ162" s="29">
        <f>BE162*(1+Inputs!$C$35)</f>
        <v>0</v>
      </c>
      <c r="BR162" s="29">
        <f>BF162*(1+Inputs!$C$35)</f>
        <v>0</v>
      </c>
      <c r="BS162" s="29">
        <f>BG162*(1+Inputs!$C$35)</f>
        <v>0</v>
      </c>
      <c r="BT162" s="29">
        <f>BH162*(1+Inputs!$C$35)</f>
        <v>0</v>
      </c>
      <c r="BU162" s="29">
        <f>BI162*(1+Inputs!$C$35)</f>
        <v>0</v>
      </c>
      <c r="BW162" s="29">
        <f t="shared" ref="BW162:CA162" si="222">SUMIF($J$6:$BU$6,BW$9,$J162:$BU162)</f>
        <v>0</v>
      </c>
      <c r="BX162" s="29">
        <f t="shared" si="222"/>
        <v>0</v>
      </c>
      <c r="BY162" s="29">
        <f t="shared" si="222"/>
        <v>0</v>
      </c>
      <c r="BZ162" s="29">
        <f t="shared" si="222"/>
        <v>0</v>
      </c>
      <c r="CA162" s="29">
        <f t="shared" si="222"/>
        <v>0</v>
      </c>
      <c r="CB162" s="29">
        <f>CA162*(1+Inputs!$C$35)</f>
        <v>0</v>
      </c>
      <c r="CC162" s="29">
        <f>CB162*(1+Inputs!$C$35)</f>
        <v>0</v>
      </c>
      <c r="CD162" s="29">
        <f>CC162*(1+Inputs!$C$35)</f>
        <v>0</v>
      </c>
      <c r="CE162" s="29">
        <f>CD162*(1+Inputs!$C$35)</f>
        <v>0</v>
      </c>
      <c r="CF162" s="29">
        <f>CE162*(1+Inputs!$C$35)</f>
        <v>0</v>
      </c>
      <c r="CG162" s="29">
        <f>CF162*(1+Inputs!$C$35)</f>
        <v>0</v>
      </c>
      <c r="CH162" s="29">
        <f>CG162*(1+Inputs!$C$35)</f>
        <v>0</v>
      </c>
      <c r="CI162" s="29">
        <f>CH162*(1+Inputs!$C$35)</f>
        <v>0</v>
      </c>
      <c r="CJ162" s="29">
        <f>CI162*(1+Inputs!$C$35)</f>
        <v>0</v>
      </c>
      <c r="CK162" s="29">
        <f>CJ162*(1+Inputs!$C$35)</f>
        <v>0</v>
      </c>
    </row>
    <row r="163" spans="1:109" ht="14.25" customHeight="1" x14ac:dyDescent="0.2">
      <c r="A163" s="11">
        <f t="shared" si="58"/>
        <v>0</v>
      </c>
      <c r="B163" s="56">
        <f t="shared" si="220"/>
        <v>7530</v>
      </c>
      <c r="D163" s="56"/>
      <c r="F163" s="56">
        <v>7530</v>
      </c>
      <c r="G163" s="11" t="s">
        <v>283</v>
      </c>
      <c r="H163" s="35">
        <f>VLOOKUP($F163,Inputs!$L:$Q,6,FALSE)</f>
        <v>0</v>
      </c>
      <c r="I163" s="1"/>
      <c r="J163" s="29">
        <f t="shared" ref="J163:U163" si="223">$H163</f>
        <v>0</v>
      </c>
      <c r="K163" s="29">
        <f t="shared" si="223"/>
        <v>0</v>
      </c>
      <c r="L163" s="29">
        <f t="shared" si="223"/>
        <v>0</v>
      </c>
      <c r="M163" s="29">
        <f t="shared" si="223"/>
        <v>0</v>
      </c>
      <c r="N163" s="29">
        <f t="shared" si="223"/>
        <v>0</v>
      </c>
      <c r="O163" s="29">
        <f t="shared" si="223"/>
        <v>0</v>
      </c>
      <c r="P163" s="29">
        <f t="shared" si="223"/>
        <v>0</v>
      </c>
      <c r="Q163" s="29">
        <f t="shared" si="223"/>
        <v>0</v>
      </c>
      <c r="R163" s="29">
        <f t="shared" si="223"/>
        <v>0</v>
      </c>
      <c r="S163" s="29">
        <f t="shared" si="223"/>
        <v>0</v>
      </c>
      <c r="T163" s="29">
        <f t="shared" si="223"/>
        <v>0</v>
      </c>
      <c r="U163" s="239">
        <f t="shared" si="223"/>
        <v>0</v>
      </c>
      <c r="V163" s="29">
        <f>J163*(1+Inputs!$C$35)</f>
        <v>0</v>
      </c>
      <c r="W163" s="29">
        <f>K163*(1+Inputs!$C$35)</f>
        <v>0</v>
      </c>
      <c r="X163" s="29">
        <f>L163*(1+Inputs!$C$35)</f>
        <v>0</v>
      </c>
      <c r="Y163" s="29">
        <f>M163*(1+Inputs!$C$35)</f>
        <v>0</v>
      </c>
      <c r="Z163" s="29">
        <f>N163*(1+Inputs!$C$35)</f>
        <v>0</v>
      </c>
      <c r="AA163" s="29">
        <f>O163*(1+Inputs!$C$35)</f>
        <v>0</v>
      </c>
      <c r="AB163" s="29">
        <f>P163*(1+Inputs!$C$35)</f>
        <v>0</v>
      </c>
      <c r="AC163" s="29">
        <f>Q163*(1+Inputs!$C$35)</f>
        <v>0</v>
      </c>
      <c r="AD163" s="29">
        <f>R163*(1+Inputs!$C$35)</f>
        <v>0</v>
      </c>
      <c r="AE163" s="29">
        <f>S163*(1+Inputs!$C$35)</f>
        <v>0</v>
      </c>
      <c r="AF163" s="29">
        <f>T163*(1+Inputs!$C$35)</f>
        <v>0</v>
      </c>
      <c r="AG163" s="239">
        <f>U163*(1+Inputs!$C$35)</f>
        <v>0</v>
      </c>
      <c r="AH163" s="29">
        <f>V163*(1+Inputs!$C$35)</f>
        <v>0</v>
      </c>
      <c r="AI163" s="29">
        <f>W163*(1+Inputs!$C$35)</f>
        <v>0</v>
      </c>
      <c r="AJ163" s="29">
        <f>X163*(1+Inputs!$C$35)</f>
        <v>0</v>
      </c>
      <c r="AK163" s="29">
        <f>Y163*(1+Inputs!$C$35)</f>
        <v>0</v>
      </c>
      <c r="AL163" s="29">
        <f>Z163*(1+Inputs!$C$35)</f>
        <v>0</v>
      </c>
      <c r="AM163" s="29">
        <f>AA163*(1+Inputs!$C$35)</f>
        <v>0</v>
      </c>
      <c r="AN163" s="29">
        <f>AB163*(1+Inputs!$C$35)</f>
        <v>0</v>
      </c>
      <c r="AO163" s="29">
        <f>AC163*(1+Inputs!$C$35)</f>
        <v>0</v>
      </c>
      <c r="AP163" s="29">
        <f>AD163*(1+Inputs!$C$35)</f>
        <v>0</v>
      </c>
      <c r="AQ163" s="29">
        <f>AE163*(1+Inputs!$C$35)</f>
        <v>0</v>
      </c>
      <c r="AR163" s="29">
        <f>AF163*(1+Inputs!$C$35)</f>
        <v>0</v>
      </c>
      <c r="AS163" s="239">
        <f>AG163*(1+Inputs!$C$35)</f>
        <v>0</v>
      </c>
      <c r="AT163" s="29">
        <f>AH163*(1+Inputs!$C$35)</f>
        <v>0</v>
      </c>
      <c r="AU163" s="29">
        <f>AI163*(1+Inputs!$C$35)</f>
        <v>0</v>
      </c>
      <c r="AV163" s="29">
        <f>AJ163*(1+Inputs!$C$35)</f>
        <v>0</v>
      </c>
      <c r="AW163" s="29">
        <f>AK163*(1+Inputs!$C$35)</f>
        <v>0</v>
      </c>
      <c r="AX163" s="29">
        <f>AL163*(1+Inputs!$C$35)</f>
        <v>0</v>
      </c>
      <c r="AY163" s="29">
        <f>AM163*(1+Inputs!$C$35)</f>
        <v>0</v>
      </c>
      <c r="AZ163" s="29">
        <f>AN163*(1+Inputs!$C$35)</f>
        <v>0</v>
      </c>
      <c r="BA163" s="29">
        <f>AO163*(1+Inputs!$C$35)</f>
        <v>0</v>
      </c>
      <c r="BB163" s="29">
        <f>AP163*(1+Inputs!$C$35)</f>
        <v>0</v>
      </c>
      <c r="BC163" s="29">
        <f>AQ163*(1+Inputs!$C$35)</f>
        <v>0</v>
      </c>
      <c r="BD163" s="29">
        <f>AR163*(1+Inputs!$C$35)</f>
        <v>0</v>
      </c>
      <c r="BE163" s="239">
        <f>AS163*(1+Inputs!$C$35)</f>
        <v>0</v>
      </c>
      <c r="BF163" s="29">
        <f>AT163*(1+Inputs!$C$35)</f>
        <v>0</v>
      </c>
      <c r="BG163" s="29">
        <f>AU163*(1+Inputs!$C$35)</f>
        <v>0</v>
      </c>
      <c r="BH163" s="29">
        <f>AV163*(1+Inputs!$C$35)</f>
        <v>0</v>
      </c>
      <c r="BI163" s="29">
        <f>AW163*(1+Inputs!$C$35)</f>
        <v>0</v>
      </c>
      <c r="BJ163" s="29">
        <f>AX163*(1+Inputs!$C$35)</f>
        <v>0</v>
      </c>
      <c r="BK163" s="29">
        <f>AY163*(1+Inputs!$C$35)</f>
        <v>0</v>
      </c>
      <c r="BL163" s="29">
        <f>AZ163*(1+Inputs!$C$35)</f>
        <v>0</v>
      </c>
      <c r="BM163" s="29">
        <f>BA163*(1+Inputs!$C$35)</f>
        <v>0</v>
      </c>
      <c r="BN163" s="29">
        <f>BB163*(1+Inputs!$C$35)</f>
        <v>0</v>
      </c>
      <c r="BO163" s="29">
        <f>BC163*(1+Inputs!$C$35)</f>
        <v>0</v>
      </c>
      <c r="BP163" s="29">
        <f>BD163*(1+Inputs!$C$35)</f>
        <v>0</v>
      </c>
      <c r="BQ163" s="29">
        <f>BE163*(1+Inputs!$C$35)</f>
        <v>0</v>
      </c>
      <c r="BR163" s="29">
        <f>BF163*(1+Inputs!$C$35)</f>
        <v>0</v>
      </c>
      <c r="BS163" s="29">
        <f>BG163*(1+Inputs!$C$35)</f>
        <v>0</v>
      </c>
      <c r="BT163" s="29">
        <f>BH163*(1+Inputs!$C$35)</f>
        <v>0</v>
      </c>
      <c r="BU163" s="29">
        <f>BI163*(1+Inputs!$C$35)</f>
        <v>0</v>
      </c>
      <c r="BW163" s="29">
        <f t="shared" ref="BW163:CA163" si="224">SUMIF($J$6:$BU$6,BW$9,$J163:$BU163)</f>
        <v>0</v>
      </c>
      <c r="BX163" s="29">
        <f t="shared" si="224"/>
        <v>0</v>
      </c>
      <c r="BY163" s="29">
        <f t="shared" si="224"/>
        <v>0</v>
      </c>
      <c r="BZ163" s="29">
        <f t="shared" si="224"/>
        <v>0</v>
      </c>
      <c r="CA163" s="29">
        <f t="shared" si="224"/>
        <v>0</v>
      </c>
      <c r="CB163" s="29">
        <f>CA163*(1+Inputs!$C$35)</f>
        <v>0</v>
      </c>
      <c r="CC163" s="29">
        <f>CB163*(1+Inputs!$C$35)</f>
        <v>0</v>
      </c>
      <c r="CD163" s="29">
        <f>CC163*(1+Inputs!$C$35)</f>
        <v>0</v>
      </c>
      <c r="CE163" s="29">
        <f>CD163*(1+Inputs!$C$35)</f>
        <v>0</v>
      </c>
      <c r="CF163" s="29">
        <f>CE163*(1+Inputs!$C$35)</f>
        <v>0</v>
      </c>
      <c r="CG163" s="29">
        <f>CF163*(1+Inputs!$C$35)</f>
        <v>0</v>
      </c>
      <c r="CH163" s="29">
        <f>CG163*(1+Inputs!$C$35)</f>
        <v>0</v>
      </c>
      <c r="CI163" s="29">
        <f>CH163*(1+Inputs!$C$35)</f>
        <v>0</v>
      </c>
      <c r="CJ163" s="29">
        <f>CI163*(1+Inputs!$C$35)</f>
        <v>0</v>
      </c>
      <c r="CK163" s="29">
        <f>CJ163*(1+Inputs!$C$35)</f>
        <v>0</v>
      </c>
    </row>
    <row r="164" spans="1:109" ht="14.25" customHeight="1" x14ac:dyDescent="0.2">
      <c r="A164" s="11">
        <f t="shared" si="58"/>
        <v>0</v>
      </c>
      <c r="B164" s="56">
        <f t="shared" si="220"/>
        <v>7550</v>
      </c>
      <c r="D164" s="56"/>
      <c r="F164" s="263">
        <v>7550</v>
      </c>
      <c r="G164" s="17" t="s">
        <v>285</v>
      </c>
      <c r="H164" s="185">
        <f>VLOOKUP($F164,Inputs!$L:$Q,6,FALSE)</f>
        <v>0</v>
      </c>
      <c r="I164" s="236"/>
      <c r="J164" s="237">
        <f t="shared" ref="J164:U164" si="225">$H164</f>
        <v>0</v>
      </c>
      <c r="K164" s="237">
        <f t="shared" si="225"/>
        <v>0</v>
      </c>
      <c r="L164" s="237">
        <f t="shared" si="225"/>
        <v>0</v>
      </c>
      <c r="M164" s="237">
        <f t="shared" si="225"/>
        <v>0</v>
      </c>
      <c r="N164" s="237">
        <f t="shared" si="225"/>
        <v>0</v>
      </c>
      <c r="O164" s="237">
        <f t="shared" si="225"/>
        <v>0</v>
      </c>
      <c r="P164" s="237">
        <f t="shared" si="225"/>
        <v>0</v>
      </c>
      <c r="Q164" s="237">
        <f t="shared" si="225"/>
        <v>0</v>
      </c>
      <c r="R164" s="237">
        <f t="shared" si="225"/>
        <v>0</v>
      </c>
      <c r="S164" s="237">
        <f t="shared" si="225"/>
        <v>0</v>
      </c>
      <c r="T164" s="237">
        <f t="shared" si="225"/>
        <v>0</v>
      </c>
      <c r="U164" s="238">
        <f t="shared" si="225"/>
        <v>0</v>
      </c>
      <c r="V164" s="237">
        <f>J164*(1+Inputs!$C$35)</f>
        <v>0</v>
      </c>
      <c r="W164" s="237">
        <f>K164*(1+Inputs!$C$35)</f>
        <v>0</v>
      </c>
      <c r="X164" s="237">
        <f>L164*(1+Inputs!$C$35)</f>
        <v>0</v>
      </c>
      <c r="Y164" s="237">
        <f>M164*(1+Inputs!$C$35)</f>
        <v>0</v>
      </c>
      <c r="Z164" s="237">
        <f>N164*(1+Inputs!$C$35)</f>
        <v>0</v>
      </c>
      <c r="AA164" s="237">
        <f>O164*(1+Inputs!$C$35)</f>
        <v>0</v>
      </c>
      <c r="AB164" s="237">
        <f>P164*(1+Inputs!$C$35)</f>
        <v>0</v>
      </c>
      <c r="AC164" s="237">
        <f>Q164*(1+Inputs!$C$35)</f>
        <v>0</v>
      </c>
      <c r="AD164" s="237">
        <f>R164*(1+Inputs!$C$35)</f>
        <v>0</v>
      </c>
      <c r="AE164" s="237">
        <f>S164*(1+Inputs!$C$35)</f>
        <v>0</v>
      </c>
      <c r="AF164" s="237">
        <f>T164*(1+Inputs!$C$35)</f>
        <v>0</v>
      </c>
      <c r="AG164" s="238">
        <f>U164*(1+Inputs!$C$35)</f>
        <v>0</v>
      </c>
      <c r="AH164" s="237">
        <f>V164*(1+Inputs!$C$35)</f>
        <v>0</v>
      </c>
      <c r="AI164" s="237">
        <f>W164*(1+Inputs!$C$35)</f>
        <v>0</v>
      </c>
      <c r="AJ164" s="237">
        <f>X164*(1+Inputs!$C$35)</f>
        <v>0</v>
      </c>
      <c r="AK164" s="237">
        <f>Y164*(1+Inputs!$C$35)</f>
        <v>0</v>
      </c>
      <c r="AL164" s="237">
        <f>Z164*(1+Inputs!$C$35)</f>
        <v>0</v>
      </c>
      <c r="AM164" s="237">
        <f>AA164*(1+Inputs!$C$35)</f>
        <v>0</v>
      </c>
      <c r="AN164" s="237">
        <f>AB164*(1+Inputs!$C$35)</f>
        <v>0</v>
      </c>
      <c r="AO164" s="237">
        <f>AC164*(1+Inputs!$C$35)</f>
        <v>0</v>
      </c>
      <c r="AP164" s="237">
        <f>AD164*(1+Inputs!$C$35)</f>
        <v>0</v>
      </c>
      <c r="AQ164" s="237">
        <f>AE164*(1+Inputs!$C$35)</f>
        <v>0</v>
      </c>
      <c r="AR164" s="237">
        <f>AF164*(1+Inputs!$C$35)</f>
        <v>0</v>
      </c>
      <c r="AS164" s="238">
        <f>AG164*(1+Inputs!$C$35)</f>
        <v>0</v>
      </c>
      <c r="AT164" s="237">
        <f>AH164*(1+Inputs!$C$35)</f>
        <v>0</v>
      </c>
      <c r="AU164" s="237">
        <f>AI164*(1+Inputs!$C$35)</f>
        <v>0</v>
      </c>
      <c r="AV164" s="237">
        <f>AJ164*(1+Inputs!$C$35)</f>
        <v>0</v>
      </c>
      <c r="AW164" s="237">
        <f>AK164*(1+Inputs!$C$35)</f>
        <v>0</v>
      </c>
      <c r="AX164" s="237">
        <f>AL164*(1+Inputs!$C$35)</f>
        <v>0</v>
      </c>
      <c r="AY164" s="237">
        <f>AM164*(1+Inputs!$C$35)</f>
        <v>0</v>
      </c>
      <c r="AZ164" s="237">
        <f>AN164*(1+Inputs!$C$35)</f>
        <v>0</v>
      </c>
      <c r="BA164" s="237">
        <f>AO164*(1+Inputs!$C$35)</f>
        <v>0</v>
      </c>
      <c r="BB164" s="237">
        <f>AP164*(1+Inputs!$C$35)</f>
        <v>0</v>
      </c>
      <c r="BC164" s="237">
        <f>AQ164*(1+Inputs!$C$35)</f>
        <v>0</v>
      </c>
      <c r="BD164" s="237">
        <f>AR164*(1+Inputs!$C$35)</f>
        <v>0</v>
      </c>
      <c r="BE164" s="238">
        <f>AS164*(1+Inputs!$C$35)</f>
        <v>0</v>
      </c>
      <c r="BF164" s="237">
        <f>AT164*(1+Inputs!$C$35)</f>
        <v>0</v>
      </c>
      <c r="BG164" s="237">
        <f>AU164*(1+Inputs!$C$35)</f>
        <v>0</v>
      </c>
      <c r="BH164" s="237">
        <f>AV164*(1+Inputs!$C$35)</f>
        <v>0</v>
      </c>
      <c r="BI164" s="237">
        <f>AW164*(1+Inputs!$C$35)</f>
        <v>0</v>
      </c>
      <c r="BJ164" s="237">
        <f>AX164*(1+Inputs!$C$35)</f>
        <v>0</v>
      </c>
      <c r="BK164" s="237">
        <f>AY164*(1+Inputs!$C$35)</f>
        <v>0</v>
      </c>
      <c r="BL164" s="237">
        <f>AZ164*(1+Inputs!$C$35)</f>
        <v>0</v>
      </c>
      <c r="BM164" s="237">
        <f>BA164*(1+Inputs!$C$35)</f>
        <v>0</v>
      </c>
      <c r="BN164" s="237">
        <f>BB164*(1+Inputs!$C$35)</f>
        <v>0</v>
      </c>
      <c r="BO164" s="237">
        <f>BC164*(1+Inputs!$C$35)</f>
        <v>0</v>
      </c>
      <c r="BP164" s="237">
        <f>BD164*(1+Inputs!$C$35)</f>
        <v>0</v>
      </c>
      <c r="BQ164" s="237">
        <f>BE164*(1+Inputs!$C$35)</f>
        <v>0</v>
      </c>
      <c r="BR164" s="237">
        <f>BF164*(1+Inputs!$C$35)</f>
        <v>0</v>
      </c>
      <c r="BS164" s="237">
        <f>BG164*(1+Inputs!$C$35)</f>
        <v>0</v>
      </c>
      <c r="BT164" s="237">
        <f>BH164*(1+Inputs!$C$35)</f>
        <v>0</v>
      </c>
      <c r="BU164" s="237">
        <f>BI164*(1+Inputs!$C$35)</f>
        <v>0</v>
      </c>
      <c r="BW164" s="237">
        <f t="shared" ref="BW164:CA164" si="226">SUMIF($J$6:$BU$6,BW$9,$J164:$BU164)</f>
        <v>0</v>
      </c>
      <c r="BX164" s="237">
        <f t="shared" si="226"/>
        <v>0</v>
      </c>
      <c r="BY164" s="237">
        <f t="shared" si="226"/>
        <v>0</v>
      </c>
      <c r="BZ164" s="237">
        <f t="shared" si="226"/>
        <v>0</v>
      </c>
      <c r="CA164" s="237">
        <f t="shared" si="226"/>
        <v>0</v>
      </c>
      <c r="CB164" s="237">
        <f>CA164*(1+Inputs!$C$35)</f>
        <v>0</v>
      </c>
      <c r="CC164" s="237">
        <f>CB164*(1+Inputs!$C$35)</f>
        <v>0</v>
      </c>
      <c r="CD164" s="237">
        <f>CC164*(1+Inputs!$C$35)</f>
        <v>0</v>
      </c>
      <c r="CE164" s="237">
        <f>CD164*(1+Inputs!$C$35)</f>
        <v>0</v>
      </c>
      <c r="CF164" s="237">
        <f>CE164*(1+Inputs!$C$35)</f>
        <v>0</v>
      </c>
      <c r="CG164" s="237">
        <f>CF164*(1+Inputs!$C$35)</f>
        <v>0</v>
      </c>
      <c r="CH164" s="237">
        <f>CG164*(1+Inputs!$C$35)</f>
        <v>0</v>
      </c>
      <c r="CI164" s="237">
        <f>CH164*(1+Inputs!$C$35)</f>
        <v>0</v>
      </c>
      <c r="CJ164" s="237">
        <f>CI164*(1+Inputs!$C$35)</f>
        <v>0</v>
      </c>
      <c r="CK164" s="237">
        <f>CJ164*(1+Inputs!$C$35)</f>
        <v>0</v>
      </c>
    </row>
    <row r="165" spans="1:109" ht="14.25" customHeight="1" x14ac:dyDescent="0.2">
      <c r="A165" s="283">
        <f t="shared" si="58"/>
        <v>0</v>
      </c>
      <c r="B165" s="284" t="s">
        <v>384</v>
      </c>
      <c r="C165" s="285"/>
      <c r="D165" s="284"/>
      <c r="E165" s="286"/>
      <c r="F165" s="287" t="s">
        <v>385</v>
      </c>
      <c r="G165" s="286"/>
      <c r="H165" s="286"/>
      <c r="I165" s="298"/>
      <c r="J165" s="289">
        <f t="shared" ref="J165:BU165" si="227">SUM(J161:J164)</f>
        <v>2909.6925000000001</v>
      </c>
      <c r="K165" s="289">
        <f t="shared" si="227"/>
        <v>4655.5080000000007</v>
      </c>
      <c r="L165" s="289">
        <f t="shared" si="227"/>
        <v>2909.6925000000001</v>
      </c>
      <c r="M165" s="289">
        <f t="shared" si="227"/>
        <v>0</v>
      </c>
      <c r="N165" s="289">
        <f t="shared" si="227"/>
        <v>0</v>
      </c>
      <c r="O165" s="289">
        <f t="shared" si="227"/>
        <v>0</v>
      </c>
      <c r="P165" s="289">
        <f t="shared" si="227"/>
        <v>0</v>
      </c>
      <c r="Q165" s="289">
        <f t="shared" si="227"/>
        <v>0</v>
      </c>
      <c r="R165" s="289">
        <f t="shared" si="227"/>
        <v>0</v>
      </c>
      <c r="S165" s="289">
        <f t="shared" si="227"/>
        <v>0</v>
      </c>
      <c r="T165" s="289">
        <f t="shared" si="227"/>
        <v>0</v>
      </c>
      <c r="U165" s="290">
        <f t="shared" si="227"/>
        <v>1163.8770000000002</v>
      </c>
      <c r="V165" s="289">
        <f t="shared" si="227"/>
        <v>2982.4348124999997</v>
      </c>
      <c r="W165" s="289">
        <f t="shared" si="227"/>
        <v>4771.8957</v>
      </c>
      <c r="X165" s="289">
        <f t="shared" si="227"/>
        <v>2982.4348124999997</v>
      </c>
      <c r="Y165" s="289">
        <f t="shared" si="227"/>
        <v>0</v>
      </c>
      <c r="Z165" s="289">
        <f t="shared" si="227"/>
        <v>0</v>
      </c>
      <c r="AA165" s="289">
        <f t="shared" si="227"/>
        <v>0</v>
      </c>
      <c r="AB165" s="289">
        <f t="shared" si="227"/>
        <v>0</v>
      </c>
      <c r="AC165" s="289">
        <f t="shared" si="227"/>
        <v>0</v>
      </c>
      <c r="AD165" s="289">
        <f t="shared" si="227"/>
        <v>0</v>
      </c>
      <c r="AE165" s="289">
        <f t="shared" si="227"/>
        <v>0</v>
      </c>
      <c r="AF165" s="289">
        <f t="shared" si="227"/>
        <v>0</v>
      </c>
      <c r="AG165" s="290">
        <f t="shared" si="227"/>
        <v>1192.973925</v>
      </c>
      <c r="AH165" s="289">
        <f t="shared" si="227"/>
        <v>3056.9956828124996</v>
      </c>
      <c r="AI165" s="289">
        <f t="shared" si="227"/>
        <v>4891.1930924999997</v>
      </c>
      <c r="AJ165" s="289">
        <f t="shared" si="227"/>
        <v>3056.9956828124996</v>
      </c>
      <c r="AK165" s="289">
        <f t="shared" si="227"/>
        <v>0</v>
      </c>
      <c r="AL165" s="289">
        <f t="shared" si="227"/>
        <v>0</v>
      </c>
      <c r="AM165" s="289">
        <f t="shared" si="227"/>
        <v>0</v>
      </c>
      <c r="AN165" s="289">
        <f t="shared" si="227"/>
        <v>0</v>
      </c>
      <c r="AO165" s="289">
        <f t="shared" si="227"/>
        <v>0</v>
      </c>
      <c r="AP165" s="289">
        <f t="shared" si="227"/>
        <v>0</v>
      </c>
      <c r="AQ165" s="289">
        <f t="shared" si="227"/>
        <v>0</v>
      </c>
      <c r="AR165" s="289">
        <f t="shared" si="227"/>
        <v>0</v>
      </c>
      <c r="AS165" s="290">
        <f t="shared" si="227"/>
        <v>1222.7982731249999</v>
      </c>
      <c r="AT165" s="289">
        <f t="shared" si="227"/>
        <v>3133.4205748828117</v>
      </c>
      <c r="AU165" s="289">
        <f t="shared" si="227"/>
        <v>5013.4729198124996</v>
      </c>
      <c r="AV165" s="289">
        <f t="shared" si="227"/>
        <v>3133.4205748828117</v>
      </c>
      <c r="AW165" s="289">
        <f t="shared" si="227"/>
        <v>0</v>
      </c>
      <c r="AX165" s="289">
        <f t="shared" si="227"/>
        <v>0</v>
      </c>
      <c r="AY165" s="289">
        <f t="shared" si="227"/>
        <v>0</v>
      </c>
      <c r="AZ165" s="289">
        <f t="shared" si="227"/>
        <v>0</v>
      </c>
      <c r="BA165" s="289">
        <f t="shared" si="227"/>
        <v>0</v>
      </c>
      <c r="BB165" s="289">
        <f t="shared" si="227"/>
        <v>0</v>
      </c>
      <c r="BC165" s="289">
        <f t="shared" si="227"/>
        <v>0</v>
      </c>
      <c r="BD165" s="289">
        <f t="shared" si="227"/>
        <v>0</v>
      </c>
      <c r="BE165" s="290">
        <f t="shared" si="227"/>
        <v>1253.3682299531249</v>
      </c>
      <c r="BF165" s="289">
        <f t="shared" si="227"/>
        <v>3211.7560892548818</v>
      </c>
      <c r="BG165" s="289">
        <f t="shared" si="227"/>
        <v>5138.8097428078117</v>
      </c>
      <c r="BH165" s="289">
        <f t="shared" si="227"/>
        <v>3211.7560892548818</v>
      </c>
      <c r="BI165" s="289">
        <f t="shared" si="227"/>
        <v>0</v>
      </c>
      <c r="BJ165" s="289">
        <f t="shared" si="227"/>
        <v>0</v>
      </c>
      <c r="BK165" s="289">
        <f t="shared" si="227"/>
        <v>0</v>
      </c>
      <c r="BL165" s="289">
        <f t="shared" si="227"/>
        <v>0</v>
      </c>
      <c r="BM165" s="289">
        <f t="shared" si="227"/>
        <v>0</v>
      </c>
      <c r="BN165" s="289">
        <f t="shared" si="227"/>
        <v>0</v>
      </c>
      <c r="BO165" s="289">
        <f t="shared" si="227"/>
        <v>0</v>
      </c>
      <c r="BP165" s="289">
        <f t="shared" si="227"/>
        <v>0</v>
      </c>
      <c r="BQ165" s="289">
        <f t="shared" si="227"/>
        <v>1284.7024357019529</v>
      </c>
      <c r="BR165" s="289">
        <f t="shared" si="227"/>
        <v>3292.0499914862535</v>
      </c>
      <c r="BS165" s="289">
        <f t="shared" si="227"/>
        <v>5267.2799863780065</v>
      </c>
      <c r="BT165" s="289">
        <f t="shared" si="227"/>
        <v>3292.0499914862535</v>
      </c>
      <c r="BU165" s="289">
        <f t="shared" si="227"/>
        <v>0</v>
      </c>
      <c r="BV165" s="285"/>
      <c r="BW165" s="289">
        <f t="shared" ref="BW165:CK165" si="228">SUM(BW161:BW164)</f>
        <v>11638.77</v>
      </c>
      <c r="BX165" s="289">
        <f t="shared" si="228"/>
        <v>11929.739250000001</v>
      </c>
      <c r="BY165" s="289">
        <f t="shared" si="228"/>
        <v>12227.982731249998</v>
      </c>
      <c r="BZ165" s="289">
        <f t="shared" si="228"/>
        <v>12533.682299531247</v>
      </c>
      <c r="CA165" s="289">
        <f t="shared" si="228"/>
        <v>12847.024357019529</v>
      </c>
      <c r="CB165" s="289">
        <f t="shared" si="228"/>
        <v>13168.199965945016</v>
      </c>
      <c r="CC165" s="289">
        <f t="shared" si="228"/>
        <v>13497.404965093639</v>
      </c>
      <c r="CD165" s="289">
        <f t="shared" si="228"/>
        <v>13834.840089220979</v>
      </c>
      <c r="CE165" s="289">
        <f t="shared" si="228"/>
        <v>14180.711091451503</v>
      </c>
      <c r="CF165" s="289">
        <f t="shared" si="228"/>
        <v>14535.22886873779</v>
      </c>
      <c r="CG165" s="289">
        <f t="shared" si="228"/>
        <v>14898.609590456233</v>
      </c>
      <c r="CH165" s="289">
        <f t="shared" si="228"/>
        <v>15271.074830217638</v>
      </c>
      <c r="CI165" s="289">
        <f t="shared" si="228"/>
        <v>15652.851700973077</v>
      </c>
      <c r="CJ165" s="289">
        <f t="shared" si="228"/>
        <v>16044.172993497403</v>
      </c>
      <c r="CK165" s="289">
        <f t="shared" si="228"/>
        <v>16445.277318334836</v>
      </c>
      <c r="CL165" s="285"/>
      <c r="CM165" s="285"/>
      <c r="CN165" s="285"/>
      <c r="CO165" s="285"/>
      <c r="CP165" s="285"/>
      <c r="CQ165" s="285"/>
      <c r="CR165" s="285"/>
      <c r="CS165" s="285"/>
      <c r="CT165" s="285"/>
      <c r="CU165" s="285"/>
      <c r="CV165" s="285"/>
      <c r="CW165" s="285"/>
      <c r="CX165" s="285"/>
      <c r="CY165" s="285"/>
      <c r="CZ165" s="285"/>
      <c r="DA165" s="285"/>
      <c r="DB165" s="285"/>
      <c r="DC165" s="285"/>
      <c r="DD165" s="285"/>
      <c r="DE165" s="285"/>
    </row>
    <row r="166" spans="1:109" ht="8.25" customHeight="1" x14ac:dyDescent="0.2">
      <c r="A166" s="11">
        <f t="shared" si="58"/>
        <v>0</v>
      </c>
      <c r="B166" s="249"/>
      <c r="D166" s="249"/>
      <c r="E166" s="3"/>
      <c r="F166" s="249"/>
      <c r="I166" s="1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3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3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3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3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</row>
    <row r="167" spans="1:109" ht="14.25" customHeight="1" x14ac:dyDescent="0.2">
      <c r="A167" s="11">
        <f t="shared" si="58"/>
        <v>0</v>
      </c>
      <c r="B167" s="56">
        <f>F167</f>
        <v>6801</v>
      </c>
      <c r="D167" s="56"/>
      <c r="F167" s="56">
        <v>6801</v>
      </c>
      <c r="G167" s="11" t="s">
        <v>386</v>
      </c>
      <c r="H167" s="192">
        <f>Inputs!$C$40</f>
        <v>0</v>
      </c>
      <c r="I167" s="1"/>
      <c r="J167" s="29">
        <f t="shared" ref="J167:BU167" si="229">MAX($H$169,$H167*J$80)</f>
        <v>0</v>
      </c>
      <c r="K167" s="29">
        <f t="shared" si="229"/>
        <v>0</v>
      </c>
      <c r="L167" s="29">
        <f t="shared" si="229"/>
        <v>0</v>
      </c>
      <c r="M167" s="29">
        <f t="shared" si="229"/>
        <v>0</v>
      </c>
      <c r="N167" s="29">
        <f t="shared" si="229"/>
        <v>0</v>
      </c>
      <c r="O167" s="29">
        <f t="shared" si="229"/>
        <v>0</v>
      </c>
      <c r="P167" s="29">
        <f t="shared" si="229"/>
        <v>0</v>
      </c>
      <c r="Q167" s="29">
        <f t="shared" si="229"/>
        <v>0</v>
      </c>
      <c r="R167" s="29">
        <f t="shared" si="229"/>
        <v>0</v>
      </c>
      <c r="S167" s="29">
        <f t="shared" si="229"/>
        <v>0</v>
      </c>
      <c r="T167" s="29">
        <f t="shared" si="229"/>
        <v>0</v>
      </c>
      <c r="U167" s="239">
        <f t="shared" si="229"/>
        <v>0</v>
      </c>
      <c r="V167" s="29">
        <f t="shared" si="229"/>
        <v>0</v>
      </c>
      <c r="W167" s="29">
        <f t="shared" si="229"/>
        <v>0</v>
      </c>
      <c r="X167" s="29">
        <f t="shared" si="229"/>
        <v>0</v>
      </c>
      <c r="Y167" s="29">
        <f t="shared" si="229"/>
        <v>0</v>
      </c>
      <c r="Z167" s="29">
        <f t="shared" si="229"/>
        <v>0</v>
      </c>
      <c r="AA167" s="29">
        <f t="shared" si="229"/>
        <v>0</v>
      </c>
      <c r="AB167" s="29">
        <f t="shared" si="229"/>
        <v>0</v>
      </c>
      <c r="AC167" s="29">
        <f t="shared" si="229"/>
        <v>0</v>
      </c>
      <c r="AD167" s="29">
        <f t="shared" si="229"/>
        <v>0</v>
      </c>
      <c r="AE167" s="29">
        <f t="shared" si="229"/>
        <v>0</v>
      </c>
      <c r="AF167" s="29">
        <f t="shared" si="229"/>
        <v>0</v>
      </c>
      <c r="AG167" s="239">
        <f t="shared" si="229"/>
        <v>0</v>
      </c>
      <c r="AH167" s="29">
        <f t="shared" si="229"/>
        <v>0</v>
      </c>
      <c r="AI167" s="29">
        <f t="shared" si="229"/>
        <v>0</v>
      </c>
      <c r="AJ167" s="29">
        <f t="shared" si="229"/>
        <v>0</v>
      </c>
      <c r="AK167" s="29">
        <f t="shared" si="229"/>
        <v>0</v>
      </c>
      <c r="AL167" s="29">
        <f t="shared" si="229"/>
        <v>0</v>
      </c>
      <c r="AM167" s="29">
        <f t="shared" si="229"/>
        <v>0</v>
      </c>
      <c r="AN167" s="29">
        <f t="shared" si="229"/>
        <v>0</v>
      </c>
      <c r="AO167" s="29">
        <f t="shared" si="229"/>
        <v>0</v>
      </c>
      <c r="AP167" s="29">
        <f t="shared" si="229"/>
        <v>0</v>
      </c>
      <c r="AQ167" s="29">
        <f t="shared" si="229"/>
        <v>0</v>
      </c>
      <c r="AR167" s="29">
        <f t="shared" si="229"/>
        <v>0</v>
      </c>
      <c r="AS167" s="239">
        <f t="shared" si="229"/>
        <v>0</v>
      </c>
      <c r="AT167" s="29">
        <f t="shared" si="229"/>
        <v>0</v>
      </c>
      <c r="AU167" s="29">
        <f t="shared" si="229"/>
        <v>0</v>
      </c>
      <c r="AV167" s="29">
        <f t="shared" si="229"/>
        <v>0</v>
      </c>
      <c r="AW167" s="29">
        <f t="shared" si="229"/>
        <v>0</v>
      </c>
      <c r="AX167" s="29">
        <f t="shared" si="229"/>
        <v>0</v>
      </c>
      <c r="AY167" s="29">
        <f t="shared" si="229"/>
        <v>0</v>
      </c>
      <c r="AZ167" s="29">
        <f t="shared" si="229"/>
        <v>0</v>
      </c>
      <c r="BA167" s="29">
        <f t="shared" si="229"/>
        <v>0</v>
      </c>
      <c r="BB167" s="29">
        <f t="shared" si="229"/>
        <v>0</v>
      </c>
      <c r="BC167" s="29">
        <f t="shared" si="229"/>
        <v>0</v>
      </c>
      <c r="BD167" s="29">
        <f t="shared" si="229"/>
        <v>0</v>
      </c>
      <c r="BE167" s="239">
        <f t="shared" si="229"/>
        <v>0</v>
      </c>
      <c r="BF167" s="29">
        <f t="shared" si="229"/>
        <v>0</v>
      </c>
      <c r="BG167" s="29">
        <f t="shared" si="229"/>
        <v>0</v>
      </c>
      <c r="BH167" s="29">
        <f t="shared" si="229"/>
        <v>0</v>
      </c>
      <c r="BI167" s="29">
        <f t="shared" si="229"/>
        <v>0</v>
      </c>
      <c r="BJ167" s="29">
        <f t="shared" si="229"/>
        <v>0</v>
      </c>
      <c r="BK167" s="29">
        <f t="shared" si="229"/>
        <v>0</v>
      </c>
      <c r="BL167" s="29">
        <f t="shared" si="229"/>
        <v>0</v>
      </c>
      <c r="BM167" s="29">
        <f t="shared" si="229"/>
        <v>0</v>
      </c>
      <c r="BN167" s="29">
        <f t="shared" si="229"/>
        <v>0</v>
      </c>
      <c r="BO167" s="29">
        <f t="shared" si="229"/>
        <v>0</v>
      </c>
      <c r="BP167" s="29">
        <f t="shared" si="229"/>
        <v>0</v>
      </c>
      <c r="BQ167" s="29">
        <f t="shared" si="229"/>
        <v>0</v>
      </c>
      <c r="BR167" s="29">
        <f t="shared" si="229"/>
        <v>0</v>
      </c>
      <c r="BS167" s="29">
        <f t="shared" si="229"/>
        <v>0</v>
      </c>
      <c r="BT167" s="29">
        <f t="shared" si="229"/>
        <v>0</v>
      </c>
      <c r="BU167" s="29">
        <f t="shared" si="229"/>
        <v>0</v>
      </c>
      <c r="BW167" s="29">
        <f t="shared" ref="BW167:CA167" si="230">SUMIF($J$6:$BU$6,BW$9,$J167:$BU167)</f>
        <v>0</v>
      </c>
      <c r="BX167" s="29">
        <f t="shared" si="230"/>
        <v>0</v>
      </c>
      <c r="BY167" s="29">
        <f t="shared" si="230"/>
        <v>0</v>
      </c>
      <c r="BZ167" s="29">
        <f t="shared" si="230"/>
        <v>0</v>
      </c>
      <c r="CA167" s="29">
        <f t="shared" si="230"/>
        <v>0</v>
      </c>
      <c r="CB167" s="29">
        <f>CA167*(1+Inputs!$C$35)</f>
        <v>0</v>
      </c>
      <c r="CC167" s="29">
        <f>CB167*(1+Inputs!$C$35)</f>
        <v>0</v>
      </c>
      <c r="CD167" s="29">
        <f>CC167*(1+Inputs!$C$35)</f>
        <v>0</v>
      </c>
      <c r="CE167" s="29">
        <f>CD167*(1+Inputs!$C$35)</f>
        <v>0</v>
      </c>
      <c r="CF167" s="29">
        <f>CE167*(1+Inputs!$C$35)</f>
        <v>0</v>
      </c>
      <c r="CG167" s="29">
        <f>CF167*(1+Inputs!$C$35)</f>
        <v>0</v>
      </c>
      <c r="CH167" s="29">
        <f>CG167*(1+Inputs!$C$35)</f>
        <v>0</v>
      </c>
      <c r="CI167" s="29">
        <f>CH167*(1+Inputs!$C$35)</f>
        <v>0</v>
      </c>
      <c r="CJ167" s="29">
        <f>CI167*(1+Inputs!$C$35)</f>
        <v>0</v>
      </c>
      <c r="CK167" s="29">
        <f>CJ167*(1+Inputs!$C$35)</f>
        <v>0</v>
      </c>
    </row>
    <row r="168" spans="1:109" ht="14.25" customHeight="1" x14ac:dyDescent="0.2">
      <c r="A168" s="11">
        <f t="shared" si="58"/>
        <v>0</v>
      </c>
      <c r="B168" s="56">
        <v>6171</v>
      </c>
      <c r="D168" s="56"/>
      <c r="F168" s="56">
        <v>6171</v>
      </c>
      <c r="G168" s="11" t="s">
        <v>196</v>
      </c>
      <c r="H168" s="192">
        <f>Inputs!$C$40</f>
        <v>0</v>
      </c>
      <c r="I168" s="1"/>
      <c r="J168" s="29">
        <f t="shared" ref="J168:BU168" si="231">J161+J129</f>
        <v>2909.6925000000001</v>
      </c>
      <c r="K168" s="29">
        <f t="shared" si="231"/>
        <v>4655.5080000000007</v>
      </c>
      <c r="L168" s="29">
        <f t="shared" si="231"/>
        <v>5872.2885000000006</v>
      </c>
      <c r="M168" s="29">
        <f t="shared" si="231"/>
        <v>1481.2980000000002</v>
      </c>
      <c r="N168" s="29">
        <f t="shared" si="231"/>
        <v>1481.2980000000002</v>
      </c>
      <c r="O168" s="29">
        <f t="shared" si="231"/>
        <v>1481.2980000000002</v>
      </c>
      <c r="P168" s="29">
        <f t="shared" si="231"/>
        <v>1481.2980000000002</v>
      </c>
      <c r="Q168" s="29">
        <f t="shared" si="231"/>
        <v>1481.2980000000002</v>
      </c>
      <c r="R168" s="29">
        <f t="shared" si="231"/>
        <v>2962.5960000000005</v>
      </c>
      <c r="S168" s="29">
        <f t="shared" si="231"/>
        <v>1481.2980000000002</v>
      </c>
      <c r="T168" s="29">
        <f t="shared" si="231"/>
        <v>0</v>
      </c>
      <c r="U168" s="29">
        <f t="shared" si="231"/>
        <v>1163.8770000000002</v>
      </c>
      <c r="V168" s="29">
        <f t="shared" si="231"/>
        <v>2982.4348124999997</v>
      </c>
      <c r="W168" s="29">
        <f t="shared" si="231"/>
        <v>4771.8957</v>
      </c>
      <c r="X168" s="29">
        <f t="shared" si="231"/>
        <v>6019.0957125000004</v>
      </c>
      <c r="Y168" s="29">
        <f t="shared" si="231"/>
        <v>1518.3304500000002</v>
      </c>
      <c r="Z168" s="29">
        <f t="shared" si="231"/>
        <v>1518.3304500000002</v>
      </c>
      <c r="AA168" s="29">
        <f t="shared" si="231"/>
        <v>1518.3304500000002</v>
      </c>
      <c r="AB168" s="29">
        <f t="shared" si="231"/>
        <v>1518.3304500000002</v>
      </c>
      <c r="AC168" s="29">
        <f t="shared" si="231"/>
        <v>1518.3304500000002</v>
      </c>
      <c r="AD168" s="29">
        <f t="shared" si="231"/>
        <v>3036.6609000000003</v>
      </c>
      <c r="AE168" s="29">
        <f t="shared" si="231"/>
        <v>1518.3304500000002</v>
      </c>
      <c r="AF168" s="29">
        <f t="shared" si="231"/>
        <v>0</v>
      </c>
      <c r="AG168" s="29">
        <f t="shared" si="231"/>
        <v>1192.973925</v>
      </c>
      <c r="AH168" s="29">
        <f t="shared" si="231"/>
        <v>3056.9956828124996</v>
      </c>
      <c r="AI168" s="29">
        <f t="shared" si="231"/>
        <v>4891.1930924999997</v>
      </c>
      <c r="AJ168" s="29">
        <f t="shared" si="231"/>
        <v>6169.5731053125</v>
      </c>
      <c r="AK168" s="29">
        <f t="shared" si="231"/>
        <v>1556.28871125</v>
      </c>
      <c r="AL168" s="29">
        <f t="shared" si="231"/>
        <v>1556.28871125</v>
      </c>
      <c r="AM168" s="29">
        <f t="shared" si="231"/>
        <v>1556.28871125</v>
      </c>
      <c r="AN168" s="29">
        <f t="shared" si="231"/>
        <v>1556.28871125</v>
      </c>
      <c r="AO168" s="29">
        <f t="shared" si="231"/>
        <v>1556.28871125</v>
      </c>
      <c r="AP168" s="29">
        <f t="shared" si="231"/>
        <v>3112.5774225</v>
      </c>
      <c r="AQ168" s="29">
        <f t="shared" si="231"/>
        <v>1556.28871125</v>
      </c>
      <c r="AR168" s="29">
        <f t="shared" si="231"/>
        <v>0</v>
      </c>
      <c r="AS168" s="29">
        <f t="shared" si="231"/>
        <v>1222.7982731249999</v>
      </c>
      <c r="AT168" s="29">
        <f t="shared" si="231"/>
        <v>3133.4205748828117</v>
      </c>
      <c r="AU168" s="29">
        <f t="shared" si="231"/>
        <v>5013.4729198124996</v>
      </c>
      <c r="AV168" s="29">
        <f t="shared" si="231"/>
        <v>6323.8124329453112</v>
      </c>
      <c r="AW168" s="29">
        <f t="shared" si="231"/>
        <v>1595.1959290312498</v>
      </c>
      <c r="AX168" s="29">
        <f t="shared" si="231"/>
        <v>1595.1959290312498</v>
      </c>
      <c r="AY168" s="29">
        <f t="shared" si="231"/>
        <v>1595.1959290312498</v>
      </c>
      <c r="AZ168" s="29">
        <f t="shared" si="231"/>
        <v>1595.1959290312498</v>
      </c>
      <c r="BA168" s="29">
        <f t="shared" si="231"/>
        <v>1595.1959290312498</v>
      </c>
      <c r="BB168" s="29">
        <f t="shared" si="231"/>
        <v>3190.3918580624995</v>
      </c>
      <c r="BC168" s="29">
        <f t="shared" si="231"/>
        <v>1595.1959290312498</v>
      </c>
      <c r="BD168" s="29">
        <f t="shared" si="231"/>
        <v>0</v>
      </c>
      <c r="BE168" s="29">
        <f t="shared" si="231"/>
        <v>1253.3682299531249</v>
      </c>
      <c r="BF168" s="29">
        <f t="shared" si="231"/>
        <v>3211.7560892548818</v>
      </c>
      <c r="BG168" s="29">
        <f t="shared" si="231"/>
        <v>5138.8097428078117</v>
      </c>
      <c r="BH168" s="29">
        <f t="shared" si="231"/>
        <v>6481.907743768943</v>
      </c>
      <c r="BI168" s="29">
        <f t="shared" si="231"/>
        <v>1635.0758272570308</v>
      </c>
      <c r="BJ168" s="29">
        <f t="shared" si="231"/>
        <v>1635.0758272570308</v>
      </c>
      <c r="BK168" s="29">
        <f t="shared" si="231"/>
        <v>1635.0758272570308</v>
      </c>
      <c r="BL168" s="29">
        <f t="shared" si="231"/>
        <v>1635.0758272570308</v>
      </c>
      <c r="BM168" s="29">
        <f t="shared" si="231"/>
        <v>1635.0758272570308</v>
      </c>
      <c r="BN168" s="29">
        <f t="shared" si="231"/>
        <v>3270.1516545140616</v>
      </c>
      <c r="BO168" s="29">
        <f t="shared" si="231"/>
        <v>1635.0758272570308</v>
      </c>
      <c r="BP168" s="29">
        <f t="shared" si="231"/>
        <v>0</v>
      </c>
      <c r="BQ168" s="29">
        <f t="shared" si="231"/>
        <v>1284.7024357019529</v>
      </c>
      <c r="BR168" s="29">
        <f t="shared" si="231"/>
        <v>3292.0499914862535</v>
      </c>
      <c r="BS168" s="29">
        <f t="shared" si="231"/>
        <v>5267.2799863780065</v>
      </c>
      <c r="BT168" s="29">
        <f t="shared" si="231"/>
        <v>6643.9554373631663</v>
      </c>
      <c r="BU168" s="29">
        <f t="shared" si="231"/>
        <v>1675.9527229384564</v>
      </c>
      <c r="BW168" s="29">
        <f t="shared" ref="BW168:CA168" si="232">SUMIF($J$6:$BU$6,BW$9,$J168:$BU168)</f>
        <v>26451.75</v>
      </c>
      <c r="BX168" s="29">
        <f t="shared" si="232"/>
        <v>27113.043750000001</v>
      </c>
      <c r="BY168" s="29">
        <f t="shared" si="232"/>
        <v>27790.869843749995</v>
      </c>
      <c r="BZ168" s="29">
        <f t="shared" si="232"/>
        <v>28485.641589843744</v>
      </c>
      <c r="CA168" s="29">
        <f t="shared" si="232"/>
        <v>29197.782629589838</v>
      </c>
      <c r="CB168" s="29">
        <f>CA168*(1+Inputs!$C$35)</f>
        <v>29927.727195329582</v>
      </c>
      <c r="CC168" s="29">
        <f>CB168*(1+Inputs!$C$35)</f>
        <v>30675.92037521282</v>
      </c>
      <c r="CD168" s="29">
        <f>CC168*(1+Inputs!$C$35)</f>
        <v>31442.818384593138</v>
      </c>
      <c r="CE168" s="29">
        <f>CD168*(1+Inputs!$C$35)</f>
        <v>32228.888844207962</v>
      </c>
      <c r="CF168" s="29">
        <f>CE168*(1+Inputs!$C$35)</f>
        <v>33034.611065313162</v>
      </c>
      <c r="CG168" s="29">
        <f>CF168*(1+Inputs!$C$35)</f>
        <v>33860.476341945985</v>
      </c>
      <c r="CH168" s="29">
        <f>CG168*(1+Inputs!$C$35)</f>
        <v>34706.988250494629</v>
      </c>
      <c r="CI168" s="29">
        <f>CH168*(1+Inputs!$C$35)</f>
        <v>35574.662956756991</v>
      </c>
      <c r="CJ168" s="29">
        <f>CI168*(1+Inputs!$C$35)</f>
        <v>36464.029530675914</v>
      </c>
      <c r="CK168" s="29">
        <f>CJ168*(1+Inputs!$C$35)</f>
        <v>37375.630268942812</v>
      </c>
    </row>
    <row r="169" spans="1:109" ht="14.25" customHeight="1" x14ac:dyDescent="0.2">
      <c r="A169" s="11">
        <f t="shared" si="58"/>
        <v>0</v>
      </c>
      <c r="B169" s="11"/>
      <c r="F169" s="56"/>
      <c r="H169" s="29">
        <f>Inputs!$C$39</f>
        <v>0</v>
      </c>
      <c r="I169" s="1"/>
      <c r="U169" s="203"/>
      <c r="AG169" s="203"/>
      <c r="AS169" s="203"/>
      <c r="BE169" s="203"/>
    </row>
    <row r="170" spans="1:109" ht="14.25" customHeight="1" x14ac:dyDescent="0.2">
      <c r="A170" s="283">
        <f t="shared" si="58"/>
        <v>0</v>
      </c>
      <c r="B170" s="284" t="s">
        <v>387</v>
      </c>
      <c r="C170" s="285"/>
      <c r="D170" s="284"/>
      <c r="E170" s="285"/>
      <c r="F170" s="287" t="s">
        <v>388</v>
      </c>
      <c r="G170" s="283"/>
      <c r="H170" s="283"/>
      <c r="I170" s="288"/>
      <c r="J170" s="289">
        <f t="shared" ref="J170:BU170" si="233">J167+J165+J158+J153+J149+J118+J101+J90</f>
        <v>31527.536827519685</v>
      </c>
      <c r="K170" s="289">
        <f t="shared" si="233"/>
        <v>33042.381573711653</v>
      </c>
      <c r="L170" s="289">
        <f t="shared" si="233"/>
        <v>31409.967671802598</v>
      </c>
      <c r="M170" s="289">
        <f t="shared" si="233"/>
        <v>28089.905142184365</v>
      </c>
      <c r="N170" s="289">
        <f t="shared" si="233"/>
        <v>27225.993671629378</v>
      </c>
      <c r="O170" s="289">
        <f t="shared" si="233"/>
        <v>27013.427087625572</v>
      </c>
      <c r="P170" s="289">
        <f t="shared" si="233"/>
        <v>27900.718664231434</v>
      </c>
      <c r="Q170" s="289">
        <f t="shared" si="233"/>
        <v>28003.607713353653</v>
      </c>
      <c r="R170" s="289">
        <f t="shared" si="233"/>
        <v>27944.906403286481</v>
      </c>
      <c r="S170" s="289">
        <f t="shared" si="233"/>
        <v>27446.524280048394</v>
      </c>
      <c r="T170" s="289">
        <f t="shared" si="233"/>
        <v>28059.759342970501</v>
      </c>
      <c r="U170" s="290">
        <f t="shared" si="233"/>
        <v>30204.57169074476</v>
      </c>
      <c r="V170" s="289">
        <f t="shared" si="233"/>
        <v>37507.938929995085</v>
      </c>
      <c r="W170" s="289">
        <f t="shared" si="233"/>
        <v>39078.416378260445</v>
      </c>
      <c r="X170" s="289">
        <f t="shared" si="233"/>
        <v>37423.314922996171</v>
      </c>
      <c r="Y170" s="289">
        <f t="shared" si="233"/>
        <v>34042.095083381202</v>
      </c>
      <c r="Z170" s="289">
        <f t="shared" si="233"/>
        <v>33189.031846983373</v>
      </c>
      <c r="AA170" s="289">
        <f t="shared" si="233"/>
        <v>33001.877624855639</v>
      </c>
      <c r="AB170" s="289">
        <f t="shared" si="233"/>
        <v>33937.833199434113</v>
      </c>
      <c r="AC170" s="289">
        <f t="shared" si="233"/>
        <v>34060.284601945095</v>
      </c>
      <c r="AD170" s="289">
        <f t="shared" si="233"/>
        <v>34013.625710920824</v>
      </c>
      <c r="AE170" s="289">
        <f t="shared" si="233"/>
        <v>33518.601547353406</v>
      </c>
      <c r="AF170" s="289">
        <f t="shared" si="233"/>
        <v>34159.728730679191</v>
      </c>
      <c r="AG170" s="290">
        <f t="shared" si="233"/>
        <v>36370.001642549971</v>
      </c>
      <c r="AH170" s="289">
        <f t="shared" si="233"/>
        <v>40562.564232115015</v>
      </c>
      <c r="AI170" s="289">
        <f t="shared" si="233"/>
        <v>42298.520152428537</v>
      </c>
      <c r="AJ170" s="289">
        <f t="shared" si="233"/>
        <v>40715.224012399442</v>
      </c>
      <c r="AK170" s="289">
        <f t="shared" si="233"/>
        <v>37364.84718394954</v>
      </c>
      <c r="AL170" s="289">
        <f t="shared" si="233"/>
        <v>36585.145468390067</v>
      </c>
      <c r="AM170" s="289">
        <f t="shared" si="233"/>
        <v>36496.759902987869</v>
      </c>
      <c r="AN170" s="289">
        <f t="shared" si="233"/>
        <v>37564.821313239023</v>
      </c>
      <c r="AO170" s="289">
        <f t="shared" si="233"/>
        <v>37808.657520907509</v>
      </c>
      <c r="AP170" s="289">
        <f t="shared" si="233"/>
        <v>37882.285108527154</v>
      </c>
      <c r="AQ170" s="289">
        <f t="shared" si="233"/>
        <v>37496.149332983208</v>
      </c>
      <c r="AR170" s="289">
        <f t="shared" si="233"/>
        <v>38274.195262729321</v>
      </c>
      <c r="AS170" s="290">
        <f t="shared" si="233"/>
        <v>40666.110374942968</v>
      </c>
      <c r="AT170" s="289">
        <f t="shared" si="233"/>
        <v>44165.392642767561</v>
      </c>
      <c r="AU170" s="289">
        <f t="shared" si="233"/>
        <v>45900.135256725735</v>
      </c>
      <c r="AV170" s="289">
        <f t="shared" si="233"/>
        <v>44210.556174505</v>
      </c>
      <c r="AW170" s="289">
        <f t="shared" si="233"/>
        <v>40715.725883305407</v>
      </c>
      <c r="AX170" s="289">
        <f t="shared" si="233"/>
        <v>39832.62407528625</v>
      </c>
      <c r="AY170" s="289">
        <f t="shared" si="233"/>
        <v>39653.422982231903</v>
      </c>
      <c r="AZ170" s="289">
        <f t="shared" si="233"/>
        <v>40652.630460049899</v>
      </c>
      <c r="BA170" s="289">
        <f t="shared" si="233"/>
        <v>40797.658188187059</v>
      </c>
      <c r="BB170" s="289">
        <f t="shared" si="233"/>
        <v>40793.153875451011</v>
      </c>
      <c r="BC170" s="289">
        <f t="shared" si="233"/>
        <v>40315.074343058892</v>
      </c>
      <c r="BD170" s="289">
        <f t="shared" si="233"/>
        <v>41038.81833172933</v>
      </c>
      <c r="BE170" s="290">
        <f t="shared" si="233"/>
        <v>43435.323614978843</v>
      </c>
      <c r="BF170" s="289">
        <f t="shared" si="233"/>
        <v>47100.087059027683</v>
      </c>
      <c r="BG170" s="289">
        <f t="shared" si="233"/>
        <v>48896.38000838914</v>
      </c>
      <c r="BH170" s="289">
        <f t="shared" si="233"/>
        <v>47182.363371496234</v>
      </c>
      <c r="BI170" s="289">
        <f t="shared" si="233"/>
        <v>43618.42129949489</v>
      </c>
      <c r="BJ170" s="289">
        <f t="shared" si="233"/>
        <v>42732.679679268738</v>
      </c>
      <c r="BK170" s="289">
        <f t="shared" si="233"/>
        <v>42570.744508535972</v>
      </c>
      <c r="BL170" s="289">
        <f t="shared" si="233"/>
        <v>43614.252013426449</v>
      </c>
      <c r="BM170" s="289">
        <f t="shared" si="233"/>
        <v>43780.29850223699</v>
      </c>
      <c r="BN170" s="289">
        <f t="shared" si="233"/>
        <v>43792.248419215255</v>
      </c>
      <c r="BO170" s="289">
        <f t="shared" si="233"/>
        <v>43318.044888189368</v>
      </c>
      <c r="BP170" s="289">
        <f t="shared" si="233"/>
        <v>44075.857610312632</v>
      </c>
      <c r="BQ170" s="289">
        <f t="shared" si="233"/>
        <v>46548.514961728601</v>
      </c>
      <c r="BR170" s="289" t="e">
        <f t="shared" si="233"/>
        <v>#N/A</v>
      </c>
      <c r="BS170" s="289" t="e">
        <f t="shared" si="233"/>
        <v>#N/A</v>
      </c>
      <c r="BT170" s="289" t="e">
        <f t="shared" si="233"/>
        <v>#N/A</v>
      </c>
      <c r="BU170" s="289" t="e">
        <f t="shared" si="233"/>
        <v>#N/A</v>
      </c>
      <c r="BV170" s="285"/>
      <c r="BW170" s="289">
        <f t="shared" ref="BW170:CK170" si="234">BW167+BW165+BW158+BW153+BW149+BW118+BW101+BW90</f>
        <v>347869.31206910842</v>
      </c>
      <c r="BX170" s="289">
        <f t="shared" si="234"/>
        <v>420302.76251935452</v>
      </c>
      <c r="BY170" s="289">
        <f t="shared" si="234"/>
        <v>463715.29247309966</v>
      </c>
      <c r="BZ170" s="289">
        <f t="shared" si="234"/>
        <v>501510.52875096432</v>
      </c>
      <c r="CA170" s="289">
        <f t="shared" si="234"/>
        <v>537229.90556707676</v>
      </c>
      <c r="CB170" s="289">
        <f t="shared" si="234"/>
        <v>553830.96248330013</v>
      </c>
      <c r="CC170" s="289">
        <f t="shared" si="234"/>
        <v>570988.04831586906</v>
      </c>
      <c r="CD170" s="289">
        <f t="shared" si="234"/>
        <v>588720.84578865313</v>
      </c>
      <c r="CE170" s="289">
        <f t="shared" si="234"/>
        <v>607049.76239266968</v>
      </c>
      <c r="CF170" s="289">
        <f t="shared" si="234"/>
        <v>625995.95782741439</v>
      </c>
      <c r="CG170" s="289">
        <f t="shared" si="234"/>
        <v>645581.37250125268</v>
      </c>
      <c r="CH170" s="289">
        <f t="shared" si="234"/>
        <v>665828.75713227363</v>
      </c>
      <c r="CI170" s="289">
        <f t="shared" si="234"/>
        <v>686761.70349263202</v>
      </c>
      <c r="CJ170" s="289">
        <f t="shared" si="234"/>
        <v>708404.67634111212</v>
      </c>
      <c r="CK170" s="289">
        <f t="shared" si="234"/>
        <v>730783.04659040004</v>
      </c>
      <c r="CL170" s="285"/>
      <c r="CM170" s="285"/>
      <c r="CN170" s="285"/>
      <c r="CO170" s="285"/>
      <c r="CP170" s="285"/>
      <c r="CQ170" s="285"/>
      <c r="CR170" s="285"/>
      <c r="CS170" s="285"/>
      <c r="CT170" s="285"/>
      <c r="CU170" s="285"/>
      <c r="CV170" s="285"/>
      <c r="CW170" s="285"/>
      <c r="CX170" s="285"/>
      <c r="CY170" s="285"/>
      <c r="CZ170" s="285"/>
      <c r="DA170" s="285"/>
      <c r="DB170" s="285"/>
      <c r="DC170" s="285"/>
      <c r="DD170" s="285"/>
      <c r="DE170" s="285"/>
    </row>
    <row r="171" spans="1:109" ht="8.25" customHeight="1" x14ac:dyDescent="0.2">
      <c r="A171" s="11">
        <f t="shared" si="58"/>
        <v>0</v>
      </c>
      <c r="B171" s="11"/>
      <c r="F171" s="249"/>
      <c r="I171" s="1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3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3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3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3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</row>
    <row r="172" spans="1:109" ht="14.25" customHeight="1" x14ac:dyDescent="0.2">
      <c r="A172" s="283">
        <f t="shared" si="58"/>
        <v>0</v>
      </c>
      <c r="B172" s="284" t="s">
        <v>389</v>
      </c>
      <c r="C172" s="285"/>
      <c r="D172" s="284"/>
      <c r="E172" s="285"/>
      <c r="F172" s="287" t="s">
        <v>390</v>
      </c>
      <c r="G172" s="283"/>
      <c r="H172" s="283"/>
      <c r="I172" s="288"/>
      <c r="J172" s="289">
        <f t="shared" ref="J172:BU172" si="235">J80-J170</f>
        <v>-27796.474939934869</v>
      </c>
      <c r="K172" s="289">
        <f t="shared" si="235"/>
        <v>-25875.265503789182</v>
      </c>
      <c r="L172" s="289">
        <f t="shared" si="235"/>
        <v>-19312.347340127853</v>
      </c>
      <c r="M172" s="289">
        <f t="shared" si="235"/>
        <v>-10832.938273073414</v>
      </c>
      <c r="N172" s="289">
        <f t="shared" si="235"/>
        <v>-1527.3516148333365</v>
      </c>
      <c r="O172" s="289">
        <f t="shared" si="235"/>
        <v>6004.2852309256086</v>
      </c>
      <c r="P172" s="289">
        <f t="shared" si="235"/>
        <v>11492.757854774223</v>
      </c>
      <c r="Q172" s="289">
        <f t="shared" si="235"/>
        <v>15863.305724704842</v>
      </c>
      <c r="R172" s="289">
        <f t="shared" si="235"/>
        <v>19810.202250013801</v>
      </c>
      <c r="S172" s="289">
        <f t="shared" si="235"/>
        <v>24401.500753889242</v>
      </c>
      <c r="T172" s="289">
        <f t="shared" si="235"/>
        <v>27449.137992124983</v>
      </c>
      <c r="U172" s="290">
        <f t="shared" si="235"/>
        <v>28391.071200611968</v>
      </c>
      <c r="V172" s="289">
        <f t="shared" si="235"/>
        <v>25180.176525294912</v>
      </c>
      <c r="W172" s="289">
        <f t="shared" si="235"/>
        <v>27613.582884663381</v>
      </c>
      <c r="X172" s="289">
        <f t="shared" si="235"/>
        <v>34967.917941124702</v>
      </c>
      <c r="Y172" s="289">
        <f t="shared" si="235"/>
        <v>44435.069821991106</v>
      </c>
      <c r="Z172" s="289">
        <f t="shared" si="235"/>
        <v>55106.097574413056</v>
      </c>
      <c r="AA172" s="289">
        <f t="shared" si="235"/>
        <v>63915.674188841353</v>
      </c>
      <c r="AB172" s="289">
        <f t="shared" si="235"/>
        <v>70478.779042002614</v>
      </c>
      <c r="AC172" s="289">
        <f t="shared" si="235"/>
        <v>75550.448637015288</v>
      </c>
      <c r="AD172" s="289">
        <f t="shared" si="235"/>
        <v>80058.365386264079</v>
      </c>
      <c r="AE172" s="289">
        <f t="shared" si="235"/>
        <v>85317.25026794069</v>
      </c>
      <c r="AF172" s="289">
        <f t="shared" si="235"/>
        <v>88869.815909144992</v>
      </c>
      <c r="AG172" s="290">
        <f t="shared" si="235"/>
        <v>90248.526322700753</v>
      </c>
      <c r="AH172" s="289">
        <f t="shared" si="235"/>
        <v>89175.326616623439</v>
      </c>
      <c r="AI172" s="289">
        <f t="shared" si="235"/>
        <v>90584.018991164718</v>
      </c>
      <c r="AJ172" s="289">
        <f t="shared" si="235"/>
        <v>96589.974535032961</v>
      </c>
      <c r="AK172" s="289">
        <f t="shared" si="235"/>
        <v>104780.7611525369</v>
      </c>
      <c r="AL172" s="289">
        <f t="shared" si="235"/>
        <v>113216.67563638459</v>
      </c>
      <c r="AM172" s="289">
        <f t="shared" si="235"/>
        <v>120067.42206830138</v>
      </c>
      <c r="AN172" s="289">
        <f t="shared" si="235"/>
        <v>124794.60141066811</v>
      </c>
      <c r="AO172" s="289">
        <f t="shared" si="235"/>
        <v>128377.00680673549</v>
      </c>
      <c r="AP172" s="289">
        <f t="shared" si="235"/>
        <v>131463.6187606476</v>
      </c>
      <c r="AQ172" s="289">
        <f t="shared" si="235"/>
        <v>135241.50586827481</v>
      </c>
      <c r="AR172" s="289">
        <f t="shared" si="235"/>
        <v>137205.68577492301</v>
      </c>
      <c r="AS172" s="290">
        <f t="shared" si="235"/>
        <v>137114.13694380192</v>
      </c>
      <c r="AT172" s="289">
        <f t="shared" si="235"/>
        <v>131641.90239096043</v>
      </c>
      <c r="AU172" s="289">
        <f t="shared" si="235"/>
        <v>130487.74709243563</v>
      </c>
      <c r="AV172" s="289">
        <f t="shared" si="235"/>
        <v>133314.90586577865</v>
      </c>
      <c r="AW172" s="289">
        <f t="shared" si="235"/>
        <v>138601.65065537265</v>
      </c>
      <c r="AX172" s="289">
        <f t="shared" si="235"/>
        <v>143149.26999348664</v>
      </c>
      <c r="AY172" s="289">
        <f t="shared" si="235"/>
        <v>145903.40629311401</v>
      </c>
      <c r="AZ172" s="289">
        <f t="shared" si="235"/>
        <v>146225.33176686961</v>
      </c>
      <c r="BA172" s="289">
        <f t="shared" si="235"/>
        <v>145048.82409723266</v>
      </c>
      <c r="BB172" s="289">
        <f t="shared" si="235"/>
        <v>144356.21663821212</v>
      </c>
      <c r="BC172" s="289">
        <f t="shared" si="235"/>
        <v>144268.8332383238</v>
      </c>
      <c r="BD172" s="289">
        <f t="shared" si="235"/>
        <v>142668.43540169232</v>
      </c>
      <c r="BE172" s="290">
        <f t="shared" si="235"/>
        <v>139695.75409442894</v>
      </c>
      <c r="BF172" s="289">
        <f t="shared" si="235"/>
        <v>136534.06194435307</v>
      </c>
      <c r="BG172" s="289">
        <f t="shared" si="235"/>
        <v>135217.69660931802</v>
      </c>
      <c r="BH172" s="289">
        <f t="shared" si="235"/>
        <v>138119.55395406729</v>
      </c>
      <c r="BI172" s="289">
        <f t="shared" si="235"/>
        <v>143537.16509980985</v>
      </c>
      <c r="BJ172" s="289">
        <f t="shared" si="235"/>
        <v>148189.03454100303</v>
      </c>
      <c r="BK172" s="289">
        <f t="shared" si="235"/>
        <v>151111.79366420233</v>
      </c>
      <c r="BL172" s="289">
        <f t="shared" si="235"/>
        <v>151473.03878541934</v>
      </c>
      <c r="BM172" s="289">
        <f t="shared" si="235"/>
        <v>150276.4643505727</v>
      </c>
      <c r="BN172" s="289">
        <f t="shared" si="235"/>
        <v>149528.9686923041</v>
      </c>
      <c r="BO172" s="289">
        <f t="shared" si="235"/>
        <v>149363.26284867385</v>
      </c>
      <c r="BP172" s="289">
        <f t="shared" si="235"/>
        <v>147653.16674051131</v>
      </c>
      <c r="BQ172" s="289">
        <f t="shared" si="235"/>
        <v>144532.06570828918</v>
      </c>
      <c r="BR172" s="289" t="e">
        <f t="shared" si="235"/>
        <v>#N/A</v>
      </c>
      <c r="BS172" s="289" t="e">
        <f t="shared" si="235"/>
        <v>#N/A</v>
      </c>
      <c r="BT172" s="289" t="e">
        <f t="shared" si="235"/>
        <v>#N/A</v>
      </c>
      <c r="BU172" s="289" t="e">
        <f t="shared" si="235"/>
        <v>#N/A</v>
      </c>
      <c r="BV172" s="285"/>
      <c r="BW172" s="289">
        <f t="shared" ref="BW172:CK172" si="236">BW80-BW170</f>
        <v>48067.871335286065</v>
      </c>
      <c r="BX172" s="289">
        <f t="shared" si="236"/>
        <v>741741.69220139715</v>
      </c>
      <c r="BY172" s="289">
        <f t="shared" si="236"/>
        <v>1408610.7219575951</v>
      </c>
      <c r="BZ172" s="289">
        <f t="shared" si="236"/>
        <v>1685362.2646052199</v>
      </c>
      <c r="CA172" s="289">
        <f t="shared" si="236"/>
        <v>1745536.2596927693</v>
      </c>
      <c r="CB172" s="289">
        <f t="shared" si="236"/>
        <v>1820245.84938694</v>
      </c>
      <c r="CC172" s="289">
        <f t="shared" si="236"/>
        <v>1898051.8360291803</v>
      </c>
      <c r="CD172" s="289">
        <f t="shared" si="236"/>
        <v>1979080.6339301988</v>
      </c>
      <c r="CE172" s="289">
        <f t="shared" si="236"/>
        <v>2063463.7765149365</v>
      </c>
      <c r="CF172" s="289">
        <f t="shared" si="236"/>
        <v>2151338.1226364961</v>
      </c>
      <c r="CG172" s="289">
        <f t="shared" si="236"/>
        <v>2242846.0711812144</v>
      </c>
      <c r="CH172" s="289">
        <f t="shared" si="236"/>
        <v>2338135.7842974924</v>
      </c>
      <c r="CI172" s="289">
        <f t="shared" si="236"/>
        <v>2437361.4195943247</v>
      </c>
      <c r="CJ172" s="289">
        <f t="shared" si="236"/>
        <v>2540683.3716693227</v>
      </c>
      <c r="CK172" s="289">
        <f t="shared" si="236"/>
        <v>2648268.5233404525</v>
      </c>
      <c r="CL172" s="285"/>
      <c r="CM172" s="285"/>
      <c r="CN172" s="285"/>
      <c r="CO172" s="285"/>
      <c r="CP172" s="285"/>
      <c r="CQ172" s="285"/>
      <c r="CR172" s="285"/>
      <c r="CS172" s="285"/>
      <c r="CT172" s="285"/>
      <c r="CU172" s="285"/>
      <c r="CV172" s="285"/>
      <c r="CW172" s="285"/>
      <c r="CX172" s="285"/>
      <c r="CY172" s="285"/>
      <c r="CZ172" s="285"/>
      <c r="DA172" s="285"/>
      <c r="DB172" s="285"/>
      <c r="DC172" s="285"/>
      <c r="DD172" s="285"/>
      <c r="DE172" s="285"/>
    </row>
    <row r="173" spans="1:109" ht="14.25" customHeight="1" x14ac:dyDescent="0.2">
      <c r="A173" s="11"/>
      <c r="B173" s="11"/>
      <c r="F173" s="56"/>
      <c r="I173" s="1"/>
    </row>
    <row r="174" spans="1:109" ht="14.25" customHeight="1" x14ac:dyDescent="0.2">
      <c r="A174" s="283"/>
      <c r="B174" s="283"/>
      <c r="C174" s="285"/>
      <c r="D174" s="285"/>
      <c r="E174" s="285"/>
      <c r="F174" s="287" t="s">
        <v>391</v>
      </c>
      <c r="G174" s="285"/>
      <c r="H174" s="299">
        <f>Inputs!C46</f>
        <v>9687379</v>
      </c>
      <c r="I174" s="300"/>
      <c r="J174" s="299">
        <f>'Loan Payoff Schedule'!F3</f>
        <v>9687379</v>
      </c>
      <c r="K174" s="299">
        <f>'Loan Payoff Schedule'!G3</f>
        <v>9676336.2425801959</v>
      </c>
      <c r="L174" s="299">
        <f>'Loan Payoff Schedule'!H3</f>
        <v>9665224.467926519</v>
      </c>
      <c r="M174" s="299">
        <f>'Loan Payoff Schedule'!I3</f>
        <v>9654043.2446812559</v>
      </c>
      <c r="N174" s="299">
        <f>'Loan Payoff Schedule'!J3</f>
        <v>9642792.1387907099</v>
      </c>
      <c r="O174" s="299">
        <f>'Loan Payoff Schedule'!K3</f>
        <v>9631470.7134883478</v>
      </c>
      <c r="P174" s="299">
        <f>'Loan Payoff Schedule'!L3</f>
        <v>9620078.5292778462</v>
      </c>
      <c r="Q174" s="299">
        <f>'Loan Payoff Schedule'!M3</f>
        <v>9608615.1439160295</v>
      </c>
      <c r="R174" s="299">
        <f>'Loan Payoff Schedule'!N3</f>
        <v>9597080.1123957001</v>
      </c>
      <c r="S174" s="299">
        <f>'Loan Payoff Schedule'!O3</f>
        <v>9585472.9869283698</v>
      </c>
      <c r="T174" s="299">
        <f>'Loan Payoff Schedule'!P3</f>
        <v>9573793.3169268686</v>
      </c>
      <c r="U174" s="299">
        <f>'Loan Payoff Schedule'!Q3</f>
        <v>9562040.6489878576</v>
      </c>
      <c r="V174" s="299">
        <f>'Loan Payoff Schedule'!R3</f>
        <v>9550214.5268742274</v>
      </c>
      <c r="W174" s="299">
        <f>'Loan Payoff Schedule'!S3</f>
        <v>9538314.4914973881</v>
      </c>
      <c r="X174" s="299">
        <f>'Loan Payoff Schedule'!T3</f>
        <v>9526340.0808994435</v>
      </c>
      <c r="Y174" s="299">
        <f>'Loan Payoff Schedule'!U3</f>
        <v>9514290.8302352615</v>
      </c>
      <c r="Z174" s="299">
        <f>'Loan Payoff Schedule'!V3</f>
        <v>9502166.2717544287</v>
      </c>
      <c r="AA174" s="299">
        <f>'Loan Payoff Schedule'!W3</f>
        <v>9489965.9347830899</v>
      </c>
      <c r="AB174" s="299">
        <f>'Loan Payoff Schedule'!X3</f>
        <v>9477689.3457056805</v>
      </c>
      <c r="AC174" s="299">
        <f>'Loan Payoff Schedule'!Y3</f>
        <v>9465336.0279465374</v>
      </c>
      <c r="AD174" s="299">
        <f>'Loan Payoff Schedule'!Z3</f>
        <v>9452905.5019514002</v>
      </c>
      <c r="AE174" s="299">
        <f>'Loan Payoff Schedule'!AA3</f>
        <v>9440397.2851687931</v>
      </c>
      <c r="AF174" s="299">
        <f>'Loan Payoff Schedule'!AB3</f>
        <v>9427810.8920312934</v>
      </c>
      <c r="AG174" s="299">
        <f>'Loan Payoff Schedule'!AC3</f>
        <v>9415145.8339366857</v>
      </c>
      <c r="AH174" s="299">
        <f>'Loan Payoff Schedule'!AD3</f>
        <v>9402401.619228987</v>
      </c>
      <c r="AI174" s="299">
        <f>'Loan Payoff Schedule'!AE3</f>
        <v>9389577.7531793639</v>
      </c>
      <c r="AJ174" s="299">
        <f>'Loan Payoff Schedule'!AF3</f>
        <v>9376673.7379669305</v>
      </c>
      <c r="AK174" s="299">
        <f>'Loan Payoff Schedule'!AG3</f>
        <v>9363689.0726594198</v>
      </c>
      <c r="AL174" s="299">
        <f>'Loan Payoff Schedule'!AH3</f>
        <v>9350623.2531937379</v>
      </c>
      <c r="AM174" s="299">
        <f>'Loan Payoff Schedule'!AI3</f>
        <v>9337475.7723563947</v>
      </c>
      <c r="AN174" s="299">
        <f>'Loan Payoff Schedule'!AJ3</f>
        <v>9324246.1197638176</v>
      </c>
      <c r="AO174" s="299">
        <f>'Loan Payoff Schedule'!AK3</f>
        <v>9310933.7818425372</v>
      </c>
      <c r="AP174" s="299">
        <f>'Loan Payoff Schedule'!AL3</f>
        <v>9297538.2418092489</v>
      </c>
      <c r="AQ174" s="299">
        <f>'Loan Payoff Schedule'!AM3</f>
        <v>9284058.9796507526</v>
      </c>
      <c r="AR174" s="299">
        <f>'Loan Payoff Schedule'!AN3</f>
        <v>9270495.4721037652</v>
      </c>
      <c r="AS174" s="299">
        <f>'Loan Payoff Schedule'!AO3</f>
        <v>9256847.1926346105</v>
      </c>
      <c r="AT174" s="299">
        <f>'Loan Payoff Schedule'!AP3</f>
        <v>9243113.6114187725</v>
      </c>
      <c r="AU174" s="299">
        <f>'Loan Payoff Schedule'!AQ3</f>
        <v>9229294.1953203361</v>
      </c>
      <c r="AV174" s="299">
        <f>'Loan Payoff Schedule'!AR3</f>
        <v>9215388.4078712836</v>
      </c>
      <c r="AW174" s="299">
        <f>'Loan Payoff Schedule'!AS3</f>
        <v>9201395.7092506755</v>
      </c>
      <c r="AX174" s="299">
        <f>'Loan Payoff Schedule'!AT3</f>
        <v>9187315.556263689</v>
      </c>
      <c r="AY174" s="299">
        <f>'Loan Payoff Schedule'!AU3</f>
        <v>9173147.402320534</v>
      </c>
      <c r="AZ174" s="299">
        <f>'Loan Payoff Schedule'!AV3</f>
        <v>9158890.6974152327</v>
      </c>
      <c r="BA174" s="299">
        <f>'Loan Payoff Schedule'!AW3</f>
        <v>9144544.8881042749</v>
      </c>
      <c r="BB174" s="299">
        <f>'Loan Payoff Schedule'!AX3</f>
        <v>9130109.4174851235</v>
      </c>
      <c r="BC174" s="299">
        <f>'Loan Payoff Schedule'!AY3</f>
        <v>9115583.7251746021</v>
      </c>
      <c r="BD174" s="299">
        <f>'Loan Payoff Schedule'!AZ3</f>
        <v>9100967.2472871393</v>
      </c>
      <c r="BE174" s="299">
        <f>'Loan Payoff Schedule'!BA3</f>
        <v>9086259.4164128806</v>
      </c>
      <c r="BF174" s="299">
        <f>'Loan Payoff Schedule'!BB3</f>
        <v>9071459.6615956575</v>
      </c>
      <c r="BG174" s="299">
        <f>'Loan Payoff Schedule'!BC3</f>
        <v>9056567.4083108269</v>
      </c>
      <c r="BH174" s="299">
        <f>'Loan Payoff Schedule'!BD3</f>
        <v>9041582.0784429666</v>
      </c>
      <c r="BI174" s="299">
        <f>'Loan Payoff Schedule'!BE3</f>
        <v>9026503.0902634319</v>
      </c>
      <c r="BJ174" s="299">
        <f>'Loan Payoff Schedule'!BF3</f>
        <v>9011329.8584077749</v>
      </c>
      <c r="BK174" s="299">
        <f>'Loan Payoff Schedule'!BG3</f>
        <v>8996061.7938530203</v>
      </c>
      <c r="BL174" s="299">
        <f>'Loan Payoff Schedule'!BH3</f>
        <v>8980698.3038947973</v>
      </c>
      <c r="BM174" s="299">
        <f>'Loan Payoff Schedule'!BI3</f>
        <v>8965238.7921243366</v>
      </c>
      <c r="BN174" s="299">
        <f>'Loan Payoff Schedule'!BJ3</f>
        <v>8949682.6584053095</v>
      </c>
      <c r="BO174" s="299">
        <f>'Loan Payoff Schedule'!BK3</f>
        <v>8934029.2988505382</v>
      </c>
      <c r="BP174" s="299">
        <f>'Loan Payoff Schedule'!BL3</f>
        <v>8918278.10579855</v>
      </c>
      <c r="BQ174" s="299">
        <f>'Loan Payoff Schedule'!BM3</f>
        <v>8902428.4677899871</v>
      </c>
      <c r="BR174" s="299">
        <f>'Loan Payoff Schedule'!BN3</f>
        <v>8886479.7695438713</v>
      </c>
      <c r="BS174" s="299">
        <f>'Loan Payoff Schedule'!BO3</f>
        <v>8870431.3919337168</v>
      </c>
      <c r="BT174" s="299">
        <f>'Loan Payoff Schedule'!BP3</f>
        <v>8854282.711963499</v>
      </c>
      <c r="BU174" s="299">
        <f>'Loan Payoff Schedule'!BQ3</f>
        <v>8838033.1027434673</v>
      </c>
      <c r="BV174" s="299"/>
      <c r="BW174" s="301">
        <f>H174</f>
        <v>9687379</v>
      </c>
      <c r="BX174" s="299">
        <f t="shared" ref="BX174:CK174" si="237">BW178</f>
        <v>9550214.5268742274</v>
      </c>
      <c r="BY174" s="299">
        <f t="shared" si="237"/>
        <v>9402401.6192289833</v>
      </c>
      <c r="BZ174" s="299">
        <f t="shared" si="237"/>
        <v>9243113.6114187725</v>
      </c>
      <c r="CA174" s="299">
        <f t="shared" si="237"/>
        <v>9071459.6615956556</v>
      </c>
      <c r="CB174" s="299">
        <f t="shared" si="237"/>
        <v>8886479.7695438676</v>
      </c>
      <c r="CC174" s="299">
        <f t="shared" si="237"/>
        <v>8687139.4077359922</v>
      </c>
      <c r="CD174" s="299">
        <f t="shared" si="237"/>
        <v>8472323.735584069</v>
      </c>
      <c r="CE174" s="299">
        <f t="shared" si="237"/>
        <v>8240831.3645279882</v>
      </c>
      <c r="CF174" s="299">
        <f t="shared" si="237"/>
        <v>7991367.6390914787</v>
      </c>
      <c r="CG174" s="299">
        <f t="shared" si="237"/>
        <v>7722537.3963290267</v>
      </c>
      <c r="CH174" s="299">
        <f t="shared" si="237"/>
        <v>7432837.1631698273</v>
      </c>
      <c r="CI174" s="299">
        <f t="shared" si="237"/>
        <v>7120646.7480212813</v>
      </c>
      <c r="CJ174" s="299">
        <f t="shared" si="237"/>
        <v>6784220.1796068111</v>
      </c>
      <c r="CK174" s="299">
        <f t="shared" si="237"/>
        <v>6421675.9423621101</v>
      </c>
      <c r="CL174" s="299"/>
      <c r="CM174" s="299"/>
      <c r="CN174" s="299"/>
      <c r="CO174" s="299"/>
      <c r="CP174" s="299"/>
      <c r="CQ174" s="299"/>
      <c r="CR174" s="299"/>
      <c r="CS174" s="299"/>
      <c r="CT174" s="299"/>
      <c r="CU174" s="299"/>
      <c r="CV174" s="299"/>
      <c r="CW174" s="299"/>
      <c r="CX174" s="299"/>
      <c r="CY174" s="299"/>
      <c r="CZ174" s="299"/>
      <c r="DA174" s="299"/>
      <c r="DB174" s="299"/>
      <c r="DC174" s="299"/>
      <c r="DD174" s="299"/>
      <c r="DE174" s="299"/>
    </row>
    <row r="175" spans="1:109" ht="14.25" customHeight="1" x14ac:dyDescent="0.2">
      <c r="A175" s="11"/>
      <c r="B175" s="11"/>
      <c r="F175" s="11" t="s">
        <v>392</v>
      </c>
      <c r="H175" s="35">
        <f>IF(OR(H$181 &lt;= 0, H$181 &gt; Inputs!$C$48*12), 0, IF(H$181 &lt;= Inputs!$C$49, H$174 * Inputs!$C$47 / 12, IPMT(Inputs!$C$47/12, H$181 - Inputs!$C$49, Inputs!$C$48 * 12 - Inputs!$C$49, -H$174)))</f>
        <v>0</v>
      </c>
      <c r="I175" s="302"/>
      <c r="J175" s="35">
        <f>'Loan Payoff Schedule'!F4</f>
        <v>60546.118749999994</v>
      </c>
      <c r="K175" s="35">
        <f>'Loan Payoff Schedule'!G4</f>
        <v>60477.101516126218</v>
      </c>
      <c r="L175" s="35">
        <f>'Loan Payoff Schedule'!H4</f>
        <v>60407.652924540744</v>
      </c>
      <c r="M175" s="35">
        <f>'Loan Payoff Schedule'!I4</f>
        <v>60337.770279257849</v>
      </c>
      <c r="N175" s="35">
        <f>'Loan Payoff Schedule'!J4</f>
        <v>60267.450867441941</v>
      </c>
      <c r="O175" s="35">
        <f>'Loan Payoff Schedule'!K4</f>
        <v>60196.691959302174</v>
      </c>
      <c r="P175" s="35">
        <f>'Loan Payoff Schedule'!L4</f>
        <v>60125.490807986534</v>
      </c>
      <c r="Q175" s="35">
        <f>'Loan Payoff Schedule'!M4</f>
        <v>60053.844649475184</v>
      </c>
      <c r="R175" s="35">
        <f>'Loan Payoff Schedule'!N4</f>
        <v>59981.750702473124</v>
      </c>
      <c r="S175" s="35">
        <f>'Loan Payoff Schedule'!O4</f>
        <v>59909.206168302306</v>
      </c>
      <c r="T175" s="35">
        <f>'Loan Payoff Schedule'!P4</f>
        <v>59836.208230792923</v>
      </c>
      <c r="U175" s="35">
        <f>'Loan Payoff Schedule'!Q4</f>
        <v>59762.754056174104</v>
      </c>
      <c r="V175" s="35">
        <f>'Loan Payoff Schedule'!R4</f>
        <v>59688.840792963922</v>
      </c>
      <c r="W175" s="35">
        <f>'Loan Payoff Schedule'!S4</f>
        <v>59614.46557185868</v>
      </c>
      <c r="X175" s="35">
        <f>'Loan Payoff Schedule'!T4</f>
        <v>59539.625505621516</v>
      </c>
      <c r="Y175" s="35">
        <f>'Loan Payoff Schedule'!U4</f>
        <v>59464.317688970383</v>
      </c>
      <c r="Z175" s="35">
        <f>'Loan Payoff Schedule'!V4</f>
        <v>59388.53919846518</v>
      </c>
      <c r="AA175" s="35">
        <f>'Loan Payoff Schedule'!W4</f>
        <v>59312.287092394312</v>
      </c>
      <c r="AB175" s="35">
        <f>'Loan Payoff Schedule'!X4</f>
        <v>59235.558410660502</v>
      </c>
      <c r="AC175" s="35">
        <f>'Loan Payoff Schedule'!Y4</f>
        <v>59158.350174665859</v>
      </c>
      <c r="AD175" s="35">
        <f>'Loan Payoff Schedule'!Z4</f>
        <v>59080.659387196247</v>
      </c>
      <c r="AE175" s="35">
        <f>'Loan Payoff Schedule'!AA4</f>
        <v>59002.483032304961</v>
      </c>
      <c r="AF175" s="35">
        <f>'Loan Payoff Schedule'!AB4</f>
        <v>58923.818075195588</v>
      </c>
      <c r="AG175" s="35">
        <f>'Loan Payoff Schedule'!AC4</f>
        <v>58844.66146210429</v>
      </c>
      <c r="AH175" s="35">
        <f>'Loan Payoff Schedule'!AD4</f>
        <v>58765.010120181163</v>
      </c>
      <c r="AI175" s="35">
        <f>'Loan Payoff Schedule'!AE4</f>
        <v>58684.86095737102</v>
      </c>
      <c r="AJ175" s="35">
        <f>'Loan Payoff Schedule'!AF4</f>
        <v>58604.210862293316</v>
      </c>
      <c r="AK175" s="35">
        <f>'Loan Payoff Schedule'!AG4</f>
        <v>58523.056704121373</v>
      </c>
      <c r="AL175" s="35">
        <f>'Loan Payoff Schedule'!AH4</f>
        <v>58441.395332460866</v>
      </c>
      <c r="AM175" s="35">
        <f>'Loan Payoff Schedule'!AI4</f>
        <v>58359.223577227465</v>
      </c>
      <c r="AN175" s="35">
        <f>'Loan Payoff Schedule'!AJ4</f>
        <v>58276.538248523859</v>
      </c>
      <c r="AO175" s="35">
        <f>'Loan Payoff Schedule'!AK4</f>
        <v>58193.336136515856</v>
      </c>
      <c r="AP175" s="35">
        <f>'Loan Payoff Schedule'!AL4</f>
        <v>58109.6140113078</v>
      </c>
      <c r="AQ175" s="35">
        <f>'Loan Payoff Schedule'!AM4</f>
        <v>58025.368622817208</v>
      </c>
      <c r="AR175" s="35">
        <f>'Loan Payoff Schedule'!AN4</f>
        <v>57940.596700648537</v>
      </c>
      <c r="AS175" s="35">
        <f>'Loan Payoff Schedule'!AO4</f>
        <v>57855.29495396631</v>
      </c>
      <c r="AT175" s="35">
        <f>'Loan Payoff Schedule'!AP4</f>
        <v>57769.460071367328</v>
      </c>
      <c r="AU175" s="35">
        <f>'Loan Payoff Schedule'!AQ4</f>
        <v>57683.088720752101</v>
      </c>
      <c r="AV175" s="35">
        <f>'Loan Payoff Schedule'!AR4</f>
        <v>57596.177549195527</v>
      </c>
      <c r="AW175" s="35">
        <f>'Loan Payoff Schedule'!AS4</f>
        <v>57508.723182816721</v>
      </c>
      <c r="AX175" s="35">
        <f>'Loan Payoff Schedule'!AT4</f>
        <v>57420.72222664806</v>
      </c>
      <c r="AY175" s="35">
        <f>'Loan Payoff Schedule'!AU4</f>
        <v>57332.171264503333</v>
      </c>
      <c r="AZ175" s="35">
        <f>'Loan Payoff Schedule'!AV4</f>
        <v>57243.066858845203</v>
      </c>
      <c r="BA175" s="35">
        <f>'Loan Payoff Schedule'!AW4</f>
        <v>57153.405550651718</v>
      </c>
      <c r="BB175" s="35">
        <f>'Loan Payoff Schedule'!AX4</f>
        <v>57063.18385928202</v>
      </c>
      <c r="BC175" s="35">
        <f>'Loan Payoff Schedule'!AY4</f>
        <v>56972.398282341259</v>
      </c>
      <c r="BD175" s="35">
        <f>'Loan Payoff Schedule'!AZ4</f>
        <v>56881.045295544616</v>
      </c>
      <c r="BE175" s="35">
        <f>'Loan Payoff Schedule'!BA4</f>
        <v>56789.1213525805</v>
      </c>
      <c r="BF175" s="35">
        <f>'Loan Payoff Schedule'!BB4</f>
        <v>56696.622884972858</v>
      </c>
      <c r="BG175" s="35">
        <f>'Loan Payoff Schedule'!BC4</f>
        <v>56603.546301942668</v>
      </c>
      <c r="BH175" s="35">
        <f>'Loan Payoff Schedule'!BD4</f>
        <v>56509.887990268537</v>
      </c>
      <c r="BI175" s="35">
        <f>'Loan Payoff Schedule'!BE4</f>
        <v>56415.644314146448</v>
      </c>
      <c r="BJ175" s="35">
        <f>'Loan Payoff Schedule'!BF4</f>
        <v>56320.811615048588</v>
      </c>
      <c r="BK175" s="35">
        <f>'Loan Payoff Schedule'!BG4</f>
        <v>56225.386211581375</v>
      </c>
      <c r="BL175" s="35">
        <f>'Loan Payoff Schedule'!BH4</f>
        <v>56129.364399342478</v>
      </c>
      <c r="BM175" s="35">
        <f>'Loan Payoff Schedule'!BI4</f>
        <v>56032.742450777099</v>
      </c>
      <c r="BN175" s="35">
        <f>'Loan Payoff Schedule'!BJ4</f>
        <v>55935.516615033179</v>
      </c>
      <c r="BO175" s="35">
        <f>'Loan Payoff Schedule'!BK4</f>
        <v>55837.683117815868</v>
      </c>
      <c r="BP175" s="35">
        <f>'Loan Payoff Schedule'!BL4</f>
        <v>55739.238161240937</v>
      </c>
      <c r="BQ175" s="35">
        <f>'Loan Payoff Schedule'!BM4</f>
        <v>55640.177923687414</v>
      </c>
      <c r="BR175" s="35">
        <f>'Loan Payoff Schedule'!BN4</f>
        <v>55540.49855964919</v>
      </c>
      <c r="BS175" s="35">
        <f>'Loan Payoff Schedule'!BO4</f>
        <v>55440.196199585735</v>
      </c>
      <c r="BT175" s="35">
        <f>'Loan Payoff Schedule'!BP4</f>
        <v>55339.266949771867</v>
      </c>
      <c r="BU175" s="35">
        <f>'Loan Payoff Schedule'!BQ4</f>
        <v>55237.706892146671</v>
      </c>
      <c r="BV175" s="35"/>
      <c r="BW175" s="29">
        <f>SUMIF('Loan Payoff Schedule'!2:2,BW9, 'Loan Payoff Schedule'!4:4)</f>
        <v>721902.0409118731</v>
      </c>
      <c r="BX175" s="29">
        <f>SUMIF('Loan Payoff Schedule'!2:2,BX9, 'Loan Payoff Schedule'!4:4)</f>
        <v>711253.60639240139</v>
      </c>
      <c r="BY175" s="29">
        <f>SUMIF('Loan Payoff Schedule'!2:2,BY9, 'Loan Payoff Schedule'!4:4)</f>
        <v>699778.50622743473</v>
      </c>
      <c r="BZ175" s="29">
        <f>SUMIF('Loan Payoff Schedule'!2:2,BZ9, 'Loan Payoff Schedule'!4:4)</f>
        <v>687412.56421452842</v>
      </c>
      <c r="CA175" s="29">
        <f>SUMIF('Loan Payoff Schedule'!2:2,CA9, 'Loan Payoff Schedule'!4:4)</f>
        <v>674086.62198585737</v>
      </c>
      <c r="CB175" s="29">
        <f>SUMIF('Loan Payoff Schedule'!2:2,CB9, 'Loan Payoff Schedule'!4:4)</f>
        <v>659726.15222976939</v>
      </c>
      <c r="CC175" s="29">
        <f>SUMIF('Loan Payoff Schedule'!2:2,CC9, 'Loan Payoff Schedule'!4:4)</f>
        <v>644250.84188572259</v>
      </c>
      <c r="CD175" s="29">
        <f>SUMIF('Loan Payoff Schedule'!2:2,CD9, 'Loan Payoff Schedule'!4:4)</f>
        <v>627574.14298156393</v>
      </c>
      <c r="CE175" s="29">
        <f>SUMIF('Loan Payoff Schedule'!2:2,CE9, 'Loan Payoff Schedule'!4:4)</f>
        <v>609602.78860113584</v>
      </c>
      <c r="CF175" s="29">
        <f>SUMIF('Loan Payoff Schedule'!2:2,CF9, 'Loan Payoff Schedule'!4:4)</f>
        <v>590236.27127519262</v>
      </c>
      <c r="CG175" s="29">
        <f>SUMIF('Loan Payoff Schedule'!2:2,CG9, 'Loan Payoff Schedule'!4:4)</f>
        <v>569366.28087844595</v>
      </c>
      <c r="CH175" s="29">
        <f>SUMIF('Loan Payoff Schedule'!2:2,CH9, 'Loan Payoff Schedule'!4:4)</f>
        <v>546876.09888909943</v>
      </c>
      <c r="CI175" s="29">
        <f>SUMIF('Loan Payoff Schedule'!2:2,CI9, 'Loan Payoff Schedule'!4:4)</f>
        <v>522639.94562317495</v>
      </c>
      <c r="CJ175" s="29">
        <f>SUMIF('Loan Payoff Schedule'!2:2,CJ9, 'Loan Payoff Schedule'!4:4)</f>
        <v>496522.27679294365</v>
      </c>
      <c r="CK175" s="29">
        <f>SUMIF('Loan Payoff Schedule'!2:2,CK9, 'Loan Payoff Schedule'!4:4)</f>
        <v>468377.0254553603</v>
      </c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</row>
    <row r="176" spans="1:109" ht="14.25" customHeight="1" x14ac:dyDescent="0.2">
      <c r="A176" s="11"/>
      <c r="B176" s="11"/>
      <c r="F176" s="11" t="s">
        <v>393</v>
      </c>
      <c r="H176" s="35">
        <f>IF(OR(H$181 &lt;= 0, H$181 &gt; Inputs!$C$48*12), 0, IF(H$181 = Inputs!$C$48*12, H$174, IF(H$181 &lt;= Inputs!$C$49, 0, PPMT(Inputs!$C$47/12, H$181 - Inputs!$C$49, Inputs!$C$48 * 12 - Inputs!$C$49, -H$174))))</f>
        <v>0</v>
      </c>
      <c r="I176" s="302"/>
      <c r="J176" s="35">
        <f>'Loan Payoff Schedule'!F5</f>
        <v>11042.757419803749</v>
      </c>
      <c r="K176" s="35">
        <f>'Loan Payoff Schedule'!G5</f>
        <v>11111.774653677521</v>
      </c>
      <c r="L176" s="35">
        <f>'Loan Payoff Schedule'!H5</f>
        <v>11181.223245263005</v>
      </c>
      <c r="M176" s="35">
        <f>'Loan Payoff Schedule'!I5</f>
        <v>11251.105890545901</v>
      </c>
      <c r="N176" s="35">
        <f>'Loan Payoff Schedule'!J5</f>
        <v>11321.425302361813</v>
      </c>
      <c r="O176" s="35">
        <f>'Loan Payoff Schedule'!K5</f>
        <v>11392.184210501573</v>
      </c>
      <c r="P176" s="35">
        <f>'Loan Payoff Schedule'!L5</f>
        <v>11463.385361817209</v>
      </c>
      <c r="Q176" s="35">
        <f>'Loan Payoff Schedule'!M5</f>
        <v>11535.031520328566</v>
      </c>
      <c r="R176" s="35">
        <f>'Loan Payoff Schedule'!N5</f>
        <v>11607.125467330619</v>
      </c>
      <c r="S176" s="35">
        <f>'Loan Payoff Schedule'!O5</f>
        <v>11679.670001501436</v>
      </c>
      <c r="T176" s="35">
        <f>'Loan Payoff Schedule'!P5</f>
        <v>11752.667939010817</v>
      </c>
      <c r="U176" s="35">
        <f>'Loan Payoff Schedule'!Q5</f>
        <v>11826.122113629635</v>
      </c>
      <c r="V176" s="35">
        <f>'Loan Payoff Schedule'!R5</f>
        <v>11900.03537683982</v>
      </c>
      <c r="W176" s="35">
        <f>'Loan Payoff Schedule'!S5</f>
        <v>11974.410597945071</v>
      </c>
      <c r="X176" s="35">
        <f>'Loan Payoff Schedule'!T5</f>
        <v>12049.250664182226</v>
      </c>
      <c r="Y176" s="35">
        <f>'Loan Payoff Schedule'!U5</f>
        <v>12124.558480833366</v>
      </c>
      <c r="Z176" s="35">
        <f>'Loan Payoff Schedule'!V5</f>
        <v>12200.336971338575</v>
      </c>
      <c r="AA176" s="35">
        <f>'Loan Payoff Schedule'!W5</f>
        <v>12276.589077409441</v>
      </c>
      <c r="AB176" s="35">
        <f>'Loan Payoff Schedule'!X5</f>
        <v>12353.317759143249</v>
      </c>
      <c r="AC176" s="35">
        <f>'Loan Payoff Schedule'!Y5</f>
        <v>12430.525995137896</v>
      </c>
      <c r="AD176" s="35">
        <f>'Loan Payoff Schedule'!Z5</f>
        <v>12508.216782607507</v>
      </c>
      <c r="AE176" s="35">
        <f>'Loan Payoff Schedule'!AA5</f>
        <v>12586.393137498804</v>
      </c>
      <c r="AF176" s="35">
        <f>'Loan Payoff Schedule'!AB5</f>
        <v>12665.058094608172</v>
      </c>
      <c r="AG176" s="35">
        <f>'Loan Payoff Schedule'!AC5</f>
        <v>12744.214707699473</v>
      </c>
      <c r="AH176" s="35">
        <f>'Loan Payoff Schedule'!AD5</f>
        <v>12823.866049622597</v>
      </c>
      <c r="AI176" s="35">
        <f>'Loan Payoff Schedule'!AE5</f>
        <v>12904.015212432734</v>
      </c>
      <c r="AJ176" s="35">
        <f>'Loan Payoff Schedule'!AF5</f>
        <v>12984.665307510439</v>
      </c>
      <c r="AK176" s="35">
        <f>'Loan Payoff Schedule'!AG5</f>
        <v>13065.819465682382</v>
      </c>
      <c r="AL176" s="35">
        <f>'Loan Payoff Schedule'!AH5</f>
        <v>13147.480837342895</v>
      </c>
      <c r="AM176" s="35">
        <f>'Loan Payoff Schedule'!AI5</f>
        <v>13229.652592576289</v>
      </c>
      <c r="AN176" s="35">
        <f>'Loan Payoff Schedule'!AJ5</f>
        <v>13312.337921279892</v>
      </c>
      <c r="AO176" s="35">
        <f>'Loan Payoff Schedule'!AK5</f>
        <v>13395.540033287889</v>
      </c>
      <c r="AP176" s="35">
        <f>'Loan Payoff Schedule'!AL5</f>
        <v>13479.26215849594</v>
      </c>
      <c r="AQ176" s="35">
        <f>'Loan Payoff Schedule'!AM5</f>
        <v>13563.507546986537</v>
      </c>
      <c r="AR176" s="35">
        <f>'Loan Payoff Schedule'!AN5</f>
        <v>13648.279469155203</v>
      </c>
      <c r="AS176" s="35">
        <f>'Loan Payoff Schedule'!AO5</f>
        <v>13733.581215837423</v>
      </c>
      <c r="AT176" s="35">
        <f>'Loan Payoff Schedule'!AP5</f>
        <v>13819.416098436406</v>
      </c>
      <c r="AU176" s="35">
        <f>'Loan Payoff Schedule'!AQ5</f>
        <v>13905.787449051633</v>
      </c>
      <c r="AV176" s="35">
        <f>'Loan Payoff Schedule'!AR5</f>
        <v>13992.698620608206</v>
      </c>
      <c r="AW176" s="35">
        <f>'Loan Payoff Schedule'!AS5</f>
        <v>14080.15298698701</v>
      </c>
      <c r="AX176" s="35">
        <f>'Loan Payoff Schedule'!AT5</f>
        <v>14168.153943155679</v>
      </c>
      <c r="AY176" s="35">
        <f>'Loan Payoff Schedule'!AU5</f>
        <v>14256.704905300403</v>
      </c>
      <c r="AZ176" s="35">
        <f>'Loan Payoff Schedule'!AV5</f>
        <v>14345.80931095853</v>
      </c>
      <c r="BA176" s="35">
        <f>'Loan Payoff Schedule'!AW5</f>
        <v>14435.47061915202</v>
      </c>
      <c r="BB176" s="35">
        <f>'Loan Payoff Schedule'!AX5</f>
        <v>14525.692310521721</v>
      </c>
      <c r="BC176" s="35">
        <f>'Loan Payoff Schedule'!AY5</f>
        <v>14616.477887462481</v>
      </c>
      <c r="BD176" s="35">
        <f>'Loan Payoff Schedule'!AZ5</f>
        <v>14707.830874259123</v>
      </c>
      <c r="BE176" s="35">
        <f>'Loan Payoff Schedule'!BA5</f>
        <v>14799.75481722324</v>
      </c>
      <c r="BF176" s="35">
        <f>'Loan Payoff Schedule'!BB5</f>
        <v>14892.253284830887</v>
      </c>
      <c r="BG176" s="35">
        <f>'Loan Payoff Schedule'!BC5</f>
        <v>14985.329867861081</v>
      </c>
      <c r="BH176" s="35">
        <f>'Loan Payoff Schedule'!BD5</f>
        <v>15078.98817953521</v>
      </c>
      <c r="BI176" s="35">
        <f>'Loan Payoff Schedule'!BE5</f>
        <v>15173.231855657306</v>
      </c>
      <c r="BJ176" s="35">
        <f>'Loan Payoff Schedule'!BF5</f>
        <v>15268.064554755165</v>
      </c>
      <c r="BK176" s="35">
        <f>'Loan Payoff Schedule'!BG5</f>
        <v>15363.489958222384</v>
      </c>
      <c r="BL176" s="35">
        <f>'Loan Payoff Schedule'!BH5</f>
        <v>15459.511770461275</v>
      </c>
      <c r="BM176" s="35">
        <f>'Loan Payoff Schedule'!BI5</f>
        <v>15556.133719026657</v>
      </c>
      <c r="BN176" s="35">
        <f>'Loan Payoff Schedule'!BJ5</f>
        <v>15653.35955477057</v>
      </c>
      <c r="BO176" s="35">
        <f>'Loan Payoff Schedule'!BK5</f>
        <v>15751.193051987888</v>
      </c>
      <c r="BP176" s="35">
        <f>'Loan Payoff Schedule'!BL5</f>
        <v>15849.638008562812</v>
      </c>
      <c r="BQ176" s="35">
        <f>'Loan Payoff Schedule'!BM5</f>
        <v>15948.69824611633</v>
      </c>
      <c r="BR176" s="35">
        <f>'Loan Payoff Schedule'!BN5</f>
        <v>16048.377610154555</v>
      </c>
      <c r="BS176" s="35">
        <f>'Loan Payoff Schedule'!BO5</f>
        <v>16148.679970218021</v>
      </c>
      <c r="BT176" s="35">
        <f>'Loan Payoff Schedule'!BP5</f>
        <v>16249.609220031885</v>
      </c>
      <c r="BU176" s="35">
        <f>'Loan Payoff Schedule'!BQ5</f>
        <v>16351.169277657087</v>
      </c>
      <c r="BV176" s="35"/>
      <c r="BW176" s="29">
        <f>SUMIF('Loan Payoff Schedule'!2:2,BW9, 'Loan Payoff Schedule'!5:5)</f>
        <v>137164.47312577185</v>
      </c>
      <c r="BX176" s="29">
        <f>SUMIF('Loan Payoff Schedule'!2:2,BX9, 'Loan Payoff Schedule'!5:5)</f>
        <v>147812.90764524357</v>
      </c>
      <c r="BY176" s="29">
        <f>SUMIF('Loan Payoff Schedule'!2:2,BY9, 'Loan Payoff Schedule'!5:5)</f>
        <v>159288.00781021023</v>
      </c>
      <c r="BZ176" s="29">
        <f>SUMIF('Loan Payoff Schedule'!2:2,BZ9, 'Loan Payoff Schedule'!5:5)</f>
        <v>171653.94982311645</v>
      </c>
      <c r="CA176" s="29">
        <f>SUMIF('Loan Payoff Schedule'!2:2,CA9, 'Loan Payoff Schedule'!5:5)</f>
        <v>184979.89205178758</v>
      </c>
      <c r="CB176" s="29">
        <f>SUMIF('Loan Payoff Schedule'!2:2,CB9, 'Loan Payoff Schedule'!5:5)</f>
        <v>199340.36180787574</v>
      </c>
      <c r="CC176" s="29">
        <f>SUMIF('Loan Payoff Schedule'!2:2,CC9, 'Loan Payoff Schedule'!5:5)</f>
        <v>214815.67215192245</v>
      </c>
      <c r="CD176" s="29">
        <f>SUMIF('Loan Payoff Schedule'!2:2,CD9, 'Loan Payoff Schedule'!5:5)</f>
        <v>231492.37105608115</v>
      </c>
      <c r="CE176" s="29">
        <f>SUMIF('Loan Payoff Schedule'!2:2,CE9, 'Loan Payoff Schedule'!5:5)</f>
        <v>249463.72543650912</v>
      </c>
      <c r="CF176" s="29">
        <f>SUMIF('Loan Payoff Schedule'!2:2,CF9, 'Loan Payoff Schedule'!5:5)</f>
        <v>268830.24276245246</v>
      </c>
      <c r="CG176" s="29">
        <f>SUMIF('Loan Payoff Schedule'!2:2,CG9, 'Loan Payoff Schedule'!5:5)</f>
        <v>289700.23315919912</v>
      </c>
      <c r="CH176" s="29">
        <f>SUMIF('Loan Payoff Schedule'!2:2,CH9, 'Loan Payoff Schedule'!5:5)</f>
        <v>312190.41514854558</v>
      </c>
      <c r="CI176" s="29">
        <f>SUMIF('Loan Payoff Schedule'!2:2,CI9, 'Loan Payoff Schedule'!5:5)</f>
        <v>336426.56841447012</v>
      </c>
      <c r="CJ176" s="29">
        <f>SUMIF('Loan Payoff Schedule'!2:2,CJ9, 'Loan Payoff Schedule'!5:5)</f>
        <v>362544.23724470142</v>
      </c>
      <c r="CK176" s="29">
        <f>SUMIF('Loan Payoff Schedule'!2:2,CK9, 'Loan Payoff Schedule'!5:5)</f>
        <v>390689.48858228471</v>
      </c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</row>
    <row r="177" spans="1:109" ht="14.25" customHeight="1" x14ac:dyDescent="0.2">
      <c r="A177" s="11"/>
      <c r="B177" s="11"/>
      <c r="F177" s="11" t="s">
        <v>394</v>
      </c>
      <c r="H177" s="35">
        <f>H175 + H176</f>
        <v>0</v>
      </c>
      <c r="I177" s="302"/>
      <c r="J177" s="35">
        <f>'Loan Payoff Schedule'!F6</f>
        <v>71588.876169803742</v>
      </c>
      <c r="K177" s="35">
        <f>'Loan Payoff Schedule'!G6</f>
        <v>71588.876169803742</v>
      </c>
      <c r="L177" s="35">
        <f>'Loan Payoff Schedule'!H6</f>
        <v>71588.876169803756</v>
      </c>
      <c r="M177" s="35">
        <f>'Loan Payoff Schedule'!I6</f>
        <v>71588.876169803756</v>
      </c>
      <c r="N177" s="35">
        <f>'Loan Payoff Schedule'!J6</f>
        <v>71588.876169803756</v>
      </c>
      <c r="O177" s="35">
        <f>'Loan Payoff Schedule'!K6</f>
        <v>71588.876169803742</v>
      </c>
      <c r="P177" s="35">
        <f>'Loan Payoff Schedule'!L6</f>
        <v>71588.876169803742</v>
      </c>
      <c r="Q177" s="35">
        <f>'Loan Payoff Schedule'!M6</f>
        <v>71588.876169803756</v>
      </c>
      <c r="R177" s="35">
        <f>'Loan Payoff Schedule'!N6</f>
        <v>71588.876169803742</v>
      </c>
      <c r="S177" s="35">
        <f>'Loan Payoff Schedule'!O6</f>
        <v>71588.876169803742</v>
      </c>
      <c r="T177" s="35">
        <f>'Loan Payoff Schedule'!P6</f>
        <v>71588.876169803742</v>
      </c>
      <c r="U177" s="35">
        <f>'Loan Payoff Schedule'!Q6</f>
        <v>71588.876169803742</v>
      </c>
      <c r="V177" s="35">
        <f>'Loan Payoff Schedule'!R6</f>
        <v>71588.876169803742</v>
      </c>
      <c r="W177" s="35">
        <f>'Loan Payoff Schedule'!S6</f>
        <v>71588.876169803756</v>
      </c>
      <c r="X177" s="35">
        <f>'Loan Payoff Schedule'!T6</f>
        <v>71588.876169803742</v>
      </c>
      <c r="Y177" s="35">
        <f>'Loan Payoff Schedule'!U6</f>
        <v>71588.876169803756</v>
      </c>
      <c r="Z177" s="35">
        <f>'Loan Payoff Schedule'!V6</f>
        <v>71588.876169803756</v>
      </c>
      <c r="AA177" s="35">
        <f>'Loan Payoff Schedule'!W6</f>
        <v>71588.876169803756</v>
      </c>
      <c r="AB177" s="35">
        <f>'Loan Payoff Schedule'!X6</f>
        <v>71588.876169803756</v>
      </c>
      <c r="AC177" s="35">
        <f>'Loan Payoff Schedule'!Y6</f>
        <v>71588.876169803756</v>
      </c>
      <c r="AD177" s="35">
        <f>'Loan Payoff Schedule'!Z6</f>
        <v>71588.876169803756</v>
      </c>
      <c r="AE177" s="35">
        <f>'Loan Payoff Schedule'!AA6</f>
        <v>71588.876169803771</v>
      </c>
      <c r="AF177" s="35">
        <f>'Loan Payoff Schedule'!AB6</f>
        <v>71588.876169803756</v>
      </c>
      <c r="AG177" s="35">
        <f>'Loan Payoff Schedule'!AC6</f>
        <v>71588.876169803756</v>
      </c>
      <c r="AH177" s="35">
        <f>'Loan Payoff Schedule'!AD6</f>
        <v>71588.876169803756</v>
      </c>
      <c r="AI177" s="35">
        <f>'Loan Payoff Schedule'!AE6</f>
        <v>71588.876169803756</v>
      </c>
      <c r="AJ177" s="35">
        <f>'Loan Payoff Schedule'!AF6</f>
        <v>71588.876169803756</v>
      </c>
      <c r="AK177" s="35">
        <f>'Loan Payoff Schedule'!AG6</f>
        <v>71588.876169803756</v>
      </c>
      <c r="AL177" s="35">
        <f>'Loan Payoff Schedule'!AH6</f>
        <v>71588.876169803756</v>
      </c>
      <c r="AM177" s="35">
        <f>'Loan Payoff Schedule'!AI6</f>
        <v>71588.876169803756</v>
      </c>
      <c r="AN177" s="35">
        <f>'Loan Payoff Schedule'!AJ6</f>
        <v>71588.876169803756</v>
      </c>
      <c r="AO177" s="35">
        <f>'Loan Payoff Schedule'!AK6</f>
        <v>71588.876169803742</v>
      </c>
      <c r="AP177" s="35">
        <f>'Loan Payoff Schedule'!AL6</f>
        <v>71588.876169803742</v>
      </c>
      <c r="AQ177" s="35">
        <f>'Loan Payoff Schedule'!AM6</f>
        <v>71588.876169803742</v>
      </c>
      <c r="AR177" s="35">
        <f>'Loan Payoff Schedule'!AN6</f>
        <v>71588.876169803742</v>
      </c>
      <c r="AS177" s="35">
        <f>'Loan Payoff Schedule'!AO6</f>
        <v>71588.876169803727</v>
      </c>
      <c r="AT177" s="35">
        <f>'Loan Payoff Schedule'!AP6</f>
        <v>71588.876169803727</v>
      </c>
      <c r="AU177" s="35">
        <f>'Loan Payoff Schedule'!AQ6</f>
        <v>71588.876169803727</v>
      </c>
      <c r="AV177" s="35">
        <f>'Loan Payoff Schedule'!AR6</f>
        <v>71588.876169803727</v>
      </c>
      <c r="AW177" s="35">
        <f>'Loan Payoff Schedule'!AS6</f>
        <v>71588.876169803727</v>
      </c>
      <c r="AX177" s="35">
        <f>'Loan Payoff Schedule'!AT6</f>
        <v>71588.876169803742</v>
      </c>
      <c r="AY177" s="35">
        <f>'Loan Payoff Schedule'!AU6</f>
        <v>71588.876169803742</v>
      </c>
      <c r="AZ177" s="35">
        <f>'Loan Payoff Schedule'!AV6</f>
        <v>71588.876169803727</v>
      </c>
      <c r="BA177" s="35">
        <f>'Loan Payoff Schedule'!AW6</f>
        <v>71588.876169803742</v>
      </c>
      <c r="BB177" s="35">
        <f>'Loan Payoff Schedule'!AX6</f>
        <v>71588.876169803742</v>
      </c>
      <c r="BC177" s="35">
        <f>'Loan Payoff Schedule'!AY6</f>
        <v>71588.876169803742</v>
      </c>
      <c r="BD177" s="35">
        <f>'Loan Payoff Schedule'!AZ6</f>
        <v>71588.876169803742</v>
      </c>
      <c r="BE177" s="35">
        <f>'Loan Payoff Schedule'!BA6</f>
        <v>71588.876169803742</v>
      </c>
      <c r="BF177" s="35">
        <f>'Loan Payoff Schedule'!BB6</f>
        <v>71588.876169803742</v>
      </c>
      <c r="BG177" s="35">
        <f>'Loan Payoff Schedule'!BC6</f>
        <v>71588.876169803756</v>
      </c>
      <c r="BH177" s="35">
        <f>'Loan Payoff Schedule'!BD6</f>
        <v>71588.876169803742</v>
      </c>
      <c r="BI177" s="35">
        <f>'Loan Payoff Schedule'!BE6</f>
        <v>71588.876169803756</v>
      </c>
      <c r="BJ177" s="35">
        <f>'Loan Payoff Schedule'!BF6</f>
        <v>71588.876169803756</v>
      </c>
      <c r="BK177" s="35">
        <f>'Loan Payoff Schedule'!BG6</f>
        <v>71588.876169803756</v>
      </c>
      <c r="BL177" s="35">
        <f>'Loan Payoff Schedule'!BH6</f>
        <v>71588.876169803756</v>
      </c>
      <c r="BM177" s="35">
        <f>'Loan Payoff Schedule'!BI6</f>
        <v>71588.876169803756</v>
      </c>
      <c r="BN177" s="35">
        <f>'Loan Payoff Schedule'!BJ6</f>
        <v>71588.876169803756</v>
      </c>
      <c r="BO177" s="35">
        <f>'Loan Payoff Schedule'!BK6</f>
        <v>71588.876169803756</v>
      </c>
      <c r="BP177" s="35">
        <f>'Loan Payoff Schedule'!BL6</f>
        <v>71588.876169803756</v>
      </c>
      <c r="BQ177" s="35">
        <f>'Loan Payoff Schedule'!BM6</f>
        <v>71588.876169803742</v>
      </c>
      <c r="BR177" s="35">
        <f>'Loan Payoff Schedule'!BN6</f>
        <v>71588.876169803742</v>
      </c>
      <c r="BS177" s="35">
        <f>'Loan Payoff Schedule'!BO6</f>
        <v>71588.876169803756</v>
      </c>
      <c r="BT177" s="35">
        <f>'Loan Payoff Schedule'!BP6</f>
        <v>71588.876169803756</v>
      </c>
      <c r="BU177" s="35">
        <f>'Loan Payoff Schedule'!BQ6</f>
        <v>71588.876169803756</v>
      </c>
      <c r="BV177" s="35"/>
      <c r="BW177" s="29">
        <f>SUM(Projection!J177:U177)</f>
        <v>859066.51403764519</v>
      </c>
      <c r="BX177" s="35">
        <f>SUM(Projection!V177:AG177)</f>
        <v>859066.51403764531</v>
      </c>
      <c r="BY177" s="35">
        <f>SUM(Projection!AH177:AS177)</f>
        <v>859066.51403764519</v>
      </c>
      <c r="BZ177" s="35">
        <f>SUM(Projection!AT177:BE177)</f>
        <v>859066.51403764496</v>
      </c>
      <c r="CA177" s="35">
        <f>SUM(Projection!BF177:BQ177)</f>
        <v>859066.51403764531</v>
      </c>
      <c r="CB177" s="35">
        <f t="shared" ref="CB177:CK177" si="238">SUM(CB175:CB176)</f>
        <v>859066.51403764519</v>
      </c>
      <c r="CC177" s="35">
        <f t="shared" si="238"/>
        <v>859066.51403764507</v>
      </c>
      <c r="CD177" s="35">
        <f t="shared" si="238"/>
        <v>859066.51403764507</v>
      </c>
      <c r="CE177" s="35">
        <f t="shared" si="238"/>
        <v>859066.51403764496</v>
      </c>
      <c r="CF177" s="35">
        <f t="shared" si="238"/>
        <v>859066.51403764507</v>
      </c>
      <c r="CG177" s="35">
        <f t="shared" si="238"/>
        <v>859066.51403764507</v>
      </c>
      <c r="CH177" s="35">
        <f t="shared" si="238"/>
        <v>859066.51403764496</v>
      </c>
      <c r="CI177" s="35">
        <f t="shared" si="238"/>
        <v>859066.51403764507</v>
      </c>
      <c r="CJ177" s="35">
        <f t="shared" si="238"/>
        <v>859066.51403764507</v>
      </c>
      <c r="CK177" s="35">
        <f t="shared" si="238"/>
        <v>859066.51403764496</v>
      </c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</row>
    <row r="178" spans="1:109" ht="14.25" customHeight="1" x14ac:dyDescent="0.2">
      <c r="A178" s="283"/>
      <c r="B178" s="283"/>
      <c r="C178" s="285"/>
      <c r="D178" s="285"/>
      <c r="E178" s="285"/>
      <c r="F178" s="287" t="s">
        <v>395</v>
      </c>
      <c r="G178" s="285"/>
      <c r="H178" s="299">
        <f>ROUND(H174 - H176, 2)</f>
        <v>9687379</v>
      </c>
      <c r="I178" s="300"/>
      <c r="J178" s="299">
        <f t="shared" ref="J178:BU178" si="239">IF((J174-J176)&lt;0,VALUE(0),J174-J176)</f>
        <v>9676336.2425801959</v>
      </c>
      <c r="K178" s="299">
        <f t="shared" si="239"/>
        <v>9665224.467926519</v>
      </c>
      <c r="L178" s="299">
        <f t="shared" si="239"/>
        <v>9654043.2446812559</v>
      </c>
      <c r="M178" s="299">
        <f t="shared" si="239"/>
        <v>9642792.1387907099</v>
      </c>
      <c r="N178" s="299">
        <f t="shared" si="239"/>
        <v>9631470.7134883478</v>
      </c>
      <c r="O178" s="299">
        <f t="shared" si="239"/>
        <v>9620078.5292778462</v>
      </c>
      <c r="P178" s="299">
        <f t="shared" si="239"/>
        <v>9608615.1439160295</v>
      </c>
      <c r="Q178" s="299">
        <f t="shared" si="239"/>
        <v>9597080.1123957001</v>
      </c>
      <c r="R178" s="299">
        <f t="shared" si="239"/>
        <v>9585472.9869283698</v>
      </c>
      <c r="S178" s="299">
        <f t="shared" si="239"/>
        <v>9573793.3169268686</v>
      </c>
      <c r="T178" s="299">
        <f t="shared" si="239"/>
        <v>9562040.6489878576</v>
      </c>
      <c r="U178" s="299">
        <f t="shared" si="239"/>
        <v>9550214.5268742274</v>
      </c>
      <c r="V178" s="299">
        <f t="shared" si="239"/>
        <v>9538314.4914973881</v>
      </c>
      <c r="W178" s="299">
        <f t="shared" si="239"/>
        <v>9526340.0808994435</v>
      </c>
      <c r="X178" s="299">
        <f t="shared" si="239"/>
        <v>9514290.8302352615</v>
      </c>
      <c r="Y178" s="299">
        <f t="shared" si="239"/>
        <v>9502166.2717544287</v>
      </c>
      <c r="Z178" s="299">
        <f t="shared" si="239"/>
        <v>9489965.9347830899</v>
      </c>
      <c r="AA178" s="299">
        <f t="shared" si="239"/>
        <v>9477689.3457056805</v>
      </c>
      <c r="AB178" s="299">
        <f t="shared" si="239"/>
        <v>9465336.0279465374</v>
      </c>
      <c r="AC178" s="299">
        <f t="shared" si="239"/>
        <v>9452905.5019514002</v>
      </c>
      <c r="AD178" s="299">
        <f t="shared" si="239"/>
        <v>9440397.2851687931</v>
      </c>
      <c r="AE178" s="299">
        <f t="shared" si="239"/>
        <v>9427810.8920312934</v>
      </c>
      <c r="AF178" s="299">
        <f t="shared" si="239"/>
        <v>9415145.8339366857</v>
      </c>
      <c r="AG178" s="299">
        <f t="shared" si="239"/>
        <v>9402401.619228987</v>
      </c>
      <c r="AH178" s="299">
        <f t="shared" si="239"/>
        <v>9389577.7531793639</v>
      </c>
      <c r="AI178" s="299">
        <f t="shared" si="239"/>
        <v>9376673.7379669305</v>
      </c>
      <c r="AJ178" s="299">
        <f t="shared" si="239"/>
        <v>9363689.0726594198</v>
      </c>
      <c r="AK178" s="299">
        <f t="shared" si="239"/>
        <v>9350623.2531937379</v>
      </c>
      <c r="AL178" s="299">
        <f t="shared" si="239"/>
        <v>9337475.7723563947</v>
      </c>
      <c r="AM178" s="299">
        <f t="shared" si="239"/>
        <v>9324246.1197638176</v>
      </c>
      <c r="AN178" s="299">
        <f t="shared" si="239"/>
        <v>9310933.7818425372</v>
      </c>
      <c r="AO178" s="299">
        <f t="shared" si="239"/>
        <v>9297538.2418092489</v>
      </c>
      <c r="AP178" s="299">
        <f t="shared" si="239"/>
        <v>9284058.9796507526</v>
      </c>
      <c r="AQ178" s="299">
        <f t="shared" si="239"/>
        <v>9270495.4721037652</v>
      </c>
      <c r="AR178" s="299">
        <f t="shared" si="239"/>
        <v>9256847.1926346105</v>
      </c>
      <c r="AS178" s="299">
        <f t="shared" si="239"/>
        <v>9243113.6114187725</v>
      </c>
      <c r="AT178" s="299">
        <f t="shared" si="239"/>
        <v>9229294.1953203361</v>
      </c>
      <c r="AU178" s="299">
        <f t="shared" si="239"/>
        <v>9215388.4078712836</v>
      </c>
      <c r="AV178" s="299">
        <f t="shared" si="239"/>
        <v>9201395.7092506755</v>
      </c>
      <c r="AW178" s="299">
        <f t="shared" si="239"/>
        <v>9187315.556263689</v>
      </c>
      <c r="AX178" s="299">
        <f t="shared" si="239"/>
        <v>9173147.402320534</v>
      </c>
      <c r="AY178" s="299">
        <f t="shared" si="239"/>
        <v>9158890.6974152327</v>
      </c>
      <c r="AZ178" s="299">
        <f t="shared" si="239"/>
        <v>9144544.8881042749</v>
      </c>
      <c r="BA178" s="299">
        <f t="shared" si="239"/>
        <v>9130109.4174851235</v>
      </c>
      <c r="BB178" s="299">
        <f t="shared" si="239"/>
        <v>9115583.7251746021</v>
      </c>
      <c r="BC178" s="299">
        <f t="shared" si="239"/>
        <v>9100967.2472871393</v>
      </c>
      <c r="BD178" s="299">
        <f t="shared" si="239"/>
        <v>9086259.4164128806</v>
      </c>
      <c r="BE178" s="299">
        <f t="shared" si="239"/>
        <v>9071459.6615956575</v>
      </c>
      <c r="BF178" s="299">
        <f t="shared" si="239"/>
        <v>9056567.4083108269</v>
      </c>
      <c r="BG178" s="299">
        <f t="shared" si="239"/>
        <v>9041582.0784429666</v>
      </c>
      <c r="BH178" s="299">
        <f t="shared" si="239"/>
        <v>9026503.0902634319</v>
      </c>
      <c r="BI178" s="299">
        <f t="shared" si="239"/>
        <v>9011329.8584077749</v>
      </c>
      <c r="BJ178" s="299">
        <f t="shared" si="239"/>
        <v>8996061.7938530203</v>
      </c>
      <c r="BK178" s="299">
        <f t="shared" si="239"/>
        <v>8980698.3038947973</v>
      </c>
      <c r="BL178" s="299">
        <f t="shared" si="239"/>
        <v>8965238.7921243366</v>
      </c>
      <c r="BM178" s="299">
        <f t="shared" si="239"/>
        <v>8949682.6584053095</v>
      </c>
      <c r="BN178" s="299">
        <f t="shared" si="239"/>
        <v>8934029.2988505382</v>
      </c>
      <c r="BO178" s="299">
        <f t="shared" si="239"/>
        <v>8918278.10579855</v>
      </c>
      <c r="BP178" s="299">
        <f t="shared" si="239"/>
        <v>8902428.4677899871</v>
      </c>
      <c r="BQ178" s="299">
        <f t="shared" si="239"/>
        <v>8886479.7695438713</v>
      </c>
      <c r="BR178" s="299">
        <f t="shared" si="239"/>
        <v>8870431.3919337168</v>
      </c>
      <c r="BS178" s="299">
        <f t="shared" si="239"/>
        <v>8854282.711963499</v>
      </c>
      <c r="BT178" s="299">
        <f t="shared" si="239"/>
        <v>8838033.1027434673</v>
      </c>
      <c r="BU178" s="299">
        <f t="shared" si="239"/>
        <v>8821681.9334658105</v>
      </c>
      <c r="BV178" s="299"/>
      <c r="BW178" s="299">
        <f t="shared" ref="BW178:CK178" si="240">IF((BW174-BW176)&lt;0,VALUE(0),BW174-BW176)</f>
        <v>9550214.5268742274</v>
      </c>
      <c r="BX178" s="299">
        <f t="shared" si="240"/>
        <v>9402401.6192289833</v>
      </c>
      <c r="BY178" s="299">
        <f t="shared" si="240"/>
        <v>9243113.6114187725</v>
      </c>
      <c r="BZ178" s="299">
        <f t="shared" si="240"/>
        <v>9071459.6615956556</v>
      </c>
      <c r="CA178" s="299">
        <f t="shared" si="240"/>
        <v>8886479.7695438676</v>
      </c>
      <c r="CB178" s="299">
        <f t="shared" si="240"/>
        <v>8687139.4077359922</v>
      </c>
      <c r="CC178" s="299">
        <f t="shared" si="240"/>
        <v>8472323.735584069</v>
      </c>
      <c r="CD178" s="299">
        <f t="shared" si="240"/>
        <v>8240831.3645279882</v>
      </c>
      <c r="CE178" s="299">
        <f t="shared" si="240"/>
        <v>7991367.6390914787</v>
      </c>
      <c r="CF178" s="299">
        <f t="shared" si="240"/>
        <v>7722537.3963290267</v>
      </c>
      <c r="CG178" s="299">
        <f t="shared" si="240"/>
        <v>7432837.1631698273</v>
      </c>
      <c r="CH178" s="299">
        <f t="shared" si="240"/>
        <v>7120646.7480212813</v>
      </c>
      <c r="CI178" s="299">
        <f t="shared" si="240"/>
        <v>6784220.1796068111</v>
      </c>
      <c r="CJ178" s="299">
        <f t="shared" si="240"/>
        <v>6421675.9423621101</v>
      </c>
      <c r="CK178" s="299">
        <f t="shared" si="240"/>
        <v>6030986.453779825</v>
      </c>
      <c r="CL178" s="299"/>
      <c r="CM178" s="299"/>
      <c r="CN178" s="299"/>
      <c r="CO178" s="299"/>
      <c r="CP178" s="299"/>
      <c r="CQ178" s="299"/>
      <c r="CR178" s="299"/>
      <c r="CS178" s="299"/>
      <c r="CT178" s="299"/>
      <c r="CU178" s="299"/>
      <c r="CV178" s="299"/>
      <c r="CW178" s="299"/>
      <c r="CX178" s="299"/>
      <c r="CY178" s="299"/>
      <c r="CZ178" s="299"/>
      <c r="DA178" s="299"/>
      <c r="DB178" s="299"/>
      <c r="DC178" s="299"/>
      <c r="DD178" s="299"/>
      <c r="DE178" s="299"/>
    </row>
    <row r="179" spans="1:109" ht="14.25" customHeight="1" x14ac:dyDescent="0.2">
      <c r="A179" s="11"/>
      <c r="B179" s="11"/>
      <c r="F179" s="303" t="s">
        <v>396</v>
      </c>
      <c r="H179" s="35">
        <f>H172-H177</f>
        <v>0</v>
      </c>
      <c r="I179" s="302"/>
      <c r="J179" s="35">
        <f t="shared" ref="J179:BU179" si="241">J172-J177</f>
        <v>-99385.351109738607</v>
      </c>
      <c r="K179" s="35">
        <f t="shared" si="241"/>
        <v>-97464.141673592923</v>
      </c>
      <c r="L179" s="35">
        <f t="shared" si="241"/>
        <v>-90901.223509931617</v>
      </c>
      <c r="M179" s="35">
        <f t="shared" si="241"/>
        <v>-82421.814442877163</v>
      </c>
      <c r="N179" s="35">
        <f t="shared" si="241"/>
        <v>-73116.2277846371</v>
      </c>
      <c r="O179" s="35">
        <f t="shared" si="241"/>
        <v>-65584.590938878129</v>
      </c>
      <c r="P179" s="35">
        <f t="shared" si="241"/>
        <v>-60096.118315029518</v>
      </c>
      <c r="Q179" s="35">
        <f t="shared" si="241"/>
        <v>-55725.570445098914</v>
      </c>
      <c r="R179" s="35">
        <f t="shared" si="241"/>
        <v>-51778.673919789944</v>
      </c>
      <c r="S179" s="35">
        <f t="shared" si="241"/>
        <v>-47187.375415914503</v>
      </c>
      <c r="T179" s="35">
        <f t="shared" si="241"/>
        <v>-44139.738177678759</v>
      </c>
      <c r="U179" s="35">
        <f t="shared" si="241"/>
        <v>-43197.804969191769</v>
      </c>
      <c r="V179" s="35">
        <f t="shared" si="241"/>
        <v>-46408.69964450883</v>
      </c>
      <c r="W179" s="35">
        <f t="shared" si="241"/>
        <v>-43975.293285140375</v>
      </c>
      <c r="X179" s="35">
        <f t="shared" si="241"/>
        <v>-36620.958228679039</v>
      </c>
      <c r="Y179" s="35">
        <f t="shared" si="241"/>
        <v>-27153.80634781265</v>
      </c>
      <c r="Z179" s="35">
        <f t="shared" si="241"/>
        <v>-16482.778595390701</v>
      </c>
      <c r="AA179" s="35">
        <f t="shared" si="241"/>
        <v>-7673.2019809624035</v>
      </c>
      <c r="AB179" s="35">
        <f t="shared" si="241"/>
        <v>-1110.0971278011421</v>
      </c>
      <c r="AC179" s="35">
        <f t="shared" si="241"/>
        <v>3961.5724672115321</v>
      </c>
      <c r="AD179" s="35">
        <f t="shared" si="241"/>
        <v>8469.4892164603225</v>
      </c>
      <c r="AE179" s="35">
        <f t="shared" si="241"/>
        <v>13728.374098136919</v>
      </c>
      <c r="AF179" s="35">
        <f t="shared" si="241"/>
        <v>17280.939739341236</v>
      </c>
      <c r="AG179" s="35">
        <f t="shared" si="241"/>
        <v>18659.650152896997</v>
      </c>
      <c r="AH179" s="35">
        <f t="shared" si="241"/>
        <v>17586.450446819683</v>
      </c>
      <c r="AI179" s="35">
        <f t="shared" si="241"/>
        <v>18995.142821360962</v>
      </c>
      <c r="AJ179" s="35">
        <f t="shared" si="241"/>
        <v>25001.098365229205</v>
      </c>
      <c r="AK179" s="35">
        <f t="shared" si="241"/>
        <v>33191.884982733143</v>
      </c>
      <c r="AL179" s="35">
        <f t="shared" si="241"/>
        <v>41627.799466580836</v>
      </c>
      <c r="AM179" s="35">
        <f t="shared" si="241"/>
        <v>48478.545898497629</v>
      </c>
      <c r="AN179" s="35">
        <f t="shared" si="241"/>
        <v>53205.725240864354</v>
      </c>
      <c r="AO179" s="35">
        <f t="shared" si="241"/>
        <v>56788.130636931746</v>
      </c>
      <c r="AP179" s="35">
        <f t="shared" si="241"/>
        <v>59874.74259084386</v>
      </c>
      <c r="AQ179" s="35">
        <f t="shared" si="241"/>
        <v>63652.629698471064</v>
      </c>
      <c r="AR179" s="35">
        <f t="shared" si="241"/>
        <v>65616.80960511927</v>
      </c>
      <c r="AS179" s="35">
        <f t="shared" si="241"/>
        <v>65525.26077399819</v>
      </c>
      <c r="AT179" s="35">
        <f t="shared" si="241"/>
        <v>60053.026221156702</v>
      </c>
      <c r="AU179" s="35">
        <f t="shared" si="241"/>
        <v>58898.870922631904</v>
      </c>
      <c r="AV179" s="35">
        <f t="shared" si="241"/>
        <v>61726.029695974925</v>
      </c>
      <c r="AW179" s="35">
        <f t="shared" si="241"/>
        <v>67012.774485568923</v>
      </c>
      <c r="AX179" s="35">
        <f t="shared" si="241"/>
        <v>71560.393823682898</v>
      </c>
      <c r="AY179" s="35">
        <f t="shared" si="241"/>
        <v>74314.530123310265</v>
      </c>
      <c r="AZ179" s="35">
        <f t="shared" si="241"/>
        <v>74636.455597065884</v>
      </c>
      <c r="BA179" s="35">
        <f t="shared" si="241"/>
        <v>73459.947927428919</v>
      </c>
      <c r="BB179" s="35">
        <f t="shared" si="241"/>
        <v>72767.34046840838</v>
      </c>
      <c r="BC179" s="35">
        <f t="shared" si="241"/>
        <v>72679.95706852006</v>
      </c>
      <c r="BD179" s="35">
        <f t="shared" si="241"/>
        <v>71079.559231888576</v>
      </c>
      <c r="BE179" s="35">
        <f t="shared" si="241"/>
        <v>68106.877924625194</v>
      </c>
      <c r="BF179" s="35">
        <f t="shared" si="241"/>
        <v>64945.185774549333</v>
      </c>
      <c r="BG179" s="35">
        <f t="shared" si="241"/>
        <v>63628.820439514267</v>
      </c>
      <c r="BH179" s="35">
        <f t="shared" si="241"/>
        <v>66530.677784263549</v>
      </c>
      <c r="BI179" s="35">
        <f t="shared" si="241"/>
        <v>71948.288930006092</v>
      </c>
      <c r="BJ179" s="35">
        <f t="shared" si="241"/>
        <v>76600.158371199272</v>
      </c>
      <c r="BK179" s="35">
        <f t="shared" si="241"/>
        <v>79522.917494398571</v>
      </c>
      <c r="BL179" s="35">
        <f t="shared" si="241"/>
        <v>79884.162615615583</v>
      </c>
      <c r="BM179" s="35">
        <f t="shared" si="241"/>
        <v>78687.588180768944</v>
      </c>
      <c r="BN179" s="35">
        <f t="shared" si="241"/>
        <v>77940.092522500345</v>
      </c>
      <c r="BO179" s="35">
        <f t="shared" si="241"/>
        <v>77774.386678870098</v>
      </c>
      <c r="BP179" s="35">
        <f t="shared" si="241"/>
        <v>76064.290570707555</v>
      </c>
      <c r="BQ179" s="35">
        <f t="shared" si="241"/>
        <v>72943.189538485443</v>
      </c>
      <c r="BR179" s="35" t="e">
        <f t="shared" si="241"/>
        <v>#N/A</v>
      </c>
      <c r="BS179" s="35" t="e">
        <f t="shared" si="241"/>
        <v>#N/A</v>
      </c>
      <c r="BT179" s="35" t="e">
        <f t="shared" si="241"/>
        <v>#N/A</v>
      </c>
      <c r="BU179" s="35" t="e">
        <f t="shared" si="241"/>
        <v>#N/A</v>
      </c>
      <c r="BV179" s="35"/>
      <c r="BW179" s="35">
        <f t="shared" ref="BW179:CK179" si="242">BW172-BW177</f>
        <v>-810998.64270235912</v>
      </c>
      <c r="BX179" s="35">
        <f t="shared" si="242"/>
        <v>-117324.82183624816</v>
      </c>
      <c r="BY179" s="35">
        <f t="shared" si="242"/>
        <v>549544.2079199499</v>
      </c>
      <c r="BZ179" s="35">
        <f t="shared" si="242"/>
        <v>826295.75056757499</v>
      </c>
      <c r="CA179" s="35">
        <f t="shared" si="242"/>
        <v>886469.74565512396</v>
      </c>
      <c r="CB179" s="35">
        <f t="shared" si="242"/>
        <v>961179.33534929482</v>
      </c>
      <c r="CC179" s="35">
        <f t="shared" si="242"/>
        <v>1038985.3219915353</v>
      </c>
      <c r="CD179" s="35">
        <f t="shared" si="242"/>
        <v>1120014.1198925539</v>
      </c>
      <c r="CE179" s="35">
        <f t="shared" si="242"/>
        <v>1204397.2624772915</v>
      </c>
      <c r="CF179" s="35">
        <f t="shared" si="242"/>
        <v>1292271.6085988511</v>
      </c>
      <c r="CG179" s="35">
        <f t="shared" si="242"/>
        <v>1383779.5571435695</v>
      </c>
      <c r="CH179" s="35">
        <f t="shared" si="242"/>
        <v>1479069.2702598474</v>
      </c>
      <c r="CI179" s="35">
        <f t="shared" si="242"/>
        <v>1578294.9055566797</v>
      </c>
      <c r="CJ179" s="35">
        <f t="shared" si="242"/>
        <v>1681616.8576316778</v>
      </c>
      <c r="CK179" s="35">
        <f t="shared" si="242"/>
        <v>1789202.0093028075</v>
      </c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</row>
    <row r="180" spans="1:109" ht="14.25" customHeight="1" x14ac:dyDescent="0.2">
      <c r="A180" s="11"/>
      <c r="B180" s="11"/>
      <c r="F180" s="56"/>
      <c r="I180" s="1"/>
      <c r="BX180" s="35"/>
    </row>
    <row r="181" spans="1:109" ht="14.25" customHeight="1" x14ac:dyDescent="0.2">
      <c r="A181" s="11"/>
      <c r="B181" s="11"/>
      <c r="F181" s="303" t="s">
        <v>397</v>
      </c>
      <c r="H181" s="151">
        <v>0</v>
      </c>
      <c r="I181" s="1"/>
      <c r="J181" s="151">
        <v>1</v>
      </c>
      <c r="K181" s="151">
        <v>2</v>
      </c>
      <c r="L181" s="151">
        <v>3</v>
      </c>
      <c r="M181" s="304">
        <v>4</v>
      </c>
      <c r="N181" s="304">
        <v>5</v>
      </c>
      <c r="O181" s="304">
        <v>6</v>
      </c>
      <c r="P181" s="304">
        <v>7</v>
      </c>
      <c r="Q181" s="304">
        <v>8</v>
      </c>
      <c r="R181" s="304">
        <v>9</v>
      </c>
      <c r="S181" s="304">
        <v>10</v>
      </c>
      <c r="T181" s="304">
        <v>11</v>
      </c>
      <c r="U181" s="304">
        <v>12</v>
      </c>
      <c r="V181" s="304">
        <v>13</v>
      </c>
      <c r="W181" s="304">
        <v>14</v>
      </c>
      <c r="X181" s="304">
        <v>15</v>
      </c>
      <c r="Y181" s="304">
        <v>16</v>
      </c>
      <c r="Z181" s="304">
        <v>17</v>
      </c>
      <c r="AA181" s="304">
        <v>18</v>
      </c>
      <c r="AB181" s="304">
        <v>19</v>
      </c>
      <c r="AC181" s="304">
        <v>20</v>
      </c>
      <c r="AD181" s="304">
        <v>21</v>
      </c>
      <c r="AE181" s="304">
        <v>22</v>
      </c>
      <c r="AF181" s="304">
        <v>23</v>
      </c>
      <c r="AG181" s="304">
        <v>24</v>
      </c>
      <c r="AH181" s="304">
        <v>25</v>
      </c>
      <c r="AI181" s="304">
        <v>26</v>
      </c>
      <c r="AJ181" s="304">
        <v>27</v>
      </c>
      <c r="AK181" s="304">
        <v>28</v>
      </c>
      <c r="AL181" s="304">
        <v>29</v>
      </c>
      <c r="AM181" s="304">
        <v>30</v>
      </c>
      <c r="AN181" s="304">
        <v>31</v>
      </c>
      <c r="AO181" s="304">
        <v>32</v>
      </c>
      <c r="AP181" s="304">
        <v>33</v>
      </c>
      <c r="AQ181" s="304">
        <v>34</v>
      </c>
      <c r="AR181" s="304">
        <v>35</v>
      </c>
      <c r="AS181" s="304">
        <v>36</v>
      </c>
      <c r="AT181" s="304">
        <v>37</v>
      </c>
      <c r="AU181" s="304">
        <v>38</v>
      </c>
      <c r="AV181" s="304">
        <v>39</v>
      </c>
      <c r="AW181" s="304">
        <v>40</v>
      </c>
      <c r="AX181" s="304">
        <v>41</v>
      </c>
      <c r="AY181" s="304">
        <v>42</v>
      </c>
      <c r="AZ181" s="304">
        <v>43</v>
      </c>
      <c r="BA181" s="304">
        <v>44</v>
      </c>
      <c r="BB181" s="304">
        <v>45</v>
      </c>
      <c r="BC181" s="304">
        <v>46</v>
      </c>
      <c r="BD181" s="304">
        <v>47</v>
      </c>
      <c r="BE181" s="304">
        <v>48</v>
      </c>
      <c r="BF181" s="304">
        <v>49</v>
      </c>
      <c r="BG181" s="304">
        <v>50</v>
      </c>
      <c r="BH181" s="304">
        <v>51</v>
      </c>
      <c r="BI181" s="304">
        <v>52</v>
      </c>
      <c r="BJ181" s="304">
        <v>53</v>
      </c>
      <c r="BK181" s="304">
        <v>54</v>
      </c>
      <c r="BL181" s="304">
        <v>55</v>
      </c>
      <c r="BM181" s="304">
        <v>56</v>
      </c>
      <c r="BN181" s="304">
        <v>57</v>
      </c>
      <c r="BO181" s="304">
        <v>58</v>
      </c>
      <c r="BP181" s="304">
        <v>59</v>
      </c>
      <c r="BQ181" s="304">
        <v>60</v>
      </c>
      <c r="BR181" s="304">
        <v>61</v>
      </c>
      <c r="BS181" s="304">
        <v>62</v>
      </c>
      <c r="BT181" s="304">
        <v>63</v>
      </c>
      <c r="BU181" s="304">
        <v>64</v>
      </c>
      <c r="BV181" s="304"/>
      <c r="BW181" s="304"/>
      <c r="BX181" s="35"/>
      <c r="BY181" s="304"/>
      <c r="BZ181" s="304"/>
      <c r="CA181" s="304"/>
      <c r="CB181" s="304"/>
      <c r="CC181" s="304"/>
      <c r="CD181" s="304"/>
      <c r="CE181" s="304"/>
      <c r="CF181" s="304"/>
      <c r="CG181" s="304"/>
      <c r="CH181" s="304"/>
      <c r="CI181" s="304"/>
      <c r="CJ181" s="304"/>
      <c r="CK181" s="304"/>
      <c r="CL181" s="304"/>
      <c r="CM181" s="304"/>
      <c r="CN181" s="304"/>
      <c r="CO181" s="304"/>
      <c r="CP181" s="304"/>
      <c r="CQ181" s="304"/>
      <c r="CR181" s="304"/>
      <c r="CS181" s="304"/>
      <c r="CT181" s="304"/>
      <c r="CU181" s="304"/>
      <c r="CV181" s="304"/>
      <c r="CW181" s="304"/>
      <c r="CX181" s="304"/>
      <c r="CY181" s="304"/>
      <c r="CZ181" s="304"/>
      <c r="DA181" s="304"/>
      <c r="DB181" s="304"/>
      <c r="DC181" s="304"/>
      <c r="DD181" s="304"/>
      <c r="DE181" s="304"/>
    </row>
    <row r="182" spans="1:109" ht="14.25" customHeight="1" x14ac:dyDescent="0.2">
      <c r="A182" s="11"/>
      <c r="B182" s="11"/>
      <c r="F182" s="292"/>
      <c r="I182" s="1"/>
    </row>
    <row r="183" spans="1:109" ht="14.25" customHeight="1" x14ac:dyDescent="0.2">
      <c r="A183" s="11"/>
      <c r="B183" s="11"/>
      <c r="F183" s="56"/>
      <c r="I183" s="1"/>
    </row>
    <row r="184" spans="1:109" ht="14.25" customHeight="1" x14ac:dyDescent="0.2">
      <c r="A184" s="11"/>
      <c r="B184" s="11"/>
      <c r="F184" s="56"/>
      <c r="I184" s="1"/>
    </row>
    <row r="185" spans="1:109" ht="14.25" customHeight="1" x14ac:dyDescent="0.2">
      <c r="A185" s="11"/>
      <c r="B185" s="11"/>
      <c r="F185" s="56"/>
      <c r="I185" s="1"/>
    </row>
    <row r="186" spans="1:109" ht="14.25" customHeight="1" x14ac:dyDescent="0.2">
      <c r="A186" s="11"/>
      <c r="B186" s="11"/>
      <c r="F186" s="56"/>
      <c r="I186" s="1"/>
    </row>
    <row r="187" spans="1:109" ht="14.25" customHeight="1" x14ac:dyDescent="0.2">
      <c r="A187" s="11"/>
      <c r="B187" s="11"/>
      <c r="F187" s="56"/>
      <c r="I187" s="1"/>
    </row>
    <row r="188" spans="1:109" ht="14.25" customHeight="1" x14ac:dyDescent="0.2">
      <c r="A188" s="11"/>
      <c r="B188" s="11"/>
      <c r="F188" s="56"/>
      <c r="I188" s="1"/>
    </row>
    <row r="189" spans="1:109" ht="14.25" customHeight="1" x14ac:dyDescent="0.2">
      <c r="A189" s="11"/>
      <c r="B189" s="11"/>
      <c r="F189" s="56"/>
      <c r="I189" s="1"/>
    </row>
    <row r="190" spans="1:109" ht="14.25" customHeight="1" x14ac:dyDescent="0.2">
      <c r="A190" s="11"/>
      <c r="B190" s="11"/>
      <c r="F190" s="56"/>
      <c r="I190" s="1"/>
    </row>
    <row r="191" spans="1:109" ht="14.25" customHeight="1" x14ac:dyDescent="0.2">
      <c r="A191" s="11"/>
      <c r="B191" s="11"/>
      <c r="F191" s="56"/>
      <c r="I191" s="1"/>
    </row>
    <row r="192" spans="1:109" ht="14.25" customHeight="1" x14ac:dyDescent="0.2">
      <c r="A192" s="11"/>
      <c r="B192" s="11"/>
      <c r="F192" s="56"/>
      <c r="I192" s="1"/>
    </row>
    <row r="193" spans="1:9" ht="14.25" customHeight="1" x14ac:dyDescent="0.2">
      <c r="A193" s="11"/>
      <c r="B193" s="11"/>
      <c r="F193" s="56"/>
      <c r="I193" s="1"/>
    </row>
    <row r="194" spans="1:9" ht="14.25" customHeight="1" x14ac:dyDescent="0.2">
      <c r="A194" s="11"/>
      <c r="B194" s="11"/>
      <c r="F194" s="56"/>
      <c r="I194" s="1"/>
    </row>
    <row r="195" spans="1:9" ht="14.25" customHeight="1" x14ac:dyDescent="0.2">
      <c r="A195" s="11"/>
      <c r="B195" s="11"/>
      <c r="F195" s="56"/>
      <c r="I195" s="1"/>
    </row>
    <row r="196" spans="1:9" ht="14.25" customHeight="1" x14ac:dyDescent="0.2">
      <c r="A196" s="11"/>
      <c r="B196" s="11"/>
      <c r="F196" s="56"/>
      <c r="I196" s="1"/>
    </row>
    <row r="197" spans="1:9" ht="14.25" customHeight="1" x14ac:dyDescent="0.2">
      <c r="A197" s="11"/>
      <c r="B197" s="11"/>
      <c r="F197" s="56"/>
      <c r="I197" s="1"/>
    </row>
    <row r="198" spans="1:9" ht="14.25" customHeight="1" x14ac:dyDescent="0.2">
      <c r="A198" s="11"/>
      <c r="B198" s="11"/>
      <c r="F198" s="56"/>
      <c r="I198" s="1"/>
    </row>
    <row r="199" spans="1:9" ht="14.25" customHeight="1" x14ac:dyDescent="0.2">
      <c r="A199" s="11"/>
      <c r="B199" s="11"/>
      <c r="F199" s="56"/>
      <c r="I199" s="1"/>
    </row>
    <row r="200" spans="1:9" ht="14.25" customHeight="1" x14ac:dyDescent="0.2">
      <c r="A200" s="11"/>
      <c r="B200" s="11"/>
      <c r="F200" s="56"/>
      <c r="I200" s="1"/>
    </row>
    <row r="201" spans="1:9" ht="14.25" customHeight="1" x14ac:dyDescent="0.2">
      <c r="A201" s="11"/>
      <c r="B201" s="11"/>
      <c r="F201" s="56"/>
      <c r="I201" s="1"/>
    </row>
    <row r="202" spans="1:9" ht="14.25" customHeight="1" x14ac:dyDescent="0.2">
      <c r="A202" s="11"/>
      <c r="B202" s="11"/>
      <c r="F202" s="56"/>
      <c r="I202" s="1"/>
    </row>
    <row r="203" spans="1:9" ht="14.25" customHeight="1" x14ac:dyDescent="0.2">
      <c r="A203" s="11"/>
      <c r="B203" s="11"/>
      <c r="F203" s="56"/>
      <c r="I203" s="1"/>
    </row>
    <row r="204" spans="1:9" ht="14.25" customHeight="1" x14ac:dyDescent="0.2">
      <c r="A204" s="11"/>
      <c r="B204" s="11"/>
      <c r="F204" s="56"/>
      <c r="I204" s="1"/>
    </row>
    <row r="205" spans="1:9" ht="14.25" customHeight="1" x14ac:dyDescent="0.2">
      <c r="A205" s="11"/>
      <c r="B205" s="11"/>
      <c r="F205" s="56"/>
      <c r="I205" s="1"/>
    </row>
    <row r="206" spans="1:9" ht="14.25" customHeight="1" x14ac:dyDescent="0.2">
      <c r="A206" s="11"/>
      <c r="B206" s="11"/>
      <c r="F206" s="56"/>
      <c r="I206" s="1"/>
    </row>
    <row r="207" spans="1:9" ht="14.25" customHeight="1" x14ac:dyDescent="0.2">
      <c r="A207" s="11"/>
      <c r="B207" s="11"/>
      <c r="F207" s="56"/>
      <c r="I207" s="1"/>
    </row>
    <row r="208" spans="1:9" ht="14.25" customHeight="1" x14ac:dyDescent="0.2">
      <c r="A208" s="11"/>
      <c r="B208" s="11"/>
      <c r="F208" s="56"/>
      <c r="I208" s="1"/>
    </row>
    <row r="209" spans="1:9" ht="14.25" customHeight="1" x14ac:dyDescent="0.2">
      <c r="A209" s="11"/>
      <c r="B209" s="11"/>
      <c r="F209" s="56"/>
      <c r="I209" s="1"/>
    </row>
    <row r="210" spans="1:9" ht="14.25" customHeight="1" x14ac:dyDescent="0.2">
      <c r="A210" s="11"/>
      <c r="B210" s="11"/>
      <c r="F210" s="56"/>
      <c r="I210" s="1"/>
    </row>
    <row r="211" spans="1:9" ht="14.25" customHeight="1" x14ac:dyDescent="0.2">
      <c r="A211" s="11"/>
      <c r="B211" s="11"/>
      <c r="F211" s="56"/>
      <c r="I211" s="1"/>
    </row>
    <row r="212" spans="1:9" ht="14.25" customHeight="1" x14ac:dyDescent="0.2">
      <c r="A212" s="11"/>
      <c r="B212" s="11"/>
      <c r="F212" s="56"/>
      <c r="I212" s="1"/>
    </row>
    <row r="213" spans="1:9" ht="14.25" customHeight="1" x14ac:dyDescent="0.2">
      <c r="A213" s="11"/>
      <c r="B213" s="11"/>
      <c r="F213" s="56"/>
      <c r="I213" s="1"/>
    </row>
    <row r="214" spans="1:9" ht="14.25" customHeight="1" x14ac:dyDescent="0.2">
      <c r="A214" s="11"/>
      <c r="B214" s="11"/>
      <c r="F214" s="56"/>
      <c r="I214" s="1"/>
    </row>
    <row r="215" spans="1:9" ht="14.25" customHeight="1" x14ac:dyDescent="0.2">
      <c r="A215" s="11"/>
      <c r="B215" s="11"/>
      <c r="F215" s="56"/>
      <c r="I215" s="1"/>
    </row>
    <row r="216" spans="1:9" ht="14.25" customHeight="1" x14ac:dyDescent="0.2">
      <c r="A216" s="11"/>
      <c r="B216" s="11"/>
      <c r="F216" s="56"/>
      <c r="I216" s="1"/>
    </row>
    <row r="217" spans="1:9" ht="14.25" customHeight="1" x14ac:dyDescent="0.2">
      <c r="A217" s="11"/>
      <c r="B217" s="11"/>
      <c r="F217" s="56"/>
      <c r="I217" s="1"/>
    </row>
    <row r="218" spans="1:9" ht="14.25" customHeight="1" x14ac:dyDescent="0.2">
      <c r="A218" s="11"/>
      <c r="B218" s="11"/>
      <c r="F218" s="56"/>
      <c r="I218" s="1"/>
    </row>
    <row r="219" spans="1:9" ht="14.25" customHeight="1" x14ac:dyDescent="0.2">
      <c r="A219" s="11"/>
      <c r="B219" s="11"/>
      <c r="F219" s="56"/>
      <c r="I219" s="1"/>
    </row>
    <row r="220" spans="1:9" ht="14.25" customHeight="1" x14ac:dyDescent="0.2">
      <c r="A220" s="11"/>
      <c r="B220" s="11"/>
      <c r="F220" s="56"/>
      <c r="I220" s="1"/>
    </row>
    <row r="221" spans="1:9" ht="14.25" customHeight="1" x14ac:dyDescent="0.2">
      <c r="A221" s="11"/>
      <c r="B221" s="11"/>
      <c r="F221" s="56"/>
      <c r="I221" s="1"/>
    </row>
    <row r="222" spans="1:9" ht="14.25" customHeight="1" x14ac:dyDescent="0.2">
      <c r="A222" s="11"/>
      <c r="B222" s="11"/>
      <c r="F222" s="56"/>
      <c r="I222" s="1"/>
    </row>
    <row r="223" spans="1:9" ht="14.25" customHeight="1" x14ac:dyDescent="0.2">
      <c r="A223" s="11"/>
      <c r="B223" s="11"/>
      <c r="F223" s="56"/>
      <c r="I223" s="1"/>
    </row>
    <row r="224" spans="1:9" ht="14.25" customHeight="1" x14ac:dyDescent="0.2">
      <c r="A224" s="11"/>
      <c r="B224" s="11"/>
      <c r="F224" s="56"/>
      <c r="I224" s="1"/>
    </row>
    <row r="225" spans="1:9" ht="14.25" customHeight="1" x14ac:dyDescent="0.2">
      <c r="A225" s="11"/>
      <c r="B225" s="11"/>
      <c r="F225" s="56"/>
      <c r="I225" s="1"/>
    </row>
    <row r="226" spans="1:9" ht="14.25" customHeight="1" x14ac:dyDescent="0.2">
      <c r="A226" s="11"/>
      <c r="B226" s="11"/>
      <c r="F226" s="56"/>
      <c r="I226" s="1"/>
    </row>
    <row r="227" spans="1:9" ht="14.25" customHeight="1" x14ac:dyDescent="0.2">
      <c r="A227" s="11"/>
      <c r="B227" s="11"/>
      <c r="F227" s="56"/>
      <c r="I227" s="1"/>
    </row>
    <row r="228" spans="1:9" ht="14.25" customHeight="1" x14ac:dyDescent="0.2">
      <c r="A228" s="11"/>
      <c r="B228" s="11"/>
      <c r="F228" s="56"/>
      <c r="I228" s="1"/>
    </row>
    <row r="229" spans="1:9" ht="14.25" customHeight="1" x14ac:dyDescent="0.2">
      <c r="A229" s="11"/>
      <c r="B229" s="11"/>
      <c r="F229" s="56"/>
      <c r="I229" s="1"/>
    </row>
    <row r="230" spans="1:9" ht="14.25" customHeight="1" x14ac:dyDescent="0.2">
      <c r="A230" s="11"/>
      <c r="B230" s="11"/>
      <c r="F230" s="56"/>
      <c r="I230" s="1"/>
    </row>
    <row r="231" spans="1:9" ht="14.25" customHeight="1" x14ac:dyDescent="0.2">
      <c r="A231" s="11"/>
      <c r="B231" s="11"/>
      <c r="F231" s="56"/>
      <c r="I231" s="1"/>
    </row>
    <row r="232" spans="1:9" ht="14.25" customHeight="1" x14ac:dyDescent="0.2">
      <c r="A232" s="11"/>
      <c r="B232" s="11"/>
      <c r="F232" s="56"/>
      <c r="I232" s="1"/>
    </row>
    <row r="233" spans="1:9" ht="14.25" customHeight="1" x14ac:dyDescent="0.2">
      <c r="A233" s="11"/>
      <c r="B233" s="11"/>
      <c r="F233" s="56"/>
      <c r="I233" s="1"/>
    </row>
    <row r="234" spans="1:9" ht="14.25" customHeight="1" x14ac:dyDescent="0.2">
      <c r="A234" s="11"/>
      <c r="B234" s="11"/>
      <c r="F234" s="56"/>
      <c r="I234" s="1"/>
    </row>
    <row r="235" spans="1:9" ht="14.25" customHeight="1" x14ac:dyDescent="0.2">
      <c r="A235" s="11"/>
      <c r="B235" s="11"/>
      <c r="F235" s="56"/>
      <c r="I235" s="1"/>
    </row>
    <row r="236" spans="1:9" ht="14.25" customHeight="1" x14ac:dyDescent="0.2">
      <c r="A236" s="11"/>
      <c r="B236" s="11"/>
      <c r="F236" s="56"/>
      <c r="I236" s="1"/>
    </row>
    <row r="237" spans="1:9" ht="14.25" customHeight="1" x14ac:dyDescent="0.2">
      <c r="A237" s="11"/>
      <c r="B237" s="11"/>
      <c r="F237" s="56"/>
      <c r="I237" s="1"/>
    </row>
    <row r="238" spans="1:9" ht="14.25" customHeight="1" x14ac:dyDescent="0.2">
      <c r="A238" s="11"/>
      <c r="B238" s="11"/>
      <c r="F238" s="56"/>
      <c r="I238" s="1"/>
    </row>
    <row r="239" spans="1:9" ht="14.25" customHeight="1" x14ac:dyDescent="0.2">
      <c r="A239" s="11"/>
      <c r="B239" s="11"/>
      <c r="F239" s="56"/>
      <c r="I239" s="1"/>
    </row>
    <row r="240" spans="1:9" ht="14.25" customHeight="1" x14ac:dyDescent="0.2">
      <c r="A240" s="11"/>
      <c r="B240" s="11"/>
      <c r="F240" s="56"/>
      <c r="I240" s="1"/>
    </row>
    <row r="241" spans="1:9" ht="14.25" customHeight="1" x14ac:dyDescent="0.2">
      <c r="A241" s="11"/>
      <c r="B241" s="11"/>
      <c r="F241" s="56"/>
      <c r="I241" s="1"/>
    </row>
    <row r="242" spans="1:9" ht="14.25" customHeight="1" x14ac:dyDescent="0.2">
      <c r="A242" s="11"/>
      <c r="B242" s="11"/>
      <c r="F242" s="56"/>
      <c r="I242" s="1"/>
    </row>
    <row r="243" spans="1:9" ht="14.25" customHeight="1" x14ac:dyDescent="0.2">
      <c r="A243" s="11"/>
      <c r="B243" s="11"/>
      <c r="F243" s="56"/>
      <c r="I243" s="1"/>
    </row>
    <row r="244" spans="1:9" ht="14.25" customHeight="1" x14ac:dyDescent="0.2">
      <c r="A244" s="11"/>
      <c r="B244" s="11"/>
      <c r="F244" s="56"/>
      <c r="I244" s="1"/>
    </row>
    <row r="245" spans="1:9" ht="14.25" customHeight="1" x14ac:dyDescent="0.2">
      <c r="A245" s="11"/>
      <c r="B245" s="11"/>
      <c r="F245" s="56"/>
      <c r="I245" s="1"/>
    </row>
    <row r="246" spans="1:9" ht="14.25" customHeight="1" x14ac:dyDescent="0.2">
      <c r="A246" s="11"/>
      <c r="B246" s="11"/>
      <c r="F246" s="56"/>
      <c r="I246" s="1"/>
    </row>
    <row r="247" spans="1:9" ht="14.25" customHeight="1" x14ac:dyDescent="0.2">
      <c r="A247" s="11"/>
      <c r="B247" s="11"/>
      <c r="F247" s="56"/>
      <c r="I247" s="1"/>
    </row>
    <row r="248" spans="1:9" ht="14.25" customHeight="1" x14ac:dyDescent="0.2">
      <c r="A248" s="11"/>
      <c r="B248" s="11"/>
      <c r="F248" s="56"/>
      <c r="I248" s="1"/>
    </row>
    <row r="249" spans="1:9" ht="14.25" customHeight="1" x14ac:dyDescent="0.2">
      <c r="A249" s="11"/>
      <c r="B249" s="11"/>
      <c r="F249" s="56"/>
      <c r="I249" s="1"/>
    </row>
    <row r="250" spans="1:9" ht="14.25" customHeight="1" x14ac:dyDescent="0.2">
      <c r="A250" s="11"/>
      <c r="B250" s="11"/>
      <c r="F250" s="56"/>
      <c r="I250" s="1"/>
    </row>
    <row r="251" spans="1:9" ht="14.25" customHeight="1" x14ac:dyDescent="0.2">
      <c r="A251" s="11"/>
      <c r="B251" s="11"/>
      <c r="F251" s="56"/>
      <c r="I251" s="1"/>
    </row>
    <row r="252" spans="1:9" ht="14.25" customHeight="1" x14ac:dyDescent="0.2">
      <c r="A252" s="11"/>
      <c r="B252" s="11"/>
      <c r="F252" s="56"/>
      <c r="I252" s="1"/>
    </row>
    <row r="253" spans="1:9" ht="14.25" customHeight="1" x14ac:dyDescent="0.2">
      <c r="A253" s="11"/>
      <c r="B253" s="11"/>
      <c r="F253" s="56"/>
      <c r="I253" s="1"/>
    </row>
    <row r="254" spans="1:9" ht="14.25" customHeight="1" x14ac:dyDescent="0.2">
      <c r="A254" s="11"/>
      <c r="B254" s="11"/>
      <c r="F254" s="56"/>
      <c r="I254" s="1"/>
    </row>
    <row r="255" spans="1:9" ht="14.25" customHeight="1" x14ac:dyDescent="0.2">
      <c r="A255" s="11"/>
      <c r="B255" s="11"/>
      <c r="F255" s="56"/>
      <c r="I255" s="1"/>
    </row>
    <row r="256" spans="1:9" ht="14.25" customHeight="1" x14ac:dyDescent="0.2">
      <c r="A256" s="11"/>
      <c r="B256" s="11"/>
      <c r="F256" s="56"/>
      <c r="I256" s="1"/>
    </row>
    <row r="257" spans="1:9" ht="14.25" customHeight="1" x14ac:dyDescent="0.2">
      <c r="A257" s="11"/>
      <c r="B257" s="11"/>
      <c r="F257" s="56"/>
      <c r="I257" s="1"/>
    </row>
    <row r="258" spans="1:9" ht="14.25" customHeight="1" x14ac:dyDescent="0.2">
      <c r="A258" s="11"/>
      <c r="B258" s="11"/>
      <c r="F258" s="56"/>
      <c r="I258" s="1"/>
    </row>
    <row r="259" spans="1:9" ht="14.25" customHeight="1" x14ac:dyDescent="0.2">
      <c r="A259" s="11"/>
      <c r="B259" s="11"/>
      <c r="F259" s="56"/>
      <c r="I259" s="1"/>
    </row>
    <row r="260" spans="1:9" ht="14.25" customHeight="1" x14ac:dyDescent="0.2">
      <c r="A260" s="11"/>
      <c r="B260" s="11"/>
      <c r="F260" s="56"/>
      <c r="I260" s="1"/>
    </row>
    <row r="261" spans="1:9" ht="14.25" customHeight="1" x14ac:dyDescent="0.2">
      <c r="A261" s="11"/>
      <c r="B261" s="11"/>
      <c r="F261" s="56"/>
      <c r="I261" s="1"/>
    </row>
    <row r="262" spans="1:9" ht="14.25" customHeight="1" x14ac:dyDescent="0.2">
      <c r="A262" s="11"/>
      <c r="B262" s="11"/>
      <c r="F262" s="56"/>
      <c r="I262" s="1"/>
    </row>
    <row r="263" spans="1:9" ht="14.25" customHeight="1" x14ac:dyDescent="0.2">
      <c r="A263" s="11"/>
      <c r="B263" s="11"/>
      <c r="F263" s="56"/>
      <c r="I263" s="1"/>
    </row>
    <row r="264" spans="1:9" ht="14.25" customHeight="1" x14ac:dyDescent="0.2">
      <c r="A264" s="11"/>
      <c r="B264" s="11"/>
      <c r="F264" s="56"/>
      <c r="I264" s="1"/>
    </row>
    <row r="265" spans="1:9" ht="14.25" customHeight="1" x14ac:dyDescent="0.2">
      <c r="A265" s="11"/>
      <c r="B265" s="11"/>
      <c r="F265" s="56"/>
      <c r="I265" s="1"/>
    </row>
    <row r="266" spans="1:9" ht="14.25" customHeight="1" x14ac:dyDescent="0.2">
      <c r="A266" s="11"/>
      <c r="B266" s="11"/>
      <c r="F266" s="56"/>
      <c r="I266" s="1"/>
    </row>
    <row r="267" spans="1:9" ht="14.25" customHeight="1" x14ac:dyDescent="0.2">
      <c r="A267" s="11"/>
      <c r="B267" s="11"/>
      <c r="F267" s="56"/>
      <c r="I267" s="1"/>
    </row>
    <row r="268" spans="1:9" ht="14.25" customHeight="1" x14ac:dyDescent="0.2">
      <c r="A268" s="11"/>
      <c r="B268" s="11"/>
      <c r="F268" s="56"/>
      <c r="I268" s="1"/>
    </row>
    <row r="269" spans="1:9" ht="14.25" customHeight="1" x14ac:dyDescent="0.2">
      <c r="A269" s="11"/>
      <c r="B269" s="11"/>
      <c r="F269" s="56"/>
      <c r="I269" s="1"/>
    </row>
    <row r="270" spans="1:9" ht="14.25" customHeight="1" x14ac:dyDescent="0.2">
      <c r="A270" s="11"/>
      <c r="B270" s="11"/>
      <c r="F270" s="56"/>
      <c r="I270" s="1"/>
    </row>
    <row r="271" spans="1:9" ht="14.25" customHeight="1" x14ac:dyDescent="0.2">
      <c r="A271" s="11"/>
      <c r="B271" s="11"/>
      <c r="F271" s="56"/>
      <c r="I271" s="1"/>
    </row>
    <row r="272" spans="1:9" ht="14.25" customHeight="1" x14ac:dyDescent="0.2">
      <c r="A272" s="11"/>
      <c r="B272" s="11"/>
      <c r="F272" s="56"/>
      <c r="I272" s="1"/>
    </row>
    <row r="273" spans="1:9" ht="14.25" customHeight="1" x14ac:dyDescent="0.2">
      <c r="A273" s="11"/>
      <c r="B273" s="11"/>
      <c r="F273" s="56"/>
      <c r="I273" s="1"/>
    </row>
    <row r="274" spans="1:9" ht="14.25" customHeight="1" x14ac:dyDescent="0.2">
      <c r="A274" s="11"/>
      <c r="B274" s="11"/>
      <c r="F274" s="56"/>
      <c r="I274" s="1"/>
    </row>
    <row r="275" spans="1:9" ht="14.25" customHeight="1" x14ac:dyDescent="0.2">
      <c r="A275" s="11"/>
      <c r="B275" s="11"/>
      <c r="F275" s="56"/>
      <c r="I275" s="1"/>
    </row>
    <row r="276" spans="1:9" ht="14.25" customHeight="1" x14ac:dyDescent="0.2">
      <c r="A276" s="11"/>
      <c r="B276" s="11"/>
      <c r="F276" s="56"/>
      <c r="I276" s="1"/>
    </row>
    <row r="277" spans="1:9" ht="14.25" customHeight="1" x14ac:dyDescent="0.2">
      <c r="A277" s="11"/>
      <c r="B277" s="11"/>
      <c r="F277" s="56"/>
      <c r="I277" s="1"/>
    </row>
    <row r="278" spans="1:9" ht="14.25" customHeight="1" x14ac:dyDescent="0.2">
      <c r="A278" s="11"/>
      <c r="B278" s="11"/>
      <c r="F278" s="56"/>
      <c r="I278" s="1"/>
    </row>
    <row r="279" spans="1:9" ht="14.25" customHeight="1" x14ac:dyDescent="0.2">
      <c r="A279" s="11"/>
      <c r="B279" s="11"/>
      <c r="F279" s="56"/>
      <c r="I279" s="1"/>
    </row>
    <row r="280" spans="1:9" ht="14.25" customHeight="1" x14ac:dyDescent="0.2">
      <c r="A280" s="11"/>
      <c r="B280" s="11"/>
      <c r="F280" s="56"/>
      <c r="I280" s="1"/>
    </row>
    <row r="281" spans="1:9" ht="14.25" customHeight="1" x14ac:dyDescent="0.2">
      <c r="A281" s="11"/>
      <c r="B281" s="11"/>
      <c r="F281" s="56"/>
      <c r="I281" s="1"/>
    </row>
    <row r="282" spans="1:9" ht="14.25" customHeight="1" x14ac:dyDescent="0.2">
      <c r="A282" s="11"/>
      <c r="B282" s="11"/>
      <c r="F282" s="56"/>
      <c r="I282" s="1"/>
    </row>
    <row r="283" spans="1:9" ht="14.25" customHeight="1" x14ac:dyDescent="0.2">
      <c r="A283" s="11"/>
      <c r="B283" s="11"/>
      <c r="F283" s="56"/>
      <c r="I283" s="1"/>
    </row>
    <row r="284" spans="1:9" ht="14.25" customHeight="1" x14ac:dyDescent="0.2">
      <c r="A284" s="11"/>
      <c r="B284" s="11"/>
      <c r="F284" s="56"/>
      <c r="I284" s="1"/>
    </row>
    <row r="285" spans="1:9" ht="14.25" customHeight="1" x14ac:dyDescent="0.2">
      <c r="A285" s="11"/>
      <c r="B285" s="11"/>
      <c r="F285" s="56"/>
      <c r="I285" s="1"/>
    </row>
    <row r="286" spans="1:9" ht="14.25" customHeight="1" x14ac:dyDescent="0.2">
      <c r="A286" s="11"/>
      <c r="B286" s="11"/>
      <c r="F286" s="56"/>
      <c r="I286" s="1"/>
    </row>
    <row r="287" spans="1:9" ht="14.25" customHeight="1" x14ac:dyDescent="0.2">
      <c r="A287" s="11"/>
      <c r="B287" s="11"/>
      <c r="F287" s="56"/>
      <c r="I287" s="1"/>
    </row>
    <row r="288" spans="1:9" ht="14.25" customHeight="1" x14ac:dyDescent="0.2">
      <c r="A288" s="11"/>
      <c r="B288" s="11"/>
      <c r="F288" s="56"/>
      <c r="I288" s="1"/>
    </row>
    <row r="289" spans="1:9" ht="14.25" customHeight="1" x14ac:dyDescent="0.2">
      <c r="A289" s="11"/>
      <c r="B289" s="11"/>
      <c r="F289" s="56"/>
      <c r="I289" s="1"/>
    </row>
    <row r="290" spans="1:9" ht="14.25" customHeight="1" x14ac:dyDescent="0.2">
      <c r="A290" s="11"/>
      <c r="B290" s="11"/>
      <c r="F290" s="56"/>
      <c r="I290" s="1"/>
    </row>
    <row r="291" spans="1:9" ht="14.25" customHeight="1" x14ac:dyDescent="0.2">
      <c r="A291" s="11"/>
      <c r="B291" s="11"/>
      <c r="F291" s="56"/>
      <c r="I291" s="1"/>
    </row>
    <row r="292" spans="1:9" ht="14.25" customHeight="1" x14ac:dyDescent="0.2">
      <c r="A292" s="11"/>
      <c r="B292" s="11"/>
      <c r="F292" s="56"/>
      <c r="I292" s="1"/>
    </row>
    <row r="293" spans="1:9" ht="14.25" customHeight="1" x14ac:dyDescent="0.2">
      <c r="A293" s="11"/>
      <c r="B293" s="11"/>
      <c r="F293" s="56"/>
      <c r="I293" s="1"/>
    </row>
    <row r="294" spans="1:9" ht="14.25" customHeight="1" x14ac:dyDescent="0.2">
      <c r="A294" s="11"/>
      <c r="B294" s="11"/>
      <c r="F294" s="56"/>
      <c r="I294" s="1"/>
    </row>
    <row r="295" spans="1:9" ht="14.25" customHeight="1" x14ac:dyDescent="0.2">
      <c r="A295" s="11"/>
      <c r="B295" s="11"/>
      <c r="F295" s="56"/>
      <c r="I295" s="1"/>
    </row>
    <row r="296" spans="1:9" ht="14.25" customHeight="1" x14ac:dyDescent="0.2">
      <c r="A296" s="11"/>
      <c r="B296" s="11"/>
      <c r="F296" s="56"/>
      <c r="I296" s="1"/>
    </row>
    <row r="297" spans="1:9" ht="14.25" customHeight="1" x14ac:dyDescent="0.2">
      <c r="A297" s="11"/>
      <c r="B297" s="11"/>
      <c r="F297" s="56"/>
      <c r="I297" s="1"/>
    </row>
    <row r="298" spans="1:9" ht="14.25" customHeight="1" x14ac:dyDescent="0.2">
      <c r="A298" s="11"/>
      <c r="B298" s="11"/>
      <c r="F298" s="56"/>
      <c r="I298" s="1"/>
    </row>
    <row r="299" spans="1:9" ht="14.25" customHeight="1" x14ac:dyDescent="0.2">
      <c r="A299" s="11"/>
      <c r="B299" s="11"/>
      <c r="F299" s="56"/>
      <c r="I299" s="1"/>
    </row>
    <row r="300" spans="1:9" ht="14.25" customHeight="1" x14ac:dyDescent="0.2">
      <c r="A300" s="11"/>
      <c r="B300" s="11"/>
      <c r="F300" s="56"/>
      <c r="I300" s="1"/>
    </row>
    <row r="301" spans="1:9" ht="14.25" customHeight="1" x14ac:dyDescent="0.2">
      <c r="A301" s="11"/>
      <c r="B301" s="11"/>
      <c r="F301" s="56"/>
      <c r="I301" s="1"/>
    </row>
    <row r="302" spans="1:9" ht="14.25" customHeight="1" x14ac:dyDescent="0.2">
      <c r="A302" s="11"/>
      <c r="B302" s="11"/>
      <c r="F302" s="56"/>
      <c r="I302" s="1"/>
    </row>
    <row r="303" spans="1:9" ht="14.25" customHeight="1" x14ac:dyDescent="0.2">
      <c r="A303" s="11"/>
      <c r="B303" s="11"/>
      <c r="F303" s="56"/>
      <c r="I303" s="1"/>
    </row>
    <row r="304" spans="1:9" ht="14.25" customHeight="1" x14ac:dyDescent="0.2">
      <c r="A304" s="11"/>
      <c r="B304" s="11"/>
      <c r="F304" s="56"/>
      <c r="I304" s="1"/>
    </row>
    <row r="305" spans="1:9" ht="14.25" customHeight="1" x14ac:dyDescent="0.2">
      <c r="A305" s="11"/>
      <c r="B305" s="11"/>
      <c r="F305" s="56"/>
      <c r="I305" s="1"/>
    </row>
    <row r="306" spans="1:9" ht="14.25" customHeight="1" x14ac:dyDescent="0.2">
      <c r="A306" s="11"/>
      <c r="B306" s="11"/>
      <c r="F306" s="56"/>
      <c r="I306" s="1"/>
    </row>
    <row r="307" spans="1:9" ht="14.25" customHeight="1" x14ac:dyDescent="0.2">
      <c r="A307" s="11"/>
      <c r="B307" s="11"/>
      <c r="F307" s="56"/>
      <c r="I307" s="1"/>
    </row>
    <row r="308" spans="1:9" ht="14.25" customHeight="1" x14ac:dyDescent="0.2">
      <c r="A308" s="11"/>
      <c r="B308" s="11"/>
      <c r="F308" s="56"/>
      <c r="I308" s="1"/>
    </row>
    <row r="309" spans="1:9" ht="14.25" customHeight="1" x14ac:dyDescent="0.2">
      <c r="A309" s="11"/>
      <c r="B309" s="11"/>
      <c r="F309" s="56"/>
      <c r="I309" s="1"/>
    </row>
    <row r="310" spans="1:9" ht="14.25" customHeight="1" x14ac:dyDescent="0.2">
      <c r="A310" s="11"/>
      <c r="B310" s="11"/>
      <c r="F310" s="56"/>
      <c r="I310" s="1"/>
    </row>
    <row r="311" spans="1:9" ht="14.25" customHeight="1" x14ac:dyDescent="0.2">
      <c r="A311" s="11"/>
      <c r="B311" s="11"/>
      <c r="F311" s="56"/>
      <c r="I311" s="1"/>
    </row>
    <row r="312" spans="1:9" ht="14.25" customHeight="1" x14ac:dyDescent="0.2">
      <c r="A312" s="11"/>
      <c r="B312" s="11"/>
      <c r="F312" s="56"/>
      <c r="I312" s="1"/>
    </row>
    <row r="313" spans="1:9" ht="14.25" customHeight="1" x14ac:dyDescent="0.2">
      <c r="A313" s="11"/>
      <c r="B313" s="11"/>
      <c r="F313" s="56"/>
      <c r="I313" s="1"/>
    </row>
    <row r="314" spans="1:9" ht="14.25" customHeight="1" x14ac:dyDescent="0.2">
      <c r="A314" s="11"/>
      <c r="B314" s="11"/>
      <c r="F314" s="56"/>
      <c r="I314" s="1"/>
    </row>
    <row r="315" spans="1:9" ht="14.25" customHeight="1" x14ac:dyDescent="0.2">
      <c r="A315" s="11"/>
      <c r="B315" s="11"/>
      <c r="F315" s="56"/>
      <c r="I315" s="1"/>
    </row>
    <row r="316" spans="1:9" ht="14.25" customHeight="1" x14ac:dyDescent="0.2">
      <c r="A316" s="11"/>
      <c r="B316" s="11"/>
      <c r="F316" s="56"/>
      <c r="I316" s="1"/>
    </row>
    <row r="317" spans="1:9" ht="14.25" customHeight="1" x14ac:dyDescent="0.2">
      <c r="A317" s="11"/>
      <c r="B317" s="11"/>
      <c r="F317" s="56"/>
      <c r="I317" s="1"/>
    </row>
    <row r="318" spans="1:9" ht="14.25" customHeight="1" x14ac:dyDescent="0.2">
      <c r="A318" s="11"/>
      <c r="B318" s="11"/>
      <c r="F318" s="56"/>
      <c r="I318" s="1"/>
    </row>
    <row r="319" spans="1:9" ht="14.25" customHeight="1" x14ac:dyDescent="0.2">
      <c r="A319" s="11"/>
      <c r="B319" s="11"/>
      <c r="F319" s="56"/>
      <c r="I319" s="1"/>
    </row>
    <row r="320" spans="1:9" ht="14.25" customHeight="1" x14ac:dyDescent="0.2">
      <c r="A320" s="11"/>
      <c r="B320" s="11"/>
      <c r="F320" s="56"/>
      <c r="I320" s="1"/>
    </row>
    <row r="321" spans="1:9" ht="14.25" customHeight="1" x14ac:dyDescent="0.2">
      <c r="A321" s="11"/>
      <c r="B321" s="11"/>
      <c r="F321" s="56"/>
      <c r="I321" s="1"/>
    </row>
    <row r="322" spans="1:9" ht="14.25" customHeight="1" x14ac:dyDescent="0.2">
      <c r="A322" s="11"/>
      <c r="B322" s="11"/>
      <c r="F322" s="56"/>
      <c r="I322" s="1"/>
    </row>
    <row r="323" spans="1:9" ht="14.25" customHeight="1" x14ac:dyDescent="0.2">
      <c r="A323" s="11"/>
      <c r="B323" s="11"/>
      <c r="F323" s="56"/>
      <c r="I323" s="1"/>
    </row>
    <row r="324" spans="1:9" ht="14.25" customHeight="1" x14ac:dyDescent="0.2">
      <c r="A324" s="11"/>
      <c r="B324" s="11"/>
      <c r="F324" s="56"/>
      <c r="I324" s="1"/>
    </row>
    <row r="325" spans="1:9" ht="14.25" customHeight="1" x14ac:dyDescent="0.2">
      <c r="A325" s="11"/>
      <c r="B325" s="11"/>
      <c r="F325" s="56"/>
      <c r="I325" s="1"/>
    </row>
    <row r="326" spans="1:9" ht="14.25" customHeight="1" x14ac:dyDescent="0.2">
      <c r="A326" s="11"/>
      <c r="B326" s="11"/>
      <c r="F326" s="56"/>
      <c r="I326" s="1"/>
    </row>
    <row r="327" spans="1:9" ht="14.25" customHeight="1" x14ac:dyDescent="0.2">
      <c r="A327" s="11"/>
      <c r="B327" s="11"/>
      <c r="F327" s="56"/>
      <c r="I327" s="1"/>
    </row>
    <row r="328" spans="1:9" ht="14.25" customHeight="1" x14ac:dyDescent="0.2">
      <c r="A328" s="11"/>
      <c r="B328" s="11"/>
      <c r="F328" s="56"/>
      <c r="I328" s="1"/>
    </row>
    <row r="329" spans="1:9" ht="14.25" customHeight="1" x14ac:dyDescent="0.2">
      <c r="A329" s="11"/>
      <c r="B329" s="11"/>
      <c r="F329" s="56"/>
      <c r="I329" s="1"/>
    </row>
    <row r="330" spans="1:9" ht="14.25" customHeight="1" x14ac:dyDescent="0.2">
      <c r="A330" s="11"/>
      <c r="B330" s="11"/>
      <c r="F330" s="56"/>
      <c r="I330" s="1"/>
    </row>
    <row r="331" spans="1:9" ht="14.25" customHeight="1" x14ac:dyDescent="0.2">
      <c r="A331" s="11"/>
      <c r="B331" s="11"/>
      <c r="F331" s="56"/>
      <c r="I331" s="1"/>
    </row>
    <row r="332" spans="1:9" ht="14.25" customHeight="1" x14ac:dyDescent="0.2">
      <c r="A332" s="11"/>
      <c r="B332" s="11"/>
      <c r="F332" s="56"/>
      <c r="I332" s="1"/>
    </row>
    <row r="333" spans="1:9" ht="14.25" customHeight="1" x14ac:dyDescent="0.2">
      <c r="A333" s="11"/>
      <c r="B333" s="11"/>
      <c r="F333" s="56"/>
      <c r="I333" s="1"/>
    </row>
    <row r="334" spans="1:9" ht="14.25" customHeight="1" x14ac:dyDescent="0.2">
      <c r="A334" s="11"/>
      <c r="B334" s="11"/>
      <c r="F334" s="56"/>
      <c r="I334" s="1"/>
    </row>
    <row r="335" spans="1:9" ht="14.25" customHeight="1" x14ac:dyDescent="0.2">
      <c r="A335" s="11"/>
      <c r="B335" s="11"/>
      <c r="F335" s="56"/>
      <c r="I335" s="1"/>
    </row>
    <row r="336" spans="1:9" ht="14.25" customHeight="1" x14ac:dyDescent="0.2">
      <c r="A336" s="11"/>
      <c r="B336" s="11"/>
      <c r="F336" s="56"/>
      <c r="I336" s="1"/>
    </row>
    <row r="337" spans="1:9" ht="14.25" customHeight="1" x14ac:dyDescent="0.2">
      <c r="A337" s="11"/>
      <c r="B337" s="11"/>
      <c r="F337" s="56"/>
      <c r="I337" s="1"/>
    </row>
    <row r="338" spans="1:9" ht="14.25" customHeight="1" x14ac:dyDescent="0.2">
      <c r="A338" s="11"/>
      <c r="B338" s="11"/>
      <c r="F338" s="56"/>
      <c r="I338" s="1"/>
    </row>
    <row r="339" spans="1:9" ht="14.25" customHeight="1" x14ac:dyDescent="0.2">
      <c r="A339" s="11"/>
      <c r="B339" s="11"/>
      <c r="F339" s="56"/>
      <c r="I339" s="1"/>
    </row>
    <row r="340" spans="1:9" ht="14.25" customHeight="1" x14ac:dyDescent="0.2">
      <c r="A340" s="11"/>
      <c r="B340" s="11"/>
      <c r="F340" s="56"/>
      <c r="I340" s="1"/>
    </row>
    <row r="341" spans="1:9" ht="14.25" customHeight="1" x14ac:dyDescent="0.2">
      <c r="A341" s="11"/>
      <c r="B341" s="11"/>
      <c r="F341" s="56"/>
      <c r="I341" s="1"/>
    </row>
    <row r="342" spans="1:9" ht="14.25" customHeight="1" x14ac:dyDescent="0.2">
      <c r="A342" s="11"/>
      <c r="B342" s="11"/>
      <c r="F342" s="56"/>
      <c r="I342" s="1"/>
    </row>
    <row r="343" spans="1:9" ht="14.25" customHeight="1" x14ac:dyDescent="0.2">
      <c r="A343" s="11"/>
      <c r="B343" s="11"/>
      <c r="F343" s="56"/>
      <c r="I343" s="1"/>
    </row>
    <row r="344" spans="1:9" ht="14.25" customHeight="1" x14ac:dyDescent="0.2">
      <c r="A344" s="11"/>
      <c r="B344" s="11"/>
      <c r="F344" s="56"/>
      <c r="I344" s="1"/>
    </row>
    <row r="345" spans="1:9" ht="14.25" customHeight="1" x14ac:dyDescent="0.2">
      <c r="A345" s="11"/>
      <c r="B345" s="11"/>
      <c r="F345" s="56"/>
      <c r="I345" s="1"/>
    </row>
    <row r="346" spans="1:9" ht="14.25" customHeight="1" x14ac:dyDescent="0.2">
      <c r="A346" s="11"/>
      <c r="B346" s="11"/>
      <c r="F346" s="56"/>
      <c r="I346" s="1"/>
    </row>
    <row r="347" spans="1:9" ht="14.25" customHeight="1" x14ac:dyDescent="0.2">
      <c r="A347" s="11"/>
      <c r="B347" s="11"/>
      <c r="F347" s="56"/>
      <c r="I347" s="1"/>
    </row>
    <row r="348" spans="1:9" ht="14.25" customHeight="1" x14ac:dyDescent="0.2">
      <c r="A348" s="11"/>
      <c r="B348" s="11"/>
      <c r="F348" s="56"/>
      <c r="I348" s="1"/>
    </row>
    <row r="349" spans="1:9" ht="14.25" customHeight="1" x14ac:dyDescent="0.2">
      <c r="A349" s="11"/>
      <c r="B349" s="11"/>
      <c r="F349" s="56"/>
      <c r="I349" s="1"/>
    </row>
    <row r="350" spans="1:9" ht="14.25" customHeight="1" x14ac:dyDescent="0.2">
      <c r="A350" s="11"/>
      <c r="B350" s="11"/>
      <c r="F350" s="56"/>
      <c r="I350" s="1"/>
    </row>
    <row r="351" spans="1:9" ht="14.25" customHeight="1" x14ac:dyDescent="0.2">
      <c r="A351" s="11"/>
      <c r="B351" s="11"/>
      <c r="F351" s="56"/>
      <c r="I351" s="1"/>
    </row>
    <row r="352" spans="1:9" ht="14.25" customHeight="1" x14ac:dyDescent="0.2">
      <c r="A352" s="11"/>
      <c r="B352" s="11"/>
      <c r="F352" s="56"/>
      <c r="I352" s="1"/>
    </row>
    <row r="353" spans="1:9" ht="14.25" customHeight="1" x14ac:dyDescent="0.2">
      <c r="A353" s="11"/>
      <c r="B353" s="11"/>
      <c r="F353" s="56"/>
      <c r="I353" s="1"/>
    </row>
    <row r="354" spans="1:9" ht="14.25" customHeight="1" x14ac:dyDescent="0.2">
      <c r="A354" s="11"/>
      <c r="B354" s="11"/>
      <c r="F354" s="56"/>
      <c r="I354" s="1"/>
    </row>
    <row r="355" spans="1:9" ht="14.25" customHeight="1" x14ac:dyDescent="0.2">
      <c r="A355" s="11"/>
      <c r="B355" s="11"/>
      <c r="F355" s="56"/>
      <c r="I355" s="1"/>
    </row>
    <row r="356" spans="1:9" ht="14.25" customHeight="1" x14ac:dyDescent="0.2">
      <c r="A356" s="11"/>
      <c r="B356" s="11"/>
      <c r="F356" s="56"/>
      <c r="I356" s="1"/>
    </row>
    <row r="357" spans="1:9" ht="14.25" customHeight="1" x14ac:dyDescent="0.2">
      <c r="A357" s="11"/>
      <c r="B357" s="11"/>
      <c r="F357" s="56"/>
      <c r="I357" s="1"/>
    </row>
    <row r="358" spans="1:9" ht="14.25" customHeight="1" x14ac:dyDescent="0.2">
      <c r="A358" s="11"/>
      <c r="B358" s="11"/>
      <c r="F358" s="56"/>
      <c r="I358" s="1"/>
    </row>
    <row r="359" spans="1:9" ht="14.25" customHeight="1" x14ac:dyDescent="0.2">
      <c r="A359" s="11"/>
      <c r="B359" s="11"/>
      <c r="F359" s="56"/>
      <c r="I359" s="1"/>
    </row>
    <row r="360" spans="1:9" ht="14.25" customHeight="1" x14ac:dyDescent="0.2">
      <c r="A360" s="11"/>
      <c r="B360" s="11"/>
      <c r="F360" s="56"/>
      <c r="I360" s="1"/>
    </row>
    <row r="361" spans="1:9" ht="14.25" customHeight="1" x14ac:dyDescent="0.2">
      <c r="A361" s="11"/>
      <c r="B361" s="11"/>
      <c r="F361" s="56"/>
      <c r="I361" s="1"/>
    </row>
    <row r="362" spans="1:9" ht="14.25" customHeight="1" x14ac:dyDescent="0.2">
      <c r="A362" s="11"/>
      <c r="B362" s="11"/>
      <c r="F362" s="56"/>
      <c r="I362" s="1"/>
    </row>
    <row r="363" spans="1:9" ht="14.25" customHeight="1" x14ac:dyDescent="0.2">
      <c r="A363" s="11"/>
      <c r="B363" s="11"/>
      <c r="F363" s="56"/>
      <c r="I363" s="1"/>
    </row>
    <row r="364" spans="1:9" ht="14.25" customHeight="1" x14ac:dyDescent="0.2">
      <c r="A364" s="11"/>
      <c r="B364" s="11"/>
      <c r="F364" s="56"/>
      <c r="I364" s="1"/>
    </row>
    <row r="365" spans="1:9" ht="14.25" customHeight="1" x14ac:dyDescent="0.2">
      <c r="A365" s="11"/>
      <c r="B365" s="11"/>
      <c r="F365" s="56"/>
      <c r="I365" s="1"/>
    </row>
    <row r="366" spans="1:9" ht="14.25" customHeight="1" x14ac:dyDescent="0.2">
      <c r="A366" s="11"/>
      <c r="B366" s="11"/>
      <c r="F366" s="56"/>
      <c r="I366" s="1"/>
    </row>
    <row r="367" spans="1:9" ht="14.25" customHeight="1" x14ac:dyDescent="0.2">
      <c r="A367" s="11"/>
      <c r="B367" s="11"/>
      <c r="F367" s="56"/>
      <c r="I367" s="1"/>
    </row>
    <row r="368" spans="1:9" ht="14.25" customHeight="1" x14ac:dyDescent="0.2">
      <c r="A368" s="11"/>
      <c r="B368" s="11"/>
      <c r="F368" s="56"/>
      <c r="I368" s="1"/>
    </row>
    <row r="369" spans="1:9" ht="14.25" customHeight="1" x14ac:dyDescent="0.2">
      <c r="A369" s="11"/>
      <c r="B369" s="11"/>
      <c r="F369" s="56"/>
      <c r="I369" s="1"/>
    </row>
    <row r="370" spans="1:9" ht="14.25" customHeight="1" x14ac:dyDescent="0.2">
      <c r="A370" s="11"/>
      <c r="B370" s="11"/>
      <c r="F370" s="56"/>
      <c r="I370" s="1"/>
    </row>
    <row r="371" spans="1:9" ht="14.25" customHeight="1" x14ac:dyDescent="0.2">
      <c r="A371" s="11"/>
      <c r="B371" s="11"/>
      <c r="F371" s="56"/>
      <c r="I371" s="1"/>
    </row>
    <row r="372" spans="1:9" ht="14.25" customHeight="1" x14ac:dyDescent="0.2">
      <c r="A372" s="11"/>
      <c r="B372" s="11"/>
      <c r="F372" s="56"/>
      <c r="I372" s="1"/>
    </row>
  </sheetData>
  <mergeCells count="1">
    <mergeCell ref="D2:H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3"/>
  <sheetViews>
    <sheetView showGridLines="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G9" sqref="G9"/>
    </sheetView>
  </sheetViews>
  <sheetFormatPr baseColWidth="10" defaultColWidth="14.5" defaultRowHeight="15" customHeight="1" outlineLevelCol="1" x14ac:dyDescent="0.2"/>
  <cols>
    <col min="1" max="1" width="9.33203125" hidden="1" customWidth="1" outlineLevel="1"/>
    <col min="2" max="2" width="2.6640625" customWidth="1" collapsed="1"/>
    <col min="3" max="3" width="2.6640625" customWidth="1"/>
    <col min="4" max="4" width="25.5" customWidth="1"/>
    <col min="5" max="5" width="3.5" customWidth="1"/>
    <col min="6" max="6" width="8.5" customWidth="1"/>
    <col min="7" max="18" width="10.83203125" customWidth="1"/>
    <col min="19" max="19" width="13.5" customWidth="1" outlineLevel="1"/>
    <col min="20" max="22" width="10.5" customWidth="1" outlineLevel="1"/>
    <col min="23" max="30" width="11.33203125" customWidth="1" outlineLevel="1"/>
    <col min="31" max="33" width="11.33203125" hidden="1" customWidth="1" outlineLevel="1"/>
    <col min="34" max="34" width="6.5" customWidth="1"/>
  </cols>
  <sheetData>
    <row r="1" spans="1:34" ht="14.25" hidden="1" customHeight="1" x14ac:dyDescent="0.25">
      <c r="A1" s="305"/>
      <c r="B1" s="868"/>
      <c r="C1" s="862"/>
      <c r="D1" s="862"/>
      <c r="E1" s="862"/>
      <c r="F1" s="862"/>
      <c r="G1" s="307"/>
      <c r="H1" s="308"/>
      <c r="I1" s="308"/>
      <c r="J1" s="308"/>
      <c r="K1" s="309"/>
      <c r="L1" s="308"/>
      <c r="M1" s="308"/>
      <c r="N1" s="308"/>
      <c r="O1" s="308"/>
      <c r="P1" s="308"/>
      <c r="Q1" s="308"/>
      <c r="R1" s="308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1"/>
    </row>
    <row r="2" spans="1:34" ht="6" hidden="1" customHeight="1" x14ac:dyDescent="0.2">
      <c r="A2" s="305"/>
      <c r="B2" s="862"/>
      <c r="C2" s="862"/>
      <c r="D2" s="862"/>
      <c r="E2" s="862"/>
      <c r="F2" s="862"/>
      <c r="AH2" s="312"/>
    </row>
    <row r="3" spans="1:34" ht="13.5" customHeight="1" x14ac:dyDescent="0.2">
      <c r="A3" s="305"/>
      <c r="B3" s="862"/>
      <c r="C3" s="862"/>
      <c r="D3" s="862"/>
      <c r="E3" s="862"/>
      <c r="F3" s="862"/>
      <c r="G3" s="306"/>
      <c r="H3" s="306"/>
      <c r="I3" s="306"/>
      <c r="J3" s="869" t="str">
        <f>CONCATENATE(Inputs!C3," ",Inputs!C4,", ",Inputs!C5," ",Inputs!C6)</f>
        <v>250 Dolson Avenue Middletown, New York 10940</v>
      </c>
      <c r="K3" s="862"/>
      <c r="L3" s="862"/>
      <c r="M3" s="862"/>
      <c r="N3" s="862"/>
      <c r="O3" s="862"/>
      <c r="P3" s="862"/>
      <c r="Q3" s="862"/>
      <c r="R3" s="862"/>
      <c r="S3" s="305"/>
      <c r="T3" s="305"/>
      <c r="U3" s="305"/>
      <c r="V3" s="869" t="str">
        <f>CONCATENATE(Inputs!C3," ",Inputs!C4,", ",Inputs!C5," ",Inputs!C6)</f>
        <v>250 Dolson Avenue Middletown, New York 10940</v>
      </c>
      <c r="W3" s="862"/>
      <c r="X3" s="862"/>
      <c r="Y3" s="862"/>
      <c r="Z3" s="862"/>
      <c r="AA3" s="862"/>
      <c r="AB3" s="862"/>
      <c r="AC3" s="862"/>
      <c r="AD3" s="862"/>
      <c r="AE3" s="313"/>
      <c r="AF3" s="313"/>
      <c r="AG3" s="313"/>
      <c r="AH3" s="312"/>
    </row>
    <row r="4" spans="1:34" ht="14.25" customHeight="1" x14ac:dyDescent="0.2">
      <c r="A4" s="305"/>
      <c r="B4" s="862"/>
      <c r="C4" s="862"/>
      <c r="D4" s="862"/>
      <c r="E4" s="862"/>
      <c r="F4" s="862"/>
      <c r="G4" s="305"/>
      <c r="H4" s="314" t="s">
        <v>398</v>
      </c>
      <c r="I4" s="315">
        <f>Projection!F3</f>
        <v>105807</v>
      </c>
      <c r="J4" s="862"/>
      <c r="K4" s="862"/>
      <c r="L4" s="862"/>
      <c r="M4" s="862"/>
      <c r="N4" s="862"/>
      <c r="O4" s="862"/>
      <c r="P4" s="862"/>
      <c r="Q4" s="862"/>
      <c r="R4" s="862"/>
      <c r="S4" s="305"/>
      <c r="T4" s="314" t="s">
        <v>398</v>
      </c>
      <c r="U4" s="315">
        <f>Projection!H3</f>
        <v>105807</v>
      </c>
      <c r="V4" s="862"/>
      <c r="W4" s="862"/>
      <c r="X4" s="862"/>
      <c r="Y4" s="862"/>
      <c r="Z4" s="862"/>
      <c r="AA4" s="862"/>
      <c r="AB4" s="862"/>
      <c r="AC4" s="862"/>
      <c r="AD4" s="862"/>
      <c r="AE4" s="316"/>
      <c r="AF4" s="316"/>
      <c r="AG4" s="317"/>
      <c r="AH4" s="318"/>
    </row>
    <row r="5" spans="1:34" ht="14.25" customHeight="1" x14ac:dyDescent="0.2">
      <c r="A5" s="305"/>
      <c r="B5" s="862"/>
      <c r="C5" s="862"/>
      <c r="D5" s="862"/>
      <c r="E5" s="862"/>
      <c r="F5" s="862"/>
      <c r="G5" s="305"/>
      <c r="H5" s="314" t="s">
        <v>399</v>
      </c>
      <c r="I5" s="315">
        <f>Projection!F4</f>
        <v>684</v>
      </c>
      <c r="J5" s="862"/>
      <c r="K5" s="862"/>
      <c r="L5" s="862"/>
      <c r="M5" s="862"/>
      <c r="N5" s="862"/>
      <c r="O5" s="862"/>
      <c r="P5" s="862"/>
      <c r="Q5" s="862"/>
      <c r="R5" s="862"/>
      <c r="S5" s="305"/>
      <c r="T5" s="314" t="s">
        <v>399</v>
      </c>
      <c r="U5" s="315">
        <f>Projection!H4</f>
        <v>684</v>
      </c>
      <c r="V5" s="862"/>
      <c r="W5" s="862"/>
      <c r="X5" s="862"/>
      <c r="Y5" s="862"/>
      <c r="Z5" s="862"/>
      <c r="AA5" s="862"/>
      <c r="AB5" s="862"/>
      <c r="AC5" s="862"/>
      <c r="AD5" s="862"/>
      <c r="AE5" s="316"/>
      <c r="AF5" s="316"/>
      <c r="AG5" s="317"/>
      <c r="AH5" s="318"/>
    </row>
    <row r="6" spans="1:34" ht="14.25" customHeight="1" x14ac:dyDescent="0.2">
      <c r="A6" s="305"/>
      <c r="B6" s="862"/>
      <c r="C6" s="862"/>
      <c r="D6" s="862"/>
      <c r="E6" s="862"/>
      <c r="F6" s="862"/>
      <c r="G6" s="305"/>
      <c r="H6" s="305"/>
      <c r="I6" s="305"/>
      <c r="J6" s="862"/>
      <c r="K6" s="862"/>
      <c r="L6" s="862"/>
      <c r="M6" s="862"/>
      <c r="N6" s="862"/>
      <c r="O6" s="862"/>
      <c r="P6" s="862"/>
      <c r="Q6" s="862"/>
      <c r="R6" s="862"/>
      <c r="S6" s="305"/>
      <c r="T6" s="305"/>
      <c r="U6" s="305"/>
      <c r="V6" s="862"/>
      <c r="W6" s="862"/>
      <c r="X6" s="862"/>
      <c r="Y6" s="862"/>
      <c r="Z6" s="862"/>
      <c r="AA6" s="862"/>
      <c r="AB6" s="862"/>
      <c r="AC6" s="862"/>
      <c r="AD6" s="862"/>
      <c r="AE6" s="313"/>
      <c r="AF6" s="313"/>
      <c r="AG6" s="313"/>
      <c r="AH6" s="312"/>
    </row>
    <row r="7" spans="1:34" ht="6" customHeight="1" x14ac:dyDescent="0.2">
      <c r="A7" s="305"/>
      <c r="B7" s="862"/>
      <c r="C7" s="862"/>
      <c r="D7" s="862"/>
      <c r="E7" s="862"/>
      <c r="F7" s="862"/>
      <c r="G7" s="306"/>
      <c r="H7" s="319"/>
      <c r="I7" s="320"/>
      <c r="J7" s="306"/>
      <c r="K7" s="306"/>
      <c r="L7" s="306"/>
      <c r="M7" s="306"/>
      <c r="N7" s="306"/>
      <c r="O7" s="306"/>
      <c r="P7" s="306"/>
      <c r="Q7" s="306"/>
      <c r="R7" s="306"/>
      <c r="S7" s="321"/>
      <c r="T7" s="321"/>
      <c r="U7" s="321"/>
      <c r="V7" s="321"/>
      <c r="W7" s="322"/>
      <c r="X7" s="322"/>
      <c r="Y7" s="322"/>
      <c r="Z7" s="322"/>
      <c r="AA7" s="322"/>
      <c r="AB7" s="322"/>
      <c r="AC7" s="322"/>
      <c r="AD7" s="322"/>
      <c r="AE7" s="322"/>
      <c r="AF7" s="322"/>
      <c r="AG7" s="322"/>
      <c r="AH7" s="323"/>
    </row>
    <row r="8" spans="1:34" ht="14.25" customHeight="1" x14ac:dyDescent="0.2">
      <c r="A8" s="324"/>
      <c r="B8" s="306"/>
      <c r="C8" s="306"/>
      <c r="D8" s="306"/>
      <c r="E8" s="325"/>
      <c r="F8" s="325">
        <f>EOMONTH(G8,-1)</f>
        <v>46022</v>
      </c>
      <c r="G8" s="326">
        <f>EOMONTH(Inputs!$C$9,0)</f>
        <v>46053</v>
      </c>
      <c r="H8" s="327">
        <f t="shared" ref="H8:R8" si="0">EOMONTH(G8,1)</f>
        <v>46081</v>
      </c>
      <c r="I8" s="327">
        <f t="shared" si="0"/>
        <v>46112</v>
      </c>
      <c r="J8" s="327">
        <f t="shared" si="0"/>
        <v>46142</v>
      </c>
      <c r="K8" s="327">
        <f t="shared" si="0"/>
        <v>46173</v>
      </c>
      <c r="L8" s="327">
        <f t="shared" si="0"/>
        <v>46203</v>
      </c>
      <c r="M8" s="327">
        <f t="shared" si="0"/>
        <v>46234</v>
      </c>
      <c r="N8" s="327">
        <f t="shared" si="0"/>
        <v>46265</v>
      </c>
      <c r="O8" s="327">
        <f t="shared" si="0"/>
        <v>46295</v>
      </c>
      <c r="P8" s="327">
        <f t="shared" si="0"/>
        <v>46326</v>
      </c>
      <c r="Q8" s="327">
        <f t="shared" si="0"/>
        <v>46356</v>
      </c>
      <c r="R8" s="328">
        <f t="shared" si="0"/>
        <v>46387</v>
      </c>
      <c r="S8" s="329" t="s">
        <v>81</v>
      </c>
      <c r="T8" s="330" t="s">
        <v>135</v>
      </c>
      <c r="U8" s="330" t="s">
        <v>138</v>
      </c>
      <c r="V8" s="330" t="s">
        <v>400</v>
      </c>
      <c r="W8" s="330" t="s">
        <v>401</v>
      </c>
      <c r="X8" s="330" t="s">
        <v>402</v>
      </c>
      <c r="Y8" s="330" t="s">
        <v>403</v>
      </c>
      <c r="Z8" s="330" t="s">
        <v>404</v>
      </c>
      <c r="AA8" s="330" t="s">
        <v>405</v>
      </c>
      <c r="AB8" s="330" t="s">
        <v>406</v>
      </c>
      <c r="AC8" s="330" t="s">
        <v>407</v>
      </c>
      <c r="AD8" s="330" t="s">
        <v>408</v>
      </c>
      <c r="AE8" s="330" t="s">
        <v>409</v>
      </c>
      <c r="AF8" s="330" t="s">
        <v>410</v>
      </c>
      <c r="AG8" s="331" t="s">
        <v>411</v>
      </c>
      <c r="AH8" s="323"/>
    </row>
    <row r="9" spans="1:34" ht="6" customHeight="1" x14ac:dyDescent="0.2">
      <c r="A9" s="305"/>
      <c r="B9" s="332"/>
      <c r="C9" s="333"/>
      <c r="D9" s="334"/>
      <c r="E9" s="335"/>
      <c r="F9" s="335"/>
      <c r="G9" s="336"/>
      <c r="H9" s="337"/>
      <c r="I9" s="338"/>
      <c r="J9" s="337"/>
      <c r="K9" s="338"/>
      <c r="L9" s="337"/>
      <c r="M9" s="338"/>
      <c r="N9" s="337"/>
      <c r="O9" s="338"/>
      <c r="P9" s="337"/>
      <c r="Q9" s="338"/>
      <c r="R9" s="339"/>
      <c r="S9" s="336"/>
      <c r="T9" s="337"/>
      <c r="U9" s="338"/>
      <c r="V9" s="337"/>
      <c r="W9" s="338"/>
      <c r="X9" s="337"/>
      <c r="Y9" s="338"/>
      <c r="Z9" s="337"/>
      <c r="AA9" s="338"/>
      <c r="AB9" s="337"/>
      <c r="AC9" s="338"/>
      <c r="AD9" s="339"/>
      <c r="AE9" s="336"/>
      <c r="AF9" s="337"/>
      <c r="AG9" s="340"/>
      <c r="AH9" s="341"/>
    </row>
    <row r="10" spans="1:34" ht="14.25" hidden="1" customHeight="1" x14ac:dyDescent="0.2">
      <c r="A10" s="324" t="s">
        <v>301</v>
      </c>
      <c r="B10" s="332"/>
      <c r="C10" s="332"/>
      <c r="D10" s="332" t="s">
        <v>412</v>
      </c>
      <c r="E10" s="342"/>
      <c r="F10" s="342"/>
      <c r="G10" s="343">
        <f t="array" ref="G10">IFERROR(INDEX(Projection!$B$9:$BE$196,MATCH($A10,Projection!$B$9:$B$196,0),MATCH(G$8,Projection!$B$9:$BE$9,0)),0)</f>
        <v>14.925849367610109</v>
      </c>
      <c r="H10" s="344">
        <f t="array" ref="H10">IFERROR(INDEX(Projection!$B$9:$BE$196,MATCH($A10,Projection!$B$9:$B$196,0),MATCH(H$8,Projection!$B$9:$BE$9,0)),0)</f>
        <v>14.745786761557836</v>
      </c>
      <c r="I10" s="345">
        <f t="array" ref="I10">IFERROR(INDEX(Projection!$B$9:$BE$196,MATCH($A10,Projection!$B$9:$B$196,0),MATCH(I$8,Projection!$B$9:$BE$9,0)),0)</f>
        <v>21.810252620146763</v>
      </c>
      <c r="J10" s="344">
        <f t="array" ref="J10">IFERROR(INDEX(Projection!$B$9:$BE$196,MATCH($A10,Projection!$B$9:$B$196,0),MATCH(J$8,Projection!$B$9:$BE$9,0)),0)</f>
        <v>23.883929222909323</v>
      </c>
      <c r="K10" s="345">
        <f t="array" ref="K10">IFERROR(INDEX(Projection!$B$9:$BE$196,MATCH($A10,Projection!$B$9:$B$196,0),MATCH(K$8,Projection!$B$9:$BE$9,0)),0)</f>
        <v>36.709849789672333</v>
      </c>
      <c r="L10" s="344">
        <f t="array" ref="L10">IFERROR(INDEX(Projection!$B$9:$BE$196,MATCH($A10,Projection!$B$9:$B$196,0),MATCH(L$8,Projection!$B$9:$BE$9,0)),0)</f>
        <v>34.292549426628845</v>
      </c>
      <c r="M10" s="345">
        <f t="array" ref="M10">IFERROR(INDEX(Projection!$B$9:$BE$196,MATCH($A10,Projection!$B$9:$B$196,0),MATCH(M$8,Projection!$B$9:$BE$9,0)),0)</f>
        <v>33.833200071911101</v>
      </c>
      <c r="N10" s="344">
        <f t="array" ref="N10">IFERROR(INDEX(Projection!$B$9:$BE$196,MATCH($A10,Projection!$B$9:$B$196,0),MATCH(N$8,Projection!$B$9:$BE$9,0)),0)</f>
        <v>32.233434189666653</v>
      </c>
      <c r="O10" s="345">
        <f t="array" ref="O10">IFERROR(INDEX(Projection!$B$9:$BE$196,MATCH($A10,Projection!$B$9:$B$196,0),MATCH(O$8,Projection!$B$9:$BE$9,0)),0)</f>
        <v>30.460308770243216</v>
      </c>
      <c r="P10" s="344">
        <f t="array" ref="P10">IFERROR(INDEX(Projection!$B$9:$BE$196,MATCH($A10,Projection!$B$9:$B$196,0),MATCH(P$8,Projection!$B$9:$BE$9,0)),0)</f>
        <v>31.18532948884496</v>
      </c>
      <c r="Q10" s="345">
        <f t="array" ref="Q10">IFERROR(INDEX(Projection!$B$9:$BE$196,MATCH($A10,Projection!$B$9:$B$196,0),MATCH(Q$8,Projection!$B$9:$BE$9,0)),0)</f>
        <v>30.733388749212899</v>
      </c>
      <c r="R10" s="346">
        <f t="array" ref="R10">IFERROR(INDEX(Projection!$B$9:$BE$196,MATCH($A10,Projection!$B$9:$B$196,0),MATCH(R$8,Projection!$B$9:$BE$9,0)),0)</f>
        <v>28.758353597029124</v>
      </c>
      <c r="S10" s="343">
        <f t="shared" ref="S10:S11" si="1">SUM(G10:R10)</f>
        <v>333.57223205543312</v>
      </c>
      <c r="T10" s="344">
        <f>SUMIF(Projection!$B:$B,$A10,Projection!BX:BX)</f>
        <v>551.64634803271122</v>
      </c>
      <c r="U10" s="345">
        <f>SUMIF(Projection!$B:$B,$A10,Projection!BY:BY)</f>
        <v>606.19768263364972</v>
      </c>
      <c r="V10" s="344">
        <f>SUMIF(Projection!$B:$B,$A10,Projection!BZ:BZ)</f>
        <v>443.29988264005294</v>
      </c>
      <c r="W10" s="345">
        <f>SUMIF(Projection!$B:$B,$A10,Projection!CA:CA)</f>
        <v>414.61603989404585</v>
      </c>
      <c r="X10" s="344">
        <f>SUMIF(Projection!$B:$B,$A10,Projection!CB:CB)</f>
        <v>414.61603989404585</v>
      </c>
      <c r="Y10" s="345">
        <f>SUMIF(Projection!$B:$B,$A10,Projection!CC:CC)</f>
        <v>414.61603989404585</v>
      </c>
      <c r="Z10" s="344">
        <f>SUMIF(Projection!$B:$B,$A10,Projection!CD:CD)</f>
        <v>414.61603989404585</v>
      </c>
      <c r="AA10" s="345">
        <f>SUMIF(Projection!$B:$B,$A10,Projection!CE:CE)</f>
        <v>414.61603989404585</v>
      </c>
      <c r="AB10" s="344">
        <f>SUMIF(Projection!$B:$B,$A10,Projection!CF:CF)</f>
        <v>414.61603989404585</v>
      </c>
      <c r="AC10" s="345">
        <f>SUMIF(Projection!$B:$B,$A10,Projection!CG:CG)</f>
        <v>414.61603989404585</v>
      </c>
      <c r="AD10" s="346">
        <f>SUMIF(Projection!$B:$B,$A10,Projection!CH:CH)</f>
        <v>414.61603989404585</v>
      </c>
      <c r="AE10" s="343">
        <f>SUMIF(Projection!$B:$B,$A10,Projection!CI:CI)</f>
        <v>414.61603989404585</v>
      </c>
      <c r="AF10" s="344">
        <f>SUMIF(Projection!$B:$B,$A10,Projection!CJ:CJ)</f>
        <v>414.61603989404585</v>
      </c>
      <c r="AG10" s="347">
        <f>SUMIF(Projection!$B:$B,$A10,Projection!CK:CK)</f>
        <v>414.61603989404585</v>
      </c>
      <c r="AH10" s="348"/>
    </row>
    <row r="11" spans="1:34" ht="14.25" hidden="1" customHeight="1" x14ac:dyDescent="0.2">
      <c r="A11" s="324" t="s">
        <v>303</v>
      </c>
      <c r="B11" s="332"/>
      <c r="C11" s="332"/>
      <c r="D11" s="332" t="s">
        <v>413</v>
      </c>
      <c r="E11" s="342"/>
      <c r="F11" s="342"/>
      <c r="G11" s="349">
        <f t="array" ref="G11">IFERROR(INDEX(Projection!$B$9:$BE$196,MATCH($A11,Projection!$B$9:$B$196,0),MATCH(G$8,Projection!$B$9:$BE$9,0)),0)</f>
        <v>0</v>
      </c>
      <c r="H11" s="350">
        <f t="array" ref="H11">IFERROR(INDEX(Projection!$B$9:$BE$196,MATCH($A11,Projection!$B$9:$B$196,0),MATCH(H$8,Projection!$B$9:$BE$9,0)),0)</f>
        <v>0</v>
      </c>
      <c r="I11" s="351">
        <f t="array" ref="I11">IFERROR(INDEX(Projection!$B$9:$BE$196,MATCH($A11,Projection!$B$9:$B$196,0),MATCH(I$8,Projection!$B$9:$BE$9,0)),0)</f>
        <v>-1.4856925756379715</v>
      </c>
      <c r="J11" s="350">
        <f t="array" ref="J11">IFERROR(INDEX(Projection!$B$9:$BE$196,MATCH($A11,Projection!$B$9:$B$196,0),MATCH(J$8,Projection!$B$9:$BE$9,0)),0)</f>
        <v>-3.2315988163590976</v>
      </c>
      <c r="K11" s="351">
        <f t="array" ref="K11">IFERROR(INDEX(Projection!$B$9:$BE$196,MATCH($A11,Projection!$B$9:$B$196,0),MATCH(K$8,Projection!$B$9:$BE$9,0)),0)</f>
        <v>-5.0404208539449558</v>
      </c>
      <c r="L11" s="350">
        <f t="array" ref="L11">IFERROR(INDEX(Projection!$B$9:$BE$196,MATCH($A11,Projection!$B$9:$B$196,0),MATCH(L$8,Projection!$B$9:$BE$9,0)),0)</f>
        <v>-8.149082167134404</v>
      </c>
      <c r="M11" s="351">
        <f t="array" ref="M11">IFERROR(INDEX(Projection!$B$9:$BE$196,MATCH($A11,Projection!$B$9:$B$196,0),MATCH(M$8,Projection!$B$9:$BE$9,0)),0)</f>
        <v>-10.976852121954209</v>
      </c>
      <c r="N11" s="350">
        <f t="array" ref="N11">IFERROR(INDEX(Projection!$B$9:$BE$196,MATCH($A11,Projection!$B$9:$B$196,0),MATCH(N$8,Projection!$B$9:$BE$9,0)),0)</f>
        <v>-14.977967277608899</v>
      </c>
      <c r="O11" s="351">
        <f t="array" ref="O11">IFERROR(INDEX(Projection!$B$9:$BE$196,MATCH($A11,Projection!$B$9:$B$196,0),MATCH(O$8,Projection!$B$9:$BE$9,0)),0)</f>
        <v>-15.223560584243204</v>
      </c>
      <c r="P11" s="350">
        <f t="array" ref="P11">IFERROR(INDEX(Projection!$B$9:$BE$196,MATCH($A11,Projection!$B$9:$B$196,0),MATCH(P$8,Projection!$B$9:$BE$9,0)),0)</f>
        <v>-15.753514658548831</v>
      </c>
      <c r="Q11" s="351">
        <f t="array" ref="Q11">IFERROR(INDEX(Projection!$B$9:$BE$196,MATCH($A11,Projection!$B$9:$B$196,0),MATCH(Q$8,Projection!$B$9:$BE$9,0)),0)</f>
        <v>-16.337342982186428</v>
      </c>
      <c r="R11" s="352">
        <f t="array" ref="R11">IFERROR(INDEX(Projection!$B$9:$BE$196,MATCH($A11,Projection!$B$9:$B$196,0),MATCH(R$8,Projection!$B$9:$BE$9,0)),0)</f>
        <v>-16.676200017815244</v>
      </c>
      <c r="S11" s="349">
        <f t="shared" si="1"/>
        <v>-107.85223205543323</v>
      </c>
      <c r="T11" s="350">
        <f>SUMIF(Projection!$B:$B,$A11,Projection!BX:BX)</f>
        <v>-312.24634803271124</v>
      </c>
      <c r="U11" s="351">
        <f>SUMIF(Projection!$B:$B,$A11,Projection!BY:BY)</f>
        <v>-442.03768263364969</v>
      </c>
      <c r="V11" s="350">
        <f>SUMIF(Projection!$B:$B,$A11,Projection!BZ:BZ)</f>
        <v>-451.73588264005286</v>
      </c>
      <c r="W11" s="351">
        <f>SUMIF(Projection!$B:$B,$A11,Projection!CA:CA)</f>
        <v>-414.61603989404585</v>
      </c>
      <c r="X11" s="350">
        <f>SUMIF(Projection!$B:$B,$A11,Projection!CB:CB)</f>
        <v>-414.61603989404585</v>
      </c>
      <c r="Y11" s="351">
        <f>SUMIF(Projection!$B:$B,$A11,Projection!CC:CC)</f>
        <v>-414.61603989404585</v>
      </c>
      <c r="Z11" s="350">
        <f>SUMIF(Projection!$B:$B,$A11,Projection!CD:CD)</f>
        <v>-414.61603989404585</v>
      </c>
      <c r="AA11" s="351">
        <f>SUMIF(Projection!$B:$B,$A11,Projection!CE:CE)</f>
        <v>-414.61603989404585</v>
      </c>
      <c r="AB11" s="350">
        <f>SUMIF(Projection!$B:$B,$A11,Projection!CF:CF)</f>
        <v>-414.61603989404585</v>
      </c>
      <c r="AC11" s="351">
        <f>SUMIF(Projection!$B:$B,$A11,Projection!CG:CG)</f>
        <v>-414.61603989404585</v>
      </c>
      <c r="AD11" s="352">
        <f>SUMIF(Projection!$B:$B,$A11,Projection!CH:CH)</f>
        <v>-414.61603989404585</v>
      </c>
      <c r="AE11" s="353">
        <f>SUMIF(Projection!$B:$B,$A11,Projection!CI:CI)</f>
        <v>-414.61603989404585</v>
      </c>
      <c r="AF11" s="350">
        <f>SUMIF(Projection!$B:$B,$A11,Projection!CJ:CJ)</f>
        <v>-414.61603989404585</v>
      </c>
      <c r="AG11" s="354">
        <f>SUMIF(Projection!$B:$B,$A11,Projection!CK:CK)</f>
        <v>-414.61603989404585</v>
      </c>
      <c r="AH11" s="348"/>
    </row>
    <row r="12" spans="1:34" ht="14.25" customHeight="1" x14ac:dyDescent="0.2">
      <c r="A12" s="324" t="s">
        <v>305</v>
      </c>
      <c r="B12" s="332"/>
      <c r="C12" s="332"/>
      <c r="D12" s="332" t="s">
        <v>306</v>
      </c>
      <c r="E12" s="355"/>
      <c r="F12" s="355"/>
      <c r="G12" s="356">
        <f t="shared" ref="G12:AG12" si="2">G10+G11</f>
        <v>14.925849367610109</v>
      </c>
      <c r="H12" s="350">
        <f t="shared" si="2"/>
        <v>14.745786761557836</v>
      </c>
      <c r="I12" s="357">
        <f t="shared" si="2"/>
        <v>20.32456004450879</v>
      </c>
      <c r="J12" s="350">
        <f t="shared" si="2"/>
        <v>20.652330406550227</v>
      </c>
      <c r="K12" s="357">
        <f t="shared" si="2"/>
        <v>31.669428935727378</v>
      </c>
      <c r="L12" s="350">
        <f t="shared" si="2"/>
        <v>26.143467259494443</v>
      </c>
      <c r="M12" s="357">
        <f t="shared" si="2"/>
        <v>22.856347949956891</v>
      </c>
      <c r="N12" s="350">
        <f t="shared" si="2"/>
        <v>17.255466912057756</v>
      </c>
      <c r="O12" s="357">
        <f t="shared" si="2"/>
        <v>15.236748186000012</v>
      </c>
      <c r="P12" s="350">
        <f t="shared" si="2"/>
        <v>15.43181483029613</v>
      </c>
      <c r="Q12" s="357">
        <f t="shared" si="2"/>
        <v>14.396045767026472</v>
      </c>
      <c r="R12" s="352">
        <f t="shared" si="2"/>
        <v>12.08215357921388</v>
      </c>
      <c r="S12" s="356">
        <f t="shared" si="2"/>
        <v>225.71999999999989</v>
      </c>
      <c r="T12" s="350">
        <f t="shared" si="2"/>
        <v>239.39999999999998</v>
      </c>
      <c r="U12" s="357">
        <f t="shared" si="2"/>
        <v>164.16000000000003</v>
      </c>
      <c r="V12" s="350">
        <f t="shared" si="2"/>
        <v>-8.4359999999999218</v>
      </c>
      <c r="W12" s="357">
        <f t="shared" si="2"/>
        <v>0</v>
      </c>
      <c r="X12" s="350">
        <f t="shared" si="2"/>
        <v>0</v>
      </c>
      <c r="Y12" s="357">
        <f t="shared" si="2"/>
        <v>0</v>
      </c>
      <c r="Z12" s="350">
        <f t="shared" si="2"/>
        <v>0</v>
      </c>
      <c r="AA12" s="357">
        <f t="shared" si="2"/>
        <v>0</v>
      </c>
      <c r="AB12" s="350">
        <f t="shared" si="2"/>
        <v>0</v>
      </c>
      <c r="AC12" s="357">
        <f t="shared" si="2"/>
        <v>0</v>
      </c>
      <c r="AD12" s="352">
        <f t="shared" si="2"/>
        <v>0</v>
      </c>
      <c r="AE12" s="358">
        <f t="shared" si="2"/>
        <v>0</v>
      </c>
      <c r="AF12" s="359">
        <f t="shared" si="2"/>
        <v>0</v>
      </c>
      <c r="AG12" s="360">
        <f t="shared" si="2"/>
        <v>0</v>
      </c>
      <c r="AH12" s="348"/>
    </row>
    <row r="13" spans="1:34" ht="14.25" customHeight="1" x14ac:dyDescent="0.2">
      <c r="A13" s="324" t="s">
        <v>307</v>
      </c>
      <c r="B13" s="332"/>
      <c r="C13" s="361"/>
      <c r="D13" s="332" t="s">
        <v>414</v>
      </c>
      <c r="E13" s="335"/>
      <c r="F13" s="335">
        <f>Inputs!C19</f>
        <v>0</v>
      </c>
      <c r="G13" s="362">
        <f t="shared" ref="G13:R13" si="3">F13+G12</f>
        <v>14.925849367610109</v>
      </c>
      <c r="H13" s="337">
        <f t="shared" si="3"/>
        <v>29.671636129167943</v>
      </c>
      <c r="I13" s="363">
        <f t="shared" si="3"/>
        <v>49.996196173676736</v>
      </c>
      <c r="J13" s="337">
        <f t="shared" si="3"/>
        <v>70.648526580226957</v>
      </c>
      <c r="K13" s="363">
        <f t="shared" si="3"/>
        <v>102.31795551595434</v>
      </c>
      <c r="L13" s="337">
        <f t="shared" si="3"/>
        <v>128.4614227754488</v>
      </c>
      <c r="M13" s="363">
        <f t="shared" si="3"/>
        <v>151.31777072540569</v>
      </c>
      <c r="N13" s="337">
        <f t="shared" si="3"/>
        <v>168.57323763746345</v>
      </c>
      <c r="O13" s="363">
        <f t="shared" si="3"/>
        <v>183.80998582346345</v>
      </c>
      <c r="P13" s="337">
        <f t="shared" si="3"/>
        <v>199.24180065375958</v>
      </c>
      <c r="Q13" s="363">
        <f t="shared" si="3"/>
        <v>213.63784642078605</v>
      </c>
      <c r="R13" s="339">
        <f t="shared" si="3"/>
        <v>225.71999999999991</v>
      </c>
      <c r="S13" s="362">
        <f>R13</f>
        <v>225.71999999999991</v>
      </c>
      <c r="T13" s="337">
        <f t="shared" ref="T13:AG13" si="4">S13+T12</f>
        <v>465.11999999999989</v>
      </c>
      <c r="U13" s="363">
        <f t="shared" si="4"/>
        <v>629.28</v>
      </c>
      <c r="V13" s="337">
        <f t="shared" si="4"/>
        <v>620.84400000000005</v>
      </c>
      <c r="W13" s="363">
        <f t="shared" si="4"/>
        <v>620.84400000000005</v>
      </c>
      <c r="X13" s="337">
        <f t="shared" si="4"/>
        <v>620.84400000000005</v>
      </c>
      <c r="Y13" s="363">
        <f t="shared" si="4"/>
        <v>620.84400000000005</v>
      </c>
      <c r="Z13" s="337">
        <f t="shared" si="4"/>
        <v>620.84400000000005</v>
      </c>
      <c r="AA13" s="363">
        <f t="shared" si="4"/>
        <v>620.84400000000005</v>
      </c>
      <c r="AB13" s="337">
        <f t="shared" si="4"/>
        <v>620.84400000000005</v>
      </c>
      <c r="AC13" s="363">
        <f t="shared" si="4"/>
        <v>620.84400000000005</v>
      </c>
      <c r="AD13" s="339">
        <f t="shared" si="4"/>
        <v>620.84400000000005</v>
      </c>
      <c r="AE13" s="336">
        <f t="shared" si="4"/>
        <v>620.84400000000005</v>
      </c>
      <c r="AF13" s="337">
        <f t="shared" si="4"/>
        <v>620.84400000000005</v>
      </c>
      <c r="AG13" s="340">
        <f t="shared" si="4"/>
        <v>620.84400000000005</v>
      </c>
      <c r="AH13" s="341"/>
    </row>
    <row r="14" spans="1:34" ht="14.25" customHeight="1" x14ac:dyDescent="0.2">
      <c r="A14" s="305"/>
      <c r="B14" s="332"/>
      <c r="C14" s="364" t="s">
        <v>5</v>
      </c>
      <c r="D14" s="333"/>
      <c r="E14" s="335"/>
      <c r="F14" s="335"/>
      <c r="G14" s="336"/>
      <c r="H14" s="337"/>
      <c r="I14" s="338"/>
      <c r="J14" s="337"/>
      <c r="K14" s="338"/>
      <c r="L14" s="337"/>
      <c r="M14" s="338"/>
      <c r="N14" s="337"/>
      <c r="O14" s="338"/>
      <c r="P14" s="337"/>
      <c r="Q14" s="338"/>
      <c r="R14" s="339"/>
      <c r="S14" s="336"/>
      <c r="T14" s="337"/>
      <c r="U14" s="338"/>
      <c r="V14" s="337"/>
      <c r="W14" s="338"/>
      <c r="X14" s="337"/>
      <c r="Y14" s="338"/>
      <c r="Z14" s="337"/>
      <c r="AA14" s="338"/>
      <c r="AB14" s="337"/>
      <c r="AC14" s="338"/>
      <c r="AD14" s="339"/>
      <c r="AE14" s="336"/>
      <c r="AF14" s="337"/>
      <c r="AG14" s="340"/>
      <c r="AH14" s="341"/>
    </row>
    <row r="15" spans="1:34" ht="14.25" customHeight="1" x14ac:dyDescent="0.2">
      <c r="A15" s="324" t="s">
        <v>415</v>
      </c>
      <c r="B15" s="332"/>
      <c r="C15" s="333"/>
      <c r="D15" s="332" t="s">
        <v>416</v>
      </c>
      <c r="E15" s="335"/>
      <c r="F15" s="335">
        <f>Projection!I25</f>
        <v>0</v>
      </c>
      <c r="G15" s="365">
        <f t="array" ref="G15">IFERROR(INDEX(Projection!$B$9:$BE$196,MATCH($A15,Projection!$B$9:$B$196,0),MATCH(G$8,Projection!$B$9:$BE$9,0)),0)</f>
        <v>2308.858690115092</v>
      </c>
      <c r="H15" s="366">
        <f t="array" ref="H15">IFERROR(INDEX(Projection!$B$9:$BE$196,MATCH($A15,Projection!$B$9:$B$196,0),MATCH(H$8,Projection!$B$9:$BE$9,0)),0)</f>
        <v>4589.8637484194051</v>
      </c>
      <c r="I15" s="367">
        <f t="array" ref="I15">IFERROR(INDEX(Projection!$B$9:$BE$196,MATCH($A15,Projection!$B$9:$B$196,0),MATCH(I$8,Projection!$B$9:$BE$9,0)),0)</f>
        <v>7733.841416006162</v>
      </c>
      <c r="J15" s="366">
        <f t="array" ref="J15">IFERROR(INDEX(Projection!$B$9:$BE$196,MATCH($A15,Projection!$B$9:$B$196,0),MATCH(J$8,Projection!$B$9:$BE$9,0)),0)</f>
        <v>10928.52142086853</v>
      </c>
      <c r="K15" s="367">
        <f t="array" ref="K15">IFERROR(INDEX(Projection!$B$9:$BE$196,MATCH($A15,Projection!$B$9:$B$196,0),MATCH(K$8,Projection!$B$9:$BE$9,0)),0)</f>
        <v>15827.420934614885</v>
      </c>
      <c r="L15" s="366">
        <f t="array" ref="L15">IFERROR(INDEX(Projection!$B$9:$BE$196,MATCH($A15,Projection!$B$9:$B$196,0),MATCH(L$8,Projection!$B$9:$BE$9,0)),0)</f>
        <v>19871.517192400453</v>
      </c>
      <c r="M15" s="367">
        <f t="array" ref="M15">IFERROR(INDEX(Projection!$B$9:$BE$196,MATCH($A15,Projection!$B$9:$B$196,0),MATCH(M$8,Projection!$B$9:$BE$9,0)),0)</f>
        <v>23407.133577694443</v>
      </c>
      <c r="N15" s="366">
        <f t="array" ref="N15">IFERROR(INDEX(Projection!$B$9:$BE$196,MATCH($A15,Projection!$B$9:$B$196,0),MATCH(N$8,Projection!$B$9:$BE$9,0)),0)</f>
        <v>26076.357536121483</v>
      </c>
      <c r="O15" s="367">
        <f t="array" ref="O15">IFERROR(INDEX(Projection!$B$9:$BE$196,MATCH($A15,Projection!$B$9:$B$196,0),MATCH(O$8,Projection!$B$9:$BE$9,0)),0)</f>
        <v>28433.30872810409</v>
      </c>
      <c r="P15" s="366">
        <f t="array" ref="P15">IFERROR(INDEX(Projection!$B$9:$BE$196,MATCH($A15,Projection!$B$9:$B$196,0),MATCH(P$8,Projection!$B$9:$BE$9,0)),0)</f>
        <v>30820.434505515117</v>
      </c>
      <c r="Q15" s="367">
        <f t="array" ref="Q15">IFERROR(INDEX(Projection!$B$9:$BE$196,MATCH($A15,Projection!$B$9:$B$196,0),MATCH(Q$8,Projection!$B$9:$BE$9,0)),0)</f>
        <v>33047.338620239927</v>
      </c>
      <c r="R15" s="368">
        <f t="array" ref="R15">IFERROR(INDEX(Projection!$B$9:$BE$196,MATCH($A15,Projection!$B$9:$B$196,0),MATCH(R$8,Projection!$B$9:$BE$9,0)),0)</f>
        <v>34916.30999999999</v>
      </c>
      <c r="S15" s="369">
        <f>SUM(G15:R15)/12</f>
        <v>19830.07553084163</v>
      </c>
      <c r="T15" s="370">
        <f>SUMIF(Projection!$B:$B,$A15,Projection!BX:BX)</f>
        <v>55948.208290286588</v>
      </c>
      <c r="U15" s="371">
        <f>SUMIF(Projection!$B:$B,$A15,Projection!BY:BY)</f>
        <v>86370.633113339369</v>
      </c>
      <c r="V15" s="370">
        <f>SUMIF(Projection!$B:$B,$A15,Projection!BZ:BZ)</f>
        <v>97342.440000000017</v>
      </c>
      <c r="W15" s="371">
        <f>SUMIF(Projection!$B:$B,$A15,Projection!CA:CA)</f>
        <v>97342.440000000017</v>
      </c>
      <c r="X15" s="370">
        <f>SUMIF(Projection!$B:$B,$A15,Projection!CB:CB)</f>
        <v>97342.440000000017</v>
      </c>
      <c r="Y15" s="371">
        <f>SUMIF(Projection!$B:$B,$A15,Projection!CC:CC)</f>
        <v>97342.440000000017</v>
      </c>
      <c r="Z15" s="370">
        <f>SUMIF(Projection!$B:$B,$A15,Projection!CD:CD)</f>
        <v>97342.440000000017</v>
      </c>
      <c r="AA15" s="371">
        <f>SUMIF(Projection!$B:$B,$A15,Projection!CE:CE)</f>
        <v>97342.440000000017</v>
      </c>
      <c r="AB15" s="370">
        <f>SUMIF(Projection!$B:$B,$A15,Projection!CF:CF)</f>
        <v>97342.440000000017</v>
      </c>
      <c r="AC15" s="371">
        <f>SUMIF(Projection!$B:$B,$A15,Projection!CG:CG)</f>
        <v>97342.440000000017</v>
      </c>
      <c r="AD15" s="372">
        <f>SUMIF(Projection!$B:$B,$A15,Projection!CH:CH)</f>
        <v>97342.440000000017</v>
      </c>
      <c r="AE15" s="369">
        <f>SUMIF(Projection!$B:$B,$A15,Projection!CI:CI)</f>
        <v>97342.440000000017</v>
      </c>
      <c r="AF15" s="370">
        <f>SUMIF(Projection!$B:$B,$A15,Projection!CJ:CJ)</f>
        <v>97342.440000000017</v>
      </c>
      <c r="AG15" s="373">
        <f>SUMIF(Projection!$B:$B,$A15,Projection!CK:CK)</f>
        <v>97342.440000000017</v>
      </c>
      <c r="AH15" s="318"/>
    </row>
    <row r="16" spans="1:34" ht="14.25" customHeight="1" x14ac:dyDescent="0.2">
      <c r="A16" s="324" t="s">
        <v>417</v>
      </c>
      <c r="B16" s="332"/>
      <c r="C16" s="374"/>
      <c r="D16" s="332" t="s">
        <v>418</v>
      </c>
      <c r="E16" s="335"/>
      <c r="F16" s="375">
        <f>F15/U4</f>
        <v>0</v>
      </c>
      <c r="G16" s="376">
        <f t="shared" ref="G16:AG16" si="5">G15/$U$4</f>
        <v>2.1821417204108347E-2</v>
      </c>
      <c r="H16" s="377">
        <f t="shared" si="5"/>
        <v>4.3379584984163666E-2</v>
      </c>
      <c r="I16" s="378">
        <f t="shared" si="5"/>
        <v>7.3093854055082952E-2</v>
      </c>
      <c r="J16" s="377">
        <f t="shared" si="5"/>
        <v>0.10328731956173533</v>
      </c>
      <c r="K16" s="378">
        <f t="shared" si="5"/>
        <v>0.14958765426309115</v>
      </c>
      <c r="L16" s="377">
        <f t="shared" si="5"/>
        <v>0.18780909762492512</v>
      </c>
      <c r="M16" s="378">
        <f t="shared" si="5"/>
        <v>0.2212248110020551</v>
      </c>
      <c r="N16" s="377">
        <f t="shared" si="5"/>
        <v>0.24645210180915708</v>
      </c>
      <c r="O16" s="378">
        <f t="shared" si="5"/>
        <v>0.26872804944950796</v>
      </c>
      <c r="P16" s="377">
        <f t="shared" si="5"/>
        <v>0.29128918224233857</v>
      </c>
      <c r="Q16" s="378">
        <f t="shared" si="5"/>
        <v>0.31233603277892696</v>
      </c>
      <c r="R16" s="379">
        <f t="shared" si="5"/>
        <v>0.3299999999999999</v>
      </c>
      <c r="S16" s="380">
        <f t="shared" si="5"/>
        <v>0.187417425414591</v>
      </c>
      <c r="T16" s="381">
        <f t="shared" si="5"/>
        <v>0.52877605725789967</v>
      </c>
      <c r="U16" s="382">
        <f t="shared" si="5"/>
        <v>0.81630358211970255</v>
      </c>
      <c r="V16" s="381">
        <f t="shared" si="5"/>
        <v>0.92000000000000015</v>
      </c>
      <c r="W16" s="382">
        <f t="shared" si="5"/>
        <v>0.92000000000000015</v>
      </c>
      <c r="X16" s="381">
        <f t="shared" si="5"/>
        <v>0.92000000000000015</v>
      </c>
      <c r="Y16" s="382">
        <f t="shared" si="5"/>
        <v>0.92000000000000015</v>
      </c>
      <c r="Z16" s="381">
        <f t="shared" si="5"/>
        <v>0.92000000000000015</v>
      </c>
      <c r="AA16" s="382">
        <f t="shared" si="5"/>
        <v>0.92000000000000015</v>
      </c>
      <c r="AB16" s="381">
        <f t="shared" si="5"/>
        <v>0.92000000000000015</v>
      </c>
      <c r="AC16" s="382">
        <f t="shared" si="5"/>
        <v>0.92000000000000015</v>
      </c>
      <c r="AD16" s="383">
        <f t="shared" si="5"/>
        <v>0.92000000000000015</v>
      </c>
      <c r="AE16" s="380">
        <f t="shared" si="5"/>
        <v>0.92000000000000015</v>
      </c>
      <c r="AF16" s="381">
        <f t="shared" si="5"/>
        <v>0.92000000000000015</v>
      </c>
      <c r="AG16" s="384">
        <f t="shared" si="5"/>
        <v>0.92000000000000015</v>
      </c>
      <c r="AH16" s="385"/>
    </row>
    <row r="17" spans="1:34" ht="5.25" customHeight="1" x14ac:dyDescent="0.2">
      <c r="A17" s="305"/>
      <c r="B17" s="364"/>
      <c r="C17" s="386"/>
      <c r="D17" s="333"/>
      <c r="E17" s="335"/>
      <c r="F17" s="387"/>
      <c r="G17" s="388"/>
      <c r="H17" s="389"/>
      <c r="I17" s="390"/>
      <c r="J17" s="389"/>
      <c r="K17" s="390"/>
      <c r="L17" s="389"/>
      <c r="M17" s="390"/>
      <c r="N17" s="389"/>
      <c r="O17" s="390"/>
      <c r="P17" s="389"/>
      <c r="Q17" s="390"/>
      <c r="R17" s="391"/>
      <c r="S17" s="392"/>
      <c r="T17" s="393"/>
      <c r="U17" s="394"/>
      <c r="V17" s="393"/>
      <c r="W17" s="394"/>
      <c r="X17" s="393"/>
      <c r="Y17" s="394"/>
      <c r="Z17" s="393"/>
      <c r="AA17" s="394"/>
      <c r="AB17" s="393"/>
      <c r="AC17" s="394"/>
      <c r="AD17" s="395"/>
      <c r="AE17" s="392"/>
      <c r="AF17" s="393"/>
      <c r="AG17" s="396"/>
      <c r="AH17" s="397"/>
    </row>
    <row r="18" spans="1:34" ht="14.25" customHeight="1" x14ac:dyDescent="0.2">
      <c r="A18" s="324" t="s">
        <v>320</v>
      </c>
      <c r="B18" s="364"/>
      <c r="C18" s="386"/>
      <c r="D18" s="332" t="s">
        <v>419</v>
      </c>
      <c r="E18" s="335"/>
      <c r="F18" s="398"/>
      <c r="G18" s="399">
        <f t="array" ref="G18">IFERROR(INDEX(Projection!$B$9:$BE$196,MATCH($A18,Projection!$B$9:$B$196,0),MATCH(G$8,Projection!$B$9:$BE$9,0)),0)</f>
        <v>18.175812993534755</v>
      </c>
      <c r="H18" s="400">
        <f t="array" ref="H18">IFERROR(INDEX(Projection!$B$9:$BE$196,MATCH($A18,Projection!$B$9:$B$196,0),MATCH(H$8,Projection!$B$9:$BE$9,0)),0)</f>
        <v>18.236399036846546</v>
      </c>
      <c r="I18" s="401">
        <f t="array" ref="I18">IFERROR(INDEX(Projection!$B$9:$BE$196,MATCH($A18,Projection!$B$9:$B$196,0),MATCH(I$8,Projection!$B$9:$BE$9,0)),0)</f>
        <v>18.4795510240045</v>
      </c>
      <c r="J18" s="400">
        <f t="array" ref="J18">IFERROR(INDEX(Projection!$B$9:$BE$196,MATCH($A18,Projection!$B$9:$B$196,0),MATCH(J$8,Projection!$B$9:$BE$9,0)),0)</f>
        <v>19.280331568378024</v>
      </c>
      <c r="K18" s="401">
        <f t="array" ref="K18">IFERROR(INDEX(Projection!$B$9:$BE$196,MATCH($A18,Projection!$B$9:$B$196,0),MATCH(K$8,Projection!$B$9:$BE$9,0)),0)</f>
        <v>20.115812603007747</v>
      </c>
      <c r="L18" s="400">
        <f t="array" ref="L18">IFERROR(INDEX(Projection!$B$9:$BE$196,MATCH($A18,Projection!$B$9:$B$196,0),MATCH(L$8,Projection!$B$9:$BE$9,0)),0)</f>
        <v>20.685760626759631</v>
      </c>
      <c r="M18" s="401">
        <f t="array" ref="M18">IFERROR(INDEX(Projection!$B$9:$BE$196,MATCH($A18,Projection!$B$9:$B$196,0),MATCH(M$8,Projection!$B$9:$BE$9,0)),0)</f>
        <v>20.754713162182163</v>
      </c>
      <c r="N18" s="400">
        <f t="array" ref="N18">IFERROR(INDEX(Projection!$B$9:$BE$196,MATCH($A18,Projection!$B$9:$B$196,0),MATCH(N$8,Projection!$B$9:$BE$9,0)),0)</f>
        <v>19.578612749658504</v>
      </c>
      <c r="O18" s="401">
        <f t="array" ref="O18">IFERROR(INDEX(Projection!$B$9:$BE$196,MATCH($A18,Projection!$B$9:$B$196,0),MATCH(O$8,Projection!$B$9:$BE$9,0)),0)</f>
        <v>19.252302537164198</v>
      </c>
      <c r="P18" s="400">
        <f t="array" ref="P18">IFERROR(INDEX(Projection!$B$9:$BE$196,MATCH($A18,Projection!$B$9:$B$196,0),MATCH(P$8,Projection!$B$9:$BE$9,0)),0)</f>
        <v>19.027692340897278</v>
      </c>
      <c r="Q18" s="401">
        <f t="array" ref="Q18">IFERROR(INDEX(Projection!$B$9:$BE$196,MATCH($A18,Projection!$B$9:$B$196,0),MATCH(Q$8,Projection!$B$9:$BE$9,0)),0)</f>
        <v>18.824730289261041</v>
      </c>
      <c r="R18" s="402">
        <f t="array" ref="R18">IFERROR(INDEX(Projection!$B$9:$BE$196,MATCH($A18,Projection!$B$9:$B$196,0),MATCH(R$8,Projection!$B$9:$BE$9,0)),0)</f>
        <v>18.774531008489681</v>
      </c>
      <c r="S18" s="399">
        <f t="shared" ref="S18:S19" si="6">AVERAGE(G18:R18)</f>
        <v>19.265520828348674</v>
      </c>
      <c r="T18" s="400">
        <f>Projection!BX33</f>
        <v>19.966468003911526</v>
      </c>
      <c r="U18" s="401">
        <f>Projection!BY33</f>
        <v>20.41365420714504</v>
      </c>
      <c r="V18" s="400">
        <f>Projection!BZ33</f>
        <v>20.553837930869026</v>
      </c>
      <c r="W18" s="401">
        <f>Projection!CA33</f>
        <v>21.301658598318593</v>
      </c>
      <c r="X18" s="400">
        <f>Projection!CB33</f>
        <v>22.153724942251337</v>
      </c>
      <c r="Y18" s="401">
        <f>Projection!CC33</f>
        <v>23.039873939941391</v>
      </c>
      <c r="Z18" s="400">
        <f>Projection!CD33</f>
        <v>23.961468897539046</v>
      </c>
      <c r="AA18" s="401">
        <f>Projection!CE33</f>
        <v>24.91992765344061</v>
      </c>
      <c r="AB18" s="400">
        <f>Projection!CF33</f>
        <v>25.916724759578234</v>
      </c>
      <c r="AC18" s="401">
        <f>Projection!CG33</f>
        <v>26.953393749961364</v>
      </c>
      <c r="AD18" s="402">
        <f>Projection!CH33</f>
        <v>28.03152949995982</v>
      </c>
      <c r="AE18" s="399">
        <f>Projection!CI33</f>
        <v>29.152790679958215</v>
      </c>
      <c r="AF18" s="400">
        <f>Projection!CJ33</f>
        <v>30.318902307156545</v>
      </c>
      <c r="AG18" s="403">
        <f>Projection!CK33</f>
        <v>31.531658399442808</v>
      </c>
      <c r="AH18" s="404"/>
    </row>
    <row r="19" spans="1:34" ht="14.25" hidden="1" customHeight="1" x14ac:dyDescent="0.2">
      <c r="A19" s="324" t="s">
        <v>322</v>
      </c>
      <c r="B19" s="332"/>
      <c r="C19" s="386"/>
      <c r="D19" s="332" t="s">
        <v>11</v>
      </c>
      <c r="E19" s="398"/>
      <c r="F19" s="398"/>
      <c r="G19" s="405">
        <f t="array" ref="G19">IFERROR(INDEX(Projection!$B$9:$BE$196,MATCH($A19,Projection!$B$9:$B$196,0),MATCH(G$8,Projection!$B$9:$BE$9,0)),0)</f>
        <v>18.175812993534755</v>
      </c>
      <c r="H19" s="406">
        <f t="array" ref="H19">IFERROR(INDEX(Projection!$B$9:$BE$196,MATCH($A19,Projection!$B$9:$B$196,0),MATCH(H$8,Projection!$B$9:$BE$9,0)),0)</f>
        <v>18.205922181700618</v>
      </c>
      <c r="I19" s="407">
        <f t="array" ref="I19">IFERROR(INDEX(Projection!$B$9:$BE$196,MATCH($A19,Projection!$B$9:$B$196,0),MATCH(I$8,Projection!$B$9:$BE$9,0)),0)</f>
        <v>18.324383892603841</v>
      </c>
      <c r="J19" s="406">
        <f t="array" ref="J19">IFERROR(INDEX(Projection!$B$9:$BE$196,MATCH($A19,Projection!$B$9:$B$196,0),MATCH(J$8,Projection!$B$9:$BE$9,0)),0)</f>
        <v>18.644271786405977</v>
      </c>
      <c r="K19" s="407">
        <f t="array" ref="K19">IFERROR(INDEX(Projection!$B$9:$BE$196,MATCH($A19,Projection!$B$9:$B$196,0),MATCH(K$8,Projection!$B$9:$BE$9,0)),0)</f>
        <v>19.165449511653879</v>
      </c>
      <c r="L19" s="406">
        <f t="array" ref="L19">IFERROR(INDEX(Projection!$B$9:$BE$196,MATCH($A19,Projection!$B$9:$B$196,0),MATCH(L$8,Projection!$B$9:$BE$9,0)),0)</f>
        <v>19.760768955489748</v>
      </c>
      <c r="M19" s="407">
        <f t="array" ref="M19">IFERROR(INDEX(Projection!$B$9:$BE$196,MATCH($A19,Projection!$B$9:$B$196,0),MATCH(M$8,Projection!$B$9:$BE$9,0)),0)</f>
        <v>20.085302092062847</v>
      </c>
      <c r="N19" s="406">
        <f t="array" ref="N19">IFERROR(INDEX(Projection!$B$9:$BE$196,MATCH($A19,Projection!$B$9:$B$196,0),MATCH(N$8,Projection!$B$9:$BE$9,0)),0)</f>
        <v>20.121591975980181</v>
      </c>
      <c r="O19" s="407">
        <f t="array" ref="O19">IFERROR(INDEX(Projection!$B$9:$BE$196,MATCH($A19,Projection!$B$9:$B$196,0),MATCH(O$8,Projection!$B$9:$BE$9,0)),0)</f>
        <v>20.123861790494857</v>
      </c>
      <c r="P19" s="406">
        <f t="array" ref="P19">IFERROR(INDEX(Projection!$B$9:$BE$196,MATCH($A19,Projection!$B$9:$B$196,0),MATCH(P$8,Projection!$B$9:$BE$9,0)),0)</f>
        <v>20.170155408378825</v>
      </c>
      <c r="Q19" s="407">
        <f t="array" ref="Q19">IFERROR(INDEX(Projection!$B$9:$BE$196,MATCH($A19,Projection!$B$9:$B$196,0),MATCH(Q$8,Projection!$B$9:$BE$9,0)),0)</f>
        <v>20.155966216600028</v>
      </c>
      <c r="R19" s="408">
        <f t="array" ref="R19">IFERROR(INDEX(Projection!$B$9:$BE$196,MATCH($A19,Projection!$B$9:$B$196,0),MATCH(R$8,Projection!$B$9:$BE$9,0)),0)</f>
        <v>20.160365481173752</v>
      </c>
      <c r="S19" s="405">
        <f t="shared" si="6"/>
        <v>19.424487690506609</v>
      </c>
      <c r="T19" s="406">
        <f>Projection!BX34</f>
        <v>20.810242046836876</v>
      </c>
      <c r="U19" s="407">
        <f>Projection!BY34</f>
        <v>21.794342109487307</v>
      </c>
      <c r="V19" s="406">
        <f>Projection!BZ34</f>
        <v>22.648494719726632</v>
      </c>
      <c r="W19" s="407">
        <f>Projection!CA34</f>
        <v>23.666244382776995</v>
      </c>
      <c r="X19" s="406">
        <f>Projection!CB34</f>
        <v>24.612894158088075</v>
      </c>
      <c r="Y19" s="407">
        <f>Projection!CC34</f>
        <v>25.5974099244116</v>
      </c>
      <c r="Z19" s="406">
        <f>Projection!CD34</f>
        <v>26.621306321388065</v>
      </c>
      <c r="AA19" s="407">
        <f>Projection!CE34</f>
        <v>27.686158574243589</v>
      </c>
      <c r="AB19" s="406">
        <f>Projection!CF34</f>
        <v>28.793604917213333</v>
      </c>
      <c r="AC19" s="407">
        <f>Projection!CG34</f>
        <v>29.945349113901869</v>
      </c>
      <c r="AD19" s="408">
        <f>Projection!CH34</f>
        <v>31.143163078457949</v>
      </c>
      <c r="AE19" s="399">
        <f>Projection!CI34</f>
        <v>32.388889601596269</v>
      </c>
      <c r="AF19" s="400">
        <f>Projection!CJ34</f>
        <v>33.684445185660117</v>
      </c>
      <c r="AG19" s="403">
        <f>Projection!CK34</f>
        <v>35.031822993086521</v>
      </c>
      <c r="AH19" s="404"/>
    </row>
    <row r="20" spans="1:34" ht="5.25" customHeight="1" x14ac:dyDescent="0.2">
      <c r="A20" s="324"/>
      <c r="B20" s="332"/>
      <c r="C20" s="332"/>
      <c r="D20" s="332"/>
      <c r="E20" s="409"/>
      <c r="F20" s="409"/>
      <c r="G20" s="410"/>
      <c r="H20" s="366"/>
      <c r="I20" s="411"/>
      <c r="J20" s="366"/>
      <c r="K20" s="411"/>
      <c r="L20" s="366"/>
      <c r="M20" s="411"/>
      <c r="N20" s="366"/>
      <c r="O20" s="411"/>
      <c r="P20" s="366"/>
      <c r="Q20" s="411"/>
      <c r="R20" s="368"/>
      <c r="S20" s="410"/>
      <c r="T20" s="366"/>
      <c r="U20" s="411"/>
      <c r="V20" s="366"/>
      <c r="W20" s="411"/>
      <c r="X20" s="366"/>
      <c r="Y20" s="411"/>
      <c r="Z20" s="366"/>
      <c r="AA20" s="411"/>
      <c r="AB20" s="366"/>
      <c r="AC20" s="411"/>
      <c r="AD20" s="368"/>
      <c r="AE20" s="365"/>
      <c r="AF20" s="366"/>
      <c r="AG20" s="412"/>
      <c r="AH20" s="348"/>
    </row>
    <row r="21" spans="1:34" ht="14.25" customHeight="1" x14ac:dyDescent="0.2">
      <c r="A21" s="324">
        <v>4100</v>
      </c>
      <c r="B21" s="332"/>
      <c r="C21" s="332"/>
      <c r="D21" s="332" t="s">
        <v>26</v>
      </c>
      <c r="E21" s="409"/>
      <c r="F21" s="409"/>
      <c r="G21" s="365">
        <f t="array" ref="G21">IFERROR(INDEX(Projection!$F$9:$BE$173,MATCH('7 Year Projection'!$A21,Projection!$F$9:$F$173,0),MATCH('7 Year Projection'!G$8,Projection!$F$9:$BE$9,0)),0)</f>
        <v>3497.1153150024606</v>
      </c>
      <c r="H21" s="366">
        <f t="array" ref="H21">IFERROR(INDEX(Projection!$F$9:$BE$173,MATCH('7 Year Projection'!$A21,Projection!$F$9:$F$173,0),MATCH('7 Year Projection'!H$8,Projection!$F$9:$BE$9,0)),0)</f>
        <v>6963.5585190276997</v>
      </c>
      <c r="I21" s="367">
        <f t="array" ref="I21">IFERROR(INDEX(Projection!$F$9:$BE$173,MATCH('7 Year Projection'!$A21,Projection!$F$9:$F$173,0),MATCH('7 Year Projection'!I$8,Projection!$F$9:$BE$9,0)),0)</f>
        <v>11809.823255951316</v>
      </c>
      <c r="J21" s="366">
        <f t="array" ref="J21">IFERROR(INDEX(Projection!$F$9:$BE$173,MATCH('7 Year Projection'!$A21,Projection!$F$9:$F$173,0),MATCH('7 Year Projection'!J$8,Projection!$F$9:$BE$9,0)),0)</f>
        <v>16979.52696618604</v>
      </c>
      <c r="K21" s="367">
        <f t="array" ref="K21">IFERROR(INDEX(Projection!$F$9:$BE$173,MATCH('7 Year Projection'!$A21,Projection!$F$9:$F$173,0),MATCH('7 Year Projection'!K$8,Projection!$F$9:$BE$9,0)),0)</f>
        <v>25278.303068504603</v>
      </c>
      <c r="L21" s="366">
        <f t="array" ref="L21">IFERROR(INDEX(Projection!$F$9:$BE$173,MATCH('7 Year Projection'!$A21,Projection!$F$9:$F$173,0),MATCH('7 Year Projection'!L$8,Projection!$F$9:$BE$9,0)),0)</f>
        <v>32723.038336172307</v>
      </c>
      <c r="M21" s="367">
        <f t="array" ref="M21">IFERROR(INDEX(Projection!$F$9:$BE$173,MATCH('7 Year Projection'!$A21,Projection!$F$9:$F$173,0),MATCH('7 Year Projection'!M$8,Projection!$F$9:$BE$9,0)),0)</f>
        <v>39178.279084771726</v>
      </c>
      <c r="N21" s="366">
        <f t="array" ref="N21">IFERROR(INDEX(Projection!$F$9:$BE$173,MATCH('7 Year Projection'!$A21,Projection!$F$9:$F$173,0),MATCH('7 Year Projection'!N$8,Projection!$F$9:$BE$9,0)),0)</f>
        <v>43724.818880134364</v>
      </c>
      <c r="O21" s="367">
        <f t="array" ref="O21">IFERROR(INDEX(Projection!$F$9:$BE$173,MATCH('7 Year Projection'!$A21,Projection!$F$9:$F$173,0),MATCH('7 Year Projection'!O$8,Projection!$F$9:$BE$9,0)),0)</f>
        <v>47682.331257569822</v>
      </c>
      <c r="P21" s="366">
        <f t="array" ref="P21">IFERROR(INDEX(Projection!$F$9:$BE$173,MATCH('7 Year Projection'!$A21,Projection!$F$9:$F$173,0),MATCH('7 Year Projection'!P$8,Projection!$F$9:$BE$9,0)),0)</f>
        <v>51804.412810833426</v>
      </c>
      <c r="Q21" s="367">
        <f t="array" ref="Q21">IFERROR(INDEX(Projection!$F$9:$BE$173,MATCH('7 Year Projection'!$A21,Projection!$F$9:$F$173,0),MATCH('7 Year Projection'!Q$8,Projection!$F$9:$BE$9,0)),0)</f>
        <v>55508.420064841441</v>
      </c>
      <c r="R21" s="368">
        <f t="array" ref="R21">IFERROR(INDEX(Projection!$F$9:$BE$173,MATCH('7 Year Projection'!$A21,Projection!$F$9:$F$173,0),MATCH('7 Year Projection'!R$8,Projection!$F$9:$BE$9,0)),0)</f>
        <v>58660.464237830136</v>
      </c>
      <c r="S21" s="365">
        <f>SUMIF(Projection!$F:$F,'7 Year Projection'!$A21,Projection!BW:BW)</f>
        <v>393810.09179682535</v>
      </c>
      <c r="T21" s="366">
        <f>SUMIF(Projection!$F:$F,'7 Year Projection'!$A21,Projection!BX:BX)</f>
        <v>1164295.7566077095</v>
      </c>
      <c r="U21" s="367">
        <f>SUMIF(Projection!$F:$F,'7 Year Projection'!$A21,Projection!BY:BY)</f>
        <v>1882391.1262851309</v>
      </c>
      <c r="V21" s="366">
        <f>SUMIF(Projection!$F:$F,'7 Year Projection'!$A21,Projection!BZ:BZ)</f>
        <v>2204659.7383453068</v>
      </c>
      <c r="W21" s="367">
        <f>SUMIF(Projection!$F:$F,'7 Year Projection'!$A21,Projection!CA:CA)</f>
        <v>2303729.973855807</v>
      </c>
      <c r="X21" s="366">
        <f>SUMIF(Projection!$F:$F,'7 Year Projection'!$A21,Projection!CB:CB)</f>
        <v>2395879.1728100395</v>
      </c>
      <c r="Y21" s="367">
        <f>SUMIF(Projection!$F:$F,'7 Year Projection'!$A21,Projection!CC:CC)</f>
        <v>2491714.339722441</v>
      </c>
      <c r="Z21" s="366">
        <f>SUMIF(Projection!$F:$F,'7 Year Projection'!$A21,Projection!CD:CD)</f>
        <v>2591382.913311339</v>
      </c>
      <c r="AA21" s="367">
        <f>SUMIF(Projection!$F:$F,'7 Year Projection'!$A21,Projection!CE:CE)</f>
        <v>2695038.2298437925</v>
      </c>
      <c r="AB21" s="366">
        <f>SUMIF(Projection!$F:$F,'7 Year Projection'!$A21,Projection!CF:CF)</f>
        <v>2802839.7590375445</v>
      </c>
      <c r="AC21" s="367">
        <f>SUMIF(Projection!$F:$F,'7 Year Projection'!$A21,Projection!CG:CG)</f>
        <v>2914953.3493990465</v>
      </c>
      <c r="AD21" s="368">
        <f>SUMIF(Projection!$F:$F,'7 Year Projection'!$A21,Projection!CH:CH)</f>
        <v>3031551.4833750087</v>
      </c>
      <c r="AE21" s="365">
        <f>SUMIF(Projection!$F:$F,'7 Year Projection'!$A21,Projection!CI:CI)</f>
        <v>3152813.542710009</v>
      </c>
      <c r="AF21" s="366">
        <f>SUMIF(Projection!$F:$F,'7 Year Projection'!$A21,Projection!CJ:CJ)</f>
        <v>3278926.0844184095</v>
      </c>
      <c r="AG21" s="412">
        <f>SUMIF(Projection!$F:$F,'7 Year Projection'!$A21,Projection!CK:CK)</f>
        <v>3410083.1277951458</v>
      </c>
      <c r="AH21" s="348"/>
    </row>
    <row r="22" spans="1:34" ht="14.25" customHeight="1" x14ac:dyDescent="0.2">
      <c r="A22" s="324">
        <v>4700</v>
      </c>
      <c r="B22" s="332"/>
      <c r="C22" s="332"/>
      <c r="D22" s="332" t="s">
        <v>28</v>
      </c>
      <c r="E22" s="413"/>
      <c r="F22" s="413"/>
      <c r="G22" s="365">
        <f t="array" ref="G22">IFERROR(INDEX(Projection!$F$9:$BE$173,MATCH('7 Year Projection'!$A22,Projection!$F$9:$F$173,0),MATCH('7 Year Projection'!G$8,Projection!$F$9:$BE$9,0)),0)</f>
        <v>-87.427882875061528</v>
      </c>
      <c r="H22" s="366">
        <f t="array" ref="H22">IFERROR(INDEX(Projection!$F$9:$BE$173,MATCH('7 Year Projection'!$A22,Projection!$F$9:$F$173,0),MATCH('7 Year Projection'!H$8,Projection!$F$9:$BE$9,0)),0)</f>
        <v>-174.08896297569251</v>
      </c>
      <c r="I22" s="367">
        <f t="array" ref="I22">IFERROR(INDEX(Projection!$F$9:$BE$173,MATCH('7 Year Projection'!$A22,Projection!$F$9:$F$173,0),MATCH('7 Year Projection'!I$8,Projection!$F$9:$BE$9,0)),0)</f>
        <v>-295.24558139878292</v>
      </c>
      <c r="J22" s="366">
        <f t="array" ref="J22">IFERROR(INDEX(Projection!$F$9:$BE$173,MATCH('7 Year Projection'!$A22,Projection!$F$9:$F$173,0),MATCH('7 Year Projection'!J$8,Projection!$F$9:$BE$9,0)),0)</f>
        <v>-424.48817415465101</v>
      </c>
      <c r="K22" s="367">
        <f t="array" ref="K22">IFERROR(INDEX(Projection!$F$9:$BE$173,MATCH('7 Year Projection'!$A22,Projection!$F$9:$F$173,0),MATCH('7 Year Projection'!K$8,Projection!$F$9:$BE$9,0)),0)</f>
        <v>-631.95757671261515</v>
      </c>
      <c r="L22" s="366">
        <f t="array" ref="L22">IFERROR(INDEX(Projection!$F$9:$BE$173,MATCH('7 Year Projection'!$A22,Projection!$F$9:$F$173,0),MATCH('7 Year Projection'!L$8,Projection!$F$9:$BE$9,0)),0)</f>
        <v>-818.0759584043077</v>
      </c>
      <c r="M22" s="367">
        <f t="array" ref="M22">IFERROR(INDEX(Projection!$F$9:$BE$173,MATCH('7 Year Projection'!$A22,Projection!$F$9:$F$173,0),MATCH('7 Year Projection'!M$8,Projection!$F$9:$BE$9,0)),0)</f>
        <v>-979.45697711929324</v>
      </c>
      <c r="N22" s="366">
        <f t="array" ref="N22">IFERROR(INDEX(Projection!$F$9:$BE$173,MATCH('7 Year Projection'!$A22,Projection!$F$9:$F$173,0),MATCH('7 Year Projection'!N$8,Projection!$F$9:$BE$9,0)),0)</f>
        <v>-1093.1204720033591</v>
      </c>
      <c r="O22" s="367">
        <f t="array" ref="O22">IFERROR(INDEX(Projection!$F$9:$BE$173,MATCH('7 Year Projection'!$A22,Projection!$F$9:$F$173,0),MATCH('7 Year Projection'!O$8,Projection!$F$9:$BE$9,0)),0)</f>
        <v>-1192.0582814392455</v>
      </c>
      <c r="P22" s="366">
        <f t="array" ref="P22">IFERROR(INDEX(Projection!$F$9:$BE$173,MATCH('7 Year Projection'!$A22,Projection!$F$9:$F$173,0),MATCH('7 Year Projection'!P$8,Projection!$F$9:$BE$9,0)),0)</f>
        <v>-1295.1103202708357</v>
      </c>
      <c r="Q22" s="367">
        <f t="array" ref="Q22">IFERROR(INDEX(Projection!$F$9:$BE$173,MATCH('7 Year Projection'!$A22,Projection!$F$9:$F$173,0),MATCH('7 Year Projection'!Q$8,Projection!$F$9:$BE$9,0)),0)</f>
        <v>-1387.7105016210362</v>
      </c>
      <c r="R22" s="368">
        <f t="array" ref="R22">IFERROR(INDEX(Projection!$F$9:$BE$173,MATCH('7 Year Projection'!$A22,Projection!$F$9:$F$173,0),MATCH('7 Year Projection'!R$8,Projection!$F$9:$BE$9,0)),0)</f>
        <v>-1466.5116059457534</v>
      </c>
      <c r="S22" s="365">
        <f>SUMIF(Projection!$F:$F,'7 Year Projection'!$A22,Projection!BW:BW)</f>
        <v>-9845.2522949206341</v>
      </c>
      <c r="T22" s="366">
        <f>SUMIF(Projection!$F:$F,'7 Year Projection'!$A22,Projection!BX:BX)</f>
        <v>-29107.393915192733</v>
      </c>
      <c r="U22" s="367">
        <f>SUMIF(Projection!$F:$F,'7 Year Projection'!$A22,Projection!BY:BY)</f>
        <v>-47059.778157128276</v>
      </c>
      <c r="V22" s="366">
        <f>SUMIF(Projection!$F:$F,'7 Year Projection'!$A22,Projection!BZ:BZ)</f>
        <v>-55116.493458632671</v>
      </c>
      <c r="W22" s="367">
        <f>SUMIF(Projection!$F:$F,'7 Year Projection'!$A22,Projection!CA:CA)</f>
        <v>-57593.249346395176</v>
      </c>
      <c r="X22" s="366">
        <f>SUMIF(Projection!$F:$F,'7 Year Projection'!$A22,Projection!CB:CB)</f>
        <v>-59896.979320250983</v>
      </c>
      <c r="Y22" s="367">
        <f>SUMIF(Projection!$F:$F,'7 Year Projection'!$A22,Projection!CC:CC)</f>
        <v>-62292.858493061023</v>
      </c>
      <c r="Z22" s="366">
        <f>SUMIF(Projection!$F:$F,'7 Year Projection'!$A22,Projection!CD:CD)</f>
        <v>-64784.572832783466</v>
      </c>
      <c r="AA22" s="367">
        <f>SUMIF(Projection!$F:$F,'7 Year Projection'!$A22,Projection!CE:CE)</f>
        <v>-67375.955746094813</v>
      </c>
      <c r="AB22" s="366">
        <f>SUMIF(Projection!$F:$F,'7 Year Projection'!$A22,Projection!CF:CF)</f>
        <v>-70070.993975938603</v>
      </c>
      <c r="AC22" s="367">
        <f>SUMIF(Projection!$F:$F,'7 Year Projection'!$A22,Projection!CG:CG)</f>
        <v>-72873.833734976157</v>
      </c>
      <c r="AD22" s="368">
        <f>SUMIF(Projection!$F:$F,'7 Year Projection'!$A22,Projection!CH:CH)</f>
        <v>-75788.787084375203</v>
      </c>
      <c r="AE22" s="365">
        <f>SUMIF(Projection!$F:$F,'7 Year Projection'!$A22,Projection!CI:CI)</f>
        <v>-78820.338567750208</v>
      </c>
      <c r="AF22" s="366">
        <f>SUMIF(Projection!$F:$F,'7 Year Projection'!$A22,Projection!CJ:CJ)</f>
        <v>-81973.152110460214</v>
      </c>
      <c r="AG22" s="412">
        <f>SUMIF(Projection!$F:$F,'7 Year Projection'!$A22,Projection!CK:CK)</f>
        <v>-85252.078194878632</v>
      </c>
      <c r="AH22" s="414"/>
    </row>
    <row r="23" spans="1:34" ht="14.25" customHeight="1" x14ac:dyDescent="0.2">
      <c r="A23" s="324">
        <v>7101</v>
      </c>
      <c r="B23" s="332"/>
      <c r="C23" s="332"/>
      <c r="D23" s="332" t="s">
        <v>420</v>
      </c>
      <c r="E23" s="415"/>
      <c r="F23" s="415"/>
      <c r="G23" s="365">
        <f t="array" ref="G23">IFERROR(INDEX(Projection!$F$9:$BE$173,MATCH('7 Year Projection'!$A23,Projection!$F$9:$F$173,0),MATCH('7 Year Projection'!G$8,Projection!$F$9:$BE$9,0)),0)</f>
        <v>-34.971153150024605</v>
      </c>
      <c r="H23" s="366">
        <f t="array" ref="H23">IFERROR(INDEX(Projection!$F$9:$BE$173,MATCH('7 Year Projection'!$A23,Projection!$F$9:$F$173,0),MATCH('7 Year Projection'!H$8,Projection!$F$9:$BE$9,0)),0)</f>
        <v>-69.635585190276998</v>
      </c>
      <c r="I23" s="367">
        <f t="array" ref="I23">IFERROR(INDEX(Projection!$F$9:$BE$173,MATCH('7 Year Projection'!$A23,Projection!$F$9:$F$173,0),MATCH('7 Year Projection'!I$8,Projection!$F$9:$BE$9,0)),0)</f>
        <v>-118.09823255951316</v>
      </c>
      <c r="J23" s="366">
        <f t="array" ref="J23">IFERROR(INDEX(Projection!$F$9:$BE$173,MATCH('7 Year Projection'!$A23,Projection!$F$9:$F$173,0),MATCH('7 Year Projection'!J$8,Projection!$F$9:$BE$9,0)),0)</f>
        <v>-169.7952696618604</v>
      </c>
      <c r="K23" s="367">
        <f t="array" ref="K23">IFERROR(INDEX(Projection!$F$9:$BE$173,MATCH('7 Year Projection'!$A23,Projection!$F$9:$F$173,0),MATCH('7 Year Projection'!K$8,Projection!$F$9:$BE$9,0)),0)</f>
        <v>-252.78303068504604</v>
      </c>
      <c r="L23" s="366">
        <f t="array" ref="L23">IFERROR(INDEX(Projection!$F$9:$BE$173,MATCH('7 Year Projection'!$A23,Projection!$F$9:$F$173,0),MATCH('7 Year Projection'!L$8,Projection!$F$9:$BE$9,0)),0)</f>
        <v>-327.23038336172306</v>
      </c>
      <c r="M23" s="367">
        <f t="array" ref="M23">IFERROR(INDEX(Projection!$F$9:$BE$173,MATCH('7 Year Projection'!$A23,Projection!$F$9:$F$173,0),MATCH('7 Year Projection'!M$8,Projection!$F$9:$BE$9,0)),0)</f>
        <v>-391.78279084771725</v>
      </c>
      <c r="N23" s="366">
        <f t="array" ref="N23">IFERROR(INDEX(Projection!$F$9:$BE$173,MATCH('7 Year Projection'!$A23,Projection!$F$9:$F$173,0),MATCH('7 Year Projection'!N$8,Projection!$F$9:$BE$9,0)),0)</f>
        <v>-437.24818880134364</v>
      </c>
      <c r="O23" s="367">
        <f t="array" ref="O23">IFERROR(INDEX(Projection!$F$9:$BE$173,MATCH('7 Year Projection'!$A23,Projection!$F$9:$F$173,0),MATCH('7 Year Projection'!O$8,Projection!$F$9:$BE$9,0)),0)</f>
        <v>-476.82331257569825</v>
      </c>
      <c r="P23" s="366">
        <f t="array" ref="P23">IFERROR(INDEX(Projection!$F$9:$BE$173,MATCH('7 Year Projection'!$A23,Projection!$F$9:$F$173,0),MATCH('7 Year Projection'!P$8,Projection!$F$9:$BE$9,0)),0)</f>
        <v>-518.04412810833423</v>
      </c>
      <c r="Q23" s="367">
        <f t="array" ref="Q23">IFERROR(INDEX(Projection!$F$9:$BE$173,MATCH('7 Year Projection'!$A23,Projection!$F$9:$F$173,0),MATCH('7 Year Projection'!Q$8,Projection!$F$9:$BE$9,0)),0)</f>
        <v>-555.08420064841437</v>
      </c>
      <c r="R23" s="368">
        <f t="array" ref="R23">IFERROR(INDEX(Projection!$F$9:$BE$173,MATCH('7 Year Projection'!$A23,Projection!$F$9:$F$173,0),MATCH('7 Year Projection'!R$8,Projection!$F$9:$BE$9,0)),0)</f>
        <v>-586.60464237830138</v>
      </c>
      <c r="S23" s="365">
        <f>SUMIF(Projection!$F:$F,'7 Year Projection'!$A23,Projection!BW:BW)</f>
        <v>-3938.1009179682537</v>
      </c>
      <c r="T23" s="366">
        <f>SUMIF(Projection!$F:$F,'7 Year Projection'!$A23,Projection!BX:BX)</f>
        <v>-11642.957566077095</v>
      </c>
      <c r="U23" s="367">
        <f>SUMIF(Projection!$F:$F,'7 Year Projection'!$A23,Projection!BY:BY)</f>
        <v>-18823.91126285131</v>
      </c>
      <c r="V23" s="366">
        <f>SUMIF(Projection!$F:$F,'7 Year Projection'!$A23,Projection!BZ:BZ)</f>
        <v>-22046.597383453067</v>
      </c>
      <c r="W23" s="367">
        <f>SUMIF(Projection!$F:$F,'7 Year Projection'!$A23,Projection!CA:CA)</f>
        <v>-23037.299738558071</v>
      </c>
      <c r="X23" s="366">
        <f>SUMIF(Projection!$F:$F,'7 Year Projection'!$A23,Projection!CB:CB)</f>
        <v>-23958.791728100394</v>
      </c>
      <c r="Y23" s="367">
        <f>SUMIF(Projection!$F:$F,'7 Year Projection'!$A23,Projection!CC:CC)</f>
        <v>-24917.143397224412</v>
      </c>
      <c r="Z23" s="366">
        <f>SUMIF(Projection!$F:$F,'7 Year Projection'!$A23,Projection!CD:CD)</f>
        <v>-25913.829133113388</v>
      </c>
      <c r="AA23" s="367">
        <f>SUMIF(Projection!$F:$F,'7 Year Projection'!$A23,Projection!CE:CE)</f>
        <v>-26950.382298437926</v>
      </c>
      <c r="AB23" s="366">
        <f>SUMIF(Projection!$F:$F,'7 Year Projection'!$A23,Projection!CF:CF)</f>
        <v>-28028.397590375444</v>
      </c>
      <c r="AC23" s="367">
        <f>SUMIF(Projection!$F:$F,'7 Year Projection'!$A23,Projection!CG:CG)</f>
        <v>-29149.533493990461</v>
      </c>
      <c r="AD23" s="368">
        <f>SUMIF(Projection!$F:$F,'7 Year Projection'!$A23,Projection!CH:CH)</f>
        <v>-30315.51483375008</v>
      </c>
      <c r="AE23" s="365">
        <f>SUMIF(Projection!$F:$F,'7 Year Projection'!$A23,Projection!CI:CI)</f>
        <v>-31528.135427100086</v>
      </c>
      <c r="AF23" s="366">
        <f>SUMIF(Projection!$F:$F,'7 Year Projection'!$A23,Projection!CJ:CJ)</f>
        <v>-32789.260844184093</v>
      </c>
      <c r="AG23" s="412">
        <f>SUMIF(Projection!$F:$F,'7 Year Projection'!$A23,Projection!CK:CK)</f>
        <v>-34100.83127795146</v>
      </c>
      <c r="AH23" s="414"/>
    </row>
    <row r="24" spans="1:34" ht="14.25" customHeight="1" x14ac:dyDescent="0.2">
      <c r="A24" s="324" t="s">
        <v>344</v>
      </c>
      <c r="B24" s="332"/>
      <c r="C24" s="332"/>
      <c r="D24" s="332" t="s">
        <v>30</v>
      </c>
      <c r="E24" s="416"/>
      <c r="F24" s="416"/>
      <c r="G24" s="417">
        <f t="shared" ref="G24:AG24" si="7">SUM(G21:G23)</f>
        <v>3374.7162789773743</v>
      </c>
      <c r="H24" s="417">
        <f t="shared" si="7"/>
        <v>6719.8339708617304</v>
      </c>
      <c r="I24" s="417">
        <f t="shared" si="7"/>
        <v>11396.47944199302</v>
      </c>
      <c r="J24" s="417">
        <f t="shared" si="7"/>
        <v>16385.243522369528</v>
      </c>
      <c r="K24" s="417">
        <f t="shared" si="7"/>
        <v>24393.562461106943</v>
      </c>
      <c r="L24" s="417">
        <f t="shared" si="7"/>
        <v>31577.731994406276</v>
      </c>
      <c r="M24" s="417">
        <f t="shared" si="7"/>
        <v>37807.039316804716</v>
      </c>
      <c r="N24" s="417">
        <f t="shared" si="7"/>
        <v>42194.450219329665</v>
      </c>
      <c r="O24" s="417">
        <f t="shared" si="7"/>
        <v>46013.449663554878</v>
      </c>
      <c r="P24" s="417">
        <f t="shared" si="7"/>
        <v>49991.25836245426</v>
      </c>
      <c r="Q24" s="417">
        <f t="shared" si="7"/>
        <v>53565.625362571991</v>
      </c>
      <c r="R24" s="418">
        <f t="shared" si="7"/>
        <v>56607.347989506081</v>
      </c>
      <c r="S24" s="417">
        <f t="shared" si="7"/>
        <v>380026.73858393647</v>
      </c>
      <c r="T24" s="417">
        <f t="shared" si="7"/>
        <v>1123545.4051264396</v>
      </c>
      <c r="U24" s="417">
        <f t="shared" si="7"/>
        <v>1816507.4368651514</v>
      </c>
      <c r="V24" s="417">
        <f t="shared" si="7"/>
        <v>2127496.6475032209</v>
      </c>
      <c r="W24" s="417">
        <f t="shared" si="7"/>
        <v>2223099.4247708539</v>
      </c>
      <c r="X24" s="417">
        <f t="shared" si="7"/>
        <v>2312023.4017616883</v>
      </c>
      <c r="Y24" s="417">
        <f t="shared" si="7"/>
        <v>2404504.3378321556</v>
      </c>
      <c r="Z24" s="417">
        <f t="shared" si="7"/>
        <v>2500684.5113454419</v>
      </c>
      <c r="AA24" s="417">
        <f t="shared" si="7"/>
        <v>2600711.8917992599</v>
      </c>
      <c r="AB24" s="417">
        <f t="shared" si="7"/>
        <v>2704740.3674712302</v>
      </c>
      <c r="AC24" s="417">
        <f t="shared" si="7"/>
        <v>2812929.9821700798</v>
      </c>
      <c r="AD24" s="418">
        <f t="shared" si="7"/>
        <v>2925447.1814568834</v>
      </c>
      <c r="AE24" s="419">
        <f t="shared" si="7"/>
        <v>3042465.0687151588</v>
      </c>
      <c r="AF24" s="419">
        <f t="shared" si="7"/>
        <v>3164163.6714637652</v>
      </c>
      <c r="AG24" s="420">
        <f t="shared" si="7"/>
        <v>3290730.2183223157</v>
      </c>
      <c r="AH24" s="348"/>
    </row>
    <row r="25" spans="1:34" ht="14.25" customHeight="1" x14ac:dyDescent="0.2">
      <c r="A25" s="324" t="s">
        <v>355</v>
      </c>
      <c r="B25" s="364"/>
      <c r="C25" s="332"/>
      <c r="D25" s="332" t="s">
        <v>355</v>
      </c>
      <c r="E25" s="416"/>
      <c r="F25" s="416"/>
      <c r="G25" s="365">
        <f t="array" ref="G25">IFERROR(INDEX(Projection!$F$9:$BE$173,MATCH('7 Year Projection'!$A25,Projection!$F$9:$F$173,0),MATCH('7 Year Projection'!G$8,Projection!$F$9:$BE$9,0)),0)</f>
        <v>356.34560860744216</v>
      </c>
      <c r="H25" s="366">
        <f t="array" ref="H25">IFERROR(INDEX(Projection!$F$9:$BE$173,MATCH('7 Year Projection'!$A25,Projection!$F$9:$F$173,0),MATCH('7 Year Projection'!H$8,Projection!$F$9:$BE$9,0)),0)</f>
        <v>447.28209906073937</v>
      </c>
      <c r="I25" s="367">
        <f t="array" ref="I25">IFERROR(INDEX(Projection!$F$9:$BE$173,MATCH('7 Year Projection'!$A25,Projection!$F$9:$F$173,0),MATCH('7 Year Projection'!I$8,Projection!$F$9:$BE$9,0)),0)</f>
        <v>701.14088968172405</v>
      </c>
      <c r="J25" s="366">
        <f t="array" ref="J25">IFERROR(INDEX(Projection!$F$9:$BE$173,MATCH('7 Year Projection'!$A25,Projection!$F$9:$F$173,0),MATCH('7 Year Projection'!J$8,Projection!$F$9:$BE$9,0)),0)</f>
        <v>871.72334674142257</v>
      </c>
      <c r="K25" s="367">
        <f t="array" ref="K25">IFERROR(INDEX(Projection!$F$9:$BE$173,MATCH('7 Year Projection'!$A25,Projection!$F$9:$F$173,0),MATCH('7 Year Projection'!K$8,Projection!$F$9:$BE$9,0)),0)</f>
        <v>1305.0795956890965</v>
      </c>
      <c r="L25" s="366">
        <f t="array" ref="L25">IFERROR(INDEX(Projection!$F$9:$BE$173,MATCH('7 Year Projection'!$A25,Projection!$F$9:$F$173,0),MATCH('7 Year Projection'!L$8,Projection!$F$9:$BE$9,0)),0)</f>
        <v>1439.9803241449026</v>
      </c>
      <c r="M25" s="367">
        <f t="array" ref="M25">IFERROR(INDEX(Projection!$F$9:$BE$173,MATCH('7 Year Projection'!$A25,Projection!$F$9:$F$173,0),MATCH('7 Year Projection'!M$8,Projection!$F$9:$BE$9,0)),0)</f>
        <v>1586.4372022009434</v>
      </c>
      <c r="N25" s="366">
        <f t="array" ref="N25">IFERROR(INDEX(Projection!$F$9:$BE$173,MATCH('7 Year Projection'!$A25,Projection!$F$9:$F$173,0),MATCH('7 Year Projection'!N$8,Projection!$F$9:$BE$9,0)),0)</f>
        <v>1672.4632187288266</v>
      </c>
      <c r="O25" s="367">
        <f t="array" ref="O25">IFERROR(INDEX(Projection!$F$9:$BE$173,MATCH('7 Year Projection'!$A25,Projection!$F$9:$F$173,0),MATCH('7 Year Projection'!O$8,Projection!$F$9:$BE$9,0)),0)</f>
        <v>1741.6589897454</v>
      </c>
      <c r="P25" s="366">
        <f t="array" ref="P25">IFERROR(INDEX(Projection!$F$9:$BE$173,MATCH('7 Year Projection'!$A25,Projection!$F$9:$F$173,0),MATCH('7 Year Projection'!P$8,Projection!$F$9:$BE$9,0)),0)</f>
        <v>1856.7666714833724</v>
      </c>
      <c r="Q25" s="367">
        <f t="array" ref="Q25">IFERROR(INDEX(Projection!$F$9:$BE$173,MATCH('7 Year Projection'!$A25,Projection!$F$9:$F$173,0),MATCH('7 Year Projection'!Q$8,Projection!$F$9:$BE$9,0)),0)</f>
        <v>1943.271972523494</v>
      </c>
      <c r="R25" s="368">
        <f t="array" ref="R25">IFERROR(INDEX(Projection!$F$9:$BE$173,MATCH('7 Year Projection'!$A25,Projection!$F$9:$F$173,0),MATCH('7 Year Projection'!R$8,Projection!$F$9:$BE$9,0)),0)</f>
        <v>1988.2949018506506</v>
      </c>
      <c r="S25" s="365">
        <f>SUMIF(Projection!$F:$F,'7 Year Projection'!$A25,Projection!BW:BW)</f>
        <v>15910.444820458013</v>
      </c>
      <c r="T25" s="366">
        <f>SUMIF(Projection!$F:$F,'7 Year Projection'!$A25,Projection!BX:BX)</f>
        <v>38499.049594311895</v>
      </c>
      <c r="U25" s="367">
        <f>SUMIF(Projection!$F:$F,'7 Year Projection'!$A25,Projection!BY:BY)</f>
        <v>55818.577565543252</v>
      </c>
      <c r="V25" s="366">
        <f>SUMIF(Projection!$F:$F,'7 Year Projection'!$A25,Projection!BZ:BZ)</f>
        <v>59376.145852963396</v>
      </c>
      <c r="W25" s="367">
        <f>SUMIF(Projection!$F:$F,'7 Year Projection'!$A25,Projection!CA:CA)</f>
        <v>59666.740488992269</v>
      </c>
      <c r="X25" s="366">
        <f>SUMIF(Projection!$F:$F,'7 Year Projection'!$A25,Projection!CB:CB)</f>
        <v>62053.410108551965</v>
      </c>
      <c r="Y25" s="367">
        <f>SUMIF(Projection!$F:$F,'7 Year Projection'!$A25,Projection!CC:CC)</f>
        <v>64535.546512894041</v>
      </c>
      <c r="Z25" s="366">
        <f>SUMIF(Projection!$F:$F,'7 Year Projection'!$A25,Projection!CD:CD)</f>
        <v>67116.968373409807</v>
      </c>
      <c r="AA25" s="367">
        <f>SUMIF(Projection!$F:$F,'7 Year Projection'!$A25,Projection!CE:CE)</f>
        <v>69801.647108346195</v>
      </c>
      <c r="AB25" s="366">
        <f>SUMIF(Projection!$F:$F,'7 Year Projection'!$A25,Projection!CF:CF)</f>
        <v>72593.712992680041</v>
      </c>
      <c r="AC25" s="367">
        <f>SUMIF(Projection!$F:$F,'7 Year Projection'!$A25,Projection!CG:CG)</f>
        <v>75497.46151238725</v>
      </c>
      <c r="AD25" s="368">
        <f>SUMIF(Projection!$F:$F,'7 Year Projection'!$A25,Projection!CH:CH)</f>
        <v>78517.359972882725</v>
      </c>
      <c r="AE25" s="421"/>
      <c r="AF25" s="422"/>
      <c r="AG25" s="423"/>
      <c r="AH25" s="424"/>
    </row>
    <row r="26" spans="1:34" ht="14.25" customHeight="1" x14ac:dyDescent="0.2">
      <c r="A26" s="324"/>
      <c r="B26" s="425"/>
      <c r="C26" s="425" t="s">
        <v>421</v>
      </c>
      <c r="D26" s="426"/>
      <c r="E26" s="427"/>
      <c r="F26" s="427"/>
      <c r="G26" s="428">
        <f t="shared" ref="G26:AD26" si="8">SUM(G24:G25)</f>
        <v>3731.0618875848163</v>
      </c>
      <c r="H26" s="428">
        <f t="shared" si="8"/>
        <v>7167.1160699224702</v>
      </c>
      <c r="I26" s="428">
        <f t="shared" si="8"/>
        <v>12097.620331674745</v>
      </c>
      <c r="J26" s="428">
        <f t="shared" si="8"/>
        <v>17256.966869110951</v>
      </c>
      <c r="K26" s="428">
        <f t="shared" si="8"/>
        <v>25698.642056796041</v>
      </c>
      <c r="L26" s="428">
        <f t="shared" si="8"/>
        <v>33017.712318551181</v>
      </c>
      <c r="M26" s="428">
        <f t="shared" si="8"/>
        <v>39393.476519005657</v>
      </c>
      <c r="N26" s="428">
        <f t="shared" si="8"/>
        <v>43866.913438058495</v>
      </c>
      <c r="O26" s="428">
        <f t="shared" si="8"/>
        <v>47755.108653300282</v>
      </c>
      <c r="P26" s="428">
        <f t="shared" si="8"/>
        <v>51848.025033937636</v>
      </c>
      <c r="Q26" s="428">
        <f t="shared" si="8"/>
        <v>55508.897335095484</v>
      </c>
      <c r="R26" s="429">
        <f t="shared" si="8"/>
        <v>58595.642891356729</v>
      </c>
      <c r="S26" s="428">
        <f t="shared" si="8"/>
        <v>395937.18340439448</v>
      </c>
      <c r="T26" s="428">
        <f t="shared" si="8"/>
        <v>1162044.4547207516</v>
      </c>
      <c r="U26" s="428">
        <f t="shared" si="8"/>
        <v>1872326.0144306947</v>
      </c>
      <c r="V26" s="428">
        <f t="shared" si="8"/>
        <v>2186872.7933561844</v>
      </c>
      <c r="W26" s="428">
        <f t="shared" si="8"/>
        <v>2282766.165259846</v>
      </c>
      <c r="X26" s="428">
        <f t="shared" si="8"/>
        <v>2374076.8118702401</v>
      </c>
      <c r="Y26" s="428">
        <f t="shared" si="8"/>
        <v>2469039.8843450495</v>
      </c>
      <c r="Z26" s="428">
        <f t="shared" si="8"/>
        <v>2567801.4797188519</v>
      </c>
      <c r="AA26" s="428">
        <f t="shared" si="8"/>
        <v>2670513.5389076062</v>
      </c>
      <c r="AB26" s="428">
        <f t="shared" si="8"/>
        <v>2777334.0804639105</v>
      </c>
      <c r="AC26" s="428">
        <f t="shared" si="8"/>
        <v>2888427.4436824671</v>
      </c>
      <c r="AD26" s="429">
        <f t="shared" si="8"/>
        <v>3003964.541429766</v>
      </c>
      <c r="AE26" s="430">
        <f t="shared" ref="AE26:AG26" si="9">SUM(AE24)</f>
        <v>3042465.0687151588</v>
      </c>
      <c r="AF26" s="431">
        <f t="shared" si="9"/>
        <v>3164163.6714637652</v>
      </c>
      <c r="AG26" s="432">
        <f t="shared" si="9"/>
        <v>3290730.2183223157</v>
      </c>
      <c r="AH26" s="424"/>
    </row>
    <row r="27" spans="1:34" ht="5.25" customHeight="1" x14ac:dyDescent="0.2">
      <c r="A27" s="305"/>
      <c r="B27" s="364"/>
      <c r="C27" s="361"/>
      <c r="D27" s="361"/>
      <c r="E27" s="364"/>
      <c r="F27" s="313"/>
      <c r="G27" s="433"/>
      <c r="H27" s="434"/>
      <c r="I27" s="435"/>
      <c r="J27" s="434"/>
      <c r="K27" s="435"/>
      <c r="L27" s="434"/>
      <c r="M27" s="435"/>
      <c r="N27" s="434"/>
      <c r="O27" s="435"/>
      <c r="P27" s="434"/>
      <c r="Q27" s="435"/>
      <c r="R27" s="436"/>
      <c r="S27" s="433"/>
      <c r="T27" s="434"/>
      <c r="U27" s="435"/>
      <c r="V27" s="434"/>
      <c r="W27" s="435"/>
      <c r="X27" s="434"/>
      <c r="Y27" s="435"/>
      <c r="Z27" s="434"/>
      <c r="AA27" s="435"/>
      <c r="AB27" s="434"/>
      <c r="AC27" s="435"/>
      <c r="AD27" s="437"/>
      <c r="AE27" s="438"/>
      <c r="AF27" s="434"/>
      <c r="AG27" s="439"/>
      <c r="AH27" s="440"/>
    </row>
    <row r="28" spans="1:34" ht="14.25" customHeight="1" x14ac:dyDescent="0.2">
      <c r="A28" s="324" t="s">
        <v>366</v>
      </c>
      <c r="B28" s="332"/>
      <c r="C28" s="333"/>
      <c r="D28" s="332" t="s">
        <v>87</v>
      </c>
      <c r="E28" s="305"/>
      <c r="F28" s="305"/>
      <c r="G28" s="365">
        <f t="array" ref="G28">IFERROR(INDEX(Projection!$F$9:$BE$173,MATCH('7 Year Projection'!$A28,Projection!$F$9:$F$173,0),MATCH('7 Year Projection'!G$8,Projection!$F$9:$BE$9,0)),0)</f>
        <v>5982.4961538461539</v>
      </c>
      <c r="H28" s="366">
        <f t="array" ref="H28">IFERROR(INDEX(Projection!$F$9:$BE$173,MATCH('7 Year Projection'!$A28,Projection!$F$9:$F$173,0),MATCH('7 Year Projection'!H$8,Projection!$F$9:$BE$9,0)),0)</f>
        <v>5982.4961538461539</v>
      </c>
      <c r="I28" s="367">
        <f t="array" ref="I28">IFERROR(INDEX(Projection!$F$9:$BE$173,MATCH('7 Year Projection'!$A28,Projection!$F$9:$F$173,0),MATCH('7 Year Projection'!I$8,Projection!$F$9:$BE$9,0)),0)</f>
        <v>5982.4961538461539</v>
      </c>
      <c r="J28" s="366">
        <f t="array" ref="J28">IFERROR(INDEX(Projection!$F$9:$BE$173,MATCH('7 Year Projection'!$A28,Projection!$F$9:$F$173,0),MATCH('7 Year Projection'!J$8,Projection!$F$9:$BE$9,0)),0)</f>
        <v>5982.4961538461539</v>
      </c>
      <c r="K28" s="367">
        <f t="array" ref="K28">IFERROR(INDEX(Projection!$F$9:$BE$173,MATCH('7 Year Projection'!$A28,Projection!$F$9:$F$173,0),MATCH('7 Year Projection'!K$8,Projection!$F$9:$BE$9,0)),0)</f>
        <v>5982.4961538461539</v>
      </c>
      <c r="L28" s="366">
        <f t="array" ref="L28">IFERROR(INDEX(Projection!$F$9:$BE$173,MATCH('7 Year Projection'!$A28,Projection!$F$9:$F$173,0),MATCH('7 Year Projection'!L$8,Projection!$F$9:$BE$9,0)),0)</f>
        <v>5982.4961538461539</v>
      </c>
      <c r="M28" s="367">
        <f t="array" ref="M28">IFERROR(INDEX(Projection!$F$9:$BE$173,MATCH('7 Year Projection'!$A28,Projection!$F$9:$F$173,0),MATCH('7 Year Projection'!M$8,Projection!$F$9:$BE$9,0)),0)</f>
        <v>5982.4961538461539</v>
      </c>
      <c r="N28" s="366">
        <f t="array" ref="N28">IFERROR(INDEX(Projection!$F$9:$BE$173,MATCH('7 Year Projection'!$A28,Projection!$F$9:$F$173,0),MATCH('7 Year Projection'!N$8,Projection!$F$9:$BE$9,0)),0)</f>
        <v>5982.4961538461539</v>
      </c>
      <c r="O28" s="367">
        <f t="array" ref="O28">IFERROR(INDEX(Projection!$F$9:$BE$173,MATCH('7 Year Projection'!$A28,Projection!$F$9:$F$173,0),MATCH('7 Year Projection'!O$8,Projection!$F$9:$BE$9,0)),0)</f>
        <v>5982.4961538461539</v>
      </c>
      <c r="P28" s="366">
        <f t="array" ref="P28">IFERROR(INDEX(Projection!$F$9:$BE$173,MATCH('7 Year Projection'!$A28,Projection!$F$9:$F$173,0),MATCH('7 Year Projection'!P$8,Projection!$F$9:$BE$9,0)),0)</f>
        <v>5982.4961538461539</v>
      </c>
      <c r="Q28" s="367">
        <f t="array" ref="Q28">IFERROR(INDEX(Projection!$F$9:$BE$173,MATCH('7 Year Projection'!$A28,Projection!$F$9:$F$173,0),MATCH('7 Year Projection'!Q$8,Projection!$F$9:$BE$9,0)),0)</f>
        <v>5982.4961538461539</v>
      </c>
      <c r="R28" s="368">
        <f t="array" ref="R28">IFERROR(INDEX(Projection!$F$9:$BE$173,MATCH('7 Year Projection'!$A28,Projection!$F$9:$F$173,0),MATCH('7 Year Projection'!R$8,Projection!$F$9:$BE$9,0)),0)</f>
        <v>5982.4961538461539</v>
      </c>
      <c r="S28" s="365">
        <f>SUMIF(Projection!$F:$F,'7 Year Projection'!$A28,Projection!BW:BW)</f>
        <v>71789.953846153818</v>
      </c>
      <c r="T28" s="366">
        <f>SUMIF(Projection!$F:$F,'7 Year Projection'!$A28,Projection!BX:BX)</f>
        <v>73584.702692307692</v>
      </c>
      <c r="U28" s="367">
        <f>SUMIF(Projection!$F:$F,'7 Year Projection'!$A28,Projection!BY:BY)</f>
        <v>75424.320259615342</v>
      </c>
      <c r="V28" s="366">
        <f>SUMIF(Projection!$F:$F,'7 Year Projection'!$A28,Projection!BZ:BZ)</f>
        <v>77309.928266105722</v>
      </c>
      <c r="W28" s="367">
        <f>SUMIF(Projection!$F:$F,'7 Year Projection'!$A28,Projection!CA:CA)</f>
        <v>79242.676472758409</v>
      </c>
      <c r="X28" s="366">
        <f>SUMIF(Projection!$F:$F,'7 Year Projection'!$A28,Projection!CB:CB)</f>
        <v>81223.743384577334</v>
      </c>
      <c r="Y28" s="367">
        <f>SUMIF(Projection!$F:$F,'7 Year Projection'!$A28,Projection!CC:CC)</f>
        <v>83254.336969191791</v>
      </c>
      <c r="Z28" s="366">
        <f>SUMIF(Projection!$F:$F,'7 Year Projection'!$A28,Projection!CD:CD)</f>
        <v>85335.695393421571</v>
      </c>
      <c r="AA28" s="367">
        <f>SUMIF(Projection!$F:$F,'7 Year Projection'!$A28,Projection!CE:CE)</f>
        <v>87469.087778257104</v>
      </c>
      <c r="AB28" s="366">
        <f>SUMIF(Projection!$F:$F,'7 Year Projection'!$A28,Projection!CF:CF)</f>
        <v>89655.814972713546</v>
      </c>
      <c r="AC28" s="367">
        <f>SUMIF(Projection!$F:$F,'7 Year Projection'!$A28,Projection!CG:CG)</f>
        <v>91897.21034703133</v>
      </c>
      <c r="AD28" s="368">
        <f>SUMIF(Projection!$F:$F,'7 Year Projection'!$A28,Projection!CH:CH)</f>
        <v>94194.640605707144</v>
      </c>
      <c r="AE28" s="365">
        <f>SUMIF(Projection!$F:$F,'7 Year Projection'!$A28,Projection!CI:CI)</f>
        <v>96549.506620849788</v>
      </c>
      <c r="AF28" s="366">
        <f>SUMIF(Projection!$F:$F,'7 Year Projection'!$A28,Projection!CJ:CJ)</f>
        <v>98963.244286371031</v>
      </c>
      <c r="AG28" s="412">
        <f>SUMIF(Projection!$F:$F,'7 Year Projection'!$A28,Projection!CK:CK)</f>
        <v>101437.32539353031</v>
      </c>
      <c r="AH28" s="414"/>
    </row>
    <row r="29" spans="1:34" ht="14.25" customHeight="1" x14ac:dyDescent="0.2">
      <c r="A29" s="324" t="s">
        <v>368</v>
      </c>
      <c r="B29" s="332"/>
      <c r="C29" s="333"/>
      <c r="D29" s="332" t="s">
        <v>422</v>
      </c>
      <c r="E29" s="305"/>
      <c r="F29" s="305"/>
      <c r="G29" s="365">
        <f t="array" ref="G29">IFERROR(INDEX(Projection!$F$9:$BE$173,MATCH('7 Year Projection'!$A29,Projection!$F$9:$F$173,0),MATCH('7 Year Projection'!G$8,Projection!$F$9:$BE$9,0)),0)</f>
        <v>7335.9520000088178</v>
      </c>
      <c r="H29" s="366">
        <f t="array" ref="H29">IFERROR(INDEX(Projection!$F$9:$BE$173,MATCH('7 Year Projection'!$A29,Projection!$F$9:$F$173,0),MATCH('7 Year Projection'!H$8,Projection!$F$9:$BE$9,0)),0)</f>
        <v>7335.9520000088178</v>
      </c>
      <c r="I29" s="367">
        <f t="array" ref="I29">IFERROR(INDEX(Projection!$F$9:$BE$173,MATCH('7 Year Projection'!$A29,Projection!$F$9:$F$173,0),MATCH('7 Year Projection'!I$8,Projection!$F$9:$BE$9,0)),0)</f>
        <v>7335.9520000088178</v>
      </c>
      <c r="J29" s="366">
        <f t="array" ref="J29">IFERROR(INDEX(Projection!$F$9:$BE$173,MATCH('7 Year Projection'!$A29,Projection!$F$9:$F$173,0),MATCH('7 Year Projection'!J$8,Projection!$F$9:$BE$9,0)),0)</f>
        <v>6806.9170000088179</v>
      </c>
      <c r="K29" s="367">
        <f t="array" ref="K29">IFERROR(INDEX(Projection!$F$9:$BE$173,MATCH('7 Year Projection'!$A29,Projection!$F$9:$F$173,0),MATCH('7 Year Projection'!K$8,Projection!$F$9:$BE$9,0)),0)</f>
        <v>5748.8470000088173</v>
      </c>
      <c r="L29" s="366">
        <f t="array" ref="L29">IFERROR(INDEX(Projection!$F$9:$BE$173,MATCH('7 Year Projection'!$A29,Projection!$F$9:$F$173,0),MATCH('7 Year Projection'!L$8,Projection!$F$9:$BE$9,0)),0)</f>
        <v>5367.9418000088172</v>
      </c>
      <c r="M29" s="367">
        <f t="array" ref="M29">IFERROR(INDEX(Projection!$F$9:$BE$173,MATCH('7 Year Projection'!$A29,Projection!$F$9:$F$173,0),MATCH('7 Year Projection'!M$8,Projection!$F$9:$BE$9,0)),0)</f>
        <v>6108.5908000088175</v>
      </c>
      <c r="N29" s="366">
        <f t="array" ref="N29">IFERROR(INDEX(Projection!$F$9:$BE$173,MATCH('7 Year Projection'!$A29,Projection!$F$9:$F$173,0),MATCH('7 Year Projection'!N$8,Projection!$F$9:$BE$9,0)),0)</f>
        <v>6108.5908000088175</v>
      </c>
      <c r="O29" s="367">
        <f t="array" ref="O29">IFERROR(INDEX(Projection!$F$9:$BE$173,MATCH('7 Year Projection'!$A29,Projection!$F$9:$F$173,0),MATCH('7 Year Projection'!O$8,Projection!$F$9:$BE$9,0)),0)</f>
        <v>5960.4610000088178</v>
      </c>
      <c r="P29" s="366">
        <f t="array" ref="P29">IFERROR(INDEX(Projection!$F$9:$BE$173,MATCH('7 Year Projection'!$A29,Projection!$F$9:$F$173,0),MATCH('7 Year Projection'!P$8,Projection!$F$9:$BE$9,0)),0)</f>
        <v>5367.9418000088172</v>
      </c>
      <c r="Q29" s="367">
        <f t="array" ref="Q29">IFERROR(INDEX(Projection!$F$9:$BE$173,MATCH('7 Year Projection'!$A29,Projection!$F$9:$F$173,0),MATCH('7 Year Projection'!Q$8,Projection!$F$9:$BE$9,0)),0)</f>
        <v>5896.976800008817</v>
      </c>
      <c r="R29" s="368">
        <f t="array" ref="R29">IFERROR(INDEX(Projection!$F$9:$BE$173,MATCH('7 Year Projection'!$A29,Projection!$F$9:$F$173,0),MATCH('7 Year Projection'!R$8,Projection!$F$9:$BE$9,0)),0)</f>
        <v>6806.9170000088179</v>
      </c>
      <c r="S29" s="365">
        <f>SUMIF(Projection!$F:$F,'7 Year Projection'!$A29,Projection!BW:BW)</f>
        <v>76181.040000105815</v>
      </c>
      <c r="T29" s="366">
        <f>SUMIF(Projection!$F:$F,'7 Year Projection'!$A29,Projection!BX:BX)</f>
        <v>78085.566000108447</v>
      </c>
      <c r="U29" s="367">
        <f>SUMIF(Projection!$F:$F,'7 Year Projection'!$A29,Projection!BY:BY)</f>
        <v>80037.705150111156</v>
      </c>
      <c r="V29" s="366">
        <f>SUMIF(Projection!$F:$F,'7 Year Projection'!$A29,Projection!BZ:BZ)</f>
        <v>82038.647778863902</v>
      </c>
      <c r="W29" s="367">
        <f>SUMIF(Projection!$F:$F,'7 Year Projection'!$A29,Projection!CA:CA)</f>
        <v>84089.613973335508</v>
      </c>
      <c r="X29" s="366">
        <f>SUMIF(Projection!$F:$F,'7 Year Projection'!$A29,Projection!CB:CB)</f>
        <v>86191.854322668878</v>
      </c>
      <c r="Y29" s="367">
        <f>SUMIF(Projection!$F:$F,'7 Year Projection'!$A29,Projection!CC:CC)</f>
        <v>88346.650680735605</v>
      </c>
      <c r="Z29" s="366">
        <f>SUMIF(Projection!$F:$F,'7 Year Projection'!$A29,Projection!CD:CD)</f>
        <v>90555.316947753992</v>
      </c>
      <c r="AA29" s="367">
        <f>SUMIF(Projection!$F:$F,'7 Year Projection'!$A29,Projection!CE:CE)</f>
        <v>92819.19987144784</v>
      </c>
      <c r="AB29" s="366">
        <f>SUMIF(Projection!$F:$F,'7 Year Projection'!$A29,Projection!CF:CF)</f>
        <v>95139.67986823403</v>
      </c>
      <c r="AC29" s="367">
        <f>SUMIF(Projection!$F:$F,'7 Year Projection'!$A29,Projection!CG:CG)</f>
        <v>97518.171864939854</v>
      </c>
      <c r="AD29" s="368">
        <f>SUMIF(Projection!$F:$F,'7 Year Projection'!$A29,Projection!CH:CH)</f>
        <v>99956.126161563356</v>
      </c>
      <c r="AE29" s="365">
        <f>SUMIF(Projection!$F:$F,'7 Year Projection'!$A29,Projection!CI:CI)</f>
        <v>102455.02931560244</v>
      </c>
      <c r="AF29" s="366">
        <f>SUMIF(Projection!$F:$F,'7 Year Projection'!$A29,Projection!CJ:CJ)</f>
        <v>105016.40504849248</v>
      </c>
      <c r="AG29" s="412">
        <f>SUMIF(Projection!$F:$F,'7 Year Projection'!$A29,Projection!CK:CK)</f>
        <v>107641.81517470478</v>
      </c>
      <c r="AH29" s="414"/>
    </row>
    <row r="30" spans="1:34" ht="14.25" customHeight="1" x14ac:dyDescent="0.2">
      <c r="A30" s="324" t="s">
        <v>377</v>
      </c>
      <c r="B30" s="324"/>
      <c r="C30" s="332"/>
      <c r="D30" s="332" t="s">
        <v>423</v>
      </c>
      <c r="E30" s="305"/>
      <c r="F30" s="305"/>
      <c r="G30" s="365">
        <f t="array" ref="G30">IFERROR(INDEX(Projection!$F$9:$BE$173,MATCH('7 Year Projection'!$A30,Projection!$F$9:$F$173,0),MATCH('7 Year Projection'!G$8,Projection!$F$9:$BE$9,0)),0)</f>
        <v>773.81442366470935</v>
      </c>
      <c r="H30" s="366">
        <f t="array" ref="H30">IFERROR(INDEX(Projection!$F$9:$BE$173,MATCH('7 Year Projection'!$A30,Projection!$F$9:$F$173,0),MATCH('7 Year Projection'!H$8,Projection!$F$9:$BE$9,0)),0)</f>
        <v>542.84366985667464</v>
      </c>
      <c r="I30" s="367">
        <f t="array" ref="I30">IFERROR(INDEX(Projection!$F$9:$BE$173,MATCH('7 Year Projection'!$A30,Projection!$F$9:$F$173,0),MATCH('7 Year Projection'!I$8,Projection!$F$9:$BE$9,0)),0)</f>
        <v>656.24526794762187</v>
      </c>
      <c r="J30" s="366">
        <f t="array" ref="J30">IFERROR(INDEX(Projection!$F$9:$BE$173,MATCH('7 Year Projection'!$A30,Projection!$F$9:$F$173,0),MATCH('7 Year Projection'!J$8,Projection!$F$9:$BE$9,0)),0)</f>
        <v>774.91023832939118</v>
      </c>
      <c r="K30" s="367">
        <f t="array" ref="K30">IFERROR(INDEX(Projection!$F$9:$BE$173,MATCH('7 Year Projection'!$A30,Projection!$F$9:$F$173,0),MATCH('7 Year Projection'!K$8,Projection!$F$9:$BE$9,0)),0)</f>
        <v>969.06876777440721</v>
      </c>
      <c r="L30" s="366">
        <f t="array" ref="L30">IFERROR(INDEX(Projection!$F$9:$BE$173,MATCH('7 Year Projection'!$A30,Projection!$F$9:$F$173,0),MATCH('7 Year Projection'!L$8,Projection!$F$9:$BE$9,0)),0)</f>
        <v>1137.4073837706023</v>
      </c>
      <c r="M30" s="367">
        <f t="array" ref="M30">IFERROR(INDEX(Projection!$F$9:$BE$173,MATCH('7 Year Projection'!$A30,Projection!$F$9:$F$173,0),MATCH('7 Year Projection'!M$8,Projection!$F$9:$BE$9,0)),0)</f>
        <v>1284.0499603764624</v>
      </c>
      <c r="N30" s="366">
        <f t="array" ref="N30">IFERROR(INDEX(Projection!$F$9:$BE$173,MATCH('7 Year Projection'!$A30,Projection!$F$9:$F$173,0),MATCH('7 Year Projection'!N$8,Projection!$F$9:$BE$9,0)),0)</f>
        <v>1386.9390094986798</v>
      </c>
      <c r="O30" s="367">
        <f t="array" ref="O30">IFERROR(INDEX(Projection!$F$9:$BE$173,MATCH('7 Year Projection'!$A30,Projection!$F$9:$F$173,0),MATCH('7 Year Projection'!O$8,Projection!$F$9:$BE$9,0)),0)</f>
        <v>1476.3674994315097</v>
      </c>
      <c r="P30" s="366">
        <f t="array" ref="P30">IFERROR(INDEX(Projection!$F$9:$BE$173,MATCH('7 Year Projection'!$A30,Projection!$F$9:$F$173,0),MATCH('7 Year Projection'!P$8,Projection!$F$9:$BE$9,0)),0)</f>
        <v>1570.5045761934193</v>
      </c>
      <c r="Q30" s="367">
        <f t="array" ref="Q30">IFERROR(INDEX(Projection!$F$9:$BE$173,MATCH('7 Year Projection'!$A30,Projection!$F$9:$F$173,0),MATCH('7 Year Projection'!Q$8,Projection!$F$9:$BE$9,0)),0)</f>
        <v>1654.7046391155297</v>
      </c>
      <c r="R30" s="368">
        <f t="array" ref="R30">IFERROR(INDEX(Projection!$F$9:$BE$173,MATCH('7 Year Projection'!$A30,Projection!$F$9:$F$173,0),MATCH('7 Year Projection'!R$8,Projection!$F$9:$BE$9,0)),0)</f>
        <v>1725.6997868897884</v>
      </c>
      <c r="S30" s="365">
        <f>SUMIF(Projection!$F:$F,'7 Year Projection'!$A30,Projection!BW:BW)</f>
        <v>13952.567222848795</v>
      </c>
      <c r="T30" s="366">
        <f>SUMIF(Projection!$F:$F,'7 Year Projection'!$A30,Projection!BX:BX)</f>
        <v>32357.985326938397</v>
      </c>
      <c r="U30" s="367">
        <f>SUMIF(Projection!$F:$F,'7 Year Projection'!$A30,Projection!BY:BY)</f>
        <v>50326.069925100936</v>
      </c>
      <c r="V30" s="366">
        <f>SUMIF(Projection!$F:$F,'7 Year Projection'!$A30,Projection!BZ:BZ)</f>
        <v>59370.693650496789</v>
      </c>
      <c r="W30" s="367">
        <f>SUMIF(Projection!$F:$F,'7 Year Projection'!$A30,Projection!CA:CA)</f>
        <v>63285.097812196051</v>
      </c>
      <c r="X30" s="366">
        <f>SUMIF(Projection!$F:$F,'7 Year Projection'!$A30,Projection!CB:CB)</f>
        <v>64867.225257500948</v>
      </c>
      <c r="Y30" s="367">
        <f>SUMIF(Projection!$F:$F,'7 Year Projection'!$A30,Projection!CC:CC)</f>
        <v>66488.905888938461</v>
      </c>
      <c r="Z30" s="366">
        <f>SUMIF(Projection!$F:$F,'7 Year Projection'!$A30,Projection!CD:CD)</f>
        <v>68151.128536161908</v>
      </c>
      <c r="AA30" s="367">
        <f>SUMIF(Projection!$F:$F,'7 Year Projection'!$A30,Projection!CE:CE)</f>
        <v>69854.906749565969</v>
      </c>
      <c r="AB30" s="366">
        <f>SUMIF(Projection!$F:$F,'7 Year Projection'!$A30,Projection!CF:CF)</f>
        <v>71601.279418305101</v>
      </c>
      <c r="AC30" s="367">
        <f>SUMIF(Projection!$F:$F,'7 Year Projection'!$A30,Projection!CG:CG)</f>
        <v>73391.311403762709</v>
      </c>
      <c r="AD30" s="368">
        <f>SUMIF(Projection!$F:$F,'7 Year Projection'!$A30,Projection!CH:CH)</f>
        <v>75226.094188856776</v>
      </c>
      <c r="AE30" s="365">
        <f>SUMIF(Projection!$F:$F,'7 Year Projection'!$A30,Projection!CI:CI)</f>
        <v>77106.746543578178</v>
      </c>
      <c r="AF30" s="366">
        <f>SUMIF(Projection!$F:$F,'7 Year Projection'!$A30,Projection!CJ:CJ)</f>
        <v>79034.415207167636</v>
      </c>
      <c r="AG30" s="412">
        <f>SUMIF(Projection!$F:$F,'7 Year Projection'!$A30,Projection!CK:CK)</f>
        <v>81010.275587346798</v>
      </c>
      <c r="AH30" s="414"/>
    </row>
    <row r="31" spans="1:34" ht="14.25" customHeight="1" x14ac:dyDescent="0.2">
      <c r="A31" s="324">
        <v>6171</v>
      </c>
      <c r="B31" s="324"/>
      <c r="C31" s="332"/>
      <c r="D31" s="332" t="s">
        <v>196</v>
      </c>
      <c r="E31" s="305"/>
      <c r="F31" s="305"/>
      <c r="G31" s="365">
        <f t="array" ref="G31">IFERROR(INDEX(Projection!$F$9:$BE$173,MATCH('7 Year Projection'!$A31,Projection!$F$9:$F$173,0),MATCH('7 Year Projection'!G$8,Projection!$F$9:$BE$9,0)),0)</f>
        <v>2909.6925000000001</v>
      </c>
      <c r="H31" s="366">
        <f t="array" ref="H31">IFERROR(INDEX(Projection!$F$9:$BE$173,MATCH('7 Year Projection'!$A31,Projection!$F$9:$F$173,0),MATCH('7 Year Projection'!H$8,Projection!$F$9:$BE$9,0)),0)</f>
        <v>4655.5080000000007</v>
      </c>
      <c r="I31" s="367">
        <f t="array" ref="I31">IFERROR(INDEX(Projection!$F$9:$BE$173,MATCH('7 Year Projection'!$A31,Projection!$F$9:$F$173,0),MATCH('7 Year Projection'!I$8,Projection!$F$9:$BE$9,0)),0)</f>
        <v>5872.2885000000006</v>
      </c>
      <c r="J31" s="366">
        <f t="array" ref="J31">IFERROR(INDEX(Projection!$F$9:$BE$173,MATCH('7 Year Projection'!$A31,Projection!$F$9:$F$173,0),MATCH('7 Year Projection'!J$8,Projection!$F$9:$BE$9,0)),0)</f>
        <v>1481.2980000000002</v>
      </c>
      <c r="K31" s="367">
        <f t="array" ref="K31">IFERROR(INDEX(Projection!$F$9:$BE$173,MATCH('7 Year Projection'!$A31,Projection!$F$9:$F$173,0),MATCH('7 Year Projection'!K$8,Projection!$F$9:$BE$9,0)),0)</f>
        <v>1481.2980000000002</v>
      </c>
      <c r="L31" s="366">
        <f t="array" ref="L31">IFERROR(INDEX(Projection!$F$9:$BE$173,MATCH('7 Year Projection'!$A31,Projection!$F$9:$F$173,0),MATCH('7 Year Projection'!L$8,Projection!$F$9:$BE$9,0)),0)</f>
        <v>1481.2980000000002</v>
      </c>
      <c r="M31" s="367">
        <f t="array" ref="M31">IFERROR(INDEX(Projection!$F$9:$BE$173,MATCH('7 Year Projection'!$A31,Projection!$F$9:$F$173,0),MATCH('7 Year Projection'!M$8,Projection!$F$9:$BE$9,0)),0)</f>
        <v>1481.2980000000002</v>
      </c>
      <c r="N31" s="366">
        <f t="array" ref="N31">IFERROR(INDEX(Projection!$F$9:$BE$173,MATCH('7 Year Projection'!$A31,Projection!$F$9:$F$173,0),MATCH('7 Year Projection'!N$8,Projection!$F$9:$BE$9,0)),0)</f>
        <v>1481.2980000000002</v>
      </c>
      <c r="O31" s="367">
        <f t="array" ref="O31">IFERROR(INDEX(Projection!$F$9:$BE$173,MATCH('7 Year Projection'!$A31,Projection!$F$9:$F$173,0),MATCH('7 Year Projection'!O$8,Projection!$F$9:$BE$9,0)),0)</f>
        <v>2962.5960000000005</v>
      </c>
      <c r="P31" s="366">
        <f t="array" ref="P31">IFERROR(INDEX(Projection!$F$9:$BE$173,MATCH('7 Year Projection'!$A31,Projection!$F$9:$F$173,0),MATCH('7 Year Projection'!P$8,Projection!$F$9:$BE$9,0)),0)</f>
        <v>1481.2980000000002</v>
      </c>
      <c r="Q31" s="367">
        <f t="array" ref="Q31">IFERROR(INDEX(Projection!$F$9:$BE$173,MATCH('7 Year Projection'!$A31,Projection!$F$9:$F$173,0),MATCH('7 Year Projection'!Q$8,Projection!$F$9:$BE$9,0)),0)</f>
        <v>0</v>
      </c>
      <c r="R31" s="368">
        <f t="array" ref="R31">IFERROR(INDEX(Projection!$F$9:$BE$173,MATCH('7 Year Projection'!$A31,Projection!$F$9:$F$173,0),MATCH('7 Year Projection'!R$8,Projection!$F$9:$BE$9,0)),0)</f>
        <v>1163.8770000000002</v>
      </c>
      <c r="S31" s="365">
        <f>SUMIF(Projection!$F:$F,'7 Year Projection'!$A31,Projection!BW:BW)</f>
        <v>26451.75</v>
      </c>
      <c r="T31" s="366">
        <f>SUMIF(Projection!$F:$F,'7 Year Projection'!$A31,Projection!BX:BX)</f>
        <v>27113.043750000001</v>
      </c>
      <c r="U31" s="367">
        <f>SUMIF(Projection!$F:$F,'7 Year Projection'!$A31,Projection!BY:BY)</f>
        <v>27790.869843749995</v>
      </c>
      <c r="V31" s="366">
        <f>SUMIF(Projection!$F:$F,'7 Year Projection'!$A31,Projection!BZ:BZ)</f>
        <v>28485.641589843744</v>
      </c>
      <c r="W31" s="367">
        <f>SUMIF(Projection!$F:$F,'7 Year Projection'!$A31,Projection!CA:CA)</f>
        <v>29197.782629589838</v>
      </c>
      <c r="X31" s="366">
        <f>SUMIF(Projection!$F:$F,'7 Year Projection'!$A31,Projection!CB:CB)</f>
        <v>29927.727195329582</v>
      </c>
      <c r="Y31" s="367">
        <f>SUMIF(Projection!$F:$F,'7 Year Projection'!$A31,Projection!CC:CC)</f>
        <v>30675.92037521282</v>
      </c>
      <c r="Z31" s="366">
        <f>SUMIF(Projection!$F:$F,'7 Year Projection'!$A31,Projection!CD:CD)</f>
        <v>31442.818384593138</v>
      </c>
      <c r="AA31" s="367">
        <f>SUMIF(Projection!$F:$F,'7 Year Projection'!$A31,Projection!CE:CE)</f>
        <v>32228.888844207962</v>
      </c>
      <c r="AB31" s="366">
        <f>SUMIF(Projection!$F:$F,'7 Year Projection'!$A31,Projection!CF:CF)</f>
        <v>33034.611065313162</v>
      </c>
      <c r="AC31" s="367">
        <f>SUMIF(Projection!$F:$F,'7 Year Projection'!$A31,Projection!CG:CG)</f>
        <v>33860.476341945985</v>
      </c>
      <c r="AD31" s="368">
        <f>SUMIF(Projection!$F:$F,'7 Year Projection'!$A31,Projection!CH:CH)</f>
        <v>34706.988250494629</v>
      </c>
      <c r="AE31" s="365">
        <f>SUMIF(Projection!$F:$F,'7 Year Projection'!$A31,Projection!CI:CI)</f>
        <v>35574.662956756991</v>
      </c>
      <c r="AF31" s="366">
        <f>SUMIF(Projection!$F:$F,'7 Year Projection'!$A31,Projection!CJ:CJ)</f>
        <v>36464.029530675914</v>
      </c>
      <c r="AG31" s="412">
        <f>SUMIF(Projection!$F:$F,'7 Year Projection'!$A31,Projection!CK:CK)</f>
        <v>37375.630268942812</v>
      </c>
      <c r="AH31" s="414"/>
    </row>
    <row r="32" spans="1:34" ht="14.25" customHeight="1" x14ac:dyDescent="0.2">
      <c r="A32" s="324" t="s">
        <v>371</v>
      </c>
      <c r="B32" s="324"/>
      <c r="C32" s="333"/>
      <c r="D32" s="332" t="s">
        <v>122</v>
      </c>
      <c r="E32" s="305"/>
      <c r="F32" s="305"/>
      <c r="G32" s="365">
        <f t="array" ref="G32">IFERROR(INDEX(Projection!$F$9:$BE$173,MATCH('7 Year Projection'!$A32,Projection!$F$9:$F$173,0),MATCH('7 Year Projection'!G$8,Projection!$F$9:$BE$9,0)),0)</f>
        <v>555.48674999999992</v>
      </c>
      <c r="H32" s="366">
        <f t="array" ref="H32">IFERROR(INDEX(Projection!$F$9:$BE$173,MATCH('7 Year Projection'!$A32,Projection!$F$9:$F$173,0),MATCH('7 Year Projection'!H$8,Projection!$F$9:$BE$9,0)),0)</f>
        <v>555.48674999999992</v>
      </c>
      <c r="I32" s="367">
        <f t="array" ref="I32">IFERROR(INDEX(Projection!$F$9:$BE$173,MATCH('7 Year Projection'!$A32,Projection!$F$9:$F$173,0),MATCH('7 Year Projection'!I$8,Projection!$F$9:$BE$9,0)),0)</f>
        <v>555.48674999999992</v>
      </c>
      <c r="J32" s="366">
        <f t="array" ref="J32">IFERROR(INDEX(Projection!$F$9:$BE$173,MATCH('7 Year Projection'!$A32,Projection!$F$9:$F$173,0),MATCH('7 Year Projection'!J$8,Projection!$F$9:$BE$9,0)),0)</f>
        <v>555.48674999999992</v>
      </c>
      <c r="K32" s="367">
        <f t="array" ref="K32">IFERROR(INDEX(Projection!$F$9:$BE$173,MATCH('7 Year Projection'!$A32,Projection!$F$9:$F$173,0),MATCH('7 Year Projection'!K$8,Projection!$F$9:$BE$9,0)),0)</f>
        <v>555.48674999999992</v>
      </c>
      <c r="L32" s="366">
        <f t="array" ref="L32">IFERROR(INDEX(Projection!$F$9:$BE$173,MATCH('7 Year Projection'!$A32,Projection!$F$9:$F$173,0),MATCH('7 Year Projection'!L$8,Projection!$F$9:$BE$9,0)),0)</f>
        <v>555.48674999999992</v>
      </c>
      <c r="M32" s="367">
        <f t="array" ref="M32">IFERROR(INDEX(Projection!$F$9:$BE$173,MATCH('7 Year Projection'!$A32,Projection!$F$9:$F$173,0),MATCH('7 Year Projection'!M$8,Projection!$F$9:$BE$9,0)),0)</f>
        <v>555.48674999999992</v>
      </c>
      <c r="N32" s="366">
        <f t="array" ref="N32">IFERROR(INDEX(Projection!$F$9:$BE$173,MATCH('7 Year Projection'!$A32,Projection!$F$9:$F$173,0),MATCH('7 Year Projection'!N$8,Projection!$F$9:$BE$9,0)),0)</f>
        <v>555.48674999999992</v>
      </c>
      <c r="O32" s="367">
        <f t="array" ref="O32">IFERROR(INDEX(Projection!$F$9:$BE$173,MATCH('7 Year Projection'!$A32,Projection!$F$9:$F$173,0),MATCH('7 Year Projection'!O$8,Projection!$F$9:$BE$9,0)),0)</f>
        <v>555.48674999999992</v>
      </c>
      <c r="P32" s="366">
        <f t="array" ref="P32">IFERROR(INDEX(Projection!$F$9:$BE$173,MATCH('7 Year Projection'!$A32,Projection!$F$9:$F$173,0),MATCH('7 Year Projection'!P$8,Projection!$F$9:$BE$9,0)),0)</f>
        <v>555.48674999999992</v>
      </c>
      <c r="Q32" s="367">
        <f t="array" ref="Q32">IFERROR(INDEX(Projection!$F$9:$BE$173,MATCH('7 Year Projection'!$A32,Projection!$F$9:$F$173,0),MATCH('7 Year Projection'!Q$8,Projection!$F$9:$BE$9,0)),0)</f>
        <v>555.48674999999992</v>
      </c>
      <c r="R32" s="368">
        <f t="array" ref="R32">IFERROR(INDEX(Projection!$F$9:$BE$173,MATCH('7 Year Projection'!$A32,Projection!$F$9:$F$173,0),MATCH('7 Year Projection'!R$8,Projection!$F$9:$BE$9,0)),0)</f>
        <v>555.48674999999992</v>
      </c>
      <c r="S32" s="365">
        <f>SUMIF(Projection!$F:$F,'7 Year Projection'!$A32,Projection!BW:BW)</f>
        <v>6665.8409999999994</v>
      </c>
      <c r="T32" s="366">
        <f>SUMIF(Projection!$F:$F,'7 Year Projection'!$A32,Projection!BX:BX)</f>
        <v>13331.681999999999</v>
      </c>
      <c r="U32" s="367">
        <f>SUMIF(Projection!$F:$F,'7 Year Projection'!$A32,Projection!BY:BY)</f>
        <v>22219.469999999998</v>
      </c>
      <c r="V32" s="366">
        <f>SUMIF(Projection!$F:$F,'7 Year Projection'!$A32,Projection!BZ:BZ)</f>
        <v>22774.95674999999</v>
      </c>
      <c r="W32" s="367">
        <f>SUMIF(Projection!$F:$F,'7 Year Projection'!$A32,Projection!CA:CA)</f>
        <v>23344.330668749993</v>
      </c>
      <c r="X32" s="366">
        <f>SUMIF(Projection!$F:$F,'7 Year Projection'!$A32,Projection!CB:CB)</f>
        <v>23927.938935468741</v>
      </c>
      <c r="Y32" s="367">
        <f>SUMIF(Projection!$F:$F,'7 Year Projection'!$A32,Projection!CC:CC)</f>
        <v>24526.137408855458</v>
      </c>
      <c r="Z32" s="366">
        <f>SUMIF(Projection!$F:$F,'7 Year Projection'!$A32,Projection!CD:CD)</f>
        <v>25139.290844076841</v>
      </c>
      <c r="AA32" s="367">
        <f>SUMIF(Projection!$F:$F,'7 Year Projection'!$A32,Projection!CE:CE)</f>
        <v>25767.773115178763</v>
      </c>
      <c r="AB32" s="366">
        <f>SUMIF(Projection!$F:$F,'7 Year Projection'!$A32,Projection!CF:CF)</f>
        <v>26411.967443058227</v>
      </c>
      <c r="AC32" s="367">
        <f>SUMIF(Projection!$F:$F,'7 Year Projection'!$A32,Projection!CG:CG)</f>
        <v>27072.26662913468</v>
      </c>
      <c r="AD32" s="368">
        <f>SUMIF(Projection!$F:$F,'7 Year Projection'!$A32,Projection!CH:CH)</f>
        <v>27749.07329486305</v>
      </c>
      <c r="AE32" s="365">
        <f>SUMIF(Projection!$F:$F,'7 Year Projection'!$A32,Projection!CI:CI)</f>
        <v>28442.800127234623</v>
      </c>
      <c r="AF32" s="366">
        <f>SUMIF(Projection!$F:$F,'7 Year Projection'!$A32,Projection!CJ:CJ)</f>
        <v>29153.870130415486</v>
      </c>
      <c r="AG32" s="412">
        <f>SUMIF(Projection!$F:$F,'7 Year Projection'!$A32,Projection!CK:CK)</f>
        <v>29882.716883675868</v>
      </c>
      <c r="AH32" s="414"/>
    </row>
    <row r="33" spans="1:34" ht="14.25" customHeight="1" x14ac:dyDescent="0.2">
      <c r="A33" s="324" t="s">
        <v>379</v>
      </c>
      <c r="B33" s="332"/>
      <c r="C33" s="332"/>
      <c r="D33" s="332" t="s">
        <v>424</v>
      </c>
      <c r="E33" s="305"/>
      <c r="F33" s="305"/>
      <c r="G33" s="365">
        <f t="array" ref="G33">IFERROR(INDEX(Projection!$F$9:$BE$173,MATCH('7 Year Projection'!$A33,Projection!$F$9:$F$173,0),MATCH('7 Year Projection'!G$8,Projection!$F$9:$BE$9,0)),0)</f>
        <v>1000</v>
      </c>
      <c r="H33" s="366">
        <f t="array" ref="H33">IFERROR(INDEX(Projection!$F$9:$BE$173,MATCH('7 Year Projection'!$A33,Projection!$F$9:$F$173,0),MATCH('7 Year Projection'!H$8,Projection!$F$9:$BE$9,0)),0)</f>
        <v>1000</v>
      </c>
      <c r="I33" s="367">
        <f t="array" ref="I33">IFERROR(INDEX(Projection!$F$9:$BE$173,MATCH('7 Year Projection'!$A33,Projection!$F$9:$F$173,0),MATCH('7 Year Projection'!I$8,Projection!$F$9:$BE$9,0)),0)</f>
        <v>1000</v>
      </c>
      <c r="J33" s="366">
        <f t="array" ref="J33">IFERROR(INDEX(Projection!$F$9:$BE$173,MATCH('7 Year Projection'!$A33,Projection!$F$9:$F$173,0),MATCH('7 Year Projection'!J$8,Projection!$F$9:$BE$9,0)),0)</f>
        <v>1000</v>
      </c>
      <c r="K33" s="367">
        <f t="array" ref="K33">IFERROR(INDEX(Projection!$F$9:$BE$173,MATCH('7 Year Projection'!$A33,Projection!$F$9:$F$173,0),MATCH('7 Year Projection'!K$8,Projection!$F$9:$BE$9,0)),0)</f>
        <v>1000</v>
      </c>
      <c r="L33" s="366">
        <f t="array" ref="L33">IFERROR(INDEX(Projection!$F$9:$BE$173,MATCH('7 Year Projection'!$A33,Projection!$F$9:$F$173,0),MATCH('7 Year Projection'!L$8,Projection!$F$9:$BE$9,0)),0)</f>
        <v>1000</v>
      </c>
      <c r="M33" s="367">
        <f t="array" ref="M33">IFERROR(INDEX(Projection!$F$9:$BE$173,MATCH('7 Year Projection'!$A33,Projection!$F$9:$F$173,0),MATCH('7 Year Projection'!M$8,Projection!$F$9:$BE$9,0)),0)</f>
        <v>1000</v>
      </c>
      <c r="N33" s="366">
        <f t="array" ref="N33">IFERROR(INDEX(Projection!$F$9:$BE$173,MATCH('7 Year Projection'!$A33,Projection!$F$9:$F$173,0),MATCH('7 Year Projection'!N$8,Projection!$F$9:$BE$9,0)),0)</f>
        <v>1000</v>
      </c>
      <c r="O33" s="367">
        <f t="array" ref="O33">IFERROR(INDEX(Projection!$F$9:$BE$173,MATCH('7 Year Projection'!$A33,Projection!$F$9:$F$173,0),MATCH('7 Year Projection'!O$8,Projection!$F$9:$BE$9,0)),0)</f>
        <v>1000</v>
      </c>
      <c r="P33" s="366">
        <f t="array" ref="P33">IFERROR(INDEX(Projection!$F$9:$BE$173,MATCH('7 Year Projection'!$A33,Projection!$F$9:$F$173,0),MATCH('7 Year Projection'!P$8,Projection!$F$9:$BE$9,0)),0)</f>
        <v>1000</v>
      </c>
      <c r="Q33" s="367">
        <f t="array" ref="Q33">IFERROR(INDEX(Projection!$F$9:$BE$173,MATCH('7 Year Projection'!$A33,Projection!$F$9:$F$173,0),MATCH('7 Year Projection'!Q$8,Projection!$F$9:$BE$9,0)),0)</f>
        <v>1000</v>
      </c>
      <c r="R33" s="368">
        <f t="array" ref="R33">IFERROR(INDEX(Projection!$F$9:$BE$173,MATCH('7 Year Projection'!$A33,Projection!$F$9:$F$173,0),MATCH('7 Year Projection'!R$8,Projection!$F$9:$BE$9,0)),0)</f>
        <v>1000</v>
      </c>
      <c r="S33" s="365">
        <f>SUMIF(Projection!$F:$F,'7 Year Projection'!$A33,Projection!BW:BW)</f>
        <v>12000</v>
      </c>
      <c r="T33" s="366">
        <f>SUMIF(Projection!$F:$F,'7 Year Projection'!$A33,Projection!BX:BX)</f>
        <v>12300</v>
      </c>
      <c r="U33" s="367">
        <f>SUMIF(Projection!$F:$F,'7 Year Projection'!$A33,Projection!BY:BY)</f>
        <v>12607.5</v>
      </c>
      <c r="V33" s="366">
        <f>SUMIF(Projection!$F:$F,'7 Year Projection'!$A33,Projection!BZ:BZ)</f>
        <v>12922.6875</v>
      </c>
      <c r="W33" s="367">
        <f>SUMIF(Projection!$F:$F,'7 Year Projection'!$A33,Projection!CA:CA)</f>
        <v>13245.754687500003</v>
      </c>
      <c r="X33" s="366">
        <f>SUMIF(Projection!$F:$F,'7 Year Projection'!$A33,Projection!CB:CB)</f>
        <v>13775.584875000002</v>
      </c>
      <c r="Y33" s="367">
        <f>SUMIF(Projection!$F:$F,'7 Year Projection'!$A33,Projection!CC:CC)</f>
        <v>14326.608270000002</v>
      </c>
      <c r="Z33" s="366">
        <f>SUMIF(Projection!$F:$F,'7 Year Projection'!$A33,Projection!CD:CD)</f>
        <v>14899.672600800002</v>
      </c>
      <c r="AA33" s="367">
        <f>SUMIF(Projection!$F:$F,'7 Year Projection'!$A33,Projection!CE:CE)</f>
        <v>15495.659504832003</v>
      </c>
      <c r="AB33" s="366">
        <f>SUMIF(Projection!$F:$F,'7 Year Projection'!$A33,Projection!CF:CF)</f>
        <v>16115.485885025284</v>
      </c>
      <c r="AC33" s="367">
        <f>SUMIF(Projection!$F:$F,'7 Year Projection'!$A33,Projection!CG:CG)</f>
        <v>16760.105320426297</v>
      </c>
      <c r="AD33" s="368">
        <f>SUMIF(Projection!$F:$F,'7 Year Projection'!$A33,Projection!CH:CH)</f>
        <v>17430.509533243348</v>
      </c>
      <c r="AE33" s="365">
        <f>SUMIF(Projection!$F:$F,'7 Year Projection'!$A33,Projection!CI:CI)</f>
        <v>18127.729914573083</v>
      </c>
      <c r="AF33" s="366">
        <f>SUMIF(Projection!$F:$F,'7 Year Projection'!$A33,Projection!CJ:CJ)</f>
        <v>18852.839111156009</v>
      </c>
      <c r="AG33" s="412">
        <f>SUMIF(Projection!$F:$F,'7 Year Projection'!$A33,Projection!CK:CK)</f>
        <v>19606.95267560225</v>
      </c>
      <c r="AH33" s="414"/>
    </row>
    <row r="34" spans="1:34" ht="14.25" customHeight="1" x14ac:dyDescent="0.2">
      <c r="A34" s="324">
        <v>6270</v>
      </c>
      <c r="B34" s="332"/>
      <c r="C34" s="333"/>
      <c r="D34" s="332" t="s">
        <v>425</v>
      </c>
      <c r="E34" s="441"/>
      <c r="F34" s="441"/>
      <c r="G34" s="365">
        <f t="array" ref="G34">IFERROR(INDEX(Projection!$F$9:$BE$173,MATCH('7 Year Projection'!$A34,Projection!$F$9:$F$173,0),MATCH('7 Year Projection'!G$8,Projection!$F$9:$BE$9,0)),0)</f>
        <v>10589.4375</v>
      </c>
      <c r="H34" s="366">
        <f t="array" ref="H34">IFERROR(INDEX(Projection!$F$9:$BE$173,MATCH('7 Year Projection'!$A34,Projection!$F$9:$F$173,0),MATCH('7 Year Projection'!H$8,Projection!$F$9:$BE$9,0)),0)</f>
        <v>10589.4375</v>
      </c>
      <c r="I34" s="367">
        <f t="array" ref="I34">IFERROR(INDEX(Projection!$F$9:$BE$173,MATCH('7 Year Projection'!$A34,Projection!$F$9:$F$173,0),MATCH('7 Year Projection'!I$8,Projection!$F$9:$BE$9,0)),0)</f>
        <v>10589.4375</v>
      </c>
      <c r="J34" s="366">
        <f t="array" ref="J34">IFERROR(INDEX(Projection!$F$9:$BE$173,MATCH('7 Year Projection'!$A34,Projection!$F$9:$F$173,0),MATCH('7 Year Projection'!J$8,Projection!$F$9:$BE$9,0)),0)</f>
        <v>10589.4375</v>
      </c>
      <c r="K34" s="367">
        <f t="array" ref="K34">IFERROR(INDEX(Projection!$F$9:$BE$173,MATCH('7 Year Projection'!$A34,Projection!$F$9:$F$173,0),MATCH('7 Year Projection'!K$8,Projection!$F$9:$BE$9,0)),0)</f>
        <v>10589.4375</v>
      </c>
      <c r="L34" s="366">
        <f t="array" ref="L34">IFERROR(INDEX(Projection!$F$9:$BE$173,MATCH('7 Year Projection'!$A34,Projection!$F$9:$F$173,0),MATCH('7 Year Projection'!L$8,Projection!$F$9:$BE$9,0)),0)</f>
        <v>10589.4375</v>
      </c>
      <c r="M34" s="367">
        <f t="array" ref="M34">IFERROR(INDEX(Projection!$F$9:$BE$173,MATCH('7 Year Projection'!$A34,Projection!$F$9:$F$173,0),MATCH('7 Year Projection'!M$8,Projection!$F$9:$BE$9,0)),0)</f>
        <v>10589.4375</v>
      </c>
      <c r="N34" s="366">
        <f t="array" ref="N34">IFERROR(INDEX(Projection!$F$9:$BE$173,MATCH('7 Year Projection'!$A34,Projection!$F$9:$F$173,0),MATCH('7 Year Projection'!N$8,Projection!$F$9:$BE$9,0)),0)</f>
        <v>10589.4375</v>
      </c>
      <c r="O34" s="367">
        <f t="array" ref="O34">IFERROR(INDEX(Projection!$F$9:$BE$173,MATCH('7 Year Projection'!$A34,Projection!$F$9:$F$173,0),MATCH('7 Year Projection'!O$8,Projection!$F$9:$BE$9,0)),0)</f>
        <v>10589.4375</v>
      </c>
      <c r="P34" s="366">
        <f t="array" ref="P34">IFERROR(INDEX(Projection!$F$9:$BE$173,MATCH('7 Year Projection'!$A34,Projection!$F$9:$F$173,0),MATCH('7 Year Projection'!P$8,Projection!$F$9:$BE$9,0)),0)</f>
        <v>10589.4375</v>
      </c>
      <c r="Q34" s="367">
        <f t="array" ref="Q34">IFERROR(INDEX(Projection!$F$9:$BE$173,MATCH('7 Year Projection'!$A34,Projection!$F$9:$F$173,0),MATCH('7 Year Projection'!Q$8,Projection!$F$9:$BE$9,0)),0)</f>
        <v>10589.4375</v>
      </c>
      <c r="R34" s="368">
        <f t="array" ref="R34">IFERROR(INDEX(Projection!$F$9:$BE$173,MATCH('7 Year Projection'!$A34,Projection!$F$9:$F$173,0),MATCH('7 Year Projection'!R$8,Projection!$F$9:$BE$9,0)),0)</f>
        <v>10589.4375</v>
      </c>
      <c r="S34" s="365">
        <f>SUMIF(Projection!$F:$F,'7 Year Projection'!$A34,Projection!BW:BW)</f>
        <v>127073.25</v>
      </c>
      <c r="T34" s="366">
        <f>SUMIF(Projection!$F:$F,'7 Year Projection'!$A34,Projection!BX:BX)</f>
        <v>169431</v>
      </c>
      <c r="U34" s="367">
        <f>SUMIF(Projection!$F:$F,'7 Year Projection'!$A34,Projection!BY:BY)</f>
        <v>180858.10497577218</v>
      </c>
      <c r="V34" s="366">
        <f>SUMIF(Projection!$F:$F,'7 Year Projection'!$A34,Projection!BZ:BZ)</f>
        <v>203795.43958893543</v>
      </c>
      <c r="W34" s="367">
        <f>SUMIF(Projection!$F:$F,'7 Year Projection'!$A34,Projection!CA:CA)</f>
        <v>229641.80235556018</v>
      </c>
      <c r="X34" s="366">
        <f>SUMIF(Projection!$F:$F,'7 Year Projection'!$A34,Projection!CB:CB)</f>
        <v>238827.4744497826</v>
      </c>
      <c r="Y34" s="367">
        <f>SUMIF(Projection!$F:$F,'7 Year Projection'!$A34,Projection!CC:CC)</f>
        <v>248380.57342777392</v>
      </c>
      <c r="Z34" s="366">
        <f>SUMIF(Projection!$F:$F,'7 Year Projection'!$A34,Projection!CD:CD)</f>
        <v>258315.79636488488</v>
      </c>
      <c r="AA34" s="367">
        <f>SUMIF(Projection!$F:$F,'7 Year Projection'!$A34,Projection!CE:CE)</f>
        <v>268648.42821948027</v>
      </c>
      <c r="AB34" s="366">
        <f>SUMIF(Projection!$F:$F,'7 Year Projection'!$A34,Projection!CF:CF)</f>
        <v>279394.36534825951</v>
      </c>
      <c r="AC34" s="367">
        <f>SUMIF(Projection!$F:$F,'7 Year Projection'!$A34,Projection!CG:CG)</f>
        <v>290570.13996218989</v>
      </c>
      <c r="AD34" s="368">
        <f>SUMIF(Projection!$F:$F,'7 Year Projection'!$A34,Projection!CH:CH)</f>
        <v>302192.9455606775</v>
      </c>
      <c r="AE34" s="365"/>
      <c r="AF34" s="366"/>
      <c r="AG34" s="412"/>
      <c r="AH34" s="414"/>
    </row>
    <row r="35" spans="1:34" ht="14.25" customHeight="1" x14ac:dyDescent="0.2">
      <c r="A35" s="324">
        <v>6280</v>
      </c>
      <c r="B35" s="332"/>
      <c r="C35" s="333"/>
      <c r="D35" s="332" t="s">
        <v>266</v>
      </c>
      <c r="E35" s="441"/>
      <c r="F35" s="441"/>
      <c r="G35" s="365">
        <f t="array" ref="G35">IFERROR(INDEX(Projection!$F$9:$BE$173,MATCH('7 Year Projection'!$A35,Projection!$F$9:$F$173,0),MATCH('7 Year Projection'!G$8,Projection!$F$9:$BE$9,0)),0)</f>
        <v>2380.6575000000003</v>
      </c>
      <c r="H35" s="366">
        <f t="array" ref="H35">IFERROR(INDEX(Projection!$F$9:$BE$173,MATCH('7 Year Projection'!$A35,Projection!$F$9:$F$173,0),MATCH('7 Year Projection'!H$8,Projection!$F$9:$BE$9,0)),0)</f>
        <v>2380.6575000000003</v>
      </c>
      <c r="I35" s="367">
        <f t="array" ref="I35">IFERROR(INDEX(Projection!$F$9:$BE$173,MATCH('7 Year Projection'!$A35,Projection!$F$9:$F$173,0),MATCH('7 Year Projection'!I$8,Projection!$F$9:$BE$9,0)),0)</f>
        <v>2380.6575000000003</v>
      </c>
      <c r="J35" s="366">
        <f t="array" ref="J35">IFERROR(INDEX(Projection!$F$9:$BE$173,MATCH('7 Year Projection'!$A35,Projection!$F$9:$F$173,0),MATCH('7 Year Projection'!J$8,Projection!$F$9:$BE$9,0)),0)</f>
        <v>2380.6575000000003</v>
      </c>
      <c r="K35" s="367">
        <f t="array" ref="K35">IFERROR(INDEX(Projection!$F$9:$BE$173,MATCH('7 Year Projection'!$A35,Projection!$F$9:$F$173,0),MATCH('7 Year Projection'!K$8,Projection!$F$9:$BE$9,0)),0)</f>
        <v>2380.6575000000003</v>
      </c>
      <c r="L35" s="366">
        <f t="array" ref="L35">IFERROR(INDEX(Projection!$F$9:$BE$173,MATCH('7 Year Projection'!$A35,Projection!$F$9:$F$173,0),MATCH('7 Year Projection'!L$8,Projection!$F$9:$BE$9,0)),0)</f>
        <v>2380.6575000000003</v>
      </c>
      <c r="M35" s="367">
        <f t="array" ref="M35">IFERROR(INDEX(Projection!$F$9:$BE$173,MATCH('7 Year Projection'!$A35,Projection!$F$9:$F$173,0),MATCH('7 Year Projection'!M$8,Projection!$F$9:$BE$9,0)),0)</f>
        <v>2380.6575000000003</v>
      </c>
      <c r="N35" s="366">
        <f t="array" ref="N35">IFERROR(INDEX(Projection!$F$9:$BE$173,MATCH('7 Year Projection'!$A35,Projection!$F$9:$F$173,0),MATCH('7 Year Projection'!N$8,Projection!$F$9:$BE$9,0)),0)</f>
        <v>2380.6575000000003</v>
      </c>
      <c r="O35" s="367">
        <f t="array" ref="O35">IFERROR(INDEX(Projection!$F$9:$BE$173,MATCH('7 Year Projection'!$A35,Projection!$F$9:$F$173,0),MATCH('7 Year Projection'!O$8,Projection!$F$9:$BE$9,0)),0)</f>
        <v>2380.6575000000003</v>
      </c>
      <c r="P35" s="366">
        <f t="array" ref="P35">IFERROR(INDEX(Projection!$F$9:$BE$173,MATCH('7 Year Projection'!$A35,Projection!$F$9:$F$173,0),MATCH('7 Year Projection'!P$8,Projection!$F$9:$BE$9,0)),0)</f>
        <v>2380.6575000000003</v>
      </c>
      <c r="Q35" s="367">
        <f t="array" ref="Q35">IFERROR(INDEX(Projection!$F$9:$BE$173,MATCH('7 Year Projection'!$A35,Projection!$F$9:$F$173,0),MATCH('7 Year Projection'!Q$8,Projection!$F$9:$BE$9,0)),0)</f>
        <v>2380.6575000000003</v>
      </c>
      <c r="R35" s="368">
        <f t="array" ref="R35">IFERROR(INDEX(Projection!$F$9:$BE$173,MATCH('7 Year Projection'!$A35,Projection!$F$9:$F$173,0),MATCH('7 Year Projection'!R$8,Projection!$F$9:$BE$9,0)),0)</f>
        <v>2380.6575000000003</v>
      </c>
      <c r="S35" s="365">
        <f>SUMIF(Projection!$F:$F,'7 Year Projection'!$A35,Projection!BW:BW)</f>
        <v>28567.89000000001</v>
      </c>
      <c r="T35" s="366">
        <f>SUMIF(Projection!$F:$F,'7 Year Projection'!$A35,Projection!BX:BX)</f>
        <v>29282.08725</v>
      </c>
      <c r="U35" s="367">
        <f>SUMIF(Projection!$F:$F,'7 Year Projection'!$A35,Projection!BY:BY)</f>
        <v>30014.139431250005</v>
      </c>
      <c r="V35" s="366">
        <f>SUMIF(Projection!$F:$F,'7 Year Projection'!$A35,Projection!BZ:BZ)</f>
        <v>30764.492917031239</v>
      </c>
      <c r="W35" s="367">
        <f>SUMIF(Projection!$F:$F,'7 Year Projection'!$A35,Projection!CA:CA)</f>
        <v>31533.605239957022</v>
      </c>
      <c r="X35" s="366">
        <f>SUMIF(Projection!$F:$F,'7 Year Projection'!$A35,Projection!CB:CB)</f>
        <v>31848.941292356591</v>
      </c>
      <c r="Y35" s="367">
        <f>SUMIF(Projection!$F:$F,'7 Year Projection'!$A35,Projection!CC:CC)</f>
        <v>32167.430705280156</v>
      </c>
      <c r="Z35" s="366">
        <f>SUMIF(Projection!$F:$F,'7 Year Projection'!$A35,Projection!CD:CD)</f>
        <v>32489.105012332959</v>
      </c>
      <c r="AA35" s="367">
        <f>SUMIF(Projection!$F:$F,'7 Year Projection'!$A35,Projection!CE:CE)</f>
        <v>32813.996062456288</v>
      </c>
      <c r="AB35" s="366">
        <f>SUMIF(Projection!$F:$F,'7 Year Projection'!$A35,Projection!CF:CF)</f>
        <v>33142.13602308085</v>
      </c>
      <c r="AC35" s="367">
        <f>SUMIF(Projection!$F:$F,'7 Year Projection'!$A35,Projection!CG:CG)</f>
        <v>33473.557383311658</v>
      </c>
      <c r="AD35" s="368">
        <f>SUMIF(Projection!$F:$F,'7 Year Projection'!$A35,Projection!CH:CH)</f>
        <v>33808.292957144775</v>
      </c>
      <c r="AE35" s="365"/>
      <c r="AF35" s="366"/>
      <c r="AG35" s="412"/>
      <c r="AH35" s="414"/>
    </row>
    <row r="36" spans="1:34" ht="14.25" customHeight="1" x14ac:dyDescent="0.2">
      <c r="A36" s="324">
        <v>6801</v>
      </c>
      <c r="B36" s="332"/>
      <c r="C36" s="333"/>
      <c r="D36" s="332" t="s">
        <v>426</v>
      </c>
      <c r="E36" s="441"/>
      <c r="F36" s="441">
        <f>Projection!$H167</f>
        <v>0</v>
      </c>
      <c r="G36" s="365">
        <f t="array" ref="G36">IFERROR(INDEX(Projection!$F$9:$BE$173,MATCH('7 Year Projection'!$A36,Projection!$F$9:$F$173,0),MATCH('7 Year Projection'!G$8,Projection!$F$9:$BE$9,0)),0)</f>
        <v>0</v>
      </c>
      <c r="H36" s="366">
        <f t="array" ref="H36">IFERROR(INDEX(Projection!$F$9:$BE$173,MATCH('7 Year Projection'!$A36,Projection!$F$9:$F$173,0),MATCH('7 Year Projection'!H$8,Projection!$F$9:$BE$9,0)),0)</f>
        <v>0</v>
      </c>
      <c r="I36" s="367">
        <f t="array" ref="I36">IFERROR(INDEX(Projection!$F$9:$BE$173,MATCH('7 Year Projection'!$A36,Projection!$F$9:$F$173,0),MATCH('7 Year Projection'!I$8,Projection!$F$9:$BE$9,0)),0)</f>
        <v>0</v>
      </c>
      <c r="J36" s="366">
        <f t="array" ref="J36">IFERROR(INDEX(Projection!$F$9:$BE$173,MATCH('7 Year Projection'!$A36,Projection!$F$9:$F$173,0),MATCH('7 Year Projection'!J$8,Projection!$F$9:$BE$9,0)),0)</f>
        <v>0</v>
      </c>
      <c r="K36" s="367">
        <f t="array" ref="K36">IFERROR(INDEX(Projection!$F$9:$BE$173,MATCH('7 Year Projection'!$A36,Projection!$F$9:$F$173,0),MATCH('7 Year Projection'!K$8,Projection!$F$9:$BE$9,0)),0)</f>
        <v>0</v>
      </c>
      <c r="L36" s="366">
        <f t="array" ref="L36">IFERROR(INDEX(Projection!$F$9:$BE$173,MATCH('7 Year Projection'!$A36,Projection!$F$9:$F$173,0),MATCH('7 Year Projection'!L$8,Projection!$F$9:$BE$9,0)),0)</f>
        <v>0</v>
      </c>
      <c r="M36" s="367">
        <f t="array" ref="M36">IFERROR(INDEX(Projection!$F$9:$BE$173,MATCH('7 Year Projection'!$A36,Projection!$F$9:$F$173,0),MATCH('7 Year Projection'!M$8,Projection!$F$9:$BE$9,0)),0)</f>
        <v>0</v>
      </c>
      <c r="N36" s="366">
        <f t="array" ref="N36">IFERROR(INDEX(Projection!$F$9:$BE$173,MATCH('7 Year Projection'!$A36,Projection!$F$9:$F$173,0),MATCH('7 Year Projection'!N$8,Projection!$F$9:$BE$9,0)),0)</f>
        <v>0</v>
      </c>
      <c r="O36" s="367">
        <f t="array" ref="O36">IFERROR(INDEX(Projection!$F$9:$BE$173,MATCH('7 Year Projection'!$A36,Projection!$F$9:$F$173,0),MATCH('7 Year Projection'!O$8,Projection!$F$9:$BE$9,0)),0)</f>
        <v>0</v>
      </c>
      <c r="P36" s="366">
        <f t="array" ref="P36">IFERROR(INDEX(Projection!$F$9:$BE$173,MATCH('7 Year Projection'!$A36,Projection!$F$9:$F$173,0),MATCH('7 Year Projection'!P$8,Projection!$F$9:$BE$9,0)),0)</f>
        <v>0</v>
      </c>
      <c r="Q36" s="367">
        <f t="array" ref="Q36">IFERROR(INDEX(Projection!$F$9:$BE$173,MATCH('7 Year Projection'!$A36,Projection!$F$9:$F$173,0),MATCH('7 Year Projection'!Q$8,Projection!$F$9:$BE$9,0)),0)</f>
        <v>0</v>
      </c>
      <c r="R36" s="368">
        <f t="array" ref="R36">IFERROR(INDEX(Projection!$F$9:$BE$173,MATCH('7 Year Projection'!$A36,Projection!$F$9:$F$173,0),MATCH('7 Year Projection'!R$8,Projection!$F$9:$BE$9,0)),0)</f>
        <v>0</v>
      </c>
      <c r="S36" s="365">
        <f>SUMIF(Projection!$F:$F,'7 Year Projection'!$A36,Projection!BW:BW)</f>
        <v>0</v>
      </c>
      <c r="T36" s="366">
        <f>SUMIF(Projection!$F:$F,'7 Year Projection'!$A36,Projection!BX:BX)</f>
        <v>0</v>
      </c>
      <c r="U36" s="367">
        <f>SUMIF(Projection!$F:$F,'7 Year Projection'!$A36,Projection!BY:BY)</f>
        <v>0</v>
      </c>
      <c r="V36" s="366">
        <f>SUMIF(Projection!$F:$F,'7 Year Projection'!$A36,Projection!BZ:BZ)</f>
        <v>0</v>
      </c>
      <c r="W36" s="367">
        <f>SUMIF(Projection!$F:$F,'7 Year Projection'!$A36,Projection!CA:CA)</f>
        <v>0</v>
      </c>
      <c r="X36" s="366">
        <f>SUMIF(Projection!$F:$F,'7 Year Projection'!$A36,Projection!CB:CB)</f>
        <v>0</v>
      </c>
      <c r="Y36" s="367">
        <f>SUMIF(Projection!$F:$F,'7 Year Projection'!$A36,Projection!CC:CC)</f>
        <v>0</v>
      </c>
      <c r="Z36" s="366">
        <f>SUMIF(Projection!$F:$F,'7 Year Projection'!$A36,Projection!CD:CD)</f>
        <v>0</v>
      </c>
      <c r="AA36" s="367">
        <f>SUMIF(Projection!$F:$F,'7 Year Projection'!$A36,Projection!CE:CE)</f>
        <v>0</v>
      </c>
      <c r="AB36" s="366">
        <f>SUMIF(Projection!$F:$F,'7 Year Projection'!$A36,Projection!CF:CF)</f>
        <v>0</v>
      </c>
      <c r="AC36" s="367">
        <f>SUMIF(Projection!$F:$F,'7 Year Projection'!$A36,Projection!CG:CG)</f>
        <v>0</v>
      </c>
      <c r="AD36" s="368">
        <f>SUMIF(Projection!$F:$F,'7 Year Projection'!$A36,Projection!CH:CH)</f>
        <v>0</v>
      </c>
      <c r="AE36" s="365">
        <f>SUMIF(Projection!$F:$F,'7 Year Projection'!$A36,Projection!CI:CI)</f>
        <v>0</v>
      </c>
      <c r="AF36" s="366">
        <f>SUMIF(Projection!$F:$F,'7 Year Projection'!$A36,Projection!CJ:CJ)</f>
        <v>0</v>
      </c>
      <c r="AG36" s="412">
        <f>SUMIF(Projection!$F:$F,'7 Year Projection'!$A36,Projection!CK:CK)</f>
        <v>0</v>
      </c>
      <c r="AH36" s="414"/>
    </row>
    <row r="37" spans="1:34" ht="14.25" customHeight="1" x14ac:dyDescent="0.2">
      <c r="A37" s="324">
        <v>7550</v>
      </c>
      <c r="B37" s="332"/>
      <c r="C37" s="333"/>
      <c r="D37" s="332" t="s">
        <v>285</v>
      </c>
      <c r="E37" s="441"/>
      <c r="F37" s="441"/>
      <c r="G37" s="365">
        <f t="array" ref="G37">IFERROR(INDEX(Projection!$F$9:$BE$173,MATCH('7 Year Projection'!$A37,Projection!$F$9:$F$173,0),MATCH('7 Year Projection'!G$8,Projection!$F$9:$BE$9,0)),0)</f>
        <v>0</v>
      </c>
      <c r="H37" s="366">
        <f t="array" ref="H37">IFERROR(INDEX(Projection!$F$9:$BE$173,MATCH('7 Year Projection'!$A37,Projection!$F$9:$F$173,0),MATCH('7 Year Projection'!H$8,Projection!$F$9:$BE$9,0)),0)</f>
        <v>0</v>
      </c>
      <c r="I37" s="367">
        <f t="array" ref="I37">IFERROR(INDEX(Projection!$F$9:$BE$173,MATCH('7 Year Projection'!$A37,Projection!$F$9:$F$173,0),MATCH('7 Year Projection'!I$8,Projection!$F$9:$BE$9,0)),0)</f>
        <v>0</v>
      </c>
      <c r="J37" s="366">
        <f t="array" ref="J37">IFERROR(INDEX(Projection!$F$9:$BE$173,MATCH('7 Year Projection'!$A37,Projection!$F$9:$F$173,0),MATCH('7 Year Projection'!J$8,Projection!$F$9:$BE$9,0)),0)</f>
        <v>0</v>
      </c>
      <c r="K37" s="367">
        <f t="array" ref="K37">IFERROR(INDEX(Projection!$F$9:$BE$173,MATCH('7 Year Projection'!$A37,Projection!$F$9:$F$173,0),MATCH('7 Year Projection'!K$8,Projection!$F$9:$BE$9,0)),0)</f>
        <v>0</v>
      </c>
      <c r="L37" s="366">
        <f t="array" ref="L37">IFERROR(INDEX(Projection!$F$9:$BE$173,MATCH('7 Year Projection'!$A37,Projection!$F$9:$F$173,0),MATCH('7 Year Projection'!L$8,Projection!$F$9:$BE$9,0)),0)</f>
        <v>0</v>
      </c>
      <c r="M37" s="367">
        <f t="array" ref="M37">IFERROR(INDEX(Projection!$F$9:$BE$173,MATCH('7 Year Projection'!$A37,Projection!$F$9:$F$173,0),MATCH('7 Year Projection'!M$8,Projection!$F$9:$BE$9,0)),0)</f>
        <v>0</v>
      </c>
      <c r="N37" s="366">
        <f t="array" ref="N37">IFERROR(INDEX(Projection!$F$9:$BE$173,MATCH('7 Year Projection'!$A37,Projection!$F$9:$F$173,0),MATCH('7 Year Projection'!N$8,Projection!$F$9:$BE$9,0)),0)</f>
        <v>0</v>
      </c>
      <c r="O37" s="367">
        <f t="array" ref="O37">IFERROR(INDEX(Projection!$F$9:$BE$173,MATCH('7 Year Projection'!$A37,Projection!$F$9:$F$173,0),MATCH('7 Year Projection'!O$8,Projection!$F$9:$BE$9,0)),0)</f>
        <v>0</v>
      </c>
      <c r="P37" s="366">
        <f t="array" ref="P37">IFERROR(INDEX(Projection!$F$9:$BE$173,MATCH('7 Year Projection'!$A37,Projection!$F$9:$F$173,0),MATCH('7 Year Projection'!P$8,Projection!$F$9:$BE$9,0)),0)</f>
        <v>0</v>
      </c>
      <c r="Q37" s="367">
        <f t="array" ref="Q37">IFERROR(INDEX(Projection!$F$9:$BE$173,MATCH('7 Year Projection'!$A37,Projection!$F$9:$F$173,0),MATCH('7 Year Projection'!Q$8,Projection!$F$9:$BE$9,0)),0)</f>
        <v>0</v>
      </c>
      <c r="R37" s="368">
        <f t="array" ref="R37">IFERROR(INDEX(Projection!$F$9:$BE$173,MATCH('7 Year Projection'!$A37,Projection!$F$9:$F$173,0),MATCH('7 Year Projection'!R$8,Projection!$F$9:$BE$9,0)),0)</f>
        <v>0</v>
      </c>
      <c r="S37" s="365">
        <f>SUMIF(Projection!$F:$F,'7 Year Projection'!$A37,Projection!BW:BW)</f>
        <v>0</v>
      </c>
      <c r="T37" s="366">
        <f>SUMIF(Projection!$F:$F,'7 Year Projection'!$A37,Projection!BX:BX)</f>
        <v>0</v>
      </c>
      <c r="U37" s="367">
        <f>SUMIF(Projection!$F:$F,'7 Year Projection'!$A37,Projection!BY:BY)</f>
        <v>0</v>
      </c>
      <c r="V37" s="366">
        <f>SUMIF(Projection!$F:$F,'7 Year Projection'!$A37,Projection!BZ:BZ)</f>
        <v>0</v>
      </c>
      <c r="W37" s="367">
        <f>SUMIF(Projection!$F:$F,'7 Year Projection'!$A37,Projection!CA:CA)</f>
        <v>0</v>
      </c>
      <c r="X37" s="366">
        <f>SUMIF(Projection!$F:$F,'7 Year Projection'!$A37,Projection!CB:CB)</f>
        <v>0</v>
      </c>
      <c r="Y37" s="367">
        <f>SUMIF(Projection!$F:$F,'7 Year Projection'!$A37,Projection!CC:CC)</f>
        <v>0</v>
      </c>
      <c r="Z37" s="366">
        <f>SUMIF(Projection!$F:$F,'7 Year Projection'!$A37,Projection!CD:CD)</f>
        <v>0</v>
      </c>
      <c r="AA37" s="367">
        <f>SUMIF(Projection!$F:$F,'7 Year Projection'!$A37,Projection!CE:CE)</f>
        <v>0</v>
      </c>
      <c r="AB37" s="366">
        <f>SUMIF(Projection!$F:$F,'7 Year Projection'!$A37,Projection!CF:CF)</f>
        <v>0</v>
      </c>
      <c r="AC37" s="367">
        <f>SUMIF(Projection!$F:$F,'7 Year Projection'!$A37,Projection!CG:CG)</f>
        <v>0</v>
      </c>
      <c r="AD37" s="368">
        <f>SUMIF(Projection!$F:$F,'7 Year Projection'!$A37,Projection!CH:CH)</f>
        <v>0</v>
      </c>
      <c r="AE37" s="365"/>
      <c r="AF37" s="366"/>
      <c r="AG37" s="412"/>
      <c r="AH37" s="414"/>
    </row>
    <row r="38" spans="1:34" ht="14.25" customHeight="1" x14ac:dyDescent="0.2">
      <c r="A38" s="324" t="s">
        <v>387</v>
      </c>
      <c r="B38" s="364"/>
      <c r="C38" s="364" t="s">
        <v>427</v>
      </c>
      <c r="D38" s="361"/>
      <c r="E38" s="441"/>
      <c r="F38" s="324"/>
      <c r="G38" s="428">
        <f t="shared" ref="G38:AD38" si="10">SUM(G28:G37)</f>
        <v>31527.536827519682</v>
      </c>
      <c r="H38" s="428">
        <f t="shared" si="10"/>
        <v>33042.381573711646</v>
      </c>
      <c r="I38" s="428">
        <f t="shared" si="10"/>
        <v>34372.563671802593</v>
      </c>
      <c r="J38" s="428">
        <f t="shared" si="10"/>
        <v>29571.203142184364</v>
      </c>
      <c r="K38" s="428">
        <f t="shared" si="10"/>
        <v>28707.291671629377</v>
      </c>
      <c r="L38" s="428">
        <f t="shared" si="10"/>
        <v>28494.725087625575</v>
      </c>
      <c r="M38" s="428">
        <f t="shared" si="10"/>
        <v>29382.016664231436</v>
      </c>
      <c r="N38" s="428">
        <f t="shared" si="10"/>
        <v>29484.905713353652</v>
      </c>
      <c r="O38" s="428">
        <f t="shared" si="10"/>
        <v>30907.502403286482</v>
      </c>
      <c r="P38" s="428">
        <f t="shared" si="10"/>
        <v>28927.822280048393</v>
      </c>
      <c r="Q38" s="428">
        <f t="shared" si="10"/>
        <v>28059.759342970501</v>
      </c>
      <c r="R38" s="429">
        <f t="shared" si="10"/>
        <v>30204.571690744764</v>
      </c>
      <c r="S38" s="428">
        <f t="shared" si="10"/>
        <v>362682.29206910846</v>
      </c>
      <c r="T38" s="428">
        <f t="shared" si="10"/>
        <v>435486.06701935455</v>
      </c>
      <c r="U38" s="428">
        <f t="shared" si="10"/>
        <v>479278.17958559963</v>
      </c>
      <c r="V38" s="428">
        <f t="shared" si="10"/>
        <v>517462.48804127675</v>
      </c>
      <c r="W38" s="428">
        <f t="shared" si="10"/>
        <v>553580.66383964696</v>
      </c>
      <c r="X38" s="428">
        <f t="shared" si="10"/>
        <v>570590.48971268465</v>
      </c>
      <c r="Y38" s="428">
        <f t="shared" si="10"/>
        <v>588166.56372598826</v>
      </c>
      <c r="Z38" s="428">
        <f t="shared" si="10"/>
        <v>606328.82408402523</v>
      </c>
      <c r="AA38" s="428">
        <f t="shared" si="10"/>
        <v>625097.9401454262</v>
      </c>
      <c r="AB38" s="428">
        <f t="shared" si="10"/>
        <v>644495.34002398979</v>
      </c>
      <c r="AC38" s="428">
        <f t="shared" si="10"/>
        <v>664543.23925274238</v>
      </c>
      <c r="AD38" s="429">
        <f t="shared" si="10"/>
        <v>685264.67055255058</v>
      </c>
      <c r="AE38" s="421">
        <f t="shared" ref="AE38:AG38" si="11">SUM(AE28:AE36)</f>
        <v>358256.47547859506</v>
      </c>
      <c r="AF38" s="422">
        <f t="shared" si="11"/>
        <v>367484.80331427854</v>
      </c>
      <c r="AG38" s="423">
        <f t="shared" si="11"/>
        <v>376954.7159838028</v>
      </c>
      <c r="AH38" s="424"/>
    </row>
    <row r="39" spans="1:34" ht="6.75" customHeight="1" x14ac:dyDescent="0.2">
      <c r="A39" s="305"/>
      <c r="B39" s="332"/>
      <c r="C39" s="333"/>
      <c r="D39" s="333"/>
      <c r="E39" s="441"/>
      <c r="F39" s="305"/>
      <c r="G39" s="442"/>
      <c r="H39" s="434"/>
      <c r="I39" s="443"/>
      <c r="J39" s="434"/>
      <c r="K39" s="443"/>
      <c r="L39" s="434"/>
      <c r="M39" s="443"/>
      <c r="N39" s="434"/>
      <c r="O39" s="443"/>
      <c r="P39" s="434"/>
      <c r="Q39" s="443"/>
      <c r="R39" s="436"/>
      <c r="S39" s="442"/>
      <c r="T39" s="444"/>
      <c r="U39" s="445"/>
      <c r="V39" s="444"/>
      <c r="W39" s="445"/>
      <c r="X39" s="444"/>
      <c r="Y39" s="445"/>
      <c r="Z39" s="444"/>
      <c r="AA39" s="445"/>
      <c r="AB39" s="444"/>
      <c r="AC39" s="445"/>
      <c r="AD39" s="446"/>
      <c r="AE39" s="447">
        <f t="shared" ref="AE39:AG39" si="12">AE38/AD38-1</f>
        <v>-0.47719984573300478</v>
      </c>
      <c r="AF39" s="444">
        <f t="shared" si="12"/>
        <v>2.5758998000958266E-2</v>
      </c>
      <c r="AG39" s="448">
        <f t="shared" si="12"/>
        <v>2.5769535458655346E-2</v>
      </c>
      <c r="AH39" s="449"/>
    </row>
    <row r="40" spans="1:34" ht="14.25" customHeight="1" x14ac:dyDescent="0.2">
      <c r="A40" s="324" t="s">
        <v>389</v>
      </c>
      <c r="B40" s="450"/>
      <c r="C40" s="425" t="s">
        <v>428</v>
      </c>
      <c r="D40" s="426"/>
      <c r="E40" s="451"/>
      <c r="F40" s="451"/>
      <c r="G40" s="452">
        <f t="shared" ref="G40:AG40" si="13">G26-G38</f>
        <v>-27796.474939934866</v>
      </c>
      <c r="H40" s="453">
        <f t="shared" si="13"/>
        <v>-25875.265503789175</v>
      </c>
      <c r="I40" s="454">
        <f t="shared" si="13"/>
        <v>-22274.943340127847</v>
      </c>
      <c r="J40" s="453">
        <f t="shared" si="13"/>
        <v>-12314.236273073413</v>
      </c>
      <c r="K40" s="454">
        <f t="shared" si="13"/>
        <v>-3008.6496148333354</v>
      </c>
      <c r="L40" s="453">
        <f t="shared" si="13"/>
        <v>4522.9872309256061</v>
      </c>
      <c r="M40" s="454">
        <f t="shared" si="13"/>
        <v>10011.459854774221</v>
      </c>
      <c r="N40" s="453">
        <f t="shared" si="13"/>
        <v>14382.007724704843</v>
      </c>
      <c r="O40" s="454">
        <f t="shared" si="13"/>
        <v>16847.6062500138</v>
      </c>
      <c r="P40" s="453">
        <f t="shared" si="13"/>
        <v>22920.202753889243</v>
      </c>
      <c r="Q40" s="454">
        <f t="shared" si="13"/>
        <v>27449.137992124983</v>
      </c>
      <c r="R40" s="455">
        <f t="shared" si="13"/>
        <v>28391.071200611965</v>
      </c>
      <c r="S40" s="456">
        <f t="shared" si="13"/>
        <v>33254.891335286025</v>
      </c>
      <c r="T40" s="457">
        <f t="shared" si="13"/>
        <v>726558.38770139706</v>
      </c>
      <c r="U40" s="458">
        <f t="shared" si="13"/>
        <v>1393047.8348450952</v>
      </c>
      <c r="V40" s="457">
        <f t="shared" si="13"/>
        <v>1669410.3053149076</v>
      </c>
      <c r="W40" s="458">
        <f t="shared" si="13"/>
        <v>1729185.5014201989</v>
      </c>
      <c r="X40" s="457">
        <f t="shared" si="13"/>
        <v>1803486.3221575555</v>
      </c>
      <c r="Y40" s="458">
        <f t="shared" si="13"/>
        <v>1880873.3206190611</v>
      </c>
      <c r="Z40" s="457">
        <f t="shared" si="13"/>
        <v>1961472.6556348265</v>
      </c>
      <c r="AA40" s="458">
        <f t="shared" si="13"/>
        <v>2045415.59876218</v>
      </c>
      <c r="AB40" s="457">
        <f t="shared" si="13"/>
        <v>2132838.7404399207</v>
      </c>
      <c r="AC40" s="458">
        <f t="shared" si="13"/>
        <v>2223884.2044297247</v>
      </c>
      <c r="AD40" s="459">
        <f t="shared" si="13"/>
        <v>2318699.8708772156</v>
      </c>
      <c r="AE40" s="460">
        <f t="shared" si="13"/>
        <v>2684208.5932365637</v>
      </c>
      <c r="AF40" s="461">
        <f t="shared" si="13"/>
        <v>2796678.8681494868</v>
      </c>
      <c r="AG40" s="462">
        <f t="shared" si="13"/>
        <v>2913775.5023385128</v>
      </c>
      <c r="AH40" s="424"/>
    </row>
    <row r="41" spans="1:34" ht="6.75" customHeight="1" x14ac:dyDescent="0.2">
      <c r="A41" s="463"/>
      <c r="B41" s="332"/>
      <c r="C41" s="364"/>
      <c r="D41" s="361"/>
      <c r="E41" s="441"/>
      <c r="F41" s="463"/>
      <c r="G41" s="464"/>
      <c r="H41" s="465"/>
      <c r="I41" s="466"/>
      <c r="J41" s="465"/>
      <c r="K41" s="466"/>
      <c r="L41" s="465"/>
      <c r="M41" s="466"/>
      <c r="N41" s="465"/>
      <c r="O41" s="466"/>
      <c r="P41" s="465"/>
      <c r="Q41" s="466"/>
      <c r="R41" s="467"/>
      <c r="S41" s="468"/>
      <c r="T41" s="469"/>
      <c r="U41" s="470"/>
      <c r="V41" s="469"/>
      <c r="W41" s="470"/>
      <c r="X41" s="469"/>
      <c r="Y41" s="470"/>
      <c r="Z41" s="469"/>
      <c r="AA41" s="470"/>
      <c r="AB41" s="469"/>
      <c r="AC41" s="470"/>
      <c r="AD41" s="471"/>
      <c r="AE41" s="356"/>
      <c r="AF41" s="350"/>
      <c r="AG41" s="472"/>
      <c r="AH41" s="348"/>
    </row>
    <row r="42" spans="1:34" ht="14.25" customHeight="1" x14ac:dyDescent="0.2">
      <c r="A42" s="463" t="s">
        <v>394</v>
      </c>
      <c r="B42" s="332"/>
      <c r="C42" s="364" t="s">
        <v>394</v>
      </c>
      <c r="D42" s="361"/>
      <c r="E42" s="441"/>
      <c r="F42" s="463"/>
      <c r="G42" s="417">
        <f t="array" ref="G42">IFERROR(INDEX(Projection!$F$9:$BE$179,MATCH('7 Year Projection'!$A42,Projection!$F$9:$F$179,0),MATCH('7 Year Projection'!G$8,Projection!$F$9:$BE$9,0)),0)</f>
        <v>71588.876169803742</v>
      </c>
      <c r="H42" s="453">
        <f t="array" ref="H42">IFERROR(INDEX(Projection!$F$9:$BE$179,MATCH('7 Year Projection'!$A42,Projection!$F$9:$F$179,0),MATCH('7 Year Projection'!H$8,Projection!$F$9:$BE$9,0)),0)</f>
        <v>71588.876169803742</v>
      </c>
      <c r="I42" s="473">
        <f t="array" ref="I42">IFERROR(INDEX(Projection!$F$9:$BE$179,MATCH('7 Year Projection'!$A42,Projection!$F$9:$F$179,0),MATCH('7 Year Projection'!I$8,Projection!$F$9:$BE$9,0)),0)</f>
        <v>71588.876169803756</v>
      </c>
      <c r="J42" s="453">
        <f t="array" ref="J42">IFERROR(INDEX(Projection!$F$9:$BE$179,MATCH('7 Year Projection'!$A42,Projection!$F$9:$F$179,0),MATCH('7 Year Projection'!J$8,Projection!$F$9:$BE$9,0)),0)</f>
        <v>71588.876169803756</v>
      </c>
      <c r="K42" s="473">
        <f t="array" ref="K42">IFERROR(INDEX(Projection!$F$9:$BE$179,MATCH('7 Year Projection'!$A42,Projection!$F$9:$F$179,0),MATCH('7 Year Projection'!K$8,Projection!$F$9:$BE$9,0)),0)</f>
        <v>71588.876169803756</v>
      </c>
      <c r="L42" s="453">
        <f t="array" ref="L42">IFERROR(INDEX(Projection!$F$9:$BE$179,MATCH('7 Year Projection'!$A42,Projection!$F$9:$F$179,0),MATCH('7 Year Projection'!L$8,Projection!$F$9:$BE$9,0)),0)</f>
        <v>71588.876169803742</v>
      </c>
      <c r="M42" s="473">
        <f t="array" ref="M42">IFERROR(INDEX(Projection!$F$9:$BE$179,MATCH('7 Year Projection'!$A42,Projection!$F$9:$F$179,0),MATCH('7 Year Projection'!M$8,Projection!$F$9:$BE$9,0)),0)</f>
        <v>71588.876169803742</v>
      </c>
      <c r="N42" s="453">
        <f t="array" ref="N42">IFERROR(INDEX(Projection!$F$9:$BE$179,MATCH('7 Year Projection'!$A42,Projection!$F$9:$F$179,0),MATCH('7 Year Projection'!N$8,Projection!$F$9:$BE$9,0)),0)</f>
        <v>71588.876169803756</v>
      </c>
      <c r="O42" s="473">
        <f t="array" ref="O42">IFERROR(INDEX(Projection!$F$9:$BE$179,MATCH('7 Year Projection'!$A42,Projection!$F$9:$F$179,0),MATCH('7 Year Projection'!O$8,Projection!$F$9:$BE$9,0)),0)</f>
        <v>71588.876169803742</v>
      </c>
      <c r="P42" s="453">
        <f t="array" ref="P42">IFERROR(INDEX(Projection!$F$9:$BE$179,MATCH('7 Year Projection'!$A42,Projection!$F$9:$F$179,0),MATCH('7 Year Projection'!P$8,Projection!$F$9:$BE$9,0)),0)</f>
        <v>71588.876169803742</v>
      </c>
      <c r="Q42" s="473">
        <f t="array" ref="Q42">IFERROR(INDEX(Projection!$F$9:$BE$179,MATCH('7 Year Projection'!$A42,Projection!$F$9:$F$179,0),MATCH('7 Year Projection'!Q$8,Projection!$F$9:$BE$9,0)),0)</f>
        <v>71588.876169803742</v>
      </c>
      <c r="R42" s="455">
        <f t="array" ref="R42">IFERROR(INDEX(Projection!$F$9:$BE$179,MATCH('7 Year Projection'!$A42,Projection!$F$9:$F$179,0),MATCH('7 Year Projection'!R$8,Projection!$F$9:$BE$9,0)),0)</f>
        <v>71588.876169803742</v>
      </c>
      <c r="S42" s="474">
        <f>SUMIF(Projection!$F:$F,'7 Year Projection'!$A42,Projection!BW:BW)</f>
        <v>859066.51403764519</v>
      </c>
      <c r="T42" s="457">
        <f>SUMIF(Projection!$F:$F,'7 Year Projection'!$A42,Projection!BX:BX)</f>
        <v>859066.51403764531</v>
      </c>
      <c r="U42" s="475">
        <f>SUMIF(Projection!$F:$F,'7 Year Projection'!$A42,Projection!BY:BY)</f>
        <v>859066.51403764519</v>
      </c>
      <c r="V42" s="457">
        <f>SUMIF(Projection!$F:$F,'7 Year Projection'!$A42,Projection!BZ:BZ)</f>
        <v>859066.51403764496</v>
      </c>
      <c r="W42" s="475">
        <f>SUMIF(Projection!$F:$F,'7 Year Projection'!$A42,Projection!CA:CA)</f>
        <v>859066.51403764531</v>
      </c>
      <c r="X42" s="457">
        <f>SUMIF(Projection!$F:$F,'7 Year Projection'!$A42,Projection!CB:CB)</f>
        <v>859066.51403764519</v>
      </c>
      <c r="Y42" s="475">
        <f>SUMIF(Projection!$F:$F,'7 Year Projection'!$A42,Projection!CC:CC)</f>
        <v>859066.51403764507</v>
      </c>
      <c r="Z42" s="457">
        <f>SUMIF(Projection!$F:$F,'7 Year Projection'!$A42,Projection!CD:CD)</f>
        <v>859066.51403764507</v>
      </c>
      <c r="AA42" s="475">
        <f>SUMIF(Projection!$F:$F,'7 Year Projection'!$A42,Projection!CE:CE)</f>
        <v>859066.51403764496</v>
      </c>
      <c r="AB42" s="457">
        <f>SUMIF(Projection!$F:$F,'7 Year Projection'!$A42,Projection!CF:CF)</f>
        <v>859066.51403764507</v>
      </c>
      <c r="AC42" s="475">
        <f>SUMIF(Projection!$F:$F,'7 Year Projection'!$A42,Projection!CG:CG)</f>
        <v>859066.51403764507</v>
      </c>
      <c r="AD42" s="459">
        <f>SUMIF(Projection!$F:$F,'7 Year Projection'!$A42,Projection!CH:CH)</f>
        <v>859066.51403764496</v>
      </c>
      <c r="AE42" s="353">
        <f>SUMIF(Projection!$F:$F,'7 Year Projection'!$A42,Projection!CI:CI)</f>
        <v>859066.51403764507</v>
      </c>
      <c r="AF42" s="350">
        <f>SUMIF(Projection!$F:$F,'7 Year Projection'!$A42,Projection!CJ:CJ)</f>
        <v>859066.51403764507</v>
      </c>
      <c r="AG42" s="354">
        <f>SUMIF(Projection!$F:$F,'7 Year Projection'!$A42,Projection!CK:CK)</f>
        <v>859066.51403764496</v>
      </c>
      <c r="AH42" s="348"/>
    </row>
    <row r="43" spans="1:34" ht="6.75" customHeight="1" x14ac:dyDescent="0.2">
      <c r="A43" s="463"/>
      <c r="B43" s="332"/>
      <c r="C43" s="364"/>
      <c r="D43" s="361"/>
      <c r="E43" s="441"/>
      <c r="F43" s="463"/>
      <c r="G43" s="476"/>
      <c r="H43" s="477"/>
      <c r="I43" s="478"/>
      <c r="J43" s="477"/>
      <c r="K43" s="478"/>
      <c r="L43" s="477"/>
      <c r="M43" s="478"/>
      <c r="N43" s="477"/>
      <c r="O43" s="478"/>
      <c r="P43" s="477"/>
      <c r="Q43" s="478"/>
      <c r="R43" s="479"/>
      <c r="S43" s="480"/>
      <c r="T43" s="422"/>
      <c r="U43" s="481"/>
      <c r="V43" s="422"/>
      <c r="W43" s="481"/>
      <c r="X43" s="422"/>
      <c r="Y43" s="481"/>
      <c r="Z43" s="422"/>
      <c r="AA43" s="481"/>
      <c r="AB43" s="422"/>
      <c r="AC43" s="481"/>
      <c r="AD43" s="482"/>
      <c r="AE43" s="356"/>
      <c r="AF43" s="350"/>
      <c r="AG43" s="472"/>
      <c r="AH43" s="348"/>
    </row>
    <row r="44" spans="1:34" ht="14.25" customHeight="1" x14ac:dyDescent="0.2">
      <c r="A44" s="324" t="s">
        <v>396</v>
      </c>
      <c r="B44" s="332"/>
      <c r="C44" s="364" t="s">
        <v>396</v>
      </c>
      <c r="D44" s="361"/>
      <c r="E44" s="441"/>
      <c r="F44" s="324"/>
      <c r="G44" s="483">
        <f t="array" ref="G44">IFERROR(INDEX(Projection!$F$9:$BE$179,MATCH('7 Year Projection'!$A44,Projection!$F$9:$F$179,0),MATCH('7 Year Projection'!G$8,Projection!$F$9:$BE$9,0)),0)</f>
        <v>-99385.351109738607</v>
      </c>
      <c r="H44" s="484">
        <f t="array" ref="H44">IFERROR(INDEX(Projection!$F$9:$BE$179,MATCH('7 Year Projection'!$A44,Projection!$F$9:$F$179,0),MATCH('7 Year Projection'!H$8,Projection!$F$9:$BE$9,0)),0)</f>
        <v>-97464.141673592923</v>
      </c>
      <c r="I44" s="485">
        <f t="array" ref="I44">IFERROR(INDEX(Projection!$F$9:$BE$179,MATCH('7 Year Projection'!$A44,Projection!$F$9:$F$179,0),MATCH('7 Year Projection'!I$8,Projection!$F$9:$BE$9,0)),0)</f>
        <v>-90901.223509931617</v>
      </c>
      <c r="J44" s="484">
        <f t="array" ref="J44">IFERROR(INDEX(Projection!$F$9:$BE$179,MATCH('7 Year Projection'!$A44,Projection!$F$9:$F$179,0),MATCH('7 Year Projection'!J$8,Projection!$F$9:$BE$9,0)),0)</f>
        <v>-82421.814442877163</v>
      </c>
      <c r="K44" s="485">
        <f t="array" ref="K44">IFERROR(INDEX(Projection!$F$9:$BE$179,MATCH('7 Year Projection'!$A44,Projection!$F$9:$F$179,0),MATCH('7 Year Projection'!K$8,Projection!$F$9:$BE$9,0)),0)</f>
        <v>-73116.2277846371</v>
      </c>
      <c r="L44" s="484">
        <f t="array" ref="L44">IFERROR(INDEX(Projection!$F$9:$BE$179,MATCH('7 Year Projection'!$A44,Projection!$F$9:$F$179,0),MATCH('7 Year Projection'!L$8,Projection!$F$9:$BE$9,0)),0)</f>
        <v>-65584.590938878129</v>
      </c>
      <c r="M44" s="485">
        <f t="array" ref="M44">IFERROR(INDEX(Projection!$F$9:$BE$179,MATCH('7 Year Projection'!$A44,Projection!$F$9:$F$179,0),MATCH('7 Year Projection'!M$8,Projection!$F$9:$BE$9,0)),0)</f>
        <v>-60096.118315029518</v>
      </c>
      <c r="N44" s="484">
        <f t="array" ref="N44">IFERROR(INDEX(Projection!$F$9:$BE$179,MATCH('7 Year Projection'!$A44,Projection!$F$9:$F$179,0),MATCH('7 Year Projection'!N$8,Projection!$F$9:$BE$9,0)),0)</f>
        <v>-55725.570445098914</v>
      </c>
      <c r="O44" s="485">
        <f t="array" ref="O44">IFERROR(INDEX(Projection!$F$9:$BE$179,MATCH('7 Year Projection'!$A44,Projection!$F$9:$F$179,0),MATCH('7 Year Projection'!O$8,Projection!$F$9:$BE$9,0)),0)</f>
        <v>-51778.673919789944</v>
      </c>
      <c r="P44" s="484">
        <f t="array" ref="P44">IFERROR(INDEX(Projection!$F$9:$BE$179,MATCH('7 Year Projection'!$A44,Projection!$F$9:$F$179,0),MATCH('7 Year Projection'!P$8,Projection!$F$9:$BE$9,0)),0)</f>
        <v>-47187.375415914503</v>
      </c>
      <c r="Q44" s="485">
        <f t="array" ref="Q44">IFERROR(INDEX(Projection!$F$9:$BE$179,MATCH('7 Year Projection'!$A44,Projection!$F$9:$F$179,0),MATCH('7 Year Projection'!Q$8,Projection!$F$9:$BE$9,0)),0)</f>
        <v>-44139.738177678759</v>
      </c>
      <c r="R44" s="486">
        <f t="array" ref="R44">IFERROR(INDEX(Projection!$F$9:$BE$179,MATCH('7 Year Projection'!$A44,Projection!$F$9:$F$179,0),MATCH('7 Year Projection'!R$8,Projection!$F$9:$BE$9,0)),0)</f>
        <v>-43197.804969191769</v>
      </c>
      <c r="S44" s="487">
        <f>SUMIF(Projection!$F:$F,'7 Year Projection'!$A44,Projection!BW:BW)</f>
        <v>-810998.64270235912</v>
      </c>
      <c r="T44" s="488">
        <f>SUMIF(Projection!$F:$F,'7 Year Projection'!$A44,Projection!BX:BX)</f>
        <v>-117324.82183624816</v>
      </c>
      <c r="U44" s="489">
        <f>SUMIF(Projection!$F:$F,'7 Year Projection'!$A44,Projection!BY:BY)</f>
        <v>549544.2079199499</v>
      </c>
      <c r="V44" s="488">
        <f>SUMIF(Projection!$F:$F,'7 Year Projection'!$A44,Projection!BZ:BZ)</f>
        <v>826295.75056757499</v>
      </c>
      <c r="W44" s="489">
        <f>SUMIF(Projection!$F:$F,'7 Year Projection'!$A44,Projection!CA:CA)</f>
        <v>886469.74565512396</v>
      </c>
      <c r="X44" s="488">
        <f>SUMIF(Projection!$F:$F,'7 Year Projection'!$A44,Projection!CB:CB)</f>
        <v>961179.33534929482</v>
      </c>
      <c r="Y44" s="489">
        <f>SUMIF(Projection!$F:$F,'7 Year Projection'!$A44,Projection!CC:CC)</f>
        <v>1038985.3219915353</v>
      </c>
      <c r="Z44" s="488">
        <f>SUMIF(Projection!$F:$F,'7 Year Projection'!$A44,Projection!CD:CD)</f>
        <v>1120014.1198925539</v>
      </c>
      <c r="AA44" s="489">
        <f>SUMIF(Projection!$F:$F,'7 Year Projection'!$A44,Projection!CE:CE)</f>
        <v>1204397.2624772915</v>
      </c>
      <c r="AB44" s="488">
        <f>SUMIF(Projection!$F:$F,'7 Year Projection'!$A44,Projection!CF:CF)</f>
        <v>1292271.6085988511</v>
      </c>
      <c r="AC44" s="489">
        <f>SUMIF(Projection!$F:$F,'7 Year Projection'!$A44,Projection!CG:CG)</f>
        <v>1383779.5571435695</v>
      </c>
      <c r="AD44" s="490">
        <f>SUMIF(Projection!$F:$F,'7 Year Projection'!$A44,Projection!CH:CH)</f>
        <v>1479069.2702598474</v>
      </c>
      <c r="AE44" s="487">
        <f>SUMIF(Projection!$F:$F,'7 Year Projection'!$A44,Projection!CI:CI)</f>
        <v>1578294.9055566797</v>
      </c>
      <c r="AF44" s="488">
        <f>SUMIF(Projection!$F:$F,'7 Year Projection'!$A44,Projection!CJ:CJ)</f>
        <v>1681616.8576316778</v>
      </c>
      <c r="AG44" s="491">
        <f>SUMIF(Projection!$F:$F,'7 Year Projection'!$A44,Projection!CK:CK)</f>
        <v>1789202.0093028075</v>
      </c>
      <c r="AH44" s="424"/>
    </row>
    <row r="45" spans="1:34" ht="7.5" customHeight="1" x14ac:dyDescent="0.2">
      <c r="A45" s="313"/>
      <c r="B45" s="332"/>
      <c r="C45" s="361"/>
      <c r="D45" s="361"/>
      <c r="E45" s="441"/>
      <c r="F45" s="313"/>
    </row>
    <row r="46" spans="1:34" ht="14.25" hidden="1" customHeight="1" x14ac:dyDescent="0.2">
      <c r="A46" s="324" t="s">
        <v>391</v>
      </c>
      <c r="B46" s="332"/>
      <c r="C46" s="332"/>
      <c r="D46" s="361"/>
      <c r="E46" s="441"/>
      <c r="F46" s="324"/>
      <c r="G46" s="492">
        <f t="array" ref="G46">IFERROR(INDEX(Projection!$F$9:$BE$179,MATCH('7 Year Projection'!$A46,Projection!$F$9:$F$179,0),MATCH('7 Year Projection'!G$8,Projection!$F$9:$BE$9,0)),0)</f>
        <v>9687379</v>
      </c>
      <c r="H46" s="493">
        <f t="array" ref="H46">IFERROR(INDEX(Projection!$F$9:$BE$179,MATCH('7 Year Projection'!$A46,Projection!$F$9:$F$179,0),MATCH('7 Year Projection'!H$8,Projection!$F$9:$BE$9,0)),0)</f>
        <v>9676336.2425801959</v>
      </c>
      <c r="I46" s="494">
        <f t="array" ref="I46">IFERROR(INDEX(Projection!$F$9:$BE$179,MATCH('7 Year Projection'!$A46,Projection!$F$9:$F$179,0),MATCH('7 Year Projection'!I$8,Projection!$F$9:$BE$9,0)),0)</f>
        <v>9665224.467926519</v>
      </c>
      <c r="J46" s="493">
        <f t="array" ref="J46">IFERROR(INDEX(Projection!$F$9:$BE$179,MATCH('7 Year Projection'!$A46,Projection!$F$9:$F$179,0),MATCH('7 Year Projection'!J$8,Projection!$F$9:$BE$9,0)),0)</f>
        <v>9654043.2446812559</v>
      </c>
      <c r="K46" s="494">
        <f t="array" ref="K46">IFERROR(INDEX(Projection!$F$9:$BE$179,MATCH('7 Year Projection'!$A46,Projection!$F$9:$F$179,0),MATCH('7 Year Projection'!K$8,Projection!$F$9:$BE$9,0)),0)</f>
        <v>9642792.1387907099</v>
      </c>
      <c r="L46" s="493">
        <f t="array" ref="L46">IFERROR(INDEX(Projection!$F$9:$BE$179,MATCH('7 Year Projection'!$A46,Projection!$F$9:$F$179,0),MATCH('7 Year Projection'!L$8,Projection!$F$9:$BE$9,0)),0)</f>
        <v>9631470.7134883478</v>
      </c>
      <c r="M46" s="494">
        <f t="array" ref="M46">IFERROR(INDEX(Projection!$F$9:$BE$179,MATCH('7 Year Projection'!$A46,Projection!$F$9:$F$179,0),MATCH('7 Year Projection'!M$8,Projection!$F$9:$BE$9,0)),0)</f>
        <v>9620078.5292778462</v>
      </c>
      <c r="N46" s="493">
        <f t="array" ref="N46">IFERROR(INDEX(Projection!$F$9:$BE$179,MATCH('7 Year Projection'!$A46,Projection!$F$9:$F$179,0),MATCH('7 Year Projection'!N$8,Projection!$F$9:$BE$9,0)),0)</f>
        <v>9608615.1439160295</v>
      </c>
      <c r="O46" s="494">
        <f t="array" ref="O46">IFERROR(INDEX(Projection!$F$9:$BE$179,MATCH('7 Year Projection'!$A46,Projection!$F$9:$F$179,0),MATCH('7 Year Projection'!O$8,Projection!$F$9:$BE$9,0)),0)</f>
        <v>9597080.1123957001</v>
      </c>
      <c r="P46" s="493">
        <f t="array" ref="P46">IFERROR(INDEX(Projection!$F$9:$BE$179,MATCH('7 Year Projection'!$A46,Projection!$F$9:$F$179,0),MATCH('7 Year Projection'!P$8,Projection!$F$9:$BE$9,0)),0)</f>
        <v>9585472.9869283698</v>
      </c>
      <c r="Q46" s="494">
        <f t="array" ref="Q46">IFERROR(INDEX(Projection!$F$9:$BE$179,MATCH('7 Year Projection'!$A46,Projection!$F$9:$F$179,0),MATCH('7 Year Projection'!Q$8,Projection!$F$9:$BE$9,0)),0)</f>
        <v>9573793.3169268686</v>
      </c>
      <c r="R46" s="495">
        <f t="array" ref="R46">IFERROR(INDEX(Projection!$F$9:$BE$179,MATCH('7 Year Projection'!$A46,Projection!$F$9:$F$179,0),MATCH('7 Year Projection'!R$8,Projection!$F$9:$BE$9,0)),0)</f>
        <v>9562040.6489878576</v>
      </c>
      <c r="S46" s="496">
        <f>SUMIF(Projection!$F:$F,'7 Year Projection'!$A46,Projection!BW:BW)</f>
        <v>9687379</v>
      </c>
      <c r="T46" s="497">
        <f>SUMIF(Projection!$F:$F,'7 Year Projection'!$A46,Projection!BX:BX)</f>
        <v>9550214.5268742274</v>
      </c>
      <c r="U46" s="498">
        <f>SUMIF(Projection!$F:$F,'7 Year Projection'!$A46,Projection!BY:BY)</f>
        <v>9402401.6192289833</v>
      </c>
      <c r="V46" s="497">
        <f>SUMIF(Projection!$F:$F,'7 Year Projection'!$A46,Projection!BZ:BZ)</f>
        <v>9243113.6114187725</v>
      </c>
      <c r="W46" s="498">
        <f>SUMIF(Projection!$F:$F,'7 Year Projection'!$A46,Projection!CA:CA)</f>
        <v>9071459.6615956556</v>
      </c>
      <c r="X46" s="497">
        <f>SUMIF(Projection!$F:$F,'7 Year Projection'!$A46,Projection!CB:CB)</f>
        <v>8886479.7695438676</v>
      </c>
      <c r="Y46" s="498">
        <f>SUMIF(Projection!$F:$F,'7 Year Projection'!$A46,Projection!CC:CC)</f>
        <v>8687139.4077359922</v>
      </c>
      <c r="Z46" s="497">
        <f>SUMIF(Projection!$F:$F,'7 Year Projection'!$A46,Projection!CD:CD)</f>
        <v>8472323.735584069</v>
      </c>
      <c r="AA46" s="498">
        <f>SUMIF(Projection!$F:$F,'7 Year Projection'!$A46,Projection!CE:CE)</f>
        <v>8240831.3645279882</v>
      </c>
      <c r="AB46" s="497">
        <f>SUMIF(Projection!$F:$F,'7 Year Projection'!$A46,Projection!CF:CF)</f>
        <v>7991367.6390914787</v>
      </c>
      <c r="AC46" s="498">
        <f>SUMIF(Projection!$F:$F,'7 Year Projection'!$A46,Projection!CG:CG)</f>
        <v>7722537.3963290267</v>
      </c>
      <c r="AD46" s="499">
        <f>SUMIF(Projection!$F:$F,'7 Year Projection'!$A46,Projection!CH:CH)</f>
        <v>7432837.1631698273</v>
      </c>
      <c r="AE46" s="500">
        <f>SUMIF(Projection!$F:$F,'7 Year Projection'!$A46,Projection!CI:CI)</f>
        <v>7120646.7480212813</v>
      </c>
      <c r="AF46" s="501">
        <f>SUMIF(Projection!$F:$F,'7 Year Projection'!$A46,Projection!CJ:CJ)</f>
        <v>6784220.1796068111</v>
      </c>
      <c r="AG46" s="502">
        <f>SUMIF(Projection!$F:$F,'7 Year Projection'!$A46,Projection!CK:CK)</f>
        <v>6421675.9423621101</v>
      </c>
      <c r="AH46" s="424"/>
    </row>
    <row r="47" spans="1:34" ht="14.25" hidden="1" customHeight="1" x14ac:dyDescent="0.2">
      <c r="A47" s="324" t="s">
        <v>392</v>
      </c>
      <c r="B47" s="332"/>
      <c r="C47" s="332"/>
      <c r="D47" s="361"/>
      <c r="E47" s="441"/>
      <c r="F47" s="324"/>
      <c r="G47" s="365">
        <f t="array" ref="G47">IFERROR(INDEX(Projection!$F$9:$BE$179,MATCH('7 Year Projection'!$A47,Projection!$F$9:$F$179,0),MATCH('7 Year Projection'!G$8,Projection!$F$9:$BE$9,0)),0)</f>
        <v>60546.118749999994</v>
      </c>
      <c r="H47" s="366">
        <f t="array" ref="H47">IFERROR(INDEX(Projection!$F$9:$BE$179,MATCH('7 Year Projection'!$A47,Projection!$F$9:$F$179,0),MATCH('7 Year Projection'!H$8,Projection!$F$9:$BE$9,0)),0)</f>
        <v>60477.101516126218</v>
      </c>
      <c r="I47" s="367">
        <f t="array" ref="I47">IFERROR(INDEX(Projection!$F$9:$BE$179,MATCH('7 Year Projection'!$A47,Projection!$F$9:$F$179,0),MATCH('7 Year Projection'!I$8,Projection!$F$9:$BE$9,0)),0)</f>
        <v>60407.652924540744</v>
      </c>
      <c r="J47" s="366">
        <f t="array" ref="J47">IFERROR(INDEX(Projection!$F$9:$BE$179,MATCH('7 Year Projection'!$A47,Projection!$F$9:$F$179,0),MATCH('7 Year Projection'!J$8,Projection!$F$9:$BE$9,0)),0)</f>
        <v>60337.770279257849</v>
      </c>
      <c r="K47" s="367">
        <f t="array" ref="K47">IFERROR(INDEX(Projection!$F$9:$BE$179,MATCH('7 Year Projection'!$A47,Projection!$F$9:$F$179,0),MATCH('7 Year Projection'!K$8,Projection!$F$9:$BE$9,0)),0)</f>
        <v>60267.450867441941</v>
      </c>
      <c r="L47" s="366">
        <f t="array" ref="L47">IFERROR(INDEX(Projection!$F$9:$BE$179,MATCH('7 Year Projection'!$A47,Projection!$F$9:$F$179,0),MATCH('7 Year Projection'!L$8,Projection!$F$9:$BE$9,0)),0)</f>
        <v>60196.691959302174</v>
      </c>
      <c r="M47" s="367">
        <f t="array" ref="M47">IFERROR(INDEX(Projection!$F$9:$BE$179,MATCH('7 Year Projection'!$A47,Projection!$F$9:$F$179,0),MATCH('7 Year Projection'!M$8,Projection!$F$9:$BE$9,0)),0)</f>
        <v>60125.490807986534</v>
      </c>
      <c r="N47" s="366">
        <f t="array" ref="N47">IFERROR(INDEX(Projection!$F$9:$BE$179,MATCH('7 Year Projection'!$A47,Projection!$F$9:$F$179,0),MATCH('7 Year Projection'!N$8,Projection!$F$9:$BE$9,0)),0)</f>
        <v>60053.844649475184</v>
      </c>
      <c r="O47" s="367">
        <f t="array" ref="O47">IFERROR(INDEX(Projection!$F$9:$BE$179,MATCH('7 Year Projection'!$A47,Projection!$F$9:$F$179,0),MATCH('7 Year Projection'!O$8,Projection!$F$9:$BE$9,0)),0)</f>
        <v>59981.750702473124</v>
      </c>
      <c r="P47" s="366">
        <f t="array" ref="P47">IFERROR(INDEX(Projection!$F$9:$BE$179,MATCH('7 Year Projection'!$A47,Projection!$F$9:$F$179,0),MATCH('7 Year Projection'!P$8,Projection!$F$9:$BE$9,0)),0)</f>
        <v>59909.206168302306</v>
      </c>
      <c r="Q47" s="367">
        <f t="array" ref="Q47">IFERROR(INDEX(Projection!$F$9:$BE$179,MATCH('7 Year Projection'!$A47,Projection!$F$9:$F$179,0),MATCH('7 Year Projection'!Q$8,Projection!$F$9:$BE$9,0)),0)</f>
        <v>59836.208230792923</v>
      </c>
      <c r="R47" s="368">
        <f t="array" ref="R47">IFERROR(INDEX(Projection!$F$9:$BE$179,MATCH('7 Year Projection'!$A47,Projection!$F$9:$F$179,0),MATCH('7 Year Projection'!R$8,Projection!$F$9:$BE$9,0)),0)</f>
        <v>59762.754056174104</v>
      </c>
      <c r="S47" s="365">
        <f>SUMIF(Projection!$F:$F,'7 Year Projection'!$A47,Projection!BW:BW)</f>
        <v>721902.0409118731</v>
      </c>
      <c r="T47" s="366">
        <f>SUMIF(Projection!$F:$F,'7 Year Projection'!$A47,Projection!BX:BX)</f>
        <v>711253.60639240139</v>
      </c>
      <c r="U47" s="367">
        <f>SUMIF(Projection!$F:$F,'7 Year Projection'!$A47,Projection!BY:BY)</f>
        <v>699778.50622743473</v>
      </c>
      <c r="V47" s="366">
        <f>SUMIF(Projection!$F:$F,'7 Year Projection'!$A47,Projection!BZ:BZ)</f>
        <v>687412.56421452842</v>
      </c>
      <c r="W47" s="367">
        <f>SUMIF(Projection!$F:$F,'7 Year Projection'!$A47,Projection!CA:CA)</f>
        <v>674086.62198585737</v>
      </c>
      <c r="X47" s="366">
        <f>SUMIF(Projection!$F:$F,'7 Year Projection'!$A47,Projection!CB:CB)</f>
        <v>659726.15222976939</v>
      </c>
      <c r="Y47" s="367">
        <f>SUMIF(Projection!$F:$F,'7 Year Projection'!$A47,Projection!CC:CC)</f>
        <v>644250.84188572259</v>
      </c>
      <c r="Z47" s="366">
        <f>SUMIF(Projection!$F:$F,'7 Year Projection'!$A47,Projection!CD:CD)</f>
        <v>627574.14298156393</v>
      </c>
      <c r="AA47" s="367">
        <f>SUMIF(Projection!$F:$F,'7 Year Projection'!$A47,Projection!CE:CE)</f>
        <v>609602.78860113584</v>
      </c>
      <c r="AB47" s="366">
        <f>SUMIF(Projection!$F:$F,'7 Year Projection'!$A47,Projection!CF:CF)</f>
        <v>590236.27127519262</v>
      </c>
      <c r="AC47" s="367">
        <f>SUMIF(Projection!$F:$F,'7 Year Projection'!$A47,Projection!CG:CG)</f>
        <v>569366.28087844595</v>
      </c>
      <c r="AD47" s="368">
        <f>SUMIF(Projection!$F:$F,'7 Year Projection'!$A47,Projection!CH:CH)</f>
        <v>546876.09888909943</v>
      </c>
      <c r="AE47" s="365">
        <f>SUMIF(Projection!$F:$F,'7 Year Projection'!$A47,Projection!CI:CI)</f>
        <v>522639.94562317495</v>
      </c>
      <c r="AF47" s="366">
        <f>SUMIF(Projection!$F:$F,'7 Year Projection'!$A47,Projection!CJ:CJ)</f>
        <v>496522.27679294365</v>
      </c>
      <c r="AG47" s="412">
        <f>SUMIF(Projection!$F:$F,'7 Year Projection'!$A47,Projection!CK:CK)</f>
        <v>468377.0254553603</v>
      </c>
      <c r="AH47" s="414"/>
    </row>
    <row r="48" spans="1:34" ht="14.25" hidden="1" customHeight="1" x14ac:dyDescent="0.2">
      <c r="A48" s="324" t="s">
        <v>393</v>
      </c>
      <c r="B48" s="332"/>
      <c r="C48" s="332"/>
      <c r="D48" s="361"/>
      <c r="E48" s="441"/>
      <c r="F48" s="324"/>
      <c r="G48" s="365">
        <f t="array" ref="G48">IFERROR(INDEX(Projection!$F$9:$BE$179,MATCH('7 Year Projection'!$A48,Projection!$F$9:$F$179,0),MATCH('7 Year Projection'!G$8,Projection!$F$9:$BE$9,0)),0)</f>
        <v>11042.757419803749</v>
      </c>
      <c r="H48" s="366">
        <f t="array" ref="H48">IFERROR(INDEX(Projection!$F$9:$BE$179,MATCH('7 Year Projection'!$A48,Projection!$F$9:$F$179,0),MATCH('7 Year Projection'!H$8,Projection!$F$9:$BE$9,0)),0)</f>
        <v>11111.774653677521</v>
      </c>
      <c r="I48" s="367">
        <f t="array" ref="I48">IFERROR(INDEX(Projection!$F$9:$BE$179,MATCH('7 Year Projection'!$A48,Projection!$F$9:$F$179,0),MATCH('7 Year Projection'!I$8,Projection!$F$9:$BE$9,0)),0)</f>
        <v>11181.223245263005</v>
      </c>
      <c r="J48" s="366">
        <f t="array" ref="J48">IFERROR(INDEX(Projection!$F$9:$BE$179,MATCH('7 Year Projection'!$A48,Projection!$F$9:$F$179,0),MATCH('7 Year Projection'!J$8,Projection!$F$9:$BE$9,0)),0)</f>
        <v>11251.105890545901</v>
      </c>
      <c r="K48" s="367">
        <f t="array" ref="K48">IFERROR(INDEX(Projection!$F$9:$BE$179,MATCH('7 Year Projection'!$A48,Projection!$F$9:$F$179,0),MATCH('7 Year Projection'!K$8,Projection!$F$9:$BE$9,0)),0)</f>
        <v>11321.425302361813</v>
      </c>
      <c r="L48" s="366">
        <f t="array" ref="L48">IFERROR(INDEX(Projection!$F$9:$BE$179,MATCH('7 Year Projection'!$A48,Projection!$F$9:$F$179,0),MATCH('7 Year Projection'!L$8,Projection!$F$9:$BE$9,0)),0)</f>
        <v>11392.184210501573</v>
      </c>
      <c r="M48" s="367">
        <f t="array" ref="M48">IFERROR(INDEX(Projection!$F$9:$BE$179,MATCH('7 Year Projection'!$A48,Projection!$F$9:$F$179,0),MATCH('7 Year Projection'!M$8,Projection!$F$9:$BE$9,0)),0)</f>
        <v>11463.385361817209</v>
      </c>
      <c r="N48" s="366">
        <f t="array" ref="N48">IFERROR(INDEX(Projection!$F$9:$BE$179,MATCH('7 Year Projection'!$A48,Projection!$F$9:$F$179,0),MATCH('7 Year Projection'!N$8,Projection!$F$9:$BE$9,0)),0)</f>
        <v>11535.031520328566</v>
      </c>
      <c r="O48" s="367">
        <f t="array" ref="O48">IFERROR(INDEX(Projection!$F$9:$BE$179,MATCH('7 Year Projection'!$A48,Projection!$F$9:$F$179,0),MATCH('7 Year Projection'!O$8,Projection!$F$9:$BE$9,0)),0)</f>
        <v>11607.125467330619</v>
      </c>
      <c r="P48" s="366">
        <f t="array" ref="P48">IFERROR(INDEX(Projection!$F$9:$BE$179,MATCH('7 Year Projection'!$A48,Projection!$F$9:$F$179,0),MATCH('7 Year Projection'!P$8,Projection!$F$9:$BE$9,0)),0)</f>
        <v>11679.670001501436</v>
      </c>
      <c r="Q48" s="367">
        <f t="array" ref="Q48">IFERROR(INDEX(Projection!$F$9:$BE$179,MATCH('7 Year Projection'!$A48,Projection!$F$9:$F$179,0),MATCH('7 Year Projection'!Q$8,Projection!$F$9:$BE$9,0)),0)</f>
        <v>11752.667939010817</v>
      </c>
      <c r="R48" s="368">
        <f t="array" ref="R48">IFERROR(INDEX(Projection!$F$9:$BE$179,MATCH('7 Year Projection'!$A48,Projection!$F$9:$F$179,0),MATCH('7 Year Projection'!R$8,Projection!$F$9:$BE$9,0)),0)</f>
        <v>11826.122113629635</v>
      </c>
      <c r="S48" s="365">
        <f>SUMIF(Projection!$F:$F,'7 Year Projection'!$A48,Projection!BW:BW)</f>
        <v>137164.47312577185</v>
      </c>
      <c r="T48" s="366">
        <f>SUMIF(Projection!$F:$F,'7 Year Projection'!$A48,Projection!BX:BX)</f>
        <v>147812.90764524357</v>
      </c>
      <c r="U48" s="367">
        <f>SUMIF(Projection!$F:$F,'7 Year Projection'!$A48,Projection!BY:BY)</f>
        <v>159288.00781021023</v>
      </c>
      <c r="V48" s="366">
        <f>SUMIF(Projection!$F:$F,'7 Year Projection'!$A48,Projection!BZ:BZ)</f>
        <v>171653.94982311645</v>
      </c>
      <c r="W48" s="367">
        <f>SUMIF(Projection!$F:$F,'7 Year Projection'!$A48,Projection!CA:CA)</f>
        <v>184979.89205178758</v>
      </c>
      <c r="X48" s="366">
        <f>SUMIF(Projection!$F:$F,'7 Year Projection'!$A48,Projection!CB:CB)</f>
        <v>199340.36180787574</v>
      </c>
      <c r="Y48" s="367">
        <f>SUMIF(Projection!$F:$F,'7 Year Projection'!$A48,Projection!CC:CC)</f>
        <v>214815.67215192245</v>
      </c>
      <c r="Z48" s="366">
        <f>SUMIF(Projection!$F:$F,'7 Year Projection'!$A48,Projection!CD:CD)</f>
        <v>231492.37105608115</v>
      </c>
      <c r="AA48" s="367">
        <f>SUMIF(Projection!$F:$F,'7 Year Projection'!$A48,Projection!CE:CE)</f>
        <v>249463.72543650912</v>
      </c>
      <c r="AB48" s="366">
        <f>SUMIF(Projection!$F:$F,'7 Year Projection'!$A48,Projection!CF:CF)</f>
        <v>268830.24276245246</v>
      </c>
      <c r="AC48" s="367">
        <f>SUMIF(Projection!$F:$F,'7 Year Projection'!$A48,Projection!CG:CG)</f>
        <v>289700.23315919912</v>
      </c>
      <c r="AD48" s="368">
        <f>SUMIF(Projection!$F:$F,'7 Year Projection'!$A48,Projection!CH:CH)</f>
        <v>312190.41514854558</v>
      </c>
      <c r="AE48" s="365">
        <f>SUMIF(Projection!$F:$F,'7 Year Projection'!$A48,Projection!CI:CI)</f>
        <v>336426.56841447012</v>
      </c>
      <c r="AF48" s="366">
        <f>SUMIF(Projection!$F:$F,'7 Year Projection'!$A48,Projection!CJ:CJ)</f>
        <v>362544.23724470142</v>
      </c>
      <c r="AG48" s="412">
        <f>SUMIF(Projection!$F:$F,'7 Year Projection'!$A48,Projection!CK:CK)</f>
        <v>390689.48858228471</v>
      </c>
      <c r="AH48" s="414"/>
    </row>
    <row r="49" spans="1:34" ht="14.25" hidden="1" customHeight="1" x14ac:dyDescent="0.2">
      <c r="A49" s="324" t="s">
        <v>395</v>
      </c>
      <c r="B49" s="332"/>
      <c r="C49" s="332"/>
      <c r="D49" s="361"/>
      <c r="E49" s="441"/>
      <c r="F49" s="324"/>
      <c r="G49" s="503">
        <f t="array" ref="G49">IFERROR(INDEX(Projection!$F$9:$BE$179,MATCH('7 Year Projection'!$A49,Projection!$F$9:$F$179,0),MATCH('7 Year Projection'!G$8,Projection!$F$9:$BE$9,0)),0)</f>
        <v>9676336.2425801959</v>
      </c>
      <c r="H49" s="504">
        <f t="array" ref="H49">IFERROR(INDEX(Projection!$F$9:$BE$179,MATCH('7 Year Projection'!$A49,Projection!$F$9:$F$179,0),MATCH('7 Year Projection'!H$8,Projection!$F$9:$BE$9,0)),0)</f>
        <v>9665224.467926519</v>
      </c>
      <c r="I49" s="505">
        <f t="array" ref="I49">IFERROR(INDEX(Projection!$F$9:$BE$179,MATCH('7 Year Projection'!$A49,Projection!$F$9:$F$179,0),MATCH('7 Year Projection'!I$8,Projection!$F$9:$BE$9,0)),0)</f>
        <v>9654043.2446812559</v>
      </c>
      <c r="J49" s="504">
        <f t="array" ref="J49">IFERROR(INDEX(Projection!$F$9:$BE$179,MATCH('7 Year Projection'!$A49,Projection!$F$9:$F$179,0),MATCH('7 Year Projection'!J$8,Projection!$F$9:$BE$9,0)),0)</f>
        <v>9642792.1387907099</v>
      </c>
      <c r="K49" s="505">
        <f t="array" ref="K49">IFERROR(INDEX(Projection!$F$9:$BE$179,MATCH('7 Year Projection'!$A49,Projection!$F$9:$F$179,0),MATCH('7 Year Projection'!K$8,Projection!$F$9:$BE$9,0)),0)</f>
        <v>9631470.7134883478</v>
      </c>
      <c r="L49" s="504">
        <f t="array" ref="L49">IFERROR(INDEX(Projection!$F$9:$BE$179,MATCH('7 Year Projection'!$A49,Projection!$F$9:$F$179,0),MATCH('7 Year Projection'!L$8,Projection!$F$9:$BE$9,0)),0)</f>
        <v>9620078.5292778462</v>
      </c>
      <c r="M49" s="505">
        <f t="array" ref="M49">IFERROR(INDEX(Projection!$F$9:$BE$179,MATCH('7 Year Projection'!$A49,Projection!$F$9:$F$179,0),MATCH('7 Year Projection'!M$8,Projection!$F$9:$BE$9,0)),0)</f>
        <v>9608615.1439160295</v>
      </c>
      <c r="N49" s="504">
        <f t="array" ref="N49">IFERROR(INDEX(Projection!$F$9:$BE$179,MATCH('7 Year Projection'!$A49,Projection!$F$9:$F$179,0),MATCH('7 Year Projection'!N$8,Projection!$F$9:$BE$9,0)),0)</f>
        <v>9597080.1123957001</v>
      </c>
      <c r="O49" s="505">
        <f t="array" ref="O49">IFERROR(INDEX(Projection!$F$9:$BE$179,MATCH('7 Year Projection'!$A49,Projection!$F$9:$F$179,0),MATCH('7 Year Projection'!O$8,Projection!$F$9:$BE$9,0)),0)</f>
        <v>9585472.9869283698</v>
      </c>
      <c r="P49" s="504">
        <f t="array" ref="P49">IFERROR(INDEX(Projection!$F$9:$BE$179,MATCH('7 Year Projection'!$A49,Projection!$F$9:$F$179,0),MATCH('7 Year Projection'!P$8,Projection!$F$9:$BE$9,0)),0)</f>
        <v>9573793.3169268686</v>
      </c>
      <c r="Q49" s="505">
        <f t="array" ref="Q49">IFERROR(INDEX(Projection!$F$9:$BE$179,MATCH('7 Year Projection'!$A49,Projection!$F$9:$F$179,0),MATCH('7 Year Projection'!Q$8,Projection!$F$9:$BE$9,0)),0)</f>
        <v>9562040.6489878576</v>
      </c>
      <c r="R49" s="506">
        <f t="array" ref="R49">IFERROR(INDEX(Projection!$F$9:$BE$179,MATCH('7 Year Projection'!$A49,Projection!$F$9:$F$179,0),MATCH('7 Year Projection'!R$8,Projection!$F$9:$BE$9,0)),0)</f>
        <v>9550214.5268742274</v>
      </c>
      <c r="S49" s="507">
        <f>SUMIF(Projection!$F:$F,'7 Year Projection'!$A49,Projection!BW:BW)</f>
        <v>9550214.5268742274</v>
      </c>
      <c r="T49" s="508">
        <f>SUMIF(Projection!$F:$F,'7 Year Projection'!$A49,Projection!BX:BX)</f>
        <v>9402401.6192289833</v>
      </c>
      <c r="U49" s="509">
        <f>SUMIF(Projection!$F:$F,'7 Year Projection'!$A49,Projection!BY:BY)</f>
        <v>9243113.6114187725</v>
      </c>
      <c r="V49" s="508">
        <f>SUMIF(Projection!$F:$F,'7 Year Projection'!$A49,Projection!BZ:BZ)</f>
        <v>9071459.6615956556</v>
      </c>
      <c r="W49" s="509">
        <f>SUMIF(Projection!$F:$F,'7 Year Projection'!$A49,Projection!CA:CA)</f>
        <v>8886479.7695438676</v>
      </c>
      <c r="X49" s="508">
        <f>SUMIF(Projection!$F:$F,'7 Year Projection'!$A49,Projection!CB:CB)</f>
        <v>8687139.4077359922</v>
      </c>
      <c r="Y49" s="509">
        <f>SUMIF(Projection!$F:$F,'7 Year Projection'!$A49,Projection!CC:CC)</f>
        <v>8472323.735584069</v>
      </c>
      <c r="Z49" s="508">
        <f>SUMIF(Projection!$F:$F,'7 Year Projection'!$A49,Projection!CD:CD)</f>
        <v>8240831.3645279882</v>
      </c>
      <c r="AA49" s="509">
        <f>SUMIF(Projection!$F:$F,'7 Year Projection'!$A49,Projection!CE:CE)</f>
        <v>7991367.6390914787</v>
      </c>
      <c r="AB49" s="508">
        <f>SUMIF(Projection!$F:$F,'7 Year Projection'!$A49,Projection!CF:CF)</f>
        <v>7722537.3963290267</v>
      </c>
      <c r="AC49" s="509">
        <f>SUMIF(Projection!$F:$F,'7 Year Projection'!$A49,Projection!CG:CG)</f>
        <v>7432837.1631698273</v>
      </c>
      <c r="AD49" s="510">
        <f>SUMIF(Projection!$F:$F,'7 Year Projection'!$A49,Projection!CH:CH)</f>
        <v>7120646.7480212813</v>
      </c>
      <c r="AE49" s="507">
        <f>SUMIF(Projection!$F:$F,'7 Year Projection'!$A49,Projection!CI:CI)</f>
        <v>6784220.1796068111</v>
      </c>
      <c r="AF49" s="508">
        <f>SUMIF(Projection!$F:$F,'7 Year Projection'!$A49,Projection!CJ:CJ)</f>
        <v>6421675.9423621101</v>
      </c>
      <c r="AG49" s="511">
        <f>SUMIF(Projection!$F:$F,'7 Year Projection'!$A49,Projection!CK:CK)</f>
        <v>6030986.453779825</v>
      </c>
      <c r="AH49" s="512"/>
    </row>
    <row r="50" spans="1:34" ht="14.25" customHeight="1" x14ac:dyDescent="0.2">
      <c r="A50" s="305"/>
      <c r="B50" s="332"/>
      <c r="C50" s="364" t="s">
        <v>429</v>
      </c>
      <c r="D50" s="361"/>
      <c r="E50" s="441"/>
      <c r="F50" s="409"/>
      <c r="G50" s="513">
        <f t="shared" ref="G50:R50" si="14">G40/G42</f>
        <v>-0.38827924709983708</v>
      </c>
      <c r="H50" s="513">
        <f t="shared" si="14"/>
        <v>-0.36144254370490297</v>
      </c>
      <c r="I50" s="514">
        <f t="shared" si="14"/>
        <v>-0.31115090125584954</v>
      </c>
      <c r="J50" s="513">
        <f t="shared" si="14"/>
        <v>-0.17201326423765775</v>
      </c>
      <c r="K50" s="514">
        <f t="shared" si="14"/>
        <v>-4.2026775328851802E-2</v>
      </c>
      <c r="L50" s="513">
        <f t="shared" si="14"/>
        <v>6.3180028419462839E-2</v>
      </c>
      <c r="M50" s="514">
        <f t="shared" si="14"/>
        <v>0.13984658497819896</v>
      </c>
      <c r="N50" s="513">
        <f t="shared" si="14"/>
        <v>0.20089724122211022</v>
      </c>
      <c r="O50" s="514">
        <f t="shared" si="14"/>
        <v>0.23533832560875059</v>
      </c>
      <c r="P50" s="513">
        <f t="shared" si="14"/>
        <v>0.32016430457050543</v>
      </c>
      <c r="Q50" s="514">
        <f t="shared" si="14"/>
        <v>0.38342741862601071</v>
      </c>
      <c r="R50" s="515">
        <f t="shared" si="14"/>
        <v>0.39658495452939302</v>
      </c>
      <c r="S50" s="516">
        <f t="shared" ref="S50:AG50" si="15">IFERROR(S40/S42,"")</f>
        <v>3.8710496558627079E-2</v>
      </c>
      <c r="T50" s="517">
        <f t="shared" si="15"/>
        <v>0.8457533564968619</v>
      </c>
      <c r="U50" s="517">
        <f t="shared" si="15"/>
        <v>1.6215832093113693</v>
      </c>
      <c r="V50" s="517">
        <f t="shared" si="15"/>
        <v>1.9432841090134176</v>
      </c>
      <c r="W50" s="517">
        <f t="shared" si="15"/>
        <v>2.0128656782266616</v>
      </c>
      <c r="X50" s="517">
        <f t="shared" si="15"/>
        <v>2.0993558620753374</v>
      </c>
      <c r="Y50" s="517">
        <f t="shared" si="15"/>
        <v>2.1894385241241512</v>
      </c>
      <c r="Z50" s="517">
        <f t="shared" si="15"/>
        <v>2.2832605200915479</v>
      </c>
      <c r="AA50" s="517">
        <f t="shared" si="15"/>
        <v>2.38097465718766</v>
      </c>
      <c r="AB50" s="517">
        <f t="shared" si="15"/>
        <v>2.4827399340890359</v>
      </c>
      <c r="AC50" s="517">
        <f t="shared" si="15"/>
        <v>2.5887217905600637</v>
      </c>
      <c r="AD50" s="518">
        <f t="shared" si="15"/>
        <v>2.6990923671081521</v>
      </c>
      <c r="AE50" s="517">
        <f t="shared" si="15"/>
        <v>3.124564337423283</v>
      </c>
      <c r="AF50" s="517">
        <f t="shared" si="15"/>
        <v>3.2554858354389702</v>
      </c>
      <c r="AG50" s="518">
        <f t="shared" si="15"/>
        <v>3.3917926664882541</v>
      </c>
      <c r="AH50" s="519"/>
    </row>
    <row r="51" spans="1:34" ht="14.25" customHeight="1" x14ac:dyDescent="0.2">
      <c r="A51" s="305"/>
      <c r="B51" s="332"/>
      <c r="C51" s="364" t="s">
        <v>430</v>
      </c>
      <c r="D51" s="361"/>
      <c r="E51" s="441"/>
      <c r="F51" s="409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520"/>
      <c r="S51" s="521">
        <f>S$40/(Inputs!$C$45*(1+Inputs!$C$34))</f>
        <v>2.1455036583738251E-3</v>
      </c>
      <c r="T51" s="522">
        <f>T$40/(Inputs!$C$45*(1+Inputs!$C$34))</f>
        <v>4.687532017828281E-2</v>
      </c>
      <c r="U51" s="522">
        <f>U$40/(Inputs!$C$45*(1+Inputs!$C$34))</f>
        <v>8.9875176430919496E-2</v>
      </c>
      <c r="V51" s="522">
        <f>V$40/(Inputs!$C$45*(1+Inputs!$C$34))</f>
        <v>0.1077052359386184</v>
      </c>
      <c r="W51" s="522">
        <f>W$40/(Inputs!$C$45*(1+Inputs!$C$34))</f>
        <v>0.11156174837256025</v>
      </c>
      <c r="X51" s="522">
        <f>X$40/(Inputs!$C$45*(1+Inputs!$C$34))</f>
        <v>0.11635540958482909</v>
      </c>
      <c r="Y51" s="522">
        <f>Y$40/(Inputs!$C$45*(1+Inputs!$C$34))</f>
        <v>0.12134818152432285</v>
      </c>
      <c r="Z51" s="522">
        <f>Z$40/(Inputs!$C$45*(1+Inputs!$C$34))</f>
        <v>0.12654820357206698</v>
      </c>
      <c r="AA51" s="522">
        <f>AA$40/(Inputs!$C$45*(1+Inputs!$C$34))</f>
        <v>0.13196394496657585</v>
      </c>
      <c r="AB51" s="522">
        <f>AB$40/(Inputs!$C$45*(1+Inputs!$C$34))</f>
        <v>0.13760421810429327</v>
      </c>
      <c r="AC51" s="522">
        <f>AC$40/(Inputs!$C$45*(1+Inputs!$C$34))</f>
        <v>0.14347819237469472</v>
      </c>
      <c r="AD51" s="523">
        <f>AD$40/(Inputs!$C$45*(1+Inputs!$C$34))</f>
        <v>0.14959540855150394</v>
      </c>
      <c r="AE51" s="522">
        <f>AE$40/(Inputs!$C$45*(1+Inputs!$C$34))</f>
        <v>0.17317691098622778</v>
      </c>
      <c r="AF51" s="522">
        <f>AF$40/(Inputs!$C$45*(1+Inputs!$C$34))</f>
        <v>0.18043314838754934</v>
      </c>
      <c r="AG51" s="523">
        <f>AG$40/(Inputs!$C$45*(1+Inputs!$C$34))</f>
        <v>0.18798786430897052</v>
      </c>
      <c r="AH51" s="397"/>
    </row>
    <row r="52" spans="1:34" ht="14.25" customHeight="1" x14ac:dyDescent="0.2">
      <c r="A52" s="305"/>
      <c r="B52" s="332"/>
      <c r="C52" s="364" t="s">
        <v>431</v>
      </c>
      <c r="D52" s="361"/>
      <c r="E52" s="441"/>
      <c r="F52" s="409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520"/>
      <c r="S52" s="524">
        <f>(S$44/(Inputs!$C$45-Inputs!$C$46))*100</f>
        <v>-15.547449278563771</v>
      </c>
      <c r="T52" s="525">
        <f>(T$44/(Inputs!$C$45-Inputs!$C$46))*100</f>
        <v>-2.2492044013013897</v>
      </c>
      <c r="U52" s="525">
        <f>(U$44/(Inputs!$C$45-Inputs!$C$46))*100</f>
        <v>10.5351726243266</v>
      </c>
      <c r="V52" s="525">
        <f>(V$44/(Inputs!$C$45-Inputs!$C$46))*100</f>
        <v>15.840706253508486</v>
      </c>
      <c r="W52" s="525">
        <f>(W$44/(Inputs!$C$45-Inputs!$C$46))*100</f>
        <v>16.994286650874905</v>
      </c>
      <c r="X52" s="525">
        <f>(X$44/(Inputs!$C$45-Inputs!$C$46))*100</f>
        <v>18.426525245654805</v>
      </c>
      <c r="Y52" s="525">
        <f>(Y$44/(Inputs!$C$45-Inputs!$C$46))*100</f>
        <v>19.918124080959888</v>
      </c>
      <c r="Z52" s="525">
        <f>(Z$44/(Inputs!$C$45-Inputs!$C$46))*100</f>
        <v>21.471506613477189</v>
      </c>
      <c r="AA52" s="525">
        <f>(AA$44/(Inputs!$C$45-Inputs!$C$46))*100</f>
        <v>23.089194437134264</v>
      </c>
      <c r="AB52" s="525">
        <f>(AB$44/(Inputs!$C$45-Inputs!$C$46))*100</f>
        <v>24.773811238291248</v>
      </c>
      <c r="AC52" s="525">
        <f>(AC$44/(Inputs!$C$45-Inputs!$C$46))*100</f>
        <v>26.528086909880226</v>
      </c>
      <c r="AD52" s="526">
        <f>(AD$44/(Inputs!$C$45-Inputs!$C$46))*100</f>
        <v>28.354861830868533</v>
      </c>
      <c r="AE52" s="527">
        <f>(AE$44/(Inputs!$C$45-Inputs!$C$46))*100</f>
        <v>30.257091317677858</v>
      </c>
      <c r="AF52" s="527">
        <f>(AF$44/(Inputs!$C$45-Inputs!$C$46))*100</f>
        <v>32.237850254456724</v>
      </c>
      <c r="AG52" s="528">
        <f>(AG$44/(Inputs!$C$45-Inputs!$C$46))*100</f>
        <v>34.30033790938041</v>
      </c>
      <c r="AH52" s="529"/>
    </row>
    <row r="53" spans="1:34" ht="14.25" customHeight="1" x14ac:dyDescent="0.2">
      <c r="A53" s="305"/>
      <c r="B53" s="332"/>
      <c r="C53" s="364" t="s">
        <v>432</v>
      </c>
      <c r="D53" s="361"/>
      <c r="E53" s="441"/>
      <c r="F53" s="409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520"/>
      <c r="S53" s="530">
        <f>S44/Inputs!$C$55</f>
        <v>-0.14853377245552057</v>
      </c>
      <c r="T53" s="527">
        <f>T44/Inputs!$C$55</f>
        <v>-2.1487950130152644E-2</v>
      </c>
      <c r="U53" s="527">
        <f>U44/Inputs!$C$55</f>
        <v>0.10064859549140856</v>
      </c>
      <c r="V53" s="527">
        <f>V44/Inputs!$C$55</f>
        <v>0.15133542589763788</v>
      </c>
      <c r="W53" s="527">
        <f>W44/Inputs!$C$55</f>
        <v>0.16235624643106245</v>
      </c>
      <c r="X53" s="527">
        <f>X44/Inputs!$C$55</f>
        <v>0.17603924984387073</v>
      </c>
      <c r="Y53" s="527">
        <f>Y44/Inputs!$C$55</f>
        <v>0.19028935595636301</v>
      </c>
      <c r="Z53" s="527">
        <f>Z44/Inputs!$C$55</f>
        <v>0.20512971745150715</v>
      </c>
      <c r="AA53" s="527">
        <f>AA44/Inputs!$C$55</f>
        <v>0.22058442457407273</v>
      </c>
      <c r="AB53" s="527">
        <f>AB44/Inputs!$C$55</f>
        <v>0.23667854291686713</v>
      </c>
      <c r="AC53" s="527">
        <f>AC44/Inputs!$C$55</f>
        <v>0.25343815272548803</v>
      </c>
      <c r="AD53" s="528">
        <f>AD44/Inputs!$C$55</f>
        <v>0.27089038978251051</v>
      </c>
      <c r="AE53" s="525"/>
      <c r="AF53" s="525"/>
      <c r="AG53" s="525"/>
      <c r="AH53" s="529"/>
    </row>
  </sheetData>
  <mergeCells count="3">
    <mergeCell ref="B1:F7"/>
    <mergeCell ref="J3:R6"/>
    <mergeCell ref="V3:AD6"/>
  </mergeCells>
  <conditionalFormatting sqref="A44 C44:D44 F44:AH44">
    <cfRule type="cellIs" dxfId="6" priority="2" operator="greaterThan">
      <formula>0</formula>
    </cfRule>
    <cfRule type="cellIs" dxfId="5" priority="3" operator="lessThanOrEqual">
      <formula>0</formula>
    </cfRule>
  </conditionalFormatting>
  <conditionalFormatting sqref="F16:R16">
    <cfRule type="cellIs" dxfId="4" priority="1" stopIfTrue="1" operator="greaterThan">
      <formula>1</formula>
    </cfRule>
  </conditionalFormatting>
  <pageMargins left="0.25" right="0.25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1000"/>
  <sheetViews>
    <sheetView showGridLines="0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I10" sqref="I10"/>
    </sheetView>
  </sheetViews>
  <sheetFormatPr baseColWidth="10" defaultColWidth="14.5" defaultRowHeight="15" customHeight="1" outlineLevelCol="1" x14ac:dyDescent="0.2"/>
  <cols>
    <col min="1" max="2" width="9.33203125" customWidth="1" outlineLevel="1"/>
    <col min="3" max="6" width="2.6640625" customWidth="1"/>
    <col min="7" max="7" width="21.6640625" customWidth="1"/>
    <col min="8" max="8" width="12.6640625" customWidth="1"/>
    <col min="9" max="18" width="10.33203125" customWidth="1"/>
    <col min="19" max="19" width="11.33203125" customWidth="1"/>
    <col min="20" max="20" width="10.33203125" customWidth="1"/>
    <col min="21" max="21" width="1.5" customWidth="1"/>
    <col min="22" max="36" width="12.33203125" customWidth="1"/>
  </cols>
  <sheetData>
    <row r="1" spans="1:36" ht="14.25" hidden="1" customHeight="1" x14ac:dyDescent="0.25">
      <c r="C1" s="870"/>
      <c r="D1" s="862"/>
      <c r="E1" s="862"/>
      <c r="F1" s="862"/>
      <c r="G1" s="862"/>
      <c r="H1" s="850"/>
      <c r="I1" s="307"/>
      <c r="J1" s="308"/>
      <c r="K1" s="308"/>
      <c r="L1" s="308"/>
      <c r="M1" s="309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</row>
    <row r="2" spans="1:36" ht="6" hidden="1" customHeight="1" x14ac:dyDescent="0.2">
      <c r="C2" s="871"/>
      <c r="D2" s="862"/>
      <c r="E2" s="862"/>
      <c r="F2" s="862"/>
      <c r="G2" s="862"/>
      <c r="H2" s="850"/>
    </row>
    <row r="3" spans="1:36" ht="15" customHeight="1" x14ac:dyDescent="0.2">
      <c r="C3" s="871"/>
      <c r="D3" s="862"/>
      <c r="E3" s="862"/>
      <c r="F3" s="862"/>
      <c r="G3" s="862"/>
      <c r="H3" s="850"/>
      <c r="I3" s="872"/>
      <c r="J3" s="862"/>
      <c r="K3" s="862"/>
      <c r="L3" s="873" t="str">
        <f>CONCATENATE(Inputs!C3," ",Inputs!C4,", ",Inputs!C5," ",Inputs!C6)</f>
        <v>250 Dolson Avenue Middletown, New York 10940</v>
      </c>
      <c r="M3" s="862"/>
      <c r="N3" s="862"/>
      <c r="O3" s="862"/>
      <c r="P3" s="862"/>
      <c r="Q3" s="862"/>
      <c r="R3" s="862"/>
      <c r="S3" s="862"/>
      <c r="T3" s="862"/>
      <c r="U3" s="862"/>
    </row>
    <row r="4" spans="1:36" ht="14.25" customHeight="1" x14ac:dyDescent="0.2">
      <c r="C4" s="871"/>
      <c r="D4" s="862"/>
      <c r="E4" s="862"/>
      <c r="F4" s="862"/>
      <c r="G4" s="862"/>
      <c r="H4" s="850"/>
      <c r="J4" s="531" t="s">
        <v>433</v>
      </c>
      <c r="K4" s="532">
        <f>Projection!H3</f>
        <v>105807</v>
      </c>
      <c r="L4" s="862"/>
      <c r="M4" s="862"/>
      <c r="N4" s="862"/>
      <c r="O4" s="862"/>
      <c r="P4" s="862"/>
      <c r="Q4" s="862"/>
      <c r="R4" s="862"/>
      <c r="S4" s="862"/>
      <c r="T4" s="862"/>
      <c r="U4" s="862"/>
      <c r="V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</row>
    <row r="5" spans="1:36" ht="14.25" customHeight="1" x14ac:dyDescent="0.2">
      <c r="C5" s="871"/>
      <c r="D5" s="862"/>
      <c r="E5" s="862"/>
      <c r="F5" s="862"/>
      <c r="G5" s="862"/>
      <c r="H5" s="850"/>
      <c r="J5" s="531" t="s">
        <v>434</v>
      </c>
      <c r="K5" s="532">
        <f>Projection!H4</f>
        <v>684</v>
      </c>
      <c r="L5" s="862"/>
      <c r="M5" s="862"/>
      <c r="N5" s="862"/>
      <c r="O5" s="862"/>
      <c r="P5" s="862"/>
      <c r="Q5" s="862"/>
      <c r="R5" s="862"/>
      <c r="S5" s="862"/>
      <c r="T5" s="862"/>
      <c r="U5" s="862"/>
    </row>
    <row r="6" spans="1:36" ht="14.25" customHeight="1" x14ac:dyDescent="0.2">
      <c r="C6" s="871"/>
      <c r="D6" s="862"/>
      <c r="E6" s="862"/>
      <c r="F6" s="862"/>
      <c r="G6" s="862"/>
      <c r="H6" s="850"/>
      <c r="L6" s="862"/>
      <c r="M6" s="862"/>
      <c r="N6" s="862"/>
      <c r="O6" s="862"/>
      <c r="P6" s="862"/>
      <c r="Q6" s="862"/>
      <c r="R6" s="862"/>
      <c r="S6" s="862"/>
      <c r="T6" s="862"/>
      <c r="U6" s="862"/>
    </row>
    <row r="7" spans="1:36" ht="6" customHeight="1" x14ac:dyDescent="0.2">
      <c r="C7" s="871"/>
      <c r="D7" s="862"/>
      <c r="E7" s="862"/>
      <c r="F7" s="862"/>
      <c r="G7" s="862"/>
      <c r="H7" s="850"/>
      <c r="I7" s="49"/>
      <c r="J7" s="533"/>
      <c r="K7" s="534"/>
      <c r="L7" s="49"/>
      <c r="M7" s="49"/>
      <c r="N7" s="49"/>
      <c r="O7" s="49"/>
      <c r="P7" s="49"/>
      <c r="Q7" s="49"/>
      <c r="R7" s="49"/>
      <c r="S7" s="49"/>
      <c r="T7" s="49"/>
      <c r="V7" s="535"/>
      <c r="W7" s="535"/>
      <c r="X7" s="535"/>
      <c r="Y7" s="535"/>
      <c r="Z7" s="535"/>
      <c r="AA7" s="535"/>
      <c r="AB7" s="535"/>
      <c r="AC7" s="535"/>
      <c r="AD7" s="535"/>
      <c r="AE7" s="535"/>
      <c r="AF7" s="535"/>
      <c r="AG7" s="535"/>
      <c r="AH7" s="535"/>
      <c r="AI7" s="535"/>
      <c r="AJ7" s="535"/>
    </row>
    <row r="8" spans="1:36" ht="14.25" customHeight="1" x14ac:dyDescent="0.2">
      <c r="A8" s="11" t="s">
        <v>435</v>
      </c>
      <c r="C8" s="536"/>
      <c r="D8" s="536"/>
      <c r="E8" s="536"/>
      <c r="F8" s="536"/>
      <c r="G8" s="536"/>
      <c r="H8" s="536"/>
      <c r="I8" s="537">
        <f>EOMONTH(Inputs!$C$9,0)</f>
        <v>46053</v>
      </c>
      <c r="J8" s="538">
        <f t="shared" ref="J8:T8" si="0">EOMONTH(I8,1)</f>
        <v>46081</v>
      </c>
      <c r="K8" s="538">
        <f t="shared" si="0"/>
        <v>46112</v>
      </c>
      <c r="L8" s="538">
        <f t="shared" si="0"/>
        <v>46142</v>
      </c>
      <c r="M8" s="538">
        <f t="shared" si="0"/>
        <v>46173</v>
      </c>
      <c r="N8" s="538">
        <f t="shared" si="0"/>
        <v>46203</v>
      </c>
      <c r="O8" s="538">
        <f t="shared" si="0"/>
        <v>46234</v>
      </c>
      <c r="P8" s="538">
        <f t="shared" si="0"/>
        <v>46265</v>
      </c>
      <c r="Q8" s="538">
        <f t="shared" si="0"/>
        <v>46295</v>
      </c>
      <c r="R8" s="538">
        <f t="shared" si="0"/>
        <v>46326</v>
      </c>
      <c r="S8" s="538">
        <f t="shared" si="0"/>
        <v>46356</v>
      </c>
      <c r="T8" s="539">
        <f t="shared" si="0"/>
        <v>46387</v>
      </c>
      <c r="V8" s="329" t="s">
        <v>81</v>
      </c>
      <c r="W8" s="330" t="s">
        <v>135</v>
      </c>
      <c r="X8" s="330" t="s">
        <v>138</v>
      </c>
      <c r="Y8" s="330" t="s">
        <v>400</v>
      </c>
      <c r="Z8" s="330" t="s">
        <v>401</v>
      </c>
      <c r="AA8" s="330" t="s">
        <v>402</v>
      </c>
      <c r="AB8" s="330" t="s">
        <v>403</v>
      </c>
      <c r="AC8" s="330" t="s">
        <v>404</v>
      </c>
      <c r="AD8" s="330" t="s">
        <v>405</v>
      </c>
      <c r="AE8" s="330" t="s">
        <v>406</v>
      </c>
      <c r="AF8" s="330" t="s">
        <v>407</v>
      </c>
      <c r="AG8" s="330" t="s">
        <v>408</v>
      </c>
      <c r="AH8" s="330" t="s">
        <v>409</v>
      </c>
      <c r="AI8" s="330" t="s">
        <v>410</v>
      </c>
      <c r="AJ8" s="330" t="s">
        <v>411</v>
      </c>
    </row>
    <row r="9" spans="1:36" ht="5.25" customHeight="1" x14ac:dyDescent="0.2"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V9" s="535"/>
      <c r="W9" s="535"/>
      <c r="X9" s="535"/>
      <c r="Y9" s="535"/>
      <c r="Z9" s="535"/>
      <c r="AA9" s="535"/>
      <c r="AB9" s="535"/>
      <c r="AC9" s="535"/>
      <c r="AD9" s="535"/>
      <c r="AE9" s="535"/>
      <c r="AF9" s="535"/>
      <c r="AG9" s="535"/>
      <c r="AH9" s="535"/>
      <c r="AI9" s="535"/>
      <c r="AJ9" s="535"/>
    </row>
    <row r="10" spans="1:36" ht="14.25" customHeight="1" x14ac:dyDescent="0.2"/>
    <row r="11" spans="1:36" ht="14.25" customHeight="1" x14ac:dyDescent="0.2">
      <c r="A11" s="285"/>
      <c r="B11" s="285"/>
      <c r="C11" s="540" t="s">
        <v>436</v>
      </c>
      <c r="D11" s="541"/>
      <c r="E11" s="541"/>
      <c r="F11" s="541"/>
      <c r="G11" s="541"/>
      <c r="H11" s="541"/>
      <c r="I11" s="542"/>
      <c r="J11" s="541"/>
      <c r="K11" s="543"/>
      <c r="L11" s="541"/>
      <c r="M11" s="543"/>
      <c r="N11" s="541"/>
      <c r="O11" s="543"/>
      <c r="P11" s="541"/>
      <c r="Q11" s="543"/>
      <c r="R11" s="541"/>
      <c r="S11" s="543"/>
      <c r="T11" s="544"/>
      <c r="U11" s="285"/>
      <c r="V11" s="545"/>
      <c r="W11" s="541"/>
      <c r="X11" s="543"/>
      <c r="Y11" s="541"/>
      <c r="Z11" s="543"/>
      <c r="AA11" s="541"/>
      <c r="AB11" s="543"/>
      <c r="AC11" s="541"/>
      <c r="AD11" s="543"/>
      <c r="AE11" s="541"/>
      <c r="AF11" s="543"/>
      <c r="AG11" s="541"/>
      <c r="AH11" s="543"/>
      <c r="AI11" s="541"/>
      <c r="AJ11" s="546"/>
    </row>
    <row r="12" spans="1:36" ht="6" customHeight="1" x14ac:dyDescent="0.2">
      <c r="C12" s="9"/>
      <c r="H12" s="29"/>
      <c r="I12" s="547"/>
      <c r="J12" s="548"/>
      <c r="K12" s="547"/>
      <c r="L12" s="548"/>
      <c r="M12" s="547"/>
      <c r="N12" s="548"/>
      <c r="O12" s="547"/>
      <c r="P12" s="548"/>
      <c r="Q12" s="547"/>
      <c r="R12" s="548"/>
      <c r="S12" s="547"/>
      <c r="T12" s="549"/>
      <c r="V12" s="550"/>
      <c r="W12" s="548"/>
      <c r="X12" s="547"/>
      <c r="Y12" s="548"/>
      <c r="Z12" s="547"/>
      <c r="AA12" s="548"/>
      <c r="AB12" s="547"/>
      <c r="AC12" s="548"/>
      <c r="AD12" s="547"/>
      <c r="AE12" s="548"/>
      <c r="AF12" s="547"/>
      <c r="AG12" s="548"/>
      <c r="AH12" s="547"/>
      <c r="AI12" s="548"/>
      <c r="AJ12" s="551"/>
    </row>
    <row r="13" spans="1:36" ht="14.25" customHeight="1" x14ac:dyDescent="0.2">
      <c r="A13" s="11" t="s">
        <v>301</v>
      </c>
      <c r="C13" s="9"/>
      <c r="D13" s="11"/>
      <c r="E13" s="552" t="s">
        <v>437</v>
      </c>
      <c r="F13" s="553"/>
      <c r="G13" s="553"/>
      <c r="H13" s="554"/>
      <c r="I13" s="555">
        <f t="array" ref="I13">IFERROR(INDEX(Projection!$B$9:$BE$196,MATCH('7 Year Projection-Expanded'!$A13,Projection!$B$9:$B$196,0),MATCH('7 Year Projection-Expanded'!I$8,Projection!$B$9:$BE$9,0)),0)</f>
        <v>14.925849367610109</v>
      </c>
      <c r="J13" s="556">
        <f t="array" ref="J13">IFERROR(INDEX(Projection!$B$9:$BE$196,MATCH('7 Year Projection-Expanded'!$A13,Projection!$B$9:$B$196,0),MATCH('7 Year Projection-Expanded'!J$8,Projection!$B$9:$BE$9,0)),0)</f>
        <v>14.745786761557836</v>
      </c>
      <c r="K13" s="555">
        <f t="array" ref="K13">IFERROR(INDEX(Projection!$B$9:$BE$196,MATCH('7 Year Projection-Expanded'!$A13,Projection!$B$9:$B$196,0),MATCH('7 Year Projection-Expanded'!K$8,Projection!$B$9:$BE$9,0)),0)</f>
        <v>21.810252620146763</v>
      </c>
      <c r="L13" s="556">
        <f t="array" ref="L13">IFERROR(INDEX(Projection!$B$9:$BE$196,MATCH('7 Year Projection-Expanded'!$A13,Projection!$B$9:$B$196,0),MATCH('7 Year Projection-Expanded'!L$8,Projection!$B$9:$BE$9,0)),0)</f>
        <v>23.883929222909323</v>
      </c>
      <c r="M13" s="555">
        <f t="array" ref="M13">IFERROR(INDEX(Projection!$B$9:$BE$196,MATCH('7 Year Projection-Expanded'!$A13,Projection!$B$9:$B$196,0),MATCH('7 Year Projection-Expanded'!M$8,Projection!$B$9:$BE$9,0)),0)</f>
        <v>36.709849789672333</v>
      </c>
      <c r="N13" s="556">
        <f t="array" ref="N13">IFERROR(INDEX(Projection!$B$9:$BE$196,MATCH('7 Year Projection-Expanded'!$A13,Projection!$B$9:$B$196,0),MATCH('7 Year Projection-Expanded'!N$8,Projection!$B$9:$BE$9,0)),0)</f>
        <v>34.292549426628845</v>
      </c>
      <c r="O13" s="555">
        <f t="array" ref="O13">IFERROR(INDEX(Projection!$B$9:$BE$196,MATCH('7 Year Projection-Expanded'!$A13,Projection!$B$9:$B$196,0),MATCH('7 Year Projection-Expanded'!O$8,Projection!$B$9:$BE$9,0)),0)</f>
        <v>33.833200071911101</v>
      </c>
      <c r="P13" s="556">
        <f t="array" ref="P13">IFERROR(INDEX(Projection!$B$9:$BE$196,MATCH('7 Year Projection-Expanded'!$A13,Projection!$B$9:$B$196,0),MATCH('7 Year Projection-Expanded'!P$8,Projection!$B$9:$BE$9,0)),0)</f>
        <v>32.233434189666653</v>
      </c>
      <c r="Q13" s="555">
        <f t="array" ref="Q13">IFERROR(INDEX(Projection!$B$9:$BE$196,MATCH('7 Year Projection-Expanded'!$A13,Projection!$B$9:$B$196,0),MATCH('7 Year Projection-Expanded'!Q$8,Projection!$B$9:$BE$9,0)),0)</f>
        <v>30.460308770243216</v>
      </c>
      <c r="R13" s="556">
        <f t="array" ref="R13">IFERROR(INDEX(Projection!$B$9:$BE$196,MATCH('7 Year Projection-Expanded'!$A13,Projection!$B$9:$B$196,0),MATCH('7 Year Projection-Expanded'!R$8,Projection!$B$9:$BE$9,0)),0)</f>
        <v>31.18532948884496</v>
      </c>
      <c r="S13" s="555">
        <f t="array" ref="S13">IFERROR(INDEX(Projection!$B$9:$BE$196,MATCH('7 Year Projection-Expanded'!$A13,Projection!$B$9:$B$196,0),MATCH('7 Year Projection-Expanded'!S$8,Projection!$B$9:$BE$9,0)),0)</f>
        <v>30.733388749212899</v>
      </c>
      <c r="T13" s="557">
        <f t="array" ref="T13">IFERROR(INDEX(Projection!$B$9:$BE$196,MATCH('7 Year Projection-Expanded'!$A13,Projection!$B$9:$B$196,0),MATCH('7 Year Projection-Expanded'!T$8,Projection!$B$9:$BE$9,0)),0)</f>
        <v>28.758353597029124</v>
      </c>
      <c r="V13" s="558">
        <f t="shared" ref="V13:V14" si="1">SUM(I13:T13)</f>
        <v>333.57223205543312</v>
      </c>
      <c r="W13" s="556">
        <f>SUMIF(Projection!$B:$B,'7 Year Projection-Expanded'!$A13,Projection!BX:BX)</f>
        <v>551.64634803271122</v>
      </c>
      <c r="X13" s="555">
        <f>SUMIF(Projection!$B:$B,'7 Year Projection-Expanded'!$A13,Projection!BY:BY)</f>
        <v>606.19768263364972</v>
      </c>
      <c r="Y13" s="556">
        <f>SUMIF(Projection!$B:$B,'7 Year Projection-Expanded'!$A13,Projection!BZ:BZ)</f>
        <v>443.29988264005294</v>
      </c>
      <c r="Z13" s="555">
        <f>SUMIF(Projection!$B:$B,'7 Year Projection-Expanded'!$A13,Projection!CA:CA)</f>
        <v>414.61603989404585</v>
      </c>
      <c r="AA13" s="556">
        <f>SUMIF(Projection!$B:$B,'7 Year Projection-Expanded'!$A13,Projection!CB:CB)</f>
        <v>414.61603989404585</v>
      </c>
      <c r="AB13" s="555">
        <f>SUMIF(Projection!$B:$B,'7 Year Projection-Expanded'!$A13,Projection!CC:CC)</f>
        <v>414.61603989404585</v>
      </c>
      <c r="AC13" s="556">
        <f>SUMIF(Projection!$B:$B,'7 Year Projection-Expanded'!$A13,Projection!CD:CD)</f>
        <v>414.61603989404585</v>
      </c>
      <c r="AD13" s="555">
        <f>SUMIF(Projection!$B:$B,'7 Year Projection-Expanded'!$A13,Projection!CE:CE)</f>
        <v>414.61603989404585</v>
      </c>
      <c r="AE13" s="556">
        <f>SUMIF(Projection!$B:$B,'7 Year Projection-Expanded'!$A13,Projection!CF:CF)</f>
        <v>414.61603989404585</v>
      </c>
      <c r="AF13" s="555">
        <f>SUMIF(Projection!$B:$B,'7 Year Projection-Expanded'!$A13,Projection!CG:CG)</f>
        <v>414.61603989404585</v>
      </c>
      <c r="AG13" s="556">
        <f>SUMIF(Projection!$B:$B,'7 Year Projection-Expanded'!$A13,Projection!CH:CH)</f>
        <v>414.61603989404585</v>
      </c>
      <c r="AH13" s="555">
        <f>SUMIF(Projection!$B:$B,'7 Year Projection-Expanded'!$A13,Projection!CI:CI)</f>
        <v>414.61603989404585</v>
      </c>
      <c r="AI13" s="556">
        <f>SUMIF(Projection!$B:$B,'7 Year Projection-Expanded'!$A13,Projection!CJ:CJ)</f>
        <v>414.61603989404585</v>
      </c>
      <c r="AJ13" s="559">
        <f>SUMIF(Projection!$B:$B,'7 Year Projection-Expanded'!$A13,Projection!CK:CK)</f>
        <v>414.61603989404585</v>
      </c>
    </row>
    <row r="14" spans="1:36" ht="14.25" customHeight="1" x14ac:dyDescent="0.2">
      <c r="A14" s="11" t="s">
        <v>303</v>
      </c>
      <c r="C14" s="9"/>
      <c r="D14" s="11"/>
      <c r="E14" s="560" t="s">
        <v>438</v>
      </c>
      <c r="F14" s="3"/>
      <c r="G14" s="3"/>
      <c r="H14" s="548"/>
      <c r="I14" s="561">
        <f t="array" ref="I14">IFERROR(INDEX(Projection!$B$9:$BE$196,MATCH('7 Year Projection-Expanded'!$A14,Projection!$B$9:$B$196,0),MATCH('7 Year Projection-Expanded'!I$8,Projection!$B$9:$BE$9,0)),0)</f>
        <v>0</v>
      </c>
      <c r="J14" s="265">
        <f t="array" ref="J14">IFERROR(INDEX(Projection!$B$9:$BE$196,MATCH('7 Year Projection-Expanded'!$A14,Projection!$B$9:$B$196,0),MATCH('7 Year Projection-Expanded'!J$8,Projection!$B$9:$BE$9,0)),0)</f>
        <v>0</v>
      </c>
      <c r="K14" s="561">
        <f t="array" ref="K14">IFERROR(INDEX(Projection!$B$9:$BE$196,MATCH('7 Year Projection-Expanded'!$A14,Projection!$B$9:$B$196,0),MATCH('7 Year Projection-Expanded'!K$8,Projection!$B$9:$BE$9,0)),0)</f>
        <v>-1.4856925756379715</v>
      </c>
      <c r="L14" s="265">
        <f t="array" ref="L14">IFERROR(INDEX(Projection!$B$9:$BE$196,MATCH('7 Year Projection-Expanded'!$A14,Projection!$B$9:$B$196,0),MATCH('7 Year Projection-Expanded'!L$8,Projection!$B$9:$BE$9,0)),0)</f>
        <v>-3.2315988163590976</v>
      </c>
      <c r="M14" s="561">
        <f t="array" ref="M14">IFERROR(INDEX(Projection!$B$9:$BE$196,MATCH('7 Year Projection-Expanded'!$A14,Projection!$B$9:$B$196,0),MATCH('7 Year Projection-Expanded'!M$8,Projection!$B$9:$BE$9,0)),0)</f>
        <v>-5.0404208539449558</v>
      </c>
      <c r="N14" s="265">
        <f t="array" ref="N14">IFERROR(INDEX(Projection!$B$9:$BE$196,MATCH('7 Year Projection-Expanded'!$A14,Projection!$B$9:$B$196,0),MATCH('7 Year Projection-Expanded'!N$8,Projection!$B$9:$BE$9,0)),0)</f>
        <v>-8.149082167134404</v>
      </c>
      <c r="O14" s="561">
        <f t="array" ref="O14">IFERROR(INDEX(Projection!$B$9:$BE$196,MATCH('7 Year Projection-Expanded'!$A14,Projection!$B$9:$B$196,0),MATCH('7 Year Projection-Expanded'!O$8,Projection!$B$9:$BE$9,0)),0)</f>
        <v>-10.976852121954209</v>
      </c>
      <c r="P14" s="265">
        <f t="array" ref="P14">IFERROR(INDEX(Projection!$B$9:$BE$196,MATCH('7 Year Projection-Expanded'!$A14,Projection!$B$9:$B$196,0),MATCH('7 Year Projection-Expanded'!P$8,Projection!$B$9:$BE$9,0)),0)</f>
        <v>-14.977967277608899</v>
      </c>
      <c r="Q14" s="561">
        <f t="array" ref="Q14">IFERROR(INDEX(Projection!$B$9:$BE$196,MATCH('7 Year Projection-Expanded'!$A14,Projection!$B$9:$B$196,0),MATCH('7 Year Projection-Expanded'!Q$8,Projection!$B$9:$BE$9,0)),0)</f>
        <v>-15.223560584243204</v>
      </c>
      <c r="R14" s="265">
        <f t="array" ref="R14">IFERROR(INDEX(Projection!$B$9:$BE$196,MATCH('7 Year Projection-Expanded'!$A14,Projection!$B$9:$B$196,0),MATCH('7 Year Projection-Expanded'!R$8,Projection!$B$9:$BE$9,0)),0)</f>
        <v>-15.753514658548831</v>
      </c>
      <c r="S14" s="561">
        <f t="array" ref="S14">IFERROR(INDEX(Projection!$B$9:$BE$196,MATCH('7 Year Projection-Expanded'!$A14,Projection!$B$9:$B$196,0),MATCH('7 Year Projection-Expanded'!S$8,Projection!$B$9:$BE$9,0)),0)</f>
        <v>-16.337342982186428</v>
      </c>
      <c r="T14" s="562">
        <f t="array" ref="T14">IFERROR(INDEX(Projection!$B$9:$BE$196,MATCH('7 Year Projection-Expanded'!$A14,Projection!$B$9:$B$196,0),MATCH('7 Year Projection-Expanded'!T$8,Projection!$B$9:$BE$9,0)),0)</f>
        <v>-16.676200017815244</v>
      </c>
      <c r="V14" s="563">
        <f t="shared" si="1"/>
        <v>-107.85223205543323</v>
      </c>
      <c r="W14" s="265">
        <f>SUMIF(Projection!$B:$B,'7 Year Projection-Expanded'!$A14,Projection!BX:BX)</f>
        <v>-312.24634803271124</v>
      </c>
      <c r="X14" s="561">
        <f>SUMIF(Projection!$B:$B,'7 Year Projection-Expanded'!$A14,Projection!BY:BY)</f>
        <v>-442.03768263364969</v>
      </c>
      <c r="Y14" s="265">
        <f>SUMIF(Projection!$B:$B,'7 Year Projection-Expanded'!$A14,Projection!BZ:BZ)</f>
        <v>-451.73588264005286</v>
      </c>
      <c r="Z14" s="561">
        <f>SUMIF(Projection!$B:$B,'7 Year Projection-Expanded'!$A14,Projection!CA:CA)</f>
        <v>-414.61603989404585</v>
      </c>
      <c r="AA14" s="265">
        <f>SUMIF(Projection!$B:$B,'7 Year Projection-Expanded'!$A14,Projection!CB:CB)</f>
        <v>-414.61603989404585</v>
      </c>
      <c r="AB14" s="561">
        <f>SUMIF(Projection!$B:$B,'7 Year Projection-Expanded'!$A14,Projection!CC:CC)</f>
        <v>-414.61603989404585</v>
      </c>
      <c r="AC14" s="265">
        <f>SUMIF(Projection!$B:$B,'7 Year Projection-Expanded'!$A14,Projection!CD:CD)</f>
        <v>-414.61603989404585</v>
      </c>
      <c r="AD14" s="561">
        <f>SUMIF(Projection!$B:$B,'7 Year Projection-Expanded'!$A14,Projection!CE:CE)</f>
        <v>-414.61603989404585</v>
      </c>
      <c r="AE14" s="265">
        <f>SUMIF(Projection!$B:$B,'7 Year Projection-Expanded'!$A14,Projection!CF:CF)</f>
        <v>-414.61603989404585</v>
      </c>
      <c r="AF14" s="561">
        <f>SUMIF(Projection!$B:$B,'7 Year Projection-Expanded'!$A14,Projection!CG:CG)</f>
        <v>-414.61603989404585</v>
      </c>
      <c r="AG14" s="265">
        <f>SUMIF(Projection!$B:$B,'7 Year Projection-Expanded'!$A14,Projection!CH:CH)</f>
        <v>-414.61603989404585</v>
      </c>
      <c r="AH14" s="561">
        <f>SUMIF(Projection!$B:$B,'7 Year Projection-Expanded'!$A14,Projection!CI:CI)</f>
        <v>-414.61603989404585</v>
      </c>
      <c r="AI14" s="265">
        <f>SUMIF(Projection!$B:$B,'7 Year Projection-Expanded'!$A14,Projection!CJ:CJ)</f>
        <v>-414.61603989404585</v>
      </c>
      <c r="AJ14" s="564">
        <f>SUMIF(Projection!$B:$B,'7 Year Projection-Expanded'!$A14,Projection!CK:CK)</f>
        <v>-414.61603989404585</v>
      </c>
    </row>
    <row r="15" spans="1:36" ht="14.25" customHeight="1" x14ac:dyDescent="0.2">
      <c r="A15" s="11" t="s">
        <v>305</v>
      </c>
      <c r="C15" s="9"/>
      <c r="D15" s="11"/>
      <c r="E15" s="565" t="s">
        <v>306</v>
      </c>
      <c r="F15" s="566"/>
      <c r="G15" s="566"/>
      <c r="H15" s="566"/>
      <c r="I15" s="567">
        <f t="shared" ref="I15:T15" si="2">I13+I14</f>
        <v>14.925849367610109</v>
      </c>
      <c r="J15" s="566">
        <f t="shared" si="2"/>
        <v>14.745786761557836</v>
      </c>
      <c r="K15" s="567">
        <f t="shared" si="2"/>
        <v>20.32456004450879</v>
      </c>
      <c r="L15" s="566">
        <f t="shared" si="2"/>
        <v>20.652330406550227</v>
      </c>
      <c r="M15" s="567">
        <f t="shared" si="2"/>
        <v>31.669428935727378</v>
      </c>
      <c r="N15" s="566">
        <f t="shared" si="2"/>
        <v>26.143467259494443</v>
      </c>
      <c r="O15" s="567">
        <f t="shared" si="2"/>
        <v>22.856347949956891</v>
      </c>
      <c r="P15" s="566">
        <f t="shared" si="2"/>
        <v>17.255466912057756</v>
      </c>
      <c r="Q15" s="567">
        <f t="shared" si="2"/>
        <v>15.236748186000012</v>
      </c>
      <c r="R15" s="566">
        <f t="shared" si="2"/>
        <v>15.43181483029613</v>
      </c>
      <c r="S15" s="567">
        <f t="shared" si="2"/>
        <v>14.396045767026472</v>
      </c>
      <c r="T15" s="568">
        <f t="shared" si="2"/>
        <v>12.08215357921388</v>
      </c>
      <c r="V15" s="569">
        <f t="shared" ref="V15:AJ15" si="3">V13+V14</f>
        <v>225.71999999999989</v>
      </c>
      <c r="W15" s="566">
        <f t="shared" si="3"/>
        <v>239.39999999999998</v>
      </c>
      <c r="X15" s="567">
        <f t="shared" si="3"/>
        <v>164.16000000000003</v>
      </c>
      <c r="Y15" s="566">
        <f t="shared" si="3"/>
        <v>-8.4359999999999218</v>
      </c>
      <c r="Z15" s="567">
        <f t="shared" si="3"/>
        <v>0</v>
      </c>
      <c r="AA15" s="566">
        <f t="shared" si="3"/>
        <v>0</v>
      </c>
      <c r="AB15" s="567">
        <f t="shared" si="3"/>
        <v>0</v>
      </c>
      <c r="AC15" s="566">
        <f t="shared" si="3"/>
        <v>0</v>
      </c>
      <c r="AD15" s="567">
        <f t="shared" si="3"/>
        <v>0</v>
      </c>
      <c r="AE15" s="566">
        <f t="shared" si="3"/>
        <v>0</v>
      </c>
      <c r="AF15" s="567">
        <f t="shared" si="3"/>
        <v>0</v>
      </c>
      <c r="AG15" s="566">
        <f t="shared" si="3"/>
        <v>0</v>
      </c>
      <c r="AH15" s="567">
        <f t="shared" si="3"/>
        <v>0</v>
      </c>
      <c r="AI15" s="566">
        <f t="shared" si="3"/>
        <v>0</v>
      </c>
      <c r="AJ15" s="570">
        <f t="shared" si="3"/>
        <v>0</v>
      </c>
    </row>
    <row r="16" spans="1:36" ht="14.25" customHeight="1" x14ac:dyDescent="0.2">
      <c r="A16" s="11" t="s">
        <v>307</v>
      </c>
      <c r="C16" s="9"/>
      <c r="D16" s="11" t="s">
        <v>439</v>
      </c>
      <c r="H16" s="29">
        <f>Inputs!C19</f>
        <v>0</v>
      </c>
      <c r="I16" s="547">
        <f t="shared" ref="I16:T16" si="4">H16+I15</f>
        <v>14.925849367610109</v>
      </c>
      <c r="J16" s="548">
        <f t="shared" si="4"/>
        <v>29.671636129167943</v>
      </c>
      <c r="K16" s="547">
        <f t="shared" si="4"/>
        <v>49.996196173676736</v>
      </c>
      <c r="L16" s="548">
        <f t="shared" si="4"/>
        <v>70.648526580226957</v>
      </c>
      <c r="M16" s="547">
        <f t="shared" si="4"/>
        <v>102.31795551595434</v>
      </c>
      <c r="N16" s="548">
        <f t="shared" si="4"/>
        <v>128.4614227754488</v>
      </c>
      <c r="O16" s="547">
        <f t="shared" si="4"/>
        <v>151.31777072540569</v>
      </c>
      <c r="P16" s="548">
        <f t="shared" si="4"/>
        <v>168.57323763746345</v>
      </c>
      <c r="Q16" s="547">
        <f t="shared" si="4"/>
        <v>183.80998582346345</v>
      </c>
      <c r="R16" s="548">
        <f t="shared" si="4"/>
        <v>199.24180065375958</v>
      </c>
      <c r="S16" s="547">
        <f t="shared" si="4"/>
        <v>213.63784642078605</v>
      </c>
      <c r="T16" s="549">
        <f t="shared" si="4"/>
        <v>225.71999999999991</v>
      </c>
      <c r="V16" s="571">
        <f>T16</f>
        <v>225.71999999999991</v>
      </c>
      <c r="W16" s="548">
        <f t="shared" ref="W16:AJ16" si="5">V16+W15</f>
        <v>465.11999999999989</v>
      </c>
      <c r="X16" s="547">
        <f t="shared" si="5"/>
        <v>629.28</v>
      </c>
      <c r="Y16" s="548">
        <f t="shared" si="5"/>
        <v>620.84400000000005</v>
      </c>
      <c r="Z16" s="547">
        <f t="shared" si="5"/>
        <v>620.84400000000005</v>
      </c>
      <c r="AA16" s="548">
        <f t="shared" si="5"/>
        <v>620.84400000000005</v>
      </c>
      <c r="AB16" s="547">
        <f t="shared" si="5"/>
        <v>620.84400000000005</v>
      </c>
      <c r="AC16" s="548">
        <f t="shared" si="5"/>
        <v>620.84400000000005</v>
      </c>
      <c r="AD16" s="547">
        <f t="shared" si="5"/>
        <v>620.84400000000005</v>
      </c>
      <c r="AE16" s="548">
        <f t="shared" si="5"/>
        <v>620.84400000000005</v>
      </c>
      <c r="AF16" s="547">
        <f t="shared" si="5"/>
        <v>620.84400000000005</v>
      </c>
      <c r="AG16" s="548">
        <f t="shared" si="5"/>
        <v>620.84400000000005</v>
      </c>
      <c r="AH16" s="547">
        <f t="shared" si="5"/>
        <v>620.84400000000005</v>
      </c>
      <c r="AI16" s="548">
        <f t="shared" si="5"/>
        <v>620.84400000000005</v>
      </c>
      <c r="AJ16" s="551">
        <f t="shared" si="5"/>
        <v>620.84400000000005</v>
      </c>
    </row>
    <row r="17" spans="1:36" ht="6" customHeight="1" x14ac:dyDescent="0.2">
      <c r="C17" s="9"/>
      <c r="H17" s="29"/>
      <c r="I17" s="547"/>
      <c r="J17" s="548"/>
      <c r="K17" s="547"/>
      <c r="L17" s="548"/>
      <c r="M17" s="547"/>
      <c r="N17" s="548"/>
      <c r="O17" s="547"/>
      <c r="P17" s="548"/>
      <c r="Q17" s="547"/>
      <c r="R17" s="548"/>
      <c r="S17" s="547"/>
      <c r="T17" s="549"/>
      <c r="V17" s="550"/>
      <c r="W17" s="548"/>
      <c r="X17" s="547"/>
      <c r="Y17" s="548"/>
      <c r="Z17" s="547"/>
      <c r="AA17" s="548"/>
      <c r="AB17" s="547"/>
      <c r="AC17" s="548"/>
      <c r="AD17" s="547"/>
      <c r="AE17" s="548"/>
      <c r="AF17" s="547"/>
      <c r="AG17" s="548"/>
      <c r="AH17" s="547"/>
      <c r="AI17" s="548"/>
      <c r="AJ17" s="551"/>
    </row>
    <row r="18" spans="1:36" ht="14.25" customHeight="1" x14ac:dyDescent="0.2">
      <c r="A18" s="11" t="s">
        <v>415</v>
      </c>
      <c r="C18" s="9"/>
      <c r="E18" s="11" t="s">
        <v>416</v>
      </c>
      <c r="H18" s="29">
        <f>Projection!I25</f>
        <v>0</v>
      </c>
      <c r="I18" s="228">
        <f t="array" ref="I18">IFERROR(INDEX(Projection!$B$9:$BE$196,MATCH('7 Year Projection-Expanded'!$A18,Projection!$B$9:$B$196,0),MATCH('7 Year Projection-Expanded'!I$8,Projection!$B$9:$BE$9,0)),0)</f>
        <v>2308.858690115092</v>
      </c>
      <c r="J18" s="29">
        <f t="array" ref="J18">IFERROR(INDEX(Projection!$B$9:$BE$196,MATCH('7 Year Projection-Expanded'!$A18,Projection!$B$9:$B$196,0),MATCH('7 Year Projection-Expanded'!J$8,Projection!$B$9:$BE$9,0)),0)</f>
        <v>4589.8637484194051</v>
      </c>
      <c r="K18" s="228">
        <f t="array" ref="K18">IFERROR(INDEX(Projection!$B$9:$BE$196,MATCH('7 Year Projection-Expanded'!$A18,Projection!$B$9:$B$196,0),MATCH('7 Year Projection-Expanded'!K$8,Projection!$B$9:$BE$9,0)),0)</f>
        <v>7733.841416006162</v>
      </c>
      <c r="L18" s="29">
        <f t="array" ref="L18">IFERROR(INDEX(Projection!$B$9:$BE$196,MATCH('7 Year Projection-Expanded'!$A18,Projection!$B$9:$B$196,0),MATCH('7 Year Projection-Expanded'!L$8,Projection!$B$9:$BE$9,0)),0)</f>
        <v>10928.52142086853</v>
      </c>
      <c r="M18" s="228">
        <f t="array" ref="M18">IFERROR(INDEX(Projection!$B$9:$BE$196,MATCH('7 Year Projection-Expanded'!$A18,Projection!$B$9:$B$196,0),MATCH('7 Year Projection-Expanded'!M$8,Projection!$B$9:$BE$9,0)),0)</f>
        <v>15827.420934614885</v>
      </c>
      <c r="N18" s="29">
        <f t="array" ref="N18">IFERROR(INDEX(Projection!$B$9:$BE$196,MATCH('7 Year Projection-Expanded'!$A18,Projection!$B$9:$B$196,0),MATCH('7 Year Projection-Expanded'!N$8,Projection!$B$9:$BE$9,0)),0)</f>
        <v>19871.517192400453</v>
      </c>
      <c r="O18" s="228">
        <f t="array" ref="O18">IFERROR(INDEX(Projection!$B$9:$BE$196,MATCH('7 Year Projection-Expanded'!$A18,Projection!$B$9:$B$196,0),MATCH('7 Year Projection-Expanded'!O$8,Projection!$B$9:$BE$9,0)),0)</f>
        <v>23407.133577694443</v>
      </c>
      <c r="P18" s="29">
        <f t="array" ref="P18">IFERROR(INDEX(Projection!$B$9:$BE$196,MATCH('7 Year Projection-Expanded'!$A18,Projection!$B$9:$B$196,0),MATCH('7 Year Projection-Expanded'!P$8,Projection!$B$9:$BE$9,0)),0)</f>
        <v>26076.357536121483</v>
      </c>
      <c r="Q18" s="228">
        <f t="array" ref="Q18">IFERROR(INDEX(Projection!$B$9:$BE$196,MATCH('7 Year Projection-Expanded'!$A18,Projection!$B$9:$B$196,0),MATCH('7 Year Projection-Expanded'!Q$8,Projection!$B$9:$BE$9,0)),0)</f>
        <v>28433.30872810409</v>
      </c>
      <c r="R18" s="29">
        <f t="array" ref="R18">IFERROR(INDEX(Projection!$B$9:$BE$196,MATCH('7 Year Projection-Expanded'!$A18,Projection!$B$9:$B$196,0),MATCH('7 Year Projection-Expanded'!R$8,Projection!$B$9:$BE$9,0)),0)</f>
        <v>30820.434505515117</v>
      </c>
      <c r="S18" s="228">
        <f t="array" ref="S18">IFERROR(INDEX(Projection!$B$9:$BE$196,MATCH('7 Year Projection-Expanded'!$A18,Projection!$B$9:$B$196,0),MATCH('7 Year Projection-Expanded'!S$8,Projection!$B$9:$BE$9,0)),0)</f>
        <v>33047.338620239927</v>
      </c>
      <c r="T18" s="28">
        <f t="array" ref="T18">IFERROR(INDEX(Projection!$B$9:$BE$196,MATCH('7 Year Projection-Expanded'!$A18,Projection!$B$9:$B$196,0),MATCH('7 Year Projection-Expanded'!T$8,Projection!$B$9:$BE$9,0)),0)</f>
        <v>34916.30999999999</v>
      </c>
      <c r="V18" s="572">
        <f>SUM(I18:T18)/12</f>
        <v>19830.07553084163</v>
      </c>
      <c r="W18" s="29">
        <f>SUMIF(Projection!$B:$B,'7 Year Projection-Expanded'!$A18,Projection!BX:BX)</f>
        <v>55948.208290286588</v>
      </c>
      <c r="X18" s="228">
        <f>SUMIF(Projection!$B:$B,'7 Year Projection-Expanded'!$A18,Projection!BY:BY)</f>
        <v>86370.633113339369</v>
      </c>
      <c r="Y18" s="29">
        <f>SUMIF(Projection!$B:$B,'7 Year Projection-Expanded'!$A18,Projection!BZ:BZ)</f>
        <v>97342.440000000017</v>
      </c>
      <c r="Z18" s="228">
        <f>SUMIF(Projection!$B:$B,'7 Year Projection-Expanded'!$A18,Projection!CA:CA)</f>
        <v>97342.440000000017</v>
      </c>
      <c r="AA18" s="29">
        <f>SUMIF(Projection!$B:$B,'7 Year Projection-Expanded'!$A18,Projection!CB:CB)</f>
        <v>97342.440000000017</v>
      </c>
      <c r="AB18" s="228">
        <f>SUMIF(Projection!$B:$B,'7 Year Projection-Expanded'!$A18,Projection!CC:CC)</f>
        <v>97342.440000000017</v>
      </c>
      <c r="AC18" s="29">
        <f>SUMIF(Projection!$B:$B,'7 Year Projection-Expanded'!$A18,Projection!CD:CD)</f>
        <v>97342.440000000017</v>
      </c>
      <c r="AD18" s="228">
        <f>SUMIF(Projection!$B:$B,'7 Year Projection-Expanded'!$A18,Projection!CE:CE)</f>
        <v>97342.440000000017</v>
      </c>
      <c r="AE18" s="29">
        <f>SUMIF(Projection!$B:$B,'7 Year Projection-Expanded'!$A18,Projection!CF:CF)</f>
        <v>97342.440000000017</v>
      </c>
      <c r="AF18" s="228">
        <f>SUMIF(Projection!$B:$B,'7 Year Projection-Expanded'!$A18,Projection!CG:CG)</f>
        <v>97342.440000000017</v>
      </c>
      <c r="AG18" s="29">
        <f>SUMIF(Projection!$B:$B,'7 Year Projection-Expanded'!$A18,Projection!CH:CH)</f>
        <v>97342.440000000017</v>
      </c>
      <c r="AH18" s="228">
        <f>SUMIF(Projection!$B:$B,'7 Year Projection-Expanded'!$A18,Projection!CI:CI)</f>
        <v>97342.440000000017</v>
      </c>
      <c r="AI18" s="29">
        <f>SUMIF(Projection!$B:$B,'7 Year Projection-Expanded'!$A18,Projection!CJ:CJ)</f>
        <v>97342.440000000017</v>
      </c>
      <c r="AJ18" s="573">
        <f>SUMIF(Projection!$B:$B,'7 Year Projection-Expanded'!$A18,Projection!CK:CK)</f>
        <v>97342.440000000017</v>
      </c>
    </row>
    <row r="19" spans="1:36" ht="14.25" customHeight="1" x14ac:dyDescent="0.2">
      <c r="A19" s="11" t="s">
        <v>417</v>
      </c>
      <c r="C19" s="9"/>
      <c r="D19" s="3" t="s">
        <v>418</v>
      </c>
      <c r="E19" s="3"/>
      <c r="F19" s="3"/>
      <c r="G19" s="3"/>
      <c r="H19" s="574">
        <f>H18/K4</f>
        <v>0</v>
      </c>
      <c r="I19" s="575">
        <f t="shared" ref="I19:T19" si="6">I18/$K$4</f>
        <v>2.1821417204108347E-2</v>
      </c>
      <c r="J19" s="574">
        <f t="shared" si="6"/>
        <v>4.3379584984163666E-2</v>
      </c>
      <c r="K19" s="575">
        <f t="shared" si="6"/>
        <v>7.3093854055082952E-2</v>
      </c>
      <c r="L19" s="574">
        <f t="shared" si="6"/>
        <v>0.10328731956173533</v>
      </c>
      <c r="M19" s="575">
        <f t="shared" si="6"/>
        <v>0.14958765426309115</v>
      </c>
      <c r="N19" s="574">
        <f t="shared" si="6"/>
        <v>0.18780909762492512</v>
      </c>
      <c r="O19" s="575">
        <f t="shared" si="6"/>
        <v>0.2212248110020551</v>
      </c>
      <c r="P19" s="574">
        <f t="shared" si="6"/>
        <v>0.24645210180915708</v>
      </c>
      <c r="Q19" s="575">
        <f t="shared" si="6"/>
        <v>0.26872804944950796</v>
      </c>
      <c r="R19" s="574">
        <f t="shared" si="6"/>
        <v>0.29128918224233857</v>
      </c>
      <c r="S19" s="575">
        <f t="shared" si="6"/>
        <v>0.31233603277892696</v>
      </c>
      <c r="T19" s="576">
        <f t="shared" si="6"/>
        <v>0.3299999999999999</v>
      </c>
      <c r="V19" s="577">
        <f t="shared" ref="V19:AJ19" si="7">V18/$K$4</f>
        <v>0.187417425414591</v>
      </c>
      <c r="W19" s="574">
        <f t="shared" si="7"/>
        <v>0.52877605725789967</v>
      </c>
      <c r="X19" s="575">
        <f t="shared" si="7"/>
        <v>0.81630358211970255</v>
      </c>
      <c r="Y19" s="574">
        <f t="shared" si="7"/>
        <v>0.92000000000000015</v>
      </c>
      <c r="Z19" s="575">
        <f t="shared" si="7"/>
        <v>0.92000000000000015</v>
      </c>
      <c r="AA19" s="574">
        <f t="shared" si="7"/>
        <v>0.92000000000000015</v>
      </c>
      <c r="AB19" s="575">
        <f t="shared" si="7"/>
        <v>0.92000000000000015</v>
      </c>
      <c r="AC19" s="574">
        <f t="shared" si="7"/>
        <v>0.92000000000000015</v>
      </c>
      <c r="AD19" s="575">
        <f t="shared" si="7"/>
        <v>0.92000000000000015</v>
      </c>
      <c r="AE19" s="574">
        <f t="shared" si="7"/>
        <v>0.92000000000000015</v>
      </c>
      <c r="AF19" s="575">
        <f t="shared" si="7"/>
        <v>0.92000000000000015</v>
      </c>
      <c r="AG19" s="574">
        <f t="shared" si="7"/>
        <v>0.92000000000000015</v>
      </c>
      <c r="AH19" s="575">
        <f t="shared" si="7"/>
        <v>0.92000000000000015</v>
      </c>
      <c r="AI19" s="574">
        <f t="shared" si="7"/>
        <v>0.92000000000000015</v>
      </c>
      <c r="AJ19" s="578">
        <f t="shared" si="7"/>
        <v>0.92000000000000015</v>
      </c>
    </row>
    <row r="20" spans="1:36" ht="14.25" customHeight="1" x14ac:dyDescent="0.2">
      <c r="C20" s="9"/>
      <c r="D20" s="3"/>
      <c r="E20" s="11" t="s">
        <v>440</v>
      </c>
      <c r="F20" s="3"/>
      <c r="G20" s="3"/>
      <c r="H20" s="574"/>
      <c r="I20" s="575"/>
      <c r="J20" s="574"/>
      <c r="K20" s="575"/>
      <c r="L20" s="574"/>
      <c r="M20" s="575"/>
      <c r="N20" s="574"/>
      <c r="O20" s="575"/>
      <c r="P20" s="574"/>
      <c r="Q20" s="575"/>
      <c r="R20" s="574"/>
      <c r="S20" s="575"/>
      <c r="T20" s="576"/>
      <c r="V20" s="579">
        <f>IF(V$18&lt;Projection!$U$25,Projection!$U$25," - ")</f>
        <v>34916.30999999999</v>
      </c>
      <c r="W20" s="580">
        <f>IF(W$18&lt;Projection!$AG$25,Projection!$AG$25," - ")</f>
        <v>71948.759999999995</v>
      </c>
      <c r="X20" s="581">
        <f>IF(X$18&lt;Projection!$AS$25,Projection!$AS$25," - ")</f>
        <v>97342.44</v>
      </c>
      <c r="Y20" s="580" t="str">
        <f>IF(Y$18&lt;Projection!$BE$25,Projection!$BE$25," - ")</f>
        <v xml:space="preserve"> - </v>
      </c>
      <c r="Z20" s="581" t="str">
        <f>IF(Z$18&lt;Projection!$BQ$25,Projection!$BQ$25," - ")</f>
        <v xml:space="preserve"> - </v>
      </c>
      <c r="AA20" s="580" t="str">
        <f t="shared" ref="AA20:AA21" si="8">Z20</f>
        <v xml:space="preserve"> - </v>
      </c>
      <c r="AB20" s="581" t="str">
        <f t="shared" ref="AB20:AJ20" si="9">Z20</f>
        <v xml:space="preserve"> - </v>
      </c>
      <c r="AC20" s="580" t="str">
        <f t="shared" si="9"/>
        <v xml:space="preserve"> - </v>
      </c>
      <c r="AD20" s="581" t="str">
        <f t="shared" si="9"/>
        <v xml:space="preserve"> - </v>
      </c>
      <c r="AE20" s="580" t="str">
        <f t="shared" si="9"/>
        <v xml:space="preserve"> - </v>
      </c>
      <c r="AF20" s="581" t="str">
        <f t="shared" si="9"/>
        <v xml:space="preserve"> - </v>
      </c>
      <c r="AG20" s="580" t="str">
        <f t="shared" si="9"/>
        <v xml:space="preserve"> - </v>
      </c>
      <c r="AH20" s="581" t="str">
        <f t="shared" si="9"/>
        <v xml:space="preserve"> - </v>
      </c>
      <c r="AI20" s="580" t="str">
        <f t="shared" si="9"/>
        <v xml:space="preserve"> - </v>
      </c>
      <c r="AJ20" s="582" t="str">
        <f t="shared" si="9"/>
        <v xml:space="preserve"> - </v>
      </c>
    </row>
    <row r="21" spans="1:36" ht="14.25" customHeight="1" x14ac:dyDescent="0.2">
      <c r="B21" s="9"/>
      <c r="D21" s="35"/>
      <c r="E21" s="11" t="s">
        <v>441</v>
      </c>
      <c r="F21" s="3"/>
      <c r="G21" s="3"/>
      <c r="H21" s="574"/>
      <c r="I21" s="575"/>
      <c r="J21" s="574"/>
      <c r="K21" s="575"/>
      <c r="L21" s="574"/>
      <c r="M21" s="575"/>
      <c r="N21" s="574"/>
      <c r="O21" s="575"/>
      <c r="P21" s="574"/>
      <c r="Q21" s="575"/>
      <c r="R21" s="574"/>
      <c r="S21" s="575"/>
      <c r="T21" s="576"/>
      <c r="V21" s="583">
        <f>IF(V$19&gt;=Inputs!$I$13," - ",Projection!$U$26)</f>
        <v>0.3299999999999999</v>
      </c>
      <c r="W21" s="584">
        <f>IF(W$19&gt;=Inputs!$I$13," - ",Projection!$AG$26)</f>
        <v>0.67999999999999994</v>
      </c>
      <c r="X21" s="585">
        <f>IF(X$19&gt;=Inputs!$I$13," - ",Projection!$AS$26)</f>
        <v>0.92</v>
      </c>
      <c r="Y21" s="584" t="str">
        <f>IF(Y$19&gt;=Inputs!$I$13," - ",Projection!$BE$26)</f>
        <v xml:space="preserve"> - </v>
      </c>
      <c r="Z21" s="585" t="str">
        <f>IF(Z$19&gt;=Inputs!$I$13," - ",Projection!$BF$26)</f>
        <v xml:space="preserve"> - </v>
      </c>
      <c r="AA21" s="584" t="str">
        <f t="shared" si="8"/>
        <v xml:space="preserve"> - </v>
      </c>
      <c r="AB21" s="585" t="str">
        <f t="shared" ref="AB21:AJ21" si="10">Z21</f>
        <v xml:space="preserve"> - </v>
      </c>
      <c r="AC21" s="584" t="str">
        <f t="shared" si="10"/>
        <v xml:space="preserve"> - </v>
      </c>
      <c r="AD21" s="585" t="str">
        <f t="shared" si="10"/>
        <v xml:space="preserve"> - </v>
      </c>
      <c r="AE21" s="584" t="str">
        <f t="shared" si="10"/>
        <v xml:space="preserve"> - </v>
      </c>
      <c r="AF21" s="585" t="str">
        <f t="shared" si="10"/>
        <v xml:space="preserve"> - </v>
      </c>
      <c r="AG21" s="584" t="str">
        <f t="shared" si="10"/>
        <v xml:space="preserve"> - </v>
      </c>
      <c r="AH21" s="585" t="str">
        <f t="shared" si="10"/>
        <v xml:space="preserve"> - </v>
      </c>
      <c r="AI21" s="584" t="str">
        <f t="shared" si="10"/>
        <v xml:space="preserve"> - </v>
      </c>
      <c r="AJ21" s="586" t="str">
        <f t="shared" si="10"/>
        <v xml:space="preserve"> - </v>
      </c>
    </row>
    <row r="22" spans="1:36" ht="14.25" customHeight="1" x14ac:dyDescent="0.2">
      <c r="C22" s="587"/>
      <c r="E22" s="224"/>
      <c r="F22" s="224"/>
      <c r="G22" s="224"/>
      <c r="H22" s="224"/>
      <c r="I22" s="588"/>
      <c r="J22" s="589"/>
      <c r="K22" s="588"/>
      <c r="L22" s="589"/>
      <c r="M22" s="588"/>
      <c r="N22" s="589"/>
      <c r="O22" s="588"/>
      <c r="P22" s="589"/>
      <c r="Q22" s="588"/>
      <c r="R22" s="589"/>
      <c r="S22" s="588"/>
      <c r="T22" s="590"/>
      <c r="U22" s="224"/>
      <c r="V22" s="591"/>
      <c r="W22" s="589"/>
      <c r="X22" s="588"/>
      <c r="Y22" s="589"/>
      <c r="Z22" s="588"/>
      <c r="AA22" s="589"/>
      <c r="AB22" s="588"/>
      <c r="AC22" s="589"/>
      <c r="AD22" s="588"/>
      <c r="AE22" s="589"/>
      <c r="AF22" s="588"/>
      <c r="AG22" s="589"/>
      <c r="AH22" s="588"/>
      <c r="AI22" s="589"/>
      <c r="AJ22" s="592"/>
    </row>
    <row r="23" spans="1:36" ht="14.25" customHeight="1" x14ac:dyDescent="0.2">
      <c r="A23" s="11" t="s">
        <v>320</v>
      </c>
      <c r="C23" s="587"/>
      <c r="E23" s="11" t="s">
        <v>419</v>
      </c>
      <c r="F23" s="224"/>
      <c r="G23" s="224"/>
      <c r="H23" s="224"/>
      <c r="I23" s="593">
        <f t="array" ref="I23">IFERROR(INDEX(Projection!$B$9:$BE$196,MATCH($A23,Projection!$B$9:$B$196,0),MATCH(I$8,Projection!$B$9:$BE$9,0)),0)</f>
        <v>18.175812993534755</v>
      </c>
      <c r="J23" s="75">
        <f t="array" ref="J23">IFERROR(INDEX(Projection!$B$9:$BE$196,MATCH('7 Year Projection-Expanded'!$A23,Projection!$B$9:$B$196,0),MATCH('7 Year Projection-Expanded'!J$8,Projection!$B$9:$BE$9,0)),0)</f>
        <v>18.236399036846546</v>
      </c>
      <c r="K23" s="593">
        <f t="array" ref="K23">IFERROR(INDEX(Projection!$B$9:$BE$196,MATCH('7 Year Projection-Expanded'!$A23,Projection!$B$9:$B$196,0),MATCH('7 Year Projection-Expanded'!K$8,Projection!$B$9:$BE$9,0)),0)</f>
        <v>18.4795510240045</v>
      </c>
      <c r="L23" s="75">
        <f t="array" ref="L23">IFERROR(INDEX(Projection!$B$9:$BE$196,MATCH('7 Year Projection-Expanded'!$A23,Projection!$B$9:$B$196,0),MATCH('7 Year Projection-Expanded'!L$8,Projection!$B$9:$BE$9,0)),0)</f>
        <v>19.280331568378024</v>
      </c>
      <c r="M23" s="593">
        <f t="array" ref="M23">IFERROR(INDEX(Projection!$B$9:$BE$196,MATCH('7 Year Projection-Expanded'!$A23,Projection!$B$9:$B$196,0),MATCH('7 Year Projection-Expanded'!M$8,Projection!$B$9:$BE$9,0)),0)</f>
        <v>20.115812603007747</v>
      </c>
      <c r="N23" s="75">
        <f t="array" ref="N23">IFERROR(INDEX(Projection!$B$9:$BE$196,MATCH('7 Year Projection-Expanded'!$A23,Projection!$B$9:$B$196,0),MATCH('7 Year Projection-Expanded'!N$8,Projection!$B$9:$BE$9,0)),0)</f>
        <v>20.685760626759631</v>
      </c>
      <c r="O23" s="593">
        <f t="array" ref="O23">IFERROR(INDEX(Projection!$B$9:$BE$196,MATCH('7 Year Projection-Expanded'!$A23,Projection!$B$9:$B$196,0),MATCH('7 Year Projection-Expanded'!O$8,Projection!$B$9:$BE$9,0)),0)</f>
        <v>20.754713162182163</v>
      </c>
      <c r="P23" s="75">
        <f t="array" ref="P23">IFERROR(INDEX(Projection!$B$9:$BE$196,MATCH('7 Year Projection-Expanded'!$A23,Projection!$B$9:$B$196,0),MATCH('7 Year Projection-Expanded'!P$8,Projection!$B$9:$BE$9,0)),0)</f>
        <v>19.578612749658504</v>
      </c>
      <c r="Q23" s="593">
        <f t="array" ref="Q23">IFERROR(INDEX(Projection!$B$9:$BE$196,MATCH('7 Year Projection-Expanded'!$A23,Projection!$B$9:$B$196,0),MATCH('7 Year Projection-Expanded'!Q$8,Projection!$B$9:$BE$9,0)),0)</f>
        <v>19.252302537164198</v>
      </c>
      <c r="R23" s="75">
        <f t="array" ref="R23">IFERROR(INDEX(Projection!$B$9:$BE$196,MATCH('7 Year Projection-Expanded'!$A23,Projection!$B$9:$B$196,0),MATCH('7 Year Projection-Expanded'!R$8,Projection!$B$9:$BE$9,0)),0)</f>
        <v>19.027692340897278</v>
      </c>
      <c r="S23" s="593">
        <f t="array" ref="S23">IFERROR(INDEX(Projection!$B$9:$BE$196,MATCH('7 Year Projection-Expanded'!$A23,Projection!$B$9:$B$196,0),MATCH('7 Year Projection-Expanded'!S$8,Projection!$B$9:$BE$9,0)),0)</f>
        <v>18.824730289261041</v>
      </c>
      <c r="T23" s="72">
        <f t="array" ref="T23">IFERROR(INDEX(Projection!$B$9:$BE$196,MATCH('7 Year Projection-Expanded'!$A23,Projection!$B$9:$B$196,0),MATCH('7 Year Projection-Expanded'!T$8,Projection!$B$9:$BE$9,0)),0)</f>
        <v>18.774531008489681</v>
      </c>
      <c r="U23" s="224"/>
      <c r="V23" s="594">
        <f t="shared" ref="V23:V24" si="11">AVERAGE(I23:T23)</f>
        <v>19.265520828348674</v>
      </c>
      <c r="W23" s="118">
        <f>Projection!BX33</f>
        <v>19.966468003911526</v>
      </c>
      <c r="X23" s="595">
        <f>Projection!BY33</f>
        <v>20.41365420714504</v>
      </c>
      <c r="Y23" s="118">
        <f>Projection!BZ33</f>
        <v>20.553837930869026</v>
      </c>
      <c r="Z23" s="595">
        <f>Projection!CA33</f>
        <v>21.301658598318593</v>
      </c>
      <c r="AA23" s="118">
        <f>Projection!CB33</f>
        <v>22.153724942251337</v>
      </c>
      <c r="AB23" s="595">
        <f>Projection!CC33</f>
        <v>23.039873939941391</v>
      </c>
      <c r="AC23" s="118">
        <f>Projection!CD33</f>
        <v>23.961468897539046</v>
      </c>
      <c r="AD23" s="595">
        <f>Projection!CE33</f>
        <v>24.91992765344061</v>
      </c>
      <c r="AE23" s="118">
        <f>Projection!CF33</f>
        <v>25.916724759578234</v>
      </c>
      <c r="AF23" s="595">
        <f>Projection!CG33</f>
        <v>26.953393749961364</v>
      </c>
      <c r="AG23" s="118">
        <f>Projection!CH33</f>
        <v>28.03152949995982</v>
      </c>
      <c r="AH23" s="595">
        <f>Projection!CI33</f>
        <v>29.152790679958215</v>
      </c>
      <c r="AI23" s="118">
        <f>Projection!CJ33</f>
        <v>30.318902307156545</v>
      </c>
      <c r="AJ23" s="596">
        <f>Projection!CK33</f>
        <v>31.531658399442808</v>
      </c>
    </row>
    <row r="24" spans="1:36" ht="14.25" customHeight="1" x14ac:dyDescent="0.2">
      <c r="A24" s="11" t="s">
        <v>322</v>
      </c>
      <c r="C24" s="587"/>
      <c r="E24" s="11" t="s">
        <v>11</v>
      </c>
      <c r="F24" s="224"/>
      <c r="G24" s="224"/>
      <c r="H24" s="224"/>
      <c r="I24" s="593">
        <f t="array" ref="I24">IFERROR(INDEX(Projection!$B$9:$BE$196,MATCH($A24,Projection!$B$9:$B$196,0),MATCH(I$8,Projection!$B$9:$BE$9,0)),0)</f>
        <v>18.175812993534755</v>
      </c>
      <c r="J24" s="75">
        <f t="array" ref="J24">IFERROR(INDEX(Projection!$B$9:$BE$196,MATCH('7 Year Projection-Expanded'!$A24,Projection!$B$9:$B$196,0),MATCH('7 Year Projection-Expanded'!J$8,Projection!$B$9:$BE$9,0)),0)</f>
        <v>18.205922181700618</v>
      </c>
      <c r="K24" s="593">
        <f t="array" ref="K24">IFERROR(INDEX(Projection!$B$9:$BE$196,MATCH('7 Year Projection-Expanded'!$A24,Projection!$B$9:$B$196,0),MATCH('7 Year Projection-Expanded'!K$8,Projection!$B$9:$BE$9,0)),0)</f>
        <v>18.324383892603841</v>
      </c>
      <c r="L24" s="75">
        <f t="array" ref="L24">IFERROR(INDEX(Projection!$B$9:$BE$196,MATCH('7 Year Projection-Expanded'!$A24,Projection!$B$9:$B$196,0),MATCH('7 Year Projection-Expanded'!L$8,Projection!$B$9:$BE$9,0)),0)</f>
        <v>18.644271786405977</v>
      </c>
      <c r="M24" s="593">
        <f t="array" ref="M24">IFERROR(INDEX(Projection!$B$9:$BE$196,MATCH('7 Year Projection-Expanded'!$A24,Projection!$B$9:$B$196,0),MATCH('7 Year Projection-Expanded'!M$8,Projection!$B$9:$BE$9,0)),0)</f>
        <v>19.165449511653879</v>
      </c>
      <c r="N24" s="75">
        <f t="array" ref="N24">IFERROR(INDEX(Projection!$B$9:$BE$196,MATCH('7 Year Projection-Expanded'!$A24,Projection!$B$9:$B$196,0),MATCH('7 Year Projection-Expanded'!N$8,Projection!$B$9:$BE$9,0)),0)</f>
        <v>19.760768955489748</v>
      </c>
      <c r="O24" s="593">
        <f t="array" ref="O24">IFERROR(INDEX(Projection!$B$9:$BE$196,MATCH('7 Year Projection-Expanded'!$A24,Projection!$B$9:$B$196,0),MATCH('7 Year Projection-Expanded'!O$8,Projection!$B$9:$BE$9,0)),0)</f>
        <v>20.085302092062847</v>
      </c>
      <c r="P24" s="75">
        <f t="array" ref="P24">IFERROR(INDEX(Projection!$B$9:$BE$196,MATCH('7 Year Projection-Expanded'!$A24,Projection!$B$9:$B$196,0),MATCH('7 Year Projection-Expanded'!P$8,Projection!$B$9:$BE$9,0)),0)</f>
        <v>20.121591975980181</v>
      </c>
      <c r="Q24" s="593">
        <f t="array" ref="Q24">IFERROR(INDEX(Projection!$B$9:$BE$196,MATCH('7 Year Projection-Expanded'!$A24,Projection!$B$9:$B$196,0),MATCH('7 Year Projection-Expanded'!Q$8,Projection!$B$9:$BE$9,0)),0)</f>
        <v>20.123861790494857</v>
      </c>
      <c r="R24" s="75">
        <f t="array" ref="R24">IFERROR(INDEX(Projection!$B$9:$BE$196,MATCH('7 Year Projection-Expanded'!$A24,Projection!$B$9:$B$196,0),MATCH('7 Year Projection-Expanded'!R$8,Projection!$B$9:$BE$9,0)),0)</f>
        <v>20.170155408378825</v>
      </c>
      <c r="S24" s="593">
        <f t="array" ref="S24">IFERROR(INDEX(Projection!$B$9:$BE$196,MATCH('7 Year Projection-Expanded'!$A24,Projection!$B$9:$B$196,0),MATCH('7 Year Projection-Expanded'!S$8,Projection!$B$9:$BE$9,0)),0)</f>
        <v>20.155966216600028</v>
      </c>
      <c r="T24" s="72">
        <f t="array" ref="T24">IFERROR(INDEX(Projection!$B$9:$BE$196,MATCH('7 Year Projection-Expanded'!$A24,Projection!$B$9:$B$196,0),MATCH('7 Year Projection-Expanded'!T$8,Projection!$B$9:$BE$9,0)),0)</f>
        <v>20.160365481173752</v>
      </c>
      <c r="U24" s="224"/>
      <c r="V24" s="594">
        <f t="shared" si="11"/>
        <v>19.424487690506609</v>
      </c>
      <c r="W24" s="118">
        <f>Projection!BX34</f>
        <v>20.810242046836876</v>
      </c>
      <c r="X24" s="595">
        <f>Projection!BY34</f>
        <v>21.794342109487307</v>
      </c>
      <c r="Y24" s="118">
        <f>Projection!BZ34</f>
        <v>22.648494719726632</v>
      </c>
      <c r="Z24" s="595">
        <f>Projection!CA34</f>
        <v>23.666244382776995</v>
      </c>
      <c r="AA24" s="118">
        <f>Projection!CB34</f>
        <v>24.612894158088075</v>
      </c>
      <c r="AB24" s="595">
        <f>Projection!CC34</f>
        <v>25.5974099244116</v>
      </c>
      <c r="AC24" s="118">
        <f>Projection!CD34</f>
        <v>26.621306321388065</v>
      </c>
      <c r="AD24" s="595">
        <f>Projection!CE34</f>
        <v>27.686158574243589</v>
      </c>
      <c r="AE24" s="118">
        <f>Projection!CF34</f>
        <v>28.793604917213333</v>
      </c>
      <c r="AF24" s="595">
        <f>Projection!CG34</f>
        <v>29.945349113901869</v>
      </c>
      <c r="AG24" s="118">
        <f>Projection!CH34</f>
        <v>31.143163078457949</v>
      </c>
      <c r="AH24" s="595">
        <f>Projection!CI34</f>
        <v>32.388889601596269</v>
      </c>
      <c r="AI24" s="118">
        <f>Projection!CJ34</f>
        <v>33.684445185660117</v>
      </c>
      <c r="AJ24" s="596">
        <f>Projection!CK34</f>
        <v>35.031822993086521</v>
      </c>
    </row>
    <row r="25" spans="1:36" ht="6" customHeight="1" x14ac:dyDescent="0.2">
      <c r="C25" s="587"/>
      <c r="E25" s="224"/>
      <c r="I25" s="588"/>
      <c r="J25" s="589"/>
      <c r="K25" s="588"/>
      <c r="L25" s="589"/>
      <c r="M25" s="588"/>
      <c r="N25" s="589"/>
      <c r="O25" s="588"/>
      <c r="P25" s="589"/>
      <c r="Q25" s="588"/>
      <c r="R25" s="589"/>
      <c r="S25" s="588"/>
      <c r="T25" s="590"/>
      <c r="V25" s="591"/>
      <c r="W25" s="589"/>
      <c r="X25" s="197"/>
      <c r="Y25" s="589"/>
      <c r="Z25" s="588"/>
      <c r="AA25" s="589"/>
      <c r="AB25" s="588"/>
      <c r="AC25" s="589"/>
      <c r="AD25" s="588"/>
      <c r="AE25" s="589"/>
      <c r="AF25" s="588"/>
      <c r="AG25" s="589"/>
      <c r="AH25" s="588"/>
      <c r="AI25" s="589"/>
      <c r="AJ25" s="592"/>
    </row>
    <row r="26" spans="1:36" ht="14.25" customHeight="1" x14ac:dyDescent="0.2">
      <c r="A26" s="285"/>
      <c r="B26" s="285"/>
      <c r="C26" s="597"/>
      <c r="D26" s="286" t="s">
        <v>296</v>
      </c>
      <c r="E26" s="285"/>
      <c r="F26" s="285"/>
      <c r="G26" s="285"/>
      <c r="H26" s="301"/>
      <c r="I26" s="598"/>
      <c r="J26" s="285"/>
      <c r="K26" s="598"/>
      <c r="L26" s="285"/>
      <c r="M26" s="598"/>
      <c r="N26" s="285"/>
      <c r="O26" s="598"/>
      <c r="P26" s="285"/>
      <c r="Q26" s="598"/>
      <c r="R26" s="285"/>
      <c r="S26" s="598"/>
      <c r="T26" s="599"/>
      <c r="U26" s="285"/>
      <c r="V26" s="600"/>
      <c r="W26" s="601"/>
      <c r="X26" s="602"/>
      <c r="Y26" s="601"/>
      <c r="Z26" s="602"/>
      <c r="AA26" s="285"/>
      <c r="AB26" s="602"/>
      <c r="AC26" s="285"/>
      <c r="AD26" s="602"/>
      <c r="AE26" s="285"/>
      <c r="AF26" s="602"/>
      <c r="AG26" s="285"/>
      <c r="AH26" s="602"/>
      <c r="AI26" s="285"/>
      <c r="AJ26" s="603"/>
    </row>
    <row r="27" spans="1:36" ht="14.25" customHeight="1" x14ac:dyDescent="0.2">
      <c r="A27" s="11">
        <v>4100</v>
      </c>
      <c r="C27" s="9"/>
      <c r="E27" s="11" t="s">
        <v>26</v>
      </c>
      <c r="I27" s="228">
        <f t="array" ref="I27">IFERROR(INDEX(Projection!$B$9:$BE$196,MATCH('7 Year Projection-Expanded'!$A27,Projection!$B$9:$B$196,0),MATCH('7 Year Projection-Expanded'!I$8,Projection!$B$9:$BE$9,0)),0)</f>
        <v>3497.1153150024606</v>
      </c>
      <c r="J27" s="29">
        <f t="array" ref="J27">IFERROR(INDEX(Projection!$B$9:$BE$196,MATCH('7 Year Projection-Expanded'!$A27,Projection!$B$9:$B$196,0),MATCH('7 Year Projection-Expanded'!J$8,Projection!$B$9:$BE$9,0)),0)</f>
        <v>6963.5585190276997</v>
      </c>
      <c r="K27" s="228">
        <f t="array" ref="K27">IFERROR(INDEX(Projection!$B$9:$BE$196,MATCH('7 Year Projection-Expanded'!$A27,Projection!$B$9:$B$196,0),MATCH('7 Year Projection-Expanded'!K$8,Projection!$B$9:$BE$9,0)),0)</f>
        <v>11809.823255951316</v>
      </c>
      <c r="L27" s="29">
        <f t="array" ref="L27">IFERROR(INDEX(Projection!$B$9:$BE$196,MATCH('7 Year Projection-Expanded'!$A27,Projection!$B$9:$B$196,0),MATCH('7 Year Projection-Expanded'!L$8,Projection!$B$9:$BE$9,0)),0)</f>
        <v>16979.52696618604</v>
      </c>
      <c r="M27" s="228">
        <f t="array" ref="M27">IFERROR(INDEX(Projection!$B$9:$BE$196,MATCH('7 Year Projection-Expanded'!$A27,Projection!$B$9:$B$196,0),MATCH('7 Year Projection-Expanded'!M$8,Projection!$B$9:$BE$9,0)),0)</f>
        <v>25278.303068504603</v>
      </c>
      <c r="N27" s="29">
        <f t="array" ref="N27">IFERROR(INDEX(Projection!$B$9:$BE$196,MATCH('7 Year Projection-Expanded'!$A27,Projection!$B$9:$B$196,0),MATCH('7 Year Projection-Expanded'!N$8,Projection!$B$9:$BE$9,0)),0)</f>
        <v>32723.038336172307</v>
      </c>
      <c r="O27" s="228">
        <f t="array" ref="O27">IFERROR(INDEX(Projection!$B$9:$BE$196,MATCH('7 Year Projection-Expanded'!$A27,Projection!$B$9:$B$196,0),MATCH('7 Year Projection-Expanded'!O$8,Projection!$B$9:$BE$9,0)),0)</f>
        <v>39178.279084771726</v>
      </c>
      <c r="P27" s="29">
        <f t="array" ref="P27">IFERROR(INDEX(Projection!$B$9:$BE$196,MATCH('7 Year Projection-Expanded'!$A27,Projection!$B$9:$B$196,0),MATCH('7 Year Projection-Expanded'!P$8,Projection!$B$9:$BE$9,0)),0)</f>
        <v>43724.818880134364</v>
      </c>
      <c r="Q27" s="228">
        <f t="array" ref="Q27">IFERROR(INDEX(Projection!$B$9:$BE$196,MATCH('7 Year Projection-Expanded'!$A27,Projection!$B$9:$B$196,0),MATCH('7 Year Projection-Expanded'!Q$8,Projection!$B$9:$BE$9,0)),0)</f>
        <v>47682.331257569822</v>
      </c>
      <c r="R27" s="29">
        <f t="array" ref="R27">IFERROR(INDEX(Projection!$B$9:$BE$196,MATCH('7 Year Projection-Expanded'!$A27,Projection!$B$9:$B$196,0),MATCH('7 Year Projection-Expanded'!R$8,Projection!$B$9:$BE$9,0)),0)</f>
        <v>51804.412810833426</v>
      </c>
      <c r="S27" s="228">
        <f t="array" ref="S27">IFERROR(INDEX(Projection!$B$9:$BE$196,MATCH('7 Year Projection-Expanded'!$A27,Projection!$B$9:$B$196,0),MATCH('7 Year Projection-Expanded'!S$8,Projection!$B$9:$BE$9,0)),0)</f>
        <v>55508.420064841441</v>
      </c>
      <c r="T27" s="28">
        <f t="array" ref="T27">IFERROR(INDEX(Projection!$B$9:$BE$196,MATCH('7 Year Projection-Expanded'!$A27,Projection!$B$9:$B$196,0),MATCH('7 Year Projection-Expanded'!T$8,Projection!$B$9:$BE$9,0)),0)</f>
        <v>58660.464237830136</v>
      </c>
      <c r="V27" s="572">
        <f t="shared" ref="V27:V29" si="12">SUM(I27:T27)</f>
        <v>393810.09179682535</v>
      </c>
      <c r="W27" s="29">
        <f>SUMIF(Projection!$F:$F,'7 Year Projection-Expanded'!$A27,Projection!BX:BX)</f>
        <v>1164295.7566077095</v>
      </c>
      <c r="X27" s="228">
        <f>SUMIF(Projection!$F:$F,'7 Year Projection-Expanded'!$A27,Projection!BY:BY)</f>
        <v>1882391.1262851309</v>
      </c>
      <c r="Y27" s="29">
        <f>SUMIF(Projection!$F:$F,'7 Year Projection-Expanded'!$A27,Projection!BZ:BZ)</f>
        <v>2204659.7383453068</v>
      </c>
      <c r="Z27" s="228">
        <f>SUMIF(Projection!$F:$F,'7 Year Projection-Expanded'!$A27,Projection!CA:CA)</f>
        <v>2303729.973855807</v>
      </c>
      <c r="AA27" s="29">
        <f>SUMIF(Projection!$F:$F,'7 Year Projection-Expanded'!$A27,Projection!CB:CB)</f>
        <v>2395879.1728100395</v>
      </c>
      <c r="AB27" s="228">
        <f>SUMIF(Projection!$F:$F,'7 Year Projection-Expanded'!$A27,Projection!CC:CC)</f>
        <v>2491714.339722441</v>
      </c>
      <c r="AC27" s="29">
        <f>SUMIF(Projection!$F:$F,'7 Year Projection-Expanded'!$A27,Projection!CD:CD)</f>
        <v>2591382.913311339</v>
      </c>
      <c r="AD27" s="228">
        <f>SUMIF(Projection!$F:$F,'7 Year Projection-Expanded'!$A27,Projection!CE:CE)</f>
        <v>2695038.2298437925</v>
      </c>
      <c r="AE27" s="29">
        <f>SUMIF(Projection!$F:$F,'7 Year Projection-Expanded'!$A27,Projection!CF:CF)</f>
        <v>2802839.7590375445</v>
      </c>
      <c r="AF27" s="228">
        <f>SUMIF(Projection!$F:$F,'7 Year Projection-Expanded'!$A27,Projection!CG:CG)</f>
        <v>2914953.3493990465</v>
      </c>
      <c r="AG27" s="29">
        <f>SUMIF(Projection!$F:$F,'7 Year Projection-Expanded'!$A27,Projection!CH:CH)</f>
        <v>3031551.4833750087</v>
      </c>
      <c r="AH27" s="228">
        <f>SUMIF(Projection!$F:$F,'7 Year Projection-Expanded'!$A27,Projection!CI:CI)</f>
        <v>3152813.542710009</v>
      </c>
      <c r="AI27" s="29">
        <f>SUMIF(Projection!$F:$F,'7 Year Projection-Expanded'!$A27,Projection!CJ:CJ)</f>
        <v>3278926.0844184095</v>
      </c>
      <c r="AJ27" s="573">
        <f>SUMIF(Projection!$F:$F,'7 Year Projection-Expanded'!$A27,Projection!CK:CK)</f>
        <v>3410083.1277951458</v>
      </c>
    </row>
    <row r="28" spans="1:36" ht="14.25" customHeight="1" x14ac:dyDescent="0.2">
      <c r="A28" s="11">
        <v>4700</v>
      </c>
      <c r="C28" s="9"/>
      <c r="E28" s="11" t="s">
        <v>28</v>
      </c>
      <c r="H28" s="604"/>
      <c r="I28" s="228">
        <f t="array" ref="I28">IFERROR(INDEX(Projection!$B$9:$BE$196,MATCH('7 Year Projection-Expanded'!$A28,Projection!$B$9:$B$196,0),MATCH('7 Year Projection-Expanded'!I$8,Projection!$B$9:$BE$9,0)),0)</f>
        <v>-87.427882875061528</v>
      </c>
      <c r="J28" s="29">
        <f t="array" ref="J28">IFERROR(INDEX(Projection!$B$9:$BE$196,MATCH('7 Year Projection-Expanded'!$A28,Projection!$B$9:$B$196,0),MATCH('7 Year Projection-Expanded'!J$8,Projection!$B$9:$BE$9,0)),0)</f>
        <v>-174.08896297569251</v>
      </c>
      <c r="K28" s="228">
        <f t="array" ref="K28">IFERROR(INDEX(Projection!$B$9:$BE$196,MATCH('7 Year Projection-Expanded'!$A28,Projection!$B$9:$B$196,0),MATCH('7 Year Projection-Expanded'!K$8,Projection!$B$9:$BE$9,0)),0)</f>
        <v>-295.24558139878292</v>
      </c>
      <c r="L28" s="29">
        <f t="array" ref="L28">IFERROR(INDEX(Projection!$B$9:$BE$196,MATCH('7 Year Projection-Expanded'!$A28,Projection!$B$9:$B$196,0),MATCH('7 Year Projection-Expanded'!L$8,Projection!$B$9:$BE$9,0)),0)</f>
        <v>-424.48817415465101</v>
      </c>
      <c r="M28" s="228">
        <f t="array" ref="M28">IFERROR(INDEX(Projection!$B$9:$BE$196,MATCH('7 Year Projection-Expanded'!$A28,Projection!$B$9:$B$196,0),MATCH('7 Year Projection-Expanded'!M$8,Projection!$B$9:$BE$9,0)),0)</f>
        <v>-631.95757671261515</v>
      </c>
      <c r="N28" s="29">
        <f t="array" ref="N28">IFERROR(INDEX(Projection!$B$9:$BE$196,MATCH('7 Year Projection-Expanded'!$A28,Projection!$B$9:$B$196,0),MATCH('7 Year Projection-Expanded'!N$8,Projection!$B$9:$BE$9,0)),0)</f>
        <v>-818.0759584043077</v>
      </c>
      <c r="O28" s="228">
        <f t="array" ref="O28">IFERROR(INDEX(Projection!$B$9:$BE$196,MATCH('7 Year Projection-Expanded'!$A28,Projection!$B$9:$B$196,0),MATCH('7 Year Projection-Expanded'!O$8,Projection!$B$9:$BE$9,0)),0)</f>
        <v>-979.45697711929324</v>
      </c>
      <c r="P28" s="29">
        <f t="array" ref="P28">IFERROR(INDEX(Projection!$B$9:$BE$196,MATCH('7 Year Projection-Expanded'!$A28,Projection!$B$9:$B$196,0),MATCH('7 Year Projection-Expanded'!P$8,Projection!$B$9:$BE$9,0)),0)</f>
        <v>-1093.1204720033591</v>
      </c>
      <c r="Q28" s="228">
        <f t="array" ref="Q28">IFERROR(INDEX(Projection!$B$9:$BE$196,MATCH('7 Year Projection-Expanded'!$A28,Projection!$B$9:$B$196,0),MATCH('7 Year Projection-Expanded'!Q$8,Projection!$B$9:$BE$9,0)),0)</f>
        <v>-1192.0582814392455</v>
      </c>
      <c r="R28" s="29">
        <f t="array" ref="R28">IFERROR(INDEX(Projection!$B$9:$BE$196,MATCH('7 Year Projection-Expanded'!$A28,Projection!$B$9:$B$196,0),MATCH('7 Year Projection-Expanded'!R$8,Projection!$B$9:$BE$9,0)),0)</f>
        <v>-1295.1103202708357</v>
      </c>
      <c r="S28" s="228">
        <f t="array" ref="S28">IFERROR(INDEX(Projection!$B$9:$BE$196,MATCH('7 Year Projection-Expanded'!$A28,Projection!$B$9:$B$196,0),MATCH('7 Year Projection-Expanded'!S$8,Projection!$B$9:$BE$9,0)),0)</f>
        <v>-1387.7105016210362</v>
      </c>
      <c r="T28" s="28">
        <f t="array" ref="T28">IFERROR(INDEX(Projection!$B$9:$BE$196,MATCH('7 Year Projection-Expanded'!$A28,Projection!$B$9:$B$196,0),MATCH('7 Year Projection-Expanded'!T$8,Projection!$B$9:$BE$9,0)),0)</f>
        <v>-1466.5116059457534</v>
      </c>
      <c r="V28" s="572">
        <f t="shared" si="12"/>
        <v>-9845.2522949206341</v>
      </c>
      <c r="W28" s="29">
        <f>SUMIF(Projection!$F:$F,'7 Year Projection-Expanded'!$A28,Projection!BX:BX)</f>
        <v>-29107.393915192733</v>
      </c>
      <c r="X28" s="228">
        <f>SUMIF(Projection!$F:$F,'7 Year Projection-Expanded'!$A28,Projection!BY:BY)</f>
        <v>-47059.778157128276</v>
      </c>
      <c r="Y28" s="29">
        <f>SUMIF(Projection!$F:$F,'7 Year Projection-Expanded'!$A28,Projection!BZ:BZ)</f>
        <v>-55116.493458632671</v>
      </c>
      <c r="Z28" s="228">
        <f>SUMIF(Projection!$F:$F,'7 Year Projection-Expanded'!$A28,Projection!CA:CA)</f>
        <v>-57593.249346395176</v>
      </c>
      <c r="AA28" s="29">
        <f>SUMIF(Projection!$F:$F,'7 Year Projection-Expanded'!$A28,Projection!CB:CB)</f>
        <v>-59896.979320250983</v>
      </c>
      <c r="AB28" s="228">
        <f>SUMIF(Projection!$F:$F,'7 Year Projection-Expanded'!$A28,Projection!CC:CC)</f>
        <v>-62292.858493061023</v>
      </c>
      <c r="AC28" s="29">
        <f>SUMIF(Projection!$F:$F,'7 Year Projection-Expanded'!$A28,Projection!CD:CD)</f>
        <v>-64784.572832783466</v>
      </c>
      <c r="AD28" s="228">
        <f>SUMIF(Projection!$F:$F,'7 Year Projection-Expanded'!$A28,Projection!CE:CE)</f>
        <v>-67375.955746094813</v>
      </c>
      <c r="AE28" s="29">
        <f>SUMIF(Projection!$F:$F,'7 Year Projection-Expanded'!$A28,Projection!CF:CF)</f>
        <v>-70070.993975938603</v>
      </c>
      <c r="AF28" s="228">
        <f>SUMIF(Projection!$F:$F,'7 Year Projection-Expanded'!$A28,Projection!CG:CG)</f>
        <v>-72873.833734976157</v>
      </c>
      <c r="AG28" s="29">
        <f>SUMIF(Projection!$F:$F,'7 Year Projection-Expanded'!$A28,Projection!CH:CH)</f>
        <v>-75788.787084375203</v>
      </c>
      <c r="AH28" s="228">
        <f>SUMIF(Projection!$F:$F,'7 Year Projection-Expanded'!$A28,Projection!CI:CI)</f>
        <v>-78820.338567750208</v>
      </c>
      <c r="AI28" s="29">
        <f>SUMIF(Projection!$F:$F,'7 Year Projection-Expanded'!$A28,Projection!CJ:CJ)</f>
        <v>-81973.152110460214</v>
      </c>
      <c r="AJ28" s="573">
        <f>SUMIF(Projection!$F:$F,'7 Year Projection-Expanded'!$A28,Projection!CK:CK)</f>
        <v>-85252.078194878632</v>
      </c>
    </row>
    <row r="29" spans="1:36" ht="14.25" customHeight="1" x14ac:dyDescent="0.2">
      <c r="A29" s="11">
        <v>7101</v>
      </c>
      <c r="C29" s="9"/>
      <c r="E29" s="11" t="s">
        <v>442</v>
      </c>
      <c r="H29" s="605"/>
      <c r="I29" s="228">
        <f t="array" ref="I29">IFERROR(INDEX(Projection!$B$9:$BE$196,MATCH('7 Year Projection-Expanded'!$A29,Projection!$B$9:$B$196,0),MATCH('7 Year Projection-Expanded'!I$8,Projection!$B$9:$BE$9,0)),0)</f>
        <v>-34.971153150024605</v>
      </c>
      <c r="J29" s="29">
        <f t="array" ref="J29">IFERROR(INDEX(Projection!$B$9:$BE$196,MATCH('7 Year Projection-Expanded'!$A29,Projection!$B$9:$B$196,0),MATCH('7 Year Projection-Expanded'!J$8,Projection!$B$9:$BE$9,0)),0)</f>
        <v>-69.635585190276998</v>
      </c>
      <c r="K29" s="228">
        <f t="array" ref="K29">IFERROR(INDEX(Projection!$B$9:$BE$196,MATCH('7 Year Projection-Expanded'!$A29,Projection!$B$9:$B$196,0),MATCH('7 Year Projection-Expanded'!K$8,Projection!$B$9:$BE$9,0)),0)</f>
        <v>-118.09823255951316</v>
      </c>
      <c r="L29" s="29">
        <f t="array" ref="L29">IFERROR(INDEX(Projection!$B$9:$BE$196,MATCH('7 Year Projection-Expanded'!$A29,Projection!$B$9:$B$196,0),MATCH('7 Year Projection-Expanded'!L$8,Projection!$B$9:$BE$9,0)),0)</f>
        <v>-169.7952696618604</v>
      </c>
      <c r="M29" s="228">
        <f t="array" ref="M29">IFERROR(INDEX(Projection!$B$9:$BE$196,MATCH('7 Year Projection-Expanded'!$A29,Projection!$B$9:$B$196,0),MATCH('7 Year Projection-Expanded'!M$8,Projection!$B$9:$BE$9,0)),0)</f>
        <v>-252.78303068504604</v>
      </c>
      <c r="N29" s="29">
        <f t="array" ref="N29">IFERROR(INDEX(Projection!$B$9:$BE$196,MATCH('7 Year Projection-Expanded'!$A29,Projection!$B$9:$B$196,0),MATCH('7 Year Projection-Expanded'!N$8,Projection!$B$9:$BE$9,0)),0)</f>
        <v>-327.23038336172306</v>
      </c>
      <c r="O29" s="228">
        <f t="array" ref="O29">IFERROR(INDEX(Projection!$B$9:$BE$196,MATCH('7 Year Projection-Expanded'!$A29,Projection!$B$9:$B$196,0),MATCH('7 Year Projection-Expanded'!O$8,Projection!$B$9:$BE$9,0)),0)</f>
        <v>-391.78279084771725</v>
      </c>
      <c r="P29" s="29">
        <f t="array" ref="P29">IFERROR(INDEX(Projection!$B$9:$BE$196,MATCH('7 Year Projection-Expanded'!$A29,Projection!$B$9:$B$196,0),MATCH('7 Year Projection-Expanded'!P$8,Projection!$B$9:$BE$9,0)),0)</f>
        <v>-437.24818880134364</v>
      </c>
      <c r="Q29" s="228">
        <f t="array" ref="Q29">IFERROR(INDEX(Projection!$B$9:$BE$196,MATCH('7 Year Projection-Expanded'!$A29,Projection!$B$9:$B$196,0),MATCH('7 Year Projection-Expanded'!Q$8,Projection!$B$9:$BE$9,0)),0)</f>
        <v>-476.82331257569825</v>
      </c>
      <c r="R29" s="29">
        <f t="array" ref="R29">IFERROR(INDEX(Projection!$B$9:$BE$196,MATCH('7 Year Projection-Expanded'!$A29,Projection!$B$9:$B$196,0),MATCH('7 Year Projection-Expanded'!R$8,Projection!$B$9:$BE$9,0)),0)</f>
        <v>-518.04412810833423</v>
      </c>
      <c r="S29" s="228">
        <f t="array" ref="S29">IFERROR(INDEX(Projection!$B$9:$BE$196,MATCH('7 Year Projection-Expanded'!$A29,Projection!$B$9:$B$196,0),MATCH('7 Year Projection-Expanded'!S$8,Projection!$B$9:$BE$9,0)),0)</f>
        <v>-555.08420064841437</v>
      </c>
      <c r="T29" s="28">
        <f t="array" ref="T29">IFERROR(INDEX(Projection!$B$9:$BE$196,MATCH('7 Year Projection-Expanded'!$A29,Projection!$B$9:$B$196,0),MATCH('7 Year Projection-Expanded'!T$8,Projection!$B$9:$BE$9,0)),0)</f>
        <v>-586.60464237830138</v>
      </c>
      <c r="V29" s="572">
        <f t="shared" si="12"/>
        <v>-3938.1009179682537</v>
      </c>
      <c r="W29" s="29">
        <f>SUMIF(Projection!$F:$F,'7 Year Projection-Expanded'!$A29,Projection!BX:BX)</f>
        <v>-11642.957566077095</v>
      </c>
      <c r="X29" s="228">
        <f>SUMIF(Projection!$F:$F,'7 Year Projection-Expanded'!$A29,Projection!BY:BY)</f>
        <v>-18823.91126285131</v>
      </c>
      <c r="Y29" s="29">
        <f>SUMIF(Projection!$F:$F,'7 Year Projection-Expanded'!$A29,Projection!BZ:BZ)</f>
        <v>-22046.597383453067</v>
      </c>
      <c r="Z29" s="228">
        <f>SUMIF(Projection!$F:$F,'7 Year Projection-Expanded'!$A29,Projection!CA:CA)</f>
        <v>-23037.299738558071</v>
      </c>
      <c r="AA29" s="29">
        <f>SUMIF(Projection!$F:$F,'7 Year Projection-Expanded'!$A29,Projection!CB:CB)</f>
        <v>-23958.791728100394</v>
      </c>
      <c r="AB29" s="228">
        <f>SUMIF(Projection!$F:$F,'7 Year Projection-Expanded'!$A29,Projection!CC:CC)</f>
        <v>-24917.143397224412</v>
      </c>
      <c r="AC29" s="29">
        <f>SUMIF(Projection!$F:$F,'7 Year Projection-Expanded'!$A29,Projection!CD:CD)</f>
        <v>-25913.829133113388</v>
      </c>
      <c r="AD29" s="228">
        <f>SUMIF(Projection!$F:$F,'7 Year Projection-Expanded'!$A29,Projection!CE:CE)</f>
        <v>-26950.382298437926</v>
      </c>
      <c r="AE29" s="29">
        <f>SUMIF(Projection!$F:$F,'7 Year Projection-Expanded'!$A29,Projection!CF:CF)</f>
        <v>-28028.397590375444</v>
      </c>
      <c r="AF29" s="228">
        <f>SUMIF(Projection!$F:$F,'7 Year Projection-Expanded'!$A29,Projection!CG:CG)</f>
        <v>-29149.533493990461</v>
      </c>
      <c r="AG29" s="29">
        <f>SUMIF(Projection!$F:$F,'7 Year Projection-Expanded'!$A29,Projection!CH:CH)</f>
        <v>-30315.51483375008</v>
      </c>
      <c r="AH29" s="228">
        <f>SUMIF(Projection!$F:$F,'7 Year Projection-Expanded'!$A29,Projection!CI:CI)</f>
        <v>-31528.135427100086</v>
      </c>
      <c r="AI29" s="29">
        <f>SUMIF(Projection!$F:$F,'7 Year Projection-Expanded'!$A29,Projection!CJ:CJ)</f>
        <v>-32789.260844184093</v>
      </c>
      <c r="AJ29" s="573">
        <f>SUMIF(Projection!$F:$F,'7 Year Projection-Expanded'!$A29,Projection!CK:CK)</f>
        <v>-34100.83127795146</v>
      </c>
    </row>
    <row r="30" spans="1:36" ht="14.25" customHeight="1" x14ac:dyDescent="0.2">
      <c r="A30" s="283" t="s">
        <v>344</v>
      </c>
      <c r="B30" s="285"/>
      <c r="C30" s="597"/>
      <c r="D30" s="286" t="s">
        <v>443</v>
      </c>
      <c r="E30" s="285"/>
      <c r="F30" s="285"/>
      <c r="G30" s="285"/>
      <c r="H30" s="285"/>
      <c r="I30" s="606">
        <f t="shared" ref="I30:T30" si="13">SUM(I27:I29)</f>
        <v>3374.7162789773743</v>
      </c>
      <c r="J30" s="289">
        <f t="shared" si="13"/>
        <v>6719.8339708617304</v>
      </c>
      <c r="K30" s="606">
        <f t="shared" si="13"/>
        <v>11396.47944199302</v>
      </c>
      <c r="L30" s="289">
        <f t="shared" si="13"/>
        <v>16385.243522369528</v>
      </c>
      <c r="M30" s="606">
        <f t="shared" si="13"/>
        <v>24393.562461106943</v>
      </c>
      <c r="N30" s="289">
        <f t="shared" si="13"/>
        <v>31577.731994406276</v>
      </c>
      <c r="O30" s="606">
        <f t="shared" si="13"/>
        <v>37807.039316804716</v>
      </c>
      <c r="P30" s="289">
        <f t="shared" si="13"/>
        <v>42194.450219329665</v>
      </c>
      <c r="Q30" s="606">
        <f t="shared" si="13"/>
        <v>46013.449663554878</v>
      </c>
      <c r="R30" s="289">
        <f t="shared" si="13"/>
        <v>49991.25836245426</v>
      </c>
      <c r="S30" s="606">
        <f t="shared" si="13"/>
        <v>53565.625362571991</v>
      </c>
      <c r="T30" s="607">
        <f t="shared" si="13"/>
        <v>56607.347989506081</v>
      </c>
      <c r="U30" s="285"/>
      <c r="V30" s="608">
        <f t="shared" ref="V30:AJ30" si="14">SUM(V27:V29)</f>
        <v>380026.73858393647</v>
      </c>
      <c r="W30" s="289">
        <f t="shared" si="14"/>
        <v>1123545.4051264396</v>
      </c>
      <c r="X30" s="606">
        <f t="shared" si="14"/>
        <v>1816507.4368651514</v>
      </c>
      <c r="Y30" s="289">
        <f t="shared" si="14"/>
        <v>2127496.6475032209</v>
      </c>
      <c r="Z30" s="606">
        <f t="shared" si="14"/>
        <v>2223099.4247708539</v>
      </c>
      <c r="AA30" s="289">
        <f t="shared" si="14"/>
        <v>2312023.4017616883</v>
      </c>
      <c r="AB30" s="606">
        <f t="shared" si="14"/>
        <v>2404504.3378321556</v>
      </c>
      <c r="AC30" s="289">
        <f t="shared" si="14"/>
        <v>2500684.5113454419</v>
      </c>
      <c r="AD30" s="606">
        <f t="shared" si="14"/>
        <v>2600711.8917992599</v>
      </c>
      <c r="AE30" s="289">
        <f t="shared" si="14"/>
        <v>2704740.3674712302</v>
      </c>
      <c r="AF30" s="606">
        <f t="shared" si="14"/>
        <v>2812929.9821700798</v>
      </c>
      <c r="AG30" s="289">
        <f t="shared" si="14"/>
        <v>2925447.1814568834</v>
      </c>
      <c r="AH30" s="606">
        <f t="shared" si="14"/>
        <v>3042465.0687151588</v>
      </c>
      <c r="AI30" s="289">
        <f t="shared" si="14"/>
        <v>3164163.6714637652</v>
      </c>
      <c r="AJ30" s="609">
        <f t="shared" si="14"/>
        <v>3290730.2183223157</v>
      </c>
    </row>
    <row r="31" spans="1:36" ht="6" customHeight="1" x14ac:dyDescent="0.2">
      <c r="C31" s="9"/>
      <c r="I31" s="197"/>
      <c r="K31" s="197"/>
      <c r="M31" s="197"/>
      <c r="O31" s="197"/>
      <c r="Q31" s="197"/>
      <c r="S31" s="197"/>
      <c r="T31" s="20"/>
      <c r="V31" s="610"/>
      <c r="X31" s="197"/>
      <c r="Z31" s="197"/>
      <c r="AB31" s="197"/>
      <c r="AD31" s="197"/>
      <c r="AF31" s="197"/>
      <c r="AH31" s="197"/>
      <c r="AJ31" s="611"/>
    </row>
    <row r="32" spans="1:36" ht="14.25" customHeight="1" x14ac:dyDescent="0.2">
      <c r="A32" s="285"/>
      <c r="B32" s="285"/>
      <c r="C32" s="597"/>
      <c r="D32" s="286" t="s">
        <v>444</v>
      </c>
      <c r="E32" s="285"/>
      <c r="F32" s="285"/>
      <c r="G32" s="285"/>
      <c r="H32" s="285"/>
      <c r="I32" s="598"/>
      <c r="J32" s="285"/>
      <c r="K32" s="598"/>
      <c r="L32" s="285"/>
      <c r="M32" s="598"/>
      <c r="N32" s="285"/>
      <c r="O32" s="598"/>
      <c r="P32" s="285"/>
      <c r="Q32" s="598"/>
      <c r="R32" s="285"/>
      <c r="S32" s="598"/>
      <c r="T32" s="599"/>
      <c r="U32" s="285"/>
      <c r="V32" s="600"/>
      <c r="W32" s="285"/>
      <c r="X32" s="612"/>
      <c r="Y32" s="285"/>
      <c r="Z32" s="598"/>
      <c r="AA32" s="285"/>
      <c r="AB32" s="598"/>
      <c r="AC32" s="285"/>
      <c r="AD32" s="598"/>
      <c r="AE32" s="285"/>
      <c r="AF32" s="598"/>
      <c r="AG32" s="285"/>
      <c r="AH32" s="598"/>
      <c r="AI32" s="285"/>
      <c r="AJ32" s="613"/>
    </row>
    <row r="33" spans="1:36" ht="14.25" customHeight="1" x14ac:dyDescent="0.2">
      <c r="A33" s="11">
        <v>4281</v>
      </c>
      <c r="C33" s="9"/>
      <c r="E33" s="11" t="s">
        <v>181</v>
      </c>
      <c r="H33" s="604"/>
      <c r="I33" s="228">
        <f t="array" ref="I33">IFERROR(INDEX(Projection!$B$9:$BE$196,MATCH('7 Year Projection-Expanded'!$A33,Projection!$B$9:$B$196,0),MATCH('7 Year Projection-Expanded'!I$8,Projection!$B$9:$BE$9,0)),0)</f>
        <v>223.88774051415163</v>
      </c>
      <c r="J33" s="29">
        <f t="array" ref="J33">IFERROR(INDEX(Projection!$B$9:$BE$196,MATCH('7 Year Projection-Expanded'!$A33,Projection!$B$9:$B$196,0),MATCH('7 Year Projection-Expanded'!J$8,Projection!$B$9:$BE$9,0)),0)</f>
        <v>221.18680142336754</v>
      </c>
      <c r="K33" s="228">
        <f t="array" ref="K33">IFERROR(INDEX(Projection!$B$9:$BE$196,MATCH('7 Year Projection-Expanded'!$A33,Projection!$B$9:$B$196,0),MATCH('7 Year Projection-Expanded'!K$8,Projection!$B$9:$BE$9,0)),0)</f>
        <v>327.15378930220146</v>
      </c>
      <c r="L33" s="29">
        <f t="array" ref="L33">IFERROR(INDEX(Projection!$B$9:$BE$196,MATCH('7 Year Projection-Expanded'!$A33,Projection!$B$9:$B$196,0),MATCH('7 Year Projection-Expanded'!L$8,Projection!$B$9:$BE$9,0)),0)</f>
        <v>358.25893834363984</v>
      </c>
      <c r="M33" s="228">
        <f t="array" ref="M33">IFERROR(INDEX(Projection!$B$9:$BE$196,MATCH('7 Year Projection-Expanded'!$A33,Projection!$B$9:$B$196,0),MATCH('7 Year Projection-Expanded'!M$8,Projection!$B$9:$BE$9,0)),0)</f>
        <v>550.64774684508495</v>
      </c>
      <c r="N33" s="29">
        <f t="array" ref="N33">IFERROR(INDEX(Projection!$B$9:$BE$196,MATCH('7 Year Projection-Expanded'!$A33,Projection!$B$9:$B$196,0),MATCH('7 Year Projection-Expanded'!N$8,Projection!$B$9:$BE$9,0)),0)</f>
        <v>514.38824139943267</v>
      </c>
      <c r="O33" s="228">
        <f t="array" ref="O33">IFERROR(INDEX(Projection!$B$9:$BE$196,MATCH('7 Year Projection-Expanded'!$A33,Projection!$B$9:$B$196,0),MATCH('7 Year Projection-Expanded'!O$8,Projection!$B$9:$BE$9,0)),0)</f>
        <v>507.4980010786665</v>
      </c>
      <c r="P33" s="29">
        <f t="array" ref="P33">IFERROR(INDEX(Projection!$B$9:$BE$196,MATCH('7 Year Projection-Expanded'!$A33,Projection!$B$9:$B$196,0),MATCH('7 Year Projection-Expanded'!P$8,Projection!$B$9:$BE$9,0)),0)</f>
        <v>483.50151284499981</v>
      </c>
      <c r="Q33" s="228">
        <f t="array" ref="Q33">IFERROR(INDEX(Projection!$B$9:$BE$196,MATCH('7 Year Projection-Expanded'!$A33,Projection!$B$9:$B$196,0),MATCH('7 Year Projection-Expanded'!Q$8,Projection!$B$9:$BE$9,0)),0)</f>
        <v>456.90463155364824</v>
      </c>
      <c r="R33" s="29">
        <f t="array" ref="R33">IFERROR(INDEX(Projection!$B$9:$BE$196,MATCH('7 Year Projection-Expanded'!$A33,Projection!$B$9:$B$196,0),MATCH('7 Year Projection-Expanded'!R$8,Projection!$B$9:$BE$9,0)),0)</f>
        <v>467.77994233267441</v>
      </c>
      <c r="S33" s="228">
        <f t="array" ref="S33">IFERROR(INDEX(Projection!$B$9:$BE$196,MATCH('7 Year Projection-Expanded'!$A33,Projection!$B$9:$B$196,0),MATCH('7 Year Projection-Expanded'!S$8,Projection!$B$9:$BE$9,0)),0)</f>
        <v>461.00083123819348</v>
      </c>
      <c r="T33" s="28">
        <f t="array" ref="T33">IFERROR(INDEX(Projection!$B$9:$BE$196,MATCH('7 Year Projection-Expanded'!$A33,Projection!$B$9:$B$196,0),MATCH('7 Year Projection-Expanded'!T$8,Projection!$B$9:$BE$9,0)),0)</f>
        <v>431.37530395543689</v>
      </c>
      <c r="V33" s="572">
        <f t="shared" ref="V33:V41" si="15">SUM(I33:T33)</f>
        <v>5003.5834808314976</v>
      </c>
      <c r="W33" s="29">
        <f>SUMIF(Projection!$F:$F,'7 Year Projection-Expanded'!$A33,Projection!BX:BX)</f>
        <v>8274.6952204906665</v>
      </c>
      <c r="X33" s="228">
        <f>SUMIF(Projection!$F:$F,'7 Year Projection-Expanded'!$A33,Projection!BY:BY)</f>
        <v>9092.9652395047469</v>
      </c>
      <c r="Y33" s="29">
        <f>SUMIF(Projection!$F:$F,'7 Year Projection-Expanded'!$A33,Projection!BZ:BZ)</f>
        <v>6649.4982396007954</v>
      </c>
      <c r="Z33" s="228">
        <f>SUMIF(Projection!$F:$F,'7 Year Projection-Expanded'!$A33,Projection!CA:CA)</f>
        <v>6219.2405984106881</v>
      </c>
      <c r="AA33" s="29">
        <f>SUMIF(Projection!$F:$F,'7 Year Projection-Expanded'!$A33,Projection!CB:CB)</f>
        <v>6468.0102223471158</v>
      </c>
      <c r="AB33" s="228">
        <f>SUMIF(Projection!$F:$F,'7 Year Projection-Expanded'!$A33,Projection!CC:CC)</f>
        <v>6726.730631241001</v>
      </c>
      <c r="AC33" s="29">
        <f>SUMIF(Projection!$F:$F,'7 Year Projection-Expanded'!$A33,Projection!CD:CD)</f>
        <v>6995.7998564906411</v>
      </c>
      <c r="AD33" s="228">
        <f>SUMIF(Projection!$F:$F,'7 Year Projection-Expanded'!$A33,Projection!CE:CE)</f>
        <v>7275.6318507502674</v>
      </c>
      <c r="AE33" s="29">
        <f>SUMIF(Projection!$F:$F,'7 Year Projection-Expanded'!$A33,Projection!CF:CF)</f>
        <v>7566.6571247802785</v>
      </c>
      <c r="AF33" s="228">
        <f>SUMIF(Projection!$F:$F,'7 Year Projection-Expanded'!$A33,Projection!CG:CG)</f>
        <v>7869.3234097714903</v>
      </c>
      <c r="AG33" s="29">
        <f>SUMIF(Projection!$F:$F,'7 Year Projection-Expanded'!$A33,Projection!CH:CH)</f>
        <v>8184.0963461623505</v>
      </c>
      <c r="AH33" s="228">
        <f>SUMIF(Projection!$F:$F,'7 Year Projection-Expanded'!$A33,Projection!CI:CI)</f>
        <v>8511.4602000088453</v>
      </c>
      <c r="AI33" s="29">
        <f>SUMIF(Projection!$F:$F,'7 Year Projection-Expanded'!$A33,Projection!CJ:CJ)</f>
        <v>8851.9186080091986</v>
      </c>
      <c r="AJ33" s="573">
        <f>SUMIF(Projection!$F:$F,'7 Year Projection-Expanded'!$A33,Projection!CK:CK)</f>
        <v>9205.9953523295662</v>
      </c>
    </row>
    <row r="34" spans="1:36" ht="14.25" customHeight="1" x14ac:dyDescent="0.2">
      <c r="A34" s="11">
        <v>4282</v>
      </c>
      <c r="C34" s="9"/>
      <c r="E34" s="11" t="s">
        <v>185</v>
      </c>
      <c r="H34" s="604"/>
      <c r="I34" s="228">
        <f t="array" ref="I34">IFERROR(INDEX(Projection!$B$9:$BE$196,MATCH('7 Year Projection-Expanded'!$A34,Projection!$B$9:$B$196,0),MATCH('7 Year Projection-Expanded'!I$8,Projection!$B$9:$BE$9,0)),0)</f>
        <v>3.4971153150024605</v>
      </c>
      <c r="J34" s="29">
        <f t="array" ref="J34">IFERROR(INDEX(Projection!$B$9:$BE$196,MATCH('7 Year Projection-Expanded'!$A34,Projection!$B$9:$B$196,0),MATCH('7 Year Projection-Expanded'!J$8,Projection!$B$9:$BE$9,0)),0)</f>
        <v>6.9635585190276998</v>
      </c>
      <c r="K34" s="228">
        <f t="array" ref="K34">IFERROR(INDEX(Projection!$B$9:$BE$196,MATCH('7 Year Projection-Expanded'!$A34,Projection!$B$9:$B$196,0),MATCH('7 Year Projection-Expanded'!K$8,Projection!$B$9:$BE$9,0)),0)</f>
        <v>11.809823255951317</v>
      </c>
      <c r="L34" s="29">
        <f t="array" ref="L34">IFERROR(INDEX(Projection!$B$9:$BE$196,MATCH('7 Year Projection-Expanded'!$A34,Projection!$B$9:$B$196,0),MATCH('7 Year Projection-Expanded'!L$8,Projection!$B$9:$BE$9,0)),0)</f>
        <v>16.97952696618604</v>
      </c>
      <c r="M34" s="228">
        <f t="array" ref="M34">IFERROR(INDEX(Projection!$B$9:$BE$196,MATCH('7 Year Projection-Expanded'!$A34,Projection!$B$9:$B$196,0),MATCH('7 Year Projection-Expanded'!M$8,Projection!$B$9:$BE$9,0)),0)</f>
        <v>25.278303068504602</v>
      </c>
      <c r="N34" s="29">
        <f t="array" ref="N34">IFERROR(INDEX(Projection!$B$9:$BE$196,MATCH('7 Year Projection-Expanded'!$A34,Projection!$B$9:$B$196,0),MATCH('7 Year Projection-Expanded'!N$8,Projection!$B$9:$BE$9,0)),0)</f>
        <v>32.723038336172309</v>
      </c>
      <c r="O34" s="228">
        <f t="array" ref="O34">IFERROR(INDEX(Projection!$B$9:$BE$196,MATCH('7 Year Projection-Expanded'!$A34,Projection!$B$9:$B$196,0),MATCH('7 Year Projection-Expanded'!O$8,Projection!$B$9:$BE$9,0)),0)</f>
        <v>39.178279084771724</v>
      </c>
      <c r="P34" s="29">
        <f t="array" ref="P34">IFERROR(INDEX(Projection!$B$9:$BE$196,MATCH('7 Year Projection-Expanded'!$A34,Projection!$B$9:$B$196,0),MATCH('7 Year Projection-Expanded'!P$8,Projection!$B$9:$BE$9,0)),0)</f>
        <v>43.724818880134364</v>
      </c>
      <c r="Q34" s="228">
        <f t="array" ref="Q34">IFERROR(INDEX(Projection!$B$9:$BE$196,MATCH('7 Year Projection-Expanded'!$A34,Projection!$B$9:$B$196,0),MATCH('7 Year Projection-Expanded'!Q$8,Projection!$B$9:$BE$9,0)),0)</f>
        <v>47.682331257569821</v>
      </c>
      <c r="R34" s="29">
        <f t="array" ref="R34">IFERROR(INDEX(Projection!$B$9:$BE$196,MATCH('7 Year Projection-Expanded'!$A34,Projection!$B$9:$B$196,0),MATCH('7 Year Projection-Expanded'!R$8,Projection!$B$9:$BE$9,0)),0)</f>
        <v>51.804412810833426</v>
      </c>
      <c r="S34" s="228">
        <f t="array" ref="S34">IFERROR(INDEX(Projection!$B$9:$BE$196,MATCH('7 Year Projection-Expanded'!$A34,Projection!$B$9:$B$196,0),MATCH('7 Year Projection-Expanded'!S$8,Projection!$B$9:$BE$9,0)),0)</f>
        <v>55.508420064841445</v>
      </c>
      <c r="T34" s="28">
        <f t="array" ref="T34">IFERROR(INDEX(Projection!$B$9:$BE$196,MATCH('7 Year Projection-Expanded'!$A34,Projection!$B$9:$B$196,0),MATCH('7 Year Projection-Expanded'!T$8,Projection!$B$9:$BE$9,0)),0)</f>
        <v>58.660464237830141</v>
      </c>
      <c r="V34" s="572">
        <f t="shared" si="15"/>
        <v>393.81009179682536</v>
      </c>
      <c r="W34" s="29">
        <f>SUMIF(Projection!$F:$F,'7 Year Projection-Expanded'!$A34,Projection!BX:BX)</f>
        <v>1164.2957566077093</v>
      </c>
      <c r="X34" s="228">
        <f>SUMIF(Projection!$F:$F,'7 Year Projection-Expanded'!$A34,Projection!BY:BY)</f>
        <v>1882.3911262851309</v>
      </c>
      <c r="Y34" s="29">
        <f>SUMIF(Projection!$F:$F,'7 Year Projection-Expanded'!$A34,Projection!BZ:BZ)</f>
        <v>2204.6597383453068</v>
      </c>
      <c r="Z34" s="228">
        <f>SUMIF(Projection!$F:$F,'7 Year Projection-Expanded'!$A34,Projection!CA:CA)</f>
        <v>2303.7299738558067</v>
      </c>
      <c r="AA34" s="29">
        <f>SUMIF(Projection!$F:$F,'7 Year Projection-Expanded'!$A34,Projection!CB:CB)</f>
        <v>2395.8791728100391</v>
      </c>
      <c r="AB34" s="228">
        <f>SUMIF(Projection!$F:$F,'7 Year Projection-Expanded'!$A34,Projection!CC:CC)</f>
        <v>2491.7143397224409</v>
      </c>
      <c r="AC34" s="29">
        <f>SUMIF(Projection!$F:$F,'7 Year Projection-Expanded'!$A34,Projection!CD:CD)</f>
        <v>2591.3829133113386</v>
      </c>
      <c r="AD34" s="228">
        <f>SUMIF(Projection!$F:$F,'7 Year Projection-Expanded'!$A34,Projection!CE:CE)</f>
        <v>2695.0382298437921</v>
      </c>
      <c r="AE34" s="29">
        <f>SUMIF(Projection!$F:$F,'7 Year Projection-Expanded'!$A34,Projection!CF:CF)</f>
        <v>2802.8397590375439</v>
      </c>
      <c r="AF34" s="228">
        <f>SUMIF(Projection!$F:$F,'7 Year Projection-Expanded'!$A34,Projection!CG:CG)</f>
        <v>2914.9533493990457</v>
      </c>
      <c r="AG34" s="29">
        <f>SUMIF(Projection!$F:$F,'7 Year Projection-Expanded'!$A34,Projection!CH:CH)</f>
        <v>3031.5514833750076</v>
      </c>
      <c r="AH34" s="228">
        <f>SUMIF(Projection!$F:$F,'7 Year Projection-Expanded'!$A34,Projection!CI:CI)</f>
        <v>3152.8135427100078</v>
      </c>
      <c r="AI34" s="29">
        <f>SUMIF(Projection!$F:$F,'7 Year Projection-Expanded'!$A34,Projection!CJ:CJ)</f>
        <v>3278.9260844184082</v>
      </c>
      <c r="AJ34" s="573">
        <f>SUMIF(Projection!$F:$F,'7 Year Projection-Expanded'!$A34,Projection!CK:CK)</f>
        <v>3410.0831277951447</v>
      </c>
    </row>
    <row r="35" spans="1:36" ht="14.25" customHeight="1" x14ac:dyDescent="0.2">
      <c r="A35" s="11">
        <v>4283</v>
      </c>
      <c r="C35" s="9"/>
      <c r="E35" s="11" t="s">
        <v>188</v>
      </c>
      <c r="H35" s="604"/>
      <c r="I35" s="228">
        <f t="array" ref="I35">IFERROR(INDEX(Projection!$B$9:$BE$196,MATCH('7 Year Projection-Expanded'!$A35,Projection!$B$9:$B$196,0),MATCH('7 Year Projection-Expanded'!I$8,Projection!$B$9:$BE$9,0)),0)</f>
        <v>3.4971153150024605</v>
      </c>
      <c r="J35" s="29">
        <f t="array" ref="J35">IFERROR(INDEX(Projection!$B$9:$BE$196,MATCH('7 Year Projection-Expanded'!$A35,Projection!$B$9:$B$196,0),MATCH('7 Year Projection-Expanded'!J$8,Projection!$B$9:$BE$9,0)),0)</f>
        <v>6.9635585190276998</v>
      </c>
      <c r="K35" s="228">
        <f t="array" ref="K35">IFERROR(INDEX(Projection!$B$9:$BE$196,MATCH('7 Year Projection-Expanded'!$A35,Projection!$B$9:$B$196,0),MATCH('7 Year Projection-Expanded'!K$8,Projection!$B$9:$BE$9,0)),0)</f>
        <v>11.809823255951317</v>
      </c>
      <c r="L35" s="29">
        <f t="array" ref="L35">IFERROR(INDEX(Projection!$B$9:$BE$196,MATCH('7 Year Projection-Expanded'!$A35,Projection!$B$9:$B$196,0),MATCH('7 Year Projection-Expanded'!L$8,Projection!$B$9:$BE$9,0)),0)</f>
        <v>16.97952696618604</v>
      </c>
      <c r="M35" s="228">
        <f t="array" ref="M35">IFERROR(INDEX(Projection!$B$9:$BE$196,MATCH('7 Year Projection-Expanded'!$A35,Projection!$B$9:$B$196,0),MATCH('7 Year Projection-Expanded'!M$8,Projection!$B$9:$BE$9,0)),0)</f>
        <v>25.278303068504602</v>
      </c>
      <c r="N35" s="29">
        <f t="array" ref="N35">IFERROR(INDEX(Projection!$B$9:$BE$196,MATCH('7 Year Projection-Expanded'!$A35,Projection!$B$9:$B$196,0),MATCH('7 Year Projection-Expanded'!N$8,Projection!$B$9:$BE$9,0)),0)</f>
        <v>32.723038336172309</v>
      </c>
      <c r="O35" s="228">
        <f t="array" ref="O35">IFERROR(INDEX(Projection!$B$9:$BE$196,MATCH('7 Year Projection-Expanded'!$A35,Projection!$B$9:$B$196,0),MATCH('7 Year Projection-Expanded'!O$8,Projection!$B$9:$BE$9,0)),0)</f>
        <v>39.178279084771724</v>
      </c>
      <c r="P35" s="29">
        <f t="array" ref="P35">IFERROR(INDEX(Projection!$B$9:$BE$196,MATCH('7 Year Projection-Expanded'!$A35,Projection!$B$9:$B$196,0),MATCH('7 Year Projection-Expanded'!P$8,Projection!$B$9:$BE$9,0)),0)</f>
        <v>43.724818880134364</v>
      </c>
      <c r="Q35" s="228">
        <f t="array" ref="Q35">IFERROR(INDEX(Projection!$B$9:$BE$196,MATCH('7 Year Projection-Expanded'!$A35,Projection!$B$9:$B$196,0),MATCH('7 Year Projection-Expanded'!Q$8,Projection!$B$9:$BE$9,0)),0)</f>
        <v>47.682331257569821</v>
      </c>
      <c r="R35" s="29">
        <f t="array" ref="R35">IFERROR(INDEX(Projection!$B$9:$BE$196,MATCH('7 Year Projection-Expanded'!$A35,Projection!$B$9:$B$196,0),MATCH('7 Year Projection-Expanded'!R$8,Projection!$B$9:$BE$9,0)),0)</f>
        <v>51.804412810833426</v>
      </c>
      <c r="S35" s="228">
        <f t="array" ref="S35">IFERROR(INDEX(Projection!$B$9:$BE$196,MATCH('7 Year Projection-Expanded'!$A35,Projection!$B$9:$B$196,0),MATCH('7 Year Projection-Expanded'!S$8,Projection!$B$9:$BE$9,0)),0)</f>
        <v>55.508420064841445</v>
      </c>
      <c r="T35" s="28">
        <f t="array" ref="T35">IFERROR(INDEX(Projection!$B$9:$BE$196,MATCH('7 Year Projection-Expanded'!$A35,Projection!$B$9:$B$196,0),MATCH('7 Year Projection-Expanded'!T$8,Projection!$B$9:$BE$9,0)),0)</f>
        <v>58.660464237830141</v>
      </c>
      <c r="V35" s="572">
        <f t="shared" si="15"/>
        <v>393.81009179682536</v>
      </c>
      <c r="W35" s="29">
        <f>SUMIF(Projection!$F:$F,'7 Year Projection-Expanded'!$A35,Projection!BX:BX)</f>
        <v>1164.2957566077093</v>
      </c>
      <c r="X35" s="228">
        <f>SUMIF(Projection!$F:$F,'7 Year Projection-Expanded'!$A35,Projection!BY:BY)</f>
        <v>1882.3911262851309</v>
      </c>
      <c r="Y35" s="29">
        <f>SUMIF(Projection!$F:$F,'7 Year Projection-Expanded'!$A35,Projection!BZ:BZ)</f>
        <v>2204.6597383453068</v>
      </c>
      <c r="Z35" s="228">
        <f>SUMIF(Projection!$F:$F,'7 Year Projection-Expanded'!$A35,Projection!CA:CA)</f>
        <v>2303.7299738558067</v>
      </c>
      <c r="AA35" s="29">
        <f>SUMIF(Projection!$F:$F,'7 Year Projection-Expanded'!$A35,Projection!CB:CB)</f>
        <v>2395.8791728100391</v>
      </c>
      <c r="AB35" s="228">
        <f>SUMIF(Projection!$F:$F,'7 Year Projection-Expanded'!$A35,Projection!CC:CC)</f>
        <v>2491.7143397224409</v>
      </c>
      <c r="AC35" s="29">
        <f>SUMIF(Projection!$F:$F,'7 Year Projection-Expanded'!$A35,Projection!CD:CD)</f>
        <v>2591.3829133113386</v>
      </c>
      <c r="AD35" s="228">
        <f>SUMIF(Projection!$F:$F,'7 Year Projection-Expanded'!$A35,Projection!CE:CE)</f>
        <v>2695.0382298437921</v>
      </c>
      <c r="AE35" s="29">
        <f>SUMIF(Projection!$F:$F,'7 Year Projection-Expanded'!$A35,Projection!CF:CF)</f>
        <v>2802.8397590375439</v>
      </c>
      <c r="AF35" s="228">
        <f>SUMIF(Projection!$F:$F,'7 Year Projection-Expanded'!$A35,Projection!CG:CG)</f>
        <v>2914.9533493990457</v>
      </c>
      <c r="AG35" s="29">
        <f>SUMIF(Projection!$F:$F,'7 Year Projection-Expanded'!$A35,Projection!CH:CH)</f>
        <v>3031.5514833750076</v>
      </c>
      <c r="AH35" s="228">
        <f>SUMIF(Projection!$F:$F,'7 Year Projection-Expanded'!$A35,Projection!CI:CI)</f>
        <v>3152.8135427100078</v>
      </c>
      <c r="AI35" s="29">
        <f>SUMIF(Projection!$F:$F,'7 Year Projection-Expanded'!$A35,Projection!CJ:CJ)</f>
        <v>3278.9260844184082</v>
      </c>
      <c r="AJ35" s="573">
        <f>SUMIF(Projection!$F:$F,'7 Year Projection-Expanded'!$A35,Projection!CK:CK)</f>
        <v>3410.0831277951447</v>
      </c>
    </row>
    <row r="36" spans="1:36" ht="14.25" customHeight="1" x14ac:dyDescent="0.2">
      <c r="A36" s="11">
        <v>7102</v>
      </c>
      <c r="C36" s="9"/>
      <c r="E36" s="11" t="s">
        <v>195</v>
      </c>
      <c r="H36" s="605"/>
      <c r="I36" s="228">
        <f t="array" ref="I36">IFERROR(INDEX(Projection!$B$9:$BE$196,MATCH('7 Year Projection-Expanded'!$A36,Projection!$B$9:$B$196,0),MATCH('7 Year Projection-Expanded'!I$8,Projection!$B$9:$BE$9,0)),0)</f>
        <v>3.4971153150024605</v>
      </c>
      <c r="J36" s="29">
        <f t="array" ref="J36">IFERROR(INDEX(Projection!$B$9:$BE$196,MATCH('7 Year Projection-Expanded'!$A36,Projection!$B$9:$B$196,0),MATCH('7 Year Projection-Expanded'!J$8,Projection!$B$9:$BE$9,0)),0)</f>
        <v>6.9635585190276998</v>
      </c>
      <c r="K36" s="228">
        <f t="array" ref="K36">IFERROR(INDEX(Projection!$B$9:$BE$196,MATCH('7 Year Projection-Expanded'!$A36,Projection!$B$9:$B$196,0),MATCH('7 Year Projection-Expanded'!K$8,Projection!$B$9:$BE$9,0)),0)</f>
        <v>11.809823255951317</v>
      </c>
      <c r="L36" s="29">
        <f t="array" ref="L36">IFERROR(INDEX(Projection!$B$9:$BE$196,MATCH('7 Year Projection-Expanded'!$A36,Projection!$B$9:$B$196,0),MATCH('7 Year Projection-Expanded'!L$8,Projection!$B$9:$BE$9,0)),0)</f>
        <v>16.97952696618604</v>
      </c>
      <c r="M36" s="228">
        <f t="array" ref="M36">IFERROR(INDEX(Projection!$B$9:$BE$196,MATCH('7 Year Projection-Expanded'!$A36,Projection!$B$9:$B$196,0),MATCH('7 Year Projection-Expanded'!M$8,Projection!$B$9:$BE$9,0)),0)</f>
        <v>25.278303068504602</v>
      </c>
      <c r="N36" s="29">
        <f t="array" ref="N36">IFERROR(INDEX(Projection!$B$9:$BE$196,MATCH('7 Year Projection-Expanded'!$A36,Projection!$B$9:$B$196,0),MATCH('7 Year Projection-Expanded'!N$8,Projection!$B$9:$BE$9,0)),0)</f>
        <v>32.723038336172309</v>
      </c>
      <c r="O36" s="228">
        <f t="array" ref="O36">IFERROR(INDEX(Projection!$B$9:$BE$196,MATCH('7 Year Projection-Expanded'!$A36,Projection!$B$9:$B$196,0),MATCH('7 Year Projection-Expanded'!O$8,Projection!$B$9:$BE$9,0)),0)</f>
        <v>39.178279084771724</v>
      </c>
      <c r="P36" s="29">
        <f t="array" ref="P36">IFERROR(INDEX(Projection!$B$9:$BE$196,MATCH('7 Year Projection-Expanded'!$A36,Projection!$B$9:$B$196,0),MATCH('7 Year Projection-Expanded'!P$8,Projection!$B$9:$BE$9,0)),0)</f>
        <v>43.724818880134364</v>
      </c>
      <c r="Q36" s="228">
        <f t="array" ref="Q36">IFERROR(INDEX(Projection!$B$9:$BE$196,MATCH('7 Year Projection-Expanded'!$A36,Projection!$B$9:$B$196,0),MATCH('7 Year Projection-Expanded'!Q$8,Projection!$B$9:$BE$9,0)),0)</f>
        <v>47.682331257569821</v>
      </c>
      <c r="R36" s="29">
        <f t="array" ref="R36">IFERROR(INDEX(Projection!$B$9:$BE$196,MATCH('7 Year Projection-Expanded'!$A36,Projection!$B$9:$B$196,0),MATCH('7 Year Projection-Expanded'!R$8,Projection!$B$9:$BE$9,0)),0)</f>
        <v>51.804412810833426</v>
      </c>
      <c r="S36" s="228">
        <f t="array" ref="S36">IFERROR(INDEX(Projection!$B$9:$BE$196,MATCH('7 Year Projection-Expanded'!$A36,Projection!$B$9:$B$196,0),MATCH('7 Year Projection-Expanded'!S$8,Projection!$B$9:$BE$9,0)),0)</f>
        <v>55.508420064841445</v>
      </c>
      <c r="T36" s="28">
        <f t="array" ref="T36">IFERROR(INDEX(Projection!$B$9:$BE$196,MATCH('7 Year Projection-Expanded'!$A36,Projection!$B$9:$B$196,0),MATCH('7 Year Projection-Expanded'!T$8,Projection!$B$9:$BE$9,0)),0)</f>
        <v>58.660464237830141</v>
      </c>
      <c r="V36" s="572">
        <f t="shared" si="15"/>
        <v>393.81009179682536</v>
      </c>
      <c r="W36" s="29">
        <f>SUMIF(Projection!$F:$F,'7 Year Projection-Expanded'!$A36,Projection!BX:BX)</f>
        <v>1164.2957566077093</v>
      </c>
      <c r="X36" s="228">
        <f>SUMIF(Projection!$F:$F,'7 Year Projection-Expanded'!$A36,Projection!BY:BY)</f>
        <v>1882.3911262851309</v>
      </c>
      <c r="Y36" s="29">
        <f>SUMIF(Projection!$F:$F,'7 Year Projection-Expanded'!$A36,Projection!BZ:BZ)</f>
        <v>2204.6597383453068</v>
      </c>
      <c r="Z36" s="228">
        <f>SUMIF(Projection!$F:$F,'7 Year Projection-Expanded'!$A36,Projection!CA:CA)</f>
        <v>2303.7299738558067</v>
      </c>
      <c r="AA36" s="29">
        <f>SUMIF(Projection!$F:$F,'7 Year Projection-Expanded'!$A36,Projection!CB:CB)</f>
        <v>2395.8791728100391</v>
      </c>
      <c r="AB36" s="228">
        <f>SUMIF(Projection!$F:$F,'7 Year Projection-Expanded'!$A36,Projection!CC:CC)</f>
        <v>2491.7143397224409</v>
      </c>
      <c r="AC36" s="29">
        <f>SUMIF(Projection!$F:$F,'7 Year Projection-Expanded'!$A36,Projection!CD:CD)</f>
        <v>2591.3829133113386</v>
      </c>
      <c r="AD36" s="228">
        <f>SUMIF(Projection!$F:$F,'7 Year Projection-Expanded'!$A36,Projection!CE:CE)</f>
        <v>2695.0382298437921</v>
      </c>
      <c r="AE36" s="29">
        <f>SUMIF(Projection!$F:$F,'7 Year Projection-Expanded'!$A36,Projection!CF:CF)</f>
        <v>2802.8397590375439</v>
      </c>
      <c r="AF36" s="228">
        <f>SUMIF(Projection!$F:$F,'7 Year Projection-Expanded'!$A36,Projection!CG:CG)</f>
        <v>2914.9533493990457</v>
      </c>
      <c r="AG36" s="29">
        <f>SUMIF(Projection!$F:$F,'7 Year Projection-Expanded'!$A36,Projection!CH:CH)</f>
        <v>3031.5514833750076</v>
      </c>
      <c r="AH36" s="228">
        <f>SUMIF(Projection!$F:$F,'7 Year Projection-Expanded'!$A36,Projection!CI:CI)</f>
        <v>3152.8135427100078</v>
      </c>
      <c r="AI36" s="29">
        <f>SUMIF(Projection!$F:$F,'7 Year Projection-Expanded'!$A36,Projection!CJ:CJ)</f>
        <v>3278.9260844184082</v>
      </c>
      <c r="AJ36" s="573">
        <f>SUMIF(Projection!$F:$F,'7 Year Projection-Expanded'!$A36,Projection!CK:CK)</f>
        <v>3410.0831277951447</v>
      </c>
    </row>
    <row r="37" spans="1:36" ht="14.25" customHeight="1" x14ac:dyDescent="0.2">
      <c r="A37" s="11">
        <v>4285</v>
      </c>
      <c r="C37" s="9"/>
      <c r="E37" s="11" t="s">
        <v>198</v>
      </c>
      <c r="H37" s="605"/>
      <c r="I37" s="228">
        <f t="array" ref="I37">IFERROR(INDEX(Projection!$B$9:$BE$196,MATCH('7 Year Projection-Expanded'!$A37,Projection!$B$9:$B$196,0),MATCH('7 Year Projection-Expanded'!I$8,Projection!$B$9:$BE$9,0)),0)</f>
        <v>3.4971153150024605</v>
      </c>
      <c r="J37" s="29">
        <f t="array" ref="J37">IFERROR(INDEX(Projection!$B$9:$BE$196,MATCH('7 Year Projection-Expanded'!$A37,Projection!$B$9:$B$196,0),MATCH('7 Year Projection-Expanded'!J$8,Projection!$B$9:$BE$9,0)),0)</f>
        <v>6.9635585190276998</v>
      </c>
      <c r="K37" s="228">
        <f t="array" ref="K37">IFERROR(INDEX(Projection!$B$9:$BE$196,MATCH('7 Year Projection-Expanded'!$A37,Projection!$B$9:$B$196,0),MATCH('7 Year Projection-Expanded'!K$8,Projection!$B$9:$BE$9,0)),0)</f>
        <v>11.809823255951317</v>
      </c>
      <c r="L37" s="29">
        <f t="array" ref="L37">IFERROR(INDEX(Projection!$B$9:$BE$196,MATCH('7 Year Projection-Expanded'!$A37,Projection!$B$9:$B$196,0),MATCH('7 Year Projection-Expanded'!L$8,Projection!$B$9:$BE$9,0)),0)</f>
        <v>16.97952696618604</v>
      </c>
      <c r="M37" s="228">
        <f t="array" ref="M37">IFERROR(INDEX(Projection!$B$9:$BE$196,MATCH('7 Year Projection-Expanded'!$A37,Projection!$B$9:$B$196,0),MATCH('7 Year Projection-Expanded'!M$8,Projection!$B$9:$BE$9,0)),0)</f>
        <v>25.278303068504602</v>
      </c>
      <c r="N37" s="29">
        <f t="array" ref="N37">IFERROR(INDEX(Projection!$B$9:$BE$196,MATCH('7 Year Projection-Expanded'!$A37,Projection!$B$9:$B$196,0),MATCH('7 Year Projection-Expanded'!N$8,Projection!$B$9:$BE$9,0)),0)</f>
        <v>32.723038336172309</v>
      </c>
      <c r="O37" s="228">
        <f t="array" ref="O37">IFERROR(INDEX(Projection!$B$9:$BE$196,MATCH('7 Year Projection-Expanded'!$A37,Projection!$B$9:$B$196,0),MATCH('7 Year Projection-Expanded'!O$8,Projection!$B$9:$BE$9,0)),0)</f>
        <v>39.178279084771724</v>
      </c>
      <c r="P37" s="29">
        <f t="array" ref="P37">IFERROR(INDEX(Projection!$B$9:$BE$196,MATCH('7 Year Projection-Expanded'!$A37,Projection!$B$9:$B$196,0),MATCH('7 Year Projection-Expanded'!P$8,Projection!$B$9:$BE$9,0)),0)</f>
        <v>43.724818880134364</v>
      </c>
      <c r="Q37" s="228">
        <f t="array" ref="Q37">IFERROR(INDEX(Projection!$B$9:$BE$196,MATCH('7 Year Projection-Expanded'!$A37,Projection!$B$9:$B$196,0),MATCH('7 Year Projection-Expanded'!Q$8,Projection!$B$9:$BE$9,0)),0)</f>
        <v>47.682331257569821</v>
      </c>
      <c r="R37" s="29">
        <f t="array" ref="R37">IFERROR(INDEX(Projection!$B$9:$BE$196,MATCH('7 Year Projection-Expanded'!$A37,Projection!$B$9:$B$196,0),MATCH('7 Year Projection-Expanded'!R$8,Projection!$B$9:$BE$9,0)),0)</f>
        <v>51.804412810833426</v>
      </c>
      <c r="S37" s="228">
        <f t="array" ref="S37">IFERROR(INDEX(Projection!$B$9:$BE$196,MATCH('7 Year Projection-Expanded'!$A37,Projection!$B$9:$B$196,0),MATCH('7 Year Projection-Expanded'!S$8,Projection!$B$9:$BE$9,0)),0)</f>
        <v>55.508420064841445</v>
      </c>
      <c r="T37" s="28">
        <f t="array" ref="T37">IFERROR(INDEX(Projection!$B$9:$BE$196,MATCH('7 Year Projection-Expanded'!$A37,Projection!$B$9:$B$196,0),MATCH('7 Year Projection-Expanded'!T$8,Projection!$B$9:$BE$9,0)),0)</f>
        <v>58.660464237830141</v>
      </c>
      <c r="V37" s="572">
        <f t="shared" si="15"/>
        <v>393.81009179682536</v>
      </c>
      <c r="W37" s="29">
        <f>SUMIF(Projection!$F:$F,'7 Year Projection-Expanded'!$A37,Projection!BX:BX)</f>
        <v>1164.2957566077093</v>
      </c>
      <c r="X37" s="228">
        <f>SUMIF(Projection!$F:$F,'7 Year Projection-Expanded'!$A37,Projection!BY:BY)</f>
        <v>1882.3911262851309</v>
      </c>
      <c r="Y37" s="29">
        <f>SUMIF(Projection!$F:$F,'7 Year Projection-Expanded'!$A37,Projection!BZ:BZ)</f>
        <v>2204.6597383453068</v>
      </c>
      <c r="Z37" s="228">
        <f>SUMIF(Projection!$F:$F,'7 Year Projection-Expanded'!$A37,Projection!CA:CA)</f>
        <v>2303.7299738558067</v>
      </c>
      <c r="AA37" s="29">
        <f>SUMIF(Projection!$F:$F,'7 Year Projection-Expanded'!$A37,Projection!CB:CB)</f>
        <v>2395.8791728100391</v>
      </c>
      <c r="AB37" s="228">
        <f>SUMIF(Projection!$F:$F,'7 Year Projection-Expanded'!$A37,Projection!CC:CC)</f>
        <v>2491.7143397224409</v>
      </c>
      <c r="AC37" s="29">
        <f>SUMIF(Projection!$F:$F,'7 Year Projection-Expanded'!$A37,Projection!CD:CD)</f>
        <v>2591.3829133113386</v>
      </c>
      <c r="AD37" s="228">
        <f>SUMIF(Projection!$F:$F,'7 Year Projection-Expanded'!$A37,Projection!CE:CE)</f>
        <v>2695.0382298437921</v>
      </c>
      <c r="AE37" s="29">
        <f>SUMIF(Projection!$F:$F,'7 Year Projection-Expanded'!$A37,Projection!CF:CF)</f>
        <v>2802.8397590375439</v>
      </c>
      <c r="AF37" s="228">
        <f>SUMIF(Projection!$F:$F,'7 Year Projection-Expanded'!$A37,Projection!CG:CG)</f>
        <v>2914.9533493990457</v>
      </c>
      <c r="AG37" s="29">
        <f>SUMIF(Projection!$F:$F,'7 Year Projection-Expanded'!$A37,Projection!CH:CH)</f>
        <v>3031.5514833750076</v>
      </c>
      <c r="AH37" s="228">
        <f>SUMIF(Projection!$F:$F,'7 Year Projection-Expanded'!$A37,Projection!CI:CI)</f>
        <v>3152.8135427100078</v>
      </c>
      <c r="AI37" s="29">
        <f>SUMIF(Projection!$F:$F,'7 Year Projection-Expanded'!$A37,Projection!CJ:CJ)</f>
        <v>3278.9260844184082</v>
      </c>
      <c r="AJ37" s="573">
        <f>SUMIF(Projection!$F:$F,'7 Year Projection-Expanded'!$A37,Projection!CK:CK)</f>
        <v>3410.0831277951447</v>
      </c>
    </row>
    <row r="38" spans="1:36" ht="14.25" customHeight="1" x14ac:dyDescent="0.2">
      <c r="A38" s="11">
        <v>4286</v>
      </c>
      <c r="C38" s="9"/>
      <c r="E38" s="11" t="s">
        <v>193</v>
      </c>
      <c r="H38" s="605"/>
      <c r="I38" s="228">
        <f t="array" ref="I38">IFERROR(INDEX(Projection!$B$9:$BE$196,MATCH('7 Year Projection-Expanded'!$A38,Projection!$B$9:$B$196,0),MATCH('7 Year Projection-Expanded'!I$8,Projection!$B$9:$BE$9,0)),0)</f>
        <v>3.4971153150024605</v>
      </c>
      <c r="J38" s="29">
        <f t="array" ref="J38">IFERROR(INDEX(Projection!$B$9:$BE$196,MATCH('7 Year Projection-Expanded'!$A38,Projection!$B$9:$B$196,0),MATCH('7 Year Projection-Expanded'!J$8,Projection!$B$9:$BE$9,0)),0)</f>
        <v>6.9635585190276998</v>
      </c>
      <c r="K38" s="228">
        <f t="array" ref="K38">IFERROR(INDEX(Projection!$B$9:$BE$196,MATCH('7 Year Projection-Expanded'!$A38,Projection!$B$9:$B$196,0),MATCH('7 Year Projection-Expanded'!K$8,Projection!$B$9:$BE$9,0)),0)</f>
        <v>11.809823255951317</v>
      </c>
      <c r="L38" s="29">
        <f t="array" ref="L38">IFERROR(INDEX(Projection!$B$9:$BE$196,MATCH('7 Year Projection-Expanded'!$A38,Projection!$B$9:$B$196,0),MATCH('7 Year Projection-Expanded'!L$8,Projection!$B$9:$BE$9,0)),0)</f>
        <v>16.97952696618604</v>
      </c>
      <c r="M38" s="228">
        <f t="array" ref="M38">IFERROR(INDEX(Projection!$B$9:$BE$196,MATCH('7 Year Projection-Expanded'!$A38,Projection!$B$9:$B$196,0),MATCH('7 Year Projection-Expanded'!M$8,Projection!$B$9:$BE$9,0)),0)</f>
        <v>25.278303068504602</v>
      </c>
      <c r="N38" s="29">
        <f t="array" ref="N38">IFERROR(INDEX(Projection!$B$9:$BE$196,MATCH('7 Year Projection-Expanded'!$A38,Projection!$B$9:$B$196,0),MATCH('7 Year Projection-Expanded'!N$8,Projection!$B$9:$BE$9,0)),0)</f>
        <v>32.723038336172309</v>
      </c>
      <c r="O38" s="228">
        <f t="array" ref="O38">IFERROR(INDEX(Projection!$B$9:$BE$196,MATCH('7 Year Projection-Expanded'!$A38,Projection!$B$9:$B$196,0),MATCH('7 Year Projection-Expanded'!O$8,Projection!$B$9:$BE$9,0)),0)</f>
        <v>39.178279084771724</v>
      </c>
      <c r="P38" s="29">
        <f t="array" ref="P38">IFERROR(INDEX(Projection!$B$9:$BE$196,MATCH('7 Year Projection-Expanded'!$A38,Projection!$B$9:$B$196,0),MATCH('7 Year Projection-Expanded'!P$8,Projection!$B$9:$BE$9,0)),0)</f>
        <v>43.724818880134364</v>
      </c>
      <c r="Q38" s="228">
        <f t="array" ref="Q38">IFERROR(INDEX(Projection!$B$9:$BE$196,MATCH('7 Year Projection-Expanded'!$A38,Projection!$B$9:$B$196,0),MATCH('7 Year Projection-Expanded'!Q$8,Projection!$B$9:$BE$9,0)),0)</f>
        <v>47.682331257569821</v>
      </c>
      <c r="R38" s="29">
        <f t="array" ref="R38">IFERROR(INDEX(Projection!$B$9:$BE$196,MATCH('7 Year Projection-Expanded'!$A38,Projection!$B$9:$B$196,0),MATCH('7 Year Projection-Expanded'!R$8,Projection!$B$9:$BE$9,0)),0)</f>
        <v>51.804412810833426</v>
      </c>
      <c r="S38" s="228">
        <f t="array" ref="S38">IFERROR(INDEX(Projection!$B$9:$BE$196,MATCH('7 Year Projection-Expanded'!$A38,Projection!$B$9:$B$196,0),MATCH('7 Year Projection-Expanded'!S$8,Projection!$B$9:$BE$9,0)),0)</f>
        <v>55.508420064841445</v>
      </c>
      <c r="T38" s="28">
        <f t="array" ref="T38">IFERROR(INDEX(Projection!$B$9:$BE$196,MATCH('7 Year Projection-Expanded'!$A38,Projection!$B$9:$B$196,0),MATCH('7 Year Projection-Expanded'!T$8,Projection!$B$9:$BE$9,0)),0)</f>
        <v>58.660464237830141</v>
      </c>
      <c r="V38" s="572">
        <f t="shared" si="15"/>
        <v>393.81009179682536</v>
      </c>
      <c r="W38" s="29">
        <f>SUMIF(Projection!$F:$F,'7 Year Projection-Expanded'!$A38,Projection!BX:BX)</f>
        <v>1164.2957566077093</v>
      </c>
      <c r="X38" s="228">
        <f>SUMIF(Projection!$F:$F,'7 Year Projection-Expanded'!$A38,Projection!BY:BY)</f>
        <v>1882.3911262851309</v>
      </c>
      <c r="Y38" s="29">
        <f>SUMIF(Projection!$F:$F,'7 Year Projection-Expanded'!$A38,Projection!BZ:BZ)</f>
        <v>2204.6597383453068</v>
      </c>
      <c r="Z38" s="228">
        <f>SUMIF(Projection!$F:$F,'7 Year Projection-Expanded'!$A38,Projection!CA:CA)</f>
        <v>2303.7299738558067</v>
      </c>
      <c r="AA38" s="29">
        <f>SUMIF(Projection!$F:$F,'7 Year Projection-Expanded'!$A38,Projection!CB:CB)</f>
        <v>2395.8791728100391</v>
      </c>
      <c r="AB38" s="228">
        <f>SUMIF(Projection!$F:$F,'7 Year Projection-Expanded'!$A38,Projection!CC:CC)</f>
        <v>2491.7143397224409</v>
      </c>
      <c r="AC38" s="29">
        <f>SUMIF(Projection!$F:$F,'7 Year Projection-Expanded'!$A38,Projection!CD:CD)</f>
        <v>2591.3829133113386</v>
      </c>
      <c r="AD38" s="228">
        <f>SUMIF(Projection!$F:$F,'7 Year Projection-Expanded'!$A38,Projection!CE:CE)</f>
        <v>2695.0382298437921</v>
      </c>
      <c r="AE38" s="29">
        <f>SUMIF(Projection!$F:$F,'7 Year Projection-Expanded'!$A38,Projection!CF:CF)</f>
        <v>2802.8397590375439</v>
      </c>
      <c r="AF38" s="228">
        <f>SUMIF(Projection!$F:$F,'7 Year Projection-Expanded'!$A38,Projection!CG:CG)</f>
        <v>2914.9533493990457</v>
      </c>
      <c r="AG38" s="29">
        <f>SUMIF(Projection!$F:$F,'7 Year Projection-Expanded'!$A38,Projection!CH:CH)</f>
        <v>3031.5514833750076</v>
      </c>
      <c r="AH38" s="228">
        <f>SUMIF(Projection!$F:$F,'7 Year Projection-Expanded'!$A38,Projection!CI:CI)</f>
        <v>3152.8135427100078</v>
      </c>
      <c r="AI38" s="29">
        <f>SUMIF(Projection!$F:$F,'7 Year Projection-Expanded'!$A38,Projection!CJ:CJ)</f>
        <v>3278.9260844184082</v>
      </c>
      <c r="AJ38" s="573">
        <f>SUMIF(Projection!$F:$F,'7 Year Projection-Expanded'!$A38,Projection!CK:CK)</f>
        <v>3410.0831277951447</v>
      </c>
    </row>
    <row r="39" spans="1:36" ht="14.25" customHeight="1" x14ac:dyDescent="0.2">
      <c r="A39" s="11">
        <v>4287</v>
      </c>
      <c r="C39" s="9"/>
      <c r="E39" s="11" t="s">
        <v>346</v>
      </c>
      <c r="H39" s="605"/>
      <c r="I39" s="228">
        <f t="array" ref="I39">IFERROR(INDEX(Projection!$B$9:$BE$196,MATCH('7 Year Projection-Expanded'!$A39,Projection!$B$9:$B$196,0),MATCH('7 Year Projection-Expanded'!I$8,Projection!$B$9:$BE$9,0)),0)</f>
        <v>3.4971153150024605</v>
      </c>
      <c r="J39" s="29">
        <f t="array" ref="J39">IFERROR(INDEX(Projection!$B$9:$BE$196,MATCH('7 Year Projection-Expanded'!$A39,Projection!$B$9:$B$196,0),MATCH('7 Year Projection-Expanded'!J$8,Projection!$B$9:$BE$9,0)),0)</f>
        <v>6.9635585190276998</v>
      </c>
      <c r="K39" s="228">
        <f t="array" ref="K39">IFERROR(INDEX(Projection!$B$9:$BE$196,MATCH('7 Year Projection-Expanded'!$A39,Projection!$B$9:$B$196,0),MATCH('7 Year Projection-Expanded'!K$8,Projection!$B$9:$BE$9,0)),0)</f>
        <v>11.809823255951317</v>
      </c>
      <c r="L39" s="29">
        <f t="array" ref="L39">IFERROR(INDEX(Projection!$B$9:$BE$196,MATCH('7 Year Projection-Expanded'!$A39,Projection!$B$9:$B$196,0),MATCH('7 Year Projection-Expanded'!L$8,Projection!$B$9:$BE$9,0)),0)</f>
        <v>16.97952696618604</v>
      </c>
      <c r="M39" s="228">
        <f t="array" ref="M39">IFERROR(INDEX(Projection!$B$9:$BE$196,MATCH('7 Year Projection-Expanded'!$A39,Projection!$B$9:$B$196,0),MATCH('7 Year Projection-Expanded'!M$8,Projection!$B$9:$BE$9,0)),0)</f>
        <v>25.278303068504602</v>
      </c>
      <c r="N39" s="29">
        <f t="array" ref="N39">IFERROR(INDEX(Projection!$B$9:$BE$196,MATCH('7 Year Projection-Expanded'!$A39,Projection!$B$9:$B$196,0),MATCH('7 Year Projection-Expanded'!N$8,Projection!$B$9:$BE$9,0)),0)</f>
        <v>32.723038336172309</v>
      </c>
      <c r="O39" s="228">
        <f t="array" ref="O39">IFERROR(INDEX(Projection!$B$9:$BE$196,MATCH('7 Year Projection-Expanded'!$A39,Projection!$B$9:$B$196,0),MATCH('7 Year Projection-Expanded'!O$8,Projection!$B$9:$BE$9,0)),0)</f>
        <v>39.178279084771724</v>
      </c>
      <c r="P39" s="29">
        <f t="array" ref="P39">IFERROR(INDEX(Projection!$B$9:$BE$196,MATCH('7 Year Projection-Expanded'!$A39,Projection!$B$9:$B$196,0),MATCH('7 Year Projection-Expanded'!P$8,Projection!$B$9:$BE$9,0)),0)</f>
        <v>43.724818880134364</v>
      </c>
      <c r="Q39" s="228">
        <f t="array" ref="Q39">IFERROR(INDEX(Projection!$B$9:$BE$196,MATCH('7 Year Projection-Expanded'!$A39,Projection!$B$9:$B$196,0),MATCH('7 Year Projection-Expanded'!Q$8,Projection!$B$9:$BE$9,0)),0)</f>
        <v>47.682331257569821</v>
      </c>
      <c r="R39" s="29">
        <f t="array" ref="R39">IFERROR(INDEX(Projection!$B$9:$BE$196,MATCH('7 Year Projection-Expanded'!$A39,Projection!$B$9:$B$196,0),MATCH('7 Year Projection-Expanded'!R$8,Projection!$B$9:$BE$9,0)),0)</f>
        <v>51.804412810833426</v>
      </c>
      <c r="S39" s="228">
        <f t="array" ref="S39">IFERROR(INDEX(Projection!$B$9:$BE$196,MATCH('7 Year Projection-Expanded'!$A39,Projection!$B$9:$B$196,0),MATCH('7 Year Projection-Expanded'!S$8,Projection!$B$9:$BE$9,0)),0)</f>
        <v>55.508420064841445</v>
      </c>
      <c r="T39" s="28">
        <f t="array" ref="T39">IFERROR(INDEX(Projection!$B$9:$BE$196,MATCH('7 Year Projection-Expanded'!$A39,Projection!$B$9:$B$196,0),MATCH('7 Year Projection-Expanded'!T$8,Projection!$B$9:$BE$9,0)),0)</f>
        <v>58.660464237830141</v>
      </c>
      <c r="V39" s="572">
        <f t="shared" si="15"/>
        <v>393.81009179682536</v>
      </c>
      <c r="W39" s="29">
        <f>SUMIF(Projection!$F:$F,'7 Year Projection-Expanded'!$A39,Projection!BX:BX)</f>
        <v>1164.2957566077093</v>
      </c>
      <c r="X39" s="228">
        <f>SUMIF(Projection!$F:$F,'7 Year Projection-Expanded'!$A39,Projection!BY:BY)</f>
        <v>1882.3911262851309</v>
      </c>
      <c r="Y39" s="29">
        <f>SUMIF(Projection!$F:$F,'7 Year Projection-Expanded'!$A39,Projection!BZ:BZ)</f>
        <v>2204.6597383453068</v>
      </c>
      <c r="Z39" s="228">
        <f>SUMIF(Projection!$F:$F,'7 Year Projection-Expanded'!$A39,Projection!CA:CA)</f>
        <v>2303.7299738558067</v>
      </c>
      <c r="AA39" s="29">
        <f>SUMIF(Projection!$F:$F,'7 Year Projection-Expanded'!$A39,Projection!CB:CB)</f>
        <v>2395.8791728100391</v>
      </c>
      <c r="AB39" s="228">
        <f>SUMIF(Projection!$F:$F,'7 Year Projection-Expanded'!$A39,Projection!CC:CC)</f>
        <v>2491.7143397224409</v>
      </c>
      <c r="AC39" s="29">
        <f>SUMIF(Projection!$F:$F,'7 Year Projection-Expanded'!$A39,Projection!CD:CD)</f>
        <v>2591.3829133113386</v>
      </c>
      <c r="AD39" s="228">
        <f>SUMIF(Projection!$F:$F,'7 Year Projection-Expanded'!$A39,Projection!CE:CE)</f>
        <v>2695.0382298437921</v>
      </c>
      <c r="AE39" s="29">
        <f>SUMIF(Projection!$F:$F,'7 Year Projection-Expanded'!$A39,Projection!CF:CF)</f>
        <v>2802.8397590375439</v>
      </c>
      <c r="AF39" s="228">
        <f>SUMIF(Projection!$F:$F,'7 Year Projection-Expanded'!$A39,Projection!CG:CG)</f>
        <v>2914.9533493990457</v>
      </c>
      <c r="AG39" s="29">
        <f>SUMIF(Projection!$F:$F,'7 Year Projection-Expanded'!$A39,Projection!CH:CH)</f>
        <v>3031.5514833750076</v>
      </c>
      <c r="AH39" s="228">
        <f>SUMIF(Projection!$F:$F,'7 Year Projection-Expanded'!$A39,Projection!CI:CI)</f>
        <v>3152.8135427100078</v>
      </c>
      <c r="AI39" s="29">
        <f>SUMIF(Projection!$F:$F,'7 Year Projection-Expanded'!$A39,Projection!CJ:CJ)</f>
        <v>3278.9260844184082</v>
      </c>
      <c r="AJ39" s="573">
        <f>SUMIF(Projection!$F:$F,'7 Year Projection-Expanded'!$A39,Projection!CK:CK)</f>
        <v>3410.0831277951447</v>
      </c>
    </row>
    <row r="40" spans="1:36" ht="14.25" customHeight="1" x14ac:dyDescent="0.2">
      <c r="A40" s="11">
        <v>4288</v>
      </c>
      <c r="C40" s="9"/>
      <c r="E40" s="11" t="s">
        <v>205</v>
      </c>
      <c r="H40" s="605"/>
      <c r="I40" s="228">
        <f t="array" ref="I40">IFERROR(INDEX(Projection!$B$9:$BE$196,MATCH('7 Year Projection-Expanded'!$A40,Projection!$B$9:$B$196,0),MATCH('7 Year Projection-Expanded'!I$8,Projection!$B$9:$BE$9,0)),0)</f>
        <v>3.4971153150024605</v>
      </c>
      <c r="J40" s="29">
        <f t="array" ref="J40">IFERROR(INDEX(Projection!$B$9:$BE$196,MATCH('7 Year Projection-Expanded'!$A40,Projection!$B$9:$B$196,0),MATCH('7 Year Projection-Expanded'!J$8,Projection!$B$9:$BE$9,0)),0)</f>
        <v>6.9635585190276998</v>
      </c>
      <c r="K40" s="228">
        <f t="array" ref="K40">IFERROR(INDEX(Projection!$B$9:$BE$196,MATCH('7 Year Projection-Expanded'!$A40,Projection!$B$9:$B$196,0),MATCH('7 Year Projection-Expanded'!K$8,Projection!$B$9:$BE$9,0)),0)</f>
        <v>11.809823255951317</v>
      </c>
      <c r="L40" s="29">
        <f t="array" ref="L40">IFERROR(INDEX(Projection!$B$9:$BE$196,MATCH('7 Year Projection-Expanded'!$A40,Projection!$B$9:$B$196,0),MATCH('7 Year Projection-Expanded'!L$8,Projection!$B$9:$BE$9,0)),0)</f>
        <v>16.97952696618604</v>
      </c>
      <c r="M40" s="228">
        <f t="array" ref="M40">IFERROR(INDEX(Projection!$B$9:$BE$196,MATCH('7 Year Projection-Expanded'!$A40,Projection!$B$9:$B$196,0),MATCH('7 Year Projection-Expanded'!M$8,Projection!$B$9:$BE$9,0)),0)</f>
        <v>25.278303068504602</v>
      </c>
      <c r="N40" s="29">
        <f t="array" ref="N40">IFERROR(INDEX(Projection!$B$9:$BE$196,MATCH('7 Year Projection-Expanded'!$A40,Projection!$B$9:$B$196,0),MATCH('7 Year Projection-Expanded'!N$8,Projection!$B$9:$BE$9,0)),0)</f>
        <v>32.723038336172309</v>
      </c>
      <c r="O40" s="228">
        <f t="array" ref="O40">IFERROR(INDEX(Projection!$B$9:$BE$196,MATCH('7 Year Projection-Expanded'!$A40,Projection!$B$9:$B$196,0),MATCH('7 Year Projection-Expanded'!O$8,Projection!$B$9:$BE$9,0)),0)</f>
        <v>39.178279084771724</v>
      </c>
      <c r="P40" s="29">
        <f t="array" ref="P40">IFERROR(INDEX(Projection!$B$9:$BE$196,MATCH('7 Year Projection-Expanded'!$A40,Projection!$B$9:$B$196,0),MATCH('7 Year Projection-Expanded'!P$8,Projection!$B$9:$BE$9,0)),0)</f>
        <v>43.724818880134364</v>
      </c>
      <c r="Q40" s="228">
        <f t="array" ref="Q40">IFERROR(INDEX(Projection!$B$9:$BE$196,MATCH('7 Year Projection-Expanded'!$A40,Projection!$B$9:$B$196,0),MATCH('7 Year Projection-Expanded'!Q$8,Projection!$B$9:$BE$9,0)),0)</f>
        <v>47.682331257569821</v>
      </c>
      <c r="R40" s="29">
        <f t="array" ref="R40">IFERROR(INDEX(Projection!$B$9:$BE$196,MATCH('7 Year Projection-Expanded'!$A40,Projection!$B$9:$B$196,0),MATCH('7 Year Projection-Expanded'!R$8,Projection!$B$9:$BE$9,0)),0)</f>
        <v>51.804412810833426</v>
      </c>
      <c r="S40" s="228">
        <f t="array" ref="S40">IFERROR(INDEX(Projection!$B$9:$BE$196,MATCH('7 Year Projection-Expanded'!$A40,Projection!$B$9:$B$196,0),MATCH('7 Year Projection-Expanded'!S$8,Projection!$B$9:$BE$9,0)),0)</f>
        <v>55.508420064841445</v>
      </c>
      <c r="T40" s="28">
        <f t="array" ref="T40">IFERROR(INDEX(Projection!$B$9:$BE$196,MATCH('7 Year Projection-Expanded'!$A40,Projection!$B$9:$B$196,0),MATCH('7 Year Projection-Expanded'!T$8,Projection!$B$9:$BE$9,0)),0)</f>
        <v>58.660464237830141</v>
      </c>
      <c r="V40" s="572">
        <f t="shared" si="15"/>
        <v>393.81009179682536</v>
      </c>
      <c r="W40" s="29">
        <f>SUMIF(Projection!$F:$F,'7 Year Projection-Expanded'!$A40,Projection!BX:BX)</f>
        <v>1164.2957566077093</v>
      </c>
      <c r="X40" s="228">
        <f>SUMIF(Projection!$F:$F,'7 Year Projection-Expanded'!$A40,Projection!BY:BY)</f>
        <v>1882.3911262851309</v>
      </c>
      <c r="Y40" s="29">
        <f>SUMIF(Projection!$F:$F,'7 Year Projection-Expanded'!$A40,Projection!BZ:BZ)</f>
        <v>2204.6597383453068</v>
      </c>
      <c r="Z40" s="228">
        <f>SUMIF(Projection!$F:$F,'7 Year Projection-Expanded'!$A40,Projection!CA:CA)</f>
        <v>2303.7299738558067</v>
      </c>
      <c r="AA40" s="29">
        <f>SUMIF(Projection!$F:$F,'7 Year Projection-Expanded'!$A40,Projection!CB:CB)</f>
        <v>2395.8791728100391</v>
      </c>
      <c r="AB40" s="228">
        <f>SUMIF(Projection!$F:$F,'7 Year Projection-Expanded'!$A40,Projection!CC:CC)</f>
        <v>2491.7143397224409</v>
      </c>
      <c r="AC40" s="29">
        <f>SUMIF(Projection!$F:$F,'7 Year Projection-Expanded'!$A40,Projection!CD:CD)</f>
        <v>2591.3829133113386</v>
      </c>
      <c r="AD40" s="228">
        <f>SUMIF(Projection!$F:$F,'7 Year Projection-Expanded'!$A40,Projection!CE:CE)</f>
        <v>2695.0382298437921</v>
      </c>
      <c r="AE40" s="29">
        <f>SUMIF(Projection!$F:$F,'7 Year Projection-Expanded'!$A40,Projection!CF:CF)</f>
        <v>2802.8397590375439</v>
      </c>
      <c r="AF40" s="228">
        <f>SUMIF(Projection!$F:$F,'7 Year Projection-Expanded'!$A40,Projection!CG:CG)</f>
        <v>2914.9533493990457</v>
      </c>
      <c r="AG40" s="29">
        <f>SUMIF(Projection!$F:$F,'7 Year Projection-Expanded'!$A40,Projection!CH:CH)</f>
        <v>3031.5514833750076</v>
      </c>
      <c r="AH40" s="228">
        <f>SUMIF(Projection!$F:$F,'7 Year Projection-Expanded'!$A40,Projection!CI:CI)</f>
        <v>3152.8135427100078</v>
      </c>
      <c r="AI40" s="29">
        <f>SUMIF(Projection!$F:$F,'7 Year Projection-Expanded'!$A40,Projection!CJ:CJ)</f>
        <v>3278.9260844184082</v>
      </c>
      <c r="AJ40" s="573">
        <f>SUMIF(Projection!$F:$F,'7 Year Projection-Expanded'!$A40,Projection!CK:CK)</f>
        <v>3410.0831277951447</v>
      </c>
    </row>
    <row r="41" spans="1:36" ht="14.25" customHeight="1" x14ac:dyDescent="0.2">
      <c r="A41" s="11">
        <v>4255</v>
      </c>
      <c r="C41" s="9"/>
      <c r="E41" s="11" t="s">
        <v>347</v>
      </c>
      <c r="H41" s="605"/>
      <c r="I41" s="228">
        <f t="array" ref="I41">IFERROR(INDEX(Projection!$B$9:$BE$196,MATCH('7 Year Projection-Expanded'!$A41,Projection!$B$9:$B$196,0),MATCH('7 Year Projection-Expanded'!I$8,Projection!$B$9:$BE$9,0)),0)</f>
        <v>3.4971153150024605</v>
      </c>
      <c r="J41" s="29">
        <f t="array" ref="J41">IFERROR(INDEX(Projection!$B$9:$BE$196,MATCH('7 Year Projection-Expanded'!$A41,Projection!$B$9:$B$196,0),MATCH('7 Year Projection-Expanded'!J$8,Projection!$B$9:$BE$9,0)),0)</f>
        <v>6.9635585190276998</v>
      </c>
      <c r="K41" s="228">
        <f t="array" ref="K41">IFERROR(INDEX(Projection!$B$9:$BE$196,MATCH('7 Year Projection-Expanded'!$A41,Projection!$B$9:$B$196,0),MATCH('7 Year Projection-Expanded'!K$8,Projection!$B$9:$BE$9,0)),0)</f>
        <v>11.809823255951317</v>
      </c>
      <c r="L41" s="29">
        <f t="array" ref="L41">IFERROR(INDEX(Projection!$B$9:$BE$196,MATCH('7 Year Projection-Expanded'!$A41,Projection!$B$9:$B$196,0),MATCH('7 Year Projection-Expanded'!L$8,Projection!$B$9:$BE$9,0)),0)</f>
        <v>16.97952696618604</v>
      </c>
      <c r="M41" s="228">
        <f t="array" ref="M41">IFERROR(INDEX(Projection!$B$9:$BE$196,MATCH('7 Year Projection-Expanded'!$A41,Projection!$B$9:$B$196,0),MATCH('7 Year Projection-Expanded'!M$8,Projection!$B$9:$BE$9,0)),0)</f>
        <v>25.278303068504602</v>
      </c>
      <c r="N41" s="29">
        <f t="array" ref="N41">IFERROR(INDEX(Projection!$B$9:$BE$196,MATCH('7 Year Projection-Expanded'!$A41,Projection!$B$9:$B$196,0),MATCH('7 Year Projection-Expanded'!N$8,Projection!$B$9:$BE$9,0)),0)</f>
        <v>32.723038336172309</v>
      </c>
      <c r="O41" s="228">
        <f t="array" ref="O41">IFERROR(INDEX(Projection!$B$9:$BE$196,MATCH('7 Year Projection-Expanded'!$A41,Projection!$B$9:$B$196,0),MATCH('7 Year Projection-Expanded'!O$8,Projection!$B$9:$BE$9,0)),0)</f>
        <v>39.178279084771724</v>
      </c>
      <c r="P41" s="29">
        <f t="array" ref="P41">IFERROR(INDEX(Projection!$B$9:$BE$196,MATCH('7 Year Projection-Expanded'!$A41,Projection!$B$9:$B$196,0),MATCH('7 Year Projection-Expanded'!P$8,Projection!$B$9:$BE$9,0)),0)</f>
        <v>43.724818880134364</v>
      </c>
      <c r="Q41" s="228">
        <f t="array" ref="Q41">IFERROR(INDEX(Projection!$B$9:$BE$196,MATCH('7 Year Projection-Expanded'!$A41,Projection!$B$9:$B$196,0),MATCH('7 Year Projection-Expanded'!Q$8,Projection!$B$9:$BE$9,0)),0)</f>
        <v>47.682331257569821</v>
      </c>
      <c r="R41" s="29">
        <f t="array" ref="R41">IFERROR(INDEX(Projection!$B$9:$BE$196,MATCH('7 Year Projection-Expanded'!$A41,Projection!$B$9:$B$196,0),MATCH('7 Year Projection-Expanded'!R$8,Projection!$B$9:$BE$9,0)),0)</f>
        <v>51.804412810833426</v>
      </c>
      <c r="S41" s="228">
        <f t="array" ref="S41">IFERROR(INDEX(Projection!$B$9:$BE$196,MATCH('7 Year Projection-Expanded'!$A41,Projection!$B$9:$B$196,0),MATCH('7 Year Projection-Expanded'!S$8,Projection!$B$9:$BE$9,0)),0)</f>
        <v>55.508420064841445</v>
      </c>
      <c r="T41" s="28">
        <f t="array" ref="T41">IFERROR(INDEX(Projection!$B$9:$BE$196,MATCH('7 Year Projection-Expanded'!$A41,Projection!$B$9:$B$196,0),MATCH('7 Year Projection-Expanded'!T$8,Projection!$B$9:$BE$9,0)),0)</f>
        <v>58.660464237830141</v>
      </c>
      <c r="V41" s="572">
        <f t="shared" si="15"/>
        <v>393.81009179682536</v>
      </c>
      <c r="W41" s="29">
        <f>SUMIF(Projection!$F:$F,'7 Year Projection-Expanded'!$A41,Projection!BX:BX)</f>
        <v>1164.2957566077093</v>
      </c>
      <c r="X41" s="228">
        <f>SUMIF(Projection!$F:$F,'7 Year Projection-Expanded'!$A41,Projection!BY:BY)</f>
        <v>1882.3911262851309</v>
      </c>
      <c r="Y41" s="29">
        <f>SUMIF(Projection!$F:$F,'7 Year Projection-Expanded'!$A41,Projection!BZ:BZ)</f>
        <v>2204.6597383453068</v>
      </c>
      <c r="Z41" s="228">
        <f>SUMIF(Projection!$F:$F,'7 Year Projection-Expanded'!$A41,Projection!CA:CA)</f>
        <v>2303.7299738558067</v>
      </c>
      <c r="AA41" s="29">
        <f>SUMIF(Projection!$F:$F,'7 Year Projection-Expanded'!$A41,Projection!CB:CB)</f>
        <v>2395.8791728100391</v>
      </c>
      <c r="AB41" s="228">
        <f>SUMIF(Projection!$F:$F,'7 Year Projection-Expanded'!$A41,Projection!CC:CC)</f>
        <v>2491.7143397224409</v>
      </c>
      <c r="AC41" s="29">
        <f>SUMIF(Projection!$F:$F,'7 Year Projection-Expanded'!$A41,Projection!CD:CD)</f>
        <v>2591.3829133113386</v>
      </c>
      <c r="AD41" s="228">
        <f>SUMIF(Projection!$F:$F,'7 Year Projection-Expanded'!$A41,Projection!CE:CE)</f>
        <v>2695.0382298437921</v>
      </c>
      <c r="AE41" s="29">
        <f>SUMIF(Projection!$F:$F,'7 Year Projection-Expanded'!$A41,Projection!CF:CF)</f>
        <v>2802.8397590375439</v>
      </c>
      <c r="AF41" s="228">
        <f>SUMIF(Projection!$F:$F,'7 Year Projection-Expanded'!$A41,Projection!CG:CG)</f>
        <v>2914.9533493990457</v>
      </c>
      <c r="AG41" s="29">
        <f>SUMIF(Projection!$F:$F,'7 Year Projection-Expanded'!$A41,Projection!CH:CH)</f>
        <v>3031.5514833750076</v>
      </c>
      <c r="AH41" s="228">
        <f>SUMIF(Projection!$F:$F,'7 Year Projection-Expanded'!$A41,Projection!CI:CI)</f>
        <v>3152.8135427100078</v>
      </c>
      <c r="AI41" s="29">
        <f>SUMIF(Projection!$F:$F,'7 Year Projection-Expanded'!$A41,Projection!CJ:CJ)</f>
        <v>3278.9260844184082</v>
      </c>
      <c r="AJ41" s="573">
        <f>SUMIF(Projection!$F:$F,'7 Year Projection-Expanded'!$A41,Projection!CK:CK)</f>
        <v>3410.0831277951447</v>
      </c>
    </row>
    <row r="42" spans="1:36" ht="14.25" customHeight="1" x14ac:dyDescent="0.2">
      <c r="A42" s="283" t="s">
        <v>445</v>
      </c>
      <c r="B42" s="283" t="s">
        <v>446</v>
      </c>
      <c r="C42" s="597"/>
      <c r="D42" s="286" t="s">
        <v>447</v>
      </c>
      <c r="E42" s="285"/>
      <c r="F42" s="285"/>
      <c r="G42" s="285"/>
      <c r="H42" s="285"/>
      <c r="I42" s="606">
        <f t="shared" ref="I42:T42" si="16">SUM(I33:I41)</f>
        <v>251.86466303417143</v>
      </c>
      <c r="J42" s="289">
        <f t="shared" si="16"/>
        <v>276.89526957558905</v>
      </c>
      <c r="K42" s="606">
        <f t="shared" si="16"/>
        <v>421.63237534981187</v>
      </c>
      <c r="L42" s="289">
        <f t="shared" si="16"/>
        <v>494.09515407312807</v>
      </c>
      <c r="M42" s="606">
        <f t="shared" si="16"/>
        <v>752.8741713931214</v>
      </c>
      <c r="N42" s="289">
        <f t="shared" si="16"/>
        <v>776.17254808881103</v>
      </c>
      <c r="O42" s="606">
        <f t="shared" si="16"/>
        <v>820.92423375684018</v>
      </c>
      <c r="P42" s="289">
        <f t="shared" si="16"/>
        <v>833.30006388607444</v>
      </c>
      <c r="Q42" s="606">
        <f t="shared" si="16"/>
        <v>838.36328161420658</v>
      </c>
      <c r="R42" s="289">
        <f t="shared" si="16"/>
        <v>882.21524481934216</v>
      </c>
      <c r="S42" s="606">
        <f t="shared" si="16"/>
        <v>905.06819175692476</v>
      </c>
      <c r="T42" s="607">
        <f t="shared" si="16"/>
        <v>900.6590178580783</v>
      </c>
      <c r="U42" s="285"/>
      <c r="V42" s="608">
        <f t="shared" ref="V42:AJ42" si="17">SUM(V33:V41)</f>
        <v>8154.0642152060973</v>
      </c>
      <c r="W42" s="289">
        <f t="shared" si="17"/>
        <v>17589.061273352341</v>
      </c>
      <c r="X42" s="606">
        <f t="shared" si="17"/>
        <v>24152.094249785801</v>
      </c>
      <c r="Y42" s="289">
        <f t="shared" si="17"/>
        <v>24286.776146363252</v>
      </c>
      <c r="Z42" s="606">
        <f t="shared" si="17"/>
        <v>24649.080389257142</v>
      </c>
      <c r="AA42" s="289">
        <f t="shared" si="17"/>
        <v>25635.043604827431</v>
      </c>
      <c r="AB42" s="606">
        <f t="shared" si="17"/>
        <v>26660.445349020534</v>
      </c>
      <c r="AC42" s="289">
        <f t="shared" si="17"/>
        <v>27726.863162981357</v>
      </c>
      <c r="AD42" s="606">
        <f t="shared" si="17"/>
        <v>28835.937689500599</v>
      </c>
      <c r="AE42" s="289">
        <f t="shared" si="17"/>
        <v>29989.375197080626</v>
      </c>
      <c r="AF42" s="606">
        <f t="shared" si="17"/>
        <v>31188.950204963854</v>
      </c>
      <c r="AG42" s="289">
        <f t="shared" si="17"/>
        <v>32436.5082131624</v>
      </c>
      <c r="AH42" s="606">
        <f t="shared" si="17"/>
        <v>33733.968541688897</v>
      </c>
      <c r="AI42" s="289">
        <f t="shared" si="17"/>
        <v>35083.32728335647</v>
      </c>
      <c r="AJ42" s="609">
        <f t="shared" si="17"/>
        <v>36486.66037469072</v>
      </c>
    </row>
    <row r="43" spans="1:36" ht="6" customHeight="1" x14ac:dyDescent="0.2">
      <c r="C43" s="9"/>
      <c r="I43" s="197"/>
      <c r="K43" s="197"/>
      <c r="M43" s="197"/>
      <c r="O43" s="197"/>
      <c r="Q43" s="197"/>
      <c r="S43" s="197"/>
      <c r="T43" s="20"/>
      <c r="V43" s="610"/>
      <c r="X43" s="197"/>
      <c r="Z43" s="197"/>
      <c r="AB43" s="197"/>
      <c r="AD43" s="197"/>
      <c r="AF43" s="197"/>
      <c r="AH43" s="197"/>
      <c r="AJ43" s="611"/>
    </row>
    <row r="44" spans="1:36" ht="14.25" customHeight="1" x14ac:dyDescent="0.2">
      <c r="A44" s="285"/>
      <c r="B44" s="285"/>
      <c r="C44" s="597"/>
      <c r="D44" s="286" t="s">
        <v>448</v>
      </c>
      <c r="E44" s="285"/>
      <c r="F44" s="285"/>
      <c r="G44" s="285"/>
      <c r="H44" s="285"/>
      <c r="I44" s="598"/>
      <c r="J44" s="285"/>
      <c r="K44" s="598"/>
      <c r="L44" s="285"/>
      <c r="M44" s="598"/>
      <c r="N44" s="285"/>
      <c r="O44" s="598"/>
      <c r="P44" s="285"/>
      <c r="Q44" s="598"/>
      <c r="R44" s="285"/>
      <c r="S44" s="598"/>
      <c r="T44" s="599"/>
      <c r="U44" s="285"/>
      <c r="V44" s="600"/>
      <c r="W44" s="285"/>
      <c r="X44" s="598"/>
      <c r="Y44" s="285"/>
      <c r="Z44" s="598"/>
      <c r="AA44" s="285"/>
      <c r="AB44" s="598"/>
      <c r="AC44" s="285"/>
      <c r="AD44" s="598"/>
      <c r="AE44" s="285"/>
      <c r="AF44" s="598"/>
      <c r="AG44" s="285"/>
      <c r="AH44" s="598"/>
      <c r="AI44" s="285"/>
      <c r="AJ44" s="613"/>
    </row>
    <row r="45" spans="1:36" ht="14.25" customHeight="1" x14ac:dyDescent="0.2">
      <c r="A45" s="11">
        <v>4920</v>
      </c>
      <c r="C45" s="9"/>
      <c r="E45" s="11" t="s">
        <v>449</v>
      </c>
      <c r="H45" s="604"/>
      <c r="I45" s="228">
        <f t="array" ref="I45">IFERROR(INDEX(Projection!$B$9:$BE$196,MATCH('7 Year Projection-Expanded'!$A45,Projection!$B$9:$B$196,0),MATCH('7 Year Projection-Expanded'!I$8,Projection!$B$9:$BE$9,0)),0)</f>
        <v>67.166322154245478</v>
      </c>
      <c r="J45" s="29">
        <f t="array" ref="J45">IFERROR(INDEX(Projection!$B$9:$BE$196,MATCH('7 Year Projection-Expanded'!$A45,Projection!$B$9:$B$196,0),MATCH('7 Year Projection-Expanded'!J$8,Projection!$B$9:$BE$9,0)),0)</f>
        <v>133.52236258125572</v>
      </c>
      <c r="K45" s="228">
        <f t="array" ref="K45">IFERROR(INDEX(Projection!$B$9:$BE$196,MATCH('7 Year Projection-Expanded'!$A45,Projection!$B$9:$B$196,0),MATCH('7 Year Projection-Expanded'!K$8,Projection!$B$9:$BE$9,0)),0)</f>
        <v>224.98288278154527</v>
      </c>
      <c r="L45" s="29">
        <f t="array" ref="L45">IFERROR(INDEX(Projection!$B$9:$BE$196,MATCH('7 Year Projection-Expanded'!$A45,Projection!$B$9:$B$196,0),MATCH('7 Year Projection-Expanded'!L$8,Projection!$B$9:$BE$9,0)),0)</f>
        <v>317.91836961102126</v>
      </c>
      <c r="M45" s="228">
        <f t="array" ref="M45">IFERROR(INDEX(Projection!$B$9:$BE$196,MATCH('7 Year Projection-Expanded'!$A45,Projection!$B$9:$B$196,0),MATCH('7 Year Projection-Expanded'!M$8,Projection!$B$9:$BE$9,0)),0)</f>
        <v>460.43079982179444</v>
      </c>
      <c r="N45" s="29">
        <f t="array" ref="N45">IFERROR(INDEX(Projection!$B$9:$BE$196,MATCH('7 Year Projection-Expanded'!$A45,Projection!$B$9:$B$196,0),MATCH('7 Year Projection-Expanded'!N$8,Projection!$B$9:$BE$9,0)),0)</f>
        <v>578.07640248951941</v>
      </c>
      <c r="O45" s="228">
        <f t="array" ref="O45">IFERROR(INDEX(Projection!$B$9:$BE$196,MATCH('7 Year Projection-Expanded'!$A45,Projection!$B$9:$B$196,0),MATCH('7 Year Projection-Expanded'!O$8,Projection!$B$9:$BE$9,0)),0)</f>
        <v>680.92996826432545</v>
      </c>
      <c r="P45" s="29">
        <f t="array" ref="P45">IFERROR(INDEX(Projection!$B$9:$BE$196,MATCH('7 Year Projection-Expanded'!$A45,Projection!$B$9:$B$196,0),MATCH('7 Year Projection-Expanded'!P$8,Projection!$B$9:$BE$9,0)),0)</f>
        <v>758.57956936858545</v>
      </c>
      <c r="Q45" s="228">
        <f t="array" ref="Q45">IFERROR(INDEX(Projection!$B$9:$BE$196,MATCH('7 Year Projection-Expanded'!$A45,Projection!$B$9:$B$196,0),MATCH('7 Year Projection-Expanded'!Q$8,Projection!$B$9:$BE$9,0)),0)</f>
        <v>827.1449362055854</v>
      </c>
      <c r="R45" s="29">
        <f t="array" ref="R45">IFERROR(INDEX(Projection!$B$9:$BE$196,MATCH('7 Year Projection-Expanded'!$A45,Projection!$B$9:$B$196,0),MATCH('7 Year Projection-Expanded'!R$8,Projection!$B$9:$BE$9,0)),0)</f>
        <v>896.5881029419179</v>
      </c>
      <c r="S45" s="228">
        <f t="array" ref="S45">IFERROR(INDEX(Projection!$B$9:$BE$196,MATCH('7 Year Projection-Expanded'!$A45,Projection!$B$9:$B$196,0),MATCH('7 Year Projection-Expanded'!S$8,Projection!$B$9:$BE$9,0)),0)</f>
        <v>961.37030889353696</v>
      </c>
      <c r="T45" s="28">
        <f t="array" ref="T45">IFERROR(INDEX(Projection!$B$9:$BE$196,MATCH('7 Year Projection-Expanded'!$A45,Projection!$B$9:$B$196,0),MATCH('7 Year Projection-Expanded'!T$8,Projection!$B$9:$BE$9,0)),0)</f>
        <v>1015.7399999999994</v>
      </c>
      <c r="V45" s="572">
        <f t="shared" ref="V45:V50" si="18">SUM(I45:T45)</f>
        <v>6922.4500251133331</v>
      </c>
      <c r="W45" s="29">
        <f>SUMIF(Projection!$F:$F,'7 Year Projection-Expanded'!$A45,Projection!BX:BX)</f>
        <v>19530.872450877774</v>
      </c>
      <c r="X45" s="228">
        <f>SUMIF(Projection!$F:$F,'7 Year Projection-Expanded'!$A45,Projection!BY:BY)</f>
        <v>30150.989109173323</v>
      </c>
      <c r="Y45" s="29">
        <f>SUMIF(Projection!$F:$F,'7 Year Projection-Expanded'!$A45,Projection!BZ:BZ)</f>
        <v>33981.12000000001</v>
      </c>
      <c r="Z45" s="228">
        <f>SUMIF(Projection!$F:$F,'7 Year Projection-Expanded'!$A45,Projection!CA:CA)</f>
        <v>33981.12000000001</v>
      </c>
      <c r="AA45" s="29">
        <f>SUMIF(Projection!$F:$F,'7 Year Projection-Expanded'!$A45,Projection!CB:CB)</f>
        <v>35340.36480000001</v>
      </c>
      <c r="AB45" s="228">
        <f>SUMIF(Projection!$F:$F,'7 Year Projection-Expanded'!$A45,Projection!CC:CC)</f>
        <v>36753.979392000008</v>
      </c>
      <c r="AC45" s="29">
        <f>SUMIF(Projection!$F:$F,'7 Year Projection-Expanded'!$A45,Projection!CD:CD)</f>
        <v>38224.138567680013</v>
      </c>
      <c r="AD45" s="228">
        <f>SUMIF(Projection!$F:$F,'7 Year Projection-Expanded'!$A45,Projection!CE:CE)</f>
        <v>39753.104110387212</v>
      </c>
      <c r="AE45" s="29">
        <f>SUMIF(Projection!$F:$F,'7 Year Projection-Expanded'!$A45,Projection!CF:CF)</f>
        <v>41343.228274802699</v>
      </c>
      <c r="AF45" s="228">
        <f>SUMIF(Projection!$F:$F,'7 Year Projection-Expanded'!$A45,Projection!CG:CG)</f>
        <v>42996.957405794812</v>
      </c>
      <c r="AG45" s="29">
        <f>SUMIF(Projection!$F:$F,'7 Year Projection-Expanded'!$A45,Projection!CH:CH)</f>
        <v>44716.835702026605</v>
      </c>
      <c r="AH45" s="228">
        <f>SUMIF(Projection!$F:$F,'7 Year Projection-Expanded'!$A45,Projection!CI:CI)</f>
        <v>46505.509130107668</v>
      </c>
      <c r="AI45" s="29">
        <f>SUMIF(Projection!$F:$F,'7 Year Projection-Expanded'!$A45,Projection!CJ:CJ)</f>
        <v>48365.729495311978</v>
      </c>
      <c r="AJ45" s="573">
        <f>SUMIF(Projection!$F:$F,'7 Year Projection-Expanded'!$A45,Projection!CK:CK)</f>
        <v>50300.358675124458</v>
      </c>
    </row>
    <row r="46" spans="1:36" ht="14.25" customHeight="1" x14ac:dyDescent="0.2">
      <c r="A46" s="11">
        <v>4938</v>
      </c>
      <c r="C46" s="9"/>
      <c r="E46" s="11" t="s">
        <v>450</v>
      </c>
      <c r="H46" s="604"/>
      <c r="I46" s="228">
        <f t="array" ref="I46">IFERROR(INDEX(Projection!$B$9:$BE$196,MATCH('7 Year Projection-Expanded'!$A46,Projection!$B$9:$B$196,0),MATCH('7 Year Projection-Expanded'!I$8,Projection!$B$9:$BE$9,0)),0)</f>
        <v>0</v>
      </c>
      <c r="J46" s="29">
        <f t="array" ref="J46">IFERROR(INDEX(Projection!$B$9:$BE$196,MATCH('7 Year Projection-Expanded'!$A46,Projection!$B$9:$B$196,0),MATCH('7 Year Projection-Expanded'!J$8,Projection!$B$9:$BE$9,0)),0)</f>
        <v>0</v>
      </c>
      <c r="K46" s="228">
        <f t="array" ref="K46">IFERROR(INDEX(Projection!$B$9:$BE$196,MATCH('7 Year Projection-Expanded'!$A46,Projection!$B$9:$B$196,0),MATCH('7 Year Projection-Expanded'!K$8,Projection!$B$9:$BE$9,0)),0)</f>
        <v>0</v>
      </c>
      <c r="L46" s="29">
        <f t="array" ref="L46">IFERROR(INDEX(Projection!$B$9:$BE$196,MATCH('7 Year Projection-Expanded'!$A46,Projection!$B$9:$B$196,0),MATCH('7 Year Projection-Expanded'!L$8,Projection!$B$9:$BE$9,0)),0)</f>
        <v>0</v>
      </c>
      <c r="M46" s="228">
        <f t="array" ref="M46">IFERROR(INDEX(Projection!$B$9:$BE$196,MATCH('7 Year Projection-Expanded'!$A46,Projection!$B$9:$B$196,0),MATCH('7 Year Projection-Expanded'!M$8,Projection!$B$9:$BE$9,0)),0)</f>
        <v>0</v>
      </c>
      <c r="N46" s="29">
        <f t="array" ref="N46">IFERROR(INDEX(Projection!$B$9:$BE$196,MATCH('7 Year Projection-Expanded'!$A46,Projection!$B$9:$B$196,0),MATCH('7 Year Projection-Expanded'!N$8,Projection!$B$9:$BE$9,0)),0)</f>
        <v>0</v>
      </c>
      <c r="O46" s="228">
        <f t="array" ref="O46">IFERROR(INDEX(Projection!$B$9:$BE$196,MATCH('7 Year Projection-Expanded'!$A46,Projection!$B$9:$B$196,0),MATCH('7 Year Projection-Expanded'!O$8,Projection!$B$9:$BE$9,0)),0)</f>
        <v>0</v>
      </c>
      <c r="P46" s="29">
        <f t="array" ref="P46">IFERROR(INDEX(Projection!$B$9:$BE$196,MATCH('7 Year Projection-Expanded'!$A46,Projection!$B$9:$B$196,0),MATCH('7 Year Projection-Expanded'!P$8,Projection!$B$9:$BE$9,0)),0)</f>
        <v>0</v>
      </c>
      <c r="Q46" s="228">
        <f t="array" ref="Q46">IFERROR(INDEX(Projection!$B$9:$BE$196,MATCH('7 Year Projection-Expanded'!$A46,Projection!$B$9:$B$196,0),MATCH('7 Year Projection-Expanded'!Q$8,Projection!$B$9:$BE$9,0)),0)</f>
        <v>0</v>
      </c>
      <c r="R46" s="29">
        <f t="array" ref="R46">IFERROR(INDEX(Projection!$B$9:$BE$196,MATCH('7 Year Projection-Expanded'!$A46,Projection!$B$9:$B$196,0),MATCH('7 Year Projection-Expanded'!R$8,Projection!$B$9:$BE$9,0)),0)</f>
        <v>0</v>
      </c>
      <c r="S46" s="228">
        <f t="array" ref="S46">IFERROR(INDEX(Projection!$B$9:$BE$196,MATCH('7 Year Projection-Expanded'!$A46,Projection!$B$9:$B$196,0),MATCH('7 Year Projection-Expanded'!S$8,Projection!$B$9:$BE$9,0)),0)</f>
        <v>0</v>
      </c>
      <c r="T46" s="28">
        <f t="array" ref="T46">IFERROR(INDEX(Projection!$B$9:$BE$196,MATCH('7 Year Projection-Expanded'!$A46,Projection!$B$9:$B$196,0),MATCH('7 Year Projection-Expanded'!T$8,Projection!$B$9:$BE$9,0)),0)</f>
        <v>0</v>
      </c>
      <c r="V46" s="572">
        <f t="shared" si="18"/>
        <v>0</v>
      </c>
      <c r="W46" s="29">
        <f>SUMIF(Projection!$F:$F,'7 Year Projection-Expanded'!$A46,Projection!BX:BX)</f>
        <v>0</v>
      </c>
      <c r="X46" s="228">
        <f>SUMIF(Projection!$F:$F,'7 Year Projection-Expanded'!$A46,Projection!BY:BY)</f>
        <v>0</v>
      </c>
      <c r="Y46" s="29">
        <f>SUMIF(Projection!$F:$F,'7 Year Projection-Expanded'!$A46,Projection!BZ:BZ)</f>
        <v>0</v>
      </c>
      <c r="Z46" s="228">
        <f>SUMIF(Projection!$F:$F,'7 Year Projection-Expanded'!$A46,Projection!CA:CA)</f>
        <v>0</v>
      </c>
      <c r="AA46" s="29">
        <f>SUMIF(Projection!$F:$F,'7 Year Projection-Expanded'!$A46,Projection!CB:CB)</f>
        <v>0</v>
      </c>
      <c r="AB46" s="228">
        <f>SUMIF(Projection!$F:$F,'7 Year Projection-Expanded'!$A46,Projection!CC:CC)</f>
        <v>0</v>
      </c>
      <c r="AC46" s="29">
        <f>SUMIF(Projection!$F:$F,'7 Year Projection-Expanded'!$A46,Projection!CD:CD)</f>
        <v>0</v>
      </c>
      <c r="AD46" s="228">
        <f>SUMIF(Projection!$F:$F,'7 Year Projection-Expanded'!$A46,Projection!CE:CE)</f>
        <v>0</v>
      </c>
      <c r="AE46" s="29">
        <f>SUMIF(Projection!$F:$F,'7 Year Projection-Expanded'!$A46,Projection!CF:CF)</f>
        <v>0</v>
      </c>
      <c r="AF46" s="228">
        <f>SUMIF(Projection!$F:$F,'7 Year Projection-Expanded'!$A46,Projection!CG:CG)</f>
        <v>0</v>
      </c>
      <c r="AG46" s="29">
        <f>SUMIF(Projection!$F:$F,'7 Year Projection-Expanded'!$A46,Projection!CH:CH)</f>
        <v>0</v>
      </c>
      <c r="AH46" s="228">
        <f>SUMIF(Projection!$F:$F,'7 Year Projection-Expanded'!$A46,Projection!CI:CI)</f>
        <v>0</v>
      </c>
      <c r="AI46" s="29">
        <f>SUMIF(Projection!$F:$F,'7 Year Projection-Expanded'!$A46,Projection!CJ:CJ)</f>
        <v>0</v>
      </c>
      <c r="AJ46" s="573">
        <f>SUMIF(Projection!$F:$F,'7 Year Projection-Expanded'!$A46,Projection!CK:CK)</f>
        <v>0</v>
      </c>
    </row>
    <row r="47" spans="1:36" ht="14.25" customHeight="1" x14ac:dyDescent="0.2">
      <c r="A47" s="11">
        <v>4940</v>
      </c>
      <c r="C47" s="9"/>
      <c r="E47" s="11" t="s">
        <v>451</v>
      </c>
      <c r="H47" s="29"/>
      <c r="I47" s="228">
        <f t="array" ref="I47">IFERROR(INDEX(Projection!$B$9:$BE$196,MATCH('7 Year Projection-Expanded'!$A47,Projection!$B$9:$B$196,0),MATCH('7 Year Projection-Expanded'!I$8,Projection!$B$9:$BE$9,0)),0)</f>
        <v>0</v>
      </c>
      <c r="J47" s="29">
        <f t="array" ref="J47">IFERROR(INDEX(Projection!$B$9:$BE$196,MATCH('7 Year Projection-Expanded'!$A47,Projection!$B$9:$B$196,0),MATCH('7 Year Projection-Expanded'!J$8,Projection!$B$9:$BE$9,0)),0)</f>
        <v>0</v>
      </c>
      <c r="K47" s="228">
        <f t="array" ref="K47">IFERROR(INDEX(Projection!$B$9:$BE$196,MATCH('7 Year Projection-Expanded'!$A47,Projection!$B$9:$B$196,0),MATCH('7 Year Projection-Expanded'!K$8,Projection!$B$9:$BE$9,0)),0)</f>
        <v>0</v>
      </c>
      <c r="L47" s="29">
        <f t="array" ref="L47">IFERROR(INDEX(Projection!$B$9:$BE$196,MATCH('7 Year Projection-Expanded'!$A47,Projection!$B$9:$B$196,0),MATCH('7 Year Projection-Expanded'!L$8,Projection!$B$9:$BE$9,0)),0)</f>
        <v>0</v>
      </c>
      <c r="M47" s="228">
        <f t="array" ref="M47">IFERROR(INDEX(Projection!$B$9:$BE$196,MATCH('7 Year Projection-Expanded'!$A47,Projection!$B$9:$B$196,0),MATCH('7 Year Projection-Expanded'!M$8,Projection!$B$9:$BE$9,0)),0)</f>
        <v>0</v>
      </c>
      <c r="N47" s="29">
        <f t="array" ref="N47">IFERROR(INDEX(Projection!$B$9:$BE$196,MATCH('7 Year Projection-Expanded'!$A47,Projection!$B$9:$B$196,0),MATCH('7 Year Projection-Expanded'!N$8,Projection!$B$9:$BE$9,0)),0)</f>
        <v>0</v>
      </c>
      <c r="O47" s="228">
        <f t="array" ref="O47">IFERROR(INDEX(Projection!$B$9:$BE$196,MATCH('7 Year Projection-Expanded'!$A47,Projection!$B$9:$B$196,0),MATCH('7 Year Projection-Expanded'!O$8,Projection!$B$9:$BE$9,0)),0)</f>
        <v>0</v>
      </c>
      <c r="P47" s="29">
        <f t="array" ref="P47">IFERROR(INDEX(Projection!$B$9:$BE$196,MATCH('7 Year Projection-Expanded'!$A47,Projection!$B$9:$B$196,0),MATCH('7 Year Projection-Expanded'!P$8,Projection!$B$9:$BE$9,0)),0)</f>
        <v>0</v>
      </c>
      <c r="Q47" s="228">
        <f t="array" ref="Q47">IFERROR(INDEX(Projection!$B$9:$BE$196,MATCH('7 Year Projection-Expanded'!$A47,Projection!$B$9:$B$196,0),MATCH('7 Year Projection-Expanded'!Q$8,Projection!$B$9:$BE$9,0)),0)</f>
        <v>0</v>
      </c>
      <c r="R47" s="29">
        <f t="array" ref="R47">IFERROR(INDEX(Projection!$B$9:$BE$196,MATCH('7 Year Projection-Expanded'!$A47,Projection!$B$9:$B$196,0),MATCH('7 Year Projection-Expanded'!R$8,Projection!$B$9:$BE$9,0)),0)</f>
        <v>0</v>
      </c>
      <c r="S47" s="228">
        <f t="array" ref="S47">IFERROR(INDEX(Projection!$B$9:$BE$196,MATCH('7 Year Projection-Expanded'!$A47,Projection!$B$9:$B$196,0),MATCH('7 Year Projection-Expanded'!S$8,Projection!$B$9:$BE$9,0)),0)</f>
        <v>0</v>
      </c>
      <c r="T47" s="28">
        <f t="array" ref="T47">IFERROR(INDEX(Projection!$B$9:$BE$196,MATCH('7 Year Projection-Expanded'!$A47,Projection!$B$9:$B$196,0),MATCH('7 Year Projection-Expanded'!T$8,Projection!$B$9:$BE$9,0)),0)</f>
        <v>0</v>
      </c>
      <c r="V47" s="572">
        <f t="shared" si="18"/>
        <v>0</v>
      </c>
      <c r="W47" s="29">
        <f>SUMIF(Projection!$F:$F,'7 Year Projection-Expanded'!$A47,Projection!BX:BX)</f>
        <v>0</v>
      </c>
      <c r="X47" s="228">
        <f>SUMIF(Projection!$F:$F,'7 Year Projection-Expanded'!$A47,Projection!BY:BY)</f>
        <v>0</v>
      </c>
      <c r="Y47" s="29">
        <f>SUMIF(Projection!$F:$F,'7 Year Projection-Expanded'!$A47,Projection!BZ:BZ)</f>
        <v>0</v>
      </c>
      <c r="Z47" s="228">
        <f>SUMIF(Projection!$F:$F,'7 Year Projection-Expanded'!$A47,Projection!CA:CA)</f>
        <v>0</v>
      </c>
      <c r="AA47" s="29">
        <f>SUMIF(Projection!$F:$F,'7 Year Projection-Expanded'!$A47,Projection!CB:CB)</f>
        <v>0</v>
      </c>
      <c r="AB47" s="228">
        <f>SUMIF(Projection!$F:$F,'7 Year Projection-Expanded'!$A47,Projection!CC:CC)</f>
        <v>0</v>
      </c>
      <c r="AC47" s="29">
        <f>SUMIF(Projection!$F:$F,'7 Year Projection-Expanded'!$A47,Projection!CD:CD)</f>
        <v>0</v>
      </c>
      <c r="AD47" s="228">
        <f>SUMIF(Projection!$F:$F,'7 Year Projection-Expanded'!$A47,Projection!CE:CE)</f>
        <v>0</v>
      </c>
      <c r="AE47" s="29">
        <f>SUMIF(Projection!$F:$F,'7 Year Projection-Expanded'!$A47,Projection!CF:CF)</f>
        <v>0</v>
      </c>
      <c r="AF47" s="228">
        <f>SUMIF(Projection!$F:$F,'7 Year Projection-Expanded'!$A47,Projection!CG:CG)</f>
        <v>0</v>
      </c>
      <c r="AG47" s="29">
        <f>SUMIF(Projection!$F:$F,'7 Year Projection-Expanded'!$A47,Projection!CH:CH)</f>
        <v>0</v>
      </c>
      <c r="AH47" s="228">
        <f>SUMIF(Projection!$F:$F,'7 Year Projection-Expanded'!$A47,Projection!CI:CI)</f>
        <v>0</v>
      </c>
      <c r="AI47" s="29">
        <f>SUMIF(Projection!$F:$F,'7 Year Projection-Expanded'!$A47,Projection!CJ:CJ)</f>
        <v>0</v>
      </c>
      <c r="AJ47" s="573">
        <f>SUMIF(Projection!$F:$F,'7 Year Projection-Expanded'!$A47,Projection!CK:CK)</f>
        <v>0</v>
      </c>
    </row>
    <row r="48" spans="1:36" ht="14.25" customHeight="1" x14ac:dyDescent="0.2">
      <c r="A48" s="11">
        <v>4961</v>
      </c>
      <c r="C48" s="9"/>
      <c r="E48" s="11" t="s">
        <v>452</v>
      </c>
      <c r="H48" s="604"/>
      <c r="I48" s="228">
        <f t="array" ref="I48">IFERROR(INDEX(Projection!$B$9:$BE$196,MATCH('7 Year Projection-Expanded'!$A48,Projection!$B$9:$B$196,0),MATCH('7 Year Projection-Expanded'!I$8,Projection!$B$9:$BE$9,0)),0)</f>
        <v>37.314623419025274</v>
      </c>
      <c r="J48" s="29">
        <f t="array" ref="J48">IFERROR(INDEX(Projection!$B$9:$BE$196,MATCH('7 Year Projection-Expanded'!$A48,Projection!$B$9:$B$196,0),MATCH('7 Year Projection-Expanded'!J$8,Projection!$B$9:$BE$9,0)),0)</f>
        <v>36.864466903894588</v>
      </c>
      <c r="K48" s="228">
        <f t="array" ref="K48">IFERROR(INDEX(Projection!$B$9:$BE$196,MATCH('7 Year Projection-Expanded'!$A48,Projection!$B$9:$B$196,0),MATCH('7 Year Projection-Expanded'!K$8,Projection!$B$9:$BE$9,0)),0)</f>
        <v>54.52563155036691</v>
      </c>
      <c r="L48" s="29">
        <f t="array" ref="L48">IFERROR(INDEX(Projection!$B$9:$BE$196,MATCH('7 Year Projection-Expanded'!$A48,Projection!$B$9:$B$196,0),MATCH('7 Year Projection-Expanded'!L$8,Projection!$B$9:$BE$9,0)),0)</f>
        <v>59.709823057273312</v>
      </c>
      <c r="M48" s="228">
        <f t="array" ref="M48">IFERROR(INDEX(Projection!$B$9:$BE$196,MATCH('7 Year Projection-Expanded'!$A48,Projection!$B$9:$B$196,0),MATCH('7 Year Projection-Expanded'!M$8,Projection!$B$9:$BE$9,0)),0)</f>
        <v>91.774624474180825</v>
      </c>
      <c r="N48" s="29">
        <f t="array" ref="N48">IFERROR(INDEX(Projection!$B$9:$BE$196,MATCH('7 Year Projection-Expanded'!$A48,Projection!$B$9:$B$196,0),MATCH('7 Year Projection-Expanded'!N$8,Projection!$B$9:$BE$9,0)),0)</f>
        <v>85.731373566572117</v>
      </c>
      <c r="O48" s="228">
        <f t="array" ref="O48">IFERROR(INDEX(Projection!$B$9:$BE$196,MATCH('7 Year Projection-Expanded'!$A48,Projection!$B$9:$B$196,0),MATCH('7 Year Projection-Expanded'!O$8,Projection!$B$9:$BE$9,0)),0)</f>
        <v>84.583000179777756</v>
      </c>
      <c r="P48" s="29">
        <f t="array" ref="P48">IFERROR(INDEX(Projection!$B$9:$BE$196,MATCH('7 Year Projection-Expanded'!$A48,Projection!$B$9:$B$196,0),MATCH('7 Year Projection-Expanded'!P$8,Projection!$B$9:$BE$9,0)),0)</f>
        <v>80.583585474166625</v>
      </c>
      <c r="Q48" s="228">
        <f t="array" ref="Q48">IFERROR(INDEX(Projection!$B$9:$BE$196,MATCH('7 Year Projection-Expanded'!$A48,Projection!$B$9:$B$196,0),MATCH('7 Year Projection-Expanded'!Q$8,Projection!$B$9:$BE$9,0)),0)</f>
        <v>76.150771925608041</v>
      </c>
      <c r="R48" s="29">
        <f t="array" ref="R48">IFERROR(INDEX(Projection!$B$9:$BE$196,MATCH('7 Year Projection-Expanded'!$A48,Projection!$B$9:$B$196,0),MATCH('7 Year Projection-Expanded'!R$8,Projection!$B$9:$BE$9,0)),0)</f>
        <v>77.963323722112406</v>
      </c>
      <c r="S48" s="228">
        <f t="array" ref="S48">IFERROR(INDEX(Projection!$B$9:$BE$196,MATCH('7 Year Projection-Expanded'!$A48,Projection!$B$9:$B$196,0),MATCH('7 Year Projection-Expanded'!S$8,Projection!$B$9:$BE$9,0)),0)</f>
        <v>76.833471873032252</v>
      </c>
      <c r="T48" s="28">
        <f t="array" ref="T48">IFERROR(INDEX(Projection!$B$9:$BE$196,MATCH('7 Year Projection-Expanded'!$A48,Projection!$B$9:$B$196,0),MATCH('7 Year Projection-Expanded'!T$8,Projection!$B$9:$BE$9,0)),0)</f>
        <v>71.895883992572806</v>
      </c>
      <c r="V48" s="572">
        <f t="shared" si="18"/>
        <v>833.93058013858285</v>
      </c>
      <c r="W48" s="29">
        <f>SUMIF(Projection!$F:$F,'7 Year Projection-Expanded'!$A48,Projection!BX:BX)</f>
        <v>1379.1158700817782</v>
      </c>
      <c r="X48" s="228">
        <f>SUMIF(Projection!$F:$F,'7 Year Projection-Expanded'!$A48,Projection!BY:BY)</f>
        <v>1515.4942065841244</v>
      </c>
      <c r="Y48" s="29">
        <f>SUMIF(Projection!$F:$F,'7 Year Projection-Expanded'!$A48,Projection!BZ:BZ)</f>
        <v>1108.2497066001324</v>
      </c>
      <c r="Z48" s="228">
        <f>SUMIF(Projection!$F:$F,'7 Year Projection-Expanded'!$A48,Projection!CA:CA)</f>
        <v>1036.5400997351146</v>
      </c>
      <c r="AA48" s="29">
        <f>SUMIF(Projection!$F:$F,'7 Year Projection-Expanded'!$A48,Projection!CB:CB)</f>
        <v>1078.0017037245193</v>
      </c>
      <c r="AB48" s="228">
        <f>SUMIF(Projection!$F:$F,'7 Year Projection-Expanded'!$A48,Projection!CC:CC)</f>
        <v>1121.1217718735002</v>
      </c>
      <c r="AC48" s="29">
        <f>SUMIF(Projection!$F:$F,'7 Year Projection-Expanded'!$A48,Projection!CD:CD)</f>
        <v>1165.9666427484401</v>
      </c>
      <c r="AD48" s="228">
        <f>SUMIF(Projection!$F:$F,'7 Year Projection-Expanded'!$A48,Projection!CE:CE)</f>
        <v>1212.6053084583777</v>
      </c>
      <c r="AE48" s="29">
        <f>SUMIF(Projection!$F:$F,'7 Year Projection-Expanded'!$A48,Projection!CF:CF)</f>
        <v>1261.109520796713</v>
      </c>
      <c r="AF48" s="228">
        <f>SUMIF(Projection!$F:$F,'7 Year Projection-Expanded'!$A48,Projection!CG:CG)</f>
        <v>1311.5539016285816</v>
      </c>
      <c r="AG48" s="29">
        <f>SUMIF(Projection!$F:$F,'7 Year Projection-Expanded'!$A48,Projection!CH:CH)</f>
        <v>1364.0160576937249</v>
      </c>
      <c r="AH48" s="228">
        <f>SUMIF(Projection!$F:$F,'7 Year Projection-Expanded'!$A48,Projection!CI:CI)</f>
        <v>1418.5767000014739</v>
      </c>
      <c r="AI48" s="29">
        <f>SUMIF(Projection!$F:$F,'7 Year Projection-Expanded'!$A48,Projection!CJ:CJ)</f>
        <v>1475.319768001533</v>
      </c>
      <c r="AJ48" s="573">
        <f>SUMIF(Projection!$F:$F,'7 Year Projection-Expanded'!$A48,Projection!CK:CK)</f>
        <v>1534.3325587215943</v>
      </c>
    </row>
    <row r="49" spans="1:36" ht="14.25" customHeight="1" x14ac:dyDescent="0.2">
      <c r="A49" s="11">
        <v>4962</v>
      </c>
      <c r="C49" s="9"/>
      <c r="E49" s="11" t="s">
        <v>223</v>
      </c>
      <c r="H49" s="29"/>
      <c r="I49" s="228">
        <f t="array" ref="I49">IFERROR(INDEX(Projection!$B$9:$BE$196,MATCH('7 Year Projection-Expanded'!$A49,Projection!$B$9:$B$196,0),MATCH('7 Year Projection-Expanded'!I$8,Projection!$B$9:$BE$9,0)),0)</f>
        <v>0</v>
      </c>
      <c r="J49" s="29">
        <f t="array" ref="J49">IFERROR(INDEX(Projection!$B$9:$BE$196,MATCH('7 Year Projection-Expanded'!$A49,Projection!$B$9:$B$196,0),MATCH('7 Year Projection-Expanded'!J$8,Projection!$B$9:$BE$9,0)),0)</f>
        <v>0</v>
      </c>
      <c r="K49" s="228">
        <f t="array" ref="K49">IFERROR(INDEX(Projection!$B$9:$BE$196,MATCH('7 Year Projection-Expanded'!$A49,Projection!$B$9:$B$196,0),MATCH('7 Year Projection-Expanded'!K$8,Projection!$B$9:$BE$9,0)),0)</f>
        <v>0</v>
      </c>
      <c r="L49" s="29">
        <f t="array" ref="L49">IFERROR(INDEX(Projection!$B$9:$BE$196,MATCH('7 Year Projection-Expanded'!$A49,Projection!$B$9:$B$196,0),MATCH('7 Year Projection-Expanded'!L$8,Projection!$B$9:$BE$9,0)),0)</f>
        <v>0</v>
      </c>
      <c r="M49" s="228">
        <f t="array" ref="M49">IFERROR(INDEX(Projection!$B$9:$BE$196,MATCH('7 Year Projection-Expanded'!$A49,Projection!$B$9:$B$196,0),MATCH('7 Year Projection-Expanded'!M$8,Projection!$B$9:$BE$9,0)),0)</f>
        <v>0</v>
      </c>
      <c r="N49" s="29">
        <f t="array" ref="N49">IFERROR(INDEX(Projection!$B$9:$BE$196,MATCH('7 Year Projection-Expanded'!$A49,Projection!$B$9:$B$196,0),MATCH('7 Year Projection-Expanded'!N$8,Projection!$B$9:$BE$9,0)),0)</f>
        <v>0</v>
      </c>
      <c r="O49" s="228">
        <f t="array" ref="O49">IFERROR(INDEX(Projection!$B$9:$BE$196,MATCH('7 Year Projection-Expanded'!$A49,Projection!$B$9:$B$196,0),MATCH('7 Year Projection-Expanded'!O$8,Projection!$B$9:$BE$9,0)),0)</f>
        <v>0</v>
      </c>
      <c r="P49" s="29">
        <f t="array" ref="P49">IFERROR(INDEX(Projection!$B$9:$BE$196,MATCH('7 Year Projection-Expanded'!$A49,Projection!$B$9:$B$196,0),MATCH('7 Year Projection-Expanded'!P$8,Projection!$B$9:$BE$9,0)),0)</f>
        <v>0</v>
      </c>
      <c r="Q49" s="228">
        <f t="array" ref="Q49">IFERROR(INDEX(Projection!$B$9:$BE$196,MATCH('7 Year Projection-Expanded'!$A49,Projection!$B$9:$B$196,0),MATCH('7 Year Projection-Expanded'!Q$8,Projection!$B$9:$BE$9,0)),0)</f>
        <v>0</v>
      </c>
      <c r="R49" s="29">
        <f t="array" ref="R49">IFERROR(INDEX(Projection!$B$9:$BE$196,MATCH('7 Year Projection-Expanded'!$A49,Projection!$B$9:$B$196,0),MATCH('7 Year Projection-Expanded'!R$8,Projection!$B$9:$BE$9,0)),0)</f>
        <v>0</v>
      </c>
      <c r="S49" s="228">
        <f t="array" ref="S49">IFERROR(INDEX(Projection!$B$9:$BE$196,MATCH('7 Year Projection-Expanded'!$A49,Projection!$B$9:$B$196,0),MATCH('7 Year Projection-Expanded'!S$8,Projection!$B$9:$BE$9,0)),0)</f>
        <v>0</v>
      </c>
      <c r="T49" s="28">
        <f t="array" ref="T49">IFERROR(INDEX(Projection!$B$9:$BE$196,MATCH('7 Year Projection-Expanded'!$A49,Projection!$B$9:$B$196,0),MATCH('7 Year Projection-Expanded'!T$8,Projection!$B$9:$BE$9,0)),0)</f>
        <v>0</v>
      </c>
      <c r="V49" s="572">
        <f t="shared" si="18"/>
        <v>0</v>
      </c>
      <c r="W49" s="29">
        <f>SUMIF(Projection!$F:$F,'7 Year Projection-Expanded'!$A49,Projection!BX:BX)</f>
        <v>0</v>
      </c>
      <c r="X49" s="228">
        <f>SUMIF(Projection!$F:$F,'7 Year Projection-Expanded'!$A49,Projection!BY:BY)</f>
        <v>0</v>
      </c>
      <c r="Y49" s="29">
        <f>SUMIF(Projection!$F:$F,'7 Year Projection-Expanded'!$A49,Projection!BZ:BZ)</f>
        <v>0</v>
      </c>
      <c r="Z49" s="228">
        <f>SUMIF(Projection!$F:$F,'7 Year Projection-Expanded'!$A49,Projection!CA:CA)</f>
        <v>0</v>
      </c>
      <c r="AA49" s="29">
        <f>SUMIF(Projection!$F:$F,'7 Year Projection-Expanded'!$A49,Projection!CB:CB)</f>
        <v>0</v>
      </c>
      <c r="AB49" s="228">
        <f>SUMIF(Projection!$F:$F,'7 Year Projection-Expanded'!$A49,Projection!CC:CC)</f>
        <v>0</v>
      </c>
      <c r="AC49" s="29">
        <f>SUMIF(Projection!$F:$F,'7 Year Projection-Expanded'!$A49,Projection!CD:CD)</f>
        <v>0</v>
      </c>
      <c r="AD49" s="228">
        <f>SUMIF(Projection!$F:$F,'7 Year Projection-Expanded'!$A49,Projection!CE:CE)</f>
        <v>0</v>
      </c>
      <c r="AE49" s="29">
        <f>SUMIF(Projection!$F:$F,'7 Year Projection-Expanded'!$A49,Projection!CF:CF)</f>
        <v>0</v>
      </c>
      <c r="AF49" s="228">
        <f>SUMIF(Projection!$F:$F,'7 Year Projection-Expanded'!$A49,Projection!CG:CG)</f>
        <v>0</v>
      </c>
      <c r="AG49" s="29">
        <f>SUMIF(Projection!$F:$F,'7 Year Projection-Expanded'!$A49,Projection!CH:CH)</f>
        <v>0</v>
      </c>
      <c r="AH49" s="228">
        <f>SUMIF(Projection!$F:$F,'7 Year Projection-Expanded'!$A49,Projection!CI:CI)</f>
        <v>0</v>
      </c>
      <c r="AI49" s="29">
        <f>SUMIF(Projection!$F:$F,'7 Year Projection-Expanded'!$A49,Projection!CJ:CJ)</f>
        <v>0</v>
      </c>
      <c r="AJ49" s="573">
        <f>SUMIF(Projection!$F:$F,'7 Year Projection-Expanded'!$A49,Projection!CK:CK)</f>
        <v>0</v>
      </c>
    </row>
    <row r="50" spans="1:36" ht="14.25" customHeight="1" x14ac:dyDescent="0.2">
      <c r="A50" s="11">
        <v>4999</v>
      </c>
      <c r="C50" s="9"/>
      <c r="E50" s="11" t="s">
        <v>352</v>
      </c>
      <c r="I50" s="228">
        <f t="array" ref="I50">IFERROR(INDEX(Projection!$B$9:$BE$196,MATCH('7 Year Projection-Expanded'!$A50,Projection!$B$9:$B$196,0),MATCH('7 Year Projection-Expanded'!I$8,Projection!$B$9:$BE$9,0)),0)</f>
        <v>0</v>
      </c>
      <c r="J50" s="29">
        <f t="array" ref="J50">IFERROR(INDEX(Projection!$B$9:$BE$196,MATCH('7 Year Projection-Expanded'!$A50,Projection!$B$9:$B$196,0),MATCH('7 Year Projection-Expanded'!J$8,Projection!$B$9:$BE$9,0)),0)</f>
        <v>0</v>
      </c>
      <c r="K50" s="228">
        <f t="array" ref="K50">IFERROR(INDEX(Projection!$B$9:$BE$196,MATCH('7 Year Projection-Expanded'!$A50,Projection!$B$9:$B$196,0),MATCH('7 Year Projection-Expanded'!K$8,Projection!$B$9:$BE$9,0)),0)</f>
        <v>0</v>
      </c>
      <c r="L50" s="29">
        <f t="array" ref="L50">IFERROR(INDEX(Projection!$B$9:$BE$196,MATCH('7 Year Projection-Expanded'!$A50,Projection!$B$9:$B$196,0),MATCH('7 Year Projection-Expanded'!L$8,Projection!$B$9:$BE$9,0)),0)</f>
        <v>0</v>
      </c>
      <c r="M50" s="228">
        <f t="array" ref="M50">IFERROR(INDEX(Projection!$B$9:$BE$196,MATCH('7 Year Projection-Expanded'!$A50,Projection!$B$9:$B$196,0),MATCH('7 Year Projection-Expanded'!M$8,Projection!$B$9:$BE$9,0)),0)</f>
        <v>0</v>
      </c>
      <c r="N50" s="29">
        <f t="array" ref="N50">IFERROR(INDEX(Projection!$B$9:$BE$196,MATCH('7 Year Projection-Expanded'!$A50,Projection!$B$9:$B$196,0),MATCH('7 Year Projection-Expanded'!N$8,Projection!$B$9:$BE$9,0)),0)</f>
        <v>0</v>
      </c>
      <c r="O50" s="228">
        <f t="array" ref="O50">IFERROR(INDEX(Projection!$B$9:$BE$196,MATCH('7 Year Projection-Expanded'!$A50,Projection!$B$9:$B$196,0),MATCH('7 Year Projection-Expanded'!O$8,Projection!$B$9:$BE$9,0)),0)</f>
        <v>0</v>
      </c>
      <c r="P50" s="29">
        <f t="array" ref="P50">IFERROR(INDEX(Projection!$B$9:$BE$196,MATCH('7 Year Projection-Expanded'!$A50,Projection!$B$9:$B$196,0),MATCH('7 Year Projection-Expanded'!P$8,Projection!$B$9:$BE$9,0)),0)</f>
        <v>0</v>
      </c>
      <c r="Q50" s="228">
        <f t="array" ref="Q50">IFERROR(INDEX(Projection!$B$9:$BE$196,MATCH('7 Year Projection-Expanded'!$A50,Projection!$B$9:$B$196,0),MATCH('7 Year Projection-Expanded'!Q$8,Projection!$B$9:$BE$9,0)),0)</f>
        <v>0</v>
      </c>
      <c r="R50" s="29">
        <f t="array" ref="R50">IFERROR(INDEX(Projection!$B$9:$BE$196,MATCH('7 Year Projection-Expanded'!$A50,Projection!$B$9:$B$196,0),MATCH('7 Year Projection-Expanded'!R$8,Projection!$B$9:$BE$9,0)),0)</f>
        <v>0</v>
      </c>
      <c r="S50" s="228">
        <f t="array" ref="S50">IFERROR(INDEX(Projection!$B$9:$BE$196,MATCH('7 Year Projection-Expanded'!$A50,Projection!$B$9:$B$196,0),MATCH('7 Year Projection-Expanded'!S$8,Projection!$B$9:$BE$9,0)),0)</f>
        <v>0</v>
      </c>
      <c r="T50" s="28">
        <f t="array" ref="T50">IFERROR(INDEX(Projection!$B$9:$BE$196,MATCH('7 Year Projection-Expanded'!$A50,Projection!$B$9:$B$196,0),MATCH('7 Year Projection-Expanded'!T$8,Projection!$B$9:$BE$9,0)),0)</f>
        <v>0</v>
      </c>
      <c r="V50" s="572">
        <f t="shared" si="18"/>
        <v>0</v>
      </c>
      <c r="W50" s="29">
        <f>SUMIF(Projection!$F:$F,'7 Year Projection-Expanded'!$A50,Projection!BX:BX)</f>
        <v>0</v>
      </c>
      <c r="X50" s="228">
        <f>SUMIF(Projection!$F:$F,'7 Year Projection-Expanded'!$A50,Projection!BY:BY)</f>
        <v>0</v>
      </c>
      <c r="Y50" s="29">
        <f>SUMIF(Projection!$F:$F,'7 Year Projection-Expanded'!$A50,Projection!BZ:BZ)</f>
        <v>0</v>
      </c>
      <c r="Z50" s="228">
        <f>SUMIF(Projection!$F:$F,'7 Year Projection-Expanded'!$A50,Projection!CA:CA)</f>
        <v>0</v>
      </c>
      <c r="AA50" s="29">
        <f>SUMIF(Projection!$F:$F,'7 Year Projection-Expanded'!$A50,Projection!CB:CB)</f>
        <v>0</v>
      </c>
      <c r="AB50" s="228">
        <f>SUMIF(Projection!$F:$F,'7 Year Projection-Expanded'!$A50,Projection!CC:CC)</f>
        <v>0</v>
      </c>
      <c r="AC50" s="29">
        <f>SUMIF(Projection!$F:$F,'7 Year Projection-Expanded'!$A50,Projection!CD:CD)</f>
        <v>0</v>
      </c>
      <c r="AD50" s="228">
        <f>SUMIF(Projection!$F:$F,'7 Year Projection-Expanded'!$A50,Projection!CE:CE)</f>
        <v>0</v>
      </c>
      <c r="AE50" s="29">
        <f>SUMIF(Projection!$F:$F,'7 Year Projection-Expanded'!$A50,Projection!CF:CF)</f>
        <v>0</v>
      </c>
      <c r="AF50" s="228">
        <f>SUMIF(Projection!$F:$F,'7 Year Projection-Expanded'!$A50,Projection!CG:CG)</f>
        <v>0</v>
      </c>
      <c r="AG50" s="29">
        <f>SUMIF(Projection!$F:$F,'7 Year Projection-Expanded'!$A50,Projection!CH:CH)</f>
        <v>0</v>
      </c>
      <c r="AH50" s="228">
        <f>SUMIF(Projection!$F:$F,'7 Year Projection-Expanded'!$A50,Projection!CI:CI)</f>
        <v>0</v>
      </c>
      <c r="AI50" s="29">
        <f>SUMIF(Projection!$F:$F,'7 Year Projection-Expanded'!$A50,Projection!CJ:CJ)</f>
        <v>0</v>
      </c>
      <c r="AJ50" s="573">
        <f>SUMIF(Projection!$F:$F,'7 Year Projection-Expanded'!$A50,Projection!CK:CK)</f>
        <v>0</v>
      </c>
    </row>
    <row r="51" spans="1:36" ht="14.25" customHeight="1" x14ac:dyDescent="0.2">
      <c r="A51" s="283" t="s">
        <v>353</v>
      </c>
      <c r="B51" s="283" t="s">
        <v>453</v>
      </c>
      <c r="C51" s="597"/>
      <c r="D51" s="286" t="s">
        <v>454</v>
      </c>
      <c r="E51" s="285"/>
      <c r="F51" s="285"/>
      <c r="G51" s="285"/>
      <c r="H51" s="285"/>
      <c r="I51" s="606">
        <f t="shared" ref="I51:T51" si="19">SUM(I45:I50)</f>
        <v>104.48094557327076</v>
      </c>
      <c r="J51" s="289">
        <f t="shared" si="19"/>
        <v>170.38682948515032</v>
      </c>
      <c r="K51" s="606">
        <f t="shared" si="19"/>
        <v>279.50851433191218</v>
      </c>
      <c r="L51" s="289">
        <f t="shared" si="19"/>
        <v>377.62819266829456</v>
      </c>
      <c r="M51" s="606">
        <f t="shared" si="19"/>
        <v>552.20542429597526</v>
      </c>
      <c r="N51" s="289">
        <f t="shared" si="19"/>
        <v>663.80777605609148</v>
      </c>
      <c r="O51" s="606">
        <f t="shared" si="19"/>
        <v>765.51296844410319</v>
      </c>
      <c r="P51" s="289">
        <f t="shared" si="19"/>
        <v>839.16315484275208</v>
      </c>
      <c r="Q51" s="606">
        <f t="shared" si="19"/>
        <v>903.29570813119346</v>
      </c>
      <c r="R51" s="289">
        <f t="shared" si="19"/>
        <v>974.55142666403026</v>
      </c>
      <c r="S51" s="606">
        <f t="shared" si="19"/>
        <v>1038.2037807665693</v>
      </c>
      <c r="T51" s="607">
        <f t="shared" si="19"/>
        <v>1087.6358839925722</v>
      </c>
      <c r="U51" s="285"/>
      <c r="V51" s="608">
        <f t="shared" ref="V51:AJ51" si="20">SUM(V45:V50)</f>
        <v>7756.3806052519158</v>
      </c>
      <c r="W51" s="289">
        <f t="shared" si="20"/>
        <v>20909.988320959554</v>
      </c>
      <c r="X51" s="606">
        <f t="shared" si="20"/>
        <v>31666.483315757447</v>
      </c>
      <c r="Y51" s="289">
        <f t="shared" si="20"/>
        <v>35089.36970660014</v>
      </c>
      <c r="Z51" s="606">
        <f t="shared" si="20"/>
        <v>35017.660099735127</v>
      </c>
      <c r="AA51" s="289">
        <f t="shared" si="20"/>
        <v>36418.36650372453</v>
      </c>
      <c r="AB51" s="606">
        <f t="shared" si="20"/>
        <v>37875.101163873507</v>
      </c>
      <c r="AC51" s="289">
        <f t="shared" si="20"/>
        <v>39390.105210428454</v>
      </c>
      <c r="AD51" s="606">
        <f t="shared" si="20"/>
        <v>40965.709418845589</v>
      </c>
      <c r="AE51" s="289">
        <f t="shared" si="20"/>
        <v>42604.337795599415</v>
      </c>
      <c r="AF51" s="606">
        <f t="shared" si="20"/>
        <v>44308.511307423396</v>
      </c>
      <c r="AG51" s="289">
        <f t="shared" si="20"/>
        <v>46080.851759720332</v>
      </c>
      <c r="AH51" s="606">
        <f t="shared" si="20"/>
        <v>47924.085830109143</v>
      </c>
      <c r="AI51" s="289">
        <f t="shared" si="20"/>
        <v>49841.049263313515</v>
      </c>
      <c r="AJ51" s="609">
        <f t="shared" si="20"/>
        <v>51834.691233846053</v>
      </c>
    </row>
    <row r="52" spans="1:36" ht="6" customHeight="1" x14ac:dyDescent="0.2">
      <c r="C52" s="9"/>
      <c r="I52" s="197"/>
      <c r="K52" s="197"/>
      <c r="M52" s="197"/>
      <c r="O52" s="197"/>
      <c r="Q52" s="197"/>
      <c r="S52" s="197"/>
      <c r="T52" s="20"/>
      <c r="V52" s="610"/>
      <c r="X52" s="197"/>
      <c r="Z52" s="197"/>
      <c r="AB52" s="197"/>
      <c r="AD52" s="197"/>
      <c r="AF52" s="197"/>
      <c r="AH52" s="197"/>
      <c r="AJ52" s="611"/>
    </row>
    <row r="53" spans="1:36" ht="14.25" customHeight="1" x14ac:dyDescent="0.2">
      <c r="A53" s="283" t="s">
        <v>356</v>
      </c>
      <c r="B53" s="283" t="s">
        <v>356</v>
      </c>
      <c r="C53" s="614" t="s">
        <v>455</v>
      </c>
      <c r="D53" s="285"/>
      <c r="E53" s="285"/>
      <c r="F53" s="285"/>
      <c r="G53" s="285"/>
      <c r="H53" s="285"/>
      <c r="I53" s="606">
        <f t="shared" ref="I53:T53" si="21">I30+I42+I51</f>
        <v>3731.0618875848163</v>
      </c>
      <c r="J53" s="289">
        <f t="shared" si="21"/>
        <v>7167.1160699224693</v>
      </c>
      <c r="K53" s="606">
        <f t="shared" si="21"/>
        <v>12097.620331674745</v>
      </c>
      <c r="L53" s="289">
        <f t="shared" si="21"/>
        <v>17256.966869110951</v>
      </c>
      <c r="M53" s="606">
        <f t="shared" si="21"/>
        <v>25698.642056796041</v>
      </c>
      <c r="N53" s="289">
        <f t="shared" si="21"/>
        <v>33017.712318551181</v>
      </c>
      <c r="O53" s="606">
        <f t="shared" si="21"/>
        <v>39393.476519005664</v>
      </c>
      <c r="P53" s="289">
        <f t="shared" si="21"/>
        <v>43866.913438058495</v>
      </c>
      <c r="Q53" s="606">
        <f t="shared" si="21"/>
        <v>47755.108653300274</v>
      </c>
      <c r="R53" s="289">
        <f t="shared" si="21"/>
        <v>51848.025033937636</v>
      </c>
      <c r="S53" s="606">
        <f t="shared" si="21"/>
        <v>55508.897335095484</v>
      </c>
      <c r="T53" s="607">
        <f t="shared" si="21"/>
        <v>58595.642891356736</v>
      </c>
      <c r="U53" s="285"/>
      <c r="V53" s="608">
        <f t="shared" ref="V53:AJ53" si="22">V30+V42+V51</f>
        <v>395937.18340439448</v>
      </c>
      <c r="W53" s="289">
        <f t="shared" si="22"/>
        <v>1162044.4547207514</v>
      </c>
      <c r="X53" s="606">
        <f t="shared" si="22"/>
        <v>1872326.0144306947</v>
      </c>
      <c r="Y53" s="289">
        <f t="shared" si="22"/>
        <v>2186872.7933561844</v>
      </c>
      <c r="Z53" s="606">
        <f t="shared" si="22"/>
        <v>2282766.165259846</v>
      </c>
      <c r="AA53" s="289">
        <f t="shared" si="22"/>
        <v>2374076.8118702401</v>
      </c>
      <c r="AB53" s="606">
        <f t="shared" si="22"/>
        <v>2469039.8843450495</v>
      </c>
      <c r="AC53" s="289">
        <f t="shared" si="22"/>
        <v>2567801.4797188519</v>
      </c>
      <c r="AD53" s="606">
        <f t="shared" si="22"/>
        <v>2670513.5389076057</v>
      </c>
      <c r="AE53" s="289">
        <f t="shared" si="22"/>
        <v>2777334.08046391</v>
      </c>
      <c r="AF53" s="606">
        <f t="shared" si="22"/>
        <v>2888427.4436824671</v>
      </c>
      <c r="AG53" s="289">
        <f t="shared" si="22"/>
        <v>3003964.541429766</v>
      </c>
      <c r="AH53" s="606">
        <f t="shared" si="22"/>
        <v>3124123.1230869568</v>
      </c>
      <c r="AI53" s="289">
        <f t="shared" si="22"/>
        <v>3249088.048010435</v>
      </c>
      <c r="AJ53" s="609">
        <f t="shared" si="22"/>
        <v>3379051.5699308524</v>
      </c>
    </row>
    <row r="54" spans="1:36" ht="14.25" customHeight="1" x14ac:dyDescent="0.2">
      <c r="C54" s="9"/>
      <c r="I54" s="197"/>
      <c r="K54" s="197"/>
      <c r="M54" s="197"/>
      <c r="O54" s="197"/>
      <c r="Q54" s="197"/>
      <c r="S54" s="197"/>
      <c r="T54" s="20"/>
      <c r="V54" s="610"/>
      <c r="W54" s="605">
        <f t="shared" ref="W54:AJ54" si="23">W53/V53-1</f>
        <v>1.9349212537431359</v>
      </c>
      <c r="X54" s="615">
        <f t="shared" si="23"/>
        <v>0.61123441261171862</v>
      </c>
      <c r="Y54" s="605">
        <f t="shared" si="23"/>
        <v>0.16799786816033291</v>
      </c>
      <c r="Z54" s="615">
        <f t="shared" si="23"/>
        <v>4.3849542687160348E-2</v>
      </c>
      <c r="AA54" s="605">
        <f t="shared" si="23"/>
        <v>4.0000000000000036E-2</v>
      </c>
      <c r="AB54" s="615">
        <f t="shared" si="23"/>
        <v>3.9999999999999813E-2</v>
      </c>
      <c r="AC54" s="605">
        <f t="shared" si="23"/>
        <v>4.0000000000000258E-2</v>
      </c>
      <c r="AD54" s="615">
        <f t="shared" si="23"/>
        <v>3.9999999999999813E-2</v>
      </c>
      <c r="AE54" s="605">
        <f t="shared" si="23"/>
        <v>4.0000000000000036E-2</v>
      </c>
      <c r="AF54" s="615">
        <f t="shared" si="23"/>
        <v>4.0000000000000258E-2</v>
      </c>
      <c r="AG54" s="605">
        <f t="shared" si="23"/>
        <v>4.0000000000000036E-2</v>
      </c>
      <c r="AH54" s="615">
        <f t="shared" si="23"/>
        <v>4.0000000000000036E-2</v>
      </c>
      <c r="AI54" s="605">
        <f t="shared" si="23"/>
        <v>4.0000000000000036E-2</v>
      </c>
      <c r="AJ54" s="616">
        <f t="shared" si="23"/>
        <v>4.0000000000000036E-2</v>
      </c>
    </row>
    <row r="55" spans="1:36" ht="14.25" customHeight="1" x14ac:dyDescent="0.2">
      <c r="A55" s="285"/>
      <c r="B55" s="285"/>
      <c r="C55" s="614" t="s">
        <v>456</v>
      </c>
      <c r="D55" s="285"/>
      <c r="E55" s="285"/>
      <c r="F55" s="285"/>
      <c r="G55" s="285"/>
      <c r="H55" s="285"/>
      <c r="I55" s="598"/>
      <c r="J55" s="285"/>
      <c r="K55" s="598"/>
      <c r="L55" s="285"/>
      <c r="M55" s="598"/>
      <c r="N55" s="285"/>
      <c r="O55" s="598"/>
      <c r="P55" s="285"/>
      <c r="Q55" s="598"/>
      <c r="R55" s="285"/>
      <c r="S55" s="598"/>
      <c r="T55" s="599"/>
      <c r="U55" s="285"/>
      <c r="V55" s="600"/>
      <c r="W55" s="285"/>
      <c r="X55" s="598"/>
      <c r="Y55" s="285"/>
      <c r="Z55" s="598"/>
      <c r="AA55" s="285"/>
      <c r="AB55" s="598"/>
      <c r="AC55" s="285"/>
      <c r="AD55" s="598"/>
      <c r="AE55" s="285"/>
      <c r="AF55" s="598"/>
      <c r="AG55" s="285"/>
      <c r="AH55" s="598"/>
      <c r="AI55" s="285"/>
      <c r="AJ55" s="613"/>
    </row>
    <row r="56" spans="1:36" ht="6" customHeight="1" x14ac:dyDescent="0.2">
      <c r="C56" s="587"/>
      <c r="I56" s="197"/>
      <c r="K56" s="197"/>
      <c r="M56" s="197"/>
      <c r="O56" s="197"/>
      <c r="Q56" s="197"/>
      <c r="S56" s="197"/>
      <c r="T56" s="20"/>
      <c r="V56" s="610"/>
      <c r="X56" s="197"/>
      <c r="Z56" s="197"/>
      <c r="AB56" s="197"/>
      <c r="AD56" s="197"/>
      <c r="AF56" s="197"/>
      <c r="AH56" s="197"/>
      <c r="AJ56" s="611"/>
    </row>
    <row r="57" spans="1:36" ht="14.25" customHeight="1" x14ac:dyDescent="0.2">
      <c r="A57" s="285"/>
      <c r="B57" s="285"/>
      <c r="C57" s="597"/>
      <c r="D57" s="286" t="s">
        <v>457</v>
      </c>
      <c r="E57" s="285"/>
      <c r="F57" s="285"/>
      <c r="G57" s="285"/>
      <c r="H57" s="285"/>
      <c r="I57" s="598"/>
      <c r="J57" s="285"/>
      <c r="K57" s="617"/>
      <c r="L57" s="618"/>
      <c r="M57" s="617"/>
      <c r="N57" s="618"/>
      <c r="O57" s="617"/>
      <c r="P57" s="618"/>
      <c r="Q57" s="617"/>
      <c r="R57" s="285"/>
      <c r="S57" s="598"/>
      <c r="T57" s="599"/>
      <c r="U57" s="285"/>
      <c r="V57" s="600"/>
      <c r="W57" s="285"/>
      <c r="X57" s="598"/>
      <c r="Y57" s="285"/>
      <c r="Z57" s="598"/>
      <c r="AA57" s="285"/>
      <c r="AB57" s="598"/>
      <c r="AC57" s="285"/>
      <c r="AD57" s="598"/>
      <c r="AE57" s="285"/>
      <c r="AF57" s="598"/>
      <c r="AG57" s="285"/>
      <c r="AH57" s="598"/>
      <c r="AI57" s="285"/>
      <c r="AJ57" s="613"/>
    </row>
    <row r="58" spans="1:36" ht="14.25" customHeight="1" x14ac:dyDescent="0.2">
      <c r="A58" s="11">
        <v>6100</v>
      </c>
      <c r="C58" s="9"/>
      <c r="E58" s="11" t="s">
        <v>360</v>
      </c>
      <c r="I58" s="228">
        <f t="array" ref="I58">IFERROR(INDEX(Projection!$B$9:$BE$196,MATCH('7 Year Projection-Expanded'!$A58,Projection!$B$9:$B$196,0),MATCH('7 Year Projection-Expanded'!I$8,Projection!$B$9:$BE$9,0)),0)</f>
        <v>4961.538461538461</v>
      </c>
      <c r="J58" s="29">
        <f t="array" ref="J58">IFERROR(INDEX(Projection!$B$9:$BE$196,MATCH('7 Year Projection-Expanded'!$A58,Projection!$B$9:$B$196,0),MATCH('7 Year Projection-Expanded'!J$8,Projection!$B$9:$BE$9,0)),0)</f>
        <v>4961.538461538461</v>
      </c>
      <c r="K58" s="228">
        <f t="array" ref="K58">IFERROR(INDEX(Projection!$B$9:$BE$196,MATCH('7 Year Projection-Expanded'!$A58,Projection!$B$9:$B$196,0),MATCH('7 Year Projection-Expanded'!K$8,Projection!$B$9:$BE$9,0)),0)</f>
        <v>4961.538461538461</v>
      </c>
      <c r="L58" s="29">
        <f t="array" ref="L58">IFERROR(INDEX(Projection!$B$9:$BE$196,MATCH('7 Year Projection-Expanded'!$A58,Projection!$B$9:$B$196,0),MATCH('7 Year Projection-Expanded'!L$8,Projection!$B$9:$BE$9,0)),0)</f>
        <v>4961.538461538461</v>
      </c>
      <c r="M58" s="228">
        <f t="array" ref="M58">IFERROR(INDEX(Projection!$B$9:$BE$196,MATCH('7 Year Projection-Expanded'!$A58,Projection!$B$9:$B$196,0),MATCH('7 Year Projection-Expanded'!M$8,Projection!$B$9:$BE$9,0)),0)</f>
        <v>4961.538461538461</v>
      </c>
      <c r="N58" s="29">
        <f t="array" ref="N58">IFERROR(INDEX(Projection!$B$9:$BE$196,MATCH('7 Year Projection-Expanded'!$A58,Projection!$B$9:$B$196,0),MATCH('7 Year Projection-Expanded'!N$8,Projection!$B$9:$BE$9,0)),0)</f>
        <v>4961.538461538461</v>
      </c>
      <c r="O58" s="228">
        <f t="array" ref="O58">IFERROR(INDEX(Projection!$B$9:$BE$196,MATCH('7 Year Projection-Expanded'!$A58,Projection!$B$9:$B$196,0),MATCH('7 Year Projection-Expanded'!O$8,Projection!$B$9:$BE$9,0)),0)</f>
        <v>4961.538461538461</v>
      </c>
      <c r="P58" s="29">
        <f t="array" ref="P58">IFERROR(INDEX(Projection!$B$9:$BE$196,MATCH('7 Year Projection-Expanded'!$A58,Projection!$B$9:$B$196,0),MATCH('7 Year Projection-Expanded'!P$8,Projection!$B$9:$BE$9,0)),0)</f>
        <v>4961.538461538461</v>
      </c>
      <c r="Q58" s="228">
        <f t="array" ref="Q58">IFERROR(INDEX(Projection!$B$9:$BE$196,MATCH('7 Year Projection-Expanded'!$A58,Projection!$B$9:$B$196,0),MATCH('7 Year Projection-Expanded'!Q$8,Projection!$B$9:$BE$9,0)),0)</f>
        <v>4961.538461538461</v>
      </c>
      <c r="R58" s="29">
        <f t="array" ref="R58">IFERROR(INDEX(Projection!$B$9:$BE$196,MATCH('7 Year Projection-Expanded'!$A58,Projection!$B$9:$B$196,0),MATCH('7 Year Projection-Expanded'!R$8,Projection!$B$9:$BE$9,0)),0)</f>
        <v>4961.538461538461</v>
      </c>
      <c r="S58" s="228">
        <f t="array" ref="S58">IFERROR(INDEX(Projection!$B$9:$BE$196,MATCH('7 Year Projection-Expanded'!$A58,Projection!$B$9:$B$196,0),MATCH('7 Year Projection-Expanded'!S$8,Projection!$B$9:$BE$9,0)),0)</f>
        <v>4961.538461538461</v>
      </c>
      <c r="T58" s="28">
        <f t="array" ref="T58">IFERROR(INDEX(Projection!$B$9:$BE$196,MATCH('7 Year Projection-Expanded'!$A58,Projection!$B$9:$B$196,0),MATCH('7 Year Projection-Expanded'!T$8,Projection!$B$9:$BE$9,0)),0)</f>
        <v>4961.538461538461</v>
      </c>
      <c r="V58" s="572">
        <f>SUMIF(Projection!$F:$F,'7 Year Projection-Expanded'!$A58,Projection!BW:BW)</f>
        <v>59538.461538461532</v>
      </c>
      <c r="W58" s="29">
        <f>SUMIF(Projection!$F:$F,'7 Year Projection-Expanded'!$A58,Projection!BX:BX)</f>
        <v>61026.923076923063</v>
      </c>
      <c r="X58" s="228">
        <f>SUMIF(Projection!$F:$F,'7 Year Projection-Expanded'!$A58,Projection!BY:BY)</f>
        <v>62552.596153846134</v>
      </c>
      <c r="Y58" s="29">
        <f>SUMIF(Projection!$F:$F,'7 Year Projection-Expanded'!$A58,Projection!BZ:BZ)</f>
        <v>64116.411057692276</v>
      </c>
      <c r="Z58" s="228">
        <f>SUMIF(Projection!$F:$F,'7 Year Projection-Expanded'!$A58,Projection!CA:CA)</f>
        <v>65719.321334134598</v>
      </c>
      <c r="AA58" s="29">
        <f>SUMIF(Projection!$F:$F,'7 Year Projection-Expanded'!$A58,Projection!CB:CB)</f>
        <v>67362.304367487959</v>
      </c>
      <c r="AB58" s="228">
        <f>SUMIF(Projection!$F:$F,'7 Year Projection-Expanded'!$A58,Projection!CC:CC)</f>
        <v>69046.361976675151</v>
      </c>
      <c r="AC58" s="29">
        <f>SUMIF(Projection!$F:$F,'7 Year Projection-Expanded'!$A58,Projection!CD:CD)</f>
        <v>70772.521026092028</v>
      </c>
      <c r="AD58" s="228">
        <f>SUMIF(Projection!$F:$F,'7 Year Projection-Expanded'!$A58,Projection!CE:CE)</f>
        <v>72541.834051744328</v>
      </c>
      <c r="AE58" s="29">
        <f>SUMIF(Projection!$F:$F,'7 Year Projection-Expanded'!$A58,Projection!CF:CF)</f>
        <v>74355.37990303793</v>
      </c>
      <c r="AF58" s="228">
        <f>SUMIF(Projection!$F:$F,'7 Year Projection-Expanded'!$A58,Projection!CG:CG)</f>
        <v>76214.264400613873</v>
      </c>
      <c r="AG58" s="29">
        <f>SUMIF(Projection!$F:$F,'7 Year Projection-Expanded'!$A58,Projection!CH:CH)</f>
        <v>78119.621010629213</v>
      </c>
      <c r="AH58" s="228">
        <f>SUMIF(Projection!$F:$F,'7 Year Projection-Expanded'!$A58,Projection!CI:CI)</f>
        <v>80072.611535894932</v>
      </c>
      <c r="AI58" s="29">
        <f>SUMIF(Projection!$F:$F,'7 Year Projection-Expanded'!$A58,Projection!CJ:CJ)</f>
        <v>82074.426824292299</v>
      </c>
      <c r="AJ58" s="573">
        <f>SUMIF(Projection!$F:$F,'7 Year Projection-Expanded'!$A58,Projection!CK:CK)</f>
        <v>84126.287494899603</v>
      </c>
    </row>
    <row r="59" spans="1:36" ht="14.25" customHeight="1" x14ac:dyDescent="0.2">
      <c r="A59" s="11">
        <v>6112</v>
      </c>
      <c r="C59" s="9"/>
      <c r="E59" s="11" t="s">
        <v>361</v>
      </c>
      <c r="I59" s="228">
        <f t="array" ref="I59">IFERROR(INDEX(Projection!$B$9:$BE$196,MATCH('7 Year Projection-Expanded'!$A59,Projection!$B$9:$B$196,0),MATCH('7 Year Projection-Expanded'!I$8,Projection!$B$9:$BE$9,0)),0)</f>
        <v>822</v>
      </c>
      <c r="J59" s="29">
        <f t="array" ref="J59">IFERROR(INDEX(Projection!$B$9:$BE$196,MATCH('7 Year Projection-Expanded'!$A59,Projection!$B$9:$B$196,0),MATCH('7 Year Projection-Expanded'!J$8,Projection!$B$9:$BE$9,0)),0)</f>
        <v>822</v>
      </c>
      <c r="K59" s="228">
        <f t="array" ref="K59">IFERROR(INDEX(Projection!$B$9:$BE$196,MATCH('7 Year Projection-Expanded'!$A59,Projection!$B$9:$B$196,0),MATCH('7 Year Projection-Expanded'!K$8,Projection!$B$9:$BE$9,0)),0)</f>
        <v>822</v>
      </c>
      <c r="L59" s="29">
        <f t="array" ref="L59">IFERROR(INDEX(Projection!$B$9:$BE$196,MATCH('7 Year Projection-Expanded'!$A59,Projection!$B$9:$B$196,0),MATCH('7 Year Projection-Expanded'!L$8,Projection!$B$9:$BE$9,0)),0)</f>
        <v>822</v>
      </c>
      <c r="M59" s="228">
        <f t="array" ref="M59">IFERROR(INDEX(Projection!$B$9:$BE$196,MATCH('7 Year Projection-Expanded'!$A59,Projection!$B$9:$B$196,0),MATCH('7 Year Projection-Expanded'!M$8,Projection!$B$9:$BE$9,0)),0)</f>
        <v>822</v>
      </c>
      <c r="N59" s="29">
        <f t="array" ref="N59">IFERROR(INDEX(Projection!$B$9:$BE$196,MATCH('7 Year Projection-Expanded'!$A59,Projection!$B$9:$B$196,0),MATCH('7 Year Projection-Expanded'!N$8,Projection!$B$9:$BE$9,0)),0)</f>
        <v>822</v>
      </c>
      <c r="O59" s="228">
        <f t="array" ref="O59">IFERROR(INDEX(Projection!$B$9:$BE$196,MATCH('7 Year Projection-Expanded'!$A59,Projection!$B$9:$B$196,0),MATCH('7 Year Projection-Expanded'!O$8,Projection!$B$9:$BE$9,0)),0)</f>
        <v>822</v>
      </c>
      <c r="P59" s="29">
        <f t="array" ref="P59">IFERROR(INDEX(Projection!$B$9:$BE$196,MATCH('7 Year Projection-Expanded'!$A59,Projection!$B$9:$B$196,0),MATCH('7 Year Projection-Expanded'!P$8,Projection!$B$9:$BE$9,0)),0)</f>
        <v>822</v>
      </c>
      <c r="Q59" s="228">
        <f t="array" ref="Q59">IFERROR(INDEX(Projection!$B$9:$BE$196,MATCH('7 Year Projection-Expanded'!$A59,Projection!$B$9:$B$196,0),MATCH('7 Year Projection-Expanded'!Q$8,Projection!$B$9:$BE$9,0)),0)</f>
        <v>822</v>
      </c>
      <c r="R59" s="29">
        <f t="array" ref="R59">IFERROR(INDEX(Projection!$B$9:$BE$196,MATCH('7 Year Projection-Expanded'!$A59,Projection!$B$9:$B$196,0),MATCH('7 Year Projection-Expanded'!R$8,Projection!$B$9:$BE$9,0)),0)</f>
        <v>822</v>
      </c>
      <c r="S59" s="228">
        <f t="array" ref="S59">IFERROR(INDEX(Projection!$B$9:$BE$196,MATCH('7 Year Projection-Expanded'!$A59,Projection!$B$9:$B$196,0),MATCH('7 Year Projection-Expanded'!S$8,Projection!$B$9:$BE$9,0)),0)</f>
        <v>822</v>
      </c>
      <c r="T59" s="28">
        <f t="array" ref="T59">IFERROR(INDEX(Projection!$B$9:$BE$196,MATCH('7 Year Projection-Expanded'!$A59,Projection!$B$9:$B$196,0),MATCH('7 Year Projection-Expanded'!T$8,Projection!$B$9:$BE$9,0)),0)</f>
        <v>822</v>
      </c>
      <c r="V59" s="572">
        <f>SUMIF(Projection!$F:$F,'7 Year Projection-Expanded'!$A59,Projection!BW:BW)</f>
        <v>9864</v>
      </c>
      <c r="W59" s="29">
        <f>SUMIF(Projection!$F:$F,'7 Year Projection-Expanded'!$A59,Projection!BX:BX)</f>
        <v>10110.599999999999</v>
      </c>
      <c r="X59" s="228">
        <f>SUMIF(Projection!$F:$F,'7 Year Projection-Expanded'!$A59,Projection!BY:BY)</f>
        <v>10363.364999999998</v>
      </c>
      <c r="Y59" s="29">
        <f>SUMIF(Projection!$F:$F,'7 Year Projection-Expanded'!$A59,Projection!BZ:BZ)</f>
        <v>10622.449124999999</v>
      </c>
      <c r="Z59" s="228">
        <f>SUMIF(Projection!$F:$F,'7 Year Projection-Expanded'!$A59,Projection!CA:CA)</f>
        <v>10888.010353124999</v>
      </c>
      <c r="AA59" s="29">
        <f>SUMIF(Projection!$F:$F,'7 Year Projection-Expanded'!$A59,Projection!CB:CB)</f>
        <v>11160.210611953124</v>
      </c>
      <c r="AB59" s="228">
        <f>SUMIF(Projection!$F:$F,'7 Year Projection-Expanded'!$A59,Projection!CC:CC)</f>
        <v>11439.215877251951</v>
      </c>
      <c r="AC59" s="29">
        <f>SUMIF(Projection!$F:$F,'7 Year Projection-Expanded'!$A59,Projection!CD:CD)</f>
        <v>11725.196274183249</v>
      </c>
      <c r="AD59" s="228">
        <f>SUMIF(Projection!$F:$F,'7 Year Projection-Expanded'!$A59,Projection!CE:CE)</f>
        <v>12018.326181037828</v>
      </c>
      <c r="AE59" s="29">
        <f>SUMIF(Projection!$F:$F,'7 Year Projection-Expanded'!$A59,Projection!CF:CF)</f>
        <v>12318.784335563772</v>
      </c>
      <c r="AF59" s="228">
        <f>SUMIF(Projection!$F:$F,'7 Year Projection-Expanded'!$A59,Projection!CG:CG)</f>
        <v>12626.753943952866</v>
      </c>
      <c r="AG59" s="29">
        <f>SUMIF(Projection!$F:$F,'7 Year Projection-Expanded'!$A59,Projection!CH:CH)</f>
        <v>12942.422792551686</v>
      </c>
      <c r="AH59" s="228">
        <f>SUMIF(Projection!$F:$F,'7 Year Projection-Expanded'!$A59,Projection!CI:CI)</f>
        <v>13265.983362365478</v>
      </c>
      <c r="AI59" s="29">
        <f>SUMIF(Projection!$F:$F,'7 Year Projection-Expanded'!$A59,Projection!CJ:CJ)</f>
        <v>13597.632946424614</v>
      </c>
      <c r="AJ59" s="573">
        <f>SUMIF(Projection!$F:$F,'7 Year Projection-Expanded'!$A59,Projection!CK:CK)</f>
        <v>13937.573770085228</v>
      </c>
    </row>
    <row r="60" spans="1:36" ht="14.25" customHeight="1" x14ac:dyDescent="0.2">
      <c r="A60" s="11">
        <v>6113</v>
      </c>
      <c r="C60" s="9"/>
      <c r="E60" s="11" t="s">
        <v>458</v>
      </c>
      <c r="I60" s="228">
        <f t="array" ref="I60">IFERROR(INDEX(Projection!$B$9:$BE$196,MATCH('7 Year Projection-Expanded'!$A60,Projection!$B$9:$B$196,0),MATCH('7 Year Projection-Expanded'!I$8,Projection!$B$9:$BE$9,0)),0)</f>
        <v>0</v>
      </c>
      <c r="J60" s="29">
        <f t="array" ref="J60">IFERROR(INDEX(Projection!$B$9:$BE$196,MATCH('7 Year Projection-Expanded'!$A60,Projection!$B$9:$B$196,0),MATCH('7 Year Projection-Expanded'!J$8,Projection!$B$9:$BE$9,0)),0)</f>
        <v>0</v>
      </c>
      <c r="K60" s="228">
        <f t="array" ref="K60">IFERROR(INDEX(Projection!$B$9:$BE$196,MATCH('7 Year Projection-Expanded'!$A60,Projection!$B$9:$B$196,0),MATCH('7 Year Projection-Expanded'!K$8,Projection!$B$9:$BE$9,0)),0)</f>
        <v>0</v>
      </c>
      <c r="L60" s="29">
        <f t="array" ref="L60">IFERROR(INDEX(Projection!$B$9:$BE$196,MATCH('7 Year Projection-Expanded'!$A60,Projection!$B$9:$B$196,0),MATCH('7 Year Projection-Expanded'!L$8,Projection!$B$9:$BE$9,0)),0)</f>
        <v>0</v>
      </c>
      <c r="M60" s="228">
        <f t="array" ref="M60">IFERROR(INDEX(Projection!$B$9:$BE$196,MATCH('7 Year Projection-Expanded'!$A60,Projection!$B$9:$B$196,0),MATCH('7 Year Projection-Expanded'!M$8,Projection!$B$9:$BE$9,0)),0)</f>
        <v>0</v>
      </c>
      <c r="N60" s="29">
        <f t="array" ref="N60">IFERROR(INDEX(Projection!$B$9:$BE$196,MATCH('7 Year Projection-Expanded'!$A60,Projection!$B$9:$B$196,0),MATCH('7 Year Projection-Expanded'!N$8,Projection!$B$9:$BE$9,0)),0)</f>
        <v>0</v>
      </c>
      <c r="O60" s="228">
        <f t="array" ref="O60">IFERROR(INDEX(Projection!$B$9:$BE$196,MATCH('7 Year Projection-Expanded'!$A60,Projection!$B$9:$B$196,0),MATCH('7 Year Projection-Expanded'!O$8,Projection!$B$9:$BE$9,0)),0)</f>
        <v>0</v>
      </c>
      <c r="P60" s="29">
        <f t="array" ref="P60">IFERROR(INDEX(Projection!$B$9:$BE$196,MATCH('7 Year Projection-Expanded'!$A60,Projection!$B$9:$B$196,0),MATCH('7 Year Projection-Expanded'!P$8,Projection!$B$9:$BE$9,0)),0)</f>
        <v>0</v>
      </c>
      <c r="Q60" s="228">
        <f t="array" ref="Q60">IFERROR(INDEX(Projection!$B$9:$BE$196,MATCH('7 Year Projection-Expanded'!$A60,Projection!$B$9:$B$196,0),MATCH('7 Year Projection-Expanded'!Q$8,Projection!$B$9:$BE$9,0)),0)</f>
        <v>0</v>
      </c>
      <c r="R60" s="29">
        <f t="array" ref="R60">IFERROR(INDEX(Projection!$B$9:$BE$196,MATCH('7 Year Projection-Expanded'!$A60,Projection!$B$9:$B$196,0),MATCH('7 Year Projection-Expanded'!R$8,Projection!$B$9:$BE$9,0)),0)</f>
        <v>0</v>
      </c>
      <c r="S60" s="228">
        <f t="array" ref="S60">IFERROR(INDEX(Projection!$B$9:$BE$196,MATCH('7 Year Projection-Expanded'!$A60,Projection!$B$9:$B$196,0),MATCH('7 Year Projection-Expanded'!S$8,Projection!$B$9:$BE$9,0)),0)</f>
        <v>0</v>
      </c>
      <c r="T60" s="28">
        <f t="array" ref="T60">IFERROR(INDEX(Projection!$B$9:$BE$196,MATCH('7 Year Projection-Expanded'!$A60,Projection!$B$9:$B$196,0),MATCH('7 Year Projection-Expanded'!T$8,Projection!$B$9:$BE$9,0)),0)</f>
        <v>0</v>
      </c>
      <c r="V60" s="572">
        <f>SUMIF(Projection!$F:$F,'7 Year Projection-Expanded'!$A60,Projection!BW:BW)</f>
        <v>0</v>
      </c>
      <c r="W60" s="29">
        <f>SUMIF(Projection!$F:$F,'7 Year Projection-Expanded'!$A60,Projection!BX:BX)</f>
        <v>0</v>
      </c>
      <c r="X60" s="228">
        <f>SUMIF(Projection!$F:$F,'7 Year Projection-Expanded'!$A60,Projection!BY:BY)</f>
        <v>0</v>
      </c>
      <c r="Y60" s="29">
        <f>SUMIF(Projection!$F:$F,'7 Year Projection-Expanded'!$A60,Projection!BZ:BZ)</f>
        <v>0</v>
      </c>
      <c r="Z60" s="228">
        <f>SUMIF(Projection!$F:$F,'7 Year Projection-Expanded'!$A60,Projection!CA:CA)</f>
        <v>0</v>
      </c>
      <c r="AA60" s="29">
        <f>SUMIF(Projection!$F:$F,'7 Year Projection-Expanded'!$A60,Projection!CB:CB)</f>
        <v>0</v>
      </c>
      <c r="AB60" s="228">
        <f>SUMIF(Projection!$F:$F,'7 Year Projection-Expanded'!$A60,Projection!CC:CC)</f>
        <v>0</v>
      </c>
      <c r="AC60" s="29">
        <f>SUMIF(Projection!$F:$F,'7 Year Projection-Expanded'!$A60,Projection!CD:CD)</f>
        <v>0</v>
      </c>
      <c r="AD60" s="228">
        <f>SUMIF(Projection!$F:$F,'7 Year Projection-Expanded'!$A60,Projection!CE:CE)</f>
        <v>0</v>
      </c>
      <c r="AE60" s="29">
        <f>SUMIF(Projection!$F:$F,'7 Year Projection-Expanded'!$A60,Projection!CF:CF)</f>
        <v>0</v>
      </c>
      <c r="AF60" s="228">
        <f>SUMIF(Projection!$F:$F,'7 Year Projection-Expanded'!$A60,Projection!CG:CG)</f>
        <v>0</v>
      </c>
      <c r="AG60" s="29">
        <f>SUMIF(Projection!$F:$F,'7 Year Projection-Expanded'!$A60,Projection!CH:CH)</f>
        <v>0</v>
      </c>
      <c r="AH60" s="228">
        <f>SUMIF(Projection!$F:$F,'7 Year Projection-Expanded'!$A60,Projection!CI:CI)</f>
        <v>0</v>
      </c>
      <c r="AI60" s="29">
        <f>SUMIF(Projection!$F:$F,'7 Year Projection-Expanded'!$A60,Projection!CJ:CJ)</f>
        <v>0</v>
      </c>
      <c r="AJ60" s="573">
        <f>SUMIF(Projection!$F:$F,'7 Year Projection-Expanded'!$A60,Projection!CK:CK)</f>
        <v>0</v>
      </c>
    </row>
    <row r="61" spans="1:36" ht="14.25" customHeight="1" x14ac:dyDescent="0.2">
      <c r="A61" s="11">
        <v>6118</v>
      </c>
      <c r="C61" s="9"/>
      <c r="E61" s="11" t="s">
        <v>362</v>
      </c>
      <c r="H61" s="619"/>
      <c r="I61" s="228">
        <f t="array" ref="I61">IFERROR(INDEX(Projection!$B$9:$BE$196,MATCH('7 Year Projection-Expanded'!$A61,Projection!$B$9:$B$196,0),MATCH('7 Year Projection-Expanded'!I$8,Projection!$B$9:$BE$9,0)),0)</f>
        <v>49.615384615384613</v>
      </c>
      <c r="J61" s="29">
        <f t="array" ref="J61">IFERROR(INDEX(Projection!$B$9:$BE$196,MATCH('7 Year Projection-Expanded'!$A61,Projection!$B$9:$B$196,0),MATCH('7 Year Projection-Expanded'!J$8,Projection!$B$9:$BE$9,0)),0)</f>
        <v>49.615384615384613</v>
      </c>
      <c r="K61" s="228">
        <f t="array" ref="K61">IFERROR(INDEX(Projection!$B$9:$BE$196,MATCH('7 Year Projection-Expanded'!$A61,Projection!$B$9:$B$196,0),MATCH('7 Year Projection-Expanded'!K$8,Projection!$B$9:$BE$9,0)),0)</f>
        <v>49.615384615384613</v>
      </c>
      <c r="L61" s="29">
        <f t="array" ref="L61">IFERROR(INDEX(Projection!$B$9:$BE$196,MATCH('7 Year Projection-Expanded'!$A61,Projection!$B$9:$B$196,0),MATCH('7 Year Projection-Expanded'!L$8,Projection!$B$9:$BE$9,0)),0)</f>
        <v>49.615384615384613</v>
      </c>
      <c r="M61" s="228">
        <f t="array" ref="M61">IFERROR(INDEX(Projection!$B$9:$BE$196,MATCH('7 Year Projection-Expanded'!$A61,Projection!$B$9:$B$196,0),MATCH('7 Year Projection-Expanded'!M$8,Projection!$B$9:$BE$9,0)),0)</f>
        <v>49.615384615384613</v>
      </c>
      <c r="N61" s="29">
        <f t="array" ref="N61">IFERROR(INDEX(Projection!$B$9:$BE$196,MATCH('7 Year Projection-Expanded'!$A61,Projection!$B$9:$B$196,0),MATCH('7 Year Projection-Expanded'!N$8,Projection!$B$9:$BE$9,0)),0)</f>
        <v>49.615384615384613</v>
      </c>
      <c r="O61" s="228">
        <f t="array" ref="O61">IFERROR(INDEX(Projection!$B$9:$BE$196,MATCH('7 Year Projection-Expanded'!$A61,Projection!$B$9:$B$196,0),MATCH('7 Year Projection-Expanded'!O$8,Projection!$B$9:$BE$9,0)),0)</f>
        <v>49.615384615384613</v>
      </c>
      <c r="P61" s="29">
        <f t="array" ref="P61">IFERROR(INDEX(Projection!$B$9:$BE$196,MATCH('7 Year Projection-Expanded'!$A61,Projection!$B$9:$B$196,0),MATCH('7 Year Projection-Expanded'!P$8,Projection!$B$9:$BE$9,0)),0)</f>
        <v>49.615384615384613</v>
      </c>
      <c r="Q61" s="228">
        <f t="array" ref="Q61">IFERROR(INDEX(Projection!$B$9:$BE$196,MATCH('7 Year Projection-Expanded'!$A61,Projection!$B$9:$B$196,0),MATCH('7 Year Projection-Expanded'!Q$8,Projection!$B$9:$BE$9,0)),0)</f>
        <v>49.615384615384613</v>
      </c>
      <c r="R61" s="29">
        <f t="array" ref="R61">IFERROR(INDEX(Projection!$B$9:$BE$196,MATCH('7 Year Projection-Expanded'!$A61,Projection!$B$9:$B$196,0),MATCH('7 Year Projection-Expanded'!R$8,Projection!$B$9:$BE$9,0)),0)</f>
        <v>49.615384615384613</v>
      </c>
      <c r="S61" s="228">
        <f t="array" ref="S61">IFERROR(INDEX(Projection!$B$9:$BE$196,MATCH('7 Year Projection-Expanded'!$A61,Projection!$B$9:$B$196,0),MATCH('7 Year Projection-Expanded'!S$8,Projection!$B$9:$BE$9,0)),0)</f>
        <v>49.615384615384613</v>
      </c>
      <c r="T61" s="28">
        <f t="array" ref="T61">IFERROR(INDEX(Projection!$B$9:$BE$196,MATCH('7 Year Projection-Expanded'!$A61,Projection!$B$9:$B$196,0),MATCH('7 Year Projection-Expanded'!T$8,Projection!$B$9:$BE$9,0)),0)</f>
        <v>49.615384615384613</v>
      </c>
      <c r="V61" s="572">
        <f>SUMIF(Projection!$F:$F,'7 Year Projection-Expanded'!$A61,Projection!BW:BW)</f>
        <v>595.38461538461547</v>
      </c>
      <c r="W61" s="29">
        <f>SUMIF(Projection!$F:$F,'7 Year Projection-Expanded'!$A61,Projection!BX:BX)</f>
        <v>610.2692307692306</v>
      </c>
      <c r="X61" s="228">
        <f>SUMIF(Projection!$F:$F,'7 Year Projection-Expanded'!$A61,Projection!BY:BY)</f>
        <v>625.52596153846127</v>
      </c>
      <c r="Y61" s="29">
        <f>SUMIF(Projection!$F:$F,'7 Year Projection-Expanded'!$A61,Projection!BZ:BZ)</f>
        <v>641.16411057692289</v>
      </c>
      <c r="Z61" s="228">
        <f>SUMIF(Projection!$F:$F,'7 Year Projection-Expanded'!$A61,Projection!CA:CA)</f>
        <v>657.19321334134588</v>
      </c>
      <c r="AA61" s="29">
        <f>SUMIF(Projection!$F:$F,'7 Year Projection-Expanded'!$A61,Projection!CB:CB)</f>
        <v>673.62304367487945</v>
      </c>
      <c r="AB61" s="228">
        <f>SUMIF(Projection!$F:$F,'7 Year Projection-Expanded'!$A61,Projection!CC:CC)</f>
        <v>690.46361976675144</v>
      </c>
      <c r="AC61" s="29">
        <f>SUMIF(Projection!$F:$F,'7 Year Projection-Expanded'!$A61,Projection!CD:CD)</f>
        <v>707.72521026092011</v>
      </c>
      <c r="AD61" s="228">
        <f>SUMIF(Projection!$F:$F,'7 Year Projection-Expanded'!$A61,Projection!CE:CE)</f>
        <v>725.41834051744308</v>
      </c>
      <c r="AE61" s="29">
        <f>SUMIF(Projection!$F:$F,'7 Year Projection-Expanded'!$A61,Projection!CF:CF)</f>
        <v>743.55379903037908</v>
      </c>
      <c r="AF61" s="228">
        <f>SUMIF(Projection!$F:$F,'7 Year Projection-Expanded'!$A61,Projection!CG:CG)</f>
        <v>762.14264400613854</v>
      </c>
      <c r="AG61" s="29">
        <f>SUMIF(Projection!$F:$F,'7 Year Projection-Expanded'!$A61,Projection!CH:CH)</f>
        <v>781.19621010629191</v>
      </c>
      <c r="AH61" s="228">
        <f>SUMIF(Projection!$F:$F,'7 Year Projection-Expanded'!$A61,Projection!CI:CI)</f>
        <v>800.72611535894919</v>
      </c>
      <c r="AI61" s="29">
        <f>SUMIF(Projection!$F:$F,'7 Year Projection-Expanded'!$A61,Projection!CJ:CJ)</f>
        <v>820.74426824292289</v>
      </c>
      <c r="AJ61" s="573">
        <f>SUMIF(Projection!$F:$F,'7 Year Projection-Expanded'!$A61,Projection!CK:CK)</f>
        <v>841.26287494899589</v>
      </c>
    </row>
    <row r="62" spans="1:36" ht="14.25" customHeight="1" x14ac:dyDescent="0.2">
      <c r="A62" s="11">
        <v>6130</v>
      </c>
      <c r="C62" s="9"/>
      <c r="E62" s="11" t="s">
        <v>69</v>
      </c>
      <c r="H62" s="605"/>
      <c r="I62" s="228">
        <f t="array" ref="I62">IFERROR(INDEX(Projection!$B$9:$BE$196,MATCH('7 Year Projection-Expanded'!$A62,Projection!$B$9:$B$196,0),MATCH('7 Year Projection-Expanded'!I$8,Projection!$B$9:$BE$9,0)),0)</f>
        <v>50.111538461538458</v>
      </c>
      <c r="J62" s="29">
        <f t="array" ref="J62">IFERROR(INDEX(Projection!$B$9:$BE$196,MATCH('7 Year Projection-Expanded'!$A62,Projection!$B$9:$B$196,0),MATCH('7 Year Projection-Expanded'!J$8,Projection!$B$9:$BE$9,0)),0)</f>
        <v>50.111538461538458</v>
      </c>
      <c r="K62" s="228">
        <f t="array" ref="K62">IFERROR(INDEX(Projection!$B$9:$BE$196,MATCH('7 Year Projection-Expanded'!$A62,Projection!$B$9:$B$196,0),MATCH('7 Year Projection-Expanded'!K$8,Projection!$B$9:$BE$9,0)),0)</f>
        <v>50.111538461538458</v>
      </c>
      <c r="L62" s="29">
        <f t="array" ref="L62">IFERROR(INDEX(Projection!$B$9:$BE$196,MATCH('7 Year Projection-Expanded'!$A62,Projection!$B$9:$B$196,0),MATCH('7 Year Projection-Expanded'!L$8,Projection!$B$9:$BE$9,0)),0)</f>
        <v>50.111538461538458</v>
      </c>
      <c r="M62" s="228">
        <f t="array" ref="M62">IFERROR(INDEX(Projection!$B$9:$BE$196,MATCH('7 Year Projection-Expanded'!$A62,Projection!$B$9:$B$196,0),MATCH('7 Year Projection-Expanded'!M$8,Projection!$B$9:$BE$9,0)),0)</f>
        <v>50.111538461538458</v>
      </c>
      <c r="N62" s="29">
        <f t="array" ref="N62">IFERROR(INDEX(Projection!$B$9:$BE$196,MATCH('7 Year Projection-Expanded'!$A62,Projection!$B$9:$B$196,0),MATCH('7 Year Projection-Expanded'!N$8,Projection!$B$9:$BE$9,0)),0)</f>
        <v>50.111538461538458</v>
      </c>
      <c r="O62" s="228">
        <f t="array" ref="O62">IFERROR(INDEX(Projection!$B$9:$BE$196,MATCH('7 Year Projection-Expanded'!$A62,Projection!$B$9:$B$196,0),MATCH('7 Year Projection-Expanded'!O$8,Projection!$B$9:$BE$9,0)),0)</f>
        <v>50.111538461538458</v>
      </c>
      <c r="P62" s="29">
        <f t="array" ref="P62">IFERROR(INDEX(Projection!$B$9:$BE$196,MATCH('7 Year Projection-Expanded'!$A62,Projection!$B$9:$B$196,0),MATCH('7 Year Projection-Expanded'!P$8,Projection!$B$9:$BE$9,0)),0)</f>
        <v>50.111538461538458</v>
      </c>
      <c r="Q62" s="228">
        <f t="array" ref="Q62">IFERROR(INDEX(Projection!$B$9:$BE$196,MATCH('7 Year Projection-Expanded'!$A62,Projection!$B$9:$B$196,0),MATCH('7 Year Projection-Expanded'!Q$8,Projection!$B$9:$BE$9,0)),0)</f>
        <v>50.111538461538458</v>
      </c>
      <c r="R62" s="29">
        <f t="array" ref="R62">IFERROR(INDEX(Projection!$B$9:$BE$196,MATCH('7 Year Projection-Expanded'!$A62,Projection!$B$9:$B$196,0),MATCH('7 Year Projection-Expanded'!R$8,Projection!$B$9:$BE$9,0)),0)</f>
        <v>50.111538461538458</v>
      </c>
      <c r="S62" s="228">
        <f t="array" ref="S62">IFERROR(INDEX(Projection!$B$9:$BE$196,MATCH('7 Year Projection-Expanded'!$A62,Projection!$B$9:$B$196,0),MATCH('7 Year Projection-Expanded'!S$8,Projection!$B$9:$BE$9,0)),0)</f>
        <v>50.111538461538458</v>
      </c>
      <c r="T62" s="28">
        <f t="array" ref="T62">IFERROR(INDEX(Projection!$B$9:$BE$196,MATCH('7 Year Projection-Expanded'!$A62,Projection!$B$9:$B$196,0),MATCH('7 Year Projection-Expanded'!T$8,Projection!$B$9:$BE$9,0)),0)</f>
        <v>50.111538461538458</v>
      </c>
      <c r="V62" s="572">
        <f>SUMIF(Projection!$F:$F,'7 Year Projection-Expanded'!$A62,Projection!BW:BW)</f>
        <v>601.33846153846139</v>
      </c>
      <c r="W62" s="29">
        <f>SUMIF(Projection!$F:$F,'7 Year Projection-Expanded'!$A62,Projection!BX:BX)</f>
        <v>616.37192307692294</v>
      </c>
      <c r="X62" s="228">
        <f>SUMIF(Projection!$F:$F,'7 Year Projection-Expanded'!$A62,Projection!BY:BY)</f>
        <v>631.78122115384599</v>
      </c>
      <c r="Y62" s="29">
        <f>SUMIF(Projection!$F:$F,'7 Year Projection-Expanded'!$A62,Projection!BZ:BZ)</f>
        <v>647.57575168269204</v>
      </c>
      <c r="Z62" s="228">
        <f>SUMIF(Projection!$F:$F,'7 Year Projection-Expanded'!$A62,Projection!CA:CA)</f>
        <v>663.76514547475938</v>
      </c>
      <c r="AA62" s="29">
        <f>SUMIF(Projection!$F:$F,'7 Year Projection-Expanded'!$A62,Projection!CB:CB)</f>
        <v>680.35927411162834</v>
      </c>
      <c r="AB62" s="228">
        <f>SUMIF(Projection!$F:$F,'7 Year Projection-Expanded'!$A62,Projection!CC:CC)</f>
        <v>697.36825596441895</v>
      </c>
      <c r="AC62" s="29">
        <f>SUMIF(Projection!$F:$F,'7 Year Projection-Expanded'!$A62,Projection!CD:CD)</f>
        <v>714.80246236352934</v>
      </c>
      <c r="AD62" s="228">
        <f>SUMIF(Projection!$F:$F,'7 Year Projection-Expanded'!$A62,Projection!CE:CE)</f>
        <v>732.67252392261753</v>
      </c>
      <c r="AE62" s="29">
        <f>SUMIF(Projection!$F:$F,'7 Year Projection-Expanded'!$A62,Projection!CF:CF)</f>
        <v>750.98933702068291</v>
      </c>
      <c r="AF62" s="228">
        <f>SUMIF(Projection!$F:$F,'7 Year Projection-Expanded'!$A62,Projection!CG:CG)</f>
        <v>769.76407044619987</v>
      </c>
      <c r="AG62" s="29">
        <f>SUMIF(Projection!$F:$F,'7 Year Projection-Expanded'!$A62,Projection!CH:CH)</f>
        <v>789.00817220735485</v>
      </c>
      <c r="AH62" s="228">
        <f>SUMIF(Projection!$F:$F,'7 Year Projection-Expanded'!$A62,Projection!CI:CI)</f>
        <v>808.7333765125386</v>
      </c>
      <c r="AI62" s="29">
        <f>SUMIF(Projection!$F:$F,'7 Year Projection-Expanded'!$A62,Projection!CJ:CJ)</f>
        <v>828.95171092535202</v>
      </c>
      <c r="AJ62" s="573">
        <f>SUMIF(Projection!$F:$F,'7 Year Projection-Expanded'!$A62,Projection!CK:CK)</f>
        <v>849.67550369848573</v>
      </c>
    </row>
    <row r="63" spans="1:36" ht="14.25" customHeight="1" x14ac:dyDescent="0.2">
      <c r="A63" s="11">
        <v>6135</v>
      </c>
      <c r="C63" s="9"/>
      <c r="E63" s="11" t="s">
        <v>363</v>
      </c>
      <c r="H63" s="619"/>
      <c r="I63" s="228">
        <f t="array" ref="I63">IFERROR(INDEX(Projection!$B$9:$BE$196,MATCH('7 Year Projection-Expanded'!$A63,Projection!$B$9:$B$196,0),MATCH('7 Year Projection-Expanded'!I$8,Projection!$B$9:$BE$9,0)),0)</f>
        <v>49.615384615384613</v>
      </c>
      <c r="J63" s="29">
        <f t="array" ref="J63">IFERROR(INDEX(Projection!$B$9:$BE$196,MATCH('7 Year Projection-Expanded'!$A63,Projection!$B$9:$B$196,0),MATCH('7 Year Projection-Expanded'!J$8,Projection!$B$9:$BE$9,0)),0)</f>
        <v>49.615384615384613</v>
      </c>
      <c r="K63" s="228">
        <f t="array" ref="K63">IFERROR(INDEX(Projection!$B$9:$BE$196,MATCH('7 Year Projection-Expanded'!$A63,Projection!$B$9:$B$196,0),MATCH('7 Year Projection-Expanded'!K$8,Projection!$B$9:$BE$9,0)),0)</f>
        <v>49.615384615384613</v>
      </c>
      <c r="L63" s="29">
        <f t="array" ref="L63">IFERROR(INDEX(Projection!$B$9:$BE$196,MATCH('7 Year Projection-Expanded'!$A63,Projection!$B$9:$B$196,0),MATCH('7 Year Projection-Expanded'!L$8,Projection!$B$9:$BE$9,0)),0)</f>
        <v>49.615384615384613</v>
      </c>
      <c r="M63" s="228">
        <f t="array" ref="M63">IFERROR(INDEX(Projection!$B$9:$BE$196,MATCH('7 Year Projection-Expanded'!$A63,Projection!$B$9:$B$196,0),MATCH('7 Year Projection-Expanded'!M$8,Projection!$B$9:$BE$9,0)),0)</f>
        <v>49.615384615384613</v>
      </c>
      <c r="N63" s="29">
        <f t="array" ref="N63">IFERROR(INDEX(Projection!$B$9:$BE$196,MATCH('7 Year Projection-Expanded'!$A63,Projection!$B$9:$B$196,0),MATCH('7 Year Projection-Expanded'!N$8,Projection!$B$9:$BE$9,0)),0)</f>
        <v>49.615384615384613</v>
      </c>
      <c r="O63" s="228">
        <f t="array" ref="O63">IFERROR(INDEX(Projection!$B$9:$BE$196,MATCH('7 Year Projection-Expanded'!$A63,Projection!$B$9:$B$196,0),MATCH('7 Year Projection-Expanded'!O$8,Projection!$B$9:$BE$9,0)),0)</f>
        <v>49.615384615384613</v>
      </c>
      <c r="P63" s="29">
        <f t="array" ref="P63">IFERROR(INDEX(Projection!$B$9:$BE$196,MATCH('7 Year Projection-Expanded'!$A63,Projection!$B$9:$B$196,0),MATCH('7 Year Projection-Expanded'!P$8,Projection!$B$9:$BE$9,0)),0)</f>
        <v>49.615384615384613</v>
      </c>
      <c r="Q63" s="228">
        <f t="array" ref="Q63">IFERROR(INDEX(Projection!$B$9:$BE$196,MATCH('7 Year Projection-Expanded'!$A63,Projection!$B$9:$B$196,0),MATCH('7 Year Projection-Expanded'!Q$8,Projection!$B$9:$BE$9,0)),0)</f>
        <v>49.615384615384613</v>
      </c>
      <c r="R63" s="29">
        <f t="array" ref="R63">IFERROR(INDEX(Projection!$B$9:$BE$196,MATCH('7 Year Projection-Expanded'!$A63,Projection!$B$9:$B$196,0),MATCH('7 Year Projection-Expanded'!R$8,Projection!$B$9:$BE$9,0)),0)</f>
        <v>49.615384615384613</v>
      </c>
      <c r="S63" s="228">
        <f t="array" ref="S63">IFERROR(INDEX(Projection!$B$9:$BE$196,MATCH('7 Year Projection-Expanded'!$A63,Projection!$B$9:$B$196,0),MATCH('7 Year Projection-Expanded'!S$8,Projection!$B$9:$BE$9,0)),0)</f>
        <v>49.615384615384613</v>
      </c>
      <c r="T63" s="28">
        <f t="array" ref="T63">IFERROR(INDEX(Projection!$B$9:$BE$196,MATCH('7 Year Projection-Expanded'!$A63,Projection!$B$9:$B$196,0),MATCH('7 Year Projection-Expanded'!T$8,Projection!$B$9:$BE$9,0)),0)</f>
        <v>49.615384615384613</v>
      </c>
      <c r="V63" s="572">
        <f>SUMIF(Projection!$F:$F,'7 Year Projection-Expanded'!$A63,Projection!BW:BW)</f>
        <v>595.38461538461547</v>
      </c>
      <c r="W63" s="29">
        <f>SUMIF(Projection!$F:$F,'7 Year Projection-Expanded'!$A63,Projection!BX:BX)</f>
        <v>610.2692307692306</v>
      </c>
      <c r="X63" s="228">
        <f>SUMIF(Projection!$F:$F,'7 Year Projection-Expanded'!$A63,Projection!BY:BY)</f>
        <v>625.52596153846127</v>
      </c>
      <c r="Y63" s="29">
        <f>SUMIF(Projection!$F:$F,'7 Year Projection-Expanded'!$A63,Projection!BZ:BZ)</f>
        <v>641.16411057692289</v>
      </c>
      <c r="Z63" s="228">
        <f>SUMIF(Projection!$F:$F,'7 Year Projection-Expanded'!$A63,Projection!CA:CA)</f>
        <v>657.19321334134588</v>
      </c>
      <c r="AA63" s="29">
        <f>SUMIF(Projection!$F:$F,'7 Year Projection-Expanded'!$A63,Projection!CB:CB)</f>
        <v>673.62304367487945</v>
      </c>
      <c r="AB63" s="228">
        <f>SUMIF(Projection!$F:$F,'7 Year Projection-Expanded'!$A63,Projection!CC:CC)</f>
        <v>690.46361976675144</v>
      </c>
      <c r="AC63" s="29">
        <f>SUMIF(Projection!$F:$F,'7 Year Projection-Expanded'!$A63,Projection!CD:CD)</f>
        <v>707.72521026092011</v>
      </c>
      <c r="AD63" s="228">
        <f>SUMIF(Projection!$F:$F,'7 Year Projection-Expanded'!$A63,Projection!CE:CE)</f>
        <v>725.41834051744308</v>
      </c>
      <c r="AE63" s="29">
        <f>SUMIF(Projection!$F:$F,'7 Year Projection-Expanded'!$A63,Projection!CF:CF)</f>
        <v>743.55379903037908</v>
      </c>
      <c r="AF63" s="228">
        <f>SUMIF(Projection!$F:$F,'7 Year Projection-Expanded'!$A63,Projection!CG:CG)</f>
        <v>762.14264400613854</v>
      </c>
      <c r="AG63" s="29">
        <f>SUMIF(Projection!$F:$F,'7 Year Projection-Expanded'!$A63,Projection!CH:CH)</f>
        <v>781.19621010629191</v>
      </c>
      <c r="AH63" s="228">
        <f>SUMIF(Projection!$F:$F,'7 Year Projection-Expanded'!$A63,Projection!CI:CI)</f>
        <v>800.72611535894919</v>
      </c>
      <c r="AI63" s="29">
        <f>SUMIF(Projection!$F:$F,'7 Year Projection-Expanded'!$A63,Projection!CJ:CJ)</f>
        <v>820.74426824292289</v>
      </c>
      <c r="AJ63" s="573">
        <f>SUMIF(Projection!$F:$F,'7 Year Projection-Expanded'!$A63,Projection!CK:CK)</f>
        <v>841.26287494899589</v>
      </c>
    </row>
    <row r="64" spans="1:36" ht="14.25" customHeight="1" x14ac:dyDescent="0.2">
      <c r="A64" s="11">
        <v>6283</v>
      </c>
      <c r="C64" s="9"/>
      <c r="E64" s="11" t="s">
        <v>364</v>
      </c>
      <c r="H64" s="589"/>
      <c r="I64" s="228">
        <f t="array" ref="I64">IFERROR(INDEX(Projection!$B$9:$BE$196,MATCH('7 Year Projection-Expanded'!$A64,Projection!$B$9:$B$196,0),MATCH('7 Year Projection-Expanded'!I$8,Projection!$B$9:$BE$9,0)),0)</f>
        <v>49.615384615384613</v>
      </c>
      <c r="J64" s="29">
        <f t="array" ref="J64">IFERROR(INDEX(Projection!$B$9:$BE$196,MATCH('7 Year Projection-Expanded'!$A64,Projection!$B$9:$B$196,0),MATCH('7 Year Projection-Expanded'!J$8,Projection!$B$9:$BE$9,0)),0)</f>
        <v>49.615384615384613</v>
      </c>
      <c r="K64" s="228">
        <f t="array" ref="K64">IFERROR(INDEX(Projection!$B$9:$BE$196,MATCH('7 Year Projection-Expanded'!$A64,Projection!$B$9:$B$196,0),MATCH('7 Year Projection-Expanded'!K$8,Projection!$B$9:$BE$9,0)),0)</f>
        <v>49.615384615384613</v>
      </c>
      <c r="L64" s="29">
        <f t="array" ref="L64">IFERROR(INDEX(Projection!$B$9:$BE$196,MATCH('7 Year Projection-Expanded'!$A64,Projection!$B$9:$B$196,0),MATCH('7 Year Projection-Expanded'!L$8,Projection!$B$9:$BE$9,0)),0)</f>
        <v>49.615384615384613</v>
      </c>
      <c r="M64" s="228">
        <f t="array" ref="M64">IFERROR(INDEX(Projection!$B$9:$BE$196,MATCH('7 Year Projection-Expanded'!$A64,Projection!$B$9:$B$196,0),MATCH('7 Year Projection-Expanded'!M$8,Projection!$B$9:$BE$9,0)),0)</f>
        <v>49.615384615384613</v>
      </c>
      <c r="N64" s="29">
        <f t="array" ref="N64">IFERROR(INDEX(Projection!$B$9:$BE$196,MATCH('7 Year Projection-Expanded'!$A64,Projection!$B$9:$B$196,0),MATCH('7 Year Projection-Expanded'!N$8,Projection!$B$9:$BE$9,0)),0)</f>
        <v>49.615384615384613</v>
      </c>
      <c r="O64" s="228">
        <f t="array" ref="O64">IFERROR(INDEX(Projection!$B$9:$BE$196,MATCH('7 Year Projection-Expanded'!$A64,Projection!$B$9:$B$196,0),MATCH('7 Year Projection-Expanded'!O$8,Projection!$B$9:$BE$9,0)),0)</f>
        <v>49.615384615384613</v>
      </c>
      <c r="P64" s="29">
        <f t="array" ref="P64">IFERROR(INDEX(Projection!$B$9:$BE$196,MATCH('7 Year Projection-Expanded'!$A64,Projection!$B$9:$B$196,0),MATCH('7 Year Projection-Expanded'!P$8,Projection!$B$9:$BE$9,0)),0)</f>
        <v>49.615384615384613</v>
      </c>
      <c r="Q64" s="228">
        <f t="array" ref="Q64">IFERROR(INDEX(Projection!$B$9:$BE$196,MATCH('7 Year Projection-Expanded'!$A64,Projection!$B$9:$B$196,0),MATCH('7 Year Projection-Expanded'!Q$8,Projection!$B$9:$BE$9,0)),0)</f>
        <v>49.615384615384613</v>
      </c>
      <c r="R64" s="29">
        <f t="array" ref="R64">IFERROR(INDEX(Projection!$B$9:$BE$196,MATCH('7 Year Projection-Expanded'!$A64,Projection!$B$9:$B$196,0),MATCH('7 Year Projection-Expanded'!R$8,Projection!$B$9:$BE$9,0)),0)</f>
        <v>49.615384615384613</v>
      </c>
      <c r="S64" s="228">
        <f t="array" ref="S64">IFERROR(INDEX(Projection!$B$9:$BE$196,MATCH('7 Year Projection-Expanded'!$A64,Projection!$B$9:$B$196,0),MATCH('7 Year Projection-Expanded'!S$8,Projection!$B$9:$BE$9,0)),0)</f>
        <v>49.615384615384613</v>
      </c>
      <c r="T64" s="28">
        <f t="array" ref="T64">IFERROR(INDEX(Projection!$B$9:$BE$196,MATCH('7 Year Projection-Expanded'!$A64,Projection!$B$9:$B$196,0),MATCH('7 Year Projection-Expanded'!T$8,Projection!$B$9:$BE$9,0)),0)</f>
        <v>49.615384615384613</v>
      </c>
      <c r="V64" s="572">
        <f>SUMIF(Projection!$F:$F,'7 Year Projection-Expanded'!$A64,Projection!BW:BW)</f>
        <v>595.38461538461547</v>
      </c>
      <c r="W64" s="29">
        <f>SUMIF(Projection!$F:$F,'7 Year Projection-Expanded'!$A64,Projection!BX:BX)</f>
        <v>610.2692307692306</v>
      </c>
      <c r="X64" s="228">
        <f>SUMIF(Projection!$F:$F,'7 Year Projection-Expanded'!$A64,Projection!BY:BY)</f>
        <v>625.52596153846127</v>
      </c>
      <c r="Y64" s="29">
        <f>SUMIF(Projection!$F:$F,'7 Year Projection-Expanded'!$A64,Projection!BZ:BZ)</f>
        <v>641.16411057692289</v>
      </c>
      <c r="Z64" s="228">
        <f>SUMIF(Projection!$F:$F,'7 Year Projection-Expanded'!$A64,Projection!CA:CA)</f>
        <v>657.19321334134588</v>
      </c>
      <c r="AA64" s="29">
        <f>SUMIF(Projection!$F:$F,'7 Year Projection-Expanded'!$A64,Projection!CB:CB)</f>
        <v>673.62304367487945</v>
      </c>
      <c r="AB64" s="228">
        <f>SUMIF(Projection!$F:$F,'7 Year Projection-Expanded'!$A64,Projection!CC:CC)</f>
        <v>690.46361976675144</v>
      </c>
      <c r="AC64" s="29">
        <f>SUMIF(Projection!$F:$F,'7 Year Projection-Expanded'!$A64,Projection!CD:CD)</f>
        <v>707.72521026092011</v>
      </c>
      <c r="AD64" s="228">
        <f>SUMIF(Projection!$F:$F,'7 Year Projection-Expanded'!$A64,Projection!CE:CE)</f>
        <v>725.41834051744308</v>
      </c>
      <c r="AE64" s="29">
        <f>SUMIF(Projection!$F:$F,'7 Year Projection-Expanded'!$A64,Projection!CF:CF)</f>
        <v>743.55379903037908</v>
      </c>
      <c r="AF64" s="228">
        <f>SUMIF(Projection!$F:$F,'7 Year Projection-Expanded'!$A64,Projection!CG:CG)</f>
        <v>762.14264400613854</v>
      </c>
      <c r="AG64" s="29">
        <f>SUMIF(Projection!$F:$F,'7 Year Projection-Expanded'!$A64,Projection!CH:CH)</f>
        <v>781.19621010629191</v>
      </c>
      <c r="AH64" s="228">
        <f>SUMIF(Projection!$F:$F,'7 Year Projection-Expanded'!$A64,Projection!CI:CI)</f>
        <v>800.72611535894919</v>
      </c>
      <c r="AI64" s="29">
        <f>SUMIF(Projection!$F:$F,'7 Year Projection-Expanded'!$A64,Projection!CJ:CJ)</f>
        <v>820.74426824292289</v>
      </c>
      <c r="AJ64" s="573">
        <f>SUMIF(Projection!$F:$F,'7 Year Projection-Expanded'!$A64,Projection!CK:CK)</f>
        <v>841.26287494899589</v>
      </c>
    </row>
    <row r="65" spans="1:36" ht="14.25" customHeight="1" x14ac:dyDescent="0.2">
      <c r="A65" s="283" t="s">
        <v>365</v>
      </c>
      <c r="B65" s="283" t="s">
        <v>459</v>
      </c>
      <c r="C65" s="597"/>
      <c r="D65" s="286" t="s">
        <v>460</v>
      </c>
      <c r="E65" s="285"/>
      <c r="F65" s="285"/>
      <c r="G65" s="285"/>
      <c r="H65" s="285"/>
      <c r="I65" s="606">
        <f t="shared" ref="I65:T65" si="24">SUM(I58:I64)</f>
        <v>5982.4961538461539</v>
      </c>
      <c r="J65" s="289">
        <f t="shared" si="24"/>
        <v>5982.4961538461539</v>
      </c>
      <c r="K65" s="606">
        <f t="shared" si="24"/>
        <v>5982.4961538461539</v>
      </c>
      <c r="L65" s="289">
        <f t="shared" si="24"/>
        <v>5982.4961538461539</v>
      </c>
      <c r="M65" s="606">
        <f t="shared" si="24"/>
        <v>5982.4961538461539</v>
      </c>
      <c r="N65" s="289">
        <f t="shared" si="24"/>
        <v>5982.4961538461539</v>
      </c>
      <c r="O65" s="606">
        <f t="shared" si="24"/>
        <v>5982.4961538461539</v>
      </c>
      <c r="P65" s="289">
        <f t="shared" si="24"/>
        <v>5982.4961538461539</v>
      </c>
      <c r="Q65" s="606">
        <f t="shared" si="24"/>
        <v>5982.4961538461539</v>
      </c>
      <c r="R65" s="289">
        <f t="shared" si="24"/>
        <v>5982.4961538461539</v>
      </c>
      <c r="S65" s="606">
        <f t="shared" si="24"/>
        <v>5982.4961538461539</v>
      </c>
      <c r="T65" s="607">
        <f t="shared" si="24"/>
        <v>5982.4961538461539</v>
      </c>
      <c r="U65" s="285"/>
      <c r="V65" s="608">
        <f t="shared" ref="V65:AJ65" si="25">SUM(V58:V64)</f>
        <v>71789.953846153818</v>
      </c>
      <c r="W65" s="289">
        <f t="shared" si="25"/>
        <v>73584.702692307692</v>
      </c>
      <c r="X65" s="606">
        <f t="shared" si="25"/>
        <v>75424.320259615342</v>
      </c>
      <c r="Y65" s="289">
        <f t="shared" si="25"/>
        <v>77309.928266105722</v>
      </c>
      <c r="Z65" s="606">
        <f t="shared" si="25"/>
        <v>79242.676472758409</v>
      </c>
      <c r="AA65" s="289">
        <f t="shared" si="25"/>
        <v>81223.743384577334</v>
      </c>
      <c r="AB65" s="606">
        <f t="shared" si="25"/>
        <v>83254.336969191791</v>
      </c>
      <c r="AC65" s="289">
        <f t="shared" si="25"/>
        <v>85335.695393421571</v>
      </c>
      <c r="AD65" s="606">
        <f t="shared" si="25"/>
        <v>87469.087778257104</v>
      </c>
      <c r="AE65" s="289">
        <f t="shared" si="25"/>
        <v>89655.814972713546</v>
      </c>
      <c r="AF65" s="606">
        <f t="shared" si="25"/>
        <v>91897.21034703133</v>
      </c>
      <c r="AG65" s="289">
        <f t="shared" si="25"/>
        <v>94194.640605707144</v>
      </c>
      <c r="AH65" s="606">
        <f t="shared" si="25"/>
        <v>96549.506620849788</v>
      </c>
      <c r="AI65" s="289">
        <f t="shared" si="25"/>
        <v>98963.244286371031</v>
      </c>
      <c r="AJ65" s="609">
        <f t="shared" si="25"/>
        <v>101437.32539353031</v>
      </c>
    </row>
    <row r="66" spans="1:36" ht="6" customHeight="1" x14ac:dyDescent="0.2">
      <c r="C66" s="9"/>
      <c r="I66" s="197"/>
      <c r="K66" s="197"/>
      <c r="M66" s="197"/>
      <c r="O66" s="197"/>
      <c r="Q66" s="197"/>
      <c r="S66" s="197"/>
      <c r="T66" s="20"/>
      <c r="V66" s="610"/>
      <c r="X66" s="197"/>
      <c r="Z66" s="197"/>
      <c r="AB66" s="197"/>
      <c r="AD66" s="197"/>
      <c r="AF66" s="197"/>
      <c r="AH66" s="197"/>
      <c r="AJ66" s="611"/>
    </row>
    <row r="67" spans="1:36" ht="14.25" customHeight="1" x14ac:dyDescent="0.2">
      <c r="A67" s="285"/>
      <c r="B67" s="285"/>
      <c r="C67" s="597"/>
      <c r="D67" s="286" t="s">
        <v>422</v>
      </c>
      <c r="E67" s="285"/>
      <c r="F67" s="285"/>
      <c r="G67" s="285"/>
      <c r="H67" s="285"/>
      <c r="I67" s="598"/>
      <c r="J67" s="285"/>
      <c r="K67" s="598"/>
      <c r="L67" s="285"/>
      <c r="M67" s="598"/>
      <c r="N67" s="285"/>
      <c r="O67" s="598"/>
      <c r="P67" s="285"/>
      <c r="Q67" s="598"/>
      <c r="R67" s="285"/>
      <c r="S67" s="598"/>
      <c r="T67" s="599"/>
      <c r="U67" s="285"/>
      <c r="V67" s="600"/>
      <c r="W67" s="285"/>
      <c r="X67" s="598"/>
      <c r="Y67" s="285"/>
      <c r="Z67" s="598"/>
      <c r="AA67" s="285"/>
      <c r="AB67" s="598"/>
      <c r="AC67" s="285"/>
      <c r="AD67" s="598"/>
      <c r="AE67" s="285"/>
      <c r="AF67" s="598"/>
      <c r="AG67" s="285"/>
      <c r="AH67" s="598"/>
      <c r="AI67" s="285"/>
      <c r="AJ67" s="613"/>
    </row>
    <row r="68" spans="1:36" ht="14.25" customHeight="1" x14ac:dyDescent="0.2">
      <c r="A68" s="11">
        <v>6150</v>
      </c>
      <c r="C68" s="9"/>
      <c r="E68" s="11" t="s">
        <v>84</v>
      </c>
      <c r="I68" s="228">
        <f t="array" ref="I68">IFERROR(INDEX(Projection!$B$9:$BE$196,MATCH('7 Year Projection-Expanded'!$A68,Projection!$B$9:$B$196,0),MATCH('7 Year Projection-Expanded'!I$8,Projection!$B$9:$BE$9,0)),0)</f>
        <v>969.89750000000004</v>
      </c>
      <c r="J68" s="29">
        <f t="array" ref="J68">IFERROR(INDEX(Projection!$B$9:$BE$196,MATCH('7 Year Projection-Expanded'!$A68,Projection!$B$9:$B$196,0),MATCH('7 Year Projection-Expanded'!J$8,Projection!$B$9:$BE$9,0)),0)</f>
        <v>969.89750000000004</v>
      </c>
      <c r="K68" s="228">
        <f t="array" ref="K68">IFERROR(INDEX(Projection!$B$9:$BE$196,MATCH('7 Year Projection-Expanded'!$A68,Projection!$B$9:$B$196,0),MATCH('7 Year Projection-Expanded'!K$8,Projection!$B$9:$BE$9,0)),0)</f>
        <v>969.89750000000004</v>
      </c>
      <c r="L68" s="29">
        <f t="array" ref="L68">IFERROR(INDEX(Projection!$B$9:$BE$196,MATCH('7 Year Projection-Expanded'!$A68,Projection!$B$9:$B$196,0),MATCH('7 Year Projection-Expanded'!L$8,Projection!$B$9:$BE$9,0)),0)</f>
        <v>969.89750000000004</v>
      </c>
      <c r="M68" s="228">
        <f t="array" ref="M68">IFERROR(INDEX(Projection!$B$9:$BE$196,MATCH('7 Year Projection-Expanded'!$A68,Projection!$B$9:$B$196,0),MATCH('7 Year Projection-Expanded'!M$8,Projection!$B$9:$BE$9,0)),0)</f>
        <v>969.89750000000004</v>
      </c>
      <c r="N68" s="29">
        <f t="array" ref="N68">IFERROR(INDEX(Projection!$B$9:$BE$196,MATCH('7 Year Projection-Expanded'!$A68,Projection!$B$9:$B$196,0),MATCH('7 Year Projection-Expanded'!N$8,Projection!$B$9:$BE$9,0)),0)</f>
        <v>969.89750000000004</v>
      </c>
      <c r="O68" s="228">
        <f t="array" ref="O68">IFERROR(INDEX(Projection!$B$9:$BE$196,MATCH('7 Year Projection-Expanded'!$A68,Projection!$B$9:$B$196,0),MATCH('7 Year Projection-Expanded'!O$8,Projection!$B$9:$BE$9,0)),0)</f>
        <v>969.89750000000004</v>
      </c>
      <c r="P68" s="29">
        <f t="array" ref="P68">IFERROR(INDEX(Projection!$B$9:$BE$196,MATCH('7 Year Projection-Expanded'!$A68,Projection!$B$9:$B$196,0),MATCH('7 Year Projection-Expanded'!P$8,Projection!$B$9:$BE$9,0)),0)</f>
        <v>969.89750000000004</v>
      </c>
      <c r="Q68" s="228">
        <f t="array" ref="Q68">IFERROR(INDEX(Projection!$B$9:$BE$196,MATCH('7 Year Projection-Expanded'!$A68,Projection!$B$9:$B$196,0),MATCH('7 Year Projection-Expanded'!Q$8,Projection!$B$9:$BE$9,0)),0)</f>
        <v>969.89750000000004</v>
      </c>
      <c r="R68" s="29">
        <f t="array" ref="R68">IFERROR(INDEX(Projection!$B$9:$BE$196,MATCH('7 Year Projection-Expanded'!$A68,Projection!$B$9:$B$196,0),MATCH('7 Year Projection-Expanded'!R$8,Projection!$B$9:$BE$9,0)),0)</f>
        <v>969.89750000000004</v>
      </c>
      <c r="S68" s="228">
        <f t="array" ref="S68">IFERROR(INDEX(Projection!$B$9:$BE$196,MATCH('7 Year Projection-Expanded'!$A68,Projection!$B$9:$B$196,0),MATCH('7 Year Projection-Expanded'!S$8,Projection!$B$9:$BE$9,0)),0)</f>
        <v>969.89750000000004</v>
      </c>
      <c r="T68" s="28">
        <f t="array" ref="T68">IFERROR(INDEX(Projection!$B$9:$BE$196,MATCH('7 Year Projection-Expanded'!$A68,Projection!$B$9:$B$196,0),MATCH('7 Year Projection-Expanded'!T$8,Projection!$B$9:$BE$9,0)),0)</f>
        <v>969.89750000000004</v>
      </c>
      <c r="V68" s="572">
        <f>SUMIF(Projection!$F:$F,'7 Year Projection-Expanded'!$A68,Projection!BW:BW)</f>
        <v>11638.769999999997</v>
      </c>
      <c r="W68" s="29">
        <f>SUMIF(Projection!$F:$F,'7 Year Projection-Expanded'!$A68,Projection!BX:BX)</f>
        <v>11929.739249999999</v>
      </c>
      <c r="X68" s="228">
        <f>SUMIF(Projection!$F:$F,'7 Year Projection-Expanded'!$A68,Projection!BY:BY)</f>
        <v>12227.982731249998</v>
      </c>
      <c r="Y68" s="29">
        <f>SUMIF(Projection!$F:$F,'7 Year Projection-Expanded'!$A68,Projection!BZ:BZ)</f>
        <v>12533.682299531245</v>
      </c>
      <c r="Z68" s="228">
        <f>SUMIF(Projection!$F:$F,'7 Year Projection-Expanded'!$A68,Projection!CA:CA)</f>
        <v>12847.024357019523</v>
      </c>
      <c r="AA68" s="29">
        <f>SUMIF(Projection!$F:$F,'7 Year Projection-Expanded'!$A68,Projection!CB:CB)</f>
        <v>13168.19996594501</v>
      </c>
      <c r="AB68" s="228">
        <f>SUMIF(Projection!$F:$F,'7 Year Projection-Expanded'!$A68,Projection!CC:CC)</f>
        <v>13497.404965093634</v>
      </c>
      <c r="AC68" s="29">
        <f>SUMIF(Projection!$F:$F,'7 Year Projection-Expanded'!$A68,Projection!CD:CD)</f>
        <v>13834.840089220974</v>
      </c>
      <c r="AD68" s="228">
        <f>SUMIF(Projection!$F:$F,'7 Year Projection-Expanded'!$A68,Projection!CE:CE)</f>
        <v>14180.711091451496</v>
      </c>
      <c r="AE68" s="29">
        <f>SUMIF(Projection!$F:$F,'7 Year Projection-Expanded'!$A68,Projection!CF:CF)</f>
        <v>14535.228868737782</v>
      </c>
      <c r="AF68" s="228">
        <f>SUMIF(Projection!$F:$F,'7 Year Projection-Expanded'!$A68,Projection!CG:CG)</f>
        <v>14898.609590456226</v>
      </c>
      <c r="AG68" s="29">
        <f>SUMIF(Projection!$F:$F,'7 Year Projection-Expanded'!$A68,Projection!CH:CH)</f>
        <v>15271.074830217631</v>
      </c>
      <c r="AH68" s="228">
        <f>SUMIF(Projection!$F:$F,'7 Year Projection-Expanded'!$A68,Projection!CI:CI)</f>
        <v>15652.851700973069</v>
      </c>
      <c r="AI68" s="29">
        <f>SUMIF(Projection!$F:$F,'7 Year Projection-Expanded'!$A68,Projection!CJ:CJ)</f>
        <v>16044.172993497396</v>
      </c>
      <c r="AJ68" s="573">
        <f>SUMIF(Projection!$F:$F,'7 Year Projection-Expanded'!$A68,Projection!CK:CK)</f>
        <v>16445.277318334829</v>
      </c>
    </row>
    <row r="69" spans="1:36" ht="14.25" customHeight="1" x14ac:dyDescent="0.2">
      <c r="A69" s="11">
        <v>6158</v>
      </c>
      <c r="C69" s="9"/>
      <c r="E69" s="11" t="s">
        <v>88</v>
      </c>
      <c r="I69" s="228">
        <f t="array" ref="I69">IFERROR(INDEX(Projection!$B$9:$BE$196,MATCH('7 Year Projection-Expanded'!$A69,Projection!$B$9:$B$196,0),MATCH('7 Year Projection-Expanded'!I$8,Projection!$B$9:$BE$9,0)),0)</f>
        <v>440.86250000000001</v>
      </c>
      <c r="J69" s="29">
        <f t="array" ref="J69">IFERROR(INDEX(Projection!$B$9:$BE$196,MATCH('7 Year Projection-Expanded'!$A69,Projection!$B$9:$B$196,0),MATCH('7 Year Projection-Expanded'!J$8,Projection!$B$9:$BE$9,0)),0)</f>
        <v>440.86250000000001</v>
      </c>
      <c r="K69" s="228">
        <f t="array" ref="K69">IFERROR(INDEX(Projection!$B$9:$BE$196,MATCH('7 Year Projection-Expanded'!$A69,Projection!$B$9:$B$196,0),MATCH('7 Year Projection-Expanded'!K$8,Projection!$B$9:$BE$9,0)),0)</f>
        <v>440.86250000000001</v>
      </c>
      <c r="L69" s="29">
        <f t="array" ref="L69">IFERROR(INDEX(Projection!$B$9:$BE$196,MATCH('7 Year Projection-Expanded'!$A69,Projection!$B$9:$B$196,0),MATCH('7 Year Projection-Expanded'!L$8,Projection!$B$9:$BE$9,0)),0)</f>
        <v>440.86250000000001</v>
      </c>
      <c r="M69" s="228">
        <f t="array" ref="M69">IFERROR(INDEX(Projection!$B$9:$BE$196,MATCH('7 Year Projection-Expanded'!$A69,Projection!$B$9:$B$196,0),MATCH('7 Year Projection-Expanded'!M$8,Projection!$B$9:$BE$9,0)),0)</f>
        <v>440.86250000000001</v>
      </c>
      <c r="N69" s="29">
        <f t="array" ref="N69">IFERROR(INDEX(Projection!$B$9:$BE$196,MATCH('7 Year Projection-Expanded'!$A69,Projection!$B$9:$B$196,0),MATCH('7 Year Projection-Expanded'!N$8,Projection!$B$9:$BE$9,0)),0)</f>
        <v>440.86250000000001</v>
      </c>
      <c r="O69" s="228">
        <f t="array" ref="O69">IFERROR(INDEX(Projection!$B$9:$BE$196,MATCH('7 Year Projection-Expanded'!$A69,Projection!$B$9:$B$196,0),MATCH('7 Year Projection-Expanded'!O$8,Projection!$B$9:$BE$9,0)),0)</f>
        <v>440.86250000000001</v>
      </c>
      <c r="P69" s="29">
        <f t="array" ref="P69">IFERROR(INDEX(Projection!$B$9:$BE$196,MATCH('7 Year Projection-Expanded'!$A69,Projection!$B$9:$B$196,0),MATCH('7 Year Projection-Expanded'!P$8,Projection!$B$9:$BE$9,0)),0)</f>
        <v>440.86250000000001</v>
      </c>
      <c r="Q69" s="228">
        <f t="array" ref="Q69">IFERROR(INDEX(Projection!$B$9:$BE$196,MATCH('7 Year Projection-Expanded'!$A69,Projection!$B$9:$B$196,0),MATCH('7 Year Projection-Expanded'!Q$8,Projection!$B$9:$BE$9,0)),0)</f>
        <v>440.86250000000001</v>
      </c>
      <c r="R69" s="29">
        <f t="array" ref="R69">IFERROR(INDEX(Projection!$B$9:$BE$196,MATCH('7 Year Projection-Expanded'!$A69,Projection!$B$9:$B$196,0),MATCH('7 Year Projection-Expanded'!R$8,Projection!$B$9:$BE$9,0)),0)</f>
        <v>440.86250000000001</v>
      </c>
      <c r="S69" s="228">
        <f t="array" ref="S69">IFERROR(INDEX(Projection!$B$9:$BE$196,MATCH('7 Year Projection-Expanded'!$A69,Projection!$B$9:$B$196,0),MATCH('7 Year Projection-Expanded'!S$8,Projection!$B$9:$BE$9,0)),0)</f>
        <v>440.86250000000001</v>
      </c>
      <c r="T69" s="28">
        <f t="array" ref="T69">IFERROR(INDEX(Projection!$B$9:$BE$196,MATCH('7 Year Projection-Expanded'!$A69,Projection!$B$9:$B$196,0),MATCH('7 Year Projection-Expanded'!T$8,Projection!$B$9:$BE$9,0)),0)</f>
        <v>440.86250000000001</v>
      </c>
      <c r="V69" s="572">
        <f>SUMIF(Projection!$F:$F,'7 Year Projection-Expanded'!$A69,Projection!BW:BW)</f>
        <v>5290.3500000000013</v>
      </c>
      <c r="W69" s="29">
        <f>SUMIF(Projection!$F:$F,'7 Year Projection-Expanded'!$A69,Projection!BX:BX)</f>
        <v>5422.6087499999994</v>
      </c>
      <c r="X69" s="228">
        <f>SUMIF(Projection!$F:$F,'7 Year Projection-Expanded'!$A69,Projection!BY:BY)</f>
        <v>5558.1739687500003</v>
      </c>
      <c r="Y69" s="29">
        <f>SUMIF(Projection!$F:$F,'7 Year Projection-Expanded'!$A69,Projection!BZ:BZ)</f>
        <v>5697.128317968748</v>
      </c>
      <c r="Z69" s="228">
        <f>SUMIF(Projection!$F:$F,'7 Year Projection-Expanded'!$A69,Projection!CA:CA)</f>
        <v>5839.5565259179648</v>
      </c>
      <c r="AA69" s="29">
        <f>SUMIF(Projection!$F:$F,'7 Year Projection-Expanded'!$A69,Projection!CB:CB)</f>
        <v>5985.5454390659133</v>
      </c>
      <c r="AB69" s="228">
        <f>SUMIF(Projection!$F:$F,'7 Year Projection-Expanded'!$A69,Projection!CC:CC)</f>
        <v>6135.1840750425608</v>
      </c>
      <c r="AC69" s="29">
        <f>SUMIF(Projection!$F:$F,'7 Year Projection-Expanded'!$A69,Projection!CD:CD)</f>
        <v>6288.563676918624</v>
      </c>
      <c r="AD69" s="228">
        <f>SUMIF(Projection!$F:$F,'7 Year Projection-Expanded'!$A69,Projection!CE:CE)</f>
        <v>6445.777768841589</v>
      </c>
      <c r="AE69" s="29">
        <f>SUMIF(Projection!$F:$F,'7 Year Projection-Expanded'!$A69,Projection!CF:CF)</f>
        <v>6606.9222130626285</v>
      </c>
      <c r="AF69" s="228">
        <f>SUMIF(Projection!$F:$F,'7 Year Projection-Expanded'!$A69,Projection!CG:CG)</f>
        <v>6772.0952683891937</v>
      </c>
      <c r="AG69" s="29">
        <f>SUMIF(Projection!$F:$F,'7 Year Projection-Expanded'!$A69,Projection!CH:CH)</f>
        <v>6941.3976500989229</v>
      </c>
      <c r="AH69" s="228">
        <f>SUMIF(Projection!$F:$F,'7 Year Projection-Expanded'!$A69,Projection!CI:CI)</f>
        <v>7114.9325913513958</v>
      </c>
      <c r="AI69" s="29">
        <f>SUMIF(Projection!$F:$F,'7 Year Projection-Expanded'!$A69,Projection!CJ:CJ)</f>
        <v>7292.8059061351796</v>
      </c>
      <c r="AJ69" s="573">
        <f>SUMIF(Projection!$F:$F,'7 Year Projection-Expanded'!$A69,Projection!CK:CK)</f>
        <v>7475.1260537885582</v>
      </c>
    </row>
    <row r="70" spans="1:36" ht="14.25" customHeight="1" x14ac:dyDescent="0.2">
      <c r="A70" s="11">
        <v>6184</v>
      </c>
      <c r="C70" s="9"/>
      <c r="E70" s="11" t="s">
        <v>91</v>
      </c>
      <c r="I70" s="228">
        <f t="array" ref="I70">IFERROR(INDEX(Projection!$B$9:$BE$196,MATCH('7 Year Projection-Expanded'!$A70,Projection!$B$9:$B$196,0),MATCH('7 Year Projection-Expanded'!I$8,Projection!$B$9:$BE$9,0)),0)</f>
        <v>2221.9470000000001</v>
      </c>
      <c r="J70" s="29">
        <f t="array" ref="J70">IFERROR(INDEX(Projection!$B$9:$BE$196,MATCH('7 Year Projection-Expanded'!$A70,Projection!$B$9:$B$196,0),MATCH('7 Year Projection-Expanded'!J$8,Projection!$B$9:$BE$9,0)),0)</f>
        <v>2221.9470000000001</v>
      </c>
      <c r="K70" s="228">
        <f t="array" ref="K70">IFERROR(INDEX(Projection!$B$9:$BE$196,MATCH('7 Year Projection-Expanded'!$A70,Projection!$B$9:$B$196,0),MATCH('7 Year Projection-Expanded'!K$8,Projection!$B$9:$BE$9,0)),0)</f>
        <v>2221.9470000000001</v>
      </c>
      <c r="L70" s="29">
        <f t="array" ref="L70">IFERROR(INDEX(Projection!$B$9:$BE$196,MATCH('7 Year Projection-Expanded'!$A70,Projection!$B$9:$B$196,0),MATCH('7 Year Projection-Expanded'!L$8,Projection!$B$9:$BE$9,0)),0)</f>
        <v>2221.9470000000001</v>
      </c>
      <c r="M70" s="228">
        <f t="array" ref="M70">IFERROR(INDEX(Projection!$B$9:$BE$196,MATCH('7 Year Projection-Expanded'!$A70,Projection!$B$9:$B$196,0),MATCH('7 Year Projection-Expanded'!M$8,Projection!$B$9:$BE$9,0)),0)</f>
        <v>2221.9470000000001</v>
      </c>
      <c r="N70" s="29">
        <f t="array" ref="N70">IFERROR(INDEX(Projection!$B$9:$BE$196,MATCH('7 Year Projection-Expanded'!$A70,Projection!$B$9:$B$196,0),MATCH('7 Year Projection-Expanded'!N$8,Projection!$B$9:$BE$9,0)),0)</f>
        <v>2370.0768000000003</v>
      </c>
      <c r="O70" s="228">
        <f t="array" ref="O70">IFERROR(INDEX(Projection!$B$9:$BE$196,MATCH('7 Year Projection-Expanded'!$A70,Projection!$B$9:$B$196,0),MATCH('7 Year Projection-Expanded'!O$8,Projection!$B$9:$BE$9,0)),0)</f>
        <v>3110.7258000000002</v>
      </c>
      <c r="P70" s="29">
        <f t="array" ref="P70">IFERROR(INDEX(Projection!$B$9:$BE$196,MATCH('7 Year Projection-Expanded'!$A70,Projection!$B$9:$B$196,0),MATCH('7 Year Projection-Expanded'!P$8,Projection!$B$9:$BE$9,0)),0)</f>
        <v>3110.7258000000002</v>
      </c>
      <c r="Q70" s="228">
        <f t="array" ref="Q70">IFERROR(INDEX(Projection!$B$9:$BE$196,MATCH('7 Year Projection-Expanded'!$A70,Projection!$B$9:$B$196,0),MATCH('7 Year Projection-Expanded'!Q$8,Projection!$B$9:$BE$9,0)),0)</f>
        <v>2962.5960000000005</v>
      </c>
      <c r="R70" s="29">
        <f t="array" ref="R70">IFERROR(INDEX(Projection!$B$9:$BE$196,MATCH('7 Year Projection-Expanded'!$A70,Projection!$B$9:$B$196,0),MATCH('7 Year Projection-Expanded'!R$8,Projection!$B$9:$BE$9,0)),0)</f>
        <v>2370.0768000000003</v>
      </c>
      <c r="S70" s="228">
        <f t="array" ref="S70">IFERROR(INDEX(Projection!$B$9:$BE$196,MATCH('7 Year Projection-Expanded'!$A70,Projection!$B$9:$B$196,0),MATCH('7 Year Projection-Expanded'!S$8,Projection!$B$9:$BE$9,0)),0)</f>
        <v>2370.0768000000003</v>
      </c>
      <c r="T70" s="28">
        <f t="array" ref="T70">IFERROR(INDEX(Projection!$B$9:$BE$196,MATCH('7 Year Projection-Expanded'!$A70,Projection!$B$9:$B$196,0),MATCH('7 Year Projection-Expanded'!T$8,Projection!$B$9:$BE$9,0)),0)</f>
        <v>2221.9470000000001</v>
      </c>
      <c r="V70" s="572">
        <f>SUMIF(Projection!$F:$F,'7 Year Projection-Expanded'!$A70,Projection!BW:BW)</f>
        <v>29625.960000000003</v>
      </c>
      <c r="W70" s="29">
        <f>SUMIF(Projection!$F:$F,'7 Year Projection-Expanded'!$A70,Projection!BX:BX)</f>
        <v>30366.608999999997</v>
      </c>
      <c r="X70" s="228">
        <f>SUMIF(Projection!$F:$F,'7 Year Projection-Expanded'!$A70,Projection!BY:BY)</f>
        <v>31125.774224999997</v>
      </c>
      <c r="Y70" s="29">
        <f>SUMIF(Projection!$F:$F,'7 Year Projection-Expanded'!$A70,Projection!BZ:BZ)</f>
        <v>31903.918580624992</v>
      </c>
      <c r="Z70" s="228">
        <f>SUMIF(Projection!$F:$F,'7 Year Projection-Expanded'!$A70,Projection!CA:CA)</f>
        <v>32701.516545140617</v>
      </c>
      <c r="AA70" s="29">
        <f>SUMIF(Projection!$F:$F,'7 Year Projection-Expanded'!$A70,Projection!CB:CB)</f>
        <v>33519.054458769133</v>
      </c>
      <c r="AB70" s="228">
        <f>SUMIF(Projection!$F:$F,'7 Year Projection-Expanded'!$A70,Projection!CC:CC)</f>
        <v>34357.03082023836</v>
      </c>
      <c r="AC70" s="29">
        <f>SUMIF(Projection!$F:$F,'7 Year Projection-Expanded'!$A70,Projection!CD:CD)</f>
        <v>35215.956590744318</v>
      </c>
      <c r="AD70" s="228">
        <f>SUMIF(Projection!$F:$F,'7 Year Projection-Expanded'!$A70,Projection!CE:CE)</f>
        <v>36096.355505512925</v>
      </c>
      <c r="AE70" s="29">
        <f>SUMIF(Projection!$F:$F,'7 Year Projection-Expanded'!$A70,Projection!CF:CF)</f>
        <v>36998.764393150748</v>
      </c>
      <c r="AF70" s="228">
        <f>SUMIF(Projection!$F:$F,'7 Year Projection-Expanded'!$A70,Projection!CG:CG)</f>
        <v>37923.733502979514</v>
      </c>
      <c r="AG70" s="29">
        <f>SUMIF(Projection!$F:$F,'7 Year Projection-Expanded'!$A70,Projection!CH:CH)</f>
        <v>38871.826840554</v>
      </c>
      <c r="AH70" s="228">
        <f>SUMIF(Projection!$F:$F,'7 Year Projection-Expanded'!$A70,Projection!CI:CI)</f>
        <v>39843.622511567846</v>
      </c>
      <c r="AI70" s="29">
        <f>SUMIF(Projection!$F:$F,'7 Year Projection-Expanded'!$A70,Projection!CJ:CJ)</f>
        <v>40839.713074357038</v>
      </c>
      <c r="AJ70" s="573">
        <f>SUMIF(Projection!$F:$F,'7 Year Projection-Expanded'!$A70,Projection!CK:CK)</f>
        <v>41860.705901215959</v>
      </c>
    </row>
    <row r="71" spans="1:36" ht="14.25" customHeight="1" x14ac:dyDescent="0.2">
      <c r="A71" s="11">
        <v>6185</v>
      </c>
      <c r="C71" s="9"/>
      <c r="E71" s="11" t="s">
        <v>95</v>
      </c>
      <c r="I71" s="228">
        <f t="array" ref="I71">IFERROR(INDEX(Projection!$B$9:$BE$196,MATCH('7 Year Projection-Expanded'!$A71,Projection!$B$9:$B$196,0),MATCH('7 Year Projection-Expanded'!I$8,Projection!$B$9:$BE$9,0)),0)</f>
        <v>440.86250000000001</v>
      </c>
      <c r="J71" s="29">
        <f t="array" ref="J71">IFERROR(INDEX(Projection!$B$9:$BE$196,MATCH('7 Year Projection-Expanded'!$A71,Projection!$B$9:$B$196,0),MATCH('7 Year Projection-Expanded'!J$8,Projection!$B$9:$BE$9,0)),0)</f>
        <v>440.86250000000001</v>
      </c>
      <c r="K71" s="228">
        <f t="array" ref="K71">IFERROR(INDEX(Projection!$B$9:$BE$196,MATCH('7 Year Projection-Expanded'!$A71,Projection!$B$9:$B$196,0),MATCH('7 Year Projection-Expanded'!K$8,Projection!$B$9:$BE$9,0)),0)</f>
        <v>440.86250000000001</v>
      </c>
      <c r="L71" s="29">
        <f t="array" ref="L71">IFERROR(INDEX(Projection!$B$9:$BE$196,MATCH('7 Year Projection-Expanded'!$A71,Projection!$B$9:$B$196,0),MATCH('7 Year Projection-Expanded'!L$8,Projection!$B$9:$BE$9,0)),0)</f>
        <v>440.86250000000001</v>
      </c>
      <c r="M71" s="228">
        <f t="array" ref="M71">IFERROR(INDEX(Projection!$B$9:$BE$196,MATCH('7 Year Projection-Expanded'!$A71,Projection!$B$9:$B$196,0),MATCH('7 Year Projection-Expanded'!M$8,Projection!$B$9:$BE$9,0)),0)</f>
        <v>440.86250000000001</v>
      </c>
      <c r="N71" s="29">
        <f t="array" ref="N71">IFERROR(INDEX(Projection!$B$9:$BE$196,MATCH('7 Year Projection-Expanded'!$A71,Projection!$B$9:$B$196,0),MATCH('7 Year Projection-Expanded'!N$8,Projection!$B$9:$BE$9,0)),0)</f>
        <v>440.86250000000001</v>
      </c>
      <c r="O71" s="228">
        <f t="array" ref="O71">IFERROR(INDEX(Projection!$B$9:$BE$196,MATCH('7 Year Projection-Expanded'!$A71,Projection!$B$9:$B$196,0),MATCH('7 Year Projection-Expanded'!O$8,Projection!$B$9:$BE$9,0)),0)</f>
        <v>440.86250000000001</v>
      </c>
      <c r="P71" s="29">
        <f t="array" ref="P71">IFERROR(INDEX(Projection!$B$9:$BE$196,MATCH('7 Year Projection-Expanded'!$A71,Projection!$B$9:$B$196,0),MATCH('7 Year Projection-Expanded'!P$8,Projection!$B$9:$BE$9,0)),0)</f>
        <v>440.86250000000001</v>
      </c>
      <c r="Q71" s="228">
        <f t="array" ref="Q71">IFERROR(INDEX(Projection!$B$9:$BE$196,MATCH('7 Year Projection-Expanded'!$A71,Projection!$B$9:$B$196,0),MATCH('7 Year Projection-Expanded'!Q$8,Projection!$B$9:$BE$9,0)),0)</f>
        <v>440.86250000000001</v>
      </c>
      <c r="R71" s="29">
        <f t="array" ref="R71">IFERROR(INDEX(Projection!$B$9:$BE$196,MATCH('7 Year Projection-Expanded'!$A71,Projection!$B$9:$B$196,0),MATCH('7 Year Projection-Expanded'!R$8,Projection!$B$9:$BE$9,0)),0)</f>
        <v>440.86250000000001</v>
      </c>
      <c r="S71" s="228">
        <f t="array" ref="S71">IFERROR(INDEX(Projection!$B$9:$BE$196,MATCH('7 Year Projection-Expanded'!$A71,Projection!$B$9:$B$196,0),MATCH('7 Year Projection-Expanded'!S$8,Projection!$B$9:$BE$9,0)),0)</f>
        <v>440.86250000000001</v>
      </c>
      <c r="T71" s="28">
        <f t="array" ref="T71">IFERROR(INDEX(Projection!$B$9:$BE$196,MATCH('7 Year Projection-Expanded'!$A71,Projection!$B$9:$B$196,0),MATCH('7 Year Projection-Expanded'!T$8,Projection!$B$9:$BE$9,0)),0)</f>
        <v>440.86250000000001</v>
      </c>
      <c r="V71" s="572">
        <f>SUMIF(Projection!$F:$F,'7 Year Projection-Expanded'!$A71,Projection!BW:BW)</f>
        <v>5290.3500000000013</v>
      </c>
      <c r="W71" s="29">
        <f>SUMIF(Projection!$F:$F,'7 Year Projection-Expanded'!$A71,Projection!BX:BX)</f>
        <v>5422.6087499999994</v>
      </c>
      <c r="X71" s="228">
        <f>SUMIF(Projection!$F:$F,'7 Year Projection-Expanded'!$A71,Projection!BY:BY)</f>
        <v>5558.1739687500003</v>
      </c>
      <c r="Y71" s="29">
        <f>SUMIF(Projection!$F:$F,'7 Year Projection-Expanded'!$A71,Projection!BZ:BZ)</f>
        <v>5697.128317968748</v>
      </c>
      <c r="Z71" s="228">
        <f>SUMIF(Projection!$F:$F,'7 Year Projection-Expanded'!$A71,Projection!CA:CA)</f>
        <v>5839.5565259179648</v>
      </c>
      <c r="AA71" s="29">
        <f>SUMIF(Projection!$F:$F,'7 Year Projection-Expanded'!$A71,Projection!CB:CB)</f>
        <v>5985.5454390659133</v>
      </c>
      <c r="AB71" s="228">
        <f>SUMIF(Projection!$F:$F,'7 Year Projection-Expanded'!$A71,Projection!CC:CC)</f>
        <v>6135.1840750425608</v>
      </c>
      <c r="AC71" s="29">
        <f>SUMIF(Projection!$F:$F,'7 Year Projection-Expanded'!$A71,Projection!CD:CD)</f>
        <v>6288.563676918624</v>
      </c>
      <c r="AD71" s="228">
        <f>SUMIF(Projection!$F:$F,'7 Year Projection-Expanded'!$A71,Projection!CE:CE)</f>
        <v>6445.777768841589</v>
      </c>
      <c r="AE71" s="29">
        <f>SUMIF(Projection!$F:$F,'7 Year Projection-Expanded'!$A71,Projection!CF:CF)</f>
        <v>6606.9222130626285</v>
      </c>
      <c r="AF71" s="228">
        <f>SUMIF(Projection!$F:$F,'7 Year Projection-Expanded'!$A71,Projection!CG:CG)</f>
        <v>6772.0952683891937</v>
      </c>
      <c r="AG71" s="29">
        <f>SUMIF(Projection!$F:$F,'7 Year Projection-Expanded'!$A71,Projection!CH:CH)</f>
        <v>6941.3976500989229</v>
      </c>
      <c r="AH71" s="228">
        <f>SUMIF(Projection!$F:$F,'7 Year Projection-Expanded'!$A71,Projection!CI:CI)</f>
        <v>7114.9325913513958</v>
      </c>
      <c r="AI71" s="29">
        <f>SUMIF(Projection!$F:$F,'7 Year Projection-Expanded'!$A71,Projection!CJ:CJ)</f>
        <v>7292.8059061351796</v>
      </c>
      <c r="AJ71" s="573">
        <f>SUMIF(Projection!$F:$F,'7 Year Projection-Expanded'!$A71,Projection!CK:CK)</f>
        <v>7475.1260537885582</v>
      </c>
    </row>
    <row r="72" spans="1:36" ht="14.25" customHeight="1" x14ac:dyDescent="0.2">
      <c r="A72" s="11">
        <v>6186</v>
      </c>
      <c r="C72" s="9"/>
      <c r="E72" s="11" t="s">
        <v>100</v>
      </c>
      <c r="I72" s="228">
        <f t="array" ref="I72">IFERROR(INDEX(Projection!$B$9:$BE$196,MATCH('7 Year Projection-Expanded'!$A72,Projection!$B$9:$B$196,0),MATCH('7 Year Projection-Expanded'!I$8,Projection!$B$9:$BE$9,0)),0)</f>
        <v>1058.07</v>
      </c>
      <c r="J72" s="29">
        <f t="array" ref="J72">IFERROR(INDEX(Projection!$B$9:$BE$196,MATCH('7 Year Projection-Expanded'!$A72,Projection!$B$9:$B$196,0),MATCH('7 Year Projection-Expanded'!J$8,Projection!$B$9:$BE$9,0)),0)</f>
        <v>1058.07</v>
      </c>
      <c r="K72" s="228">
        <f t="array" ref="K72">IFERROR(INDEX(Projection!$B$9:$BE$196,MATCH('7 Year Projection-Expanded'!$A72,Projection!$B$9:$B$196,0),MATCH('7 Year Projection-Expanded'!K$8,Projection!$B$9:$BE$9,0)),0)</f>
        <v>1058.07</v>
      </c>
      <c r="L72" s="29">
        <f t="array" ref="L72">IFERROR(INDEX(Projection!$B$9:$BE$196,MATCH('7 Year Projection-Expanded'!$A72,Projection!$B$9:$B$196,0),MATCH('7 Year Projection-Expanded'!L$8,Projection!$B$9:$BE$9,0)),0)</f>
        <v>1058.07</v>
      </c>
      <c r="M72" s="228">
        <f t="array" ref="M72">IFERROR(INDEX(Projection!$B$9:$BE$196,MATCH('7 Year Projection-Expanded'!$A72,Projection!$B$9:$B$196,0),MATCH('7 Year Projection-Expanded'!M$8,Projection!$B$9:$BE$9,0)),0)</f>
        <v>1058.07</v>
      </c>
      <c r="N72" s="29">
        <f t="array" ref="N72">IFERROR(INDEX(Projection!$B$9:$BE$196,MATCH('7 Year Projection-Expanded'!$A72,Projection!$B$9:$B$196,0),MATCH('7 Year Projection-Expanded'!N$8,Projection!$B$9:$BE$9,0)),0)</f>
        <v>1058.07</v>
      </c>
      <c r="O72" s="228">
        <f t="array" ref="O72">IFERROR(INDEX(Projection!$B$9:$BE$196,MATCH('7 Year Projection-Expanded'!$A72,Projection!$B$9:$B$196,0),MATCH('7 Year Projection-Expanded'!O$8,Projection!$B$9:$BE$9,0)),0)</f>
        <v>1058.07</v>
      </c>
      <c r="P72" s="29">
        <f t="array" ref="P72">IFERROR(INDEX(Projection!$B$9:$BE$196,MATCH('7 Year Projection-Expanded'!$A72,Projection!$B$9:$B$196,0),MATCH('7 Year Projection-Expanded'!P$8,Projection!$B$9:$BE$9,0)),0)</f>
        <v>1058.07</v>
      </c>
      <c r="Q72" s="228">
        <f t="array" ref="Q72">IFERROR(INDEX(Projection!$B$9:$BE$196,MATCH('7 Year Projection-Expanded'!$A72,Projection!$B$9:$B$196,0),MATCH('7 Year Projection-Expanded'!Q$8,Projection!$B$9:$BE$9,0)),0)</f>
        <v>1058.07</v>
      </c>
      <c r="R72" s="29">
        <f t="array" ref="R72">IFERROR(INDEX(Projection!$B$9:$BE$196,MATCH('7 Year Projection-Expanded'!$A72,Projection!$B$9:$B$196,0),MATCH('7 Year Projection-Expanded'!R$8,Projection!$B$9:$BE$9,0)),0)</f>
        <v>1058.07</v>
      </c>
      <c r="S72" s="228">
        <f t="array" ref="S72">IFERROR(INDEX(Projection!$B$9:$BE$196,MATCH('7 Year Projection-Expanded'!$A72,Projection!$B$9:$B$196,0),MATCH('7 Year Projection-Expanded'!S$8,Projection!$B$9:$BE$9,0)),0)</f>
        <v>1058.07</v>
      </c>
      <c r="T72" s="28">
        <f t="array" ref="T72">IFERROR(INDEX(Projection!$B$9:$BE$196,MATCH('7 Year Projection-Expanded'!$A72,Projection!$B$9:$B$196,0),MATCH('7 Year Projection-Expanded'!T$8,Projection!$B$9:$BE$9,0)),0)</f>
        <v>1058.07</v>
      </c>
      <c r="V72" s="572">
        <f>SUMIF(Projection!$F:$F,'7 Year Projection-Expanded'!$A72,Projection!BW:BW)</f>
        <v>12696.839999999998</v>
      </c>
      <c r="W72" s="29">
        <f>SUMIF(Projection!$F:$F,'7 Year Projection-Expanded'!$A72,Projection!BX:BX)</f>
        <v>13014.260999999999</v>
      </c>
      <c r="X72" s="228">
        <f>SUMIF(Projection!$F:$F,'7 Year Projection-Expanded'!$A72,Projection!BY:BY)</f>
        <v>13339.617524999996</v>
      </c>
      <c r="Y72" s="29">
        <f>SUMIF(Projection!$F:$F,'7 Year Projection-Expanded'!$A72,Projection!BZ:BZ)</f>
        <v>13673.107963124994</v>
      </c>
      <c r="Z72" s="228">
        <f>SUMIF(Projection!$F:$F,'7 Year Projection-Expanded'!$A72,Projection!CA:CA)</f>
        <v>14014.935662203125</v>
      </c>
      <c r="AA72" s="29">
        <f>SUMIF(Projection!$F:$F,'7 Year Projection-Expanded'!$A72,Projection!CB:CB)</f>
        <v>14365.309053758201</v>
      </c>
      <c r="AB72" s="228">
        <f>SUMIF(Projection!$F:$F,'7 Year Projection-Expanded'!$A72,Projection!CC:CC)</f>
        <v>14724.441780102155</v>
      </c>
      <c r="AC72" s="29">
        <f>SUMIF(Projection!$F:$F,'7 Year Projection-Expanded'!$A72,Projection!CD:CD)</f>
        <v>15092.552824604709</v>
      </c>
      <c r="AD72" s="228">
        <f>SUMIF(Projection!$F:$F,'7 Year Projection-Expanded'!$A72,Projection!CE:CE)</f>
        <v>15469.866645219825</v>
      </c>
      <c r="AE72" s="29">
        <f>SUMIF(Projection!$F:$F,'7 Year Projection-Expanded'!$A72,Projection!CF:CF)</f>
        <v>15856.613311350318</v>
      </c>
      <c r="AF72" s="228">
        <f>SUMIF(Projection!$F:$F,'7 Year Projection-Expanded'!$A72,Projection!CG:CG)</f>
        <v>16253.028644134074</v>
      </c>
      <c r="AG72" s="29">
        <f>SUMIF(Projection!$F:$F,'7 Year Projection-Expanded'!$A72,Projection!CH:CH)</f>
        <v>16659.354360237423</v>
      </c>
      <c r="AH72" s="228">
        <f>SUMIF(Projection!$F:$F,'7 Year Projection-Expanded'!$A72,Projection!CI:CI)</f>
        <v>17075.838219243356</v>
      </c>
      <c r="AI72" s="29">
        <f>SUMIF(Projection!$F:$F,'7 Year Projection-Expanded'!$A72,Projection!CJ:CJ)</f>
        <v>17502.734174724439</v>
      </c>
      <c r="AJ72" s="573">
        <f>SUMIF(Projection!$F:$F,'7 Year Projection-Expanded'!$A72,Projection!CK:CK)</f>
        <v>17940.302529092547</v>
      </c>
    </row>
    <row r="73" spans="1:36" ht="14.25" customHeight="1" x14ac:dyDescent="0.2">
      <c r="A73" s="11">
        <v>6187</v>
      </c>
      <c r="C73" s="9"/>
      <c r="E73" s="11" t="s">
        <v>107</v>
      </c>
      <c r="I73" s="228">
        <f t="array" ref="I73">IFERROR(INDEX(Projection!$B$9:$BE$196,MATCH('7 Year Projection-Expanded'!$A73,Projection!$B$9:$B$196,0),MATCH('7 Year Projection-Expanded'!I$8,Projection!$B$9:$BE$9,0)),0)</f>
        <v>2116.1400000000003</v>
      </c>
      <c r="J73" s="29">
        <f t="array" ref="J73">IFERROR(INDEX(Projection!$B$9:$BE$196,MATCH('7 Year Projection-Expanded'!$A73,Projection!$B$9:$B$196,0),MATCH('7 Year Projection-Expanded'!J$8,Projection!$B$9:$BE$9,0)),0)</f>
        <v>2116.1400000000003</v>
      </c>
      <c r="K73" s="228">
        <f t="array" ref="K73">IFERROR(INDEX(Projection!$B$9:$BE$196,MATCH('7 Year Projection-Expanded'!$A73,Projection!$B$9:$B$196,0),MATCH('7 Year Projection-Expanded'!K$8,Projection!$B$9:$BE$9,0)),0)</f>
        <v>2116.1400000000003</v>
      </c>
      <c r="L73" s="29">
        <f t="array" ref="L73">IFERROR(INDEX(Projection!$B$9:$BE$196,MATCH('7 Year Projection-Expanded'!$A73,Projection!$B$9:$B$196,0),MATCH('7 Year Projection-Expanded'!L$8,Projection!$B$9:$BE$9,0)),0)</f>
        <v>1587.105</v>
      </c>
      <c r="M73" s="228">
        <f t="array" ref="M73">IFERROR(INDEX(Projection!$B$9:$BE$196,MATCH('7 Year Projection-Expanded'!$A73,Projection!$B$9:$B$196,0),MATCH('7 Year Projection-Expanded'!M$8,Projection!$B$9:$BE$9,0)),0)</f>
        <v>529.03500000000008</v>
      </c>
      <c r="N73" s="29">
        <f t="array" ref="N73">IFERROR(INDEX(Projection!$B$9:$BE$196,MATCH('7 Year Projection-Expanded'!$A73,Projection!$B$9:$B$196,0),MATCH('7 Year Projection-Expanded'!N$8,Projection!$B$9:$BE$9,0)),0)</f>
        <v>0</v>
      </c>
      <c r="O73" s="228">
        <f t="array" ref="O73">IFERROR(INDEX(Projection!$B$9:$BE$196,MATCH('7 Year Projection-Expanded'!$A73,Projection!$B$9:$B$196,0),MATCH('7 Year Projection-Expanded'!O$8,Projection!$B$9:$BE$9,0)),0)</f>
        <v>0</v>
      </c>
      <c r="P73" s="29">
        <f t="array" ref="P73">IFERROR(INDEX(Projection!$B$9:$BE$196,MATCH('7 Year Projection-Expanded'!$A73,Projection!$B$9:$B$196,0),MATCH('7 Year Projection-Expanded'!P$8,Projection!$B$9:$BE$9,0)),0)</f>
        <v>0</v>
      </c>
      <c r="Q73" s="228">
        <f t="array" ref="Q73">IFERROR(INDEX(Projection!$B$9:$BE$196,MATCH('7 Year Projection-Expanded'!$A73,Projection!$B$9:$B$196,0),MATCH('7 Year Projection-Expanded'!Q$8,Projection!$B$9:$BE$9,0)),0)</f>
        <v>0</v>
      </c>
      <c r="R73" s="29">
        <f t="array" ref="R73">IFERROR(INDEX(Projection!$B$9:$BE$196,MATCH('7 Year Projection-Expanded'!$A73,Projection!$B$9:$B$196,0),MATCH('7 Year Projection-Expanded'!R$8,Projection!$B$9:$BE$9,0)),0)</f>
        <v>0</v>
      </c>
      <c r="S73" s="228">
        <f t="array" ref="S73">IFERROR(INDEX(Projection!$B$9:$BE$196,MATCH('7 Year Projection-Expanded'!$A73,Projection!$B$9:$B$196,0),MATCH('7 Year Projection-Expanded'!S$8,Projection!$B$9:$BE$9,0)),0)</f>
        <v>529.03500000000008</v>
      </c>
      <c r="T73" s="28">
        <f t="array" ref="T73">IFERROR(INDEX(Projection!$B$9:$BE$196,MATCH('7 Year Projection-Expanded'!$A73,Projection!$B$9:$B$196,0),MATCH('7 Year Projection-Expanded'!T$8,Projection!$B$9:$BE$9,0)),0)</f>
        <v>1587.105</v>
      </c>
      <c r="V73" s="572">
        <f>SUMIF(Projection!$F:$F,'7 Year Projection-Expanded'!$A73,Projection!BW:BW)</f>
        <v>10580.7</v>
      </c>
      <c r="W73" s="29">
        <f>SUMIF(Projection!$F:$F,'7 Year Projection-Expanded'!$A73,Projection!BX:BX)</f>
        <v>10845.217500000001</v>
      </c>
      <c r="X73" s="228">
        <f>SUMIF(Projection!$F:$F,'7 Year Projection-Expanded'!$A73,Projection!BY:BY)</f>
        <v>11116.347937499999</v>
      </c>
      <c r="Y73" s="29">
        <f>SUMIF(Projection!$F:$F,'7 Year Projection-Expanded'!$A73,Projection!BZ:BZ)</f>
        <v>11394.256635937498</v>
      </c>
      <c r="Z73" s="228">
        <f>SUMIF(Projection!$F:$F,'7 Year Projection-Expanded'!$A73,Projection!CA:CA)</f>
        <v>11679.113051835933</v>
      </c>
      <c r="AA73" s="29">
        <f>SUMIF(Projection!$F:$F,'7 Year Projection-Expanded'!$A73,Projection!CB:CB)</f>
        <v>11971.09087813183</v>
      </c>
      <c r="AB73" s="228">
        <f>SUMIF(Projection!$F:$F,'7 Year Projection-Expanded'!$A73,Projection!CC:CC)</f>
        <v>12270.368150085125</v>
      </c>
      <c r="AC73" s="29">
        <f>SUMIF(Projection!$F:$F,'7 Year Projection-Expanded'!$A73,Projection!CD:CD)</f>
        <v>12577.127353837252</v>
      </c>
      <c r="AD73" s="228">
        <f>SUMIF(Projection!$F:$F,'7 Year Projection-Expanded'!$A73,Projection!CE:CE)</f>
        <v>12891.555537683182</v>
      </c>
      <c r="AE73" s="29">
        <f>SUMIF(Projection!$F:$F,'7 Year Projection-Expanded'!$A73,Projection!CF:CF)</f>
        <v>13213.844426125261</v>
      </c>
      <c r="AF73" s="228">
        <f>SUMIF(Projection!$F:$F,'7 Year Projection-Expanded'!$A73,Projection!CG:CG)</f>
        <v>13544.190536778391</v>
      </c>
      <c r="AG73" s="29">
        <f>SUMIF(Projection!$F:$F,'7 Year Projection-Expanded'!$A73,Projection!CH:CH)</f>
        <v>13882.795300197849</v>
      </c>
      <c r="AH73" s="228">
        <f>SUMIF(Projection!$F:$F,'7 Year Projection-Expanded'!$A73,Projection!CI:CI)</f>
        <v>14229.865182702795</v>
      </c>
      <c r="AI73" s="29">
        <f>SUMIF(Projection!$F:$F,'7 Year Projection-Expanded'!$A73,Projection!CJ:CJ)</f>
        <v>14585.611812270365</v>
      </c>
      <c r="AJ73" s="573">
        <f>SUMIF(Projection!$F:$F,'7 Year Projection-Expanded'!$A73,Projection!CK:CK)</f>
        <v>14950.252107577122</v>
      </c>
    </row>
    <row r="74" spans="1:36" ht="14.25" customHeight="1" x14ac:dyDescent="0.2">
      <c r="A74" s="11">
        <v>6200</v>
      </c>
      <c r="C74" s="9"/>
      <c r="E74" s="11" t="s">
        <v>111</v>
      </c>
      <c r="I74" s="228">
        <f t="array" ref="I74">IFERROR(INDEX(Projection!$B$9:$BE$196,MATCH('7 Year Projection-Expanded'!$A74,Projection!$B$9:$B$196,0),MATCH('7 Year Projection-Expanded'!I$8,Projection!$B$9:$BE$9,0)),0)</f>
        <v>8.8172500000000008E-9</v>
      </c>
      <c r="J74" s="29">
        <f t="array" ref="J74">IFERROR(INDEX(Projection!$B$9:$BE$196,MATCH('7 Year Projection-Expanded'!$A74,Projection!$B$9:$B$196,0),MATCH('7 Year Projection-Expanded'!J$8,Projection!$B$9:$BE$9,0)),0)</f>
        <v>8.8172500000000008E-9</v>
      </c>
      <c r="K74" s="228">
        <f t="array" ref="K74">IFERROR(INDEX(Projection!$B$9:$BE$196,MATCH('7 Year Projection-Expanded'!$A74,Projection!$B$9:$B$196,0),MATCH('7 Year Projection-Expanded'!K$8,Projection!$B$9:$BE$9,0)),0)</f>
        <v>8.8172500000000008E-9</v>
      </c>
      <c r="L74" s="29">
        <f t="array" ref="L74">IFERROR(INDEX(Projection!$B$9:$BE$196,MATCH('7 Year Projection-Expanded'!$A74,Projection!$B$9:$B$196,0),MATCH('7 Year Projection-Expanded'!L$8,Projection!$B$9:$BE$9,0)),0)</f>
        <v>8.8172500000000008E-9</v>
      </c>
      <c r="M74" s="228">
        <f t="array" ref="M74">IFERROR(INDEX(Projection!$B$9:$BE$196,MATCH('7 Year Projection-Expanded'!$A74,Projection!$B$9:$B$196,0),MATCH('7 Year Projection-Expanded'!M$8,Projection!$B$9:$BE$9,0)),0)</f>
        <v>8.8172500000000008E-9</v>
      </c>
      <c r="N74" s="29">
        <f t="array" ref="N74">IFERROR(INDEX(Projection!$B$9:$BE$196,MATCH('7 Year Projection-Expanded'!$A74,Projection!$B$9:$B$196,0),MATCH('7 Year Projection-Expanded'!N$8,Projection!$B$9:$BE$9,0)),0)</f>
        <v>8.8172500000000008E-9</v>
      </c>
      <c r="O74" s="228">
        <f t="array" ref="O74">IFERROR(INDEX(Projection!$B$9:$BE$196,MATCH('7 Year Projection-Expanded'!$A74,Projection!$B$9:$B$196,0),MATCH('7 Year Projection-Expanded'!O$8,Projection!$B$9:$BE$9,0)),0)</f>
        <v>8.8172500000000008E-9</v>
      </c>
      <c r="P74" s="29">
        <f t="array" ref="P74">IFERROR(INDEX(Projection!$B$9:$BE$196,MATCH('7 Year Projection-Expanded'!$A74,Projection!$B$9:$B$196,0),MATCH('7 Year Projection-Expanded'!P$8,Projection!$B$9:$BE$9,0)),0)</f>
        <v>8.8172500000000008E-9</v>
      </c>
      <c r="Q74" s="228">
        <f t="array" ref="Q74">IFERROR(INDEX(Projection!$B$9:$BE$196,MATCH('7 Year Projection-Expanded'!$A74,Projection!$B$9:$B$196,0),MATCH('7 Year Projection-Expanded'!Q$8,Projection!$B$9:$BE$9,0)),0)</f>
        <v>8.8172500000000008E-9</v>
      </c>
      <c r="R74" s="29">
        <f t="array" ref="R74">IFERROR(INDEX(Projection!$B$9:$BE$196,MATCH('7 Year Projection-Expanded'!$A74,Projection!$B$9:$B$196,0),MATCH('7 Year Projection-Expanded'!R$8,Projection!$B$9:$BE$9,0)),0)</f>
        <v>8.8172500000000008E-9</v>
      </c>
      <c r="S74" s="228">
        <f t="array" ref="S74">IFERROR(INDEX(Projection!$B$9:$BE$196,MATCH('7 Year Projection-Expanded'!$A74,Projection!$B$9:$B$196,0),MATCH('7 Year Projection-Expanded'!S$8,Projection!$B$9:$BE$9,0)),0)</f>
        <v>8.8172500000000008E-9</v>
      </c>
      <c r="T74" s="28">
        <f t="array" ref="T74">IFERROR(INDEX(Projection!$B$9:$BE$196,MATCH('7 Year Projection-Expanded'!$A74,Projection!$B$9:$B$196,0),MATCH('7 Year Projection-Expanded'!T$8,Projection!$B$9:$BE$9,0)),0)</f>
        <v>8.8172500000000008E-9</v>
      </c>
      <c r="V74" s="572">
        <f>SUMIF(Projection!$F:$F,'7 Year Projection-Expanded'!$A74,Projection!BW:BW)</f>
        <v>1.05807E-7</v>
      </c>
      <c r="W74" s="29">
        <f>SUMIF(Projection!$F:$F,'7 Year Projection-Expanded'!$A74,Projection!BX:BX)</f>
        <v>1.08452175E-7</v>
      </c>
      <c r="X74" s="228">
        <f>SUMIF(Projection!$F:$F,'7 Year Projection-Expanded'!$A74,Projection!BY:BY)</f>
        <v>1.1116347937500002E-7</v>
      </c>
      <c r="Y74" s="29">
        <f>SUMIF(Projection!$F:$F,'7 Year Projection-Expanded'!$A74,Projection!BZ:BZ)</f>
        <v>1.1394256635937497E-7</v>
      </c>
      <c r="Z74" s="228">
        <f>SUMIF(Projection!$F:$F,'7 Year Projection-Expanded'!$A74,Projection!CA:CA)</f>
        <v>1.1679113051835932E-7</v>
      </c>
      <c r="AA74" s="29">
        <f>SUMIF(Projection!$F:$F,'7 Year Projection-Expanded'!$A74,Projection!CB:CB)</f>
        <v>1.1971090878131829E-7</v>
      </c>
      <c r="AB74" s="228">
        <f>SUMIF(Projection!$F:$F,'7 Year Projection-Expanded'!$A74,Projection!CC:CC)</f>
        <v>1.2270368150085124E-7</v>
      </c>
      <c r="AC74" s="29">
        <f>SUMIF(Projection!$F:$F,'7 Year Projection-Expanded'!$A74,Projection!CD:CD)</f>
        <v>1.2577127353837251E-7</v>
      </c>
      <c r="AD74" s="228">
        <f>SUMIF(Projection!$F:$F,'7 Year Projection-Expanded'!$A74,Projection!CE:CE)</f>
        <v>1.2891555537683182E-7</v>
      </c>
      <c r="AE74" s="29">
        <f>SUMIF(Projection!$F:$F,'7 Year Projection-Expanded'!$A74,Projection!CF:CF)</f>
        <v>1.3213844426125261E-7</v>
      </c>
      <c r="AF74" s="228">
        <f>SUMIF(Projection!$F:$F,'7 Year Projection-Expanded'!$A74,Projection!CG:CG)</f>
        <v>1.354419053677839E-7</v>
      </c>
      <c r="AG74" s="29">
        <f>SUMIF(Projection!$F:$F,'7 Year Projection-Expanded'!$A74,Projection!CH:CH)</f>
        <v>1.388279530019785E-7</v>
      </c>
      <c r="AH74" s="228">
        <f>SUMIF(Projection!$F:$F,'7 Year Projection-Expanded'!$A74,Projection!CI:CI)</f>
        <v>1.4229865182702796E-7</v>
      </c>
      <c r="AI74" s="29">
        <f>SUMIF(Projection!$F:$F,'7 Year Projection-Expanded'!$A74,Projection!CJ:CJ)</f>
        <v>1.4585611812270364E-7</v>
      </c>
      <c r="AJ74" s="573">
        <f>SUMIF(Projection!$F:$F,'7 Year Projection-Expanded'!$A74,Projection!CK:CK)</f>
        <v>1.4950252107577122E-7</v>
      </c>
    </row>
    <row r="75" spans="1:36" ht="14.25" customHeight="1" x14ac:dyDescent="0.2">
      <c r="A75" s="11">
        <v>6205</v>
      </c>
      <c r="C75" s="9"/>
      <c r="E75" s="11" t="s">
        <v>114</v>
      </c>
      <c r="I75" s="228">
        <f t="array" ref="I75">IFERROR(INDEX(Projection!$B$9:$BE$196,MATCH('7 Year Projection-Expanded'!$A75,Projection!$B$9:$B$196,0),MATCH('7 Year Projection-Expanded'!I$8,Projection!$B$9:$BE$9,0)),0)</f>
        <v>88.172499999999999</v>
      </c>
      <c r="J75" s="29">
        <f t="array" ref="J75">IFERROR(INDEX(Projection!$B$9:$BE$196,MATCH('7 Year Projection-Expanded'!$A75,Projection!$B$9:$B$196,0),MATCH('7 Year Projection-Expanded'!J$8,Projection!$B$9:$BE$9,0)),0)</f>
        <v>88.172499999999999</v>
      </c>
      <c r="K75" s="228">
        <f t="array" ref="K75">IFERROR(INDEX(Projection!$B$9:$BE$196,MATCH('7 Year Projection-Expanded'!$A75,Projection!$B$9:$B$196,0),MATCH('7 Year Projection-Expanded'!K$8,Projection!$B$9:$BE$9,0)),0)</f>
        <v>88.172499999999999</v>
      </c>
      <c r="L75" s="29">
        <f t="array" ref="L75">IFERROR(INDEX(Projection!$B$9:$BE$196,MATCH('7 Year Projection-Expanded'!$A75,Projection!$B$9:$B$196,0),MATCH('7 Year Projection-Expanded'!L$8,Projection!$B$9:$BE$9,0)),0)</f>
        <v>88.172499999999999</v>
      </c>
      <c r="M75" s="228">
        <f t="array" ref="M75">IFERROR(INDEX(Projection!$B$9:$BE$196,MATCH('7 Year Projection-Expanded'!$A75,Projection!$B$9:$B$196,0),MATCH('7 Year Projection-Expanded'!M$8,Projection!$B$9:$BE$9,0)),0)</f>
        <v>88.172499999999999</v>
      </c>
      <c r="N75" s="29">
        <f t="array" ref="N75">IFERROR(INDEX(Projection!$B$9:$BE$196,MATCH('7 Year Projection-Expanded'!$A75,Projection!$B$9:$B$196,0),MATCH('7 Year Projection-Expanded'!N$8,Projection!$B$9:$BE$9,0)),0)</f>
        <v>88.172499999999999</v>
      </c>
      <c r="O75" s="228">
        <f t="array" ref="O75">IFERROR(INDEX(Projection!$B$9:$BE$196,MATCH('7 Year Projection-Expanded'!$A75,Projection!$B$9:$B$196,0),MATCH('7 Year Projection-Expanded'!O$8,Projection!$B$9:$BE$9,0)),0)</f>
        <v>88.172499999999999</v>
      </c>
      <c r="P75" s="29">
        <f t="array" ref="P75">IFERROR(INDEX(Projection!$B$9:$BE$196,MATCH('7 Year Projection-Expanded'!$A75,Projection!$B$9:$B$196,0),MATCH('7 Year Projection-Expanded'!P$8,Projection!$B$9:$BE$9,0)),0)</f>
        <v>88.172499999999999</v>
      </c>
      <c r="Q75" s="228">
        <f t="array" ref="Q75">IFERROR(INDEX(Projection!$B$9:$BE$196,MATCH('7 Year Projection-Expanded'!$A75,Projection!$B$9:$B$196,0),MATCH('7 Year Projection-Expanded'!Q$8,Projection!$B$9:$BE$9,0)),0)</f>
        <v>88.172499999999999</v>
      </c>
      <c r="R75" s="29">
        <f t="array" ref="R75">IFERROR(INDEX(Projection!$B$9:$BE$196,MATCH('7 Year Projection-Expanded'!$A75,Projection!$B$9:$B$196,0),MATCH('7 Year Projection-Expanded'!R$8,Projection!$B$9:$BE$9,0)),0)</f>
        <v>88.172499999999999</v>
      </c>
      <c r="S75" s="228">
        <f t="array" ref="S75">IFERROR(INDEX(Projection!$B$9:$BE$196,MATCH('7 Year Projection-Expanded'!$A75,Projection!$B$9:$B$196,0),MATCH('7 Year Projection-Expanded'!S$8,Projection!$B$9:$BE$9,0)),0)</f>
        <v>88.172499999999999</v>
      </c>
      <c r="T75" s="28">
        <f t="array" ref="T75">IFERROR(INDEX(Projection!$B$9:$BE$196,MATCH('7 Year Projection-Expanded'!$A75,Projection!$B$9:$B$196,0),MATCH('7 Year Projection-Expanded'!T$8,Projection!$B$9:$BE$9,0)),0)</f>
        <v>88.172499999999999</v>
      </c>
      <c r="V75" s="572">
        <f>SUMIF(Projection!$F:$F,'7 Year Projection-Expanded'!$A75,Projection!BW:BW)</f>
        <v>1058.07</v>
      </c>
      <c r="W75" s="29">
        <f>SUMIF(Projection!$F:$F,'7 Year Projection-Expanded'!$A75,Projection!BX:BX)</f>
        <v>1084.5217500000001</v>
      </c>
      <c r="X75" s="228">
        <f>SUMIF(Projection!$F:$F,'7 Year Projection-Expanded'!$A75,Projection!BY:BY)</f>
        <v>1111.6347937499997</v>
      </c>
      <c r="Y75" s="29">
        <f>SUMIF(Projection!$F:$F,'7 Year Projection-Expanded'!$A75,Projection!BZ:BZ)</f>
        <v>1139.4256635937495</v>
      </c>
      <c r="Z75" s="228">
        <f>SUMIF(Projection!$F:$F,'7 Year Projection-Expanded'!$A75,Projection!CA:CA)</f>
        <v>1167.9113051835936</v>
      </c>
      <c r="AA75" s="29">
        <f>SUMIF(Projection!$F:$F,'7 Year Projection-Expanded'!$A75,Projection!CB:CB)</f>
        <v>1197.1090878131834</v>
      </c>
      <c r="AB75" s="228">
        <f>SUMIF(Projection!$F:$F,'7 Year Projection-Expanded'!$A75,Projection!CC:CC)</f>
        <v>1227.0368150085128</v>
      </c>
      <c r="AC75" s="29">
        <f>SUMIF(Projection!$F:$F,'7 Year Projection-Expanded'!$A75,Projection!CD:CD)</f>
        <v>1257.7127353837254</v>
      </c>
      <c r="AD75" s="228">
        <f>SUMIF(Projection!$F:$F,'7 Year Projection-Expanded'!$A75,Projection!CE:CE)</f>
        <v>1289.1555537683184</v>
      </c>
      <c r="AE75" s="29">
        <f>SUMIF(Projection!$F:$F,'7 Year Projection-Expanded'!$A75,Projection!CF:CF)</f>
        <v>1321.3844426125263</v>
      </c>
      <c r="AF75" s="228">
        <f>SUMIF(Projection!$F:$F,'7 Year Projection-Expanded'!$A75,Projection!CG:CG)</f>
        <v>1354.4190536778394</v>
      </c>
      <c r="AG75" s="29">
        <f>SUMIF(Projection!$F:$F,'7 Year Projection-Expanded'!$A75,Projection!CH:CH)</f>
        <v>1388.2795300197854</v>
      </c>
      <c r="AH75" s="228">
        <f>SUMIF(Projection!$F:$F,'7 Year Projection-Expanded'!$A75,Projection!CI:CI)</f>
        <v>1422.9865182702799</v>
      </c>
      <c r="AI75" s="29">
        <f>SUMIF(Projection!$F:$F,'7 Year Projection-Expanded'!$A75,Projection!CJ:CJ)</f>
        <v>1458.5611812270367</v>
      </c>
      <c r="AJ75" s="573">
        <f>SUMIF(Projection!$F:$F,'7 Year Projection-Expanded'!$A75,Projection!CK:CK)</f>
        <v>1495.0252107577126</v>
      </c>
    </row>
    <row r="76" spans="1:36" ht="14.25" customHeight="1" x14ac:dyDescent="0.2">
      <c r="A76" s="283" t="s">
        <v>367</v>
      </c>
      <c r="B76" s="283" t="s">
        <v>461</v>
      </c>
      <c r="C76" s="597"/>
      <c r="D76" s="286" t="s">
        <v>462</v>
      </c>
      <c r="E76" s="285"/>
      <c r="F76" s="285"/>
      <c r="G76" s="285"/>
      <c r="H76" s="285"/>
      <c r="I76" s="606">
        <f t="shared" ref="I76:T76" si="26">SUM(I68:I75)</f>
        <v>7335.9520000088178</v>
      </c>
      <c r="J76" s="289">
        <f t="shared" si="26"/>
        <v>7335.9520000088178</v>
      </c>
      <c r="K76" s="606">
        <f t="shared" si="26"/>
        <v>7335.9520000088178</v>
      </c>
      <c r="L76" s="289">
        <f t="shared" si="26"/>
        <v>6806.9170000088179</v>
      </c>
      <c r="M76" s="606">
        <f t="shared" si="26"/>
        <v>5748.8470000088173</v>
      </c>
      <c r="N76" s="289">
        <f t="shared" si="26"/>
        <v>5367.9418000088172</v>
      </c>
      <c r="O76" s="606">
        <f t="shared" si="26"/>
        <v>6108.5908000088175</v>
      </c>
      <c r="P76" s="289">
        <f t="shared" si="26"/>
        <v>6108.5908000088175</v>
      </c>
      <c r="Q76" s="606">
        <f t="shared" si="26"/>
        <v>5960.4610000088178</v>
      </c>
      <c r="R76" s="289">
        <f t="shared" si="26"/>
        <v>5367.9418000088172</v>
      </c>
      <c r="S76" s="606">
        <f t="shared" si="26"/>
        <v>5896.976800008817</v>
      </c>
      <c r="T76" s="607">
        <f t="shared" si="26"/>
        <v>6806.9170000088179</v>
      </c>
      <c r="U76" s="285"/>
      <c r="V76" s="608">
        <f t="shared" ref="V76:AJ76" si="27">SUM(V68:V75)</f>
        <v>76181.040000105815</v>
      </c>
      <c r="W76" s="289">
        <f t="shared" si="27"/>
        <v>78085.566000108447</v>
      </c>
      <c r="X76" s="606">
        <f t="shared" si="27"/>
        <v>80037.705150111156</v>
      </c>
      <c r="Y76" s="289">
        <f t="shared" si="27"/>
        <v>82038.647778863902</v>
      </c>
      <c r="Z76" s="606">
        <f t="shared" si="27"/>
        <v>84089.613973335508</v>
      </c>
      <c r="AA76" s="289">
        <f t="shared" si="27"/>
        <v>86191.854322668878</v>
      </c>
      <c r="AB76" s="606">
        <f t="shared" si="27"/>
        <v>88346.650680735605</v>
      </c>
      <c r="AC76" s="289">
        <f t="shared" si="27"/>
        <v>90555.316947753992</v>
      </c>
      <c r="AD76" s="606">
        <f t="shared" si="27"/>
        <v>92819.19987144784</v>
      </c>
      <c r="AE76" s="289">
        <f t="shared" si="27"/>
        <v>95139.67986823403</v>
      </c>
      <c r="AF76" s="606">
        <f t="shared" si="27"/>
        <v>97518.171864939854</v>
      </c>
      <c r="AG76" s="289">
        <f t="shared" si="27"/>
        <v>99956.126161563356</v>
      </c>
      <c r="AH76" s="606">
        <f t="shared" si="27"/>
        <v>102455.02931560244</v>
      </c>
      <c r="AI76" s="289">
        <f t="shared" si="27"/>
        <v>105016.40504849248</v>
      </c>
      <c r="AJ76" s="609">
        <f t="shared" si="27"/>
        <v>107641.81517470478</v>
      </c>
    </row>
    <row r="77" spans="1:36" ht="6" customHeight="1" x14ac:dyDescent="0.2">
      <c r="C77" s="9"/>
      <c r="I77" s="197"/>
      <c r="K77" s="197"/>
      <c r="M77" s="197"/>
      <c r="O77" s="197"/>
      <c r="Q77" s="197"/>
      <c r="S77" s="197"/>
      <c r="T77" s="20"/>
      <c r="V77" s="610"/>
      <c r="X77" s="197"/>
      <c r="Z77" s="197"/>
      <c r="AB77" s="197"/>
      <c r="AD77" s="197"/>
      <c r="AF77" s="197"/>
      <c r="AH77" s="197"/>
      <c r="AJ77" s="611"/>
    </row>
    <row r="78" spans="1:36" ht="14.25" customHeight="1" x14ac:dyDescent="0.2">
      <c r="A78" s="285"/>
      <c r="B78" s="285"/>
      <c r="C78" s="597"/>
      <c r="D78" s="286" t="s">
        <v>122</v>
      </c>
      <c r="E78" s="285"/>
      <c r="F78" s="285"/>
      <c r="G78" s="285"/>
      <c r="H78" s="285"/>
      <c r="I78" s="598"/>
      <c r="J78" s="285"/>
      <c r="K78" s="598"/>
      <c r="L78" s="285"/>
      <c r="M78" s="598"/>
      <c r="N78" s="285"/>
      <c r="O78" s="598"/>
      <c r="P78" s="285"/>
      <c r="Q78" s="598"/>
      <c r="R78" s="285"/>
      <c r="S78" s="598"/>
      <c r="T78" s="599"/>
      <c r="U78" s="285"/>
      <c r="V78" s="600"/>
      <c r="W78" s="285"/>
      <c r="X78" s="598"/>
      <c r="Y78" s="285"/>
      <c r="Z78" s="598"/>
      <c r="AA78" s="285"/>
      <c r="AB78" s="598"/>
      <c r="AC78" s="285"/>
      <c r="AD78" s="598"/>
      <c r="AE78" s="285"/>
      <c r="AF78" s="598"/>
      <c r="AG78" s="285"/>
      <c r="AH78" s="598"/>
      <c r="AI78" s="285"/>
      <c r="AJ78" s="613"/>
    </row>
    <row r="79" spans="1:36" ht="14.25" customHeight="1" x14ac:dyDescent="0.2">
      <c r="A79" s="11">
        <v>6189</v>
      </c>
      <c r="C79" s="9"/>
      <c r="E79" s="11" t="s">
        <v>120</v>
      </c>
      <c r="I79" s="228">
        <f t="array" ref="I79">IFERROR(INDEX(Projection!$B$9:$BE$196,MATCH('7 Year Projection-Expanded'!$A79,Projection!$B$9:$B$196,0),MATCH('7 Year Projection-Expanded'!I$8,Projection!$B$9:$BE$9,0)),0)</f>
        <v>24.996903749999998</v>
      </c>
      <c r="J79" s="29">
        <f t="array" ref="J79">IFERROR(INDEX(Projection!$B$9:$BE$196,MATCH('7 Year Projection-Expanded'!$A79,Projection!$B$9:$B$196,0),MATCH('7 Year Projection-Expanded'!J$8,Projection!$B$9:$BE$9,0)),0)</f>
        <v>24.996903749999998</v>
      </c>
      <c r="K79" s="228">
        <f t="array" ref="K79">IFERROR(INDEX(Projection!$B$9:$BE$196,MATCH('7 Year Projection-Expanded'!$A79,Projection!$B$9:$B$196,0),MATCH('7 Year Projection-Expanded'!K$8,Projection!$B$9:$BE$9,0)),0)</f>
        <v>24.996903749999998</v>
      </c>
      <c r="L79" s="29">
        <f t="array" ref="L79">IFERROR(INDEX(Projection!$B$9:$BE$196,MATCH('7 Year Projection-Expanded'!$A79,Projection!$B$9:$B$196,0),MATCH('7 Year Projection-Expanded'!L$8,Projection!$B$9:$BE$9,0)),0)</f>
        <v>24.996903749999998</v>
      </c>
      <c r="M79" s="228">
        <f t="array" ref="M79">IFERROR(INDEX(Projection!$B$9:$BE$196,MATCH('7 Year Projection-Expanded'!$A79,Projection!$B$9:$B$196,0),MATCH('7 Year Projection-Expanded'!M$8,Projection!$B$9:$BE$9,0)),0)</f>
        <v>24.996903749999998</v>
      </c>
      <c r="N79" s="29">
        <f t="array" ref="N79">IFERROR(INDEX(Projection!$B$9:$BE$196,MATCH('7 Year Projection-Expanded'!$A79,Projection!$B$9:$B$196,0),MATCH('7 Year Projection-Expanded'!N$8,Projection!$B$9:$BE$9,0)),0)</f>
        <v>24.996903749999998</v>
      </c>
      <c r="O79" s="228">
        <f t="array" ref="O79">IFERROR(INDEX(Projection!$B$9:$BE$196,MATCH('7 Year Projection-Expanded'!$A79,Projection!$B$9:$B$196,0),MATCH('7 Year Projection-Expanded'!O$8,Projection!$B$9:$BE$9,0)),0)</f>
        <v>24.996903749999998</v>
      </c>
      <c r="P79" s="29">
        <f t="array" ref="P79">IFERROR(INDEX(Projection!$B$9:$BE$196,MATCH('7 Year Projection-Expanded'!$A79,Projection!$B$9:$B$196,0),MATCH('7 Year Projection-Expanded'!P$8,Projection!$B$9:$BE$9,0)),0)</f>
        <v>24.996903749999998</v>
      </c>
      <c r="Q79" s="228">
        <f t="array" ref="Q79">IFERROR(INDEX(Projection!$B$9:$BE$196,MATCH('7 Year Projection-Expanded'!$A79,Projection!$B$9:$B$196,0),MATCH('7 Year Projection-Expanded'!Q$8,Projection!$B$9:$BE$9,0)),0)</f>
        <v>24.996903749999998</v>
      </c>
      <c r="R79" s="29">
        <f t="array" ref="R79">IFERROR(INDEX(Projection!$B$9:$BE$196,MATCH('7 Year Projection-Expanded'!$A79,Projection!$B$9:$B$196,0),MATCH('7 Year Projection-Expanded'!R$8,Projection!$B$9:$BE$9,0)),0)</f>
        <v>24.996903749999998</v>
      </c>
      <c r="S79" s="228">
        <f t="array" ref="S79">IFERROR(INDEX(Projection!$B$9:$BE$196,MATCH('7 Year Projection-Expanded'!$A79,Projection!$B$9:$B$196,0),MATCH('7 Year Projection-Expanded'!S$8,Projection!$B$9:$BE$9,0)),0)</f>
        <v>24.996903749999998</v>
      </c>
      <c r="T79" s="28">
        <f t="array" ref="T79">IFERROR(INDEX(Projection!$B$9:$BE$196,MATCH('7 Year Projection-Expanded'!$A79,Projection!$B$9:$B$196,0),MATCH('7 Year Projection-Expanded'!T$8,Projection!$B$9:$BE$9,0)),0)</f>
        <v>24.996903749999998</v>
      </c>
      <c r="V79" s="572">
        <f>SUMIF(Projection!$F:$F,'7 Year Projection-Expanded'!$A79,Projection!BW:BW)</f>
        <v>299.96284499999996</v>
      </c>
      <c r="W79" s="29">
        <f>SUMIF(Projection!$F:$F,'7 Year Projection-Expanded'!$A79,Projection!BX:BX)</f>
        <v>599.92568999999992</v>
      </c>
      <c r="X79" s="228">
        <f>SUMIF(Projection!$F:$F,'7 Year Projection-Expanded'!$A79,Projection!BY:BY)</f>
        <v>999.87614999999994</v>
      </c>
      <c r="Y79" s="29">
        <f>SUMIF(Projection!$F:$F,'7 Year Projection-Expanded'!$A79,Projection!BZ:BZ)</f>
        <v>1024.8730537499998</v>
      </c>
      <c r="Z79" s="228">
        <f>SUMIF(Projection!$F:$F,'7 Year Projection-Expanded'!$A79,Projection!CA:CA)</f>
        <v>1050.4948800937495</v>
      </c>
      <c r="AA79" s="29">
        <f>SUMIF(Projection!$F:$F,'7 Year Projection-Expanded'!$A79,Projection!CB:CB)</f>
        <v>1076.7572520960932</v>
      </c>
      <c r="AB79" s="228">
        <f>SUMIF(Projection!$F:$F,'7 Year Projection-Expanded'!$A79,Projection!CC:CC)</f>
        <v>1103.6761833984954</v>
      </c>
      <c r="AC79" s="29">
        <f>SUMIF(Projection!$F:$F,'7 Year Projection-Expanded'!$A79,Projection!CD:CD)</f>
        <v>1131.2680879834577</v>
      </c>
      <c r="AD79" s="228">
        <f>SUMIF(Projection!$F:$F,'7 Year Projection-Expanded'!$A79,Projection!CE:CE)</f>
        <v>1159.549790183044</v>
      </c>
      <c r="AE79" s="29">
        <f>SUMIF(Projection!$F:$F,'7 Year Projection-Expanded'!$A79,Projection!CF:CF)</f>
        <v>1188.5385349376199</v>
      </c>
      <c r="AF79" s="228">
        <f>SUMIF(Projection!$F:$F,'7 Year Projection-Expanded'!$A79,Projection!CG:CG)</f>
        <v>1218.2519983110603</v>
      </c>
      <c r="AG79" s="29">
        <f>SUMIF(Projection!$F:$F,'7 Year Projection-Expanded'!$A79,Projection!CH:CH)</f>
        <v>1248.7082982688366</v>
      </c>
      <c r="AH79" s="228">
        <f>SUMIF(Projection!$F:$F,'7 Year Projection-Expanded'!$A79,Projection!CI:CI)</f>
        <v>1279.9260057255574</v>
      </c>
      <c r="AI79" s="29">
        <f>SUMIF(Projection!$F:$F,'7 Year Projection-Expanded'!$A79,Projection!CJ:CJ)</f>
        <v>1311.9241558686963</v>
      </c>
      <c r="AJ79" s="573">
        <f>SUMIF(Projection!$F:$F,'7 Year Projection-Expanded'!$A79,Projection!CK:CK)</f>
        <v>1344.7222597654136</v>
      </c>
    </row>
    <row r="80" spans="1:36" ht="14.25" customHeight="1" x14ac:dyDescent="0.2">
      <c r="A80" s="11">
        <v>6192</v>
      </c>
      <c r="C80" s="9"/>
      <c r="E80" s="11" t="s">
        <v>122</v>
      </c>
      <c r="I80" s="228">
        <f t="array" ref="I80">IFERROR(INDEX(Projection!$B$9:$BE$196,MATCH('7 Year Projection-Expanded'!$A80,Projection!$B$9:$B$196,0),MATCH('7 Year Projection-Expanded'!I$8,Projection!$B$9:$BE$9,0)),0)</f>
        <v>33.329204999999995</v>
      </c>
      <c r="J80" s="29">
        <f t="array" ref="J80">IFERROR(INDEX(Projection!$B$9:$BE$196,MATCH('7 Year Projection-Expanded'!$A80,Projection!$B$9:$B$196,0),MATCH('7 Year Projection-Expanded'!J$8,Projection!$B$9:$BE$9,0)),0)</f>
        <v>33.329204999999995</v>
      </c>
      <c r="K80" s="228">
        <f t="array" ref="K80">IFERROR(INDEX(Projection!$B$9:$BE$196,MATCH('7 Year Projection-Expanded'!$A80,Projection!$B$9:$B$196,0),MATCH('7 Year Projection-Expanded'!K$8,Projection!$B$9:$BE$9,0)),0)</f>
        <v>33.329204999999995</v>
      </c>
      <c r="L80" s="29">
        <f t="array" ref="L80">IFERROR(INDEX(Projection!$B$9:$BE$196,MATCH('7 Year Projection-Expanded'!$A80,Projection!$B$9:$B$196,0),MATCH('7 Year Projection-Expanded'!L$8,Projection!$B$9:$BE$9,0)),0)</f>
        <v>33.329204999999995</v>
      </c>
      <c r="M80" s="228">
        <f t="array" ref="M80">IFERROR(INDEX(Projection!$B$9:$BE$196,MATCH('7 Year Projection-Expanded'!$A80,Projection!$B$9:$B$196,0),MATCH('7 Year Projection-Expanded'!M$8,Projection!$B$9:$BE$9,0)),0)</f>
        <v>33.329204999999995</v>
      </c>
      <c r="N80" s="29">
        <f t="array" ref="N80">IFERROR(INDEX(Projection!$B$9:$BE$196,MATCH('7 Year Projection-Expanded'!$A80,Projection!$B$9:$B$196,0),MATCH('7 Year Projection-Expanded'!N$8,Projection!$B$9:$BE$9,0)),0)</f>
        <v>33.329204999999995</v>
      </c>
      <c r="O80" s="228">
        <f t="array" ref="O80">IFERROR(INDEX(Projection!$B$9:$BE$196,MATCH('7 Year Projection-Expanded'!$A80,Projection!$B$9:$B$196,0),MATCH('7 Year Projection-Expanded'!O$8,Projection!$B$9:$BE$9,0)),0)</f>
        <v>33.329204999999995</v>
      </c>
      <c r="P80" s="29">
        <f t="array" ref="P80">IFERROR(INDEX(Projection!$B$9:$BE$196,MATCH('7 Year Projection-Expanded'!$A80,Projection!$B$9:$B$196,0),MATCH('7 Year Projection-Expanded'!P$8,Projection!$B$9:$BE$9,0)),0)</f>
        <v>33.329204999999995</v>
      </c>
      <c r="Q80" s="228">
        <f t="array" ref="Q80">IFERROR(INDEX(Projection!$B$9:$BE$196,MATCH('7 Year Projection-Expanded'!$A80,Projection!$B$9:$B$196,0),MATCH('7 Year Projection-Expanded'!Q$8,Projection!$B$9:$BE$9,0)),0)</f>
        <v>33.329204999999995</v>
      </c>
      <c r="R80" s="29">
        <f t="array" ref="R80">IFERROR(INDEX(Projection!$B$9:$BE$196,MATCH('7 Year Projection-Expanded'!$A80,Projection!$B$9:$B$196,0),MATCH('7 Year Projection-Expanded'!R$8,Projection!$B$9:$BE$9,0)),0)</f>
        <v>33.329204999999995</v>
      </c>
      <c r="S80" s="228">
        <f t="array" ref="S80">IFERROR(INDEX(Projection!$B$9:$BE$196,MATCH('7 Year Projection-Expanded'!$A80,Projection!$B$9:$B$196,0),MATCH('7 Year Projection-Expanded'!S$8,Projection!$B$9:$BE$9,0)),0)</f>
        <v>33.329204999999995</v>
      </c>
      <c r="T80" s="28">
        <f t="array" ref="T80">IFERROR(INDEX(Projection!$B$9:$BE$196,MATCH('7 Year Projection-Expanded'!$A80,Projection!$B$9:$B$196,0),MATCH('7 Year Projection-Expanded'!T$8,Projection!$B$9:$BE$9,0)),0)</f>
        <v>33.329204999999995</v>
      </c>
      <c r="V80" s="572">
        <f>SUMIF(Projection!$F:$F,'7 Year Projection-Expanded'!$A80,Projection!BW:BW)</f>
        <v>399.95045999999996</v>
      </c>
      <c r="W80" s="29">
        <f>SUMIF(Projection!$F:$F,'7 Year Projection-Expanded'!$A80,Projection!BX:BX)</f>
        <v>799.90091999999993</v>
      </c>
      <c r="X80" s="228">
        <f>SUMIF(Projection!$F:$F,'7 Year Projection-Expanded'!$A80,Projection!BY:BY)</f>
        <v>1333.1681999999998</v>
      </c>
      <c r="Y80" s="29">
        <f>SUMIF(Projection!$F:$F,'7 Year Projection-Expanded'!$A80,Projection!BZ:BZ)</f>
        <v>1366.4974049999998</v>
      </c>
      <c r="Z80" s="228">
        <f>SUMIF(Projection!$F:$F,'7 Year Projection-Expanded'!$A80,Projection!CA:CA)</f>
        <v>1400.6598401249996</v>
      </c>
      <c r="AA80" s="29">
        <f>SUMIF(Projection!$F:$F,'7 Year Projection-Expanded'!$A80,Projection!CB:CB)</f>
        <v>1435.6763361281244</v>
      </c>
      <c r="AB80" s="228">
        <f>SUMIF(Projection!$F:$F,'7 Year Projection-Expanded'!$A80,Projection!CC:CC)</f>
        <v>1471.5682445313273</v>
      </c>
      <c r="AC80" s="29">
        <f>SUMIF(Projection!$F:$F,'7 Year Projection-Expanded'!$A80,Projection!CD:CD)</f>
        <v>1508.3574506446103</v>
      </c>
      <c r="AD80" s="228">
        <f>SUMIF(Projection!$F:$F,'7 Year Projection-Expanded'!$A80,Projection!CE:CE)</f>
        <v>1546.0663869107254</v>
      </c>
      <c r="AE80" s="29">
        <f>SUMIF(Projection!$F:$F,'7 Year Projection-Expanded'!$A80,Projection!CF:CF)</f>
        <v>1584.7180465834933</v>
      </c>
      <c r="AF80" s="228">
        <f>SUMIF(Projection!$F:$F,'7 Year Projection-Expanded'!$A80,Projection!CG:CG)</f>
        <v>1624.3359977480804</v>
      </c>
      <c r="AG80" s="29">
        <f>SUMIF(Projection!$F:$F,'7 Year Projection-Expanded'!$A80,Projection!CH:CH)</f>
        <v>1664.9443976917823</v>
      </c>
      <c r="AH80" s="228">
        <f>SUMIF(Projection!$F:$F,'7 Year Projection-Expanded'!$A80,Projection!CI:CI)</f>
        <v>1706.5680076340768</v>
      </c>
      <c r="AI80" s="29">
        <f>SUMIF(Projection!$F:$F,'7 Year Projection-Expanded'!$A80,Projection!CJ:CJ)</f>
        <v>1749.2322078249285</v>
      </c>
      <c r="AJ80" s="573">
        <f>SUMIF(Projection!$F:$F,'7 Year Projection-Expanded'!$A80,Projection!CK:CK)</f>
        <v>1792.9630130205517</v>
      </c>
    </row>
    <row r="81" spans="1:36" ht="14.25" customHeight="1" x14ac:dyDescent="0.2">
      <c r="A81" s="11">
        <v>6193</v>
      </c>
      <c r="C81" s="9"/>
      <c r="E81" s="11" t="s">
        <v>124</v>
      </c>
      <c r="I81" s="228">
        <f t="array" ref="I81">IFERROR(INDEX(Projection!$B$9:$BE$196,MATCH('7 Year Projection-Expanded'!$A81,Projection!$B$9:$B$196,0),MATCH('7 Year Projection-Expanded'!I$8,Projection!$B$9:$BE$9,0)),0)</f>
        <v>155.53628999999998</v>
      </c>
      <c r="J81" s="29">
        <f t="array" ref="J81">IFERROR(INDEX(Projection!$B$9:$BE$196,MATCH('7 Year Projection-Expanded'!$A81,Projection!$B$9:$B$196,0),MATCH('7 Year Projection-Expanded'!J$8,Projection!$B$9:$BE$9,0)),0)</f>
        <v>155.53628999999998</v>
      </c>
      <c r="K81" s="228">
        <f t="array" ref="K81">IFERROR(INDEX(Projection!$B$9:$BE$196,MATCH('7 Year Projection-Expanded'!$A81,Projection!$B$9:$B$196,0),MATCH('7 Year Projection-Expanded'!K$8,Projection!$B$9:$BE$9,0)),0)</f>
        <v>155.53628999999998</v>
      </c>
      <c r="L81" s="29">
        <f t="array" ref="L81">IFERROR(INDEX(Projection!$B$9:$BE$196,MATCH('7 Year Projection-Expanded'!$A81,Projection!$B$9:$B$196,0),MATCH('7 Year Projection-Expanded'!L$8,Projection!$B$9:$BE$9,0)),0)</f>
        <v>155.53628999999998</v>
      </c>
      <c r="M81" s="228">
        <f t="array" ref="M81">IFERROR(INDEX(Projection!$B$9:$BE$196,MATCH('7 Year Projection-Expanded'!$A81,Projection!$B$9:$B$196,0),MATCH('7 Year Projection-Expanded'!M$8,Projection!$B$9:$BE$9,0)),0)</f>
        <v>155.53628999999998</v>
      </c>
      <c r="N81" s="29">
        <f t="array" ref="N81">IFERROR(INDEX(Projection!$B$9:$BE$196,MATCH('7 Year Projection-Expanded'!$A81,Projection!$B$9:$B$196,0),MATCH('7 Year Projection-Expanded'!N$8,Projection!$B$9:$BE$9,0)),0)</f>
        <v>155.53628999999998</v>
      </c>
      <c r="O81" s="228">
        <f t="array" ref="O81">IFERROR(INDEX(Projection!$B$9:$BE$196,MATCH('7 Year Projection-Expanded'!$A81,Projection!$B$9:$B$196,0),MATCH('7 Year Projection-Expanded'!O$8,Projection!$B$9:$BE$9,0)),0)</f>
        <v>155.53628999999998</v>
      </c>
      <c r="P81" s="29">
        <f t="array" ref="P81">IFERROR(INDEX(Projection!$B$9:$BE$196,MATCH('7 Year Projection-Expanded'!$A81,Projection!$B$9:$B$196,0),MATCH('7 Year Projection-Expanded'!P$8,Projection!$B$9:$BE$9,0)),0)</f>
        <v>155.53628999999998</v>
      </c>
      <c r="Q81" s="228">
        <f t="array" ref="Q81">IFERROR(INDEX(Projection!$B$9:$BE$196,MATCH('7 Year Projection-Expanded'!$A81,Projection!$B$9:$B$196,0),MATCH('7 Year Projection-Expanded'!Q$8,Projection!$B$9:$BE$9,0)),0)</f>
        <v>155.53628999999998</v>
      </c>
      <c r="R81" s="29">
        <f t="array" ref="R81">IFERROR(INDEX(Projection!$B$9:$BE$196,MATCH('7 Year Projection-Expanded'!$A81,Projection!$B$9:$B$196,0),MATCH('7 Year Projection-Expanded'!R$8,Projection!$B$9:$BE$9,0)),0)</f>
        <v>155.53628999999998</v>
      </c>
      <c r="S81" s="228">
        <f t="array" ref="S81">IFERROR(INDEX(Projection!$B$9:$BE$196,MATCH('7 Year Projection-Expanded'!$A81,Projection!$B$9:$B$196,0),MATCH('7 Year Projection-Expanded'!S$8,Projection!$B$9:$BE$9,0)),0)</f>
        <v>155.53628999999998</v>
      </c>
      <c r="T81" s="28">
        <f t="array" ref="T81">IFERROR(INDEX(Projection!$B$9:$BE$196,MATCH('7 Year Projection-Expanded'!$A81,Projection!$B$9:$B$196,0),MATCH('7 Year Projection-Expanded'!T$8,Projection!$B$9:$BE$9,0)),0)</f>
        <v>155.53628999999998</v>
      </c>
      <c r="V81" s="572">
        <f>SUMIF(Projection!$F:$F,'7 Year Projection-Expanded'!$A81,Projection!BW:BW)</f>
        <v>1866.4354799999999</v>
      </c>
      <c r="W81" s="29">
        <f>SUMIF(Projection!$F:$F,'7 Year Projection-Expanded'!$A81,Projection!BX:BX)</f>
        <v>3732.8709599999997</v>
      </c>
      <c r="X81" s="228">
        <f>SUMIF(Projection!$F:$F,'7 Year Projection-Expanded'!$A81,Projection!BY:BY)</f>
        <v>6221.4516000000012</v>
      </c>
      <c r="Y81" s="29">
        <f>SUMIF(Projection!$F:$F,'7 Year Projection-Expanded'!$A81,Projection!BZ:BZ)</f>
        <v>6376.9878899999976</v>
      </c>
      <c r="Z81" s="228">
        <f>SUMIF(Projection!$F:$F,'7 Year Projection-Expanded'!$A81,Projection!CA:CA)</f>
        <v>6536.4125872499981</v>
      </c>
      <c r="AA81" s="29">
        <f>SUMIF(Projection!$F:$F,'7 Year Projection-Expanded'!$A81,Projection!CB:CB)</f>
        <v>6699.8229019312475</v>
      </c>
      <c r="AB81" s="228">
        <f>SUMIF(Projection!$F:$F,'7 Year Projection-Expanded'!$A81,Projection!CC:CC)</f>
        <v>6867.318474479528</v>
      </c>
      <c r="AC81" s="29">
        <f>SUMIF(Projection!$F:$F,'7 Year Projection-Expanded'!$A81,Projection!CD:CD)</f>
        <v>7039.0014363415157</v>
      </c>
      <c r="AD81" s="228">
        <f>SUMIF(Projection!$F:$F,'7 Year Projection-Expanded'!$A81,Projection!CE:CE)</f>
        <v>7214.9764722500531</v>
      </c>
      <c r="AE81" s="29">
        <f>SUMIF(Projection!$F:$F,'7 Year Projection-Expanded'!$A81,Projection!CF:CF)</f>
        <v>7395.3508840563036</v>
      </c>
      <c r="AF81" s="228">
        <f>SUMIF(Projection!$F:$F,'7 Year Projection-Expanded'!$A81,Projection!CG:CG)</f>
        <v>7580.2346561577106</v>
      </c>
      <c r="AG81" s="29">
        <f>SUMIF(Projection!$F:$F,'7 Year Projection-Expanded'!$A81,Projection!CH:CH)</f>
        <v>7769.7405225616531</v>
      </c>
      <c r="AH81" s="228">
        <f>SUMIF(Projection!$F:$F,'7 Year Projection-Expanded'!$A81,Projection!CI:CI)</f>
        <v>7963.9840356256937</v>
      </c>
      <c r="AI81" s="29">
        <f>SUMIF(Projection!$F:$F,'7 Year Projection-Expanded'!$A81,Projection!CJ:CJ)</f>
        <v>8163.083636516335</v>
      </c>
      <c r="AJ81" s="573">
        <f>SUMIF(Projection!$F:$F,'7 Year Projection-Expanded'!$A81,Projection!CK:CK)</f>
        <v>8367.1607274292419</v>
      </c>
    </row>
    <row r="82" spans="1:36" ht="14.25" customHeight="1" x14ac:dyDescent="0.2">
      <c r="A82" s="11">
        <v>6194</v>
      </c>
      <c r="C82" s="9"/>
      <c r="E82" s="11" t="s">
        <v>128</v>
      </c>
      <c r="I82" s="228">
        <f t="array" ref="I82">IFERROR(INDEX(Projection!$B$9:$BE$196,MATCH('7 Year Projection-Expanded'!$A82,Projection!$B$9:$B$196,0),MATCH('7 Year Projection-Expanded'!I$8,Projection!$B$9:$BE$9,0)),0)</f>
        <v>30.551771249999994</v>
      </c>
      <c r="J82" s="29">
        <f t="array" ref="J82">IFERROR(INDEX(Projection!$B$9:$BE$196,MATCH('7 Year Projection-Expanded'!$A82,Projection!$B$9:$B$196,0),MATCH('7 Year Projection-Expanded'!J$8,Projection!$B$9:$BE$9,0)),0)</f>
        <v>30.551771249999994</v>
      </c>
      <c r="K82" s="228">
        <f t="array" ref="K82">IFERROR(INDEX(Projection!$B$9:$BE$196,MATCH('7 Year Projection-Expanded'!$A82,Projection!$B$9:$B$196,0),MATCH('7 Year Projection-Expanded'!K$8,Projection!$B$9:$BE$9,0)),0)</f>
        <v>30.551771249999994</v>
      </c>
      <c r="L82" s="29">
        <f t="array" ref="L82">IFERROR(INDEX(Projection!$B$9:$BE$196,MATCH('7 Year Projection-Expanded'!$A82,Projection!$B$9:$B$196,0),MATCH('7 Year Projection-Expanded'!L$8,Projection!$B$9:$BE$9,0)),0)</f>
        <v>30.551771249999994</v>
      </c>
      <c r="M82" s="228">
        <f t="array" ref="M82">IFERROR(INDEX(Projection!$B$9:$BE$196,MATCH('7 Year Projection-Expanded'!$A82,Projection!$B$9:$B$196,0),MATCH('7 Year Projection-Expanded'!M$8,Projection!$B$9:$BE$9,0)),0)</f>
        <v>30.551771249999994</v>
      </c>
      <c r="N82" s="29">
        <f t="array" ref="N82">IFERROR(INDEX(Projection!$B$9:$BE$196,MATCH('7 Year Projection-Expanded'!$A82,Projection!$B$9:$B$196,0),MATCH('7 Year Projection-Expanded'!N$8,Projection!$B$9:$BE$9,0)),0)</f>
        <v>30.551771249999994</v>
      </c>
      <c r="O82" s="228">
        <f t="array" ref="O82">IFERROR(INDEX(Projection!$B$9:$BE$196,MATCH('7 Year Projection-Expanded'!$A82,Projection!$B$9:$B$196,0),MATCH('7 Year Projection-Expanded'!O$8,Projection!$B$9:$BE$9,0)),0)</f>
        <v>30.551771249999994</v>
      </c>
      <c r="P82" s="29">
        <f t="array" ref="P82">IFERROR(INDEX(Projection!$B$9:$BE$196,MATCH('7 Year Projection-Expanded'!$A82,Projection!$B$9:$B$196,0),MATCH('7 Year Projection-Expanded'!P$8,Projection!$B$9:$BE$9,0)),0)</f>
        <v>30.551771249999994</v>
      </c>
      <c r="Q82" s="228">
        <f t="array" ref="Q82">IFERROR(INDEX(Projection!$B$9:$BE$196,MATCH('7 Year Projection-Expanded'!$A82,Projection!$B$9:$B$196,0),MATCH('7 Year Projection-Expanded'!Q$8,Projection!$B$9:$BE$9,0)),0)</f>
        <v>30.551771249999994</v>
      </c>
      <c r="R82" s="29">
        <f t="array" ref="R82">IFERROR(INDEX(Projection!$B$9:$BE$196,MATCH('7 Year Projection-Expanded'!$A82,Projection!$B$9:$B$196,0),MATCH('7 Year Projection-Expanded'!R$8,Projection!$B$9:$BE$9,0)),0)</f>
        <v>30.551771249999994</v>
      </c>
      <c r="S82" s="228">
        <f t="array" ref="S82">IFERROR(INDEX(Projection!$B$9:$BE$196,MATCH('7 Year Projection-Expanded'!$A82,Projection!$B$9:$B$196,0),MATCH('7 Year Projection-Expanded'!S$8,Projection!$B$9:$BE$9,0)),0)</f>
        <v>30.551771249999994</v>
      </c>
      <c r="T82" s="28">
        <f t="array" ref="T82">IFERROR(INDEX(Projection!$B$9:$BE$196,MATCH('7 Year Projection-Expanded'!$A82,Projection!$B$9:$B$196,0),MATCH('7 Year Projection-Expanded'!T$8,Projection!$B$9:$BE$9,0)),0)</f>
        <v>30.551771249999994</v>
      </c>
      <c r="V82" s="572">
        <f>SUMIF(Projection!$F:$F,'7 Year Projection-Expanded'!$A82,Projection!BW:BW)</f>
        <v>366.62125499999996</v>
      </c>
      <c r="W82" s="29">
        <f>SUMIF(Projection!$F:$F,'7 Year Projection-Expanded'!$A82,Projection!BX:BX)</f>
        <v>733.24250999999992</v>
      </c>
      <c r="X82" s="228">
        <f>SUMIF(Projection!$F:$F,'7 Year Projection-Expanded'!$A82,Projection!BY:BY)</f>
        <v>1222.0708499999998</v>
      </c>
      <c r="Y82" s="29">
        <f>SUMIF(Projection!$F:$F,'7 Year Projection-Expanded'!$A82,Projection!BZ:BZ)</f>
        <v>1252.6226212499996</v>
      </c>
      <c r="Z82" s="228">
        <f>SUMIF(Projection!$F:$F,'7 Year Projection-Expanded'!$A82,Projection!CA:CA)</f>
        <v>1283.9381867812499</v>
      </c>
      <c r="AA82" s="29">
        <f>SUMIF(Projection!$F:$F,'7 Year Projection-Expanded'!$A82,Projection!CB:CB)</f>
        <v>1316.036641450781</v>
      </c>
      <c r="AB82" s="228">
        <f>SUMIF(Projection!$F:$F,'7 Year Projection-Expanded'!$A82,Projection!CC:CC)</f>
        <v>1348.9375574870503</v>
      </c>
      <c r="AC82" s="29">
        <f>SUMIF(Projection!$F:$F,'7 Year Projection-Expanded'!$A82,Projection!CD:CD)</f>
        <v>1382.6609964242264</v>
      </c>
      <c r="AD82" s="228">
        <f>SUMIF(Projection!$F:$F,'7 Year Projection-Expanded'!$A82,Projection!CE:CE)</f>
        <v>1417.2275213348319</v>
      </c>
      <c r="AE82" s="29">
        <f>SUMIF(Projection!$F:$F,'7 Year Projection-Expanded'!$A82,Projection!CF:CF)</f>
        <v>1452.6582093682025</v>
      </c>
      <c r="AF82" s="228">
        <f>SUMIF(Projection!$F:$F,'7 Year Projection-Expanded'!$A82,Projection!CG:CG)</f>
        <v>1488.9746646024075</v>
      </c>
      <c r="AG82" s="29">
        <f>SUMIF(Projection!$F:$F,'7 Year Projection-Expanded'!$A82,Projection!CH:CH)</f>
        <v>1526.1990312174676</v>
      </c>
      <c r="AH82" s="228">
        <f>SUMIF(Projection!$F:$F,'7 Year Projection-Expanded'!$A82,Projection!CI:CI)</f>
        <v>1564.3540069979042</v>
      </c>
      <c r="AI82" s="29">
        <f>SUMIF(Projection!$F:$F,'7 Year Projection-Expanded'!$A82,Projection!CJ:CJ)</f>
        <v>1603.4628571728517</v>
      </c>
      <c r="AJ82" s="573">
        <f>SUMIF(Projection!$F:$F,'7 Year Projection-Expanded'!$A82,Projection!CK:CK)</f>
        <v>1643.5494286021728</v>
      </c>
    </row>
    <row r="83" spans="1:36" ht="14.25" customHeight="1" x14ac:dyDescent="0.2">
      <c r="A83" s="11">
        <v>6195</v>
      </c>
      <c r="C83" s="9"/>
      <c r="E83" s="11" t="s">
        <v>132</v>
      </c>
      <c r="I83" s="228">
        <f t="array" ref="I83">IFERROR(INDEX(Projection!$B$9:$BE$196,MATCH('7 Year Projection-Expanded'!$A83,Projection!$B$9:$B$196,0),MATCH('7 Year Projection-Expanded'!I$8,Projection!$B$9:$BE$9,0)),0)</f>
        <v>34.717921874999995</v>
      </c>
      <c r="J83" s="29">
        <f t="array" ref="J83">IFERROR(INDEX(Projection!$B$9:$BE$196,MATCH('7 Year Projection-Expanded'!$A83,Projection!$B$9:$B$196,0),MATCH('7 Year Projection-Expanded'!J$8,Projection!$B$9:$BE$9,0)),0)</f>
        <v>34.717921874999995</v>
      </c>
      <c r="K83" s="228">
        <f t="array" ref="K83">IFERROR(INDEX(Projection!$B$9:$BE$196,MATCH('7 Year Projection-Expanded'!$A83,Projection!$B$9:$B$196,0),MATCH('7 Year Projection-Expanded'!K$8,Projection!$B$9:$BE$9,0)),0)</f>
        <v>34.717921874999995</v>
      </c>
      <c r="L83" s="29">
        <f t="array" ref="L83">IFERROR(INDEX(Projection!$B$9:$BE$196,MATCH('7 Year Projection-Expanded'!$A83,Projection!$B$9:$B$196,0),MATCH('7 Year Projection-Expanded'!L$8,Projection!$B$9:$BE$9,0)),0)</f>
        <v>34.717921874999995</v>
      </c>
      <c r="M83" s="228">
        <f t="array" ref="M83">IFERROR(INDEX(Projection!$B$9:$BE$196,MATCH('7 Year Projection-Expanded'!$A83,Projection!$B$9:$B$196,0),MATCH('7 Year Projection-Expanded'!M$8,Projection!$B$9:$BE$9,0)),0)</f>
        <v>34.717921874999995</v>
      </c>
      <c r="N83" s="29">
        <f t="array" ref="N83">IFERROR(INDEX(Projection!$B$9:$BE$196,MATCH('7 Year Projection-Expanded'!$A83,Projection!$B$9:$B$196,0),MATCH('7 Year Projection-Expanded'!N$8,Projection!$B$9:$BE$9,0)),0)</f>
        <v>34.717921874999995</v>
      </c>
      <c r="O83" s="228">
        <f t="array" ref="O83">IFERROR(INDEX(Projection!$B$9:$BE$196,MATCH('7 Year Projection-Expanded'!$A83,Projection!$B$9:$B$196,0),MATCH('7 Year Projection-Expanded'!O$8,Projection!$B$9:$BE$9,0)),0)</f>
        <v>34.717921874999995</v>
      </c>
      <c r="P83" s="29">
        <f t="array" ref="P83">IFERROR(INDEX(Projection!$B$9:$BE$196,MATCH('7 Year Projection-Expanded'!$A83,Projection!$B$9:$B$196,0),MATCH('7 Year Projection-Expanded'!P$8,Projection!$B$9:$BE$9,0)),0)</f>
        <v>34.717921874999995</v>
      </c>
      <c r="Q83" s="228">
        <f t="array" ref="Q83">IFERROR(INDEX(Projection!$B$9:$BE$196,MATCH('7 Year Projection-Expanded'!$A83,Projection!$B$9:$B$196,0),MATCH('7 Year Projection-Expanded'!Q$8,Projection!$B$9:$BE$9,0)),0)</f>
        <v>34.717921874999995</v>
      </c>
      <c r="R83" s="29">
        <f t="array" ref="R83">IFERROR(INDEX(Projection!$B$9:$BE$196,MATCH('7 Year Projection-Expanded'!$A83,Projection!$B$9:$B$196,0),MATCH('7 Year Projection-Expanded'!R$8,Projection!$B$9:$BE$9,0)),0)</f>
        <v>34.717921874999995</v>
      </c>
      <c r="S83" s="228">
        <f t="array" ref="S83">IFERROR(INDEX(Projection!$B$9:$BE$196,MATCH('7 Year Projection-Expanded'!$A83,Projection!$B$9:$B$196,0),MATCH('7 Year Projection-Expanded'!S$8,Projection!$B$9:$BE$9,0)),0)</f>
        <v>34.717921874999995</v>
      </c>
      <c r="T83" s="28">
        <f t="array" ref="T83">IFERROR(INDEX(Projection!$B$9:$BE$196,MATCH('7 Year Projection-Expanded'!$A83,Projection!$B$9:$B$196,0),MATCH('7 Year Projection-Expanded'!T$8,Projection!$B$9:$BE$9,0)),0)</f>
        <v>34.717921874999995</v>
      </c>
      <c r="V83" s="572">
        <f>SUMIF(Projection!$F:$F,'7 Year Projection-Expanded'!$A83,Projection!BW:BW)</f>
        <v>416.61506249999996</v>
      </c>
      <c r="W83" s="29">
        <f>SUMIF(Projection!$F:$F,'7 Year Projection-Expanded'!$A83,Projection!BX:BX)</f>
        <v>833.23012499999993</v>
      </c>
      <c r="X83" s="228">
        <f>SUMIF(Projection!$F:$F,'7 Year Projection-Expanded'!$A83,Projection!BY:BY)</f>
        <v>1388.7168750000001</v>
      </c>
      <c r="Y83" s="29">
        <f>SUMIF(Projection!$F:$F,'7 Year Projection-Expanded'!$A83,Projection!BZ:BZ)</f>
        <v>1423.4347968749996</v>
      </c>
      <c r="Z83" s="228">
        <f>SUMIF(Projection!$F:$F,'7 Year Projection-Expanded'!$A83,Projection!CA:CA)</f>
        <v>1459.0206667968748</v>
      </c>
      <c r="AA83" s="29">
        <f>SUMIF(Projection!$F:$F,'7 Year Projection-Expanded'!$A83,Projection!CB:CB)</f>
        <v>1495.4961834667965</v>
      </c>
      <c r="AB83" s="228">
        <f>SUMIF(Projection!$F:$F,'7 Year Projection-Expanded'!$A83,Projection!CC:CC)</f>
        <v>1532.8835880534664</v>
      </c>
      <c r="AC83" s="29">
        <f>SUMIF(Projection!$F:$F,'7 Year Projection-Expanded'!$A83,Projection!CD:CD)</f>
        <v>1571.205677754803</v>
      </c>
      <c r="AD83" s="228">
        <f>SUMIF(Projection!$F:$F,'7 Year Projection-Expanded'!$A83,Projection!CE:CE)</f>
        <v>1610.4858196986729</v>
      </c>
      <c r="AE83" s="29">
        <f>SUMIF(Projection!$F:$F,'7 Year Projection-Expanded'!$A83,Projection!CF:CF)</f>
        <v>1650.7479651911397</v>
      </c>
      <c r="AF83" s="228">
        <f>SUMIF(Projection!$F:$F,'7 Year Projection-Expanded'!$A83,Projection!CG:CG)</f>
        <v>1692.0166643209179</v>
      </c>
      <c r="AG83" s="29">
        <f>SUMIF(Projection!$F:$F,'7 Year Projection-Expanded'!$A83,Projection!CH:CH)</f>
        <v>1734.3170809289406</v>
      </c>
      <c r="AH83" s="228">
        <f>SUMIF(Projection!$F:$F,'7 Year Projection-Expanded'!$A83,Projection!CI:CI)</f>
        <v>1777.6750079521639</v>
      </c>
      <c r="AI83" s="29">
        <f>SUMIF(Projection!$F:$F,'7 Year Projection-Expanded'!$A83,Projection!CJ:CJ)</f>
        <v>1822.1168831509679</v>
      </c>
      <c r="AJ83" s="573">
        <f>SUMIF(Projection!$F:$F,'7 Year Projection-Expanded'!$A83,Projection!CK:CK)</f>
        <v>1867.669805229742</v>
      </c>
    </row>
    <row r="84" spans="1:36" ht="14.25" customHeight="1" x14ac:dyDescent="0.2">
      <c r="A84" s="11">
        <v>6196</v>
      </c>
      <c r="C84" s="9"/>
      <c r="E84" s="11" t="s">
        <v>134</v>
      </c>
      <c r="I84" s="228">
        <f t="array" ref="I84">IFERROR(INDEX(Projection!$B$9:$BE$196,MATCH('7 Year Projection-Expanded'!$A84,Projection!$B$9:$B$196,0),MATCH('7 Year Projection-Expanded'!I$8,Projection!$B$9:$BE$9,0)),0)</f>
        <v>0</v>
      </c>
      <c r="J84" s="29">
        <f t="array" ref="J84">IFERROR(INDEX(Projection!$B$9:$BE$196,MATCH('7 Year Projection-Expanded'!$A84,Projection!$B$9:$B$196,0),MATCH('7 Year Projection-Expanded'!J$8,Projection!$B$9:$BE$9,0)),0)</f>
        <v>0</v>
      </c>
      <c r="K84" s="228">
        <f t="array" ref="K84">IFERROR(INDEX(Projection!$B$9:$BE$196,MATCH('7 Year Projection-Expanded'!$A84,Projection!$B$9:$B$196,0),MATCH('7 Year Projection-Expanded'!K$8,Projection!$B$9:$BE$9,0)),0)</f>
        <v>0</v>
      </c>
      <c r="L84" s="29">
        <f t="array" ref="L84">IFERROR(INDEX(Projection!$B$9:$BE$196,MATCH('7 Year Projection-Expanded'!$A84,Projection!$B$9:$B$196,0),MATCH('7 Year Projection-Expanded'!L$8,Projection!$B$9:$BE$9,0)),0)</f>
        <v>0</v>
      </c>
      <c r="M84" s="228">
        <f t="array" ref="M84">IFERROR(INDEX(Projection!$B$9:$BE$196,MATCH('7 Year Projection-Expanded'!$A84,Projection!$B$9:$B$196,0),MATCH('7 Year Projection-Expanded'!M$8,Projection!$B$9:$BE$9,0)),0)</f>
        <v>0</v>
      </c>
      <c r="N84" s="29">
        <f t="array" ref="N84">IFERROR(INDEX(Projection!$B$9:$BE$196,MATCH('7 Year Projection-Expanded'!$A84,Projection!$B$9:$B$196,0),MATCH('7 Year Projection-Expanded'!N$8,Projection!$B$9:$BE$9,0)),0)</f>
        <v>0</v>
      </c>
      <c r="O84" s="228">
        <f t="array" ref="O84">IFERROR(INDEX(Projection!$B$9:$BE$196,MATCH('7 Year Projection-Expanded'!$A84,Projection!$B$9:$B$196,0),MATCH('7 Year Projection-Expanded'!O$8,Projection!$B$9:$BE$9,0)),0)</f>
        <v>0</v>
      </c>
      <c r="P84" s="29">
        <f t="array" ref="P84">IFERROR(INDEX(Projection!$B$9:$BE$196,MATCH('7 Year Projection-Expanded'!$A84,Projection!$B$9:$B$196,0),MATCH('7 Year Projection-Expanded'!P$8,Projection!$B$9:$BE$9,0)),0)</f>
        <v>0</v>
      </c>
      <c r="Q84" s="228">
        <f t="array" ref="Q84">IFERROR(INDEX(Projection!$B$9:$BE$196,MATCH('7 Year Projection-Expanded'!$A84,Projection!$B$9:$B$196,0),MATCH('7 Year Projection-Expanded'!Q$8,Projection!$B$9:$BE$9,0)),0)</f>
        <v>0</v>
      </c>
      <c r="R84" s="29">
        <f t="array" ref="R84">IFERROR(INDEX(Projection!$B$9:$BE$196,MATCH('7 Year Projection-Expanded'!$A84,Projection!$B$9:$B$196,0),MATCH('7 Year Projection-Expanded'!R$8,Projection!$B$9:$BE$9,0)),0)</f>
        <v>0</v>
      </c>
      <c r="S84" s="228">
        <f t="array" ref="S84">IFERROR(INDEX(Projection!$B$9:$BE$196,MATCH('7 Year Projection-Expanded'!$A84,Projection!$B$9:$B$196,0),MATCH('7 Year Projection-Expanded'!S$8,Projection!$B$9:$BE$9,0)),0)</f>
        <v>0</v>
      </c>
      <c r="T84" s="28">
        <f t="array" ref="T84">IFERROR(INDEX(Projection!$B$9:$BE$196,MATCH('7 Year Projection-Expanded'!$A84,Projection!$B$9:$B$196,0),MATCH('7 Year Projection-Expanded'!T$8,Projection!$B$9:$BE$9,0)),0)</f>
        <v>0</v>
      </c>
      <c r="V84" s="572">
        <f>SUMIF(Projection!$F:$F,'7 Year Projection-Expanded'!$A84,Projection!BW:BW)</f>
        <v>0</v>
      </c>
      <c r="W84" s="29">
        <f>SUMIF(Projection!$F:$F,'7 Year Projection-Expanded'!$A84,Projection!BX:BX)</f>
        <v>0</v>
      </c>
      <c r="X84" s="228">
        <f>SUMIF(Projection!$F:$F,'7 Year Projection-Expanded'!$A84,Projection!BY:BY)</f>
        <v>0</v>
      </c>
      <c r="Y84" s="29">
        <f>SUMIF(Projection!$F:$F,'7 Year Projection-Expanded'!$A84,Projection!BZ:BZ)</f>
        <v>0</v>
      </c>
      <c r="Z84" s="228">
        <f>SUMIF(Projection!$F:$F,'7 Year Projection-Expanded'!$A84,Projection!CA:CA)</f>
        <v>0</v>
      </c>
      <c r="AA84" s="29">
        <f>SUMIF(Projection!$F:$F,'7 Year Projection-Expanded'!$A84,Projection!CB:CB)</f>
        <v>0</v>
      </c>
      <c r="AB84" s="228">
        <f>SUMIF(Projection!$F:$F,'7 Year Projection-Expanded'!$A84,Projection!CC:CC)</f>
        <v>0</v>
      </c>
      <c r="AC84" s="29">
        <f>SUMIF(Projection!$F:$F,'7 Year Projection-Expanded'!$A84,Projection!CD:CD)</f>
        <v>0</v>
      </c>
      <c r="AD84" s="228">
        <f>SUMIF(Projection!$F:$F,'7 Year Projection-Expanded'!$A84,Projection!CE:CE)</f>
        <v>0</v>
      </c>
      <c r="AE84" s="29">
        <f>SUMIF(Projection!$F:$F,'7 Year Projection-Expanded'!$A84,Projection!CF:CF)</f>
        <v>0</v>
      </c>
      <c r="AF84" s="228">
        <f>SUMIF(Projection!$F:$F,'7 Year Projection-Expanded'!$A84,Projection!CG:CG)</f>
        <v>0</v>
      </c>
      <c r="AG84" s="29">
        <f>SUMIF(Projection!$F:$F,'7 Year Projection-Expanded'!$A84,Projection!CH:CH)</f>
        <v>0</v>
      </c>
      <c r="AH84" s="228">
        <f>SUMIF(Projection!$F:$F,'7 Year Projection-Expanded'!$A84,Projection!CI:CI)</f>
        <v>0</v>
      </c>
      <c r="AI84" s="29">
        <f>SUMIF(Projection!$F:$F,'7 Year Projection-Expanded'!$A84,Projection!CJ:CJ)</f>
        <v>0</v>
      </c>
      <c r="AJ84" s="573">
        <f>SUMIF(Projection!$F:$F,'7 Year Projection-Expanded'!$A84,Projection!CK:CK)</f>
        <v>0</v>
      </c>
    </row>
    <row r="85" spans="1:36" ht="14.25" customHeight="1" x14ac:dyDescent="0.2">
      <c r="A85" s="11">
        <v>6197</v>
      </c>
      <c r="C85" s="9"/>
      <c r="E85" s="11" t="s">
        <v>137</v>
      </c>
      <c r="I85" s="228">
        <f t="array" ref="I85">IFERROR(INDEX(Projection!$B$9:$BE$196,MATCH('7 Year Projection-Expanded'!$A85,Projection!$B$9:$B$196,0),MATCH('7 Year Projection-Expanded'!I$8,Projection!$B$9:$BE$9,0)),0)</f>
        <v>5.5548674999999994</v>
      </c>
      <c r="J85" s="29">
        <f t="array" ref="J85">IFERROR(INDEX(Projection!$B$9:$BE$196,MATCH('7 Year Projection-Expanded'!$A85,Projection!$B$9:$B$196,0),MATCH('7 Year Projection-Expanded'!J$8,Projection!$B$9:$BE$9,0)),0)</f>
        <v>5.5548674999999994</v>
      </c>
      <c r="K85" s="228">
        <f t="array" ref="K85">IFERROR(INDEX(Projection!$B$9:$BE$196,MATCH('7 Year Projection-Expanded'!$A85,Projection!$B$9:$B$196,0),MATCH('7 Year Projection-Expanded'!K$8,Projection!$B$9:$BE$9,0)),0)</f>
        <v>5.5548674999999994</v>
      </c>
      <c r="L85" s="29">
        <f t="array" ref="L85">IFERROR(INDEX(Projection!$B$9:$BE$196,MATCH('7 Year Projection-Expanded'!$A85,Projection!$B$9:$B$196,0),MATCH('7 Year Projection-Expanded'!L$8,Projection!$B$9:$BE$9,0)),0)</f>
        <v>5.5548674999999994</v>
      </c>
      <c r="M85" s="228">
        <f t="array" ref="M85">IFERROR(INDEX(Projection!$B$9:$BE$196,MATCH('7 Year Projection-Expanded'!$A85,Projection!$B$9:$B$196,0),MATCH('7 Year Projection-Expanded'!M$8,Projection!$B$9:$BE$9,0)),0)</f>
        <v>5.5548674999999994</v>
      </c>
      <c r="N85" s="29">
        <f t="array" ref="N85">IFERROR(INDEX(Projection!$B$9:$BE$196,MATCH('7 Year Projection-Expanded'!$A85,Projection!$B$9:$B$196,0),MATCH('7 Year Projection-Expanded'!N$8,Projection!$B$9:$BE$9,0)),0)</f>
        <v>5.5548674999999994</v>
      </c>
      <c r="O85" s="228">
        <f t="array" ref="O85">IFERROR(INDEX(Projection!$B$9:$BE$196,MATCH('7 Year Projection-Expanded'!$A85,Projection!$B$9:$B$196,0),MATCH('7 Year Projection-Expanded'!O$8,Projection!$B$9:$BE$9,0)),0)</f>
        <v>5.5548674999999994</v>
      </c>
      <c r="P85" s="29">
        <f t="array" ref="P85">IFERROR(INDEX(Projection!$B$9:$BE$196,MATCH('7 Year Projection-Expanded'!$A85,Projection!$B$9:$B$196,0),MATCH('7 Year Projection-Expanded'!P$8,Projection!$B$9:$BE$9,0)),0)</f>
        <v>5.5548674999999994</v>
      </c>
      <c r="Q85" s="228">
        <f t="array" ref="Q85">IFERROR(INDEX(Projection!$B$9:$BE$196,MATCH('7 Year Projection-Expanded'!$A85,Projection!$B$9:$B$196,0),MATCH('7 Year Projection-Expanded'!Q$8,Projection!$B$9:$BE$9,0)),0)</f>
        <v>5.5548674999999994</v>
      </c>
      <c r="R85" s="29">
        <f t="array" ref="R85">IFERROR(INDEX(Projection!$B$9:$BE$196,MATCH('7 Year Projection-Expanded'!$A85,Projection!$B$9:$B$196,0),MATCH('7 Year Projection-Expanded'!R$8,Projection!$B$9:$BE$9,0)),0)</f>
        <v>5.5548674999999994</v>
      </c>
      <c r="S85" s="228">
        <f t="array" ref="S85">IFERROR(INDEX(Projection!$B$9:$BE$196,MATCH('7 Year Projection-Expanded'!$A85,Projection!$B$9:$B$196,0),MATCH('7 Year Projection-Expanded'!S$8,Projection!$B$9:$BE$9,0)),0)</f>
        <v>5.5548674999999994</v>
      </c>
      <c r="T85" s="28">
        <f t="array" ref="T85">IFERROR(INDEX(Projection!$B$9:$BE$196,MATCH('7 Year Projection-Expanded'!$A85,Projection!$B$9:$B$196,0),MATCH('7 Year Projection-Expanded'!T$8,Projection!$B$9:$BE$9,0)),0)</f>
        <v>5.5548674999999994</v>
      </c>
      <c r="V85" s="572">
        <f>SUMIF(Projection!$F:$F,'7 Year Projection-Expanded'!$A85,Projection!BW:BW)</f>
        <v>66.658409999999989</v>
      </c>
      <c r="W85" s="29">
        <f>SUMIF(Projection!$F:$F,'7 Year Projection-Expanded'!$A85,Projection!BX:BX)</f>
        <v>133.31681999999998</v>
      </c>
      <c r="X85" s="228">
        <f>SUMIF(Projection!$F:$F,'7 Year Projection-Expanded'!$A85,Projection!BY:BY)</f>
        <v>222.19469999999993</v>
      </c>
      <c r="Y85" s="29">
        <f>SUMIF(Projection!$F:$F,'7 Year Projection-Expanded'!$A85,Projection!BZ:BZ)</f>
        <v>227.7495674999999</v>
      </c>
      <c r="Z85" s="228">
        <f>SUMIF(Projection!$F:$F,'7 Year Projection-Expanded'!$A85,Projection!CA:CA)</f>
        <v>233.44330668749993</v>
      </c>
      <c r="AA85" s="29">
        <f>SUMIF(Projection!$F:$F,'7 Year Projection-Expanded'!$A85,Projection!CB:CB)</f>
        <v>239.2793893546874</v>
      </c>
      <c r="AB85" s="228">
        <f>SUMIF(Projection!$F:$F,'7 Year Projection-Expanded'!$A85,Projection!CC:CC)</f>
        <v>245.26137408855456</v>
      </c>
      <c r="AC85" s="29">
        <f>SUMIF(Projection!$F:$F,'7 Year Projection-Expanded'!$A85,Projection!CD:CD)</f>
        <v>251.39290844076839</v>
      </c>
      <c r="AD85" s="228">
        <f>SUMIF(Projection!$F:$F,'7 Year Projection-Expanded'!$A85,Projection!CE:CE)</f>
        <v>257.67773115178755</v>
      </c>
      <c r="AE85" s="29">
        <f>SUMIF(Projection!$F:$F,'7 Year Projection-Expanded'!$A85,Projection!CF:CF)</f>
        <v>264.11967443058222</v>
      </c>
      <c r="AF85" s="228">
        <f>SUMIF(Projection!$F:$F,'7 Year Projection-Expanded'!$A85,Projection!CG:CG)</f>
        <v>270.72266629134674</v>
      </c>
      <c r="AG85" s="29">
        <f>SUMIF(Projection!$F:$F,'7 Year Projection-Expanded'!$A85,Projection!CH:CH)</f>
        <v>277.49073294863041</v>
      </c>
      <c r="AH85" s="228">
        <f>SUMIF(Projection!$F:$F,'7 Year Projection-Expanded'!$A85,Projection!CI:CI)</f>
        <v>284.42800127234614</v>
      </c>
      <c r="AI85" s="29">
        <f>SUMIF(Projection!$F:$F,'7 Year Projection-Expanded'!$A85,Projection!CJ:CJ)</f>
        <v>291.53870130415476</v>
      </c>
      <c r="AJ85" s="573">
        <f>SUMIF(Projection!$F:$F,'7 Year Projection-Expanded'!$A85,Projection!CK:CK)</f>
        <v>298.82716883675857</v>
      </c>
    </row>
    <row r="86" spans="1:36" ht="14.25" customHeight="1" x14ac:dyDescent="0.2">
      <c r="A86" s="11">
        <v>6198</v>
      </c>
      <c r="C86" s="9"/>
      <c r="E86" s="11" t="s">
        <v>142</v>
      </c>
      <c r="I86" s="228">
        <f t="array" ref="I86">IFERROR(INDEX(Projection!$B$9:$BE$196,MATCH('7 Year Projection-Expanded'!$A86,Projection!$B$9:$B$196,0),MATCH('7 Year Projection-Expanded'!I$8,Projection!$B$9:$BE$9,0)),0)</f>
        <v>13.887168749999997</v>
      </c>
      <c r="J86" s="29">
        <f t="array" ref="J86">IFERROR(INDEX(Projection!$B$9:$BE$196,MATCH('7 Year Projection-Expanded'!$A86,Projection!$B$9:$B$196,0),MATCH('7 Year Projection-Expanded'!J$8,Projection!$B$9:$BE$9,0)),0)</f>
        <v>13.887168749999997</v>
      </c>
      <c r="K86" s="228">
        <f t="array" ref="K86">IFERROR(INDEX(Projection!$B$9:$BE$196,MATCH('7 Year Projection-Expanded'!$A86,Projection!$B$9:$B$196,0),MATCH('7 Year Projection-Expanded'!K$8,Projection!$B$9:$BE$9,0)),0)</f>
        <v>13.887168749999997</v>
      </c>
      <c r="L86" s="29">
        <f t="array" ref="L86">IFERROR(INDEX(Projection!$B$9:$BE$196,MATCH('7 Year Projection-Expanded'!$A86,Projection!$B$9:$B$196,0),MATCH('7 Year Projection-Expanded'!L$8,Projection!$B$9:$BE$9,0)),0)</f>
        <v>13.887168749999997</v>
      </c>
      <c r="M86" s="228">
        <f t="array" ref="M86">IFERROR(INDEX(Projection!$B$9:$BE$196,MATCH('7 Year Projection-Expanded'!$A86,Projection!$B$9:$B$196,0),MATCH('7 Year Projection-Expanded'!M$8,Projection!$B$9:$BE$9,0)),0)</f>
        <v>13.887168749999997</v>
      </c>
      <c r="N86" s="29">
        <f t="array" ref="N86">IFERROR(INDEX(Projection!$B$9:$BE$196,MATCH('7 Year Projection-Expanded'!$A86,Projection!$B$9:$B$196,0),MATCH('7 Year Projection-Expanded'!N$8,Projection!$B$9:$BE$9,0)),0)</f>
        <v>13.887168749999997</v>
      </c>
      <c r="O86" s="228">
        <f t="array" ref="O86">IFERROR(INDEX(Projection!$B$9:$BE$196,MATCH('7 Year Projection-Expanded'!$A86,Projection!$B$9:$B$196,0),MATCH('7 Year Projection-Expanded'!O$8,Projection!$B$9:$BE$9,0)),0)</f>
        <v>13.887168749999997</v>
      </c>
      <c r="P86" s="29">
        <f t="array" ref="P86">IFERROR(INDEX(Projection!$B$9:$BE$196,MATCH('7 Year Projection-Expanded'!$A86,Projection!$B$9:$B$196,0),MATCH('7 Year Projection-Expanded'!P$8,Projection!$B$9:$BE$9,0)),0)</f>
        <v>13.887168749999997</v>
      </c>
      <c r="Q86" s="228">
        <f t="array" ref="Q86">IFERROR(INDEX(Projection!$B$9:$BE$196,MATCH('7 Year Projection-Expanded'!$A86,Projection!$B$9:$B$196,0),MATCH('7 Year Projection-Expanded'!Q$8,Projection!$B$9:$BE$9,0)),0)</f>
        <v>13.887168749999997</v>
      </c>
      <c r="R86" s="29">
        <f t="array" ref="R86">IFERROR(INDEX(Projection!$B$9:$BE$196,MATCH('7 Year Projection-Expanded'!$A86,Projection!$B$9:$B$196,0),MATCH('7 Year Projection-Expanded'!R$8,Projection!$B$9:$BE$9,0)),0)</f>
        <v>13.887168749999997</v>
      </c>
      <c r="S86" s="228">
        <f t="array" ref="S86">IFERROR(INDEX(Projection!$B$9:$BE$196,MATCH('7 Year Projection-Expanded'!$A86,Projection!$B$9:$B$196,0),MATCH('7 Year Projection-Expanded'!S$8,Projection!$B$9:$BE$9,0)),0)</f>
        <v>13.887168749999997</v>
      </c>
      <c r="T86" s="28">
        <f t="array" ref="T86">IFERROR(INDEX(Projection!$B$9:$BE$196,MATCH('7 Year Projection-Expanded'!$A86,Projection!$B$9:$B$196,0),MATCH('7 Year Projection-Expanded'!T$8,Projection!$B$9:$BE$9,0)),0)</f>
        <v>13.887168749999997</v>
      </c>
      <c r="V86" s="572">
        <f>SUMIF(Projection!$F:$F,'7 Year Projection-Expanded'!$A86,Projection!BW:BW)</f>
        <v>166.64602499999998</v>
      </c>
      <c r="W86" s="29">
        <f>SUMIF(Projection!$F:$F,'7 Year Projection-Expanded'!$A86,Projection!BX:BX)</f>
        <v>333.29204999999996</v>
      </c>
      <c r="X86" s="228">
        <f>SUMIF(Projection!$F:$F,'7 Year Projection-Expanded'!$A86,Projection!BY:BY)</f>
        <v>555.4867499999998</v>
      </c>
      <c r="Y86" s="29">
        <f>SUMIF(Projection!$F:$F,'7 Year Projection-Expanded'!$A86,Projection!BZ:BZ)</f>
        <v>569.37391874999992</v>
      </c>
      <c r="Z86" s="228">
        <f>SUMIF(Projection!$F:$F,'7 Year Projection-Expanded'!$A86,Projection!CA:CA)</f>
        <v>583.60826671874986</v>
      </c>
      <c r="AA86" s="29">
        <f>SUMIF(Projection!$F:$F,'7 Year Projection-Expanded'!$A86,Projection!CB:CB)</f>
        <v>598.19847338671855</v>
      </c>
      <c r="AB86" s="228">
        <f>SUMIF(Projection!$F:$F,'7 Year Projection-Expanded'!$A86,Projection!CC:CC)</f>
        <v>613.15343522138642</v>
      </c>
      <c r="AC86" s="29">
        <f>SUMIF(Projection!$F:$F,'7 Year Projection-Expanded'!$A86,Projection!CD:CD)</f>
        <v>628.48227110192101</v>
      </c>
      <c r="AD86" s="228">
        <f>SUMIF(Projection!$F:$F,'7 Year Projection-Expanded'!$A86,Projection!CE:CE)</f>
        <v>644.19432787946903</v>
      </c>
      <c r="AE86" s="29">
        <f>SUMIF(Projection!$F:$F,'7 Year Projection-Expanded'!$A86,Projection!CF:CF)</f>
        <v>660.29918607645573</v>
      </c>
      <c r="AF86" s="228">
        <f>SUMIF(Projection!$F:$F,'7 Year Projection-Expanded'!$A86,Projection!CG:CG)</f>
        <v>676.80666572836708</v>
      </c>
      <c r="AG86" s="29">
        <f>SUMIF(Projection!$F:$F,'7 Year Projection-Expanded'!$A86,Projection!CH:CH)</f>
        <v>693.72683237157617</v>
      </c>
      <c r="AH86" s="228">
        <f>SUMIF(Projection!$F:$F,'7 Year Projection-Expanded'!$A86,Projection!CI:CI)</f>
        <v>711.07000318086546</v>
      </c>
      <c r="AI86" s="29">
        <f>SUMIF(Projection!$F:$F,'7 Year Projection-Expanded'!$A86,Projection!CJ:CJ)</f>
        <v>728.846753260387</v>
      </c>
      <c r="AJ86" s="573">
        <f>SUMIF(Projection!$F:$F,'7 Year Projection-Expanded'!$A86,Projection!CK:CK)</f>
        <v>747.06792209189666</v>
      </c>
    </row>
    <row r="87" spans="1:36" ht="14.25" customHeight="1" x14ac:dyDescent="0.2">
      <c r="A87" s="11">
        <v>6199</v>
      </c>
      <c r="C87" s="9"/>
      <c r="E87" s="11" t="s">
        <v>145</v>
      </c>
      <c r="I87" s="228">
        <f t="array" ref="I87">IFERROR(INDEX(Projection!$B$9:$BE$196,MATCH('7 Year Projection-Expanded'!$A87,Projection!$B$9:$B$196,0),MATCH('7 Year Projection-Expanded'!I$8,Projection!$B$9:$BE$9,0)),0)</f>
        <v>116.65221749999998</v>
      </c>
      <c r="J87" s="29">
        <f t="array" ref="J87">IFERROR(INDEX(Projection!$B$9:$BE$196,MATCH('7 Year Projection-Expanded'!$A87,Projection!$B$9:$B$196,0),MATCH('7 Year Projection-Expanded'!J$8,Projection!$B$9:$BE$9,0)),0)</f>
        <v>116.65221749999998</v>
      </c>
      <c r="K87" s="228">
        <f t="array" ref="K87">IFERROR(INDEX(Projection!$B$9:$BE$196,MATCH('7 Year Projection-Expanded'!$A87,Projection!$B$9:$B$196,0),MATCH('7 Year Projection-Expanded'!K$8,Projection!$B$9:$BE$9,0)),0)</f>
        <v>116.65221749999998</v>
      </c>
      <c r="L87" s="29">
        <f t="array" ref="L87">IFERROR(INDEX(Projection!$B$9:$BE$196,MATCH('7 Year Projection-Expanded'!$A87,Projection!$B$9:$B$196,0),MATCH('7 Year Projection-Expanded'!L$8,Projection!$B$9:$BE$9,0)),0)</f>
        <v>116.65221749999998</v>
      </c>
      <c r="M87" s="228">
        <f t="array" ref="M87">IFERROR(INDEX(Projection!$B$9:$BE$196,MATCH('7 Year Projection-Expanded'!$A87,Projection!$B$9:$B$196,0),MATCH('7 Year Projection-Expanded'!M$8,Projection!$B$9:$BE$9,0)),0)</f>
        <v>116.65221749999998</v>
      </c>
      <c r="N87" s="29">
        <f t="array" ref="N87">IFERROR(INDEX(Projection!$B$9:$BE$196,MATCH('7 Year Projection-Expanded'!$A87,Projection!$B$9:$B$196,0),MATCH('7 Year Projection-Expanded'!N$8,Projection!$B$9:$BE$9,0)),0)</f>
        <v>116.65221749999998</v>
      </c>
      <c r="O87" s="228">
        <f t="array" ref="O87">IFERROR(INDEX(Projection!$B$9:$BE$196,MATCH('7 Year Projection-Expanded'!$A87,Projection!$B$9:$B$196,0),MATCH('7 Year Projection-Expanded'!O$8,Projection!$B$9:$BE$9,0)),0)</f>
        <v>116.65221749999998</v>
      </c>
      <c r="P87" s="29">
        <f t="array" ref="P87">IFERROR(INDEX(Projection!$B$9:$BE$196,MATCH('7 Year Projection-Expanded'!$A87,Projection!$B$9:$B$196,0),MATCH('7 Year Projection-Expanded'!P$8,Projection!$B$9:$BE$9,0)),0)</f>
        <v>116.65221749999998</v>
      </c>
      <c r="Q87" s="228">
        <f t="array" ref="Q87">IFERROR(INDEX(Projection!$B$9:$BE$196,MATCH('7 Year Projection-Expanded'!$A87,Projection!$B$9:$B$196,0),MATCH('7 Year Projection-Expanded'!Q$8,Projection!$B$9:$BE$9,0)),0)</f>
        <v>116.65221749999998</v>
      </c>
      <c r="R87" s="29">
        <f t="array" ref="R87">IFERROR(INDEX(Projection!$B$9:$BE$196,MATCH('7 Year Projection-Expanded'!$A87,Projection!$B$9:$B$196,0),MATCH('7 Year Projection-Expanded'!R$8,Projection!$B$9:$BE$9,0)),0)</f>
        <v>116.65221749999998</v>
      </c>
      <c r="S87" s="228">
        <f t="array" ref="S87">IFERROR(INDEX(Projection!$B$9:$BE$196,MATCH('7 Year Projection-Expanded'!$A87,Projection!$B$9:$B$196,0),MATCH('7 Year Projection-Expanded'!S$8,Projection!$B$9:$BE$9,0)),0)</f>
        <v>116.65221749999998</v>
      </c>
      <c r="T87" s="28">
        <f t="array" ref="T87">IFERROR(INDEX(Projection!$B$9:$BE$196,MATCH('7 Year Projection-Expanded'!$A87,Projection!$B$9:$B$196,0),MATCH('7 Year Projection-Expanded'!T$8,Projection!$B$9:$BE$9,0)),0)</f>
        <v>116.65221749999998</v>
      </c>
      <c r="V87" s="572">
        <f>SUMIF(Projection!$F:$F,'7 Year Projection-Expanded'!$A87,Projection!BW:BW)</f>
        <v>1399.8266099999998</v>
      </c>
      <c r="W87" s="29">
        <f>SUMIF(Projection!$F:$F,'7 Year Projection-Expanded'!$A87,Projection!BX:BX)</f>
        <v>2799.6532199999997</v>
      </c>
      <c r="X87" s="228">
        <f>SUMIF(Projection!$F:$F,'7 Year Projection-Expanded'!$A87,Projection!BY:BY)</f>
        <v>4666.0886999999993</v>
      </c>
      <c r="Y87" s="29">
        <f>SUMIF(Projection!$F:$F,'7 Year Projection-Expanded'!$A87,Projection!BZ:BZ)</f>
        <v>4782.7409174999984</v>
      </c>
      <c r="Z87" s="228">
        <f>SUMIF(Projection!$F:$F,'7 Year Projection-Expanded'!$A87,Projection!CA:CA)</f>
        <v>4902.3094404374997</v>
      </c>
      <c r="AA87" s="29">
        <f>SUMIF(Projection!$F:$F,'7 Year Projection-Expanded'!$A87,Projection!CB:CB)</f>
        <v>5024.867176448437</v>
      </c>
      <c r="AB87" s="228">
        <f>SUMIF(Projection!$F:$F,'7 Year Projection-Expanded'!$A87,Projection!CC:CC)</f>
        <v>5150.4888558596476</v>
      </c>
      <c r="AC87" s="29">
        <f>SUMIF(Projection!$F:$F,'7 Year Projection-Expanded'!$A87,Projection!CD:CD)</f>
        <v>5279.2510772561382</v>
      </c>
      <c r="AD87" s="228">
        <f>SUMIF(Projection!$F:$F,'7 Year Projection-Expanded'!$A87,Projection!CE:CE)</f>
        <v>5411.2323541875412</v>
      </c>
      <c r="AE87" s="29">
        <f>SUMIF(Projection!$F:$F,'7 Year Projection-Expanded'!$A87,Projection!CF:CF)</f>
        <v>5546.5131630422293</v>
      </c>
      <c r="AF87" s="228">
        <f>SUMIF(Projection!$F:$F,'7 Year Projection-Expanded'!$A87,Projection!CG:CG)</f>
        <v>5685.1759921182847</v>
      </c>
      <c r="AG87" s="29">
        <f>SUMIF(Projection!$F:$F,'7 Year Projection-Expanded'!$A87,Projection!CH:CH)</f>
        <v>5827.3053919212416</v>
      </c>
      <c r="AH87" s="228">
        <f>SUMIF(Projection!$F:$F,'7 Year Projection-Expanded'!$A87,Projection!CI:CI)</f>
        <v>5972.9880267192721</v>
      </c>
      <c r="AI87" s="29">
        <f>SUMIF(Projection!$F:$F,'7 Year Projection-Expanded'!$A87,Projection!CJ:CJ)</f>
        <v>6122.3127273872533</v>
      </c>
      <c r="AJ87" s="573">
        <f>SUMIF(Projection!$F:$F,'7 Year Projection-Expanded'!$A87,Projection!CK:CK)</f>
        <v>6275.3705455719337</v>
      </c>
    </row>
    <row r="88" spans="1:36" ht="14.25" customHeight="1" x14ac:dyDescent="0.2">
      <c r="A88" s="11">
        <v>6201</v>
      </c>
      <c r="C88" s="9"/>
      <c r="E88" s="11" t="s">
        <v>149</v>
      </c>
      <c r="I88" s="228">
        <f t="array" ref="I88">IFERROR(INDEX(Projection!$B$9:$BE$196,MATCH('7 Year Projection-Expanded'!$A88,Projection!$B$9:$B$196,0),MATCH('7 Year Projection-Expanded'!I$8,Projection!$B$9:$BE$9,0)),0)</f>
        <v>61.103542499999989</v>
      </c>
      <c r="J88" s="29">
        <f t="array" ref="J88">IFERROR(INDEX(Projection!$B$9:$BE$196,MATCH('7 Year Projection-Expanded'!$A88,Projection!$B$9:$B$196,0),MATCH('7 Year Projection-Expanded'!J$8,Projection!$B$9:$BE$9,0)),0)</f>
        <v>61.103542499999989</v>
      </c>
      <c r="K88" s="228">
        <f t="array" ref="K88">IFERROR(INDEX(Projection!$B$9:$BE$196,MATCH('7 Year Projection-Expanded'!$A88,Projection!$B$9:$B$196,0),MATCH('7 Year Projection-Expanded'!K$8,Projection!$B$9:$BE$9,0)),0)</f>
        <v>61.103542499999989</v>
      </c>
      <c r="L88" s="29">
        <f t="array" ref="L88">IFERROR(INDEX(Projection!$B$9:$BE$196,MATCH('7 Year Projection-Expanded'!$A88,Projection!$B$9:$B$196,0),MATCH('7 Year Projection-Expanded'!L$8,Projection!$B$9:$BE$9,0)),0)</f>
        <v>61.103542499999989</v>
      </c>
      <c r="M88" s="228">
        <f t="array" ref="M88">IFERROR(INDEX(Projection!$B$9:$BE$196,MATCH('7 Year Projection-Expanded'!$A88,Projection!$B$9:$B$196,0),MATCH('7 Year Projection-Expanded'!M$8,Projection!$B$9:$BE$9,0)),0)</f>
        <v>61.103542499999989</v>
      </c>
      <c r="N88" s="29">
        <f t="array" ref="N88">IFERROR(INDEX(Projection!$B$9:$BE$196,MATCH('7 Year Projection-Expanded'!$A88,Projection!$B$9:$B$196,0),MATCH('7 Year Projection-Expanded'!N$8,Projection!$B$9:$BE$9,0)),0)</f>
        <v>61.103542499999989</v>
      </c>
      <c r="O88" s="228">
        <f t="array" ref="O88">IFERROR(INDEX(Projection!$B$9:$BE$196,MATCH('7 Year Projection-Expanded'!$A88,Projection!$B$9:$B$196,0),MATCH('7 Year Projection-Expanded'!O$8,Projection!$B$9:$BE$9,0)),0)</f>
        <v>61.103542499999989</v>
      </c>
      <c r="P88" s="29">
        <f t="array" ref="P88">IFERROR(INDEX(Projection!$B$9:$BE$196,MATCH('7 Year Projection-Expanded'!$A88,Projection!$B$9:$B$196,0),MATCH('7 Year Projection-Expanded'!P$8,Projection!$B$9:$BE$9,0)),0)</f>
        <v>61.103542499999989</v>
      </c>
      <c r="Q88" s="228">
        <f t="array" ref="Q88">IFERROR(INDEX(Projection!$B$9:$BE$196,MATCH('7 Year Projection-Expanded'!$A88,Projection!$B$9:$B$196,0),MATCH('7 Year Projection-Expanded'!Q$8,Projection!$B$9:$BE$9,0)),0)</f>
        <v>61.103542499999989</v>
      </c>
      <c r="R88" s="29">
        <f t="array" ref="R88">IFERROR(INDEX(Projection!$B$9:$BE$196,MATCH('7 Year Projection-Expanded'!$A88,Projection!$B$9:$B$196,0),MATCH('7 Year Projection-Expanded'!R$8,Projection!$B$9:$BE$9,0)),0)</f>
        <v>61.103542499999989</v>
      </c>
      <c r="S88" s="228">
        <f t="array" ref="S88">IFERROR(INDEX(Projection!$B$9:$BE$196,MATCH('7 Year Projection-Expanded'!$A88,Projection!$B$9:$B$196,0),MATCH('7 Year Projection-Expanded'!S$8,Projection!$B$9:$BE$9,0)),0)</f>
        <v>61.103542499999989</v>
      </c>
      <c r="T88" s="28">
        <f t="array" ref="T88">IFERROR(INDEX(Projection!$B$9:$BE$196,MATCH('7 Year Projection-Expanded'!$A88,Projection!$B$9:$B$196,0),MATCH('7 Year Projection-Expanded'!T$8,Projection!$B$9:$BE$9,0)),0)</f>
        <v>61.103542499999989</v>
      </c>
      <c r="V88" s="572">
        <f>SUMIF(Projection!$F:$F,'7 Year Projection-Expanded'!$A88,Projection!BW:BW)</f>
        <v>733.24250999999992</v>
      </c>
      <c r="W88" s="29">
        <f>SUMIF(Projection!$F:$F,'7 Year Projection-Expanded'!$A88,Projection!BX:BX)</f>
        <v>1466.4850199999998</v>
      </c>
      <c r="X88" s="228">
        <f>SUMIF(Projection!$F:$F,'7 Year Projection-Expanded'!$A88,Projection!BY:BY)</f>
        <v>2444.1416999999997</v>
      </c>
      <c r="Y88" s="29">
        <f>SUMIF(Projection!$F:$F,'7 Year Projection-Expanded'!$A88,Projection!BZ:BZ)</f>
        <v>2505.2452424999992</v>
      </c>
      <c r="Z88" s="228">
        <f>SUMIF(Projection!$F:$F,'7 Year Projection-Expanded'!$A88,Projection!CA:CA)</f>
        <v>2567.8763735624998</v>
      </c>
      <c r="AA88" s="29">
        <f>SUMIF(Projection!$F:$F,'7 Year Projection-Expanded'!$A88,Projection!CB:CB)</f>
        <v>2632.0732829015619</v>
      </c>
      <c r="AB88" s="228">
        <f>SUMIF(Projection!$F:$F,'7 Year Projection-Expanded'!$A88,Projection!CC:CC)</f>
        <v>2697.8751149741006</v>
      </c>
      <c r="AC88" s="29">
        <f>SUMIF(Projection!$F:$F,'7 Year Projection-Expanded'!$A88,Projection!CD:CD)</f>
        <v>2765.3219928484527</v>
      </c>
      <c r="AD88" s="228">
        <f>SUMIF(Projection!$F:$F,'7 Year Projection-Expanded'!$A88,Projection!CE:CE)</f>
        <v>2834.4550426696637</v>
      </c>
      <c r="AE88" s="29">
        <f>SUMIF(Projection!$F:$F,'7 Year Projection-Expanded'!$A88,Projection!CF:CF)</f>
        <v>2905.316418736405</v>
      </c>
      <c r="AF88" s="228">
        <f>SUMIF(Projection!$F:$F,'7 Year Projection-Expanded'!$A88,Projection!CG:CG)</f>
        <v>2977.9493292048151</v>
      </c>
      <c r="AG88" s="29">
        <f>SUMIF(Projection!$F:$F,'7 Year Projection-Expanded'!$A88,Projection!CH:CH)</f>
        <v>3052.3980624349351</v>
      </c>
      <c r="AH88" s="228">
        <f>SUMIF(Projection!$F:$F,'7 Year Projection-Expanded'!$A88,Projection!CI:CI)</f>
        <v>3128.7080139958084</v>
      </c>
      <c r="AI88" s="29">
        <f>SUMIF(Projection!$F:$F,'7 Year Projection-Expanded'!$A88,Projection!CJ:CJ)</f>
        <v>3206.9257143457035</v>
      </c>
      <c r="AJ88" s="573">
        <f>SUMIF(Projection!$F:$F,'7 Year Projection-Expanded'!$A88,Projection!CK:CK)</f>
        <v>3287.0988572043457</v>
      </c>
    </row>
    <row r="89" spans="1:36" ht="14.25" customHeight="1" x14ac:dyDescent="0.2">
      <c r="A89" s="11">
        <v>6203</v>
      </c>
      <c r="C89" s="9"/>
      <c r="E89" s="11" t="s">
        <v>151</v>
      </c>
      <c r="I89" s="228">
        <f t="array" ref="I89">IFERROR(INDEX(Projection!$B$9:$BE$196,MATCH('7 Year Projection-Expanded'!$A89,Projection!$B$9:$B$196,0),MATCH('7 Year Projection-Expanded'!I$8,Projection!$B$9:$BE$9,0)),0)</f>
        <v>44.438939999999995</v>
      </c>
      <c r="J89" s="29">
        <f t="array" ref="J89">IFERROR(INDEX(Projection!$B$9:$BE$196,MATCH('7 Year Projection-Expanded'!$A89,Projection!$B$9:$B$196,0),MATCH('7 Year Projection-Expanded'!J$8,Projection!$B$9:$BE$9,0)),0)</f>
        <v>44.438939999999995</v>
      </c>
      <c r="K89" s="228">
        <f t="array" ref="K89">IFERROR(INDEX(Projection!$B$9:$BE$196,MATCH('7 Year Projection-Expanded'!$A89,Projection!$B$9:$B$196,0),MATCH('7 Year Projection-Expanded'!K$8,Projection!$B$9:$BE$9,0)),0)</f>
        <v>44.438939999999995</v>
      </c>
      <c r="L89" s="29">
        <f t="array" ref="L89">IFERROR(INDEX(Projection!$B$9:$BE$196,MATCH('7 Year Projection-Expanded'!$A89,Projection!$B$9:$B$196,0),MATCH('7 Year Projection-Expanded'!L$8,Projection!$B$9:$BE$9,0)),0)</f>
        <v>44.438939999999995</v>
      </c>
      <c r="M89" s="228">
        <f t="array" ref="M89">IFERROR(INDEX(Projection!$B$9:$BE$196,MATCH('7 Year Projection-Expanded'!$A89,Projection!$B$9:$B$196,0),MATCH('7 Year Projection-Expanded'!M$8,Projection!$B$9:$BE$9,0)),0)</f>
        <v>44.438939999999995</v>
      </c>
      <c r="N89" s="29">
        <f t="array" ref="N89">IFERROR(INDEX(Projection!$B$9:$BE$196,MATCH('7 Year Projection-Expanded'!$A89,Projection!$B$9:$B$196,0),MATCH('7 Year Projection-Expanded'!N$8,Projection!$B$9:$BE$9,0)),0)</f>
        <v>44.438939999999995</v>
      </c>
      <c r="O89" s="228">
        <f t="array" ref="O89">IFERROR(INDEX(Projection!$B$9:$BE$196,MATCH('7 Year Projection-Expanded'!$A89,Projection!$B$9:$B$196,0),MATCH('7 Year Projection-Expanded'!O$8,Projection!$B$9:$BE$9,0)),0)</f>
        <v>44.438939999999995</v>
      </c>
      <c r="P89" s="29">
        <f t="array" ref="P89">IFERROR(INDEX(Projection!$B$9:$BE$196,MATCH('7 Year Projection-Expanded'!$A89,Projection!$B$9:$B$196,0),MATCH('7 Year Projection-Expanded'!P$8,Projection!$B$9:$BE$9,0)),0)</f>
        <v>44.438939999999995</v>
      </c>
      <c r="Q89" s="228">
        <f t="array" ref="Q89">IFERROR(INDEX(Projection!$B$9:$BE$196,MATCH('7 Year Projection-Expanded'!$A89,Projection!$B$9:$B$196,0),MATCH('7 Year Projection-Expanded'!Q$8,Projection!$B$9:$BE$9,0)),0)</f>
        <v>44.438939999999995</v>
      </c>
      <c r="R89" s="29">
        <f t="array" ref="R89">IFERROR(INDEX(Projection!$B$9:$BE$196,MATCH('7 Year Projection-Expanded'!$A89,Projection!$B$9:$B$196,0),MATCH('7 Year Projection-Expanded'!R$8,Projection!$B$9:$BE$9,0)),0)</f>
        <v>44.438939999999995</v>
      </c>
      <c r="S89" s="228">
        <f t="array" ref="S89">IFERROR(INDEX(Projection!$B$9:$BE$196,MATCH('7 Year Projection-Expanded'!$A89,Projection!$B$9:$B$196,0),MATCH('7 Year Projection-Expanded'!S$8,Projection!$B$9:$BE$9,0)),0)</f>
        <v>44.438939999999995</v>
      </c>
      <c r="T89" s="28">
        <f t="array" ref="T89">IFERROR(INDEX(Projection!$B$9:$BE$196,MATCH('7 Year Projection-Expanded'!$A89,Projection!$B$9:$B$196,0),MATCH('7 Year Projection-Expanded'!T$8,Projection!$B$9:$BE$9,0)),0)</f>
        <v>44.438939999999995</v>
      </c>
      <c r="V89" s="572">
        <f>SUMIF(Projection!$F:$F,'7 Year Projection-Expanded'!$A89,Projection!BW:BW)</f>
        <v>533.26727999999991</v>
      </c>
      <c r="W89" s="29">
        <f>SUMIF(Projection!$F:$F,'7 Year Projection-Expanded'!$A89,Projection!BX:BX)</f>
        <v>1066.5345599999998</v>
      </c>
      <c r="X89" s="228">
        <f>SUMIF(Projection!$F:$F,'7 Year Projection-Expanded'!$A89,Projection!BY:BY)</f>
        <v>1777.5575999999994</v>
      </c>
      <c r="Y89" s="29">
        <f>SUMIF(Projection!$F:$F,'7 Year Projection-Expanded'!$A89,Projection!BZ:BZ)</f>
        <v>1821.9965399999992</v>
      </c>
      <c r="Z89" s="228">
        <f>SUMIF(Projection!$F:$F,'7 Year Projection-Expanded'!$A89,Projection!CA:CA)</f>
        <v>1867.5464534999994</v>
      </c>
      <c r="AA89" s="29">
        <f>SUMIF(Projection!$F:$F,'7 Year Projection-Expanded'!$A89,Projection!CB:CB)</f>
        <v>1914.2351148374992</v>
      </c>
      <c r="AB89" s="228">
        <f>SUMIF(Projection!$F:$F,'7 Year Projection-Expanded'!$A89,Projection!CC:CC)</f>
        <v>1962.0909927084365</v>
      </c>
      <c r="AC89" s="29">
        <f>SUMIF(Projection!$F:$F,'7 Year Projection-Expanded'!$A89,Projection!CD:CD)</f>
        <v>2011.1432675261472</v>
      </c>
      <c r="AD89" s="228">
        <f>SUMIF(Projection!$F:$F,'7 Year Projection-Expanded'!$A89,Projection!CE:CE)</f>
        <v>2061.4218492143004</v>
      </c>
      <c r="AE89" s="29">
        <f>SUMIF(Projection!$F:$F,'7 Year Projection-Expanded'!$A89,Projection!CF:CF)</f>
        <v>2112.9573954446578</v>
      </c>
      <c r="AF89" s="228">
        <f>SUMIF(Projection!$F:$F,'7 Year Projection-Expanded'!$A89,Projection!CG:CG)</f>
        <v>2165.7813303307739</v>
      </c>
      <c r="AG89" s="29">
        <f>SUMIF(Projection!$F:$F,'7 Year Projection-Expanded'!$A89,Projection!CH:CH)</f>
        <v>2219.9258635890433</v>
      </c>
      <c r="AH89" s="228">
        <f>SUMIF(Projection!$F:$F,'7 Year Projection-Expanded'!$A89,Projection!CI:CI)</f>
        <v>2275.4240101787691</v>
      </c>
      <c r="AI89" s="29">
        <f>SUMIF(Projection!$F:$F,'7 Year Projection-Expanded'!$A89,Projection!CJ:CJ)</f>
        <v>2332.309610433238</v>
      </c>
      <c r="AJ89" s="573">
        <f>SUMIF(Projection!$F:$F,'7 Year Projection-Expanded'!$A89,Projection!CK:CK)</f>
        <v>2390.6173506940686</v>
      </c>
    </row>
    <row r="90" spans="1:36" ht="14.25" customHeight="1" x14ac:dyDescent="0.2">
      <c r="A90" s="11">
        <v>6204</v>
      </c>
      <c r="C90" s="9"/>
      <c r="E90" s="11" t="s">
        <v>156</v>
      </c>
      <c r="I90" s="228">
        <f t="array" ref="I90">IFERROR(INDEX(Projection!$B$9:$BE$196,MATCH('7 Year Projection-Expanded'!$A90,Projection!$B$9:$B$196,0),MATCH('7 Year Projection-Expanded'!I$8,Projection!$B$9:$BE$9,0)),0)</f>
        <v>18.053319374999997</v>
      </c>
      <c r="J90" s="29">
        <f t="array" ref="J90">IFERROR(INDEX(Projection!$B$9:$BE$196,MATCH('7 Year Projection-Expanded'!$A90,Projection!$B$9:$B$196,0),MATCH('7 Year Projection-Expanded'!J$8,Projection!$B$9:$BE$9,0)),0)</f>
        <v>18.053319374999997</v>
      </c>
      <c r="K90" s="228">
        <f t="array" ref="K90">IFERROR(INDEX(Projection!$B$9:$BE$196,MATCH('7 Year Projection-Expanded'!$A90,Projection!$B$9:$B$196,0),MATCH('7 Year Projection-Expanded'!K$8,Projection!$B$9:$BE$9,0)),0)</f>
        <v>18.053319374999997</v>
      </c>
      <c r="L90" s="29">
        <f t="array" ref="L90">IFERROR(INDEX(Projection!$B$9:$BE$196,MATCH('7 Year Projection-Expanded'!$A90,Projection!$B$9:$B$196,0),MATCH('7 Year Projection-Expanded'!L$8,Projection!$B$9:$BE$9,0)),0)</f>
        <v>18.053319374999997</v>
      </c>
      <c r="M90" s="228">
        <f t="array" ref="M90">IFERROR(INDEX(Projection!$B$9:$BE$196,MATCH('7 Year Projection-Expanded'!$A90,Projection!$B$9:$B$196,0),MATCH('7 Year Projection-Expanded'!M$8,Projection!$B$9:$BE$9,0)),0)</f>
        <v>18.053319374999997</v>
      </c>
      <c r="N90" s="29">
        <f t="array" ref="N90">IFERROR(INDEX(Projection!$B$9:$BE$196,MATCH('7 Year Projection-Expanded'!$A90,Projection!$B$9:$B$196,0),MATCH('7 Year Projection-Expanded'!N$8,Projection!$B$9:$BE$9,0)),0)</f>
        <v>18.053319374999997</v>
      </c>
      <c r="O90" s="228">
        <f t="array" ref="O90">IFERROR(INDEX(Projection!$B$9:$BE$196,MATCH('7 Year Projection-Expanded'!$A90,Projection!$B$9:$B$196,0),MATCH('7 Year Projection-Expanded'!O$8,Projection!$B$9:$BE$9,0)),0)</f>
        <v>18.053319374999997</v>
      </c>
      <c r="P90" s="29">
        <f t="array" ref="P90">IFERROR(INDEX(Projection!$B$9:$BE$196,MATCH('7 Year Projection-Expanded'!$A90,Projection!$B$9:$B$196,0),MATCH('7 Year Projection-Expanded'!P$8,Projection!$B$9:$BE$9,0)),0)</f>
        <v>18.053319374999997</v>
      </c>
      <c r="Q90" s="228">
        <f t="array" ref="Q90">IFERROR(INDEX(Projection!$B$9:$BE$196,MATCH('7 Year Projection-Expanded'!$A90,Projection!$B$9:$B$196,0),MATCH('7 Year Projection-Expanded'!Q$8,Projection!$B$9:$BE$9,0)),0)</f>
        <v>18.053319374999997</v>
      </c>
      <c r="R90" s="29">
        <f t="array" ref="R90">IFERROR(INDEX(Projection!$B$9:$BE$196,MATCH('7 Year Projection-Expanded'!$A90,Projection!$B$9:$B$196,0),MATCH('7 Year Projection-Expanded'!R$8,Projection!$B$9:$BE$9,0)),0)</f>
        <v>18.053319374999997</v>
      </c>
      <c r="S90" s="228">
        <f t="array" ref="S90">IFERROR(INDEX(Projection!$B$9:$BE$196,MATCH('7 Year Projection-Expanded'!$A90,Projection!$B$9:$B$196,0),MATCH('7 Year Projection-Expanded'!S$8,Projection!$B$9:$BE$9,0)),0)</f>
        <v>18.053319374999997</v>
      </c>
      <c r="T90" s="28">
        <f t="array" ref="T90">IFERROR(INDEX(Projection!$B$9:$BE$196,MATCH('7 Year Projection-Expanded'!$A90,Projection!$B$9:$B$196,0),MATCH('7 Year Projection-Expanded'!T$8,Projection!$B$9:$BE$9,0)),0)</f>
        <v>18.053319374999997</v>
      </c>
      <c r="V90" s="572">
        <f>SUMIF(Projection!$F:$F,'7 Year Projection-Expanded'!$A90,Projection!BW:BW)</f>
        <v>216.63983249999998</v>
      </c>
      <c r="W90" s="29">
        <f>SUMIF(Projection!$F:$F,'7 Year Projection-Expanded'!$A90,Projection!BX:BX)</f>
        <v>433.27966499999997</v>
      </c>
      <c r="X90" s="228">
        <f>SUMIF(Projection!$F:$F,'7 Year Projection-Expanded'!$A90,Projection!BY:BY)</f>
        <v>722.1327749999997</v>
      </c>
      <c r="Y90" s="29">
        <f>SUMIF(Projection!$F:$F,'7 Year Projection-Expanded'!$A90,Projection!BZ:BZ)</f>
        <v>740.18609437499993</v>
      </c>
      <c r="Z90" s="228">
        <f>SUMIF(Projection!$F:$F,'7 Year Projection-Expanded'!$A90,Projection!CA:CA)</f>
        <v>758.6907467343749</v>
      </c>
      <c r="AA90" s="29">
        <f>SUMIF(Projection!$F:$F,'7 Year Projection-Expanded'!$A90,Projection!CB:CB)</f>
        <v>777.65801540273424</v>
      </c>
      <c r="AB90" s="228">
        <f>SUMIF(Projection!$F:$F,'7 Year Projection-Expanded'!$A90,Projection!CC:CC)</f>
        <v>797.0994657878025</v>
      </c>
      <c r="AC90" s="29">
        <f>SUMIF(Projection!$F:$F,'7 Year Projection-Expanded'!$A90,Projection!CD:CD)</f>
        <v>817.02695243249752</v>
      </c>
      <c r="AD90" s="228">
        <f>SUMIF(Projection!$F:$F,'7 Year Projection-Expanded'!$A90,Projection!CE:CE)</f>
        <v>837.45262624330985</v>
      </c>
      <c r="AE90" s="29">
        <f>SUMIF(Projection!$F:$F,'7 Year Projection-Expanded'!$A90,Projection!CF:CF)</f>
        <v>858.38894189939253</v>
      </c>
      <c r="AF90" s="228">
        <f>SUMIF(Projection!$F:$F,'7 Year Projection-Expanded'!$A90,Projection!CG:CG)</f>
        <v>879.84866544687725</v>
      </c>
      <c r="AG90" s="29">
        <f>SUMIF(Projection!$F:$F,'7 Year Projection-Expanded'!$A90,Projection!CH:CH)</f>
        <v>901.84488208304913</v>
      </c>
      <c r="AH90" s="228">
        <f>SUMIF(Projection!$F:$F,'7 Year Projection-Expanded'!$A90,Projection!CI:CI)</f>
        <v>924.39100413512529</v>
      </c>
      <c r="AI90" s="29">
        <f>SUMIF(Projection!$F:$F,'7 Year Projection-Expanded'!$A90,Projection!CJ:CJ)</f>
        <v>947.50077923850336</v>
      </c>
      <c r="AJ90" s="573">
        <f>SUMIF(Projection!$F:$F,'7 Year Projection-Expanded'!$A90,Projection!CK:CK)</f>
        <v>971.18829871946582</v>
      </c>
    </row>
    <row r="91" spans="1:36" ht="14.25" customHeight="1" x14ac:dyDescent="0.2">
      <c r="A91" s="11">
        <v>6206</v>
      </c>
      <c r="C91" s="9"/>
      <c r="E91" s="11" t="s">
        <v>158</v>
      </c>
      <c r="I91" s="228">
        <f t="array" ref="I91">IFERROR(INDEX(Projection!$B$9:$BE$196,MATCH('7 Year Projection-Expanded'!$A91,Projection!$B$9:$B$196,0),MATCH('7 Year Projection-Expanded'!I$8,Projection!$B$9:$BE$9,0)),0)</f>
        <v>16.664602499999997</v>
      </c>
      <c r="J91" s="29">
        <f t="array" ref="J91">IFERROR(INDEX(Projection!$B$9:$BE$196,MATCH('7 Year Projection-Expanded'!$A91,Projection!$B$9:$B$196,0),MATCH('7 Year Projection-Expanded'!J$8,Projection!$B$9:$BE$9,0)),0)</f>
        <v>16.664602499999997</v>
      </c>
      <c r="K91" s="228">
        <f t="array" ref="K91">IFERROR(INDEX(Projection!$B$9:$BE$196,MATCH('7 Year Projection-Expanded'!$A91,Projection!$B$9:$B$196,0),MATCH('7 Year Projection-Expanded'!K$8,Projection!$B$9:$BE$9,0)),0)</f>
        <v>16.664602499999997</v>
      </c>
      <c r="L91" s="29">
        <f t="array" ref="L91">IFERROR(INDEX(Projection!$B$9:$BE$196,MATCH('7 Year Projection-Expanded'!$A91,Projection!$B$9:$B$196,0),MATCH('7 Year Projection-Expanded'!L$8,Projection!$B$9:$BE$9,0)),0)</f>
        <v>16.664602499999997</v>
      </c>
      <c r="M91" s="228">
        <f t="array" ref="M91">IFERROR(INDEX(Projection!$B$9:$BE$196,MATCH('7 Year Projection-Expanded'!$A91,Projection!$B$9:$B$196,0),MATCH('7 Year Projection-Expanded'!M$8,Projection!$B$9:$BE$9,0)),0)</f>
        <v>16.664602499999997</v>
      </c>
      <c r="N91" s="29">
        <f t="array" ref="N91">IFERROR(INDEX(Projection!$B$9:$BE$196,MATCH('7 Year Projection-Expanded'!$A91,Projection!$B$9:$B$196,0),MATCH('7 Year Projection-Expanded'!N$8,Projection!$B$9:$BE$9,0)),0)</f>
        <v>16.664602499999997</v>
      </c>
      <c r="O91" s="228">
        <f t="array" ref="O91">IFERROR(INDEX(Projection!$B$9:$BE$196,MATCH('7 Year Projection-Expanded'!$A91,Projection!$B$9:$B$196,0),MATCH('7 Year Projection-Expanded'!O$8,Projection!$B$9:$BE$9,0)),0)</f>
        <v>16.664602499999997</v>
      </c>
      <c r="P91" s="29">
        <f t="array" ref="P91">IFERROR(INDEX(Projection!$B$9:$BE$196,MATCH('7 Year Projection-Expanded'!$A91,Projection!$B$9:$B$196,0),MATCH('7 Year Projection-Expanded'!P$8,Projection!$B$9:$BE$9,0)),0)</f>
        <v>16.664602499999997</v>
      </c>
      <c r="Q91" s="228">
        <f t="array" ref="Q91">IFERROR(INDEX(Projection!$B$9:$BE$196,MATCH('7 Year Projection-Expanded'!$A91,Projection!$B$9:$B$196,0),MATCH('7 Year Projection-Expanded'!Q$8,Projection!$B$9:$BE$9,0)),0)</f>
        <v>16.664602499999997</v>
      </c>
      <c r="R91" s="29">
        <f t="array" ref="R91">IFERROR(INDEX(Projection!$B$9:$BE$196,MATCH('7 Year Projection-Expanded'!$A91,Projection!$B$9:$B$196,0),MATCH('7 Year Projection-Expanded'!R$8,Projection!$B$9:$BE$9,0)),0)</f>
        <v>16.664602499999997</v>
      </c>
      <c r="S91" s="228">
        <f t="array" ref="S91">IFERROR(INDEX(Projection!$B$9:$BE$196,MATCH('7 Year Projection-Expanded'!$A91,Projection!$B$9:$B$196,0),MATCH('7 Year Projection-Expanded'!S$8,Projection!$B$9:$BE$9,0)),0)</f>
        <v>16.664602499999997</v>
      </c>
      <c r="T91" s="28">
        <f t="array" ref="T91">IFERROR(INDEX(Projection!$B$9:$BE$196,MATCH('7 Year Projection-Expanded'!$A91,Projection!$B$9:$B$196,0),MATCH('7 Year Projection-Expanded'!T$8,Projection!$B$9:$BE$9,0)),0)</f>
        <v>16.664602499999997</v>
      </c>
      <c r="V91" s="572">
        <f>SUMIF(Projection!$F:$F,'7 Year Projection-Expanded'!$A91,Projection!BW:BW)</f>
        <v>199.97522999999998</v>
      </c>
      <c r="W91" s="29">
        <f>SUMIF(Projection!$F:$F,'7 Year Projection-Expanded'!$A91,Projection!BX:BX)</f>
        <v>399.95045999999996</v>
      </c>
      <c r="X91" s="228">
        <f>SUMIF(Projection!$F:$F,'7 Year Projection-Expanded'!$A91,Projection!BY:BY)</f>
        <v>666.58409999999992</v>
      </c>
      <c r="Y91" s="29">
        <f>SUMIF(Projection!$F:$F,'7 Year Projection-Expanded'!$A91,Projection!BZ:BZ)</f>
        <v>683.24870249999992</v>
      </c>
      <c r="Z91" s="228">
        <f>SUMIF(Projection!$F:$F,'7 Year Projection-Expanded'!$A91,Projection!CA:CA)</f>
        <v>700.32992006249981</v>
      </c>
      <c r="AA91" s="29">
        <f>SUMIF(Projection!$F:$F,'7 Year Projection-Expanded'!$A91,Projection!CB:CB)</f>
        <v>717.83816806406219</v>
      </c>
      <c r="AB91" s="228">
        <f>SUMIF(Projection!$F:$F,'7 Year Projection-Expanded'!$A91,Projection!CC:CC)</f>
        <v>735.78412226566365</v>
      </c>
      <c r="AC91" s="29">
        <f>SUMIF(Projection!$F:$F,'7 Year Projection-Expanded'!$A91,Projection!CD:CD)</f>
        <v>754.17872532230513</v>
      </c>
      <c r="AD91" s="228">
        <f>SUMIF(Projection!$F:$F,'7 Year Projection-Expanded'!$A91,Projection!CE:CE)</f>
        <v>773.03319345536272</v>
      </c>
      <c r="AE91" s="29">
        <f>SUMIF(Projection!$F:$F,'7 Year Projection-Expanded'!$A91,Projection!CF:CF)</f>
        <v>792.35902329174667</v>
      </c>
      <c r="AF91" s="228">
        <f>SUMIF(Projection!$F:$F,'7 Year Projection-Expanded'!$A91,Projection!CG:CG)</f>
        <v>812.16799887404022</v>
      </c>
      <c r="AG91" s="29">
        <f>SUMIF(Projection!$F:$F,'7 Year Projection-Expanded'!$A91,Projection!CH:CH)</f>
        <v>832.47219884589117</v>
      </c>
      <c r="AH91" s="228">
        <f>SUMIF(Projection!$F:$F,'7 Year Projection-Expanded'!$A91,Projection!CI:CI)</f>
        <v>853.28400381703841</v>
      </c>
      <c r="AI91" s="29">
        <f>SUMIF(Projection!$F:$F,'7 Year Projection-Expanded'!$A91,Projection!CJ:CJ)</f>
        <v>874.61610391246427</v>
      </c>
      <c r="AJ91" s="573">
        <f>SUMIF(Projection!$F:$F,'7 Year Projection-Expanded'!$A91,Projection!CK:CK)</f>
        <v>896.48150651027584</v>
      </c>
    </row>
    <row r="92" spans="1:36" ht="14.25" customHeight="1" x14ac:dyDescent="0.2">
      <c r="A92" s="11">
        <v>6321</v>
      </c>
      <c r="C92" s="9"/>
      <c r="E92" s="11" t="s">
        <v>162</v>
      </c>
      <c r="I92" s="228">
        <f t="array" ref="I92">IFERROR(INDEX(Projection!$B$9:$BE$196,MATCH('7 Year Projection-Expanded'!$A92,Projection!$B$9:$B$196,0),MATCH('7 Year Projection-Expanded'!I$8,Projection!$B$9:$BE$9,0)),0)</f>
        <v>0</v>
      </c>
      <c r="J92" s="29">
        <f t="array" ref="J92">IFERROR(INDEX(Projection!$B$9:$BE$196,MATCH('7 Year Projection-Expanded'!$A92,Projection!$B$9:$B$196,0),MATCH('7 Year Projection-Expanded'!J$8,Projection!$B$9:$BE$9,0)),0)</f>
        <v>0</v>
      </c>
      <c r="K92" s="228">
        <f t="array" ref="K92">IFERROR(INDEX(Projection!$B$9:$BE$196,MATCH('7 Year Projection-Expanded'!$A92,Projection!$B$9:$B$196,0),MATCH('7 Year Projection-Expanded'!K$8,Projection!$B$9:$BE$9,0)),0)</f>
        <v>0</v>
      </c>
      <c r="L92" s="29">
        <f t="array" ref="L92">IFERROR(INDEX(Projection!$B$9:$BE$196,MATCH('7 Year Projection-Expanded'!$A92,Projection!$B$9:$B$196,0),MATCH('7 Year Projection-Expanded'!L$8,Projection!$B$9:$BE$9,0)),0)</f>
        <v>0</v>
      </c>
      <c r="M92" s="228">
        <f t="array" ref="M92">IFERROR(INDEX(Projection!$B$9:$BE$196,MATCH('7 Year Projection-Expanded'!$A92,Projection!$B$9:$B$196,0),MATCH('7 Year Projection-Expanded'!M$8,Projection!$B$9:$BE$9,0)),0)</f>
        <v>0</v>
      </c>
      <c r="N92" s="29">
        <f t="array" ref="N92">IFERROR(INDEX(Projection!$B$9:$BE$196,MATCH('7 Year Projection-Expanded'!$A92,Projection!$B$9:$B$196,0),MATCH('7 Year Projection-Expanded'!N$8,Projection!$B$9:$BE$9,0)),0)</f>
        <v>0</v>
      </c>
      <c r="O92" s="228">
        <f t="array" ref="O92">IFERROR(INDEX(Projection!$B$9:$BE$196,MATCH('7 Year Projection-Expanded'!$A92,Projection!$B$9:$B$196,0),MATCH('7 Year Projection-Expanded'!O$8,Projection!$B$9:$BE$9,0)),0)</f>
        <v>0</v>
      </c>
      <c r="P92" s="29">
        <f t="array" ref="P92">IFERROR(INDEX(Projection!$B$9:$BE$196,MATCH('7 Year Projection-Expanded'!$A92,Projection!$B$9:$B$196,0),MATCH('7 Year Projection-Expanded'!P$8,Projection!$B$9:$BE$9,0)),0)</f>
        <v>0</v>
      </c>
      <c r="Q92" s="228">
        <f t="array" ref="Q92">IFERROR(INDEX(Projection!$B$9:$BE$196,MATCH('7 Year Projection-Expanded'!$A92,Projection!$B$9:$B$196,0),MATCH('7 Year Projection-Expanded'!Q$8,Projection!$B$9:$BE$9,0)),0)</f>
        <v>0</v>
      </c>
      <c r="R92" s="29">
        <f t="array" ref="R92">IFERROR(INDEX(Projection!$B$9:$BE$196,MATCH('7 Year Projection-Expanded'!$A92,Projection!$B$9:$B$196,0),MATCH('7 Year Projection-Expanded'!R$8,Projection!$B$9:$BE$9,0)),0)</f>
        <v>0</v>
      </c>
      <c r="S92" s="228">
        <f t="array" ref="S92">IFERROR(INDEX(Projection!$B$9:$BE$196,MATCH('7 Year Projection-Expanded'!$A92,Projection!$B$9:$B$196,0),MATCH('7 Year Projection-Expanded'!S$8,Projection!$B$9:$BE$9,0)),0)</f>
        <v>0</v>
      </c>
      <c r="T92" s="28">
        <f t="array" ref="T92">IFERROR(INDEX(Projection!$B$9:$BE$196,MATCH('7 Year Projection-Expanded'!$A92,Projection!$B$9:$B$196,0),MATCH('7 Year Projection-Expanded'!T$8,Projection!$B$9:$BE$9,0)),0)</f>
        <v>0</v>
      </c>
      <c r="V92" s="572">
        <f>SUMIF(Projection!$F:$F,'7 Year Projection-Expanded'!$A92,Projection!BW:BW)</f>
        <v>0</v>
      </c>
      <c r="W92" s="29">
        <f>SUMIF(Projection!$F:$F,'7 Year Projection-Expanded'!$A92,Projection!BX:BX)</f>
        <v>0</v>
      </c>
      <c r="X92" s="228">
        <f>SUMIF(Projection!$F:$F,'7 Year Projection-Expanded'!$A92,Projection!BY:BY)</f>
        <v>0</v>
      </c>
      <c r="Y92" s="29">
        <f>SUMIF(Projection!$F:$F,'7 Year Projection-Expanded'!$A92,Projection!BZ:BZ)</f>
        <v>0</v>
      </c>
      <c r="Z92" s="228">
        <f>SUMIF(Projection!$F:$F,'7 Year Projection-Expanded'!$A92,Projection!CA:CA)</f>
        <v>0</v>
      </c>
      <c r="AA92" s="29">
        <f>SUMIF(Projection!$F:$F,'7 Year Projection-Expanded'!$A92,Projection!CB:CB)</f>
        <v>0</v>
      </c>
      <c r="AB92" s="228">
        <f>SUMIF(Projection!$F:$F,'7 Year Projection-Expanded'!$A92,Projection!CC:CC)</f>
        <v>0</v>
      </c>
      <c r="AC92" s="29">
        <f>SUMIF(Projection!$F:$F,'7 Year Projection-Expanded'!$A92,Projection!CD:CD)</f>
        <v>0</v>
      </c>
      <c r="AD92" s="228">
        <f>SUMIF(Projection!$F:$F,'7 Year Projection-Expanded'!$A92,Projection!CE:CE)</f>
        <v>0</v>
      </c>
      <c r="AE92" s="29">
        <f>SUMIF(Projection!$F:$F,'7 Year Projection-Expanded'!$A92,Projection!CF:CF)</f>
        <v>0</v>
      </c>
      <c r="AF92" s="228">
        <f>SUMIF(Projection!$F:$F,'7 Year Projection-Expanded'!$A92,Projection!CG:CG)</f>
        <v>0</v>
      </c>
      <c r="AG92" s="29">
        <f>SUMIF(Projection!$F:$F,'7 Year Projection-Expanded'!$A92,Projection!CH:CH)</f>
        <v>0</v>
      </c>
      <c r="AH92" s="228">
        <f>SUMIF(Projection!$F:$F,'7 Year Projection-Expanded'!$A92,Projection!CI:CI)</f>
        <v>0</v>
      </c>
      <c r="AI92" s="29">
        <f>SUMIF(Projection!$F:$F,'7 Year Projection-Expanded'!$A92,Projection!CJ:CJ)</f>
        <v>0</v>
      </c>
      <c r="AJ92" s="573">
        <f>SUMIF(Projection!$F:$F,'7 Year Projection-Expanded'!$A92,Projection!CK:CK)</f>
        <v>0</v>
      </c>
    </row>
    <row r="93" spans="1:36" ht="14.25" customHeight="1" x14ac:dyDescent="0.2">
      <c r="A93" s="283" t="s">
        <v>370</v>
      </c>
      <c r="B93" s="283" t="s">
        <v>463</v>
      </c>
      <c r="C93" s="597"/>
      <c r="D93" s="286" t="s">
        <v>464</v>
      </c>
      <c r="E93" s="285"/>
      <c r="F93" s="285"/>
      <c r="G93" s="285"/>
      <c r="H93" s="285"/>
      <c r="I93" s="606">
        <f t="shared" ref="I93:T93" si="28">SUM(I79:I92)</f>
        <v>555.48674999999992</v>
      </c>
      <c r="J93" s="289">
        <f t="shared" si="28"/>
        <v>555.48674999999992</v>
      </c>
      <c r="K93" s="606">
        <f t="shared" si="28"/>
        <v>555.48674999999992</v>
      </c>
      <c r="L93" s="289">
        <f t="shared" si="28"/>
        <v>555.48674999999992</v>
      </c>
      <c r="M93" s="606">
        <f t="shared" si="28"/>
        <v>555.48674999999992</v>
      </c>
      <c r="N93" s="289">
        <f t="shared" si="28"/>
        <v>555.48674999999992</v>
      </c>
      <c r="O93" s="606">
        <f t="shared" si="28"/>
        <v>555.48674999999992</v>
      </c>
      <c r="P93" s="289">
        <f t="shared" si="28"/>
        <v>555.48674999999992</v>
      </c>
      <c r="Q93" s="606">
        <f t="shared" si="28"/>
        <v>555.48674999999992</v>
      </c>
      <c r="R93" s="289">
        <f t="shared" si="28"/>
        <v>555.48674999999992</v>
      </c>
      <c r="S93" s="606">
        <f t="shared" si="28"/>
        <v>555.48674999999992</v>
      </c>
      <c r="T93" s="607">
        <f t="shared" si="28"/>
        <v>555.48674999999992</v>
      </c>
      <c r="U93" s="285"/>
      <c r="V93" s="608">
        <f t="shared" ref="V93:AJ93" si="29">SUM(V79:V92)</f>
        <v>6665.8409999999994</v>
      </c>
      <c r="W93" s="289">
        <f t="shared" si="29"/>
        <v>13331.681999999999</v>
      </c>
      <c r="X93" s="606">
        <f t="shared" si="29"/>
        <v>22219.469999999998</v>
      </c>
      <c r="Y93" s="289">
        <f t="shared" si="29"/>
        <v>22774.95674999999</v>
      </c>
      <c r="Z93" s="606">
        <f t="shared" si="29"/>
        <v>23344.330668749993</v>
      </c>
      <c r="AA93" s="289">
        <f t="shared" si="29"/>
        <v>23927.938935468741</v>
      </c>
      <c r="AB93" s="606">
        <f t="shared" si="29"/>
        <v>24526.137408855458</v>
      </c>
      <c r="AC93" s="289">
        <f t="shared" si="29"/>
        <v>25139.290844076841</v>
      </c>
      <c r="AD93" s="606">
        <f t="shared" si="29"/>
        <v>25767.773115178763</v>
      </c>
      <c r="AE93" s="289">
        <f t="shared" si="29"/>
        <v>26411.967443058227</v>
      </c>
      <c r="AF93" s="606">
        <f t="shared" si="29"/>
        <v>27072.26662913468</v>
      </c>
      <c r="AG93" s="289">
        <f t="shared" si="29"/>
        <v>27749.07329486305</v>
      </c>
      <c r="AH93" s="606">
        <f t="shared" si="29"/>
        <v>28442.800127234623</v>
      </c>
      <c r="AI93" s="289">
        <f t="shared" si="29"/>
        <v>29153.870130415486</v>
      </c>
      <c r="AJ93" s="609">
        <f t="shared" si="29"/>
        <v>29882.716883675868</v>
      </c>
    </row>
    <row r="94" spans="1:36" ht="6" customHeight="1" x14ac:dyDescent="0.2">
      <c r="C94" s="9"/>
      <c r="I94" s="197"/>
      <c r="K94" s="197"/>
      <c r="M94" s="197"/>
      <c r="O94" s="197"/>
      <c r="Q94" s="197"/>
      <c r="S94" s="197"/>
      <c r="T94" s="20"/>
      <c r="V94" s="610"/>
      <c r="X94" s="197"/>
      <c r="Z94" s="197"/>
      <c r="AB94" s="197"/>
      <c r="AD94" s="197"/>
      <c r="AF94" s="197"/>
      <c r="AH94" s="197"/>
      <c r="AJ94" s="611"/>
    </row>
    <row r="95" spans="1:36" ht="14.25" customHeight="1" x14ac:dyDescent="0.2">
      <c r="A95" s="285"/>
      <c r="B95" s="285"/>
      <c r="C95" s="597"/>
      <c r="D95" s="286" t="s">
        <v>465</v>
      </c>
      <c r="E95" s="285"/>
      <c r="F95" s="285"/>
      <c r="G95" s="285"/>
      <c r="H95" s="285"/>
      <c r="I95" s="598"/>
      <c r="J95" s="285"/>
      <c r="K95" s="598"/>
      <c r="L95" s="285"/>
      <c r="M95" s="598"/>
      <c r="N95" s="285"/>
      <c r="O95" s="598"/>
      <c r="P95" s="285"/>
      <c r="Q95" s="598"/>
      <c r="R95" s="285"/>
      <c r="S95" s="598"/>
      <c r="T95" s="599"/>
      <c r="U95" s="285"/>
      <c r="V95" s="600"/>
      <c r="W95" s="285"/>
      <c r="X95" s="612"/>
      <c r="Y95" s="620"/>
      <c r="Z95" s="598"/>
      <c r="AA95" s="285"/>
      <c r="AB95" s="598"/>
      <c r="AC95" s="285"/>
      <c r="AD95" s="598"/>
      <c r="AE95" s="285"/>
      <c r="AF95" s="598"/>
      <c r="AG95" s="285"/>
      <c r="AH95" s="598"/>
      <c r="AI95" s="285"/>
      <c r="AJ95" s="613"/>
    </row>
    <row r="96" spans="1:36" ht="14.25" customHeight="1" x14ac:dyDescent="0.2">
      <c r="A96" s="11">
        <v>6122</v>
      </c>
      <c r="C96" s="9"/>
      <c r="E96" s="11" t="s">
        <v>174</v>
      </c>
      <c r="H96" s="621"/>
      <c r="I96" s="228">
        <f t="array" ref="I96">IFERROR(INDEX(Projection!$B$9:$BE$196,MATCH('7 Year Projection-Expanded'!$A96,Projection!$B$9:$B$196,0),MATCH('7 Year Projection-Expanded'!I$8,Projection!$B$9:$BE$9,0)),0)</f>
        <v>15</v>
      </c>
      <c r="J96" s="29">
        <f t="array" ref="J96">IFERROR(INDEX(Projection!$B$9:$BE$196,MATCH('7 Year Projection-Expanded'!$A96,Projection!$B$9:$B$196,0),MATCH('7 Year Projection-Expanded'!J$8,Projection!$B$9:$BE$9,0)),0)</f>
        <v>15</v>
      </c>
      <c r="K96" s="228">
        <f t="array" ref="K96">IFERROR(INDEX(Projection!$B$9:$BE$196,MATCH('7 Year Projection-Expanded'!$A96,Projection!$B$9:$B$196,0),MATCH('7 Year Projection-Expanded'!K$8,Projection!$B$9:$BE$9,0)),0)</f>
        <v>15</v>
      </c>
      <c r="L96" s="29">
        <f t="array" ref="L96">IFERROR(INDEX(Projection!$B$9:$BE$196,MATCH('7 Year Projection-Expanded'!$A96,Projection!$B$9:$B$196,0),MATCH('7 Year Projection-Expanded'!L$8,Projection!$B$9:$BE$9,0)),0)</f>
        <v>15</v>
      </c>
      <c r="M96" s="228">
        <f t="array" ref="M96">IFERROR(INDEX(Projection!$B$9:$BE$196,MATCH('7 Year Projection-Expanded'!$A96,Projection!$B$9:$B$196,0),MATCH('7 Year Projection-Expanded'!M$8,Projection!$B$9:$BE$9,0)),0)</f>
        <v>15</v>
      </c>
      <c r="N96" s="29">
        <f t="array" ref="N96">IFERROR(INDEX(Projection!$B$9:$BE$196,MATCH('7 Year Projection-Expanded'!$A96,Projection!$B$9:$B$196,0),MATCH('7 Year Projection-Expanded'!N$8,Projection!$B$9:$BE$9,0)),0)</f>
        <v>15</v>
      </c>
      <c r="O96" s="228">
        <f t="array" ref="O96">IFERROR(INDEX(Projection!$B$9:$BE$196,MATCH('7 Year Projection-Expanded'!$A96,Projection!$B$9:$B$196,0),MATCH('7 Year Projection-Expanded'!O$8,Projection!$B$9:$BE$9,0)),0)</f>
        <v>15</v>
      </c>
      <c r="P96" s="29">
        <f t="array" ref="P96">IFERROR(INDEX(Projection!$B$9:$BE$196,MATCH('7 Year Projection-Expanded'!$A96,Projection!$B$9:$B$196,0),MATCH('7 Year Projection-Expanded'!P$8,Projection!$B$9:$BE$9,0)),0)</f>
        <v>15</v>
      </c>
      <c r="Q96" s="228">
        <f t="array" ref="Q96">IFERROR(INDEX(Projection!$B$9:$BE$196,MATCH('7 Year Projection-Expanded'!$A96,Projection!$B$9:$B$196,0),MATCH('7 Year Projection-Expanded'!Q$8,Projection!$B$9:$BE$9,0)),0)</f>
        <v>15</v>
      </c>
      <c r="R96" s="29">
        <f t="array" ref="R96">IFERROR(INDEX(Projection!$B$9:$BE$196,MATCH('7 Year Projection-Expanded'!$A96,Projection!$B$9:$B$196,0),MATCH('7 Year Projection-Expanded'!R$8,Projection!$B$9:$BE$9,0)),0)</f>
        <v>15</v>
      </c>
      <c r="S96" s="228">
        <f t="array" ref="S96">IFERROR(INDEX(Projection!$B$9:$BE$196,MATCH('7 Year Projection-Expanded'!$A96,Projection!$B$9:$B$196,0),MATCH('7 Year Projection-Expanded'!S$8,Projection!$B$9:$BE$9,0)),0)</f>
        <v>15</v>
      </c>
      <c r="T96" s="28">
        <f t="array" ref="T96">IFERROR(INDEX(Projection!$B$9:$BE$196,MATCH('7 Year Projection-Expanded'!$A96,Projection!$B$9:$B$196,0),MATCH('7 Year Projection-Expanded'!T$8,Projection!$B$9:$BE$9,0)),0)</f>
        <v>15</v>
      </c>
      <c r="V96" s="572">
        <f>SUMIF(Projection!$F:$F,'7 Year Projection-Expanded'!$A96,Projection!BW:BW)</f>
        <v>180</v>
      </c>
      <c r="W96" s="29">
        <f>SUMIF(Projection!$F:$F,'7 Year Projection-Expanded'!$A96,Projection!BX:BX)</f>
        <v>184.49999999999997</v>
      </c>
      <c r="X96" s="228">
        <f>SUMIF(Projection!$F:$F,'7 Year Projection-Expanded'!$A96,Projection!BY:BY)</f>
        <v>189.11249999999998</v>
      </c>
      <c r="Y96" s="29">
        <f>SUMIF(Projection!$F:$F,'7 Year Projection-Expanded'!$A96,Projection!BZ:BZ)</f>
        <v>193.84031249999987</v>
      </c>
      <c r="Z96" s="228">
        <f>SUMIF(Projection!$F:$F,'7 Year Projection-Expanded'!$A96,Projection!CA:CA)</f>
        <v>198.6863203124999</v>
      </c>
      <c r="AA96" s="29">
        <f>SUMIF(Projection!$F:$F,'7 Year Projection-Expanded'!$A96,Projection!CB:CB)</f>
        <v>203.65347832031239</v>
      </c>
      <c r="AB96" s="228">
        <f>SUMIF(Projection!$F:$F,'7 Year Projection-Expanded'!$A96,Projection!CC:CC)</f>
        <v>208.74481527832017</v>
      </c>
      <c r="AC96" s="29">
        <f>SUMIF(Projection!$F:$F,'7 Year Projection-Expanded'!$A96,Projection!CD:CD)</f>
        <v>213.96343566027815</v>
      </c>
      <c r="AD96" s="228">
        <f>SUMIF(Projection!$F:$F,'7 Year Projection-Expanded'!$A96,Projection!CE:CE)</f>
        <v>219.3125215517851</v>
      </c>
      <c r="AE96" s="29">
        <f>SUMIF(Projection!$F:$F,'7 Year Projection-Expanded'!$A96,Projection!CF:CF)</f>
        <v>224.7953345905797</v>
      </c>
      <c r="AF96" s="228">
        <f>SUMIF(Projection!$F:$F,'7 Year Projection-Expanded'!$A96,Projection!CG:CG)</f>
        <v>230.41521795534416</v>
      </c>
      <c r="AG96" s="29">
        <f>SUMIF(Projection!$F:$F,'7 Year Projection-Expanded'!$A96,Projection!CH:CH)</f>
        <v>236.17559840422774</v>
      </c>
      <c r="AH96" s="228">
        <f>SUMIF(Projection!$F:$F,'7 Year Projection-Expanded'!$A96,Projection!CI:CI)</f>
        <v>242.07998836433342</v>
      </c>
      <c r="AI96" s="29">
        <f>SUMIF(Projection!$F:$F,'7 Year Projection-Expanded'!$A96,Projection!CJ:CJ)</f>
        <v>248.13198807344173</v>
      </c>
      <c r="AJ96" s="573">
        <f>SUMIF(Projection!$F:$F,'7 Year Projection-Expanded'!$A96,Projection!CK:CK)</f>
        <v>254.33528777527775</v>
      </c>
    </row>
    <row r="97" spans="1:36" ht="14.25" customHeight="1" x14ac:dyDescent="0.2">
      <c r="A97" s="11">
        <v>6152</v>
      </c>
      <c r="C97" s="9"/>
      <c r="E97" s="11" t="s">
        <v>178</v>
      </c>
      <c r="H97" s="621"/>
      <c r="I97" s="228">
        <f t="array" ref="I97">IFERROR(INDEX(Projection!$B$9:$BE$196,MATCH('7 Year Projection-Expanded'!$A97,Projection!$B$9:$B$196,0),MATCH('7 Year Projection-Expanded'!I$8,Projection!$B$9:$BE$9,0)),0)</f>
        <v>175</v>
      </c>
      <c r="J97" s="29">
        <f t="array" ref="J97">IFERROR(INDEX(Projection!$B$9:$BE$196,MATCH('7 Year Projection-Expanded'!$A97,Projection!$B$9:$B$196,0),MATCH('7 Year Projection-Expanded'!J$8,Projection!$B$9:$BE$9,0)),0)</f>
        <v>0</v>
      </c>
      <c r="K97" s="228">
        <f t="array" ref="K97">IFERROR(INDEX(Projection!$B$9:$BE$196,MATCH('7 Year Projection-Expanded'!$A97,Projection!$B$9:$B$196,0),MATCH('7 Year Projection-Expanded'!K$8,Projection!$B$9:$BE$9,0)),0)</f>
        <v>0</v>
      </c>
      <c r="L97" s="29">
        <f t="array" ref="L97">IFERROR(INDEX(Projection!$B$9:$BE$196,MATCH('7 Year Projection-Expanded'!$A97,Projection!$B$9:$B$196,0),MATCH('7 Year Projection-Expanded'!L$8,Projection!$B$9:$BE$9,0)),0)</f>
        <v>0</v>
      </c>
      <c r="M97" s="228">
        <f t="array" ref="M97">IFERROR(INDEX(Projection!$B$9:$BE$196,MATCH('7 Year Projection-Expanded'!$A97,Projection!$B$9:$B$196,0),MATCH('7 Year Projection-Expanded'!M$8,Projection!$B$9:$BE$9,0)),0)</f>
        <v>0</v>
      </c>
      <c r="N97" s="29">
        <f t="array" ref="N97">IFERROR(INDEX(Projection!$B$9:$BE$196,MATCH('7 Year Projection-Expanded'!$A97,Projection!$B$9:$B$196,0),MATCH('7 Year Projection-Expanded'!N$8,Projection!$B$9:$BE$9,0)),0)</f>
        <v>0</v>
      </c>
      <c r="O97" s="228">
        <f t="array" ref="O97">IFERROR(INDEX(Projection!$B$9:$BE$196,MATCH('7 Year Projection-Expanded'!$A97,Projection!$B$9:$B$196,0),MATCH('7 Year Projection-Expanded'!O$8,Projection!$B$9:$BE$9,0)),0)</f>
        <v>0</v>
      </c>
      <c r="P97" s="29">
        <f t="array" ref="P97">IFERROR(INDEX(Projection!$B$9:$BE$196,MATCH('7 Year Projection-Expanded'!$A97,Projection!$B$9:$B$196,0),MATCH('7 Year Projection-Expanded'!P$8,Projection!$B$9:$BE$9,0)),0)</f>
        <v>0</v>
      </c>
      <c r="Q97" s="228">
        <f t="array" ref="Q97">IFERROR(INDEX(Projection!$B$9:$BE$196,MATCH('7 Year Projection-Expanded'!$A97,Projection!$B$9:$B$196,0),MATCH('7 Year Projection-Expanded'!Q$8,Projection!$B$9:$BE$9,0)),0)</f>
        <v>0</v>
      </c>
      <c r="R97" s="29">
        <f t="array" ref="R97">IFERROR(INDEX(Projection!$B$9:$BE$196,MATCH('7 Year Projection-Expanded'!$A97,Projection!$B$9:$B$196,0),MATCH('7 Year Projection-Expanded'!R$8,Projection!$B$9:$BE$9,0)),0)</f>
        <v>0</v>
      </c>
      <c r="S97" s="228">
        <f t="array" ref="S97">IFERROR(INDEX(Projection!$B$9:$BE$196,MATCH('7 Year Projection-Expanded'!$A97,Projection!$B$9:$B$196,0),MATCH('7 Year Projection-Expanded'!S$8,Projection!$B$9:$BE$9,0)),0)</f>
        <v>0</v>
      </c>
      <c r="T97" s="28">
        <f t="array" ref="T97">IFERROR(INDEX(Projection!$B$9:$BE$196,MATCH('7 Year Projection-Expanded'!$A97,Projection!$B$9:$B$196,0),MATCH('7 Year Projection-Expanded'!T$8,Projection!$B$9:$BE$9,0)),0)</f>
        <v>0</v>
      </c>
      <c r="V97" s="572">
        <f>SUMIF(Projection!$F:$F,'7 Year Projection-Expanded'!$A97,Projection!BW:BW)</f>
        <v>175</v>
      </c>
      <c r="W97" s="29">
        <f>SUMIF(Projection!$F:$F,'7 Year Projection-Expanded'!$A97,Projection!BX:BX)</f>
        <v>175</v>
      </c>
      <c r="X97" s="228">
        <f>SUMIF(Projection!$F:$F,'7 Year Projection-Expanded'!$A97,Projection!BY:BY)</f>
        <v>175</v>
      </c>
      <c r="Y97" s="29">
        <f>SUMIF(Projection!$F:$F,'7 Year Projection-Expanded'!$A97,Projection!BZ:BZ)</f>
        <v>175</v>
      </c>
      <c r="Z97" s="228">
        <f>SUMIF(Projection!$F:$F,'7 Year Projection-Expanded'!$A97,Projection!CA:CA)</f>
        <v>175</v>
      </c>
      <c r="AA97" s="29">
        <f>SUMIF(Projection!$F:$F,'7 Year Projection-Expanded'!$A97,Projection!CB:CB)</f>
        <v>179.37499999999997</v>
      </c>
      <c r="AB97" s="228">
        <f>SUMIF(Projection!$F:$F,'7 Year Projection-Expanded'!$A97,Projection!CC:CC)</f>
        <v>183.85937499999994</v>
      </c>
      <c r="AC97" s="29">
        <f>SUMIF(Projection!$F:$F,'7 Year Projection-Expanded'!$A97,Projection!CD:CD)</f>
        <v>188.45585937499993</v>
      </c>
      <c r="AD97" s="228">
        <f>SUMIF(Projection!$F:$F,'7 Year Projection-Expanded'!$A97,Projection!CE:CE)</f>
        <v>193.1672558593749</v>
      </c>
      <c r="AE97" s="29">
        <f>SUMIF(Projection!$F:$F,'7 Year Projection-Expanded'!$A97,Projection!CF:CF)</f>
        <v>197.99643725585926</v>
      </c>
      <c r="AF97" s="228">
        <f>SUMIF(Projection!$F:$F,'7 Year Projection-Expanded'!$A97,Projection!CG:CG)</f>
        <v>202.94634818725572</v>
      </c>
      <c r="AG97" s="29">
        <f>SUMIF(Projection!$F:$F,'7 Year Projection-Expanded'!$A97,Projection!CH:CH)</f>
        <v>208.0200068919371</v>
      </c>
      <c r="AH97" s="228">
        <f>SUMIF(Projection!$F:$F,'7 Year Projection-Expanded'!$A97,Projection!CI:CI)</f>
        <v>213.22050706423551</v>
      </c>
      <c r="AI97" s="29">
        <f>SUMIF(Projection!$F:$F,'7 Year Projection-Expanded'!$A97,Projection!CJ:CJ)</f>
        <v>218.55101974084138</v>
      </c>
      <c r="AJ97" s="573">
        <f>SUMIF(Projection!$F:$F,'7 Year Projection-Expanded'!$A97,Projection!CK:CK)</f>
        <v>224.0147952343624</v>
      </c>
    </row>
    <row r="98" spans="1:36" ht="14.25" customHeight="1" x14ac:dyDescent="0.2">
      <c r="A98" s="11">
        <v>6159</v>
      </c>
      <c r="C98" s="9"/>
      <c r="E98" s="11" t="s">
        <v>173</v>
      </c>
      <c r="H98" s="224"/>
      <c r="I98" s="228">
        <f t="array" ref="I98">IFERROR(INDEX(Projection!$B$9:$BE$196,MATCH('7 Year Projection-Expanded'!$A98,Projection!$B$9:$B$196,0),MATCH('7 Year Projection-Expanded'!I$8,Projection!$B$9:$BE$9,0)),0)</f>
        <v>0</v>
      </c>
      <c r="J98" s="29">
        <f t="array" ref="J98">IFERROR(INDEX(Projection!$B$9:$BE$196,MATCH('7 Year Projection-Expanded'!$A98,Projection!$B$9:$B$196,0),MATCH('7 Year Projection-Expanded'!J$8,Projection!$B$9:$BE$9,0)),0)</f>
        <v>0</v>
      </c>
      <c r="K98" s="228">
        <f t="array" ref="K98">IFERROR(INDEX(Projection!$B$9:$BE$196,MATCH('7 Year Projection-Expanded'!$A98,Projection!$B$9:$B$196,0),MATCH('7 Year Projection-Expanded'!K$8,Projection!$B$9:$BE$9,0)),0)</f>
        <v>0</v>
      </c>
      <c r="L98" s="29">
        <f t="array" ref="L98">IFERROR(INDEX(Projection!$B$9:$BE$196,MATCH('7 Year Projection-Expanded'!$A98,Projection!$B$9:$B$196,0),MATCH('7 Year Projection-Expanded'!L$8,Projection!$B$9:$BE$9,0)),0)</f>
        <v>0</v>
      </c>
      <c r="M98" s="228">
        <f t="array" ref="M98">IFERROR(INDEX(Projection!$B$9:$BE$196,MATCH('7 Year Projection-Expanded'!$A98,Projection!$B$9:$B$196,0),MATCH('7 Year Projection-Expanded'!M$8,Projection!$B$9:$BE$9,0)),0)</f>
        <v>0</v>
      </c>
      <c r="N98" s="29">
        <f t="array" ref="N98">IFERROR(INDEX(Projection!$B$9:$BE$196,MATCH('7 Year Projection-Expanded'!$A98,Projection!$B$9:$B$196,0),MATCH('7 Year Projection-Expanded'!N$8,Projection!$B$9:$BE$9,0)),0)</f>
        <v>0</v>
      </c>
      <c r="O98" s="228">
        <f t="array" ref="O98">IFERROR(INDEX(Projection!$B$9:$BE$196,MATCH('7 Year Projection-Expanded'!$A98,Projection!$B$9:$B$196,0),MATCH('7 Year Projection-Expanded'!O$8,Projection!$B$9:$BE$9,0)),0)</f>
        <v>0</v>
      </c>
      <c r="P98" s="29">
        <f t="array" ref="P98">IFERROR(INDEX(Projection!$B$9:$BE$196,MATCH('7 Year Projection-Expanded'!$A98,Projection!$B$9:$B$196,0),MATCH('7 Year Projection-Expanded'!P$8,Projection!$B$9:$BE$9,0)),0)</f>
        <v>0</v>
      </c>
      <c r="Q98" s="228">
        <f t="array" ref="Q98">IFERROR(INDEX(Projection!$B$9:$BE$196,MATCH('7 Year Projection-Expanded'!$A98,Projection!$B$9:$B$196,0),MATCH('7 Year Projection-Expanded'!Q$8,Projection!$B$9:$BE$9,0)),0)</f>
        <v>0</v>
      </c>
      <c r="R98" s="29">
        <f t="array" ref="R98">IFERROR(INDEX(Projection!$B$9:$BE$196,MATCH('7 Year Projection-Expanded'!$A98,Projection!$B$9:$B$196,0),MATCH('7 Year Projection-Expanded'!R$8,Projection!$B$9:$BE$9,0)),0)</f>
        <v>0</v>
      </c>
      <c r="S98" s="228">
        <f t="array" ref="S98">IFERROR(INDEX(Projection!$B$9:$BE$196,MATCH('7 Year Projection-Expanded'!$A98,Projection!$B$9:$B$196,0),MATCH('7 Year Projection-Expanded'!S$8,Projection!$B$9:$BE$9,0)),0)</f>
        <v>0</v>
      </c>
      <c r="T98" s="28">
        <f t="array" ref="T98">IFERROR(INDEX(Projection!$B$9:$BE$196,MATCH('7 Year Projection-Expanded'!$A98,Projection!$B$9:$B$196,0),MATCH('7 Year Projection-Expanded'!T$8,Projection!$B$9:$BE$9,0)),0)</f>
        <v>0</v>
      </c>
      <c r="V98" s="572">
        <f>SUMIF(Projection!$F:$F,'7 Year Projection-Expanded'!$A98,Projection!BW:BW)</f>
        <v>0</v>
      </c>
      <c r="W98" s="29">
        <f>SUMIF(Projection!$F:$F,'7 Year Projection-Expanded'!$A98,Projection!BX:BX)</f>
        <v>0</v>
      </c>
      <c r="X98" s="228">
        <f>SUMIF(Projection!$F:$F,'7 Year Projection-Expanded'!$A98,Projection!BY:BY)</f>
        <v>0</v>
      </c>
      <c r="Y98" s="29">
        <f>SUMIF(Projection!$F:$F,'7 Year Projection-Expanded'!$A98,Projection!BZ:BZ)</f>
        <v>0</v>
      </c>
      <c r="Z98" s="228">
        <f>SUMIF(Projection!$F:$F,'7 Year Projection-Expanded'!$A98,Projection!CA:CA)</f>
        <v>0</v>
      </c>
      <c r="AA98" s="29">
        <f>SUMIF(Projection!$F:$F,'7 Year Projection-Expanded'!$A98,Projection!CB:CB)</f>
        <v>0</v>
      </c>
      <c r="AB98" s="228">
        <f>SUMIF(Projection!$F:$F,'7 Year Projection-Expanded'!$A98,Projection!CC:CC)</f>
        <v>0</v>
      </c>
      <c r="AC98" s="29">
        <f>SUMIF(Projection!$F:$F,'7 Year Projection-Expanded'!$A98,Projection!CD:CD)</f>
        <v>0</v>
      </c>
      <c r="AD98" s="228">
        <f>SUMIF(Projection!$F:$F,'7 Year Projection-Expanded'!$A98,Projection!CE:CE)</f>
        <v>0</v>
      </c>
      <c r="AE98" s="29">
        <f>SUMIF(Projection!$F:$F,'7 Year Projection-Expanded'!$A98,Projection!CF:CF)</f>
        <v>0</v>
      </c>
      <c r="AF98" s="228">
        <f>SUMIF(Projection!$F:$F,'7 Year Projection-Expanded'!$A98,Projection!CG:CG)</f>
        <v>0</v>
      </c>
      <c r="AG98" s="29">
        <f>SUMIF(Projection!$F:$F,'7 Year Projection-Expanded'!$A98,Projection!CH:CH)</f>
        <v>0</v>
      </c>
      <c r="AH98" s="228">
        <f>SUMIF(Projection!$F:$F,'7 Year Projection-Expanded'!$A98,Projection!CI:CI)</f>
        <v>0</v>
      </c>
      <c r="AI98" s="29">
        <f>SUMIF(Projection!$F:$F,'7 Year Projection-Expanded'!$A98,Projection!CJ:CJ)</f>
        <v>0</v>
      </c>
      <c r="AJ98" s="573">
        <f>SUMIF(Projection!$F:$F,'7 Year Projection-Expanded'!$A98,Projection!CK:CK)</f>
        <v>0</v>
      </c>
    </row>
    <row r="99" spans="1:36" ht="14.25" customHeight="1" x14ac:dyDescent="0.2">
      <c r="A99" s="11">
        <v>6160</v>
      </c>
      <c r="C99" s="9"/>
      <c r="E99" s="11" t="s">
        <v>466</v>
      </c>
      <c r="H99" s="224"/>
      <c r="I99" s="228">
        <f t="array" ref="I99">IFERROR(INDEX(Projection!$B$9:$BE$196,MATCH('7 Year Projection-Expanded'!$A99,Projection!$B$9:$B$196,0),MATCH('7 Year Projection-Expanded'!I$8,Projection!$B$9:$BE$9,0)),0)</f>
        <v>0</v>
      </c>
      <c r="J99" s="29">
        <f t="array" ref="J99">IFERROR(INDEX(Projection!$B$9:$BE$196,MATCH('7 Year Projection-Expanded'!$A99,Projection!$B$9:$B$196,0),MATCH('7 Year Projection-Expanded'!J$8,Projection!$B$9:$BE$9,0)),0)</f>
        <v>0</v>
      </c>
      <c r="K99" s="228">
        <f t="array" ref="K99">IFERROR(INDEX(Projection!$B$9:$BE$196,MATCH('7 Year Projection-Expanded'!$A99,Projection!$B$9:$B$196,0),MATCH('7 Year Projection-Expanded'!K$8,Projection!$B$9:$BE$9,0)),0)</f>
        <v>0</v>
      </c>
      <c r="L99" s="29">
        <f t="array" ref="L99">IFERROR(INDEX(Projection!$B$9:$BE$196,MATCH('7 Year Projection-Expanded'!$A99,Projection!$B$9:$B$196,0),MATCH('7 Year Projection-Expanded'!L$8,Projection!$B$9:$BE$9,0)),0)</f>
        <v>0</v>
      </c>
      <c r="M99" s="228">
        <f t="array" ref="M99">IFERROR(INDEX(Projection!$B$9:$BE$196,MATCH('7 Year Projection-Expanded'!$A99,Projection!$B$9:$B$196,0),MATCH('7 Year Projection-Expanded'!M$8,Projection!$B$9:$BE$9,0)),0)</f>
        <v>0</v>
      </c>
      <c r="N99" s="29">
        <f t="array" ref="N99">IFERROR(INDEX(Projection!$B$9:$BE$196,MATCH('7 Year Projection-Expanded'!$A99,Projection!$B$9:$B$196,0),MATCH('7 Year Projection-Expanded'!N$8,Projection!$B$9:$BE$9,0)),0)</f>
        <v>0</v>
      </c>
      <c r="O99" s="228">
        <f t="array" ref="O99">IFERROR(INDEX(Projection!$B$9:$BE$196,MATCH('7 Year Projection-Expanded'!$A99,Projection!$B$9:$B$196,0),MATCH('7 Year Projection-Expanded'!O$8,Projection!$B$9:$BE$9,0)),0)</f>
        <v>0</v>
      </c>
      <c r="P99" s="29">
        <f t="array" ref="P99">IFERROR(INDEX(Projection!$B$9:$BE$196,MATCH('7 Year Projection-Expanded'!$A99,Projection!$B$9:$B$196,0),MATCH('7 Year Projection-Expanded'!P$8,Projection!$B$9:$BE$9,0)),0)</f>
        <v>0</v>
      </c>
      <c r="Q99" s="228">
        <f t="array" ref="Q99">IFERROR(INDEX(Projection!$B$9:$BE$196,MATCH('7 Year Projection-Expanded'!$A99,Projection!$B$9:$B$196,0),MATCH('7 Year Projection-Expanded'!Q$8,Projection!$B$9:$BE$9,0)),0)</f>
        <v>0</v>
      </c>
      <c r="R99" s="29">
        <f t="array" ref="R99">IFERROR(INDEX(Projection!$B$9:$BE$196,MATCH('7 Year Projection-Expanded'!$A99,Projection!$B$9:$B$196,0),MATCH('7 Year Projection-Expanded'!R$8,Projection!$B$9:$BE$9,0)),0)</f>
        <v>0</v>
      </c>
      <c r="S99" s="228">
        <f t="array" ref="S99">IFERROR(INDEX(Projection!$B$9:$BE$196,MATCH('7 Year Projection-Expanded'!$A99,Projection!$B$9:$B$196,0),MATCH('7 Year Projection-Expanded'!S$8,Projection!$B$9:$BE$9,0)),0)</f>
        <v>0</v>
      </c>
      <c r="T99" s="28">
        <f t="array" ref="T99">IFERROR(INDEX(Projection!$B$9:$BE$196,MATCH('7 Year Projection-Expanded'!$A99,Projection!$B$9:$B$196,0),MATCH('7 Year Projection-Expanded'!T$8,Projection!$B$9:$BE$9,0)),0)</f>
        <v>0</v>
      </c>
      <c r="V99" s="572">
        <f>SUMIF(Projection!$F:$F,'7 Year Projection-Expanded'!$A99,Projection!BW:BW)</f>
        <v>0</v>
      </c>
      <c r="W99" s="29">
        <f>SUMIF(Projection!$F:$F,'7 Year Projection-Expanded'!$A99,Projection!BX:BX)</f>
        <v>0</v>
      </c>
      <c r="X99" s="228">
        <f>SUMIF(Projection!$F:$F,'7 Year Projection-Expanded'!$A99,Projection!BY:BY)</f>
        <v>0</v>
      </c>
      <c r="Y99" s="29">
        <f>SUMIF(Projection!$F:$F,'7 Year Projection-Expanded'!$A99,Projection!BZ:BZ)</f>
        <v>0</v>
      </c>
      <c r="Z99" s="228">
        <f>SUMIF(Projection!$F:$F,'7 Year Projection-Expanded'!$A99,Projection!CA:CA)</f>
        <v>0</v>
      </c>
      <c r="AA99" s="29">
        <f>SUMIF(Projection!$F:$F,'7 Year Projection-Expanded'!$A99,Projection!CB:CB)</f>
        <v>0</v>
      </c>
      <c r="AB99" s="228">
        <f>SUMIF(Projection!$F:$F,'7 Year Projection-Expanded'!$A99,Projection!CC:CC)</f>
        <v>0</v>
      </c>
      <c r="AC99" s="29">
        <f>SUMIF(Projection!$F:$F,'7 Year Projection-Expanded'!$A99,Projection!CD:CD)</f>
        <v>0</v>
      </c>
      <c r="AD99" s="228">
        <f>SUMIF(Projection!$F:$F,'7 Year Projection-Expanded'!$A99,Projection!CE:CE)</f>
        <v>0</v>
      </c>
      <c r="AE99" s="29">
        <f>SUMIF(Projection!$F:$F,'7 Year Projection-Expanded'!$A99,Projection!CF:CF)</f>
        <v>0</v>
      </c>
      <c r="AF99" s="228">
        <f>SUMIF(Projection!$F:$F,'7 Year Projection-Expanded'!$A99,Projection!CG:CG)</f>
        <v>0</v>
      </c>
      <c r="AG99" s="29">
        <f>SUMIF(Projection!$F:$F,'7 Year Projection-Expanded'!$A99,Projection!CH:CH)</f>
        <v>0</v>
      </c>
      <c r="AH99" s="228">
        <f>SUMIF(Projection!$F:$F,'7 Year Projection-Expanded'!$A99,Projection!CI:CI)</f>
        <v>0</v>
      </c>
      <c r="AI99" s="29">
        <f>SUMIF(Projection!$F:$F,'7 Year Projection-Expanded'!$A99,Projection!CJ:CJ)</f>
        <v>0</v>
      </c>
      <c r="AJ99" s="573">
        <f>SUMIF(Projection!$F:$F,'7 Year Projection-Expanded'!$A99,Projection!CK:CK)</f>
        <v>0</v>
      </c>
    </row>
    <row r="100" spans="1:36" ht="14.25" customHeight="1" x14ac:dyDescent="0.2">
      <c r="A100" s="11">
        <v>6162</v>
      </c>
      <c r="C100" s="9"/>
      <c r="E100" s="11" t="s">
        <v>183</v>
      </c>
      <c r="H100" s="621"/>
      <c r="I100" s="228">
        <f t="array" ref="I100">IFERROR(INDEX(Projection!$B$9:$BE$196,MATCH('7 Year Projection-Expanded'!$A100,Projection!$B$9:$B$196,0),MATCH('7 Year Projection-Expanded'!I$8,Projection!$B$9:$BE$9,0)),0)</f>
        <v>0</v>
      </c>
      <c r="J100" s="29">
        <f t="array" ref="J100">IFERROR(INDEX(Projection!$B$9:$BE$196,MATCH('7 Year Projection-Expanded'!$A100,Projection!$B$9:$B$196,0),MATCH('7 Year Projection-Expanded'!J$8,Projection!$B$9:$BE$9,0)),0)</f>
        <v>0</v>
      </c>
      <c r="K100" s="228">
        <f t="array" ref="K100">IFERROR(INDEX(Projection!$B$9:$BE$196,MATCH('7 Year Projection-Expanded'!$A100,Projection!$B$9:$B$196,0),MATCH('7 Year Projection-Expanded'!K$8,Projection!$B$9:$BE$9,0)),0)</f>
        <v>0</v>
      </c>
      <c r="L100" s="29">
        <f t="array" ref="L100">IFERROR(INDEX(Projection!$B$9:$BE$196,MATCH('7 Year Projection-Expanded'!$A100,Projection!$B$9:$B$196,0),MATCH('7 Year Projection-Expanded'!L$8,Projection!$B$9:$BE$9,0)),0)</f>
        <v>0</v>
      </c>
      <c r="M100" s="228">
        <f t="array" ref="M100">IFERROR(INDEX(Projection!$B$9:$BE$196,MATCH('7 Year Projection-Expanded'!$A100,Projection!$B$9:$B$196,0),MATCH('7 Year Projection-Expanded'!M$8,Projection!$B$9:$BE$9,0)),0)</f>
        <v>0</v>
      </c>
      <c r="N100" s="29">
        <f t="array" ref="N100">IFERROR(INDEX(Projection!$B$9:$BE$196,MATCH('7 Year Projection-Expanded'!$A100,Projection!$B$9:$B$196,0),MATCH('7 Year Projection-Expanded'!N$8,Projection!$B$9:$BE$9,0)),0)</f>
        <v>0</v>
      </c>
      <c r="O100" s="228">
        <f t="array" ref="O100">IFERROR(INDEX(Projection!$B$9:$BE$196,MATCH('7 Year Projection-Expanded'!$A100,Projection!$B$9:$B$196,0),MATCH('7 Year Projection-Expanded'!O$8,Projection!$B$9:$BE$9,0)),0)</f>
        <v>0</v>
      </c>
      <c r="P100" s="29">
        <f t="array" ref="P100">IFERROR(INDEX(Projection!$B$9:$BE$196,MATCH('7 Year Projection-Expanded'!$A100,Projection!$B$9:$B$196,0),MATCH('7 Year Projection-Expanded'!P$8,Projection!$B$9:$BE$9,0)),0)</f>
        <v>0</v>
      </c>
      <c r="Q100" s="228">
        <f t="array" ref="Q100">IFERROR(INDEX(Projection!$B$9:$BE$196,MATCH('7 Year Projection-Expanded'!$A100,Projection!$B$9:$B$196,0),MATCH('7 Year Projection-Expanded'!Q$8,Projection!$B$9:$BE$9,0)),0)</f>
        <v>0</v>
      </c>
      <c r="R100" s="29">
        <f t="array" ref="R100">IFERROR(INDEX(Projection!$B$9:$BE$196,MATCH('7 Year Projection-Expanded'!$A100,Projection!$B$9:$B$196,0),MATCH('7 Year Projection-Expanded'!R$8,Projection!$B$9:$BE$9,0)),0)</f>
        <v>0</v>
      </c>
      <c r="S100" s="228">
        <f t="array" ref="S100">IFERROR(INDEX(Projection!$B$9:$BE$196,MATCH('7 Year Projection-Expanded'!$A100,Projection!$B$9:$B$196,0),MATCH('7 Year Projection-Expanded'!S$8,Projection!$B$9:$BE$9,0)),0)</f>
        <v>0</v>
      </c>
      <c r="T100" s="28">
        <f t="array" ref="T100">IFERROR(INDEX(Projection!$B$9:$BE$196,MATCH('7 Year Projection-Expanded'!$A100,Projection!$B$9:$B$196,0),MATCH('7 Year Projection-Expanded'!T$8,Projection!$B$9:$BE$9,0)),0)</f>
        <v>0</v>
      </c>
      <c r="V100" s="572">
        <f>SUMIF(Projection!$F:$F,'7 Year Projection-Expanded'!$A100,Projection!BW:BW)</f>
        <v>0</v>
      </c>
      <c r="W100" s="29">
        <f>SUMIF(Projection!$F:$F,'7 Year Projection-Expanded'!$A100,Projection!BX:BX)</f>
        <v>0</v>
      </c>
      <c r="X100" s="228">
        <f>SUMIF(Projection!$F:$F,'7 Year Projection-Expanded'!$A100,Projection!BY:BY)</f>
        <v>0</v>
      </c>
      <c r="Y100" s="29">
        <f>SUMIF(Projection!$F:$F,'7 Year Projection-Expanded'!$A100,Projection!BZ:BZ)</f>
        <v>0</v>
      </c>
      <c r="Z100" s="228">
        <f>SUMIF(Projection!$F:$F,'7 Year Projection-Expanded'!$A100,Projection!CA:CA)</f>
        <v>0</v>
      </c>
      <c r="AA100" s="29">
        <f>SUMIF(Projection!$F:$F,'7 Year Projection-Expanded'!$A100,Projection!CB:CB)</f>
        <v>0</v>
      </c>
      <c r="AB100" s="228">
        <f>SUMIF(Projection!$F:$F,'7 Year Projection-Expanded'!$A100,Projection!CC:CC)</f>
        <v>0</v>
      </c>
      <c r="AC100" s="29">
        <f>SUMIF(Projection!$F:$F,'7 Year Projection-Expanded'!$A100,Projection!CD:CD)</f>
        <v>0</v>
      </c>
      <c r="AD100" s="228">
        <f>SUMIF(Projection!$F:$F,'7 Year Projection-Expanded'!$A100,Projection!CE:CE)</f>
        <v>0</v>
      </c>
      <c r="AE100" s="29">
        <f>SUMIF(Projection!$F:$F,'7 Year Projection-Expanded'!$A100,Projection!CF:CF)</f>
        <v>0</v>
      </c>
      <c r="AF100" s="228">
        <f>SUMIF(Projection!$F:$F,'7 Year Projection-Expanded'!$A100,Projection!CG:CG)</f>
        <v>0</v>
      </c>
      <c r="AG100" s="29">
        <f>SUMIF(Projection!$F:$F,'7 Year Projection-Expanded'!$A100,Projection!CH:CH)</f>
        <v>0</v>
      </c>
      <c r="AH100" s="228">
        <f>SUMIF(Projection!$F:$F,'7 Year Projection-Expanded'!$A100,Projection!CI:CI)</f>
        <v>0</v>
      </c>
      <c r="AI100" s="29">
        <f>SUMIF(Projection!$F:$F,'7 Year Projection-Expanded'!$A100,Projection!CJ:CJ)</f>
        <v>0</v>
      </c>
      <c r="AJ100" s="573">
        <f>SUMIF(Projection!$F:$F,'7 Year Projection-Expanded'!$A100,Projection!CK:CK)</f>
        <v>0</v>
      </c>
    </row>
    <row r="101" spans="1:36" ht="14.25" customHeight="1" x14ac:dyDescent="0.2">
      <c r="A101" s="11">
        <v>6163</v>
      </c>
      <c r="C101" s="9"/>
      <c r="E101" s="11" t="s">
        <v>186</v>
      </c>
      <c r="I101" s="228">
        <f t="array" ref="I101">IFERROR(INDEX(Projection!$B$9:$BE$196,MATCH('7 Year Projection-Expanded'!$A101,Projection!$B$9:$B$196,0),MATCH('7 Year Projection-Expanded'!I$8,Projection!$B$9:$BE$9,0)),0)</f>
        <v>43</v>
      </c>
      <c r="J101" s="29">
        <f t="array" ref="J101">IFERROR(INDEX(Projection!$B$9:$BE$196,MATCH('7 Year Projection-Expanded'!$A101,Projection!$B$9:$B$196,0),MATCH('7 Year Projection-Expanded'!J$8,Projection!$B$9:$BE$9,0)),0)</f>
        <v>43</v>
      </c>
      <c r="K101" s="228">
        <f t="array" ref="K101">IFERROR(INDEX(Projection!$B$9:$BE$196,MATCH('7 Year Projection-Expanded'!$A101,Projection!$B$9:$B$196,0),MATCH('7 Year Projection-Expanded'!K$8,Projection!$B$9:$BE$9,0)),0)</f>
        <v>43</v>
      </c>
      <c r="L101" s="29">
        <f t="array" ref="L101">IFERROR(INDEX(Projection!$B$9:$BE$196,MATCH('7 Year Projection-Expanded'!$A101,Projection!$B$9:$B$196,0),MATCH('7 Year Projection-Expanded'!L$8,Projection!$B$9:$BE$9,0)),0)</f>
        <v>43</v>
      </c>
      <c r="M101" s="228">
        <f t="array" ref="M101">IFERROR(INDEX(Projection!$B$9:$BE$196,MATCH('7 Year Projection-Expanded'!$A101,Projection!$B$9:$B$196,0),MATCH('7 Year Projection-Expanded'!M$8,Projection!$B$9:$BE$9,0)),0)</f>
        <v>43</v>
      </c>
      <c r="N101" s="29">
        <f t="array" ref="N101">IFERROR(INDEX(Projection!$B$9:$BE$196,MATCH('7 Year Projection-Expanded'!$A101,Projection!$B$9:$B$196,0),MATCH('7 Year Projection-Expanded'!N$8,Projection!$B$9:$BE$9,0)),0)</f>
        <v>43</v>
      </c>
      <c r="O101" s="228">
        <f t="array" ref="O101">IFERROR(INDEX(Projection!$B$9:$BE$196,MATCH('7 Year Projection-Expanded'!$A101,Projection!$B$9:$B$196,0),MATCH('7 Year Projection-Expanded'!O$8,Projection!$B$9:$BE$9,0)),0)</f>
        <v>43</v>
      </c>
      <c r="P101" s="29">
        <f t="array" ref="P101">IFERROR(INDEX(Projection!$B$9:$BE$196,MATCH('7 Year Projection-Expanded'!$A101,Projection!$B$9:$B$196,0),MATCH('7 Year Projection-Expanded'!P$8,Projection!$B$9:$BE$9,0)),0)</f>
        <v>43</v>
      </c>
      <c r="Q101" s="228">
        <f t="array" ref="Q101">IFERROR(INDEX(Projection!$B$9:$BE$196,MATCH('7 Year Projection-Expanded'!$A101,Projection!$B$9:$B$196,0),MATCH('7 Year Projection-Expanded'!Q$8,Projection!$B$9:$BE$9,0)),0)</f>
        <v>43</v>
      </c>
      <c r="R101" s="29">
        <f t="array" ref="R101">IFERROR(INDEX(Projection!$B$9:$BE$196,MATCH('7 Year Projection-Expanded'!$A101,Projection!$B$9:$B$196,0),MATCH('7 Year Projection-Expanded'!R$8,Projection!$B$9:$BE$9,0)),0)</f>
        <v>43</v>
      </c>
      <c r="S101" s="228">
        <f t="array" ref="S101">IFERROR(INDEX(Projection!$B$9:$BE$196,MATCH('7 Year Projection-Expanded'!$A101,Projection!$B$9:$B$196,0),MATCH('7 Year Projection-Expanded'!S$8,Projection!$B$9:$BE$9,0)),0)</f>
        <v>43</v>
      </c>
      <c r="T101" s="28">
        <f t="array" ref="T101">IFERROR(INDEX(Projection!$B$9:$BE$196,MATCH('7 Year Projection-Expanded'!$A101,Projection!$B$9:$B$196,0),MATCH('7 Year Projection-Expanded'!T$8,Projection!$B$9:$BE$9,0)),0)</f>
        <v>43</v>
      </c>
      <c r="V101" s="572">
        <f>SUMIF(Projection!$F:$F,'7 Year Projection-Expanded'!$A101,Projection!BW:BW)</f>
        <v>516</v>
      </c>
      <c r="W101" s="29">
        <f>SUMIF(Projection!$F:$F,'7 Year Projection-Expanded'!$A101,Projection!BX:BX)</f>
        <v>528.9</v>
      </c>
      <c r="X101" s="228">
        <f>SUMIF(Projection!$F:$F,'7 Year Projection-Expanded'!$A101,Projection!BY:BY)</f>
        <v>542.12249999999983</v>
      </c>
      <c r="Y101" s="29">
        <f>SUMIF(Projection!$F:$F,'7 Year Projection-Expanded'!$A101,Projection!BZ:BZ)</f>
        <v>555.67556249999984</v>
      </c>
      <c r="Z101" s="228">
        <f>SUMIF(Projection!$F:$F,'7 Year Projection-Expanded'!$A101,Projection!CA:CA)</f>
        <v>569.56745156249974</v>
      </c>
      <c r="AA101" s="29">
        <f>SUMIF(Projection!$F:$F,'7 Year Projection-Expanded'!$A101,Projection!CB:CB)</f>
        <v>583.80663785156219</v>
      </c>
      <c r="AB101" s="228">
        <f>SUMIF(Projection!$F:$F,'7 Year Projection-Expanded'!$A101,Projection!CC:CC)</f>
        <v>598.40180379785124</v>
      </c>
      <c r="AC101" s="29">
        <f>SUMIF(Projection!$F:$F,'7 Year Projection-Expanded'!$A101,Projection!CD:CD)</f>
        <v>613.36184889279752</v>
      </c>
      <c r="AD101" s="228">
        <f>SUMIF(Projection!$F:$F,'7 Year Projection-Expanded'!$A101,Projection!CE:CE)</f>
        <v>628.69589511511742</v>
      </c>
      <c r="AE101" s="29">
        <f>SUMIF(Projection!$F:$F,'7 Year Projection-Expanded'!$A101,Projection!CF:CF)</f>
        <v>644.41329249299531</v>
      </c>
      <c r="AF101" s="228">
        <f>SUMIF(Projection!$F:$F,'7 Year Projection-Expanded'!$A101,Projection!CG:CG)</f>
        <v>660.52362480532008</v>
      </c>
      <c r="AG101" s="29">
        <f>SUMIF(Projection!$F:$F,'7 Year Projection-Expanded'!$A101,Projection!CH:CH)</f>
        <v>677.03671542545305</v>
      </c>
      <c r="AH101" s="228">
        <f>SUMIF(Projection!$F:$F,'7 Year Projection-Expanded'!$A101,Projection!CI:CI)</f>
        <v>693.96263331108935</v>
      </c>
      <c r="AI101" s="29">
        <f>SUMIF(Projection!$F:$F,'7 Year Projection-Expanded'!$A101,Projection!CJ:CJ)</f>
        <v>711.31169914386658</v>
      </c>
      <c r="AJ101" s="573">
        <f>SUMIF(Projection!$F:$F,'7 Year Projection-Expanded'!$A101,Projection!CK:CK)</f>
        <v>729.09449162246312</v>
      </c>
    </row>
    <row r="102" spans="1:36" ht="14.25" customHeight="1" x14ac:dyDescent="0.2">
      <c r="A102" s="11">
        <v>6164</v>
      </c>
      <c r="C102" s="9"/>
      <c r="E102" s="11" t="s">
        <v>203</v>
      </c>
      <c r="H102" s="622"/>
      <c r="I102" s="228">
        <f t="array" ref="I102">IFERROR(INDEX(Projection!$B$9:$BE$196,MATCH('7 Year Projection-Expanded'!$A102,Projection!$B$9:$B$196,0),MATCH('7 Year Projection-Expanded'!I$8,Projection!$B$9:$BE$9,0)),0)</f>
        <v>0</v>
      </c>
      <c r="J102" s="29">
        <f t="array" ref="J102">IFERROR(INDEX(Projection!$B$9:$BE$196,MATCH('7 Year Projection-Expanded'!$A102,Projection!$B$9:$B$196,0),MATCH('7 Year Projection-Expanded'!J$8,Projection!$B$9:$BE$9,0)),0)</f>
        <v>0</v>
      </c>
      <c r="K102" s="228">
        <f t="array" ref="K102">IFERROR(INDEX(Projection!$B$9:$BE$196,MATCH('7 Year Projection-Expanded'!$A102,Projection!$B$9:$B$196,0),MATCH('7 Year Projection-Expanded'!K$8,Projection!$B$9:$BE$9,0)),0)</f>
        <v>0</v>
      </c>
      <c r="L102" s="29">
        <f t="array" ref="L102">IFERROR(INDEX(Projection!$B$9:$BE$196,MATCH('7 Year Projection-Expanded'!$A102,Projection!$B$9:$B$196,0),MATCH('7 Year Projection-Expanded'!L$8,Projection!$B$9:$BE$9,0)),0)</f>
        <v>0</v>
      </c>
      <c r="M102" s="228">
        <f t="array" ref="M102">IFERROR(INDEX(Projection!$B$9:$BE$196,MATCH('7 Year Projection-Expanded'!$A102,Projection!$B$9:$B$196,0),MATCH('7 Year Projection-Expanded'!M$8,Projection!$B$9:$BE$9,0)),0)</f>
        <v>0</v>
      </c>
      <c r="N102" s="29">
        <f t="array" ref="N102">IFERROR(INDEX(Projection!$B$9:$BE$196,MATCH('7 Year Projection-Expanded'!$A102,Projection!$B$9:$B$196,0),MATCH('7 Year Projection-Expanded'!N$8,Projection!$B$9:$BE$9,0)),0)</f>
        <v>0</v>
      </c>
      <c r="O102" s="228">
        <f t="array" ref="O102">IFERROR(INDEX(Projection!$B$9:$BE$196,MATCH('7 Year Projection-Expanded'!$A102,Projection!$B$9:$B$196,0),MATCH('7 Year Projection-Expanded'!O$8,Projection!$B$9:$BE$9,0)),0)</f>
        <v>0</v>
      </c>
      <c r="P102" s="29">
        <f t="array" ref="P102">IFERROR(INDEX(Projection!$B$9:$BE$196,MATCH('7 Year Projection-Expanded'!$A102,Projection!$B$9:$B$196,0),MATCH('7 Year Projection-Expanded'!P$8,Projection!$B$9:$BE$9,0)),0)</f>
        <v>0</v>
      </c>
      <c r="Q102" s="228">
        <f t="array" ref="Q102">IFERROR(INDEX(Projection!$B$9:$BE$196,MATCH('7 Year Projection-Expanded'!$A102,Projection!$B$9:$B$196,0),MATCH('7 Year Projection-Expanded'!Q$8,Projection!$B$9:$BE$9,0)),0)</f>
        <v>0</v>
      </c>
      <c r="R102" s="29">
        <f t="array" ref="R102">IFERROR(INDEX(Projection!$B$9:$BE$196,MATCH('7 Year Projection-Expanded'!$A102,Projection!$B$9:$B$196,0),MATCH('7 Year Projection-Expanded'!R$8,Projection!$B$9:$BE$9,0)),0)</f>
        <v>0</v>
      </c>
      <c r="S102" s="228">
        <f t="array" ref="S102">IFERROR(INDEX(Projection!$B$9:$BE$196,MATCH('7 Year Projection-Expanded'!$A102,Projection!$B$9:$B$196,0),MATCH('7 Year Projection-Expanded'!S$8,Projection!$B$9:$BE$9,0)),0)</f>
        <v>0</v>
      </c>
      <c r="T102" s="28">
        <f t="array" ref="T102">IFERROR(INDEX(Projection!$B$9:$BE$196,MATCH('7 Year Projection-Expanded'!$A102,Projection!$B$9:$B$196,0),MATCH('7 Year Projection-Expanded'!T$8,Projection!$B$9:$BE$9,0)),0)</f>
        <v>0</v>
      </c>
      <c r="V102" s="572">
        <f>SUMIF(Projection!$F:$F,'7 Year Projection-Expanded'!$A102,Projection!BW:BW)</f>
        <v>0</v>
      </c>
      <c r="W102" s="29">
        <f>SUMIF(Projection!$F:$F,'7 Year Projection-Expanded'!$A102,Projection!BX:BX)</f>
        <v>0</v>
      </c>
      <c r="X102" s="228">
        <f>SUMIF(Projection!$F:$F,'7 Year Projection-Expanded'!$A102,Projection!BY:BY)</f>
        <v>0</v>
      </c>
      <c r="Y102" s="29">
        <f>SUMIF(Projection!$F:$F,'7 Year Projection-Expanded'!$A102,Projection!BZ:BZ)</f>
        <v>0</v>
      </c>
      <c r="Z102" s="228">
        <f>SUMIF(Projection!$F:$F,'7 Year Projection-Expanded'!$A102,Projection!CA:CA)</f>
        <v>0</v>
      </c>
      <c r="AA102" s="29">
        <f>SUMIF(Projection!$F:$F,'7 Year Projection-Expanded'!$A102,Projection!CB:CB)</f>
        <v>0</v>
      </c>
      <c r="AB102" s="228">
        <f>SUMIF(Projection!$F:$F,'7 Year Projection-Expanded'!$A102,Projection!CC:CC)</f>
        <v>0</v>
      </c>
      <c r="AC102" s="29">
        <f>SUMIF(Projection!$F:$F,'7 Year Projection-Expanded'!$A102,Projection!CD:CD)</f>
        <v>0</v>
      </c>
      <c r="AD102" s="228">
        <f>SUMIF(Projection!$F:$F,'7 Year Projection-Expanded'!$A102,Projection!CE:CE)</f>
        <v>0</v>
      </c>
      <c r="AE102" s="29">
        <f>SUMIF(Projection!$F:$F,'7 Year Projection-Expanded'!$A102,Projection!CF:CF)</f>
        <v>0</v>
      </c>
      <c r="AF102" s="228">
        <f>SUMIF(Projection!$F:$F,'7 Year Projection-Expanded'!$A102,Projection!CG:CG)</f>
        <v>0</v>
      </c>
      <c r="AG102" s="29">
        <f>SUMIF(Projection!$F:$F,'7 Year Projection-Expanded'!$A102,Projection!CH:CH)</f>
        <v>0</v>
      </c>
      <c r="AH102" s="228">
        <f>SUMIF(Projection!$F:$F,'7 Year Projection-Expanded'!$A102,Projection!CI:CI)</f>
        <v>0</v>
      </c>
      <c r="AI102" s="29">
        <f>SUMIF(Projection!$F:$F,'7 Year Projection-Expanded'!$A102,Projection!CJ:CJ)</f>
        <v>0</v>
      </c>
      <c r="AJ102" s="573">
        <f>SUMIF(Projection!$F:$F,'7 Year Projection-Expanded'!$A102,Projection!CK:CK)</f>
        <v>0</v>
      </c>
    </row>
    <row r="103" spans="1:36" ht="14.25" customHeight="1" x14ac:dyDescent="0.2">
      <c r="A103" s="11">
        <v>6166</v>
      </c>
      <c r="C103" s="9"/>
      <c r="E103" s="11" t="s">
        <v>189</v>
      </c>
      <c r="I103" s="228">
        <f t="array" ref="I103">IFERROR(INDEX(Projection!$B$9:$BE$196,MATCH('7 Year Projection-Expanded'!$A103,Projection!$B$9:$B$196,0),MATCH('7 Year Projection-Expanded'!I$8,Projection!$B$9:$BE$9,0)),0)</f>
        <v>0</v>
      </c>
      <c r="J103" s="29">
        <f t="array" ref="J103">IFERROR(INDEX(Projection!$B$9:$BE$196,MATCH('7 Year Projection-Expanded'!$A103,Projection!$B$9:$B$196,0),MATCH('7 Year Projection-Expanded'!J$8,Projection!$B$9:$BE$9,0)),0)</f>
        <v>0</v>
      </c>
      <c r="K103" s="228">
        <f t="array" ref="K103">IFERROR(INDEX(Projection!$B$9:$BE$196,MATCH('7 Year Projection-Expanded'!$A103,Projection!$B$9:$B$196,0),MATCH('7 Year Projection-Expanded'!K$8,Projection!$B$9:$BE$9,0)),0)</f>
        <v>0</v>
      </c>
      <c r="L103" s="29">
        <f t="array" ref="L103">IFERROR(INDEX(Projection!$B$9:$BE$196,MATCH('7 Year Projection-Expanded'!$A103,Projection!$B$9:$B$196,0),MATCH('7 Year Projection-Expanded'!L$8,Projection!$B$9:$BE$9,0)),0)</f>
        <v>0</v>
      </c>
      <c r="M103" s="228">
        <f t="array" ref="M103">IFERROR(INDEX(Projection!$B$9:$BE$196,MATCH('7 Year Projection-Expanded'!$A103,Projection!$B$9:$B$196,0),MATCH('7 Year Projection-Expanded'!M$8,Projection!$B$9:$BE$9,0)),0)</f>
        <v>0</v>
      </c>
      <c r="N103" s="29">
        <f t="array" ref="N103">IFERROR(INDEX(Projection!$B$9:$BE$196,MATCH('7 Year Projection-Expanded'!$A103,Projection!$B$9:$B$196,0),MATCH('7 Year Projection-Expanded'!N$8,Projection!$B$9:$BE$9,0)),0)</f>
        <v>0</v>
      </c>
      <c r="O103" s="228">
        <f t="array" ref="O103">IFERROR(INDEX(Projection!$B$9:$BE$196,MATCH('7 Year Projection-Expanded'!$A103,Projection!$B$9:$B$196,0),MATCH('7 Year Projection-Expanded'!O$8,Projection!$B$9:$BE$9,0)),0)</f>
        <v>0</v>
      </c>
      <c r="P103" s="29">
        <f t="array" ref="P103">IFERROR(INDEX(Projection!$B$9:$BE$196,MATCH('7 Year Projection-Expanded'!$A103,Projection!$B$9:$B$196,0),MATCH('7 Year Projection-Expanded'!P$8,Projection!$B$9:$BE$9,0)),0)</f>
        <v>0</v>
      </c>
      <c r="Q103" s="228">
        <f t="array" ref="Q103">IFERROR(INDEX(Projection!$B$9:$BE$196,MATCH('7 Year Projection-Expanded'!$A103,Projection!$B$9:$B$196,0),MATCH('7 Year Projection-Expanded'!Q$8,Projection!$B$9:$BE$9,0)),0)</f>
        <v>0</v>
      </c>
      <c r="R103" s="29">
        <f t="array" ref="R103">IFERROR(INDEX(Projection!$B$9:$BE$196,MATCH('7 Year Projection-Expanded'!$A103,Projection!$B$9:$B$196,0),MATCH('7 Year Projection-Expanded'!R$8,Projection!$B$9:$BE$9,0)),0)</f>
        <v>0</v>
      </c>
      <c r="S103" s="228">
        <f t="array" ref="S103">IFERROR(INDEX(Projection!$B$9:$BE$196,MATCH('7 Year Projection-Expanded'!$A103,Projection!$B$9:$B$196,0),MATCH('7 Year Projection-Expanded'!S$8,Projection!$B$9:$BE$9,0)),0)</f>
        <v>0</v>
      </c>
      <c r="T103" s="28">
        <f t="array" ref="T103">IFERROR(INDEX(Projection!$B$9:$BE$196,MATCH('7 Year Projection-Expanded'!$A103,Projection!$B$9:$B$196,0),MATCH('7 Year Projection-Expanded'!T$8,Projection!$B$9:$BE$9,0)),0)</f>
        <v>0</v>
      </c>
      <c r="V103" s="572">
        <f>SUMIF(Projection!$F:$F,'7 Year Projection-Expanded'!$A103,Projection!BW:BW)</f>
        <v>0</v>
      </c>
      <c r="W103" s="29">
        <f>SUMIF(Projection!$F:$F,'7 Year Projection-Expanded'!$A103,Projection!BX:BX)</f>
        <v>0</v>
      </c>
      <c r="X103" s="228">
        <f>SUMIF(Projection!$F:$F,'7 Year Projection-Expanded'!$A103,Projection!BY:BY)</f>
        <v>0</v>
      </c>
      <c r="Y103" s="29">
        <f>SUMIF(Projection!$F:$F,'7 Year Projection-Expanded'!$A103,Projection!BZ:BZ)</f>
        <v>0</v>
      </c>
      <c r="Z103" s="228">
        <f>SUMIF(Projection!$F:$F,'7 Year Projection-Expanded'!$A103,Projection!CA:CA)</f>
        <v>0</v>
      </c>
      <c r="AA103" s="29">
        <f>SUMIF(Projection!$F:$F,'7 Year Projection-Expanded'!$A103,Projection!CB:CB)</f>
        <v>0</v>
      </c>
      <c r="AB103" s="228">
        <f>SUMIF(Projection!$F:$F,'7 Year Projection-Expanded'!$A103,Projection!CC:CC)</f>
        <v>0</v>
      </c>
      <c r="AC103" s="29">
        <f>SUMIF(Projection!$F:$F,'7 Year Projection-Expanded'!$A103,Projection!CD:CD)</f>
        <v>0</v>
      </c>
      <c r="AD103" s="228">
        <f>SUMIF(Projection!$F:$F,'7 Year Projection-Expanded'!$A103,Projection!CE:CE)</f>
        <v>0</v>
      </c>
      <c r="AE103" s="29">
        <f>SUMIF(Projection!$F:$F,'7 Year Projection-Expanded'!$A103,Projection!CF:CF)</f>
        <v>0</v>
      </c>
      <c r="AF103" s="228">
        <f>SUMIF(Projection!$F:$F,'7 Year Projection-Expanded'!$A103,Projection!CG:CG)</f>
        <v>0</v>
      </c>
      <c r="AG103" s="29">
        <f>SUMIF(Projection!$F:$F,'7 Year Projection-Expanded'!$A103,Projection!CH:CH)</f>
        <v>0</v>
      </c>
      <c r="AH103" s="228">
        <f>SUMIF(Projection!$F:$F,'7 Year Projection-Expanded'!$A103,Projection!CI:CI)</f>
        <v>0</v>
      </c>
      <c r="AI103" s="29">
        <f>SUMIF(Projection!$F:$F,'7 Year Projection-Expanded'!$A103,Projection!CJ:CJ)</f>
        <v>0</v>
      </c>
      <c r="AJ103" s="573">
        <f>SUMIF(Projection!$F:$F,'7 Year Projection-Expanded'!$A103,Projection!CK:CK)</f>
        <v>0</v>
      </c>
    </row>
    <row r="104" spans="1:36" ht="14.25" customHeight="1" x14ac:dyDescent="0.2">
      <c r="A104" s="11">
        <v>6168</v>
      </c>
      <c r="C104" s="9"/>
      <c r="E104" s="11" t="s">
        <v>194</v>
      </c>
      <c r="H104" s="224"/>
      <c r="I104" s="228">
        <f t="array" ref="I104">IFERROR(INDEX(Projection!$B$9:$BE$196,MATCH('7 Year Projection-Expanded'!$A104,Projection!$B$9:$B$196,0),MATCH('7 Year Projection-Expanded'!I$8,Projection!$B$9:$BE$9,0)),0)</f>
        <v>135</v>
      </c>
      <c r="J104" s="29">
        <f t="array" ref="J104">IFERROR(INDEX(Projection!$B$9:$BE$196,MATCH('7 Year Projection-Expanded'!$A104,Projection!$B$9:$B$196,0),MATCH('7 Year Projection-Expanded'!J$8,Projection!$B$9:$BE$9,0)),0)</f>
        <v>0</v>
      </c>
      <c r="K104" s="228">
        <f t="array" ref="K104">IFERROR(INDEX(Projection!$B$9:$BE$196,MATCH('7 Year Projection-Expanded'!$A104,Projection!$B$9:$B$196,0),MATCH('7 Year Projection-Expanded'!K$8,Projection!$B$9:$BE$9,0)),0)</f>
        <v>0</v>
      </c>
      <c r="L104" s="29">
        <f t="array" ref="L104">IFERROR(INDEX(Projection!$B$9:$BE$196,MATCH('7 Year Projection-Expanded'!$A104,Projection!$B$9:$B$196,0),MATCH('7 Year Projection-Expanded'!L$8,Projection!$B$9:$BE$9,0)),0)</f>
        <v>0</v>
      </c>
      <c r="M104" s="228">
        <f t="array" ref="M104">IFERROR(INDEX(Projection!$B$9:$BE$196,MATCH('7 Year Projection-Expanded'!$A104,Projection!$B$9:$B$196,0),MATCH('7 Year Projection-Expanded'!M$8,Projection!$B$9:$BE$9,0)),0)</f>
        <v>0</v>
      </c>
      <c r="N104" s="29">
        <f t="array" ref="N104">IFERROR(INDEX(Projection!$B$9:$BE$196,MATCH('7 Year Projection-Expanded'!$A104,Projection!$B$9:$B$196,0),MATCH('7 Year Projection-Expanded'!N$8,Projection!$B$9:$BE$9,0)),0)</f>
        <v>0</v>
      </c>
      <c r="O104" s="228">
        <f t="array" ref="O104">IFERROR(INDEX(Projection!$B$9:$BE$196,MATCH('7 Year Projection-Expanded'!$A104,Projection!$B$9:$B$196,0),MATCH('7 Year Projection-Expanded'!O$8,Projection!$B$9:$BE$9,0)),0)</f>
        <v>0</v>
      </c>
      <c r="P104" s="29">
        <f t="array" ref="P104">IFERROR(INDEX(Projection!$B$9:$BE$196,MATCH('7 Year Projection-Expanded'!$A104,Projection!$B$9:$B$196,0),MATCH('7 Year Projection-Expanded'!P$8,Projection!$B$9:$BE$9,0)),0)</f>
        <v>0</v>
      </c>
      <c r="Q104" s="228">
        <f t="array" ref="Q104">IFERROR(INDEX(Projection!$B$9:$BE$196,MATCH('7 Year Projection-Expanded'!$A104,Projection!$B$9:$B$196,0),MATCH('7 Year Projection-Expanded'!Q$8,Projection!$B$9:$BE$9,0)),0)</f>
        <v>0</v>
      </c>
      <c r="R104" s="29">
        <f t="array" ref="R104">IFERROR(INDEX(Projection!$B$9:$BE$196,MATCH('7 Year Projection-Expanded'!$A104,Projection!$B$9:$B$196,0),MATCH('7 Year Projection-Expanded'!R$8,Projection!$B$9:$BE$9,0)),0)</f>
        <v>0</v>
      </c>
      <c r="S104" s="228">
        <f t="array" ref="S104">IFERROR(INDEX(Projection!$B$9:$BE$196,MATCH('7 Year Projection-Expanded'!$A104,Projection!$B$9:$B$196,0),MATCH('7 Year Projection-Expanded'!S$8,Projection!$B$9:$BE$9,0)),0)</f>
        <v>0</v>
      </c>
      <c r="T104" s="28">
        <f t="array" ref="T104">IFERROR(INDEX(Projection!$B$9:$BE$196,MATCH('7 Year Projection-Expanded'!$A104,Projection!$B$9:$B$196,0),MATCH('7 Year Projection-Expanded'!T$8,Projection!$B$9:$BE$9,0)),0)</f>
        <v>0</v>
      </c>
      <c r="V104" s="572">
        <f>SUMIF(Projection!$F:$F,'7 Year Projection-Expanded'!$A104,Projection!BW:BW)</f>
        <v>135</v>
      </c>
      <c r="W104" s="29">
        <f>SUMIF(Projection!$F:$F,'7 Year Projection-Expanded'!$A104,Projection!BX:BX)</f>
        <v>138.375</v>
      </c>
      <c r="X104" s="228">
        <f>SUMIF(Projection!$F:$F,'7 Year Projection-Expanded'!$A104,Projection!BY:BY)</f>
        <v>141.83437499999999</v>
      </c>
      <c r="Y104" s="29">
        <f>SUMIF(Projection!$F:$F,'7 Year Projection-Expanded'!$A104,Projection!BZ:BZ)</f>
        <v>145.38023437499999</v>
      </c>
      <c r="Z104" s="228">
        <f>SUMIF(Projection!$F:$F,'7 Year Projection-Expanded'!$A104,Projection!CA:CA)</f>
        <v>149.01474023437498</v>
      </c>
      <c r="AA104" s="29">
        <f>SUMIF(Projection!$F:$F,'7 Year Projection-Expanded'!$A104,Projection!CB:CB)</f>
        <v>152.74010874023435</v>
      </c>
      <c r="AB104" s="228">
        <f>SUMIF(Projection!$F:$F,'7 Year Projection-Expanded'!$A104,Projection!CC:CC)</f>
        <v>156.55861145874019</v>
      </c>
      <c r="AC104" s="29">
        <f>SUMIF(Projection!$F:$F,'7 Year Projection-Expanded'!$A104,Projection!CD:CD)</f>
        <v>160.47257674520867</v>
      </c>
      <c r="AD104" s="228">
        <f>SUMIF(Projection!$F:$F,'7 Year Projection-Expanded'!$A104,Projection!CE:CE)</f>
        <v>164.48439116383886</v>
      </c>
      <c r="AE104" s="29">
        <f>SUMIF(Projection!$F:$F,'7 Year Projection-Expanded'!$A104,Projection!CF:CF)</f>
        <v>168.59650094293482</v>
      </c>
      <c r="AF104" s="228">
        <f>SUMIF(Projection!$F:$F,'7 Year Projection-Expanded'!$A104,Projection!CG:CG)</f>
        <v>172.81141346650818</v>
      </c>
      <c r="AG104" s="29">
        <f>SUMIF(Projection!$F:$F,'7 Year Projection-Expanded'!$A104,Projection!CH:CH)</f>
        <v>177.13169880317088</v>
      </c>
      <c r="AH104" s="228">
        <f>SUMIF(Projection!$F:$F,'7 Year Projection-Expanded'!$A104,Projection!CI:CI)</f>
        <v>181.55999127325012</v>
      </c>
      <c r="AI104" s="29">
        <f>SUMIF(Projection!$F:$F,'7 Year Projection-Expanded'!$A104,Projection!CJ:CJ)</f>
        <v>186.09899105508137</v>
      </c>
      <c r="AJ104" s="573">
        <f>SUMIF(Projection!$F:$F,'7 Year Projection-Expanded'!$A104,Projection!CK:CK)</f>
        <v>190.75146583145838</v>
      </c>
    </row>
    <row r="105" spans="1:36" ht="14.25" customHeight="1" x14ac:dyDescent="0.2">
      <c r="A105" s="11">
        <v>6170</v>
      </c>
      <c r="C105" s="9"/>
      <c r="E105" s="11" t="s">
        <v>196</v>
      </c>
      <c r="H105" s="224"/>
      <c r="I105" s="228">
        <f t="array" ref="I105">IFERROR(INDEX(Projection!$B$9:$BE$196,MATCH('7 Year Projection-Expanded'!$A105,Projection!$B$9:$B$196,0),MATCH('7 Year Projection-Expanded'!I$8,Projection!$B$9:$BE$9,0)),0)</f>
        <v>0</v>
      </c>
      <c r="J105" s="29">
        <f t="array" ref="J105">IFERROR(INDEX(Projection!$B$9:$BE$196,MATCH('7 Year Projection-Expanded'!$A105,Projection!$B$9:$B$196,0),MATCH('7 Year Projection-Expanded'!J$8,Projection!$B$9:$BE$9,0)),0)</f>
        <v>0</v>
      </c>
      <c r="K105" s="228">
        <f t="array" ref="K105">IFERROR(INDEX(Projection!$B$9:$BE$196,MATCH('7 Year Projection-Expanded'!$A105,Projection!$B$9:$B$196,0),MATCH('7 Year Projection-Expanded'!K$8,Projection!$B$9:$BE$9,0)),0)</f>
        <v>2962.5960000000005</v>
      </c>
      <c r="L105" s="29">
        <f t="array" ref="L105">IFERROR(INDEX(Projection!$B$9:$BE$196,MATCH('7 Year Projection-Expanded'!$A105,Projection!$B$9:$B$196,0),MATCH('7 Year Projection-Expanded'!L$8,Projection!$B$9:$BE$9,0)),0)</f>
        <v>1481.2980000000002</v>
      </c>
      <c r="M105" s="228">
        <f t="array" ref="M105">IFERROR(INDEX(Projection!$B$9:$BE$196,MATCH('7 Year Projection-Expanded'!$A105,Projection!$B$9:$B$196,0),MATCH('7 Year Projection-Expanded'!M$8,Projection!$B$9:$BE$9,0)),0)</f>
        <v>1481.2980000000002</v>
      </c>
      <c r="N105" s="29">
        <f t="array" ref="N105">IFERROR(INDEX(Projection!$B$9:$BE$196,MATCH('7 Year Projection-Expanded'!$A105,Projection!$B$9:$B$196,0),MATCH('7 Year Projection-Expanded'!N$8,Projection!$B$9:$BE$9,0)),0)</f>
        <v>1481.2980000000002</v>
      </c>
      <c r="O105" s="228">
        <f t="array" ref="O105">IFERROR(INDEX(Projection!$B$9:$BE$196,MATCH('7 Year Projection-Expanded'!$A105,Projection!$B$9:$B$196,0),MATCH('7 Year Projection-Expanded'!O$8,Projection!$B$9:$BE$9,0)),0)</f>
        <v>1481.2980000000002</v>
      </c>
      <c r="P105" s="29">
        <f t="array" ref="P105">IFERROR(INDEX(Projection!$B$9:$BE$196,MATCH('7 Year Projection-Expanded'!$A105,Projection!$B$9:$B$196,0),MATCH('7 Year Projection-Expanded'!P$8,Projection!$B$9:$BE$9,0)),0)</f>
        <v>1481.2980000000002</v>
      </c>
      <c r="Q105" s="228">
        <f t="array" ref="Q105">IFERROR(INDEX(Projection!$B$9:$BE$196,MATCH('7 Year Projection-Expanded'!$A105,Projection!$B$9:$B$196,0),MATCH('7 Year Projection-Expanded'!Q$8,Projection!$B$9:$BE$9,0)),0)</f>
        <v>2962.5960000000005</v>
      </c>
      <c r="R105" s="29">
        <f t="array" ref="R105">IFERROR(INDEX(Projection!$B$9:$BE$196,MATCH('7 Year Projection-Expanded'!$A105,Projection!$B$9:$B$196,0),MATCH('7 Year Projection-Expanded'!R$8,Projection!$B$9:$BE$9,0)),0)</f>
        <v>1481.2980000000002</v>
      </c>
      <c r="S105" s="228">
        <f t="array" ref="S105">IFERROR(INDEX(Projection!$B$9:$BE$196,MATCH('7 Year Projection-Expanded'!$A105,Projection!$B$9:$B$196,0),MATCH('7 Year Projection-Expanded'!S$8,Projection!$B$9:$BE$9,0)),0)</f>
        <v>0</v>
      </c>
      <c r="T105" s="28">
        <f t="array" ref="T105">IFERROR(INDEX(Projection!$B$9:$BE$196,MATCH('7 Year Projection-Expanded'!$A105,Projection!$B$9:$B$196,0),MATCH('7 Year Projection-Expanded'!T$8,Projection!$B$9:$BE$9,0)),0)</f>
        <v>0</v>
      </c>
      <c r="V105" s="572">
        <f>SUMIF(Projection!$F:$F,'7 Year Projection-Expanded'!$A105,Projection!BW:BW)</f>
        <v>14812.980000000005</v>
      </c>
      <c r="W105" s="29">
        <f>SUMIF(Projection!$F:$F,'7 Year Projection-Expanded'!$A105,Projection!BX:BX)</f>
        <v>15183.3045</v>
      </c>
      <c r="X105" s="228">
        <f>SUMIF(Projection!$F:$F,'7 Year Projection-Expanded'!$A105,Projection!BY:BY)</f>
        <v>15562.887112499999</v>
      </c>
      <c r="Y105" s="29">
        <f>SUMIF(Projection!$F:$F,'7 Year Projection-Expanded'!$A105,Projection!BZ:BZ)</f>
        <v>15951.959290312498</v>
      </c>
      <c r="Z105" s="228">
        <f>SUMIF(Projection!$F:$F,'7 Year Projection-Expanded'!$A105,Projection!CA:CA)</f>
        <v>16350.758272570309</v>
      </c>
      <c r="AA105" s="29">
        <f>SUMIF(Projection!$F:$F,'7 Year Projection-Expanded'!$A105,Projection!CB:CB)</f>
        <v>16759.527229384566</v>
      </c>
      <c r="AB105" s="228">
        <f>SUMIF(Projection!$F:$F,'7 Year Projection-Expanded'!$A105,Projection!CC:CC)</f>
        <v>17178.51541011918</v>
      </c>
      <c r="AC105" s="29">
        <f>SUMIF(Projection!$F:$F,'7 Year Projection-Expanded'!$A105,Projection!CD:CD)</f>
        <v>17607.978295372159</v>
      </c>
      <c r="AD105" s="228">
        <f>SUMIF(Projection!$F:$F,'7 Year Projection-Expanded'!$A105,Projection!CE:CE)</f>
        <v>18048.177752756463</v>
      </c>
      <c r="AE105" s="29">
        <f>SUMIF(Projection!$F:$F,'7 Year Projection-Expanded'!$A105,Projection!CF:CF)</f>
        <v>18499.382196575374</v>
      </c>
      <c r="AF105" s="228">
        <f>SUMIF(Projection!$F:$F,'7 Year Projection-Expanded'!$A105,Projection!CG:CG)</f>
        <v>18961.866751489757</v>
      </c>
      <c r="AG105" s="29">
        <f>SUMIF(Projection!$F:$F,'7 Year Projection-Expanded'!$A105,Projection!CH:CH)</f>
        <v>19435.913420277</v>
      </c>
      <c r="AH105" s="228">
        <f>SUMIF(Projection!$F:$F,'7 Year Projection-Expanded'!$A105,Projection!CI:CI)</f>
        <v>19921.811255783923</v>
      </c>
      <c r="AI105" s="29">
        <f>SUMIF(Projection!$F:$F,'7 Year Projection-Expanded'!$A105,Projection!CJ:CJ)</f>
        <v>20419.856537178519</v>
      </c>
      <c r="AJ105" s="573">
        <f>SUMIF(Projection!$F:$F,'7 Year Projection-Expanded'!$A105,Projection!CK:CK)</f>
        <v>20930.352950607979</v>
      </c>
    </row>
    <row r="106" spans="1:36" ht="14.25" customHeight="1" x14ac:dyDescent="0.2">
      <c r="A106" s="11">
        <v>6174</v>
      </c>
      <c r="C106" s="9"/>
      <c r="E106" s="11" t="s">
        <v>199</v>
      </c>
      <c r="H106" s="224"/>
      <c r="I106" s="228">
        <f t="array" ref="I106">IFERROR(INDEX(Projection!$B$9:$BE$196,MATCH('7 Year Projection-Expanded'!$A106,Projection!$B$9:$B$196,0),MATCH('7 Year Projection-Expanded'!I$8,Projection!$B$9:$BE$9,0)),0)</f>
        <v>9.9999999999999995E-8</v>
      </c>
      <c r="J106" s="29">
        <f t="array" ref="J106">IFERROR(INDEX(Projection!$B$9:$BE$196,MATCH('7 Year Projection-Expanded'!$A106,Projection!$B$9:$B$196,0),MATCH('7 Year Projection-Expanded'!J$8,Projection!$B$9:$BE$9,0)),0)</f>
        <v>9.9999999999999995E-8</v>
      </c>
      <c r="K106" s="228">
        <f t="array" ref="K106">IFERROR(INDEX(Projection!$B$9:$BE$196,MATCH('7 Year Projection-Expanded'!$A106,Projection!$B$9:$B$196,0),MATCH('7 Year Projection-Expanded'!K$8,Projection!$B$9:$BE$9,0)),0)</f>
        <v>9.9999999999999995E-8</v>
      </c>
      <c r="L106" s="29">
        <f t="array" ref="L106">IFERROR(INDEX(Projection!$B$9:$BE$196,MATCH('7 Year Projection-Expanded'!$A106,Projection!$B$9:$B$196,0),MATCH('7 Year Projection-Expanded'!L$8,Projection!$B$9:$BE$9,0)),0)</f>
        <v>9.9999999999999995E-8</v>
      </c>
      <c r="M106" s="228">
        <f t="array" ref="M106">IFERROR(INDEX(Projection!$B$9:$BE$196,MATCH('7 Year Projection-Expanded'!$A106,Projection!$B$9:$B$196,0),MATCH('7 Year Projection-Expanded'!M$8,Projection!$B$9:$BE$9,0)),0)</f>
        <v>9.9999999999999995E-8</v>
      </c>
      <c r="N106" s="29">
        <f t="array" ref="N106">IFERROR(INDEX(Projection!$B$9:$BE$196,MATCH('7 Year Projection-Expanded'!$A106,Projection!$B$9:$B$196,0),MATCH('7 Year Projection-Expanded'!N$8,Projection!$B$9:$BE$9,0)),0)</f>
        <v>9.9999999999999995E-8</v>
      </c>
      <c r="O106" s="228">
        <f t="array" ref="O106">IFERROR(INDEX(Projection!$B$9:$BE$196,MATCH('7 Year Projection-Expanded'!$A106,Projection!$B$9:$B$196,0),MATCH('7 Year Projection-Expanded'!O$8,Projection!$B$9:$BE$9,0)),0)</f>
        <v>9.9999999999999995E-8</v>
      </c>
      <c r="P106" s="29">
        <f t="array" ref="P106">IFERROR(INDEX(Projection!$B$9:$BE$196,MATCH('7 Year Projection-Expanded'!$A106,Projection!$B$9:$B$196,0),MATCH('7 Year Projection-Expanded'!P$8,Projection!$B$9:$BE$9,0)),0)</f>
        <v>9.9999999999999995E-8</v>
      </c>
      <c r="Q106" s="228">
        <f t="array" ref="Q106">IFERROR(INDEX(Projection!$B$9:$BE$196,MATCH('7 Year Projection-Expanded'!$A106,Projection!$B$9:$B$196,0),MATCH('7 Year Projection-Expanded'!Q$8,Projection!$B$9:$BE$9,0)),0)</f>
        <v>9.9999999999999995E-8</v>
      </c>
      <c r="R106" s="29">
        <f t="array" ref="R106">IFERROR(INDEX(Projection!$B$9:$BE$196,MATCH('7 Year Projection-Expanded'!$A106,Projection!$B$9:$B$196,0),MATCH('7 Year Projection-Expanded'!R$8,Projection!$B$9:$BE$9,0)),0)</f>
        <v>9.9999999999999995E-8</v>
      </c>
      <c r="S106" s="228">
        <f t="array" ref="S106">IFERROR(INDEX(Projection!$B$9:$BE$196,MATCH('7 Year Projection-Expanded'!$A106,Projection!$B$9:$B$196,0),MATCH('7 Year Projection-Expanded'!S$8,Projection!$B$9:$BE$9,0)),0)</f>
        <v>9.9999999999999995E-8</v>
      </c>
      <c r="T106" s="28">
        <f t="array" ref="T106">IFERROR(INDEX(Projection!$B$9:$BE$196,MATCH('7 Year Projection-Expanded'!$A106,Projection!$B$9:$B$196,0),MATCH('7 Year Projection-Expanded'!T$8,Projection!$B$9:$BE$9,0)),0)</f>
        <v>9.9999999999999995E-8</v>
      </c>
      <c r="V106" s="572">
        <f>SUMIF(Projection!$F:$F,'7 Year Projection-Expanded'!$A106,Projection!BW:BW)</f>
        <v>1.1999999999999999E-6</v>
      </c>
      <c r="W106" s="29">
        <f>SUMIF(Projection!$F:$F,'7 Year Projection-Expanded'!$A106,Projection!BX:BX)</f>
        <v>1.2300000000000001E-6</v>
      </c>
      <c r="X106" s="228">
        <f>SUMIF(Projection!$F:$F,'7 Year Projection-Expanded'!$A106,Projection!BY:BY)</f>
        <v>1.2607499999999997E-6</v>
      </c>
      <c r="Y106" s="29">
        <f>SUMIF(Projection!$F:$F,'7 Year Projection-Expanded'!$A106,Projection!BZ:BZ)</f>
        <v>1.2922687499999992E-6</v>
      </c>
      <c r="Z106" s="228">
        <f>SUMIF(Projection!$F:$F,'7 Year Projection-Expanded'!$A106,Projection!CA:CA)</f>
        <v>1.3245754687499998E-6</v>
      </c>
      <c r="AA106" s="29">
        <f>SUMIF(Projection!$F:$F,'7 Year Projection-Expanded'!$A106,Projection!CB:CB)</f>
        <v>1.3576898554687496E-6</v>
      </c>
      <c r="AB106" s="228">
        <f>SUMIF(Projection!$F:$F,'7 Year Projection-Expanded'!$A106,Projection!CC:CC)</f>
        <v>1.3916321018554682E-6</v>
      </c>
      <c r="AC106" s="29">
        <f>SUMIF(Projection!$F:$F,'7 Year Projection-Expanded'!$A106,Projection!CD:CD)</f>
        <v>1.4264229044018548E-6</v>
      </c>
      <c r="AD106" s="228">
        <f>SUMIF(Projection!$F:$F,'7 Year Projection-Expanded'!$A106,Projection!CE:CE)</f>
        <v>1.4620834770119011E-6</v>
      </c>
      <c r="AE106" s="29">
        <f>SUMIF(Projection!$F:$F,'7 Year Projection-Expanded'!$A106,Projection!CF:CF)</f>
        <v>1.4986355639371984E-6</v>
      </c>
      <c r="AF106" s="228">
        <f>SUMIF(Projection!$F:$F,'7 Year Projection-Expanded'!$A106,Projection!CG:CG)</f>
        <v>1.5361014530356282E-6</v>
      </c>
      <c r="AG106" s="29">
        <f>SUMIF(Projection!$F:$F,'7 Year Projection-Expanded'!$A106,Projection!CH:CH)</f>
        <v>1.5745039893615188E-6</v>
      </c>
      <c r="AH106" s="228">
        <f>SUMIF(Projection!$F:$F,'7 Year Projection-Expanded'!$A106,Projection!CI:CI)</f>
        <v>1.6138665890955567E-6</v>
      </c>
      <c r="AI106" s="29">
        <f>SUMIF(Projection!$F:$F,'7 Year Projection-Expanded'!$A106,Projection!CJ:CJ)</f>
        <v>1.6542132538229455E-6</v>
      </c>
      <c r="AJ106" s="573">
        <f>SUMIF(Projection!$F:$F,'7 Year Projection-Expanded'!$A106,Projection!CK:CK)</f>
        <v>1.6955685851685191E-6</v>
      </c>
    </row>
    <row r="107" spans="1:36" ht="14.25" customHeight="1" x14ac:dyDescent="0.2">
      <c r="A107" s="11">
        <v>6176</v>
      </c>
      <c r="C107" s="9"/>
      <c r="E107" s="11" t="s">
        <v>202</v>
      </c>
      <c r="H107" s="621"/>
      <c r="I107" s="228">
        <f t="array" ref="I107">IFERROR(INDEX(Projection!$B$9:$BE$196,MATCH('7 Year Projection-Expanded'!$A107,Projection!$B$9:$B$196,0),MATCH('7 Year Projection-Expanded'!I$8,Projection!$B$9:$BE$9,0)),0)</f>
        <v>0</v>
      </c>
      <c r="J107" s="29">
        <f t="array" ref="J107">IFERROR(INDEX(Projection!$B$9:$BE$196,MATCH('7 Year Projection-Expanded'!$A107,Projection!$B$9:$B$196,0),MATCH('7 Year Projection-Expanded'!J$8,Projection!$B$9:$BE$9,0)),0)</f>
        <v>0</v>
      </c>
      <c r="K107" s="228">
        <f t="array" ref="K107">IFERROR(INDEX(Projection!$B$9:$BE$196,MATCH('7 Year Projection-Expanded'!$A107,Projection!$B$9:$B$196,0),MATCH('7 Year Projection-Expanded'!K$8,Projection!$B$9:$BE$9,0)),0)</f>
        <v>0</v>
      </c>
      <c r="L107" s="29">
        <f t="array" ref="L107">IFERROR(INDEX(Projection!$B$9:$BE$196,MATCH('7 Year Projection-Expanded'!$A107,Projection!$B$9:$B$196,0),MATCH('7 Year Projection-Expanded'!L$8,Projection!$B$9:$BE$9,0)),0)</f>
        <v>0</v>
      </c>
      <c r="M107" s="228">
        <f t="array" ref="M107">IFERROR(INDEX(Projection!$B$9:$BE$196,MATCH('7 Year Projection-Expanded'!$A107,Projection!$B$9:$B$196,0),MATCH('7 Year Projection-Expanded'!M$8,Projection!$B$9:$BE$9,0)),0)</f>
        <v>0</v>
      </c>
      <c r="N107" s="29">
        <f t="array" ref="N107">IFERROR(INDEX(Projection!$B$9:$BE$196,MATCH('7 Year Projection-Expanded'!$A107,Projection!$B$9:$B$196,0),MATCH('7 Year Projection-Expanded'!N$8,Projection!$B$9:$BE$9,0)),0)</f>
        <v>0</v>
      </c>
      <c r="O107" s="228">
        <f t="array" ref="O107">IFERROR(INDEX(Projection!$B$9:$BE$196,MATCH('7 Year Projection-Expanded'!$A107,Projection!$B$9:$B$196,0),MATCH('7 Year Projection-Expanded'!O$8,Projection!$B$9:$BE$9,0)),0)</f>
        <v>0</v>
      </c>
      <c r="P107" s="29">
        <f t="array" ref="P107">IFERROR(INDEX(Projection!$B$9:$BE$196,MATCH('7 Year Projection-Expanded'!$A107,Projection!$B$9:$B$196,0),MATCH('7 Year Projection-Expanded'!P$8,Projection!$B$9:$BE$9,0)),0)</f>
        <v>0</v>
      </c>
      <c r="Q107" s="228">
        <f t="array" ref="Q107">IFERROR(INDEX(Projection!$B$9:$BE$196,MATCH('7 Year Projection-Expanded'!$A107,Projection!$B$9:$B$196,0),MATCH('7 Year Projection-Expanded'!Q$8,Projection!$B$9:$BE$9,0)),0)</f>
        <v>0</v>
      </c>
      <c r="R107" s="29">
        <f t="array" ref="R107">IFERROR(INDEX(Projection!$B$9:$BE$196,MATCH('7 Year Projection-Expanded'!$A107,Projection!$B$9:$B$196,0),MATCH('7 Year Projection-Expanded'!R$8,Projection!$B$9:$BE$9,0)),0)</f>
        <v>0</v>
      </c>
      <c r="S107" s="228">
        <f t="array" ref="S107">IFERROR(INDEX(Projection!$B$9:$BE$196,MATCH('7 Year Projection-Expanded'!$A107,Projection!$B$9:$B$196,0),MATCH('7 Year Projection-Expanded'!S$8,Projection!$B$9:$BE$9,0)),0)</f>
        <v>0</v>
      </c>
      <c r="T107" s="28">
        <f t="array" ref="T107">IFERROR(INDEX(Projection!$B$9:$BE$196,MATCH('7 Year Projection-Expanded'!$A107,Projection!$B$9:$B$196,0),MATCH('7 Year Projection-Expanded'!T$8,Projection!$B$9:$BE$9,0)),0)</f>
        <v>0</v>
      </c>
      <c r="V107" s="572">
        <f>SUMIF(Projection!$F:$F,'7 Year Projection-Expanded'!$A107,Projection!BW:BW)</f>
        <v>0</v>
      </c>
      <c r="W107" s="29">
        <f>SUMIF(Projection!$F:$F,'7 Year Projection-Expanded'!$A107,Projection!BX:BX)</f>
        <v>0</v>
      </c>
      <c r="X107" s="228">
        <f>SUMIF(Projection!$F:$F,'7 Year Projection-Expanded'!$A107,Projection!BY:BY)</f>
        <v>0</v>
      </c>
      <c r="Y107" s="29">
        <f>SUMIF(Projection!$F:$F,'7 Year Projection-Expanded'!$A107,Projection!BZ:BZ)</f>
        <v>0</v>
      </c>
      <c r="Z107" s="228">
        <f>SUMIF(Projection!$F:$F,'7 Year Projection-Expanded'!$A107,Projection!CA:CA)</f>
        <v>0</v>
      </c>
      <c r="AA107" s="29">
        <f>SUMIF(Projection!$F:$F,'7 Year Projection-Expanded'!$A107,Projection!CB:CB)</f>
        <v>0</v>
      </c>
      <c r="AB107" s="228">
        <f>SUMIF(Projection!$F:$F,'7 Year Projection-Expanded'!$A107,Projection!CC:CC)</f>
        <v>0</v>
      </c>
      <c r="AC107" s="29">
        <f>SUMIF(Projection!$F:$F,'7 Year Projection-Expanded'!$A107,Projection!CD:CD)</f>
        <v>0</v>
      </c>
      <c r="AD107" s="228">
        <f>SUMIF(Projection!$F:$F,'7 Year Projection-Expanded'!$A107,Projection!CE:CE)</f>
        <v>0</v>
      </c>
      <c r="AE107" s="29">
        <f>SUMIF(Projection!$F:$F,'7 Year Projection-Expanded'!$A107,Projection!CF:CF)</f>
        <v>0</v>
      </c>
      <c r="AF107" s="228">
        <f>SUMIF(Projection!$F:$F,'7 Year Projection-Expanded'!$A107,Projection!CG:CG)</f>
        <v>0</v>
      </c>
      <c r="AG107" s="29">
        <f>SUMIF(Projection!$F:$F,'7 Year Projection-Expanded'!$A107,Projection!CH:CH)</f>
        <v>0</v>
      </c>
      <c r="AH107" s="228">
        <f>SUMIF(Projection!$F:$F,'7 Year Projection-Expanded'!$A107,Projection!CI:CI)</f>
        <v>0</v>
      </c>
      <c r="AI107" s="29">
        <f>SUMIF(Projection!$F:$F,'7 Year Projection-Expanded'!$A107,Projection!CJ:CJ)</f>
        <v>0</v>
      </c>
      <c r="AJ107" s="573">
        <f>SUMIF(Projection!$F:$F,'7 Year Projection-Expanded'!$A107,Projection!CK:CK)</f>
        <v>0</v>
      </c>
    </row>
    <row r="108" spans="1:36" ht="14.25" customHeight="1" x14ac:dyDescent="0.2">
      <c r="A108" s="11">
        <v>6182</v>
      </c>
      <c r="C108" s="9"/>
      <c r="E108" s="11" t="s">
        <v>206</v>
      </c>
      <c r="H108" s="224"/>
      <c r="I108" s="228">
        <f t="array" ref="I108">IFERROR(INDEX(Projection!$B$9:$BE$196,MATCH('7 Year Projection-Expanded'!$A108,Projection!$B$9:$B$196,0),MATCH('7 Year Projection-Expanded'!I$8,Projection!$B$9:$BE$9,0)),0)</f>
        <v>17</v>
      </c>
      <c r="J108" s="29">
        <f t="array" ref="J108">IFERROR(INDEX(Projection!$B$9:$BE$196,MATCH('7 Year Projection-Expanded'!$A108,Projection!$B$9:$B$196,0),MATCH('7 Year Projection-Expanded'!J$8,Projection!$B$9:$BE$9,0)),0)</f>
        <v>17</v>
      </c>
      <c r="K108" s="228">
        <f t="array" ref="K108">IFERROR(INDEX(Projection!$B$9:$BE$196,MATCH('7 Year Projection-Expanded'!$A108,Projection!$B$9:$B$196,0),MATCH('7 Year Projection-Expanded'!K$8,Projection!$B$9:$BE$9,0)),0)</f>
        <v>17</v>
      </c>
      <c r="L108" s="29">
        <f t="array" ref="L108">IFERROR(INDEX(Projection!$B$9:$BE$196,MATCH('7 Year Projection-Expanded'!$A108,Projection!$B$9:$B$196,0),MATCH('7 Year Projection-Expanded'!L$8,Projection!$B$9:$BE$9,0)),0)</f>
        <v>17</v>
      </c>
      <c r="M108" s="228">
        <f t="array" ref="M108">IFERROR(INDEX(Projection!$B$9:$BE$196,MATCH('7 Year Projection-Expanded'!$A108,Projection!$B$9:$B$196,0),MATCH('7 Year Projection-Expanded'!M$8,Projection!$B$9:$BE$9,0)),0)</f>
        <v>17</v>
      </c>
      <c r="N108" s="29">
        <f t="array" ref="N108">IFERROR(INDEX(Projection!$B$9:$BE$196,MATCH('7 Year Projection-Expanded'!$A108,Projection!$B$9:$B$196,0),MATCH('7 Year Projection-Expanded'!N$8,Projection!$B$9:$BE$9,0)),0)</f>
        <v>17</v>
      </c>
      <c r="O108" s="228">
        <f t="array" ref="O108">IFERROR(INDEX(Projection!$B$9:$BE$196,MATCH('7 Year Projection-Expanded'!$A108,Projection!$B$9:$B$196,0),MATCH('7 Year Projection-Expanded'!O$8,Projection!$B$9:$BE$9,0)),0)</f>
        <v>17</v>
      </c>
      <c r="P108" s="29">
        <f t="array" ref="P108">IFERROR(INDEX(Projection!$B$9:$BE$196,MATCH('7 Year Projection-Expanded'!$A108,Projection!$B$9:$B$196,0),MATCH('7 Year Projection-Expanded'!P$8,Projection!$B$9:$BE$9,0)),0)</f>
        <v>17</v>
      </c>
      <c r="Q108" s="228">
        <f t="array" ref="Q108">IFERROR(INDEX(Projection!$B$9:$BE$196,MATCH('7 Year Projection-Expanded'!$A108,Projection!$B$9:$B$196,0),MATCH('7 Year Projection-Expanded'!Q$8,Projection!$B$9:$BE$9,0)),0)</f>
        <v>17</v>
      </c>
      <c r="R108" s="29">
        <f t="array" ref="R108">IFERROR(INDEX(Projection!$B$9:$BE$196,MATCH('7 Year Projection-Expanded'!$A108,Projection!$B$9:$B$196,0),MATCH('7 Year Projection-Expanded'!R$8,Projection!$B$9:$BE$9,0)),0)</f>
        <v>17</v>
      </c>
      <c r="S108" s="228">
        <f t="array" ref="S108">IFERROR(INDEX(Projection!$B$9:$BE$196,MATCH('7 Year Projection-Expanded'!$A108,Projection!$B$9:$B$196,0),MATCH('7 Year Projection-Expanded'!S$8,Projection!$B$9:$BE$9,0)),0)</f>
        <v>17</v>
      </c>
      <c r="T108" s="28">
        <f t="array" ref="T108">IFERROR(INDEX(Projection!$B$9:$BE$196,MATCH('7 Year Projection-Expanded'!$A108,Projection!$B$9:$B$196,0),MATCH('7 Year Projection-Expanded'!T$8,Projection!$B$9:$BE$9,0)),0)</f>
        <v>17</v>
      </c>
      <c r="V108" s="572">
        <f>SUMIF(Projection!$F:$F,'7 Year Projection-Expanded'!$A108,Projection!BW:BW)</f>
        <v>204</v>
      </c>
      <c r="W108" s="29">
        <f>SUMIF(Projection!$F:$F,'7 Year Projection-Expanded'!$A108,Projection!BX:BX)</f>
        <v>209.10000000000002</v>
      </c>
      <c r="X108" s="228">
        <f>SUMIF(Projection!$F:$F,'7 Year Projection-Expanded'!$A108,Projection!BY:BY)</f>
        <v>214.32749999999996</v>
      </c>
      <c r="Y108" s="29">
        <f>SUMIF(Projection!$F:$F,'7 Year Projection-Expanded'!$A108,Projection!BZ:BZ)</f>
        <v>219.68568749999989</v>
      </c>
      <c r="Z108" s="228">
        <f>SUMIF(Projection!$F:$F,'7 Year Projection-Expanded'!$A108,Projection!CA:CA)</f>
        <v>225.17782968749987</v>
      </c>
      <c r="AA108" s="29">
        <f>SUMIF(Projection!$F:$F,'7 Year Projection-Expanded'!$A108,Projection!CB:CB)</f>
        <v>230.80727542968734</v>
      </c>
      <c r="AB108" s="228">
        <f>SUMIF(Projection!$F:$F,'7 Year Projection-Expanded'!$A108,Projection!CC:CC)</f>
        <v>236.57745731542951</v>
      </c>
      <c r="AC108" s="29">
        <f>SUMIF(Projection!$F:$F,'7 Year Projection-Expanded'!$A108,Projection!CD:CD)</f>
        <v>242.49189374831522</v>
      </c>
      <c r="AD108" s="228">
        <f>SUMIF(Projection!$F:$F,'7 Year Projection-Expanded'!$A108,Projection!CE:CE)</f>
        <v>248.55419109202307</v>
      </c>
      <c r="AE108" s="29">
        <f>SUMIF(Projection!$F:$F,'7 Year Projection-Expanded'!$A108,Projection!CF:CF)</f>
        <v>254.76804586932363</v>
      </c>
      <c r="AF108" s="228">
        <f>SUMIF(Projection!$F:$F,'7 Year Projection-Expanded'!$A108,Projection!CG:CG)</f>
        <v>261.13724701605668</v>
      </c>
      <c r="AG108" s="29">
        <f>SUMIF(Projection!$F:$F,'7 Year Projection-Expanded'!$A108,Projection!CH:CH)</f>
        <v>267.66567819145808</v>
      </c>
      <c r="AH108" s="228">
        <f>SUMIF(Projection!$F:$F,'7 Year Projection-Expanded'!$A108,Projection!CI:CI)</f>
        <v>274.35732014624449</v>
      </c>
      <c r="AI108" s="29">
        <f>SUMIF(Projection!$F:$F,'7 Year Projection-Expanded'!$A108,Projection!CJ:CJ)</f>
        <v>281.21625314990058</v>
      </c>
      <c r="AJ108" s="573">
        <f>SUMIF(Projection!$F:$F,'7 Year Projection-Expanded'!$A108,Projection!CK:CK)</f>
        <v>288.2466594786481</v>
      </c>
    </row>
    <row r="109" spans="1:36" ht="14.25" customHeight="1" x14ac:dyDescent="0.2">
      <c r="A109" s="11">
        <v>6190</v>
      </c>
      <c r="C109" s="9"/>
      <c r="E109" s="11" t="s">
        <v>210</v>
      </c>
      <c r="H109" s="621"/>
      <c r="I109" s="228">
        <f t="array" ref="I109">IFERROR(INDEX(Projection!$B$9:$BE$196,MATCH('7 Year Projection-Expanded'!$A109,Projection!$B$9:$B$196,0),MATCH('7 Year Projection-Expanded'!I$8,Projection!$B$9:$BE$9,0)),0)</f>
        <v>0</v>
      </c>
      <c r="J109" s="29">
        <f t="array" ref="J109">IFERROR(INDEX(Projection!$B$9:$BE$196,MATCH('7 Year Projection-Expanded'!$A109,Projection!$B$9:$B$196,0),MATCH('7 Year Projection-Expanded'!J$8,Projection!$B$9:$BE$9,0)),0)</f>
        <v>0</v>
      </c>
      <c r="K109" s="228">
        <f t="array" ref="K109">IFERROR(INDEX(Projection!$B$9:$BE$196,MATCH('7 Year Projection-Expanded'!$A109,Projection!$B$9:$B$196,0),MATCH('7 Year Projection-Expanded'!K$8,Projection!$B$9:$BE$9,0)),0)</f>
        <v>0</v>
      </c>
      <c r="L109" s="29">
        <f t="array" ref="L109">IFERROR(INDEX(Projection!$B$9:$BE$196,MATCH('7 Year Projection-Expanded'!$A109,Projection!$B$9:$B$196,0),MATCH('7 Year Projection-Expanded'!L$8,Projection!$B$9:$BE$9,0)),0)</f>
        <v>0</v>
      </c>
      <c r="M109" s="228">
        <f t="array" ref="M109">IFERROR(INDEX(Projection!$B$9:$BE$196,MATCH('7 Year Projection-Expanded'!$A109,Projection!$B$9:$B$196,0),MATCH('7 Year Projection-Expanded'!M$8,Projection!$B$9:$BE$9,0)),0)</f>
        <v>0</v>
      </c>
      <c r="N109" s="29">
        <f t="array" ref="N109">IFERROR(INDEX(Projection!$B$9:$BE$196,MATCH('7 Year Projection-Expanded'!$A109,Projection!$B$9:$B$196,0),MATCH('7 Year Projection-Expanded'!N$8,Projection!$B$9:$BE$9,0)),0)</f>
        <v>0</v>
      </c>
      <c r="O109" s="228">
        <f t="array" ref="O109">IFERROR(INDEX(Projection!$B$9:$BE$196,MATCH('7 Year Projection-Expanded'!$A109,Projection!$B$9:$B$196,0),MATCH('7 Year Projection-Expanded'!O$8,Projection!$B$9:$BE$9,0)),0)</f>
        <v>0</v>
      </c>
      <c r="P109" s="29">
        <f t="array" ref="P109">IFERROR(INDEX(Projection!$B$9:$BE$196,MATCH('7 Year Projection-Expanded'!$A109,Projection!$B$9:$B$196,0),MATCH('7 Year Projection-Expanded'!P$8,Projection!$B$9:$BE$9,0)),0)</f>
        <v>0</v>
      </c>
      <c r="Q109" s="228">
        <f t="array" ref="Q109">IFERROR(INDEX(Projection!$B$9:$BE$196,MATCH('7 Year Projection-Expanded'!$A109,Projection!$B$9:$B$196,0),MATCH('7 Year Projection-Expanded'!Q$8,Projection!$B$9:$BE$9,0)),0)</f>
        <v>0</v>
      </c>
      <c r="R109" s="29">
        <f t="array" ref="R109">IFERROR(INDEX(Projection!$B$9:$BE$196,MATCH('7 Year Projection-Expanded'!$A109,Projection!$B$9:$B$196,0),MATCH('7 Year Projection-Expanded'!R$8,Projection!$B$9:$BE$9,0)),0)</f>
        <v>0</v>
      </c>
      <c r="S109" s="228">
        <f t="array" ref="S109">IFERROR(INDEX(Projection!$B$9:$BE$196,MATCH('7 Year Projection-Expanded'!$A109,Projection!$B$9:$B$196,0),MATCH('7 Year Projection-Expanded'!S$8,Projection!$B$9:$BE$9,0)),0)</f>
        <v>0</v>
      </c>
      <c r="T109" s="28">
        <f t="array" ref="T109">IFERROR(INDEX(Projection!$B$9:$BE$196,MATCH('7 Year Projection-Expanded'!$A109,Projection!$B$9:$B$196,0),MATCH('7 Year Projection-Expanded'!T$8,Projection!$B$9:$BE$9,0)),0)</f>
        <v>0</v>
      </c>
      <c r="V109" s="572">
        <f>SUMIF(Projection!$F:$F,'7 Year Projection-Expanded'!$A109,Projection!BW:BW)</f>
        <v>0</v>
      </c>
      <c r="W109" s="29">
        <f>SUMIF(Projection!$F:$F,'7 Year Projection-Expanded'!$A109,Projection!BX:BX)</f>
        <v>0</v>
      </c>
      <c r="X109" s="228">
        <f>SUMIF(Projection!$F:$F,'7 Year Projection-Expanded'!$A109,Projection!BY:BY)</f>
        <v>0</v>
      </c>
      <c r="Y109" s="29">
        <f>SUMIF(Projection!$F:$F,'7 Year Projection-Expanded'!$A109,Projection!BZ:BZ)</f>
        <v>0</v>
      </c>
      <c r="Z109" s="228">
        <f>SUMIF(Projection!$F:$F,'7 Year Projection-Expanded'!$A109,Projection!CA:CA)</f>
        <v>0</v>
      </c>
      <c r="AA109" s="29">
        <f>SUMIF(Projection!$F:$F,'7 Year Projection-Expanded'!$A109,Projection!CB:CB)</f>
        <v>0</v>
      </c>
      <c r="AB109" s="228">
        <f>SUMIF(Projection!$F:$F,'7 Year Projection-Expanded'!$A109,Projection!CC:CC)</f>
        <v>0</v>
      </c>
      <c r="AC109" s="29">
        <f>SUMIF(Projection!$F:$F,'7 Year Projection-Expanded'!$A109,Projection!CD:CD)</f>
        <v>0</v>
      </c>
      <c r="AD109" s="228">
        <f>SUMIF(Projection!$F:$F,'7 Year Projection-Expanded'!$A109,Projection!CE:CE)</f>
        <v>0</v>
      </c>
      <c r="AE109" s="29">
        <f>SUMIF(Projection!$F:$F,'7 Year Projection-Expanded'!$A109,Projection!CF:CF)</f>
        <v>0</v>
      </c>
      <c r="AF109" s="228">
        <f>SUMIF(Projection!$F:$F,'7 Year Projection-Expanded'!$A109,Projection!CG:CG)</f>
        <v>0</v>
      </c>
      <c r="AG109" s="29">
        <f>SUMIF(Projection!$F:$F,'7 Year Projection-Expanded'!$A109,Projection!CH:CH)</f>
        <v>0</v>
      </c>
      <c r="AH109" s="228">
        <f>SUMIF(Projection!$F:$F,'7 Year Projection-Expanded'!$A109,Projection!CI:CI)</f>
        <v>0</v>
      </c>
      <c r="AI109" s="29">
        <f>SUMIF(Projection!$F:$F,'7 Year Projection-Expanded'!$A109,Projection!CJ:CJ)</f>
        <v>0</v>
      </c>
      <c r="AJ109" s="573">
        <f>SUMIF(Projection!$F:$F,'7 Year Projection-Expanded'!$A109,Projection!CK:CK)</f>
        <v>0</v>
      </c>
    </row>
    <row r="110" spans="1:36" ht="14.25" customHeight="1" x14ac:dyDescent="0.2">
      <c r="A110" s="11">
        <v>6212</v>
      </c>
      <c r="C110" s="9"/>
      <c r="E110" s="11" t="s">
        <v>213</v>
      </c>
      <c r="H110" s="621"/>
      <c r="I110" s="228">
        <f t="array" ref="I110">IFERROR(INDEX(Projection!$B$9:$BE$196,MATCH('7 Year Projection-Expanded'!$A110,Projection!$B$9:$B$196,0),MATCH('7 Year Projection-Expanded'!I$8,Projection!$B$9:$BE$9,0)),0)</f>
        <v>0</v>
      </c>
      <c r="J110" s="29">
        <f t="array" ref="J110">IFERROR(INDEX(Projection!$B$9:$BE$196,MATCH('7 Year Projection-Expanded'!$A110,Projection!$B$9:$B$196,0),MATCH('7 Year Projection-Expanded'!J$8,Projection!$B$9:$BE$9,0)),0)</f>
        <v>0</v>
      </c>
      <c r="K110" s="228">
        <f t="array" ref="K110">IFERROR(INDEX(Projection!$B$9:$BE$196,MATCH('7 Year Projection-Expanded'!$A110,Projection!$B$9:$B$196,0),MATCH('7 Year Projection-Expanded'!K$8,Projection!$B$9:$BE$9,0)),0)</f>
        <v>0</v>
      </c>
      <c r="L110" s="29">
        <f t="array" ref="L110">IFERROR(INDEX(Projection!$B$9:$BE$196,MATCH('7 Year Projection-Expanded'!$A110,Projection!$B$9:$B$196,0),MATCH('7 Year Projection-Expanded'!L$8,Projection!$B$9:$BE$9,0)),0)</f>
        <v>0</v>
      </c>
      <c r="M110" s="228">
        <f t="array" ref="M110">IFERROR(INDEX(Projection!$B$9:$BE$196,MATCH('7 Year Projection-Expanded'!$A110,Projection!$B$9:$B$196,0),MATCH('7 Year Projection-Expanded'!M$8,Projection!$B$9:$BE$9,0)),0)</f>
        <v>0</v>
      </c>
      <c r="N110" s="29">
        <f t="array" ref="N110">IFERROR(INDEX(Projection!$B$9:$BE$196,MATCH('7 Year Projection-Expanded'!$A110,Projection!$B$9:$B$196,0),MATCH('7 Year Projection-Expanded'!N$8,Projection!$B$9:$BE$9,0)),0)</f>
        <v>0</v>
      </c>
      <c r="O110" s="228">
        <f t="array" ref="O110">IFERROR(INDEX(Projection!$B$9:$BE$196,MATCH('7 Year Projection-Expanded'!$A110,Projection!$B$9:$B$196,0),MATCH('7 Year Projection-Expanded'!O$8,Projection!$B$9:$BE$9,0)),0)</f>
        <v>0</v>
      </c>
      <c r="P110" s="29">
        <f t="array" ref="P110">IFERROR(INDEX(Projection!$B$9:$BE$196,MATCH('7 Year Projection-Expanded'!$A110,Projection!$B$9:$B$196,0),MATCH('7 Year Projection-Expanded'!P$8,Projection!$B$9:$BE$9,0)),0)</f>
        <v>0</v>
      </c>
      <c r="Q110" s="228">
        <f t="array" ref="Q110">IFERROR(INDEX(Projection!$B$9:$BE$196,MATCH('7 Year Projection-Expanded'!$A110,Projection!$B$9:$B$196,0),MATCH('7 Year Projection-Expanded'!Q$8,Projection!$B$9:$BE$9,0)),0)</f>
        <v>0</v>
      </c>
      <c r="R110" s="29">
        <f t="array" ref="R110">IFERROR(INDEX(Projection!$B$9:$BE$196,MATCH('7 Year Projection-Expanded'!$A110,Projection!$B$9:$B$196,0),MATCH('7 Year Projection-Expanded'!R$8,Projection!$B$9:$BE$9,0)),0)</f>
        <v>0</v>
      </c>
      <c r="S110" s="228">
        <f t="array" ref="S110">IFERROR(INDEX(Projection!$B$9:$BE$196,MATCH('7 Year Projection-Expanded'!$A110,Projection!$B$9:$B$196,0),MATCH('7 Year Projection-Expanded'!S$8,Projection!$B$9:$BE$9,0)),0)</f>
        <v>0</v>
      </c>
      <c r="T110" s="28">
        <f t="array" ref="T110">IFERROR(INDEX(Projection!$B$9:$BE$196,MATCH('7 Year Projection-Expanded'!$A110,Projection!$B$9:$B$196,0),MATCH('7 Year Projection-Expanded'!T$8,Projection!$B$9:$BE$9,0)),0)</f>
        <v>0</v>
      </c>
      <c r="V110" s="572">
        <f>SUMIF(Projection!$F:$F,'7 Year Projection-Expanded'!$A110,Projection!BW:BW)</f>
        <v>0</v>
      </c>
      <c r="W110" s="29">
        <f>SUMIF(Projection!$F:$F,'7 Year Projection-Expanded'!$A110,Projection!BX:BX)</f>
        <v>0</v>
      </c>
      <c r="X110" s="228">
        <f>SUMIF(Projection!$F:$F,'7 Year Projection-Expanded'!$A110,Projection!BY:BY)</f>
        <v>0</v>
      </c>
      <c r="Y110" s="29">
        <f>SUMIF(Projection!$F:$F,'7 Year Projection-Expanded'!$A110,Projection!BZ:BZ)</f>
        <v>0</v>
      </c>
      <c r="Z110" s="228">
        <f>SUMIF(Projection!$F:$F,'7 Year Projection-Expanded'!$A110,Projection!CA:CA)</f>
        <v>0</v>
      </c>
      <c r="AA110" s="29">
        <f>SUMIF(Projection!$F:$F,'7 Year Projection-Expanded'!$A110,Projection!CB:CB)</f>
        <v>0</v>
      </c>
      <c r="AB110" s="228">
        <f>SUMIF(Projection!$F:$F,'7 Year Projection-Expanded'!$A110,Projection!CC:CC)</f>
        <v>0</v>
      </c>
      <c r="AC110" s="29">
        <f>SUMIF(Projection!$F:$F,'7 Year Projection-Expanded'!$A110,Projection!CD:CD)</f>
        <v>0</v>
      </c>
      <c r="AD110" s="228">
        <f>SUMIF(Projection!$F:$F,'7 Year Projection-Expanded'!$A110,Projection!CE:CE)</f>
        <v>0</v>
      </c>
      <c r="AE110" s="29">
        <f>SUMIF(Projection!$F:$F,'7 Year Projection-Expanded'!$A110,Projection!CF:CF)</f>
        <v>0</v>
      </c>
      <c r="AF110" s="228">
        <f>SUMIF(Projection!$F:$F,'7 Year Projection-Expanded'!$A110,Projection!CG:CG)</f>
        <v>0</v>
      </c>
      <c r="AG110" s="29">
        <f>SUMIF(Projection!$F:$F,'7 Year Projection-Expanded'!$A110,Projection!CH:CH)</f>
        <v>0</v>
      </c>
      <c r="AH110" s="228">
        <f>SUMIF(Projection!$F:$F,'7 Year Projection-Expanded'!$A110,Projection!CI:CI)</f>
        <v>0</v>
      </c>
      <c r="AI110" s="29">
        <f>SUMIF(Projection!$F:$F,'7 Year Projection-Expanded'!$A110,Projection!CJ:CJ)</f>
        <v>0</v>
      </c>
      <c r="AJ110" s="573">
        <f>SUMIF(Projection!$F:$F,'7 Year Projection-Expanded'!$A110,Projection!CK:CK)</f>
        <v>0</v>
      </c>
    </row>
    <row r="111" spans="1:36" ht="14.25" customHeight="1" x14ac:dyDescent="0.2">
      <c r="A111" s="11">
        <v>6220</v>
      </c>
      <c r="C111" s="9"/>
      <c r="E111" s="11" t="s">
        <v>373</v>
      </c>
      <c r="H111" s="224"/>
      <c r="I111" s="228">
        <f t="array" ref="I111">IFERROR(INDEX(Projection!$B$9:$BE$196,MATCH('7 Year Projection-Expanded'!$A111,Projection!$B$9:$B$196,0),MATCH('7 Year Projection-Expanded'!I$8,Projection!$B$9:$BE$9,0)),0)</f>
        <v>0</v>
      </c>
      <c r="J111" s="29">
        <f t="array" ref="J111">IFERROR(INDEX(Projection!$B$9:$BE$196,MATCH('7 Year Projection-Expanded'!$A111,Projection!$B$9:$B$196,0),MATCH('7 Year Projection-Expanded'!J$8,Projection!$B$9:$BE$9,0)),0)</f>
        <v>0</v>
      </c>
      <c r="K111" s="228">
        <f t="array" ref="K111">IFERROR(INDEX(Projection!$B$9:$BE$196,MATCH('7 Year Projection-Expanded'!$A111,Projection!$B$9:$B$196,0),MATCH('7 Year Projection-Expanded'!K$8,Projection!$B$9:$BE$9,0)),0)</f>
        <v>0</v>
      </c>
      <c r="L111" s="29">
        <f t="array" ref="L111">IFERROR(INDEX(Projection!$B$9:$BE$196,MATCH('7 Year Projection-Expanded'!$A111,Projection!$B$9:$B$196,0),MATCH('7 Year Projection-Expanded'!L$8,Projection!$B$9:$BE$9,0)),0)</f>
        <v>0</v>
      </c>
      <c r="M111" s="228">
        <f t="array" ref="M111">IFERROR(INDEX(Projection!$B$9:$BE$196,MATCH('7 Year Projection-Expanded'!$A111,Projection!$B$9:$B$196,0),MATCH('7 Year Projection-Expanded'!M$8,Projection!$B$9:$BE$9,0)),0)</f>
        <v>0</v>
      </c>
      <c r="N111" s="29">
        <f t="array" ref="N111">IFERROR(INDEX(Projection!$B$9:$BE$196,MATCH('7 Year Projection-Expanded'!$A111,Projection!$B$9:$B$196,0),MATCH('7 Year Projection-Expanded'!N$8,Projection!$B$9:$BE$9,0)),0)</f>
        <v>0</v>
      </c>
      <c r="O111" s="228">
        <f t="array" ref="O111">IFERROR(INDEX(Projection!$B$9:$BE$196,MATCH('7 Year Projection-Expanded'!$A111,Projection!$B$9:$B$196,0),MATCH('7 Year Projection-Expanded'!O$8,Projection!$B$9:$BE$9,0)),0)</f>
        <v>0</v>
      </c>
      <c r="P111" s="29">
        <f t="array" ref="P111">IFERROR(INDEX(Projection!$B$9:$BE$196,MATCH('7 Year Projection-Expanded'!$A111,Projection!$B$9:$B$196,0),MATCH('7 Year Projection-Expanded'!P$8,Projection!$B$9:$BE$9,0)),0)</f>
        <v>0</v>
      </c>
      <c r="Q111" s="228">
        <f t="array" ref="Q111">IFERROR(INDEX(Projection!$B$9:$BE$196,MATCH('7 Year Projection-Expanded'!$A111,Projection!$B$9:$B$196,0),MATCH('7 Year Projection-Expanded'!Q$8,Projection!$B$9:$BE$9,0)),0)</f>
        <v>0</v>
      </c>
      <c r="R111" s="29">
        <f t="array" ref="R111">IFERROR(INDEX(Projection!$B$9:$BE$196,MATCH('7 Year Projection-Expanded'!$A111,Projection!$B$9:$B$196,0),MATCH('7 Year Projection-Expanded'!R$8,Projection!$B$9:$BE$9,0)),0)</f>
        <v>0</v>
      </c>
      <c r="S111" s="228">
        <f t="array" ref="S111">IFERROR(INDEX(Projection!$B$9:$BE$196,MATCH('7 Year Projection-Expanded'!$A111,Projection!$B$9:$B$196,0),MATCH('7 Year Projection-Expanded'!S$8,Projection!$B$9:$BE$9,0)),0)</f>
        <v>0</v>
      </c>
      <c r="T111" s="28">
        <f t="array" ref="T111">IFERROR(INDEX(Projection!$B$9:$BE$196,MATCH('7 Year Projection-Expanded'!$A111,Projection!$B$9:$B$196,0),MATCH('7 Year Projection-Expanded'!T$8,Projection!$B$9:$BE$9,0)),0)</f>
        <v>0</v>
      </c>
      <c r="V111" s="572">
        <f>SUMIF(Projection!$F:$F,'7 Year Projection-Expanded'!$A111,Projection!BW:BW)</f>
        <v>0</v>
      </c>
      <c r="W111" s="29">
        <f>SUMIF(Projection!$F:$F,'7 Year Projection-Expanded'!$A111,Projection!BX:BX)</f>
        <v>0</v>
      </c>
      <c r="X111" s="228">
        <f>SUMIF(Projection!$F:$F,'7 Year Projection-Expanded'!$A111,Projection!BY:BY)</f>
        <v>0</v>
      </c>
      <c r="Y111" s="29">
        <f>SUMIF(Projection!$F:$F,'7 Year Projection-Expanded'!$A111,Projection!BZ:BZ)</f>
        <v>0</v>
      </c>
      <c r="Z111" s="228">
        <f>SUMIF(Projection!$F:$F,'7 Year Projection-Expanded'!$A111,Projection!CA:CA)</f>
        <v>0</v>
      </c>
      <c r="AA111" s="29">
        <f>SUMIF(Projection!$F:$F,'7 Year Projection-Expanded'!$A111,Projection!CB:CB)</f>
        <v>0</v>
      </c>
      <c r="AB111" s="228">
        <f>SUMIF(Projection!$F:$F,'7 Year Projection-Expanded'!$A111,Projection!CC:CC)</f>
        <v>0</v>
      </c>
      <c r="AC111" s="29">
        <f>SUMIF(Projection!$F:$F,'7 Year Projection-Expanded'!$A111,Projection!CD:CD)</f>
        <v>0</v>
      </c>
      <c r="AD111" s="228">
        <f>SUMIF(Projection!$F:$F,'7 Year Projection-Expanded'!$A111,Projection!CE:CE)</f>
        <v>0</v>
      </c>
      <c r="AE111" s="29">
        <f>SUMIF(Projection!$F:$F,'7 Year Projection-Expanded'!$A111,Projection!CF:CF)</f>
        <v>0</v>
      </c>
      <c r="AF111" s="228">
        <f>SUMIF(Projection!$F:$F,'7 Year Projection-Expanded'!$A111,Projection!CG:CG)</f>
        <v>0</v>
      </c>
      <c r="AG111" s="29">
        <f>SUMIF(Projection!$F:$F,'7 Year Projection-Expanded'!$A111,Projection!CH:CH)</f>
        <v>0</v>
      </c>
      <c r="AH111" s="228">
        <f>SUMIF(Projection!$F:$F,'7 Year Projection-Expanded'!$A111,Projection!CI:CI)</f>
        <v>0</v>
      </c>
      <c r="AI111" s="29">
        <f>SUMIF(Projection!$F:$F,'7 Year Projection-Expanded'!$A111,Projection!CJ:CJ)</f>
        <v>0</v>
      </c>
      <c r="AJ111" s="573">
        <f>SUMIF(Projection!$F:$F,'7 Year Projection-Expanded'!$A111,Projection!CK:CK)</f>
        <v>0</v>
      </c>
    </row>
    <row r="112" spans="1:36" ht="14.25" customHeight="1" x14ac:dyDescent="0.2">
      <c r="A112" s="11">
        <v>6224</v>
      </c>
      <c r="C112" s="9"/>
      <c r="E112" s="11" t="s">
        <v>207</v>
      </c>
      <c r="H112" s="224"/>
      <c r="I112" s="228">
        <f t="array" ref="I112">IFERROR(INDEX(Projection!$B$9:$BE$196,MATCH('7 Year Projection-Expanded'!$A112,Projection!$B$9:$B$196,0),MATCH('7 Year Projection-Expanded'!I$8,Projection!$B$9:$BE$9,0)),0)</f>
        <v>64</v>
      </c>
      <c r="J112" s="29">
        <f t="array" ref="J112">IFERROR(INDEX(Projection!$B$9:$BE$196,MATCH('7 Year Projection-Expanded'!$A112,Projection!$B$9:$B$196,0),MATCH('7 Year Projection-Expanded'!J$8,Projection!$B$9:$BE$9,0)),0)</f>
        <v>64</v>
      </c>
      <c r="K112" s="228">
        <f t="array" ref="K112">IFERROR(INDEX(Projection!$B$9:$BE$196,MATCH('7 Year Projection-Expanded'!$A112,Projection!$B$9:$B$196,0),MATCH('7 Year Projection-Expanded'!K$8,Projection!$B$9:$BE$9,0)),0)</f>
        <v>64</v>
      </c>
      <c r="L112" s="29">
        <f t="array" ref="L112">IFERROR(INDEX(Projection!$B$9:$BE$196,MATCH('7 Year Projection-Expanded'!$A112,Projection!$B$9:$B$196,0),MATCH('7 Year Projection-Expanded'!L$8,Projection!$B$9:$BE$9,0)),0)</f>
        <v>64</v>
      </c>
      <c r="M112" s="228">
        <f t="array" ref="M112">IFERROR(INDEX(Projection!$B$9:$BE$196,MATCH('7 Year Projection-Expanded'!$A112,Projection!$B$9:$B$196,0),MATCH('7 Year Projection-Expanded'!M$8,Projection!$B$9:$BE$9,0)),0)</f>
        <v>64</v>
      </c>
      <c r="N112" s="29">
        <f t="array" ref="N112">IFERROR(INDEX(Projection!$B$9:$BE$196,MATCH('7 Year Projection-Expanded'!$A112,Projection!$B$9:$B$196,0),MATCH('7 Year Projection-Expanded'!N$8,Projection!$B$9:$BE$9,0)),0)</f>
        <v>64</v>
      </c>
      <c r="O112" s="228">
        <f t="array" ref="O112">IFERROR(INDEX(Projection!$B$9:$BE$196,MATCH('7 Year Projection-Expanded'!$A112,Projection!$B$9:$B$196,0),MATCH('7 Year Projection-Expanded'!O$8,Projection!$B$9:$BE$9,0)),0)</f>
        <v>64</v>
      </c>
      <c r="P112" s="29">
        <f t="array" ref="P112">IFERROR(INDEX(Projection!$B$9:$BE$196,MATCH('7 Year Projection-Expanded'!$A112,Projection!$B$9:$B$196,0),MATCH('7 Year Projection-Expanded'!P$8,Projection!$B$9:$BE$9,0)),0)</f>
        <v>64</v>
      </c>
      <c r="Q112" s="228">
        <f t="array" ref="Q112">IFERROR(INDEX(Projection!$B$9:$BE$196,MATCH('7 Year Projection-Expanded'!$A112,Projection!$B$9:$B$196,0),MATCH('7 Year Projection-Expanded'!Q$8,Projection!$B$9:$BE$9,0)),0)</f>
        <v>64</v>
      </c>
      <c r="R112" s="29">
        <f t="array" ref="R112">IFERROR(INDEX(Projection!$B$9:$BE$196,MATCH('7 Year Projection-Expanded'!$A112,Projection!$B$9:$B$196,0),MATCH('7 Year Projection-Expanded'!R$8,Projection!$B$9:$BE$9,0)),0)</f>
        <v>64</v>
      </c>
      <c r="S112" s="228">
        <f t="array" ref="S112">IFERROR(INDEX(Projection!$B$9:$BE$196,MATCH('7 Year Projection-Expanded'!$A112,Projection!$B$9:$B$196,0),MATCH('7 Year Projection-Expanded'!S$8,Projection!$B$9:$BE$9,0)),0)</f>
        <v>64</v>
      </c>
      <c r="T112" s="28">
        <f t="array" ref="T112">IFERROR(INDEX(Projection!$B$9:$BE$196,MATCH('7 Year Projection-Expanded'!$A112,Projection!$B$9:$B$196,0),MATCH('7 Year Projection-Expanded'!T$8,Projection!$B$9:$BE$9,0)),0)</f>
        <v>64</v>
      </c>
      <c r="V112" s="572">
        <f>SUMIF(Projection!$F:$F,'7 Year Projection-Expanded'!$A112,Projection!BW:BW)</f>
        <v>768</v>
      </c>
      <c r="W112" s="29">
        <f>SUMIF(Projection!$F:$F,'7 Year Projection-Expanded'!$A112,Projection!BX:BX)</f>
        <v>787.20000000000016</v>
      </c>
      <c r="X112" s="228">
        <f>SUMIF(Projection!$F:$F,'7 Year Projection-Expanded'!$A112,Projection!BY:BY)</f>
        <v>806.88</v>
      </c>
      <c r="Y112" s="29">
        <f>SUMIF(Projection!$F:$F,'7 Year Projection-Expanded'!$A112,Projection!BZ:BZ)</f>
        <v>827.05200000000013</v>
      </c>
      <c r="Z112" s="228">
        <f>SUMIF(Projection!$F:$F,'7 Year Projection-Expanded'!$A112,Projection!CA:CA)</f>
        <v>847.72829999999965</v>
      </c>
      <c r="AA112" s="29">
        <f>SUMIF(Projection!$F:$F,'7 Year Projection-Expanded'!$A112,Projection!CB:CB)</f>
        <v>868.92150749999962</v>
      </c>
      <c r="AB112" s="228">
        <f>SUMIF(Projection!$F:$F,'7 Year Projection-Expanded'!$A112,Projection!CC:CC)</f>
        <v>890.64454518749949</v>
      </c>
      <c r="AC112" s="29">
        <f>SUMIF(Projection!$F:$F,'7 Year Projection-Expanded'!$A112,Projection!CD:CD)</f>
        <v>912.91065881718691</v>
      </c>
      <c r="AD112" s="228">
        <f>SUMIF(Projection!$F:$F,'7 Year Projection-Expanded'!$A112,Projection!CE:CE)</f>
        <v>935.73342528761646</v>
      </c>
      <c r="AE112" s="29">
        <f>SUMIF(Projection!$F:$F,'7 Year Projection-Expanded'!$A112,Projection!CF:CF)</f>
        <v>959.12676091980677</v>
      </c>
      <c r="AF112" s="228">
        <f>SUMIF(Projection!$F:$F,'7 Year Projection-Expanded'!$A112,Projection!CG:CG)</f>
        <v>983.10492994280185</v>
      </c>
      <c r="AG112" s="29">
        <f>SUMIF(Projection!$F:$F,'7 Year Projection-Expanded'!$A112,Projection!CH:CH)</f>
        <v>1007.6825531913718</v>
      </c>
      <c r="AH112" s="228">
        <f>SUMIF(Projection!$F:$F,'7 Year Projection-Expanded'!$A112,Projection!CI:CI)</f>
        <v>1032.8746170211559</v>
      </c>
      <c r="AI112" s="29">
        <f>SUMIF(Projection!$F:$F,'7 Year Projection-Expanded'!$A112,Projection!CJ:CJ)</f>
        <v>1058.6964824466847</v>
      </c>
      <c r="AJ112" s="573">
        <f>SUMIF(Projection!$F:$F,'7 Year Projection-Expanded'!$A112,Projection!CK:CK)</f>
        <v>1085.1638945078519</v>
      </c>
    </row>
    <row r="113" spans="1:36" ht="14.25" customHeight="1" x14ac:dyDescent="0.2">
      <c r="A113" s="11">
        <v>6225</v>
      </c>
      <c r="C113" s="9"/>
      <c r="E113" s="11" t="s">
        <v>220</v>
      </c>
      <c r="H113" s="224"/>
      <c r="I113" s="228">
        <f t="array" ref="I113">IFERROR(INDEX(Projection!$B$9:$BE$196,MATCH('7 Year Projection-Expanded'!$A113,Projection!$B$9:$B$196,0),MATCH('7 Year Projection-Expanded'!I$8,Projection!$B$9:$BE$9,0)),0)</f>
        <v>189</v>
      </c>
      <c r="J113" s="29">
        <f t="array" ref="J113">IFERROR(INDEX(Projection!$B$9:$BE$196,MATCH('7 Year Projection-Expanded'!$A113,Projection!$B$9:$B$196,0),MATCH('7 Year Projection-Expanded'!J$8,Projection!$B$9:$BE$9,0)),0)</f>
        <v>189</v>
      </c>
      <c r="K113" s="228">
        <f t="array" ref="K113">IFERROR(INDEX(Projection!$B$9:$BE$196,MATCH('7 Year Projection-Expanded'!$A113,Projection!$B$9:$B$196,0),MATCH('7 Year Projection-Expanded'!K$8,Projection!$B$9:$BE$9,0)),0)</f>
        <v>189</v>
      </c>
      <c r="L113" s="29">
        <f t="array" ref="L113">IFERROR(INDEX(Projection!$B$9:$BE$196,MATCH('7 Year Projection-Expanded'!$A113,Projection!$B$9:$B$196,0),MATCH('7 Year Projection-Expanded'!L$8,Projection!$B$9:$BE$9,0)),0)</f>
        <v>189</v>
      </c>
      <c r="M113" s="228">
        <f t="array" ref="M113">IFERROR(INDEX(Projection!$B$9:$BE$196,MATCH('7 Year Projection-Expanded'!$A113,Projection!$B$9:$B$196,0),MATCH('7 Year Projection-Expanded'!M$8,Projection!$B$9:$BE$9,0)),0)</f>
        <v>189</v>
      </c>
      <c r="N113" s="29">
        <f t="array" ref="N113">IFERROR(INDEX(Projection!$B$9:$BE$196,MATCH('7 Year Projection-Expanded'!$A113,Projection!$B$9:$B$196,0),MATCH('7 Year Projection-Expanded'!N$8,Projection!$B$9:$BE$9,0)),0)</f>
        <v>189</v>
      </c>
      <c r="O113" s="228">
        <f t="array" ref="O113">IFERROR(INDEX(Projection!$B$9:$BE$196,MATCH('7 Year Projection-Expanded'!$A113,Projection!$B$9:$B$196,0),MATCH('7 Year Projection-Expanded'!O$8,Projection!$B$9:$BE$9,0)),0)</f>
        <v>189</v>
      </c>
      <c r="P113" s="29">
        <f t="array" ref="P113">IFERROR(INDEX(Projection!$B$9:$BE$196,MATCH('7 Year Projection-Expanded'!$A113,Projection!$B$9:$B$196,0),MATCH('7 Year Projection-Expanded'!P$8,Projection!$B$9:$BE$9,0)),0)</f>
        <v>189</v>
      </c>
      <c r="Q113" s="228">
        <f t="array" ref="Q113">IFERROR(INDEX(Projection!$B$9:$BE$196,MATCH('7 Year Projection-Expanded'!$A113,Projection!$B$9:$B$196,0),MATCH('7 Year Projection-Expanded'!Q$8,Projection!$B$9:$BE$9,0)),0)</f>
        <v>189</v>
      </c>
      <c r="R113" s="29">
        <f t="array" ref="R113">IFERROR(INDEX(Projection!$B$9:$BE$196,MATCH('7 Year Projection-Expanded'!$A113,Projection!$B$9:$B$196,0),MATCH('7 Year Projection-Expanded'!R$8,Projection!$B$9:$BE$9,0)),0)</f>
        <v>189</v>
      </c>
      <c r="S113" s="228">
        <f t="array" ref="S113">IFERROR(INDEX(Projection!$B$9:$BE$196,MATCH('7 Year Projection-Expanded'!$A113,Projection!$B$9:$B$196,0),MATCH('7 Year Projection-Expanded'!S$8,Projection!$B$9:$BE$9,0)),0)</f>
        <v>189</v>
      </c>
      <c r="T113" s="28">
        <f t="array" ref="T113">IFERROR(INDEX(Projection!$B$9:$BE$196,MATCH('7 Year Projection-Expanded'!$A113,Projection!$B$9:$B$196,0),MATCH('7 Year Projection-Expanded'!T$8,Projection!$B$9:$BE$9,0)),0)</f>
        <v>189</v>
      </c>
      <c r="V113" s="572">
        <f>SUMIF(Projection!$F:$F,'7 Year Projection-Expanded'!$A113,Projection!BW:BW)</f>
        <v>2268</v>
      </c>
      <c r="W113" s="29">
        <f>SUMIF(Projection!$F:$F,'7 Year Projection-Expanded'!$A113,Projection!BX:BX)</f>
        <v>2324.6999999999994</v>
      </c>
      <c r="X113" s="228">
        <f>SUMIF(Projection!$F:$F,'7 Year Projection-Expanded'!$A113,Projection!BY:BY)</f>
        <v>2382.8174999999997</v>
      </c>
      <c r="Y113" s="29">
        <f>SUMIF(Projection!$F:$F,'7 Year Projection-Expanded'!$A113,Projection!BZ:BZ)</f>
        <v>2442.3879374999997</v>
      </c>
      <c r="Z113" s="228">
        <f>SUMIF(Projection!$F:$F,'7 Year Projection-Expanded'!$A113,Projection!CA:CA)</f>
        <v>2503.4476359374989</v>
      </c>
      <c r="AA113" s="29">
        <f>SUMIF(Projection!$F:$F,'7 Year Projection-Expanded'!$A113,Projection!CB:CB)</f>
        <v>2566.033826835936</v>
      </c>
      <c r="AB113" s="228">
        <f>SUMIF(Projection!$F:$F,'7 Year Projection-Expanded'!$A113,Projection!CC:CC)</f>
        <v>2630.184672506834</v>
      </c>
      <c r="AC113" s="29">
        <f>SUMIF(Projection!$F:$F,'7 Year Projection-Expanded'!$A113,Projection!CD:CD)</f>
        <v>2695.9392893195045</v>
      </c>
      <c r="AD113" s="228">
        <f>SUMIF(Projection!$F:$F,'7 Year Projection-Expanded'!$A113,Projection!CE:CE)</f>
        <v>2763.3377715524921</v>
      </c>
      <c r="AE113" s="29">
        <f>SUMIF(Projection!$F:$F,'7 Year Projection-Expanded'!$A113,Projection!CF:CF)</f>
        <v>2832.4212158413043</v>
      </c>
      <c r="AF113" s="228">
        <f>SUMIF(Projection!$F:$F,'7 Year Projection-Expanded'!$A113,Projection!CG:CG)</f>
        <v>2903.2317462373367</v>
      </c>
      <c r="AG113" s="29">
        <f>SUMIF(Projection!$F:$F,'7 Year Projection-Expanded'!$A113,Projection!CH:CH)</f>
        <v>2975.8125398932698</v>
      </c>
      <c r="AH113" s="228">
        <f>SUMIF(Projection!$F:$F,'7 Year Projection-Expanded'!$A113,Projection!CI:CI)</f>
        <v>3050.2078533906015</v>
      </c>
      <c r="AI113" s="29">
        <f>SUMIF(Projection!$F:$F,'7 Year Projection-Expanded'!$A113,Projection!CJ:CJ)</f>
        <v>3126.4630497253661</v>
      </c>
      <c r="AJ113" s="573">
        <f>SUMIF(Projection!$F:$F,'7 Year Projection-Expanded'!$A113,Projection!CK:CK)</f>
        <v>3204.6246259684999</v>
      </c>
    </row>
    <row r="114" spans="1:36" ht="14.25" customHeight="1" x14ac:dyDescent="0.2">
      <c r="A114" s="11">
        <v>6226</v>
      </c>
      <c r="C114" s="9"/>
      <c r="E114" s="11" t="s">
        <v>217</v>
      </c>
      <c r="H114" s="621"/>
      <c r="I114" s="228">
        <f t="array" ref="I114">IFERROR(INDEX(Projection!$B$9:$BE$196,MATCH('7 Year Projection-Expanded'!$A114,Projection!$B$9:$B$196,0),MATCH('7 Year Projection-Expanded'!I$8,Projection!$B$9:$BE$9,0)),0)</f>
        <v>0</v>
      </c>
      <c r="J114" s="29">
        <f t="array" ref="J114">IFERROR(INDEX(Projection!$B$9:$BE$196,MATCH('7 Year Projection-Expanded'!$A114,Projection!$B$9:$B$196,0),MATCH('7 Year Projection-Expanded'!J$8,Projection!$B$9:$BE$9,0)),0)</f>
        <v>0</v>
      </c>
      <c r="K114" s="228">
        <f t="array" ref="K114">IFERROR(INDEX(Projection!$B$9:$BE$196,MATCH('7 Year Projection-Expanded'!$A114,Projection!$B$9:$B$196,0),MATCH('7 Year Projection-Expanded'!K$8,Projection!$B$9:$BE$9,0)),0)</f>
        <v>0</v>
      </c>
      <c r="L114" s="29">
        <f t="array" ref="L114">IFERROR(INDEX(Projection!$B$9:$BE$196,MATCH('7 Year Projection-Expanded'!$A114,Projection!$B$9:$B$196,0),MATCH('7 Year Projection-Expanded'!L$8,Projection!$B$9:$BE$9,0)),0)</f>
        <v>0</v>
      </c>
      <c r="M114" s="228">
        <f t="array" ref="M114">IFERROR(INDEX(Projection!$B$9:$BE$196,MATCH('7 Year Projection-Expanded'!$A114,Projection!$B$9:$B$196,0),MATCH('7 Year Projection-Expanded'!M$8,Projection!$B$9:$BE$9,0)),0)</f>
        <v>0</v>
      </c>
      <c r="N114" s="29">
        <f t="array" ref="N114">IFERROR(INDEX(Projection!$B$9:$BE$196,MATCH('7 Year Projection-Expanded'!$A114,Projection!$B$9:$B$196,0),MATCH('7 Year Projection-Expanded'!N$8,Projection!$B$9:$BE$9,0)),0)</f>
        <v>0</v>
      </c>
      <c r="O114" s="228">
        <f t="array" ref="O114">IFERROR(INDEX(Projection!$B$9:$BE$196,MATCH('7 Year Projection-Expanded'!$A114,Projection!$B$9:$B$196,0),MATCH('7 Year Projection-Expanded'!O$8,Projection!$B$9:$BE$9,0)),0)</f>
        <v>0</v>
      </c>
      <c r="P114" s="29">
        <f t="array" ref="P114">IFERROR(INDEX(Projection!$B$9:$BE$196,MATCH('7 Year Projection-Expanded'!$A114,Projection!$B$9:$B$196,0),MATCH('7 Year Projection-Expanded'!P$8,Projection!$B$9:$BE$9,0)),0)</f>
        <v>0</v>
      </c>
      <c r="Q114" s="228">
        <f t="array" ref="Q114">IFERROR(INDEX(Projection!$B$9:$BE$196,MATCH('7 Year Projection-Expanded'!$A114,Projection!$B$9:$B$196,0),MATCH('7 Year Projection-Expanded'!Q$8,Projection!$B$9:$BE$9,0)),0)</f>
        <v>0</v>
      </c>
      <c r="R114" s="29">
        <f t="array" ref="R114">IFERROR(INDEX(Projection!$B$9:$BE$196,MATCH('7 Year Projection-Expanded'!$A114,Projection!$B$9:$B$196,0),MATCH('7 Year Projection-Expanded'!R$8,Projection!$B$9:$BE$9,0)),0)</f>
        <v>0</v>
      </c>
      <c r="S114" s="228">
        <f t="array" ref="S114">IFERROR(INDEX(Projection!$B$9:$BE$196,MATCH('7 Year Projection-Expanded'!$A114,Projection!$B$9:$B$196,0),MATCH('7 Year Projection-Expanded'!S$8,Projection!$B$9:$BE$9,0)),0)</f>
        <v>0</v>
      </c>
      <c r="T114" s="28">
        <f t="array" ref="T114">IFERROR(INDEX(Projection!$B$9:$BE$196,MATCH('7 Year Projection-Expanded'!$A114,Projection!$B$9:$B$196,0),MATCH('7 Year Projection-Expanded'!T$8,Projection!$B$9:$BE$9,0)),0)</f>
        <v>0</v>
      </c>
      <c r="V114" s="572">
        <f>SUMIF(Projection!$F:$F,'7 Year Projection-Expanded'!$A114,Projection!BW:BW)</f>
        <v>0</v>
      </c>
      <c r="W114" s="29">
        <f>SUMIF(Projection!$F:$F,'7 Year Projection-Expanded'!$A114,Projection!BX:BX)</f>
        <v>0</v>
      </c>
      <c r="X114" s="228">
        <f>SUMIF(Projection!$F:$F,'7 Year Projection-Expanded'!$A114,Projection!BY:BY)</f>
        <v>0</v>
      </c>
      <c r="Y114" s="29">
        <f>SUMIF(Projection!$F:$F,'7 Year Projection-Expanded'!$A114,Projection!BZ:BZ)</f>
        <v>0</v>
      </c>
      <c r="Z114" s="228">
        <f>SUMIF(Projection!$F:$F,'7 Year Projection-Expanded'!$A114,Projection!CA:CA)</f>
        <v>0</v>
      </c>
      <c r="AA114" s="29">
        <f>SUMIF(Projection!$F:$F,'7 Year Projection-Expanded'!$A114,Projection!CB:CB)</f>
        <v>0</v>
      </c>
      <c r="AB114" s="228">
        <f>SUMIF(Projection!$F:$F,'7 Year Projection-Expanded'!$A114,Projection!CC:CC)</f>
        <v>0</v>
      </c>
      <c r="AC114" s="29">
        <f>SUMIF(Projection!$F:$F,'7 Year Projection-Expanded'!$A114,Projection!CD:CD)</f>
        <v>0</v>
      </c>
      <c r="AD114" s="228">
        <f>SUMIF(Projection!$F:$F,'7 Year Projection-Expanded'!$A114,Projection!CE:CE)</f>
        <v>0</v>
      </c>
      <c r="AE114" s="29">
        <f>SUMIF(Projection!$F:$F,'7 Year Projection-Expanded'!$A114,Projection!CF:CF)</f>
        <v>0</v>
      </c>
      <c r="AF114" s="228">
        <f>SUMIF(Projection!$F:$F,'7 Year Projection-Expanded'!$A114,Projection!CG:CG)</f>
        <v>0</v>
      </c>
      <c r="AG114" s="29">
        <f>SUMIF(Projection!$F:$F,'7 Year Projection-Expanded'!$A114,Projection!CH:CH)</f>
        <v>0</v>
      </c>
      <c r="AH114" s="228">
        <f>SUMIF(Projection!$F:$F,'7 Year Projection-Expanded'!$A114,Projection!CI:CI)</f>
        <v>0</v>
      </c>
      <c r="AI114" s="29">
        <f>SUMIF(Projection!$F:$F,'7 Year Projection-Expanded'!$A114,Projection!CJ:CJ)</f>
        <v>0</v>
      </c>
      <c r="AJ114" s="573">
        <f>SUMIF(Projection!$F:$F,'7 Year Projection-Expanded'!$A114,Projection!CK:CK)</f>
        <v>0</v>
      </c>
    </row>
    <row r="115" spans="1:36" ht="14.25" customHeight="1" x14ac:dyDescent="0.2">
      <c r="A115" s="11">
        <v>6227</v>
      </c>
      <c r="C115" s="9"/>
      <c r="E115" s="11" t="s">
        <v>224</v>
      </c>
      <c r="H115" s="621"/>
      <c r="I115" s="228">
        <f t="array" ref="I115">IFERROR(INDEX(Projection!$B$9:$BE$196,MATCH('7 Year Projection-Expanded'!$A115,Projection!$B$9:$B$196,0),MATCH('7 Year Projection-Expanded'!I$8,Projection!$B$9:$BE$9,0)),0)</f>
        <v>1.0000000000000001E-9</v>
      </c>
      <c r="J115" s="29">
        <f t="array" ref="J115">IFERROR(INDEX(Projection!$B$9:$BE$196,MATCH('7 Year Projection-Expanded'!$A115,Projection!$B$9:$B$196,0),MATCH('7 Year Projection-Expanded'!J$8,Projection!$B$9:$BE$9,0)),0)</f>
        <v>1.0000000000000001E-9</v>
      </c>
      <c r="K115" s="228">
        <f t="array" ref="K115">IFERROR(INDEX(Projection!$B$9:$BE$196,MATCH('7 Year Projection-Expanded'!$A115,Projection!$B$9:$B$196,0),MATCH('7 Year Projection-Expanded'!K$8,Projection!$B$9:$BE$9,0)),0)</f>
        <v>1.0000000000000001E-9</v>
      </c>
      <c r="L115" s="29">
        <f t="array" ref="L115">IFERROR(INDEX(Projection!$B$9:$BE$196,MATCH('7 Year Projection-Expanded'!$A115,Projection!$B$9:$B$196,0),MATCH('7 Year Projection-Expanded'!L$8,Projection!$B$9:$BE$9,0)),0)</f>
        <v>1.0000000000000001E-9</v>
      </c>
      <c r="M115" s="228">
        <f t="array" ref="M115">IFERROR(INDEX(Projection!$B$9:$BE$196,MATCH('7 Year Projection-Expanded'!$A115,Projection!$B$9:$B$196,0),MATCH('7 Year Projection-Expanded'!M$8,Projection!$B$9:$BE$9,0)),0)</f>
        <v>1.0000000000000001E-9</v>
      </c>
      <c r="N115" s="29">
        <f t="array" ref="N115">IFERROR(INDEX(Projection!$B$9:$BE$196,MATCH('7 Year Projection-Expanded'!$A115,Projection!$B$9:$B$196,0),MATCH('7 Year Projection-Expanded'!N$8,Projection!$B$9:$BE$9,0)),0)</f>
        <v>1.0000000000000001E-9</v>
      </c>
      <c r="O115" s="228">
        <f t="array" ref="O115">IFERROR(INDEX(Projection!$B$9:$BE$196,MATCH('7 Year Projection-Expanded'!$A115,Projection!$B$9:$B$196,0),MATCH('7 Year Projection-Expanded'!O$8,Projection!$B$9:$BE$9,0)),0)</f>
        <v>1.0000000000000001E-9</v>
      </c>
      <c r="P115" s="29">
        <f t="array" ref="P115">IFERROR(INDEX(Projection!$B$9:$BE$196,MATCH('7 Year Projection-Expanded'!$A115,Projection!$B$9:$B$196,0),MATCH('7 Year Projection-Expanded'!P$8,Projection!$B$9:$BE$9,0)),0)</f>
        <v>1.0000000000000001E-9</v>
      </c>
      <c r="Q115" s="228">
        <f t="array" ref="Q115">IFERROR(INDEX(Projection!$B$9:$BE$196,MATCH('7 Year Projection-Expanded'!$A115,Projection!$B$9:$B$196,0),MATCH('7 Year Projection-Expanded'!Q$8,Projection!$B$9:$BE$9,0)),0)</f>
        <v>1.0000000000000001E-9</v>
      </c>
      <c r="R115" s="29">
        <f t="array" ref="R115">IFERROR(INDEX(Projection!$B$9:$BE$196,MATCH('7 Year Projection-Expanded'!$A115,Projection!$B$9:$B$196,0),MATCH('7 Year Projection-Expanded'!R$8,Projection!$B$9:$BE$9,0)),0)</f>
        <v>1.0000000000000001E-9</v>
      </c>
      <c r="S115" s="228">
        <f t="array" ref="S115">IFERROR(INDEX(Projection!$B$9:$BE$196,MATCH('7 Year Projection-Expanded'!$A115,Projection!$B$9:$B$196,0),MATCH('7 Year Projection-Expanded'!S$8,Projection!$B$9:$BE$9,0)),0)</f>
        <v>1.0000000000000001E-9</v>
      </c>
      <c r="T115" s="28">
        <f t="array" ref="T115">IFERROR(INDEX(Projection!$B$9:$BE$196,MATCH('7 Year Projection-Expanded'!$A115,Projection!$B$9:$B$196,0),MATCH('7 Year Projection-Expanded'!T$8,Projection!$B$9:$BE$9,0)),0)</f>
        <v>1.0000000000000001E-9</v>
      </c>
      <c r="V115" s="572">
        <f>SUMIF(Projection!$F:$F,'7 Year Projection-Expanded'!$A115,Projection!BW:BW)</f>
        <v>1.2000000000000003E-8</v>
      </c>
      <c r="W115" s="29">
        <f>SUMIF(Projection!$F:$F,'7 Year Projection-Expanded'!$A115,Projection!BX:BX)</f>
        <v>1.2299999999999996E-8</v>
      </c>
      <c r="X115" s="228">
        <f>SUMIF(Projection!$F:$F,'7 Year Projection-Expanded'!$A115,Projection!BY:BY)</f>
        <v>1.2607500000000001E-8</v>
      </c>
      <c r="Y115" s="29">
        <f>SUMIF(Projection!$F:$F,'7 Year Projection-Expanded'!$A115,Projection!BZ:BZ)</f>
        <v>1.2922687499999992E-8</v>
      </c>
      <c r="Z115" s="228">
        <f>SUMIF(Projection!$F:$F,'7 Year Projection-Expanded'!$A115,Projection!CA:CA)</f>
        <v>1.324575468749999E-8</v>
      </c>
      <c r="AA115" s="29">
        <f>SUMIF(Projection!$F:$F,'7 Year Projection-Expanded'!$A115,Projection!CB:CB)</f>
        <v>1.3576898554687488E-8</v>
      </c>
      <c r="AB115" s="228">
        <f>SUMIF(Projection!$F:$F,'7 Year Projection-Expanded'!$A115,Projection!CC:CC)</f>
        <v>1.3916321018554674E-8</v>
      </c>
      <c r="AC115" s="29">
        <f>SUMIF(Projection!$F:$F,'7 Year Projection-Expanded'!$A115,Projection!CD:CD)</f>
        <v>1.426422904401854E-8</v>
      </c>
      <c r="AD115" s="228">
        <f>SUMIF(Projection!$F:$F,'7 Year Projection-Expanded'!$A115,Projection!CE:CE)</f>
        <v>1.4620834770119003E-8</v>
      </c>
      <c r="AE115" s="29">
        <f>SUMIF(Projection!$F:$F,'7 Year Projection-Expanded'!$A115,Projection!CF:CF)</f>
        <v>1.4986355639371978E-8</v>
      </c>
      <c r="AF115" s="228">
        <f>SUMIF(Projection!$F:$F,'7 Year Projection-Expanded'!$A115,Projection!CG:CG)</f>
        <v>1.5361014530356275E-8</v>
      </c>
      <c r="AG115" s="29">
        <f>SUMIF(Projection!$F:$F,'7 Year Projection-Expanded'!$A115,Projection!CH:CH)</f>
        <v>1.5745039893615182E-8</v>
      </c>
      <c r="AH115" s="228">
        <f>SUMIF(Projection!$F:$F,'7 Year Projection-Expanded'!$A115,Projection!CI:CI)</f>
        <v>1.6138665890955562E-8</v>
      </c>
      <c r="AI115" s="29">
        <f>SUMIF(Projection!$F:$F,'7 Year Projection-Expanded'!$A115,Projection!CJ:CJ)</f>
        <v>1.654213253822945E-8</v>
      </c>
      <c r="AJ115" s="573">
        <f>SUMIF(Projection!$F:$F,'7 Year Projection-Expanded'!$A115,Projection!CK:CK)</f>
        <v>1.6955685851685185E-8</v>
      </c>
    </row>
    <row r="116" spans="1:36" ht="14.25" customHeight="1" x14ac:dyDescent="0.2">
      <c r="A116" s="11">
        <v>6232</v>
      </c>
      <c r="C116" s="9"/>
      <c r="E116" s="11" t="s">
        <v>467</v>
      </c>
      <c r="H116" s="605"/>
      <c r="I116" s="228">
        <f t="array" ref="I116">IFERROR(INDEX(Projection!$B$9:$BE$196,MATCH('7 Year Projection-Expanded'!$A116,Projection!$B$9:$B$196,0),MATCH('7 Year Projection-Expanded'!I$8,Projection!$B$9:$BE$9,0)),0)</f>
        <v>55.965928313772245</v>
      </c>
      <c r="J116" s="29">
        <f t="array" ref="J116">IFERROR(INDEX(Projection!$B$9:$BE$196,MATCH('7 Year Projection-Expanded'!$A116,Projection!$B$9:$B$196,0),MATCH('7 Year Projection-Expanded'!J$8,Projection!$B$9:$BE$9,0)),0)</f>
        <v>107.50674104883704</v>
      </c>
      <c r="K116" s="228">
        <f t="array" ref="K116">IFERROR(INDEX(Projection!$B$9:$BE$196,MATCH('7 Year Projection-Expanded'!$A116,Projection!$B$9:$B$196,0),MATCH('7 Year Projection-Expanded'!K$8,Projection!$B$9:$BE$9,0)),0)</f>
        <v>181.46430497512117</v>
      </c>
      <c r="L116" s="29">
        <f t="array" ref="L116">IFERROR(INDEX(Projection!$B$9:$BE$196,MATCH('7 Year Projection-Expanded'!$A116,Projection!$B$9:$B$196,0),MATCH('7 Year Projection-Expanded'!L$8,Projection!$B$9:$BE$9,0)),0)</f>
        <v>258.85450303666425</v>
      </c>
      <c r="M116" s="228">
        <f t="array" ref="M116">IFERROR(INDEX(Projection!$B$9:$BE$196,MATCH('7 Year Projection-Expanded'!$A116,Projection!$B$9:$B$196,0),MATCH('7 Year Projection-Expanded'!M$8,Projection!$B$9:$BE$9,0)),0)</f>
        <v>385.47963085194061</v>
      </c>
      <c r="N116" s="29">
        <f t="array" ref="N116">IFERROR(INDEX(Projection!$B$9:$BE$196,MATCH('7 Year Projection-Expanded'!$A116,Projection!$B$9:$B$196,0),MATCH('7 Year Projection-Expanded'!N$8,Projection!$B$9:$BE$9,0)),0)</f>
        <v>495.26568477826771</v>
      </c>
      <c r="O116" s="228">
        <f t="array" ref="O116">IFERROR(INDEX(Projection!$B$9:$BE$196,MATCH('7 Year Projection-Expanded'!$A116,Projection!$B$9:$B$196,0),MATCH('7 Year Projection-Expanded'!O$8,Projection!$B$9:$BE$9,0)),0)</f>
        <v>590.90214778508482</v>
      </c>
      <c r="P116" s="29">
        <f t="array" ref="P116">IFERROR(INDEX(Projection!$B$9:$BE$196,MATCH('7 Year Projection-Expanded'!$A116,Projection!$B$9:$B$196,0),MATCH('7 Year Projection-Expanded'!P$8,Projection!$B$9:$BE$9,0)),0)</f>
        <v>658.00370157087741</v>
      </c>
      <c r="Q116" s="228">
        <f t="array" ref="Q116">IFERROR(INDEX(Projection!$B$9:$BE$196,MATCH('7 Year Projection-Expanded'!$A116,Projection!$B$9:$B$196,0),MATCH('7 Year Projection-Expanded'!Q$8,Projection!$B$9:$BE$9,0)),0)</f>
        <v>716.32662979950419</v>
      </c>
      <c r="R116" s="29">
        <f t="array" ref="R116">IFERROR(INDEX(Projection!$B$9:$BE$196,MATCH('7 Year Projection-Expanded'!$A116,Projection!$B$9:$B$196,0),MATCH('7 Year Projection-Expanded'!R$8,Projection!$B$9:$BE$9,0)),0)</f>
        <v>777.72037550906452</v>
      </c>
      <c r="S116" s="228">
        <f t="array" ref="S116">IFERROR(INDEX(Projection!$B$9:$BE$196,MATCH('7 Year Projection-Expanded'!$A116,Projection!$B$9:$B$196,0),MATCH('7 Year Projection-Expanded'!S$8,Projection!$B$9:$BE$9,0)),0)</f>
        <v>832.6334600264322</v>
      </c>
      <c r="T116" s="28">
        <f t="array" ref="T116">IFERROR(INDEX(Projection!$B$9:$BE$196,MATCH('7 Year Projection-Expanded'!$A116,Projection!$B$9:$B$196,0),MATCH('7 Year Projection-Expanded'!T$8,Projection!$B$9:$BE$9,0)),0)</f>
        <v>878.93464337035095</v>
      </c>
      <c r="V116" s="572">
        <f>SUMIF(Projection!$F:$F,'7 Year Projection-Expanded'!$A116,Projection!BW:BW)</f>
        <v>5939.0577510659177</v>
      </c>
      <c r="W116" s="29">
        <f>SUMIF(Projection!$F:$F,'7 Year Projection-Expanded'!$A116,Projection!BX:BX)</f>
        <v>17866.433491331554</v>
      </c>
      <c r="X116" s="228">
        <f>SUMIF(Projection!$F:$F,'7 Year Projection-Expanded'!$A116,Projection!BY:BY)</f>
        <v>29506.687783668727</v>
      </c>
      <c r="Y116" s="29">
        <f>SUMIF(Projection!$F:$F,'7 Year Projection-Expanded'!$A116,Projection!BZ:BZ)</f>
        <v>35325.342138492553</v>
      </c>
      <c r="Z116" s="228">
        <f>SUMIF(Projection!$F:$F,'7 Year Projection-Expanded'!$A116,Projection!CA:CA)</f>
        <v>37796.200792446245</v>
      </c>
      <c r="AA116" s="29">
        <f>SUMIF(Projection!$F:$F,'7 Year Projection-Expanded'!$A116,Projection!CB:CB)</f>
        <v>38741.105812257396</v>
      </c>
      <c r="AB116" s="228">
        <f>SUMIF(Projection!$F:$F,'7 Year Projection-Expanded'!$A116,Projection!CC:CC)</f>
        <v>39709.633457563825</v>
      </c>
      <c r="AC116" s="29">
        <f>SUMIF(Projection!$F:$F,'7 Year Projection-Expanded'!$A116,Projection!CD:CD)</f>
        <v>40702.374294002919</v>
      </c>
      <c r="AD116" s="228">
        <f>SUMIF(Projection!$F:$F,'7 Year Projection-Expanded'!$A116,Projection!CE:CE)</f>
        <v>41719.933651352985</v>
      </c>
      <c r="AE116" s="29">
        <f>SUMIF(Projection!$F:$F,'7 Year Projection-Expanded'!$A116,Projection!CF:CF)</f>
        <v>42762.931992636804</v>
      </c>
      <c r="AF116" s="228">
        <f>SUMIF(Projection!$F:$F,'7 Year Projection-Expanded'!$A116,Projection!CG:CG)</f>
        <v>43832.005292452719</v>
      </c>
      <c r="AG116" s="29">
        <f>SUMIF(Projection!$F:$F,'7 Year Projection-Expanded'!$A116,Projection!CH:CH)</f>
        <v>44927.805424764032</v>
      </c>
      <c r="AH116" s="228">
        <f>SUMIF(Projection!$F:$F,'7 Year Projection-Expanded'!$A116,Projection!CI:CI)</f>
        <v>46051.000560383131</v>
      </c>
      <c r="AI116" s="29">
        <f>SUMIF(Projection!$F:$F,'7 Year Projection-Expanded'!$A116,Projection!CJ:CJ)</f>
        <v>47202.275574392705</v>
      </c>
      <c r="AJ116" s="573">
        <f>SUMIF(Projection!$F:$F,'7 Year Projection-Expanded'!$A116,Projection!CK:CK)</f>
        <v>48382.332463752515</v>
      </c>
    </row>
    <row r="117" spans="1:36" ht="14.25" customHeight="1" x14ac:dyDescent="0.2">
      <c r="A117" s="11">
        <v>6233</v>
      </c>
      <c r="C117" s="9"/>
      <c r="E117" s="11" t="s">
        <v>468</v>
      </c>
      <c r="H117" s="605"/>
      <c r="I117" s="228">
        <f t="array" ref="I117">IFERROR(INDEX(Projection!$B$9:$BE$196,MATCH('7 Year Projection-Expanded'!$A117,Projection!$B$9:$B$196,0),MATCH('7 Year Projection-Expanded'!I$8,Projection!$B$9:$BE$9,0)),0)</f>
        <v>29.84849510067853</v>
      </c>
      <c r="J117" s="29">
        <f t="array" ref="J117">IFERROR(INDEX(Projection!$B$9:$BE$196,MATCH('7 Year Projection-Expanded'!$A117,Projection!$B$9:$B$196,0),MATCH('7 Year Projection-Expanded'!J$8,Projection!$B$9:$BE$9,0)),0)</f>
        <v>57.336928559379764</v>
      </c>
      <c r="K117" s="228">
        <f t="array" ref="K117">IFERROR(INDEX(Projection!$B$9:$BE$196,MATCH('7 Year Projection-Expanded'!$A117,Projection!$B$9:$B$196,0),MATCH('7 Year Projection-Expanded'!K$8,Projection!$B$9:$BE$9,0)),0)</f>
        <v>96.780962653397964</v>
      </c>
      <c r="L117" s="29">
        <f t="array" ref="L117">IFERROR(INDEX(Projection!$B$9:$BE$196,MATCH('7 Year Projection-Expanded'!$A117,Projection!$B$9:$B$196,0),MATCH('7 Year Projection-Expanded'!L$8,Projection!$B$9:$BE$9,0)),0)</f>
        <v>138.0557349528876</v>
      </c>
      <c r="M117" s="228">
        <f t="array" ref="M117">IFERROR(INDEX(Projection!$B$9:$BE$196,MATCH('7 Year Projection-Expanded'!$A117,Projection!$B$9:$B$196,0),MATCH('7 Year Projection-Expanded'!M$8,Projection!$B$9:$BE$9,0)),0)</f>
        <v>205.58913645436834</v>
      </c>
      <c r="N117" s="29">
        <f t="array" ref="N117">IFERROR(INDEX(Projection!$B$9:$BE$196,MATCH('7 Year Projection-Expanded'!$A117,Projection!$B$9:$B$196,0),MATCH('7 Year Projection-Expanded'!N$8,Projection!$B$9:$BE$9,0)),0)</f>
        <v>264.14169854840947</v>
      </c>
      <c r="O117" s="228">
        <f t="array" ref="O117">IFERROR(INDEX(Projection!$B$9:$BE$196,MATCH('7 Year Projection-Expanded'!$A117,Projection!$B$9:$B$196,0),MATCH('7 Year Projection-Expanded'!O$8,Projection!$B$9:$BE$9,0)),0)</f>
        <v>315.14781215204528</v>
      </c>
      <c r="P117" s="29">
        <f t="array" ref="P117">IFERROR(INDEX(Projection!$B$9:$BE$196,MATCH('7 Year Projection-Expanded'!$A117,Projection!$B$9:$B$196,0),MATCH('7 Year Projection-Expanded'!P$8,Projection!$B$9:$BE$9,0)),0)</f>
        <v>350.93530750446797</v>
      </c>
      <c r="Q117" s="228">
        <f t="array" ref="Q117">IFERROR(INDEX(Projection!$B$9:$BE$196,MATCH('7 Year Projection-Expanded'!$A117,Projection!$B$9:$B$196,0),MATCH('7 Year Projection-Expanded'!Q$8,Projection!$B$9:$BE$9,0)),0)</f>
        <v>382.04086922640226</v>
      </c>
      <c r="R117" s="29">
        <f t="array" ref="R117">IFERROR(INDEX(Projection!$B$9:$BE$196,MATCH('7 Year Projection-Expanded'!$A117,Projection!$B$9:$B$196,0),MATCH('7 Year Projection-Expanded'!R$8,Projection!$B$9:$BE$9,0)),0)</f>
        <v>414.78420027150111</v>
      </c>
      <c r="S117" s="228">
        <f t="array" ref="S117">IFERROR(INDEX(Projection!$B$9:$BE$196,MATCH('7 Year Projection-Expanded'!$A117,Projection!$B$9:$B$196,0),MATCH('7 Year Projection-Expanded'!S$8,Projection!$B$9:$BE$9,0)),0)</f>
        <v>444.07117868076386</v>
      </c>
      <c r="T117" s="28">
        <f t="array" ref="T117">IFERROR(INDEX(Projection!$B$9:$BE$196,MATCH('7 Year Projection-Expanded'!$A117,Projection!$B$9:$B$196,0),MATCH('7 Year Projection-Expanded'!T$8,Projection!$B$9:$BE$9,0)),0)</f>
        <v>468.76514313085386</v>
      </c>
      <c r="V117" s="572">
        <f>SUMIF(Projection!$F:$F,'7 Year Projection-Expanded'!$A117,Projection!BW:BW)</f>
        <v>3167.4974672351564</v>
      </c>
      <c r="W117" s="29">
        <f>SUMIF(Projection!$F:$F,'7 Year Projection-Expanded'!$A117,Projection!BX:BX)</f>
        <v>9528.7645287101623</v>
      </c>
      <c r="X117" s="228">
        <f>SUMIF(Projection!$F:$F,'7 Year Projection-Expanded'!$A117,Projection!BY:BY)</f>
        <v>15736.900151289985</v>
      </c>
      <c r="Y117" s="29">
        <f>SUMIF(Projection!$F:$F,'7 Year Projection-Expanded'!$A117,Projection!BZ:BZ)</f>
        <v>18840.182473862693</v>
      </c>
      <c r="Z117" s="228">
        <f>SUMIF(Projection!$F:$F,'7 Year Projection-Expanded'!$A117,Projection!CA:CA)</f>
        <v>20157.973755971332</v>
      </c>
      <c r="AA117" s="29">
        <f>SUMIF(Projection!$F:$F,'7 Year Projection-Expanded'!$A117,Projection!CB:CB)</f>
        <v>20661.923099870615</v>
      </c>
      <c r="AB117" s="228">
        <f>SUMIF(Projection!$F:$F,'7 Year Projection-Expanded'!$A117,Projection!CC:CC)</f>
        <v>21178.471177367377</v>
      </c>
      <c r="AC117" s="29">
        <f>SUMIF(Projection!$F:$F,'7 Year Projection-Expanded'!$A117,Projection!CD:CD)</f>
        <v>21707.93295680156</v>
      </c>
      <c r="AD117" s="228">
        <f>SUMIF(Projection!$F:$F,'7 Year Projection-Expanded'!$A117,Projection!CE:CE)</f>
        <v>22250.631280721598</v>
      </c>
      <c r="AE117" s="29">
        <f>SUMIF(Projection!$F:$F,'7 Year Projection-Expanded'!$A117,Projection!CF:CF)</f>
        <v>22806.897062739637</v>
      </c>
      <c r="AF117" s="228">
        <f>SUMIF(Projection!$F:$F,'7 Year Projection-Expanded'!$A117,Projection!CG:CG)</f>
        <v>23377.069489308127</v>
      </c>
      <c r="AG117" s="29">
        <f>SUMIF(Projection!$F:$F,'7 Year Projection-Expanded'!$A117,Projection!CH:CH)</f>
        <v>23961.496226540829</v>
      </c>
      <c r="AH117" s="228">
        <f>SUMIF(Projection!$F:$F,'7 Year Projection-Expanded'!$A117,Projection!CI:CI)</f>
        <v>24560.533632204348</v>
      </c>
      <c r="AI117" s="29">
        <f>SUMIF(Projection!$F:$F,'7 Year Projection-Expanded'!$A117,Projection!CJ:CJ)</f>
        <v>25174.546973009456</v>
      </c>
      <c r="AJ117" s="573">
        <f>SUMIF(Projection!$F:$F,'7 Year Projection-Expanded'!$A117,Projection!CK:CK)</f>
        <v>25803.910647334691</v>
      </c>
    </row>
    <row r="118" spans="1:36" ht="14.25" customHeight="1" x14ac:dyDescent="0.2">
      <c r="A118" s="11">
        <v>6256</v>
      </c>
      <c r="C118" s="9"/>
      <c r="E118" s="11" t="s">
        <v>237</v>
      </c>
      <c r="H118" s="621"/>
      <c r="I118" s="228">
        <f t="array" ref="I118">IFERROR(INDEX(Projection!$B$9:$BE$196,MATCH('7 Year Projection-Expanded'!$A118,Projection!$B$9:$B$196,0),MATCH('7 Year Projection-Expanded'!I$8,Projection!$B$9:$BE$9,0)),0)</f>
        <v>50</v>
      </c>
      <c r="J118" s="29">
        <f t="array" ref="J118">IFERROR(INDEX(Projection!$B$9:$BE$196,MATCH('7 Year Projection-Expanded'!$A118,Projection!$B$9:$B$196,0),MATCH('7 Year Projection-Expanded'!J$8,Projection!$B$9:$BE$9,0)),0)</f>
        <v>50</v>
      </c>
      <c r="K118" s="228">
        <f t="array" ref="K118">IFERROR(INDEX(Projection!$B$9:$BE$196,MATCH('7 Year Projection-Expanded'!$A118,Projection!$B$9:$B$196,0),MATCH('7 Year Projection-Expanded'!K$8,Projection!$B$9:$BE$9,0)),0)</f>
        <v>50</v>
      </c>
      <c r="L118" s="29">
        <f t="array" ref="L118">IFERROR(INDEX(Projection!$B$9:$BE$196,MATCH('7 Year Projection-Expanded'!$A118,Projection!$B$9:$B$196,0),MATCH('7 Year Projection-Expanded'!L$8,Projection!$B$9:$BE$9,0)),0)</f>
        <v>50</v>
      </c>
      <c r="M118" s="228">
        <f t="array" ref="M118">IFERROR(INDEX(Projection!$B$9:$BE$196,MATCH('7 Year Projection-Expanded'!$A118,Projection!$B$9:$B$196,0),MATCH('7 Year Projection-Expanded'!M$8,Projection!$B$9:$BE$9,0)),0)</f>
        <v>50</v>
      </c>
      <c r="N118" s="29">
        <f t="array" ref="N118">IFERROR(INDEX(Projection!$B$9:$BE$196,MATCH('7 Year Projection-Expanded'!$A118,Projection!$B$9:$B$196,0),MATCH('7 Year Projection-Expanded'!N$8,Projection!$B$9:$BE$9,0)),0)</f>
        <v>50</v>
      </c>
      <c r="O118" s="228">
        <f t="array" ref="O118">IFERROR(INDEX(Projection!$B$9:$BE$196,MATCH('7 Year Projection-Expanded'!$A118,Projection!$B$9:$B$196,0),MATCH('7 Year Projection-Expanded'!O$8,Projection!$B$9:$BE$9,0)),0)</f>
        <v>50</v>
      </c>
      <c r="P118" s="29">
        <f t="array" ref="P118">IFERROR(INDEX(Projection!$B$9:$BE$196,MATCH('7 Year Projection-Expanded'!$A118,Projection!$B$9:$B$196,0),MATCH('7 Year Projection-Expanded'!P$8,Projection!$B$9:$BE$9,0)),0)</f>
        <v>50</v>
      </c>
      <c r="Q118" s="228">
        <f t="array" ref="Q118">IFERROR(INDEX(Projection!$B$9:$BE$196,MATCH('7 Year Projection-Expanded'!$A118,Projection!$B$9:$B$196,0),MATCH('7 Year Projection-Expanded'!Q$8,Projection!$B$9:$BE$9,0)),0)</f>
        <v>50</v>
      </c>
      <c r="R118" s="29">
        <f t="array" ref="R118">IFERROR(INDEX(Projection!$B$9:$BE$196,MATCH('7 Year Projection-Expanded'!$A118,Projection!$B$9:$B$196,0),MATCH('7 Year Projection-Expanded'!R$8,Projection!$B$9:$BE$9,0)),0)</f>
        <v>50</v>
      </c>
      <c r="S118" s="228">
        <f t="array" ref="S118">IFERROR(INDEX(Projection!$B$9:$BE$196,MATCH('7 Year Projection-Expanded'!$A118,Projection!$B$9:$B$196,0),MATCH('7 Year Projection-Expanded'!S$8,Projection!$B$9:$BE$9,0)),0)</f>
        <v>50</v>
      </c>
      <c r="T118" s="28">
        <f t="array" ref="T118">IFERROR(INDEX(Projection!$B$9:$BE$196,MATCH('7 Year Projection-Expanded'!$A118,Projection!$B$9:$B$196,0),MATCH('7 Year Projection-Expanded'!T$8,Projection!$B$9:$BE$9,0)),0)</f>
        <v>50</v>
      </c>
      <c r="V118" s="572">
        <f>SUMIF(Projection!$F:$F,'7 Year Projection-Expanded'!$A118,Projection!BW:BW)</f>
        <v>600</v>
      </c>
      <c r="W118" s="29">
        <f>SUMIF(Projection!$F:$F,'7 Year Projection-Expanded'!$A118,Projection!BX:BX)</f>
        <v>614.99999999999989</v>
      </c>
      <c r="X118" s="228">
        <f>SUMIF(Projection!$F:$F,'7 Year Projection-Expanded'!$A118,Projection!BY:BY)</f>
        <v>630.37499999999989</v>
      </c>
      <c r="Y118" s="29">
        <f>SUMIF(Projection!$F:$F,'7 Year Projection-Expanded'!$A118,Projection!BZ:BZ)</f>
        <v>646.13437499999964</v>
      </c>
      <c r="Z118" s="228">
        <f>SUMIF(Projection!$F:$F,'7 Year Projection-Expanded'!$A118,Projection!CA:CA)</f>
        <v>662.28773437499979</v>
      </c>
      <c r="AA118" s="29">
        <f>SUMIF(Projection!$F:$F,'7 Year Projection-Expanded'!$A118,Projection!CB:CB)</f>
        <v>678.84492773437478</v>
      </c>
      <c r="AB118" s="228">
        <f>SUMIF(Projection!$F:$F,'7 Year Projection-Expanded'!$A118,Projection!CC:CC)</f>
        <v>695.81605092773407</v>
      </c>
      <c r="AC118" s="29">
        <f>SUMIF(Projection!$F:$F,'7 Year Projection-Expanded'!$A118,Projection!CD:CD)</f>
        <v>713.2114522009274</v>
      </c>
      <c r="AD118" s="228">
        <f>SUMIF(Projection!$F:$F,'7 Year Projection-Expanded'!$A118,Projection!CE:CE)</f>
        <v>731.04173850595055</v>
      </c>
      <c r="AE118" s="29">
        <f>SUMIF(Projection!$F:$F,'7 Year Projection-Expanded'!$A118,Projection!CF:CF)</f>
        <v>749.31778196859921</v>
      </c>
      <c r="AF118" s="228">
        <f>SUMIF(Projection!$F:$F,'7 Year Projection-Expanded'!$A118,Projection!CG:CG)</f>
        <v>768.05072651781416</v>
      </c>
      <c r="AG118" s="29">
        <f>SUMIF(Projection!$F:$F,'7 Year Projection-Expanded'!$A118,Projection!CH:CH)</f>
        <v>787.25199468075948</v>
      </c>
      <c r="AH118" s="228">
        <f>SUMIF(Projection!$F:$F,'7 Year Projection-Expanded'!$A118,Projection!CI:CI)</f>
        <v>806.93329454777836</v>
      </c>
      <c r="AI118" s="29">
        <f>SUMIF(Projection!$F:$F,'7 Year Projection-Expanded'!$A118,Projection!CJ:CJ)</f>
        <v>827.10662691147274</v>
      </c>
      <c r="AJ118" s="573">
        <f>SUMIF(Projection!$F:$F,'7 Year Projection-Expanded'!$A118,Projection!CK:CK)</f>
        <v>847.78429258425945</v>
      </c>
    </row>
    <row r="119" spans="1:36" ht="14.25" customHeight="1" x14ac:dyDescent="0.2">
      <c r="A119" s="11">
        <v>6261</v>
      </c>
      <c r="C119" s="9"/>
      <c r="E119" s="11" t="s">
        <v>234</v>
      </c>
      <c r="H119" s="621"/>
      <c r="I119" s="228">
        <f t="array" ref="I119">IFERROR(INDEX(Projection!$B$9:$BE$196,MATCH('7 Year Projection-Expanded'!$A119,Projection!$B$9:$B$196,0),MATCH('7 Year Projection-Expanded'!I$8,Projection!$B$9:$BE$9,0)),0)</f>
        <v>0</v>
      </c>
      <c r="J119" s="29">
        <f t="array" ref="J119">IFERROR(INDEX(Projection!$B$9:$BE$196,MATCH('7 Year Projection-Expanded'!$A119,Projection!$B$9:$B$196,0),MATCH('7 Year Projection-Expanded'!J$8,Projection!$B$9:$BE$9,0)),0)</f>
        <v>0</v>
      </c>
      <c r="K119" s="228">
        <f t="array" ref="K119">IFERROR(INDEX(Projection!$B$9:$BE$196,MATCH('7 Year Projection-Expanded'!$A119,Projection!$B$9:$B$196,0),MATCH('7 Year Projection-Expanded'!K$8,Projection!$B$9:$BE$9,0)),0)</f>
        <v>0</v>
      </c>
      <c r="L119" s="29">
        <f t="array" ref="L119">IFERROR(INDEX(Projection!$B$9:$BE$196,MATCH('7 Year Projection-Expanded'!$A119,Projection!$B$9:$B$196,0),MATCH('7 Year Projection-Expanded'!L$8,Projection!$B$9:$BE$9,0)),0)</f>
        <v>0</v>
      </c>
      <c r="M119" s="228">
        <f t="array" ref="M119">IFERROR(INDEX(Projection!$B$9:$BE$196,MATCH('7 Year Projection-Expanded'!$A119,Projection!$B$9:$B$196,0),MATCH('7 Year Projection-Expanded'!M$8,Projection!$B$9:$BE$9,0)),0)</f>
        <v>0</v>
      </c>
      <c r="N119" s="29">
        <f t="array" ref="N119">IFERROR(INDEX(Projection!$B$9:$BE$196,MATCH('7 Year Projection-Expanded'!$A119,Projection!$B$9:$B$196,0),MATCH('7 Year Projection-Expanded'!N$8,Projection!$B$9:$BE$9,0)),0)</f>
        <v>0</v>
      </c>
      <c r="O119" s="228">
        <f t="array" ref="O119">IFERROR(INDEX(Projection!$B$9:$BE$196,MATCH('7 Year Projection-Expanded'!$A119,Projection!$B$9:$B$196,0),MATCH('7 Year Projection-Expanded'!O$8,Projection!$B$9:$BE$9,0)),0)</f>
        <v>0</v>
      </c>
      <c r="P119" s="29">
        <f t="array" ref="P119">IFERROR(INDEX(Projection!$B$9:$BE$196,MATCH('7 Year Projection-Expanded'!$A119,Projection!$B$9:$B$196,0),MATCH('7 Year Projection-Expanded'!P$8,Projection!$B$9:$BE$9,0)),0)</f>
        <v>0</v>
      </c>
      <c r="Q119" s="228">
        <f t="array" ref="Q119">IFERROR(INDEX(Projection!$B$9:$BE$196,MATCH('7 Year Projection-Expanded'!$A119,Projection!$B$9:$B$196,0),MATCH('7 Year Projection-Expanded'!Q$8,Projection!$B$9:$BE$9,0)),0)</f>
        <v>0</v>
      </c>
      <c r="R119" s="29">
        <f t="array" ref="R119">IFERROR(INDEX(Projection!$B$9:$BE$196,MATCH('7 Year Projection-Expanded'!$A119,Projection!$B$9:$B$196,0),MATCH('7 Year Projection-Expanded'!R$8,Projection!$B$9:$BE$9,0)),0)</f>
        <v>0</v>
      </c>
      <c r="S119" s="228">
        <f t="array" ref="S119">IFERROR(INDEX(Projection!$B$9:$BE$196,MATCH('7 Year Projection-Expanded'!$A119,Projection!$B$9:$B$196,0),MATCH('7 Year Projection-Expanded'!S$8,Projection!$B$9:$BE$9,0)),0)</f>
        <v>0</v>
      </c>
      <c r="T119" s="28">
        <f t="array" ref="T119">IFERROR(INDEX(Projection!$B$9:$BE$196,MATCH('7 Year Projection-Expanded'!$A119,Projection!$B$9:$B$196,0),MATCH('7 Year Projection-Expanded'!T$8,Projection!$B$9:$BE$9,0)),0)</f>
        <v>0</v>
      </c>
      <c r="V119" s="572">
        <f>SUMIF(Projection!$F:$F,'7 Year Projection-Expanded'!$A119,Projection!BW:BW)</f>
        <v>0</v>
      </c>
      <c r="W119" s="29">
        <f>SUMIF(Projection!$F:$F,'7 Year Projection-Expanded'!$A119,Projection!BX:BX)</f>
        <v>0</v>
      </c>
      <c r="X119" s="228">
        <f>SUMIF(Projection!$F:$F,'7 Year Projection-Expanded'!$A119,Projection!BY:BY)</f>
        <v>0</v>
      </c>
      <c r="Y119" s="29">
        <f>SUMIF(Projection!$F:$F,'7 Year Projection-Expanded'!$A119,Projection!BZ:BZ)</f>
        <v>0</v>
      </c>
      <c r="Z119" s="228">
        <f>SUMIF(Projection!$F:$F,'7 Year Projection-Expanded'!$A119,Projection!CA:CA)</f>
        <v>0</v>
      </c>
      <c r="AA119" s="29">
        <f>SUMIF(Projection!$F:$F,'7 Year Projection-Expanded'!$A119,Projection!CB:CB)</f>
        <v>0</v>
      </c>
      <c r="AB119" s="228">
        <f>SUMIF(Projection!$F:$F,'7 Year Projection-Expanded'!$A119,Projection!CC:CC)</f>
        <v>0</v>
      </c>
      <c r="AC119" s="29">
        <f>SUMIF(Projection!$F:$F,'7 Year Projection-Expanded'!$A119,Projection!CD:CD)</f>
        <v>0</v>
      </c>
      <c r="AD119" s="228">
        <f>SUMIF(Projection!$F:$F,'7 Year Projection-Expanded'!$A119,Projection!CE:CE)</f>
        <v>0</v>
      </c>
      <c r="AE119" s="29">
        <f>SUMIF(Projection!$F:$F,'7 Year Projection-Expanded'!$A119,Projection!CF:CF)</f>
        <v>0</v>
      </c>
      <c r="AF119" s="228">
        <f>SUMIF(Projection!$F:$F,'7 Year Projection-Expanded'!$A119,Projection!CG:CG)</f>
        <v>0</v>
      </c>
      <c r="AG119" s="29">
        <f>SUMIF(Projection!$F:$F,'7 Year Projection-Expanded'!$A119,Projection!CH:CH)</f>
        <v>0</v>
      </c>
      <c r="AH119" s="228">
        <f>SUMIF(Projection!$F:$F,'7 Year Projection-Expanded'!$A119,Projection!CI:CI)</f>
        <v>0</v>
      </c>
      <c r="AI119" s="29">
        <f>SUMIF(Projection!$F:$F,'7 Year Projection-Expanded'!$A119,Projection!CJ:CJ)</f>
        <v>0</v>
      </c>
      <c r="AJ119" s="573">
        <f>SUMIF(Projection!$F:$F,'7 Year Projection-Expanded'!$A119,Projection!CK:CK)</f>
        <v>0</v>
      </c>
    </row>
    <row r="120" spans="1:36" ht="14.25" customHeight="1" x14ac:dyDescent="0.2">
      <c r="A120" s="11">
        <v>6320</v>
      </c>
      <c r="C120" s="9"/>
      <c r="E120" s="11" t="s">
        <v>469</v>
      </c>
      <c r="I120" s="228">
        <f t="array" ref="I120">IFERROR(INDEX(Projection!$B$9:$BE$196,MATCH('7 Year Projection-Expanded'!$A120,Projection!$B$9:$B$196,0),MATCH('7 Year Projection-Expanded'!I$8,Projection!$B$9:$BE$9,0)),0)</f>
        <v>1E-3</v>
      </c>
      <c r="J120" s="29">
        <f t="array" ref="J120">IFERROR(INDEX(Projection!$B$9:$BE$196,MATCH('7 Year Projection-Expanded'!$A120,Projection!$B$9:$B$196,0),MATCH('7 Year Projection-Expanded'!J$8,Projection!$B$9:$BE$9,0)),0)</f>
        <v>1E-3</v>
      </c>
      <c r="K120" s="228">
        <f t="array" ref="K120">IFERROR(INDEX(Projection!$B$9:$BE$196,MATCH('7 Year Projection-Expanded'!$A120,Projection!$B$9:$B$196,0),MATCH('7 Year Projection-Expanded'!K$8,Projection!$B$9:$BE$9,0)),0)</f>
        <v>1E-3</v>
      </c>
      <c r="L120" s="29">
        <f t="array" ref="L120">IFERROR(INDEX(Projection!$B$9:$BE$196,MATCH('7 Year Projection-Expanded'!$A120,Projection!$B$9:$B$196,0),MATCH('7 Year Projection-Expanded'!L$8,Projection!$B$9:$BE$9,0)),0)</f>
        <v>1E-3</v>
      </c>
      <c r="M120" s="228">
        <f t="array" ref="M120">IFERROR(INDEX(Projection!$B$9:$BE$196,MATCH('7 Year Projection-Expanded'!$A120,Projection!$B$9:$B$196,0),MATCH('7 Year Projection-Expanded'!M$8,Projection!$B$9:$BE$9,0)),0)</f>
        <v>1E-3</v>
      </c>
      <c r="N120" s="29">
        <f t="array" ref="N120">IFERROR(INDEX(Projection!$B$9:$BE$196,MATCH('7 Year Projection-Expanded'!$A120,Projection!$B$9:$B$196,0),MATCH('7 Year Projection-Expanded'!N$8,Projection!$B$9:$BE$9,0)),0)</f>
        <v>1E-3</v>
      </c>
      <c r="O120" s="228">
        <f t="array" ref="O120">IFERROR(INDEX(Projection!$B$9:$BE$196,MATCH('7 Year Projection-Expanded'!$A120,Projection!$B$9:$B$196,0),MATCH('7 Year Projection-Expanded'!O$8,Projection!$B$9:$BE$9,0)),0)</f>
        <v>1E-3</v>
      </c>
      <c r="P120" s="29">
        <f t="array" ref="P120">IFERROR(INDEX(Projection!$B$9:$BE$196,MATCH('7 Year Projection-Expanded'!$A120,Projection!$B$9:$B$196,0),MATCH('7 Year Projection-Expanded'!P$8,Projection!$B$9:$BE$9,0)),0)</f>
        <v>1E-3</v>
      </c>
      <c r="Q120" s="228">
        <f t="array" ref="Q120">IFERROR(INDEX(Projection!$B$9:$BE$196,MATCH('7 Year Projection-Expanded'!$A120,Projection!$B$9:$B$196,0),MATCH('7 Year Projection-Expanded'!Q$8,Projection!$B$9:$BE$9,0)),0)</f>
        <v>1E-3</v>
      </c>
      <c r="R120" s="29">
        <f t="array" ref="R120">IFERROR(INDEX(Projection!$B$9:$BE$196,MATCH('7 Year Projection-Expanded'!$A120,Projection!$B$9:$B$196,0),MATCH('7 Year Projection-Expanded'!R$8,Projection!$B$9:$BE$9,0)),0)</f>
        <v>1E-3</v>
      </c>
      <c r="S120" s="228">
        <f t="array" ref="S120">IFERROR(INDEX(Projection!$B$9:$BE$196,MATCH('7 Year Projection-Expanded'!$A120,Projection!$B$9:$B$196,0),MATCH('7 Year Projection-Expanded'!S$8,Projection!$B$9:$BE$9,0)),0)</f>
        <v>1E-3</v>
      </c>
      <c r="T120" s="28">
        <f t="array" ref="T120">IFERROR(INDEX(Projection!$B$9:$BE$196,MATCH('7 Year Projection-Expanded'!$A120,Projection!$B$9:$B$196,0),MATCH('7 Year Projection-Expanded'!T$8,Projection!$B$9:$BE$9,0)),0)</f>
        <v>1E-3</v>
      </c>
      <c r="V120" s="572">
        <f>SUMIF(Projection!$F:$F,'7 Year Projection-Expanded'!$A120,Projection!BW:BW)</f>
        <v>1.2000000000000004E-2</v>
      </c>
      <c r="W120" s="29">
        <f>SUMIF(Projection!$F:$F,'7 Year Projection-Expanded'!$A120,Projection!BX:BX)</f>
        <v>1.2299999999999998E-2</v>
      </c>
      <c r="X120" s="228">
        <f>SUMIF(Projection!$F:$F,'7 Year Projection-Expanded'!$A120,Projection!BY:BY)</f>
        <v>1.2607499999999995E-2</v>
      </c>
      <c r="Y120" s="29">
        <f>SUMIF(Projection!$F:$F,'7 Year Projection-Expanded'!$A120,Projection!BZ:BZ)</f>
        <v>1.2922687499999997E-2</v>
      </c>
      <c r="Z120" s="228">
        <f>SUMIF(Projection!$F:$F,'7 Year Projection-Expanded'!$A120,Projection!CA:CA)</f>
        <v>1.3245754687499995E-2</v>
      </c>
      <c r="AA120" s="29">
        <f>SUMIF(Projection!$F:$F,'7 Year Projection-Expanded'!$A120,Projection!CB:CB)</f>
        <v>1.3576898554687493E-2</v>
      </c>
      <c r="AB120" s="228">
        <f>SUMIF(Projection!$F:$F,'7 Year Projection-Expanded'!$A120,Projection!CC:CC)</f>
        <v>1.3916321018554679E-2</v>
      </c>
      <c r="AC120" s="29">
        <f>SUMIF(Projection!$F:$F,'7 Year Projection-Expanded'!$A120,Projection!CD:CD)</f>
        <v>1.4264229044018546E-2</v>
      </c>
      <c r="AD120" s="228">
        <f>SUMIF(Projection!$F:$F,'7 Year Projection-Expanded'!$A120,Projection!CE:CE)</f>
        <v>1.4620834770119008E-2</v>
      </c>
      <c r="AE120" s="29">
        <f>SUMIF(Projection!$F:$F,'7 Year Projection-Expanded'!$A120,Projection!CF:CF)</f>
        <v>1.4986355639371982E-2</v>
      </c>
      <c r="AF120" s="228">
        <f>SUMIF(Projection!$F:$F,'7 Year Projection-Expanded'!$A120,Projection!CG:CG)</f>
        <v>1.5361014530356281E-2</v>
      </c>
      <c r="AG120" s="29">
        <f>SUMIF(Projection!$F:$F,'7 Year Projection-Expanded'!$A120,Projection!CH:CH)</f>
        <v>1.5745039893615188E-2</v>
      </c>
      <c r="AH120" s="228">
        <f>SUMIF(Projection!$F:$F,'7 Year Projection-Expanded'!$A120,Projection!CI:CI)</f>
        <v>1.6138665890955566E-2</v>
      </c>
      <c r="AI120" s="29">
        <f>SUMIF(Projection!$F:$F,'7 Year Projection-Expanded'!$A120,Projection!CJ:CJ)</f>
        <v>1.6542132538229455E-2</v>
      </c>
      <c r="AJ120" s="573">
        <f>SUMIF(Projection!$F:$F,'7 Year Projection-Expanded'!$A120,Projection!CK:CK)</f>
        <v>1.6955685851685189E-2</v>
      </c>
    </row>
    <row r="121" spans="1:36" ht="14.25" customHeight="1" x14ac:dyDescent="0.2">
      <c r="A121" s="283" t="s">
        <v>376</v>
      </c>
      <c r="B121" s="283" t="s">
        <v>470</v>
      </c>
      <c r="C121" s="597"/>
      <c r="D121" s="286" t="s">
        <v>471</v>
      </c>
      <c r="E121" s="285"/>
      <c r="F121" s="285"/>
      <c r="G121" s="285"/>
      <c r="H121" s="285"/>
      <c r="I121" s="606">
        <f t="shared" ref="I121:T121" si="30">SUM(I96:I120)</f>
        <v>773.81542351545079</v>
      </c>
      <c r="J121" s="289">
        <f t="shared" si="30"/>
        <v>542.84466970921676</v>
      </c>
      <c r="K121" s="606">
        <f t="shared" si="30"/>
        <v>3618.8422677295198</v>
      </c>
      <c r="L121" s="289">
        <f t="shared" si="30"/>
        <v>2256.2092380905524</v>
      </c>
      <c r="M121" s="606">
        <f t="shared" si="30"/>
        <v>2450.3677674073092</v>
      </c>
      <c r="N121" s="289">
        <f t="shared" si="30"/>
        <v>2618.7063834276773</v>
      </c>
      <c r="O121" s="606">
        <f t="shared" si="30"/>
        <v>2765.3489600381308</v>
      </c>
      <c r="P121" s="289">
        <f t="shared" si="30"/>
        <v>2868.2380091763457</v>
      </c>
      <c r="Q121" s="606">
        <f t="shared" si="30"/>
        <v>4438.964499126907</v>
      </c>
      <c r="R121" s="289">
        <f t="shared" si="30"/>
        <v>3051.8035758815663</v>
      </c>
      <c r="S121" s="606">
        <f t="shared" si="30"/>
        <v>1654.7056388081958</v>
      </c>
      <c r="T121" s="607">
        <f t="shared" si="30"/>
        <v>1725.7007866022047</v>
      </c>
      <c r="U121" s="285"/>
      <c r="V121" s="608">
        <f t="shared" ref="V121:AJ121" si="31">SUM(V96:V120)</f>
        <v>28765.547219513079</v>
      </c>
      <c r="W121" s="289">
        <f t="shared" si="31"/>
        <v>47541.289821284023</v>
      </c>
      <c r="X121" s="606">
        <f t="shared" si="31"/>
        <v>65888.957031232072</v>
      </c>
      <c r="Y121" s="289">
        <f t="shared" si="31"/>
        <v>75322.652936035433</v>
      </c>
      <c r="Z121" s="606">
        <f t="shared" si="31"/>
        <v>79635.856080189769</v>
      </c>
      <c r="AA121" s="289">
        <f t="shared" si="31"/>
        <v>81626.752482194512</v>
      </c>
      <c r="AB121" s="606">
        <f t="shared" si="31"/>
        <v>83667.421294249361</v>
      </c>
      <c r="AC121" s="289">
        <f t="shared" si="31"/>
        <v>85759.106826605581</v>
      </c>
      <c r="AD121" s="606">
        <f t="shared" si="31"/>
        <v>87903.084497270727</v>
      </c>
      <c r="AE121" s="289">
        <f t="shared" si="31"/>
        <v>90100.661609702482</v>
      </c>
      <c r="AF121" s="606">
        <f t="shared" si="31"/>
        <v>92353.17814994503</v>
      </c>
      <c r="AG121" s="289">
        <f t="shared" si="31"/>
        <v>94662.007603693652</v>
      </c>
      <c r="AH121" s="606">
        <f t="shared" si="31"/>
        <v>97028.557793785978</v>
      </c>
      <c r="AI121" s="289">
        <f t="shared" si="31"/>
        <v>99454.271738630632</v>
      </c>
      <c r="AJ121" s="609">
        <f t="shared" si="31"/>
        <v>101940.62853209637</v>
      </c>
    </row>
    <row r="122" spans="1:36" ht="6" customHeight="1" x14ac:dyDescent="0.2">
      <c r="C122" s="9"/>
      <c r="I122" s="197"/>
      <c r="K122" s="197"/>
      <c r="M122" s="197"/>
      <c r="O122" s="197"/>
      <c r="Q122" s="197"/>
      <c r="S122" s="197"/>
      <c r="T122" s="20"/>
      <c r="V122" s="610"/>
      <c r="X122" s="197"/>
      <c r="Z122" s="197"/>
      <c r="AB122" s="197"/>
      <c r="AD122" s="197"/>
      <c r="AF122" s="197"/>
      <c r="AH122" s="197"/>
      <c r="AJ122" s="611"/>
    </row>
    <row r="123" spans="1:36" ht="14.25" customHeight="1" x14ac:dyDescent="0.2">
      <c r="A123" s="285"/>
      <c r="B123" s="285"/>
      <c r="C123" s="597"/>
      <c r="D123" s="286" t="s">
        <v>424</v>
      </c>
      <c r="E123" s="285"/>
      <c r="F123" s="285"/>
      <c r="G123" s="285"/>
      <c r="H123" s="285"/>
      <c r="I123" s="598"/>
      <c r="J123" s="285"/>
      <c r="K123" s="598"/>
      <c r="L123" s="285"/>
      <c r="M123" s="598"/>
      <c r="N123" s="285"/>
      <c r="O123" s="598"/>
      <c r="P123" s="285"/>
      <c r="Q123" s="598"/>
      <c r="R123" s="285"/>
      <c r="S123" s="598"/>
      <c r="T123" s="599"/>
      <c r="U123" s="285"/>
      <c r="V123" s="600"/>
      <c r="W123" s="285"/>
      <c r="X123" s="598"/>
      <c r="Y123" s="285"/>
      <c r="Z123" s="598"/>
      <c r="AA123" s="285"/>
      <c r="AB123" s="598"/>
      <c r="AC123" s="285"/>
      <c r="AD123" s="598"/>
      <c r="AE123" s="285"/>
      <c r="AF123" s="598"/>
      <c r="AG123" s="285"/>
      <c r="AH123" s="598"/>
      <c r="AI123" s="285"/>
      <c r="AJ123" s="613"/>
    </row>
    <row r="124" spans="1:36" ht="14.25" customHeight="1" x14ac:dyDescent="0.2">
      <c r="A124" s="11">
        <v>6365</v>
      </c>
      <c r="C124" s="9"/>
      <c r="E124" s="11" t="s">
        <v>472</v>
      </c>
      <c r="I124" s="228">
        <f t="array" ref="I124">IFERROR(INDEX(Projection!$B$9:$BE$196,MATCH('7 Year Projection-Expanded'!$A124,Projection!$B$9:$B$196,0),MATCH('7 Year Projection-Expanded'!I$8,Projection!$B$9:$BE$9,0)),0)</f>
        <v>0</v>
      </c>
      <c r="J124" s="29">
        <f t="array" ref="J124">IFERROR(INDEX(Projection!$B$9:$BE$196,MATCH('7 Year Projection-Expanded'!$A124,Projection!$B$9:$B$196,0),MATCH('7 Year Projection-Expanded'!J$8,Projection!$B$9:$BE$9,0)),0)</f>
        <v>0</v>
      </c>
      <c r="K124" s="228">
        <f t="array" ref="K124">IFERROR(INDEX(Projection!$B$9:$BE$196,MATCH('7 Year Projection-Expanded'!$A124,Projection!$B$9:$B$196,0),MATCH('7 Year Projection-Expanded'!K$8,Projection!$B$9:$BE$9,0)),0)</f>
        <v>0</v>
      </c>
      <c r="L124" s="29">
        <f t="array" ref="L124">IFERROR(INDEX(Projection!$B$9:$BE$196,MATCH('7 Year Projection-Expanded'!$A124,Projection!$B$9:$B$196,0),MATCH('7 Year Projection-Expanded'!L$8,Projection!$B$9:$BE$9,0)),0)</f>
        <v>0</v>
      </c>
      <c r="M124" s="228">
        <f t="array" ref="M124">IFERROR(INDEX(Projection!$B$9:$BE$196,MATCH('7 Year Projection-Expanded'!$A124,Projection!$B$9:$B$196,0),MATCH('7 Year Projection-Expanded'!M$8,Projection!$B$9:$BE$9,0)),0)</f>
        <v>0</v>
      </c>
      <c r="N124" s="29">
        <f t="array" ref="N124">IFERROR(INDEX(Projection!$B$9:$BE$196,MATCH('7 Year Projection-Expanded'!$A124,Projection!$B$9:$B$196,0),MATCH('7 Year Projection-Expanded'!N$8,Projection!$B$9:$BE$9,0)),0)</f>
        <v>0</v>
      </c>
      <c r="O124" s="228">
        <f t="array" ref="O124">IFERROR(INDEX(Projection!$B$9:$BE$196,MATCH('7 Year Projection-Expanded'!$A124,Projection!$B$9:$B$196,0),MATCH('7 Year Projection-Expanded'!O$8,Projection!$B$9:$BE$9,0)),0)</f>
        <v>0</v>
      </c>
      <c r="P124" s="29">
        <f t="array" ref="P124">IFERROR(INDEX(Projection!$B$9:$BE$196,MATCH('7 Year Projection-Expanded'!$A124,Projection!$B$9:$B$196,0),MATCH('7 Year Projection-Expanded'!P$8,Projection!$B$9:$BE$9,0)),0)</f>
        <v>0</v>
      </c>
      <c r="Q124" s="228">
        <f t="array" ref="Q124">IFERROR(INDEX(Projection!$B$9:$BE$196,MATCH('7 Year Projection-Expanded'!$A124,Projection!$B$9:$B$196,0),MATCH('7 Year Projection-Expanded'!Q$8,Projection!$B$9:$BE$9,0)),0)</f>
        <v>0</v>
      </c>
      <c r="R124" s="29">
        <f t="array" ref="R124">IFERROR(INDEX(Projection!$B$9:$BE$196,MATCH('7 Year Projection-Expanded'!$A124,Projection!$B$9:$B$196,0),MATCH('7 Year Projection-Expanded'!R$8,Projection!$B$9:$BE$9,0)),0)</f>
        <v>0</v>
      </c>
      <c r="S124" s="228">
        <f t="array" ref="S124">IFERROR(INDEX(Projection!$B$9:$BE$196,MATCH('7 Year Projection-Expanded'!$A124,Projection!$B$9:$B$196,0),MATCH('7 Year Projection-Expanded'!S$8,Projection!$B$9:$BE$9,0)),0)</f>
        <v>0</v>
      </c>
      <c r="T124" s="28">
        <f t="array" ref="T124">IFERROR(INDEX(Projection!$B$9:$BE$196,MATCH('7 Year Projection-Expanded'!$A124,Projection!$B$9:$B$196,0),MATCH('7 Year Projection-Expanded'!T$8,Projection!$B$9:$BE$9,0)),0)</f>
        <v>0</v>
      </c>
      <c r="V124" s="572">
        <f>SUMIF(Projection!$F:$F,'7 Year Projection-Expanded'!$A124,Projection!BW:BW)</f>
        <v>0</v>
      </c>
      <c r="W124" s="29">
        <f>SUMIF(Projection!$F:$F,'7 Year Projection-Expanded'!$A124,Projection!BX:BX)</f>
        <v>0</v>
      </c>
      <c r="X124" s="228">
        <f>SUMIF(Projection!$F:$F,'7 Year Projection-Expanded'!$A124,Projection!BY:BY)</f>
        <v>0</v>
      </c>
      <c r="Y124" s="29">
        <f>SUMIF(Projection!$F:$F,'7 Year Projection-Expanded'!$A124,Projection!BZ:BZ)</f>
        <v>0</v>
      </c>
      <c r="Z124" s="228">
        <f>SUMIF(Projection!$F:$F,'7 Year Projection-Expanded'!$A124,Projection!CA:CA)</f>
        <v>0</v>
      </c>
      <c r="AA124" s="29">
        <f>SUMIF(Projection!$F:$F,'7 Year Projection-Expanded'!$A124,Projection!CB:CB)</f>
        <v>0</v>
      </c>
      <c r="AB124" s="228">
        <f>SUMIF(Projection!$F:$F,'7 Year Projection-Expanded'!$A124,Projection!CC:CC)</f>
        <v>0</v>
      </c>
      <c r="AC124" s="29">
        <f>SUMIF(Projection!$F:$F,'7 Year Projection-Expanded'!$A124,Projection!CD:CD)</f>
        <v>0</v>
      </c>
      <c r="AD124" s="228">
        <f>SUMIF(Projection!$F:$F,'7 Year Projection-Expanded'!$A124,Projection!CE:CE)</f>
        <v>0</v>
      </c>
      <c r="AE124" s="29">
        <f>SUMIF(Projection!$F:$F,'7 Year Projection-Expanded'!$A124,Projection!CF:CF)</f>
        <v>0</v>
      </c>
      <c r="AF124" s="228">
        <f>SUMIF(Projection!$F:$F,'7 Year Projection-Expanded'!$A124,Projection!CG:CG)</f>
        <v>0</v>
      </c>
      <c r="AG124" s="29">
        <f>SUMIF(Projection!$F:$F,'7 Year Projection-Expanded'!$A124,Projection!CH:CH)</f>
        <v>0</v>
      </c>
      <c r="AH124" s="228">
        <f>SUMIF(Projection!$F:$F,'7 Year Projection-Expanded'!$A124,Projection!CI:CI)</f>
        <v>0</v>
      </c>
      <c r="AI124" s="29">
        <f>SUMIF(Projection!$F:$F,'7 Year Projection-Expanded'!$A124,Projection!CJ:CJ)</f>
        <v>0</v>
      </c>
      <c r="AJ124" s="573">
        <f>SUMIF(Projection!$F:$F,'7 Year Projection-Expanded'!$A124,Projection!CK:CK)</f>
        <v>0</v>
      </c>
    </row>
    <row r="125" spans="1:36" ht="14.25" customHeight="1" x14ac:dyDescent="0.2">
      <c r="A125" s="11">
        <v>6377</v>
      </c>
      <c r="C125" s="9"/>
      <c r="E125" s="11" t="s">
        <v>211</v>
      </c>
      <c r="I125" s="228">
        <f t="array" ref="I125">IFERROR(INDEX(Projection!$B$9:$BE$196,MATCH('7 Year Projection-Expanded'!$A125,Projection!$B$9:$B$196,0),MATCH('7 Year Projection-Expanded'!I$8,Projection!$B$9:$BE$9,0)),0)</f>
        <v>1000</v>
      </c>
      <c r="J125" s="29">
        <f t="array" ref="J125">IFERROR(INDEX(Projection!$B$9:$BE$196,MATCH('7 Year Projection-Expanded'!$A125,Projection!$B$9:$B$196,0),MATCH('7 Year Projection-Expanded'!J$8,Projection!$B$9:$BE$9,0)),0)</f>
        <v>1000</v>
      </c>
      <c r="K125" s="228">
        <f t="array" ref="K125">IFERROR(INDEX(Projection!$B$9:$BE$196,MATCH('7 Year Projection-Expanded'!$A125,Projection!$B$9:$B$196,0),MATCH('7 Year Projection-Expanded'!K$8,Projection!$B$9:$BE$9,0)),0)</f>
        <v>1000</v>
      </c>
      <c r="L125" s="29">
        <f t="array" ref="L125">IFERROR(INDEX(Projection!$B$9:$BE$196,MATCH('7 Year Projection-Expanded'!$A125,Projection!$B$9:$B$196,0),MATCH('7 Year Projection-Expanded'!L$8,Projection!$B$9:$BE$9,0)),0)</f>
        <v>1000</v>
      </c>
      <c r="M125" s="228">
        <f t="array" ref="M125">IFERROR(INDEX(Projection!$B$9:$BE$196,MATCH('7 Year Projection-Expanded'!$A125,Projection!$B$9:$B$196,0),MATCH('7 Year Projection-Expanded'!M$8,Projection!$B$9:$BE$9,0)),0)</f>
        <v>1000</v>
      </c>
      <c r="N125" s="29">
        <f t="array" ref="N125">IFERROR(INDEX(Projection!$B$9:$BE$196,MATCH('7 Year Projection-Expanded'!$A125,Projection!$B$9:$B$196,0),MATCH('7 Year Projection-Expanded'!N$8,Projection!$B$9:$BE$9,0)),0)</f>
        <v>1000</v>
      </c>
      <c r="O125" s="228">
        <f t="array" ref="O125">IFERROR(INDEX(Projection!$B$9:$BE$196,MATCH('7 Year Projection-Expanded'!$A125,Projection!$B$9:$B$196,0),MATCH('7 Year Projection-Expanded'!O$8,Projection!$B$9:$BE$9,0)),0)</f>
        <v>1000</v>
      </c>
      <c r="P125" s="29">
        <f t="array" ref="P125">IFERROR(INDEX(Projection!$B$9:$BE$196,MATCH('7 Year Projection-Expanded'!$A125,Projection!$B$9:$B$196,0),MATCH('7 Year Projection-Expanded'!P$8,Projection!$B$9:$BE$9,0)),0)</f>
        <v>1000</v>
      </c>
      <c r="Q125" s="228">
        <f t="array" ref="Q125">IFERROR(INDEX(Projection!$B$9:$BE$196,MATCH('7 Year Projection-Expanded'!$A125,Projection!$B$9:$B$196,0),MATCH('7 Year Projection-Expanded'!Q$8,Projection!$B$9:$BE$9,0)),0)</f>
        <v>1000</v>
      </c>
      <c r="R125" s="29">
        <f t="array" ref="R125">IFERROR(INDEX(Projection!$B$9:$BE$196,MATCH('7 Year Projection-Expanded'!$A125,Projection!$B$9:$B$196,0),MATCH('7 Year Projection-Expanded'!R$8,Projection!$B$9:$BE$9,0)),0)</f>
        <v>1000</v>
      </c>
      <c r="S125" s="228">
        <f t="array" ref="S125">IFERROR(INDEX(Projection!$B$9:$BE$196,MATCH('7 Year Projection-Expanded'!$A125,Projection!$B$9:$B$196,0),MATCH('7 Year Projection-Expanded'!S$8,Projection!$B$9:$BE$9,0)),0)</f>
        <v>1000</v>
      </c>
      <c r="T125" s="28">
        <f t="array" ref="T125">IFERROR(INDEX(Projection!$B$9:$BE$196,MATCH('7 Year Projection-Expanded'!$A125,Projection!$B$9:$B$196,0),MATCH('7 Year Projection-Expanded'!T$8,Projection!$B$9:$BE$9,0)),0)</f>
        <v>1000</v>
      </c>
      <c r="V125" s="572">
        <f>SUMIF(Projection!$F:$F,'7 Year Projection-Expanded'!$A125,Projection!BW:BW)</f>
        <v>12000</v>
      </c>
      <c r="W125" s="29">
        <f>SUMIF(Projection!$F:$F,'7 Year Projection-Expanded'!$A125,Projection!BX:BX)</f>
        <v>12300</v>
      </c>
      <c r="X125" s="228">
        <f>SUMIF(Projection!$F:$F,'7 Year Projection-Expanded'!$A125,Projection!BY:BY)</f>
        <v>12607.5</v>
      </c>
      <c r="Y125" s="29">
        <f>SUMIF(Projection!$F:$F,'7 Year Projection-Expanded'!$A125,Projection!BZ:BZ)</f>
        <v>12922.6875</v>
      </c>
      <c r="Z125" s="228">
        <f>SUMIF(Projection!$F:$F,'7 Year Projection-Expanded'!$A125,Projection!CA:CA)</f>
        <v>13245.754687500003</v>
      </c>
      <c r="AA125" s="29">
        <f>SUMIF(Projection!$F:$F,'7 Year Projection-Expanded'!$A125,Projection!CB:CB)</f>
        <v>13775.584875000002</v>
      </c>
      <c r="AB125" s="228">
        <f>SUMIF(Projection!$F:$F,'7 Year Projection-Expanded'!$A125,Projection!CC:CC)</f>
        <v>14326.608270000002</v>
      </c>
      <c r="AC125" s="29">
        <f>SUMIF(Projection!$F:$F,'7 Year Projection-Expanded'!$A125,Projection!CD:CD)</f>
        <v>14899.672600800002</v>
      </c>
      <c r="AD125" s="228">
        <f>SUMIF(Projection!$F:$F,'7 Year Projection-Expanded'!$A125,Projection!CE:CE)</f>
        <v>15495.659504832003</v>
      </c>
      <c r="AE125" s="29">
        <f>SUMIF(Projection!$F:$F,'7 Year Projection-Expanded'!$A125,Projection!CF:CF)</f>
        <v>16115.485885025284</v>
      </c>
      <c r="AF125" s="228">
        <f>SUMIF(Projection!$F:$F,'7 Year Projection-Expanded'!$A125,Projection!CG:CG)</f>
        <v>16760.105320426297</v>
      </c>
      <c r="AG125" s="29">
        <f>SUMIF(Projection!$F:$F,'7 Year Projection-Expanded'!$A125,Projection!CH:CH)</f>
        <v>17430.509533243348</v>
      </c>
      <c r="AH125" s="228">
        <f>SUMIF(Projection!$F:$F,'7 Year Projection-Expanded'!$A125,Projection!CI:CI)</f>
        <v>18127.729914573083</v>
      </c>
      <c r="AI125" s="29">
        <f>SUMIF(Projection!$F:$F,'7 Year Projection-Expanded'!$A125,Projection!CJ:CJ)</f>
        <v>18852.839111156009</v>
      </c>
      <c r="AJ125" s="573">
        <f>SUMIF(Projection!$F:$F,'7 Year Projection-Expanded'!$A125,Projection!CK:CK)</f>
        <v>19606.95267560225</v>
      </c>
    </row>
    <row r="126" spans="1:36" ht="14.25" customHeight="1" x14ac:dyDescent="0.2">
      <c r="A126" s="11">
        <v>6376</v>
      </c>
      <c r="C126" s="9"/>
      <c r="E126" s="11" t="s">
        <v>473</v>
      </c>
      <c r="I126" s="228">
        <f t="array" ref="I126">IFERROR(INDEX(Projection!$B$9:$BE$196,MATCH('7 Year Projection-Expanded'!$A126,Projection!$B$9:$B$196,0),MATCH('7 Year Projection-Expanded'!I$8,Projection!$B$9:$BE$9,0)),0)</f>
        <v>0</v>
      </c>
      <c r="J126" s="29">
        <f t="array" ref="J126">IFERROR(INDEX(Projection!$B$9:$BE$196,MATCH('7 Year Projection-Expanded'!$A126,Projection!$B$9:$B$196,0),MATCH('7 Year Projection-Expanded'!J$8,Projection!$B$9:$BE$9,0)),0)</f>
        <v>0</v>
      </c>
      <c r="K126" s="228">
        <f t="array" ref="K126">IFERROR(INDEX(Projection!$B$9:$BE$196,MATCH('7 Year Projection-Expanded'!$A126,Projection!$B$9:$B$196,0),MATCH('7 Year Projection-Expanded'!K$8,Projection!$B$9:$BE$9,0)),0)</f>
        <v>0</v>
      </c>
      <c r="L126" s="29">
        <f t="array" ref="L126">IFERROR(INDEX(Projection!$B$9:$BE$196,MATCH('7 Year Projection-Expanded'!$A126,Projection!$B$9:$B$196,0),MATCH('7 Year Projection-Expanded'!L$8,Projection!$B$9:$BE$9,0)),0)</f>
        <v>0</v>
      </c>
      <c r="M126" s="228">
        <f t="array" ref="M126">IFERROR(INDEX(Projection!$B$9:$BE$196,MATCH('7 Year Projection-Expanded'!$A126,Projection!$B$9:$B$196,0),MATCH('7 Year Projection-Expanded'!M$8,Projection!$B$9:$BE$9,0)),0)</f>
        <v>0</v>
      </c>
      <c r="N126" s="29">
        <f t="array" ref="N126">IFERROR(INDEX(Projection!$B$9:$BE$196,MATCH('7 Year Projection-Expanded'!$A126,Projection!$B$9:$B$196,0),MATCH('7 Year Projection-Expanded'!N$8,Projection!$B$9:$BE$9,0)),0)</f>
        <v>0</v>
      </c>
      <c r="O126" s="228">
        <f t="array" ref="O126">IFERROR(INDEX(Projection!$B$9:$BE$196,MATCH('7 Year Projection-Expanded'!$A126,Projection!$B$9:$B$196,0),MATCH('7 Year Projection-Expanded'!O$8,Projection!$B$9:$BE$9,0)),0)</f>
        <v>0</v>
      </c>
      <c r="P126" s="29">
        <f t="array" ref="P126">IFERROR(INDEX(Projection!$B$9:$BE$196,MATCH('7 Year Projection-Expanded'!$A126,Projection!$B$9:$B$196,0),MATCH('7 Year Projection-Expanded'!P$8,Projection!$B$9:$BE$9,0)),0)</f>
        <v>0</v>
      </c>
      <c r="Q126" s="228">
        <f t="array" ref="Q126">IFERROR(INDEX(Projection!$B$9:$BE$196,MATCH('7 Year Projection-Expanded'!$A126,Projection!$B$9:$B$196,0),MATCH('7 Year Projection-Expanded'!Q$8,Projection!$B$9:$BE$9,0)),0)</f>
        <v>0</v>
      </c>
      <c r="R126" s="29">
        <f t="array" ref="R126">IFERROR(INDEX(Projection!$B$9:$BE$196,MATCH('7 Year Projection-Expanded'!$A126,Projection!$B$9:$B$196,0),MATCH('7 Year Projection-Expanded'!R$8,Projection!$B$9:$BE$9,0)),0)</f>
        <v>0</v>
      </c>
      <c r="S126" s="228">
        <f t="array" ref="S126">IFERROR(INDEX(Projection!$B$9:$BE$196,MATCH('7 Year Projection-Expanded'!$A126,Projection!$B$9:$B$196,0),MATCH('7 Year Projection-Expanded'!S$8,Projection!$B$9:$BE$9,0)),0)</f>
        <v>0</v>
      </c>
      <c r="T126" s="28">
        <f t="array" ref="T126">IFERROR(INDEX(Projection!$B$9:$BE$196,MATCH('7 Year Projection-Expanded'!$A126,Projection!$B$9:$B$196,0),MATCH('7 Year Projection-Expanded'!T$8,Projection!$B$9:$BE$9,0)),0)</f>
        <v>0</v>
      </c>
      <c r="V126" s="572">
        <f>SUMIF(Projection!$F:$F,'7 Year Projection-Expanded'!$A126,Projection!BW:BW)</f>
        <v>0</v>
      </c>
      <c r="W126" s="29">
        <f>SUMIF(Projection!$F:$F,'7 Year Projection-Expanded'!$A126,Projection!BX:BX)</f>
        <v>0</v>
      </c>
      <c r="X126" s="228">
        <f>SUMIF(Projection!$F:$F,'7 Year Projection-Expanded'!$A126,Projection!BY:BY)</f>
        <v>0</v>
      </c>
      <c r="Y126" s="29">
        <f>SUMIF(Projection!$F:$F,'7 Year Projection-Expanded'!$A126,Projection!BZ:BZ)</f>
        <v>0</v>
      </c>
      <c r="Z126" s="228">
        <f>SUMIF(Projection!$F:$F,'7 Year Projection-Expanded'!$A126,Projection!CA:CA)</f>
        <v>0</v>
      </c>
      <c r="AA126" s="29">
        <f>SUMIF(Projection!$F:$F,'7 Year Projection-Expanded'!$A126,Projection!CB:CB)</f>
        <v>0</v>
      </c>
      <c r="AB126" s="228">
        <f>SUMIF(Projection!$F:$F,'7 Year Projection-Expanded'!$A126,Projection!CC:CC)</f>
        <v>0</v>
      </c>
      <c r="AC126" s="29">
        <f>SUMIF(Projection!$F:$F,'7 Year Projection-Expanded'!$A126,Projection!CD:CD)</f>
        <v>0</v>
      </c>
      <c r="AD126" s="228">
        <f>SUMIF(Projection!$F:$F,'7 Year Projection-Expanded'!$A126,Projection!CE:CE)</f>
        <v>0</v>
      </c>
      <c r="AE126" s="29">
        <f>SUMIF(Projection!$F:$F,'7 Year Projection-Expanded'!$A126,Projection!CF:CF)</f>
        <v>0</v>
      </c>
      <c r="AF126" s="228">
        <f>SUMIF(Projection!$F:$F,'7 Year Projection-Expanded'!$A126,Projection!CG:CG)</f>
        <v>0</v>
      </c>
      <c r="AG126" s="29">
        <f>SUMIF(Projection!$F:$F,'7 Year Projection-Expanded'!$A126,Projection!CH:CH)</f>
        <v>0</v>
      </c>
      <c r="AH126" s="228">
        <f>SUMIF(Projection!$F:$F,'7 Year Projection-Expanded'!$A126,Projection!CI:CI)</f>
        <v>0</v>
      </c>
      <c r="AI126" s="29">
        <f>SUMIF(Projection!$F:$F,'7 Year Projection-Expanded'!$A126,Projection!CJ:CJ)</f>
        <v>0</v>
      </c>
      <c r="AJ126" s="573">
        <f>SUMIF(Projection!$F:$F,'7 Year Projection-Expanded'!$A126,Projection!CK:CK)</f>
        <v>0</v>
      </c>
    </row>
    <row r="127" spans="1:36" ht="14.25" customHeight="1" x14ac:dyDescent="0.2">
      <c r="A127" s="283" t="s">
        <v>378</v>
      </c>
      <c r="B127" s="283" t="s">
        <v>474</v>
      </c>
      <c r="C127" s="597"/>
      <c r="D127" s="286" t="s">
        <v>475</v>
      </c>
      <c r="E127" s="285"/>
      <c r="F127" s="285"/>
      <c r="G127" s="285"/>
      <c r="H127" s="285"/>
      <c r="I127" s="606">
        <f t="shared" ref="I127:T127" si="32">SUM(I124:I126)</f>
        <v>1000</v>
      </c>
      <c r="J127" s="289">
        <f t="shared" si="32"/>
        <v>1000</v>
      </c>
      <c r="K127" s="606">
        <f t="shared" si="32"/>
        <v>1000</v>
      </c>
      <c r="L127" s="289">
        <f t="shared" si="32"/>
        <v>1000</v>
      </c>
      <c r="M127" s="606">
        <f t="shared" si="32"/>
        <v>1000</v>
      </c>
      <c r="N127" s="289">
        <f t="shared" si="32"/>
        <v>1000</v>
      </c>
      <c r="O127" s="606">
        <f t="shared" si="32"/>
        <v>1000</v>
      </c>
      <c r="P127" s="289">
        <f t="shared" si="32"/>
        <v>1000</v>
      </c>
      <c r="Q127" s="606">
        <f t="shared" si="32"/>
        <v>1000</v>
      </c>
      <c r="R127" s="289">
        <f t="shared" si="32"/>
        <v>1000</v>
      </c>
      <c r="S127" s="606">
        <f t="shared" si="32"/>
        <v>1000</v>
      </c>
      <c r="T127" s="607">
        <f t="shared" si="32"/>
        <v>1000</v>
      </c>
      <c r="U127" s="285"/>
      <c r="V127" s="608">
        <f t="shared" ref="V127:AJ127" si="33">SUM(V124:V126)</f>
        <v>12000</v>
      </c>
      <c r="W127" s="289">
        <f t="shared" si="33"/>
        <v>12300</v>
      </c>
      <c r="X127" s="606">
        <f t="shared" si="33"/>
        <v>12607.5</v>
      </c>
      <c r="Y127" s="289">
        <f t="shared" si="33"/>
        <v>12922.6875</v>
      </c>
      <c r="Z127" s="606">
        <f t="shared" si="33"/>
        <v>13245.754687500003</v>
      </c>
      <c r="AA127" s="289">
        <f t="shared" si="33"/>
        <v>13775.584875000002</v>
      </c>
      <c r="AB127" s="606">
        <f t="shared" si="33"/>
        <v>14326.608270000002</v>
      </c>
      <c r="AC127" s="289">
        <f t="shared" si="33"/>
        <v>14899.672600800002</v>
      </c>
      <c r="AD127" s="606">
        <f t="shared" si="33"/>
        <v>15495.659504832003</v>
      </c>
      <c r="AE127" s="289">
        <f t="shared" si="33"/>
        <v>16115.485885025284</v>
      </c>
      <c r="AF127" s="606">
        <f t="shared" si="33"/>
        <v>16760.105320426297</v>
      </c>
      <c r="AG127" s="289">
        <f t="shared" si="33"/>
        <v>17430.509533243348</v>
      </c>
      <c r="AH127" s="606">
        <f t="shared" si="33"/>
        <v>18127.729914573083</v>
      </c>
      <c r="AI127" s="289">
        <f t="shared" si="33"/>
        <v>18852.839111156009</v>
      </c>
      <c r="AJ127" s="609">
        <f t="shared" si="33"/>
        <v>19606.95267560225</v>
      </c>
    </row>
    <row r="128" spans="1:36" ht="6" customHeight="1" x14ac:dyDescent="0.2">
      <c r="C128" s="9"/>
      <c r="I128" s="197"/>
      <c r="K128" s="197"/>
      <c r="M128" s="197"/>
      <c r="O128" s="197"/>
      <c r="Q128" s="197"/>
      <c r="S128" s="197"/>
      <c r="T128" s="20"/>
      <c r="V128" s="610"/>
      <c r="X128" s="197"/>
      <c r="Z128" s="197"/>
      <c r="AB128" s="197"/>
      <c r="AD128" s="197"/>
      <c r="AF128" s="197"/>
      <c r="AH128" s="197"/>
      <c r="AJ128" s="611"/>
    </row>
    <row r="129" spans="1:36" ht="14.25" customHeight="1" x14ac:dyDescent="0.2">
      <c r="A129" s="285"/>
      <c r="B129" s="285"/>
      <c r="C129" s="597"/>
      <c r="D129" s="286" t="s">
        <v>476</v>
      </c>
      <c r="E129" s="285"/>
      <c r="F129" s="285"/>
      <c r="G129" s="285"/>
      <c r="H129" s="285"/>
      <c r="I129" s="598"/>
      <c r="J129" s="285"/>
      <c r="K129" s="598"/>
      <c r="L129" s="285"/>
      <c r="M129" s="598"/>
      <c r="N129" s="285"/>
      <c r="O129" s="598"/>
      <c r="P129" s="285"/>
      <c r="Q129" s="598"/>
      <c r="R129" s="285"/>
      <c r="S129" s="598"/>
      <c r="T129" s="599"/>
      <c r="U129" s="285"/>
      <c r="V129" s="600"/>
      <c r="W129" s="285"/>
      <c r="X129" s="598"/>
      <c r="Y129" s="285"/>
      <c r="Z129" s="598"/>
      <c r="AA129" s="285"/>
      <c r="AB129" s="598"/>
      <c r="AC129" s="285"/>
      <c r="AD129" s="598"/>
      <c r="AE129" s="285"/>
      <c r="AF129" s="598"/>
      <c r="AG129" s="285"/>
      <c r="AH129" s="598"/>
      <c r="AI129" s="285"/>
      <c r="AJ129" s="613"/>
    </row>
    <row r="130" spans="1:36" ht="14.25" customHeight="1" x14ac:dyDescent="0.2">
      <c r="A130" s="11">
        <v>6270</v>
      </c>
      <c r="C130" s="9"/>
      <c r="E130" s="11" t="s">
        <v>258</v>
      </c>
      <c r="I130" s="228">
        <f t="array" ref="I130">IFERROR(INDEX(Projection!$B$9:$BE$196,MATCH('7 Year Projection-Expanded'!$A130,Projection!$B$9:$B$196,0),MATCH('7 Year Projection-Expanded'!I$8,Projection!$B$9:$BE$9,0)),0)</f>
        <v>10589.4375</v>
      </c>
      <c r="J130" s="29">
        <f t="array" ref="J130">IFERROR(INDEX(Projection!$B$9:$BE$196,MATCH('7 Year Projection-Expanded'!$A130,Projection!$B$9:$B$196,0),MATCH('7 Year Projection-Expanded'!J$8,Projection!$B$9:$BE$9,0)),0)</f>
        <v>10589.4375</v>
      </c>
      <c r="K130" s="228">
        <f t="array" ref="K130">IFERROR(INDEX(Projection!$B$9:$BE$196,MATCH('7 Year Projection-Expanded'!$A130,Projection!$B$9:$B$196,0),MATCH('7 Year Projection-Expanded'!K$8,Projection!$B$9:$BE$9,0)),0)</f>
        <v>10589.4375</v>
      </c>
      <c r="L130" s="29">
        <f t="array" ref="L130">IFERROR(INDEX(Projection!$B$9:$BE$196,MATCH('7 Year Projection-Expanded'!$A130,Projection!$B$9:$B$196,0),MATCH('7 Year Projection-Expanded'!L$8,Projection!$B$9:$BE$9,0)),0)</f>
        <v>10589.4375</v>
      </c>
      <c r="M130" s="228">
        <f t="array" ref="M130">IFERROR(INDEX(Projection!$B$9:$BE$196,MATCH('7 Year Projection-Expanded'!$A130,Projection!$B$9:$B$196,0),MATCH('7 Year Projection-Expanded'!M$8,Projection!$B$9:$BE$9,0)),0)</f>
        <v>10589.4375</v>
      </c>
      <c r="N130" s="29">
        <f t="array" ref="N130">IFERROR(INDEX(Projection!$B$9:$BE$196,MATCH('7 Year Projection-Expanded'!$A130,Projection!$B$9:$B$196,0),MATCH('7 Year Projection-Expanded'!N$8,Projection!$B$9:$BE$9,0)),0)</f>
        <v>10589.4375</v>
      </c>
      <c r="O130" s="228">
        <f t="array" ref="O130">IFERROR(INDEX(Projection!$B$9:$BE$196,MATCH('7 Year Projection-Expanded'!$A130,Projection!$B$9:$B$196,0),MATCH('7 Year Projection-Expanded'!O$8,Projection!$B$9:$BE$9,0)),0)</f>
        <v>10589.4375</v>
      </c>
      <c r="P130" s="29">
        <f t="array" ref="P130">IFERROR(INDEX(Projection!$B$9:$BE$196,MATCH('7 Year Projection-Expanded'!$A130,Projection!$B$9:$B$196,0),MATCH('7 Year Projection-Expanded'!P$8,Projection!$B$9:$BE$9,0)),0)</f>
        <v>10589.4375</v>
      </c>
      <c r="Q130" s="228">
        <f t="array" ref="Q130">IFERROR(INDEX(Projection!$B$9:$BE$196,MATCH('7 Year Projection-Expanded'!$A130,Projection!$B$9:$B$196,0),MATCH('7 Year Projection-Expanded'!Q$8,Projection!$B$9:$BE$9,0)),0)</f>
        <v>10589.4375</v>
      </c>
      <c r="R130" s="29">
        <f t="array" ref="R130">IFERROR(INDEX(Projection!$B$9:$BE$196,MATCH('7 Year Projection-Expanded'!$A130,Projection!$B$9:$B$196,0),MATCH('7 Year Projection-Expanded'!R$8,Projection!$B$9:$BE$9,0)),0)</f>
        <v>10589.4375</v>
      </c>
      <c r="S130" s="228">
        <f t="array" ref="S130">IFERROR(INDEX(Projection!$B$9:$BE$196,MATCH('7 Year Projection-Expanded'!$A130,Projection!$B$9:$B$196,0),MATCH('7 Year Projection-Expanded'!S$8,Projection!$B$9:$BE$9,0)),0)</f>
        <v>10589.4375</v>
      </c>
      <c r="T130" s="28">
        <f t="array" ref="T130">IFERROR(INDEX(Projection!$B$9:$BE$196,MATCH('7 Year Projection-Expanded'!$A130,Projection!$B$9:$B$196,0),MATCH('7 Year Projection-Expanded'!T$8,Projection!$B$9:$BE$9,0)),0)</f>
        <v>10589.4375</v>
      </c>
      <c r="V130" s="572">
        <f>SUMIF(Projection!$F:$F,'7 Year Projection-Expanded'!$A130,Projection!BW:BW)</f>
        <v>127073.25</v>
      </c>
      <c r="W130" s="29">
        <f>SUMIF(Projection!$F:$F,'7 Year Projection-Expanded'!$A130,Projection!BX:BX)</f>
        <v>169431</v>
      </c>
      <c r="X130" s="228">
        <f>SUMIF(Projection!$F:$F,'7 Year Projection-Expanded'!$A130,Projection!BY:BY)</f>
        <v>180858.10497577218</v>
      </c>
      <c r="Y130" s="29">
        <f>SUMIF(Projection!$F:$F,'7 Year Projection-Expanded'!$A130,Projection!BZ:BZ)</f>
        <v>203795.43958893543</v>
      </c>
      <c r="Z130" s="228">
        <f>SUMIF(Projection!$F:$F,'7 Year Projection-Expanded'!$A130,Projection!CA:CA)</f>
        <v>229641.80235556018</v>
      </c>
      <c r="AA130" s="29">
        <f>SUMIF(Projection!$F:$F,'7 Year Projection-Expanded'!$A130,Projection!CB:CB)</f>
        <v>238827.4744497826</v>
      </c>
      <c r="AB130" s="228">
        <f>SUMIF(Projection!$F:$F,'7 Year Projection-Expanded'!$A130,Projection!CC:CC)</f>
        <v>248380.57342777392</v>
      </c>
      <c r="AC130" s="29">
        <f>SUMIF(Projection!$F:$F,'7 Year Projection-Expanded'!$A130,Projection!CD:CD)</f>
        <v>258315.79636488488</v>
      </c>
      <c r="AD130" s="228">
        <f>SUMIF(Projection!$F:$F,'7 Year Projection-Expanded'!$A130,Projection!CE:CE)</f>
        <v>268648.42821948027</v>
      </c>
      <c r="AE130" s="29">
        <f>SUMIF(Projection!$F:$F,'7 Year Projection-Expanded'!$A130,Projection!CF:CF)</f>
        <v>279394.36534825951</v>
      </c>
      <c r="AF130" s="228">
        <f>SUMIF(Projection!$F:$F,'7 Year Projection-Expanded'!$A130,Projection!CG:CG)</f>
        <v>290570.13996218989</v>
      </c>
      <c r="AG130" s="29">
        <f>SUMIF(Projection!$F:$F,'7 Year Projection-Expanded'!$A130,Projection!CH:CH)</f>
        <v>302192.9455606775</v>
      </c>
      <c r="AH130" s="228">
        <f>SUMIF(Projection!$F:$F,'7 Year Projection-Expanded'!$A130,Projection!CI:CI)</f>
        <v>314280.66338310461</v>
      </c>
      <c r="AI130" s="29">
        <f>SUMIF(Projection!$F:$F,'7 Year Projection-Expanded'!$A130,Projection!CJ:CJ)</f>
        <v>326851.88991842879</v>
      </c>
      <c r="AJ130" s="573">
        <f>SUMIF(Projection!$F:$F,'7 Year Projection-Expanded'!$A130,Projection!CK:CK)</f>
        <v>339925.96551516594</v>
      </c>
    </row>
    <row r="131" spans="1:36" ht="14.25" customHeight="1" x14ac:dyDescent="0.2">
      <c r="A131" s="11">
        <v>6271</v>
      </c>
      <c r="C131" s="9"/>
      <c r="E131" s="11" t="s">
        <v>477</v>
      </c>
      <c r="I131" s="228">
        <f t="array" ref="I131">IFERROR(INDEX(Projection!$B$9:$BE$196,MATCH('7 Year Projection-Expanded'!$A131,Projection!$B$9:$B$196,0),MATCH('7 Year Projection-Expanded'!I$8,Projection!$B$9:$BE$9,0)),0)</f>
        <v>0</v>
      </c>
      <c r="J131" s="29">
        <f t="array" ref="J131">IFERROR(INDEX(Projection!$B$9:$BE$196,MATCH('7 Year Projection-Expanded'!$A131,Projection!$B$9:$B$196,0),MATCH('7 Year Projection-Expanded'!J$8,Projection!$B$9:$BE$9,0)),0)</f>
        <v>0</v>
      </c>
      <c r="K131" s="228">
        <f t="array" ref="K131">IFERROR(INDEX(Projection!$B$9:$BE$196,MATCH('7 Year Projection-Expanded'!$A131,Projection!$B$9:$B$196,0),MATCH('7 Year Projection-Expanded'!K$8,Projection!$B$9:$BE$9,0)),0)</f>
        <v>0</v>
      </c>
      <c r="L131" s="29">
        <f t="array" ref="L131">IFERROR(INDEX(Projection!$B$9:$BE$196,MATCH('7 Year Projection-Expanded'!$A131,Projection!$B$9:$B$196,0),MATCH('7 Year Projection-Expanded'!L$8,Projection!$B$9:$BE$9,0)),0)</f>
        <v>0</v>
      </c>
      <c r="M131" s="228">
        <f t="array" ref="M131">IFERROR(INDEX(Projection!$B$9:$BE$196,MATCH('7 Year Projection-Expanded'!$A131,Projection!$B$9:$B$196,0),MATCH('7 Year Projection-Expanded'!M$8,Projection!$B$9:$BE$9,0)),0)</f>
        <v>0</v>
      </c>
      <c r="N131" s="29">
        <f t="array" ref="N131">IFERROR(INDEX(Projection!$B$9:$BE$196,MATCH('7 Year Projection-Expanded'!$A131,Projection!$B$9:$B$196,0),MATCH('7 Year Projection-Expanded'!N$8,Projection!$B$9:$BE$9,0)),0)</f>
        <v>0</v>
      </c>
      <c r="O131" s="228">
        <f t="array" ref="O131">IFERROR(INDEX(Projection!$B$9:$BE$196,MATCH('7 Year Projection-Expanded'!$A131,Projection!$B$9:$B$196,0),MATCH('7 Year Projection-Expanded'!O$8,Projection!$B$9:$BE$9,0)),0)</f>
        <v>0</v>
      </c>
      <c r="P131" s="29">
        <f t="array" ref="P131">IFERROR(INDEX(Projection!$B$9:$BE$196,MATCH('7 Year Projection-Expanded'!$A131,Projection!$B$9:$B$196,0),MATCH('7 Year Projection-Expanded'!P$8,Projection!$B$9:$BE$9,0)),0)</f>
        <v>0</v>
      </c>
      <c r="Q131" s="228">
        <f t="array" ref="Q131">IFERROR(INDEX(Projection!$B$9:$BE$196,MATCH('7 Year Projection-Expanded'!$A131,Projection!$B$9:$B$196,0),MATCH('7 Year Projection-Expanded'!Q$8,Projection!$B$9:$BE$9,0)),0)</f>
        <v>0</v>
      </c>
      <c r="R131" s="29">
        <f t="array" ref="R131">IFERROR(INDEX(Projection!$B$9:$BE$196,MATCH('7 Year Projection-Expanded'!$A131,Projection!$B$9:$B$196,0),MATCH('7 Year Projection-Expanded'!R$8,Projection!$B$9:$BE$9,0)),0)</f>
        <v>0</v>
      </c>
      <c r="S131" s="228">
        <f t="array" ref="S131">IFERROR(INDEX(Projection!$B$9:$BE$196,MATCH('7 Year Projection-Expanded'!$A131,Projection!$B$9:$B$196,0),MATCH('7 Year Projection-Expanded'!S$8,Projection!$B$9:$BE$9,0)),0)</f>
        <v>0</v>
      </c>
      <c r="T131" s="28">
        <f t="array" ref="T131">IFERROR(INDEX(Projection!$B$9:$BE$196,MATCH('7 Year Projection-Expanded'!$A131,Projection!$B$9:$B$196,0),MATCH('7 Year Projection-Expanded'!T$8,Projection!$B$9:$BE$9,0)),0)</f>
        <v>0</v>
      </c>
      <c r="V131" s="572">
        <f>SUMIF(Projection!$F:$F,'7 Year Projection-Expanded'!$A131,Projection!BW:BW)</f>
        <v>0</v>
      </c>
      <c r="W131" s="29">
        <f>SUMIF(Projection!$F:$F,'7 Year Projection-Expanded'!$A131,Projection!BX:BX)</f>
        <v>0</v>
      </c>
      <c r="X131" s="228">
        <f>SUMIF(Projection!$F:$F,'7 Year Projection-Expanded'!$A131,Projection!BY:BY)</f>
        <v>0</v>
      </c>
      <c r="Y131" s="29">
        <f>SUMIF(Projection!$F:$F,'7 Year Projection-Expanded'!$A131,Projection!BZ:BZ)</f>
        <v>0</v>
      </c>
      <c r="Z131" s="228">
        <f>SUMIF(Projection!$F:$F,'7 Year Projection-Expanded'!$A131,Projection!CA:CA)</f>
        <v>0</v>
      </c>
      <c r="AA131" s="29">
        <f>SUMIF(Projection!$F:$F,'7 Year Projection-Expanded'!$A131,Projection!CB:CB)</f>
        <v>0</v>
      </c>
      <c r="AB131" s="228">
        <f>SUMIF(Projection!$F:$F,'7 Year Projection-Expanded'!$A131,Projection!CC:CC)</f>
        <v>0</v>
      </c>
      <c r="AC131" s="29">
        <f>SUMIF(Projection!$F:$F,'7 Year Projection-Expanded'!$A131,Projection!CD:CD)</f>
        <v>0</v>
      </c>
      <c r="AD131" s="228">
        <f>SUMIF(Projection!$F:$F,'7 Year Projection-Expanded'!$A131,Projection!CE:CE)</f>
        <v>0</v>
      </c>
      <c r="AE131" s="29">
        <f>SUMIF(Projection!$F:$F,'7 Year Projection-Expanded'!$A131,Projection!CF:CF)</f>
        <v>0</v>
      </c>
      <c r="AF131" s="228">
        <f>SUMIF(Projection!$F:$F,'7 Year Projection-Expanded'!$A131,Projection!CG:CG)</f>
        <v>0</v>
      </c>
      <c r="AG131" s="29">
        <f>SUMIF(Projection!$F:$F,'7 Year Projection-Expanded'!$A131,Projection!CH:CH)</f>
        <v>0</v>
      </c>
      <c r="AH131" s="228">
        <f>SUMIF(Projection!$F:$F,'7 Year Projection-Expanded'!$A131,Projection!CI:CI)</f>
        <v>0</v>
      </c>
      <c r="AI131" s="29">
        <f>SUMIF(Projection!$F:$F,'7 Year Projection-Expanded'!$A131,Projection!CJ:CJ)</f>
        <v>0</v>
      </c>
      <c r="AJ131" s="573">
        <f>SUMIF(Projection!$F:$F,'7 Year Projection-Expanded'!$A131,Projection!CK:CK)</f>
        <v>0</v>
      </c>
    </row>
    <row r="132" spans="1:36" ht="14.25" customHeight="1" x14ac:dyDescent="0.2">
      <c r="A132" s="11">
        <v>7240</v>
      </c>
      <c r="C132" s="9"/>
      <c r="E132" s="11" t="s">
        <v>258</v>
      </c>
      <c r="I132" s="228">
        <f t="array" ref="I132">IFERROR(INDEX(Projection!$B$9:$BE$196,MATCH('7 Year Projection-Expanded'!$A132,Projection!$B$9:$B$196,0),MATCH('7 Year Projection-Expanded'!I$8,Projection!$B$9:$BE$9,0)),0)</f>
        <v>0</v>
      </c>
      <c r="J132" s="29">
        <f t="array" ref="J132">IFERROR(INDEX(Projection!$B$9:$BE$196,MATCH('7 Year Projection-Expanded'!$A132,Projection!$B$9:$B$196,0),MATCH('7 Year Projection-Expanded'!J$8,Projection!$B$9:$BE$9,0)),0)</f>
        <v>0</v>
      </c>
      <c r="K132" s="228">
        <f t="array" ref="K132">IFERROR(INDEX(Projection!$B$9:$BE$196,MATCH('7 Year Projection-Expanded'!$A132,Projection!$B$9:$B$196,0),MATCH('7 Year Projection-Expanded'!K$8,Projection!$B$9:$BE$9,0)),0)</f>
        <v>0</v>
      </c>
      <c r="L132" s="29">
        <f t="array" ref="L132">IFERROR(INDEX(Projection!$B$9:$BE$196,MATCH('7 Year Projection-Expanded'!$A132,Projection!$B$9:$B$196,0),MATCH('7 Year Projection-Expanded'!L$8,Projection!$B$9:$BE$9,0)),0)</f>
        <v>0</v>
      </c>
      <c r="M132" s="228">
        <f t="array" ref="M132">IFERROR(INDEX(Projection!$B$9:$BE$196,MATCH('7 Year Projection-Expanded'!$A132,Projection!$B$9:$B$196,0),MATCH('7 Year Projection-Expanded'!M$8,Projection!$B$9:$BE$9,0)),0)</f>
        <v>0</v>
      </c>
      <c r="N132" s="29">
        <f t="array" ref="N132">IFERROR(INDEX(Projection!$B$9:$BE$196,MATCH('7 Year Projection-Expanded'!$A132,Projection!$B$9:$B$196,0),MATCH('7 Year Projection-Expanded'!N$8,Projection!$B$9:$BE$9,0)),0)</f>
        <v>0</v>
      </c>
      <c r="O132" s="228">
        <f t="array" ref="O132">IFERROR(INDEX(Projection!$B$9:$BE$196,MATCH('7 Year Projection-Expanded'!$A132,Projection!$B$9:$B$196,0),MATCH('7 Year Projection-Expanded'!O$8,Projection!$B$9:$BE$9,0)),0)</f>
        <v>0</v>
      </c>
      <c r="P132" s="29">
        <f t="array" ref="P132">IFERROR(INDEX(Projection!$B$9:$BE$196,MATCH('7 Year Projection-Expanded'!$A132,Projection!$B$9:$B$196,0),MATCH('7 Year Projection-Expanded'!P$8,Projection!$B$9:$BE$9,0)),0)</f>
        <v>0</v>
      </c>
      <c r="Q132" s="228">
        <f t="array" ref="Q132">IFERROR(INDEX(Projection!$B$9:$BE$196,MATCH('7 Year Projection-Expanded'!$A132,Projection!$B$9:$B$196,0),MATCH('7 Year Projection-Expanded'!Q$8,Projection!$B$9:$BE$9,0)),0)</f>
        <v>0</v>
      </c>
      <c r="R132" s="29">
        <f t="array" ref="R132">IFERROR(INDEX(Projection!$B$9:$BE$196,MATCH('7 Year Projection-Expanded'!$A132,Projection!$B$9:$B$196,0),MATCH('7 Year Projection-Expanded'!R$8,Projection!$B$9:$BE$9,0)),0)</f>
        <v>0</v>
      </c>
      <c r="S132" s="228">
        <f t="array" ref="S132">IFERROR(INDEX(Projection!$B$9:$BE$196,MATCH('7 Year Projection-Expanded'!$A132,Projection!$B$9:$B$196,0),MATCH('7 Year Projection-Expanded'!S$8,Projection!$B$9:$BE$9,0)),0)</f>
        <v>0</v>
      </c>
      <c r="T132" s="28">
        <f t="array" ref="T132">IFERROR(INDEX(Projection!$B$9:$BE$196,MATCH('7 Year Projection-Expanded'!$A132,Projection!$B$9:$B$196,0),MATCH('7 Year Projection-Expanded'!T$8,Projection!$B$9:$BE$9,0)),0)</f>
        <v>0</v>
      </c>
      <c r="V132" s="572">
        <f>SUMIF(Projection!$F:$F,'7 Year Projection-Expanded'!$A132,Projection!BW:BW)</f>
        <v>0</v>
      </c>
      <c r="W132" s="29">
        <f>SUMIF(Projection!$F:$F,'7 Year Projection-Expanded'!$A132,Projection!BX:BX)</f>
        <v>0</v>
      </c>
      <c r="X132" s="228">
        <f>SUMIF(Projection!$F:$F,'7 Year Projection-Expanded'!$A132,Projection!BY:BY)</f>
        <v>0</v>
      </c>
      <c r="Y132" s="29">
        <f>SUMIF(Projection!$F:$F,'7 Year Projection-Expanded'!$A132,Projection!BZ:BZ)</f>
        <v>0</v>
      </c>
      <c r="Z132" s="228">
        <f>SUMIF(Projection!$F:$F,'7 Year Projection-Expanded'!$A132,Projection!CA:CA)</f>
        <v>0</v>
      </c>
      <c r="AA132" s="29">
        <f>SUMIF(Projection!$F:$F,'7 Year Projection-Expanded'!$A132,Projection!CB:CB)</f>
        <v>0</v>
      </c>
      <c r="AB132" s="228">
        <f>SUMIF(Projection!$F:$F,'7 Year Projection-Expanded'!$A132,Projection!CC:CC)</f>
        <v>0</v>
      </c>
      <c r="AC132" s="29">
        <f>SUMIF(Projection!$F:$F,'7 Year Projection-Expanded'!$A132,Projection!CD:CD)</f>
        <v>0</v>
      </c>
      <c r="AD132" s="228">
        <f>SUMIF(Projection!$F:$F,'7 Year Projection-Expanded'!$A132,Projection!CE:CE)</f>
        <v>0</v>
      </c>
      <c r="AE132" s="29">
        <f>SUMIF(Projection!$F:$F,'7 Year Projection-Expanded'!$A132,Projection!CF:CF)</f>
        <v>0</v>
      </c>
      <c r="AF132" s="228">
        <f>SUMIF(Projection!$F:$F,'7 Year Projection-Expanded'!$A132,Projection!CG:CG)</f>
        <v>0</v>
      </c>
      <c r="AG132" s="29">
        <f>SUMIF(Projection!$F:$F,'7 Year Projection-Expanded'!$A132,Projection!CH:CH)</f>
        <v>0</v>
      </c>
      <c r="AH132" s="228">
        <f>SUMIF(Projection!$F:$F,'7 Year Projection-Expanded'!$A132,Projection!CI:CI)</f>
        <v>0</v>
      </c>
      <c r="AI132" s="29">
        <f>SUMIF(Projection!$F:$F,'7 Year Projection-Expanded'!$A132,Projection!CJ:CJ)</f>
        <v>0</v>
      </c>
      <c r="AJ132" s="573">
        <f>SUMIF(Projection!$F:$F,'7 Year Projection-Expanded'!$A132,Projection!CK:CK)</f>
        <v>0</v>
      </c>
    </row>
    <row r="133" spans="1:36" ht="14.25" customHeight="1" x14ac:dyDescent="0.2">
      <c r="A133" s="11">
        <v>6272</v>
      </c>
      <c r="C133" s="9"/>
      <c r="E133" s="11" t="s">
        <v>478</v>
      </c>
      <c r="I133" s="228">
        <f t="array" ref="I133">IFERROR(INDEX(Projection!$B$9:$BE$196,MATCH('7 Year Projection-Expanded'!$A133,Projection!$B$9:$B$196,0),MATCH('7 Year Projection-Expanded'!I$8,Projection!$B$9:$BE$9,0)),0)</f>
        <v>0</v>
      </c>
      <c r="J133" s="29">
        <f t="array" ref="J133">IFERROR(INDEX(Projection!$B$9:$BE$196,MATCH('7 Year Projection-Expanded'!$A133,Projection!$B$9:$B$196,0),MATCH('7 Year Projection-Expanded'!J$8,Projection!$B$9:$BE$9,0)),0)</f>
        <v>0</v>
      </c>
      <c r="K133" s="228">
        <f t="array" ref="K133">IFERROR(INDEX(Projection!$B$9:$BE$196,MATCH('7 Year Projection-Expanded'!$A133,Projection!$B$9:$B$196,0),MATCH('7 Year Projection-Expanded'!K$8,Projection!$B$9:$BE$9,0)),0)</f>
        <v>0</v>
      </c>
      <c r="L133" s="29">
        <f t="array" ref="L133">IFERROR(INDEX(Projection!$B$9:$BE$196,MATCH('7 Year Projection-Expanded'!$A133,Projection!$B$9:$B$196,0),MATCH('7 Year Projection-Expanded'!L$8,Projection!$B$9:$BE$9,0)),0)</f>
        <v>0</v>
      </c>
      <c r="M133" s="228">
        <f t="array" ref="M133">IFERROR(INDEX(Projection!$B$9:$BE$196,MATCH('7 Year Projection-Expanded'!$A133,Projection!$B$9:$B$196,0),MATCH('7 Year Projection-Expanded'!M$8,Projection!$B$9:$BE$9,0)),0)</f>
        <v>0</v>
      </c>
      <c r="N133" s="29">
        <f t="array" ref="N133">IFERROR(INDEX(Projection!$B$9:$BE$196,MATCH('7 Year Projection-Expanded'!$A133,Projection!$B$9:$B$196,0),MATCH('7 Year Projection-Expanded'!N$8,Projection!$B$9:$BE$9,0)),0)</f>
        <v>0</v>
      </c>
      <c r="O133" s="228">
        <f t="array" ref="O133">IFERROR(INDEX(Projection!$B$9:$BE$196,MATCH('7 Year Projection-Expanded'!$A133,Projection!$B$9:$B$196,0),MATCH('7 Year Projection-Expanded'!O$8,Projection!$B$9:$BE$9,0)),0)</f>
        <v>0</v>
      </c>
      <c r="P133" s="29">
        <f t="array" ref="P133">IFERROR(INDEX(Projection!$B$9:$BE$196,MATCH('7 Year Projection-Expanded'!$A133,Projection!$B$9:$B$196,0),MATCH('7 Year Projection-Expanded'!P$8,Projection!$B$9:$BE$9,0)),0)</f>
        <v>0</v>
      </c>
      <c r="Q133" s="228">
        <f t="array" ref="Q133">IFERROR(INDEX(Projection!$B$9:$BE$196,MATCH('7 Year Projection-Expanded'!$A133,Projection!$B$9:$B$196,0),MATCH('7 Year Projection-Expanded'!Q$8,Projection!$B$9:$BE$9,0)),0)</f>
        <v>0</v>
      </c>
      <c r="R133" s="29">
        <f t="array" ref="R133">IFERROR(INDEX(Projection!$B$9:$BE$196,MATCH('7 Year Projection-Expanded'!$A133,Projection!$B$9:$B$196,0),MATCH('7 Year Projection-Expanded'!R$8,Projection!$B$9:$BE$9,0)),0)</f>
        <v>0</v>
      </c>
      <c r="S133" s="228">
        <f t="array" ref="S133">IFERROR(INDEX(Projection!$B$9:$BE$196,MATCH('7 Year Projection-Expanded'!$A133,Projection!$B$9:$B$196,0),MATCH('7 Year Projection-Expanded'!S$8,Projection!$B$9:$BE$9,0)),0)</f>
        <v>0</v>
      </c>
      <c r="T133" s="28">
        <f t="array" ref="T133">IFERROR(INDEX(Projection!$B$9:$BE$196,MATCH('7 Year Projection-Expanded'!$A133,Projection!$B$9:$B$196,0),MATCH('7 Year Projection-Expanded'!T$8,Projection!$B$9:$BE$9,0)),0)</f>
        <v>0</v>
      </c>
      <c r="V133" s="572">
        <f>SUMIF(Projection!$F:$F,'7 Year Projection-Expanded'!$A133,Projection!BW:BW)</f>
        <v>0</v>
      </c>
      <c r="W133" s="29">
        <f>SUMIF(Projection!$F:$F,'7 Year Projection-Expanded'!$A133,Projection!BX:BX)</f>
        <v>0</v>
      </c>
      <c r="X133" s="228">
        <f>SUMIF(Projection!$F:$F,'7 Year Projection-Expanded'!$A133,Projection!BY:BY)</f>
        <v>0</v>
      </c>
      <c r="Y133" s="29">
        <f>SUMIF(Projection!$F:$F,'7 Year Projection-Expanded'!$A133,Projection!BZ:BZ)</f>
        <v>0</v>
      </c>
      <c r="Z133" s="228">
        <f>SUMIF(Projection!$F:$F,'7 Year Projection-Expanded'!$A133,Projection!CA:CA)</f>
        <v>0</v>
      </c>
      <c r="AA133" s="29">
        <f>SUMIF(Projection!$F:$F,'7 Year Projection-Expanded'!$A133,Projection!CB:CB)</f>
        <v>0</v>
      </c>
      <c r="AB133" s="228">
        <f>SUMIF(Projection!$F:$F,'7 Year Projection-Expanded'!$A133,Projection!CC:CC)</f>
        <v>0</v>
      </c>
      <c r="AC133" s="29">
        <f>SUMIF(Projection!$F:$F,'7 Year Projection-Expanded'!$A133,Projection!CD:CD)</f>
        <v>0</v>
      </c>
      <c r="AD133" s="228">
        <f>SUMIF(Projection!$F:$F,'7 Year Projection-Expanded'!$A133,Projection!CE:CE)</f>
        <v>0</v>
      </c>
      <c r="AE133" s="29">
        <f>SUMIF(Projection!$F:$F,'7 Year Projection-Expanded'!$A133,Projection!CF:CF)</f>
        <v>0</v>
      </c>
      <c r="AF133" s="228">
        <f>SUMIF(Projection!$F:$F,'7 Year Projection-Expanded'!$A133,Projection!CG:CG)</f>
        <v>0</v>
      </c>
      <c r="AG133" s="29">
        <f>SUMIF(Projection!$F:$F,'7 Year Projection-Expanded'!$A133,Projection!CH:CH)</f>
        <v>0</v>
      </c>
      <c r="AH133" s="228">
        <f>SUMIF(Projection!$F:$F,'7 Year Projection-Expanded'!$A133,Projection!CI:CI)</f>
        <v>0</v>
      </c>
      <c r="AI133" s="29">
        <f>SUMIF(Projection!$F:$F,'7 Year Projection-Expanded'!$A133,Projection!CJ:CJ)</f>
        <v>0</v>
      </c>
      <c r="AJ133" s="573">
        <f>SUMIF(Projection!$F:$F,'7 Year Projection-Expanded'!$A133,Projection!CK:CK)</f>
        <v>0</v>
      </c>
    </row>
    <row r="134" spans="1:36" ht="14.25" customHeight="1" x14ac:dyDescent="0.2">
      <c r="A134" s="11">
        <v>6280</v>
      </c>
      <c r="C134" s="9"/>
      <c r="E134" s="11" t="s">
        <v>266</v>
      </c>
      <c r="I134" s="228">
        <f t="array" ref="I134">IFERROR(INDEX(Projection!$B$9:$BE$196,MATCH('7 Year Projection-Expanded'!$A134,Projection!$B$9:$B$196,0),MATCH('7 Year Projection-Expanded'!I$8,Projection!$B$9:$BE$9,0)),0)</f>
        <v>2380.6575000000003</v>
      </c>
      <c r="J134" s="29">
        <f t="array" ref="J134">IFERROR(INDEX(Projection!$B$9:$BE$196,MATCH('7 Year Projection-Expanded'!$A134,Projection!$B$9:$B$196,0),MATCH('7 Year Projection-Expanded'!J$8,Projection!$B$9:$BE$9,0)),0)</f>
        <v>2380.6575000000003</v>
      </c>
      <c r="K134" s="228">
        <f t="array" ref="K134">IFERROR(INDEX(Projection!$B$9:$BE$196,MATCH('7 Year Projection-Expanded'!$A134,Projection!$B$9:$B$196,0),MATCH('7 Year Projection-Expanded'!K$8,Projection!$B$9:$BE$9,0)),0)</f>
        <v>2380.6575000000003</v>
      </c>
      <c r="L134" s="29">
        <f t="array" ref="L134">IFERROR(INDEX(Projection!$B$9:$BE$196,MATCH('7 Year Projection-Expanded'!$A134,Projection!$B$9:$B$196,0),MATCH('7 Year Projection-Expanded'!L$8,Projection!$B$9:$BE$9,0)),0)</f>
        <v>2380.6575000000003</v>
      </c>
      <c r="M134" s="228">
        <f t="array" ref="M134">IFERROR(INDEX(Projection!$B$9:$BE$196,MATCH('7 Year Projection-Expanded'!$A134,Projection!$B$9:$B$196,0),MATCH('7 Year Projection-Expanded'!M$8,Projection!$B$9:$BE$9,0)),0)</f>
        <v>2380.6575000000003</v>
      </c>
      <c r="N134" s="29">
        <f t="array" ref="N134">IFERROR(INDEX(Projection!$B$9:$BE$196,MATCH('7 Year Projection-Expanded'!$A134,Projection!$B$9:$B$196,0),MATCH('7 Year Projection-Expanded'!N$8,Projection!$B$9:$BE$9,0)),0)</f>
        <v>2380.6575000000003</v>
      </c>
      <c r="O134" s="228">
        <f t="array" ref="O134">IFERROR(INDEX(Projection!$B$9:$BE$196,MATCH('7 Year Projection-Expanded'!$A134,Projection!$B$9:$B$196,0),MATCH('7 Year Projection-Expanded'!O$8,Projection!$B$9:$BE$9,0)),0)</f>
        <v>2380.6575000000003</v>
      </c>
      <c r="P134" s="29">
        <f t="array" ref="P134">IFERROR(INDEX(Projection!$B$9:$BE$196,MATCH('7 Year Projection-Expanded'!$A134,Projection!$B$9:$B$196,0),MATCH('7 Year Projection-Expanded'!P$8,Projection!$B$9:$BE$9,0)),0)</f>
        <v>2380.6575000000003</v>
      </c>
      <c r="Q134" s="228">
        <f t="array" ref="Q134">IFERROR(INDEX(Projection!$B$9:$BE$196,MATCH('7 Year Projection-Expanded'!$A134,Projection!$B$9:$B$196,0),MATCH('7 Year Projection-Expanded'!Q$8,Projection!$B$9:$BE$9,0)),0)</f>
        <v>2380.6575000000003</v>
      </c>
      <c r="R134" s="29">
        <f t="array" ref="R134">IFERROR(INDEX(Projection!$B$9:$BE$196,MATCH('7 Year Projection-Expanded'!$A134,Projection!$B$9:$B$196,0),MATCH('7 Year Projection-Expanded'!R$8,Projection!$B$9:$BE$9,0)),0)</f>
        <v>2380.6575000000003</v>
      </c>
      <c r="S134" s="228">
        <f t="array" ref="S134">IFERROR(INDEX(Projection!$B$9:$BE$196,MATCH('7 Year Projection-Expanded'!$A134,Projection!$B$9:$B$196,0),MATCH('7 Year Projection-Expanded'!S$8,Projection!$B$9:$BE$9,0)),0)</f>
        <v>2380.6575000000003</v>
      </c>
      <c r="T134" s="28">
        <f t="array" ref="T134">IFERROR(INDEX(Projection!$B$9:$BE$196,MATCH('7 Year Projection-Expanded'!$A134,Projection!$B$9:$B$196,0),MATCH('7 Year Projection-Expanded'!T$8,Projection!$B$9:$BE$9,0)),0)</f>
        <v>2380.6575000000003</v>
      </c>
      <c r="V134" s="572">
        <f>SUMIF(Projection!$F:$F,'7 Year Projection-Expanded'!$A134,Projection!BW:BW)</f>
        <v>28567.89000000001</v>
      </c>
      <c r="W134" s="29">
        <f>SUMIF(Projection!$F:$F,'7 Year Projection-Expanded'!$A134,Projection!BX:BX)</f>
        <v>29282.08725</v>
      </c>
      <c r="X134" s="228">
        <f>SUMIF(Projection!$F:$F,'7 Year Projection-Expanded'!$A134,Projection!BY:BY)</f>
        <v>30014.139431250005</v>
      </c>
      <c r="Y134" s="29">
        <f>SUMIF(Projection!$F:$F,'7 Year Projection-Expanded'!$A134,Projection!BZ:BZ)</f>
        <v>30764.492917031239</v>
      </c>
      <c r="Z134" s="228">
        <f>SUMIF(Projection!$F:$F,'7 Year Projection-Expanded'!$A134,Projection!CA:CA)</f>
        <v>31533.605239957022</v>
      </c>
      <c r="AA134" s="29">
        <f>SUMIF(Projection!$F:$F,'7 Year Projection-Expanded'!$A134,Projection!CB:CB)</f>
        <v>31848.941292356591</v>
      </c>
      <c r="AB134" s="228">
        <f>SUMIF(Projection!$F:$F,'7 Year Projection-Expanded'!$A134,Projection!CC:CC)</f>
        <v>32167.430705280156</v>
      </c>
      <c r="AC134" s="29">
        <f>SUMIF(Projection!$F:$F,'7 Year Projection-Expanded'!$A134,Projection!CD:CD)</f>
        <v>32489.105012332959</v>
      </c>
      <c r="AD134" s="228">
        <f>SUMIF(Projection!$F:$F,'7 Year Projection-Expanded'!$A134,Projection!CE:CE)</f>
        <v>32813.996062456288</v>
      </c>
      <c r="AE134" s="29">
        <f>SUMIF(Projection!$F:$F,'7 Year Projection-Expanded'!$A134,Projection!CF:CF)</f>
        <v>33142.13602308085</v>
      </c>
      <c r="AF134" s="228">
        <f>SUMIF(Projection!$F:$F,'7 Year Projection-Expanded'!$A134,Projection!CG:CG)</f>
        <v>33473.557383311658</v>
      </c>
      <c r="AG134" s="29">
        <f>SUMIF(Projection!$F:$F,'7 Year Projection-Expanded'!$A134,Projection!CH:CH)</f>
        <v>33808.292957144775</v>
      </c>
      <c r="AH134" s="228">
        <f>SUMIF(Projection!$F:$F,'7 Year Projection-Expanded'!$A134,Projection!CI:CI)</f>
        <v>34146.375886716225</v>
      </c>
      <c r="AI134" s="29">
        <f>SUMIF(Projection!$F:$F,'7 Year Projection-Expanded'!$A134,Projection!CJ:CJ)</f>
        <v>34487.839645583386</v>
      </c>
      <c r="AJ134" s="573">
        <f>SUMIF(Projection!$F:$F,'7 Year Projection-Expanded'!$A134,Projection!CK:CK)</f>
        <v>34832.718042039218</v>
      </c>
    </row>
    <row r="135" spans="1:36" ht="14.25" customHeight="1" x14ac:dyDescent="0.2">
      <c r="A135" s="283" t="s">
        <v>381</v>
      </c>
      <c r="B135" s="285"/>
      <c r="C135" s="597"/>
      <c r="D135" s="286" t="s">
        <v>479</v>
      </c>
      <c r="E135" s="285"/>
      <c r="F135" s="285"/>
      <c r="G135" s="285"/>
      <c r="H135" s="285"/>
      <c r="I135" s="606">
        <f t="shared" ref="I135:T135" si="34">SUM(I130:I134)</f>
        <v>12970.095000000001</v>
      </c>
      <c r="J135" s="289">
        <f t="shared" si="34"/>
        <v>12970.095000000001</v>
      </c>
      <c r="K135" s="606">
        <f t="shared" si="34"/>
        <v>12970.095000000001</v>
      </c>
      <c r="L135" s="289">
        <f t="shared" si="34"/>
        <v>12970.095000000001</v>
      </c>
      <c r="M135" s="606">
        <f t="shared" si="34"/>
        <v>12970.095000000001</v>
      </c>
      <c r="N135" s="289">
        <f t="shared" si="34"/>
        <v>12970.095000000001</v>
      </c>
      <c r="O135" s="606">
        <f t="shared" si="34"/>
        <v>12970.095000000001</v>
      </c>
      <c r="P135" s="289">
        <f t="shared" si="34"/>
        <v>12970.095000000001</v>
      </c>
      <c r="Q135" s="606">
        <f t="shared" si="34"/>
        <v>12970.095000000001</v>
      </c>
      <c r="R135" s="289">
        <f t="shared" si="34"/>
        <v>12970.095000000001</v>
      </c>
      <c r="S135" s="606">
        <f t="shared" si="34"/>
        <v>12970.095000000001</v>
      </c>
      <c r="T135" s="607">
        <f t="shared" si="34"/>
        <v>12970.095000000001</v>
      </c>
      <c r="U135" s="285"/>
      <c r="V135" s="608">
        <f t="shared" ref="V135:AJ135" si="35">SUM(V130:V134)</f>
        <v>155641.14000000001</v>
      </c>
      <c r="W135" s="289">
        <f t="shared" si="35"/>
        <v>198713.08725000001</v>
      </c>
      <c r="X135" s="606">
        <f t="shared" si="35"/>
        <v>210872.2444070222</v>
      </c>
      <c r="Y135" s="289">
        <f t="shared" si="35"/>
        <v>234559.93250596669</v>
      </c>
      <c r="Z135" s="606">
        <f t="shared" si="35"/>
        <v>261175.4075955172</v>
      </c>
      <c r="AA135" s="289">
        <f t="shared" si="35"/>
        <v>270676.41574213922</v>
      </c>
      <c r="AB135" s="606">
        <f t="shared" si="35"/>
        <v>280548.00413305406</v>
      </c>
      <c r="AC135" s="289">
        <f t="shared" si="35"/>
        <v>290804.90137721784</v>
      </c>
      <c r="AD135" s="606">
        <f t="shared" si="35"/>
        <v>301462.42428193655</v>
      </c>
      <c r="AE135" s="289">
        <f t="shared" si="35"/>
        <v>312536.50137134036</v>
      </c>
      <c r="AF135" s="606">
        <f t="shared" si="35"/>
        <v>324043.69734550157</v>
      </c>
      <c r="AG135" s="289">
        <f t="shared" si="35"/>
        <v>336001.23851782229</v>
      </c>
      <c r="AH135" s="606">
        <f t="shared" si="35"/>
        <v>348427.03926982085</v>
      </c>
      <c r="AI135" s="289">
        <f t="shared" si="35"/>
        <v>361339.72956401214</v>
      </c>
      <c r="AJ135" s="609">
        <f t="shared" si="35"/>
        <v>374758.68355720514</v>
      </c>
    </row>
    <row r="136" spans="1:36" ht="6" customHeight="1" x14ac:dyDescent="0.2">
      <c r="C136" s="9"/>
      <c r="I136" s="197"/>
      <c r="K136" s="197"/>
      <c r="M136" s="197"/>
      <c r="O136" s="197"/>
      <c r="Q136" s="197"/>
      <c r="S136" s="197"/>
      <c r="T136" s="20"/>
      <c r="V136" s="610"/>
      <c r="X136" s="197"/>
      <c r="Z136" s="197"/>
      <c r="AB136" s="197"/>
      <c r="AD136" s="197"/>
      <c r="AF136" s="197"/>
      <c r="AH136" s="197"/>
      <c r="AJ136" s="611"/>
    </row>
    <row r="137" spans="1:36" ht="14.25" customHeight="1" x14ac:dyDescent="0.2">
      <c r="A137" s="285"/>
      <c r="B137" s="285"/>
      <c r="C137" s="597"/>
      <c r="D137" s="286" t="s">
        <v>480</v>
      </c>
      <c r="E137" s="285"/>
      <c r="F137" s="285"/>
      <c r="G137" s="285"/>
      <c r="H137" s="285"/>
      <c r="I137" s="598"/>
      <c r="J137" s="285"/>
      <c r="K137" s="598"/>
      <c r="L137" s="285"/>
      <c r="M137" s="598"/>
      <c r="N137" s="285"/>
      <c r="O137" s="598"/>
      <c r="P137" s="285"/>
      <c r="Q137" s="598"/>
      <c r="R137" s="285"/>
      <c r="S137" s="598"/>
      <c r="T137" s="599"/>
      <c r="U137" s="285"/>
      <c r="V137" s="600"/>
      <c r="W137" s="285"/>
      <c r="X137" s="598"/>
      <c r="Y137" s="285"/>
      <c r="Z137" s="598"/>
      <c r="AA137" s="285"/>
      <c r="AB137" s="598"/>
      <c r="AC137" s="285"/>
      <c r="AD137" s="598"/>
      <c r="AE137" s="285"/>
      <c r="AF137" s="598"/>
      <c r="AG137" s="285"/>
      <c r="AH137" s="598"/>
      <c r="AI137" s="285"/>
      <c r="AJ137" s="613"/>
    </row>
    <row r="138" spans="1:36" ht="14.25" customHeight="1" x14ac:dyDescent="0.2">
      <c r="A138" s="11">
        <v>7030</v>
      </c>
      <c r="C138" s="9"/>
      <c r="E138" s="11" t="s">
        <v>481</v>
      </c>
      <c r="I138" s="228">
        <f t="array" ref="I138">IFERROR(INDEX(Projection!$B$9:$BE$196,MATCH('7 Year Projection-Expanded'!$A138,Projection!$B$9:$B$196,0),MATCH('7 Year Projection-Expanded'!I$8,Projection!$B$9:$BE$9,0)),0)</f>
        <v>0</v>
      </c>
      <c r="J138" s="29">
        <f t="array" ref="J138">IFERROR(INDEX(Projection!$B$9:$BE$196,MATCH('7 Year Projection-Expanded'!$A138,Projection!$B$9:$B$196,0),MATCH('7 Year Projection-Expanded'!J$8,Projection!$B$9:$BE$9,0)),0)</f>
        <v>0</v>
      </c>
      <c r="K138" s="228">
        <f t="array" ref="K138">IFERROR(INDEX(Projection!$B$9:$BE$196,MATCH('7 Year Projection-Expanded'!$A138,Projection!$B$9:$B$196,0),MATCH('7 Year Projection-Expanded'!K$8,Projection!$B$9:$BE$9,0)),0)</f>
        <v>0</v>
      </c>
      <c r="L138" s="29">
        <f t="array" ref="L138">IFERROR(INDEX(Projection!$B$9:$BE$196,MATCH('7 Year Projection-Expanded'!$A138,Projection!$B$9:$B$196,0),MATCH('7 Year Projection-Expanded'!L$8,Projection!$B$9:$BE$9,0)),0)</f>
        <v>0</v>
      </c>
      <c r="M138" s="228">
        <f t="array" ref="M138">IFERROR(INDEX(Projection!$B$9:$BE$196,MATCH('7 Year Projection-Expanded'!$A138,Projection!$B$9:$B$196,0),MATCH('7 Year Projection-Expanded'!M$8,Projection!$B$9:$BE$9,0)),0)</f>
        <v>0</v>
      </c>
      <c r="N138" s="29">
        <f t="array" ref="N138">IFERROR(INDEX(Projection!$B$9:$BE$196,MATCH('7 Year Projection-Expanded'!$A138,Projection!$B$9:$B$196,0),MATCH('7 Year Projection-Expanded'!N$8,Projection!$B$9:$BE$9,0)),0)</f>
        <v>0</v>
      </c>
      <c r="O138" s="228">
        <f t="array" ref="O138">IFERROR(INDEX(Projection!$B$9:$BE$196,MATCH('7 Year Projection-Expanded'!$A138,Projection!$B$9:$B$196,0),MATCH('7 Year Projection-Expanded'!O$8,Projection!$B$9:$BE$9,0)),0)</f>
        <v>0</v>
      </c>
      <c r="P138" s="29">
        <f t="array" ref="P138">IFERROR(INDEX(Projection!$B$9:$BE$196,MATCH('7 Year Projection-Expanded'!$A138,Projection!$B$9:$B$196,0),MATCH('7 Year Projection-Expanded'!P$8,Projection!$B$9:$BE$9,0)),0)</f>
        <v>0</v>
      </c>
      <c r="Q138" s="228">
        <f t="array" ref="Q138">IFERROR(INDEX(Projection!$B$9:$BE$196,MATCH('7 Year Projection-Expanded'!$A138,Projection!$B$9:$B$196,0),MATCH('7 Year Projection-Expanded'!Q$8,Projection!$B$9:$BE$9,0)),0)</f>
        <v>0</v>
      </c>
      <c r="R138" s="29">
        <f t="array" ref="R138">IFERROR(INDEX(Projection!$B$9:$BE$196,MATCH('7 Year Projection-Expanded'!$A138,Projection!$B$9:$B$196,0),MATCH('7 Year Projection-Expanded'!R$8,Projection!$B$9:$BE$9,0)),0)</f>
        <v>0</v>
      </c>
      <c r="S138" s="228">
        <f t="array" ref="S138">IFERROR(INDEX(Projection!$B$9:$BE$196,MATCH('7 Year Projection-Expanded'!$A138,Projection!$B$9:$B$196,0),MATCH('7 Year Projection-Expanded'!S$8,Projection!$B$9:$BE$9,0)),0)</f>
        <v>0</v>
      </c>
      <c r="T138" s="28">
        <f t="array" ref="T138">IFERROR(INDEX(Projection!$B$9:$BE$196,MATCH('7 Year Projection-Expanded'!$A138,Projection!$B$9:$B$196,0),MATCH('7 Year Projection-Expanded'!T$8,Projection!$B$9:$BE$9,0)),0)</f>
        <v>0</v>
      </c>
      <c r="V138" s="572">
        <f>SUMIF(Projection!$F:$F,'7 Year Projection-Expanded'!$A138,Projection!BW:BW)</f>
        <v>0</v>
      </c>
      <c r="W138" s="29">
        <f>SUMIF(Projection!$F:$F,'7 Year Projection-Expanded'!$A138,Projection!BX:BX)</f>
        <v>0</v>
      </c>
      <c r="X138" s="228">
        <f>SUMIF(Projection!$F:$F,'7 Year Projection-Expanded'!$A138,Projection!BY:BY)</f>
        <v>0</v>
      </c>
      <c r="Y138" s="29">
        <f>SUMIF(Projection!$F:$F,'7 Year Projection-Expanded'!$A138,Projection!BZ:BZ)</f>
        <v>0</v>
      </c>
      <c r="Z138" s="228">
        <f>SUMIF(Projection!$F:$F,'7 Year Projection-Expanded'!$A138,Projection!CA:CA)</f>
        <v>0</v>
      </c>
      <c r="AA138" s="29">
        <f>SUMIF(Projection!$F:$F,'7 Year Projection-Expanded'!$A138,Projection!CB:CB)</f>
        <v>0</v>
      </c>
      <c r="AB138" s="228">
        <f>SUMIF(Projection!$F:$F,'7 Year Projection-Expanded'!$A138,Projection!CC:CC)</f>
        <v>0</v>
      </c>
      <c r="AC138" s="29">
        <f>SUMIF(Projection!$F:$F,'7 Year Projection-Expanded'!$A138,Projection!CD:CD)</f>
        <v>0</v>
      </c>
      <c r="AD138" s="228">
        <f>SUMIF(Projection!$F:$F,'7 Year Projection-Expanded'!$A138,Projection!CE:CE)</f>
        <v>0</v>
      </c>
      <c r="AE138" s="29">
        <f>SUMIF(Projection!$F:$F,'7 Year Projection-Expanded'!$A138,Projection!CF:CF)</f>
        <v>0</v>
      </c>
      <c r="AF138" s="228">
        <f>SUMIF(Projection!$F:$F,'7 Year Projection-Expanded'!$A138,Projection!CG:CG)</f>
        <v>0</v>
      </c>
      <c r="AG138" s="29">
        <f>SUMIF(Projection!$F:$F,'7 Year Projection-Expanded'!$A138,Projection!CH:CH)</f>
        <v>0</v>
      </c>
      <c r="AH138" s="228">
        <f>SUMIF(Projection!$F:$F,'7 Year Projection-Expanded'!$A138,Projection!CI:CI)</f>
        <v>0</v>
      </c>
      <c r="AI138" s="29">
        <f>SUMIF(Projection!$F:$F,'7 Year Projection-Expanded'!$A138,Projection!CJ:CJ)</f>
        <v>0</v>
      </c>
      <c r="AJ138" s="573">
        <f>SUMIF(Projection!$F:$F,'7 Year Projection-Expanded'!$A138,Projection!CK:CK)</f>
        <v>0</v>
      </c>
    </row>
    <row r="139" spans="1:36" ht="14.25" customHeight="1" x14ac:dyDescent="0.2">
      <c r="A139" s="11">
        <v>6172</v>
      </c>
      <c r="C139" s="9"/>
      <c r="E139" s="11" t="s">
        <v>260</v>
      </c>
      <c r="I139" s="228">
        <f t="array" ref="I139">IFERROR(INDEX(Projection!$B$9:$BE$196,MATCH('7 Year Projection-Expanded'!$A139,Projection!$B$9:$B$196,0),MATCH('7 Year Projection-Expanded'!I$8,Projection!$B$9:$BE$9,0)),0)</f>
        <v>2909.6925000000001</v>
      </c>
      <c r="J139" s="29">
        <f t="array" ref="J139">IFERROR(INDEX(Projection!$B$9:$BE$196,MATCH('7 Year Projection-Expanded'!$A139,Projection!$B$9:$B$196,0),MATCH('7 Year Projection-Expanded'!J$8,Projection!$B$9:$BE$9,0)),0)</f>
        <v>4655.5080000000007</v>
      </c>
      <c r="K139" s="228">
        <f t="array" ref="K139">IFERROR(INDEX(Projection!$B$9:$BE$196,MATCH('7 Year Projection-Expanded'!$A139,Projection!$B$9:$B$196,0),MATCH('7 Year Projection-Expanded'!K$8,Projection!$B$9:$BE$9,0)),0)</f>
        <v>2909.6925000000001</v>
      </c>
      <c r="L139" s="29">
        <f t="array" ref="L139">IFERROR(INDEX(Projection!$B$9:$BE$196,MATCH('7 Year Projection-Expanded'!$A139,Projection!$B$9:$B$196,0),MATCH('7 Year Projection-Expanded'!L$8,Projection!$B$9:$BE$9,0)),0)</f>
        <v>0</v>
      </c>
      <c r="M139" s="228">
        <f t="array" ref="M139">IFERROR(INDEX(Projection!$B$9:$BE$196,MATCH('7 Year Projection-Expanded'!$A139,Projection!$B$9:$B$196,0),MATCH('7 Year Projection-Expanded'!M$8,Projection!$B$9:$BE$9,0)),0)</f>
        <v>0</v>
      </c>
      <c r="N139" s="29">
        <f t="array" ref="N139">IFERROR(INDEX(Projection!$B$9:$BE$196,MATCH('7 Year Projection-Expanded'!$A139,Projection!$B$9:$B$196,0),MATCH('7 Year Projection-Expanded'!N$8,Projection!$B$9:$BE$9,0)),0)</f>
        <v>0</v>
      </c>
      <c r="O139" s="228">
        <f t="array" ref="O139">IFERROR(INDEX(Projection!$B$9:$BE$196,MATCH('7 Year Projection-Expanded'!$A139,Projection!$B$9:$B$196,0),MATCH('7 Year Projection-Expanded'!O$8,Projection!$B$9:$BE$9,0)),0)</f>
        <v>0</v>
      </c>
      <c r="P139" s="29">
        <f t="array" ref="P139">IFERROR(INDEX(Projection!$B$9:$BE$196,MATCH('7 Year Projection-Expanded'!$A139,Projection!$B$9:$B$196,0),MATCH('7 Year Projection-Expanded'!P$8,Projection!$B$9:$BE$9,0)),0)</f>
        <v>0</v>
      </c>
      <c r="Q139" s="228">
        <f t="array" ref="Q139">IFERROR(INDEX(Projection!$B$9:$BE$196,MATCH('7 Year Projection-Expanded'!$A139,Projection!$B$9:$B$196,0),MATCH('7 Year Projection-Expanded'!Q$8,Projection!$B$9:$BE$9,0)),0)</f>
        <v>0</v>
      </c>
      <c r="R139" s="29">
        <f t="array" ref="R139">IFERROR(INDEX(Projection!$B$9:$BE$196,MATCH('7 Year Projection-Expanded'!$A139,Projection!$B$9:$B$196,0),MATCH('7 Year Projection-Expanded'!R$8,Projection!$B$9:$BE$9,0)),0)</f>
        <v>0</v>
      </c>
      <c r="S139" s="228">
        <f t="array" ref="S139">IFERROR(INDEX(Projection!$B$9:$BE$196,MATCH('7 Year Projection-Expanded'!$A139,Projection!$B$9:$B$196,0),MATCH('7 Year Projection-Expanded'!S$8,Projection!$B$9:$BE$9,0)),0)</f>
        <v>0</v>
      </c>
      <c r="T139" s="28">
        <f t="array" ref="T139">IFERROR(INDEX(Projection!$B$9:$BE$196,MATCH('7 Year Projection-Expanded'!$A139,Projection!$B$9:$B$196,0),MATCH('7 Year Projection-Expanded'!T$8,Projection!$B$9:$BE$9,0)),0)</f>
        <v>1163.8770000000002</v>
      </c>
      <c r="V139" s="572">
        <f>SUMIF(Projection!$F:$F,'7 Year Projection-Expanded'!$A139,Projection!BW:BW)</f>
        <v>11638.77</v>
      </c>
      <c r="W139" s="29">
        <f>SUMIF(Projection!$F:$F,'7 Year Projection-Expanded'!$A139,Projection!BX:BX)</f>
        <v>11929.739250000001</v>
      </c>
      <c r="X139" s="228">
        <f>SUMIF(Projection!$F:$F,'7 Year Projection-Expanded'!$A139,Projection!BY:BY)</f>
        <v>12227.982731249998</v>
      </c>
      <c r="Y139" s="29">
        <f>SUMIF(Projection!$F:$F,'7 Year Projection-Expanded'!$A139,Projection!BZ:BZ)</f>
        <v>12533.682299531247</v>
      </c>
      <c r="Z139" s="228">
        <f>SUMIF(Projection!$F:$F,'7 Year Projection-Expanded'!$A139,Projection!CA:CA)</f>
        <v>12847.024357019529</v>
      </c>
      <c r="AA139" s="29">
        <f>SUMIF(Projection!$F:$F,'7 Year Projection-Expanded'!$A139,Projection!CB:CB)</f>
        <v>13168.199965945016</v>
      </c>
      <c r="AB139" s="228">
        <f>SUMIF(Projection!$F:$F,'7 Year Projection-Expanded'!$A139,Projection!CC:CC)</f>
        <v>13497.404965093639</v>
      </c>
      <c r="AC139" s="29">
        <f>SUMIF(Projection!$F:$F,'7 Year Projection-Expanded'!$A139,Projection!CD:CD)</f>
        <v>13834.840089220979</v>
      </c>
      <c r="AD139" s="228">
        <f>SUMIF(Projection!$F:$F,'7 Year Projection-Expanded'!$A139,Projection!CE:CE)</f>
        <v>14180.711091451503</v>
      </c>
      <c r="AE139" s="29">
        <f>SUMIF(Projection!$F:$F,'7 Year Projection-Expanded'!$A139,Projection!CF:CF)</f>
        <v>14535.22886873779</v>
      </c>
      <c r="AF139" s="228">
        <f>SUMIF(Projection!$F:$F,'7 Year Projection-Expanded'!$A139,Projection!CG:CG)</f>
        <v>14898.609590456233</v>
      </c>
      <c r="AG139" s="29">
        <f>SUMIF(Projection!$F:$F,'7 Year Projection-Expanded'!$A139,Projection!CH:CH)</f>
        <v>15271.074830217638</v>
      </c>
      <c r="AH139" s="228">
        <f>SUMIF(Projection!$F:$F,'7 Year Projection-Expanded'!$A139,Projection!CI:CI)</f>
        <v>15652.851700973077</v>
      </c>
      <c r="AI139" s="29">
        <f>SUMIF(Projection!$F:$F,'7 Year Projection-Expanded'!$A139,Projection!CJ:CJ)</f>
        <v>16044.172993497403</v>
      </c>
      <c r="AJ139" s="573">
        <f>SUMIF(Projection!$F:$F,'7 Year Projection-Expanded'!$A139,Projection!CK:CK)</f>
        <v>16445.277318334836</v>
      </c>
    </row>
    <row r="140" spans="1:36" ht="14.25" customHeight="1" x14ac:dyDescent="0.2">
      <c r="A140" s="11">
        <v>7530</v>
      </c>
      <c r="C140" s="9"/>
      <c r="E140" s="11" t="s">
        <v>283</v>
      </c>
      <c r="I140" s="228">
        <f t="array" ref="I140">IFERROR(INDEX(Projection!$B$9:$BE$196,MATCH('7 Year Projection-Expanded'!$A140,Projection!$B$9:$B$196,0),MATCH('7 Year Projection-Expanded'!I$8,Projection!$B$9:$BE$9,0)),0)</f>
        <v>0</v>
      </c>
      <c r="J140" s="29">
        <f t="array" ref="J140">IFERROR(INDEX(Projection!$B$9:$BE$196,MATCH('7 Year Projection-Expanded'!$A140,Projection!$B$9:$B$196,0),MATCH('7 Year Projection-Expanded'!J$8,Projection!$B$9:$BE$9,0)),0)</f>
        <v>0</v>
      </c>
      <c r="K140" s="228">
        <f t="array" ref="K140">IFERROR(INDEX(Projection!$B$9:$BE$196,MATCH('7 Year Projection-Expanded'!$A140,Projection!$B$9:$B$196,0),MATCH('7 Year Projection-Expanded'!K$8,Projection!$B$9:$BE$9,0)),0)</f>
        <v>0</v>
      </c>
      <c r="L140" s="29">
        <f t="array" ref="L140">IFERROR(INDEX(Projection!$B$9:$BE$196,MATCH('7 Year Projection-Expanded'!$A140,Projection!$B$9:$B$196,0),MATCH('7 Year Projection-Expanded'!L$8,Projection!$B$9:$BE$9,0)),0)</f>
        <v>0</v>
      </c>
      <c r="M140" s="228">
        <f t="array" ref="M140">IFERROR(INDEX(Projection!$B$9:$BE$196,MATCH('7 Year Projection-Expanded'!$A140,Projection!$B$9:$B$196,0),MATCH('7 Year Projection-Expanded'!M$8,Projection!$B$9:$BE$9,0)),0)</f>
        <v>0</v>
      </c>
      <c r="N140" s="29">
        <f t="array" ref="N140">IFERROR(INDEX(Projection!$B$9:$BE$196,MATCH('7 Year Projection-Expanded'!$A140,Projection!$B$9:$B$196,0),MATCH('7 Year Projection-Expanded'!N$8,Projection!$B$9:$BE$9,0)),0)</f>
        <v>0</v>
      </c>
      <c r="O140" s="228">
        <f t="array" ref="O140">IFERROR(INDEX(Projection!$B$9:$BE$196,MATCH('7 Year Projection-Expanded'!$A140,Projection!$B$9:$B$196,0),MATCH('7 Year Projection-Expanded'!O$8,Projection!$B$9:$BE$9,0)),0)</f>
        <v>0</v>
      </c>
      <c r="P140" s="29">
        <f t="array" ref="P140">IFERROR(INDEX(Projection!$B$9:$BE$196,MATCH('7 Year Projection-Expanded'!$A140,Projection!$B$9:$B$196,0),MATCH('7 Year Projection-Expanded'!P$8,Projection!$B$9:$BE$9,0)),0)</f>
        <v>0</v>
      </c>
      <c r="Q140" s="228">
        <f t="array" ref="Q140">IFERROR(INDEX(Projection!$B$9:$BE$196,MATCH('7 Year Projection-Expanded'!$A140,Projection!$B$9:$B$196,0),MATCH('7 Year Projection-Expanded'!Q$8,Projection!$B$9:$BE$9,0)),0)</f>
        <v>0</v>
      </c>
      <c r="R140" s="29">
        <f t="array" ref="R140">IFERROR(INDEX(Projection!$B$9:$BE$196,MATCH('7 Year Projection-Expanded'!$A140,Projection!$B$9:$B$196,0),MATCH('7 Year Projection-Expanded'!R$8,Projection!$B$9:$BE$9,0)),0)</f>
        <v>0</v>
      </c>
      <c r="S140" s="228">
        <f t="array" ref="S140">IFERROR(INDEX(Projection!$B$9:$BE$196,MATCH('7 Year Projection-Expanded'!$A140,Projection!$B$9:$B$196,0),MATCH('7 Year Projection-Expanded'!S$8,Projection!$B$9:$BE$9,0)),0)</f>
        <v>0</v>
      </c>
      <c r="T140" s="28">
        <f t="array" ref="T140">IFERROR(INDEX(Projection!$B$9:$BE$196,MATCH('7 Year Projection-Expanded'!$A140,Projection!$B$9:$B$196,0),MATCH('7 Year Projection-Expanded'!T$8,Projection!$B$9:$BE$9,0)),0)</f>
        <v>0</v>
      </c>
      <c r="V140" s="572">
        <f>SUMIF(Projection!$F:$F,'7 Year Projection-Expanded'!$A140,Projection!BW:BW)</f>
        <v>0</v>
      </c>
      <c r="W140" s="29">
        <f>SUMIF(Projection!$F:$F,'7 Year Projection-Expanded'!$A140,Projection!BX:BX)</f>
        <v>0</v>
      </c>
      <c r="X140" s="228">
        <f>SUMIF(Projection!$F:$F,'7 Year Projection-Expanded'!$A140,Projection!BY:BY)</f>
        <v>0</v>
      </c>
      <c r="Y140" s="29">
        <f>SUMIF(Projection!$F:$F,'7 Year Projection-Expanded'!$A140,Projection!BZ:BZ)</f>
        <v>0</v>
      </c>
      <c r="Z140" s="228">
        <f>SUMIF(Projection!$F:$F,'7 Year Projection-Expanded'!$A140,Projection!CA:CA)</f>
        <v>0</v>
      </c>
      <c r="AA140" s="29">
        <f>SUMIF(Projection!$F:$F,'7 Year Projection-Expanded'!$A140,Projection!CB:CB)</f>
        <v>0</v>
      </c>
      <c r="AB140" s="228">
        <f>SUMIF(Projection!$F:$F,'7 Year Projection-Expanded'!$A140,Projection!CC:CC)</f>
        <v>0</v>
      </c>
      <c r="AC140" s="29">
        <f>SUMIF(Projection!$F:$F,'7 Year Projection-Expanded'!$A140,Projection!CD:CD)</f>
        <v>0</v>
      </c>
      <c r="AD140" s="228">
        <f>SUMIF(Projection!$F:$F,'7 Year Projection-Expanded'!$A140,Projection!CE:CE)</f>
        <v>0</v>
      </c>
      <c r="AE140" s="29">
        <f>SUMIF(Projection!$F:$F,'7 Year Projection-Expanded'!$A140,Projection!CF:CF)</f>
        <v>0</v>
      </c>
      <c r="AF140" s="228">
        <f>SUMIF(Projection!$F:$F,'7 Year Projection-Expanded'!$A140,Projection!CG:CG)</f>
        <v>0</v>
      </c>
      <c r="AG140" s="29">
        <f>SUMIF(Projection!$F:$F,'7 Year Projection-Expanded'!$A140,Projection!CH:CH)</f>
        <v>0</v>
      </c>
      <c r="AH140" s="228">
        <f>SUMIF(Projection!$F:$F,'7 Year Projection-Expanded'!$A140,Projection!CI:CI)</f>
        <v>0</v>
      </c>
      <c r="AI140" s="29">
        <f>SUMIF(Projection!$F:$F,'7 Year Projection-Expanded'!$A140,Projection!CJ:CJ)</f>
        <v>0</v>
      </c>
      <c r="AJ140" s="573">
        <f>SUMIF(Projection!$F:$F,'7 Year Projection-Expanded'!$A140,Projection!CK:CK)</f>
        <v>0</v>
      </c>
    </row>
    <row r="141" spans="1:36" ht="14.25" customHeight="1" x14ac:dyDescent="0.2">
      <c r="A141" s="11">
        <v>7550</v>
      </c>
      <c r="C141" s="9"/>
      <c r="E141" s="11" t="s">
        <v>285</v>
      </c>
      <c r="I141" s="228">
        <f t="array" ref="I141">IFERROR(INDEX(Projection!$B$9:$BE$196,MATCH('7 Year Projection-Expanded'!$A141,Projection!$B$9:$B$196,0),MATCH('7 Year Projection-Expanded'!I$8,Projection!$B$9:$BE$9,0)),0)</f>
        <v>0</v>
      </c>
      <c r="J141" s="29">
        <f t="array" ref="J141">IFERROR(INDEX(Projection!$B$9:$BE$196,MATCH('7 Year Projection-Expanded'!$A141,Projection!$B$9:$B$196,0),MATCH('7 Year Projection-Expanded'!J$8,Projection!$B$9:$BE$9,0)),0)</f>
        <v>0</v>
      </c>
      <c r="K141" s="228">
        <f t="array" ref="K141">IFERROR(INDEX(Projection!$B$9:$BE$196,MATCH('7 Year Projection-Expanded'!$A141,Projection!$B$9:$B$196,0),MATCH('7 Year Projection-Expanded'!K$8,Projection!$B$9:$BE$9,0)),0)</f>
        <v>0</v>
      </c>
      <c r="L141" s="29">
        <f t="array" ref="L141">IFERROR(INDEX(Projection!$B$9:$BE$196,MATCH('7 Year Projection-Expanded'!$A141,Projection!$B$9:$B$196,0),MATCH('7 Year Projection-Expanded'!L$8,Projection!$B$9:$BE$9,0)),0)</f>
        <v>0</v>
      </c>
      <c r="M141" s="228">
        <f t="array" ref="M141">IFERROR(INDEX(Projection!$B$9:$BE$196,MATCH('7 Year Projection-Expanded'!$A141,Projection!$B$9:$B$196,0),MATCH('7 Year Projection-Expanded'!M$8,Projection!$B$9:$BE$9,0)),0)</f>
        <v>0</v>
      </c>
      <c r="N141" s="29">
        <f t="array" ref="N141">IFERROR(INDEX(Projection!$B$9:$BE$196,MATCH('7 Year Projection-Expanded'!$A141,Projection!$B$9:$B$196,0),MATCH('7 Year Projection-Expanded'!N$8,Projection!$B$9:$BE$9,0)),0)</f>
        <v>0</v>
      </c>
      <c r="O141" s="228">
        <f t="array" ref="O141">IFERROR(INDEX(Projection!$B$9:$BE$196,MATCH('7 Year Projection-Expanded'!$A141,Projection!$B$9:$B$196,0),MATCH('7 Year Projection-Expanded'!O$8,Projection!$B$9:$BE$9,0)),0)</f>
        <v>0</v>
      </c>
      <c r="P141" s="29">
        <f t="array" ref="P141">IFERROR(INDEX(Projection!$B$9:$BE$196,MATCH('7 Year Projection-Expanded'!$A141,Projection!$B$9:$B$196,0),MATCH('7 Year Projection-Expanded'!P$8,Projection!$B$9:$BE$9,0)),0)</f>
        <v>0</v>
      </c>
      <c r="Q141" s="228">
        <f t="array" ref="Q141">IFERROR(INDEX(Projection!$B$9:$BE$196,MATCH('7 Year Projection-Expanded'!$A141,Projection!$B$9:$B$196,0),MATCH('7 Year Projection-Expanded'!Q$8,Projection!$B$9:$BE$9,0)),0)</f>
        <v>0</v>
      </c>
      <c r="R141" s="29">
        <f t="array" ref="R141">IFERROR(INDEX(Projection!$B$9:$BE$196,MATCH('7 Year Projection-Expanded'!$A141,Projection!$B$9:$B$196,0),MATCH('7 Year Projection-Expanded'!R$8,Projection!$B$9:$BE$9,0)),0)</f>
        <v>0</v>
      </c>
      <c r="S141" s="228">
        <f t="array" ref="S141">IFERROR(INDEX(Projection!$B$9:$BE$196,MATCH('7 Year Projection-Expanded'!$A141,Projection!$B$9:$B$196,0),MATCH('7 Year Projection-Expanded'!S$8,Projection!$B$9:$BE$9,0)),0)</f>
        <v>0</v>
      </c>
      <c r="T141" s="28">
        <f t="array" ref="T141">IFERROR(INDEX(Projection!$B$9:$BE$196,MATCH('7 Year Projection-Expanded'!$A141,Projection!$B$9:$B$196,0),MATCH('7 Year Projection-Expanded'!T$8,Projection!$B$9:$BE$9,0)),0)</f>
        <v>0</v>
      </c>
      <c r="V141" s="572">
        <f>SUMIF(Projection!$F:$F,'7 Year Projection-Expanded'!$A141,Projection!BW:BW)</f>
        <v>0</v>
      </c>
      <c r="W141" s="29">
        <f>SUMIF(Projection!$F:$F,'7 Year Projection-Expanded'!$A141,Projection!BX:BX)</f>
        <v>0</v>
      </c>
      <c r="X141" s="228">
        <f>SUMIF(Projection!$F:$F,'7 Year Projection-Expanded'!$A141,Projection!BY:BY)</f>
        <v>0</v>
      </c>
      <c r="Y141" s="29">
        <f>SUMIF(Projection!$F:$F,'7 Year Projection-Expanded'!$A141,Projection!BZ:BZ)</f>
        <v>0</v>
      </c>
      <c r="Z141" s="228">
        <f>SUMIF(Projection!$F:$F,'7 Year Projection-Expanded'!$A141,Projection!CA:CA)</f>
        <v>0</v>
      </c>
      <c r="AA141" s="29">
        <f>SUMIF(Projection!$F:$F,'7 Year Projection-Expanded'!$A141,Projection!CB:CB)</f>
        <v>0</v>
      </c>
      <c r="AB141" s="228">
        <f>SUMIF(Projection!$F:$F,'7 Year Projection-Expanded'!$A141,Projection!CC:CC)</f>
        <v>0</v>
      </c>
      <c r="AC141" s="29">
        <f>SUMIF(Projection!$F:$F,'7 Year Projection-Expanded'!$A141,Projection!CD:CD)</f>
        <v>0</v>
      </c>
      <c r="AD141" s="228">
        <f>SUMIF(Projection!$F:$F,'7 Year Projection-Expanded'!$A141,Projection!CE:CE)</f>
        <v>0</v>
      </c>
      <c r="AE141" s="29">
        <f>SUMIF(Projection!$F:$F,'7 Year Projection-Expanded'!$A141,Projection!CF:CF)</f>
        <v>0</v>
      </c>
      <c r="AF141" s="228">
        <f>SUMIF(Projection!$F:$F,'7 Year Projection-Expanded'!$A141,Projection!CG:CG)</f>
        <v>0</v>
      </c>
      <c r="AG141" s="29">
        <f>SUMIF(Projection!$F:$F,'7 Year Projection-Expanded'!$A141,Projection!CH:CH)</f>
        <v>0</v>
      </c>
      <c r="AH141" s="228">
        <f>SUMIF(Projection!$F:$F,'7 Year Projection-Expanded'!$A141,Projection!CI:CI)</f>
        <v>0</v>
      </c>
      <c r="AI141" s="29">
        <f>SUMIF(Projection!$F:$F,'7 Year Projection-Expanded'!$A141,Projection!CJ:CJ)</f>
        <v>0</v>
      </c>
      <c r="AJ141" s="573">
        <f>SUMIF(Projection!$F:$F,'7 Year Projection-Expanded'!$A141,Projection!CK:CK)</f>
        <v>0</v>
      </c>
    </row>
    <row r="142" spans="1:36" ht="14.25" customHeight="1" x14ac:dyDescent="0.2">
      <c r="A142" s="283" t="s">
        <v>384</v>
      </c>
      <c r="B142" s="285"/>
      <c r="C142" s="597"/>
      <c r="D142" s="286" t="s">
        <v>482</v>
      </c>
      <c r="E142" s="285"/>
      <c r="F142" s="285"/>
      <c r="G142" s="285"/>
      <c r="H142" s="285"/>
      <c r="I142" s="606">
        <f t="shared" ref="I142:T142" si="36">SUM(I138:I141)</f>
        <v>2909.6925000000001</v>
      </c>
      <c r="J142" s="289">
        <f t="shared" si="36"/>
        <v>4655.5080000000007</v>
      </c>
      <c r="K142" s="606">
        <f t="shared" si="36"/>
        <v>2909.6925000000001</v>
      </c>
      <c r="L142" s="289">
        <f t="shared" si="36"/>
        <v>0</v>
      </c>
      <c r="M142" s="606">
        <f t="shared" si="36"/>
        <v>0</v>
      </c>
      <c r="N142" s="289">
        <f t="shared" si="36"/>
        <v>0</v>
      </c>
      <c r="O142" s="606">
        <f t="shared" si="36"/>
        <v>0</v>
      </c>
      <c r="P142" s="289">
        <f t="shared" si="36"/>
        <v>0</v>
      </c>
      <c r="Q142" s="606">
        <f t="shared" si="36"/>
        <v>0</v>
      </c>
      <c r="R142" s="289">
        <f t="shared" si="36"/>
        <v>0</v>
      </c>
      <c r="S142" s="606">
        <f t="shared" si="36"/>
        <v>0</v>
      </c>
      <c r="T142" s="607">
        <f t="shared" si="36"/>
        <v>1163.8770000000002</v>
      </c>
      <c r="U142" s="285"/>
      <c r="V142" s="608">
        <f t="shared" ref="V142:AJ142" si="37">SUM(V138:V141)</f>
        <v>11638.77</v>
      </c>
      <c r="W142" s="289">
        <f t="shared" si="37"/>
        <v>11929.739250000001</v>
      </c>
      <c r="X142" s="606">
        <f t="shared" si="37"/>
        <v>12227.982731249998</v>
      </c>
      <c r="Y142" s="289">
        <f t="shared" si="37"/>
        <v>12533.682299531247</v>
      </c>
      <c r="Z142" s="606">
        <f t="shared" si="37"/>
        <v>12847.024357019529</v>
      </c>
      <c r="AA142" s="289">
        <f t="shared" si="37"/>
        <v>13168.199965945016</v>
      </c>
      <c r="AB142" s="606">
        <f t="shared" si="37"/>
        <v>13497.404965093639</v>
      </c>
      <c r="AC142" s="289">
        <f t="shared" si="37"/>
        <v>13834.840089220979</v>
      </c>
      <c r="AD142" s="606">
        <f t="shared" si="37"/>
        <v>14180.711091451503</v>
      </c>
      <c r="AE142" s="289">
        <f t="shared" si="37"/>
        <v>14535.22886873779</v>
      </c>
      <c r="AF142" s="606">
        <f t="shared" si="37"/>
        <v>14898.609590456233</v>
      </c>
      <c r="AG142" s="289">
        <f t="shared" si="37"/>
        <v>15271.074830217638</v>
      </c>
      <c r="AH142" s="606">
        <f t="shared" si="37"/>
        <v>15652.851700973077</v>
      </c>
      <c r="AI142" s="289">
        <f t="shared" si="37"/>
        <v>16044.172993497403</v>
      </c>
      <c r="AJ142" s="609">
        <f t="shared" si="37"/>
        <v>16445.277318334836</v>
      </c>
    </row>
    <row r="143" spans="1:36" ht="6" customHeight="1" x14ac:dyDescent="0.2">
      <c r="C143" s="9"/>
      <c r="I143" s="197"/>
      <c r="K143" s="197"/>
      <c r="M143" s="197"/>
      <c r="O143" s="197"/>
      <c r="Q143" s="197"/>
      <c r="S143" s="197"/>
      <c r="T143" s="20"/>
      <c r="V143" s="610"/>
      <c r="X143" s="197"/>
      <c r="Z143" s="197"/>
      <c r="AB143" s="197"/>
      <c r="AD143" s="197"/>
      <c r="AF143" s="197"/>
      <c r="AH143" s="197"/>
      <c r="AJ143" s="611"/>
    </row>
    <row r="144" spans="1:36" ht="14.25" customHeight="1" x14ac:dyDescent="0.2">
      <c r="A144" s="11">
        <v>6801</v>
      </c>
      <c r="C144" s="9"/>
      <c r="E144" s="3" t="s">
        <v>483</v>
      </c>
      <c r="H144" s="192">
        <f>Projection!$H167</f>
        <v>0</v>
      </c>
      <c r="I144" s="228">
        <f t="array" ref="I144">IFERROR(INDEX(Projection!$B$9:$BE$196,MATCH('7 Year Projection-Expanded'!$A144,Projection!$B$9:$B$196,0),MATCH('7 Year Projection-Expanded'!I$8,Projection!$B$9:$BE$9,0)),0)</f>
        <v>0</v>
      </c>
      <c r="J144" s="29">
        <f t="array" ref="J144">IFERROR(INDEX(Projection!$B$9:$BE$196,MATCH('7 Year Projection-Expanded'!$A144,Projection!$B$9:$B$196,0),MATCH('7 Year Projection-Expanded'!J$8,Projection!$B$9:$BE$9,0)),0)</f>
        <v>0</v>
      </c>
      <c r="K144" s="228">
        <f t="array" ref="K144">IFERROR(INDEX(Projection!$B$9:$BE$196,MATCH('7 Year Projection-Expanded'!$A144,Projection!$B$9:$B$196,0),MATCH('7 Year Projection-Expanded'!K$8,Projection!$B$9:$BE$9,0)),0)</f>
        <v>0</v>
      </c>
      <c r="L144" s="29">
        <f t="array" ref="L144">IFERROR(INDEX(Projection!$B$9:$BE$196,MATCH('7 Year Projection-Expanded'!$A144,Projection!$B$9:$B$196,0),MATCH('7 Year Projection-Expanded'!L$8,Projection!$B$9:$BE$9,0)),0)</f>
        <v>0</v>
      </c>
      <c r="M144" s="228">
        <f t="array" ref="M144">IFERROR(INDEX(Projection!$B$9:$BE$196,MATCH('7 Year Projection-Expanded'!$A144,Projection!$B$9:$B$196,0),MATCH('7 Year Projection-Expanded'!M$8,Projection!$B$9:$BE$9,0)),0)</f>
        <v>0</v>
      </c>
      <c r="N144" s="29">
        <f t="array" ref="N144">IFERROR(INDEX(Projection!$B$9:$BE$196,MATCH('7 Year Projection-Expanded'!$A144,Projection!$B$9:$B$196,0),MATCH('7 Year Projection-Expanded'!N$8,Projection!$B$9:$BE$9,0)),0)</f>
        <v>0</v>
      </c>
      <c r="O144" s="228">
        <f t="array" ref="O144">IFERROR(INDEX(Projection!$B$9:$BE$196,MATCH('7 Year Projection-Expanded'!$A144,Projection!$B$9:$B$196,0),MATCH('7 Year Projection-Expanded'!O$8,Projection!$B$9:$BE$9,0)),0)</f>
        <v>0</v>
      </c>
      <c r="P144" s="29">
        <f t="array" ref="P144">IFERROR(INDEX(Projection!$B$9:$BE$196,MATCH('7 Year Projection-Expanded'!$A144,Projection!$B$9:$B$196,0),MATCH('7 Year Projection-Expanded'!P$8,Projection!$B$9:$BE$9,0)),0)</f>
        <v>0</v>
      </c>
      <c r="Q144" s="228">
        <f t="array" ref="Q144">IFERROR(INDEX(Projection!$B$9:$BE$196,MATCH('7 Year Projection-Expanded'!$A144,Projection!$B$9:$B$196,0),MATCH('7 Year Projection-Expanded'!Q$8,Projection!$B$9:$BE$9,0)),0)</f>
        <v>0</v>
      </c>
      <c r="R144" s="29">
        <f t="array" ref="R144">IFERROR(INDEX(Projection!$B$9:$BE$196,MATCH('7 Year Projection-Expanded'!$A144,Projection!$B$9:$B$196,0),MATCH('7 Year Projection-Expanded'!R$8,Projection!$B$9:$BE$9,0)),0)</f>
        <v>0</v>
      </c>
      <c r="S144" s="228">
        <f t="array" ref="S144">IFERROR(INDEX(Projection!$B$9:$BE$196,MATCH('7 Year Projection-Expanded'!$A144,Projection!$B$9:$B$196,0),MATCH('7 Year Projection-Expanded'!S$8,Projection!$B$9:$BE$9,0)),0)</f>
        <v>0</v>
      </c>
      <c r="T144" s="28">
        <f t="array" ref="T144">IFERROR(INDEX(Projection!$B$9:$BE$196,MATCH('7 Year Projection-Expanded'!$A144,Projection!$B$9:$B$196,0),MATCH('7 Year Projection-Expanded'!T$8,Projection!$B$9:$BE$9,0)),0)</f>
        <v>0</v>
      </c>
      <c r="V144" s="572">
        <f>SUMIF(Projection!$F:$F,'7 Year Projection-Expanded'!$A144,Projection!BW:BW)</f>
        <v>0</v>
      </c>
      <c r="W144" s="29">
        <f>SUMIF(Projection!$F:$F,'7 Year Projection-Expanded'!$A144,Projection!BX:BX)</f>
        <v>0</v>
      </c>
      <c r="X144" s="228">
        <f>SUMIF(Projection!$F:$F,'7 Year Projection-Expanded'!$A144,Projection!BY:BY)</f>
        <v>0</v>
      </c>
      <c r="Y144" s="29">
        <f>SUMIF(Projection!$F:$F,'7 Year Projection-Expanded'!$A144,Projection!BZ:BZ)</f>
        <v>0</v>
      </c>
      <c r="Z144" s="228">
        <f>SUMIF(Projection!$F:$F,'7 Year Projection-Expanded'!$A144,Projection!CA:CA)</f>
        <v>0</v>
      </c>
      <c r="AA144" s="29">
        <f>SUMIF(Projection!$F:$F,'7 Year Projection-Expanded'!$A144,Projection!CB:CB)</f>
        <v>0</v>
      </c>
      <c r="AB144" s="228">
        <f>SUMIF(Projection!$F:$F,'7 Year Projection-Expanded'!$A144,Projection!CC:CC)</f>
        <v>0</v>
      </c>
      <c r="AC144" s="29">
        <f>SUMIF(Projection!$F:$F,'7 Year Projection-Expanded'!$A144,Projection!CD:CD)</f>
        <v>0</v>
      </c>
      <c r="AD144" s="228">
        <f>SUMIF(Projection!$F:$F,'7 Year Projection-Expanded'!$A144,Projection!CE:CE)</f>
        <v>0</v>
      </c>
      <c r="AE144" s="29">
        <f>SUMIF(Projection!$F:$F,'7 Year Projection-Expanded'!$A144,Projection!CF:CF)</f>
        <v>0</v>
      </c>
      <c r="AF144" s="228">
        <f>SUMIF(Projection!$F:$F,'7 Year Projection-Expanded'!$A144,Projection!CG:CG)</f>
        <v>0</v>
      </c>
      <c r="AG144" s="29">
        <f>SUMIF(Projection!$F:$F,'7 Year Projection-Expanded'!$A144,Projection!CH:CH)</f>
        <v>0</v>
      </c>
      <c r="AH144" s="228">
        <f>SUMIF(Projection!$F:$F,'7 Year Projection-Expanded'!$A144,Projection!CI:CI)</f>
        <v>0</v>
      </c>
      <c r="AI144" s="29">
        <f>SUMIF(Projection!$F:$F,'7 Year Projection-Expanded'!$A144,Projection!CJ:CJ)</f>
        <v>0</v>
      </c>
      <c r="AJ144" s="573">
        <f>SUMIF(Projection!$F:$F,'7 Year Projection-Expanded'!$A144,Projection!CK:CK)</f>
        <v>0</v>
      </c>
    </row>
    <row r="145" spans="1:36" ht="14.25" customHeight="1" x14ac:dyDescent="0.2">
      <c r="C145" s="9"/>
      <c r="H145" s="29">
        <f>Projection!$H169</f>
        <v>0</v>
      </c>
      <c r="I145" s="197"/>
      <c r="K145" s="197"/>
      <c r="M145" s="197"/>
      <c r="O145" s="197"/>
      <c r="Q145" s="197"/>
      <c r="S145" s="197"/>
      <c r="T145" s="20"/>
      <c r="V145" s="610"/>
      <c r="X145" s="197"/>
      <c r="Z145" s="197"/>
      <c r="AB145" s="197"/>
      <c r="AD145" s="197"/>
      <c r="AF145" s="197"/>
      <c r="AH145" s="197"/>
      <c r="AJ145" s="611"/>
    </row>
    <row r="146" spans="1:36" ht="14.25" customHeight="1" x14ac:dyDescent="0.2">
      <c r="A146" s="283" t="s">
        <v>387</v>
      </c>
      <c r="B146" s="283" t="s">
        <v>484</v>
      </c>
      <c r="C146" s="614" t="s">
        <v>485</v>
      </c>
      <c r="D146" s="285"/>
      <c r="E146" s="285"/>
      <c r="F146" s="285"/>
      <c r="G146" s="285"/>
      <c r="H146" s="285"/>
      <c r="I146" s="606">
        <f t="shared" ref="I146:T146" si="38">I65+I76+I93+I121+I127+I135+I142+I144</f>
        <v>31527.537827370423</v>
      </c>
      <c r="J146" s="289">
        <f t="shared" si="38"/>
        <v>33042.382573564188</v>
      </c>
      <c r="K146" s="606">
        <f t="shared" si="38"/>
        <v>34372.564671584492</v>
      </c>
      <c r="L146" s="289">
        <f t="shared" si="38"/>
        <v>29571.204141945527</v>
      </c>
      <c r="M146" s="606">
        <f t="shared" si="38"/>
        <v>28707.292671262279</v>
      </c>
      <c r="N146" s="289">
        <f t="shared" si="38"/>
        <v>28494.726087282652</v>
      </c>
      <c r="O146" s="606">
        <f t="shared" si="38"/>
        <v>29382.017663893101</v>
      </c>
      <c r="P146" s="289">
        <f t="shared" si="38"/>
        <v>29484.90671303132</v>
      </c>
      <c r="Q146" s="606">
        <f t="shared" si="38"/>
        <v>30907.503402981878</v>
      </c>
      <c r="R146" s="289">
        <f t="shared" si="38"/>
        <v>28927.823279736538</v>
      </c>
      <c r="S146" s="606">
        <f t="shared" si="38"/>
        <v>28059.760342663169</v>
      </c>
      <c r="T146" s="607">
        <f t="shared" si="38"/>
        <v>30204.572690457178</v>
      </c>
      <c r="U146" s="285"/>
      <c r="V146" s="608">
        <f t="shared" ref="V146:AJ146" si="39">V65+V76+V93+V121+V127+V135+V142+V144</f>
        <v>362682.29206577269</v>
      </c>
      <c r="W146" s="289">
        <f t="shared" si="39"/>
        <v>435486.06701370014</v>
      </c>
      <c r="X146" s="606">
        <f t="shared" si="39"/>
        <v>479278.17957923072</v>
      </c>
      <c r="Y146" s="289">
        <f t="shared" si="39"/>
        <v>517462.48803650297</v>
      </c>
      <c r="Z146" s="606">
        <f t="shared" si="39"/>
        <v>553580.66383507045</v>
      </c>
      <c r="AA146" s="289">
        <f t="shared" si="39"/>
        <v>570590.48970799358</v>
      </c>
      <c r="AB146" s="606">
        <f t="shared" si="39"/>
        <v>588166.56372117996</v>
      </c>
      <c r="AC146" s="289">
        <f t="shared" si="39"/>
        <v>606328.82407909678</v>
      </c>
      <c r="AD146" s="606">
        <f t="shared" si="39"/>
        <v>625097.94014037447</v>
      </c>
      <c r="AE146" s="289">
        <f t="shared" si="39"/>
        <v>644495.34001881175</v>
      </c>
      <c r="AF146" s="606">
        <f t="shared" si="39"/>
        <v>664543.23924743501</v>
      </c>
      <c r="AG146" s="289">
        <f t="shared" si="39"/>
        <v>685264.67054711049</v>
      </c>
      <c r="AH146" s="606">
        <f t="shared" si="39"/>
        <v>706683.51474283985</v>
      </c>
      <c r="AI146" s="289">
        <f t="shared" si="39"/>
        <v>728824.53287257534</v>
      </c>
      <c r="AJ146" s="609">
        <f t="shared" si="39"/>
        <v>751713.39953514945</v>
      </c>
    </row>
    <row r="147" spans="1:36" ht="14.25" customHeight="1" x14ac:dyDescent="0.2">
      <c r="C147" s="9"/>
      <c r="I147" s="197"/>
      <c r="K147" s="197"/>
      <c r="M147" s="197"/>
      <c r="O147" s="197"/>
      <c r="Q147" s="197"/>
      <c r="S147" s="197"/>
      <c r="T147" s="20"/>
      <c r="V147" s="610"/>
      <c r="W147" s="605">
        <f t="shared" ref="W147:AJ147" si="40">W146/V146-1</f>
        <v>0.20073705427758903</v>
      </c>
      <c r="X147" s="615">
        <f t="shared" si="40"/>
        <v>0.10055915879428801</v>
      </c>
      <c r="Y147" s="605">
        <f t="shared" si="40"/>
        <v>7.9670450448620755E-2</v>
      </c>
      <c r="Z147" s="615">
        <f t="shared" si="40"/>
        <v>6.9798635908115525E-2</v>
      </c>
      <c r="AA147" s="605">
        <f t="shared" si="40"/>
        <v>3.0726914764477531E-2</v>
      </c>
      <c r="AB147" s="615">
        <f t="shared" si="40"/>
        <v>3.0803306977971401E-2</v>
      </c>
      <c r="AC147" s="605">
        <f t="shared" si="40"/>
        <v>3.0879450615160398E-2</v>
      </c>
      <c r="AD147" s="615">
        <f t="shared" si="40"/>
        <v>3.0955341913333267E-2</v>
      </c>
      <c r="AE147" s="605">
        <f t="shared" si="40"/>
        <v>3.1030977120291459E-2</v>
      </c>
      <c r="AF147" s="615">
        <f t="shared" si="40"/>
        <v>3.1106352495951395E-2</v>
      </c>
      <c r="AG147" s="605">
        <f t="shared" si="40"/>
        <v>3.1181464313957408E-2</v>
      </c>
      <c r="AH147" s="615">
        <f t="shared" si="40"/>
        <v>3.1256308863301996E-2</v>
      </c>
      <c r="AI147" s="605">
        <f t="shared" si="40"/>
        <v>3.1330882449964292E-2</v>
      </c>
      <c r="AJ147" s="616">
        <f t="shared" si="40"/>
        <v>3.1405181398546533E-2</v>
      </c>
    </row>
    <row r="148" spans="1:36" ht="14.25" customHeight="1" x14ac:dyDescent="0.2">
      <c r="A148" s="283" t="s">
        <v>389</v>
      </c>
      <c r="B148" s="285"/>
      <c r="C148" s="623" t="s">
        <v>428</v>
      </c>
      <c r="D148" s="624"/>
      <c r="E148" s="624"/>
      <c r="F148" s="624"/>
      <c r="G148" s="624"/>
      <c r="H148" s="624"/>
      <c r="I148" s="625">
        <f t="shared" ref="I148:T148" si="41">I53-I146</f>
        <v>-27796.475939785607</v>
      </c>
      <c r="J148" s="626">
        <f t="shared" si="41"/>
        <v>-25875.266503641717</v>
      </c>
      <c r="K148" s="625">
        <f t="shared" si="41"/>
        <v>-22274.944339909747</v>
      </c>
      <c r="L148" s="626">
        <f t="shared" si="41"/>
        <v>-12314.237272834576</v>
      </c>
      <c r="M148" s="625">
        <f t="shared" si="41"/>
        <v>-3008.650614466238</v>
      </c>
      <c r="N148" s="626">
        <f t="shared" si="41"/>
        <v>4522.9862312685291</v>
      </c>
      <c r="O148" s="625">
        <f t="shared" si="41"/>
        <v>10011.458855112563</v>
      </c>
      <c r="P148" s="626">
        <f t="shared" si="41"/>
        <v>14382.006725027175</v>
      </c>
      <c r="Q148" s="625">
        <f t="shared" si="41"/>
        <v>16847.605250318396</v>
      </c>
      <c r="R148" s="626">
        <f t="shared" si="41"/>
        <v>22920.201754201098</v>
      </c>
      <c r="S148" s="625">
        <f t="shared" si="41"/>
        <v>27449.136992432315</v>
      </c>
      <c r="T148" s="627">
        <f t="shared" si="41"/>
        <v>28391.070200899558</v>
      </c>
      <c r="U148" s="285"/>
      <c r="V148" s="628">
        <f t="shared" ref="V148:AJ148" si="42">V53-V146</f>
        <v>33254.89133862179</v>
      </c>
      <c r="W148" s="626">
        <f t="shared" si="42"/>
        <v>726558.38770705124</v>
      </c>
      <c r="X148" s="625">
        <f t="shared" si="42"/>
        <v>1393047.834851464</v>
      </c>
      <c r="Y148" s="626">
        <f t="shared" si="42"/>
        <v>1669410.3053196813</v>
      </c>
      <c r="Z148" s="625">
        <f t="shared" si="42"/>
        <v>1729185.5014247755</v>
      </c>
      <c r="AA148" s="626">
        <f t="shared" si="42"/>
        <v>1803486.3221622466</v>
      </c>
      <c r="AB148" s="625">
        <f t="shared" si="42"/>
        <v>1880873.3206238695</v>
      </c>
      <c r="AC148" s="626">
        <f t="shared" si="42"/>
        <v>1961472.6556397551</v>
      </c>
      <c r="AD148" s="625">
        <f t="shared" si="42"/>
        <v>2045415.5987672312</v>
      </c>
      <c r="AE148" s="626">
        <f t="shared" si="42"/>
        <v>2132838.7404450984</v>
      </c>
      <c r="AF148" s="625">
        <f t="shared" si="42"/>
        <v>2223884.2044350319</v>
      </c>
      <c r="AG148" s="626">
        <f t="shared" si="42"/>
        <v>2318699.8708826555</v>
      </c>
      <c r="AH148" s="625">
        <f t="shared" si="42"/>
        <v>2417439.6083441172</v>
      </c>
      <c r="AI148" s="626">
        <f t="shared" si="42"/>
        <v>2520263.5151378596</v>
      </c>
      <c r="AJ148" s="629">
        <f t="shared" si="42"/>
        <v>2627338.1703957031</v>
      </c>
    </row>
    <row r="149" spans="1:36" ht="14.25" customHeight="1" x14ac:dyDescent="0.2"/>
    <row r="150" spans="1:36" ht="14.25" customHeight="1" x14ac:dyDescent="0.2">
      <c r="A150" s="599" t="s">
        <v>391</v>
      </c>
      <c r="B150" s="283"/>
      <c r="C150" s="540" t="s">
        <v>391</v>
      </c>
      <c r="D150" s="630"/>
      <c r="E150" s="541"/>
      <c r="F150" s="541"/>
      <c r="G150" s="541"/>
      <c r="H150" s="541"/>
      <c r="I150" s="631">
        <f t="array" ref="I150">IFERROR(INDEX(Projection!$F$9:$BE$179,MATCH($A150,Projection!$F$9:$F$179,0),MATCH(I$8,Projection!$F$9:$BE$9,0)),0)</f>
        <v>9687379</v>
      </c>
      <c r="J150" s="632">
        <f t="array" ref="J150">IFERROR(INDEX(Projection!$F$9:$BE$179,MATCH($A150,Projection!$F$9:$F$179,0),MATCH(J$8,Projection!$F$9:$BE$9,0)),0)</f>
        <v>9676336.2425801959</v>
      </c>
      <c r="K150" s="631">
        <f t="array" ref="K150">IFERROR(INDEX(Projection!$F$9:$BE$179,MATCH($A150,Projection!$F$9:$F$179,0),MATCH(K$8,Projection!$F$9:$BE$9,0)),0)</f>
        <v>9665224.467926519</v>
      </c>
      <c r="L150" s="632">
        <f t="array" ref="L150">IFERROR(INDEX(Projection!$F$9:$BE$179,MATCH($A150,Projection!$F$9:$F$179,0),MATCH(L$8,Projection!$F$9:$BE$9,0)),0)</f>
        <v>9654043.2446812559</v>
      </c>
      <c r="M150" s="631">
        <f t="array" ref="M150">IFERROR(INDEX(Projection!$F$9:$BE$179,MATCH($A150,Projection!$F$9:$F$179,0),MATCH(M$8,Projection!$F$9:$BE$9,0)),0)</f>
        <v>9642792.1387907099</v>
      </c>
      <c r="N150" s="632">
        <f t="array" ref="N150">IFERROR(INDEX(Projection!$F$9:$BE$179,MATCH($A150,Projection!$F$9:$F$179,0),MATCH(N$8,Projection!$F$9:$BE$9,0)),0)</f>
        <v>9631470.7134883478</v>
      </c>
      <c r="O150" s="631">
        <f t="array" ref="O150">IFERROR(INDEX(Projection!$F$9:$BE$179,MATCH($A150,Projection!$F$9:$F$179,0),MATCH(O$8,Projection!$F$9:$BE$9,0)),0)</f>
        <v>9620078.5292778462</v>
      </c>
      <c r="P150" s="632">
        <f t="array" ref="P150">IFERROR(INDEX(Projection!$F$9:$BE$179,MATCH($A150,Projection!$F$9:$F$179,0),MATCH(P$8,Projection!$F$9:$BE$9,0)),0)</f>
        <v>9608615.1439160295</v>
      </c>
      <c r="Q150" s="631">
        <f t="array" ref="Q150">IFERROR(INDEX(Projection!$F$9:$BE$179,MATCH($A150,Projection!$F$9:$F$179,0),MATCH(Q$8,Projection!$F$9:$BE$9,0)),0)</f>
        <v>9597080.1123957001</v>
      </c>
      <c r="R150" s="632">
        <f t="array" ref="R150">IFERROR(INDEX(Projection!$F$9:$BE$179,MATCH($A150,Projection!$F$9:$F$179,0),MATCH(R$8,Projection!$F$9:$BE$9,0)),0)</f>
        <v>9585472.9869283698</v>
      </c>
      <c r="S150" s="631">
        <f t="array" ref="S150">IFERROR(INDEX(Projection!$F$9:$BE$179,MATCH($A150,Projection!$F$9:$F$179,0),MATCH(S$8,Projection!$F$9:$BE$9,0)),0)</f>
        <v>9573793.3169268686</v>
      </c>
      <c r="T150" s="633">
        <f t="array" ref="T150">IFERROR(INDEX(Projection!$F$9:$BE$179,MATCH($A150,Projection!$F$9:$F$179,0),MATCH(T$8,Projection!$F$9:$BE$9,0)),0)</f>
        <v>9562040.6489878576</v>
      </c>
      <c r="U150" s="285">
        <f t="array" ref="U150">IFERROR(INDEX(Projection!$F$9:$BE$179,MATCH($A150,Projection!$F$9:$F$179,0),MATCH(U$8,Projection!$F$9:$BE$9,0)),0)</f>
        <v>0</v>
      </c>
      <c r="V150" s="634">
        <f>SUMIF(Projection!$F:$F,$A150,Projection!BW:BW)</f>
        <v>9687379</v>
      </c>
      <c r="W150" s="635">
        <f>SUMIF(Projection!$F:$F,$A150,Projection!BX:BX)</f>
        <v>9550214.5268742274</v>
      </c>
      <c r="X150" s="636">
        <f>SUMIF(Projection!$F:$F,$A150,Projection!BY:BY)</f>
        <v>9402401.6192289833</v>
      </c>
      <c r="Y150" s="635">
        <f>SUMIF(Projection!$F:$F,$A150,Projection!BZ:BZ)</f>
        <v>9243113.6114187725</v>
      </c>
      <c r="Z150" s="636">
        <f>SUMIF(Projection!$F:$F,$A150,Projection!CA:CA)</f>
        <v>9071459.6615956556</v>
      </c>
      <c r="AA150" s="635">
        <f>SUMIF(Projection!$F:$F,$A150,Projection!CB:CB)</f>
        <v>8886479.7695438676</v>
      </c>
      <c r="AB150" s="636">
        <f>SUMIF(Projection!$F:$F,$A150,Projection!CC:CC)</f>
        <v>8687139.4077359922</v>
      </c>
      <c r="AC150" s="635">
        <f>SUMIF(Projection!$F:$F,$A150,Projection!CD:CD)</f>
        <v>8472323.735584069</v>
      </c>
      <c r="AD150" s="636">
        <f>SUMIF(Projection!$F:$F,$A150,Projection!CE:CE)</f>
        <v>8240831.3645279882</v>
      </c>
      <c r="AE150" s="635">
        <f>SUMIF(Projection!$F:$F,$A150,Projection!CF:CF)</f>
        <v>7991367.6390914787</v>
      </c>
      <c r="AF150" s="636">
        <f>SUMIF(Projection!$F:$F,$A150,Projection!CG:CG)</f>
        <v>7722537.3963290267</v>
      </c>
      <c r="AG150" s="635">
        <f>SUMIF(Projection!$F:$F,$A150,Projection!CH:CH)</f>
        <v>7432837.1631698273</v>
      </c>
      <c r="AH150" s="636">
        <f>SUMIF(Projection!$F:$F,$A150,Projection!CI:CI)</f>
        <v>7120646.7480212813</v>
      </c>
      <c r="AI150" s="635">
        <f>SUMIF(Projection!$F:$F,$A150,Projection!CJ:CJ)</f>
        <v>6784220.1796068111</v>
      </c>
      <c r="AJ150" s="637">
        <f>SUMIF(Projection!$F:$F,$A150,Projection!CK:CK)</f>
        <v>6421675.9423621101</v>
      </c>
    </row>
    <row r="151" spans="1:36" ht="14.25" customHeight="1" x14ac:dyDescent="0.2">
      <c r="A151" s="638" t="s">
        <v>392</v>
      </c>
      <c r="B151" s="89"/>
      <c r="C151" s="9"/>
      <c r="D151" s="11" t="s">
        <v>392</v>
      </c>
      <c r="E151" s="11"/>
      <c r="F151" s="11"/>
      <c r="G151" s="11"/>
      <c r="H151" s="11"/>
      <c r="I151" s="228">
        <f t="array" ref="I151">IFERROR(INDEX(Projection!$F$9:$BE$179,MATCH($A151,Projection!$F$9:$F$179,0),MATCH(I$8,Projection!$F$9:$BE$9,0)),0)</f>
        <v>60546.118749999994</v>
      </c>
      <c r="J151" s="29">
        <f t="array" ref="J151">IFERROR(INDEX(Projection!$F$9:$BE$179,MATCH($A151,Projection!$F$9:$F$179,0),MATCH(J$8,Projection!$F$9:$BE$9,0)),0)</f>
        <v>60477.101516126218</v>
      </c>
      <c r="K151" s="228">
        <f t="array" ref="K151">IFERROR(INDEX(Projection!$F$9:$BE$179,MATCH($A151,Projection!$F$9:$F$179,0),MATCH(K$8,Projection!$F$9:$BE$9,0)),0)</f>
        <v>60407.652924540744</v>
      </c>
      <c r="L151" s="29">
        <f t="array" ref="L151">IFERROR(INDEX(Projection!$F$9:$BE$179,MATCH($A151,Projection!$F$9:$F$179,0),MATCH(L$8,Projection!$F$9:$BE$9,0)),0)</f>
        <v>60337.770279257849</v>
      </c>
      <c r="M151" s="228">
        <f t="array" ref="M151">IFERROR(INDEX(Projection!$F$9:$BE$179,MATCH($A151,Projection!$F$9:$F$179,0),MATCH(M$8,Projection!$F$9:$BE$9,0)),0)</f>
        <v>60267.450867441941</v>
      </c>
      <c r="N151" s="29">
        <f t="array" ref="N151">IFERROR(INDEX(Projection!$F$9:$BE$179,MATCH($A151,Projection!$F$9:$F$179,0),MATCH(N$8,Projection!$F$9:$BE$9,0)),0)</f>
        <v>60196.691959302174</v>
      </c>
      <c r="O151" s="228">
        <f t="array" ref="O151">IFERROR(INDEX(Projection!$F$9:$BE$179,MATCH($A151,Projection!$F$9:$F$179,0),MATCH(O$8,Projection!$F$9:$BE$9,0)),0)</f>
        <v>60125.490807986534</v>
      </c>
      <c r="P151" s="29">
        <f t="array" ref="P151">IFERROR(INDEX(Projection!$F$9:$BE$179,MATCH($A151,Projection!$F$9:$F$179,0),MATCH(P$8,Projection!$F$9:$BE$9,0)),0)</f>
        <v>60053.844649475184</v>
      </c>
      <c r="Q151" s="228">
        <f t="array" ref="Q151">IFERROR(INDEX(Projection!$F$9:$BE$179,MATCH($A151,Projection!$F$9:$F$179,0),MATCH(Q$8,Projection!$F$9:$BE$9,0)),0)</f>
        <v>59981.750702473124</v>
      </c>
      <c r="R151" s="29">
        <f t="array" ref="R151">IFERROR(INDEX(Projection!$F$9:$BE$179,MATCH($A151,Projection!$F$9:$F$179,0),MATCH(R$8,Projection!$F$9:$BE$9,0)),0)</f>
        <v>59909.206168302306</v>
      </c>
      <c r="S151" s="228">
        <f t="array" ref="S151">IFERROR(INDEX(Projection!$F$9:$BE$179,MATCH($A151,Projection!$F$9:$F$179,0),MATCH(S$8,Projection!$F$9:$BE$9,0)),0)</f>
        <v>59836.208230792923</v>
      </c>
      <c r="T151" s="28">
        <f t="array" ref="T151">IFERROR(INDEX(Projection!$F$9:$BE$179,MATCH($A151,Projection!$F$9:$F$179,0),MATCH(T$8,Projection!$F$9:$BE$9,0)),0)</f>
        <v>59762.754056174104</v>
      </c>
      <c r="U151" s="151">
        <f t="array" ref="U151">IFERROR(INDEX(Projection!$F$9:$BE$179,MATCH($A151,Projection!$F$9:$F$179,0),MATCH(U$8,Projection!$F$9:$BE$9,0)),0)</f>
        <v>0</v>
      </c>
      <c r="V151" s="572">
        <f>SUMIF(Projection!$F:$F,$A151,Projection!BW:BW)</f>
        <v>721902.0409118731</v>
      </c>
      <c r="W151" s="29">
        <f>SUMIF(Projection!$F:$F,$A151,Projection!BX:BX)</f>
        <v>711253.60639240139</v>
      </c>
      <c r="X151" s="228">
        <f>SUMIF(Projection!$F:$F,$A151,Projection!BY:BY)</f>
        <v>699778.50622743473</v>
      </c>
      <c r="Y151" s="29">
        <f>SUMIF(Projection!$F:$F,$A151,Projection!BZ:BZ)</f>
        <v>687412.56421452842</v>
      </c>
      <c r="Z151" s="228">
        <f>SUMIF(Projection!$F:$F,$A151,Projection!CA:CA)</f>
        <v>674086.62198585737</v>
      </c>
      <c r="AA151" s="29">
        <f>SUMIF(Projection!$F:$F,$A151,Projection!CB:CB)</f>
        <v>659726.15222976939</v>
      </c>
      <c r="AB151" s="228">
        <f>SUMIF(Projection!$F:$F,$A151,Projection!CC:CC)</f>
        <v>644250.84188572259</v>
      </c>
      <c r="AC151" s="29">
        <f>SUMIF(Projection!$F:$F,$A151,Projection!CD:CD)</f>
        <v>627574.14298156393</v>
      </c>
      <c r="AD151" s="228">
        <f>SUMIF(Projection!$F:$F,$A151,Projection!CE:CE)</f>
        <v>609602.78860113584</v>
      </c>
      <c r="AE151" s="29">
        <f>SUMIF(Projection!$F:$F,$A151,Projection!CF:CF)</f>
        <v>590236.27127519262</v>
      </c>
      <c r="AF151" s="228">
        <f>SUMIF(Projection!$F:$F,$A151,Projection!CG:CG)</f>
        <v>569366.28087844595</v>
      </c>
      <c r="AG151" s="29">
        <f>SUMIF(Projection!$F:$F,$A151,Projection!CH:CH)</f>
        <v>546876.09888909943</v>
      </c>
      <c r="AH151" s="228">
        <f>SUMIF(Projection!$F:$F,$A151,Projection!CI:CI)</f>
        <v>522639.94562317495</v>
      </c>
      <c r="AI151" s="29">
        <f>SUMIF(Projection!$F:$F,$A151,Projection!CJ:CJ)</f>
        <v>496522.27679294365</v>
      </c>
      <c r="AJ151" s="573">
        <f>SUMIF(Projection!$F:$F,$A151,Projection!CK:CK)</f>
        <v>468377.0254553603</v>
      </c>
    </row>
    <row r="152" spans="1:36" ht="14.25" customHeight="1" x14ac:dyDescent="0.2">
      <c r="A152" s="638" t="s">
        <v>393</v>
      </c>
      <c r="B152" s="89"/>
      <c r="C152" s="9"/>
      <c r="D152" s="11" t="s">
        <v>393</v>
      </c>
      <c r="E152" s="11"/>
      <c r="F152" s="11"/>
      <c r="G152" s="11"/>
      <c r="H152" s="11"/>
      <c r="I152" s="228">
        <f t="array" ref="I152">IFERROR(INDEX(Projection!$F$9:$BE$179,MATCH($A152,Projection!$F$9:$F$179,0),MATCH(I$8,Projection!$F$9:$BE$9,0)),0)</f>
        <v>11042.757419803749</v>
      </c>
      <c r="J152" s="29">
        <f t="array" ref="J152">IFERROR(INDEX(Projection!$F$9:$BE$179,MATCH($A152,Projection!$F$9:$F$179,0),MATCH(J$8,Projection!$F$9:$BE$9,0)),0)</f>
        <v>11111.774653677521</v>
      </c>
      <c r="K152" s="228">
        <f t="array" ref="K152">IFERROR(INDEX(Projection!$F$9:$BE$179,MATCH($A152,Projection!$F$9:$F$179,0),MATCH(K$8,Projection!$F$9:$BE$9,0)),0)</f>
        <v>11181.223245263005</v>
      </c>
      <c r="L152" s="29">
        <f t="array" ref="L152">IFERROR(INDEX(Projection!$F$9:$BE$179,MATCH($A152,Projection!$F$9:$F$179,0),MATCH(L$8,Projection!$F$9:$BE$9,0)),0)</f>
        <v>11251.105890545901</v>
      </c>
      <c r="M152" s="228">
        <f t="array" ref="M152">IFERROR(INDEX(Projection!$F$9:$BE$179,MATCH($A152,Projection!$F$9:$F$179,0),MATCH(M$8,Projection!$F$9:$BE$9,0)),0)</f>
        <v>11321.425302361813</v>
      </c>
      <c r="N152" s="29">
        <f t="array" ref="N152">IFERROR(INDEX(Projection!$F$9:$BE$179,MATCH($A152,Projection!$F$9:$F$179,0),MATCH(N$8,Projection!$F$9:$BE$9,0)),0)</f>
        <v>11392.184210501573</v>
      </c>
      <c r="O152" s="228">
        <f t="array" ref="O152">IFERROR(INDEX(Projection!$F$9:$BE$179,MATCH($A152,Projection!$F$9:$F$179,0),MATCH(O$8,Projection!$F$9:$BE$9,0)),0)</f>
        <v>11463.385361817209</v>
      </c>
      <c r="P152" s="29">
        <f t="array" ref="P152">IFERROR(INDEX(Projection!$F$9:$BE$179,MATCH($A152,Projection!$F$9:$F$179,0),MATCH(P$8,Projection!$F$9:$BE$9,0)),0)</f>
        <v>11535.031520328566</v>
      </c>
      <c r="Q152" s="228">
        <f t="array" ref="Q152">IFERROR(INDEX(Projection!$F$9:$BE$179,MATCH($A152,Projection!$F$9:$F$179,0),MATCH(Q$8,Projection!$F$9:$BE$9,0)),0)</f>
        <v>11607.125467330619</v>
      </c>
      <c r="R152" s="29">
        <f t="array" ref="R152">IFERROR(INDEX(Projection!$F$9:$BE$179,MATCH($A152,Projection!$F$9:$F$179,0),MATCH(R$8,Projection!$F$9:$BE$9,0)),0)</f>
        <v>11679.670001501436</v>
      </c>
      <c r="S152" s="228">
        <f t="array" ref="S152">IFERROR(INDEX(Projection!$F$9:$BE$179,MATCH($A152,Projection!$F$9:$F$179,0),MATCH(S$8,Projection!$F$9:$BE$9,0)),0)</f>
        <v>11752.667939010817</v>
      </c>
      <c r="T152" s="28">
        <f t="array" ref="T152">IFERROR(INDEX(Projection!$F$9:$BE$179,MATCH($A152,Projection!$F$9:$F$179,0),MATCH(T$8,Projection!$F$9:$BE$9,0)),0)</f>
        <v>11826.122113629635</v>
      </c>
      <c r="U152" s="151">
        <f t="array" ref="U152">IFERROR(INDEX(Projection!$F$9:$BE$179,MATCH($A152,Projection!$F$9:$F$179,0),MATCH(U$8,Projection!$F$9:$BE$9,0)),0)</f>
        <v>0</v>
      </c>
      <c r="V152" s="572">
        <f>SUMIF(Projection!$F:$F,$A152,Projection!BW:BW)</f>
        <v>137164.47312577185</v>
      </c>
      <c r="W152" s="29">
        <f>SUMIF(Projection!$F:$F,$A152,Projection!BX:BX)</f>
        <v>147812.90764524357</v>
      </c>
      <c r="X152" s="228">
        <f>SUMIF(Projection!$F:$F,$A152,Projection!BY:BY)</f>
        <v>159288.00781021023</v>
      </c>
      <c r="Y152" s="29">
        <f>SUMIF(Projection!$F:$F,$A152,Projection!BZ:BZ)</f>
        <v>171653.94982311645</v>
      </c>
      <c r="Z152" s="228">
        <f>SUMIF(Projection!$F:$F,$A152,Projection!CA:CA)</f>
        <v>184979.89205178758</v>
      </c>
      <c r="AA152" s="29">
        <f>SUMIF(Projection!$F:$F,$A152,Projection!CB:CB)</f>
        <v>199340.36180787574</v>
      </c>
      <c r="AB152" s="228">
        <f>SUMIF(Projection!$F:$F,$A152,Projection!CC:CC)</f>
        <v>214815.67215192245</v>
      </c>
      <c r="AC152" s="29">
        <f>SUMIF(Projection!$F:$F,$A152,Projection!CD:CD)</f>
        <v>231492.37105608115</v>
      </c>
      <c r="AD152" s="228">
        <f>SUMIF(Projection!$F:$F,$A152,Projection!CE:CE)</f>
        <v>249463.72543650912</v>
      </c>
      <c r="AE152" s="29">
        <f>SUMIF(Projection!$F:$F,$A152,Projection!CF:CF)</f>
        <v>268830.24276245246</v>
      </c>
      <c r="AF152" s="228">
        <f>SUMIF(Projection!$F:$F,$A152,Projection!CG:CG)</f>
        <v>289700.23315919912</v>
      </c>
      <c r="AG152" s="29">
        <f>SUMIF(Projection!$F:$F,$A152,Projection!CH:CH)</f>
        <v>312190.41514854558</v>
      </c>
      <c r="AH152" s="228">
        <f>SUMIF(Projection!$F:$F,$A152,Projection!CI:CI)</f>
        <v>336426.56841447012</v>
      </c>
      <c r="AI152" s="29">
        <f>SUMIF(Projection!$F:$F,$A152,Projection!CJ:CJ)</f>
        <v>362544.23724470142</v>
      </c>
      <c r="AJ152" s="573">
        <f>SUMIF(Projection!$F:$F,$A152,Projection!CK:CK)</f>
        <v>390689.48858228471</v>
      </c>
    </row>
    <row r="153" spans="1:36" ht="14.25" customHeight="1" x14ac:dyDescent="0.2">
      <c r="A153" s="638" t="s">
        <v>394</v>
      </c>
      <c r="B153" s="89"/>
      <c r="C153" s="9"/>
      <c r="D153" s="11" t="s">
        <v>394</v>
      </c>
      <c r="E153" s="11"/>
      <c r="F153" s="11"/>
      <c r="G153" s="11"/>
      <c r="H153" s="11"/>
      <c r="I153" s="228">
        <f t="array" ref="I153">IFERROR(INDEX(Projection!$F$9:$BE$179,MATCH($A153,Projection!$F$9:$F$179,0),MATCH(I$8,Projection!$F$9:$BE$9,0)),0)</f>
        <v>71588.876169803742</v>
      </c>
      <c r="J153" s="29">
        <f t="array" ref="J153">IFERROR(INDEX(Projection!$F$9:$BE$179,MATCH($A153,Projection!$F$9:$F$179,0),MATCH(J$8,Projection!$F$9:$BE$9,0)),0)</f>
        <v>71588.876169803742</v>
      </c>
      <c r="K153" s="228">
        <f t="array" ref="K153">IFERROR(INDEX(Projection!$F$9:$BE$179,MATCH($A153,Projection!$F$9:$F$179,0),MATCH(K$8,Projection!$F$9:$BE$9,0)),0)</f>
        <v>71588.876169803756</v>
      </c>
      <c r="L153" s="29">
        <f t="array" ref="L153">IFERROR(INDEX(Projection!$F$9:$BE$179,MATCH($A153,Projection!$F$9:$F$179,0),MATCH(L$8,Projection!$F$9:$BE$9,0)),0)</f>
        <v>71588.876169803756</v>
      </c>
      <c r="M153" s="228">
        <f t="array" ref="M153">IFERROR(INDEX(Projection!$F$9:$BE$179,MATCH($A153,Projection!$F$9:$F$179,0),MATCH(M$8,Projection!$F$9:$BE$9,0)),0)</f>
        <v>71588.876169803756</v>
      </c>
      <c r="N153" s="29">
        <f t="array" ref="N153">IFERROR(INDEX(Projection!$F$9:$BE$179,MATCH($A153,Projection!$F$9:$F$179,0),MATCH(N$8,Projection!$F$9:$BE$9,0)),0)</f>
        <v>71588.876169803742</v>
      </c>
      <c r="O153" s="228">
        <f t="array" ref="O153">IFERROR(INDEX(Projection!$F$9:$BE$179,MATCH($A153,Projection!$F$9:$F$179,0),MATCH(O$8,Projection!$F$9:$BE$9,0)),0)</f>
        <v>71588.876169803742</v>
      </c>
      <c r="P153" s="29">
        <f t="array" ref="P153">IFERROR(INDEX(Projection!$F$9:$BE$179,MATCH($A153,Projection!$F$9:$F$179,0),MATCH(P$8,Projection!$F$9:$BE$9,0)),0)</f>
        <v>71588.876169803756</v>
      </c>
      <c r="Q153" s="228">
        <f t="array" ref="Q153">IFERROR(INDEX(Projection!$F$9:$BE$179,MATCH($A153,Projection!$F$9:$F$179,0),MATCH(Q$8,Projection!$F$9:$BE$9,0)),0)</f>
        <v>71588.876169803742</v>
      </c>
      <c r="R153" s="29">
        <f t="array" ref="R153">IFERROR(INDEX(Projection!$F$9:$BE$179,MATCH($A153,Projection!$F$9:$F$179,0),MATCH(R$8,Projection!$F$9:$BE$9,0)),0)</f>
        <v>71588.876169803742</v>
      </c>
      <c r="S153" s="228">
        <f t="array" ref="S153">IFERROR(INDEX(Projection!$F$9:$BE$179,MATCH($A153,Projection!$F$9:$F$179,0),MATCH(S$8,Projection!$F$9:$BE$9,0)),0)</f>
        <v>71588.876169803742</v>
      </c>
      <c r="T153" s="28">
        <f t="array" ref="T153">IFERROR(INDEX(Projection!$F$9:$BE$179,MATCH($A153,Projection!$F$9:$F$179,0),MATCH(T$8,Projection!$F$9:$BE$9,0)),0)</f>
        <v>71588.876169803742</v>
      </c>
      <c r="U153" s="151">
        <f t="array" ref="U153">IFERROR(INDEX(Projection!$F$9:$BE$179,MATCH($A153,Projection!$F$9:$F$179,0),MATCH(U$8,Projection!$F$9:$BE$9,0)),0)</f>
        <v>0</v>
      </c>
      <c r="V153" s="572">
        <f>SUMIF(Projection!$F:$F,$A153,Projection!BW:BW)</f>
        <v>859066.51403764519</v>
      </c>
      <c r="W153" s="29">
        <f>SUMIF(Projection!$F:$F,$A153,Projection!BX:BX)</f>
        <v>859066.51403764531</v>
      </c>
      <c r="X153" s="228">
        <f>SUMIF(Projection!$F:$F,$A153,Projection!BY:BY)</f>
        <v>859066.51403764519</v>
      </c>
      <c r="Y153" s="29">
        <f>SUMIF(Projection!$F:$F,$A153,Projection!BZ:BZ)</f>
        <v>859066.51403764496</v>
      </c>
      <c r="Z153" s="228">
        <f>SUMIF(Projection!$F:$F,$A153,Projection!CA:CA)</f>
        <v>859066.51403764531</v>
      </c>
      <c r="AA153" s="29">
        <f>SUMIF(Projection!$F:$F,$A153,Projection!CB:CB)</f>
        <v>859066.51403764519</v>
      </c>
      <c r="AB153" s="228">
        <f>SUMIF(Projection!$F:$F,$A153,Projection!CC:CC)</f>
        <v>859066.51403764507</v>
      </c>
      <c r="AC153" s="29">
        <f>SUMIF(Projection!$F:$F,$A153,Projection!CD:CD)</f>
        <v>859066.51403764507</v>
      </c>
      <c r="AD153" s="228">
        <f>SUMIF(Projection!$F:$F,$A153,Projection!CE:CE)</f>
        <v>859066.51403764496</v>
      </c>
      <c r="AE153" s="29">
        <f>SUMIF(Projection!$F:$F,$A153,Projection!CF:CF)</f>
        <v>859066.51403764507</v>
      </c>
      <c r="AF153" s="228">
        <f>SUMIF(Projection!$F:$F,$A153,Projection!CG:CG)</f>
        <v>859066.51403764507</v>
      </c>
      <c r="AG153" s="29">
        <f>SUMIF(Projection!$F:$F,$A153,Projection!CH:CH)</f>
        <v>859066.51403764496</v>
      </c>
      <c r="AH153" s="228">
        <f>SUMIF(Projection!$F:$F,$A153,Projection!CI:CI)</f>
        <v>859066.51403764507</v>
      </c>
      <c r="AI153" s="29">
        <f>SUMIF(Projection!$F:$F,$A153,Projection!CJ:CJ)</f>
        <v>859066.51403764507</v>
      </c>
      <c r="AJ153" s="573">
        <f>SUMIF(Projection!$F:$F,$A153,Projection!CK:CK)</f>
        <v>859066.51403764496</v>
      </c>
    </row>
    <row r="154" spans="1:36" ht="14.25" customHeight="1" x14ac:dyDescent="0.2">
      <c r="A154" s="599" t="s">
        <v>395</v>
      </c>
      <c r="B154" s="283"/>
      <c r="C154" s="614" t="s">
        <v>395</v>
      </c>
      <c r="D154" s="286"/>
      <c r="E154" s="283"/>
      <c r="F154" s="283"/>
      <c r="G154" s="283"/>
      <c r="H154" s="283"/>
      <c r="I154" s="606">
        <f t="array" ref="I154">IFERROR(INDEX(Projection!$F$9:$BE$179,MATCH($A154,Projection!$F$9:$F$179,0),MATCH(I$8,Projection!$F$9:$BE$9,0)),0)</f>
        <v>9676336.2425801959</v>
      </c>
      <c r="J154" s="289">
        <f t="array" ref="J154">IFERROR(INDEX(Projection!$F$9:$BE$179,MATCH($A154,Projection!$F$9:$F$179,0),MATCH(J$8,Projection!$F$9:$BE$9,0)),0)</f>
        <v>9665224.467926519</v>
      </c>
      <c r="K154" s="606">
        <f t="array" ref="K154">IFERROR(INDEX(Projection!$F$9:$BE$179,MATCH($A154,Projection!$F$9:$F$179,0),MATCH(K$8,Projection!$F$9:$BE$9,0)),0)</f>
        <v>9654043.2446812559</v>
      </c>
      <c r="L154" s="289">
        <f t="array" ref="L154">IFERROR(INDEX(Projection!$F$9:$BE$179,MATCH($A154,Projection!$F$9:$F$179,0),MATCH(L$8,Projection!$F$9:$BE$9,0)),0)</f>
        <v>9642792.1387907099</v>
      </c>
      <c r="M154" s="606">
        <f t="array" ref="M154">IFERROR(INDEX(Projection!$F$9:$BE$179,MATCH($A154,Projection!$F$9:$F$179,0),MATCH(M$8,Projection!$F$9:$BE$9,0)),0)</f>
        <v>9631470.7134883478</v>
      </c>
      <c r="N154" s="289">
        <f t="array" ref="N154">IFERROR(INDEX(Projection!$F$9:$BE$179,MATCH($A154,Projection!$F$9:$F$179,0),MATCH(N$8,Projection!$F$9:$BE$9,0)),0)</f>
        <v>9620078.5292778462</v>
      </c>
      <c r="O154" s="606">
        <f t="array" ref="O154">IFERROR(INDEX(Projection!$F$9:$BE$179,MATCH($A154,Projection!$F$9:$F$179,0),MATCH(O$8,Projection!$F$9:$BE$9,0)),0)</f>
        <v>9608615.1439160295</v>
      </c>
      <c r="P154" s="289">
        <f t="array" ref="P154">IFERROR(INDEX(Projection!$F$9:$BE$179,MATCH($A154,Projection!$F$9:$F$179,0),MATCH(P$8,Projection!$F$9:$BE$9,0)),0)</f>
        <v>9597080.1123957001</v>
      </c>
      <c r="Q154" s="606">
        <f t="array" ref="Q154">IFERROR(INDEX(Projection!$F$9:$BE$179,MATCH($A154,Projection!$F$9:$F$179,0),MATCH(Q$8,Projection!$F$9:$BE$9,0)),0)</f>
        <v>9585472.9869283698</v>
      </c>
      <c r="R154" s="289">
        <f t="array" ref="R154">IFERROR(INDEX(Projection!$F$9:$BE$179,MATCH($A154,Projection!$F$9:$F$179,0),MATCH(R$8,Projection!$F$9:$BE$9,0)),0)</f>
        <v>9573793.3169268686</v>
      </c>
      <c r="S154" s="606">
        <f t="array" ref="S154">IFERROR(INDEX(Projection!$F$9:$BE$179,MATCH($A154,Projection!$F$9:$F$179,0),MATCH(S$8,Projection!$F$9:$BE$9,0)),0)</f>
        <v>9562040.6489878576</v>
      </c>
      <c r="T154" s="607">
        <f t="array" ref="T154">IFERROR(INDEX(Projection!$F$9:$BE$179,MATCH($A154,Projection!$F$9:$F$179,0),MATCH(T$8,Projection!$F$9:$BE$9,0)),0)</f>
        <v>9550214.5268742274</v>
      </c>
      <c r="U154" s="285">
        <f t="array" ref="U154">IFERROR(INDEX(Projection!$F$9:$BE$179,MATCH($A154,Projection!$F$9:$F$179,0),MATCH(U$8,Projection!$F$9:$BE$9,0)),0)</f>
        <v>0</v>
      </c>
      <c r="V154" s="639">
        <f>SUMIF(Projection!$F:$F,$A154,Projection!BW:BW)</f>
        <v>9550214.5268742274</v>
      </c>
      <c r="W154" s="640">
        <f>SUMIF(Projection!$F:$F,$A154,Projection!BX:BX)</f>
        <v>9402401.6192289833</v>
      </c>
      <c r="X154" s="641">
        <f>SUMIF(Projection!$F:$F,$A154,Projection!BY:BY)</f>
        <v>9243113.6114187725</v>
      </c>
      <c r="Y154" s="640">
        <f>SUMIF(Projection!$F:$F,$A154,Projection!BZ:BZ)</f>
        <v>9071459.6615956556</v>
      </c>
      <c r="Z154" s="641">
        <f>SUMIF(Projection!$F:$F,$A154,Projection!CA:CA)</f>
        <v>8886479.7695438676</v>
      </c>
      <c r="AA154" s="640">
        <f>SUMIF(Projection!$F:$F,$A154,Projection!CB:CB)</f>
        <v>8687139.4077359922</v>
      </c>
      <c r="AB154" s="641">
        <f>SUMIF(Projection!$F:$F,$A154,Projection!CC:CC)</f>
        <v>8472323.735584069</v>
      </c>
      <c r="AC154" s="640">
        <f>SUMIF(Projection!$F:$F,$A154,Projection!CD:CD)</f>
        <v>8240831.3645279882</v>
      </c>
      <c r="AD154" s="641">
        <f>SUMIF(Projection!$F:$F,$A154,Projection!CE:CE)</f>
        <v>7991367.6390914787</v>
      </c>
      <c r="AE154" s="640">
        <f>SUMIF(Projection!$F:$F,$A154,Projection!CF:CF)</f>
        <v>7722537.3963290267</v>
      </c>
      <c r="AF154" s="641">
        <f>SUMIF(Projection!$F:$F,$A154,Projection!CG:CG)</f>
        <v>7432837.1631698273</v>
      </c>
      <c r="AG154" s="640">
        <f>SUMIF(Projection!$F:$F,$A154,Projection!CH:CH)</f>
        <v>7120646.7480212813</v>
      </c>
      <c r="AH154" s="641">
        <f>SUMIF(Projection!$F:$F,$A154,Projection!CI:CI)</f>
        <v>6784220.1796068111</v>
      </c>
      <c r="AI154" s="640">
        <f>SUMIF(Projection!$F:$F,$A154,Projection!CJ:CJ)</f>
        <v>6421675.9423621101</v>
      </c>
      <c r="AJ154" s="642">
        <f>SUMIF(Projection!$F:$F,$A154,Projection!CK:CK)</f>
        <v>6030986.453779825</v>
      </c>
    </row>
    <row r="155" spans="1:36" ht="14.25" customHeight="1" x14ac:dyDescent="0.2">
      <c r="A155" s="638" t="s">
        <v>396</v>
      </c>
      <c r="B155" s="89"/>
      <c r="C155" s="16"/>
      <c r="D155" s="17" t="s">
        <v>396</v>
      </c>
      <c r="E155" s="17"/>
      <c r="F155" s="17"/>
      <c r="G155" s="17"/>
      <c r="H155" s="643"/>
      <c r="I155" s="220">
        <f t="array" ref="I155">IFERROR(INDEX(Projection!$F$9:$BE$179,MATCH($A155,Projection!$F$9:$F$179,0),MATCH(I$8,Projection!$F$9:$BE$9,0)),0)</f>
        <v>-99385.351109738607</v>
      </c>
      <c r="J155" s="237">
        <f t="array" ref="J155">IFERROR(INDEX(Projection!$F$9:$BE$179,MATCH($A155,Projection!$F$9:$F$179,0),MATCH(J$8,Projection!$F$9:$BE$9,0)),0)</f>
        <v>-97464.141673592923</v>
      </c>
      <c r="K155" s="220">
        <f t="array" ref="K155">IFERROR(INDEX(Projection!$F$9:$BE$179,MATCH($A155,Projection!$F$9:$F$179,0),MATCH(K$8,Projection!$F$9:$BE$9,0)),0)</f>
        <v>-90901.223509931617</v>
      </c>
      <c r="L155" s="237">
        <f t="array" ref="L155">IFERROR(INDEX(Projection!$F$9:$BE$179,MATCH($A155,Projection!$F$9:$F$179,0),MATCH(L$8,Projection!$F$9:$BE$9,0)),0)</f>
        <v>-82421.814442877163</v>
      </c>
      <c r="M155" s="220">
        <f t="array" ref="M155">IFERROR(INDEX(Projection!$F$9:$BE$179,MATCH($A155,Projection!$F$9:$F$179,0),MATCH(M$8,Projection!$F$9:$BE$9,0)),0)</f>
        <v>-73116.2277846371</v>
      </c>
      <c r="N155" s="237">
        <f t="array" ref="N155">IFERROR(INDEX(Projection!$F$9:$BE$179,MATCH($A155,Projection!$F$9:$F$179,0),MATCH(N$8,Projection!$F$9:$BE$9,0)),0)</f>
        <v>-65584.590938878129</v>
      </c>
      <c r="O155" s="220">
        <f t="array" ref="O155">IFERROR(INDEX(Projection!$F$9:$BE$179,MATCH($A155,Projection!$F$9:$F$179,0),MATCH(O$8,Projection!$F$9:$BE$9,0)),0)</f>
        <v>-60096.118315029518</v>
      </c>
      <c r="P155" s="237">
        <f t="array" ref="P155">IFERROR(INDEX(Projection!$F$9:$BE$179,MATCH($A155,Projection!$F$9:$F$179,0),MATCH(P$8,Projection!$F$9:$BE$9,0)),0)</f>
        <v>-55725.570445098914</v>
      </c>
      <c r="Q155" s="220">
        <f t="array" ref="Q155">IFERROR(INDEX(Projection!$F$9:$BE$179,MATCH($A155,Projection!$F$9:$F$179,0),MATCH(Q$8,Projection!$F$9:$BE$9,0)),0)</f>
        <v>-51778.673919789944</v>
      </c>
      <c r="R155" s="237">
        <f t="array" ref="R155">IFERROR(INDEX(Projection!$F$9:$BE$179,MATCH($A155,Projection!$F$9:$F$179,0),MATCH(R$8,Projection!$F$9:$BE$9,0)),0)</f>
        <v>-47187.375415914503</v>
      </c>
      <c r="S155" s="220">
        <f t="array" ref="S155">IFERROR(INDEX(Projection!$F$9:$BE$179,MATCH($A155,Projection!$F$9:$F$179,0),MATCH(S$8,Projection!$F$9:$BE$9,0)),0)</f>
        <v>-44139.738177678759</v>
      </c>
      <c r="T155" s="30">
        <f t="array" ref="T155">IFERROR(INDEX(Projection!$F$9:$BE$179,MATCH($A155,Projection!$F$9:$F$179,0),MATCH(T$8,Projection!$F$9:$BE$9,0)),0)</f>
        <v>-43197.804969191769</v>
      </c>
      <c r="U155" s="151">
        <f t="array" ref="U155">IFERROR(INDEX(Projection!$F$9:$BE$179,MATCH($A155,Projection!$F$9:$F$179,0),MATCH(U$8,Projection!$F$9:$BE$9,0)),0)</f>
        <v>0</v>
      </c>
      <c r="V155" s="644">
        <f>SUMIF(Projection!$F:$F,$A155,Projection!BW:BW)</f>
        <v>-810998.64270235912</v>
      </c>
      <c r="W155" s="237">
        <f>SUMIF(Projection!$F:$F,$A155,Projection!BX:BX)</f>
        <v>-117324.82183624816</v>
      </c>
      <c r="X155" s="220">
        <f>SUMIF(Projection!$F:$F,$A155,Projection!BY:BY)</f>
        <v>549544.2079199499</v>
      </c>
      <c r="Y155" s="237">
        <f>SUMIF(Projection!$F:$F,$A155,Projection!BZ:BZ)</f>
        <v>826295.75056757499</v>
      </c>
      <c r="Z155" s="220">
        <f>SUMIF(Projection!$F:$F,$A155,Projection!CA:CA)</f>
        <v>886469.74565512396</v>
      </c>
      <c r="AA155" s="237">
        <f>SUMIF(Projection!$F:$F,$A155,Projection!CB:CB)</f>
        <v>961179.33534929482</v>
      </c>
      <c r="AB155" s="220">
        <f>SUMIF(Projection!$F:$F,$A155,Projection!CC:CC)</f>
        <v>1038985.3219915353</v>
      </c>
      <c r="AC155" s="237">
        <f>SUMIF(Projection!$F:$F,$A155,Projection!CD:CD)</f>
        <v>1120014.1198925539</v>
      </c>
      <c r="AD155" s="220">
        <f>SUMIF(Projection!$F:$F,$A155,Projection!CE:CE)</f>
        <v>1204397.2624772915</v>
      </c>
      <c r="AE155" s="237">
        <f>SUMIF(Projection!$F:$F,$A155,Projection!CF:CF)</f>
        <v>1292271.6085988511</v>
      </c>
      <c r="AF155" s="220">
        <f>SUMIF(Projection!$F:$F,$A155,Projection!CG:CG)</f>
        <v>1383779.5571435695</v>
      </c>
      <c r="AG155" s="237">
        <f>SUMIF(Projection!$F:$F,$A155,Projection!CH:CH)</f>
        <v>1479069.2702598474</v>
      </c>
      <c r="AH155" s="220">
        <f>SUMIF(Projection!$F:$F,$A155,Projection!CI:CI)</f>
        <v>1578294.9055566797</v>
      </c>
      <c r="AI155" s="237">
        <f>SUMIF(Projection!$F:$F,$A155,Projection!CJ:CJ)</f>
        <v>1681616.8576316778</v>
      </c>
      <c r="AJ155" s="645">
        <f>SUMIF(Projection!$F:$F,$A155,Projection!CK:CK)</f>
        <v>1789202.0093028075</v>
      </c>
    </row>
    <row r="156" spans="1:36" ht="14.25" customHeight="1" x14ac:dyDescent="0.2"/>
    <row r="157" spans="1:36" ht="14.25" customHeight="1" x14ac:dyDescent="0.2"/>
    <row r="158" spans="1:36" ht="14.25" customHeight="1" x14ac:dyDescent="0.2"/>
    <row r="159" spans="1:36" ht="14.25" customHeight="1" x14ac:dyDescent="0.2"/>
    <row r="160" spans="1:36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C1:H7"/>
    <mergeCell ref="I3:K3"/>
    <mergeCell ref="L3:U6"/>
  </mergeCells>
  <conditionalFormatting sqref="H19:T21">
    <cfRule type="cellIs" dxfId="3" priority="1" stopIfTrue="1" operator="greaterThan">
      <formula>1</formula>
    </cfRule>
  </conditionalFormatting>
  <pageMargins left="0.7" right="0.7" top="0.75" bottom="0.75" header="0" footer="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T1000"/>
  <sheetViews>
    <sheetView showGridLines="0" workbookViewId="0">
      <pane xSplit="4" topLeftCell="E1" activePane="topRight" state="frozen"/>
      <selection pane="topRight" activeCell="F2" sqref="F2"/>
    </sheetView>
  </sheetViews>
  <sheetFormatPr baseColWidth="10" defaultColWidth="14.5" defaultRowHeight="15" customHeight="1" x14ac:dyDescent="0.2"/>
  <cols>
    <col min="1" max="1" width="3.33203125" customWidth="1"/>
    <col min="2" max="2" width="27.83203125" customWidth="1"/>
    <col min="3" max="3" width="12.1640625" customWidth="1"/>
    <col min="4" max="5" width="10.6640625" customWidth="1"/>
    <col min="6" max="6" width="11.1640625" customWidth="1"/>
    <col min="7" max="7" width="10.6640625" customWidth="1"/>
    <col min="8" max="8" width="11.1640625" customWidth="1"/>
    <col min="9" max="9" width="10.6640625" customWidth="1"/>
    <col min="10" max="10" width="11.6640625" customWidth="1"/>
    <col min="11" max="254" width="10.6640625" customWidth="1"/>
  </cols>
  <sheetData>
    <row r="2" spans="1:254" x14ac:dyDescent="0.2">
      <c r="C2" s="11"/>
      <c r="F2" s="202">
        <f>1</f>
        <v>1</v>
      </c>
      <c r="G2" s="202">
        <v>1</v>
      </c>
      <c r="H2" s="202">
        <v>1</v>
      </c>
      <c r="I2" s="202">
        <v>1</v>
      </c>
      <c r="J2" s="202">
        <v>1</v>
      </c>
      <c r="K2" s="202">
        <v>1</v>
      </c>
      <c r="L2" s="202">
        <v>1</v>
      </c>
      <c r="M2" s="202">
        <v>1</v>
      </c>
      <c r="N2" s="202">
        <v>1</v>
      </c>
      <c r="O2" s="202">
        <v>1</v>
      </c>
      <c r="P2" s="202">
        <v>1</v>
      </c>
      <c r="Q2" s="202">
        <v>1</v>
      </c>
      <c r="R2" s="202">
        <v>2</v>
      </c>
      <c r="S2" s="202">
        <v>2</v>
      </c>
      <c r="T2" s="202">
        <v>2</v>
      </c>
      <c r="U2" s="202">
        <v>2</v>
      </c>
      <c r="V2" s="202">
        <v>2</v>
      </c>
      <c r="W2" s="202">
        <v>2</v>
      </c>
      <c r="X2" s="202">
        <v>2</v>
      </c>
      <c r="Y2" s="202">
        <v>2</v>
      </c>
      <c r="Z2" s="202">
        <v>2</v>
      </c>
      <c r="AA2" s="202">
        <v>2</v>
      </c>
      <c r="AB2" s="202">
        <v>2</v>
      </c>
      <c r="AC2" s="202">
        <v>2</v>
      </c>
      <c r="AD2" s="202">
        <v>3</v>
      </c>
      <c r="AE2" s="202">
        <v>3</v>
      </c>
      <c r="AF2" s="202">
        <v>3</v>
      </c>
      <c r="AG2" s="202">
        <v>3</v>
      </c>
      <c r="AH2" s="202">
        <v>3</v>
      </c>
      <c r="AI2" s="202">
        <v>3</v>
      </c>
      <c r="AJ2" s="202">
        <v>3</v>
      </c>
      <c r="AK2" s="202">
        <v>3</v>
      </c>
      <c r="AL2" s="202">
        <v>3</v>
      </c>
      <c r="AM2" s="202">
        <v>3</v>
      </c>
      <c r="AN2" s="202">
        <v>3</v>
      </c>
      <c r="AO2" s="202">
        <v>3</v>
      </c>
      <c r="AP2" s="202">
        <v>4</v>
      </c>
      <c r="AQ2" s="202">
        <v>4</v>
      </c>
      <c r="AR2" s="202">
        <v>4</v>
      </c>
      <c r="AS2" s="202">
        <v>4</v>
      </c>
      <c r="AT2" s="202">
        <v>4</v>
      </c>
      <c r="AU2" s="202">
        <v>4</v>
      </c>
      <c r="AV2" s="202">
        <v>4</v>
      </c>
      <c r="AW2" s="202">
        <v>4</v>
      </c>
      <c r="AX2" s="202">
        <v>4</v>
      </c>
      <c r="AY2" s="202">
        <v>4</v>
      </c>
      <c r="AZ2" s="202">
        <v>4</v>
      </c>
      <c r="BA2" s="202">
        <v>4</v>
      </c>
      <c r="BB2" s="202">
        <v>5</v>
      </c>
      <c r="BC2" s="202">
        <v>5</v>
      </c>
      <c r="BD2" s="202">
        <v>5</v>
      </c>
      <c r="BE2" s="202">
        <v>5</v>
      </c>
      <c r="BF2" s="202">
        <v>5</v>
      </c>
      <c r="BG2" s="202">
        <v>5</v>
      </c>
      <c r="BH2" s="202">
        <v>5</v>
      </c>
      <c r="BI2" s="202">
        <v>5</v>
      </c>
      <c r="BJ2" s="202">
        <v>5</v>
      </c>
      <c r="BK2" s="202">
        <v>5</v>
      </c>
      <c r="BL2" s="202">
        <v>5</v>
      </c>
      <c r="BM2" s="202">
        <v>5</v>
      </c>
      <c r="BN2" s="202">
        <v>6</v>
      </c>
      <c r="BO2" s="202">
        <v>6</v>
      </c>
      <c r="BP2" s="202">
        <v>6</v>
      </c>
      <c r="BQ2" s="202">
        <v>6</v>
      </c>
      <c r="BR2" s="202">
        <v>6</v>
      </c>
      <c r="BS2" s="202">
        <v>6</v>
      </c>
      <c r="BT2" s="202">
        <v>6</v>
      </c>
      <c r="BU2" s="202">
        <v>6</v>
      </c>
      <c r="BV2" s="202">
        <v>6</v>
      </c>
      <c r="BW2" s="202">
        <v>6</v>
      </c>
      <c r="BX2" s="202">
        <v>6</v>
      </c>
      <c r="BY2" s="202">
        <v>6</v>
      </c>
      <c r="BZ2" s="202">
        <v>7</v>
      </c>
      <c r="CA2" s="202">
        <v>7</v>
      </c>
      <c r="CB2" s="202">
        <v>7</v>
      </c>
      <c r="CC2" s="202">
        <v>7</v>
      </c>
      <c r="CD2" s="202">
        <v>7</v>
      </c>
      <c r="CE2" s="202">
        <v>7</v>
      </c>
      <c r="CF2" s="202">
        <v>7</v>
      </c>
      <c r="CG2" s="202">
        <v>7</v>
      </c>
      <c r="CH2" s="202">
        <v>7</v>
      </c>
      <c r="CI2" s="202">
        <v>7</v>
      </c>
      <c r="CJ2" s="202">
        <v>7</v>
      </c>
      <c r="CK2" s="202">
        <v>7</v>
      </c>
      <c r="CL2" s="202">
        <v>8</v>
      </c>
      <c r="CM2" s="202">
        <v>8</v>
      </c>
      <c r="CN2" s="202">
        <v>8</v>
      </c>
      <c r="CO2" s="202">
        <v>8</v>
      </c>
      <c r="CP2" s="202">
        <v>8</v>
      </c>
      <c r="CQ2" s="202">
        <v>8</v>
      </c>
      <c r="CR2" s="202">
        <v>8</v>
      </c>
      <c r="CS2" s="202">
        <v>8</v>
      </c>
      <c r="CT2" s="202">
        <v>8</v>
      </c>
      <c r="CU2" s="202">
        <v>8</v>
      </c>
      <c r="CV2" s="202">
        <v>8</v>
      </c>
      <c r="CW2" s="202">
        <v>8</v>
      </c>
      <c r="CX2" s="202">
        <v>9</v>
      </c>
      <c r="CY2" s="202">
        <v>9</v>
      </c>
      <c r="CZ2" s="202">
        <v>9</v>
      </c>
      <c r="DA2" s="202">
        <v>9</v>
      </c>
      <c r="DB2" s="202">
        <v>9</v>
      </c>
      <c r="DC2" s="202">
        <v>9</v>
      </c>
      <c r="DD2" s="202">
        <v>9</v>
      </c>
      <c r="DE2" s="202">
        <v>9</v>
      </c>
      <c r="DF2" s="202">
        <v>9</v>
      </c>
      <c r="DG2" s="202">
        <v>9</v>
      </c>
      <c r="DH2" s="202">
        <v>9</v>
      </c>
      <c r="DI2" s="202">
        <v>9</v>
      </c>
      <c r="DJ2" s="202">
        <v>10</v>
      </c>
      <c r="DK2" s="202">
        <v>10</v>
      </c>
      <c r="DL2" s="202">
        <v>10</v>
      </c>
      <c r="DM2" s="202">
        <v>10</v>
      </c>
      <c r="DN2" s="202">
        <v>10</v>
      </c>
      <c r="DO2" s="202">
        <v>10</v>
      </c>
      <c r="DP2" s="202">
        <v>10</v>
      </c>
      <c r="DQ2" s="202">
        <v>10</v>
      </c>
      <c r="DR2" s="202">
        <v>10</v>
      </c>
      <c r="DS2" s="202">
        <v>10</v>
      </c>
      <c r="DT2" s="202">
        <v>10</v>
      </c>
      <c r="DU2" s="202">
        <v>10</v>
      </c>
      <c r="DV2" s="202">
        <v>11</v>
      </c>
      <c r="DW2" s="202">
        <v>11</v>
      </c>
      <c r="DX2" s="202">
        <v>11</v>
      </c>
      <c r="DY2" s="202">
        <v>11</v>
      </c>
      <c r="DZ2" s="202">
        <v>11</v>
      </c>
      <c r="EA2" s="202">
        <v>11</v>
      </c>
      <c r="EB2" s="202">
        <v>11</v>
      </c>
      <c r="EC2" s="202">
        <v>11</v>
      </c>
      <c r="ED2" s="202">
        <v>11</v>
      </c>
      <c r="EE2" s="202">
        <v>11</v>
      </c>
      <c r="EF2" s="202">
        <v>11</v>
      </c>
      <c r="EG2" s="202">
        <v>11</v>
      </c>
      <c r="EH2" s="202">
        <v>12</v>
      </c>
      <c r="EI2" s="202">
        <v>12</v>
      </c>
      <c r="EJ2" s="202">
        <v>12</v>
      </c>
      <c r="EK2" s="202">
        <v>12</v>
      </c>
      <c r="EL2" s="202">
        <v>12</v>
      </c>
      <c r="EM2" s="202">
        <v>12</v>
      </c>
      <c r="EN2" s="202">
        <v>12</v>
      </c>
      <c r="EO2" s="202">
        <v>12</v>
      </c>
      <c r="EP2" s="202">
        <v>12</v>
      </c>
      <c r="EQ2" s="202">
        <v>12</v>
      </c>
      <c r="ER2" s="202">
        <v>12</v>
      </c>
      <c r="ES2" s="202">
        <v>12</v>
      </c>
      <c r="ET2" s="202">
        <v>13</v>
      </c>
      <c r="EU2" s="202">
        <v>13</v>
      </c>
      <c r="EV2" s="202">
        <v>13</v>
      </c>
      <c r="EW2" s="202">
        <v>13</v>
      </c>
      <c r="EX2" s="202">
        <v>13</v>
      </c>
      <c r="EY2" s="202">
        <v>13</v>
      </c>
      <c r="EZ2" s="202">
        <v>13</v>
      </c>
      <c r="FA2" s="202">
        <v>13</v>
      </c>
      <c r="FB2" s="202">
        <v>13</v>
      </c>
      <c r="FC2" s="202">
        <v>13</v>
      </c>
      <c r="FD2" s="202">
        <v>13</v>
      </c>
      <c r="FE2" s="202">
        <v>13</v>
      </c>
      <c r="FF2" s="202">
        <v>14</v>
      </c>
      <c r="FG2" s="202">
        <v>14</v>
      </c>
      <c r="FH2" s="202">
        <v>14</v>
      </c>
      <c r="FI2" s="202">
        <v>14</v>
      </c>
      <c r="FJ2" s="202">
        <v>14</v>
      </c>
      <c r="FK2" s="202">
        <v>14</v>
      </c>
      <c r="FL2" s="202">
        <v>14</v>
      </c>
      <c r="FM2" s="202">
        <v>14</v>
      </c>
      <c r="FN2" s="202">
        <v>14</v>
      </c>
      <c r="FO2" s="202">
        <v>14</v>
      </c>
      <c r="FP2" s="202">
        <v>14</v>
      </c>
      <c r="FQ2" s="202">
        <v>14</v>
      </c>
      <c r="FR2" s="202">
        <v>15</v>
      </c>
      <c r="FS2" s="202">
        <v>15</v>
      </c>
      <c r="FT2" s="202">
        <v>15</v>
      </c>
      <c r="FU2" s="202">
        <v>15</v>
      </c>
      <c r="FV2" s="202">
        <v>15</v>
      </c>
      <c r="FW2" s="202">
        <v>15</v>
      </c>
      <c r="FX2" s="202">
        <v>15</v>
      </c>
      <c r="FY2" s="202">
        <v>15</v>
      </c>
      <c r="FZ2" s="202">
        <v>15</v>
      </c>
      <c r="GA2" s="202">
        <v>15</v>
      </c>
      <c r="GB2" s="202">
        <v>15</v>
      </c>
      <c r="GC2" s="202">
        <v>15</v>
      </c>
      <c r="GD2" s="202">
        <v>16</v>
      </c>
      <c r="GE2" s="202">
        <v>16</v>
      </c>
      <c r="GF2" s="202">
        <v>16</v>
      </c>
      <c r="GG2" s="202">
        <v>16</v>
      </c>
      <c r="GH2" s="202">
        <v>16</v>
      </c>
      <c r="GI2" s="202">
        <v>16</v>
      </c>
      <c r="GJ2" s="202">
        <v>16</v>
      </c>
      <c r="GK2" s="202">
        <v>16</v>
      </c>
      <c r="GL2" s="202">
        <v>16</v>
      </c>
      <c r="GM2" s="202">
        <v>16</v>
      </c>
      <c r="GN2" s="202">
        <v>16</v>
      </c>
      <c r="GO2" s="202">
        <v>16</v>
      </c>
      <c r="GP2" s="202">
        <v>17</v>
      </c>
      <c r="GQ2" s="202">
        <v>17</v>
      </c>
      <c r="GR2" s="202">
        <v>17</v>
      </c>
      <c r="GS2" s="202">
        <v>17</v>
      </c>
      <c r="GT2" s="202">
        <v>17</v>
      </c>
      <c r="GU2" s="202">
        <v>17</v>
      </c>
      <c r="GV2" s="202">
        <v>17</v>
      </c>
      <c r="GW2" s="202">
        <v>17</v>
      </c>
      <c r="GX2" s="202">
        <v>17</v>
      </c>
      <c r="GY2" s="202">
        <v>17</v>
      </c>
      <c r="GZ2" s="202">
        <v>17</v>
      </c>
      <c r="HA2" s="202">
        <v>17</v>
      </c>
      <c r="HB2" s="202">
        <v>18</v>
      </c>
      <c r="HC2" s="202">
        <v>18</v>
      </c>
      <c r="HD2" s="202">
        <v>18</v>
      </c>
      <c r="HE2" s="202">
        <v>18</v>
      </c>
      <c r="HF2" s="202">
        <v>18</v>
      </c>
      <c r="HG2" s="202">
        <v>18</v>
      </c>
      <c r="HH2" s="202">
        <v>18</v>
      </c>
      <c r="HI2" s="202">
        <v>18</v>
      </c>
      <c r="HJ2" s="202">
        <v>18</v>
      </c>
      <c r="HK2" s="202">
        <v>18</v>
      </c>
      <c r="HL2" s="202">
        <v>18</v>
      </c>
      <c r="HM2" s="202">
        <v>18</v>
      </c>
      <c r="HN2" s="202">
        <v>19</v>
      </c>
      <c r="HO2" s="202">
        <v>19</v>
      </c>
      <c r="HP2" s="202">
        <v>19</v>
      </c>
      <c r="HQ2" s="202">
        <v>19</v>
      </c>
      <c r="HR2" s="202">
        <v>19</v>
      </c>
      <c r="HS2" s="202">
        <v>19</v>
      </c>
      <c r="HT2" s="202">
        <v>19</v>
      </c>
      <c r="HU2" s="202">
        <v>19</v>
      </c>
      <c r="HV2" s="202">
        <v>19</v>
      </c>
      <c r="HW2" s="202">
        <v>19</v>
      </c>
      <c r="HX2" s="202">
        <v>19</v>
      </c>
      <c r="HY2" s="202">
        <v>19</v>
      </c>
      <c r="HZ2" s="202">
        <v>20</v>
      </c>
      <c r="IA2" s="202">
        <v>20</v>
      </c>
      <c r="IB2" s="202">
        <v>20</v>
      </c>
      <c r="IC2" s="202">
        <v>20</v>
      </c>
      <c r="ID2" s="202">
        <v>20</v>
      </c>
      <c r="IE2" s="202">
        <v>20</v>
      </c>
      <c r="IF2" s="202">
        <v>20</v>
      </c>
      <c r="IG2" s="202">
        <v>20</v>
      </c>
      <c r="IH2" s="202">
        <v>20</v>
      </c>
      <c r="II2" s="202">
        <v>20</v>
      </c>
      <c r="IJ2" s="202">
        <v>20</v>
      </c>
      <c r="IK2" s="202">
        <v>20</v>
      </c>
    </row>
    <row r="3" spans="1:254" ht="14.25" customHeight="1" x14ac:dyDescent="0.2">
      <c r="A3" s="11"/>
      <c r="B3" s="292" t="s">
        <v>391</v>
      </c>
      <c r="C3" s="35">
        <f>Projection!H174</f>
        <v>9687379</v>
      </c>
      <c r="E3" s="302"/>
      <c r="F3" s="35">
        <f>C3</f>
        <v>9687379</v>
      </c>
      <c r="G3" s="35">
        <f t="shared" ref="G3:IK3" si="0">F7</f>
        <v>9676336.2425801959</v>
      </c>
      <c r="H3" s="35">
        <f t="shared" si="0"/>
        <v>9665224.467926519</v>
      </c>
      <c r="I3" s="35">
        <f t="shared" si="0"/>
        <v>9654043.2446812559</v>
      </c>
      <c r="J3" s="35">
        <f t="shared" si="0"/>
        <v>9642792.1387907099</v>
      </c>
      <c r="K3" s="35">
        <f t="shared" si="0"/>
        <v>9631470.7134883478</v>
      </c>
      <c r="L3" s="35">
        <f t="shared" si="0"/>
        <v>9620078.5292778462</v>
      </c>
      <c r="M3" s="35">
        <f t="shared" si="0"/>
        <v>9608615.1439160295</v>
      </c>
      <c r="N3" s="35">
        <f t="shared" si="0"/>
        <v>9597080.1123957001</v>
      </c>
      <c r="O3" s="35">
        <f t="shared" si="0"/>
        <v>9585472.9869283698</v>
      </c>
      <c r="P3" s="35">
        <f t="shared" si="0"/>
        <v>9573793.3169268686</v>
      </c>
      <c r="Q3" s="35">
        <f t="shared" si="0"/>
        <v>9562040.6489878576</v>
      </c>
      <c r="R3" s="35">
        <f t="shared" si="0"/>
        <v>9550214.5268742274</v>
      </c>
      <c r="S3" s="35">
        <f t="shared" si="0"/>
        <v>9538314.4914973881</v>
      </c>
      <c r="T3" s="35">
        <f t="shared" si="0"/>
        <v>9526340.0808994435</v>
      </c>
      <c r="U3" s="35">
        <f t="shared" si="0"/>
        <v>9514290.8302352615</v>
      </c>
      <c r="V3" s="35">
        <f t="shared" si="0"/>
        <v>9502166.2717544287</v>
      </c>
      <c r="W3" s="35">
        <f t="shared" si="0"/>
        <v>9489965.9347830899</v>
      </c>
      <c r="X3" s="35">
        <f t="shared" si="0"/>
        <v>9477689.3457056805</v>
      </c>
      <c r="Y3" s="35">
        <f t="shared" si="0"/>
        <v>9465336.0279465374</v>
      </c>
      <c r="Z3" s="35">
        <f t="shared" si="0"/>
        <v>9452905.5019514002</v>
      </c>
      <c r="AA3" s="35">
        <f t="shared" si="0"/>
        <v>9440397.2851687931</v>
      </c>
      <c r="AB3" s="35">
        <f t="shared" si="0"/>
        <v>9427810.8920312934</v>
      </c>
      <c r="AC3" s="35">
        <f t="shared" si="0"/>
        <v>9415145.8339366857</v>
      </c>
      <c r="AD3" s="35">
        <f t="shared" si="0"/>
        <v>9402401.619228987</v>
      </c>
      <c r="AE3" s="35">
        <f t="shared" si="0"/>
        <v>9389577.7531793639</v>
      </c>
      <c r="AF3" s="35">
        <f t="shared" si="0"/>
        <v>9376673.7379669305</v>
      </c>
      <c r="AG3" s="35">
        <f t="shared" si="0"/>
        <v>9363689.0726594198</v>
      </c>
      <c r="AH3" s="35">
        <f t="shared" si="0"/>
        <v>9350623.2531937379</v>
      </c>
      <c r="AI3" s="35">
        <f t="shared" si="0"/>
        <v>9337475.7723563947</v>
      </c>
      <c r="AJ3" s="35">
        <f t="shared" si="0"/>
        <v>9324246.1197638176</v>
      </c>
      <c r="AK3" s="35">
        <f t="shared" si="0"/>
        <v>9310933.7818425372</v>
      </c>
      <c r="AL3" s="35">
        <f t="shared" si="0"/>
        <v>9297538.2418092489</v>
      </c>
      <c r="AM3" s="35">
        <f t="shared" si="0"/>
        <v>9284058.9796507526</v>
      </c>
      <c r="AN3" s="35">
        <f t="shared" si="0"/>
        <v>9270495.4721037652</v>
      </c>
      <c r="AO3" s="35">
        <f t="shared" si="0"/>
        <v>9256847.1926346105</v>
      </c>
      <c r="AP3" s="35">
        <f t="shared" si="0"/>
        <v>9243113.6114187725</v>
      </c>
      <c r="AQ3" s="35">
        <f t="shared" si="0"/>
        <v>9229294.1953203361</v>
      </c>
      <c r="AR3" s="35">
        <f t="shared" si="0"/>
        <v>9215388.4078712836</v>
      </c>
      <c r="AS3" s="35">
        <f t="shared" si="0"/>
        <v>9201395.7092506755</v>
      </c>
      <c r="AT3" s="35">
        <f t="shared" si="0"/>
        <v>9187315.556263689</v>
      </c>
      <c r="AU3" s="35">
        <f t="shared" si="0"/>
        <v>9173147.402320534</v>
      </c>
      <c r="AV3" s="35">
        <f t="shared" si="0"/>
        <v>9158890.6974152327</v>
      </c>
      <c r="AW3" s="35">
        <f t="shared" si="0"/>
        <v>9144544.8881042749</v>
      </c>
      <c r="AX3" s="35">
        <f t="shared" si="0"/>
        <v>9130109.4174851235</v>
      </c>
      <c r="AY3" s="35">
        <f t="shared" si="0"/>
        <v>9115583.7251746021</v>
      </c>
      <c r="AZ3" s="35">
        <f t="shared" si="0"/>
        <v>9100967.2472871393</v>
      </c>
      <c r="BA3" s="35">
        <f t="shared" si="0"/>
        <v>9086259.4164128806</v>
      </c>
      <c r="BB3" s="35">
        <f t="shared" si="0"/>
        <v>9071459.6615956575</v>
      </c>
      <c r="BC3" s="35">
        <f t="shared" si="0"/>
        <v>9056567.4083108269</v>
      </c>
      <c r="BD3" s="35">
        <f t="shared" si="0"/>
        <v>9041582.0784429666</v>
      </c>
      <c r="BE3" s="35">
        <f t="shared" si="0"/>
        <v>9026503.0902634319</v>
      </c>
      <c r="BF3" s="35">
        <f t="shared" si="0"/>
        <v>9011329.8584077749</v>
      </c>
      <c r="BG3" s="35">
        <f t="shared" si="0"/>
        <v>8996061.7938530203</v>
      </c>
      <c r="BH3" s="35">
        <f t="shared" si="0"/>
        <v>8980698.3038947973</v>
      </c>
      <c r="BI3" s="35">
        <f t="shared" si="0"/>
        <v>8965238.7921243366</v>
      </c>
      <c r="BJ3" s="35">
        <f t="shared" si="0"/>
        <v>8949682.6584053095</v>
      </c>
      <c r="BK3" s="35">
        <f t="shared" si="0"/>
        <v>8934029.2988505382</v>
      </c>
      <c r="BL3" s="35">
        <f t="shared" si="0"/>
        <v>8918278.10579855</v>
      </c>
      <c r="BM3" s="35">
        <f t="shared" si="0"/>
        <v>8902428.4677899871</v>
      </c>
      <c r="BN3" s="35">
        <f t="shared" si="0"/>
        <v>8886479.7695438713</v>
      </c>
      <c r="BO3" s="35">
        <f t="shared" si="0"/>
        <v>8870431.3919337168</v>
      </c>
      <c r="BP3" s="35">
        <f t="shared" si="0"/>
        <v>8854282.711963499</v>
      </c>
      <c r="BQ3" s="35">
        <f t="shared" si="0"/>
        <v>8838033.1027434673</v>
      </c>
      <c r="BR3" s="35">
        <f t="shared" si="0"/>
        <v>8821681.9334658105</v>
      </c>
      <c r="BS3" s="35">
        <f t="shared" si="0"/>
        <v>8805228.5693801679</v>
      </c>
      <c r="BT3" s="35">
        <f t="shared" si="0"/>
        <v>8788672.3717689905</v>
      </c>
      <c r="BU3" s="35">
        <f t="shared" si="0"/>
        <v>8772012.6979227439</v>
      </c>
      <c r="BV3" s="35">
        <f t="shared" si="0"/>
        <v>8755248.9011149574</v>
      </c>
      <c r="BW3" s="35">
        <f t="shared" si="0"/>
        <v>8738380.330577122</v>
      </c>
      <c r="BX3" s="35">
        <f t="shared" si="0"/>
        <v>8721406.331473425</v>
      </c>
      <c r="BY3" s="35">
        <f t="shared" si="0"/>
        <v>8704326.2448753305</v>
      </c>
      <c r="BZ3" s="35">
        <f t="shared" si="0"/>
        <v>8687139.4077359978</v>
      </c>
      <c r="CA3" s="35">
        <f t="shared" si="0"/>
        <v>8669845.1528645437</v>
      </c>
      <c r="CB3" s="35">
        <f t="shared" si="0"/>
        <v>8652442.808900144</v>
      </c>
      <c r="CC3" s="35">
        <f t="shared" si="0"/>
        <v>8634931.7002859656</v>
      </c>
      <c r="CD3" s="35">
        <f t="shared" si="0"/>
        <v>8617311.1472429484</v>
      </c>
      <c r="CE3" s="35">
        <f t="shared" si="0"/>
        <v>8599580.4657434132</v>
      </c>
      <c r="CF3" s="35">
        <f t="shared" si="0"/>
        <v>8581738.9674845058</v>
      </c>
      <c r="CG3" s="35">
        <f t="shared" si="0"/>
        <v>8563785.9598614797</v>
      </c>
      <c r="CH3" s="35">
        <f t="shared" si="0"/>
        <v>8545720.7459408101</v>
      </c>
      <c r="CI3" s="35">
        <f t="shared" si="0"/>
        <v>8527542.6244331356</v>
      </c>
      <c r="CJ3" s="35">
        <f t="shared" si="0"/>
        <v>8509250.8896660395</v>
      </c>
      <c r="CK3" s="35">
        <f t="shared" si="0"/>
        <v>8490844.831556648</v>
      </c>
      <c r="CL3" s="35">
        <f t="shared" si="0"/>
        <v>8472323.7355840728</v>
      </c>
      <c r="CM3" s="35">
        <f t="shared" si="0"/>
        <v>8453686.8827616703</v>
      </c>
      <c r="CN3" s="35">
        <f t="shared" si="0"/>
        <v>8434933.5496091265</v>
      </c>
      <c r="CO3" s="35">
        <f t="shared" si="0"/>
        <v>8416063.0081243794</v>
      </c>
      <c r="CP3" s="35">
        <f t="shared" si="0"/>
        <v>8397074.5257553533</v>
      </c>
      <c r="CQ3" s="35">
        <f t="shared" si="0"/>
        <v>8377967.3653715206</v>
      </c>
      <c r="CR3" s="35">
        <f t="shared" si="0"/>
        <v>8358740.7852352886</v>
      </c>
      <c r="CS3" s="35">
        <f t="shared" si="0"/>
        <v>8339394.0389732057</v>
      </c>
      <c r="CT3" s="35">
        <f t="shared" si="0"/>
        <v>8319926.3755469844</v>
      </c>
      <c r="CU3" s="35">
        <f t="shared" si="0"/>
        <v>8300337.039224349</v>
      </c>
      <c r="CV3" s="35">
        <f t="shared" si="0"/>
        <v>8280625.2695496976</v>
      </c>
      <c r="CW3" s="35">
        <f t="shared" si="0"/>
        <v>8260790.3013145793</v>
      </c>
      <c r="CX3" s="35">
        <f t="shared" si="0"/>
        <v>8240831.364527992</v>
      </c>
      <c r="CY3" s="35">
        <f t="shared" si="0"/>
        <v>8220747.6843864881</v>
      </c>
      <c r="CZ3" s="35">
        <f t="shared" si="0"/>
        <v>8200538.4812441003</v>
      </c>
      <c r="DA3" s="35">
        <f t="shared" si="0"/>
        <v>8180202.9705820717</v>
      </c>
      <c r="DB3" s="35">
        <f t="shared" si="0"/>
        <v>8159740.3629784063</v>
      </c>
      <c r="DC3" s="35">
        <f t="shared" si="0"/>
        <v>8139149.8640772179</v>
      </c>
      <c r="DD3" s="35">
        <f t="shared" si="0"/>
        <v>8118430.6745578963</v>
      </c>
      <c r="DE3" s="35">
        <f t="shared" si="0"/>
        <v>8097581.9901040792</v>
      </c>
      <c r="DF3" s="35">
        <f t="shared" si="0"/>
        <v>8076603.0013724258</v>
      </c>
      <c r="DG3" s="35">
        <f t="shared" si="0"/>
        <v>8055492.8939611996</v>
      </c>
      <c r="DH3" s="35">
        <f t="shared" si="0"/>
        <v>8034250.8483786536</v>
      </c>
      <c r="DI3" s="35">
        <f t="shared" si="0"/>
        <v>8012876.0400112169</v>
      </c>
      <c r="DJ3" s="35">
        <f t="shared" si="0"/>
        <v>7991367.6390914833</v>
      </c>
      <c r="DK3" s="35">
        <f t="shared" si="0"/>
        <v>7969724.8106660014</v>
      </c>
      <c r="DL3" s="35">
        <f t="shared" si="0"/>
        <v>7947946.7145628603</v>
      </c>
      <c r="DM3" s="35">
        <f t="shared" si="0"/>
        <v>7926032.5053590741</v>
      </c>
      <c r="DN3" s="35">
        <f t="shared" si="0"/>
        <v>7903981.3323477646</v>
      </c>
      <c r="DO3" s="35">
        <f t="shared" si="0"/>
        <v>7881792.3395051342</v>
      </c>
      <c r="DP3" s="35">
        <f t="shared" si="0"/>
        <v>7859464.6654572375</v>
      </c>
      <c r="DQ3" s="35">
        <f t="shared" si="0"/>
        <v>7836997.4434465412</v>
      </c>
      <c r="DR3" s="35">
        <f t="shared" si="0"/>
        <v>7814389.8012982784</v>
      </c>
      <c r="DS3" s="35">
        <f t="shared" si="0"/>
        <v>7791640.8613865888</v>
      </c>
      <c r="DT3" s="35">
        <f t="shared" si="0"/>
        <v>7768749.7406004509</v>
      </c>
      <c r="DU3" s="35">
        <f t="shared" si="0"/>
        <v>7745715.5503094001</v>
      </c>
      <c r="DV3" s="35">
        <f t="shared" si="0"/>
        <v>7722537.3963290304</v>
      </c>
      <c r="DW3" s="35">
        <f t="shared" si="0"/>
        <v>7699214.3788862834</v>
      </c>
      <c r="DX3" s="35">
        <f t="shared" si="0"/>
        <v>7675745.5925845187</v>
      </c>
      <c r="DY3" s="35">
        <f t="shared" si="0"/>
        <v>7652130.126368368</v>
      </c>
      <c r="DZ3" s="35">
        <f t="shared" si="0"/>
        <v>7628367.063488367</v>
      </c>
      <c r="EA3" s="35">
        <f t="shared" si="0"/>
        <v>7604455.4814653657</v>
      </c>
      <c r="EB3" s="35">
        <f t="shared" si="0"/>
        <v>7580394.4520547204</v>
      </c>
      <c r="EC3" s="35">
        <f t="shared" si="0"/>
        <v>7556183.0412102584</v>
      </c>
      <c r="ED3" s="35">
        <f t="shared" si="0"/>
        <v>7531820.3090480184</v>
      </c>
      <c r="EE3" s="35">
        <f t="shared" si="0"/>
        <v>7507305.3098097648</v>
      </c>
      <c r="EF3" s="35">
        <f t="shared" si="0"/>
        <v>7482637.0918262722</v>
      </c>
      <c r="EG3" s="35">
        <f t="shared" si="0"/>
        <v>7457814.6974803824</v>
      </c>
      <c r="EH3" s="35">
        <f t="shared" si="0"/>
        <v>7432837.163169831</v>
      </c>
      <c r="EI3" s="35">
        <f t="shared" si="0"/>
        <v>7407703.5192698389</v>
      </c>
      <c r="EJ3" s="35">
        <f t="shared" si="0"/>
        <v>7382412.7900954718</v>
      </c>
      <c r="EK3" s="35">
        <f t="shared" si="0"/>
        <v>7356963.9938637652</v>
      </c>
      <c r="EL3" s="35">
        <f t="shared" si="0"/>
        <v>7331356.1426556101</v>
      </c>
      <c r="EM3" s="35">
        <f t="shared" si="0"/>
        <v>7305588.2423774041</v>
      </c>
      <c r="EN3" s="35">
        <f t="shared" si="0"/>
        <v>7279659.292722459</v>
      </c>
      <c r="EO3" s="35">
        <f t="shared" si="0"/>
        <v>7253568.287132171</v>
      </c>
      <c r="EP3" s="35">
        <f t="shared" si="0"/>
        <v>7227314.212756943</v>
      </c>
      <c r="EQ3" s="35">
        <f t="shared" si="0"/>
        <v>7200896.05041687</v>
      </c>
      <c r="ER3" s="35">
        <f t="shared" si="0"/>
        <v>7174312.7745621717</v>
      </c>
      <c r="ES3" s="35">
        <f t="shared" si="0"/>
        <v>7147563.3532333812</v>
      </c>
      <c r="ET3" s="35">
        <f t="shared" si="0"/>
        <v>7120646.748021286</v>
      </c>
      <c r="EU3" s="35">
        <f t="shared" si="0"/>
        <v>7093561.9140266152</v>
      </c>
      <c r="EV3" s="35">
        <f t="shared" si="0"/>
        <v>7066307.7998194778</v>
      </c>
      <c r="EW3" s="35">
        <f t="shared" si="0"/>
        <v>7038883.3473985456</v>
      </c>
      <c r="EX3" s="35">
        <f t="shared" si="0"/>
        <v>7011287.4921499826</v>
      </c>
      <c r="EY3" s="35">
        <f t="shared" si="0"/>
        <v>6983519.162806116</v>
      </c>
      <c r="EZ3" s="35">
        <f t="shared" si="0"/>
        <v>6955577.2814038508</v>
      </c>
      <c r="FA3" s="35">
        <f t="shared" si="0"/>
        <v>6927460.7632428212</v>
      </c>
      <c r="FB3" s="35">
        <f t="shared" si="0"/>
        <v>6899168.5168432854</v>
      </c>
      <c r="FC3" s="35">
        <f t="shared" si="0"/>
        <v>6870699.4439037526</v>
      </c>
      <c r="FD3" s="35">
        <f t="shared" si="0"/>
        <v>6842052.4392583473</v>
      </c>
      <c r="FE3" s="35">
        <f t="shared" si="0"/>
        <v>6813226.3908339078</v>
      </c>
      <c r="FF3" s="35">
        <f t="shared" si="0"/>
        <v>6784220.1796068158</v>
      </c>
      <c r="FG3" s="35">
        <f t="shared" si="0"/>
        <v>6755032.6795595549</v>
      </c>
      <c r="FH3" s="35">
        <f t="shared" si="0"/>
        <v>6725662.7576369988</v>
      </c>
      <c r="FI3" s="35">
        <f t="shared" si="0"/>
        <v>6696109.2737024259</v>
      </c>
      <c r="FJ3" s="35">
        <f t="shared" si="0"/>
        <v>6666371.080493262</v>
      </c>
      <c r="FK3" s="35">
        <f t="shared" si="0"/>
        <v>6636447.0235765409</v>
      </c>
      <c r="FL3" s="35">
        <f t="shared" si="0"/>
        <v>6606335.9413040904</v>
      </c>
      <c r="FM3" s="35">
        <f t="shared" si="0"/>
        <v>6576036.6647674376</v>
      </c>
      <c r="FN3" s="35">
        <f t="shared" si="0"/>
        <v>6545548.0177524304</v>
      </c>
      <c r="FO3" s="35">
        <f t="shared" si="0"/>
        <v>6514868.8166935798</v>
      </c>
      <c r="FP3" s="35">
        <f t="shared" si="0"/>
        <v>6483997.8706281111</v>
      </c>
      <c r="FQ3" s="35">
        <f t="shared" si="0"/>
        <v>6452933.9811497331</v>
      </c>
      <c r="FR3" s="35">
        <f t="shared" si="0"/>
        <v>6421675.9423621148</v>
      </c>
      <c r="FS3" s="35">
        <f t="shared" si="0"/>
        <v>6390222.5408320744</v>
      </c>
      <c r="FT3" s="35">
        <f t="shared" si="0"/>
        <v>6358572.5555424709</v>
      </c>
      <c r="FU3" s="35">
        <f t="shared" si="0"/>
        <v>6326724.7578448076</v>
      </c>
      <c r="FV3" s="35">
        <f t="shared" si="0"/>
        <v>6294677.9114115341</v>
      </c>
      <c r="FW3" s="35">
        <f t="shared" si="0"/>
        <v>6262430.7721880525</v>
      </c>
      <c r="FX3" s="35">
        <f t="shared" si="0"/>
        <v>6229982.088344424</v>
      </c>
      <c r="FY3" s="35">
        <f t="shared" si="0"/>
        <v>6197330.6002267729</v>
      </c>
      <c r="FZ3" s="35">
        <f t="shared" si="0"/>
        <v>6164475.0403083861</v>
      </c>
      <c r="GA3" s="35">
        <f t="shared" si="0"/>
        <v>6131414.1331405099</v>
      </c>
      <c r="GB3" s="35">
        <f t="shared" si="0"/>
        <v>6098146.5953028342</v>
      </c>
      <c r="GC3" s="35">
        <f t="shared" si="0"/>
        <v>6064671.1353536732</v>
      </c>
      <c r="GD3" s="35">
        <f t="shared" si="0"/>
        <v>6030986.4537798297</v>
      </c>
      <c r="GE3" s="35">
        <f t="shared" si="0"/>
        <v>5997091.2429461498</v>
      </c>
      <c r="GF3" s="35">
        <f t="shared" si="0"/>
        <v>5962984.1870447593</v>
      </c>
      <c r="GG3" s="35">
        <f t="shared" si="0"/>
        <v>5928663.9620439857</v>
      </c>
      <c r="GH3" s="35">
        <f t="shared" si="0"/>
        <v>5894129.235636957</v>
      </c>
      <c r="GI3" s="35">
        <f t="shared" si="0"/>
        <v>5859378.667189884</v>
      </c>
      <c r="GJ3" s="35">
        <f t="shared" si="0"/>
        <v>5824410.9076900166</v>
      </c>
      <c r="GK3" s="35">
        <f t="shared" si="0"/>
        <v>5789224.5996932751</v>
      </c>
      <c r="GL3" s="35">
        <f t="shared" si="0"/>
        <v>5753818.3772715544</v>
      </c>
      <c r="GM3" s="35">
        <f t="shared" si="0"/>
        <v>5718190.8659596983</v>
      </c>
      <c r="GN3" s="35">
        <f t="shared" si="0"/>
        <v>5682340.6827021427</v>
      </c>
      <c r="GO3" s="35">
        <f t="shared" si="0"/>
        <v>5646266.4357992271</v>
      </c>
      <c r="GP3" s="35">
        <f t="shared" si="0"/>
        <v>5609966.7248531682</v>
      </c>
      <c r="GQ3" s="35">
        <f t="shared" si="0"/>
        <v>5573440.1407136964</v>
      </c>
      <c r="GR3" s="35">
        <f t="shared" si="0"/>
        <v>5536685.2654233528</v>
      </c>
      <c r="GS3" s="35">
        <f t="shared" si="0"/>
        <v>5499700.6721624453</v>
      </c>
      <c r="GT3" s="35">
        <f t="shared" si="0"/>
        <v>5462484.9251936572</v>
      </c>
      <c r="GU3" s="35">
        <f t="shared" si="0"/>
        <v>5425036.5798063138</v>
      </c>
      <c r="GV3" s="35">
        <f t="shared" si="0"/>
        <v>5387354.1822602991</v>
      </c>
      <c r="GW3" s="35">
        <f t="shared" si="0"/>
        <v>5349436.2697296226</v>
      </c>
      <c r="GX3" s="35">
        <f t="shared" si="0"/>
        <v>5311281.370245629</v>
      </c>
      <c r="GY3" s="35">
        <f t="shared" si="0"/>
        <v>5272888.0026398608</v>
      </c>
      <c r="GZ3" s="35">
        <f t="shared" si="0"/>
        <v>5234254.6764865564</v>
      </c>
      <c r="HA3" s="35">
        <f t="shared" si="0"/>
        <v>5195379.8920447938</v>
      </c>
      <c r="HB3" s="35">
        <f t="shared" si="0"/>
        <v>5156262.1402002703</v>
      </c>
      <c r="HC3" s="35">
        <f t="shared" si="0"/>
        <v>5116899.9024067186</v>
      </c>
      <c r="HD3" s="35">
        <f t="shared" si="0"/>
        <v>5077291.6506269565</v>
      </c>
      <c r="HE3" s="35">
        <f t="shared" si="0"/>
        <v>5037435.8472735714</v>
      </c>
      <c r="HF3" s="35">
        <f t="shared" si="0"/>
        <v>4997330.945149227</v>
      </c>
      <c r="HG3" s="35">
        <f t="shared" si="0"/>
        <v>4956975.3873866061</v>
      </c>
      <c r="HH3" s="35">
        <f t="shared" si="0"/>
        <v>4916367.6073879683</v>
      </c>
      <c r="HI3" s="35">
        <f t="shared" si="0"/>
        <v>4875506.0287643392</v>
      </c>
      <c r="HJ3" s="35">
        <f t="shared" si="0"/>
        <v>4834389.0652743122</v>
      </c>
      <c r="HK3" s="35">
        <f t="shared" si="0"/>
        <v>4793015.120762473</v>
      </c>
      <c r="HL3" s="35">
        <f t="shared" si="0"/>
        <v>4751382.5890974347</v>
      </c>
      <c r="HM3" s="35">
        <f t="shared" si="0"/>
        <v>4709489.8541094903</v>
      </c>
      <c r="HN3" s="35">
        <f t="shared" si="0"/>
        <v>4667335.2895278707</v>
      </c>
      <c r="HO3" s="35">
        <f t="shared" si="0"/>
        <v>4624917.2589176157</v>
      </c>
      <c r="HP3" s="35">
        <f t="shared" si="0"/>
        <v>4582234.1156160468</v>
      </c>
      <c r="HQ3" s="35">
        <f t="shared" si="0"/>
        <v>4539284.2026688438</v>
      </c>
      <c r="HR3" s="35">
        <f t="shared" si="0"/>
        <v>4496065.8527657203</v>
      </c>
      <c r="HS3" s="35">
        <f t="shared" si="0"/>
        <v>4452577.3881757027</v>
      </c>
      <c r="HT3" s="35">
        <f t="shared" si="0"/>
        <v>4408817.1206819974</v>
      </c>
      <c r="HU3" s="35">
        <f t="shared" si="0"/>
        <v>4364783.3515164563</v>
      </c>
      <c r="HV3" s="35">
        <f t="shared" si="0"/>
        <v>4320474.3712936305</v>
      </c>
      <c r="HW3" s="35">
        <f t="shared" si="0"/>
        <v>4275888.4599444121</v>
      </c>
      <c r="HX3" s="35">
        <f t="shared" si="0"/>
        <v>4231023.8866492612</v>
      </c>
      <c r="HY3" s="35">
        <f t="shared" si="0"/>
        <v>4185878.9097710154</v>
      </c>
      <c r="HZ3" s="35">
        <f t="shared" si="0"/>
        <v>4140451.7767872806</v>
      </c>
      <c r="IA3" s="35">
        <f t="shared" si="0"/>
        <v>4094740.7242223974</v>
      </c>
      <c r="IB3" s="35">
        <f t="shared" si="0"/>
        <v>4048743.9775789836</v>
      </c>
      <c r="IC3" s="35">
        <f t="shared" si="0"/>
        <v>4002459.7512690485</v>
      </c>
      <c r="ID3" s="35">
        <f t="shared" si="0"/>
        <v>3955886.2485446762</v>
      </c>
      <c r="IE3" s="35">
        <f t="shared" si="0"/>
        <v>3909021.6614282769</v>
      </c>
      <c r="IF3" s="35">
        <f t="shared" si="0"/>
        <v>3861864.1706423997</v>
      </c>
      <c r="IG3" s="35">
        <f t="shared" si="0"/>
        <v>3814411.9455391108</v>
      </c>
      <c r="IH3" s="35">
        <f t="shared" si="0"/>
        <v>3766663.1440289263</v>
      </c>
      <c r="II3" s="35">
        <f t="shared" si="0"/>
        <v>3718615.9125093035</v>
      </c>
      <c r="IJ3" s="35">
        <f t="shared" si="0"/>
        <v>3670268.3857926829</v>
      </c>
      <c r="IK3" s="35">
        <f t="shared" si="0"/>
        <v>3621618.6870340835</v>
      </c>
    </row>
    <row r="4" spans="1:254" ht="14.25" customHeight="1" x14ac:dyDescent="0.2">
      <c r="A4" s="11"/>
      <c r="B4" s="11" t="s">
        <v>392</v>
      </c>
      <c r="C4" s="35">
        <f>IF(OR(H$179 &lt;= 0, H$179 &gt; Inputs!$C$48*12), 0, IF(H$179 &lt;= Inputs!$C$49, H$172 * Inputs!$C$47 / 12, IPMT(Inputs!$C$47/12, H$179 - Inputs!$C$49, Inputs!$C$48 * 12 - Inputs!$C$49, -H$172)))</f>
        <v>0</v>
      </c>
      <c r="E4" s="302"/>
      <c r="F4" s="35">
        <f>IF(OR(F$10 &lt;= 0, F$10 &gt; Inputs!$C$48*12), 0, IF(F$10 &lt;= Inputs!$C$49, F$3 * Inputs!$C$47 / 12, F$3 * Inputs!$C$47 / 12))</f>
        <v>60546.118749999994</v>
      </c>
      <c r="G4" s="35">
        <f>IF(OR(G$10 &lt;= 0, G$10 &gt; Inputs!$C$48*12), 0, IF(G$10 &lt;= Inputs!$C$49, G$3 * Inputs!$C$47 / 12, G$3 * Inputs!$C$47 / 12))</f>
        <v>60477.101516126218</v>
      </c>
      <c r="H4" s="35">
        <f>IF(OR(H$10 &lt;= 0, H$10 &gt; Inputs!$C$48*12), 0, IF(H$10 &lt;= Inputs!$C$49, H$3 * Inputs!$C$47 / 12, H$3 * Inputs!$C$47 / 12))</f>
        <v>60407.652924540744</v>
      </c>
      <c r="I4" s="35">
        <f>IF(OR(I$10 &lt;= 0, I$10 &gt; Inputs!$C$48*12), 0, IF(I$10 &lt;= Inputs!$C$49, I$3 * Inputs!$C$47 / 12, I$3 * Inputs!$C$47 / 12))</f>
        <v>60337.770279257849</v>
      </c>
      <c r="J4" s="35">
        <f>IF(OR(J$10 &lt;= 0, J$10 &gt; Inputs!$C$48*12), 0, IF(J$10 &lt;= Inputs!$C$49, J$3 * Inputs!$C$47 / 12, J$3 * Inputs!$C$47 / 12))</f>
        <v>60267.450867441941</v>
      </c>
      <c r="K4" s="35">
        <f>IF(OR(K$10 &lt;= 0, K$10 &gt; Inputs!$C$48*12), 0, IF(K$10 &lt;= Inputs!$C$49, K$3 * Inputs!$C$47 / 12, K$3 * Inputs!$C$47 / 12))</f>
        <v>60196.691959302174</v>
      </c>
      <c r="L4" s="35">
        <f>IF(OR(L$10 &lt;= 0, L$10 &gt; Inputs!$C$48*12), 0, IF(L$10 &lt;= Inputs!$C$49, L$3 * Inputs!$C$47 / 12, L$3 * Inputs!$C$47 / 12))</f>
        <v>60125.490807986534</v>
      </c>
      <c r="M4" s="35">
        <f>IF(OR(M$10 &lt;= 0, M$10 &gt; Inputs!$C$48*12), 0, IF(M$10 &lt;= Inputs!$C$49, M$3 * Inputs!$C$47 / 12, M$3 * Inputs!$C$47 / 12))</f>
        <v>60053.844649475184</v>
      </c>
      <c r="N4" s="35">
        <f>IF(OR(N$10 &lt;= 0, N$10 &gt; Inputs!$C$48*12), 0, IF(N$10 &lt;= Inputs!$C$49, N$3 * Inputs!$C$47 / 12, N$3 * Inputs!$C$47 / 12))</f>
        <v>59981.750702473124</v>
      </c>
      <c r="O4" s="35">
        <f>IF(OR(O$10 &lt;= 0, O$10 &gt; Inputs!$C$48*12), 0, IF(O$10 &lt;= Inputs!$C$49, O$3 * Inputs!$C$47 / 12, O$3 * Inputs!$C$47 / 12))</f>
        <v>59909.206168302306</v>
      </c>
      <c r="P4" s="35">
        <f>IF(OR(P$10 &lt;= 0, P$10 &gt; Inputs!$C$48*12), 0, IF(P$10 &lt;= Inputs!$C$49, P$3 * Inputs!$C$47 / 12, P$3 * Inputs!$C$47 / 12))</f>
        <v>59836.208230792923</v>
      </c>
      <c r="Q4" s="35">
        <f>IF(OR(Q$10 &lt;= 0, Q$10 &gt; Inputs!$C$48*12), 0, IF(Q$10 &lt;= Inputs!$C$49, Q$3 * Inputs!$C$47 / 12, Q$3 * Inputs!$C$47 / 12))</f>
        <v>59762.754056174104</v>
      </c>
      <c r="R4" s="35">
        <f>IF(OR(R$10 &lt;= 0, R$10 &gt; Inputs!$C$48*12), 0, IF(R$10 &lt;= Inputs!$C$49, R$3 * Inputs!$C$47 / 12, R$3 * Inputs!$C$47 / 12))</f>
        <v>59688.840792963922</v>
      </c>
      <c r="S4" s="35">
        <f>IF(OR(S$10 &lt;= 0, S$10 &gt; Inputs!$C$48*12), 0, IF(S$10 &lt;= Inputs!$C$49, S$3 * Inputs!$C$47 / 12, S$3 * Inputs!$C$47 / 12))</f>
        <v>59614.46557185868</v>
      </c>
      <c r="T4" s="35">
        <f>IF(OR(T$10 &lt;= 0, T$10 &gt; Inputs!$C$48*12), 0, IF(T$10 &lt;= Inputs!$C$49, T$3 * Inputs!$C$47 / 12, T$3 * Inputs!$C$47 / 12))</f>
        <v>59539.625505621516</v>
      </c>
      <c r="U4" s="35">
        <f>IF(OR(U$10 &lt;= 0, U$10 &gt; Inputs!$C$48*12), 0, IF(U$10 &lt;= Inputs!$C$49, U$3 * Inputs!$C$47 / 12, U$3 * Inputs!$C$47 / 12))</f>
        <v>59464.317688970383</v>
      </c>
      <c r="V4" s="35">
        <f>IF(OR(V$10 &lt;= 0, V$10 &gt; Inputs!$C$48*12), 0, IF(V$10 &lt;= Inputs!$C$49, V$3 * Inputs!$C$47 / 12, V$3 * Inputs!$C$47 / 12))</f>
        <v>59388.53919846518</v>
      </c>
      <c r="W4" s="35">
        <f>IF(OR(W$10 &lt;= 0, W$10 &gt; Inputs!$C$48*12), 0, IF(W$10 &lt;= Inputs!$C$49, W$3 * Inputs!$C$47 / 12, W$3 * Inputs!$C$47 / 12))</f>
        <v>59312.287092394312</v>
      </c>
      <c r="X4" s="35">
        <f>IF(OR(X$10 &lt;= 0, X$10 &gt; Inputs!$C$48*12), 0, IF(X$10 &lt;= Inputs!$C$49, X$3 * Inputs!$C$47 / 12, X$3 * Inputs!$C$47 / 12))</f>
        <v>59235.558410660502</v>
      </c>
      <c r="Y4" s="35">
        <f>IF(OR(Y$10 &lt;= 0, Y$10 &gt; Inputs!$C$48*12), 0, IF(Y$10 &lt;= Inputs!$C$49, Y$3 * Inputs!$C$47 / 12, Y$3 * Inputs!$C$47 / 12))</f>
        <v>59158.350174665859</v>
      </c>
      <c r="Z4" s="35">
        <f>IF(OR(Z$10 &lt;= 0, Z$10 &gt; Inputs!$C$48*12), 0, IF(Z$10 &lt;= Inputs!$C$49, Z$3 * Inputs!$C$47 / 12, Z$3 * Inputs!$C$47 / 12))</f>
        <v>59080.659387196247</v>
      </c>
      <c r="AA4" s="35">
        <f>IF(OR(AA$10 &lt;= 0, AA$10 &gt; Inputs!$C$48*12), 0, IF(AA$10 &lt;= Inputs!$C$49, AA$3 * Inputs!$C$47 / 12, AA$3 * Inputs!$C$47 / 12))</f>
        <v>59002.483032304961</v>
      </c>
      <c r="AB4" s="35">
        <f>IF(OR(AB$10 &lt;= 0, AB$10 &gt; Inputs!$C$48*12), 0, IF(AB$10 &lt;= Inputs!$C$49, AB$3 * Inputs!$C$47 / 12, AB$3 * Inputs!$C$47 / 12))</f>
        <v>58923.818075195588</v>
      </c>
      <c r="AC4" s="35">
        <f>IF(OR(AC$10 &lt;= 0, AC$10 &gt; Inputs!$C$48*12), 0, IF(AC$10 &lt;= Inputs!$C$49, AC$3 * Inputs!$C$47 / 12, AC$3 * Inputs!$C$47 / 12))</f>
        <v>58844.66146210429</v>
      </c>
      <c r="AD4" s="35">
        <f>IF(OR(AD$10 &lt;= 0, AD$10 &gt; Inputs!$C$48*12), 0, IF(AD$10 &lt;= Inputs!$C$49, AD$3 * Inputs!$C$47 / 12, AD$3 * Inputs!$C$47 / 12))</f>
        <v>58765.010120181163</v>
      </c>
      <c r="AE4" s="35">
        <f>IF(OR(AE$10 &lt;= 0, AE$10 &gt; Inputs!$C$48*12), 0, IF(AE$10 &lt;= Inputs!$C$49, AE$3 * Inputs!$C$47 / 12, AE$3 * Inputs!$C$47 / 12))</f>
        <v>58684.86095737102</v>
      </c>
      <c r="AF4" s="35">
        <f>IF(OR(AF$10 &lt;= 0, AF$10 &gt; Inputs!$C$48*12), 0, IF(AF$10 &lt;= Inputs!$C$49, AF$3 * Inputs!$C$47 / 12, AF$3 * Inputs!$C$47 / 12))</f>
        <v>58604.210862293316</v>
      </c>
      <c r="AG4" s="35">
        <f>IF(OR(AG$10 &lt;= 0, AG$10 &gt; Inputs!$C$48*12), 0, IF(AG$10 &lt;= Inputs!$C$49, AG$3 * Inputs!$C$47 / 12, AG$3 * Inputs!$C$47 / 12))</f>
        <v>58523.056704121373</v>
      </c>
      <c r="AH4" s="35">
        <f>IF(OR(AH$10 &lt;= 0, AH$10 &gt; Inputs!$C$48*12), 0, IF(AH$10 &lt;= Inputs!$C$49, AH$3 * Inputs!$C$47 / 12, AH$3 * Inputs!$C$47 / 12))</f>
        <v>58441.395332460866</v>
      </c>
      <c r="AI4" s="35">
        <f>IF(OR(AI$10 &lt;= 0, AI$10 &gt; Inputs!$C$48*12), 0, IF(AI$10 &lt;= Inputs!$C$49, AI$3 * Inputs!$C$47 / 12, AI$3 * Inputs!$C$47 / 12))</f>
        <v>58359.223577227465</v>
      </c>
      <c r="AJ4" s="35">
        <f>IF(OR(AJ$10 &lt;= 0, AJ$10 &gt; Inputs!$C$48*12), 0, IF(AJ$10 &lt;= Inputs!$C$49, AJ$3 * Inputs!$C$47 / 12, AJ$3 * Inputs!$C$47 / 12))</f>
        <v>58276.538248523859</v>
      </c>
      <c r="AK4" s="35">
        <f>IF(OR(AK$10 &lt;= 0, AK$10 &gt; Inputs!$C$48*12), 0, IF(AK$10 &lt;= Inputs!$C$49, AK$3 * Inputs!$C$47 / 12, AK$3 * Inputs!$C$47 / 12))</f>
        <v>58193.336136515856</v>
      </c>
      <c r="AL4" s="35">
        <f>IF(OR(AL$10 &lt;= 0, AL$10 &gt; Inputs!$C$48*12), 0, IF(AL$10 &lt;= Inputs!$C$49, AL$3 * Inputs!$C$47 / 12, AL$3 * Inputs!$C$47 / 12))</f>
        <v>58109.6140113078</v>
      </c>
      <c r="AM4" s="35">
        <f>IF(OR(AM$10 &lt;= 0, AM$10 &gt; Inputs!$C$48*12), 0, IF(AM$10 &lt;= Inputs!$C$49, AM$3 * Inputs!$C$47 / 12, AM$3 * Inputs!$C$47 / 12))</f>
        <v>58025.368622817208</v>
      </c>
      <c r="AN4" s="35">
        <f>IF(OR(AN$10 &lt;= 0, AN$10 &gt; Inputs!$C$48*12), 0, IF(AN$10 &lt;= Inputs!$C$49, AN$3 * Inputs!$C$47 / 12, AN$3 * Inputs!$C$47 / 12))</f>
        <v>57940.596700648537</v>
      </c>
      <c r="AO4" s="35">
        <f>IF(OR(AO$10 &lt;= 0, AO$10 &gt; Inputs!$C$48*12), 0, IF(AO$10 &lt;= Inputs!$C$49, AO$3 * Inputs!$C$47 / 12, AO$3 * Inputs!$C$47 / 12))</f>
        <v>57855.29495396631</v>
      </c>
      <c r="AP4" s="35">
        <f>IF(OR(AP$10 &lt;= 0, AP$10 &gt; Inputs!$C$48*12), 0, IF(AP$10 &lt;= Inputs!$C$49, AP$3 * Inputs!$C$47 / 12, AP$3 * Inputs!$C$47 / 12))</f>
        <v>57769.460071367328</v>
      </c>
      <c r="AQ4" s="35">
        <f>IF(OR(AQ$10 &lt;= 0, AQ$10 &gt; Inputs!$C$48*12), 0, IF(AQ$10 &lt;= Inputs!$C$49, AQ$3 * Inputs!$C$47 / 12, AQ$3 * Inputs!$C$47 / 12))</f>
        <v>57683.088720752101</v>
      </c>
      <c r="AR4" s="35">
        <f>IF(OR(AR$10 &lt;= 0, AR$10 &gt; Inputs!$C$48*12), 0, IF(AR$10 &lt;= Inputs!$C$49, AR$3 * Inputs!$C$47 / 12, AR$3 * Inputs!$C$47 / 12))</f>
        <v>57596.177549195527</v>
      </c>
      <c r="AS4" s="35">
        <f>IF(OR(AS$10 &lt;= 0, AS$10 &gt; Inputs!$C$48*12), 0, IF(AS$10 &lt;= Inputs!$C$49, AS$3 * Inputs!$C$47 / 12, AS$3 * Inputs!$C$47 / 12))</f>
        <v>57508.723182816721</v>
      </c>
      <c r="AT4" s="35">
        <f>IF(OR(AT$10 &lt;= 0, AT$10 &gt; Inputs!$C$48*12), 0, IF(AT$10 &lt;= Inputs!$C$49, AT$3 * Inputs!$C$47 / 12, AT$3 * Inputs!$C$47 / 12))</f>
        <v>57420.72222664806</v>
      </c>
      <c r="AU4" s="35">
        <f>IF(OR(AU$10 &lt;= 0, AU$10 &gt; Inputs!$C$48*12), 0, IF(AU$10 &lt;= Inputs!$C$49, AU$3 * Inputs!$C$47 / 12, AU$3 * Inputs!$C$47 / 12))</f>
        <v>57332.171264503333</v>
      </c>
      <c r="AV4" s="35">
        <f>IF(OR(AV$10 &lt;= 0, AV$10 &gt; Inputs!$C$48*12), 0, IF(AV$10 &lt;= Inputs!$C$49, AV$3 * Inputs!$C$47 / 12, AV$3 * Inputs!$C$47 / 12))</f>
        <v>57243.066858845203</v>
      </c>
      <c r="AW4" s="35">
        <f>IF(OR(AW$10 &lt;= 0, AW$10 &gt; Inputs!$C$48*12), 0, IF(AW$10 &lt;= Inputs!$C$49, AW$3 * Inputs!$C$47 / 12, AW$3 * Inputs!$C$47 / 12))</f>
        <v>57153.405550651718</v>
      </c>
      <c r="AX4" s="35">
        <f>IF(OR(AX$10 &lt;= 0, AX$10 &gt; Inputs!$C$48*12), 0, IF(AX$10 &lt;= Inputs!$C$49, AX$3 * Inputs!$C$47 / 12, AX$3 * Inputs!$C$47 / 12))</f>
        <v>57063.18385928202</v>
      </c>
      <c r="AY4" s="35">
        <f>IF(OR(AY$10 &lt;= 0, AY$10 &gt; Inputs!$C$48*12), 0, IF(AY$10 &lt;= Inputs!$C$49, AY$3 * Inputs!$C$47 / 12, AY$3 * Inputs!$C$47 / 12))</f>
        <v>56972.398282341259</v>
      </c>
      <c r="AZ4" s="35">
        <f>IF(OR(AZ$10 &lt;= 0, AZ$10 &gt; Inputs!$C$48*12), 0, IF(AZ$10 &lt;= Inputs!$C$49, AZ$3 * Inputs!$C$47 / 12, AZ$3 * Inputs!$C$47 / 12))</f>
        <v>56881.045295544616</v>
      </c>
      <c r="BA4" s="35">
        <f>IF(OR(BA$10 &lt;= 0, BA$10 &gt; Inputs!$C$48*12), 0, IF(BA$10 &lt;= Inputs!$C$49, BA$3 * Inputs!$C$47 / 12, BA$3 * Inputs!$C$47 / 12))</f>
        <v>56789.1213525805</v>
      </c>
      <c r="BB4" s="35">
        <f>IF(OR(BB$10 &lt;= 0, BB$10 &gt; Inputs!$C$48*12), 0, IF(BB$10 &lt;= Inputs!$C$49, BB$3 * Inputs!$C$47 / 12, BB$3 * Inputs!$C$47 / 12))</f>
        <v>56696.622884972858</v>
      </c>
      <c r="BC4" s="35">
        <f>IF(OR(BC$10 &lt;= 0, BC$10 &gt; Inputs!$C$48*12), 0, IF(BC$10 &lt;= Inputs!$C$49, BC$3 * Inputs!$C$47 / 12, BC$3 * Inputs!$C$47 / 12))</f>
        <v>56603.546301942668</v>
      </c>
      <c r="BD4" s="35">
        <f>IF(OR(BD$10 &lt;= 0, BD$10 &gt; Inputs!$C$48*12), 0, IF(BD$10 &lt;= Inputs!$C$49, BD$3 * Inputs!$C$47 / 12, BD$3 * Inputs!$C$47 / 12))</f>
        <v>56509.887990268537</v>
      </c>
      <c r="BE4" s="35">
        <f>IF(OR(BE$10 &lt;= 0, BE$10 &gt; Inputs!$C$48*12), 0, IF(BE$10 &lt;= Inputs!$C$49, BE$3 * Inputs!$C$47 / 12, BE$3 * Inputs!$C$47 / 12))</f>
        <v>56415.644314146448</v>
      </c>
      <c r="BF4" s="35">
        <f>IF(OR(BF$10 &lt;= 0, BF$10 &gt; Inputs!$C$48*12), 0, IF(BF$10 &lt;= Inputs!$C$49, BF$3 * Inputs!$C$47 / 12, BF$3 * Inputs!$C$47 / 12))</f>
        <v>56320.811615048588</v>
      </c>
      <c r="BG4" s="35">
        <f>IF(OR(BG$10 &lt;= 0, BG$10 &gt; Inputs!$C$48*12), 0, IF(BG$10 &lt;= Inputs!$C$49, BG$3 * Inputs!$C$47 / 12, BG$3 * Inputs!$C$47 / 12))</f>
        <v>56225.386211581375</v>
      </c>
      <c r="BH4" s="35">
        <f>IF(OR(BH$10 &lt;= 0, BH$10 &gt; Inputs!$C$48*12), 0, IF(BH$10 &lt;= Inputs!$C$49, BH$3 * Inputs!$C$47 / 12, BH$3 * Inputs!$C$47 / 12))</f>
        <v>56129.364399342478</v>
      </c>
      <c r="BI4" s="35">
        <f>IF(OR(BI$10 &lt;= 0, BI$10 &gt; Inputs!$C$48*12), 0, IF(BI$10 &lt;= Inputs!$C$49, BI$3 * Inputs!$C$47 / 12, BI$3 * Inputs!$C$47 / 12))</f>
        <v>56032.742450777099</v>
      </c>
      <c r="BJ4" s="35">
        <f>IF(OR(BJ$10 &lt;= 0, BJ$10 &gt; Inputs!$C$48*12), 0, IF(BJ$10 &lt;= Inputs!$C$49, BJ$3 * Inputs!$C$47 / 12, BJ$3 * Inputs!$C$47 / 12))</f>
        <v>55935.516615033179</v>
      </c>
      <c r="BK4" s="35">
        <f>IF(OR(BK$10 &lt;= 0, BK$10 &gt; Inputs!$C$48*12), 0, IF(BK$10 &lt;= Inputs!$C$49, BK$3 * Inputs!$C$47 / 12, BK$3 * Inputs!$C$47 / 12))</f>
        <v>55837.683117815868</v>
      </c>
      <c r="BL4" s="35">
        <f>IF(OR(BL$10 &lt;= 0, BL$10 &gt; Inputs!$C$48*12), 0, IF(BL$10 &lt;= Inputs!$C$49, BL$3 * Inputs!$C$47 / 12, BL$3 * Inputs!$C$47 / 12))</f>
        <v>55739.238161240937</v>
      </c>
      <c r="BM4" s="35">
        <f>IF(OR(BM$10 &lt;= 0, BM$10 &gt; Inputs!$C$48*12), 0, IF(BM$10 &lt;= Inputs!$C$49, BM$3 * Inputs!$C$47 / 12, BM$3 * Inputs!$C$47 / 12))</f>
        <v>55640.177923687414</v>
      </c>
      <c r="BN4" s="35">
        <f>IF(OR(BN$10 &lt;= 0, BN$10 &gt; Inputs!$C$48*12), 0, IF(BN$10 &lt;= Inputs!$C$49, BN$3 * Inputs!$C$47 / 12, BN$3 * Inputs!$C$47 / 12))</f>
        <v>55540.49855964919</v>
      </c>
      <c r="BO4" s="35">
        <f>IF(OR(BO$10 &lt;= 0, BO$10 &gt; Inputs!$C$48*12), 0, IF(BO$10 &lt;= Inputs!$C$49, BO$3 * Inputs!$C$47 / 12, BO$3 * Inputs!$C$47 / 12))</f>
        <v>55440.196199585735</v>
      </c>
      <c r="BP4" s="35">
        <f>IF(OR(BP$10 &lt;= 0, BP$10 &gt; Inputs!$C$48*12), 0, IF(BP$10 &lt;= Inputs!$C$49, BP$3 * Inputs!$C$47 / 12, BP$3 * Inputs!$C$47 / 12))</f>
        <v>55339.266949771867</v>
      </c>
      <c r="BQ4" s="35">
        <f>IF(OR(BQ$10 &lt;= 0, BQ$10 &gt; Inputs!$C$48*12), 0, IF(BQ$10 &lt;= Inputs!$C$49, BQ$3 * Inputs!$C$47 / 12, BQ$3 * Inputs!$C$47 / 12))</f>
        <v>55237.706892146671</v>
      </c>
      <c r="BR4" s="35">
        <f>IF(OR(BR$10 &lt;= 0, BR$10 &gt; Inputs!$C$48*12), 0, IF(BR$10 &lt;= Inputs!$C$49, BR$3 * Inputs!$C$47 / 12, BR$3 * Inputs!$C$47 / 12))</f>
        <v>55135.51208416131</v>
      </c>
      <c r="BS4" s="35">
        <f>IF(OR(BS$10 &lt;= 0, BS$10 &gt; Inputs!$C$48*12), 0, IF(BS$10 &lt;= Inputs!$C$49, BS$3 * Inputs!$C$47 / 12, BS$3 * Inputs!$C$47 / 12))</f>
        <v>55032.678558626045</v>
      </c>
      <c r="BT4" s="35">
        <f>IF(OR(BT$10 &lt;= 0, BT$10 &gt; Inputs!$C$48*12), 0, IF(BT$10 &lt;= Inputs!$C$49, BT$3 * Inputs!$C$47 / 12, BT$3 * Inputs!$C$47 / 12))</f>
        <v>54929.202323556186</v>
      </c>
      <c r="BU4" s="35">
        <f>IF(OR(BU$10 &lt;= 0, BU$10 &gt; Inputs!$C$48*12), 0, IF(BU$10 &lt;= Inputs!$C$49, BU$3 * Inputs!$C$47 / 12, BU$3 * Inputs!$C$47 / 12))</f>
        <v>54825.079362017153</v>
      </c>
      <c r="BV4" s="35">
        <f>IF(OR(BV$10 &lt;= 0, BV$10 &gt; Inputs!$C$48*12), 0, IF(BV$10 &lt;= Inputs!$C$49, BV$3 * Inputs!$C$47 / 12, BV$3 * Inputs!$C$47 / 12))</f>
        <v>54720.305631968484</v>
      </c>
      <c r="BW4" s="35">
        <f>IF(OR(BW$10 &lt;= 0, BW$10 &gt; Inputs!$C$48*12), 0, IF(BW$10 &lt;= Inputs!$C$49, BW$3 * Inputs!$C$47 / 12, BW$3 * Inputs!$C$47 / 12))</f>
        <v>54614.877066107008</v>
      </c>
      <c r="BX4" s="35">
        <f>IF(OR(BX$10 &lt;= 0, BX$10 &gt; Inputs!$C$48*12), 0, IF(BX$10 &lt;= Inputs!$C$49, BX$3 * Inputs!$C$47 / 12, BX$3 * Inputs!$C$47 / 12))</f>
        <v>54508.789571708905</v>
      </c>
      <c r="BY4" s="35">
        <f>IF(OR(BY$10 &lt;= 0, BY$10 &gt; Inputs!$C$48*12), 0, IF(BY$10 &lt;= Inputs!$C$49, BY$3 * Inputs!$C$47 / 12, BY$3 * Inputs!$C$47 / 12))</f>
        <v>54402.03903047082</v>
      </c>
      <c r="BZ4" s="35">
        <f>IF(OR(BZ$10 &lt;= 0, BZ$10 &gt; Inputs!$C$48*12), 0, IF(BZ$10 &lt;= Inputs!$C$49, BZ$3 * Inputs!$C$47 / 12, BZ$3 * Inputs!$C$47 / 12))</f>
        <v>54294.621298349986</v>
      </c>
      <c r="CA4" s="35">
        <f>IF(OR(CA$10 &lt;= 0, CA$10 &gt; Inputs!$C$48*12), 0, IF(CA$10 &lt;= Inputs!$C$49, CA$3 * Inputs!$C$47 / 12, CA$3 * Inputs!$C$47 / 12))</f>
        <v>54186.532205403397</v>
      </c>
      <c r="CB4" s="35">
        <f>IF(OR(CB$10 &lt;= 0, CB$10 &gt; Inputs!$C$48*12), 0, IF(CB$10 &lt;= Inputs!$C$49, CB$3 * Inputs!$C$47 / 12, CB$3 * Inputs!$C$47 / 12))</f>
        <v>54077.767555625898</v>
      </c>
      <c r="CC4" s="35">
        <f>IF(OR(CC$10 &lt;= 0, CC$10 &gt; Inputs!$C$48*12), 0, IF(CC$10 &lt;= Inputs!$C$49, CC$3 * Inputs!$C$47 / 12, CC$3 * Inputs!$C$47 / 12))</f>
        <v>53968.323126787283</v>
      </c>
      <c r="CD4" s="35">
        <f>IF(OR(CD$10 &lt;= 0, CD$10 &gt; Inputs!$C$48*12), 0, IF(CD$10 &lt;= Inputs!$C$49, CD$3 * Inputs!$C$47 / 12, CD$3 * Inputs!$C$47 / 12))</f>
        <v>53858.194670268422</v>
      </c>
      <c r="CE4" s="35">
        <f>IF(OR(CE$10 &lt;= 0, CE$10 &gt; Inputs!$C$48*12), 0, IF(CE$10 &lt;= Inputs!$C$49, CE$3 * Inputs!$C$47 / 12, CE$3 * Inputs!$C$47 / 12))</f>
        <v>53747.377910896328</v>
      </c>
      <c r="CF4" s="35">
        <f>IF(OR(CF$10 &lt;= 0, CF$10 &gt; Inputs!$C$48*12), 0, IF(CF$10 &lt;= Inputs!$C$49, CF$3 * Inputs!$C$47 / 12, CF$3 * Inputs!$C$47 / 12))</f>
        <v>53635.868546778162</v>
      </c>
      <c r="CG4" s="35">
        <f>IF(OR(CG$10 &lt;= 0, CG$10 &gt; Inputs!$C$48*12), 0, IF(CG$10 &lt;= Inputs!$C$49, CG$3 * Inputs!$C$47 / 12, CG$3 * Inputs!$C$47 / 12))</f>
        <v>53523.662249134242</v>
      </c>
      <c r="CH4" s="35">
        <f>IF(OR(CH$10 &lt;= 0, CH$10 &gt; Inputs!$C$48*12), 0, IF(CH$10 &lt;= Inputs!$C$49, CH$3 * Inputs!$C$47 / 12, CH$3 * Inputs!$C$47 / 12))</f>
        <v>53410.754662130057</v>
      </c>
      <c r="CI4" s="35">
        <f>IF(OR(CI$10 &lt;= 0, CI$10 &gt; Inputs!$C$48*12), 0, IF(CI$10 &lt;= Inputs!$C$49, CI$3 * Inputs!$C$47 / 12, CI$3 * Inputs!$C$47 / 12))</f>
        <v>53297.141402707093</v>
      </c>
      <c r="CJ4" s="35">
        <f>IF(OR(CJ$10 &lt;= 0, CJ$10 &gt; Inputs!$C$48*12), 0, IF(CJ$10 &lt;= Inputs!$C$49, CJ$3 * Inputs!$C$47 / 12, CJ$3 * Inputs!$C$47 / 12))</f>
        <v>53182.818060412741</v>
      </c>
      <c r="CK4" s="35">
        <f>IF(OR(CK$10 &lt;= 0, CK$10 &gt; Inputs!$C$48*12), 0, IF(CK$10 &lt;= Inputs!$C$49, CK$3 * Inputs!$C$47 / 12, CK$3 * Inputs!$C$47 / 12))</f>
        <v>53067.780197229054</v>
      </c>
      <c r="CL4" s="35">
        <f>IF(OR(CL$10 &lt;= 0, CL$10 &gt; Inputs!$C$48*12), 0, IF(CL$10 &lt;= Inputs!$C$49, CL$3 * Inputs!$C$47 / 12, CL$3 * Inputs!$C$47 / 12))</f>
        <v>52952.023347400449</v>
      </c>
      <c r="CM4" s="35">
        <f>IF(OR(CM$10 &lt;= 0, CM$10 &gt; Inputs!$C$48*12), 0, IF(CM$10 &lt;= Inputs!$C$49, CM$3 * Inputs!$C$47 / 12, CM$3 * Inputs!$C$47 / 12))</f>
        <v>52835.543017260439</v>
      </c>
      <c r="CN4" s="35">
        <f>IF(OR(CN$10 &lt;= 0, CN$10 &gt; Inputs!$C$48*12), 0, IF(CN$10 &lt;= Inputs!$C$49, CN$3 * Inputs!$C$47 / 12, CN$3 * Inputs!$C$47 / 12))</f>
        <v>52718.334685057045</v>
      </c>
      <c r="CO4" s="35">
        <f>IF(OR(CO$10 &lt;= 0, CO$10 &gt; Inputs!$C$48*12), 0, IF(CO$10 &lt;= Inputs!$C$49, CO$3 * Inputs!$C$47 / 12, CO$3 * Inputs!$C$47 / 12))</f>
        <v>52600.393800777376</v>
      </c>
      <c r="CP4" s="35">
        <f>IF(OR(CP$10 &lt;= 0, CP$10 &gt; Inputs!$C$48*12), 0, IF(CP$10 &lt;= Inputs!$C$49, CP$3 * Inputs!$C$47 / 12, CP$3 * Inputs!$C$47 / 12))</f>
        <v>52481.715785970962</v>
      </c>
      <c r="CQ4" s="35">
        <f>IF(OR(CQ$10 &lt;= 0, CQ$10 &gt; Inputs!$C$48*12), 0, IF(CQ$10 &lt;= Inputs!$C$49, CQ$3 * Inputs!$C$47 / 12, CQ$3 * Inputs!$C$47 / 12))</f>
        <v>52362.296033571998</v>
      </c>
      <c r="CR4" s="35">
        <f>IF(OR(CR$10 &lt;= 0, CR$10 &gt; Inputs!$C$48*12), 0, IF(CR$10 &lt;= Inputs!$C$49, CR$3 * Inputs!$C$47 / 12, CR$3 * Inputs!$C$47 / 12))</f>
        <v>52242.129907720548</v>
      </c>
      <c r="CS4" s="35">
        <f>IF(OR(CS$10 &lt;= 0, CS$10 &gt; Inputs!$C$48*12), 0, IF(CS$10 &lt;= Inputs!$C$49, CS$3 * Inputs!$C$47 / 12, CS$3 * Inputs!$C$47 / 12))</f>
        <v>52121.212743582531</v>
      </c>
      <c r="CT4" s="35">
        <f>IF(OR(CT$10 &lt;= 0, CT$10 &gt; Inputs!$C$48*12), 0, IF(CT$10 &lt;= Inputs!$C$49, CT$3 * Inputs!$C$47 / 12, CT$3 * Inputs!$C$47 / 12))</f>
        <v>51999.539847168657</v>
      </c>
      <c r="CU4" s="35">
        <f>IF(OR(CU$10 &lt;= 0, CU$10 &gt; Inputs!$C$48*12), 0, IF(CU$10 &lt;= Inputs!$C$49, CU$3 * Inputs!$C$47 / 12, CU$3 * Inputs!$C$47 / 12))</f>
        <v>51877.106495152177</v>
      </c>
      <c r="CV4" s="35">
        <f>IF(OR(CV$10 &lt;= 0, CV$10 &gt; Inputs!$C$48*12), 0, IF(CV$10 &lt;= Inputs!$C$49, CV$3 * Inputs!$C$47 / 12, CV$3 * Inputs!$C$47 / 12))</f>
        <v>51753.907934685609</v>
      </c>
      <c r="CW4" s="35">
        <f>IF(OR(CW$10 &lt;= 0, CW$10 &gt; Inputs!$C$48*12), 0, IF(CW$10 &lt;= Inputs!$C$49, CW$3 * Inputs!$C$47 / 12, CW$3 * Inputs!$C$47 / 12))</f>
        <v>51629.939383216115</v>
      </c>
      <c r="CX4" s="35">
        <f>IF(OR(CX$10 &lt;= 0, CX$10 &gt; Inputs!$C$48*12), 0, IF(CX$10 &lt;= Inputs!$C$49, CX$3 * Inputs!$C$47 / 12, CX$3 * Inputs!$C$47 / 12))</f>
        <v>51505.19602829995</v>
      </c>
      <c r="CY4" s="35">
        <f>IF(OR(CY$10 &lt;= 0, CY$10 &gt; Inputs!$C$48*12), 0, IF(CY$10 &lt;= Inputs!$C$49, CY$3 * Inputs!$C$47 / 12, CY$3 * Inputs!$C$47 / 12))</f>
        <v>51379.673027415549</v>
      </c>
      <c r="CZ4" s="35">
        <f>IF(OR(CZ$10 &lt;= 0, CZ$10 &gt; Inputs!$C$48*12), 0, IF(CZ$10 &lt;= Inputs!$C$49, CZ$3 * Inputs!$C$47 / 12, CZ$3 * Inputs!$C$47 / 12))</f>
        <v>51253.365507775627</v>
      </c>
      <c r="DA4" s="35">
        <f>IF(OR(DA$10 &lt;= 0, DA$10 &gt; Inputs!$C$48*12), 0, IF(DA$10 &lt;= Inputs!$C$49, DA$3 * Inputs!$C$47 / 12, DA$3 * Inputs!$C$47 / 12))</f>
        <v>51126.268566137944</v>
      </c>
      <c r="DB4" s="35">
        <f>IF(OR(DB$10 &lt;= 0, DB$10 &gt; Inputs!$C$48*12), 0, IF(DB$10 &lt;= Inputs!$C$49, DB$3 * Inputs!$C$47 / 12, DB$3 * Inputs!$C$47 / 12))</f>
        <v>50998.377268615033</v>
      </c>
      <c r="DC4" s="35">
        <f>IF(OR(DC$10 &lt;= 0, DC$10 &gt; Inputs!$C$48*12), 0, IF(DC$10 &lt;= Inputs!$C$49, DC$3 * Inputs!$C$47 / 12, DC$3 * Inputs!$C$47 / 12))</f>
        <v>50869.68665048261</v>
      </c>
      <c r="DD4" s="35">
        <f>IF(OR(DD$10 &lt;= 0, DD$10 &gt; Inputs!$C$48*12), 0, IF(DD$10 &lt;= Inputs!$C$49, DD$3 * Inputs!$C$47 / 12, DD$3 * Inputs!$C$47 / 12))</f>
        <v>50740.191715986846</v>
      </c>
      <c r="DE4" s="35">
        <f>IF(OR(DE$10 &lt;= 0, DE$10 &gt; Inputs!$C$48*12), 0, IF(DE$10 &lt;= Inputs!$C$49, DE$3 * Inputs!$C$47 / 12, DE$3 * Inputs!$C$47 / 12))</f>
        <v>50609.887438150494</v>
      </c>
      <c r="DF4" s="35">
        <f>IF(OR(DF$10 &lt;= 0, DF$10 &gt; Inputs!$C$48*12), 0, IF(DF$10 &lt;= Inputs!$C$49, DF$3 * Inputs!$C$47 / 12, DF$3 * Inputs!$C$47 / 12))</f>
        <v>50478.768758577666</v>
      </c>
      <c r="DG4" s="35">
        <f>IF(OR(DG$10 &lt;= 0, DG$10 &gt; Inputs!$C$48*12), 0, IF(DG$10 &lt;= Inputs!$C$49, DG$3 * Inputs!$C$47 / 12, DG$3 * Inputs!$C$47 / 12))</f>
        <v>50346.830587257493</v>
      </c>
      <c r="DH4" s="35">
        <f>IF(OR(DH$10 &lt;= 0, DH$10 &gt; Inputs!$C$48*12), 0, IF(DH$10 &lt;= Inputs!$C$49, DH$3 * Inputs!$C$47 / 12, DH$3 * Inputs!$C$47 / 12))</f>
        <v>50214.06780236659</v>
      </c>
      <c r="DI4" s="35">
        <f>IF(OR(DI$10 &lt;= 0, DI$10 &gt; Inputs!$C$48*12), 0, IF(DI$10 &lt;= Inputs!$C$49, DI$3 * Inputs!$C$47 / 12, DI$3 * Inputs!$C$47 / 12))</f>
        <v>50080.4752500701</v>
      </c>
      <c r="DJ4" s="35">
        <f>IF(OR(DJ$10 &lt;= 0, DJ$10 &gt; Inputs!$C$48*12), 0, IF(DJ$10 &lt;= Inputs!$C$49, DJ$3 * Inputs!$C$47 / 12, DJ$3 * Inputs!$C$47 / 12))</f>
        <v>49946.047744321775</v>
      </c>
      <c r="DK4" s="35">
        <f>IF(OR(DK$10 &lt;= 0, DK$10 &gt; Inputs!$C$48*12), 0, IF(DK$10 &lt;= Inputs!$C$49, DK$3 * Inputs!$C$47 / 12, DK$3 * Inputs!$C$47 / 12))</f>
        <v>49810.780066662504</v>
      </c>
      <c r="DL4" s="35">
        <f>IF(OR(DL$10 &lt;= 0, DL$10 &gt; Inputs!$C$48*12), 0, IF(DL$10 &lt;= Inputs!$C$49, DL$3 * Inputs!$C$47 / 12, DL$3 * Inputs!$C$47 / 12))</f>
        <v>49674.666966017881</v>
      </c>
      <c r="DM4" s="35">
        <f>IF(OR(DM$10 &lt;= 0, DM$10 &gt; Inputs!$C$48*12), 0, IF(DM$10 &lt;= Inputs!$C$49, DM$3 * Inputs!$C$47 / 12, DM$3 * Inputs!$C$47 / 12))</f>
        <v>49537.703158494209</v>
      </c>
      <c r="DN4" s="35">
        <f>IF(OR(DN$10 &lt;= 0, DN$10 &gt; Inputs!$C$48*12), 0, IF(DN$10 &lt;= Inputs!$C$49, DN$3 * Inputs!$C$47 / 12, DN$3 * Inputs!$C$47 / 12))</f>
        <v>49399.883327173528</v>
      </c>
      <c r="DO4" s="35">
        <f>IF(OR(DO$10 &lt;= 0, DO$10 &gt; Inputs!$C$48*12), 0, IF(DO$10 &lt;= Inputs!$C$49, DO$3 * Inputs!$C$47 / 12, DO$3 * Inputs!$C$47 / 12))</f>
        <v>49261.202121907088</v>
      </c>
      <c r="DP4" s="35">
        <f>IF(OR(DP$10 &lt;= 0, DP$10 &gt; Inputs!$C$48*12), 0, IF(DP$10 &lt;= Inputs!$C$49, DP$3 * Inputs!$C$47 / 12, DP$3 * Inputs!$C$47 / 12))</f>
        <v>49121.654159107733</v>
      </c>
      <c r="DQ4" s="35">
        <f>IF(OR(DQ$10 &lt;= 0, DQ$10 &gt; Inputs!$C$48*12), 0, IF(DQ$10 &lt;= Inputs!$C$49, DQ$3 * Inputs!$C$47 / 12, DQ$3 * Inputs!$C$47 / 12))</f>
        <v>48981.234021540877</v>
      </c>
      <c r="DR4" s="35">
        <f>IF(OR(DR$10 &lt;= 0, DR$10 &gt; Inputs!$C$48*12), 0, IF(DR$10 &lt;= Inputs!$C$49, DR$3 * Inputs!$C$47 / 12, DR$3 * Inputs!$C$47 / 12))</f>
        <v>48839.936258114234</v>
      </c>
      <c r="DS4" s="35">
        <f>IF(OR(DS$10 &lt;= 0, DS$10 &gt; Inputs!$C$48*12), 0, IF(DS$10 &lt;= Inputs!$C$49, DS$3 * Inputs!$C$47 / 12, DS$3 * Inputs!$C$47 / 12))</f>
        <v>48697.755383666175</v>
      </c>
      <c r="DT4" s="35">
        <f>IF(OR(DT$10 &lt;= 0, DT$10 &gt; Inputs!$C$48*12), 0, IF(DT$10 &lt;= Inputs!$C$49, DT$3 * Inputs!$C$47 / 12, DT$3 * Inputs!$C$47 / 12))</f>
        <v>48554.685878752818</v>
      </c>
      <c r="DU4" s="35">
        <f>IF(OR(DU$10 &lt;= 0, DU$10 &gt; Inputs!$C$48*12), 0, IF(DU$10 &lt;= Inputs!$C$49, DU$3 * Inputs!$C$47 / 12, DU$3 * Inputs!$C$47 / 12))</f>
        <v>48410.722189433749</v>
      </c>
      <c r="DV4" s="35">
        <f>IF(OR(DV$10 &lt;= 0, DV$10 &gt; Inputs!$C$48*12), 0, IF(DV$10 &lt;= Inputs!$C$49, DV$3 * Inputs!$C$47 / 12, DV$3 * Inputs!$C$47 / 12))</f>
        <v>48265.858727056439</v>
      </c>
      <c r="DW4" s="35">
        <f>IF(OR(DW$10 &lt;= 0, DW$10 &gt; Inputs!$C$48*12), 0, IF(DW$10 &lt;= Inputs!$C$49, DW$3 * Inputs!$C$47 / 12, DW$3 * Inputs!$C$47 / 12))</f>
        <v>48120.089868039271</v>
      </c>
      <c r="DX4" s="35">
        <f>IF(OR(DX$10 &lt;= 0, DX$10 &gt; Inputs!$C$48*12), 0, IF(DX$10 &lt;= Inputs!$C$49, DX$3 * Inputs!$C$47 / 12, DX$3 * Inputs!$C$47 / 12))</f>
        <v>47973.409953653238</v>
      </c>
      <c r="DY4" s="35">
        <f>IF(OR(DY$10 &lt;= 0, DY$10 &gt; Inputs!$C$48*12), 0, IF(DY$10 &lt;= Inputs!$C$49, DY$3 * Inputs!$C$47 / 12, DY$3 * Inputs!$C$47 / 12))</f>
        <v>47825.813289802296</v>
      </c>
      <c r="DZ4" s="35">
        <f>IF(OR(DZ$10 &lt;= 0, DZ$10 &gt; Inputs!$C$48*12), 0, IF(DZ$10 &lt;= Inputs!$C$49, DZ$3 * Inputs!$C$47 / 12, DZ$3 * Inputs!$C$47 / 12))</f>
        <v>47677.294146802298</v>
      </c>
      <c r="EA4" s="35">
        <f>IF(OR(EA$10 &lt;= 0, EA$10 &gt; Inputs!$C$48*12), 0, IF(EA$10 &lt;= Inputs!$C$49, EA$3 * Inputs!$C$47 / 12, EA$3 * Inputs!$C$47 / 12))</f>
        <v>47527.846759158536</v>
      </c>
      <c r="EB4" s="35">
        <f>IF(OR(EB$10 &lt;= 0, EB$10 &gt; Inputs!$C$48*12), 0, IF(EB$10 &lt;= Inputs!$C$49, EB$3 * Inputs!$C$47 / 12, EB$3 * Inputs!$C$47 / 12))</f>
        <v>47377.465325341997</v>
      </c>
      <c r="EC4" s="35">
        <f>IF(OR(EC$10 &lt;= 0, EC$10 &gt; Inputs!$C$48*12), 0, IF(EC$10 &lt;= Inputs!$C$49, EC$3 * Inputs!$C$47 / 12, EC$3 * Inputs!$C$47 / 12))</f>
        <v>47226.144007564115</v>
      </c>
      <c r="ED4" s="35">
        <f>IF(OR(ED$10 &lt;= 0, ED$10 &gt; Inputs!$C$48*12), 0, IF(ED$10 &lt;= Inputs!$C$49, ED$3 * Inputs!$C$47 / 12, ED$3 * Inputs!$C$47 / 12))</f>
        <v>47073.876931550119</v>
      </c>
      <c r="EE4" s="35">
        <f>IF(OR(EE$10 &lt;= 0, EE$10 &gt; Inputs!$C$48*12), 0, IF(EE$10 &lt;= Inputs!$C$49, EE$3 * Inputs!$C$47 / 12, EE$3 * Inputs!$C$47 / 12))</f>
        <v>46920.658186311026</v>
      </c>
      <c r="EF4" s="35">
        <f>IF(OR(EF$10 &lt;= 0, EF$10 &gt; Inputs!$C$48*12), 0, IF(EF$10 &lt;= Inputs!$C$49, EF$3 * Inputs!$C$47 / 12, EF$3 * Inputs!$C$47 / 12))</f>
        <v>46766.481823914197</v>
      </c>
      <c r="EG4" s="35">
        <f>IF(OR(EG$10 &lt;= 0, EG$10 &gt; Inputs!$C$48*12), 0, IF(EG$10 &lt;= Inputs!$C$49, EG$3 * Inputs!$C$47 / 12, EG$3 * Inputs!$C$47 / 12))</f>
        <v>46611.341859252389</v>
      </c>
      <c r="EH4" s="35">
        <f>IF(OR(EH$10 &lt;= 0, EH$10 &gt; Inputs!$C$48*12), 0, IF(EH$10 &lt;= Inputs!$C$49, EH$3 * Inputs!$C$47 / 12, EH$3 * Inputs!$C$47 / 12))</f>
        <v>46455.232269811444</v>
      </c>
      <c r="EI4" s="35">
        <f>IF(OR(EI$10 &lt;= 0, EI$10 &gt; Inputs!$C$48*12), 0, IF(EI$10 &lt;= Inputs!$C$49, EI$3 * Inputs!$C$47 / 12, EI$3 * Inputs!$C$47 / 12))</f>
        <v>46298.146995436487</v>
      </c>
      <c r="EJ4" s="35">
        <f>IF(OR(EJ$10 &lt;= 0, EJ$10 &gt; Inputs!$C$48*12), 0, IF(EJ$10 &lt;= Inputs!$C$49, EJ$3 * Inputs!$C$47 / 12, EJ$3 * Inputs!$C$47 / 12))</f>
        <v>46140.079938096693</v>
      </c>
      <c r="EK4" s="35">
        <f>IF(OR(EK$10 &lt;= 0, EK$10 &gt; Inputs!$C$48*12), 0, IF(EK$10 &lt;= Inputs!$C$49, EK$3 * Inputs!$C$47 / 12, EK$3 * Inputs!$C$47 / 12))</f>
        <v>45981.024961648531</v>
      </c>
      <c r="EL4" s="35">
        <f>IF(OR(EL$10 &lt;= 0, EL$10 &gt; Inputs!$C$48*12), 0, IF(EL$10 &lt;= Inputs!$C$49, EL$3 * Inputs!$C$47 / 12, EL$3 * Inputs!$C$47 / 12))</f>
        <v>45820.975891597562</v>
      </c>
      <c r="EM4" s="35">
        <f>IF(OR(EM$10 &lt;= 0, EM$10 &gt; Inputs!$C$48*12), 0, IF(EM$10 &lt;= Inputs!$C$49, EM$3 * Inputs!$C$47 / 12, EM$3 * Inputs!$C$47 / 12))</f>
        <v>45659.92651485878</v>
      </c>
      <c r="EN4" s="35">
        <f>IF(OR(EN$10 &lt;= 0, EN$10 &gt; Inputs!$C$48*12), 0, IF(EN$10 &lt;= Inputs!$C$49, EN$3 * Inputs!$C$47 / 12, EN$3 * Inputs!$C$47 / 12))</f>
        <v>45497.870579515373</v>
      </c>
      <c r="EO4" s="35">
        <f>IF(OR(EO$10 &lt;= 0, EO$10 &gt; Inputs!$C$48*12), 0, IF(EO$10 &lt;= Inputs!$C$49, EO$3 * Inputs!$C$47 / 12, EO$3 * Inputs!$C$47 / 12))</f>
        <v>45334.801794576073</v>
      </c>
      <c r="EP4" s="35">
        <f>IF(OR(EP$10 &lt;= 0, EP$10 &gt; Inputs!$C$48*12), 0, IF(EP$10 &lt;= Inputs!$C$49, EP$3 * Inputs!$C$47 / 12, EP$3 * Inputs!$C$47 / 12))</f>
        <v>45170.713829730892</v>
      </c>
      <c r="EQ4" s="35">
        <f>IF(OR(EQ$10 &lt;= 0, EQ$10 &gt; Inputs!$C$48*12), 0, IF(EQ$10 &lt;= Inputs!$C$49, EQ$3 * Inputs!$C$47 / 12, EQ$3 * Inputs!$C$47 / 12))</f>
        <v>45005.600315105432</v>
      </c>
      <c r="ER4" s="35">
        <f>IF(OR(ER$10 &lt;= 0, ER$10 &gt; Inputs!$C$48*12), 0, IF(ER$10 &lt;= Inputs!$C$49, ER$3 * Inputs!$C$47 / 12, ER$3 * Inputs!$C$47 / 12))</f>
        <v>44839.454841013569</v>
      </c>
      <c r="ES4" s="35">
        <f>IF(OR(ES$10 &lt;= 0, ES$10 &gt; Inputs!$C$48*12), 0, IF(ES$10 &lt;= Inputs!$C$49, ES$3 * Inputs!$C$47 / 12, ES$3 * Inputs!$C$47 / 12))</f>
        <v>44672.270957708628</v>
      </c>
      <c r="ET4" s="35">
        <f>IF(OR(ET$10 &lt;= 0, ET$10 &gt; Inputs!$C$48*12), 0, IF(ET$10 &lt;= Inputs!$C$49, ET$3 * Inputs!$C$47 / 12, ET$3 * Inputs!$C$47 / 12))</f>
        <v>44504.042175133036</v>
      </c>
      <c r="EU4" s="35">
        <f>IF(OR(EU$10 &lt;= 0, EU$10 &gt; Inputs!$C$48*12), 0, IF(EU$10 &lt;= Inputs!$C$49, EU$3 * Inputs!$C$47 / 12, EU$3 * Inputs!$C$47 / 12))</f>
        <v>44334.761962666344</v>
      </c>
      <c r="EV4" s="35">
        <f>IF(OR(EV$10 &lt;= 0, EV$10 &gt; Inputs!$C$48*12), 0, IF(EV$10 &lt;= Inputs!$C$49, EV$3 * Inputs!$C$47 / 12, EV$3 * Inputs!$C$47 / 12))</f>
        <v>44164.423748871741</v>
      </c>
      <c r="EW4" s="35">
        <f>IF(OR(EW$10 &lt;= 0, EW$10 &gt; Inputs!$C$48*12), 0, IF(EW$10 &lt;= Inputs!$C$49, EW$3 * Inputs!$C$47 / 12, EW$3 * Inputs!$C$47 / 12))</f>
        <v>43993.02092124091</v>
      </c>
      <c r="EX4" s="35">
        <f>IF(OR(EX$10 &lt;= 0, EX$10 &gt; Inputs!$C$48*12), 0, IF(EX$10 &lt;= Inputs!$C$49, EX$3 * Inputs!$C$47 / 12, EX$3 * Inputs!$C$47 / 12))</f>
        <v>43820.546825937396</v>
      </c>
      <c r="EY4" s="35">
        <f>IF(OR(EY$10 &lt;= 0, EY$10 &gt; Inputs!$C$48*12), 0, IF(EY$10 &lt;= Inputs!$C$49, EY$3 * Inputs!$C$47 / 12, EY$3 * Inputs!$C$47 / 12))</f>
        <v>43646.994767538221</v>
      </c>
      <c r="EZ4" s="35">
        <f>IF(OR(EZ$10 &lt;= 0, EZ$10 &gt; Inputs!$C$48*12), 0, IF(EZ$10 &lt;= Inputs!$C$49, EZ$3 * Inputs!$C$47 / 12, EZ$3 * Inputs!$C$47 / 12))</f>
        <v>43472.358008774063</v>
      </c>
      <c r="FA4" s="35">
        <f>IF(OR(FA$10 &lt;= 0, FA$10 &gt; Inputs!$C$48*12), 0, IF(FA$10 &lt;= Inputs!$C$49, FA$3 * Inputs!$C$47 / 12, FA$3 * Inputs!$C$47 / 12))</f>
        <v>43296.629770267631</v>
      </c>
      <c r="FB4" s="35">
        <f>IF(OR(FB$10 &lt;= 0, FB$10 &gt; Inputs!$C$48*12), 0, IF(FB$10 &lt;= Inputs!$C$49, FB$3 * Inputs!$C$47 / 12, FB$3 * Inputs!$C$47 / 12))</f>
        <v>43119.803230270532</v>
      </c>
      <c r="FC4" s="35">
        <f>IF(OR(FC$10 &lt;= 0, FC$10 &gt; Inputs!$C$48*12), 0, IF(FC$10 &lt;= Inputs!$C$49, FC$3 * Inputs!$C$47 / 12, FC$3 * Inputs!$C$47 / 12))</f>
        <v>42941.871524398455</v>
      </c>
      <c r="FD4" s="35">
        <f>IF(OR(FD$10 &lt;= 0, FD$10 &gt; Inputs!$C$48*12), 0, IF(FD$10 &lt;= Inputs!$C$49, FD$3 * Inputs!$C$47 / 12, FD$3 * Inputs!$C$47 / 12))</f>
        <v>42762.827745364666</v>
      </c>
      <c r="FE4" s="35">
        <f>IF(OR(FE$10 &lt;= 0, FE$10 &gt; Inputs!$C$48*12), 0, IF(FE$10 &lt;= Inputs!$C$49, FE$3 * Inputs!$C$47 / 12, FE$3 * Inputs!$C$47 / 12))</f>
        <v>42582.664942711919</v>
      </c>
      <c r="FF4" s="35">
        <f>IF(OR(FF$10 &lt;= 0, FF$10 &gt; Inputs!$C$48*12), 0, IF(FF$10 &lt;= Inputs!$C$49, FF$3 * Inputs!$C$47 / 12, FF$3 * Inputs!$C$47 / 12))</f>
        <v>42401.376122542599</v>
      </c>
      <c r="FG4" s="35">
        <f>IF(OR(FG$10 &lt;= 0, FG$10 &gt; Inputs!$C$48*12), 0, IF(FG$10 &lt;= Inputs!$C$49, FG$3 * Inputs!$C$47 / 12, FG$3 * Inputs!$C$47 / 12))</f>
        <v>42218.954247247217</v>
      </c>
      <c r="FH4" s="35">
        <f>IF(OR(FH$10 &lt;= 0, FH$10 &gt; Inputs!$C$48*12), 0, IF(FH$10 &lt;= Inputs!$C$49, FH$3 * Inputs!$C$47 / 12, FH$3 * Inputs!$C$47 / 12))</f>
        <v>42035.392235231244</v>
      </c>
      <c r="FI4" s="35">
        <f>IF(OR(FI$10 &lt;= 0, FI$10 &gt; Inputs!$C$48*12), 0, IF(FI$10 &lt;= Inputs!$C$49, FI$3 * Inputs!$C$47 / 12, FI$3 * Inputs!$C$47 / 12))</f>
        <v>41850.682960640159</v>
      </c>
      <c r="FJ4" s="35">
        <f>IF(OR(FJ$10 &lt;= 0, FJ$10 &gt; Inputs!$C$48*12), 0, IF(FJ$10 &lt;= Inputs!$C$49, FJ$3 * Inputs!$C$47 / 12, FJ$3 * Inputs!$C$47 / 12))</f>
        <v>41664.819253082889</v>
      </c>
      <c r="FK4" s="35">
        <f>IF(OR(FK$10 &lt;= 0, FK$10 &gt; Inputs!$C$48*12), 0, IF(FK$10 &lt;= Inputs!$C$49, FK$3 * Inputs!$C$47 / 12, FK$3 * Inputs!$C$47 / 12))</f>
        <v>41477.793897353382</v>
      </c>
      <c r="FL4" s="35">
        <f>IF(OR(FL$10 &lt;= 0, FL$10 &gt; Inputs!$C$48*12), 0, IF(FL$10 &lt;= Inputs!$C$49, FL$3 * Inputs!$C$47 / 12, FL$3 * Inputs!$C$47 / 12))</f>
        <v>41289.599633150567</v>
      </c>
      <c r="FM4" s="35">
        <f>IF(OR(FM$10 &lt;= 0, FM$10 &gt; Inputs!$C$48*12), 0, IF(FM$10 &lt;= Inputs!$C$49, FM$3 * Inputs!$C$47 / 12, FM$3 * Inputs!$C$47 / 12))</f>
        <v>41100.229154796485</v>
      </c>
      <c r="FN4" s="35">
        <f>IF(OR(FN$10 &lt;= 0, FN$10 &gt; Inputs!$C$48*12), 0, IF(FN$10 &lt;= Inputs!$C$49, FN$3 * Inputs!$C$47 / 12, FN$3 * Inputs!$C$47 / 12))</f>
        <v>40909.675110952689</v>
      </c>
      <c r="FO4" s="35">
        <f>IF(OR(FO$10 &lt;= 0, FO$10 &gt; Inputs!$C$48*12), 0, IF(FO$10 &lt;= Inputs!$C$49, FO$3 * Inputs!$C$47 / 12, FO$3 * Inputs!$C$47 / 12))</f>
        <v>40717.930104334875</v>
      </c>
      <c r="FP4" s="35">
        <f>IF(OR(FP$10 &lt;= 0, FP$10 &gt; Inputs!$C$48*12), 0, IF(FP$10 &lt;= Inputs!$C$49, FP$3 * Inputs!$C$47 / 12, FP$3 * Inputs!$C$47 / 12))</f>
        <v>40524.986691425693</v>
      </c>
      <c r="FQ4" s="35">
        <f>IF(OR(FQ$10 &lt;= 0, FQ$10 &gt; Inputs!$C$48*12), 0, IF(FQ$10 &lt;= Inputs!$C$49, FQ$3 * Inputs!$C$47 / 12, FQ$3 * Inputs!$C$47 / 12))</f>
        <v>40330.837382185833</v>
      </c>
      <c r="FR4" s="35">
        <f>IF(OR(FR$10 &lt;= 0, FR$10 &gt; Inputs!$C$48*12), 0, IF(FR$10 &lt;= Inputs!$C$49, FR$3 * Inputs!$C$47 / 12, FR$3 * Inputs!$C$47 / 12))</f>
        <v>40135.474639763219</v>
      </c>
      <c r="FS4" s="35">
        <f>IF(OR(FS$10 &lt;= 0, FS$10 &gt; Inputs!$C$48*12), 0, IF(FS$10 &lt;= Inputs!$C$49, FS$3 * Inputs!$C$47 / 12, FS$3 * Inputs!$C$47 / 12))</f>
        <v>39938.890880200466</v>
      </c>
      <c r="FT4" s="35">
        <f>IF(OR(FT$10 &lt;= 0, FT$10 &gt; Inputs!$C$48*12), 0, IF(FT$10 &lt;= Inputs!$C$49, FT$3 * Inputs!$C$47 / 12, FT$3 * Inputs!$C$47 / 12))</f>
        <v>39741.078472140442</v>
      </c>
      <c r="FU4" s="35">
        <f>IF(OR(FU$10 &lt;= 0, FU$10 &gt; Inputs!$C$48*12), 0, IF(FU$10 &lt;= Inputs!$C$49, FU$3 * Inputs!$C$47 / 12, FU$3 * Inputs!$C$47 / 12))</f>
        <v>39542.029736530043</v>
      </c>
      <c r="FV4" s="35">
        <f>IF(OR(FV$10 &lt;= 0, FV$10 &gt; Inputs!$C$48*12), 0, IF(FV$10 &lt;= Inputs!$C$49, FV$3 * Inputs!$C$47 / 12, FV$3 * Inputs!$C$47 / 12))</f>
        <v>39341.736946322089</v>
      </c>
      <c r="FW4" s="35">
        <f>IF(OR(FW$10 &lt;= 0, FW$10 &gt; Inputs!$C$48*12), 0, IF(FW$10 &lt;= Inputs!$C$49, FW$3 * Inputs!$C$47 / 12, FW$3 * Inputs!$C$47 / 12))</f>
        <v>39140.192326175325</v>
      </c>
      <c r="FX4" s="35">
        <f>IF(OR(FX$10 &lt;= 0, FX$10 &gt; Inputs!$C$48*12), 0, IF(FX$10 &lt;= Inputs!$C$49, FX$3 * Inputs!$C$47 / 12, FX$3 * Inputs!$C$47 / 12))</f>
        <v>38937.388052152652</v>
      </c>
      <c r="FY4" s="35">
        <f>IF(OR(FY$10 &lt;= 0, FY$10 &gt; Inputs!$C$48*12), 0, IF(FY$10 &lt;= Inputs!$C$49, FY$3 * Inputs!$C$47 / 12, FY$3 * Inputs!$C$47 / 12))</f>
        <v>38733.316251417331</v>
      </c>
      <c r="FZ4" s="35">
        <f>IF(OR(FZ$10 &lt;= 0, FZ$10 &gt; Inputs!$C$48*12), 0, IF(FZ$10 &lt;= Inputs!$C$49, FZ$3 * Inputs!$C$47 / 12, FZ$3 * Inputs!$C$47 / 12))</f>
        <v>38527.969001927413</v>
      </c>
      <c r="GA4" s="35">
        <f>IF(OR(GA$10 &lt;= 0, GA$10 &gt; Inputs!$C$48*12), 0, IF(GA$10 &lt;= Inputs!$C$49, GA$3 * Inputs!$C$47 / 12, GA$3 * Inputs!$C$47 / 12))</f>
        <v>38321.338332128187</v>
      </c>
      <c r="GB4" s="35">
        <f>IF(OR(GB$10 &lt;= 0, GB$10 &gt; Inputs!$C$48*12), 0, IF(GB$10 &lt;= Inputs!$C$49, GB$3 * Inputs!$C$47 / 12, GB$3 * Inputs!$C$47 / 12))</f>
        <v>38113.416220642714</v>
      </c>
      <c r="GC4" s="35">
        <f>IF(OR(GC$10 &lt;= 0, GC$10 &gt; Inputs!$C$48*12), 0, IF(GC$10 &lt;= Inputs!$C$49, GC$3 * Inputs!$C$47 / 12, GC$3 * Inputs!$C$47 / 12))</f>
        <v>37904.194595960456</v>
      </c>
      <c r="GD4" s="35">
        <f>IF(OR(GD$10 &lt;= 0, GD$10 &gt; Inputs!$C$48*12), 0, IF(GD$10 &lt;= Inputs!$C$49, GD$3 * Inputs!$C$47 / 12, GD$3 * Inputs!$C$47 / 12))</f>
        <v>37693.665336123937</v>
      </c>
      <c r="GE4" s="35">
        <f>IF(OR(GE$10 &lt;= 0, GE$10 &gt; Inputs!$C$48*12), 0, IF(GE$10 &lt;= Inputs!$C$49, GE$3 * Inputs!$C$47 / 12, GE$3 * Inputs!$C$47 / 12))</f>
        <v>37481.820268413438</v>
      </c>
      <c r="GF4" s="35">
        <f>IF(OR(GF$10 &lt;= 0, GF$10 &gt; Inputs!$C$48*12), 0, IF(GF$10 &lt;= Inputs!$C$49, GF$3 * Inputs!$C$47 / 12, GF$3 * Inputs!$C$47 / 12))</f>
        <v>37268.651169029741</v>
      </c>
      <c r="GG4" s="35">
        <f>IF(OR(GG$10 &lt;= 0, GG$10 &gt; Inputs!$C$48*12), 0, IF(GG$10 &lt;= Inputs!$C$49, GG$3 * Inputs!$C$47 / 12, GG$3 * Inputs!$C$47 / 12))</f>
        <v>37054.149762774912</v>
      </c>
      <c r="GH4" s="35">
        <f>IF(OR(GH$10 &lt;= 0, GH$10 &gt; Inputs!$C$48*12), 0, IF(GH$10 &lt;= Inputs!$C$49, GH$3 * Inputs!$C$47 / 12, GH$3 * Inputs!$C$47 / 12))</f>
        <v>36838.307722730977</v>
      </c>
      <c r="GI4" s="35">
        <f>IF(OR(GI$10 &lt;= 0, GI$10 &gt; Inputs!$C$48*12), 0, IF(GI$10 &lt;= Inputs!$C$49, GI$3 * Inputs!$C$47 / 12, GI$3 * Inputs!$C$47 / 12))</f>
        <v>36621.116669936775</v>
      </c>
      <c r="GJ4" s="35">
        <f>IF(OR(GJ$10 &lt;= 0, GJ$10 &gt; Inputs!$C$48*12), 0, IF(GJ$10 &lt;= Inputs!$C$49, GJ$3 * Inputs!$C$47 / 12, GJ$3 * Inputs!$C$47 / 12))</f>
        <v>36402.568173062602</v>
      </c>
      <c r="GK4" s="35">
        <f>IF(OR(GK$10 &lt;= 0, GK$10 &gt; Inputs!$C$48*12), 0, IF(GK$10 &lt;= Inputs!$C$49, GK$3 * Inputs!$C$47 / 12, GK$3 * Inputs!$C$47 / 12))</f>
        <v>36182.653748082965</v>
      </c>
      <c r="GL4" s="35">
        <f>IF(OR(GL$10 &lt;= 0, GL$10 &gt; Inputs!$C$48*12), 0, IF(GL$10 &lt;= Inputs!$C$49, GL$3 * Inputs!$C$47 / 12, GL$3 * Inputs!$C$47 / 12))</f>
        <v>35961.364857947214</v>
      </c>
      <c r="GM4" s="35">
        <f>IF(OR(GM$10 &lt;= 0, GM$10 &gt; Inputs!$C$48*12), 0, IF(GM$10 &lt;= Inputs!$C$49, GM$3 * Inputs!$C$47 / 12, GM$3 * Inputs!$C$47 / 12))</f>
        <v>35738.692912248116</v>
      </c>
      <c r="GN4" s="35">
        <f>IF(OR(GN$10 &lt;= 0, GN$10 &gt; Inputs!$C$48*12), 0, IF(GN$10 &lt;= Inputs!$C$49, GN$3 * Inputs!$C$47 / 12, GN$3 * Inputs!$C$47 / 12))</f>
        <v>35514.629266888391</v>
      </c>
      <c r="GO4" s="35">
        <f>IF(OR(GO$10 &lt;= 0, GO$10 &gt; Inputs!$C$48*12), 0, IF(GO$10 &lt;= Inputs!$C$49, GO$3 * Inputs!$C$47 / 12, GO$3 * Inputs!$C$47 / 12))</f>
        <v>35289.165223745171</v>
      </c>
      <c r="GP4" s="35">
        <f>IF(OR(GP$10 &lt;= 0, GP$10 &gt; Inputs!$C$48*12), 0, IF(GP$10 &lt;= Inputs!$C$49, GP$3 * Inputs!$C$47 / 12, GP$3 * Inputs!$C$47 / 12))</f>
        <v>35062.292030332297</v>
      </c>
      <c r="GQ4" s="35">
        <f>IF(OR(GQ$10 &lt;= 0, GQ$10 &gt; Inputs!$C$48*12), 0, IF(GQ$10 &lt;= Inputs!$C$49, GQ$3 * Inputs!$C$47 / 12, GQ$3 * Inputs!$C$47 / 12))</f>
        <v>34834.000879460604</v>
      </c>
      <c r="GR4" s="35">
        <f>IF(OR(GR$10 &lt;= 0, GR$10 &gt; Inputs!$C$48*12), 0, IF(GR$10 &lt;= Inputs!$C$49, GR$3 * Inputs!$C$47 / 12, GR$3 * Inputs!$C$47 / 12))</f>
        <v>34604.282908895955</v>
      </c>
      <c r="GS4" s="35">
        <f>IF(OR(GS$10 &lt;= 0, GS$10 &gt; Inputs!$C$48*12), 0, IF(GS$10 &lt;= Inputs!$C$49, GS$3 * Inputs!$C$47 / 12, GS$3 * Inputs!$C$47 / 12))</f>
        <v>34373.129201015283</v>
      </c>
      <c r="GT4" s="35">
        <f>IF(OR(GT$10 &lt;= 0, GT$10 &gt; Inputs!$C$48*12), 0, IF(GT$10 &lt;= Inputs!$C$49, GT$3 * Inputs!$C$47 / 12, GT$3 * Inputs!$C$47 / 12))</f>
        <v>34140.530782460359</v>
      </c>
      <c r="GU4" s="35">
        <f>IF(OR(GU$10 &lt;= 0, GU$10 &gt; Inputs!$C$48*12), 0, IF(GU$10 &lt;= Inputs!$C$49, GU$3 * Inputs!$C$47 / 12, GU$3 * Inputs!$C$47 / 12))</f>
        <v>33906.478623789459</v>
      </c>
      <c r="GV4" s="35">
        <f>IF(OR(GV$10 &lt;= 0, GV$10 &gt; Inputs!$C$48*12), 0, IF(GV$10 &lt;= Inputs!$C$49, GV$3 * Inputs!$C$47 / 12, GV$3 * Inputs!$C$47 / 12))</f>
        <v>33670.963639126865</v>
      </c>
      <c r="GW4" s="35">
        <f>IF(OR(GW$10 &lt;= 0, GW$10 &gt; Inputs!$C$48*12), 0, IF(GW$10 &lt;= Inputs!$C$49, GW$3 * Inputs!$C$47 / 12, GW$3 * Inputs!$C$47 / 12))</f>
        <v>33433.976685810143</v>
      </c>
      <c r="GX4" s="35">
        <f>IF(OR(GX$10 &lt;= 0, GX$10 &gt; Inputs!$C$48*12), 0, IF(GX$10 &lt;= Inputs!$C$49, GX$3 * Inputs!$C$47 / 12, GX$3 * Inputs!$C$47 / 12))</f>
        <v>33195.508564035183</v>
      </c>
      <c r="GY4" s="35">
        <f>IF(OR(GY$10 &lt;= 0, GY$10 &gt; Inputs!$C$48*12), 0, IF(GY$10 &lt;= Inputs!$C$49, GY$3 * Inputs!$C$47 / 12, GY$3 * Inputs!$C$47 / 12))</f>
        <v>32955.550016499132</v>
      </c>
      <c r="GZ4" s="35">
        <f>IF(OR(GZ$10 &lt;= 0, GZ$10 &gt; Inputs!$C$48*12), 0, IF(GZ$10 &lt;= Inputs!$C$49, GZ$3 * Inputs!$C$47 / 12, GZ$3 * Inputs!$C$47 / 12))</f>
        <v>32714.091728040978</v>
      </c>
      <c r="HA4" s="35">
        <f>IF(OR(HA$10 &lt;= 0, HA$10 &gt; Inputs!$C$48*12), 0, IF(HA$10 &lt;= Inputs!$C$49, HA$3 * Inputs!$C$47 / 12, HA$3 * Inputs!$C$47 / 12))</f>
        <v>32471.124325279961</v>
      </c>
      <c r="HB4" s="35">
        <f>IF(OR(HB$10 &lt;= 0, HB$10 &gt; Inputs!$C$48*12), 0, IF(HB$10 &lt;= Inputs!$C$49, HB$3 * Inputs!$C$47 / 12, HB$3 * Inputs!$C$47 / 12))</f>
        <v>32226.638376251689</v>
      </c>
      <c r="HC4" s="35">
        <f>IF(OR(HC$10 &lt;= 0, HC$10 &gt; Inputs!$C$48*12), 0, IF(HC$10 &lt;= Inputs!$C$49, HC$3 * Inputs!$C$47 / 12, HC$3 * Inputs!$C$47 / 12))</f>
        <v>31980.62439004199</v>
      </c>
      <c r="HD4" s="35">
        <f>IF(OR(HD$10 &lt;= 0, HD$10 &gt; Inputs!$C$48*12), 0, IF(HD$10 &lt;= Inputs!$C$49, HD$3 * Inputs!$C$47 / 12, HD$3 * Inputs!$C$47 / 12))</f>
        <v>31733.07281641848</v>
      </c>
      <c r="HE4" s="35">
        <f>IF(OR(HE$10 &lt;= 0, HE$10 &gt; Inputs!$C$48*12), 0, IF(HE$10 &lt;= Inputs!$C$49, HE$3 * Inputs!$C$47 / 12, HE$3 * Inputs!$C$47 / 12))</f>
        <v>31483.974045459821</v>
      </c>
      <c r="HF4" s="35">
        <f>IF(OR(HF$10 &lt;= 0, HF$10 &gt; Inputs!$C$48*12), 0, IF(HF$10 &lt;= Inputs!$C$49, HF$3 * Inputs!$C$47 / 12, HF$3 * Inputs!$C$47 / 12))</f>
        <v>31233.318407182669</v>
      </c>
      <c r="HG4" s="35">
        <f>IF(OR(HG$10 &lt;= 0, HG$10 &gt; Inputs!$C$48*12), 0, IF(HG$10 &lt;= Inputs!$C$49, HG$3 * Inputs!$C$47 / 12, HG$3 * Inputs!$C$47 / 12))</f>
        <v>30981.096171166286</v>
      </c>
      <c r="HH4" s="35">
        <f>IF(OR(HH$10 &lt;= 0, HH$10 &gt; Inputs!$C$48*12), 0, IF(HH$10 &lt;= Inputs!$C$49, HH$3 * Inputs!$C$47 / 12, HH$3 * Inputs!$C$47 / 12))</f>
        <v>30727.297546174799</v>
      </c>
      <c r="HI4" s="35">
        <f>IF(OR(HI$10 &lt;= 0, HI$10 &gt; Inputs!$C$48*12), 0, IF(HI$10 &lt;= Inputs!$C$49, HI$3 * Inputs!$C$47 / 12, HI$3 * Inputs!$C$47 / 12))</f>
        <v>30471.912679777117</v>
      </c>
      <c r="HJ4" s="35">
        <f>IF(OR(HJ$10 &lt;= 0, HJ$10 &gt; Inputs!$C$48*12), 0, IF(HJ$10 &lt;= Inputs!$C$49, HJ$3 * Inputs!$C$47 / 12, HJ$3 * Inputs!$C$47 / 12))</f>
        <v>30214.931657964451</v>
      </c>
      <c r="HK4" s="35">
        <f>IF(OR(HK$10 &lt;= 0, HK$10 &gt; Inputs!$C$48*12), 0, IF(HK$10 &lt;= Inputs!$C$49, HK$3 * Inputs!$C$47 / 12, HK$3 * Inputs!$C$47 / 12))</f>
        <v>29956.344504765453</v>
      </c>
      <c r="HL4" s="35">
        <f>IF(OR(HL$10 &lt;= 0, HL$10 &gt; Inputs!$C$48*12), 0, IF(HL$10 &lt;= Inputs!$C$49, HL$3 * Inputs!$C$47 / 12, HL$3 * Inputs!$C$47 / 12))</f>
        <v>29696.141181858966</v>
      </c>
      <c r="HM4" s="35">
        <f>IF(OR(HM$10 &lt;= 0, HM$10 &gt; Inputs!$C$48*12), 0, IF(HM$10 &lt;= Inputs!$C$49, HM$3 * Inputs!$C$47 / 12, HM$3 * Inputs!$C$47 / 12))</f>
        <v>29434.311588184311</v>
      </c>
      <c r="HN4" s="35">
        <f>IF(OR(HN$10 &lt;= 0, HN$10 &gt; Inputs!$C$48*12), 0, IF(HN$10 &lt;= Inputs!$C$49, HN$3 * Inputs!$C$47 / 12, HN$3 * Inputs!$C$47 / 12))</f>
        <v>29170.845559549194</v>
      </c>
      <c r="HO4" s="35">
        <f>IF(OR(HO$10 &lt;= 0, HO$10 &gt; Inputs!$C$48*12), 0, IF(HO$10 &lt;= Inputs!$C$49, HO$3 * Inputs!$C$47 / 12, HO$3 * Inputs!$C$47 / 12))</f>
        <v>28905.732868235096</v>
      </c>
      <c r="HP4" s="35">
        <f>IF(OR(HP$10 &lt;= 0, HP$10 &gt; Inputs!$C$48*12), 0, IF(HP$10 &lt;= Inputs!$C$49, HP$3 * Inputs!$C$47 / 12, HP$3 * Inputs!$C$47 / 12))</f>
        <v>28638.96322260029</v>
      </c>
      <c r="HQ4" s="35">
        <f>IF(OR(HQ$10 &lt;= 0, HQ$10 &gt; Inputs!$C$48*12), 0, IF(HQ$10 &lt;= Inputs!$C$49, HQ$3 * Inputs!$C$47 / 12, HQ$3 * Inputs!$C$47 / 12))</f>
        <v>28370.526266680274</v>
      </c>
      <c r="HR4" s="35">
        <f>IF(OR(HR$10 &lt;= 0, HR$10 &gt; Inputs!$C$48*12), 0, IF(HR$10 &lt;= Inputs!$C$49, HR$3 * Inputs!$C$47 / 12, HR$3 * Inputs!$C$47 / 12))</f>
        <v>28100.411579785752</v>
      </c>
      <c r="HS4" s="35">
        <f>IF(OR(HS$10 &lt;= 0, HS$10 &gt; Inputs!$C$48*12), 0, IF(HS$10 &lt;= Inputs!$C$49, HS$3 * Inputs!$C$47 / 12, HS$3 * Inputs!$C$47 / 12))</f>
        <v>27828.608676098142</v>
      </c>
      <c r="HT4" s="35">
        <f>IF(OR(HT$10 &lt;= 0, HT$10 &gt; Inputs!$C$48*12), 0, IF(HT$10 &lt;= Inputs!$C$49, HT$3 * Inputs!$C$47 / 12, HT$3 * Inputs!$C$47 / 12))</f>
        <v>27555.107004262481</v>
      </c>
      <c r="HU4" s="35">
        <f>IF(OR(HU$10 &lt;= 0, HU$10 &gt; Inputs!$C$48*12), 0, IF(HU$10 &lt;= Inputs!$C$49, HU$3 * Inputs!$C$47 / 12, HU$3 * Inputs!$C$47 / 12))</f>
        <v>27279.895946977849</v>
      </c>
      <c r="HV4" s="35">
        <f>IF(OR(HV$10 &lt;= 0, HV$10 &gt; Inputs!$C$48*12), 0, IF(HV$10 &lt;= Inputs!$C$49, HV$3 * Inputs!$C$47 / 12, HV$3 * Inputs!$C$47 / 12))</f>
        <v>27002.964820585188</v>
      </c>
      <c r="HW4" s="35">
        <f>IF(OR(HW$10 &lt;= 0, HW$10 &gt; Inputs!$C$48*12), 0, IF(HW$10 &lt;= Inputs!$C$49, HW$3 * Inputs!$C$47 / 12, HW$3 * Inputs!$C$47 / 12))</f>
        <v>26724.302874652578</v>
      </c>
      <c r="HX4" s="35">
        <f>IF(OR(HX$10 &lt;= 0, HX$10 &gt; Inputs!$C$48*12), 0, IF(HX$10 &lt;= Inputs!$C$49, HX$3 * Inputs!$C$47 / 12, HX$3 * Inputs!$C$47 / 12))</f>
        <v>26443.899291557882</v>
      </c>
      <c r="HY4" s="35">
        <f>IF(OR(HY$10 &lt;= 0, HY$10 &gt; Inputs!$C$48*12), 0, IF(HY$10 &lt;= Inputs!$C$49, HY$3 * Inputs!$C$47 / 12, HY$3 * Inputs!$C$47 / 12))</f>
        <v>26161.743186068848</v>
      </c>
      <c r="HZ4" s="35">
        <f>IF(OR(HZ$10 &lt;= 0, HZ$10 &gt; Inputs!$C$48*12), 0, IF(HZ$10 &lt;= Inputs!$C$49, HZ$3 * Inputs!$C$47 / 12, HZ$3 * Inputs!$C$47 / 12))</f>
        <v>25877.823604920501</v>
      </c>
      <c r="IA4" s="35">
        <f>IF(OR(IA$10 &lt;= 0, IA$10 &gt; Inputs!$C$48*12), 0, IF(IA$10 &lt;= Inputs!$C$49, IA$3 * Inputs!$C$47 / 12, IA$3 * Inputs!$C$47 / 12))</f>
        <v>25592.129526389981</v>
      </c>
      <c r="IB4" s="35">
        <f>IF(OR(IB$10 &lt;= 0, IB$10 &gt; Inputs!$C$48*12), 0, IF(IB$10 &lt;= Inputs!$C$49, IB$3 * Inputs!$C$47 / 12, IB$3 * Inputs!$C$47 / 12))</f>
        <v>25304.649859868645</v>
      </c>
      <c r="IC4" s="35">
        <f>IF(OR(IC$10 &lt;= 0, IC$10 &gt; Inputs!$C$48*12), 0, IF(IC$10 &lt;= Inputs!$C$49, IC$3 * Inputs!$C$47 / 12, IC$3 * Inputs!$C$47 / 12))</f>
        <v>25015.373445431553</v>
      </c>
      <c r="ID4" s="35">
        <f>IF(OR(ID$10 &lt;= 0, ID$10 &gt; Inputs!$C$48*12), 0, IF(ID$10 &lt;= Inputs!$C$49, ID$3 * Inputs!$C$47 / 12, ID$3 * Inputs!$C$47 / 12))</f>
        <v>24724.289053404224</v>
      </c>
      <c r="IE4" s="35">
        <f>IF(OR(IE$10 &lt;= 0, IE$10 &gt; Inputs!$C$48*12), 0, IF(IE$10 &lt;= Inputs!$C$49, IE$3 * Inputs!$C$47 / 12, IE$3 * Inputs!$C$47 / 12))</f>
        <v>24431.385383926729</v>
      </c>
      <c r="IF4" s="35">
        <f>IF(OR(IF$10 &lt;= 0, IF$10 &gt; Inputs!$C$48*12), 0, IF(IF$10 &lt;= Inputs!$C$49, IF$3 * Inputs!$C$47 / 12, IF$3 * Inputs!$C$47 / 12))</f>
        <v>24136.651066514998</v>
      </c>
      <c r="IG4" s="35">
        <f>IF(OR(IG$10 &lt;= 0, IG$10 &gt; Inputs!$C$48*12), 0, IF(IG$10 &lt;= Inputs!$C$49, IG$3 * Inputs!$C$47 / 12, IG$3 * Inputs!$C$47 / 12))</f>
        <v>23840.07465961944</v>
      </c>
      <c r="IH4" s="35">
        <f>IF(OR(IH$10 &lt;= 0, IH$10 &gt; Inputs!$C$48*12), 0, IF(IH$10 &lt;= Inputs!$C$49, IH$3 * Inputs!$C$47 / 12, IH$3 * Inputs!$C$47 / 12))</f>
        <v>23541.644650180791</v>
      </c>
      <c r="II4" s="35">
        <f>IF(OR(II$10 &lt;= 0, II$10 &gt; Inputs!$C$48*12), 0, IF(II$10 &lt;= Inputs!$C$49, II$3 * Inputs!$C$47 / 12, II$3 * Inputs!$C$47 / 12))</f>
        <v>23241.349453183149</v>
      </c>
      <c r="IJ4" s="35">
        <f>IF(OR(IJ$10 &lt;= 0, IJ$10 &gt; Inputs!$C$48*12), 0, IF(IJ$10 &lt;= Inputs!$C$49, IJ$3 * Inputs!$C$47 / 12, IJ$3 * Inputs!$C$47 / 12))</f>
        <v>22939.177411204266</v>
      </c>
      <c r="IK4" s="35">
        <f>IF(OR(IK$10 &lt;= 0, IK$10 &gt; Inputs!$C$48*12), 0, IF(IK$10 &lt;= Inputs!$C$49, IK$3 * Inputs!$C$47 / 12, IK$3 * Inputs!$C$47 / 12))</f>
        <v>22635.116793963021</v>
      </c>
      <c r="IL4" s="11"/>
      <c r="IM4" s="11"/>
      <c r="IN4" s="11"/>
      <c r="IO4" s="11"/>
      <c r="IP4" s="11"/>
      <c r="IQ4" s="11"/>
      <c r="IR4" s="11"/>
      <c r="IS4" s="11"/>
      <c r="IT4" s="11"/>
    </row>
    <row r="5" spans="1:254" ht="14.25" customHeight="1" x14ac:dyDescent="0.2">
      <c r="A5" s="11"/>
      <c r="B5" s="11" t="s">
        <v>393</v>
      </c>
      <c r="C5" s="35">
        <f>IF(OR(H$179 &lt;= 0, H$179 &gt; Inputs!$C$48*12), 0, IF(H$179 = Inputs!$C$48*12, H$172, IF(H$179 &lt;= Inputs!$C$49, 0, PPMT(Inputs!$C$47/12, H$179 - Inputs!$C$49, Inputs!$C$48 * 12 - Inputs!$C$49, -H$172))))</f>
        <v>0</v>
      </c>
      <c r="E5" s="302"/>
      <c r="F5" s="35">
        <f>IF(OR(F10 &lt;= 0, F10 &gt; Inputs!$C$48*12), 0, IF(F10 &lt;= Inputs!$C$49, 0, PPMT(Inputs!$C$47/12, F10 - Inputs!$C$49, Inputs!$C$48*12 - Inputs!$C$49, -Inputs!$C$46)))</f>
        <v>11042.757419803749</v>
      </c>
      <c r="G5" s="35">
        <f>IF(OR(G10 &lt;= 0, G10 &gt; Inputs!$C$48*12), 0, IF(G10 &lt;= Inputs!$C$49, 0, PPMT(Inputs!$C$47/12, G10 - Inputs!$C$49, Inputs!$C$48*12 - Inputs!$C$49, -Inputs!$C$46)))</f>
        <v>11111.774653677521</v>
      </c>
      <c r="H5" s="35">
        <f>IF(OR(H10 &lt;= 0, H10 &gt; Inputs!$C$48*12), 0, IF(H10 &lt;= Inputs!$C$49, 0, PPMT(Inputs!$C$47/12, H10 - Inputs!$C$49, Inputs!$C$48*12 - Inputs!$C$49, -Inputs!$C$46)))</f>
        <v>11181.223245263005</v>
      </c>
      <c r="I5" s="35">
        <f>IF(OR(I10 &lt;= 0, I10 &gt; Inputs!$C$48*12), 0, IF(I10 &lt;= Inputs!$C$49, 0, PPMT(Inputs!$C$47/12, I10 - Inputs!$C$49, Inputs!$C$48*12 - Inputs!$C$49, -Inputs!$C$46)))</f>
        <v>11251.105890545901</v>
      </c>
      <c r="J5" s="35">
        <f>IF(OR(J10 &lt;= 0, J10 &gt; Inputs!$C$48*12), 0, IF(J10 &lt;= Inputs!$C$49, 0, PPMT(Inputs!$C$47/12, J10 - Inputs!$C$49, Inputs!$C$48*12 - Inputs!$C$49, -Inputs!$C$46)))</f>
        <v>11321.425302361813</v>
      </c>
      <c r="K5" s="35">
        <f>IF(OR(K10 &lt;= 0, K10 &gt; Inputs!$C$48*12), 0, IF(K10 &lt;= Inputs!$C$49, 0, PPMT(Inputs!$C$47/12, K10 - Inputs!$C$49, Inputs!$C$48*12 - Inputs!$C$49, -Inputs!$C$46)))</f>
        <v>11392.184210501573</v>
      </c>
      <c r="L5" s="35">
        <f>IF(OR(L10 &lt;= 0, L10 &gt; Inputs!$C$48*12), 0, IF(L10 &lt;= Inputs!$C$49, 0, PPMT(Inputs!$C$47/12, L10 - Inputs!$C$49, Inputs!$C$48*12 - Inputs!$C$49, -Inputs!$C$46)))</f>
        <v>11463.385361817209</v>
      </c>
      <c r="M5" s="35">
        <f>IF(OR(M10 &lt;= 0, M10 &gt; Inputs!$C$48*12), 0, IF(M10 &lt;= Inputs!$C$49, 0, PPMT(Inputs!$C$47/12, M10 - Inputs!$C$49, Inputs!$C$48*12 - Inputs!$C$49, -Inputs!$C$46)))</f>
        <v>11535.031520328566</v>
      </c>
      <c r="N5" s="35">
        <f>IF(OR(N10 &lt;= 0, N10 &gt; Inputs!$C$48*12), 0, IF(N10 &lt;= Inputs!$C$49, 0, PPMT(Inputs!$C$47/12, N10 - Inputs!$C$49, Inputs!$C$48*12 - Inputs!$C$49, -Inputs!$C$46)))</f>
        <v>11607.125467330619</v>
      </c>
      <c r="O5" s="35">
        <f>IF(OR(O10 &lt;= 0, O10 &gt; Inputs!$C$48*12), 0, IF(O10 &lt;= Inputs!$C$49, 0, PPMT(Inputs!$C$47/12, O10 - Inputs!$C$49, Inputs!$C$48*12 - Inputs!$C$49, -Inputs!$C$46)))</f>
        <v>11679.670001501436</v>
      </c>
      <c r="P5" s="35">
        <f>IF(OR(P10 &lt;= 0, P10 &gt; Inputs!$C$48*12), 0, IF(P10 &lt;= Inputs!$C$49, 0, PPMT(Inputs!$C$47/12, P10 - Inputs!$C$49, Inputs!$C$48*12 - Inputs!$C$49, -Inputs!$C$46)))</f>
        <v>11752.667939010817</v>
      </c>
      <c r="Q5" s="35">
        <f>IF(OR(Q10 &lt;= 0, Q10 &gt; Inputs!$C$48*12), 0, IF(Q10 &lt;= Inputs!$C$49, 0, PPMT(Inputs!$C$47/12, Q10 - Inputs!$C$49, Inputs!$C$48*12 - Inputs!$C$49, -Inputs!$C$46)))</f>
        <v>11826.122113629635</v>
      </c>
      <c r="R5" s="35">
        <f>IF(OR(R10 &lt;= 0, R10 &gt; Inputs!$C$48*12), 0, IF(R10 &lt;= Inputs!$C$49, 0, PPMT(Inputs!$C$47/12, R10 - Inputs!$C$49, Inputs!$C$48*12 - Inputs!$C$49, -Inputs!$C$46)))</f>
        <v>11900.03537683982</v>
      </c>
      <c r="S5" s="35">
        <f>IF(OR(S10 &lt;= 0, S10 &gt; Inputs!$C$48*12), 0, IF(S10 &lt;= Inputs!$C$49, 0, PPMT(Inputs!$C$47/12, S10 - Inputs!$C$49, Inputs!$C$48*12 - Inputs!$C$49, -Inputs!$C$46)))</f>
        <v>11974.410597945071</v>
      </c>
      <c r="T5" s="35">
        <f>IF(OR(T10 &lt;= 0, T10 &gt; Inputs!$C$48*12), 0, IF(T10 &lt;= Inputs!$C$49, 0, PPMT(Inputs!$C$47/12, T10 - Inputs!$C$49, Inputs!$C$48*12 - Inputs!$C$49, -Inputs!$C$46)))</f>
        <v>12049.250664182226</v>
      </c>
      <c r="U5" s="35">
        <f>IF(OR(U10 &lt;= 0, U10 &gt; Inputs!$C$48*12), 0, IF(U10 &lt;= Inputs!$C$49, 0, PPMT(Inputs!$C$47/12, U10 - Inputs!$C$49, Inputs!$C$48*12 - Inputs!$C$49, -Inputs!$C$46)))</f>
        <v>12124.558480833366</v>
      </c>
      <c r="V5" s="35">
        <f>IF(OR(V10 &lt;= 0, V10 &gt; Inputs!$C$48*12), 0, IF(V10 &lt;= Inputs!$C$49, 0, PPMT(Inputs!$C$47/12, V10 - Inputs!$C$49, Inputs!$C$48*12 - Inputs!$C$49, -Inputs!$C$46)))</f>
        <v>12200.336971338575</v>
      </c>
      <c r="W5" s="35">
        <f>IF(OR(W10 &lt;= 0, W10 &gt; Inputs!$C$48*12), 0, IF(W10 &lt;= Inputs!$C$49, 0, PPMT(Inputs!$C$47/12, W10 - Inputs!$C$49, Inputs!$C$48*12 - Inputs!$C$49, -Inputs!$C$46)))</f>
        <v>12276.589077409441</v>
      </c>
      <c r="X5" s="35">
        <f>IF(OR(X10 &lt;= 0, X10 &gt; Inputs!$C$48*12), 0, IF(X10 &lt;= Inputs!$C$49, 0, PPMT(Inputs!$C$47/12, X10 - Inputs!$C$49, Inputs!$C$48*12 - Inputs!$C$49, -Inputs!$C$46)))</f>
        <v>12353.317759143249</v>
      </c>
      <c r="Y5" s="35">
        <f>IF(OR(Y10 &lt;= 0, Y10 &gt; Inputs!$C$48*12), 0, IF(Y10 &lt;= Inputs!$C$49, 0, PPMT(Inputs!$C$47/12, Y10 - Inputs!$C$49, Inputs!$C$48*12 - Inputs!$C$49, -Inputs!$C$46)))</f>
        <v>12430.525995137896</v>
      </c>
      <c r="Z5" s="35">
        <f>IF(OR(Z10 &lt;= 0, Z10 &gt; Inputs!$C$48*12), 0, IF(Z10 &lt;= Inputs!$C$49, 0, PPMT(Inputs!$C$47/12, Z10 - Inputs!$C$49, Inputs!$C$48*12 - Inputs!$C$49, -Inputs!$C$46)))</f>
        <v>12508.216782607507</v>
      </c>
      <c r="AA5" s="35">
        <f>IF(OR(AA10 &lt;= 0, AA10 &gt; Inputs!$C$48*12), 0, IF(AA10 &lt;= Inputs!$C$49, 0, PPMT(Inputs!$C$47/12, AA10 - Inputs!$C$49, Inputs!$C$48*12 - Inputs!$C$49, -Inputs!$C$46)))</f>
        <v>12586.393137498804</v>
      </c>
      <c r="AB5" s="35">
        <f>IF(OR(AB10 &lt;= 0, AB10 &gt; Inputs!$C$48*12), 0, IF(AB10 &lt;= Inputs!$C$49, 0, PPMT(Inputs!$C$47/12, AB10 - Inputs!$C$49, Inputs!$C$48*12 - Inputs!$C$49, -Inputs!$C$46)))</f>
        <v>12665.058094608172</v>
      </c>
      <c r="AC5" s="35">
        <f>IF(OR(AC10 &lt;= 0, AC10 &gt; Inputs!$C$48*12), 0, IF(AC10 &lt;= Inputs!$C$49, 0, PPMT(Inputs!$C$47/12, AC10 - Inputs!$C$49, Inputs!$C$48*12 - Inputs!$C$49, -Inputs!$C$46)))</f>
        <v>12744.214707699473</v>
      </c>
      <c r="AD5" s="35">
        <f>IF(OR(AD10 &lt;= 0, AD10 &gt; Inputs!$C$48*12), 0, IF(AD10 &lt;= Inputs!$C$49, 0, PPMT(Inputs!$C$47/12, AD10 - Inputs!$C$49, Inputs!$C$48*12 - Inputs!$C$49, -Inputs!$C$46)))</f>
        <v>12823.866049622597</v>
      </c>
      <c r="AE5" s="35">
        <f>IF(OR(AE10 &lt;= 0, AE10 &gt; Inputs!$C$48*12), 0, IF(AE10 &lt;= Inputs!$C$49, 0, PPMT(Inputs!$C$47/12, AE10 - Inputs!$C$49, Inputs!$C$48*12 - Inputs!$C$49, -Inputs!$C$46)))</f>
        <v>12904.015212432734</v>
      </c>
      <c r="AF5" s="35">
        <f>IF(OR(AF10 &lt;= 0, AF10 &gt; Inputs!$C$48*12), 0, IF(AF10 &lt;= Inputs!$C$49, 0, PPMT(Inputs!$C$47/12, AF10 - Inputs!$C$49, Inputs!$C$48*12 - Inputs!$C$49, -Inputs!$C$46)))</f>
        <v>12984.665307510439</v>
      </c>
      <c r="AG5" s="35">
        <f>IF(OR(AG10 &lt;= 0, AG10 &gt; Inputs!$C$48*12), 0, IF(AG10 &lt;= Inputs!$C$49, 0, PPMT(Inputs!$C$47/12, AG10 - Inputs!$C$49, Inputs!$C$48*12 - Inputs!$C$49, -Inputs!$C$46)))</f>
        <v>13065.819465682382</v>
      </c>
      <c r="AH5" s="35">
        <f>IF(OR(AH10 &lt;= 0, AH10 &gt; Inputs!$C$48*12), 0, IF(AH10 &lt;= Inputs!$C$49, 0, PPMT(Inputs!$C$47/12, AH10 - Inputs!$C$49, Inputs!$C$48*12 - Inputs!$C$49, -Inputs!$C$46)))</f>
        <v>13147.480837342895</v>
      </c>
      <c r="AI5" s="35">
        <f>IF(OR(AI10 &lt;= 0, AI10 &gt; Inputs!$C$48*12), 0, IF(AI10 &lt;= Inputs!$C$49, 0, PPMT(Inputs!$C$47/12, AI10 - Inputs!$C$49, Inputs!$C$48*12 - Inputs!$C$49, -Inputs!$C$46)))</f>
        <v>13229.652592576289</v>
      </c>
      <c r="AJ5" s="35">
        <f>IF(OR(AJ10 &lt;= 0, AJ10 &gt; Inputs!$C$48*12), 0, IF(AJ10 &lt;= Inputs!$C$49, 0, PPMT(Inputs!$C$47/12, AJ10 - Inputs!$C$49, Inputs!$C$48*12 - Inputs!$C$49, -Inputs!$C$46)))</f>
        <v>13312.337921279892</v>
      </c>
      <c r="AK5" s="35">
        <f>IF(OR(AK10 &lt;= 0, AK10 &gt; Inputs!$C$48*12), 0, IF(AK10 &lt;= Inputs!$C$49, 0, PPMT(Inputs!$C$47/12, AK10 - Inputs!$C$49, Inputs!$C$48*12 - Inputs!$C$49, -Inputs!$C$46)))</f>
        <v>13395.540033287889</v>
      </c>
      <c r="AL5" s="35">
        <f>IF(OR(AL10 &lt;= 0, AL10 &gt; Inputs!$C$48*12), 0, IF(AL10 &lt;= Inputs!$C$49, 0, PPMT(Inputs!$C$47/12, AL10 - Inputs!$C$49, Inputs!$C$48*12 - Inputs!$C$49, -Inputs!$C$46)))</f>
        <v>13479.26215849594</v>
      </c>
      <c r="AM5" s="35">
        <f>IF(OR(AM10 &lt;= 0, AM10 &gt; Inputs!$C$48*12), 0, IF(AM10 &lt;= Inputs!$C$49, 0, PPMT(Inputs!$C$47/12, AM10 - Inputs!$C$49, Inputs!$C$48*12 - Inputs!$C$49, -Inputs!$C$46)))</f>
        <v>13563.507546986537</v>
      </c>
      <c r="AN5" s="35">
        <f>IF(OR(AN10 &lt;= 0, AN10 &gt; Inputs!$C$48*12), 0, IF(AN10 &lt;= Inputs!$C$49, 0, PPMT(Inputs!$C$47/12, AN10 - Inputs!$C$49, Inputs!$C$48*12 - Inputs!$C$49, -Inputs!$C$46)))</f>
        <v>13648.279469155203</v>
      </c>
      <c r="AO5" s="35">
        <f>IF(OR(AO10 &lt;= 0, AO10 &gt; Inputs!$C$48*12), 0, IF(AO10 &lt;= Inputs!$C$49, 0, PPMT(Inputs!$C$47/12, AO10 - Inputs!$C$49, Inputs!$C$48*12 - Inputs!$C$49, -Inputs!$C$46)))</f>
        <v>13733.581215837423</v>
      </c>
      <c r="AP5" s="35">
        <f>IF(OR(AP10 &lt;= 0, AP10 &gt; Inputs!$C$48*12), 0, IF(AP10 &lt;= Inputs!$C$49, 0, PPMT(Inputs!$C$47/12, AP10 - Inputs!$C$49, Inputs!$C$48*12 - Inputs!$C$49, -Inputs!$C$46)))</f>
        <v>13819.416098436406</v>
      </c>
      <c r="AQ5" s="35">
        <f>IF(OR(AQ10 &lt;= 0, AQ10 &gt; Inputs!$C$48*12), 0, IF(AQ10 &lt;= Inputs!$C$49, 0, PPMT(Inputs!$C$47/12, AQ10 - Inputs!$C$49, Inputs!$C$48*12 - Inputs!$C$49, -Inputs!$C$46)))</f>
        <v>13905.787449051633</v>
      </c>
      <c r="AR5" s="35">
        <f>IF(OR(AR10 &lt;= 0, AR10 &gt; Inputs!$C$48*12), 0, IF(AR10 &lt;= Inputs!$C$49, 0, PPMT(Inputs!$C$47/12, AR10 - Inputs!$C$49, Inputs!$C$48*12 - Inputs!$C$49, -Inputs!$C$46)))</f>
        <v>13992.698620608206</v>
      </c>
      <c r="AS5" s="35">
        <f>IF(OR(AS10 &lt;= 0, AS10 &gt; Inputs!$C$48*12), 0, IF(AS10 &lt;= Inputs!$C$49, 0, PPMT(Inputs!$C$47/12, AS10 - Inputs!$C$49, Inputs!$C$48*12 - Inputs!$C$49, -Inputs!$C$46)))</f>
        <v>14080.15298698701</v>
      </c>
      <c r="AT5" s="35">
        <f>IF(OR(AT10 &lt;= 0, AT10 &gt; Inputs!$C$48*12), 0, IF(AT10 &lt;= Inputs!$C$49, 0, PPMT(Inputs!$C$47/12, AT10 - Inputs!$C$49, Inputs!$C$48*12 - Inputs!$C$49, -Inputs!$C$46)))</f>
        <v>14168.153943155679</v>
      </c>
      <c r="AU5" s="35">
        <f>IF(OR(AU10 &lt;= 0, AU10 &gt; Inputs!$C$48*12), 0, IF(AU10 &lt;= Inputs!$C$49, 0, PPMT(Inputs!$C$47/12, AU10 - Inputs!$C$49, Inputs!$C$48*12 - Inputs!$C$49, -Inputs!$C$46)))</f>
        <v>14256.704905300403</v>
      </c>
      <c r="AV5" s="35">
        <f>IF(OR(AV10 &lt;= 0, AV10 &gt; Inputs!$C$48*12), 0, IF(AV10 &lt;= Inputs!$C$49, 0, PPMT(Inputs!$C$47/12, AV10 - Inputs!$C$49, Inputs!$C$48*12 - Inputs!$C$49, -Inputs!$C$46)))</f>
        <v>14345.80931095853</v>
      </c>
      <c r="AW5" s="35">
        <f>IF(OR(AW10 &lt;= 0, AW10 &gt; Inputs!$C$48*12), 0, IF(AW10 &lt;= Inputs!$C$49, 0, PPMT(Inputs!$C$47/12, AW10 - Inputs!$C$49, Inputs!$C$48*12 - Inputs!$C$49, -Inputs!$C$46)))</f>
        <v>14435.47061915202</v>
      </c>
      <c r="AX5" s="35">
        <f>IF(OR(AX10 &lt;= 0, AX10 &gt; Inputs!$C$48*12), 0, IF(AX10 &lt;= Inputs!$C$49, 0, PPMT(Inputs!$C$47/12, AX10 - Inputs!$C$49, Inputs!$C$48*12 - Inputs!$C$49, -Inputs!$C$46)))</f>
        <v>14525.692310521721</v>
      </c>
      <c r="AY5" s="35">
        <f>IF(OR(AY10 &lt;= 0, AY10 &gt; Inputs!$C$48*12), 0, IF(AY10 &lt;= Inputs!$C$49, 0, PPMT(Inputs!$C$47/12, AY10 - Inputs!$C$49, Inputs!$C$48*12 - Inputs!$C$49, -Inputs!$C$46)))</f>
        <v>14616.477887462481</v>
      </c>
      <c r="AZ5" s="35">
        <f>IF(OR(AZ10 &lt;= 0, AZ10 &gt; Inputs!$C$48*12), 0, IF(AZ10 &lt;= Inputs!$C$49, 0, PPMT(Inputs!$C$47/12, AZ10 - Inputs!$C$49, Inputs!$C$48*12 - Inputs!$C$49, -Inputs!$C$46)))</f>
        <v>14707.830874259123</v>
      </c>
      <c r="BA5" s="35">
        <f>IF(OR(BA10 &lt;= 0, BA10 &gt; Inputs!$C$48*12), 0, IF(BA10 &lt;= Inputs!$C$49, 0, PPMT(Inputs!$C$47/12, BA10 - Inputs!$C$49, Inputs!$C$48*12 - Inputs!$C$49, -Inputs!$C$46)))</f>
        <v>14799.75481722324</v>
      </c>
      <c r="BB5" s="35">
        <f>IF(OR(BB10 &lt;= 0, BB10 &gt; Inputs!$C$48*12), 0, IF(BB10 &lt;= Inputs!$C$49, 0, PPMT(Inputs!$C$47/12, BB10 - Inputs!$C$49, Inputs!$C$48*12 - Inputs!$C$49, -Inputs!$C$46)))</f>
        <v>14892.253284830887</v>
      </c>
      <c r="BC5" s="35">
        <f>IF(OR(BC10 &lt;= 0, BC10 &gt; Inputs!$C$48*12), 0, IF(BC10 &lt;= Inputs!$C$49, 0, PPMT(Inputs!$C$47/12, BC10 - Inputs!$C$49, Inputs!$C$48*12 - Inputs!$C$49, -Inputs!$C$46)))</f>
        <v>14985.329867861081</v>
      </c>
      <c r="BD5" s="35">
        <f>IF(OR(BD10 &lt;= 0, BD10 &gt; Inputs!$C$48*12), 0, IF(BD10 &lt;= Inputs!$C$49, 0, PPMT(Inputs!$C$47/12, BD10 - Inputs!$C$49, Inputs!$C$48*12 - Inputs!$C$49, -Inputs!$C$46)))</f>
        <v>15078.98817953521</v>
      </c>
      <c r="BE5" s="35">
        <f>IF(OR(BE10 &lt;= 0, BE10 &gt; Inputs!$C$48*12), 0, IF(BE10 &lt;= Inputs!$C$49, 0, PPMT(Inputs!$C$47/12, BE10 - Inputs!$C$49, Inputs!$C$48*12 - Inputs!$C$49, -Inputs!$C$46)))</f>
        <v>15173.231855657306</v>
      </c>
      <c r="BF5" s="35">
        <f>IF(OR(BF10 &lt;= 0, BF10 &gt; Inputs!$C$48*12), 0, IF(BF10 &lt;= Inputs!$C$49, 0, PPMT(Inputs!$C$47/12, BF10 - Inputs!$C$49, Inputs!$C$48*12 - Inputs!$C$49, -Inputs!$C$46)))</f>
        <v>15268.064554755165</v>
      </c>
      <c r="BG5" s="35">
        <f>IF(OR(BG10 &lt;= 0, BG10 &gt; Inputs!$C$48*12), 0, IF(BG10 &lt;= Inputs!$C$49, 0, PPMT(Inputs!$C$47/12, BG10 - Inputs!$C$49, Inputs!$C$48*12 - Inputs!$C$49, -Inputs!$C$46)))</f>
        <v>15363.489958222384</v>
      </c>
      <c r="BH5" s="35">
        <f>IF(OR(BH10 &lt;= 0, BH10 &gt; Inputs!$C$48*12), 0, IF(BH10 &lt;= Inputs!$C$49, 0, PPMT(Inputs!$C$47/12, BH10 - Inputs!$C$49, Inputs!$C$48*12 - Inputs!$C$49, -Inputs!$C$46)))</f>
        <v>15459.511770461275</v>
      </c>
      <c r="BI5" s="35">
        <f>IF(OR(BI10 &lt;= 0, BI10 &gt; Inputs!$C$48*12), 0, IF(BI10 &lt;= Inputs!$C$49, 0, PPMT(Inputs!$C$47/12, BI10 - Inputs!$C$49, Inputs!$C$48*12 - Inputs!$C$49, -Inputs!$C$46)))</f>
        <v>15556.133719026657</v>
      </c>
      <c r="BJ5" s="35">
        <f>IF(OR(BJ10 &lt;= 0, BJ10 &gt; Inputs!$C$48*12), 0, IF(BJ10 &lt;= Inputs!$C$49, 0, PPMT(Inputs!$C$47/12, BJ10 - Inputs!$C$49, Inputs!$C$48*12 - Inputs!$C$49, -Inputs!$C$46)))</f>
        <v>15653.35955477057</v>
      </c>
      <c r="BK5" s="35">
        <f>IF(OR(BK10 &lt;= 0, BK10 &gt; Inputs!$C$48*12), 0, IF(BK10 &lt;= Inputs!$C$49, 0, PPMT(Inputs!$C$47/12, BK10 - Inputs!$C$49, Inputs!$C$48*12 - Inputs!$C$49, -Inputs!$C$46)))</f>
        <v>15751.193051987888</v>
      </c>
      <c r="BL5" s="35">
        <f>IF(OR(BL10 &lt;= 0, BL10 &gt; Inputs!$C$48*12), 0, IF(BL10 &lt;= Inputs!$C$49, 0, PPMT(Inputs!$C$47/12, BL10 - Inputs!$C$49, Inputs!$C$48*12 - Inputs!$C$49, -Inputs!$C$46)))</f>
        <v>15849.638008562812</v>
      </c>
      <c r="BM5" s="35">
        <f>IF(OR(BM10 &lt;= 0, BM10 &gt; Inputs!$C$48*12), 0, IF(BM10 &lt;= Inputs!$C$49, 0, PPMT(Inputs!$C$47/12, BM10 - Inputs!$C$49, Inputs!$C$48*12 - Inputs!$C$49, -Inputs!$C$46)))</f>
        <v>15948.69824611633</v>
      </c>
      <c r="BN5" s="35">
        <f>IF(OR(BN10 &lt;= 0, BN10 &gt; Inputs!$C$48*12), 0, IF(BN10 &lt;= Inputs!$C$49, 0, PPMT(Inputs!$C$47/12, BN10 - Inputs!$C$49, Inputs!$C$48*12 - Inputs!$C$49, -Inputs!$C$46)))</f>
        <v>16048.377610154555</v>
      </c>
      <c r="BO5" s="35">
        <f>IF(OR(BO10 &lt;= 0, BO10 &gt; Inputs!$C$48*12), 0, IF(BO10 &lt;= Inputs!$C$49, 0, PPMT(Inputs!$C$47/12, BO10 - Inputs!$C$49, Inputs!$C$48*12 - Inputs!$C$49, -Inputs!$C$46)))</f>
        <v>16148.679970218021</v>
      </c>
      <c r="BP5" s="35">
        <f>IF(OR(BP10 &lt;= 0, BP10 &gt; Inputs!$C$48*12), 0, IF(BP10 &lt;= Inputs!$C$49, 0, PPMT(Inputs!$C$47/12, BP10 - Inputs!$C$49, Inputs!$C$48*12 - Inputs!$C$49, -Inputs!$C$46)))</f>
        <v>16249.609220031885</v>
      </c>
      <c r="BQ5" s="35">
        <f>IF(OR(BQ10 &lt;= 0, BQ10 &gt; Inputs!$C$48*12), 0, IF(BQ10 &lt;= Inputs!$C$49, 0, PPMT(Inputs!$C$47/12, BQ10 - Inputs!$C$49, Inputs!$C$48*12 - Inputs!$C$49, -Inputs!$C$46)))</f>
        <v>16351.169277657087</v>
      </c>
      <c r="BR5" s="35">
        <f>IF(OR(BR10 &lt;= 0, BR10 &gt; Inputs!$C$48*12), 0, IF(BR10 &lt;= Inputs!$C$49, 0, PPMT(Inputs!$C$47/12, BR10 - Inputs!$C$49, Inputs!$C$48*12 - Inputs!$C$49, -Inputs!$C$46)))</f>
        <v>16453.364085642443</v>
      </c>
      <c r="BS5" s="35">
        <f>IF(OR(BS10 &lt;= 0, BS10 &gt; Inputs!$C$48*12), 0, IF(BS10 &lt;= Inputs!$C$49, 0, PPMT(Inputs!$C$47/12, BS10 - Inputs!$C$49, Inputs!$C$48*12 - Inputs!$C$49, -Inputs!$C$46)))</f>
        <v>16556.197611177708</v>
      </c>
      <c r="BT5" s="35">
        <f>IF(OR(BT10 &lt;= 0, BT10 &gt; Inputs!$C$48*12), 0, IF(BT10 &lt;= Inputs!$C$49, 0, PPMT(Inputs!$C$47/12, BT10 - Inputs!$C$49, Inputs!$C$48*12 - Inputs!$C$49, -Inputs!$C$46)))</f>
        <v>16659.67384624757</v>
      </c>
      <c r="BU5" s="35">
        <f>IF(OR(BU10 &lt;= 0, BU10 &gt; Inputs!$C$48*12), 0, IF(BU10 &lt;= Inputs!$C$49, 0, PPMT(Inputs!$C$47/12, BU10 - Inputs!$C$49, Inputs!$C$48*12 - Inputs!$C$49, -Inputs!$C$46)))</f>
        <v>16763.796807786617</v>
      </c>
      <c r="BV5" s="35">
        <f>IF(OR(BV10 &lt;= 0, BV10 &gt; Inputs!$C$48*12), 0, IF(BV10 &lt;= Inputs!$C$49, 0, PPMT(Inputs!$C$47/12, BV10 - Inputs!$C$49, Inputs!$C$48*12 - Inputs!$C$49, -Inputs!$C$46)))</f>
        <v>16868.570537835283</v>
      </c>
      <c r="BW5" s="35">
        <f>IF(OR(BW10 &lt;= 0, BW10 &gt; Inputs!$C$48*12), 0, IF(BW10 &lt;= Inputs!$C$49, 0, PPMT(Inputs!$C$47/12, BW10 - Inputs!$C$49, Inputs!$C$48*12 - Inputs!$C$49, -Inputs!$C$46)))</f>
        <v>16973.999103696751</v>
      </c>
      <c r="BX5" s="35">
        <f>IF(OR(BX10 &lt;= 0, BX10 &gt; Inputs!$C$48*12), 0, IF(BX10 &lt;= Inputs!$C$49, 0, PPMT(Inputs!$C$47/12, BX10 - Inputs!$C$49, Inputs!$C$48*12 - Inputs!$C$49, -Inputs!$C$46)))</f>
        <v>17080.086598094858</v>
      </c>
      <c r="BY5" s="35">
        <f>IF(OR(BY10 &lt;= 0, BY10 &gt; Inputs!$C$48*12), 0, IF(BY10 &lt;= Inputs!$C$49, 0, PPMT(Inputs!$C$47/12, BY10 - Inputs!$C$49, Inputs!$C$48*12 - Inputs!$C$49, -Inputs!$C$46)))</f>
        <v>17186.837139332951</v>
      </c>
      <c r="BZ5" s="35">
        <f>IF(OR(BZ10 &lt;= 0, BZ10 &gt; Inputs!$C$48*12), 0, IF(BZ10 &lt;= Inputs!$C$49, 0, PPMT(Inputs!$C$47/12, BZ10 - Inputs!$C$49, Inputs!$C$48*12 - Inputs!$C$49, -Inputs!$C$46)))</f>
        <v>17294.254871453784</v>
      </c>
      <c r="CA5" s="35">
        <f>IF(OR(CA10 &lt;= 0, CA10 &gt; Inputs!$C$48*12), 0, IF(CA10 &lt;= Inputs!$C$49, 0, PPMT(Inputs!$C$47/12, CA10 - Inputs!$C$49, Inputs!$C$48*12 - Inputs!$C$49, -Inputs!$C$46)))</f>
        <v>17402.343964400367</v>
      </c>
      <c r="CB5" s="35">
        <f>IF(OR(CB10 &lt;= 0, CB10 &gt; Inputs!$C$48*12), 0, IF(CB10 &lt;= Inputs!$C$49, 0, PPMT(Inputs!$C$47/12, CB10 - Inputs!$C$49, Inputs!$C$48*12 - Inputs!$C$49, -Inputs!$C$46)))</f>
        <v>17511.108614177869</v>
      </c>
      <c r="CC5" s="35">
        <f>IF(OR(CC10 &lt;= 0, CC10 &gt; Inputs!$C$48*12), 0, IF(CC10 &lt;= Inputs!$C$49, 0, PPMT(Inputs!$C$47/12, CC10 - Inputs!$C$49, Inputs!$C$48*12 - Inputs!$C$49, -Inputs!$C$46)))</f>
        <v>17620.553043016484</v>
      </c>
      <c r="CD5" s="35">
        <f>IF(OR(CD10 &lt;= 0, CD10 &gt; Inputs!$C$48*12), 0, IF(CD10 &lt;= Inputs!$C$49, 0, PPMT(Inputs!$C$47/12, CD10 - Inputs!$C$49, Inputs!$C$48*12 - Inputs!$C$49, -Inputs!$C$46)))</f>
        <v>17730.681499535334</v>
      </c>
      <c r="CE5" s="35">
        <f>IF(OR(CE10 &lt;= 0, CE10 &gt; Inputs!$C$48*12), 0, IF(CE10 &lt;= Inputs!$C$49, 0, PPMT(Inputs!$C$47/12, CE10 - Inputs!$C$49, Inputs!$C$48*12 - Inputs!$C$49, -Inputs!$C$46)))</f>
        <v>17841.498258907432</v>
      </c>
      <c r="CF5" s="35">
        <f>IF(OR(CF10 &lt;= 0, CF10 &gt; Inputs!$C$48*12), 0, IF(CF10 &lt;= Inputs!$C$49, 0, PPMT(Inputs!$C$47/12, CF10 - Inputs!$C$49, Inputs!$C$48*12 - Inputs!$C$49, -Inputs!$C$46)))</f>
        <v>17953.007623025602</v>
      </c>
      <c r="CG5" s="35">
        <f>IF(OR(CG10 &lt;= 0, CG10 &gt; Inputs!$C$48*12), 0, IF(CG10 &lt;= Inputs!$C$49, 0, PPMT(Inputs!$C$47/12, CG10 - Inputs!$C$49, Inputs!$C$48*12 - Inputs!$C$49, -Inputs!$C$46)))</f>
        <v>18065.21392066951</v>
      </c>
      <c r="CH5" s="35">
        <f>IF(OR(CH10 &lt;= 0, CH10 &gt; Inputs!$C$48*12), 0, IF(CH10 &lt;= Inputs!$C$49, 0, PPMT(Inputs!$C$47/12, CH10 - Inputs!$C$49, Inputs!$C$48*12 - Inputs!$C$49, -Inputs!$C$46)))</f>
        <v>18178.121507673695</v>
      </c>
      <c r="CI5" s="35">
        <f>IF(OR(CI10 &lt;= 0, CI10 &gt; Inputs!$C$48*12), 0, IF(CI10 &lt;= Inputs!$C$49, 0, PPMT(Inputs!$C$47/12, CI10 - Inputs!$C$49, Inputs!$C$48*12 - Inputs!$C$49, -Inputs!$C$46)))</f>
        <v>18291.734767096656</v>
      </c>
      <c r="CJ5" s="35">
        <f>IF(OR(CJ10 &lt;= 0, CJ10 &gt; Inputs!$C$48*12), 0, IF(CJ10 &lt;= Inputs!$C$49, 0, PPMT(Inputs!$C$47/12, CJ10 - Inputs!$C$49, Inputs!$C$48*12 - Inputs!$C$49, -Inputs!$C$46)))</f>
        <v>18406.058109391008</v>
      </c>
      <c r="CK5" s="35">
        <f>IF(OR(CK10 &lt;= 0, CK10 &gt; Inputs!$C$48*12), 0, IF(CK10 &lt;= Inputs!$C$49, 0, PPMT(Inputs!$C$47/12, CK10 - Inputs!$C$49, Inputs!$C$48*12 - Inputs!$C$49, -Inputs!$C$46)))</f>
        <v>18521.095972574702</v>
      </c>
      <c r="CL5" s="35">
        <f>IF(OR(CL10 &lt;= 0, CL10 &gt; Inputs!$C$48*12), 0, IF(CL10 &lt;= Inputs!$C$49, 0, PPMT(Inputs!$C$47/12, CL10 - Inputs!$C$49, Inputs!$C$48*12 - Inputs!$C$49, -Inputs!$C$46)))</f>
        <v>18636.852822403293</v>
      </c>
      <c r="CM5" s="35">
        <f>IF(OR(CM10 &lt;= 0, CM10 &gt; Inputs!$C$48*12), 0, IF(CM10 &lt;= Inputs!$C$49, 0, PPMT(Inputs!$C$47/12, CM10 - Inputs!$C$49, Inputs!$C$48*12 - Inputs!$C$49, -Inputs!$C$46)))</f>
        <v>18753.333152543317</v>
      </c>
      <c r="CN5" s="35">
        <f>IF(OR(CN10 &lt;= 0, CN10 &gt; Inputs!$C$48*12), 0, IF(CN10 &lt;= Inputs!$C$49, 0, PPMT(Inputs!$C$47/12, CN10 - Inputs!$C$49, Inputs!$C$48*12 - Inputs!$C$49, -Inputs!$C$46)))</f>
        <v>18870.541484746715</v>
      </c>
      <c r="CO5" s="35">
        <f>IF(OR(CO10 &lt;= 0, CO10 &gt; Inputs!$C$48*12), 0, IF(CO10 &lt;= Inputs!$C$49, 0, PPMT(Inputs!$C$47/12, CO10 - Inputs!$C$49, Inputs!$C$48*12 - Inputs!$C$49, -Inputs!$C$46)))</f>
        <v>18988.482369026377</v>
      </c>
      <c r="CP5" s="35">
        <f>IF(OR(CP10 &lt;= 0, CP10 &gt; Inputs!$C$48*12), 0, IF(CP10 &lt;= Inputs!$C$49, 0, PPMT(Inputs!$C$47/12, CP10 - Inputs!$C$49, Inputs!$C$48*12 - Inputs!$C$49, -Inputs!$C$46)))</f>
        <v>19107.160383832794</v>
      </c>
      <c r="CQ5" s="35">
        <f>IF(OR(CQ10 &lt;= 0, CQ10 &gt; Inputs!$C$48*12), 0, IF(CQ10 &lt;= Inputs!$C$49, 0, PPMT(Inputs!$C$47/12, CQ10 - Inputs!$C$49, Inputs!$C$48*12 - Inputs!$C$49, -Inputs!$C$46)))</f>
        <v>19226.580136231751</v>
      </c>
      <c r="CR5" s="35">
        <f>IF(OR(CR10 &lt;= 0, CR10 &gt; Inputs!$C$48*12), 0, IF(CR10 &lt;= Inputs!$C$49, 0, PPMT(Inputs!$C$47/12, CR10 - Inputs!$C$49, Inputs!$C$48*12 - Inputs!$C$49, -Inputs!$C$46)))</f>
        <v>19346.746262083198</v>
      </c>
      <c r="CS5" s="35">
        <f>IF(OR(CS10 &lt;= 0, CS10 &gt; Inputs!$C$48*12), 0, IF(CS10 &lt;= Inputs!$C$49, 0, PPMT(Inputs!$C$47/12, CS10 - Inputs!$C$49, Inputs!$C$48*12 - Inputs!$C$49, -Inputs!$C$46)))</f>
        <v>19467.663426221217</v>
      </c>
      <c r="CT5" s="35">
        <f>IF(OR(CT10 &lt;= 0, CT10 &gt; Inputs!$C$48*12), 0, IF(CT10 &lt;= Inputs!$C$49, 0, PPMT(Inputs!$C$47/12, CT10 - Inputs!$C$49, Inputs!$C$48*12 - Inputs!$C$49, -Inputs!$C$46)))</f>
        <v>19589.336322635099</v>
      </c>
      <c r="CU5" s="35">
        <f>IF(OR(CU10 &lt;= 0, CU10 &gt; Inputs!$C$48*12), 0, IF(CU10 &lt;= Inputs!$C$49, 0, PPMT(Inputs!$C$47/12, CU10 - Inputs!$C$49, Inputs!$C$48*12 - Inputs!$C$49, -Inputs!$C$46)))</f>
        <v>19711.769674651572</v>
      </c>
      <c r="CV5" s="35">
        <f>IF(OR(CV10 &lt;= 0, CV10 &gt; Inputs!$C$48*12), 0, IF(CV10 &lt;= Inputs!$C$49, 0, PPMT(Inputs!$C$47/12, CV10 - Inputs!$C$49, Inputs!$C$48*12 - Inputs!$C$49, -Inputs!$C$46)))</f>
        <v>19834.96823511814</v>
      </c>
      <c r="CW5" s="35">
        <f>IF(OR(CW10 &lt;= 0, CW10 &gt; Inputs!$C$48*12), 0, IF(CW10 &lt;= Inputs!$C$49, 0, PPMT(Inputs!$C$47/12, CW10 - Inputs!$C$49, Inputs!$C$48*12 - Inputs!$C$49, -Inputs!$C$46)))</f>
        <v>19958.93678658763</v>
      </c>
      <c r="CX5" s="35">
        <f>IF(OR(CX10 &lt;= 0, CX10 &gt; Inputs!$C$48*12), 0, IF(CX10 &lt;= Inputs!$C$49, 0, PPMT(Inputs!$C$47/12, CX10 - Inputs!$C$49, Inputs!$C$48*12 - Inputs!$C$49, -Inputs!$C$46)))</f>
        <v>20083.680141503806</v>
      </c>
      <c r="CY5" s="35">
        <f>IF(OR(CY10 &lt;= 0, CY10 &gt; Inputs!$C$48*12), 0, IF(CY10 &lt;= Inputs!$C$49, 0, PPMT(Inputs!$C$47/12, CY10 - Inputs!$C$49, Inputs!$C$48*12 - Inputs!$C$49, -Inputs!$C$46)))</f>
        <v>20209.2031423882</v>
      </c>
      <c r="CZ5" s="35">
        <f>IF(OR(CZ10 &lt;= 0, CZ10 &gt; Inputs!$C$48*12), 0, IF(CZ10 &lt;= Inputs!$C$49, 0, PPMT(Inputs!$C$47/12, CZ10 - Inputs!$C$49, Inputs!$C$48*12 - Inputs!$C$49, -Inputs!$C$46)))</f>
        <v>20335.510662028129</v>
      </c>
      <c r="DA5" s="35">
        <f>IF(OR(DA10 &lt;= 0, DA10 &gt; Inputs!$C$48*12), 0, IF(DA10 &lt;= Inputs!$C$49, 0, PPMT(Inputs!$C$47/12, DA10 - Inputs!$C$49, Inputs!$C$48*12 - Inputs!$C$49, -Inputs!$C$46)))</f>
        <v>20462.607603665805</v>
      </c>
      <c r="DB5" s="35">
        <f>IF(OR(DB10 &lt;= 0, DB10 &gt; Inputs!$C$48*12), 0, IF(DB10 &lt;= Inputs!$C$49, 0, PPMT(Inputs!$C$47/12, DB10 - Inputs!$C$49, Inputs!$C$48*12 - Inputs!$C$49, -Inputs!$C$46)))</f>
        <v>20590.498901188719</v>
      </c>
      <c r="DC5" s="35">
        <f>IF(OR(DC10 &lt;= 0, DC10 &gt; Inputs!$C$48*12), 0, IF(DC10 &lt;= Inputs!$C$49, 0, PPMT(Inputs!$C$47/12, DC10 - Inputs!$C$49, Inputs!$C$48*12 - Inputs!$C$49, -Inputs!$C$46)))</f>
        <v>20719.189519321149</v>
      </c>
      <c r="DD5" s="35">
        <f>IF(OR(DD10 &lt;= 0, DD10 &gt; Inputs!$C$48*12), 0, IF(DD10 &lt;= Inputs!$C$49, 0, PPMT(Inputs!$C$47/12, DD10 - Inputs!$C$49, Inputs!$C$48*12 - Inputs!$C$49, -Inputs!$C$46)))</f>
        <v>20848.684453816903</v>
      </c>
      <c r="DE5" s="35">
        <f>IF(OR(DE10 &lt;= 0, DE10 &gt; Inputs!$C$48*12), 0, IF(DE10 &lt;= Inputs!$C$49, 0, PPMT(Inputs!$C$47/12, DE10 - Inputs!$C$49, Inputs!$C$48*12 - Inputs!$C$49, -Inputs!$C$46)))</f>
        <v>20978.988731653255</v>
      </c>
      <c r="DF5" s="35">
        <f>IF(OR(DF10 &lt;= 0, DF10 &gt; Inputs!$C$48*12), 0, IF(DF10 &lt;= Inputs!$C$49, 0, PPMT(Inputs!$C$47/12, DF10 - Inputs!$C$49, Inputs!$C$48*12 - Inputs!$C$49, -Inputs!$C$46)))</f>
        <v>21110.107411226087</v>
      </c>
      <c r="DG5" s="35">
        <f>IF(OR(DG10 &lt;= 0, DG10 &gt; Inputs!$C$48*12), 0, IF(DG10 &lt;= Inputs!$C$49, 0, PPMT(Inputs!$C$47/12, DG10 - Inputs!$C$49, Inputs!$C$48*12 - Inputs!$C$49, -Inputs!$C$46)))</f>
        <v>21242.045582546249</v>
      </c>
      <c r="DH5" s="35">
        <f>IF(OR(DH10 &lt;= 0, DH10 &gt; Inputs!$C$48*12), 0, IF(DH10 &lt;= Inputs!$C$49, 0, PPMT(Inputs!$C$47/12, DH10 - Inputs!$C$49, Inputs!$C$48*12 - Inputs!$C$49, -Inputs!$C$46)))</f>
        <v>21374.808367437163</v>
      </c>
      <c r="DI5" s="35">
        <f>IF(OR(DI10 &lt;= 0, DI10 &gt; Inputs!$C$48*12), 0, IF(DI10 &lt;= Inputs!$C$49, 0, PPMT(Inputs!$C$47/12, DI10 - Inputs!$C$49, Inputs!$C$48*12 - Inputs!$C$49, -Inputs!$C$46)))</f>
        <v>21508.400919733645</v>
      </c>
      <c r="DJ5" s="35">
        <f>IF(OR(DJ10 &lt;= 0, DJ10 &gt; Inputs!$C$48*12), 0, IF(DJ10 &lt;= Inputs!$C$49, 0, PPMT(Inputs!$C$47/12, DJ10 - Inputs!$C$49, Inputs!$C$48*12 - Inputs!$C$49, -Inputs!$C$46)))</f>
        <v>21642.828425481985</v>
      </c>
      <c r="DK5" s="35">
        <f>IF(OR(DK10 &lt;= 0, DK10 &gt; Inputs!$C$48*12), 0, IF(DK10 &lt;= Inputs!$C$49, 0, PPMT(Inputs!$C$47/12, DK10 - Inputs!$C$49, Inputs!$C$48*12 - Inputs!$C$49, -Inputs!$C$46)))</f>
        <v>21778.096103141244</v>
      </c>
      <c r="DL5" s="35">
        <f>IF(OR(DL10 &lt;= 0, DL10 &gt; Inputs!$C$48*12), 0, IF(DL10 &lt;= Inputs!$C$49, 0, PPMT(Inputs!$C$47/12, DL10 - Inputs!$C$49, Inputs!$C$48*12 - Inputs!$C$49, -Inputs!$C$46)))</f>
        <v>21914.209203785878</v>
      </c>
      <c r="DM5" s="35">
        <f>IF(OR(DM10 &lt;= 0, DM10 &gt; Inputs!$C$48*12), 0, IF(DM10 &lt;= Inputs!$C$49, 0, PPMT(Inputs!$C$47/12, DM10 - Inputs!$C$49, Inputs!$C$48*12 - Inputs!$C$49, -Inputs!$C$46)))</f>
        <v>22051.17301130954</v>
      </c>
      <c r="DN5" s="35">
        <f>IF(OR(DN10 &lt;= 0, DN10 &gt; Inputs!$C$48*12), 0, IF(DN10 &lt;= Inputs!$C$49, 0, PPMT(Inputs!$C$47/12, DN10 - Inputs!$C$49, Inputs!$C$48*12 - Inputs!$C$49, -Inputs!$C$46)))</f>
        <v>22188.992842630225</v>
      </c>
      <c r="DO5" s="35">
        <f>IF(OR(DO10 &lt;= 0, DO10 &gt; Inputs!$C$48*12), 0, IF(DO10 &lt;= Inputs!$C$49, 0, PPMT(Inputs!$C$47/12, DO10 - Inputs!$C$49, Inputs!$C$48*12 - Inputs!$C$49, -Inputs!$C$46)))</f>
        <v>22327.674047896664</v>
      </c>
      <c r="DP5" s="35">
        <f>IF(OR(DP10 &lt;= 0, DP10 &gt; Inputs!$C$48*12), 0, IF(DP10 &lt;= Inputs!$C$49, 0, PPMT(Inputs!$C$47/12, DP10 - Inputs!$C$49, Inputs!$C$48*12 - Inputs!$C$49, -Inputs!$C$46)))</f>
        <v>22467.222010696019</v>
      </c>
      <c r="DQ5" s="35">
        <f>IF(OR(DQ10 &lt;= 0, DQ10 &gt; Inputs!$C$48*12), 0, IF(DQ10 &lt;= Inputs!$C$49, 0, PPMT(Inputs!$C$47/12, DQ10 - Inputs!$C$49, Inputs!$C$48*12 - Inputs!$C$49, -Inputs!$C$46)))</f>
        <v>22607.642148262868</v>
      </c>
      <c r="DR5" s="35">
        <f>IF(OR(DR10 &lt;= 0, DR10 &gt; Inputs!$C$48*12), 0, IF(DR10 &lt;= Inputs!$C$49, 0, PPMT(Inputs!$C$47/12, DR10 - Inputs!$C$49, Inputs!$C$48*12 - Inputs!$C$49, -Inputs!$C$46)))</f>
        <v>22748.939911689511</v>
      </c>
      <c r="DS5" s="35">
        <f>IF(OR(DS10 &lt;= 0, DS10 &gt; Inputs!$C$48*12), 0, IF(DS10 &lt;= Inputs!$C$49, 0, PPMT(Inputs!$C$47/12, DS10 - Inputs!$C$49, Inputs!$C$48*12 - Inputs!$C$49, -Inputs!$C$46)))</f>
        <v>22891.12078613757</v>
      </c>
      <c r="DT5" s="35">
        <f>IF(OR(DT10 &lt;= 0, DT10 &gt; Inputs!$C$48*12), 0, IF(DT10 &lt;= Inputs!$C$49, 0, PPMT(Inputs!$C$47/12, DT10 - Inputs!$C$49, Inputs!$C$48*12 - Inputs!$C$49, -Inputs!$C$46)))</f>
        <v>23034.190291050934</v>
      </c>
      <c r="DU5" s="35">
        <f>IF(OR(DU10 &lt;= 0, DU10 &gt; Inputs!$C$48*12), 0, IF(DU10 &lt;= Inputs!$C$49, 0, PPMT(Inputs!$C$47/12, DU10 - Inputs!$C$49, Inputs!$C$48*12 - Inputs!$C$49, -Inputs!$C$46)))</f>
        <v>23178.153980369996</v>
      </c>
      <c r="DV5" s="35">
        <f>IF(OR(DV10 &lt;= 0, DV10 &gt; Inputs!$C$48*12), 0, IF(DV10 &lt;= Inputs!$C$49, 0, PPMT(Inputs!$C$47/12, DV10 - Inputs!$C$49, Inputs!$C$48*12 - Inputs!$C$49, -Inputs!$C$46)))</f>
        <v>23323.017442747314</v>
      </c>
      <c r="DW5" s="35">
        <f>IF(OR(DW10 &lt;= 0, DW10 &gt; Inputs!$C$48*12), 0, IF(DW10 &lt;= Inputs!$C$49, 0, PPMT(Inputs!$C$47/12, DW10 - Inputs!$C$49, Inputs!$C$48*12 - Inputs!$C$49, -Inputs!$C$46)))</f>
        <v>23468.786301764481</v>
      </c>
      <c r="DX5" s="35">
        <f>IF(OR(DX10 &lt;= 0, DX10 &gt; Inputs!$C$48*12), 0, IF(DX10 &lt;= Inputs!$C$49, 0, PPMT(Inputs!$C$47/12, DX10 - Inputs!$C$49, Inputs!$C$48*12 - Inputs!$C$49, -Inputs!$C$46)))</f>
        <v>23615.466216150511</v>
      </c>
      <c r="DY5" s="35">
        <f>IF(OR(DY10 &lt;= 0, DY10 &gt; Inputs!$C$48*12), 0, IF(DY10 &lt;= Inputs!$C$49, 0, PPMT(Inputs!$C$47/12, DY10 - Inputs!$C$49, Inputs!$C$48*12 - Inputs!$C$49, -Inputs!$C$46)))</f>
        <v>23763.062880001453</v>
      </c>
      <c r="DZ5" s="35">
        <f>IF(OR(DZ10 &lt;= 0, DZ10 &gt; Inputs!$C$48*12), 0, IF(DZ10 &lt;= Inputs!$C$49, 0, PPMT(Inputs!$C$47/12, DZ10 - Inputs!$C$49, Inputs!$C$48*12 - Inputs!$C$49, -Inputs!$C$46)))</f>
        <v>23911.582023001461</v>
      </c>
      <c r="EA5" s="35">
        <f>IF(OR(EA10 &lt;= 0, EA10 &gt; Inputs!$C$48*12), 0, IF(EA10 &lt;= Inputs!$C$49, 0, PPMT(Inputs!$C$47/12, EA10 - Inputs!$C$49, Inputs!$C$48*12 - Inputs!$C$49, -Inputs!$C$46)))</f>
        <v>24061.029410645224</v>
      </c>
      <c r="EB5" s="35">
        <f>IF(OR(EB10 &lt;= 0, EB10 &gt; Inputs!$C$48*12), 0, IF(EB10 &lt;= Inputs!$C$49, 0, PPMT(Inputs!$C$47/12, EB10 - Inputs!$C$49, Inputs!$C$48*12 - Inputs!$C$49, -Inputs!$C$46)))</f>
        <v>24211.410844461749</v>
      </c>
      <c r="EC5" s="35">
        <f>IF(OR(EC10 &lt;= 0, EC10 &gt; Inputs!$C$48*12), 0, IF(EC10 &lt;= Inputs!$C$49, 0, PPMT(Inputs!$C$47/12, EC10 - Inputs!$C$49, Inputs!$C$48*12 - Inputs!$C$49, -Inputs!$C$46)))</f>
        <v>24362.732162239638</v>
      </c>
      <c r="ED5" s="35">
        <f>IF(OR(ED10 &lt;= 0, ED10 &gt; Inputs!$C$48*12), 0, IF(ED10 &lt;= Inputs!$C$49, 0, PPMT(Inputs!$C$47/12, ED10 - Inputs!$C$49, Inputs!$C$48*12 - Inputs!$C$49, -Inputs!$C$46)))</f>
        <v>24514.999238253633</v>
      </c>
      <c r="EE5" s="35">
        <f>IF(OR(EE10 &lt;= 0, EE10 &gt; Inputs!$C$48*12), 0, IF(EE10 &lt;= Inputs!$C$49, 0, PPMT(Inputs!$C$47/12, EE10 - Inputs!$C$49, Inputs!$C$48*12 - Inputs!$C$49, -Inputs!$C$46)))</f>
        <v>24668.217983492719</v>
      </c>
      <c r="EF5" s="35">
        <f>IF(OR(EF10 &lt;= 0, EF10 &gt; Inputs!$C$48*12), 0, IF(EF10 &lt;= Inputs!$C$49, 0, PPMT(Inputs!$C$47/12, EF10 - Inputs!$C$49, Inputs!$C$48*12 - Inputs!$C$49, -Inputs!$C$46)))</f>
        <v>24822.394345889548</v>
      </c>
      <c r="EG5" s="35">
        <f>IF(OR(EG10 &lt;= 0, EG10 &gt; Inputs!$C$48*12), 0, IF(EG10 &lt;= Inputs!$C$49, 0, PPMT(Inputs!$C$47/12, EG10 - Inputs!$C$49, Inputs!$C$48*12 - Inputs!$C$49, -Inputs!$C$46)))</f>
        <v>24977.534310551357</v>
      </c>
      <c r="EH5" s="35">
        <f>IF(OR(EH10 &lt;= 0, EH10 &gt; Inputs!$C$48*12), 0, IF(EH10 &lt;= Inputs!$C$49, 0, PPMT(Inputs!$C$47/12, EH10 - Inputs!$C$49, Inputs!$C$48*12 - Inputs!$C$49, -Inputs!$C$46)))</f>
        <v>25133.643899992308</v>
      </c>
      <c r="EI5" s="35">
        <f>IF(OR(EI10 &lt;= 0, EI10 &gt; Inputs!$C$48*12), 0, IF(EI10 &lt;= Inputs!$C$49, 0, PPMT(Inputs!$C$47/12, EI10 - Inputs!$C$49, Inputs!$C$48*12 - Inputs!$C$49, -Inputs!$C$46)))</f>
        <v>25290.729174367258</v>
      </c>
      <c r="EJ5" s="35">
        <f>IF(OR(EJ10 &lt;= 0, EJ10 &gt; Inputs!$C$48*12), 0, IF(EJ10 &lt;= Inputs!$C$49, 0, PPMT(Inputs!$C$47/12, EJ10 - Inputs!$C$49, Inputs!$C$48*12 - Inputs!$C$49, -Inputs!$C$46)))</f>
        <v>25448.796231707056</v>
      </c>
      <c r="EK5" s="35">
        <f>IF(OR(EK10 &lt;= 0, EK10 &gt; Inputs!$C$48*12), 0, IF(EK10 &lt;= Inputs!$C$49, 0, PPMT(Inputs!$C$47/12, EK10 - Inputs!$C$49, Inputs!$C$48*12 - Inputs!$C$49, -Inputs!$C$46)))</f>
        <v>25607.851208155222</v>
      </c>
      <c r="EL5" s="35">
        <f>IF(OR(EL10 &lt;= 0, EL10 &gt; Inputs!$C$48*12), 0, IF(EL10 &lt;= Inputs!$C$49, 0, PPMT(Inputs!$C$47/12, EL10 - Inputs!$C$49, Inputs!$C$48*12 - Inputs!$C$49, -Inputs!$C$46)))</f>
        <v>25767.900278206191</v>
      </c>
      <c r="EM5" s="35">
        <f>IF(OR(EM10 &lt;= 0, EM10 &gt; Inputs!$C$48*12), 0, IF(EM10 &lt;= Inputs!$C$49, 0, PPMT(Inputs!$C$47/12, EM10 - Inputs!$C$49, Inputs!$C$48*12 - Inputs!$C$49, -Inputs!$C$46)))</f>
        <v>25928.94965494498</v>
      </c>
      <c r="EN5" s="35">
        <f>IF(OR(EN10 &lt;= 0, EN10 &gt; Inputs!$C$48*12), 0, IF(EN10 &lt;= Inputs!$C$49, 0, PPMT(Inputs!$C$47/12, EN10 - Inputs!$C$49, Inputs!$C$48*12 - Inputs!$C$49, -Inputs!$C$46)))</f>
        <v>26091.005590288387</v>
      </c>
      <c r="EO5" s="35">
        <f>IF(OR(EO10 &lt;= 0, EO10 &gt; Inputs!$C$48*12), 0, IF(EO10 &lt;= Inputs!$C$49, 0, PPMT(Inputs!$C$47/12, EO10 - Inputs!$C$49, Inputs!$C$48*12 - Inputs!$C$49, -Inputs!$C$46)))</f>
        <v>26254.07437522769</v>
      </c>
      <c r="EP5" s="35">
        <f>IF(OR(EP10 &lt;= 0, EP10 &gt; Inputs!$C$48*12), 0, IF(EP10 &lt;= Inputs!$C$49, 0, PPMT(Inputs!$C$47/12, EP10 - Inputs!$C$49, Inputs!$C$48*12 - Inputs!$C$49, -Inputs!$C$46)))</f>
        <v>26418.16234007286</v>
      </c>
      <c r="EQ5" s="35">
        <f>IF(OR(EQ10 &lt;= 0, EQ10 &gt; Inputs!$C$48*12), 0, IF(EQ10 &lt;= Inputs!$C$49, 0, PPMT(Inputs!$C$47/12, EQ10 - Inputs!$C$49, Inputs!$C$48*12 - Inputs!$C$49, -Inputs!$C$46)))</f>
        <v>26583.275854698317</v>
      </c>
      <c r="ER5" s="35">
        <f>IF(OR(ER10 &lt;= 0, ER10 &gt; Inputs!$C$48*12), 0, IF(ER10 &lt;= Inputs!$C$49, 0, PPMT(Inputs!$C$47/12, ER10 - Inputs!$C$49, Inputs!$C$48*12 - Inputs!$C$49, -Inputs!$C$46)))</f>
        <v>26749.421328790188</v>
      </c>
      <c r="ES5" s="35">
        <f>IF(OR(ES10 &lt;= 0, ES10 &gt; Inputs!$C$48*12), 0, IF(ES10 &lt;= Inputs!$C$49, 0, PPMT(Inputs!$C$47/12, ES10 - Inputs!$C$49, Inputs!$C$48*12 - Inputs!$C$49, -Inputs!$C$46)))</f>
        <v>26916.605212095121</v>
      </c>
      <c r="ET5" s="35">
        <f>IF(OR(ET10 &lt;= 0, ET10 &gt; Inputs!$C$48*12), 0, IF(ET10 &lt;= Inputs!$C$49, 0, PPMT(Inputs!$C$47/12, ET10 - Inputs!$C$49, Inputs!$C$48*12 - Inputs!$C$49, -Inputs!$C$46)))</f>
        <v>27084.833994670716</v>
      </c>
      <c r="EU5" s="35">
        <f>IF(OR(EU10 &lt;= 0, EU10 &gt; Inputs!$C$48*12), 0, IF(EU10 &lt;= Inputs!$C$49, 0, PPMT(Inputs!$C$47/12, EU10 - Inputs!$C$49, Inputs!$C$48*12 - Inputs!$C$49, -Inputs!$C$46)))</f>
        <v>27254.114207137409</v>
      </c>
      <c r="EV5" s="35">
        <f>IF(OR(EV10 &lt;= 0, EV10 &gt; Inputs!$C$48*12), 0, IF(EV10 &lt;= Inputs!$C$49, 0, PPMT(Inputs!$C$47/12, EV10 - Inputs!$C$49, Inputs!$C$48*12 - Inputs!$C$49, -Inputs!$C$46)))</f>
        <v>27424.452420932019</v>
      </c>
      <c r="EW5" s="35">
        <f>IF(OR(EW10 &lt;= 0, EW10 &gt; Inputs!$C$48*12), 0, IF(EW10 &lt;= Inputs!$C$49, 0, PPMT(Inputs!$C$47/12, EW10 - Inputs!$C$49, Inputs!$C$48*12 - Inputs!$C$49, -Inputs!$C$46)))</f>
        <v>27595.855248562842</v>
      </c>
      <c r="EX5" s="35">
        <f>IF(OR(EX10 &lt;= 0, EX10 &gt; Inputs!$C$48*12), 0, IF(EX10 &lt;= Inputs!$C$49, 0, PPMT(Inputs!$C$47/12, EX10 - Inputs!$C$49, Inputs!$C$48*12 - Inputs!$C$49, -Inputs!$C$46)))</f>
        <v>27768.329343866357</v>
      </c>
      <c r="EY5" s="35">
        <f>IF(OR(EY10 &lt;= 0, EY10 &gt; Inputs!$C$48*12), 0, IF(EY10 &lt;= Inputs!$C$49, 0, PPMT(Inputs!$C$47/12, EY10 - Inputs!$C$49, Inputs!$C$48*12 - Inputs!$C$49, -Inputs!$C$46)))</f>
        <v>27941.881402265524</v>
      </c>
      <c r="EZ5" s="35">
        <f>IF(OR(EZ10 &lt;= 0, EZ10 &gt; Inputs!$C$48*12), 0, IF(EZ10 &lt;= Inputs!$C$49, 0, PPMT(Inputs!$C$47/12, EZ10 - Inputs!$C$49, Inputs!$C$48*12 - Inputs!$C$49, -Inputs!$C$46)))</f>
        <v>28116.518161029686</v>
      </c>
      <c r="FA5" s="35">
        <f>IF(OR(FA10 &lt;= 0, FA10 &gt; Inputs!$C$48*12), 0, IF(FA10 &lt;= Inputs!$C$49, 0, PPMT(Inputs!$C$47/12, FA10 - Inputs!$C$49, Inputs!$C$48*12 - Inputs!$C$49, -Inputs!$C$46)))</f>
        <v>28292.246399536121</v>
      </c>
      <c r="FB5" s="35">
        <f>IF(OR(FB10 &lt;= 0, FB10 &gt; Inputs!$C$48*12), 0, IF(FB10 &lt;= Inputs!$C$49, 0, PPMT(Inputs!$C$47/12, FB10 - Inputs!$C$49, Inputs!$C$48*12 - Inputs!$C$49, -Inputs!$C$46)))</f>
        <v>28469.07293953322</v>
      </c>
      <c r="FC5" s="35">
        <f>IF(OR(FC10 &lt;= 0, FC10 &gt; Inputs!$C$48*12), 0, IF(FC10 &lt;= Inputs!$C$49, 0, PPMT(Inputs!$C$47/12, FC10 - Inputs!$C$49, Inputs!$C$48*12 - Inputs!$C$49, -Inputs!$C$46)))</f>
        <v>28647.004645405301</v>
      </c>
      <c r="FD5" s="35">
        <f>IF(OR(FD10 &lt;= 0, FD10 &gt; Inputs!$C$48*12), 0, IF(FD10 &lt;= Inputs!$C$49, 0, PPMT(Inputs!$C$47/12, FD10 - Inputs!$C$49, Inputs!$C$48*12 - Inputs!$C$49, -Inputs!$C$46)))</f>
        <v>28826.04842443909</v>
      </c>
      <c r="FE5" s="35">
        <f>IF(OR(FE10 &lt;= 0, FE10 &gt; Inputs!$C$48*12), 0, IF(FE10 &lt;= Inputs!$C$49, 0, PPMT(Inputs!$C$47/12, FE10 - Inputs!$C$49, Inputs!$C$48*12 - Inputs!$C$49, -Inputs!$C$46)))</f>
        <v>29006.21122709183</v>
      </c>
      <c r="FF5" s="35">
        <f>IF(OR(FF10 &lt;= 0, FF10 &gt; Inputs!$C$48*12), 0, IF(FF10 &lt;= Inputs!$C$49, 0, PPMT(Inputs!$C$47/12, FF10 - Inputs!$C$49, Inputs!$C$48*12 - Inputs!$C$49, -Inputs!$C$46)))</f>
        <v>29187.500047261154</v>
      </c>
      <c r="FG5" s="35">
        <f>IF(OR(FG10 &lt;= 0, FG10 &gt; Inputs!$C$48*12), 0, IF(FG10 &lt;= Inputs!$C$49, 0, PPMT(Inputs!$C$47/12, FG10 - Inputs!$C$49, Inputs!$C$48*12 - Inputs!$C$49, -Inputs!$C$46)))</f>
        <v>29369.921922556536</v>
      </c>
      <c r="FH5" s="35">
        <f>IF(OR(FH10 &lt;= 0, FH10 &gt; Inputs!$C$48*12), 0, IF(FH10 &lt;= Inputs!$C$49, 0, PPMT(Inputs!$C$47/12, FH10 - Inputs!$C$49, Inputs!$C$48*12 - Inputs!$C$49, -Inputs!$C$46)))</f>
        <v>29553.483934572516</v>
      </c>
      <c r="FI5" s="35">
        <f>IF(OR(FI10 &lt;= 0, FI10 &gt; Inputs!$C$48*12), 0, IF(FI10 &lt;= Inputs!$C$49, 0, PPMT(Inputs!$C$47/12, FI10 - Inputs!$C$49, Inputs!$C$48*12 - Inputs!$C$49, -Inputs!$C$46)))</f>
        <v>29738.193209163594</v>
      </c>
      <c r="FJ5" s="35">
        <f>IF(OR(FJ10 &lt;= 0, FJ10 &gt; Inputs!$C$48*12), 0, IF(FJ10 &lt;= Inputs!$C$49, 0, PPMT(Inputs!$C$47/12, FJ10 - Inputs!$C$49, Inputs!$C$48*12 - Inputs!$C$49, -Inputs!$C$46)))</f>
        <v>29924.056916720867</v>
      </c>
      <c r="FK5" s="35">
        <f>IF(OR(FK10 &lt;= 0, FK10 &gt; Inputs!$C$48*12), 0, IF(FK10 &lt;= Inputs!$C$49, 0, PPMT(Inputs!$C$47/12, FK10 - Inputs!$C$49, Inputs!$C$48*12 - Inputs!$C$49, -Inputs!$C$46)))</f>
        <v>30111.082272450367</v>
      </c>
      <c r="FL5" s="35">
        <f>IF(OR(FL10 &lt;= 0, FL10 &gt; Inputs!$C$48*12), 0, IF(FL10 &lt;= Inputs!$C$49, 0, PPMT(Inputs!$C$47/12, FL10 - Inputs!$C$49, Inputs!$C$48*12 - Inputs!$C$49, -Inputs!$C$46)))</f>
        <v>30299.276536653189</v>
      </c>
      <c r="FM5" s="35">
        <f>IF(OR(FM10 &lt;= 0, FM10 &gt; Inputs!$C$48*12), 0, IF(FM10 &lt;= Inputs!$C$49, 0, PPMT(Inputs!$C$47/12, FM10 - Inputs!$C$49, Inputs!$C$48*12 - Inputs!$C$49, -Inputs!$C$46)))</f>
        <v>30488.647015007267</v>
      </c>
      <c r="FN5" s="35">
        <f>IF(OR(FN10 &lt;= 0, FN10 &gt; Inputs!$C$48*12), 0, IF(FN10 &lt;= Inputs!$C$49, 0, PPMT(Inputs!$C$47/12, FN10 - Inputs!$C$49, Inputs!$C$48*12 - Inputs!$C$49, -Inputs!$C$46)))</f>
        <v>30679.201058851064</v>
      </c>
      <c r="FO5" s="35">
        <f>IF(OR(FO10 &lt;= 0, FO10 &gt; Inputs!$C$48*12), 0, IF(FO10 &lt;= Inputs!$C$49, 0, PPMT(Inputs!$C$47/12, FO10 - Inputs!$C$49, Inputs!$C$48*12 - Inputs!$C$49, -Inputs!$C$46)))</f>
        <v>30870.946065468881</v>
      </c>
      <c r="FP5" s="35">
        <f>IF(OR(FP10 &lt;= 0, FP10 &gt; Inputs!$C$48*12), 0, IF(FP10 &lt;= Inputs!$C$49, 0, PPMT(Inputs!$C$47/12, FP10 - Inputs!$C$49, Inputs!$C$48*12 - Inputs!$C$49, -Inputs!$C$46)))</f>
        <v>31063.889478378063</v>
      </c>
      <c r="FQ5" s="35">
        <f>IF(OR(FQ10 &lt;= 0, FQ10 &gt; Inputs!$C$48*12), 0, IF(FQ10 &lt;= Inputs!$C$49, 0, PPMT(Inputs!$C$47/12, FQ10 - Inputs!$C$49, Inputs!$C$48*12 - Inputs!$C$49, -Inputs!$C$46)))</f>
        <v>31258.038787617923</v>
      </c>
      <c r="FR5" s="35">
        <f>IF(OR(FR10 &lt;= 0, FR10 &gt; Inputs!$C$48*12), 0, IF(FR10 &lt;= Inputs!$C$49, 0, PPMT(Inputs!$C$47/12, FR10 - Inputs!$C$49, Inputs!$C$48*12 - Inputs!$C$49, -Inputs!$C$46)))</f>
        <v>31453.401530040537</v>
      </c>
      <c r="FS5" s="35">
        <f>IF(OR(FS10 &lt;= 0, FS10 &gt; Inputs!$C$48*12), 0, IF(FS10 &lt;= Inputs!$C$49, 0, PPMT(Inputs!$C$47/12, FS10 - Inputs!$C$49, Inputs!$C$48*12 - Inputs!$C$49, -Inputs!$C$46)))</f>
        <v>31649.98528960329</v>
      </c>
      <c r="FT5" s="35">
        <f>IF(OR(FT10 &lt;= 0, FT10 &gt; Inputs!$C$48*12), 0, IF(FT10 &lt;= Inputs!$C$49, 0, PPMT(Inputs!$C$47/12, FT10 - Inputs!$C$49, Inputs!$C$48*12 - Inputs!$C$49, -Inputs!$C$46)))</f>
        <v>31847.797697663311</v>
      </c>
      <c r="FU5" s="35">
        <f>IF(OR(FU10 &lt;= 0, FU10 &gt; Inputs!$C$48*12), 0, IF(FU10 &lt;= Inputs!$C$49, 0, PPMT(Inputs!$C$47/12, FU10 - Inputs!$C$49, Inputs!$C$48*12 - Inputs!$C$49, -Inputs!$C$46)))</f>
        <v>32046.846433273706</v>
      </c>
      <c r="FV5" s="35">
        <f>IF(OR(FV10 &lt;= 0, FV10 &gt; Inputs!$C$48*12), 0, IF(FV10 &lt;= Inputs!$C$49, 0, PPMT(Inputs!$C$47/12, FV10 - Inputs!$C$49, Inputs!$C$48*12 - Inputs!$C$49, -Inputs!$C$46)))</f>
        <v>32247.13922348167</v>
      </c>
      <c r="FW5" s="35">
        <f>IF(OR(FW10 &lt;= 0, FW10 &gt; Inputs!$C$48*12), 0, IF(FW10 &lt;= Inputs!$C$49, 0, PPMT(Inputs!$C$47/12, FW10 - Inputs!$C$49, Inputs!$C$48*12 - Inputs!$C$49, -Inputs!$C$46)))</f>
        <v>32448.683843628431</v>
      </c>
      <c r="FX5" s="35">
        <f>IF(OR(FX10 &lt;= 0, FX10 &gt; Inputs!$C$48*12), 0, IF(FX10 &lt;= Inputs!$C$49, 0, PPMT(Inputs!$C$47/12, FX10 - Inputs!$C$49, Inputs!$C$48*12 - Inputs!$C$49, -Inputs!$C$46)))</f>
        <v>32651.488117651104</v>
      </c>
      <c r="FY5" s="35">
        <f>IF(OR(FY10 &lt;= 0, FY10 &gt; Inputs!$C$48*12), 0, IF(FY10 &lt;= Inputs!$C$49, 0, PPMT(Inputs!$C$47/12, FY10 - Inputs!$C$49, Inputs!$C$48*12 - Inputs!$C$49, -Inputs!$C$46)))</f>
        <v>32855.559918386425</v>
      </c>
      <c r="FZ5" s="35">
        <f>IF(OR(FZ10 &lt;= 0, FZ10 &gt; Inputs!$C$48*12), 0, IF(FZ10 &lt;= Inputs!$C$49, 0, PPMT(Inputs!$C$47/12, FZ10 - Inputs!$C$49, Inputs!$C$48*12 - Inputs!$C$49, -Inputs!$C$46)))</f>
        <v>33060.907167876343</v>
      </c>
      <c r="GA5" s="35">
        <f>IF(OR(GA10 &lt;= 0, GA10 &gt; Inputs!$C$48*12), 0, IF(GA10 &lt;= Inputs!$C$49, 0, PPMT(Inputs!$C$47/12, GA10 - Inputs!$C$49, Inputs!$C$48*12 - Inputs!$C$49, -Inputs!$C$46)))</f>
        <v>33267.537837675569</v>
      </c>
      <c r="GB5" s="35">
        <f>IF(OR(GB10 &lt;= 0, GB10 &gt; Inputs!$C$48*12), 0, IF(GB10 &lt;= Inputs!$C$49, 0, PPMT(Inputs!$C$47/12, GB10 - Inputs!$C$49, Inputs!$C$48*12 - Inputs!$C$49, -Inputs!$C$46)))</f>
        <v>33475.459949161042</v>
      </c>
      <c r="GC5" s="35">
        <f>IF(OR(GC10 &lt;= 0, GC10 &gt; Inputs!$C$48*12), 0, IF(GC10 &lt;= Inputs!$C$49, 0, PPMT(Inputs!$C$47/12, GC10 - Inputs!$C$49, Inputs!$C$48*12 - Inputs!$C$49, -Inputs!$C$46)))</f>
        <v>33684.681573843292</v>
      </c>
      <c r="GD5" s="35">
        <f>IF(OR(GD10 &lt;= 0, GD10 &gt; Inputs!$C$48*12), 0, IF(GD10 &lt;= Inputs!$C$49, 0, PPMT(Inputs!$C$47/12, GD10 - Inputs!$C$49, Inputs!$C$48*12 - Inputs!$C$49, -Inputs!$C$46)))</f>
        <v>33895.210833679812</v>
      </c>
      <c r="GE5" s="35">
        <f>IF(OR(GE10 &lt;= 0, GE10 &gt; Inputs!$C$48*12), 0, IF(GE10 &lt;= Inputs!$C$49, 0, PPMT(Inputs!$C$47/12, GE10 - Inputs!$C$49, Inputs!$C$48*12 - Inputs!$C$49, -Inputs!$C$46)))</f>
        <v>34107.055901390318</v>
      </c>
      <c r="GF5" s="35">
        <f>IF(OR(GF10 &lt;= 0, GF10 &gt; Inputs!$C$48*12), 0, IF(GF10 &lt;= Inputs!$C$49, 0, PPMT(Inputs!$C$47/12, GF10 - Inputs!$C$49, Inputs!$C$48*12 - Inputs!$C$49, -Inputs!$C$46)))</f>
        <v>34320.225000774008</v>
      </c>
      <c r="GG5" s="35">
        <f>IF(OR(GG10 &lt;= 0, GG10 &gt; Inputs!$C$48*12), 0, IF(GG10 &lt;= Inputs!$C$49, 0, PPMT(Inputs!$C$47/12, GG10 - Inputs!$C$49, Inputs!$C$48*12 - Inputs!$C$49, -Inputs!$C$46)))</f>
        <v>34534.726407028844</v>
      </c>
      <c r="GH5" s="35">
        <f>IF(OR(GH10 &lt;= 0, GH10 &gt; Inputs!$C$48*12), 0, IF(GH10 &lt;= Inputs!$C$49, 0, PPMT(Inputs!$C$47/12, GH10 - Inputs!$C$49, Inputs!$C$48*12 - Inputs!$C$49, -Inputs!$C$46)))</f>
        <v>34750.568447072772</v>
      </c>
      <c r="GI5" s="35">
        <f>IF(OR(GI10 &lt;= 0, GI10 &gt; Inputs!$C$48*12), 0, IF(GI10 &lt;= Inputs!$C$49, 0, PPMT(Inputs!$C$47/12, GI10 - Inputs!$C$49, Inputs!$C$48*12 - Inputs!$C$49, -Inputs!$C$46)))</f>
        <v>34967.759499866981</v>
      </c>
      <c r="GJ5" s="35">
        <f>IF(OR(GJ10 &lt;= 0, GJ10 &gt; Inputs!$C$48*12), 0, IF(GJ10 &lt;= Inputs!$C$49, 0, PPMT(Inputs!$C$47/12, GJ10 - Inputs!$C$49, Inputs!$C$48*12 - Inputs!$C$49, -Inputs!$C$46)))</f>
        <v>35186.307996741147</v>
      </c>
      <c r="GK5" s="35">
        <f>IF(OR(GK10 &lt;= 0, GK10 &gt; Inputs!$C$48*12), 0, IF(GK10 &lt;= Inputs!$C$49, 0, PPMT(Inputs!$C$47/12, GK10 - Inputs!$C$49, Inputs!$C$48*12 - Inputs!$C$49, -Inputs!$C$46)))</f>
        <v>35406.222421720777</v>
      </c>
      <c r="GL5" s="35">
        <f>IF(OR(GL10 &lt;= 0, GL10 &gt; Inputs!$C$48*12), 0, IF(GL10 &lt;= Inputs!$C$49, 0, PPMT(Inputs!$C$47/12, GL10 - Inputs!$C$49, Inputs!$C$48*12 - Inputs!$C$49, -Inputs!$C$46)))</f>
        <v>35627.511311856535</v>
      </c>
      <c r="GM5" s="35">
        <f>IF(OR(GM10 &lt;= 0, GM10 &gt; Inputs!$C$48*12), 0, IF(GM10 &lt;= Inputs!$C$49, 0, PPMT(Inputs!$C$47/12, GM10 - Inputs!$C$49, Inputs!$C$48*12 - Inputs!$C$49, -Inputs!$C$46)))</f>
        <v>35850.183257555633</v>
      </c>
      <c r="GN5" s="35">
        <f>IF(OR(GN10 &lt;= 0, GN10 &gt; Inputs!$C$48*12), 0, IF(GN10 &lt;= Inputs!$C$49, 0, PPMT(Inputs!$C$47/12, GN10 - Inputs!$C$49, Inputs!$C$48*12 - Inputs!$C$49, -Inputs!$C$46)))</f>
        <v>36074.246902915358</v>
      </c>
      <c r="GO5" s="35">
        <f>IF(OR(GO10 &lt;= 0, GO10 &gt; Inputs!$C$48*12), 0, IF(GO10 &lt;= Inputs!$C$49, 0, PPMT(Inputs!$C$47/12, GO10 - Inputs!$C$49, Inputs!$C$48*12 - Inputs!$C$49, -Inputs!$C$46)))</f>
        <v>36299.710946058578</v>
      </c>
      <c r="GP5" s="35">
        <f>IF(OR(GP10 &lt;= 0, GP10 &gt; Inputs!$C$48*12), 0, IF(GP10 &lt;= Inputs!$C$49, 0, PPMT(Inputs!$C$47/12, GP10 - Inputs!$C$49, Inputs!$C$48*12 - Inputs!$C$49, -Inputs!$C$46)))</f>
        <v>36526.584139471444</v>
      </c>
      <c r="GQ5" s="35">
        <f>IF(OR(GQ10 &lt;= 0, GQ10 &gt; Inputs!$C$48*12), 0, IF(GQ10 &lt;= Inputs!$C$49, 0, PPMT(Inputs!$C$47/12, GQ10 - Inputs!$C$49, Inputs!$C$48*12 - Inputs!$C$49, -Inputs!$C$46)))</f>
        <v>36754.875290343145</v>
      </c>
      <c r="GR5" s="35">
        <f>IF(OR(GR10 &lt;= 0, GR10 &gt; Inputs!$C$48*12), 0, IF(GR10 &lt;= Inputs!$C$49, 0, PPMT(Inputs!$C$47/12, GR10 - Inputs!$C$49, Inputs!$C$48*12 - Inputs!$C$49, -Inputs!$C$46)))</f>
        <v>36984.593260907786</v>
      </c>
      <c r="GS5" s="35">
        <f>IF(OR(GS10 &lt;= 0, GS10 &gt; Inputs!$C$48*12), 0, IF(GS10 &lt;= Inputs!$C$49, 0, PPMT(Inputs!$C$47/12, GS10 - Inputs!$C$49, Inputs!$C$48*12 - Inputs!$C$49, -Inputs!$C$46)))</f>
        <v>37215.746968788466</v>
      </c>
      <c r="GT5" s="35">
        <f>IF(OR(GT10 &lt;= 0, GT10 &gt; Inputs!$C$48*12), 0, IF(GT10 &lt;= Inputs!$C$49, 0, PPMT(Inputs!$C$47/12, GT10 - Inputs!$C$49, Inputs!$C$48*12 - Inputs!$C$49, -Inputs!$C$46)))</f>
        <v>37448.34538734339</v>
      </c>
      <c r="GU5" s="35">
        <f>IF(OR(GU10 &lt;= 0, GU10 &gt; Inputs!$C$48*12), 0, IF(GU10 &lt;= Inputs!$C$49, 0, PPMT(Inputs!$C$47/12, GU10 - Inputs!$C$49, Inputs!$C$48*12 - Inputs!$C$49, -Inputs!$C$46)))</f>
        <v>37682.397546014283</v>
      </c>
      <c r="GV5" s="35">
        <f>IF(OR(GV10 &lt;= 0, GV10 &gt; Inputs!$C$48*12), 0, IF(GV10 &lt;= Inputs!$C$49, 0, PPMT(Inputs!$C$47/12, GV10 - Inputs!$C$49, Inputs!$C$48*12 - Inputs!$C$49, -Inputs!$C$46)))</f>
        <v>37917.912530676876</v>
      </c>
      <c r="GW5" s="35">
        <f>IF(OR(GW10 &lt;= 0, GW10 &gt; Inputs!$C$48*12), 0, IF(GW10 &lt;= Inputs!$C$49, 0, PPMT(Inputs!$C$47/12, GW10 - Inputs!$C$49, Inputs!$C$48*12 - Inputs!$C$49, -Inputs!$C$46)))</f>
        <v>38154.899483993606</v>
      </c>
      <c r="GX5" s="35">
        <f>IF(OR(GX10 &lt;= 0, GX10 &gt; Inputs!$C$48*12), 0, IF(GX10 &lt;= Inputs!$C$49, 0, PPMT(Inputs!$C$47/12, GX10 - Inputs!$C$49, Inputs!$C$48*12 - Inputs!$C$49, -Inputs!$C$46)))</f>
        <v>38393.367605768566</v>
      </c>
      <c r="GY5" s="35">
        <f>IF(OR(GY10 &lt;= 0, GY10 &gt; Inputs!$C$48*12), 0, IF(GY10 &lt;= Inputs!$C$49, 0, PPMT(Inputs!$C$47/12, GY10 - Inputs!$C$49, Inputs!$C$48*12 - Inputs!$C$49, -Inputs!$C$46)))</f>
        <v>38633.326153304617</v>
      </c>
      <c r="GZ5" s="35">
        <f>IF(OR(GZ10 &lt;= 0, GZ10 &gt; Inputs!$C$48*12), 0, IF(GZ10 &lt;= Inputs!$C$49, 0, PPMT(Inputs!$C$47/12, GZ10 - Inputs!$C$49, Inputs!$C$48*12 - Inputs!$C$49, -Inputs!$C$46)))</f>
        <v>38874.784441762771</v>
      </c>
      <c r="HA5" s="35">
        <f>IF(OR(HA10 &lt;= 0, HA10 &gt; Inputs!$C$48*12), 0, IF(HA10 &lt;= Inputs!$C$49, 0, PPMT(Inputs!$C$47/12, HA10 - Inputs!$C$49, Inputs!$C$48*12 - Inputs!$C$49, -Inputs!$C$46)))</f>
        <v>39117.751844523787</v>
      </c>
      <c r="HB5" s="35">
        <f>IF(OR(HB10 &lt;= 0, HB10 &gt; Inputs!$C$48*12), 0, IF(HB10 &lt;= Inputs!$C$49, 0, PPMT(Inputs!$C$47/12, HB10 - Inputs!$C$49, Inputs!$C$48*12 - Inputs!$C$49, -Inputs!$C$46)))</f>
        <v>39362.237793552056</v>
      </c>
      <c r="HC5" s="35">
        <f>IF(OR(HC10 &lt;= 0, HC10 &gt; Inputs!$C$48*12), 0, IF(HC10 &lt;= Inputs!$C$49, 0, PPMT(Inputs!$C$47/12, HC10 - Inputs!$C$49, Inputs!$C$48*12 - Inputs!$C$49, -Inputs!$C$46)))</f>
        <v>39608.251779761769</v>
      </c>
      <c r="HD5" s="35">
        <f>IF(OR(HD10 &lt;= 0, HD10 &gt; Inputs!$C$48*12), 0, IF(HD10 &lt;= Inputs!$C$49, 0, PPMT(Inputs!$C$47/12, HD10 - Inputs!$C$49, Inputs!$C$48*12 - Inputs!$C$49, -Inputs!$C$46)))</f>
        <v>39855.803353385272</v>
      </c>
      <c r="HE5" s="35">
        <f>IF(OR(HE10 &lt;= 0, HE10 &gt; Inputs!$C$48*12), 0, IF(HE10 &lt;= Inputs!$C$49, 0, PPMT(Inputs!$C$47/12, HE10 - Inputs!$C$49, Inputs!$C$48*12 - Inputs!$C$49, -Inputs!$C$46)))</f>
        <v>40104.902124343935</v>
      </c>
      <c r="HF5" s="35">
        <f>IF(OR(HF10 &lt;= 0, HF10 &gt; Inputs!$C$48*12), 0, IF(HF10 &lt;= Inputs!$C$49, 0, PPMT(Inputs!$C$47/12, HF10 - Inputs!$C$49, Inputs!$C$48*12 - Inputs!$C$49, -Inputs!$C$46)))</f>
        <v>40355.557762621087</v>
      </c>
      <c r="HG5" s="35">
        <f>IF(OR(HG10 &lt;= 0, HG10 &gt; Inputs!$C$48*12), 0, IF(HG10 &lt;= Inputs!$C$49, 0, PPMT(Inputs!$C$47/12, HG10 - Inputs!$C$49, Inputs!$C$48*12 - Inputs!$C$49, -Inputs!$C$46)))</f>
        <v>40607.779998637467</v>
      </c>
      <c r="HH5" s="35">
        <f>IF(OR(HH10 &lt;= 0, HH10 &gt; Inputs!$C$48*12), 0, IF(HH10 &lt;= Inputs!$C$49, 0, PPMT(Inputs!$C$47/12, HH10 - Inputs!$C$49, Inputs!$C$48*12 - Inputs!$C$49, -Inputs!$C$46)))</f>
        <v>40861.578623628942</v>
      </c>
      <c r="HI5" s="35">
        <f>IF(OR(HI10 &lt;= 0, HI10 &gt; Inputs!$C$48*12), 0, IF(HI10 &lt;= Inputs!$C$49, 0, PPMT(Inputs!$C$47/12, HI10 - Inputs!$C$49, Inputs!$C$48*12 - Inputs!$C$49, -Inputs!$C$46)))</f>
        <v>41116.963490026632</v>
      </c>
      <c r="HJ5" s="35">
        <f>IF(OR(HJ10 &lt;= 0, HJ10 &gt; Inputs!$C$48*12), 0, IF(HJ10 &lt;= Inputs!$C$49, 0, PPMT(Inputs!$C$47/12, HJ10 - Inputs!$C$49, Inputs!$C$48*12 - Inputs!$C$49, -Inputs!$C$46)))</f>
        <v>41373.944511839305</v>
      </c>
      <c r="HK5" s="35">
        <f>IF(OR(HK10 &lt;= 0, HK10 &gt; Inputs!$C$48*12), 0, IF(HK10 &lt;= Inputs!$C$49, 0, PPMT(Inputs!$C$47/12, HK10 - Inputs!$C$49, Inputs!$C$48*12 - Inputs!$C$49, -Inputs!$C$46)))</f>
        <v>41632.531665038288</v>
      </c>
      <c r="HL5" s="35">
        <f>IF(OR(HL10 &lt;= 0, HL10 &gt; Inputs!$C$48*12), 0, IF(HL10 &lt;= Inputs!$C$49, 0, PPMT(Inputs!$C$47/12, HL10 - Inputs!$C$49, Inputs!$C$48*12 - Inputs!$C$49, -Inputs!$C$46)))</f>
        <v>41892.734987944779</v>
      </c>
      <c r="HM5" s="35">
        <f>IF(OR(HM10 &lt;= 0, HM10 &gt; Inputs!$C$48*12), 0, IF(HM10 &lt;= Inputs!$C$49, 0, PPMT(Inputs!$C$47/12, HM10 - Inputs!$C$49, Inputs!$C$48*12 - Inputs!$C$49, -Inputs!$C$46)))</f>
        <v>42154.56458161943</v>
      </c>
      <c r="HN5" s="35">
        <f>IF(OR(HN10 &lt;= 0, HN10 &gt; Inputs!$C$48*12), 0, IF(HN10 &lt;= Inputs!$C$49, 0, PPMT(Inputs!$C$47/12, HN10 - Inputs!$C$49, Inputs!$C$48*12 - Inputs!$C$49, -Inputs!$C$46)))</f>
        <v>42418.030610254558</v>
      </c>
      <c r="HO5" s="35">
        <f>IF(OR(HO10 &lt;= 0, HO10 &gt; Inputs!$C$48*12), 0, IF(HO10 &lt;= Inputs!$C$49, 0, PPMT(Inputs!$C$47/12, HO10 - Inputs!$C$49, Inputs!$C$48*12 - Inputs!$C$49, -Inputs!$C$46)))</f>
        <v>42683.143301568642</v>
      </c>
      <c r="HP5" s="35">
        <f>IF(OR(HP10 &lt;= 0, HP10 &gt; Inputs!$C$48*12), 0, IF(HP10 &lt;= Inputs!$C$49, 0, PPMT(Inputs!$C$47/12, HP10 - Inputs!$C$49, Inputs!$C$48*12 - Inputs!$C$49, -Inputs!$C$46)))</f>
        <v>42949.912947203447</v>
      </c>
      <c r="HQ5" s="35">
        <f>IF(OR(HQ10 &lt;= 0, HQ10 &gt; Inputs!$C$48*12), 0, IF(HQ10 &lt;= Inputs!$C$49, 0, PPMT(Inputs!$C$47/12, HQ10 - Inputs!$C$49, Inputs!$C$48*12 - Inputs!$C$49, -Inputs!$C$46)))</f>
        <v>43218.349903123468</v>
      </c>
      <c r="HR5" s="35">
        <f>IF(OR(HR10 &lt;= 0, HR10 &gt; Inputs!$C$48*12), 0, IF(HR10 &lt;= Inputs!$C$49, 0, PPMT(Inputs!$C$47/12, HR10 - Inputs!$C$49, Inputs!$C$48*12 - Inputs!$C$49, -Inputs!$C$46)))</f>
        <v>43488.464590017997</v>
      </c>
      <c r="HS5" s="35">
        <f>IF(OR(HS10 &lt;= 0, HS10 &gt; Inputs!$C$48*12), 0, IF(HS10 &lt;= Inputs!$C$49, 0, PPMT(Inputs!$C$47/12, HS10 - Inputs!$C$49, Inputs!$C$48*12 - Inputs!$C$49, -Inputs!$C$46)))</f>
        <v>43760.267493705607</v>
      </c>
      <c r="HT5" s="35">
        <f>IF(OR(HT10 &lt;= 0, HT10 &gt; Inputs!$C$48*12), 0, IF(HT10 &lt;= Inputs!$C$49, 0, PPMT(Inputs!$C$47/12, HT10 - Inputs!$C$49, Inputs!$C$48*12 - Inputs!$C$49, -Inputs!$C$46)))</f>
        <v>44033.769165541264</v>
      </c>
      <c r="HU5" s="35">
        <f>IF(OR(HU10 &lt;= 0, HU10 &gt; Inputs!$C$48*12), 0, IF(HU10 &lt;= Inputs!$C$49, 0, PPMT(Inputs!$C$47/12, HU10 - Inputs!$C$49, Inputs!$C$48*12 - Inputs!$C$49, -Inputs!$C$46)))</f>
        <v>44308.9802228259</v>
      </c>
      <c r="HV5" s="35">
        <f>IF(OR(HV10 &lt;= 0, HV10 &gt; Inputs!$C$48*12), 0, IF(HV10 &lt;= Inputs!$C$49, 0, PPMT(Inputs!$C$47/12, HV10 - Inputs!$C$49, Inputs!$C$48*12 - Inputs!$C$49, -Inputs!$C$46)))</f>
        <v>44585.911349218564</v>
      </c>
      <c r="HW5" s="35">
        <f>IF(OR(HW10 &lt;= 0, HW10 &gt; Inputs!$C$48*12), 0, IF(HW10 &lt;= Inputs!$C$49, 0, PPMT(Inputs!$C$47/12, HW10 - Inputs!$C$49, Inputs!$C$48*12 - Inputs!$C$49, -Inputs!$C$46)))</f>
        <v>44864.573295151175</v>
      </c>
      <c r="HX5" s="35">
        <f>IF(OR(HX10 &lt;= 0, HX10 &gt; Inputs!$C$48*12), 0, IF(HX10 &lt;= Inputs!$C$49, 0, PPMT(Inputs!$C$47/12, HX10 - Inputs!$C$49, Inputs!$C$48*12 - Inputs!$C$49, -Inputs!$C$46)))</f>
        <v>45144.976878245878</v>
      </c>
      <c r="HY5" s="35">
        <f>IF(OR(HY10 &lt;= 0, HY10 &gt; Inputs!$C$48*12), 0, IF(HY10 &lt;= Inputs!$C$49, 0, PPMT(Inputs!$C$47/12, HY10 - Inputs!$C$49, Inputs!$C$48*12 - Inputs!$C$49, -Inputs!$C$46)))</f>
        <v>45427.132983734911</v>
      </c>
      <c r="HZ5" s="35">
        <f>IF(OR(HZ10 &lt;= 0, HZ10 &gt; Inputs!$C$48*12), 0, IF(HZ10 &lt;= Inputs!$C$49, 0, PPMT(Inputs!$C$47/12, HZ10 - Inputs!$C$49, Inputs!$C$48*12 - Inputs!$C$49, -Inputs!$C$46)))</f>
        <v>45711.052564883248</v>
      </c>
      <c r="IA5" s="35">
        <f>IF(OR(IA10 &lt;= 0, IA10 &gt; Inputs!$C$48*12), 0, IF(IA10 &lt;= Inputs!$C$49, 0, PPMT(Inputs!$C$47/12, IA10 - Inputs!$C$49, Inputs!$C$48*12 - Inputs!$C$49, -Inputs!$C$46)))</f>
        <v>45996.746643413775</v>
      </c>
      <c r="IB5" s="35">
        <f>IF(OR(IB10 &lt;= 0, IB10 &gt; Inputs!$C$48*12), 0, IF(IB10 &lt;= Inputs!$C$49, 0, PPMT(Inputs!$C$47/12, IB10 - Inputs!$C$49, Inputs!$C$48*12 - Inputs!$C$49, -Inputs!$C$46)))</f>
        <v>46284.226309935111</v>
      </c>
      <c r="IC5" s="35">
        <f>IF(OR(IC10 &lt;= 0, IC10 &gt; Inputs!$C$48*12), 0, IF(IC10 &lt;= Inputs!$C$49, 0, PPMT(Inputs!$C$47/12, IC10 - Inputs!$C$49, Inputs!$C$48*12 - Inputs!$C$49, -Inputs!$C$46)))</f>
        <v>46573.502724372192</v>
      </c>
      <c r="ID5" s="35">
        <f>IF(OR(ID10 &lt;= 0, ID10 &gt; Inputs!$C$48*12), 0, IF(ID10 &lt;= Inputs!$C$49, 0, PPMT(Inputs!$C$47/12, ID10 - Inputs!$C$49, Inputs!$C$48*12 - Inputs!$C$49, -Inputs!$C$46)))</f>
        <v>46864.587116399533</v>
      </c>
      <c r="IE5" s="35">
        <f>IF(OR(IE10 &lt;= 0, IE10 &gt; Inputs!$C$48*12), 0, IF(IE10 &lt;= Inputs!$C$49, 0, PPMT(Inputs!$C$47/12, IE10 - Inputs!$C$49, Inputs!$C$48*12 - Inputs!$C$49, -Inputs!$C$46)))</f>
        <v>47157.490785877031</v>
      </c>
      <c r="IF5" s="35">
        <f>IF(OR(IF10 &lt;= 0, IF10 &gt; Inputs!$C$48*12), 0, IF(IF10 &lt;= Inputs!$C$49, 0, PPMT(Inputs!$C$47/12, IF10 - Inputs!$C$49, Inputs!$C$48*12 - Inputs!$C$49, -Inputs!$C$46)))</f>
        <v>47452.225103288751</v>
      </c>
      <c r="IG5" s="35">
        <f>IF(OR(IG10 &lt;= 0, IG10 &gt; Inputs!$C$48*12), 0, IF(IG10 &lt;= Inputs!$C$49, 0, PPMT(Inputs!$C$47/12, IG10 - Inputs!$C$49, Inputs!$C$48*12 - Inputs!$C$49, -Inputs!$C$46)))</f>
        <v>47748.801510184305</v>
      </c>
      <c r="IH5" s="35">
        <f>IF(OR(IH10 &lt;= 0, IH10 &gt; Inputs!$C$48*12), 0, IF(IH10 &lt;= Inputs!$C$49, 0, PPMT(Inputs!$C$47/12, IH10 - Inputs!$C$49, Inputs!$C$48*12 - Inputs!$C$49, -Inputs!$C$46)))</f>
        <v>48047.231519622961</v>
      </c>
      <c r="II5" s="35">
        <f>IF(OR(II10 &lt;= 0, II10 &gt; Inputs!$C$48*12), 0, IF(II10 &lt;= Inputs!$C$49, 0, PPMT(Inputs!$C$47/12, II10 - Inputs!$C$49, Inputs!$C$48*12 - Inputs!$C$49, -Inputs!$C$46)))</f>
        <v>48347.526716620603</v>
      </c>
      <c r="IJ5" s="35">
        <f>IF(OR(IJ10 &lt;= 0, IJ10 &gt; Inputs!$C$48*12), 0, IF(IJ10 &lt;= Inputs!$C$49, 0, PPMT(Inputs!$C$47/12, IJ10 - Inputs!$C$49, Inputs!$C$48*12 - Inputs!$C$49, -Inputs!$C$46)))</f>
        <v>48649.698758599487</v>
      </c>
      <c r="IK5" s="35">
        <f>IF(OR(IK10 &lt;= 0, IK10 &gt; Inputs!$C$48*12), 0, IF(IK10 &lt;= Inputs!$C$49, 0, PPMT(Inputs!$C$47/12, IK10 - Inputs!$C$49, Inputs!$C$48*12 - Inputs!$C$49, -Inputs!$C$46)))</f>
        <v>48953.759375840731</v>
      </c>
      <c r="IL5" s="11"/>
      <c r="IM5" s="11"/>
      <c r="IN5" s="11"/>
      <c r="IO5" s="11"/>
      <c r="IP5" s="11"/>
      <c r="IQ5" s="11"/>
      <c r="IR5" s="11"/>
      <c r="IS5" s="11"/>
      <c r="IT5" s="11"/>
    </row>
    <row r="6" spans="1:254" ht="14.25" customHeight="1" x14ac:dyDescent="0.2">
      <c r="A6" s="11"/>
      <c r="B6" s="11" t="s">
        <v>394</v>
      </c>
      <c r="C6" s="35">
        <f>C4 + C5</f>
        <v>0</v>
      </c>
      <c r="E6" s="302"/>
      <c r="F6" s="35">
        <f t="shared" ref="F6:IK6" si="1">SUM(F4:F5)</f>
        <v>71588.876169803742</v>
      </c>
      <c r="G6" s="35">
        <f t="shared" si="1"/>
        <v>71588.876169803742</v>
      </c>
      <c r="H6" s="35">
        <f t="shared" si="1"/>
        <v>71588.876169803756</v>
      </c>
      <c r="I6" s="35">
        <f t="shared" si="1"/>
        <v>71588.876169803756</v>
      </c>
      <c r="J6" s="35">
        <f t="shared" si="1"/>
        <v>71588.876169803756</v>
      </c>
      <c r="K6" s="35">
        <f t="shared" si="1"/>
        <v>71588.876169803742</v>
      </c>
      <c r="L6" s="35">
        <f t="shared" si="1"/>
        <v>71588.876169803742</v>
      </c>
      <c r="M6" s="35">
        <f t="shared" si="1"/>
        <v>71588.876169803756</v>
      </c>
      <c r="N6" s="35">
        <f t="shared" si="1"/>
        <v>71588.876169803742</v>
      </c>
      <c r="O6" s="35">
        <f t="shared" si="1"/>
        <v>71588.876169803742</v>
      </c>
      <c r="P6" s="35">
        <f t="shared" si="1"/>
        <v>71588.876169803742</v>
      </c>
      <c r="Q6" s="35">
        <f t="shared" si="1"/>
        <v>71588.876169803742</v>
      </c>
      <c r="R6" s="35">
        <f t="shared" si="1"/>
        <v>71588.876169803742</v>
      </c>
      <c r="S6" s="35">
        <f t="shared" si="1"/>
        <v>71588.876169803756</v>
      </c>
      <c r="T6" s="35">
        <f t="shared" si="1"/>
        <v>71588.876169803742</v>
      </c>
      <c r="U6" s="35">
        <f t="shared" si="1"/>
        <v>71588.876169803756</v>
      </c>
      <c r="V6" s="35">
        <f t="shared" si="1"/>
        <v>71588.876169803756</v>
      </c>
      <c r="W6" s="35">
        <f t="shared" si="1"/>
        <v>71588.876169803756</v>
      </c>
      <c r="X6" s="35">
        <f t="shared" si="1"/>
        <v>71588.876169803756</v>
      </c>
      <c r="Y6" s="35">
        <f t="shared" si="1"/>
        <v>71588.876169803756</v>
      </c>
      <c r="Z6" s="35">
        <f t="shared" si="1"/>
        <v>71588.876169803756</v>
      </c>
      <c r="AA6" s="35">
        <f t="shared" si="1"/>
        <v>71588.876169803771</v>
      </c>
      <c r="AB6" s="35">
        <f t="shared" si="1"/>
        <v>71588.876169803756</v>
      </c>
      <c r="AC6" s="35">
        <f t="shared" si="1"/>
        <v>71588.876169803756</v>
      </c>
      <c r="AD6" s="35">
        <f t="shared" si="1"/>
        <v>71588.876169803756</v>
      </c>
      <c r="AE6" s="35">
        <f t="shared" si="1"/>
        <v>71588.876169803756</v>
      </c>
      <c r="AF6" s="35">
        <f t="shared" si="1"/>
        <v>71588.876169803756</v>
      </c>
      <c r="AG6" s="35">
        <f t="shared" si="1"/>
        <v>71588.876169803756</v>
      </c>
      <c r="AH6" s="35">
        <f t="shared" si="1"/>
        <v>71588.876169803756</v>
      </c>
      <c r="AI6" s="35">
        <f t="shared" si="1"/>
        <v>71588.876169803756</v>
      </c>
      <c r="AJ6" s="35">
        <f t="shared" si="1"/>
        <v>71588.876169803756</v>
      </c>
      <c r="AK6" s="35">
        <f t="shared" si="1"/>
        <v>71588.876169803742</v>
      </c>
      <c r="AL6" s="35">
        <f t="shared" si="1"/>
        <v>71588.876169803742</v>
      </c>
      <c r="AM6" s="35">
        <f t="shared" si="1"/>
        <v>71588.876169803742</v>
      </c>
      <c r="AN6" s="35">
        <f t="shared" si="1"/>
        <v>71588.876169803742</v>
      </c>
      <c r="AO6" s="35">
        <f t="shared" si="1"/>
        <v>71588.876169803727</v>
      </c>
      <c r="AP6" s="35">
        <f t="shared" si="1"/>
        <v>71588.876169803727</v>
      </c>
      <c r="AQ6" s="35">
        <f t="shared" si="1"/>
        <v>71588.876169803727</v>
      </c>
      <c r="AR6" s="35">
        <f t="shared" si="1"/>
        <v>71588.876169803727</v>
      </c>
      <c r="AS6" s="35">
        <f t="shared" si="1"/>
        <v>71588.876169803727</v>
      </c>
      <c r="AT6" s="35">
        <f t="shared" si="1"/>
        <v>71588.876169803742</v>
      </c>
      <c r="AU6" s="35">
        <f t="shared" si="1"/>
        <v>71588.876169803742</v>
      </c>
      <c r="AV6" s="35">
        <f t="shared" si="1"/>
        <v>71588.876169803727</v>
      </c>
      <c r="AW6" s="35">
        <f t="shared" si="1"/>
        <v>71588.876169803742</v>
      </c>
      <c r="AX6" s="35">
        <f t="shared" si="1"/>
        <v>71588.876169803742</v>
      </c>
      <c r="AY6" s="35">
        <f t="shared" si="1"/>
        <v>71588.876169803742</v>
      </c>
      <c r="AZ6" s="35">
        <f t="shared" si="1"/>
        <v>71588.876169803742</v>
      </c>
      <c r="BA6" s="35">
        <f t="shared" si="1"/>
        <v>71588.876169803742</v>
      </c>
      <c r="BB6" s="35">
        <f t="shared" si="1"/>
        <v>71588.876169803742</v>
      </c>
      <c r="BC6" s="35">
        <f t="shared" si="1"/>
        <v>71588.876169803756</v>
      </c>
      <c r="BD6" s="35">
        <f t="shared" si="1"/>
        <v>71588.876169803742</v>
      </c>
      <c r="BE6" s="35">
        <f t="shared" si="1"/>
        <v>71588.876169803756</v>
      </c>
      <c r="BF6" s="35">
        <f t="shared" si="1"/>
        <v>71588.876169803756</v>
      </c>
      <c r="BG6" s="35">
        <f t="shared" si="1"/>
        <v>71588.876169803756</v>
      </c>
      <c r="BH6" s="35">
        <f t="shared" si="1"/>
        <v>71588.876169803756</v>
      </c>
      <c r="BI6" s="35">
        <f t="shared" si="1"/>
        <v>71588.876169803756</v>
      </c>
      <c r="BJ6" s="35">
        <f t="shared" si="1"/>
        <v>71588.876169803756</v>
      </c>
      <c r="BK6" s="35">
        <f t="shared" si="1"/>
        <v>71588.876169803756</v>
      </c>
      <c r="BL6" s="35">
        <f t="shared" si="1"/>
        <v>71588.876169803756</v>
      </c>
      <c r="BM6" s="35">
        <f t="shared" si="1"/>
        <v>71588.876169803742</v>
      </c>
      <c r="BN6" s="35">
        <f t="shared" si="1"/>
        <v>71588.876169803742</v>
      </c>
      <c r="BO6" s="35">
        <f t="shared" si="1"/>
        <v>71588.876169803756</v>
      </c>
      <c r="BP6" s="35">
        <f t="shared" si="1"/>
        <v>71588.876169803756</v>
      </c>
      <c r="BQ6" s="35">
        <f t="shared" si="1"/>
        <v>71588.876169803756</v>
      </c>
      <c r="BR6" s="35">
        <f t="shared" si="1"/>
        <v>71588.876169803756</v>
      </c>
      <c r="BS6" s="35">
        <f t="shared" si="1"/>
        <v>71588.876169803756</v>
      </c>
      <c r="BT6" s="35">
        <f t="shared" si="1"/>
        <v>71588.876169803756</v>
      </c>
      <c r="BU6" s="35">
        <f t="shared" si="1"/>
        <v>71588.876169803771</v>
      </c>
      <c r="BV6" s="35">
        <f t="shared" si="1"/>
        <v>71588.876169803771</v>
      </c>
      <c r="BW6" s="35">
        <f t="shared" si="1"/>
        <v>71588.876169803756</v>
      </c>
      <c r="BX6" s="35">
        <f t="shared" si="1"/>
        <v>71588.876169803756</v>
      </c>
      <c r="BY6" s="35">
        <f t="shared" si="1"/>
        <v>71588.876169803771</v>
      </c>
      <c r="BZ6" s="35">
        <f t="shared" si="1"/>
        <v>71588.876169803771</v>
      </c>
      <c r="CA6" s="35">
        <f t="shared" si="1"/>
        <v>71588.876169803756</v>
      </c>
      <c r="CB6" s="35">
        <f t="shared" si="1"/>
        <v>71588.876169803771</v>
      </c>
      <c r="CC6" s="35">
        <f t="shared" si="1"/>
        <v>71588.876169803771</v>
      </c>
      <c r="CD6" s="35">
        <f t="shared" si="1"/>
        <v>71588.876169803756</v>
      </c>
      <c r="CE6" s="35">
        <f t="shared" si="1"/>
        <v>71588.876169803756</v>
      </c>
      <c r="CF6" s="35">
        <f t="shared" si="1"/>
        <v>71588.876169803756</v>
      </c>
      <c r="CG6" s="35">
        <f t="shared" si="1"/>
        <v>71588.876169803756</v>
      </c>
      <c r="CH6" s="35">
        <f t="shared" si="1"/>
        <v>71588.876169803756</v>
      </c>
      <c r="CI6" s="35">
        <f t="shared" si="1"/>
        <v>71588.876169803756</v>
      </c>
      <c r="CJ6" s="35">
        <f t="shared" si="1"/>
        <v>71588.876169803756</v>
      </c>
      <c r="CK6" s="35">
        <f t="shared" si="1"/>
        <v>71588.876169803756</v>
      </c>
      <c r="CL6" s="35">
        <f t="shared" si="1"/>
        <v>71588.876169803742</v>
      </c>
      <c r="CM6" s="35">
        <f t="shared" si="1"/>
        <v>71588.876169803756</v>
      </c>
      <c r="CN6" s="35">
        <f t="shared" si="1"/>
        <v>71588.876169803756</v>
      </c>
      <c r="CO6" s="35">
        <f t="shared" si="1"/>
        <v>71588.876169803756</v>
      </c>
      <c r="CP6" s="35">
        <f t="shared" si="1"/>
        <v>71588.876169803756</v>
      </c>
      <c r="CQ6" s="35">
        <f t="shared" si="1"/>
        <v>71588.876169803756</v>
      </c>
      <c r="CR6" s="35">
        <f t="shared" si="1"/>
        <v>71588.876169803742</v>
      </c>
      <c r="CS6" s="35">
        <f t="shared" si="1"/>
        <v>71588.876169803756</v>
      </c>
      <c r="CT6" s="35">
        <f t="shared" si="1"/>
        <v>71588.876169803756</v>
      </c>
      <c r="CU6" s="35">
        <f t="shared" si="1"/>
        <v>71588.876169803756</v>
      </c>
      <c r="CV6" s="35">
        <f t="shared" si="1"/>
        <v>71588.876169803756</v>
      </c>
      <c r="CW6" s="35">
        <f t="shared" si="1"/>
        <v>71588.876169803742</v>
      </c>
      <c r="CX6" s="35">
        <f t="shared" si="1"/>
        <v>71588.876169803756</v>
      </c>
      <c r="CY6" s="35">
        <f t="shared" si="1"/>
        <v>71588.876169803756</v>
      </c>
      <c r="CZ6" s="35">
        <f t="shared" si="1"/>
        <v>71588.876169803756</v>
      </c>
      <c r="DA6" s="35">
        <f t="shared" si="1"/>
        <v>71588.876169803756</v>
      </c>
      <c r="DB6" s="35">
        <f t="shared" si="1"/>
        <v>71588.876169803756</v>
      </c>
      <c r="DC6" s="35">
        <f t="shared" si="1"/>
        <v>71588.876169803756</v>
      </c>
      <c r="DD6" s="35">
        <f t="shared" si="1"/>
        <v>71588.876169803756</v>
      </c>
      <c r="DE6" s="35">
        <f t="shared" si="1"/>
        <v>71588.876169803756</v>
      </c>
      <c r="DF6" s="35">
        <f t="shared" si="1"/>
        <v>71588.876169803756</v>
      </c>
      <c r="DG6" s="35">
        <f t="shared" si="1"/>
        <v>71588.876169803742</v>
      </c>
      <c r="DH6" s="35">
        <f t="shared" si="1"/>
        <v>71588.876169803756</v>
      </c>
      <c r="DI6" s="35">
        <f t="shared" si="1"/>
        <v>71588.876169803742</v>
      </c>
      <c r="DJ6" s="35">
        <f t="shared" si="1"/>
        <v>71588.876169803756</v>
      </c>
      <c r="DK6" s="35">
        <f t="shared" si="1"/>
        <v>71588.876169803756</v>
      </c>
      <c r="DL6" s="35">
        <f t="shared" si="1"/>
        <v>71588.876169803756</v>
      </c>
      <c r="DM6" s="35">
        <f t="shared" si="1"/>
        <v>71588.876169803756</v>
      </c>
      <c r="DN6" s="35">
        <f t="shared" si="1"/>
        <v>71588.876169803756</v>
      </c>
      <c r="DO6" s="35">
        <f t="shared" si="1"/>
        <v>71588.876169803756</v>
      </c>
      <c r="DP6" s="35">
        <f t="shared" si="1"/>
        <v>71588.876169803756</v>
      </c>
      <c r="DQ6" s="35">
        <f t="shared" si="1"/>
        <v>71588.876169803742</v>
      </c>
      <c r="DR6" s="35">
        <f t="shared" si="1"/>
        <v>71588.876169803742</v>
      </c>
      <c r="DS6" s="35">
        <f t="shared" si="1"/>
        <v>71588.876169803742</v>
      </c>
      <c r="DT6" s="35">
        <f t="shared" si="1"/>
        <v>71588.876169803756</v>
      </c>
      <c r="DU6" s="35">
        <f t="shared" si="1"/>
        <v>71588.876169803742</v>
      </c>
      <c r="DV6" s="35">
        <f t="shared" si="1"/>
        <v>71588.876169803756</v>
      </c>
      <c r="DW6" s="35">
        <f t="shared" si="1"/>
        <v>71588.876169803756</v>
      </c>
      <c r="DX6" s="35">
        <f t="shared" si="1"/>
        <v>71588.876169803756</v>
      </c>
      <c r="DY6" s="35">
        <f t="shared" si="1"/>
        <v>71588.876169803756</v>
      </c>
      <c r="DZ6" s="35">
        <f t="shared" si="1"/>
        <v>71588.876169803756</v>
      </c>
      <c r="EA6" s="35">
        <f t="shared" si="1"/>
        <v>71588.876169803756</v>
      </c>
      <c r="EB6" s="35">
        <f t="shared" si="1"/>
        <v>71588.876169803742</v>
      </c>
      <c r="EC6" s="35">
        <f t="shared" si="1"/>
        <v>71588.876169803756</v>
      </c>
      <c r="ED6" s="35">
        <f t="shared" si="1"/>
        <v>71588.876169803756</v>
      </c>
      <c r="EE6" s="35">
        <f t="shared" si="1"/>
        <v>71588.876169803742</v>
      </c>
      <c r="EF6" s="35">
        <f t="shared" si="1"/>
        <v>71588.876169803742</v>
      </c>
      <c r="EG6" s="35">
        <f t="shared" si="1"/>
        <v>71588.876169803742</v>
      </c>
      <c r="EH6" s="35">
        <f t="shared" si="1"/>
        <v>71588.876169803756</v>
      </c>
      <c r="EI6" s="35">
        <f t="shared" si="1"/>
        <v>71588.876169803742</v>
      </c>
      <c r="EJ6" s="35">
        <f t="shared" si="1"/>
        <v>71588.876169803756</v>
      </c>
      <c r="EK6" s="35">
        <f t="shared" si="1"/>
        <v>71588.876169803756</v>
      </c>
      <c r="EL6" s="35">
        <f t="shared" si="1"/>
        <v>71588.876169803756</v>
      </c>
      <c r="EM6" s="35">
        <f t="shared" si="1"/>
        <v>71588.876169803756</v>
      </c>
      <c r="EN6" s="35">
        <f t="shared" si="1"/>
        <v>71588.876169803756</v>
      </c>
      <c r="EO6" s="35">
        <f t="shared" si="1"/>
        <v>71588.876169803756</v>
      </c>
      <c r="EP6" s="35">
        <f t="shared" si="1"/>
        <v>71588.876169803756</v>
      </c>
      <c r="EQ6" s="35">
        <f t="shared" si="1"/>
        <v>71588.876169803756</v>
      </c>
      <c r="ER6" s="35">
        <f t="shared" si="1"/>
        <v>71588.876169803756</v>
      </c>
      <c r="ES6" s="35">
        <f t="shared" si="1"/>
        <v>71588.876169803756</v>
      </c>
      <c r="ET6" s="35">
        <f t="shared" si="1"/>
        <v>71588.876169803756</v>
      </c>
      <c r="EU6" s="35">
        <f t="shared" si="1"/>
        <v>71588.876169803756</v>
      </c>
      <c r="EV6" s="35">
        <f t="shared" si="1"/>
        <v>71588.876169803756</v>
      </c>
      <c r="EW6" s="35">
        <f t="shared" si="1"/>
        <v>71588.876169803756</v>
      </c>
      <c r="EX6" s="35">
        <f t="shared" si="1"/>
        <v>71588.876169803756</v>
      </c>
      <c r="EY6" s="35">
        <f t="shared" si="1"/>
        <v>71588.876169803742</v>
      </c>
      <c r="EZ6" s="35">
        <f t="shared" si="1"/>
        <v>71588.876169803756</v>
      </c>
      <c r="FA6" s="35">
        <f t="shared" si="1"/>
        <v>71588.876169803756</v>
      </c>
      <c r="FB6" s="35">
        <f t="shared" si="1"/>
        <v>71588.876169803756</v>
      </c>
      <c r="FC6" s="35">
        <f t="shared" si="1"/>
        <v>71588.876169803756</v>
      </c>
      <c r="FD6" s="35">
        <f t="shared" si="1"/>
        <v>71588.876169803756</v>
      </c>
      <c r="FE6" s="35">
        <f t="shared" si="1"/>
        <v>71588.876169803756</v>
      </c>
      <c r="FF6" s="35">
        <f t="shared" si="1"/>
        <v>71588.876169803756</v>
      </c>
      <c r="FG6" s="35">
        <f t="shared" si="1"/>
        <v>71588.876169803756</v>
      </c>
      <c r="FH6" s="35">
        <f t="shared" si="1"/>
        <v>71588.876169803756</v>
      </c>
      <c r="FI6" s="35">
        <f t="shared" si="1"/>
        <v>71588.876169803756</v>
      </c>
      <c r="FJ6" s="35">
        <f t="shared" si="1"/>
        <v>71588.876169803756</v>
      </c>
      <c r="FK6" s="35">
        <f t="shared" si="1"/>
        <v>71588.876169803756</v>
      </c>
      <c r="FL6" s="35">
        <f t="shared" si="1"/>
        <v>71588.876169803756</v>
      </c>
      <c r="FM6" s="35">
        <f t="shared" si="1"/>
        <v>71588.876169803756</v>
      </c>
      <c r="FN6" s="35">
        <f t="shared" si="1"/>
        <v>71588.876169803756</v>
      </c>
      <c r="FO6" s="35">
        <f t="shared" si="1"/>
        <v>71588.876169803756</v>
      </c>
      <c r="FP6" s="35">
        <f t="shared" si="1"/>
        <v>71588.876169803756</v>
      </c>
      <c r="FQ6" s="35">
        <f t="shared" si="1"/>
        <v>71588.876169803756</v>
      </c>
      <c r="FR6" s="35">
        <f t="shared" si="1"/>
        <v>71588.876169803756</v>
      </c>
      <c r="FS6" s="35">
        <f t="shared" si="1"/>
        <v>71588.876169803756</v>
      </c>
      <c r="FT6" s="35">
        <f t="shared" si="1"/>
        <v>71588.876169803756</v>
      </c>
      <c r="FU6" s="35">
        <f t="shared" si="1"/>
        <v>71588.876169803756</v>
      </c>
      <c r="FV6" s="35">
        <f t="shared" si="1"/>
        <v>71588.876169803756</v>
      </c>
      <c r="FW6" s="35">
        <f t="shared" si="1"/>
        <v>71588.876169803756</v>
      </c>
      <c r="FX6" s="35">
        <f t="shared" si="1"/>
        <v>71588.876169803756</v>
      </c>
      <c r="FY6" s="35">
        <f t="shared" si="1"/>
        <v>71588.876169803756</v>
      </c>
      <c r="FZ6" s="35">
        <f t="shared" si="1"/>
        <v>71588.876169803756</v>
      </c>
      <c r="GA6" s="35">
        <f t="shared" si="1"/>
        <v>71588.876169803756</v>
      </c>
      <c r="GB6" s="35">
        <f t="shared" si="1"/>
        <v>71588.876169803756</v>
      </c>
      <c r="GC6" s="35">
        <f t="shared" si="1"/>
        <v>71588.876169803756</v>
      </c>
      <c r="GD6" s="35">
        <f t="shared" si="1"/>
        <v>71588.876169803756</v>
      </c>
      <c r="GE6" s="35">
        <f t="shared" si="1"/>
        <v>71588.876169803756</v>
      </c>
      <c r="GF6" s="35">
        <f t="shared" si="1"/>
        <v>71588.876169803756</v>
      </c>
      <c r="GG6" s="35">
        <f t="shared" si="1"/>
        <v>71588.876169803756</v>
      </c>
      <c r="GH6" s="35">
        <f t="shared" si="1"/>
        <v>71588.876169803756</v>
      </c>
      <c r="GI6" s="35">
        <f t="shared" si="1"/>
        <v>71588.876169803756</v>
      </c>
      <c r="GJ6" s="35">
        <f t="shared" si="1"/>
        <v>71588.876169803756</v>
      </c>
      <c r="GK6" s="35">
        <f t="shared" si="1"/>
        <v>71588.876169803742</v>
      </c>
      <c r="GL6" s="35">
        <f t="shared" si="1"/>
        <v>71588.876169803756</v>
      </c>
      <c r="GM6" s="35">
        <f t="shared" si="1"/>
        <v>71588.876169803756</v>
      </c>
      <c r="GN6" s="35">
        <f t="shared" si="1"/>
        <v>71588.876169803756</v>
      </c>
      <c r="GO6" s="35">
        <f t="shared" si="1"/>
        <v>71588.876169803756</v>
      </c>
      <c r="GP6" s="35">
        <f t="shared" si="1"/>
        <v>71588.876169803742</v>
      </c>
      <c r="GQ6" s="35">
        <f t="shared" si="1"/>
        <v>71588.876169803756</v>
      </c>
      <c r="GR6" s="35">
        <f t="shared" si="1"/>
        <v>71588.876169803742</v>
      </c>
      <c r="GS6" s="35">
        <f t="shared" si="1"/>
        <v>71588.876169803756</v>
      </c>
      <c r="GT6" s="35">
        <f t="shared" si="1"/>
        <v>71588.876169803756</v>
      </c>
      <c r="GU6" s="35">
        <f t="shared" si="1"/>
        <v>71588.876169803742</v>
      </c>
      <c r="GV6" s="35">
        <f t="shared" si="1"/>
        <v>71588.876169803742</v>
      </c>
      <c r="GW6" s="35">
        <f t="shared" si="1"/>
        <v>71588.876169803756</v>
      </c>
      <c r="GX6" s="35">
        <f t="shared" si="1"/>
        <v>71588.876169803756</v>
      </c>
      <c r="GY6" s="35">
        <f t="shared" si="1"/>
        <v>71588.876169803756</v>
      </c>
      <c r="GZ6" s="35">
        <f t="shared" si="1"/>
        <v>71588.876169803756</v>
      </c>
      <c r="HA6" s="35">
        <f t="shared" si="1"/>
        <v>71588.876169803756</v>
      </c>
      <c r="HB6" s="35">
        <f t="shared" si="1"/>
        <v>71588.876169803742</v>
      </c>
      <c r="HC6" s="35">
        <f t="shared" si="1"/>
        <v>71588.876169803756</v>
      </c>
      <c r="HD6" s="35">
        <f t="shared" si="1"/>
        <v>71588.876169803756</v>
      </c>
      <c r="HE6" s="35">
        <f t="shared" si="1"/>
        <v>71588.876169803756</v>
      </c>
      <c r="HF6" s="35">
        <f t="shared" si="1"/>
        <v>71588.876169803756</v>
      </c>
      <c r="HG6" s="35">
        <f t="shared" si="1"/>
        <v>71588.876169803756</v>
      </c>
      <c r="HH6" s="35">
        <f t="shared" si="1"/>
        <v>71588.876169803742</v>
      </c>
      <c r="HI6" s="35">
        <f t="shared" si="1"/>
        <v>71588.876169803756</v>
      </c>
      <c r="HJ6" s="35">
        <f t="shared" si="1"/>
        <v>71588.876169803756</v>
      </c>
      <c r="HK6" s="35">
        <f t="shared" si="1"/>
        <v>71588.876169803742</v>
      </c>
      <c r="HL6" s="35">
        <f t="shared" si="1"/>
        <v>71588.876169803742</v>
      </c>
      <c r="HM6" s="35">
        <f t="shared" si="1"/>
        <v>71588.876169803742</v>
      </c>
      <c r="HN6" s="35">
        <f t="shared" si="1"/>
        <v>71588.876169803756</v>
      </c>
      <c r="HO6" s="35">
        <f t="shared" si="1"/>
        <v>71588.876169803742</v>
      </c>
      <c r="HP6" s="35">
        <f t="shared" si="1"/>
        <v>71588.876169803742</v>
      </c>
      <c r="HQ6" s="35">
        <f t="shared" si="1"/>
        <v>71588.876169803742</v>
      </c>
      <c r="HR6" s="35">
        <f t="shared" si="1"/>
        <v>71588.876169803756</v>
      </c>
      <c r="HS6" s="35">
        <f t="shared" si="1"/>
        <v>71588.876169803756</v>
      </c>
      <c r="HT6" s="35">
        <f t="shared" si="1"/>
        <v>71588.876169803742</v>
      </c>
      <c r="HU6" s="35">
        <f t="shared" si="1"/>
        <v>71588.876169803756</v>
      </c>
      <c r="HV6" s="35">
        <f t="shared" si="1"/>
        <v>71588.876169803756</v>
      </c>
      <c r="HW6" s="35">
        <f t="shared" si="1"/>
        <v>71588.876169803756</v>
      </c>
      <c r="HX6" s="35">
        <f t="shared" si="1"/>
        <v>71588.876169803756</v>
      </c>
      <c r="HY6" s="35">
        <f t="shared" si="1"/>
        <v>71588.876169803756</v>
      </c>
      <c r="HZ6" s="35">
        <f t="shared" si="1"/>
        <v>71588.876169803756</v>
      </c>
      <c r="IA6" s="35">
        <f t="shared" si="1"/>
        <v>71588.876169803756</v>
      </c>
      <c r="IB6" s="35">
        <f t="shared" si="1"/>
        <v>71588.876169803756</v>
      </c>
      <c r="IC6" s="35">
        <f t="shared" si="1"/>
        <v>71588.876169803742</v>
      </c>
      <c r="ID6" s="35">
        <f t="shared" si="1"/>
        <v>71588.876169803756</v>
      </c>
      <c r="IE6" s="35">
        <f t="shared" si="1"/>
        <v>71588.876169803756</v>
      </c>
      <c r="IF6" s="35">
        <f t="shared" si="1"/>
        <v>71588.876169803756</v>
      </c>
      <c r="IG6" s="35">
        <f t="shared" si="1"/>
        <v>71588.876169803742</v>
      </c>
      <c r="IH6" s="35">
        <f t="shared" si="1"/>
        <v>71588.876169803756</v>
      </c>
      <c r="II6" s="35">
        <f t="shared" si="1"/>
        <v>71588.876169803756</v>
      </c>
      <c r="IJ6" s="35">
        <f t="shared" si="1"/>
        <v>71588.876169803756</v>
      </c>
      <c r="IK6" s="35">
        <f t="shared" si="1"/>
        <v>71588.876169803756</v>
      </c>
      <c r="IL6" s="35"/>
      <c r="IM6" s="35"/>
      <c r="IN6" s="35"/>
      <c r="IO6" s="35"/>
      <c r="IP6" s="35"/>
      <c r="IQ6" s="35"/>
      <c r="IR6" s="35"/>
      <c r="IS6" s="35"/>
      <c r="IT6" s="35"/>
    </row>
    <row r="7" spans="1:254" ht="14.25" customHeight="1" x14ac:dyDescent="0.2">
      <c r="A7" s="11"/>
      <c r="B7" s="292" t="s">
        <v>395</v>
      </c>
      <c r="C7" s="35">
        <f>ROUND(C3 - C5, 2)</f>
        <v>9687379</v>
      </c>
      <c r="E7" s="302"/>
      <c r="F7" s="35">
        <f t="shared" ref="F7:IK7" si="2">IF((F3-F5)&lt;0,VALUE(0),F3-F5)</f>
        <v>9676336.2425801959</v>
      </c>
      <c r="G7" s="35">
        <f t="shared" si="2"/>
        <v>9665224.467926519</v>
      </c>
      <c r="H7" s="35">
        <f t="shared" si="2"/>
        <v>9654043.2446812559</v>
      </c>
      <c r="I7" s="35">
        <f t="shared" si="2"/>
        <v>9642792.1387907099</v>
      </c>
      <c r="J7" s="35">
        <f t="shared" si="2"/>
        <v>9631470.7134883478</v>
      </c>
      <c r="K7" s="35">
        <f t="shared" si="2"/>
        <v>9620078.5292778462</v>
      </c>
      <c r="L7" s="35">
        <f t="shared" si="2"/>
        <v>9608615.1439160295</v>
      </c>
      <c r="M7" s="35">
        <f t="shared" si="2"/>
        <v>9597080.1123957001</v>
      </c>
      <c r="N7" s="35">
        <f t="shared" si="2"/>
        <v>9585472.9869283698</v>
      </c>
      <c r="O7" s="35">
        <f t="shared" si="2"/>
        <v>9573793.3169268686</v>
      </c>
      <c r="P7" s="35">
        <f t="shared" si="2"/>
        <v>9562040.6489878576</v>
      </c>
      <c r="Q7" s="35">
        <f t="shared" si="2"/>
        <v>9550214.5268742274</v>
      </c>
      <c r="R7" s="35">
        <f t="shared" si="2"/>
        <v>9538314.4914973881</v>
      </c>
      <c r="S7" s="35">
        <f t="shared" si="2"/>
        <v>9526340.0808994435</v>
      </c>
      <c r="T7" s="35">
        <f t="shared" si="2"/>
        <v>9514290.8302352615</v>
      </c>
      <c r="U7" s="35">
        <f t="shared" si="2"/>
        <v>9502166.2717544287</v>
      </c>
      <c r="V7" s="35">
        <f t="shared" si="2"/>
        <v>9489965.9347830899</v>
      </c>
      <c r="W7" s="35">
        <f t="shared" si="2"/>
        <v>9477689.3457056805</v>
      </c>
      <c r="X7" s="35">
        <f t="shared" si="2"/>
        <v>9465336.0279465374</v>
      </c>
      <c r="Y7" s="35">
        <f t="shared" si="2"/>
        <v>9452905.5019514002</v>
      </c>
      <c r="Z7" s="35">
        <f t="shared" si="2"/>
        <v>9440397.2851687931</v>
      </c>
      <c r="AA7" s="35">
        <f t="shared" si="2"/>
        <v>9427810.8920312934</v>
      </c>
      <c r="AB7" s="35">
        <f t="shared" si="2"/>
        <v>9415145.8339366857</v>
      </c>
      <c r="AC7" s="35">
        <f t="shared" si="2"/>
        <v>9402401.619228987</v>
      </c>
      <c r="AD7" s="35">
        <f t="shared" si="2"/>
        <v>9389577.7531793639</v>
      </c>
      <c r="AE7" s="35">
        <f t="shared" si="2"/>
        <v>9376673.7379669305</v>
      </c>
      <c r="AF7" s="35">
        <f t="shared" si="2"/>
        <v>9363689.0726594198</v>
      </c>
      <c r="AG7" s="35">
        <f t="shared" si="2"/>
        <v>9350623.2531937379</v>
      </c>
      <c r="AH7" s="35">
        <f t="shared" si="2"/>
        <v>9337475.7723563947</v>
      </c>
      <c r="AI7" s="35">
        <f t="shared" si="2"/>
        <v>9324246.1197638176</v>
      </c>
      <c r="AJ7" s="35">
        <f t="shared" si="2"/>
        <v>9310933.7818425372</v>
      </c>
      <c r="AK7" s="35">
        <f t="shared" si="2"/>
        <v>9297538.2418092489</v>
      </c>
      <c r="AL7" s="35">
        <f t="shared" si="2"/>
        <v>9284058.9796507526</v>
      </c>
      <c r="AM7" s="35">
        <f t="shared" si="2"/>
        <v>9270495.4721037652</v>
      </c>
      <c r="AN7" s="35">
        <f t="shared" si="2"/>
        <v>9256847.1926346105</v>
      </c>
      <c r="AO7" s="35">
        <f t="shared" si="2"/>
        <v>9243113.6114187725</v>
      </c>
      <c r="AP7" s="35">
        <f t="shared" si="2"/>
        <v>9229294.1953203361</v>
      </c>
      <c r="AQ7" s="35">
        <f t="shared" si="2"/>
        <v>9215388.4078712836</v>
      </c>
      <c r="AR7" s="35">
        <f t="shared" si="2"/>
        <v>9201395.7092506755</v>
      </c>
      <c r="AS7" s="35">
        <f t="shared" si="2"/>
        <v>9187315.556263689</v>
      </c>
      <c r="AT7" s="35">
        <f t="shared" si="2"/>
        <v>9173147.402320534</v>
      </c>
      <c r="AU7" s="35">
        <f t="shared" si="2"/>
        <v>9158890.6974152327</v>
      </c>
      <c r="AV7" s="35">
        <f t="shared" si="2"/>
        <v>9144544.8881042749</v>
      </c>
      <c r="AW7" s="35">
        <f t="shared" si="2"/>
        <v>9130109.4174851235</v>
      </c>
      <c r="AX7" s="35">
        <f t="shared" si="2"/>
        <v>9115583.7251746021</v>
      </c>
      <c r="AY7" s="35">
        <f t="shared" si="2"/>
        <v>9100967.2472871393</v>
      </c>
      <c r="AZ7" s="35">
        <f t="shared" si="2"/>
        <v>9086259.4164128806</v>
      </c>
      <c r="BA7" s="35">
        <f t="shared" si="2"/>
        <v>9071459.6615956575</v>
      </c>
      <c r="BB7" s="35">
        <f t="shared" si="2"/>
        <v>9056567.4083108269</v>
      </c>
      <c r="BC7" s="35">
        <f t="shared" si="2"/>
        <v>9041582.0784429666</v>
      </c>
      <c r="BD7" s="35">
        <f t="shared" si="2"/>
        <v>9026503.0902634319</v>
      </c>
      <c r="BE7" s="35">
        <f t="shared" si="2"/>
        <v>9011329.8584077749</v>
      </c>
      <c r="BF7" s="35">
        <f t="shared" si="2"/>
        <v>8996061.7938530203</v>
      </c>
      <c r="BG7" s="35">
        <f t="shared" si="2"/>
        <v>8980698.3038947973</v>
      </c>
      <c r="BH7" s="35">
        <f t="shared" si="2"/>
        <v>8965238.7921243366</v>
      </c>
      <c r="BI7" s="35">
        <f t="shared" si="2"/>
        <v>8949682.6584053095</v>
      </c>
      <c r="BJ7" s="35">
        <f t="shared" si="2"/>
        <v>8934029.2988505382</v>
      </c>
      <c r="BK7" s="35">
        <f t="shared" si="2"/>
        <v>8918278.10579855</v>
      </c>
      <c r="BL7" s="35">
        <f t="shared" si="2"/>
        <v>8902428.4677899871</v>
      </c>
      <c r="BM7" s="35">
        <f t="shared" si="2"/>
        <v>8886479.7695438713</v>
      </c>
      <c r="BN7" s="35">
        <f t="shared" si="2"/>
        <v>8870431.3919337168</v>
      </c>
      <c r="BO7" s="35">
        <f t="shared" si="2"/>
        <v>8854282.711963499</v>
      </c>
      <c r="BP7" s="35">
        <f t="shared" si="2"/>
        <v>8838033.1027434673</v>
      </c>
      <c r="BQ7" s="35">
        <f t="shared" si="2"/>
        <v>8821681.9334658105</v>
      </c>
      <c r="BR7" s="35">
        <f t="shared" si="2"/>
        <v>8805228.5693801679</v>
      </c>
      <c r="BS7" s="35">
        <f t="shared" si="2"/>
        <v>8788672.3717689905</v>
      </c>
      <c r="BT7" s="35">
        <f t="shared" si="2"/>
        <v>8772012.6979227439</v>
      </c>
      <c r="BU7" s="35">
        <f t="shared" si="2"/>
        <v>8755248.9011149574</v>
      </c>
      <c r="BV7" s="35">
        <f t="shared" si="2"/>
        <v>8738380.330577122</v>
      </c>
      <c r="BW7" s="35">
        <f t="shared" si="2"/>
        <v>8721406.331473425</v>
      </c>
      <c r="BX7" s="35">
        <f t="shared" si="2"/>
        <v>8704326.2448753305</v>
      </c>
      <c r="BY7" s="35">
        <f t="shared" si="2"/>
        <v>8687139.4077359978</v>
      </c>
      <c r="BZ7" s="35">
        <f t="shared" si="2"/>
        <v>8669845.1528645437</v>
      </c>
      <c r="CA7" s="35">
        <f t="shared" si="2"/>
        <v>8652442.808900144</v>
      </c>
      <c r="CB7" s="35">
        <f t="shared" si="2"/>
        <v>8634931.7002859656</v>
      </c>
      <c r="CC7" s="35">
        <f t="shared" si="2"/>
        <v>8617311.1472429484</v>
      </c>
      <c r="CD7" s="35">
        <f t="shared" si="2"/>
        <v>8599580.4657434132</v>
      </c>
      <c r="CE7" s="35">
        <f t="shared" si="2"/>
        <v>8581738.9674845058</v>
      </c>
      <c r="CF7" s="35">
        <f t="shared" si="2"/>
        <v>8563785.9598614797</v>
      </c>
      <c r="CG7" s="35">
        <f t="shared" si="2"/>
        <v>8545720.7459408101</v>
      </c>
      <c r="CH7" s="35">
        <f t="shared" si="2"/>
        <v>8527542.6244331356</v>
      </c>
      <c r="CI7" s="35">
        <f t="shared" si="2"/>
        <v>8509250.8896660395</v>
      </c>
      <c r="CJ7" s="35">
        <f t="shared" si="2"/>
        <v>8490844.831556648</v>
      </c>
      <c r="CK7" s="35">
        <f t="shared" si="2"/>
        <v>8472323.7355840728</v>
      </c>
      <c r="CL7" s="35">
        <f t="shared" si="2"/>
        <v>8453686.8827616703</v>
      </c>
      <c r="CM7" s="35">
        <f t="shared" si="2"/>
        <v>8434933.5496091265</v>
      </c>
      <c r="CN7" s="35">
        <f t="shared" si="2"/>
        <v>8416063.0081243794</v>
      </c>
      <c r="CO7" s="35">
        <f t="shared" si="2"/>
        <v>8397074.5257553533</v>
      </c>
      <c r="CP7" s="35">
        <f t="shared" si="2"/>
        <v>8377967.3653715206</v>
      </c>
      <c r="CQ7" s="35">
        <f t="shared" si="2"/>
        <v>8358740.7852352886</v>
      </c>
      <c r="CR7" s="35">
        <f t="shared" si="2"/>
        <v>8339394.0389732057</v>
      </c>
      <c r="CS7" s="35">
        <f t="shared" si="2"/>
        <v>8319926.3755469844</v>
      </c>
      <c r="CT7" s="35">
        <f t="shared" si="2"/>
        <v>8300337.039224349</v>
      </c>
      <c r="CU7" s="35">
        <f t="shared" si="2"/>
        <v>8280625.2695496976</v>
      </c>
      <c r="CV7" s="35">
        <f t="shared" si="2"/>
        <v>8260790.3013145793</v>
      </c>
      <c r="CW7" s="35">
        <f t="shared" si="2"/>
        <v>8240831.364527992</v>
      </c>
      <c r="CX7" s="35">
        <f t="shared" si="2"/>
        <v>8220747.6843864881</v>
      </c>
      <c r="CY7" s="35">
        <f t="shared" si="2"/>
        <v>8200538.4812441003</v>
      </c>
      <c r="CZ7" s="35">
        <f t="shared" si="2"/>
        <v>8180202.9705820717</v>
      </c>
      <c r="DA7" s="35">
        <f t="shared" si="2"/>
        <v>8159740.3629784063</v>
      </c>
      <c r="DB7" s="35">
        <f t="shared" si="2"/>
        <v>8139149.8640772179</v>
      </c>
      <c r="DC7" s="35">
        <f t="shared" si="2"/>
        <v>8118430.6745578963</v>
      </c>
      <c r="DD7" s="35">
        <f t="shared" si="2"/>
        <v>8097581.9901040792</v>
      </c>
      <c r="DE7" s="35">
        <f t="shared" si="2"/>
        <v>8076603.0013724258</v>
      </c>
      <c r="DF7" s="35">
        <f t="shared" si="2"/>
        <v>8055492.8939611996</v>
      </c>
      <c r="DG7" s="35">
        <f t="shared" si="2"/>
        <v>8034250.8483786536</v>
      </c>
      <c r="DH7" s="35">
        <f t="shared" si="2"/>
        <v>8012876.0400112169</v>
      </c>
      <c r="DI7" s="35">
        <f t="shared" si="2"/>
        <v>7991367.6390914833</v>
      </c>
      <c r="DJ7" s="35">
        <f t="shared" si="2"/>
        <v>7969724.8106660014</v>
      </c>
      <c r="DK7" s="35">
        <f t="shared" si="2"/>
        <v>7947946.7145628603</v>
      </c>
      <c r="DL7" s="35">
        <f t="shared" si="2"/>
        <v>7926032.5053590741</v>
      </c>
      <c r="DM7" s="35">
        <f t="shared" si="2"/>
        <v>7903981.3323477646</v>
      </c>
      <c r="DN7" s="35">
        <f t="shared" si="2"/>
        <v>7881792.3395051342</v>
      </c>
      <c r="DO7" s="35">
        <f t="shared" si="2"/>
        <v>7859464.6654572375</v>
      </c>
      <c r="DP7" s="35">
        <f t="shared" si="2"/>
        <v>7836997.4434465412</v>
      </c>
      <c r="DQ7" s="35">
        <f t="shared" si="2"/>
        <v>7814389.8012982784</v>
      </c>
      <c r="DR7" s="35">
        <f t="shared" si="2"/>
        <v>7791640.8613865888</v>
      </c>
      <c r="DS7" s="35">
        <f t="shared" si="2"/>
        <v>7768749.7406004509</v>
      </c>
      <c r="DT7" s="35">
        <f t="shared" si="2"/>
        <v>7745715.5503094001</v>
      </c>
      <c r="DU7" s="35">
        <f t="shared" si="2"/>
        <v>7722537.3963290304</v>
      </c>
      <c r="DV7" s="35">
        <f t="shared" si="2"/>
        <v>7699214.3788862834</v>
      </c>
      <c r="DW7" s="35">
        <f t="shared" si="2"/>
        <v>7675745.5925845187</v>
      </c>
      <c r="DX7" s="35">
        <f t="shared" si="2"/>
        <v>7652130.126368368</v>
      </c>
      <c r="DY7" s="35">
        <f t="shared" si="2"/>
        <v>7628367.063488367</v>
      </c>
      <c r="DZ7" s="35">
        <f t="shared" si="2"/>
        <v>7604455.4814653657</v>
      </c>
      <c r="EA7" s="35">
        <f t="shared" si="2"/>
        <v>7580394.4520547204</v>
      </c>
      <c r="EB7" s="35">
        <f t="shared" si="2"/>
        <v>7556183.0412102584</v>
      </c>
      <c r="EC7" s="35">
        <f t="shared" si="2"/>
        <v>7531820.3090480184</v>
      </c>
      <c r="ED7" s="35">
        <f t="shared" si="2"/>
        <v>7507305.3098097648</v>
      </c>
      <c r="EE7" s="35">
        <f t="shared" si="2"/>
        <v>7482637.0918262722</v>
      </c>
      <c r="EF7" s="35">
        <f t="shared" si="2"/>
        <v>7457814.6974803824</v>
      </c>
      <c r="EG7" s="35">
        <f t="shared" si="2"/>
        <v>7432837.163169831</v>
      </c>
      <c r="EH7" s="35">
        <f t="shared" si="2"/>
        <v>7407703.5192698389</v>
      </c>
      <c r="EI7" s="35">
        <f t="shared" si="2"/>
        <v>7382412.7900954718</v>
      </c>
      <c r="EJ7" s="35">
        <f t="shared" si="2"/>
        <v>7356963.9938637652</v>
      </c>
      <c r="EK7" s="35">
        <f t="shared" si="2"/>
        <v>7331356.1426556101</v>
      </c>
      <c r="EL7" s="35">
        <f t="shared" si="2"/>
        <v>7305588.2423774041</v>
      </c>
      <c r="EM7" s="35">
        <f t="shared" si="2"/>
        <v>7279659.292722459</v>
      </c>
      <c r="EN7" s="35">
        <f t="shared" si="2"/>
        <v>7253568.287132171</v>
      </c>
      <c r="EO7" s="35">
        <f t="shared" si="2"/>
        <v>7227314.212756943</v>
      </c>
      <c r="EP7" s="35">
        <f t="shared" si="2"/>
        <v>7200896.05041687</v>
      </c>
      <c r="EQ7" s="35">
        <f t="shared" si="2"/>
        <v>7174312.7745621717</v>
      </c>
      <c r="ER7" s="35">
        <f t="shared" si="2"/>
        <v>7147563.3532333812</v>
      </c>
      <c r="ES7" s="35">
        <f t="shared" si="2"/>
        <v>7120646.748021286</v>
      </c>
      <c r="ET7" s="35">
        <f t="shared" si="2"/>
        <v>7093561.9140266152</v>
      </c>
      <c r="EU7" s="35">
        <f t="shared" si="2"/>
        <v>7066307.7998194778</v>
      </c>
      <c r="EV7" s="35">
        <f t="shared" si="2"/>
        <v>7038883.3473985456</v>
      </c>
      <c r="EW7" s="35">
        <f t="shared" si="2"/>
        <v>7011287.4921499826</v>
      </c>
      <c r="EX7" s="35">
        <f t="shared" si="2"/>
        <v>6983519.162806116</v>
      </c>
      <c r="EY7" s="35">
        <f t="shared" si="2"/>
        <v>6955577.2814038508</v>
      </c>
      <c r="EZ7" s="35">
        <f t="shared" si="2"/>
        <v>6927460.7632428212</v>
      </c>
      <c r="FA7" s="35">
        <f t="shared" si="2"/>
        <v>6899168.5168432854</v>
      </c>
      <c r="FB7" s="35">
        <f t="shared" si="2"/>
        <v>6870699.4439037526</v>
      </c>
      <c r="FC7" s="35">
        <f t="shared" si="2"/>
        <v>6842052.4392583473</v>
      </c>
      <c r="FD7" s="35">
        <f t="shared" si="2"/>
        <v>6813226.3908339078</v>
      </c>
      <c r="FE7" s="35">
        <f t="shared" si="2"/>
        <v>6784220.1796068158</v>
      </c>
      <c r="FF7" s="35">
        <f t="shared" si="2"/>
        <v>6755032.6795595549</v>
      </c>
      <c r="FG7" s="35">
        <f t="shared" si="2"/>
        <v>6725662.7576369988</v>
      </c>
      <c r="FH7" s="35">
        <f t="shared" si="2"/>
        <v>6696109.2737024259</v>
      </c>
      <c r="FI7" s="35">
        <f t="shared" si="2"/>
        <v>6666371.080493262</v>
      </c>
      <c r="FJ7" s="35">
        <f t="shared" si="2"/>
        <v>6636447.0235765409</v>
      </c>
      <c r="FK7" s="35">
        <f t="shared" si="2"/>
        <v>6606335.9413040904</v>
      </c>
      <c r="FL7" s="35">
        <f t="shared" si="2"/>
        <v>6576036.6647674376</v>
      </c>
      <c r="FM7" s="35">
        <f t="shared" si="2"/>
        <v>6545548.0177524304</v>
      </c>
      <c r="FN7" s="35">
        <f t="shared" si="2"/>
        <v>6514868.8166935798</v>
      </c>
      <c r="FO7" s="35">
        <f t="shared" si="2"/>
        <v>6483997.8706281111</v>
      </c>
      <c r="FP7" s="35">
        <f t="shared" si="2"/>
        <v>6452933.9811497331</v>
      </c>
      <c r="FQ7" s="35">
        <f t="shared" si="2"/>
        <v>6421675.9423621148</v>
      </c>
      <c r="FR7" s="35">
        <f t="shared" si="2"/>
        <v>6390222.5408320744</v>
      </c>
      <c r="FS7" s="35">
        <f t="shared" si="2"/>
        <v>6358572.5555424709</v>
      </c>
      <c r="FT7" s="35">
        <f t="shared" si="2"/>
        <v>6326724.7578448076</v>
      </c>
      <c r="FU7" s="35">
        <f t="shared" si="2"/>
        <v>6294677.9114115341</v>
      </c>
      <c r="FV7" s="35">
        <f t="shared" si="2"/>
        <v>6262430.7721880525</v>
      </c>
      <c r="FW7" s="35">
        <f t="shared" si="2"/>
        <v>6229982.088344424</v>
      </c>
      <c r="FX7" s="35">
        <f t="shared" si="2"/>
        <v>6197330.6002267729</v>
      </c>
      <c r="FY7" s="35">
        <f t="shared" si="2"/>
        <v>6164475.0403083861</v>
      </c>
      <c r="FZ7" s="35">
        <f t="shared" si="2"/>
        <v>6131414.1331405099</v>
      </c>
      <c r="GA7" s="35">
        <f t="shared" si="2"/>
        <v>6098146.5953028342</v>
      </c>
      <c r="GB7" s="35">
        <f t="shared" si="2"/>
        <v>6064671.1353536732</v>
      </c>
      <c r="GC7" s="35">
        <f t="shared" si="2"/>
        <v>6030986.4537798297</v>
      </c>
      <c r="GD7" s="35">
        <f t="shared" si="2"/>
        <v>5997091.2429461498</v>
      </c>
      <c r="GE7" s="35">
        <f t="shared" si="2"/>
        <v>5962984.1870447593</v>
      </c>
      <c r="GF7" s="35">
        <f t="shared" si="2"/>
        <v>5928663.9620439857</v>
      </c>
      <c r="GG7" s="35">
        <f t="shared" si="2"/>
        <v>5894129.235636957</v>
      </c>
      <c r="GH7" s="35">
        <f t="shared" si="2"/>
        <v>5859378.667189884</v>
      </c>
      <c r="GI7" s="35">
        <f t="shared" si="2"/>
        <v>5824410.9076900166</v>
      </c>
      <c r="GJ7" s="35">
        <f t="shared" si="2"/>
        <v>5789224.5996932751</v>
      </c>
      <c r="GK7" s="35">
        <f t="shared" si="2"/>
        <v>5753818.3772715544</v>
      </c>
      <c r="GL7" s="35">
        <f t="shared" si="2"/>
        <v>5718190.8659596983</v>
      </c>
      <c r="GM7" s="35">
        <f t="shared" si="2"/>
        <v>5682340.6827021427</v>
      </c>
      <c r="GN7" s="35">
        <f t="shared" si="2"/>
        <v>5646266.4357992271</v>
      </c>
      <c r="GO7" s="35">
        <f t="shared" si="2"/>
        <v>5609966.7248531682</v>
      </c>
      <c r="GP7" s="35">
        <f t="shared" si="2"/>
        <v>5573440.1407136964</v>
      </c>
      <c r="GQ7" s="35">
        <f t="shared" si="2"/>
        <v>5536685.2654233528</v>
      </c>
      <c r="GR7" s="35">
        <f t="shared" si="2"/>
        <v>5499700.6721624453</v>
      </c>
      <c r="GS7" s="35">
        <f t="shared" si="2"/>
        <v>5462484.9251936572</v>
      </c>
      <c r="GT7" s="35">
        <f t="shared" si="2"/>
        <v>5425036.5798063138</v>
      </c>
      <c r="GU7" s="35">
        <f t="shared" si="2"/>
        <v>5387354.1822602991</v>
      </c>
      <c r="GV7" s="35">
        <f t="shared" si="2"/>
        <v>5349436.2697296226</v>
      </c>
      <c r="GW7" s="35">
        <f t="shared" si="2"/>
        <v>5311281.370245629</v>
      </c>
      <c r="GX7" s="35">
        <f t="shared" si="2"/>
        <v>5272888.0026398608</v>
      </c>
      <c r="GY7" s="35">
        <f t="shared" si="2"/>
        <v>5234254.6764865564</v>
      </c>
      <c r="GZ7" s="35">
        <f t="shared" si="2"/>
        <v>5195379.8920447938</v>
      </c>
      <c r="HA7" s="35">
        <f t="shared" si="2"/>
        <v>5156262.1402002703</v>
      </c>
      <c r="HB7" s="35">
        <f t="shared" si="2"/>
        <v>5116899.9024067186</v>
      </c>
      <c r="HC7" s="35">
        <f t="shared" si="2"/>
        <v>5077291.6506269565</v>
      </c>
      <c r="HD7" s="35">
        <f t="shared" si="2"/>
        <v>5037435.8472735714</v>
      </c>
      <c r="HE7" s="35">
        <f t="shared" si="2"/>
        <v>4997330.945149227</v>
      </c>
      <c r="HF7" s="35">
        <f t="shared" si="2"/>
        <v>4956975.3873866061</v>
      </c>
      <c r="HG7" s="35">
        <f t="shared" si="2"/>
        <v>4916367.6073879683</v>
      </c>
      <c r="HH7" s="35">
        <f t="shared" si="2"/>
        <v>4875506.0287643392</v>
      </c>
      <c r="HI7" s="35">
        <f t="shared" si="2"/>
        <v>4834389.0652743122</v>
      </c>
      <c r="HJ7" s="35">
        <f t="shared" si="2"/>
        <v>4793015.120762473</v>
      </c>
      <c r="HK7" s="35">
        <f t="shared" si="2"/>
        <v>4751382.5890974347</v>
      </c>
      <c r="HL7" s="35">
        <f t="shared" si="2"/>
        <v>4709489.8541094903</v>
      </c>
      <c r="HM7" s="35">
        <f t="shared" si="2"/>
        <v>4667335.2895278707</v>
      </c>
      <c r="HN7" s="35">
        <f t="shared" si="2"/>
        <v>4624917.2589176157</v>
      </c>
      <c r="HO7" s="35">
        <f t="shared" si="2"/>
        <v>4582234.1156160468</v>
      </c>
      <c r="HP7" s="35">
        <f t="shared" si="2"/>
        <v>4539284.2026688438</v>
      </c>
      <c r="HQ7" s="35">
        <f t="shared" si="2"/>
        <v>4496065.8527657203</v>
      </c>
      <c r="HR7" s="35">
        <f t="shared" si="2"/>
        <v>4452577.3881757027</v>
      </c>
      <c r="HS7" s="35">
        <f t="shared" si="2"/>
        <v>4408817.1206819974</v>
      </c>
      <c r="HT7" s="35">
        <f t="shared" si="2"/>
        <v>4364783.3515164563</v>
      </c>
      <c r="HU7" s="35">
        <f t="shared" si="2"/>
        <v>4320474.3712936305</v>
      </c>
      <c r="HV7" s="35">
        <f t="shared" si="2"/>
        <v>4275888.4599444121</v>
      </c>
      <c r="HW7" s="35">
        <f t="shared" si="2"/>
        <v>4231023.8866492612</v>
      </c>
      <c r="HX7" s="35">
        <f t="shared" si="2"/>
        <v>4185878.9097710154</v>
      </c>
      <c r="HY7" s="35">
        <f t="shared" si="2"/>
        <v>4140451.7767872806</v>
      </c>
      <c r="HZ7" s="35">
        <f t="shared" si="2"/>
        <v>4094740.7242223974</v>
      </c>
      <c r="IA7" s="35">
        <f t="shared" si="2"/>
        <v>4048743.9775789836</v>
      </c>
      <c r="IB7" s="35">
        <f t="shared" si="2"/>
        <v>4002459.7512690485</v>
      </c>
      <c r="IC7" s="35">
        <f t="shared" si="2"/>
        <v>3955886.2485446762</v>
      </c>
      <c r="ID7" s="35">
        <f t="shared" si="2"/>
        <v>3909021.6614282769</v>
      </c>
      <c r="IE7" s="35">
        <f t="shared" si="2"/>
        <v>3861864.1706423997</v>
      </c>
      <c r="IF7" s="35">
        <f t="shared" si="2"/>
        <v>3814411.9455391108</v>
      </c>
      <c r="IG7" s="35">
        <f t="shared" si="2"/>
        <v>3766663.1440289263</v>
      </c>
      <c r="IH7" s="35">
        <f t="shared" si="2"/>
        <v>3718615.9125093035</v>
      </c>
      <c r="II7" s="35">
        <f t="shared" si="2"/>
        <v>3670268.3857926829</v>
      </c>
      <c r="IJ7" s="35">
        <f t="shared" si="2"/>
        <v>3621618.6870340835</v>
      </c>
      <c r="IK7" s="35">
        <f t="shared" si="2"/>
        <v>3572664.9276582426</v>
      </c>
      <c r="IL7" s="35"/>
      <c r="IM7" s="35"/>
      <c r="IN7" s="35"/>
      <c r="IO7" s="35"/>
      <c r="IP7" s="35"/>
      <c r="IQ7" s="35"/>
      <c r="IR7" s="35"/>
      <c r="IS7" s="35"/>
      <c r="IT7" s="35"/>
    </row>
    <row r="8" spans="1:254" ht="14.25" customHeight="1" x14ac:dyDescent="0.2">
      <c r="A8" s="11"/>
      <c r="B8" s="303"/>
      <c r="D8" s="35"/>
      <c r="E8" s="302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</row>
    <row r="9" spans="1:254" ht="14.25" customHeight="1" x14ac:dyDescent="0.2">
      <c r="A9" s="11"/>
      <c r="B9" s="56"/>
      <c r="E9" s="1"/>
    </row>
    <row r="10" spans="1:254" ht="14.25" customHeight="1" x14ac:dyDescent="0.2">
      <c r="A10" s="11"/>
      <c r="B10" s="303" t="s">
        <v>397</v>
      </c>
      <c r="E10" s="1"/>
      <c r="F10" s="151">
        <v>1</v>
      </c>
      <c r="G10" s="151">
        <v>2</v>
      </c>
      <c r="H10" s="151">
        <v>3</v>
      </c>
      <c r="I10" s="304">
        <v>4</v>
      </c>
      <c r="J10" s="304">
        <v>5</v>
      </c>
      <c r="K10" s="304">
        <v>6</v>
      </c>
      <c r="L10" s="304">
        <v>7</v>
      </c>
      <c r="M10" s="304">
        <v>8</v>
      </c>
      <c r="N10" s="304">
        <v>9</v>
      </c>
      <c r="O10" s="304">
        <v>10</v>
      </c>
      <c r="P10" s="304">
        <v>11</v>
      </c>
      <c r="Q10" s="304">
        <v>12</v>
      </c>
      <c r="R10" s="304">
        <v>13</v>
      </c>
      <c r="S10" s="304">
        <v>14</v>
      </c>
      <c r="T10" s="304">
        <v>15</v>
      </c>
      <c r="U10" s="304">
        <v>16</v>
      </c>
      <c r="V10" s="304">
        <v>17</v>
      </c>
      <c r="W10" s="304">
        <v>18</v>
      </c>
      <c r="X10" s="304">
        <v>19</v>
      </c>
      <c r="Y10" s="304">
        <v>20</v>
      </c>
      <c r="Z10" s="304">
        <v>21</v>
      </c>
      <c r="AA10" s="304">
        <v>22</v>
      </c>
      <c r="AB10" s="304">
        <v>23</v>
      </c>
      <c r="AC10" s="304">
        <v>24</v>
      </c>
      <c r="AD10" s="304">
        <v>25</v>
      </c>
      <c r="AE10" s="304">
        <v>26</v>
      </c>
      <c r="AF10" s="304">
        <v>27</v>
      </c>
      <c r="AG10" s="304">
        <v>28</v>
      </c>
      <c r="AH10" s="304">
        <v>29</v>
      </c>
      <c r="AI10" s="304">
        <v>30</v>
      </c>
      <c r="AJ10" s="304">
        <v>31</v>
      </c>
      <c r="AK10" s="304">
        <v>32</v>
      </c>
      <c r="AL10" s="304">
        <v>33</v>
      </c>
      <c r="AM10" s="304">
        <v>34</v>
      </c>
      <c r="AN10" s="304">
        <v>35</v>
      </c>
      <c r="AO10" s="304">
        <v>36</v>
      </c>
      <c r="AP10" s="304">
        <v>37</v>
      </c>
      <c r="AQ10" s="304">
        <v>38</v>
      </c>
      <c r="AR10" s="304">
        <v>39</v>
      </c>
      <c r="AS10" s="304">
        <v>40</v>
      </c>
      <c r="AT10" s="304">
        <v>41</v>
      </c>
      <c r="AU10" s="304">
        <v>42</v>
      </c>
      <c r="AV10" s="304">
        <v>43</v>
      </c>
      <c r="AW10" s="304">
        <v>44</v>
      </c>
      <c r="AX10" s="304">
        <v>45</v>
      </c>
      <c r="AY10" s="304">
        <v>46</v>
      </c>
      <c r="AZ10" s="304">
        <v>47</v>
      </c>
      <c r="BA10" s="304">
        <v>48</v>
      </c>
      <c r="BB10" s="304">
        <v>49</v>
      </c>
      <c r="BC10" s="304">
        <v>50</v>
      </c>
      <c r="BD10" s="304">
        <v>51</v>
      </c>
      <c r="BE10" s="304">
        <v>52</v>
      </c>
      <c r="BF10" s="304">
        <v>53</v>
      </c>
      <c r="BG10" s="304">
        <v>54</v>
      </c>
      <c r="BH10" s="304">
        <v>55</v>
      </c>
      <c r="BI10" s="304">
        <v>56</v>
      </c>
      <c r="BJ10" s="304">
        <v>57</v>
      </c>
      <c r="BK10" s="304">
        <v>58</v>
      </c>
      <c r="BL10" s="304">
        <v>59</v>
      </c>
      <c r="BM10" s="304">
        <v>60</v>
      </c>
      <c r="BN10" s="304">
        <v>61</v>
      </c>
      <c r="BO10" s="304">
        <v>62</v>
      </c>
      <c r="BP10" s="304">
        <v>63</v>
      </c>
      <c r="BQ10" s="304">
        <v>64</v>
      </c>
      <c r="BR10" s="304">
        <v>65</v>
      </c>
      <c r="BS10" s="304">
        <v>66</v>
      </c>
      <c r="BT10" s="304">
        <v>67</v>
      </c>
      <c r="BU10" s="304">
        <v>68</v>
      </c>
      <c r="BV10" s="304">
        <v>69</v>
      </c>
      <c r="BW10" s="304">
        <v>70</v>
      </c>
      <c r="BX10" s="304">
        <v>71</v>
      </c>
      <c r="BY10" s="304">
        <v>72</v>
      </c>
      <c r="BZ10" s="304">
        <v>73</v>
      </c>
      <c r="CA10" s="304">
        <v>74</v>
      </c>
      <c r="CB10" s="304">
        <v>75</v>
      </c>
      <c r="CC10" s="304">
        <v>76</v>
      </c>
      <c r="CD10" s="304">
        <v>77</v>
      </c>
      <c r="CE10" s="304">
        <v>78</v>
      </c>
      <c r="CF10" s="304">
        <v>79</v>
      </c>
      <c r="CG10" s="304">
        <v>80</v>
      </c>
      <c r="CH10" s="304">
        <v>81</v>
      </c>
      <c r="CI10" s="304">
        <v>82</v>
      </c>
      <c r="CJ10" s="304">
        <v>83</v>
      </c>
      <c r="CK10" s="304">
        <v>84</v>
      </c>
      <c r="CL10" s="304">
        <v>85</v>
      </c>
      <c r="CM10" s="304">
        <v>86</v>
      </c>
      <c r="CN10" s="304">
        <v>87</v>
      </c>
      <c r="CO10" s="304">
        <v>88</v>
      </c>
      <c r="CP10" s="304">
        <v>89</v>
      </c>
      <c r="CQ10" s="304">
        <v>90</v>
      </c>
      <c r="CR10" s="304">
        <v>91</v>
      </c>
      <c r="CS10" s="304">
        <v>92</v>
      </c>
      <c r="CT10" s="304">
        <v>93</v>
      </c>
      <c r="CU10" s="304">
        <v>94</v>
      </c>
      <c r="CV10" s="304">
        <v>95</v>
      </c>
      <c r="CW10" s="304">
        <v>96</v>
      </c>
      <c r="CX10" s="304">
        <v>97</v>
      </c>
      <c r="CY10" s="304">
        <v>98</v>
      </c>
      <c r="CZ10" s="304">
        <v>99</v>
      </c>
      <c r="DA10" s="304">
        <v>100</v>
      </c>
      <c r="DB10" s="304">
        <v>101</v>
      </c>
      <c r="DC10" s="304">
        <v>102</v>
      </c>
      <c r="DD10" s="304">
        <v>103</v>
      </c>
      <c r="DE10" s="304">
        <v>104</v>
      </c>
      <c r="DF10" s="304">
        <v>105</v>
      </c>
      <c r="DG10" s="304">
        <v>106</v>
      </c>
      <c r="DH10" s="304">
        <v>107</v>
      </c>
      <c r="DI10" s="304">
        <v>108</v>
      </c>
      <c r="DJ10" s="304">
        <v>109</v>
      </c>
      <c r="DK10" s="304">
        <v>110</v>
      </c>
      <c r="DL10" s="304">
        <v>111</v>
      </c>
      <c r="DM10" s="304">
        <v>112</v>
      </c>
      <c r="DN10" s="304">
        <v>113</v>
      </c>
      <c r="DO10" s="304">
        <v>114</v>
      </c>
      <c r="DP10" s="304">
        <v>115</v>
      </c>
      <c r="DQ10" s="304">
        <v>116</v>
      </c>
      <c r="DR10" s="304">
        <v>117</v>
      </c>
      <c r="DS10" s="304">
        <v>118</v>
      </c>
      <c r="DT10" s="304">
        <v>119</v>
      </c>
      <c r="DU10" s="304">
        <v>120</v>
      </c>
      <c r="DV10" s="304">
        <v>121</v>
      </c>
      <c r="DW10" s="304">
        <v>122</v>
      </c>
      <c r="DX10" s="304">
        <v>123</v>
      </c>
      <c r="DY10" s="304">
        <v>124</v>
      </c>
      <c r="DZ10" s="304">
        <v>125</v>
      </c>
      <c r="EA10" s="304">
        <v>126</v>
      </c>
      <c r="EB10" s="304">
        <v>127</v>
      </c>
      <c r="EC10" s="304">
        <v>128</v>
      </c>
      <c r="ED10" s="304">
        <v>129</v>
      </c>
      <c r="EE10" s="304">
        <v>130</v>
      </c>
      <c r="EF10" s="304">
        <v>131</v>
      </c>
      <c r="EG10" s="304">
        <v>132</v>
      </c>
      <c r="EH10" s="304">
        <v>133</v>
      </c>
      <c r="EI10" s="304">
        <v>134</v>
      </c>
      <c r="EJ10" s="304">
        <v>135</v>
      </c>
      <c r="EK10" s="304">
        <v>136</v>
      </c>
      <c r="EL10" s="304">
        <v>137</v>
      </c>
      <c r="EM10" s="304">
        <v>138</v>
      </c>
      <c r="EN10" s="304">
        <v>139</v>
      </c>
      <c r="EO10" s="304">
        <v>140</v>
      </c>
      <c r="EP10" s="304">
        <v>141</v>
      </c>
      <c r="EQ10" s="304">
        <v>142</v>
      </c>
      <c r="ER10" s="304">
        <v>143</v>
      </c>
      <c r="ES10" s="304">
        <v>144</v>
      </c>
      <c r="ET10" s="304">
        <v>145</v>
      </c>
      <c r="EU10" s="304">
        <v>146</v>
      </c>
      <c r="EV10" s="304">
        <v>147</v>
      </c>
      <c r="EW10" s="304">
        <v>148</v>
      </c>
      <c r="EX10" s="304">
        <v>149</v>
      </c>
      <c r="EY10" s="304">
        <v>150</v>
      </c>
      <c r="EZ10" s="304">
        <v>151</v>
      </c>
      <c r="FA10" s="304">
        <v>152</v>
      </c>
      <c r="FB10" s="304">
        <v>153</v>
      </c>
      <c r="FC10" s="304">
        <v>154</v>
      </c>
      <c r="FD10" s="304">
        <v>155</v>
      </c>
      <c r="FE10" s="304">
        <v>156</v>
      </c>
      <c r="FF10" s="304">
        <v>157</v>
      </c>
      <c r="FG10" s="304">
        <v>158</v>
      </c>
      <c r="FH10" s="304">
        <v>159</v>
      </c>
      <c r="FI10" s="304">
        <v>160</v>
      </c>
      <c r="FJ10" s="304">
        <v>161</v>
      </c>
      <c r="FK10" s="304">
        <v>162</v>
      </c>
      <c r="FL10" s="304">
        <v>163</v>
      </c>
      <c r="FM10" s="304">
        <v>164</v>
      </c>
      <c r="FN10" s="304">
        <v>165</v>
      </c>
      <c r="FO10" s="304">
        <v>166</v>
      </c>
      <c r="FP10" s="304">
        <v>167</v>
      </c>
      <c r="FQ10" s="304">
        <v>168</v>
      </c>
      <c r="FR10" s="304">
        <v>169</v>
      </c>
      <c r="FS10" s="304">
        <v>170</v>
      </c>
      <c r="FT10" s="304">
        <v>171</v>
      </c>
      <c r="FU10" s="304">
        <v>172</v>
      </c>
      <c r="FV10" s="304">
        <v>173</v>
      </c>
      <c r="FW10" s="304">
        <v>174</v>
      </c>
      <c r="FX10" s="304">
        <v>175</v>
      </c>
      <c r="FY10" s="304">
        <v>176</v>
      </c>
      <c r="FZ10" s="304">
        <v>177</v>
      </c>
      <c r="GA10" s="304">
        <v>178</v>
      </c>
      <c r="GB10" s="304">
        <v>179</v>
      </c>
      <c r="GC10" s="304">
        <v>180</v>
      </c>
      <c r="GD10" s="304">
        <v>181</v>
      </c>
      <c r="GE10" s="304">
        <v>182</v>
      </c>
      <c r="GF10" s="304">
        <v>183</v>
      </c>
      <c r="GG10" s="304">
        <v>184</v>
      </c>
      <c r="GH10" s="304">
        <v>185</v>
      </c>
      <c r="GI10" s="304">
        <v>186</v>
      </c>
      <c r="GJ10" s="304">
        <v>187</v>
      </c>
      <c r="GK10" s="304">
        <v>188</v>
      </c>
      <c r="GL10" s="304">
        <v>189</v>
      </c>
      <c r="GM10" s="304">
        <v>190</v>
      </c>
      <c r="GN10" s="304">
        <v>191</v>
      </c>
      <c r="GO10" s="304">
        <v>192</v>
      </c>
      <c r="GP10" s="304">
        <v>193</v>
      </c>
      <c r="GQ10" s="304">
        <v>194</v>
      </c>
      <c r="GR10" s="304">
        <v>195</v>
      </c>
      <c r="GS10" s="304">
        <v>196</v>
      </c>
      <c r="GT10" s="304">
        <v>197</v>
      </c>
      <c r="GU10" s="304">
        <v>198</v>
      </c>
      <c r="GV10" s="304">
        <v>199</v>
      </c>
      <c r="GW10" s="304">
        <v>200</v>
      </c>
      <c r="GX10" s="304">
        <v>201</v>
      </c>
      <c r="GY10" s="304">
        <v>202</v>
      </c>
      <c r="GZ10" s="304">
        <v>203</v>
      </c>
      <c r="HA10" s="304">
        <v>204</v>
      </c>
      <c r="HB10" s="304">
        <v>205</v>
      </c>
      <c r="HC10" s="304">
        <v>206</v>
      </c>
      <c r="HD10" s="304">
        <v>207</v>
      </c>
      <c r="HE10" s="304">
        <v>208</v>
      </c>
      <c r="HF10" s="304">
        <v>209</v>
      </c>
      <c r="HG10" s="304">
        <v>210</v>
      </c>
      <c r="HH10" s="304">
        <v>211</v>
      </c>
      <c r="HI10" s="304">
        <v>212</v>
      </c>
      <c r="HJ10" s="304">
        <v>213</v>
      </c>
      <c r="HK10" s="304">
        <v>214</v>
      </c>
      <c r="HL10" s="304">
        <v>215</v>
      </c>
      <c r="HM10" s="304">
        <v>216</v>
      </c>
      <c r="HN10" s="304">
        <v>217</v>
      </c>
      <c r="HO10" s="304">
        <v>218</v>
      </c>
      <c r="HP10" s="304">
        <v>219</v>
      </c>
      <c r="HQ10" s="304">
        <v>220</v>
      </c>
      <c r="HR10" s="304">
        <v>221</v>
      </c>
      <c r="HS10" s="304">
        <v>222</v>
      </c>
      <c r="HT10" s="304">
        <v>223</v>
      </c>
      <c r="HU10" s="304">
        <v>224</v>
      </c>
      <c r="HV10" s="304">
        <v>225</v>
      </c>
      <c r="HW10" s="304">
        <v>226</v>
      </c>
      <c r="HX10" s="304">
        <v>227</v>
      </c>
      <c r="HY10" s="304">
        <v>228</v>
      </c>
      <c r="HZ10" s="304">
        <v>229</v>
      </c>
      <c r="IA10" s="304">
        <v>230</v>
      </c>
      <c r="IB10" s="304">
        <v>231</v>
      </c>
      <c r="IC10" s="304">
        <v>232</v>
      </c>
      <c r="ID10" s="304">
        <v>233</v>
      </c>
      <c r="IE10" s="304">
        <v>234</v>
      </c>
      <c r="IF10" s="304">
        <v>235</v>
      </c>
      <c r="IG10" s="304">
        <v>236</v>
      </c>
      <c r="IH10" s="304">
        <v>237</v>
      </c>
      <c r="II10" s="304">
        <v>238</v>
      </c>
      <c r="IJ10" s="304">
        <v>239</v>
      </c>
      <c r="IK10" s="304">
        <v>240</v>
      </c>
      <c r="IL10" s="304"/>
      <c r="IM10" s="304"/>
      <c r="IN10" s="304"/>
      <c r="IO10" s="304"/>
      <c r="IP10" s="304"/>
      <c r="IQ10" s="304"/>
      <c r="IR10" s="304"/>
      <c r="IS10" s="304"/>
      <c r="IT10" s="304"/>
    </row>
    <row r="12" spans="1:254" x14ac:dyDescent="0.2">
      <c r="B12" s="851" t="s">
        <v>192</v>
      </c>
      <c r="C12" s="848"/>
    </row>
    <row r="13" spans="1:254" x14ac:dyDescent="0.2">
      <c r="B13" s="131"/>
      <c r="C13" s="132"/>
    </row>
    <row r="14" spans="1:254" x14ac:dyDescent="0.2">
      <c r="B14" s="37" t="str">
        <f>Inputs!B45</f>
        <v>Purchase Price</v>
      </c>
      <c r="C14" s="646">
        <f>Inputs!C45</f>
        <v>14903660</v>
      </c>
    </row>
    <row r="15" spans="1:254" x14ac:dyDescent="0.2">
      <c r="B15" s="37" t="str">
        <f>Inputs!B46</f>
        <v>Loan Amount</v>
      </c>
      <c r="C15" s="646">
        <f>Inputs!C46</f>
        <v>9687379</v>
      </c>
    </row>
    <row r="16" spans="1:254" x14ac:dyDescent="0.2">
      <c r="B16" s="37" t="str">
        <f>Inputs!B47</f>
        <v>Interest Rate</v>
      </c>
      <c r="C16" s="647">
        <f>Inputs!C47</f>
        <v>7.4999999999999997E-2</v>
      </c>
    </row>
    <row r="17" spans="2:3" x14ac:dyDescent="0.2">
      <c r="B17" s="37" t="str">
        <f>Inputs!B48</f>
        <v>Loan Term (Years)</v>
      </c>
      <c r="C17" s="648">
        <f>Inputs!C48</f>
        <v>25</v>
      </c>
    </row>
    <row r="18" spans="2:3" x14ac:dyDescent="0.2">
      <c r="B18" s="37" t="str">
        <f>Inputs!B49</f>
        <v>Interest Only Period (Months)</v>
      </c>
      <c r="C18" s="648">
        <f>Inputs!C49</f>
        <v>0</v>
      </c>
    </row>
    <row r="19" spans="2:3" x14ac:dyDescent="0.2">
      <c r="B19" s="37" t="str">
        <f>Inputs!B50</f>
        <v>Closing Costs</v>
      </c>
      <c r="C19" s="646">
        <f>Inputs!C50</f>
        <v>50000</v>
      </c>
    </row>
    <row r="20" spans="2:3" x14ac:dyDescent="0.2">
      <c r="B20" s="37" t="str">
        <f>Inputs!B51</f>
        <v>CapEx Budget</v>
      </c>
      <c r="C20" s="646">
        <f>Inputs!C51</f>
        <v>0</v>
      </c>
    </row>
    <row r="21" spans="2:3" ht="15.75" customHeight="1" x14ac:dyDescent="0.2">
      <c r="B21" s="37" t="str">
        <f>Inputs!B52</f>
        <v>Origination Fees</v>
      </c>
      <c r="C21" s="646">
        <f>Inputs!C52</f>
        <v>193747.58000000002</v>
      </c>
    </row>
    <row r="22" spans="2:3" ht="15.75" customHeight="1" x14ac:dyDescent="0.2">
      <c r="B22" s="131"/>
      <c r="C22" s="99"/>
    </row>
    <row r="23" spans="2:3" ht="15.75" customHeight="1" x14ac:dyDescent="0.2">
      <c r="B23" s="37" t="str">
        <f>Inputs!B54</f>
        <v>LTV Ratio</v>
      </c>
      <c r="C23" s="24">
        <f>Inputs!C54</f>
        <v>0.65</v>
      </c>
    </row>
    <row r="24" spans="2:3" ht="15.75" customHeight="1" x14ac:dyDescent="0.2">
      <c r="B24" s="37" t="str">
        <f>Inputs!B55</f>
        <v>Equity Contribution</v>
      </c>
      <c r="C24" s="77">
        <f>Inputs!C55</f>
        <v>5460028.5800000001</v>
      </c>
    </row>
    <row r="25" spans="2:3" ht="15.75" customHeight="1" x14ac:dyDescent="0.2">
      <c r="B25" s="37" t="str">
        <f>Inputs!B56</f>
        <v>Year 1 Cap Rate (6.5% Market Avg)</v>
      </c>
      <c r="C25" s="24">
        <f>Inputs!C56</f>
        <v>2.1455036583738251E-3</v>
      </c>
    </row>
    <row r="26" spans="2:3" ht="15.75" customHeight="1" x14ac:dyDescent="0.2">
      <c r="B26" s="16" t="str">
        <f>Inputs!B57</f>
        <v>Year 4 Cap Rate</v>
      </c>
      <c r="C26" s="26">
        <f>Inputs!C57</f>
        <v>0.1077052359386184</v>
      </c>
    </row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2:C1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showGridLines="0" topLeftCell="B1" workbookViewId="0"/>
  </sheetViews>
  <sheetFormatPr baseColWidth="10" defaultColWidth="14.5" defaultRowHeight="15" customHeight="1" x14ac:dyDescent="0.2"/>
  <cols>
    <col min="1" max="1" width="15.33203125" hidden="1" customWidth="1"/>
    <col min="2" max="2" width="5.5" customWidth="1"/>
    <col min="3" max="3" width="23.5" customWidth="1"/>
    <col min="4" max="26" width="10.6640625" customWidth="1"/>
  </cols>
  <sheetData>
    <row r="1" spans="3:20" ht="21" customHeight="1" x14ac:dyDescent="0.2"/>
    <row r="2" spans="3:20" x14ac:dyDescent="0.2">
      <c r="C2" s="649" t="s">
        <v>486</v>
      </c>
      <c r="D2" s="650" t="s">
        <v>487</v>
      </c>
      <c r="E2" s="650" t="s">
        <v>488</v>
      </c>
      <c r="F2" s="874" t="s">
        <v>489</v>
      </c>
      <c r="G2" s="875"/>
      <c r="H2" s="875"/>
      <c r="I2" s="875"/>
      <c r="J2" s="875"/>
      <c r="K2" s="876"/>
      <c r="L2" s="877" t="s">
        <v>490</v>
      </c>
      <c r="M2" s="875"/>
      <c r="N2" s="875"/>
      <c r="O2" s="875"/>
      <c r="P2" s="875"/>
      <c r="Q2" s="876"/>
      <c r="R2" s="650" t="s">
        <v>491</v>
      </c>
      <c r="S2" s="650" t="s">
        <v>152</v>
      </c>
      <c r="T2" s="651" t="s">
        <v>492</v>
      </c>
    </row>
    <row r="3" spans="3:20" x14ac:dyDescent="0.2">
      <c r="C3" s="652" t="s">
        <v>493</v>
      </c>
      <c r="D3" s="653" t="s">
        <v>494</v>
      </c>
      <c r="E3" s="653" t="s">
        <v>495</v>
      </c>
      <c r="F3" s="654" t="s">
        <v>496</v>
      </c>
      <c r="G3" s="655" t="s">
        <v>497</v>
      </c>
      <c r="H3" s="655" t="s">
        <v>498</v>
      </c>
      <c r="I3" s="655" t="s">
        <v>499</v>
      </c>
      <c r="J3" s="655" t="s">
        <v>500</v>
      </c>
      <c r="K3" s="656" t="s">
        <v>501</v>
      </c>
      <c r="L3" s="657" t="s">
        <v>496</v>
      </c>
      <c r="M3" s="657" t="s">
        <v>497</v>
      </c>
      <c r="N3" s="657" t="s">
        <v>498</v>
      </c>
      <c r="O3" s="657" t="s">
        <v>499</v>
      </c>
      <c r="P3" s="657" t="s">
        <v>500</v>
      </c>
      <c r="Q3" s="658" t="s">
        <v>501</v>
      </c>
      <c r="R3" s="653" t="s">
        <v>502</v>
      </c>
      <c r="S3" s="653" t="s">
        <v>502</v>
      </c>
      <c r="T3" s="659" t="s">
        <v>502</v>
      </c>
    </row>
    <row r="4" spans="3:20" x14ac:dyDescent="0.2">
      <c r="C4" s="660" t="s">
        <v>503</v>
      </c>
      <c r="D4" s="661"/>
      <c r="E4" s="661">
        <v>0</v>
      </c>
      <c r="F4" s="662"/>
      <c r="G4" s="663"/>
      <c r="H4" s="663"/>
      <c r="I4" s="663"/>
      <c r="J4" s="663"/>
      <c r="K4" s="664"/>
      <c r="L4" s="663"/>
      <c r="M4" s="663"/>
      <c r="N4" s="663"/>
      <c r="O4" s="663"/>
      <c r="P4" s="663"/>
      <c r="Q4" s="664"/>
      <c r="R4" s="665">
        <f t="shared" ref="R4:R24" si="0">SUMPRODUCT(F4:Q4,$F$32:$Q$32)/$R$32</f>
        <v>0</v>
      </c>
      <c r="S4" s="665">
        <f t="shared" ref="S4:S24" si="1">SUMPRODUCT(F4:K4,$F$32:$K$32)/$S$32</f>
        <v>0</v>
      </c>
      <c r="T4" s="666">
        <f t="shared" ref="T4:T24" si="2">SUMPRODUCT(L4:Q4,$L$32:$Q$32)/$T$32</f>
        <v>0</v>
      </c>
    </row>
    <row r="5" spans="3:20" x14ac:dyDescent="0.2">
      <c r="C5" s="667" t="s">
        <v>504</v>
      </c>
      <c r="D5" s="668" t="s">
        <v>494</v>
      </c>
      <c r="E5" s="669">
        <v>0</v>
      </c>
      <c r="F5" s="670"/>
      <c r="G5" s="671"/>
      <c r="H5" s="671"/>
      <c r="I5" s="671"/>
      <c r="J5" s="671"/>
      <c r="K5" s="672"/>
      <c r="L5" s="671"/>
      <c r="M5" s="671"/>
      <c r="N5" s="671">
        <v>180</v>
      </c>
      <c r="O5" s="671">
        <v>210</v>
      </c>
      <c r="P5" s="671"/>
      <c r="Q5" s="672"/>
      <c r="R5" s="673">
        <f t="shared" si="0"/>
        <v>0</v>
      </c>
      <c r="S5" s="673">
        <f t="shared" si="1"/>
        <v>0</v>
      </c>
      <c r="T5" s="674">
        <f t="shared" si="2"/>
        <v>0</v>
      </c>
    </row>
    <row r="6" spans="3:20" x14ac:dyDescent="0.2">
      <c r="C6" s="667" t="s">
        <v>505</v>
      </c>
      <c r="D6" s="668" t="s">
        <v>494</v>
      </c>
      <c r="E6" s="669">
        <v>0.39</v>
      </c>
      <c r="F6" s="670"/>
      <c r="G6" s="671"/>
      <c r="H6" s="671"/>
      <c r="I6" s="671"/>
      <c r="J6" s="671"/>
      <c r="K6" s="672"/>
      <c r="L6" s="671">
        <v>75</v>
      </c>
      <c r="M6" s="671">
        <v>155</v>
      </c>
      <c r="N6" s="671">
        <v>219</v>
      </c>
      <c r="O6" s="671">
        <v>249</v>
      </c>
      <c r="P6" s="671">
        <v>270</v>
      </c>
      <c r="Q6" s="672"/>
      <c r="R6" s="673">
        <f t="shared" si="0"/>
        <v>0</v>
      </c>
      <c r="S6" s="673">
        <f t="shared" si="1"/>
        <v>0</v>
      </c>
      <c r="T6" s="674">
        <f t="shared" si="2"/>
        <v>0</v>
      </c>
    </row>
    <row r="7" spans="3:20" x14ac:dyDescent="0.2">
      <c r="C7" s="667" t="s">
        <v>506</v>
      </c>
      <c r="D7" s="668" t="s">
        <v>494</v>
      </c>
      <c r="E7" s="669">
        <v>0.93</v>
      </c>
      <c r="F7" s="670"/>
      <c r="G7" s="671"/>
      <c r="H7" s="671"/>
      <c r="I7" s="671"/>
      <c r="J7" s="671"/>
      <c r="K7" s="672"/>
      <c r="L7" s="671">
        <v>171.25</v>
      </c>
      <c r="M7" s="671">
        <v>219</v>
      </c>
      <c r="N7" s="671">
        <v>298</v>
      </c>
      <c r="O7" s="671">
        <v>343.5</v>
      </c>
      <c r="P7" s="671">
        <v>442</v>
      </c>
      <c r="Q7" s="672">
        <v>501</v>
      </c>
      <c r="R7" s="673">
        <f t="shared" si="0"/>
        <v>24.241935483870968</v>
      </c>
      <c r="S7" s="673">
        <f t="shared" si="1"/>
        <v>0</v>
      </c>
      <c r="T7" s="674">
        <f t="shared" si="2"/>
        <v>501</v>
      </c>
    </row>
    <row r="8" spans="3:20" x14ac:dyDescent="0.2">
      <c r="C8" s="667" t="s">
        <v>507</v>
      </c>
      <c r="D8" s="668" t="s">
        <v>508</v>
      </c>
      <c r="E8" s="669">
        <v>1.36</v>
      </c>
      <c r="F8" s="670"/>
      <c r="G8" s="671"/>
      <c r="H8" s="671"/>
      <c r="I8" s="671"/>
      <c r="J8" s="671">
        <v>310</v>
      </c>
      <c r="K8" s="672"/>
      <c r="L8" s="671"/>
      <c r="M8" s="671"/>
      <c r="N8" s="671"/>
      <c r="O8" s="671"/>
      <c r="P8" s="671"/>
      <c r="Q8" s="672"/>
      <c r="R8" s="673">
        <f t="shared" si="0"/>
        <v>60</v>
      </c>
      <c r="S8" s="673">
        <f t="shared" si="1"/>
        <v>63.050847457627121</v>
      </c>
      <c r="T8" s="674">
        <f t="shared" si="2"/>
        <v>0</v>
      </c>
    </row>
    <row r="9" spans="3:20" x14ac:dyDescent="0.2">
      <c r="C9" s="667" t="s">
        <v>509</v>
      </c>
      <c r="D9" s="668" t="s">
        <v>494</v>
      </c>
      <c r="E9" s="669">
        <v>1.49</v>
      </c>
      <c r="F9" s="670">
        <v>120</v>
      </c>
      <c r="G9" s="671"/>
      <c r="H9" s="671"/>
      <c r="I9" s="671">
        <v>280.5</v>
      </c>
      <c r="J9" s="671">
        <v>316</v>
      </c>
      <c r="K9" s="672"/>
      <c r="L9" s="671">
        <v>80</v>
      </c>
      <c r="M9" s="671">
        <v>114.99999999999999</v>
      </c>
      <c r="N9" s="671">
        <v>180</v>
      </c>
      <c r="O9" s="671">
        <v>210</v>
      </c>
      <c r="P9" s="671"/>
      <c r="Q9" s="672"/>
      <c r="R9" s="673">
        <f t="shared" si="0"/>
        <v>134.83064516129033</v>
      </c>
      <c r="S9" s="673">
        <f t="shared" si="1"/>
        <v>141.68644067796609</v>
      </c>
      <c r="T9" s="674">
        <f t="shared" si="2"/>
        <v>0</v>
      </c>
    </row>
    <row r="10" spans="3:20" x14ac:dyDescent="0.2">
      <c r="C10" s="667" t="s">
        <v>504</v>
      </c>
      <c r="D10" s="668" t="s">
        <v>494</v>
      </c>
      <c r="E10" s="669">
        <v>2.0699999999999998</v>
      </c>
      <c r="F10" s="670">
        <v>97.75</v>
      </c>
      <c r="G10" s="671">
        <v>136</v>
      </c>
      <c r="H10" s="671">
        <v>212</v>
      </c>
      <c r="I10" s="671">
        <v>273</v>
      </c>
      <c r="J10" s="671"/>
      <c r="K10" s="672"/>
      <c r="L10" s="671"/>
      <c r="M10" s="671"/>
      <c r="N10" s="671"/>
      <c r="O10" s="671"/>
      <c r="P10" s="671"/>
      <c r="Q10" s="672"/>
      <c r="R10" s="673">
        <f t="shared" si="0"/>
        <v>158.90725806451613</v>
      </c>
      <c r="S10" s="673">
        <f t="shared" si="1"/>
        <v>166.98728813559322</v>
      </c>
      <c r="T10" s="674">
        <f t="shared" si="2"/>
        <v>0</v>
      </c>
    </row>
    <row r="11" spans="3:20" x14ac:dyDescent="0.2">
      <c r="C11" s="667" t="s">
        <v>510</v>
      </c>
      <c r="D11" s="668" t="s">
        <v>508</v>
      </c>
      <c r="E11" s="669">
        <v>4.03</v>
      </c>
      <c r="F11" s="670">
        <v>87.5</v>
      </c>
      <c r="G11" s="671">
        <v>139</v>
      </c>
      <c r="H11" s="671">
        <v>227.99999999999997</v>
      </c>
      <c r="I11" s="671">
        <v>282</v>
      </c>
      <c r="J11" s="671">
        <v>364</v>
      </c>
      <c r="K11" s="672">
        <v>471</v>
      </c>
      <c r="L11" s="671"/>
      <c r="M11" s="671"/>
      <c r="N11" s="671"/>
      <c r="O11" s="671">
        <v>247.5</v>
      </c>
      <c r="P11" s="671">
        <v>248</v>
      </c>
      <c r="Q11" s="672"/>
      <c r="R11" s="673">
        <f t="shared" si="0"/>
        <v>236.63709677419354</v>
      </c>
      <c r="S11" s="673">
        <f t="shared" si="1"/>
        <v>248.66949152542372</v>
      </c>
      <c r="T11" s="674">
        <f t="shared" si="2"/>
        <v>0</v>
      </c>
    </row>
    <row r="12" spans="3:20" x14ac:dyDescent="0.2">
      <c r="C12" s="667" t="s">
        <v>511</v>
      </c>
      <c r="D12" s="668" t="s">
        <v>508</v>
      </c>
      <c r="E12" s="669">
        <v>4.09</v>
      </c>
      <c r="F12" s="670">
        <v>121</v>
      </c>
      <c r="G12" s="671">
        <v>151</v>
      </c>
      <c r="H12" s="671">
        <v>250</v>
      </c>
      <c r="I12" s="671">
        <v>352.5</v>
      </c>
      <c r="J12" s="671">
        <v>358</v>
      </c>
      <c r="K12" s="672">
        <v>468</v>
      </c>
      <c r="L12" s="671">
        <v>105</v>
      </c>
      <c r="M12" s="671">
        <v>132</v>
      </c>
      <c r="N12" s="671">
        <v>214</v>
      </c>
      <c r="O12" s="671">
        <v>286.5</v>
      </c>
      <c r="P12" s="671">
        <v>298</v>
      </c>
      <c r="Q12" s="672">
        <v>366</v>
      </c>
      <c r="R12" s="673">
        <f t="shared" si="0"/>
        <v>280.70161290322579</v>
      </c>
      <c r="S12" s="673">
        <f t="shared" si="1"/>
        <v>276.36440677966101</v>
      </c>
      <c r="T12" s="674">
        <f t="shared" si="2"/>
        <v>366</v>
      </c>
    </row>
    <row r="13" spans="3:20" x14ac:dyDescent="0.2">
      <c r="C13" s="667" t="s">
        <v>512</v>
      </c>
      <c r="D13" s="668" t="s">
        <v>508</v>
      </c>
      <c r="E13" s="669">
        <v>4.47</v>
      </c>
      <c r="F13" s="670">
        <v>121.75</v>
      </c>
      <c r="G13" s="671">
        <v>173</v>
      </c>
      <c r="H13" s="671">
        <v>285</v>
      </c>
      <c r="I13" s="671">
        <v>385.5</v>
      </c>
      <c r="J13" s="671">
        <v>428</v>
      </c>
      <c r="K13" s="672">
        <v>525</v>
      </c>
      <c r="L13" s="671"/>
      <c r="M13" s="671">
        <v>139</v>
      </c>
      <c r="N13" s="671">
        <v>238</v>
      </c>
      <c r="O13" s="671">
        <v>313.5</v>
      </c>
      <c r="P13" s="671">
        <v>370</v>
      </c>
      <c r="Q13" s="672"/>
      <c r="R13" s="673">
        <f t="shared" si="0"/>
        <v>299.04435483870969</v>
      </c>
      <c r="S13" s="673">
        <f t="shared" si="1"/>
        <v>314.25</v>
      </c>
      <c r="T13" s="674">
        <f t="shared" si="2"/>
        <v>0</v>
      </c>
    </row>
    <row r="14" spans="3:20" x14ac:dyDescent="0.2">
      <c r="C14" s="667" t="s">
        <v>512</v>
      </c>
      <c r="D14" s="668" t="s">
        <v>508</v>
      </c>
      <c r="E14" s="669">
        <v>4.6100000000000003</v>
      </c>
      <c r="F14" s="670">
        <v>143.75</v>
      </c>
      <c r="G14" s="671">
        <v>180.5</v>
      </c>
      <c r="H14" s="671">
        <v>236</v>
      </c>
      <c r="I14" s="671">
        <v>286.5</v>
      </c>
      <c r="J14" s="671">
        <v>412</v>
      </c>
      <c r="K14" s="672">
        <v>666.00000000000011</v>
      </c>
      <c r="L14" s="671"/>
      <c r="M14" s="671"/>
      <c r="N14" s="671"/>
      <c r="O14" s="671"/>
      <c r="P14" s="671"/>
      <c r="Q14" s="672"/>
      <c r="R14" s="673">
        <f t="shared" si="0"/>
        <v>258.34274193548384</v>
      </c>
      <c r="S14" s="673">
        <f t="shared" si="1"/>
        <v>271.47881355932202</v>
      </c>
      <c r="T14" s="674">
        <f t="shared" si="2"/>
        <v>0</v>
      </c>
    </row>
    <row r="15" spans="3:20" x14ac:dyDescent="0.2">
      <c r="C15" s="667" t="s">
        <v>507</v>
      </c>
      <c r="D15" s="668" t="s">
        <v>508</v>
      </c>
      <c r="E15" s="669">
        <v>4.76</v>
      </c>
      <c r="F15" s="670">
        <v>115.29166666666669</v>
      </c>
      <c r="G15" s="671">
        <v>155.9</v>
      </c>
      <c r="H15" s="671">
        <v>242.19999999999996</v>
      </c>
      <c r="I15" s="671">
        <v>310.00000000000006</v>
      </c>
      <c r="J15" s="671">
        <v>364.66666666666669</v>
      </c>
      <c r="K15" s="672">
        <v>532.5</v>
      </c>
      <c r="L15" s="671">
        <v>102.25</v>
      </c>
      <c r="M15" s="671">
        <v>145.83333333333337</v>
      </c>
      <c r="N15" s="671">
        <v>215.57142857142856</v>
      </c>
      <c r="O15" s="671">
        <v>258.75</v>
      </c>
      <c r="P15" s="671">
        <v>309.66666666666669</v>
      </c>
      <c r="Q15" s="672">
        <v>433.49999999999994</v>
      </c>
      <c r="R15" s="673">
        <f t="shared" si="0"/>
        <v>272.89475806451611</v>
      </c>
      <c r="S15" s="673">
        <f t="shared" si="1"/>
        <v>264.72838983050849</v>
      </c>
      <c r="T15" s="674">
        <f t="shared" si="2"/>
        <v>433.49999999999994</v>
      </c>
    </row>
    <row r="16" spans="3:20" x14ac:dyDescent="0.2">
      <c r="C16" s="667" t="s">
        <v>513</v>
      </c>
      <c r="D16" s="668"/>
      <c r="E16" s="668"/>
      <c r="F16" s="670"/>
      <c r="G16" s="671"/>
      <c r="H16" s="671"/>
      <c r="I16" s="671"/>
      <c r="J16" s="671"/>
      <c r="K16" s="672"/>
      <c r="L16" s="671"/>
      <c r="M16" s="671"/>
      <c r="N16" s="671"/>
      <c r="O16" s="671"/>
      <c r="P16" s="671"/>
      <c r="Q16" s="672"/>
      <c r="R16" s="673">
        <f t="shared" si="0"/>
        <v>0</v>
      </c>
      <c r="S16" s="673">
        <f t="shared" si="1"/>
        <v>0</v>
      </c>
      <c r="T16" s="674">
        <f t="shared" si="2"/>
        <v>0</v>
      </c>
    </row>
    <row r="17" spans="3:20" x14ac:dyDescent="0.2">
      <c r="C17" s="667" t="s">
        <v>514</v>
      </c>
      <c r="D17" s="668"/>
      <c r="E17" s="668"/>
      <c r="F17" s="670"/>
      <c r="G17" s="671"/>
      <c r="H17" s="671"/>
      <c r="I17" s="671"/>
      <c r="J17" s="671"/>
      <c r="K17" s="672"/>
      <c r="L17" s="671"/>
      <c r="M17" s="671"/>
      <c r="N17" s="671"/>
      <c r="O17" s="671"/>
      <c r="P17" s="671"/>
      <c r="Q17" s="672"/>
      <c r="R17" s="673">
        <f t="shared" si="0"/>
        <v>0</v>
      </c>
      <c r="S17" s="673">
        <f t="shared" si="1"/>
        <v>0</v>
      </c>
      <c r="T17" s="674">
        <f t="shared" si="2"/>
        <v>0</v>
      </c>
    </row>
    <row r="18" spans="3:20" x14ac:dyDescent="0.2">
      <c r="C18" s="667" t="s">
        <v>515</v>
      </c>
      <c r="D18" s="668"/>
      <c r="E18" s="668"/>
      <c r="F18" s="670"/>
      <c r="G18" s="671"/>
      <c r="H18" s="671"/>
      <c r="I18" s="671"/>
      <c r="J18" s="671"/>
      <c r="K18" s="672"/>
      <c r="L18" s="671"/>
      <c r="M18" s="671"/>
      <c r="N18" s="671"/>
      <c r="O18" s="671"/>
      <c r="P18" s="671"/>
      <c r="Q18" s="672"/>
      <c r="R18" s="673">
        <f t="shared" si="0"/>
        <v>0</v>
      </c>
      <c r="S18" s="673">
        <f t="shared" si="1"/>
        <v>0</v>
      </c>
      <c r="T18" s="674">
        <f t="shared" si="2"/>
        <v>0</v>
      </c>
    </row>
    <row r="19" spans="3:20" x14ac:dyDescent="0.2">
      <c r="C19" s="667" t="s">
        <v>516</v>
      </c>
      <c r="D19" s="668"/>
      <c r="E19" s="668"/>
      <c r="F19" s="670"/>
      <c r="G19" s="671"/>
      <c r="H19" s="671"/>
      <c r="I19" s="671"/>
      <c r="J19" s="671"/>
      <c r="K19" s="672"/>
      <c r="L19" s="671"/>
      <c r="M19" s="671"/>
      <c r="N19" s="671"/>
      <c r="O19" s="671"/>
      <c r="P19" s="671"/>
      <c r="Q19" s="672"/>
      <c r="R19" s="673">
        <f t="shared" si="0"/>
        <v>0</v>
      </c>
      <c r="S19" s="673">
        <f t="shared" si="1"/>
        <v>0</v>
      </c>
      <c r="T19" s="674">
        <f t="shared" si="2"/>
        <v>0</v>
      </c>
    </row>
    <row r="20" spans="3:20" x14ac:dyDescent="0.2">
      <c r="C20" s="675" t="s">
        <v>517</v>
      </c>
      <c r="D20" s="676"/>
      <c r="E20" s="677">
        <f>AVERAGE(E4:E19)</f>
        <v>2.3499999999999996</v>
      </c>
      <c r="F20" s="678">
        <f t="shared" ref="F20:Q20" si="3">IFERROR(AVERAGE(F4:F19),"NA")</f>
        <v>115.29166666666667</v>
      </c>
      <c r="G20" s="679">
        <f t="shared" si="3"/>
        <v>155.9</v>
      </c>
      <c r="H20" s="679">
        <f t="shared" si="3"/>
        <v>242.20000000000002</v>
      </c>
      <c r="I20" s="679">
        <f t="shared" si="3"/>
        <v>310</v>
      </c>
      <c r="J20" s="679">
        <f t="shared" si="3"/>
        <v>364.66666666666663</v>
      </c>
      <c r="K20" s="680">
        <f t="shared" si="3"/>
        <v>532.5</v>
      </c>
      <c r="L20" s="679">
        <f t="shared" si="3"/>
        <v>106.7</v>
      </c>
      <c r="M20" s="679">
        <f t="shared" si="3"/>
        <v>150.97222222222223</v>
      </c>
      <c r="N20" s="679">
        <f t="shared" si="3"/>
        <v>220.65306122448979</v>
      </c>
      <c r="O20" s="679">
        <f t="shared" si="3"/>
        <v>264.84375</v>
      </c>
      <c r="P20" s="679">
        <f t="shared" si="3"/>
        <v>322.94444444444446</v>
      </c>
      <c r="Q20" s="680">
        <f t="shared" si="3"/>
        <v>433.5</v>
      </c>
      <c r="R20" s="681">
        <f t="shared" si="0"/>
        <v>272.89475806451611</v>
      </c>
      <c r="S20" s="681">
        <f t="shared" si="1"/>
        <v>264.72838983050849</v>
      </c>
      <c r="T20" s="682">
        <f t="shared" si="2"/>
        <v>433.5</v>
      </c>
    </row>
    <row r="21" spans="3:20" ht="15.75" customHeight="1" x14ac:dyDescent="0.2">
      <c r="C21" s="675" t="s">
        <v>518</v>
      </c>
      <c r="D21" s="676"/>
      <c r="E21" s="677">
        <f>AVERAGEIF($D$5:$D$19,"REIT",E5:E19)</f>
        <v>3.8866666666666667</v>
      </c>
      <c r="F21" s="678">
        <f t="shared" ref="F21:Q21" si="4">IFERROR(AVERAGEIF($D$5:$D$19,"REIT",F5:F19),"NA")</f>
        <v>117.85833333333335</v>
      </c>
      <c r="G21" s="679">
        <f t="shared" si="4"/>
        <v>159.88</v>
      </c>
      <c r="H21" s="679">
        <f t="shared" si="4"/>
        <v>248.24</v>
      </c>
      <c r="I21" s="679">
        <f t="shared" si="4"/>
        <v>323.3</v>
      </c>
      <c r="J21" s="679">
        <f t="shared" si="4"/>
        <v>372.77777777777777</v>
      </c>
      <c r="K21" s="680">
        <f t="shared" si="4"/>
        <v>532.5</v>
      </c>
      <c r="L21" s="679">
        <f t="shared" si="4"/>
        <v>103.625</v>
      </c>
      <c r="M21" s="679">
        <f t="shared" si="4"/>
        <v>138.94444444444446</v>
      </c>
      <c r="N21" s="679">
        <f t="shared" si="4"/>
        <v>222.52380952380952</v>
      </c>
      <c r="O21" s="679">
        <f t="shared" si="4"/>
        <v>276.5625</v>
      </c>
      <c r="P21" s="679">
        <f t="shared" si="4"/>
        <v>306.41666666666669</v>
      </c>
      <c r="Q21" s="680">
        <f t="shared" si="4"/>
        <v>399.75</v>
      </c>
      <c r="R21" s="681">
        <f t="shared" si="0"/>
        <v>278.6996505376344</v>
      </c>
      <c r="S21" s="681">
        <f t="shared" si="1"/>
        <v>272.54454802259886</v>
      </c>
      <c r="T21" s="682">
        <f t="shared" si="2"/>
        <v>399.75</v>
      </c>
    </row>
    <row r="22" spans="3:20" ht="15.75" customHeight="1" x14ac:dyDescent="0.2">
      <c r="C22" s="675" t="s">
        <v>519</v>
      </c>
      <c r="D22" s="676"/>
      <c r="E22" s="677">
        <f>AVERAGEIF($D$5:$D$19,"Non REIT",E5:E19)</f>
        <v>0.97599999999999998</v>
      </c>
      <c r="F22" s="678">
        <f t="shared" ref="F22:Q22" si="5">IFERROR(AVERAGEIF($D$5:$D$19,"Non REIT",F5:F19),"NA")</f>
        <v>108.875</v>
      </c>
      <c r="G22" s="679">
        <f t="shared" si="5"/>
        <v>136</v>
      </c>
      <c r="H22" s="679">
        <f t="shared" si="5"/>
        <v>212</v>
      </c>
      <c r="I22" s="679">
        <f t="shared" si="5"/>
        <v>276.75</v>
      </c>
      <c r="J22" s="679">
        <f t="shared" si="5"/>
        <v>316</v>
      </c>
      <c r="K22" s="680" t="str">
        <f t="shared" si="5"/>
        <v>NA</v>
      </c>
      <c r="L22" s="679">
        <f t="shared" si="5"/>
        <v>108.75</v>
      </c>
      <c r="M22" s="679">
        <f t="shared" si="5"/>
        <v>163</v>
      </c>
      <c r="N22" s="679">
        <f t="shared" si="5"/>
        <v>219.25</v>
      </c>
      <c r="O22" s="679">
        <f t="shared" si="5"/>
        <v>253.125</v>
      </c>
      <c r="P22" s="679">
        <f t="shared" si="5"/>
        <v>356</v>
      </c>
      <c r="Q22" s="680">
        <f t="shared" si="5"/>
        <v>501</v>
      </c>
      <c r="R22" s="681">
        <f t="shared" si="0"/>
        <v>245.75604838709677</v>
      </c>
      <c r="S22" s="681">
        <f t="shared" si="1"/>
        <v>232.77754237288136</v>
      </c>
      <c r="T22" s="682">
        <f t="shared" si="2"/>
        <v>501</v>
      </c>
    </row>
    <row r="23" spans="3:20" ht="15.75" customHeight="1" x14ac:dyDescent="0.2">
      <c r="C23" s="675" t="s">
        <v>520</v>
      </c>
      <c r="D23" s="676"/>
      <c r="E23" s="677">
        <f>MAX(E5:E19)</f>
        <v>4.76</v>
      </c>
      <c r="F23" s="678">
        <f t="shared" ref="F23:Q23" si="6">IFERROR(MAX(F5:F19),"NA")</f>
        <v>143.75</v>
      </c>
      <c r="G23" s="679">
        <f t="shared" si="6"/>
        <v>180.5</v>
      </c>
      <c r="H23" s="679">
        <f t="shared" si="6"/>
        <v>285</v>
      </c>
      <c r="I23" s="679">
        <f t="shared" si="6"/>
        <v>385.5</v>
      </c>
      <c r="J23" s="679">
        <f t="shared" si="6"/>
        <v>428</v>
      </c>
      <c r="K23" s="680">
        <f t="shared" si="6"/>
        <v>666.00000000000011</v>
      </c>
      <c r="L23" s="679">
        <f t="shared" si="6"/>
        <v>171.25</v>
      </c>
      <c r="M23" s="679">
        <f t="shared" si="6"/>
        <v>219</v>
      </c>
      <c r="N23" s="679">
        <f t="shared" si="6"/>
        <v>298</v>
      </c>
      <c r="O23" s="679">
        <f t="shared" si="6"/>
        <v>343.5</v>
      </c>
      <c r="P23" s="679">
        <f t="shared" si="6"/>
        <v>442</v>
      </c>
      <c r="Q23" s="680">
        <f t="shared" si="6"/>
        <v>501</v>
      </c>
      <c r="R23" s="681">
        <f t="shared" si="0"/>
        <v>325.43951612903226</v>
      </c>
      <c r="S23" s="681">
        <f t="shared" si="1"/>
        <v>316.51271186440675</v>
      </c>
      <c r="T23" s="682">
        <f t="shared" si="2"/>
        <v>501</v>
      </c>
    </row>
    <row r="24" spans="3:20" ht="15.75" customHeight="1" x14ac:dyDescent="0.2">
      <c r="C24" s="675" t="s">
        <v>521</v>
      </c>
      <c r="D24" s="676"/>
      <c r="E24" s="677">
        <f>MIN(E5:E19)</f>
        <v>0</v>
      </c>
      <c r="F24" s="678">
        <f t="shared" ref="F24:Q24" ca="1" si="7">IFERROR(_xludf.MINIFS(F5:F19, F5:F19, "&lt;&gt;0"), IF(COUNT(F5:F19)&gt;0, 0, "NA"))</f>
        <v>0</v>
      </c>
      <c r="G24" s="679">
        <f t="shared" ca="1" si="7"/>
        <v>0</v>
      </c>
      <c r="H24" s="679">
        <f t="shared" ca="1" si="7"/>
        <v>0</v>
      </c>
      <c r="I24" s="679">
        <f t="shared" ca="1" si="7"/>
        <v>0</v>
      </c>
      <c r="J24" s="679">
        <f t="shared" ca="1" si="7"/>
        <v>0</v>
      </c>
      <c r="K24" s="680">
        <f t="shared" ca="1" si="7"/>
        <v>0</v>
      </c>
      <c r="L24" s="679">
        <f t="shared" ca="1" si="7"/>
        <v>0</v>
      </c>
      <c r="M24" s="679">
        <f t="shared" ca="1" si="7"/>
        <v>0</v>
      </c>
      <c r="N24" s="679">
        <f t="shared" ca="1" si="7"/>
        <v>0</v>
      </c>
      <c r="O24" s="679">
        <f t="shared" ca="1" si="7"/>
        <v>0</v>
      </c>
      <c r="P24" s="679">
        <f t="shared" ca="1" si="7"/>
        <v>0</v>
      </c>
      <c r="Q24" s="680">
        <f t="shared" ca="1" si="7"/>
        <v>0</v>
      </c>
      <c r="R24" s="681">
        <f t="shared" ca="1" si="0"/>
        <v>0</v>
      </c>
      <c r="S24" s="681">
        <f t="shared" ca="1" si="1"/>
        <v>0</v>
      </c>
      <c r="T24" s="682">
        <f t="shared" ca="1" si="2"/>
        <v>0</v>
      </c>
    </row>
    <row r="25" spans="3:20" ht="15.75" customHeight="1" x14ac:dyDescent="0.2">
      <c r="C25" s="683"/>
      <c r="D25" s="684"/>
      <c r="E25" s="684"/>
      <c r="F25" s="685"/>
      <c r="G25" s="684"/>
      <c r="H25" s="684"/>
      <c r="I25" s="684"/>
      <c r="J25" s="684"/>
      <c r="K25" s="686"/>
      <c r="L25" s="684"/>
      <c r="M25" s="684"/>
      <c r="N25" s="684"/>
      <c r="O25" s="684"/>
      <c r="P25" s="684"/>
      <c r="Q25" s="686"/>
      <c r="R25" s="684"/>
      <c r="S25" s="684"/>
      <c r="T25" s="687"/>
    </row>
    <row r="26" spans="3:20" ht="15.75" customHeight="1" x14ac:dyDescent="0.2">
      <c r="C26" s="675" t="s">
        <v>522</v>
      </c>
      <c r="D26" s="676"/>
      <c r="E26" s="677"/>
      <c r="F26" s="678">
        <f t="shared" ref="F26:Q26" si="8">F4</f>
        <v>0</v>
      </c>
      <c r="G26" s="679">
        <f t="shared" si="8"/>
        <v>0</v>
      </c>
      <c r="H26" s="679">
        <f t="shared" si="8"/>
        <v>0</v>
      </c>
      <c r="I26" s="679">
        <f t="shared" si="8"/>
        <v>0</v>
      </c>
      <c r="J26" s="679">
        <f t="shared" si="8"/>
        <v>0</v>
      </c>
      <c r="K26" s="680">
        <f t="shared" si="8"/>
        <v>0</v>
      </c>
      <c r="L26" s="679">
        <f t="shared" si="8"/>
        <v>0</v>
      </c>
      <c r="M26" s="679">
        <f t="shared" si="8"/>
        <v>0</v>
      </c>
      <c r="N26" s="679">
        <f t="shared" si="8"/>
        <v>0</v>
      </c>
      <c r="O26" s="679">
        <f t="shared" si="8"/>
        <v>0</v>
      </c>
      <c r="P26" s="679">
        <f t="shared" si="8"/>
        <v>0</v>
      </c>
      <c r="Q26" s="680">
        <f t="shared" si="8"/>
        <v>0</v>
      </c>
      <c r="R26" s="681">
        <f>SUMPRODUCT(F26:Q26,$F$32:$Q$32)/$R$32</f>
        <v>0</v>
      </c>
      <c r="S26" s="681">
        <f>SUMPRODUCT(F26:K26,$F$32:$K$32)/$S$32</f>
        <v>0</v>
      </c>
      <c r="T26" s="682">
        <f>SUMPRODUCT(L26:Q26,$L$32:$Q$32)/$T$32</f>
        <v>0</v>
      </c>
    </row>
    <row r="27" spans="3:20" ht="15.75" customHeight="1" x14ac:dyDescent="0.2">
      <c r="C27" s="683"/>
      <c r="D27" s="684"/>
      <c r="E27" s="684"/>
      <c r="F27" s="685"/>
      <c r="G27" s="684"/>
      <c r="H27" s="684"/>
      <c r="I27" s="684"/>
      <c r="J27" s="684"/>
      <c r="K27" s="686"/>
      <c r="L27" s="684"/>
      <c r="M27" s="684"/>
      <c r="N27" s="684"/>
      <c r="O27" s="684"/>
      <c r="P27" s="684"/>
      <c r="Q27" s="686"/>
      <c r="R27" s="684"/>
      <c r="S27" s="684"/>
      <c r="T27" s="687"/>
    </row>
    <row r="28" spans="3:20" ht="15.75" customHeight="1" x14ac:dyDescent="0.2">
      <c r="C28" s="688" t="s">
        <v>523</v>
      </c>
      <c r="D28" s="689"/>
      <c r="E28" s="689"/>
      <c r="F28" s="690">
        <v>25</v>
      </c>
      <c r="G28" s="691">
        <v>50</v>
      </c>
      <c r="H28" s="691">
        <v>100</v>
      </c>
      <c r="I28" s="691">
        <v>150</v>
      </c>
      <c r="J28" s="691">
        <v>200</v>
      </c>
      <c r="K28" s="692">
        <v>300</v>
      </c>
      <c r="L28" s="691">
        <v>25</v>
      </c>
      <c r="M28" s="691">
        <v>50</v>
      </c>
      <c r="N28" s="691">
        <v>100</v>
      </c>
      <c r="O28" s="691">
        <v>150</v>
      </c>
      <c r="P28" s="691">
        <v>200</v>
      </c>
      <c r="Q28" s="692">
        <v>300</v>
      </c>
      <c r="R28" s="689"/>
      <c r="S28" s="689"/>
      <c r="T28" s="693"/>
    </row>
    <row r="29" spans="3:20" ht="15.75" customHeight="1" x14ac:dyDescent="0.2">
      <c r="C29" s="688" t="s">
        <v>524</v>
      </c>
      <c r="D29" s="689"/>
      <c r="E29" s="689"/>
      <c r="F29" s="690">
        <v>120</v>
      </c>
      <c r="G29" s="691">
        <v>180</v>
      </c>
      <c r="H29" s="691">
        <v>200</v>
      </c>
      <c r="I29" s="691">
        <v>100</v>
      </c>
      <c r="J29" s="691">
        <v>60</v>
      </c>
      <c r="K29" s="692">
        <v>0</v>
      </c>
      <c r="L29" s="691">
        <v>0</v>
      </c>
      <c r="M29" s="691">
        <v>0</v>
      </c>
      <c r="N29" s="691">
        <v>0</v>
      </c>
      <c r="O29" s="691">
        <v>0</v>
      </c>
      <c r="P29" s="691">
        <v>0</v>
      </c>
      <c r="Q29" s="692">
        <v>10</v>
      </c>
      <c r="R29" s="689">
        <f t="shared" ref="R29:R30" si="9">SUM(F29:Q29)</f>
        <v>670</v>
      </c>
      <c r="S29" s="689">
        <f t="shared" ref="S29:S30" si="10">SUM(F29:K29)</f>
        <v>660</v>
      </c>
      <c r="T29" s="693">
        <f t="shared" ref="T29:T30" si="11">SUM(L29:Q29)</f>
        <v>10</v>
      </c>
    </row>
    <row r="30" spans="3:20" ht="15.75" customHeight="1" x14ac:dyDescent="0.2">
      <c r="C30" s="688" t="s">
        <v>525</v>
      </c>
      <c r="D30" s="689"/>
      <c r="E30" s="689"/>
      <c r="F30" s="690"/>
      <c r="G30" s="691"/>
      <c r="H30" s="691"/>
      <c r="I30" s="691"/>
      <c r="J30" s="691"/>
      <c r="K30" s="692"/>
      <c r="L30" s="691"/>
      <c r="M30" s="691"/>
      <c r="N30" s="691"/>
      <c r="O30" s="691"/>
      <c r="P30" s="691"/>
      <c r="Q30" s="692"/>
      <c r="R30" s="689">
        <f t="shared" si="9"/>
        <v>0</v>
      </c>
      <c r="S30" s="689">
        <f t="shared" si="10"/>
        <v>0</v>
      </c>
      <c r="T30" s="693">
        <f t="shared" si="11"/>
        <v>0</v>
      </c>
    </row>
    <row r="31" spans="3:20" ht="15.75" customHeight="1" x14ac:dyDescent="0.2">
      <c r="C31" s="675" t="s">
        <v>526</v>
      </c>
      <c r="D31" s="676"/>
      <c r="E31" s="676"/>
      <c r="F31" s="694">
        <f t="shared" ref="F31:T31" si="12">IFERROR(F30/F29,0)</f>
        <v>0</v>
      </c>
      <c r="G31" s="695">
        <f t="shared" si="12"/>
        <v>0</v>
      </c>
      <c r="H31" s="695">
        <f t="shared" si="12"/>
        <v>0</v>
      </c>
      <c r="I31" s="695">
        <f t="shared" si="12"/>
        <v>0</v>
      </c>
      <c r="J31" s="695">
        <f t="shared" si="12"/>
        <v>0</v>
      </c>
      <c r="K31" s="696">
        <f t="shared" si="12"/>
        <v>0</v>
      </c>
      <c r="L31" s="695">
        <f t="shared" si="12"/>
        <v>0</v>
      </c>
      <c r="M31" s="695">
        <f t="shared" si="12"/>
        <v>0</v>
      </c>
      <c r="N31" s="695">
        <f t="shared" si="12"/>
        <v>0</v>
      </c>
      <c r="O31" s="695">
        <f t="shared" si="12"/>
        <v>0</v>
      </c>
      <c r="P31" s="695">
        <f t="shared" si="12"/>
        <v>0</v>
      </c>
      <c r="Q31" s="696">
        <f t="shared" si="12"/>
        <v>0</v>
      </c>
      <c r="R31" s="695">
        <f t="shared" si="12"/>
        <v>0</v>
      </c>
      <c r="S31" s="695">
        <f t="shared" si="12"/>
        <v>0</v>
      </c>
      <c r="T31" s="697">
        <f t="shared" si="12"/>
        <v>0</v>
      </c>
    </row>
    <row r="32" spans="3:20" ht="15.75" customHeight="1" x14ac:dyDescent="0.2">
      <c r="C32" s="688" t="s">
        <v>527</v>
      </c>
      <c r="D32" s="689"/>
      <c r="E32" s="689"/>
      <c r="F32" s="698">
        <f t="shared" ref="F32:Q32" si="13">F29*F28</f>
        <v>3000</v>
      </c>
      <c r="G32" s="699">
        <f t="shared" si="13"/>
        <v>9000</v>
      </c>
      <c r="H32" s="699">
        <f t="shared" si="13"/>
        <v>20000</v>
      </c>
      <c r="I32" s="699">
        <f t="shared" si="13"/>
        <v>15000</v>
      </c>
      <c r="J32" s="699">
        <f t="shared" si="13"/>
        <v>12000</v>
      </c>
      <c r="K32" s="700">
        <f t="shared" si="13"/>
        <v>0</v>
      </c>
      <c r="L32" s="699">
        <f t="shared" si="13"/>
        <v>0</v>
      </c>
      <c r="M32" s="699">
        <f t="shared" si="13"/>
        <v>0</v>
      </c>
      <c r="N32" s="699">
        <f t="shared" si="13"/>
        <v>0</v>
      </c>
      <c r="O32" s="699">
        <f t="shared" si="13"/>
        <v>0</v>
      </c>
      <c r="P32" s="699">
        <f t="shared" si="13"/>
        <v>0</v>
      </c>
      <c r="Q32" s="700">
        <f t="shared" si="13"/>
        <v>3000</v>
      </c>
      <c r="R32" s="699">
        <f t="shared" ref="R32:R33" si="14">SUM(F32:Q32)</f>
        <v>62000</v>
      </c>
      <c r="S32" s="699">
        <f t="shared" ref="S32:S33" si="15">SUM(F32:K32)</f>
        <v>59000</v>
      </c>
      <c r="T32" s="701">
        <f t="shared" ref="T32:T33" si="16">SUM(L32:Q32)</f>
        <v>3000</v>
      </c>
    </row>
    <row r="33" spans="1:20" ht="15.75" customHeight="1" x14ac:dyDescent="0.2">
      <c r="C33" s="688" t="s">
        <v>528</v>
      </c>
      <c r="D33" s="689"/>
      <c r="E33" s="689"/>
      <c r="F33" s="698">
        <f t="shared" ref="F33:Q33" si="17">F30*F28</f>
        <v>0</v>
      </c>
      <c r="G33" s="699">
        <f t="shared" si="17"/>
        <v>0</v>
      </c>
      <c r="H33" s="699">
        <f t="shared" si="17"/>
        <v>0</v>
      </c>
      <c r="I33" s="699">
        <f t="shared" si="17"/>
        <v>0</v>
      </c>
      <c r="J33" s="699">
        <f t="shared" si="17"/>
        <v>0</v>
      </c>
      <c r="K33" s="700">
        <f t="shared" si="17"/>
        <v>0</v>
      </c>
      <c r="L33" s="699">
        <f t="shared" si="17"/>
        <v>0</v>
      </c>
      <c r="M33" s="699">
        <f t="shared" si="17"/>
        <v>0</v>
      </c>
      <c r="N33" s="699">
        <f t="shared" si="17"/>
        <v>0</v>
      </c>
      <c r="O33" s="699">
        <f t="shared" si="17"/>
        <v>0</v>
      </c>
      <c r="P33" s="699">
        <f t="shared" si="17"/>
        <v>0</v>
      </c>
      <c r="Q33" s="700">
        <f t="shared" si="17"/>
        <v>0</v>
      </c>
      <c r="R33" s="699">
        <f t="shared" si="14"/>
        <v>0</v>
      </c>
      <c r="S33" s="699">
        <f t="shared" si="15"/>
        <v>0</v>
      </c>
      <c r="T33" s="701">
        <f t="shared" si="16"/>
        <v>0</v>
      </c>
    </row>
    <row r="34" spans="1:20" ht="15.75" customHeight="1" x14ac:dyDescent="0.2">
      <c r="A34" s="3" t="s">
        <v>529</v>
      </c>
      <c r="B34" s="3"/>
      <c r="C34" s="675" t="s">
        <v>530</v>
      </c>
      <c r="D34" s="676"/>
      <c r="E34" s="676"/>
      <c r="F34" s="694">
        <f t="shared" ref="F34:T34" si="18">IFERROR(F33/F32,0)</f>
        <v>0</v>
      </c>
      <c r="G34" s="695">
        <f t="shared" si="18"/>
        <v>0</v>
      </c>
      <c r="H34" s="695">
        <f t="shared" si="18"/>
        <v>0</v>
      </c>
      <c r="I34" s="695">
        <f t="shared" si="18"/>
        <v>0</v>
      </c>
      <c r="J34" s="695">
        <f t="shared" si="18"/>
        <v>0</v>
      </c>
      <c r="K34" s="696">
        <f t="shared" si="18"/>
        <v>0</v>
      </c>
      <c r="L34" s="695">
        <f t="shared" si="18"/>
        <v>0</v>
      </c>
      <c r="M34" s="695">
        <f t="shared" si="18"/>
        <v>0</v>
      </c>
      <c r="N34" s="695">
        <f t="shared" si="18"/>
        <v>0</v>
      </c>
      <c r="O34" s="695">
        <f t="shared" si="18"/>
        <v>0</v>
      </c>
      <c r="P34" s="695">
        <f t="shared" si="18"/>
        <v>0</v>
      </c>
      <c r="Q34" s="696">
        <f t="shared" si="18"/>
        <v>0</v>
      </c>
      <c r="R34" s="695">
        <f t="shared" si="18"/>
        <v>0</v>
      </c>
      <c r="S34" s="695">
        <f t="shared" si="18"/>
        <v>0</v>
      </c>
      <c r="T34" s="697">
        <f t="shared" si="18"/>
        <v>0</v>
      </c>
    </row>
    <row r="35" spans="1:20" ht="15.75" customHeight="1" x14ac:dyDescent="0.2">
      <c r="A35" s="265">
        <f>Inputs!C13</f>
        <v>105807</v>
      </c>
      <c r="B35" s="3"/>
      <c r="C35" s="688" t="s">
        <v>531</v>
      </c>
      <c r="D35" s="689"/>
      <c r="E35" s="689"/>
      <c r="F35" s="702">
        <f t="shared" ref="F35:T35" si="19">F32/$A$35</f>
        <v>2.8353511582409483E-2</v>
      </c>
      <c r="G35" s="703">
        <f t="shared" si="19"/>
        <v>8.5060534747228439E-2</v>
      </c>
      <c r="H35" s="703">
        <f t="shared" si="19"/>
        <v>0.18902341054939653</v>
      </c>
      <c r="I35" s="703">
        <f t="shared" si="19"/>
        <v>0.1417675579120474</v>
      </c>
      <c r="J35" s="703">
        <f t="shared" si="19"/>
        <v>0.11341404632963793</v>
      </c>
      <c r="K35" s="704">
        <f t="shared" si="19"/>
        <v>0</v>
      </c>
      <c r="L35" s="703">
        <f t="shared" si="19"/>
        <v>0</v>
      </c>
      <c r="M35" s="703">
        <f t="shared" si="19"/>
        <v>0</v>
      </c>
      <c r="N35" s="703">
        <f t="shared" si="19"/>
        <v>0</v>
      </c>
      <c r="O35" s="703">
        <f t="shared" si="19"/>
        <v>0</v>
      </c>
      <c r="P35" s="703">
        <f t="shared" si="19"/>
        <v>0</v>
      </c>
      <c r="Q35" s="704">
        <f t="shared" si="19"/>
        <v>2.8353511582409483E-2</v>
      </c>
      <c r="R35" s="703">
        <f t="shared" si="19"/>
        <v>0.5859725727031293</v>
      </c>
      <c r="S35" s="703">
        <f t="shared" si="19"/>
        <v>0.55761906112071979</v>
      </c>
      <c r="T35" s="705">
        <f t="shared" si="19"/>
        <v>2.8353511582409483E-2</v>
      </c>
    </row>
    <row r="36" spans="1:20" ht="15.75" customHeight="1" x14ac:dyDescent="0.2">
      <c r="C36" s="683"/>
      <c r="D36" s="684"/>
      <c r="E36" s="684"/>
      <c r="F36" s="685"/>
      <c r="G36" s="684"/>
      <c r="H36" s="684"/>
      <c r="I36" s="684"/>
      <c r="J36" s="684"/>
      <c r="K36" s="686"/>
      <c r="L36" s="684"/>
      <c r="M36" s="684"/>
      <c r="N36" s="684"/>
      <c r="O36" s="684"/>
      <c r="P36" s="684"/>
      <c r="Q36" s="686"/>
      <c r="R36" s="684"/>
      <c r="S36" s="684"/>
      <c r="T36" s="687"/>
    </row>
    <row r="37" spans="1:20" ht="15.75" customHeight="1" x14ac:dyDescent="0.2">
      <c r="C37" s="683" t="s">
        <v>532</v>
      </c>
      <c r="D37" s="684"/>
      <c r="E37" s="684"/>
      <c r="F37" s="706">
        <f t="shared" ref="F37:Q37" si="20">IFERROR(F26/F$28,"NA")</f>
        <v>0</v>
      </c>
      <c r="G37" s="673">
        <f t="shared" si="20"/>
        <v>0</v>
      </c>
      <c r="H37" s="673">
        <f t="shared" si="20"/>
        <v>0</v>
      </c>
      <c r="I37" s="673">
        <f t="shared" si="20"/>
        <v>0</v>
      </c>
      <c r="J37" s="673">
        <f t="shared" si="20"/>
        <v>0</v>
      </c>
      <c r="K37" s="707">
        <f t="shared" si="20"/>
        <v>0</v>
      </c>
      <c r="L37" s="673">
        <f t="shared" si="20"/>
        <v>0</v>
      </c>
      <c r="M37" s="673">
        <f t="shared" si="20"/>
        <v>0</v>
      </c>
      <c r="N37" s="673">
        <f t="shared" si="20"/>
        <v>0</v>
      </c>
      <c r="O37" s="673">
        <f t="shared" si="20"/>
        <v>0</v>
      </c>
      <c r="P37" s="673">
        <f t="shared" si="20"/>
        <v>0</v>
      </c>
      <c r="Q37" s="707">
        <f t="shared" si="20"/>
        <v>0</v>
      </c>
      <c r="R37" s="708">
        <f t="shared" ref="R37:R42" si="21">SUMPRODUCT(F37:Q37,$F$32:$Q$32)/$R$32</f>
        <v>0</v>
      </c>
      <c r="S37" s="708">
        <f t="shared" ref="S37:S42" si="22">SUMPRODUCT(F37:K37,$F$32:$K$32)/$S$32</f>
        <v>0</v>
      </c>
      <c r="T37" s="709">
        <f t="shared" ref="T37:T42" si="23">SUMPRODUCT(L37:Q37,$L$32:$Q$32)/$T$32</f>
        <v>0</v>
      </c>
    </row>
    <row r="38" spans="1:20" ht="15.75" customHeight="1" x14ac:dyDescent="0.2">
      <c r="C38" s="683" t="s">
        <v>533</v>
      </c>
      <c r="D38" s="684"/>
      <c r="E38" s="684"/>
      <c r="F38" s="706">
        <f t="shared" ref="F38:Q38" si="24">IFERROR(F20/F$28,"NA")</f>
        <v>4.6116666666666672</v>
      </c>
      <c r="G38" s="673">
        <f t="shared" si="24"/>
        <v>3.1180000000000003</v>
      </c>
      <c r="H38" s="673">
        <f t="shared" si="24"/>
        <v>2.4220000000000002</v>
      </c>
      <c r="I38" s="673">
        <f t="shared" si="24"/>
        <v>2.0666666666666669</v>
      </c>
      <c r="J38" s="673">
        <f t="shared" si="24"/>
        <v>1.8233333333333333</v>
      </c>
      <c r="K38" s="707">
        <f t="shared" si="24"/>
        <v>1.7749999999999999</v>
      </c>
      <c r="L38" s="673">
        <f t="shared" si="24"/>
        <v>4.2679999999999998</v>
      </c>
      <c r="M38" s="673">
        <f t="shared" si="24"/>
        <v>3.0194444444444444</v>
      </c>
      <c r="N38" s="673">
        <f t="shared" si="24"/>
        <v>2.2065306122448978</v>
      </c>
      <c r="O38" s="673">
        <f t="shared" si="24"/>
        <v>1.765625</v>
      </c>
      <c r="P38" s="673">
        <f t="shared" si="24"/>
        <v>1.6147222222222224</v>
      </c>
      <c r="Q38" s="707">
        <f t="shared" si="24"/>
        <v>1.4450000000000001</v>
      </c>
      <c r="R38" s="708">
        <f t="shared" si="21"/>
        <v>2.3798709677419354</v>
      </c>
      <c r="S38" s="708">
        <f t="shared" si="22"/>
        <v>2.427406779661017</v>
      </c>
      <c r="T38" s="709">
        <f t="shared" si="23"/>
        <v>1.4450000000000001</v>
      </c>
    </row>
    <row r="39" spans="1:20" ht="15.75" customHeight="1" x14ac:dyDescent="0.2">
      <c r="C39" s="683" t="s">
        <v>534</v>
      </c>
      <c r="D39" s="684"/>
      <c r="E39" s="684"/>
      <c r="F39" s="706">
        <f t="shared" ref="F39:Q39" si="25">IFERROR(F21/F$28,"NA")</f>
        <v>4.7143333333333342</v>
      </c>
      <c r="G39" s="673">
        <f t="shared" si="25"/>
        <v>3.1976</v>
      </c>
      <c r="H39" s="673">
        <f t="shared" si="25"/>
        <v>2.4824000000000002</v>
      </c>
      <c r="I39" s="673">
        <f t="shared" si="25"/>
        <v>2.1553333333333335</v>
      </c>
      <c r="J39" s="673">
        <f t="shared" si="25"/>
        <v>1.8638888888888889</v>
      </c>
      <c r="K39" s="707">
        <f t="shared" si="25"/>
        <v>1.7749999999999999</v>
      </c>
      <c r="L39" s="673">
        <f t="shared" si="25"/>
        <v>4.1449999999999996</v>
      </c>
      <c r="M39" s="673">
        <f t="shared" si="25"/>
        <v>2.778888888888889</v>
      </c>
      <c r="N39" s="673">
        <f t="shared" si="25"/>
        <v>2.2252380952380952</v>
      </c>
      <c r="O39" s="673">
        <f t="shared" si="25"/>
        <v>1.84375</v>
      </c>
      <c r="P39" s="673">
        <f t="shared" si="25"/>
        <v>1.5320833333333335</v>
      </c>
      <c r="Q39" s="707">
        <f t="shared" si="25"/>
        <v>1.3325</v>
      </c>
      <c r="R39" s="708">
        <f t="shared" si="21"/>
        <v>2.439734946236559</v>
      </c>
      <c r="S39" s="708">
        <f t="shared" si="22"/>
        <v>2.4960350282485875</v>
      </c>
      <c r="T39" s="709">
        <f t="shared" si="23"/>
        <v>1.3325</v>
      </c>
    </row>
    <row r="40" spans="1:20" ht="15.75" customHeight="1" x14ac:dyDescent="0.2">
      <c r="C40" s="683" t="s">
        <v>535</v>
      </c>
      <c r="D40" s="684"/>
      <c r="E40" s="684"/>
      <c r="F40" s="706">
        <f t="shared" ref="F40:Q40" si="26">IFERROR(F22/F$28,"NA")</f>
        <v>4.3550000000000004</v>
      </c>
      <c r="G40" s="673">
        <f t="shared" si="26"/>
        <v>2.72</v>
      </c>
      <c r="H40" s="673">
        <f t="shared" si="26"/>
        <v>2.12</v>
      </c>
      <c r="I40" s="673">
        <f t="shared" si="26"/>
        <v>1.845</v>
      </c>
      <c r="J40" s="673">
        <f t="shared" si="26"/>
        <v>1.58</v>
      </c>
      <c r="K40" s="707" t="str">
        <f t="shared" si="26"/>
        <v>NA</v>
      </c>
      <c r="L40" s="673">
        <f t="shared" si="26"/>
        <v>4.3499999999999996</v>
      </c>
      <c r="M40" s="673">
        <f t="shared" si="26"/>
        <v>3.26</v>
      </c>
      <c r="N40" s="673">
        <f t="shared" si="26"/>
        <v>2.1924999999999999</v>
      </c>
      <c r="O40" s="673">
        <f t="shared" si="26"/>
        <v>1.6875</v>
      </c>
      <c r="P40" s="673">
        <f t="shared" si="26"/>
        <v>1.78</v>
      </c>
      <c r="Q40" s="707">
        <f t="shared" si="26"/>
        <v>1.67</v>
      </c>
      <c r="R40" s="708">
        <f t="shared" si="21"/>
        <v>2.1224193548387098</v>
      </c>
      <c r="S40" s="708">
        <f t="shared" si="22"/>
        <v>2.1454237288135594</v>
      </c>
      <c r="T40" s="709">
        <f t="shared" si="23"/>
        <v>1.67</v>
      </c>
    </row>
    <row r="41" spans="1:20" ht="15.75" customHeight="1" x14ac:dyDescent="0.2">
      <c r="C41" s="683" t="s">
        <v>536</v>
      </c>
      <c r="D41" s="684"/>
      <c r="E41" s="684"/>
      <c r="F41" s="706">
        <f t="shared" ref="F41:Q41" si="27">IFERROR(F23/F$28,"NA")</f>
        <v>5.75</v>
      </c>
      <c r="G41" s="673">
        <f t="shared" si="27"/>
        <v>3.61</v>
      </c>
      <c r="H41" s="673">
        <f t="shared" si="27"/>
        <v>2.85</v>
      </c>
      <c r="I41" s="673">
        <f t="shared" si="27"/>
        <v>2.57</v>
      </c>
      <c r="J41" s="673">
        <f t="shared" si="27"/>
        <v>2.14</v>
      </c>
      <c r="K41" s="707">
        <f t="shared" si="27"/>
        <v>2.2200000000000002</v>
      </c>
      <c r="L41" s="673">
        <f t="shared" si="27"/>
        <v>6.85</v>
      </c>
      <c r="M41" s="673">
        <f t="shared" si="27"/>
        <v>4.38</v>
      </c>
      <c r="N41" s="673">
        <f t="shared" si="27"/>
        <v>2.98</v>
      </c>
      <c r="O41" s="673">
        <f t="shared" si="27"/>
        <v>2.29</v>
      </c>
      <c r="P41" s="673">
        <f t="shared" si="27"/>
        <v>2.21</v>
      </c>
      <c r="Q41" s="707">
        <f t="shared" si="27"/>
        <v>1.67</v>
      </c>
      <c r="R41" s="708">
        <f t="shared" si="21"/>
        <v>2.8383870967741935</v>
      </c>
      <c r="S41" s="708">
        <f t="shared" si="22"/>
        <v>2.8977966101694914</v>
      </c>
      <c r="T41" s="709">
        <f t="shared" si="23"/>
        <v>1.67</v>
      </c>
    </row>
    <row r="42" spans="1:20" ht="15.75" customHeight="1" x14ac:dyDescent="0.2">
      <c r="C42" s="683" t="s">
        <v>537</v>
      </c>
      <c r="D42" s="684"/>
      <c r="E42" s="684"/>
      <c r="F42" s="706">
        <f t="shared" ref="F42:Q42" ca="1" si="28">IFERROR(F24/F$28,"NA")</f>
        <v>0</v>
      </c>
      <c r="G42" s="673">
        <f t="shared" ca="1" si="28"/>
        <v>0</v>
      </c>
      <c r="H42" s="673">
        <f t="shared" ca="1" si="28"/>
        <v>0</v>
      </c>
      <c r="I42" s="673">
        <f t="shared" ca="1" si="28"/>
        <v>0</v>
      </c>
      <c r="J42" s="673">
        <f t="shared" ca="1" si="28"/>
        <v>0</v>
      </c>
      <c r="K42" s="707">
        <f t="shared" ca="1" si="28"/>
        <v>0</v>
      </c>
      <c r="L42" s="673">
        <f t="shared" ca="1" si="28"/>
        <v>0</v>
      </c>
      <c r="M42" s="673">
        <f t="shared" ca="1" si="28"/>
        <v>0</v>
      </c>
      <c r="N42" s="673">
        <f t="shared" ca="1" si="28"/>
        <v>0</v>
      </c>
      <c r="O42" s="673">
        <f t="shared" ca="1" si="28"/>
        <v>0</v>
      </c>
      <c r="P42" s="673">
        <f t="shared" ca="1" si="28"/>
        <v>0</v>
      </c>
      <c r="Q42" s="707">
        <f t="shared" ca="1" si="28"/>
        <v>0</v>
      </c>
      <c r="R42" s="708">
        <f t="shared" ca="1" si="21"/>
        <v>0</v>
      </c>
      <c r="S42" s="708">
        <f t="shared" ca="1" si="22"/>
        <v>0</v>
      </c>
      <c r="T42" s="709">
        <f t="shared" ca="1" si="23"/>
        <v>0</v>
      </c>
    </row>
    <row r="43" spans="1:20" ht="15.75" customHeight="1" x14ac:dyDescent="0.2">
      <c r="C43" s="683"/>
      <c r="D43" s="684"/>
      <c r="E43" s="684"/>
      <c r="F43" s="685"/>
      <c r="G43" s="684"/>
      <c r="H43" s="684"/>
      <c r="I43" s="684"/>
      <c r="J43" s="684"/>
      <c r="K43" s="686"/>
      <c r="L43" s="684"/>
      <c r="M43" s="684"/>
      <c r="N43" s="684"/>
      <c r="O43" s="684"/>
      <c r="P43" s="684"/>
      <c r="Q43" s="686"/>
      <c r="R43" s="684"/>
      <c r="S43" s="684"/>
      <c r="T43" s="687"/>
    </row>
    <row r="44" spans="1:20" ht="15.75" customHeight="1" x14ac:dyDescent="0.2">
      <c r="C44" s="710" t="s">
        <v>538</v>
      </c>
      <c r="D44" s="711"/>
      <c r="E44" s="711"/>
      <c r="F44" s="712">
        <f t="shared" ref="F44:Q44" si="29">IFERROR(F$37/F38-1,"NA")</f>
        <v>-1</v>
      </c>
      <c r="G44" s="713">
        <f t="shared" si="29"/>
        <v>-1</v>
      </c>
      <c r="H44" s="713">
        <f t="shared" si="29"/>
        <v>-1</v>
      </c>
      <c r="I44" s="713">
        <f t="shared" si="29"/>
        <v>-1</v>
      </c>
      <c r="J44" s="713">
        <f t="shared" si="29"/>
        <v>-1</v>
      </c>
      <c r="K44" s="714">
        <f t="shared" si="29"/>
        <v>-1</v>
      </c>
      <c r="L44" s="713">
        <f t="shared" si="29"/>
        <v>-1</v>
      </c>
      <c r="M44" s="713">
        <f t="shared" si="29"/>
        <v>-1</v>
      </c>
      <c r="N44" s="713">
        <f t="shared" si="29"/>
        <v>-1</v>
      </c>
      <c r="O44" s="713">
        <f t="shared" si="29"/>
        <v>-1</v>
      </c>
      <c r="P44" s="713">
        <f t="shared" si="29"/>
        <v>-1</v>
      </c>
      <c r="Q44" s="714">
        <f t="shared" si="29"/>
        <v>-1</v>
      </c>
      <c r="R44" s="715">
        <f t="shared" ref="R44:T44" si="30">R$37/R38-1</f>
        <v>-1</v>
      </c>
      <c r="S44" s="715">
        <f t="shared" si="30"/>
        <v>-1</v>
      </c>
      <c r="T44" s="716">
        <f t="shared" si="30"/>
        <v>-1</v>
      </c>
    </row>
    <row r="45" spans="1:20" ht="15.75" customHeight="1" x14ac:dyDescent="0.2">
      <c r="C45" s="710" t="s">
        <v>539</v>
      </c>
      <c r="D45" s="711"/>
      <c r="E45" s="711"/>
      <c r="F45" s="712">
        <f t="shared" ref="F45:Q45" si="31">IFERROR(F$37/F39-1,"NA")</f>
        <v>-1</v>
      </c>
      <c r="G45" s="713">
        <f t="shared" si="31"/>
        <v>-1</v>
      </c>
      <c r="H45" s="713">
        <f t="shared" si="31"/>
        <v>-1</v>
      </c>
      <c r="I45" s="713">
        <f t="shared" si="31"/>
        <v>-1</v>
      </c>
      <c r="J45" s="713">
        <f t="shared" si="31"/>
        <v>-1</v>
      </c>
      <c r="K45" s="714">
        <f t="shared" si="31"/>
        <v>-1</v>
      </c>
      <c r="L45" s="713">
        <f t="shared" si="31"/>
        <v>-1</v>
      </c>
      <c r="M45" s="713">
        <f t="shared" si="31"/>
        <v>-1</v>
      </c>
      <c r="N45" s="713">
        <f t="shared" si="31"/>
        <v>-1</v>
      </c>
      <c r="O45" s="713">
        <f t="shared" si="31"/>
        <v>-1</v>
      </c>
      <c r="P45" s="713">
        <f t="shared" si="31"/>
        <v>-1</v>
      </c>
      <c r="Q45" s="714">
        <f t="shared" si="31"/>
        <v>-1</v>
      </c>
      <c r="R45" s="715">
        <f t="shared" ref="R45:T45" si="32">R$37/R39-1</f>
        <v>-1</v>
      </c>
      <c r="S45" s="715">
        <f t="shared" si="32"/>
        <v>-1</v>
      </c>
      <c r="T45" s="716">
        <f t="shared" si="32"/>
        <v>-1</v>
      </c>
    </row>
    <row r="46" spans="1:20" ht="15.75" customHeight="1" x14ac:dyDescent="0.2">
      <c r="C46" s="710" t="s">
        <v>540</v>
      </c>
      <c r="D46" s="711"/>
      <c r="E46" s="711"/>
      <c r="F46" s="712">
        <f t="shared" ref="F46:Q46" si="33">IFERROR(F$37/F40-1,"NA")</f>
        <v>-1</v>
      </c>
      <c r="G46" s="713">
        <f t="shared" si="33"/>
        <v>-1</v>
      </c>
      <c r="H46" s="713">
        <f t="shared" si="33"/>
        <v>-1</v>
      </c>
      <c r="I46" s="713">
        <f t="shared" si="33"/>
        <v>-1</v>
      </c>
      <c r="J46" s="713">
        <f t="shared" si="33"/>
        <v>-1</v>
      </c>
      <c r="K46" s="714" t="str">
        <f t="shared" si="33"/>
        <v>NA</v>
      </c>
      <c r="L46" s="713">
        <f t="shared" si="33"/>
        <v>-1</v>
      </c>
      <c r="M46" s="713">
        <f t="shared" si="33"/>
        <v>-1</v>
      </c>
      <c r="N46" s="713">
        <f t="shared" si="33"/>
        <v>-1</v>
      </c>
      <c r="O46" s="713">
        <f t="shared" si="33"/>
        <v>-1</v>
      </c>
      <c r="P46" s="713">
        <f t="shared" si="33"/>
        <v>-1</v>
      </c>
      <c r="Q46" s="714">
        <f t="shared" si="33"/>
        <v>-1</v>
      </c>
      <c r="R46" s="715">
        <f t="shared" ref="R46:T46" si="34">R$37/R40-1</f>
        <v>-1</v>
      </c>
      <c r="S46" s="715">
        <f t="shared" si="34"/>
        <v>-1</v>
      </c>
      <c r="T46" s="716">
        <f t="shared" si="34"/>
        <v>-1</v>
      </c>
    </row>
    <row r="47" spans="1:20" ht="15.75" customHeight="1" x14ac:dyDescent="0.2">
      <c r="C47" s="710" t="s">
        <v>541</v>
      </c>
      <c r="D47" s="711"/>
      <c r="E47" s="711"/>
      <c r="F47" s="712">
        <f t="shared" ref="F47:Q47" si="35">IFERROR(F$37/F41-1,"NA")</f>
        <v>-1</v>
      </c>
      <c r="G47" s="713">
        <f t="shared" si="35"/>
        <v>-1</v>
      </c>
      <c r="H47" s="713">
        <f t="shared" si="35"/>
        <v>-1</v>
      </c>
      <c r="I47" s="713">
        <f t="shared" si="35"/>
        <v>-1</v>
      </c>
      <c r="J47" s="713">
        <f t="shared" si="35"/>
        <v>-1</v>
      </c>
      <c r="K47" s="714">
        <f t="shared" si="35"/>
        <v>-1</v>
      </c>
      <c r="L47" s="713">
        <f t="shared" si="35"/>
        <v>-1</v>
      </c>
      <c r="M47" s="713">
        <f t="shared" si="35"/>
        <v>-1</v>
      </c>
      <c r="N47" s="713">
        <f t="shared" si="35"/>
        <v>-1</v>
      </c>
      <c r="O47" s="713">
        <f t="shared" si="35"/>
        <v>-1</v>
      </c>
      <c r="P47" s="713">
        <f t="shared" si="35"/>
        <v>-1</v>
      </c>
      <c r="Q47" s="714">
        <f t="shared" si="35"/>
        <v>-1</v>
      </c>
      <c r="R47" s="715">
        <f t="shared" ref="R47:T47" si="36">R$37/R41-1</f>
        <v>-1</v>
      </c>
      <c r="S47" s="715">
        <f t="shared" si="36"/>
        <v>-1</v>
      </c>
      <c r="T47" s="716">
        <f t="shared" si="36"/>
        <v>-1</v>
      </c>
    </row>
    <row r="48" spans="1:20" ht="15.75" customHeight="1" x14ac:dyDescent="0.2">
      <c r="C48" s="717" t="s">
        <v>542</v>
      </c>
      <c r="D48" s="718"/>
      <c r="E48" s="718"/>
      <c r="F48" s="719" t="str">
        <f t="shared" ref="F48:Q48" ca="1" si="37">IFERROR(F$37/F42-1,"NA")</f>
        <v>NA</v>
      </c>
      <c r="G48" s="720" t="str">
        <f t="shared" ca="1" si="37"/>
        <v>NA</v>
      </c>
      <c r="H48" s="720" t="str">
        <f t="shared" ca="1" si="37"/>
        <v>NA</v>
      </c>
      <c r="I48" s="720" t="str">
        <f t="shared" ca="1" si="37"/>
        <v>NA</v>
      </c>
      <c r="J48" s="720" t="str">
        <f t="shared" ca="1" si="37"/>
        <v>NA</v>
      </c>
      <c r="K48" s="721" t="str">
        <f t="shared" ca="1" si="37"/>
        <v>NA</v>
      </c>
      <c r="L48" s="720" t="str">
        <f t="shared" ca="1" si="37"/>
        <v>NA</v>
      </c>
      <c r="M48" s="720" t="str">
        <f t="shared" ca="1" si="37"/>
        <v>NA</v>
      </c>
      <c r="N48" s="720" t="str">
        <f t="shared" ca="1" si="37"/>
        <v>NA</v>
      </c>
      <c r="O48" s="720" t="str">
        <f t="shared" ca="1" si="37"/>
        <v>NA</v>
      </c>
      <c r="P48" s="720" t="str">
        <f t="shared" ca="1" si="37"/>
        <v>NA</v>
      </c>
      <c r="Q48" s="721" t="str">
        <f t="shared" ca="1" si="37"/>
        <v>NA</v>
      </c>
      <c r="R48" s="722" t="e">
        <f t="shared" ref="R48:T48" ca="1" si="38">R$37/R42-1</f>
        <v>#DIV/0!</v>
      </c>
      <c r="S48" s="722" t="e">
        <f t="shared" ca="1" si="38"/>
        <v>#DIV/0!</v>
      </c>
      <c r="T48" s="723" t="e">
        <f t="shared" ca="1" si="38"/>
        <v>#DIV/0!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F2:K2"/>
    <mergeCell ref="L2:Q2"/>
  </mergeCells>
  <dataValidations count="1">
    <dataValidation type="list" allowBlank="1" showErrorMessage="1" sqref="D5:D19" xr:uid="{00000000-0002-0000-0700-000000000000}">
      <formula1>"REIT,Non REIT"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showGridLines="0" workbookViewId="0"/>
  </sheetViews>
  <sheetFormatPr baseColWidth="10" defaultColWidth="14.5" defaultRowHeight="15" customHeight="1" x14ac:dyDescent="0.2"/>
  <cols>
    <col min="1" max="1" width="38" customWidth="1"/>
    <col min="2" max="2" width="12.5" customWidth="1"/>
    <col min="3" max="4" width="12.33203125" customWidth="1"/>
    <col min="5" max="5" width="12.6640625" customWidth="1"/>
    <col min="6" max="6" width="12.5" customWidth="1"/>
    <col min="7" max="7" width="13.6640625" customWidth="1"/>
    <col min="8" max="8" width="9.6640625" customWidth="1"/>
    <col min="9" max="9" width="10.33203125" customWidth="1"/>
    <col min="10" max="14" width="8.6640625" customWidth="1"/>
  </cols>
  <sheetData>
    <row r="1" spans="1:9" ht="15" customHeight="1" x14ac:dyDescent="0.2">
      <c r="C1" s="11" t="s">
        <v>493</v>
      </c>
    </row>
    <row r="2" spans="1:9" ht="14.25" customHeight="1" x14ac:dyDescent="0.2">
      <c r="B2" s="4" t="s">
        <v>543</v>
      </c>
      <c r="C2" s="724"/>
      <c r="D2" s="7">
        <f t="shared" ref="D2:H2" si="0">IFERROR(VLOOKUP(INT(#REF!),#REF!,3,FALSE),0)</f>
        <v>0</v>
      </c>
      <c r="E2" s="7">
        <f t="shared" si="0"/>
        <v>0</v>
      </c>
      <c r="F2" s="7">
        <f t="shared" si="0"/>
        <v>0</v>
      </c>
      <c r="G2" s="7">
        <f t="shared" si="0"/>
        <v>0</v>
      </c>
      <c r="H2" s="7">
        <f t="shared" si="0"/>
        <v>0</v>
      </c>
      <c r="I2" s="725"/>
    </row>
    <row r="3" spans="1:9" ht="14.25" customHeight="1" x14ac:dyDescent="0.2">
      <c r="B3" s="9" t="s">
        <v>544</v>
      </c>
      <c r="C3" s="20" t="s">
        <v>93</v>
      </c>
      <c r="D3" s="29"/>
      <c r="E3" s="29"/>
      <c r="F3" s="29"/>
      <c r="G3" s="29"/>
      <c r="H3" s="29"/>
      <c r="I3" s="726">
        <f t="shared" ref="I3:I6" si="1">IFERROR(AVERAGEIF(D3:H3,"&lt;&gt;0",$B3:$F3),0)</f>
        <v>0</v>
      </c>
    </row>
    <row r="4" spans="1:9" ht="14.25" customHeight="1" x14ac:dyDescent="0.2">
      <c r="B4" s="9" t="s">
        <v>545</v>
      </c>
      <c r="C4" s="20" t="s">
        <v>61</v>
      </c>
      <c r="D4" s="29"/>
      <c r="E4" s="29"/>
      <c r="F4" s="29"/>
      <c r="G4" s="29"/>
      <c r="H4" s="29"/>
      <c r="I4" s="726">
        <f t="shared" si="1"/>
        <v>0</v>
      </c>
    </row>
    <row r="5" spans="1:9" ht="14.25" customHeight="1" x14ac:dyDescent="0.2">
      <c r="B5" s="9" t="s">
        <v>546</v>
      </c>
      <c r="C5" s="20" t="s">
        <v>99</v>
      </c>
      <c r="D5" s="29"/>
      <c r="E5" s="29"/>
      <c r="F5" s="29"/>
      <c r="G5" s="29"/>
      <c r="H5" s="29"/>
      <c r="I5" s="726">
        <f t="shared" si="1"/>
        <v>0</v>
      </c>
    </row>
    <row r="6" spans="1:9" ht="14.25" customHeight="1" x14ac:dyDescent="0.2">
      <c r="B6" s="9" t="s">
        <v>412</v>
      </c>
      <c r="C6" s="20" t="s">
        <v>547</v>
      </c>
      <c r="D6" s="29"/>
      <c r="E6" s="29"/>
      <c r="F6" s="29"/>
      <c r="G6" s="29"/>
      <c r="H6" s="29"/>
      <c r="I6" s="726">
        <f t="shared" si="1"/>
        <v>0</v>
      </c>
    </row>
    <row r="7" spans="1:9" ht="14.25" customHeight="1" x14ac:dyDescent="0.2">
      <c r="B7" s="9"/>
      <c r="C7" s="20" t="s">
        <v>548</v>
      </c>
      <c r="D7" s="25">
        <f t="shared" ref="D7:I7" si="2">IFERROR(D4/D3,0)</f>
        <v>0</v>
      </c>
      <c r="E7" s="29">
        <f t="shared" si="2"/>
        <v>0</v>
      </c>
      <c r="F7" s="29">
        <f t="shared" si="2"/>
        <v>0</v>
      </c>
      <c r="G7" s="29">
        <f t="shared" si="2"/>
        <v>0</v>
      </c>
      <c r="H7" s="29">
        <f t="shared" si="2"/>
        <v>0</v>
      </c>
      <c r="I7" s="727">
        <f t="shared" si="2"/>
        <v>0</v>
      </c>
    </row>
    <row r="8" spans="1:9" ht="14.25" customHeight="1" x14ac:dyDescent="0.2">
      <c r="B8" s="9"/>
      <c r="C8" s="728" t="s">
        <v>549</v>
      </c>
      <c r="D8" s="101" t="str">
        <f t="shared" ref="D8:H8" si="3">IFERROR(D6/D5,"")</f>
        <v/>
      </c>
      <c r="E8" s="101" t="str">
        <f t="shared" si="3"/>
        <v/>
      </c>
      <c r="F8" s="101" t="str">
        <f t="shared" si="3"/>
        <v/>
      </c>
      <c r="G8" s="101" t="str">
        <f t="shared" si="3"/>
        <v/>
      </c>
      <c r="H8" s="101" t="str">
        <f t="shared" si="3"/>
        <v/>
      </c>
      <c r="I8" s="729">
        <f t="shared" ref="I8:I12" si="4">IFERROR(AVERAGEIF(D8:H8,"&lt;&gt;0",$B8:$F8),0)</f>
        <v>0</v>
      </c>
    </row>
    <row r="9" spans="1:9" ht="14.25" customHeight="1" x14ac:dyDescent="0.2">
      <c r="B9" s="4">
        <v>4100</v>
      </c>
      <c r="C9" s="724" t="s">
        <v>26</v>
      </c>
      <c r="D9" s="730"/>
      <c r="E9" s="730"/>
      <c r="F9" s="730"/>
      <c r="G9" s="730"/>
      <c r="H9" s="730"/>
      <c r="I9" s="731">
        <f t="shared" si="4"/>
        <v>4100</v>
      </c>
    </row>
    <row r="10" spans="1:9" ht="14.25" customHeight="1" x14ac:dyDescent="0.2">
      <c r="B10" s="9">
        <v>4700</v>
      </c>
      <c r="C10" s="20" t="s">
        <v>550</v>
      </c>
      <c r="D10" s="29"/>
      <c r="E10" s="29"/>
      <c r="F10" s="29"/>
      <c r="G10" s="29"/>
      <c r="H10" s="29"/>
      <c r="I10" s="726">
        <f t="shared" si="4"/>
        <v>4700</v>
      </c>
    </row>
    <row r="11" spans="1:9" ht="14.25" customHeight="1" x14ac:dyDescent="0.2">
      <c r="A11" s="732"/>
      <c r="B11" s="11" t="s">
        <v>170</v>
      </c>
      <c r="C11" s="20" t="s">
        <v>551</v>
      </c>
      <c r="D11" s="29"/>
      <c r="E11" s="29"/>
      <c r="F11" s="29"/>
      <c r="G11" s="29"/>
      <c r="H11" s="29"/>
      <c r="I11" s="726">
        <f t="shared" si="4"/>
        <v>0</v>
      </c>
    </row>
    <row r="12" spans="1:9" ht="14.25" customHeight="1" x14ac:dyDescent="0.2">
      <c r="A12" s="732"/>
      <c r="B12" s="11" t="s">
        <v>552</v>
      </c>
      <c r="C12" s="20" t="s">
        <v>117</v>
      </c>
      <c r="D12" s="29"/>
      <c r="E12" s="29"/>
      <c r="F12" s="29"/>
      <c r="G12" s="29"/>
      <c r="H12" s="29"/>
      <c r="I12" s="726">
        <f t="shared" si="4"/>
        <v>0</v>
      </c>
    </row>
    <row r="13" spans="1:9" ht="14.25" customHeight="1" x14ac:dyDescent="0.2">
      <c r="A13" s="732"/>
      <c r="C13" s="20" t="s">
        <v>11</v>
      </c>
      <c r="D13" s="75">
        <f t="shared" ref="D13:I13" si="5">IFERROR(D12/D4,0)</f>
        <v>0</v>
      </c>
      <c r="E13" s="29">
        <f t="shared" si="5"/>
        <v>0</v>
      </c>
      <c r="F13" s="29">
        <f t="shared" si="5"/>
        <v>0</v>
      </c>
      <c r="G13" s="29">
        <f t="shared" si="5"/>
        <v>0</v>
      </c>
      <c r="H13" s="29">
        <f t="shared" si="5"/>
        <v>0</v>
      </c>
      <c r="I13" s="88">
        <f t="shared" si="5"/>
        <v>0</v>
      </c>
    </row>
    <row r="14" spans="1:9" ht="14.25" customHeight="1" x14ac:dyDescent="0.2">
      <c r="A14" s="732"/>
      <c r="C14" s="728" t="s">
        <v>553</v>
      </c>
      <c r="D14" s="574">
        <f t="shared" ref="D14:I14" si="6">IFERROR(D10/D12,0)</f>
        <v>0</v>
      </c>
      <c r="E14" s="574">
        <f t="shared" si="6"/>
        <v>0</v>
      </c>
      <c r="F14" s="574">
        <f t="shared" si="6"/>
        <v>0</v>
      </c>
      <c r="G14" s="574">
        <f t="shared" si="6"/>
        <v>0</v>
      </c>
      <c r="H14" s="576">
        <f t="shared" si="6"/>
        <v>0</v>
      </c>
      <c r="I14" s="733">
        <f t="shared" si="6"/>
        <v>0</v>
      </c>
    </row>
    <row r="15" spans="1:9" ht="14.25" customHeight="1" x14ac:dyDescent="0.2">
      <c r="A15" s="732"/>
      <c r="C15" s="728" t="s">
        <v>554</v>
      </c>
      <c r="D15" s="574">
        <f t="shared" ref="D15:I15" si="7">IFERROR(D11/D9,0)</f>
        <v>0</v>
      </c>
      <c r="E15" s="574">
        <f t="shared" si="7"/>
        <v>0</v>
      </c>
      <c r="F15" s="574">
        <f t="shared" si="7"/>
        <v>0</v>
      </c>
      <c r="G15" s="574">
        <f t="shared" si="7"/>
        <v>0</v>
      </c>
      <c r="H15" s="576">
        <f t="shared" si="7"/>
        <v>0</v>
      </c>
      <c r="I15" s="733">
        <f t="shared" si="7"/>
        <v>0</v>
      </c>
    </row>
    <row r="16" spans="1:9" ht="14.25" customHeight="1" x14ac:dyDescent="0.2">
      <c r="A16" s="732"/>
      <c r="B16" s="11">
        <v>4281</v>
      </c>
      <c r="C16" s="20" t="s">
        <v>555</v>
      </c>
      <c r="D16" s="29"/>
      <c r="E16" s="29"/>
      <c r="F16" s="29"/>
      <c r="G16" s="29"/>
      <c r="H16" s="29"/>
      <c r="I16" s="726">
        <f t="shared" ref="I16:I26" si="8">IFERROR(AVERAGEIF(D16:H16,"&lt;&gt;0",$D16:$H16),0)</f>
        <v>0</v>
      </c>
    </row>
    <row r="17" spans="1:15" ht="14.25" customHeight="1" x14ac:dyDescent="0.2">
      <c r="A17" s="732"/>
      <c r="B17" s="11">
        <v>4282</v>
      </c>
      <c r="C17" s="20" t="s">
        <v>556</v>
      </c>
      <c r="D17" s="29"/>
      <c r="E17" s="29"/>
      <c r="F17" s="29"/>
      <c r="G17" s="29"/>
      <c r="H17" s="29"/>
      <c r="I17" s="726">
        <f t="shared" si="8"/>
        <v>0</v>
      </c>
      <c r="K17" s="25"/>
      <c r="L17" s="25"/>
      <c r="M17" s="25"/>
      <c r="N17" s="25"/>
      <c r="O17" s="25"/>
    </row>
    <row r="18" spans="1:15" ht="14.25" customHeight="1" x14ac:dyDescent="0.2">
      <c r="A18" s="732"/>
      <c r="B18" s="11">
        <v>4283</v>
      </c>
      <c r="C18" s="20" t="s">
        <v>557</v>
      </c>
      <c r="D18" s="29"/>
      <c r="E18" s="29"/>
      <c r="F18" s="29"/>
      <c r="G18" s="29"/>
      <c r="H18" s="29"/>
      <c r="I18" s="726">
        <f t="shared" si="8"/>
        <v>0</v>
      </c>
    </row>
    <row r="19" spans="1:15" ht="14.25" customHeight="1" x14ac:dyDescent="0.2">
      <c r="A19" s="732"/>
      <c r="B19" s="11">
        <v>4284</v>
      </c>
      <c r="C19" s="20" t="s">
        <v>558</v>
      </c>
      <c r="D19" s="29"/>
      <c r="E19" s="29"/>
      <c r="F19" s="29"/>
      <c r="G19" s="29"/>
      <c r="H19" s="29"/>
      <c r="I19" s="726">
        <f t="shared" si="8"/>
        <v>0</v>
      </c>
    </row>
    <row r="20" spans="1:15" ht="14.25" customHeight="1" x14ac:dyDescent="0.2">
      <c r="B20" s="9">
        <v>4286</v>
      </c>
      <c r="C20" s="20" t="s">
        <v>559</v>
      </c>
      <c r="D20" s="29"/>
      <c r="E20" s="29"/>
      <c r="F20" s="29"/>
      <c r="G20" s="29"/>
      <c r="H20" s="29"/>
      <c r="I20" s="726">
        <f t="shared" si="8"/>
        <v>0</v>
      </c>
    </row>
    <row r="21" spans="1:15" ht="14.25" customHeight="1" x14ac:dyDescent="0.2">
      <c r="B21" s="9">
        <v>4285</v>
      </c>
      <c r="C21" s="20" t="s">
        <v>198</v>
      </c>
      <c r="D21" s="29"/>
      <c r="E21" s="29"/>
      <c r="F21" s="29"/>
      <c r="G21" s="29"/>
      <c r="H21" s="29"/>
      <c r="I21" s="726">
        <f t="shared" si="8"/>
        <v>0</v>
      </c>
    </row>
    <row r="22" spans="1:15" ht="14.25" customHeight="1" x14ac:dyDescent="0.2">
      <c r="B22" s="9">
        <v>4287</v>
      </c>
      <c r="C22" s="20" t="s">
        <v>346</v>
      </c>
      <c r="D22" s="29"/>
      <c r="E22" s="29"/>
      <c r="F22" s="29"/>
      <c r="G22" s="29"/>
      <c r="H22" s="29"/>
      <c r="I22" s="726">
        <f t="shared" si="8"/>
        <v>0</v>
      </c>
    </row>
    <row r="23" spans="1:15" ht="14.25" customHeight="1" x14ac:dyDescent="0.2">
      <c r="B23" s="9">
        <v>4288</v>
      </c>
      <c r="C23" s="20" t="s">
        <v>205</v>
      </c>
      <c r="D23" s="29"/>
      <c r="E23" s="29"/>
      <c r="F23" s="29"/>
      <c r="G23" s="29"/>
      <c r="H23" s="29"/>
      <c r="I23" s="726">
        <f t="shared" si="8"/>
        <v>0</v>
      </c>
    </row>
    <row r="24" spans="1:15" ht="14.25" customHeight="1" x14ac:dyDescent="0.2">
      <c r="B24" s="9">
        <v>4255</v>
      </c>
      <c r="C24" s="20" t="s">
        <v>347</v>
      </c>
      <c r="D24" s="29"/>
      <c r="E24" s="29"/>
      <c r="F24" s="29"/>
      <c r="G24" s="29"/>
      <c r="H24" s="29"/>
      <c r="I24" s="726">
        <f t="shared" si="8"/>
        <v>0</v>
      </c>
    </row>
    <row r="25" spans="1:15" ht="14.25" customHeight="1" x14ac:dyDescent="0.2">
      <c r="B25" s="9">
        <v>7102</v>
      </c>
      <c r="C25" s="20" t="s">
        <v>560</v>
      </c>
      <c r="D25" s="29"/>
      <c r="E25" s="29"/>
      <c r="F25" s="29"/>
      <c r="G25" s="29"/>
      <c r="H25" s="29"/>
      <c r="I25" s="726">
        <f t="shared" si="8"/>
        <v>0</v>
      </c>
    </row>
    <row r="26" spans="1:15" ht="14.25" customHeight="1" x14ac:dyDescent="0.2">
      <c r="B26" s="9">
        <v>4961</v>
      </c>
      <c r="C26" s="20" t="s">
        <v>452</v>
      </c>
      <c r="D26" s="29"/>
      <c r="E26" s="29"/>
      <c r="F26" s="29"/>
      <c r="G26" s="29"/>
      <c r="H26" s="29"/>
      <c r="I26" s="726">
        <f t="shared" si="8"/>
        <v>0</v>
      </c>
    </row>
    <row r="27" spans="1:15" ht="14.25" customHeight="1" x14ac:dyDescent="0.2">
      <c r="B27" s="9" t="s">
        <v>561</v>
      </c>
      <c r="C27" s="728" t="s">
        <v>562</v>
      </c>
      <c r="D27" s="265"/>
      <c r="E27" s="265"/>
      <c r="F27" s="265"/>
      <c r="G27" s="265"/>
      <c r="H27" s="265"/>
      <c r="I27" s="734">
        <f t="shared" ref="I27:I28" si="9">IFERROR(AVERAGEIF(D27:H27,"&lt;&gt;0",$B27:$F27),0)</f>
        <v>0</v>
      </c>
    </row>
    <row r="28" spans="1:15" ht="14.25" customHeight="1" x14ac:dyDescent="0.2">
      <c r="B28" s="9"/>
      <c r="C28" s="20" t="s">
        <v>563</v>
      </c>
      <c r="D28" s="273"/>
      <c r="E28" s="273"/>
      <c r="F28" s="273"/>
      <c r="G28" s="273"/>
      <c r="H28" s="273"/>
      <c r="I28" s="735">
        <f t="shared" si="9"/>
        <v>0</v>
      </c>
    </row>
    <row r="29" spans="1:15" ht="14.25" customHeight="1" x14ac:dyDescent="0.2">
      <c r="B29" s="4">
        <v>6100</v>
      </c>
      <c r="C29" s="736" t="s">
        <v>87</v>
      </c>
      <c r="D29" s="556"/>
      <c r="E29" s="556"/>
      <c r="F29" s="556"/>
      <c r="G29" s="556"/>
      <c r="H29" s="556"/>
      <c r="I29" s="737">
        <f t="shared" ref="I29:I127" si="10">IFERROR(AVERAGEIF(D29:H29,"&lt;&gt;0",$D29:$H29),0)</f>
        <v>0</v>
      </c>
    </row>
    <row r="30" spans="1:15" ht="14.25" customHeight="1" x14ac:dyDescent="0.2">
      <c r="B30" s="9">
        <v>6112</v>
      </c>
      <c r="C30" s="20" t="s">
        <v>64</v>
      </c>
      <c r="D30" s="29"/>
      <c r="E30" s="29"/>
      <c r="F30" s="29"/>
      <c r="G30" s="29"/>
      <c r="H30" s="29"/>
      <c r="I30" s="726">
        <f t="shared" si="10"/>
        <v>0</v>
      </c>
    </row>
    <row r="31" spans="1:15" ht="14.25" customHeight="1" x14ac:dyDescent="0.2">
      <c r="B31" s="9">
        <v>6113</v>
      </c>
      <c r="C31" s="20" t="s">
        <v>564</v>
      </c>
      <c r="D31" s="29"/>
      <c r="E31" s="29"/>
      <c r="F31" s="29"/>
      <c r="G31" s="29"/>
      <c r="H31" s="29"/>
      <c r="I31" s="726">
        <f t="shared" si="10"/>
        <v>0</v>
      </c>
      <c r="J31" s="71"/>
    </row>
    <row r="32" spans="1:15" ht="14.25" customHeight="1" x14ac:dyDescent="0.2">
      <c r="B32" s="9">
        <v>6118</v>
      </c>
      <c r="C32" s="20" t="s">
        <v>362</v>
      </c>
      <c r="D32" s="29"/>
      <c r="E32" s="29"/>
      <c r="F32" s="29"/>
      <c r="G32" s="29"/>
      <c r="H32" s="29"/>
      <c r="I32" s="726">
        <f t="shared" si="10"/>
        <v>0</v>
      </c>
    </row>
    <row r="33" spans="2:15" ht="14.25" customHeight="1" x14ac:dyDescent="0.2">
      <c r="B33" s="9">
        <v>6128</v>
      </c>
      <c r="C33" s="20" t="s">
        <v>565</v>
      </c>
      <c r="D33" s="29"/>
      <c r="E33" s="29"/>
      <c r="F33" s="29"/>
      <c r="G33" s="29"/>
      <c r="H33" s="29"/>
      <c r="I33" s="726">
        <f t="shared" si="10"/>
        <v>0</v>
      </c>
    </row>
    <row r="34" spans="2:15" ht="14.25" customHeight="1" x14ac:dyDescent="0.2">
      <c r="B34" s="9">
        <v>6130</v>
      </c>
      <c r="C34" s="20" t="s">
        <v>566</v>
      </c>
      <c r="D34" s="29"/>
      <c r="E34" s="29"/>
      <c r="F34" s="29"/>
      <c r="G34" s="29"/>
      <c r="H34" s="29"/>
      <c r="I34" s="726">
        <f t="shared" si="10"/>
        <v>0</v>
      </c>
    </row>
    <row r="35" spans="2:15" ht="14.25" customHeight="1" x14ac:dyDescent="0.2">
      <c r="B35" s="9">
        <v>6135</v>
      </c>
      <c r="C35" s="20" t="s">
        <v>363</v>
      </c>
      <c r="D35" s="29"/>
      <c r="E35" s="29"/>
      <c r="F35" s="29"/>
      <c r="G35" s="29"/>
      <c r="H35" s="29"/>
      <c r="I35" s="726">
        <f t="shared" si="10"/>
        <v>0</v>
      </c>
    </row>
    <row r="36" spans="2:15" ht="14.25" customHeight="1" x14ac:dyDescent="0.2">
      <c r="B36" s="9">
        <v>6283</v>
      </c>
      <c r="C36" s="20" t="s">
        <v>567</v>
      </c>
      <c r="D36" s="29"/>
      <c r="E36" s="29"/>
      <c r="F36" s="29"/>
      <c r="G36" s="29"/>
      <c r="H36" s="29"/>
      <c r="I36" s="726">
        <f t="shared" si="10"/>
        <v>0</v>
      </c>
    </row>
    <row r="37" spans="2:15" ht="14.25" customHeight="1" x14ac:dyDescent="0.2">
      <c r="B37" s="16"/>
      <c r="C37" s="738" t="s">
        <v>568</v>
      </c>
      <c r="D37" s="739"/>
      <c r="E37" s="739"/>
      <c r="F37" s="739"/>
      <c r="G37" s="739"/>
      <c r="H37" s="740"/>
      <c r="I37" s="741">
        <f t="shared" si="10"/>
        <v>0</v>
      </c>
    </row>
    <row r="38" spans="2:15" ht="14.25" customHeight="1" x14ac:dyDescent="0.2">
      <c r="B38" s="4">
        <v>6150</v>
      </c>
      <c r="C38" s="724" t="s">
        <v>84</v>
      </c>
      <c r="D38" s="730"/>
      <c r="E38" s="730"/>
      <c r="F38" s="730"/>
      <c r="G38" s="730"/>
      <c r="H38" s="730"/>
      <c r="I38" s="731">
        <f t="shared" si="10"/>
        <v>0</v>
      </c>
    </row>
    <row r="39" spans="2:15" ht="14.25" customHeight="1" x14ac:dyDescent="0.2">
      <c r="B39" s="9">
        <v>6158</v>
      </c>
      <c r="C39" s="20" t="s">
        <v>88</v>
      </c>
      <c r="D39" s="29"/>
      <c r="E39" s="29"/>
      <c r="F39" s="29"/>
      <c r="G39" s="29"/>
      <c r="H39" s="29"/>
      <c r="I39" s="726">
        <f t="shared" si="10"/>
        <v>0</v>
      </c>
    </row>
    <row r="40" spans="2:15" ht="14.25" customHeight="1" x14ac:dyDescent="0.2">
      <c r="B40" s="9">
        <v>6184</v>
      </c>
      <c r="C40" s="20" t="s">
        <v>91</v>
      </c>
      <c r="D40" s="29"/>
      <c r="E40" s="29"/>
      <c r="F40" s="29"/>
      <c r="G40" s="29"/>
      <c r="H40" s="29"/>
      <c r="I40" s="726">
        <f t="shared" si="10"/>
        <v>0</v>
      </c>
      <c r="K40" s="71"/>
      <c r="L40" s="71"/>
      <c r="M40" s="71"/>
      <c r="N40" s="71"/>
      <c r="O40" s="71"/>
    </row>
    <row r="41" spans="2:15" ht="14.25" customHeight="1" x14ac:dyDescent="0.2">
      <c r="B41" s="9">
        <v>6185</v>
      </c>
      <c r="C41" s="20" t="s">
        <v>95</v>
      </c>
      <c r="D41" s="29"/>
      <c r="E41" s="29"/>
      <c r="F41" s="29"/>
      <c r="G41" s="29"/>
      <c r="H41" s="29"/>
      <c r="I41" s="726">
        <f t="shared" si="10"/>
        <v>0</v>
      </c>
    </row>
    <row r="42" spans="2:15" ht="14.25" customHeight="1" x14ac:dyDescent="0.2">
      <c r="B42" s="9">
        <v>6186</v>
      </c>
      <c r="C42" s="20" t="s">
        <v>100</v>
      </c>
      <c r="D42" s="29"/>
      <c r="E42" s="29"/>
      <c r="F42" s="29"/>
      <c r="G42" s="29"/>
      <c r="H42" s="29"/>
      <c r="I42" s="726">
        <f t="shared" si="10"/>
        <v>0</v>
      </c>
    </row>
    <row r="43" spans="2:15" ht="14.25" customHeight="1" x14ac:dyDescent="0.2">
      <c r="B43" s="9">
        <v>6187</v>
      </c>
      <c r="C43" s="20" t="s">
        <v>107</v>
      </c>
      <c r="D43" s="29"/>
      <c r="E43" s="29"/>
      <c r="F43" s="29"/>
      <c r="G43" s="29"/>
      <c r="H43" s="29"/>
      <c r="I43" s="726">
        <f t="shared" si="10"/>
        <v>0</v>
      </c>
    </row>
    <row r="44" spans="2:15" ht="14.25" customHeight="1" x14ac:dyDescent="0.2">
      <c r="B44" s="9">
        <v>6188</v>
      </c>
      <c r="C44" s="20" t="s">
        <v>569</v>
      </c>
      <c r="D44" s="29"/>
      <c r="E44" s="29"/>
      <c r="F44" s="29"/>
      <c r="G44" s="29"/>
      <c r="H44" s="29"/>
      <c r="I44" s="726">
        <f t="shared" si="10"/>
        <v>0</v>
      </c>
    </row>
    <row r="45" spans="2:15" ht="14.25" customHeight="1" x14ac:dyDescent="0.2">
      <c r="B45" s="9">
        <v>6200</v>
      </c>
      <c r="C45" s="20" t="s">
        <v>111</v>
      </c>
      <c r="D45" s="29"/>
      <c r="E45" s="29"/>
      <c r="F45" s="29"/>
      <c r="G45" s="29"/>
      <c r="H45" s="29"/>
      <c r="I45" s="726">
        <f t="shared" si="10"/>
        <v>0</v>
      </c>
    </row>
    <row r="46" spans="2:15" ht="14.25" customHeight="1" x14ac:dyDescent="0.2">
      <c r="B46" s="9">
        <v>6202</v>
      </c>
      <c r="C46" s="20" t="s">
        <v>570</v>
      </c>
      <c r="D46" s="29"/>
      <c r="E46" s="29"/>
      <c r="F46" s="29"/>
      <c r="G46" s="29"/>
      <c r="H46" s="29"/>
      <c r="I46" s="726">
        <f t="shared" si="10"/>
        <v>0</v>
      </c>
    </row>
    <row r="47" spans="2:15" ht="14.25" customHeight="1" x14ac:dyDescent="0.2">
      <c r="B47" s="9">
        <v>6205</v>
      </c>
      <c r="C47" s="20" t="s">
        <v>114</v>
      </c>
      <c r="D47" s="29"/>
      <c r="E47" s="29"/>
      <c r="F47" s="29"/>
      <c r="G47" s="29"/>
      <c r="H47" s="29"/>
      <c r="I47" s="726">
        <f t="shared" si="10"/>
        <v>0</v>
      </c>
    </row>
    <row r="48" spans="2:15" ht="14.25" customHeight="1" x14ac:dyDescent="0.2">
      <c r="B48" s="16"/>
      <c r="C48" s="738" t="s">
        <v>571</v>
      </c>
      <c r="D48" s="739"/>
      <c r="E48" s="739"/>
      <c r="F48" s="739"/>
      <c r="G48" s="739"/>
      <c r="H48" s="739"/>
      <c r="I48" s="741">
        <f t="shared" si="10"/>
        <v>0</v>
      </c>
    </row>
    <row r="49" spans="2:9" ht="14.25" customHeight="1" x14ac:dyDescent="0.2">
      <c r="B49" s="4">
        <v>6189</v>
      </c>
      <c r="C49" s="724" t="s">
        <v>120</v>
      </c>
      <c r="D49" s="730"/>
      <c r="E49" s="730"/>
      <c r="F49" s="730"/>
      <c r="G49" s="730"/>
      <c r="H49" s="730"/>
      <c r="I49" s="731">
        <f t="shared" si="10"/>
        <v>0</v>
      </c>
    </row>
    <row r="50" spans="2:9" ht="14.25" customHeight="1" x14ac:dyDescent="0.2">
      <c r="B50" s="9">
        <v>6192</v>
      </c>
      <c r="C50" s="20" t="s">
        <v>122</v>
      </c>
      <c r="D50" s="29"/>
      <c r="E50" s="29"/>
      <c r="F50" s="29"/>
      <c r="G50" s="29"/>
      <c r="H50" s="29"/>
      <c r="I50" s="726">
        <f t="shared" si="10"/>
        <v>0</v>
      </c>
    </row>
    <row r="51" spans="2:9" ht="14.25" customHeight="1" x14ac:dyDescent="0.2">
      <c r="B51" s="9">
        <v>6193</v>
      </c>
      <c r="C51" s="20" t="s">
        <v>572</v>
      </c>
      <c r="D51" s="29"/>
      <c r="E51" s="29"/>
      <c r="F51" s="29"/>
      <c r="G51" s="29"/>
      <c r="H51" s="29"/>
      <c r="I51" s="726">
        <f t="shared" si="10"/>
        <v>0</v>
      </c>
    </row>
    <row r="52" spans="2:9" ht="14.25" customHeight="1" x14ac:dyDescent="0.2">
      <c r="B52" s="9">
        <v>6194</v>
      </c>
      <c r="C52" s="20" t="s">
        <v>573</v>
      </c>
      <c r="D52" s="29"/>
      <c r="E52" s="29"/>
      <c r="F52" s="29"/>
      <c r="G52" s="29"/>
      <c r="H52" s="29"/>
      <c r="I52" s="726">
        <f t="shared" si="10"/>
        <v>0</v>
      </c>
    </row>
    <row r="53" spans="2:9" ht="14.25" customHeight="1" x14ac:dyDescent="0.2">
      <c r="B53" s="9">
        <v>6195</v>
      </c>
      <c r="C53" s="20" t="s">
        <v>574</v>
      </c>
      <c r="D53" s="29"/>
      <c r="E53" s="29"/>
      <c r="F53" s="29"/>
      <c r="G53" s="29"/>
      <c r="H53" s="29"/>
      <c r="I53" s="726">
        <f t="shared" si="10"/>
        <v>0</v>
      </c>
    </row>
    <row r="54" spans="2:9" ht="14.25" customHeight="1" x14ac:dyDescent="0.2">
      <c r="B54" s="9">
        <v>6196</v>
      </c>
      <c r="C54" s="20" t="s">
        <v>575</v>
      </c>
      <c r="D54" s="29"/>
      <c r="E54" s="29"/>
      <c r="F54" s="29"/>
      <c r="G54" s="29"/>
      <c r="H54" s="29"/>
      <c r="I54" s="726">
        <f t="shared" si="10"/>
        <v>0</v>
      </c>
    </row>
    <row r="55" spans="2:9" ht="14.25" customHeight="1" x14ac:dyDescent="0.2">
      <c r="B55" s="9">
        <v>6197</v>
      </c>
      <c r="C55" s="20" t="s">
        <v>576</v>
      </c>
      <c r="D55" s="29"/>
      <c r="E55" s="29"/>
      <c r="F55" s="29"/>
      <c r="G55" s="29"/>
      <c r="H55" s="29"/>
      <c r="I55" s="726">
        <f t="shared" si="10"/>
        <v>0</v>
      </c>
    </row>
    <row r="56" spans="2:9" ht="14.25" customHeight="1" x14ac:dyDescent="0.2">
      <c r="B56" s="9">
        <v>6198</v>
      </c>
      <c r="C56" s="20" t="s">
        <v>577</v>
      </c>
      <c r="D56" s="29"/>
      <c r="E56" s="29"/>
      <c r="F56" s="29"/>
      <c r="G56" s="29"/>
      <c r="H56" s="29"/>
      <c r="I56" s="726">
        <f t="shared" si="10"/>
        <v>0</v>
      </c>
    </row>
    <row r="57" spans="2:9" ht="14.25" customHeight="1" x14ac:dyDescent="0.2">
      <c r="B57" s="9">
        <v>6199</v>
      </c>
      <c r="C57" s="20" t="s">
        <v>578</v>
      </c>
      <c r="D57" s="29"/>
      <c r="E57" s="29"/>
      <c r="F57" s="29"/>
      <c r="G57" s="29"/>
      <c r="H57" s="29"/>
      <c r="I57" s="726">
        <f t="shared" si="10"/>
        <v>0</v>
      </c>
    </row>
    <row r="58" spans="2:9" ht="14.25" customHeight="1" x14ac:dyDescent="0.2">
      <c r="B58" s="9">
        <v>6201</v>
      </c>
      <c r="C58" s="20" t="s">
        <v>149</v>
      </c>
      <c r="D58" s="29"/>
      <c r="E58" s="29"/>
      <c r="F58" s="29"/>
      <c r="G58" s="29"/>
      <c r="H58" s="29"/>
      <c r="I58" s="726">
        <f t="shared" si="10"/>
        <v>0</v>
      </c>
    </row>
    <row r="59" spans="2:9" ht="14.25" customHeight="1" x14ac:dyDescent="0.2">
      <c r="B59" s="9">
        <v>6203</v>
      </c>
      <c r="C59" s="20" t="s">
        <v>151</v>
      </c>
      <c r="D59" s="29"/>
      <c r="E59" s="29"/>
      <c r="F59" s="29"/>
      <c r="G59" s="29"/>
      <c r="H59" s="29"/>
      <c r="I59" s="726">
        <f t="shared" si="10"/>
        <v>0</v>
      </c>
    </row>
    <row r="60" spans="2:9" ht="14.25" customHeight="1" x14ac:dyDescent="0.2">
      <c r="B60" s="9">
        <v>6204</v>
      </c>
      <c r="C60" s="20" t="s">
        <v>579</v>
      </c>
      <c r="D60" s="29"/>
      <c r="E60" s="29"/>
      <c r="F60" s="29"/>
      <c r="G60" s="29"/>
      <c r="H60" s="29"/>
      <c r="I60" s="726">
        <f t="shared" si="10"/>
        <v>0</v>
      </c>
    </row>
    <row r="61" spans="2:9" ht="14.25" customHeight="1" x14ac:dyDescent="0.2">
      <c r="B61" s="9">
        <v>6206</v>
      </c>
      <c r="C61" s="20" t="s">
        <v>580</v>
      </c>
      <c r="D61" s="29"/>
      <c r="E61" s="29"/>
      <c r="F61" s="29"/>
      <c r="G61" s="29"/>
      <c r="H61" s="29"/>
      <c r="I61" s="726">
        <f t="shared" si="10"/>
        <v>0</v>
      </c>
    </row>
    <row r="62" spans="2:9" ht="14.25" customHeight="1" x14ac:dyDescent="0.2">
      <c r="B62" s="9">
        <v>6321</v>
      </c>
      <c r="C62" s="20" t="s">
        <v>581</v>
      </c>
      <c r="D62" s="29"/>
      <c r="E62" s="29"/>
      <c r="F62" s="29"/>
      <c r="G62" s="29"/>
      <c r="H62" s="29"/>
      <c r="I62" s="726">
        <f t="shared" si="10"/>
        <v>0</v>
      </c>
    </row>
    <row r="63" spans="2:9" ht="14.25" customHeight="1" x14ac:dyDescent="0.2">
      <c r="B63" s="16"/>
      <c r="C63" s="738" t="s">
        <v>582</v>
      </c>
      <c r="D63" s="739"/>
      <c r="E63" s="739"/>
      <c r="F63" s="739"/>
      <c r="G63" s="739"/>
      <c r="H63" s="740"/>
      <c r="I63" s="740">
        <f t="shared" si="10"/>
        <v>0</v>
      </c>
    </row>
    <row r="64" spans="2:9" ht="14.25" customHeight="1" x14ac:dyDescent="0.2">
      <c r="B64" s="4">
        <v>6122</v>
      </c>
      <c r="C64" s="724" t="s">
        <v>174</v>
      </c>
      <c r="D64" s="730"/>
      <c r="E64" s="730"/>
      <c r="F64" s="730"/>
      <c r="G64" s="730"/>
      <c r="H64" s="730"/>
      <c r="I64" s="731">
        <f t="shared" si="10"/>
        <v>0</v>
      </c>
    </row>
    <row r="65" spans="2:9" ht="14.25" customHeight="1" x14ac:dyDescent="0.2">
      <c r="B65" s="9">
        <v>6151</v>
      </c>
      <c r="C65" s="20" t="s">
        <v>583</v>
      </c>
      <c r="D65" s="29"/>
      <c r="E65" s="29"/>
      <c r="F65" s="29"/>
      <c r="G65" s="29"/>
      <c r="H65" s="29"/>
      <c r="I65" s="726">
        <f t="shared" si="10"/>
        <v>0</v>
      </c>
    </row>
    <row r="66" spans="2:9" ht="14.25" customHeight="1" x14ac:dyDescent="0.2">
      <c r="B66" s="9">
        <v>6152</v>
      </c>
      <c r="C66" s="20" t="s">
        <v>178</v>
      </c>
      <c r="D66" s="29"/>
      <c r="E66" s="29"/>
      <c r="F66" s="29"/>
      <c r="G66" s="29"/>
      <c r="H66" s="29"/>
      <c r="I66" s="726">
        <f t="shared" si="10"/>
        <v>0</v>
      </c>
    </row>
    <row r="67" spans="2:9" ht="14.25" customHeight="1" x14ac:dyDescent="0.2">
      <c r="B67" s="9">
        <v>6154</v>
      </c>
      <c r="C67" s="20" t="s">
        <v>584</v>
      </c>
      <c r="D67" s="29"/>
      <c r="E67" s="29"/>
      <c r="F67" s="29"/>
      <c r="G67" s="29"/>
      <c r="H67" s="29"/>
      <c r="I67" s="726">
        <f t="shared" si="10"/>
        <v>0</v>
      </c>
    </row>
    <row r="68" spans="2:9" ht="14.25" customHeight="1" x14ac:dyDescent="0.2">
      <c r="B68" s="9">
        <v>6156</v>
      </c>
      <c r="C68" s="20" t="s">
        <v>372</v>
      </c>
      <c r="D68" s="29"/>
      <c r="E68" s="29"/>
      <c r="F68" s="29"/>
      <c r="G68" s="29"/>
      <c r="H68" s="29"/>
      <c r="I68" s="726">
        <f t="shared" si="10"/>
        <v>0</v>
      </c>
    </row>
    <row r="69" spans="2:9" ht="14.25" customHeight="1" x14ac:dyDescent="0.2">
      <c r="B69" s="9">
        <v>6159</v>
      </c>
      <c r="C69" s="20" t="s">
        <v>173</v>
      </c>
      <c r="D69" s="29"/>
      <c r="E69" s="29"/>
      <c r="F69" s="29"/>
      <c r="G69" s="29"/>
      <c r="H69" s="29"/>
      <c r="I69" s="726">
        <f t="shared" si="10"/>
        <v>0</v>
      </c>
    </row>
    <row r="70" spans="2:9" ht="14.25" customHeight="1" x14ac:dyDescent="0.2">
      <c r="B70" s="9">
        <v>6163</v>
      </c>
      <c r="C70" s="20" t="s">
        <v>186</v>
      </c>
      <c r="D70" s="29"/>
      <c r="E70" s="29"/>
      <c r="F70" s="29"/>
      <c r="G70" s="29"/>
      <c r="H70" s="29"/>
      <c r="I70" s="726">
        <f t="shared" si="10"/>
        <v>0</v>
      </c>
    </row>
    <row r="71" spans="2:9" ht="14.25" customHeight="1" x14ac:dyDescent="0.2">
      <c r="B71" s="9">
        <v>6160</v>
      </c>
      <c r="C71" s="20" t="s">
        <v>466</v>
      </c>
      <c r="D71" s="29"/>
      <c r="E71" s="29"/>
      <c r="F71" s="29"/>
      <c r="G71" s="29"/>
      <c r="H71" s="29"/>
      <c r="I71" s="726">
        <f t="shared" si="10"/>
        <v>0</v>
      </c>
    </row>
    <row r="72" spans="2:9" ht="14.25" customHeight="1" x14ac:dyDescent="0.2">
      <c r="B72" s="9">
        <v>6162</v>
      </c>
      <c r="C72" s="20" t="s">
        <v>183</v>
      </c>
      <c r="D72" s="29"/>
      <c r="E72" s="29"/>
      <c r="F72" s="29"/>
      <c r="G72" s="29"/>
      <c r="H72" s="29"/>
      <c r="I72" s="726">
        <f t="shared" si="10"/>
        <v>0</v>
      </c>
    </row>
    <row r="73" spans="2:9" ht="14.25" customHeight="1" x14ac:dyDescent="0.2">
      <c r="B73" s="9">
        <v>6164</v>
      </c>
      <c r="C73" s="20" t="s">
        <v>203</v>
      </c>
      <c r="D73" s="29"/>
      <c r="E73" s="29"/>
      <c r="F73" s="29"/>
      <c r="G73" s="29"/>
      <c r="H73" s="29"/>
      <c r="I73" s="726">
        <f t="shared" si="10"/>
        <v>0</v>
      </c>
    </row>
    <row r="74" spans="2:9" ht="14.25" customHeight="1" x14ac:dyDescent="0.2">
      <c r="B74" s="9">
        <v>6166</v>
      </c>
      <c r="C74" s="20" t="s">
        <v>585</v>
      </c>
      <c r="D74" s="29"/>
      <c r="E74" s="29"/>
      <c r="F74" s="29"/>
      <c r="G74" s="29"/>
      <c r="H74" s="29"/>
      <c r="I74" s="726">
        <f t="shared" si="10"/>
        <v>0</v>
      </c>
    </row>
    <row r="75" spans="2:9" ht="14.25" customHeight="1" x14ac:dyDescent="0.2">
      <c r="B75" s="9">
        <v>6168</v>
      </c>
      <c r="C75" s="20" t="s">
        <v>194</v>
      </c>
      <c r="D75" s="29"/>
      <c r="E75" s="29"/>
      <c r="F75" s="29"/>
      <c r="G75" s="29"/>
      <c r="H75" s="29"/>
      <c r="I75" s="726">
        <f t="shared" si="10"/>
        <v>0</v>
      </c>
    </row>
    <row r="76" spans="2:9" ht="14.25" customHeight="1" x14ac:dyDescent="0.2">
      <c r="B76" s="9">
        <v>6170</v>
      </c>
      <c r="C76" s="20" t="s">
        <v>196</v>
      </c>
      <c r="D76" s="29"/>
      <c r="E76" s="29"/>
      <c r="F76" s="29"/>
      <c r="G76" s="29"/>
      <c r="H76" s="29"/>
      <c r="I76" s="726">
        <f t="shared" si="10"/>
        <v>0</v>
      </c>
    </row>
    <row r="77" spans="2:9" ht="14.25" customHeight="1" x14ac:dyDescent="0.2">
      <c r="B77" s="9">
        <v>6174</v>
      </c>
      <c r="C77" s="20" t="s">
        <v>199</v>
      </c>
      <c r="D77" s="29"/>
      <c r="E77" s="29"/>
      <c r="F77" s="29"/>
      <c r="G77" s="29"/>
      <c r="H77" s="29"/>
      <c r="I77" s="726">
        <f t="shared" si="10"/>
        <v>0</v>
      </c>
    </row>
    <row r="78" spans="2:9" ht="14.25" customHeight="1" x14ac:dyDescent="0.2">
      <c r="B78" s="9">
        <v>6176</v>
      </c>
      <c r="C78" s="20" t="s">
        <v>202</v>
      </c>
      <c r="D78" s="29"/>
      <c r="E78" s="29"/>
      <c r="F78" s="29"/>
      <c r="G78" s="29"/>
      <c r="H78" s="29"/>
      <c r="I78" s="726">
        <f t="shared" si="10"/>
        <v>0</v>
      </c>
    </row>
    <row r="79" spans="2:9" ht="14.25" customHeight="1" x14ac:dyDescent="0.2">
      <c r="B79" s="9">
        <v>6180</v>
      </c>
      <c r="C79" s="20" t="s">
        <v>586</v>
      </c>
      <c r="D79" s="29"/>
      <c r="E79" s="29"/>
      <c r="F79" s="29"/>
      <c r="G79" s="29"/>
      <c r="H79" s="29"/>
      <c r="I79" s="726">
        <f t="shared" si="10"/>
        <v>0</v>
      </c>
    </row>
    <row r="80" spans="2:9" ht="14.25" customHeight="1" x14ac:dyDescent="0.2">
      <c r="B80" s="9">
        <v>6182</v>
      </c>
      <c r="C80" s="20" t="s">
        <v>587</v>
      </c>
      <c r="D80" s="29"/>
      <c r="E80" s="29"/>
      <c r="F80" s="29"/>
      <c r="G80" s="29"/>
      <c r="H80" s="29"/>
      <c r="I80" s="726">
        <f t="shared" si="10"/>
        <v>0</v>
      </c>
    </row>
    <row r="81" spans="2:16" ht="14.25" customHeight="1" x14ac:dyDescent="0.2">
      <c r="B81" s="9">
        <v>6183</v>
      </c>
      <c r="C81" s="20" t="s">
        <v>588</v>
      </c>
      <c r="D81" s="29"/>
      <c r="E81" s="29"/>
      <c r="F81" s="29"/>
      <c r="G81" s="29"/>
      <c r="H81" s="29"/>
      <c r="I81" s="726">
        <f t="shared" si="10"/>
        <v>0</v>
      </c>
    </row>
    <row r="82" spans="2:16" ht="14.25" customHeight="1" x14ac:dyDescent="0.2">
      <c r="B82" s="9">
        <v>6190</v>
      </c>
      <c r="C82" s="20" t="s">
        <v>589</v>
      </c>
      <c r="D82" s="29"/>
      <c r="E82" s="29"/>
      <c r="F82" s="29"/>
      <c r="G82" s="29"/>
      <c r="H82" s="29"/>
      <c r="I82" s="726">
        <f t="shared" si="10"/>
        <v>0</v>
      </c>
    </row>
    <row r="83" spans="2:16" ht="14.25" customHeight="1" x14ac:dyDescent="0.2">
      <c r="B83" s="9">
        <v>6191</v>
      </c>
      <c r="C83" s="20" t="s">
        <v>590</v>
      </c>
      <c r="D83" s="29"/>
      <c r="E83" s="29"/>
      <c r="F83" s="29"/>
      <c r="G83" s="29"/>
      <c r="H83" s="29"/>
      <c r="I83" s="726">
        <f t="shared" si="10"/>
        <v>0</v>
      </c>
    </row>
    <row r="84" spans="2:16" ht="14.25" customHeight="1" x14ac:dyDescent="0.2">
      <c r="B84" s="9">
        <v>6210</v>
      </c>
      <c r="C84" s="20" t="s">
        <v>591</v>
      </c>
      <c r="D84" s="29"/>
      <c r="E84" s="29"/>
      <c r="F84" s="29"/>
      <c r="G84" s="29"/>
      <c r="H84" s="29"/>
      <c r="I84" s="726">
        <f t="shared" si="10"/>
        <v>0</v>
      </c>
    </row>
    <row r="85" spans="2:16" ht="14.25" customHeight="1" x14ac:dyDescent="0.2">
      <c r="B85" s="9">
        <v>6212</v>
      </c>
      <c r="C85" s="20" t="s">
        <v>213</v>
      </c>
      <c r="D85" s="29"/>
      <c r="E85" s="29"/>
      <c r="F85" s="29"/>
      <c r="G85" s="29"/>
      <c r="H85" s="29"/>
      <c r="I85" s="726">
        <f t="shared" si="10"/>
        <v>0</v>
      </c>
    </row>
    <row r="86" spans="2:16" ht="14.25" customHeight="1" x14ac:dyDescent="0.2">
      <c r="B86" s="9">
        <v>6214</v>
      </c>
      <c r="C86" s="20" t="s">
        <v>592</v>
      </c>
      <c r="D86" s="29"/>
      <c r="E86" s="29"/>
      <c r="F86" s="29"/>
      <c r="G86" s="29"/>
      <c r="H86" s="29"/>
      <c r="I86" s="726">
        <f t="shared" si="10"/>
        <v>0</v>
      </c>
    </row>
    <row r="87" spans="2:16" ht="14.25" customHeight="1" x14ac:dyDescent="0.2">
      <c r="B87" s="9">
        <v>6218</v>
      </c>
      <c r="C87" s="20" t="s">
        <v>593</v>
      </c>
      <c r="D87" s="29"/>
      <c r="E87" s="29"/>
      <c r="F87" s="29"/>
      <c r="G87" s="29"/>
      <c r="H87" s="29"/>
      <c r="I87" s="726">
        <f t="shared" si="10"/>
        <v>0</v>
      </c>
    </row>
    <row r="88" spans="2:16" ht="14.25" customHeight="1" x14ac:dyDescent="0.2">
      <c r="B88" s="9">
        <v>6220</v>
      </c>
      <c r="C88" s="20" t="s">
        <v>373</v>
      </c>
      <c r="D88" s="29"/>
      <c r="E88" s="29"/>
      <c r="F88" s="29"/>
      <c r="G88" s="29"/>
      <c r="H88" s="29"/>
      <c r="I88" s="726">
        <f t="shared" si="10"/>
        <v>0</v>
      </c>
    </row>
    <row r="89" spans="2:16" ht="14.25" customHeight="1" x14ac:dyDescent="0.2">
      <c r="B89" s="9">
        <v>6221</v>
      </c>
      <c r="C89" s="20" t="s">
        <v>374</v>
      </c>
      <c r="D89" s="29"/>
      <c r="E89" s="29"/>
      <c r="F89" s="29"/>
      <c r="G89" s="29"/>
      <c r="H89" s="29"/>
      <c r="I89" s="726">
        <f t="shared" si="10"/>
        <v>0</v>
      </c>
    </row>
    <row r="90" spans="2:16" ht="14.25" customHeight="1" x14ac:dyDescent="0.2">
      <c r="B90" s="9">
        <v>6222</v>
      </c>
      <c r="C90" s="20" t="s">
        <v>594</v>
      </c>
      <c r="D90" s="29"/>
      <c r="E90" s="29"/>
      <c r="F90" s="29"/>
      <c r="G90" s="29"/>
      <c r="H90" s="29"/>
      <c r="I90" s="726">
        <f t="shared" si="10"/>
        <v>0</v>
      </c>
    </row>
    <row r="91" spans="2:16" ht="14.25" customHeight="1" x14ac:dyDescent="0.2">
      <c r="B91" s="9">
        <v>6224</v>
      </c>
      <c r="C91" s="20" t="s">
        <v>207</v>
      </c>
      <c r="D91" s="29"/>
      <c r="E91" s="29"/>
      <c r="F91" s="29"/>
      <c r="G91" s="29"/>
      <c r="H91" s="29"/>
      <c r="I91" s="726">
        <f t="shared" si="10"/>
        <v>0</v>
      </c>
    </row>
    <row r="92" spans="2:16" ht="14.25" customHeight="1" x14ac:dyDescent="0.2">
      <c r="B92" s="9">
        <v>6226</v>
      </c>
      <c r="C92" s="20" t="s">
        <v>217</v>
      </c>
      <c r="D92" s="29"/>
      <c r="E92" s="29"/>
      <c r="F92" s="29"/>
      <c r="G92" s="29"/>
      <c r="H92" s="29"/>
      <c r="I92" s="726">
        <f t="shared" si="10"/>
        <v>0</v>
      </c>
    </row>
    <row r="93" spans="2:16" ht="14.25" customHeight="1" x14ac:dyDescent="0.2">
      <c r="B93" s="9">
        <v>6227</v>
      </c>
      <c r="C93" s="20" t="s">
        <v>595</v>
      </c>
      <c r="D93" s="29"/>
      <c r="E93" s="29"/>
      <c r="F93" s="29"/>
      <c r="G93" s="29"/>
      <c r="H93" s="29"/>
      <c r="I93" s="726">
        <f t="shared" si="10"/>
        <v>0</v>
      </c>
    </row>
    <row r="94" spans="2:16" ht="14.25" customHeight="1" x14ac:dyDescent="0.2">
      <c r="B94" s="9">
        <v>6228</v>
      </c>
      <c r="C94" s="20" t="s">
        <v>596</v>
      </c>
      <c r="D94" s="29"/>
      <c r="E94" s="29"/>
      <c r="F94" s="29"/>
      <c r="G94" s="29"/>
      <c r="H94" s="29"/>
      <c r="I94" s="726">
        <f t="shared" si="10"/>
        <v>0</v>
      </c>
    </row>
    <row r="95" spans="2:16" ht="14.25" customHeight="1" x14ac:dyDescent="0.2">
      <c r="B95" s="9">
        <v>6231</v>
      </c>
      <c r="C95" s="20" t="s">
        <v>597</v>
      </c>
      <c r="D95" s="29"/>
      <c r="E95" s="29"/>
      <c r="F95" s="29"/>
      <c r="G95" s="29"/>
      <c r="H95" s="29"/>
      <c r="I95" s="726">
        <f t="shared" si="10"/>
        <v>0</v>
      </c>
    </row>
    <row r="96" spans="2:16" ht="14.25" customHeight="1" x14ac:dyDescent="0.2">
      <c r="B96" s="9">
        <v>6232</v>
      </c>
      <c r="C96" s="20" t="s">
        <v>467</v>
      </c>
      <c r="D96" s="29"/>
      <c r="E96" s="29"/>
      <c r="F96" s="29"/>
      <c r="G96" s="29"/>
      <c r="H96" s="29"/>
      <c r="I96" s="726">
        <f t="shared" si="10"/>
        <v>0</v>
      </c>
      <c r="K96" s="25"/>
      <c r="L96" s="25"/>
      <c r="M96" s="25"/>
      <c r="N96" s="25"/>
      <c r="O96" s="25"/>
      <c r="P96" s="25"/>
    </row>
    <row r="97" spans="2:16" ht="14.25" customHeight="1" x14ac:dyDescent="0.2">
      <c r="B97" s="9">
        <v>6233</v>
      </c>
      <c r="C97" s="20" t="s">
        <v>468</v>
      </c>
      <c r="D97" s="29"/>
      <c r="E97" s="29"/>
      <c r="F97" s="29"/>
      <c r="G97" s="29"/>
      <c r="H97" s="29"/>
      <c r="I97" s="726">
        <f t="shared" si="10"/>
        <v>0</v>
      </c>
      <c r="K97" s="25"/>
      <c r="L97" s="25"/>
      <c r="M97" s="25"/>
      <c r="N97" s="25"/>
      <c r="O97" s="25"/>
      <c r="P97" s="25"/>
    </row>
    <row r="98" spans="2:16" ht="14.25" customHeight="1" x14ac:dyDescent="0.2">
      <c r="B98" s="9">
        <v>6234</v>
      </c>
      <c r="C98" s="20" t="s">
        <v>598</v>
      </c>
      <c r="D98" s="29"/>
      <c r="E98" s="29"/>
      <c r="F98" s="29"/>
      <c r="G98" s="29"/>
      <c r="H98" s="29"/>
      <c r="I98" s="726">
        <f t="shared" si="10"/>
        <v>0</v>
      </c>
    </row>
    <row r="99" spans="2:16" ht="14.25" customHeight="1" x14ac:dyDescent="0.2">
      <c r="B99" s="9">
        <v>6238</v>
      </c>
      <c r="C99" s="20" t="s">
        <v>375</v>
      </c>
      <c r="D99" s="29"/>
      <c r="E99" s="29"/>
      <c r="F99" s="29"/>
      <c r="G99" s="29"/>
      <c r="H99" s="29"/>
      <c r="I99" s="726">
        <f t="shared" si="10"/>
        <v>0</v>
      </c>
    </row>
    <row r="100" spans="2:16" ht="14.25" customHeight="1" x14ac:dyDescent="0.2">
      <c r="B100" s="9">
        <v>6240</v>
      </c>
      <c r="C100" s="20" t="s">
        <v>599</v>
      </c>
      <c r="D100" s="29"/>
      <c r="E100" s="29"/>
      <c r="F100" s="29"/>
      <c r="G100" s="29"/>
      <c r="H100" s="29"/>
      <c r="I100" s="726">
        <f t="shared" si="10"/>
        <v>0</v>
      </c>
    </row>
    <row r="101" spans="2:16" ht="14.25" customHeight="1" x14ac:dyDescent="0.2">
      <c r="B101" s="9">
        <v>6248</v>
      </c>
      <c r="C101" s="20" t="s">
        <v>214</v>
      </c>
      <c r="D101" s="29"/>
      <c r="E101" s="29"/>
      <c r="F101" s="29"/>
      <c r="G101" s="29"/>
      <c r="H101" s="29"/>
      <c r="I101" s="726">
        <f t="shared" si="10"/>
        <v>0</v>
      </c>
    </row>
    <row r="102" spans="2:16" ht="14.25" customHeight="1" x14ac:dyDescent="0.2">
      <c r="B102" s="9">
        <v>6290</v>
      </c>
      <c r="C102" s="20" t="s">
        <v>600</v>
      </c>
      <c r="D102" s="29"/>
      <c r="E102" s="29"/>
      <c r="F102" s="29"/>
      <c r="G102" s="29"/>
      <c r="H102" s="29"/>
      <c r="I102" s="726">
        <f t="shared" si="10"/>
        <v>0</v>
      </c>
    </row>
    <row r="103" spans="2:16" ht="14.25" customHeight="1" x14ac:dyDescent="0.2">
      <c r="B103" s="9">
        <v>6293</v>
      </c>
      <c r="C103" s="20" t="s">
        <v>601</v>
      </c>
      <c r="D103" s="29"/>
      <c r="E103" s="29"/>
      <c r="F103" s="29"/>
      <c r="G103" s="29"/>
      <c r="H103" s="29"/>
      <c r="I103" s="726">
        <f t="shared" si="10"/>
        <v>0</v>
      </c>
    </row>
    <row r="104" spans="2:16" ht="14.25" customHeight="1" x14ac:dyDescent="0.2">
      <c r="B104" s="9">
        <v>6256</v>
      </c>
      <c r="C104" s="20" t="s">
        <v>237</v>
      </c>
      <c r="D104" s="29"/>
      <c r="E104" s="29"/>
      <c r="F104" s="29"/>
      <c r="G104" s="29"/>
      <c r="H104" s="29"/>
      <c r="I104" s="726">
        <f t="shared" si="10"/>
        <v>0</v>
      </c>
    </row>
    <row r="105" spans="2:16" ht="14.25" customHeight="1" x14ac:dyDescent="0.2">
      <c r="B105" s="9">
        <v>6261</v>
      </c>
      <c r="C105" s="20" t="s">
        <v>234</v>
      </c>
      <c r="D105" s="29"/>
      <c r="E105" s="29"/>
      <c r="F105" s="29"/>
      <c r="G105" s="29"/>
      <c r="H105" s="29"/>
      <c r="I105" s="726">
        <f t="shared" si="10"/>
        <v>0</v>
      </c>
      <c r="M105" s="75"/>
      <c r="N105" s="75"/>
      <c r="O105" s="75"/>
    </row>
    <row r="106" spans="2:16" ht="14.25" customHeight="1" x14ac:dyDescent="0.2">
      <c r="B106" s="9">
        <v>6310</v>
      </c>
      <c r="C106" s="20" t="s">
        <v>602</v>
      </c>
      <c r="D106" s="29"/>
      <c r="E106" s="29"/>
      <c r="F106" s="29"/>
      <c r="G106" s="29"/>
      <c r="H106" s="29"/>
      <c r="I106" s="726">
        <f t="shared" si="10"/>
        <v>0</v>
      </c>
      <c r="K106" s="75"/>
      <c r="L106" s="75"/>
      <c r="M106" s="273"/>
      <c r="N106" s="273"/>
      <c r="O106" s="273"/>
    </row>
    <row r="107" spans="2:16" ht="14.25" customHeight="1" x14ac:dyDescent="0.2">
      <c r="B107" s="9">
        <v>6311</v>
      </c>
      <c r="C107" s="20" t="s">
        <v>239</v>
      </c>
      <c r="D107" s="29"/>
      <c r="E107" s="29"/>
      <c r="F107" s="29"/>
      <c r="G107" s="29"/>
      <c r="H107" s="29"/>
      <c r="I107" s="726">
        <f t="shared" si="10"/>
        <v>0</v>
      </c>
      <c r="K107" s="273"/>
      <c r="L107" s="273"/>
    </row>
    <row r="108" spans="2:16" ht="14.25" customHeight="1" x14ac:dyDescent="0.2">
      <c r="B108" s="9">
        <v>6320</v>
      </c>
      <c r="C108" s="20" t="s">
        <v>603</v>
      </c>
      <c r="D108" s="29"/>
      <c r="E108" s="29"/>
      <c r="F108" s="29"/>
      <c r="G108" s="29"/>
      <c r="H108" s="29"/>
      <c r="I108" s="726">
        <f t="shared" si="10"/>
        <v>0</v>
      </c>
      <c r="J108" s="75"/>
    </row>
    <row r="109" spans="2:16" ht="14.25" customHeight="1" x14ac:dyDescent="0.2">
      <c r="B109" s="16"/>
      <c r="C109" s="738" t="s">
        <v>604</v>
      </c>
      <c r="D109" s="237"/>
      <c r="E109" s="237"/>
      <c r="F109" s="237"/>
      <c r="G109" s="237"/>
      <c r="H109" s="30"/>
      <c r="I109" s="30">
        <f t="shared" si="10"/>
        <v>0</v>
      </c>
      <c r="J109" s="273"/>
    </row>
    <row r="110" spans="2:16" ht="14.25" customHeight="1" x14ac:dyDescent="0.2">
      <c r="B110" s="4">
        <v>6365</v>
      </c>
      <c r="C110" s="724" t="s">
        <v>472</v>
      </c>
      <c r="D110" s="730"/>
      <c r="E110" s="730"/>
      <c r="F110" s="730"/>
      <c r="G110" s="730"/>
      <c r="H110" s="730"/>
      <c r="I110" s="731">
        <f t="shared" si="10"/>
        <v>0</v>
      </c>
    </row>
    <row r="111" spans="2:16" ht="14.25" customHeight="1" x14ac:dyDescent="0.2">
      <c r="B111" s="9">
        <v>6371</v>
      </c>
      <c r="C111" s="20" t="s">
        <v>605</v>
      </c>
      <c r="D111" s="29"/>
      <c r="E111" s="29"/>
      <c r="F111" s="29"/>
      <c r="G111" s="29"/>
      <c r="H111" s="29"/>
      <c r="I111" s="726">
        <f t="shared" si="10"/>
        <v>0</v>
      </c>
    </row>
    <row r="112" spans="2:16" ht="14.25" customHeight="1" x14ac:dyDescent="0.2">
      <c r="B112" s="9">
        <v>6375</v>
      </c>
      <c r="C112" s="20" t="s">
        <v>211</v>
      </c>
      <c r="D112" s="29"/>
      <c r="E112" s="29"/>
      <c r="F112" s="29"/>
      <c r="G112" s="29"/>
      <c r="H112" s="29"/>
      <c r="I112" s="726">
        <f t="shared" si="10"/>
        <v>0</v>
      </c>
    </row>
    <row r="113" spans="2:10" ht="14.25" customHeight="1" x14ac:dyDescent="0.2">
      <c r="B113" s="9">
        <v>6376</v>
      </c>
      <c r="C113" s="20" t="s">
        <v>473</v>
      </c>
      <c r="D113" s="29"/>
      <c r="E113" s="29"/>
      <c r="F113" s="29"/>
      <c r="G113" s="29"/>
      <c r="H113" s="29"/>
      <c r="I113" s="726">
        <f t="shared" si="10"/>
        <v>0</v>
      </c>
    </row>
    <row r="114" spans="2:10" ht="14.25" customHeight="1" x14ac:dyDescent="0.2">
      <c r="B114" s="9">
        <v>6362</v>
      </c>
      <c r="C114" s="20" t="s">
        <v>606</v>
      </c>
      <c r="D114" s="29"/>
      <c r="E114" s="29"/>
      <c r="F114" s="29"/>
      <c r="G114" s="29"/>
      <c r="H114" s="29"/>
      <c r="I114" s="726">
        <f t="shared" si="10"/>
        <v>0</v>
      </c>
    </row>
    <row r="115" spans="2:10" ht="14.25" customHeight="1" x14ac:dyDescent="0.2">
      <c r="B115" s="9"/>
      <c r="C115" s="728" t="s">
        <v>607</v>
      </c>
      <c r="D115" s="265"/>
      <c r="E115" s="265"/>
      <c r="F115" s="265"/>
      <c r="G115" s="265"/>
      <c r="H115" s="562"/>
      <c r="I115" s="562">
        <f t="shared" si="10"/>
        <v>0</v>
      </c>
    </row>
    <row r="116" spans="2:10" ht="14.25" customHeight="1" x14ac:dyDescent="0.2">
      <c r="B116" s="4">
        <v>6270</v>
      </c>
      <c r="C116" s="742" t="s">
        <v>258</v>
      </c>
      <c r="D116" s="743"/>
      <c r="E116" s="744"/>
      <c r="F116" s="744"/>
      <c r="G116" s="744"/>
      <c r="H116" s="745"/>
      <c r="I116" s="745">
        <f t="shared" si="10"/>
        <v>0</v>
      </c>
    </row>
    <row r="117" spans="2:10" ht="14.25" customHeight="1" x14ac:dyDescent="0.2">
      <c r="B117" s="9">
        <v>6271</v>
      </c>
      <c r="C117" s="11" t="s">
        <v>608</v>
      </c>
      <c r="D117" s="746"/>
      <c r="E117" s="29"/>
      <c r="F117" s="29"/>
      <c r="G117" s="29"/>
      <c r="H117" s="28"/>
      <c r="I117" s="28">
        <f t="shared" si="10"/>
        <v>0</v>
      </c>
    </row>
    <row r="118" spans="2:10" ht="14.25" customHeight="1" x14ac:dyDescent="0.2">
      <c r="B118" s="9">
        <v>7240</v>
      </c>
      <c r="C118" s="161" t="s">
        <v>258</v>
      </c>
      <c r="D118" s="747"/>
      <c r="E118" s="748"/>
      <c r="F118" s="748"/>
      <c r="G118" s="748"/>
      <c r="H118" s="749"/>
      <c r="I118" s="749">
        <f t="shared" si="10"/>
        <v>0</v>
      </c>
      <c r="J118" s="71"/>
    </row>
    <row r="119" spans="2:10" ht="14.25" customHeight="1" x14ac:dyDescent="0.2">
      <c r="B119" s="9">
        <v>6272</v>
      </c>
      <c r="C119" s="11" t="s">
        <v>478</v>
      </c>
      <c r="D119" s="746"/>
      <c r="E119" s="29"/>
      <c r="F119" s="29"/>
      <c r="G119" s="29"/>
      <c r="H119" s="28"/>
      <c r="I119" s="28">
        <f t="shared" si="10"/>
        <v>0</v>
      </c>
    </row>
    <row r="120" spans="2:10" ht="14.25" customHeight="1" x14ac:dyDescent="0.2">
      <c r="B120" s="9">
        <v>6280</v>
      </c>
      <c r="C120" s="161" t="s">
        <v>266</v>
      </c>
      <c r="D120" s="747"/>
      <c r="E120" s="748"/>
      <c r="F120" s="748"/>
      <c r="G120" s="748"/>
      <c r="H120" s="749"/>
      <c r="I120" s="749">
        <f t="shared" si="10"/>
        <v>0</v>
      </c>
    </row>
    <row r="121" spans="2:10" ht="14.25" customHeight="1" x14ac:dyDescent="0.2">
      <c r="B121" s="16"/>
      <c r="C121" s="750" t="s">
        <v>609</v>
      </c>
      <c r="D121" s="751"/>
      <c r="E121" s="739"/>
      <c r="F121" s="739"/>
      <c r="G121" s="739"/>
      <c r="H121" s="740"/>
      <c r="I121" s="741">
        <f t="shared" si="10"/>
        <v>0</v>
      </c>
    </row>
    <row r="122" spans="2:10" ht="14.25" customHeight="1" x14ac:dyDescent="0.2">
      <c r="B122" s="9">
        <v>6172</v>
      </c>
      <c r="C122" s="20" t="s">
        <v>610</v>
      </c>
      <c r="D122" s="29"/>
      <c r="E122" s="29"/>
      <c r="F122" s="29"/>
      <c r="G122" s="29"/>
      <c r="H122" s="29"/>
      <c r="I122" s="726">
        <f t="shared" si="10"/>
        <v>0</v>
      </c>
    </row>
    <row r="123" spans="2:10" ht="14.25" customHeight="1" x14ac:dyDescent="0.2">
      <c r="B123" s="9">
        <v>7500</v>
      </c>
      <c r="C123" s="20" t="s">
        <v>281</v>
      </c>
      <c r="D123" s="29"/>
      <c r="E123" s="29"/>
      <c r="F123" s="29"/>
      <c r="G123" s="29"/>
      <c r="H123" s="29"/>
      <c r="I123" s="726">
        <f t="shared" si="10"/>
        <v>0</v>
      </c>
    </row>
    <row r="124" spans="2:10" ht="14.25" customHeight="1" x14ac:dyDescent="0.2">
      <c r="B124" s="9">
        <v>7530</v>
      </c>
      <c r="C124" s="20" t="s">
        <v>283</v>
      </c>
      <c r="D124" s="29"/>
      <c r="E124" s="29"/>
      <c r="F124" s="29"/>
      <c r="G124" s="29"/>
      <c r="H124" s="29"/>
      <c r="I124" s="726">
        <f t="shared" si="10"/>
        <v>0</v>
      </c>
    </row>
    <row r="125" spans="2:10" ht="14.25" customHeight="1" x14ac:dyDescent="0.2">
      <c r="B125" s="9">
        <v>7541</v>
      </c>
      <c r="C125" s="20" t="s">
        <v>611</v>
      </c>
      <c r="D125" s="29"/>
      <c r="E125" s="29"/>
      <c r="F125" s="29"/>
      <c r="G125" s="29"/>
      <c r="H125" s="29"/>
      <c r="I125" s="726">
        <f t="shared" si="10"/>
        <v>0</v>
      </c>
    </row>
    <row r="126" spans="2:10" ht="14.25" customHeight="1" x14ac:dyDescent="0.2">
      <c r="B126" s="9">
        <v>7550</v>
      </c>
      <c r="C126" s="20" t="s">
        <v>285</v>
      </c>
      <c r="D126" s="29"/>
      <c r="E126" s="29"/>
      <c r="F126" s="29"/>
      <c r="G126" s="29"/>
      <c r="H126" s="29"/>
      <c r="I126" s="726">
        <f t="shared" si="10"/>
        <v>0</v>
      </c>
    </row>
    <row r="127" spans="2:10" ht="14.25" customHeight="1" x14ac:dyDescent="0.2">
      <c r="B127" s="16">
        <v>6801</v>
      </c>
      <c r="C127" s="129" t="s">
        <v>483</v>
      </c>
      <c r="D127" s="237"/>
      <c r="E127" s="237"/>
      <c r="F127" s="237"/>
      <c r="G127" s="237"/>
      <c r="H127" s="237"/>
      <c r="I127" s="752">
        <f t="shared" si="10"/>
        <v>0</v>
      </c>
    </row>
    <row r="128" spans="2:10" ht="14.25" customHeight="1" x14ac:dyDescent="0.2">
      <c r="B128" s="120"/>
      <c r="C128" s="753" t="s">
        <v>612</v>
      </c>
      <c r="D128" s="739">
        <f t="shared" ref="D128:H128" si="11">SUM(D$37,D$48,D$63,D$109,D$115,D$121,D$122:D$127)</f>
        <v>0</v>
      </c>
      <c r="E128" s="739">
        <f t="shared" si="11"/>
        <v>0</v>
      </c>
      <c r="F128" s="739">
        <f t="shared" si="11"/>
        <v>0</v>
      </c>
      <c r="G128" s="739">
        <f t="shared" si="11"/>
        <v>0</v>
      </c>
      <c r="H128" s="739">
        <f t="shared" si="11"/>
        <v>0</v>
      </c>
      <c r="I128" s="741">
        <f t="shared" ref="I128:I129" si="12">IFERROR(AVERAGEIF(D128:H128,"&lt;&gt;0",$B128:$F128),0)</f>
        <v>0</v>
      </c>
    </row>
    <row r="129" spans="2:9" ht="14.25" customHeight="1" x14ac:dyDescent="0.2">
      <c r="B129" s="120"/>
      <c r="C129" s="753" t="s">
        <v>613</v>
      </c>
      <c r="D129" s="739">
        <f t="shared" ref="D129:H129" si="13">SUM(D$37,D$48,D$63,D$109,D$115,D$122:D$127)</f>
        <v>0</v>
      </c>
      <c r="E129" s="739">
        <f t="shared" si="13"/>
        <v>0</v>
      </c>
      <c r="F129" s="739">
        <f t="shared" si="13"/>
        <v>0</v>
      </c>
      <c r="G129" s="739">
        <f t="shared" si="13"/>
        <v>0</v>
      </c>
      <c r="H129" s="739">
        <f t="shared" si="13"/>
        <v>0</v>
      </c>
      <c r="I129" s="741">
        <f t="shared" si="12"/>
        <v>0</v>
      </c>
    </row>
    <row r="130" spans="2:9" ht="14.25" customHeight="1" x14ac:dyDescent="0.2">
      <c r="D130" s="29"/>
      <c r="E130" s="29"/>
      <c r="F130" s="29"/>
      <c r="G130" s="29"/>
      <c r="H130" s="29"/>
    </row>
    <row r="131" spans="2:9" ht="14.25" customHeight="1" x14ac:dyDescent="0.2"/>
    <row r="132" spans="2:9" ht="14.25" customHeight="1" x14ac:dyDescent="0.2"/>
    <row r="133" spans="2:9" ht="14.25" customHeight="1" x14ac:dyDescent="0.2"/>
    <row r="134" spans="2:9" ht="14.25" customHeight="1" x14ac:dyDescent="0.2"/>
    <row r="135" spans="2:9" ht="14.25" customHeight="1" x14ac:dyDescent="0.2"/>
    <row r="136" spans="2:9" ht="14.25" customHeight="1" x14ac:dyDescent="0.2"/>
    <row r="137" spans="2:9" ht="14.25" customHeight="1" x14ac:dyDescent="0.2"/>
    <row r="138" spans="2:9" ht="14.25" customHeight="1" x14ac:dyDescent="0.2"/>
    <row r="139" spans="2:9" ht="14.25" customHeight="1" x14ac:dyDescent="0.2"/>
    <row r="140" spans="2:9" ht="14.25" customHeight="1" x14ac:dyDescent="0.2"/>
    <row r="141" spans="2:9" ht="14.25" customHeight="1" x14ac:dyDescent="0.2"/>
    <row r="142" spans="2:9" ht="14.25" customHeight="1" x14ac:dyDescent="0.2"/>
    <row r="143" spans="2:9" ht="14.25" customHeight="1" x14ac:dyDescent="0.2"/>
    <row r="144" spans="2:9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U1000"/>
  <sheetViews>
    <sheetView showGridLines="0" workbookViewId="0"/>
  </sheetViews>
  <sheetFormatPr baseColWidth="10" defaultColWidth="14.5" defaultRowHeight="15" customHeight="1" x14ac:dyDescent="0.2"/>
  <cols>
    <col min="1" max="1" width="8.6640625" customWidth="1"/>
    <col min="2" max="2" width="23" customWidth="1"/>
    <col min="3" max="3" width="8.33203125" customWidth="1"/>
    <col min="4" max="4" width="11.6640625" customWidth="1"/>
    <col min="5" max="5" width="10.6640625" customWidth="1"/>
    <col min="6" max="6" width="8.6640625" customWidth="1"/>
    <col min="7" max="7" width="11.33203125" customWidth="1"/>
    <col min="8" max="8" width="8.6640625" customWidth="1"/>
    <col min="9" max="11" width="8.33203125" customWidth="1"/>
    <col min="12" max="13" width="14" customWidth="1"/>
    <col min="14" max="21" width="8.6640625" customWidth="1"/>
  </cols>
  <sheetData>
    <row r="1" spans="2:21" ht="14.25" customHeight="1" x14ac:dyDescent="0.2">
      <c r="L1" s="56"/>
      <c r="M1" s="56"/>
    </row>
    <row r="2" spans="2:21" ht="14.25" customHeight="1" x14ac:dyDescent="0.2">
      <c r="B2" s="878" t="s">
        <v>614</v>
      </c>
      <c r="C2" s="852"/>
      <c r="D2" s="852"/>
      <c r="E2" s="852"/>
      <c r="F2" s="852"/>
      <c r="G2" s="852"/>
      <c r="H2" s="852"/>
      <c r="I2" s="852"/>
      <c r="J2" s="852"/>
      <c r="K2" s="848"/>
      <c r="L2" s="56"/>
      <c r="M2" s="56"/>
    </row>
    <row r="3" spans="2:21" ht="14.25" customHeight="1" x14ac:dyDescent="0.2">
      <c r="B3" s="754" t="s">
        <v>615</v>
      </c>
      <c r="J3" s="49" t="s">
        <v>81</v>
      </c>
      <c r="K3" s="49" t="s">
        <v>81</v>
      </c>
      <c r="L3" s="56"/>
      <c r="M3" s="56"/>
      <c r="Q3" s="100">
        <v>0.02</v>
      </c>
    </row>
    <row r="4" spans="2:21" ht="14.25" customHeight="1" x14ac:dyDescent="0.2">
      <c r="C4" s="755" t="s">
        <v>412</v>
      </c>
      <c r="D4" s="755" t="s">
        <v>616</v>
      </c>
      <c r="E4" s="755" t="s">
        <v>617</v>
      </c>
      <c r="F4" s="755" t="s">
        <v>413</v>
      </c>
      <c r="G4" s="755" t="s">
        <v>618</v>
      </c>
      <c r="H4" s="755" t="s">
        <v>28</v>
      </c>
      <c r="I4" s="755" t="s">
        <v>619</v>
      </c>
      <c r="J4" s="755" t="s">
        <v>620</v>
      </c>
      <c r="K4" s="755" t="s">
        <v>621</v>
      </c>
      <c r="L4" s="756" t="s">
        <v>622</v>
      </c>
      <c r="M4" s="756"/>
      <c r="N4" s="172" t="s">
        <v>59</v>
      </c>
      <c r="O4" s="172" t="s">
        <v>623</v>
      </c>
      <c r="Q4" s="3"/>
      <c r="U4" s="11" t="s">
        <v>624</v>
      </c>
    </row>
    <row r="5" spans="2:21" ht="14.25" customHeight="1" x14ac:dyDescent="0.2">
      <c r="B5" s="20">
        <v>1</v>
      </c>
      <c r="C5" s="25">
        <v>7.5024329779349058E-2</v>
      </c>
      <c r="D5" s="25">
        <v>0</v>
      </c>
      <c r="E5" s="25">
        <v>-1.2333333333333085E-2</v>
      </c>
      <c r="F5" s="25">
        <v>0.90736979190717004</v>
      </c>
      <c r="G5" s="25">
        <v>0</v>
      </c>
      <c r="H5" s="25">
        <v>1.1647884191419875</v>
      </c>
      <c r="I5" s="25">
        <f t="shared" ref="I5:I16" si="0">C5/AVERAGE($C$5:$C$16)*3-F5-1</f>
        <v>0.7935060801493945</v>
      </c>
      <c r="J5" s="757">
        <v>0</v>
      </c>
      <c r="K5" s="192">
        <v>0</v>
      </c>
      <c r="L5" s="758">
        <v>0</v>
      </c>
      <c r="M5" s="759">
        <v>0.96046230269453781</v>
      </c>
      <c r="N5" s="11" t="s">
        <v>625</v>
      </c>
      <c r="O5" s="75">
        <v>0.38500000000000001</v>
      </c>
      <c r="Q5" s="25">
        <f t="shared" ref="Q5:Q16" si="1">($Q$3/12)+L5</f>
        <v>1.6666666666666668E-3</v>
      </c>
      <c r="S5" s="759">
        <v>0</v>
      </c>
      <c r="U5" s="11">
        <v>1</v>
      </c>
    </row>
    <row r="6" spans="2:21" ht="14.25" customHeight="1" x14ac:dyDescent="0.2">
      <c r="B6" s="20">
        <f t="shared" ref="B6:B16" si="2">B5+1</f>
        <v>2</v>
      </c>
      <c r="C6" s="25">
        <v>7.3221587442558841E-2</v>
      </c>
      <c r="D6" s="25">
        <v>0</v>
      </c>
      <c r="E6" s="25">
        <v>-1.2333333333333085E-2</v>
      </c>
      <c r="F6" s="25">
        <v>0.85204377411192411</v>
      </c>
      <c r="G6" s="25">
        <v>0.1</v>
      </c>
      <c r="H6" s="25">
        <v>1.2215469982753047</v>
      </c>
      <c r="I6" s="25">
        <f t="shared" si="0"/>
        <v>0.78393337382019324</v>
      </c>
      <c r="J6" s="757">
        <v>0</v>
      </c>
      <c r="K6" s="192">
        <v>0</v>
      </c>
      <c r="L6" s="758">
        <v>0</v>
      </c>
      <c r="M6" s="759">
        <f t="shared" ref="M6:M16" si="3">M5*(1+L6)</f>
        <v>0.96046230269453781</v>
      </c>
      <c r="N6" s="11" t="s">
        <v>626</v>
      </c>
      <c r="O6" s="75">
        <v>1.1880000000000002</v>
      </c>
      <c r="Q6" s="25">
        <f t="shared" si="1"/>
        <v>1.6666666666666668E-3</v>
      </c>
      <c r="S6" s="759">
        <v>1.5357756833926428E-2</v>
      </c>
      <c r="U6" s="11">
        <v>2</v>
      </c>
    </row>
    <row r="7" spans="2:21" ht="14.25" customHeight="1" x14ac:dyDescent="0.2">
      <c r="B7" s="20">
        <f t="shared" si="2"/>
        <v>3</v>
      </c>
      <c r="C7" s="25">
        <v>8.3399414654783066E-2</v>
      </c>
      <c r="D7" s="25">
        <v>3.0000000000000001E-3</v>
      </c>
      <c r="E7" s="25">
        <v>-9.3333333333330826E-3</v>
      </c>
      <c r="F7" s="25">
        <v>0.92186005226603296</v>
      </c>
      <c r="G7" s="25">
        <v>0.3</v>
      </c>
      <c r="H7" s="25">
        <v>1.17770317588641</v>
      </c>
      <c r="I7" s="25">
        <f t="shared" si="0"/>
        <v>1.0805188753061561</v>
      </c>
      <c r="J7" s="757">
        <v>0</v>
      </c>
      <c r="K7" s="192">
        <v>0</v>
      </c>
      <c r="L7" s="758">
        <v>0.01</v>
      </c>
      <c r="M7" s="759">
        <f t="shared" si="3"/>
        <v>0.97006692572148323</v>
      </c>
      <c r="N7" s="11" t="s">
        <v>627</v>
      </c>
      <c r="O7" s="75">
        <v>3.0579999999999998</v>
      </c>
      <c r="Q7" s="25">
        <f t="shared" si="1"/>
        <v>1.1666666666666667E-2</v>
      </c>
      <c r="S7" s="759">
        <v>1.60517687874282E-2</v>
      </c>
      <c r="U7" s="11">
        <v>3</v>
      </c>
    </row>
    <row r="8" spans="2:21" ht="14.25" customHeight="1" x14ac:dyDescent="0.2">
      <c r="B8" s="20">
        <f t="shared" si="2"/>
        <v>4</v>
      </c>
      <c r="C8" s="25">
        <v>8.4021646881540291E-2</v>
      </c>
      <c r="D8" s="25">
        <v>5.0000000000000001E-3</v>
      </c>
      <c r="E8" s="25">
        <v>-4.3333333333330781E-3</v>
      </c>
      <c r="F8" s="25">
        <v>0.92683508749354482</v>
      </c>
      <c r="G8" s="25">
        <v>0.4</v>
      </c>
      <c r="H8" s="25">
        <v>1.0472131393857467</v>
      </c>
      <c r="I8" s="25">
        <f t="shared" si="0"/>
        <v>1.0979442002419044</v>
      </c>
      <c r="J8" s="192">
        <v>0</v>
      </c>
      <c r="K8" s="192">
        <v>0</v>
      </c>
      <c r="L8" s="758">
        <v>0.04</v>
      </c>
      <c r="M8" s="759">
        <f t="shared" si="3"/>
        <v>1.0088696027503425</v>
      </c>
      <c r="N8" s="11" t="s">
        <v>628</v>
      </c>
      <c r="O8" s="75">
        <v>1.8149999999999999</v>
      </c>
      <c r="Q8" s="25">
        <f t="shared" si="1"/>
        <v>4.1666666666666664E-2</v>
      </c>
      <c r="S8" s="759">
        <v>7.9943633972203498E-2</v>
      </c>
      <c r="U8" s="11">
        <v>4</v>
      </c>
    </row>
    <row r="9" spans="2:21" ht="14.25" customHeight="1" x14ac:dyDescent="0.2">
      <c r="B9" s="20">
        <f t="shared" si="2"/>
        <v>5</v>
      </c>
      <c r="C9" s="25">
        <v>0.10116985126638003</v>
      </c>
      <c r="D9" s="25">
        <v>1.2999999999999999E-2</v>
      </c>
      <c r="E9" s="25">
        <v>8.6666666666668224E-3</v>
      </c>
      <c r="F9" s="25">
        <v>0.95846611099492285</v>
      </c>
      <c r="G9" s="25">
        <v>0.45</v>
      </c>
      <c r="H9" s="25">
        <v>0.8777911113223178</v>
      </c>
      <c r="I9" s="25">
        <f t="shared" si="0"/>
        <v>1.6836485345947567</v>
      </c>
      <c r="J9" s="192">
        <v>0</v>
      </c>
      <c r="K9" s="192">
        <v>0</v>
      </c>
      <c r="L9" s="758">
        <v>0.04</v>
      </c>
      <c r="M9" s="759">
        <f t="shared" si="3"/>
        <v>1.0492243868603564</v>
      </c>
      <c r="N9" s="11" t="s">
        <v>629</v>
      </c>
      <c r="O9" s="75">
        <v>1.9140000000000001</v>
      </c>
      <c r="Q9" s="25">
        <f t="shared" si="1"/>
        <v>4.1666666666666664E-2</v>
      </c>
      <c r="S9" s="759">
        <v>5.2881862090916054E-3</v>
      </c>
      <c r="U9" s="11" t="s">
        <v>630</v>
      </c>
    </row>
    <row r="10" spans="2:21" ht="14.25" customHeight="1" x14ac:dyDescent="0.2">
      <c r="B10" s="20">
        <f t="shared" si="2"/>
        <v>6</v>
      </c>
      <c r="C10" s="25">
        <v>9.3553765554478557E-2</v>
      </c>
      <c r="D10" s="25">
        <v>8.0000000000000002E-3</v>
      </c>
      <c r="E10" s="25">
        <v>1.6666666666666829E-2</v>
      </c>
      <c r="F10" s="25">
        <v>0.97806489225817295</v>
      </c>
      <c r="G10" s="25">
        <v>0.45</v>
      </c>
      <c r="H10" s="25">
        <v>0.89396410273339011</v>
      </c>
      <c r="I10" s="25">
        <f t="shared" si="0"/>
        <v>1.3898706677030535</v>
      </c>
      <c r="J10" s="192">
        <v>0</v>
      </c>
      <c r="K10" s="192">
        <v>0</v>
      </c>
      <c r="L10" s="758">
        <v>2.5000000000000001E-2</v>
      </c>
      <c r="M10" s="759">
        <f t="shared" si="3"/>
        <v>1.0754549965318652</v>
      </c>
      <c r="N10" s="11" t="s">
        <v>631</v>
      </c>
      <c r="O10" s="75">
        <v>1.4520000000000002</v>
      </c>
      <c r="Q10" s="25">
        <f t="shared" si="1"/>
        <v>2.6666666666666668E-2</v>
      </c>
      <c r="S10" s="759">
        <v>-1.2651676703747672E-3</v>
      </c>
    </row>
    <row r="11" spans="2:21" ht="14.25" customHeight="1" x14ac:dyDescent="0.2">
      <c r="B11" s="20">
        <f t="shared" si="2"/>
        <v>7</v>
      </c>
      <c r="C11" s="25">
        <v>9.0748009665573254E-2</v>
      </c>
      <c r="D11" s="25">
        <v>2E-3</v>
      </c>
      <c r="E11" s="25">
        <v>1.8666666666666831E-2</v>
      </c>
      <c r="F11" s="25">
        <v>1.0518114978831814</v>
      </c>
      <c r="G11" s="25">
        <v>0.3</v>
      </c>
      <c r="H11" s="25">
        <v>0.78506321197003137</v>
      </c>
      <c r="I11" s="25">
        <f t="shared" si="0"/>
        <v>1.2151168500774538</v>
      </c>
      <c r="J11" s="192">
        <v>0</v>
      </c>
      <c r="K11" s="192">
        <v>0</v>
      </c>
      <c r="L11" s="758">
        <v>0</v>
      </c>
      <c r="M11" s="759">
        <f t="shared" si="3"/>
        <v>1.0754549965318652</v>
      </c>
      <c r="N11" s="11" t="s">
        <v>632</v>
      </c>
      <c r="O11" s="75">
        <v>2.5739999999999998</v>
      </c>
      <c r="Q11" s="25">
        <f t="shared" si="1"/>
        <v>1.6666666666666668E-3</v>
      </c>
      <c r="S11" s="759">
        <v>-3.5713608975745936E-4</v>
      </c>
    </row>
    <row r="12" spans="2:21" ht="14.25" customHeight="1" x14ac:dyDescent="0.2">
      <c r="B12" s="20">
        <f t="shared" si="2"/>
        <v>8</v>
      </c>
      <c r="C12" s="25">
        <v>8.9033556245265294E-2</v>
      </c>
      <c r="D12" s="25">
        <v>-8.0000000000000002E-3</v>
      </c>
      <c r="E12" s="25">
        <v>1.0666666666666824E-2</v>
      </c>
      <c r="F12" s="25">
        <v>1.287851995480386</v>
      </c>
      <c r="G12" s="25">
        <v>-0.5</v>
      </c>
      <c r="H12" s="25">
        <v>0.85034223344173998</v>
      </c>
      <c r="I12" s="25">
        <f t="shared" si="0"/>
        <v>0.91735602934916294</v>
      </c>
      <c r="J12" s="192">
        <v>0</v>
      </c>
      <c r="K12" s="192">
        <f>-SUM($J$5:$J$16)*2/4</f>
        <v>0</v>
      </c>
      <c r="L12" s="758">
        <v>-0.06</v>
      </c>
      <c r="M12" s="759">
        <f t="shared" si="3"/>
        <v>1.0109276967399532</v>
      </c>
      <c r="N12" s="11" t="s">
        <v>633</v>
      </c>
      <c r="O12" s="75">
        <v>1.7600000000000002</v>
      </c>
      <c r="Q12" s="25">
        <f t="shared" si="1"/>
        <v>-5.8333333333333334E-2</v>
      </c>
      <c r="S12" s="759">
        <v>-6.0737418204865001E-2</v>
      </c>
    </row>
    <row r="13" spans="2:21" ht="14.25" customHeight="1" x14ac:dyDescent="0.2">
      <c r="B13" s="20">
        <f t="shared" si="2"/>
        <v>9</v>
      </c>
      <c r="C13" s="25">
        <v>8.1077276127509118E-2</v>
      </c>
      <c r="D13" s="25">
        <v>-6.0000000000000001E-3</v>
      </c>
      <c r="E13" s="25">
        <v>4.6666666666668188E-3</v>
      </c>
      <c r="F13" s="25">
        <v>1.1087474809412046</v>
      </c>
      <c r="G13" s="25">
        <v>-0.3</v>
      </c>
      <c r="H13" s="25">
        <v>0.97644651376206237</v>
      </c>
      <c r="I13" s="25">
        <f t="shared" si="0"/>
        <v>0.81003445964912246</v>
      </c>
      <c r="J13" s="192">
        <v>0</v>
      </c>
      <c r="K13" s="192">
        <f t="shared" ref="K13:K14" si="4">-SUM($J$5:$J$16)*1/4</f>
        <v>0</v>
      </c>
      <c r="L13" s="758">
        <v>-0.02</v>
      </c>
      <c r="M13" s="759">
        <f t="shared" si="3"/>
        <v>0.9907091428051541</v>
      </c>
      <c r="N13" s="11" t="s">
        <v>634</v>
      </c>
      <c r="O13" s="75">
        <v>1.4300000000000002</v>
      </c>
      <c r="Q13" s="25">
        <f t="shared" si="1"/>
        <v>-1.8333333333333333E-2</v>
      </c>
      <c r="S13" s="759">
        <v>-1.2669281180220038E-2</v>
      </c>
    </row>
    <row r="14" spans="2:21" ht="14.25" customHeight="1" x14ac:dyDescent="0.2">
      <c r="B14" s="20">
        <f t="shared" si="2"/>
        <v>10</v>
      </c>
      <c r="C14" s="25">
        <v>8.0156558420197685E-2</v>
      </c>
      <c r="D14" s="25">
        <v>-6.0000000000000001E-3</v>
      </c>
      <c r="E14" s="25">
        <v>-1.3333333333331865E-3</v>
      </c>
      <c r="F14" s="25">
        <v>1.0652312742969103</v>
      </c>
      <c r="G14" s="25">
        <v>-0.15</v>
      </c>
      <c r="H14" s="25">
        <v>0.94517953205208061</v>
      </c>
      <c r="I14" s="25">
        <f t="shared" si="0"/>
        <v>0.82040482883020527</v>
      </c>
      <c r="J14" s="192">
        <v>0</v>
      </c>
      <c r="K14" s="192">
        <f t="shared" si="4"/>
        <v>0</v>
      </c>
      <c r="L14" s="758">
        <v>-1.4999999999999999E-2</v>
      </c>
      <c r="M14" s="759">
        <f t="shared" si="3"/>
        <v>0.97584850566307679</v>
      </c>
      <c r="N14" s="11" t="s">
        <v>635</v>
      </c>
      <c r="O14" s="75">
        <v>1.7710000000000004</v>
      </c>
      <c r="Q14" s="25">
        <f t="shared" si="1"/>
        <v>-1.3333333333333332E-2</v>
      </c>
      <c r="S14" s="759">
        <v>-1.2588909684801641E-2</v>
      </c>
    </row>
    <row r="15" spans="2:21" ht="14.25" customHeight="1" x14ac:dyDescent="0.2">
      <c r="B15" s="20">
        <f t="shared" si="2"/>
        <v>11</v>
      </c>
      <c r="C15" s="25">
        <v>7.687272228754205E-2</v>
      </c>
      <c r="D15" s="25">
        <v>-6.0000000000000001E-3</v>
      </c>
      <c r="E15" s="25">
        <v>-7.3333333333331918E-3</v>
      </c>
      <c r="F15" s="25">
        <v>1.002077982839207</v>
      </c>
      <c r="G15" s="25">
        <v>-0.05</v>
      </c>
      <c r="H15" s="25">
        <v>1.0076473386480105</v>
      </c>
      <c r="I15" s="25">
        <f t="shared" si="0"/>
        <v>0.76534001951230546</v>
      </c>
      <c r="J15" s="192">
        <v>0</v>
      </c>
      <c r="K15" s="192">
        <v>0</v>
      </c>
      <c r="L15" s="758">
        <v>-1.4E-2</v>
      </c>
      <c r="M15" s="759">
        <f t="shared" si="3"/>
        <v>0.96218662658379372</v>
      </c>
      <c r="N15" s="11" t="s">
        <v>636</v>
      </c>
      <c r="O15" s="75">
        <v>4.0260000000000007</v>
      </c>
      <c r="Q15" s="25">
        <f t="shared" si="1"/>
        <v>-1.2333333333333333E-2</v>
      </c>
      <c r="S15" s="759">
        <v>-1.6601514068570689E-2</v>
      </c>
    </row>
    <row r="16" spans="2:21" ht="14.25" customHeight="1" x14ac:dyDescent="0.2">
      <c r="B16" s="20">
        <f t="shared" si="2"/>
        <v>12</v>
      </c>
      <c r="C16" s="25">
        <v>7.172128167482314E-2</v>
      </c>
      <c r="D16" s="25">
        <v>-5.0000000000000001E-3</v>
      </c>
      <c r="E16" s="25">
        <v>-1.2333333333333196E-2</v>
      </c>
      <c r="F16" s="25">
        <v>0.93964005952734264</v>
      </c>
      <c r="G16" s="25">
        <v>0</v>
      </c>
      <c r="H16" s="25">
        <v>1.085411812589431</v>
      </c>
      <c r="I16" s="25">
        <f t="shared" si="0"/>
        <v>0.64232608076628961</v>
      </c>
      <c r="J16" s="192">
        <v>0</v>
      </c>
      <c r="K16" s="192">
        <v>0</v>
      </c>
      <c r="L16" s="758">
        <v>-6.0000000000000001E-3</v>
      </c>
      <c r="M16" s="759">
        <f t="shared" si="3"/>
        <v>0.95641350682429094</v>
      </c>
      <c r="N16" s="11" t="s">
        <v>637</v>
      </c>
      <c r="O16" s="75">
        <v>1.353</v>
      </c>
      <c r="Q16" s="25">
        <f t="shared" si="1"/>
        <v>-4.3333333333333331E-3</v>
      </c>
      <c r="S16" s="759">
        <v>-1.2421918904060525E-2</v>
      </c>
    </row>
    <row r="17" spans="2:15" ht="14.25" customHeight="1" x14ac:dyDescent="0.2">
      <c r="G17" s="25">
        <f>SUM(G5:G16)</f>
        <v>1</v>
      </c>
      <c r="J17" s="192"/>
      <c r="L17" s="56"/>
      <c r="M17" s="759">
        <f>SUM(M5:M16)</f>
        <v>11.996080992401257</v>
      </c>
      <c r="N17" s="11" t="s">
        <v>301</v>
      </c>
      <c r="O17" s="75">
        <v>0.93500000000000005</v>
      </c>
    </row>
    <row r="18" spans="2:15" ht="14.25" customHeight="1" x14ac:dyDescent="0.2">
      <c r="B18" s="754" t="s">
        <v>638</v>
      </c>
      <c r="L18" s="56"/>
      <c r="M18" s="56"/>
      <c r="N18" s="11" t="s">
        <v>639</v>
      </c>
      <c r="O18" s="75">
        <v>1.9910000000000003</v>
      </c>
    </row>
    <row r="19" spans="2:15" ht="14.25" customHeight="1" x14ac:dyDescent="0.2">
      <c r="C19" s="755" t="s">
        <v>91</v>
      </c>
      <c r="D19" s="755" t="s">
        <v>640</v>
      </c>
      <c r="E19" s="755" t="s">
        <v>641</v>
      </c>
      <c r="F19" s="755" t="s">
        <v>642</v>
      </c>
      <c r="G19" s="49" t="s">
        <v>473</v>
      </c>
      <c r="H19" s="755" t="s">
        <v>424</v>
      </c>
      <c r="L19" s="56"/>
      <c r="M19" s="56"/>
      <c r="N19" s="11" t="s">
        <v>303</v>
      </c>
      <c r="O19" s="75">
        <v>1.617</v>
      </c>
    </row>
    <row r="20" spans="2:15" ht="14.25" customHeight="1" x14ac:dyDescent="0.2">
      <c r="B20" s="20">
        <v>1</v>
      </c>
      <c r="C20" s="25">
        <v>7.4999999999999997E-2</v>
      </c>
      <c r="D20" s="25">
        <v>0.2</v>
      </c>
      <c r="E20" s="25">
        <v>0.25</v>
      </c>
      <c r="F20" s="25">
        <v>0</v>
      </c>
      <c r="G20" s="25">
        <v>0</v>
      </c>
      <c r="H20" s="25">
        <v>5.0477515971637937E-2</v>
      </c>
      <c r="L20" s="56"/>
      <c r="M20" s="56"/>
      <c r="N20" s="11" t="s">
        <v>643</v>
      </c>
      <c r="O20" s="75">
        <v>1.7050000000000003</v>
      </c>
    </row>
    <row r="21" spans="2:15" ht="14.25" customHeight="1" x14ac:dyDescent="0.2">
      <c r="B21" s="20">
        <f t="shared" ref="B21:B31" si="5">B20+1</f>
        <v>2</v>
      </c>
      <c r="C21" s="25">
        <v>7.4999999999999997E-2</v>
      </c>
      <c r="D21" s="25">
        <v>0.2</v>
      </c>
      <c r="E21" s="25">
        <v>0.4</v>
      </c>
      <c r="F21" s="25">
        <v>0</v>
      </c>
      <c r="G21" s="25">
        <v>0</v>
      </c>
      <c r="H21" s="25">
        <v>6.0031739551783092E-2</v>
      </c>
      <c r="L21" s="56"/>
      <c r="M21" s="56"/>
      <c r="N21" s="11" t="s">
        <v>644</v>
      </c>
      <c r="O21" s="75">
        <v>1.3860000000000001</v>
      </c>
    </row>
    <row r="22" spans="2:15" ht="14.25" customHeight="1" x14ac:dyDescent="0.2">
      <c r="B22" s="20">
        <f t="shared" si="5"/>
        <v>3</v>
      </c>
      <c r="C22" s="25">
        <v>7.4999999999999997E-2</v>
      </c>
      <c r="D22" s="25">
        <v>0.2</v>
      </c>
      <c r="E22" s="25">
        <v>0.25</v>
      </c>
      <c r="F22" s="25">
        <v>0.2</v>
      </c>
      <c r="G22" s="25">
        <v>0</v>
      </c>
      <c r="H22" s="25">
        <v>9.7531208774094838E-2</v>
      </c>
      <c r="L22" s="56"/>
      <c r="M22" s="56"/>
      <c r="N22" s="11" t="s">
        <v>645</v>
      </c>
      <c r="O22" s="75">
        <v>1.1000000000000001</v>
      </c>
    </row>
    <row r="23" spans="2:15" ht="14.25" customHeight="1" x14ac:dyDescent="0.2">
      <c r="B23" s="20">
        <f t="shared" si="5"/>
        <v>4</v>
      </c>
      <c r="C23" s="25">
        <v>7.4999999999999997E-2</v>
      </c>
      <c r="D23" s="25">
        <v>0.15</v>
      </c>
      <c r="E23" s="25">
        <v>0</v>
      </c>
      <c r="F23" s="25">
        <v>0.1</v>
      </c>
      <c r="G23" s="25">
        <v>0.18</v>
      </c>
      <c r="H23" s="25">
        <v>7.7494483670134909E-2</v>
      </c>
      <c r="L23" s="56"/>
      <c r="M23" s="56"/>
      <c r="N23" s="11" t="s">
        <v>646</v>
      </c>
      <c r="O23" s="75">
        <v>3.036</v>
      </c>
    </row>
    <row r="24" spans="2:15" ht="14.25" customHeight="1" x14ac:dyDescent="0.2">
      <c r="B24" s="20">
        <f t="shared" si="5"/>
        <v>5</v>
      </c>
      <c r="C24" s="25">
        <v>7.4999999999999997E-2</v>
      </c>
      <c r="D24" s="25">
        <v>0.05</v>
      </c>
      <c r="E24" s="25">
        <v>0</v>
      </c>
      <c r="F24" s="25">
        <v>0.1</v>
      </c>
      <c r="G24" s="25">
        <v>0.18</v>
      </c>
      <c r="H24" s="25">
        <v>0.10052078298771343</v>
      </c>
      <c r="L24" s="56"/>
      <c r="M24" s="56"/>
      <c r="N24" s="11" t="s">
        <v>647</v>
      </c>
      <c r="O24" s="75">
        <v>1.7160000000000002</v>
      </c>
    </row>
    <row r="25" spans="2:15" ht="14.25" customHeight="1" x14ac:dyDescent="0.2">
      <c r="B25" s="20">
        <f t="shared" si="5"/>
        <v>6</v>
      </c>
      <c r="C25" s="25">
        <v>0.08</v>
      </c>
      <c r="D25" s="25">
        <v>0</v>
      </c>
      <c r="E25" s="25">
        <v>0</v>
      </c>
      <c r="F25" s="25">
        <v>0.1</v>
      </c>
      <c r="G25" s="25">
        <v>0.18</v>
      </c>
      <c r="H25" s="25">
        <v>0.12889882368773273</v>
      </c>
      <c r="L25" s="56"/>
      <c r="M25" s="56"/>
      <c r="N25" s="11" t="s">
        <v>648</v>
      </c>
      <c r="O25" s="75">
        <v>2.4859999999999998</v>
      </c>
    </row>
    <row r="26" spans="2:15" ht="14.25" customHeight="1" x14ac:dyDescent="0.2">
      <c r="B26" s="20">
        <f t="shared" si="5"/>
        <v>7</v>
      </c>
      <c r="C26" s="25">
        <v>0.105</v>
      </c>
      <c r="D26" s="25">
        <v>0</v>
      </c>
      <c r="E26" s="25">
        <v>0</v>
      </c>
      <c r="F26" s="25">
        <v>0.1</v>
      </c>
      <c r="G26" s="25">
        <v>0.18</v>
      </c>
      <c r="H26" s="25">
        <v>9.4782959118162438E-2</v>
      </c>
      <c r="L26" s="56"/>
      <c r="M26" s="56"/>
      <c r="N26" s="11" t="s">
        <v>649</v>
      </c>
      <c r="O26" s="75">
        <v>3.9335890000000004</v>
      </c>
    </row>
    <row r="27" spans="2:15" ht="14.25" customHeight="1" x14ac:dyDescent="0.2">
      <c r="B27" s="20">
        <f t="shared" si="5"/>
        <v>8</v>
      </c>
      <c r="C27" s="25">
        <v>0.105</v>
      </c>
      <c r="D27" s="25">
        <v>0</v>
      </c>
      <c r="E27" s="25">
        <v>0</v>
      </c>
      <c r="F27" s="25">
        <v>0.1</v>
      </c>
      <c r="G27" s="25">
        <v>0.18</v>
      </c>
      <c r="H27" s="25">
        <v>9.0116094926353349E-2</v>
      </c>
      <c r="L27" s="56"/>
      <c r="M27" s="56"/>
      <c r="N27" s="11" t="s">
        <v>650</v>
      </c>
      <c r="O27" s="75">
        <v>0.42707060000000008</v>
      </c>
    </row>
    <row r="28" spans="2:15" ht="14.25" customHeight="1" x14ac:dyDescent="0.2">
      <c r="B28" s="20">
        <f t="shared" si="5"/>
        <v>9</v>
      </c>
      <c r="C28" s="25">
        <v>0.1</v>
      </c>
      <c r="D28" s="25">
        <v>0</v>
      </c>
      <c r="E28" s="25">
        <v>0</v>
      </c>
      <c r="F28" s="25">
        <v>0.2</v>
      </c>
      <c r="G28" s="25">
        <v>0.1</v>
      </c>
      <c r="H28" s="25">
        <v>7.3952680979966656E-2</v>
      </c>
      <c r="L28" s="56"/>
      <c r="M28" s="56"/>
      <c r="N28" s="11" t="s">
        <v>651</v>
      </c>
      <c r="O28" s="75">
        <v>2.6730000000000005</v>
      </c>
    </row>
    <row r="29" spans="2:15" ht="14.25" customHeight="1" x14ac:dyDescent="0.2">
      <c r="B29" s="20">
        <f t="shared" si="5"/>
        <v>10</v>
      </c>
      <c r="C29" s="25">
        <v>0.08</v>
      </c>
      <c r="D29" s="25">
        <v>0</v>
      </c>
      <c r="E29" s="25">
        <v>0</v>
      </c>
      <c r="F29" s="25">
        <v>0.1</v>
      </c>
      <c r="G29" s="25">
        <v>0</v>
      </c>
      <c r="H29" s="25">
        <v>7.8530749560413324E-2</v>
      </c>
      <c r="L29" s="56"/>
      <c r="M29" s="56"/>
      <c r="N29" s="11" t="s">
        <v>652</v>
      </c>
      <c r="O29" s="75">
        <v>1.6610000000000003</v>
      </c>
    </row>
    <row r="30" spans="2:15" ht="14.25" customHeight="1" x14ac:dyDescent="0.2">
      <c r="B30" s="20">
        <f t="shared" si="5"/>
        <v>11</v>
      </c>
      <c r="C30" s="25">
        <v>0.08</v>
      </c>
      <c r="D30" s="25">
        <v>0.05</v>
      </c>
      <c r="E30" s="25">
        <v>0</v>
      </c>
      <c r="F30" s="25">
        <v>0</v>
      </c>
      <c r="G30" s="25">
        <v>0</v>
      </c>
      <c r="H30" s="25">
        <v>6.9512163364682619E-2</v>
      </c>
      <c r="L30" s="56"/>
      <c r="M30" s="56"/>
      <c r="N30" s="11" t="s">
        <v>653</v>
      </c>
      <c r="O30" s="75">
        <v>0.90200000000000002</v>
      </c>
    </row>
    <row r="31" spans="2:15" ht="14.25" customHeight="1" x14ac:dyDescent="0.2">
      <c r="B31" s="20">
        <f t="shared" si="5"/>
        <v>12</v>
      </c>
      <c r="C31" s="25">
        <v>7.4999999999999997E-2</v>
      </c>
      <c r="D31" s="25">
        <v>0.15</v>
      </c>
      <c r="E31" s="25">
        <v>0.1</v>
      </c>
      <c r="F31" s="25">
        <v>0</v>
      </c>
      <c r="G31" s="25">
        <v>0</v>
      </c>
      <c r="H31" s="25">
        <v>7.8150797407324765E-2</v>
      </c>
      <c r="L31" s="56"/>
      <c r="M31" s="56"/>
      <c r="N31" s="11" t="s">
        <v>654</v>
      </c>
      <c r="O31" s="75">
        <v>0.24200000000000002</v>
      </c>
    </row>
    <row r="32" spans="2:15" ht="14.25" customHeight="1" x14ac:dyDescent="0.2">
      <c r="L32" s="56"/>
      <c r="M32" s="56"/>
      <c r="N32" s="11" t="s">
        <v>655</v>
      </c>
      <c r="O32" s="75">
        <v>0.55000000000000004</v>
      </c>
    </row>
    <row r="33" spans="2:15" ht="14.25" customHeight="1" x14ac:dyDescent="0.2">
      <c r="L33" s="56"/>
      <c r="M33" s="56"/>
      <c r="N33" s="11" t="s">
        <v>656</v>
      </c>
      <c r="O33" s="75">
        <v>1.0780000000000001</v>
      </c>
    </row>
    <row r="34" spans="2:15" ht="14.25" customHeight="1" x14ac:dyDescent="0.2">
      <c r="L34" s="56"/>
      <c r="M34" s="56"/>
      <c r="N34" s="11" t="s">
        <v>657</v>
      </c>
      <c r="O34" s="75">
        <v>2.6070000000000002</v>
      </c>
    </row>
    <row r="35" spans="2:15" ht="14.25" customHeight="1" x14ac:dyDescent="0.2">
      <c r="H35" s="57" t="s">
        <v>658</v>
      </c>
      <c r="L35" s="56"/>
      <c r="M35" s="56"/>
      <c r="N35" s="11" t="s">
        <v>659</v>
      </c>
      <c r="O35" s="75">
        <v>1.2100000000000002</v>
      </c>
    </row>
    <row r="36" spans="2:15" ht="14.25" customHeight="1" x14ac:dyDescent="0.2">
      <c r="B36" s="11" t="s">
        <v>120</v>
      </c>
      <c r="C36" s="760">
        <f>H36</f>
        <v>4.4999999999999998E-2</v>
      </c>
      <c r="D36" s="273">
        <f>Inputs!$V$29*C36</f>
        <v>999.87614999999983</v>
      </c>
      <c r="E36" s="273">
        <f>D36/Projection!$F$3</f>
        <v>9.4499999999999983E-3</v>
      </c>
      <c r="F36" s="35">
        <f>Inputs!R21</f>
        <v>299.96284499999996</v>
      </c>
      <c r="H36" s="761">
        <v>4.4999999999999998E-2</v>
      </c>
      <c r="I36" s="25"/>
      <c r="J36" s="25"/>
      <c r="K36" s="25"/>
      <c r="L36" s="230"/>
      <c r="M36" s="56"/>
      <c r="N36" s="11" t="s">
        <v>660</v>
      </c>
      <c r="O36" s="75">
        <v>1.903</v>
      </c>
    </row>
    <row r="37" spans="2:15" ht="14.25" customHeight="1" x14ac:dyDescent="0.2">
      <c r="B37" s="11" t="s">
        <v>122</v>
      </c>
      <c r="C37" s="760">
        <f>IF(Inputs!$C$62=FALSE,H38+H37,H37)</f>
        <v>0.06</v>
      </c>
      <c r="D37" s="273">
        <f>Inputs!$V$29*C37</f>
        <v>1333.1681999999998</v>
      </c>
      <c r="E37" s="273">
        <f>D37/Projection!$F$3</f>
        <v>1.2599999999999998E-2</v>
      </c>
      <c r="F37" s="35">
        <f>Inputs!R22</f>
        <v>399.95045999999996</v>
      </c>
      <c r="H37" s="761">
        <v>0.06</v>
      </c>
      <c r="I37" s="25"/>
      <c r="J37" s="25"/>
      <c r="K37" s="25"/>
      <c r="L37" s="230"/>
      <c r="M37" s="56"/>
      <c r="N37" s="11" t="s">
        <v>661</v>
      </c>
      <c r="O37" s="75">
        <v>2.6950000000000003</v>
      </c>
    </row>
    <row r="38" spans="2:15" ht="14.25" customHeight="1" x14ac:dyDescent="0.2">
      <c r="B38" s="11" t="s">
        <v>124</v>
      </c>
      <c r="C38" s="760">
        <f>IF(Inputs!$C$62=FALSE,0,Modeling!H38)</f>
        <v>0.28000000000000003</v>
      </c>
      <c r="D38" s="273">
        <f>Inputs!$V$29*C38</f>
        <v>6221.4516000000003</v>
      </c>
      <c r="E38" s="273">
        <f>D38/Projection!$F$3</f>
        <v>5.8800000000000005E-2</v>
      </c>
      <c r="F38" s="35">
        <f>Inputs!R23</f>
        <v>1866.4354799999999</v>
      </c>
      <c r="H38" s="761">
        <v>0.28000000000000003</v>
      </c>
      <c r="I38" s="25"/>
      <c r="J38" s="25"/>
      <c r="K38" s="25"/>
      <c r="L38" s="230"/>
      <c r="M38" s="56"/>
      <c r="N38" s="11" t="s">
        <v>662</v>
      </c>
      <c r="O38" s="75">
        <v>2.7829999999999999</v>
      </c>
    </row>
    <row r="39" spans="2:15" ht="14.25" customHeight="1" x14ac:dyDescent="0.2">
      <c r="B39" s="11" t="s">
        <v>128</v>
      </c>
      <c r="C39" s="760">
        <f>H39</f>
        <v>5.5E-2</v>
      </c>
      <c r="D39" s="273">
        <f>Inputs!$V$29*C39</f>
        <v>1222.0708499999998</v>
      </c>
      <c r="E39" s="273">
        <f>D39/Projection!$F$3</f>
        <v>1.1549999999999998E-2</v>
      </c>
      <c r="F39" s="35">
        <f>Inputs!R24</f>
        <v>366.62125499999996</v>
      </c>
      <c r="H39" s="761">
        <v>5.5E-2</v>
      </c>
      <c r="I39" s="25"/>
      <c r="J39" s="25"/>
      <c r="K39" s="25"/>
      <c r="L39" s="230"/>
      <c r="M39" s="56"/>
      <c r="N39" s="11" t="s">
        <v>663</v>
      </c>
      <c r="O39" s="75">
        <v>0.20900000000000002</v>
      </c>
    </row>
    <row r="40" spans="2:15" ht="14.25" customHeight="1" x14ac:dyDescent="0.2">
      <c r="B40" s="11" t="s">
        <v>132</v>
      </c>
      <c r="C40" s="760">
        <f>IF(Inputs!$C$63=FALSE,H40+H41,H40)</f>
        <v>6.25E-2</v>
      </c>
      <c r="D40" s="273">
        <f>Inputs!$V$29*C40</f>
        <v>1388.7168749999998</v>
      </c>
      <c r="E40" s="273">
        <f>D40/Projection!$F$3</f>
        <v>1.3124999999999998E-2</v>
      </c>
      <c r="F40" s="35">
        <f>Inputs!R25</f>
        <v>416.61506249999996</v>
      </c>
      <c r="H40" s="761">
        <v>4.7500000000000001E-2</v>
      </c>
      <c r="I40" s="25"/>
      <c r="J40" s="25"/>
      <c r="K40" s="25"/>
      <c r="L40" s="230"/>
      <c r="M40" s="56"/>
    </row>
    <row r="41" spans="2:15" ht="14.25" customHeight="1" x14ac:dyDescent="0.2">
      <c r="B41" s="11" t="s">
        <v>134</v>
      </c>
      <c r="C41" s="760">
        <f>IF(Inputs!$C$63=FALSE,0,H41)</f>
        <v>0</v>
      </c>
      <c r="D41" s="273">
        <f>Inputs!$V$29*C41</f>
        <v>0</v>
      </c>
      <c r="E41" s="273">
        <f>D41/Projection!$F$3</f>
        <v>0</v>
      </c>
      <c r="F41" s="35">
        <f>Inputs!R26</f>
        <v>0</v>
      </c>
      <c r="H41" s="761">
        <v>1.4999999999999999E-2</v>
      </c>
      <c r="I41" s="25"/>
      <c r="J41" s="25"/>
      <c r="K41" s="25"/>
      <c r="L41" s="230"/>
      <c r="M41" s="56"/>
    </row>
    <row r="42" spans="2:15" ht="14.25" customHeight="1" x14ac:dyDescent="0.2">
      <c r="B42" s="11" t="s">
        <v>137</v>
      </c>
      <c r="C42" s="760">
        <f t="shared" ref="C42:C47" si="6">H42</f>
        <v>0.01</v>
      </c>
      <c r="D42" s="273">
        <f>Inputs!$V$29*C42</f>
        <v>222.19469999999998</v>
      </c>
      <c r="E42" s="273">
        <f>D42/Projection!$F$3</f>
        <v>2.0999999999999999E-3</v>
      </c>
      <c r="F42" s="35">
        <f>Inputs!R27</f>
        <v>66.658409999999989</v>
      </c>
      <c r="H42" s="761">
        <v>0.01</v>
      </c>
      <c r="I42" s="25"/>
      <c r="J42" s="25"/>
      <c r="K42" s="25"/>
      <c r="L42" s="230"/>
      <c r="M42" s="56"/>
    </row>
    <row r="43" spans="2:15" ht="14.25" customHeight="1" x14ac:dyDescent="0.2">
      <c r="B43" s="11" t="s">
        <v>142</v>
      </c>
      <c r="C43" s="760">
        <f t="shared" si="6"/>
        <v>2.5000000000000001E-2</v>
      </c>
      <c r="D43" s="273">
        <f>Inputs!$V$29*C43</f>
        <v>555.48674999999992</v>
      </c>
      <c r="E43" s="273">
        <f>D43/Projection!$F$3</f>
        <v>5.2499999999999995E-3</v>
      </c>
      <c r="F43" s="35">
        <f>Inputs!R28</f>
        <v>166.64602499999998</v>
      </c>
      <c r="H43" s="761">
        <v>2.5000000000000001E-2</v>
      </c>
      <c r="I43" s="25"/>
      <c r="J43" s="25"/>
      <c r="K43" s="25"/>
      <c r="L43" s="230"/>
      <c r="M43" s="56"/>
    </row>
    <row r="44" spans="2:15" ht="14.25" customHeight="1" x14ac:dyDescent="0.2">
      <c r="B44" s="11" t="s">
        <v>145</v>
      </c>
      <c r="C44" s="760">
        <f t="shared" si="6"/>
        <v>0.21</v>
      </c>
      <c r="D44" s="273">
        <f>Inputs!$V$29*C44</f>
        <v>4666.0886999999993</v>
      </c>
      <c r="E44" s="273">
        <f>D44/Projection!$F$3</f>
        <v>4.4099999999999993E-2</v>
      </c>
      <c r="F44" s="35">
        <f>Inputs!R29</f>
        <v>1399.8266099999998</v>
      </c>
      <c r="H44" s="761">
        <v>0.21</v>
      </c>
      <c r="I44" s="25"/>
      <c r="J44" s="25"/>
      <c r="K44" s="25"/>
      <c r="L44" s="230"/>
      <c r="M44" s="56"/>
    </row>
    <row r="45" spans="2:15" ht="14.25" customHeight="1" x14ac:dyDescent="0.2">
      <c r="B45" s="11" t="s">
        <v>149</v>
      </c>
      <c r="C45" s="760">
        <f t="shared" si="6"/>
        <v>0.11</v>
      </c>
      <c r="D45" s="273">
        <f>Inputs!$V$29*C45</f>
        <v>2444.1416999999997</v>
      </c>
      <c r="E45" s="273">
        <f>D45/Projection!$F$3</f>
        <v>2.3099999999999996E-2</v>
      </c>
      <c r="F45" s="35">
        <f>Inputs!R30</f>
        <v>733.24250999999992</v>
      </c>
      <c r="H45" s="761">
        <v>0.11</v>
      </c>
      <c r="I45" s="25"/>
      <c r="J45" s="25"/>
      <c r="K45" s="25"/>
      <c r="L45" s="230"/>
      <c r="M45" s="56"/>
    </row>
    <row r="46" spans="2:15" ht="14.25" customHeight="1" x14ac:dyDescent="0.2">
      <c r="B46" s="11" t="s">
        <v>151</v>
      </c>
      <c r="C46" s="760">
        <f t="shared" si="6"/>
        <v>0.08</v>
      </c>
      <c r="D46" s="273">
        <f>Inputs!$V$29*C46</f>
        <v>1777.5575999999999</v>
      </c>
      <c r="E46" s="273">
        <f>D46/Projection!$F$3</f>
        <v>1.6799999999999999E-2</v>
      </c>
      <c r="F46" s="35">
        <f>Inputs!R31</f>
        <v>533.26727999999991</v>
      </c>
      <c r="H46" s="761">
        <v>0.08</v>
      </c>
      <c r="I46" s="25"/>
      <c r="J46" s="25"/>
      <c r="K46" s="25"/>
      <c r="L46" s="230"/>
      <c r="M46" s="56"/>
    </row>
    <row r="47" spans="2:15" ht="14.25" customHeight="1" x14ac:dyDescent="0.2">
      <c r="B47" s="11" t="s">
        <v>156</v>
      </c>
      <c r="C47" s="760">
        <f t="shared" si="6"/>
        <v>3.2500000000000001E-2</v>
      </c>
      <c r="D47" s="273">
        <f>Inputs!$V$29*C47</f>
        <v>722.13277499999992</v>
      </c>
      <c r="E47" s="273">
        <f>D47/Projection!$F$3</f>
        <v>6.8249999999999995E-3</v>
      </c>
      <c r="F47" s="35">
        <f>Inputs!R32</f>
        <v>216.63983249999998</v>
      </c>
      <c r="H47" s="761">
        <v>3.2500000000000001E-2</v>
      </c>
      <c r="I47" s="25"/>
      <c r="J47" s="25"/>
      <c r="K47" s="25"/>
      <c r="L47" s="230"/>
      <c r="M47" s="56"/>
    </row>
    <row r="48" spans="2:15" ht="14.25" customHeight="1" x14ac:dyDescent="0.2">
      <c r="B48" s="11" t="s">
        <v>158</v>
      </c>
      <c r="C48" s="760">
        <f>IF(Inputs!C64=FALSE,H48+H49,Modeling!H48)</f>
        <v>0.03</v>
      </c>
      <c r="D48" s="273">
        <f>Inputs!$V$29*C48</f>
        <v>666.58409999999992</v>
      </c>
      <c r="E48" s="273">
        <f>D48/Projection!$F$3</f>
        <v>6.2999999999999992E-3</v>
      </c>
      <c r="F48" s="35">
        <f>Inputs!R33</f>
        <v>199.97522999999998</v>
      </c>
      <c r="H48" s="761">
        <v>0.02</v>
      </c>
      <c r="I48" s="25"/>
      <c r="J48" s="25"/>
      <c r="K48" s="25"/>
      <c r="L48" s="230"/>
      <c r="M48" s="56"/>
    </row>
    <row r="49" spans="2:13" ht="14.25" customHeight="1" x14ac:dyDescent="0.2">
      <c r="B49" s="11" t="s">
        <v>162</v>
      </c>
      <c r="C49" s="760">
        <f>IF(Inputs!C64=FALSE,0,H49)</f>
        <v>0</v>
      </c>
      <c r="D49" s="273">
        <f>Inputs!$V$29*C49</f>
        <v>0</v>
      </c>
      <c r="E49" s="273">
        <f>D49/Projection!$F$3*12</f>
        <v>0</v>
      </c>
      <c r="F49" s="35">
        <f>Inputs!R34</f>
        <v>0</v>
      </c>
      <c r="H49" s="761">
        <v>0.01</v>
      </c>
      <c r="I49" s="25"/>
      <c r="J49" s="25"/>
      <c r="K49" s="25"/>
      <c r="L49" s="230"/>
      <c r="M49" s="56"/>
    </row>
    <row r="50" spans="2:13" ht="14.25" customHeight="1" x14ac:dyDescent="0.2">
      <c r="C50" s="25">
        <f t="shared" ref="C50:D50" si="7">SUM(C36:C49)</f>
        <v>0.99999999999999989</v>
      </c>
      <c r="D50" s="273">
        <f t="shared" si="7"/>
        <v>22219.469999999998</v>
      </c>
      <c r="H50" s="759">
        <f>SUM(H36:H49)</f>
        <v>0.99999999999999989</v>
      </c>
      <c r="I50" s="759"/>
      <c r="L50" s="759"/>
      <c r="M50" s="56"/>
    </row>
    <row r="51" spans="2:13" ht="14.25" customHeight="1" x14ac:dyDescent="0.2">
      <c r="D51" s="25"/>
      <c r="L51" s="56"/>
      <c r="M51" s="56"/>
    </row>
    <row r="52" spans="2:13" ht="14.25" customHeight="1" x14ac:dyDescent="0.2">
      <c r="C52" s="25"/>
      <c r="L52" s="56"/>
      <c r="M52" s="56"/>
    </row>
    <row r="53" spans="2:13" ht="14.25" customHeight="1" x14ac:dyDescent="0.2">
      <c r="L53" s="56"/>
      <c r="M53" s="56"/>
    </row>
    <row r="54" spans="2:13" ht="14.25" customHeight="1" x14ac:dyDescent="0.2">
      <c r="L54" s="56"/>
      <c r="M54" s="56"/>
    </row>
    <row r="55" spans="2:13" ht="14.25" customHeight="1" x14ac:dyDescent="0.2">
      <c r="L55" s="56"/>
      <c r="M55" s="56"/>
    </row>
    <row r="56" spans="2:13" ht="14.25" customHeight="1" x14ac:dyDescent="0.2">
      <c r="L56" s="56"/>
      <c r="M56" s="56"/>
    </row>
    <row r="57" spans="2:13" ht="14.25" customHeight="1" x14ac:dyDescent="0.2">
      <c r="L57" s="56"/>
      <c r="M57" s="56"/>
    </row>
    <row r="58" spans="2:13" ht="14.25" customHeight="1" x14ac:dyDescent="0.2">
      <c r="L58" s="56"/>
      <c r="M58" s="56"/>
    </row>
    <row r="59" spans="2:13" ht="14.25" customHeight="1" x14ac:dyDescent="0.2">
      <c r="L59" s="56"/>
      <c r="M59" s="56"/>
    </row>
    <row r="60" spans="2:13" ht="14.25" customHeight="1" x14ac:dyDescent="0.2">
      <c r="L60" s="56"/>
      <c r="M60" s="56"/>
    </row>
    <row r="61" spans="2:13" ht="14.25" customHeight="1" x14ac:dyDescent="0.2">
      <c r="L61" s="56"/>
      <c r="M61" s="56"/>
    </row>
    <row r="62" spans="2:13" ht="14.25" customHeight="1" x14ac:dyDescent="0.2">
      <c r="L62" s="56"/>
      <c r="M62" s="56"/>
    </row>
    <row r="63" spans="2:13" ht="14.25" customHeight="1" x14ac:dyDescent="0.2">
      <c r="L63" s="56"/>
      <c r="M63" s="56"/>
    </row>
    <row r="64" spans="2:13" ht="14.25" customHeight="1" x14ac:dyDescent="0.2">
      <c r="L64" s="56"/>
      <c r="M64" s="56"/>
    </row>
    <row r="65" spans="12:13" ht="14.25" customHeight="1" x14ac:dyDescent="0.2">
      <c r="L65" s="56"/>
      <c r="M65" s="56"/>
    </row>
    <row r="66" spans="12:13" ht="14.25" customHeight="1" x14ac:dyDescent="0.2">
      <c r="L66" s="56"/>
      <c r="M66" s="56"/>
    </row>
    <row r="67" spans="12:13" ht="14.25" customHeight="1" x14ac:dyDescent="0.2">
      <c r="L67" s="56"/>
      <c r="M67" s="56"/>
    </row>
    <row r="68" spans="12:13" ht="14.25" customHeight="1" x14ac:dyDescent="0.2">
      <c r="L68" s="56"/>
      <c r="M68" s="56"/>
    </row>
    <row r="69" spans="12:13" ht="14.25" customHeight="1" x14ac:dyDescent="0.2">
      <c r="L69" s="56"/>
      <c r="M69" s="56"/>
    </row>
    <row r="70" spans="12:13" ht="14.25" customHeight="1" x14ac:dyDescent="0.2">
      <c r="L70" s="56"/>
      <c r="M70" s="56"/>
    </row>
    <row r="71" spans="12:13" ht="14.25" customHeight="1" x14ac:dyDescent="0.2">
      <c r="L71" s="56"/>
      <c r="M71" s="56"/>
    </row>
    <row r="72" spans="12:13" ht="14.25" customHeight="1" x14ac:dyDescent="0.2">
      <c r="L72" s="56"/>
      <c r="M72" s="56"/>
    </row>
    <row r="73" spans="12:13" ht="14.25" customHeight="1" x14ac:dyDescent="0.2">
      <c r="L73" s="56"/>
      <c r="M73" s="56"/>
    </row>
    <row r="74" spans="12:13" ht="14.25" customHeight="1" x14ac:dyDescent="0.2">
      <c r="L74" s="56"/>
      <c r="M74" s="56"/>
    </row>
    <row r="75" spans="12:13" ht="14.25" customHeight="1" x14ac:dyDescent="0.2">
      <c r="L75" s="56"/>
      <c r="M75" s="56"/>
    </row>
    <row r="76" spans="12:13" ht="14.25" customHeight="1" x14ac:dyDescent="0.2">
      <c r="L76" s="56"/>
      <c r="M76" s="56"/>
    </row>
    <row r="77" spans="12:13" ht="14.25" customHeight="1" x14ac:dyDescent="0.2">
      <c r="L77" s="56"/>
      <c r="M77" s="56"/>
    </row>
    <row r="78" spans="12:13" ht="14.25" customHeight="1" x14ac:dyDescent="0.2">
      <c r="L78" s="56"/>
      <c r="M78" s="56"/>
    </row>
    <row r="79" spans="12:13" ht="14.25" customHeight="1" x14ac:dyDescent="0.2">
      <c r="L79" s="56"/>
      <c r="M79" s="56"/>
    </row>
    <row r="80" spans="12:13" ht="14.25" customHeight="1" x14ac:dyDescent="0.2">
      <c r="L80" s="56"/>
      <c r="M80" s="56"/>
    </row>
    <row r="81" spans="12:13" ht="14.25" customHeight="1" x14ac:dyDescent="0.2">
      <c r="L81" s="56"/>
      <c r="M81" s="56"/>
    </row>
    <row r="82" spans="12:13" ht="14.25" customHeight="1" x14ac:dyDescent="0.2">
      <c r="L82" s="56"/>
      <c r="M82" s="56"/>
    </row>
    <row r="83" spans="12:13" ht="14.25" customHeight="1" x14ac:dyDescent="0.2">
      <c r="L83" s="56"/>
      <c r="M83" s="56"/>
    </row>
    <row r="84" spans="12:13" ht="14.25" customHeight="1" x14ac:dyDescent="0.2">
      <c r="L84" s="56"/>
      <c r="M84" s="56"/>
    </row>
    <row r="85" spans="12:13" ht="14.25" customHeight="1" x14ac:dyDescent="0.2">
      <c r="L85" s="56"/>
      <c r="M85" s="56"/>
    </row>
    <row r="86" spans="12:13" ht="14.25" customHeight="1" x14ac:dyDescent="0.2">
      <c r="L86" s="56"/>
      <c r="M86" s="56"/>
    </row>
    <row r="87" spans="12:13" ht="14.25" customHeight="1" x14ac:dyDescent="0.2">
      <c r="L87" s="56"/>
      <c r="M87" s="56"/>
    </row>
    <row r="88" spans="12:13" ht="14.25" customHeight="1" x14ac:dyDescent="0.2">
      <c r="L88" s="56"/>
      <c r="M88" s="56"/>
    </row>
    <row r="89" spans="12:13" ht="14.25" customHeight="1" x14ac:dyDescent="0.2">
      <c r="L89" s="56"/>
      <c r="M89" s="56"/>
    </row>
    <row r="90" spans="12:13" ht="14.25" customHeight="1" x14ac:dyDescent="0.2">
      <c r="L90" s="56"/>
      <c r="M90" s="56"/>
    </row>
    <row r="91" spans="12:13" ht="14.25" customHeight="1" x14ac:dyDescent="0.2">
      <c r="L91" s="56"/>
      <c r="M91" s="56"/>
    </row>
    <row r="92" spans="12:13" ht="14.25" customHeight="1" x14ac:dyDescent="0.2">
      <c r="L92" s="56"/>
      <c r="M92" s="56"/>
    </row>
    <row r="93" spans="12:13" ht="14.25" customHeight="1" x14ac:dyDescent="0.2">
      <c r="L93" s="56"/>
      <c r="M93" s="56"/>
    </row>
    <row r="94" spans="12:13" ht="14.25" customHeight="1" x14ac:dyDescent="0.2">
      <c r="L94" s="56"/>
      <c r="M94" s="56"/>
    </row>
    <row r="95" spans="12:13" ht="14.25" customHeight="1" x14ac:dyDescent="0.2">
      <c r="L95" s="56"/>
      <c r="M95" s="56"/>
    </row>
    <row r="96" spans="12:13" ht="14.25" customHeight="1" x14ac:dyDescent="0.2">
      <c r="L96" s="56"/>
      <c r="M96" s="56"/>
    </row>
    <row r="97" spans="12:13" ht="14.25" customHeight="1" x14ac:dyDescent="0.2">
      <c r="L97" s="56"/>
      <c r="M97" s="56"/>
    </row>
    <row r="98" spans="12:13" ht="14.25" customHeight="1" x14ac:dyDescent="0.2">
      <c r="L98" s="56"/>
      <c r="M98" s="56"/>
    </row>
    <row r="99" spans="12:13" ht="14.25" customHeight="1" x14ac:dyDescent="0.2">
      <c r="L99" s="56"/>
      <c r="M99" s="56"/>
    </row>
    <row r="100" spans="12:13" ht="14.25" customHeight="1" x14ac:dyDescent="0.2">
      <c r="L100" s="56"/>
      <c r="M100" s="56"/>
    </row>
    <row r="101" spans="12:13" ht="14.25" customHeight="1" x14ac:dyDescent="0.2">
      <c r="L101" s="56"/>
      <c r="M101" s="56"/>
    </row>
    <row r="102" spans="12:13" ht="14.25" customHeight="1" x14ac:dyDescent="0.2">
      <c r="L102" s="56"/>
      <c r="M102" s="56"/>
    </row>
    <row r="103" spans="12:13" ht="14.25" customHeight="1" x14ac:dyDescent="0.2">
      <c r="L103" s="56"/>
      <c r="M103" s="56"/>
    </row>
    <row r="104" spans="12:13" ht="14.25" customHeight="1" x14ac:dyDescent="0.2">
      <c r="L104" s="56"/>
      <c r="M104" s="56"/>
    </row>
    <row r="105" spans="12:13" ht="14.25" customHeight="1" x14ac:dyDescent="0.2">
      <c r="L105" s="56"/>
      <c r="M105" s="56"/>
    </row>
    <row r="106" spans="12:13" ht="14.25" customHeight="1" x14ac:dyDescent="0.2">
      <c r="L106" s="56"/>
      <c r="M106" s="56"/>
    </row>
    <row r="107" spans="12:13" ht="14.25" customHeight="1" x14ac:dyDescent="0.2">
      <c r="L107" s="56"/>
      <c r="M107" s="56"/>
    </row>
    <row r="108" spans="12:13" ht="14.25" customHeight="1" x14ac:dyDescent="0.2">
      <c r="L108" s="56"/>
      <c r="M108" s="56"/>
    </row>
    <row r="109" spans="12:13" ht="14.25" customHeight="1" x14ac:dyDescent="0.2">
      <c r="L109" s="56"/>
      <c r="M109" s="56"/>
    </row>
    <row r="110" spans="12:13" ht="14.25" customHeight="1" x14ac:dyDescent="0.2">
      <c r="L110" s="56"/>
      <c r="M110" s="56"/>
    </row>
    <row r="111" spans="12:13" ht="14.25" customHeight="1" x14ac:dyDescent="0.2">
      <c r="L111" s="56"/>
      <c r="M111" s="56"/>
    </row>
    <row r="112" spans="12:13" ht="14.25" customHeight="1" x14ac:dyDescent="0.2">
      <c r="L112" s="56"/>
      <c r="M112" s="56"/>
    </row>
    <row r="113" spans="12:13" ht="14.25" customHeight="1" x14ac:dyDescent="0.2">
      <c r="L113" s="56"/>
      <c r="M113" s="56"/>
    </row>
    <row r="114" spans="12:13" ht="14.25" customHeight="1" x14ac:dyDescent="0.2">
      <c r="L114" s="56"/>
      <c r="M114" s="56"/>
    </row>
    <row r="115" spans="12:13" ht="14.25" customHeight="1" x14ac:dyDescent="0.2">
      <c r="L115" s="56"/>
      <c r="M115" s="56"/>
    </row>
    <row r="116" spans="12:13" ht="14.25" customHeight="1" x14ac:dyDescent="0.2">
      <c r="L116" s="56"/>
      <c r="M116" s="56"/>
    </row>
    <row r="117" spans="12:13" ht="14.25" customHeight="1" x14ac:dyDescent="0.2">
      <c r="L117" s="56"/>
      <c r="M117" s="56"/>
    </row>
    <row r="118" spans="12:13" ht="14.25" customHeight="1" x14ac:dyDescent="0.2">
      <c r="L118" s="56"/>
      <c r="M118" s="56"/>
    </row>
    <row r="119" spans="12:13" ht="14.25" customHeight="1" x14ac:dyDescent="0.2">
      <c r="L119" s="56"/>
      <c r="M119" s="56"/>
    </row>
    <row r="120" spans="12:13" ht="14.25" customHeight="1" x14ac:dyDescent="0.2">
      <c r="L120" s="56"/>
      <c r="M120" s="56"/>
    </row>
    <row r="121" spans="12:13" ht="14.25" customHeight="1" x14ac:dyDescent="0.2">
      <c r="L121" s="56"/>
      <c r="M121" s="56"/>
    </row>
    <row r="122" spans="12:13" ht="14.25" customHeight="1" x14ac:dyDescent="0.2">
      <c r="L122" s="56"/>
      <c r="M122" s="56"/>
    </row>
    <row r="123" spans="12:13" ht="14.25" customHeight="1" x14ac:dyDescent="0.2">
      <c r="L123" s="56"/>
      <c r="M123" s="56"/>
    </row>
    <row r="124" spans="12:13" ht="14.25" customHeight="1" x14ac:dyDescent="0.2">
      <c r="L124" s="56"/>
      <c r="M124" s="56"/>
    </row>
    <row r="125" spans="12:13" ht="14.25" customHeight="1" x14ac:dyDescent="0.2">
      <c r="L125" s="56"/>
      <c r="M125" s="56"/>
    </row>
    <row r="126" spans="12:13" ht="14.25" customHeight="1" x14ac:dyDescent="0.2">
      <c r="L126" s="56"/>
      <c r="M126" s="56"/>
    </row>
    <row r="127" spans="12:13" ht="14.25" customHeight="1" x14ac:dyDescent="0.2">
      <c r="L127" s="56"/>
      <c r="M127" s="56"/>
    </row>
    <row r="128" spans="12:13" ht="14.25" customHeight="1" x14ac:dyDescent="0.2">
      <c r="L128" s="56"/>
      <c r="M128" s="56"/>
    </row>
    <row r="129" spans="12:13" ht="14.25" customHeight="1" x14ac:dyDescent="0.2">
      <c r="L129" s="56"/>
      <c r="M129" s="56"/>
    </row>
    <row r="130" spans="12:13" ht="14.25" customHeight="1" x14ac:dyDescent="0.2">
      <c r="L130" s="56"/>
      <c r="M130" s="56"/>
    </row>
    <row r="131" spans="12:13" ht="14.25" customHeight="1" x14ac:dyDescent="0.2">
      <c r="L131" s="56"/>
      <c r="M131" s="56"/>
    </row>
    <row r="132" spans="12:13" ht="14.25" customHeight="1" x14ac:dyDescent="0.2">
      <c r="L132" s="56"/>
      <c r="M132" s="56"/>
    </row>
    <row r="133" spans="12:13" ht="14.25" customHeight="1" x14ac:dyDescent="0.2">
      <c r="L133" s="56"/>
      <c r="M133" s="56"/>
    </row>
    <row r="134" spans="12:13" ht="14.25" customHeight="1" x14ac:dyDescent="0.2">
      <c r="L134" s="56"/>
      <c r="M134" s="56"/>
    </row>
    <row r="135" spans="12:13" ht="14.25" customHeight="1" x14ac:dyDescent="0.2">
      <c r="L135" s="56"/>
      <c r="M135" s="56"/>
    </row>
    <row r="136" spans="12:13" ht="14.25" customHeight="1" x14ac:dyDescent="0.2">
      <c r="L136" s="56"/>
      <c r="M136" s="56"/>
    </row>
    <row r="137" spans="12:13" ht="14.25" customHeight="1" x14ac:dyDescent="0.2">
      <c r="L137" s="56"/>
      <c r="M137" s="56"/>
    </row>
    <row r="138" spans="12:13" ht="14.25" customHeight="1" x14ac:dyDescent="0.2">
      <c r="L138" s="56"/>
      <c r="M138" s="56"/>
    </row>
    <row r="139" spans="12:13" ht="14.25" customHeight="1" x14ac:dyDescent="0.2">
      <c r="L139" s="56"/>
      <c r="M139" s="56"/>
    </row>
    <row r="140" spans="12:13" ht="14.25" customHeight="1" x14ac:dyDescent="0.2">
      <c r="L140" s="56"/>
      <c r="M140" s="56"/>
    </row>
    <row r="141" spans="12:13" ht="14.25" customHeight="1" x14ac:dyDescent="0.2">
      <c r="L141" s="56"/>
      <c r="M141" s="56"/>
    </row>
    <row r="142" spans="12:13" ht="14.25" customHeight="1" x14ac:dyDescent="0.2">
      <c r="L142" s="56"/>
      <c r="M142" s="56"/>
    </row>
    <row r="143" spans="12:13" ht="14.25" customHeight="1" x14ac:dyDescent="0.2">
      <c r="L143" s="56"/>
      <c r="M143" s="56"/>
    </row>
    <row r="144" spans="12:13" ht="14.25" customHeight="1" x14ac:dyDescent="0.2">
      <c r="L144" s="56"/>
      <c r="M144" s="56"/>
    </row>
    <row r="145" spans="12:13" ht="14.25" customHeight="1" x14ac:dyDescent="0.2">
      <c r="L145" s="56"/>
      <c r="M145" s="56"/>
    </row>
    <row r="146" spans="12:13" ht="14.25" customHeight="1" x14ac:dyDescent="0.2">
      <c r="L146" s="56"/>
      <c r="M146" s="56"/>
    </row>
    <row r="147" spans="12:13" ht="14.25" customHeight="1" x14ac:dyDescent="0.2">
      <c r="L147" s="56"/>
      <c r="M147" s="56"/>
    </row>
    <row r="148" spans="12:13" ht="14.25" customHeight="1" x14ac:dyDescent="0.2">
      <c r="L148" s="56"/>
      <c r="M148" s="56"/>
    </row>
    <row r="149" spans="12:13" ht="14.25" customHeight="1" x14ac:dyDescent="0.2">
      <c r="L149" s="56"/>
      <c r="M149" s="56"/>
    </row>
    <row r="150" spans="12:13" ht="14.25" customHeight="1" x14ac:dyDescent="0.2">
      <c r="L150" s="56"/>
      <c r="M150" s="56"/>
    </row>
    <row r="151" spans="12:13" ht="14.25" customHeight="1" x14ac:dyDescent="0.2">
      <c r="L151" s="56"/>
      <c r="M151" s="56"/>
    </row>
    <row r="152" spans="12:13" ht="14.25" customHeight="1" x14ac:dyDescent="0.2">
      <c r="L152" s="56"/>
      <c r="M152" s="56"/>
    </row>
    <row r="153" spans="12:13" ht="14.25" customHeight="1" x14ac:dyDescent="0.2">
      <c r="L153" s="56"/>
      <c r="M153" s="56"/>
    </row>
    <row r="154" spans="12:13" ht="14.25" customHeight="1" x14ac:dyDescent="0.2">
      <c r="L154" s="56"/>
      <c r="M154" s="56"/>
    </row>
    <row r="155" spans="12:13" ht="14.25" customHeight="1" x14ac:dyDescent="0.2">
      <c r="L155" s="56"/>
      <c r="M155" s="56"/>
    </row>
    <row r="156" spans="12:13" ht="14.25" customHeight="1" x14ac:dyDescent="0.2">
      <c r="L156" s="56"/>
      <c r="M156" s="56"/>
    </row>
    <row r="157" spans="12:13" ht="14.25" customHeight="1" x14ac:dyDescent="0.2">
      <c r="L157" s="56"/>
      <c r="M157" s="56"/>
    </row>
    <row r="158" spans="12:13" ht="14.25" customHeight="1" x14ac:dyDescent="0.2">
      <c r="L158" s="56"/>
      <c r="M158" s="56"/>
    </row>
    <row r="159" spans="12:13" ht="14.25" customHeight="1" x14ac:dyDescent="0.2">
      <c r="L159" s="56"/>
      <c r="M159" s="56"/>
    </row>
    <row r="160" spans="12:13" ht="14.25" customHeight="1" x14ac:dyDescent="0.2">
      <c r="L160" s="56"/>
      <c r="M160" s="56"/>
    </row>
    <row r="161" spans="12:13" ht="14.25" customHeight="1" x14ac:dyDescent="0.2">
      <c r="L161" s="56"/>
      <c r="M161" s="56"/>
    </row>
    <row r="162" spans="12:13" ht="14.25" customHeight="1" x14ac:dyDescent="0.2">
      <c r="L162" s="56"/>
      <c r="M162" s="56"/>
    </row>
    <row r="163" spans="12:13" ht="14.25" customHeight="1" x14ac:dyDescent="0.2">
      <c r="L163" s="56"/>
      <c r="M163" s="56"/>
    </row>
    <row r="164" spans="12:13" ht="14.25" customHeight="1" x14ac:dyDescent="0.2">
      <c r="L164" s="56"/>
      <c r="M164" s="56"/>
    </row>
    <row r="165" spans="12:13" ht="14.25" customHeight="1" x14ac:dyDescent="0.2">
      <c r="L165" s="56"/>
      <c r="M165" s="56"/>
    </row>
    <row r="166" spans="12:13" ht="14.25" customHeight="1" x14ac:dyDescent="0.2">
      <c r="L166" s="56"/>
      <c r="M166" s="56"/>
    </row>
    <row r="167" spans="12:13" ht="14.25" customHeight="1" x14ac:dyDescent="0.2">
      <c r="L167" s="56"/>
      <c r="M167" s="56"/>
    </row>
    <row r="168" spans="12:13" ht="14.25" customHeight="1" x14ac:dyDescent="0.2">
      <c r="L168" s="56"/>
      <c r="M168" s="56"/>
    </row>
    <row r="169" spans="12:13" ht="14.25" customHeight="1" x14ac:dyDescent="0.2">
      <c r="L169" s="56"/>
      <c r="M169" s="56"/>
    </row>
    <row r="170" spans="12:13" ht="14.25" customHeight="1" x14ac:dyDescent="0.2">
      <c r="L170" s="56"/>
      <c r="M170" s="56"/>
    </row>
    <row r="171" spans="12:13" ht="14.25" customHeight="1" x14ac:dyDescent="0.2">
      <c r="L171" s="56"/>
      <c r="M171" s="56"/>
    </row>
    <row r="172" spans="12:13" ht="14.25" customHeight="1" x14ac:dyDescent="0.2">
      <c r="L172" s="56"/>
      <c r="M172" s="56"/>
    </row>
    <row r="173" spans="12:13" ht="14.25" customHeight="1" x14ac:dyDescent="0.2">
      <c r="L173" s="56"/>
      <c r="M173" s="56"/>
    </row>
    <row r="174" spans="12:13" ht="14.25" customHeight="1" x14ac:dyDescent="0.2">
      <c r="L174" s="56"/>
      <c r="M174" s="56"/>
    </row>
    <row r="175" spans="12:13" ht="14.25" customHeight="1" x14ac:dyDescent="0.2">
      <c r="L175" s="56"/>
      <c r="M175" s="56"/>
    </row>
    <row r="176" spans="12:13" ht="14.25" customHeight="1" x14ac:dyDescent="0.2">
      <c r="L176" s="56"/>
      <c r="M176" s="56"/>
    </row>
    <row r="177" spans="12:13" ht="14.25" customHeight="1" x14ac:dyDescent="0.2">
      <c r="L177" s="56"/>
      <c r="M177" s="56"/>
    </row>
    <row r="178" spans="12:13" ht="14.25" customHeight="1" x14ac:dyDescent="0.2">
      <c r="L178" s="56"/>
      <c r="M178" s="56"/>
    </row>
    <row r="179" spans="12:13" ht="14.25" customHeight="1" x14ac:dyDescent="0.2">
      <c r="L179" s="56"/>
      <c r="M179" s="56"/>
    </row>
    <row r="180" spans="12:13" ht="14.25" customHeight="1" x14ac:dyDescent="0.2">
      <c r="L180" s="56"/>
      <c r="M180" s="56"/>
    </row>
    <row r="181" spans="12:13" ht="14.25" customHeight="1" x14ac:dyDescent="0.2">
      <c r="L181" s="56"/>
      <c r="M181" s="56"/>
    </row>
    <row r="182" spans="12:13" ht="14.25" customHeight="1" x14ac:dyDescent="0.2">
      <c r="L182" s="56"/>
      <c r="M182" s="56"/>
    </row>
    <row r="183" spans="12:13" ht="14.25" customHeight="1" x14ac:dyDescent="0.2">
      <c r="L183" s="56"/>
      <c r="M183" s="56"/>
    </row>
    <row r="184" spans="12:13" ht="14.25" customHeight="1" x14ac:dyDescent="0.2">
      <c r="L184" s="56"/>
      <c r="M184" s="56"/>
    </row>
    <row r="185" spans="12:13" ht="14.25" customHeight="1" x14ac:dyDescent="0.2">
      <c r="L185" s="56"/>
      <c r="M185" s="56"/>
    </row>
    <row r="186" spans="12:13" ht="14.25" customHeight="1" x14ac:dyDescent="0.2">
      <c r="L186" s="56"/>
      <c r="M186" s="56"/>
    </row>
    <row r="187" spans="12:13" ht="14.25" customHeight="1" x14ac:dyDescent="0.2">
      <c r="L187" s="56"/>
      <c r="M187" s="56"/>
    </row>
    <row r="188" spans="12:13" ht="14.25" customHeight="1" x14ac:dyDescent="0.2">
      <c r="L188" s="56"/>
      <c r="M188" s="56"/>
    </row>
    <row r="189" spans="12:13" ht="14.25" customHeight="1" x14ac:dyDescent="0.2">
      <c r="L189" s="56"/>
      <c r="M189" s="56"/>
    </row>
    <row r="190" spans="12:13" ht="14.25" customHeight="1" x14ac:dyDescent="0.2">
      <c r="L190" s="56"/>
      <c r="M190" s="56"/>
    </row>
    <row r="191" spans="12:13" ht="14.25" customHeight="1" x14ac:dyDescent="0.2">
      <c r="L191" s="56"/>
      <c r="M191" s="56"/>
    </row>
    <row r="192" spans="12:13" ht="14.25" customHeight="1" x14ac:dyDescent="0.2">
      <c r="L192" s="56"/>
      <c r="M192" s="56"/>
    </row>
    <row r="193" spans="12:13" ht="14.25" customHeight="1" x14ac:dyDescent="0.2">
      <c r="L193" s="56"/>
      <c r="M193" s="56"/>
    </row>
    <row r="194" spans="12:13" ht="14.25" customHeight="1" x14ac:dyDescent="0.2">
      <c r="L194" s="56"/>
      <c r="M194" s="56"/>
    </row>
    <row r="195" spans="12:13" ht="14.25" customHeight="1" x14ac:dyDescent="0.2">
      <c r="L195" s="56"/>
      <c r="M195" s="56"/>
    </row>
    <row r="196" spans="12:13" ht="14.25" customHeight="1" x14ac:dyDescent="0.2">
      <c r="L196" s="56"/>
      <c r="M196" s="56"/>
    </row>
    <row r="197" spans="12:13" ht="14.25" customHeight="1" x14ac:dyDescent="0.2">
      <c r="L197" s="56"/>
      <c r="M197" s="56"/>
    </row>
    <row r="198" spans="12:13" ht="14.25" customHeight="1" x14ac:dyDescent="0.2">
      <c r="L198" s="56"/>
      <c r="M198" s="56"/>
    </row>
    <row r="199" spans="12:13" ht="14.25" customHeight="1" x14ac:dyDescent="0.2">
      <c r="L199" s="56"/>
      <c r="M199" s="56"/>
    </row>
    <row r="200" spans="12:13" ht="14.25" customHeight="1" x14ac:dyDescent="0.2">
      <c r="L200" s="56"/>
      <c r="M200" s="56"/>
    </row>
    <row r="201" spans="12:13" ht="14.25" customHeight="1" x14ac:dyDescent="0.2">
      <c r="L201" s="56"/>
      <c r="M201" s="56"/>
    </row>
    <row r="202" spans="12:13" ht="14.25" customHeight="1" x14ac:dyDescent="0.2">
      <c r="L202" s="56"/>
      <c r="M202" s="56"/>
    </row>
    <row r="203" spans="12:13" ht="14.25" customHeight="1" x14ac:dyDescent="0.2">
      <c r="L203" s="56"/>
      <c r="M203" s="56"/>
    </row>
    <row r="204" spans="12:13" ht="14.25" customHeight="1" x14ac:dyDescent="0.2">
      <c r="L204" s="56"/>
      <c r="M204" s="56"/>
    </row>
    <row r="205" spans="12:13" ht="14.25" customHeight="1" x14ac:dyDescent="0.2">
      <c r="L205" s="56"/>
      <c r="M205" s="56"/>
    </row>
    <row r="206" spans="12:13" ht="14.25" customHeight="1" x14ac:dyDescent="0.2">
      <c r="L206" s="56"/>
      <c r="M206" s="56"/>
    </row>
    <row r="207" spans="12:13" ht="14.25" customHeight="1" x14ac:dyDescent="0.2">
      <c r="L207" s="56"/>
      <c r="M207" s="56"/>
    </row>
    <row r="208" spans="12:13" ht="14.25" customHeight="1" x14ac:dyDescent="0.2">
      <c r="L208" s="56"/>
      <c r="M208" s="56"/>
    </row>
    <row r="209" spans="12:13" ht="14.25" customHeight="1" x14ac:dyDescent="0.2">
      <c r="L209" s="56"/>
      <c r="M209" s="56"/>
    </row>
    <row r="210" spans="12:13" ht="14.25" customHeight="1" x14ac:dyDescent="0.2">
      <c r="L210" s="56"/>
      <c r="M210" s="56"/>
    </row>
    <row r="211" spans="12:13" ht="14.25" customHeight="1" x14ac:dyDescent="0.2">
      <c r="L211" s="56"/>
      <c r="M211" s="56"/>
    </row>
    <row r="212" spans="12:13" ht="14.25" customHeight="1" x14ac:dyDescent="0.2">
      <c r="L212" s="56"/>
      <c r="M212" s="56"/>
    </row>
    <row r="213" spans="12:13" ht="14.25" customHeight="1" x14ac:dyDescent="0.2">
      <c r="L213" s="56"/>
      <c r="M213" s="56"/>
    </row>
    <row r="214" spans="12:13" ht="14.25" customHeight="1" x14ac:dyDescent="0.2">
      <c r="L214" s="56"/>
      <c r="M214" s="56"/>
    </row>
    <row r="215" spans="12:13" ht="14.25" customHeight="1" x14ac:dyDescent="0.2">
      <c r="L215" s="56"/>
      <c r="M215" s="56"/>
    </row>
    <row r="216" spans="12:13" ht="14.25" customHeight="1" x14ac:dyDescent="0.2">
      <c r="L216" s="56"/>
      <c r="M216" s="56"/>
    </row>
    <row r="217" spans="12:13" ht="14.25" customHeight="1" x14ac:dyDescent="0.2">
      <c r="L217" s="56"/>
      <c r="M217" s="56"/>
    </row>
    <row r="218" spans="12:13" ht="14.25" customHeight="1" x14ac:dyDescent="0.2">
      <c r="L218" s="56"/>
      <c r="M218" s="56"/>
    </row>
    <row r="219" spans="12:13" ht="14.25" customHeight="1" x14ac:dyDescent="0.2">
      <c r="L219" s="56"/>
      <c r="M219" s="56"/>
    </row>
    <row r="220" spans="12:13" ht="14.25" customHeight="1" x14ac:dyDescent="0.2">
      <c r="L220" s="56"/>
      <c r="M220" s="56"/>
    </row>
    <row r="221" spans="12:13" ht="14.25" customHeight="1" x14ac:dyDescent="0.2">
      <c r="L221" s="56"/>
      <c r="M221" s="56"/>
    </row>
    <row r="222" spans="12:13" ht="14.25" customHeight="1" x14ac:dyDescent="0.2">
      <c r="L222" s="56"/>
      <c r="M222" s="56"/>
    </row>
    <row r="223" spans="12:13" ht="14.25" customHeight="1" x14ac:dyDescent="0.2">
      <c r="L223" s="56"/>
      <c r="M223" s="56"/>
    </row>
    <row r="224" spans="12:13" ht="14.25" customHeight="1" x14ac:dyDescent="0.2">
      <c r="L224" s="56"/>
      <c r="M224" s="56"/>
    </row>
    <row r="225" spans="12:13" ht="14.25" customHeight="1" x14ac:dyDescent="0.2">
      <c r="L225" s="56"/>
      <c r="M225" s="56"/>
    </row>
    <row r="226" spans="12:13" ht="14.25" customHeight="1" x14ac:dyDescent="0.2">
      <c r="L226" s="56"/>
      <c r="M226" s="56"/>
    </row>
    <row r="227" spans="12:13" ht="14.25" customHeight="1" x14ac:dyDescent="0.2">
      <c r="L227" s="56"/>
      <c r="M227" s="56"/>
    </row>
    <row r="228" spans="12:13" ht="14.25" customHeight="1" x14ac:dyDescent="0.2">
      <c r="L228" s="56"/>
      <c r="M228" s="56"/>
    </row>
    <row r="229" spans="12:13" ht="14.25" customHeight="1" x14ac:dyDescent="0.2">
      <c r="L229" s="56"/>
      <c r="M229" s="56"/>
    </row>
    <row r="230" spans="12:13" ht="14.25" customHeight="1" x14ac:dyDescent="0.2">
      <c r="L230" s="56"/>
      <c r="M230" s="56"/>
    </row>
    <row r="231" spans="12:13" ht="14.25" customHeight="1" x14ac:dyDescent="0.2">
      <c r="L231" s="56"/>
      <c r="M231" s="56"/>
    </row>
    <row r="232" spans="12:13" ht="14.25" customHeight="1" x14ac:dyDescent="0.2">
      <c r="L232" s="56"/>
      <c r="M232" s="56"/>
    </row>
    <row r="233" spans="12:13" ht="14.25" customHeight="1" x14ac:dyDescent="0.2">
      <c r="L233" s="56"/>
      <c r="M233" s="56"/>
    </row>
    <row r="234" spans="12:13" ht="14.25" customHeight="1" x14ac:dyDescent="0.2">
      <c r="L234" s="56"/>
      <c r="M234" s="56"/>
    </row>
    <row r="235" spans="12:13" ht="14.25" customHeight="1" x14ac:dyDescent="0.2">
      <c r="L235" s="56"/>
      <c r="M235" s="56"/>
    </row>
    <row r="236" spans="12:13" ht="14.25" customHeight="1" x14ac:dyDescent="0.2">
      <c r="L236" s="56"/>
      <c r="M236" s="56"/>
    </row>
    <row r="237" spans="12:13" ht="14.25" customHeight="1" x14ac:dyDescent="0.2">
      <c r="L237" s="56"/>
      <c r="M237" s="56"/>
    </row>
    <row r="238" spans="12:13" ht="14.25" customHeight="1" x14ac:dyDescent="0.2">
      <c r="L238" s="56"/>
      <c r="M238" s="56"/>
    </row>
    <row r="239" spans="12:13" ht="14.25" customHeight="1" x14ac:dyDescent="0.2">
      <c r="L239" s="56"/>
      <c r="M239" s="56"/>
    </row>
    <row r="240" spans="12:13" ht="14.25" customHeight="1" x14ac:dyDescent="0.2">
      <c r="L240" s="56"/>
      <c r="M240" s="56"/>
    </row>
    <row r="241" spans="12:13" ht="14.25" customHeight="1" x14ac:dyDescent="0.2">
      <c r="L241" s="56"/>
      <c r="M241" s="56"/>
    </row>
    <row r="242" spans="12:13" ht="14.25" customHeight="1" x14ac:dyDescent="0.2">
      <c r="L242" s="56"/>
      <c r="M242" s="56"/>
    </row>
    <row r="243" spans="12:13" ht="14.25" customHeight="1" x14ac:dyDescent="0.2">
      <c r="L243" s="56"/>
      <c r="M243" s="56"/>
    </row>
    <row r="244" spans="12:13" ht="14.25" customHeight="1" x14ac:dyDescent="0.2">
      <c r="L244" s="56"/>
      <c r="M244" s="56"/>
    </row>
    <row r="245" spans="12:13" ht="14.25" customHeight="1" x14ac:dyDescent="0.2">
      <c r="L245" s="56"/>
      <c r="M245" s="56"/>
    </row>
    <row r="246" spans="12:13" ht="14.25" customHeight="1" x14ac:dyDescent="0.2">
      <c r="L246" s="56"/>
      <c r="M246" s="56"/>
    </row>
    <row r="247" spans="12:13" ht="14.25" customHeight="1" x14ac:dyDescent="0.2">
      <c r="L247" s="56"/>
      <c r="M247" s="56"/>
    </row>
    <row r="248" spans="12:13" ht="14.25" customHeight="1" x14ac:dyDescent="0.2">
      <c r="L248" s="56"/>
      <c r="M248" s="56"/>
    </row>
    <row r="249" spans="12:13" ht="14.25" customHeight="1" x14ac:dyDescent="0.2">
      <c r="L249" s="56"/>
      <c r="M249" s="56"/>
    </row>
    <row r="250" spans="12:13" ht="14.25" customHeight="1" x14ac:dyDescent="0.2">
      <c r="L250" s="56"/>
      <c r="M250" s="56"/>
    </row>
    <row r="251" spans="12:13" ht="15.75" customHeight="1" x14ac:dyDescent="0.2"/>
    <row r="252" spans="12:13" ht="15.75" customHeight="1" x14ac:dyDescent="0.2"/>
    <row r="253" spans="12:13" ht="15.75" customHeight="1" x14ac:dyDescent="0.2"/>
    <row r="254" spans="12:13" ht="15.75" customHeight="1" x14ac:dyDescent="0.2"/>
    <row r="255" spans="12:13" ht="15.75" customHeight="1" x14ac:dyDescent="0.2"/>
    <row r="256" spans="12:13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K2"/>
  </mergeCells>
  <conditionalFormatting sqref="G5:G16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000"/>
  <sheetViews>
    <sheetView showGridLines="0" workbookViewId="0"/>
  </sheetViews>
  <sheetFormatPr baseColWidth="10" defaultColWidth="14.5" defaultRowHeight="15" customHeight="1" outlineLevelCol="1" x14ac:dyDescent="0.2"/>
  <cols>
    <col min="1" max="1" width="12.33203125" customWidth="1" outlineLevel="1"/>
    <col min="2" max="2" width="13.33203125" customWidth="1" outlineLevel="1"/>
    <col min="3" max="3" width="13.5" customWidth="1" outlineLevel="1"/>
    <col min="4" max="4" width="11.5" customWidth="1" outlineLevel="1"/>
    <col min="5" max="8" width="8.6640625" customWidth="1" outlineLevel="1"/>
    <col min="9" max="10" width="9" customWidth="1" outlineLevel="1"/>
    <col min="11" max="12" width="8.6640625" customWidth="1" outlineLevel="1"/>
    <col min="13" max="13" width="11.6640625" customWidth="1" outlineLevel="1"/>
    <col min="14" max="32" width="8.6640625" customWidth="1" outlineLevel="1"/>
  </cols>
  <sheetData>
    <row r="1" spans="1:32" ht="15" customHeight="1" x14ac:dyDescent="0.2">
      <c r="A1" s="762" t="s">
        <v>664</v>
      </c>
      <c r="B1" s="121"/>
      <c r="C1" s="121"/>
      <c r="D1" s="121"/>
      <c r="E1" s="763"/>
      <c r="F1" s="11"/>
      <c r="G1" s="762" t="s">
        <v>665</v>
      </c>
      <c r="H1" s="121"/>
      <c r="I1" s="121"/>
      <c r="J1" s="763"/>
      <c r="K1" s="11"/>
      <c r="L1" s="762" t="s">
        <v>666</v>
      </c>
      <c r="M1" s="121"/>
      <c r="N1" s="763"/>
      <c r="O1" s="11"/>
      <c r="P1" s="762" t="s">
        <v>667</v>
      </c>
      <c r="Q1" s="121"/>
      <c r="R1" s="763"/>
      <c r="S1" s="11"/>
      <c r="T1" s="762" t="s">
        <v>668</v>
      </c>
      <c r="U1" s="121"/>
      <c r="V1" s="763"/>
      <c r="W1" s="11"/>
      <c r="X1" s="762" t="s">
        <v>669</v>
      </c>
      <c r="Y1" s="121"/>
      <c r="Z1" s="121"/>
      <c r="AA1" s="121"/>
      <c r="AB1" s="121"/>
      <c r="AC1" s="121"/>
      <c r="AD1" s="121"/>
      <c r="AE1" s="121"/>
      <c r="AF1" s="763"/>
    </row>
    <row r="2" spans="1:32" ht="15" customHeight="1" x14ac:dyDescent="0.2">
      <c r="A2" s="764" t="s">
        <v>670</v>
      </c>
      <c r="B2" s="765" t="s">
        <v>671</v>
      </c>
      <c r="C2" s="765" t="s">
        <v>672</v>
      </c>
      <c r="D2" s="765" t="s">
        <v>673</v>
      </c>
      <c r="E2" s="766" t="s">
        <v>674</v>
      </c>
      <c r="F2" s="11"/>
      <c r="G2" s="4"/>
      <c r="H2" s="6" t="s">
        <v>675</v>
      </c>
      <c r="I2" s="6"/>
      <c r="J2" s="724"/>
      <c r="K2" s="11"/>
      <c r="L2" s="767" t="s">
        <v>676</v>
      </c>
      <c r="M2" s="768" t="s">
        <v>677</v>
      </c>
      <c r="N2" s="769" t="s">
        <v>678</v>
      </c>
      <c r="O2" s="11"/>
      <c r="P2" s="767" t="s">
        <v>679</v>
      </c>
      <c r="Q2" s="768" t="s">
        <v>680</v>
      </c>
      <c r="R2" s="769" t="s">
        <v>681</v>
      </c>
      <c r="S2" s="11"/>
      <c r="T2" s="767" t="s">
        <v>679</v>
      </c>
      <c r="U2" s="768" t="s">
        <v>680</v>
      </c>
      <c r="V2" s="769" t="s">
        <v>681</v>
      </c>
      <c r="W2" s="11"/>
      <c r="X2" s="770" t="s">
        <v>682</v>
      </c>
      <c r="Y2" s="771">
        <v>1</v>
      </c>
      <c r="Z2" s="771">
        <v>2</v>
      </c>
      <c r="AA2" s="771">
        <v>3</v>
      </c>
      <c r="AB2" s="771">
        <v>4</v>
      </c>
      <c r="AC2" s="771">
        <v>5</v>
      </c>
      <c r="AD2" s="771" t="s">
        <v>630</v>
      </c>
      <c r="AE2" s="771">
        <v>20</v>
      </c>
      <c r="AF2" s="772" t="s">
        <v>683</v>
      </c>
    </row>
    <row r="3" spans="1:32" ht="15" customHeight="1" x14ac:dyDescent="0.2">
      <c r="A3" s="773">
        <v>1</v>
      </c>
      <c r="B3" s="774">
        <v>1</v>
      </c>
      <c r="C3" s="774">
        <v>1</v>
      </c>
      <c r="D3" s="774">
        <v>2.5639470000000001E-2</v>
      </c>
      <c r="E3" s="20">
        <f t="shared" ref="E3:E146" si="0">IF(C3-B3&lt;0,12-B3+C3,C3-B3)</f>
        <v>0</v>
      </c>
      <c r="F3" s="11"/>
      <c r="G3" s="775" t="s">
        <v>679</v>
      </c>
      <c r="H3" s="172">
        <v>0</v>
      </c>
      <c r="I3" s="144">
        <v>1</v>
      </c>
      <c r="J3" s="145">
        <v>2</v>
      </c>
      <c r="K3" s="25"/>
      <c r="L3" s="9">
        <v>23</v>
      </c>
      <c r="M3" s="11">
        <v>-6.0727999999999997E-3</v>
      </c>
      <c r="N3" s="20">
        <v>5.4496999999999997E-2</v>
      </c>
      <c r="O3" s="25"/>
      <c r="P3" s="9">
        <v>0</v>
      </c>
      <c r="Q3" s="776">
        <v>1</v>
      </c>
      <c r="R3" s="777">
        <v>1</v>
      </c>
      <c r="S3" s="11"/>
      <c r="T3" s="9">
        <v>0</v>
      </c>
      <c r="U3" s="776">
        <f>Q3*1.1763</f>
        <v>1.1762999999999999</v>
      </c>
      <c r="V3" s="777">
        <v>1</v>
      </c>
      <c r="W3" s="11"/>
      <c r="X3" s="732">
        <v>0</v>
      </c>
      <c r="Y3" s="778">
        <v>0.12937802129018236</v>
      </c>
      <c r="Z3" s="7">
        <v>8.7985539837639015E-2</v>
      </c>
      <c r="AA3" s="7">
        <v>6.2185513476383028E-2</v>
      </c>
      <c r="AB3" s="7">
        <v>5.8196965159547809E-2</v>
      </c>
      <c r="AC3" s="7">
        <v>4.5236258394553967E-2</v>
      </c>
      <c r="AD3" s="7">
        <v>3.9806804014458838E-2</v>
      </c>
      <c r="AE3" s="7">
        <v>3.9806804014458838E-2</v>
      </c>
      <c r="AF3" s="8">
        <v>3.9806804014458838E-2</v>
      </c>
    </row>
    <row r="4" spans="1:32" ht="15" customHeight="1" x14ac:dyDescent="0.2">
      <c r="A4" s="773">
        <v>1</v>
      </c>
      <c r="B4" s="774">
        <v>1</v>
      </c>
      <c r="C4" s="774">
        <v>2</v>
      </c>
      <c r="D4" s="774">
        <v>0.1155027</v>
      </c>
      <c r="E4" s="20">
        <f t="shared" si="0"/>
        <v>1</v>
      </c>
      <c r="F4" s="11"/>
      <c r="G4" s="9">
        <v>0</v>
      </c>
      <c r="H4" s="25" t="e">
        <f t="shared" ref="H4:J4" si="1">AVERAGEIFS($D:$D,$E:$E,$G4,$A:$A,H$3)</f>
        <v>#DIV/0!</v>
      </c>
      <c r="I4" s="779">
        <f t="shared" si="1"/>
        <v>3.0065590833333336E-2</v>
      </c>
      <c r="J4" s="780" t="e">
        <f t="shared" si="1"/>
        <v>#DIV/0!</v>
      </c>
      <c r="K4" s="25"/>
      <c r="L4" s="9">
        <v>47</v>
      </c>
      <c r="M4" s="11">
        <v>-1.5242769999999999E-2</v>
      </c>
      <c r="N4" s="20">
        <v>8.48E-2</v>
      </c>
      <c r="O4" s="25"/>
      <c r="P4" s="9">
        <f t="shared" ref="P4:P15" si="2">P3+1</f>
        <v>1</v>
      </c>
      <c r="Q4" s="776">
        <v>1.77</v>
      </c>
      <c r="R4" s="777">
        <v>0.57999999999999996</v>
      </c>
      <c r="S4" s="11"/>
      <c r="T4" s="9">
        <f t="shared" ref="T4:T15" si="3">T3+1</f>
        <v>1</v>
      </c>
      <c r="U4" s="776">
        <f>Q4*1.2094</f>
        <v>2.140638</v>
      </c>
      <c r="V4" s="777">
        <f>R4*1.176</f>
        <v>0.68207999999999991</v>
      </c>
      <c r="W4" s="11"/>
      <c r="X4" s="732">
        <v>1</v>
      </c>
      <c r="Y4" s="781">
        <v>0.15998048074127216</v>
      </c>
      <c r="Z4" s="25">
        <v>7.8285571963311762E-2</v>
      </c>
      <c r="AA4" s="25">
        <v>5.8648319227283252E-2</v>
      </c>
      <c r="AB4" s="25">
        <v>6.049778725596356E-2</v>
      </c>
      <c r="AC4" s="25">
        <v>4.6639133707984157E-2</v>
      </c>
      <c r="AD4" s="25">
        <v>4.3726549487740421E-2</v>
      </c>
      <c r="AE4" s="25">
        <v>4.3726549487740421E-2</v>
      </c>
      <c r="AF4" s="24">
        <v>4.3726549487740421E-2</v>
      </c>
    </row>
    <row r="5" spans="1:32" ht="15" customHeight="1" x14ac:dyDescent="0.2">
      <c r="A5" s="773">
        <v>1</v>
      </c>
      <c r="B5" s="774">
        <v>1</v>
      </c>
      <c r="C5" s="774">
        <v>3</v>
      </c>
      <c r="D5" s="774">
        <v>0.1007537</v>
      </c>
      <c r="E5" s="20">
        <f t="shared" si="0"/>
        <v>2</v>
      </c>
      <c r="F5" s="11"/>
      <c r="G5" s="9">
        <f t="shared" ref="G5:G158" si="4">G4+1</f>
        <v>1</v>
      </c>
      <c r="H5" s="25" t="e">
        <f t="shared" ref="H5:J5" si="5">AVERAGEIFS($D:$D,$E:$E,$G5,$A:$A,H$3)</f>
        <v>#DIV/0!</v>
      </c>
      <c r="I5" s="779">
        <f t="shared" si="5"/>
        <v>0.12714944166666667</v>
      </c>
      <c r="J5" s="780" t="e">
        <f t="shared" si="5"/>
        <v>#DIV/0!</v>
      </c>
      <c r="K5" s="25"/>
      <c r="L5" s="9">
        <v>71</v>
      </c>
      <c r="M5" s="11">
        <v>-1.5339200000000001E-2</v>
      </c>
      <c r="N5" s="20">
        <v>8.5000000000000006E-2</v>
      </c>
      <c r="O5" s="25"/>
      <c r="P5" s="9">
        <f t="shared" si="2"/>
        <v>2</v>
      </c>
      <c r="Q5" s="776">
        <v>2.0699999999999998</v>
      </c>
      <c r="R5" s="777">
        <v>0.56000000000000005</v>
      </c>
      <c r="S5" s="11"/>
      <c r="T5" s="9">
        <f t="shared" si="3"/>
        <v>2</v>
      </c>
      <c r="U5" s="776">
        <f>Q5*1.1418</f>
        <v>2.3635259999999998</v>
      </c>
      <c r="V5" s="777">
        <f>R5*1.2094</f>
        <v>0.67726400000000009</v>
      </c>
      <c r="W5" s="11"/>
      <c r="X5" s="732">
        <v>2</v>
      </c>
      <c r="Y5" s="781">
        <v>0.10839302007867074</v>
      </c>
      <c r="Z5" s="25">
        <v>9.1844230193078899E-2</v>
      </c>
      <c r="AA5" s="25">
        <v>6.1643416941490628E-2</v>
      </c>
      <c r="AB5" s="25">
        <v>4.8506024302759174E-2</v>
      </c>
      <c r="AC5" s="25">
        <v>4.3232195974043451E-2</v>
      </c>
      <c r="AD5" s="25">
        <v>3.9271952377029594E-2</v>
      </c>
      <c r="AE5" s="25">
        <v>3.9271952377029594E-2</v>
      </c>
      <c r="AF5" s="24">
        <v>3.9271952377029594E-2</v>
      </c>
    </row>
    <row r="6" spans="1:32" ht="15" customHeight="1" x14ac:dyDescent="0.2">
      <c r="A6" s="773">
        <v>1</v>
      </c>
      <c r="B6" s="774">
        <v>1</v>
      </c>
      <c r="C6" s="774">
        <v>4</v>
      </c>
      <c r="D6" s="774">
        <v>8.351161E-2</v>
      </c>
      <c r="E6" s="20">
        <f t="shared" si="0"/>
        <v>3</v>
      </c>
      <c r="F6" s="11"/>
      <c r="G6" s="9">
        <f t="shared" si="4"/>
        <v>2</v>
      </c>
      <c r="H6" s="25" t="e">
        <f t="shared" ref="H6:J6" si="6">AVERAGEIFS($D:$D,$E:$E,$G6,$A:$A,H$3)</f>
        <v>#DIV/0!</v>
      </c>
      <c r="I6" s="779">
        <f t="shared" si="6"/>
        <v>0.10265638666666665</v>
      </c>
      <c r="J6" s="780" t="e">
        <f t="shared" si="6"/>
        <v>#DIV/0!</v>
      </c>
      <c r="K6" s="11"/>
      <c r="L6" s="16">
        <v>155</v>
      </c>
      <c r="M6" s="17">
        <v>-1.3011200000000001E-2</v>
      </c>
      <c r="N6" s="129">
        <v>7.6799999999999993E-2</v>
      </c>
      <c r="O6" s="11"/>
      <c r="P6" s="9">
        <f t="shared" si="2"/>
        <v>3</v>
      </c>
      <c r="Q6" s="776">
        <v>1.85</v>
      </c>
      <c r="R6" s="777">
        <v>0.74</v>
      </c>
      <c r="S6" s="11"/>
      <c r="T6" s="9">
        <f t="shared" si="3"/>
        <v>3</v>
      </c>
      <c r="U6" s="776">
        <f t="shared" ref="U6:U7" si="7">Q6*1.1375</f>
        <v>2.1043750000000001</v>
      </c>
      <c r="V6" s="777">
        <f>R6*1.1418</f>
        <v>0.84493199999999991</v>
      </c>
      <c r="W6" s="11"/>
      <c r="X6" s="732">
        <v>3</v>
      </c>
      <c r="Y6" s="781">
        <v>0.13610718415204701</v>
      </c>
      <c r="Z6" s="25">
        <v>9.2960507080281696E-2</v>
      </c>
      <c r="AA6" s="25">
        <v>6.4479518658865254E-2</v>
      </c>
      <c r="AB6" s="25">
        <v>5.5820469774187753E-2</v>
      </c>
      <c r="AC6" s="25">
        <v>4.6364946441694706E-2</v>
      </c>
      <c r="AD6" s="25">
        <v>3.7400460832797029E-2</v>
      </c>
      <c r="AE6" s="25">
        <v>3.7400460832797029E-2</v>
      </c>
      <c r="AF6" s="24">
        <v>3.7400460832797029E-2</v>
      </c>
    </row>
    <row r="7" spans="1:32" ht="15" customHeight="1" x14ac:dyDescent="0.2">
      <c r="A7" s="773">
        <v>1</v>
      </c>
      <c r="B7" s="774">
        <v>1</v>
      </c>
      <c r="C7" s="774">
        <v>5</v>
      </c>
      <c r="D7" s="774">
        <v>9.1978889999999994E-2</v>
      </c>
      <c r="E7" s="20">
        <f t="shared" si="0"/>
        <v>4</v>
      </c>
      <c r="F7" s="11"/>
      <c r="G7" s="9">
        <f t="shared" si="4"/>
        <v>3</v>
      </c>
      <c r="H7" s="25" t="e">
        <f t="shared" ref="H7:J7" si="8">AVERAGEIFS($D:$D,$E:$E,$G7,$A:$A,H$3)</f>
        <v>#DIV/0!</v>
      </c>
      <c r="I7" s="779">
        <f t="shared" si="8"/>
        <v>9.2772320000000005E-2</v>
      </c>
      <c r="J7" s="780" t="e">
        <f t="shared" si="8"/>
        <v>#DIV/0!</v>
      </c>
      <c r="K7" s="11"/>
      <c r="L7" s="11"/>
      <c r="M7" s="11"/>
      <c r="N7" s="11"/>
      <c r="O7" s="11"/>
      <c r="P7" s="9">
        <f t="shared" si="2"/>
        <v>4</v>
      </c>
      <c r="Q7" s="776">
        <v>1.78</v>
      </c>
      <c r="R7" s="777">
        <v>0.73</v>
      </c>
      <c r="S7" s="11"/>
      <c r="T7" s="9">
        <f t="shared" si="3"/>
        <v>4</v>
      </c>
      <c r="U7" s="776">
        <f t="shared" si="7"/>
        <v>2.02475</v>
      </c>
      <c r="V7" s="777">
        <f>R7*1.1375</f>
        <v>0.83037499999999997</v>
      </c>
      <c r="W7" s="11"/>
      <c r="X7" s="732">
        <v>4</v>
      </c>
      <c r="Y7" s="781">
        <v>0.15294356027295372</v>
      </c>
      <c r="Z7" s="25">
        <v>9.5526951273656596E-2</v>
      </c>
      <c r="AA7" s="25">
        <v>6.8254767071378175E-2</v>
      </c>
      <c r="AB7" s="25">
        <v>6.6788557972375207E-2</v>
      </c>
      <c r="AC7" s="25">
        <v>4.6092559218485277E-2</v>
      </c>
      <c r="AD7" s="25">
        <v>3.5343973406402197E-2</v>
      </c>
      <c r="AE7" s="25">
        <v>3.5343973406402197E-2</v>
      </c>
      <c r="AF7" s="24">
        <v>3.5343973406402197E-2</v>
      </c>
    </row>
    <row r="8" spans="1:32" ht="15" customHeight="1" x14ac:dyDescent="0.2">
      <c r="A8" s="773">
        <v>1</v>
      </c>
      <c r="B8" s="774">
        <v>1</v>
      </c>
      <c r="C8" s="774">
        <v>6</v>
      </c>
      <c r="D8" s="774">
        <v>8.1001329999999996E-2</v>
      </c>
      <c r="E8" s="20">
        <f t="shared" si="0"/>
        <v>5</v>
      </c>
      <c r="F8" s="11"/>
      <c r="G8" s="9">
        <f t="shared" si="4"/>
        <v>4</v>
      </c>
      <c r="H8" s="25" t="e">
        <f t="shared" ref="H8:J8" si="9">AVERAGEIFS($D:$D,$E:$E,$G8,$A:$A,H$3)</f>
        <v>#DIV/0!</v>
      </c>
      <c r="I8" s="779">
        <f t="shared" si="9"/>
        <v>9.1847656666666666E-2</v>
      </c>
      <c r="J8" s="780" t="e">
        <f t="shared" si="9"/>
        <v>#DIV/0!</v>
      </c>
      <c r="K8" s="11"/>
      <c r="L8" s="782" t="s">
        <v>684</v>
      </c>
      <c r="M8" s="783"/>
      <c r="N8" s="784">
        <v>0.25</v>
      </c>
      <c r="O8" s="11"/>
      <c r="P8" s="9">
        <f t="shared" si="2"/>
        <v>5</v>
      </c>
      <c r="Q8" s="776">
        <v>1.64</v>
      </c>
      <c r="R8" s="777">
        <v>0.59</v>
      </c>
      <c r="S8" s="11"/>
      <c r="T8" s="9">
        <f t="shared" si="3"/>
        <v>5</v>
      </c>
      <c r="U8" s="776">
        <f t="shared" ref="U8:V8" si="10">Q8*1.1601</f>
        <v>1.9025639999999997</v>
      </c>
      <c r="V8" s="777">
        <f t="shared" si="10"/>
        <v>0.68445899999999993</v>
      </c>
      <c r="W8" s="11"/>
      <c r="X8" s="732">
        <v>5</v>
      </c>
      <c r="Y8" s="781">
        <v>7.2768090632364085E-2</v>
      </c>
      <c r="Z8" s="25">
        <v>0.10705429238693748</v>
      </c>
      <c r="AA8" s="25">
        <v>6.0866585378253235E-2</v>
      </c>
      <c r="AB8" s="25">
        <v>5.3733192759026591E-2</v>
      </c>
      <c r="AC8" s="25">
        <v>4.5051433841887506E-2</v>
      </c>
      <c r="AD8" s="25">
        <v>3.2526418815709529E-2</v>
      </c>
      <c r="AE8" s="25">
        <v>3.2526418815709529E-2</v>
      </c>
      <c r="AF8" s="24">
        <v>3.2526418815709529E-2</v>
      </c>
    </row>
    <row r="9" spans="1:32" ht="15" customHeight="1" x14ac:dyDescent="0.2">
      <c r="A9" s="773">
        <v>1</v>
      </c>
      <c r="B9" s="774">
        <v>1</v>
      </c>
      <c r="C9" s="774">
        <v>7</v>
      </c>
      <c r="D9" s="774">
        <v>8.5829790000000003E-2</v>
      </c>
      <c r="E9" s="20">
        <f t="shared" si="0"/>
        <v>6</v>
      </c>
      <c r="F9" s="11"/>
      <c r="G9" s="9">
        <f t="shared" si="4"/>
        <v>5</v>
      </c>
      <c r="H9" s="25" t="e">
        <f t="shared" ref="H9:J9" si="11">AVERAGEIFS($D:$D,$E:$E,$G9,$A:$A,H$3)</f>
        <v>#DIV/0!</v>
      </c>
      <c r="I9" s="779">
        <f t="shared" si="11"/>
        <v>8.2555180833333311E-2</v>
      </c>
      <c r="J9" s="780" t="e">
        <f t="shared" si="11"/>
        <v>#DIV/0!</v>
      </c>
      <c r="K9" s="11"/>
      <c r="L9" s="785" t="s">
        <v>685</v>
      </c>
      <c r="M9" s="786"/>
      <c r="N9" s="787">
        <v>0.2</v>
      </c>
      <c r="O9" s="11"/>
      <c r="P9" s="9">
        <f t="shared" si="2"/>
        <v>6</v>
      </c>
      <c r="Q9" s="776">
        <v>1.51</v>
      </c>
      <c r="R9" s="777">
        <v>0.67</v>
      </c>
      <c r="S9" s="11"/>
      <c r="T9" s="9">
        <f t="shared" si="3"/>
        <v>6</v>
      </c>
      <c r="U9" s="776">
        <f t="shared" ref="U9:V9" si="12">Q9*1.1241</f>
        <v>1.6973910000000001</v>
      </c>
      <c r="V9" s="777">
        <f t="shared" si="12"/>
        <v>0.75314700000000012</v>
      </c>
      <c r="W9" s="11"/>
      <c r="X9" s="732">
        <v>6</v>
      </c>
      <c r="Y9" s="781">
        <v>5.9587919617418876E-2</v>
      </c>
      <c r="Z9" s="25">
        <v>9.3699578034702941E-2</v>
      </c>
      <c r="AA9" s="25">
        <v>4.5602694073517989E-2</v>
      </c>
      <c r="AB9" s="25">
        <v>4.4168806953522807E-2</v>
      </c>
      <c r="AC9" s="25">
        <v>4.0430798850043942E-2</v>
      </c>
      <c r="AD9" s="25">
        <v>3.3907276473140915E-2</v>
      </c>
      <c r="AE9" s="25">
        <v>3.3907276473140915E-2</v>
      </c>
      <c r="AF9" s="24">
        <v>3.3907276473140915E-2</v>
      </c>
    </row>
    <row r="10" spans="1:32" ht="15" customHeight="1" x14ac:dyDescent="0.2">
      <c r="A10" s="773">
        <v>1</v>
      </c>
      <c r="B10" s="774">
        <v>1</v>
      </c>
      <c r="C10" s="774">
        <v>8</v>
      </c>
      <c r="D10" s="774">
        <v>7.626927E-2</v>
      </c>
      <c r="E10" s="20">
        <f t="shared" si="0"/>
        <v>7</v>
      </c>
      <c r="F10" s="11"/>
      <c r="G10" s="9">
        <f t="shared" si="4"/>
        <v>6</v>
      </c>
      <c r="H10" s="25" t="e">
        <f t="shared" ref="H10:J10" si="13">AVERAGEIFS($D:$D,$E:$E,$G10,$A:$A,H$3)</f>
        <v>#DIV/0!</v>
      </c>
      <c r="I10" s="779">
        <f t="shared" si="13"/>
        <v>8.358766916666667E-2</v>
      </c>
      <c r="J10" s="780" t="e">
        <f t="shared" si="13"/>
        <v>#DIV/0!</v>
      </c>
      <c r="K10" s="11"/>
      <c r="L10" s="11"/>
      <c r="M10" s="11"/>
      <c r="N10" s="11"/>
      <c r="O10" s="11"/>
      <c r="P10" s="9">
        <f t="shared" si="2"/>
        <v>7</v>
      </c>
      <c r="Q10" s="776">
        <v>1.39</v>
      </c>
      <c r="R10" s="777">
        <v>0.74</v>
      </c>
      <c r="S10" s="11"/>
      <c r="T10" s="9">
        <f t="shared" si="3"/>
        <v>7</v>
      </c>
      <c r="U10" s="776">
        <f t="shared" ref="U10:V10" si="14">Q10*1.0936</f>
        <v>1.5201039999999997</v>
      </c>
      <c r="V10" s="777">
        <f t="shared" si="14"/>
        <v>0.80926399999999987</v>
      </c>
      <c r="W10" s="11"/>
      <c r="X10" s="732">
        <v>7</v>
      </c>
      <c r="Y10" s="781">
        <v>6.8484235087677175E-2</v>
      </c>
      <c r="Z10" s="25">
        <v>6.4844226583452749E-2</v>
      </c>
      <c r="AA10" s="25">
        <v>5.0737479421541914E-2</v>
      </c>
      <c r="AB10" s="25">
        <v>4.7907948237697548E-2</v>
      </c>
      <c r="AC10" s="25">
        <v>4.3057726927834869E-2</v>
      </c>
      <c r="AD10" s="25">
        <v>2.80343731368142E-2</v>
      </c>
      <c r="AE10" s="25">
        <v>2.80343731368142E-2</v>
      </c>
      <c r="AF10" s="24">
        <v>2.80343731368142E-2</v>
      </c>
    </row>
    <row r="11" spans="1:32" ht="15" customHeight="1" x14ac:dyDescent="0.2">
      <c r="A11" s="773">
        <v>1</v>
      </c>
      <c r="B11" s="774">
        <v>1</v>
      </c>
      <c r="C11" s="774">
        <v>9</v>
      </c>
      <c r="D11" s="774">
        <v>6.1330330000000002E-2</v>
      </c>
      <c r="E11" s="20">
        <f t="shared" si="0"/>
        <v>8</v>
      </c>
      <c r="F11" s="11"/>
      <c r="G11" s="9">
        <f t="shared" si="4"/>
        <v>7</v>
      </c>
      <c r="H11" s="25" t="e">
        <f t="shared" ref="H11:J11" si="15">AVERAGEIFS($D:$D,$E:$E,$G11,$A:$A,H$3)</f>
        <v>#DIV/0!</v>
      </c>
      <c r="I11" s="779">
        <f t="shared" si="15"/>
        <v>7.4206392499999996E-2</v>
      </c>
      <c r="J11" s="780" t="e">
        <f t="shared" si="15"/>
        <v>#DIV/0!</v>
      </c>
      <c r="K11" s="11"/>
      <c r="L11" s="782" t="s">
        <v>686</v>
      </c>
      <c r="M11" s="783"/>
      <c r="N11" s="788">
        <v>-0.06</v>
      </c>
      <c r="O11" s="11"/>
      <c r="P11" s="9">
        <f t="shared" si="2"/>
        <v>8</v>
      </c>
      <c r="Q11" s="776">
        <v>1.28</v>
      </c>
      <c r="R11" s="777">
        <v>0.8</v>
      </c>
      <c r="S11" s="11"/>
      <c r="T11" s="9">
        <f t="shared" si="3"/>
        <v>8</v>
      </c>
      <c r="U11" s="776">
        <f t="shared" ref="U11:V11" si="16">Q11*1.0678</f>
        <v>1.3667840000000002</v>
      </c>
      <c r="V11" s="777">
        <f t="shared" si="16"/>
        <v>0.85424000000000011</v>
      </c>
      <c r="W11" s="11"/>
      <c r="X11" s="732">
        <v>8</v>
      </c>
      <c r="Y11" s="781">
        <v>7.2136667938139415E-2</v>
      </c>
      <c r="Z11" s="25">
        <v>6.5815216018077008E-2</v>
      </c>
      <c r="AA11" s="25">
        <v>4.1673252656178453E-2</v>
      </c>
      <c r="AB11" s="25">
        <v>3.2772747790480151E-2</v>
      </c>
      <c r="AC11" s="25">
        <v>3.1706113065365499E-2</v>
      </c>
      <c r="AD11" s="25">
        <v>2.6082461449959814E-2</v>
      </c>
      <c r="AE11" s="25">
        <v>2.6082461449959814E-2</v>
      </c>
      <c r="AF11" s="24">
        <v>2.6082461449959814E-2</v>
      </c>
    </row>
    <row r="12" spans="1:32" ht="15" customHeight="1" x14ac:dyDescent="0.2">
      <c r="A12" s="773">
        <v>1</v>
      </c>
      <c r="B12" s="774">
        <v>1</v>
      </c>
      <c r="C12" s="774">
        <v>10</v>
      </c>
      <c r="D12" s="774">
        <v>6.4171759999999994E-2</v>
      </c>
      <c r="E12" s="20">
        <f t="shared" si="0"/>
        <v>9</v>
      </c>
      <c r="F12" s="11"/>
      <c r="G12" s="9">
        <f t="shared" si="4"/>
        <v>8</v>
      </c>
      <c r="H12" s="25" t="e">
        <f t="shared" ref="H12:J12" si="17">AVERAGEIFS($D:$D,$E:$E,$G12,$A:$A,H$3)</f>
        <v>#DIV/0!</v>
      </c>
      <c r="I12" s="779">
        <f t="shared" si="17"/>
        <v>6.7553310833333338E-2</v>
      </c>
      <c r="J12" s="780" t="e">
        <f t="shared" si="17"/>
        <v>#DIV/0!</v>
      </c>
      <c r="K12" s="11"/>
      <c r="L12" s="785" t="s">
        <v>687</v>
      </c>
      <c r="M12" s="786"/>
      <c r="N12" s="147"/>
      <c r="O12" s="11"/>
      <c r="P12" s="9">
        <f t="shared" si="2"/>
        <v>9</v>
      </c>
      <c r="Q12" s="776">
        <v>1.18</v>
      </c>
      <c r="R12" s="777">
        <v>0.86</v>
      </c>
      <c r="S12" s="11"/>
      <c r="T12" s="9">
        <f t="shared" si="3"/>
        <v>9</v>
      </c>
      <c r="U12" s="776">
        <f t="shared" ref="U12:V12" si="18">Q12*1.0443</f>
        <v>1.2322739999999999</v>
      </c>
      <c r="V12" s="777">
        <f t="shared" si="18"/>
        <v>0.89809799999999995</v>
      </c>
      <c r="W12" s="11"/>
      <c r="X12" s="732">
        <v>9</v>
      </c>
      <c r="Y12" s="781">
        <v>3.5488958990536279E-2</v>
      </c>
      <c r="Z12" s="25">
        <v>6.2407728931514556E-2</v>
      </c>
      <c r="AA12" s="25">
        <v>3.3925339631719058E-2</v>
      </c>
      <c r="AB12" s="25">
        <v>2.4622151618443659E-2</v>
      </c>
      <c r="AC12" s="25">
        <v>3.379369659083762E-2</v>
      </c>
      <c r="AD12" s="25">
        <v>2.4753576885712697E-2</v>
      </c>
      <c r="AE12" s="25">
        <v>2.4753576885712697E-2</v>
      </c>
      <c r="AF12" s="24">
        <v>2.4753576885712697E-2</v>
      </c>
    </row>
    <row r="13" spans="1:32" ht="15" customHeight="1" x14ac:dyDescent="0.2">
      <c r="A13" s="773">
        <v>1</v>
      </c>
      <c r="B13" s="774">
        <v>1</v>
      </c>
      <c r="C13" s="774">
        <v>11</v>
      </c>
      <c r="D13" s="774">
        <v>5.973792E-2</v>
      </c>
      <c r="E13" s="20">
        <f t="shared" si="0"/>
        <v>10</v>
      </c>
      <c r="F13" s="11"/>
      <c r="G13" s="9">
        <f t="shared" si="4"/>
        <v>9</v>
      </c>
      <c r="H13" s="25" t="e">
        <f t="shared" ref="H13:J13" si="19">AVERAGEIFS($D:$D,$E:$E,$G13,$A:$A,H$3)</f>
        <v>#DIV/0!</v>
      </c>
      <c r="I13" s="779">
        <f t="shared" si="19"/>
        <v>6.3120886666666653E-2</v>
      </c>
      <c r="J13" s="780" t="e">
        <f t="shared" si="19"/>
        <v>#DIV/0!</v>
      </c>
      <c r="K13" s="11"/>
      <c r="L13" s="11"/>
      <c r="M13" s="11"/>
      <c r="N13" s="11"/>
      <c r="O13" s="11"/>
      <c r="P13" s="9">
        <f t="shared" si="2"/>
        <v>10</v>
      </c>
      <c r="Q13" s="776">
        <v>1.0900000000000001</v>
      </c>
      <c r="R13" s="777">
        <v>0.91</v>
      </c>
      <c r="S13" s="11"/>
      <c r="T13" s="9">
        <f t="shared" si="3"/>
        <v>10</v>
      </c>
      <c r="U13" s="776">
        <f t="shared" ref="U13:V13" si="20">Q13*1.0245</f>
        <v>1.1167050000000001</v>
      </c>
      <c r="V13" s="777">
        <f t="shared" si="20"/>
        <v>0.93229499999999998</v>
      </c>
      <c r="W13" s="11"/>
      <c r="X13" s="732">
        <v>10</v>
      </c>
      <c r="Y13" s="781">
        <v>4.7318611987381704E-3</v>
      </c>
      <c r="Z13" s="25">
        <v>2.4563505957687963E-2</v>
      </c>
      <c r="AA13" s="25">
        <v>2.8676479805828176E-2</v>
      </c>
      <c r="AB13" s="25">
        <v>3.0159526534950166E-2</v>
      </c>
      <c r="AC13" s="25">
        <v>2.7800103027599575E-2</v>
      </c>
      <c r="AD13" s="25">
        <v>1.7679511061855759E-2</v>
      </c>
      <c r="AE13" s="25">
        <v>1.7679511061855759E-2</v>
      </c>
      <c r="AF13" s="24">
        <v>1.7679511061855759E-2</v>
      </c>
    </row>
    <row r="14" spans="1:32" ht="15" customHeight="1" x14ac:dyDescent="0.2">
      <c r="A14" s="773">
        <v>1</v>
      </c>
      <c r="B14" s="774">
        <v>1</v>
      </c>
      <c r="C14" s="774">
        <v>12</v>
      </c>
      <c r="D14" s="774">
        <v>5.8477929999999997E-2</v>
      </c>
      <c r="E14" s="20">
        <f t="shared" si="0"/>
        <v>11</v>
      </c>
      <c r="F14" s="11"/>
      <c r="G14" s="9">
        <f t="shared" si="4"/>
        <v>10</v>
      </c>
      <c r="H14" s="25" t="e">
        <f t="shared" ref="H14:J14" si="21">AVERAGEIFS($D:$D,$E:$E,$G14,$A:$A,H$3)</f>
        <v>#DIV/0!</v>
      </c>
      <c r="I14" s="779">
        <f t="shared" si="21"/>
        <v>5.8504226666666666E-2</v>
      </c>
      <c r="J14" s="780" t="e">
        <f t="shared" si="21"/>
        <v>#DIV/0!</v>
      </c>
      <c r="K14" s="11"/>
      <c r="L14" s="762" t="s">
        <v>688</v>
      </c>
      <c r="M14" s="121"/>
      <c r="N14" s="763"/>
      <c r="O14" s="11"/>
      <c r="P14" s="9">
        <f t="shared" si="2"/>
        <v>11</v>
      </c>
      <c r="Q14" s="776">
        <v>1.05</v>
      </c>
      <c r="R14" s="777">
        <v>0.94</v>
      </c>
      <c r="S14" s="11"/>
      <c r="T14" s="9">
        <f t="shared" si="3"/>
        <v>11</v>
      </c>
      <c r="U14" s="776">
        <f t="shared" ref="U14:V14" si="22">Q14*1.0148</f>
        <v>1.0655399999999999</v>
      </c>
      <c r="V14" s="777">
        <f t="shared" si="22"/>
        <v>0.95391199999999987</v>
      </c>
      <c r="W14" s="11"/>
      <c r="X14" s="732">
        <v>11</v>
      </c>
      <c r="Y14" s="781">
        <v>0</v>
      </c>
      <c r="Z14" s="25">
        <v>3.0305518757422295E-2</v>
      </c>
      <c r="AA14" s="25">
        <v>3.7237339593531205E-2</v>
      </c>
      <c r="AB14" s="25">
        <v>2.8063660973703598E-2</v>
      </c>
      <c r="AC14" s="25">
        <v>2.9271518505548801E-2</v>
      </c>
      <c r="AD14" s="25">
        <v>2.018133584622776E-2</v>
      </c>
      <c r="AE14" s="25">
        <v>2.018133584622776E-2</v>
      </c>
      <c r="AF14" s="24">
        <v>2.018133584622776E-2</v>
      </c>
    </row>
    <row r="15" spans="1:32" ht="15" customHeight="1" x14ac:dyDescent="0.2">
      <c r="A15" s="773">
        <v>1</v>
      </c>
      <c r="B15" s="774">
        <v>2</v>
      </c>
      <c r="C15" s="774">
        <v>1</v>
      </c>
      <c r="D15" s="774">
        <v>5.6684970000000001E-2</v>
      </c>
      <c r="E15" s="20">
        <f t="shared" si="0"/>
        <v>11</v>
      </c>
      <c r="F15" s="11"/>
      <c r="G15" s="9">
        <f t="shared" si="4"/>
        <v>11</v>
      </c>
      <c r="H15" s="25" t="e">
        <f t="shared" ref="H15:J15" si="23">AVERAGEIFS($D:$D,$E:$E,$G15,$A:$A,H$3)</f>
        <v>#DIV/0!</v>
      </c>
      <c r="I15" s="779">
        <f t="shared" si="23"/>
        <v>5.7256909999999994E-2</v>
      </c>
      <c r="J15" s="780" t="e">
        <f t="shared" si="23"/>
        <v>#DIV/0!</v>
      </c>
      <c r="K15" s="11"/>
      <c r="L15" s="767" t="s">
        <v>679</v>
      </c>
      <c r="M15" s="768" t="s">
        <v>689</v>
      </c>
      <c r="N15" s="769" t="s">
        <v>690</v>
      </c>
      <c r="O15" s="11"/>
      <c r="P15" s="16">
        <f t="shared" si="2"/>
        <v>12</v>
      </c>
      <c r="Q15" s="789">
        <v>1.02</v>
      </c>
      <c r="R15" s="790">
        <v>0.96</v>
      </c>
      <c r="S15" s="11"/>
      <c r="T15" s="16">
        <f t="shared" si="3"/>
        <v>12</v>
      </c>
      <c r="U15" s="789">
        <f t="shared" ref="U15:V15" si="24">Q15*1.008</f>
        <v>1.02816</v>
      </c>
      <c r="V15" s="790">
        <f t="shared" si="24"/>
        <v>0.96767999999999998</v>
      </c>
      <c r="W15" s="11"/>
      <c r="X15" s="732">
        <v>12</v>
      </c>
      <c r="Y15" s="781">
        <v>0</v>
      </c>
      <c r="Z15" s="25">
        <v>4.2905821244093749E-2</v>
      </c>
      <c r="AA15" s="25">
        <v>3.1033471855740201E-2</v>
      </c>
      <c r="AB15" s="25">
        <v>2.5540664410916313E-2</v>
      </c>
      <c r="AC15" s="25">
        <v>2.5048480917753496E-2</v>
      </c>
      <c r="AD15" s="25">
        <v>2.0635530105731457E-2</v>
      </c>
      <c r="AE15" s="25">
        <v>2.0635530105731457E-2</v>
      </c>
      <c r="AF15" s="24">
        <v>2.0635530105731457E-2</v>
      </c>
    </row>
    <row r="16" spans="1:32" ht="15" customHeight="1" x14ac:dyDescent="0.2">
      <c r="A16" s="773">
        <v>1</v>
      </c>
      <c r="B16" s="774">
        <v>2</v>
      </c>
      <c r="C16" s="774">
        <v>2</v>
      </c>
      <c r="D16" s="774">
        <v>2.4640410000000001E-2</v>
      </c>
      <c r="E16" s="20">
        <f t="shared" si="0"/>
        <v>0</v>
      </c>
      <c r="F16" s="11"/>
      <c r="G16" s="9">
        <f t="shared" si="4"/>
        <v>12</v>
      </c>
      <c r="H16" s="25">
        <f t="shared" ref="H16:J16" si="25">IF($G16&lt;=$L$3,$M$3,IF($G16&lt;=$L$4,$M$4,IF($G16&lt;=$L$5,$M$5,IF($G16&lt;=$L$6,$M$6))))*LN($G16-IF($G16&lt;=$L$3,11,0))+IF($G16&lt;=$L$3,$N$3,IF($G16&lt;=$L$4,$N$4,IF($G16&lt;=$L$5,$N$5,IF($G16&lt;=$L$6,$N$6))))</f>
        <v>5.4496999999999997E-2</v>
      </c>
      <c r="I16" s="779">
        <f t="shared" si="25"/>
        <v>5.4496999999999997E-2</v>
      </c>
      <c r="J16" s="780">
        <f t="shared" si="25"/>
        <v>5.4496999999999997E-2</v>
      </c>
      <c r="K16" s="11"/>
      <c r="L16" s="9">
        <v>1</v>
      </c>
      <c r="M16" s="25">
        <v>0.9878690318664507</v>
      </c>
      <c r="N16" s="24">
        <v>0.98693991465308473</v>
      </c>
      <c r="O16" s="11"/>
      <c r="P16" s="11"/>
      <c r="Q16" s="100">
        <v>0.05</v>
      </c>
      <c r="R16" s="11"/>
      <c r="S16" s="11"/>
      <c r="T16" s="11"/>
      <c r="U16" s="100">
        <v>0.1</v>
      </c>
      <c r="V16" s="11"/>
      <c r="W16" s="11"/>
      <c r="X16" s="732">
        <v>13</v>
      </c>
      <c r="Y16" s="781">
        <v>0</v>
      </c>
      <c r="Z16" s="25">
        <v>3.1523767583391385E-2</v>
      </c>
      <c r="AA16" s="25">
        <v>2.700968472454382E-2</v>
      </c>
      <c r="AB16" s="25">
        <v>3.1352711580752167E-2</v>
      </c>
      <c r="AC16" s="25">
        <v>2.4908660690970544E-2</v>
      </c>
      <c r="AD16" s="25">
        <v>1.7044184046658938E-2</v>
      </c>
      <c r="AE16" s="25">
        <v>1.7044184046658938E-2</v>
      </c>
      <c r="AF16" s="24">
        <v>1.7044184046658938E-2</v>
      </c>
    </row>
    <row r="17" spans="1:32" ht="15" customHeight="1" x14ac:dyDescent="0.2">
      <c r="A17" s="773">
        <v>1</v>
      </c>
      <c r="B17" s="774">
        <v>2</v>
      </c>
      <c r="C17" s="774">
        <v>3</v>
      </c>
      <c r="D17" s="774">
        <v>0.1247569</v>
      </c>
      <c r="E17" s="20">
        <f t="shared" si="0"/>
        <v>1</v>
      </c>
      <c r="F17" s="11"/>
      <c r="G17" s="9">
        <f t="shared" si="4"/>
        <v>13</v>
      </c>
      <c r="H17" s="25">
        <f t="shared" ref="H17:J17" si="26">IF($G17&lt;=$L$3,$M$3,IF($G17&lt;=$L$4,$M$4,IF($G17&lt;=$L$5,$M$5,IF($G17&lt;=$L$6,$M$6))))*LN($G17-IF($G17&lt;=$L$3,11,0))+IF($G17&lt;=$L$3,$N$3,IF($G17&lt;=$L$4,$N$4,IF($G17&lt;=$L$5,$N$5,IF($G17&lt;=$L$6,$N$6))))</f>
        <v>5.0287655801895564E-2</v>
      </c>
      <c r="I17" s="779">
        <f t="shared" si="26"/>
        <v>5.0287655801895564E-2</v>
      </c>
      <c r="J17" s="780">
        <f t="shared" si="26"/>
        <v>5.0287655801895564E-2</v>
      </c>
      <c r="K17" s="11"/>
      <c r="L17" s="9">
        <v>2</v>
      </c>
      <c r="M17" s="25">
        <v>0.89116193488763396</v>
      </c>
      <c r="N17" s="24">
        <v>0.95907550398929176</v>
      </c>
      <c r="O17" s="11"/>
      <c r="P17" s="11"/>
      <c r="Q17" s="11"/>
      <c r="R17" s="11"/>
      <c r="S17" s="11"/>
      <c r="T17" s="11"/>
      <c r="U17" s="11"/>
      <c r="V17" s="11"/>
      <c r="W17" s="11"/>
      <c r="X17" s="732">
        <v>14</v>
      </c>
      <c r="Y17" s="781">
        <v>0</v>
      </c>
      <c r="Z17" s="25">
        <v>2.8174936921783012E-2</v>
      </c>
      <c r="AA17" s="25">
        <v>2.999584583919258E-2</v>
      </c>
      <c r="AB17" s="25">
        <v>2.1434269726654832E-2</v>
      </c>
      <c r="AC17" s="25">
        <v>2.5550369993720772E-2</v>
      </c>
      <c r="AD17" s="25">
        <v>1.9380015159401867E-2</v>
      </c>
      <c r="AE17" s="25">
        <v>1.9380015159401867E-2</v>
      </c>
      <c r="AF17" s="24">
        <v>1.9380015159401867E-2</v>
      </c>
    </row>
    <row r="18" spans="1:32" ht="15" customHeight="1" x14ac:dyDescent="0.2">
      <c r="A18" s="773">
        <v>1</v>
      </c>
      <c r="B18" s="774">
        <v>2</v>
      </c>
      <c r="C18" s="774">
        <v>4</v>
      </c>
      <c r="D18" s="231">
        <v>9.7395800000000005E-2</v>
      </c>
      <c r="E18" s="20">
        <f t="shared" si="0"/>
        <v>2</v>
      </c>
      <c r="F18" s="11"/>
      <c r="G18" s="9">
        <f t="shared" si="4"/>
        <v>14</v>
      </c>
      <c r="H18" s="25">
        <f t="shared" ref="H18:J18" si="27">IF($G18&lt;=$L$3,$M$3,IF($G18&lt;=$L$4,$M$4,IF($G18&lt;=$L$5,$M$5,IF($G18&lt;=$L$6,$M$6))))*LN($G18-IF($G18&lt;=$L$3,11,0))+IF($G18&lt;=$L$3,$N$3,IF($G18&lt;=$L$4,$N$4,IF($G18&lt;=$L$5,$N$5,IF($G18&lt;=$L$6,$N$6))))</f>
        <v>4.78253472933763E-2</v>
      </c>
      <c r="I18" s="779">
        <f t="shared" si="27"/>
        <v>4.78253472933763E-2</v>
      </c>
      <c r="J18" s="780">
        <f t="shared" si="27"/>
        <v>4.78253472933763E-2</v>
      </c>
      <c r="K18" s="11"/>
      <c r="L18" s="9">
        <v>3</v>
      </c>
      <c r="M18" s="25">
        <v>0.97008382100924795</v>
      </c>
      <c r="N18" s="24">
        <v>0.92173851014201769</v>
      </c>
      <c r="O18" s="11"/>
      <c r="P18" s="11"/>
      <c r="Q18" s="11"/>
      <c r="R18" s="11"/>
      <c r="S18" s="11"/>
      <c r="T18" s="11"/>
      <c r="U18" s="11"/>
      <c r="V18" s="11"/>
      <c r="W18" s="11"/>
      <c r="X18" s="732">
        <v>15</v>
      </c>
      <c r="Y18" s="781">
        <v>0</v>
      </c>
      <c r="Z18" s="25">
        <v>2.1026072329688814E-3</v>
      </c>
      <c r="AA18" s="25">
        <v>2.897397711494544E-2</v>
      </c>
      <c r="AB18" s="25">
        <v>2.1808845283787279E-2</v>
      </c>
      <c r="AC18" s="25">
        <v>2.4027491587753212E-2</v>
      </c>
      <c r="AD18" s="25">
        <v>1.8551595717072936E-2</v>
      </c>
      <c r="AE18" s="25">
        <v>1.8551595717072936E-2</v>
      </c>
      <c r="AF18" s="24">
        <v>1.8551595717072936E-2</v>
      </c>
    </row>
    <row r="19" spans="1:32" ht="15" customHeight="1" x14ac:dyDescent="0.2">
      <c r="A19" s="773">
        <v>1</v>
      </c>
      <c r="B19" s="774">
        <v>2</v>
      </c>
      <c r="C19" s="774">
        <v>5</v>
      </c>
      <c r="D19" s="774">
        <v>8.5313920000000001E-2</v>
      </c>
      <c r="E19" s="20">
        <f t="shared" si="0"/>
        <v>3</v>
      </c>
      <c r="F19" s="11"/>
      <c r="G19" s="9">
        <f t="shared" si="4"/>
        <v>15</v>
      </c>
      <c r="H19" s="25">
        <f t="shared" ref="H19:J19" si="28">IF($G19&lt;=$L$3,$M$3,IF($G19&lt;=$L$4,$M$4,IF($G19&lt;=$L$5,$M$5,IF($G19&lt;=$L$6,$M$6))))*LN($G19-IF($G19&lt;=$L$3,11,0))+IF($G19&lt;=$L$3,$N$3,IF($G19&lt;=$L$4,$N$4,IF($G19&lt;=$L$5,$N$5,IF($G19&lt;=$L$6,$N$6))))</f>
        <v>4.6078311603791125E-2</v>
      </c>
      <c r="I19" s="779">
        <f t="shared" si="28"/>
        <v>4.6078311603791125E-2</v>
      </c>
      <c r="J19" s="780">
        <f t="shared" si="28"/>
        <v>4.6078311603791125E-2</v>
      </c>
      <c r="K19" s="11"/>
      <c r="L19" s="9">
        <v>4</v>
      </c>
      <c r="M19" s="25">
        <v>0.95381196707191507</v>
      </c>
      <c r="N19" s="24">
        <v>0.73540181380036407</v>
      </c>
      <c r="O19" s="11"/>
      <c r="P19" s="11"/>
      <c r="Q19" s="11"/>
      <c r="R19" s="11"/>
      <c r="S19" s="11"/>
      <c r="T19" s="11"/>
      <c r="U19" s="11"/>
      <c r="V19" s="11"/>
      <c r="W19" s="11"/>
      <c r="X19" s="732">
        <v>16</v>
      </c>
      <c r="Y19" s="781">
        <v>0</v>
      </c>
      <c r="Z19" s="25">
        <v>0</v>
      </c>
      <c r="AA19" s="25">
        <v>3.079060698948953E-2</v>
      </c>
      <c r="AB19" s="25">
        <v>2.5121586140185326E-2</v>
      </c>
      <c r="AC19" s="25">
        <v>2.2509334258392272E-2</v>
      </c>
      <c r="AD19" s="25">
        <v>1.5945168580725977E-2</v>
      </c>
      <c r="AE19" s="25">
        <v>1.5945168580725977E-2</v>
      </c>
      <c r="AF19" s="24">
        <v>1.5945168580725977E-2</v>
      </c>
    </row>
    <row r="20" spans="1:32" ht="15" customHeight="1" x14ac:dyDescent="0.2">
      <c r="A20" s="773">
        <v>1</v>
      </c>
      <c r="B20" s="774">
        <v>2</v>
      </c>
      <c r="C20" s="774">
        <v>6</v>
      </c>
      <c r="D20" s="774">
        <v>9.2926729999999999E-2</v>
      </c>
      <c r="E20" s="20">
        <f t="shared" si="0"/>
        <v>4</v>
      </c>
      <c r="F20" s="11"/>
      <c r="G20" s="9">
        <f t="shared" si="4"/>
        <v>16</v>
      </c>
      <c r="H20" s="25">
        <f t="shared" ref="H20:J20" si="29">IF($G20&lt;=$L$3,$M$3,IF($G20&lt;=$L$4,$M$4,IF($G20&lt;=$L$5,$M$5,IF($G20&lt;=$L$6,$M$6))))*LN($G20-IF($G20&lt;=$L$3,11,0))+IF($G20&lt;=$L$3,$N$3,IF($G20&lt;=$L$4,$N$4,IF($G20&lt;=$L$5,$N$5,IF($G20&lt;=$L$6,$N$6))))</f>
        <v>4.4723205445370194E-2</v>
      </c>
      <c r="I20" s="779">
        <f t="shared" si="29"/>
        <v>4.4723205445370194E-2</v>
      </c>
      <c r="J20" s="780">
        <f t="shared" si="29"/>
        <v>4.4723205445370194E-2</v>
      </c>
      <c r="K20" s="11"/>
      <c r="L20" s="9">
        <v>5</v>
      </c>
      <c r="M20" s="25">
        <v>0.94699993098914537</v>
      </c>
      <c r="N20" s="24">
        <v>0.89070148778364999</v>
      </c>
      <c r="O20" s="11"/>
      <c r="P20" s="11"/>
      <c r="Q20" s="11"/>
      <c r="R20" s="11"/>
      <c r="S20" s="11"/>
      <c r="T20" s="11"/>
      <c r="U20" s="11"/>
      <c r="V20" s="11"/>
      <c r="W20" s="11"/>
      <c r="X20" s="732">
        <v>17</v>
      </c>
      <c r="Y20" s="781">
        <v>0</v>
      </c>
      <c r="Z20" s="25">
        <v>0</v>
      </c>
      <c r="AA20" s="25">
        <v>3.7503328549779037E-2</v>
      </c>
      <c r="AB20" s="25">
        <v>2.8927420036703864E-2</v>
      </c>
      <c r="AC20" s="25">
        <v>2.7342427216543792E-2</v>
      </c>
      <c r="AD20" s="25">
        <v>1.5781236979816697E-2</v>
      </c>
      <c r="AE20" s="25">
        <v>1.5781236979816697E-2</v>
      </c>
      <c r="AF20" s="24">
        <v>1.5781236979816697E-2</v>
      </c>
    </row>
    <row r="21" spans="1:32" ht="15" customHeight="1" x14ac:dyDescent="0.2">
      <c r="A21" s="773">
        <v>1</v>
      </c>
      <c r="B21" s="774">
        <v>2</v>
      </c>
      <c r="C21" s="774">
        <v>7</v>
      </c>
      <c r="D21" s="774">
        <v>8.1232499999999999E-2</v>
      </c>
      <c r="E21" s="20">
        <f t="shared" si="0"/>
        <v>5</v>
      </c>
      <c r="F21" s="11"/>
      <c r="G21" s="9">
        <f t="shared" si="4"/>
        <v>17</v>
      </c>
      <c r="H21" s="25">
        <f t="shared" ref="H21:J21" si="30">IF($G21&lt;=$L$3,$M$3,IF($G21&lt;=$L$4,$M$4,IF($G21&lt;=$L$5,$M$5,IF($G21&lt;=$L$6,$M$6))))*LN($G21-IF($G21&lt;=$L$3,11,0))+IF($G21&lt;=$L$3,$N$3,IF($G21&lt;=$L$4,$N$4,IF($G21&lt;=$L$5,$N$5,IF($G21&lt;=$L$6,$N$6))))</f>
        <v>4.3616003095271867E-2</v>
      </c>
      <c r="I21" s="779">
        <f t="shared" si="30"/>
        <v>4.3616003095271867E-2</v>
      </c>
      <c r="J21" s="780">
        <f t="shared" si="30"/>
        <v>4.3616003095271867E-2</v>
      </c>
      <c r="K21" s="11"/>
      <c r="L21" s="9">
        <v>6</v>
      </c>
      <c r="M21" s="25">
        <v>1.0396854893907315</v>
      </c>
      <c r="N21" s="24">
        <v>1.0198500104234363</v>
      </c>
      <c r="O21" s="11"/>
      <c r="P21" s="11"/>
      <c r="Q21" s="11"/>
      <c r="R21" s="11"/>
      <c r="S21" s="11"/>
      <c r="T21" s="11"/>
      <c r="U21" s="11"/>
      <c r="V21" s="11"/>
      <c r="W21" s="11"/>
      <c r="X21" s="732">
        <v>18</v>
      </c>
      <c r="Y21" s="781">
        <v>0</v>
      </c>
      <c r="Z21" s="25">
        <v>0</v>
      </c>
      <c r="AA21" s="25">
        <v>2.3233460917142845E-2</v>
      </c>
      <c r="AB21" s="25">
        <v>2.4537955361282331E-2</v>
      </c>
      <c r="AC21" s="25">
        <v>2.3869467919515015E-2</v>
      </c>
      <c r="AD21" s="25">
        <v>1.8681399224761402E-2</v>
      </c>
      <c r="AE21" s="25">
        <v>1.8681399224761402E-2</v>
      </c>
      <c r="AF21" s="24">
        <v>1.8681399224761402E-2</v>
      </c>
    </row>
    <row r="22" spans="1:32" ht="15" customHeight="1" x14ac:dyDescent="0.2">
      <c r="A22" s="773">
        <v>1</v>
      </c>
      <c r="B22" s="774">
        <v>2</v>
      </c>
      <c r="C22" s="774">
        <v>8</v>
      </c>
      <c r="D22" s="774">
        <v>8.4105490000000005E-2</v>
      </c>
      <c r="E22" s="20">
        <f t="shared" si="0"/>
        <v>6</v>
      </c>
      <c r="F22" s="11"/>
      <c r="G22" s="9">
        <f t="shared" si="4"/>
        <v>18</v>
      </c>
      <c r="H22" s="25">
        <f t="shared" ref="H22:J22" si="31">IF($G22&lt;=$L$3,$M$3,IF($G22&lt;=$L$4,$M$4,IF($G22&lt;=$L$5,$M$5,IF($G22&lt;=$L$6,$M$6))))*LN($G22-IF($G22&lt;=$L$3,11,0))+IF($G22&lt;=$L$3,$N$3,IF($G22&lt;=$L$4,$N$4,IF($G22&lt;=$L$5,$N$5,IF($G22&lt;=$L$6,$N$6))))</f>
        <v>4.2679876846816893E-2</v>
      </c>
      <c r="I22" s="779">
        <f t="shared" si="31"/>
        <v>4.2679876846816893E-2</v>
      </c>
      <c r="J22" s="780">
        <f t="shared" si="31"/>
        <v>4.2679876846816893E-2</v>
      </c>
      <c r="K22" s="11"/>
      <c r="L22" s="9">
        <v>7</v>
      </c>
      <c r="M22" s="25">
        <v>1.0642954482048061</v>
      </c>
      <c r="N22" s="24">
        <v>1.1147612562543505</v>
      </c>
      <c r="O22" s="11"/>
      <c r="P22" s="11"/>
      <c r="Q22" s="11"/>
      <c r="R22" s="11"/>
      <c r="S22" s="11"/>
      <c r="T22" s="11"/>
      <c r="U22" s="11"/>
      <c r="V22" s="11"/>
      <c r="W22" s="11"/>
      <c r="X22" s="732">
        <v>19</v>
      </c>
      <c r="Y22" s="781">
        <v>0</v>
      </c>
      <c r="Z22" s="25">
        <v>0</v>
      </c>
      <c r="AA22" s="25">
        <v>2.9443820494405654E-2</v>
      </c>
      <c r="AB22" s="25">
        <v>1.8744142410028031E-2</v>
      </c>
      <c r="AC22" s="25">
        <v>2.126646146054878E-2</v>
      </c>
      <c r="AD22" s="25">
        <v>1.5665057824866886E-2</v>
      </c>
      <c r="AE22" s="25">
        <v>1.5665057824866886E-2</v>
      </c>
      <c r="AF22" s="24">
        <v>1.5665057824866886E-2</v>
      </c>
    </row>
    <row r="23" spans="1:32" ht="15" customHeight="1" x14ac:dyDescent="0.2">
      <c r="A23" s="773">
        <v>1</v>
      </c>
      <c r="B23" s="774">
        <v>2</v>
      </c>
      <c r="C23" s="774">
        <v>9</v>
      </c>
      <c r="D23" s="774">
        <v>7.5465389999999993E-2</v>
      </c>
      <c r="E23" s="20">
        <f t="shared" si="0"/>
        <v>7</v>
      </c>
      <c r="F23" s="11"/>
      <c r="G23" s="9">
        <f t="shared" si="4"/>
        <v>19</v>
      </c>
      <c r="H23" s="25">
        <f t="shared" ref="H23:J23" si="32">IF($G23&lt;=$L$3,$M$3,IF($G23&lt;=$L$4,$M$4,IF($G23&lt;=$L$5,$M$5,IF($G23&lt;=$L$6,$M$6))))*LN($G23-IF($G23&lt;=$L$3,11,0))+IF($G23&lt;=$L$3,$N$3,IF($G23&lt;=$L$4,$N$4,IF($G23&lt;=$L$5,$N$5,IF($G23&lt;=$L$6,$N$6))))</f>
        <v>4.1868967405686693E-2</v>
      </c>
      <c r="I23" s="779">
        <f t="shared" si="32"/>
        <v>4.1868967405686693E-2</v>
      </c>
      <c r="J23" s="780">
        <f t="shared" si="32"/>
        <v>4.1868967405686693E-2</v>
      </c>
      <c r="K23" s="11"/>
      <c r="L23" s="9">
        <v>8</v>
      </c>
      <c r="M23" s="25">
        <v>1.1113663727634331</v>
      </c>
      <c r="N23" s="24">
        <v>1.2009887177281848</v>
      </c>
      <c r="O23" s="11"/>
      <c r="P23" s="11"/>
      <c r="Q23" s="11"/>
      <c r="R23" s="11"/>
      <c r="S23" s="11"/>
      <c r="T23" s="11"/>
      <c r="U23" s="11"/>
      <c r="V23" s="11"/>
      <c r="W23" s="11"/>
      <c r="X23" s="732">
        <v>20</v>
      </c>
      <c r="Y23" s="781">
        <v>0</v>
      </c>
      <c r="Z23" s="25">
        <v>0</v>
      </c>
      <c r="AA23" s="25">
        <v>2.2926700858385607E-2</v>
      </c>
      <c r="AB23" s="25">
        <v>1.4427628115539609E-2</v>
      </c>
      <c r="AC23" s="25">
        <v>2.0064100799255396E-2</v>
      </c>
      <c r="AD23" s="25">
        <v>1.3080834802309736E-2</v>
      </c>
      <c r="AE23" s="25">
        <v>1.3080834802309736E-2</v>
      </c>
      <c r="AF23" s="24">
        <v>1.3080834802309736E-2</v>
      </c>
    </row>
    <row r="24" spans="1:32" ht="15" customHeight="1" x14ac:dyDescent="0.2">
      <c r="A24" s="773">
        <v>1</v>
      </c>
      <c r="B24" s="774">
        <v>2</v>
      </c>
      <c r="C24" s="774">
        <v>10</v>
      </c>
      <c r="D24" s="774">
        <v>7.0067530000000003E-2</v>
      </c>
      <c r="E24" s="20">
        <f t="shared" si="0"/>
        <v>8</v>
      </c>
      <c r="F24" s="11"/>
      <c r="G24" s="9">
        <f t="shared" si="4"/>
        <v>20</v>
      </c>
      <c r="H24" s="25">
        <f t="shared" ref="H24:J24" si="33">IF($G24&lt;=$L$3,$M$3,IF($G24&lt;=$L$4,$M$4,IF($G24&lt;=$L$5,$M$5,IF($G24&lt;=$L$6,$M$6))))*LN($G24-IF($G24&lt;=$L$3,11,0))+IF($G24&lt;=$L$3,$N$3,IF($G24&lt;=$L$4,$N$4,IF($G24&lt;=$L$5,$N$5,IF($G24&lt;=$L$6,$N$6))))</f>
        <v>4.1153694586752602E-2</v>
      </c>
      <c r="I24" s="779">
        <f t="shared" si="33"/>
        <v>4.1153694586752602E-2</v>
      </c>
      <c r="J24" s="780">
        <f t="shared" si="33"/>
        <v>4.1153694586752602E-2</v>
      </c>
      <c r="K24" s="11"/>
      <c r="L24" s="9">
        <v>9</v>
      </c>
      <c r="M24" s="25">
        <v>1.0134214079557877</v>
      </c>
      <c r="N24" s="24">
        <v>1.1315154163641374</v>
      </c>
      <c r="O24" s="11"/>
      <c r="P24" s="11"/>
      <c r="Q24" s="11"/>
      <c r="R24" s="11"/>
      <c r="S24" s="11"/>
      <c r="T24" s="11"/>
      <c r="U24" s="11"/>
      <c r="V24" s="11"/>
      <c r="W24" s="11"/>
      <c r="X24" s="732">
        <v>21</v>
      </c>
      <c r="Y24" s="781">
        <v>0</v>
      </c>
      <c r="Z24" s="25">
        <v>0</v>
      </c>
      <c r="AA24" s="25">
        <v>1.6935046095999037E-2</v>
      </c>
      <c r="AB24" s="25">
        <v>1.2911975782586307E-2</v>
      </c>
      <c r="AC24" s="25">
        <v>1.7498103993446028E-2</v>
      </c>
      <c r="AD24" s="25">
        <v>1.3843776057003921E-2</v>
      </c>
      <c r="AE24" s="25">
        <v>1.3843776057003921E-2</v>
      </c>
      <c r="AF24" s="24">
        <v>1.3843776057003921E-2</v>
      </c>
    </row>
    <row r="25" spans="1:32" ht="15" customHeight="1" x14ac:dyDescent="0.2">
      <c r="A25" s="773">
        <v>1</v>
      </c>
      <c r="B25" s="774">
        <v>2</v>
      </c>
      <c r="C25" s="774">
        <v>11</v>
      </c>
      <c r="D25" s="774">
        <v>6.6415879999999997E-2</v>
      </c>
      <c r="E25" s="20">
        <f t="shared" si="0"/>
        <v>9</v>
      </c>
      <c r="F25" s="11"/>
      <c r="G25" s="9">
        <f t="shared" si="4"/>
        <v>21</v>
      </c>
      <c r="H25" s="25">
        <f t="shared" ref="H25:J25" si="34">IF($G25&lt;=$L$3,$M$3,IF($G25&lt;=$L$4,$M$4,IF($G25&lt;=$L$5,$M$5,IF($G25&lt;=$L$6,$M$6))))*LN($G25-IF($G25&lt;=$L$3,11,0))+IF($G25&lt;=$L$3,$N$3,IF($G25&lt;=$L$4,$N$4,IF($G25&lt;=$L$5,$N$5,IF($G25&lt;=$L$6,$N$6))))</f>
        <v>4.0513861247265755E-2</v>
      </c>
      <c r="I25" s="779">
        <f t="shared" si="34"/>
        <v>4.0513861247265755E-2</v>
      </c>
      <c r="J25" s="780">
        <f t="shared" si="34"/>
        <v>4.0513861247265755E-2</v>
      </c>
      <c r="K25" s="11"/>
      <c r="L25" s="9">
        <v>10</v>
      </c>
      <c r="M25" s="25">
        <v>1.0368681776727791</v>
      </c>
      <c r="N25" s="24">
        <v>1.0961030037706692</v>
      </c>
      <c r="O25" s="11"/>
      <c r="P25" s="11"/>
      <c r="Q25" s="11"/>
      <c r="R25" s="11"/>
      <c r="S25" s="11"/>
      <c r="T25" s="11"/>
      <c r="U25" s="11"/>
      <c r="V25" s="11"/>
      <c r="W25" s="11"/>
      <c r="X25" s="732">
        <v>22</v>
      </c>
      <c r="Y25" s="781">
        <v>0</v>
      </c>
      <c r="Z25" s="25">
        <v>0</v>
      </c>
      <c r="AA25" s="25">
        <v>1.3482819255786658E-2</v>
      </c>
      <c r="AB25" s="25">
        <v>1.4660990800688901E-2</v>
      </c>
      <c r="AC25" s="25">
        <v>1.4065836556046984E-2</v>
      </c>
      <c r="AD25" s="25">
        <v>1.0243461071556197E-2</v>
      </c>
      <c r="AE25" s="25">
        <v>1.0243461071556197E-2</v>
      </c>
      <c r="AF25" s="24">
        <v>1.0243461071556197E-2</v>
      </c>
    </row>
    <row r="26" spans="1:32" ht="15" customHeight="1" x14ac:dyDescent="0.2">
      <c r="A26" s="773">
        <v>1</v>
      </c>
      <c r="B26" s="774">
        <v>2</v>
      </c>
      <c r="C26" s="774">
        <v>12</v>
      </c>
      <c r="D26" s="774">
        <v>6.2178329999999997E-2</v>
      </c>
      <c r="E26" s="20">
        <f t="shared" si="0"/>
        <v>10</v>
      </c>
      <c r="F26" s="11"/>
      <c r="G26" s="9">
        <f t="shared" si="4"/>
        <v>22</v>
      </c>
      <c r="H26" s="25">
        <f t="shared" ref="H26:J26" si="35">IF($G26&lt;=$L$3,$M$3,IF($G26&lt;=$L$4,$M$4,IF($G26&lt;=$L$5,$M$5,IF($G26&lt;=$L$6,$M$6))))*LN($G26-IF($G26&lt;=$L$3,11,0))+IF($G26&lt;=$L$3,$N$3,IF($G26&lt;=$L$4,$N$4,IF($G26&lt;=$L$5,$N$5,IF($G26&lt;=$L$6,$N$6))))</f>
        <v>3.9935061587350051E-2</v>
      </c>
      <c r="I26" s="779">
        <f t="shared" si="35"/>
        <v>3.9935061587350051E-2</v>
      </c>
      <c r="J26" s="780">
        <f t="shared" si="35"/>
        <v>3.9935061587350051E-2</v>
      </c>
      <c r="K26" s="11"/>
      <c r="L26" s="9">
        <v>11</v>
      </c>
      <c r="M26" s="25">
        <v>0.99745778471655056</v>
      </c>
      <c r="N26" s="24">
        <v>1.0747996676683531</v>
      </c>
      <c r="O26" s="11"/>
      <c r="P26" s="11"/>
      <c r="Q26" s="11"/>
      <c r="R26" s="11"/>
      <c r="S26" s="11"/>
      <c r="T26" s="11"/>
      <c r="U26" s="11"/>
      <c r="V26" s="11"/>
      <c r="W26" s="11"/>
      <c r="X26" s="732">
        <v>23</v>
      </c>
      <c r="Y26" s="781">
        <v>0</v>
      </c>
      <c r="Z26" s="25">
        <v>0</v>
      </c>
      <c r="AA26" s="25">
        <v>1.3142728231086115E-2</v>
      </c>
      <c r="AB26" s="25">
        <v>1.334991504230139E-2</v>
      </c>
      <c r="AC26" s="25">
        <v>1.4509262372583103E-2</v>
      </c>
      <c r="AD26" s="25">
        <v>1.1263600081875061E-2</v>
      </c>
      <c r="AE26" s="25">
        <v>1.1263600081875061E-2</v>
      </c>
      <c r="AF26" s="24">
        <v>1.1263600081875061E-2</v>
      </c>
    </row>
    <row r="27" spans="1:32" ht="15" customHeight="1" x14ac:dyDescent="0.2">
      <c r="A27" s="773">
        <v>1</v>
      </c>
      <c r="B27" s="774">
        <v>3</v>
      </c>
      <c r="C27" s="774">
        <v>1</v>
      </c>
      <c r="D27" s="774">
        <v>5.6083760000000003E-2</v>
      </c>
      <c r="E27" s="20">
        <f t="shared" si="0"/>
        <v>10</v>
      </c>
      <c r="F27" s="11"/>
      <c r="G27" s="9">
        <f t="shared" si="4"/>
        <v>23</v>
      </c>
      <c r="H27" s="25">
        <f t="shared" ref="H27:J27" si="36">IF($G27&lt;=$L$3,$M$3,IF($G27&lt;=$L$4,$M$4,IF($G27&lt;=$L$5,$M$5,IF($G27&lt;=$L$6,$M$6))))*LN($G27-IF($G27&lt;=$L$3,11,0))+IF($G27&lt;=$L$3,$N$3,IF($G27&lt;=$L$4,$N$4,IF($G27&lt;=$L$5,$N$5,IF($G27&lt;=$L$6,$N$6))))</f>
        <v>3.9406658897167428E-2</v>
      </c>
      <c r="I27" s="779">
        <f t="shared" si="36"/>
        <v>3.9406658897167428E-2</v>
      </c>
      <c r="J27" s="780">
        <f t="shared" si="36"/>
        <v>3.9406658897167428E-2</v>
      </c>
      <c r="K27" s="11"/>
      <c r="L27" s="16">
        <v>12</v>
      </c>
      <c r="M27" s="33">
        <v>0.98697863347151893</v>
      </c>
      <c r="N27" s="26">
        <v>0.88858049349257195</v>
      </c>
      <c r="O27" s="11"/>
      <c r="P27" s="11"/>
      <c r="Q27" s="11"/>
      <c r="R27" s="11"/>
      <c r="S27" s="11"/>
      <c r="T27" s="11"/>
      <c r="U27" s="11"/>
      <c r="V27" s="11"/>
      <c r="W27" s="11"/>
      <c r="X27" s="732">
        <v>24</v>
      </c>
      <c r="Y27" s="781">
        <v>0</v>
      </c>
      <c r="Z27" s="25">
        <v>0</v>
      </c>
      <c r="AA27" s="25">
        <v>1.0080072187471058E-2</v>
      </c>
      <c r="AB27" s="25">
        <v>1.0650363166508324E-2</v>
      </c>
      <c r="AC27" s="25">
        <v>1.2636048604813561E-2</v>
      </c>
      <c r="AD27" s="25">
        <v>1.4353046196929503E-2</v>
      </c>
      <c r="AE27" s="25">
        <v>1.4353046196929503E-2</v>
      </c>
      <c r="AF27" s="24">
        <v>1.4353046196929503E-2</v>
      </c>
    </row>
    <row r="28" spans="1:32" ht="15" customHeight="1" x14ac:dyDescent="0.2">
      <c r="A28" s="773">
        <v>1</v>
      </c>
      <c r="B28" s="774">
        <v>3</v>
      </c>
      <c r="C28" s="774">
        <v>2</v>
      </c>
      <c r="D28" s="774">
        <v>5.1556919999999999E-2</v>
      </c>
      <c r="E28" s="20">
        <f t="shared" si="0"/>
        <v>11</v>
      </c>
      <c r="F28" s="11"/>
      <c r="G28" s="9">
        <f t="shared" si="4"/>
        <v>24</v>
      </c>
      <c r="H28" s="25">
        <f t="shared" ref="H28:J28" si="37">IF($G28&lt;=$L$3,$M$3,IF($G28&lt;=$L$4,$M$4,IF($G28&lt;=$L$5,$M$5,IF($G28&lt;=$L$6,$M$6))))*LN($G28-IF($G28&lt;=$L$3,11,0))+IF($G28&lt;=$L$3,$N$3,IF($G28&lt;=$L$4,$N$4,IF($G28&lt;=$L$5,$N$5,IF($G28&lt;=$L$6,$N$6))))</f>
        <v>3.6357656416387246E-2</v>
      </c>
      <c r="I28" s="779">
        <f t="shared" si="37"/>
        <v>3.6357656416387246E-2</v>
      </c>
      <c r="J28" s="780">
        <f t="shared" si="37"/>
        <v>3.6357656416387246E-2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732">
        <v>25</v>
      </c>
      <c r="Y28" s="781">
        <v>0</v>
      </c>
      <c r="Z28" s="25">
        <v>0</v>
      </c>
      <c r="AA28" s="25">
        <v>9.6319787587906599E-3</v>
      </c>
      <c r="AB28" s="25">
        <v>1.0680054818274694E-2</v>
      </c>
      <c r="AC28" s="25">
        <v>1.183393427770409E-2</v>
      </c>
      <c r="AD28" s="25">
        <v>1.3769867160853221E-2</v>
      </c>
      <c r="AE28" s="25">
        <v>1.3769867160853221E-2</v>
      </c>
      <c r="AF28" s="24">
        <v>1.3769867160853221E-2</v>
      </c>
    </row>
    <row r="29" spans="1:32" ht="15" customHeight="1" x14ac:dyDescent="0.2">
      <c r="A29" s="773">
        <v>1</v>
      </c>
      <c r="B29" s="774">
        <v>3</v>
      </c>
      <c r="C29" s="774">
        <v>3</v>
      </c>
      <c r="D29" s="774">
        <v>3.2022000000000002E-2</v>
      </c>
      <c r="E29" s="20">
        <f t="shared" si="0"/>
        <v>0</v>
      </c>
      <c r="F29" s="11"/>
      <c r="G29" s="9">
        <f t="shared" si="4"/>
        <v>25</v>
      </c>
      <c r="H29" s="25">
        <f t="shared" ref="H29:J29" si="38">IF($G29&lt;=$L$3,$M$3,IF($G29&lt;=$L$4,$M$4,IF($G29&lt;=$L$5,$M$5,IF($G29&lt;=$L$6,$M$6))))*LN($G29-IF($G29&lt;=$L$3,11,0))+IF($G29&lt;=$L$3,$N$3,IF($G29&lt;=$L$4,$N$4,IF($G29&lt;=$L$5,$N$5,IF($G29&lt;=$L$6,$N$6))))</f>
        <v>3.5735416142973743E-2</v>
      </c>
      <c r="I29" s="779">
        <f t="shared" si="38"/>
        <v>3.5735416142973743E-2</v>
      </c>
      <c r="J29" s="780">
        <f t="shared" si="38"/>
        <v>3.5735416142973743E-2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732">
        <v>26</v>
      </c>
      <c r="Y29" s="781">
        <v>0</v>
      </c>
      <c r="Z29" s="25">
        <v>0</v>
      </c>
      <c r="AA29" s="25">
        <v>7.5973272732238507E-3</v>
      </c>
      <c r="AB29" s="25">
        <v>1.2941780794087436E-2</v>
      </c>
      <c r="AC29" s="25">
        <v>9.7940222081694464E-3</v>
      </c>
      <c r="AD29" s="25">
        <v>1.0393110349187832E-2</v>
      </c>
      <c r="AE29" s="25">
        <v>1.0393110349187832E-2</v>
      </c>
      <c r="AF29" s="24">
        <v>1.0393110349187832E-2</v>
      </c>
    </row>
    <row r="30" spans="1:32" ht="15" customHeight="1" x14ac:dyDescent="0.2">
      <c r="A30" s="773">
        <v>1</v>
      </c>
      <c r="B30" s="774">
        <v>3</v>
      </c>
      <c r="C30" s="774">
        <v>4</v>
      </c>
      <c r="D30" s="774">
        <v>0.115692</v>
      </c>
      <c r="E30" s="20">
        <f t="shared" si="0"/>
        <v>1</v>
      </c>
      <c r="F30" s="11"/>
      <c r="G30" s="9">
        <f t="shared" si="4"/>
        <v>26</v>
      </c>
      <c r="H30" s="25">
        <f t="shared" ref="H30:J30" si="39">IF($G30&lt;=$L$3,$M$3,IF($G30&lt;=$L$4,$M$4,IF($G30&lt;=$L$5,$M$5,IF($G30&lt;=$L$6,$M$6))))*LN($G30-IF($G30&lt;=$L$3,11,0))+IF($G30&lt;=$L$3,$N$3,IF($G30&lt;=$L$4,$N$4,IF($G30&lt;=$L$5,$N$5,IF($G30&lt;=$L$6,$N$6))))</f>
        <v>3.5137583833142298E-2</v>
      </c>
      <c r="I30" s="779">
        <f t="shared" si="39"/>
        <v>3.5137583833142298E-2</v>
      </c>
      <c r="J30" s="780">
        <f t="shared" si="39"/>
        <v>3.5137583833142298E-2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732">
        <v>27</v>
      </c>
      <c r="Y30" s="781">
        <v>0</v>
      </c>
      <c r="Z30" s="25">
        <v>0</v>
      </c>
      <c r="AA30" s="25">
        <v>1.3014824598637677E-2</v>
      </c>
      <c r="AB30" s="25">
        <v>1.2836722634904646E-2</v>
      </c>
      <c r="AC30" s="25">
        <v>1.3410466462743196E-2</v>
      </c>
      <c r="AD30" s="25">
        <v>1.1685078894913044E-2</v>
      </c>
      <c r="AE30" s="25">
        <v>1.1685078894913044E-2</v>
      </c>
      <c r="AF30" s="24">
        <v>1.1685078894913044E-2</v>
      </c>
    </row>
    <row r="31" spans="1:32" ht="15" customHeight="1" x14ac:dyDescent="0.2">
      <c r="A31" s="773">
        <v>1</v>
      </c>
      <c r="B31" s="774">
        <v>3</v>
      </c>
      <c r="C31" s="774">
        <v>5</v>
      </c>
      <c r="D31" s="774">
        <v>9.3918169999999995E-2</v>
      </c>
      <c r="E31" s="20">
        <f t="shared" si="0"/>
        <v>2</v>
      </c>
      <c r="F31" s="11"/>
      <c r="G31" s="9">
        <f t="shared" si="4"/>
        <v>27</v>
      </c>
      <c r="H31" s="25">
        <f t="shared" ref="H31:J31" si="40">IF($G31&lt;=$L$3,$M$3,IF($G31&lt;=$L$4,$M$4,IF($G31&lt;=$L$5,$M$5,IF($G31&lt;=$L$6,$M$6))))*LN($G31-IF($G31&lt;=$L$3,11,0))+IF($G31&lt;=$L$3,$N$3,IF($G31&lt;=$L$4,$N$4,IF($G31&lt;=$L$5,$N$5,IF($G31&lt;=$L$6,$N$6))))</f>
        <v>3.4562316693975192E-2</v>
      </c>
      <c r="I31" s="779">
        <f t="shared" si="40"/>
        <v>3.4562316693975192E-2</v>
      </c>
      <c r="J31" s="780">
        <f t="shared" si="40"/>
        <v>3.4562316693975192E-2</v>
      </c>
      <c r="K31" s="11"/>
      <c r="L31" s="25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732">
        <v>28</v>
      </c>
      <c r="Y31" s="781">
        <v>0</v>
      </c>
      <c r="Z31" s="25">
        <v>0</v>
      </c>
      <c r="AA31" s="25">
        <v>8.5521172462491232E-3</v>
      </c>
      <c r="AB31" s="25">
        <v>1.3623696238637847E-2</v>
      </c>
      <c r="AC31" s="25">
        <v>1.2877208675299562E-2</v>
      </c>
      <c r="AD31" s="25">
        <v>1.1536608481023785E-2</v>
      </c>
      <c r="AE31" s="25">
        <v>1.1536608481023785E-2</v>
      </c>
      <c r="AF31" s="24">
        <v>1.1536608481023785E-2</v>
      </c>
    </row>
    <row r="32" spans="1:32" ht="15" customHeight="1" x14ac:dyDescent="0.2">
      <c r="A32" s="773">
        <v>1</v>
      </c>
      <c r="B32" s="774">
        <v>3</v>
      </c>
      <c r="C32" s="774">
        <v>6</v>
      </c>
      <c r="D32" s="774">
        <v>8.9776359999999999E-2</v>
      </c>
      <c r="E32" s="20">
        <f t="shared" si="0"/>
        <v>3</v>
      </c>
      <c r="F32" s="11"/>
      <c r="G32" s="9">
        <f t="shared" si="4"/>
        <v>28</v>
      </c>
      <c r="H32" s="25">
        <f t="shared" ref="H32:J32" si="41">IF($G32&lt;=$L$3,$M$3,IF($G32&lt;=$L$4,$M$4,IF($G32&lt;=$L$5,$M$5,IF($G32&lt;=$L$6,$M$6))))*LN($G32-IF($G32&lt;=$L$3,11,0))+IF($G32&lt;=$L$3,$N$3,IF($G32&lt;=$L$4,$N$4,IF($G32&lt;=$L$5,$N$5,IF($G32&lt;=$L$6,$N$6))))</f>
        <v>3.4007973058436711E-2</v>
      </c>
      <c r="I32" s="779">
        <f t="shared" si="41"/>
        <v>3.4007973058436711E-2</v>
      </c>
      <c r="J32" s="780">
        <f t="shared" si="41"/>
        <v>3.4007973058436711E-2</v>
      </c>
      <c r="K32" s="11"/>
      <c r="L32" s="100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32">
        <v>29</v>
      </c>
      <c r="Y32" s="781">
        <v>0</v>
      </c>
      <c r="Z32" s="25">
        <v>0</v>
      </c>
      <c r="AA32" s="25">
        <v>5.8652366152727028E-3</v>
      </c>
      <c r="AB32" s="25">
        <v>1.2849352210140969E-2</v>
      </c>
      <c r="AC32" s="25">
        <v>1.4176877070935031E-2</v>
      </c>
      <c r="AD32" s="25">
        <v>1.2005949008696481E-2</v>
      </c>
      <c r="AE32" s="25">
        <v>1.2005949008696481E-2</v>
      </c>
      <c r="AF32" s="24">
        <v>1.2005949008696481E-2</v>
      </c>
    </row>
    <row r="33" spans="1:32" ht="15" customHeight="1" x14ac:dyDescent="0.2">
      <c r="A33" s="773">
        <v>1</v>
      </c>
      <c r="B33" s="774">
        <v>3</v>
      </c>
      <c r="C33" s="774">
        <v>7</v>
      </c>
      <c r="D33" s="774">
        <v>8.9414900000000005E-2</v>
      </c>
      <c r="E33" s="20">
        <f t="shared" si="0"/>
        <v>4</v>
      </c>
      <c r="F33" s="11"/>
      <c r="G33" s="9">
        <f t="shared" si="4"/>
        <v>29</v>
      </c>
      <c r="H33" s="25">
        <f t="shared" ref="H33:J33" si="42">IF($G33&lt;=$L$3,$M$3,IF($G33&lt;=$L$4,$M$4,IF($G33&lt;=$L$5,$M$5,IF($G33&lt;=$L$6,$M$6))))*LN($G33-IF($G33&lt;=$L$3,11,0))+IF($G33&lt;=$L$3,$N$3,IF($G33&lt;=$L$4,$N$4,IF($G33&lt;=$L$5,$N$5,IF($G33&lt;=$L$6,$N$6))))</f>
        <v>3.3473084141557072E-2</v>
      </c>
      <c r="I33" s="779">
        <f t="shared" si="42"/>
        <v>3.3473084141557072E-2</v>
      </c>
      <c r="J33" s="780">
        <f t="shared" si="42"/>
        <v>3.3473084141557072E-2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32">
        <v>30</v>
      </c>
      <c r="Y33" s="781">
        <v>0</v>
      </c>
      <c r="Z33" s="25">
        <v>0</v>
      </c>
      <c r="AA33" s="25">
        <v>1.0112975711487678E-2</v>
      </c>
      <c r="AB33" s="25">
        <v>1.4676530122006818E-2</v>
      </c>
      <c r="AC33" s="25">
        <v>1.4405994727239546E-2</v>
      </c>
      <c r="AD33" s="25">
        <v>1.1524258093327713E-2</v>
      </c>
      <c r="AE33" s="25">
        <v>1.1524258093327713E-2</v>
      </c>
      <c r="AF33" s="24">
        <v>1.1524258093327713E-2</v>
      </c>
    </row>
    <row r="34" spans="1:32" ht="15" customHeight="1" x14ac:dyDescent="0.2">
      <c r="A34" s="773">
        <v>1</v>
      </c>
      <c r="B34" s="774">
        <v>3</v>
      </c>
      <c r="C34" s="774">
        <v>8</v>
      </c>
      <c r="D34" s="774">
        <v>8.7248329999999999E-2</v>
      </c>
      <c r="E34" s="20">
        <f t="shared" si="0"/>
        <v>5</v>
      </c>
      <c r="F34" s="11"/>
      <c r="G34" s="9">
        <f t="shared" si="4"/>
        <v>30</v>
      </c>
      <c r="H34" s="25">
        <f t="shared" ref="H34:J34" si="43">IF($G34&lt;=$L$3,$M$3,IF($G34&lt;=$L$4,$M$4,IF($G34&lt;=$L$5,$M$5,IF($G34&lt;=$L$6,$M$6))))*LN($G34-IF($G34&lt;=$L$3,11,0))+IF($G34&lt;=$L$3,$N$3,IF($G34&lt;=$L$4,$N$4,IF($G34&lt;=$L$5,$N$5,IF($G34&lt;=$L$6,$N$6))))</f>
        <v>3.2956330586721552E-2</v>
      </c>
      <c r="I34" s="779">
        <f t="shared" si="43"/>
        <v>3.2956330586721552E-2</v>
      </c>
      <c r="J34" s="780">
        <f t="shared" si="43"/>
        <v>3.2956330586721552E-2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732">
        <v>31</v>
      </c>
      <c r="Y34" s="781">
        <v>0</v>
      </c>
      <c r="Z34" s="25">
        <v>0</v>
      </c>
      <c r="AA34" s="25">
        <v>7.847261250799157E-3</v>
      </c>
      <c r="AB34" s="25">
        <v>1.3557949048876024E-2</v>
      </c>
      <c r="AC34" s="25">
        <v>1.3850655528420774E-2</v>
      </c>
      <c r="AD34" s="25">
        <v>1.3187598272199907E-2</v>
      </c>
      <c r="AE34" s="25">
        <v>1.3187598272199907E-2</v>
      </c>
      <c r="AF34" s="24">
        <v>1.3187598272199907E-2</v>
      </c>
    </row>
    <row r="35" spans="1:32" ht="15" customHeight="1" x14ac:dyDescent="0.2">
      <c r="A35" s="773">
        <v>1</v>
      </c>
      <c r="B35" s="774">
        <v>3</v>
      </c>
      <c r="C35" s="774">
        <v>9</v>
      </c>
      <c r="D35" s="774">
        <v>8.2300890000000002E-2</v>
      </c>
      <c r="E35" s="20">
        <f t="shared" si="0"/>
        <v>6</v>
      </c>
      <c r="F35" s="11"/>
      <c r="G35" s="9">
        <f t="shared" si="4"/>
        <v>31</v>
      </c>
      <c r="H35" s="25">
        <f t="shared" ref="H35:J35" si="44">IF($G35&lt;=$L$3,$M$3,IF($G35&lt;=$L$4,$M$4,IF($G35&lt;=$L$5,$M$5,IF($G35&lt;=$L$6,$M$6))))*LN($G35-IF($G35&lt;=$L$3,11,0))+IF($G35&lt;=$L$3,$N$3,IF($G35&lt;=$L$4,$N$4,IF($G35&lt;=$L$5,$N$5,IF($G35&lt;=$L$6,$N$6))))</f>
        <v>3.2456522859089947E-2</v>
      </c>
      <c r="I35" s="779">
        <f t="shared" si="44"/>
        <v>3.2456522859089947E-2</v>
      </c>
      <c r="J35" s="780">
        <f t="shared" si="44"/>
        <v>3.2456522859089947E-2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732">
        <v>32</v>
      </c>
      <c r="Y35" s="781">
        <v>0</v>
      </c>
      <c r="Z35" s="25">
        <v>0</v>
      </c>
      <c r="AA35" s="25">
        <v>4.4657814996118244E-3</v>
      </c>
      <c r="AB35" s="25">
        <v>1.2059289264350759E-2</v>
      </c>
      <c r="AC35" s="25">
        <v>1.4153245904680475E-2</v>
      </c>
      <c r="AD35" s="25">
        <v>1.4738886630378405E-2</v>
      </c>
      <c r="AE35" s="25">
        <v>1.4738886630378405E-2</v>
      </c>
      <c r="AF35" s="24">
        <v>1.4738886630378405E-2</v>
      </c>
    </row>
    <row r="36" spans="1:32" ht="15" customHeight="1" x14ac:dyDescent="0.2">
      <c r="A36" s="773">
        <v>1</v>
      </c>
      <c r="B36" s="774">
        <v>3</v>
      </c>
      <c r="C36" s="774">
        <v>10</v>
      </c>
      <c r="D36" s="774">
        <v>7.9259479999999993E-2</v>
      </c>
      <c r="E36" s="20">
        <f t="shared" si="0"/>
        <v>7</v>
      </c>
      <c r="F36" s="11"/>
      <c r="G36" s="9">
        <f t="shared" si="4"/>
        <v>32</v>
      </c>
      <c r="H36" s="25">
        <f t="shared" ref="H36:J36" si="45">IF($G36&lt;=$L$3,$M$3,IF($G36&lt;=$L$4,$M$4,IF($G36&lt;=$L$5,$M$5,IF($G36&lt;=$L$6,$M$6))))*LN($G36-IF($G36&lt;=$L$3,11,0))+IF($G36&lt;=$L$3,$N$3,IF($G36&lt;=$L$4,$N$4,IF($G36&lt;=$L$5,$N$5,IF($G36&lt;=$L$6,$N$6))))</f>
        <v>3.1972584752881415E-2</v>
      </c>
      <c r="I36" s="779">
        <f t="shared" si="45"/>
        <v>3.1972584752881415E-2</v>
      </c>
      <c r="J36" s="780">
        <f t="shared" si="45"/>
        <v>3.1972584752881415E-2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732">
        <v>33</v>
      </c>
      <c r="Y36" s="781">
        <v>0</v>
      </c>
      <c r="Z36" s="25">
        <v>0</v>
      </c>
      <c r="AA36" s="25">
        <v>1.3541348794629234E-3</v>
      </c>
      <c r="AB36" s="25">
        <v>1.0248050724735846E-2</v>
      </c>
      <c r="AC36" s="25">
        <v>1.0050344064350096E-2</v>
      </c>
      <c r="AD36" s="25">
        <v>8.704474264870388E-3</v>
      </c>
      <c r="AE36" s="25">
        <v>8.704474264870388E-3</v>
      </c>
      <c r="AF36" s="24">
        <v>8.704474264870388E-3</v>
      </c>
    </row>
    <row r="37" spans="1:32" ht="15" customHeight="1" x14ac:dyDescent="0.2">
      <c r="A37" s="773">
        <v>1</v>
      </c>
      <c r="B37" s="774">
        <v>3</v>
      </c>
      <c r="C37" s="774">
        <v>11</v>
      </c>
      <c r="D37" s="774">
        <v>7.458302E-2</v>
      </c>
      <c r="E37" s="20">
        <f t="shared" si="0"/>
        <v>8</v>
      </c>
      <c r="F37" s="11"/>
      <c r="G37" s="9">
        <f t="shared" si="4"/>
        <v>33</v>
      </c>
      <c r="H37" s="25">
        <f t="shared" ref="H37:J37" si="46">IF($G37&lt;=$L$3,$M$3,IF($G37&lt;=$L$4,$M$4,IF($G37&lt;=$L$5,$M$5,IF($G37&lt;=$L$6,$M$6))))*LN($G37-IF($G37&lt;=$L$3,11,0))+IF($G37&lt;=$L$3,$N$3,IF($G37&lt;=$L$4,$N$4,IF($G37&lt;=$L$5,$N$5,IF($G37&lt;=$L$6,$N$6))))</f>
        <v>3.1503539437305585E-2</v>
      </c>
      <c r="I37" s="779">
        <f t="shared" si="46"/>
        <v>3.1503539437305585E-2</v>
      </c>
      <c r="J37" s="780">
        <f t="shared" si="46"/>
        <v>3.1503539437305585E-2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732">
        <v>34</v>
      </c>
      <c r="Y37" s="781">
        <v>0</v>
      </c>
      <c r="Z37" s="25">
        <v>0</v>
      </c>
      <c r="AA37" s="25">
        <v>1.5680173503640087E-3</v>
      </c>
      <c r="AB37" s="25">
        <v>1.1098883964928256E-2</v>
      </c>
      <c r="AC37" s="25">
        <v>1.0492380451845362E-2</v>
      </c>
      <c r="AD37" s="25">
        <v>7.8198670451447416E-3</v>
      </c>
      <c r="AE37" s="25">
        <v>7.8198670451447416E-3</v>
      </c>
      <c r="AF37" s="24">
        <v>7.8198670451447416E-3</v>
      </c>
    </row>
    <row r="38" spans="1:32" ht="15" customHeight="1" x14ac:dyDescent="0.2">
      <c r="A38" s="773">
        <v>1</v>
      </c>
      <c r="B38" s="774">
        <v>3</v>
      </c>
      <c r="C38" s="774">
        <v>12</v>
      </c>
      <c r="D38" s="774">
        <v>5.9611669999999999E-2</v>
      </c>
      <c r="E38" s="20">
        <f t="shared" si="0"/>
        <v>9</v>
      </c>
      <c r="F38" s="11"/>
      <c r="G38" s="9">
        <f t="shared" si="4"/>
        <v>34</v>
      </c>
      <c r="H38" s="25">
        <f t="shared" ref="H38:J38" si="47">IF($G38&lt;=$L$3,$M$3,IF($G38&lt;=$L$4,$M$4,IF($G38&lt;=$L$5,$M$5,IF($G38&lt;=$L$6,$M$6))))*LN($G38-IF($G38&lt;=$L$3,11,0))+IF($G38&lt;=$L$3,$N$3,IF($G38&lt;=$L$4,$N$4,IF($G38&lt;=$L$5,$N$5,IF($G38&lt;=$L$6,$N$6))))</f>
        <v>3.1048497586196516E-2</v>
      </c>
      <c r="I38" s="779">
        <f t="shared" si="47"/>
        <v>3.1048497586196516E-2</v>
      </c>
      <c r="J38" s="780">
        <f t="shared" si="47"/>
        <v>3.1048497586196516E-2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732">
        <v>35</v>
      </c>
      <c r="Y38" s="781">
        <v>0</v>
      </c>
      <c r="Z38" s="25">
        <v>0</v>
      </c>
      <c r="AA38" s="25">
        <v>5.8443044596538651E-4</v>
      </c>
      <c r="AB38" s="25">
        <v>6.5627329099644336E-3</v>
      </c>
      <c r="AC38" s="25">
        <v>9.252867674439471E-3</v>
      </c>
      <c r="AD38" s="25">
        <v>8.9075431275169956E-3</v>
      </c>
      <c r="AE38" s="25">
        <v>8.9075431275169956E-3</v>
      </c>
      <c r="AF38" s="24">
        <v>8.9075431275169956E-3</v>
      </c>
    </row>
    <row r="39" spans="1:32" ht="15" customHeight="1" x14ac:dyDescent="0.2">
      <c r="A39" s="773">
        <v>1</v>
      </c>
      <c r="B39" s="774">
        <v>4</v>
      </c>
      <c r="C39" s="774">
        <v>1</v>
      </c>
      <c r="D39" s="774">
        <v>6.3076069999999998E-2</v>
      </c>
      <c r="E39" s="20">
        <f t="shared" si="0"/>
        <v>9</v>
      </c>
      <c r="F39" s="11"/>
      <c r="G39" s="9">
        <f t="shared" si="4"/>
        <v>35</v>
      </c>
      <c r="H39" s="25">
        <f t="shared" ref="H39:J39" si="48">IF($G39&lt;=$L$3,$M$3,IF($G39&lt;=$L$4,$M$4,IF($G39&lt;=$L$5,$M$5,IF($G39&lt;=$L$6,$M$6))))*LN($G39-IF($G39&lt;=$L$3,11,0))+IF($G39&lt;=$L$3,$N$3,IF($G39&lt;=$L$4,$N$4,IF($G39&lt;=$L$5,$N$5,IF($G39&lt;=$L$6,$N$6))))</f>
        <v>3.0606647228771017E-2</v>
      </c>
      <c r="I39" s="779">
        <f t="shared" si="48"/>
        <v>3.0606647228771017E-2</v>
      </c>
      <c r="J39" s="780">
        <f t="shared" si="48"/>
        <v>3.0606647228771017E-2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732">
        <v>36</v>
      </c>
      <c r="Y39" s="781">
        <v>0</v>
      </c>
      <c r="Z39" s="25">
        <v>0</v>
      </c>
      <c r="AA39" s="25">
        <v>6.1576354679802956E-4</v>
      </c>
      <c r="AB39" s="25">
        <v>5.0586170946712401E-3</v>
      </c>
      <c r="AC39" s="25">
        <v>7.9022506367935012E-3</v>
      </c>
      <c r="AD39" s="25">
        <v>7.1139073685852041E-3</v>
      </c>
      <c r="AE39" s="25">
        <v>7.1139073685852041E-3</v>
      </c>
      <c r="AF39" s="24">
        <v>7.1139073685852041E-3</v>
      </c>
    </row>
    <row r="40" spans="1:32" ht="15" customHeight="1" x14ac:dyDescent="0.2">
      <c r="A40" s="773">
        <v>1</v>
      </c>
      <c r="B40" s="774">
        <v>4</v>
      </c>
      <c r="C40" s="774">
        <v>2</v>
      </c>
      <c r="D40" s="774">
        <v>5.2126529999999997E-2</v>
      </c>
      <c r="E40" s="20">
        <f t="shared" si="0"/>
        <v>10</v>
      </c>
      <c r="F40" s="11"/>
      <c r="G40" s="9">
        <f t="shared" si="4"/>
        <v>36</v>
      </c>
      <c r="H40" s="25">
        <f t="shared" ref="H40:J40" si="49">IF($G40&lt;=$L$3,$M$3,IF($G40&lt;=$L$4,$M$4,IF($G40&lt;=$L$5,$M$5,IF($G40&lt;=$L$6,$M$6))))*LN($G40-IF($G40&lt;=$L$3,11,0))+IF($G40&lt;=$L$3,$N$3,IF($G40&lt;=$L$4,$N$4,IF($G40&lt;=$L$5,$N$5,IF($G40&lt;=$L$6,$N$6))))</f>
        <v>3.0177245030469362E-2</v>
      </c>
      <c r="I40" s="779">
        <f t="shared" si="49"/>
        <v>3.0177245030469362E-2</v>
      </c>
      <c r="J40" s="780">
        <f t="shared" si="49"/>
        <v>3.0177245030469362E-2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732">
        <v>37</v>
      </c>
      <c r="Y40" s="781">
        <v>0</v>
      </c>
      <c r="Z40" s="25">
        <v>0</v>
      </c>
      <c r="AA40" s="25">
        <v>3.0788177339901478E-4</v>
      </c>
      <c r="AB40" s="25">
        <v>6.6191721921561083E-3</v>
      </c>
      <c r="AC40" s="25">
        <v>9.1596259789954639E-3</v>
      </c>
      <c r="AD40" s="25">
        <v>6.3758205933048444E-3</v>
      </c>
      <c r="AE40" s="25">
        <v>6.3758205933048444E-3</v>
      </c>
      <c r="AF40" s="24">
        <v>6.3758205933048444E-3</v>
      </c>
    </row>
    <row r="41" spans="1:32" ht="15" customHeight="1" x14ac:dyDescent="0.2">
      <c r="A41" s="773">
        <v>1</v>
      </c>
      <c r="B41" s="774">
        <v>4</v>
      </c>
      <c r="C41" s="774">
        <v>3</v>
      </c>
      <c r="D41" s="774">
        <v>5.2565389999999997E-2</v>
      </c>
      <c r="E41" s="20">
        <f t="shared" si="0"/>
        <v>11</v>
      </c>
      <c r="F41" s="11"/>
      <c r="G41" s="9">
        <f t="shared" si="4"/>
        <v>37</v>
      </c>
      <c r="H41" s="25">
        <f t="shared" ref="H41:J41" si="50">IF($G41&lt;=$L$3,$M$3,IF($G41&lt;=$L$4,$M$4,IF($G41&lt;=$L$5,$M$5,IF($G41&lt;=$L$6,$M$6))))*LN($G41-IF($G41&lt;=$L$3,11,0))+IF($G41&lt;=$L$3,$N$3,IF($G41&lt;=$L$4,$N$4,IF($G41&lt;=$L$5,$N$5,IF($G41&lt;=$L$6,$N$6))))</f>
        <v>2.9759608768683998E-2</v>
      </c>
      <c r="I41" s="779">
        <f t="shared" si="50"/>
        <v>2.9759608768683998E-2</v>
      </c>
      <c r="J41" s="780">
        <f t="shared" si="50"/>
        <v>2.9759608768683998E-2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732">
        <v>38</v>
      </c>
      <c r="Y41" s="781">
        <v>0</v>
      </c>
      <c r="Z41" s="25">
        <v>0</v>
      </c>
      <c r="AA41" s="25">
        <v>0</v>
      </c>
      <c r="AB41" s="25">
        <v>9.6871967335815309E-3</v>
      </c>
      <c r="AC41" s="25">
        <v>7.7188853362037471E-3</v>
      </c>
      <c r="AD41" s="25">
        <v>9.6815730443142595E-3</v>
      </c>
      <c r="AE41" s="25">
        <v>9.6815730443142595E-3</v>
      </c>
      <c r="AF41" s="24">
        <v>9.6815730443142595E-3</v>
      </c>
    </row>
    <row r="42" spans="1:32" ht="15" customHeight="1" x14ac:dyDescent="0.2">
      <c r="A42" s="773">
        <v>1</v>
      </c>
      <c r="B42" s="774">
        <v>4</v>
      </c>
      <c r="C42" s="774">
        <v>4</v>
      </c>
      <c r="D42" s="774">
        <v>2.270167E-2</v>
      </c>
      <c r="E42" s="20">
        <f t="shared" si="0"/>
        <v>0</v>
      </c>
      <c r="F42" s="11"/>
      <c r="G42" s="9">
        <f t="shared" si="4"/>
        <v>38</v>
      </c>
      <c r="H42" s="25">
        <f t="shared" ref="H42:J42" si="51">IF($G42&lt;=$L$3,$M$3,IF($G42&lt;=$L$4,$M$4,IF($G42&lt;=$L$5,$M$5,IF($G42&lt;=$L$6,$M$6))))*LN($G42-IF($G42&lt;=$L$3,11,0))+IF($G42&lt;=$L$3,$N$3,IF($G42&lt;=$L$4,$N$4,IF($G42&lt;=$L$5,$N$5,IF($G42&lt;=$L$6,$N$6))))</f>
        <v>2.9353110812107445E-2</v>
      </c>
      <c r="I42" s="779">
        <f t="shared" si="51"/>
        <v>2.9353110812107445E-2</v>
      </c>
      <c r="J42" s="780">
        <f t="shared" si="51"/>
        <v>2.9353110812107445E-2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732">
        <v>39</v>
      </c>
      <c r="Y42" s="781">
        <v>0</v>
      </c>
      <c r="Z42" s="25">
        <v>0</v>
      </c>
      <c r="AA42" s="25">
        <v>0</v>
      </c>
      <c r="AB42" s="25">
        <v>9.3242614974706779E-3</v>
      </c>
      <c r="AC42" s="25">
        <v>8.7600790308979496E-3</v>
      </c>
      <c r="AD42" s="25">
        <v>5.814039677262327E-3</v>
      </c>
      <c r="AE42" s="25">
        <v>5.814039677262327E-3</v>
      </c>
      <c r="AF42" s="24">
        <v>5.814039677262327E-3</v>
      </c>
    </row>
    <row r="43" spans="1:32" ht="15" customHeight="1" x14ac:dyDescent="0.2">
      <c r="A43" s="773">
        <v>1</v>
      </c>
      <c r="B43" s="774">
        <v>4</v>
      </c>
      <c r="C43" s="774">
        <v>5</v>
      </c>
      <c r="D43" s="774">
        <v>0.12367740000000001</v>
      </c>
      <c r="E43" s="20">
        <f t="shared" si="0"/>
        <v>1</v>
      </c>
      <c r="F43" s="11"/>
      <c r="G43" s="9">
        <f t="shared" si="4"/>
        <v>39</v>
      </c>
      <c r="H43" s="25">
        <f t="shared" ref="H43:J43" si="52">IF($G43&lt;=$L$3,$M$3,IF($G43&lt;=$L$4,$M$4,IF($G43&lt;=$L$5,$M$5,IF($G43&lt;=$L$6,$M$6))))*LN($G43-IF($G43&lt;=$L$3,11,0))+IF($G43&lt;=$L$3,$N$3,IF($G43&lt;=$L$4,$N$4,IF($G43&lt;=$L$5,$N$5,IF($G43&lt;=$L$6,$N$6))))</f>
        <v>2.8957172447224414E-2</v>
      </c>
      <c r="I43" s="779">
        <f t="shared" si="52"/>
        <v>2.8957172447224414E-2</v>
      </c>
      <c r="J43" s="780">
        <f t="shared" si="52"/>
        <v>2.8957172447224414E-2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732">
        <v>40</v>
      </c>
      <c r="Y43" s="781">
        <v>0</v>
      </c>
      <c r="Z43" s="25">
        <v>0</v>
      </c>
      <c r="AA43" s="25">
        <v>0</v>
      </c>
      <c r="AB43" s="25">
        <v>5.693416327113043E-3</v>
      </c>
      <c r="AC43" s="25">
        <v>9.826595764669821E-3</v>
      </c>
      <c r="AD43" s="25">
        <v>6.8984632871717149E-3</v>
      </c>
      <c r="AE43" s="25">
        <v>6.8984632871717149E-3</v>
      </c>
      <c r="AF43" s="24">
        <v>6.8984632871717149E-3</v>
      </c>
    </row>
    <row r="44" spans="1:32" ht="15" customHeight="1" x14ac:dyDescent="0.2">
      <c r="A44" s="773">
        <v>1</v>
      </c>
      <c r="B44" s="774">
        <v>4</v>
      </c>
      <c r="C44" s="774">
        <v>6</v>
      </c>
      <c r="D44" s="774">
        <v>9.9131929999999993E-2</v>
      </c>
      <c r="E44" s="20">
        <f t="shared" si="0"/>
        <v>2</v>
      </c>
      <c r="F44" s="11"/>
      <c r="G44" s="9">
        <f t="shared" si="4"/>
        <v>40</v>
      </c>
      <c r="H44" s="25">
        <f t="shared" ref="H44:J44" si="53">IF($G44&lt;=$L$3,$M$3,IF($G44&lt;=$L$4,$M$4,IF($G44&lt;=$L$5,$M$5,IF($G44&lt;=$L$6,$M$6))))*LN($G44-IF($G44&lt;=$L$3,11,0))+IF($G44&lt;=$L$3,$N$3,IF($G44&lt;=$L$4,$N$4,IF($G44&lt;=$L$5,$N$5,IF($G44&lt;=$L$6,$N$6))))</f>
        <v>2.8571258923215721E-2</v>
      </c>
      <c r="I44" s="779">
        <f t="shared" si="53"/>
        <v>2.8571258923215721E-2</v>
      </c>
      <c r="J44" s="780">
        <f t="shared" si="53"/>
        <v>2.8571258923215721E-2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732">
        <v>41</v>
      </c>
      <c r="Y44" s="781">
        <v>0</v>
      </c>
      <c r="Z44" s="25">
        <v>0</v>
      </c>
      <c r="AA44" s="25">
        <v>0</v>
      </c>
      <c r="AB44" s="25">
        <v>7.8951002680093217E-3</v>
      </c>
      <c r="AC44" s="25">
        <v>9.4021162187118042E-3</v>
      </c>
      <c r="AD44" s="25">
        <v>7.5766136012545421E-3</v>
      </c>
      <c r="AE44" s="25">
        <v>7.5766136012545421E-3</v>
      </c>
      <c r="AF44" s="24">
        <v>7.5766136012545421E-3</v>
      </c>
    </row>
    <row r="45" spans="1:32" ht="15" customHeight="1" x14ac:dyDescent="0.2">
      <c r="A45" s="773">
        <v>1</v>
      </c>
      <c r="B45" s="774">
        <v>4</v>
      </c>
      <c r="C45" s="774">
        <v>7</v>
      </c>
      <c r="D45" s="774">
        <v>9.2663529999999994E-2</v>
      </c>
      <c r="E45" s="20">
        <f t="shared" si="0"/>
        <v>3</v>
      </c>
      <c r="F45" s="11"/>
      <c r="G45" s="9">
        <f t="shared" si="4"/>
        <v>41</v>
      </c>
      <c r="H45" s="25">
        <f t="shared" ref="H45:J45" si="54">IF($G45&lt;=$L$3,$M$3,IF($G45&lt;=$L$4,$M$4,IF($G45&lt;=$L$5,$M$5,IF($G45&lt;=$L$6,$M$6))))*LN($G45-IF($G45&lt;=$L$3,11,0))+IF($G45&lt;=$L$3,$N$3,IF($G45&lt;=$L$4,$N$4,IF($G45&lt;=$L$5,$N$5,IF($G45&lt;=$L$6,$N$6))))</f>
        <v>2.819487510880158E-2</v>
      </c>
      <c r="I45" s="779">
        <f t="shared" si="54"/>
        <v>2.819487510880158E-2</v>
      </c>
      <c r="J45" s="780">
        <f t="shared" si="54"/>
        <v>2.819487510880158E-2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732">
        <v>42</v>
      </c>
      <c r="Y45" s="781">
        <v>0</v>
      </c>
      <c r="Z45" s="25">
        <v>0</v>
      </c>
      <c r="AA45" s="25">
        <v>0</v>
      </c>
      <c r="AB45" s="25">
        <v>5.1319036045750031E-3</v>
      </c>
      <c r="AC45" s="25">
        <v>8.3071254601540141E-3</v>
      </c>
      <c r="AD45" s="25">
        <v>6.0410604264661098E-3</v>
      </c>
      <c r="AE45" s="25">
        <v>6.0410604264661098E-3</v>
      </c>
      <c r="AF45" s="24">
        <v>6.0410604264661098E-3</v>
      </c>
    </row>
    <row r="46" spans="1:32" ht="15" customHeight="1" x14ac:dyDescent="0.2">
      <c r="A46" s="773">
        <v>1</v>
      </c>
      <c r="B46" s="774">
        <v>4</v>
      </c>
      <c r="C46" s="774">
        <v>8</v>
      </c>
      <c r="D46" s="774">
        <v>0.10300570000000001</v>
      </c>
      <c r="E46" s="20">
        <f t="shared" si="0"/>
        <v>4</v>
      </c>
      <c r="F46" s="11"/>
      <c r="G46" s="9">
        <f t="shared" si="4"/>
        <v>42</v>
      </c>
      <c r="H46" s="25">
        <f t="shared" ref="H46:J46" si="55">IF($G46&lt;=$L$3,$M$3,IF($G46&lt;=$L$4,$M$4,IF($G46&lt;=$L$5,$M$5,IF($G46&lt;=$L$6,$M$6))))*LN($G46-IF($G46&lt;=$L$3,11,0))+IF($G46&lt;=$L$3,$N$3,IF($G46&lt;=$L$4,$N$4,IF($G46&lt;=$L$5,$N$5,IF($G46&lt;=$L$6,$N$6))))</f>
        <v>2.7827561672518826E-2</v>
      </c>
      <c r="I46" s="779">
        <f t="shared" si="55"/>
        <v>2.7827561672518826E-2</v>
      </c>
      <c r="J46" s="780">
        <f t="shared" si="55"/>
        <v>2.7827561672518826E-2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732">
        <v>43</v>
      </c>
      <c r="Y46" s="781">
        <v>0</v>
      </c>
      <c r="Z46" s="25">
        <v>0</v>
      </c>
      <c r="AA46" s="25">
        <v>0</v>
      </c>
      <c r="AB46" s="25">
        <v>2.3744911804613297E-3</v>
      </c>
      <c r="AC46" s="25">
        <v>7.2932897115503088E-3</v>
      </c>
      <c r="AD46" s="25">
        <v>6.5575183485700062E-3</v>
      </c>
      <c r="AE46" s="25">
        <v>6.5575183485700062E-3</v>
      </c>
      <c r="AF46" s="24">
        <v>6.5575183485700062E-3</v>
      </c>
    </row>
    <row r="47" spans="1:32" ht="15" customHeight="1" x14ac:dyDescent="0.2">
      <c r="A47" s="773">
        <v>1</v>
      </c>
      <c r="B47" s="774">
        <v>4</v>
      </c>
      <c r="C47" s="774">
        <v>9</v>
      </c>
      <c r="D47" s="774">
        <v>8.1326999999999997E-2</v>
      </c>
      <c r="E47" s="20">
        <f t="shared" si="0"/>
        <v>5</v>
      </c>
      <c r="F47" s="11"/>
      <c r="G47" s="9">
        <f t="shared" si="4"/>
        <v>43</v>
      </c>
      <c r="H47" s="25">
        <f t="shared" ref="H47:J47" si="56">IF($G47&lt;=$L$3,$M$3,IF($G47&lt;=$L$4,$M$4,IF($G47&lt;=$L$5,$M$5,IF($G47&lt;=$L$6,$M$6))))*LN($G47-IF($G47&lt;=$L$3,11,0))+IF($G47&lt;=$L$3,$N$3,IF($G47&lt;=$L$4,$N$4,IF($G47&lt;=$L$5,$N$5,IF($G47&lt;=$L$6,$N$6))))</f>
        <v>2.7468891712509644E-2</v>
      </c>
      <c r="I47" s="779">
        <f t="shared" si="56"/>
        <v>2.7468891712509644E-2</v>
      </c>
      <c r="J47" s="780">
        <f t="shared" si="56"/>
        <v>2.7468891712509644E-2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32">
        <v>44</v>
      </c>
      <c r="Y47" s="781">
        <v>0</v>
      </c>
      <c r="Z47" s="25">
        <v>0</v>
      </c>
      <c r="AA47" s="25">
        <v>0</v>
      </c>
      <c r="AB47" s="25">
        <v>2.3744911804613297E-3</v>
      </c>
      <c r="AC47" s="25">
        <v>4.521705963771148E-3</v>
      </c>
      <c r="AD47" s="25">
        <v>5.8476795164212423E-3</v>
      </c>
      <c r="AE47" s="25">
        <v>5.8476795164212423E-3</v>
      </c>
      <c r="AF47" s="24">
        <v>5.8476795164212423E-3</v>
      </c>
    </row>
    <row r="48" spans="1:32" ht="15" customHeight="1" x14ac:dyDescent="0.2">
      <c r="A48" s="773">
        <v>1</v>
      </c>
      <c r="B48" s="774">
        <v>4</v>
      </c>
      <c r="C48" s="774">
        <v>10</v>
      </c>
      <c r="D48" s="774">
        <v>8.3245799999999995E-2</v>
      </c>
      <c r="E48" s="20">
        <f t="shared" si="0"/>
        <v>6</v>
      </c>
      <c r="F48" s="11"/>
      <c r="G48" s="9">
        <f t="shared" si="4"/>
        <v>44</v>
      </c>
      <c r="H48" s="25">
        <f t="shared" ref="H48:J48" si="57">IF($G48&lt;=$L$3,$M$3,IF($G48&lt;=$L$4,$M$4,IF($G48&lt;=$L$5,$M$5,IF($G48&lt;=$L$6,$M$6))))*LN($G48-IF($G48&lt;=$L$3,11,0))+IF($G48&lt;=$L$3,$N$3,IF($G48&lt;=$L$4,$N$4,IF($G48&lt;=$L$5,$N$5,IF($G48&lt;=$L$6,$N$6))))</f>
        <v>2.7118467773799754E-2</v>
      </c>
      <c r="I48" s="779">
        <f t="shared" si="57"/>
        <v>2.7118467773799754E-2</v>
      </c>
      <c r="J48" s="780">
        <f t="shared" si="57"/>
        <v>2.7118467773799754E-2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32">
        <v>45</v>
      </c>
      <c r="Y48" s="781">
        <v>0</v>
      </c>
      <c r="Z48" s="25">
        <v>0</v>
      </c>
      <c r="AA48" s="25">
        <v>0</v>
      </c>
      <c r="AB48" s="25">
        <v>0</v>
      </c>
      <c r="AC48" s="25">
        <v>4.8083146115422432E-3</v>
      </c>
      <c r="AD48" s="25">
        <v>6.5226713151078945E-3</v>
      </c>
      <c r="AE48" s="25">
        <v>6.5226713151078945E-3</v>
      </c>
      <c r="AF48" s="24">
        <v>6.5226713151078945E-3</v>
      </c>
    </row>
    <row r="49" spans="1:32" ht="15" customHeight="1" x14ac:dyDescent="0.2">
      <c r="A49" s="773">
        <v>1</v>
      </c>
      <c r="B49" s="774">
        <v>4</v>
      </c>
      <c r="C49" s="774">
        <v>11</v>
      </c>
      <c r="D49" s="774">
        <v>7.8363909999999995E-2</v>
      </c>
      <c r="E49" s="20">
        <f t="shared" si="0"/>
        <v>7</v>
      </c>
      <c r="F49" s="11"/>
      <c r="G49" s="9">
        <f t="shared" si="4"/>
        <v>45</v>
      </c>
      <c r="H49" s="25">
        <f t="shared" ref="H49:J49" si="58">IF($G49&lt;=$L$3,$M$3,IF($G49&lt;=$L$4,$M$4,IF($G49&lt;=$L$5,$M$5,IF($G49&lt;=$L$6,$M$6))))*LN($G49-IF($G49&lt;=$L$3,11,0))+IF($G49&lt;=$L$3,$N$3,IF($G49&lt;=$L$4,$N$4,IF($G49&lt;=$L$5,$N$5,IF($G49&lt;=$L$6,$N$6))))</f>
        <v>2.6775919200803668E-2</v>
      </c>
      <c r="I49" s="779">
        <f t="shared" si="58"/>
        <v>2.6775919200803668E-2</v>
      </c>
      <c r="J49" s="780">
        <f t="shared" si="58"/>
        <v>2.6775919200803668E-2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732">
        <v>46</v>
      </c>
      <c r="Y49" s="781">
        <v>0</v>
      </c>
      <c r="Z49" s="25">
        <v>0</v>
      </c>
      <c r="AA49" s="25">
        <v>0</v>
      </c>
      <c r="AB49" s="25">
        <v>0</v>
      </c>
      <c r="AC49" s="25">
        <v>4.1696242348502281E-3</v>
      </c>
      <c r="AD49" s="25">
        <v>6.1027133693587962E-3</v>
      </c>
      <c r="AE49" s="25">
        <v>6.1027133693587962E-3</v>
      </c>
      <c r="AF49" s="24">
        <v>6.1027133693587962E-3</v>
      </c>
    </row>
    <row r="50" spans="1:32" ht="15" customHeight="1" x14ac:dyDescent="0.2">
      <c r="A50" s="773">
        <v>1</v>
      </c>
      <c r="B50" s="774">
        <v>4</v>
      </c>
      <c r="C50" s="774">
        <v>12</v>
      </c>
      <c r="D50" s="774">
        <v>6.6936490000000001E-2</v>
      </c>
      <c r="E50" s="20">
        <f t="shared" si="0"/>
        <v>8</v>
      </c>
      <c r="F50" s="11"/>
      <c r="G50" s="9">
        <f t="shared" si="4"/>
        <v>46</v>
      </c>
      <c r="H50" s="25">
        <f t="shared" ref="H50:J50" si="59">IF($G50&lt;=$L$3,$M$3,IF($G50&lt;=$L$4,$M$4,IF($G50&lt;=$L$5,$M$5,IF($G50&lt;=$L$6,$M$6))))*LN($G50-IF($G50&lt;=$L$3,11,0))+IF($G50&lt;=$L$3,$N$3,IF($G50&lt;=$L$4,$N$4,IF($G50&lt;=$L$5,$N$5,IF($G50&lt;=$L$6,$N$6))))</f>
        <v>2.6440899780837919E-2</v>
      </c>
      <c r="I50" s="779">
        <f t="shared" si="59"/>
        <v>2.6440899780837919E-2</v>
      </c>
      <c r="J50" s="780">
        <f t="shared" si="59"/>
        <v>2.6440899780837919E-2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732">
        <v>47</v>
      </c>
      <c r="Y50" s="781">
        <v>0</v>
      </c>
      <c r="Z50" s="25">
        <v>0</v>
      </c>
      <c r="AA50" s="25">
        <v>0</v>
      </c>
      <c r="AB50" s="25">
        <v>0</v>
      </c>
      <c r="AC50" s="25">
        <v>3.5497134320638807E-3</v>
      </c>
      <c r="AD50" s="25">
        <v>6.2727202077334388E-3</v>
      </c>
      <c r="AE50" s="25">
        <v>6.2727202077334388E-3</v>
      </c>
      <c r="AF50" s="24">
        <v>6.2727202077334388E-3</v>
      </c>
    </row>
    <row r="51" spans="1:32" ht="15" customHeight="1" x14ac:dyDescent="0.2">
      <c r="A51" s="773">
        <v>1</v>
      </c>
      <c r="B51" s="774">
        <v>5</v>
      </c>
      <c r="C51" s="774">
        <v>1</v>
      </c>
      <c r="D51" s="774">
        <v>6.4743910000000002E-2</v>
      </c>
      <c r="E51" s="20">
        <f t="shared" si="0"/>
        <v>8</v>
      </c>
      <c r="F51" s="11"/>
      <c r="G51" s="9">
        <f t="shared" si="4"/>
        <v>47</v>
      </c>
      <c r="H51" s="25">
        <f t="shared" ref="H51:J51" si="60">IF($G51&lt;=$L$3,$M$3,IF($G51&lt;=$L$4,$M$4,IF($G51&lt;=$L$5,$M$5,IF($G51&lt;=$L$6,$M$6))))*LN($G51-IF($G51&lt;=$L$3,11,0))+IF($G51&lt;=$L$3,$N$3,IF($G51&lt;=$L$4,$N$4,IF($G51&lt;=$L$5,$N$5,IF($G51&lt;=$L$6,$N$6))))</f>
        <v>2.6113085641081973E-2</v>
      </c>
      <c r="I51" s="779">
        <f t="shared" si="60"/>
        <v>2.6113085641081973E-2</v>
      </c>
      <c r="J51" s="780">
        <f t="shared" si="60"/>
        <v>2.6113085641081973E-2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732">
        <v>48</v>
      </c>
      <c r="Y51" s="781">
        <v>0</v>
      </c>
      <c r="Z51" s="25">
        <v>0</v>
      </c>
      <c r="AA51" s="25">
        <v>0</v>
      </c>
      <c r="AB51" s="25">
        <v>0</v>
      </c>
      <c r="AC51" s="25">
        <v>1.7818461759811451E-3</v>
      </c>
      <c r="AD51" s="25">
        <v>5.347254921109359E-3</v>
      </c>
      <c r="AE51" s="25">
        <v>5.347254921109359E-3</v>
      </c>
      <c r="AF51" s="24">
        <v>5.347254921109359E-3</v>
      </c>
    </row>
    <row r="52" spans="1:32" ht="15" customHeight="1" x14ac:dyDescent="0.2">
      <c r="A52" s="773">
        <v>1</v>
      </c>
      <c r="B52" s="774">
        <v>5</v>
      </c>
      <c r="C52" s="774">
        <v>2</v>
      </c>
      <c r="D52" s="774">
        <v>5.6192899999999997E-2</v>
      </c>
      <c r="E52" s="20">
        <f t="shared" si="0"/>
        <v>9</v>
      </c>
      <c r="F52" s="11"/>
      <c r="G52" s="9">
        <f t="shared" si="4"/>
        <v>48</v>
      </c>
      <c r="H52" s="25">
        <f t="shared" ref="H52:J52" si="61">IF($G52&lt;=$L$3,$M$3,IF($G52&lt;=$L$4,$M$4,IF($G52&lt;=$L$5,$M$5,IF($G52&lt;=$L$6,$M$6))))*LN($G52-IF($G52&lt;=$L$3,11,0))+IF($G52&lt;=$L$3,$N$3,IF($G52&lt;=$L$4,$N$4,IF($G52&lt;=$L$5,$N$5,IF($G52&lt;=$L$6,$N$6))))</f>
        <v>2.5618873453481676E-2</v>
      </c>
      <c r="I52" s="779">
        <f t="shared" si="61"/>
        <v>2.5618873453481676E-2</v>
      </c>
      <c r="J52" s="780">
        <f t="shared" si="61"/>
        <v>2.5618873453481676E-2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732">
        <v>49</v>
      </c>
      <c r="Y52" s="781">
        <v>0</v>
      </c>
      <c r="Z52" s="25">
        <v>0</v>
      </c>
      <c r="AA52" s="25">
        <v>0</v>
      </c>
      <c r="AB52" s="25">
        <v>0</v>
      </c>
      <c r="AC52" s="25">
        <v>2.7732828315682767E-3</v>
      </c>
      <c r="AD52" s="25">
        <v>5.9180987319698893E-3</v>
      </c>
      <c r="AE52" s="25">
        <v>5.9180987319698893E-3</v>
      </c>
      <c r="AF52" s="24">
        <v>5.9180987319698893E-3</v>
      </c>
    </row>
    <row r="53" spans="1:32" ht="15" customHeight="1" x14ac:dyDescent="0.2">
      <c r="A53" s="773">
        <v>1</v>
      </c>
      <c r="B53" s="774">
        <v>5</v>
      </c>
      <c r="C53" s="774">
        <v>3</v>
      </c>
      <c r="D53" s="774">
        <v>5.7023490000000003E-2</v>
      </c>
      <c r="E53" s="20">
        <f t="shared" si="0"/>
        <v>10</v>
      </c>
      <c r="F53" s="11"/>
      <c r="G53" s="9">
        <f t="shared" si="4"/>
        <v>49</v>
      </c>
      <c r="H53" s="25">
        <f t="shared" ref="H53:J53" si="62">IF($G53&lt;=$L$3,$M$3,IF($G53&lt;=$L$4,$M$4,IF($G53&lt;=$L$5,$M$5,IF($G53&lt;=$L$6,$M$6))))*LN($G53-IF($G53&lt;=$L$3,11,0))+IF($G53&lt;=$L$3,$N$3,IF($G53&lt;=$L$4,$N$4,IF($G53&lt;=$L$5,$N$5,IF($G53&lt;=$L$6,$N$6))))</f>
        <v>2.5302590083221485E-2</v>
      </c>
      <c r="I53" s="779">
        <f t="shared" si="62"/>
        <v>2.5302590083221485E-2</v>
      </c>
      <c r="J53" s="780">
        <f t="shared" si="62"/>
        <v>2.5302590083221485E-2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732">
        <v>50</v>
      </c>
      <c r="Y53" s="781">
        <v>0</v>
      </c>
      <c r="Z53" s="25">
        <v>0</v>
      </c>
      <c r="AA53" s="25">
        <v>0</v>
      </c>
      <c r="AB53" s="25">
        <v>0</v>
      </c>
      <c r="AC53" s="25">
        <v>3.4004232207633838E-3</v>
      </c>
      <c r="AD53" s="25">
        <v>5.2129853480621787E-3</v>
      </c>
      <c r="AE53" s="25">
        <v>5.2129853480621787E-3</v>
      </c>
      <c r="AF53" s="24">
        <v>5.2129853480621787E-3</v>
      </c>
    </row>
    <row r="54" spans="1:32" ht="15" customHeight="1" x14ac:dyDescent="0.2">
      <c r="A54" s="773">
        <v>1</v>
      </c>
      <c r="B54" s="774">
        <v>5</v>
      </c>
      <c r="C54" s="774">
        <v>4</v>
      </c>
      <c r="D54" s="774">
        <v>5.3565010000000003E-2</v>
      </c>
      <c r="E54" s="20">
        <f t="shared" si="0"/>
        <v>11</v>
      </c>
      <c r="F54" s="11"/>
      <c r="G54" s="9">
        <f t="shared" si="4"/>
        <v>50</v>
      </c>
      <c r="H54" s="25">
        <f t="shared" ref="H54:J54" si="63">IF($G54&lt;=$L$3,$M$3,IF($G54&lt;=$L$4,$M$4,IF($G54&lt;=$L$5,$M$5,IF($G54&lt;=$L$6,$M$6))))*LN($G54-IF($G54&lt;=$L$3,11,0))+IF($G54&lt;=$L$3,$N$3,IF($G54&lt;=$L$4,$N$4,IF($G54&lt;=$L$5,$N$5,IF($G54&lt;=$L$6,$N$6))))</f>
        <v>2.4992696715136584E-2</v>
      </c>
      <c r="I54" s="779">
        <f t="shared" si="63"/>
        <v>2.4992696715136584E-2</v>
      </c>
      <c r="J54" s="780">
        <f t="shared" si="63"/>
        <v>2.4992696715136584E-2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732">
        <v>51</v>
      </c>
      <c r="Y54" s="781">
        <v>0</v>
      </c>
      <c r="Z54" s="25">
        <v>0</v>
      </c>
      <c r="AA54" s="25">
        <v>0</v>
      </c>
      <c r="AB54" s="25">
        <v>0</v>
      </c>
      <c r="AC54" s="25">
        <v>3.8602422960079081E-3</v>
      </c>
      <c r="AD54" s="25">
        <v>5.1127032767404211E-3</v>
      </c>
      <c r="AE54" s="25">
        <v>5.1127032767404211E-3</v>
      </c>
      <c r="AF54" s="24">
        <v>5.1127032767404211E-3</v>
      </c>
    </row>
    <row r="55" spans="1:32" ht="15" customHeight="1" x14ac:dyDescent="0.2">
      <c r="A55" s="773">
        <v>1</v>
      </c>
      <c r="B55" s="774">
        <v>5</v>
      </c>
      <c r="C55" s="774">
        <v>5</v>
      </c>
      <c r="D55" s="774">
        <v>2.47134E-2</v>
      </c>
      <c r="E55" s="20">
        <f t="shared" si="0"/>
        <v>0</v>
      </c>
      <c r="F55" s="11"/>
      <c r="G55" s="9">
        <f t="shared" si="4"/>
        <v>51</v>
      </c>
      <c r="H55" s="25">
        <f t="shared" ref="H55:J55" si="64">IF($G55&lt;=$L$3,$M$3,IF($G55&lt;=$L$4,$M$4,IF($G55&lt;=$L$5,$M$5,IF($G55&lt;=$L$6,$M$6))))*LN($G55-IF($G55&lt;=$L$3,11,0))+IF($G55&lt;=$L$3,$N$3,IF($G55&lt;=$L$4,$N$4,IF($G55&lt;=$L$5,$N$5,IF($G55&lt;=$L$6,$N$6))))</f>
        <v>2.4688940254515027E-2</v>
      </c>
      <c r="I55" s="779">
        <f t="shared" si="64"/>
        <v>2.4688940254515027E-2</v>
      </c>
      <c r="J55" s="780">
        <f t="shared" si="64"/>
        <v>2.4688940254515027E-2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732">
        <v>52</v>
      </c>
      <c r="Y55" s="781">
        <v>0</v>
      </c>
      <c r="Z55" s="25">
        <v>0</v>
      </c>
      <c r="AA55" s="25">
        <v>0</v>
      </c>
      <c r="AB55" s="25">
        <v>0</v>
      </c>
      <c r="AC55" s="25">
        <v>5.608318300913853E-3</v>
      </c>
      <c r="AD55" s="25">
        <v>5.6336213742531139E-3</v>
      </c>
      <c r="AE55" s="25">
        <v>5.6336213742531139E-3</v>
      </c>
      <c r="AF55" s="24">
        <v>5.6336213742531139E-3</v>
      </c>
    </row>
    <row r="56" spans="1:32" ht="15" customHeight="1" x14ac:dyDescent="0.2">
      <c r="A56" s="773">
        <v>1</v>
      </c>
      <c r="B56" s="774">
        <v>5</v>
      </c>
      <c r="C56" s="774">
        <v>6</v>
      </c>
      <c r="D56" s="774">
        <v>0.12515080000000001</v>
      </c>
      <c r="E56" s="20">
        <f t="shared" si="0"/>
        <v>1</v>
      </c>
      <c r="F56" s="11"/>
      <c r="G56" s="9">
        <f t="shared" si="4"/>
        <v>52</v>
      </c>
      <c r="H56" s="25">
        <f t="shared" ref="H56:J56" si="65">IF($G56&lt;=$L$3,$M$3,IF($G56&lt;=$L$4,$M$4,IF($G56&lt;=$L$5,$M$5,IF($G56&lt;=$L$6,$M$6))))*LN($G56-IF($G56&lt;=$L$3,11,0))+IF($G56&lt;=$L$3,$N$3,IF($G56&lt;=$L$4,$N$4,IF($G56&lt;=$L$5,$N$5,IF($G56&lt;=$L$6,$N$6))))</f>
        <v>2.4391082351935767E-2</v>
      </c>
      <c r="I56" s="779">
        <f t="shared" si="65"/>
        <v>2.4391082351935767E-2</v>
      </c>
      <c r="J56" s="780">
        <f t="shared" si="65"/>
        <v>2.4391082351935767E-2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732">
        <v>53</v>
      </c>
      <c r="Y56" s="781">
        <v>0</v>
      </c>
      <c r="Z56" s="25">
        <v>0</v>
      </c>
      <c r="AA56" s="25">
        <v>0</v>
      </c>
      <c r="AB56" s="25">
        <v>0</v>
      </c>
      <c r="AC56" s="25">
        <v>3.4900846823013405E-3</v>
      </c>
      <c r="AD56" s="25">
        <v>7.4958496518378161E-3</v>
      </c>
      <c r="AE56" s="25">
        <v>7.4958496518378161E-3</v>
      </c>
      <c r="AF56" s="24">
        <v>7.4958496518378161E-3</v>
      </c>
    </row>
    <row r="57" spans="1:32" ht="15" customHeight="1" x14ac:dyDescent="0.2">
      <c r="A57" s="773">
        <v>1</v>
      </c>
      <c r="B57" s="774">
        <v>5</v>
      </c>
      <c r="C57" s="774">
        <v>7</v>
      </c>
      <c r="D57" s="774">
        <v>0.1102231</v>
      </c>
      <c r="E57" s="20">
        <f t="shared" si="0"/>
        <v>2</v>
      </c>
      <c r="F57" s="11"/>
      <c r="G57" s="9">
        <f t="shared" si="4"/>
        <v>53</v>
      </c>
      <c r="H57" s="25">
        <f t="shared" ref="H57:J57" si="66">IF($G57&lt;=$L$3,$M$3,IF($G57&lt;=$L$4,$M$4,IF($G57&lt;=$L$5,$M$5,IF($G57&lt;=$L$6,$M$6))))*LN($G57-IF($G57&lt;=$L$3,11,0))+IF($G57&lt;=$L$3,$N$3,IF($G57&lt;=$L$4,$N$4,IF($G57&lt;=$L$5,$N$5,IF($G57&lt;=$L$6,$N$6))))</f>
        <v>2.4098898279641297E-2</v>
      </c>
      <c r="I57" s="779">
        <f t="shared" si="66"/>
        <v>2.4098898279641297E-2</v>
      </c>
      <c r="J57" s="780">
        <f t="shared" si="66"/>
        <v>2.4098898279641297E-2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732">
        <v>54</v>
      </c>
      <c r="Y57" s="781">
        <v>0</v>
      </c>
      <c r="Z57" s="25">
        <v>0</v>
      </c>
      <c r="AA57" s="25">
        <v>0</v>
      </c>
      <c r="AB57" s="25">
        <v>0</v>
      </c>
      <c r="AC57" s="25">
        <v>4.4565690931609664E-3</v>
      </c>
      <c r="AD57" s="25">
        <v>5.5119896756950417E-3</v>
      </c>
      <c r="AE57" s="25">
        <v>5.5119896756950417E-3</v>
      </c>
      <c r="AF57" s="24">
        <v>5.5119896756950417E-3</v>
      </c>
    </row>
    <row r="58" spans="1:32" ht="15" customHeight="1" x14ac:dyDescent="0.2">
      <c r="A58" s="773">
        <v>1</v>
      </c>
      <c r="B58" s="774">
        <v>5</v>
      </c>
      <c r="C58" s="774">
        <v>8</v>
      </c>
      <c r="D58" s="774">
        <v>0.13339580000000001</v>
      </c>
      <c r="E58" s="20">
        <f t="shared" si="0"/>
        <v>3</v>
      </c>
      <c r="F58" s="11"/>
      <c r="G58" s="9">
        <f t="shared" si="4"/>
        <v>54</v>
      </c>
      <c r="H58" s="25">
        <f t="shared" ref="H58:J58" si="67">IF($G58&lt;=$L$3,$M$3,IF($G58&lt;=$L$4,$M$4,IF($G58&lt;=$L$5,$M$5,IF($G58&lt;=$L$6,$M$6))))*LN($G58-IF($G58&lt;=$L$3,11,0))+IF($G58&lt;=$L$3,$N$3,IF($G58&lt;=$L$4,$N$4,IF($G58&lt;=$L$5,$N$5,IF($G58&lt;=$L$6,$N$6))))</f>
        <v>2.3812175912941283E-2</v>
      </c>
      <c r="I58" s="779">
        <f t="shared" si="67"/>
        <v>2.3812175912941283E-2</v>
      </c>
      <c r="J58" s="780">
        <f t="shared" si="67"/>
        <v>2.3812175912941283E-2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732">
        <v>55</v>
      </c>
      <c r="Y58" s="781">
        <v>0</v>
      </c>
      <c r="Z58" s="25">
        <v>0</v>
      </c>
      <c r="AA58" s="25">
        <v>0</v>
      </c>
      <c r="AB58" s="25">
        <v>0</v>
      </c>
      <c r="AC58" s="25">
        <v>2.7450155963800456E-3</v>
      </c>
      <c r="AD58" s="25">
        <v>7.8715187178981013E-3</v>
      </c>
      <c r="AE58" s="25">
        <v>7.8715187178981013E-3</v>
      </c>
      <c r="AF58" s="24">
        <v>7.8715187178981013E-3</v>
      </c>
    </row>
    <row r="59" spans="1:32" ht="15" customHeight="1" x14ac:dyDescent="0.2">
      <c r="A59" s="773">
        <v>1</v>
      </c>
      <c r="B59" s="774">
        <v>5</v>
      </c>
      <c r="C59" s="774">
        <v>9</v>
      </c>
      <c r="D59" s="774">
        <v>0.1096149</v>
      </c>
      <c r="E59" s="20">
        <f t="shared" si="0"/>
        <v>4</v>
      </c>
      <c r="F59" s="11"/>
      <c r="G59" s="9">
        <f t="shared" si="4"/>
        <v>55</v>
      </c>
      <c r="H59" s="25">
        <f t="shared" ref="H59:J59" si="68">IF($G59&lt;=$L$3,$M$3,IF($G59&lt;=$L$4,$M$4,IF($G59&lt;=$L$5,$M$5,IF($G59&lt;=$L$6,$M$6))))*LN($G59-IF($G59&lt;=$L$3,11,0))+IF($G59&lt;=$L$3,$N$3,IF($G59&lt;=$L$4,$N$4,IF($G59&lt;=$L$5,$N$5,IF($G59&lt;=$L$6,$N$6))))</f>
        <v>2.3530714805082079E-2</v>
      </c>
      <c r="I59" s="779">
        <f t="shared" si="68"/>
        <v>2.3530714805082079E-2</v>
      </c>
      <c r="J59" s="780">
        <f t="shared" si="68"/>
        <v>2.3530714805082079E-2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732">
        <v>56</v>
      </c>
      <c r="Y59" s="781">
        <v>0</v>
      </c>
      <c r="Z59" s="25">
        <v>0</v>
      </c>
      <c r="AA59" s="25">
        <v>0</v>
      </c>
      <c r="AB59" s="25">
        <v>0</v>
      </c>
      <c r="AC59" s="25">
        <v>9.7181729834791049E-5</v>
      </c>
      <c r="AD59" s="25">
        <v>6.7568169381556579E-3</v>
      </c>
      <c r="AE59" s="25">
        <v>6.7568169381556579E-3</v>
      </c>
      <c r="AF59" s="24">
        <v>6.7568169381556579E-3</v>
      </c>
    </row>
    <row r="60" spans="1:32" ht="15" customHeight="1" x14ac:dyDescent="0.2">
      <c r="A60" s="773">
        <v>1</v>
      </c>
      <c r="B60" s="774">
        <v>5</v>
      </c>
      <c r="C60" s="774">
        <v>10</v>
      </c>
      <c r="D60" s="774">
        <v>9.2291399999999996E-2</v>
      </c>
      <c r="E60" s="20">
        <f t="shared" si="0"/>
        <v>5</v>
      </c>
      <c r="F60" s="11"/>
      <c r="G60" s="9">
        <f t="shared" si="4"/>
        <v>56</v>
      </c>
      <c r="H60" s="25">
        <f t="shared" ref="H60:J60" si="69">IF($G60&lt;=$L$3,$M$3,IF($G60&lt;=$L$4,$M$4,IF($G60&lt;=$L$5,$M$5,IF($G60&lt;=$L$6,$M$6))))*LN($G60-IF($G60&lt;=$L$3,11,0))+IF($G60&lt;=$L$3,$N$3,IF($G60&lt;=$L$4,$N$4,IF($G60&lt;=$L$5,$N$5,IF($G60&lt;=$L$6,$N$6))))</f>
        <v>2.3254325345475398E-2</v>
      </c>
      <c r="I60" s="779">
        <f t="shared" si="69"/>
        <v>2.3254325345475398E-2</v>
      </c>
      <c r="J60" s="780">
        <f t="shared" si="69"/>
        <v>2.3254325345475398E-2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732">
        <v>57</v>
      </c>
      <c r="Y60" s="781">
        <v>0</v>
      </c>
      <c r="Z60" s="25">
        <v>0</v>
      </c>
      <c r="AA60" s="25">
        <v>0</v>
      </c>
      <c r="AB60" s="25">
        <v>0</v>
      </c>
      <c r="AC60" s="25">
        <v>9.7181729834791049E-5</v>
      </c>
      <c r="AD60" s="25">
        <v>6.7116425808786597E-3</v>
      </c>
      <c r="AE60" s="25">
        <v>6.7116425808786597E-3</v>
      </c>
      <c r="AF60" s="24">
        <v>6.7116425808786597E-3</v>
      </c>
    </row>
    <row r="61" spans="1:32" ht="15" customHeight="1" x14ac:dyDescent="0.2">
      <c r="A61" s="773">
        <v>1</v>
      </c>
      <c r="B61" s="774">
        <v>5</v>
      </c>
      <c r="C61" s="774">
        <v>11</v>
      </c>
      <c r="D61" s="774">
        <v>9.1340939999999995E-2</v>
      </c>
      <c r="E61" s="20">
        <f t="shared" si="0"/>
        <v>6</v>
      </c>
      <c r="F61" s="11"/>
      <c r="G61" s="9">
        <f t="shared" si="4"/>
        <v>57</v>
      </c>
      <c r="H61" s="25">
        <f t="shared" ref="H61:J61" si="70">IF($G61&lt;=$L$3,$M$3,IF($G61&lt;=$L$4,$M$4,IF($G61&lt;=$L$5,$M$5,IF($G61&lt;=$L$6,$M$6))))*LN($G61-IF($G61&lt;=$L$3,11,0))+IF($G61&lt;=$L$3,$N$3,IF($G61&lt;=$L$4,$N$4,IF($G61&lt;=$L$5,$N$5,IF($G61&lt;=$L$6,$N$6))))</f>
        <v>2.2982827992432273E-2</v>
      </c>
      <c r="I61" s="779">
        <f t="shared" si="70"/>
        <v>2.2982827992432273E-2</v>
      </c>
      <c r="J61" s="780">
        <f t="shared" si="70"/>
        <v>2.2982827992432273E-2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732">
        <v>58</v>
      </c>
      <c r="Y61" s="781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4.2323980866857177E-3</v>
      </c>
      <c r="AE61" s="25">
        <v>4.2323980866857177E-3</v>
      </c>
      <c r="AF61" s="24">
        <v>4.2323980866857177E-3</v>
      </c>
    </row>
    <row r="62" spans="1:32" ht="15" customHeight="1" x14ac:dyDescent="0.2">
      <c r="A62" s="773">
        <v>1</v>
      </c>
      <c r="B62" s="774">
        <v>5</v>
      </c>
      <c r="C62" s="774">
        <v>12</v>
      </c>
      <c r="D62" s="774">
        <v>7.6887750000000005E-2</v>
      </c>
      <c r="E62" s="20">
        <f t="shared" si="0"/>
        <v>7</v>
      </c>
      <c r="F62" s="11"/>
      <c r="G62" s="9">
        <f t="shared" si="4"/>
        <v>58</v>
      </c>
      <c r="H62" s="25">
        <f t="shared" ref="H62:J62" si="71">IF($G62&lt;=$L$3,$M$3,IF($G62&lt;=$L$4,$M$4,IF($G62&lt;=$L$5,$M$5,IF($G62&lt;=$L$6,$M$6))))*LN($G62-IF($G62&lt;=$L$3,11,0))+IF($G62&lt;=$L$3,$N$3,IF($G62&lt;=$L$4,$N$4,IF($G62&lt;=$L$5,$N$5,IF($G62&lt;=$L$6,$N$6))))</f>
        <v>2.271605257262637E-2</v>
      </c>
      <c r="I62" s="779">
        <f t="shared" si="71"/>
        <v>2.271605257262637E-2</v>
      </c>
      <c r="J62" s="780">
        <f t="shared" si="71"/>
        <v>2.271605257262637E-2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732">
        <v>59</v>
      </c>
      <c r="Y62" s="781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3.5408817707018618E-3</v>
      </c>
      <c r="AE62" s="25">
        <v>3.5408817707018618E-3</v>
      </c>
      <c r="AF62" s="24">
        <v>3.5408817707018618E-3</v>
      </c>
    </row>
    <row r="63" spans="1:32" ht="15" customHeight="1" x14ac:dyDescent="0.2">
      <c r="A63" s="773">
        <v>1</v>
      </c>
      <c r="B63" s="774">
        <v>6</v>
      </c>
      <c r="C63" s="774">
        <v>1</v>
      </c>
      <c r="D63" s="774">
        <v>6.8837549999999997E-2</v>
      </c>
      <c r="E63" s="20">
        <f t="shared" si="0"/>
        <v>7</v>
      </c>
      <c r="F63" s="11"/>
      <c r="G63" s="9">
        <f t="shared" si="4"/>
        <v>59</v>
      </c>
      <c r="H63" s="25">
        <f t="shared" ref="H63:J63" si="72">IF($G63&lt;=$L$3,$M$3,IF($G63&lt;=$L$4,$M$4,IF($G63&lt;=$L$5,$M$5,IF($G63&lt;=$L$6,$M$6))))*LN($G63-IF($G63&lt;=$L$3,11,0))+IF($G63&lt;=$L$3,$N$3,IF($G63&lt;=$L$4,$N$4,IF($G63&lt;=$L$5,$N$5,IF($G63&lt;=$L$6,$N$6))))</f>
        <v>2.2453837640441385E-2</v>
      </c>
      <c r="I63" s="779">
        <f t="shared" si="72"/>
        <v>2.2453837640441385E-2</v>
      </c>
      <c r="J63" s="780">
        <f t="shared" si="72"/>
        <v>2.2453837640441385E-2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791">
        <v>60</v>
      </c>
      <c r="Y63" s="792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f t="shared" ref="AD63:AF63" si="73">1-SUM(AD3:AD62)</f>
        <v>0.14239261720579011</v>
      </c>
      <c r="AE63" s="33">
        <f t="shared" si="73"/>
        <v>0.14239261720579011</v>
      </c>
      <c r="AF63" s="26">
        <f t="shared" si="73"/>
        <v>0.14239261720579011</v>
      </c>
    </row>
    <row r="64" spans="1:32" ht="15" customHeight="1" x14ac:dyDescent="0.2">
      <c r="A64" s="773">
        <v>1</v>
      </c>
      <c r="B64" s="774">
        <v>6</v>
      </c>
      <c r="C64" s="774">
        <v>2</v>
      </c>
      <c r="D64" s="774">
        <v>6.1764119999999999E-2</v>
      </c>
      <c r="E64" s="20">
        <f t="shared" si="0"/>
        <v>8</v>
      </c>
      <c r="F64" s="11"/>
      <c r="G64" s="9">
        <f t="shared" si="4"/>
        <v>60</v>
      </c>
      <c r="H64" s="25">
        <f t="shared" ref="H64:J64" si="74">IF($G64&lt;=$L$3,$M$3,IF($G64&lt;=$L$4,$M$4,IF($G64&lt;=$L$5,$M$5,IF($G64&lt;=$L$6,$M$6))))*LN($G64-IF($G64&lt;=$L$3,11,0))+IF($G64&lt;=$L$3,$N$3,IF($G64&lt;=$L$4,$N$4,IF($G64&lt;=$L$5,$N$5,IF($G64&lt;=$L$6,$N$6))))</f>
        <v>2.2196029891162761E-2</v>
      </c>
      <c r="I64" s="779">
        <f t="shared" si="74"/>
        <v>2.2196029891162761E-2</v>
      </c>
      <c r="J64" s="780">
        <f t="shared" si="74"/>
        <v>2.2196029891162761E-2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" customHeight="1" x14ac:dyDescent="0.2">
      <c r="A65" s="773">
        <v>1</v>
      </c>
      <c r="B65" s="774">
        <v>6</v>
      </c>
      <c r="C65" s="774">
        <v>3</v>
      </c>
      <c r="D65" s="774">
        <v>6.4567769999999997E-2</v>
      </c>
      <c r="E65" s="20">
        <f t="shared" si="0"/>
        <v>9</v>
      </c>
      <c r="F65" s="11"/>
      <c r="G65" s="9">
        <f t="shared" si="4"/>
        <v>61</v>
      </c>
      <c r="H65" s="25">
        <f t="shared" ref="H65:J65" si="75">IF($G65&lt;=$L$3,$M$3,IF($G65&lt;=$L$4,$M$4,IF($G65&lt;=$L$5,$M$5,IF($G65&lt;=$L$6,$M$6))))*LN($G65-IF($G65&lt;=$L$3,11,0))+IF($G65&lt;=$L$3,$N$3,IF($G65&lt;=$L$4,$N$4,IF($G65&lt;=$L$5,$N$5,IF($G65&lt;=$L$6,$N$6))))</f>
        <v>2.1942483622672745E-2</v>
      </c>
      <c r="I65" s="779">
        <f t="shared" si="75"/>
        <v>2.1942483622672745E-2</v>
      </c>
      <c r="J65" s="780">
        <f t="shared" si="75"/>
        <v>2.1942483622672745E-2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" customHeight="1" x14ac:dyDescent="0.2">
      <c r="A66" s="773">
        <v>1</v>
      </c>
      <c r="B66" s="774">
        <v>6</v>
      </c>
      <c r="C66" s="774">
        <v>4</v>
      </c>
      <c r="D66" s="774">
        <v>5.5264359999999998E-2</v>
      </c>
      <c r="E66" s="20">
        <f t="shared" si="0"/>
        <v>10</v>
      </c>
      <c r="F66" s="11"/>
      <c r="G66" s="9">
        <f t="shared" si="4"/>
        <v>62</v>
      </c>
      <c r="H66" s="25">
        <f t="shared" ref="H66:J66" si="76">IF($G66&lt;=$L$3,$M$3,IF($G66&lt;=$L$4,$M$4,IF($G66&lt;=$L$5,$M$5,IF($G66&lt;=$L$6,$M$6))))*LN($G66-IF($G66&lt;=$L$3,11,0))+IF($G66&lt;=$L$3,$N$3,IF($G66&lt;=$L$4,$N$4,IF($G66&lt;=$L$5,$N$5,IF($G66&lt;=$L$6,$N$6))))</f>
        <v>2.1693060240916329E-2</v>
      </c>
      <c r="I66" s="779">
        <f t="shared" si="76"/>
        <v>2.1693060240916329E-2</v>
      </c>
      <c r="J66" s="780">
        <f t="shared" si="76"/>
        <v>2.1693060240916329E-2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" customHeight="1" x14ac:dyDescent="0.2">
      <c r="A67" s="773">
        <v>1</v>
      </c>
      <c r="B67" s="774">
        <v>6</v>
      </c>
      <c r="C67" s="774">
        <v>5</v>
      </c>
      <c r="D67" s="774">
        <v>5.7301739999999997E-2</v>
      </c>
      <c r="E67" s="20">
        <f t="shared" si="0"/>
        <v>11</v>
      </c>
      <c r="F67" s="11"/>
      <c r="G67" s="9">
        <f t="shared" si="4"/>
        <v>63</v>
      </c>
      <c r="H67" s="25">
        <f t="shared" ref="H67:J67" si="77">IF($G67&lt;=$L$3,$M$3,IF($G67&lt;=$L$4,$M$4,IF($G67&lt;=$L$5,$M$5,IF($G67&lt;=$L$6,$M$6))))*LN($G67-IF($G67&lt;=$L$3,11,0))+IF($G67&lt;=$L$3,$N$3,IF($G67&lt;=$L$4,$N$4,IF($G67&lt;=$L$5,$N$5,IF($G67&lt;=$L$6,$N$6))))</f>
        <v>2.1447627804935004E-2</v>
      </c>
      <c r="I67" s="779">
        <f t="shared" si="77"/>
        <v>2.1447627804935004E-2</v>
      </c>
      <c r="J67" s="780">
        <f t="shared" si="77"/>
        <v>2.1447627804935004E-2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" customHeight="1" x14ac:dyDescent="0.2">
      <c r="A68" s="773">
        <v>1</v>
      </c>
      <c r="B68" s="774">
        <v>6</v>
      </c>
      <c r="C68" s="774">
        <v>6</v>
      </c>
      <c r="D68" s="774">
        <v>2.873933E-2</v>
      </c>
      <c r="E68" s="20">
        <f t="shared" si="0"/>
        <v>0</v>
      </c>
      <c r="F68" s="11"/>
      <c r="G68" s="9">
        <f t="shared" si="4"/>
        <v>64</v>
      </c>
      <c r="H68" s="25">
        <f t="shared" ref="H68:J68" si="78">IF($G68&lt;=$L$3,$M$3,IF($G68&lt;=$L$4,$M$4,IF($G68&lt;=$L$5,$M$5,IF($G68&lt;=$L$6,$M$6))))*LN($G68-IF($G68&lt;=$L$3,11,0))+IF($G68&lt;=$L$3,$N$3,IF($G68&lt;=$L$4,$N$4,IF($G68&lt;=$L$5,$N$5,IF($G68&lt;=$L$6,$N$6))))</f>
        <v>2.1206060607729324E-2</v>
      </c>
      <c r="I68" s="779">
        <f t="shared" si="78"/>
        <v>2.1206060607729324E-2</v>
      </c>
      <c r="J68" s="780">
        <f t="shared" si="78"/>
        <v>2.1206060607729324E-2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" customHeight="1" x14ac:dyDescent="0.2">
      <c r="A69" s="773">
        <v>1</v>
      </c>
      <c r="B69" s="774">
        <v>6</v>
      </c>
      <c r="C69" s="774">
        <v>7</v>
      </c>
      <c r="D69" s="774">
        <v>0.1355074</v>
      </c>
      <c r="E69" s="20">
        <f t="shared" si="0"/>
        <v>1</v>
      </c>
      <c r="F69" s="11"/>
      <c r="G69" s="9">
        <f t="shared" si="4"/>
        <v>65</v>
      </c>
      <c r="H69" s="25">
        <f t="shared" ref="H69:J69" si="79">IF($G69&lt;=$L$3,$M$3,IF($G69&lt;=$L$4,$M$4,IF($G69&lt;=$L$5,$M$5,IF($G69&lt;=$L$6,$M$6))))*LN($G69-IF($G69&lt;=$L$3,11,0))+IF($G69&lt;=$L$3,$N$3,IF($G69&lt;=$L$4,$N$4,IF($G69&lt;=$L$5,$N$5,IF($G69&lt;=$L$6,$N$6))))</f>
        <v>2.0968238789616844E-2</v>
      </c>
      <c r="I69" s="779">
        <f t="shared" si="79"/>
        <v>2.0968238789616844E-2</v>
      </c>
      <c r="J69" s="780">
        <f t="shared" si="79"/>
        <v>2.0968238789616844E-2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" customHeight="1" x14ac:dyDescent="0.2">
      <c r="A70" s="773">
        <v>1</v>
      </c>
      <c r="B70" s="774">
        <v>6</v>
      </c>
      <c r="C70" s="774">
        <v>8</v>
      </c>
      <c r="D70" s="774">
        <v>0.1195156</v>
      </c>
      <c r="E70" s="20">
        <f t="shared" si="0"/>
        <v>2</v>
      </c>
      <c r="F70" s="11"/>
      <c r="G70" s="9">
        <f t="shared" si="4"/>
        <v>66</v>
      </c>
      <c r="H70" s="25">
        <f t="shared" ref="H70:J70" si="80">IF($G70&lt;=$L$3,$M$3,IF($G70&lt;=$L$4,$M$4,IF($G70&lt;=$L$5,$M$5,IF($G70&lt;=$L$6,$M$6))))*LN($G70-IF($G70&lt;=$L$3,11,0))+IF($G70&lt;=$L$3,$N$3,IF($G70&lt;=$L$4,$N$4,IF($G70&lt;=$L$5,$N$5,IF($G70&lt;=$L$6,$N$6))))</f>
        <v>2.0734047981108256E-2</v>
      </c>
      <c r="I70" s="779">
        <f t="shared" si="80"/>
        <v>2.0734047981108256E-2</v>
      </c>
      <c r="J70" s="780">
        <f t="shared" si="80"/>
        <v>2.0734047981108256E-2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" customHeight="1" x14ac:dyDescent="0.2">
      <c r="A71" s="773">
        <v>1</v>
      </c>
      <c r="B71" s="774">
        <v>6</v>
      </c>
      <c r="C71" s="774">
        <v>9</v>
      </c>
      <c r="D71" s="774">
        <v>0.11073089999999999</v>
      </c>
      <c r="E71" s="20">
        <f t="shared" si="0"/>
        <v>3</v>
      </c>
      <c r="F71" s="11"/>
      <c r="G71" s="9">
        <f t="shared" si="4"/>
        <v>67</v>
      </c>
      <c r="H71" s="25">
        <f t="shared" ref="H71:J71" si="81">IF($G71&lt;=$L$3,$M$3,IF($G71&lt;=$L$4,$M$4,IF($G71&lt;=$L$5,$M$5,IF($G71&lt;=$L$6,$M$6))))*LN($G71-IF($G71&lt;=$L$3,11,0))+IF($G71&lt;=$L$3,$N$3,IF($G71&lt;=$L$4,$N$4,IF($G71&lt;=$L$5,$N$5,IF($G71&lt;=$L$6,$N$6))))</f>
        <v>2.0503378972638098E-2</v>
      </c>
      <c r="I71" s="779">
        <f t="shared" si="81"/>
        <v>2.0503378972638098E-2</v>
      </c>
      <c r="J71" s="780">
        <f t="shared" si="81"/>
        <v>2.0503378972638098E-2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" customHeight="1" x14ac:dyDescent="0.2">
      <c r="A72" s="773">
        <v>1</v>
      </c>
      <c r="B72" s="774">
        <v>6</v>
      </c>
      <c r="C72" s="774">
        <v>10</v>
      </c>
      <c r="D72" s="774">
        <v>9.3152029999999997E-2</v>
      </c>
      <c r="E72" s="20">
        <f t="shared" si="0"/>
        <v>4</v>
      </c>
      <c r="F72" s="11"/>
      <c r="G72" s="9">
        <f t="shared" si="4"/>
        <v>68</v>
      </c>
      <c r="H72" s="25">
        <f t="shared" ref="H72:J72" si="82">IF($G72&lt;=$L$3,$M$3,IF($G72&lt;=$L$4,$M$4,IF($G72&lt;=$L$5,$M$5,IF($G72&lt;=$L$6,$M$6))))*LN($G72-IF($G72&lt;=$L$3,11,0))+IF($G72&lt;=$L$3,$N$3,IF($G72&lt;=$L$4,$N$4,IF($G72&lt;=$L$5,$N$5,IF($G72&lt;=$L$6,$N$6))))</f>
        <v>2.0276127408762668E-2</v>
      </c>
      <c r="I72" s="779">
        <f t="shared" si="82"/>
        <v>2.0276127408762668E-2</v>
      </c>
      <c r="J72" s="780">
        <f t="shared" si="82"/>
        <v>2.0276127408762668E-2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" customHeight="1" x14ac:dyDescent="0.2">
      <c r="A73" s="773">
        <v>1</v>
      </c>
      <c r="B73" s="774">
        <v>6</v>
      </c>
      <c r="C73" s="774">
        <v>11</v>
      </c>
      <c r="D73" s="774">
        <v>8.774643E-2</v>
      </c>
      <c r="E73" s="20">
        <f t="shared" si="0"/>
        <v>5</v>
      </c>
      <c r="F73" s="11"/>
      <c r="G73" s="9">
        <f t="shared" si="4"/>
        <v>69</v>
      </c>
      <c r="H73" s="25">
        <f t="shared" ref="H73:J73" si="83">IF($G73&lt;=$L$3,$M$3,IF($G73&lt;=$L$4,$M$4,IF($G73&lt;=$L$5,$M$5,IF($G73&lt;=$L$6,$M$6))))*LN($G73-IF($G73&lt;=$L$3,11,0))+IF($G73&lt;=$L$3,$N$3,IF($G73&lt;=$L$4,$N$4,IF($G73&lt;=$L$5,$N$5,IF($G73&lt;=$L$6,$N$6))))</f>
        <v>2.0052193504681723E-2</v>
      </c>
      <c r="I73" s="779">
        <f t="shared" si="83"/>
        <v>2.0052193504681723E-2</v>
      </c>
      <c r="J73" s="780">
        <f t="shared" si="83"/>
        <v>2.0052193504681723E-2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" customHeight="1" x14ac:dyDescent="0.2">
      <c r="A74" s="773">
        <v>1</v>
      </c>
      <c r="B74" s="774">
        <v>6</v>
      </c>
      <c r="C74" s="774">
        <v>12</v>
      </c>
      <c r="D74" s="774">
        <v>8.7679129999999994E-2</v>
      </c>
      <c r="E74" s="20">
        <f t="shared" si="0"/>
        <v>6</v>
      </c>
      <c r="F74" s="11"/>
      <c r="G74" s="9">
        <f t="shared" si="4"/>
        <v>70</v>
      </c>
      <c r="H74" s="25">
        <f t="shared" ref="H74:J74" si="84">IF($G74&lt;=$L$3,$M$3,IF($G74&lt;=$L$4,$M$4,IF($G74&lt;=$L$5,$M$5,IF($G74&lt;=$L$6,$M$6))))*LN($G74-IF($G74&lt;=$L$3,11,0))+IF($G74&lt;=$L$3,$N$3,IF($G74&lt;=$L$4,$N$4,IF($G74&lt;=$L$5,$N$5,IF($G74&lt;=$L$6,$N$6))))</f>
        <v>1.9831481783156468E-2</v>
      </c>
      <c r="I74" s="779">
        <f t="shared" si="84"/>
        <v>1.9831481783156468E-2</v>
      </c>
      <c r="J74" s="780">
        <f t="shared" si="84"/>
        <v>1.9831481783156468E-2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" customHeight="1" x14ac:dyDescent="0.2">
      <c r="A75" s="773">
        <v>1</v>
      </c>
      <c r="B75" s="774">
        <v>7</v>
      </c>
      <c r="C75" s="774">
        <v>1</v>
      </c>
      <c r="D75" s="774">
        <v>7.7399109999999993E-2</v>
      </c>
      <c r="E75" s="20">
        <f t="shared" si="0"/>
        <v>6</v>
      </c>
      <c r="F75" s="11"/>
      <c r="G75" s="9">
        <f t="shared" si="4"/>
        <v>71</v>
      </c>
      <c r="H75" s="25">
        <f t="shared" ref="H75:J75" si="85">IF($G75&lt;=$L$3,$M$3,IF($G75&lt;=$L$4,$M$4,IF($G75&lt;=$L$5,$M$5,IF($G75&lt;=$L$6,$M$6))))*LN($G75-IF($G75&lt;=$L$3,11,0))+IF($G75&lt;=$L$3,$N$3,IF($G75&lt;=$L$4,$N$4,IF($G75&lt;=$L$5,$N$5,IF($G75&lt;=$L$6,$N$6))))</f>
        <v>1.9613900830087863E-2</v>
      </c>
      <c r="I75" s="779">
        <f t="shared" si="85"/>
        <v>1.9613900830087863E-2</v>
      </c>
      <c r="J75" s="780">
        <f t="shared" si="85"/>
        <v>1.9613900830087863E-2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" customHeight="1" x14ac:dyDescent="0.2">
      <c r="A76" s="773">
        <v>1</v>
      </c>
      <c r="B76" s="774">
        <v>7</v>
      </c>
      <c r="C76" s="774">
        <v>2</v>
      </c>
      <c r="D76" s="774">
        <v>6.3061359999999997E-2</v>
      </c>
      <c r="E76" s="20">
        <f t="shared" si="0"/>
        <v>7</v>
      </c>
      <c r="F76" s="11"/>
      <c r="G76" s="9">
        <f t="shared" si="4"/>
        <v>72</v>
      </c>
      <c r="H76" s="25">
        <f t="shared" ref="H76:J76" si="86">IF($G76&lt;=$L$3,$M$3,IF($G76&lt;=$L$4,$M$4,IF($G76&lt;=$L$5,$M$5,IF($G76&lt;=$L$6,$M$6))))*LN($G76-IF($G76&lt;=$L$3,11,0))+IF($G76&lt;=$L$3,$N$3,IF($G76&lt;=$L$4,$N$4,IF($G76&lt;=$L$5,$N$5,IF($G76&lt;=$L$6,$N$6))))</f>
        <v>2.1155441792258291E-2</v>
      </c>
      <c r="I76" s="779">
        <f t="shared" si="86"/>
        <v>2.1155441792258291E-2</v>
      </c>
      <c r="J76" s="780">
        <f t="shared" si="86"/>
        <v>2.1155441792258291E-2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" customHeight="1" x14ac:dyDescent="0.2">
      <c r="A77" s="773">
        <v>1</v>
      </c>
      <c r="B77" s="774">
        <v>7</v>
      </c>
      <c r="C77" s="774">
        <v>3</v>
      </c>
      <c r="D77" s="774">
        <v>6.5015169999999997E-2</v>
      </c>
      <c r="E77" s="20">
        <f t="shared" si="0"/>
        <v>8</v>
      </c>
      <c r="F77" s="11"/>
      <c r="G77" s="9">
        <f t="shared" si="4"/>
        <v>73</v>
      </c>
      <c r="H77" s="25">
        <f t="shared" ref="H77:J77" si="87">IF($G77&lt;=$L$3,$M$3,IF($G77&lt;=$L$4,$M$4,IF($G77&lt;=$L$5,$M$5,IF($G77&lt;=$L$6,$M$6))))*LN($G77-IF($G77&lt;=$L$3,11,0))+IF($G77&lt;=$L$3,$N$3,IF($G77&lt;=$L$4,$N$4,IF($G77&lt;=$L$5,$N$5,IF($G77&lt;=$L$6,$N$6))))</f>
        <v>2.0975974119330047E-2</v>
      </c>
      <c r="I77" s="779">
        <f t="shared" si="87"/>
        <v>2.0975974119330047E-2</v>
      </c>
      <c r="J77" s="780">
        <f t="shared" si="87"/>
        <v>2.0975974119330047E-2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" customHeight="1" x14ac:dyDescent="0.2">
      <c r="A78" s="773">
        <v>1</v>
      </c>
      <c r="B78" s="774">
        <v>7</v>
      </c>
      <c r="C78" s="774">
        <v>4</v>
      </c>
      <c r="D78" s="774">
        <v>5.9926310000000003E-2</v>
      </c>
      <c r="E78" s="20">
        <f t="shared" si="0"/>
        <v>9</v>
      </c>
      <c r="F78" s="11"/>
      <c r="G78" s="9">
        <f t="shared" si="4"/>
        <v>74</v>
      </c>
      <c r="H78" s="25">
        <f t="shared" ref="H78:J78" si="88">IF($G78&lt;=$L$3,$M$3,IF($G78&lt;=$L$4,$M$4,IF($G78&lt;=$L$5,$M$5,IF($G78&lt;=$L$6,$M$6))))*LN($G78-IF($G78&lt;=$L$3,11,0))+IF($G78&lt;=$L$3,$N$3,IF($G78&lt;=$L$4,$N$4,IF($G78&lt;=$L$5,$N$5,IF($G78&lt;=$L$6,$N$6))))</f>
        <v>2.079894825930189E-2</v>
      </c>
      <c r="I78" s="779">
        <f t="shared" si="88"/>
        <v>2.079894825930189E-2</v>
      </c>
      <c r="J78" s="780">
        <f t="shared" si="88"/>
        <v>2.079894825930189E-2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" customHeight="1" x14ac:dyDescent="0.2">
      <c r="A79" s="773">
        <v>1</v>
      </c>
      <c r="B79" s="774">
        <v>7</v>
      </c>
      <c r="C79" s="774">
        <v>5</v>
      </c>
      <c r="D79" s="774">
        <v>5.5651569999999997E-2</v>
      </c>
      <c r="E79" s="20">
        <f t="shared" si="0"/>
        <v>10</v>
      </c>
      <c r="F79" s="11"/>
      <c r="G79" s="9">
        <f t="shared" si="4"/>
        <v>75</v>
      </c>
      <c r="H79" s="25">
        <f t="shared" ref="H79:J79" si="89">IF($G79&lt;=$L$3,$M$3,IF($G79&lt;=$L$4,$M$4,IF($G79&lt;=$L$5,$M$5,IF($G79&lt;=$L$6,$M$6))))*LN($G79-IF($G79&lt;=$L$3,11,0))+IF($G79&lt;=$L$3,$N$3,IF($G79&lt;=$L$4,$N$4,IF($G79&lt;=$L$5,$N$5,IF($G79&lt;=$L$6,$N$6))))</f>
        <v>2.0624298657156349E-2</v>
      </c>
      <c r="I79" s="779">
        <f t="shared" si="89"/>
        <v>2.0624298657156349E-2</v>
      </c>
      <c r="J79" s="780">
        <f t="shared" si="89"/>
        <v>2.0624298657156349E-2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" customHeight="1" x14ac:dyDescent="0.2">
      <c r="A80" s="773">
        <v>1</v>
      </c>
      <c r="B80" s="774">
        <v>7</v>
      </c>
      <c r="C80" s="774">
        <v>6</v>
      </c>
      <c r="D80" s="774">
        <v>6.2156549999999998E-2</v>
      </c>
      <c r="E80" s="20">
        <f t="shared" si="0"/>
        <v>11</v>
      </c>
      <c r="F80" s="11"/>
      <c r="G80" s="9">
        <f t="shared" si="4"/>
        <v>76</v>
      </c>
      <c r="H80" s="25">
        <f t="shared" ref="H80:J80" si="90">IF($G80&lt;=$L$3,$M$3,IF($G80&lt;=$L$4,$M$4,IF($G80&lt;=$L$5,$M$5,IF($G80&lt;=$L$6,$M$6))))*LN($G80-IF($G80&lt;=$L$3,11,0))+IF($G80&lt;=$L$3,$N$3,IF($G80&lt;=$L$4,$N$4,IF($G80&lt;=$L$5,$N$5,IF($G80&lt;=$L$6,$N$6))))</f>
        <v>2.0451962362866477E-2</v>
      </c>
      <c r="I80" s="779">
        <f t="shared" si="90"/>
        <v>2.0451962362866477E-2</v>
      </c>
      <c r="J80" s="780">
        <f t="shared" si="90"/>
        <v>2.0451962362866477E-2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" customHeight="1" x14ac:dyDescent="0.2">
      <c r="A81" s="773">
        <v>1</v>
      </c>
      <c r="B81" s="774">
        <v>7</v>
      </c>
      <c r="C81" s="774">
        <v>7</v>
      </c>
      <c r="D81" s="774">
        <v>3.3194410000000001E-2</v>
      </c>
      <c r="E81" s="20">
        <f t="shared" si="0"/>
        <v>0</v>
      </c>
      <c r="F81" s="11"/>
      <c r="G81" s="9">
        <f t="shared" si="4"/>
        <v>77</v>
      </c>
      <c r="H81" s="25">
        <f t="shared" ref="H81:J81" si="91">IF($G81&lt;=$L$3,$M$3,IF($G81&lt;=$L$4,$M$4,IF($G81&lt;=$L$5,$M$5,IF($G81&lt;=$L$6,$M$6))))*LN($G81-IF($G81&lt;=$L$3,11,0))+IF($G81&lt;=$L$3,$N$3,IF($G81&lt;=$L$4,$N$4,IF($G81&lt;=$L$5,$N$5,IF($G81&lt;=$L$6,$N$6))))</f>
        <v>2.0281878895177338E-2</v>
      </c>
      <c r="I81" s="779">
        <f t="shared" si="91"/>
        <v>2.0281878895177338E-2</v>
      </c>
      <c r="J81" s="780">
        <f t="shared" si="91"/>
        <v>2.0281878895177338E-2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" customHeight="1" x14ac:dyDescent="0.2">
      <c r="A82" s="773">
        <v>1</v>
      </c>
      <c r="B82" s="774">
        <v>7</v>
      </c>
      <c r="C82" s="774">
        <v>8</v>
      </c>
      <c r="D82" s="774">
        <v>0.1452608</v>
      </c>
      <c r="E82" s="20">
        <f t="shared" si="0"/>
        <v>1</v>
      </c>
      <c r="F82" s="11"/>
      <c r="G82" s="9">
        <f t="shared" si="4"/>
        <v>78</v>
      </c>
      <c r="H82" s="25">
        <f t="shared" ref="H82:J82" si="92">IF($G82&lt;=$L$3,$M$3,IF($G82&lt;=$L$4,$M$4,IF($G82&lt;=$L$5,$M$5,IF($G82&lt;=$L$6,$M$6))))*LN($G82-IF($G82&lt;=$L$3,11,0))+IF($G82&lt;=$L$3,$N$3,IF($G82&lt;=$L$4,$N$4,IF($G82&lt;=$L$5,$N$5,IF($G82&lt;=$L$6,$N$6))))</f>
        <v>2.0113990114176375E-2</v>
      </c>
      <c r="I82" s="779">
        <f t="shared" si="92"/>
        <v>2.0113990114176375E-2</v>
      </c>
      <c r="J82" s="780">
        <f t="shared" si="92"/>
        <v>2.0113990114176375E-2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" customHeight="1" x14ac:dyDescent="0.2">
      <c r="A83" s="773">
        <v>1</v>
      </c>
      <c r="B83" s="774">
        <v>7</v>
      </c>
      <c r="C83" s="774">
        <v>9</v>
      </c>
      <c r="D83" s="774">
        <v>0.1143869</v>
      </c>
      <c r="E83" s="20">
        <f t="shared" si="0"/>
        <v>2</v>
      </c>
      <c r="F83" s="11"/>
      <c r="G83" s="9">
        <f t="shared" si="4"/>
        <v>79</v>
      </c>
      <c r="H83" s="25">
        <f t="shared" ref="H83:J83" si="93">IF($G83&lt;=$L$3,$M$3,IF($G83&lt;=$L$4,$M$4,IF($G83&lt;=$L$5,$M$5,IF($G83&lt;=$L$6,$M$6))))*LN($G83-IF($G83&lt;=$L$3,11,0))+IF($G83&lt;=$L$3,$N$3,IF($G83&lt;=$L$4,$N$4,IF($G83&lt;=$L$5,$N$5,IF($G83&lt;=$L$6,$N$6))))</f>
        <v>1.9948240101981082E-2</v>
      </c>
      <c r="I83" s="779">
        <f t="shared" si="93"/>
        <v>1.9948240101981082E-2</v>
      </c>
      <c r="J83" s="780">
        <f t="shared" si="93"/>
        <v>1.9948240101981082E-2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" customHeight="1" x14ac:dyDescent="0.2">
      <c r="A84" s="773">
        <v>1</v>
      </c>
      <c r="B84" s="774">
        <v>7</v>
      </c>
      <c r="C84" s="774">
        <v>10</v>
      </c>
      <c r="D84" s="774">
        <v>9.6873970000000004E-2</v>
      </c>
      <c r="E84" s="20">
        <f t="shared" si="0"/>
        <v>3</v>
      </c>
      <c r="F84" s="11"/>
      <c r="G84" s="9">
        <f t="shared" si="4"/>
        <v>80</v>
      </c>
      <c r="H84" s="25">
        <f t="shared" ref="H84:J84" si="94">IF($G84&lt;=$L$3,$M$3,IF($G84&lt;=$L$4,$M$4,IF($G84&lt;=$L$5,$M$5,IF($G84&lt;=$L$6,$M$6))))*LN($G84-IF($G84&lt;=$L$3,11,0))+IF($G84&lt;=$L$3,$N$3,IF($G84&lt;=$L$4,$N$4,IF($G84&lt;=$L$5,$N$5,IF($G84&lt;=$L$6,$N$6))))</f>
        <v>1.9784575050931189E-2</v>
      </c>
      <c r="I84" s="779">
        <f t="shared" si="94"/>
        <v>1.9784575050931189E-2</v>
      </c>
      <c r="J84" s="780">
        <f t="shared" si="94"/>
        <v>1.9784575050931189E-2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" customHeight="1" x14ac:dyDescent="0.2">
      <c r="A85" s="773">
        <v>1</v>
      </c>
      <c r="B85" s="774">
        <v>7</v>
      </c>
      <c r="C85" s="774">
        <v>11</v>
      </c>
      <c r="D85" s="774">
        <v>9.1326859999999996E-2</v>
      </c>
      <c r="E85" s="20">
        <f t="shared" si="0"/>
        <v>4</v>
      </c>
      <c r="F85" s="11"/>
      <c r="G85" s="9">
        <f t="shared" si="4"/>
        <v>81</v>
      </c>
      <c r="H85" s="25">
        <f t="shared" ref="H85:J85" si="95">IF($G85&lt;=$L$3,$M$3,IF($G85&lt;=$L$4,$M$4,IF($G85&lt;=$L$5,$M$5,IF($G85&lt;=$L$6,$M$6))))*LN($G85-IF($G85&lt;=$L$3,11,0))+IF($G85&lt;=$L$3,$N$3,IF($G85&lt;=$L$4,$N$4,IF($G85&lt;=$L$5,$N$5,IF($G85&lt;=$L$6,$N$6))))</f>
        <v>1.9622943158725953E-2</v>
      </c>
      <c r="I85" s="779">
        <f t="shared" si="95"/>
        <v>1.9622943158725953E-2</v>
      </c>
      <c r="J85" s="780">
        <f t="shared" si="95"/>
        <v>1.9622943158725953E-2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" customHeight="1" x14ac:dyDescent="0.2">
      <c r="A86" s="773">
        <v>1</v>
      </c>
      <c r="B86" s="774">
        <v>7</v>
      </c>
      <c r="C86" s="774">
        <v>12</v>
      </c>
      <c r="D86" s="774">
        <v>8.1198300000000001E-2</v>
      </c>
      <c r="E86" s="20">
        <f t="shared" si="0"/>
        <v>5</v>
      </c>
      <c r="F86" s="11"/>
      <c r="G86" s="9">
        <f t="shared" si="4"/>
        <v>82</v>
      </c>
      <c r="H86" s="25">
        <f t="shared" ref="H86:J86" si="96">IF($G86&lt;=$L$3,$M$3,IF($G86&lt;=$L$4,$M$4,IF($G86&lt;=$L$5,$M$5,IF($G86&lt;=$L$6,$M$6))))*LN($G86-IF($G86&lt;=$L$3,11,0))+IF($G86&lt;=$L$3,$N$3,IF($G86&lt;=$L$4,$N$4,IF($G86&lt;=$L$5,$N$5,IF($G86&lt;=$L$6,$N$6))))</f>
        <v>1.9463294529995338E-2</v>
      </c>
      <c r="I86" s="779">
        <f t="shared" si="96"/>
        <v>1.9463294529995338E-2</v>
      </c>
      <c r="J86" s="780">
        <f t="shared" si="96"/>
        <v>1.9463294529995338E-2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" customHeight="1" x14ac:dyDescent="0.2">
      <c r="A87" s="773">
        <v>1</v>
      </c>
      <c r="B87" s="774">
        <v>8</v>
      </c>
      <c r="C87" s="774">
        <v>1</v>
      </c>
      <c r="D87" s="774">
        <v>7.7529989999999993E-2</v>
      </c>
      <c r="E87" s="20">
        <f t="shared" si="0"/>
        <v>5</v>
      </c>
      <c r="F87" s="11"/>
      <c r="G87" s="9">
        <f t="shared" si="4"/>
        <v>83</v>
      </c>
      <c r="H87" s="25">
        <f t="shared" ref="H87:J87" si="97">IF($G87&lt;=$L$3,$M$3,IF($G87&lt;=$L$4,$M$4,IF($G87&lt;=$L$5,$M$5,IF($G87&lt;=$L$6,$M$6))))*LN($G87-IF($G87&lt;=$L$3,11,0))+IF($G87&lt;=$L$3,$N$3,IF($G87&lt;=$L$4,$N$4,IF($G87&lt;=$L$5,$N$5,IF($G87&lt;=$L$6,$N$6))))</f>
        <v>1.9305581083836891E-2</v>
      </c>
      <c r="I87" s="779">
        <f t="shared" si="97"/>
        <v>1.9305581083836891E-2</v>
      </c>
      <c r="J87" s="780">
        <f t="shared" si="97"/>
        <v>1.9305581083836891E-2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" customHeight="1" x14ac:dyDescent="0.2">
      <c r="A88" s="773">
        <v>1</v>
      </c>
      <c r="B88" s="774">
        <v>8</v>
      </c>
      <c r="C88" s="774">
        <v>2</v>
      </c>
      <c r="D88" s="774">
        <v>7.701711E-2</v>
      </c>
      <c r="E88" s="20">
        <f t="shared" si="0"/>
        <v>6</v>
      </c>
      <c r="F88" s="11"/>
      <c r="G88" s="9">
        <f t="shared" si="4"/>
        <v>84</v>
      </c>
      <c r="H88" s="25">
        <f t="shared" ref="H88:J88" si="98">IF($G88&lt;=$L$3,$M$3,IF($G88&lt;=$L$4,$M$4,IF($G88&lt;=$L$5,$M$5,IF($G88&lt;=$L$6,$M$6))))*LN($G88-IF($G88&lt;=$L$3,11,0))+IF($G88&lt;=$L$3,$N$3,IF($G88&lt;=$L$4,$N$4,IF($G88&lt;=$L$5,$N$5,IF($G88&lt;=$L$6,$N$6))))</f>
        <v>1.9149756466889871E-2</v>
      </c>
      <c r="I88" s="779">
        <f t="shared" si="98"/>
        <v>1.9149756466889871E-2</v>
      </c>
      <c r="J88" s="780">
        <f t="shared" si="98"/>
        <v>1.9149756466889871E-2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" customHeight="1" x14ac:dyDescent="0.2">
      <c r="A89" s="773">
        <v>1</v>
      </c>
      <c r="B89" s="774">
        <v>8</v>
      </c>
      <c r="C89" s="774">
        <v>3</v>
      </c>
      <c r="D89" s="774">
        <v>7.5836570000000006E-2</v>
      </c>
      <c r="E89" s="20">
        <f t="shared" si="0"/>
        <v>7</v>
      </c>
      <c r="F89" s="11"/>
      <c r="G89" s="9">
        <f t="shared" si="4"/>
        <v>85</v>
      </c>
      <c r="H89" s="25">
        <f t="shared" ref="H89:J89" si="99">IF($G89&lt;=$L$3,$M$3,IF($G89&lt;=$L$4,$M$4,IF($G89&lt;=$L$5,$M$5,IF($G89&lt;=$L$6,$M$6))))*LN($G89-IF($G89&lt;=$L$3,11,0))+IF($G89&lt;=$L$3,$N$3,IF($G89&lt;=$L$4,$N$4,IF($G89&lt;=$L$5,$N$5,IF($G89&lt;=$L$6,$N$6))))</f>
        <v>1.8995775971553185E-2</v>
      </c>
      <c r="I89" s="779">
        <f t="shared" si="99"/>
        <v>1.8995775971553185E-2</v>
      </c>
      <c r="J89" s="780">
        <f t="shared" si="99"/>
        <v>1.8995775971553185E-2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" customHeight="1" x14ac:dyDescent="0.2">
      <c r="A90" s="773">
        <v>1</v>
      </c>
      <c r="B90" s="774">
        <v>8</v>
      </c>
      <c r="C90" s="774">
        <v>4</v>
      </c>
      <c r="D90" s="774">
        <v>6.5743590000000005E-2</v>
      </c>
      <c r="E90" s="20">
        <f t="shared" si="0"/>
        <v>8</v>
      </c>
      <c r="F90" s="11"/>
      <c r="G90" s="9">
        <f t="shared" si="4"/>
        <v>86</v>
      </c>
      <c r="H90" s="25">
        <f t="shared" ref="H90:J90" si="100">IF($G90&lt;=$L$3,$M$3,IF($G90&lt;=$L$4,$M$4,IF($G90&lt;=$L$5,$M$5,IF($G90&lt;=$L$6,$M$6))))*LN($G90-IF($G90&lt;=$L$3,11,0))+IF($G90&lt;=$L$3,$N$3,IF($G90&lt;=$L$4,$N$4,IF($G90&lt;=$L$5,$N$5,IF($G90&lt;=$L$6,$N$6))))</f>
        <v>1.8843596458986353E-2</v>
      </c>
      <c r="I90" s="779">
        <f t="shared" si="100"/>
        <v>1.8843596458986353E-2</v>
      </c>
      <c r="J90" s="780">
        <f t="shared" si="100"/>
        <v>1.8843596458986353E-2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" customHeight="1" x14ac:dyDescent="0.2">
      <c r="A91" s="773">
        <v>1</v>
      </c>
      <c r="B91" s="774">
        <v>8</v>
      </c>
      <c r="C91" s="774">
        <v>5</v>
      </c>
      <c r="D91" s="774">
        <v>5.933414E-2</v>
      </c>
      <c r="E91" s="20">
        <f t="shared" si="0"/>
        <v>9</v>
      </c>
      <c r="F91" s="11"/>
      <c r="G91" s="9">
        <f t="shared" si="4"/>
        <v>87</v>
      </c>
      <c r="H91" s="25">
        <f t="shared" ref="H91:J91" si="101">IF($G91&lt;=$L$3,$M$3,IF($G91&lt;=$L$4,$M$4,IF($G91&lt;=$L$5,$M$5,IF($G91&lt;=$L$6,$M$6))))*LN($G91-IF($G91&lt;=$L$3,11,0))+IF($G91&lt;=$L$3,$N$3,IF($G91&lt;=$L$4,$N$4,IF($G91&lt;=$L$5,$N$5,IF($G91&lt;=$L$6,$N$6))))</f>
        <v>1.8693176286561475E-2</v>
      </c>
      <c r="I91" s="779">
        <f t="shared" si="101"/>
        <v>1.8693176286561475E-2</v>
      </c>
      <c r="J91" s="780">
        <f t="shared" si="101"/>
        <v>1.8693176286561475E-2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" customHeight="1" x14ac:dyDescent="0.2">
      <c r="A92" s="773">
        <v>1</v>
      </c>
      <c r="B92" s="774">
        <v>8</v>
      </c>
      <c r="C92" s="774">
        <v>6</v>
      </c>
      <c r="D92" s="774">
        <v>5.877541E-2</v>
      </c>
      <c r="E92" s="20">
        <f t="shared" si="0"/>
        <v>10</v>
      </c>
      <c r="F92" s="11"/>
      <c r="G92" s="9">
        <f t="shared" si="4"/>
        <v>88</v>
      </c>
      <c r="H92" s="25">
        <f t="shared" ref="H92:J92" si="102">IF($G92&lt;=$L$3,$M$3,IF($G92&lt;=$L$4,$M$4,IF($G92&lt;=$L$5,$M$5,IF($G92&lt;=$L$6,$M$6))))*LN($G92-IF($G92&lt;=$L$3,11,0))+IF($G92&lt;=$L$3,$N$3,IF($G92&lt;=$L$4,$N$4,IF($G92&lt;=$L$5,$N$5,IF($G92&lt;=$L$6,$N$6))))</f>
        <v>1.8544475239461143E-2</v>
      </c>
      <c r="I92" s="779">
        <f t="shared" si="102"/>
        <v>1.8544475239461143E-2</v>
      </c>
      <c r="J92" s="780">
        <f t="shared" si="102"/>
        <v>1.8544475239461143E-2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" customHeight="1" x14ac:dyDescent="0.2">
      <c r="A93" s="773">
        <v>1</v>
      </c>
      <c r="B93" s="774">
        <v>8</v>
      </c>
      <c r="C93" s="774">
        <v>7</v>
      </c>
      <c r="D93" s="774">
        <v>5.9313600000000001E-2</v>
      </c>
      <c r="E93" s="20">
        <f t="shared" si="0"/>
        <v>11</v>
      </c>
      <c r="F93" s="11"/>
      <c r="G93" s="9">
        <f t="shared" si="4"/>
        <v>89</v>
      </c>
      <c r="H93" s="25">
        <f t="shared" ref="H93:J93" si="103">IF($G93&lt;=$L$3,$M$3,IF($G93&lt;=$L$4,$M$4,IF($G93&lt;=$L$5,$M$5,IF($G93&lt;=$L$6,$M$6))))*LN($G93-IF($G93&lt;=$L$3,11,0))+IF($G93&lt;=$L$3,$N$3,IF($G93&lt;=$L$4,$N$4,IF($G93&lt;=$L$5,$N$5,IF($G93&lt;=$L$6,$N$6))))</f>
        <v>1.8397454466141175E-2</v>
      </c>
      <c r="I93" s="779">
        <f t="shared" si="103"/>
        <v>1.8397454466141175E-2</v>
      </c>
      <c r="J93" s="780">
        <f t="shared" si="103"/>
        <v>1.8397454466141175E-2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" customHeight="1" x14ac:dyDescent="0.2">
      <c r="A94" s="773">
        <v>1</v>
      </c>
      <c r="B94" s="774">
        <v>8</v>
      </c>
      <c r="C94" s="774">
        <v>8</v>
      </c>
      <c r="D94" s="774">
        <v>3.373371E-2</v>
      </c>
      <c r="E94" s="20">
        <f t="shared" si="0"/>
        <v>0</v>
      </c>
      <c r="F94" s="11"/>
      <c r="G94" s="9">
        <f t="shared" si="4"/>
        <v>90</v>
      </c>
      <c r="H94" s="25">
        <f t="shared" ref="H94:J94" si="104">IF($G94&lt;=$L$3,$M$3,IF($G94&lt;=$L$4,$M$4,IF($G94&lt;=$L$5,$M$5,IF($G94&lt;=$L$6,$M$6))))*LN($G94-IF($G94&lt;=$L$3,11,0))+IF($G94&lt;=$L$3,$N$3,IF($G94&lt;=$L$4,$N$4,IF($G94&lt;=$L$5,$N$5,IF($G94&lt;=$L$6,$N$6))))</f>
        <v>1.8252076417398844E-2</v>
      </c>
      <c r="I94" s="779">
        <f t="shared" si="104"/>
        <v>1.8252076417398844E-2</v>
      </c>
      <c r="J94" s="780">
        <f t="shared" si="104"/>
        <v>1.8252076417398844E-2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" customHeight="1" x14ac:dyDescent="0.2">
      <c r="A95" s="773">
        <v>1</v>
      </c>
      <c r="B95" s="774">
        <v>8</v>
      </c>
      <c r="C95" s="774">
        <v>9</v>
      </c>
      <c r="D95" s="774">
        <v>0.12897919999999999</v>
      </c>
      <c r="E95" s="20">
        <f t="shared" si="0"/>
        <v>1</v>
      </c>
      <c r="F95" s="11"/>
      <c r="G95" s="9">
        <f t="shared" si="4"/>
        <v>91</v>
      </c>
      <c r="H95" s="25">
        <f t="shared" ref="H95:J95" si="105">IF($G95&lt;=$L$3,$M$3,IF($G95&lt;=$L$4,$M$4,IF($G95&lt;=$L$5,$M$5,IF($G95&lt;=$L$6,$M$6))))*LN($G95-IF($G95&lt;=$L$3,11,0))+IF($G95&lt;=$L$3,$N$3,IF($G95&lt;=$L$4,$N$4,IF($G95&lt;=$L$5,$N$5,IF($G95&lt;=$L$6,$N$6))))</f>
        <v>1.8108304788807955E-2</v>
      </c>
      <c r="I95" s="779">
        <f t="shared" si="105"/>
        <v>1.8108304788807955E-2</v>
      </c>
      <c r="J95" s="780">
        <f t="shared" si="105"/>
        <v>1.8108304788807955E-2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" customHeight="1" x14ac:dyDescent="0.2">
      <c r="A96" s="773">
        <v>1</v>
      </c>
      <c r="B96" s="774">
        <v>8</v>
      </c>
      <c r="C96" s="774">
        <v>10</v>
      </c>
      <c r="D96" s="774">
        <v>0.1092521</v>
      </c>
      <c r="E96" s="20">
        <f t="shared" si="0"/>
        <v>2</v>
      </c>
      <c r="F96" s="11"/>
      <c r="G96" s="9">
        <f t="shared" si="4"/>
        <v>92</v>
      </c>
      <c r="H96" s="25">
        <f t="shared" ref="H96:J96" si="106">IF($G96&lt;=$L$3,$M$3,IF($G96&lt;=$L$4,$M$4,IF($G96&lt;=$L$5,$M$5,IF($G96&lt;=$L$6,$M$6))))*LN($G96-IF($G96&lt;=$L$3,11,0))+IF($G96&lt;=$L$3,$N$3,IF($G96&lt;=$L$4,$N$4,IF($G96&lt;=$L$5,$N$5,IF($G96&lt;=$L$6,$N$6))))</f>
        <v>1.7966104466299516E-2</v>
      </c>
      <c r="I96" s="779">
        <f t="shared" si="106"/>
        <v>1.7966104466299516E-2</v>
      </c>
      <c r="J96" s="780">
        <f t="shared" si="106"/>
        <v>1.7966104466299516E-2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" customHeight="1" x14ac:dyDescent="0.2">
      <c r="A97" s="773">
        <v>1</v>
      </c>
      <c r="B97" s="774">
        <v>8</v>
      </c>
      <c r="C97" s="774">
        <v>11</v>
      </c>
      <c r="D97" s="774">
        <v>8.9916079999999995E-2</v>
      </c>
      <c r="E97" s="20">
        <f t="shared" si="0"/>
        <v>3</v>
      </c>
      <c r="F97" s="11"/>
      <c r="G97" s="9">
        <f t="shared" si="4"/>
        <v>93</v>
      </c>
      <c r="H97" s="25">
        <f t="shared" ref="H97:J97" si="107">IF($G97&lt;=$L$3,$M$3,IF($G97&lt;=$L$4,$M$4,IF($G97&lt;=$L$5,$M$5,IF($G97&lt;=$L$6,$M$6))))*LN($G97-IF($G97&lt;=$L$3,11,0))+IF($G97&lt;=$L$3,$N$3,IF($G97&lt;=$L$4,$N$4,IF($G97&lt;=$L$5,$N$5,IF($G97&lt;=$L$6,$N$6))))</f>
        <v>1.7825441474684345E-2</v>
      </c>
      <c r="I97" s="779">
        <f t="shared" si="107"/>
        <v>1.7825441474684345E-2</v>
      </c>
      <c r="J97" s="780">
        <f t="shared" si="107"/>
        <v>1.7825441474684345E-2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" customHeight="1" x14ac:dyDescent="0.2">
      <c r="A98" s="773">
        <v>1</v>
      </c>
      <c r="B98" s="774">
        <v>8</v>
      </c>
      <c r="C98" s="774">
        <v>12</v>
      </c>
      <c r="D98" s="774">
        <v>9.0084159999999996E-2</v>
      </c>
      <c r="E98" s="20">
        <f t="shared" si="0"/>
        <v>4</v>
      </c>
      <c r="F98" s="11"/>
      <c r="G98" s="9">
        <f t="shared" si="4"/>
        <v>94</v>
      </c>
      <c r="H98" s="25">
        <f t="shared" ref="H98:J98" si="108">IF($G98&lt;=$L$3,$M$3,IF($G98&lt;=$L$4,$M$4,IF($G98&lt;=$L$5,$M$5,IF($G98&lt;=$L$6,$M$6))))*LN($G98-IF($G98&lt;=$L$3,11,0))+IF($G98&lt;=$L$3,$N$3,IF($G98&lt;=$L$4,$N$4,IF($G98&lt;=$L$5,$N$5,IF($G98&lt;=$L$6,$N$6))))</f>
        <v>1.7686282928928515E-2</v>
      </c>
      <c r="I98" s="779">
        <f t="shared" si="108"/>
        <v>1.7686282928928515E-2</v>
      </c>
      <c r="J98" s="780">
        <f t="shared" si="108"/>
        <v>1.7686282928928515E-2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" customHeight="1" x14ac:dyDescent="0.2">
      <c r="A99" s="773">
        <v>1</v>
      </c>
      <c r="B99" s="774">
        <v>9</v>
      </c>
      <c r="C99" s="774">
        <v>1</v>
      </c>
      <c r="D99" s="774">
        <v>8.1829379999999993E-2</v>
      </c>
      <c r="E99" s="20">
        <f t="shared" si="0"/>
        <v>4</v>
      </c>
      <c r="F99" s="11"/>
      <c r="G99" s="9">
        <f t="shared" si="4"/>
        <v>95</v>
      </c>
      <c r="H99" s="25">
        <f t="shared" ref="H99:J99" si="109">IF($G99&lt;=$L$3,$M$3,IF($G99&lt;=$L$4,$M$4,IF($G99&lt;=$L$5,$M$5,IF($G99&lt;=$L$6,$M$6))))*LN($G99-IF($G99&lt;=$L$3,11,0))+IF($G99&lt;=$L$3,$N$3,IF($G99&lt;=$L$4,$N$4,IF($G99&lt;=$L$5,$N$5,IF($G99&lt;=$L$6,$N$6))))</f>
        <v>1.7548596988007037E-2</v>
      </c>
      <c r="I99" s="779">
        <f t="shared" si="109"/>
        <v>1.7548596988007037E-2</v>
      </c>
      <c r="J99" s="780">
        <f t="shared" si="109"/>
        <v>1.7548596988007037E-2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" customHeight="1" x14ac:dyDescent="0.2">
      <c r="A100" s="773">
        <v>1</v>
      </c>
      <c r="B100" s="774">
        <v>9</v>
      </c>
      <c r="C100" s="774">
        <v>2</v>
      </c>
      <c r="D100" s="774">
        <v>7.3769849999999998E-2</v>
      </c>
      <c r="E100" s="20">
        <f t="shared" si="0"/>
        <v>5</v>
      </c>
      <c r="F100" s="11"/>
      <c r="G100" s="9">
        <f t="shared" si="4"/>
        <v>96</v>
      </c>
      <c r="H100" s="25">
        <f t="shared" ref="H100:J100" si="110">IF($G100&lt;=$L$3,$M$3,IF($G100&lt;=$L$4,$M$4,IF($G100&lt;=$L$5,$M$5,IF($G100&lt;=$L$6,$M$6))))*LN($G100-IF($G100&lt;=$L$3,11,0))+IF($G100&lt;=$L$3,$N$3,IF($G100&lt;=$L$4,$N$4,IF($G100&lt;=$L$5,$N$5,IF($G100&lt;=$L$6,$N$6))))</f>
        <v>1.7412352811173683E-2</v>
      </c>
      <c r="I100" s="779">
        <f t="shared" si="110"/>
        <v>1.7412352811173683E-2</v>
      </c>
      <c r="J100" s="780">
        <f t="shared" si="110"/>
        <v>1.7412352811173683E-2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" customHeight="1" x14ac:dyDescent="0.2">
      <c r="A101" s="773">
        <v>1</v>
      </c>
      <c r="B101" s="774">
        <v>9</v>
      </c>
      <c r="C101" s="774">
        <v>3</v>
      </c>
      <c r="D101" s="774">
        <v>8.5362720000000003E-2</v>
      </c>
      <c r="E101" s="20">
        <f t="shared" si="0"/>
        <v>6</v>
      </c>
      <c r="F101" s="11"/>
      <c r="G101" s="9">
        <f t="shared" si="4"/>
        <v>97</v>
      </c>
      <c r="H101" s="25">
        <f t="shared" ref="H101:J101" si="111">IF($G101&lt;=$L$3,$M$3,IF($G101&lt;=$L$4,$M$4,IF($G101&lt;=$L$5,$M$5,IF($G101&lt;=$L$6,$M$6))))*LN($G101-IF($G101&lt;=$L$3,11,0))+IF($G101&lt;=$L$3,$N$3,IF($G101&lt;=$L$4,$N$4,IF($G101&lt;=$L$5,$N$5,IF($G101&lt;=$L$6,$N$6))))</f>
        <v>1.7277520516496774E-2</v>
      </c>
      <c r="I101" s="779">
        <f t="shared" si="111"/>
        <v>1.7277520516496774E-2</v>
      </c>
      <c r="J101" s="780">
        <f t="shared" si="111"/>
        <v>1.7277520516496774E-2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" customHeight="1" x14ac:dyDescent="0.2">
      <c r="A102" s="773">
        <v>1</v>
      </c>
      <c r="B102" s="774">
        <v>9</v>
      </c>
      <c r="C102" s="774">
        <v>4</v>
      </c>
      <c r="D102" s="774">
        <v>7.2664359999999997E-2</v>
      </c>
      <c r="E102" s="20">
        <f t="shared" si="0"/>
        <v>7</v>
      </c>
      <c r="F102" s="11"/>
      <c r="G102" s="9">
        <f t="shared" si="4"/>
        <v>98</v>
      </c>
      <c r="H102" s="25">
        <f t="shared" ref="H102:J102" si="112">IF($G102&lt;=$L$3,$M$3,IF($G102&lt;=$L$4,$M$4,IF($G102&lt;=$L$5,$M$5,IF($G102&lt;=$L$6,$M$6))))*LN($G102-IF($G102&lt;=$L$3,11,0))+IF($G102&lt;=$L$3,$N$3,IF($G102&lt;=$L$4,$N$4,IF($G102&lt;=$L$5,$N$5,IF($G102&lt;=$L$6,$N$6))))</f>
        <v>1.7144071141521437E-2</v>
      </c>
      <c r="I102" s="779">
        <f t="shared" si="112"/>
        <v>1.7144071141521437E-2</v>
      </c>
      <c r="J102" s="780">
        <f t="shared" si="112"/>
        <v>1.7144071141521437E-2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" customHeight="1" x14ac:dyDescent="0.2">
      <c r="A103" s="773">
        <v>1</v>
      </c>
      <c r="B103" s="774">
        <v>9</v>
      </c>
      <c r="C103" s="774">
        <v>5</v>
      </c>
      <c r="D103" s="774">
        <v>7.1140259999999997E-2</v>
      </c>
      <c r="E103" s="20">
        <f t="shared" si="0"/>
        <v>8</v>
      </c>
      <c r="F103" s="11"/>
      <c r="G103" s="9">
        <f t="shared" si="4"/>
        <v>99</v>
      </c>
      <c r="H103" s="25">
        <f t="shared" ref="H103:J103" si="113">IF($G103&lt;=$L$3,$M$3,IF($G103&lt;=$L$4,$M$4,IF($G103&lt;=$L$5,$M$5,IF($G103&lt;=$L$6,$M$6))))*LN($G103-IF($G103&lt;=$L$3,11,0))+IF($G103&lt;=$L$3,$N$3,IF($G103&lt;=$L$4,$N$4,IF($G103&lt;=$L$5,$N$5,IF($G103&lt;=$L$6,$N$6))))</f>
        <v>1.7011976605928819E-2</v>
      </c>
      <c r="I103" s="779">
        <f t="shared" si="113"/>
        <v>1.7011976605928819E-2</v>
      </c>
      <c r="J103" s="780">
        <f t="shared" si="113"/>
        <v>1.7011976605928819E-2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" customHeight="1" x14ac:dyDescent="0.2">
      <c r="A104" s="773">
        <v>1</v>
      </c>
      <c r="B104" s="774">
        <v>9</v>
      </c>
      <c r="C104" s="774">
        <v>6</v>
      </c>
      <c r="D104" s="774">
        <v>6.8860649999999995E-2</v>
      </c>
      <c r="E104" s="20">
        <f t="shared" si="0"/>
        <v>9</v>
      </c>
      <c r="F104" s="11"/>
      <c r="G104" s="9">
        <f t="shared" si="4"/>
        <v>100</v>
      </c>
      <c r="H104" s="25">
        <f t="shared" ref="H104:J104" si="114">IF($G104&lt;=$L$3,$M$3,IF($G104&lt;=$L$4,$M$4,IF($G104&lt;=$L$5,$M$5,IF($G104&lt;=$L$6,$M$6))))*LN($G104-IF($G104&lt;=$L$3,11,0))+IF($G104&lt;=$L$3,$N$3,IF($G104&lt;=$L$4,$N$4,IF($G104&lt;=$L$5,$N$5,IF($G104&lt;=$L$6,$N$6))))</f>
        <v>1.6881209676071728E-2</v>
      </c>
      <c r="I104" s="779">
        <f t="shared" si="114"/>
        <v>1.6881209676071728E-2</v>
      </c>
      <c r="J104" s="780">
        <f t="shared" si="114"/>
        <v>1.6881209676071728E-2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" customHeight="1" x14ac:dyDescent="0.2">
      <c r="A105" s="773">
        <v>1</v>
      </c>
      <c r="B105" s="774">
        <v>9</v>
      </c>
      <c r="C105" s="774">
        <v>7</v>
      </c>
      <c r="D105" s="774">
        <v>6.1381970000000001E-2</v>
      </c>
      <c r="E105" s="20">
        <f t="shared" si="0"/>
        <v>10</v>
      </c>
      <c r="F105" s="11"/>
      <c r="G105" s="9">
        <f t="shared" si="4"/>
        <v>101</v>
      </c>
      <c r="H105" s="25">
        <f t="shared" ref="H105:J105" si="115">IF($G105&lt;=$L$3,$M$3,IF($G105&lt;=$L$4,$M$4,IF($G105&lt;=$L$5,$M$5,IF($G105&lt;=$L$6,$M$6))))*LN($G105-IF($G105&lt;=$L$3,11,0))+IF($G105&lt;=$L$3,$N$3,IF($G105&lt;=$L$4,$N$4,IF($G105&lt;=$L$5,$N$5,IF($G105&lt;=$L$6,$N$6))))</f>
        <v>1.6751743931274994E-2</v>
      </c>
      <c r="I105" s="779">
        <f t="shared" si="115"/>
        <v>1.6751743931274994E-2</v>
      </c>
      <c r="J105" s="780">
        <f t="shared" si="115"/>
        <v>1.6751743931274994E-2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" customHeight="1" x14ac:dyDescent="0.2">
      <c r="A106" s="773">
        <v>1</v>
      </c>
      <c r="B106" s="774">
        <v>9</v>
      </c>
      <c r="C106" s="774">
        <v>8</v>
      </c>
      <c r="D106" s="774">
        <v>5.8918789999999999E-2</v>
      </c>
      <c r="E106" s="20">
        <f t="shared" si="0"/>
        <v>11</v>
      </c>
      <c r="F106" s="11"/>
      <c r="G106" s="9">
        <f t="shared" si="4"/>
        <v>102</v>
      </c>
      <c r="H106" s="25">
        <f t="shared" ref="H106:J106" si="116">IF($G106&lt;=$L$3,$M$3,IF($G106&lt;=$L$4,$M$4,IF($G106&lt;=$L$5,$M$5,IF($G106&lt;=$L$6,$M$6))))*LN($G106-IF($G106&lt;=$L$3,11,0))+IF($G106&lt;=$L$3,$N$3,IF($G106&lt;=$L$4,$N$4,IF($G106&lt;=$L$5,$N$5,IF($G106&lt;=$L$6,$N$6))))</f>
        <v>1.6623553731795686E-2</v>
      </c>
      <c r="I106" s="779">
        <f t="shared" si="116"/>
        <v>1.6623553731795686E-2</v>
      </c>
      <c r="J106" s="780">
        <f t="shared" si="116"/>
        <v>1.6623553731795686E-2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" customHeight="1" x14ac:dyDescent="0.2">
      <c r="A107" s="773">
        <v>1</v>
      </c>
      <c r="B107" s="774">
        <v>9</v>
      </c>
      <c r="C107" s="774">
        <v>9</v>
      </c>
      <c r="D107" s="774">
        <v>4.2830180000000002E-2</v>
      </c>
      <c r="E107" s="20">
        <f t="shared" si="0"/>
        <v>0</v>
      </c>
      <c r="F107" s="11"/>
      <c r="G107" s="9">
        <f t="shared" si="4"/>
        <v>103</v>
      </c>
      <c r="H107" s="25">
        <f t="shared" ref="H107:J107" si="117">IF($G107&lt;=$L$3,$M$3,IF($G107&lt;=$L$4,$M$4,IF($G107&lt;=$L$5,$M$5,IF($G107&lt;=$L$6,$M$6))))*LN($G107-IF($G107&lt;=$L$3,11,0))+IF($G107&lt;=$L$3,$N$3,IF($G107&lt;=$L$4,$N$4,IF($G107&lt;=$L$5,$N$5,IF($G107&lt;=$L$6,$N$6))))</f>
        <v>1.6496614188346553E-2</v>
      </c>
      <c r="I107" s="779">
        <f t="shared" si="117"/>
        <v>1.6496614188346553E-2</v>
      </c>
      <c r="J107" s="780">
        <f t="shared" si="117"/>
        <v>1.6496614188346553E-2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" customHeight="1" x14ac:dyDescent="0.2">
      <c r="A108" s="773">
        <v>1</v>
      </c>
      <c r="B108" s="774">
        <v>9</v>
      </c>
      <c r="C108" s="774">
        <v>10</v>
      </c>
      <c r="D108" s="774">
        <v>0.13932800000000001</v>
      </c>
      <c r="E108" s="20">
        <f t="shared" si="0"/>
        <v>1</v>
      </c>
      <c r="F108" s="11"/>
      <c r="G108" s="9">
        <f t="shared" si="4"/>
        <v>104</v>
      </c>
      <c r="H108" s="25">
        <f t="shared" ref="H108:J108" si="118">IF($G108&lt;=$L$3,$M$3,IF($G108&lt;=$L$4,$M$4,IF($G108&lt;=$L$5,$M$5,IF($G108&lt;=$L$6,$M$6))))*LN($G108-IF($G108&lt;=$L$3,11,0))+IF($G108&lt;=$L$3,$N$3,IF($G108&lt;=$L$4,$N$4,IF($G108&lt;=$L$5,$N$5,IF($G108&lt;=$L$6,$N$6))))</f>
        <v>1.6370901133091767E-2</v>
      </c>
      <c r="I108" s="779">
        <f t="shared" si="118"/>
        <v>1.6370901133091767E-2</v>
      </c>
      <c r="J108" s="780">
        <f t="shared" si="118"/>
        <v>1.6370901133091767E-2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" customHeight="1" x14ac:dyDescent="0.2">
      <c r="A109" s="773">
        <v>1</v>
      </c>
      <c r="B109" s="774">
        <v>9</v>
      </c>
      <c r="C109" s="774">
        <v>11</v>
      </c>
      <c r="D109" s="774">
        <v>0.1001783</v>
      </c>
      <c r="E109" s="20">
        <f t="shared" si="0"/>
        <v>2</v>
      </c>
      <c r="F109" s="11"/>
      <c r="G109" s="9">
        <f t="shared" si="4"/>
        <v>105</v>
      </c>
      <c r="H109" s="25">
        <f t="shared" ref="H109:J109" si="119">IF($G109&lt;=$L$3,$M$3,IF($G109&lt;=$L$4,$M$4,IF($G109&lt;=$L$5,$M$5,IF($G109&lt;=$L$6,$M$6))))*LN($G109-IF($G109&lt;=$L$3,11,0))+IF($G109&lt;=$L$3,$N$3,IF($G109&lt;=$L$4,$N$4,IF($G109&lt;=$L$5,$N$5,IF($G109&lt;=$L$6,$N$6))))</f>
        <v>1.6246391092030424E-2</v>
      </c>
      <c r="I109" s="779">
        <f t="shared" si="119"/>
        <v>1.6246391092030424E-2</v>
      </c>
      <c r="J109" s="780">
        <f t="shared" si="119"/>
        <v>1.6246391092030424E-2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" customHeight="1" x14ac:dyDescent="0.2">
      <c r="A110" s="773">
        <v>1</v>
      </c>
      <c r="B110" s="774">
        <v>9</v>
      </c>
      <c r="C110" s="774">
        <v>12</v>
      </c>
      <c r="D110" s="774">
        <v>8.7787779999999996E-2</v>
      </c>
      <c r="E110" s="20">
        <f t="shared" si="0"/>
        <v>3</v>
      </c>
      <c r="F110" s="11"/>
      <c r="G110" s="9">
        <f t="shared" si="4"/>
        <v>106</v>
      </c>
      <c r="H110" s="25">
        <f t="shared" ref="H110:J110" si="120">IF($G110&lt;=$L$3,$M$3,IF($G110&lt;=$L$4,$M$4,IF($G110&lt;=$L$5,$M$5,IF($G110&lt;=$L$6,$M$6))))*LN($G110-IF($G110&lt;=$L$3,11,0))+IF($G110&lt;=$L$3,$N$3,IF($G110&lt;=$L$4,$N$4,IF($G110&lt;=$L$5,$N$5,IF($G110&lt;=$L$6,$N$6))))</f>
        <v>1.6123061258689064E-2</v>
      </c>
      <c r="I110" s="779">
        <f t="shared" si="120"/>
        <v>1.6123061258689064E-2</v>
      </c>
      <c r="J110" s="780">
        <f t="shared" si="120"/>
        <v>1.6123061258689064E-2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" customHeight="1" x14ac:dyDescent="0.2">
      <c r="A111" s="773">
        <v>1</v>
      </c>
      <c r="B111" s="774">
        <v>10</v>
      </c>
      <c r="C111" s="774">
        <v>1</v>
      </c>
      <c r="D111" s="774">
        <v>7.911957E-2</v>
      </c>
      <c r="E111" s="20">
        <f t="shared" si="0"/>
        <v>3</v>
      </c>
      <c r="F111" s="11"/>
      <c r="G111" s="9">
        <f t="shared" si="4"/>
        <v>107</v>
      </c>
      <c r="H111" s="25">
        <f t="shared" ref="H111:J111" si="121">IF($G111&lt;=$L$3,$M$3,IF($G111&lt;=$L$4,$M$4,IF($G111&lt;=$L$5,$M$5,IF($G111&lt;=$L$6,$M$6))))*LN($G111-IF($G111&lt;=$L$3,11,0))+IF($G111&lt;=$L$3,$N$3,IF($G111&lt;=$L$4,$N$4,IF($G111&lt;=$L$5,$N$5,IF($G111&lt;=$L$6,$N$6))))</f>
        <v>1.6000889469049241E-2</v>
      </c>
      <c r="I111" s="779">
        <f t="shared" si="121"/>
        <v>1.6000889469049241E-2</v>
      </c>
      <c r="J111" s="780">
        <f t="shared" si="121"/>
        <v>1.6000889469049241E-2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" customHeight="1" x14ac:dyDescent="0.2">
      <c r="A112" s="773">
        <v>1</v>
      </c>
      <c r="B112" s="774">
        <v>10</v>
      </c>
      <c r="C112" s="774">
        <v>2</v>
      </c>
      <c r="D112" s="774">
        <v>8.0403219999999997E-2</v>
      </c>
      <c r="E112" s="20">
        <f t="shared" si="0"/>
        <v>4</v>
      </c>
      <c r="F112" s="11"/>
      <c r="G112" s="9">
        <f t="shared" si="4"/>
        <v>108</v>
      </c>
      <c r="H112" s="25">
        <f t="shared" ref="H112:J112" si="122">IF($G112&lt;=$L$3,$M$3,IF($G112&lt;=$L$4,$M$4,IF($G112&lt;=$L$5,$M$5,IF($G112&lt;=$L$6,$M$6))))*LN($G112-IF($G112&lt;=$L$3,11,0))+IF($G112&lt;=$L$3,$N$3,IF($G112&lt;=$L$4,$N$4,IF($G112&lt;=$L$5,$N$5,IF($G112&lt;=$L$6,$N$6))))</f>
        <v>1.5879854177641338E-2</v>
      </c>
      <c r="I112" s="779">
        <f t="shared" si="122"/>
        <v>1.5879854177641338E-2</v>
      </c>
      <c r="J112" s="780">
        <f t="shared" si="122"/>
        <v>1.5879854177641338E-2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" customHeight="1" x14ac:dyDescent="0.2">
      <c r="A113" s="773">
        <v>1</v>
      </c>
      <c r="B113" s="774">
        <v>10</v>
      </c>
      <c r="C113" s="774">
        <v>3</v>
      </c>
      <c r="D113" s="774">
        <v>8.3362580000000006E-2</v>
      </c>
      <c r="E113" s="20">
        <f t="shared" si="0"/>
        <v>5</v>
      </c>
      <c r="F113" s="11"/>
      <c r="G113" s="9">
        <f t="shared" si="4"/>
        <v>109</v>
      </c>
      <c r="H113" s="25">
        <f t="shared" ref="H113:J113" si="123">IF($G113&lt;=$L$3,$M$3,IF($G113&lt;=$L$4,$M$4,IF($G113&lt;=$L$5,$M$5,IF($G113&lt;=$L$6,$M$6))))*LN($G113-IF($G113&lt;=$L$3,11,0))+IF($G113&lt;=$L$3,$N$3,IF($G113&lt;=$L$4,$N$4,IF($G113&lt;=$L$5,$N$5,IF($G113&lt;=$L$6,$N$6))))</f>
        <v>1.5759934434740157E-2</v>
      </c>
      <c r="I113" s="779">
        <f t="shared" si="123"/>
        <v>1.5759934434740157E-2</v>
      </c>
      <c r="J113" s="780">
        <f t="shared" si="123"/>
        <v>1.5759934434740157E-2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" customHeight="1" x14ac:dyDescent="0.2">
      <c r="A114" s="773">
        <v>1</v>
      </c>
      <c r="B114" s="774">
        <v>10</v>
      </c>
      <c r="C114" s="774">
        <v>4</v>
      </c>
      <c r="D114" s="774">
        <v>8.9820940000000002E-2</v>
      </c>
      <c r="E114" s="20">
        <f t="shared" si="0"/>
        <v>6</v>
      </c>
      <c r="F114" s="11"/>
      <c r="G114" s="9">
        <f t="shared" si="4"/>
        <v>110</v>
      </c>
      <c r="H114" s="25">
        <f t="shared" ref="H114:J114" si="124">IF($G114&lt;=$L$3,$M$3,IF($G114&lt;=$L$4,$M$4,IF($G114&lt;=$L$5,$M$5,IF($G114&lt;=$L$6,$M$6))))*LN($G114-IF($G114&lt;=$L$3,11,0))+IF($G114&lt;=$L$3,$N$3,IF($G114&lt;=$L$4,$N$4,IF($G114&lt;=$L$5,$N$5,IF($G114&lt;=$L$6,$N$6))))</f>
        <v>1.5641109864601703E-2</v>
      </c>
      <c r="I114" s="779">
        <f t="shared" si="124"/>
        <v>1.5641109864601703E-2</v>
      </c>
      <c r="J114" s="780">
        <f t="shared" si="124"/>
        <v>1.5641109864601703E-2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" customHeight="1" x14ac:dyDescent="0.2">
      <c r="A115" s="773">
        <v>1</v>
      </c>
      <c r="B115" s="774">
        <v>10</v>
      </c>
      <c r="C115" s="774">
        <v>5</v>
      </c>
      <c r="D115" s="774">
        <v>7.7529979999999998E-2</v>
      </c>
      <c r="E115" s="20">
        <f t="shared" si="0"/>
        <v>7</v>
      </c>
      <c r="F115" s="11"/>
      <c r="G115" s="9">
        <f t="shared" si="4"/>
        <v>111</v>
      </c>
      <c r="H115" s="25">
        <f t="shared" ref="H115:J115" si="125">IF($G115&lt;=$L$3,$M$3,IF($G115&lt;=$L$4,$M$4,IF($G115&lt;=$L$5,$M$5,IF($G115&lt;=$L$6,$M$6))))*LN($G115-IF($G115&lt;=$L$3,11,0))+IF($G115&lt;=$L$3,$N$3,IF($G115&lt;=$L$4,$N$4,IF($G115&lt;=$L$5,$N$5,IF($G115&lt;=$L$6,$N$6))))</f>
        <v>1.5523360644684951E-2</v>
      </c>
      <c r="I115" s="779">
        <f t="shared" si="125"/>
        <v>1.5523360644684951E-2</v>
      </c>
      <c r="J115" s="780">
        <f t="shared" si="125"/>
        <v>1.5523360644684951E-2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" customHeight="1" x14ac:dyDescent="0.2">
      <c r="A116" s="773">
        <v>1</v>
      </c>
      <c r="B116" s="774">
        <v>10</v>
      </c>
      <c r="C116" s="774">
        <v>6</v>
      </c>
      <c r="D116" s="774">
        <v>6.8028759999999994E-2</v>
      </c>
      <c r="E116" s="20">
        <f t="shared" si="0"/>
        <v>8</v>
      </c>
      <c r="F116" s="11"/>
      <c r="G116" s="9">
        <f t="shared" si="4"/>
        <v>112</v>
      </c>
      <c r="H116" s="25">
        <f t="shared" ref="H116:J116" si="126">IF($G116&lt;=$L$3,$M$3,IF($G116&lt;=$L$4,$M$4,IF($G116&lt;=$L$5,$M$5,IF($G116&lt;=$L$6,$M$6))))*LN($G116-IF($G116&lt;=$L$3,11,0))+IF($G116&lt;=$L$3,$N$3,IF($G116&lt;=$L$4,$N$4,IF($G116&lt;=$L$5,$N$5,IF($G116&lt;=$L$6,$N$6))))</f>
        <v>1.5406667485805263E-2</v>
      </c>
      <c r="I116" s="779">
        <f t="shared" si="126"/>
        <v>1.5406667485805263E-2</v>
      </c>
      <c r="J116" s="780">
        <f t="shared" si="126"/>
        <v>1.5406667485805263E-2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" customHeight="1" x14ac:dyDescent="0.2">
      <c r="A117" s="773">
        <v>1</v>
      </c>
      <c r="B117" s="774">
        <v>10</v>
      </c>
      <c r="C117" s="774">
        <v>7</v>
      </c>
      <c r="D117" s="774">
        <v>6.3840220000000003E-2</v>
      </c>
      <c r="E117" s="20">
        <f t="shared" si="0"/>
        <v>9</v>
      </c>
      <c r="F117" s="11"/>
      <c r="G117" s="9">
        <f t="shared" si="4"/>
        <v>113</v>
      </c>
      <c r="H117" s="25">
        <f t="shared" ref="H117:J117" si="127">IF($G117&lt;=$L$3,$M$3,IF($G117&lt;=$L$4,$M$4,IF($G117&lt;=$L$5,$M$5,IF($G117&lt;=$L$6,$M$6))))*LN($G117-IF($G117&lt;=$L$3,11,0))+IF($G117&lt;=$L$3,$N$3,IF($G117&lt;=$L$4,$N$4,IF($G117&lt;=$L$5,$N$5,IF($G117&lt;=$L$6,$N$6))))</f>
        <v>1.529101161316998E-2</v>
      </c>
      <c r="I117" s="779">
        <f t="shared" si="127"/>
        <v>1.529101161316998E-2</v>
      </c>
      <c r="J117" s="780">
        <f t="shared" si="127"/>
        <v>1.529101161316998E-2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" customHeight="1" x14ac:dyDescent="0.2">
      <c r="A118" s="773">
        <v>1</v>
      </c>
      <c r="B118" s="774">
        <v>10</v>
      </c>
      <c r="C118" s="774">
        <v>8</v>
      </c>
      <c r="D118" s="774">
        <v>6.5941269999999996E-2</v>
      </c>
      <c r="E118" s="20">
        <f t="shared" si="0"/>
        <v>10</v>
      </c>
      <c r="F118" s="11"/>
      <c r="G118" s="9">
        <f t="shared" si="4"/>
        <v>114</v>
      </c>
      <c r="H118" s="25">
        <f t="shared" ref="H118:J118" si="128">IF($G118&lt;=$L$3,$M$3,IF($G118&lt;=$L$4,$M$4,IF($G118&lt;=$L$5,$M$5,IF($G118&lt;=$L$6,$M$6))))*LN($G118-IF($G118&lt;=$L$3,11,0))+IF($G118&lt;=$L$3,$N$3,IF($G118&lt;=$L$4,$N$4,IF($G118&lt;=$L$5,$N$5,IF($G118&lt;=$L$6,$N$6))))</f>
        <v>1.5176374748249531E-2</v>
      </c>
      <c r="I118" s="779">
        <f t="shared" si="128"/>
        <v>1.5176374748249531E-2</v>
      </c>
      <c r="J118" s="780">
        <f t="shared" si="128"/>
        <v>1.5176374748249531E-2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" customHeight="1" x14ac:dyDescent="0.2">
      <c r="A119" s="773">
        <v>1</v>
      </c>
      <c r="B119" s="774">
        <v>10</v>
      </c>
      <c r="C119" s="774">
        <v>9</v>
      </c>
      <c r="D119" s="774">
        <v>6.4460390000000006E-2</v>
      </c>
      <c r="E119" s="20">
        <f t="shared" si="0"/>
        <v>11</v>
      </c>
      <c r="F119" s="11"/>
      <c r="G119" s="9">
        <f t="shared" si="4"/>
        <v>115</v>
      </c>
      <c r="H119" s="25">
        <f t="shared" ref="H119:J119" si="129">IF($G119&lt;=$L$3,$M$3,IF($G119&lt;=$L$4,$M$4,IF($G119&lt;=$L$5,$M$5,IF($G119&lt;=$L$6,$M$6))))*LN($G119-IF($G119&lt;=$L$3,11,0))+IF($G119&lt;=$L$3,$N$3,IF($G119&lt;=$L$4,$N$4,IF($G119&lt;=$L$5,$N$5,IF($G119&lt;=$L$6,$N$6))))</f>
        <v>1.5062739091440069E-2</v>
      </c>
      <c r="I119" s="779">
        <f t="shared" si="129"/>
        <v>1.5062739091440069E-2</v>
      </c>
      <c r="J119" s="780">
        <f t="shared" si="129"/>
        <v>1.5062739091440069E-2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" customHeight="1" x14ac:dyDescent="0.2">
      <c r="A120" s="773">
        <v>1</v>
      </c>
      <c r="B120" s="774">
        <v>10</v>
      </c>
      <c r="C120" s="774">
        <v>10</v>
      </c>
      <c r="D120" s="774">
        <v>3.4552279999999998E-2</v>
      </c>
      <c r="E120" s="20">
        <f t="shared" si="0"/>
        <v>0</v>
      </c>
      <c r="F120" s="11"/>
      <c r="G120" s="9">
        <f t="shared" si="4"/>
        <v>116</v>
      </c>
      <c r="H120" s="25">
        <f t="shared" ref="H120:J120" si="130">IF($G120&lt;=$L$3,$M$3,IF($G120&lt;=$L$4,$M$4,IF($G120&lt;=$L$5,$M$5,IF($G120&lt;=$L$6,$M$6))))*LN($G120-IF($G120&lt;=$L$3,11,0))+IF($G120&lt;=$L$3,$N$3,IF($G120&lt;=$L$4,$N$4,IF($G120&lt;=$L$5,$N$5,IF($G120&lt;=$L$6,$N$6))))</f>
        <v>1.495008730547686E-2</v>
      </c>
      <c r="I120" s="779">
        <f t="shared" si="130"/>
        <v>1.495008730547686E-2</v>
      </c>
      <c r="J120" s="780">
        <f t="shared" si="130"/>
        <v>1.495008730547686E-2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" customHeight="1" x14ac:dyDescent="0.2">
      <c r="A121" s="773">
        <v>1</v>
      </c>
      <c r="B121" s="774">
        <v>10</v>
      </c>
      <c r="C121" s="774">
        <v>11</v>
      </c>
      <c r="D121" s="774">
        <v>0.12453359999999999</v>
      </c>
      <c r="E121" s="20">
        <f t="shared" si="0"/>
        <v>1</v>
      </c>
      <c r="F121" s="11"/>
      <c r="G121" s="9">
        <f t="shared" si="4"/>
        <v>117</v>
      </c>
      <c r="H121" s="25">
        <f t="shared" ref="H121:J121" si="131">IF($G121&lt;=$L$3,$M$3,IF($G121&lt;=$L$4,$M$4,IF($G121&lt;=$L$5,$M$5,IF($G121&lt;=$L$6,$M$6))))*LN($G121-IF($G121&lt;=$L$3,11,0))+IF($G121&lt;=$L$3,$N$3,IF($G121&lt;=$L$4,$N$4,IF($G121&lt;=$L$5,$N$5,IF($G121&lt;=$L$6,$N$6))))</f>
        <v>1.4838402499559422E-2</v>
      </c>
      <c r="I121" s="779">
        <f t="shared" si="131"/>
        <v>1.4838402499559422E-2</v>
      </c>
      <c r="J121" s="780">
        <f t="shared" si="131"/>
        <v>1.4838402499559422E-2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" customHeight="1" x14ac:dyDescent="0.2">
      <c r="A122" s="773">
        <v>1</v>
      </c>
      <c r="B122" s="774">
        <v>10</v>
      </c>
      <c r="C122" s="774">
        <v>12</v>
      </c>
      <c r="D122" s="774">
        <v>0.10137450000000001</v>
      </c>
      <c r="E122" s="20">
        <f t="shared" si="0"/>
        <v>2</v>
      </c>
      <c r="F122" s="11"/>
      <c r="G122" s="9">
        <f t="shared" si="4"/>
        <v>118</v>
      </c>
      <c r="H122" s="25">
        <f t="shared" ref="H122:J122" si="132">IF($G122&lt;=$L$3,$M$3,IF($G122&lt;=$L$4,$M$4,IF($G122&lt;=$L$5,$M$5,IF($G122&lt;=$L$6,$M$6))))*LN($G122-IF($G122&lt;=$L$3,11,0))+IF($G122&lt;=$L$3,$N$3,IF($G122&lt;=$L$4,$N$4,IF($G122&lt;=$L$5,$N$5,IF($G122&lt;=$L$6,$N$6))))</f>
        <v>1.4727668214152327E-2</v>
      </c>
      <c r="I122" s="779">
        <f t="shared" si="132"/>
        <v>1.4727668214152327E-2</v>
      </c>
      <c r="J122" s="780">
        <f t="shared" si="132"/>
        <v>1.4727668214152327E-2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" customHeight="1" x14ac:dyDescent="0.2">
      <c r="A123" s="773">
        <v>1</v>
      </c>
      <c r="B123" s="774">
        <v>11</v>
      </c>
      <c r="C123" s="774">
        <v>1</v>
      </c>
      <c r="D123" s="774">
        <v>9.0794799999999995E-2</v>
      </c>
      <c r="E123" s="20">
        <f t="shared" si="0"/>
        <v>2</v>
      </c>
      <c r="F123" s="11"/>
      <c r="G123" s="9">
        <f t="shared" si="4"/>
        <v>119</v>
      </c>
      <c r="H123" s="25">
        <f t="shared" ref="H123:J123" si="133">IF($G123&lt;=$L$3,$M$3,IF($G123&lt;=$L$4,$M$4,IF($G123&lt;=$L$5,$M$5,IF($G123&lt;=$L$6,$M$6))))*LN($G123-IF($G123&lt;=$L$3,11,0))+IF($G123&lt;=$L$3,$N$3,IF($G123&lt;=$L$4,$N$4,IF($G123&lt;=$L$5,$N$5,IF($G123&lt;=$L$6,$N$6))))</f>
        <v>1.4617868406427259E-2</v>
      </c>
      <c r="I123" s="779">
        <f t="shared" si="133"/>
        <v>1.4617868406427259E-2</v>
      </c>
      <c r="J123" s="780">
        <f t="shared" si="133"/>
        <v>1.4617868406427259E-2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" customHeight="1" x14ac:dyDescent="0.2">
      <c r="A124" s="773">
        <v>1</v>
      </c>
      <c r="B124" s="774">
        <v>11</v>
      </c>
      <c r="C124" s="774">
        <v>2</v>
      </c>
      <c r="D124" s="774">
        <v>7.7518779999999995E-2</v>
      </c>
      <c r="E124" s="20">
        <f t="shared" si="0"/>
        <v>3</v>
      </c>
      <c r="F124" s="11"/>
      <c r="G124" s="9">
        <f t="shared" si="4"/>
        <v>120</v>
      </c>
      <c r="H124" s="25">
        <f t="shared" ref="H124:J124" si="134">IF($G124&lt;=$L$3,$M$3,IF($G124&lt;=$L$4,$M$4,IF($G124&lt;=$L$5,$M$5,IF($G124&lt;=$L$6,$M$6))))*LN($G124-IF($G124&lt;=$L$3,11,0))+IF($G124&lt;=$L$3,$N$3,IF($G124&lt;=$L$4,$N$4,IF($G124&lt;=$L$5,$N$5,IF($G124&lt;=$L$6,$N$6))))</f>
        <v>1.4508987436314236E-2</v>
      </c>
      <c r="I124" s="779">
        <f t="shared" si="134"/>
        <v>1.4508987436314236E-2</v>
      </c>
      <c r="J124" s="780">
        <f t="shared" si="134"/>
        <v>1.4508987436314236E-2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" customHeight="1" x14ac:dyDescent="0.2">
      <c r="A125" s="773">
        <v>1</v>
      </c>
      <c r="B125" s="774">
        <v>11</v>
      </c>
      <c r="C125" s="774">
        <v>3</v>
      </c>
      <c r="D125" s="774">
        <v>8.9049639999999999E-2</v>
      </c>
      <c r="E125" s="20">
        <f t="shared" si="0"/>
        <v>4</v>
      </c>
      <c r="F125" s="11"/>
      <c r="G125" s="9">
        <f t="shared" si="4"/>
        <v>121</v>
      </c>
      <c r="H125" s="25">
        <f t="shared" ref="H125:J125" si="135">IF($G125&lt;=$L$3,$M$3,IF($G125&lt;=$L$4,$M$4,IF($G125&lt;=$L$5,$M$5,IF($G125&lt;=$L$6,$M$6))))*LN($G125-IF($G125&lt;=$L$3,11,0))+IF($G125&lt;=$L$3,$N$3,IF($G125&lt;=$L$4,$N$4,IF($G125&lt;=$L$5,$N$5,IF($G125&lt;=$L$6,$N$6))))</f>
        <v>1.4401010053131671E-2</v>
      </c>
      <c r="I125" s="779">
        <f t="shared" si="135"/>
        <v>1.4401010053131671E-2</v>
      </c>
      <c r="J125" s="780">
        <f t="shared" si="135"/>
        <v>1.4401010053131671E-2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" customHeight="1" x14ac:dyDescent="0.2">
      <c r="A126" s="773">
        <v>1</v>
      </c>
      <c r="B126" s="774">
        <v>11</v>
      </c>
      <c r="C126" s="774">
        <v>4</v>
      </c>
      <c r="D126" s="774">
        <v>7.8709210000000002E-2</v>
      </c>
      <c r="E126" s="20">
        <f t="shared" si="0"/>
        <v>5</v>
      </c>
      <c r="F126" s="11"/>
      <c r="G126" s="9">
        <f t="shared" si="4"/>
        <v>122</v>
      </c>
      <c r="H126" s="25">
        <f t="shared" ref="H126:J126" si="136">IF($G126&lt;=$L$3,$M$3,IF($G126&lt;=$L$4,$M$4,IF($G126&lt;=$L$5,$M$5,IF($G126&lt;=$L$6,$M$6))))*LN($G126-IF($G126&lt;=$L$3,11,0))+IF($G126&lt;=$L$3,$N$3,IF($G126&lt;=$L$4,$N$4,IF($G126&lt;=$L$5,$N$5,IF($G126&lt;=$L$6,$N$6))))</f>
        <v>1.4293921382766639E-2</v>
      </c>
      <c r="I126" s="779">
        <f t="shared" si="136"/>
        <v>1.4293921382766639E-2</v>
      </c>
      <c r="J126" s="780">
        <f t="shared" si="136"/>
        <v>1.4293921382766639E-2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" customHeight="1" x14ac:dyDescent="0.2">
      <c r="A127" s="773">
        <v>1</v>
      </c>
      <c r="B127" s="774">
        <v>11</v>
      </c>
      <c r="C127" s="774">
        <v>5</v>
      </c>
      <c r="D127" s="774">
        <v>8.3498810000000007E-2</v>
      </c>
      <c r="E127" s="20">
        <f t="shared" si="0"/>
        <v>6</v>
      </c>
      <c r="F127" s="11"/>
      <c r="G127" s="9">
        <f t="shared" si="4"/>
        <v>123</v>
      </c>
      <c r="H127" s="25">
        <f t="shared" ref="H127:J127" si="137">IF($G127&lt;=$L$3,$M$3,IF($G127&lt;=$L$4,$M$4,IF($G127&lt;=$L$5,$M$5,IF($G127&lt;=$L$6,$M$6))))*LN($G127-IF($G127&lt;=$L$3,11,0))+IF($G127&lt;=$L$3,$N$3,IF($G127&lt;=$L$4,$N$4,IF($G127&lt;=$L$5,$N$5,IF($G127&lt;=$L$6,$N$6))))</f>
        <v>1.4187706915378392E-2</v>
      </c>
      <c r="I127" s="779">
        <f t="shared" si="137"/>
        <v>1.4187706915378392E-2</v>
      </c>
      <c r="J127" s="780">
        <f t="shared" si="137"/>
        <v>1.4187706915378392E-2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" customHeight="1" x14ac:dyDescent="0.2">
      <c r="A128" s="773">
        <v>1</v>
      </c>
      <c r="B128" s="774">
        <v>11</v>
      </c>
      <c r="C128" s="774">
        <v>6</v>
      </c>
      <c r="D128" s="774">
        <v>7.0855909999999994E-2</v>
      </c>
      <c r="E128" s="20">
        <f t="shared" si="0"/>
        <v>7</v>
      </c>
      <c r="F128" s="11"/>
      <c r="G128" s="9">
        <f t="shared" si="4"/>
        <v>124</v>
      </c>
      <c r="H128" s="25">
        <f t="shared" ref="H128:J128" si="138">IF($G128&lt;=$L$3,$M$3,IF($G128&lt;=$L$4,$M$4,IF($G128&lt;=$L$5,$M$5,IF($G128&lt;=$L$6,$M$6))))*LN($G128-IF($G128&lt;=$L$3,11,0))+IF($G128&lt;=$L$3,$N$3,IF($G128&lt;=$L$4,$N$4,IF($G128&lt;=$L$5,$N$5,IF($G128&lt;=$L$6,$N$6))))</f>
        <v>1.4082352493599737E-2</v>
      </c>
      <c r="I128" s="779">
        <f t="shared" si="138"/>
        <v>1.4082352493599737E-2</v>
      </c>
      <c r="J128" s="780">
        <f t="shared" si="138"/>
        <v>1.4082352493599737E-2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" customHeight="1" x14ac:dyDescent="0.2">
      <c r="A129" s="773">
        <v>1</v>
      </c>
      <c r="B129" s="774">
        <v>11</v>
      </c>
      <c r="C129" s="774">
        <v>7</v>
      </c>
      <c r="D129" s="774">
        <v>6.8844810000000006E-2</v>
      </c>
      <c r="E129" s="20">
        <f t="shared" si="0"/>
        <v>8</v>
      </c>
      <c r="F129" s="11"/>
      <c r="G129" s="9">
        <f t="shared" si="4"/>
        <v>125</v>
      </c>
      <c r="H129" s="25">
        <f t="shared" ref="H129:J129" si="139">IF($G129&lt;=$L$3,$M$3,IF($G129&lt;=$L$4,$M$4,IF($G129&lt;=$L$5,$M$5,IF($G129&lt;=$L$6,$M$6))))*LN($G129-IF($G129&lt;=$L$3,11,0))+IF($G129&lt;=$L$3,$N$3,IF($G129&lt;=$L$4,$N$4,IF($G129&lt;=$L$5,$N$5,IF($G129&lt;=$L$6,$N$6))))</f>
        <v>1.397784430121228E-2</v>
      </c>
      <c r="I129" s="779">
        <f t="shared" si="139"/>
        <v>1.397784430121228E-2</v>
      </c>
      <c r="J129" s="780">
        <f t="shared" si="139"/>
        <v>1.397784430121228E-2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" customHeight="1" x14ac:dyDescent="0.2">
      <c r="A130" s="773">
        <v>1</v>
      </c>
      <c r="B130" s="774">
        <v>11</v>
      </c>
      <c r="C130" s="774">
        <v>8</v>
      </c>
      <c r="D130" s="774">
        <v>6.8047709999999997E-2</v>
      </c>
      <c r="E130" s="20">
        <f t="shared" si="0"/>
        <v>9</v>
      </c>
      <c r="F130" s="11"/>
      <c r="G130" s="9">
        <f t="shared" si="4"/>
        <v>126</v>
      </c>
      <c r="H130" s="25">
        <f t="shared" ref="H130:J130" si="140">IF($G130&lt;=$L$3,$M$3,IF($G130&lt;=$L$4,$M$4,IF($G130&lt;=$L$5,$M$5,IF($G130&lt;=$L$6,$M$6))))*LN($G130-IF($G130&lt;=$L$3,11,0))+IF($G130&lt;=$L$3,$N$3,IF($G130&lt;=$L$4,$N$4,IF($G130&lt;=$L$5,$N$5,IF($G130&lt;=$L$6,$N$6))))</f>
        <v>1.3874168852272925E-2</v>
      </c>
      <c r="I130" s="779">
        <f t="shared" si="140"/>
        <v>1.3874168852272925E-2</v>
      </c>
      <c r="J130" s="780">
        <f t="shared" si="140"/>
        <v>1.3874168852272925E-2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" customHeight="1" x14ac:dyDescent="0.2">
      <c r="A131" s="773">
        <v>1</v>
      </c>
      <c r="B131" s="774">
        <v>11</v>
      </c>
      <c r="C131" s="774">
        <v>9</v>
      </c>
      <c r="D131" s="774">
        <v>5.6397900000000001E-2</v>
      </c>
      <c r="E131" s="20">
        <f t="shared" si="0"/>
        <v>10</v>
      </c>
      <c r="F131" s="11"/>
      <c r="G131" s="9">
        <f t="shared" si="4"/>
        <v>127</v>
      </c>
      <c r="H131" s="25">
        <f t="shared" ref="H131:J131" si="141">IF($G131&lt;=$L$3,$M$3,IF($G131&lt;=$L$4,$M$4,IF($G131&lt;=$L$5,$M$5,IF($G131&lt;=$L$6,$M$6))))*LN($G131-IF($G131&lt;=$L$3,11,0))+IF($G131&lt;=$L$3,$N$3,IF($G131&lt;=$L$4,$N$4,IF($G131&lt;=$L$5,$N$5,IF($G131&lt;=$L$6,$N$6))))</f>
        <v>1.377131298066997E-2</v>
      </c>
      <c r="I131" s="779">
        <f t="shared" si="141"/>
        <v>1.377131298066997E-2</v>
      </c>
      <c r="J131" s="780">
        <f t="shared" si="141"/>
        <v>1.377131298066997E-2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" customHeight="1" x14ac:dyDescent="0.2">
      <c r="A132" s="773">
        <v>1</v>
      </c>
      <c r="B132" s="774">
        <v>11</v>
      </c>
      <c r="C132" s="774">
        <v>10</v>
      </c>
      <c r="D132" s="774">
        <v>5.7039930000000003E-2</v>
      </c>
      <c r="E132" s="20">
        <f t="shared" si="0"/>
        <v>11</v>
      </c>
      <c r="F132" s="11"/>
      <c r="G132" s="9">
        <f t="shared" si="4"/>
        <v>128</v>
      </c>
      <c r="H132" s="25">
        <f t="shared" ref="H132:J132" si="142">IF($G132&lt;=$L$3,$M$3,IF($G132&lt;=$L$4,$M$4,IF($G132&lt;=$L$5,$M$5,IF($G132&lt;=$L$6,$M$6))))*LN($G132-IF($G132&lt;=$L$3,11,0))+IF($G132&lt;=$L$3,$N$3,IF($G132&lt;=$L$4,$N$4,IF($G132&lt;=$L$5,$N$5,IF($G132&lt;=$L$6,$N$6))))</f>
        <v>1.3669263830089068E-2</v>
      </c>
      <c r="I132" s="779">
        <f t="shared" si="142"/>
        <v>1.3669263830089068E-2</v>
      </c>
      <c r="J132" s="780">
        <f t="shared" si="142"/>
        <v>1.3669263830089068E-2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" customHeight="1" x14ac:dyDescent="0.2">
      <c r="A133" s="773">
        <v>1</v>
      </c>
      <c r="B133" s="774">
        <v>11</v>
      </c>
      <c r="C133" s="774">
        <v>11</v>
      </c>
      <c r="D133" s="774">
        <v>2.687403E-2</v>
      </c>
      <c r="E133" s="20">
        <f t="shared" si="0"/>
        <v>0</v>
      </c>
      <c r="F133" s="11"/>
      <c r="G133" s="9">
        <f t="shared" si="4"/>
        <v>129</v>
      </c>
      <c r="H133" s="25">
        <f t="shared" ref="H133:J133" si="143">IF($G133&lt;=$L$3,$M$3,IF($G133&lt;=$L$4,$M$4,IF($G133&lt;=$L$5,$M$5,IF($G133&lt;=$L$6,$M$6))))*LN($G133-IF($G133&lt;=$L$3,11,0))+IF($G133&lt;=$L$3,$N$3,IF($G133&lt;=$L$4,$N$4,IF($G133&lt;=$L$5,$N$5,IF($G133&lt;=$L$6,$N$6))))</f>
        <v>1.35680088443694E-2</v>
      </c>
      <c r="I133" s="779">
        <f t="shared" si="143"/>
        <v>1.35680088443694E-2</v>
      </c>
      <c r="J133" s="780">
        <f t="shared" si="143"/>
        <v>1.35680088443694E-2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" customHeight="1" x14ac:dyDescent="0.2">
      <c r="A134" s="773">
        <v>1</v>
      </c>
      <c r="B134" s="774">
        <v>11</v>
      </c>
      <c r="C134" s="774">
        <v>12</v>
      </c>
      <c r="D134" s="774">
        <v>0.120367</v>
      </c>
      <c r="E134" s="20">
        <f t="shared" si="0"/>
        <v>1</v>
      </c>
      <c r="F134" s="11"/>
      <c r="G134" s="9">
        <f t="shared" si="4"/>
        <v>130</v>
      </c>
      <c r="H134" s="25">
        <f t="shared" ref="H134:J134" si="144">IF($G134&lt;=$L$3,$M$3,IF($G134&lt;=$L$4,$M$4,IF($G134&lt;=$L$5,$M$5,IF($G134&lt;=$L$6,$M$6))))*LN($G134-IF($G134&lt;=$L$3,11,0))+IF($G134&lt;=$L$3,$N$3,IF($G134&lt;=$L$4,$N$4,IF($G134&lt;=$L$5,$N$5,IF($G134&lt;=$L$6,$N$6))))</f>
        <v>1.3467535758232313E-2</v>
      </c>
      <c r="I134" s="779">
        <f t="shared" si="144"/>
        <v>1.3467535758232313E-2</v>
      </c>
      <c r="J134" s="780">
        <f t="shared" si="144"/>
        <v>1.3467535758232313E-2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" customHeight="1" x14ac:dyDescent="0.2">
      <c r="A135" s="773">
        <v>1</v>
      </c>
      <c r="B135" s="774">
        <v>12</v>
      </c>
      <c r="C135" s="774">
        <v>1</v>
      </c>
      <c r="D135" s="774">
        <v>0.1270375</v>
      </c>
      <c r="E135" s="20">
        <f t="shared" si="0"/>
        <v>1</v>
      </c>
      <c r="F135" s="11"/>
      <c r="G135" s="9">
        <f t="shared" si="4"/>
        <v>131</v>
      </c>
      <c r="H135" s="25">
        <f t="shared" ref="H135:J135" si="145">IF($G135&lt;=$L$3,$M$3,IF($G135&lt;=$L$4,$M$4,IF($G135&lt;=$L$5,$M$5,IF($G135&lt;=$L$6,$M$6))))*LN($G135-IF($G135&lt;=$L$3,11,0))+IF($G135&lt;=$L$3,$N$3,IF($G135&lt;=$L$4,$N$4,IF($G135&lt;=$L$5,$N$5,IF($G135&lt;=$L$6,$N$6))))</f>
        <v>1.3367832588365172E-2</v>
      </c>
      <c r="I135" s="779">
        <f t="shared" si="145"/>
        <v>1.3367832588365172E-2</v>
      </c>
      <c r="J135" s="780">
        <f t="shared" si="145"/>
        <v>1.3367832588365172E-2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" customHeight="1" x14ac:dyDescent="0.2">
      <c r="A136" s="773">
        <v>1</v>
      </c>
      <c r="B136" s="774">
        <v>12</v>
      </c>
      <c r="C136" s="774">
        <v>2</v>
      </c>
      <c r="D136" s="774">
        <v>9.4951740000000007E-2</v>
      </c>
      <c r="E136" s="20">
        <f t="shared" si="0"/>
        <v>2</v>
      </c>
      <c r="F136" s="11"/>
      <c r="G136" s="9">
        <f t="shared" si="4"/>
        <v>132</v>
      </c>
      <c r="H136" s="25">
        <f t="shared" ref="H136:J136" si="146">IF($G136&lt;=$L$3,$M$3,IF($G136&lt;=$L$4,$M$4,IF($G136&lt;=$L$5,$M$5,IF($G136&lt;=$L$6,$M$6))))*LN($G136-IF($G136&lt;=$L$3,11,0))+IF($G136&lt;=$L$3,$N$3,IF($G136&lt;=$L$4,$N$4,IF($G136&lt;=$L$5,$N$5,IF($G136&lt;=$L$6,$N$6))))</f>
        <v>1.3268887624844211E-2</v>
      </c>
      <c r="I136" s="779">
        <f t="shared" si="146"/>
        <v>1.3268887624844211E-2</v>
      </c>
      <c r="J136" s="780">
        <f t="shared" si="146"/>
        <v>1.3268887624844211E-2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" customHeight="1" x14ac:dyDescent="0.2">
      <c r="A137" s="773">
        <v>1</v>
      </c>
      <c r="B137" s="774">
        <v>12</v>
      </c>
      <c r="C137" s="774">
        <v>3</v>
      </c>
      <c r="D137" s="774">
        <v>8.6659539999999993E-2</v>
      </c>
      <c r="E137" s="20">
        <f t="shared" si="0"/>
        <v>3</v>
      </c>
      <c r="F137" s="11"/>
      <c r="G137" s="9">
        <f t="shared" si="4"/>
        <v>133</v>
      </c>
      <c r="H137" s="25">
        <f t="shared" ref="H137:J137" si="147">IF($G137&lt;=$L$3,$M$3,IF($G137&lt;=$L$4,$M$4,IF($G137&lt;=$L$5,$M$5,IF($G137&lt;=$L$6,$M$6))))*LN($G137-IF($G137&lt;=$L$3,11,0))+IF($G137&lt;=$L$3,$N$3,IF($G137&lt;=$L$4,$N$4,IF($G137&lt;=$L$5,$N$5,IF($G137&lt;=$L$6,$N$6))))</f>
        <v>1.3170689422881104E-2</v>
      </c>
      <c r="I137" s="779">
        <f t="shared" si="147"/>
        <v>1.3170689422881104E-2</v>
      </c>
      <c r="J137" s="780">
        <f t="shared" si="147"/>
        <v>1.3170689422881104E-2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" customHeight="1" x14ac:dyDescent="0.2">
      <c r="A138" s="773">
        <v>1</v>
      </c>
      <c r="B138" s="774">
        <v>12</v>
      </c>
      <c r="C138" s="774">
        <v>4</v>
      </c>
      <c r="D138" s="774">
        <v>8.9385469999999995E-2</v>
      </c>
      <c r="E138" s="20">
        <f t="shared" si="0"/>
        <v>4</v>
      </c>
      <c r="F138" s="11"/>
      <c r="G138" s="9">
        <f t="shared" si="4"/>
        <v>134</v>
      </c>
      <c r="H138" s="25">
        <f t="shared" ref="H138:J138" si="148">IF($G138&lt;=$L$3,$M$3,IF($G138&lt;=$L$4,$M$4,IF($G138&lt;=$L$5,$M$5,IF($G138&lt;=$L$6,$M$6))))*LN($G138-IF($G138&lt;=$L$3,11,0))+IF($G138&lt;=$L$3,$N$3,IF($G138&lt;=$L$4,$N$4,IF($G138&lt;=$L$5,$N$5,IF($G138&lt;=$L$6,$N$6))))</f>
        <v>1.3073226794878698E-2</v>
      </c>
      <c r="I138" s="779">
        <f t="shared" si="148"/>
        <v>1.3073226794878698E-2</v>
      </c>
      <c r="J138" s="780">
        <f t="shared" si="148"/>
        <v>1.3073226794878698E-2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" customHeight="1" x14ac:dyDescent="0.2">
      <c r="A139" s="773">
        <v>1</v>
      </c>
      <c r="B139" s="774">
        <v>12</v>
      </c>
      <c r="C139" s="774">
        <v>5</v>
      </c>
      <c r="D139" s="774">
        <v>8.5245249999999995E-2</v>
      </c>
      <c r="E139" s="20">
        <f t="shared" si="0"/>
        <v>5</v>
      </c>
      <c r="F139" s="11"/>
      <c r="G139" s="9">
        <f t="shared" si="4"/>
        <v>135</v>
      </c>
      <c r="H139" s="25">
        <f t="shared" ref="H139:J139" si="149">IF($G139&lt;=$L$3,$M$3,IF($G139&lt;=$L$4,$M$4,IF($G139&lt;=$L$5,$M$5,IF($G139&lt;=$L$6,$M$6))))*LN($G139-IF($G139&lt;=$L$3,11,0))+IF($G139&lt;=$L$3,$N$3,IF($G139&lt;=$L$4,$N$4,IF($G139&lt;=$L$5,$N$5,IF($G139&lt;=$L$6,$N$6))))</f>
        <v>1.2976488802781891E-2</v>
      </c>
      <c r="I139" s="779">
        <f t="shared" si="149"/>
        <v>1.2976488802781891E-2</v>
      </c>
      <c r="J139" s="780">
        <f t="shared" si="149"/>
        <v>1.2976488802781891E-2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" customHeight="1" x14ac:dyDescent="0.2">
      <c r="A140" s="773">
        <v>1</v>
      </c>
      <c r="B140" s="774">
        <v>12</v>
      </c>
      <c r="C140" s="774">
        <v>6</v>
      </c>
      <c r="D140" s="774">
        <v>7.5451299999999999E-2</v>
      </c>
      <c r="E140" s="20">
        <f t="shared" si="0"/>
        <v>6</v>
      </c>
      <c r="F140" s="11"/>
      <c r="G140" s="9">
        <f t="shared" si="4"/>
        <v>136</v>
      </c>
      <c r="H140" s="25">
        <f t="shared" ref="H140:J140" si="150">IF($G140&lt;=$L$3,$M$3,IF($G140&lt;=$L$4,$M$4,IF($G140&lt;=$L$5,$M$5,IF($G140&lt;=$L$6,$M$6))))*LN($G140-IF($G140&lt;=$L$3,11,0))+IF($G140&lt;=$L$3,$N$3,IF($G140&lt;=$L$4,$N$4,IF($G140&lt;=$L$5,$N$5,IF($G140&lt;=$L$6,$N$6))))</f>
        <v>1.2880464750711071E-2</v>
      </c>
      <c r="I140" s="779">
        <f t="shared" si="150"/>
        <v>1.2880464750711071E-2</v>
      </c>
      <c r="J140" s="780">
        <f t="shared" si="150"/>
        <v>1.2880464750711071E-2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" customHeight="1" x14ac:dyDescent="0.2">
      <c r="A141" s="773">
        <v>1</v>
      </c>
      <c r="B141" s="774">
        <v>12</v>
      </c>
      <c r="C141" s="774">
        <v>7</v>
      </c>
      <c r="D141" s="774">
        <v>7.5445180000000001E-2</v>
      </c>
      <c r="E141" s="20">
        <f t="shared" si="0"/>
        <v>7</v>
      </c>
      <c r="F141" s="11"/>
      <c r="G141" s="9">
        <f t="shared" si="4"/>
        <v>137</v>
      </c>
      <c r="H141" s="25">
        <f t="shared" ref="H141:J141" si="151">IF($G141&lt;=$L$3,$M$3,IF($G141&lt;=$L$4,$M$4,IF($G141&lt;=$L$5,$M$5,IF($G141&lt;=$L$6,$M$6))))*LN($G141-IF($G141&lt;=$L$3,11,0))+IF($G141&lt;=$L$3,$N$3,IF($G141&lt;=$L$4,$N$4,IF($G141&lt;=$L$5,$N$5,IF($G141&lt;=$L$6,$N$6))))</f>
        <v>1.2785144177865096E-2</v>
      </c>
      <c r="I141" s="779">
        <f t="shared" si="151"/>
        <v>1.2785144177865096E-2</v>
      </c>
      <c r="J141" s="780">
        <f t="shared" si="151"/>
        <v>1.2785144177865096E-2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" customHeight="1" x14ac:dyDescent="0.2">
      <c r="A142" s="773">
        <v>1</v>
      </c>
      <c r="B142" s="774">
        <v>12</v>
      </c>
      <c r="C142" s="774">
        <v>8</v>
      </c>
      <c r="D142" s="774">
        <v>7.2441740000000004E-2</v>
      </c>
      <c r="E142" s="20">
        <f t="shared" si="0"/>
        <v>8</v>
      </c>
      <c r="F142" s="11"/>
      <c r="G142" s="9">
        <f t="shared" si="4"/>
        <v>138</v>
      </c>
      <c r="H142" s="25">
        <f t="shared" ref="H142:J142" si="152">IF($G142&lt;=$L$3,$M$3,IF($G142&lt;=$L$4,$M$4,IF($G142&lt;=$L$5,$M$5,IF($G142&lt;=$L$6,$M$6))))*LN($G142-IF($G142&lt;=$L$3,11,0))+IF($G142&lt;=$L$3,$N$3,IF($G142&lt;=$L$4,$N$4,IF($G142&lt;=$L$5,$N$5,IF($G142&lt;=$L$6,$N$6))))</f>
        <v>1.2690516851682571E-2</v>
      </c>
      <c r="I142" s="779">
        <f t="shared" si="152"/>
        <v>1.2690516851682571E-2</v>
      </c>
      <c r="J142" s="780">
        <f t="shared" si="152"/>
        <v>1.2690516851682571E-2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" customHeight="1" x14ac:dyDescent="0.2">
      <c r="A143" s="773">
        <v>1</v>
      </c>
      <c r="B143" s="774">
        <v>12</v>
      </c>
      <c r="C143" s="774">
        <v>9</v>
      </c>
      <c r="D143" s="774">
        <v>6.340556E-2</v>
      </c>
      <c r="E143" s="20">
        <f t="shared" si="0"/>
        <v>9</v>
      </c>
      <c r="F143" s="11"/>
      <c r="G143" s="9">
        <f t="shared" si="4"/>
        <v>139</v>
      </c>
      <c r="H143" s="25">
        <f t="shared" ref="H143:J143" si="153">IF($G143&lt;=$L$3,$M$3,IF($G143&lt;=$L$4,$M$4,IF($G143&lt;=$L$5,$M$5,IF($G143&lt;=$L$6,$M$6))))*LN($G143-IF($G143&lt;=$L$3,11,0))+IF($G143&lt;=$L$3,$N$3,IF($G143&lt;=$L$4,$N$4,IF($G143&lt;=$L$5,$N$5,IF($G143&lt;=$L$6,$N$6))))</f>
        <v>1.2596572761249938E-2</v>
      </c>
      <c r="I143" s="779">
        <f t="shared" si="153"/>
        <v>1.2596572761249938E-2</v>
      </c>
      <c r="J143" s="780">
        <f t="shared" si="153"/>
        <v>1.2596572761249938E-2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" customHeight="1" x14ac:dyDescent="0.2">
      <c r="A144" s="773">
        <v>1</v>
      </c>
      <c r="B144" s="774">
        <v>12</v>
      </c>
      <c r="C144" s="774">
        <v>10</v>
      </c>
      <c r="D144" s="774">
        <v>6.1488210000000001E-2</v>
      </c>
      <c r="E144" s="20">
        <f t="shared" si="0"/>
        <v>10</v>
      </c>
      <c r="F144" s="11"/>
      <c r="G144" s="9">
        <f t="shared" si="4"/>
        <v>140</v>
      </c>
      <c r="H144" s="25">
        <f t="shared" ref="H144:J144" si="154">IF($G144&lt;=$L$3,$M$3,IF($G144&lt;=$L$4,$M$4,IF($G144&lt;=$L$5,$M$5,IF($G144&lt;=$L$6,$M$6))))*LN($G144-IF($G144&lt;=$L$3,11,0))+IF($G144&lt;=$L$3,$N$3,IF($G144&lt;=$L$4,$N$4,IF($G144&lt;=$L$5,$N$5,IF($G144&lt;=$L$6,$N$6))))</f>
        <v>1.2503302110945816E-2</v>
      </c>
      <c r="I144" s="779">
        <f t="shared" si="154"/>
        <v>1.2503302110945816E-2</v>
      </c>
      <c r="J144" s="780">
        <f t="shared" si="154"/>
        <v>1.2503302110945816E-2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" customHeight="1" x14ac:dyDescent="0.2">
      <c r="A145" s="773">
        <v>1</v>
      </c>
      <c r="B145" s="774">
        <v>12</v>
      </c>
      <c r="C145" s="774">
        <v>11</v>
      </c>
      <c r="D145" s="774">
        <v>5.5041699999999999E-2</v>
      </c>
      <c r="E145" s="20">
        <f t="shared" si="0"/>
        <v>11</v>
      </c>
      <c r="F145" s="11"/>
      <c r="G145" s="9">
        <f t="shared" si="4"/>
        <v>141</v>
      </c>
      <c r="H145" s="25">
        <f t="shared" ref="H145:J145" si="155">IF($G145&lt;=$L$3,$M$3,IF($G145&lt;=$L$4,$M$4,IF($G145&lt;=$L$5,$M$5,IF($G145&lt;=$L$6,$M$6))))*LN($G145-IF($G145&lt;=$L$3,11,0))+IF($G145&lt;=$L$3,$N$3,IF($G145&lt;=$L$4,$N$4,IF($G145&lt;=$L$5,$N$5,IF($G145&lt;=$L$6,$N$6))))</f>
        <v>1.2410695314311562E-2</v>
      </c>
      <c r="I145" s="779">
        <f t="shared" si="155"/>
        <v>1.2410695314311562E-2</v>
      </c>
      <c r="J145" s="780">
        <f t="shared" si="155"/>
        <v>1.2410695314311562E-2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" customHeight="1" x14ac:dyDescent="0.2">
      <c r="A146" s="773">
        <v>1</v>
      </c>
      <c r="B146" s="774">
        <v>12</v>
      </c>
      <c r="C146" s="774">
        <v>12</v>
      </c>
      <c r="D146" s="774">
        <v>3.1146199999999999E-2</v>
      </c>
      <c r="E146" s="20">
        <f t="shared" si="0"/>
        <v>0</v>
      </c>
      <c r="F146" s="11"/>
      <c r="G146" s="9">
        <f t="shared" si="4"/>
        <v>142</v>
      </c>
      <c r="H146" s="25">
        <f t="shared" ref="H146:J146" si="156">IF($G146&lt;=$L$3,$M$3,IF($G146&lt;=$L$4,$M$4,IF($G146&lt;=$L$5,$M$5,IF($G146&lt;=$L$6,$M$6))))*LN($G146-IF($G146&lt;=$L$3,11,0))+IF($G146&lt;=$L$3,$N$3,IF($G146&lt;=$L$4,$N$4,IF($G146&lt;=$L$5,$N$5,IF($G146&lt;=$L$6,$N$6))))</f>
        <v>1.2318742988138467E-2</v>
      </c>
      <c r="I146" s="779">
        <f t="shared" si="156"/>
        <v>1.2318742988138467E-2</v>
      </c>
      <c r="J146" s="780">
        <f t="shared" si="156"/>
        <v>1.2318742988138467E-2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" customHeight="1" x14ac:dyDescent="0.2">
      <c r="A147" s="773"/>
      <c r="B147" s="774"/>
      <c r="C147" s="774"/>
      <c r="D147" s="774"/>
      <c r="E147" s="20"/>
      <c r="F147" s="11"/>
      <c r="G147" s="9">
        <f t="shared" si="4"/>
        <v>143</v>
      </c>
      <c r="H147" s="25">
        <f t="shared" ref="H147:J147" si="157">IF($G147&lt;=$L$3,$M$3,IF($G147&lt;=$L$4,$M$4,IF($G147&lt;=$L$5,$M$5,IF($G147&lt;=$L$6,$M$6))))*LN($G147-IF($G147&lt;=$L$3,11,0))+IF($G147&lt;=$L$3,$N$3,IF($G147&lt;=$L$4,$N$4,IF($G147&lt;=$L$5,$N$5,IF($G147&lt;=$L$6,$N$6))))</f>
        <v>1.2227435946762288E-2</v>
      </c>
      <c r="I147" s="779">
        <f t="shared" si="157"/>
        <v>1.2227435946762288E-2</v>
      </c>
      <c r="J147" s="780">
        <f t="shared" si="157"/>
        <v>1.2227435946762288E-2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" customHeight="1" x14ac:dyDescent="0.2">
      <c r="A148" s="773"/>
      <c r="B148" s="774"/>
      <c r="C148" s="774"/>
      <c r="D148" s="774"/>
      <c r="E148" s="20"/>
      <c r="F148" s="11"/>
      <c r="G148" s="9">
        <f t="shared" si="4"/>
        <v>144</v>
      </c>
      <c r="H148" s="25">
        <f t="shared" ref="H148:J148" si="158">IF($G148&lt;=$L$3,$M$3,IF($G148&lt;=$L$4,$M$4,IF($G148&lt;=$L$5,$M$5,IF($G148&lt;=$L$6,$M$6))))*LN($G148-IF($G148&lt;=$L$3,11,0))+IF($G148&lt;=$L$3,$N$3,IF($G148&lt;=$L$4,$N$4,IF($G148&lt;=$L$5,$N$5,IF($G148&lt;=$L$6,$N$6))))</f>
        <v>1.2136765196556737E-2</v>
      </c>
      <c r="I148" s="779">
        <f t="shared" si="158"/>
        <v>1.2136765196556737E-2</v>
      </c>
      <c r="J148" s="780">
        <f t="shared" si="158"/>
        <v>1.2136765196556737E-2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" customHeight="1" x14ac:dyDescent="0.2">
      <c r="A149" s="773"/>
      <c r="B149" s="774"/>
      <c r="C149" s="774"/>
      <c r="D149" s="774"/>
      <c r="E149" s="20"/>
      <c r="F149" s="11"/>
      <c r="G149" s="9">
        <f t="shared" si="4"/>
        <v>145</v>
      </c>
      <c r="H149" s="25">
        <f t="shared" ref="H149:J149" si="159">IF($G149&lt;=$L$3,$M$3,IF($G149&lt;=$L$4,$M$4,IF($G149&lt;=$L$5,$M$5,IF($G149&lt;=$L$6,$M$6))))*LN($G149-IF($G149&lt;=$L$3,11,0))+IF($G149&lt;=$L$3,$N$3,IF($G149&lt;=$L$4,$N$4,IF($G149&lt;=$L$5,$N$5,IF($G149&lt;=$L$6,$N$6))))</f>
        <v>1.2046721930617413E-2</v>
      </c>
      <c r="I149" s="779">
        <f t="shared" si="159"/>
        <v>1.2046721930617413E-2</v>
      </c>
      <c r="J149" s="780">
        <f t="shared" si="159"/>
        <v>1.2046721930617413E-2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" customHeight="1" x14ac:dyDescent="0.2">
      <c r="A150" s="773"/>
      <c r="B150" s="774"/>
      <c r="C150" s="774"/>
      <c r="D150" s="774"/>
      <c r="E150" s="20"/>
      <c r="F150" s="11"/>
      <c r="G150" s="9">
        <f t="shared" si="4"/>
        <v>146</v>
      </c>
      <c r="H150" s="25">
        <f t="shared" ref="H150:J150" si="160">IF($G150&lt;=$L$3,$M$3,IF($G150&lt;=$L$4,$M$4,IF($G150&lt;=$L$5,$M$5,IF($G150&lt;=$L$6,$M$6))))*LN($G150-IF($G150&lt;=$L$3,11,0))+IF($G150&lt;=$L$3,$N$3,IF($G150&lt;=$L$4,$N$4,IF($G150&lt;=$L$5,$N$5,IF($G150&lt;=$L$6,$N$6))))</f>
        <v>1.195729752362848E-2</v>
      </c>
      <c r="I150" s="779">
        <f t="shared" si="160"/>
        <v>1.195729752362848E-2</v>
      </c>
      <c r="J150" s="780">
        <f t="shared" si="160"/>
        <v>1.195729752362848E-2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" customHeight="1" x14ac:dyDescent="0.2">
      <c r="A151" s="773"/>
      <c r="B151" s="774"/>
      <c r="C151" s="774"/>
      <c r="D151" s="774"/>
      <c r="E151" s="20"/>
      <c r="F151" s="11"/>
      <c r="G151" s="9">
        <f t="shared" si="4"/>
        <v>147</v>
      </c>
      <c r="H151" s="25">
        <f t="shared" ref="H151:J151" si="161">IF($G151&lt;=$L$3,$M$3,IF($G151&lt;=$L$4,$M$4,IF($G151&lt;=$L$5,$M$5,IF($G151&lt;=$L$6,$M$6))))*LN($G151-IF($G151&lt;=$L$3,11,0))+IF($G151&lt;=$L$3,$N$3,IF($G151&lt;=$L$4,$N$4,IF($G151&lt;=$L$5,$N$5,IF($G151&lt;=$L$6,$N$6))))</f>
        <v>1.1868483526904505E-2</v>
      </c>
      <c r="I151" s="779">
        <f t="shared" si="161"/>
        <v>1.1868483526904505E-2</v>
      </c>
      <c r="J151" s="780">
        <f t="shared" si="161"/>
        <v>1.1868483526904505E-2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" customHeight="1" x14ac:dyDescent="0.2">
      <c r="A152" s="773"/>
      <c r="B152" s="774"/>
      <c r="C152" s="774"/>
      <c r="D152" s="774"/>
      <c r="E152" s="20"/>
      <c r="F152" s="11"/>
      <c r="G152" s="9">
        <f t="shared" si="4"/>
        <v>148</v>
      </c>
      <c r="H152" s="25">
        <f t="shared" ref="H152:J152" si="162">IF($G152&lt;=$L$3,$M$3,IF($G152&lt;=$L$4,$M$4,IF($G152&lt;=$L$5,$M$5,IF($G152&lt;=$L$6,$M$6))))*LN($G152-IF($G152&lt;=$L$3,11,0))+IF($G152&lt;=$L$3,$N$3,IF($G152&lt;=$L$4,$N$4,IF($G152&lt;=$L$5,$N$5,IF($G152&lt;=$L$6,$N$6))))</f>
        <v>1.1780271663600336E-2</v>
      </c>
      <c r="I152" s="779">
        <f t="shared" si="162"/>
        <v>1.1780271663600336E-2</v>
      </c>
      <c r="J152" s="780">
        <f t="shared" si="162"/>
        <v>1.1780271663600336E-2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" customHeight="1" x14ac:dyDescent="0.2">
      <c r="A153" s="773"/>
      <c r="B153" s="774"/>
      <c r="C153" s="774"/>
      <c r="D153" s="774"/>
      <c r="E153" s="20"/>
      <c r="F153" s="11"/>
      <c r="G153" s="9">
        <f t="shared" si="4"/>
        <v>149</v>
      </c>
      <c r="H153" s="25">
        <f t="shared" ref="H153:J153" si="163">IF($G153&lt;=$L$3,$M$3,IF($G153&lt;=$L$4,$M$4,IF($G153&lt;=$L$5,$M$5,IF($G153&lt;=$L$6,$M$6))))*LN($G153-IF($G153&lt;=$L$3,11,0))+IF($G153&lt;=$L$3,$N$3,IF($G153&lt;=$L$4,$N$4,IF($G153&lt;=$L$5,$N$5,IF($G153&lt;=$L$6,$N$6))))</f>
        <v>1.1692653824082438E-2</v>
      </c>
      <c r="I153" s="779">
        <f t="shared" si="163"/>
        <v>1.1692653824082438E-2</v>
      </c>
      <c r="J153" s="780">
        <f t="shared" si="163"/>
        <v>1.1692653824082438E-2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" customHeight="1" x14ac:dyDescent="0.2">
      <c r="A154" s="773"/>
      <c r="B154" s="774"/>
      <c r="C154" s="774"/>
      <c r="D154" s="774"/>
      <c r="E154" s="20"/>
      <c r="F154" s="11"/>
      <c r="G154" s="9">
        <f t="shared" si="4"/>
        <v>150</v>
      </c>
      <c r="H154" s="25">
        <f t="shared" ref="H154:J154" si="164">IF($G154&lt;=$L$3,$M$3,IF($G154&lt;=$L$4,$M$4,IF($G154&lt;=$L$5,$M$5,IF($G154&lt;=$L$6,$M$6))))*LN($G154-IF($G154&lt;=$L$3,11,0))+IF($G154&lt;=$L$3,$N$3,IF($G154&lt;=$L$4,$N$4,IF($G154&lt;=$L$5,$N$5,IF($G154&lt;=$L$6,$N$6))))</f>
        <v>1.1605622061454796E-2</v>
      </c>
      <c r="I154" s="779">
        <f t="shared" si="164"/>
        <v>1.1605622061454796E-2</v>
      </c>
      <c r="J154" s="780">
        <f t="shared" si="164"/>
        <v>1.1605622061454796E-2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" customHeight="1" x14ac:dyDescent="0.2">
      <c r="A155" s="773"/>
      <c r="B155" s="774"/>
      <c r="C155" s="774"/>
      <c r="D155" s="774"/>
      <c r="E155" s="20"/>
      <c r="F155" s="11"/>
      <c r="G155" s="9">
        <f t="shared" si="4"/>
        <v>151</v>
      </c>
      <c r="H155" s="25">
        <f t="shared" ref="H155:J155" si="165">IF($G155&lt;=$L$3,$M$3,IF($G155&lt;=$L$4,$M$4,IF($G155&lt;=$L$5,$M$5,IF($G155&lt;=$L$6,$M$6))))*LN($G155-IF($G155&lt;=$L$3,11,0))+IF($G155&lt;=$L$3,$N$3,IF($G155&lt;=$L$4,$N$4,IF($G155&lt;=$L$5,$N$5,IF($G155&lt;=$L$6,$N$6))))</f>
        <v>1.1519168587233647E-2</v>
      </c>
      <c r="I155" s="779">
        <f t="shared" si="165"/>
        <v>1.1519168587233647E-2</v>
      </c>
      <c r="J155" s="780">
        <f t="shared" si="165"/>
        <v>1.1519168587233647E-2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" customHeight="1" x14ac:dyDescent="0.2">
      <c r="A156" s="773"/>
      <c r="B156" s="774"/>
      <c r="C156" s="774"/>
      <c r="D156" s="774"/>
      <c r="E156" s="20"/>
      <c r="F156" s="11"/>
      <c r="G156" s="9">
        <f t="shared" si="4"/>
        <v>152</v>
      </c>
      <c r="H156" s="25">
        <f t="shared" ref="H156:J156" si="166">IF($G156&lt;=$L$3,$M$3,IF($G156&lt;=$L$4,$M$4,IF($G156&lt;=$L$5,$M$5,IF($G156&lt;=$L$6,$M$6))))*LN($G156-IF($G156&lt;=$L$3,11,0))+IF($G156&lt;=$L$3,$N$3,IF($G156&lt;=$L$4,$N$4,IF($G156&lt;=$L$5,$N$5,IF($G156&lt;=$L$6,$N$6))))</f>
        <v>1.1433285767164916E-2</v>
      </c>
      <c r="I156" s="779">
        <f t="shared" si="166"/>
        <v>1.1433285767164916E-2</v>
      </c>
      <c r="J156" s="780">
        <f t="shared" si="166"/>
        <v>1.1433285767164916E-2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" customHeight="1" x14ac:dyDescent="0.2">
      <c r="A157" s="773"/>
      <c r="B157" s="774"/>
      <c r="C157" s="774"/>
      <c r="D157" s="774"/>
      <c r="E157" s="20"/>
      <c r="F157" s="11"/>
      <c r="G157" s="9">
        <f t="shared" si="4"/>
        <v>153</v>
      </c>
      <c r="H157" s="25">
        <f t="shared" ref="H157:J157" si="167">IF($G157&lt;=$L$3,$M$3,IF($G157&lt;=$L$4,$M$4,IF($G157&lt;=$L$5,$M$5,IF($G157&lt;=$L$6,$M$6))))*LN($G157-IF($G157&lt;=$L$3,11,0))+IF($G157&lt;=$L$3,$N$3,IF($G157&lt;=$L$4,$N$4,IF($G157&lt;=$L$5,$N$5,IF($G157&lt;=$L$6,$N$6))))</f>
        <v>1.134796611717874E-2</v>
      </c>
      <c r="I157" s="779">
        <f t="shared" si="167"/>
        <v>1.134796611717874E-2</v>
      </c>
      <c r="J157" s="780">
        <f t="shared" si="167"/>
        <v>1.134796611717874E-2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" customHeight="1" x14ac:dyDescent="0.2">
      <c r="A158" s="773"/>
      <c r="B158" s="774"/>
      <c r="C158" s="774"/>
      <c r="D158" s="774"/>
      <c r="E158" s="20"/>
      <c r="F158" s="11"/>
      <c r="G158" s="16">
        <f t="shared" si="4"/>
        <v>154</v>
      </c>
      <c r="H158" s="33">
        <f t="shared" ref="H158:J158" si="168">IF($G158&lt;=$L$3,$M$3,IF($G158&lt;=$L$4,$M$4,IF($G158&lt;=$L$5,$M$5,IF($G158&lt;=$L$6,$M$6))))*LN($G158-IF($G158&lt;=$L$3,11,0))+IF($G158&lt;=$L$3,$N$3,IF($G158&lt;=$L$4,$N$4,IF($G158&lt;=$L$5,$N$5,IF($G158&lt;=$L$6,$N$6))))</f>
        <v>1.1263202299475777E-2</v>
      </c>
      <c r="I158" s="793">
        <f t="shared" si="168"/>
        <v>1.1263202299475777E-2</v>
      </c>
      <c r="J158" s="794">
        <f t="shared" si="168"/>
        <v>1.1263202299475777E-2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" customHeight="1" x14ac:dyDescent="0.2">
      <c r="A159" s="773"/>
      <c r="B159" s="774"/>
      <c r="C159" s="774"/>
      <c r="D159" s="774"/>
      <c r="E159" s="20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" customHeight="1" x14ac:dyDescent="0.2">
      <c r="A160" s="773"/>
      <c r="B160" s="774"/>
      <c r="C160" s="774"/>
      <c r="D160" s="774"/>
      <c r="E160" s="20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" customHeight="1" x14ac:dyDescent="0.2">
      <c r="A161" s="773"/>
      <c r="B161" s="774"/>
      <c r="C161" s="774"/>
      <c r="D161" s="774"/>
      <c r="E161" s="20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" customHeight="1" x14ac:dyDescent="0.2">
      <c r="A162" s="773"/>
      <c r="B162" s="774"/>
      <c r="C162" s="774"/>
      <c r="D162" s="774"/>
      <c r="E162" s="20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" customHeight="1" x14ac:dyDescent="0.2">
      <c r="A163" s="773"/>
      <c r="B163" s="774"/>
      <c r="C163" s="774"/>
      <c r="D163" s="774"/>
      <c r="E163" s="20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" customHeight="1" x14ac:dyDescent="0.2">
      <c r="A164" s="773"/>
      <c r="B164" s="774"/>
      <c r="C164" s="774"/>
      <c r="D164" s="774"/>
      <c r="E164" s="20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" customHeight="1" x14ac:dyDescent="0.2">
      <c r="A165" s="773"/>
      <c r="B165" s="774"/>
      <c r="C165" s="774"/>
      <c r="D165" s="774"/>
      <c r="E165" s="20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" customHeight="1" x14ac:dyDescent="0.2">
      <c r="A166" s="773"/>
      <c r="B166" s="774"/>
      <c r="C166" s="774"/>
      <c r="D166" s="774"/>
      <c r="E166" s="20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" customHeight="1" x14ac:dyDescent="0.2">
      <c r="A167" s="773"/>
      <c r="B167" s="774"/>
      <c r="C167" s="774"/>
      <c r="D167" s="774"/>
      <c r="E167" s="2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" customHeight="1" x14ac:dyDescent="0.2">
      <c r="A168" s="773"/>
      <c r="B168" s="774"/>
      <c r="C168" s="774"/>
      <c r="D168" s="774"/>
      <c r="E168" s="20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" customHeight="1" x14ac:dyDescent="0.2">
      <c r="A169" s="773"/>
      <c r="B169" s="774"/>
      <c r="C169" s="774"/>
      <c r="D169" s="774"/>
      <c r="E169" s="20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" customHeight="1" x14ac:dyDescent="0.2">
      <c r="A170" s="773"/>
      <c r="B170" s="774"/>
      <c r="C170" s="774"/>
      <c r="D170" s="774"/>
      <c r="E170" s="20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" customHeight="1" x14ac:dyDescent="0.2">
      <c r="A171" s="773"/>
      <c r="B171" s="774"/>
      <c r="C171" s="774"/>
      <c r="D171" s="774"/>
      <c r="E171" s="20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" customHeight="1" x14ac:dyDescent="0.2">
      <c r="A172" s="773"/>
      <c r="B172" s="774"/>
      <c r="C172" s="774"/>
      <c r="D172" s="774"/>
      <c r="E172" s="20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" customHeight="1" x14ac:dyDescent="0.2">
      <c r="A173" s="773"/>
      <c r="B173" s="774"/>
      <c r="C173" s="774"/>
      <c r="D173" s="774"/>
      <c r="E173" s="20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" customHeight="1" x14ac:dyDescent="0.2">
      <c r="A174" s="773"/>
      <c r="B174" s="774"/>
      <c r="C174" s="774"/>
      <c r="D174" s="774"/>
      <c r="E174" s="20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" customHeight="1" x14ac:dyDescent="0.2">
      <c r="A175" s="773"/>
      <c r="B175" s="774"/>
      <c r="C175" s="774"/>
      <c r="D175" s="774"/>
      <c r="E175" s="20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" customHeight="1" x14ac:dyDescent="0.2">
      <c r="A176" s="773"/>
      <c r="B176" s="774"/>
      <c r="C176" s="774"/>
      <c r="D176" s="774"/>
      <c r="E176" s="20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" customHeight="1" x14ac:dyDescent="0.2">
      <c r="A177" s="773"/>
      <c r="B177" s="774"/>
      <c r="C177" s="774"/>
      <c r="D177" s="774"/>
      <c r="E177" s="20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" customHeight="1" x14ac:dyDescent="0.2">
      <c r="A178" s="773"/>
      <c r="B178" s="774"/>
      <c r="C178" s="774"/>
      <c r="D178" s="774"/>
      <c r="E178" s="20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" customHeight="1" x14ac:dyDescent="0.2">
      <c r="A179" s="773"/>
      <c r="B179" s="774"/>
      <c r="C179" s="774"/>
      <c r="D179" s="774"/>
      <c r="E179" s="20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" customHeight="1" x14ac:dyDescent="0.2">
      <c r="A180" s="773"/>
      <c r="B180" s="774"/>
      <c r="C180" s="774"/>
      <c r="D180" s="774"/>
      <c r="E180" s="20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" customHeight="1" x14ac:dyDescent="0.2">
      <c r="A181" s="773"/>
      <c r="B181" s="774"/>
      <c r="C181" s="774"/>
      <c r="D181" s="774"/>
      <c r="E181" s="20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" customHeight="1" x14ac:dyDescent="0.2">
      <c r="A182" s="773"/>
      <c r="B182" s="774"/>
      <c r="C182" s="774"/>
      <c r="D182" s="774"/>
      <c r="E182" s="20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" customHeight="1" x14ac:dyDescent="0.2">
      <c r="A183" s="773"/>
      <c r="B183" s="774"/>
      <c r="C183" s="774"/>
      <c r="D183" s="774"/>
      <c r="E183" s="20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" customHeight="1" x14ac:dyDescent="0.2">
      <c r="A184" s="773"/>
      <c r="B184" s="774"/>
      <c r="C184" s="774"/>
      <c r="D184" s="774"/>
      <c r="E184" s="20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" customHeight="1" x14ac:dyDescent="0.2">
      <c r="A185" s="773"/>
      <c r="B185" s="774"/>
      <c r="C185" s="774"/>
      <c r="D185" s="774"/>
      <c r="E185" s="2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" customHeight="1" x14ac:dyDescent="0.2">
      <c r="A186" s="773"/>
      <c r="B186" s="774"/>
      <c r="C186" s="774"/>
      <c r="D186" s="774"/>
      <c r="E186" s="20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" customHeight="1" x14ac:dyDescent="0.2">
      <c r="A187" s="773"/>
      <c r="B187" s="774"/>
      <c r="C187" s="774"/>
      <c r="D187" s="774"/>
      <c r="E187" s="20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" customHeight="1" x14ac:dyDescent="0.2">
      <c r="A188" s="773"/>
      <c r="B188" s="774"/>
      <c r="C188" s="774"/>
      <c r="D188" s="774"/>
      <c r="E188" s="20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" customHeight="1" x14ac:dyDescent="0.2">
      <c r="A189" s="773"/>
      <c r="B189" s="774"/>
      <c r="C189" s="774"/>
      <c r="D189" s="774"/>
      <c r="E189" s="20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" customHeight="1" x14ac:dyDescent="0.2">
      <c r="A190" s="773"/>
      <c r="B190" s="774"/>
      <c r="C190" s="774"/>
      <c r="D190" s="774"/>
      <c r="E190" s="20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" customHeight="1" x14ac:dyDescent="0.2">
      <c r="A191" s="773"/>
      <c r="B191" s="774"/>
      <c r="C191" s="774"/>
      <c r="D191" s="774"/>
      <c r="E191" s="20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" customHeight="1" x14ac:dyDescent="0.2">
      <c r="A192" s="773"/>
      <c r="B192" s="774"/>
      <c r="C192" s="774"/>
      <c r="D192" s="774"/>
      <c r="E192" s="20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" customHeight="1" x14ac:dyDescent="0.2">
      <c r="A193" s="773"/>
      <c r="B193" s="774"/>
      <c r="C193" s="774"/>
      <c r="D193" s="774"/>
      <c r="E193" s="20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" customHeight="1" x14ac:dyDescent="0.2">
      <c r="A194" s="773"/>
      <c r="B194" s="774"/>
      <c r="C194" s="774"/>
      <c r="D194" s="774"/>
      <c r="E194" s="20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" customHeight="1" x14ac:dyDescent="0.2">
      <c r="A195" s="773"/>
      <c r="B195" s="774"/>
      <c r="C195" s="774"/>
      <c r="D195" s="774"/>
      <c r="E195" s="20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" customHeight="1" x14ac:dyDescent="0.2">
      <c r="A196" s="773"/>
      <c r="B196" s="774"/>
      <c r="C196" s="774"/>
      <c r="D196" s="774"/>
      <c r="E196" s="20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" customHeight="1" x14ac:dyDescent="0.2">
      <c r="A197" s="773"/>
      <c r="B197" s="774"/>
      <c r="C197" s="774"/>
      <c r="D197" s="774"/>
      <c r="E197" s="20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" customHeight="1" x14ac:dyDescent="0.2">
      <c r="A198" s="773"/>
      <c r="B198" s="774"/>
      <c r="C198" s="774"/>
      <c r="D198" s="774"/>
      <c r="E198" s="20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" customHeight="1" x14ac:dyDescent="0.2">
      <c r="A199" s="773"/>
      <c r="B199" s="774"/>
      <c r="C199" s="774"/>
      <c r="D199" s="774"/>
      <c r="E199" s="20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" customHeight="1" x14ac:dyDescent="0.2">
      <c r="A200" s="773"/>
      <c r="B200" s="774"/>
      <c r="C200" s="774"/>
      <c r="D200" s="774"/>
      <c r="E200" s="20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" customHeight="1" x14ac:dyDescent="0.2">
      <c r="A201" s="773"/>
      <c r="B201" s="774"/>
      <c r="C201" s="774"/>
      <c r="D201" s="774"/>
      <c r="E201" s="20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" customHeight="1" x14ac:dyDescent="0.2">
      <c r="A202" s="773"/>
      <c r="B202" s="774"/>
      <c r="C202" s="774"/>
      <c r="D202" s="774"/>
      <c r="E202" s="20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" customHeight="1" x14ac:dyDescent="0.2">
      <c r="A203" s="773"/>
      <c r="B203" s="774"/>
      <c r="C203" s="774"/>
      <c r="D203" s="774"/>
      <c r="E203" s="20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" customHeight="1" x14ac:dyDescent="0.2">
      <c r="A204" s="773"/>
      <c r="B204" s="774"/>
      <c r="C204" s="774"/>
      <c r="D204" s="774"/>
      <c r="E204" s="20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" customHeight="1" x14ac:dyDescent="0.2">
      <c r="A205" s="773"/>
      <c r="B205" s="774"/>
      <c r="C205" s="774"/>
      <c r="D205" s="774"/>
      <c r="E205" s="20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" customHeight="1" x14ac:dyDescent="0.2">
      <c r="A206" s="773"/>
      <c r="B206" s="774"/>
      <c r="C206" s="774"/>
      <c r="D206" s="774"/>
      <c r="E206" s="20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" customHeight="1" x14ac:dyDescent="0.2">
      <c r="A207" s="773"/>
      <c r="B207" s="774"/>
      <c r="C207" s="774"/>
      <c r="D207" s="774"/>
      <c r="E207" s="20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" customHeight="1" x14ac:dyDescent="0.2">
      <c r="A208" s="773"/>
      <c r="B208" s="774"/>
      <c r="C208" s="774"/>
      <c r="D208" s="774"/>
      <c r="E208" s="20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" customHeight="1" x14ac:dyDescent="0.2">
      <c r="A209" s="773"/>
      <c r="B209" s="774"/>
      <c r="C209" s="774"/>
      <c r="D209" s="774"/>
      <c r="E209" s="20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" customHeight="1" x14ac:dyDescent="0.2">
      <c r="A210" s="773"/>
      <c r="B210" s="774"/>
      <c r="C210" s="774"/>
      <c r="D210" s="774"/>
      <c r="E210" s="20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" customHeight="1" x14ac:dyDescent="0.2">
      <c r="A211" s="773"/>
      <c r="B211" s="774"/>
      <c r="C211" s="774"/>
      <c r="D211" s="774"/>
      <c r="E211" s="20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" customHeight="1" x14ac:dyDescent="0.2">
      <c r="A212" s="773"/>
      <c r="B212" s="774"/>
      <c r="C212" s="774"/>
      <c r="D212" s="774"/>
      <c r="E212" s="20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" customHeight="1" x14ac:dyDescent="0.2">
      <c r="A213" s="773"/>
      <c r="B213" s="774"/>
      <c r="C213" s="774"/>
      <c r="D213" s="774"/>
      <c r="E213" s="20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" customHeight="1" x14ac:dyDescent="0.2">
      <c r="A214" s="773"/>
      <c r="B214" s="774"/>
      <c r="C214" s="774"/>
      <c r="D214" s="774"/>
      <c r="E214" s="20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" customHeight="1" x14ac:dyDescent="0.2">
      <c r="A215" s="773"/>
      <c r="B215" s="774"/>
      <c r="C215" s="774"/>
      <c r="D215" s="774"/>
      <c r="E215" s="20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" customHeight="1" x14ac:dyDescent="0.2">
      <c r="A216" s="773"/>
      <c r="B216" s="774"/>
      <c r="C216" s="774"/>
      <c r="D216" s="774"/>
      <c r="E216" s="20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" customHeight="1" x14ac:dyDescent="0.2">
      <c r="A217" s="773"/>
      <c r="B217" s="774"/>
      <c r="C217" s="774"/>
      <c r="D217" s="774"/>
      <c r="E217" s="20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" customHeight="1" x14ac:dyDescent="0.2">
      <c r="A218" s="773"/>
      <c r="B218" s="774"/>
      <c r="C218" s="774"/>
      <c r="D218" s="774"/>
      <c r="E218" s="20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" customHeight="1" x14ac:dyDescent="0.2">
      <c r="A219" s="773"/>
      <c r="B219" s="774"/>
      <c r="C219" s="774"/>
      <c r="D219" s="774"/>
      <c r="E219" s="20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" customHeight="1" x14ac:dyDescent="0.2">
      <c r="A220" s="773"/>
      <c r="B220" s="774"/>
      <c r="C220" s="774"/>
      <c r="D220" s="774"/>
      <c r="E220" s="20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" customHeight="1" x14ac:dyDescent="0.2">
      <c r="A221" s="773"/>
      <c r="B221" s="774"/>
      <c r="C221" s="774"/>
      <c r="D221" s="774"/>
      <c r="E221" s="20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" customHeight="1" x14ac:dyDescent="0.2">
      <c r="A222" s="773"/>
      <c r="B222" s="774"/>
      <c r="C222" s="774"/>
      <c r="D222" s="774"/>
      <c r="E222" s="20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" customHeight="1" x14ac:dyDescent="0.2">
      <c r="A223" s="773"/>
      <c r="B223" s="774"/>
      <c r="C223" s="774"/>
      <c r="D223" s="774"/>
      <c r="E223" s="20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" customHeight="1" x14ac:dyDescent="0.2">
      <c r="A224" s="773"/>
      <c r="B224" s="774"/>
      <c r="C224" s="774"/>
      <c r="D224" s="774"/>
      <c r="E224" s="20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" customHeight="1" x14ac:dyDescent="0.2">
      <c r="A225" s="773"/>
      <c r="B225" s="774"/>
      <c r="C225" s="774"/>
      <c r="D225" s="774"/>
      <c r="E225" s="20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" customHeight="1" x14ac:dyDescent="0.2">
      <c r="A226" s="773"/>
      <c r="B226" s="774"/>
      <c r="C226" s="774"/>
      <c r="D226" s="774"/>
      <c r="E226" s="20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" customHeight="1" x14ac:dyDescent="0.2">
      <c r="A227" s="773"/>
      <c r="B227" s="774"/>
      <c r="C227" s="774"/>
      <c r="D227" s="774"/>
      <c r="E227" s="20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" customHeight="1" x14ac:dyDescent="0.2">
      <c r="A228" s="773"/>
      <c r="B228" s="774"/>
      <c r="C228" s="774"/>
      <c r="D228" s="774"/>
      <c r="E228" s="20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" customHeight="1" x14ac:dyDescent="0.2">
      <c r="A229" s="773"/>
      <c r="B229" s="774"/>
      <c r="C229" s="774"/>
      <c r="D229" s="774"/>
      <c r="E229" s="20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" customHeight="1" x14ac:dyDescent="0.2">
      <c r="A230" s="773"/>
      <c r="B230" s="774"/>
      <c r="C230" s="774"/>
      <c r="D230" s="774"/>
      <c r="E230" s="20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" customHeight="1" x14ac:dyDescent="0.2">
      <c r="A231" s="773"/>
      <c r="B231" s="774"/>
      <c r="C231" s="774"/>
      <c r="D231" s="774"/>
      <c r="E231" s="20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" customHeight="1" x14ac:dyDescent="0.2">
      <c r="A232" s="773"/>
      <c r="B232" s="774"/>
      <c r="C232" s="774"/>
      <c r="D232" s="774"/>
      <c r="E232" s="20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" customHeight="1" x14ac:dyDescent="0.2">
      <c r="A233" s="773"/>
      <c r="B233" s="774"/>
      <c r="C233" s="774"/>
      <c r="D233" s="774"/>
      <c r="E233" s="20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" customHeight="1" x14ac:dyDescent="0.2">
      <c r="A234" s="773"/>
      <c r="B234" s="774"/>
      <c r="C234" s="774"/>
      <c r="D234" s="774"/>
      <c r="E234" s="20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" customHeight="1" x14ac:dyDescent="0.2">
      <c r="A235" s="773"/>
      <c r="B235" s="774"/>
      <c r="C235" s="774"/>
      <c r="D235" s="774"/>
      <c r="E235" s="20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" customHeight="1" x14ac:dyDescent="0.2">
      <c r="A236" s="773"/>
      <c r="B236" s="774"/>
      <c r="C236" s="774"/>
      <c r="D236" s="774"/>
      <c r="E236" s="20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" customHeight="1" x14ac:dyDescent="0.2">
      <c r="A237" s="773"/>
      <c r="B237" s="774"/>
      <c r="C237" s="774"/>
      <c r="D237" s="774"/>
      <c r="E237" s="20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" customHeight="1" x14ac:dyDescent="0.2">
      <c r="A238" s="773"/>
      <c r="B238" s="774"/>
      <c r="C238" s="774"/>
      <c r="D238" s="774"/>
      <c r="E238" s="20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" customHeight="1" x14ac:dyDescent="0.2">
      <c r="A239" s="773"/>
      <c r="B239" s="774"/>
      <c r="C239" s="774"/>
      <c r="D239" s="774"/>
      <c r="E239" s="20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" customHeight="1" x14ac:dyDescent="0.2">
      <c r="A240" s="773"/>
      <c r="B240" s="774"/>
      <c r="C240" s="774"/>
      <c r="D240" s="774"/>
      <c r="E240" s="20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" customHeight="1" x14ac:dyDescent="0.2">
      <c r="A241" s="773"/>
      <c r="B241" s="774"/>
      <c r="C241" s="774"/>
      <c r="D241" s="774"/>
      <c r="E241" s="20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" customHeight="1" x14ac:dyDescent="0.2">
      <c r="A242" s="773"/>
      <c r="B242" s="774"/>
      <c r="C242" s="774"/>
      <c r="D242" s="774"/>
      <c r="E242" s="20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" customHeight="1" x14ac:dyDescent="0.2">
      <c r="A243" s="773"/>
      <c r="B243" s="774"/>
      <c r="C243" s="774"/>
      <c r="D243" s="774"/>
      <c r="E243" s="20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" customHeight="1" x14ac:dyDescent="0.2">
      <c r="A244" s="773"/>
      <c r="B244" s="774"/>
      <c r="C244" s="774"/>
      <c r="D244" s="774"/>
      <c r="E244" s="20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" customHeight="1" x14ac:dyDescent="0.2">
      <c r="A245" s="773"/>
      <c r="B245" s="774"/>
      <c r="C245" s="774"/>
      <c r="D245" s="774"/>
      <c r="E245" s="20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" customHeight="1" x14ac:dyDescent="0.2">
      <c r="A246" s="773"/>
      <c r="B246" s="774"/>
      <c r="C246" s="774"/>
      <c r="D246" s="774"/>
      <c r="E246" s="20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" customHeight="1" x14ac:dyDescent="0.2">
      <c r="A247" s="773"/>
      <c r="B247" s="774"/>
      <c r="C247" s="774"/>
      <c r="D247" s="774"/>
      <c r="E247" s="20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" customHeight="1" x14ac:dyDescent="0.2">
      <c r="A248" s="773"/>
      <c r="B248" s="774"/>
      <c r="C248" s="774"/>
      <c r="D248" s="774"/>
      <c r="E248" s="20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" customHeight="1" x14ac:dyDescent="0.2">
      <c r="A249" s="773"/>
      <c r="B249" s="774"/>
      <c r="C249" s="774"/>
      <c r="D249" s="774"/>
      <c r="E249" s="20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" customHeight="1" x14ac:dyDescent="0.2">
      <c r="A250" s="773"/>
      <c r="B250" s="774"/>
      <c r="C250" s="774"/>
      <c r="D250" s="774"/>
      <c r="E250" s="20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" customHeight="1" x14ac:dyDescent="0.2">
      <c r="A251" s="773"/>
      <c r="B251" s="774"/>
      <c r="C251" s="774"/>
      <c r="D251" s="774"/>
      <c r="E251" s="20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" customHeight="1" x14ac:dyDescent="0.2">
      <c r="A252" s="773"/>
      <c r="B252" s="774"/>
      <c r="C252" s="774"/>
      <c r="D252" s="774"/>
      <c r="E252" s="20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" customHeight="1" x14ac:dyDescent="0.2">
      <c r="A253" s="773"/>
      <c r="B253" s="774"/>
      <c r="C253" s="774"/>
      <c r="D253" s="774"/>
      <c r="E253" s="20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" customHeight="1" x14ac:dyDescent="0.2">
      <c r="A254" s="773"/>
      <c r="B254" s="774"/>
      <c r="C254" s="774"/>
      <c r="D254" s="774"/>
      <c r="E254" s="20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" customHeight="1" x14ac:dyDescent="0.2">
      <c r="A255" s="773"/>
      <c r="B255" s="774"/>
      <c r="C255" s="774"/>
      <c r="D255" s="774"/>
      <c r="E255" s="20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" customHeight="1" x14ac:dyDescent="0.2">
      <c r="A256" s="773"/>
      <c r="B256" s="774"/>
      <c r="C256" s="774"/>
      <c r="D256" s="774"/>
      <c r="E256" s="20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" customHeight="1" x14ac:dyDescent="0.2">
      <c r="A257" s="773"/>
      <c r="B257" s="774"/>
      <c r="C257" s="774"/>
      <c r="D257" s="774"/>
      <c r="E257" s="20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" customHeight="1" x14ac:dyDescent="0.2">
      <c r="A258" s="773"/>
      <c r="B258" s="774"/>
      <c r="C258" s="774"/>
      <c r="D258" s="774"/>
      <c r="E258" s="20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" customHeight="1" x14ac:dyDescent="0.2">
      <c r="A259" s="773"/>
      <c r="B259" s="774"/>
      <c r="C259" s="774"/>
      <c r="D259" s="774"/>
      <c r="E259" s="20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" customHeight="1" x14ac:dyDescent="0.2">
      <c r="A260" s="773"/>
      <c r="B260" s="774"/>
      <c r="C260" s="774"/>
      <c r="D260" s="774"/>
      <c r="E260" s="20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" customHeight="1" x14ac:dyDescent="0.2">
      <c r="A261" s="773"/>
      <c r="B261" s="774"/>
      <c r="C261" s="774"/>
      <c r="D261" s="774"/>
      <c r="E261" s="20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" customHeight="1" x14ac:dyDescent="0.2">
      <c r="A262" s="773"/>
      <c r="B262" s="774"/>
      <c r="C262" s="774"/>
      <c r="D262" s="774"/>
      <c r="E262" s="20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" customHeight="1" x14ac:dyDescent="0.2">
      <c r="A263" s="773"/>
      <c r="B263" s="774"/>
      <c r="C263" s="774"/>
      <c r="D263" s="774"/>
      <c r="E263" s="20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" customHeight="1" x14ac:dyDescent="0.2">
      <c r="A264" s="773"/>
      <c r="B264" s="774"/>
      <c r="C264" s="774"/>
      <c r="D264" s="774"/>
      <c r="E264" s="20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" customHeight="1" x14ac:dyDescent="0.2">
      <c r="A265" s="773"/>
      <c r="B265" s="774"/>
      <c r="C265" s="774"/>
      <c r="D265" s="774"/>
      <c r="E265" s="20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" customHeight="1" x14ac:dyDescent="0.2">
      <c r="A266" s="773"/>
      <c r="B266" s="774"/>
      <c r="C266" s="774"/>
      <c r="D266" s="774"/>
      <c r="E266" s="20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" customHeight="1" x14ac:dyDescent="0.2">
      <c r="A267" s="773"/>
      <c r="B267" s="774"/>
      <c r="C267" s="774"/>
      <c r="D267" s="774"/>
      <c r="E267" s="20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" customHeight="1" x14ac:dyDescent="0.2">
      <c r="A268" s="773"/>
      <c r="B268" s="774"/>
      <c r="C268" s="774"/>
      <c r="D268" s="774"/>
      <c r="E268" s="20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" customHeight="1" x14ac:dyDescent="0.2">
      <c r="A269" s="773"/>
      <c r="B269" s="774"/>
      <c r="C269" s="774"/>
      <c r="D269" s="774"/>
      <c r="E269" s="20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" customHeight="1" x14ac:dyDescent="0.2">
      <c r="A270" s="773"/>
      <c r="B270" s="774"/>
      <c r="C270" s="774"/>
      <c r="D270" s="774"/>
      <c r="E270" s="20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" customHeight="1" x14ac:dyDescent="0.2">
      <c r="A271" s="773"/>
      <c r="B271" s="774"/>
      <c r="C271" s="774"/>
      <c r="D271" s="774"/>
      <c r="E271" s="20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" customHeight="1" x14ac:dyDescent="0.2">
      <c r="A272" s="773"/>
      <c r="B272" s="774"/>
      <c r="C272" s="774"/>
      <c r="D272" s="774"/>
      <c r="E272" s="20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" customHeight="1" x14ac:dyDescent="0.2">
      <c r="A273" s="773"/>
      <c r="B273" s="774"/>
      <c r="C273" s="774"/>
      <c r="D273" s="774"/>
      <c r="E273" s="20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" customHeight="1" x14ac:dyDescent="0.2">
      <c r="A274" s="773"/>
      <c r="B274" s="774"/>
      <c r="C274" s="774"/>
      <c r="D274" s="774"/>
      <c r="E274" s="20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" customHeight="1" x14ac:dyDescent="0.2">
      <c r="A275" s="773"/>
      <c r="B275" s="774"/>
      <c r="C275" s="774"/>
      <c r="D275" s="774"/>
      <c r="E275" s="20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" customHeight="1" x14ac:dyDescent="0.2">
      <c r="A276" s="773"/>
      <c r="B276" s="774"/>
      <c r="C276" s="774"/>
      <c r="D276" s="774"/>
      <c r="E276" s="20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" customHeight="1" x14ac:dyDescent="0.2">
      <c r="A277" s="773"/>
      <c r="B277" s="774"/>
      <c r="C277" s="774"/>
      <c r="D277" s="774"/>
      <c r="E277" s="20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" customHeight="1" x14ac:dyDescent="0.2">
      <c r="A278" s="773"/>
      <c r="B278" s="774"/>
      <c r="C278" s="774"/>
      <c r="D278" s="774"/>
      <c r="E278" s="20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" customHeight="1" x14ac:dyDescent="0.2">
      <c r="A279" s="773"/>
      <c r="B279" s="774"/>
      <c r="C279" s="774"/>
      <c r="D279" s="774"/>
      <c r="E279" s="20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" customHeight="1" x14ac:dyDescent="0.2">
      <c r="A280" s="773"/>
      <c r="B280" s="774"/>
      <c r="C280" s="774"/>
      <c r="D280" s="774"/>
      <c r="E280" s="20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" customHeight="1" x14ac:dyDescent="0.2">
      <c r="A281" s="773"/>
      <c r="B281" s="774"/>
      <c r="C281" s="774"/>
      <c r="D281" s="774"/>
      <c r="E281" s="20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" customHeight="1" x14ac:dyDescent="0.2">
      <c r="A282" s="773"/>
      <c r="B282" s="774"/>
      <c r="C282" s="774"/>
      <c r="D282" s="774"/>
      <c r="E282" s="20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" customHeight="1" x14ac:dyDescent="0.2">
      <c r="A283" s="773"/>
      <c r="B283" s="774"/>
      <c r="C283" s="774"/>
      <c r="D283" s="774"/>
      <c r="E283" s="20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" customHeight="1" x14ac:dyDescent="0.2">
      <c r="A284" s="773"/>
      <c r="B284" s="774"/>
      <c r="C284" s="774"/>
      <c r="D284" s="774"/>
      <c r="E284" s="20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" customHeight="1" x14ac:dyDescent="0.2">
      <c r="A285" s="773"/>
      <c r="B285" s="774"/>
      <c r="C285" s="774"/>
      <c r="D285" s="774"/>
      <c r="E285" s="20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" customHeight="1" x14ac:dyDescent="0.2">
      <c r="A286" s="773"/>
      <c r="B286" s="774"/>
      <c r="C286" s="774"/>
      <c r="D286" s="774"/>
      <c r="E286" s="20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" customHeight="1" x14ac:dyDescent="0.2">
      <c r="A287" s="773"/>
      <c r="B287" s="774"/>
      <c r="C287" s="774"/>
      <c r="D287" s="774"/>
      <c r="E287" s="20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" customHeight="1" x14ac:dyDescent="0.2">
      <c r="A288" s="773"/>
      <c r="B288" s="774"/>
      <c r="C288" s="774"/>
      <c r="D288" s="774"/>
      <c r="E288" s="20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" customHeight="1" x14ac:dyDescent="0.2">
      <c r="A289" s="773"/>
      <c r="B289" s="774"/>
      <c r="C289" s="774"/>
      <c r="D289" s="774"/>
      <c r="E289" s="20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" customHeight="1" x14ac:dyDescent="0.2">
      <c r="A290" s="773"/>
      <c r="B290" s="774"/>
      <c r="C290" s="774"/>
      <c r="D290" s="774"/>
      <c r="E290" s="20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" customHeight="1" x14ac:dyDescent="0.2">
      <c r="A291" s="773"/>
      <c r="B291" s="774"/>
      <c r="C291" s="774"/>
      <c r="D291" s="774"/>
      <c r="E291" s="20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" customHeight="1" x14ac:dyDescent="0.2">
      <c r="A292" s="773"/>
      <c r="B292" s="774"/>
      <c r="C292" s="774"/>
      <c r="D292" s="774"/>
      <c r="E292" s="20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" customHeight="1" x14ac:dyDescent="0.2">
      <c r="A293" s="773"/>
      <c r="B293" s="774"/>
      <c r="C293" s="774"/>
      <c r="D293" s="774"/>
      <c r="E293" s="20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" customHeight="1" x14ac:dyDescent="0.2">
      <c r="A294" s="773"/>
      <c r="B294" s="774"/>
      <c r="C294" s="774"/>
      <c r="D294" s="774"/>
      <c r="E294" s="20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" customHeight="1" x14ac:dyDescent="0.2">
      <c r="A295" s="773"/>
      <c r="B295" s="774"/>
      <c r="C295" s="774"/>
      <c r="D295" s="774"/>
      <c r="E295" s="20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" customHeight="1" x14ac:dyDescent="0.2">
      <c r="A296" s="773"/>
      <c r="B296" s="774"/>
      <c r="C296" s="774"/>
      <c r="D296" s="774"/>
      <c r="E296" s="20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" customHeight="1" x14ac:dyDescent="0.2">
      <c r="A297" s="773"/>
      <c r="B297" s="774"/>
      <c r="C297" s="774"/>
      <c r="D297" s="774"/>
      <c r="E297" s="20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" customHeight="1" x14ac:dyDescent="0.2">
      <c r="A298" s="773"/>
      <c r="B298" s="774"/>
      <c r="C298" s="774"/>
      <c r="D298" s="774"/>
      <c r="E298" s="20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" customHeight="1" x14ac:dyDescent="0.2">
      <c r="A299" s="773"/>
      <c r="B299" s="774"/>
      <c r="C299" s="774"/>
      <c r="D299" s="774"/>
      <c r="E299" s="20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" customHeight="1" x14ac:dyDescent="0.2">
      <c r="A300" s="773"/>
      <c r="B300" s="774"/>
      <c r="C300" s="774"/>
      <c r="D300" s="774"/>
      <c r="E300" s="20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" customHeight="1" x14ac:dyDescent="0.2">
      <c r="A301" s="773"/>
      <c r="B301" s="774"/>
      <c r="C301" s="774"/>
      <c r="D301" s="774"/>
      <c r="E301" s="20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" customHeight="1" x14ac:dyDescent="0.2">
      <c r="A302" s="773"/>
      <c r="B302" s="774"/>
      <c r="C302" s="774"/>
      <c r="D302" s="774"/>
      <c r="E302" s="20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" customHeight="1" x14ac:dyDescent="0.2">
      <c r="A303" s="773"/>
      <c r="B303" s="774"/>
      <c r="C303" s="774"/>
      <c r="D303" s="774"/>
      <c r="E303" s="20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" customHeight="1" x14ac:dyDescent="0.2">
      <c r="A304" s="773"/>
      <c r="B304" s="774"/>
      <c r="C304" s="774"/>
      <c r="D304" s="774"/>
      <c r="E304" s="20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" customHeight="1" x14ac:dyDescent="0.2">
      <c r="A305" s="773"/>
      <c r="B305" s="774"/>
      <c r="C305" s="774"/>
      <c r="D305" s="774"/>
      <c r="E305" s="20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" customHeight="1" x14ac:dyDescent="0.2">
      <c r="A306" s="773"/>
      <c r="B306" s="774"/>
      <c r="C306" s="774"/>
      <c r="D306" s="774"/>
      <c r="E306" s="20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" customHeight="1" x14ac:dyDescent="0.2">
      <c r="A307" s="773"/>
      <c r="B307" s="774"/>
      <c r="C307" s="774"/>
      <c r="D307" s="774"/>
      <c r="E307" s="20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" customHeight="1" x14ac:dyDescent="0.2">
      <c r="A308" s="773"/>
      <c r="B308" s="774"/>
      <c r="C308" s="774"/>
      <c r="D308" s="774"/>
      <c r="E308" s="20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" customHeight="1" x14ac:dyDescent="0.2">
      <c r="A309" s="773"/>
      <c r="B309" s="774"/>
      <c r="C309" s="774"/>
      <c r="D309" s="774"/>
      <c r="E309" s="20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" customHeight="1" x14ac:dyDescent="0.2">
      <c r="A310" s="773"/>
      <c r="B310" s="774"/>
      <c r="C310" s="774"/>
      <c r="D310" s="774"/>
      <c r="E310" s="20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" customHeight="1" x14ac:dyDescent="0.2">
      <c r="A311" s="773"/>
      <c r="B311" s="774"/>
      <c r="C311" s="774"/>
      <c r="D311" s="774"/>
      <c r="E311" s="20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" customHeight="1" x14ac:dyDescent="0.2">
      <c r="A312" s="773"/>
      <c r="B312" s="774"/>
      <c r="C312" s="774"/>
      <c r="D312" s="774"/>
      <c r="E312" s="20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" customHeight="1" x14ac:dyDescent="0.2">
      <c r="A313" s="773"/>
      <c r="B313" s="774"/>
      <c r="C313" s="774"/>
      <c r="D313" s="774"/>
      <c r="E313" s="20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" customHeight="1" x14ac:dyDescent="0.2">
      <c r="A314" s="773"/>
      <c r="B314" s="774"/>
      <c r="C314" s="774"/>
      <c r="D314" s="774"/>
      <c r="E314" s="20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" customHeight="1" x14ac:dyDescent="0.2">
      <c r="A315" s="773"/>
      <c r="B315" s="774"/>
      <c r="C315" s="774"/>
      <c r="D315" s="774"/>
      <c r="E315" s="20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" customHeight="1" x14ac:dyDescent="0.2">
      <c r="A316" s="773"/>
      <c r="B316" s="774"/>
      <c r="C316" s="774"/>
      <c r="D316" s="774"/>
      <c r="E316" s="20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" customHeight="1" x14ac:dyDescent="0.2">
      <c r="A317" s="773"/>
      <c r="B317" s="774"/>
      <c r="C317" s="774"/>
      <c r="D317" s="774"/>
      <c r="E317" s="20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" customHeight="1" x14ac:dyDescent="0.2">
      <c r="A318" s="773"/>
      <c r="B318" s="774"/>
      <c r="C318" s="774"/>
      <c r="D318" s="774"/>
      <c r="E318" s="20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" customHeight="1" x14ac:dyDescent="0.2">
      <c r="A319" s="773"/>
      <c r="B319" s="774"/>
      <c r="C319" s="774"/>
      <c r="D319" s="774"/>
      <c r="E319" s="20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" customHeight="1" x14ac:dyDescent="0.2">
      <c r="A320" s="773"/>
      <c r="B320" s="774"/>
      <c r="C320" s="774"/>
      <c r="D320" s="774"/>
      <c r="E320" s="20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" customHeight="1" x14ac:dyDescent="0.2">
      <c r="A321" s="773"/>
      <c r="B321" s="774"/>
      <c r="C321" s="774"/>
      <c r="D321" s="774"/>
      <c r="E321" s="20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" customHeight="1" x14ac:dyDescent="0.2">
      <c r="A322" s="773"/>
      <c r="B322" s="774"/>
      <c r="C322" s="774"/>
      <c r="D322" s="774"/>
      <c r="E322" s="20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" customHeight="1" x14ac:dyDescent="0.2">
      <c r="A323" s="773"/>
      <c r="B323" s="774"/>
      <c r="C323" s="774"/>
      <c r="D323" s="774"/>
      <c r="E323" s="20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" customHeight="1" x14ac:dyDescent="0.2">
      <c r="A324" s="773"/>
      <c r="B324" s="774"/>
      <c r="C324" s="774"/>
      <c r="D324" s="774"/>
      <c r="E324" s="20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" customHeight="1" x14ac:dyDescent="0.2">
      <c r="A325" s="773"/>
      <c r="B325" s="774"/>
      <c r="C325" s="774"/>
      <c r="D325" s="774"/>
      <c r="E325" s="20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" customHeight="1" x14ac:dyDescent="0.2">
      <c r="A326" s="773"/>
      <c r="B326" s="774"/>
      <c r="C326" s="774"/>
      <c r="D326" s="774"/>
      <c r="E326" s="20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" customHeight="1" x14ac:dyDescent="0.2">
      <c r="A327" s="773"/>
      <c r="B327" s="774"/>
      <c r="C327" s="774"/>
      <c r="D327" s="774"/>
      <c r="E327" s="20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" customHeight="1" x14ac:dyDescent="0.2">
      <c r="A328" s="773"/>
      <c r="B328" s="774"/>
      <c r="C328" s="774"/>
      <c r="D328" s="774"/>
      <c r="E328" s="20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" customHeight="1" x14ac:dyDescent="0.2">
      <c r="A329" s="773"/>
      <c r="B329" s="774"/>
      <c r="C329" s="774"/>
      <c r="D329" s="774"/>
      <c r="E329" s="20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" customHeight="1" x14ac:dyDescent="0.2">
      <c r="A330" s="773"/>
      <c r="B330" s="774"/>
      <c r="C330" s="774"/>
      <c r="D330" s="774"/>
      <c r="E330" s="20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" customHeight="1" x14ac:dyDescent="0.2">
      <c r="A331" s="773"/>
      <c r="B331" s="774"/>
      <c r="C331" s="774"/>
      <c r="D331" s="774"/>
      <c r="E331" s="20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" customHeight="1" x14ac:dyDescent="0.2">
      <c r="A332" s="773"/>
      <c r="B332" s="774"/>
      <c r="C332" s="774"/>
      <c r="D332" s="774"/>
      <c r="E332" s="20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" customHeight="1" x14ac:dyDescent="0.2">
      <c r="A333" s="773"/>
      <c r="B333" s="774"/>
      <c r="C333" s="774"/>
      <c r="D333" s="774"/>
      <c r="E333" s="20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" customHeight="1" x14ac:dyDescent="0.2">
      <c r="A334" s="773"/>
      <c r="B334" s="774"/>
      <c r="C334" s="774"/>
      <c r="D334" s="774"/>
      <c r="E334" s="20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" customHeight="1" x14ac:dyDescent="0.2">
      <c r="A335" s="773"/>
      <c r="B335" s="774"/>
      <c r="C335" s="774"/>
      <c r="D335" s="774"/>
      <c r="E335" s="20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" customHeight="1" x14ac:dyDescent="0.2">
      <c r="A336" s="773"/>
      <c r="B336" s="774"/>
      <c r="C336" s="774"/>
      <c r="D336" s="774"/>
      <c r="E336" s="20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" customHeight="1" x14ac:dyDescent="0.2">
      <c r="A337" s="773"/>
      <c r="B337" s="774"/>
      <c r="C337" s="774"/>
      <c r="D337" s="774"/>
      <c r="E337" s="20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" customHeight="1" x14ac:dyDescent="0.2">
      <c r="A338" s="773"/>
      <c r="B338" s="774"/>
      <c r="C338" s="774"/>
      <c r="D338" s="774"/>
      <c r="E338" s="20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" customHeight="1" x14ac:dyDescent="0.2">
      <c r="A339" s="773"/>
      <c r="B339" s="774"/>
      <c r="C339" s="774"/>
      <c r="D339" s="774"/>
      <c r="E339" s="20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" customHeight="1" x14ac:dyDescent="0.2">
      <c r="A340" s="773"/>
      <c r="B340" s="774"/>
      <c r="C340" s="774"/>
      <c r="D340" s="774"/>
      <c r="E340" s="20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" customHeight="1" x14ac:dyDescent="0.2">
      <c r="A341" s="773"/>
      <c r="B341" s="774"/>
      <c r="C341" s="774"/>
      <c r="D341" s="774"/>
      <c r="E341" s="20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" customHeight="1" x14ac:dyDescent="0.2">
      <c r="A342" s="773"/>
      <c r="B342" s="774"/>
      <c r="C342" s="774"/>
      <c r="D342" s="774"/>
      <c r="E342" s="2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" customHeight="1" x14ac:dyDescent="0.2">
      <c r="A343" s="773"/>
      <c r="B343" s="774"/>
      <c r="C343" s="774"/>
      <c r="D343" s="774"/>
      <c r="E343" s="20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" customHeight="1" x14ac:dyDescent="0.2">
      <c r="A344" s="773"/>
      <c r="B344" s="774"/>
      <c r="C344" s="774"/>
      <c r="D344" s="774"/>
      <c r="E344" s="20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" customHeight="1" x14ac:dyDescent="0.2">
      <c r="A345" s="773"/>
      <c r="B345" s="774"/>
      <c r="C345" s="774"/>
      <c r="D345" s="774"/>
      <c r="E345" s="2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" customHeight="1" x14ac:dyDescent="0.2">
      <c r="A346" s="773"/>
      <c r="B346" s="774"/>
      <c r="C346" s="774"/>
      <c r="D346" s="774"/>
      <c r="E346" s="2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" customHeight="1" x14ac:dyDescent="0.2">
      <c r="A347" s="773"/>
      <c r="B347" s="774"/>
      <c r="C347" s="774"/>
      <c r="D347" s="774"/>
      <c r="E347" s="2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" customHeight="1" x14ac:dyDescent="0.2">
      <c r="A348" s="773"/>
      <c r="B348" s="774"/>
      <c r="C348" s="774"/>
      <c r="D348" s="774"/>
      <c r="E348" s="2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" customHeight="1" x14ac:dyDescent="0.2">
      <c r="A349" s="773"/>
      <c r="B349" s="774"/>
      <c r="C349" s="774"/>
      <c r="D349" s="774"/>
      <c r="E349" s="2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" customHeight="1" x14ac:dyDescent="0.2">
      <c r="A350" s="773"/>
      <c r="B350" s="774"/>
      <c r="C350" s="774"/>
      <c r="D350" s="774"/>
      <c r="E350" s="2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" customHeight="1" x14ac:dyDescent="0.2">
      <c r="A351" s="773"/>
      <c r="B351" s="774"/>
      <c r="C351" s="774"/>
      <c r="D351" s="774"/>
      <c r="E351" s="20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" customHeight="1" x14ac:dyDescent="0.2">
      <c r="A352" s="773"/>
      <c r="B352" s="774"/>
      <c r="C352" s="774"/>
      <c r="D352" s="774"/>
      <c r="E352" s="20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" customHeight="1" x14ac:dyDescent="0.2">
      <c r="A353" s="773"/>
      <c r="B353" s="774"/>
      <c r="C353" s="774"/>
      <c r="D353" s="774"/>
      <c r="E353" s="20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" customHeight="1" x14ac:dyDescent="0.2">
      <c r="A354" s="773"/>
      <c r="B354" s="774"/>
      <c r="C354" s="774"/>
      <c r="D354" s="774"/>
      <c r="E354" s="20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" customHeight="1" x14ac:dyDescent="0.2">
      <c r="A355" s="773"/>
      <c r="B355" s="774"/>
      <c r="C355" s="774"/>
      <c r="D355" s="774"/>
      <c r="E355" s="20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" customHeight="1" x14ac:dyDescent="0.2">
      <c r="A356" s="773"/>
      <c r="B356" s="774"/>
      <c r="C356" s="774"/>
      <c r="D356" s="774"/>
      <c r="E356" s="20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" customHeight="1" x14ac:dyDescent="0.2">
      <c r="A357" s="773"/>
      <c r="B357" s="774"/>
      <c r="C357" s="774"/>
      <c r="D357" s="774"/>
      <c r="E357" s="20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" customHeight="1" x14ac:dyDescent="0.2">
      <c r="A358" s="773"/>
      <c r="B358" s="774"/>
      <c r="C358" s="774"/>
      <c r="D358" s="774"/>
      <c r="E358" s="20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U396"/>
  <sheetViews>
    <sheetView showGridLines="0" workbookViewId="0"/>
  </sheetViews>
  <sheetFormatPr baseColWidth="10" defaultColWidth="14.5" defaultRowHeight="15" customHeight="1" outlineLevelCol="1" x14ac:dyDescent="0.2"/>
  <cols>
    <col min="1" max="1" width="8.6640625" customWidth="1" outlineLevel="1"/>
    <col min="2" max="2" width="13.33203125" customWidth="1" outlineLevel="1"/>
    <col min="3" max="3" width="10.5" customWidth="1" outlineLevel="1"/>
    <col min="4" max="73" width="8.6640625" customWidth="1" outlineLevel="1"/>
  </cols>
  <sheetData>
    <row r="1" spans="1:73" ht="14.25" customHeight="1" x14ac:dyDescent="0.2">
      <c r="A1" s="847" t="s">
        <v>2</v>
      </c>
      <c r="B1" s="852"/>
      <c r="C1" s="848"/>
      <c r="F1" s="795" t="s">
        <v>691</v>
      </c>
      <c r="G1" s="796"/>
      <c r="H1" s="796">
        <f>MONTH(Inputs!$C$8)</f>
        <v>1</v>
      </c>
      <c r="I1" s="796">
        <f t="shared" ref="I1:BU1" si="0">IF(H1=12,1,H1+1)</f>
        <v>2</v>
      </c>
      <c r="J1" s="796">
        <f t="shared" si="0"/>
        <v>3</v>
      </c>
      <c r="K1" s="796">
        <f t="shared" si="0"/>
        <v>4</v>
      </c>
      <c r="L1" s="796">
        <f t="shared" si="0"/>
        <v>5</v>
      </c>
      <c r="M1" s="796">
        <f t="shared" si="0"/>
        <v>6</v>
      </c>
      <c r="N1" s="796">
        <f t="shared" si="0"/>
        <v>7</v>
      </c>
      <c r="O1" s="796">
        <f t="shared" si="0"/>
        <v>8</v>
      </c>
      <c r="P1" s="796">
        <f t="shared" si="0"/>
        <v>9</v>
      </c>
      <c r="Q1" s="796">
        <f t="shared" si="0"/>
        <v>10</v>
      </c>
      <c r="R1" s="796">
        <f t="shared" si="0"/>
        <v>11</v>
      </c>
      <c r="S1" s="796">
        <f t="shared" si="0"/>
        <v>12</v>
      </c>
      <c r="T1" s="796">
        <f t="shared" si="0"/>
        <v>1</v>
      </c>
      <c r="U1" s="796">
        <f t="shared" si="0"/>
        <v>2</v>
      </c>
      <c r="V1" s="796">
        <f t="shared" si="0"/>
        <v>3</v>
      </c>
      <c r="W1" s="796">
        <f t="shared" si="0"/>
        <v>4</v>
      </c>
      <c r="X1" s="796">
        <f t="shared" si="0"/>
        <v>5</v>
      </c>
      <c r="Y1" s="796">
        <f t="shared" si="0"/>
        <v>6</v>
      </c>
      <c r="Z1" s="796">
        <f t="shared" si="0"/>
        <v>7</v>
      </c>
      <c r="AA1" s="796">
        <f t="shared" si="0"/>
        <v>8</v>
      </c>
      <c r="AB1" s="796">
        <f t="shared" si="0"/>
        <v>9</v>
      </c>
      <c r="AC1" s="796">
        <f t="shared" si="0"/>
        <v>10</v>
      </c>
      <c r="AD1" s="796">
        <f t="shared" si="0"/>
        <v>11</v>
      </c>
      <c r="AE1" s="796">
        <f t="shared" si="0"/>
        <v>12</v>
      </c>
      <c r="AF1" s="796">
        <f t="shared" si="0"/>
        <v>1</v>
      </c>
      <c r="AG1" s="796">
        <f t="shared" si="0"/>
        <v>2</v>
      </c>
      <c r="AH1" s="796">
        <f t="shared" si="0"/>
        <v>3</v>
      </c>
      <c r="AI1" s="796">
        <f t="shared" si="0"/>
        <v>4</v>
      </c>
      <c r="AJ1" s="796">
        <f t="shared" si="0"/>
        <v>5</v>
      </c>
      <c r="AK1" s="796">
        <f t="shared" si="0"/>
        <v>6</v>
      </c>
      <c r="AL1" s="796">
        <f t="shared" si="0"/>
        <v>7</v>
      </c>
      <c r="AM1" s="796">
        <f t="shared" si="0"/>
        <v>8</v>
      </c>
      <c r="AN1" s="796">
        <f t="shared" si="0"/>
        <v>9</v>
      </c>
      <c r="AO1" s="796">
        <f t="shared" si="0"/>
        <v>10</v>
      </c>
      <c r="AP1" s="796">
        <f t="shared" si="0"/>
        <v>11</v>
      </c>
      <c r="AQ1" s="796">
        <f t="shared" si="0"/>
        <v>12</v>
      </c>
      <c r="AR1" s="796">
        <f t="shared" si="0"/>
        <v>1</v>
      </c>
      <c r="AS1" s="796">
        <f t="shared" si="0"/>
        <v>2</v>
      </c>
      <c r="AT1" s="796">
        <f t="shared" si="0"/>
        <v>3</v>
      </c>
      <c r="AU1" s="796">
        <f t="shared" si="0"/>
        <v>4</v>
      </c>
      <c r="AV1" s="796">
        <f t="shared" si="0"/>
        <v>5</v>
      </c>
      <c r="AW1" s="796">
        <f t="shared" si="0"/>
        <v>6</v>
      </c>
      <c r="AX1" s="796">
        <f t="shared" si="0"/>
        <v>7</v>
      </c>
      <c r="AY1" s="796">
        <f t="shared" si="0"/>
        <v>8</v>
      </c>
      <c r="AZ1" s="796">
        <f t="shared" si="0"/>
        <v>9</v>
      </c>
      <c r="BA1" s="796">
        <f t="shared" si="0"/>
        <v>10</v>
      </c>
      <c r="BB1" s="796">
        <f t="shared" si="0"/>
        <v>11</v>
      </c>
      <c r="BC1" s="796">
        <f t="shared" si="0"/>
        <v>12</v>
      </c>
      <c r="BD1" s="796">
        <f t="shared" si="0"/>
        <v>1</v>
      </c>
      <c r="BE1" s="796">
        <f t="shared" si="0"/>
        <v>2</v>
      </c>
      <c r="BF1" s="796">
        <f t="shared" si="0"/>
        <v>3</v>
      </c>
      <c r="BG1" s="796">
        <f t="shared" si="0"/>
        <v>4</v>
      </c>
      <c r="BH1" s="796">
        <f t="shared" si="0"/>
        <v>5</v>
      </c>
      <c r="BI1" s="796">
        <f t="shared" si="0"/>
        <v>6</v>
      </c>
      <c r="BJ1" s="796">
        <f t="shared" si="0"/>
        <v>7</v>
      </c>
      <c r="BK1" s="796">
        <f t="shared" si="0"/>
        <v>8</v>
      </c>
      <c r="BL1" s="796">
        <f t="shared" si="0"/>
        <v>9</v>
      </c>
      <c r="BM1" s="796">
        <f t="shared" si="0"/>
        <v>10</v>
      </c>
      <c r="BN1" s="796">
        <f t="shared" si="0"/>
        <v>11</v>
      </c>
      <c r="BO1" s="796">
        <f t="shared" si="0"/>
        <v>12</v>
      </c>
      <c r="BP1" s="796">
        <f t="shared" si="0"/>
        <v>1</v>
      </c>
      <c r="BQ1" s="796">
        <f t="shared" si="0"/>
        <v>2</v>
      </c>
      <c r="BR1" s="796">
        <f t="shared" si="0"/>
        <v>3</v>
      </c>
      <c r="BS1" s="796">
        <f t="shared" si="0"/>
        <v>4</v>
      </c>
      <c r="BT1" s="796">
        <f t="shared" si="0"/>
        <v>5</v>
      </c>
      <c r="BU1" s="796">
        <f t="shared" si="0"/>
        <v>6</v>
      </c>
    </row>
    <row r="2" spans="1:73" ht="14.25" customHeight="1" x14ac:dyDescent="0.2">
      <c r="A2" s="9"/>
      <c r="B2" s="53" t="s">
        <v>692</v>
      </c>
      <c r="C2" s="24">
        <f>'IP Attrition'!C2</f>
        <v>9.6000000000000002E-2</v>
      </c>
      <c r="F2" s="11" t="s">
        <v>679</v>
      </c>
      <c r="G2" s="797">
        <v>0</v>
      </c>
      <c r="H2" s="797">
        <v>1</v>
      </c>
      <c r="I2" s="797">
        <f t="shared" ref="I2:BU2" si="1">H2+1</f>
        <v>2</v>
      </c>
      <c r="J2" s="797">
        <f t="shared" si="1"/>
        <v>3</v>
      </c>
      <c r="K2" s="797">
        <f t="shared" si="1"/>
        <v>4</v>
      </c>
      <c r="L2" s="797">
        <f t="shared" si="1"/>
        <v>5</v>
      </c>
      <c r="M2" s="797">
        <f t="shared" si="1"/>
        <v>6</v>
      </c>
      <c r="N2" s="797">
        <f t="shared" si="1"/>
        <v>7</v>
      </c>
      <c r="O2" s="797">
        <f t="shared" si="1"/>
        <v>8</v>
      </c>
      <c r="P2" s="797">
        <f t="shared" si="1"/>
        <v>9</v>
      </c>
      <c r="Q2" s="797">
        <f t="shared" si="1"/>
        <v>10</v>
      </c>
      <c r="R2" s="797">
        <f t="shared" si="1"/>
        <v>11</v>
      </c>
      <c r="S2" s="797">
        <f t="shared" si="1"/>
        <v>12</v>
      </c>
      <c r="T2" s="797">
        <f t="shared" si="1"/>
        <v>13</v>
      </c>
      <c r="U2" s="797">
        <f t="shared" si="1"/>
        <v>14</v>
      </c>
      <c r="V2" s="797">
        <f t="shared" si="1"/>
        <v>15</v>
      </c>
      <c r="W2" s="797">
        <f t="shared" si="1"/>
        <v>16</v>
      </c>
      <c r="X2" s="797">
        <f t="shared" si="1"/>
        <v>17</v>
      </c>
      <c r="Y2" s="797">
        <f t="shared" si="1"/>
        <v>18</v>
      </c>
      <c r="Z2" s="797">
        <f t="shared" si="1"/>
        <v>19</v>
      </c>
      <c r="AA2" s="797">
        <f t="shared" si="1"/>
        <v>20</v>
      </c>
      <c r="AB2" s="797">
        <f t="shared" si="1"/>
        <v>21</v>
      </c>
      <c r="AC2" s="797">
        <f t="shared" si="1"/>
        <v>22</v>
      </c>
      <c r="AD2" s="797">
        <f t="shared" si="1"/>
        <v>23</v>
      </c>
      <c r="AE2" s="797">
        <f t="shared" si="1"/>
        <v>24</v>
      </c>
      <c r="AF2" s="797">
        <f t="shared" si="1"/>
        <v>25</v>
      </c>
      <c r="AG2" s="797">
        <f t="shared" si="1"/>
        <v>26</v>
      </c>
      <c r="AH2" s="797">
        <f t="shared" si="1"/>
        <v>27</v>
      </c>
      <c r="AI2" s="797">
        <f t="shared" si="1"/>
        <v>28</v>
      </c>
      <c r="AJ2" s="797">
        <f t="shared" si="1"/>
        <v>29</v>
      </c>
      <c r="AK2" s="797">
        <f t="shared" si="1"/>
        <v>30</v>
      </c>
      <c r="AL2" s="797">
        <f t="shared" si="1"/>
        <v>31</v>
      </c>
      <c r="AM2" s="797">
        <f t="shared" si="1"/>
        <v>32</v>
      </c>
      <c r="AN2" s="797">
        <f t="shared" si="1"/>
        <v>33</v>
      </c>
      <c r="AO2" s="797">
        <f t="shared" si="1"/>
        <v>34</v>
      </c>
      <c r="AP2" s="797">
        <f t="shared" si="1"/>
        <v>35</v>
      </c>
      <c r="AQ2" s="797">
        <f t="shared" si="1"/>
        <v>36</v>
      </c>
      <c r="AR2" s="797">
        <f t="shared" si="1"/>
        <v>37</v>
      </c>
      <c r="AS2" s="797">
        <f t="shared" si="1"/>
        <v>38</v>
      </c>
      <c r="AT2" s="797">
        <f t="shared" si="1"/>
        <v>39</v>
      </c>
      <c r="AU2" s="797">
        <f t="shared" si="1"/>
        <v>40</v>
      </c>
      <c r="AV2" s="797">
        <f t="shared" si="1"/>
        <v>41</v>
      </c>
      <c r="AW2" s="797">
        <f t="shared" si="1"/>
        <v>42</v>
      </c>
      <c r="AX2" s="797">
        <f t="shared" si="1"/>
        <v>43</v>
      </c>
      <c r="AY2" s="797">
        <f t="shared" si="1"/>
        <v>44</v>
      </c>
      <c r="AZ2" s="797">
        <f t="shared" si="1"/>
        <v>45</v>
      </c>
      <c r="BA2" s="797">
        <f t="shared" si="1"/>
        <v>46</v>
      </c>
      <c r="BB2" s="797">
        <f t="shared" si="1"/>
        <v>47</v>
      </c>
      <c r="BC2" s="797">
        <f t="shared" si="1"/>
        <v>48</v>
      </c>
      <c r="BD2" s="797">
        <f t="shared" si="1"/>
        <v>49</v>
      </c>
      <c r="BE2" s="797">
        <f t="shared" si="1"/>
        <v>50</v>
      </c>
      <c r="BF2" s="797">
        <f t="shared" si="1"/>
        <v>51</v>
      </c>
      <c r="BG2" s="797">
        <f t="shared" si="1"/>
        <v>52</v>
      </c>
      <c r="BH2" s="797">
        <f t="shared" si="1"/>
        <v>53</v>
      </c>
      <c r="BI2" s="797">
        <f t="shared" si="1"/>
        <v>54</v>
      </c>
      <c r="BJ2" s="797">
        <f t="shared" si="1"/>
        <v>55</v>
      </c>
      <c r="BK2" s="797">
        <f t="shared" si="1"/>
        <v>56</v>
      </c>
      <c r="BL2" s="797">
        <f t="shared" si="1"/>
        <v>57</v>
      </c>
      <c r="BM2" s="797">
        <f t="shared" si="1"/>
        <v>58</v>
      </c>
      <c r="BN2" s="797">
        <f t="shared" si="1"/>
        <v>59</v>
      </c>
      <c r="BO2" s="797">
        <f t="shared" si="1"/>
        <v>60</v>
      </c>
      <c r="BP2" s="797">
        <f t="shared" si="1"/>
        <v>61</v>
      </c>
      <c r="BQ2" s="797">
        <f t="shared" si="1"/>
        <v>62</v>
      </c>
      <c r="BR2" s="797">
        <f t="shared" si="1"/>
        <v>63</v>
      </c>
      <c r="BS2" s="797">
        <f t="shared" si="1"/>
        <v>64</v>
      </c>
      <c r="BT2" s="797">
        <f t="shared" si="1"/>
        <v>65</v>
      </c>
      <c r="BU2" s="797">
        <f t="shared" si="1"/>
        <v>66</v>
      </c>
    </row>
    <row r="3" spans="1:73" ht="14.25" customHeight="1" x14ac:dyDescent="0.2">
      <c r="A3" s="16"/>
      <c r="B3" s="798" t="s">
        <v>693</v>
      </c>
      <c r="C3" s="26">
        <f>'IP Attrition'!C3</f>
        <v>0.02</v>
      </c>
      <c r="E3" s="11">
        <f>MONTH(Inputs!$C$8)-1</f>
        <v>0</v>
      </c>
      <c r="F3" s="11">
        <v>0</v>
      </c>
      <c r="G3" s="799"/>
      <c r="H3" s="799">
        <f>IF(H$2=$F3+1,Monthly!D$21,IF(H$2&gt;$F3+1,('Traditional Attrition'!G3+H135)*(1-IF(H$2-$F3&lt;=12,SUMIFS('Attrition Modeling'!$D:$D,'Attrition Modeling'!$B:$B,'Traditional Attrition'!$E3,'Attrition Modeling'!$C:$C,'Traditional Attrition'!H$1),VLOOKUP('Traditional Attrition'!H$2-'Traditional Attrition'!$F3-1,'Traditional Attrition'!$A$7:$C$161,2,FALSE)*VLOOKUP(H$1,'Attrition Modeling'!$L$15:$N$27,IF(H$2-$F3&lt;=24,2,3),FALSE))*(1+Projection!J$16)*(1+IF(H135&gt;0,'Attrition Modeling'!$N$9,0))),0))</f>
        <v>3497.1153150024606</v>
      </c>
      <c r="I3" s="799">
        <f>IF(I$2=$F3+1,Monthly!E$21,IF(I$2&gt;$F3+1,('Traditional Attrition'!H3+I135)*(1-IF(I$2-$F3&lt;=12,SUMIFS('Attrition Modeling'!$D:$D,'Attrition Modeling'!$B:$B,'Traditional Attrition'!$E3,'Attrition Modeling'!$C:$C,'Traditional Attrition'!I$1),VLOOKUP('Traditional Attrition'!I$2-'Traditional Attrition'!$F3-1,'Traditional Attrition'!$A$7:$C$161,2,FALSE)*VLOOKUP(I$1,'Attrition Modeling'!$L$15:$N$27,IF(I$2-$F3&lt;=24,2,3),FALSE))*(1+Projection!K$16)*(1+IF(I135&gt;0,'Attrition Modeling'!$N$9,0))),0))</f>
        <v>3497.1153150024606</v>
      </c>
      <c r="J3" s="799">
        <f>IF(J$2=$F3+1,Monthly!F$21,IF(J$2&gt;$F3+1,('Traditional Attrition'!I3+J135)*(1-IF(J$2-$F3&lt;=12,SUMIFS('Attrition Modeling'!$D:$D,'Attrition Modeling'!$B:$B,'Traditional Attrition'!$E3,'Attrition Modeling'!$C:$C,'Traditional Attrition'!J$1),VLOOKUP('Traditional Attrition'!J$2-'Traditional Attrition'!$F3-1,'Traditional Attrition'!$A$7:$C$161,2,FALSE)*VLOOKUP(J$1,'Attrition Modeling'!$L$15:$N$27,IF(J$2-$F3&lt;=24,2,3),FALSE))*(1+Projection!L$16)*(1+IF(J135&gt;0,'Attrition Modeling'!$N$9,0))),0))</f>
        <v>3497.1153150024606</v>
      </c>
      <c r="K3" s="799">
        <f>IF(K$2=$F3+1,Monthly!G$21,IF(K$2&gt;$F3+1,('Traditional Attrition'!J3+K135)*(1-IF(K$2-$F3&lt;=12,SUMIFS('Attrition Modeling'!$D:$D,'Attrition Modeling'!$B:$B,'Traditional Attrition'!$E3,'Attrition Modeling'!$C:$C,'Traditional Attrition'!K$1),VLOOKUP('Traditional Attrition'!K$2-'Traditional Attrition'!$F3-1,'Traditional Attrition'!$A$7:$C$161,2,FALSE)*VLOOKUP(K$1,'Attrition Modeling'!$L$15:$N$27,IF(K$2-$F3&lt;=24,2,3),FALSE))*(1+Projection!M$16)*(1+IF(K135&gt;0,'Attrition Modeling'!$N$9,0))),0))</f>
        <v>3497.1153150024606</v>
      </c>
      <c r="L3" s="799">
        <f>IF(L$2=$F3+1,Monthly!H$21,IF(L$2&gt;$F3+1,('Traditional Attrition'!K3+L135)*(1-IF(L$2-$F3&lt;=12,SUMIFS('Attrition Modeling'!$D:$D,'Attrition Modeling'!$B:$B,'Traditional Attrition'!$E3,'Attrition Modeling'!$C:$C,'Traditional Attrition'!L$1),VLOOKUP('Traditional Attrition'!L$2-'Traditional Attrition'!$F3-1,'Traditional Attrition'!$A$7:$C$161,2,FALSE)*VLOOKUP(L$1,'Attrition Modeling'!$L$15:$N$27,IF(L$2-$F3&lt;=24,2,3),FALSE))*(1+Projection!N$16)*(1+IF(L135&gt;0,'Attrition Modeling'!$N$9,0))),0))</f>
        <v>3497.1153150024606</v>
      </c>
      <c r="M3" s="799">
        <f>IF(M$2=$F3+1,Monthly!I$21,IF(M$2&gt;$F3+1,('Traditional Attrition'!L3+M135)*(1-IF(M$2-$F3&lt;=12,SUMIFS('Attrition Modeling'!$D:$D,'Attrition Modeling'!$B:$B,'Traditional Attrition'!$E3,'Attrition Modeling'!$C:$C,'Traditional Attrition'!M$1),VLOOKUP('Traditional Attrition'!M$2-'Traditional Attrition'!$F3-1,'Traditional Attrition'!$A$7:$C$161,2,FALSE)*VLOOKUP(M$1,'Attrition Modeling'!$L$15:$N$27,IF(M$2-$F3&lt;=24,2,3),FALSE))*(1+Projection!O$16)*(1+IF(M135&gt;0,'Attrition Modeling'!$N$9,0))),0))</f>
        <v>3832.8383852426969</v>
      </c>
      <c r="N3" s="799">
        <f>IF(N$2=$F3+1,Monthly!J$21,IF(N$2&gt;$F3+1,('Traditional Attrition'!M3+N135)*(1-IF(N$2-$F3&lt;=12,SUMIFS('Attrition Modeling'!$D:$D,'Attrition Modeling'!$B:$B,'Traditional Attrition'!$E3,'Attrition Modeling'!$C:$C,'Traditional Attrition'!N$1),VLOOKUP('Traditional Attrition'!N$2-'Traditional Attrition'!$F3-1,'Traditional Attrition'!$A$7:$C$161,2,FALSE)*VLOOKUP(N$1,'Attrition Modeling'!$L$15:$N$27,IF(N$2-$F3&lt;=24,2,3),FALSE))*(1+Projection!P$16)*(1+IF(N135&gt;0,'Attrition Modeling'!$N$9,0))),0))</f>
        <v>3832.8383852426969</v>
      </c>
      <c r="O3" s="799">
        <f>IF(O$2=$F3+1,Monthly!K$21,IF(O$2&gt;$F3+1,('Traditional Attrition'!N3+O135)*(1-IF(O$2-$F3&lt;=12,SUMIFS('Attrition Modeling'!$D:$D,'Attrition Modeling'!$B:$B,'Traditional Attrition'!$E3,'Attrition Modeling'!$C:$C,'Traditional Attrition'!O$1),VLOOKUP('Traditional Attrition'!O$2-'Traditional Attrition'!$F3-1,'Traditional Attrition'!$A$7:$C$161,2,FALSE)*VLOOKUP(O$1,'Attrition Modeling'!$L$15:$N$27,IF(O$2-$F3&lt;=24,2,3),FALSE))*(1+Projection!Q$16)*(1+IF(O135&gt;0,'Attrition Modeling'!$N$9,0))),0))</f>
        <v>3832.8383852426969</v>
      </c>
      <c r="P3" s="799">
        <f>IF(P$2=$F3+1,Monthly!L$21,IF(P$2&gt;$F3+1,('Traditional Attrition'!O3+P135)*(1-IF(P$2-$F3&lt;=12,SUMIFS('Attrition Modeling'!$D:$D,'Attrition Modeling'!$B:$B,'Traditional Attrition'!$E3,'Attrition Modeling'!$C:$C,'Traditional Attrition'!P$1),VLOOKUP('Traditional Attrition'!P$2-'Traditional Attrition'!$F3-1,'Traditional Attrition'!$A$7:$C$161,2,FALSE)*VLOOKUP(P$1,'Attrition Modeling'!$L$15:$N$27,IF(P$2-$F3&lt;=24,2,3),FALSE))*(1+Projection!R$16)*(1+IF(P135&gt;0,'Attrition Modeling'!$N$9,0))),0))</f>
        <v>3832.8383852426969</v>
      </c>
      <c r="Q3" s="799">
        <f>IF(Q$2=$F3+1,Monthly!M$21,IF(Q$2&gt;$F3+1,('Traditional Attrition'!P3+Q135)*(1-IF(Q$2-$F3&lt;=12,SUMIFS('Attrition Modeling'!$D:$D,'Attrition Modeling'!$B:$B,'Traditional Attrition'!$E3,'Attrition Modeling'!$C:$C,'Traditional Attrition'!Q$1),VLOOKUP('Traditional Attrition'!Q$2-'Traditional Attrition'!$F3-1,'Traditional Attrition'!$A$7:$C$161,2,FALSE)*VLOOKUP(Q$1,'Attrition Modeling'!$L$15:$N$27,IF(Q$2-$F3&lt;=24,2,3),FALSE))*(1+Projection!S$16)*(1+IF(Q135&gt;0,'Attrition Modeling'!$N$9,0))),0))</f>
        <v>3832.8383852426969</v>
      </c>
      <c r="R3" s="799">
        <f>IF(R$2=$F3+1,Monthly!N$21,IF(R$2&gt;$F3+1,('Traditional Attrition'!Q3+R135)*(1-IF(R$2-$F3&lt;=12,SUMIFS('Attrition Modeling'!$D:$D,'Attrition Modeling'!$B:$B,'Traditional Attrition'!$E3,'Attrition Modeling'!$C:$C,'Traditional Attrition'!R$1),VLOOKUP('Traditional Attrition'!R$2-'Traditional Attrition'!$F3-1,'Traditional Attrition'!$A$7:$C$161,2,FALSE)*VLOOKUP(R$1,'Attrition Modeling'!$L$15:$N$27,IF(R$2-$F3&lt;=24,2,3),FALSE))*(1+Projection!T$16)*(1+IF(R135&gt;0,'Attrition Modeling'!$N$9,0))),0))</f>
        <v>3832.8383852426969</v>
      </c>
      <c r="S3" s="799">
        <f>IF(S$2=$F3+1,Monthly!O$21,IF(S$2&gt;$F3+1,('Traditional Attrition'!R3+S135)*(1-IF(S$2-$F3&lt;=12,SUMIFS('Attrition Modeling'!$D:$D,'Attrition Modeling'!$B:$B,'Traditional Attrition'!$E3,'Attrition Modeling'!$C:$C,'Traditional Attrition'!S$1),VLOOKUP('Traditional Attrition'!S$2-'Traditional Attrition'!$F3-1,'Traditional Attrition'!$A$7:$C$161,2,FALSE)*VLOOKUP(S$1,'Attrition Modeling'!$L$15:$N$27,IF(S$2-$F3&lt;=24,2,3),FALSE))*(1+Projection!U$16)*(1+IF(S135&gt;0,'Attrition Modeling'!$N$9,0))),0))</f>
        <v>3832.8383852426969</v>
      </c>
      <c r="T3" s="799">
        <f>IF(T$2=$F3+1,Monthly!P$21,IF(T$2&gt;$F3+1,('Traditional Attrition'!S3+T135)*(1-IF(T$2-$F3&lt;=12,SUMIFS('Attrition Modeling'!$D:$D,'Attrition Modeling'!$B:$B,'Traditional Attrition'!$E3,'Attrition Modeling'!$C:$C,'Traditional Attrition'!T$1),VLOOKUP('Traditional Attrition'!T$2-'Traditional Attrition'!$F3-1,'Traditional Attrition'!$A$7:$C$161,2,FALSE)*VLOOKUP(T$1,'Attrition Modeling'!$L$15:$N$27,IF(T$2-$F3&lt;=24,2,3),FALSE))*(1+Projection!V$16)*(1+IF(T135&gt;0,'Attrition Modeling'!$N$9,0))),0))</f>
        <v>3626.4940864710316</v>
      </c>
      <c r="U3" s="799">
        <f>IF(U$2=$F3+1,Monthly!Q$21,IF(U$2&gt;$F3+1,('Traditional Attrition'!T3+U135)*(1-IF(U$2-$F3&lt;=12,SUMIFS('Attrition Modeling'!$D:$D,'Attrition Modeling'!$B:$B,'Traditional Attrition'!$E3,'Attrition Modeling'!$C:$C,'Traditional Attrition'!U$1),VLOOKUP('Traditional Attrition'!U$2-'Traditional Attrition'!$F3-1,'Traditional Attrition'!$A$7:$C$161,2,FALSE)*VLOOKUP(U$1,'Attrition Modeling'!$L$15:$N$27,IF(U$2-$F3&lt;=24,2,3),FALSE))*(1+Projection!W$16)*(1+IF(U135&gt;0,'Attrition Modeling'!$N$9,0))),0))</f>
        <v>3463.9747679760753</v>
      </c>
      <c r="V3" s="799">
        <f>IF(V$2=$F3+1,Monthly!R$21,IF(V$2&gt;$F3+1,('Traditional Attrition'!U3+V135)*(1-IF(V$2-$F3&lt;=12,SUMIFS('Attrition Modeling'!$D:$D,'Attrition Modeling'!$B:$B,'Traditional Attrition'!$E3,'Attrition Modeling'!$C:$C,'Traditional Attrition'!V$1),VLOOKUP('Traditional Attrition'!V$2-'Traditional Attrition'!$F3-1,'Traditional Attrition'!$A$7:$C$161,2,FALSE)*VLOOKUP(V$1,'Attrition Modeling'!$L$15:$N$27,IF(V$2-$F3&lt;=24,2,3),FALSE))*(1+Projection!X$16)*(1+IF(V135&gt;0,'Attrition Modeling'!$N$9,0))),0))</f>
        <v>3303.265059296702</v>
      </c>
      <c r="W3" s="799">
        <f>IF(W$2=$F3+1,Monthly!S$21,IF(W$2&gt;$F3+1,('Traditional Attrition'!V3+W135)*(1-IF(W$2-$F3&lt;=12,SUMIFS('Attrition Modeling'!$D:$D,'Attrition Modeling'!$B:$B,'Traditional Attrition'!$E3,'Attrition Modeling'!$C:$C,'Traditional Attrition'!W$1),VLOOKUP('Traditional Attrition'!W$2-'Traditional Attrition'!$F3-1,'Traditional Attrition'!$A$7:$C$161,2,FALSE)*VLOOKUP(W$1,'Attrition Modeling'!$L$15:$N$27,IF(W$2-$F3&lt;=24,2,3),FALSE))*(1+Projection!Y$16)*(1+IF(W135&gt;0,'Attrition Modeling'!$N$9,0))),0))</f>
        <v>3158.0864111940423</v>
      </c>
      <c r="X3" s="799">
        <f>IF(X$2=$F3+1,Monthly!T$21,IF(X$2&gt;$F3+1,('Traditional Attrition'!W3+X135)*(1-IF(X$2-$F3&lt;=12,SUMIFS('Attrition Modeling'!$D:$D,'Attrition Modeling'!$B:$B,'Traditional Attrition'!$E3,'Attrition Modeling'!$C:$C,'Traditional Attrition'!X$1),VLOOKUP('Traditional Attrition'!X$2-'Traditional Attrition'!$F3-1,'Traditional Attrition'!$A$7:$C$161,2,FALSE)*VLOOKUP(X$1,'Attrition Modeling'!$L$15:$N$27,IF(X$2-$F3&lt;=24,2,3),FALSE))*(1+Projection!Z$16)*(1+IF(X135&gt;0,'Attrition Modeling'!$N$9,0))),0))</f>
        <v>3024.3323801703041</v>
      </c>
      <c r="Y3" s="799">
        <f>IF(Y$2=$F3+1,Monthly!U$21,IF(Y$2&gt;$F3+1,('Traditional Attrition'!X3+Y135)*(1-IF(Y$2-$F3&lt;=12,SUMIFS('Attrition Modeling'!$D:$D,'Attrition Modeling'!$B:$B,'Traditional Attrition'!$E3,'Attrition Modeling'!$C:$C,'Traditional Attrition'!Y$1),VLOOKUP('Traditional Attrition'!Y$2-'Traditional Attrition'!$F3-1,'Traditional Attrition'!$A$7:$C$161,2,FALSE)*VLOOKUP(Y$1,'Attrition Modeling'!$L$15:$N$27,IF(Y$2-$F3&lt;=24,2,3),FALSE))*(1+Projection!AA$16)*(1+IF(Y135&gt;0,'Attrition Modeling'!$N$9,0))),0))</f>
        <v>3134.2962694416201</v>
      </c>
      <c r="Z3" s="799">
        <f>IF(Z$2=$F3+1,Monthly!V$21,IF(Z$2&gt;$F3+1,('Traditional Attrition'!Y3+Z135)*(1-IF(Z$2-$F3&lt;=12,SUMIFS('Attrition Modeling'!$D:$D,'Attrition Modeling'!$B:$B,'Traditional Attrition'!$E3,'Attrition Modeling'!$C:$C,'Traditional Attrition'!Z$1),VLOOKUP('Traditional Attrition'!Z$2-'Traditional Attrition'!$F3-1,'Traditional Attrition'!$A$7:$C$161,2,FALSE)*VLOOKUP(Z$1,'Attrition Modeling'!$L$15:$N$27,IF(Z$2-$F3&lt;=24,2,3),FALSE))*(1+Projection!AB$16)*(1+IF(Z135&gt;0,'Attrition Modeling'!$N$9,0))),0))</f>
        <v>2991.9239999047013</v>
      </c>
      <c r="AA3" s="799">
        <f>IF(AA$2=$F3+1,Monthly!W$21,IF(AA$2&gt;$F3+1,('Traditional Attrition'!Z3+AA135)*(1-IF(AA$2-$F3&lt;=12,SUMIFS('Attrition Modeling'!$D:$D,'Attrition Modeling'!$B:$B,'Traditional Attrition'!$E3,'Attrition Modeling'!$C:$C,'Traditional Attrition'!AA$1),VLOOKUP('Traditional Attrition'!AA$2-'Traditional Attrition'!$F3-1,'Traditional Attrition'!$A$7:$C$161,2,FALSE)*VLOOKUP(AA$1,'Attrition Modeling'!$L$15:$N$27,IF(AA$2-$F3&lt;=24,2,3),FALSE))*(1+Projection!AC$16)*(1+IF(AA135&gt;0,'Attrition Modeling'!$N$9,0))),0))</f>
        <v>2852.7045031115517</v>
      </c>
      <c r="AB3" s="799">
        <f>IF(AB$2=$F3+1,Monthly!X$21,IF(AB$2&gt;$F3+1,('Traditional Attrition'!AA3+AB135)*(1-IF(AB$2-$F3&lt;=12,SUMIFS('Attrition Modeling'!$D:$D,'Attrition Modeling'!$B:$B,'Traditional Attrition'!$E3,'Attrition Modeling'!$C:$C,'Traditional Attrition'!AB$1),VLOOKUP('Traditional Attrition'!AB$2-'Traditional Attrition'!$F3-1,'Traditional Attrition'!$A$7:$C$161,2,FALSE)*VLOOKUP(AB$1,'Attrition Modeling'!$L$15:$N$27,IF(AB$2-$F3&lt;=24,2,3),FALSE))*(1+Projection!AD$16)*(1+IF(AB135&gt;0,'Attrition Modeling'!$N$9,0))),0))</f>
        <v>2733.7295089443601</v>
      </c>
      <c r="AC3" s="799">
        <f>IF(AC$2=$F3+1,Monthly!Y$21,IF(AC$2&gt;$F3+1,('Traditional Attrition'!AB3+AC135)*(1-IF(AC$2-$F3&lt;=12,SUMIFS('Attrition Modeling'!$D:$D,'Attrition Modeling'!$B:$B,'Traditional Attrition'!$E3,'Attrition Modeling'!$C:$C,'Traditional Attrition'!AC$1),VLOOKUP('Traditional Attrition'!AC$2-'Traditional Attrition'!$F3-1,'Traditional Attrition'!$A$7:$C$161,2,FALSE)*VLOOKUP(AC$1,'Attrition Modeling'!$L$15:$N$27,IF(AC$2-$F3&lt;=24,2,3),FALSE))*(1+Projection!AE$16)*(1+IF(AC135&gt;0,'Attrition Modeling'!$N$9,0))),0))</f>
        <v>2618.8922750668116</v>
      </c>
      <c r="AD3" s="799">
        <f>IF(AD$2=$F3+1,Monthly!Z$21,IF(AD$2&gt;$F3+1,('Traditional Attrition'!AC3+AD135)*(1-IF(AD$2-$F3&lt;=12,SUMIFS('Attrition Modeling'!$D:$D,'Attrition Modeling'!$B:$B,'Traditional Attrition'!$E3,'Attrition Modeling'!$C:$C,'Traditional Attrition'!AD$1),VLOOKUP('Traditional Attrition'!AD$2-'Traditional Attrition'!$F3-1,'Traditional Attrition'!$A$7:$C$161,2,FALSE)*VLOOKUP(AD$1,'Attrition Modeling'!$L$15:$N$27,IF(AD$2-$F3&lt;=24,2,3),FALSE))*(1+Projection!AF$16)*(1+IF(AD135&gt;0,'Attrition Modeling'!$N$9,0))),0))</f>
        <v>2514.5725299438964</v>
      </c>
      <c r="AE3" s="799">
        <f>IF(AE$2=$F3+1,Monthly!AA$21,IF(AE$2&gt;$F3+1,('Traditional Attrition'!AD3+AE135)*(1-IF(AE$2-$F3&lt;=12,SUMIFS('Attrition Modeling'!$D:$D,'Attrition Modeling'!$B:$B,'Traditional Attrition'!$E3,'Attrition Modeling'!$C:$C,'Traditional Attrition'!AE$1),VLOOKUP('Traditional Attrition'!AE$2-'Traditional Attrition'!$F3-1,'Traditional Attrition'!$A$7:$C$161,2,FALSE)*VLOOKUP(AE$1,'Attrition Modeling'!$L$15:$N$27,IF(AE$2-$F3&lt;=24,2,3),FALSE))*(1+Projection!AG$16)*(1+IF(AE135&gt;0,'Attrition Modeling'!$N$9,0))),0))</f>
        <v>2416.7719269382646</v>
      </c>
      <c r="AF3" s="799">
        <f>IF(AF$2=$F3+1,Monthly!AB$21,IF(AF$2&gt;$F3+1,('Traditional Attrition'!AE3+AF135)*(1-IF(AF$2-$F3&lt;=12,SUMIFS('Attrition Modeling'!$D:$D,'Attrition Modeling'!$B:$B,'Traditional Attrition'!$E3,'Attrition Modeling'!$C:$C,'Traditional Attrition'!AF$1),VLOOKUP('Traditional Attrition'!AF$2-'Traditional Attrition'!$F3-1,'Traditional Attrition'!$A$7:$C$161,2,FALSE)*VLOOKUP(AF$1,'Attrition Modeling'!$L$15:$N$27,IF(AF$2-$F3&lt;=24,2,3),FALSE))*(1+Projection!AH$16)*(1+IF(AF135&gt;0,'Attrition Modeling'!$N$9,0))),0))</f>
        <v>2330.0513292945843</v>
      </c>
      <c r="AG3" s="799">
        <f>IF(AG$2=$F3+1,Monthly!AC$21,IF(AG$2&gt;$F3+1,('Traditional Attrition'!AF3+AG135)*(1-IF(AG$2-$F3&lt;=12,SUMIFS('Attrition Modeling'!$D:$D,'Attrition Modeling'!$B:$B,'Traditional Attrition'!$E3,'Attrition Modeling'!$C:$C,'Traditional Attrition'!AG$1),VLOOKUP('Traditional Attrition'!AG$2-'Traditional Attrition'!$F3-1,'Traditional Attrition'!$A$7:$C$161,2,FALSE)*VLOOKUP(AG$1,'Attrition Modeling'!$L$15:$N$27,IF(AG$2-$F3&lt;=24,2,3),FALSE))*(1+Projection!AI$16)*(1+IF(AG135&gt;0,'Attrition Modeling'!$N$9,0))),0))</f>
        <v>2250.1935680507249</v>
      </c>
      <c r="AH3" s="799">
        <f>IF(AH$2=$F3+1,Monthly!AD$21,IF(AH$2&gt;$F3+1,('Traditional Attrition'!AG3+AH135)*(1-IF(AH$2-$F3&lt;=12,SUMIFS('Attrition Modeling'!$D:$D,'Attrition Modeling'!$B:$B,'Traditional Attrition'!$E3,'Attrition Modeling'!$C:$C,'Traditional Attrition'!AH$1),VLOOKUP('Traditional Attrition'!AH$2-'Traditional Attrition'!$F3-1,'Traditional Attrition'!$A$7:$C$161,2,FALSE)*VLOOKUP(AH$1,'Attrition Modeling'!$L$15:$N$27,IF(AH$2-$F3&lt;=24,2,3),FALSE))*(1+Projection!AJ$16)*(1+IF(AH135&gt;0,'Attrition Modeling'!$N$9,0))),0))</f>
        <v>2177.315054445914</v>
      </c>
      <c r="AI3" s="799">
        <f>IF(AI$2=$F3+1,Monthly!AE$21,IF(AI$2&gt;$F3+1,('Traditional Attrition'!AH3+AI135)*(1-IF(AI$2-$F3&lt;=12,SUMIFS('Attrition Modeling'!$D:$D,'Attrition Modeling'!$B:$B,'Traditional Attrition'!$E3,'Attrition Modeling'!$C:$C,'Traditional Attrition'!AI$1),VLOOKUP('Traditional Attrition'!AI$2-'Traditional Attrition'!$F3-1,'Traditional Attrition'!$A$7:$C$161,2,FALSE)*VLOOKUP(AI$1,'Attrition Modeling'!$L$15:$N$27,IF(AI$2-$F3&lt;=24,2,3),FALSE))*(1+Projection!AK$16)*(1+IF(AI135&gt;0,'Attrition Modeling'!$N$9,0))),0))</f>
        <v>2121.9738231769934</v>
      </c>
      <c r="AJ3" s="799">
        <f>IF(AJ$2=$F3+1,Monthly!AF$21,IF(AJ$2&gt;$F3+1,('Traditional Attrition'!AI3+AJ135)*(1-IF(AJ$2-$F3&lt;=12,SUMIFS('Attrition Modeling'!$D:$D,'Attrition Modeling'!$B:$B,'Traditional Attrition'!$E3,'Attrition Modeling'!$C:$C,'Traditional Attrition'!AJ$1),VLOOKUP('Traditional Attrition'!AJ$2-'Traditional Attrition'!$F3-1,'Traditional Attrition'!$A$7:$C$161,2,FALSE)*VLOOKUP(AJ$1,'Attrition Modeling'!$L$15:$N$27,IF(AJ$2-$F3&lt;=24,2,3),FALSE))*(1+Projection!AL$16)*(1+IF(AJ135&gt;0,'Attrition Modeling'!$N$9,0))),0))</f>
        <v>2057.6972155302183</v>
      </c>
      <c r="AK3" s="799">
        <f>IF(AK$2=$F3+1,Monthly!AG$21,IF(AK$2&gt;$F3+1,('Traditional Attrition'!AJ3+AK135)*(1-IF(AK$2-$F3&lt;=12,SUMIFS('Attrition Modeling'!$D:$D,'Attrition Modeling'!$B:$B,'Traditional Attrition'!$E3,'Attrition Modeling'!$C:$C,'Traditional Attrition'!AK$1),VLOOKUP('Traditional Attrition'!AK$2-'Traditional Attrition'!$F3-1,'Traditional Attrition'!$A$7:$C$161,2,FALSE)*VLOOKUP(AK$1,'Attrition Modeling'!$L$15:$N$27,IF(AK$2-$F3&lt;=24,2,3),FALSE))*(1+Projection!AM$16)*(1+IF(AK135&gt;0,'Attrition Modeling'!$N$9,0))),0))</f>
        <v>2162.8503311820195</v>
      </c>
      <c r="AL3" s="799">
        <f>IF(AL$2=$F3+1,Monthly!AH$21,IF(AL$2&gt;$F3+1,('Traditional Attrition'!AK3+AL135)*(1-IF(AL$2-$F3&lt;=12,SUMIFS('Attrition Modeling'!$D:$D,'Attrition Modeling'!$B:$B,'Traditional Attrition'!$E3,'Attrition Modeling'!$C:$C,'Traditional Attrition'!AL$1),VLOOKUP('Traditional Attrition'!AL$2-'Traditional Attrition'!$F3-1,'Traditional Attrition'!$A$7:$C$161,2,FALSE)*VLOOKUP(AL$1,'Attrition Modeling'!$L$15:$N$27,IF(AL$2-$F3&lt;=24,2,3),FALSE))*(1+Projection!AN$16)*(1+IF(AL135&gt;0,'Attrition Modeling'!$N$9,0))),0))</f>
        <v>2083.3905830089257</v>
      </c>
      <c r="AM3" s="799">
        <f>IF(AM$2=$F3+1,Monthly!AI$21,IF(AM$2&gt;$F3+1,('Traditional Attrition'!AL3+AM135)*(1-IF(AM$2-$F3&lt;=12,SUMIFS('Attrition Modeling'!$D:$D,'Attrition Modeling'!$B:$B,'Traditional Attrition'!$E3,'Attrition Modeling'!$C:$C,'Traditional Attrition'!AM$1),VLOOKUP('Traditional Attrition'!AM$2-'Traditional Attrition'!$F3-1,'Traditional Attrition'!$A$7:$C$161,2,FALSE)*VLOOKUP(AM$1,'Attrition Modeling'!$L$15:$N$27,IF(AM$2-$F3&lt;=24,2,3),FALSE))*(1+Projection!AO$16)*(1+IF(AM135&gt;0,'Attrition Modeling'!$N$9,0))),0))</f>
        <v>2002.1801893994996</v>
      </c>
      <c r="AN3" s="799">
        <f>IF(AN$2=$F3+1,Monthly!AJ$21,IF(AN$2&gt;$F3+1,('Traditional Attrition'!AM3+AN135)*(1-IF(AN$2-$F3&lt;=12,SUMIFS('Attrition Modeling'!$D:$D,'Attrition Modeling'!$B:$B,'Traditional Attrition'!$E3,'Attrition Modeling'!$C:$C,'Traditional Attrition'!AN$1),VLOOKUP('Traditional Attrition'!AN$2-'Traditional Attrition'!$F3-1,'Traditional Attrition'!$A$7:$C$161,2,FALSE)*VLOOKUP(AN$1,'Attrition Modeling'!$L$15:$N$27,IF(AN$2-$F3&lt;=24,2,3),FALSE))*(1+Projection!AP$16)*(1+IF(AN135&gt;0,'Attrition Modeling'!$N$9,0))),0))</f>
        <v>1929.7463705595592</v>
      </c>
      <c r="AO3" s="799">
        <f>IF(AO$2=$F3+1,Monthly!AK$21,IF(AO$2&gt;$F3+1,('Traditional Attrition'!AN3+AO135)*(1-IF(AO$2-$F3&lt;=12,SUMIFS('Attrition Modeling'!$D:$D,'Attrition Modeling'!$B:$B,'Traditional Attrition'!$E3,'Attrition Modeling'!$C:$C,'Traditional Attrition'!AO$1),VLOOKUP('Traditional Attrition'!AO$2-'Traditional Attrition'!$F3-1,'Traditional Attrition'!$A$7:$C$161,2,FALSE)*VLOOKUP(AO$1,'Attrition Modeling'!$L$15:$N$27,IF(AO$2-$F3&lt;=24,2,3),FALSE))*(1+Projection!AQ$16)*(1+IF(AO135&gt;0,'Attrition Modeling'!$N$9,0))),0))</f>
        <v>1863.1100589504574</v>
      </c>
      <c r="AP3" s="799">
        <f>IF(AP$2=$F3+1,Monthly!AL$21,IF(AP$2&gt;$F3+1,('Traditional Attrition'!AO3+AP135)*(1-IF(AP$2-$F3&lt;=12,SUMIFS('Attrition Modeling'!$D:$D,'Attrition Modeling'!$B:$B,'Traditional Attrition'!$E3,'Attrition Modeling'!$C:$C,'Traditional Attrition'!AP$1),VLOOKUP('Traditional Attrition'!AP$2-'Traditional Attrition'!$F3-1,'Traditional Attrition'!$A$7:$C$161,2,FALSE)*VLOOKUP(AP$1,'Attrition Modeling'!$L$15:$N$27,IF(AP$2-$F3&lt;=24,2,3),FALSE))*(1+Projection!AR$16)*(1+IF(AP135&gt;0,'Attrition Modeling'!$N$9,0))),0))</f>
        <v>1800.9363717476506</v>
      </c>
      <c r="AQ3" s="799">
        <f>IF(AQ$2=$F3+1,Monthly!AM$21,IF(AQ$2&gt;$F3+1,('Traditional Attrition'!AP3+AQ135)*(1-IF(AQ$2-$F3&lt;=12,SUMIFS('Attrition Modeling'!$D:$D,'Attrition Modeling'!$B:$B,'Traditional Attrition'!$E3,'Attrition Modeling'!$C:$C,'Traditional Attrition'!AQ$1),VLOOKUP('Traditional Attrition'!AQ$2-'Traditional Attrition'!$F3-1,'Traditional Attrition'!$A$7:$C$161,2,FALSE)*VLOOKUP(AQ$1,'Attrition Modeling'!$L$15:$N$27,IF(AQ$2-$F3&lt;=24,2,3),FALSE))*(1+Projection!AS$16)*(1+IF(AQ135&gt;0,'Attrition Modeling'!$N$9,0))),0))</f>
        <v>1751.957260284139</v>
      </c>
      <c r="AR3" s="799">
        <f>IF(AR$2=$F3+1,Monthly!AN$21,IF(AR$2&gt;$F3+1,('Traditional Attrition'!AQ3+AR135)*(1-IF(AR$2-$F3&lt;=12,SUMIFS('Attrition Modeling'!$D:$D,'Attrition Modeling'!$B:$B,'Traditional Attrition'!$E3,'Attrition Modeling'!$C:$C,'Traditional Attrition'!AR$1),VLOOKUP('Traditional Attrition'!AR$2-'Traditional Attrition'!$F3-1,'Traditional Attrition'!$A$7:$C$161,2,FALSE)*VLOOKUP(AR$1,'Attrition Modeling'!$L$15:$N$27,IF(AR$2-$F3&lt;=24,2,3),FALSE))*(1+Projection!AT$16)*(1+IF(AR135&gt;0,'Attrition Modeling'!$N$9,0))),0))</f>
        <v>1699.7784935903176</v>
      </c>
      <c r="AS3" s="799">
        <f>IF(AS$2=$F3+1,Monthly!AO$21,IF(AS$2&gt;$F3+1,('Traditional Attrition'!AR3+AS135)*(1-IF(AS$2-$F3&lt;=12,SUMIFS('Attrition Modeling'!$D:$D,'Attrition Modeling'!$B:$B,'Traditional Attrition'!$E3,'Attrition Modeling'!$C:$C,'Traditional Attrition'!AS$1),VLOOKUP('Traditional Attrition'!AS$2-'Traditional Attrition'!$F3-1,'Traditional Attrition'!$A$7:$C$161,2,FALSE)*VLOOKUP(AS$1,'Attrition Modeling'!$L$15:$N$27,IF(AS$2-$F3&lt;=24,2,3),FALSE))*(1+Projection!AU$16)*(1+IF(AS135&gt;0,'Attrition Modeling'!$N$9,0))),0))</f>
        <v>1651.2639057392253</v>
      </c>
      <c r="AT3" s="799">
        <f>IF(AT$2=$F3+1,Monthly!AP$21,IF(AT$2&gt;$F3+1,('Traditional Attrition'!AS3+AT135)*(1-IF(AT$2-$F3&lt;=12,SUMIFS('Attrition Modeling'!$D:$D,'Attrition Modeling'!$B:$B,'Traditional Attrition'!$E3,'Attrition Modeling'!$C:$C,'Traditional Attrition'!AT$1),VLOOKUP('Traditional Attrition'!AT$2-'Traditional Attrition'!$F3-1,'Traditional Attrition'!$A$7:$C$161,2,FALSE)*VLOOKUP(AT$1,'Attrition Modeling'!$L$15:$N$27,IF(AT$2-$F3&lt;=24,2,3),FALSE))*(1+Projection!AV$16)*(1+IF(AT135&gt;0,'Attrition Modeling'!$N$9,0))),0))</f>
        <v>1606.5874868050769</v>
      </c>
      <c r="AU3" s="799">
        <f>IF(AU$2=$F3+1,Monthly!AQ$21,IF(AU$2&gt;$F3+1,('Traditional Attrition'!AT3+AU135)*(1-IF(AU$2-$F3&lt;=12,SUMIFS('Attrition Modeling'!$D:$D,'Attrition Modeling'!$B:$B,'Traditional Attrition'!$E3,'Attrition Modeling'!$C:$C,'Traditional Attrition'!AU$1),VLOOKUP('Traditional Attrition'!AU$2-'Traditional Attrition'!$F3-1,'Traditional Attrition'!$A$7:$C$161,2,FALSE)*VLOOKUP(AU$1,'Attrition Modeling'!$L$15:$N$27,IF(AU$2-$F3&lt;=24,2,3),FALSE))*(1+Projection!AW$16)*(1+IF(AU135&gt;0,'Attrition Modeling'!$N$9,0))),0))</f>
        <v>1572.3749538140537</v>
      </c>
      <c r="AV3" s="799">
        <f>IF(AV$2=$F3+1,Monthly!AR$21,IF(AV$2&gt;$F3+1,('Traditional Attrition'!AU3+AV135)*(1-IF(AV$2-$F3&lt;=12,SUMIFS('Attrition Modeling'!$D:$D,'Attrition Modeling'!$B:$B,'Traditional Attrition'!$E3,'Attrition Modeling'!$C:$C,'Traditional Attrition'!AV$1),VLOOKUP('Traditional Attrition'!AV$2-'Traditional Attrition'!$F3-1,'Traditional Attrition'!$A$7:$C$161,2,FALSE)*VLOOKUP(AV$1,'Attrition Modeling'!$L$15:$N$27,IF(AV$2-$F3&lt;=24,2,3),FALSE))*(1+Projection!AX$16)*(1+IF(AV135&gt;0,'Attrition Modeling'!$N$9,0))),0))</f>
        <v>1532.3604282458987</v>
      </c>
      <c r="AW3" s="799">
        <f>IF(AW$2=$F3+1,Monthly!AS$21,IF(AW$2&gt;$F3+1,('Traditional Attrition'!AV3+AW135)*(1-IF(AW$2-$F3&lt;=12,SUMIFS('Attrition Modeling'!$D:$D,'Attrition Modeling'!$B:$B,'Traditional Attrition'!$E3,'Attrition Modeling'!$C:$C,'Traditional Attrition'!AW$1),VLOOKUP('Traditional Attrition'!AW$2-'Traditional Attrition'!$F3-1,'Traditional Attrition'!$A$7:$C$161,2,FALSE)*VLOOKUP(AW$1,'Attrition Modeling'!$L$15:$N$27,IF(AW$2-$F3&lt;=24,2,3),FALSE))*(1+Projection!AY$16)*(1+IF(AW135&gt;0,'Attrition Modeling'!$N$9,0))),0))</f>
        <v>1621.5162597046697</v>
      </c>
      <c r="AX3" s="799">
        <f>IF(AX$2=$F3+1,Monthly!AT$21,IF(AX$2&gt;$F3+1,('Traditional Attrition'!AW3+AX135)*(1-IF(AX$2-$F3&lt;=12,SUMIFS('Attrition Modeling'!$D:$D,'Attrition Modeling'!$B:$B,'Traditional Attrition'!$E3,'Attrition Modeling'!$C:$C,'Traditional Attrition'!AX$1),VLOOKUP('Traditional Attrition'!AX$2-'Traditional Attrition'!$F3-1,'Traditional Attrition'!$A$7:$C$161,2,FALSE)*VLOOKUP(AX$1,'Attrition Modeling'!$L$15:$N$27,IF(AX$2-$F3&lt;=24,2,3),FALSE))*(1+Projection!AZ$16)*(1+IF(AX135&gt;0,'Attrition Modeling'!$N$9,0))),0))</f>
        <v>1571.2150617536788</v>
      </c>
      <c r="AY3" s="799">
        <f>IF(AY$2=$F3+1,Monthly!AU$21,IF(AY$2&gt;$F3+1,('Traditional Attrition'!AX3+AY135)*(1-IF(AY$2-$F3&lt;=12,SUMIFS('Attrition Modeling'!$D:$D,'Attrition Modeling'!$B:$B,'Traditional Attrition'!$E3,'Attrition Modeling'!$C:$C,'Traditional Attrition'!AY$1),VLOOKUP('Traditional Attrition'!AY$2-'Traditional Attrition'!$F3-1,'Traditional Attrition'!$A$7:$C$161,2,FALSE)*VLOOKUP(AY$1,'Attrition Modeling'!$L$15:$N$27,IF(AY$2-$F3&lt;=24,2,3),FALSE))*(1+Projection!BA$16)*(1+IF(AY135&gt;0,'Attrition Modeling'!$N$9,0))),0))</f>
        <v>1519.3809454888603</v>
      </c>
      <c r="AZ3" s="799">
        <f>IF(AZ$2=$F3+1,Monthly!AV$21,IF(AZ$2&gt;$F3+1,('Traditional Attrition'!AY3+AZ135)*(1-IF(AZ$2-$F3&lt;=12,SUMIFS('Attrition Modeling'!$D:$D,'Attrition Modeling'!$B:$B,'Traditional Attrition'!$E3,'Attrition Modeling'!$C:$C,'Traditional Attrition'!AZ$1),VLOOKUP('Traditional Attrition'!AZ$2-'Traditional Attrition'!$F3-1,'Traditional Attrition'!$A$7:$C$161,2,FALSE)*VLOOKUP(AZ$1,'Attrition Modeling'!$L$15:$N$27,IF(AZ$2-$F3&lt;=24,2,3),FALSE))*(1+Projection!BB$16)*(1+IF(AZ135&gt;0,'Attrition Modeling'!$N$9,0))),0))</f>
        <v>1472.7587953360405</v>
      </c>
      <c r="BA3" s="799">
        <f>IF(BA$2=$F3+1,Monthly!AW$21,IF(BA$2&gt;$F3+1,('Traditional Attrition'!AZ3+BA135)*(1-IF(BA$2-$F3&lt;=12,SUMIFS('Attrition Modeling'!$D:$D,'Attrition Modeling'!$B:$B,'Traditional Attrition'!$E3,'Attrition Modeling'!$C:$C,'Traditional Attrition'!BA$1),VLOOKUP('Traditional Attrition'!BA$2-'Traditional Attrition'!$F3-1,'Traditional Attrition'!$A$7:$C$161,2,FALSE)*VLOOKUP(BA$1,'Attrition Modeling'!$L$15:$N$27,IF(BA$2-$F3&lt;=24,2,3),FALSE))*(1+Projection!BC$16)*(1+IF(BA135&gt;0,'Attrition Modeling'!$N$9,0))),0))</f>
        <v>1429.534553762099</v>
      </c>
      <c r="BB3" s="799">
        <f>IF(BB$2=$F3+1,Monthly!AX$21,IF(BB$2&gt;$F3+1,('Traditional Attrition'!BA3+BB135)*(1-IF(BB$2-$F3&lt;=12,SUMIFS('Attrition Modeling'!$D:$D,'Attrition Modeling'!$B:$B,'Traditional Attrition'!$E3,'Attrition Modeling'!$C:$C,'Traditional Attrition'!BB$1),VLOOKUP('Traditional Attrition'!BB$2-'Traditional Attrition'!$F3-1,'Traditional Attrition'!$A$7:$C$161,2,FALSE)*VLOOKUP(BB$1,'Attrition Modeling'!$L$15:$N$27,IF(BB$2-$F3&lt;=24,2,3),FALSE))*(1+Projection!BD$16)*(1+IF(BB135&gt;0,'Attrition Modeling'!$N$9,0))),0))</f>
        <v>1388.9090826001404</v>
      </c>
      <c r="BC3" s="799">
        <f>IF(BC$2=$F3+1,Monthly!AY$21,IF(BC$2&gt;$F3+1,('Traditional Attrition'!BB3+BC135)*(1-IF(BC$2-$F3&lt;=12,SUMIFS('Attrition Modeling'!$D:$D,'Attrition Modeling'!$B:$B,'Traditional Attrition'!$E3,'Attrition Modeling'!$C:$C,'Traditional Attrition'!BC$1),VLOOKUP('Traditional Attrition'!BC$2-'Traditional Attrition'!$F3-1,'Traditional Attrition'!$A$7:$C$161,2,FALSE)*VLOOKUP(BC$1,'Attrition Modeling'!$L$15:$N$27,IF(BC$2-$F3&lt;=24,2,3),FALSE))*(1+Projection!BE$16)*(1+IF(BC135&gt;0,'Attrition Modeling'!$N$9,0))),0))</f>
        <v>1356.6814216371556</v>
      </c>
      <c r="BD3" s="799">
        <f>IF(BD$2=$F3+1,Monthly!AZ$21,IF(BD$2&gt;$F3+1,('Traditional Attrition'!BC3+BD135)*(1-IF(BD$2-$F3&lt;=12,SUMIFS('Attrition Modeling'!$D:$D,'Attrition Modeling'!$B:$B,'Traditional Attrition'!$E3,'Attrition Modeling'!$C:$C,'Traditional Attrition'!BD$1),VLOOKUP('Traditional Attrition'!BD$2-'Traditional Attrition'!$F3-1,'Traditional Attrition'!$A$7:$C$161,2,FALSE)*VLOOKUP(BD$1,'Attrition Modeling'!$L$15:$N$27,IF(BD$2-$F3&lt;=24,2,3),FALSE))*(1+Projection!BF$16)*(1+IF(BD135&gt;0,'Attrition Modeling'!$N$9,0))),0))</f>
        <v>1322.378696790445</v>
      </c>
      <c r="BE3" s="799">
        <f>IF(BE$2=$F3+1,Monthly!BA$21,IF(BE$2&gt;$F3+1,('Traditional Attrition'!BD3+BE135)*(1-IF(BE$2-$F3&lt;=12,SUMIFS('Attrition Modeling'!$D:$D,'Attrition Modeling'!$B:$B,'Traditional Attrition'!$E3,'Attrition Modeling'!$C:$C,'Traditional Attrition'!BE$1),VLOOKUP('Traditional Attrition'!BE$2-'Traditional Attrition'!$F3-1,'Traditional Attrition'!$A$7:$C$161,2,FALSE)*VLOOKUP(BE$1,'Attrition Modeling'!$L$15:$N$27,IF(BE$2-$F3&lt;=24,2,3),FALSE))*(1+Projection!BG$16)*(1+IF(BE135&gt;0,'Attrition Modeling'!$N$9,0))),0))</f>
        <v>1290.2884082071178</v>
      </c>
      <c r="BF3" s="799">
        <f>IF(BF$2=$F3+1,Monthly!BB$21,IF(BF$2&gt;$F3+1,('Traditional Attrition'!BE3+BF135)*(1-IF(BF$2-$F3&lt;=12,SUMIFS('Attrition Modeling'!$D:$D,'Attrition Modeling'!$B:$B,'Traditional Attrition'!$E3,'Attrition Modeling'!$C:$C,'Traditional Attrition'!BF$1),VLOOKUP('Traditional Attrition'!BF$2-'Traditional Attrition'!$F3-1,'Traditional Attrition'!$A$7:$C$161,2,FALSE)*VLOOKUP(BF$1,'Attrition Modeling'!$L$15:$N$27,IF(BF$2-$F3&lt;=24,2,3),FALSE))*(1+Projection!BH$16)*(1+IF(BF135&gt;0,'Attrition Modeling'!$N$9,0))),0))</f>
        <v>1260.5643811901348</v>
      </c>
      <c r="BG3" s="799">
        <f>IF(BG$2=$F3+1,Monthly!BC$21,IF(BG$2&gt;$F3+1,('Traditional Attrition'!BF3+BG135)*(1-IF(BG$2-$F3&lt;=12,SUMIFS('Attrition Modeling'!$D:$D,'Attrition Modeling'!$B:$B,'Traditional Attrition'!$E3,'Attrition Modeling'!$C:$C,'Traditional Attrition'!BG$1),VLOOKUP('Traditional Attrition'!BG$2-'Traditional Attrition'!$F3-1,'Traditional Attrition'!$A$7:$C$161,2,FALSE)*VLOOKUP(BG$1,'Attrition Modeling'!$L$15:$N$27,IF(BG$2-$F3&lt;=24,2,3),FALSE))*(1+Projection!BI$16)*(1+IF(BG135&gt;0,'Attrition Modeling'!$N$9,0))),0))</f>
        <v>1237.6772069013475</v>
      </c>
      <c r="BH3" s="799">
        <f>IF(BH$2=$F3+1,Monthly!BD$21,IF(BH$2&gt;$F3+1,('Traditional Attrition'!BG3+BH135)*(1-IF(BH$2-$F3&lt;=12,SUMIFS('Attrition Modeling'!$D:$D,'Attrition Modeling'!$B:$B,'Traditional Attrition'!$E3,'Attrition Modeling'!$C:$C,'Traditional Attrition'!BH$1),VLOOKUP('Traditional Attrition'!BH$2-'Traditional Attrition'!$F3-1,'Traditional Attrition'!$A$7:$C$161,2,FALSE)*VLOOKUP(BH$1,'Attrition Modeling'!$L$15:$N$27,IF(BH$2-$F3&lt;=24,2,3),FALSE))*(1+Projection!BJ$16)*(1+IF(BH135&gt;0,'Attrition Modeling'!$N$9,0))),0))</f>
        <v>1210.7884550430394</v>
      </c>
      <c r="BI3" s="799">
        <f>IF(BI$2=$F3+1,Monthly!BE$21,IF(BI$2&gt;$F3+1,('Traditional Attrition'!BH3+BI135)*(1-IF(BI$2-$F3&lt;=12,SUMIFS('Attrition Modeling'!$D:$D,'Attrition Modeling'!$B:$B,'Traditional Attrition'!$E3,'Attrition Modeling'!$C:$C,'Traditional Attrition'!BI$1),VLOOKUP('Traditional Attrition'!BI$2-'Traditional Attrition'!$F3-1,'Traditional Attrition'!$A$7:$C$161,2,FALSE)*VLOOKUP(BI$1,'Attrition Modeling'!$L$15:$N$27,IF(BI$2-$F3&lt;=24,2,3),FALSE))*(1+Projection!BK$16)*(1+IF(BI135&gt;0,'Attrition Modeling'!$N$9,0))),0))</f>
        <v>1287.8866031045848</v>
      </c>
      <c r="BJ3" s="799">
        <f>IF(BJ$2=$F3+1,Monthly!BF$21,IF(BJ$2&gt;$F3+1,('Traditional Attrition'!BI3+BJ135)*(1-IF(BJ$2-$F3&lt;=12,SUMIFS('Attrition Modeling'!$D:$D,'Attrition Modeling'!$B:$B,'Traditional Attrition'!$E3,'Attrition Modeling'!$C:$C,'Traditional Attrition'!BJ$1),VLOOKUP('Traditional Attrition'!BJ$2-'Traditional Attrition'!$F3-1,'Traditional Attrition'!$A$7:$C$161,2,FALSE)*VLOOKUP(BJ$1,'Attrition Modeling'!$L$15:$N$27,IF(BJ$2-$F3&lt;=24,2,3),FALSE))*(1+Projection!BL$16)*(1+IF(BJ135&gt;0,'Attrition Modeling'!$N$9,0))),0))</f>
        <v>1253.6997934311289</v>
      </c>
      <c r="BK3" s="799">
        <f>IF(BK$2=$F3+1,Monthly!BG$21,IF(BK$2&gt;$F3+1,('Traditional Attrition'!BJ3+BK135)*(1-IF(BK$2-$F3&lt;=12,SUMIFS('Attrition Modeling'!$D:$D,'Attrition Modeling'!$B:$B,'Traditional Attrition'!$E3,'Attrition Modeling'!$C:$C,'Traditional Attrition'!BK$1),VLOOKUP('Traditional Attrition'!BK$2-'Traditional Attrition'!$F3-1,'Traditional Attrition'!$A$7:$C$161,2,FALSE)*VLOOKUP(BK$1,'Attrition Modeling'!$L$15:$N$27,IF(BK$2-$F3&lt;=24,2,3),FALSE))*(1+Projection!BM$16)*(1+IF(BK135&gt;0,'Attrition Modeling'!$N$9,0))),0))</f>
        <v>1218.2700830624581</v>
      </c>
      <c r="BL3" s="799">
        <f>IF(BL$2=$F3+1,Monthly!BH$21,IF(BL$2&gt;$F3+1,('Traditional Attrition'!BK3+BL135)*(1-IF(BL$2-$F3&lt;=12,SUMIFS('Attrition Modeling'!$D:$D,'Attrition Modeling'!$B:$B,'Traditional Attrition'!$E3,'Attrition Modeling'!$C:$C,'Traditional Attrition'!BL$1),VLOOKUP('Traditional Attrition'!BL$2-'Traditional Attrition'!$F3-1,'Traditional Attrition'!$A$7:$C$161,2,FALSE)*VLOOKUP(BL$1,'Attrition Modeling'!$L$15:$N$27,IF(BL$2-$F3&lt;=24,2,3),FALSE))*(1+Projection!BN$16)*(1+IF(BL135&gt;0,'Attrition Modeling'!$N$9,0))),0))</f>
        <v>1186.2141960194845</v>
      </c>
      <c r="BM3" s="799">
        <f>IF(BM$2=$F3+1,Monthly!BI$21,IF(BM$2&gt;$F3+1,('Traditional Attrition'!BL3+BM135)*(1-IF(BM$2-$F3&lt;=12,SUMIFS('Attrition Modeling'!$D:$D,'Attrition Modeling'!$B:$B,'Traditional Attrition'!$E3,'Attrition Modeling'!$C:$C,'Traditional Attrition'!BM$1),VLOOKUP('Traditional Attrition'!BM$2-'Traditional Attrition'!$F3-1,'Traditional Attrition'!$A$7:$C$161,2,FALSE)*VLOOKUP(BM$1,'Attrition Modeling'!$L$15:$N$27,IF(BM$2-$F3&lt;=24,2,3),FALSE))*(1+Projection!BO$16)*(1+IF(BM135&gt;0,'Attrition Modeling'!$N$9,0))),0))</f>
        <v>1156.3316255884233</v>
      </c>
      <c r="BN3" s="799">
        <f>IF(BN$2=$F3+1,Monthly!BJ$21,IF(BN$2&gt;$F3+1,('Traditional Attrition'!BM3+BN135)*(1-IF(BN$2-$F3&lt;=12,SUMIFS('Attrition Modeling'!$D:$D,'Attrition Modeling'!$B:$B,'Traditional Attrition'!$E3,'Attrition Modeling'!$C:$C,'Traditional Attrition'!BN$1),VLOOKUP('Traditional Attrition'!BN$2-'Traditional Attrition'!$F3-1,'Traditional Attrition'!$A$7:$C$161,2,FALSE)*VLOOKUP(BN$1,'Attrition Modeling'!$L$15:$N$27,IF(BN$2-$F3&lt;=24,2,3),FALSE))*(1+Projection!BP$16)*(1+IF(BN135&gt;0,'Attrition Modeling'!$N$9,0))),0))</f>
        <v>1128.0995510277482</v>
      </c>
      <c r="BO3" s="799">
        <f>IF(BO$2=$F3+1,Monthly!BK$21,IF(BO$2&gt;$F3+1,('Traditional Attrition'!BN3+BO135)*(1-IF(BO$2-$F3&lt;=12,SUMIFS('Attrition Modeling'!$D:$D,'Attrition Modeling'!$B:$B,'Traditional Attrition'!$E3,'Attrition Modeling'!$C:$C,'Traditional Attrition'!BO$1),VLOOKUP('Traditional Attrition'!BO$2-'Traditional Attrition'!$F3-1,'Traditional Attrition'!$A$7:$C$161,2,FALSE)*VLOOKUP(BO$1,'Attrition Modeling'!$L$15:$N$27,IF(BO$2-$F3&lt;=24,2,3),FALSE))*(1+Projection!BV$16)*(1+IF(BO135&gt;0,'Attrition Modeling'!$N$9,0))),0))</f>
        <v>1105.5916612572908</v>
      </c>
      <c r="BP3" s="799">
        <f>IF(BP$2=$F3+1,Monthly!BL$21,IF(BP$2&gt;$F3+1,('Traditional Attrition'!BO3+BP135)*(1-IF(BP$2-$F3&lt;=12,SUMIFS('Attrition Modeling'!$D:$D,'Attrition Modeling'!$B:$B,'Traditional Attrition'!$E3,'Attrition Modeling'!$C:$C,'Traditional Attrition'!BP$1),VLOOKUP('Traditional Attrition'!BP$2-'Traditional Attrition'!$F3-1,'Traditional Attrition'!$A$7:$C$161,2,FALSE)*VLOOKUP(BP$1,'Attrition Modeling'!$L$15:$N$27,IF(BP$2-$F3&lt;=24,2,3),FALSE))*(1+Projection!BW$16)*(1+IF(BP135&gt;0,'Attrition Modeling'!$N$9,0))),0))</f>
        <v>1081.3724068680178</v>
      </c>
      <c r="BQ3" s="799">
        <f>IF(BQ$2=$F3+1,Monthly!BM$21,IF(BQ$2&gt;$F3+1,('Traditional Attrition'!BP3+BQ135)*(1-IF(BQ$2-$F3&lt;=12,SUMIFS('Attrition Modeling'!$D:$D,'Attrition Modeling'!$B:$B,'Traditional Attrition'!$E3,'Attrition Modeling'!$C:$C,'Traditional Attrition'!BQ$1),VLOOKUP('Traditional Attrition'!BQ$2-'Traditional Attrition'!$F3-1,'Traditional Attrition'!$A$7:$C$161,2,FALSE)*VLOOKUP(BQ$1,'Attrition Modeling'!$L$15:$N$27,IF(BQ$2-$F3&lt;=24,2,3),FALSE))*(1+Projection!BX$16)*(1+IF(BQ135&gt;0,'Attrition Modeling'!$N$9,0))),0))</f>
        <v>1058.6154668313616</v>
      </c>
      <c r="BR3" s="799">
        <f>IF(BR$2=$F3+1,Monthly!BN$21,IF(BR$2&gt;$F3+1,('Traditional Attrition'!BQ3+BR135)*(1-IF(BR$2-$F3&lt;=12,SUMIFS('Attrition Modeling'!$D:$D,'Attrition Modeling'!$B:$B,'Traditional Attrition'!$E3,'Attrition Modeling'!$C:$C,'Traditional Attrition'!BR$1),VLOOKUP('Traditional Attrition'!BR$2-'Traditional Attrition'!$F3-1,'Traditional Attrition'!$A$7:$C$161,2,FALSE)*VLOOKUP(BR$1,'Attrition Modeling'!$L$15:$N$27,IF(BR$2-$F3&lt;=24,2,3),FALSE))*(1+Projection!BY$16)*(1+IF(BR135&gt;0,'Attrition Modeling'!$N$9,0))),0))</f>
        <v>1037.4481022591208</v>
      </c>
      <c r="BS3" s="799">
        <f>IF(BS$2=$F3+1,Monthly!BO$21,IF(BS$2&gt;$F3+1,('Traditional Attrition'!BR3+BS135)*(1-IF(BS$2-$F3&lt;=12,SUMIFS('Attrition Modeling'!$D:$D,'Attrition Modeling'!$B:$B,'Traditional Attrition'!$E3,'Attrition Modeling'!$C:$C,'Traditional Attrition'!BS$1),VLOOKUP('Traditional Attrition'!BS$2-'Traditional Attrition'!$F3-1,'Traditional Attrition'!$A$7:$C$161,2,FALSE)*VLOOKUP(BS$1,'Attrition Modeling'!$L$15:$N$27,IF(BS$2-$F3&lt;=24,2,3),FALSE))*(1+Projection!BZ$16)*(1+IF(BS135&gt;0,'Attrition Modeling'!$N$9,0))),0))</f>
        <v>1021.0848230186251</v>
      </c>
      <c r="BT3" s="799">
        <f>IF(BT$2=$F3+1,Monthly!#REF!,IF(BT$2&gt;$F3+1,('Traditional Attrition'!BS3+BT135)*(1-IF(BT$2-$F3&lt;=12,SUMIFS('Attrition Modeling'!$D:$D,'Attrition Modeling'!$B:$B,'Traditional Attrition'!$E3,'Attrition Modeling'!$C:$C,'Traditional Attrition'!BT$1),VLOOKUP('Traditional Attrition'!BT$2-'Traditional Attrition'!$F3-1,'Traditional Attrition'!$A$7:$C$161,2,FALSE)*VLOOKUP(BT$1,'Attrition Modeling'!$L$15:$N$27,IF(BT$2-$F3&lt;=24,2,3),FALSE))*(1+Projection!CA$16)*(1+IF(BT135&gt;0,'Attrition Modeling'!$N$9,0))),0))</f>
        <v>1001.7982974608349</v>
      </c>
      <c r="BU3" s="799">
        <f>IF(BU$2=$F3+1,Monthly!#REF!,IF(BU$2&gt;$F3+1,('Traditional Attrition'!BT3+BU135)*(1-IF(BU$2-$F3&lt;=12,SUMIFS('Attrition Modeling'!$D:$D,'Attrition Modeling'!$B:$B,'Traditional Attrition'!$E3,'Attrition Modeling'!$C:$C,'Traditional Attrition'!BU$1),VLOOKUP('Traditional Attrition'!BU$2-'Traditional Attrition'!$F3-1,'Traditional Attrition'!$A$7:$C$161,2,FALSE)*VLOOKUP(BU$1,'Attrition Modeling'!$L$15:$N$27,IF(BU$2-$F3&lt;=24,2,3),FALSE))*(1+Projection!CB$16)*(1+IF(BU135&gt;0,'Attrition Modeling'!$N$9,0))),0))</f>
        <v>980.37538329517452</v>
      </c>
    </row>
    <row r="4" spans="1:73" ht="14.25" customHeight="1" x14ac:dyDescent="0.2">
      <c r="E4" s="11">
        <f t="shared" ref="E4:E63" si="2">IF(E3=12,1,E3+1)</f>
        <v>1</v>
      </c>
      <c r="F4" s="11">
        <f t="shared" ref="F4:F63" si="3">F3+1</f>
        <v>1</v>
      </c>
      <c r="G4" s="799"/>
      <c r="H4" s="799">
        <f>IF(H$2=$F4+1,Monthly!D$21,IF(H$2&gt;$F4+1,('Traditional Attrition'!G4+H136)*(1-IF(H$2-$F4&lt;=12,SUMIFS('Attrition Modeling'!$D:$D,'Attrition Modeling'!$B:$B,'Traditional Attrition'!$E4,'Attrition Modeling'!$C:$C,'Traditional Attrition'!H$1),VLOOKUP('Traditional Attrition'!H$2-'Traditional Attrition'!$F4-1,'Traditional Attrition'!$A$7:$C$161,2,FALSE)*VLOOKUP(H$1,'Attrition Modeling'!$L$15:$N$27,IF(H$2-$F4&lt;=24,2,3),FALSE))*(1+Projection!J$16)*(1+IF(H136&gt;0,'Attrition Modeling'!$N$9,0))),0))</f>
        <v>0</v>
      </c>
      <c r="I4" s="799">
        <f>IF(I$2=$F4+1,Monthly!E$21,IF(I$2&gt;$F4+1,('Traditional Attrition'!H4+I136)*(1-IF(I$2-$F4&lt;=12,SUMIFS('Attrition Modeling'!$D:$D,'Attrition Modeling'!$B:$B,'Traditional Attrition'!$E4,'Attrition Modeling'!$C:$C,'Traditional Attrition'!I$1),VLOOKUP('Traditional Attrition'!I$2-'Traditional Attrition'!$F4-1,'Traditional Attrition'!$A$7:$C$161,2,FALSE)*VLOOKUP(I$1,'Attrition Modeling'!$L$15:$N$27,IF(I$2-$F4&lt;=24,2,3),FALSE))*(1+Projection!K$16)*(1+IF(I136&gt;0,'Attrition Modeling'!$N$9,0))),0))</f>
        <v>3466.4432040252391</v>
      </c>
      <c r="J4" s="799">
        <f>IF(J$2=$F4+1,Monthly!F$21,IF(J$2&gt;$F4+1,('Traditional Attrition'!I4+J136)*(1-IF(J$2-$F4&lt;=12,SUMIFS('Attrition Modeling'!$D:$D,'Attrition Modeling'!$B:$B,'Traditional Attrition'!$E4,'Attrition Modeling'!$C:$C,'Traditional Attrition'!J$1),VLOOKUP('Traditional Attrition'!J$2-'Traditional Attrition'!$F4-1,'Traditional Attrition'!$A$7:$C$161,2,FALSE)*VLOOKUP(J$1,'Attrition Modeling'!$L$15:$N$27,IF(J$2-$F4&lt;=24,2,3),FALSE))*(1+Projection!L$16)*(1+IF(J136&gt;0,'Attrition Modeling'!$N$9,0))),0))</f>
        <v>3117.1862253798413</v>
      </c>
      <c r="K4" s="799">
        <f>IF(K$2=$F4+1,Monthly!G$21,IF(K$2&gt;$F4+1,('Traditional Attrition'!J4+K136)*(1-IF(K$2-$F4&lt;=12,SUMIFS('Attrition Modeling'!$D:$D,'Attrition Modeling'!$B:$B,'Traditional Attrition'!$E4,'Attrition Modeling'!$C:$C,'Traditional Attrition'!K$1),VLOOKUP('Traditional Attrition'!K$2-'Traditional Attrition'!$F4-1,'Traditional Attrition'!$A$7:$C$161,2,FALSE)*VLOOKUP(K$1,'Attrition Modeling'!$L$15:$N$27,IF(K$2-$F4&lt;=24,2,3),FALSE))*(1+Projection!M$16)*(1+IF(K136&gt;0,'Attrition Modeling'!$N$9,0))),0))</f>
        <v>2856.8649850285478</v>
      </c>
      <c r="L4" s="799">
        <f>IF(L$2=$F4+1,Monthly!H$21,IF(L$2&gt;$F4+1,('Traditional Attrition'!K4+L136)*(1-IF(L$2-$F4&lt;=12,SUMIFS('Attrition Modeling'!$D:$D,'Attrition Modeling'!$B:$B,'Traditional Attrition'!$E4,'Attrition Modeling'!$C:$C,'Traditional Attrition'!L$1),VLOOKUP('Traditional Attrition'!L$2-'Traditional Attrition'!$F4-1,'Traditional Attrition'!$A$7:$C$161,2,FALSE)*VLOOKUP(L$1,'Attrition Modeling'!$L$15:$N$27,IF(L$2-$F4&lt;=24,2,3),FALSE))*(1+Projection!N$16)*(1+IF(L136&gt;0,'Attrition Modeling'!$N$9,0))),0))</f>
        <v>2594.0937148257553</v>
      </c>
      <c r="M4" s="799">
        <f>IF(M$2=$F4+1,Monthly!I$21,IF(M$2&gt;$F4+1,('Traditional Attrition'!L4+M136)*(1-IF(M$2-$F4&lt;=12,SUMIFS('Attrition Modeling'!$D:$D,'Attrition Modeling'!$B:$B,'Traditional Attrition'!$E4,'Attrition Modeling'!$C:$C,'Traditional Attrition'!M$1),VLOOKUP('Traditional Attrition'!M$2-'Traditional Attrition'!$F4-1,'Traditional Attrition'!$A$7:$C$161,2,FALSE)*VLOOKUP(M$1,'Attrition Modeling'!$L$15:$N$27,IF(M$2-$F4&lt;=24,2,3),FALSE))*(1+Projection!O$16)*(1+IF(M136&gt;0,'Attrition Modeling'!$N$9,0))),0))</f>
        <v>2383.9686737802285</v>
      </c>
      <c r="N4" s="799">
        <f>IF(N$2=$F4+1,Monthly!J$21,IF(N$2&gt;$F4+1,('Traditional Attrition'!M4+N136)*(1-IF(N$2-$F4&lt;=12,SUMIFS('Attrition Modeling'!$D:$D,'Attrition Modeling'!$B:$B,'Traditional Attrition'!$E4,'Attrition Modeling'!$C:$C,'Traditional Attrition'!N$1),VLOOKUP('Traditional Attrition'!N$2-'Traditional Attrition'!$F4-1,'Traditional Attrition'!$A$7:$C$161,2,FALSE)*VLOOKUP(N$1,'Attrition Modeling'!$L$15:$N$27,IF(N$2-$F4&lt;=24,2,3),FALSE))*(1+Projection!P$16)*(1+IF(N136&gt;0,'Attrition Modeling'!$N$9,0))),0))</f>
        <v>2343.7193205691701</v>
      </c>
      <c r="O4" s="799">
        <f>IF(O$2=$F4+1,Monthly!K$21,IF(O$2&gt;$F4+1,('Traditional Attrition'!N4+O136)*(1-IF(O$2-$F4&lt;=12,SUMIFS('Attrition Modeling'!$D:$D,'Attrition Modeling'!$B:$B,'Traditional Attrition'!$E4,'Attrition Modeling'!$C:$C,'Traditional Attrition'!O$1),VLOOKUP('Traditional Attrition'!O$2-'Traditional Attrition'!$F4-1,'Traditional Attrition'!$A$7:$C$161,2,FALSE)*VLOOKUP(O$1,'Attrition Modeling'!$L$15:$N$27,IF(O$2-$F4&lt;=24,2,3),FALSE))*(1+Projection!Q$16)*(1+IF(O136&gt;0,'Attrition Modeling'!$N$9,0))),0))</f>
        <v>2164.9655589044633</v>
      </c>
      <c r="P4" s="799">
        <f>IF(P$2=$F4+1,Monthly!L$21,IF(P$2&gt;$F4+1,('Traditional Attrition'!O4+P136)*(1-IF(P$2-$F4&lt;=12,SUMIFS('Attrition Modeling'!$D:$D,'Attrition Modeling'!$B:$B,'Traditional Attrition'!$E4,'Attrition Modeling'!$C:$C,'Traditional Attrition'!P$1),VLOOKUP('Traditional Attrition'!P$2-'Traditional Attrition'!$F4-1,'Traditional Attrition'!$A$7:$C$161,2,FALSE)*VLOOKUP(P$1,'Attrition Modeling'!$L$15:$N$27,IF(P$2-$F4&lt;=24,2,3),FALSE))*(1+Projection!R$16)*(1+IF(P136&gt;0,'Attrition Modeling'!$N$9,0))),0))</f>
        <v>2032.1875067382182</v>
      </c>
      <c r="Q4" s="799">
        <f>IF(Q$2=$F4+1,Monthly!M$21,IF(Q$2&gt;$F4+1,('Traditional Attrition'!P4+Q136)*(1-IF(Q$2-$F4&lt;=12,SUMIFS('Attrition Modeling'!$D:$D,'Attrition Modeling'!$B:$B,'Traditional Attrition'!$E4,'Attrition Modeling'!$C:$C,'Traditional Attrition'!Q$1),VLOOKUP('Traditional Attrition'!Q$2-'Traditional Attrition'!$F4-1,'Traditional Attrition'!$A$7:$C$161,2,FALSE)*VLOOKUP(Q$1,'Attrition Modeling'!$L$15:$N$27,IF(Q$2-$F4&lt;=24,2,3),FALSE))*(1+Projection!S$16)*(1+IF(Q136&gt;0,'Attrition Modeling'!$N$9,0))),0))</f>
        <v>1901.7784577808147</v>
      </c>
      <c r="R4" s="799">
        <f>IF(R$2=$F4+1,Monthly!N$21,IF(R$2&gt;$F4+1,('Traditional Attrition'!Q4+R136)*(1-IF(R$2-$F4&lt;=12,SUMIFS('Attrition Modeling'!$D:$D,'Attrition Modeling'!$B:$B,'Traditional Attrition'!$E4,'Attrition Modeling'!$C:$C,'Traditional Attrition'!R$1),VLOOKUP('Traditional Attrition'!R$2-'Traditional Attrition'!$F4-1,'Traditional Attrition'!$A$7:$C$161,2,FALSE)*VLOOKUP(R$1,'Attrition Modeling'!$L$15:$N$27,IF(R$2-$F4&lt;=24,2,3),FALSE))*(1+Projection!T$16)*(1+IF(R136&gt;0,'Attrition Modeling'!$N$9,0))),0))</f>
        <v>1788.1701684121811</v>
      </c>
      <c r="S4" s="799">
        <f>IF(S$2=$F4+1,Monthly!O$21,IF(S$2&gt;$F4+1,('Traditional Attrition'!R4+S136)*(1-IF(S$2-$F4&lt;=12,SUMIFS('Attrition Modeling'!$D:$D,'Attrition Modeling'!$B:$B,'Traditional Attrition'!$E4,'Attrition Modeling'!$C:$C,'Traditional Attrition'!S$1),VLOOKUP('Traditional Attrition'!S$2-'Traditional Attrition'!$F4-1,'Traditional Attrition'!$A$7:$C$161,2,FALSE)*VLOOKUP(S$1,'Attrition Modeling'!$L$15:$N$27,IF(S$2-$F4&lt;=24,2,3),FALSE))*(1+Projection!U$16)*(1+IF(S136&gt;0,'Attrition Modeling'!$N$9,0))),0))</f>
        <v>1683.6016784756853</v>
      </c>
      <c r="T4" s="799">
        <f>IF(T$2=$F4+1,Monthly!P$21,IF(T$2&gt;$F4+1,('Traditional Attrition'!S4+T136)*(1-IF(T$2-$F4&lt;=12,SUMIFS('Attrition Modeling'!$D:$D,'Attrition Modeling'!$B:$B,'Traditional Attrition'!$E4,'Attrition Modeling'!$C:$C,'Traditional Attrition'!T$1),VLOOKUP('Traditional Attrition'!T$2-'Traditional Attrition'!$F4-1,'Traditional Attrition'!$A$7:$C$161,2,FALSE)*VLOOKUP(T$1,'Attrition Modeling'!$L$15:$N$27,IF(T$2-$F4&lt;=24,2,3),FALSE))*(1+Projection!V$16)*(1+IF(T136&gt;0,'Attrition Modeling'!$N$9,0))),0))</f>
        <v>1640.4350237484582</v>
      </c>
      <c r="U4" s="799">
        <f>IF(U$2=$F4+1,Monthly!Q$21,IF(U$2&gt;$F4+1,('Traditional Attrition'!T4+U136)*(1-IF(U$2-$F4&lt;=12,SUMIFS('Attrition Modeling'!$D:$D,'Attrition Modeling'!$B:$B,'Traditional Attrition'!$E4,'Attrition Modeling'!$C:$C,'Traditional Attrition'!U$1),VLOOKUP('Traditional Attrition'!U$2-'Traditional Attrition'!$F4-1,'Traditional Attrition'!$A$7:$C$161,2,FALSE)*VLOOKUP(U$1,'Attrition Modeling'!$L$15:$N$27,IF(U$2-$F4&lt;=24,2,3),FALSE))*(1+Projection!W$16)*(1+IF(U136&gt;0,'Attrition Modeling'!$N$9,0))),0))</f>
        <v>1560.7662273129567</v>
      </c>
      <c r="V4" s="799">
        <f>IF(V$2=$F4+1,Monthly!R$21,IF(V$2&gt;$F4+1,('Traditional Attrition'!U4+V136)*(1-IF(V$2-$F4&lt;=12,SUMIFS('Attrition Modeling'!$D:$D,'Attrition Modeling'!$B:$B,'Traditional Attrition'!$E4,'Attrition Modeling'!$C:$C,'Traditional Attrition'!V$1),VLOOKUP('Traditional Attrition'!V$2-'Traditional Attrition'!$F4-1,'Traditional Attrition'!$A$7:$C$161,2,FALSE)*VLOOKUP(V$1,'Attrition Modeling'!$L$15:$N$27,IF(V$2-$F4&lt;=24,2,3),FALSE))*(1+Projection!X$16)*(1+IF(V136&gt;0,'Attrition Modeling'!$N$9,0))),0))</f>
        <v>1484.6269918488208</v>
      </c>
      <c r="W4" s="799">
        <f>IF(W$2=$F4+1,Monthly!S$21,IF(W$2&gt;$F4+1,('Traditional Attrition'!V4+W136)*(1-IF(W$2-$F4&lt;=12,SUMIFS('Attrition Modeling'!$D:$D,'Attrition Modeling'!$B:$B,'Traditional Attrition'!$E4,'Attrition Modeling'!$C:$C,'Traditional Attrition'!W$1),VLOOKUP('Traditional Attrition'!W$2-'Traditional Attrition'!$F4-1,'Traditional Attrition'!$A$7:$C$161,2,FALSE)*VLOOKUP(W$1,'Attrition Modeling'!$L$15:$N$27,IF(W$2-$F4&lt;=24,2,3),FALSE))*(1+Projection!Y$16)*(1+IF(W136&gt;0,'Attrition Modeling'!$N$9,0))),0))</f>
        <v>1416.9036700955655</v>
      </c>
      <c r="X4" s="799">
        <f>IF(X$2=$F4+1,Monthly!T$21,IF(X$2&gt;$F4+1,('Traditional Attrition'!W4+X136)*(1-IF(X$2-$F4&lt;=12,SUMIFS('Attrition Modeling'!$D:$D,'Attrition Modeling'!$B:$B,'Traditional Attrition'!$E4,'Attrition Modeling'!$C:$C,'Traditional Attrition'!X$1),VLOOKUP('Traditional Attrition'!X$2-'Traditional Attrition'!$F4-1,'Traditional Attrition'!$A$7:$C$161,2,FALSE)*VLOOKUP(X$1,'Attrition Modeling'!$L$15:$N$27,IF(X$2-$F4&lt;=24,2,3),FALSE))*(1+Projection!Z$16)*(1+IF(X136&gt;0,'Attrition Modeling'!$N$9,0))),0))</f>
        <v>1355.0754378055947</v>
      </c>
      <c r="Y4" s="799">
        <f>IF(Y$2=$F4+1,Monthly!U$21,IF(Y$2&gt;$F4+1,('Traditional Attrition'!X4+Y136)*(1-IF(Y$2-$F4&lt;=12,SUMIFS('Attrition Modeling'!$D:$D,'Attrition Modeling'!$B:$B,'Traditional Attrition'!$E4,'Attrition Modeling'!$C:$C,'Traditional Attrition'!Y$1),VLOOKUP('Traditional Attrition'!Y$2-'Traditional Attrition'!$F4-1,'Traditional Attrition'!$A$7:$C$161,2,FALSE)*VLOOKUP(Y$1,'Attrition Modeling'!$L$15:$N$27,IF(Y$2-$F4&lt;=24,2,3),FALSE))*(1+Projection!AA$16)*(1+IF(Y136&gt;0,'Attrition Modeling'!$N$9,0))),0))</f>
        <v>1292.0670483048978</v>
      </c>
      <c r="Z4" s="799">
        <f>IF(Z$2=$F4+1,Monthly!V$21,IF(Z$2&gt;$F4+1,('Traditional Attrition'!Y4+Z136)*(1-IF(Z$2-$F4&lt;=12,SUMIFS('Attrition Modeling'!$D:$D,'Attrition Modeling'!$B:$B,'Traditional Attrition'!$E4,'Attrition Modeling'!$C:$C,'Traditional Attrition'!Z$1),VLOOKUP('Traditional Attrition'!Z$2-'Traditional Attrition'!$F4-1,'Traditional Attrition'!$A$7:$C$161,2,FALSE)*VLOOKUP(Z$1,'Attrition Modeling'!$L$15:$N$27,IF(Z$2-$F4&lt;=24,2,3),FALSE))*(1+Projection!AB$16)*(1+IF(Z136&gt;0,'Attrition Modeling'!$N$9,0))),0))</f>
        <v>1337.2222121626949</v>
      </c>
      <c r="AA4" s="799">
        <f>IF(AA$2=$F4+1,Monthly!W$21,IF(AA$2&gt;$F4+1,('Traditional Attrition'!Z4+AA136)*(1-IF(AA$2-$F4&lt;=12,SUMIFS('Attrition Modeling'!$D:$D,'Attrition Modeling'!$B:$B,'Traditional Attrition'!$E4,'Attrition Modeling'!$C:$C,'Traditional Attrition'!AA$1),VLOOKUP('Traditional Attrition'!AA$2-'Traditional Attrition'!$F4-1,'Traditional Attrition'!$A$7:$C$161,2,FALSE)*VLOOKUP(AA$1,'Attrition Modeling'!$L$15:$N$27,IF(AA$2-$F4&lt;=24,2,3),FALSE))*(1+Projection!AC$16)*(1+IF(AA136&gt;0,'Attrition Modeling'!$N$9,0))),0))</f>
        <v>1273.7937778229498</v>
      </c>
      <c r="AB4" s="799">
        <f>IF(AB$2=$F4+1,Monthly!X$21,IF(AB$2&gt;$F4+1,('Traditional Attrition'!AA4+AB136)*(1-IF(AB$2-$F4&lt;=12,SUMIFS('Attrition Modeling'!$D:$D,'Attrition Modeling'!$B:$B,'Traditional Attrition'!$E4,'Attrition Modeling'!$C:$C,'Traditional Attrition'!AB$1),VLOOKUP('Traditional Attrition'!AB$2-'Traditional Attrition'!$F4-1,'Traditional Attrition'!$A$7:$C$161,2,FALSE)*VLOOKUP(AB$1,'Attrition Modeling'!$L$15:$N$27,IF(AB$2-$F4&lt;=24,2,3),FALSE))*(1+Projection!AD$16)*(1+IF(AB136&gt;0,'Attrition Modeling'!$N$9,0))),0))</f>
        <v>1219.7455513551929</v>
      </c>
      <c r="AC4" s="799">
        <f>IF(AC$2=$F4+1,Monthly!Y$21,IF(AC$2&gt;$F4+1,('Traditional Attrition'!AB4+AC136)*(1-IF(AC$2-$F4&lt;=12,SUMIFS('Attrition Modeling'!$D:$D,'Attrition Modeling'!$B:$B,'Traditional Attrition'!$E4,'Attrition Modeling'!$C:$C,'Traditional Attrition'!AC$1),VLOOKUP('Traditional Attrition'!AC$2-'Traditional Attrition'!$F4-1,'Traditional Attrition'!$A$7:$C$161,2,FALSE)*VLOOKUP(AC$1,'Attrition Modeling'!$L$15:$N$27,IF(AC$2-$F4&lt;=24,2,3),FALSE))*(1+Projection!AE$16)*(1+IF(AC136&gt;0,'Attrition Modeling'!$N$9,0))),0))</f>
        <v>1167.6978422231834</v>
      </c>
      <c r="AD4" s="799">
        <f>IF(AD$2=$F4+1,Monthly!Z$21,IF(AD$2&gt;$F4+1,('Traditional Attrition'!AC4+AD136)*(1-IF(AD$2-$F4&lt;=12,SUMIFS('Attrition Modeling'!$D:$D,'Attrition Modeling'!$B:$B,'Traditional Attrition'!$E4,'Attrition Modeling'!$C:$C,'Traditional Attrition'!AD$1),VLOOKUP('Traditional Attrition'!AD$2-'Traditional Attrition'!$F4-1,'Traditional Attrition'!$A$7:$C$161,2,FALSE)*VLOOKUP(AD$1,'Attrition Modeling'!$L$15:$N$27,IF(AD$2-$F4&lt;=24,2,3),FALSE))*(1+Projection!AF$16)*(1+IF(AD136&gt;0,'Attrition Modeling'!$N$9,0))),0))</f>
        <v>1120.5101608539676</v>
      </c>
      <c r="AE4" s="799">
        <f>IF(AE$2=$F4+1,Monthly!AA$21,IF(AE$2&gt;$F4+1,('Traditional Attrition'!AD4+AE136)*(1-IF(AE$2-$F4&lt;=12,SUMIFS('Attrition Modeling'!$D:$D,'Attrition Modeling'!$B:$B,'Traditional Attrition'!$E4,'Attrition Modeling'!$C:$C,'Traditional Attrition'!AE$1),VLOOKUP('Traditional Attrition'!AE$2-'Traditional Attrition'!$F4-1,'Traditional Attrition'!$A$7:$C$161,2,FALSE)*VLOOKUP(AE$1,'Attrition Modeling'!$L$15:$N$27,IF(AE$2-$F4&lt;=24,2,3),FALSE))*(1+Projection!AG$16)*(1+IF(AE136&gt;0,'Attrition Modeling'!$N$9,0))),0))</f>
        <v>1076.3451940224645</v>
      </c>
      <c r="AF4" s="799">
        <f>IF(AF$2=$F4+1,Monthly!AB$21,IF(AF$2&gt;$F4+1,('Traditional Attrition'!AE4+AF136)*(1-IF(AF$2-$F4&lt;=12,SUMIFS('Attrition Modeling'!$D:$D,'Attrition Modeling'!$B:$B,'Traditional Attrition'!$E4,'Attrition Modeling'!$C:$C,'Traditional Attrition'!AF$1),VLOOKUP('Traditional Attrition'!AF$2-'Traditional Attrition'!$F4-1,'Traditional Attrition'!$A$7:$C$161,2,FALSE)*VLOOKUP(AF$1,'Attrition Modeling'!$L$15:$N$27,IF(AF$2-$F4&lt;=24,2,3),FALSE))*(1+Projection!AH$16)*(1+IF(AF136&gt;0,'Attrition Modeling'!$N$9,0))),0))</f>
        <v>1034.4445631563892</v>
      </c>
      <c r="AG4" s="799">
        <f>IF(AG$2=$F4+1,Monthly!AC$21,IF(AG$2&gt;$F4+1,('Traditional Attrition'!AF4+AG136)*(1-IF(AG$2-$F4&lt;=12,SUMIFS('Attrition Modeling'!$D:$D,'Attrition Modeling'!$B:$B,'Traditional Attrition'!$E4,'Attrition Modeling'!$C:$C,'Traditional Attrition'!AG$1),VLOOKUP('Traditional Attrition'!AG$2-'Traditional Attrition'!$F4-1,'Traditional Attrition'!$A$7:$C$161,2,FALSE)*VLOOKUP(AG$1,'Attrition Modeling'!$L$15:$N$27,IF(AG$2-$F4&lt;=24,2,3),FALSE))*(1+Projection!AI$16)*(1+IF(AG136&gt;0,'Attrition Modeling'!$N$9,0))),0))</f>
        <v>998.37375262419221</v>
      </c>
      <c r="AH4" s="799">
        <f>IF(AH$2=$F4+1,Monthly!AD$21,IF(AH$2&gt;$F4+1,('Traditional Attrition'!AG4+AH136)*(1-IF(AH$2-$F4&lt;=12,SUMIFS('Attrition Modeling'!$D:$D,'Attrition Modeling'!$B:$B,'Traditional Attrition'!$E4,'Attrition Modeling'!$C:$C,'Traditional Attrition'!AH$1),VLOOKUP('Traditional Attrition'!AH$2-'Traditional Attrition'!$F4-1,'Traditional Attrition'!$A$7:$C$161,2,FALSE)*VLOOKUP(AH$1,'Attrition Modeling'!$L$15:$N$27,IF(AH$2-$F4&lt;=24,2,3),FALSE))*(1+Projection!AJ$16)*(1+IF(AH136&gt;0,'Attrition Modeling'!$N$9,0))),0))</f>
        <v>965.48860987871842</v>
      </c>
      <c r="AI4" s="799">
        <f>IF(AI$2=$F4+1,Monthly!AE$21,IF(AI$2&gt;$F4+1,('Traditional Attrition'!AH4+AI136)*(1-IF(AI$2-$F4&lt;=12,SUMIFS('Attrition Modeling'!$D:$D,'Attrition Modeling'!$B:$B,'Traditional Attrition'!$E4,'Attrition Modeling'!$C:$C,'Traditional Attrition'!AI$1),VLOOKUP('Traditional Attrition'!AI$2-'Traditional Attrition'!$F4-1,'Traditional Attrition'!$A$7:$C$161,2,FALSE)*VLOOKUP(AI$1,'Attrition Modeling'!$L$15:$N$27,IF(AI$2-$F4&lt;=24,2,3),FALSE))*(1+Projection!AK$16)*(1+IF(AI136&gt;0,'Attrition Modeling'!$N$9,0))),0))</f>
        <v>940.54014969824277</v>
      </c>
      <c r="AJ4" s="799">
        <f>IF(AJ$2=$F4+1,Monthly!AF$21,IF(AJ$2&gt;$F4+1,('Traditional Attrition'!AI4+AJ136)*(1-IF(AJ$2-$F4&lt;=12,SUMIFS('Attrition Modeling'!$D:$D,'Attrition Modeling'!$B:$B,'Traditional Attrition'!$E4,'Attrition Modeling'!$C:$C,'Traditional Attrition'!AJ$1),VLOOKUP('Traditional Attrition'!AJ$2-'Traditional Attrition'!$F4-1,'Traditional Attrition'!$A$7:$C$161,2,FALSE)*VLOOKUP(AJ$1,'Attrition Modeling'!$L$15:$N$27,IF(AJ$2-$F4&lt;=24,2,3),FALSE))*(1+Projection!AL$16)*(1+IF(AJ136&gt;0,'Attrition Modeling'!$N$9,0))),0))</f>
        <v>911.58589686156097</v>
      </c>
      <c r="AK4" s="799">
        <f>IF(AK$2=$F4+1,Monthly!AG$21,IF(AK$2&gt;$F4+1,('Traditional Attrition'!AJ4+AK136)*(1-IF(AK$2-$F4&lt;=12,SUMIFS('Attrition Modeling'!$D:$D,'Attrition Modeling'!$B:$B,'Traditional Attrition'!$E4,'Attrition Modeling'!$C:$C,'Traditional Attrition'!AK$1),VLOOKUP('Traditional Attrition'!AK$2-'Traditional Attrition'!$F4-1,'Traditional Attrition'!$A$7:$C$161,2,FALSE)*VLOOKUP(AK$1,'Attrition Modeling'!$L$15:$N$27,IF(AK$2-$F4&lt;=24,2,3),FALSE))*(1+Projection!AM$16)*(1+IF(AK136&gt;0,'Attrition Modeling'!$N$9,0))),0))</f>
        <v>879.96933432337801</v>
      </c>
      <c r="AL4" s="799">
        <f>IF(AL$2=$F4+1,Monthly!AH$21,IF(AL$2&gt;$F4+1,('Traditional Attrition'!AK4+AL136)*(1-IF(AL$2-$F4&lt;=12,SUMIFS('Attrition Modeling'!$D:$D,'Attrition Modeling'!$B:$B,'Traditional Attrition'!$E4,'Attrition Modeling'!$C:$C,'Traditional Attrition'!AL$1),VLOOKUP('Traditional Attrition'!AL$2-'Traditional Attrition'!$F4-1,'Traditional Attrition'!$A$7:$C$161,2,FALSE)*VLOOKUP(AL$1,'Attrition Modeling'!$L$15:$N$27,IF(AL$2-$F4&lt;=24,2,3),FALSE))*(1+Projection!AN$16)*(1+IF(AL136&gt;0,'Attrition Modeling'!$N$9,0))),0))</f>
        <v>921.26099170809653</v>
      </c>
      <c r="AM4" s="799">
        <f>IF(AM$2=$F4+1,Monthly!AI$21,IF(AM$2&gt;$F4+1,('Traditional Attrition'!AL4+AM136)*(1-IF(AM$2-$F4&lt;=12,SUMIFS('Attrition Modeling'!$D:$D,'Attrition Modeling'!$B:$B,'Traditional Attrition'!$E4,'Attrition Modeling'!$C:$C,'Traditional Attrition'!AM$1),VLOOKUP('Traditional Attrition'!AM$2-'Traditional Attrition'!$F4-1,'Traditional Attrition'!$A$7:$C$161,2,FALSE)*VLOOKUP(AM$1,'Attrition Modeling'!$L$15:$N$27,IF(AM$2-$F4&lt;=24,2,3),FALSE))*(1+Projection!AO$16)*(1+IF(AM136&gt;0,'Attrition Modeling'!$N$9,0))),0))</f>
        <v>884.79731471239973</v>
      </c>
      <c r="AN4" s="799">
        <f>IF(AN$2=$F4+1,Monthly!AJ$21,IF(AN$2&gt;$F4+1,('Traditional Attrition'!AM4+AN136)*(1-IF(AN$2-$F4&lt;=12,SUMIFS('Attrition Modeling'!$D:$D,'Attrition Modeling'!$B:$B,'Traditional Attrition'!$E4,'Attrition Modeling'!$C:$C,'Traditional Attrition'!AN$1),VLOOKUP('Traditional Attrition'!AN$2-'Traditional Attrition'!$F4-1,'Traditional Attrition'!$A$7:$C$161,2,FALSE)*VLOOKUP(AN$1,'Attrition Modeling'!$L$15:$N$27,IF(AN$2-$F4&lt;=24,2,3),FALSE))*(1+Projection!AP$16)*(1+IF(AN136&gt;0,'Attrition Modeling'!$N$9,0))),0))</f>
        <v>852.30308380161023</v>
      </c>
      <c r="AO4" s="799">
        <f>IF(AO$2=$F4+1,Monthly!AK$21,IF(AO$2&gt;$F4+1,('Traditional Attrition'!AN4+AO136)*(1-IF(AO$2-$F4&lt;=12,SUMIFS('Attrition Modeling'!$D:$D,'Attrition Modeling'!$B:$B,'Traditional Attrition'!$E4,'Attrition Modeling'!$C:$C,'Traditional Attrition'!AO$1),VLOOKUP('Traditional Attrition'!AO$2-'Traditional Attrition'!$F4-1,'Traditional Attrition'!$A$7:$C$161,2,FALSE)*VLOOKUP(AO$1,'Attrition Modeling'!$L$15:$N$27,IF(AO$2-$F4&lt;=24,2,3),FALSE))*(1+Projection!AQ$16)*(1+IF(AO136&gt;0,'Attrition Modeling'!$N$9,0))),0))</f>
        <v>822.43391240474216</v>
      </c>
      <c r="AP4" s="799">
        <f>IF(AP$2=$F4+1,Monthly!AL$21,IF(AP$2&gt;$F4+1,('Traditional Attrition'!AO4+AP136)*(1-IF(AP$2-$F4&lt;=12,SUMIFS('Attrition Modeling'!$D:$D,'Attrition Modeling'!$B:$B,'Traditional Attrition'!$E4,'Attrition Modeling'!$C:$C,'Traditional Attrition'!AP$1),VLOOKUP('Traditional Attrition'!AP$2-'Traditional Attrition'!$F4-1,'Traditional Attrition'!$A$7:$C$161,2,FALSE)*VLOOKUP(AP$1,'Attrition Modeling'!$L$15:$N$27,IF(AP$2-$F4&lt;=24,2,3),FALSE))*(1+Projection!AR$16)*(1+IF(AP136&gt;0,'Attrition Modeling'!$N$9,0))),0))</f>
        <v>794.58630529758227</v>
      </c>
      <c r="AQ4" s="799">
        <f>IF(AQ$2=$F4+1,Monthly!AM$21,IF(AQ$2&gt;$F4+1,('Traditional Attrition'!AP4+AQ136)*(1-IF(AQ$2-$F4&lt;=12,SUMIFS('Attrition Modeling'!$D:$D,'Attrition Modeling'!$B:$B,'Traditional Attrition'!$E4,'Attrition Modeling'!$C:$C,'Traditional Attrition'!AQ$1),VLOOKUP('Traditional Attrition'!AQ$2-'Traditional Attrition'!$F4-1,'Traditional Attrition'!$A$7:$C$161,2,FALSE)*VLOOKUP(AQ$1,'Attrition Modeling'!$L$15:$N$27,IF(AQ$2-$F4&lt;=24,2,3),FALSE))*(1+Projection!AS$16)*(1+IF(AQ136&gt;0,'Attrition Modeling'!$N$9,0))),0))</f>
        <v>772.66439275833363</v>
      </c>
      <c r="AR4" s="799">
        <f>IF(AR$2=$F4+1,Monthly!AN$21,IF(AR$2&gt;$F4+1,('Traditional Attrition'!AQ4+AR136)*(1-IF(AR$2-$F4&lt;=12,SUMIFS('Attrition Modeling'!$D:$D,'Attrition Modeling'!$B:$B,'Traditional Attrition'!$E4,'Attrition Modeling'!$C:$C,'Traditional Attrition'!AR$1),VLOOKUP('Traditional Attrition'!AR$2-'Traditional Attrition'!$F4-1,'Traditional Attrition'!$A$7:$C$161,2,FALSE)*VLOOKUP(AR$1,'Attrition Modeling'!$L$15:$N$27,IF(AR$2-$F4&lt;=24,2,3),FALSE))*(1+Projection!AT$16)*(1+IF(AR136&gt;0,'Attrition Modeling'!$N$9,0))),0))</f>
        <v>749.32457986571717</v>
      </c>
      <c r="AS4" s="799">
        <f>IF(AS$2=$F4+1,Monthly!AO$21,IF(AS$2&gt;$F4+1,('Traditional Attrition'!AR4+AS136)*(1-IF(AS$2-$F4&lt;=12,SUMIFS('Attrition Modeling'!$D:$D,'Attrition Modeling'!$B:$B,'Traditional Attrition'!$E4,'Attrition Modeling'!$C:$C,'Traditional Attrition'!AS$1),VLOOKUP('Traditional Attrition'!AS$2-'Traditional Attrition'!$F4-1,'Traditional Attrition'!$A$7:$C$161,2,FALSE)*VLOOKUP(AS$1,'Attrition Modeling'!$L$15:$N$27,IF(AS$2-$F4&lt;=24,2,3),FALSE))*(1+Projection!AU$16)*(1+IF(AS136&gt;0,'Attrition Modeling'!$N$9,0))),0))</f>
        <v>727.6374356835255</v>
      </c>
      <c r="AT4" s="799">
        <f>IF(AT$2=$F4+1,Monthly!AP$21,IF(AT$2&gt;$F4+1,('Traditional Attrition'!AS4+AT136)*(1-IF(AT$2-$F4&lt;=12,SUMIFS('Attrition Modeling'!$D:$D,'Attrition Modeling'!$B:$B,'Traditional Attrition'!$E4,'Attrition Modeling'!$C:$C,'Traditional Attrition'!AT$1),VLOOKUP('Traditional Attrition'!AT$2-'Traditional Attrition'!$F4-1,'Traditional Attrition'!$A$7:$C$161,2,FALSE)*VLOOKUP(AT$1,'Attrition Modeling'!$L$15:$N$27,IF(AT$2-$F4&lt;=24,2,3),FALSE))*(1+Projection!AV$16)*(1+IF(AT136&gt;0,'Attrition Modeling'!$N$9,0))),0))</f>
        <v>707.67792064932144</v>
      </c>
      <c r="AU4" s="799">
        <f>IF(AU$2=$F4+1,Monthly!AQ$21,IF(AU$2&gt;$F4+1,('Traditional Attrition'!AT4+AU136)*(1-IF(AU$2-$F4&lt;=12,SUMIFS('Attrition Modeling'!$D:$D,'Attrition Modeling'!$B:$B,'Traditional Attrition'!$E4,'Attrition Modeling'!$C:$C,'Traditional Attrition'!AU$1),VLOOKUP('Traditional Attrition'!AU$2-'Traditional Attrition'!$F4-1,'Traditional Attrition'!$A$7:$C$161,2,FALSE)*VLOOKUP(AU$1,'Attrition Modeling'!$L$15:$N$27,IF(AU$2-$F4&lt;=24,2,3),FALSE))*(1+Projection!AW$16)*(1+IF(AU136&gt;0,'Attrition Modeling'!$N$9,0))),0))</f>
        <v>692.40175086098145</v>
      </c>
      <c r="AV4" s="799">
        <f>IF(AV$2=$F4+1,Monthly!AR$21,IF(AV$2&gt;$F4+1,('Traditional Attrition'!AU4+AV136)*(1-IF(AV$2-$F4&lt;=12,SUMIFS('Attrition Modeling'!$D:$D,'Attrition Modeling'!$B:$B,'Traditional Attrition'!$E4,'Attrition Modeling'!$C:$C,'Traditional Attrition'!AV$1),VLOOKUP('Traditional Attrition'!AV$2-'Traditional Attrition'!$F4-1,'Traditional Attrition'!$A$7:$C$161,2,FALSE)*VLOOKUP(AV$1,'Attrition Modeling'!$L$15:$N$27,IF(AV$2-$F4&lt;=24,2,3),FALSE))*(1+Projection!AX$16)*(1+IF(AV136&gt;0,'Attrition Modeling'!$N$9,0))),0))</f>
        <v>674.54318878991921</v>
      </c>
      <c r="AW4" s="799">
        <f>IF(AW$2=$F4+1,Monthly!AS$21,IF(AW$2&gt;$F4+1,('Traditional Attrition'!AV4+AW136)*(1-IF(AW$2-$F4&lt;=12,SUMIFS('Attrition Modeling'!$D:$D,'Attrition Modeling'!$B:$B,'Traditional Attrition'!$E4,'Attrition Modeling'!$C:$C,'Traditional Attrition'!AW$1),VLOOKUP('Traditional Attrition'!AW$2-'Traditional Attrition'!$F4-1,'Traditional Attrition'!$A$7:$C$161,2,FALSE)*VLOOKUP(AW$1,'Attrition Modeling'!$L$15:$N$27,IF(AW$2-$F4&lt;=24,2,3),FALSE))*(1+Projection!AY$16)*(1+IF(AW136&gt;0,'Attrition Modeling'!$N$9,0))),0))</f>
        <v>654.88808040740378</v>
      </c>
      <c r="AX4" s="799">
        <f>IF(AX$2=$F4+1,Monthly!AT$21,IF(AX$2&gt;$F4+1,('Traditional Attrition'!AW4+AX136)*(1-IF(AX$2-$F4&lt;=12,SUMIFS('Attrition Modeling'!$D:$D,'Attrition Modeling'!$B:$B,'Traditional Attrition'!$E4,'Attrition Modeling'!$C:$C,'Traditional Attrition'!AX$1),VLOOKUP('Traditional Attrition'!AX$2-'Traditional Attrition'!$F4-1,'Traditional Attrition'!$A$7:$C$161,2,FALSE)*VLOOKUP(AX$1,'Attrition Modeling'!$L$15:$N$27,IF(AX$2-$F4&lt;=24,2,3),FALSE))*(1+Projection!AZ$16)*(1+IF(AX136&gt;0,'Attrition Modeling'!$N$9,0))),0))</f>
        <v>690.68592293082031</v>
      </c>
      <c r="AY4" s="799">
        <f>IF(AY$2=$F4+1,Monthly!AU$21,IF(AY$2&gt;$F4+1,('Traditional Attrition'!AX4+AY136)*(1-IF(AY$2-$F4&lt;=12,SUMIFS('Attrition Modeling'!$D:$D,'Attrition Modeling'!$B:$B,'Traditional Attrition'!$E4,'Attrition Modeling'!$C:$C,'Traditional Attrition'!AY$1),VLOOKUP('Traditional Attrition'!AY$2-'Traditional Attrition'!$F4-1,'Traditional Attrition'!$A$7:$C$161,2,FALSE)*VLOOKUP(AY$1,'Attrition Modeling'!$L$15:$N$27,IF(AY$2-$F4&lt;=24,2,3),FALSE))*(1+Projection!BA$16)*(1+IF(AY136&gt;0,'Attrition Modeling'!$N$9,0))),0))</f>
        <v>667.60279353211627</v>
      </c>
      <c r="AZ4" s="799">
        <f>IF(AZ$2=$F4+1,Monthly!AV$21,IF(AZ$2&gt;$F4+1,('Traditional Attrition'!AY4+AZ136)*(1-IF(AZ$2-$F4&lt;=12,SUMIFS('Attrition Modeling'!$D:$D,'Attrition Modeling'!$B:$B,'Traditional Attrition'!$E4,'Attrition Modeling'!$C:$C,'Traditional Attrition'!AZ$1),VLOOKUP('Traditional Attrition'!AZ$2-'Traditional Attrition'!$F4-1,'Traditional Attrition'!$A$7:$C$161,2,FALSE)*VLOOKUP(AZ$1,'Attrition Modeling'!$L$15:$N$27,IF(AZ$2-$F4&lt;=24,2,3),FALSE))*(1+Projection!BB$16)*(1+IF(AZ136&gt;0,'Attrition Modeling'!$N$9,0))),0))</f>
        <v>646.85271436677772</v>
      </c>
      <c r="BA4" s="799">
        <f>IF(BA$2=$F4+1,Monthly!AW$21,IF(BA$2&gt;$F4+1,('Traditional Attrition'!AZ4+BA136)*(1-IF(BA$2-$F4&lt;=12,SUMIFS('Attrition Modeling'!$D:$D,'Attrition Modeling'!$B:$B,'Traditional Attrition'!$E4,'Attrition Modeling'!$C:$C,'Traditional Attrition'!BA$1),VLOOKUP('Traditional Attrition'!BA$2-'Traditional Attrition'!$F4-1,'Traditional Attrition'!$A$7:$C$161,2,FALSE)*VLOOKUP(BA$1,'Attrition Modeling'!$L$15:$N$27,IF(BA$2-$F4&lt;=24,2,3),FALSE))*(1+Projection!BC$16)*(1+IF(BA136&gt;0,'Attrition Modeling'!$N$9,0))),0))</f>
        <v>627.62525419033204</v>
      </c>
      <c r="BB4" s="799">
        <f>IF(BB$2=$F4+1,Monthly!AX$21,IF(BB$2&gt;$F4+1,('Traditional Attrition'!BA4+BB136)*(1-IF(BB$2-$F4&lt;=12,SUMIFS('Attrition Modeling'!$D:$D,'Attrition Modeling'!$B:$B,'Traditional Attrition'!$E4,'Attrition Modeling'!$C:$C,'Traditional Attrition'!BB$1),VLOOKUP('Traditional Attrition'!BB$2-'Traditional Attrition'!$F4-1,'Traditional Attrition'!$A$7:$C$161,2,FALSE)*VLOOKUP(BB$1,'Attrition Modeling'!$L$15:$N$27,IF(BB$2-$F4&lt;=24,2,3),FALSE))*(1+Projection!BD$16)*(1+IF(BB136&gt;0,'Attrition Modeling'!$N$9,0))),0))</f>
        <v>609.56298449718702</v>
      </c>
      <c r="BC4" s="799">
        <f>IF(BC$2=$F4+1,Monthly!AY$21,IF(BC$2&gt;$F4+1,('Traditional Attrition'!BB4+BC136)*(1-IF(BC$2-$F4&lt;=12,SUMIFS('Attrition Modeling'!$D:$D,'Attrition Modeling'!$B:$B,'Traditional Attrition'!$E4,'Attrition Modeling'!$C:$C,'Traditional Attrition'!BC$1),VLOOKUP('Traditional Attrition'!BC$2-'Traditional Attrition'!$F4-1,'Traditional Attrition'!$A$7:$C$161,2,FALSE)*VLOOKUP(BC$1,'Attrition Modeling'!$L$15:$N$27,IF(BC$2-$F4&lt;=24,2,3),FALSE))*(1+Projection!BE$16)*(1+IF(BC136&gt;0,'Attrition Modeling'!$N$9,0))),0))</f>
        <v>595.24138277549832</v>
      </c>
      <c r="BD4" s="799">
        <f>IF(BD$2=$F4+1,Monthly!AZ$21,IF(BD$2&gt;$F4+1,('Traditional Attrition'!BC4+BD136)*(1-IF(BD$2-$F4&lt;=12,SUMIFS('Attrition Modeling'!$D:$D,'Attrition Modeling'!$B:$B,'Traditional Attrition'!$E4,'Attrition Modeling'!$C:$C,'Traditional Attrition'!BD$1),VLOOKUP('Traditional Attrition'!BD$2-'Traditional Attrition'!$F4-1,'Traditional Attrition'!$A$7:$C$161,2,FALSE)*VLOOKUP(BD$1,'Attrition Modeling'!$L$15:$N$27,IF(BD$2-$F4&lt;=24,2,3),FALSE))*(1+Projection!BF$16)*(1+IF(BD136&gt;0,'Attrition Modeling'!$N$9,0))),0))</f>
        <v>579.90079417158734</v>
      </c>
      <c r="BE4" s="799">
        <f>IF(BE$2=$F4+1,Monthly!BA$21,IF(BE$2&gt;$F4+1,('Traditional Attrition'!BD4+BE136)*(1-IF(BE$2-$F4&lt;=12,SUMIFS('Attrition Modeling'!$D:$D,'Attrition Modeling'!$B:$B,'Traditional Attrition'!$E4,'Attrition Modeling'!$C:$C,'Traditional Attrition'!BE$1),VLOOKUP('Traditional Attrition'!BE$2-'Traditional Attrition'!$F4-1,'Traditional Attrition'!$A$7:$C$161,2,FALSE)*VLOOKUP(BE$1,'Attrition Modeling'!$L$15:$N$27,IF(BE$2-$F4&lt;=24,2,3),FALSE))*(1+Projection!BG$16)*(1+IF(BE136&gt;0,'Attrition Modeling'!$N$9,0))),0))</f>
        <v>565.65237999980297</v>
      </c>
      <c r="BF4" s="799">
        <f>IF(BF$2=$F4+1,Monthly!BB$21,IF(BF$2&gt;$F4+1,('Traditional Attrition'!BE4+BF136)*(1-IF(BF$2-$F4&lt;=12,SUMIFS('Attrition Modeling'!$D:$D,'Attrition Modeling'!$B:$B,'Traditional Attrition'!$E4,'Attrition Modeling'!$C:$C,'Traditional Attrition'!BF$1),VLOOKUP('Traditional Attrition'!BF$2-'Traditional Attrition'!$F4-1,'Traditional Attrition'!$A$7:$C$161,2,FALSE)*VLOOKUP(BF$1,'Attrition Modeling'!$L$15:$N$27,IF(BF$2-$F4&lt;=24,2,3),FALSE))*(1+Projection!BH$16)*(1+IF(BF136&gt;0,'Attrition Modeling'!$N$9,0))),0))</f>
        <v>552.46002494835284</v>
      </c>
      <c r="BG4" s="799">
        <f>IF(BG$2=$F4+1,Monthly!BC$21,IF(BG$2&gt;$F4+1,('Traditional Attrition'!BF4+BG136)*(1-IF(BG$2-$F4&lt;=12,SUMIFS('Attrition Modeling'!$D:$D,'Attrition Modeling'!$B:$B,'Traditional Attrition'!$E4,'Attrition Modeling'!$C:$C,'Traditional Attrition'!BG$1),VLOOKUP('Traditional Attrition'!BG$2-'Traditional Attrition'!$F4-1,'Traditional Attrition'!$A$7:$C$161,2,FALSE)*VLOOKUP(BG$1,'Attrition Modeling'!$L$15:$N$27,IF(BG$2-$F4&lt;=24,2,3),FALSE))*(1+Projection!BI$16)*(1+IF(BG136&gt;0,'Attrition Modeling'!$N$9,0))),0))</f>
        <v>542.30598951770935</v>
      </c>
      <c r="BH4" s="799">
        <f>IF(BH$2=$F4+1,Monthly!BD$21,IF(BH$2&gt;$F4+1,('Traditional Attrition'!BG4+BH136)*(1-IF(BH$2-$F4&lt;=12,SUMIFS('Attrition Modeling'!$D:$D,'Attrition Modeling'!$B:$B,'Traditional Attrition'!$E4,'Attrition Modeling'!$C:$C,'Traditional Attrition'!BH$1),VLOOKUP('Traditional Attrition'!BH$2-'Traditional Attrition'!$F4-1,'Traditional Attrition'!$A$7:$C$161,2,FALSE)*VLOOKUP(BH$1,'Attrition Modeling'!$L$15:$N$27,IF(BH$2-$F4&lt;=24,2,3),FALSE))*(1+Projection!BJ$16)*(1+IF(BH136&gt;0,'Attrition Modeling'!$N$9,0))),0))</f>
        <v>530.3804227700781</v>
      </c>
      <c r="BI4" s="799">
        <f>IF(BI$2=$F4+1,Monthly!BE$21,IF(BI$2&gt;$F4+1,('Traditional Attrition'!BH4+BI136)*(1-IF(BI$2-$F4&lt;=12,SUMIFS('Attrition Modeling'!$D:$D,'Attrition Modeling'!$B:$B,'Traditional Attrition'!$E4,'Attrition Modeling'!$C:$C,'Traditional Attrition'!BI$1),VLOOKUP('Traditional Attrition'!BI$2-'Traditional Attrition'!$F4-1,'Traditional Attrition'!$A$7:$C$161,2,FALSE)*VLOOKUP(BI$1,'Attrition Modeling'!$L$15:$N$27,IF(BI$2-$F4&lt;=24,2,3),FALSE))*(1+Projection!BK$16)*(1+IF(BI136&gt;0,'Attrition Modeling'!$N$9,0))),0))</f>
        <v>517.18707949708789</v>
      </c>
      <c r="BJ4" s="799">
        <f>IF(BJ$2=$F4+1,Monthly!BF$21,IF(BJ$2&gt;$F4+1,('Traditional Attrition'!BI4+BJ136)*(1-IF(BJ$2-$F4&lt;=12,SUMIFS('Attrition Modeling'!$D:$D,'Attrition Modeling'!$B:$B,'Traditional Attrition'!$E4,'Attrition Modeling'!$C:$C,'Traditional Attrition'!BJ$1),VLOOKUP('Traditional Attrition'!BJ$2-'Traditional Attrition'!$F4-1,'Traditional Attrition'!$A$7:$C$161,2,FALSE)*VLOOKUP(BJ$1,'Attrition Modeling'!$L$15:$N$27,IF(BJ$2-$F4&lt;=24,2,3),FALSE))*(1+Projection!BL$16)*(1+IF(BJ136&gt;0,'Attrition Modeling'!$N$9,0))),0))</f>
        <v>548.5636744379126</v>
      </c>
      <c r="BK4" s="799">
        <f>IF(BK$2=$F4+1,Monthly!BG$21,IF(BK$2&gt;$F4+1,('Traditional Attrition'!BJ4+BK136)*(1-IF(BK$2-$F4&lt;=12,SUMIFS('Attrition Modeling'!$D:$D,'Attrition Modeling'!$B:$B,'Traditional Attrition'!$E4,'Attrition Modeling'!$C:$C,'Traditional Attrition'!BK$1),VLOOKUP('Traditional Attrition'!BK$2-'Traditional Attrition'!$F4-1,'Traditional Attrition'!$A$7:$C$161,2,FALSE)*VLOOKUP(BK$1,'Attrition Modeling'!$L$15:$N$27,IF(BK$2-$F4&lt;=24,2,3),FALSE))*(1+Projection!BM$16)*(1+IF(BK136&gt;0,'Attrition Modeling'!$N$9,0))),0))</f>
        <v>532.87576565961535</v>
      </c>
      <c r="BL4" s="799">
        <f>IF(BL$2=$F4+1,Monthly!BH$21,IF(BL$2&gt;$F4+1,('Traditional Attrition'!BK4+BL136)*(1-IF(BL$2-$F4&lt;=12,SUMIFS('Attrition Modeling'!$D:$D,'Attrition Modeling'!$B:$B,'Traditional Attrition'!$E4,'Attrition Modeling'!$C:$C,'Traditional Attrition'!BL$1),VLOOKUP('Traditional Attrition'!BL$2-'Traditional Attrition'!$F4-1,'Traditional Attrition'!$A$7:$C$161,2,FALSE)*VLOOKUP(BL$1,'Attrition Modeling'!$L$15:$N$27,IF(BL$2-$F4&lt;=24,2,3),FALSE))*(1+Projection!BN$16)*(1+IF(BL136&gt;0,'Attrition Modeling'!$N$9,0))),0))</f>
        <v>518.68775306797772</v>
      </c>
      <c r="BM4" s="799">
        <f>IF(BM$2=$F4+1,Monthly!BI$21,IF(BM$2&gt;$F4+1,('Traditional Attrition'!BL4+BM136)*(1-IF(BM$2-$F4&lt;=12,SUMIFS('Attrition Modeling'!$D:$D,'Attrition Modeling'!$B:$B,'Traditional Attrition'!$E4,'Attrition Modeling'!$C:$C,'Traditional Attrition'!BM$1),VLOOKUP('Traditional Attrition'!BM$2-'Traditional Attrition'!$F4-1,'Traditional Attrition'!$A$7:$C$161,2,FALSE)*VLOOKUP(BM$1,'Attrition Modeling'!$L$15:$N$27,IF(BM$2-$F4&lt;=24,2,3),FALSE))*(1+Projection!BO$16)*(1+IF(BM136&gt;0,'Attrition Modeling'!$N$9,0))),0))</f>
        <v>505.46685046015762</v>
      </c>
      <c r="BN4" s="799">
        <f>IF(BN$2=$F4+1,Monthly!BJ$21,IF(BN$2&gt;$F4+1,('Traditional Attrition'!BM4+BN136)*(1-IF(BN$2-$F4&lt;=12,SUMIFS('Attrition Modeling'!$D:$D,'Attrition Modeling'!$B:$B,'Traditional Attrition'!$E4,'Attrition Modeling'!$C:$C,'Traditional Attrition'!BN$1),VLOOKUP('Traditional Attrition'!BN$2-'Traditional Attrition'!$F4-1,'Traditional Attrition'!$A$7:$C$161,2,FALSE)*VLOOKUP(BN$1,'Attrition Modeling'!$L$15:$N$27,IF(BN$2-$F4&lt;=24,2,3),FALSE))*(1+Projection!BP$16)*(1+IF(BN136&gt;0,'Attrition Modeling'!$N$9,0))),0))</f>
        <v>492.98084072640705</v>
      </c>
      <c r="BO4" s="799">
        <f>IF(BO$2=$F4+1,Monthly!BK$21,IF(BO$2&gt;$F4+1,('Traditional Attrition'!BN4+BO136)*(1-IF(BO$2-$F4&lt;=12,SUMIFS('Attrition Modeling'!$D:$D,'Attrition Modeling'!$B:$B,'Traditional Attrition'!$E4,'Attrition Modeling'!$C:$C,'Traditional Attrition'!BO$1),VLOOKUP('Traditional Attrition'!BO$2-'Traditional Attrition'!$F4-1,'Traditional Attrition'!$A$7:$C$161,2,FALSE)*VLOOKUP(BO$1,'Attrition Modeling'!$L$15:$N$27,IF(BO$2-$F4&lt;=24,2,3),FALSE))*(1+Projection!BV$16)*(1+IF(BO136&gt;0,'Attrition Modeling'!$N$9,0))),0))</f>
        <v>483.03000214297651</v>
      </c>
      <c r="BP4" s="799">
        <f>IF(BP$2=$F4+1,Monthly!BL$21,IF(BP$2&gt;$F4+1,('Traditional Attrition'!BO4+BP136)*(1-IF(BP$2-$F4&lt;=12,SUMIFS('Attrition Modeling'!$D:$D,'Attrition Modeling'!$B:$B,'Traditional Attrition'!$E4,'Attrition Modeling'!$C:$C,'Traditional Attrition'!BP$1),VLOOKUP('Traditional Attrition'!BP$2-'Traditional Attrition'!$F4-1,'Traditional Attrition'!$A$7:$C$161,2,FALSE)*VLOOKUP(BP$1,'Attrition Modeling'!$L$15:$N$27,IF(BP$2-$F4&lt;=24,2,3),FALSE))*(1+Projection!BW$16)*(1+IF(BP136&gt;0,'Attrition Modeling'!$N$9,0))),0))</f>
        <v>472.32577298185942</v>
      </c>
      <c r="BQ4" s="799">
        <f>IF(BQ$2=$F4+1,Monthly!BM$21,IF(BQ$2&gt;$F4+1,('Traditional Attrition'!BP4+BQ136)*(1-IF(BQ$2-$F4&lt;=12,SUMIFS('Attrition Modeling'!$D:$D,'Attrition Modeling'!$B:$B,'Traditional Attrition'!$E4,'Attrition Modeling'!$C:$C,'Traditional Attrition'!BQ$1),VLOOKUP('Traditional Attrition'!BQ$2-'Traditional Attrition'!$F4-1,'Traditional Attrition'!$A$7:$C$161,2,FALSE)*VLOOKUP(BQ$1,'Attrition Modeling'!$L$15:$N$27,IF(BQ$2-$F4&lt;=24,2,3),FALSE))*(1+Projection!BX$16)*(1+IF(BQ136&gt;0,'Attrition Modeling'!$N$9,0))),0))</f>
        <v>462.27105847690746</v>
      </c>
      <c r="BR4" s="799">
        <f>IF(BR$2=$F4+1,Monthly!BN$21,IF(BR$2&gt;$F4+1,('Traditional Attrition'!BQ4+BR136)*(1-IF(BR$2-$F4&lt;=12,SUMIFS('Attrition Modeling'!$D:$D,'Attrition Modeling'!$B:$B,'Traditional Attrition'!$E4,'Attrition Modeling'!$C:$C,'Traditional Attrition'!BR$1),VLOOKUP('Traditional Attrition'!BR$2-'Traditional Attrition'!$F4-1,'Traditional Attrition'!$A$7:$C$161,2,FALSE)*VLOOKUP(BR$1,'Attrition Modeling'!$L$15:$N$27,IF(BR$2-$F4&lt;=24,2,3),FALSE))*(1+Projection!BY$16)*(1+IF(BR136&gt;0,'Attrition Modeling'!$N$9,0))),0))</f>
        <v>452.92151899689401</v>
      </c>
      <c r="BS4" s="799">
        <f>IF(BS$2=$F4+1,Monthly!BO$21,IF(BS$2&gt;$F4+1,('Traditional Attrition'!BR4+BS136)*(1-IF(BS$2-$F4&lt;=12,SUMIFS('Attrition Modeling'!$D:$D,'Attrition Modeling'!$B:$B,'Traditional Attrition'!$E4,'Attrition Modeling'!$C:$C,'Traditional Attrition'!BS$1),VLOOKUP('Traditional Attrition'!BS$2-'Traditional Attrition'!$F4-1,'Traditional Attrition'!$A$7:$C$161,2,FALSE)*VLOOKUP(BS$1,'Attrition Modeling'!$L$15:$N$27,IF(BS$2-$F4&lt;=24,2,3),FALSE))*(1+Projection!BZ$16)*(1+IF(BS136&gt;0,'Attrition Modeling'!$N$9,0))),0))</f>
        <v>445.69600953426158</v>
      </c>
      <c r="BT4" s="799">
        <f>IF(BT$2=$F4+1,Monthly!#REF!,IF(BT$2&gt;$F4+1,('Traditional Attrition'!BS4+BT136)*(1-IF(BT$2-$F4&lt;=12,SUMIFS('Attrition Modeling'!$D:$D,'Attrition Modeling'!$B:$B,'Traditional Attrition'!$E4,'Attrition Modeling'!$C:$C,'Traditional Attrition'!BT$1),VLOOKUP('Traditional Attrition'!BT$2-'Traditional Attrition'!$F4-1,'Traditional Attrition'!$A$7:$C$161,2,FALSE)*VLOOKUP(BT$1,'Attrition Modeling'!$L$15:$N$27,IF(BT$2-$F4&lt;=24,2,3),FALSE))*(1+Projection!CA$16)*(1+IF(BT136&gt;0,'Attrition Modeling'!$N$9,0))),0))</f>
        <v>437.18168523416165</v>
      </c>
      <c r="BU4" s="799">
        <f>IF(BU$2=$F4+1,Monthly!#REF!,IF(BU$2&gt;$F4+1,('Traditional Attrition'!BT4+BU136)*(1-IF(BU$2-$F4&lt;=12,SUMIFS('Attrition Modeling'!$D:$D,'Attrition Modeling'!$B:$B,'Traditional Attrition'!$E4,'Attrition Modeling'!$C:$C,'Traditional Attrition'!BU$1),VLOOKUP('Traditional Attrition'!BU$2-'Traditional Attrition'!$F4-1,'Traditional Attrition'!$A$7:$C$161,2,FALSE)*VLOOKUP(BU$1,'Attrition Modeling'!$L$15:$N$27,IF(BU$2-$F4&lt;=24,2,3),FALSE))*(1+Projection!CB$16)*(1+IF(BU136&gt;0,'Attrition Modeling'!$N$9,0))),0))</f>
        <v>427.72675643278586</v>
      </c>
    </row>
    <row r="5" spans="1:73" ht="14.25" customHeight="1" x14ac:dyDescent="0.2">
      <c r="A5" s="847" t="s">
        <v>694</v>
      </c>
      <c r="B5" s="852"/>
      <c r="C5" s="848"/>
      <c r="E5" s="11">
        <f t="shared" si="2"/>
        <v>2</v>
      </c>
      <c r="F5" s="11">
        <f t="shared" si="3"/>
        <v>2</v>
      </c>
      <c r="G5" s="799"/>
      <c r="H5" s="799">
        <f>IF(H$2=$F5+1,Monthly!D$21,IF(H$2&gt;$F5+1,('Traditional Attrition'!G5+H137)*(1-IF(H$2-$F5&lt;=12,SUMIFS('Attrition Modeling'!$D:$D,'Attrition Modeling'!$B:$B,'Traditional Attrition'!$E5,'Attrition Modeling'!$C:$C,'Traditional Attrition'!H$1),VLOOKUP('Traditional Attrition'!H$2-'Traditional Attrition'!$F5-1,'Traditional Attrition'!$A$7:$C$161,2,FALSE)*VLOOKUP(H$1,'Attrition Modeling'!$L$15:$N$27,IF(H$2-$F5&lt;=24,2,3),FALSE))*(1+Projection!J$16)*(1+IF(H137&gt;0,'Attrition Modeling'!$N$9,0))),0))</f>
        <v>0</v>
      </c>
      <c r="I5" s="799">
        <f>IF(I$2=$F5+1,Monthly!E$21,IF(I$2&gt;$F5+1,('Traditional Attrition'!H5+I137)*(1-IF(I$2-$F5&lt;=12,SUMIFS('Attrition Modeling'!$D:$D,'Attrition Modeling'!$B:$B,'Traditional Attrition'!$E5,'Attrition Modeling'!$C:$C,'Traditional Attrition'!I$1),VLOOKUP('Traditional Attrition'!I$2-'Traditional Attrition'!$F5-1,'Traditional Attrition'!$A$7:$C$161,2,FALSE)*VLOOKUP(I$1,'Attrition Modeling'!$L$15:$N$27,IF(I$2-$F5&lt;=24,2,3),FALSE))*(1+Projection!K$16)*(1+IF(I137&gt;0,'Attrition Modeling'!$N$9,0))),0))</f>
        <v>0</v>
      </c>
      <c r="J5" s="799">
        <f>IF(J$2=$F5+1,Monthly!F$21,IF(J$2&gt;$F5+1,('Traditional Attrition'!I5+J137)*(1-IF(J$2-$F5&lt;=12,SUMIFS('Attrition Modeling'!$D:$D,'Attrition Modeling'!$B:$B,'Traditional Attrition'!$E5,'Attrition Modeling'!$C:$C,'Traditional Attrition'!J$1),VLOOKUP('Traditional Attrition'!J$2-'Traditional Attrition'!$F5-1,'Traditional Attrition'!$A$7:$C$161,2,FALSE)*VLOOKUP(J$1,'Attrition Modeling'!$L$15:$N$27,IF(J$2-$F5&lt;=24,2,3),FALSE))*(1+Projection!L$16)*(1+IF(J137&gt;0,'Attrition Modeling'!$N$9,0))),0))</f>
        <v>5195.5217155690143</v>
      </c>
      <c r="K5" s="799">
        <f>IF(K$2=$F5+1,Monthly!G$21,IF(K$2&gt;$F5+1,('Traditional Attrition'!J5+K137)*(1-IF(K$2-$F5&lt;=12,SUMIFS('Attrition Modeling'!$D:$D,'Attrition Modeling'!$B:$B,'Traditional Attrition'!$E5,'Attrition Modeling'!$C:$C,'Traditional Attrition'!K$1),VLOOKUP('Traditional Attrition'!K$2-'Traditional Attrition'!$F5-1,'Traditional Attrition'!$A$7:$C$161,2,FALSE)*VLOOKUP(K$1,'Attrition Modeling'!$L$15:$N$27,IF(K$2-$F5&lt;=24,2,3),FALSE))*(1+Projection!M$16)*(1+IF(K137&gt;0,'Attrition Modeling'!$N$9,0))),0))</f>
        <v>4689.4997216637976</v>
      </c>
      <c r="L5" s="799">
        <f>IF(L$2=$F5+1,Monthly!H$21,IF(L$2&gt;$F5+1,('Traditional Attrition'!K5+L137)*(1-IF(L$2-$F5&lt;=12,SUMIFS('Attrition Modeling'!$D:$D,'Attrition Modeling'!$B:$B,'Traditional Attrition'!$E5,'Attrition Modeling'!$C:$C,'Traditional Attrition'!L$1),VLOOKUP('Traditional Attrition'!L$2-'Traditional Attrition'!$F5-1,'Traditional Attrition'!$A$7:$C$161,2,FALSE)*VLOOKUP(L$1,'Attrition Modeling'!$L$15:$N$27,IF(L$2-$F5&lt;=24,2,3),FALSE))*(1+Projection!N$16)*(1+IF(L137&gt;0,'Attrition Modeling'!$N$9,0))),0))</f>
        <v>4289.4201175697499</v>
      </c>
      <c r="M5" s="799">
        <f>IF(M$2=$F5+1,Monthly!I$21,IF(M$2&gt;$F5+1,('Traditional Attrition'!L5+M137)*(1-IF(M$2-$F5&lt;=12,SUMIFS('Attrition Modeling'!$D:$D,'Attrition Modeling'!$B:$B,'Traditional Attrition'!$E5,'Attrition Modeling'!$C:$C,'Traditional Attrition'!M$1),VLOOKUP('Traditional Attrition'!M$2-'Traditional Attrition'!$F5-1,'Traditional Attrition'!$A$7:$C$161,2,FALSE)*VLOOKUP(M$1,'Attrition Modeling'!$L$15:$N$27,IF(M$2-$F5&lt;=24,2,3),FALSE))*(1+Projection!O$16)*(1+IF(M137&gt;0,'Attrition Modeling'!$N$9,0))),0))</f>
        <v>3890.8183324477777</v>
      </c>
      <c r="N5" s="799">
        <f>IF(N$2=$F5+1,Monthly!J$21,IF(N$2&gt;$F5+1,('Traditional Attrition'!M5+N137)*(1-IF(N$2-$F5&lt;=12,SUMIFS('Attrition Modeling'!$D:$D,'Attrition Modeling'!$B:$B,'Traditional Attrition'!$E5,'Attrition Modeling'!$C:$C,'Traditional Attrition'!N$1),VLOOKUP('Traditional Attrition'!N$2-'Traditional Attrition'!$F5-1,'Traditional Attrition'!$A$7:$C$161,2,FALSE)*VLOOKUP(N$1,'Attrition Modeling'!$L$15:$N$27,IF(N$2-$F5&lt;=24,2,3),FALSE))*(1+Projection!P$16)*(1+IF(N137&gt;0,'Attrition Modeling'!$N$9,0))),0))</f>
        <v>3574.7574322572136</v>
      </c>
      <c r="O5" s="799">
        <f>IF(O$2=$F5+1,Monthly!K$21,IF(O$2&gt;$F5+1,('Traditional Attrition'!N5+O137)*(1-IF(O$2-$F5&lt;=12,SUMIFS('Attrition Modeling'!$D:$D,'Attrition Modeling'!$B:$B,'Traditional Attrition'!$E5,'Attrition Modeling'!$C:$C,'Traditional Attrition'!O$1),VLOOKUP('Traditional Attrition'!O$2-'Traditional Attrition'!$F5-1,'Traditional Attrition'!$A$7:$C$161,2,FALSE)*VLOOKUP(O$1,'Attrition Modeling'!$L$15:$N$27,IF(O$2-$F5&lt;=24,2,3),FALSE))*(1+Projection!Q$16)*(1+IF(O137&gt;0,'Attrition Modeling'!$N$9,0))),0))</f>
        <v>3522.5104204142699</v>
      </c>
      <c r="P5" s="799">
        <f>IF(P$2=$F5+1,Monthly!L$21,IF(P$2&gt;$F5+1,('Traditional Attrition'!O5+P137)*(1-IF(P$2-$F5&lt;=12,SUMIFS('Attrition Modeling'!$D:$D,'Attrition Modeling'!$B:$B,'Traditional Attrition'!$E5,'Attrition Modeling'!$C:$C,'Traditional Attrition'!P$1),VLOOKUP('Traditional Attrition'!P$2-'Traditional Attrition'!$F5-1,'Traditional Attrition'!$A$7:$C$161,2,FALSE)*VLOOKUP(P$1,'Attrition Modeling'!$L$15:$N$27,IF(P$2-$F5&lt;=24,2,3),FALSE))*(1+Projection!R$16)*(1+IF(P137&gt;0,'Attrition Modeling'!$N$9,0))),0))</f>
        <v>3256.6827977586431</v>
      </c>
      <c r="Q5" s="799">
        <f>IF(Q$2=$F5+1,Monthly!M$21,IF(Q$2&gt;$F5+1,('Traditional Attrition'!P5+Q137)*(1-IF(Q$2-$F5&lt;=12,SUMIFS('Attrition Modeling'!$D:$D,'Attrition Modeling'!$B:$B,'Traditional Attrition'!$E5,'Attrition Modeling'!$C:$C,'Traditional Attrition'!Q$1),VLOOKUP('Traditional Attrition'!Q$2-'Traditional Attrition'!$F5-1,'Traditional Attrition'!$A$7:$C$161,2,FALSE)*VLOOKUP(Q$1,'Attrition Modeling'!$L$15:$N$27,IF(Q$2-$F5&lt;=24,2,3),FALSE))*(1+Projection!S$16)*(1+IF(Q137&gt;0,'Attrition Modeling'!$N$9,0))),0))</f>
        <v>3028.4950781262055</v>
      </c>
      <c r="R5" s="799">
        <f>IF(R$2=$F5+1,Monthly!N$21,IF(R$2&gt;$F5+1,('Traditional Attrition'!Q5+R137)*(1-IF(R$2-$F5&lt;=12,SUMIFS('Attrition Modeling'!$D:$D,'Attrition Modeling'!$B:$B,'Traditional Attrition'!$E5,'Attrition Modeling'!$C:$C,'Traditional Attrition'!R$1),VLOOKUP('Traditional Attrition'!R$2-'Traditional Attrition'!$F5-1,'Traditional Attrition'!$A$7:$C$161,2,FALSE)*VLOOKUP(R$1,'Attrition Modeling'!$L$15:$N$27,IF(R$2-$F5&lt;=24,2,3),FALSE))*(1+Projection!T$16)*(1+IF(R137&gt;0,'Attrition Modeling'!$N$9,0))),0))</f>
        <v>2827.3549124367851</v>
      </c>
      <c r="S5" s="799">
        <f>IF(S$2=$F5+1,Monthly!O$21,IF(S$2&gt;$F5+1,('Traditional Attrition'!R5+S137)*(1-IF(S$2-$F5&lt;=12,SUMIFS('Attrition Modeling'!$D:$D,'Attrition Modeling'!$B:$B,'Traditional Attrition'!$E5,'Attrition Modeling'!$C:$C,'Traditional Attrition'!S$1),VLOOKUP('Traditional Attrition'!S$2-'Traditional Attrition'!$F5-1,'Traditional Attrition'!$A$7:$C$161,2,FALSE)*VLOOKUP(S$1,'Attrition Modeling'!$L$15:$N$27,IF(S$2-$F5&lt;=24,2,3),FALSE))*(1+Projection!U$16)*(1+IF(S137&gt;0,'Attrition Modeling'!$N$9,0))),0))</f>
        <v>2651.5547056641699</v>
      </c>
      <c r="T5" s="799">
        <f>IF(T$2=$F5+1,Monthly!P$21,IF(T$2&gt;$F5+1,('Traditional Attrition'!S5+T137)*(1-IF(T$2-$F5&lt;=12,SUMIFS('Attrition Modeling'!$D:$D,'Attrition Modeling'!$B:$B,'Traditional Attrition'!$E5,'Attrition Modeling'!$C:$C,'Traditional Attrition'!T$1),VLOOKUP('Traditional Attrition'!T$2-'Traditional Attrition'!$F5-1,'Traditional Attrition'!$A$7:$C$161,2,FALSE)*VLOOKUP(T$1,'Attrition Modeling'!$L$15:$N$27,IF(T$2-$F5&lt;=24,2,3),FALSE))*(1+Projection!V$16)*(1+IF(T137&gt;0,'Attrition Modeling'!$N$9,0))),0))</f>
        <v>2501.2514067202374</v>
      </c>
      <c r="U5" s="799">
        <f>IF(U$2=$F5+1,Monthly!Q$21,IF(U$2&gt;$F5+1,('Traditional Attrition'!T5+U137)*(1-IF(U$2-$F5&lt;=12,SUMIFS('Attrition Modeling'!$D:$D,'Attrition Modeling'!$B:$B,'Traditional Attrition'!$E5,'Attrition Modeling'!$C:$C,'Traditional Attrition'!U$1),VLOOKUP('Traditional Attrition'!U$2-'Traditional Attrition'!$F5-1,'Traditional Attrition'!$A$7:$C$161,2,FALSE)*VLOOKUP(U$1,'Attrition Modeling'!$L$15:$N$27,IF(U$2-$F5&lt;=24,2,3),FALSE))*(1+Projection!W$16)*(1+IF(U137&gt;0,'Attrition Modeling'!$N$9,0))),0))</f>
        <v>2439.6195465455739</v>
      </c>
      <c r="V5" s="799">
        <f>IF(V$2=$F5+1,Monthly!R$21,IF(V$2&gt;$F5+1,('Traditional Attrition'!U5+V137)*(1-IF(V$2-$F5&lt;=12,SUMIFS('Attrition Modeling'!$D:$D,'Attrition Modeling'!$B:$B,'Traditional Attrition'!$E5,'Attrition Modeling'!$C:$C,'Traditional Attrition'!V$1),VLOOKUP('Traditional Attrition'!V$2-'Traditional Attrition'!$F5-1,'Traditional Attrition'!$A$7:$C$161,2,FALSE)*VLOOKUP(V$1,'Attrition Modeling'!$L$15:$N$27,IF(V$2-$F5&lt;=24,2,3),FALSE))*(1+Projection!X$16)*(1+IF(V137&gt;0,'Attrition Modeling'!$N$9,0))),0))</f>
        <v>2310.6450143439915</v>
      </c>
      <c r="W5" s="799">
        <f>IF(W$2=$F5+1,Monthly!S$21,IF(W$2&gt;$F5+1,('Traditional Attrition'!V5+W137)*(1-IF(W$2-$F5&lt;=12,SUMIFS('Attrition Modeling'!$D:$D,'Attrition Modeling'!$B:$B,'Traditional Attrition'!$E5,'Attrition Modeling'!$C:$C,'Traditional Attrition'!W$1),VLOOKUP('Traditional Attrition'!W$2-'Traditional Attrition'!$F5-1,'Traditional Attrition'!$A$7:$C$161,2,FALSE)*VLOOKUP(W$1,'Attrition Modeling'!$L$15:$N$27,IF(W$2-$F5&lt;=24,2,3),FALSE))*(1+Projection!Y$16)*(1+IF(W137&gt;0,'Attrition Modeling'!$N$9,0))),0))</f>
        <v>2199.8150004030535</v>
      </c>
      <c r="X5" s="799">
        <f>IF(X$2=$F5+1,Monthly!T$21,IF(X$2&gt;$F5+1,('Traditional Attrition'!W5+X137)*(1-IF(X$2-$F5&lt;=12,SUMIFS('Attrition Modeling'!$D:$D,'Attrition Modeling'!$B:$B,'Traditional Attrition'!$E5,'Attrition Modeling'!$C:$C,'Traditional Attrition'!X$1),VLOOKUP('Traditional Attrition'!X$2-'Traditional Attrition'!$F5-1,'Traditional Attrition'!$A$7:$C$161,2,FALSE)*VLOOKUP(X$1,'Attrition Modeling'!$L$15:$N$27,IF(X$2-$F5&lt;=24,2,3),FALSE))*(1+Projection!Z$16)*(1+IF(X137&gt;0,'Attrition Modeling'!$N$9,0))),0))</f>
        <v>2100.1840578559172</v>
      </c>
      <c r="Y5" s="799">
        <f>IF(Y$2=$F5+1,Monthly!U$21,IF(Y$2&gt;$F5+1,('Traditional Attrition'!X5+Y137)*(1-IF(Y$2-$F5&lt;=12,SUMIFS('Attrition Modeling'!$D:$D,'Attrition Modeling'!$B:$B,'Traditional Attrition'!$E5,'Attrition Modeling'!$C:$C,'Traditional Attrition'!Y$1),VLOOKUP('Traditional Attrition'!Y$2-'Traditional Attrition'!$F5-1,'Traditional Attrition'!$A$7:$C$161,2,FALSE)*VLOOKUP(Y$1,'Attrition Modeling'!$L$15:$N$27,IF(Y$2-$F5&lt;=24,2,3),FALSE))*(1+Projection!AA$16)*(1+IF(Y137&gt;0,'Attrition Modeling'!$N$9,0))),0))</f>
        <v>1999.5706411098768</v>
      </c>
      <c r="Z5" s="799">
        <f>IF(Z$2=$F5+1,Monthly!V$21,IF(Z$2&gt;$F5+1,('Traditional Attrition'!Y5+Z137)*(1-IF(Z$2-$F5&lt;=12,SUMIFS('Attrition Modeling'!$D:$D,'Attrition Modeling'!$B:$B,'Traditional Attrition'!$E5,'Attrition Modeling'!$C:$C,'Traditional Attrition'!Z$1),VLOOKUP('Traditional Attrition'!Z$2-'Traditional Attrition'!$F5-1,'Traditional Attrition'!$A$7:$C$161,2,FALSE)*VLOOKUP(Z$1,'Attrition Modeling'!$L$15:$N$27,IF(Z$2-$F5&lt;=24,2,3),FALSE))*(1+Projection!AB$16)*(1+IF(Z137&gt;0,'Attrition Modeling'!$N$9,0))),0))</f>
        <v>1904.3936700673189</v>
      </c>
      <c r="AA5" s="799">
        <f>IF(AA$2=$F5+1,Monthly!W$21,IF(AA$2&gt;$F5+1,('Traditional Attrition'!Z5+AA137)*(1-IF(AA$2-$F5&lt;=12,SUMIFS('Attrition Modeling'!$D:$D,'Attrition Modeling'!$B:$B,'Traditional Attrition'!$E5,'Attrition Modeling'!$C:$C,'Traditional Attrition'!AA$1),VLOOKUP('Traditional Attrition'!AA$2-'Traditional Attrition'!$F5-1,'Traditional Attrition'!$A$7:$C$161,2,FALSE)*VLOOKUP(AA$1,'Attrition Modeling'!$L$15:$N$27,IF(AA$2-$F5&lt;=24,2,3),FALSE))*(1+Projection!AC$16)*(1+IF(AA137&gt;0,'Attrition Modeling'!$N$9,0))),0))</f>
        <v>1965.8062487042266</v>
      </c>
      <c r="AB5" s="799">
        <f>IF(AB$2=$F5+1,Monthly!X$21,IF(AB$2&gt;$F5+1,('Traditional Attrition'!AA5+AB137)*(1-IF(AB$2-$F5&lt;=12,SUMIFS('Attrition Modeling'!$D:$D,'Attrition Modeling'!$B:$B,'Traditional Attrition'!$E5,'Attrition Modeling'!$C:$C,'Traditional Attrition'!AB$1),VLOOKUP('Traditional Attrition'!AB$2-'Traditional Attrition'!$F5-1,'Traditional Attrition'!$A$7:$C$161,2,FALSE)*VLOOKUP(AB$1,'Attrition Modeling'!$L$15:$N$27,IF(AB$2-$F5&lt;=24,2,3),FALSE))*(1+Projection!AD$16)*(1+IF(AB137&gt;0,'Attrition Modeling'!$N$9,0))),0))</f>
        <v>1880.7798190302135</v>
      </c>
      <c r="AC5" s="799">
        <f>IF(AC$2=$F5+1,Monthly!Y$21,IF(AC$2&gt;$F5+1,('Traditional Attrition'!AB5+AC137)*(1-IF(AC$2-$F5&lt;=12,SUMIFS('Attrition Modeling'!$D:$D,'Attrition Modeling'!$B:$B,'Traditional Attrition'!$E5,'Attrition Modeling'!$C:$C,'Traditional Attrition'!AC$1),VLOOKUP('Traditional Attrition'!AC$2-'Traditional Attrition'!$F5-1,'Traditional Attrition'!$A$7:$C$161,2,FALSE)*VLOOKUP(AC$1,'Attrition Modeling'!$L$15:$N$27,IF(AC$2-$F5&lt;=24,2,3),FALSE))*(1+Projection!AE$16)*(1+IF(AC137&gt;0,'Attrition Modeling'!$N$9,0))),0))</f>
        <v>1799.1302771808794</v>
      </c>
      <c r="AD5" s="799">
        <f>IF(AD$2=$F5+1,Monthly!Z$21,IF(AD$2&gt;$F5+1,('Traditional Attrition'!AC5+AD137)*(1-IF(AD$2-$F5&lt;=12,SUMIFS('Attrition Modeling'!$D:$D,'Attrition Modeling'!$B:$B,'Traditional Attrition'!$E5,'Attrition Modeling'!$C:$C,'Traditional Attrition'!AD$1),VLOOKUP('Traditional Attrition'!AD$2-'Traditional Attrition'!$F5-1,'Traditional Attrition'!$A$7:$C$161,2,FALSE)*VLOOKUP(AD$1,'Attrition Modeling'!$L$15:$N$27,IF(AD$2-$F5&lt;=24,2,3),FALSE))*(1+Projection!AF$16)*(1+IF(AD137&gt;0,'Attrition Modeling'!$N$9,0))),0))</f>
        <v>1725.2776470326753</v>
      </c>
      <c r="AE5" s="799">
        <f>IF(AE$2=$F5+1,Monthly!AA$21,IF(AE$2&gt;$F5+1,('Traditional Attrition'!AD5+AE137)*(1-IF(AE$2-$F5&lt;=12,SUMIFS('Attrition Modeling'!$D:$D,'Attrition Modeling'!$B:$B,'Traditional Attrition'!$E5,'Attrition Modeling'!$C:$C,'Traditional Attrition'!AE$1),VLOOKUP('Traditional Attrition'!AE$2-'Traditional Attrition'!$F5-1,'Traditional Attrition'!$A$7:$C$161,2,FALSE)*VLOOKUP(AE$1,'Attrition Modeling'!$L$15:$N$27,IF(AE$2-$F5&lt;=24,2,3),FALSE))*(1+Projection!AG$16)*(1+IF(AE137&gt;0,'Attrition Modeling'!$N$9,0))),0))</f>
        <v>1656.2901508677742</v>
      </c>
      <c r="AF5" s="799">
        <f>IF(AF$2=$F5+1,Monthly!AB$21,IF(AF$2&gt;$F5+1,('Traditional Attrition'!AE5+AF137)*(1-IF(AF$2-$F5&lt;=12,SUMIFS('Attrition Modeling'!$D:$D,'Attrition Modeling'!$B:$B,'Traditional Attrition'!$E5,'Attrition Modeling'!$C:$C,'Traditional Attrition'!AF$1),VLOOKUP('Traditional Attrition'!AF$2-'Traditional Attrition'!$F5-1,'Traditional Attrition'!$A$7:$C$161,2,FALSE)*VLOOKUP(AF$1,'Attrition Modeling'!$L$15:$N$27,IF(AF$2-$F5&lt;=24,2,3),FALSE))*(1+Projection!AH$16)*(1+IF(AF137&gt;0,'Attrition Modeling'!$N$9,0))),0))</f>
        <v>1590.948493039192</v>
      </c>
      <c r="AG5" s="799">
        <f>IF(AG$2=$F5+1,Monthly!AC$21,IF(AG$2&gt;$F5+1,('Traditional Attrition'!AF5+AG137)*(1-IF(AG$2-$F5&lt;=12,SUMIFS('Attrition Modeling'!$D:$D,'Attrition Modeling'!$B:$B,'Traditional Attrition'!$E5,'Attrition Modeling'!$C:$C,'Traditional Attrition'!AG$1),VLOOKUP('Traditional Attrition'!AG$2-'Traditional Attrition'!$F5-1,'Traditional Attrition'!$A$7:$C$161,2,FALSE)*VLOOKUP(AG$1,'Attrition Modeling'!$L$15:$N$27,IF(AG$2-$F5&lt;=24,2,3),FALSE))*(1+Projection!AI$16)*(1+IF(AG137&gt;0,'Attrition Modeling'!$N$9,0))),0))</f>
        <v>1535.0780182510325</v>
      </c>
      <c r="AH5" s="799">
        <f>IF(AH$2=$F5+1,Monthly!AD$21,IF(AH$2&gt;$F5+1,('Traditional Attrition'!AG5+AH137)*(1-IF(AH$2-$F5&lt;=12,SUMIFS('Attrition Modeling'!$D:$D,'Attrition Modeling'!$B:$B,'Traditional Attrition'!$E5,'Attrition Modeling'!$C:$C,'Traditional Attrition'!AH$1),VLOOKUP('Traditional Attrition'!AH$2-'Traditional Attrition'!$F5-1,'Traditional Attrition'!$A$7:$C$161,2,FALSE)*VLOOKUP(AH$1,'Attrition Modeling'!$L$15:$N$27,IF(AH$2-$F5&lt;=24,2,3),FALSE))*(1+Projection!AJ$16)*(1+IF(AH137&gt;0,'Attrition Modeling'!$N$9,0))),0))</f>
        <v>1483.6340967754822</v>
      </c>
      <c r="AI5" s="799">
        <f>IF(AI$2=$F5+1,Monthly!AE$21,IF(AI$2&gt;$F5+1,('Traditional Attrition'!AH5+AI137)*(1-IF(AI$2-$F5&lt;=12,SUMIFS('Attrition Modeling'!$D:$D,'Attrition Modeling'!$B:$B,'Traditional Attrition'!$E5,'Attrition Modeling'!$C:$C,'Traditional Attrition'!AI$1),VLOOKUP('Traditional Attrition'!AI$2-'Traditional Attrition'!$F5-1,'Traditional Attrition'!$A$7:$C$161,2,FALSE)*VLOOKUP(AI$1,'Attrition Modeling'!$L$15:$N$27,IF(AI$2-$F5&lt;=24,2,3),FALSE))*(1+Projection!AK$16)*(1+IF(AI137&gt;0,'Attrition Modeling'!$N$9,0))),0))</f>
        <v>1444.6443561368123</v>
      </c>
      <c r="AJ5" s="799">
        <f>IF(AJ$2=$F5+1,Monthly!AF$21,IF(AJ$2&gt;$F5+1,('Traditional Attrition'!AI5+AJ137)*(1-IF(AJ$2-$F5&lt;=12,SUMIFS('Attrition Modeling'!$D:$D,'Attrition Modeling'!$B:$B,'Traditional Attrition'!$E5,'Attrition Modeling'!$C:$C,'Traditional Attrition'!AJ$1),VLOOKUP('Traditional Attrition'!AJ$2-'Traditional Attrition'!$F5-1,'Traditional Attrition'!$A$7:$C$161,2,FALSE)*VLOOKUP(AJ$1,'Attrition Modeling'!$L$15:$N$27,IF(AJ$2-$F5&lt;=24,2,3),FALSE))*(1+Projection!AL$16)*(1+IF(AJ137&gt;0,'Attrition Modeling'!$N$9,0))),0))</f>
        <v>1399.4311798626197</v>
      </c>
      <c r="AK5" s="799">
        <f>IF(AK$2=$F5+1,Monthly!AG$21,IF(AK$2&gt;$F5+1,('Traditional Attrition'!AJ5+AK137)*(1-IF(AK$2-$F5&lt;=12,SUMIFS('Attrition Modeling'!$D:$D,'Attrition Modeling'!$B:$B,'Traditional Attrition'!$E5,'Attrition Modeling'!$C:$C,'Traditional Attrition'!AK$1),VLOOKUP('Traditional Attrition'!AK$2-'Traditional Attrition'!$F5-1,'Traditional Attrition'!$A$7:$C$161,2,FALSE)*VLOOKUP(AK$1,'Attrition Modeling'!$L$15:$N$27,IF(AK$2-$F5&lt;=24,2,3),FALSE))*(1+Projection!AM$16)*(1+IF(AK137&gt;0,'Attrition Modeling'!$N$9,0))),0))</f>
        <v>1350.1034991935758</v>
      </c>
      <c r="AL5" s="799">
        <f>IF(AL$2=$F5+1,Monthly!AH$21,IF(AL$2&gt;$F5+1,('Traditional Attrition'!AK5+AL137)*(1-IF(AL$2-$F5&lt;=12,SUMIFS('Attrition Modeling'!$D:$D,'Attrition Modeling'!$B:$B,'Traditional Attrition'!$E5,'Attrition Modeling'!$C:$C,'Traditional Attrition'!AL$1),VLOOKUP('Traditional Attrition'!AL$2-'Traditional Attrition'!$F5-1,'Traditional Attrition'!$A$7:$C$161,2,FALSE)*VLOOKUP(AL$1,'Attrition Modeling'!$L$15:$N$27,IF(AL$2-$F5&lt;=24,2,3),FALSE))*(1+Projection!AN$16)*(1+IF(AL137&gt;0,'Attrition Modeling'!$N$9,0))),0))</f>
        <v>1298.9200349208359</v>
      </c>
      <c r="AM5" s="799">
        <f>IF(AM$2=$F5+1,Monthly!AI$21,IF(AM$2&gt;$F5+1,('Traditional Attrition'!AL5+AM137)*(1-IF(AM$2-$F5&lt;=12,SUMIFS('Attrition Modeling'!$D:$D,'Attrition Modeling'!$B:$B,'Traditional Attrition'!$E5,'Attrition Modeling'!$C:$C,'Traditional Attrition'!AM$1),VLOOKUP('Traditional Attrition'!AM$2-'Traditional Attrition'!$F5-1,'Traditional Attrition'!$A$7:$C$161,2,FALSE)*VLOOKUP(AM$1,'Attrition Modeling'!$L$15:$N$27,IF(AM$2-$F5&lt;=24,2,3),FALSE))*(1+Projection!AO$16)*(1+IF(AM137&gt;0,'Attrition Modeling'!$N$9,0))),0))</f>
        <v>1354.939744625761</v>
      </c>
      <c r="AN5" s="799">
        <f>IF(AN$2=$F5+1,Monthly!AJ$21,IF(AN$2&gt;$F5+1,('Traditional Attrition'!AM5+AN137)*(1-IF(AN$2-$F5&lt;=12,SUMIFS('Attrition Modeling'!$D:$D,'Attrition Modeling'!$B:$B,'Traditional Attrition'!$E5,'Attrition Modeling'!$C:$C,'Traditional Attrition'!AN$1),VLOOKUP('Traditional Attrition'!AN$2-'Traditional Attrition'!$F5-1,'Traditional Attrition'!$A$7:$C$161,2,FALSE)*VLOOKUP(AN$1,'Attrition Modeling'!$L$15:$N$27,IF(AN$2-$F5&lt;=24,2,3),FALSE))*(1+Projection!AP$16)*(1+IF(AN137&gt;0,'Attrition Modeling'!$N$9,0))),0))</f>
        <v>1304.4132338343054</v>
      </c>
      <c r="AO5" s="799">
        <f>IF(AO$2=$F5+1,Monthly!AK$21,IF(AO$2&gt;$F5+1,('Traditional Attrition'!AN5+AO137)*(1-IF(AO$2-$F5&lt;=12,SUMIFS('Attrition Modeling'!$D:$D,'Attrition Modeling'!$B:$B,'Traditional Attrition'!$E5,'Attrition Modeling'!$C:$C,'Traditional Attrition'!AO$1),VLOOKUP('Traditional Attrition'!AO$2-'Traditional Attrition'!$F5-1,'Traditional Attrition'!$A$7:$C$161,2,FALSE)*VLOOKUP(AO$1,'Attrition Modeling'!$L$15:$N$27,IF(AO$2-$F5&lt;=24,2,3),FALSE))*(1+Projection!AQ$16)*(1+IF(AO137&gt;0,'Attrition Modeling'!$N$9,0))),0))</f>
        <v>1258.0078301286794</v>
      </c>
      <c r="AP5" s="799">
        <f>IF(AP$2=$F5+1,Monthly!AL$21,IF(AP$2&gt;$F5+1,('Traditional Attrition'!AO5+AP137)*(1-IF(AP$2-$F5&lt;=12,SUMIFS('Attrition Modeling'!$D:$D,'Attrition Modeling'!$B:$B,'Traditional Attrition'!$E5,'Attrition Modeling'!$C:$C,'Traditional Attrition'!AP$1),VLOOKUP('Traditional Attrition'!AP$2-'Traditional Attrition'!$F5-1,'Traditional Attrition'!$A$7:$C$161,2,FALSE)*VLOOKUP(AP$1,'Attrition Modeling'!$L$15:$N$27,IF(AP$2-$F5&lt;=24,2,3),FALSE))*(1+Projection!AR$16)*(1+IF(AP137&gt;0,'Attrition Modeling'!$N$9,0))),0))</f>
        <v>1214.7774937318165</v>
      </c>
      <c r="AQ5" s="799">
        <f>IF(AQ$2=$F5+1,Monthly!AM$21,IF(AQ$2&gt;$F5+1,('Traditional Attrition'!AP5+AQ137)*(1-IF(AQ$2-$F5&lt;=12,SUMIFS('Attrition Modeling'!$D:$D,'Attrition Modeling'!$B:$B,'Traditional Attrition'!$E5,'Attrition Modeling'!$C:$C,'Traditional Attrition'!AQ$1),VLOOKUP('Traditional Attrition'!AQ$2-'Traditional Attrition'!$F5-1,'Traditional Attrition'!$A$7:$C$161,2,FALSE)*VLOOKUP(AQ$1,'Attrition Modeling'!$L$15:$N$27,IF(AQ$2-$F5&lt;=24,2,3),FALSE))*(1+Projection!AS$16)*(1+IF(AQ137&gt;0,'Attrition Modeling'!$N$9,0))),0))</f>
        <v>1180.7717042423415</v>
      </c>
      <c r="AR5" s="799">
        <f>IF(AR$2=$F5+1,Monthly!AN$21,IF(AR$2&gt;$F5+1,('Traditional Attrition'!AQ5+AR137)*(1-IF(AR$2-$F5&lt;=12,SUMIFS('Attrition Modeling'!$D:$D,'Attrition Modeling'!$B:$B,'Traditional Attrition'!$E5,'Attrition Modeling'!$C:$C,'Traditional Attrition'!AR$1),VLOOKUP('Traditional Attrition'!AR$2-'Traditional Attrition'!$F5-1,'Traditional Attrition'!$A$7:$C$161,2,FALSE)*VLOOKUP(AR$1,'Attrition Modeling'!$L$15:$N$27,IF(AR$2-$F5&lt;=24,2,3),FALSE))*(1+Projection!AT$16)*(1+IF(AR137&gt;0,'Attrition Modeling'!$N$9,0))),0))</f>
        <v>1144.589315069805</v>
      </c>
      <c r="AS5" s="799">
        <f>IF(AS$2=$F5+1,Monthly!AO$21,IF(AS$2&gt;$F5+1,('Traditional Attrition'!AR5+AS137)*(1-IF(AS$2-$F5&lt;=12,SUMIFS('Attrition Modeling'!$D:$D,'Attrition Modeling'!$B:$B,'Traditional Attrition'!$E5,'Attrition Modeling'!$C:$C,'Traditional Attrition'!AS$1),VLOOKUP('Traditional Attrition'!AS$2-'Traditional Attrition'!$F5-1,'Traditional Attrition'!$A$7:$C$161,2,FALSE)*VLOOKUP(AS$1,'Attrition Modeling'!$L$15:$N$27,IF(AS$2-$F5&lt;=24,2,3),FALSE))*(1+Projection!AU$16)*(1+IF(AS137&gt;0,'Attrition Modeling'!$N$9,0))),0))</f>
        <v>1110.9909423196798</v>
      </c>
      <c r="AT5" s="799">
        <f>IF(AT$2=$F5+1,Monthly!AP$21,IF(AT$2&gt;$F5+1,('Traditional Attrition'!AS5+AT137)*(1-IF(AT$2-$F5&lt;=12,SUMIFS('Attrition Modeling'!$D:$D,'Attrition Modeling'!$B:$B,'Traditional Attrition'!$E5,'Attrition Modeling'!$C:$C,'Traditional Attrition'!AT$1),VLOOKUP('Traditional Attrition'!AT$2-'Traditional Attrition'!$F5-1,'Traditional Attrition'!$A$7:$C$161,2,FALSE)*VLOOKUP(AT$1,'Attrition Modeling'!$L$15:$N$27,IF(AT$2-$F5&lt;=24,2,3),FALSE))*(1+Projection!AV$16)*(1+IF(AT137&gt;0,'Attrition Modeling'!$N$9,0))),0))</f>
        <v>1080.0881416841951</v>
      </c>
      <c r="AU5" s="799">
        <f>IF(AU$2=$F5+1,Monthly!AQ$21,IF(AU$2&gt;$F5+1,('Traditional Attrition'!AT5+AU137)*(1-IF(AU$2-$F5&lt;=12,SUMIFS('Attrition Modeling'!$D:$D,'Attrition Modeling'!$B:$B,'Traditional Attrition'!$E5,'Attrition Modeling'!$C:$C,'Traditional Attrition'!AU$1),VLOOKUP('Traditional Attrition'!AU$2-'Traditional Attrition'!$F5-1,'Traditional Attrition'!$A$7:$C$161,2,FALSE)*VLOOKUP(AU$1,'Attrition Modeling'!$L$15:$N$27,IF(AU$2-$F5&lt;=24,2,3),FALSE))*(1+Projection!AW$16)*(1+IF(AU137&gt;0,'Attrition Modeling'!$N$9,0))),0))</f>
        <v>1056.450120791817</v>
      </c>
      <c r="AV5" s="799">
        <f>IF(AV$2=$F5+1,Monthly!AR$21,IF(AV$2&gt;$F5+1,('Traditional Attrition'!AU5+AV137)*(1-IF(AV$2-$F5&lt;=12,SUMIFS('Attrition Modeling'!$D:$D,'Attrition Modeling'!$B:$B,'Traditional Attrition'!$E5,'Attrition Modeling'!$C:$C,'Traditional Attrition'!AV$1),VLOOKUP('Traditional Attrition'!AV$2-'Traditional Attrition'!$F5-1,'Traditional Attrition'!$A$7:$C$161,2,FALSE)*VLOOKUP(AV$1,'Attrition Modeling'!$L$15:$N$27,IF(AV$2-$F5&lt;=24,2,3),FALSE))*(1+Projection!AX$16)*(1+IF(AV137&gt;0,'Attrition Modeling'!$N$9,0))),0))</f>
        <v>1028.8293808451476</v>
      </c>
      <c r="AW5" s="799">
        <f>IF(AW$2=$F5+1,Monthly!AS$21,IF(AW$2&gt;$F5+1,('Traditional Attrition'!AV5+AW137)*(1-IF(AW$2-$F5&lt;=12,SUMIFS('Attrition Modeling'!$D:$D,'Attrition Modeling'!$B:$B,'Traditional Attrition'!$E5,'Attrition Modeling'!$C:$C,'Traditional Attrition'!AW$1),VLOOKUP('Traditional Attrition'!AW$2-'Traditional Attrition'!$F5-1,'Traditional Attrition'!$A$7:$C$161,2,FALSE)*VLOOKUP(AW$1,'Attrition Modeling'!$L$15:$N$27,IF(AW$2-$F5&lt;=24,2,3),FALSE))*(1+Projection!AY$16)*(1+IF(AW137&gt;0,'Attrition Modeling'!$N$9,0))),0))</f>
        <v>998.44601973718056</v>
      </c>
      <c r="AX5" s="799">
        <f>IF(AX$2=$F5+1,Monthly!AT$21,IF(AX$2&gt;$F5+1,('Traditional Attrition'!AW5+AX137)*(1-IF(AX$2-$F5&lt;=12,SUMIFS('Attrition Modeling'!$D:$D,'Attrition Modeling'!$B:$B,'Traditional Attrition'!$E5,'Attrition Modeling'!$C:$C,'Traditional Attrition'!AX$1),VLOOKUP('Traditional Attrition'!AX$2-'Traditional Attrition'!$F5-1,'Traditional Attrition'!$A$7:$C$161,2,FALSE)*VLOOKUP(AX$1,'Attrition Modeling'!$L$15:$N$27,IF(AX$2-$F5&lt;=24,2,3),FALSE))*(1+Projection!AZ$16)*(1+IF(AX137&gt;0,'Attrition Modeling'!$N$9,0))),0))</f>
        <v>966.64538172442599</v>
      </c>
      <c r="AY5" s="799">
        <f>IF(AY$2=$F5+1,Monthly!AU$21,IF(AY$2&gt;$F5+1,('Traditional Attrition'!AX5+AY137)*(1-IF(AY$2-$F5&lt;=12,SUMIFS('Attrition Modeling'!$D:$D,'Attrition Modeling'!$B:$B,'Traditional Attrition'!$E5,'Attrition Modeling'!$C:$C,'Traditional Attrition'!AY$1),VLOOKUP('Traditional Attrition'!AY$2-'Traditional Attrition'!$F5-1,'Traditional Attrition'!$A$7:$C$161,2,FALSE)*VLOOKUP(AY$1,'Attrition Modeling'!$L$15:$N$27,IF(AY$2-$F5&lt;=24,2,3),FALSE))*(1+Projection!BA$16)*(1+IF(AY137&gt;0,'Attrition Modeling'!$N$9,0))),0))</f>
        <v>1016.3938411777256</v>
      </c>
      <c r="AZ5" s="799">
        <f>IF(AZ$2=$F5+1,Monthly!AV$21,IF(AZ$2&gt;$F5+1,('Traditional Attrition'!AY5+AZ137)*(1-IF(AZ$2-$F5&lt;=12,SUMIFS('Attrition Modeling'!$D:$D,'Attrition Modeling'!$B:$B,'Traditional Attrition'!$E5,'Attrition Modeling'!$C:$C,'Traditional Attrition'!AZ$1),VLOOKUP('Traditional Attrition'!AZ$2-'Traditional Attrition'!$F5-1,'Traditional Attrition'!$A$7:$C$161,2,FALSE)*VLOOKUP(AZ$1,'Attrition Modeling'!$L$15:$N$27,IF(AZ$2-$F5&lt;=24,2,3),FALSE))*(1+Projection!BB$16)*(1+IF(AZ137&gt;0,'Attrition Modeling'!$N$9,0))),0))</f>
        <v>984.39032810369451</v>
      </c>
      <c r="BA5" s="799">
        <f>IF(BA$2=$F5+1,Monthly!AW$21,IF(BA$2&gt;$F5+1,('Traditional Attrition'!AZ5+BA137)*(1-IF(BA$2-$F5&lt;=12,SUMIFS('Attrition Modeling'!$D:$D,'Attrition Modeling'!$B:$B,'Traditional Attrition'!$E5,'Attrition Modeling'!$C:$C,'Traditional Attrition'!BA$1),VLOOKUP('Traditional Attrition'!BA$2-'Traditional Attrition'!$F5-1,'Traditional Attrition'!$A$7:$C$161,2,FALSE)*VLOOKUP(BA$1,'Attrition Modeling'!$L$15:$N$27,IF(BA$2-$F5&lt;=24,2,3),FALSE))*(1+Projection!BC$16)*(1+IF(BA137&gt;0,'Attrition Modeling'!$N$9,0))),0))</f>
        <v>954.75158085749638</v>
      </c>
      <c r="BB5" s="799">
        <f>IF(BB$2=$F5+1,Monthly!AX$21,IF(BB$2&gt;$F5+1,('Traditional Attrition'!BA5+BB137)*(1-IF(BB$2-$F5&lt;=12,SUMIFS('Attrition Modeling'!$D:$D,'Attrition Modeling'!$B:$B,'Traditional Attrition'!$E5,'Attrition Modeling'!$C:$C,'Traditional Attrition'!BB$1),VLOOKUP('Traditional Attrition'!BB$2-'Traditional Attrition'!$F5-1,'Traditional Attrition'!$A$7:$C$161,2,FALSE)*VLOOKUP(BB$1,'Attrition Modeling'!$L$15:$N$27,IF(BB$2-$F5&lt;=24,2,3),FALSE))*(1+Projection!BD$16)*(1+IF(BB137&gt;0,'Attrition Modeling'!$N$9,0))),0))</f>
        <v>926.92351276624504</v>
      </c>
      <c r="BC5" s="799">
        <f>IF(BC$2=$F5+1,Monthly!AY$21,IF(BC$2&gt;$F5+1,('Traditional Attrition'!BB5+BC137)*(1-IF(BC$2-$F5&lt;=12,SUMIFS('Attrition Modeling'!$D:$D,'Attrition Modeling'!$B:$B,'Traditional Attrition'!$E5,'Attrition Modeling'!$C:$C,'Traditional Attrition'!BC$1),VLOOKUP('Traditional Attrition'!BC$2-'Traditional Attrition'!$F5-1,'Traditional Attrition'!$A$7:$C$161,2,FALSE)*VLOOKUP(BC$1,'Attrition Modeling'!$L$15:$N$27,IF(BC$2-$F5&lt;=24,2,3),FALSE))*(1+Projection!BE$16)*(1+IF(BC137&gt;0,'Attrition Modeling'!$N$9,0))),0))</f>
        <v>904.86962993943075</v>
      </c>
      <c r="BD5" s="799">
        <f>IF(BD$2=$F5+1,Monthly!AZ$21,IF(BD$2&gt;$F5+1,('Traditional Attrition'!BC5+BD137)*(1-IF(BD$2-$F5&lt;=12,SUMIFS('Attrition Modeling'!$D:$D,'Attrition Modeling'!$B:$B,'Traditional Attrition'!$E5,'Attrition Modeling'!$C:$C,'Traditional Attrition'!BD$1),VLOOKUP('Traditional Attrition'!BD$2-'Traditional Attrition'!$F5-1,'Traditional Attrition'!$A$7:$C$161,2,FALSE)*VLOOKUP(BD$1,'Attrition Modeling'!$L$15:$N$27,IF(BD$2-$F5&lt;=24,2,3),FALSE))*(1+Projection!BF$16)*(1+IF(BD137&gt;0,'Attrition Modeling'!$N$9,0))),0))</f>
        <v>881.25653268908309</v>
      </c>
      <c r="BE5" s="799">
        <f>IF(BE$2=$F5+1,Monthly!BA$21,IF(BE$2&gt;$F5+1,('Traditional Attrition'!BD5+BE137)*(1-IF(BE$2-$F5&lt;=12,SUMIFS('Attrition Modeling'!$D:$D,'Attrition Modeling'!$B:$B,'Traditional Attrition'!$E5,'Attrition Modeling'!$C:$C,'Traditional Attrition'!BE$1),VLOOKUP('Traditional Attrition'!BE$2-'Traditional Attrition'!$F5-1,'Traditional Attrition'!$A$7:$C$161,2,FALSE)*VLOOKUP(BE$1,'Attrition Modeling'!$L$15:$N$27,IF(BE$2-$F5&lt;=24,2,3),FALSE))*(1+Projection!BG$16)*(1+IF(BE137&gt;0,'Attrition Modeling'!$N$9,0))),0))</f>
        <v>859.18597327640009</v>
      </c>
      <c r="BF5" s="799">
        <f>IF(BF$2=$F5+1,Monthly!BB$21,IF(BF$2&gt;$F5+1,('Traditional Attrition'!BE5+BF137)*(1-IF(BF$2-$F5&lt;=12,SUMIFS('Attrition Modeling'!$D:$D,'Attrition Modeling'!$B:$B,'Traditional Attrition'!$E5,'Attrition Modeling'!$C:$C,'Traditional Attrition'!BF$1),VLOOKUP('Traditional Attrition'!BF$2-'Traditional Attrition'!$F5-1,'Traditional Attrition'!$A$7:$C$161,2,FALSE)*VLOOKUP(BF$1,'Attrition Modeling'!$L$15:$N$27,IF(BF$2-$F5&lt;=24,2,3),FALSE))*(1+Projection!BH$16)*(1+IF(BF137&gt;0,'Attrition Modeling'!$N$9,0))),0))</f>
        <v>838.89723969014381</v>
      </c>
      <c r="BG5" s="799">
        <f>IF(BG$2=$F5+1,Monthly!BC$21,IF(BG$2&gt;$F5+1,('Traditional Attrition'!BF5+BG137)*(1-IF(BG$2-$F5&lt;=12,SUMIFS('Attrition Modeling'!$D:$D,'Attrition Modeling'!$B:$B,'Traditional Attrition'!$E5,'Attrition Modeling'!$C:$C,'Traditional Attrition'!BG$1),VLOOKUP('Traditional Attrition'!BG$2-'Traditional Attrition'!$F5-1,'Traditional Attrition'!$A$7:$C$161,2,FALSE)*VLOOKUP(BG$1,'Attrition Modeling'!$L$15:$N$27,IF(BG$2-$F5&lt;=24,2,3),FALSE))*(1+Projection!BI$16)*(1+IF(BG137&gt;0,'Attrition Modeling'!$N$9,0))),0))</f>
        <v>823.28740004202905</v>
      </c>
      <c r="BH5" s="799">
        <f>IF(BH$2=$F5+1,Monthly!BD$21,IF(BH$2&gt;$F5+1,('Traditional Attrition'!BG5+BH137)*(1-IF(BH$2-$F5&lt;=12,SUMIFS('Attrition Modeling'!$D:$D,'Attrition Modeling'!$B:$B,'Traditional Attrition'!$E5,'Attrition Modeling'!$C:$C,'Traditional Attrition'!BH$1),VLOOKUP('Traditional Attrition'!BH$2-'Traditional Attrition'!$F5-1,'Traditional Attrition'!$A$7:$C$161,2,FALSE)*VLOOKUP(BH$1,'Attrition Modeling'!$L$15:$N$27,IF(BH$2-$F5&lt;=24,2,3),FALSE))*(1+Projection!BJ$16)*(1+IF(BH137&gt;0,'Attrition Modeling'!$N$9,0))),0))</f>
        <v>804.96017276273437</v>
      </c>
      <c r="BI5" s="799">
        <f>IF(BI$2=$F5+1,Monthly!BE$21,IF(BI$2&gt;$F5+1,('Traditional Attrition'!BH5+BI137)*(1-IF(BI$2-$F5&lt;=12,SUMIFS('Attrition Modeling'!$D:$D,'Attrition Modeling'!$B:$B,'Traditional Attrition'!$E5,'Attrition Modeling'!$C:$C,'Traditional Attrition'!BI$1),VLOOKUP('Traditional Attrition'!BI$2-'Traditional Attrition'!$F5-1,'Traditional Attrition'!$A$7:$C$161,2,FALSE)*VLOOKUP(BI$1,'Attrition Modeling'!$L$15:$N$27,IF(BI$2-$F5&lt;=24,2,3),FALSE))*(1+Projection!BK$16)*(1+IF(BI137&gt;0,'Attrition Modeling'!$N$9,0))),0))</f>
        <v>784.69206771276959</v>
      </c>
      <c r="BJ5" s="799">
        <f>IF(BJ$2=$F5+1,Monthly!BF$21,IF(BJ$2&gt;$F5+1,('Traditional Attrition'!BI5+BJ137)*(1-IF(BJ$2-$F5&lt;=12,SUMIFS('Attrition Modeling'!$D:$D,'Attrition Modeling'!$B:$B,'Traditional Attrition'!$E5,'Attrition Modeling'!$C:$C,'Traditional Attrition'!BJ$1),VLOOKUP('Traditional Attrition'!BJ$2-'Traditional Attrition'!$F5-1,'Traditional Attrition'!$A$7:$C$161,2,FALSE)*VLOOKUP(BJ$1,'Attrition Modeling'!$L$15:$N$27,IF(BJ$2-$F5&lt;=24,2,3),FALSE))*(1+Projection!BL$16)*(1+IF(BJ137&gt;0,'Attrition Modeling'!$N$9,0))),0))</f>
        <v>763.35610708441652</v>
      </c>
      <c r="BK5" s="799">
        <f>IF(BK$2=$F5+1,Monthly!BG$21,IF(BK$2&gt;$F5+1,('Traditional Attrition'!BJ5+BK137)*(1-IF(BK$2-$F5&lt;=12,SUMIFS('Attrition Modeling'!$D:$D,'Attrition Modeling'!$B:$B,'Traditional Attrition'!$E5,'Attrition Modeling'!$C:$C,'Traditional Attrition'!BK$1),VLOOKUP('Traditional Attrition'!BK$2-'Traditional Attrition'!$F5-1,'Traditional Attrition'!$A$7:$C$161,2,FALSE)*VLOOKUP(BK$1,'Attrition Modeling'!$L$15:$N$27,IF(BK$2-$F5&lt;=24,2,3),FALSE))*(1+Projection!BM$16)*(1+IF(BK137&gt;0,'Attrition Modeling'!$N$9,0))),0))</f>
        <v>791.74144817216381</v>
      </c>
      <c r="BL5" s="799">
        <f>IF(BL$2=$F5+1,Monthly!BH$21,IF(BL$2&gt;$F5+1,('Traditional Attrition'!BK5+BL137)*(1-IF(BL$2-$F5&lt;=12,SUMIFS('Attrition Modeling'!$D:$D,'Attrition Modeling'!$B:$B,'Traditional Attrition'!$E5,'Attrition Modeling'!$C:$C,'Traditional Attrition'!BL$1),VLOOKUP('Traditional Attrition'!BL$2-'Traditional Attrition'!$F5-1,'Traditional Attrition'!$A$7:$C$161,2,FALSE)*VLOOKUP(BL$1,'Attrition Modeling'!$L$15:$N$27,IF(BL$2-$F5&lt;=24,2,3),FALSE))*(1+Projection!BN$16)*(1+IF(BL137&gt;0,'Attrition Modeling'!$N$9,0))),0))</f>
        <v>770.40888999132289</v>
      </c>
      <c r="BM5" s="799">
        <f>IF(BM$2=$F5+1,Monthly!BI$21,IF(BM$2&gt;$F5+1,('Traditional Attrition'!BL5+BM137)*(1-IF(BM$2-$F5&lt;=12,SUMIFS('Attrition Modeling'!$D:$D,'Attrition Modeling'!$B:$B,'Traditional Attrition'!$E5,'Attrition Modeling'!$C:$C,'Traditional Attrition'!BM$1),VLOOKUP('Traditional Attrition'!BM$2-'Traditional Attrition'!$F5-1,'Traditional Attrition'!$A$7:$C$161,2,FALSE)*VLOOKUP(BM$1,'Attrition Modeling'!$L$15:$N$27,IF(BM$2-$F5&lt;=24,2,3),FALSE))*(1+Projection!BO$16)*(1+IF(BM137&gt;0,'Attrition Modeling'!$N$9,0))),0))</f>
        <v>750.53843673740471</v>
      </c>
      <c r="BN5" s="799">
        <f>IF(BN$2=$F5+1,Monthly!BJ$21,IF(BN$2&gt;$F5+1,('Traditional Attrition'!BM5+BN137)*(1-IF(BN$2-$F5&lt;=12,SUMIFS('Attrition Modeling'!$D:$D,'Attrition Modeling'!$B:$B,'Traditional Attrition'!$E5,'Attrition Modeling'!$C:$C,'Traditional Attrition'!BN$1),VLOOKUP('Traditional Attrition'!BN$2-'Traditional Attrition'!$F5-1,'Traditional Attrition'!$A$7:$C$161,2,FALSE)*VLOOKUP(BN$1,'Attrition Modeling'!$L$15:$N$27,IF(BN$2-$F5&lt;=24,2,3),FALSE))*(1+Projection!BP$16)*(1+IF(BN137&gt;0,'Attrition Modeling'!$N$9,0))),0))</f>
        <v>731.77967332408605</v>
      </c>
      <c r="BO5" s="799">
        <f>IF(BO$2=$F5+1,Monthly!BK$21,IF(BO$2&gt;$F5+1,('Traditional Attrition'!BN5+BO137)*(1-IF(BO$2-$F5&lt;=12,SUMIFS('Attrition Modeling'!$D:$D,'Attrition Modeling'!$B:$B,'Traditional Attrition'!$E5,'Attrition Modeling'!$C:$C,'Traditional Attrition'!BO$1),VLOOKUP('Traditional Attrition'!BO$2-'Traditional Attrition'!$F5-1,'Traditional Attrition'!$A$7:$C$161,2,FALSE)*VLOOKUP(BO$1,'Attrition Modeling'!$L$15:$N$27,IF(BO$2-$F5&lt;=24,2,3),FALSE))*(1+Projection!BV$16)*(1+IF(BO137&gt;0,'Attrition Modeling'!$N$9,0))),0))</f>
        <v>716.83520104385343</v>
      </c>
      <c r="BP5" s="799">
        <f>IF(BP$2=$F5+1,Monthly!BL$21,IF(BP$2&gt;$F5+1,('Traditional Attrition'!BO5+BP137)*(1-IF(BP$2-$F5&lt;=12,SUMIFS('Attrition Modeling'!$D:$D,'Attrition Modeling'!$B:$B,'Traditional Attrition'!$E5,'Attrition Modeling'!$C:$C,'Traditional Attrition'!BP$1),VLOOKUP('Traditional Attrition'!BP$2-'Traditional Attrition'!$F5-1,'Traditional Attrition'!$A$7:$C$161,2,FALSE)*VLOOKUP(BP$1,'Attrition Modeling'!$L$15:$N$27,IF(BP$2-$F5&lt;=24,2,3),FALSE))*(1+Projection!BW$16)*(1+IF(BP137&gt;0,'Attrition Modeling'!$N$9,0))),0))</f>
        <v>700.76420100022619</v>
      </c>
      <c r="BQ5" s="799">
        <f>IF(BQ$2=$F5+1,Monthly!BM$21,IF(BQ$2&gt;$F5+1,('Traditional Attrition'!BP5+BQ137)*(1-IF(BQ$2-$F5&lt;=12,SUMIFS('Attrition Modeling'!$D:$D,'Attrition Modeling'!$B:$B,'Traditional Attrition'!$E5,'Attrition Modeling'!$C:$C,'Traditional Attrition'!BQ$1),VLOOKUP('Traditional Attrition'!BQ$2-'Traditional Attrition'!$F5-1,'Traditional Attrition'!$A$7:$C$161,2,FALSE)*VLOOKUP(BQ$1,'Attrition Modeling'!$L$15:$N$27,IF(BQ$2-$F5&lt;=24,2,3),FALSE))*(1+Projection!BX$16)*(1+IF(BQ137&gt;0,'Attrition Modeling'!$N$9,0))),0))</f>
        <v>685.67329603245344</v>
      </c>
      <c r="BR5" s="799">
        <f>IF(BR$2=$F5+1,Monthly!BN$21,IF(BR$2&gt;$F5+1,('Traditional Attrition'!BQ5+BR137)*(1-IF(BR$2-$F5&lt;=12,SUMIFS('Attrition Modeling'!$D:$D,'Attrition Modeling'!$B:$B,'Traditional Attrition'!$E5,'Attrition Modeling'!$C:$C,'Traditional Attrition'!BR$1),VLOOKUP('Traditional Attrition'!BR$2-'Traditional Attrition'!$F5-1,'Traditional Attrition'!$A$7:$C$161,2,FALSE)*VLOOKUP(BR$1,'Attrition Modeling'!$L$15:$N$27,IF(BR$2-$F5&lt;=24,2,3),FALSE))*(1+Projection!BY$16)*(1+IF(BR137&gt;0,'Attrition Modeling'!$N$9,0))),0))</f>
        <v>671.64515027911818</v>
      </c>
      <c r="BS5" s="799">
        <f>IF(BS$2=$F5+1,Monthly!BO$21,IF(BS$2&gt;$F5+1,('Traditional Attrition'!BR5+BS137)*(1-IF(BS$2-$F5&lt;=12,SUMIFS('Attrition Modeling'!$D:$D,'Attrition Modeling'!$B:$B,'Traditional Attrition'!$E5,'Attrition Modeling'!$C:$C,'Traditional Attrition'!BS$1),VLOOKUP('Traditional Attrition'!BS$2-'Traditional Attrition'!$F5-1,'Traditional Attrition'!$A$7:$C$161,2,FALSE)*VLOOKUP(BS$1,'Attrition Modeling'!$L$15:$N$27,IF(BS$2-$F5&lt;=24,2,3),FALSE))*(1+Projection!BZ$16)*(1+IF(BS137&gt;0,'Attrition Modeling'!$N$9,0))),0))</f>
        <v>660.8071199310059</v>
      </c>
      <c r="BT5" s="799">
        <f>IF(BT$2=$F5+1,Monthly!#REF!,IF(BT$2&gt;$F5+1,('Traditional Attrition'!BS5+BT137)*(1-IF(BT$2-$F5&lt;=12,SUMIFS('Attrition Modeling'!$D:$D,'Attrition Modeling'!$B:$B,'Traditional Attrition'!$E5,'Attrition Modeling'!$C:$C,'Traditional Attrition'!BT$1),VLOOKUP('Traditional Attrition'!BT$2-'Traditional Attrition'!$F5-1,'Traditional Attrition'!$A$7:$C$161,2,FALSE)*VLOOKUP(BT$1,'Attrition Modeling'!$L$15:$N$27,IF(BT$2-$F5&lt;=24,2,3),FALSE))*(1+Projection!CA$16)*(1+IF(BT137&gt;0,'Attrition Modeling'!$N$9,0))),0))</f>
        <v>648.03897764601334</v>
      </c>
      <c r="BU5" s="799">
        <f>IF(BU$2=$F5+1,Monthly!#REF!,IF(BU$2&gt;$F5+1,('Traditional Attrition'!BT5+BU137)*(1-IF(BU$2-$F5&lt;=12,SUMIFS('Attrition Modeling'!$D:$D,'Attrition Modeling'!$B:$B,'Traditional Attrition'!$E5,'Attrition Modeling'!$C:$C,'Traditional Attrition'!BU$1),VLOOKUP('Traditional Attrition'!BU$2-'Traditional Attrition'!$F5-1,'Traditional Attrition'!$A$7:$C$161,2,FALSE)*VLOOKUP(BU$1,'Attrition Modeling'!$L$15:$N$27,IF(BU$2-$F5&lt;=24,2,3),FALSE))*(1+Projection!CB$16)*(1+IF(BU137&gt;0,'Attrition Modeling'!$N$9,0))),0))</f>
        <v>633.86418556440333</v>
      </c>
    </row>
    <row r="6" spans="1:73" ht="14.25" customHeight="1" x14ac:dyDescent="0.2">
      <c r="A6" s="767" t="s">
        <v>674</v>
      </c>
      <c r="B6" s="768" t="s">
        <v>695</v>
      </c>
      <c r="C6" s="769" t="s">
        <v>696</v>
      </c>
      <c r="D6" s="2"/>
      <c r="E6" s="11">
        <f t="shared" si="2"/>
        <v>3</v>
      </c>
      <c r="F6" s="11">
        <f t="shared" si="3"/>
        <v>3</v>
      </c>
      <c r="G6" s="799"/>
      <c r="H6" s="799">
        <f>IF(H$2=$F6+1,Monthly!D$21,IF(H$2&gt;$F6+1,('Traditional Attrition'!G6+H138)*(1-IF(H$2-$F6&lt;=12,SUMIFS('Attrition Modeling'!$D:$D,'Attrition Modeling'!$B:$B,'Traditional Attrition'!$E6,'Attrition Modeling'!$C:$C,'Traditional Attrition'!H$1),VLOOKUP('Traditional Attrition'!H$2-'Traditional Attrition'!$F6-1,'Traditional Attrition'!$A$7:$C$161,2,FALSE)*VLOOKUP(H$1,'Attrition Modeling'!$L$15:$N$27,IF(H$2-$F6&lt;=24,2,3),FALSE))*(1+Projection!J$16)*(1+IF(H138&gt;0,'Attrition Modeling'!$N$9,0))),0))</f>
        <v>0</v>
      </c>
      <c r="I6" s="799">
        <f>IF(I$2=$F6+1,Monthly!E$21,IF(I$2&gt;$F6+1,('Traditional Attrition'!H6+I138)*(1-IF(I$2-$F6&lt;=12,SUMIFS('Attrition Modeling'!$D:$D,'Attrition Modeling'!$B:$B,'Traditional Attrition'!$E6,'Attrition Modeling'!$C:$C,'Traditional Attrition'!I$1),VLOOKUP('Traditional Attrition'!I$2-'Traditional Attrition'!$F6-1,'Traditional Attrition'!$A$7:$C$161,2,FALSE)*VLOOKUP(I$1,'Attrition Modeling'!$L$15:$N$27,IF(I$2-$F6&lt;=24,2,3),FALSE))*(1+Projection!K$16)*(1+IF(I138&gt;0,'Attrition Modeling'!$N$9,0))),0))</f>
        <v>0</v>
      </c>
      <c r="J6" s="799">
        <f>IF(J$2=$F6+1,Monthly!F$21,IF(J$2&gt;$F6+1,('Traditional Attrition'!I6+J138)*(1-IF(J$2-$F6&lt;=12,SUMIFS('Attrition Modeling'!$D:$D,'Attrition Modeling'!$B:$B,'Traditional Attrition'!$E6,'Attrition Modeling'!$C:$C,'Traditional Attrition'!J$1),VLOOKUP('Traditional Attrition'!J$2-'Traditional Attrition'!$F6-1,'Traditional Attrition'!$A$7:$C$161,2,FALSE)*VLOOKUP(J$1,'Attrition Modeling'!$L$15:$N$27,IF(J$2-$F6&lt;=24,2,3),FALSE))*(1+Projection!L$16)*(1+IF(J138&gt;0,'Attrition Modeling'!$N$9,0))),0))</f>
        <v>0</v>
      </c>
      <c r="K6" s="799">
        <f>IF(K$2=$F6+1,Monthly!G$21,IF(K$2&gt;$F6+1,('Traditional Attrition'!J6+K138)*(1-IF(K$2-$F6&lt;=12,SUMIFS('Attrition Modeling'!$D:$D,'Attrition Modeling'!$B:$B,'Traditional Attrition'!$E6,'Attrition Modeling'!$C:$C,'Traditional Attrition'!K$1),VLOOKUP('Traditional Attrition'!K$2-'Traditional Attrition'!$F6-1,'Traditional Attrition'!$A$7:$C$161,2,FALSE)*VLOOKUP(K$1,'Attrition Modeling'!$L$15:$N$27,IF(K$2-$F6&lt;=24,2,3),FALSE))*(1+Projection!M$16)*(1+IF(K138&gt;0,'Attrition Modeling'!$N$9,0))),0))</f>
        <v>5936.0469444912333</v>
      </c>
      <c r="L6" s="799">
        <f>IF(L$2=$F6+1,Monthly!H$21,IF(L$2&gt;$F6+1,('Traditional Attrition'!K6+L138)*(1-IF(L$2-$F6&lt;=12,SUMIFS('Attrition Modeling'!$D:$D,'Attrition Modeling'!$B:$B,'Traditional Attrition'!$E6,'Attrition Modeling'!$C:$C,'Traditional Attrition'!L$1),VLOOKUP('Traditional Attrition'!L$2-'Traditional Attrition'!$F6-1,'Traditional Attrition'!$A$7:$C$161,2,FALSE)*VLOOKUP(L$1,'Attrition Modeling'!$L$15:$N$27,IF(L$2-$F6&lt;=24,2,3),FALSE))*(1+Projection!N$16)*(1+IF(L138&gt;0,'Attrition Modeling'!$N$9,0))),0))</f>
        <v>5378.5442784305251</v>
      </c>
      <c r="M6" s="799">
        <f>IF(M$2=$F6+1,Monthly!I$21,IF(M$2&gt;$F6+1,('Traditional Attrition'!L6+M138)*(1-IF(M$2-$F6&lt;=12,SUMIFS('Attrition Modeling'!$D:$D,'Attrition Modeling'!$B:$B,'Traditional Attrition'!$E6,'Attrition Modeling'!$C:$C,'Traditional Attrition'!M$1),VLOOKUP('Traditional Attrition'!M$2-'Traditional Attrition'!$F6-1,'Traditional Attrition'!$A$7:$C$161,2,FALSE)*VLOOKUP(M$1,'Attrition Modeling'!$L$15:$N$27,IF(M$2-$F6&lt;=24,2,3),FALSE))*(1+Projection!O$16)*(1+IF(M138&gt;0,'Attrition Modeling'!$N$9,0))),0))</f>
        <v>4895.6781510142064</v>
      </c>
      <c r="N6" s="799">
        <f>IF(N$2=$F6+1,Monthly!J$21,IF(N$2&gt;$F6+1,('Traditional Attrition'!M6+N138)*(1-IF(N$2-$F6&lt;=12,SUMIFS('Attrition Modeling'!$D:$D,'Attrition Modeling'!$B:$B,'Traditional Attrition'!$E6,'Attrition Modeling'!$C:$C,'Traditional Attrition'!N$1),VLOOKUP('Traditional Attrition'!N$2-'Traditional Attrition'!$F6-1,'Traditional Attrition'!$A$7:$C$161,2,FALSE)*VLOOKUP(N$1,'Attrition Modeling'!$L$15:$N$27,IF(N$2-$F6&lt;=24,2,3),FALSE))*(1+Projection!P$16)*(1+IF(N138&gt;0,'Attrition Modeling'!$N$9,0))),0))</f>
        <v>4457.9315787090864</v>
      </c>
      <c r="O6" s="799">
        <f>IF(O$2=$F6+1,Monthly!K$21,IF(O$2&gt;$F6+1,('Traditional Attrition'!N6+O138)*(1-IF(O$2-$F6&lt;=12,SUMIFS('Attrition Modeling'!$D:$D,'Attrition Modeling'!$B:$B,'Traditional Attrition'!$E6,'Attrition Modeling'!$C:$C,'Traditional Attrition'!O$1),VLOOKUP('Traditional Attrition'!O$2-'Traditional Attrition'!$F6-1,'Traditional Attrition'!$A$7:$C$161,2,FALSE)*VLOOKUP(O$1,'Attrition Modeling'!$L$15:$N$27,IF(O$2-$F6&lt;=24,2,3),FALSE))*(1+Projection!Q$16)*(1+IF(O138&gt;0,'Attrition Modeling'!$N$9,0))),0))</f>
        <v>4068.9844932124552</v>
      </c>
      <c r="P6" s="799">
        <f>IF(P$2=$F6+1,Monthly!L$21,IF(P$2&gt;$F6+1,('Traditional Attrition'!O6+P138)*(1-IF(P$2-$F6&lt;=12,SUMIFS('Attrition Modeling'!$D:$D,'Attrition Modeling'!$B:$B,'Traditional Attrition'!$E6,'Attrition Modeling'!$C:$C,'Traditional Attrition'!P$1),VLOOKUP('Traditional Attrition'!P$2-'Traditional Attrition'!$F6-1,'Traditional Attrition'!$A$7:$C$161,2,FALSE)*VLOOKUP(P$1,'Attrition Modeling'!$L$15:$N$27,IF(P$2-$F6&lt;=24,2,3),FALSE))*(1+Projection!R$16)*(1+IF(P138&gt;0,'Attrition Modeling'!$N$9,0))),0))</f>
        <v>4019.1714539301411</v>
      </c>
      <c r="Q6" s="799">
        <f>IF(Q$2=$F6+1,Monthly!M$21,IF(Q$2&gt;$F6+1,('Traditional Attrition'!P6+Q138)*(1-IF(Q$2-$F6&lt;=12,SUMIFS('Attrition Modeling'!$D:$D,'Attrition Modeling'!$B:$B,'Traditional Attrition'!$E6,'Attrition Modeling'!$C:$C,'Traditional Attrition'!Q$1),VLOOKUP('Traditional Attrition'!Q$2-'Traditional Attrition'!$F6-1,'Traditional Attrition'!$A$7:$C$161,2,FALSE)*VLOOKUP(Q$1,'Attrition Modeling'!$L$15:$N$27,IF(Q$2-$F6&lt;=24,2,3),FALSE))*(1+Projection!S$16)*(1+IF(Q138&gt;0,'Attrition Modeling'!$N$9,0))),0))</f>
        <v>3700.6140144607944</v>
      </c>
      <c r="R6" s="799">
        <f>IF(R$2=$F6+1,Monthly!N$21,IF(R$2&gt;$F6+1,('Traditional Attrition'!Q6+R138)*(1-IF(R$2-$F6&lt;=12,SUMIFS('Attrition Modeling'!$D:$D,'Attrition Modeling'!$B:$B,'Traditional Attrition'!$E6,'Attrition Modeling'!$C:$C,'Traditional Attrition'!R$1),VLOOKUP('Traditional Attrition'!R$2-'Traditional Attrition'!$F6-1,'Traditional Attrition'!$A$7:$C$161,2,FALSE)*VLOOKUP(R$1,'Attrition Modeling'!$L$15:$N$27,IF(R$2-$F6&lt;=24,2,3),FALSE))*(1+Projection!T$16)*(1+IF(R138&gt;0,'Attrition Modeling'!$N$9,0))),0))</f>
        <v>3424.6110454079849</v>
      </c>
      <c r="S6" s="799">
        <f>IF(S$2=$F6+1,Monthly!O$21,IF(S$2&gt;$F6+1,('Traditional Attrition'!R6+S138)*(1-IF(S$2-$F6&lt;=12,SUMIFS('Attrition Modeling'!$D:$D,'Attrition Modeling'!$B:$B,'Traditional Attrition'!$E6,'Attrition Modeling'!$C:$C,'Traditional Attrition'!S$1),VLOOKUP('Traditional Attrition'!S$2-'Traditional Attrition'!$F6-1,'Traditional Attrition'!$A$7:$C$161,2,FALSE)*VLOOKUP(S$1,'Attrition Modeling'!$L$15:$N$27,IF(S$2-$F6&lt;=24,2,3),FALSE))*(1+Projection!U$16)*(1+IF(S138&gt;0,'Attrition Modeling'!$N$9,0))),0))</f>
        <v>3220.4642618907692</v>
      </c>
      <c r="T6" s="799">
        <f>IF(T$2=$F6+1,Monthly!P$21,IF(T$2&gt;$F6+1,('Traditional Attrition'!S6+T138)*(1-IF(T$2-$F6&lt;=12,SUMIFS('Attrition Modeling'!$D:$D,'Attrition Modeling'!$B:$B,'Traditional Attrition'!$E6,'Attrition Modeling'!$C:$C,'Traditional Attrition'!T$1),VLOOKUP('Traditional Attrition'!T$2-'Traditional Attrition'!$F6-1,'Traditional Attrition'!$A$7:$C$161,2,FALSE)*VLOOKUP(T$1,'Attrition Modeling'!$L$15:$N$27,IF(T$2-$F6&lt;=24,2,3),FALSE))*(1+Projection!V$16)*(1+IF(T138&gt;0,'Attrition Modeling'!$N$9,0))),0))</f>
        <v>3039.8485171383099</v>
      </c>
      <c r="U6" s="799">
        <f>IF(U$2=$F6+1,Monthly!Q$21,IF(U$2&gt;$F6+1,('Traditional Attrition'!T6+U138)*(1-IF(U$2-$F6&lt;=12,SUMIFS('Attrition Modeling'!$D:$D,'Attrition Modeling'!$B:$B,'Traditional Attrition'!$E6,'Attrition Modeling'!$C:$C,'Traditional Attrition'!U$1),VLOOKUP('Traditional Attrition'!U$2-'Traditional Attrition'!$F6-1,'Traditional Attrition'!$A$7:$C$161,2,FALSE)*VLOOKUP(U$1,'Attrition Modeling'!$L$15:$N$27,IF(U$2-$F6&lt;=24,2,3),FALSE))*(1+Projection!W$16)*(1+IF(U138&gt;0,'Attrition Modeling'!$N$9,0))),0))</f>
        <v>2883.1232903280916</v>
      </c>
      <c r="V6" s="799">
        <f>IF(V$2=$F6+1,Monthly!R$21,IF(V$2&gt;$F6+1,('Traditional Attrition'!U6+V138)*(1-IF(V$2-$F6&lt;=12,SUMIFS('Attrition Modeling'!$D:$D,'Attrition Modeling'!$B:$B,'Traditional Attrition'!$E6,'Attrition Modeling'!$C:$C,'Traditional Attrition'!V$1),VLOOKUP('Traditional Attrition'!V$2-'Traditional Attrition'!$F6-1,'Traditional Attrition'!$A$7:$C$161,2,FALSE)*VLOOKUP(V$1,'Attrition Modeling'!$L$15:$N$27,IF(V$2-$F6&lt;=24,2,3),FALSE))*(1+Projection!X$16)*(1+IF(V138&gt;0,'Attrition Modeling'!$N$9,0))),0))</f>
        <v>2790.7999163252052</v>
      </c>
      <c r="W6" s="799">
        <f>IF(W$2=$F6+1,Monthly!S$21,IF(W$2&gt;$F6+1,('Traditional Attrition'!V6+W138)*(1-IF(W$2-$F6&lt;=12,SUMIFS('Attrition Modeling'!$D:$D,'Attrition Modeling'!$B:$B,'Traditional Attrition'!$E6,'Attrition Modeling'!$C:$C,'Traditional Attrition'!W$1),VLOOKUP('Traditional Attrition'!W$2-'Traditional Attrition'!$F6-1,'Traditional Attrition'!$A$7:$C$161,2,FALSE)*VLOOKUP(W$1,'Attrition Modeling'!$L$15:$N$27,IF(W$2-$F6&lt;=24,2,3),FALSE))*(1+Projection!Y$16)*(1+IF(W138&gt;0,'Attrition Modeling'!$N$9,0))),0))</f>
        <v>2645.7344415150405</v>
      </c>
      <c r="X6" s="799">
        <f>IF(X$2=$F6+1,Monthly!T$21,IF(X$2&gt;$F6+1,('Traditional Attrition'!W6+X138)*(1-IF(X$2-$F6&lt;=12,SUMIFS('Attrition Modeling'!$D:$D,'Attrition Modeling'!$B:$B,'Traditional Attrition'!$E6,'Attrition Modeling'!$C:$C,'Traditional Attrition'!X$1),VLOOKUP('Traditional Attrition'!X$2-'Traditional Attrition'!$F6-1,'Traditional Attrition'!$A$7:$C$161,2,FALSE)*VLOOKUP(X$1,'Attrition Modeling'!$L$15:$N$27,IF(X$2-$F6&lt;=24,2,3),FALSE))*(1+Projection!Z$16)*(1+IF(X138&gt;0,'Attrition Modeling'!$N$9,0))),0))</f>
        <v>2519.7382002543741</v>
      </c>
      <c r="Y6" s="799">
        <f>IF(Y$2=$F6+1,Monthly!U$21,IF(Y$2&gt;$F6+1,('Traditional Attrition'!X6+Y138)*(1-IF(Y$2-$F6&lt;=12,SUMIFS('Attrition Modeling'!$D:$D,'Attrition Modeling'!$B:$B,'Traditional Attrition'!$E6,'Attrition Modeling'!$C:$C,'Traditional Attrition'!Y$1),VLOOKUP('Traditional Attrition'!Y$2-'Traditional Attrition'!$F6-1,'Traditional Attrition'!$A$7:$C$161,2,FALSE)*VLOOKUP(Y$1,'Attrition Modeling'!$L$15:$N$27,IF(Y$2-$F6&lt;=24,2,3),FALSE))*(1+Projection!AA$16)*(1+IF(Y138&gt;0,'Attrition Modeling'!$N$9,0))),0))</f>
        <v>2394.4484523996898</v>
      </c>
      <c r="Z6" s="799">
        <f>IF(Z$2=$F6+1,Monthly!V$21,IF(Z$2&gt;$F6+1,('Traditional Attrition'!Y6+Z138)*(1-IF(Z$2-$F6&lt;=12,SUMIFS('Attrition Modeling'!$D:$D,'Attrition Modeling'!$B:$B,'Traditional Attrition'!$E6,'Attrition Modeling'!$C:$C,'Traditional Attrition'!Z$1),VLOOKUP('Traditional Attrition'!Z$2-'Traditional Attrition'!$F6-1,'Traditional Attrition'!$A$7:$C$161,2,FALSE)*VLOOKUP(Z$1,'Attrition Modeling'!$L$15:$N$27,IF(Z$2-$F6&lt;=24,2,3),FALSE))*(1+Projection!AB$16)*(1+IF(Z138&gt;0,'Attrition Modeling'!$N$9,0))),0))</f>
        <v>2277.0224559753733</v>
      </c>
      <c r="AA6" s="799">
        <f>IF(AA$2=$F6+1,Monthly!W$21,IF(AA$2&gt;$F6+1,('Traditional Attrition'!Z6+AA138)*(1-IF(AA$2-$F6&lt;=12,SUMIFS('Attrition Modeling'!$D:$D,'Attrition Modeling'!$B:$B,'Traditional Attrition'!$E6,'Attrition Modeling'!$C:$C,'Traditional Attrition'!AA$1),VLOOKUP('Traditional Attrition'!AA$2-'Traditional Attrition'!$F6-1,'Traditional Attrition'!$A$7:$C$161,2,FALSE)*VLOOKUP(AA$1,'Attrition Modeling'!$L$15:$N$27,IF(AA$2-$F6&lt;=24,2,3),FALSE))*(1+Projection!AC$16)*(1+IF(AA138&gt;0,'Attrition Modeling'!$N$9,0))),0))</f>
        <v>2163.8456355460926</v>
      </c>
      <c r="AB6" s="799">
        <f>IF(AB$2=$F6+1,Monthly!X$21,IF(AB$2&gt;$F6+1,('Traditional Attrition'!AA6+AB138)*(1-IF(AB$2-$F6&lt;=12,SUMIFS('Attrition Modeling'!$D:$D,'Attrition Modeling'!$B:$B,'Traditional Attrition'!$E6,'Attrition Modeling'!$C:$C,'Traditional Attrition'!AB$1),VLOOKUP('Traditional Attrition'!AB$2-'Traditional Attrition'!$F6-1,'Traditional Attrition'!$A$7:$C$161,2,FALSE)*VLOOKUP(AB$1,'Attrition Modeling'!$L$15:$N$27,IF(AB$2-$F6&lt;=24,2,3),FALSE))*(1+Projection!AD$16)*(1+IF(AB138&gt;0,'Attrition Modeling'!$N$9,0))),0))</f>
        <v>2245.7825288979529</v>
      </c>
      <c r="AC6" s="799">
        <f>IF(AC$2=$F6+1,Monthly!Y$21,IF(AC$2&gt;$F6+1,('Traditional Attrition'!AB6+AC138)*(1-IF(AC$2-$F6&lt;=12,SUMIFS('Attrition Modeling'!$D:$D,'Attrition Modeling'!$B:$B,'Traditional Attrition'!$E6,'Attrition Modeling'!$C:$C,'Traditional Attrition'!AC$1),VLOOKUP('Traditional Attrition'!AC$2-'Traditional Attrition'!$F6-1,'Traditional Attrition'!$A$7:$C$161,2,FALSE)*VLOOKUP(AC$1,'Attrition Modeling'!$L$15:$N$27,IF(AC$2-$F6&lt;=24,2,3),FALSE))*(1+Projection!AE$16)*(1+IF(AC138&gt;0,'Attrition Modeling'!$N$9,0))),0))</f>
        <v>2146.399002568191</v>
      </c>
      <c r="AD6" s="799">
        <f>IF(AD$2=$F6+1,Monthly!Z$21,IF(AD$2&gt;$F6+1,('Traditional Attrition'!AC6+AD138)*(1-IF(AD$2-$F6&lt;=12,SUMIFS('Attrition Modeling'!$D:$D,'Attrition Modeling'!$B:$B,'Traditional Attrition'!$E6,'Attrition Modeling'!$C:$C,'Traditional Attrition'!AD$1),VLOOKUP('Traditional Attrition'!AD$2-'Traditional Attrition'!$F6-1,'Traditional Attrition'!$A$7:$C$161,2,FALSE)*VLOOKUP(AD$1,'Attrition Modeling'!$L$15:$N$27,IF(AD$2-$F6&lt;=24,2,3),FALSE))*(1+Projection!AF$16)*(1+IF(AD138&gt;0,'Attrition Modeling'!$N$9,0))),0))</f>
        <v>2056.7599552471625</v>
      </c>
      <c r="AE6" s="799">
        <f>IF(AE$2=$F6+1,Monthly!AA$21,IF(AE$2&gt;$F6+1,('Traditional Attrition'!AD6+AE138)*(1-IF(AE$2-$F6&lt;=12,SUMIFS('Attrition Modeling'!$D:$D,'Attrition Modeling'!$B:$B,'Traditional Attrition'!$E6,'Attrition Modeling'!$C:$C,'Traditional Attrition'!AE$1),VLOOKUP('Traditional Attrition'!AE$2-'Traditional Attrition'!$F6-1,'Traditional Attrition'!$A$7:$C$161,2,FALSE)*VLOOKUP(AE$1,'Attrition Modeling'!$L$15:$N$27,IF(AE$2-$F6&lt;=24,2,3),FALSE))*(1+Projection!AG$16)*(1+IF(AE138&gt;0,'Attrition Modeling'!$N$9,0))),0))</f>
        <v>1973.2188552669936</v>
      </c>
      <c r="AF6" s="799">
        <f>IF(AF$2=$F6+1,Monthly!AB$21,IF(AF$2&gt;$F6+1,('Traditional Attrition'!AE6+AF138)*(1-IF(AF$2-$F6&lt;=12,SUMIFS('Attrition Modeling'!$D:$D,'Attrition Modeling'!$B:$B,'Traditional Attrition'!$E6,'Attrition Modeling'!$C:$C,'Traditional Attrition'!AF$1),VLOOKUP('Traditional Attrition'!AF$2-'Traditional Attrition'!$F6-1,'Traditional Attrition'!$A$7:$C$161,2,FALSE)*VLOOKUP(AF$1,'Attrition Modeling'!$L$15:$N$27,IF(AF$2-$F6&lt;=24,2,3),FALSE))*(1+Projection!AH$16)*(1+IF(AF138&gt;0,'Attrition Modeling'!$N$9,0))),0))</f>
        <v>1894.2459228813345</v>
      </c>
      <c r="AG6" s="799">
        <f>IF(AG$2=$F6+1,Monthly!AC$21,IF(AG$2&gt;$F6+1,('Traditional Attrition'!AF6+AG138)*(1-IF(AG$2-$F6&lt;=12,SUMIFS('Attrition Modeling'!$D:$D,'Attrition Modeling'!$B:$B,'Traditional Attrition'!$E6,'Attrition Modeling'!$C:$C,'Traditional Attrition'!AG$1),VLOOKUP('Traditional Attrition'!AG$2-'Traditional Attrition'!$F6-1,'Traditional Attrition'!$A$7:$C$161,2,FALSE)*VLOOKUP(AG$1,'Attrition Modeling'!$L$15:$N$27,IF(AG$2-$F6&lt;=24,2,3),FALSE))*(1+Projection!AI$16)*(1+IF(AG138&gt;0,'Attrition Modeling'!$N$9,0))),0))</f>
        <v>1826.8323496364676</v>
      </c>
      <c r="AH6" s="799">
        <f>IF(AH$2=$F6+1,Monthly!AD$21,IF(AH$2&gt;$F6+1,('Traditional Attrition'!AG6+AH138)*(1-IF(AH$2-$F6&lt;=12,SUMIFS('Attrition Modeling'!$D:$D,'Attrition Modeling'!$B:$B,'Traditional Attrition'!$E6,'Attrition Modeling'!$C:$C,'Traditional Attrition'!AH$1),VLOOKUP('Traditional Attrition'!AH$2-'Traditional Attrition'!$F6-1,'Traditional Attrition'!$A$7:$C$161,2,FALSE)*VLOOKUP(AH$1,'Attrition Modeling'!$L$15:$N$27,IF(AH$2-$F6&lt;=24,2,3),FALSE))*(1+Projection!AJ$16)*(1+IF(AH138&gt;0,'Attrition Modeling'!$N$9,0))),0))</f>
        <v>1756.9966369292167</v>
      </c>
      <c r="AI6" s="799">
        <f>IF(AI$2=$F6+1,Monthly!AE$21,IF(AI$2&gt;$F6+1,('Traditional Attrition'!AH6+AI138)*(1-IF(AI$2-$F6&lt;=12,SUMIFS('Attrition Modeling'!$D:$D,'Attrition Modeling'!$B:$B,'Traditional Attrition'!$E6,'Attrition Modeling'!$C:$C,'Traditional Attrition'!AI$1),VLOOKUP('Traditional Attrition'!AI$2-'Traditional Attrition'!$F6-1,'Traditional Attrition'!$A$7:$C$161,2,FALSE)*VLOOKUP(AI$1,'Attrition Modeling'!$L$15:$N$27,IF(AI$2-$F6&lt;=24,2,3),FALSE))*(1+Projection!AK$16)*(1+IF(AI138&gt;0,'Attrition Modeling'!$N$9,0))),0))</f>
        <v>1710.0189631142093</v>
      </c>
      <c r="AJ6" s="799">
        <f>IF(AJ$2=$F6+1,Monthly!AF$21,IF(AJ$2&gt;$F6+1,('Traditional Attrition'!AI6+AJ138)*(1-IF(AJ$2-$F6&lt;=12,SUMIFS('Attrition Modeling'!$D:$D,'Attrition Modeling'!$B:$B,'Traditional Attrition'!$E6,'Attrition Modeling'!$C:$C,'Traditional Attrition'!AJ$1),VLOOKUP('Traditional Attrition'!AJ$2-'Traditional Attrition'!$F6-1,'Traditional Attrition'!$A$7:$C$161,2,FALSE)*VLOOKUP(AJ$1,'Attrition Modeling'!$L$15:$N$27,IF(AJ$2-$F6&lt;=24,2,3),FALSE))*(1+Projection!AL$16)*(1+IF(AJ138&gt;0,'Attrition Modeling'!$N$9,0))),0))</f>
        <v>1655.5897634901446</v>
      </c>
      <c r="AK6" s="799">
        <f>IF(AK$2=$F6+1,Monthly!AG$21,IF(AK$2&gt;$F6+1,('Traditional Attrition'!AJ6+AK138)*(1-IF(AK$2-$F6&lt;=12,SUMIFS('Attrition Modeling'!$D:$D,'Attrition Modeling'!$B:$B,'Traditional Attrition'!$E6,'Attrition Modeling'!$C:$C,'Traditional Attrition'!AK$1),VLOOKUP('Traditional Attrition'!AK$2-'Traditional Attrition'!$F6-1,'Traditional Attrition'!$A$7:$C$161,2,FALSE)*VLOOKUP(AK$1,'Attrition Modeling'!$L$15:$N$27,IF(AK$2-$F6&lt;=24,2,3),FALSE))*(1+Projection!AM$16)*(1+IF(AK138&gt;0,'Attrition Modeling'!$N$9,0))),0))</f>
        <v>1596.2615963073081</v>
      </c>
      <c r="AL6" s="799">
        <f>IF(AL$2=$F6+1,Monthly!AH$21,IF(AL$2&gt;$F6+1,('Traditional Attrition'!AK6+AL138)*(1-IF(AL$2-$F6&lt;=12,SUMIFS('Attrition Modeling'!$D:$D,'Attrition Modeling'!$B:$B,'Traditional Attrition'!$E6,'Attrition Modeling'!$C:$C,'Traditional Attrition'!AL$1),VLOOKUP('Traditional Attrition'!AL$2-'Traditional Attrition'!$F6-1,'Traditional Attrition'!$A$7:$C$161,2,FALSE)*VLOOKUP(AL$1,'Attrition Modeling'!$L$15:$N$27,IF(AL$2-$F6&lt;=24,2,3),FALSE))*(1+Projection!AN$16)*(1+IF(AL138&gt;0,'Attrition Modeling'!$N$9,0))),0))</f>
        <v>1534.7596617367712</v>
      </c>
      <c r="AM6" s="799">
        <f>IF(AM$2=$F6+1,Monthly!AI$21,IF(AM$2&gt;$F6+1,('Traditional Attrition'!AL6+AM138)*(1-IF(AM$2-$F6&lt;=12,SUMIFS('Attrition Modeling'!$D:$D,'Attrition Modeling'!$B:$B,'Traditional Attrition'!$E6,'Attrition Modeling'!$C:$C,'Traditional Attrition'!AM$1),VLOOKUP('Traditional Attrition'!AM$2-'Traditional Attrition'!$F6-1,'Traditional Attrition'!$A$7:$C$161,2,FALSE)*VLOOKUP(AM$1,'Attrition Modeling'!$L$15:$N$27,IF(AM$2-$F6&lt;=24,2,3),FALSE))*(1+Projection!AO$16)*(1+IF(AM138&gt;0,'Attrition Modeling'!$N$9,0))),0))</f>
        <v>1472.0751782661514</v>
      </c>
      <c r="AN6" s="799">
        <f>IF(AN$2=$F6+1,Monthly!AJ$21,IF(AN$2&gt;$F6+1,('Traditional Attrition'!AM6+AN138)*(1-IF(AN$2-$F6&lt;=12,SUMIFS('Attrition Modeling'!$D:$D,'Attrition Modeling'!$B:$B,'Traditional Attrition'!$E6,'Attrition Modeling'!$C:$C,'Traditional Attrition'!AN$1),VLOOKUP('Traditional Attrition'!AN$2-'Traditional Attrition'!$F6-1,'Traditional Attrition'!$A$7:$C$161,2,FALSE)*VLOOKUP(AN$1,'Attrition Modeling'!$L$15:$N$27,IF(AN$2-$F6&lt;=24,2,3),FALSE))*(1+Projection!AP$16)*(1+IF(AN138&gt;0,'Attrition Modeling'!$N$9,0))),0))</f>
        <v>1540.065018495397</v>
      </c>
      <c r="AO6" s="799">
        <f>IF(AO$2=$F6+1,Monthly!AK$21,IF(AO$2&gt;$F6+1,('Traditional Attrition'!AN6+AO138)*(1-IF(AO$2-$F6&lt;=12,SUMIFS('Attrition Modeling'!$D:$D,'Attrition Modeling'!$B:$B,'Traditional Attrition'!$E6,'Attrition Modeling'!$C:$C,'Traditional Attrition'!AO$1),VLOOKUP('Traditional Attrition'!AO$2-'Traditional Attrition'!$F6-1,'Traditional Attrition'!$A$7:$C$161,2,FALSE)*VLOOKUP(AO$1,'Attrition Modeling'!$L$15:$N$27,IF(AO$2-$F6&lt;=24,2,3),FALSE))*(1+Projection!AQ$16)*(1+IF(AO138&gt;0,'Attrition Modeling'!$N$9,0))),0))</f>
        <v>1484.4324290556146</v>
      </c>
      <c r="AP6" s="799">
        <f>IF(AP$2=$F6+1,Monthly!AL$21,IF(AP$2&gt;$F6+1,('Traditional Attrition'!AO6+AP138)*(1-IF(AP$2-$F6&lt;=12,SUMIFS('Attrition Modeling'!$D:$D,'Attrition Modeling'!$B:$B,'Traditional Attrition'!$E6,'Attrition Modeling'!$C:$C,'Traditional Attrition'!AP$1),VLOOKUP('Traditional Attrition'!AP$2-'Traditional Attrition'!$F6-1,'Traditional Attrition'!$A$7:$C$161,2,FALSE)*VLOOKUP(AP$1,'Attrition Modeling'!$L$15:$N$27,IF(AP$2-$F6&lt;=24,2,3),FALSE))*(1+Projection!AR$16)*(1+IF(AP138&gt;0,'Attrition Modeling'!$N$9,0))),0))</f>
        <v>1432.6491022738062</v>
      </c>
      <c r="AQ6" s="799">
        <f>IF(AQ$2=$F6+1,Monthly!AM$21,IF(AQ$2&gt;$F6+1,('Traditional Attrition'!AP6+AQ138)*(1-IF(AQ$2-$F6&lt;=12,SUMIFS('Attrition Modeling'!$D:$D,'Attrition Modeling'!$B:$B,'Traditional Attrition'!$E6,'Attrition Modeling'!$C:$C,'Traditional Attrition'!AQ$1),VLOOKUP('Traditional Attrition'!AQ$2-'Traditional Attrition'!$F6-1,'Traditional Attrition'!$A$7:$C$161,2,FALSE)*VLOOKUP(AQ$1,'Attrition Modeling'!$L$15:$N$27,IF(AQ$2-$F6&lt;=24,2,3),FALSE))*(1+Projection!AS$16)*(1+IF(AQ138&gt;0,'Attrition Modeling'!$N$9,0))),0))</f>
        <v>1391.9472330610186</v>
      </c>
      <c r="AR6" s="799">
        <f>IF(AR$2=$F6+1,Monthly!AN$21,IF(AR$2&gt;$F6+1,('Traditional Attrition'!AQ6+AR138)*(1-IF(AR$2-$F6&lt;=12,SUMIFS('Attrition Modeling'!$D:$D,'Attrition Modeling'!$B:$B,'Traditional Attrition'!$E6,'Attrition Modeling'!$C:$C,'Traditional Attrition'!AR$1),VLOOKUP('Traditional Attrition'!AR$2-'Traditional Attrition'!$F6-1,'Traditional Attrition'!$A$7:$C$161,2,FALSE)*VLOOKUP(AR$1,'Attrition Modeling'!$L$15:$N$27,IF(AR$2-$F6&lt;=24,2,3),FALSE))*(1+Projection!AT$16)*(1+IF(AR138&gt;0,'Attrition Modeling'!$N$9,0))),0))</f>
        <v>1348.6686697672435</v>
      </c>
      <c r="AS6" s="799">
        <f>IF(AS$2=$F6+1,Monthly!AO$21,IF(AS$2&gt;$F6+1,('Traditional Attrition'!AR6+AS138)*(1-IF(AS$2-$F6&lt;=12,SUMIFS('Attrition Modeling'!$D:$D,'Attrition Modeling'!$B:$B,'Traditional Attrition'!$E6,'Attrition Modeling'!$C:$C,'Traditional Attrition'!AS$1),VLOOKUP('Traditional Attrition'!AS$2-'Traditional Attrition'!$F6-1,'Traditional Attrition'!$A$7:$C$161,2,FALSE)*VLOOKUP(AS$1,'Attrition Modeling'!$L$15:$N$27,IF(AS$2-$F6&lt;=24,2,3),FALSE))*(1+Projection!AU$16)*(1+IF(AS138&gt;0,'Attrition Modeling'!$N$9,0))),0))</f>
        <v>1308.5082117385366</v>
      </c>
      <c r="AT6" s="799">
        <f>IF(AT$2=$F6+1,Monthly!AP$21,IF(AT$2&gt;$F6+1,('Traditional Attrition'!AS6+AT138)*(1-IF(AT$2-$F6&lt;=12,SUMIFS('Attrition Modeling'!$D:$D,'Attrition Modeling'!$B:$B,'Traditional Attrition'!$E6,'Attrition Modeling'!$C:$C,'Traditional Attrition'!AT$1),VLOOKUP('Traditional Attrition'!AT$2-'Traditional Attrition'!$F6-1,'Traditional Attrition'!$A$7:$C$161,2,FALSE)*VLOOKUP(AT$1,'Attrition Modeling'!$L$15:$N$27,IF(AT$2-$F6&lt;=24,2,3),FALSE))*(1+Projection!AV$16)*(1+IF(AT138&gt;0,'Attrition Modeling'!$N$9,0))),0))</f>
        <v>1271.5934607662466</v>
      </c>
      <c r="AU6" s="799">
        <f>IF(AU$2=$F6+1,Monthly!AQ$21,IF(AU$2&gt;$F6+1,('Traditional Attrition'!AT6+AU138)*(1-IF(AU$2-$F6&lt;=12,SUMIFS('Attrition Modeling'!$D:$D,'Attrition Modeling'!$B:$B,'Traditional Attrition'!$E6,'Attrition Modeling'!$C:$C,'Traditional Attrition'!AU$1),VLOOKUP('Traditional Attrition'!AU$2-'Traditional Attrition'!$F6-1,'Traditional Attrition'!$A$7:$C$161,2,FALSE)*VLOOKUP(AU$1,'Attrition Modeling'!$L$15:$N$27,IF(AU$2-$F6&lt;=24,2,3),FALSE))*(1+Projection!AW$16)*(1+IF(AU138&gt;0,'Attrition Modeling'!$N$9,0))),0))</f>
        <v>1243.3737491181234</v>
      </c>
      <c r="AV6" s="799">
        <f>IF(AV$2=$F6+1,Monthly!AR$21,IF(AV$2&gt;$F6+1,('Traditional Attrition'!AU6+AV138)*(1-IF(AV$2-$F6&lt;=12,SUMIFS('Attrition Modeling'!$D:$D,'Attrition Modeling'!$B:$B,'Traditional Attrition'!$E6,'Attrition Modeling'!$C:$C,'Traditional Attrition'!AV$1),VLOOKUP('Traditional Attrition'!AV$2-'Traditional Attrition'!$F6-1,'Traditional Attrition'!$A$7:$C$161,2,FALSE)*VLOOKUP(AV$1,'Attrition Modeling'!$L$15:$N$27,IF(AV$2-$F6&lt;=24,2,3),FALSE))*(1+Projection!AX$16)*(1+IF(AV138&gt;0,'Attrition Modeling'!$N$9,0))),0))</f>
        <v>1210.415730914217</v>
      </c>
      <c r="AW6" s="799">
        <f>IF(AW$2=$F6+1,Monthly!AS$21,IF(AW$2&gt;$F6+1,('Traditional Attrition'!AV6+AW138)*(1-IF(AW$2-$F6&lt;=12,SUMIFS('Attrition Modeling'!$D:$D,'Attrition Modeling'!$B:$B,'Traditional Attrition'!$E6,'Attrition Modeling'!$C:$C,'Traditional Attrition'!AW$1),VLOOKUP('Traditional Attrition'!AW$2-'Traditional Attrition'!$F6-1,'Traditional Attrition'!$A$7:$C$161,2,FALSE)*VLOOKUP(AW$1,'Attrition Modeling'!$L$15:$N$27,IF(AW$2-$F6&lt;=24,2,3),FALSE))*(1+Projection!AY$16)*(1+IF(AW138&gt;0,'Attrition Modeling'!$N$9,0))),0))</f>
        <v>1174.1810035441317</v>
      </c>
      <c r="AX6" s="799">
        <f>IF(AX$2=$F6+1,Monthly!AT$21,IF(AX$2&gt;$F6+1,('Traditional Attrition'!AW6+AX138)*(1-IF(AX$2-$F6&lt;=12,SUMIFS('Attrition Modeling'!$D:$D,'Attrition Modeling'!$B:$B,'Traditional Attrition'!$E6,'Attrition Modeling'!$C:$C,'Traditional Attrition'!AX$1),VLOOKUP('Traditional Attrition'!AX$2-'Traditional Attrition'!$F6-1,'Traditional Attrition'!$A$7:$C$161,2,FALSE)*VLOOKUP(AX$1,'Attrition Modeling'!$L$15:$N$27,IF(AX$2-$F6&lt;=24,2,3),FALSE))*(1+Projection!AZ$16)*(1+IF(AX138&gt;0,'Attrition Modeling'!$N$9,0))),0))</f>
        <v>1136.2780486497795</v>
      </c>
      <c r="AY6" s="799">
        <f>IF(AY$2=$F6+1,Monthly!AU$21,IF(AY$2&gt;$F6+1,('Traditional Attrition'!AX6+AY138)*(1-IF(AY$2-$F6&lt;=12,SUMIFS('Attrition Modeling'!$D:$D,'Attrition Modeling'!$B:$B,'Traditional Attrition'!$E6,'Attrition Modeling'!$C:$C,'Traditional Attrition'!AY$1),VLOOKUP('Traditional Attrition'!AY$2-'Traditional Attrition'!$F6-1,'Traditional Attrition'!$A$7:$C$161,2,FALSE)*VLOOKUP(AY$1,'Attrition Modeling'!$L$15:$N$27,IF(AY$2-$F6&lt;=24,2,3),FALSE))*(1+Projection!BA$16)*(1+IF(AY138&gt;0,'Attrition Modeling'!$N$9,0))),0))</f>
        <v>1097.2880768291182</v>
      </c>
      <c r="AZ6" s="799">
        <f>IF(AZ$2=$F6+1,Monthly!AV$21,IF(AZ$2&gt;$F6+1,('Traditional Attrition'!AY6+AZ138)*(1-IF(AZ$2-$F6&lt;=12,SUMIFS('Attrition Modeling'!$D:$D,'Attrition Modeling'!$B:$B,'Traditional Attrition'!$E6,'Attrition Modeling'!$C:$C,'Traditional Attrition'!AZ$1),VLOOKUP('Traditional Attrition'!AZ$2-'Traditional Attrition'!$F6-1,'Traditional Attrition'!$A$7:$C$161,2,FALSE)*VLOOKUP(AZ$1,'Attrition Modeling'!$L$15:$N$27,IF(AZ$2-$F6&lt;=24,2,3),FALSE))*(1+Projection!BB$16)*(1+IF(AZ138&gt;0,'Attrition Modeling'!$N$9,0))),0))</f>
        <v>1133.4476698605799</v>
      </c>
      <c r="BA6" s="799">
        <f>IF(BA$2=$F6+1,Monthly!AW$21,IF(BA$2&gt;$F6+1,('Traditional Attrition'!AZ6+BA138)*(1-IF(BA$2-$F6&lt;=12,SUMIFS('Attrition Modeling'!$D:$D,'Attrition Modeling'!$B:$B,'Traditional Attrition'!$E6,'Attrition Modeling'!$C:$C,'Traditional Attrition'!BA$1),VLOOKUP('Traditional Attrition'!BA$2-'Traditional Attrition'!$F6-1,'Traditional Attrition'!$A$7:$C$161,2,FALSE)*VLOOKUP(BA$1,'Attrition Modeling'!$L$15:$N$27,IF(BA$2-$F6&lt;=24,2,3),FALSE))*(1+Projection!BC$16)*(1+IF(BA138&gt;0,'Attrition Modeling'!$N$9,0))),0))</f>
        <v>1098.8753919204632</v>
      </c>
      <c r="BB6" s="799">
        <f>IF(BB$2=$F6+1,Monthly!AX$21,IF(BB$2&gt;$F6+1,('Traditional Attrition'!BA6+BB138)*(1-IF(BB$2-$F6&lt;=12,SUMIFS('Attrition Modeling'!$D:$D,'Attrition Modeling'!$B:$B,'Traditional Attrition'!$E6,'Attrition Modeling'!$C:$C,'Traditional Attrition'!BB$1),VLOOKUP('Traditional Attrition'!BB$2-'Traditional Attrition'!$F6-1,'Traditional Attrition'!$A$7:$C$161,2,FALSE)*VLOOKUP(BB$1,'Attrition Modeling'!$L$15:$N$27,IF(BB$2-$F6&lt;=24,2,3),FALSE))*(1+Projection!BD$16)*(1+IF(BB138&gt;0,'Attrition Modeling'!$N$9,0))),0))</f>
        <v>1066.4326830975162</v>
      </c>
      <c r="BC6" s="799">
        <f>IF(BC$2=$F6+1,Monthly!AY$21,IF(BC$2&gt;$F6+1,('Traditional Attrition'!BB6+BC138)*(1-IF(BC$2-$F6&lt;=12,SUMIFS('Attrition Modeling'!$D:$D,'Attrition Modeling'!$B:$B,'Traditional Attrition'!$E6,'Attrition Modeling'!$C:$C,'Traditional Attrition'!BC$1),VLOOKUP('Traditional Attrition'!BC$2-'Traditional Attrition'!$F6-1,'Traditional Attrition'!$A$7:$C$161,2,FALSE)*VLOOKUP(BC$1,'Attrition Modeling'!$L$15:$N$27,IF(BC$2-$F6&lt;=24,2,3),FALSE))*(1+Projection!BE$16)*(1+IF(BC138&gt;0,'Attrition Modeling'!$N$9,0))),0))</f>
        <v>1040.7349171435362</v>
      </c>
      <c r="BD6" s="799">
        <f>IF(BD$2=$F6+1,Monthly!AZ$21,IF(BD$2&gt;$F6+1,('Traditional Attrition'!BC6+BD138)*(1-IF(BD$2-$F6&lt;=12,SUMIFS('Attrition Modeling'!$D:$D,'Attrition Modeling'!$B:$B,'Traditional Attrition'!$E6,'Attrition Modeling'!$C:$C,'Traditional Attrition'!BD$1),VLOOKUP('Traditional Attrition'!BD$2-'Traditional Attrition'!$F6-1,'Traditional Attrition'!$A$7:$C$161,2,FALSE)*VLOOKUP(BD$1,'Attrition Modeling'!$L$15:$N$27,IF(BD$2-$F6&lt;=24,2,3),FALSE))*(1+Projection!BF$16)*(1+IF(BD138&gt;0,'Attrition Modeling'!$N$9,0))),0))</f>
        <v>1013.2322237116817</v>
      </c>
      <c r="BE6" s="799">
        <f>IF(BE$2=$F6+1,Monthly!BA$21,IF(BE$2&gt;$F6+1,('Traditional Attrition'!BD6+BE138)*(1-IF(BE$2-$F6&lt;=12,SUMIFS('Attrition Modeling'!$D:$D,'Attrition Modeling'!$B:$B,'Traditional Attrition'!$E6,'Attrition Modeling'!$C:$C,'Traditional Attrition'!BE$1),VLOOKUP('Traditional Attrition'!BE$2-'Traditional Attrition'!$F6-1,'Traditional Attrition'!$A$7:$C$161,2,FALSE)*VLOOKUP(BE$1,'Attrition Modeling'!$L$15:$N$27,IF(BE$2-$F6&lt;=24,2,3),FALSE))*(1+Projection!BG$16)*(1+IF(BE138&gt;0,'Attrition Modeling'!$N$9,0))),0))</f>
        <v>987.53785085862432</v>
      </c>
      <c r="BF6" s="799">
        <f>IF(BF$2=$F6+1,Monthly!BB$21,IF(BF$2&gt;$F6+1,('Traditional Attrition'!BE6+BF138)*(1-IF(BF$2-$F6&lt;=12,SUMIFS('Attrition Modeling'!$D:$D,'Attrition Modeling'!$B:$B,'Traditional Attrition'!$E6,'Attrition Modeling'!$C:$C,'Traditional Attrition'!BF$1),VLOOKUP('Traditional Attrition'!BF$2-'Traditional Attrition'!$F6-1,'Traditional Attrition'!$A$7:$C$161,2,FALSE)*VLOOKUP(BF$1,'Attrition Modeling'!$L$15:$N$27,IF(BF$2-$F6&lt;=24,2,3),FALSE))*(1+Projection!BH$16)*(1+IF(BF138&gt;0,'Attrition Modeling'!$N$9,0))),0))</f>
        <v>963.76837111393377</v>
      </c>
      <c r="BG6" s="799">
        <f>IF(BG$2=$F6+1,Monthly!BC$21,IF(BG$2&gt;$F6+1,('Traditional Attrition'!BF6+BG138)*(1-IF(BG$2-$F6&lt;=12,SUMIFS('Attrition Modeling'!$D:$D,'Attrition Modeling'!$B:$B,'Traditional Attrition'!$E6,'Attrition Modeling'!$C:$C,'Traditional Attrition'!BG$1),VLOOKUP('Traditional Attrition'!BG$2-'Traditional Attrition'!$F6-1,'Traditional Attrition'!$A$7:$C$161,2,FALSE)*VLOOKUP(BG$1,'Attrition Modeling'!$L$15:$N$27,IF(BG$2-$F6&lt;=24,2,3),FALSE))*(1+Projection!BI$16)*(1+IF(BG138&gt;0,'Attrition Modeling'!$N$9,0))),0))</f>
        <v>945.61081501157412</v>
      </c>
      <c r="BH6" s="799">
        <f>IF(BH$2=$F6+1,Monthly!BD$21,IF(BH$2&gt;$F6+1,('Traditional Attrition'!BG6+BH138)*(1-IF(BH$2-$F6&lt;=12,SUMIFS('Attrition Modeling'!$D:$D,'Attrition Modeling'!$B:$B,'Traditional Attrition'!$E6,'Attrition Modeling'!$C:$C,'Traditional Attrition'!BH$1),VLOOKUP('Traditional Attrition'!BH$2-'Traditional Attrition'!$F6-1,'Traditional Attrition'!$A$7:$C$161,2,FALSE)*VLOOKUP(BH$1,'Attrition Modeling'!$L$15:$N$27,IF(BH$2-$F6&lt;=24,2,3),FALSE))*(1+Projection!BJ$16)*(1+IF(BH138&gt;0,'Attrition Modeling'!$N$9,0))),0))</f>
        <v>924.29953241313785</v>
      </c>
      <c r="BI6" s="799">
        <f>IF(BI$2=$F6+1,Monthly!BE$21,IF(BI$2&gt;$F6+1,('Traditional Attrition'!BH6+BI138)*(1-IF(BI$2-$F6&lt;=12,SUMIFS('Attrition Modeling'!$D:$D,'Attrition Modeling'!$B:$B,'Traditional Attrition'!$E6,'Attrition Modeling'!$C:$C,'Traditional Attrition'!BI$1),VLOOKUP('Traditional Attrition'!BI$2-'Traditional Attrition'!$F6-1,'Traditional Attrition'!$A$7:$C$161,2,FALSE)*VLOOKUP(BI$1,'Attrition Modeling'!$L$15:$N$27,IF(BI$2-$F6&lt;=24,2,3),FALSE))*(1+Projection!BK$16)*(1+IF(BI138&gt;0,'Attrition Modeling'!$N$9,0))),0))</f>
        <v>900.74024463773696</v>
      </c>
      <c r="BJ6" s="799">
        <f>IF(BJ$2=$F6+1,Monthly!BF$21,IF(BJ$2&gt;$F6+1,('Traditional Attrition'!BI6+BJ138)*(1-IF(BJ$2-$F6&lt;=12,SUMIFS('Attrition Modeling'!$D:$D,'Attrition Modeling'!$B:$B,'Traditional Attrition'!$E6,'Attrition Modeling'!$C:$C,'Traditional Attrition'!BJ$1),VLOOKUP('Traditional Attrition'!BJ$2-'Traditional Attrition'!$F6-1,'Traditional Attrition'!$A$7:$C$161,2,FALSE)*VLOOKUP(BJ$1,'Attrition Modeling'!$L$15:$N$27,IF(BJ$2-$F6&lt;=24,2,3),FALSE))*(1+Projection!BL$16)*(1+IF(BJ138&gt;0,'Attrition Modeling'!$N$9,0))),0))</f>
        <v>875.94982477360975</v>
      </c>
      <c r="BK6" s="799">
        <f>IF(BK$2=$F6+1,Monthly!BG$21,IF(BK$2&gt;$F6+1,('Traditional Attrition'!BJ6+BK138)*(1-IF(BK$2-$F6&lt;=12,SUMIFS('Attrition Modeling'!$D:$D,'Attrition Modeling'!$B:$B,'Traditional Attrition'!$E6,'Attrition Modeling'!$C:$C,'Traditional Attrition'!BK$1),VLOOKUP('Traditional Attrition'!BK$2-'Traditional Attrition'!$F6-1,'Traditional Attrition'!$A$7:$C$161,2,FALSE)*VLOOKUP(BK$1,'Attrition Modeling'!$L$15:$N$27,IF(BK$2-$F6&lt;=24,2,3),FALSE))*(1+Projection!BM$16)*(1+IF(BK138&gt;0,'Attrition Modeling'!$N$9,0))),0))</f>
        <v>850.29026328448504</v>
      </c>
      <c r="BL6" s="799">
        <f>IF(BL$2=$F6+1,Monthly!BH$21,IF(BL$2&gt;$F6+1,('Traditional Attrition'!BK6+BL138)*(1-IF(BL$2-$F6&lt;=12,SUMIFS('Attrition Modeling'!$D:$D,'Attrition Modeling'!$B:$B,'Traditional Attrition'!$E6,'Attrition Modeling'!$C:$C,'Traditional Attrition'!BL$1),VLOOKUP('Traditional Attrition'!BL$2-'Traditional Attrition'!$F6-1,'Traditional Attrition'!$A$7:$C$161,2,FALSE)*VLOOKUP(BL$1,'Attrition Modeling'!$L$15:$N$27,IF(BL$2-$F6&lt;=24,2,3),FALSE))*(1+Projection!BN$16)*(1+IF(BL138&gt;0,'Attrition Modeling'!$N$9,0))),0))</f>
        <v>852.3913617341401</v>
      </c>
      <c r="BM6" s="799">
        <f>IF(BM$2=$F6+1,Monthly!BI$21,IF(BM$2&gt;$F6+1,('Traditional Attrition'!BL6+BM138)*(1-IF(BM$2-$F6&lt;=12,SUMIFS('Attrition Modeling'!$D:$D,'Attrition Modeling'!$B:$B,'Traditional Attrition'!$E6,'Attrition Modeling'!$C:$C,'Traditional Attrition'!BM$1),VLOOKUP('Traditional Attrition'!BM$2-'Traditional Attrition'!$F6-1,'Traditional Attrition'!$A$7:$C$161,2,FALSE)*VLOOKUP(BM$1,'Attrition Modeling'!$L$15:$N$27,IF(BM$2-$F6&lt;=24,2,3),FALSE))*(1+Projection!BO$16)*(1+IF(BM138&gt;0,'Attrition Modeling'!$N$9,0))),0))</f>
        <v>830.14343785111703</v>
      </c>
      <c r="BN6" s="799">
        <f>IF(BN$2=$F6+1,Monthly!BJ$21,IF(BN$2&gt;$F6+1,('Traditional Attrition'!BM6+BN138)*(1-IF(BN$2-$F6&lt;=12,SUMIFS('Attrition Modeling'!$D:$D,'Attrition Modeling'!$B:$B,'Traditional Attrition'!$E6,'Attrition Modeling'!$C:$C,'Traditional Attrition'!BN$1),VLOOKUP('Traditional Attrition'!BN$2-'Traditional Attrition'!$F6-1,'Traditional Attrition'!$A$7:$C$161,2,FALSE)*VLOOKUP(BN$1,'Attrition Modeling'!$L$15:$N$27,IF(BN$2-$F6&lt;=24,2,3),FALSE))*(1+Projection!BP$16)*(1+IF(BN138&gt;0,'Attrition Modeling'!$N$9,0))),0))</f>
        <v>809.14844249689747</v>
      </c>
      <c r="BO6" s="799">
        <f>IF(BO$2=$F6+1,Monthly!BK$21,IF(BO$2&gt;$F6+1,('Traditional Attrition'!BN6+BO138)*(1-IF(BO$2-$F6&lt;=12,SUMIFS('Attrition Modeling'!$D:$D,'Attrition Modeling'!$B:$B,'Traditional Attrition'!$E6,'Attrition Modeling'!$C:$C,'Traditional Attrition'!BO$1),VLOOKUP('Traditional Attrition'!BO$2-'Traditional Attrition'!$F6-1,'Traditional Attrition'!$A$7:$C$161,2,FALSE)*VLOOKUP(BO$1,'Attrition Modeling'!$L$15:$N$27,IF(BO$2-$F6&lt;=24,2,3),FALSE))*(1+Projection!BV$16)*(1+IF(BO138&gt;0,'Attrition Modeling'!$N$9,0))),0))</f>
        <v>792.42873320705246</v>
      </c>
      <c r="BP6" s="799">
        <f>IF(BP$2=$F6+1,Monthly!BL$21,IF(BP$2&gt;$F6+1,('Traditional Attrition'!BO6+BP138)*(1-IF(BP$2-$F6&lt;=12,SUMIFS('Attrition Modeling'!$D:$D,'Attrition Modeling'!$B:$B,'Traditional Attrition'!$E6,'Attrition Modeling'!$C:$C,'Traditional Attrition'!BP$1),VLOOKUP('Traditional Attrition'!BP$2-'Traditional Attrition'!$F6-1,'Traditional Attrition'!$A$7:$C$161,2,FALSE)*VLOOKUP(BP$1,'Attrition Modeling'!$L$15:$N$27,IF(BP$2-$F6&lt;=24,2,3),FALSE))*(1+Projection!BW$16)*(1+IF(BP138&gt;0,'Attrition Modeling'!$N$9,0))),0))</f>
        <v>774.45433351757993</v>
      </c>
      <c r="BQ6" s="799">
        <f>IF(BQ$2=$F6+1,Monthly!BM$21,IF(BQ$2&gt;$F6+1,('Traditional Attrition'!BP6+BQ138)*(1-IF(BQ$2-$F6&lt;=12,SUMIFS('Attrition Modeling'!$D:$D,'Attrition Modeling'!$B:$B,'Traditional Attrition'!$E6,'Attrition Modeling'!$C:$C,'Traditional Attrition'!BQ$1),VLOOKUP('Traditional Attrition'!BQ$2-'Traditional Attrition'!$F6-1,'Traditional Attrition'!$A$7:$C$161,2,FALSE)*VLOOKUP(BQ$1,'Attrition Modeling'!$L$15:$N$27,IF(BQ$2-$F6&lt;=24,2,3),FALSE))*(1+Projection!BX$16)*(1+IF(BQ138&gt;0,'Attrition Modeling'!$N$9,0))),0))</f>
        <v>757.58175421450676</v>
      </c>
      <c r="BR6" s="799">
        <f>IF(BR$2=$F6+1,Monthly!BN$21,IF(BR$2&gt;$F6+1,('Traditional Attrition'!BQ6+BR138)*(1-IF(BR$2-$F6&lt;=12,SUMIFS('Attrition Modeling'!$D:$D,'Attrition Modeling'!$B:$B,'Traditional Attrition'!$E6,'Attrition Modeling'!$C:$C,'Traditional Attrition'!BR$1),VLOOKUP('Traditional Attrition'!BR$2-'Traditional Attrition'!$F6-1,'Traditional Attrition'!$A$7:$C$161,2,FALSE)*VLOOKUP(BR$1,'Attrition Modeling'!$L$15:$N$27,IF(BR$2-$F6&lt;=24,2,3),FALSE))*(1+Projection!BY$16)*(1+IF(BR138&gt;0,'Attrition Modeling'!$N$9,0))),0))</f>
        <v>741.90241279128475</v>
      </c>
      <c r="BS6" s="799">
        <f>IF(BS$2=$F6+1,Monthly!BO$21,IF(BS$2&gt;$F6+1,('Traditional Attrition'!BR6+BS138)*(1-IF(BS$2-$F6&lt;=12,SUMIFS('Attrition Modeling'!$D:$D,'Attrition Modeling'!$B:$B,'Traditional Attrition'!$E6,'Attrition Modeling'!$C:$C,'Traditional Attrition'!BS$1),VLOOKUP('Traditional Attrition'!BS$2-'Traditional Attrition'!$F6-1,'Traditional Attrition'!$A$7:$C$161,2,FALSE)*VLOOKUP(BS$1,'Attrition Modeling'!$L$15:$N$27,IF(BS$2-$F6&lt;=24,2,3),FALSE))*(1+Projection!BZ$16)*(1+IF(BS138&gt;0,'Attrition Modeling'!$N$9,0))),0))</f>
        <v>729.79233923163804</v>
      </c>
      <c r="BT6" s="799">
        <f>IF(BT$2=$F6+1,Monthly!#REF!,IF(BT$2&gt;$F6+1,('Traditional Attrition'!BS6+BT138)*(1-IF(BT$2-$F6&lt;=12,SUMIFS('Attrition Modeling'!$D:$D,'Attrition Modeling'!$B:$B,'Traditional Attrition'!$E6,'Attrition Modeling'!$C:$C,'Traditional Attrition'!BT$1),VLOOKUP('Traditional Attrition'!BT$2-'Traditional Attrition'!$F6-1,'Traditional Attrition'!$A$7:$C$161,2,FALSE)*VLOOKUP(BT$1,'Attrition Modeling'!$L$15:$N$27,IF(BT$2-$F6&lt;=24,2,3),FALSE))*(1+Projection!CA$16)*(1+IF(BT138&gt;0,'Attrition Modeling'!$N$9,0))),0))</f>
        <v>715.52912974569062</v>
      </c>
      <c r="BU6" s="799">
        <f>IF(BU$2=$F6+1,Monthly!#REF!,IF(BU$2&gt;$F6+1,('Traditional Attrition'!BT6+BU138)*(1-IF(BU$2-$F6&lt;=12,SUMIFS('Attrition Modeling'!$D:$D,'Attrition Modeling'!$B:$B,'Traditional Attrition'!$E6,'Attrition Modeling'!$C:$C,'Traditional Attrition'!BU$1),VLOOKUP('Traditional Attrition'!BU$2-'Traditional Attrition'!$F6-1,'Traditional Attrition'!$A$7:$C$161,2,FALSE)*VLOOKUP(BU$1,'Attrition Modeling'!$L$15:$N$27,IF(BU$2-$F6&lt;=24,2,3),FALSE))*(1+Projection!CB$16)*(1+IF(BU138&gt;0,'Attrition Modeling'!$N$9,0))),0))</f>
        <v>699.69900104035753</v>
      </c>
    </row>
    <row r="7" spans="1:73" ht="14.25" customHeight="1" x14ac:dyDescent="0.2">
      <c r="A7" s="800">
        <v>0</v>
      </c>
      <c r="B7" s="779" t="e">
        <f>'Attrition Modeling'!H4*(1-Summary!$C$20)</f>
        <v>#DIV/0!</v>
      </c>
      <c r="C7" s="780">
        <v>1</v>
      </c>
      <c r="E7" s="11">
        <f t="shared" si="2"/>
        <v>4</v>
      </c>
      <c r="F7" s="11">
        <f t="shared" si="3"/>
        <v>4</v>
      </c>
      <c r="G7" s="799"/>
      <c r="H7" s="799">
        <f>IF(H$2=$F7+1,Monthly!D$21,IF(H$2&gt;$F7+1,('Traditional Attrition'!G7+H139)*(1-IF(H$2-$F7&lt;=12,SUMIFS('Attrition Modeling'!$D:$D,'Attrition Modeling'!$B:$B,'Traditional Attrition'!$E7,'Attrition Modeling'!$C:$C,'Traditional Attrition'!H$1),VLOOKUP('Traditional Attrition'!H$2-'Traditional Attrition'!$F7-1,'Traditional Attrition'!$A$7:$C$161,2,FALSE)*VLOOKUP(H$1,'Attrition Modeling'!$L$15:$N$27,IF(H$2-$F7&lt;=24,2,3),FALSE))*(1+Projection!J$16)*(1+IF(H139&gt;0,'Attrition Modeling'!$N$9,0))),0))</f>
        <v>0</v>
      </c>
      <c r="I7" s="799">
        <f>IF(I$2=$F7+1,Monthly!E$21,IF(I$2&gt;$F7+1,('Traditional Attrition'!H7+I139)*(1-IF(I$2-$F7&lt;=12,SUMIFS('Attrition Modeling'!$D:$D,'Attrition Modeling'!$B:$B,'Traditional Attrition'!$E7,'Attrition Modeling'!$C:$C,'Traditional Attrition'!I$1),VLOOKUP('Traditional Attrition'!I$2-'Traditional Attrition'!$F7-1,'Traditional Attrition'!$A$7:$C$161,2,FALSE)*VLOOKUP(I$1,'Attrition Modeling'!$L$15:$N$27,IF(I$2-$F7&lt;=24,2,3),FALSE))*(1+Projection!K$16)*(1+IF(I139&gt;0,'Attrition Modeling'!$N$9,0))),0))</f>
        <v>0</v>
      </c>
      <c r="J7" s="799">
        <f>IF(J$2=$F7+1,Monthly!F$21,IF(J$2&gt;$F7+1,('Traditional Attrition'!I7+J139)*(1-IF(J$2-$F7&lt;=12,SUMIFS('Attrition Modeling'!$D:$D,'Attrition Modeling'!$B:$B,'Traditional Attrition'!$E7,'Attrition Modeling'!$C:$C,'Traditional Attrition'!J$1),VLOOKUP('Traditional Attrition'!J$2-'Traditional Attrition'!$F7-1,'Traditional Attrition'!$A$7:$C$161,2,FALSE)*VLOOKUP(J$1,'Attrition Modeling'!$L$15:$N$27,IF(J$2-$F7&lt;=24,2,3),FALSE))*(1+Projection!L$16)*(1+IF(J139&gt;0,'Attrition Modeling'!$N$9,0))),0))</f>
        <v>0</v>
      </c>
      <c r="K7" s="799">
        <f>IF(K$2=$F7+1,Monthly!G$21,IF(K$2&gt;$F7+1,('Traditional Attrition'!J7+K139)*(1-IF(K$2-$F7&lt;=12,SUMIFS('Attrition Modeling'!$D:$D,'Attrition Modeling'!$B:$B,'Traditional Attrition'!$E7,'Attrition Modeling'!$C:$C,'Traditional Attrition'!K$1),VLOOKUP('Traditional Attrition'!K$2-'Traditional Attrition'!$F7-1,'Traditional Attrition'!$A$7:$C$161,2,FALSE)*VLOOKUP(K$1,'Attrition Modeling'!$L$15:$N$27,IF(K$2-$F7&lt;=24,2,3),FALSE))*(1+Projection!M$16)*(1+IF(K139&gt;0,'Attrition Modeling'!$N$9,0))),0))</f>
        <v>0</v>
      </c>
      <c r="L7" s="799">
        <f>IF(L$2=$F7+1,Monthly!H$21,IF(L$2&gt;$F7+1,('Traditional Attrition'!K7+L139)*(1-IF(L$2-$F7&lt;=12,SUMIFS('Attrition Modeling'!$D:$D,'Attrition Modeling'!$B:$B,'Traditional Attrition'!$E7,'Attrition Modeling'!$C:$C,'Traditional Attrition'!L$1),VLOOKUP('Traditional Attrition'!L$2-'Traditional Attrition'!$F7-1,'Traditional Attrition'!$A$7:$C$161,2,FALSE)*VLOOKUP(L$1,'Attrition Modeling'!$L$15:$N$27,IF(L$2-$F7&lt;=24,2,3),FALSE))*(1+Projection!N$16)*(1+IF(L139&gt;0,'Attrition Modeling'!$N$9,0))),0))</f>
        <v>9519.1296426761128</v>
      </c>
      <c r="M7" s="799">
        <f>IF(M$2=$F7+1,Monthly!I$21,IF(M$2&gt;$F7+1,('Traditional Attrition'!L7+M139)*(1-IF(M$2-$F7&lt;=12,SUMIFS('Attrition Modeling'!$D:$D,'Attrition Modeling'!$B:$B,'Traditional Attrition'!$E7,'Attrition Modeling'!$C:$C,'Traditional Attrition'!M$1),VLOOKUP('Traditional Attrition'!M$2-'Traditional Attrition'!$F7-1,'Traditional Attrition'!$A$7:$C$161,2,FALSE)*VLOOKUP(M$1,'Attrition Modeling'!$L$15:$N$27,IF(M$2-$F7&lt;=24,2,3),FALSE))*(1+Projection!O$16)*(1+IF(M139&gt;0,'Attrition Modeling'!$N$9,0))),0))</f>
        <v>8575.47994927742</v>
      </c>
      <c r="N7" s="799">
        <f>IF(N$2=$F7+1,Monthly!J$21,IF(N$2&gt;$F7+1,('Traditional Attrition'!M7+N139)*(1-IF(N$2-$F7&lt;=12,SUMIFS('Attrition Modeling'!$D:$D,'Attrition Modeling'!$B:$B,'Traditional Attrition'!$E7,'Attrition Modeling'!$C:$C,'Traditional Attrition'!N$1),VLOOKUP('Traditional Attrition'!N$2-'Traditional Attrition'!$F7-1,'Traditional Attrition'!$A$7:$C$161,2,FALSE)*VLOOKUP(N$1,'Attrition Modeling'!$L$15:$N$27,IF(N$2-$F7&lt;=24,2,3),FALSE))*(1+Projection!P$16)*(1+IF(N139&gt;0,'Attrition Modeling'!$N$9,0))),0))</f>
        <v>7780.8457057331525</v>
      </c>
      <c r="O7" s="799">
        <f>IF(O$2=$F7+1,Monthly!K$21,IF(O$2&gt;$F7+1,('Traditional Attrition'!N7+O139)*(1-IF(O$2-$F7&lt;=12,SUMIFS('Attrition Modeling'!$D:$D,'Attrition Modeling'!$B:$B,'Traditional Attrition'!$E7,'Attrition Modeling'!$C:$C,'Traditional Attrition'!O$1),VLOOKUP('Traditional Attrition'!O$2-'Traditional Attrition'!$F7-1,'Traditional Attrition'!$A$7:$C$161,2,FALSE)*VLOOKUP(O$1,'Attrition Modeling'!$L$15:$N$27,IF(O$2-$F7&lt;=24,2,3),FALSE))*(1+Projection!Q$16)*(1+IF(O139&gt;0,'Attrition Modeling'!$N$9,0))),0))</f>
        <v>6979.3742472221156</v>
      </c>
      <c r="P7" s="799">
        <f>IF(P$2=$F7+1,Monthly!L$21,IF(P$2&gt;$F7+1,('Traditional Attrition'!O7+P139)*(1-IF(P$2-$F7&lt;=12,SUMIFS('Attrition Modeling'!$D:$D,'Attrition Modeling'!$B:$B,'Traditional Attrition'!$E7,'Attrition Modeling'!$C:$C,'Traditional Attrition'!P$1),VLOOKUP('Traditional Attrition'!P$2-'Traditional Attrition'!$F7-1,'Traditional Attrition'!$A$7:$C$161,2,FALSE)*VLOOKUP(P$1,'Attrition Modeling'!$L$15:$N$27,IF(P$2-$F7&lt;=24,2,3),FALSE))*(1+Projection!R$16)*(1+IF(P139&gt;0,'Attrition Modeling'!$N$9,0))),0))</f>
        <v>6411.7626778182821</v>
      </c>
      <c r="Q7" s="799">
        <f>IF(Q$2=$F7+1,Monthly!M$21,IF(Q$2&gt;$F7+1,('Traditional Attrition'!P7+Q139)*(1-IF(Q$2-$F7&lt;=12,SUMIFS('Attrition Modeling'!$D:$D,'Attrition Modeling'!$B:$B,'Traditional Attrition'!$E7,'Attrition Modeling'!$C:$C,'Traditional Attrition'!Q$1),VLOOKUP('Traditional Attrition'!Q$2-'Traditional Attrition'!$F7-1,'Traditional Attrition'!$A$7:$C$161,2,FALSE)*VLOOKUP(Q$1,'Attrition Modeling'!$L$15:$N$27,IF(Q$2-$F7&lt;=24,2,3),FALSE))*(1+Projection!S$16)*(1+IF(Q139&gt;0,'Attrition Modeling'!$N$9,0))),0))</f>
        <v>6325.3008521405927</v>
      </c>
      <c r="R7" s="799">
        <f>IF(R$2=$F7+1,Monthly!N$21,IF(R$2&gt;$F7+1,('Traditional Attrition'!Q7+R139)*(1-IF(R$2-$F7&lt;=12,SUMIFS('Attrition Modeling'!$D:$D,'Attrition Modeling'!$B:$B,'Traditional Attrition'!$E7,'Attrition Modeling'!$C:$C,'Traditional Attrition'!R$1),VLOOKUP('Traditional Attrition'!R$2-'Traditional Attrition'!$F7-1,'Traditional Attrition'!$A$7:$C$161,2,FALSE)*VLOOKUP(R$1,'Attrition Modeling'!$L$15:$N$27,IF(R$2-$F7&lt;=24,2,3),FALSE))*(1+Projection!T$16)*(1+IF(R139&gt;0,'Attrition Modeling'!$N$9,0))),0))</f>
        <v>5829.6255454405245</v>
      </c>
      <c r="S7" s="799">
        <f>IF(S$2=$F7+1,Monthly!O$21,IF(S$2&gt;$F7+1,('Traditional Attrition'!R7+S139)*(1-IF(S$2-$F7&lt;=12,SUMIFS('Attrition Modeling'!$D:$D,'Attrition Modeling'!$B:$B,'Traditional Attrition'!$E7,'Attrition Modeling'!$C:$C,'Traditional Attrition'!S$1),VLOOKUP('Traditional Attrition'!S$2-'Traditional Attrition'!$F7-1,'Traditional Attrition'!$A$7:$C$161,2,FALSE)*VLOOKUP(S$1,'Attrition Modeling'!$L$15:$N$27,IF(S$2-$F7&lt;=24,2,3),FALSE))*(1+Projection!U$16)*(1+IF(S139&gt;0,'Attrition Modeling'!$N$9,0))),0))</f>
        <v>5439.4108734144002</v>
      </c>
      <c r="T7" s="799">
        <f>IF(T$2=$F7+1,Monthly!P$21,IF(T$2&gt;$F7+1,('Traditional Attrition'!S7+T139)*(1-IF(T$2-$F7&lt;=12,SUMIFS('Attrition Modeling'!$D:$D,'Attrition Modeling'!$B:$B,'Traditional Attrition'!$E7,'Attrition Modeling'!$C:$C,'Traditional Attrition'!T$1),VLOOKUP('Traditional Attrition'!T$2-'Traditional Attrition'!$F7-1,'Traditional Attrition'!$A$7:$C$161,2,FALSE)*VLOOKUP(T$1,'Attrition Modeling'!$L$15:$N$27,IF(T$2-$F7&lt;=24,2,3),FALSE))*(1+Projection!V$16)*(1+IF(T139&gt;0,'Attrition Modeling'!$N$9,0))),0))</f>
        <v>5096.3142124041524</v>
      </c>
      <c r="U7" s="799">
        <f>IF(U$2=$F7+1,Monthly!Q$21,IF(U$2&gt;$F7+1,('Traditional Attrition'!T7+U139)*(1-IF(U$2-$F7&lt;=12,SUMIFS('Attrition Modeling'!$D:$D,'Attrition Modeling'!$B:$B,'Traditional Attrition'!$E7,'Attrition Modeling'!$C:$C,'Traditional Attrition'!U$1),VLOOKUP('Traditional Attrition'!U$2-'Traditional Attrition'!$F7-1,'Traditional Attrition'!$A$7:$C$161,2,FALSE)*VLOOKUP(U$1,'Attrition Modeling'!$L$15:$N$27,IF(U$2-$F7&lt;=24,2,3),FALSE))*(1+Projection!W$16)*(1+IF(U139&gt;0,'Attrition Modeling'!$N$9,0))),0))</f>
        <v>4830.6610367218409</v>
      </c>
      <c r="V7" s="799">
        <f>IF(V$2=$F7+1,Monthly!R$21,IF(V$2&gt;$F7+1,('Traditional Attrition'!U7+V139)*(1-IF(V$2-$F7&lt;=12,SUMIFS('Attrition Modeling'!$D:$D,'Attrition Modeling'!$B:$B,'Traditional Attrition'!$E7,'Attrition Modeling'!$C:$C,'Traditional Attrition'!V$1),VLOOKUP('Traditional Attrition'!V$2-'Traditional Attrition'!$F7-1,'Traditional Attrition'!$A$7:$C$161,2,FALSE)*VLOOKUP(V$1,'Attrition Modeling'!$L$15:$N$27,IF(V$2-$F7&lt;=24,2,3),FALSE))*(1+Projection!X$16)*(1+IF(V139&gt;0,'Attrition Modeling'!$N$9,0))),0))</f>
        <v>4576.7354553687528</v>
      </c>
      <c r="W7" s="799">
        <f>IF(W$2=$F7+1,Monthly!S$21,IF(W$2&gt;$F7+1,('Traditional Attrition'!V7+W139)*(1-IF(W$2-$F7&lt;=12,SUMIFS('Attrition Modeling'!$D:$D,'Attrition Modeling'!$B:$B,'Traditional Attrition'!$E7,'Attrition Modeling'!$C:$C,'Traditional Attrition'!W$1),VLOOKUP('Traditional Attrition'!W$2-'Traditional Attrition'!$F7-1,'Traditional Attrition'!$A$7:$C$161,2,FALSE)*VLOOKUP(W$1,'Attrition Modeling'!$L$15:$N$27,IF(W$2-$F7&lt;=24,2,3),FALSE))*(1+Projection!Y$16)*(1+IF(W139&gt;0,'Attrition Modeling'!$N$9,0))),0))</f>
        <v>4472.8359173836716</v>
      </c>
      <c r="X7" s="799">
        <f>IF(X$2=$F7+1,Monthly!T$21,IF(X$2&gt;$F7+1,('Traditional Attrition'!W7+X139)*(1-IF(X$2-$F7&lt;=12,SUMIFS('Attrition Modeling'!$D:$D,'Attrition Modeling'!$B:$B,'Traditional Attrition'!$E7,'Attrition Modeling'!$C:$C,'Traditional Attrition'!X$1),VLOOKUP('Traditional Attrition'!X$2-'Traditional Attrition'!$F7-1,'Traditional Attrition'!$A$7:$C$161,2,FALSE)*VLOOKUP(X$1,'Attrition Modeling'!$L$15:$N$27,IF(X$2-$F7&lt;=24,2,3),FALSE))*(1+Projection!Z$16)*(1+IF(X139&gt;0,'Attrition Modeling'!$N$9,0))),0))</f>
        <v>4241.9988705822843</v>
      </c>
      <c r="Y7" s="799">
        <f>IF(Y$2=$F7+1,Monthly!U$21,IF(Y$2&gt;$F7+1,('Traditional Attrition'!X7+Y139)*(1-IF(Y$2-$F7&lt;=12,SUMIFS('Attrition Modeling'!$D:$D,'Attrition Modeling'!$B:$B,'Traditional Attrition'!$E7,'Attrition Modeling'!$C:$C,'Traditional Attrition'!Y$1),VLOOKUP('Traditional Attrition'!Y$2-'Traditional Attrition'!$F7-1,'Traditional Attrition'!$A$7:$C$161,2,FALSE)*VLOOKUP(Y$1,'Attrition Modeling'!$L$15:$N$27,IF(Y$2-$F7&lt;=24,2,3),FALSE))*(1+Projection!AA$16)*(1+IF(Y139&gt;0,'Attrition Modeling'!$N$9,0))),0))</f>
        <v>4020.2129757612806</v>
      </c>
      <c r="Z7" s="799">
        <f>IF(Z$2=$F7+1,Monthly!V$21,IF(Z$2&gt;$F7+1,('Traditional Attrition'!Y7+Z139)*(1-IF(Z$2-$F7&lt;=12,SUMIFS('Attrition Modeling'!$D:$D,'Attrition Modeling'!$B:$B,'Traditional Attrition'!$E7,'Attrition Modeling'!$C:$C,'Traditional Attrition'!Z$1),VLOOKUP('Traditional Attrition'!Z$2-'Traditional Attrition'!$F7-1,'Traditional Attrition'!$A$7:$C$161,2,FALSE)*VLOOKUP(Z$1,'Attrition Modeling'!$L$15:$N$27,IF(Z$2-$F7&lt;=24,2,3),FALSE))*(1+Projection!AB$16)*(1+IF(Z139&gt;0,'Attrition Modeling'!$N$9,0))),0))</f>
        <v>3815.5829315099786</v>
      </c>
      <c r="AA7" s="799">
        <f>IF(AA$2=$F7+1,Monthly!W$21,IF(AA$2&gt;$F7+1,('Traditional Attrition'!Z7+AA139)*(1-IF(AA$2-$F7&lt;=12,SUMIFS('Attrition Modeling'!$D:$D,'Attrition Modeling'!$B:$B,'Traditional Attrition'!$E7,'Attrition Modeling'!$C:$C,'Traditional Attrition'!AA$1),VLOOKUP('Traditional Attrition'!AA$2-'Traditional Attrition'!$F7-1,'Traditional Attrition'!$A$7:$C$161,2,FALSE)*VLOOKUP(AA$1,'Attrition Modeling'!$L$15:$N$27,IF(AA$2-$F7&lt;=24,2,3),FALSE))*(1+Projection!AC$16)*(1+IF(AA139&gt;0,'Attrition Modeling'!$N$9,0))),0))</f>
        <v>3620.1873644486964</v>
      </c>
      <c r="AB7" s="799">
        <f>IF(AB$2=$F7+1,Monthly!X$21,IF(AB$2&gt;$F7+1,('Traditional Attrition'!AA7+AB139)*(1-IF(AB$2-$F7&lt;=12,SUMIFS('Attrition Modeling'!$D:$D,'Attrition Modeling'!$B:$B,'Traditional Attrition'!$E7,'Attrition Modeling'!$C:$C,'Traditional Attrition'!AB$1),VLOOKUP('Traditional Attrition'!AB$2-'Traditional Attrition'!$F7-1,'Traditional Attrition'!$A$7:$C$161,2,FALSE)*VLOOKUP(AB$1,'Attrition Modeling'!$L$15:$N$27,IF(AB$2-$F7&lt;=24,2,3),FALSE))*(1+Projection!AD$16)*(1+IF(AB139&gt;0,'Attrition Modeling'!$N$9,0))),0))</f>
        <v>3456.1079695774665</v>
      </c>
      <c r="AC7" s="799">
        <f>IF(AC$2=$F7+1,Monthly!Y$21,IF(AC$2&gt;$F7+1,('Traditional Attrition'!AB7+AC139)*(1-IF(AC$2-$F7&lt;=12,SUMIFS('Attrition Modeling'!$D:$D,'Attrition Modeling'!$B:$B,'Traditional Attrition'!$E7,'Attrition Modeling'!$C:$C,'Traditional Attrition'!AC$1),VLOOKUP('Traditional Attrition'!AC$2-'Traditional Attrition'!$F7-1,'Traditional Attrition'!$A$7:$C$161,2,FALSE)*VLOOKUP(AC$1,'Attrition Modeling'!$L$15:$N$27,IF(AC$2-$F7&lt;=24,2,3),FALSE))*(1+Projection!AE$16)*(1+IF(AC139&gt;0,'Attrition Modeling'!$N$9,0))),0))</f>
        <v>3582.3296471021285</v>
      </c>
      <c r="AD7" s="799">
        <f>IF(AD$2=$F7+1,Monthly!Z$21,IF(AD$2&gt;$F7+1,('Traditional Attrition'!AC7+AD139)*(1-IF(AD$2-$F7&lt;=12,SUMIFS('Attrition Modeling'!$D:$D,'Attrition Modeling'!$B:$B,'Traditional Attrition'!$E7,'Attrition Modeling'!$C:$C,'Traditional Attrition'!AD$1),VLOOKUP('Traditional Attrition'!AD$2-'Traditional Attrition'!$F7-1,'Traditional Attrition'!$A$7:$C$161,2,FALSE)*VLOOKUP(AD$1,'Attrition Modeling'!$L$15:$N$27,IF(AD$2-$F7&lt;=24,2,3),FALSE))*(1+Projection!AF$16)*(1+IF(AD139&gt;0,'Attrition Modeling'!$N$9,0))),0))</f>
        <v>3429.824946847235</v>
      </c>
      <c r="AE7" s="799">
        <f>IF(AE$2=$F7+1,Monthly!AA$21,IF(AE$2&gt;$F7+1,('Traditional Attrition'!AD7+AE139)*(1-IF(AE$2-$F7&lt;=12,SUMIFS('Attrition Modeling'!$D:$D,'Attrition Modeling'!$B:$B,'Traditional Attrition'!$E7,'Attrition Modeling'!$C:$C,'Traditional Attrition'!AE$1),VLOOKUP('Traditional Attrition'!AE$2-'Traditional Attrition'!$F7-1,'Traditional Attrition'!$A$7:$C$161,2,FALSE)*VLOOKUP(AE$1,'Attrition Modeling'!$L$15:$N$27,IF(AE$2-$F7&lt;=24,2,3),FALSE))*(1+Projection!AG$16)*(1+IF(AE139&gt;0,'Attrition Modeling'!$N$9,0))),0))</f>
        <v>3288.0916282187454</v>
      </c>
      <c r="AF7" s="799">
        <f>IF(AF$2=$F7+1,Monthly!AB$21,IF(AF$2&gt;$F7+1,('Traditional Attrition'!AE7+AF139)*(1-IF(AF$2-$F7&lt;=12,SUMIFS('Attrition Modeling'!$D:$D,'Attrition Modeling'!$B:$B,'Traditional Attrition'!$E7,'Attrition Modeling'!$C:$C,'Traditional Attrition'!AF$1),VLOOKUP('Traditional Attrition'!AF$2-'Traditional Attrition'!$F7-1,'Traditional Attrition'!$A$7:$C$161,2,FALSE)*VLOOKUP(AF$1,'Attrition Modeling'!$L$15:$N$27,IF(AF$2-$F7&lt;=24,2,3),FALSE))*(1+Projection!AH$16)*(1+IF(AF139&gt;0,'Attrition Modeling'!$N$9,0))),0))</f>
        <v>3154.4160372319302</v>
      </c>
      <c r="AG7" s="799">
        <f>IF(AG$2=$F7+1,Monthly!AC$21,IF(AG$2&gt;$F7+1,('Traditional Attrition'!AF7+AG139)*(1-IF(AG$2-$F7&lt;=12,SUMIFS('Attrition Modeling'!$D:$D,'Attrition Modeling'!$B:$B,'Traditional Attrition'!$E7,'Attrition Modeling'!$C:$C,'Traditional Attrition'!AG$1),VLOOKUP('Traditional Attrition'!AG$2-'Traditional Attrition'!$F7-1,'Traditional Attrition'!$A$7:$C$161,2,FALSE)*VLOOKUP(AG$1,'Attrition Modeling'!$L$15:$N$27,IF(AG$2-$F7&lt;=24,2,3),FALSE))*(1+Projection!AI$16)*(1+IF(AG139&gt;0,'Attrition Modeling'!$N$9,0))),0))</f>
        <v>3040.5277042253306</v>
      </c>
      <c r="AH7" s="799">
        <f>IF(AH$2=$F7+1,Monthly!AD$21,IF(AH$2&gt;$F7+1,('Traditional Attrition'!AG7+AH139)*(1-IF(AH$2-$F7&lt;=12,SUMIFS('Attrition Modeling'!$D:$D,'Attrition Modeling'!$B:$B,'Traditional Attrition'!$E7,'Attrition Modeling'!$C:$C,'Traditional Attrition'!AH$1),VLOOKUP('Traditional Attrition'!AH$2-'Traditional Attrition'!$F7-1,'Traditional Attrition'!$A$7:$C$161,2,FALSE)*VLOOKUP(AH$1,'Attrition Modeling'!$L$15:$N$27,IF(AH$2-$F7&lt;=24,2,3),FALSE))*(1+Projection!AJ$16)*(1+IF(AH139&gt;0,'Attrition Modeling'!$N$9,0))),0))</f>
        <v>2922.7365750790141</v>
      </c>
      <c r="AI7" s="799">
        <f>IF(AI$2=$F7+1,Monthly!AE$21,IF(AI$2&gt;$F7+1,('Traditional Attrition'!AH7+AI139)*(1-IF(AI$2-$F7&lt;=12,SUMIFS('Attrition Modeling'!$D:$D,'Attrition Modeling'!$B:$B,'Traditional Attrition'!$E7,'Attrition Modeling'!$C:$C,'Traditional Attrition'!AI$1),VLOOKUP('Traditional Attrition'!AI$2-'Traditional Attrition'!$F7-1,'Traditional Attrition'!$A$7:$C$161,2,FALSE)*VLOOKUP(AI$1,'Attrition Modeling'!$L$15:$N$27,IF(AI$2-$F7&lt;=24,2,3),FALSE))*(1+Projection!AK$16)*(1+IF(AI139&gt;0,'Attrition Modeling'!$N$9,0))),0))</f>
        <v>2812.8810115943338</v>
      </c>
      <c r="AJ7" s="799">
        <f>IF(AJ$2=$F7+1,Monthly!AF$21,IF(AJ$2&gt;$F7+1,('Traditional Attrition'!AI7+AJ139)*(1-IF(AJ$2-$F7&lt;=12,SUMIFS('Attrition Modeling'!$D:$D,'Attrition Modeling'!$B:$B,'Traditional Attrition'!$E7,'Attrition Modeling'!$C:$C,'Traditional Attrition'!AJ$1),VLOOKUP('Traditional Attrition'!AJ$2-'Traditional Attrition'!$F7-1,'Traditional Attrition'!$A$7:$C$161,2,FALSE)*VLOOKUP(AJ$1,'Attrition Modeling'!$L$15:$N$27,IF(AJ$2-$F7&lt;=24,2,3),FALSE))*(1+Projection!AL$16)*(1+IF(AJ139&gt;0,'Attrition Modeling'!$N$9,0))),0))</f>
        <v>2721.7891829959462</v>
      </c>
      <c r="AK7" s="799">
        <f>IF(AK$2=$F7+1,Monthly!AG$21,IF(AK$2&gt;$F7+1,('Traditional Attrition'!AJ7+AK139)*(1-IF(AK$2-$F7&lt;=12,SUMIFS('Attrition Modeling'!$D:$D,'Attrition Modeling'!$B:$B,'Traditional Attrition'!$E7,'Attrition Modeling'!$C:$C,'Traditional Attrition'!AK$1),VLOOKUP('Traditional Attrition'!AK$2-'Traditional Attrition'!$F7-1,'Traditional Attrition'!$A$7:$C$161,2,FALSE)*VLOOKUP(AK$1,'Attrition Modeling'!$L$15:$N$27,IF(AK$2-$F7&lt;=24,2,3),FALSE))*(1+Projection!AM$16)*(1+IF(AK139&gt;0,'Attrition Modeling'!$N$9,0))),0))</f>
        <v>2622.5942171325237</v>
      </c>
      <c r="AL7" s="799">
        <f>IF(AL$2=$F7+1,Monthly!AH$21,IF(AL$2&gt;$F7+1,('Traditional Attrition'!AK7+AL139)*(1-IF(AL$2-$F7&lt;=12,SUMIFS('Attrition Modeling'!$D:$D,'Attrition Modeling'!$B:$B,'Traditional Attrition'!$E7,'Attrition Modeling'!$C:$C,'Traditional Attrition'!AL$1),VLOOKUP('Traditional Attrition'!AL$2-'Traditional Attrition'!$F7-1,'Traditional Attrition'!$A$7:$C$161,2,FALSE)*VLOOKUP(AL$1,'Attrition Modeling'!$L$15:$N$27,IF(AL$2-$F7&lt;=24,2,3),FALSE))*(1+Projection!AN$16)*(1+IF(AL139&gt;0,'Attrition Modeling'!$N$9,0))),0))</f>
        <v>2519.8671568126833</v>
      </c>
      <c r="AM7" s="799">
        <f>IF(AM$2=$F7+1,Monthly!AI$21,IF(AM$2&gt;$F7+1,('Traditional Attrition'!AL7+AM139)*(1-IF(AM$2-$F7&lt;=12,SUMIFS('Attrition Modeling'!$D:$D,'Attrition Modeling'!$B:$B,'Traditional Attrition'!$E7,'Attrition Modeling'!$C:$C,'Traditional Attrition'!AM$1),VLOOKUP('Traditional Attrition'!AM$2-'Traditional Attrition'!$F7-1,'Traditional Attrition'!$A$7:$C$161,2,FALSE)*VLOOKUP(AM$1,'Attrition Modeling'!$L$15:$N$27,IF(AM$2-$F7&lt;=24,2,3),FALSE))*(1+Projection!AO$16)*(1+IF(AM139&gt;0,'Attrition Modeling'!$N$9,0))),0))</f>
        <v>2415.2701109260315</v>
      </c>
      <c r="AN7" s="799">
        <f>IF(AN$2=$F7+1,Monthly!AJ$21,IF(AN$2&gt;$F7+1,('Traditional Attrition'!AM7+AN139)*(1-IF(AN$2-$F7&lt;=12,SUMIFS('Attrition Modeling'!$D:$D,'Attrition Modeling'!$B:$B,'Traditional Attrition'!$E7,'Attrition Modeling'!$C:$C,'Traditional Attrition'!AN$1),VLOOKUP('Traditional Attrition'!AN$2-'Traditional Attrition'!$F7-1,'Traditional Attrition'!$A$7:$C$161,2,FALSE)*VLOOKUP(AN$1,'Attrition Modeling'!$L$15:$N$27,IF(AN$2-$F7&lt;=24,2,3),FALSE))*(1+Projection!AP$16)*(1+IF(AN139&gt;0,'Attrition Modeling'!$N$9,0))),0))</f>
        <v>2322.3291988154474</v>
      </c>
      <c r="AO7" s="799">
        <f>IF(AO$2=$F7+1,Monthly!AK$21,IF(AO$2&gt;$F7+1,('Traditional Attrition'!AN7+AO139)*(1-IF(AO$2-$F7&lt;=12,SUMIFS('Attrition Modeling'!$D:$D,'Attrition Modeling'!$B:$B,'Traditional Attrition'!$E7,'Attrition Modeling'!$C:$C,'Traditional Attrition'!AO$1),VLOOKUP('Traditional Attrition'!AO$2-'Traditional Attrition'!$F7-1,'Traditional Attrition'!$A$7:$C$161,2,FALSE)*VLOOKUP(AO$1,'Attrition Modeling'!$L$15:$N$27,IF(AO$2-$F7&lt;=24,2,3),FALSE))*(1+Projection!AQ$16)*(1+IF(AO139&gt;0,'Attrition Modeling'!$N$9,0))),0))</f>
        <v>2423.2576531329596</v>
      </c>
      <c r="AP7" s="799">
        <f>IF(AP$2=$F7+1,Monthly!AL$21,IF(AP$2&gt;$F7+1,('Traditional Attrition'!AO7+AP139)*(1-IF(AP$2-$F7&lt;=12,SUMIFS('Attrition Modeling'!$D:$D,'Attrition Modeling'!$B:$B,'Traditional Attrition'!$E7,'Attrition Modeling'!$C:$C,'Traditional Attrition'!AP$1),VLOOKUP('Traditional Attrition'!AP$2-'Traditional Attrition'!$F7-1,'Traditional Attrition'!$A$7:$C$161,2,FALSE)*VLOOKUP(AP$1,'Attrition Modeling'!$L$15:$N$27,IF(AP$2-$F7&lt;=24,2,3),FALSE))*(1+Projection!AR$16)*(1+IF(AP139&gt;0,'Attrition Modeling'!$N$9,0))),0))</f>
        <v>2337.422345672624</v>
      </c>
      <c r="AQ7" s="799">
        <f>IF(AQ$2=$F7+1,Monthly!AM$21,IF(AQ$2&gt;$F7+1,('Traditional Attrition'!AP7+AQ139)*(1-IF(AQ$2-$F7&lt;=12,SUMIFS('Attrition Modeling'!$D:$D,'Attrition Modeling'!$B:$B,'Traditional Attrition'!$E7,'Attrition Modeling'!$C:$C,'Traditional Attrition'!AQ$1),VLOOKUP('Traditional Attrition'!AQ$2-'Traditional Attrition'!$F7-1,'Traditional Attrition'!$A$7:$C$161,2,FALSE)*VLOOKUP(AQ$1,'Attrition Modeling'!$L$15:$N$27,IF(AQ$2-$F7&lt;=24,2,3),FALSE))*(1+Projection!AS$16)*(1+IF(AQ139&gt;0,'Attrition Modeling'!$N$9,0))),0))</f>
        <v>2270.0105403721864</v>
      </c>
      <c r="AR7" s="799">
        <f>IF(AR$2=$F7+1,Monthly!AN$21,IF(AR$2&gt;$F7+1,('Traditional Attrition'!AQ7+AR139)*(1-IF(AR$2-$F7&lt;=12,SUMIFS('Attrition Modeling'!$D:$D,'Attrition Modeling'!$B:$B,'Traditional Attrition'!$E7,'Attrition Modeling'!$C:$C,'Traditional Attrition'!AR$1),VLOOKUP('Traditional Attrition'!AR$2-'Traditional Attrition'!$F7-1,'Traditional Attrition'!$A$7:$C$161,2,FALSE)*VLOOKUP(AR$1,'Attrition Modeling'!$L$15:$N$27,IF(AR$2-$F7&lt;=24,2,3),FALSE))*(1+Projection!AT$16)*(1+IF(AR139&gt;0,'Attrition Modeling'!$N$9,0))),0))</f>
        <v>2198.3803122178792</v>
      </c>
      <c r="AS7" s="799">
        <f>IF(AS$2=$F7+1,Monthly!AO$21,IF(AS$2&gt;$F7+1,('Traditional Attrition'!AR7+AS139)*(1-IF(AS$2-$F7&lt;=12,SUMIFS('Attrition Modeling'!$D:$D,'Attrition Modeling'!$B:$B,'Traditional Attrition'!$E7,'Attrition Modeling'!$C:$C,'Traditional Attrition'!AS$1),VLOOKUP('Traditional Attrition'!AS$2-'Traditional Attrition'!$F7-1,'Traditional Attrition'!$A$7:$C$161,2,FALSE)*VLOOKUP(AS$1,'Attrition Modeling'!$L$15:$N$27,IF(AS$2-$F7&lt;=24,2,3),FALSE))*(1+Projection!AU$16)*(1+IF(AS139&gt;0,'Attrition Modeling'!$N$9,0))),0))</f>
        <v>2131.9578493874264</v>
      </c>
      <c r="AT7" s="799">
        <f>IF(AT$2=$F7+1,Monthly!AP$21,IF(AT$2&gt;$F7+1,('Traditional Attrition'!AS7+AT139)*(1-IF(AT$2-$F7&lt;=12,SUMIFS('Attrition Modeling'!$D:$D,'Attrition Modeling'!$B:$B,'Traditional Attrition'!$E7,'Attrition Modeling'!$C:$C,'Traditional Attrition'!AT$1),VLOOKUP('Traditional Attrition'!AT$2-'Traditional Attrition'!$F7-1,'Traditional Attrition'!$A$7:$C$161,2,FALSE)*VLOOKUP(AT$1,'Attrition Modeling'!$L$15:$N$27,IF(AT$2-$F7&lt;=24,2,3),FALSE))*(1+Projection!AV$16)*(1+IF(AT139&gt;0,'Attrition Modeling'!$N$9,0))),0))</f>
        <v>2070.9442092045206</v>
      </c>
      <c r="AU7" s="799">
        <f>IF(AU$2=$F7+1,Monthly!AQ$21,IF(AU$2&gt;$F7+1,('Traditional Attrition'!AT7+AU139)*(1-IF(AU$2-$F7&lt;=12,SUMIFS('Attrition Modeling'!$D:$D,'Attrition Modeling'!$B:$B,'Traditional Attrition'!$E7,'Attrition Modeling'!$C:$C,'Traditional Attrition'!AU$1),VLOOKUP('Traditional Attrition'!AU$2-'Traditional Attrition'!$F7-1,'Traditional Attrition'!$A$7:$C$161,2,FALSE)*VLOOKUP(AU$1,'Attrition Modeling'!$L$15:$N$27,IF(AU$2-$F7&lt;=24,2,3),FALSE))*(1+Projection!AW$16)*(1+IF(AU139&gt;0,'Attrition Modeling'!$N$9,0))),0))</f>
        <v>2024.3310161252989</v>
      </c>
      <c r="AV7" s="799">
        <f>IF(AV$2=$F7+1,Monthly!AR$21,IF(AV$2&gt;$F7+1,('Traditional Attrition'!AU7+AV139)*(1-IF(AV$2-$F7&lt;=12,SUMIFS('Attrition Modeling'!$D:$D,'Attrition Modeling'!$B:$B,'Traditional Attrition'!$E7,'Attrition Modeling'!$C:$C,'Traditional Attrition'!AV$1),VLOOKUP('Traditional Attrition'!AV$2-'Traditional Attrition'!$F7-1,'Traditional Attrition'!$A$7:$C$161,2,FALSE)*VLOOKUP(AV$1,'Attrition Modeling'!$L$15:$N$27,IF(AV$2-$F7&lt;=24,2,3),FALSE))*(1+Projection!AX$16)*(1+IF(AV139&gt;0,'Attrition Modeling'!$N$9,0))),0))</f>
        <v>1969.9191906695241</v>
      </c>
      <c r="AW7" s="799">
        <f>IF(AW$2=$F7+1,Monthly!AS$21,IF(AW$2&gt;$F7+1,('Traditional Attrition'!AV7+AW139)*(1-IF(AW$2-$F7&lt;=12,SUMIFS('Attrition Modeling'!$D:$D,'Attrition Modeling'!$B:$B,'Traditional Attrition'!$E7,'Attrition Modeling'!$C:$C,'Traditional Attrition'!AW$1),VLOOKUP('Traditional Attrition'!AW$2-'Traditional Attrition'!$F7-1,'Traditional Attrition'!$A$7:$C$161,2,FALSE)*VLOOKUP(AW$1,'Attrition Modeling'!$L$15:$N$27,IF(AW$2-$F7&lt;=24,2,3),FALSE))*(1+Projection!AY$16)*(1+IF(AW139&gt;0,'Attrition Modeling'!$N$9,0))),0))</f>
        <v>1910.1314787534707</v>
      </c>
      <c r="AX7" s="799">
        <f>IF(AX$2=$F7+1,Monthly!AT$21,IF(AX$2&gt;$F7+1,('Traditional Attrition'!AW7+AX139)*(1-IF(AX$2-$F7&lt;=12,SUMIFS('Attrition Modeling'!$D:$D,'Attrition Modeling'!$B:$B,'Traditional Attrition'!$E7,'Attrition Modeling'!$C:$C,'Traditional Attrition'!AX$1),VLOOKUP('Traditional Attrition'!AX$2-'Traditional Attrition'!$F7-1,'Traditional Attrition'!$A$7:$C$161,2,FALSE)*VLOOKUP(AX$1,'Attrition Modeling'!$L$15:$N$27,IF(AX$2-$F7&lt;=24,2,3),FALSE))*(1+Projection!AZ$16)*(1+IF(AX139&gt;0,'Attrition Modeling'!$N$9,0))),0))</f>
        <v>1847.6287091375314</v>
      </c>
      <c r="AY7" s="799">
        <f>IF(AY$2=$F7+1,Monthly!AU$21,IF(AY$2&gt;$F7+1,('Traditional Attrition'!AX7+AY139)*(1-IF(AY$2-$F7&lt;=12,SUMIFS('Attrition Modeling'!$D:$D,'Attrition Modeling'!$B:$B,'Traditional Attrition'!$E7,'Attrition Modeling'!$C:$C,'Traditional Attrition'!AY$1),VLOOKUP('Traditional Attrition'!AY$2-'Traditional Attrition'!$F7-1,'Traditional Attrition'!$A$7:$C$161,2,FALSE)*VLOOKUP(AY$1,'Attrition Modeling'!$L$15:$N$27,IF(AY$2-$F7&lt;=24,2,3),FALSE))*(1+Projection!BA$16)*(1+IF(AY139&gt;0,'Attrition Modeling'!$N$9,0))),0))</f>
        <v>1783.373286880927</v>
      </c>
      <c r="AZ7" s="799">
        <f>IF(AZ$2=$F7+1,Monthly!AV$21,IF(AZ$2&gt;$F7+1,('Traditional Attrition'!AY7+AZ139)*(1-IF(AZ$2-$F7&lt;=12,SUMIFS('Attrition Modeling'!$D:$D,'Attrition Modeling'!$B:$B,'Traditional Attrition'!$E7,'Attrition Modeling'!$C:$C,'Traditional Attrition'!AZ$1),VLOOKUP('Traditional Attrition'!AZ$2-'Traditional Attrition'!$F7-1,'Traditional Attrition'!$A$7:$C$161,2,FALSE)*VLOOKUP(AZ$1,'Attrition Modeling'!$L$15:$N$27,IF(AZ$2-$F7&lt;=24,2,3),FALSE))*(1+Projection!BB$16)*(1+IF(AZ139&gt;0,'Attrition Modeling'!$N$9,0))),0))</f>
        <v>1725.7189330097001</v>
      </c>
      <c r="BA7" s="799">
        <f>IF(BA$2=$F7+1,Monthly!AW$21,IF(BA$2&gt;$F7+1,('Traditional Attrition'!AZ7+BA139)*(1-IF(BA$2-$F7&lt;=12,SUMIFS('Attrition Modeling'!$D:$D,'Attrition Modeling'!$B:$B,'Traditional Attrition'!$E7,'Attrition Modeling'!$C:$C,'Traditional Attrition'!BA$1),VLOOKUP('Traditional Attrition'!BA$2-'Traditional Attrition'!$F7-1,'Traditional Attrition'!$A$7:$C$161,2,FALSE)*VLOOKUP(BA$1,'Attrition Modeling'!$L$15:$N$27,IF(BA$2-$F7&lt;=24,2,3),FALSE))*(1+Projection!BC$16)*(1+IF(BA139&gt;0,'Attrition Modeling'!$N$9,0))),0))</f>
        <v>1702.4303766113082</v>
      </c>
      <c r="BB7" s="799">
        <f>IF(BB$2=$F7+1,Monthly!AX$21,IF(BB$2&gt;$F7+1,('Traditional Attrition'!BA7+BB139)*(1-IF(BB$2-$F7&lt;=12,SUMIFS('Attrition Modeling'!$D:$D,'Attrition Modeling'!$B:$B,'Traditional Attrition'!$E7,'Attrition Modeling'!$C:$C,'Traditional Attrition'!BB$1),VLOOKUP('Traditional Attrition'!BB$2-'Traditional Attrition'!$F7-1,'Traditional Attrition'!$A$7:$C$161,2,FALSE)*VLOOKUP(BB$1,'Attrition Modeling'!$L$15:$N$27,IF(BB$2-$F7&lt;=24,2,3),FALSE))*(1+Projection!BD$16)*(1+IF(BB139&gt;0,'Attrition Modeling'!$N$9,0))),0))</f>
        <v>1651.5122944819143</v>
      </c>
      <c r="BC7" s="799">
        <f>IF(BC$2=$F7+1,Monthly!AY$21,IF(BC$2&gt;$F7+1,('Traditional Attrition'!BB7+BC139)*(1-IF(BC$2-$F7&lt;=12,SUMIFS('Attrition Modeling'!$D:$D,'Attrition Modeling'!$B:$B,'Traditional Attrition'!$E7,'Attrition Modeling'!$C:$C,'Traditional Attrition'!BC$1),VLOOKUP('Traditional Attrition'!BC$2-'Traditional Attrition'!$F7-1,'Traditional Attrition'!$A$7:$C$161,2,FALSE)*VLOOKUP(BC$1,'Attrition Modeling'!$L$15:$N$27,IF(BC$2-$F7&lt;=24,2,3),FALSE))*(1+Projection!BE$16)*(1+IF(BC139&gt;0,'Attrition Modeling'!$N$9,0))),0))</f>
        <v>1611.2016516787853</v>
      </c>
      <c r="BD7" s="799">
        <f>IF(BD$2=$F7+1,Monthly!AZ$21,IF(BD$2&gt;$F7+1,('Traditional Attrition'!BC7+BD139)*(1-IF(BD$2-$F7&lt;=12,SUMIFS('Attrition Modeling'!$D:$D,'Attrition Modeling'!$B:$B,'Traditional Attrition'!$E7,'Attrition Modeling'!$C:$C,'Traditional Attrition'!BD$1),VLOOKUP('Traditional Attrition'!BD$2-'Traditional Attrition'!$F7-1,'Traditional Attrition'!$A$7:$C$161,2,FALSE)*VLOOKUP(BD$1,'Attrition Modeling'!$L$15:$N$27,IF(BD$2-$F7&lt;=24,2,3),FALSE))*(1+Projection!BF$16)*(1+IF(BD139&gt;0,'Attrition Modeling'!$N$9,0))),0))</f>
        <v>1568.0789700998214</v>
      </c>
      <c r="BE7" s="799">
        <f>IF(BE$2=$F7+1,Monthly!BA$21,IF(BE$2&gt;$F7+1,('Traditional Attrition'!BD7+BE139)*(1-IF(BE$2-$F7&lt;=12,SUMIFS('Attrition Modeling'!$D:$D,'Attrition Modeling'!$B:$B,'Traditional Attrition'!$E7,'Attrition Modeling'!$C:$C,'Traditional Attrition'!BE$1),VLOOKUP('Traditional Attrition'!BE$2-'Traditional Attrition'!$F7-1,'Traditional Attrition'!$A$7:$C$161,2,FALSE)*VLOOKUP(BE$1,'Attrition Modeling'!$L$15:$N$27,IF(BE$2-$F7&lt;=24,2,3),FALSE))*(1+Projection!BG$16)*(1+IF(BE139&gt;0,'Attrition Modeling'!$N$9,0))),0))</f>
        <v>1527.8105011163473</v>
      </c>
      <c r="BF7" s="799">
        <f>IF(BF$2=$F7+1,Monthly!BB$21,IF(BF$2&gt;$F7+1,('Traditional Attrition'!BE7+BF139)*(1-IF(BF$2-$F7&lt;=12,SUMIFS('Attrition Modeling'!$D:$D,'Attrition Modeling'!$B:$B,'Traditional Attrition'!$E7,'Attrition Modeling'!$C:$C,'Traditional Attrition'!BF$1),VLOOKUP('Traditional Attrition'!BF$2-'Traditional Attrition'!$F7-1,'Traditional Attrition'!$A$7:$C$161,2,FALSE)*VLOOKUP(BF$1,'Attrition Modeling'!$L$15:$N$27,IF(BF$2-$F7&lt;=24,2,3),FALSE))*(1+Projection!BH$16)*(1+IF(BF139&gt;0,'Attrition Modeling'!$N$9,0))),0))</f>
        <v>1490.5753214743124</v>
      </c>
      <c r="BG7" s="799">
        <f>IF(BG$2=$F7+1,Monthly!BC$21,IF(BG$2&gt;$F7+1,('Traditional Attrition'!BF7+BG139)*(1-IF(BG$2-$F7&lt;=12,SUMIFS('Attrition Modeling'!$D:$D,'Attrition Modeling'!$B:$B,'Traditional Attrition'!$E7,'Attrition Modeling'!$C:$C,'Traditional Attrition'!BG$1),VLOOKUP('Traditional Attrition'!BG$2-'Traditional Attrition'!$F7-1,'Traditional Attrition'!$A$7:$C$161,2,FALSE)*VLOOKUP(BG$1,'Attrition Modeling'!$L$15:$N$27,IF(BG$2-$F7&lt;=24,2,3),FALSE))*(1+Projection!BI$16)*(1+IF(BG139&gt;0,'Attrition Modeling'!$N$9,0))),0))</f>
        <v>1461.9508935136619</v>
      </c>
      <c r="BH7" s="799">
        <f>IF(BH$2=$F7+1,Monthly!BD$21,IF(BH$2&gt;$F7+1,('Traditional Attrition'!BG7+BH139)*(1-IF(BH$2-$F7&lt;=12,SUMIFS('Attrition Modeling'!$D:$D,'Attrition Modeling'!$B:$B,'Traditional Attrition'!$E7,'Attrition Modeling'!$C:$C,'Traditional Attrition'!BH$1),VLOOKUP('Traditional Attrition'!BH$2-'Traditional Attrition'!$F7-1,'Traditional Attrition'!$A$7:$C$161,2,FALSE)*VLOOKUP(BH$1,'Attrition Modeling'!$L$15:$N$27,IF(BH$2-$F7&lt;=24,2,3),FALSE))*(1+Projection!BJ$16)*(1+IF(BH139&gt;0,'Attrition Modeling'!$N$9,0))),0))</f>
        <v>1428.5909742232932</v>
      </c>
      <c r="BI7" s="799">
        <f>IF(BI$2=$F7+1,Monthly!BE$21,IF(BI$2&gt;$F7+1,('Traditional Attrition'!BH7+BI139)*(1-IF(BI$2-$F7&lt;=12,SUMIFS('Attrition Modeling'!$D:$D,'Attrition Modeling'!$B:$B,'Traditional Attrition'!$E7,'Attrition Modeling'!$C:$C,'Traditional Attrition'!BI$1),VLOOKUP('Traditional Attrition'!BI$2-'Traditional Attrition'!$F7-1,'Traditional Attrition'!$A$7:$C$161,2,FALSE)*VLOOKUP(BI$1,'Attrition Modeling'!$L$15:$N$27,IF(BI$2-$F7&lt;=24,2,3),FALSE))*(1+Projection!BK$16)*(1+IF(BI139&gt;0,'Attrition Modeling'!$N$9,0))),0))</f>
        <v>1391.7264030505801</v>
      </c>
      <c r="BJ7" s="799">
        <f>IF(BJ$2=$F7+1,Monthly!BF$21,IF(BJ$2&gt;$F7+1,('Traditional Attrition'!BI7+BJ139)*(1-IF(BJ$2-$F7&lt;=12,SUMIFS('Attrition Modeling'!$D:$D,'Attrition Modeling'!$B:$B,'Traditional Attrition'!$E7,'Attrition Modeling'!$C:$C,'Traditional Attrition'!BJ$1),VLOOKUP('Traditional Attrition'!BJ$2-'Traditional Attrition'!$F7-1,'Traditional Attrition'!$A$7:$C$161,2,FALSE)*VLOOKUP(BJ$1,'Attrition Modeling'!$L$15:$N$27,IF(BJ$2-$F7&lt;=24,2,3),FALSE))*(1+Projection!BL$16)*(1+IF(BJ139&gt;0,'Attrition Modeling'!$N$9,0))),0))</f>
        <v>1352.9516668426982</v>
      </c>
      <c r="BK7" s="799">
        <f>IF(BK$2=$F7+1,Monthly!BG$21,IF(BK$2&gt;$F7+1,('Traditional Attrition'!BJ7+BK139)*(1-IF(BK$2-$F7&lt;=12,SUMIFS('Attrition Modeling'!$D:$D,'Attrition Modeling'!$B:$B,'Traditional Attrition'!$E7,'Attrition Modeling'!$C:$C,'Traditional Attrition'!BK$1),VLOOKUP('Traditional Attrition'!BK$2-'Traditional Attrition'!$F7-1,'Traditional Attrition'!$A$7:$C$161,2,FALSE)*VLOOKUP(BK$1,'Attrition Modeling'!$L$15:$N$27,IF(BK$2-$F7&lt;=24,2,3),FALSE))*(1+Projection!BM$16)*(1+IF(BK139&gt;0,'Attrition Modeling'!$N$9,0))),0))</f>
        <v>1312.8351093169981</v>
      </c>
      <c r="BL7" s="799">
        <f>IF(BL$2=$F7+1,Monthly!BH$21,IF(BL$2&gt;$F7+1,('Traditional Attrition'!BK7+BL139)*(1-IF(BL$2-$F7&lt;=12,SUMIFS('Attrition Modeling'!$D:$D,'Attrition Modeling'!$B:$B,'Traditional Attrition'!$E7,'Attrition Modeling'!$C:$C,'Traditional Attrition'!BL$1),VLOOKUP('Traditional Attrition'!BL$2-'Traditional Attrition'!$F7-1,'Traditional Attrition'!$A$7:$C$161,2,FALSE)*VLOOKUP(BL$1,'Attrition Modeling'!$L$15:$N$27,IF(BL$2-$F7&lt;=24,2,3),FALSE))*(1+Projection!BN$16)*(1+IF(BL139&gt;0,'Attrition Modeling'!$N$9,0))),0))</f>
        <v>1276.6023231880431</v>
      </c>
      <c r="BM7" s="799">
        <f>IF(BM$2=$F7+1,Monthly!BI$21,IF(BM$2&gt;$F7+1,('Traditional Attrition'!BL7+BM139)*(1-IF(BM$2-$F7&lt;=12,SUMIFS('Attrition Modeling'!$D:$D,'Attrition Modeling'!$B:$B,'Traditional Attrition'!$E7,'Attrition Modeling'!$C:$C,'Traditional Attrition'!BM$1),VLOOKUP('Traditional Attrition'!BM$2-'Traditional Attrition'!$F7-1,'Traditional Attrition'!$A$7:$C$161,2,FALSE)*VLOOKUP(BM$1,'Attrition Modeling'!$L$15:$N$27,IF(BM$2-$F7&lt;=24,2,3),FALSE))*(1+Projection!BO$16)*(1+IF(BM139&gt;0,'Attrition Modeling'!$N$9,0))),0))</f>
        <v>1281.1117632142584</v>
      </c>
      <c r="BN7" s="799">
        <f>IF(BN$2=$F7+1,Monthly!BJ$21,IF(BN$2&gt;$F7+1,('Traditional Attrition'!BM7+BN139)*(1-IF(BN$2-$F7&lt;=12,SUMIFS('Attrition Modeling'!$D:$D,'Attrition Modeling'!$B:$B,'Traditional Attrition'!$E7,'Attrition Modeling'!$C:$C,'Traditional Attrition'!BN$1),VLOOKUP('Traditional Attrition'!BN$2-'Traditional Attrition'!$F7-1,'Traditional Attrition'!$A$7:$C$161,2,FALSE)*VLOOKUP(BN$1,'Attrition Modeling'!$L$15:$N$27,IF(BN$2-$F7&lt;=24,2,3),FALSE))*(1+Projection!BP$16)*(1+IF(BN139&gt;0,'Attrition Modeling'!$N$9,0))),0))</f>
        <v>1248.3238614940901</v>
      </c>
      <c r="BO7" s="799">
        <f>IF(BO$2=$F7+1,Monthly!BK$21,IF(BO$2&gt;$F7+1,('Traditional Attrition'!BN7+BO139)*(1-IF(BO$2-$F7&lt;=12,SUMIFS('Attrition Modeling'!$D:$D,'Attrition Modeling'!$B:$B,'Traditional Attrition'!$E7,'Attrition Modeling'!$C:$C,'Traditional Attrition'!BO$1),VLOOKUP('Traditional Attrition'!BO$2-'Traditional Attrition'!$F7-1,'Traditional Attrition'!$A$7:$C$161,2,FALSE)*VLOOKUP(BO$1,'Attrition Modeling'!$L$15:$N$27,IF(BO$2-$F7&lt;=24,2,3),FALSE))*(1+Projection!BV$16)*(1+IF(BO139&gt;0,'Attrition Modeling'!$N$9,0))),0))</f>
        <v>1222.2227400466102</v>
      </c>
      <c r="BP7" s="799">
        <f>IF(BP$2=$F7+1,Monthly!BL$21,IF(BP$2&gt;$F7+1,('Traditional Attrition'!BO7+BP139)*(1-IF(BP$2-$F7&lt;=12,SUMIFS('Attrition Modeling'!$D:$D,'Attrition Modeling'!$B:$B,'Traditional Attrition'!$E7,'Attrition Modeling'!$C:$C,'Traditional Attrition'!BP$1),VLOOKUP('Traditional Attrition'!BP$2-'Traditional Attrition'!$F7-1,'Traditional Attrition'!$A$7:$C$161,2,FALSE)*VLOOKUP(BP$1,'Attrition Modeling'!$L$15:$N$27,IF(BP$2-$F7&lt;=24,2,3),FALSE))*(1+Projection!BW$16)*(1+IF(BP139&gt;0,'Attrition Modeling'!$N$9,0))),0))</f>
        <v>1194.1719680967112</v>
      </c>
      <c r="BQ7" s="799">
        <f>IF(BQ$2=$F7+1,Monthly!BM$21,IF(BQ$2&gt;$F7+1,('Traditional Attrition'!BP7+BQ139)*(1-IF(BQ$2-$F7&lt;=12,SUMIFS('Attrition Modeling'!$D:$D,'Attrition Modeling'!$B:$B,'Traditional Attrition'!$E7,'Attrition Modeling'!$C:$C,'Traditional Attrition'!BQ$1),VLOOKUP('Traditional Attrition'!BQ$2-'Traditional Attrition'!$F7-1,'Traditional Attrition'!$A$7:$C$161,2,FALSE)*VLOOKUP(BQ$1,'Attrition Modeling'!$L$15:$N$27,IF(BQ$2-$F7&lt;=24,2,3),FALSE))*(1+Projection!BX$16)*(1+IF(BQ139&gt;0,'Attrition Modeling'!$N$9,0))),0))</f>
        <v>1167.8497103260597</v>
      </c>
      <c r="BR7" s="799">
        <f>IF(BR$2=$F7+1,Monthly!BN$21,IF(BR$2&gt;$F7+1,('Traditional Attrition'!BQ7+BR139)*(1-IF(BR$2-$F7&lt;=12,SUMIFS('Attrition Modeling'!$D:$D,'Attrition Modeling'!$B:$B,'Traditional Attrition'!$E7,'Attrition Modeling'!$C:$C,'Traditional Attrition'!BR$1),VLOOKUP('Traditional Attrition'!BR$2-'Traditional Attrition'!$F7-1,'Traditional Attrition'!$A$7:$C$161,2,FALSE)*VLOOKUP(BR$1,'Attrition Modeling'!$L$15:$N$27,IF(BR$2-$F7&lt;=24,2,3),FALSE))*(1+Projection!BY$16)*(1+IF(BR139&gt;0,'Attrition Modeling'!$N$9,0))),0))</f>
        <v>1143.3969689194232</v>
      </c>
      <c r="BS7" s="799">
        <f>IF(BS$2=$F7+1,Monthly!BO$21,IF(BS$2&gt;$F7+1,('Traditional Attrition'!BR7+BS139)*(1-IF(BS$2-$F7&lt;=12,SUMIFS('Attrition Modeling'!$D:$D,'Attrition Modeling'!$B:$B,'Traditional Attrition'!$E7,'Attrition Modeling'!$C:$C,'Traditional Attrition'!BS$1),VLOOKUP('Traditional Attrition'!BS$2-'Traditional Attrition'!$F7-1,'Traditional Attrition'!$A$7:$C$161,2,FALSE)*VLOOKUP(BS$1,'Attrition Modeling'!$L$15:$N$27,IF(BS$2-$F7&lt;=24,2,3),FALSE))*(1+Projection!BZ$16)*(1+IF(BS139&gt;0,'Attrition Modeling'!$N$9,0))),0))</f>
        <v>1124.5165202170515</v>
      </c>
      <c r="BT7" s="799">
        <f>IF(BT$2=$F7+1,Monthly!#REF!,IF(BT$2&gt;$F7+1,('Traditional Attrition'!BS7+BT139)*(1-IF(BT$2-$F7&lt;=12,SUMIFS('Attrition Modeling'!$D:$D,'Attrition Modeling'!$B:$B,'Traditional Attrition'!$E7,'Attrition Modeling'!$C:$C,'Traditional Attrition'!BT$1),VLOOKUP('Traditional Attrition'!BT$2-'Traditional Attrition'!$F7-1,'Traditional Attrition'!$A$7:$C$161,2,FALSE)*VLOOKUP(BT$1,'Attrition Modeling'!$L$15:$N$27,IF(BT$2-$F7&lt;=24,2,3),FALSE))*(1+Projection!CA$16)*(1+IF(BT139&gt;0,'Attrition Modeling'!$N$9,0))),0))</f>
        <v>1102.2847871773574</v>
      </c>
      <c r="BU7" s="799">
        <f>IF(BU$2=$F7+1,Monthly!#REF!,IF(BU$2&gt;$F7+1,('Traditional Attrition'!BT7+BU139)*(1-IF(BU$2-$F7&lt;=12,SUMIFS('Attrition Modeling'!$D:$D,'Attrition Modeling'!$B:$B,'Traditional Attrition'!$E7,'Attrition Modeling'!$C:$C,'Traditional Attrition'!BU$1),VLOOKUP('Traditional Attrition'!BU$2-'Traditional Attrition'!$F7-1,'Traditional Attrition'!$A$7:$C$161,2,FALSE)*VLOOKUP(BU$1,'Attrition Modeling'!$L$15:$N$27,IF(BU$2-$F7&lt;=24,2,3),FALSE))*(1+Projection!CB$16)*(1+IF(BU139&gt;0,'Attrition Modeling'!$N$9,0))),0))</f>
        <v>1077.617811747167</v>
      </c>
    </row>
    <row r="8" spans="1:73" ht="14.25" customHeight="1" x14ac:dyDescent="0.2">
      <c r="A8" s="800">
        <v>1</v>
      </c>
      <c r="B8" s="779" t="e">
        <f>'Attrition Modeling'!H5*(1-Summary!$C$20)+B7</f>
        <v>#DIV/0!</v>
      </c>
      <c r="C8" s="780" t="e">
        <f t="shared" ref="C8:C161" si="4">C7*(1-B8)</f>
        <v>#DIV/0!</v>
      </c>
      <c r="E8" s="11">
        <f t="shared" si="2"/>
        <v>5</v>
      </c>
      <c r="F8" s="11">
        <f t="shared" si="3"/>
        <v>5</v>
      </c>
      <c r="G8" s="799"/>
      <c r="H8" s="799">
        <f>IF(H$2=$F8+1,Monthly!D$21,IF(H$2&gt;$F8+1,('Traditional Attrition'!G8+H140)*(1-IF(H$2-$F8&lt;=12,SUMIFS('Attrition Modeling'!$D:$D,'Attrition Modeling'!$B:$B,'Traditional Attrition'!$E8,'Attrition Modeling'!$C:$C,'Traditional Attrition'!H$1),VLOOKUP('Traditional Attrition'!H$2-'Traditional Attrition'!$F8-1,'Traditional Attrition'!$A$7:$C$161,2,FALSE)*VLOOKUP(H$1,'Attrition Modeling'!$L$15:$N$27,IF(H$2-$F8&lt;=24,2,3),FALSE))*(1+Projection!J$16)*(1+IF(H140&gt;0,'Attrition Modeling'!$N$9,0))),0))</f>
        <v>0</v>
      </c>
      <c r="I8" s="799">
        <f>IF(I$2=$F8+1,Monthly!E$21,IF(I$2&gt;$F8+1,('Traditional Attrition'!H8+I140)*(1-IF(I$2-$F8&lt;=12,SUMIFS('Attrition Modeling'!$D:$D,'Attrition Modeling'!$B:$B,'Traditional Attrition'!$E8,'Attrition Modeling'!$C:$C,'Traditional Attrition'!I$1),VLOOKUP('Traditional Attrition'!I$2-'Traditional Attrition'!$F8-1,'Traditional Attrition'!$A$7:$C$161,2,FALSE)*VLOOKUP(I$1,'Attrition Modeling'!$L$15:$N$27,IF(I$2-$F8&lt;=24,2,3),FALSE))*(1+Projection!K$16)*(1+IF(I140&gt;0,'Attrition Modeling'!$N$9,0))),0))</f>
        <v>0</v>
      </c>
      <c r="J8" s="799">
        <f>IF(J$2=$F8+1,Monthly!F$21,IF(J$2&gt;$F8+1,('Traditional Attrition'!I8+J140)*(1-IF(J$2-$F8&lt;=12,SUMIFS('Attrition Modeling'!$D:$D,'Attrition Modeling'!$B:$B,'Traditional Attrition'!$E8,'Attrition Modeling'!$C:$C,'Traditional Attrition'!J$1),VLOOKUP('Traditional Attrition'!J$2-'Traditional Attrition'!$F8-1,'Traditional Attrition'!$A$7:$C$161,2,FALSE)*VLOOKUP(J$1,'Attrition Modeling'!$L$15:$N$27,IF(J$2-$F8&lt;=24,2,3),FALSE))*(1+Projection!L$16)*(1+IF(J140&gt;0,'Attrition Modeling'!$N$9,0))),0))</f>
        <v>0</v>
      </c>
      <c r="K8" s="799">
        <f>IF(K$2=$F8+1,Monthly!G$21,IF(K$2&gt;$F8+1,('Traditional Attrition'!J8+K140)*(1-IF(K$2-$F8&lt;=12,SUMIFS('Attrition Modeling'!$D:$D,'Attrition Modeling'!$B:$B,'Traditional Attrition'!$E8,'Attrition Modeling'!$C:$C,'Traditional Attrition'!K$1),VLOOKUP('Traditional Attrition'!K$2-'Traditional Attrition'!$F8-1,'Traditional Attrition'!$A$7:$C$161,2,FALSE)*VLOOKUP(K$1,'Attrition Modeling'!$L$15:$N$27,IF(K$2-$F8&lt;=24,2,3),FALSE))*(1+Projection!M$16)*(1+IF(K140&gt;0,'Attrition Modeling'!$N$9,0))),0))</f>
        <v>0</v>
      </c>
      <c r="L8" s="799">
        <f>IF(L$2=$F8+1,Monthly!H$21,IF(L$2&gt;$F8+1,('Traditional Attrition'!K8+L140)*(1-IF(L$2-$F8&lt;=12,SUMIFS('Attrition Modeling'!$D:$D,'Attrition Modeling'!$B:$B,'Traditional Attrition'!$E8,'Attrition Modeling'!$C:$C,'Traditional Attrition'!L$1),VLOOKUP('Traditional Attrition'!L$2-'Traditional Attrition'!$F8-1,'Traditional Attrition'!$A$7:$C$161,2,FALSE)*VLOOKUP(L$1,'Attrition Modeling'!$L$15:$N$27,IF(L$2-$F8&lt;=24,2,3),FALSE))*(1+Projection!N$16)*(1+IF(L140&gt;0,'Attrition Modeling'!$N$9,0))),0))</f>
        <v>0</v>
      </c>
      <c r="M8" s="799">
        <f>IF(M$2=$F8+1,Monthly!I$21,IF(M$2&gt;$F8+1,('Traditional Attrition'!L8+M140)*(1-IF(M$2-$F8&lt;=12,SUMIFS('Attrition Modeling'!$D:$D,'Attrition Modeling'!$B:$B,'Traditional Attrition'!$E8,'Attrition Modeling'!$C:$C,'Traditional Attrition'!M$1),VLOOKUP('Traditional Attrition'!M$2-'Traditional Attrition'!$F8-1,'Traditional Attrition'!$A$7:$C$161,2,FALSE)*VLOOKUP(M$1,'Attrition Modeling'!$L$15:$N$27,IF(M$2-$F8&lt;=24,2,3),FALSE))*(1+Projection!O$16)*(1+IF(M140&gt;0,'Attrition Modeling'!$N$9,0))),0))</f>
        <v>9144.2548444099775</v>
      </c>
      <c r="N8" s="799">
        <f>IF(N$2=$F8+1,Monthly!J$21,IF(N$2&gt;$F8+1,('Traditional Attrition'!M8+N140)*(1-IF(N$2-$F8&lt;=12,SUMIFS('Attrition Modeling'!$D:$D,'Attrition Modeling'!$B:$B,'Traditional Attrition'!$E8,'Attrition Modeling'!$C:$C,'Traditional Attrition'!N$1),VLOOKUP('Traditional Attrition'!N$2-'Traditional Attrition'!$F8-1,'Traditional Attrition'!$A$7:$C$161,2,FALSE)*VLOOKUP(N$1,'Attrition Modeling'!$L$15:$N$27,IF(N$2-$F8&lt;=24,2,3),FALSE))*(1+Projection!P$16)*(1+IF(N140&gt;0,'Attrition Modeling'!$N$9,0))),0))</f>
        <v>8136.3467282690917</v>
      </c>
      <c r="O8" s="799">
        <f>IF(O$2=$F8+1,Monthly!K$21,IF(O$2&gt;$F8+1,('Traditional Attrition'!N8+O140)*(1-IF(O$2-$F8&lt;=12,SUMIFS('Attrition Modeling'!$D:$D,'Attrition Modeling'!$B:$B,'Traditional Attrition'!$E8,'Attrition Modeling'!$C:$C,'Traditional Attrition'!O$1),VLOOKUP('Traditional Attrition'!O$2-'Traditional Attrition'!$F8-1,'Traditional Attrition'!$A$7:$C$161,2,FALSE)*VLOOKUP(O$1,'Attrition Modeling'!$L$15:$N$27,IF(O$2-$F8&lt;=24,2,3),FALSE))*(1+Projection!Q$16)*(1+IF(O140&gt;0,'Attrition Modeling'!$N$9,0))),0))</f>
        <v>7050.9922473742536</v>
      </c>
      <c r="P8" s="799">
        <f>IF(P$2=$F8+1,Monthly!L$21,IF(P$2&gt;$F8+1,('Traditional Attrition'!O8+P140)*(1-IF(P$2-$F8&lt;=12,SUMIFS('Attrition Modeling'!$D:$D,'Attrition Modeling'!$B:$B,'Traditional Attrition'!$E8,'Attrition Modeling'!$C:$C,'Traditional Attrition'!P$1),VLOOKUP('Traditional Attrition'!P$2-'Traditional Attrition'!$F8-1,'Traditional Attrition'!$A$7:$C$161,2,FALSE)*VLOOKUP(P$1,'Attrition Modeling'!$L$15:$N$27,IF(P$2-$F8&lt;=24,2,3),FALSE))*(1+Projection!R$16)*(1+IF(P140&gt;0,'Attrition Modeling'!$N$9,0))),0))</f>
        <v>6278.0984372775501</v>
      </c>
      <c r="Q8" s="799">
        <f>IF(Q$2=$F8+1,Monthly!M$21,IF(Q$2&gt;$F8+1,('Traditional Attrition'!P8+Q140)*(1-IF(Q$2-$F8&lt;=12,SUMIFS('Attrition Modeling'!$D:$D,'Attrition Modeling'!$B:$B,'Traditional Attrition'!$E8,'Attrition Modeling'!$C:$C,'Traditional Attrition'!Q$1),VLOOKUP('Traditional Attrition'!Q$2-'Traditional Attrition'!$F8-1,'Traditional Attrition'!$A$7:$C$161,2,FALSE)*VLOOKUP(Q$1,'Attrition Modeling'!$L$15:$N$27,IF(Q$2-$F8&lt;=24,2,3),FALSE))*(1+Projection!S$16)*(1+IF(Q140&gt;0,'Attrition Modeling'!$N$9,0))),0))</f>
        <v>5698.6839431633925</v>
      </c>
      <c r="R8" s="799">
        <f>IF(R$2=$F8+1,Monthly!N$21,IF(R$2&gt;$F8+1,('Traditional Attrition'!Q8+R140)*(1-IF(R$2-$F8&lt;=12,SUMIFS('Attrition Modeling'!$D:$D,'Attrition Modeling'!$B:$B,'Traditional Attrition'!$E8,'Attrition Modeling'!$C:$C,'Traditional Attrition'!R$1),VLOOKUP('Traditional Attrition'!R$2-'Traditional Attrition'!$F8-1,'Traditional Attrition'!$A$7:$C$161,2,FALSE)*VLOOKUP(R$1,'Attrition Modeling'!$L$15:$N$27,IF(R$2-$F8&lt;=24,2,3),FALSE))*(1+Projection!T$16)*(1+IF(R140&gt;0,'Attrition Modeling'!$N$9,0))),0))</f>
        <v>5561.1655572845948</v>
      </c>
      <c r="S8" s="799">
        <f>IF(S$2=$F8+1,Monthly!O$21,IF(S$2&gt;$F8+1,('Traditional Attrition'!R8+S140)*(1-IF(S$2-$F8&lt;=12,SUMIFS('Attrition Modeling'!$D:$D,'Attrition Modeling'!$B:$B,'Traditional Attrition'!$E8,'Attrition Modeling'!$C:$C,'Traditional Attrition'!S$1),VLOOKUP('Traditional Attrition'!S$2-'Traditional Attrition'!$F8-1,'Traditional Attrition'!$A$7:$C$161,2,FALSE)*VLOOKUP(S$1,'Attrition Modeling'!$L$15:$N$27,IF(S$2-$F8&lt;=24,2,3),FALSE))*(1+Projection!U$16)*(1+IF(S140&gt;0,'Attrition Modeling'!$N$9,0))),0))</f>
        <v>5133.5800502074862</v>
      </c>
      <c r="T8" s="799">
        <f>IF(T$2=$F8+1,Monthly!P$21,IF(T$2&gt;$F8+1,('Traditional Attrition'!S8+T140)*(1-IF(T$2-$F8&lt;=12,SUMIFS('Attrition Modeling'!$D:$D,'Attrition Modeling'!$B:$B,'Traditional Attrition'!$E8,'Attrition Modeling'!$C:$C,'Traditional Attrition'!T$1),VLOOKUP('Traditional Attrition'!T$2-'Traditional Attrition'!$F8-1,'Traditional Attrition'!$A$7:$C$161,2,FALSE)*VLOOKUP(T$1,'Attrition Modeling'!$L$15:$N$27,IF(T$2-$F8&lt;=24,2,3),FALSE))*(1+Projection!V$16)*(1+IF(T140&gt;0,'Attrition Modeling'!$N$9,0))),0))</f>
        <v>4801.2120054590569</v>
      </c>
      <c r="U8" s="799">
        <f>IF(U$2=$F8+1,Monthly!Q$21,IF(U$2&gt;$F8+1,('Traditional Attrition'!T8+U140)*(1-IF(U$2-$F8&lt;=12,SUMIFS('Attrition Modeling'!$D:$D,'Attrition Modeling'!$B:$B,'Traditional Attrition'!$E8,'Attrition Modeling'!$C:$C,'Traditional Attrition'!U$1),VLOOKUP('Traditional Attrition'!U$2-'Traditional Attrition'!$F8-1,'Traditional Attrition'!$A$7:$C$161,2,FALSE)*VLOOKUP(U$1,'Attrition Modeling'!$L$15:$N$27,IF(U$2-$F8&lt;=24,2,3),FALSE))*(1+Projection!W$16)*(1+IF(U140&gt;0,'Attrition Modeling'!$N$9,0))),0))</f>
        <v>4531.4179793574967</v>
      </c>
      <c r="V8" s="799">
        <f>IF(V$2=$F8+1,Monthly!R$21,IF(V$2&gt;$F8+1,('Traditional Attrition'!U8+V140)*(1-IF(V$2-$F8&lt;=12,SUMIFS('Attrition Modeling'!$D:$D,'Attrition Modeling'!$B:$B,'Traditional Attrition'!$E8,'Attrition Modeling'!$C:$C,'Traditional Attrition'!V$1),VLOOKUP('Traditional Attrition'!V$2-'Traditional Attrition'!$F8-1,'Traditional Attrition'!$A$7:$C$161,2,FALSE)*VLOOKUP(V$1,'Attrition Modeling'!$L$15:$N$27,IF(V$2-$F8&lt;=24,2,3),FALSE))*(1+Projection!X$16)*(1+IF(V140&gt;0,'Attrition Modeling'!$N$9,0))),0))</f>
        <v>4273.0207115257845</v>
      </c>
      <c r="W8" s="799">
        <f>IF(W$2=$F8+1,Monthly!S$21,IF(W$2&gt;$F8+1,('Traditional Attrition'!V8+W140)*(1-IF(W$2-$F8&lt;=12,SUMIFS('Attrition Modeling'!$D:$D,'Attrition Modeling'!$B:$B,'Traditional Attrition'!$E8,'Attrition Modeling'!$C:$C,'Traditional Attrition'!W$1),VLOOKUP('Traditional Attrition'!W$2-'Traditional Attrition'!$F8-1,'Traditional Attrition'!$A$7:$C$161,2,FALSE)*VLOOKUP(W$1,'Attrition Modeling'!$L$15:$N$27,IF(W$2-$F8&lt;=24,2,3),FALSE))*(1+Projection!Y$16)*(1+IF(W140&gt;0,'Attrition Modeling'!$N$9,0))),0))</f>
        <v>4044.1363143826984</v>
      </c>
      <c r="X8" s="799">
        <f>IF(X$2=$F8+1,Monthly!T$21,IF(X$2&gt;$F8+1,('Traditional Attrition'!W8+X140)*(1-IF(X$2-$F8&lt;=12,SUMIFS('Attrition Modeling'!$D:$D,'Attrition Modeling'!$B:$B,'Traditional Attrition'!$E8,'Attrition Modeling'!$C:$C,'Traditional Attrition'!X$1),VLOOKUP('Traditional Attrition'!X$2-'Traditional Attrition'!$F8-1,'Traditional Attrition'!$A$7:$C$161,2,FALSE)*VLOOKUP(X$1,'Attrition Modeling'!$L$15:$N$27,IF(X$2-$F8&lt;=24,2,3),FALSE))*(1+Projection!Z$16)*(1+IF(X140&gt;0,'Attrition Modeling'!$N$9,0))),0))</f>
        <v>3944.1919559908329</v>
      </c>
      <c r="Y8" s="799">
        <f>IF(Y$2=$F8+1,Monthly!U$21,IF(Y$2&gt;$F8+1,('Traditional Attrition'!X8+Y140)*(1-IF(Y$2-$F8&lt;=12,SUMIFS('Attrition Modeling'!$D:$D,'Attrition Modeling'!$B:$B,'Traditional Attrition'!$E8,'Attrition Modeling'!$C:$C,'Traditional Attrition'!Y$1),VLOOKUP('Traditional Attrition'!Y$2-'Traditional Attrition'!$F8-1,'Traditional Attrition'!$A$7:$C$161,2,FALSE)*VLOOKUP(Y$1,'Attrition Modeling'!$L$15:$N$27,IF(Y$2-$F8&lt;=24,2,3),FALSE))*(1+Projection!AA$16)*(1+IF(Y140&gt;0,'Attrition Modeling'!$N$9,0))),0))</f>
        <v>3720.7150647994304</v>
      </c>
      <c r="Z8" s="799">
        <f>IF(Z$2=$F8+1,Monthly!V$21,IF(Z$2&gt;$F8+1,('Traditional Attrition'!Y8+Z140)*(1-IF(Z$2-$F8&lt;=12,SUMIFS('Attrition Modeling'!$D:$D,'Attrition Modeling'!$B:$B,'Traditional Attrition'!$E8,'Attrition Modeling'!$C:$C,'Traditional Attrition'!Z$1),VLOOKUP('Traditional Attrition'!Z$2-'Traditional Attrition'!$F8-1,'Traditional Attrition'!$A$7:$C$161,2,FALSE)*VLOOKUP(Z$1,'Attrition Modeling'!$L$15:$N$27,IF(Z$2-$F8&lt;=24,2,3),FALSE))*(1+Projection!AB$16)*(1+IF(Z140&gt;0,'Attrition Modeling'!$N$9,0))),0))</f>
        <v>3521.5789596756854</v>
      </c>
      <c r="AA8" s="799">
        <f>IF(AA$2=$F8+1,Monthly!W$21,IF(AA$2&gt;$F8+1,('Traditional Attrition'!Z8+AA140)*(1-IF(AA$2-$F8&lt;=12,SUMIFS('Attrition Modeling'!$D:$D,'Attrition Modeling'!$B:$B,'Traditional Attrition'!$E8,'Attrition Modeling'!$C:$C,'Traditional Attrition'!AA$1),VLOOKUP('Traditional Attrition'!AA$2-'Traditional Attrition'!$F8-1,'Traditional Attrition'!$A$7:$C$161,2,FALSE)*VLOOKUP(AA$1,'Attrition Modeling'!$L$15:$N$27,IF(AA$2-$F8&lt;=24,2,3),FALSE))*(1+Projection!AC$16)*(1+IF(AA140&gt;0,'Attrition Modeling'!$N$9,0))),0))</f>
        <v>3334.4018163562037</v>
      </c>
      <c r="AB8" s="799">
        <f>IF(AB$2=$F8+1,Monthly!X$21,IF(AB$2&gt;$F8+1,('Traditional Attrition'!AA8+AB140)*(1-IF(AB$2-$F8&lt;=12,SUMIFS('Attrition Modeling'!$D:$D,'Attrition Modeling'!$B:$B,'Traditional Attrition'!$E8,'Attrition Modeling'!$C:$C,'Traditional Attrition'!AB$1),VLOOKUP('Traditional Attrition'!AB$2-'Traditional Attrition'!$F8-1,'Traditional Attrition'!$A$7:$C$161,2,FALSE)*VLOOKUP(AB$1,'Attrition Modeling'!$L$15:$N$27,IF(AB$2-$F8&lt;=24,2,3),FALSE))*(1+Projection!AD$16)*(1+IF(AB140&gt;0,'Attrition Modeling'!$N$9,0))),0))</f>
        <v>3178.6960969352285</v>
      </c>
      <c r="AC8" s="799">
        <f>IF(AC$2=$F8+1,Monthly!Y$21,IF(AC$2&gt;$F8+1,('Traditional Attrition'!AB8+AC140)*(1-IF(AC$2-$F8&lt;=12,SUMIFS('Attrition Modeling'!$D:$D,'Attrition Modeling'!$B:$B,'Traditional Attrition'!$E8,'Attrition Modeling'!$C:$C,'Traditional Attrition'!AC$1),VLOOKUP('Traditional Attrition'!AC$2-'Traditional Attrition'!$F8-1,'Traditional Attrition'!$A$7:$C$161,2,FALSE)*VLOOKUP(AC$1,'Attrition Modeling'!$L$15:$N$27,IF(AC$2-$F8&lt;=24,2,3),FALSE))*(1+Projection!AE$16)*(1+IF(AC140&gt;0,'Attrition Modeling'!$N$9,0))),0))</f>
        <v>3031.2933836926568</v>
      </c>
      <c r="AD8" s="799">
        <f>IF(AD$2=$F8+1,Monthly!Z$21,IF(AD$2&gt;$F8+1,('Traditional Attrition'!AC8+AD140)*(1-IF(AD$2-$F8&lt;=12,SUMIFS('Attrition Modeling'!$D:$D,'Attrition Modeling'!$B:$B,'Traditional Attrition'!$E8,'Attrition Modeling'!$C:$C,'Traditional Attrition'!AD$1),VLOOKUP('Traditional Attrition'!AD$2-'Traditional Attrition'!$F8-1,'Traditional Attrition'!$A$7:$C$161,2,FALSE)*VLOOKUP(AD$1,'Attrition Modeling'!$L$15:$N$27,IF(AD$2-$F8&lt;=24,2,3),FALSE))*(1+Projection!AF$16)*(1+IF(AD140&gt;0,'Attrition Modeling'!$N$9,0))),0))</f>
        <v>3148.8531970196723</v>
      </c>
      <c r="AE8" s="799">
        <f>IF(AE$2=$F8+1,Monthly!AA$21,IF(AE$2&gt;$F8+1,('Traditional Attrition'!AD8+AE140)*(1-IF(AE$2-$F8&lt;=12,SUMIFS('Attrition Modeling'!$D:$D,'Attrition Modeling'!$B:$B,'Traditional Attrition'!$E8,'Attrition Modeling'!$C:$C,'Traditional Attrition'!AE$1),VLOOKUP('Traditional Attrition'!AE$2-'Traditional Attrition'!$F8-1,'Traditional Attrition'!$A$7:$C$161,2,FALSE)*VLOOKUP(AE$1,'Attrition Modeling'!$L$15:$N$27,IF(AE$2-$F8&lt;=24,2,3),FALSE))*(1+Projection!AG$16)*(1+IF(AE140&gt;0,'Attrition Modeling'!$N$9,0))),0))</f>
        <v>3016.2105065334545</v>
      </c>
      <c r="AF8" s="799">
        <f>IF(AF$2=$F8+1,Monthly!AB$21,IF(AF$2&gt;$F8+1,('Traditional Attrition'!AE8+AF140)*(1-IF(AF$2-$F8&lt;=12,SUMIFS('Attrition Modeling'!$D:$D,'Attrition Modeling'!$B:$B,'Traditional Attrition'!$E8,'Attrition Modeling'!$C:$C,'Traditional Attrition'!AF$1),VLOOKUP('Traditional Attrition'!AF$2-'Traditional Attrition'!$F8-1,'Traditional Attrition'!$A$7:$C$161,2,FALSE)*VLOOKUP(AF$1,'Attrition Modeling'!$L$15:$N$27,IF(AF$2-$F8&lt;=24,2,3),FALSE))*(1+Projection!AH$16)*(1+IF(AF140&gt;0,'Attrition Modeling'!$N$9,0))),0))</f>
        <v>2891.4568539712213</v>
      </c>
      <c r="AG8" s="799">
        <f>IF(AG$2=$F8+1,Monthly!AC$21,IF(AG$2&gt;$F8+1,('Traditional Attrition'!AF8+AG140)*(1-IF(AG$2-$F8&lt;=12,SUMIFS('Attrition Modeling'!$D:$D,'Attrition Modeling'!$B:$B,'Traditional Attrition'!$E8,'Attrition Modeling'!$C:$C,'Traditional Attrition'!AG$1),VLOOKUP('Traditional Attrition'!AG$2-'Traditional Attrition'!$F8-1,'Traditional Attrition'!$A$7:$C$161,2,FALSE)*VLOOKUP(AG$1,'Attrition Modeling'!$L$15:$N$27,IF(AG$2-$F8&lt;=24,2,3),FALSE))*(1+Projection!AI$16)*(1+IF(AG140&gt;0,'Attrition Modeling'!$N$9,0))),0))</f>
        <v>2785.4138128090999</v>
      </c>
      <c r="AH8" s="799">
        <f>IF(AH$2=$F8+1,Monthly!AD$21,IF(AH$2&gt;$F8+1,('Traditional Attrition'!AG8+AH140)*(1-IF(AH$2-$F8&lt;=12,SUMIFS('Attrition Modeling'!$D:$D,'Attrition Modeling'!$B:$B,'Traditional Attrition'!$E8,'Attrition Modeling'!$C:$C,'Traditional Attrition'!AH$1),VLOOKUP('Traditional Attrition'!AH$2-'Traditional Attrition'!$F8-1,'Traditional Attrition'!$A$7:$C$161,2,FALSE)*VLOOKUP(AH$1,'Attrition Modeling'!$L$15:$N$27,IF(AH$2-$F8&lt;=24,2,3),FALSE))*(1+Projection!AJ$16)*(1+IF(AH140&gt;0,'Attrition Modeling'!$N$9,0))),0))</f>
        <v>2675.9419211203372</v>
      </c>
      <c r="AI8" s="799">
        <f>IF(AI$2=$F8+1,Monthly!AE$21,IF(AI$2&gt;$F8+1,('Traditional Attrition'!AH8+AI140)*(1-IF(AI$2-$F8&lt;=12,SUMIFS('Attrition Modeling'!$D:$D,'Attrition Modeling'!$B:$B,'Traditional Attrition'!$E8,'Attrition Modeling'!$C:$C,'Traditional Attrition'!AI$1),VLOOKUP('Traditional Attrition'!AI$2-'Traditional Attrition'!$F8-1,'Traditional Attrition'!$A$7:$C$161,2,FALSE)*VLOOKUP(AI$1,'Attrition Modeling'!$L$15:$N$27,IF(AI$2-$F8&lt;=24,2,3),FALSE))*(1+Projection!AK$16)*(1+IF(AI140&gt;0,'Attrition Modeling'!$N$9,0))),0))</f>
        <v>2574.0138492787773</v>
      </c>
      <c r="AJ8" s="799">
        <f>IF(AJ$2=$F8+1,Monthly!AF$21,IF(AJ$2&gt;$F8+1,('Traditional Attrition'!AI8+AJ140)*(1-IF(AJ$2-$F8&lt;=12,SUMIFS('Attrition Modeling'!$D:$D,'Attrition Modeling'!$B:$B,'Traditional Attrition'!$E8,'Attrition Modeling'!$C:$C,'Traditional Attrition'!AJ$1),VLOOKUP('Traditional Attrition'!AJ$2-'Traditional Attrition'!$F8-1,'Traditional Attrition'!$A$7:$C$161,2,FALSE)*VLOOKUP(AJ$1,'Attrition Modeling'!$L$15:$N$27,IF(AJ$2-$F8&lt;=24,2,3),FALSE))*(1+Projection!AL$16)*(1+IF(AJ140&gt;0,'Attrition Modeling'!$N$9,0))),0))</f>
        <v>2477.9565346686823</v>
      </c>
      <c r="AK8" s="799">
        <f>IF(AK$2=$F8+1,Monthly!AG$21,IF(AK$2&gt;$F8+1,('Traditional Attrition'!AJ8+AK140)*(1-IF(AK$2-$F8&lt;=12,SUMIFS('Attrition Modeling'!$D:$D,'Attrition Modeling'!$B:$B,'Traditional Attrition'!$E8,'Attrition Modeling'!$C:$C,'Traditional Attrition'!AK$1),VLOOKUP('Traditional Attrition'!AK$2-'Traditional Attrition'!$F8-1,'Traditional Attrition'!$A$7:$C$161,2,FALSE)*VLOOKUP(AK$1,'Attrition Modeling'!$L$15:$N$27,IF(AK$2-$F8&lt;=24,2,3),FALSE))*(1+Projection!AM$16)*(1+IF(AK140&gt;0,'Attrition Modeling'!$N$9,0))),0))</f>
        <v>2386.075501485182</v>
      </c>
      <c r="AL8" s="799">
        <f>IF(AL$2=$F8+1,Monthly!AH$21,IF(AL$2&gt;$F8+1,('Traditional Attrition'!AK8+AL140)*(1-IF(AL$2-$F8&lt;=12,SUMIFS('Attrition Modeling'!$D:$D,'Attrition Modeling'!$B:$B,'Traditional Attrition'!$E8,'Attrition Modeling'!$C:$C,'Traditional Attrition'!AL$1),VLOOKUP('Traditional Attrition'!AL$2-'Traditional Attrition'!$F8-1,'Traditional Attrition'!$A$7:$C$161,2,FALSE)*VLOOKUP(AL$1,'Attrition Modeling'!$L$15:$N$27,IF(AL$2-$F8&lt;=24,2,3),FALSE))*(1+Projection!AN$16)*(1+IF(AL140&gt;0,'Attrition Modeling'!$N$9,0))),0))</f>
        <v>2291.0227064354244</v>
      </c>
      <c r="AM8" s="799">
        <f>IF(AM$2=$F8+1,Monthly!AI$21,IF(AM$2&gt;$F8+1,('Traditional Attrition'!AL8+AM140)*(1-IF(AM$2-$F8&lt;=12,SUMIFS('Attrition Modeling'!$D:$D,'Attrition Modeling'!$B:$B,'Traditional Attrition'!$E8,'Attrition Modeling'!$C:$C,'Traditional Attrition'!AM$1),VLOOKUP('Traditional Attrition'!AM$2-'Traditional Attrition'!$F8-1,'Traditional Attrition'!$A$7:$C$161,2,FALSE)*VLOOKUP(AM$1,'Attrition Modeling'!$L$15:$N$27,IF(AM$2-$F8&lt;=24,2,3),FALSE))*(1+Projection!AO$16)*(1+IF(AM140&gt;0,'Attrition Modeling'!$N$9,0))),0))</f>
        <v>2194.3419107739956</v>
      </c>
      <c r="AN8" s="799">
        <f>IF(AN$2=$F8+1,Monthly!AJ$21,IF(AN$2&gt;$F8+1,('Traditional Attrition'!AM8+AN140)*(1-IF(AN$2-$F8&lt;=12,SUMIFS('Attrition Modeling'!$D:$D,'Attrition Modeling'!$B:$B,'Traditional Attrition'!$E8,'Attrition Modeling'!$C:$C,'Traditional Attrition'!AN$1),VLOOKUP('Traditional Attrition'!AN$2-'Traditional Attrition'!$F8-1,'Traditional Attrition'!$A$7:$C$161,2,FALSE)*VLOOKUP(AN$1,'Attrition Modeling'!$L$15:$N$27,IF(AN$2-$F8&lt;=24,2,3),FALSE))*(1+Projection!AP$16)*(1+IF(AN140&gt;0,'Attrition Modeling'!$N$9,0))),0))</f>
        <v>2108.5260390009271</v>
      </c>
      <c r="AO8" s="799">
        <f>IF(AO$2=$F8+1,Monthly!AK$21,IF(AO$2&gt;$F8+1,('Traditional Attrition'!AN8+AO140)*(1-IF(AO$2-$F8&lt;=12,SUMIFS('Attrition Modeling'!$D:$D,'Attrition Modeling'!$B:$B,'Traditional Attrition'!$E8,'Attrition Modeling'!$C:$C,'Traditional Attrition'!AO$1),VLOOKUP('Traditional Attrition'!AO$2-'Traditional Attrition'!$F8-1,'Traditional Attrition'!$A$7:$C$161,2,FALSE)*VLOOKUP(AO$1,'Attrition Modeling'!$L$15:$N$27,IF(AO$2-$F8&lt;=24,2,3),FALSE))*(1+Projection!AQ$16)*(1+IF(AO140&gt;0,'Attrition Modeling'!$N$9,0))),0))</f>
        <v>2029.9281133276002</v>
      </c>
      <c r="AP8" s="799">
        <f>IF(AP$2=$F8+1,Monthly!AL$21,IF(AP$2&gt;$F8+1,('Traditional Attrition'!AO8+AP140)*(1-IF(AP$2-$F8&lt;=12,SUMIFS('Attrition Modeling'!$D:$D,'Attrition Modeling'!$B:$B,'Traditional Attrition'!$E8,'Attrition Modeling'!$C:$C,'Traditional Attrition'!AP$1),VLOOKUP('Traditional Attrition'!AP$2-'Traditional Attrition'!$F8-1,'Traditional Attrition'!$A$7:$C$161,2,FALSE)*VLOOKUP(AP$1,'Attrition Modeling'!$L$15:$N$27,IF(AP$2-$F8&lt;=24,2,3),FALSE))*(1+Projection!AR$16)*(1+IF(AP140&gt;0,'Attrition Modeling'!$N$9,0))),0))</f>
        <v>2026.6391480831203</v>
      </c>
      <c r="AQ8" s="799">
        <f>IF(AQ$2=$F8+1,Monthly!AM$21,IF(AQ$2&gt;$F8+1,('Traditional Attrition'!AP8+AQ140)*(1-IF(AQ$2-$F8&lt;=12,SUMIFS('Attrition Modeling'!$D:$D,'Attrition Modeling'!$B:$B,'Traditional Attrition'!$E8,'Attrition Modeling'!$C:$C,'Traditional Attrition'!AQ$1),VLOOKUP('Traditional Attrition'!AQ$2-'Traditional Attrition'!$F8-1,'Traditional Attrition'!$A$7:$C$161,2,FALSE)*VLOOKUP(AQ$1,'Attrition Modeling'!$L$15:$N$27,IF(AQ$2-$F8&lt;=24,2,3),FALSE))*(1+Projection!AS$16)*(1+IF(AQ140&gt;0,'Attrition Modeling'!$N$9,0))),0))</f>
        <v>1967.2903328875423</v>
      </c>
      <c r="AR8" s="799">
        <f>IF(AR$2=$F8+1,Monthly!AN$21,IF(AR$2&gt;$F8+1,('Traditional Attrition'!AQ8+AR140)*(1-IF(AR$2-$F8&lt;=12,SUMIFS('Attrition Modeling'!$D:$D,'Attrition Modeling'!$B:$B,'Traditional Attrition'!$E8,'Attrition Modeling'!$C:$C,'Traditional Attrition'!AR$1),VLOOKUP('Traditional Attrition'!AR$2-'Traditional Attrition'!$F8-1,'Traditional Attrition'!$A$7:$C$161,2,FALSE)*VLOOKUP(AR$1,'Attrition Modeling'!$L$15:$N$27,IF(AR$2-$F8&lt;=24,2,3),FALSE))*(1+Projection!AT$16)*(1+IF(AR140&gt;0,'Attrition Modeling'!$N$9,0))),0))</f>
        <v>1904.2728340090287</v>
      </c>
      <c r="AS8" s="799">
        <f>IF(AS$2=$F8+1,Monthly!AO$21,IF(AS$2&gt;$F8+1,('Traditional Attrition'!AR8+AS140)*(1-IF(AS$2-$F8&lt;=12,SUMIFS('Attrition Modeling'!$D:$D,'Attrition Modeling'!$B:$B,'Traditional Attrition'!$E8,'Attrition Modeling'!$C:$C,'Traditional Attrition'!AS$1),VLOOKUP('Traditional Attrition'!AS$2-'Traditional Attrition'!$F8-1,'Traditional Attrition'!$A$7:$C$161,2,FALSE)*VLOOKUP(AS$1,'Attrition Modeling'!$L$15:$N$27,IF(AS$2-$F8&lt;=24,2,3),FALSE))*(1+Projection!AU$16)*(1+IF(AS140&gt;0,'Attrition Modeling'!$N$9,0))),0))</f>
        <v>1845.8799779142701</v>
      </c>
      <c r="AT8" s="799">
        <f>IF(AT$2=$F8+1,Monthly!AP$21,IF(AT$2&gt;$F8+1,('Traditional Attrition'!AS8+AT140)*(1-IF(AT$2-$F8&lt;=12,SUMIFS('Attrition Modeling'!$D:$D,'Attrition Modeling'!$B:$B,'Traditional Attrition'!$E8,'Attrition Modeling'!$C:$C,'Traditional Attrition'!AT$1),VLOOKUP('Traditional Attrition'!AT$2-'Traditional Attrition'!$F8-1,'Traditional Attrition'!$A$7:$C$161,2,FALSE)*VLOOKUP(AT$1,'Attrition Modeling'!$L$15:$N$27,IF(AT$2-$F8&lt;=24,2,3),FALSE))*(1+Projection!AV$16)*(1+IF(AT140&gt;0,'Attrition Modeling'!$N$9,0))),0))</f>
        <v>1792.279268036164</v>
      </c>
      <c r="AU8" s="799">
        <f>IF(AU$2=$F8+1,Monthly!AQ$21,IF(AU$2&gt;$F8+1,('Traditional Attrition'!AT8+AU140)*(1-IF(AU$2-$F8&lt;=12,SUMIFS('Attrition Modeling'!$D:$D,'Attrition Modeling'!$B:$B,'Traditional Attrition'!$E8,'Attrition Modeling'!$C:$C,'Traditional Attrition'!AU$1),VLOOKUP('Traditional Attrition'!AU$2-'Traditional Attrition'!$F8-1,'Traditional Attrition'!$A$7:$C$161,2,FALSE)*VLOOKUP(AU$1,'Attrition Modeling'!$L$15:$N$27,IF(AU$2-$F8&lt;=24,2,3),FALSE))*(1+Projection!AW$16)*(1+IF(AU140&gt;0,'Attrition Modeling'!$N$9,0))),0))</f>
        <v>1751.3559378535078</v>
      </c>
      <c r="AV8" s="799">
        <f>IF(AV$2=$F8+1,Monthly!AR$21,IF(AV$2&gt;$F8+1,('Traditional Attrition'!AU8+AV140)*(1-IF(AV$2-$F8&lt;=12,SUMIFS('Attrition Modeling'!$D:$D,'Attrition Modeling'!$B:$B,'Traditional Attrition'!$E8,'Attrition Modeling'!$C:$C,'Traditional Attrition'!AV$1),VLOOKUP('Traditional Attrition'!AV$2-'Traditional Attrition'!$F8-1,'Traditional Attrition'!$A$7:$C$161,2,FALSE)*VLOOKUP(AV$1,'Attrition Modeling'!$L$15:$N$27,IF(AV$2-$F8&lt;=24,2,3),FALSE))*(1+Projection!AX$16)*(1+IF(AV140&gt;0,'Attrition Modeling'!$N$9,0))),0))</f>
        <v>1703.6115472182018</v>
      </c>
      <c r="AW8" s="799">
        <f>IF(AW$2=$F8+1,Monthly!AS$21,IF(AW$2&gt;$F8+1,('Traditional Attrition'!AV8+AW140)*(1-IF(AW$2-$F8&lt;=12,SUMIFS('Attrition Modeling'!$D:$D,'Attrition Modeling'!$B:$B,'Traditional Attrition'!$E8,'Attrition Modeling'!$C:$C,'Traditional Attrition'!AW$1),VLOOKUP('Traditional Attrition'!AW$2-'Traditional Attrition'!$F8-1,'Traditional Attrition'!$A$7:$C$161,2,FALSE)*VLOOKUP(AW$1,'Attrition Modeling'!$L$15:$N$27,IF(AW$2-$F8&lt;=24,2,3),FALSE))*(1+Projection!AY$16)*(1+IF(AW140&gt;0,'Attrition Modeling'!$N$9,0))),0))</f>
        <v>1651.1807490687108</v>
      </c>
      <c r="AX8" s="799">
        <f>IF(AX$2=$F8+1,Monthly!AT$21,IF(AX$2&gt;$F8+1,('Traditional Attrition'!AW8+AX140)*(1-IF(AX$2-$F8&lt;=12,SUMIFS('Attrition Modeling'!$D:$D,'Attrition Modeling'!$B:$B,'Traditional Attrition'!$E8,'Attrition Modeling'!$C:$C,'Traditional Attrition'!AX$1),VLOOKUP('Traditional Attrition'!AX$2-'Traditional Attrition'!$F8-1,'Traditional Attrition'!$A$7:$C$161,2,FALSE)*VLOOKUP(AX$1,'Attrition Modeling'!$L$15:$N$27,IF(AX$2-$F8&lt;=24,2,3),FALSE))*(1+Projection!AZ$16)*(1+IF(AX140&gt;0,'Attrition Modeling'!$N$9,0))),0))</f>
        <v>1596.4030607715945</v>
      </c>
      <c r="AY8" s="799">
        <f>IF(AY$2=$F8+1,Monthly!AU$21,IF(AY$2&gt;$F8+1,('Traditional Attrition'!AX8+AY140)*(1-IF(AY$2-$F8&lt;=12,SUMIFS('Attrition Modeling'!$D:$D,'Attrition Modeling'!$B:$B,'Traditional Attrition'!$E8,'Attrition Modeling'!$C:$C,'Traditional Attrition'!AY$1),VLOOKUP('Traditional Attrition'!AY$2-'Traditional Attrition'!$F8-1,'Traditional Attrition'!$A$7:$C$161,2,FALSE)*VLOOKUP(AY$1,'Attrition Modeling'!$L$15:$N$27,IF(AY$2-$F8&lt;=24,2,3),FALSE))*(1+Projection!BA$16)*(1+IF(AY140&gt;0,'Attrition Modeling'!$N$9,0))),0))</f>
        <v>1540.1254549237538</v>
      </c>
      <c r="AZ8" s="799">
        <f>IF(AZ$2=$F8+1,Monthly!AV$21,IF(AZ$2&gt;$F8+1,('Traditional Attrition'!AY8+AZ140)*(1-IF(AZ$2-$F8&lt;=12,SUMIFS('Attrition Modeling'!$D:$D,'Attrition Modeling'!$B:$B,'Traditional Attrition'!$E8,'Attrition Modeling'!$C:$C,'Traditional Attrition'!AZ$1),VLOOKUP('Traditional Attrition'!AZ$2-'Traditional Attrition'!$F8-1,'Traditional Attrition'!$A$7:$C$161,2,FALSE)*VLOOKUP(AZ$1,'Attrition Modeling'!$L$15:$N$27,IF(AZ$2-$F8&lt;=24,2,3),FALSE))*(1+Projection!BB$16)*(1+IF(AZ140&gt;0,'Attrition Modeling'!$N$9,0))),0))</f>
        <v>1489.6624942930177</v>
      </c>
      <c r="BA8" s="799">
        <f>IF(BA$2=$F8+1,Monthly!AW$21,IF(BA$2&gt;$F8+1,('Traditional Attrition'!AZ8+BA140)*(1-IF(BA$2-$F8&lt;=12,SUMIFS('Attrition Modeling'!$D:$D,'Attrition Modeling'!$B:$B,'Traditional Attrition'!$E8,'Attrition Modeling'!$C:$C,'Traditional Attrition'!BA$1),VLOOKUP('Traditional Attrition'!BA$2-'Traditional Attrition'!$F8-1,'Traditional Attrition'!$A$7:$C$161,2,FALSE)*VLOOKUP(BA$1,'Attrition Modeling'!$L$15:$N$27,IF(BA$2-$F8&lt;=24,2,3),FALSE))*(1+Projection!BC$16)*(1+IF(BA140&gt;0,'Attrition Modeling'!$N$9,0))),0))</f>
        <v>1443.0106703100669</v>
      </c>
      <c r="BB8" s="799">
        <f>IF(BB$2=$F8+1,Monthly!AX$21,IF(BB$2&gt;$F8+1,('Traditional Attrition'!BA8+BB140)*(1-IF(BB$2-$F8&lt;=12,SUMIFS('Attrition Modeling'!$D:$D,'Attrition Modeling'!$B:$B,'Traditional Attrition'!$E8,'Attrition Modeling'!$C:$C,'Traditional Attrition'!BB$1),VLOOKUP('Traditional Attrition'!BB$2-'Traditional Attrition'!$F8-1,'Traditional Attrition'!$A$7:$C$161,2,FALSE)*VLOOKUP(BB$1,'Attrition Modeling'!$L$15:$N$27,IF(BB$2-$F8&lt;=24,2,3),FALSE))*(1+Projection!BD$16)*(1+IF(BB140&gt;0,'Attrition Modeling'!$N$9,0))),0))</f>
        <v>1437.6413060523876</v>
      </c>
      <c r="BC8" s="799">
        <f>IF(BC$2=$F8+1,Monthly!AY$21,IF(BC$2&gt;$F8+1,('Traditional Attrition'!BB8+BC140)*(1-IF(BC$2-$F8&lt;=12,SUMIFS('Attrition Modeling'!$D:$D,'Attrition Modeling'!$B:$B,'Traditional Attrition'!$E8,'Attrition Modeling'!$C:$C,'Traditional Attrition'!BC$1),VLOOKUP('Traditional Attrition'!BC$2-'Traditional Attrition'!$F8-1,'Traditional Attrition'!$A$7:$C$161,2,FALSE)*VLOOKUP(BC$1,'Attrition Modeling'!$L$15:$N$27,IF(BC$2-$F8&lt;=24,2,3),FALSE))*(1+Projection!BE$16)*(1+IF(BC140&gt;0,'Attrition Modeling'!$N$9,0))),0))</f>
        <v>1402.0927085283415</v>
      </c>
      <c r="BD8" s="799">
        <f>IF(BD$2=$F8+1,Monthly!AZ$21,IF(BD$2&gt;$F8+1,('Traditional Attrition'!BC8+BD140)*(1-IF(BD$2-$F8&lt;=12,SUMIFS('Attrition Modeling'!$D:$D,'Attrition Modeling'!$B:$B,'Traditional Attrition'!$E8,'Attrition Modeling'!$C:$C,'Traditional Attrition'!BD$1),VLOOKUP('Traditional Attrition'!BD$2-'Traditional Attrition'!$F8-1,'Traditional Attrition'!$A$7:$C$161,2,FALSE)*VLOOKUP(BD$1,'Attrition Modeling'!$L$15:$N$27,IF(BD$2-$F8&lt;=24,2,3),FALSE))*(1+Projection!BF$16)*(1+IF(BD140&gt;0,'Attrition Modeling'!$N$9,0))),0))</f>
        <v>1364.0817709960484</v>
      </c>
      <c r="BE8" s="799">
        <f>IF(BE$2=$F8+1,Monthly!BA$21,IF(BE$2&gt;$F8+1,('Traditional Attrition'!BD8+BE140)*(1-IF(BE$2-$F8&lt;=12,SUMIFS('Attrition Modeling'!$D:$D,'Attrition Modeling'!$B:$B,'Traditional Attrition'!$E8,'Attrition Modeling'!$C:$C,'Traditional Attrition'!BE$1),VLOOKUP('Traditional Attrition'!BE$2-'Traditional Attrition'!$F8-1,'Traditional Attrition'!$A$7:$C$161,2,FALSE)*VLOOKUP(BE$1,'Attrition Modeling'!$L$15:$N$27,IF(BE$2-$F8&lt;=24,2,3),FALSE))*(1+Projection!BG$16)*(1+IF(BE140&gt;0,'Attrition Modeling'!$N$9,0))),0))</f>
        <v>1328.6038345288744</v>
      </c>
      <c r="BF8" s="799">
        <f>IF(BF$2=$F8+1,Monthly!BB$21,IF(BF$2&gt;$F8+1,('Traditional Attrition'!BE8+BF140)*(1-IF(BF$2-$F8&lt;=12,SUMIFS('Attrition Modeling'!$D:$D,'Attrition Modeling'!$B:$B,'Traditional Attrition'!$E8,'Attrition Modeling'!$C:$C,'Traditional Attrition'!BF$1),VLOOKUP('Traditional Attrition'!BF$2-'Traditional Attrition'!$F8-1,'Traditional Attrition'!$A$7:$C$161,2,FALSE)*VLOOKUP(BF$1,'Attrition Modeling'!$L$15:$N$27,IF(BF$2-$F8&lt;=24,2,3),FALSE))*(1+Projection!BH$16)*(1+IF(BF140&gt;0,'Attrition Modeling'!$N$9,0))),0))</f>
        <v>1295.813365935868</v>
      </c>
      <c r="BG8" s="799">
        <f>IF(BG$2=$F8+1,Monthly!BC$21,IF(BG$2&gt;$F8+1,('Traditional Attrition'!BF8+BG140)*(1-IF(BG$2-$F8&lt;=12,SUMIFS('Attrition Modeling'!$D:$D,'Attrition Modeling'!$B:$B,'Traditional Attrition'!$E8,'Attrition Modeling'!$C:$C,'Traditional Attrition'!BG$1),VLOOKUP('Traditional Attrition'!BG$2-'Traditional Attrition'!$F8-1,'Traditional Attrition'!$A$7:$C$161,2,FALSE)*VLOOKUP(BG$1,'Attrition Modeling'!$L$15:$N$27,IF(BG$2-$F8&lt;=24,2,3),FALSE))*(1+Projection!BI$16)*(1+IF(BG140&gt;0,'Attrition Modeling'!$N$9,0))),0))</f>
        <v>1270.6166823646629</v>
      </c>
      <c r="BH8" s="799">
        <f>IF(BH$2=$F8+1,Monthly!BD$21,IF(BH$2&gt;$F8+1,('Traditional Attrition'!BG8+BH140)*(1-IF(BH$2-$F8&lt;=12,SUMIFS('Attrition Modeling'!$D:$D,'Attrition Modeling'!$B:$B,'Traditional Attrition'!$E8,'Attrition Modeling'!$C:$C,'Traditional Attrition'!BH$1),VLOOKUP('Traditional Attrition'!BH$2-'Traditional Attrition'!$F8-1,'Traditional Attrition'!$A$7:$C$161,2,FALSE)*VLOOKUP(BH$1,'Attrition Modeling'!$L$15:$N$27,IF(BH$2-$F8&lt;=24,2,3),FALSE))*(1+Projection!BJ$16)*(1+IF(BH140&gt;0,'Attrition Modeling'!$N$9,0))),0))</f>
        <v>1241.0634543980616</v>
      </c>
      <c r="BI8" s="799">
        <f>IF(BI$2=$F8+1,Monthly!BE$21,IF(BI$2&gt;$F8+1,('Traditional Attrition'!BH8+BI140)*(1-IF(BI$2-$F8&lt;=12,SUMIFS('Attrition Modeling'!$D:$D,'Attrition Modeling'!$B:$B,'Traditional Attrition'!$E8,'Attrition Modeling'!$C:$C,'Traditional Attrition'!BI$1),VLOOKUP('Traditional Attrition'!BI$2-'Traditional Attrition'!$F8-1,'Traditional Attrition'!$A$7:$C$161,2,FALSE)*VLOOKUP(BI$1,'Attrition Modeling'!$L$15:$N$27,IF(BI$2-$F8&lt;=24,2,3),FALSE))*(1+Projection!BK$16)*(1+IF(BI140&gt;0,'Attrition Modeling'!$N$9,0))),0))</f>
        <v>1208.637682726106</v>
      </c>
      <c r="BJ8" s="799">
        <f>IF(BJ$2=$F8+1,Monthly!BF$21,IF(BJ$2&gt;$F8+1,('Traditional Attrition'!BI8+BJ140)*(1-IF(BJ$2-$F8&lt;=12,SUMIFS('Attrition Modeling'!$D:$D,'Attrition Modeling'!$B:$B,'Traditional Attrition'!$E8,'Attrition Modeling'!$C:$C,'Traditional Attrition'!BJ$1),VLOOKUP('Traditional Attrition'!BJ$2-'Traditional Attrition'!$F8-1,'Traditional Attrition'!$A$7:$C$161,2,FALSE)*VLOOKUP(BJ$1,'Attrition Modeling'!$L$15:$N$27,IF(BJ$2-$F8&lt;=24,2,3),FALSE))*(1+Projection!BL$16)*(1+IF(BJ140&gt;0,'Attrition Modeling'!$N$9,0))),0))</f>
        <v>1174.5464287197346</v>
      </c>
      <c r="BK8" s="799">
        <f>IF(BK$2=$F8+1,Monthly!BG$21,IF(BK$2&gt;$F8+1,('Traditional Attrition'!BJ8+BK140)*(1-IF(BK$2-$F8&lt;=12,SUMIFS('Attrition Modeling'!$D:$D,'Attrition Modeling'!$B:$B,'Traditional Attrition'!$E8,'Attrition Modeling'!$C:$C,'Traditional Attrition'!BK$1),VLOOKUP('Traditional Attrition'!BK$2-'Traditional Attrition'!$F8-1,'Traditional Attrition'!$A$7:$C$161,2,FALSE)*VLOOKUP(BK$1,'Attrition Modeling'!$L$15:$N$27,IF(BK$2-$F8&lt;=24,2,3),FALSE))*(1+Projection!BM$16)*(1+IF(BK140&gt;0,'Attrition Modeling'!$N$9,0))),0))</f>
        <v>1139.2913056240789</v>
      </c>
      <c r="BL8" s="799">
        <f>IF(BL$2=$F8+1,Monthly!BH$21,IF(BL$2&gt;$F8+1,('Traditional Attrition'!BK8+BL140)*(1-IF(BL$2-$F8&lt;=12,SUMIFS('Attrition Modeling'!$D:$D,'Attrition Modeling'!$B:$B,'Traditional Attrition'!$E8,'Attrition Modeling'!$C:$C,'Traditional Attrition'!BL$1),VLOOKUP('Traditional Attrition'!BL$2-'Traditional Attrition'!$F8-1,'Traditional Attrition'!$A$7:$C$161,2,FALSE)*VLOOKUP(BL$1,'Attrition Modeling'!$L$15:$N$27,IF(BL$2-$F8&lt;=24,2,3),FALSE))*(1+Projection!BN$16)*(1+IF(BL140&gt;0,'Attrition Modeling'!$N$9,0))),0))</f>
        <v>1107.4641588276852</v>
      </c>
      <c r="BM8" s="799">
        <f>IF(BM$2=$F8+1,Monthly!BI$21,IF(BM$2&gt;$F8+1,('Traditional Attrition'!BL8+BM140)*(1-IF(BM$2-$F8&lt;=12,SUMIFS('Attrition Modeling'!$D:$D,'Attrition Modeling'!$B:$B,'Traditional Attrition'!$E8,'Attrition Modeling'!$C:$C,'Traditional Attrition'!BM$1),VLOOKUP('Traditional Attrition'!BM$2-'Traditional Attrition'!$F8-1,'Traditional Attrition'!$A$7:$C$161,2,FALSE)*VLOOKUP(BM$1,'Attrition Modeling'!$L$15:$N$27,IF(BM$2-$F8&lt;=24,2,3),FALSE))*(1+Projection!BO$16)*(1+IF(BM140&gt;0,'Attrition Modeling'!$N$9,0))),0))</f>
        <v>1077.8559510123698</v>
      </c>
      <c r="BN8" s="799">
        <f>IF(BN$2=$F8+1,Monthly!BJ$21,IF(BN$2&gt;$F8+1,('Traditional Attrition'!BM8+BN140)*(1-IF(BN$2-$F8&lt;=12,SUMIFS('Attrition Modeling'!$D:$D,'Attrition Modeling'!$B:$B,'Traditional Attrition'!$E8,'Attrition Modeling'!$C:$C,'Traditional Attrition'!BN$1),VLOOKUP('Traditional Attrition'!BN$2-'Traditional Attrition'!$F8-1,'Traditional Attrition'!$A$7:$C$161,2,FALSE)*VLOOKUP(BN$1,'Attrition Modeling'!$L$15:$N$27,IF(BN$2-$F8&lt;=24,2,3),FALSE))*(1+Projection!BP$16)*(1+IF(BN140&gt;0,'Attrition Modeling'!$N$9,0))),0))</f>
        <v>1082.3515323036129</v>
      </c>
      <c r="BO8" s="799">
        <f>IF(BO$2=$F8+1,Monthly!BK$21,IF(BO$2&gt;$F8+1,('Traditional Attrition'!BN8+BO140)*(1-IF(BO$2-$F8&lt;=12,SUMIFS('Attrition Modeling'!$D:$D,'Attrition Modeling'!$B:$B,'Traditional Attrition'!$E8,'Attrition Modeling'!$C:$C,'Traditional Attrition'!BO$1),VLOOKUP('Traditional Attrition'!BO$2-'Traditional Attrition'!$F8-1,'Traditional Attrition'!$A$7:$C$161,2,FALSE)*VLOOKUP(BO$1,'Attrition Modeling'!$L$15:$N$27,IF(BO$2-$F8&lt;=24,2,3),FALSE))*(1+Projection!BV$16)*(1+IF(BO140&gt;0,'Attrition Modeling'!$N$9,0))),0))</f>
        <v>1059.4500183234795</v>
      </c>
      <c r="BP8" s="799">
        <f>IF(BP$2=$F8+1,Monthly!BL$21,IF(BP$2&gt;$F8+1,('Traditional Attrition'!BO8+BP140)*(1-IF(BP$2-$F8&lt;=12,SUMIFS('Attrition Modeling'!$D:$D,'Attrition Modeling'!$B:$B,'Traditional Attrition'!$E8,'Attrition Modeling'!$C:$C,'Traditional Attrition'!BP$1),VLOOKUP('Traditional Attrition'!BP$2-'Traditional Attrition'!$F8-1,'Traditional Attrition'!$A$7:$C$161,2,FALSE)*VLOOKUP(BP$1,'Attrition Modeling'!$L$15:$N$27,IF(BP$2-$F8&lt;=24,2,3),FALSE))*(1+Projection!BW$16)*(1+IF(BP140&gt;0,'Attrition Modeling'!$N$9,0))),0))</f>
        <v>1034.8459850077188</v>
      </c>
      <c r="BQ8" s="799">
        <f>IF(BQ$2=$F8+1,Monthly!BM$21,IF(BQ$2&gt;$F8+1,('Traditional Attrition'!BP8+BQ140)*(1-IF(BQ$2-$F8&lt;=12,SUMIFS('Attrition Modeling'!$D:$D,'Attrition Modeling'!$B:$B,'Traditional Attrition'!$E8,'Attrition Modeling'!$C:$C,'Traditional Attrition'!BQ$1),VLOOKUP('Traditional Attrition'!BQ$2-'Traditional Attrition'!$F8-1,'Traditional Attrition'!$A$7:$C$161,2,FALSE)*VLOOKUP(BQ$1,'Attrition Modeling'!$L$15:$N$27,IF(BQ$2-$F8&lt;=24,2,3),FALSE))*(1+Projection!BX$16)*(1+IF(BQ140&gt;0,'Attrition Modeling'!$N$9,0))),0))</f>
        <v>1011.7661732671065</v>
      </c>
      <c r="BR8" s="799">
        <f>IF(BR$2=$F8+1,Monthly!BN$21,IF(BR$2&gt;$F8+1,('Traditional Attrition'!BQ8+BR140)*(1-IF(BR$2-$F8&lt;=12,SUMIFS('Attrition Modeling'!$D:$D,'Attrition Modeling'!$B:$B,'Traditional Attrition'!$E8,'Attrition Modeling'!$C:$C,'Traditional Attrition'!BR$1),VLOOKUP('Traditional Attrition'!BR$2-'Traditional Attrition'!$F8-1,'Traditional Attrition'!$A$7:$C$161,2,FALSE)*VLOOKUP(BR$1,'Attrition Modeling'!$L$15:$N$27,IF(BR$2-$F8&lt;=24,2,3),FALSE))*(1+Projection!BY$16)*(1+IF(BR140&gt;0,'Attrition Modeling'!$N$9,0))),0))</f>
        <v>990.33275916528896</v>
      </c>
      <c r="BS8" s="799">
        <f>IF(BS$2=$F8+1,Monthly!BO$21,IF(BS$2&gt;$F8+1,('Traditional Attrition'!BR8+BS140)*(1-IF(BS$2-$F8&lt;=12,SUMIFS('Attrition Modeling'!$D:$D,'Attrition Modeling'!$B:$B,'Traditional Attrition'!$E8,'Attrition Modeling'!$C:$C,'Traditional Attrition'!BS$1),VLOOKUP('Traditional Attrition'!BS$2-'Traditional Attrition'!$F8-1,'Traditional Attrition'!$A$7:$C$161,2,FALSE)*VLOOKUP(BS$1,'Attrition Modeling'!$L$15:$N$27,IF(BS$2-$F8&lt;=24,2,3),FALSE))*(1+Projection!BZ$16)*(1+IF(BS140&gt;0,'Attrition Modeling'!$N$9,0))),0))</f>
        <v>973.78882827993857</v>
      </c>
      <c r="BT8" s="799">
        <f>IF(BT$2=$F8+1,Monthly!#REF!,IF(BT$2&gt;$F8+1,('Traditional Attrition'!BS8+BT140)*(1-IF(BT$2-$F8&lt;=12,SUMIFS('Attrition Modeling'!$D:$D,'Attrition Modeling'!$B:$B,'Traditional Attrition'!$E8,'Attrition Modeling'!$C:$C,'Traditional Attrition'!BT$1),VLOOKUP('Traditional Attrition'!BT$2-'Traditional Attrition'!$F8-1,'Traditional Attrition'!$A$7:$C$161,2,FALSE)*VLOOKUP(BT$1,'Attrition Modeling'!$L$15:$N$27,IF(BT$2-$F8&lt;=24,2,3),FALSE))*(1+Projection!CA$16)*(1+IF(BT140&gt;0,'Attrition Modeling'!$N$9,0))),0))</f>
        <v>954.31337638255263</v>
      </c>
      <c r="BU8" s="799">
        <f>IF(BU$2=$F8+1,Monthly!#REF!,IF(BU$2&gt;$F8+1,('Traditional Attrition'!BT8+BU140)*(1-IF(BU$2-$F8&lt;=12,SUMIFS('Attrition Modeling'!$D:$D,'Attrition Modeling'!$B:$B,'Traditional Attrition'!$E8,'Attrition Modeling'!$C:$C,'Traditional Attrition'!BU$1),VLOOKUP('Traditional Attrition'!BU$2-'Traditional Attrition'!$F8-1,'Traditional Attrition'!$A$7:$C$161,2,FALSE)*VLOOKUP(BU$1,'Attrition Modeling'!$L$15:$N$27,IF(BU$2-$F8&lt;=24,2,3),FALSE))*(1+Projection!CB$16)*(1+IF(BU140&gt;0,'Attrition Modeling'!$N$9,0))),0))</f>
        <v>932.71094586471986</v>
      </c>
    </row>
    <row r="9" spans="1:73" ht="14.25" customHeight="1" x14ac:dyDescent="0.2">
      <c r="A9" s="800">
        <v>2</v>
      </c>
      <c r="B9" s="779" t="e">
        <f>'Attrition Modeling'!H6*(1-Summary!$C$20)</f>
        <v>#DIV/0!</v>
      </c>
      <c r="C9" s="780" t="e">
        <f t="shared" si="4"/>
        <v>#DIV/0!</v>
      </c>
      <c r="E9" s="11">
        <f t="shared" si="2"/>
        <v>6</v>
      </c>
      <c r="F9" s="11">
        <f t="shared" si="3"/>
        <v>6</v>
      </c>
      <c r="G9" s="799"/>
      <c r="H9" s="799">
        <f>IF(H$2=$F9+1,Monthly!D$21,IF(H$2&gt;$F9+1,('Traditional Attrition'!G9+H141)*(1-IF(H$2-$F9&lt;=12,SUMIFS('Attrition Modeling'!$D:$D,'Attrition Modeling'!$B:$B,'Traditional Attrition'!$E9,'Attrition Modeling'!$C:$C,'Traditional Attrition'!H$1),VLOOKUP('Traditional Attrition'!H$2-'Traditional Attrition'!$F9-1,'Traditional Attrition'!$A$7:$C$161,2,FALSE)*VLOOKUP(H$1,'Attrition Modeling'!$L$15:$N$27,IF(H$2-$F9&lt;=24,2,3),FALSE))*(1+Projection!J$16)*(1+IF(H141&gt;0,'Attrition Modeling'!$N$9,0))),0))</f>
        <v>0</v>
      </c>
      <c r="I9" s="799">
        <f>IF(I$2=$F9+1,Monthly!E$21,IF(I$2&gt;$F9+1,('Traditional Attrition'!H9+I141)*(1-IF(I$2-$F9&lt;=12,SUMIFS('Attrition Modeling'!$D:$D,'Attrition Modeling'!$B:$B,'Traditional Attrition'!$E9,'Attrition Modeling'!$C:$C,'Traditional Attrition'!I$1),VLOOKUP('Traditional Attrition'!I$2-'Traditional Attrition'!$F9-1,'Traditional Attrition'!$A$7:$C$161,2,FALSE)*VLOOKUP(I$1,'Attrition Modeling'!$L$15:$N$27,IF(I$2-$F9&lt;=24,2,3),FALSE))*(1+Projection!K$16)*(1+IF(I141&gt;0,'Attrition Modeling'!$N$9,0))),0))</f>
        <v>0</v>
      </c>
      <c r="J9" s="799">
        <f>IF(J$2=$F9+1,Monthly!F$21,IF(J$2&gt;$F9+1,('Traditional Attrition'!I9+J141)*(1-IF(J$2-$F9&lt;=12,SUMIFS('Attrition Modeling'!$D:$D,'Attrition Modeling'!$B:$B,'Traditional Attrition'!$E9,'Attrition Modeling'!$C:$C,'Traditional Attrition'!J$1),VLOOKUP('Traditional Attrition'!J$2-'Traditional Attrition'!$F9-1,'Traditional Attrition'!$A$7:$C$161,2,FALSE)*VLOOKUP(J$1,'Attrition Modeling'!$L$15:$N$27,IF(J$2-$F9&lt;=24,2,3),FALSE))*(1+Projection!L$16)*(1+IF(J141&gt;0,'Attrition Modeling'!$N$9,0))),0))</f>
        <v>0</v>
      </c>
      <c r="K9" s="799">
        <f>IF(K$2=$F9+1,Monthly!G$21,IF(K$2&gt;$F9+1,('Traditional Attrition'!J9+K141)*(1-IF(K$2-$F9&lt;=12,SUMIFS('Attrition Modeling'!$D:$D,'Attrition Modeling'!$B:$B,'Traditional Attrition'!$E9,'Attrition Modeling'!$C:$C,'Traditional Attrition'!K$1),VLOOKUP('Traditional Attrition'!K$2-'Traditional Attrition'!$F9-1,'Traditional Attrition'!$A$7:$C$161,2,FALSE)*VLOOKUP(K$1,'Attrition Modeling'!$L$15:$N$27,IF(K$2-$F9&lt;=24,2,3),FALSE))*(1+Projection!M$16)*(1+IF(K141&gt;0,'Attrition Modeling'!$N$9,0))),0))</f>
        <v>0</v>
      </c>
      <c r="L9" s="799">
        <f>IF(L$2=$F9+1,Monthly!H$21,IF(L$2&gt;$F9+1,('Traditional Attrition'!K9+L141)*(1-IF(L$2-$F9&lt;=12,SUMIFS('Attrition Modeling'!$D:$D,'Attrition Modeling'!$B:$B,'Traditional Attrition'!$E9,'Attrition Modeling'!$C:$C,'Traditional Attrition'!L$1),VLOOKUP('Traditional Attrition'!L$2-'Traditional Attrition'!$F9-1,'Traditional Attrition'!$A$7:$C$161,2,FALSE)*VLOOKUP(L$1,'Attrition Modeling'!$L$15:$N$27,IF(L$2-$F9&lt;=24,2,3),FALSE))*(1+Projection!N$16)*(1+IF(L141&gt;0,'Attrition Modeling'!$N$9,0))),0))</f>
        <v>0</v>
      </c>
      <c r="M9" s="799">
        <f>IF(M$2=$F9+1,Monthly!I$21,IF(M$2&gt;$F9+1,('Traditional Attrition'!L9+M141)*(1-IF(M$2-$F9&lt;=12,SUMIFS('Attrition Modeling'!$D:$D,'Attrition Modeling'!$B:$B,'Traditional Attrition'!$E9,'Attrition Modeling'!$C:$C,'Traditional Attrition'!M$1),VLOOKUP('Traditional Attrition'!M$2-'Traditional Attrition'!$F9-1,'Traditional Attrition'!$A$7:$C$161,2,FALSE)*VLOOKUP(M$1,'Attrition Modeling'!$L$15:$N$27,IF(M$2-$F9&lt;=24,2,3),FALSE))*(1+Projection!O$16)*(1+IF(M141&gt;0,'Attrition Modeling'!$N$9,0))),0))</f>
        <v>0</v>
      </c>
      <c r="N9" s="799">
        <f>IF(N$2=$F9+1,Monthly!J$21,IF(N$2&gt;$F9+1,('Traditional Attrition'!M9+N141)*(1-IF(N$2-$F9&lt;=12,SUMIFS('Attrition Modeling'!$D:$D,'Attrition Modeling'!$B:$B,'Traditional Attrition'!$E9,'Attrition Modeling'!$C:$C,'Traditional Attrition'!N$1),VLOOKUP('Traditional Attrition'!N$2-'Traditional Attrition'!$F9-1,'Traditional Attrition'!$A$7:$C$161,2,FALSE)*VLOOKUP(N$1,'Attrition Modeling'!$L$15:$N$27,IF(N$2-$F9&lt;=24,2,3),FALSE))*(1+Projection!P$16)*(1+IF(N141&gt;0,'Attrition Modeling'!$N$9,0))),0))</f>
        <v>9051.8399339913158</v>
      </c>
      <c r="O9" s="799">
        <f>IF(O$2=$F9+1,Monthly!K$21,IF(O$2&gt;$F9+1,('Traditional Attrition'!N9+O141)*(1-IF(O$2-$F9&lt;=12,SUMIFS('Attrition Modeling'!$D:$D,'Attrition Modeling'!$B:$B,'Traditional Attrition'!$E9,'Attrition Modeling'!$C:$C,'Traditional Attrition'!O$1),VLOOKUP('Traditional Attrition'!O$2-'Traditional Attrition'!$F9-1,'Traditional Attrition'!$A$7:$C$161,2,FALSE)*VLOOKUP(O$1,'Attrition Modeling'!$L$15:$N$27,IF(O$2-$F9&lt;=24,2,3),FALSE))*(1+Projection!Q$16)*(1+IF(O141&gt;0,'Attrition Modeling'!$N$9,0))),0))</f>
        <v>7970.0038531763839</v>
      </c>
      <c r="P9" s="799">
        <f>IF(P$2=$F9+1,Monthly!L$21,IF(P$2&gt;$F9+1,('Traditional Attrition'!O9+P141)*(1-IF(P$2-$F9&lt;=12,SUMIFS('Attrition Modeling'!$D:$D,'Attrition Modeling'!$B:$B,'Traditional Attrition'!$E9,'Attrition Modeling'!$C:$C,'Traditional Attrition'!P$1),VLOOKUP('Traditional Attrition'!P$2-'Traditional Attrition'!$F9-1,'Traditional Attrition'!$A$7:$C$161,2,FALSE)*VLOOKUP(P$1,'Attrition Modeling'!$L$15:$N$27,IF(P$2-$F9&lt;=24,2,3),FALSE))*(1+Projection!R$16)*(1+IF(P141&gt;0,'Attrition Modeling'!$N$9,0))),0))</f>
        <v>7087.4781535106949</v>
      </c>
      <c r="Q9" s="799">
        <f>IF(Q$2=$F9+1,Monthly!M$21,IF(Q$2&gt;$F9+1,('Traditional Attrition'!P9+Q141)*(1-IF(Q$2-$F9&lt;=12,SUMIFS('Attrition Modeling'!$D:$D,'Attrition Modeling'!$B:$B,'Traditional Attrition'!$E9,'Attrition Modeling'!$C:$C,'Traditional Attrition'!Q$1),VLOOKUP('Traditional Attrition'!Q$2-'Traditional Attrition'!$F9-1,'Traditional Attrition'!$A$7:$C$161,2,FALSE)*VLOOKUP(Q$1,'Attrition Modeling'!$L$15:$N$27,IF(Q$2-$F9&lt;=24,2,3),FALSE))*(1+Projection!S$16)*(1+IF(Q141&gt;0,'Attrition Modeling'!$N$9,0))),0))</f>
        <v>6427.2651759305227</v>
      </c>
      <c r="R9" s="799">
        <f>IF(R$2=$F9+1,Monthly!N$21,IF(R$2&gt;$F9+1,('Traditional Attrition'!Q9+R141)*(1-IF(R$2-$F9&lt;=12,SUMIFS('Attrition Modeling'!$D:$D,'Attrition Modeling'!$B:$B,'Traditional Attrition'!$E9,'Attrition Modeling'!$C:$C,'Traditional Attrition'!R$1),VLOOKUP('Traditional Attrition'!R$2-'Traditional Attrition'!$F9-1,'Traditional Attrition'!$A$7:$C$161,2,FALSE)*VLOOKUP(R$1,'Attrition Modeling'!$L$15:$N$27,IF(R$2-$F9&lt;=24,2,3),FALSE))*(1+Projection!T$16)*(1+IF(R141&gt;0,'Attrition Modeling'!$N$9,0))),0))</f>
        <v>5863.2956020792972</v>
      </c>
      <c r="S9" s="799">
        <f>IF(S$2=$F9+1,Monthly!O$21,IF(S$2&gt;$F9+1,('Traditional Attrition'!R9+S141)*(1-IF(S$2-$F9&lt;=12,SUMIFS('Attrition Modeling'!$D:$D,'Attrition Modeling'!$B:$B,'Traditional Attrition'!$E9,'Attrition Modeling'!$C:$C,'Traditional Attrition'!S$1),VLOOKUP('Traditional Attrition'!S$2-'Traditional Attrition'!$F9-1,'Traditional Attrition'!$A$7:$C$161,2,FALSE)*VLOOKUP(S$1,'Attrition Modeling'!$L$15:$N$27,IF(S$2-$F9&lt;=24,2,3),FALSE))*(1+Projection!U$16)*(1+IF(S141&gt;0,'Attrition Modeling'!$N$9,0))),0))</f>
        <v>5750.0425777675182</v>
      </c>
      <c r="T9" s="799">
        <f>IF(T$2=$F9+1,Monthly!P$21,IF(T$2&gt;$F9+1,('Traditional Attrition'!S9+T141)*(1-IF(T$2-$F9&lt;=12,SUMIFS('Attrition Modeling'!$D:$D,'Attrition Modeling'!$B:$B,'Traditional Attrition'!$E9,'Attrition Modeling'!$C:$C,'Traditional Attrition'!T$1),VLOOKUP('Traditional Attrition'!T$2-'Traditional Attrition'!$F9-1,'Traditional Attrition'!$A$7:$C$161,2,FALSE)*VLOOKUP(T$1,'Attrition Modeling'!$L$15:$N$27,IF(T$2-$F9&lt;=24,2,3),FALSE))*(1+Projection!V$16)*(1+IF(T141&gt;0,'Attrition Modeling'!$N$9,0))),0))</f>
        <v>5354.2237343183178</v>
      </c>
      <c r="U9" s="799">
        <f>IF(U$2=$F9+1,Monthly!Q$21,IF(U$2&gt;$F9+1,('Traditional Attrition'!T9+U141)*(1-IF(U$2-$F9&lt;=12,SUMIFS('Attrition Modeling'!$D:$D,'Attrition Modeling'!$B:$B,'Traditional Attrition'!$E9,'Attrition Modeling'!$C:$C,'Traditional Attrition'!U$1),VLOOKUP('Traditional Attrition'!U$2-'Traditional Attrition'!$F9-1,'Traditional Attrition'!$A$7:$C$161,2,FALSE)*VLOOKUP(U$1,'Attrition Modeling'!$L$15:$N$27,IF(U$2-$F9&lt;=24,2,3),FALSE))*(1+Projection!W$16)*(1+IF(U141&gt;0,'Attrition Modeling'!$N$9,0))),0))</f>
        <v>5023.5248170850336</v>
      </c>
      <c r="V9" s="799">
        <f>IF(V$2=$F9+1,Monthly!R$21,IF(V$2&gt;$F9+1,('Traditional Attrition'!U9+V141)*(1-IF(V$2-$F9&lt;=12,SUMIFS('Attrition Modeling'!$D:$D,'Attrition Modeling'!$B:$B,'Traditional Attrition'!$E9,'Attrition Modeling'!$C:$C,'Traditional Attrition'!V$1),VLOOKUP('Traditional Attrition'!V$2-'Traditional Attrition'!$F9-1,'Traditional Attrition'!$A$7:$C$161,2,FALSE)*VLOOKUP(V$1,'Attrition Modeling'!$L$15:$N$27,IF(V$2-$F9&lt;=24,2,3),FALSE))*(1+Projection!X$16)*(1+IF(V141&gt;0,'Attrition Modeling'!$N$9,0))),0))</f>
        <v>4699.167022106195</v>
      </c>
      <c r="W9" s="799">
        <f>IF(W$2=$F9+1,Monthly!S$21,IF(W$2&gt;$F9+1,('Traditional Attrition'!V9+W141)*(1-IF(W$2-$F9&lt;=12,SUMIFS('Attrition Modeling'!$D:$D,'Attrition Modeling'!$B:$B,'Traditional Attrition'!$E9,'Attrition Modeling'!$C:$C,'Traditional Attrition'!W$1),VLOOKUP('Traditional Attrition'!W$2-'Traditional Attrition'!$F9-1,'Traditional Attrition'!$A$7:$C$161,2,FALSE)*VLOOKUP(W$1,'Attrition Modeling'!$L$15:$N$27,IF(W$2-$F9&lt;=24,2,3),FALSE))*(1+Projection!Y$16)*(1+IF(W141&gt;0,'Attrition Modeling'!$N$9,0))),0))</f>
        <v>4439.4705640963903</v>
      </c>
      <c r="X9" s="799">
        <f>IF(X$2=$F9+1,Monthly!T$21,IF(X$2&gt;$F9+1,('Traditional Attrition'!W9+X141)*(1-IF(X$2-$F9&lt;=12,SUMIFS('Attrition Modeling'!$D:$D,'Attrition Modeling'!$B:$B,'Traditional Attrition'!$E9,'Attrition Modeling'!$C:$C,'Traditional Attrition'!X$1),VLOOKUP('Traditional Attrition'!X$2-'Traditional Attrition'!$F9-1,'Traditional Attrition'!$A$7:$C$161,2,FALSE)*VLOOKUP(X$1,'Attrition Modeling'!$L$15:$N$27,IF(X$2-$F9&lt;=24,2,3),FALSE))*(1+Projection!Z$16)*(1+IF(X141&gt;0,'Attrition Modeling'!$N$9,0))),0))</f>
        <v>4185.0811760948854</v>
      </c>
      <c r="Y9" s="799">
        <f>IF(Y$2=$F9+1,Monthly!U$21,IF(Y$2&gt;$F9+1,('Traditional Attrition'!X9+Y141)*(1-IF(Y$2-$F9&lt;=12,SUMIFS('Attrition Modeling'!$D:$D,'Attrition Modeling'!$B:$B,'Traditional Attrition'!$E9,'Attrition Modeling'!$C:$C,'Traditional Attrition'!Y$1),VLOOKUP('Traditional Attrition'!Y$2-'Traditional Attrition'!$F9-1,'Traditional Attrition'!$A$7:$C$161,2,FALSE)*VLOOKUP(Y$1,'Attrition Modeling'!$L$15:$N$27,IF(Y$2-$F9&lt;=24,2,3),FALSE))*(1+Projection!AA$16)*(1+IF(Y141&gt;0,'Attrition Modeling'!$N$9,0))),0))</f>
        <v>4064.8047470983065</v>
      </c>
      <c r="Z9" s="799">
        <f>IF(Z$2=$F9+1,Monthly!V$21,IF(Z$2&gt;$F9+1,('Traditional Attrition'!Y9+Z141)*(1-IF(Z$2-$F9&lt;=12,SUMIFS('Attrition Modeling'!$D:$D,'Attrition Modeling'!$B:$B,'Traditional Attrition'!$E9,'Attrition Modeling'!$C:$C,'Traditional Attrition'!Z$1),VLOOKUP('Traditional Attrition'!Z$2-'Traditional Attrition'!$F9-1,'Traditional Attrition'!$A$7:$C$161,2,FALSE)*VLOOKUP(Z$1,'Attrition Modeling'!$L$15:$N$27,IF(Z$2-$F9&lt;=24,2,3),FALSE))*(1+Projection!AB$16)*(1+IF(Z141&gt;0,'Attrition Modeling'!$N$9,0))),0))</f>
        <v>3829.0423766931749</v>
      </c>
      <c r="AA9" s="799">
        <f>IF(AA$2=$F9+1,Monthly!W$21,IF(AA$2&gt;$F9+1,('Traditional Attrition'!Z9+AA141)*(1-IF(AA$2-$F9&lt;=12,SUMIFS('Attrition Modeling'!$D:$D,'Attrition Modeling'!$B:$B,'Traditional Attrition'!$E9,'Attrition Modeling'!$C:$C,'Traditional Attrition'!AA$1),VLOOKUP('Traditional Attrition'!AA$2-'Traditional Attrition'!$F9-1,'Traditional Attrition'!$A$7:$C$161,2,FALSE)*VLOOKUP(AA$1,'Attrition Modeling'!$L$15:$N$27,IF(AA$2-$F9&lt;=24,2,3),FALSE))*(1+Projection!AC$16)*(1+IF(AA141&gt;0,'Attrition Modeling'!$N$9,0))),0))</f>
        <v>3615.0448194964133</v>
      </c>
      <c r="AB9" s="799">
        <f>IF(AB$2=$F9+1,Monthly!X$21,IF(AB$2&gt;$F9+1,('Traditional Attrition'!AA9+AB141)*(1-IF(AB$2-$F9&lt;=12,SUMIFS('Attrition Modeling'!$D:$D,'Attrition Modeling'!$B:$B,'Traditional Attrition'!$E9,'Attrition Modeling'!$C:$C,'Traditional Attrition'!AB$1),VLOOKUP('Traditional Attrition'!AB$2-'Traditional Attrition'!$F9-1,'Traditional Attrition'!$A$7:$C$161,2,FALSE)*VLOOKUP(AB$1,'Attrition Modeling'!$L$15:$N$27,IF(AB$2-$F9&lt;=24,2,3),FALSE))*(1+Projection!AD$16)*(1+IF(AB141&gt;0,'Attrition Modeling'!$N$9,0))),0))</f>
        <v>3439.8336079135861</v>
      </c>
      <c r="AC9" s="799">
        <f>IF(AC$2=$F9+1,Monthly!Y$21,IF(AC$2&gt;$F9+1,('Traditional Attrition'!AB9+AC141)*(1-IF(AC$2-$F9&lt;=12,SUMIFS('Attrition Modeling'!$D:$D,'Attrition Modeling'!$B:$B,'Traditional Attrition'!$E9,'Attrition Modeling'!$C:$C,'Traditional Attrition'!AC$1),VLOOKUP('Traditional Attrition'!AC$2-'Traditional Attrition'!$F9-1,'Traditional Attrition'!$A$7:$C$161,2,FALSE)*VLOOKUP(AC$1,'Attrition Modeling'!$L$15:$N$27,IF(AC$2-$F9&lt;=24,2,3),FALSE))*(1+Projection!AE$16)*(1+IF(AC141&gt;0,'Attrition Modeling'!$N$9,0))),0))</f>
        <v>3275.4882133097153</v>
      </c>
      <c r="AD9" s="799">
        <f>IF(AD$2=$F9+1,Monthly!Z$21,IF(AD$2&gt;$F9+1,('Traditional Attrition'!AC9+AD141)*(1-IF(AD$2-$F9&lt;=12,SUMIFS('Attrition Modeling'!$D:$D,'Attrition Modeling'!$B:$B,'Traditional Attrition'!$E9,'Attrition Modeling'!$C:$C,'Traditional Attrition'!AD$1),VLOOKUP('Traditional Attrition'!AD$2-'Traditional Attrition'!$F9-1,'Traditional Attrition'!$A$7:$C$161,2,FALSE)*VLOOKUP(AD$1,'Attrition Modeling'!$L$15:$N$27,IF(AD$2-$F9&lt;=24,2,3),FALSE))*(1+Projection!AF$16)*(1+IF(AD141&gt;0,'Attrition Modeling'!$N$9,0))),0))</f>
        <v>3129.3702909736212</v>
      </c>
      <c r="AE9" s="799">
        <f>IF(AE$2=$F9+1,Monthly!AA$21,IF(AE$2&gt;$F9+1,('Traditional Attrition'!AD9+AE141)*(1-IF(AE$2-$F9&lt;=12,SUMIFS('Attrition Modeling'!$D:$D,'Attrition Modeling'!$B:$B,'Traditional Attrition'!$E9,'Attrition Modeling'!$C:$C,'Traditional Attrition'!AE$1),VLOOKUP('Traditional Attrition'!AE$2-'Traditional Attrition'!$F9-1,'Traditional Attrition'!$A$7:$C$161,2,FALSE)*VLOOKUP(AE$1,'Attrition Modeling'!$L$15:$N$27,IF(AE$2-$F9&lt;=24,2,3),FALSE))*(1+Projection!AG$16)*(1+IF(AE141&gt;0,'Attrition Modeling'!$N$9,0))),0))</f>
        <v>3252.6148674874739</v>
      </c>
      <c r="AF9" s="799">
        <f>IF(AF$2=$F9+1,Monthly!AB$21,IF(AF$2&gt;$F9+1,('Traditional Attrition'!AE9+AF141)*(1-IF(AF$2-$F9&lt;=12,SUMIFS('Attrition Modeling'!$D:$D,'Attrition Modeling'!$B:$B,'Traditional Attrition'!$E9,'Attrition Modeling'!$C:$C,'Traditional Attrition'!AF$1),VLOOKUP('Traditional Attrition'!AF$2-'Traditional Attrition'!$F9-1,'Traditional Attrition'!$A$7:$C$161,2,FALSE)*VLOOKUP(AF$1,'Attrition Modeling'!$L$15:$N$27,IF(AF$2-$F9&lt;=24,2,3),FALSE))*(1+Projection!AH$16)*(1+IF(AF141&gt;0,'Attrition Modeling'!$N$9,0))),0))</f>
        <v>3115.4777010903963</v>
      </c>
      <c r="AG9" s="799">
        <f>IF(AG$2=$F9+1,Monthly!AC$21,IF(AG$2&gt;$F9+1,('Traditional Attrition'!AF9+AG141)*(1-IF(AG$2-$F9&lt;=12,SUMIFS('Attrition Modeling'!$D:$D,'Attrition Modeling'!$B:$B,'Traditional Attrition'!$E9,'Attrition Modeling'!$C:$C,'Traditional Attrition'!AG$1),VLOOKUP('Traditional Attrition'!AG$2-'Traditional Attrition'!$F9-1,'Traditional Attrition'!$A$7:$C$161,2,FALSE)*VLOOKUP(AG$1,'Attrition Modeling'!$L$15:$N$27,IF(AG$2-$F9&lt;=24,2,3),FALSE))*(1+Projection!AI$16)*(1+IF(AG141&gt;0,'Attrition Modeling'!$N$9,0))),0))</f>
        <v>2999.2329036274059</v>
      </c>
      <c r="AH9" s="799">
        <f>IF(AH$2=$F9+1,Monthly!AD$21,IF(AH$2&gt;$F9+1,('Traditional Attrition'!AG9+AH141)*(1-IF(AH$2-$F9&lt;=12,SUMIFS('Attrition Modeling'!$D:$D,'Attrition Modeling'!$B:$B,'Traditional Attrition'!$E9,'Attrition Modeling'!$C:$C,'Traditional Attrition'!AH$1),VLOOKUP('Traditional Attrition'!AH$2-'Traditional Attrition'!$F9-1,'Traditional Attrition'!$A$7:$C$161,2,FALSE)*VLOOKUP(AH$1,'Attrition Modeling'!$L$15:$N$27,IF(AH$2-$F9&lt;=24,2,3),FALSE))*(1+Projection!AJ$16)*(1+IF(AH141&gt;0,'Attrition Modeling'!$N$9,0))),0))</f>
        <v>2879.495928177786</v>
      </c>
      <c r="AI9" s="799">
        <f>IF(AI$2=$F9+1,Monthly!AE$21,IF(AI$2&gt;$F9+1,('Traditional Attrition'!AH9+AI141)*(1-IF(AI$2-$F9&lt;=12,SUMIFS('Attrition Modeling'!$D:$D,'Attrition Modeling'!$B:$B,'Traditional Attrition'!$E9,'Attrition Modeling'!$C:$C,'Traditional Attrition'!AI$1),VLOOKUP('Traditional Attrition'!AI$2-'Traditional Attrition'!$F9-1,'Traditional Attrition'!$A$7:$C$161,2,FALSE)*VLOOKUP(AI$1,'Attrition Modeling'!$L$15:$N$27,IF(AI$2-$F9&lt;=24,2,3),FALSE))*(1+Projection!AK$16)*(1+IF(AI141&gt;0,'Attrition Modeling'!$N$9,0))),0))</f>
        <v>2768.2247024394437</v>
      </c>
      <c r="AJ9" s="799">
        <f>IF(AJ$2=$F9+1,Monthly!AF$21,IF(AJ$2&gt;$F9+1,('Traditional Attrition'!AI9+AJ141)*(1-IF(AJ$2-$F9&lt;=12,SUMIFS('Attrition Modeling'!$D:$D,'Attrition Modeling'!$B:$B,'Traditional Attrition'!$E9,'Attrition Modeling'!$C:$C,'Traditional Attrition'!AJ$1),VLOOKUP('Traditional Attrition'!AJ$2-'Traditional Attrition'!$F9-1,'Traditional Attrition'!$A$7:$C$161,2,FALSE)*VLOOKUP(AJ$1,'Attrition Modeling'!$L$15:$N$27,IF(AJ$2-$F9&lt;=24,2,3),FALSE))*(1+Projection!AL$16)*(1+IF(AJ141&gt;0,'Attrition Modeling'!$N$9,0))),0))</f>
        <v>2663.5345949599132</v>
      </c>
      <c r="AK9" s="799">
        <f>IF(AK$2=$F9+1,Monthly!AG$21,IF(AK$2&gt;$F9+1,('Traditional Attrition'!AJ9+AK141)*(1-IF(AK$2-$F9&lt;=12,SUMIFS('Attrition Modeling'!$D:$D,'Attrition Modeling'!$B:$B,'Traditional Attrition'!$E9,'Attrition Modeling'!$C:$C,'Traditional Attrition'!AK$1),VLOOKUP('Traditional Attrition'!AK$2-'Traditional Attrition'!$F9-1,'Traditional Attrition'!$A$7:$C$161,2,FALSE)*VLOOKUP(AK$1,'Attrition Modeling'!$L$15:$N$27,IF(AK$2-$F9&lt;=24,2,3),FALSE))*(1+Projection!AM$16)*(1+IF(AK141&gt;0,'Attrition Modeling'!$N$9,0))),0))</f>
        <v>2554.4081670935689</v>
      </c>
      <c r="AL9" s="799">
        <f>IF(AL$2=$F9+1,Monthly!AH$21,IF(AL$2&gt;$F9+1,('Traditional Attrition'!AK9+AL141)*(1-IF(AL$2-$F9&lt;=12,SUMIFS('Attrition Modeling'!$D:$D,'Attrition Modeling'!$B:$B,'Traditional Attrition'!$E9,'Attrition Modeling'!$C:$C,'Traditional Attrition'!AL$1),VLOOKUP('Traditional Attrition'!AL$2-'Traditional Attrition'!$F9-1,'Traditional Attrition'!$A$7:$C$161,2,FALSE)*VLOOKUP(AL$1,'Attrition Modeling'!$L$15:$N$27,IF(AL$2-$F9&lt;=24,2,3),FALSE))*(1+Projection!AN$16)*(1+IF(AL141&gt;0,'Attrition Modeling'!$N$9,0))),0))</f>
        <v>2450.8777314206841</v>
      </c>
      <c r="AM9" s="799">
        <f>IF(AM$2=$F9+1,Monthly!AI$21,IF(AM$2&gt;$F9+1,('Traditional Attrition'!AL9+AM141)*(1-IF(AM$2-$F9&lt;=12,SUMIFS('Attrition Modeling'!$D:$D,'Attrition Modeling'!$B:$B,'Traditional Attrition'!$E9,'Attrition Modeling'!$C:$C,'Traditional Attrition'!AM$1),VLOOKUP('Traditional Attrition'!AM$2-'Traditional Attrition'!$F9-1,'Traditional Attrition'!$A$7:$C$161,2,FALSE)*VLOOKUP(AM$1,'Attrition Modeling'!$L$15:$N$27,IF(AM$2-$F9&lt;=24,2,3),FALSE))*(1+Projection!AO$16)*(1+IF(AM141&gt;0,'Attrition Modeling'!$N$9,0))),0))</f>
        <v>2345.6913736443403</v>
      </c>
      <c r="AN9" s="799">
        <f>IF(AN$2=$F9+1,Monthly!AJ$21,IF(AN$2&gt;$F9+1,('Traditional Attrition'!AM9+AN141)*(1-IF(AN$2-$F9&lt;=12,SUMIFS('Attrition Modeling'!$D:$D,'Attrition Modeling'!$B:$B,'Traditional Attrition'!$E9,'Attrition Modeling'!$C:$C,'Traditional Attrition'!AN$1),VLOOKUP('Traditional Attrition'!AN$2-'Traditional Attrition'!$F9-1,'Traditional Attrition'!$A$7:$C$161,2,FALSE)*VLOOKUP(AN$1,'Attrition Modeling'!$L$15:$N$27,IF(AN$2-$F9&lt;=24,2,3),FALSE))*(1+Projection!AP$16)*(1+IF(AN141&gt;0,'Attrition Modeling'!$N$9,0))),0))</f>
        <v>2252.4296922714034</v>
      </c>
      <c r="AO9" s="799">
        <f>IF(AO$2=$F9+1,Monthly!AK$21,IF(AO$2&gt;$F9+1,('Traditional Attrition'!AN9+AO141)*(1-IF(AO$2-$F9&lt;=12,SUMIFS('Attrition Modeling'!$D:$D,'Attrition Modeling'!$B:$B,'Traditional Attrition'!$E9,'Attrition Modeling'!$C:$C,'Traditional Attrition'!AO$1),VLOOKUP('Traditional Attrition'!AO$2-'Traditional Attrition'!$F9-1,'Traditional Attrition'!$A$7:$C$161,2,FALSE)*VLOOKUP(AO$1,'Attrition Modeling'!$L$15:$N$27,IF(AO$2-$F9&lt;=24,2,3),FALSE))*(1+Projection!AQ$16)*(1+IF(AO141&gt;0,'Attrition Modeling'!$N$9,0))),0))</f>
        <v>2167.0989630741628</v>
      </c>
      <c r="AP9" s="799">
        <f>IF(AP$2=$F9+1,Monthly!AL$21,IF(AP$2&gt;$F9+1,('Traditional Attrition'!AO9+AP141)*(1-IF(AP$2-$F9&lt;=12,SUMIFS('Attrition Modeling'!$D:$D,'Attrition Modeling'!$B:$B,'Traditional Attrition'!$E9,'Attrition Modeling'!$C:$C,'Traditional Attrition'!AP$1),VLOOKUP('Traditional Attrition'!AP$2-'Traditional Attrition'!$F9-1,'Traditional Attrition'!$A$7:$C$161,2,FALSE)*VLOOKUP(AP$1,'Attrition Modeling'!$L$15:$N$27,IF(AP$2-$F9&lt;=24,2,3),FALSE))*(1+Projection!AR$16)*(1+IF(AP141&gt;0,'Attrition Modeling'!$N$9,0))),0))</f>
        <v>2087.8876859076527</v>
      </c>
      <c r="AQ9" s="799">
        <f>IF(AQ$2=$F9+1,Monthly!AM$21,IF(AQ$2&gt;$F9+1,('Traditional Attrition'!AP9+AQ141)*(1-IF(AQ$2-$F9&lt;=12,SUMIFS('Attrition Modeling'!$D:$D,'Attrition Modeling'!$B:$B,'Traditional Attrition'!$E9,'Attrition Modeling'!$C:$C,'Traditional Attrition'!AQ$1),VLOOKUP('Traditional Attrition'!AQ$2-'Traditional Attrition'!$F9-1,'Traditional Attrition'!$A$7:$C$161,2,FALSE)*VLOOKUP(AQ$1,'Attrition Modeling'!$L$15:$N$27,IF(AQ$2-$F9&lt;=24,2,3),FALSE))*(1+Projection!AS$16)*(1+IF(AQ141&gt;0,'Attrition Modeling'!$N$9,0))),0))</f>
        <v>2076.2568867077857</v>
      </c>
      <c r="AR9" s="799">
        <f>IF(AR$2=$F9+1,Monthly!AN$21,IF(AR$2&gt;$F9+1,('Traditional Attrition'!AQ9+AR141)*(1-IF(AR$2-$F9&lt;=12,SUMIFS('Attrition Modeling'!$D:$D,'Attrition Modeling'!$B:$B,'Traditional Attrition'!$E9,'Attrition Modeling'!$C:$C,'Traditional Attrition'!AR$1),VLOOKUP('Traditional Attrition'!AR$2-'Traditional Attrition'!$F9-1,'Traditional Attrition'!$A$7:$C$161,2,FALSE)*VLOOKUP(AR$1,'Attrition Modeling'!$L$15:$N$27,IF(AR$2-$F9&lt;=24,2,3),FALSE))*(1+Projection!AT$16)*(1+IF(AR141&gt;0,'Attrition Modeling'!$N$9,0))),0))</f>
        <v>2008.7247252633556</v>
      </c>
      <c r="AS9" s="799">
        <f>IF(AS$2=$F9+1,Monthly!AO$21,IF(AS$2&gt;$F9+1,('Traditional Attrition'!AR9+AS141)*(1-IF(AS$2-$F9&lt;=12,SUMIFS('Attrition Modeling'!$D:$D,'Attrition Modeling'!$B:$B,'Traditional Attrition'!$E9,'Attrition Modeling'!$C:$C,'Traditional Attrition'!AS$1),VLOOKUP('Traditional Attrition'!AS$2-'Traditional Attrition'!$F9-1,'Traditional Attrition'!$A$7:$C$161,2,FALSE)*VLOOKUP(AS$1,'Attrition Modeling'!$L$15:$N$27,IF(AS$2-$F9&lt;=24,2,3),FALSE))*(1+Projection!AU$16)*(1+IF(AS141&gt;0,'Attrition Modeling'!$N$9,0))),0))</f>
        <v>1946.1966277440208</v>
      </c>
      <c r="AT9" s="799">
        <f>IF(AT$2=$F9+1,Monthly!AP$21,IF(AT$2&gt;$F9+1,('Traditional Attrition'!AS9+AT141)*(1-IF(AT$2-$F9&lt;=12,SUMIFS('Attrition Modeling'!$D:$D,'Attrition Modeling'!$B:$B,'Traditional Attrition'!$E9,'Attrition Modeling'!$C:$C,'Traditional Attrition'!AT$1),VLOOKUP('Traditional Attrition'!AT$2-'Traditional Attrition'!$F9-1,'Traditional Attrition'!$A$7:$C$161,2,FALSE)*VLOOKUP(AT$1,'Attrition Modeling'!$L$15:$N$27,IF(AT$2-$F9&lt;=24,2,3),FALSE))*(1+Projection!AV$16)*(1+IF(AT141&gt;0,'Attrition Modeling'!$N$9,0))),0))</f>
        <v>1888.8415073643973</v>
      </c>
      <c r="AU9" s="799">
        <f>IF(AU$2=$F9+1,Monthly!AQ$21,IF(AU$2&gt;$F9+1,('Traditional Attrition'!AT9+AU141)*(1-IF(AU$2-$F9&lt;=12,SUMIFS('Attrition Modeling'!$D:$D,'Attrition Modeling'!$B:$B,'Traditional Attrition'!$E9,'Attrition Modeling'!$C:$C,'Traditional Attrition'!AU$1),VLOOKUP('Traditional Attrition'!AU$2-'Traditional Attrition'!$F9-1,'Traditional Attrition'!$A$7:$C$161,2,FALSE)*VLOOKUP(AU$1,'Attrition Modeling'!$L$15:$N$27,IF(AU$2-$F9&lt;=24,2,3),FALSE))*(1+Projection!AW$16)*(1+IF(AU141&gt;0,'Attrition Modeling'!$N$9,0))),0))</f>
        <v>1845.081280561905</v>
      </c>
      <c r="AV9" s="799">
        <f>IF(AV$2=$F9+1,Monthly!AR$21,IF(AV$2&gt;$F9+1,('Traditional Attrition'!AU9+AV141)*(1-IF(AV$2-$F9&lt;=12,SUMIFS('Attrition Modeling'!$D:$D,'Attrition Modeling'!$B:$B,'Traditional Attrition'!$E9,'Attrition Modeling'!$C:$C,'Traditional Attrition'!AV$1),VLOOKUP('Traditional Attrition'!AV$2-'Traditional Attrition'!$F9-1,'Traditional Attrition'!$A$7:$C$161,2,FALSE)*VLOOKUP(AV$1,'Attrition Modeling'!$L$15:$N$27,IF(AV$2-$F9&lt;=24,2,3),FALSE))*(1+Projection!AX$16)*(1+IF(AV141&gt;0,'Attrition Modeling'!$N$9,0))),0))</f>
        <v>1794.0556629296427</v>
      </c>
      <c r="AW9" s="799">
        <f>IF(AW$2=$F9+1,Monthly!AS$21,IF(AW$2&gt;$F9+1,('Traditional Attrition'!AV9+AW141)*(1-IF(AW$2-$F9&lt;=12,SUMIFS('Attrition Modeling'!$D:$D,'Attrition Modeling'!$B:$B,'Traditional Attrition'!$E9,'Attrition Modeling'!$C:$C,'Traditional Attrition'!AW$1),VLOOKUP('Traditional Attrition'!AW$2-'Traditional Attrition'!$F9-1,'Traditional Attrition'!$A$7:$C$161,2,FALSE)*VLOOKUP(AW$1,'Attrition Modeling'!$L$15:$N$27,IF(AW$2-$F9&lt;=24,2,3),FALSE))*(1+Projection!AY$16)*(1+IF(AW141&gt;0,'Attrition Modeling'!$N$9,0))),0))</f>
        <v>1738.0556695018613</v>
      </c>
      <c r="AX9" s="799">
        <f>IF(AX$2=$F9+1,Monthly!AT$21,IF(AX$2&gt;$F9+1,('Traditional Attrition'!AW9+AX141)*(1-IF(AX$2-$F9&lt;=12,SUMIFS('Attrition Modeling'!$D:$D,'Attrition Modeling'!$B:$B,'Traditional Attrition'!$E9,'Attrition Modeling'!$C:$C,'Traditional Attrition'!AX$1),VLOOKUP('Traditional Attrition'!AX$2-'Traditional Attrition'!$F9-1,'Traditional Attrition'!$A$7:$C$161,2,FALSE)*VLOOKUP(AX$1,'Attrition Modeling'!$L$15:$N$27,IF(AX$2-$F9&lt;=24,2,3),FALSE))*(1+Projection!AZ$16)*(1+IF(AX141&gt;0,'Attrition Modeling'!$N$9,0))),0))</f>
        <v>1679.5867405733964</v>
      </c>
      <c r="AY9" s="799">
        <f>IF(AY$2=$F9+1,Monthly!AU$21,IF(AY$2&gt;$F9+1,('Traditional Attrition'!AX9+AY141)*(1-IF(AY$2-$F9&lt;=12,SUMIFS('Attrition Modeling'!$D:$D,'Attrition Modeling'!$B:$B,'Traditional Attrition'!$E9,'Attrition Modeling'!$C:$C,'Traditional Attrition'!AY$1),VLOOKUP('Traditional Attrition'!AY$2-'Traditional Attrition'!$F9-1,'Traditional Attrition'!$A$7:$C$161,2,FALSE)*VLOOKUP(AY$1,'Attrition Modeling'!$L$15:$N$27,IF(AY$2-$F9&lt;=24,2,3),FALSE))*(1+Projection!BA$16)*(1+IF(AY141&gt;0,'Attrition Modeling'!$N$9,0))),0))</f>
        <v>1619.5567075093816</v>
      </c>
      <c r="AZ9" s="799">
        <f>IF(AZ$2=$F9+1,Monthly!AV$21,IF(AZ$2&gt;$F9+1,('Traditional Attrition'!AY9+AZ141)*(1-IF(AZ$2-$F9&lt;=12,SUMIFS('Attrition Modeling'!$D:$D,'Attrition Modeling'!$B:$B,'Traditional Attrition'!$E9,'Attrition Modeling'!$C:$C,'Traditional Attrition'!AZ$1),VLOOKUP('Traditional Attrition'!AZ$2-'Traditional Attrition'!$F9-1,'Traditional Attrition'!$A$7:$C$161,2,FALSE)*VLOOKUP(AZ$1,'Attrition Modeling'!$L$15:$N$27,IF(AZ$2-$F9&lt;=24,2,3),FALSE))*(1+Projection!BB$16)*(1+IF(AZ141&gt;0,'Attrition Modeling'!$N$9,0))),0))</f>
        <v>1565.7655650118932</v>
      </c>
      <c r="BA9" s="799">
        <f>IF(BA$2=$F9+1,Monthly!AW$21,IF(BA$2&gt;$F9+1,('Traditional Attrition'!AZ9+BA141)*(1-IF(BA$2-$F9&lt;=12,SUMIFS('Attrition Modeling'!$D:$D,'Attrition Modeling'!$B:$B,'Traditional Attrition'!$E9,'Attrition Modeling'!$C:$C,'Traditional Attrition'!BA$1),VLOOKUP('Traditional Attrition'!BA$2-'Traditional Attrition'!$F9-1,'Traditional Attrition'!$A$7:$C$161,2,FALSE)*VLOOKUP(BA$1,'Attrition Modeling'!$L$15:$N$27,IF(BA$2-$F9&lt;=24,2,3),FALSE))*(1+Projection!BC$16)*(1+IF(BA141&gt;0,'Attrition Modeling'!$N$9,0))),0))</f>
        <v>1516.0680975542914</v>
      </c>
      <c r="BB9" s="799">
        <f>IF(BB$2=$F9+1,Monthly!AX$21,IF(BB$2&gt;$F9+1,('Traditional Attrition'!BA9+BB141)*(1-IF(BB$2-$F9&lt;=12,SUMIFS('Attrition Modeling'!$D:$D,'Attrition Modeling'!$B:$B,'Traditional Attrition'!$E9,'Attrition Modeling'!$C:$C,'Traditional Attrition'!BB$1),VLOOKUP('Traditional Attrition'!BB$2-'Traditional Attrition'!$F9-1,'Traditional Attrition'!$A$7:$C$161,2,FALSE)*VLOOKUP(BB$1,'Attrition Modeling'!$L$15:$N$27,IF(BB$2-$F9&lt;=24,2,3),FALSE))*(1+Projection!BD$16)*(1+IF(BB141&gt;0,'Attrition Modeling'!$N$9,0))),0))</f>
        <v>1469.5121029219079</v>
      </c>
      <c r="BC9" s="799">
        <f>IF(BC$2=$F9+1,Monthly!AY$21,IF(BC$2&gt;$F9+1,('Traditional Attrition'!BB9+BC141)*(1-IF(BC$2-$F9&lt;=12,SUMIFS('Attrition Modeling'!$D:$D,'Attrition Modeling'!$B:$B,'Traditional Attrition'!$E9,'Attrition Modeling'!$C:$C,'Traditional Attrition'!BC$1),VLOOKUP('Traditional Attrition'!BC$2-'Traditional Attrition'!$F9-1,'Traditional Attrition'!$A$7:$C$161,2,FALSE)*VLOOKUP(BC$1,'Attrition Modeling'!$L$15:$N$27,IF(BC$2-$F9&lt;=24,2,3),FALSE))*(1+Projection!BE$16)*(1+IF(BC141&gt;0,'Attrition Modeling'!$N$9,0))),0))</f>
        <v>1485.3841121103187</v>
      </c>
      <c r="BD9" s="799">
        <f>IF(BD$2=$F9+1,Monthly!AZ$21,IF(BD$2&gt;$F9+1,('Traditional Attrition'!BC9+BD141)*(1-IF(BD$2-$F9&lt;=12,SUMIFS('Attrition Modeling'!$D:$D,'Attrition Modeling'!$B:$B,'Traditional Attrition'!$E9,'Attrition Modeling'!$C:$C,'Traditional Attrition'!BD$1),VLOOKUP('Traditional Attrition'!BD$2-'Traditional Attrition'!$F9-1,'Traditional Attrition'!$A$7:$C$161,2,FALSE)*VLOOKUP(BD$1,'Attrition Modeling'!$L$15:$N$27,IF(BD$2-$F9&lt;=24,2,3),FALSE))*(1+Projection!BF$16)*(1+IF(BD141&gt;0,'Attrition Modeling'!$N$9,0))),0))</f>
        <v>1444.5893277618834</v>
      </c>
      <c r="BE9" s="799">
        <f>IF(BE$2=$F9+1,Monthly!BA$21,IF(BE$2&gt;$F9+1,('Traditional Attrition'!BD9+BE141)*(1-IF(BE$2-$F9&lt;=12,SUMIFS('Attrition Modeling'!$D:$D,'Attrition Modeling'!$B:$B,'Traditional Attrition'!$E9,'Attrition Modeling'!$C:$C,'Traditional Attrition'!BE$1),VLOOKUP('Traditional Attrition'!BE$2-'Traditional Attrition'!$F9-1,'Traditional Attrition'!$A$7:$C$161,2,FALSE)*VLOOKUP(BE$1,'Attrition Modeling'!$L$15:$N$27,IF(BE$2-$F9&lt;=24,2,3),FALSE))*(1+Projection!BG$16)*(1+IF(BE141&gt;0,'Attrition Modeling'!$N$9,0))),0))</f>
        <v>1406.5319958348719</v>
      </c>
      <c r="BF9" s="799">
        <f>IF(BF$2=$F9+1,Monthly!BB$21,IF(BF$2&gt;$F9+1,('Traditional Attrition'!BE9+BF141)*(1-IF(BF$2-$F9&lt;=12,SUMIFS('Attrition Modeling'!$D:$D,'Attrition Modeling'!$B:$B,'Traditional Attrition'!$E9,'Attrition Modeling'!$C:$C,'Traditional Attrition'!BF$1),VLOOKUP('Traditional Attrition'!BF$2-'Traditional Attrition'!$F9-1,'Traditional Attrition'!$A$7:$C$161,2,FALSE)*VLOOKUP(BF$1,'Attrition Modeling'!$L$15:$N$27,IF(BF$2-$F9&lt;=24,2,3),FALSE))*(1+Projection!BH$16)*(1+IF(BF141&gt;0,'Attrition Modeling'!$N$9,0))),0))</f>
        <v>1371.3741306616696</v>
      </c>
      <c r="BG9" s="799">
        <f>IF(BG$2=$F9+1,Monthly!BC$21,IF(BG$2&gt;$F9+1,('Traditional Attrition'!BF9+BG141)*(1-IF(BG$2-$F9&lt;=12,SUMIFS('Attrition Modeling'!$D:$D,'Attrition Modeling'!$B:$B,'Traditional Attrition'!$E9,'Attrition Modeling'!$C:$C,'Traditional Attrition'!BG$1),VLOOKUP('Traditional Attrition'!BG$2-'Traditional Attrition'!$F9-1,'Traditional Attrition'!$A$7:$C$161,2,FALSE)*VLOOKUP(BG$1,'Attrition Modeling'!$L$15:$N$27,IF(BG$2-$F9&lt;=24,2,3),FALSE))*(1+Projection!BI$16)*(1+IF(BG141&gt;0,'Attrition Modeling'!$N$9,0))),0))</f>
        <v>1344.3703209943592</v>
      </c>
      <c r="BH9" s="799">
        <f>IF(BH$2=$F9+1,Monthly!BD$21,IF(BH$2&gt;$F9+1,('Traditional Attrition'!BG9+BH141)*(1-IF(BH$2-$F9&lt;=12,SUMIFS('Attrition Modeling'!$D:$D,'Attrition Modeling'!$B:$B,'Traditional Attrition'!$E9,'Attrition Modeling'!$C:$C,'Traditional Attrition'!BH$1),VLOOKUP('Traditional Attrition'!BH$2-'Traditional Attrition'!$F9-1,'Traditional Attrition'!$A$7:$C$161,2,FALSE)*VLOOKUP(BH$1,'Attrition Modeling'!$L$15:$N$27,IF(BH$2-$F9&lt;=24,2,3),FALSE))*(1+Projection!BJ$16)*(1+IF(BH141&gt;0,'Attrition Modeling'!$N$9,0))),0))</f>
        <v>1312.7091244325038</v>
      </c>
      <c r="BI9" s="799">
        <f>IF(BI$2=$F9+1,Monthly!BE$21,IF(BI$2&gt;$F9+1,('Traditional Attrition'!BH9+BI141)*(1-IF(BI$2-$F9&lt;=12,SUMIFS('Attrition Modeling'!$D:$D,'Attrition Modeling'!$B:$B,'Traditional Attrition'!$E9,'Attrition Modeling'!$C:$C,'Traditional Attrition'!BI$1),VLOOKUP('Traditional Attrition'!BI$2-'Traditional Attrition'!$F9-1,'Traditional Attrition'!$A$7:$C$161,2,FALSE)*VLOOKUP(BI$1,'Attrition Modeling'!$L$15:$N$27,IF(BI$2-$F9&lt;=24,2,3),FALSE))*(1+Projection!BK$16)*(1+IF(BI141&gt;0,'Attrition Modeling'!$N$9,0))),0))</f>
        <v>1277.7498024041697</v>
      </c>
      <c r="BJ9" s="799">
        <f>IF(BJ$2=$F9+1,Monthly!BF$21,IF(BJ$2&gt;$F9+1,('Traditional Attrition'!BI9+BJ141)*(1-IF(BJ$2-$F9&lt;=12,SUMIFS('Attrition Modeling'!$D:$D,'Attrition Modeling'!$B:$B,'Traditional Attrition'!$E9,'Attrition Modeling'!$C:$C,'Traditional Attrition'!BJ$1),VLOOKUP('Traditional Attrition'!BJ$2-'Traditional Attrition'!$F9-1,'Traditional Attrition'!$A$7:$C$161,2,FALSE)*VLOOKUP(BJ$1,'Attrition Modeling'!$L$15:$N$27,IF(BJ$2-$F9&lt;=24,2,3),FALSE))*(1+Projection!BL$16)*(1+IF(BJ141&gt;0,'Attrition Modeling'!$N$9,0))),0))</f>
        <v>1241.2586383641178</v>
      </c>
      <c r="BK9" s="799">
        <f>IF(BK$2=$F9+1,Monthly!BG$21,IF(BK$2&gt;$F9+1,('Traditional Attrition'!BJ9+BK141)*(1-IF(BK$2-$F9&lt;=12,SUMIFS('Attrition Modeling'!$D:$D,'Attrition Modeling'!$B:$B,'Traditional Attrition'!$E9,'Attrition Modeling'!$C:$C,'Traditional Attrition'!BK$1),VLOOKUP('Traditional Attrition'!BK$2-'Traditional Attrition'!$F9-1,'Traditional Attrition'!$A$7:$C$161,2,FALSE)*VLOOKUP(BK$1,'Attrition Modeling'!$L$15:$N$27,IF(BK$2-$F9&lt;=24,2,3),FALSE))*(1+Projection!BM$16)*(1+IF(BK141&gt;0,'Attrition Modeling'!$N$9,0))),0))</f>
        <v>1203.5391154320332</v>
      </c>
      <c r="BL9" s="799">
        <f>IF(BL$2=$F9+1,Monthly!BH$21,IF(BL$2&gt;$F9+1,('Traditional Attrition'!BK9+BL141)*(1-IF(BL$2-$F9&lt;=12,SUMIFS('Attrition Modeling'!$D:$D,'Attrition Modeling'!$B:$B,'Traditional Attrition'!$E9,'Attrition Modeling'!$C:$C,'Traditional Attrition'!BL$1),VLOOKUP('Traditional Attrition'!BL$2-'Traditional Attrition'!$F9-1,'Traditional Attrition'!$A$7:$C$161,2,FALSE)*VLOOKUP(BL$1,'Attrition Modeling'!$L$15:$N$27,IF(BL$2-$F9&lt;=24,2,3),FALSE))*(1+Projection!BN$16)*(1+IF(BL141&gt;0,'Attrition Modeling'!$N$9,0))),0))</f>
        <v>1169.5034846310832</v>
      </c>
      <c r="BM9" s="799">
        <f>IF(BM$2=$F9+1,Monthly!BI$21,IF(BM$2&gt;$F9+1,('Traditional Attrition'!BL9+BM141)*(1-IF(BM$2-$F9&lt;=12,SUMIFS('Attrition Modeling'!$D:$D,'Attrition Modeling'!$B:$B,'Traditional Attrition'!$E9,'Attrition Modeling'!$C:$C,'Traditional Attrition'!BM$1),VLOOKUP('Traditional Attrition'!BM$2-'Traditional Attrition'!$F9-1,'Traditional Attrition'!$A$7:$C$161,2,FALSE)*VLOOKUP(BM$1,'Attrition Modeling'!$L$15:$N$27,IF(BM$2-$F9&lt;=24,2,3),FALSE))*(1+Projection!BO$16)*(1+IF(BM141&gt;0,'Attrition Modeling'!$N$9,0))),0))</f>
        <v>1137.8548239018223</v>
      </c>
      <c r="BN9" s="799">
        <f>IF(BN$2=$F9+1,Monthly!BJ$21,IF(BN$2&gt;$F9+1,('Traditional Attrition'!BM9+BN141)*(1-IF(BN$2-$F9&lt;=12,SUMIFS('Attrition Modeling'!$D:$D,'Attrition Modeling'!$B:$B,'Traditional Attrition'!$E9,'Attrition Modeling'!$C:$C,'Traditional Attrition'!BN$1),VLOOKUP('Traditional Attrition'!BN$2-'Traditional Attrition'!$F9-1,'Traditional Attrition'!$A$7:$C$161,2,FALSE)*VLOOKUP(BN$1,'Attrition Modeling'!$L$15:$N$27,IF(BN$2-$F9&lt;=24,2,3),FALSE))*(1+Projection!BP$16)*(1+IF(BN141&gt;0,'Attrition Modeling'!$N$9,0))),0))</f>
        <v>1108.0253598094232</v>
      </c>
      <c r="BO9" s="799">
        <f>IF(BO$2=$F9+1,Monthly!BK$21,IF(BO$2&gt;$F9+1,('Traditional Attrition'!BN9+BO141)*(1-IF(BO$2-$F9&lt;=12,SUMIFS('Attrition Modeling'!$D:$D,'Attrition Modeling'!$B:$B,'Traditional Attrition'!$E9,'Attrition Modeling'!$C:$C,'Traditional Attrition'!BO$1),VLOOKUP('Traditional Attrition'!BO$2-'Traditional Attrition'!$F9-1,'Traditional Attrition'!$A$7:$C$161,2,FALSE)*VLOOKUP(BO$1,'Attrition Modeling'!$L$15:$N$27,IF(BO$2-$F9&lt;=24,2,3),FALSE))*(1+Projection!BV$16)*(1+IF(BO141&gt;0,'Attrition Modeling'!$N$9,0))),0))</f>
        <v>1118.8308237860738</v>
      </c>
      <c r="BP9" s="799">
        <f>IF(BP$2=$F9+1,Monthly!BL$21,IF(BP$2&gt;$F9+1,('Traditional Attrition'!BO9+BP141)*(1-IF(BP$2-$F9&lt;=12,SUMIFS('Attrition Modeling'!$D:$D,'Attrition Modeling'!$B:$B,'Traditional Attrition'!$E9,'Attrition Modeling'!$C:$C,'Traditional Attrition'!BP$1),VLOOKUP('Traditional Attrition'!BP$2-'Traditional Attrition'!$F9-1,'Traditional Attrition'!$A$7:$C$161,2,FALSE)*VLOOKUP(BP$1,'Attrition Modeling'!$L$15:$N$27,IF(BP$2-$F9&lt;=24,2,3),FALSE))*(1+Projection!BW$16)*(1+IF(BP141&gt;0,'Attrition Modeling'!$N$9,0))),0))</f>
        <v>1092.5369715279439</v>
      </c>
      <c r="BQ9" s="799">
        <f>IF(BQ$2=$F9+1,Monthly!BM$21,IF(BQ$2&gt;$F9+1,('Traditional Attrition'!BP9+BQ141)*(1-IF(BQ$2-$F9&lt;=12,SUMIFS('Attrition Modeling'!$D:$D,'Attrition Modeling'!$B:$B,'Traditional Attrition'!$E9,'Attrition Modeling'!$C:$C,'Traditional Attrition'!BQ$1),VLOOKUP('Traditional Attrition'!BQ$2-'Traditional Attrition'!$F9-1,'Traditional Attrition'!$A$7:$C$161,2,FALSE)*VLOOKUP(BQ$1,'Attrition Modeling'!$L$15:$N$27,IF(BQ$2-$F9&lt;=24,2,3),FALSE))*(1+Projection!BX$16)*(1+IF(BQ141&gt;0,'Attrition Modeling'!$N$9,0))),0))</f>
        <v>1067.8808897786071</v>
      </c>
      <c r="BR9" s="799">
        <f>IF(BR$2=$F9+1,Monthly!BN$21,IF(BR$2&gt;$F9+1,('Traditional Attrition'!BQ9+BR141)*(1-IF(BR$2-$F9&lt;=12,SUMIFS('Attrition Modeling'!$D:$D,'Attrition Modeling'!$B:$B,'Traditional Attrition'!$E9,'Attrition Modeling'!$C:$C,'Traditional Attrition'!BR$1),VLOOKUP('Traditional Attrition'!BR$2-'Traditional Attrition'!$F9-1,'Traditional Attrition'!$A$7:$C$161,2,FALSE)*VLOOKUP(BR$1,'Attrition Modeling'!$L$15:$N$27,IF(BR$2-$F9&lt;=24,2,3),FALSE))*(1+Projection!BY$16)*(1+IF(BR141&gt;0,'Attrition Modeling'!$N$9,0))),0))</f>
        <v>1044.9914959478135</v>
      </c>
      <c r="BS9" s="799">
        <f>IF(BS$2=$F9+1,Monthly!BO$21,IF(BS$2&gt;$F9+1,('Traditional Attrition'!BR9+BS141)*(1-IF(BS$2-$F9&lt;=12,SUMIFS('Attrition Modeling'!$D:$D,'Attrition Modeling'!$B:$B,'Traditional Attrition'!$E9,'Attrition Modeling'!$C:$C,'Traditional Attrition'!BS$1),VLOOKUP('Traditional Attrition'!BS$2-'Traditional Attrition'!$F9-1,'Traditional Attrition'!$A$7:$C$161,2,FALSE)*VLOOKUP(BS$1,'Attrition Modeling'!$L$15:$N$27,IF(BS$2-$F9&lt;=24,2,3),FALSE))*(1+Projection!BZ$16)*(1+IF(BS141&gt;0,'Attrition Modeling'!$N$9,0))),0))</f>
        <v>1027.3294536854842</v>
      </c>
      <c r="BT9" s="799">
        <f>IF(BT$2=$F9+1,Monthly!#REF!,IF(BT$2&gt;$F9+1,('Traditional Attrition'!BS9+BT141)*(1-IF(BT$2-$F9&lt;=12,SUMIFS('Attrition Modeling'!$D:$D,'Attrition Modeling'!$B:$B,'Traditional Attrition'!$E9,'Attrition Modeling'!$C:$C,'Traditional Attrition'!BT$1),VLOOKUP('Traditional Attrition'!BT$2-'Traditional Attrition'!$F9-1,'Traditional Attrition'!$A$7:$C$161,2,FALSE)*VLOOKUP(BT$1,'Attrition Modeling'!$L$15:$N$27,IF(BT$2-$F9&lt;=24,2,3),FALSE))*(1+Projection!CA$16)*(1+IF(BT141&gt;0,'Attrition Modeling'!$N$9,0))),0))</f>
        <v>1006.5432689637541</v>
      </c>
      <c r="BU9" s="799">
        <f>IF(BU$2=$F9+1,Monthly!#REF!,IF(BU$2&gt;$F9+1,('Traditional Attrition'!BT9+BU141)*(1-IF(BU$2-$F9&lt;=12,SUMIFS('Attrition Modeling'!$D:$D,'Attrition Modeling'!$B:$B,'Traditional Attrition'!$E9,'Attrition Modeling'!$C:$C,'Traditional Attrition'!BU$1),VLOOKUP('Traditional Attrition'!BU$2-'Traditional Attrition'!$F9-1,'Traditional Attrition'!$A$7:$C$161,2,FALSE)*VLOOKUP(BU$1,'Attrition Modeling'!$L$15:$N$27,IF(BU$2-$F9&lt;=24,2,3),FALSE))*(1+Projection!CB$16)*(1+IF(BU141&gt;0,'Attrition Modeling'!$N$9,0))),0))</f>
        <v>983.4938845198684</v>
      </c>
    </row>
    <row r="10" spans="1:73" ht="14.25" customHeight="1" x14ac:dyDescent="0.2">
      <c r="A10" s="800">
        <v>3</v>
      </c>
      <c r="B10" s="779" t="e">
        <f>'Attrition Modeling'!H7*(1-Summary!$C$20)</f>
        <v>#DIV/0!</v>
      </c>
      <c r="C10" s="780" t="e">
        <f t="shared" si="4"/>
        <v>#DIV/0!</v>
      </c>
      <c r="E10" s="11">
        <f t="shared" si="2"/>
        <v>7</v>
      </c>
      <c r="F10" s="11">
        <f t="shared" si="3"/>
        <v>7</v>
      </c>
      <c r="G10" s="799"/>
      <c r="H10" s="799">
        <f>IF(H$2=$F10+1,Monthly!D$21,IF(H$2&gt;$F10+1,('Traditional Attrition'!G10+H142)*(1-IF(H$2-$F10&lt;=12,SUMIFS('Attrition Modeling'!$D:$D,'Attrition Modeling'!$B:$B,'Traditional Attrition'!$E10,'Attrition Modeling'!$C:$C,'Traditional Attrition'!H$1),VLOOKUP('Traditional Attrition'!H$2-'Traditional Attrition'!$F10-1,'Traditional Attrition'!$A$7:$C$161,2,FALSE)*VLOOKUP(H$1,'Attrition Modeling'!$L$15:$N$27,IF(H$2-$F10&lt;=24,2,3),FALSE))*(1+Projection!J$16)*(1+IF(H142&gt;0,'Attrition Modeling'!$N$9,0))),0))</f>
        <v>0</v>
      </c>
      <c r="I10" s="799">
        <f>IF(I$2=$F10+1,Monthly!E$21,IF(I$2&gt;$F10+1,('Traditional Attrition'!H10+I142)*(1-IF(I$2-$F10&lt;=12,SUMIFS('Attrition Modeling'!$D:$D,'Attrition Modeling'!$B:$B,'Traditional Attrition'!$E10,'Attrition Modeling'!$C:$C,'Traditional Attrition'!I$1),VLOOKUP('Traditional Attrition'!I$2-'Traditional Attrition'!$F10-1,'Traditional Attrition'!$A$7:$C$161,2,FALSE)*VLOOKUP(I$1,'Attrition Modeling'!$L$15:$N$27,IF(I$2-$F10&lt;=24,2,3),FALSE))*(1+Projection!K$16)*(1+IF(I142&gt;0,'Attrition Modeling'!$N$9,0))),0))</f>
        <v>0</v>
      </c>
      <c r="J10" s="799">
        <f>IF(J$2=$F10+1,Monthly!F$21,IF(J$2&gt;$F10+1,('Traditional Attrition'!I10+J142)*(1-IF(J$2-$F10&lt;=12,SUMIFS('Attrition Modeling'!$D:$D,'Attrition Modeling'!$B:$B,'Traditional Attrition'!$E10,'Attrition Modeling'!$C:$C,'Traditional Attrition'!J$1),VLOOKUP('Traditional Attrition'!J$2-'Traditional Attrition'!$F10-1,'Traditional Attrition'!$A$7:$C$161,2,FALSE)*VLOOKUP(J$1,'Attrition Modeling'!$L$15:$N$27,IF(J$2-$F10&lt;=24,2,3),FALSE))*(1+Projection!L$16)*(1+IF(J142&gt;0,'Attrition Modeling'!$N$9,0))),0))</f>
        <v>0</v>
      </c>
      <c r="K10" s="799">
        <f>IF(K$2=$F10+1,Monthly!G$21,IF(K$2&gt;$F10+1,('Traditional Attrition'!J10+K142)*(1-IF(K$2-$F10&lt;=12,SUMIFS('Attrition Modeling'!$D:$D,'Attrition Modeling'!$B:$B,'Traditional Attrition'!$E10,'Attrition Modeling'!$C:$C,'Traditional Attrition'!K$1),VLOOKUP('Traditional Attrition'!K$2-'Traditional Attrition'!$F10-1,'Traditional Attrition'!$A$7:$C$161,2,FALSE)*VLOOKUP(K$1,'Attrition Modeling'!$L$15:$N$27,IF(K$2-$F10&lt;=24,2,3),FALSE))*(1+Projection!M$16)*(1+IF(K142&gt;0,'Attrition Modeling'!$N$9,0))),0))</f>
        <v>0</v>
      </c>
      <c r="L10" s="799">
        <f>IF(L$2=$F10+1,Monthly!H$21,IF(L$2&gt;$F10+1,('Traditional Attrition'!K10+L142)*(1-IF(L$2-$F10&lt;=12,SUMIFS('Attrition Modeling'!$D:$D,'Attrition Modeling'!$B:$B,'Traditional Attrition'!$E10,'Attrition Modeling'!$C:$C,'Traditional Attrition'!L$1),VLOOKUP('Traditional Attrition'!L$2-'Traditional Attrition'!$F10-1,'Traditional Attrition'!$A$7:$C$161,2,FALSE)*VLOOKUP(L$1,'Attrition Modeling'!$L$15:$N$27,IF(L$2-$F10&lt;=24,2,3),FALSE))*(1+Projection!N$16)*(1+IF(L142&gt;0,'Attrition Modeling'!$N$9,0))),0))</f>
        <v>0</v>
      </c>
      <c r="M10" s="799">
        <f>IF(M$2=$F10+1,Monthly!I$21,IF(M$2&gt;$F10+1,('Traditional Attrition'!L10+M142)*(1-IF(M$2-$F10&lt;=12,SUMIFS('Attrition Modeling'!$D:$D,'Attrition Modeling'!$B:$B,'Traditional Attrition'!$E10,'Attrition Modeling'!$C:$C,'Traditional Attrition'!M$1),VLOOKUP('Traditional Attrition'!M$2-'Traditional Attrition'!$F10-1,'Traditional Attrition'!$A$7:$C$161,2,FALSE)*VLOOKUP(M$1,'Attrition Modeling'!$L$15:$N$27,IF(M$2-$F10&lt;=24,2,3),FALSE))*(1+Projection!O$16)*(1+IF(M142&gt;0,'Attrition Modeling'!$N$9,0))),0))</f>
        <v>0</v>
      </c>
      <c r="N10" s="799">
        <f>IF(N$2=$F10+1,Monthly!J$21,IF(N$2&gt;$F10+1,('Traditional Attrition'!M10+N142)*(1-IF(N$2-$F10&lt;=12,SUMIFS('Attrition Modeling'!$D:$D,'Attrition Modeling'!$B:$B,'Traditional Attrition'!$E10,'Attrition Modeling'!$C:$C,'Traditional Attrition'!N$1),VLOOKUP('Traditional Attrition'!N$2-'Traditional Attrition'!$F10-1,'Traditional Attrition'!$A$7:$C$161,2,FALSE)*VLOOKUP(N$1,'Attrition Modeling'!$L$15:$N$27,IF(N$2-$F10&lt;=24,2,3),FALSE))*(1+Projection!P$16)*(1+IF(N142&gt;0,'Attrition Modeling'!$N$9,0))),0))</f>
        <v>0</v>
      </c>
      <c r="O10" s="799">
        <f>IF(O$2=$F10+1,Monthly!K$21,IF(O$2&gt;$F10+1,('Traditional Attrition'!N10+O142)*(1-IF(O$2-$F10&lt;=12,SUMIFS('Attrition Modeling'!$D:$D,'Attrition Modeling'!$B:$B,'Traditional Attrition'!$E10,'Attrition Modeling'!$C:$C,'Traditional Attrition'!O$1),VLOOKUP('Traditional Attrition'!O$2-'Traditional Attrition'!$F10-1,'Traditional Attrition'!$A$7:$C$161,2,FALSE)*VLOOKUP(O$1,'Attrition Modeling'!$L$15:$N$27,IF(O$2-$F10&lt;=24,2,3),FALSE))*(1+Projection!Q$16)*(1+IF(O142&gt;0,'Attrition Modeling'!$N$9,0))),0))</f>
        <v>8135.1496745877221</v>
      </c>
      <c r="P10" s="799">
        <f>IF(P$2=$F10+1,Monthly!L$21,IF(P$2&gt;$F10+1,('Traditional Attrition'!O10+P142)*(1-IF(P$2-$F10&lt;=12,SUMIFS('Attrition Modeling'!$D:$D,'Attrition Modeling'!$B:$B,'Traditional Attrition'!$E10,'Attrition Modeling'!$C:$C,'Traditional Attrition'!P$1),VLOOKUP('Traditional Attrition'!P$2-'Traditional Attrition'!$F10-1,'Traditional Attrition'!$A$7:$C$161,2,FALSE)*VLOOKUP(P$1,'Attrition Modeling'!$L$15:$N$27,IF(P$2-$F10&lt;=24,2,3),FALSE))*(1+Projection!R$16)*(1+IF(P142&gt;0,'Attrition Modeling'!$N$9,0))),0))</f>
        <v>7204.5951222756239</v>
      </c>
      <c r="Q10" s="799">
        <f>IF(Q$2=$F10+1,Monthly!M$21,IF(Q$2&gt;$F10+1,('Traditional Attrition'!P10+Q142)*(1-IF(Q$2-$F10&lt;=12,SUMIFS('Attrition Modeling'!$D:$D,'Attrition Modeling'!$B:$B,'Traditional Attrition'!$E10,'Attrition Modeling'!$C:$C,'Traditional Attrition'!Q$1),VLOOKUP('Traditional Attrition'!Q$2-'Traditional Attrition'!$F10-1,'Traditional Attrition'!$A$7:$C$161,2,FALSE)*VLOOKUP(Q$1,'Attrition Modeling'!$L$15:$N$27,IF(Q$2-$F10&lt;=24,2,3),FALSE))*(1+Projection!S$16)*(1+IF(Q142&gt;0,'Attrition Modeling'!$N$9,0))),0))</f>
        <v>6506.6573905381492</v>
      </c>
      <c r="R10" s="799">
        <f>IF(R$2=$F10+1,Monthly!N$21,IF(R$2&gt;$F10+1,('Traditional Attrition'!Q10+R142)*(1-IF(R$2-$F10&lt;=12,SUMIFS('Attrition Modeling'!$D:$D,'Attrition Modeling'!$B:$B,'Traditional Attrition'!$E10,'Attrition Modeling'!$C:$C,'Traditional Attrition'!R$1),VLOOKUP('Traditional Attrition'!R$2-'Traditional Attrition'!$F10-1,'Traditional Attrition'!$A$7:$C$161,2,FALSE)*VLOOKUP(R$1,'Attrition Modeling'!$L$15:$N$27,IF(R$2-$F10&lt;=24,2,3),FALSE))*(1+Projection!T$16)*(1+IF(R142&gt;0,'Attrition Modeling'!$N$9,0))),0))</f>
        <v>5912.4248019645065</v>
      </c>
      <c r="S10" s="799">
        <f>IF(S$2=$F10+1,Monthly!O$21,IF(S$2&gt;$F10+1,('Traditional Attrition'!R10+S142)*(1-IF(S$2-$F10&lt;=12,SUMIFS('Attrition Modeling'!$D:$D,'Attrition Modeling'!$B:$B,'Traditional Attrition'!$E10,'Attrition Modeling'!$C:$C,'Traditional Attrition'!S$1),VLOOKUP('Traditional Attrition'!S$2-'Traditional Attrition'!$F10-1,'Traditional Attrition'!$A$7:$C$161,2,FALSE)*VLOOKUP(S$1,'Attrition Modeling'!$L$15:$N$27,IF(S$2-$F10&lt;=24,2,3),FALSE))*(1+Projection!U$16)*(1+IF(S142&gt;0,'Attrition Modeling'!$N$9,0))),0))</f>
        <v>5432.3459591671517</v>
      </c>
      <c r="T10" s="799">
        <f>IF(T$2=$F10+1,Monthly!P$21,IF(T$2&gt;$F10+1,('Traditional Attrition'!S10+T142)*(1-IF(T$2-$F10&lt;=12,SUMIFS('Attrition Modeling'!$D:$D,'Attrition Modeling'!$B:$B,'Traditional Attrition'!$E10,'Attrition Modeling'!$C:$C,'Traditional Attrition'!T$1),VLOOKUP('Traditional Attrition'!T$2-'Traditional Attrition'!$F10-1,'Traditional Attrition'!$A$7:$C$161,2,FALSE)*VLOOKUP(T$1,'Attrition Modeling'!$L$15:$N$27,IF(T$2-$F10&lt;=24,2,3),FALSE))*(1+Projection!V$16)*(1+IF(T142&gt;0,'Attrition Modeling'!$N$9,0))),0))</f>
        <v>5400.8638331748098</v>
      </c>
      <c r="U10" s="799">
        <f>IF(U$2=$F10+1,Monthly!Q$21,IF(U$2&gt;$F10+1,('Traditional Attrition'!T10+U142)*(1-IF(U$2-$F10&lt;=12,SUMIFS('Attrition Modeling'!$D:$D,'Attrition Modeling'!$B:$B,'Traditional Attrition'!$E10,'Attrition Modeling'!$C:$C,'Traditional Attrition'!U$1),VLOOKUP('Traditional Attrition'!U$2-'Traditional Attrition'!$F10-1,'Traditional Attrition'!$A$7:$C$161,2,FALSE)*VLOOKUP(U$1,'Attrition Modeling'!$L$15:$N$27,IF(U$2-$F10&lt;=24,2,3),FALSE))*(1+Projection!W$16)*(1+IF(U142&gt;0,'Attrition Modeling'!$N$9,0))),0))</f>
        <v>5060.2780146799932</v>
      </c>
      <c r="V10" s="799">
        <f>IF(V$2=$F10+1,Monthly!R$21,IF(V$2&gt;$F10+1,('Traditional Attrition'!U10+V142)*(1-IF(V$2-$F10&lt;=12,SUMIFS('Attrition Modeling'!$D:$D,'Attrition Modeling'!$B:$B,'Traditional Attrition'!$E10,'Attrition Modeling'!$C:$C,'Traditional Attrition'!V$1),VLOOKUP('Traditional Attrition'!V$2-'Traditional Attrition'!$F10-1,'Traditional Attrition'!$A$7:$C$161,2,FALSE)*VLOOKUP(V$1,'Attrition Modeling'!$L$15:$N$27,IF(V$2-$F10&lt;=24,2,3),FALSE))*(1+Projection!X$16)*(1+IF(V142&gt;0,'Attrition Modeling'!$N$9,0))),0))</f>
        <v>4731.2831793083105</v>
      </c>
      <c r="W10" s="799">
        <f>IF(W$2=$F10+1,Monthly!S$21,IF(W$2&gt;$F10+1,('Traditional Attrition'!V10+W142)*(1-IF(W$2-$F10&lt;=12,SUMIFS('Attrition Modeling'!$D:$D,'Attrition Modeling'!$B:$B,'Traditional Attrition'!$E10,'Attrition Modeling'!$C:$C,'Traditional Attrition'!W$1),VLOOKUP('Traditional Attrition'!W$2-'Traditional Attrition'!$F10-1,'Traditional Attrition'!$A$7:$C$161,2,FALSE)*VLOOKUP(W$1,'Attrition Modeling'!$L$15:$N$27,IF(W$2-$F10&lt;=24,2,3),FALSE))*(1+Projection!Y$16)*(1+IF(W142&gt;0,'Attrition Modeling'!$N$9,0))),0))</f>
        <v>4447.7548368072949</v>
      </c>
      <c r="X10" s="799">
        <f>IF(X$2=$F10+1,Monthly!T$21,IF(X$2&gt;$F10+1,('Traditional Attrition'!W10+X142)*(1-IF(X$2-$F10&lt;=12,SUMIFS('Attrition Modeling'!$D:$D,'Attrition Modeling'!$B:$B,'Traditional Attrition'!$E10,'Attrition Modeling'!$C:$C,'Traditional Attrition'!X$1),VLOOKUP('Traditional Attrition'!X$2-'Traditional Attrition'!$F10-1,'Traditional Attrition'!$A$7:$C$161,2,FALSE)*VLOOKUP(X$1,'Attrition Modeling'!$L$15:$N$27,IF(X$2-$F10&lt;=24,2,3),FALSE))*(1+Projection!Z$16)*(1+IF(X142&gt;0,'Attrition Modeling'!$N$9,0))),0))</f>
        <v>4200.2302971638755</v>
      </c>
      <c r="Y10" s="799">
        <f>IF(Y$2=$F10+1,Monthly!U$21,IF(Y$2&gt;$F10+1,('Traditional Attrition'!X10+Y142)*(1-IF(Y$2-$F10&lt;=12,SUMIFS('Attrition Modeling'!$D:$D,'Attrition Modeling'!$B:$B,'Traditional Attrition'!$E10,'Attrition Modeling'!$C:$C,'Traditional Attrition'!Y$1),VLOOKUP('Traditional Attrition'!Y$2-'Traditional Attrition'!$F10-1,'Traditional Attrition'!$A$7:$C$161,2,FALSE)*VLOOKUP(Y$1,'Attrition Modeling'!$L$15:$N$27,IF(Y$2-$F10&lt;=24,2,3),FALSE))*(1+Projection!AA$16)*(1+IF(Y142&gt;0,'Attrition Modeling'!$N$9,0))),0))</f>
        <v>3939.1584726866945</v>
      </c>
      <c r="Z10" s="799">
        <f>IF(Z$2=$F10+1,Monthly!V$21,IF(Z$2&gt;$F10+1,('Traditional Attrition'!Y10+Z142)*(1-IF(Z$2-$F10&lt;=12,SUMIFS('Attrition Modeling'!$D:$D,'Attrition Modeling'!$B:$B,'Traditional Attrition'!$E10,'Attrition Modeling'!$C:$C,'Traditional Attrition'!Z$1),VLOOKUP('Traditional Attrition'!Z$2-'Traditional Attrition'!$F10-1,'Traditional Attrition'!$A$7:$C$161,2,FALSE)*VLOOKUP(Z$1,'Attrition Modeling'!$L$15:$N$27,IF(Z$2-$F10&lt;=24,2,3),FALSE))*(1+Projection!AB$16)*(1+IF(Z142&gt;0,'Attrition Modeling'!$N$9,0))),0))</f>
        <v>3808.4004312893585</v>
      </c>
      <c r="AA10" s="799">
        <f>IF(AA$2=$F10+1,Monthly!W$21,IF(AA$2&gt;$F10+1,('Traditional Attrition'!Z10+AA142)*(1-IF(AA$2-$F10&lt;=12,SUMIFS('Attrition Modeling'!$D:$D,'Attrition Modeling'!$B:$B,'Traditional Attrition'!$E10,'Attrition Modeling'!$C:$C,'Traditional Attrition'!AA$1),VLOOKUP('Traditional Attrition'!AA$2-'Traditional Attrition'!$F10-1,'Traditional Attrition'!$A$7:$C$161,2,FALSE)*VLOOKUP(AA$1,'Attrition Modeling'!$L$15:$N$27,IF(AA$2-$F10&lt;=24,2,3),FALSE))*(1+Projection!AC$16)*(1+IF(AA142&gt;0,'Attrition Modeling'!$N$9,0))),0))</f>
        <v>3577.7403434261537</v>
      </c>
      <c r="AB10" s="799">
        <f>IF(AB$2=$F10+1,Monthly!X$21,IF(AB$2&gt;$F10+1,('Traditional Attrition'!AA10+AB142)*(1-IF(AB$2-$F10&lt;=12,SUMIFS('Attrition Modeling'!$D:$D,'Attrition Modeling'!$B:$B,'Traditional Attrition'!$E10,'Attrition Modeling'!$C:$C,'Traditional Attrition'!AB$1),VLOOKUP('Traditional Attrition'!AB$2-'Traditional Attrition'!$F10-1,'Traditional Attrition'!$A$7:$C$161,2,FALSE)*VLOOKUP(AB$1,'Attrition Modeling'!$L$15:$N$27,IF(AB$2-$F10&lt;=24,2,3),FALSE))*(1+Projection!AD$16)*(1+IF(AB142&gt;0,'Attrition Modeling'!$N$9,0))),0))</f>
        <v>3395.4094401056855</v>
      </c>
      <c r="AC10" s="799">
        <f>IF(AC$2=$F10+1,Monthly!Y$21,IF(AC$2&gt;$F10+1,('Traditional Attrition'!AB10+AC142)*(1-IF(AC$2-$F10&lt;=12,SUMIFS('Attrition Modeling'!$D:$D,'Attrition Modeling'!$B:$B,'Traditional Attrition'!$E10,'Attrition Modeling'!$C:$C,'Traditional Attrition'!AC$1),VLOOKUP('Traditional Attrition'!AC$2-'Traditional Attrition'!$F10-1,'Traditional Attrition'!$A$7:$C$161,2,FALSE)*VLOOKUP(AC$1,'Attrition Modeling'!$L$15:$N$27,IF(AC$2-$F10&lt;=24,2,3),FALSE))*(1+Projection!AE$16)*(1+IF(AC142&gt;0,'Attrition Modeling'!$N$9,0))),0))</f>
        <v>3227.0359050936254</v>
      </c>
      <c r="AD10" s="799">
        <f>IF(AD$2=$F10+1,Monthly!Z$21,IF(AD$2&gt;$F10+1,('Traditional Attrition'!AC10+AD142)*(1-IF(AD$2-$F10&lt;=12,SUMIFS('Attrition Modeling'!$D:$D,'Attrition Modeling'!$B:$B,'Traditional Attrition'!$E10,'Attrition Modeling'!$C:$C,'Traditional Attrition'!AD$1),VLOOKUP('Traditional Attrition'!AD$2-'Traditional Attrition'!$F10-1,'Traditional Attrition'!$A$7:$C$161,2,FALSE)*VLOOKUP(AD$1,'Attrition Modeling'!$L$15:$N$27,IF(AD$2-$F10&lt;=24,2,3),FALSE))*(1+Projection!AF$16)*(1+IF(AD142&gt;0,'Attrition Modeling'!$N$9,0))),0))</f>
        <v>3078.7175572763163</v>
      </c>
      <c r="AE10" s="799">
        <f>IF(AE$2=$F10+1,Monthly!AA$21,IF(AE$2&gt;$F10+1,('Traditional Attrition'!AD10+AE142)*(1-IF(AE$2-$F10&lt;=12,SUMIFS('Attrition Modeling'!$D:$D,'Attrition Modeling'!$B:$B,'Traditional Attrition'!$E10,'Attrition Modeling'!$C:$C,'Traditional Attrition'!AE$1),VLOOKUP('Traditional Attrition'!AE$2-'Traditional Attrition'!$F10-1,'Traditional Attrition'!$A$7:$C$161,2,FALSE)*VLOOKUP(AE$1,'Attrition Modeling'!$L$15:$N$27,IF(AE$2-$F10&lt;=24,2,3),FALSE))*(1+Projection!AG$16)*(1+IF(AE142&gt;0,'Attrition Modeling'!$N$9,0))),0))</f>
        <v>2942.8203529454936</v>
      </c>
      <c r="AF10" s="799">
        <f>IF(AF$2=$F10+1,Monthly!AB$21,IF(AF$2&gt;$F10+1,('Traditional Attrition'!AE10+AF142)*(1-IF(AF$2-$F10&lt;=12,SUMIFS('Attrition Modeling'!$D:$D,'Attrition Modeling'!$B:$B,'Traditional Attrition'!$E10,'Attrition Modeling'!$C:$C,'Traditional Attrition'!AF$1),VLOOKUP('Traditional Attrition'!AF$2-'Traditional Attrition'!$F10-1,'Traditional Attrition'!$A$7:$C$161,2,FALSE)*VLOOKUP(AF$1,'Attrition Modeling'!$L$15:$N$27,IF(AF$2-$F10&lt;=24,2,3),FALSE))*(1+Projection!AH$16)*(1+IF(AF142&gt;0,'Attrition Modeling'!$N$9,0))),0))</f>
        <v>3058.567689019867</v>
      </c>
      <c r="AG10" s="799">
        <f>IF(AG$2=$F10+1,Monthly!AC$21,IF(AG$2&gt;$F10+1,('Traditional Attrition'!AF10+AG142)*(1-IF(AG$2-$F10&lt;=12,SUMIFS('Attrition Modeling'!$D:$D,'Attrition Modeling'!$B:$B,'Traditional Attrition'!$E10,'Attrition Modeling'!$C:$C,'Traditional Attrition'!AG$1),VLOOKUP('Traditional Attrition'!AG$2-'Traditional Attrition'!$F10-1,'Traditional Attrition'!$A$7:$C$161,2,FALSE)*VLOOKUP(AG$1,'Attrition Modeling'!$L$15:$N$27,IF(AG$2-$F10&lt;=24,2,3),FALSE))*(1+Projection!AI$16)*(1+IF(AG142&gt;0,'Attrition Modeling'!$N$9,0))),0))</f>
        <v>2942.2360407193732</v>
      </c>
      <c r="AH10" s="799">
        <f>IF(AH$2=$F10+1,Monthly!AD$21,IF(AH$2&gt;$F10+1,('Traditional Attrition'!AG10+AH142)*(1-IF(AH$2-$F10&lt;=12,SUMIFS('Attrition Modeling'!$D:$D,'Attrition Modeling'!$B:$B,'Traditional Attrition'!$E10,'Attrition Modeling'!$C:$C,'Traditional Attrition'!AH$1),VLOOKUP('Traditional Attrition'!AH$2-'Traditional Attrition'!$F10-1,'Traditional Attrition'!$A$7:$C$161,2,FALSE)*VLOOKUP(AH$1,'Attrition Modeling'!$L$15:$N$27,IF(AH$2-$F10&lt;=24,2,3),FALSE))*(1+Projection!AJ$16)*(1+IF(AH142&gt;0,'Attrition Modeling'!$N$9,0))),0))</f>
        <v>2822.7329816025695</v>
      </c>
      <c r="AI10" s="799">
        <f>IF(AI$2=$F10+1,Monthly!AE$21,IF(AI$2&gt;$F10+1,('Traditional Attrition'!AH10+AI142)*(1-IF(AI$2-$F10&lt;=12,SUMIFS('Attrition Modeling'!$D:$D,'Attrition Modeling'!$B:$B,'Traditional Attrition'!$E10,'Attrition Modeling'!$C:$C,'Traditional Attrition'!AI$1),VLOOKUP('Traditional Attrition'!AI$2-'Traditional Attrition'!$F10-1,'Traditional Attrition'!$A$7:$C$161,2,FALSE)*VLOOKUP(AI$1,'Attrition Modeling'!$L$15:$N$27,IF(AI$2-$F10&lt;=24,2,3),FALSE))*(1+Projection!AK$16)*(1+IF(AI142&gt;0,'Attrition Modeling'!$N$9,0))),0))</f>
        <v>2711.9325645775189</v>
      </c>
      <c r="AJ10" s="799">
        <f>IF(AJ$2=$F10+1,Monthly!AF$21,IF(AJ$2&gt;$F10+1,('Traditional Attrition'!AI10+AJ142)*(1-IF(AJ$2-$F10&lt;=12,SUMIFS('Attrition Modeling'!$D:$D,'Attrition Modeling'!$B:$B,'Traditional Attrition'!$E10,'Attrition Modeling'!$C:$C,'Traditional Attrition'!AJ$1),VLOOKUP('Traditional Attrition'!AJ$2-'Traditional Attrition'!$F10-1,'Traditional Attrition'!$A$7:$C$161,2,FALSE)*VLOOKUP(AJ$1,'Attrition Modeling'!$L$15:$N$27,IF(AJ$2-$F10&lt;=24,2,3),FALSE))*(1+Projection!AL$16)*(1+IF(AJ142&gt;0,'Attrition Modeling'!$N$9,0))),0))</f>
        <v>2607.884868087127</v>
      </c>
      <c r="AK10" s="799">
        <f>IF(AK$2=$F10+1,Monthly!AG$21,IF(AK$2&gt;$F10+1,('Traditional Attrition'!AJ10+AK142)*(1-IF(AK$2-$F10&lt;=12,SUMIFS('Attrition Modeling'!$D:$D,'Attrition Modeling'!$B:$B,'Traditional Attrition'!$E10,'Attrition Modeling'!$C:$C,'Traditional Attrition'!AK$1),VLOOKUP('Traditional Attrition'!AK$2-'Traditional Attrition'!$F10-1,'Traditional Attrition'!$A$7:$C$161,2,FALSE)*VLOOKUP(AK$1,'Attrition Modeling'!$L$15:$N$27,IF(AK$2-$F10&lt;=24,2,3),FALSE))*(1+Projection!AM$16)*(1+IF(AK142&gt;0,'Attrition Modeling'!$N$9,0))),0))</f>
        <v>2499.6057385899385</v>
      </c>
      <c r="AL10" s="799">
        <f>IF(AL$2=$F10+1,Monthly!AH$21,IF(AL$2&gt;$F10+1,('Traditional Attrition'!AK10+AL142)*(1-IF(AL$2-$F10&lt;=12,SUMIFS('Attrition Modeling'!$D:$D,'Attrition Modeling'!$B:$B,'Traditional Attrition'!$E10,'Attrition Modeling'!$C:$C,'Traditional Attrition'!AL$1),VLOOKUP('Traditional Attrition'!AL$2-'Traditional Attrition'!$F10-1,'Traditional Attrition'!$A$7:$C$161,2,FALSE)*VLOOKUP(AL$1,'Attrition Modeling'!$L$15:$N$27,IF(AL$2-$F10&lt;=24,2,3),FALSE))*(1+Projection!AN$16)*(1+IF(AL142&gt;0,'Attrition Modeling'!$N$9,0))),0))</f>
        <v>2394.7714548096365</v>
      </c>
      <c r="AM10" s="799">
        <f>IF(AM$2=$F10+1,Monthly!AI$21,IF(AM$2&gt;$F10+1,('Traditional Attrition'!AL10+AM142)*(1-IF(AM$2-$F10&lt;=12,SUMIFS('Attrition Modeling'!$D:$D,'Attrition Modeling'!$B:$B,'Traditional Attrition'!$E10,'Attrition Modeling'!$C:$C,'Traditional Attrition'!AM$1),VLOOKUP('Traditional Attrition'!AM$2-'Traditional Attrition'!$F10-1,'Traditional Attrition'!$A$7:$C$161,2,FALSE)*VLOOKUP(AM$1,'Attrition Modeling'!$L$15:$N$27,IF(AM$2-$F10&lt;=24,2,3),FALSE))*(1+Projection!AO$16)*(1+IF(AM142&gt;0,'Attrition Modeling'!$N$9,0))),0))</f>
        <v>2290.2034355601741</v>
      </c>
      <c r="AN10" s="799">
        <f>IF(AN$2=$F10+1,Monthly!AJ$21,IF(AN$2&gt;$F10+1,('Traditional Attrition'!AM10+AN142)*(1-IF(AN$2-$F10&lt;=12,SUMIFS('Attrition Modeling'!$D:$D,'Attrition Modeling'!$B:$B,'Traditional Attrition'!$E10,'Attrition Modeling'!$C:$C,'Traditional Attrition'!AN$1),VLOOKUP('Traditional Attrition'!AN$2-'Traditional Attrition'!$F10-1,'Traditional Attrition'!$A$7:$C$161,2,FALSE)*VLOOKUP(AN$1,'Attrition Modeling'!$L$15:$N$27,IF(AN$2-$F10&lt;=24,2,3),FALSE))*(1+Projection!AP$16)*(1+IF(AN142&gt;0,'Attrition Modeling'!$N$9,0))),0))</f>
        <v>2197.5986605158901</v>
      </c>
      <c r="AO10" s="799">
        <f>IF(AO$2=$F10+1,Monthly!AK$21,IF(AO$2&gt;$F10+1,('Traditional Attrition'!AN10+AO142)*(1-IF(AO$2-$F10&lt;=12,SUMIFS('Attrition Modeling'!$D:$D,'Attrition Modeling'!$B:$B,'Traditional Attrition'!$E10,'Attrition Modeling'!$C:$C,'Traditional Attrition'!AO$1),VLOOKUP('Traditional Attrition'!AO$2-'Traditional Attrition'!$F10-1,'Traditional Attrition'!$A$7:$C$161,2,FALSE)*VLOOKUP(AO$1,'Attrition Modeling'!$L$15:$N$27,IF(AO$2-$F10&lt;=24,2,3),FALSE))*(1+Projection!AQ$16)*(1+IF(AO142&gt;0,'Attrition Modeling'!$N$9,0))),0))</f>
        <v>2112.9594420857229</v>
      </c>
      <c r="AP10" s="799">
        <f>IF(AP$2=$F10+1,Monthly!AL$21,IF(AP$2&gt;$F10+1,('Traditional Attrition'!AO10+AP142)*(1-IF(AP$2-$F10&lt;=12,SUMIFS('Attrition Modeling'!$D:$D,'Attrition Modeling'!$B:$B,'Traditional Attrition'!$E10,'Attrition Modeling'!$C:$C,'Traditional Attrition'!AP$1),VLOOKUP('Traditional Attrition'!AP$2-'Traditional Attrition'!$F10-1,'Traditional Attrition'!$A$7:$C$161,2,FALSE)*VLOOKUP(AP$1,'Attrition Modeling'!$L$15:$N$27,IF(AP$2-$F10&lt;=24,2,3),FALSE))*(1+Projection!AR$16)*(1+IF(AP142&gt;0,'Attrition Modeling'!$N$9,0))),0))</f>
        <v>2034.4681407063663</v>
      </c>
      <c r="AQ10" s="799">
        <f>IF(AQ$2=$F10+1,Monthly!AM$21,IF(AQ$2&gt;$F10+1,('Traditional Attrition'!AP10+AQ142)*(1-IF(AQ$2-$F10&lt;=12,SUMIFS('Attrition Modeling'!$D:$D,'Attrition Modeling'!$B:$B,'Traditional Attrition'!$E10,'Attrition Modeling'!$C:$C,'Traditional Attrition'!AQ$1),VLOOKUP('Traditional Attrition'!AQ$2-'Traditional Attrition'!$F10-1,'Traditional Attrition'!$A$7:$C$161,2,FALSE)*VLOOKUP(AQ$1,'Attrition Modeling'!$L$15:$N$27,IF(AQ$2-$F10&lt;=24,2,3),FALSE))*(1+Projection!AS$16)*(1+IF(AQ142&gt;0,'Attrition Modeling'!$N$9,0))),0))</f>
        <v>1972.9889111496159</v>
      </c>
      <c r="AR10" s="799">
        <f>IF(AR$2=$F10+1,Monthly!AN$21,IF(AR$2&gt;$F10+1,('Traditional Attrition'!AQ10+AR142)*(1-IF(AR$2-$F10&lt;=12,SUMIFS('Attrition Modeling'!$D:$D,'Attrition Modeling'!$B:$B,'Traditional Attrition'!$E10,'Attrition Modeling'!$C:$C,'Traditional Attrition'!AR$1),VLOOKUP('Traditional Attrition'!AR$2-'Traditional Attrition'!$F10-1,'Traditional Attrition'!$A$7:$C$161,2,FALSE)*VLOOKUP(AR$1,'Attrition Modeling'!$L$15:$N$27,IF(AR$2-$F10&lt;=24,2,3),FALSE))*(1+Projection!AT$16)*(1+IF(AR142&gt;0,'Attrition Modeling'!$N$9,0))),0))</f>
        <v>2076.6717559024414</v>
      </c>
      <c r="AS10" s="799">
        <f>IF(AS$2=$F10+1,Monthly!AO$21,IF(AS$2&gt;$F10+1,('Traditional Attrition'!AR10+AS142)*(1-IF(AS$2-$F10&lt;=12,SUMIFS('Attrition Modeling'!$D:$D,'Attrition Modeling'!$B:$B,'Traditional Attrition'!$E10,'Attrition Modeling'!$C:$C,'Traditional Attrition'!AS$1),VLOOKUP('Traditional Attrition'!AS$2-'Traditional Attrition'!$F10-1,'Traditional Attrition'!$A$7:$C$161,2,FALSE)*VLOOKUP(AS$1,'Attrition Modeling'!$L$15:$N$27,IF(AS$2-$F10&lt;=24,2,3),FALSE))*(1+Projection!AU$16)*(1+IF(AS142&gt;0,'Attrition Modeling'!$N$9,0))),0))</f>
        <v>2011.0331262581922</v>
      </c>
      <c r="AT10" s="799">
        <f>IF(AT$2=$F10+1,Monthly!AP$21,IF(AT$2&gt;$F10+1,('Traditional Attrition'!AS10+AT142)*(1-IF(AT$2-$F10&lt;=12,SUMIFS('Attrition Modeling'!$D:$D,'Attrition Modeling'!$B:$B,'Traditional Attrition'!$E10,'Attrition Modeling'!$C:$C,'Traditional Attrition'!AT$1),VLOOKUP('Traditional Attrition'!AT$2-'Traditional Attrition'!$F10-1,'Traditional Attrition'!$A$7:$C$161,2,FALSE)*VLOOKUP(AT$1,'Attrition Modeling'!$L$15:$N$27,IF(AT$2-$F10&lt;=24,2,3),FALSE))*(1+Projection!AV$16)*(1+IF(AT142&gt;0,'Attrition Modeling'!$N$9,0))),0))</f>
        <v>1950.8702004925808</v>
      </c>
      <c r="AU10" s="799">
        <f>IF(AU$2=$F10+1,Monthly!AQ$21,IF(AU$2&gt;$F10+1,('Traditional Attrition'!AT10+AU142)*(1-IF(AU$2-$F10&lt;=12,SUMIFS('Attrition Modeling'!$D:$D,'Attrition Modeling'!$B:$B,'Traditional Attrition'!$E10,'Attrition Modeling'!$C:$C,'Traditional Attrition'!AU$1),VLOOKUP('Traditional Attrition'!AU$2-'Traditional Attrition'!$F10-1,'Traditional Attrition'!$A$7:$C$161,2,FALSE)*VLOOKUP(AU$1,'Attrition Modeling'!$L$15:$N$27,IF(AU$2-$F10&lt;=24,2,3),FALSE))*(1+Projection!AW$16)*(1+IF(AU142&gt;0,'Attrition Modeling'!$N$9,0))),0))</f>
        <v>1904.9999809348749</v>
      </c>
      <c r="AV10" s="799">
        <f>IF(AV$2=$F10+1,Monthly!AR$21,IF(AV$2&gt;$F10+1,('Traditional Attrition'!AU10+AV142)*(1-IF(AV$2-$F10&lt;=12,SUMIFS('Attrition Modeling'!$D:$D,'Attrition Modeling'!$B:$B,'Traditional Attrition'!$E10,'Attrition Modeling'!$C:$C,'Traditional Attrition'!AV$1),VLOOKUP('Traditional Attrition'!AV$2-'Traditional Attrition'!$F10-1,'Traditional Attrition'!$A$7:$C$161,2,FALSE)*VLOOKUP(AV$1,'Attrition Modeling'!$L$15:$N$27,IF(AV$2-$F10&lt;=24,2,3),FALSE))*(1+Projection!AX$16)*(1+IF(AV142&gt;0,'Attrition Modeling'!$N$9,0))),0))</f>
        <v>1851.5452062728189</v>
      </c>
      <c r="AW10" s="799">
        <f>IF(AW$2=$F10+1,Monthly!AS$21,IF(AW$2&gt;$F10+1,('Traditional Attrition'!AV10+AW142)*(1-IF(AW$2-$F10&lt;=12,SUMIFS('Attrition Modeling'!$D:$D,'Attrition Modeling'!$B:$B,'Traditional Attrition'!$E10,'Attrition Modeling'!$C:$C,'Traditional Attrition'!AW$1),VLOOKUP('Traditional Attrition'!AW$2-'Traditional Attrition'!$F10-1,'Traditional Attrition'!$A$7:$C$161,2,FALSE)*VLOOKUP(AW$1,'Attrition Modeling'!$L$15:$N$27,IF(AW$2-$F10&lt;=24,2,3),FALSE))*(1+Projection!AY$16)*(1+IF(AW142&gt;0,'Attrition Modeling'!$N$9,0))),0))</f>
        <v>1792.9163780230806</v>
      </c>
      <c r="AX10" s="799">
        <f>IF(AX$2=$F10+1,Monthly!AT$21,IF(AX$2&gt;$F10+1,('Traditional Attrition'!AW10+AX142)*(1-IF(AX$2-$F10&lt;=12,SUMIFS('Attrition Modeling'!$D:$D,'Attrition Modeling'!$B:$B,'Traditional Attrition'!$E10,'Attrition Modeling'!$C:$C,'Traditional Attrition'!AX$1),VLOOKUP('Traditional Attrition'!AX$2-'Traditional Attrition'!$F10-1,'Traditional Attrition'!$A$7:$C$161,2,FALSE)*VLOOKUP(AX$1,'Attrition Modeling'!$L$15:$N$27,IF(AX$2-$F10&lt;=24,2,3),FALSE))*(1+Projection!AZ$16)*(1+IF(AX142&gt;0,'Attrition Modeling'!$N$9,0))),0))</f>
        <v>1731.7436767355907</v>
      </c>
      <c r="AY10" s="799">
        <f>IF(AY$2=$F10+1,Monthly!AU$21,IF(AY$2&gt;$F10+1,('Traditional Attrition'!AX10+AY142)*(1-IF(AY$2-$F10&lt;=12,SUMIFS('Attrition Modeling'!$D:$D,'Attrition Modeling'!$B:$B,'Traditional Attrition'!$E10,'Attrition Modeling'!$C:$C,'Traditional Attrition'!AY$1),VLOOKUP('Traditional Attrition'!AY$2-'Traditional Attrition'!$F10-1,'Traditional Attrition'!$A$7:$C$161,2,FALSE)*VLOOKUP(AY$1,'Attrition Modeling'!$L$15:$N$27,IF(AY$2-$F10&lt;=24,2,3),FALSE))*(1+Projection!BA$16)*(1+IF(AY142&gt;0,'Attrition Modeling'!$N$9,0))),0))</f>
        <v>1668.980903170049</v>
      </c>
      <c r="AZ10" s="799">
        <f>IF(AZ$2=$F10+1,Monthly!AV$21,IF(AZ$2&gt;$F10+1,('Traditional Attrition'!AY10+AZ142)*(1-IF(AZ$2-$F10&lt;=12,SUMIFS('Attrition Modeling'!$D:$D,'Attrition Modeling'!$B:$B,'Traditional Attrition'!$E10,'Attrition Modeling'!$C:$C,'Traditional Attrition'!AZ$1),VLOOKUP('Traditional Attrition'!AZ$2-'Traditional Attrition'!$F10-1,'Traditional Attrition'!$A$7:$C$161,2,FALSE)*VLOOKUP(AZ$1,'Attrition Modeling'!$L$15:$N$27,IF(AZ$2-$F10&lt;=24,2,3),FALSE))*(1+Projection!BB$16)*(1+IF(AZ142&gt;0,'Attrition Modeling'!$N$9,0))),0))</f>
        <v>1612.7805479841795</v>
      </c>
      <c r="BA10" s="799">
        <f>IF(BA$2=$F10+1,Monthly!AW$21,IF(BA$2&gt;$F10+1,('Traditional Attrition'!AZ10+BA142)*(1-IF(BA$2-$F10&lt;=12,SUMIFS('Attrition Modeling'!$D:$D,'Attrition Modeling'!$B:$B,'Traditional Attrition'!$E10,'Attrition Modeling'!$C:$C,'Traditional Attrition'!BA$1),VLOOKUP('Traditional Attrition'!BA$2-'Traditional Attrition'!$F10-1,'Traditional Attrition'!$A$7:$C$161,2,FALSE)*VLOOKUP(BA$1,'Attrition Modeling'!$L$15:$N$27,IF(BA$2-$F10&lt;=24,2,3),FALSE))*(1+Projection!BC$16)*(1+IF(BA142&gt;0,'Attrition Modeling'!$N$9,0))),0))</f>
        <v>1560.8908935225954</v>
      </c>
      <c r="BB10" s="799">
        <f>IF(BB$2=$F10+1,Monthly!AX$21,IF(BB$2&gt;$F10+1,('Traditional Attrition'!BA10+BB142)*(1-IF(BB$2-$F10&lt;=12,SUMIFS('Attrition Modeling'!$D:$D,'Attrition Modeling'!$B:$B,'Traditional Attrition'!$E10,'Attrition Modeling'!$C:$C,'Traditional Attrition'!BB$1),VLOOKUP('Traditional Attrition'!BB$2-'Traditional Attrition'!$F10-1,'Traditional Attrition'!$A$7:$C$161,2,FALSE)*VLOOKUP(BB$1,'Attrition Modeling'!$L$15:$N$27,IF(BB$2-$F10&lt;=24,2,3),FALSE))*(1+Projection!BD$16)*(1+IF(BB142&gt;0,'Attrition Modeling'!$N$9,0))),0))</f>
        <v>1512.3110375578403</v>
      </c>
      <c r="BC10" s="799">
        <f>IF(BC$2=$F10+1,Monthly!AY$21,IF(BC$2&gt;$F10+1,('Traditional Attrition'!BB10+BC142)*(1-IF(BC$2-$F10&lt;=12,SUMIFS('Attrition Modeling'!$D:$D,'Attrition Modeling'!$B:$B,'Traditional Attrition'!$E10,'Attrition Modeling'!$C:$C,'Traditional Attrition'!BC$1),VLOOKUP('Traditional Attrition'!BC$2-'Traditional Attrition'!$F10-1,'Traditional Attrition'!$A$7:$C$161,2,FALSE)*VLOOKUP(BC$1,'Attrition Modeling'!$L$15:$N$27,IF(BC$2-$F10&lt;=24,2,3),FALSE))*(1+Projection!BE$16)*(1+IF(BC142&gt;0,'Attrition Modeling'!$N$9,0))),0))</f>
        <v>1473.9166915880371</v>
      </c>
      <c r="BD10" s="799">
        <f>IF(BD$2=$F10+1,Monthly!AZ$21,IF(BD$2&gt;$F10+1,('Traditional Attrition'!BC10+BD142)*(1-IF(BD$2-$F10&lt;=12,SUMIFS('Attrition Modeling'!$D:$D,'Attrition Modeling'!$B:$B,'Traditional Attrition'!$E10,'Attrition Modeling'!$C:$C,'Traditional Attrition'!BD$1),VLOOKUP('Traditional Attrition'!BD$2-'Traditional Attrition'!$F10-1,'Traditional Attrition'!$A$7:$C$161,2,FALSE)*VLOOKUP(BD$1,'Attrition Modeling'!$L$15:$N$27,IF(BD$2-$F10&lt;=24,2,3),FALSE))*(1+Projection!BF$16)*(1+IF(BD142&gt;0,'Attrition Modeling'!$N$9,0))),0))</f>
        <v>1485.8456617250215</v>
      </c>
      <c r="BE10" s="799">
        <f>IF(BE$2=$F10+1,Monthly!BA$21,IF(BE$2&gt;$F10+1,('Traditional Attrition'!BD10+BE142)*(1-IF(BE$2-$F10&lt;=12,SUMIFS('Attrition Modeling'!$D:$D,'Attrition Modeling'!$B:$B,'Traditional Attrition'!$E10,'Attrition Modeling'!$C:$C,'Traditional Attrition'!BE$1),VLOOKUP('Traditional Attrition'!BE$2-'Traditional Attrition'!$F10-1,'Traditional Attrition'!$A$7:$C$161,2,FALSE)*VLOOKUP(BE$1,'Attrition Modeling'!$L$15:$N$27,IF(BE$2-$F10&lt;=24,2,3),FALSE))*(1+Projection!BG$16)*(1+IF(BE142&gt;0,'Attrition Modeling'!$N$9,0))),0))</f>
        <v>1446.1903239724993</v>
      </c>
      <c r="BF10" s="799">
        <f>IF(BF$2=$F10+1,Monthly!BB$21,IF(BF$2&gt;$F10+1,('Traditional Attrition'!BE10+BF142)*(1-IF(BF$2-$F10&lt;=12,SUMIFS('Attrition Modeling'!$D:$D,'Attrition Modeling'!$B:$B,'Traditional Attrition'!$E10,'Attrition Modeling'!$C:$C,'Traditional Attrition'!BF$1),VLOOKUP('Traditional Attrition'!BF$2-'Traditional Attrition'!$F10-1,'Traditional Attrition'!$A$7:$C$161,2,FALSE)*VLOOKUP(BF$1,'Attrition Modeling'!$L$15:$N$27,IF(BF$2-$F10&lt;=24,2,3),FALSE))*(1+Projection!BH$16)*(1+IF(BF142&gt;0,'Attrition Modeling'!$N$9,0))),0))</f>
        <v>1409.5740354579793</v>
      </c>
      <c r="BG10" s="799">
        <f>IF(BG$2=$F10+1,Monthly!BC$21,IF(BG$2&gt;$F10+1,('Traditional Attrition'!BF10+BG142)*(1-IF(BG$2-$F10&lt;=12,SUMIFS('Attrition Modeling'!$D:$D,'Attrition Modeling'!$B:$B,'Traditional Attrition'!$E10,'Attrition Modeling'!$C:$C,'Traditional Attrition'!BG$1),VLOOKUP('Traditional Attrition'!BG$2-'Traditional Attrition'!$F10-1,'Traditional Attrition'!$A$7:$C$161,2,FALSE)*VLOOKUP(BG$1,'Attrition Modeling'!$L$15:$N$27,IF(BG$2-$F10&lt;=24,2,3),FALSE))*(1+Projection!BI$16)*(1+IF(BG142&gt;0,'Attrition Modeling'!$N$9,0))),0))</f>
        <v>1381.4629422086693</v>
      </c>
      <c r="BH10" s="799">
        <f>IF(BH$2=$F10+1,Monthly!BD$21,IF(BH$2&gt;$F10+1,('Traditional Attrition'!BG10+BH142)*(1-IF(BH$2-$F10&lt;=12,SUMIFS('Attrition Modeling'!$D:$D,'Attrition Modeling'!$B:$B,'Traditional Attrition'!$E10,'Attrition Modeling'!$C:$C,'Traditional Attrition'!BH$1),VLOOKUP('Traditional Attrition'!BH$2-'Traditional Attrition'!$F10-1,'Traditional Attrition'!$A$7:$C$161,2,FALSE)*VLOOKUP(BH$1,'Attrition Modeling'!$L$15:$N$27,IF(BH$2-$F10&lt;=24,2,3),FALSE))*(1+Projection!BJ$16)*(1+IF(BH142&gt;0,'Attrition Modeling'!$N$9,0))),0))</f>
        <v>1348.5159475112171</v>
      </c>
      <c r="BI10" s="799">
        <f>IF(BI$2=$F10+1,Monthly!BE$21,IF(BI$2&gt;$F10+1,('Traditional Attrition'!BH10+BI142)*(1-IF(BI$2-$F10&lt;=12,SUMIFS('Attrition Modeling'!$D:$D,'Attrition Modeling'!$B:$B,'Traditional Attrition'!$E10,'Attrition Modeling'!$C:$C,'Traditional Attrition'!BI$1),VLOOKUP('Traditional Attrition'!BI$2-'Traditional Attrition'!$F10-1,'Traditional Attrition'!$A$7:$C$161,2,FALSE)*VLOOKUP(BI$1,'Attrition Modeling'!$L$15:$N$27,IF(BI$2-$F10&lt;=24,2,3),FALSE))*(1+Projection!BK$16)*(1+IF(BI142&gt;0,'Attrition Modeling'!$N$9,0))),0))</f>
        <v>1312.1522010143865</v>
      </c>
      <c r="BJ10" s="799">
        <f>IF(BJ$2=$F10+1,Monthly!BF$21,IF(BJ$2&gt;$F10+1,('Traditional Attrition'!BI10+BJ142)*(1-IF(BJ$2-$F10&lt;=12,SUMIFS('Attrition Modeling'!$D:$D,'Attrition Modeling'!$B:$B,'Traditional Attrition'!$E10,'Attrition Modeling'!$C:$C,'Traditional Attrition'!BJ$1),VLOOKUP('Traditional Attrition'!BJ$2-'Traditional Attrition'!$F10-1,'Traditional Attrition'!$A$7:$C$161,2,FALSE)*VLOOKUP(BJ$1,'Attrition Modeling'!$L$15:$N$27,IF(BJ$2-$F10&lt;=24,2,3),FALSE))*(1+Projection!BL$16)*(1+IF(BJ142&gt;0,'Attrition Modeling'!$N$9,0))),0))</f>
        <v>1273.955639190795</v>
      </c>
      <c r="BK10" s="799">
        <f>IF(BK$2=$F10+1,Monthly!BG$21,IF(BK$2&gt;$F10+1,('Traditional Attrition'!BJ10+BK142)*(1-IF(BK$2-$F10&lt;=12,SUMIFS('Attrition Modeling'!$D:$D,'Attrition Modeling'!$B:$B,'Traditional Attrition'!$E10,'Attrition Modeling'!$C:$C,'Traditional Attrition'!BK$1),VLOOKUP('Traditional Attrition'!BK$2-'Traditional Attrition'!$F10-1,'Traditional Attrition'!$A$7:$C$161,2,FALSE)*VLOOKUP(BK$1,'Attrition Modeling'!$L$15:$N$27,IF(BK$2-$F10&lt;=24,2,3),FALSE))*(1+Projection!BM$16)*(1+IF(BK142&gt;0,'Attrition Modeling'!$N$9,0))),0))</f>
        <v>1234.7586001385389</v>
      </c>
      <c r="BL10" s="799">
        <f>IF(BL$2=$F10+1,Monthly!BH$21,IF(BL$2&gt;$F10+1,('Traditional Attrition'!BK10+BL142)*(1-IF(BL$2-$F10&lt;=12,SUMIFS('Attrition Modeling'!$D:$D,'Attrition Modeling'!$B:$B,'Traditional Attrition'!$E10,'Attrition Modeling'!$C:$C,'Traditional Attrition'!BL$1),VLOOKUP('Traditional Attrition'!BL$2-'Traditional Attrition'!$F10-1,'Traditional Attrition'!$A$7:$C$161,2,FALSE)*VLOOKUP(BL$1,'Attrition Modeling'!$L$15:$N$27,IF(BL$2-$F10&lt;=24,2,3),FALSE))*(1+Projection!BN$16)*(1+IF(BL142&gt;0,'Attrition Modeling'!$N$9,0))),0))</f>
        <v>1199.4071271018447</v>
      </c>
      <c r="BM10" s="799">
        <f>IF(BM$2=$F10+1,Monthly!BI$21,IF(BM$2&gt;$F10+1,('Traditional Attrition'!BL10+BM142)*(1-IF(BM$2-$F10&lt;=12,SUMIFS('Attrition Modeling'!$D:$D,'Attrition Modeling'!$B:$B,'Traditional Attrition'!$E10,'Attrition Modeling'!$C:$C,'Traditional Attrition'!BM$1),VLOOKUP('Traditional Attrition'!BM$2-'Traditional Attrition'!$F10-1,'Traditional Attrition'!$A$7:$C$161,2,FALSE)*VLOOKUP(BM$1,'Attrition Modeling'!$L$15:$N$27,IF(BM$2-$F10&lt;=24,2,3),FALSE))*(1+Projection!BO$16)*(1+IF(BM142&gt;0,'Attrition Modeling'!$N$9,0))),0))</f>
        <v>1166.549884669771</v>
      </c>
      <c r="BN10" s="799">
        <f>IF(BN$2=$F10+1,Monthly!BJ$21,IF(BN$2&gt;$F10+1,('Traditional Attrition'!BM10+BN142)*(1-IF(BN$2-$F10&lt;=12,SUMIFS('Attrition Modeling'!$D:$D,'Attrition Modeling'!$B:$B,'Traditional Attrition'!$E10,'Attrition Modeling'!$C:$C,'Traditional Attrition'!BN$1),VLOOKUP('Traditional Attrition'!BN$2-'Traditional Attrition'!$F10-1,'Traditional Attrition'!$A$7:$C$161,2,FALSE)*VLOOKUP(BN$1,'Attrition Modeling'!$L$15:$N$27,IF(BN$2-$F10&lt;=24,2,3),FALSE))*(1+Projection!BP$16)*(1+IF(BN142&gt;0,'Attrition Modeling'!$N$9,0))),0))</f>
        <v>1135.5947079802836</v>
      </c>
      <c r="BO10" s="799">
        <f>IF(BO$2=$F10+1,Monthly!BK$21,IF(BO$2&gt;$F10+1,('Traditional Attrition'!BN10+BO142)*(1-IF(BO$2-$F10&lt;=12,SUMIFS('Attrition Modeling'!$D:$D,'Attrition Modeling'!$B:$B,'Traditional Attrition'!$E10,'Attrition Modeling'!$C:$C,'Traditional Attrition'!BO$1),VLOOKUP('Traditional Attrition'!BO$2-'Traditional Attrition'!$F10-1,'Traditional Attrition'!$A$7:$C$161,2,FALSE)*VLOOKUP(BO$1,'Attrition Modeling'!$L$15:$N$27,IF(BO$2-$F10&lt;=24,2,3),FALSE))*(1+Projection!BV$16)*(1+IF(BO142&gt;0,'Attrition Modeling'!$N$9,0))),0))</f>
        <v>1110.9824642203898</v>
      </c>
      <c r="BP10" s="799">
        <f>IF(BP$2=$F10+1,Monthly!BL$21,IF(BP$2&gt;$F10+1,('Traditional Attrition'!BO10+BP142)*(1-IF(BP$2-$F10&lt;=12,SUMIFS('Attrition Modeling'!$D:$D,'Attrition Modeling'!$B:$B,'Traditional Attrition'!$E10,'Attrition Modeling'!$C:$C,'Traditional Attrition'!BP$1),VLOOKUP('Traditional Attrition'!BP$2-'Traditional Attrition'!$F10-1,'Traditional Attrition'!$A$7:$C$161,2,FALSE)*VLOOKUP(BP$1,'Attrition Modeling'!$L$15:$N$27,IF(BP$2-$F10&lt;=24,2,3),FALSE))*(1+Projection!BW$16)*(1+IF(BP142&gt;0,'Attrition Modeling'!$N$9,0))),0))</f>
        <v>1084.5586744110572</v>
      </c>
      <c r="BQ10" s="799">
        <f>IF(BQ$2=$F10+1,Monthly!BM$21,IF(BQ$2&gt;$F10+1,('Traditional Attrition'!BP10+BQ142)*(1-IF(BQ$2-$F10&lt;=12,SUMIFS('Attrition Modeling'!$D:$D,'Attrition Modeling'!$B:$B,'Traditional Attrition'!$E10,'Attrition Modeling'!$C:$C,'Traditional Attrition'!BQ$1),VLOOKUP('Traditional Attrition'!BQ$2-'Traditional Attrition'!$F10-1,'Traditional Attrition'!$A$7:$C$161,2,FALSE)*VLOOKUP(BQ$1,'Attrition Modeling'!$L$15:$N$27,IF(BQ$2-$F10&lt;=24,2,3),FALSE))*(1+Projection!BX$16)*(1+IF(BQ142&gt;0,'Attrition Modeling'!$N$9,0))),0))</f>
        <v>1059.789876304214</v>
      </c>
      <c r="BR10" s="799">
        <f>IF(BR$2=$F10+1,Monthly!BN$21,IF(BR$2&gt;$F10+1,('Traditional Attrition'!BQ10+BR142)*(1-IF(BR$2-$F10&lt;=12,SUMIFS('Attrition Modeling'!$D:$D,'Attrition Modeling'!$B:$B,'Traditional Attrition'!$E10,'Attrition Modeling'!$C:$C,'Traditional Attrition'!BR$1),VLOOKUP('Traditional Attrition'!BR$2-'Traditional Attrition'!$F10-1,'Traditional Attrition'!$A$7:$C$161,2,FALSE)*VLOOKUP(BR$1,'Attrition Modeling'!$L$15:$N$27,IF(BR$2-$F10&lt;=24,2,3),FALSE))*(1+Projection!BY$16)*(1+IF(BR142&gt;0,'Attrition Modeling'!$N$9,0))),0))</f>
        <v>1036.8039177445</v>
      </c>
      <c r="BS10" s="799">
        <f>IF(BS$2=$F10+1,Monthly!BO$21,IF(BS$2&gt;$F10+1,('Traditional Attrition'!BR10+BS142)*(1-IF(BS$2-$F10&lt;=12,SUMIFS('Attrition Modeling'!$D:$D,'Attrition Modeling'!$B:$B,'Traditional Attrition'!$E10,'Attrition Modeling'!$C:$C,'Traditional Attrition'!BS$1),VLOOKUP('Traditional Attrition'!BS$2-'Traditional Attrition'!$F10-1,'Traditional Attrition'!$A$7:$C$161,2,FALSE)*VLOOKUP(BS$1,'Attrition Modeling'!$L$15:$N$27,IF(BS$2-$F10&lt;=24,2,3),FALSE))*(1+Projection!BZ$16)*(1+IF(BS142&gt;0,'Attrition Modeling'!$N$9,0))),0))</f>
        <v>1019.0732508605254</v>
      </c>
      <c r="BT10" s="799">
        <f>IF(BT$2=$F10+1,Monthly!#REF!,IF(BT$2&gt;$F10+1,('Traditional Attrition'!BS10+BT142)*(1-IF(BT$2-$F10&lt;=12,SUMIFS('Attrition Modeling'!$D:$D,'Attrition Modeling'!$B:$B,'Traditional Attrition'!$E10,'Attrition Modeling'!$C:$C,'Traditional Attrition'!BT$1),VLOOKUP('Traditional Attrition'!BT$2-'Traditional Attrition'!$F10-1,'Traditional Attrition'!$A$7:$C$161,2,FALSE)*VLOOKUP(BT$1,'Attrition Modeling'!$L$15:$N$27,IF(BT$2-$F10&lt;=24,2,3),FALSE))*(1+Projection!CA$16)*(1+IF(BT142&gt;0,'Attrition Modeling'!$N$9,0))),0))</f>
        <v>998.21196632497106</v>
      </c>
      <c r="BU10" s="799">
        <f>IF(BU$2=$F10+1,Monthly!#REF!,IF(BU$2&gt;$F10+1,('Traditional Attrition'!BT10+BU142)*(1-IF(BU$2-$F10&lt;=12,SUMIFS('Attrition Modeling'!$D:$D,'Attrition Modeling'!$B:$B,'Traditional Attrition'!$E10,'Attrition Modeling'!$C:$C,'Traditional Attrition'!BU$1),VLOOKUP('Traditional Attrition'!BU$2-'Traditional Attrition'!$F10-1,'Traditional Attrition'!$A$7:$C$161,2,FALSE)*VLOOKUP(BU$1,'Attrition Modeling'!$L$15:$N$27,IF(BU$2-$F10&lt;=24,2,3),FALSE))*(1+Projection!CB$16)*(1+IF(BU142&gt;0,'Attrition Modeling'!$N$9,0))),0))</f>
        <v>975.08642318816487</v>
      </c>
    </row>
    <row r="11" spans="1:73" ht="14.25" customHeight="1" x14ac:dyDescent="0.2">
      <c r="A11" s="800">
        <v>4</v>
      </c>
      <c r="B11" s="779" t="e">
        <f>'Attrition Modeling'!H8*(1-Summary!$C$20)</f>
        <v>#DIV/0!</v>
      </c>
      <c r="C11" s="780" t="e">
        <f t="shared" si="4"/>
        <v>#DIV/0!</v>
      </c>
      <c r="E11" s="11">
        <f t="shared" si="2"/>
        <v>8</v>
      </c>
      <c r="F11" s="11">
        <f t="shared" si="3"/>
        <v>8</v>
      </c>
      <c r="G11" s="799"/>
      <c r="H11" s="799">
        <f>IF(H$2=$F11+1,Monthly!D$21,IF(H$2&gt;$F11+1,('Traditional Attrition'!G11+H143)*(1-IF(H$2-$F11&lt;=12,SUMIFS('Attrition Modeling'!$D:$D,'Attrition Modeling'!$B:$B,'Traditional Attrition'!$E11,'Attrition Modeling'!$C:$C,'Traditional Attrition'!H$1),VLOOKUP('Traditional Attrition'!H$2-'Traditional Attrition'!$F11-1,'Traditional Attrition'!$A$7:$C$161,2,FALSE)*VLOOKUP(H$1,'Attrition Modeling'!$L$15:$N$27,IF(H$2-$F11&lt;=24,2,3),FALSE))*(1+Projection!J$16)*(1+IF(H143&gt;0,'Attrition Modeling'!$N$9,0))),0))</f>
        <v>0</v>
      </c>
      <c r="I11" s="799">
        <f>IF(I$2=$F11+1,Monthly!E$21,IF(I$2&gt;$F11+1,('Traditional Attrition'!H11+I143)*(1-IF(I$2-$F11&lt;=12,SUMIFS('Attrition Modeling'!$D:$D,'Attrition Modeling'!$B:$B,'Traditional Attrition'!$E11,'Attrition Modeling'!$C:$C,'Traditional Attrition'!I$1),VLOOKUP('Traditional Attrition'!I$2-'Traditional Attrition'!$F11-1,'Traditional Attrition'!$A$7:$C$161,2,FALSE)*VLOOKUP(I$1,'Attrition Modeling'!$L$15:$N$27,IF(I$2-$F11&lt;=24,2,3),FALSE))*(1+Projection!K$16)*(1+IF(I143&gt;0,'Attrition Modeling'!$N$9,0))),0))</f>
        <v>0</v>
      </c>
      <c r="J11" s="799">
        <f>IF(J$2=$F11+1,Monthly!F$21,IF(J$2&gt;$F11+1,('Traditional Attrition'!I11+J143)*(1-IF(J$2-$F11&lt;=12,SUMIFS('Attrition Modeling'!$D:$D,'Attrition Modeling'!$B:$B,'Traditional Attrition'!$E11,'Attrition Modeling'!$C:$C,'Traditional Attrition'!J$1),VLOOKUP('Traditional Attrition'!J$2-'Traditional Attrition'!$F11-1,'Traditional Attrition'!$A$7:$C$161,2,FALSE)*VLOOKUP(J$1,'Attrition Modeling'!$L$15:$N$27,IF(J$2-$F11&lt;=24,2,3),FALSE))*(1+Projection!L$16)*(1+IF(J143&gt;0,'Attrition Modeling'!$N$9,0))),0))</f>
        <v>0</v>
      </c>
      <c r="K11" s="799">
        <f>IF(K$2=$F11+1,Monthly!G$21,IF(K$2&gt;$F11+1,('Traditional Attrition'!J11+K143)*(1-IF(K$2-$F11&lt;=12,SUMIFS('Attrition Modeling'!$D:$D,'Attrition Modeling'!$B:$B,'Traditional Attrition'!$E11,'Attrition Modeling'!$C:$C,'Traditional Attrition'!K$1),VLOOKUP('Traditional Attrition'!K$2-'Traditional Attrition'!$F11-1,'Traditional Attrition'!$A$7:$C$161,2,FALSE)*VLOOKUP(K$1,'Attrition Modeling'!$L$15:$N$27,IF(K$2-$F11&lt;=24,2,3),FALSE))*(1+Projection!M$16)*(1+IF(K143&gt;0,'Attrition Modeling'!$N$9,0))),0))</f>
        <v>0</v>
      </c>
      <c r="L11" s="799">
        <f>IF(L$2=$F11+1,Monthly!H$21,IF(L$2&gt;$F11+1,('Traditional Attrition'!K11+L143)*(1-IF(L$2-$F11&lt;=12,SUMIFS('Attrition Modeling'!$D:$D,'Attrition Modeling'!$B:$B,'Traditional Attrition'!$E11,'Attrition Modeling'!$C:$C,'Traditional Attrition'!L$1),VLOOKUP('Traditional Attrition'!L$2-'Traditional Attrition'!$F11-1,'Traditional Attrition'!$A$7:$C$161,2,FALSE)*VLOOKUP(L$1,'Attrition Modeling'!$L$15:$N$27,IF(L$2-$F11&lt;=24,2,3),FALSE))*(1+Projection!N$16)*(1+IF(L143&gt;0,'Attrition Modeling'!$N$9,0))),0))</f>
        <v>0</v>
      </c>
      <c r="M11" s="799">
        <f>IF(M$2=$F11+1,Monthly!I$21,IF(M$2&gt;$F11+1,('Traditional Attrition'!L11+M143)*(1-IF(M$2-$F11&lt;=12,SUMIFS('Attrition Modeling'!$D:$D,'Attrition Modeling'!$B:$B,'Traditional Attrition'!$E11,'Attrition Modeling'!$C:$C,'Traditional Attrition'!M$1),VLOOKUP('Traditional Attrition'!M$2-'Traditional Attrition'!$F11-1,'Traditional Attrition'!$A$7:$C$161,2,FALSE)*VLOOKUP(M$1,'Attrition Modeling'!$L$15:$N$27,IF(M$2-$F11&lt;=24,2,3),FALSE))*(1+Projection!O$16)*(1+IF(M143&gt;0,'Attrition Modeling'!$N$9,0))),0))</f>
        <v>0</v>
      </c>
      <c r="N11" s="799">
        <f>IF(N$2=$F11+1,Monthly!J$21,IF(N$2&gt;$F11+1,('Traditional Attrition'!M11+N143)*(1-IF(N$2-$F11&lt;=12,SUMIFS('Attrition Modeling'!$D:$D,'Attrition Modeling'!$B:$B,'Traditional Attrition'!$E11,'Attrition Modeling'!$C:$C,'Traditional Attrition'!N$1),VLOOKUP('Traditional Attrition'!N$2-'Traditional Attrition'!$F11-1,'Traditional Attrition'!$A$7:$C$161,2,FALSE)*VLOOKUP(N$1,'Attrition Modeling'!$L$15:$N$27,IF(N$2-$F11&lt;=24,2,3),FALSE))*(1+Projection!P$16)*(1+IF(N143&gt;0,'Attrition Modeling'!$N$9,0))),0))</f>
        <v>0</v>
      </c>
      <c r="O11" s="799">
        <f>IF(O$2=$F11+1,Monthly!K$21,IF(O$2&gt;$F11+1,('Traditional Attrition'!N11+O143)*(1-IF(O$2-$F11&lt;=12,SUMIFS('Attrition Modeling'!$D:$D,'Attrition Modeling'!$B:$B,'Traditional Attrition'!$E11,'Attrition Modeling'!$C:$C,'Traditional Attrition'!O$1),VLOOKUP('Traditional Attrition'!O$2-'Traditional Attrition'!$F11-1,'Traditional Attrition'!$A$7:$C$161,2,FALSE)*VLOOKUP(O$1,'Attrition Modeling'!$L$15:$N$27,IF(O$2-$F11&lt;=24,2,3),FALSE))*(1+Projection!Q$16)*(1+IF(O143&gt;0,'Attrition Modeling'!$N$9,0))),0))</f>
        <v>0</v>
      </c>
      <c r="P11" s="799">
        <f>IF(P$2=$F11+1,Monthly!L$21,IF(P$2&gt;$F11+1,('Traditional Attrition'!O11+P143)*(1-IF(P$2-$F11&lt;=12,SUMIFS('Attrition Modeling'!$D:$D,'Attrition Modeling'!$B:$B,'Traditional Attrition'!$E11,'Attrition Modeling'!$C:$C,'Traditional Attrition'!P$1),VLOOKUP('Traditional Attrition'!P$2-'Traditional Attrition'!$F11-1,'Traditional Attrition'!$A$7:$C$161,2,FALSE)*VLOOKUP(P$1,'Attrition Modeling'!$L$15:$N$27,IF(P$2-$F11&lt;=24,2,3),FALSE))*(1+Projection!R$16)*(1+IF(P143&gt;0,'Attrition Modeling'!$N$9,0))),0))</f>
        <v>7559.5167230179695</v>
      </c>
      <c r="Q11" s="799">
        <f>IF(Q$2=$F11+1,Monthly!M$21,IF(Q$2&gt;$F11+1,('Traditional Attrition'!P11+Q143)*(1-IF(Q$2-$F11&lt;=12,SUMIFS('Attrition Modeling'!$D:$D,'Attrition Modeling'!$B:$B,'Traditional Attrition'!$E11,'Attrition Modeling'!$C:$C,'Traditional Attrition'!Q$1),VLOOKUP('Traditional Attrition'!Q$2-'Traditional Attrition'!$F11-1,'Traditional Attrition'!$A$7:$C$161,2,FALSE)*VLOOKUP(Q$1,'Attrition Modeling'!$L$15:$N$27,IF(Q$2-$F11&lt;=24,2,3),FALSE))*(1+Projection!S$16)*(1+IF(Q143&gt;0,'Attrition Modeling'!$N$9,0))),0))</f>
        <v>6733.6236460431383</v>
      </c>
      <c r="R11" s="799">
        <f>IF(R$2=$F11+1,Monthly!N$21,IF(R$2&gt;$F11+1,('Traditional Attrition'!Q11+R143)*(1-IF(R$2-$F11&lt;=12,SUMIFS('Attrition Modeling'!$D:$D,'Attrition Modeling'!$B:$B,'Traditional Attrition'!$E11,'Attrition Modeling'!$C:$C,'Traditional Attrition'!R$1),VLOOKUP('Traditional Attrition'!R$2-'Traditional Attrition'!$F11-1,'Traditional Attrition'!$A$7:$C$161,2,FALSE)*VLOOKUP(R$1,'Attrition Modeling'!$L$15:$N$27,IF(R$2-$F11&lt;=24,2,3),FALSE))*(1+Projection!T$16)*(1+IF(R143&gt;0,'Attrition Modeling'!$N$9,0))),0))</f>
        <v>6128.1626035956324</v>
      </c>
      <c r="S11" s="799">
        <f>IF(S$2=$F11+1,Monthly!O$21,IF(S$2&gt;$F11+1,('Traditional Attrition'!R11+S143)*(1-IF(S$2-$F11&lt;=12,SUMIFS('Attrition Modeling'!$D:$D,'Attrition Modeling'!$B:$B,'Traditional Attrition'!$E11,'Attrition Modeling'!$C:$C,'Traditional Attrition'!S$1),VLOOKUP('Traditional Attrition'!S$2-'Traditional Attrition'!$F11-1,'Traditional Attrition'!$A$7:$C$161,2,FALSE)*VLOOKUP(S$1,'Attrition Modeling'!$L$15:$N$27,IF(S$2-$F11&lt;=24,2,3),FALSE))*(1+Projection!U$16)*(1+IF(S143&gt;0,'Attrition Modeling'!$N$9,0))),0))</f>
        <v>5576.1122231073068</v>
      </c>
      <c r="T11" s="799">
        <f>IF(T$2=$F11+1,Monthly!P$21,IF(T$2&gt;$F11+1,('Traditional Attrition'!S11+T143)*(1-IF(T$2-$F11&lt;=12,SUMIFS('Attrition Modeling'!$D:$D,'Attrition Modeling'!$B:$B,'Traditional Attrition'!$E11,'Attrition Modeling'!$C:$C,'Traditional Attrition'!T$1),VLOOKUP('Traditional Attrition'!T$2-'Traditional Attrition'!$F11-1,'Traditional Attrition'!$A$7:$C$161,2,FALSE)*VLOOKUP(T$1,'Attrition Modeling'!$L$15:$N$27,IF(T$2-$F11&lt;=24,2,3),FALSE))*(1+Projection!V$16)*(1+IF(T143&gt;0,'Attrition Modeling'!$N$9,0))),0))</f>
        <v>5143.7962982109202</v>
      </c>
      <c r="U11" s="799">
        <f>IF(U$2=$F11+1,Monthly!Q$21,IF(U$2&gt;$F11+1,('Traditional Attrition'!T11+U143)*(1-IF(U$2-$F11&lt;=12,SUMIFS('Attrition Modeling'!$D:$D,'Attrition Modeling'!$B:$B,'Traditional Attrition'!$E11,'Attrition Modeling'!$C:$C,'Traditional Attrition'!U$1),VLOOKUP('Traditional Attrition'!U$2-'Traditional Attrition'!$F11-1,'Traditional Attrition'!$A$7:$C$161,2,FALSE)*VLOOKUP(U$1,'Attrition Modeling'!$L$15:$N$27,IF(U$2-$F11&lt;=24,2,3),FALSE))*(1+Projection!W$16)*(1+IF(U143&gt;0,'Attrition Modeling'!$N$9,0))),0))</f>
        <v>5116.5706829823775</v>
      </c>
      <c r="V11" s="799">
        <f>IF(V$2=$F11+1,Monthly!R$21,IF(V$2&gt;$F11+1,('Traditional Attrition'!U11+V143)*(1-IF(V$2-$F11&lt;=12,SUMIFS('Attrition Modeling'!$D:$D,'Attrition Modeling'!$B:$B,'Traditional Attrition'!$E11,'Attrition Modeling'!$C:$C,'Traditional Attrition'!V$1),VLOOKUP('Traditional Attrition'!V$2-'Traditional Attrition'!$F11-1,'Traditional Attrition'!$A$7:$C$161,2,FALSE)*VLOOKUP(V$1,'Attrition Modeling'!$L$15:$N$27,IF(V$2-$F11&lt;=24,2,3),FALSE))*(1+Projection!X$16)*(1+IF(V143&gt;0,'Attrition Modeling'!$N$9,0))),0))</f>
        <v>4728.547512222437</v>
      </c>
      <c r="W11" s="799">
        <f>IF(W$2=$F11+1,Monthly!S$21,IF(W$2&gt;$F11+1,('Traditional Attrition'!V11+W143)*(1-IF(W$2-$F11&lt;=12,SUMIFS('Attrition Modeling'!$D:$D,'Attrition Modeling'!$B:$B,'Traditional Attrition'!$E11,'Attrition Modeling'!$C:$C,'Traditional Attrition'!W$1),VLOOKUP('Traditional Attrition'!W$2-'Traditional Attrition'!$F11-1,'Traditional Attrition'!$A$7:$C$161,2,FALSE)*VLOOKUP(W$1,'Attrition Modeling'!$L$15:$N$27,IF(W$2-$F11&lt;=24,2,3),FALSE))*(1+Projection!Y$16)*(1+IF(W143&gt;0,'Attrition Modeling'!$N$9,0))),0))</f>
        <v>4417.6758232833654</v>
      </c>
      <c r="X11" s="799">
        <f>IF(X$2=$F11+1,Monthly!T$21,IF(X$2&gt;$F11+1,('Traditional Attrition'!W11+X143)*(1-IF(X$2-$F11&lt;=12,SUMIFS('Attrition Modeling'!$D:$D,'Attrition Modeling'!$B:$B,'Traditional Attrition'!$E11,'Attrition Modeling'!$C:$C,'Traditional Attrition'!X$1),VLOOKUP('Traditional Attrition'!X$2-'Traditional Attrition'!$F11-1,'Traditional Attrition'!$A$7:$C$161,2,FALSE)*VLOOKUP(X$1,'Attrition Modeling'!$L$15:$N$27,IF(X$2-$F11&lt;=24,2,3),FALSE))*(1+Projection!Z$16)*(1+IF(X143&gt;0,'Attrition Modeling'!$N$9,0))),0))</f>
        <v>4155.556827510055</v>
      </c>
      <c r="Y11" s="799">
        <f>IF(Y$2=$F11+1,Monthly!U$21,IF(Y$2&gt;$F11+1,('Traditional Attrition'!X11+Y143)*(1-IF(Y$2-$F11&lt;=12,SUMIFS('Attrition Modeling'!$D:$D,'Attrition Modeling'!$B:$B,'Traditional Attrition'!$E11,'Attrition Modeling'!$C:$C,'Traditional Attrition'!Y$1),VLOOKUP('Traditional Attrition'!Y$2-'Traditional Attrition'!$F11-1,'Traditional Attrition'!$A$7:$C$161,2,FALSE)*VLOOKUP(Y$1,'Attrition Modeling'!$L$15:$N$27,IF(Y$2-$F11&lt;=24,2,3),FALSE))*(1+Projection!AA$16)*(1+IF(Y143&gt;0,'Attrition Modeling'!$N$9,0))),0))</f>
        <v>3911.3122711948522</v>
      </c>
      <c r="Z11" s="799">
        <f>IF(Z$2=$F11+1,Monthly!V$21,IF(Z$2&gt;$F11+1,('Traditional Attrition'!Y11+Z143)*(1-IF(Z$2-$F11&lt;=12,SUMIFS('Attrition Modeling'!$D:$D,'Attrition Modeling'!$B:$B,'Traditional Attrition'!$E11,'Attrition Modeling'!$C:$C,'Traditional Attrition'!Z$1),VLOOKUP('Traditional Attrition'!Z$2-'Traditional Attrition'!$F11-1,'Traditional Attrition'!$A$7:$C$161,2,FALSE)*VLOOKUP(Z$1,'Attrition Modeling'!$L$15:$N$27,IF(Z$2-$F11&lt;=24,2,3),FALSE))*(1+Projection!AB$16)*(1+IF(Z143&gt;0,'Attrition Modeling'!$N$9,0))),0))</f>
        <v>3679.3182596661095</v>
      </c>
      <c r="AA11" s="799">
        <f>IF(AA$2=$F11+1,Monthly!W$21,IF(AA$2&gt;$F11+1,('Traditional Attrition'!Z11+AA143)*(1-IF(AA$2-$F11&lt;=12,SUMIFS('Attrition Modeling'!$D:$D,'Attrition Modeling'!$B:$B,'Traditional Attrition'!$E11,'Attrition Modeling'!$C:$C,'Traditional Attrition'!AA$1),VLOOKUP('Traditional Attrition'!AA$2-'Traditional Attrition'!$F11-1,'Traditional Attrition'!$A$7:$C$161,2,FALSE)*VLOOKUP(AA$1,'Attrition Modeling'!$L$15:$N$27,IF(AA$2-$F11&lt;=24,2,3),FALSE))*(1+Projection!AC$16)*(1+IF(AA143&gt;0,'Attrition Modeling'!$N$9,0))),0))</f>
        <v>3555.2012044968283</v>
      </c>
      <c r="AB11" s="799">
        <f>IF(AB$2=$F11+1,Monthly!X$21,IF(AB$2&gt;$F11+1,('Traditional Attrition'!AA11+AB143)*(1-IF(AB$2-$F11&lt;=12,SUMIFS('Attrition Modeling'!$D:$D,'Attrition Modeling'!$B:$B,'Traditional Attrition'!$E11,'Attrition Modeling'!$C:$C,'Traditional Attrition'!AB$1),VLOOKUP('Traditional Attrition'!AB$2-'Traditional Attrition'!$F11-1,'Traditional Attrition'!$A$7:$C$161,2,FALSE)*VLOOKUP(AB$1,'Attrition Modeling'!$L$15:$N$27,IF(AB$2-$F11&lt;=24,2,3),FALSE))*(1+Projection!AD$16)*(1+IF(AB143&gt;0,'Attrition Modeling'!$N$9,0))),0))</f>
        <v>3358.8530361904718</v>
      </c>
      <c r="AC11" s="799">
        <f>IF(AC$2=$F11+1,Monthly!Y$21,IF(AC$2&gt;$F11+1,('Traditional Attrition'!AB11+AC143)*(1-IF(AC$2-$F11&lt;=12,SUMIFS('Attrition Modeling'!$D:$D,'Attrition Modeling'!$B:$B,'Traditional Attrition'!$E11,'Attrition Modeling'!$C:$C,'Traditional Attrition'!AC$1),VLOOKUP('Traditional Attrition'!AC$2-'Traditional Attrition'!$F11-1,'Traditional Attrition'!$A$7:$C$161,2,FALSE)*VLOOKUP(AC$1,'Attrition Modeling'!$L$15:$N$27,IF(AC$2-$F11&lt;=24,2,3),FALSE))*(1+Projection!AE$16)*(1+IF(AC143&gt;0,'Attrition Modeling'!$N$9,0))),0))</f>
        <v>3183.7168294956541</v>
      </c>
      <c r="AD11" s="799">
        <f>IF(AD$2=$F11+1,Monthly!Z$21,IF(AD$2&gt;$F11+1,('Traditional Attrition'!AC11+AD143)*(1-IF(AD$2-$F11&lt;=12,SUMIFS('Attrition Modeling'!$D:$D,'Attrition Modeling'!$B:$B,'Traditional Attrition'!$E11,'Attrition Modeling'!$C:$C,'Traditional Attrition'!AD$1),VLOOKUP('Traditional Attrition'!AD$2-'Traditional Attrition'!$F11-1,'Traditional Attrition'!$A$7:$C$161,2,FALSE)*VLOOKUP(AD$1,'Attrition Modeling'!$L$15:$N$27,IF(AD$2-$F11&lt;=24,2,3),FALSE))*(1+Projection!AF$16)*(1+IF(AD143&gt;0,'Attrition Modeling'!$N$9,0))),0))</f>
        <v>3031.8415501477089</v>
      </c>
      <c r="AE11" s="799">
        <f>IF(AE$2=$F11+1,Monthly!AA$21,IF(AE$2&gt;$F11+1,('Traditional Attrition'!AD11+AE143)*(1-IF(AE$2-$F11&lt;=12,SUMIFS('Attrition Modeling'!$D:$D,'Attrition Modeling'!$B:$B,'Traditional Attrition'!$E11,'Attrition Modeling'!$C:$C,'Traditional Attrition'!AE$1),VLOOKUP('Traditional Attrition'!AE$2-'Traditional Attrition'!$F11-1,'Traditional Attrition'!$A$7:$C$161,2,FALSE)*VLOOKUP(AE$1,'Attrition Modeling'!$L$15:$N$27,IF(AE$2-$F11&lt;=24,2,3),FALSE))*(1+Projection!AG$16)*(1+IF(AE143&gt;0,'Attrition Modeling'!$N$9,0))),0))</f>
        <v>2893.9585232322811</v>
      </c>
      <c r="AF11" s="799">
        <f>IF(AF$2=$F11+1,Monthly!AB$21,IF(AF$2&gt;$F11+1,('Traditional Attrition'!AE11+AF143)*(1-IF(AF$2-$F11&lt;=12,SUMIFS('Attrition Modeling'!$D:$D,'Attrition Modeling'!$B:$B,'Traditional Attrition'!$E11,'Attrition Modeling'!$C:$C,'Traditional Attrition'!AF$1),VLOOKUP('Traditional Attrition'!AF$2-'Traditional Attrition'!$F11-1,'Traditional Attrition'!$A$7:$C$161,2,FALSE)*VLOOKUP(AF$1,'Attrition Modeling'!$L$15:$N$27,IF(AF$2-$F11&lt;=24,2,3),FALSE))*(1+Projection!AH$16)*(1+IF(AF143&gt;0,'Attrition Modeling'!$N$9,0))),0))</f>
        <v>2766.1014976923275</v>
      </c>
      <c r="AG11" s="799">
        <f>IF(AG$2=$F11+1,Monthly!AC$21,IF(AG$2&gt;$F11+1,('Traditional Attrition'!AF11+AG143)*(1-IF(AG$2-$F11&lt;=12,SUMIFS('Attrition Modeling'!$D:$D,'Attrition Modeling'!$B:$B,'Traditional Attrition'!$E11,'Attrition Modeling'!$C:$C,'Traditional Attrition'!AG$1),VLOOKUP('Traditional Attrition'!AG$2-'Traditional Attrition'!$F11-1,'Traditional Attrition'!$A$7:$C$161,2,FALSE)*VLOOKUP(AG$1,'Attrition Modeling'!$L$15:$N$27,IF(AG$2-$F11&lt;=24,2,3),FALSE))*(1+Projection!AI$16)*(1+IF(AG143&gt;0,'Attrition Modeling'!$N$9,0))),0))</f>
        <v>2890.2430103318843</v>
      </c>
      <c r="AH11" s="799">
        <f>IF(AH$2=$F11+1,Monthly!AD$21,IF(AH$2&gt;$F11+1,('Traditional Attrition'!AG11+AH143)*(1-IF(AH$2-$F11&lt;=12,SUMIFS('Attrition Modeling'!$D:$D,'Attrition Modeling'!$B:$B,'Traditional Attrition'!$E11,'Attrition Modeling'!$C:$C,'Traditional Attrition'!AH$1),VLOOKUP('Traditional Attrition'!AH$2-'Traditional Attrition'!$F11-1,'Traditional Attrition'!$A$7:$C$161,2,FALSE)*VLOOKUP(AH$1,'Attrition Modeling'!$L$15:$N$27,IF(AH$2-$F11&lt;=24,2,3),FALSE))*(1+Projection!AJ$16)*(1+IF(AH143&gt;0,'Attrition Modeling'!$N$9,0))),0))</f>
        <v>2770.578111307017</v>
      </c>
      <c r="AI11" s="799">
        <f>IF(AI$2=$F11+1,Monthly!AE$21,IF(AI$2&gt;$F11+1,('Traditional Attrition'!AH11+AI143)*(1-IF(AI$2-$F11&lt;=12,SUMIFS('Attrition Modeling'!$D:$D,'Attrition Modeling'!$B:$B,'Traditional Attrition'!$E11,'Attrition Modeling'!$C:$C,'Traditional Attrition'!AI$1),VLOOKUP('Traditional Attrition'!AI$2-'Traditional Attrition'!$F11-1,'Traditional Attrition'!$A$7:$C$161,2,FALSE)*VLOOKUP(AI$1,'Attrition Modeling'!$L$15:$N$27,IF(AI$2-$F11&lt;=24,2,3),FALSE))*(1+Projection!AK$16)*(1+IF(AI143&gt;0,'Attrition Modeling'!$N$9,0))),0))</f>
        <v>2659.9347359767976</v>
      </c>
      <c r="AJ11" s="799">
        <f>IF(AJ$2=$F11+1,Monthly!AF$21,IF(AJ$2&gt;$F11+1,('Traditional Attrition'!AI11+AJ143)*(1-IF(AJ$2-$F11&lt;=12,SUMIFS('Attrition Modeling'!$D:$D,'Attrition Modeling'!$B:$B,'Traditional Attrition'!$E11,'Attrition Modeling'!$C:$C,'Traditional Attrition'!AJ$1),VLOOKUP('Traditional Attrition'!AJ$2-'Traditional Attrition'!$F11-1,'Traditional Attrition'!$A$7:$C$161,2,FALSE)*VLOOKUP(AJ$1,'Attrition Modeling'!$L$15:$N$27,IF(AJ$2-$F11&lt;=24,2,3),FALSE))*(1+Projection!AL$16)*(1+IF(AJ143&gt;0,'Attrition Modeling'!$N$9,0))),0))</f>
        <v>2556.2703072985555</v>
      </c>
      <c r="AK11" s="799">
        <f>IF(AK$2=$F11+1,Monthly!AG$21,IF(AK$2&gt;$F11+1,('Traditional Attrition'!AJ11+AK143)*(1-IF(AK$2-$F11&lt;=12,SUMIFS('Attrition Modeling'!$D:$D,'Attrition Modeling'!$B:$B,'Traditional Attrition'!$E11,'Attrition Modeling'!$C:$C,'Traditional Attrition'!AK$1),VLOOKUP('Traditional Attrition'!AK$2-'Traditional Attrition'!$F11-1,'Traditional Attrition'!$A$7:$C$161,2,FALSE)*VLOOKUP(AK$1,'Attrition Modeling'!$L$15:$N$27,IF(AK$2-$F11&lt;=24,2,3),FALSE))*(1+Projection!AM$16)*(1+IF(AK143&gt;0,'Attrition Modeling'!$N$9,0))),0))</f>
        <v>2448.5959236329627</v>
      </c>
      <c r="AL11" s="799">
        <f>IF(AL$2=$F11+1,Monthly!AH$21,IF(AL$2&gt;$F11+1,('Traditional Attrition'!AK11+AL143)*(1-IF(AL$2-$F11&lt;=12,SUMIFS('Attrition Modeling'!$D:$D,'Attrition Modeling'!$B:$B,'Traditional Attrition'!$E11,'Attrition Modeling'!$C:$C,'Traditional Attrition'!AL$1),VLOOKUP('Traditional Attrition'!AL$2-'Traditional Attrition'!$F11-1,'Traditional Attrition'!$A$7:$C$161,2,FALSE)*VLOOKUP(AL$1,'Attrition Modeling'!$L$15:$N$27,IF(AL$2-$F11&lt;=24,2,3),FALSE))*(1+Projection!AN$16)*(1+IF(AL143&gt;0,'Attrition Modeling'!$N$9,0))),0))</f>
        <v>2344.5239752111365</v>
      </c>
      <c r="AM11" s="799">
        <f>IF(AM$2=$F11+1,Monthly!AI$21,IF(AM$2&gt;$F11+1,('Traditional Attrition'!AL11+AM143)*(1-IF(AM$2-$F11&lt;=12,SUMIFS('Attrition Modeling'!$D:$D,'Attrition Modeling'!$B:$B,'Traditional Attrition'!$E11,'Attrition Modeling'!$C:$C,'Traditional Attrition'!AM$1),VLOOKUP('Traditional Attrition'!AM$2-'Traditional Attrition'!$F11-1,'Traditional Attrition'!$A$7:$C$161,2,FALSE)*VLOOKUP(AM$1,'Attrition Modeling'!$L$15:$N$27,IF(AM$2-$F11&lt;=24,2,3),FALSE))*(1+Projection!AO$16)*(1+IF(AM143&gt;0,'Attrition Modeling'!$N$9,0))),0))</f>
        <v>2241.8449954377174</v>
      </c>
      <c r="AN11" s="799">
        <f>IF(AN$2=$F11+1,Monthly!AJ$21,IF(AN$2&gt;$F11+1,('Traditional Attrition'!AM11+AN143)*(1-IF(AN$2-$F11&lt;=12,SUMIFS('Attrition Modeling'!$D:$D,'Attrition Modeling'!$B:$B,'Traditional Attrition'!$E11,'Attrition Modeling'!$C:$C,'Traditional Attrition'!AN$1),VLOOKUP('Traditional Attrition'!AN$2-'Traditional Attrition'!$F11-1,'Traditional Attrition'!$A$7:$C$161,2,FALSE)*VLOOKUP(AN$1,'Attrition Modeling'!$L$15:$N$27,IF(AN$2-$F11&lt;=24,2,3),FALSE))*(1+Projection!AP$16)*(1+IF(AN143&gt;0,'Attrition Modeling'!$N$9,0))),0))</f>
        <v>2149.6171765383365</v>
      </c>
      <c r="AO11" s="799">
        <f>IF(AO$2=$F11+1,Monthly!AK$21,IF(AO$2&gt;$F11+1,('Traditional Attrition'!AN11+AO143)*(1-IF(AO$2-$F11&lt;=12,SUMIFS('Attrition Modeling'!$D:$D,'Attrition Modeling'!$B:$B,'Traditional Attrition'!$E11,'Attrition Modeling'!$C:$C,'Traditional Attrition'!AO$1),VLOOKUP('Traditional Attrition'!AO$2-'Traditional Attrition'!$F11-1,'Traditional Attrition'!$A$7:$C$161,2,FALSE)*VLOOKUP(AO$1,'Attrition Modeling'!$L$15:$N$27,IF(AO$2-$F11&lt;=24,2,3),FALSE))*(1+Projection!AQ$16)*(1+IF(AO143&gt;0,'Attrition Modeling'!$N$9,0))),0))</f>
        <v>2065.4173231204118</v>
      </c>
      <c r="AP11" s="799">
        <f>IF(AP$2=$F11+1,Monthly!AL$21,IF(AP$2&gt;$F11+1,('Traditional Attrition'!AO11+AP143)*(1-IF(AP$2-$F11&lt;=12,SUMIFS('Attrition Modeling'!$D:$D,'Attrition Modeling'!$B:$B,'Traditional Attrition'!$E11,'Attrition Modeling'!$C:$C,'Traditional Attrition'!AP$1),VLOOKUP('Traditional Attrition'!AP$2-'Traditional Attrition'!$F11-1,'Traditional Attrition'!$A$7:$C$161,2,FALSE)*VLOOKUP(AP$1,'Attrition Modeling'!$L$15:$N$27,IF(AP$2-$F11&lt;=24,2,3),FALSE))*(1+Projection!AR$16)*(1+IF(AP143&gt;0,'Attrition Modeling'!$N$9,0))),0))</f>
        <v>1987.4150545766568</v>
      </c>
      <c r="AQ11" s="799">
        <f>IF(AQ$2=$F11+1,Monthly!AM$21,IF(AQ$2&gt;$F11+1,('Traditional Attrition'!AP11+AQ143)*(1-IF(AQ$2-$F11&lt;=12,SUMIFS('Attrition Modeling'!$D:$D,'Attrition Modeling'!$B:$B,'Traditional Attrition'!$E11,'Attrition Modeling'!$C:$C,'Traditional Attrition'!AQ$1),VLOOKUP('Traditional Attrition'!AQ$2-'Traditional Attrition'!$F11-1,'Traditional Attrition'!$A$7:$C$161,2,FALSE)*VLOOKUP(AQ$1,'Attrition Modeling'!$L$15:$N$27,IF(AQ$2-$F11&lt;=24,2,3),FALSE))*(1+Projection!AS$16)*(1+IF(AQ143&gt;0,'Attrition Modeling'!$N$9,0))),0))</f>
        <v>1926.3787550265113</v>
      </c>
      <c r="AR11" s="799">
        <f>IF(AR$2=$F11+1,Monthly!AN$21,IF(AR$2&gt;$F11+1,('Traditional Attrition'!AQ11+AR143)*(1-IF(AR$2-$F11&lt;=12,SUMIFS('Attrition Modeling'!$D:$D,'Attrition Modeling'!$B:$B,'Traditional Attrition'!$E11,'Attrition Modeling'!$C:$C,'Traditional Attrition'!AR$1),VLOOKUP('Traditional Attrition'!AR$2-'Traditional Attrition'!$F11-1,'Traditional Attrition'!$A$7:$C$161,2,FALSE)*VLOOKUP(AR$1,'Attrition Modeling'!$L$15:$N$27,IF(AR$2-$F11&lt;=24,2,3),FALSE))*(1+Projection!AT$16)*(1+IF(AR143&gt;0,'Attrition Modeling'!$N$9,0))),0))</f>
        <v>1861.7221136291168</v>
      </c>
      <c r="AS11" s="799">
        <f>IF(AS$2=$F11+1,Monthly!AO$21,IF(AS$2&gt;$F11+1,('Traditional Attrition'!AR11+AS143)*(1-IF(AS$2-$F11&lt;=12,SUMIFS('Attrition Modeling'!$D:$D,'Attrition Modeling'!$B:$B,'Traditional Attrition'!$E11,'Attrition Modeling'!$C:$C,'Traditional Attrition'!AS$1),VLOOKUP('Traditional Attrition'!AS$2-'Traditional Attrition'!$F11-1,'Traditional Attrition'!$A$7:$C$161,2,FALSE)*VLOOKUP(AS$1,'Attrition Modeling'!$L$15:$N$27,IF(AS$2-$F11&lt;=24,2,3),FALSE))*(1+Projection!AU$16)*(1+IF(AS143&gt;0,'Attrition Modeling'!$N$9,0))),0))</f>
        <v>1961.8415291302476</v>
      </c>
      <c r="AT11" s="799">
        <f>IF(AT$2=$F11+1,Monthly!AP$21,IF(AT$2&gt;$F11+1,('Traditional Attrition'!AS11+AT143)*(1-IF(AT$2-$F11&lt;=12,SUMIFS('Attrition Modeling'!$D:$D,'Attrition Modeling'!$B:$B,'Traditional Attrition'!$E11,'Attrition Modeling'!$C:$C,'Traditional Attrition'!AT$1),VLOOKUP('Traditional Attrition'!AT$2-'Traditional Attrition'!$F11-1,'Traditional Attrition'!$A$7:$C$161,2,FALSE)*VLOOKUP(AT$1,'Attrition Modeling'!$L$15:$N$27,IF(AT$2-$F11&lt;=24,2,3),FALSE))*(1+Projection!AV$16)*(1+IF(AT143&gt;0,'Attrition Modeling'!$N$9,0))),0))</f>
        <v>1902.2464354333003</v>
      </c>
      <c r="AU11" s="799">
        <f>IF(AU$2=$F11+1,Monthly!AQ$21,IF(AU$2&gt;$F11+1,('Traditional Attrition'!AT11+AU143)*(1-IF(AU$2-$F11&lt;=12,SUMIFS('Attrition Modeling'!$D:$D,'Attrition Modeling'!$B:$B,'Traditional Attrition'!$E11,'Attrition Modeling'!$C:$C,'Traditional Attrition'!AU$1),VLOOKUP('Traditional Attrition'!AU$2-'Traditional Attrition'!$F11-1,'Traditional Attrition'!$A$7:$C$161,2,FALSE)*VLOOKUP(AU$1,'Attrition Modeling'!$L$15:$N$27,IF(AU$2-$F11&lt;=24,2,3),FALSE))*(1+Projection!AW$16)*(1+IF(AU143&gt;0,'Attrition Modeling'!$N$9,0))),0))</f>
        <v>1856.8425032140281</v>
      </c>
      <c r="AV11" s="799">
        <f>IF(AV$2=$F11+1,Monthly!AR$21,IF(AV$2&gt;$F11+1,('Traditional Attrition'!AU11+AV143)*(1-IF(AV$2-$F11&lt;=12,SUMIFS('Attrition Modeling'!$D:$D,'Attrition Modeling'!$B:$B,'Traditional Attrition'!$E11,'Attrition Modeling'!$C:$C,'Traditional Attrition'!AV$1),VLOOKUP('Traditional Attrition'!AV$2-'Traditional Attrition'!$F11-1,'Traditional Attrition'!$A$7:$C$161,2,FALSE)*VLOOKUP(AV$1,'Attrition Modeling'!$L$15:$N$27,IF(AV$2-$F11&lt;=24,2,3),FALSE))*(1+Projection!AX$16)*(1+IF(AV143&gt;0,'Attrition Modeling'!$N$9,0))),0))</f>
        <v>1803.9632889161737</v>
      </c>
      <c r="AW11" s="799">
        <f>IF(AW$2=$F11+1,Monthly!AS$21,IF(AW$2&gt;$F11+1,('Traditional Attrition'!AV11+AW143)*(1-IF(AW$2-$F11&lt;=12,SUMIFS('Attrition Modeling'!$D:$D,'Attrition Modeling'!$B:$B,'Traditional Attrition'!$E11,'Attrition Modeling'!$C:$C,'Traditional Attrition'!AW$1),VLOOKUP('Traditional Attrition'!AW$2-'Traditional Attrition'!$F11-1,'Traditional Attrition'!$A$7:$C$161,2,FALSE)*VLOOKUP(AW$1,'Attrition Modeling'!$L$15:$N$27,IF(AW$2-$F11&lt;=24,2,3),FALSE))*(1+Projection!AY$16)*(1+IF(AW143&gt;0,'Attrition Modeling'!$N$9,0))),0))</f>
        <v>1746.003959819951</v>
      </c>
      <c r="AX11" s="799">
        <f>IF(AX$2=$F11+1,Monthly!AT$21,IF(AX$2&gt;$F11+1,('Traditional Attrition'!AW11+AX143)*(1-IF(AX$2-$F11&lt;=12,SUMIFS('Attrition Modeling'!$D:$D,'Attrition Modeling'!$B:$B,'Traditional Attrition'!$E11,'Attrition Modeling'!$C:$C,'Traditional Attrition'!AX$1),VLOOKUP('Traditional Attrition'!AX$2-'Traditional Attrition'!$F11-1,'Traditional Attrition'!$A$7:$C$161,2,FALSE)*VLOOKUP(AX$1,'Attrition Modeling'!$L$15:$N$27,IF(AX$2-$F11&lt;=24,2,3),FALSE))*(1+Projection!AZ$16)*(1+IF(AX143&gt;0,'Attrition Modeling'!$N$9,0))),0))</f>
        <v>1685.5718606081991</v>
      </c>
      <c r="AY11" s="799">
        <f>IF(AY$2=$F11+1,Monthly!AU$21,IF(AY$2&gt;$F11+1,('Traditional Attrition'!AX11+AY143)*(1-IF(AY$2-$F11&lt;=12,SUMIFS('Attrition Modeling'!$D:$D,'Attrition Modeling'!$B:$B,'Traditional Attrition'!$E11,'Attrition Modeling'!$C:$C,'Traditional Attrition'!AY$1),VLOOKUP('Traditional Attrition'!AY$2-'Traditional Attrition'!$F11-1,'Traditional Attrition'!$A$7:$C$161,2,FALSE)*VLOOKUP(AY$1,'Attrition Modeling'!$L$15:$N$27,IF(AY$2-$F11&lt;=24,2,3),FALSE))*(1+Projection!BA$16)*(1+IF(AY143&gt;0,'Attrition Modeling'!$N$9,0))),0))</f>
        <v>1623.6132089742844</v>
      </c>
      <c r="AZ11" s="799">
        <f>IF(AZ$2=$F11+1,Monthly!AV$21,IF(AZ$2&gt;$F11+1,('Traditional Attrition'!AY11+AZ143)*(1-IF(AZ$2-$F11&lt;=12,SUMIFS('Attrition Modeling'!$D:$D,'Attrition Modeling'!$B:$B,'Traditional Attrition'!$E11,'Attrition Modeling'!$C:$C,'Traditional Attrition'!AZ$1),VLOOKUP('Traditional Attrition'!AZ$2-'Traditional Attrition'!$F11-1,'Traditional Attrition'!$A$7:$C$161,2,FALSE)*VLOOKUP(AZ$1,'Attrition Modeling'!$L$15:$N$27,IF(AZ$2-$F11&lt;=24,2,3),FALSE))*(1+Projection!BB$16)*(1+IF(AZ143&gt;0,'Attrition Modeling'!$N$9,0))),0))</f>
        <v>1568.1732831555937</v>
      </c>
      <c r="BA11" s="799">
        <f>IF(BA$2=$F11+1,Monthly!AW$21,IF(BA$2&gt;$F11+1,('Traditional Attrition'!AZ11+BA143)*(1-IF(BA$2-$F11&lt;=12,SUMIFS('Attrition Modeling'!$D:$D,'Attrition Modeling'!$B:$B,'Traditional Attrition'!$E11,'Attrition Modeling'!$C:$C,'Traditional Attrition'!BA$1),VLOOKUP('Traditional Attrition'!BA$2-'Traditional Attrition'!$F11-1,'Traditional Attrition'!$A$7:$C$161,2,FALSE)*VLOOKUP(BA$1,'Attrition Modeling'!$L$15:$N$27,IF(BA$2-$F11&lt;=24,2,3),FALSE))*(1+Projection!BC$16)*(1+IF(BA143&gt;0,'Attrition Modeling'!$N$9,0))),0))</f>
        <v>1517.0201033191327</v>
      </c>
      <c r="BB11" s="799">
        <f>IF(BB$2=$F11+1,Monthly!AX$21,IF(BB$2&gt;$F11+1,('Traditional Attrition'!BA11+BB143)*(1-IF(BB$2-$F11&lt;=12,SUMIFS('Attrition Modeling'!$D:$D,'Attrition Modeling'!$B:$B,'Traditional Attrition'!$E11,'Attrition Modeling'!$C:$C,'Traditional Attrition'!BB$1),VLOOKUP('Traditional Attrition'!BB$2-'Traditional Attrition'!$F11-1,'Traditional Attrition'!$A$7:$C$161,2,FALSE)*VLOOKUP(BB$1,'Attrition Modeling'!$L$15:$N$27,IF(BB$2-$F11&lt;=24,2,3),FALSE))*(1+Projection!BD$16)*(1+IF(BB143&gt;0,'Attrition Modeling'!$N$9,0))),0))</f>
        <v>1469.1600703327638</v>
      </c>
      <c r="BC11" s="799">
        <f>IF(BC$2=$F11+1,Monthly!AY$21,IF(BC$2&gt;$F11+1,('Traditional Attrition'!BB11+BC143)*(1-IF(BC$2-$F11&lt;=12,SUMIFS('Attrition Modeling'!$D:$D,'Attrition Modeling'!$B:$B,'Traditional Attrition'!$E11,'Attrition Modeling'!$C:$C,'Traditional Attrition'!BC$1),VLOOKUP('Traditional Attrition'!BC$2-'Traditional Attrition'!$F11-1,'Traditional Attrition'!$A$7:$C$161,2,FALSE)*VLOOKUP(BC$1,'Attrition Modeling'!$L$15:$N$27,IF(BC$2-$F11&lt;=24,2,3),FALSE))*(1+Projection!BE$16)*(1+IF(BC143&gt;0,'Attrition Modeling'!$N$9,0))),0))</f>
        <v>1431.3574378595997</v>
      </c>
      <c r="BD11" s="799">
        <f>IF(BD$2=$F11+1,Monthly!AZ$21,IF(BD$2&gt;$F11+1,('Traditional Attrition'!BC11+BD143)*(1-IF(BD$2-$F11&lt;=12,SUMIFS('Attrition Modeling'!$D:$D,'Attrition Modeling'!$B:$B,'Traditional Attrition'!$E11,'Attrition Modeling'!$C:$C,'Traditional Attrition'!BD$1),VLOOKUP('Traditional Attrition'!BD$2-'Traditional Attrition'!$F11-1,'Traditional Attrition'!$A$7:$C$161,2,FALSE)*VLOOKUP(BD$1,'Attrition Modeling'!$L$15:$N$27,IF(BD$2-$F11&lt;=24,2,3),FALSE))*(1+Projection!BF$16)*(1+IF(BD143&gt;0,'Attrition Modeling'!$N$9,0))),0))</f>
        <v>1390.9958550137949</v>
      </c>
      <c r="BE11" s="799">
        <f>IF(BE$2=$F11+1,Monthly!BA$21,IF(BE$2&gt;$F11+1,('Traditional Attrition'!BD11+BE143)*(1-IF(BE$2-$F11&lt;=12,SUMIFS('Attrition Modeling'!$D:$D,'Attrition Modeling'!$B:$B,'Traditional Attrition'!$E11,'Attrition Modeling'!$C:$C,'Traditional Attrition'!BE$1),VLOOKUP('Traditional Attrition'!BE$2-'Traditional Attrition'!$F11-1,'Traditional Attrition'!$A$7:$C$161,2,FALSE)*VLOOKUP(BE$1,'Attrition Modeling'!$L$15:$N$27,IF(BE$2-$F11&lt;=24,2,3),FALSE))*(1+Projection!BG$16)*(1+IF(BE143&gt;0,'Attrition Modeling'!$N$9,0))),0))</f>
        <v>1432.1696044282191</v>
      </c>
      <c r="BF11" s="799">
        <f>IF(BF$2=$F11+1,Monthly!BB$21,IF(BF$2&gt;$F11+1,('Traditional Attrition'!BE11+BF143)*(1-IF(BF$2-$F11&lt;=12,SUMIFS('Attrition Modeling'!$D:$D,'Attrition Modeling'!$B:$B,'Traditional Attrition'!$E11,'Attrition Modeling'!$C:$C,'Traditional Attrition'!BF$1),VLOOKUP('Traditional Attrition'!BF$2-'Traditional Attrition'!$F11-1,'Traditional Attrition'!$A$7:$C$161,2,FALSE)*VLOOKUP(BF$1,'Attrition Modeling'!$L$15:$N$27,IF(BF$2-$F11&lt;=24,2,3),FALSE))*(1+Projection!BH$16)*(1+IF(BF143&gt;0,'Attrition Modeling'!$N$9,0))),0))</f>
        <v>1395.4348332602815</v>
      </c>
      <c r="BG11" s="799">
        <f>IF(BG$2=$F11+1,Monthly!BC$21,IF(BG$2&gt;$F11+1,('Traditional Attrition'!BF11+BG143)*(1-IF(BG$2-$F11&lt;=12,SUMIFS('Attrition Modeling'!$D:$D,'Attrition Modeling'!$B:$B,'Traditional Attrition'!$E11,'Attrition Modeling'!$C:$C,'Traditional Attrition'!BG$1),VLOOKUP('Traditional Attrition'!BG$2-'Traditional Attrition'!$F11-1,'Traditional Attrition'!$A$7:$C$161,2,FALSE)*VLOOKUP(BG$1,'Attrition Modeling'!$L$15:$N$27,IF(BG$2-$F11&lt;=24,2,3),FALSE))*(1+Projection!BI$16)*(1+IF(BG143&gt;0,'Attrition Modeling'!$N$9,0))),0))</f>
        <v>1367.2461107959639</v>
      </c>
      <c r="BH11" s="799">
        <f>IF(BH$2=$F11+1,Monthly!BD$21,IF(BH$2&gt;$F11+1,('Traditional Attrition'!BG11+BH143)*(1-IF(BH$2-$F11&lt;=12,SUMIFS('Attrition Modeling'!$D:$D,'Attrition Modeling'!$B:$B,'Traditional Attrition'!$E11,'Attrition Modeling'!$C:$C,'Traditional Attrition'!BH$1),VLOOKUP('Traditional Attrition'!BH$2-'Traditional Attrition'!$F11-1,'Traditional Attrition'!$A$7:$C$161,2,FALSE)*VLOOKUP(BH$1,'Attrition Modeling'!$L$15:$N$27,IF(BH$2-$F11&lt;=24,2,3),FALSE))*(1+Projection!BJ$16)*(1+IF(BH143&gt;0,'Attrition Modeling'!$N$9,0))),0))</f>
        <v>1334.2210198596902</v>
      </c>
      <c r="BI11" s="799">
        <f>IF(BI$2=$F11+1,Monthly!BE$21,IF(BI$2&gt;$F11+1,('Traditional Attrition'!BH11+BI143)*(1-IF(BI$2-$F11&lt;=12,SUMIFS('Attrition Modeling'!$D:$D,'Attrition Modeling'!$B:$B,'Traditional Attrition'!$E11,'Attrition Modeling'!$C:$C,'Traditional Attrition'!BI$1),VLOOKUP('Traditional Attrition'!BI$2-'Traditional Attrition'!$F11-1,'Traditional Attrition'!$A$7:$C$161,2,FALSE)*VLOOKUP(BI$1,'Attrition Modeling'!$L$15:$N$27,IF(BI$2-$F11&lt;=24,2,3),FALSE))*(1+Projection!BK$16)*(1+IF(BI143&gt;0,'Attrition Modeling'!$N$9,0))),0))</f>
        <v>1297.7868841281941</v>
      </c>
      <c r="BJ11" s="799">
        <f>IF(BJ$2=$F11+1,Monthly!BF$21,IF(BJ$2&gt;$F11+1,('Traditional Attrition'!BI11+BJ143)*(1-IF(BJ$2-$F11&lt;=12,SUMIFS('Attrition Modeling'!$D:$D,'Attrition Modeling'!$B:$B,'Traditional Attrition'!$E11,'Attrition Modeling'!$C:$C,'Traditional Attrition'!BJ$1),VLOOKUP('Traditional Attrition'!BJ$2-'Traditional Attrition'!$F11-1,'Traditional Attrition'!$A$7:$C$161,2,FALSE)*VLOOKUP(BJ$1,'Attrition Modeling'!$L$15:$N$27,IF(BJ$2-$F11&lt;=24,2,3),FALSE))*(1+Projection!BL$16)*(1+IF(BJ143&gt;0,'Attrition Modeling'!$N$9,0))),0))</f>
        <v>1259.5342385087345</v>
      </c>
      <c r="BK11" s="799">
        <f>IF(BK$2=$F11+1,Monthly!BG$21,IF(BK$2&gt;$F11+1,('Traditional Attrition'!BJ11+BK143)*(1-IF(BK$2-$F11&lt;=12,SUMIFS('Attrition Modeling'!$D:$D,'Attrition Modeling'!$B:$B,'Traditional Attrition'!$E11,'Attrition Modeling'!$C:$C,'Traditional Attrition'!BK$1),VLOOKUP('Traditional Attrition'!BK$2-'Traditional Attrition'!$F11-1,'Traditional Attrition'!$A$7:$C$161,2,FALSE)*VLOOKUP(BK$1,'Attrition Modeling'!$L$15:$N$27,IF(BK$2-$F11&lt;=24,2,3),FALSE))*(1+Projection!BM$16)*(1+IF(BK143&gt;0,'Attrition Modeling'!$N$9,0))),0))</f>
        <v>1220.0333287352237</v>
      </c>
      <c r="BL11" s="799">
        <f>IF(BL$2=$F11+1,Monthly!BH$21,IF(BL$2&gt;$F11+1,('Traditional Attrition'!BK11+BL143)*(1-IF(BL$2-$F11&lt;=12,SUMIFS('Attrition Modeling'!$D:$D,'Attrition Modeling'!$B:$B,'Traditional Attrition'!$E11,'Attrition Modeling'!$C:$C,'Traditional Attrition'!BL$1),VLOOKUP('Traditional Attrition'!BL$2-'Traditional Attrition'!$F11-1,'Traditional Attrition'!$A$7:$C$161,2,FALSE)*VLOOKUP(BL$1,'Attrition Modeling'!$L$15:$N$27,IF(BL$2-$F11&lt;=24,2,3),FALSE))*(1+Projection!BN$16)*(1+IF(BL143&gt;0,'Attrition Modeling'!$N$9,0))),0))</f>
        <v>1184.6668192765933</v>
      </c>
      <c r="BM11" s="799">
        <f>IF(BM$2=$F11+1,Monthly!BI$21,IF(BM$2&gt;$F11+1,('Traditional Attrition'!BL11+BM143)*(1-IF(BM$2-$F11&lt;=12,SUMIFS('Attrition Modeling'!$D:$D,'Attrition Modeling'!$B:$B,'Traditional Attrition'!$E11,'Attrition Modeling'!$C:$C,'Traditional Attrition'!BM$1),VLOOKUP('Traditional Attrition'!BM$2-'Traditional Attrition'!$F11-1,'Traditional Attrition'!$A$7:$C$161,2,FALSE)*VLOOKUP(BM$1,'Attrition Modeling'!$L$15:$N$27,IF(BM$2-$F11&lt;=24,2,3),FALSE))*(1+Projection!BO$16)*(1+IF(BM143&gt;0,'Attrition Modeling'!$N$9,0))),0))</f>
        <v>1151.8109794752279</v>
      </c>
      <c r="BN11" s="799">
        <f>IF(BN$2=$F11+1,Monthly!BJ$21,IF(BN$2&gt;$F11+1,('Traditional Attrition'!BM11+BN143)*(1-IF(BN$2-$F11&lt;=12,SUMIFS('Attrition Modeling'!$D:$D,'Attrition Modeling'!$B:$B,'Traditional Attrition'!$E11,'Attrition Modeling'!$C:$C,'Traditional Attrition'!BN$1),VLOOKUP('Traditional Attrition'!BN$2-'Traditional Attrition'!$F11-1,'Traditional Attrition'!$A$7:$C$161,2,FALSE)*VLOOKUP(BN$1,'Attrition Modeling'!$L$15:$N$27,IF(BN$2-$F11&lt;=24,2,3),FALSE))*(1+Projection!BP$16)*(1+IF(BN143&gt;0,'Attrition Modeling'!$N$9,0))),0))</f>
        <v>1120.8708692450821</v>
      </c>
      <c r="BO11" s="799">
        <f>IF(BO$2=$F11+1,Monthly!BK$21,IF(BO$2&gt;$F11+1,('Traditional Attrition'!BN11+BO143)*(1-IF(BO$2-$F11&lt;=12,SUMIFS('Attrition Modeling'!$D:$D,'Attrition Modeling'!$B:$B,'Traditional Attrition'!$E11,'Attrition Modeling'!$C:$C,'Traditional Attrition'!BO$1),VLOOKUP('Traditional Attrition'!BO$2-'Traditional Attrition'!$F11-1,'Traditional Attrition'!$A$7:$C$161,2,FALSE)*VLOOKUP(BO$1,'Attrition Modeling'!$L$15:$N$27,IF(BO$2-$F11&lt;=24,2,3),FALSE))*(1+Projection!BV$16)*(1+IF(BO143&gt;0,'Attrition Modeling'!$N$9,0))),0))</f>
        <v>1096.2810800181796</v>
      </c>
      <c r="BP11" s="799">
        <f>IF(BP$2=$F11+1,Monthly!BL$21,IF(BP$2&gt;$F11+1,('Traditional Attrition'!BO11+BP143)*(1-IF(BP$2-$F11&lt;=12,SUMIFS('Attrition Modeling'!$D:$D,'Attrition Modeling'!$B:$B,'Traditional Attrition'!$E11,'Attrition Modeling'!$C:$C,'Traditional Attrition'!BP$1),VLOOKUP('Traditional Attrition'!BP$2-'Traditional Attrition'!$F11-1,'Traditional Attrition'!$A$7:$C$161,2,FALSE)*VLOOKUP(BP$1,'Attrition Modeling'!$L$15:$N$27,IF(BP$2-$F11&lt;=24,2,3),FALSE))*(1+Projection!BW$16)*(1+IF(BP143&gt;0,'Attrition Modeling'!$N$9,0))),0))</f>
        <v>1069.8908178329923</v>
      </c>
      <c r="BQ11" s="799">
        <f>IF(BQ$2=$F11+1,Monthly!BM$21,IF(BQ$2&gt;$F11+1,('Traditional Attrition'!BP11+BQ143)*(1-IF(BQ$2-$F11&lt;=12,SUMIFS('Attrition Modeling'!$D:$D,'Attrition Modeling'!$B:$B,'Traditional Attrition'!$E11,'Attrition Modeling'!$C:$C,'Traditional Attrition'!BQ$1),VLOOKUP('Traditional Attrition'!BQ$2-'Traditional Attrition'!$F11-1,'Traditional Attrition'!$A$7:$C$161,2,FALSE)*VLOOKUP(BQ$1,'Attrition Modeling'!$L$15:$N$27,IF(BQ$2-$F11&lt;=24,2,3),FALSE))*(1+Projection!BX$16)*(1+IF(BQ143&gt;0,'Attrition Modeling'!$N$9,0))),0))</f>
        <v>1045.1627918995723</v>
      </c>
      <c r="BR11" s="799">
        <f>IF(BR$2=$F11+1,Monthly!BN$21,IF(BR$2&gt;$F11+1,('Traditional Attrition'!BQ11+BR143)*(1-IF(BR$2-$F11&lt;=12,SUMIFS('Attrition Modeling'!$D:$D,'Attrition Modeling'!$B:$B,'Traditional Attrition'!$E11,'Attrition Modeling'!$C:$C,'Traditional Attrition'!BR$1),VLOOKUP('Traditional Attrition'!BR$2-'Traditional Attrition'!$F11-1,'Traditional Attrition'!$A$7:$C$161,2,FALSE)*VLOOKUP(BR$1,'Attrition Modeling'!$L$15:$N$27,IF(BR$2-$F11&lt;=24,2,3),FALSE))*(1+Projection!BY$16)*(1+IF(BR143&gt;0,'Attrition Modeling'!$N$9,0))),0))</f>
        <v>1022.2229323164091</v>
      </c>
      <c r="BS11" s="799">
        <f>IF(BS$2=$F11+1,Monthly!BO$21,IF(BS$2&gt;$F11+1,('Traditional Attrition'!BR11+BS143)*(1-IF(BS$2-$F11&lt;=12,SUMIFS('Attrition Modeling'!$D:$D,'Attrition Modeling'!$B:$B,'Traditional Attrition'!$E11,'Attrition Modeling'!$C:$C,'Traditional Attrition'!BS$1),VLOOKUP('Traditional Attrition'!BS$2-'Traditional Attrition'!$F11-1,'Traditional Attrition'!$A$7:$C$161,2,FALSE)*VLOOKUP(BS$1,'Attrition Modeling'!$L$15:$N$27,IF(BS$2-$F11&lt;=24,2,3),FALSE))*(1+Projection!BZ$16)*(1+IF(BS143&gt;0,'Attrition Modeling'!$N$9,0))),0))</f>
        <v>1004.533844562049</v>
      </c>
      <c r="BT11" s="799">
        <f>IF(BT$2=$F11+1,Monthly!#REF!,IF(BT$2&gt;$F11+1,('Traditional Attrition'!BS11+BT143)*(1-IF(BT$2-$F11&lt;=12,SUMIFS('Attrition Modeling'!$D:$D,'Attrition Modeling'!$B:$B,'Traditional Attrition'!$E11,'Attrition Modeling'!$C:$C,'Traditional Attrition'!BT$1),VLOOKUP('Traditional Attrition'!BT$2-'Traditional Attrition'!$F11-1,'Traditional Attrition'!$A$7:$C$161,2,FALSE)*VLOOKUP(BT$1,'Attrition Modeling'!$L$15:$N$27,IF(BT$2-$F11&lt;=24,2,3),FALSE))*(1+Projection!CA$16)*(1+IF(BT143&gt;0,'Attrition Modeling'!$N$9,0))),0))</f>
        <v>983.72727438862671</v>
      </c>
      <c r="BU11" s="799">
        <f>IF(BU$2=$F11+1,Monthly!#REF!,IF(BU$2&gt;$F11+1,('Traditional Attrition'!BT11+BU143)*(1-IF(BU$2-$F11&lt;=12,SUMIFS('Attrition Modeling'!$D:$D,'Attrition Modeling'!$B:$B,'Traditional Attrition'!$E11,'Attrition Modeling'!$C:$C,'Traditional Attrition'!BU$1),VLOOKUP('Traditional Attrition'!BU$2-'Traditional Attrition'!$F11-1,'Traditional Attrition'!$A$7:$C$161,2,FALSE)*VLOOKUP(BU$1,'Attrition Modeling'!$L$15:$N$27,IF(BU$2-$F11&lt;=24,2,3),FALSE))*(1+Projection!CB$16)*(1+IF(BU143&gt;0,'Attrition Modeling'!$N$9,0))),0))</f>
        <v>960.66965404466305</v>
      </c>
    </row>
    <row r="12" spans="1:73" ht="14.25" customHeight="1" x14ac:dyDescent="0.2">
      <c r="A12" s="800">
        <v>5</v>
      </c>
      <c r="B12" s="779" t="e">
        <f>'Attrition Modeling'!H9*(1-Summary!$C$20)</f>
        <v>#DIV/0!</v>
      </c>
      <c r="C12" s="780" t="e">
        <f t="shared" si="4"/>
        <v>#DIV/0!</v>
      </c>
      <c r="E12" s="11">
        <f t="shared" si="2"/>
        <v>9</v>
      </c>
      <c r="F12" s="11">
        <f t="shared" si="3"/>
        <v>9</v>
      </c>
      <c r="G12" s="799"/>
      <c r="H12" s="799">
        <f>IF(H$2=$F12+1,Monthly!D$21,IF(H$2&gt;$F12+1,('Traditional Attrition'!G12+H144)*(1-IF(H$2-$F12&lt;=12,SUMIFS('Attrition Modeling'!$D:$D,'Attrition Modeling'!$B:$B,'Traditional Attrition'!$E12,'Attrition Modeling'!$C:$C,'Traditional Attrition'!H$1),VLOOKUP('Traditional Attrition'!H$2-'Traditional Attrition'!$F12-1,'Traditional Attrition'!$A$7:$C$161,2,FALSE)*VLOOKUP(H$1,'Attrition Modeling'!$L$15:$N$27,IF(H$2-$F12&lt;=24,2,3),FALSE))*(1+Projection!J$16)*(1+IF(H144&gt;0,'Attrition Modeling'!$N$9,0))),0))</f>
        <v>0</v>
      </c>
      <c r="I12" s="799">
        <f>IF(I$2=$F12+1,Monthly!E$21,IF(I$2&gt;$F12+1,('Traditional Attrition'!H12+I144)*(1-IF(I$2-$F12&lt;=12,SUMIFS('Attrition Modeling'!$D:$D,'Attrition Modeling'!$B:$B,'Traditional Attrition'!$E12,'Attrition Modeling'!$C:$C,'Traditional Attrition'!I$1),VLOOKUP('Traditional Attrition'!I$2-'Traditional Attrition'!$F12-1,'Traditional Attrition'!$A$7:$C$161,2,FALSE)*VLOOKUP(I$1,'Attrition Modeling'!$L$15:$N$27,IF(I$2-$F12&lt;=24,2,3),FALSE))*(1+Projection!K$16)*(1+IF(I144&gt;0,'Attrition Modeling'!$N$9,0))),0))</f>
        <v>0</v>
      </c>
      <c r="J12" s="799">
        <f>IF(J$2=$F12+1,Monthly!F$21,IF(J$2&gt;$F12+1,('Traditional Attrition'!I12+J144)*(1-IF(J$2-$F12&lt;=12,SUMIFS('Attrition Modeling'!$D:$D,'Attrition Modeling'!$B:$B,'Traditional Attrition'!$E12,'Attrition Modeling'!$C:$C,'Traditional Attrition'!J$1),VLOOKUP('Traditional Attrition'!J$2-'Traditional Attrition'!$F12-1,'Traditional Attrition'!$A$7:$C$161,2,FALSE)*VLOOKUP(J$1,'Attrition Modeling'!$L$15:$N$27,IF(J$2-$F12&lt;=24,2,3),FALSE))*(1+Projection!L$16)*(1+IF(J144&gt;0,'Attrition Modeling'!$N$9,0))),0))</f>
        <v>0</v>
      </c>
      <c r="K12" s="799">
        <f>IF(K$2=$F12+1,Monthly!G$21,IF(K$2&gt;$F12+1,('Traditional Attrition'!J12+K144)*(1-IF(K$2-$F12&lt;=12,SUMIFS('Attrition Modeling'!$D:$D,'Attrition Modeling'!$B:$B,'Traditional Attrition'!$E12,'Attrition Modeling'!$C:$C,'Traditional Attrition'!K$1),VLOOKUP('Traditional Attrition'!K$2-'Traditional Attrition'!$F12-1,'Traditional Attrition'!$A$7:$C$161,2,FALSE)*VLOOKUP(K$1,'Attrition Modeling'!$L$15:$N$27,IF(K$2-$F12&lt;=24,2,3),FALSE))*(1+Projection!M$16)*(1+IF(K144&gt;0,'Attrition Modeling'!$N$9,0))),0))</f>
        <v>0</v>
      </c>
      <c r="L12" s="799">
        <f>IF(L$2=$F12+1,Monthly!H$21,IF(L$2&gt;$F12+1,('Traditional Attrition'!K12+L144)*(1-IF(L$2-$F12&lt;=12,SUMIFS('Attrition Modeling'!$D:$D,'Attrition Modeling'!$B:$B,'Traditional Attrition'!$E12,'Attrition Modeling'!$C:$C,'Traditional Attrition'!L$1),VLOOKUP('Traditional Attrition'!L$2-'Traditional Attrition'!$F12-1,'Traditional Attrition'!$A$7:$C$161,2,FALSE)*VLOOKUP(L$1,'Attrition Modeling'!$L$15:$N$27,IF(L$2-$F12&lt;=24,2,3),FALSE))*(1+Projection!N$16)*(1+IF(L144&gt;0,'Attrition Modeling'!$N$9,0))),0))</f>
        <v>0</v>
      </c>
      <c r="M12" s="799">
        <f>IF(M$2=$F12+1,Monthly!I$21,IF(M$2&gt;$F12+1,('Traditional Attrition'!L12+M144)*(1-IF(M$2-$F12&lt;=12,SUMIFS('Attrition Modeling'!$D:$D,'Attrition Modeling'!$B:$B,'Traditional Attrition'!$E12,'Attrition Modeling'!$C:$C,'Traditional Attrition'!M$1),VLOOKUP('Traditional Attrition'!M$2-'Traditional Attrition'!$F12-1,'Traditional Attrition'!$A$7:$C$161,2,FALSE)*VLOOKUP(M$1,'Attrition Modeling'!$L$15:$N$27,IF(M$2-$F12&lt;=24,2,3),FALSE))*(1+Projection!O$16)*(1+IF(M144&gt;0,'Attrition Modeling'!$N$9,0))),0))</f>
        <v>0</v>
      </c>
      <c r="N12" s="799">
        <f>IF(N$2=$F12+1,Monthly!J$21,IF(N$2&gt;$F12+1,('Traditional Attrition'!M12+N144)*(1-IF(N$2-$F12&lt;=12,SUMIFS('Attrition Modeling'!$D:$D,'Attrition Modeling'!$B:$B,'Traditional Attrition'!$E12,'Attrition Modeling'!$C:$C,'Traditional Attrition'!N$1),VLOOKUP('Traditional Attrition'!N$2-'Traditional Attrition'!$F12-1,'Traditional Attrition'!$A$7:$C$161,2,FALSE)*VLOOKUP(N$1,'Attrition Modeling'!$L$15:$N$27,IF(N$2-$F12&lt;=24,2,3),FALSE))*(1+Projection!P$16)*(1+IF(N144&gt;0,'Attrition Modeling'!$N$9,0))),0))</f>
        <v>0</v>
      </c>
      <c r="O12" s="799">
        <f>IF(O$2=$F12+1,Monthly!K$21,IF(O$2&gt;$F12+1,('Traditional Attrition'!N12+O144)*(1-IF(O$2-$F12&lt;=12,SUMIFS('Attrition Modeling'!$D:$D,'Attrition Modeling'!$B:$B,'Traditional Attrition'!$E12,'Attrition Modeling'!$C:$C,'Traditional Attrition'!O$1),VLOOKUP('Traditional Attrition'!O$2-'Traditional Attrition'!$F12-1,'Traditional Attrition'!$A$7:$C$161,2,FALSE)*VLOOKUP(O$1,'Attrition Modeling'!$L$15:$N$27,IF(O$2-$F12&lt;=24,2,3),FALSE))*(1+Projection!Q$16)*(1+IF(O144&gt;0,'Attrition Modeling'!$N$9,0))),0))</f>
        <v>0</v>
      </c>
      <c r="P12" s="799">
        <f>IF(P$2=$F12+1,Monthly!L$21,IF(P$2&gt;$F12+1,('Traditional Attrition'!O12+P144)*(1-IF(P$2-$F12&lt;=12,SUMIFS('Attrition Modeling'!$D:$D,'Attrition Modeling'!$B:$B,'Traditional Attrition'!$E12,'Attrition Modeling'!$C:$C,'Traditional Attrition'!P$1),VLOOKUP('Traditional Attrition'!P$2-'Traditional Attrition'!$F12-1,'Traditional Attrition'!$A$7:$C$161,2,FALSE)*VLOOKUP(P$1,'Attrition Modeling'!$L$15:$N$27,IF(P$2-$F12&lt;=24,2,3),FALSE))*(1+Projection!R$16)*(1+IF(P144&gt;0,'Attrition Modeling'!$N$9,0))),0))</f>
        <v>0</v>
      </c>
      <c r="Q12" s="799">
        <f>IF(Q$2=$F12+1,Monthly!M$21,IF(Q$2&gt;$F12+1,('Traditional Attrition'!P12+Q144)*(1-IF(Q$2-$F12&lt;=12,SUMIFS('Attrition Modeling'!$D:$D,'Attrition Modeling'!$B:$B,'Traditional Attrition'!$E12,'Attrition Modeling'!$C:$C,'Traditional Attrition'!Q$1),VLOOKUP('Traditional Attrition'!Q$2-'Traditional Attrition'!$F12-1,'Traditional Attrition'!$A$7:$C$161,2,FALSE)*VLOOKUP(Q$1,'Attrition Modeling'!$L$15:$N$27,IF(Q$2-$F12&lt;=24,2,3),FALSE))*(1+Projection!S$16)*(1+IF(Q144&gt;0,'Attrition Modeling'!$N$9,0))),0))</f>
        <v>7649.1558674071211</v>
      </c>
      <c r="R12" s="799">
        <f>IF(R$2=$F12+1,Monthly!N$21,IF(R$2&gt;$F12+1,('Traditional Attrition'!Q12+R144)*(1-IF(R$2-$F12&lt;=12,SUMIFS('Attrition Modeling'!$D:$D,'Attrition Modeling'!$B:$B,'Traditional Attrition'!$E12,'Attrition Modeling'!$C:$C,'Traditional Attrition'!R$1),VLOOKUP('Traditional Attrition'!R$2-'Traditional Attrition'!$F12-1,'Traditional Attrition'!$A$7:$C$161,2,FALSE)*VLOOKUP(R$1,'Attrition Modeling'!$L$15:$N$27,IF(R$2-$F12&lt;=24,2,3),FALSE))*(1+Projection!T$16)*(1+IF(R144&gt;0,'Attrition Modeling'!$N$9,0))),0))</f>
        <v>6882.8764361752501</v>
      </c>
      <c r="S12" s="799">
        <f>IF(S$2=$F12+1,Monthly!O$21,IF(S$2&gt;$F12+1,('Traditional Attrition'!R12+S144)*(1-IF(S$2-$F12&lt;=12,SUMIFS('Attrition Modeling'!$D:$D,'Attrition Modeling'!$B:$B,'Traditional Attrition'!$E12,'Attrition Modeling'!$C:$C,'Traditional Attrition'!S$1),VLOOKUP('Traditional Attrition'!S$2-'Traditional Attrition'!$F12-1,'Traditional Attrition'!$A$7:$C$161,2,FALSE)*VLOOKUP(S$1,'Attrition Modeling'!$L$15:$N$27,IF(S$2-$F12&lt;=24,2,3),FALSE))*(1+Projection!U$16)*(1+IF(S144&gt;0,'Attrition Modeling'!$N$9,0))),0))</f>
        <v>6278.6439938291132</v>
      </c>
      <c r="T12" s="799">
        <f>IF(T$2=$F12+1,Monthly!P$21,IF(T$2&gt;$F12+1,('Traditional Attrition'!S12+T144)*(1-IF(T$2-$F12&lt;=12,SUMIFS('Attrition Modeling'!$D:$D,'Attrition Modeling'!$B:$B,'Traditional Attrition'!$E12,'Attrition Modeling'!$C:$C,'Traditional Attrition'!T$1),VLOOKUP('Traditional Attrition'!T$2-'Traditional Attrition'!$F12-1,'Traditional Attrition'!$A$7:$C$161,2,FALSE)*VLOOKUP(T$1,'Attrition Modeling'!$L$15:$N$27,IF(T$2-$F12&lt;=24,2,3),FALSE))*(1+Projection!V$16)*(1+IF(T144&gt;0,'Attrition Modeling'!$N$9,0))),0))</f>
        <v>5764.8664485733534</v>
      </c>
      <c r="U12" s="799">
        <f>IF(U$2=$F12+1,Monthly!Q$21,IF(U$2&gt;$F12+1,('Traditional Attrition'!T12+U144)*(1-IF(U$2-$F12&lt;=12,SUMIFS('Attrition Modeling'!$D:$D,'Attrition Modeling'!$B:$B,'Traditional Attrition'!$E12,'Attrition Modeling'!$C:$C,'Traditional Attrition'!U$1),VLOOKUP('Traditional Attrition'!U$2-'Traditional Attrition'!$F12-1,'Traditional Attrition'!$A$7:$C$161,2,FALSE)*VLOOKUP(U$1,'Attrition Modeling'!$L$15:$N$27,IF(U$2-$F12&lt;=24,2,3),FALSE))*(1+Projection!W$16)*(1+IF(U144&gt;0,'Attrition Modeling'!$N$9,0))),0))</f>
        <v>5339.5931153920646</v>
      </c>
      <c r="V12" s="799">
        <f>IF(V$2=$F12+1,Monthly!R$21,IF(V$2&gt;$F12+1,('Traditional Attrition'!U12+V144)*(1-IF(V$2-$F12&lt;=12,SUMIFS('Attrition Modeling'!$D:$D,'Attrition Modeling'!$B:$B,'Traditional Attrition'!$E12,'Attrition Modeling'!$C:$C,'Traditional Attrition'!V$1),VLOOKUP('Traditional Attrition'!V$2-'Traditional Attrition'!$F12-1,'Traditional Attrition'!$A$7:$C$161,2,FALSE)*VLOOKUP(V$1,'Attrition Modeling'!$L$15:$N$27,IF(V$2-$F12&lt;=24,2,3),FALSE))*(1+Projection!X$16)*(1+IF(V144&gt;0,'Attrition Modeling'!$N$9,0))),0))</f>
        <v>5252.7230115208686</v>
      </c>
      <c r="W12" s="799">
        <f>IF(W$2=$F12+1,Monthly!S$21,IF(W$2&gt;$F12+1,('Traditional Attrition'!V12+W144)*(1-IF(W$2-$F12&lt;=12,SUMIFS('Attrition Modeling'!$D:$D,'Attrition Modeling'!$B:$B,'Traditional Attrition'!$E12,'Attrition Modeling'!$C:$C,'Traditional Attrition'!W$1),VLOOKUP('Traditional Attrition'!W$2-'Traditional Attrition'!$F12-1,'Traditional Attrition'!$A$7:$C$161,2,FALSE)*VLOOKUP(W$1,'Attrition Modeling'!$L$15:$N$27,IF(W$2-$F12&lt;=24,2,3),FALSE))*(1+Projection!Y$16)*(1+IF(W144&gt;0,'Attrition Modeling'!$N$9,0))),0))</f>
        <v>4871.0372556314323</v>
      </c>
      <c r="X12" s="799">
        <f>IF(X$2=$F12+1,Monthly!T$21,IF(X$2&gt;$F12+1,('Traditional Attrition'!W12+X144)*(1-IF(X$2-$F12&lt;=12,SUMIFS('Attrition Modeling'!$D:$D,'Attrition Modeling'!$B:$B,'Traditional Attrition'!$E12,'Attrition Modeling'!$C:$C,'Traditional Attrition'!X$1),VLOOKUP('Traditional Attrition'!X$2-'Traditional Attrition'!$F12-1,'Traditional Attrition'!$A$7:$C$161,2,FALSE)*VLOOKUP(X$1,'Attrition Modeling'!$L$15:$N$27,IF(X$2-$F12&lt;=24,2,3),FALSE))*(1+Projection!Z$16)*(1+IF(X144&gt;0,'Attrition Modeling'!$N$9,0))),0))</f>
        <v>4524.5103987961256</v>
      </c>
      <c r="Y12" s="799">
        <f>IF(Y$2=$F12+1,Monthly!U$21,IF(Y$2&gt;$F12+1,('Traditional Attrition'!X12+Y144)*(1-IF(Y$2-$F12&lt;=12,SUMIFS('Attrition Modeling'!$D:$D,'Attrition Modeling'!$B:$B,'Traditional Attrition'!$E12,'Attrition Modeling'!$C:$C,'Traditional Attrition'!Y$1),VLOOKUP('Traditional Attrition'!Y$2-'Traditional Attrition'!$F12-1,'Traditional Attrition'!$A$7:$C$161,2,FALSE)*VLOOKUP(Y$1,'Attrition Modeling'!$L$15:$N$27,IF(Y$2-$F12&lt;=24,2,3),FALSE))*(1+Projection!AA$16)*(1+IF(Y144&gt;0,'Attrition Modeling'!$N$9,0))),0))</f>
        <v>4212.9496718032651</v>
      </c>
      <c r="Z12" s="799">
        <f>IF(Z$2=$F12+1,Monthly!V$21,IF(Z$2&gt;$F12+1,('Traditional Attrition'!Y12+Z144)*(1-IF(Z$2-$F12&lt;=12,SUMIFS('Attrition Modeling'!$D:$D,'Attrition Modeling'!$B:$B,'Traditional Attrition'!$E12,'Attrition Modeling'!$C:$C,'Traditional Attrition'!Z$1),VLOOKUP('Traditional Attrition'!Z$2-'Traditional Attrition'!$F12-1,'Traditional Attrition'!$A$7:$C$161,2,FALSE)*VLOOKUP(Z$1,'Attrition Modeling'!$L$15:$N$27,IF(Z$2-$F12&lt;=24,2,3),FALSE))*(1+Projection!AB$16)*(1+IF(Z144&gt;0,'Attrition Modeling'!$N$9,0))),0))</f>
        <v>3954.3505214371271</v>
      </c>
      <c r="AA12" s="799">
        <f>IF(AA$2=$F12+1,Monthly!W$21,IF(AA$2&gt;$F12+1,('Traditional Attrition'!Z12+AA144)*(1-IF(AA$2-$F12&lt;=12,SUMIFS('Attrition Modeling'!$D:$D,'Attrition Modeling'!$B:$B,'Traditional Attrition'!$E12,'Attrition Modeling'!$C:$C,'Traditional Attrition'!AA$1),VLOOKUP('Traditional Attrition'!AA$2-'Traditional Attrition'!$F12-1,'Traditional Attrition'!$A$7:$C$161,2,FALSE)*VLOOKUP(AA$1,'Attrition Modeling'!$L$15:$N$27,IF(AA$2-$F12&lt;=24,2,3),FALSE))*(1+Projection!AC$16)*(1+IF(AA144&gt;0,'Attrition Modeling'!$N$9,0))),0))</f>
        <v>3721.3649734781825</v>
      </c>
      <c r="AB12" s="799">
        <f>IF(AB$2=$F12+1,Monthly!X$21,IF(AB$2&gt;$F12+1,('Traditional Attrition'!AA12+AB144)*(1-IF(AB$2-$F12&lt;=12,SUMIFS('Attrition Modeling'!$D:$D,'Attrition Modeling'!$B:$B,'Traditional Attrition'!$E12,'Attrition Modeling'!$C:$C,'Traditional Attrition'!AB$1),VLOOKUP('Traditional Attrition'!AB$2-'Traditional Attrition'!$F12-1,'Traditional Attrition'!$A$7:$C$161,2,FALSE)*VLOOKUP(AB$1,'Attrition Modeling'!$L$15:$N$27,IF(AB$2-$F12&lt;=24,2,3),FALSE))*(1+Projection!AD$16)*(1+IF(AB144&gt;0,'Attrition Modeling'!$N$9,0))),0))</f>
        <v>3561.9782418184163</v>
      </c>
      <c r="AC12" s="799">
        <f>IF(AC$2=$F12+1,Monthly!Y$21,IF(AC$2&gt;$F12+1,('Traditional Attrition'!AB12+AC144)*(1-IF(AC$2-$F12&lt;=12,SUMIFS('Attrition Modeling'!$D:$D,'Attrition Modeling'!$B:$B,'Traditional Attrition'!$E12,'Attrition Modeling'!$C:$C,'Traditional Attrition'!AC$1),VLOOKUP('Traditional Attrition'!AC$2-'Traditional Attrition'!$F12-1,'Traditional Attrition'!$A$7:$C$161,2,FALSE)*VLOOKUP(AC$1,'Attrition Modeling'!$L$15:$N$27,IF(AC$2-$F12&lt;=24,2,3),FALSE))*(1+Projection!AE$16)*(1+IF(AC144&gt;0,'Attrition Modeling'!$N$9,0))),0))</f>
        <v>3360.7043688005947</v>
      </c>
      <c r="AD12" s="799">
        <f>IF(AD$2=$F12+1,Monthly!Z$21,IF(AD$2&gt;$F12+1,('Traditional Attrition'!AC12+AD144)*(1-IF(AD$2-$F12&lt;=12,SUMIFS('Attrition Modeling'!$D:$D,'Attrition Modeling'!$B:$B,'Traditional Attrition'!$E12,'Attrition Modeling'!$C:$C,'Traditional Attrition'!AD$1),VLOOKUP('Traditional Attrition'!AD$2-'Traditional Attrition'!$F12-1,'Traditional Attrition'!$A$7:$C$161,2,FALSE)*VLOOKUP(AD$1,'Attrition Modeling'!$L$15:$N$27,IF(AD$2-$F12&lt;=24,2,3),FALSE))*(1+Projection!AF$16)*(1+IF(AD144&gt;0,'Attrition Modeling'!$N$9,0))),0))</f>
        <v>3192.132063576792</v>
      </c>
      <c r="AE12" s="799">
        <f>IF(AE$2=$F12+1,Monthly!AA$21,IF(AE$2&gt;$F12+1,('Traditional Attrition'!AD12+AE144)*(1-IF(AE$2-$F12&lt;=12,SUMIFS('Attrition Modeling'!$D:$D,'Attrition Modeling'!$B:$B,'Traditional Attrition'!$E12,'Attrition Modeling'!$C:$C,'Traditional Attrition'!AE$1),VLOOKUP('Traditional Attrition'!AE$2-'Traditional Attrition'!$F12-1,'Traditional Attrition'!$A$7:$C$161,2,FALSE)*VLOOKUP(AE$1,'Attrition Modeling'!$L$15:$N$27,IF(AE$2-$F12&lt;=24,2,3),FALSE))*(1+Projection!AG$16)*(1+IF(AE144&gt;0,'Attrition Modeling'!$N$9,0))),0))</f>
        <v>3041.4551436663414</v>
      </c>
      <c r="AF12" s="799">
        <f>IF(AF$2=$F12+1,Monthly!AB$21,IF(AF$2&gt;$F12+1,('Traditional Attrition'!AE12+AF144)*(1-IF(AF$2-$F12&lt;=12,SUMIFS('Attrition Modeling'!$D:$D,'Attrition Modeling'!$B:$B,'Traditional Attrition'!$E12,'Attrition Modeling'!$C:$C,'Traditional Attrition'!AF$1),VLOOKUP('Traditional Attrition'!AF$2-'Traditional Attrition'!$F12-1,'Traditional Attrition'!$A$7:$C$161,2,FALSE)*VLOOKUP(AF$1,'Attrition Modeling'!$L$15:$N$27,IF(AF$2-$F12&lt;=24,2,3),FALSE))*(1+Projection!AH$16)*(1+IF(AF144&gt;0,'Attrition Modeling'!$N$9,0))),0))</f>
        <v>2903.0101217861056</v>
      </c>
      <c r="AG12" s="799">
        <f>IF(AG$2=$F12+1,Monthly!AC$21,IF(AG$2&gt;$F12+1,('Traditional Attrition'!AF12+AG144)*(1-IF(AG$2-$F12&lt;=12,SUMIFS('Attrition Modeling'!$D:$D,'Attrition Modeling'!$B:$B,'Traditional Attrition'!$E12,'Attrition Modeling'!$C:$C,'Traditional Attrition'!AG$1),VLOOKUP('Traditional Attrition'!AG$2-'Traditional Attrition'!$F12-1,'Traditional Attrition'!$A$7:$C$161,2,FALSE)*VLOOKUP(AG$1,'Attrition Modeling'!$L$15:$N$27,IF(AG$2-$F12&lt;=24,2,3),FALSE))*(1+Projection!AI$16)*(1+IF(AG144&gt;0,'Attrition Modeling'!$N$9,0))),0))</f>
        <v>2787.3088584538523</v>
      </c>
      <c r="AH12" s="799">
        <f>IF(AH$2=$F12+1,Monthly!AD$21,IF(AH$2&gt;$F12+1,('Traditional Attrition'!AG12+AH144)*(1-IF(AH$2-$F12&lt;=12,SUMIFS('Attrition Modeling'!$D:$D,'Attrition Modeling'!$B:$B,'Traditional Attrition'!$E12,'Attrition Modeling'!$C:$C,'Traditional Attrition'!AH$1),VLOOKUP('Traditional Attrition'!AH$2-'Traditional Attrition'!$F12-1,'Traditional Attrition'!$A$7:$C$161,2,FALSE)*VLOOKUP(AH$1,'Attrition Modeling'!$L$15:$N$27,IF(AH$2-$F12&lt;=24,2,3),FALSE))*(1+Projection!AJ$16)*(1+IF(AH144&gt;0,'Attrition Modeling'!$N$9,0))),0))</f>
        <v>2899.7832861108545</v>
      </c>
      <c r="AI12" s="799">
        <f>IF(AI$2=$F12+1,Monthly!AE$21,IF(AI$2&gt;$F12+1,('Traditional Attrition'!AH12+AI144)*(1-IF(AI$2-$F12&lt;=12,SUMIFS('Attrition Modeling'!$D:$D,'Attrition Modeling'!$B:$B,'Traditional Attrition'!$E12,'Attrition Modeling'!$C:$C,'Traditional Attrition'!AI$1),VLOOKUP('Traditional Attrition'!AI$2-'Traditional Attrition'!$F12-1,'Traditional Attrition'!$A$7:$C$161,2,FALSE)*VLOOKUP(AI$1,'Attrition Modeling'!$L$15:$N$27,IF(AI$2-$F12&lt;=24,2,3),FALSE))*(1+Projection!AK$16)*(1+IF(AI144&gt;0,'Attrition Modeling'!$N$9,0))),0))</f>
        <v>2781.737234084977</v>
      </c>
      <c r="AJ12" s="799">
        <f>IF(AJ$2=$F12+1,Monthly!AF$21,IF(AJ$2&gt;$F12+1,('Traditional Attrition'!AI12+AJ144)*(1-IF(AJ$2-$F12&lt;=12,SUMIFS('Attrition Modeling'!$D:$D,'Attrition Modeling'!$B:$B,'Traditional Attrition'!$E12,'Attrition Modeling'!$C:$C,'Traditional Attrition'!AJ$1),VLOOKUP('Traditional Attrition'!AJ$2-'Traditional Attrition'!$F12-1,'Traditional Attrition'!$A$7:$C$161,2,FALSE)*VLOOKUP(AJ$1,'Attrition Modeling'!$L$15:$N$27,IF(AJ$2-$F12&lt;=24,2,3),FALSE))*(1+Projection!AL$16)*(1+IF(AJ144&gt;0,'Attrition Modeling'!$N$9,0))),0))</f>
        <v>2671.4416052134861</v>
      </c>
      <c r="AK12" s="799">
        <f>IF(AK$2=$F12+1,Monthly!AG$21,IF(AK$2&gt;$F12+1,('Traditional Attrition'!AJ12+AK144)*(1-IF(AK$2-$F12&lt;=12,SUMIFS('Attrition Modeling'!$D:$D,'Attrition Modeling'!$B:$B,'Traditional Attrition'!$E12,'Attrition Modeling'!$C:$C,'Traditional Attrition'!AK$1),VLOOKUP('Traditional Attrition'!AK$2-'Traditional Attrition'!$F12-1,'Traditional Attrition'!$A$7:$C$161,2,FALSE)*VLOOKUP(AK$1,'Attrition Modeling'!$L$15:$N$27,IF(AK$2-$F12&lt;=24,2,3),FALSE))*(1+Projection!AM$16)*(1+IF(AK144&gt;0,'Attrition Modeling'!$N$9,0))),0))</f>
        <v>2557.138902808585</v>
      </c>
      <c r="AL12" s="799">
        <f>IF(AL$2=$F12+1,Monthly!AH$21,IF(AL$2&gt;$F12+1,('Traditional Attrition'!AK12+AL144)*(1-IF(AL$2-$F12&lt;=12,SUMIFS('Attrition Modeling'!$D:$D,'Attrition Modeling'!$B:$B,'Traditional Attrition'!$E12,'Attrition Modeling'!$C:$C,'Traditional Attrition'!AL$1),VLOOKUP('Traditional Attrition'!AL$2-'Traditional Attrition'!$F12-1,'Traditional Attrition'!$A$7:$C$161,2,FALSE)*VLOOKUP(AL$1,'Attrition Modeling'!$L$15:$N$27,IF(AL$2-$F12&lt;=24,2,3),FALSE))*(1+Projection!AN$16)*(1+IF(AL144&gt;0,'Attrition Modeling'!$N$9,0))),0))</f>
        <v>2446.8783512783352</v>
      </c>
      <c r="AM12" s="799">
        <f>IF(AM$2=$F12+1,Monthly!AI$21,IF(AM$2&gt;$F12+1,('Traditional Attrition'!AL12+AM144)*(1-IF(AM$2-$F12&lt;=12,SUMIFS('Attrition Modeling'!$D:$D,'Attrition Modeling'!$B:$B,'Traditional Attrition'!$E12,'Attrition Modeling'!$C:$C,'Traditional Attrition'!AM$1),VLOOKUP('Traditional Attrition'!AM$2-'Traditional Attrition'!$F12-1,'Traditional Attrition'!$A$7:$C$161,2,FALSE)*VLOOKUP(AM$1,'Attrition Modeling'!$L$15:$N$27,IF(AM$2-$F12&lt;=24,2,3),FALSE))*(1+Projection!AO$16)*(1+IF(AM144&gt;0,'Attrition Modeling'!$N$9,0))),0))</f>
        <v>2338.2798106755486</v>
      </c>
      <c r="AN12" s="799">
        <f>IF(AN$2=$F12+1,Monthly!AJ$21,IF(AN$2&gt;$F12+1,('Traditional Attrition'!AM12+AN144)*(1-IF(AN$2-$F12&lt;=12,SUMIFS('Attrition Modeling'!$D:$D,'Attrition Modeling'!$B:$B,'Traditional Attrition'!$E12,'Attrition Modeling'!$C:$C,'Traditional Attrition'!AN$1),VLOOKUP('Traditional Attrition'!AN$2-'Traditional Attrition'!$F12-1,'Traditional Attrition'!$A$7:$C$161,2,FALSE)*VLOOKUP(AN$1,'Attrition Modeling'!$L$15:$N$27,IF(AN$2-$F12&lt;=24,2,3),FALSE))*(1+Projection!AP$16)*(1+IF(AN144&gt;0,'Attrition Modeling'!$N$9,0))),0))</f>
        <v>2244.8993163081036</v>
      </c>
      <c r="AO12" s="799">
        <f>IF(AO$2=$F12+1,Monthly!AK$21,IF(AO$2&gt;$F12+1,('Traditional Attrition'!AN12+AO144)*(1-IF(AO$2-$F12&lt;=12,SUMIFS('Attrition Modeling'!$D:$D,'Attrition Modeling'!$B:$B,'Traditional Attrition'!$E12,'Attrition Modeling'!$C:$C,'Traditional Attrition'!AO$1),VLOOKUP('Traditional Attrition'!AO$2-'Traditional Attrition'!$F12-1,'Traditional Attrition'!$A$7:$C$161,2,FALSE)*VLOOKUP(AO$1,'Attrition Modeling'!$L$15:$N$27,IF(AO$2-$F12&lt;=24,2,3),FALSE))*(1+Projection!AQ$16)*(1+IF(AO144&gt;0,'Attrition Modeling'!$N$9,0))),0))</f>
        <v>2155.4361804919499</v>
      </c>
      <c r="AP12" s="799">
        <f>IF(AP$2=$F12+1,Monthly!AL$21,IF(AP$2&gt;$F12+1,('Traditional Attrition'!AO12+AP144)*(1-IF(AP$2-$F12&lt;=12,SUMIFS('Attrition Modeling'!$D:$D,'Attrition Modeling'!$B:$B,'Traditional Attrition'!$E12,'Attrition Modeling'!$C:$C,'Traditional Attrition'!AP$1),VLOOKUP('Traditional Attrition'!AP$2-'Traditional Attrition'!$F12-1,'Traditional Attrition'!$A$7:$C$161,2,FALSE)*VLOOKUP(AP$1,'Attrition Modeling'!$L$15:$N$27,IF(AP$2-$F12&lt;=24,2,3),FALSE))*(1+Projection!AR$16)*(1+IF(AP144&gt;0,'Attrition Modeling'!$N$9,0))),0))</f>
        <v>2072.6492966262426</v>
      </c>
      <c r="AQ12" s="799">
        <f>IF(AQ$2=$F12+1,Monthly!AM$21,IF(AQ$2&gt;$F12+1,('Traditional Attrition'!AP12+AQ144)*(1-IF(AQ$2-$F12&lt;=12,SUMIFS('Attrition Modeling'!$D:$D,'Attrition Modeling'!$B:$B,'Traditional Attrition'!$E12,'Attrition Modeling'!$C:$C,'Traditional Attrition'!AQ$1),VLOOKUP('Traditional Attrition'!AQ$2-'Traditional Attrition'!$F12-1,'Traditional Attrition'!$A$7:$C$161,2,FALSE)*VLOOKUP(AQ$1,'Attrition Modeling'!$L$15:$N$27,IF(AQ$2-$F12&lt;=24,2,3),FALSE))*(1+Projection!AS$16)*(1+IF(AQ144&gt;0,'Attrition Modeling'!$N$9,0))),0))</f>
        <v>2007.9358555967244</v>
      </c>
      <c r="AR12" s="799">
        <f>IF(AR$2=$F12+1,Monthly!AN$21,IF(AR$2&gt;$F12+1,('Traditional Attrition'!AQ12+AR144)*(1-IF(AR$2-$F12&lt;=12,SUMIFS('Attrition Modeling'!$D:$D,'Attrition Modeling'!$B:$B,'Traditional Attrition'!$E12,'Attrition Modeling'!$C:$C,'Traditional Attrition'!AR$1),VLOOKUP('Traditional Attrition'!AR$2-'Traditional Attrition'!$F12-1,'Traditional Attrition'!$A$7:$C$161,2,FALSE)*VLOOKUP(AR$1,'Attrition Modeling'!$L$15:$N$27,IF(AR$2-$F12&lt;=24,2,3),FALSE))*(1+Projection!AT$16)*(1+IF(AR144&gt;0,'Attrition Modeling'!$N$9,0))),0))</f>
        <v>1939.4432964065325</v>
      </c>
      <c r="AS12" s="799">
        <f>IF(AS$2=$F12+1,Monthly!AO$21,IF(AS$2&gt;$F12+1,('Traditional Attrition'!AR12+AS144)*(1-IF(AS$2-$F12&lt;=12,SUMIFS('Attrition Modeling'!$D:$D,'Attrition Modeling'!$B:$B,'Traditional Attrition'!$E12,'Attrition Modeling'!$C:$C,'Traditional Attrition'!AS$1),VLOOKUP('Traditional Attrition'!AS$2-'Traditional Attrition'!$F12-1,'Traditional Attrition'!$A$7:$C$161,2,FALSE)*VLOOKUP(AS$1,'Attrition Modeling'!$L$15:$N$27,IF(AS$2-$F12&lt;=24,2,3),FALSE))*(1+Projection!AU$16)*(1+IF(AS144&gt;0,'Attrition Modeling'!$N$9,0))),0))</f>
        <v>1876.1859990027078</v>
      </c>
      <c r="AT12" s="799">
        <f>IF(AT$2=$F12+1,Monthly!AP$21,IF(AT$2&gt;$F12+1,('Traditional Attrition'!AS12+AT144)*(1-IF(AT$2-$F12&lt;=12,SUMIFS('Attrition Modeling'!$D:$D,'Attrition Modeling'!$B:$B,'Traditional Attrition'!$E12,'Attrition Modeling'!$C:$C,'Traditional Attrition'!AT$1),VLOOKUP('Traditional Attrition'!AT$2-'Traditional Attrition'!$F12-1,'Traditional Attrition'!$A$7:$C$161,2,FALSE)*VLOOKUP(AT$1,'Attrition Modeling'!$L$15:$N$27,IF(AT$2-$F12&lt;=24,2,3),FALSE))*(1+Projection!AV$16)*(1+IF(AT144&gt;0,'Attrition Modeling'!$N$9,0))),0))</f>
        <v>1980.1671688047852</v>
      </c>
      <c r="AU12" s="799">
        <f>IF(AU$2=$F12+1,Monthly!AQ$21,IF(AU$2&gt;$F12+1,('Traditional Attrition'!AT12+AU144)*(1-IF(AU$2-$F12&lt;=12,SUMIFS('Attrition Modeling'!$D:$D,'Attrition Modeling'!$B:$B,'Traditional Attrition'!$E12,'Attrition Modeling'!$C:$C,'Traditional Attrition'!AU$1),VLOOKUP('Traditional Attrition'!AU$2-'Traditional Attrition'!$F12-1,'Traditional Attrition'!$A$7:$C$161,2,FALSE)*VLOOKUP(AU$1,'Attrition Modeling'!$L$15:$N$27,IF(AU$2-$F12&lt;=24,2,3),FALSE))*(1+Projection!AW$16)*(1+IF(AU144&gt;0,'Attrition Modeling'!$N$9,0))),0))</f>
        <v>1932.1755496037792</v>
      </c>
      <c r="AV12" s="799">
        <f>IF(AV$2=$F12+1,Monthly!AR$21,IF(AV$2&gt;$F12+1,('Traditional Attrition'!AU12+AV144)*(1-IF(AV$2-$F12&lt;=12,SUMIFS('Attrition Modeling'!$D:$D,'Attrition Modeling'!$B:$B,'Traditional Attrition'!$E12,'Attrition Modeling'!$C:$C,'Traditional Attrition'!AV$1),VLOOKUP('Traditional Attrition'!AV$2-'Traditional Attrition'!$F12-1,'Traditional Attrition'!$A$7:$C$161,2,FALSE)*VLOOKUP(AV$1,'Attrition Modeling'!$L$15:$N$27,IF(AV$2-$F12&lt;=24,2,3),FALSE))*(1+Projection!AX$16)*(1+IF(AV144&gt;0,'Attrition Modeling'!$N$9,0))),0))</f>
        <v>1876.318145207206</v>
      </c>
      <c r="AW12" s="799">
        <f>IF(AW$2=$F12+1,Monthly!AS$21,IF(AW$2&gt;$F12+1,('Traditional Attrition'!AV12+AW144)*(1-IF(AW$2-$F12&lt;=12,SUMIFS('Attrition Modeling'!$D:$D,'Attrition Modeling'!$B:$B,'Traditional Attrition'!$E12,'Attrition Modeling'!$C:$C,'Traditional Attrition'!AW$1),VLOOKUP('Traditional Attrition'!AW$2-'Traditional Attrition'!$F12-1,'Traditional Attrition'!$A$7:$C$161,2,FALSE)*VLOOKUP(AW$1,'Attrition Modeling'!$L$15:$N$27,IF(AW$2-$F12&lt;=24,2,3),FALSE))*(1+Projection!AY$16)*(1+IF(AW144&gt;0,'Attrition Modeling'!$N$9,0))),0))</f>
        <v>1815.1365874536077</v>
      </c>
      <c r="AX12" s="799">
        <f>IF(AX$2=$F12+1,Monthly!AT$21,IF(AX$2&gt;$F12+1,('Traditional Attrition'!AW12+AX144)*(1-IF(AX$2-$F12&lt;=12,SUMIFS('Attrition Modeling'!$D:$D,'Attrition Modeling'!$B:$B,'Traditional Attrition'!$E12,'Attrition Modeling'!$C:$C,'Traditional Attrition'!AX$1),VLOOKUP('Traditional Attrition'!AX$2-'Traditional Attrition'!$F12-1,'Traditional Attrition'!$A$7:$C$161,2,FALSE)*VLOOKUP(AX$1,'Attrition Modeling'!$L$15:$N$27,IF(AX$2-$F12&lt;=24,2,3),FALSE))*(1+Projection!AZ$16)*(1+IF(AX144&gt;0,'Attrition Modeling'!$N$9,0))),0))</f>
        <v>1751.3909414117868</v>
      </c>
      <c r="AY12" s="799">
        <f>IF(AY$2=$F12+1,Monthly!AU$21,IF(AY$2&gt;$F12+1,('Traditional Attrition'!AX12+AY144)*(1-IF(AY$2-$F12&lt;=12,SUMIFS('Attrition Modeling'!$D:$D,'Attrition Modeling'!$B:$B,'Traditional Attrition'!$E12,'Attrition Modeling'!$C:$C,'Traditional Attrition'!AY$1),VLOOKUP('Traditional Attrition'!AY$2-'Traditional Attrition'!$F12-1,'Traditional Attrition'!$A$7:$C$161,2,FALSE)*VLOOKUP(AY$1,'Attrition Modeling'!$L$15:$N$27,IF(AY$2-$F12&lt;=24,2,3),FALSE))*(1+Projection!BA$16)*(1+IF(AY144&gt;0,'Attrition Modeling'!$N$9,0))),0))</f>
        <v>1686.083507962102</v>
      </c>
      <c r="AZ12" s="799">
        <f>IF(AZ$2=$F12+1,Monthly!AV$21,IF(AZ$2&gt;$F12+1,('Traditional Attrition'!AY12+AZ144)*(1-IF(AZ$2-$F12&lt;=12,SUMIFS('Attrition Modeling'!$D:$D,'Attrition Modeling'!$B:$B,'Traditional Attrition'!$E12,'Attrition Modeling'!$C:$C,'Traditional Attrition'!AZ$1),VLOOKUP('Traditional Attrition'!AZ$2-'Traditional Attrition'!$F12-1,'Traditional Attrition'!$A$7:$C$161,2,FALSE)*VLOOKUP(AZ$1,'Attrition Modeling'!$L$15:$N$27,IF(AZ$2-$F12&lt;=24,2,3),FALSE))*(1+Projection!BB$16)*(1+IF(AZ144&gt;0,'Attrition Modeling'!$N$9,0))),0))</f>
        <v>1627.6912440174603</v>
      </c>
      <c r="BA12" s="799">
        <f>IF(BA$2=$F12+1,Monthly!AW$21,IF(BA$2&gt;$F12+1,('Traditional Attrition'!AZ12+BA144)*(1-IF(BA$2-$F12&lt;=12,SUMIFS('Attrition Modeling'!$D:$D,'Attrition Modeling'!$B:$B,'Traditional Attrition'!$E12,'Attrition Modeling'!$C:$C,'Traditional Attrition'!BA$1),VLOOKUP('Traditional Attrition'!BA$2-'Traditional Attrition'!$F12-1,'Traditional Attrition'!$A$7:$C$161,2,FALSE)*VLOOKUP(BA$1,'Attrition Modeling'!$L$15:$N$27,IF(BA$2-$F12&lt;=24,2,3),FALSE))*(1+Projection!BC$16)*(1+IF(BA144&gt;0,'Attrition Modeling'!$N$9,0))),0))</f>
        <v>1573.8515002456729</v>
      </c>
      <c r="BB12" s="799">
        <f>IF(BB$2=$F12+1,Monthly!AX$21,IF(BB$2&gt;$F12+1,('Traditional Attrition'!BA12+BB144)*(1-IF(BB$2-$F12&lt;=12,SUMIFS('Attrition Modeling'!$D:$D,'Attrition Modeling'!$B:$B,'Traditional Attrition'!$E12,'Attrition Modeling'!$C:$C,'Traditional Attrition'!BB$1),VLOOKUP('Traditional Attrition'!BB$2-'Traditional Attrition'!$F12-1,'Traditional Attrition'!$A$7:$C$161,2,FALSE)*VLOOKUP(BB$1,'Attrition Modeling'!$L$15:$N$27,IF(BB$2-$F12&lt;=24,2,3),FALSE))*(1+Projection!BD$16)*(1+IF(BB144&gt;0,'Attrition Modeling'!$N$9,0))),0))</f>
        <v>1523.5108879767733</v>
      </c>
      <c r="BC12" s="799">
        <f>IF(BC$2=$F12+1,Monthly!AY$21,IF(BC$2&gt;$F12+1,('Traditional Attrition'!BB12+BC144)*(1-IF(BC$2-$F12&lt;=12,SUMIFS('Attrition Modeling'!$D:$D,'Attrition Modeling'!$B:$B,'Traditional Attrition'!$E12,'Attrition Modeling'!$C:$C,'Traditional Attrition'!BC$1),VLOOKUP('Traditional Attrition'!BC$2-'Traditional Attrition'!$F12-1,'Traditional Attrition'!$A$7:$C$161,2,FALSE)*VLOOKUP(BC$1,'Attrition Modeling'!$L$15:$N$27,IF(BC$2-$F12&lt;=24,2,3),FALSE))*(1+Projection!BE$16)*(1+IF(BC144&gt;0,'Attrition Modeling'!$N$9,0))),0))</f>
        <v>1483.7737603138276</v>
      </c>
      <c r="BD12" s="799">
        <f>IF(BD$2=$F12+1,Monthly!AZ$21,IF(BD$2&gt;$F12+1,('Traditional Attrition'!BC12+BD144)*(1-IF(BD$2-$F12&lt;=12,SUMIFS('Attrition Modeling'!$D:$D,'Attrition Modeling'!$B:$B,'Traditional Attrition'!$E12,'Attrition Modeling'!$C:$C,'Traditional Attrition'!BD$1),VLOOKUP('Traditional Attrition'!BD$2-'Traditional Attrition'!$F12-1,'Traditional Attrition'!$A$7:$C$161,2,FALSE)*VLOOKUP(BD$1,'Attrition Modeling'!$L$15:$N$27,IF(BD$2-$F12&lt;=24,2,3),FALSE))*(1+Projection!BF$16)*(1+IF(BD144&gt;0,'Attrition Modeling'!$N$9,0))),0))</f>
        <v>1441.3690058887698</v>
      </c>
      <c r="BE12" s="799">
        <f>IF(BE$2=$F12+1,Monthly!BA$21,IF(BE$2&gt;$F12+1,('Traditional Attrition'!BD12+BE144)*(1-IF(BE$2-$F12&lt;=12,SUMIFS('Attrition Modeling'!$D:$D,'Attrition Modeling'!$B:$B,'Traditional Attrition'!$E12,'Attrition Modeling'!$C:$C,'Traditional Attrition'!BE$1),VLOOKUP('Traditional Attrition'!BE$2-'Traditional Attrition'!$F12-1,'Traditional Attrition'!$A$7:$C$161,2,FALSE)*VLOOKUP(BE$1,'Attrition Modeling'!$L$15:$N$27,IF(BE$2-$F12&lt;=24,2,3),FALSE))*(1+Projection!BG$16)*(1+IF(BE144&gt;0,'Attrition Modeling'!$N$9,0))),0))</f>
        <v>1401.8726202428609</v>
      </c>
      <c r="BF12" s="799">
        <f>IF(BF$2=$F12+1,Monthly!BB$21,IF(BF$2&gt;$F12+1,('Traditional Attrition'!BE12+BF144)*(1-IF(BF$2-$F12&lt;=12,SUMIFS('Attrition Modeling'!$D:$D,'Attrition Modeling'!$B:$B,'Traditional Attrition'!$E12,'Attrition Modeling'!$C:$C,'Traditional Attrition'!BF$1),VLOOKUP('Traditional Attrition'!BF$2-'Traditional Attrition'!$F12-1,'Traditional Attrition'!$A$7:$C$161,2,FALSE)*VLOOKUP(BF$1,'Attrition Modeling'!$L$15:$N$27,IF(BF$2-$F12&lt;=24,2,3),FALSE))*(1+Projection!BH$16)*(1+IF(BF144&gt;0,'Attrition Modeling'!$N$9,0))),0))</f>
        <v>1479.8656844407658</v>
      </c>
      <c r="BG12" s="799">
        <f>IF(BG$2=$F12+1,Monthly!BC$21,IF(BG$2&gt;$F12+1,('Traditional Attrition'!BF12+BG144)*(1-IF(BG$2-$F12&lt;=12,SUMIFS('Attrition Modeling'!$D:$D,'Attrition Modeling'!$B:$B,'Traditional Attrition'!$E12,'Attrition Modeling'!$C:$C,'Traditional Attrition'!BG$1),VLOOKUP('Traditional Attrition'!BG$2-'Traditional Attrition'!$F12-1,'Traditional Attrition'!$A$7:$C$161,2,FALSE)*VLOOKUP(BG$1,'Attrition Modeling'!$L$15:$N$27,IF(BG$2-$F12&lt;=24,2,3),FALSE))*(1+Projection!BI$16)*(1+IF(BG144&gt;0,'Attrition Modeling'!$N$9,0))),0))</f>
        <v>1449.5810629285129</v>
      </c>
      <c r="BH12" s="799">
        <f>IF(BH$2=$F12+1,Monthly!BD$21,IF(BH$2&gt;$F12+1,('Traditional Attrition'!BG12+BH144)*(1-IF(BH$2-$F12&lt;=12,SUMIFS('Attrition Modeling'!$D:$D,'Attrition Modeling'!$B:$B,'Traditional Attrition'!$E12,'Attrition Modeling'!$C:$C,'Traditional Attrition'!BH$1),VLOOKUP('Traditional Attrition'!BH$2-'Traditional Attrition'!$F12-1,'Traditional Attrition'!$A$7:$C$161,2,FALSE)*VLOOKUP(BH$1,'Attrition Modeling'!$L$15:$N$27,IF(BH$2-$F12&lt;=24,2,3),FALSE))*(1+Projection!BJ$16)*(1+IF(BH144&gt;0,'Attrition Modeling'!$N$9,0))),0))</f>
        <v>1414.1147679486799</v>
      </c>
      <c r="BI12" s="799">
        <f>IF(BI$2=$F12+1,Monthly!BE$21,IF(BI$2&gt;$F12+1,('Traditional Attrition'!BH12+BI144)*(1-IF(BI$2-$F12&lt;=12,SUMIFS('Attrition Modeling'!$D:$D,'Attrition Modeling'!$B:$B,'Traditional Attrition'!$E12,'Attrition Modeling'!$C:$C,'Traditional Attrition'!BI$1),VLOOKUP('Traditional Attrition'!BI$2-'Traditional Attrition'!$F12-1,'Traditional Attrition'!$A$7:$C$161,2,FALSE)*VLOOKUP(BI$1,'Attrition Modeling'!$L$15:$N$27,IF(BI$2-$F12&lt;=24,2,3),FALSE))*(1+Projection!BK$16)*(1+IF(BI144&gt;0,'Attrition Modeling'!$N$9,0))),0))</f>
        <v>1375.0049215644879</v>
      </c>
      <c r="BJ12" s="799">
        <f>IF(BJ$2=$F12+1,Monthly!BF$21,IF(BJ$2&gt;$F12+1,('Traditional Attrition'!BI12+BJ144)*(1-IF(BJ$2-$F12&lt;=12,SUMIFS('Attrition Modeling'!$D:$D,'Attrition Modeling'!$B:$B,'Traditional Attrition'!$E12,'Attrition Modeling'!$C:$C,'Traditional Attrition'!BJ$1),VLOOKUP('Traditional Attrition'!BJ$2-'Traditional Attrition'!$F12-1,'Traditional Attrition'!$A$7:$C$161,2,FALSE)*VLOOKUP(BJ$1,'Attrition Modeling'!$L$15:$N$27,IF(BJ$2-$F12&lt;=24,2,3),FALSE))*(1+Projection!BL$16)*(1+IF(BJ144&gt;0,'Attrition Modeling'!$N$9,0))),0))</f>
        <v>1333.9627333391311</v>
      </c>
      <c r="BK12" s="799">
        <f>IF(BK$2=$F12+1,Monthly!BG$21,IF(BK$2&gt;$F12+1,('Traditional Attrition'!BJ12+BK144)*(1-IF(BK$2-$F12&lt;=12,SUMIFS('Attrition Modeling'!$D:$D,'Attrition Modeling'!$B:$B,'Traditional Attrition'!$E12,'Attrition Modeling'!$C:$C,'Traditional Attrition'!BK$1),VLOOKUP('Traditional Attrition'!BK$2-'Traditional Attrition'!$F12-1,'Traditional Attrition'!$A$7:$C$161,2,FALSE)*VLOOKUP(BK$1,'Attrition Modeling'!$L$15:$N$27,IF(BK$2-$F12&lt;=24,2,3),FALSE))*(1+Projection!BM$16)*(1+IF(BK144&gt;0,'Attrition Modeling'!$N$9,0))),0))</f>
        <v>1291.6024501708594</v>
      </c>
      <c r="BL12" s="799">
        <f>IF(BL$2=$F12+1,Monthly!BH$21,IF(BL$2&gt;$F12+1,('Traditional Attrition'!BK12+BL144)*(1-IF(BL$2-$F12&lt;=12,SUMIFS('Attrition Modeling'!$D:$D,'Attrition Modeling'!$B:$B,'Traditional Attrition'!$E12,'Attrition Modeling'!$C:$C,'Traditional Attrition'!BL$1),VLOOKUP('Traditional Attrition'!BL$2-'Traditional Attrition'!$F12-1,'Traditional Attrition'!$A$7:$C$161,2,FALSE)*VLOOKUP(BL$1,'Attrition Modeling'!$L$15:$N$27,IF(BL$2-$F12&lt;=24,2,3),FALSE))*(1+Projection!BN$16)*(1+IF(BL144&gt;0,'Attrition Modeling'!$N$9,0))),0))</f>
        <v>1253.4390089269064</v>
      </c>
      <c r="BM12" s="799">
        <f>IF(BM$2=$F12+1,Monthly!BI$21,IF(BM$2&gt;$F12+1,('Traditional Attrition'!BL12+BM144)*(1-IF(BM$2-$F12&lt;=12,SUMIFS('Attrition Modeling'!$D:$D,'Attrition Modeling'!$B:$B,'Traditional Attrition'!$E12,'Attrition Modeling'!$C:$C,'Traditional Attrition'!BM$1),VLOOKUP('Traditional Attrition'!BM$2-'Traditional Attrition'!$F12-1,'Traditional Attrition'!$A$7:$C$161,2,FALSE)*VLOOKUP(BM$1,'Attrition Modeling'!$L$15:$N$27,IF(BM$2-$F12&lt;=24,2,3),FALSE))*(1+Projection!BO$16)*(1+IF(BM144&gt;0,'Attrition Modeling'!$N$9,0))),0))</f>
        <v>1218.2412831961165</v>
      </c>
      <c r="BN12" s="799">
        <f>IF(BN$2=$F12+1,Monthly!BJ$21,IF(BN$2&gt;$F12+1,('Traditional Attrition'!BM12+BN144)*(1-IF(BN$2-$F12&lt;=12,SUMIFS('Attrition Modeling'!$D:$D,'Attrition Modeling'!$B:$B,'Traditional Attrition'!$E12,'Attrition Modeling'!$C:$C,'Traditional Attrition'!BN$1),VLOOKUP('Traditional Attrition'!BN$2-'Traditional Attrition'!$F12-1,'Traditional Attrition'!$A$7:$C$161,2,FALSE)*VLOOKUP(BN$1,'Attrition Modeling'!$L$15:$N$27,IF(BN$2-$F12&lt;=24,2,3),FALSE))*(1+Projection!BP$16)*(1+IF(BN144&gt;0,'Attrition Modeling'!$N$9,0))),0))</f>
        <v>1185.1109490750819</v>
      </c>
      <c r="BO12" s="799">
        <f>IF(BO$2=$F12+1,Monthly!BK$21,IF(BO$2&gt;$F12+1,('Traditional Attrition'!BN12+BO144)*(1-IF(BO$2-$F12&lt;=12,SUMIFS('Attrition Modeling'!$D:$D,'Attrition Modeling'!$B:$B,'Traditional Attrition'!$E12,'Attrition Modeling'!$C:$C,'Traditional Attrition'!BO$1),VLOOKUP('Traditional Attrition'!BO$2-'Traditional Attrition'!$F12-1,'Traditional Attrition'!$A$7:$C$161,2,FALSE)*VLOOKUP(BO$1,'Attrition Modeling'!$L$15:$N$27,IF(BO$2-$F12&lt;=24,2,3),FALSE))*(1+Projection!BV$16)*(1+IF(BO144&gt;0,'Attrition Modeling'!$N$9,0))),0))</f>
        <v>1158.7919781201922</v>
      </c>
      <c r="BP12" s="799">
        <f>IF(BP$2=$F12+1,Monthly!BL$21,IF(BP$2&gt;$F12+1,('Traditional Attrition'!BO12+BP144)*(1-IF(BP$2-$F12&lt;=12,SUMIFS('Attrition Modeling'!$D:$D,'Attrition Modeling'!$B:$B,'Traditional Attrition'!$E12,'Attrition Modeling'!$C:$C,'Traditional Attrition'!BP$1),VLOOKUP('Traditional Attrition'!BP$2-'Traditional Attrition'!$F12-1,'Traditional Attrition'!$A$7:$C$161,2,FALSE)*VLOOKUP(BP$1,'Attrition Modeling'!$L$15:$N$27,IF(BP$2-$F12&lt;=24,2,3),FALSE))*(1+Projection!BW$16)*(1+IF(BP144&gt;0,'Attrition Modeling'!$N$9,0))),0))</f>
        <v>1130.5562727043437</v>
      </c>
      <c r="BQ12" s="799">
        <f>IF(BQ$2=$F12+1,Monthly!BM$21,IF(BQ$2&gt;$F12+1,('Traditional Attrition'!BP12+BQ144)*(1-IF(BQ$2-$F12&lt;=12,SUMIFS('Attrition Modeling'!$D:$D,'Attrition Modeling'!$B:$B,'Traditional Attrition'!$E12,'Attrition Modeling'!$C:$C,'Traditional Attrition'!BQ$1),VLOOKUP('Traditional Attrition'!BQ$2-'Traditional Attrition'!$F12-1,'Traditional Attrition'!$A$7:$C$161,2,FALSE)*VLOOKUP(BQ$1,'Attrition Modeling'!$L$15:$N$27,IF(BQ$2-$F12&lt;=24,2,3),FALSE))*(1+Projection!BX$16)*(1+IF(BQ144&gt;0,'Attrition Modeling'!$N$9,0))),0))</f>
        <v>1104.1092946309182</v>
      </c>
      <c r="BR12" s="799">
        <f>IF(BR$2=$F12+1,Monthly!BN$21,IF(BR$2&gt;$F12+1,('Traditional Attrition'!BQ12+BR144)*(1-IF(BR$2-$F12&lt;=12,SUMIFS('Attrition Modeling'!$D:$D,'Attrition Modeling'!$B:$B,'Traditional Attrition'!$E12,'Attrition Modeling'!$C:$C,'Traditional Attrition'!BR$1),VLOOKUP('Traditional Attrition'!BR$2-'Traditional Attrition'!$F12-1,'Traditional Attrition'!$A$7:$C$161,2,FALSE)*VLOOKUP(BR$1,'Attrition Modeling'!$L$15:$N$27,IF(BR$2-$F12&lt;=24,2,3),FALSE))*(1+Projection!BY$16)*(1+IF(BR144&gt;0,'Attrition Modeling'!$N$9,0))),0))</f>
        <v>1079.5838444957531</v>
      </c>
      <c r="BS12" s="799">
        <f>IF(BS$2=$F12+1,Monthly!BO$21,IF(BS$2&gt;$F12+1,('Traditional Attrition'!BR12+BS144)*(1-IF(BS$2-$F12&lt;=12,SUMIFS('Attrition Modeling'!$D:$D,'Attrition Modeling'!$B:$B,'Traditional Attrition'!$E12,'Attrition Modeling'!$C:$C,'Traditional Attrition'!BS$1),VLOOKUP('Traditional Attrition'!BS$2-'Traditional Attrition'!$F12-1,'Traditional Attrition'!$A$7:$C$161,2,FALSE)*VLOOKUP(BS$1,'Attrition Modeling'!$L$15:$N$27,IF(BS$2-$F12&lt;=24,2,3),FALSE))*(1+Projection!BZ$16)*(1+IF(BS144&gt;0,'Attrition Modeling'!$N$9,0))),0))</f>
        <v>1060.6786932646257</v>
      </c>
      <c r="BT12" s="799">
        <f>IF(BT$2=$F12+1,Monthly!#REF!,IF(BT$2&gt;$F12+1,('Traditional Attrition'!BS12+BT144)*(1-IF(BT$2-$F12&lt;=12,SUMIFS('Attrition Modeling'!$D:$D,'Attrition Modeling'!$B:$B,'Traditional Attrition'!$E12,'Attrition Modeling'!$C:$C,'Traditional Attrition'!BT$1),VLOOKUP('Traditional Attrition'!BT$2-'Traditional Attrition'!$F12-1,'Traditional Attrition'!$A$7:$C$161,2,FALSE)*VLOOKUP(BT$1,'Attrition Modeling'!$L$15:$N$27,IF(BT$2-$F12&lt;=24,2,3),FALSE))*(1+Projection!CA$16)*(1+IF(BT144&gt;0,'Attrition Modeling'!$N$9,0))),0))</f>
        <v>1038.4480953926313</v>
      </c>
      <c r="BU12" s="799">
        <f>IF(BU$2=$F12+1,Monthly!#REF!,IF(BU$2&gt;$F12+1,('Traditional Attrition'!BT12+BU144)*(1-IF(BU$2-$F12&lt;=12,SUMIFS('Attrition Modeling'!$D:$D,'Attrition Modeling'!$B:$B,'Traditional Attrition'!$E12,'Attrition Modeling'!$C:$C,'Traditional Attrition'!BU$1),VLOOKUP('Traditional Attrition'!BU$2-'Traditional Attrition'!$F12-1,'Traditional Attrition'!$A$7:$C$161,2,FALSE)*VLOOKUP(BU$1,'Attrition Modeling'!$L$15:$N$27,IF(BU$2-$F12&lt;=24,2,3),FALSE))*(1+Projection!CB$16)*(1+IF(BU144&gt;0,'Attrition Modeling'!$N$9,0))),0))</f>
        <v>1013.8203393404591</v>
      </c>
    </row>
    <row r="13" spans="1:73" ht="14.25" customHeight="1" x14ac:dyDescent="0.2">
      <c r="A13" s="800">
        <v>6</v>
      </c>
      <c r="B13" s="779" t="e">
        <f>'Attrition Modeling'!H10*(1-Summary!$C$20)</f>
        <v>#DIV/0!</v>
      </c>
      <c r="C13" s="780" t="e">
        <f t="shared" si="4"/>
        <v>#DIV/0!</v>
      </c>
      <c r="E13" s="11">
        <f t="shared" si="2"/>
        <v>10</v>
      </c>
      <c r="F13" s="11">
        <f t="shared" si="3"/>
        <v>10</v>
      </c>
      <c r="G13" s="799"/>
      <c r="H13" s="799">
        <f>IF(H$2=$F13+1,Monthly!D$21,IF(H$2&gt;$F13+1,('Traditional Attrition'!G13+H145)*(1-IF(H$2-$F13&lt;=12,SUMIFS('Attrition Modeling'!$D:$D,'Attrition Modeling'!$B:$B,'Traditional Attrition'!$E13,'Attrition Modeling'!$C:$C,'Traditional Attrition'!H$1),VLOOKUP('Traditional Attrition'!H$2-'Traditional Attrition'!$F13-1,'Traditional Attrition'!$A$7:$C$161,2,FALSE)*VLOOKUP(H$1,'Attrition Modeling'!$L$15:$N$27,IF(H$2-$F13&lt;=24,2,3),FALSE))*(1+Projection!J$16)*(1+IF(H145&gt;0,'Attrition Modeling'!$N$9,0))),0))</f>
        <v>0</v>
      </c>
      <c r="I13" s="799">
        <f>IF(I$2=$F13+1,Monthly!E$21,IF(I$2&gt;$F13+1,('Traditional Attrition'!H13+I145)*(1-IF(I$2-$F13&lt;=12,SUMIFS('Attrition Modeling'!$D:$D,'Attrition Modeling'!$B:$B,'Traditional Attrition'!$E13,'Attrition Modeling'!$C:$C,'Traditional Attrition'!I$1),VLOOKUP('Traditional Attrition'!I$2-'Traditional Attrition'!$F13-1,'Traditional Attrition'!$A$7:$C$161,2,FALSE)*VLOOKUP(I$1,'Attrition Modeling'!$L$15:$N$27,IF(I$2-$F13&lt;=24,2,3),FALSE))*(1+Projection!K$16)*(1+IF(I145&gt;0,'Attrition Modeling'!$N$9,0))),0))</f>
        <v>0</v>
      </c>
      <c r="J13" s="799">
        <f>IF(J$2=$F13+1,Monthly!F$21,IF(J$2&gt;$F13+1,('Traditional Attrition'!I13+J145)*(1-IF(J$2-$F13&lt;=12,SUMIFS('Attrition Modeling'!$D:$D,'Attrition Modeling'!$B:$B,'Traditional Attrition'!$E13,'Attrition Modeling'!$C:$C,'Traditional Attrition'!J$1),VLOOKUP('Traditional Attrition'!J$2-'Traditional Attrition'!$F13-1,'Traditional Attrition'!$A$7:$C$161,2,FALSE)*VLOOKUP(J$1,'Attrition Modeling'!$L$15:$N$27,IF(J$2-$F13&lt;=24,2,3),FALSE))*(1+Projection!L$16)*(1+IF(J145&gt;0,'Attrition Modeling'!$N$9,0))),0))</f>
        <v>0</v>
      </c>
      <c r="K13" s="799">
        <f>IF(K$2=$F13+1,Monthly!G$21,IF(K$2&gt;$F13+1,('Traditional Attrition'!J13+K145)*(1-IF(K$2-$F13&lt;=12,SUMIFS('Attrition Modeling'!$D:$D,'Attrition Modeling'!$B:$B,'Traditional Attrition'!$E13,'Attrition Modeling'!$C:$C,'Traditional Attrition'!K$1),VLOOKUP('Traditional Attrition'!K$2-'Traditional Attrition'!$F13-1,'Traditional Attrition'!$A$7:$C$161,2,FALSE)*VLOOKUP(K$1,'Attrition Modeling'!$L$15:$N$27,IF(K$2-$F13&lt;=24,2,3),FALSE))*(1+Projection!M$16)*(1+IF(K145&gt;0,'Attrition Modeling'!$N$9,0))),0))</f>
        <v>0</v>
      </c>
      <c r="L13" s="799">
        <f>IF(L$2=$F13+1,Monthly!H$21,IF(L$2&gt;$F13+1,('Traditional Attrition'!K13+L145)*(1-IF(L$2-$F13&lt;=12,SUMIFS('Attrition Modeling'!$D:$D,'Attrition Modeling'!$B:$B,'Traditional Attrition'!$E13,'Attrition Modeling'!$C:$C,'Traditional Attrition'!L$1),VLOOKUP('Traditional Attrition'!L$2-'Traditional Attrition'!$F13-1,'Traditional Attrition'!$A$7:$C$161,2,FALSE)*VLOOKUP(L$1,'Attrition Modeling'!$L$15:$N$27,IF(L$2-$F13&lt;=24,2,3),FALSE))*(1+Projection!N$16)*(1+IF(L145&gt;0,'Attrition Modeling'!$N$9,0))),0))</f>
        <v>0</v>
      </c>
      <c r="M13" s="799">
        <f>IF(M$2=$F13+1,Monthly!I$21,IF(M$2&gt;$F13+1,('Traditional Attrition'!L13+M145)*(1-IF(M$2-$F13&lt;=12,SUMIFS('Attrition Modeling'!$D:$D,'Attrition Modeling'!$B:$B,'Traditional Attrition'!$E13,'Attrition Modeling'!$C:$C,'Traditional Attrition'!M$1),VLOOKUP('Traditional Attrition'!M$2-'Traditional Attrition'!$F13-1,'Traditional Attrition'!$A$7:$C$161,2,FALSE)*VLOOKUP(M$1,'Attrition Modeling'!$L$15:$N$27,IF(M$2-$F13&lt;=24,2,3),FALSE))*(1+Projection!O$16)*(1+IF(M145&gt;0,'Attrition Modeling'!$N$9,0))),0))</f>
        <v>0</v>
      </c>
      <c r="N13" s="799">
        <f>IF(N$2=$F13+1,Monthly!J$21,IF(N$2&gt;$F13+1,('Traditional Attrition'!M13+N145)*(1-IF(N$2-$F13&lt;=12,SUMIFS('Attrition Modeling'!$D:$D,'Attrition Modeling'!$B:$B,'Traditional Attrition'!$E13,'Attrition Modeling'!$C:$C,'Traditional Attrition'!N$1),VLOOKUP('Traditional Attrition'!N$2-'Traditional Attrition'!$F13-1,'Traditional Attrition'!$A$7:$C$161,2,FALSE)*VLOOKUP(N$1,'Attrition Modeling'!$L$15:$N$27,IF(N$2-$F13&lt;=24,2,3),FALSE))*(1+Projection!P$16)*(1+IF(N145&gt;0,'Attrition Modeling'!$N$9,0))),0))</f>
        <v>0</v>
      </c>
      <c r="O13" s="799">
        <f>IF(O$2=$F13+1,Monthly!K$21,IF(O$2&gt;$F13+1,('Traditional Attrition'!N13+O145)*(1-IF(O$2-$F13&lt;=12,SUMIFS('Attrition Modeling'!$D:$D,'Attrition Modeling'!$B:$B,'Traditional Attrition'!$E13,'Attrition Modeling'!$C:$C,'Traditional Attrition'!O$1),VLOOKUP('Traditional Attrition'!O$2-'Traditional Attrition'!$F13-1,'Traditional Attrition'!$A$7:$C$161,2,FALSE)*VLOOKUP(O$1,'Attrition Modeling'!$L$15:$N$27,IF(O$2-$F13&lt;=24,2,3),FALSE))*(1+Projection!Q$16)*(1+IF(O145&gt;0,'Attrition Modeling'!$N$9,0))),0))</f>
        <v>0</v>
      </c>
      <c r="P13" s="799">
        <f>IF(P$2=$F13+1,Monthly!L$21,IF(P$2&gt;$F13+1,('Traditional Attrition'!O13+P145)*(1-IF(P$2-$F13&lt;=12,SUMIFS('Attrition Modeling'!$D:$D,'Attrition Modeling'!$B:$B,'Traditional Attrition'!$E13,'Attrition Modeling'!$C:$C,'Traditional Attrition'!P$1),VLOOKUP('Traditional Attrition'!P$2-'Traditional Attrition'!$F13-1,'Traditional Attrition'!$A$7:$C$161,2,FALSE)*VLOOKUP(P$1,'Attrition Modeling'!$L$15:$N$27,IF(P$2-$F13&lt;=24,2,3),FALSE))*(1+Projection!R$16)*(1+IF(P145&gt;0,'Attrition Modeling'!$N$9,0))),0))</f>
        <v>0</v>
      </c>
      <c r="Q13" s="799">
        <f>IF(Q$2=$F13+1,Monthly!M$21,IF(Q$2&gt;$F13+1,('Traditional Attrition'!P13+Q145)*(1-IF(Q$2-$F13&lt;=12,SUMIFS('Attrition Modeling'!$D:$D,'Attrition Modeling'!$B:$B,'Traditional Attrition'!$E13,'Attrition Modeling'!$C:$C,'Traditional Attrition'!Q$1),VLOOKUP('Traditional Attrition'!Q$2-'Traditional Attrition'!$F13-1,'Traditional Attrition'!$A$7:$C$161,2,FALSE)*VLOOKUP(Q$1,'Attrition Modeling'!$L$15:$N$27,IF(Q$2-$F13&lt;=24,2,3),FALSE))*(1+Projection!S$16)*(1+IF(Q145&gt;0,'Attrition Modeling'!$N$9,0))),0))</f>
        <v>0</v>
      </c>
      <c r="R13" s="799">
        <f>IF(R$2=$F13+1,Monthly!N$21,IF(R$2&gt;$F13+1,('Traditional Attrition'!Q13+R145)*(1-IF(R$2-$F13&lt;=12,SUMIFS('Attrition Modeling'!$D:$D,'Attrition Modeling'!$B:$B,'Traditional Attrition'!$E13,'Attrition Modeling'!$C:$C,'Traditional Attrition'!R$1),VLOOKUP('Traditional Attrition'!R$2-'Traditional Attrition'!$F13-1,'Traditional Attrition'!$A$7:$C$161,2,FALSE)*VLOOKUP(R$1,'Attrition Modeling'!$L$15:$N$27,IF(R$2-$F13&lt;=24,2,3),FALSE))*(1+Projection!T$16)*(1+IF(R145&gt;0,'Attrition Modeling'!$N$9,0))),0))</f>
        <v>7457.895006801984</v>
      </c>
      <c r="S13" s="799">
        <f>IF(S$2=$F13+1,Monthly!O$21,IF(S$2&gt;$F13+1,('Traditional Attrition'!R13+S145)*(1-IF(S$2-$F13&lt;=12,SUMIFS('Attrition Modeling'!$D:$D,'Attrition Modeling'!$B:$B,'Traditional Attrition'!$E13,'Attrition Modeling'!$C:$C,'Traditional Attrition'!S$1),VLOOKUP('Traditional Attrition'!S$2-'Traditional Attrition'!$F13-1,'Traditional Attrition'!$A$7:$C$161,2,FALSE)*VLOOKUP(S$1,'Attrition Modeling'!$L$15:$N$27,IF(S$2-$F13&lt;=24,2,3),FALSE))*(1+Projection!U$16)*(1+IF(S145&gt;0,'Attrition Modeling'!$N$9,0))),0))</f>
        <v>6701.8546294349362</v>
      </c>
      <c r="T13" s="799">
        <f>IF(T$2=$F13+1,Monthly!P$21,IF(T$2&gt;$F13+1,('Traditional Attrition'!S13+T145)*(1-IF(T$2-$F13&lt;=12,SUMIFS('Attrition Modeling'!$D:$D,'Attrition Modeling'!$B:$B,'Traditional Attrition'!$E13,'Attrition Modeling'!$C:$C,'Traditional Attrition'!T$1),VLOOKUP('Traditional Attrition'!T$2-'Traditional Attrition'!$F13-1,'Traditional Attrition'!$A$7:$C$161,2,FALSE)*VLOOKUP(T$1,'Attrition Modeling'!$L$15:$N$27,IF(T$2-$F13&lt;=24,2,3),FALSE))*(1+Projection!V$16)*(1+IF(T145&gt;0,'Attrition Modeling'!$N$9,0))),0))</f>
        <v>6171.6067729515344</v>
      </c>
      <c r="U13" s="799">
        <f>IF(U$2=$F13+1,Monthly!Q$21,IF(U$2&gt;$F13+1,('Traditional Attrition'!T13+U145)*(1-IF(U$2-$F13&lt;=12,SUMIFS('Attrition Modeling'!$D:$D,'Attrition Modeling'!$B:$B,'Traditional Attrition'!$E13,'Attrition Modeling'!$C:$C,'Traditional Attrition'!U$1),VLOOKUP('Traditional Attrition'!U$2-'Traditional Attrition'!$F13-1,'Traditional Attrition'!$A$7:$C$161,2,FALSE)*VLOOKUP(U$1,'Attrition Modeling'!$L$15:$N$27,IF(U$2-$F13&lt;=24,2,3),FALSE))*(1+Projection!W$16)*(1+IF(U145&gt;0,'Attrition Modeling'!$N$9,0))),0))</f>
        <v>5675.3897158324226</v>
      </c>
      <c r="V13" s="799">
        <f>IF(V$2=$F13+1,Monthly!R$21,IF(V$2&gt;$F13+1,('Traditional Attrition'!U13+V145)*(1-IF(V$2-$F13&lt;=12,SUMIFS('Attrition Modeling'!$D:$D,'Attrition Modeling'!$B:$B,'Traditional Attrition'!$E13,'Attrition Modeling'!$C:$C,'Traditional Attrition'!V$1),VLOOKUP('Traditional Attrition'!V$2-'Traditional Attrition'!$F13-1,'Traditional Attrition'!$A$7:$C$161,2,FALSE)*VLOOKUP(V$1,'Attrition Modeling'!$L$15:$N$27,IF(V$2-$F13&lt;=24,2,3),FALSE))*(1+Projection!X$16)*(1+IF(V145&gt;0,'Attrition Modeling'!$N$9,0))),0))</f>
        <v>5202.2745866151654</v>
      </c>
      <c r="W13" s="799">
        <f>IF(W$2=$F13+1,Monthly!S$21,IF(W$2&gt;$F13+1,('Traditional Attrition'!V13+W145)*(1-IF(W$2-$F13&lt;=12,SUMIFS('Attrition Modeling'!$D:$D,'Attrition Modeling'!$B:$B,'Traditional Attrition'!$E13,'Attrition Modeling'!$C:$C,'Traditional Attrition'!W$1),VLOOKUP('Traditional Attrition'!W$2-'Traditional Attrition'!$F13-1,'Traditional Attrition'!$A$7:$C$161,2,FALSE)*VLOOKUP(W$1,'Attrition Modeling'!$L$15:$N$27,IF(W$2-$F13&lt;=24,2,3),FALSE))*(1+Projection!Y$16)*(1+IF(W145&gt;0,'Attrition Modeling'!$N$9,0))),0))</f>
        <v>5087.13524282865</v>
      </c>
      <c r="X13" s="799">
        <f>IF(X$2=$F13+1,Monthly!T$21,IF(X$2&gt;$F13+1,('Traditional Attrition'!W13+X145)*(1-IF(X$2-$F13&lt;=12,SUMIFS('Attrition Modeling'!$D:$D,'Attrition Modeling'!$B:$B,'Traditional Attrition'!$E13,'Attrition Modeling'!$C:$C,'Traditional Attrition'!X$1),VLOOKUP('Traditional Attrition'!X$2-'Traditional Attrition'!$F13-1,'Traditional Attrition'!$A$7:$C$161,2,FALSE)*VLOOKUP(X$1,'Attrition Modeling'!$L$15:$N$27,IF(X$2-$F13&lt;=24,2,3),FALSE))*(1+Projection!Z$16)*(1+IF(X145&gt;0,'Attrition Modeling'!$N$9,0))),0))</f>
        <v>4692.7297491948493</v>
      </c>
      <c r="Y13" s="799">
        <f>IF(Y$2=$F13+1,Monthly!U$21,IF(Y$2&gt;$F13+1,('Traditional Attrition'!X13+Y145)*(1-IF(Y$2-$F13&lt;=12,SUMIFS('Attrition Modeling'!$D:$D,'Attrition Modeling'!$B:$B,'Traditional Attrition'!$E13,'Attrition Modeling'!$C:$C,'Traditional Attrition'!Y$1),VLOOKUP('Traditional Attrition'!Y$2-'Traditional Attrition'!$F13-1,'Traditional Attrition'!$A$7:$C$161,2,FALSE)*VLOOKUP(Y$1,'Attrition Modeling'!$L$15:$N$27,IF(Y$2-$F13&lt;=24,2,3),FALSE))*(1+Projection!AA$16)*(1+IF(Y145&gt;0,'Attrition Modeling'!$N$9,0))),0))</f>
        <v>4373.4891633420129</v>
      </c>
      <c r="Z13" s="799">
        <f>IF(Z$2=$F13+1,Monthly!V$21,IF(Z$2&gt;$F13+1,('Traditional Attrition'!Y13+Z145)*(1-IF(Z$2-$F13&lt;=12,SUMIFS('Attrition Modeling'!$D:$D,'Attrition Modeling'!$B:$B,'Traditional Attrition'!$E13,'Attrition Modeling'!$C:$C,'Traditional Attrition'!Z$1),VLOOKUP('Traditional Attrition'!Z$2-'Traditional Attrition'!$F13-1,'Traditional Attrition'!$A$7:$C$161,2,FALSE)*VLOOKUP(Z$1,'Attrition Modeling'!$L$15:$N$27,IF(Z$2-$F13&lt;=24,2,3),FALSE))*(1+Projection!AB$16)*(1+IF(Z145&gt;0,'Attrition Modeling'!$N$9,0))),0))</f>
        <v>4094.2846529866429</v>
      </c>
      <c r="AA13" s="799">
        <f>IF(AA$2=$F13+1,Monthly!W$21,IF(AA$2&gt;$F13+1,('Traditional Attrition'!Z13+AA145)*(1-IF(AA$2-$F13&lt;=12,SUMIFS('Attrition Modeling'!$D:$D,'Attrition Modeling'!$B:$B,'Traditional Attrition'!$E13,'Attrition Modeling'!$C:$C,'Traditional Attrition'!AA$1),VLOOKUP('Traditional Attrition'!AA$2-'Traditional Attrition'!$F13-1,'Traditional Attrition'!$A$7:$C$161,2,FALSE)*VLOOKUP(AA$1,'Attrition Modeling'!$L$15:$N$27,IF(AA$2-$F13&lt;=24,2,3),FALSE))*(1+Projection!AC$16)*(1+IF(AA145&gt;0,'Attrition Modeling'!$N$9,0))),0))</f>
        <v>3824.3023232271944</v>
      </c>
      <c r="AB13" s="799">
        <f>IF(AB$2=$F13+1,Monthly!X$21,IF(AB$2&gt;$F13+1,('Traditional Attrition'!AA13+AB145)*(1-IF(AB$2-$F13&lt;=12,SUMIFS('Attrition Modeling'!$D:$D,'Attrition Modeling'!$B:$B,'Traditional Attrition'!$E13,'Attrition Modeling'!$C:$C,'Traditional Attrition'!AB$1),VLOOKUP('Traditional Attrition'!AB$2-'Traditional Attrition'!$F13-1,'Traditional Attrition'!$A$7:$C$161,2,FALSE)*VLOOKUP(AB$1,'Attrition Modeling'!$L$15:$N$27,IF(AB$2-$F13&lt;=24,2,3),FALSE))*(1+Projection!AD$16)*(1+IF(AB145&gt;0,'Attrition Modeling'!$N$9,0))),0))</f>
        <v>3577.7863039940635</v>
      </c>
      <c r="AC13" s="799">
        <f>IF(AC$2=$F13+1,Monthly!Y$21,IF(AC$2&gt;$F13+1,('Traditional Attrition'!AB13+AC145)*(1-IF(AC$2-$F13&lt;=12,SUMIFS('Attrition Modeling'!$D:$D,'Attrition Modeling'!$B:$B,'Traditional Attrition'!$E13,'Attrition Modeling'!$C:$C,'Traditional Attrition'!AC$1),VLOOKUP('Traditional Attrition'!AC$2-'Traditional Attrition'!$F13-1,'Traditional Attrition'!$A$7:$C$161,2,FALSE)*VLOOKUP(AC$1,'Attrition Modeling'!$L$15:$N$27,IF(AC$2-$F13&lt;=24,2,3),FALSE))*(1+Projection!AE$16)*(1+IF(AC145&gt;0,'Attrition Modeling'!$N$9,0))),0))</f>
        <v>3454.1656298382954</v>
      </c>
      <c r="AD13" s="799">
        <f>IF(AD$2=$F13+1,Monthly!Z$21,IF(AD$2&gt;$F13+1,('Traditional Attrition'!AC13+AD145)*(1-IF(AD$2-$F13&lt;=12,SUMIFS('Attrition Modeling'!$D:$D,'Attrition Modeling'!$B:$B,'Traditional Attrition'!$E13,'Attrition Modeling'!$C:$C,'Traditional Attrition'!AD$1),VLOOKUP('Traditional Attrition'!AD$2-'Traditional Attrition'!$F13-1,'Traditional Attrition'!$A$7:$C$161,2,FALSE)*VLOOKUP(AD$1,'Attrition Modeling'!$L$15:$N$27,IF(AD$2-$F13&lt;=24,2,3),FALSE))*(1+Projection!AF$16)*(1+IF(AD145&gt;0,'Attrition Modeling'!$N$9,0))),0))</f>
        <v>3266.4025163450378</v>
      </c>
      <c r="AE13" s="799">
        <f>IF(AE$2=$F13+1,Monthly!AA$21,IF(AE$2&gt;$F13+1,('Traditional Attrition'!AD13+AE145)*(1-IF(AE$2-$F13&lt;=12,SUMIFS('Attrition Modeling'!$D:$D,'Attrition Modeling'!$B:$B,'Traditional Attrition'!$E13,'Attrition Modeling'!$C:$C,'Traditional Attrition'!AE$1),VLOOKUP('Traditional Attrition'!AE$2-'Traditional Attrition'!$F13-1,'Traditional Attrition'!$A$7:$C$161,2,FALSE)*VLOOKUP(AE$1,'Attrition Modeling'!$L$15:$N$27,IF(AE$2-$F13&lt;=24,2,3),FALSE))*(1+Projection!AG$16)*(1+IF(AE145&gt;0,'Attrition Modeling'!$N$9,0))),0))</f>
        <v>3104.2816769836163</v>
      </c>
      <c r="AF13" s="799">
        <f>IF(AF$2=$F13+1,Monthly!AB$21,IF(AF$2&gt;$F13+1,('Traditional Attrition'!AE13+AF145)*(1-IF(AF$2-$F13&lt;=12,SUMIFS('Attrition Modeling'!$D:$D,'Attrition Modeling'!$B:$B,'Traditional Attrition'!$E13,'Attrition Modeling'!$C:$C,'Traditional Attrition'!AF$1),VLOOKUP('Traditional Attrition'!AF$2-'Traditional Attrition'!$F13-1,'Traditional Attrition'!$A$7:$C$161,2,FALSE)*VLOOKUP(AF$1,'Attrition Modeling'!$L$15:$N$27,IF(AF$2-$F13&lt;=24,2,3),FALSE))*(1+Projection!AH$16)*(1+IF(AF145&gt;0,'Attrition Modeling'!$N$9,0))),0))</f>
        <v>2957.6193318447467</v>
      </c>
      <c r="AG13" s="799">
        <f>IF(AG$2=$F13+1,Monthly!AC$21,IF(AG$2&gt;$F13+1,('Traditional Attrition'!AF13+AG145)*(1-IF(AG$2-$F13&lt;=12,SUMIFS('Attrition Modeling'!$D:$D,'Attrition Modeling'!$B:$B,'Traditional Attrition'!$E13,'Attrition Modeling'!$C:$C,'Traditional Attrition'!AG$1),VLOOKUP('Traditional Attrition'!AG$2-'Traditional Attrition'!$F13-1,'Traditional Attrition'!$A$7:$C$161,2,FALSE)*VLOOKUP(AG$1,'Attrition Modeling'!$L$15:$N$27,IF(AG$2-$F13&lt;=24,2,3),FALSE))*(1+Projection!AI$16)*(1+IF(AG145&gt;0,'Attrition Modeling'!$N$9,0))),0))</f>
        <v>2836.1699073036366</v>
      </c>
      <c r="AH13" s="799">
        <f>IF(AH$2=$F13+1,Monthly!AD$21,IF(AH$2&gt;$F13+1,('Traditional Attrition'!AG13+AH145)*(1-IF(AH$2-$F13&lt;=12,SUMIFS('Attrition Modeling'!$D:$D,'Attrition Modeling'!$B:$B,'Traditional Attrition'!$E13,'Attrition Modeling'!$C:$C,'Traditional Attrition'!AH$1),VLOOKUP('Traditional Attrition'!AH$2-'Traditional Attrition'!$F13-1,'Traditional Attrition'!$A$7:$C$161,2,FALSE)*VLOOKUP(AH$1,'Attrition Modeling'!$L$15:$N$27,IF(AH$2-$F13&lt;=24,2,3),FALSE))*(1+Projection!AJ$16)*(1+IF(AH145&gt;0,'Attrition Modeling'!$N$9,0))),0))</f>
        <v>2713.1219440690502</v>
      </c>
      <c r="AI13" s="799">
        <f>IF(AI$2=$F13+1,Monthly!AE$21,IF(AI$2&gt;$F13+1,('Traditional Attrition'!AH13+AI145)*(1-IF(AI$2-$F13&lt;=12,SUMIFS('Attrition Modeling'!$D:$D,'Attrition Modeling'!$B:$B,'Traditional Attrition'!$E13,'Attrition Modeling'!$C:$C,'Traditional Attrition'!AI$1),VLOOKUP('Traditional Attrition'!AI$2-'Traditional Attrition'!$F13-1,'Traditional Attrition'!$A$7:$C$161,2,FALSE)*VLOOKUP(AI$1,'Attrition Modeling'!$L$15:$N$27,IF(AI$2-$F13&lt;=24,2,3),FALSE))*(1+Projection!AK$16)*(1+IF(AI145&gt;0,'Attrition Modeling'!$N$9,0))),0))</f>
        <v>2825.1352246134402</v>
      </c>
      <c r="AJ13" s="799">
        <f>IF(AJ$2=$F13+1,Monthly!AF$21,IF(AJ$2&gt;$F13+1,('Traditional Attrition'!AI13+AJ145)*(1-IF(AJ$2-$F13&lt;=12,SUMIFS('Attrition Modeling'!$D:$D,'Attrition Modeling'!$B:$B,'Traditional Attrition'!$E13,'Attrition Modeling'!$C:$C,'Traditional Attrition'!AJ$1),VLOOKUP('Traditional Attrition'!AJ$2-'Traditional Attrition'!$F13-1,'Traditional Attrition'!$A$7:$C$161,2,FALSE)*VLOOKUP(AJ$1,'Attrition Modeling'!$L$15:$N$27,IF(AJ$2-$F13&lt;=24,2,3),FALSE))*(1+Projection!AL$16)*(1+IF(AJ145&gt;0,'Attrition Modeling'!$N$9,0))),0))</f>
        <v>2710.9493599159077</v>
      </c>
      <c r="AK13" s="799">
        <f>IF(AK$2=$F13+1,Monthly!AG$21,IF(AK$2&gt;$F13+1,('Traditional Attrition'!AJ13+AK145)*(1-IF(AK$2-$F13&lt;=12,SUMIFS('Attrition Modeling'!$D:$D,'Attrition Modeling'!$B:$B,'Traditional Attrition'!$E13,'Attrition Modeling'!$C:$C,'Traditional Attrition'!AK$1),VLOOKUP('Traditional Attrition'!AK$2-'Traditional Attrition'!$F13-1,'Traditional Attrition'!$A$7:$C$161,2,FALSE)*VLOOKUP(AK$1,'Attrition Modeling'!$L$15:$N$27,IF(AK$2-$F13&lt;=24,2,3),FALSE))*(1+Projection!AM$16)*(1+IF(AK145&gt;0,'Attrition Modeling'!$N$9,0))),0))</f>
        <v>2592.9402219283184</v>
      </c>
      <c r="AL13" s="799">
        <f>IF(AL$2=$F13+1,Monthly!AH$21,IF(AL$2&gt;$F13+1,('Traditional Attrition'!AK13+AL145)*(1-IF(AL$2-$F13&lt;=12,SUMIFS('Attrition Modeling'!$D:$D,'Attrition Modeling'!$B:$B,'Traditional Attrition'!$E13,'Attrition Modeling'!$C:$C,'Traditional Attrition'!AL$1),VLOOKUP('Traditional Attrition'!AL$2-'Traditional Attrition'!$F13-1,'Traditional Attrition'!$A$7:$C$161,2,FALSE)*VLOOKUP(AL$1,'Attrition Modeling'!$L$15:$N$27,IF(AL$2-$F13&lt;=24,2,3),FALSE))*(1+Projection!AN$16)*(1+IF(AL145&gt;0,'Attrition Modeling'!$N$9,0))),0))</f>
        <v>2479.3702444718169</v>
      </c>
      <c r="AM13" s="799">
        <f>IF(AM$2=$F13+1,Monthly!AI$21,IF(AM$2&gt;$F13+1,('Traditional Attrition'!AL13+AM145)*(1-IF(AM$2-$F13&lt;=12,SUMIFS('Attrition Modeling'!$D:$D,'Attrition Modeling'!$B:$B,'Traditional Attrition'!$E13,'Attrition Modeling'!$C:$C,'Traditional Attrition'!AM$1),VLOOKUP('Traditional Attrition'!AM$2-'Traditional Attrition'!$F13-1,'Traditional Attrition'!$A$7:$C$161,2,FALSE)*VLOOKUP(AM$1,'Attrition Modeling'!$L$15:$N$27,IF(AM$2-$F13&lt;=24,2,3),FALSE))*(1+Projection!AO$16)*(1+IF(AM145&gt;0,'Attrition Modeling'!$N$9,0))),0))</f>
        <v>2367.7347569902781</v>
      </c>
      <c r="AN13" s="799">
        <f>IF(AN$2=$F13+1,Monthly!AJ$21,IF(AN$2&gt;$F13+1,('Traditional Attrition'!AM13+AN145)*(1-IF(AN$2-$F13&lt;=12,SUMIFS('Attrition Modeling'!$D:$D,'Attrition Modeling'!$B:$B,'Traditional Attrition'!$E13,'Attrition Modeling'!$C:$C,'Traditional Attrition'!AN$1),VLOOKUP('Traditional Attrition'!AN$2-'Traditional Attrition'!$F13-1,'Traditional Attrition'!$A$7:$C$161,2,FALSE)*VLOOKUP(AN$1,'Attrition Modeling'!$L$15:$N$27,IF(AN$2-$F13&lt;=24,2,3),FALSE))*(1+Projection!AP$16)*(1+IF(AN145&gt;0,'Attrition Modeling'!$N$9,0))),0))</f>
        <v>2271.9100539177489</v>
      </c>
      <c r="AO13" s="799">
        <f>IF(AO$2=$F13+1,Monthly!AK$21,IF(AO$2&gt;$F13+1,('Traditional Attrition'!AN13+AO145)*(1-IF(AO$2-$F13&lt;=12,SUMIFS('Attrition Modeling'!$D:$D,'Attrition Modeling'!$B:$B,'Traditional Attrition'!$E13,'Attrition Modeling'!$C:$C,'Traditional Attrition'!AO$1),VLOOKUP('Traditional Attrition'!AO$2-'Traditional Attrition'!$F13-1,'Traditional Attrition'!$A$7:$C$161,2,FALSE)*VLOOKUP(AO$1,'Attrition Modeling'!$L$15:$N$27,IF(AO$2-$F13&lt;=24,2,3),FALSE))*(1+Projection!AQ$16)*(1+IF(AO145&gt;0,'Attrition Modeling'!$N$9,0))),0))</f>
        <v>2179.0809209899971</v>
      </c>
      <c r="AP13" s="799">
        <f>IF(AP$2=$F13+1,Monthly!AL$21,IF(AP$2&gt;$F13+1,('Traditional Attrition'!AO13+AP145)*(1-IF(AP$2-$F13&lt;=12,SUMIFS('Attrition Modeling'!$D:$D,'Attrition Modeling'!$B:$B,'Traditional Attrition'!$E13,'Attrition Modeling'!$C:$C,'Traditional Attrition'!AP$1),VLOOKUP('Traditional Attrition'!AP$2-'Traditional Attrition'!$F13-1,'Traditional Attrition'!$A$7:$C$161,2,FALSE)*VLOOKUP(AP$1,'Attrition Modeling'!$L$15:$N$27,IF(AP$2-$F13&lt;=24,2,3),FALSE))*(1+Projection!AR$16)*(1+IF(AP145&gt;0,'Attrition Modeling'!$N$9,0))),0))</f>
        <v>2093.9285464884579</v>
      </c>
      <c r="AQ13" s="799">
        <f>IF(AQ$2=$F13+1,Monthly!AM$21,IF(AQ$2&gt;$F13+1,('Traditional Attrition'!AP13+AQ145)*(1-IF(AQ$2-$F13&lt;=12,SUMIFS('Attrition Modeling'!$D:$D,'Attrition Modeling'!$B:$B,'Traditional Attrition'!$E13,'Attrition Modeling'!$C:$C,'Traditional Attrition'!AQ$1),VLOOKUP('Traditional Attrition'!AQ$2-'Traditional Attrition'!$F13-1,'Traditional Attrition'!$A$7:$C$161,2,FALSE)*VLOOKUP(AQ$1,'Attrition Modeling'!$L$15:$N$27,IF(AQ$2-$F13&lt;=24,2,3),FALSE))*(1+Projection!AS$16)*(1+IF(AQ145&gt;0,'Attrition Modeling'!$N$9,0))),0))</f>
        <v>2027.4383713766717</v>
      </c>
      <c r="AR13" s="799">
        <f>IF(AR$2=$F13+1,Monthly!AN$21,IF(AR$2&gt;$F13+1,('Traditional Attrition'!AQ13+AR145)*(1-IF(AR$2-$F13&lt;=12,SUMIFS('Attrition Modeling'!$D:$D,'Attrition Modeling'!$B:$B,'Traditional Attrition'!$E13,'Attrition Modeling'!$C:$C,'Traditional Attrition'!AR$1),VLOOKUP('Traditional Attrition'!AR$2-'Traditional Attrition'!$F13-1,'Traditional Attrition'!$A$7:$C$161,2,FALSE)*VLOOKUP(AR$1,'Attrition Modeling'!$L$15:$N$27,IF(AR$2-$F13&lt;=24,2,3),FALSE))*(1+Projection!AT$16)*(1+IF(AR145&gt;0,'Attrition Modeling'!$N$9,0))),0))</f>
        <v>1957.1294767877223</v>
      </c>
      <c r="AS13" s="799">
        <f>IF(AS$2=$F13+1,Monthly!AO$21,IF(AS$2&gt;$F13+1,('Traditional Attrition'!AR13+AS145)*(1-IF(AS$2-$F13&lt;=12,SUMIFS('Attrition Modeling'!$D:$D,'Attrition Modeling'!$B:$B,'Traditional Attrition'!$E13,'Attrition Modeling'!$C:$C,'Traditional Attrition'!AS$1),VLOOKUP('Traditional Attrition'!AS$2-'Traditional Attrition'!$F13-1,'Traditional Attrition'!$A$7:$C$161,2,FALSE)*VLOOKUP(AS$1,'Attrition Modeling'!$L$15:$N$27,IF(AS$2-$F13&lt;=24,2,3),FALSE))*(1+Projection!AU$16)*(1+IF(AS145&gt;0,'Attrition Modeling'!$N$9,0))),0))</f>
        <v>1892.2548007692021</v>
      </c>
      <c r="AT13" s="799">
        <f>IF(AT$2=$F13+1,Monthly!AP$21,IF(AT$2&gt;$F13+1,('Traditional Attrition'!AS13+AT145)*(1-IF(AT$2-$F13&lt;=12,SUMIFS('Attrition Modeling'!$D:$D,'Attrition Modeling'!$B:$B,'Traditional Attrition'!$E13,'Attrition Modeling'!$C:$C,'Traditional Attrition'!AT$1),VLOOKUP('Traditional Attrition'!AT$2-'Traditional Attrition'!$F13-1,'Traditional Attrition'!$A$7:$C$161,2,FALSE)*VLOOKUP(AT$1,'Attrition Modeling'!$L$15:$N$27,IF(AT$2-$F13&lt;=24,2,3),FALSE))*(1+Projection!AV$16)*(1+IF(AT145&gt;0,'Attrition Modeling'!$N$9,0))),0))</f>
        <v>1832.9393143371603</v>
      </c>
      <c r="AU13" s="799">
        <f>IF(AU$2=$F13+1,Monthly!AQ$21,IF(AU$2&gt;$F13+1,('Traditional Attrition'!AT13+AU145)*(1-IF(AU$2-$F13&lt;=12,SUMIFS('Attrition Modeling'!$D:$D,'Attrition Modeling'!$B:$B,'Traditional Attrition'!$E13,'Attrition Modeling'!$C:$C,'Traditional Attrition'!AU$1),VLOOKUP('Traditional Attrition'!AU$2-'Traditional Attrition'!$F13-1,'Traditional Attrition'!$A$7:$C$161,2,FALSE)*VLOOKUP(AU$1,'Attrition Modeling'!$L$15:$N$27,IF(AU$2-$F13&lt;=24,2,3),FALSE))*(1+Projection!AW$16)*(1+IF(AU145&gt;0,'Attrition Modeling'!$N$9,0))),0))</f>
        <v>1949.5597435835373</v>
      </c>
      <c r="AV13" s="799">
        <f>IF(AV$2=$F13+1,Monthly!AR$21,IF(AV$2&gt;$F13+1,('Traditional Attrition'!AU13+AV145)*(1-IF(AV$2-$F13&lt;=12,SUMIFS('Attrition Modeling'!$D:$D,'Attrition Modeling'!$B:$B,'Traditional Attrition'!$E13,'Attrition Modeling'!$C:$C,'Traditional Attrition'!AV$1),VLOOKUP('Traditional Attrition'!AV$2-'Traditional Attrition'!$F13-1,'Traditional Attrition'!$A$7:$C$161,2,FALSE)*VLOOKUP(AV$1,'Attrition Modeling'!$L$15:$N$27,IF(AV$2-$F13&lt;=24,2,3),FALSE))*(1+Projection!AX$16)*(1+IF(AV145&gt;0,'Attrition Modeling'!$N$9,0))),0))</f>
        <v>1892.3318742449414</v>
      </c>
      <c r="AW13" s="799">
        <f>IF(AW$2=$F13+1,Monthly!AS$21,IF(AW$2&gt;$F13+1,('Traditional Attrition'!AV13+AW145)*(1-IF(AW$2-$F13&lt;=12,SUMIFS('Attrition Modeling'!$D:$D,'Attrition Modeling'!$B:$B,'Traditional Attrition'!$E13,'Attrition Modeling'!$C:$C,'Traditional Attrition'!AW$1),VLOOKUP('Traditional Attrition'!AW$2-'Traditional Attrition'!$F13-1,'Traditional Attrition'!$A$7:$C$161,2,FALSE)*VLOOKUP(AW$1,'Attrition Modeling'!$L$15:$N$27,IF(AW$2-$F13&lt;=24,2,3),FALSE))*(1+Projection!AY$16)*(1+IF(AW145&gt;0,'Attrition Modeling'!$N$9,0))),0))</f>
        <v>1829.6942033935759</v>
      </c>
      <c r="AX13" s="799">
        <f>IF(AX$2=$F13+1,Monthly!AT$21,IF(AX$2&gt;$F13+1,('Traditional Attrition'!AW13+AX145)*(1-IF(AX$2-$F13&lt;=12,SUMIFS('Attrition Modeling'!$D:$D,'Attrition Modeling'!$B:$B,'Traditional Attrition'!$E13,'Attrition Modeling'!$C:$C,'Traditional Attrition'!AX$1),VLOOKUP('Traditional Attrition'!AX$2-'Traditional Attrition'!$F13-1,'Traditional Attrition'!$A$7:$C$161,2,FALSE)*VLOOKUP(AX$1,'Attrition Modeling'!$L$15:$N$27,IF(AX$2-$F13&lt;=24,2,3),FALSE))*(1+Projection!AZ$16)*(1+IF(AX145&gt;0,'Attrition Modeling'!$N$9,0))),0))</f>
        <v>1764.4806108316568</v>
      </c>
      <c r="AY13" s="799">
        <f>IF(AY$2=$F13+1,Monthly!AU$21,IF(AY$2&gt;$F13+1,('Traditional Attrition'!AX13+AY145)*(1-IF(AY$2-$F13&lt;=12,SUMIFS('Attrition Modeling'!$D:$D,'Attrition Modeling'!$B:$B,'Traditional Attrition'!$E13,'Attrition Modeling'!$C:$C,'Traditional Attrition'!AY$1),VLOOKUP('Traditional Attrition'!AY$2-'Traditional Attrition'!$F13-1,'Traditional Attrition'!$A$7:$C$161,2,FALSE)*VLOOKUP(AY$1,'Attrition Modeling'!$L$15:$N$27,IF(AY$2-$F13&lt;=24,2,3),FALSE))*(1+Projection!BA$16)*(1+IF(AY145&gt;0,'Attrition Modeling'!$N$9,0))),0))</f>
        <v>1697.7207891874932</v>
      </c>
      <c r="AZ13" s="799">
        <f>IF(AZ$2=$F13+1,Monthly!AV$21,IF(AZ$2&gt;$F13+1,('Traditional Attrition'!AY13+AZ145)*(1-IF(AZ$2-$F13&lt;=12,SUMIFS('Attrition Modeling'!$D:$D,'Attrition Modeling'!$B:$B,'Traditional Attrition'!$E13,'Attrition Modeling'!$C:$C,'Traditional Attrition'!AZ$1),VLOOKUP('Traditional Attrition'!AZ$2-'Traditional Attrition'!$F13-1,'Traditional Attrition'!$A$7:$C$161,2,FALSE)*VLOOKUP(AZ$1,'Attrition Modeling'!$L$15:$N$27,IF(AZ$2-$F13&lt;=24,2,3),FALSE))*(1+Projection!BB$16)*(1+IF(AZ145&gt;0,'Attrition Modeling'!$N$9,0))),0))</f>
        <v>1638.0767108429154</v>
      </c>
      <c r="BA13" s="799">
        <f>IF(BA$2=$F13+1,Monthly!AW$21,IF(BA$2&gt;$F13+1,('Traditional Attrition'!AZ13+BA145)*(1-IF(BA$2-$F13&lt;=12,SUMIFS('Attrition Modeling'!$D:$D,'Attrition Modeling'!$B:$B,'Traditional Attrition'!$E13,'Attrition Modeling'!$C:$C,'Traditional Attrition'!BA$1),VLOOKUP('Traditional Attrition'!BA$2-'Traditional Attrition'!$F13-1,'Traditional Attrition'!$A$7:$C$161,2,FALSE)*VLOOKUP(BA$1,'Attrition Modeling'!$L$15:$N$27,IF(BA$2-$F13&lt;=24,2,3),FALSE))*(1+Projection!BC$16)*(1+IF(BA145&gt;0,'Attrition Modeling'!$N$9,0))),0))</f>
        <v>1583.1224511615703</v>
      </c>
      <c r="BB13" s="799">
        <f>IF(BB$2=$F13+1,Monthly!AX$21,IF(BB$2&gt;$F13+1,('Traditional Attrition'!BA13+BB145)*(1-IF(BB$2-$F13&lt;=12,SUMIFS('Attrition Modeling'!$D:$D,'Attrition Modeling'!$B:$B,'Traditional Attrition'!$E13,'Attrition Modeling'!$C:$C,'Traditional Attrition'!BB$1),VLOOKUP('Traditional Attrition'!BB$2-'Traditional Attrition'!$F13-1,'Traditional Attrition'!$A$7:$C$161,2,FALSE)*VLOOKUP(BB$1,'Attrition Modeling'!$L$15:$N$27,IF(BB$2-$F13&lt;=24,2,3),FALSE))*(1+Projection!BD$16)*(1+IF(BB145&gt;0,'Attrition Modeling'!$N$9,0))),0))</f>
        <v>1531.7746772122123</v>
      </c>
      <c r="BC13" s="799">
        <f>IF(BC$2=$F13+1,Monthly!AY$21,IF(BC$2&gt;$F13+1,('Traditional Attrition'!BB13+BC145)*(1-IF(BC$2-$F13&lt;=12,SUMIFS('Attrition Modeling'!$D:$D,'Attrition Modeling'!$B:$B,'Traditional Attrition'!$E13,'Attrition Modeling'!$C:$C,'Traditional Attrition'!BC$1),VLOOKUP('Traditional Attrition'!BC$2-'Traditional Attrition'!$F13-1,'Traditional Attrition'!$A$7:$C$161,2,FALSE)*VLOOKUP(BC$1,'Attrition Modeling'!$L$15:$N$27,IF(BC$2-$F13&lt;=24,2,3),FALSE))*(1+Projection!BE$16)*(1+IF(BC145&gt;0,'Attrition Modeling'!$N$9,0))),0))</f>
        <v>1491.2687219849149</v>
      </c>
      <c r="BD13" s="799">
        <f>IF(BD$2=$F13+1,Monthly!AZ$21,IF(BD$2&gt;$F13+1,('Traditional Attrition'!BC13+BD145)*(1-IF(BD$2-$F13&lt;=12,SUMIFS('Attrition Modeling'!$D:$D,'Attrition Modeling'!$B:$B,'Traditional Attrition'!$E13,'Attrition Modeling'!$C:$C,'Traditional Attrition'!BD$1),VLOOKUP('Traditional Attrition'!BD$2-'Traditional Attrition'!$F13-1,'Traditional Attrition'!$A$7:$C$161,2,FALSE)*VLOOKUP(BD$1,'Attrition Modeling'!$L$15:$N$27,IF(BD$2-$F13&lt;=24,2,3),FALSE))*(1+Projection!BF$16)*(1+IF(BD145&gt;0,'Attrition Modeling'!$N$9,0))),0))</f>
        <v>1448.0670299649591</v>
      </c>
      <c r="BE13" s="799">
        <f>IF(BE$2=$F13+1,Monthly!BA$21,IF(BE$2&gt;$F13+1,('Traditional Attrition'!BD13+BE145)*(1-IF(BE$2-$F13&lt;=12,SUMIFS('Attrition Modeling'!$D:$D,'Attrition Modeling'!$B:$B,'Traditional Attrition'!$E13,'Attrition Modeling'!$C:$C,'Traditional Attrition'!BE$1),VLOOKUP('Traditional Attrition'!BE$2-'Traditional Attrition'!$F13-1,'Traditional Attrition'!$A$7:$C$161,2,FALSE)*VLOOKUP(BE$1,'Attrition Modeling'!$L$15:$N$27,IF(BE$2-$F13&lt;=24,2,3),FALSE))*(1+Projection!BG$16)*(1+IF(BE145&gt;0,'Attrition Modeling'!$N$9,0))),0))</f>
        <v>1407.8511462301542</v>
      </c>
      <c r="BF13" s="799">
        <f>IF(BF$2=$F13+1,Monthly!BB$21,IF(BF$2&gt;$F13+1,('Traditional Attrition'!BE13+BF145)*(1-IF(BF$2-$F13&lt;=12,SUMIFS('Attrition Modeling'!$D:$D,'Attrition Modeling'!$B:$B,'Traditional Attrition'!$E13,'Attrition Modeling'!$C:$C,'Traditional Attrition'!BF$1),VLOOKUP('Traditional Attrition'!BF$2-'Traditional Attrition'!$F13-1,'Traditional Attrition'!$A$7:$C$161,2,FALSE)*VLOOKUP(BF$1,'Attrition Modeling'!$L$15:$N$27,IF(BF$2-$F13&lt;=24,2,3),FALSE))*(1+Projection!BH$16)*(1+IF(BF145&gt;0,'Attrition Modeling'!$N$9,0))),0))</f>
        <v>1370.7750630054293</v>
      </c>
      <c r="BG13" s="799">
        <f>IF(BG$2=$F13+1,Monthly!BC$21,IF(BG$2&gt;$F13+1,('Traditional Attrition'!BF13+BG145)*(1-IF(BG$2-$F13&lt;=12,SUMIFS('Attrition Modeling'!$D:$D,'Attrition Modeling'!$B:$B,'Traditional Attrition'!$E13,'Attrition Modeling'!$C:$C,'Traditional Attrition'!BG$1),VLOOKUP('Traditional Attrition'!BG$2-'Traditional Attrition'!$F13-1,'Traditional Attrition'!$A$7:$C$161,2,FALSE)*VLOOKUP(BG$1,'Attrition Modeling'!$L$15:$N$27,IF(BG$2-$F13&lt;=24,2,3),FALSE))*(1+Projection!BI$16)*(1+IF(BG145&gt;0,'Attrition Modeling'!$N$9,0))),0))</f>
        <v>1464.9883010387073</v>
      </c>
      <c r="BH13" s="799">
        <f>IF(BH$2=$F13+1,Monthly!BD$21,IF(BH$2&gt;$F13+1,('Traditional Attrition'!BG13+BH145)*(1-IF(BH$2-$F13&lt;=12,SUMIFS('Attrition Modeling'!$D:$D,'Attrition Modeling'!$B:$B,'Traditional Attrition'!$E13,'Attrition Modeling'!$C:$C,'Traditional Attrition'!BH$1),VLOOKUP('Traditional Attrition'!BH$2-'Traditional Attrition'!$F13-1,'Traditional Attrition'!$A$7:$C$161,2,FALSE)*VLOOKUP(BH$1,'Attrition Modeling'!$L$15:$N$27,IF(BH$2-$F13&lt;=24,2,3),FALSE))*(1+Projection!BJ$16)*(1+IF(BH145&gt;0,'Attrition Modeling'!$N$9,0))),0))</f>
        <v>1428.6770269055066</v>
      </c>
      <c r="BI13" s="799">
        <f>IF(BI$2=$F13+1,Monthly!BE$21,IF(BI$2&gt;$F13+1,('Traditional Attrition'!BH13+BI145)*(1-IF(BI$2-$F13&lt;=12,SUMIFS('Attrition Modeling'!$D:$D,'Attrition Modeling'!$B:$B,'Traditional Attrition'!$E13,'Attrition Modeling'!$C:$C,'Traditional Attrition'!BI$1),VLOOKUP('Traditional Attrition'!BI$2-'Traditional Attrition'!$F13-1,'Traditional Attrition'!$A$7:$C$161,2,FALSE)*VLOOKUP(BI$1,'Attrition Modeling'!$L$15:$N$27,IF(BI$2-$F13&lt;=24,2,3),FALSE))*(1+Projection!BK$16)*(1+IF(BI145&gt;0,'Attrition Modeling'!$N$9,0))),0))</f>
        <v>1388.6538550875271</v>
      </c>
      <c r="BJ13" s="799">
        <f>IF(BJ$2=$F13+1,Monthly!BF$21,IF(BJ$2&gt;$F13+1,('Traditional Attrition'!BI13+BJ145)*(1-IF(BJ$2-$F13&lt;=12,SUMIFS('Attrition Modeling'!$D:$D,'Attrition Modeling'!$B:$B,'Traditional Attrition'!$E13,'Attrition Modeling'!$C:$C,'Traditional Attrition'!BJ$1),VLOOKUP('Traditional Attrition'!BJ$2-'Traditional Attrition'!$F13-1,'Traditional Attrition'!$A$7:$C$161,2,FALSE)*VLOOKUP(BJ$1,'Attrition Modeling'!$L$15:$N$27,IF(BJ$2-$F13&lt;=24,2,3),FALSE))*(1+Projection!BL$16)*(1+IF(BJ145&gt;0,'Attrition Modeling'!$N$9,0))),0))</f>
        <v>1346.6739919666084</v>
      </c>
      <c r="BK13" s="799">
        <f>IF(BK$2=$F13+1,Monthly!BG$21,IF(BK$2&gt;$F13+1,('Traditional Attrition'!BJ13+BK145)*(1-IF(BK$2-$F13&lt;=12,SUMIFS('Attrition Modeling'!$D:$D,'Attrition Modeling'!$B:$B,'Traditional Attrition'!$E13,'Attrition Modeling'!$C:$C,'Traditional Attrition'!BK$1),VLOOKUP('Traditional Attrition'!BK$2-'Traditional Attrition'!$F13-1,'Traditional Attrition'!$A$7:$C$161,2,FALSE)*VLOOKUP(BK$1,'Attrition Modeling'!$L$15:$N$27,IF(BK$2-$F13&lt;=24,2,3),FALSE))*(1+Projection!BM$16)*(1+IF(BK145&gt;0,'Attrition Modeling'!$N$9,0))),0))</f>
        <v>1303.3682195551974</v>
      </c>
      <c r="BL13" s="799">
        <f>IF(BL$2=$F13+1,Monthly!BH$21,IF(BL$2&gt;$F13+1,('Traditional Attrition'!BK13+BL145)*(1-IF(BL$2-$F13&lt;=12,SUMIFS('Attrition Modeling'!$D:$D,'Attrition Modeling'!$B:$B,'Traditional Attrition'!$E13,'Attrition Modeling'!$C:$C,'Traditional Attrition'!BL$1),VLOOKUP('Traditional Attrition'!BL$2-'Traditional Attrition'!$F13-1,'Traditional Attrition'!$A$7:$C$161,2,FALSE)*VLOOKUP(BL$1,'Attrition Modeling'!$L$15:$N$27,IF(BL$2-$F13&lt;=24,2,3),FALSE))*(1+Projection!BN$16)*(1+IF(BL145&gt;0,'Attrition Modeling'!$N$9,0))),0))</f>
        <v>1264.3736767582375</v>
      </c>
      <c r="BM13" s="799">
        <f>IF(BM$2=$F13+1,Monthly!BI$21,IF(BM$2&gt;$F13+1,('Traditional Attrition'!BL13+BM145)*(1-IF(BM$2-$F13&lt;=12,SUMIFS('Attrition Modeling'!$D:$D,'Attrition Modeling'!$B:$B,'Traditional Attrition'!$E13,'Attrition Modeling'!$C:$C,'Traditional Attrition'!BM$1),VLOOKUP('Traditional Attrition'!BM$2-'Traditional Attrition'!$F13-1,'Traditional Attrition'!$A$7:$C$161,2,FALSE)*VLOOKUP(BM$1,'Attrition Modeling'!$L$15:$N$27,IF(BM$2-$F13&lt;=24,2,3),FALSE))*(1+Projection!BO$16)*(1+IF(BM145&gt;0,'Attrition Modeling'!$N$9,0))),0))</f>
        <v>1228.1839747923825</v>
      </c>
      <c r="BN13" s="799">
        <f>IF(BN$2=$F13+1,Monthly!BJ$21,IF(BN$2&gt;$F13+1,('Traditional Attrition'!BM13+BN145)*(1-IF(BN$2-$F13&lt;=12,SUMIFS('Attrition Modeling'!$D:$D,'Attrition Modeling'!$B:$B,'Traditional Attrition'!$E13,'Attrition Modeling'!$C:$C,'Traditional Attrition'!BN$1),VLOOKUP('Traditional Attrition'!BN$2-'Traditional Attrition'!$F13-1,'Traditional Attrition'!$A$7:$C$161,2,FALSE)*VLOOKUP(BN$1,'Attrition Modeling'!$L$15:$N$27,IF(BN$2-$F13&lt;=24,2,3),FALSE))*(1+Projection!BP$16)*(1+IF(BN145&gt;0,'Attrition Modeling'!$N$9,0))),0))</f>
        <v>1194.3657366221751</v>
      </c>
      <c r="BO13" s="799">
        <f>IF(BO$2=$F13+1,Monthly!BK$21,IF(BO$2&gt;$F13+1,('Traditional Attrition'!BN13+BO145)*(1-IF(BO$2-$F13&lt;=12,SUMIFS('Attrition Modeling'!$D:$D,'Attrition Modeling'!$B:$B,'Traditional Attrition'!$E13,'Attrition Modeling'!$C:$C,'Traditional Attrition'!BO$1),VLOOKUP('Traditional Attrition'!BO$2-'Traditional Attrition'!$F13-1,'Traditional Attrition'!$A$7:$C$161,2,FALSE)*VLOOKUP(BO$1,'Attrition Modeling'!$L$15:$N$27,IF(BO$2-$F13&lt;=24,2,3),FALSE))*(1+Projection!BV$16)*(1+IF(BO145&gt;0,'Attrition Modeling'!$N$9,0))),0))</f>
        <v>1167.5123483723487</v>
      </c>
      <c r="BP13" s="799">
        <f>IF(BP$2=$F13+1,Monthly!BL$21,IF(BP$2&gt;$F13+1,('Traditional Attrition'!BO13+BP145)*(1-IF(BP$2-$F13&lt;=12,SUMIFS('Attrition Modeling'!$D:$D,'Attrition Modeling'!$B:$B,'Traditional Attrition'!$E13,'Attrition Modeling'!$C:$C,'Traditional Attrition'!BP$1),VLOOKUP('Traditional Attrition'!BP$2-'Traditional Attrition'!$F13-1,'Traditional Attrition'!$A$7:$C$161,2,FALSE)*VLOOKUP(BP$1,'Attrition Modeling'!$L$15:$N$27,IF(BP$2-$F13&lt;=24,2,3),FALSE))*(1+Projection!BW$16)*(1+IF(BP145&gt;0,'Attrition Modeling'!$N$9,0))),0))</f>
        <v>1138.714150252028</v>
      </c>
      <c r="BQ13" s="799">
        <f>IF(BQ$2=$F13+1,Monthly!BM$21,IF(BQ$2&gt;$F13+1,('Traditional Attrition'!BP13+BQ145)*(1-IF(BQ$2-$F13&lt;=12,SUMIFS('Attrition Modeling'!$D:$D,'Attrition Modeling'!$B:$B,'Traditional Attrition'!$E13,'Attrition Modeling'!$C:$C,'Traditional Attrition'!BQ$1),VLOOKUP('Traditional Attrition'!BQ$2-'Traditional Attrition'!$F13-1,'Traditional Attrition'!$A$7:$C$161,2,FALSE)*VLOOKUP(BQ$1,'Attrition Modeling'!$L$15:$N$27,IF(BQ$2-$F13&lt;=24,2,3),FALSE))*(1+Projection!BX$16)*(1+IF(BQ145&gt;0,'Attrition Modeling'!$N$9,0))),0))</f>
        <v>1111.751041407611</v>
      </c>
      <c r="BR13" s="799">
        <f>IF(BR$2=$F13+1,Monthly!BN$21,IF(BR$2&gt;$F13+1,('Traditional Attrition'!BQ13+BR145)*(1-IF(BR$2-$F13&lt;=12,SUMIFS('Attrition Modeling'!$D:$D,'Attrition Modeling'!$B:$B,'Traditional Attrition'!$E13,'Attrition Modeling'!$C:$C,'Traditional Attrition'!BR$1),VLOOKUP('Traditional Attrition'!BR$2-'Traditional Attrition'!$F13-1,'Traditional Attrition'!$A$7:$C$161,2,FALSE)*VLOOKUP(BR$1,'Attrition Modeling'!$L$15:$N$27,IF(BR$2-$F13&lt;=24,2,3),FALSE))*(1+Projection!BY$16)*(1+IF(BR145&gt;0,'Attrition Modeling'!$N$9,0))),0))</f>
        <v>1086.756432246953</v>
      </c>
      <c r="BS13" s="799">
        <f>IF(BS$2=$F13+1,Monthly!BO$21,IF(BS$2&gt;$F13+1,('Traditional Attrition'!BR13+BS145)*(1-IF(BS$2-$F13&lt;=12,SUMIFS('Attrition Modeling'!$D:$D,'Attrition Modeling'!$B:$B,'Traditional Attrition'!$E13,'Attrition Modeling'!$C:$C,'Traditional Attrition'!BS$1),VLOOKUP('Traditional Attrition'!BS$2-'Traditional Attrition'!$F13-1,'Traditional Attrition'!$A$7:$C$161,2,FALSE)*VLOOKUP(BS$1,'Attrition Modeling'!$L$15:$N$27,IF(BS$2-$F13&lt;=24,2,3),FALSE))*(1+Projection!BZ$16)*(1+IF(BS145&gt;0,'Attrition Modeling'!$N$9,0))),0))</f>
        <v>1067.4965288452345</v>
      </c>
      <c r="BT13" s="799">
        <f>IF(BT$2=$F13+1,Monthly!#REF!,IF(BT$2&gt;$F13+1,('Traditional Attrition'!BS13+BT145)*(1-IF(BT$2-$F13&lt;=12,SUMIFS('Attrition Modeling'!$D:$D,'Attrition Modeling'!$B:$B,'Traditional Attrition'!$E13,'Attrition Modeling'!$C:$C,'Traditional Attrition'!BT$1),VLOOKUP('Traditional Attrition'!BT$2-'Traditional Attrition'!$F13-1,'Traditional Attrition'!$A$7:$C$161,2,FALSE)*VLOOKUP(BT$1,'Attrition Modeling'!$L$15:$N$27,IF(BT$2-$F13&lt;=24,2,3),FALSE))*(1+Projection!CA$16)*(1+IF(BT145&gt;0,'Attrition Modeling'!$N$9,0))),0))</f>
        <v>1044.8554179691803</v>
      </c>
      <c r="BU13" s="799">
        <f>IF(BU$2=$F13+1,Monthly!#REF!,IF(BU$2&gt;$F13+1,('Traditional Attrition'!BT13+BU145)*(1-IF(BU$2-$F13&lt;=12,SUMIFS('Attrition Modeling'!$D:$D,'Attrition Modeling'!$B:$B,'Traditional Attrition'!$E13,'Attrition Modeling'!$C:$C,'Traditional Attrition'!BU$1),VLOOKUP('Traditional Attrition'!BU$2-'Traditional Attrition'!$F13-1,'Traditional Attrition'!$A$7:$C$161,2,FALSE)*VLOOKUP(BU$1,'Attrition Modeling'!$L$15:$N$27,IF(BU$2-$F13&lt;=24,2,3),FALSE))*(1+Projection!CB$16)*(1+IF(BU145&gt;0,'Attrition Modeling'!$N$9,0))),0))</f>
        <v>1019.7811868923023</v>
      </c>
    </row>
    <row r="14" spans="1:73" ht="14.25" customHeight="1" x14ac:dyDescent="0.2">
      <c r="A14" s="800">
        <v>7</v>
      </c>
      <c r="B14" s="779" t="e">
        <f>'Attrition Modeling'!H11*(1-Summary!$C$20)</f>
        <v>#DIV/0!</v>
      </c>
      <c r="C14" s="780" t="e">
        <f t="shared" si="4"/>
        <v>#DIV/0!</v>
      </c>
      <c r="E14" s="11">
        <f t="shared" si="2"/>
        <v>11</v>
      </c>
      <c r="F14" s="11">
        <f t="shared" si="3"/>
        <v>11</v>
      </c>
      <c r="G14" s="799"/>
      <c r="H14" s="799">
        <f>IF(H$2=$F14+1,Monthly!D$21,IF(H$2&gt;$F14+1,('Traditional Attrition'!G14+H146)*(1-IF(H$2-$F14&lt;=12,SUMIFS('Attrition Modeling'!$D:$D,'Attrition Modeling'!$B:$B,'Traditional Attrition'!$E14,'Attrition Modeling'!$C:$C,'Traditional Attrition'!H$1),VLOOKUP('Traditional Attrition'!H$2-'Traditional Attrition'!$F14-1,'Traditional Attrition'!$A$7:$C$161,2,FALSE)*VLOOKUP(H$1,'Attrition Modeling'!$L$15:$N$27,IF(H$2-$F14&lt;=24,2,3),FALSE))*(1+Projection!J$16)*(1+IF(H146&gt;0,'Attrition Modeling'!$N$9,0))),0))</f>
        <v>0</v>
      </c>
      <c r="I14" s="799">
        <f>IF(I$2=$F14+1,Monthly!E$21,IF(I$2&gt;$F14+1,('Traditional Attrition'!H14+I146)*(1-IF(I$2-$F14&lt;=12,SUMIFS('Attrition Modeling'!$D:$D,'Attrition Modeling'!$B:$B,'Traditional Attrition'!$E14,'Attrition Modeling'!$C:$C,'Traditional Attrition'!I$1),VLOOKUP('Traditional Attrition'!I$2-'Traditional Attrition'!$F14-1,'Traditional Attrition'!$A$7:$C$161,2,FALSE)*VLOOKUP(I$1,'Attrition Modeling'!$L$15:$N$27,IF(I$2-$F14&lt;=24,2,3),FALSE))*(1+Projection!K$16)*(1+IF(I146&gt;0,'Attrition Modeling'!$N$9,0))),0))</f>
        <v>0</v>
      </c>
      <c r="J14" s="799">
        <f>IF(J$2=$F14+1,Monthly!F$21,IF(J$2&gt;$F14+1,('Traditional Attrition'!I14+J146)*(1-IF(J$2-$F14&lt;=12,SUMIFS('Attrition Modeling'!$D:$D,'Attrition Modeling'!$B:$B,'Traditional Attrition'!$E14,'Attrition Modeling'!$C:$C,'Traditional Attrition'!J$1),VLOOKUP('Traditional Attrition'!J$2-'Traditional Attrition'!$F14-1,'Traditional Attrition'!$A$7:$C$161,2,FALSE)*VLOOKUP(J$1,'Attrition Modeling'!$L$15:$N$27,IF(J$2-$F14&lt;=24,2,3),FALSE))*(1+Projection!L$16)*(1+IF(J146&gt;0,'Attrition Modeling'!$N$9,0))),0))</f>
        <v>0</v>
      </c>
      <c r="K14" s="799">
        <f>IF(K$2=$F14+1,Monthly!G$21,IF(K$2&gt;$F14+1,('Traditional Attrition'!J14+K146)*(1-IF(K$2-$F14&lt;=12,SUMIFS('Attrition Modeling'!$D:$D,'Attrition Modeling'!$B:$B,'Traditional Attrition'!$E14,'Attrition Modeling'!$C:$C,'Traditional Attrition'!K$1),VLOOKUP('Traditional Attrition'!K$2-'Traditional Attrition'!$F14-1,'Traditional Attrition'!$A$7:$C$161,2,FALSE)*VLOOKUP(K$1,'Attrition Modeling'!$L$15:$N$27,IF(K$2-$F14&lt;=24,2,3),FALSE))*(1+Projection!M$16)*(1+IF(K146&gt;0,'Attrition Modeling'!$N$9,0))),0))</f>
        <v>0</v>
      </c>
      <c r="L14" s="799">
        <f>IF(L$2=$F14+1,Monthly!H$21,IF(L$2&gt;$F14+1,('Traditional Attrition'!K14+L146)*(1-IF(L$2-$F14&lt;=12,SUMIFS('Attrition Modeling'!$D:$D,'Attrition Modeling'!$B:$B,'Traditional Attrition'!$E14,'Attrition Modeling'!$C:$C,'Traditional Attrition'!L$1),VLOOKUP('Traditional Attrition'!L$2-'Traditional Attrition'!$F14-1,'Traditional Attrition'!$A$7:$C$161,2,FALSE)*VLOOKUP(L$1,'Attrition Modeling'!$L$15:$N$27,IF(L$2-$F14&lt;=24,2,3),FALSE))*(1+Projection!N$16)*(1+IF(L146&gt;0,'Attrition Modeling'!$N$9,0))),0))</f>
        <v>0</v>
      </c>
      <c r="M14" s="799">
        <f>IF(M$2=$F14+1,Monthly!I$21,IF(M$2&gt;$F14+1,('Traditional Attrition'!L14+M146)*(1-IF(M$2-$F14&lt;=12,SUMIFS('Attrition Modeling'!$D:$D,'Attrition Modeling'!$B:$B,'Traditional Attrition'!$E14,'Attrition Modeling'!$C:$C,'Traditional Attrition'!M$1),VLOOKUP('Traditional Attrition'!M$2-'Traditional Attrition'!$F14-1,'Traditional Attrition'!$A$7:$C$161,2,FALSE)*VLOOKUP(M$1,'Attrition Modeling'!$L$15:$N$27,IF(M$2-$F14&lt;=24,2,3),FALSE))*(1+Projection!O$16)*(1+IF(M146&gt;0,'Attrition Modeling'!$N$9,0))),0))</f>
        <v>0</v>
      </c>
      <c r="N14" s="799">
        <f>IF(N$2=$F14+1,Monthly!J$21,IF(N$2&gt;$F14+1,('Traditional Attrition'!M14+N146)*(1-IF(N$2-$F14&lt;=12,SUMIFS('Attrition Modeling'!$D:$D,'Attrition Modeling'!$B:$B,'Traditional Attrition'!$E14,'Attrition Modeling'!$C:$C,'Traditional Attrition'!N$1),VLOOKUP('Traditional Attrition'!N$2-'Traditional Attrition'!$F14-1,'Traditional Attrition'!$A$7:$C$161,2,FALSE)*VLOOKUP(N$1,'Attrition Modeling'!$L$15:$N$27,IF(N$2-$F14&lt;=24,2,3),FALSE))*(1+Projection!P$16)*(1+IF(N146&gt;0,'Attrition Modeling'!$N$9,0))),0))</f>
        <v>0</v>
      </c>
      <c r="O14" s="799">
        <f>IF(O$2=$F14+1,Monthly!K$21,IF(O$2&gt;$F14+1,('Traditional Attrition'!N14+O146)*(1-IF(O$2-$F14&lt;=12,SUMIFS('Attrition Modeling'!$D:$D,'Attrition Modeling'!$B:$B,'Traditional Attrition'!$E14,'Attrition Modeling'!$C:$C,'Traditional Attrition'!O$1),VLOOKUP('Traditional Attrition'!O$2-'Traditional Attrition'!$F14-1,'Traditional Attrition'!$A$7:$C$161,2,FALSE)*VLOOKUP(O$1,'Attrition Modeling'!$L$15:$N$27,IF(O$2-$F14&lt;=24,2,3),FALSE))*(1+Projection!Q$16)*(1+IF(O146&gt;0,'Attrition Modeling'!$N$9,0))),0))</f>
        <v>0</v>
      </c>
      <c r="P14" s="799">
        <f>IF(P$2=$F14+1,Monthly!L$21,IF(P$2&gt;$F14+1,('Traditional Attrition'!O14+P146)*(1-IF(P$2-$F14&lt;=12,SUMIFS('Attrition Modeling'!$D:$D,'Attrition Modeling'!$B:$B,'Traditional Attrition'!$E14,'Attrition Modeling'!$C:$C,'Traditional Attrition'!P$1),VLOOKUP('Traditional Attrition'!P$2-'Traditional Attrition'!$F14-1,'Traditional Attrition'!$A$7:$C$161,2,FALSE)*VLOOKUP(P$1,'Attrition Modeling'!$L$15:$N$27,IF(P$2-$F14&lt;=24,2,3),FALSE))*(1+Projection!R$16)*(1+IF(P146&gt;0,'Attrition Modeling'!$N$9,0))),0))</f>
        <v>0</v>
      </c>
      <c r="Q14" s="799">
        <f>IF(Q$2=$F14+1,Monthly!M$21,IF(Q$2&gt;$F14+1,('Traditional Attrition'!P14+Q146)*(1-IF(Q$2-$F14&lt;=12,SUMIFS('Attrition Modeling'!$D:$D,'Attrition Modeling'!$B:$B,'Traditional Attrition'!$E14,'Attrition Modeling'!$C:$C,'Traditional Attrition'!Q$1),VLOOKUP('Traditional Attrition'!Q$2-'Traditional Attrition'!$F14-1,'Traditional Attrition'!$A$7:$C$161,2,FALSE)*VLOOKUP(Q$1,'Attrition Modeling'!$L$15:$N$27,IF(Q$2-$F14&lt;=24,2,3),FALSE))*(1+Projection!S$16)*(1+IF(Q146&gt;0,'Attrition Modeling'!$N$9,0))),0))</f>
        <v>0</v>
      </c>
      <c r="R14" s="799">
        <f>IF(R$2=$F14+1,Monthly!N$21,IF(R$2&gt;$F14+1,('Traditional Attrition'!Q14+R146)*(1-IF(R$2-$F14&lt;=12,SUMIFS('Attrition Modeling'!$D:$D,'Attrition Modeling'!$B:$B,'Traditional Attrition'!$E14,'Attrition Modeling'!$C:$C,'Traditional Attrition'!R$1),VLOOKUP('Traditional Attrition'!R$2-'Traditional Attrition'!$F14-1,'Traditional Attrition'!$A$7:$C$161,2,FALSE)*VLOOKUP(R$1,'Attrition Modeling'!$L$15:$N$27,IF(R$2-$F14&lt;=24,2,3),FALSE))*(1+Projection!T$16)*(1+IF(R146&gt;0,'Attrition Modeling'!$N$9,0))),0))</f>
        <v>0</v>
      </c>
      <c r="S14" s="799">
        <f>IF(S$2=$F14+1,Monthly!O$21,IF(S$2&gt;$F14+1,('Traditional Attrition'!R14+S146)*(1-IF(S$2-$F14&lt;=12,SUMIFS('Attrition Modeling'!$D:$D,'Attrition Modeling'!$B:$B,'Traditional Attrition'!$E14,'Attrition Modeling'!$C:$C,'Traditional Attrition'!S$1),VLOOKUP('Traditional Attrition'!S$2-'Traditional Attrition'!$F14-1,'Traditional Attrition'!$A$7:$C$161,2,FALSE)*VLOOKUP(S$1,'Attrition Modeling'!$L$15:$N$27,IF(S$2-$F14&lt;=24,2,3),FALSE))*(1+Projection!U$16)*(1+IF(S146&gt;0,'Attrition Modeling'!$N$9,0))),0))</f>
        <v>6960.0148996289026</v>
      </c>
      <c r="T14" s="799">
        <f>IF(T$2=$F14+1,Monthly!P$21,IF(T$2&gt;$F14+1,('Traditional Attrition'!S14+T146)*(1-IF(T$2-$F14&lt;=12,SUMIFS('Attrition Modeling'!$D:$D,'Attrition Modeling'!$B:$B,'Traditional Attrition'!$E14,'Attrition Modeling'!$C:$C,'Traditional Attrition'!T$1),VLOOKUP('Traditional Attrition'!T$2-'Traditional Attrition'!$F14-1,'Traditional Attrition'!$A$7:$C$161,2,FALSE)*VLOOKUP(T$1,'Attrition Modeling'!$L$15:$N$27,IF(T$2-$F14&lt;=24,2,3),FALSE))*(1+Projection!V$16)*(1+IF(T146&gt;0,'Attrition Modeling'!$N$9,0))),0))</f>
        <v>6328.0817388200767</v>
      </c>
      <c r="U14" s="799">
        <f>IF(U$2=$F14+1,Monthly!Q$21,IF(U$2&gt;$F14+1,('Traditional Attrition'!T14+U146)*(1-IF(U$2-$F14&lt;=12,SUMIFS('Attrition Modeling'!$D:$D,'Attrition Modeling'!$B:$B,'Traditional Attrition'!$E14,'Attrition Modeling'!$C:$C,'Traditional Attrition'!U$1),VLOOKUP('Traditional Attrition'!U$2-'Traditional Attrition'!$F14-1,'Traditional Attrition'!$A$7:$C$161,2,FALSE)*VLOOKUP(U$1,'Attrition Modeling'!$L$15:$N$27,IF(U$2-$F14&lt;=24,2,3),FALSE))*(1+Projection!W$16)*(1+IF(U146&gt;0,'Attrition Modeling'!$N$9,0))),0))</f>
        <v>5837.5365626864659</v>
      </c>
      <c r="V14" s="799">
        <f>IF(V$2=$F14+1,Monthly!R$21,IF(V$2&gt;$F14+1,('Traditional Attrition'!U14+V146)*(1-IF(V$2-$F14&lt;=12,SUMIFS('Attrition Modeling'!$D:$D,'Attrition Modeling'!$B:$B,'Traditional Attrition'!$E14,'Attrition Modeling'!$C:$C,'Traditional Attrition'!V$1),VLOOKUP('Traditional Attrition'!V$2-'Traditional Attrition'!$F14-1,'Traditional Attrition'!$A$7:$C$161,2,FALSE)*VLOOKUP(V$1,'Attrition Modeling'!$L$15:$N$27,IF(V$2-$F14&lt;=24,2,3),FALSE))*(1+Projection!X$16)*(1+IF(V146&gt;0,'Attrition Modeling'!$N$9,0))),0))</f>
        <v>5317.7060332923984</v>
      </c>
      <c r="W14" s="799">
        <f>IF(W$2=$F14+1,Monthly!S$21,IF(W$2&gt;$F14+1,('Traditional Attrition'!V14+W146)*(1-IF(W$2-$F14&lt;=12,SUMIFS('Attrition Modeling'!$D:$D,'Attrition Modeling'!$B:$B,'Traditional Attrition'!$E14,'Attrition Modeling'!$C:$C,'Traditional Attrition'!W$1),VLOOKUP('Traditional Attrition'!W$2-'Traditional Attrition'!$F14-1,'Traditional Attrition'!$A$7:$C$161,2,FALSE)*VLOOKUP(W$1,'Attrition Modeling'!$L$15:$N$27,IF(W$2-$F14&lt;=24,2,3),FALSE))*(1+Projection!Y$16)*(1+IF(W146&gt;0,'Attrition Modeling'!$N$9,0))),0))</f>
        <v>4899.1535923997199</v>
      </c>
      <c r="X14" s="799">
        <f>IF(X$2=$F14+1,Monthly!T$21,IF(X$2&gt;$F14+1,('Traditional Attrition'!W14+X146)*(1-IF(X$2-$F14&lt;=12,SUMIFS('Attrition Modeling'!$D:$D,'Attrition Modeling'!$B:$B,'Traditional Attrition'!$E14,'Attrition Modeling'!$C:$C,'Traditional Attrition'!X$1),VLOOKUP('Traditional Attrition'!X$2-'Traditional Attrition'!$F14-1,'Traditional Attrition'!$A$7:$C$161,2,FALSE)*VLOOKUP(X$1,'Attrition Modeling'!$L$15:$N$27,IF(X$2-$F14&lt;=24,2,3),FALSE))*(1+Projection!Z$16)*(1+IF(X146&gt;0,'Attrition Modeling'!$N$9,0))),0))</f>
        <v>4831.4588766821271</v>
      </c>
      <c r="Y14" s="799">
        <f>IF(Y$2=$F14+1,Monthly!U$21,IF(Y$2&gt;$F14+1,('Traditional Attrition'!X14+Y146)*(1-IF(Y$2-$F14&lt;=12,SUMIFS('Attrition Modeling'!$D:$D,'Attrition Modeling'!$B:$B,'Traditional Attrition'!$E14,'Attrition Modeling'!$C:$C,'Traditional Attrition'!Y$1),VLOOKUP('Traditional Attrition'!Y$2-'Traditional Attrition'!$F14-1,'Traditional Attrition'!$A$7:$C$161,2,FALSE)*VLOOKUP(Y$1,'Attrition Modeling'!$L$15:$N$27,IF(Y$2-$F14&lt;=24,2,3),FALSE))*(1+Projection!AA$16)*(1+IF(Y146&gt;0,'Attrition Modeling'!$N$9,0))),0))</f>
        <v>4489.1214613472375</v>
      </c>
      <c r="Z14" s="799">
        <f>IF(Z$2=$F14+1,Monthly!V$21,IF(Z$2&gt;$F14+1,('Traditional Attrition'!Y14+Z146)*(1-IF(Z$2-$F14&lt;=12,SUMIFS('Attrition Modeling'!$D:$D,'Attrition Modeling'!$B:$B,'Traditional Attrition'!$E14,'Attrition Modeling'!$C:$C,'Traditional Attrition'!Z$1),VLOOKUP('Traditional Attrition'!Z$2-'Traditional Attrition'!$F14-1,'Traditional Attrition'!$A$7:$C$161,2,FALSE)*VLOOKUP(Z$1,'Attrition Modeling'!$L$15:$N$27,IF(Z$2-$F14&lt;=24,2,3),FALSE))*(1+Projection!AB$16)*(1+IF(Z146&gt;0,'Attrition Modeling'!$N$9,0))),0))</f>
        <v>4180.0687472738646</v>
      </c>
      <c r="AA14" s="799">
        <f>IF(AA$2=$F14+1,Monthly!W$21,IF(AA$2&gt;$F14+1,('Traditional Attrition'!Z14+AA146)*(1-IF(AA$2-$F14&lt;=12,SUMIFS('Attrition Modeling'!$D:$D,'Attrition Modeling'!$B:$B,'Traditional Attrition'!$E14,'Attrition Modeling'!$C:$C,'Traditional Attrition'!AA$1),VLOOKUP('Traditional Attrition'!AA$2-'Traditional Attrition'!$F14-1,'Traditional Attrition'!$A$7:$C$161,2,FALSE)*VLOOKUP(AA$1,'Attrition Modeling'!$L$15:$N$27,IF(AA$2-$F14&lt;=24,2,3),FALSE))*(1+Projection!AC$16)*(1+IF(AA146&gt;0,'Attrition Modeling'!$N$9,0))),0))</f>
        <v>3895.6246413793092</v>
      </c>
      <c r="AB14" s="799">
        <f>IF(AB$2=$F14+1,Monthly!X$21,IF(AB$2&gt;$F14+1,('Traditional Attrition'!AA14+AB146)*(1-IF(AB$2-$F14&lt;=12,SUMIFS('Attrition Modeling'!$D:$D,'Attrition Modeling'!$B:$B,'Traditional Attrition'!$E14,'Attrition Modeling'!$C:$C,'Traditional Attrition'!AB$1),VLOOKUP('Traditional Attrition'!AB$2-'Traditional Attrition'!$F14-1,'Traditional Attrition'!$A$7:$C$161,2,FALSE)*VLOOKUP(AB$1,'Attrition Modeling'!$L$15:$N$27,IF(AB$2-$F14&lt;=24,2,3),FALSE))*(1+Projection!AD$16)*(1+IF(AB146&gt;0,'Attrition Modeling'!$N$9,0))),0))</f>
        <v>3675.9195924172632</v>
      </c>
      <c r="AC14" s="799">
        <f>IF(AC$2=$F14+1,Monthly!Y$21,IF(AC$2&gt;$F14+1,('Traditional Attrition'!AB14+AC146)*(1-IF(AC$2-$F14&lt;=12,SUMIFS('Attrition Modeling'!$D:$D,'Attrition Modeling'!$B:$B,'Traditional Attrition'!$E14,'Attrition Modeling'!$C:$C,'Traditional Attrition'!AC$1),VLOOKUP('Traditional Attrition'!AC$2-'Traditional Attrition'!$F14-1,'Traditional Attrition'!$A$7:$C$161,2,FALSE)*VLOOKUP(AC$1,'Attrition Modeling'!$L$15:$N$27,IF(AC$2-$F14&lt;=24,2,3),FALSE))*(1+Projection!AE$16)*(1+IF(AC146&gt;0,'Attrition Modeling'!$N$9,0))),0))</f>
        <v>3466.2453961801539</v>
      </c>
      <c r="AD14" s="799">
        <f>IF(AD$2=$F14+1,Monthly!Z$21,IF(AD$2&gt;$F14+1,('Traditional Attrition'!AC14+AD146)*(1-IF(AD$2-$F14&lt;=12,SUMIFS('Attrition Modeling'!$D:$D,'Attrition Modeling'!$B:$B,'Traditional Attrition'!$E14,'Attrition Modeling'!$C:$C,'Traditional Attrition'!AD$1),VLOOKUP('Traditional Attrition'!AD$2-'Traditional Attrition'!$F14-1,'Traditional Attrition'!$A$7:$C$161,2,FALSE)*VLOOKUP(AD$1,'Attrition Modeling'!$L$15:$N$27,IF(AD$2-$F14&lt;=24,2,3),FALSE))*(1+Projection!AF$16)*(1+IF(AD146&gt;0,'Attrition Modeling'!$N$9,0))),0))</f>
        <v>3373.0934134158465</v>
      </c>
      <c r="AE14" s="799">
        <f>IF(AE$2=$F14+1,Monthly!AA$21,IF(AE$2&gt;$F14+1,('Traditional Attrition'!AD14+AE146)*(1-IF(AE$2-$F14&lt;=12,SUMIFS('Attrition Modeling'!$D:$D,'Attrition Modeling'!$B:$B,'Traditional Attrition'!$E14,'Attrition Modeling'!$C:$C,'Traditional Attrition'!AE$1),VLOOKUP('Traditional Attrition'!AE$2-'Traditional Attrition'!$F14-1,'Traditional Attrition'!$A$7:$C$161,2,FALSE)*VLOOKUP(AE$1,'Attrition Modeling'!$L$15:$N$27,IF(AE$2-$F14&lt;=24,2,3),FALSE))*(1+Projection!AG$16)*(1+IF(AE146&gt;0,'Attrition Modeling'!$N$9,0))),0))</f>
        <v>3191.6635744671298</v>
      </c>
      <c r="AF14" s="799">
        <f>IF(AF$2=$F14+1,Monthly!AB$21,IF(AF$2&gt;$F14+1,('Traditional Attrition'!AE14+AF146)*(1-IF(AF$2-$F14&lt;=12,SUMIFS('Attrition Modeling'!$D:$D,'Attrition Modeling'!$B:$B,'Traditional Attrition'!$E14,'Attrition Modeling'!$C:$C,'Traditional Attrition'!AF$1),VLOOKUP('Traditional Attrition'!AF$2-'Traditional Attrition'!$F14-1,'Traditional Attrition'!$A$7:$C$161,2,FALSE)*VLOOKUP(AF$1,'Attrition Modeling'!$L$15:$N$27,IF(AF$2-$F14&lt;=24,2,3),FALSE))*(1+Projection!AH$16)*(1+IF(AF146&gt;0,'Attrition Modeling'!$N$9,0))),0))</f>
        <v>3033.1093311030763</v>
      </c>
      <c r="AG14" s="799">
        <f>IF(AG$2=$F14+1,Monthly!AC$21,IF(AG$2&gt;$F14+1,('Traditional Attrition'!AF14+AG146)*(1-IF(AG$2-$F14&lt;=12,SUMIFS('Attrition Modeling'!$D:$D,'Attrition Modeling'!$B:$B,'Traditional Attrition'!$E14,'Attrition Modeling'!$C:$C,'Traditional Attrition'!AG$1),VLOOKUP('Traditional Attrition'!AG$2-'Traditional Attrition'!$F14-1,'Traditional Attrition'!$A$7:$C$161,2,FALSE)*VLOOKUP(AG$1,'Attrition Modeling'!$L$15:$N$27,IF(AG$2-$F14&lt;=24,2,3),FALSE))*(1+Projection!AI$16)*(1+IF(AG146&gt;0,'Attrition Modeling'!$N$9,0))),0))</f>
        <v>2903.8378200474303</v>
      </c>
      <c r="AH14" s="799">
        <f>IF(AH$2=$F14+1,Monthly!AD$21,IF(AH$2&gt;$F14+1,('Traditional Attrition'!AG14+AH146)*(1-IF(AH$2-$F14&lt;=12,SUMIFS('Attrition Modeling'!$D:$D,'Attrition Modeling'!$B:$B,'Traditional Attrition'!$E14,'Attrition Modeling'!$C:$C,'Traditional Attrition'!AH$1),VLOOKUP('Traditional Attrition'!AH$2-'Traditional Attrition'!$F14-1,'Traditional Attrition'!$A$7:$C$161,2,FALSE)*VLOOKUP(AH$1,'Attrition Modeling'!$L$15:$N$27,IF(AH$2-$F14&lt;=24,2,3),FALSE))*(1+Projection!AJ$16)*(1+IF(AH146&gt;0,'Attrition Modeling'!$N$9,0))),0))</f>
        <v>2774.0367788643612</v>
      </c>
      <c r="AI14" s="799">
        <f>IF(AI$2=$F14+1,Monthly!AE$21,IF(AI$2&gt;$F14+1,('Traditional Attrition'!AH14+AI146)*(1-IF(AI$2-$F14&lt;=12,SUMIFS('Attrition Modeling'!$D:$D,'Attrition Modeling'!$B:$B,'Traditional Attrition'!$E14,'Attrition Modeling'!$C:$C,'Traditional Attrition'!AI$1),VLOOKUP('Traditional Attrition'!AI$2-'Traditional Attrition'!$F14-1,'Traditional Attrition'!$A$7:$C$161,2,FALSE)*VLOOKUP(AI$1,'Attrition Modeling'!$L$15:$N$27,IF(AI$2-$F14&lt;=24,2,3),FALSE))*(1+Projection!AK$16)*(1+IF(AI146&gt;0,'Attrition Modeling'!$N$9,0))),0))</f>
        <v>2655.7032257445462</v>
      </c>
      <c r="AJ14" s="799">
        <f>IF(AJ$2=$F14+1,Monthly!AF$21,IF(AJ$2&gt;$F14+1,('Traditional Attrition'!AI14+AJ146)*(1-IF(AJ$2-$F14&lt;=12,SUMIFS('Attrition Modeling'!$D:$D,'Attrition Modeling'!$B:$B,'Traditional Attrition'!$E14,'Attrition Modeling'!$C:$C,'Traditional Attrition'!AJ$1),VLOOKUP('Traditional Attrition'!AJ$2-'Traditional Attrition'!$F14-1,'Traditional Attrition'!$A$7:$C$161,2,FALSE)*VLOOKUP(AJ$1,'Attrition Modeling'!$L$15:$N$27,IF(AJ$2-$F14&lt;=24,2,3),FALSE))*(1+Projection!AL$16)*(1+IF(AJ146&gt;0,'Attrition Modeling'!$N$9,0))),0))</f>
        <v>2766.3836846614786</v>
      </c>
      <c r="AK14" s="799">
        <f>IF(AK$2=$F14+1,Monthly!AG$21,IF(AK$2&gt;$F14+1,('Traditional Attrition'!AJ14+AK146)*(1-IF(AK$2-$F14&lt;=12,SUMIFS('Attrition Modeling'!$D:$D,'Attrition Modeling'!$B:$B,'Traditional Attrition'!$E14,'Attrition Modeling'!$C:$C,'Traditional Attrition'!AK$1),VLOOKUP('Traditional Attrition'!AK$2-'Traditional Attrition'!$F14-1,'Traditional Attrition'!$A$7:$C$161,2,FALSE)*VLOOKUP(AK$1,'Attrition Modeling'!$L$15:$N$27,IF(AK$2-$F14&lt;=24,2,3),FALSE))*(1+Projection!AM$16)*(1+IF(AK146&gt;0,'Attrition Modeling'!$N$9,0))),0))</f>
        <v>2643.6291470165711</v>
      </c>
      <c r="AL14" s="799">
        <f>IF(AL$2=$F14+1,Monthly!AH$21,IF(AL$2&gt;$F14+1,('Traditional Attrition'!AK14+AL146)*(1-IF(AL$2-$F14&lt;=12,SUMIFS('Attrition Modeling'!$D:$D,'Attrition Modeling'!$B:$B,'Traditional Attrition'!$E14,'Attrition Modeling'!$C:$C,'Traditional Attrition'!AL$1),VLOOKUP('Traditional Attrition'!AL$2-'Traditional Attrition'!$F14-1,'Traditional Attrition'!$A$7:$C$161,2,FALSE)*VLOOKUP(AL$1,'Attrition Modeling'!$L$15:$N$27,IF(AL$2-$F14&lt;=24,2,3),FALSE))*(1+Projection!AN$16)*(1+IF(AL146&gt;0,'Attrition Modeling'!$N$9,0))),0))</f>
        <v>2525.8265169950337</v>
      </c>
      <c r="AM14" s="799">
        <f>IF(AM$2=$F14+1,Monthly!AI$21,IF(AM$2&gt;$F14+1,('Traditional Attrition'!AL14+AM146)*(1-IF(AM$2-$F14&lt;=12,SUMIFS('Attrition Modeling'!$D:$D,'Attrition Modeling'!$B:$B,'Traditional Attrition'!$E14,'Attrition Modeling'!$C:$C,'Traditional Attrition'!AM$1),VLOOKUP('Traditional Attrition'!AM$2-'Traditional Attrition'!$F14-1,'Traditional Attrition'!$A$7:$C$161,2,FALSE)*VLOOKUP(AM$1,'Attrition Modeling'!$L$15:$N$27,IF(AM$2-$F14&lt;=24,2,3),FALSE))*(1+Projection!AO$16)*(1+IF(AM146&gt;0,'Attrition Modeling'!$N$9,0))),0))</f>
        <v>2410.3032132221556</v>
      </c>
      <c r="AN14" s="799">
        <f>IF(AN$2=$F14+1,Monthly!AJ$21,IF(AN$2&gt;$F14+1,('Traditional Attrition'!AM14+AN146)*(1-IF(AN$2-$F14&lt;=12,SUMIFS('Attrition Modeling'!$D:$D,'Attrition Modeling'!$B:$B,'Traditional Attrition'!$E14,'Attrition Modeling'!$C:$C,'Traditional Attrition'!AN$1),VLOOKUP('Traditional Attrition'!AN$2-'Traditional Attrition'!$F14-1,'Traditional Attrition'!$A$7:$C$161,2,FALSE)*VLOOKUP(AN$1,'Attrition Modeling'!$L$15:$N$27,IF(AN$2-$F14&lt;=24,2,3),FALSE))*(1+Projection!AP$16)*(1+IF(AN146&gt;0,'Attrition Modeling'!$N$9,0))),0))</f>
        <v>2311.3419135309277</v>
      </c>
      <c r="AO14" s="799">
        <f>IF(AO$2=$F14+1,Monthly!AK$21,IF(AO$2&gt;$F14+1,('Traditional Attrition'!AN14+AO146)*(1-IF(AO$2-$F14&lt;=12,SUMIFS('Attrition Modeling'!$D:$D,'Attrition Modeling'!$B:$B,'Traditional Attrition'!$E14,'Attrition Modeling'!$C:$C,'Traditional Attrition'!AO$1),VLOOKUP('Traditional Attrition'!AO$2-'Traditional Attrition'!$F14-1,'Traditional Attrition'!$A$7:$C$161,2,FALSE)*VLOOKUP(AO$1,'Attrition Modeling'!$L$15:$N$27,IF(AO$2-$F14&lt;=24,2,3),FALSE))*(1+Projection!AQ$16)*(1+IF(AO146&gt;0,'Attrition Modeling'!$N$9,0))),0))</f>
        <v>2215.6352670159404</v>
      </c>
      <c r="AP14" s="799">
        <f>IF(AP$2=$F14+1,Monthly!AL$21,IF(AP$2&gt;$F14+1,('Traditional Attrition'!AO14+AP146)*(1-IF(AP$2-$F14&lt;=12,SUMIFS('Attrition Modeling'!$D:$D,'Attrition Modeling'!$B:$B,'Traditional Attrition'!$E14,'Attrition Modeling'!$C:$C,'Traditional Attrition'!AP$1),VLOOKUP('Traditional Attrition'!AP$2-'Traditional Attrition'!$F14-1,'Traditional Attrition'!$A$7:$C$161,2,FALSE)*VLOOKUP(AP$1,'Attrition Modeling'!$L$15:$N$27,IF(AP$2-$F14&lt;=24,2,3),FALSE))*(1+Projection!AR$16)*(1+IF(AP146&gt;0,'Attrition Modeling'!$N$9,0))),0))</f>
        <v>2128.5464466155895</v>
      </c>
      <c r="AQ14" s="799">
        <f>IF(AQ$2=$F14+1,Monthly!AM$21,IF(AQ$2&gt;$F14+1,('Traditional Attrition'!AP14+AQ146)*(1-IF(AQ$2-$F14&lt;=12,SUMIFS('Attrition Modeling'!$D:$D,'Attrition Modeling'!$B:$B,'Traditional Attrition'!$E14,'Attrition Modeling'!$C:$C,'Traditional Attrition'!AQ$1),VLOOKUP('Traditional Attrition'!AQ$2-'Traditional Attrition'!$F14-1,'Traditional Attrition'!$A$7:$C$161,2,FALSE)*VLOOKUP(AQ$1,'Attrition Modeling'!$L$15:$N$27,IF(AQ$2-$F14&lt;=24,2,3),FALSE))*(1+Projection!AS$16)*(1+IF(AQ146&gt;0,'Attrition Modeling'!$N$9,0))),0))</f>
        <v>2059.7801260170304</v>
      </c>
      <c r="AR14" s="799">
        <f>IF(AR$2=$F14+1,Monthly!AN$21,IF(AR$2&gt;$F14+1,('Traditional Attrition'!AQ14+AR146)*(1-IF(AR$2-$F14&lt;=12,SUMIFS('Attrition Modeling'!$D:$D,'Attrition Modeling'!$B:$B,'Traditional Attrition'!$E14,'Attrition Modeling'!$C:$C,'Traditional Attrition'!AR$1),VLOOKUP('Traditional Attrition'!AR$2-'Traditional Attrition'!$F14-1,'Traditional Attrition'!$A$7:$C$161,2,FALSE)*VLOOKUP(AR$1,'Attrition Modeling'!$L$15:$N$27,IF(AR$2-$F14&lt;=24,2,3),FALSE))*(1+Projection!AT$16)*(1+IF(AR146&gt;0,'Attrition Modeling'!$N$9,0))),0))</f>
        <v>1987.1343410584832</v>
      </c>
      <c r="AS14" s="799">
        <f>IF(AS$2=$F14+1,Monthly!AO$21,IF(AS$2&gt;$F14+1,('Traditional Attrition'!AR14+AS146)*(1-IF(AS$2-$F14&lt;=12,SUMIFS('Attrition Modeling'!$D:$D,'Attrition Modeling'!$B:$B,'Traditional Attrition'!$E14,'Attrition Modeling'!$C:$C,'Traditional Attrition'!AS$1),VLOOKUP('Traditional Attrition'!AS$2-'Traditional Attrition'!$F14-1,'Traditional Attrition'!$A$7:$C$161,2,FALSE)*VLOOKUP(AS$1,'Attrition Modeling'!$L$15:$N$27,IF(AS$2-$F14&lt;=24,2,3),FALSE))*(1+Projection!AU$16)*(1+IF(AS146&gt;0,'Attrition Modeling'!$N$9,0))),0))</f>
        <v>1920.168716718631</v>
      </c>
      <c r="AT14" s="799">
        <f>IF(AT$2=$F14+1,Monthly!AP$21,IF(AT$2&gt;$F14+1,('Traditional Attrition'!AS14+AT146)*(1-IF(AT$2-$F14&lt;=12,SUMIFS('Attrition Modeling'!$D:$D,'Attrition Modeling'!$B:$B,'Traditional Attrition'!$E14,'Attrition Modeling'!$C:$C,'Traditional Attrition'!AT$1),VLOOKUP('Traditional Attrition'!AT$2-'Traditional Attrition'!$F14-1,'Traditional Attrition'!$A$7:$C$161,2,FALSE)*VLOOKUP(AT$1,'Attrition Modeling'!$L$15:$N$27,IF(AT$2-$F14&lt;=24,2,3),FALSE))*(1+Projection!AV$16)*(1+IF(AT146&gt;0,'Attrition Modeling'!$N$9,0))),0))</f>
        <v>1858.9970987101542</v>
      </c>
      <c r="AU14" s="799">
        <f>IF(AU$2=$F14+1,Monthly!AQ$21,IF(AU$2&gt;$F14+1,('Traditional Attrition'!AT14+AU146)*(1-IF(AU$2-$F14&lt;=12,SUMIFS('Attrition Modeling'!$D:$D,'Attrition Modeling'!$B:$B,'Traditional Attrition'!$E14,'Attrition Modeling'!$C:$C,'Traditional Attrition'!AU$1),VLOOKUP('Traditional Attrition'!AU$2-'Traditional Attrition'!$F14-1,'Traditional Attrition'!$A$7:$C$161,2,FALSE)*VLOOKUP(AU$1,'Attrition Modeling'!$L$15:$N$27,IF(AU$2-$F14&lt;=24,2,3),FALSE))*(1+Projection!AW$16)*(1+IF(AU146&gt;0,'Attrition Modeling'!$N$9,0))),0))</f>
        <v>1812.5044641633283</v>
      </c>
      <c r="AV14" s="799">
        <f>IF(AV$2=$F14+1,Monthly!AR$21,IF(AV$2&gt;$F14+1,('Traditional Attrition'!AU14+AV146)*(1-IF(AV$2-$F14&lt;=12,SUMIFS('Attrition Modeling'!$D:$D,'Attrition Modeling'!$B:$B,'Traditional Attrition'!$E14,'Attrition Modeling'!$C:$C,'Traditional Attrition'!AV$1),VLOOKUP('Traditional Attrition'!AV$2-'Traditional Attrition'!$F14-1,'Traditional Attrition'!$A$7:$C$161,2,FALSE)*VLOOKUP(AV$1,'Attrition Modeling'!$L$15:$N$27,IF(AV$2-$F14&lt;=24,2,3),FALSE))*(1+Projection!AX$16)*(1+IF(AV146&gt;0,'Attrition Modeling'!$N$9,0))),0))</f>
        <v>1915.4328509632251</v>
      </c>
      <c r="AW14" s="799">
        <f>IF(AW$2=$F14+1,Monthly!AS$21,IF(AW$2&gt;$F14+1,('Traditional Attrition'!AV14+AW146)*(1-IF(AW$2-$F14&lt;=12,SUMIFS('Attrition Modeling'!$D:$D,'Attrition Modeling'!$B:$B,'Traditional Attrition'!$E14,'Attrition Modeling'!$C:$C,'Traditional Attrition'!AW$1),VLOOKUP('Traditional Attrition'!AW$2-'Traditional Attrition'!$F14-1,'Traditional Attrition'!$A$7:$C$161,2,FALSE)*VLOOKUP(AW$1,'Attrition Modeling'!$L$15:$N$27,IF(AW$2-$F14&lt;=24,2,3),FALSE))*(1+Projection!AY$16)*(1+IF(AW146&gt;0,'Attrition Modeling'!$N$9,0))),0))</f>
        <v>1851.0541681329062</v>
      </c>
      <c r="AX14" s="799">
        <f>IF(AX$2=$F14+1,Monthly!AT$21,IF(AX$2&gt;$F14+1,('Traditional Attrition'!AW14+AX146)*(1-IF(AX$2-$F14&lt;=12,SUMIFS('Attrition Modeling'!$D:$D,'Attrition Modeling'!$B:$B,'Traditional Attrition'!$E14,'Attrition Modeling'!$C:$C,'Traditional Attrition'!AX$1),VLOOKUP('Traditional Attrition'!AX$2-'Traditional Attrition'!$F14-1,'Traditional Attrition'!$A$7:$C$161,2,FALSE)*VLOOKUP(AX$1,'Attrition Modeling'!$L$15:$N$27,IF(AX$2-$F14&lt;=24,2,3),FALSE))*(1+Projection!AZ$16)*(1+IF(AX146&gt;0,'Attrition Modeling'!$N$9,0))),0))</f>
        <v>1784.0806697239536</v>
      </c>
      <c r="AY14" s="799">
        <f>IF(AY$2=$F14+1,Monthly!AU$21,IF(AY$2&gt;$F14+1,('Traditional Attrition'!AX14+AY146)*(1-IF(AY$2-$F14&lt;=12,SUMIFS('Attrition Modeling'!$D:$D,'Attrition Modeling'!$B:$B,'Traditional Attrition'!$E14,'Attrition Modeling'!$C:$C,'Traditional Attrition'!AY$1),VLOOKUP('Traditional Attrition'!AY$2-'Traditional Attrition'!$F14-1,'Traditional Attrition'!$A$7:$C$161,2,FALSE)*VLOOKUP(AY$1,'Attrition Modeling'!$L$15:$N$27,IF(AY$2-$F14&lt;=24,2,3),FALSE))*(1+Projection!BA$16)*(1+IF(AY146&gt;0,'Attrition Modeling'!$N$9,0))),0))</f>
        <v>1715.5742671106937</v>
      </c>
      <c r="AZ14" s="799">
        <f>IF(AZ$2=$F14+1,Monthly!AV$21,IF(AZ$2&gt;$F14+1,('Traditional Attrition'!AY14+AZ146)*(1-IF(AZ$2-$F14&lt;=12,SUMIFS('Attrition Modeling'!$D:$D,'Attrition Modeling'!$B:$B,'Traditional Attrition'!$E14,'Attrition Modeling'!$C:$C,'Traditional Attrition'!AZ$1),VLOOKUP('Traditional Attrition'!AZ$2-'Traditional Attrition'!$F14-1,'Traditional Attrition'!$A$7:$C$161,2,FALSE)*VLOOKUP(AZ$1,'Attrition Modeling'!$L$15:$N$27,IF(AZ$2-$F14&lt;=24,2,3),FALSE))*(1+Projection!BB$16)*(1+IF(AZ146&gt;0,'Attrition Modeling'!$N$9,0))),0))</f>
        <v>1654.4196363281565</v>
      </c>
      <c r="BA14" s="799">
        <f>IF(BA$2=$F14+1,Monthly!AW$21,IF(BA$2&gt;$F14+1,('Traditional Attrition'!AZ14+BA146)*(1-IF(BA$2-$F14&lt;=12,SUMIFS('Attrition Modeling'!$D:$D,'Attrition Modeling'!$B:$B,'Traditional Attrition'!$E14,'Attrition Modeling'!$C:$C,'Traditional Attrition'!BA$1),VLOOKUP('Traditional Attrition'!BA$2-'Traditional Attrition'!$F14-1,'Traditional Attrition'!$A$7:$C$161,2,FALSE)*VLOOKUP(BA$1,'Attrition Modeling'!$L$15:$N$27,IF(BA$2-$F14&lt;=24,2,3),FALSE))*(1+Projection!BC$16)*(1+IF(BA146&gt;0,'Attrition Modeling'!$N$9,0))),0))</f>
        <v>1598.1158457910672</v>
      </c>
      <c r="BB14" s="799">
        <f>IF(BB$2=$F14+1,Monthly!AX$21,IF(BB$2&gt;$F14+1,('Traditional Attrition'!BA14+BB146)*(1-IF(BB$2-$F14&lt;=12,SUMIFS('Attrition Modeling'!$D:$D,'Attrition Modeling'!$B:$B,'Traditional Attrition'!$E14,'Attrition Modeling'!$C:$C,'Traditional Attrition'!BB$1),VLOOKUP('Traditional Attrition'!BB$2-'Traditional Attrition'!$F14-1,'Traditional Attrition'!$A$7:$C$161,2,FALSE)*VLOOKUP(BB$1,'Attrition Modeling'!$L$15:$N$27,IF(BB$2-$F14&lt;=24,2,3),FALSE))*(1+Projection!BD$16)*(1+IF(BB146&gt;0,'Attrition Modeling'!$N$9,0))),0))</f>
        <v>1545.5442041229301</v>
      </c>
      <c r="BC14" s="799">
        <f>IF(BC$2=$F14+1,Monthly!AY$21,IF(BC$2&gt;$F14+1,('Traditional Attrition'!BB14+BC146)*(1-IF(BC$2-$F14&lt;=12,SUMIFS('Attrition Modeling'!$D:$D,'Attrition Modeling'!$B:$B,'Traditional Attrition'!$E14,'Attrition Modeling'!$C:$C,'Traditional Attrition'!BC$1),VLOOKUP('Traditional Attrition'!BC$2-'Traditional Attrition'!$F14-1,'Traditional Attrition'!$A$7:$C$161,2,FALSE)*VLOOKUP(BC$1,'Attrition Modeling'!$L$15:$N$27,IF(BC$2-$F14&lt;=24,2,3),FALSE))*(1+Projection!BE$16)*(1+IF(BC146&gt;0,'Attrition Modeling'!$N$9,0))),0))</f>
        <v>1504.1005734078597</v>
      </c>
      <c r="BD14" s="799">
        <f>IF(BD$2=$F14+1,Monthly!AZ$21,IF(BD$2&gt;$F14+1,('Traditional Attrition'!BC14+BD146)*(1-IF(BD$2-$F14&lt;=12,SUMIFS('Attrition Modeling'!$D:$D,'Attrition Modeling'!$B:$B,'Traditional Attrition'!$E14,'Attrition Modeling'!$C:$C,'Traditional Attrition'!BD$1),VLOOKUP('Traditional Attrition'!BD$2-'Traditional Attrition'!$F14-1,'Traditional Attrition'!$A$7:$C$161,2,FALSE)*VLOOKUP(BD$1,'Attrition Modeling'!$L$15:$N$27,IF(BD$2-$F14&lt;=24,2,3),FALSE))*(1+Projection!BF$16)*(1+IF(BD146&gt;0,'Attrition Modeling'!$N$9,0))),0))</f>
        <v>1459.9237170813904</v>
      </c>
      <c r="BE14" s="799">
        <f>IF(BE$2=$F14+1,Monthly!BA$21,IF(BE$2&gt;$F14+1,('Traditional Attrition'!BD14+BE146)*(1-IF(BE$2-$F14&lt;=12,SUMIFS('Attrition Modeling'!$D:$D,'Attrition Modeling'!$B:$B,'Traditional Attrition'!$E14,'Attrition Modeling'!$C:$C,'Traditional Attrition'!BE$1),VLOOKUP('Traditional Attrition'!BE$2-'Traditional Attrition'!$F14-1,'Traditional Attrition'!$A$7:$C$161,2,FALSE)*VLOOKUP(BE$1,'Attrition Modeling'!$L$15:$N$27,IF(BE$2-$F14&lt;=24,2,3),FALSE))*(1+Projection!BG$16)*(1+IF(BE146&gt;0,'Attrition Modeling'!$N$9,0))),0))</f>
        <v>1418.8241642498058</v>
      </c>
      <c r="BF14" s="799">
        <f>IF(BF$2=$F14+1,Monthly!BB$21,IF(BF$2&gt;$F14+1,('Traditional Attrition'!BE14+BF146)*(1-IF(BF$2-$F14&lt;=12,SUMIFS('Attrition Modeling'!$D:$D,'Attrition Modeling'!$B:$B,'Traditional Attrition'!$E14,'Attrition Modeling'!$C:$C,'Traditional Attrition'!BF$1),VLOOKUP('Traditional Attrition'!BF$2-'Traditional Attrition'!$F14-1,'Traditional Attrition'!$A$7:$C$161,2,FALSE)*VLOOKUP(BF$1,'Attrition Modeling'!$L$15:$N$27,IF(BF$2-$F14&lt;=24,2,3),FALSE))*(1+Projection!BH$16)*(1+IF(BF146&gt;0,'Attrition Modeling'!$N$9,0))),0))</f>
        <v>1380.9544122074367</v>
      </c>
      <c r="BG14" s="799">
        <f>IF(BG$2=$F14+1,Monthly!BC$21,IF(BG$2&gt;$F14+1,('Traditional Attrition'!BF14+BG146)*(1-IF(BG$2-$F14&lt;=12,SUMIFS('Attrition Modeling'!$D:$D,'Attrition Modeling'!$B:$B,'Traditional Attrition'!$E14,'Attrition Modeling'!$C:$C,'Traditional Attrition'!BG$1),VLOOKUP('Traditional Attrition'!BG$2-'Traditional Attrition'!$F14-1,'Traditional Attrition'!$A$7:$C$161,2,FALSE)*VLOOKUP(BG$1,'Attrition Modeling'!$L$15:$N$27,IF(BG$2-$F14&lt;=24,2,3),FALSE))*(1+Projection!BI$16)*(1+IF(BG146&gt;0,'Attrition Modeling'!$N$9,0))),0))</f>
        <v>1351.9386879372482</v>
      </c>
      <c r="BH14" s="799">
        <f>IF(BH$2=$F14+1,Monthly!BD$21,IF(BH$2&gt;$F14+1,('Traditional Attrition'!BG14+BH146)*(1-IF(BH$2-$F14&lt;=12,SUMIFS('Attrition Modeling'!$D:$D,'Attrition Modeling'!$B:$B,'Traditional Attrition'!$E14,'Attrition Modeling'!$C:$C,'Traditional Attrition'!BH$1),VLOOKUP('Traditional Attrition'!BH$2-'Traditional Attrition'!$F14-1,'Traditional Attrition'!$A$7:$C$161,2,FALSE)*VLOOKUP(BH$1,'Attrition Modeling'!$L$15:$N$27,IF(BH$2-$F14&lt;=24,2,3),FALSE))*(1+Projection!BJ$16)*(1+IF(BH146&gt;0,'Attrition Modeling'!$N$9,0))),0))</f>
        <v>1437.0717498269955</v>
      </c>
      <c r="BI14" s="799">
        <f>IF(BI$2=$F14+1,Monthly!BE$21,IF(BI$2&gt;$F14+1,('Traditional Attrition'!BH14+BI146)*(1-IF(BI$2-$F14&lt;=12,SUMIFS('Attrition Modeling'!$D:$D,'Attrition Modeling'!$B:$B,'Traditional Attrition'!$E14,'Attrition Modeling'!$C:$C,'Traditional Attrition'!BI$1),VLOOKUP('Traditional Attrition'!BI$2-'Traditional Attrition'!$F14-1,'Traditional Attrition'!$A$7:$C$161,2,FALSE)*VLOOKUP(BI$1,'Attrition Modeling'!$L$15:$N$27,IF(BI$2-$F14&lt;=24,2,3),FALSE))*(1+Projection!BK$16)*(1+IF(BI146&gt;0,'Attrition Modeling'!$N$9,0))),0))</f>
        <v>1396.2877411395039</v>
      </c>
      <c r="BJ14" s="799">
        <f>IF(BJ$2=$F14+1,Monthly!BF$21,IF(BJ$2&gt;$F14+1,('Traditional Attrition'!BI14+BJ146)*(1-IF(BJ$2-$F14&lt;=12,SUMIFS('Attrition Modeling'!$D:$D,'Attrition Modeling'!$B:$B,'Traditional Attrition'!$E14,'Attrition Modeling'!$C:$C,'Traditional Attrition'!BJ$1),VLOOKUP('Traditional Attrition'!BJ$2-'Traditional Attrition'!$F14-1,'Traditional Attrition'!$A$7:$C$161,2,FALSE)*VLOOKUP(BJ$1,'Attrition Modeling'!$L$15:$N$27,IF(BJ$2-$F14&lt;=24,2,3),FALSE))*(1+Projection!BL$16)*(1+IF(BJ146&gt;0,'Attrition Modeling'!$N$9,0))),0))</f>
        <v>1353.5316564425827</v>
      </c>
      <c r="BK14" s="799">
        <f>IF(BK$2=$F14+1,Monthly!BG$21,IF(BK$2&gt;$F14+1,('Traditional Attrition'!BJ14+BK146)*(1-IF(BK$2-$F14&lt;=12,SUMIFS('Attrition Modeling'!$D:$D,'Attrition Modeling'!$B:$B,'Traditional Attrition'!$E14,'Attrition Modeling'!$C:$C,'Traditional Attrition'!BK$1),VLOOKUP('Traditional Attrition'!BK$2-'Traditional Attrition'!$F14-1,'Traditional Attrition'!$A$7:$C$161,2,FALSE)*VLOOKUP(BK$1,'Attrition Modeling'!$L$15:$N$27,IF(BK$2-$F14&lt;=24,2,3),FALSE))*(1+Projection!BM$16)*(1+IF(BK146&gt;0,'Attrition Modeling'!$N$9,0))),0))</f>
        <v>1309.448519334446</v>
      </c>
      <c r="BL14" s="799">
        <f>IF(BL$2=$F14+1,Monthly!BH$21,IF(BL$2&gt;$F14+1,('Traditional Attrition'!BK14+BL146)*(1-IF(BL$2-$F14&lt;=12,SUMIFS('Attrition Modeling'!$D:$D,'Attrition Modeling'!$B:$B,'Traditional Attrition'!$E14,'Attrition Modeling'!$C:$C,'Traditional Attrition'!BL$1),VLOOKUP('Traditional Attrition'!BL$2-'Traditional Attrition'!$F14-1,'Traditional Attrition'!$A$7:$C$161,2,FALSE)*VLOOKUP(BL$1,'Attrition Modeling'!$L$15:$N$27,IF(BL$2-$F14&lt;=24,2,3),FALSE))*(1+Projection!BN$16)*(1+IF(BL146&gt;0,'Attrition Modeling'!$N$9,0))),0))</f>
        <v>1269.7756791200918</v>
      </c>
      <c r="BM14" s="799">
        <f>IF(BM$2=$F14+1,Monthly!BI$21,IF(BM$2&gt;$F14+1,('Traditional Attrition'!BL14+BM146)*(1-IF(BM$2-$F14&lt;=12,SUMIFS('Attrition Modeling'!$D:$D,'Attrition Modeling'!$B:$B,'Traditional Attrition'!$E14,'Attrition Modeling'!$C:$C,'Traditional Attrition'!BM$1),VLOOKUP('Traditional Attrition'!BM$2-'Traditional Attrition'!$F14-1,'Traditional Attrition'!$A$7:$C$161,2,FALSE)*VLOOKUP(BM$1,'Attrition Modeling'!$L$15:$N$27,IF(BM$2-$F14&lt;=24,2,3),FALSE))*(1+Projection!BO$16)*(1+IF(BM146&gt;0,'Attrition Modeling'!$N$9,0))),0))</f>
        <v>1232.9751042928806</v>
      </c>
      <c r="BN14" s="799">
        <f>IF(BN$2=$F14+1,Monthly!BJ$21,IF(BN$2&gt;$F14+1,('Traditional Attrition'!BM14+BN146)*(1-IF(BN$2-$F14&lt;=12,SUMIFS('Attrition Modeling'!$D:$D,'Attrition Modeling'!$B:$B,'Traditional Attrition'!$E14,'Attrition Modeling'!$C:$C,'Traditional Attrition'!BN$1),VLOOKUP('Traditional Attrition'!BN$2-'Traditional Attrition'!$F14-1,'Traditional Attrition'!$A$7:$C$161,2,FALSE)*VLOOKUP(BN$1,'Attrition Modeling'!$L$15:$N$27,IF(BN$2-$F14&lt;=24,2,3),FALSE))*(1+Projection!BP$16)*(1+IF(BN146&gt;0,'Attrition Modeling'!$N$9,0))),0))</f>
        <v>1198.3700110211882</v>
      </c>
      <c r="BO14" s="799">
        <f>IF(BO$2=$F14+1,Monthly!BK$21,IF(BO$2&gt;$F14+1,('Traditional Attrition'!BN14+BO146)*(1-IF(BO$2-$F14&lt;=12,SUMIFS('Attrition Modeling'!$D:$D,'Attrition Modeling'!$B:$B,'Traditional Attrition'!$E14,'Attrition Modeling'!$C:$C,'Traditional Attrition'!BO$1),VLOOKUP('Traditional Attrition'!BO$2-'Traditional Attrition'!$F14-1,'Traditional Attrition'!$A$7:$C$161,2,FALSE)*VLOOKUP(BO$1,'Attrition Modeling'!$L$15:$N$27,IF(BO$2-$F14&lt;=24,2,3),FALSE))*(1+Projection!BV$16)*(1+IF(BO146&gt;0,'Attrition Modeling'!$N$9,0))),0))</f>
        <v>1171.0897993339572</v>
      </c>
      <c r="BP14" s="799">
        <f>IF(BP$2=$F14+1,Monthly!BL$21,IF(BP$2&gt;$F14+1,('Traditional Attrition'!BO14+BP146)*(1-IF(BP$2-$F14&lt;=12,SUMIFS('Attrition Modeling'!$D:$D,'Attrition Modeling'!$B:$B,'Traditional Attrition'!$E14,'Attrition Modeling'!$C:$C,'Traditional Attrition'!BP$1),VLOOKUP('Traditional Attrition'!BP$2-'Traditional Attrition'!$F14-1,'Traditional Attrition'!$A$7:$C$161,2,FALSE)*VLOOKUP(BP$1,'Attrition Modeling'!$L$15:$N$27,IF(BP$2-$F14&lt;=24,2,3),FALSE))*(1+Projection!BW$16)*(1+IF(BP146&gt;0,'Attrition Modeling'!$N$9,0))),0))</f>
        <v>1141.8451854829041</v>
      </c>
      <c r="BQ14" s="799">
        <f>IF(BQ$2=$F14+1,Monthly!BM$21,IF(BQ$2&gt;$F14+1,('Traditional Attrition'!BP14+BQ146)*(1-IF(BQ$2-$F14&lt;=12,SUMIFS('Attrition Modeling'!$D:$D,'Attrition Modeling'!$B:$B,'Traditional Attrition'!$E14,'Attrition Modeling'!$C:$C,'Traditional Attrition'!BQ$1),VLOOKUP('Traditional Attrition'!BQ$2-'Traditional Attrition'!$F14-1,'Traditional Attrition'!$A$7:$C$161,2,FALSE)*VLOOKUP(BQ$1,'Attrition Modeling'!$L$15:$N$27,IF(BQ$2-$F14&lt;=24,2,3),FALSE))*(1+Projection!BX$16)*(1+IF(BQ146&gt;0,'Attrition Modeling'!$N$9,0))),0))</f>
        <v>1114.475289756542</v>
      </c>
      <c r="BR14" s="799">
        <f>IF(BR$2=$F14+1,Monthly!BN$21,IF(BR$2&gt;$F14+1,('Traditional Attrition'!BQ14+BR146)*(1-IF(BR$2-$F14&lt;=12,SUMIFS('Attrition Modeling'!$D:$D,'Attrition Modeling'!$B:$B,'Traditional Attrition'!$E14,'Attrition Modeling'!$C:$C,'Traditional Attrition'!BR$1),VLOOKUP('Traditional Attrition'!BR$2-'Traditional Attrition'!$F14-1,'Traditional Attrition'!$A$7:$C$161,2,FALSE)*VLOOKUP(BR$1,'Attrition Modeling'!$L$15:$N$27,IF(BR$2-$F14&lt;=24,2,3),FALSE))*(1+Projection!BY$16)*(1+IF(BR146&gt;0,'Attrition Modeling'!$N$9,0))),0))</f>
        <v>1089.1134575417966</v>
      </c>
      <c r="BS14" s="799">
        <f>IF(BS$2=$F14+1,Monthly!BO$21,IF(BS$2&gt;$F14+1,('Traditional Attrition'!BR14+BS146)*(1-IF(BS$2-$F14&lt;=12,SUMIFS('Attrition Modeling'!$D:$D,'Attrition Modeling'!$B:$B,'Traditional Attrition'!$E14,'Attrition Modeling'!$C:$C,'Traditional Attrition'!BS$1),VLOOKUP('Traditional Attrition'!BS$2-'Traditional Attrition'!$F14-1,'Traditional Attrition'!$A$7:$C$161,2,FALSE)*VLOOKUP(BS$1,'Attrition Modeling'!$L$15:$N$27,IF(BS$2-$F14&lt;=24,2,3),FALSE))*(1+Projection!BZ$16)*(1+IF(BS146&gt;0,'Attrition Modeling'!$N$9,0))),0))</f>
        <v>1069.5777613117752</v>
      </c>
      <c r="BT14" s="799">
        <f>IF(BT$2=$F14+1,Monthly!#REF!,IF(BT$2&gt;$F14+1,('Traditional Attrition'!BS14+BT146)*(1-IF(BT$2-$F14&lt;=12,SUMIFS('Attrition Modeling'!$D:$D,'Attrition Modeling'!$B:$B,'Traditional Attrition'!$E14,'Attrition Modeling'!$C:$C,'Traditional Attrition'!BT$1),VLOOKUP('Traditional Attrition'!BT$2-'Traditional Attrition'!$F14-1,'Traditional Attrition'!$A$7:$C$161,2,FALSE)*VLOOKUP(BT$1,'Attrition Modeling'!$L$15:$N$27,IF(BT$2-$F14&lt;=24,2,3),FALSE))*(1+Projection!CA$16)*(1+IF(BT146&gt;0,'Attrition Modeling'!$N$9,0))),0))</f>
        <v>1051.3396088759148</v>
      </c>
      <c r="BU14" s="799">
        <f>IF(BU$2=$F14+1,Monthly!#REF!,IF(BU$2&gt;$F14+1,('Traditional Attrition'!BT14+BU146)*(1-IF(BU$2-$F14&lt;=12,SUMIFS('Attrition Modeling'!$D:$D,'Attrition Modeling'!$B:$B,'Traditional Attrition'!$E14,'Attrition Modeling'!$C:$C,'Traditional Attrition'!BU$1),VLOOKUP('Traditional Attrition'!BU$2-'Traditional Attrition'!$F14-1,'Traditional Attrition'!$A$7:$C$161,2,FALSE)*VLOOKUP(BU$1,'Attrition Modeling'!$L$15:$N$27,IF(BU$2-$F14&lt;=24,2,3),FALSE))*(1+Projection!CB$16)*(1+IF(BU146&gt;0,'Attrition Modeling'!$N$9,0))),0))</f>
        <v>1025.8079864325118</v>
      </c>
    </row>
    <row r="15" spans="1:73" ht="14.25" customHeight="1" x14ac:dyDescent="0.2">
      <c r="A15" s="800">
        <v>8</v>
      </c>
      <c r="B15" s="779" t="e">
        <f>'Attrition Modeling'!H12*(1-Summary!$C$20)</f>
        <v>#DIV/0!</v>
      </c>
      <c r="C15" s="780" t="e">
        <f t="shared" si="4"/>
        <v>#DIV/0!</v>
      </c>
      <c r="E15" s="11">
        <f t="shared" si="2"/>
        <v>12</v>
      </c>
      <c r="F15" s="11">
        <f t="shared" si="3"/>
        <v>12</v>
      </c>
      <c r="G15" s="799"/>
      <c r="H15" s="799">
        <f>IF(H$2=$F15+1,Monthly!D$21,IF(H$2&gt;$F15+1,('Traditional Attrition'!G15+H147)*(1-IF(H$2-$F15&lt;=12,SUMIFS('Attrition Modeling'!$D:$D,'Attrition Modeling'!$B:$B,'Traditional Attrition'!$E15,'Attrition Modeling'!$C:$C,'Traditional Attrition'!H$1),VLOOKUP('Traditional Attrition'!H$2-'Traditional Attrition'!$F15-1,'Traditional Attrition'!$A$7:$C$161,2,FALSE)*VLOOKUP(H$1,'Attrition Modeling'!$L$15:$N$27,IF(H$2-$F15&lt;=24,2,3),FALSE))*(1+Projection!J$16)*(1+IF(H147&gt;0,'Attrition Modeling'!$N$9,0))),0))</f>
        <v>0</v>
      </c>
      <c r="I15" s="799">
        <f>IF(I$2=$F15+1,Monthly!E$21,IF(I$2&gt;$F15+1,('Traditional Attrition'!H15+I147)*(1-IF(I$2-$F15&lt;=12,SUMIFS('Attrition Modeling'!$D:$D,'Attrition Modeling'!$B:$B,'Traditional Attrition'!$E15,'Attrition Modeling'!$C:$C,'Traditional Attrition'!I$1),VLOOKUP('Traditional Attrition'!I$2-'Traditional Attrition'!$F15-1,'Traditional Attrition'!$A$7:$C$161,2,FALSE)*VLOOKUP(I$1,'Attrition Modeling'!$L$15:$N$27,IF(I$2-$F15&lt;=24,2,3),FALSE))*(1+Projection!K$16)*(1+IF(I147&gt;0,'Attrition Modeling'!$N$9,0))),0))</f>
        <v>0</v>
      </c>
      <c r="J15" s="799">
        <f>IF(J$2=$F15+1,Monthly!F$21,IF(J$2&gt;$F15+1,('Traditional Attrition'!I15+J147)*(1-IF(J$2-$F15&lt;=12,SUMIFS('Attrition Modeling'!$D:$D,'Attrition Modeling'!$B:$B,'Traditional Attrition'!$E15,'Attrition Modeling'!$C:$C,'Traditional Attrition'!J$1),VLOOKUP('Traditional Attrition'!J$2-'Traditional Attrition'!$F15-1,'Traditional Attrition'!$A$7:$C$161,2,FALSE)*VLOOKUP(J$1,'Attrition Modeling'!$L$15:$N$27,IF(J$2-$F15&lt;=24,2,3),FALSE))*(1+Projection!L$16)*(1+IF(J147&gt;0,'Attrition Modeling'!$N$9,0))),0))</f>
        <v>0</v>
      </c>
      <c r="K15" s="799">
        <f>IF(K$2=$F15+1,Monthly!G$21,IF(K$2&gt;$F15+1,('Traditional Attrition'!J15+K147)*(1-IF(K$2-$F15&lt;=12,SUMIFS('Attrition Modeling'!$D:$D,'Attrition Modeling'!$B:$B,'Traditional Attrition'!$E15,'Attrition Modeling'!$C:$C,'Traditional Attrition'!K$1),VLOOKUP('Traditional Attrition'!K$2-'Traditional Attrition'!$F15-1,'Traditional Attrition'!$A$7:$C$161,2,FALSE)*VLOOKUP(K$1,'Attrition Modeling'!$L$15:$N$27,IF(K$2-$F15&lt;=24,2,3),FALSE))*(1+Projection!M$16)*(1+IF(K147&gt;0,'Attrition Modeling'!$N$9,0))),0))</f>
        <v>0</v>
      </c>
      <c r="L15" s="799">
        <f>IF(L$2=$F15+1,Monthly!H$21,IF(L$2&gt;$F15+1,('Traditional Attrition'!K15+L147)*(1-IF(L$2-$F15&lt;=12,SUMIFS('Attrition Modeling'!$D:$D,'Attrition Modeling'!$B:$B,'Traditional Attrition'!$E15,'Attrition Modeling'!$C:$C,'Traditional Attrition'!L$1),VLOOKUP('Traditional Attrition'!L$2-'Traditional Attrition'!$F15-1,'Traditional Attrition'!$A$7:$C$161,2,FALSE)*VLOOKUP(L$1,'Attrition Modeling'!$L$15:$N$27,IF(L$2-$F15&lt;=24,2,3),FALSE))*(1+Projection!N$16)*(1+IF(L147&gt;0,'Attrition Modeling'!$N$9,0))),0))</f>
        <v>0</v>
      </c>
      <c r="M15" s="799">
        <f>IF(M$2=$F15+1,Monthly!I$21,IF(M$2&gt;$F15+1,('Traditional Attrition'!L15+M147)*(1-IF(M$2-$F15&lt;=12,SUMIFS('Attrition Modeling'!$D:$D,'Attrition Modeling'!$B:$B,'Traditional Attrition'!$E15,'Attrition Modeling'!$C:$C,'Traditional Attrition'!M$1),VLOOKUP('Traditional Attrition'!M$2-'Traditional Attrition'!$F15-1,'Traditional Attrition'!$A$7:$C$161,2,FALSE)*VLOOKUP(M$1,'Attrition Modeling'!$L$15:$N$27,IF(M$2-$F15&lt;=24,2,3),FALSE))*(1+Projection!O$16)*(1+IF(M147&gt;0,'Attrition Modeling'!$N$9,0))),0))</f>
        <v>0</v>
      </c>
      <c r="N15" s="799">
        <f>IF(N$2=$F15+1,Monthly!J$21,IF(N$2&gt;$F15+1,('Traditional Attrition'!M15+N147)*(1-IF(N$2-$F15&lt;=12,SUMIFS('Attrition Modeling'!$D:$D,'Attrition Modeling'!$B:$B,'Traditional Attrition'!$E15,'Attrition Modeling'!$C:$C,'Traditional Attrition'!N$1),VLOOKUP('Traditional Attrition'!N$2-'Traditional Attrition'!$F15-1,'Traditional Attrition'!$A$7:$C$161,2,FALSE)*VLOOKUP(N$1,'Attrition Modeling'!$L$15:$N$27,IF(N$2-$F15&lt;=24,2,3),FALSE))*(1+Projection!P$16)*(1+IF(N147&gt;0,'Attrition Modeling'!$N$9,0))),0))</f>
        <v>0</v>
      </c>
      <c r="O15" s="799">
        <f>IF(O$2=$F15+1,Monthly!K$21,IF(O$2&gt;$F15+1,('Traditional Attrition'!N15+O147)*(1-IF(O$2-$F15&lt;=12,SUMIFS('Attrition Modeling'!$D:$D,'Attrition Modeling'!$B:$B,'Traditional Attrition'!$E15,'Attrition Modeling'!$C:$C,'Traditional Attrition'!O$1),VLOOKUP('Traditional Attrition'!O$2-'Traditional Attrition'!$F15-1,'Traditional Attrition'!$A$7:$C$161,2,FALSE)*VLOOKUP(O$1,'Attrition Modeling'!$L$15:$N$27,IF(O$2-$F15&lt;=24,2,3),FALSE))*(1+Projection!Q$16)*(1+IF(O147&gt;0,'Attrition Modeling'!$N$9,0))),0))</f>
        <v>0</v>
      </c>
      <c r="P15" s="799">
        <f>IF(P$2=$F15+1,Monthly!L$21,IF(P$2&gt;$F15+1,('Traditional Attrition'!O15+P147)*(1-IF(P$2-$F15&lt;=12,SUMIFS('Attrition Modeling'!$D:$D,'Attrition Modeling'!$B:$B,'Traditional Attrition'!$E15,'Attrition Modeling'!$C:$C,'Traditional Attrition'!P$1),VLOOKUP('Traditional Attrition'!P$2-'Traditional Attrition'!$F15-1,'Traditional Attrition'!$A$7:$C$161,2,FALSE)*VLOOKUP(P$1,'Attrition Modeling'!$L$15:$N$27,IF(P$2-$F15&lt;=24,2,3),FALSE))*(1+Projection!R$16)*(1+IF(P147&gt;0,'Attrition Modeling'!$N$9,0))),0))</f>
        <v>0</v>
      </c>
      <c r="Q15" s="799">
        <f>IF(Q$2=$F15+1,Monthly!M$21,IF(Q$2&gt;$F15+1,('Traditional Attrition'!P15+Q147)*(1-IF(Q$2-$F15&lt;=12,SUMIFS('Attrition Modeling'!$D:$D,'Attrition Modeling'!$B:$B,'Traditional Attrition'!$E15,'Attrition Modeling'!$C:$C,'Traditional Attrition'!Q$1),VLOOKUP('Traditional Attrition'!Q$2-'Traditional Attrition'!$F15-1,'Traditional Attrition'!$A$7:$C$161,2,FALSE)*VLOOKUP(Q$1,'Attrition Modeling'!$L$15:$N$27,IF(Q$2-$F15&lt;=24,2,3),FALSE))*(1+Projection!S$16)*(1+IF(Q147&gt;0,'Attrition Modeling'!$N$9,0))),0))</f>
        <v>0</v>
      </c>
      <c r="R15" s="799">
        <f>IF(R$2=$F15+1,Monthly!N$21,IF(R$2&gt;$F15+1,('Traditional Attrition'!Q15+R147)*(1-IF(R$2-$F15&lt;=12,SUMIFS('Attrition Modeling'!$D:$D,'Attrition Modeling'!$B:$B,'Traditional Attrition'!$E15,'Attrition Modeling'!$C:$C,'Traditional Attrition'!R$1),VLOOKUP('Traditional Attrition'!R$2-'Traditional Attrition'!$F15-1,'Traditional Attrition'!$A$7:$C$161,2,FALSE)*VLOOKUP(R$1,'Attrition Modeling'!$L$15:$N$27,IF(R$2-$F15&lt;=24,2,3),FALSE))*(1+Projection!T$16)*(1+IF(R147&gt;0,'Attrition Modeling'!$N$9,0))),0))</f>
        <v>0</v>
      </c>
      <c r="S15" s="799">
        <f>IF(S$2=$F15+1,Monthly!O$21,IF(S$2&gt;$F15+1,('Traditional Attrition'!R15+S147)*(1-IF(S$2-$F15&lt;=12,SUMIFS('Attrition Modeling'!$D:$D,'Attrition Modeling'!$B:$B,'Traditional Attrition'!$E15,'Attrition Modeling'!$C:$C,'Traditional Attrition'!S$1),VLOOKUP('Traditional Attrition'!S$2-'Traditional Attrition'!$F15-1,'Traditional Attrition'!$A$7:$C$161,2,FALSE)*VLOOKUP(S$1,'Attrition Modeling'!$L$15:$N$27,IF(S$2-$F15&lt;=24,2,3),FALSE))*(1+Projection!U$16)*(1+IF(S147&gt;0,'Attrition Modeling'!$N$9,0))),0))</f>
        <v>0</v>
      </c>
      <c r="T15" s="799">
        <f>IF(T$2=$F15+1,Monthly!P$21,IF(T$2&gt;$F15+1,('Traditional Attrition'!S15+T147)*(1-IF(T$2-$F15&lt;=12,SUMIFS('Attrition Modeling'!$D:$D,'Attrition Modeling'!$B:$B,'Traditional Attrition'!$E15,'Attrition Modeling'!$C:$C,'Traditional Attrition'!T$1),VLOOKUP('Traditional Attrition'!T$2-'Traditional Attrition'!$F15-1,'Traditional Attrition'!$A$7:$C$161,2,FALSE)*VLOOKUP(T$1,'Attrition Modeling'!$L$15:$N$27,IF(T$2-$F15&lt;=24,2,3),FALSE))*(1+Projection!V$16)*(1+IF(T147&gt;0,'Attrition Modeling'!$N$9,0))),0))</f>
        <v>7859.3945534426066</v>
      </c>
      <c r="U15" s="799">
        <f>IF(U$2=$F15+1,Monthly!Q$21,IF(U$2&gt;$F15+1,('Traditional Attrition'!T15+U147)*(1-IF(U$2-$F15&lt;=12,SUMIFS('Attrition Modeling'!$D:$D,'Attrition Modeling'!$B:$B,'Traditional Attrition'!$E15,'Attrition Modeling'!$C:$C,'Traditional Attrition'!U$1),VLOOKUP('Traditional Attrition'!U$2-'Traditional Attrition'!$F15-1,'Traditional Attrition'!$A$7:$C$161,2,FALSE)*VLOOKUP(U$1,'Attrition Modeling'!$L$15:$N$27,IF(U$2-$F15&lt;=24,2,3),FALSE))*(1+Projection!W$16)*(1+IF(U147&gt;0,'Attrition Modeling'!$N$9,0))),0))</f>
        <v>7113.1313652467088</v>
      </c>
      <c r="V15" s="799">
        <f>IF(V$2=$F15+1,Monthly!R$21,IF(V$2&gt;$F15+1,('Traditional Attrition'!U15+V147)*(1-IF(V$2-$F15&lt;=12,SUMIFS('Attrition Modeling'!$D:$D,'Attrition Modeling'!$B:$B,'Traditional Attrition'!$E15,'Attrition Modeling'!$C:$C,'Traditional Attrition'!V$1),VLOOKUP('Traditional Attrition'!V$2-'Traditional Attrition'!$F15-1,'Traditional Attrition'!$A$7:$C$161,2,FALSE)*VLOOKUP(V$1,'Attrition Modeling'!$L$15:$N$27,IF(V$2-$F15&lt;=24,2,3),FALSE))*(1+Projection!X$16)*(1+IF(V147&gt;0,'Attrition Modeling'!$N$9,0))),0))</f>
        <v>6496.7106731748572</v>
      </c>
      <c r="W15" s="799">
        <f>IF(W$2=$F15+1,Monthly!S$21,IF(W$2&gt;$F15+1,('Traditional Attrition'!V15+W147)*(1-IF(W$2-$F15&lt;=12,SUMIFS('Attrition Modeling'!$D:$D,'Attrition Modeling'!$B:$B,'Traditional Attrition'!$E15,'Attrition Modeling'!$C:$C,'Traditional Attrition'!W$1),VLOOKUP('Traditional Attrition'!W$2-'Traditional Attrition'!$F15-1,'Traditional Attrition'!$A$7:$C$161,2,FALSE)*VLOOKUP(W$1,'Attrition Modeling'!$L$15:$N$27,IF(W$2-$F15&lt;=24,2,3),FALSE))*(1+Projection!Y$16)*(1+IF(W147&gt;0,'Attrition Modeling'!$N$9,0))),0))</f>
        <v>5915.999136199106</v>
      </c>
      <c r="X15" s="799">
        <f>IF(X$2=$F15+1,Monthly!T$21,IF(X$2&gt;$F15+1,('Traditional Attrition'!W15+X147)*(1-IF(X$2-$F15&lt;=12,SUMIFS('Attrition Modeling'!$D:$D,'Attrition Modeling'!$B:$B,'Traditional Attrition'!$E15,'Attrition Modeling'!$C:$C,'Traditional Attrition'!X$1),VLOOKUP('Traditional Attrition'!X$2-'Traditional Attrition'!$F15-1,'Traditional Attrition'!$A$7:$C$161,2,FALSE)*VLOOKUP(X$1,'Attrition Modeling'!$L$15:$N$27,IF(X$2-$F15&lt;=24,2,3),FALSE))*(1+Projection!Z$16)*(1+IF(X147&gt;0,'Attrition Modeling'!$N$9,0))),0))</f>
        <v>5411.6883108340289</v>
      </c>
      <c r="Y15" s="799">
        <f>IF(Y$2=$F15+1,Monthly!U$21,IF(Y$2&gt;$F15+1,('Traditional Attrition'!X15+Y147)*(1-IF(Y$2-$F15&lt;=12,SUMIFS('Attrition Modeling'!$D:$D,'Attrition Modeling'!$B:$B,'Traditional Attrition'!$E15,'Attrition Modeling'!$C:$C,'Traditional Attrition'!Y$1),VLOOKUP('Traditional Attrition'!Y$2-'Traditional Attrition'!$F15-1,'Traditional Attrition'!$A$7:$C$161,2,FALSE)*VLOOKUP(Y$1,'Attrition Modeling'!$L$15:$N$27,IF(Y$2-$F15&lt;=24,2,3),FALSE))*(1+Projection!AA$16)*(1+IF(Y147&gt;0,'Attrition Modeling'!$N$9,0))),0))</f>
        <v>5394.1893473953369</v>
      </c>
      <c r="Z15" s="799">
        <f>IF(Z$2=$F15+1,Monthly!V$21,IF(Z$2&gt;$F15+1,('Traditional Attrition'!Y15+Z147)*(1-IF(Z$2-$F15&lt;=12,SUMIFS('Attrition Modeling'!$D:$D,'Attrition Modeling'!$B:$B,'Traditional Attrition'!$E15,'Attrition Modeling'!$C:$C,'Traditional Attrition'!Z$1),VLOOKUP('Traditional Attrition'!Z$2-'Traditional Attrition'!$F15-1,'Traditional Attrition'!$A$7:$C$161,2,FALSE)*VLOOKUP(Z$1,'Attrition Modeling'!$L$15:$N$27,IF(Z$2-$F15&lt;=24,2,3),FALSE))*(1+Projection!AB$16)*(1+IF(Z147&gt;0,'Attrition Modeling'!$N$9,0))),0))</f>
        <v>4987.2237611270129</v>
      </c>
      <c r="AA15" s="799">
        <f>IF(AA$2=$F15+1,Monthly!W$21,IF(AA$2&gt;$F15+1,('Traditional Attrition'!Z15+AA147)*(1-IF(AA$2-$F15&lt;=12,SUMIFS('Attrition Modeling'!$D:$D,'Attrition Modeling'!$B:$B,'Traditional Attrition'!$E15,'Attrition Modeling'!$C:$C,'Traditional Attrition'!AA$1),VLOOKUP('Traditional Attrition'!AA$2-'Traditional Attrition'!$F15-1,'Traditional Attrition'!$A$7:$C$161,2,FALSE)*VLOOKUP(AA$1,'Attrition Modeling'!$L$15:$N$27,IF(AA$2-$F15&lt;=24,2,3),FALSE))*(1+Projection!AC$16)*(1+IF(AA147&gt;0,'Attrition Modeling'!$N$9,0))),0))</f>
        <v>4625.9405941016275</v>
      </c>
      <c r="AB15" s="799">
        <f>IF(AB$2=$F15+1,Monthly!X$21,IF(AB$2&gt;$F15+1,('Traditional Attrition'!AA15+AB147)*(1-IF(AB$2-$F15&lt;=12,SUMIFS('Attrition Modeling'!$D:$D,'Attrition Modeling'!$B:$B,'Traditional Attrition'!$E15,'Attrition Modeling'!$C:$C,'Traditional Attrition'!AB$1),VLOOKUP('Traditional Attrition'!AB$2-'Traditional Attrition'!$F15-1,'Traditional Attrition'!$A$7:$C$161,2,FALSE)*VLOOKUP(AB$1,'Attrition Modeling'!$L$15:$N$27,IF(AB$2-$F15&lt;=24,2,3),FALSE))*(1+Projection!AD$16)*(1+IF(AB147&gt;0,'Attrition Modeling'!$N$9,0))),0))</f>
        <v>4332.6302402058809</v>
      </c>
      <c r="AC15" s="799">
        <f>IF(AC$2=$F15+1,Monthly!Y$21,IF(AC$2&gt;$F15+1,('Traditional Attrition'!AB15+AC147)*(1-IF(AC$2-$F15&lt;=12,SUMIFS('Attrition Modeling'!$D:$D,'Attrition Modeling'!$B:$B,'Traditional Attrition'!$E15,'Attrition Modeling'!$C:$C,'Traditional Attrition'!AC$1),VLOOKUP('Traditional Attrition'!AC$2-'Traditional Attrition'!$F15-1,'Traditional Attrition'!$A$7:$C$161,2,FALSE)*VLOOKUP(AC$1,'Attrition Modeling'!$L$15:$N$27,IF(AC$2-$F15&lt;=24,2,3),FALSE))*(1+Projection!AE$16)*(1+IF(AC147&gt;0,'Attrition Modeling'!$N$9,0))),0))</f>
        <v>4066.224562143751</v>
      </c>
      <c r="AD15" s="799">
        <f>IF(AD$2=$F15+1,Monthly!Z$21,IF(AD$2&gt;$F15+1,('Traditional Attrition'!AC15+AD147)*(1-IF(AD$2-$F15&lt;=12,SUMIFS('Attrition Modeling'!$D:$D,'Attrition Modeling'!$B:$B,'Traditional Attrition'!$E15,'Attrition Modeling'!$C:$C,'Traditional Attrition'!AD$1),VLOOKUP('Traditional Attrition'!AD$2-'Traditional Attrition'!$F15-1,'Traditional Attrition'!$A$7:$C$161,2,FALSE)*VLOOKUP(AD$1,'Attrition Modeling'!$L$15:$N$27,IF(AD$2-$F15&lt;=24,2,3),FALSE))*(1+Projection!AF$16)*(1+IF(AD147&gt;0,'Attrition Modeling'!$N$9,0))),0))</f>
        <v>3842.4126496616036</v>
      </c>
      <c r="AE15" s="799">
        <f>IF(AE$2=$F15+1,Monthly!AA$21,IF(AE$2&gt;$F15+1,('Traditional Attrition'!AD15+AE147)*(1-IF(AE$2-$F15&lt;=12,SUMIFS('Attrition Modeling'!$D:$D,'Attrition Modeling'!$B:$B,'Traditional Attrition'!$E15,'Attrition Modeling'!$C:$C,'Traditional Attrition'!AE$1),VLOOKUP('Traditional Attrition'!AE$2-'Traditional Attrition'!$F15-1,'Traditional Attrition'!$A$7:$C$161,2,FALSE)*VLOOKUP(AE$1,'Attrition Modeling'!$L$15:$N$27,IF(AE$2-$F15&lt;=24,2,3),FALSE))*(1+Projection!AG$16)*(1+IF(AE147&gt;0,'Attrition Modeling'!$N$9,0))),0))</f>
        <v>3722.7360967927134</v>
      </c>
      <c r="AF15" s="799">
        <f>IF(AF$2=$F15+1,Monthly!AB$21,IF(AF$2&gt;$F15+1,('Traditional Attrition'!AE15+AF147)*(1-IF(AF$2-$F15&lt;=12,SUMIFS('Attrition Modeling'!$D:$D,'Attrition Modeling'!$B:$B,'Traditional Attrition'!$E15,'Attrition Modeling'!$C:$C,'Traditional Attrition'!AF$1),VLOOKUP('Traditional Attrition'!AF$2-'Traditional Attrition'!$F15-1,'Traditional Attrition'!$A$7:$C$161,2,FALSE)*VLOOKUP(AF$1,'Attrition Modeling'!$L$15:$N$27,IF(AF$2-$F15&lt;=24,2,3),FALSE))*(1+Projection!AH$16)*(1+IF(AF147&gt;0,'Attrition Modeling'!$N$9,0))),0))</f>
        <v>3522.3192536609313</v>
      </c>
      <c r="AG15" s="799">
        <f>IF(AG$2=$F15+1,Monthly!AC$21,IF(AG$2&gt;$F15+1,('Traditional Attrition'!AF15+AG147)*(1-IF(AG$2-$F15&lt;=12,SUMIFS('Attrition Modeling'!$D:$D,'Attrition Modeling'!$B:$B,'Traditional Attrition'!$E15,'Attrition Modeling'!$C:$C,'Traditional Attrition'!AG$1),VLOOKUP('Traditional Attrition'!AG$2-'Traditional Attrition'!$F15-1,'Traditional Attrition'!$A$7:$C$161,2,FALSE)*VLOOKUP(AG$1,'Attrition Modeling'!$L$15:$N$27,IF(AG$2-$F15&lt;=24,2,3),FALSE))*(1+Projection!AI$16)*(1+IF(AG147&gt;0,'Attrition Modeling'!$N$9,0))),0))</f>
        <v>3364.468472444385</v>
      </c>
      <c r="AH15" s="799">
        <f>IF(AH$2=$F15+1,Monthly!AD$21,IF(AH$2&gt;$F15+1,('Traditional Attrition'!AG15+AH147)*(1-IF(AH$2-$F15&lt;=12,SUMIFS('Attrition Modeling'!$D:$D,'Attrition Modeling'!$B:$B,'Traditional Attrition'!$E15,'Attrition Modeling'!$C:$C,'Traditional Attrition'!AH$1),VLOOKUP('Traditional Attrition'!AH$2-'Traditional Attrition'!$F15-1,'Traditional Attrition'!$A$7:$C$161,2,FALSE)*VLOOKUP(AH$1,'Attrition Modeling'!$L$15:$N$27,IF(AH$2-$F15&lt;=24,2,3),FALSE))*(1+Projection!AJ$16)*(1+IF(AH147&gt;0,'Attrition Modeling'!$N$9,0))),0))</f>
        <v>3208.3753181101824</v>
      </c>
      <c r="AI15" s="799">
        <f>IF(AI$2=$F15+1,Monthly!AE$21,IF(AI$2&gt;$F15+1,('Traditional Attrition'!AH15+AI147)*(1-IF(AI$2-$F15&lt;=12,SUMIFS('Attrition Modeling'!$D:$D,'Attrition Modeling'!$B:$B,'Traditional Attrition'!$E15,'Attrition Modeling'!$C:$C,'Traditional Attrition'!AI$1),VLOOKUP('Traditional Attrition'!AI$2-'Traditional Attrition'!$F15-1,'Traditional Attrition'!$A$7:$C$161,2,FALSE)*VLOOKUP(AI$1,'Attrition Modeling'!$L$15:$N$27,IF(AI$2-$F15&lt;=24,2,3),FALSE))*(1+Projection!AK$16)*(1+IF(AI147&gt;0,'Attrition Modeling'!$N$9,0))),0))</f>
        <v>3067.3670784055712</v>
      </c>
      <c r="AJ15" s="799">
        <f>IF(AJ$2=$F15+1,Monthly!AF$21,IF(AJ$2&gt;$F15+1,('Traditional Attrition'!AI15+AJ147)*(1-IF(AJ$2-$F15&lt;=12,SUMIFS('Attrition Modeling'!$D:$D,'Attrition Modeling'!$B:$B,'Traditional Attrition'!$E15,'Attrition Modeling'!$C:$C,'Traditional Attrition'!AJ$1),VLOOKUP('Traditional Attrition'!AJ$2-'Traditional Attrition'!$F15-1,'Traditional Attrition'!$A$7:$C$161,2,FALSE)*VLOOKUP(AJ$1,'Attrition Modeling'!$L$15:$N$27,IF(AJ$2-$F15&lt;=24,2,3),FALSE))*(1+Projection!AL$16)*(1+IF(AJ147&gt;0,'Attrition Modeling'!$N$9,0))),0))</f>
        <v>2937.4552717140209</v>
      </c>
      <c r="AK15" s="799">
        <f>IF(AK$2=$F15+1,Monthly!AG$21,IF(AK$2&gt;$F15+1,('Traditional Attrition'!AJ15+AK147)*(1-IF(AK$2-$F15&lt;=12,SUMIFS('Attrition Modeling'!$D:$D,'Attrition Modeling'!$B:$B,'Traditional Attrition'!$E15,'Attrition Modeling'!$C:$C,'Traditional Attrition'!AK$1),VLOOKUP('Traditional Attrition'!AK$2-'Traditional Attrition'!$F15-1,'Traditional Attrition'!$A$7:$C$161,2,FALSE)*VLOOKUP(AK$1,'Attrition Modeling'!$L$15:$N$27,IF(AK$2-$F15&lt;=24,2,3),FALSE))*(1+Projection!AM$16)*(1+IF(AK147&gt;0,'Attrition Modeling'!$N$9,0))),0))</f>
        <v>3044.2603333388993</v>
      </c>
      <c r="AL15" s="799">
        <f>IF(AL$2=$F15+1,Monthly!AH$21,IF(AL$2&gt;$F15+1,('Traditional Attrition'!AK15+AL147)*(1-IF(AL$2-$F15&lt;=12,SUMIFS('Attrition Modeling'!$D:$D,'Attrition Modeling'!$B:$B,'Traditional Attrition'!$E15,'Attrition Modeling'!$C:$C,'Traditional Attrition'!AL$1),VLOOKUP('Traditional Attrition'!AL$2-'Traditional Attrition'!$F15-1,'Traditional Attrition'!$A$7:$C$161,2,FALSE)*VLOOKUP(AL$1,'Attrition Modeling'!$L$15:$N$27,IF(AL$2-$F15&lt;=24,2,3),FALSE))*(1+Projection!AN$16)*(1+IF(AL147&gt;0,'Attrition Modeling'!$N$9,0))),0))</f>
        <v>2905.9778560426835</v>
      </c>
      <c r="AM15" s="799">
        <f>IF(AM$2=$F15+1,Monthly!AI$21,IF(AM$2&gt;$F15+1,('Traditional Attrition'!AL15+AM147)*(1-IF(AM$2-$F15&lt;=12,SUMIFS('Attrition Modeling'!$D:$D,'Attrition Modeling'!$B:$B,'Traditional Attrition'!$E15,'Attrition Modeling'!$C:$C,'Traditional Attrition'!AM$1),VLOOKUP('Traditional Attrition'!AM$2-'Traditional Attrition'!$F15-1,'Traditional Attrition'!$A$7:$C$161,2,FALSE)*VLOOKUP(AM$1,'Attrition Modeling'!$L$15:$N$27,IF(AM$2-$F15&lt;=24,2,3),FALSE))*(1+Projection!AO$16)*(1+IF(AM147&gt;0,'Attrition Modeling'!$N$9,0))),0))</f>
        <v>2770.7575847980984</v>
      </c>
      <c r="AN15" s="799">
        <f>IF(AN$2=$F15+1,Monthly!AJ$21,IF(AN$2&gt;$F15+1,('Traditional Attrition'!AM15+AN147)*(1-IF(AN$2-$F15&lt;=12,SUMIFS('Attrition Modeling'!$D:$D,'Attrition Modeling'!$B:$B,'Traditional Attrition'!$E15,'Attrition Modeling'!$C:$C,'Traditional Attrition'!AN$1),VLOOKUP('Traditional Attrition'!AN$2-'Traditional Attrition'!$F15-1,'Traditional Attrition'!$A$7:$C$161,2,FALSE)*VLOOKUP(AN$1,'Attrition Modeling'!$L$15:$N$27,IF(AN$2-$F15&lt;=24,2,3),FALSE))*(1+Projection!AP$16)*(1+IF(AN147&gt;0,'Attrition Modeling'!$N$9,0))),0))</f>
        <v>2655.2002716833003</v>
      </c>
      <c r="AO15" s="799">
        <f>IF(AO$2=$F15+1,Monthly!AK$21,IF(AO$2&gt;$F15+1,('Traditional Attrition'!AN15+AO147)*(1-IF(AO$2-$F15&lt;=12,SUMIFS('Attrition Modeling'!$D:$D,'Attrition Modeling'!$B:$B,'Traditional Attrition'!$E15,'Attrition Modeling'!$C:$C,'Traditional Attrition'!AO$1),VLOOKUP('Traditional Attrition'!AO$2-'Traditional Attrition'!$F15-1,'Traditional Attrition'!$A$7:$C$161,2,FALSE)*VLOOKUP(AO$1,'Attrition Modeling'!$L$15:$N$27,IF(AO$2-$F15&lt;=24,2,3),FALSE))*(1+Projection!AQ$16)*(1+IF(AO147&gt;0,'Attrition Modeling'!$N$9,0))),0))</f>
        <v>2543.6618573693072</v>
      </c>
      <c r="AP15" s="799">
        <f>IF(AP$2=$F15+1,Monthly!AL$21,IF(AP$2&gt;$F15+1,('Traditional Attrition'!AO15+AP147)*(1-IF(AP$2-$F15&lt;=12,SUMIFS('Attrition Modeling'!$D:$D,'Attrition Modeling'!$B:$B,'Traditional Attrition'!$E15,'Attrition Modeling'!$C:$C,'Traditional Attrition'!AP$1),VLOOKUP('Traditional Attrition'!AP$2-'Traditional Attrition'!$F15-1,'Traditional Attrition'!$A$7:$C$161,2,FALSE)*VLOOKUP(AP$1,'Attrition Modeling'!$L$15:$N$27,IF(AP$2-$F15&lt;=24,2,3),FALSE))*(1+Projection!AR$16)*(1+IF(AP147&gt;0,'Attrition Modeling'!$N$9,0))),0))</f>
        <v>2442.3388059532735</v>
      </c>
      <c r="AQ15" s="799">
        <f>IF(AQ$2=$F15+1,Monthly!AM$21,IF(AQ$2&gt;$F15+1,('Traditional Attrition'!AP15+AQ147)*(1-IF(AQ$2-$F15&lt;=12,SUMIFS('Attrition Modeling'!$D:$D,'Attrition Modeling'!$B:$B,'Traditional Attrition'!$E15,'Attrition Modeling'!$C:$C,'Traditional Attrition'!AQ$1),VLOOKUP('Traditional Attrition'!AQ$2-'Traditional Attrition'!$F15-1,'Traditional Attrition'!$A$7:$C$161,2,FALSE)*VLOOKUP(AQ$1,'Attrition Modeling'!$L$15:$N$27,IF(AQ$2-$F15&lt;=24,2,3),FALSE))*(1+Projection!AS$16)*(1+IF(AQ147&gt;0,'Attrition Modeling'!$N$9,0))),0))</f>
        <v>2347.3476274838208</v>
      </c>
      <c r="AR15" s="799">
        <f>IF(AR$2=$F15+1,Monthly!AN$21,IF(AR$2&gt;$F15+1,('Traditional Attrition'!AQ15+AR147)*(1-IF(AR$2-$F15&lt;=12,SUMIFS('Attrition Modeling'!$D:$D,'Attrition Modeling'!$B:$B,'Traditional Attrition'!$E15,'Attrition Modeling'!$C:$C,'Traditional Attrition'!AR$1),VLOOKUP('Traditional Attrition'!AR$2-'Traditional Attrition'!$F15-1,'Traditional Attrition'!$A$7:$C$161,2,FALSE)*VLOOKUP(AR$1,'Attrition Modeling'!$L$15:$N$27,IF(AR$2-$F15&lt;=24,2,3),FALSE))*(1+Projection!AT$16)*(1+IF(AR147&gt;0,'Attrition Modeling'!$N$9,0))),0))</f>
        <v>2263.1181696421945</v>
      </c>
      <c r="AS15" s="799">
        <f>IF(AS$2=$F15+1,Monthly!AO$21,IF(AS$2&gt;$F15+1,('Traditional Attrition'!AR15+AS147)*(1-IF(AS$2-$F15&lt;=12,SUMIFS('Attrition Modeling'!$D:$D,'Attrition Modeling'!$B:$B,'Traditional Attrition'!$E15,'Attrition Modeling'!$C:$C,'Traditional Attrition'!AS$1),VLOOKUP('Traditional Attrition'!AS$2-'Traditional Attrition'!$F15-1,'Traditional Attrition'!$A$7:$C$161,2,FALSE)*VLOOKUP(AS$1,'Attrition Modeling'!$L$15:$N$27,IF(AS$2-$F15&lt;=24,2,3),FALSE))*(1+Projection!AU$16)*(1+IF(AS147&gt;0,'Attrition Modeling'!$N$9,0))),0))</f>
        <v>2185.5544060522134</v>
      </c>
      <c r="AT15" s="799">
        <f>IF(AT$2=$F15+1,Monthly!AP$21,IF(AT$2&gt;$F15+1,('Traditional Attrition'!AS15+AT147)*(1-IF(AT$2-$F15&lt;=12,SUMIFS('Attrition Modeling'!$D:$D,'Attrition Modeling'!$B:$B,'Traditional Attrition'!$E15,'Attrition Modeling'!$C:$C,'Traditional Attrition'!AT$1),VLOOKUP('Traditional Attrition'!AT$2-'Traditional Attrition'!$F15-1,'Traditional Attrition'!$A$7:$C$161,2,FALSE)*VLOOKUP(AT$1,'Attrition Modeling'!$L$15:$N$27,IF(AT$2-$F15&lt;=24,2,3),FALSE))*(1+Projection!AV$16)*(1+IF(AT147&gt;0,'Attrition Modeling'!$N$9,0))),0))</f>
        <v>2114.7694039185926</v>
      </c>
      <c r="AU15" s="799">
        <f>IF(AU$2=$F15+1,Monthly!AQ$21,IF(AU$2&gt;$F15+1,('Traditional Attrition'!AT15+AU147)*(1-IF(AU$2-$F15&lt;=12,SUMIFS('Attrition Modeling'!$D:$D,'Attrition Modeling'!$B:$B,'Traditional Attrition'!$E15,'Attrition Modeling'!$C:$C,'Traditional Attrition'!AU$1),VLOOKUP('Traditional Attrition'!AU$2-'Traditional Attrition'!$F15-1,'Traditional Attrition'!$A$7:$C$161,2,FALSE)*VLOOKUP(AU$1,'Attrition Modeling'!$L$15:$N$27,IF(AU$2-$F15&lt;=24,2,3),FALSE))*(1+Projection!AW$16)*(1+IF(AU147&gt;0,'Attrition Modeling'!$N$9,0))),0))</f>
        <v>2061.0179073569343</v>
      </c>
      <c r="AV15" s="799">
        <f>IF(AV$2=$F15+1,Monthly!AR$21,IF(AV$2&gt;$F15+1,('Traditional Attrition'!AU15+AV147)*(1-IF(AV$2-$F15&lt;=12,SUMIFS('Attrition Modeling'!$D:$D,'Attrition Modeling'!$B:$B,'Traditional Attrition'!$E15,'Attrition Modeling'!$C:$C,'Traditional Attrition'!AV$1),VLOOKUP('Traditional Attrition'!AV$2-'Traditional Attrition'!$F15-1,'Traditional Attrition'!$A$7:$C$161,2,FALSE)*VLOOKUP(AV$1,'Attrition Modeling'!$L$15:$N$27,IF(AV$2-$F15&lt;=24,2,3),FALSE))*(1+Projection!AX$16)*(1+IF(AV147&gt;0,'Attrition Modeling'!$N$9,0))),0))</f>
        <v>1998.5877124425508</v>
      </c>
      <c r="AW15" s="799">
        <f>IF(AW$2=$F15+1,Monthly!AS$21,IF(AW$2&gt;$F15+1,('Traditional Attrition'!AV15+AW147)*(1-IF(AW$2-$F15&lt;=12,SUMIFS('Attrition Modeling'!$D:$D,'Attrition Modeling'!$B:$B,'Traditional Attrition'!$E15,'Attrition Modeling'!$C:$C,'Traditional Attrition'!AW$1),VLOOKUP('Traditional Attrition'!AW$2-'Traditional Attrition'!$F15-1,'Traditional Attrition'!$A$7:$C$161,2,FALSE)*VLOOKUP(AW$1,'Attrition Modeling'!$L$15:$N$27,IF(AW$2-$F15&lt;=24,2,3),FALSE))*(1+Projection!AY$16)*(1+IF(AW147&gt;0,'Attrition Modeling'!$N$9,0))),0))</f>
        <v>2100.7201949480432</v>
      </c>
      <c r="AX15" s="799">
        <f>IF(AX$2=$F15+1,Monthly!AT$21,IF(AX$2&gt;$F15+1,('Traditional Attrition'!AW15+AX147)*(1-IF(AX$2-$F15&lt;=12,SUMIFS('Attrition Modeling'!$D:$D,'Attrition Modeling'!$B:$B,'Traditional Attrition'!$E15,'Attrition Modeling'!$C:$C,'Traditional Attrition'!AX$1),VLOOKUP('Traditional Attrition'!AX$2-'Traditional Attrition'!$F15-1,'Traditional Attrition'!$A$7:$C$161,2,FALSE)*VLOOKUP(AX$1,'Attrition Modeling'!$L$15:$N$27,IF(AX$2-$F15&lt;=24,2,3),FALSE))*(1+Projection!AZ$16)*(1+IF(AX147&gt;0,'Attrition Modeling'!$N$9,0))),0))</f>
        <v>2023.5430110873924</v>
      </c>
      <c r="AY15" s="799">
        <f>IF(AY$2=$F15+1,Monthly!AU$21,IF(AY$2&gt;$F15+1,('Traditional Attrition'!AX15+AY147)*(1-IF(AY$2-$F15&lt;=12,SUMIFS('Attrition Modeling'!$D:$D,'Attrition Modeling'!$B:$B,'Traditional Attrition'!$E15,'Attrition Modeling'!$C:$C,'Traditional Attrition'!AY$1),VLOOKUP('Traditional Attrition'!AY$2-'Traditional Attrition'!$F15-1,'Traditional Attrition'!$A$7:$C$161,2,FALSE)*VLOOKUP(AY$1,'Attrition Modeling'!$L$15:$N$27,IF(AY$2-$F15&lt;=24,2,3),FALSE))*(1+Projection!BA$16)*(1+IF(AY147&gt;0,'Attrition Modeling'!$N$9,0))),0))</f>
        <v>1944.665470910229</v>
      </c>
      <c r="AZ15" s="799">
        <f>IF(AZ$2=$F15+1,Monthly!AV$21,IF(AZ$2&gt;$F15+1,('Traditional Attrition'!AY15+AZ147)*(1-IF(AZ$2-$F15&lt;=12,SUMIFS('Attrition Modeling'!$D:$D,'Attrition Modeling'!$B:$B,'Traditional Attrition'!$E15,'Attrition Modeling'!$C:$C,'Traditional Attrition'!AZ$1),VLOOKUP('Traditional Attrition'!AZ$2-'Traditional Attrition'!$F15-1,'Traditional Attrition'!$A$7:$C$161,2,FALSE)*VLOOKUP(AZ$1,'Attrition Modeling'!$L$15:$N$27,IF(AZ$2-$F15&lt;=24,2,3),FALSE))*(1+Projection!BB$16)*(1+IF(AZ147&gt;0,'Attrition Modeling'!$N$9,0))),0))</f>
        <v>1874.3123892195918</v>
      </c>
      <c r="BA15" s="799">
        <f>IF(BA$2=$F15+1,Monthly!AW$21,IF(BA$2&gt;$F15+1,('Traditional Attrition'!AZ15+BA147)*(1-IF(BA$2-$F15&lt;=12,SUMIFS('Attrition Modeling'!$D:$D,'Attrition Modeling'!$B:$B,'Traditional Attrition'!$E15,'Attrition Modeling'!$C:$C,'Traditional Attrition'!BA$1),VLOOKUP('Traditional Attrition'!BA$2-'Traditional Attrition'!$F15-1,'Traditional Attrition'!$A$7:$C$161,2,FALSE)*VLOOKUP(BA$1,'Attrition Modeling'!$L$15:$N$27,IF(BA$2-$F15&lt;=24,2,3),FALSE))*(1+Projection!BC$16)*(1+IF(BA147&gt;0,'Attrition Modeling'!$N$9,0))),0))</f>
        <v>1809.5902753054088</v>
      </c>
      <c r="BB15" s="799">
        <f>IF(BB$2=$F15+1,Monthly!AX$21,IF(BB$2&gt;$F15+1,('Traditional Attrition'!BA15+BB147)*(1-IF(BB$2-$F15&lt;=12,SUMIFS('Attrition Modeling'!$D:$D,'Attrition Modeling'!$B:$B,'Traditional Attrition'!$E15,'Attrition Modeling'!$C:$C,'Traditional Attrition'!BB$1),VLOOKUP('Traditional Attrition'!BB$2-'Traditional Attrition'!$F15-1,'Traditional Attrition'!$A$7:$C$161,2,FALSE)*VLOOKUP(BB$1,'Attrition Modeling'!$L$15:$N$27,IF(BB$2-$F15&lt;=24,2,3),FALSE))*(1+Projection!BD$16)*(1+IF(BB147&gt;0,'Attrition Modeling'!$N$9,0))),0))</f>
        <v>1749.2025922474045</v>
      </c>
      <c r="BC15" s="799">
        <f>IF(BC$2=$F15+1,Monthly!AY$21,IF(BC$2&gt;$F15+1,('Traditional Attrition'!BB15+BC147)*(1-IF(BC$2-$F15&lt;=12,SUMIFS('Attrition Modeling'!$D:$D,'Attrition Modeling'!$B:$B,'Traditional Attrition'!$E15,'Attrition Modeling'!$C:$C,'Traditional Attrition'!BC$1),VLOOKUP('Traditional Attrition'!BC$2-'Traditional Attrition'!$F15-1,'Traditional Attrition'!$A$7:$C$161,2,FALSE)*VLOOKUP(BC$1,'Attrition Modeling'!$L$15:$N$27,IF(BC$2-$F15&lt;=24,2,3),FALSE))*(1+Projection!BE$16)*(1+IF(BC147&gt;0,'Attrition Modeling'!$N$9,0))),0))</f>
        <v>1701.6304569504703</v>
      </c>
      <c r="BD15" s="799">
        <f>IF(BD$2=$F15+1,Monthly!AZ$21,IF(BD$2&gt;$F15+1,('Traditional Attrition'!BC15+BD147)*(1-IF(BD$2-$F15&lt;=12,SUMIFS('Attrition Modeling'!$D:$D,'Attrition Modeling'!$B:$B,'Traditional Attrition'!$E15,'Attrition Modeling'!$C:$C,'Traditional Attrition'!BD$1),VLOOKUP('Traditional Attrition'!BD$2-'Traditional Attrition'!$F15-1,'Traditional Attrition'!$A$7:$C$161,2,FALSE)*VLOOKUP(BD$1,'Attrition Modeling'!$L$15:$N$27,IF(BD$2-$F15&lt;=24,2,3),FALSE))*(1+Projection!BF$16)*(1+IF(BD147&gt;0,'Attrition Modeling'!$N$9,0))),0))</f>
        <v>1650.9505798637888</v>
      </c>
      <c r="BE15" s="799">
        <f>IF(BE$2=$F15+1,Monthly!BA$21,IF(BE$2&gt;$F15+1,('Traditional Attrition'!BD15+BE147)*(1-IF(BE$2-$F15&lt;=12,SUMIFS('Attrition Modeling'!$D:$D,'Attrition Modeling'!$B:$B,'Traditional Attrition'!$E15,'Attrition Modeling'!$C:$C,'Traditional Attrition'!BE$1),VLOOKUP('Traditional Attrition'!BE$2-'Traditional Attrition'!$F15-1,'Traditional Attrition'!$A$7:$C$161,2,FALSE)*VLOOKUP(BE$1,'Attrition Modeling'!$L$15:$N$27,IF(BE$2-$F15&lt;=24,2,3),FALSE))*(1+Projection!BG$16)*(1+IF(BE147&gt;0,'Attrition Modeling'!$N$9,0))),0))</f>
        <v>1603.8296242530171</v>
      </c>
      <c r="BF15" s="799">
        <f>IF(BF$2=$F15+1,Monthly!BB$21,IF(BF$2&gt;$F15+1,('Traditional Attrition'!BE15+BF147)*(1-IF(BF$2-$F15&lt;=12,SUMIFS('Attrition Modeling'!$D:$D,'Attrition Modeling'!$B:$B,'Traditional Attrition'!$E15,'Attrition Modeling'!$C:$C,'Traditional Attrition'!BF$1),VLOOKUP('Traditional Attrition'!BF$2-'Traditional Attrition'!$F15-1,'Traditional Attrition'!$A$7:$C$161,2,FALSE)*VLOOKUP(BF$1,'Attrition Modeling'!$L$15:$N$27,IF(BF$2-$F15&lt;=24,2,3),FALSE))*(1+Projection!BH$16)*(1+IF(BF147&gt;0,'Attrition Modeling'!$N$9,0))),0))</f>
        <v>1560.4365821456452</v>
      </c>
      <c r="BG15" s="799">
        <f>IF(BG$2=$F15+1,Monthly!BC$21,IF(BG$2&gt;$F15+1,('Traditional Attrition'!BF15+BG147)*(1-IF(BG$2-$F15&lt;=12,SUMIFS('Attrition Modeling'!$D:$D,'Attrition Modeling'!$B:$B,'Traditional Attrition'!$E15,'Attrition Modeling'!$C:$C,'Traditional Attrition'!BG$1),VLOOKUP('Traditional Attrition'!BG$2-'Traditional Attrition'!$F15-1,'Traditional Attrition'!$A$7:$C$161,2,FALSE)*VLOOKUP(BG$1,'Attrition Modeling'!$L$15:$N$27,IF(BG$2-$F15&lt;=24,2,3),FALSE))*(1+Projection!BI$16)*(1+IF(BG147&gt;0,'Attrition Modeling'!$N$9,0))),0))</f>
        <v>1527.2068399215077</v>
      </c>
      <c r="BH15" s="799">
        <f>IF(BH$2=$F15+1,Monthly!BD$21,IF(BH$2&gt;$F15+1,('Traditional Attrition'!BG15+BH147)*(1-IF(BH$2-$F15&lt;=12,SUMIFS('Attrition Modeling'!$D:$D,'Attrition Modeling'!$B:$B,'Traditional Attrition'!$E15,'Attrition Modeling'!$C:$C,'Traditional Attrition'!BH$1),VLOOKUP('Traditional Attrition'!BH$2-'Traditional Attrition'!$F15-1,'Traditional Attrition'!$A$7:$C$161,2,FALSE)*VLOOKUP(BH$1,'Attrition Modeling'!$L$15:$N$27,IF(BH$2-$F15&lt;=24,2,3),FALSE))*(1+Projection!BJ$16)*(1+IF(BH147&gt;0,'Attrition Modeling'!$N$9,0))),0))</f>
        <v>1488.3417734208826</v>
      </c>
      <c r="BI15" s="799">
        <f>IF(BI$2=$F15+1,Monthly!BE$21,IF(BI$2&gt;$F15+1,('Traditional Attrition'!BH15+BI147)*(1-IF(BI$2-$F15&lt;=12,SUMIFS('Attrition Modeling'!$D:$D,'Attrition Modeling'!$B:$B,'Traditional Attrition'!$E15,'Attrition Modeling'!$C:$C,'Traditional Attrition'!BI$1),VLOOKUP('Traditional Attrition'!BI$2-'Traditional Attrition'!$F15-1,'Traditional Attrition'!$A$7:$C$161,2,FALSE)*VLOOKUP(BI$1,'Attrition Modeling'!$L$15:$N$27,IF(BI$2-$F15&lt;=24,2,3),FALSE))*(1+Projection!BK$16)*(1+IF(BI147&gt;0,'Attrition Modeling'!$N$9,0))),0))</f>
        <v>1574.9365104411124</v>
      </c>
      <c r="BJ15" s="799">
        <f>IF(BJ$2=$F15+1,Monthly!BF$21,IF(BJ$2&gt;$F15+1,('Traditional Attrition'!BI15+BJ147)*(1-IF(BJ$2-$F15&lt;=12,SUMIFS('Attrition Modeling'!$D:$D,'Attrition Modeling'!$B:$B,'Traditional Attrition'!$E15,'Attrition Modeling'!$C:$C,'Traditional Attrition'!BJ$1),VLOOKUP('Traditional Attrition'!BJ$2-'Traditional Attrition'!$F15-1,'Traditional Attrition'!$A$7:$C$161,2,FALSE)*VLOOKUP(BJ$1,'Attrition Modeling'!$L$15:$N$27,IF(BJ$2-$F15&lt;=24,2,3),FALSE))*(1+Projection!BL$16)*(1+IF(BJ147&gt;0,'Attrition Modeling'!$N$9,0))),0))</f>
        <v>1526.0802669728107</v>
      </c>
      <c r="BK15" s="799">
        <f>IF(BK$2=$F15+1,Monthly!BG$21,IF(BK$2&gt;$F15+1,('Traditional Attrition'!BJ15+BK147)*(1-IF(BK$2-$F15&lt;=12,SUMIFS('Attrition Modeling'!$D:$D,'Attrition Modeling'!$B:$B,'Traditional Attrition'!$E15,'Attrition Modeling'!$C:$C,'Traditional Attrition'!BK$1),VLOOKUP('Traditional Attrition'!BK$2-'Traditional Attrition'!$F15-1,'Traditional Attrition'!$A$7:$C$161,2,FALSE)*VLOOKUP(BK$1,'Attrition Modeling'!$L$15:$N$27,IF(BK$2-$F15&lt;=24,2,3),FALSE))*(1+Projection!BM$16)*(1+IF(BK147&gt;0,'Attrition Modeling'!$N$9,0))),0))</f>
        <v>1475.7351398713529</v>
      </c>
      <c r="BL15" s="799">
        <f>IF(BL$2=$F15+1,Monthly!BH$21,IF(BL$2&gt;$F15+1,('Traditional Attrition'!BK15+BL147)*(1-IF(BL$2-$F15&lt;=12,SUMIFS('Attrition Modeling'!$D:$D,'Attrition Modeling'!$B:$B,'Traditional Attrition'!$E15,'Attrition Modeling'!$C:$C,'Traditional Attrition'!BL$1),VLOOKUP('Traditional Attrition'!BL$2-'Traditional Attrition'!$F15-1,'Traditional Attrition'!$A$7:$C$161,2,FALSE)*VLOOKUP(BL$1,'Attrition Modeling'!$L$15:$N$27,IF(BL$2-$F15&lt;=24,2,3),FALSE))*(1+Projection!BN$16)*(1+IF(BL147&gt;0,'Attrition Modeling'!$N$9,0))),0))</f>
        <v>1430.4522597081179</v>
      </c>
      <c r="BM15" s="799">
        <f>IF(BM$2=$F15+1,Monthly!BI$21,IF(BM$2&gt;$F15+1,('Traditional Attrition'!BL15+BM147)*(1-IF(BM$2-$F15&lt;=12,SUMIFS('Attrition Modeling'!$D:$D,'Attrition Modeling'!$B:$B,'Traditional Attrition'!$E15,'Attrition Modeling'!$C:$C,'Traditional Attrition'!BM$1),VLOOKUP('Traditional Attrition'!BM$2-'Traditional Attrition'!$F15-1,'Traditional Attrition'!$A$7:$C$161,2,FALSE)*VLOOKUP(BM$1,'Attrition Modeling'!$L$15:$N$27,IF(BM$2-$F15&lt;=24,2,3),FALSE))*(1+Projection!BO$16)*(1+IF(BM147&gt;0,'Attrition Modeling'!$N$9,0))),0))</f>
        <v>1388.4696796485593</v>
      </c>
      <c r="BN15" s="799">
        <f>IF(BN$2=$F15+1,Monthly!BJ$21,IF(BN$2&gt;$F15+1,('Traditional Attrition'!BM15+BN147)*(1-IF(BN$2-$F15&lt;=12,SUMIFS('Attrition Modeling'!$D:$D,'Attrition Modeling'!$B:$B,'Traditional Attrition'!$E15,'Attrition Modeling'!$C:$C,'Traditional Attrition'!BN$1),VLOOKUP('Traditional Attrition'!BN$2-'Traditional Attrition'!$F15-1,'Traditional Attrition'!$A$7:$C$161,2,FALSE)*VLOOKUP(BN$1,'Attrition Modeling'!$L$15:$N$27,IF(BN$2-$F15&lt;=24,2,3),FALSE))*(1+Projection!BP$16)*(1+IF(BN147&gt;0,'Attrition Modeling'!$N$9,0))),0))</f>
        <v>1349.0112176048335</v>
      </c>
      <c r="BO15" s="799">
        <f>IF(BO$2=$F15+1,Monthly!BK$21,IF(BO$2&gt;$F15+1,('Traditional Attrition'!BN15+BO147)*(1-IF(BO$2-$F15&lt;=12,SUMIFS('Attrition Modeling'!$D:$D,'Attrition Modeling'!$B:$B,'Traditional Attrition'!$E15,'Attrition Modeling'!$C:$C,'Traditional Attrition'!BO$1),VLOOKUP('Traditional Attrition'!BO$2-'Traditional Attrition'!$F15-1,'Traditional Attrition'!$A$7:$C$161,2,FALSE)*VLOOKUP(BO$1,'Attrition Modeling'!$L$15:$N$27,IF(BO$2-$F15&lt;=24,2,3),FALSE))*(1+Projection!BV$16)*(1+IF(BO147&gt;0,'Attrition Modeling'!$N$9,0))),0))</f>
        <v>1317.7093298852699</v>
      </c>
      <c r="BP15" s="799">
        <f>IF(BP$2=$F15+1,Monthly!BL$21,IF(BP$2&gt;$F15+1,('Traditional Attrition'!BO15+BP147)*(1-IF(BP$2-$F15&lt;=12,SUMIFS('Attrition Modeling'!$D:$D,'Attrition Modeling'!$B:$B,'Traditional Attrition'!$E15,'Attrition Modeling'!$C:$C,'Traditional Attrition'!BP$1),VLOOKUP('Traditional Attrition'!BP$2-'Traditional Attrition'!$F15-1,'Traditional Attrition'!$A$7:$C$161,2,FALSE)*VLOOKUP(BP$1,'Attrition Modeling'!$L$15:$N$27,IF(BP$2-$F15&lt;=24,2,3),FALSE))*(1+Projection!BW$16)*(1+IF(BP147&gt;0,'Attrition Modeling'!$N$9,0))),0))</f>
        <v>1284.3919866607623</v>
      </c>
      <c r="BQ15" s="799">
        <f>IF(BQ$2=$F15+1,Monthly!BM$21,IF(BQ$2&gt;$F15+1,('Traditional Attrition'!BP15+BQ147)*(1-IF(BQ$2-$F15&lt;=12,SUMIFS('Attrition Modeling'!$D:$D,'Attrition Modeling'!$B:$B,'Traditional Attrition'!$E15,'Attrition Modeling'!$C:$C,'Traditional Attrition'!BQ$1),VLOOKUP('Traditional Attrition'!BQ$2-'Traditional Attrition'!$F15-1,'Traditional Attrition'!$A$7:$C$161,2,FALSE)*VLOOKUP(BQ$1,'Attrition Modeling'!$L$15:$N$27,IF(BQ$2-$F15&lt;=24,2,3),FALSE))*(1+Projection!BX$16)*(1+IF(BQ147&gt;0,'Attrition Modeling'!$N$9,0))),0))</f>
        <v>1253.2235251556776</v>
      </c>
      <c r="BR15" s="799">
        <f>IF(BR$2=$F15+1,Monthly!BN$21,IF(BR$2&gt;$F15+1,('Traditional Attrition'!BQ15+BR147)*(1-IF(BR$2-$F15&lt;=12,SUMIFS('Attrition Modeling'!$D:$D,'Attrition Modeling'!$B:$B,'Traditional Attrition'!$E15,'Attrition Modeling'!$C:$C,'Traditional Attrition'!BR$1),VLOOKUP('Traditional Attrition'!BR$2-'Traditional Attrition'!$F15-1,'Traditional Attrition'!$A$7:$C$161,2,FALSE)*VLOOKUP(BR$1,'Attrition Modeling'!$L$15:$N$27,IF(BR$2-$F15&lt;=24,2,3),FALSE))*(1+Projection!BY$16)*(1+IF(BR147&gt;0,'Attrition Modeling'!$N$9,0))),0))</f>
        <v>1224.3533518803813</v>
      </c>
      <c r="BS15" s="799">
        <f>IF(BS$2=$F15+1,Monthly!BO$21,IF(BS$2&gt;$F15+1,('Traditional Attrition'!BR15+BS147)*(1-IF(BS$2-$F15&lt;=12,SUMIFS('Attrition Modeling'!$D:$D,'Attrition Modeling'!$B:$B,'Traditional Attrition'!$E15,'Attrition Modeling'!$C:$C,'Traditional Attrition'!BS$1),VLOOKUP('Traditional Attrition'!BS$2-'Traditional Attrition'!$F15-1,'Traditional Attrition'!$A$7:$C$161,2,FALSE)*VLOOKUP(BS$1,'Attrition Modeling'!$L$15:$N$27,IF(BS$2-$F15&lt;=24,2,3),FALSE))*(1+Projection!BZ$16)*(1+IF(BS147&gt;0,'Attrition Modeling'!$N$9,0))),0))</f>
        <v>1202.1236355932283</v>
      </c>
      <c r="BT15" s="799">
        <f>IF(BT$2=$F15+1,Monthly!#REF!,IF(BT$2&gt;$F15+1,('Traditional Attrition'!BS15+BT147)*(1-IF(BT$2-$F15&lt;=12,SUMIFS('Attrition Modeling'!$D:$D,'Attrition Modeling'!$B:$B,'Traditional Attrition'!$E15,'Attrition Modeling'!$C:$C,'Traditional Attrition'!BT$1),VLOOKUP('Traditional Attrition'!BT$2-'Traditional Attrition'!$F15-1,'Traditional Attrition'!$A$7:$C$161,2,FALSE)*VLOOKUP(BT$1,'Attrition Modeling'!$L$15:$N$27,IF(BT$2-$F15&lt;=24,2,3),FALSE))*(1+Projection!CA$16)*(1+IF(BT147&gt;0,'Attrition Modeling'!$N$9,0))),0))</f>
        <v>1176.0072912344281</v>
      </c>
      <c r="BU15" s="799">
        <f>IF(BU$2=$F15+1,Monthly!#REF!,IF(BU$2&gt;$F15+1,('Traditional Attrition'!BT15+BU147)*(1-IF(BU$2-$F15&lt;=12,SUMIFS('Attrition Modeling'!$D:$D,'Attrition Modeling'!$B:$B,'Traditional Attrition'!$E15,'Attrition Modeling'!$C:$C,'Traditional Attrition'!BU$1),VLOOKUP('Traditional Attrition'!BU$2-'Traditional Attrition'!$F15-1,'Traditional Attrition'!$A$7:$C$161,2,FALSE)*VLOOKUP(BU$1,'Attrition Modeling'!$L$15:$N$27,IF(BU$2-$F15&lt;=24,2,3),FALSE))*(1+Projection!CB$16)*(1+IF(BU147&gt;0,'Attrition Modeling'!$N$9,0))),0))</f>
        <v>1189.45451560641</v>
      </c>
    </row>
    <row r="16" spans="1:73" ht="14.25" customHeight="1" x14ac:dyDescent="0.2">
      <c r="A16" s="800">
        <v>9</v>
      </c>
      <c r="B16" s="779" t="e">
        <f>'Attrition Modeling'!H13*(1-Summary!$C$20)</f>
        <v>#DIV/0!</v>
      </c>
      <c r="C16" s="780" t="e">
        <f t="shared" si="4"/>
        <v>#DIV/0!</v>
      </c>
      <c r="E16" s="11">
        <f t="shared" si="2"/>
        <v>1</v>
      </c>
      <c r="F16" s="11">
        <f t="shared" si="3"/>
        <v>13</v>
      </c>
      <c r="G16" s="799"/>
      <c r="H16" s="799">
        <f>IF(H$2=$F16+1,Monthly!D$21,IF(H$2&gt;$F16+1,('Traditional Attrition'!G16+H148)*(1-IF(H$2-$F16&lt;=12,SUMIFS('Attrition Modeling'!$D:$D,'Attrition Modeling'!$B:$B,'Traditional Attrition'!$E16,'Attrition Modeling'!$C:$C,'Traditional Attrition'!H$1),VLOOKUP('Traditional Attrition'!H$2-'Traditional Attrition'!$F16-1,'Traditional Attrition'!$A$7:$C$161,2,FALSE)*VLOOKUP(H$1,'Attrition Modeling'!$L$15:$N$27,IF(H$2-$F16&lt;=24,2,3),FALSE))*(1+Projection!J$16)*(1+IF(H148&gt;0,'Attrition Modeling'!$N$9,0))),0))</f>
        <v>0</v>
      </c>
      <c r="I16" s="799">
        <f>IF(I$2=$F16+1,Monthly!E$21,IF(I$2&gt;$F16+1,('Traditional Attrition'!H16+I148)*(1-IF(I$2-$F16&lt;=12,SUMIFS('Attrition Modeling'!$D:$D,'Attrition Modeling'!$B:$B,'Traditional Attrition'!$E16,'Attrition Modeling'!$C:$C,'Traditional Attrition'!I$1),VLOOKUP('Traditional Attrition'!I$2-'Traditional Attrition'!$F16-1,'Traditional Attrition'!$A$7:$C$161,2,FALSE)*VLOOKUP(I$1,'Attrition Modeling'!$L$15:$N$27,IF(I$2-$F16&lt;=24,2,3),FALSE))*(1+Projection!K$16)*(1+IF(I148&gt;0,'Attrition Modeling'!$N$9,0))),0))</f>
        <v>0</v>
      </c>
      <c r="J16" s="799">
        <f>IF(J$2=$F16+1,Monthly!F$21,IF(J$2&gt;$F16+1,('Traditional Attrition'!I16+J148)*(1-IF(J$2-$F16&lt;=12,SUMIFS('Attrition Modeling'!$D:$D,'Attrition Modeling'!$B:$B,'Traditional Attrition'!$E16,'Attrition Modeling'!$C:$C,'Traditional Attrition'!J$1),VLOOKUP('Traditional Attrition'!J$2-'Traditional Attrition'!$F16-1,'Traditional Attrition'!$A$7:$C$161,2,FALSE)*VLOOKUP(J$1,'Attrition Modeling'!$L$15:$N$27,IF(J$2-$F16&lt;=24,2,3),FALSE))*(1+Projection!L$16)*(1+IF(J148&gt;0,'Attrition Modeling'!$N$9,0))),0))</f>
        <v>0</v>
      </c>
      <c r="K16" s="799">
        <f>IF(K$2=$F16+1,Monthly!G$21,IF(K$2&gt;$F16+1,('Traditional Attrition'!J16+K148)*(1-IF(K$2-$F16&lt;=12,SUMIFS('Attrition Modeling'!$D:$D,'Attrition Modeling'!$B:$B,'Traditional Attrition'!$E16,'Attrition Modeling'!$C:$C,'Traditional Attrition'!K$1),VLOOKUP('Traditional Attrition'!K$2-'Traditional Attrition'!$F16-1,'Traditional Attrition'!$A$7:$C$161,2,FALSE)*VLOOKUP(K$1,'Attrition Modeling'!$L$15:$N$27,IF(K$2-$F16&lt;=24,2,3),FALSE))*(1+Projection!M$16)*(1+IF(K148&gt;0,'Attrition Modeling'!$N$9,0))),0))</f>
        <v>0</v>
      </c>
      <c r="L16" s="799">
        <f>IF(L$2=$F16+1,Monthly!H$21,IF(L$2&gt;$F16+1,('Traditional Attrition'!K16+L148)*(1-IF(L$2-$F16&lt;=12,SUMIFS('Attrition Modeling'!$D:$D,'Attrition Modeling'!$B:$B,'Traditional Attrition'!$E16,'Attrition Modeling'!$C:$C,'Traditional Attrition'!L$1),VLOOKUP('Traditional Attrition'!L$2-'Traditional Attrition'!$F16-1,'Traditional Attrition'!$A$7:$C$161,2,FALSE)*VLOOKUP(L$1,'Attrition Modeling'!$L$15:$N$27,IF(L$2-$F16&lt;=24,2,3),FALSE))*(1+Projection!N$16)*(1+IF(L148&gt;0,'Attrition Modeling'!$N$9,0))),0))</f>
        <v>0</v>
      </c>
      <c r="M16" s="799">
        <f>IF(M$2=$F16+1,Monthly!I$21,IF(M$2&gt;$F16+1,('Traditional Attrition'!L16+M148)*(1-IF(M$2-$F16&lt;=12,SUMIFS('Attrition Modeling'!$D:$D,'Attrition Modeling'!$B:$B,'Traditional Attrition'!$E16,'Attrition Modeling'!$C:$C,'Traditional Attrition'!M$1),VLOOKUP('Traditional Attrition'!M$2-'Traditional Attrition'!$F16-1,'Traditional Attrition'!$A$7:$C$161,2,FALSE)*VLOOKUP(M$1,'Attrition Modeling'!$L$15:$N$27,IF(M$2-$F16&lt;=24,2,3),FALSE))*(1+Projection!O$16)*(1+IF(M148&gt;0,'Attrition Modeling'!$N$9,0))),0))</f>
        <v>0</v>
      </c>
      <c r="N16" s="799">
        <f>IF(N$2=$F16+1,Monthly!J$21,IF(N$2&gt;$F16+1,('Traditional Attrition'!M16+N148)*(1-IF(N$2-$F16&lt;=12,SUMIFS('Attrition Modeling'!$D:$D,'Attrition Modeling'!$B:$B,'Traditional Attrition'!$E16,'Attrition Modeling'!$C:$C,'Traditional Attrition'!N$1),VLOOKUP('Traditional Attrition'!N$2-'Traditional Attrition'!$F16-1,'Traditional Attrition'!$A$7:$C$161,2,FALSE)*VLOOKUP(N$1,'Attrition Modeling'!$L$15:$N$27,IF(N$2-$F16&lt;=24,2,3),FALSE))*(1+Projection!P$16)*(1+IF(N148&gt;0,'Attrition Modeling'!$N$9,0))),0))</f>
        <v>0</v>
      </c>
      <c r="O16" s="799">
        <f>IF(O$2=$F16+1,Monthly!K$21,IF(O$2&gt;$F16+1,('Traditional Attrition'!N16+O148)*(1-IF(O$2-$F16&lt;=12,SUMIFS('Attrition Modeling'!$D:$D,'Attrition Modeling'!$B:$B,'Traditional Attrition'!$E16,'Attrition Modeling'!$C:$C,'Traditional Attrition'!O$1),VLOOKUP('Traditional Attrition'!O$2-'Traditional Attrition'!$F16-1,'Traditional Attrition'!$A$7:$C$161,2,FALSE)*VLOOKUP(O$1,'Attrition Modeling'!$L$15:$N$27,IF(O$2-$F16&lt;=24,2,3),FALSE))*(1+Projection!Q$16)*(1+IF(O148&gt;0,'Attrition Modeling'!$N$9,0))),0))</f>
        <v>0</v>
      </c>
      <c r="P16" s="799">
        <f>IF(P$2=$F16+1,Monthly!L$21,IF(P$2&gt;$F16+1,('Traditional Attrition'!O16+P148)*(1-IF(P$2-$F16&lt;=12,SUMIFS('Attrition Modeling'!$D:$D,'Attrition Modeling'!$B:$B,'Traditional Attrition'!$E16,'Attrition Modeling'!$C:$C,'Traditional Attrition'!P$1),VLOOKUP('Traditional Attrition'!P$2-'Traditional Attrition'!$F16-1,'Traditional Attrition'!$A$7:$C$161,2,FALSE)*VLOOKUP(P$1,'Attrition Modeling'!$L$15:$N$27,IF(P$2-$F16&lt;=24,2,3),FALSE))*(1+Projection!R$16)*(1+IF(P148&gt;0,'Attrition Modeling'!$N$9,0))),0))</f>
        <v>0</v>
      </c>
      <c r="Q16" s="799">
        <f>IF(Q$2=$F16+1,Monthly!M$21,IF(Q$2&gt;$F16+1,('Traditional Attrition'!P16+Q148)*(1-IF(Q$2-$F16&lt;=12,SUMIFS('Attrition Modeling'!$D:$D,'Attrition Modeling'!$B:$B,'Traditional Attrition'!$E16,'Attrition Modeling'!$C:$C,'Traditional Attrition'!Q$1),VLOOKUP('Traditional Attrition'!Q$2-'Traditional Attrition'!$F16-1,'Traditional Attrition'!$A$7:$C$161,2,FALSE)*VLOOKUP(Q$1,'Attrition Modeling'!$L$15:$N$27,IF(Q$2-$F16&lt;=24,2,3),FALSE))*(1+Projection!S$16)*(1+IF(Q148&gt;0,'Attrition Modeling'!$N$9,0))),0))</f>
        <v>0</v>
      </c>
      <c r="R16" s="799">
        <f>IF(R$2=$F16+1,Monthly!N$21,IF(R$2&gt;$F16+1,('Traditional Attrition'!Q16+R148)*(1-IF(R$2-$F16&lt;=12,SUMIFS('Attrition Modeling'!$D:$D,'Attrition Modeling'!$B:$B,'Traditional Attrition'!$E16,'Attrition Modeling'!$C:$C,'Traditional Attrition'!R$1),VLOOKUP('Traditional Attrition'!R$2-'Traditional Attrition'!$F16-1,'Traditional Attrition'!$A$7:$C$161,2,FALSE)*VLOOKUP(R$1,'Attrition Modeling'!$L$15:$N$27,IF(R$2-$F16&lt;=24,2,3),FALSE))*(1+Projection!T$16)*(1+IF(R148&gt;0,'Attrition Modeling'!$N$9,0))),0))</f>
        <v>0</v>
      </c>
      <c r="S16" s="799">
        <f>IF(S$2=$F16+1,Monthly!O$21,IF(S$2&gt;$F16+1,('Traditional Attrition'!R16+S148)*(1-IF(S$2-$F16&lt;=12,SUMIFS('Attrition Modeling'!$D:$D,'Attrition Modeling'!$B:$B,'Traditional Attrition'!$E16,'Attrition Modeling'!$C:$C,'Traditional Attrition'!S$1),VLOOKUP('Traditional Attrition'!S$2-'Traditional Attrition'!$F16-1,'Traditional Attrition'!$A$7:$C$161,2,FALSE)*VLOOKUP(S$1,'Attrition Modeling'!$L$15:$N$27,IF(S$2-$F16&lt;=24,2,3),FALSE))*(1+Projection!U$16)*(1+IF(S148&gt;0,'Attrition Modeling'!$N$9,0))),0))</f>
        <v>0</v>
      </c>
      <c r="T16" s="799">
        <f>IF(T$2=$F16+1,Monthly!P$21,IF(T$2&gt;$F16+1,('Traditional Attrition'!S16+T148)*(1-IF(T$2-$F16&lt;=12,SUMIFS('Attrition Modeling'!$D:$D,'Attrition Modeling'!$B:$B,'Traditional Attrition'!$E16,'Attrition Modeling'!$C:$C,'Traditional Attrition'!T$1),VLOOKUP('Traditional Attrition'!T$2-'Traditional Attrition'!$F16-1,'Traditional Attrition'!$A$7:$C$161,2,FALSE)*VLOOKUP(T$1,'Attrition Modeling'!$L$15:$N$27,IF(T$2-$F16&lt;=24,2,3),FALSE))*(1+Projection!V$16)*(1+IF(T148&gt;0,'Attrition Modeling'!$N$9,0))),0))</f>
        <v>0</v>
      </c>
      <c r="U16" s="799">
        <f>IF(U$2=$F16+1,Monthly!Q$21,IF(U$2&gt;$F16+1,('Traditional Attrition'!T16+U148)*(1-IF(U$2-$F16&lt;=12,SUMIFS('Attrition Modeling'!$D:$D,'Attrition Modeling'!$B:$B,'Traditional Attrition'!$E16,'Attrition Modeling'!$C:$C,'Traditional Attrition'!U$1),VLOOKUP('Traditional Attrition'!U$2-'Traditional Attrition'!$F16-1,'Traditional Attrition'!$A$7:$C$161,2,FALSE)*VLOOKUP(U$1,'Attrition Modeling'!$L$15:$N$27,IF(U$2-$F16&lt;=24,2,3),FALSE))*(1+Projection!W$16)*(1+IF(U148&gt;0,'Attrition Modeling'!$N$9,0))),0))</f>
        <v>7894.7811377028129</v>
      </c>
      <c r="V16" s="799">
        <f>IF(V$2=$F16+1,Monthly!R$21,IF(V$2&gt;$F16+1,('Traditional Attrition'!U16+V148)*(1-IF(V$2-$F16&lt;=12,SUMIFS('Attrition Modeling'!$D:$D,'Attrition Modeling'!$B:$B,'Traditional Attrition'!$E16,'Attrition Modeling'!$C:$C,'Traditional Attrition'!V$1),VLOOKUP('Traditional Attrition'!V$2-'Traditional Attrition'!$F16-1,'Traditional Attrition'!$A$7:$C$161,2,FALSE)*VLOOKUP(V$1,'Attrition Modeling'!$L$15:$N$27,IF(V$2-$F16&lt;=24,2,3),FALSE))*(1+Projection!X$16)*(1+IF(V148&gt;0,'Attrition Modeling'!$N$9,0))),0))</f>
        <v>7099.352727389045</v>
      </c>
      <c r="W16" s="799">
        <f>IF(W$2=$F16+1,Monthly!S$21,IF(W$2&gt;$F16+1,('Traditional Attrition'!V16+W148)*(1-IF(W$2-$F16&lt;=12,SUMIFS('Attrition Modeling'!$D:$D,'Attrition Modeling'!$B:$B,'Traditional Attrition'!$E16,'Attrition Modeling'!$C:$C,'Traditional Attrition'!W$1),VLOOKUP('Traditional Attrition'!W$2-'Traditional Attrition'!$F16-1,'Traditional Attrition'!$A$7:$C$161,2,FALSE)*VLOOKUP(W$1,'Attrition Modeling'!$L$15:$N$27,IF(W$2-$F16&lt;=24,2,3),FALSE))*(1+Projection!Y$16)*(1+IF(W148&gt;0,'Attrition Modeling'!$N$9,0))),0))</f>
        <v>6506.4743511668948</v>
      </c>
      <c r="X16" s="799">
        <f>IF(X$2=$F16+1,Monthly!T$21,IF(X$2&gt;$F16+1,('Traditional Attrition'!W16+X148)*(1-IF(X$2-$F16&lt;=12,SUMIFS('Attrition Modeling'!$D:$D,'Attrition Modeling'!$B:$B,'Traditional Attrition'!$E16,'Attrition Modeling'!$C:$C,'Traditional Attrition'!X$1),VLOOKUP('Traditional Attrition'!X$2-'Traditional Attrition'!$F16-1,'Traditional Attrition'!$A$7:$C$161,2,FALSE)*VLOOKUP(X$1,'Attrition Modeling'!$L$15:$N$27,IF(X$2-$F16&lt;=24,2,3),FALSE))*(1+Projection!Z$16)*(1+IF(X148&gt;0,'Attrition Modeling'!$N$9,0))),0))</f>
        <v>5908.0160625330936</v>
      </c>
      <c r="Y16" s="799">
        <f>IF(Y$2=$F16+1,Monthly!U$21,IF(Y$2&gt;$F16+1,('Traditional Attrition'!X16+Y148)*(1-IF(Y$2-$F16&lt;=12,SUMIFS('Attrition Modeling'!$D:$D,'Attrition Modeling'!$B:$B,'Traditional Attrition'!$E16,'Attrition Modeling'!$C:$C,'Traditional Attrition'!Y$1),VLOOKUP('Traditional Attrition'!Y$2-'Traditional Attrition'!$F16-1,'Traditional Attrition'!$A$7:$C$161,2,FALSE)*VLOOKUP(Y$1,'Attrition Modeling'!$L$15:$N$27,IF(Y$2-$F16&lt;=24,2,3),FALSE))*(1+Projection!AA$16)*(1+IF(Y148&gt;0,'Attrition Modeling'!$N$9,0))),0))</f>
        <v>5429.4589038065496</v>
      </c>
      <c r="Z16" s="799">
        <f>IF(Z$2=$F16+1,Monthly!V$21,IF(Z$2&gt;$F16+1,('Traditional Attrition'!Y16+Z148)*(1-IF(Z$2-$F16&lt;=12,SUMIFS('Attrition Modeling'!$D:$D,'Attrition Modeling'!$B:$B,'Traditional Attrition'!$E16,'Attrition Modeling'!$C:$C,'Traditional Attrition'!Z$1),VLOOKUP('Traditional Attrition'!Z$2-'Traditional Attrition'!$F16-1,'Traditional Attrition'!$A$7:$C$161,2,FALSE)*VLOOKUP(Z$1,'Attrition Modeling'!$L$15:$N$27,IF(Z$2-$F16&lt;=24,2,3),FALSE))*(1+Projection!AB$16)*(1+IF(Z148&gt;0,'Attrition Modeling'!$N$9,0))),0))</f>
        <v>5337.7915041600127</v>
      </c>
      <c r="AA16" s="799">
        <f>IF(AA$2=$F16+1,Monthly!W$21,IF(AA$2&gt;$F16+1,('Traditional Attrition'!Z16+AA148)*(1-IF(AA$2-$F16&lt;=12,SUMIFS('Attrition Modeling'!$D:$D,'Attrition Modeling'!$B:$B,'Traditional Attrition'!$E16,'Attrition Modeling'!$C:$C,'Traditional Attrition'!AA$1),VLOOKUP('Traditional Attrition'!AA$2-'Traditional Attrition'!$F16-1,'Traditional Attrition'!$A$7:$C$161,2,FALSE)*VLOOKUP(AA$1,'Attrition Modeling'!$L$15:$N$27,IF(AA$2-$F16&lt;=24,2,3),FALSE))*(1+Projection!AC$16)*(1+IF(AA148&gt;0,'Attrition Modeling'!$N$9,0))),0))</f>
        <v>4930.6820427255261</v>
      </c>
      <c r="AB16" s="799">
        <f>IF(AB$2=$F16+1,Monthly!X$21,IF(AB$2&gt;$F16+1,('Traditional Attrition'!AA16+AB148)*(1-IF(AB$2-$F16&lt;=12,SUMIFS('Attrition Modeling'!$D:$D,'Attrition Modeling'!$B:$B,'Traditional Attrition'!$E16,'Attrition Modeling'!$C:$C,'Traditional Attrition'!AB$1),VLOOKUP('Traditional Attrition'!AB$2-'Traditional Attrition'!$F16-1,'Traditional Attrition'!$A$7:$C$161,2,FALSE)*VLOOKUP(AB$1,'Attrition Modeling'!$L$15:$N$27,IF(AB$2-$F16&lt;=24,2,3),FALSE))*(1+Projection!AD$16)*(1+IF(AB148&gt;0,'Attrition Modeling'!$N$9,0))),0))</f>
        <v>4628.2816859200957</v>
      </c>
      <c r="AC16" s="799">
        <f>IF(AC$2=$F16+1,Monthly!Y$21,IF(AC$2&gt;$F16+1,('Traditional Attrition'!AB16+AC148)*(1-IF(AC$2-$F16&lt;=12,SUMIFS('Attrition Modeling'!$D:$D,'Attrition Modeling'!$B:$B,'Traditional Attrition'!$E16,'Attrition Modeling'!$C:$C,'Traditional Attrition'!AC$1),VLOOKUP('Traditional Attrition'!AC$2-'Traditional Attrition'!$F16-1,'Traditional Attrition'!$A$7:$C$161,2,FALSE)*VLOOKUP(AC$1,'Attrition Modeling'!$L$15:$N$27,IF(AC$2-$F16&lt;=24,2,3),FALSE))*(1+Projection!AE$16)*(1+IF(AC148&gt;0,'Attrition Modeling'!$N$9,0))),0))</f>
        <v>4331.2767043588356</v>
      </c>
      <c r="AD16" s="799">
        <f>IF(AD$2=$F16+1,Monthly!Z$21,IF(AD$2&gt;$F16+1,('Traditional Attrition'!AC16+AD148)*(1-IF(AD$2-$F16&lt;=12,SUMIFS('Attrition Modeling'!$D:$D,'Attrition Modeling'!$B:$B,'Traditional Attrition'!$E16,'Attrition Modeling'!$C:$C,'Traditional Attrition'!AD$1),VLOOKUP('Traditional Attrition'!AD$2-'Traditional Attrition'!$F16-1,'Traditional Attrition'!$A$7:$C$161,2,FALSE)*VLOOKUP(AD$1,'Attrition Modeling'!$L$15:$N$27,IF(AD$2-$F16&lt;=24,2,3),FALSE))*(1+Projection!AF$16)*(1+IF(AD148&gt;0,'Attrition Modeling'!$N$9,0))),0))</f>
        <v>4072.5352430959838</v>
      </c>
      <c r="AE16" s="799">
        <f>IF(AE$2=$F16+1,Monthly!AA$21,IF(AE$2&gt;$F16+1,('Traditional Attrition'!AD16+AE148)*(1-IF(AE$2-$F16&lt;=12,SUMIFS('Attrition Modeling'!$D:$D,'Attrition Modeling'!$B:$B,'Traditional Attrition'!$E16,'Attrition Modeling'!$C:$C,'Traditional Attrition'!AE$1),VLOOKUP('Traditional Attrition'!AE$2-'Traditional Attrition'!$F16-1,'Traditional Attrition'!$A$7:$C$161,2,FALSE)*VLOOKUP(AE$1,'Attrition Modeling'!$L$15:$N$27,IF(AE$2-$F16&lt;=24,2,3),FALSE))*(1+Projection!AG$16)*(1+IF(AE148&gt;0,'Attrition Modeling'!$N$9,0))),0))</f>
        <v>3834.3818122276839</v>
      </c>
      <c r="AF16" s="799">
        <f>IF(AF$2=$F16+1,Monthly!AB$21,IF(AF$2&gt;$F16+1,('Traditional Attrition'!AE16+AF148)*(1-IF(AF$2-$F16&lt;=12,SUMIFS('Attrition Modeling'!$D:$D,'Attrition Modeling'!$B:$B,'Traditional Attrition'!$E16,'Attrition Modeling'!$C:$C,'Traditional Attrition'!AF$1),VLOOKUP('Traditional Attrition'!AF$2-'Traditional Attrition'!$F16-1,'Traditional Attrition'!$A$7:$C$161,2,FALSE)*VLOOKUP(AF$1,'Attrition Modeling'!$L$15:$N$27,IF(AF$2-$F16&lt;=24,2,3),FALSE))*(1+Projection!AH$16)*(1+IF(AF148&gt;0,'Attrition Modeling'!$N$9,0))),0))</f>
        <v>3736.0702947845266</v>
      </c>
      <c r="AG16" s="799">
        <f>IF(AG$2=$F16+1,Monthly!AC$21,IF(AG$2&gt;$F16+1,('Traditional Attrition'!AF16+AG148)*(1-IF(AG$2-$F16&lt;=12,SUMIFS('Attrition Modeling'!$D:$D,'Attrition Modeling'!$B:$B,'Traditional Attrition'!$E16,'Attrition Modeling'!$C:$C,'Traditional Attrition'!AG$1),VLOOKUP('Traditional Attrition'!AG$2-'Traditional Attrition'!$F16-1,'Traditional Attrition'!$A$7:$C$161,2,FALSE)*VLOOKUP(AG$1,'Attrition Modeling'!$L$15:$N$27,IF(AG$2-$F16&lt;=24,2,3),FALSE))*(1+Projection!AI$16)*(1+IF(AG148&gt;0,'Attrition Modeling'!$N$9,0))),0))</f>
        <v>3554.6256051291116</v>
      </c>
      <c r="AH16" s="799">
        <f>IF(AH$2=$F16+1,Monthly!AD$21,IF(AH$2&gt;$F16+1,('Traditional Attrition'!AG16+AH148)*(1-IF(AH$2-$F16&lt;=12,SUMIFS('Attrition Modeling'!$D:$D,'Attrition Modeling'!$B:$B,'Traditional Attrition'!$E16,'Attrition Modeling'!$C:$C,'Traditional Attrition'!AH$1),VLOOKUP('Traditional Attrition'!AH$2-'Traditional Attrition'!$F16-1,'Traditional Attrition'!$A$7:$C$161,2,FALSE)*VLOOKUP(AH$1,'Attrition Modeling'!$L$15:$N$27,IF(AH$2-$F16&lt;=24,2,3),FALSE))*(1+Projection!AJ$16)*(1+IF(AH148&gt;0,'Attrition Modeling'!$N$9,0))),0))</f>
        <v>3381.2194465388388</v>
      </c>
      <c r="AI16" s="799">
        <f>IF(AI$2=$F16+1,Monthly!AE$21,IF(AI$2&gt;$F16+1,('Traditional Attrition'!AH16+AI148)*(1-IF(AI$2-$F16&lt;=12,SUMIFS('Attrition Modeling'!$D:$D,'Attrition Modeling'!$B:$B,'Traditional Attrition'!$E16,'Attrition Modeling'!$C:$C,'Traditional Attrition'!AI$1),VLOOKUP('Traditional Attrition'!AI$2-'Traditional Attrition'!$F16-1,'Traditional Attrition'!$A$7:$C$161,2,FALSE)*VLOOKUP(AI$1,'Attrition Modeling'!$L$15:$N$27,IF(AI$2-$F16&lt;=24,2,3),FALSE))*(1+Projection!AK$16)*(1+IF(AI148&gt;0,'Attrition Modeling'!$N$9,0))),0))</f>
        <v>3226.9804263987339</v>
      </c>
      <c r="AJ16" s="799">
        <f>IF(AJ$2=$F16+1,Monthly!AF$21,IF(AJ$2&gt;$F16+1,('Traditional Attrition'!AI16+AJ148)*(1-IF(AJ$2-$F16&lt;=12,SUMIFS('Attrition Modeling'!$D:$D,'Attrition Modeling'!$B:$B,'Traditional Attrition'!$E16,'Attrition Modeling'!$C:$C,'Traditional Attrition'!AJ$1),VLOOKUP('Traditional Attrition'!AJ$2-'Traditional Attrition'!$F16-1,'Traditional Attrition'!$A$7:$C$161,2,FALSE)*VLOOKUP(AJ$1,'Attrition Modeling'!$L$15:$N$27,IF(AJ$2-$F16&lt;=24,2,3),FALSE))*(1+Projection!AL$16)*(1+IF(AJ148&gt;0,'Attrition Modeling'!$N$9,0))),0))</f>
        <v>3086.1673989435126</v>
      </c>
      <c r="AK16" s="799">
        <f>IF(AK$2=$F16+1,Monthly!AG$21,IF(AK$2&gt;$F16+1,('Traditional Attrition'!AJ16+AK148)*(1-IF(AK$2-$F16&lt;=12,SUMIFS('Attrition Modeling'!$D:$D,'Attrition Modeling'!$B:$B,'Traditional Attrition'!$E16,'Attrition Modeling'!$C:$C,'Traditional Attrition'!AK$1),VLOOKUP('Traditional Attrition'!AK$2-'Traditional Attrition'!$F16-1,'Traditional Attrition'!$A$7:$C$161,2,FALSE)*VLOOKUP(AK$1,'Attrition Modeling'!$L$15:$N$27,IF(AK$2-$F16&lt;=24,2,3),FALSE))*(1+Projection!AM$16)*(1+IF(AK148&gt;0,'Attrition Modeling'!$N$9,0))),0))</f>
        <v>2942.6665781686306</v>
      </c>
      <c r="AL16" s="799">
        <f>IF(AL$2=$F16+1,Monthly!AH$21,IF(AL$2&gt;$F16+1,('Traditional Attrition'!AK16+AL148)*(1-IF(AL$2-$F16&lt;=12,SUMIFS('Attrition Modeling'!$D:$D,'Attrition Modeling'!$B:$B,'Traditional Attrition'!$E16,'Attrition Modeling'!$C:$C,'Traditional Attrition'!AL$1),VLOOKUP('Traditional Attrition'!AL$2-'Traditional Attrition'!$F16-1,'Traditional Attrition'!$A$7:$C$161,2,FALSE)*VLOOKUP(AL$1,'Attrition Modeling'!$L$15:$N$27,IF(AL$2-$F16&lt;=24,2,3),FALSE))*(1+Projection!AN$16)*(1+IF(AL148&gt;0,'Attrition Modeling'!$N$9,0))),0))</f>
        <v>3045.506900341069</v>
      </c>
      <c r="AM16" s="799">
        <f>IF(AM$2=$F16+1,Monthly!AI$21,IF(AM$2&gt;$F16+1,('Traditional Attrition'!AL16+AM148)*(1-IF(AM$2-$F16&lt;=12,SUMIFS('Attrition Modeling'!$D:$D,'Attrition Modeling'!$B:$B,'Traditional Attrition'!$E16,'Attrition Modeling'!$C:$C,'Traditional Attrition'!AM$1),VLOOKUP('Traditional Attrition'!AM$2-'Traditional Attrition'!$F16-1,'Traditional Attrition'!$A$7:$C$161,2,FALSE)*VLOOKUP(AM$1,'Attrition Modeling'!$L$15:$N$27,IF(AM$2-$F16&lt;=24,2,3),FALSE))*(1+Projection!AO$16)*(1+IF(AM148&gt;0,'Attrition Modeling'!$N$9,0))),0))</f>
        <v>2901.0494326872026</v>
      </c>
      <c r="AN16" s="799">
        <f>IF(AN$2=$F16+1,Monthly!AJ$21,IF(AN$2&gt;$F16+1,('Traditional Attrition'!AM16+AN148)*(1-IF(AN$2-$F16&lt;=12,SUMIFS('Attrition Modeling'!$D:$D,'Attrition Modeling'!$B:$B,'Traditional Attrition'!$E16,'Attrition Modeling'!$C:$C,'Traditional Attrition'!AN$1),VLOOKUP('Traditional Attrition'!AN$2-'Traditional Attrition'!$F16-1,'Traditional Attrition'!$A$7:$C$161,2,FALSE)*VLOOKUP(AN$1,'Attrition Modeling'!$L$15:$N$27,IF(AN$2-$F16&lt;=24,2,3),FALSE))*(1+Projection!AP$16)*(1+IF(AN148&gt;0,'Attrition Modeling'!$N$9,0))),0))</f>
        <v>2777.9552714015213</v>
      </c>
      <c r="AO16" s="799">
        <f>IF(AO$2=$F16+1,Monthly!AK$21,IF(AO$2&gt;$F16+1,('Traditional Attrition'!AN16+AO148)*(1-IF(AO$2-$F16&lt;=12,SUMIFS('Attrition Modeling'!$D:$D,'Attrition Modeling'!$B:$B,'Traditional Attrition'!$E16,'Attrition Modeling'!$C:$C,'Traditional Attrition'!AO$1),VLOOKUP('Traditional Attrition'!AO$2-'Traditional Attrition'!$F16-1,'Traditional Attrition'!$A$7:$C$161,2,FALSE)*VLOOKUP(AO$1,'Attrition Modeling'!$L$15:$N$27,IF(AO$2-$F16&lt;=24,2,3),FALSE))*(1+Projection!AQ$16)*(1+IF(AO148&gt;0,'Attrition Modeling'!$N$9,0))),0))</f>
        <v>2659.417263382556</v>
      </c>
      <c r="AP16" s="799">
        <f>IF(AP$2=$F16+1,Monthly!AL$21,IF(AP$2&gt;$F16+1,('Traditional Attrition'!AO16+AP148)*(1-IF(AP$2-$F16&lt;=12,SUMIFS('Attrition Modeling'!$D:$D,'Attrition Modeling'!$B:$B,'Traditional Attrition'!$E16,'Attrition Modeling'!$C:$C,'Traditional Attrition'!AP$1),VLOOKUP('Traditional Attrition'!AP$2-'Traditional Attrition'!$F16-1,'Traditional Attrition'!$A$7:$C$161,2,FALSE)*VLOOKUP(AP$1,'Attrition Modeling'!$L$15:$N$27,IF(AP$2-$F16&lt;=24,2,3),FALSE))*(1+Projection!AR$16)*(1+IF(AP148&gt;0,'Attrition Modeling'!$N$9,0))),0))</f>
        <v>2551.9479079426555</v>
      </c>
      <c r="AQ16" s="799">
        <f>IF(AQ$2=$F16+1,Monthly!AM$21,IF(AQ$2&gt;$F16+1,('Traditional Attrition'!AP16+AQ148)*(1-IF(AQ$2-$F16&lt;=12,SUMIFS('Attrition Modeling'!$D:$D,'Attrition Modeling'!$B:$B,'Traditional Attrition'!$E16,'Attrition Modeling'!$C:$C,'Traditional Attrition'!AQ$1),VLOOKUP('Traditional Attrition'!AQ$2-'Traditional Attrition'!$F16-1,'Traditional Attrition'!$A$7:$C$161,2,FALSE)*VLOOKUP(AQ$1,'Attrition Modeling'!$L$15:$N$27,IF(AQ$2-$F16&lt;=24,2,3),FALSE))*(1+Projection!AS$16)*(1+IF(AQ148&gt;0,'Attrition Modeling'!$N$9,0))),0))</f>
        <v>2451.3627471404416</v>
      </c>
      <c r="AR16" s="799">
        <f>IF(AR$2=$F16+1,Monthly!AN$21,IF(AR$2&gt;$F16+1,('Traditional Attrition'!AQ16+AR148)*(1-IF(AR$2-$F16&lt;=12,SUMIFS('Attrition Modeling'!$D:$D,'Attrition Modeling'!$B:$B,'Traditional Attrition'!$E16,'Attrition Modeling'!$C:$C,'Traditional Attrition'!AR$1),VLOOKUP('Traditional Attrition'!AR$2-'Traditional Attrition'!$F16-1,'Traditional Attrition'!$A$7:$C$161,2,FALSE)*VLOOKUP(AR$1,'Attrition Modeling'!$L$15:$N$27,IF(AR$2-$F16&lt;=24,2,3),FALSE))*(1+Projection!AT$16)*(1+IF(AR148&gt;0,'Attrition Modeling'!$N$9,0))),0))</f>
        <v>2355.9345832417175</v>
      </c>
      <c r="AS16" s="799">
        <f>IF(AS$2=$F16+1,Monthly!AO$21,IF(AS$2&gt;$F16+1,('Traditional Attrition'!AR16+AS148)*(1-IF(AS$2-$F16&lt;=12,SUMIFS('Attrition Modeling'!$D:$D,'Attrition Modeling'!$B:$B,'Traditional Attrition'!$E16,'Attrition Modeling'!$C:$C,'Traditional Attrition'!AS$1),VLOOKUP('Traditional Attrition'!AS$2-'Traditional Attrition'!$F16-1,'Traditional Attrition'!$A$7:$C$161,2,FALSE)*VLOOKUP(AS$1,'Attrition Modeling'!$L$15:$N$27,IF(AS$2-$F16&lt;=24,2,3),FALSE))*(1+Projection!AU$16)*(1+IF(AS148&gt;0,'Attrition Modeling'!$N$9,0))),0))</f>
        <v>2273.7837624001804</v>
      </c>
      <c r="AT16" s="799">
        <f>IF(AT$2=$F16+1,Monthly!AP$21,IF(AT$2&gt;$F16+1,('Traditional Attrition'!AS16+AT148)*(1-IF(AT$2-$F16&lt;=12,SUMIFS('Attrition Modeling'!$D:$D,'Attrition Modeling'!$B:$B,'Traditional Attrition'!$E16,'Attrition Modeling'!$C:$C,'Traditional Attrition'!AT$1),VLOOKUP('Traditional Attrition'!AT$2-'Traditional Attrition'!$F16-1,'Traditional Attrition'!$A$7:$C$161,2,FALSE)*VLOOKUP(AT$1,'Attrition Modeling'!$L$15:$N$27,IF(AT$2-$F16&lt;=24,2,3),FALSE))*(1+Projection!AV$16)*(1+IF(AT148&gt;0,'Attrition Modeling'!$N$9,0))),0))</f>
        <v>2198.8882601873765</v>
      </c>
      <c r="AU16" s="799">
        <f>IF(AU$2=$F16+1,Monthly!AQ$21,IF(AU$2&gt;$F16+1,('Traditional Attrition'!AT16+AU148)*(1-IF(AU$2-$F16&lt;=12,SUMIFS('Attrition Modeling'!$D:$D,'Attrition Modeling'!$B:$B,'Traditional Attrition'!$E16,'Attrition Modeling'!$C:$C,'Traditional Attrition'!AU$1),VLOOKUP('Traditional Attrition'!AU$2-'Traditional Attrition'!$F16-1,'Traditional Attrition'!$A$7:$C$161,2,FALSE)*VLOOKUP(AU$1,'Attrition Modeling'!$L$15:$N$27,IF(AU$2-$F16&lt;=24,2,3),FALSE))*(1+Projection!AW$16)*(1+IF(AU148&gt;0,'Attrition Modeling'!$N$9,0))),0))</f>
        <v>2142.0684534705565</v>
      </c>
      <c r="AV16" s="799">
        <f>IF(AV$2=$F16+1,Monthly!AR$21,IF(AV$2&gt;$F16+1,('Traditional Attrition'!AU16+AV148)*(1-IF(AV$2-$F16&lt;=12,SUMIFS('Attrition Modeling'!$D:$D,'Attrition Modeling'!$B:$B,'Traditional Attrition'!$E16,'Attrition Modeling'!$C:$C,'Traditional Attrition'!AV$1),VLOOKUP('Traditional Attrition'!AV$2-'Traditional Attrition'!$F16-1,'Traditional Attrition'!$A$7:$C$161,2,FALSE)*VLOOKUP(AV$1,'Attrition Modeling'!$L$15:$N$27,IF(AV$2-$F16&lt;=24,2,3),FALSE))*(1+Projection!AX$16)*(1+IF(AV148&gt;0,'Attrition Modeling'!$N$9,0))),0))</f>
        <v>2076.1255039695011</v>
      </c>
      <c r="AW16" s="799">
        <f>IF(AW$2=$F16+1,Monthly!AS$21,IF(AW$2&gt;$F16+1,('Traditional Attrition'!AV16+AW148)*(1-IF(AW$2-$F16&lt;=12,SUMIFS('Attrition Modeling'!$D:$D,'Attrition Modeling'!$B:$B,'Traditional Attrition'!$E16,'Attrition Modeling'!$C:$C,'Traditional Attrition'!AW$1),VLOOKUP('Traditional Attrition'!AW$2-'Traditional Attrition'!$F16-1,'Traditional Attrition'!$A$7:$C$161,2,FALSE)*VLOOKUP(AW$1,'Attrition Modeling'!$L$15:$N$27,IF(AW$2-$F16&lt;=24,2,3),FALSE))*(1+Projection!AY$16)*(1+IF(AW148&gt;0,'Attrition Modeling'!$N$9,0))),0))</f>
        <v>2004.1191773475605</v>
      </c>
      <c r="AX16" s="799">
        <f>IF(AX$2=$F16+1,Monthly!AT$21,IF(AX$2&gt;$F16+1,('Traditional Attrition'!AW16+AX148)*(1-IF(AX$2-$F16&lt;=12,SUMIFS('Attrition Modeling'!$D:$D,'Attrition Modeling'!$B:$B,'Traditional Attrition'!$E16,'Attrition Modeling'!$C:$C,'Traditional Attrition'!AX$1),VLOOKUP('Traditional Attrition'!AX$2-'Traditional Attrition'!$F16-1,'Traditional Attrition'!$A$7:$C$161,2,FALSE)*VLOOKUP(AX$1,'Attrition Modeling'!$L$15:$N$27,IF(AX$2-$F16&lt;=24,2,3),FALSE))*(1+Projection!AZ$16)*(1+IF(AX148&gt;0,'Attrition Modeling'!$N$9,0))),0))</f>
        <v>2098.1604117421771</v>
      </c>
      <c r="AY16" s="799">
        <f>IF(AY$2=$F16+1,Monthly!AU$21,IF(AY$2&gt;$F16+1,('Traditional Attrition'!AX16+AY148)*(1-IF(AY$2-$F16&lt;=12,SUMIFS('Attrition Modeling'!$D:$D,'Attrition Modeling'!$B:$B,'Traditional Attrition'!$E16,'Attrition Modeling'!$C:$C,'Traditional Attrition'!AY$1),VLOOKUP('Traditional Attrition'!AY$2-'Traditional Attrition'!$F16-1,'Traditional Attrition'!$A$7:$C$161,2,FALSE)*VLOOKUP(AY$1,'Attrition Modeling'!$L$15:$N$27,IF(AY$2-$F16&lt;=24,2,3),FALSE))*(1+Projection!BA$16)*(1+IF(AY148&gt;0,'Attrition Modeling'!$N$9,0))),0))</f>
        <v>2015.1148424327948</v>
      </c>
      <c r="AZ16" s="799">
        <f>IF(AZ$2=$F16+1,Monthly!AV$21,IF(AZ$2&gt;$F16+1,('Traditional Attrition'!AY16+AZ148)*(1-IF(AZ$2-$F16&lt;=12,SUMIFS('Attrition Modeling'!$D:$D,'Attrition Modeling'!$B:$B,'Traditional Attrition'!$E16,'Attrition Modeling'!$C:$C,'Traditional Attrition'!AZ$1),VLOOKUP('Traditional Attrition'!AZ$2-'Traditional Attrition'!$F16-1,'Traditional Attrition'!$A$7:$C$161,2,FALSE)*VLOOKUP(AZ$1,'Attrition Modeling'!$L$15:$N$27,IF(AZ$2-$F16&lt;=24,2,3),FALSE))*(1+Projection!BB$16)*(1+IF(AZ148&gt;0,'Attrition Modeling'!$N$9,0))),0))</f>
        <v>1941.1096370451016</v>
      </c>
      <c r="BA16" s="799">
        <f>IF(BA$2=$F16+1,Monthly!AW$21,IF(BA$2&gt;$F16+1,('Traditional Attrition'!AZ16+BA148)*(1-IF(BA$2-$F16&lt;=12,SUMIFS('Attrition Modeling'!$D:$D,'Attrition Modeling'!$B:$B,'Traditional Attrition'!$E16,'Attrition Modeling'!$C:$C,'Traditional Attrition'!BA$1),VLOOKUP('Traditional Attrition'!BA$2-'Traditional Attrition'!$F16-1,'Traditional Attrition'!$A$7:$C$161,2,FALSE)*VLOOKUP(BA$1,'Attrition Modeling'!$L$15:$N$27,IF(BA$2-$F16&lt;=24,2,3),FALSE))*(1+Projection!BC$16)*(1+IF(BA148&gt;0,'Attrition Modeling'!$N$9,0))),0))</f>
        <v>1873.0829719409444</v>
      </c>
      <c r="BB16" s="799">
        <f>IF(BB$2=$F16+1,Monthly!AX$21,IF(BB$2&gt;$F16+1,('Traditional Attrition'!BA16+BB148)*(1-IF(BB$2-$F16&lt;=12,SUMIFS('Attrition Modeling'!$D:$D,'Attrition Modeling'!$B:$B,'Traditional Attrition'!$E16,'Attrition Modeling'!$C:$C,'Traditional Attrition'!BB$1),VLOOKUP('Traditional Attrition'!BB$2-'Traditional Attrition'!$F16-1,'Traditional Attrition'!$A$7:$C$161,2,FALSE)*VLOOKUP(BB$1,'Attrition Modeling'!$L$15:$N$27,IF(BB$2-$F16&lt;=24,2,3),FALSE))*(1+Projection!BD$16)*(1+IF(BB148&gt;0,'Attrition Modeling'!$N$9,0))),0))</f>
        <v>1809.6603942784939</v>
      </c>
      <c r="BC16" s="799">
        <f>IF(BC$2=$F16+1,Monthly!AY$21,IF(BC$2&gt;$F16+1,('Traditional Attrition'!BB16+BC148)*(1-IF(BC$2-$F16&lt;=12,SUMIFS('Attrition Modeling'!$D:$D,'Attrition Modeling'!$B:$B,'Traditional Attrition'!$E16,'Attrition Modeling'!$C:$C,'Traditional Attrition'!BC$1),VLOOKUP('Traditional Attrition'!BC$2-'Traditional Attrition'!$F16-1,'Traditional Attrition'!$A$7:$C$161,2,FALSE)*VLOOKUP(BC$1,'Attrition Modeling'!$L$15:$N$27,IF(BC$2-$F16&lt;=24,2,3),FALSE))*(1+Projection!BE$16)*(1+IF(BC148&gt;0,'Attrition Modeling'!$N$9,0))),0))</f>
        <v>1759.7335120447785</v>
      </c>
      <c r="BD16" s="799">
        <f>IF(BD$2=$F16+1,Monthly!AZ$21,IF(BD$2&gt;$F16+1,('Traditional Attrition'!BC16+BD148)*(1-IF(BD$2-$F16&lt;=12,SUMIFS('Attrition Modeling'!$D:$D,'Attrition Modeling'!$B:$B,'Traditional Attrition'!$E16,'Attrition Modeling'!$C:$C,'Traditional Attrition'!BD$1),VLOOKUP('Traditional Attrition'!BD$2-'Traditional Attrition'!$F16-1,'Traditional Attrition'!$A$7:$C$161,2,FALSE)*VLOOKUP(BD$1,'Attrition Modeling'!$L$15:$N$27,IF(BD$2-$F16&lt;=24,2,3),FALSE))*(1+Projection!BF$16)*(1+IF(BD148&gt;0,'Attrition Modeling'!$N$9,0))),0))</f>
        <v>1706.57737945095</v>
      </c>
      <c r="BE16" s="799">
        <f>IF(BE$2=$F16+1,Monthly!BA$21,IF(BE$2&gt;$F16+1,('Traditional Attrition'!BD16+BE148)*(1-IF(BE$2-$F16&lt;=12,SUMIFS('Attrition Modeling'!$D:$D,'Attrition Modeling'!$B:$B,'Traditional Attrition'!$E16,'Attrition Modeling'!$C:$C,'Traditional Attrition'!BE$1),VLOOKUP('Traditional Attrition'!BE$2-'Traditional Attrition'!$F16-1,'Traditional Attrition'!$A$7:$C$161,2,FALSE)*VLOOKUP(BE$1,'Attrition Modeling'!$L$15:$N$27,IF(BE$2-$F16&lt;=24,2,3),FALSE))*(1+Projection!BG$16)*(1+IF(BE148&gt;0,'Attrition Modeling'!$N$9,0))),0))</f>
        <v>1657.1851792206412</v>
      </c>
      <c r="BF16" s="799">
        <f>IF(BF$2=$F16+1,Monthly!BB$21,IF(BF$2&gt;$F16+1,('Traditional Attrition'!BE16+BF148)*(1-IF(BF$2-$F16&lt;=12,SUMIFS('Attrition Modeling'!$D:$D,'Attrition Modeling'!$B:$B,'Traditional Attrition'!$E16,'Attrition Modeling'!$C:$C,'Traditional Attrition'!BF$1),VLOOKUP('Traditional Attrition'!BF$2-'Traditional Attrition'!$F16-1,'Traditional Attrition'!$A$7:$C$161,2,FALSE)*VLOOKUP(BF$1,'Attrition Modeling'!$L$15:$N$27,IF(BF$2-$F16&lt;=24,2,3),FALSE))*(1+Projection!BH$16)*(1+IF(BF148&gt;0,'Attrition Modeling'!$N$9,0))),0))</f>
        <v>1611.7276328149328</v>
      </c>
      <c r="BG16" s="799">
        <f>IF(BG$2=$F16+1,Monthly!BC$21,IF(BG$2&gt;$F16+1,('Traditional Attrition'!BF16+BG148)*(1-IF(BG$2-$F16&lt;=12,SUMIFS('Attrition Modeling'!$D:$D,'Attrition Modeling'!$B:$B,'Traditional Attrition'!$E16,'Attrition Modeling'!$C:$C,'Traditional Attrition'!BG$1),VLOOKUP('Traditional Attrition'!BG$2-'Traditional Attrition'!$F16-1,'Traditional Attrition'!$A$7:$C$161,2,FALSE)*VLOOKUP(BG$1,'Attrition Modeling'!$L$15:$N$27,IF(BG$2-$F16&lt;=24,2,3),FALSE))*(1+Projection!BI$16)*(1+IF(BG148&gt;0,'Attrition Modeling'!$N$9,0))),0))</f>
        <v>1576.9363467608907</v>
      </c>
      <c r="BH16" s="799">
        <f>IF(BH$2=$F16+1,Monthly!BD$21,IF(BH$2&gt;$F16+1,('Traditional Attrition'!BG16+BH148)*(1-IF(BH$2-$F16&lt;=12,SUMIFS('Attrition Modeling'!$D:$D,'Attrition Modeling'!$B:$B,'Traditional Attrition'!$E16,'Attrition Modeling'!$C:$C,'Traditional Attrition'!BH$1),VLOOKUP('Traditional Attrition'!BH$2-'Traditional Attrition'!$F16-1,'Traditional Attrition'!$A$7:$C$161,2,FALSE)*VLOOKUP(BH$1,'Attrition Modeling'!$L$15:$N$27,IF(BH$2-$F16&lt;=24,2,3),FALSE))*(1+Projection!BJ$16)*(1+IF(BH148&gt;0,'Attrition Modeling'!$N$9,0))),0))</f>
        <v>1536.2636945099034</v>
      </c>
      <c r="BI16" s="799">
        <f>IF(BI$2=$F16+1,Monthly!BE$21,IF(BI$2&gt;$F16+1,('Traditional Attrition'!BH16+BI148)*(1-IF(BI$2-$F16&lt;=12,SUMIFS('Attrition Modeling'!$D:$D,'Attrition Modeling'!$B:$B,'Traditional Attrition'!$E16,'Attrition Modeling'!$C:$C,'Traditional Attrition'!BI$1),VLOOKUP('Traditional Attrition'!BI$2-'Traditional Attrition'!$F16-1,'Traditional Attrition'!$A$7:$C$161,2,FALSE)*VLOOKUP(BI$1,'Attrition Modeling'!$L$15:$N$27,IF(BI$2-$F16&lt;=24,2,3),FALSE))*(1+Projection!BK$16)*(1+IF(BI148&gt;0,'Attrition Modeling'!$N$9,0))),0))</f>
        <v>1491.4994304545742</v>
      </c>
      <c r="BJ16" s="799">
        <f>IF(BJ$2=$F16+1,Monthly!BF$21,IF(BJ$2&gt;$F16+1,('Traditional Attrition'!BI16+BJ148)*(1-IF(BJ$2-$F16&lt;=12,SUMIFS('Attrition Modeling'!$D:$D,'Attrition Modeling'!$B:$B,'Traditional Attrition'!$E16,'Attrition Modeling'!$C:$C,'Traditional Attrition'!BJ$1),VLOOKUP('Traditional Attrition'!BJ$2-'Traditional Attrition'!$F16-1,'Traditional Attrition'!$A$7:$C$161,2,FALSE)*VLOOKUP(BJ$1,'Attrition Modeling'!$L$15:$N$27,IF(BJ$2-$F16&lt;=24,2,3),FALSE))*(1+Projection!BL$16)*(1+IF(BJ148&gt;0,'Attrition Modeling'!$N$9,0))),0))</f>
        <v>1573.0285700626166</v>
      </c>
      <c r="BK16" s="799">
        <f>IF(BK$2=$F16+1,Monthly!BG$21,IF(BK$2&gt;$F16+1,('Traditional Attrition'!BJ16+BK148)*(1-IF(BK$2-$F16&lt;=12,SUMIFS('Attrition Modeling'!$D:$D,'Attrition Modeling'!$B:$B,'Traditional Attrition'!$E16,'Attrition Modeling'!$C:$C,'Traditional Attrition'!BK$1),VLOOKUP('Traditional Attrition'!BK$2-'Traditional Attrition'!$F16-1,'Traditional Attrition'!$A$7:$C$161,2,FALSE)*VLOOKUP(BK$1,'Attrition Modeling'!$L$15:$N$27,IF(BK$2-$F16&lt;=24,2,3),FALSE))*(1+Projection!BM$16)*(1+IF(BK148&gt;0,'Attrition Modeling'!$N$9,0))),0))</f>
        <v>1520.457030922893</v>
      </c>
      <c r="BL16" s="799">
        <f>IF(BL$2=$F16+1,Monthly!BH$21,IF(BL$2&gt;$F16+1,('Traditional Attrition'!BK16+BL148)*(1-IF(BL$2-$F16&lt;=12,SUMIFS('Attrition Modeling'!$D:$D,'Attrition Modeling'!$B:$B,'Traditional Attrition'!$E16,'Attrition Modeling'!$C:$C,'Traditional Attrition'!BL$1),VLOOKUP('Traditional Attrition'!BL$2-'Traditional Attrition'!$F16-1,'Traditional Attrition'!$A$7:$C$161,2,FALSE)*VLOOKUP(BL$1,'Attrition Modeling'!$L$15:$N$27,IF(BL$2-$F16&lt;=24,2,3),FALSE))*(1+Projection!BN$16)*(1+IF(BL148&gt;0,'Attrition Modeling'!$N$9,0))),0))</f>
        <v>1473.1989845743678</v>
      </c>
      <c r="BM16" s="799">
        <f>IF(BM$2=$F16+1,Monthly!BI$21,IF(BM$2&gt;$F16+1,('Traditional Attrition'!BL16+BM148)*(1-IF(BM$2-$F16&lt;=12,SUMIFS('Attrition Modeling'!$D:$D,'Attrition Modeling'!$B:$B,'Traditional Attrition'!$E16,'Attrition Modeling'!$C:$C,'Traditional Attrition'!BM$1),VLOOKUP('Traditional Attrition'!BM$2-'Traditional Attrition'!$F16-1,'Traditional Attrition'!$A$7:$C$161,2,FALSE)*VLOOKUP(BM$1,'Attrition Modeling'!$L$15:$N$27,IF(BM$2-$F16&lt;=24,2,3),FALSE))*(1+Projection!BO$16)*(1+IF(BM148&gt;0,'Attrition Modeling'!$N$9,0))),0))</f>
        <v>1429.4086839715283</v>
      </c>
      <c r="BN16" s="799">
        <f>IF(BN$2=$F16+1,Monthly!BJ$21,IF(BN$2&gt;$F16+1,('Traditional Attrition'!BM16+BN148)*(1-IF(BN$2-$F16&lt;=12,SUMIFS('Attrition Modeling'!$D:$D,'Attrition Modeling'!$B:$B,'Traditional Attrition'!$E16,'Attrition Modeling'!$C:$C,'Traditional Attrition'!BN$1),VLOOKUP('Traditional Attrition'!BN$2-'Traditional Attrition'!$F16-1,'Traditional Attrition'!$A$7:$C$161,2,FALSE)*VLOOKUP(BN$1,'Attrition Modeling'!$L$15:$N$27,IF(BN$2-$F16&lt;=24,2,3),FALSE))*(1+Projection!BP$16)*(1+IF(BN148&gt;0,'Attrition Modeling'!$N$9,0))),0))</f>
        <v>1388.2720901534158</v>
      </c>
      <c r="BO16" s="799">
        <f>IF(BO$2=$F16+1,Monthly!BK$21,IF(BO$2&gt;$F16+1,('Traditional Attrition'!BN16+BO148)*(1-IF(BO$2-$F16&lt;=12,SUMIFS('Attrition Modeling'!$D:$D,'Attrition Modeling'!$B:$B,'Traditional Attrition'!$E16,'Attrition Modeling'!$C:$C,'Traditional Attrition'!BO$1),VLOOKUP('Traditional Attrition'!BO$2-'Traditional Attrition'!$F16-1,'Traditional Attrition'!$A$7:$C$161,2,FALSE)*VLOOKUP(BO$1,'Attrition Modeling'!$L$15:$N$27,IF(BO$2-$F16&lt;=24,2,3),FALSE))*(1+Projection!BV$16)*(1+IF(BO148&gt;0,'Attrition Modeling'!$N$9,0))),0))</f>
        <v>1355.6548209586435</v>
      </c>
      <c r="BP16" s="799">
        <f>IF(BP$2=$F16+1,Monthly!BL$21,IF(BP$2&gt;$F16+1,('Traditional Attrition'!BO16+BP148)*(1-IF(BP$2-$F16&lt;=12,SUMIFS('Attrition Modeling'!$D:$D,'Attrition Modeling'!$B:$B,'Traditional Attrition'!$E16,'Attrition Modeling'!$C:$C,'Traditional Attrition'!BP$1),VLOOKUP('Traditional Attrition'!BP$2-'Traditional Attrition'!$F16-1,'Traditional Attrition'!$A$7:$C$161,2,FALSE)*VLOOKUP(BP$1,'Attrition Modeling'!$L$15:$N$27,IF(BP$2-$F16&lt;=24,2,3),FALSE))*(1+Projection!BW$16)*(1+IF(BP148&gt;0,'Attrition Modeling'!$N$9,0))),0))</f>
        <v>1320.7168218560528</v>
      </c>
      <c r="BQ16" s="799">
        <f>IF(BQ$2=$F16+1,Monthly!BM$21,IF(BQ$2&gt;$F16+1,('Traditional Attrition'!BP16+BQ148)*(1-IF(BQ$2-$F16&lt;=12,SUMIFS('Attrition Modeling'!$D:$D,'Attrition Modeling'!$B:$B,'Traditional Attrition'!$E16,'Attrition Modeling'!$C:$C,'Traditional Attrition'!BQ$1),VLOOKUP('Traditional Attrition'!BQ$2-'Traditional Attrition'!$F16-1,'Traditional Attrition'!$A$7:$C$161,2,FALSE)*VLOOKUP(BQ$1,'Attrition Modeling'!$L$15:$N$27,IF(BQ$2-$F16&lt;=24,2,3),FALSE))*(1+Projection!BX$16)*(1+IF(BQ148&gt;0,'Attrition Modeling'!$N$9,0))),0))</f>
        <v>1288.2662363928439</v>
      </c>
      <c r="BR16" s="799">
        <f>IF(BR$2=$F16+1,Monthly!BN$21,IF(BR$2&gt;$F16+1,('Traditional Attrition'!BQ16+BR148)*(1-IF(BR$2-$F16&lt;=12,SUMIFS('Attrition Modeling'!$D:$D,'Attrition Modeling'!$B:$B,'Traditional Attrition'!$E16,'Attrition Modeling'!$C:$C,'Traditional Attrition'!BR$1),VLOOKUP('Traditional Attrition'!BR$2-'Traditional Attrition'!$F16-1,'Traditional Attrition'!$A$7:$C$161,2,FALSE)*VLOOKUP(BR$1,'Attrition Modeling'!$L$15:$N$27,IF(BR$2-$F16&lt;=24,2,3),FALSE))*(1+Projection!BY$16)*(1+IF(BR148&gt;0,'Attrition Modeling'!$N$9,0))),0))</f>
        <v>1258.2208123971104</v>
      </c>
      <c r="BS16" s="799">
        <f>IF(BS$2=$F16+1,Monthly!BO$21,IF(BS$2&gt;$F16+1,('Traditional Attrition'!BR16+BS148)*(1-IF(BS$2-$F16&lt;=12,SUMIFS('Attrition Modeling'!$D:$D,'Attrition Modeling'!$B:$B,'Traditional Attrition'!$E16,'Attrition Modeling'!$C:$C,'Traditional Attrition'!BS$1),VLOOKUP('Traditional Attrition'!BS$2-'Traditional Attrition'!$F16-1,'Traditional Attrition'!$A$7:$C$161,2,FALSE)*VLOOKUP(BS$1,'Attrition Modeling'!$L$15:$N$27,IF(BS$2-$F16&lt;=24,2,3),FALSE))*(1+Projection!BZ$16)*(1+IF(BS148&gt;0,'Attrition Modeling'!$N$9,0))),0))</f>
        <v>1235.0951234210661</v>
      </c>
      <c r="BT16" s="799">
        <f>IF(BT$2=$F16+1,Monthly!#REF!,IF(BT$2&gt;$F16+1,('Traditional Attrition'!BS16+BT148)*(1-IF(BT$2-$F16&lt;=12,SUMIFS('Attrition Modeling'!$D:$D,'Attrition Modeling'!$B:$B,'Traditional Attrition'!$E16,'Attrition Modeling'!$C:$C,'Traditional Attrition'!BT$1),VLOOKUP('Traditional Attrition'!BT$2-'Traditional Attrition'!$F16-1,'Traditional Attrition'!$A$7:$C$161,2,FALSE)*VLOOKUP(BT$1,'Attrition Modeling'!$L$15:$N$27,IF(BT$2-$F16&lt;=24,2,3),FALSE))*(1+Projection!CA$16)*(1+IF(BT148&gt;0,'Attrition Modeling'!$N$9,0))),0))</f>
        <v>1207.9347939784004</v>
      </c>
      <c r="BU16" s="799">
        <f>IF(BU$2=$F16+1,Monthly!#REF!,IF(BU$2&gt;$F16+1,('Traditional Attrition'!BT16+BU148)*(1-IF(BU$2-$F16&lt;=12,SUMIFS('Attrition Modeling'!$D:$D,'Attrition Modeling'!$B:$B,'Traditional Attrition'!$E16,'Attrition Modeling'!$C:$C,'Traditional Attrition'!BU$1),VLOOKUP('Traditional Attrition'!BU$2-'Traditional Attrition'!$F16-1,'Traditional Attrition'!$A$7:$C$161,2,FALSE)*VLOOKUP(BU$1,'Attrition Modeling'!$L$15:$N$27,IF(BU$2-$F16&lt;=24,2,3),FALSE))*(1+Projection!CB$16)*(1+IF(BU148&gt;0,'Attrition Modeling'!$N$9,0))),0))</f>
        <v>1177.887119320442</v>
      </c>
    </row>
    <row r="17" spans="1:73" ht="14.25" customHeight="1" x14ac:dyDescent="0.2">
      <c r="A17" s="800">
        <v>10</v>
      </c>
      <c r="B17" s="779" t="e">
        <f>'Attrition Modeling'!H14*(1-Summary!$C$20)</f>
        <v>#DIV/0!</v>
      </c>
      <c r="C17" s="780" t="e">
        <f t="shared" si="4"/>
        <v>#DIV/0!</v>
      </c>
      <c r="E17" s="11">
        <f t="shared" si="2"/>
        <v>2</v>
      </c>
      <c r="F17" s="11">
        <f t="shared" si="3"/>
        <v>14</v>
      </c>
      <c r="G17" s="799"/>
      <c r="H17" s="799">
        <f>IF(H$2=$F17+1,Monthly!D$21,IF(H$2&gt;$F17+1,('Traditional Attrition'!G17+H149)*(1-IF(H$2-$F17&lt;=12,SUMIFS('Attrition Modeling'!$D:$D,'Attrition Modeling'!$B:$B,'Traditional Attrition'!$E17,'Attrition Modeling'!$C:$C,'Traditional Attrition'!H$1),VLOOKUP('Traditional Attrition'!H$2-'Traditional Attrition'!$F17-1,'Traditional Attrition'!$A$7:$C$161,2,FALSE)*VLOOKUP(H$1,'Attrition Modeling'!$L$15:$N$27,IF(H$2-$F17&lt;=24,2,3),FALSE))*(1+Projection!J$16)*(1+IF(H149&gt;0,'Attrition Modeling'!$N$9,0))),0))</f>
        <v>0</v>
      </c>
      <c r="I17" s="799">
        <f>IF(I$2=$F17+1,Monthly!E$21,IF(I$2&gt;$F17+1,('Traditional Attrition'!H17+I149)*(1-IF(I$2-$F17&lt;=12,SUMIFS('Attrition Modeling'!$D:$D,'Attrition Modeling'!$B:$B,'Traditional Attrition'!$E17,'Attrition Modeling'!$C:$C,'Traditional Attrition'!I$1),VLOOKUP('Traditional Attrition'!I$2-'Traditional Attrition'!$F17-1,'Traditional Attrition'!$A$7:$C$161,2,FALSE)*VLOOKUP(I$1,'Attrition Modeling'!$L$15:$N$27,IF(I$2-$F17&lt;=24,2,3),FALSE))*(1+Projection!K$16)*(1+IF(I149&gt;0,'Attrition Modeling'!$N$9,0))),0))</f>
        <v>0</v>
      </c>
      <c r="J17" s="799">
        <f>IF(J$2=$F17+1,Monthly!F$21,IF(J$2&gt;$F17+1,('Traditional Attrition'!I17+J149)*(1-IF(J$2-$F17&lt;=12,SUMIFS('Attrition Modeling'!$D:$D,'Attrition Modeling'!$B:$B,'Traditional Attrition'!$E17,'Attrition Modeling'!$C:$C,'Traditional Attrition'!J$1),VLOOKUP('Traditional Attrition'!J$2-'Traditional Attrition'!$F17-1,'Traditional Attrition'!$A$7:$C$161,2,FALSE)*VLOOKUP(J$1,'Attrition Modeling'!$L$15:$N$27,IF(J$2-$F17&lt;=24,2,3),FALSE))*(1+Projection!L$16)*(1+IF(J149&gt;0,'Attrition Modeling'!$N$9,0))),0))</f>
        <v>0</v>
      </c>
      <c r="K17" s="799">
        <f>IF(K$2=$F17+1,Monthly!G$21,IF(K$2&gt;$F17+1,('Traditional Attrition'!J17+K149)*(1-IF(K$2-$F17&lt;=12,SUMIFS('Attrition Modeling'!$D:$D,'Attrition Modeling'!$B:$B,'Traditional Attrition'!$E17,'Attrition Modeling'!$C:$C,'Traditional Attrition'!K$1),VLOOKUP('Traditional Attrition'!K$2-'Traditional Attrition'!$F17-1,'Traditional Attrition'!$A$7:$C$161,2,FALSE)*VLOOKUP(K$1,'Attrition Modeling'!$L$15:$N$27,IF(K$2-$F17&lt;=24,2,3),FALSE))*(1+Projection!M$16)*(1+IF(K149&gt;0,'Attrition Modeling'!$N$9,0))),0))</f>
        <v>0</v>
      </c>
      <c r="L17" s="799">
        <f>IF(L$2=$F17+1,Monthly!H$21,IF(L$2&gt;$F17+1,('Traditional Attrition'!K17+L149)*(1-IF(L$2-$F17&lt;=12,SUMIFS('Attrition Modeling'!$D:$D,'Attrition Modeling'!$B:$B,'Traditional Attrition'!$E17,'Attrition Modeling'!$C:$C,'Traditional Attrition'!L$1),VLOOKUP('Traditional Attrition'!L$2-'Traditional Attrition'!$F17-1,'Traditional Attrition'!$A$7:$C$161,2,FALSE)*VLOOKUP(L$1,'Attrition Modeling'!$L$15:$N$27,IF(L$2-$F17&lt;=24,2,3),FALSE))*(1+Projection!N$16)*(1+IF(L149&gt;0,'Attrition Modeling'!$N$9,0))),0))</f>
        <v>0</v>
      </c>
      <c r="M17" s="799">
        <f>IF(M$2=$F17+1,Monthly!I$21,IF(M$2&gt;$F17+1,('Traditional Attrition'!L17+M149)*(1-IF(M$2-$F17&lt;=12,SUMIFS('Attrition Modeling'!$D:$D,'Attrition Modeling'!$B:$B,'Traditional Attrition'!$E17,'Attrition Modeling'!$C:$C,'Traditional Attrition'!M$1),VLOOKUP('Traditional Attrition'!M$2-'Traditional Attrition'!$F17-1,'Traditional Attrition'!$A$7:$C$161,2,FALSE)*VLOOKUP(M$1,'Attrition Modeling'!$L$15:$N$27,IF(M$2-$F17&lt;=24,2,3),FALSE))*(1+Projection!O$16)*(1+IF(M149&gt;0,'Attrition Modeling'!$N$9,0))),0))</f>
        <v>0</v>
      </c>
      <c r="N17" s="799">
        <f>IF(N$2=$F17+1,Monthly!J$21,IF(N$2&gt;$F17+1,('Traditional Attrition'!M17+N149)*(1-IF(N$2-$F17&lt;=12,SUMIFS('Attrition Modeling'!$D:$D,'Attrition Modeling'!$B:$B,'Traditional Attrition'!$E17,'Attrition Modeling'!$C:$C,'Traditional Attrition'!N$1),VLOOKUP('Traditional Attrition'!N$2-'Traditional Attrition'!$F17-1,'Traditional Attrition'!$A$7:$C$161,2,FALSE)*VLOOKUP(N$1,'Attrition Modeling'!$L$15:$N$27,IF(N$2-$F17&lt;=24,2,3),FALSE))*(1+Projection!P$16)*(1+IF(N149&gt;0,'Attrition Modeling'!$N$9,0))),0))</f>
        <v>0</v>
      </c>
      <c r="O17" s="799">
        <f>IF(O$2=$F17+1,Monthly!K$21,IF(O$2&gt;$F17+1,('Traditional Attrition'!N17+O149)*(1-IF(O$2-$F17&lt;=12,SUMIFS('Attrition Modeling'!$D:$D,'Attrition Modeling'!$B:$B,'Traditional Attrition'!$E17,'Attrition Modeling'!$C:$C,'Traditional Attrition'!O$1),VLOOKUP('Traditional Attrition'!O$2-'Traditional Attrition'!$F17-1,'Traditional Attrition'!$A$7:$C$161,2,FALSE)*VLOOKUP(O$1,'Attrition Modeling'!$L$15:$N$27,IF(O$2-$F17&lt;=24,2,3),FALSE))*(1+Projection!Q$16)*(1+IF(O149&gt;0,'Attrition Modeling'!$N$9,0))),0))</f>
        <v>0</v>
      </c>
      <c r="P17" s="799">
        <f>IF(P$2=$F17+1,Monthly!L$21,IF(P$2&gt;$F17+1,('Traditional Attrition'!O17+P149)*(1-IF(P$2-$F17&lt;=12,SUMIFS('Attrition Modeling'!$D:$D,'Attrition Modeling'!$B:$B,'Traditional Attrition'!$E17,'Attrition Modeling'!$C:$C,'Traditional Attrition'!P$1),VLOOKUP('Traditional Attrition'!P$2-'Traditional Attrition'!$F17-1,'Traditional Attrition'!$A$7:$C$161,2,FALSE)*VLOOKUP(P$1,'Attrition Modeling'!$L$15:$N$27,IF(P$2-$F17&lt;=24,2,3),FALSE))*(1+Projection!R$16)*(1+IF(P149&gt;0,'Attrition Modeling'!$N$9,0))),0))</f>
        <v>0</v>
      </c>
      <c r="Q17" s="799">
        <f>IF(Q$2=$F17+1,Monthly!M$21,IF(Q$2&gt;$F17+1,('Traditional Attrition'!P17+Q149)*(1-IF(Q$2-$F17&lt;=12,SUMIFS('Attrition Modeling'!$D:$D,'Attrition Modeling'!$B:$B,'Traditional Attrition'!$E17,'Attrition Modeling'!$C:$C,'Traditional Attrition'!Q$1),VLOOKUP('Traditional Attrition'!Q$2-'Traditional Attrition'!$F17-1,'Traditional Attrition'!$A$7:$C$161,2,FALSE)*VLOOKUP(Q$1,'Attrition Modeling'!$L$15:$N$27,IF(Q$2-$F17&lt;=24,2,3),FALSE))*(1+Projection!S$16)*(1+IF(Q149&gt;0,'Attrition Modeling'!$N$9,0))),0))</f>
        <v>0</v>
      </c>
      <c r="R17" s="799">
        <f>IF(R$2=$F17+1,Monthly!N$21,IF(R$2&gt;$F17+1,('Traditional Attrition'!Q17+R149)*(1-IF(R$2-$F17&lt;=12,SUMIFS('Attrition Modeling'!$D:$D,'Attrition Modeling'!$B:$B,'Traditional Attrition'!$E17,'Attrition Modeling'!$C:$C,'Traditional Attrition'!R$1),VLOOKUP('Traditional Attrition'!R$2-'Traditional Attrition'!$F17-1,'Traditional Attrition'!$A$7:$C$161,2,FALSE)*VLOOKUP(R$1,'Attrition Modeling'!$L$15:$N$27,IF(R$2-$F17&lt;=24,2,3),FALSE))*(1+Projection!T$16)*(1+IF(R149&gt;0,'Attrition Modeling'!$N$9,0))),0))</f>
        <v>0</v>
      </c>
      <c r="S17" s="799">
        <f>IF(S$2=$F17+1,Monthly!O$21,IF(S$2&gt;$F17+1,('Traditional Attrition'!R17+S149)*(1-IF(S$2-$F17&lt;=12,SUMIFS('Attrition Modeling'!$D:$D,'Attrition Modeling'!$B:$B,'Traditional Attrition'!$E17,'Attrition Modeling'!$C:$C,'Traditional Attrition'!S$1),VLOOKUP('Traditional Attrition'!S$2-'Traditional Attrition'!$F17-1,'Traditional Attrition'!$A$7:$C$161,2,FALSE)*VLOOKUP(S$1,'Attrition Modeling'!$L$15:$N$27,IF(S$2-$F17&lt;=24,2,3),FALSE))*(1+Projection!U$16)*(1+IF(S149&gt;0,'Attrition Modeling'!$N$9,0))),0))</f>
        <v>0</v>
      </c>
      <c r="T17" s="799">
        <f>IF(T$2=$F17+1,Monthly!P$21,IF(T$2&gt;$F17+1,('Traditional Attrition'!S17+T149)*(1-IF(T$2-$F17&lt;=12,SUMIFS('Attrition Modeling'!$D:$D,'Attrition Modeling'!$B:$B,'Traditional Attrition'!$E17,'Attrition Modeling'!$C:$C,'Traditional Attrition'!T$1),VLOOKUP('Traditional Attrition'!T$2-'Traditional Attrition'!$F17-1,'Traditional Attrition'!$A$7:$C$161,2,FALSE)*VLOOKUP(T$1,'Attrition Modeling'!$L$15:$N$27,IF(T$2-$F17&lt;=24,2,3),FALSE))*(1+Projection!V$16)*(1+IF(T149&gt;0,'Attrition Modeling'!$N$9,0))),0))</f>
        <v>0</v>
      </c>
      <c r="U17" s="799">
        <f>IF(U$2=$F17+1,Monthly!Q$21,IF(U$2&gt;$F17+1,('Traditional Attrition'!T17+U149)*(1-IF(U$2-$F17&lt;=12,SUMIFS('Attrition Modeling'!$D:$D,'Attrition Modeling'!$B:$B,'Traditional Attrition'!$E17,'Attrition Modeling'!$C:$C,'Traditional Attrition'!U$1),VLOOKUP('Traditional Attrition'!U$2-'Traditional Attrition'!$F17-1,'Traditional Attrition'!$A$7:$C$161,2,FALSE)*VLOOKUP(U$1,'Attrition Modeling'!$L$15:$N$27,IF(U$2-$F17&lt;=24,2,3),FALSE))*(1+Projection!W$16)*(1+IF(U149&gt;0,'Attrition Modeling'!$N$9,0))),0))</f>
        <v>0</v>
      </c>
      <c r="V17" s="799">
        <f>IF(V$2=$F17+1,Monthly!R$21,IF(V$2&gt;$F17+1,('Traditional Attrition'!U17+V149)*(1-IF(V$2-$F17&lt;=12,SUMIFS('Attrition Modeling'!$D:$D,'Attrition Modeling'!$B:$B,'Traditional Attrition'!$E17,'Attrition Modeling'!$C:$C,'Traditional Attrition'!V$1),VLOOKUP('Traditional Attrition'!V$2-'Traditional Attrition'!$F17-1,'Traditional Attrition'!$A$7:$C$161,2,FALSE)*VLOOKUP(V$1,'Attrition Modeling'!$L$15:$N$27,IF(V$2-$F17&lt;=24,2,3),FALSE))*(1+Projection!X$16)*(1+IF(V149&gt;0,'Attrition Modeling'!$N$9,0))),0))</f>
        <v>10107.656106306758</v>
      </c>
      <c r="W17" s="799">
        <f>IF(W$2=$F17+1,Monthly!S$21,IF(W$2&gt;$F17+1,('Traditional Attrition'!V17+W149)*(1-IF(W$2-$F17&lt;=12,SUMIFS('Attrition Modeling'!$D:$D,'Attrition Modeling'!$B:$B,'Traditional Attrition'!$E17,'Attrition Modeling'!$C:$C,'Traditional Attrition'!W$1),VLOOKUP('Traditional Attrition'!W$2-'Traditional Attrition'!$F17-1,'Traditional Attrition'!$A$7:$C$161,2,FALSE)*VLOOKUP(W$1,'Attrition Modeling'!$L$15:$N$27,IF(W$2-$F17&lt;=24,2,3),FALSE))*(1+Projection!Y$16)*(1+IF(W149&gt;0,'Attrition Modeling'!$N$9,0))),0))</f>
        <v>9123.2128537081262</v>
      </c>
      <c r="X17" s="799">
        <f>IF(X$2=$F17+1,Monthly!T$21,IF(X$2&gt;$F17+1,('Traditional Attrition'!W17+X149)*(1-IF(X$2-$F17&lt;=12,SUMIFS('Attrition Modeling'!$D:$D,'Attrition Modeling'!$B:$B,'Traditional Attrition'!$E17,'Attrition Modeling'!$C:$C,'Traditional Attrition'!X$1),VLOOKUP('Traditional Attrition'!X$2-'Traditional Attrition'!$F17-1,'Traditional Attrition'!$A$7:$C$161,2,FALSE)*VLOOKUP(X$1,'Attrition Modeling'!$L$15:$N$27,IF(X$2-$F17&lt;=24,2,3),FALSE))*(1+Projection!Z$16)*(1+IF(X149&gt;0,'Attrition Modeling'!$N$9,0))),0))</f>
        <v>8344.8758021638987</v>
      </c>
      <c r="Y17" s="799">
        <f>IF(Y$2=$F17+1,Monthly!U$21,IF(Y$2&gt;$F17+1,('Traditional Attrition'!X17+Y149)*(1-IF(Y$2-$F17&lt;=12,SUMIFS('Attrition Modeling'!$D:$D,'Attrition Modeling'!$B:$B,'Traditional Attrition'!$E17,'Attrition Modeling'!$C:$C,'Traditional Attrition'!Y$1),VLOOKUP('Traditional Attrition'!Y$2-'Traditional Attrition'!$F17-1,'Traditional Attrition'!$A$7:$C$161,2,FALSE)*VLOOKUP(Y$1,'Attrition Modeling'!$L$15:$N$27,IF(Y$2-$F17&lt;=24,2,3),FALSE))*(1+Projection!AA$16)*(1+IF(Y149&gt;0,'Attrition Modeling'!$N$9,0))),0))</f>
        <v>7569.4137816126813</v>
      </c>
      <c r="Z17" s="799">
        <f>IF(Z$2=$F17+1,Monthly!V$21,IF(Z$2&gt;$F17+1,('Traditional Attrition'!Y17+Z149)*(1-IF(Z$2-$F17&lt;=12,SUMIFS('Attrition Modeling'!$D:$D,'Attrition Modeling'!$B:$B,'Traditional Attrition'!$E17,'Attrition Modeling'!$C:$C,'Traditional Attrition'!Z$1),VLOOKUP('Traditional Attrition'!Z$2-'Traditional Attrition'!$F17-1,'Traditional Attrition'!$A$7:$C$161,2,FALSE)*VLOOKUP(Z$1,'Attrition Modeling'!$L$15:$N$27,IF(Z$2-$F17&lt;=24,2,3),FALSE))*(1+Projection!AB$16)*(1+IF(Z149&gt;0,'Attrition Modeling'!$N$9,0))),0))</f>
        <v>6954.531376597829</v>
      </c>
      <c r="AA17" s="799">
        <f>IF(AA$2=$F17+1,Monthly!W$21,IF(AA$2&gt;$F17+1,('Traditional Attrition'!Z17+AA149)*(1-IF(AA$2-$F17&lt;=12,SUMIFS('Attrition Modeling'!$D:$D,'Attrition Modeling'!$B:$B,'Traditional Attrition'!$E17,'Attrition Modeling'!$C:$C,'Traditional Attrition'!AA$1),VLOOKUP('Traditional Attrition'!AA$2-'Traditional Attrition'!$F17-1,'Traditional Attrition'!$A$7:$C$161,2,FALSE)*VLOOKUP(AA$1,'Attrition Modeling'!$L$15:$N$27,IF(AA$2-$F17&lt;=24,2,3),FALSE))*(1+Projection!AC$16)*(1+IF(AA149&gt;0,'Attrition Modeling'!$N$9,0))),0))</f>
        <v>6852.8871419662783</v>
      </c>
      <c r="AB17" s="799">
        <f>IF(AB$2=$F17+1,Monthly!X$21,IF(AB$2&gt;$F17+1,('Traditional Attrition'!AA17+AB149)*(1-IF(AB$2-$F17&lt;=12,SUMIFS('Attrition Modeling'!$D:$D,'Attrition Modeling'!$B:$B,'Traditional Attrition'!$E17,'Attrition Modeling'!$C:$C,'Traditional Attrition'!AB$1),VLOOKUP('Traditional Attrition'!AB$2-'Traditional Attrition'!$F17-1,'Traditional Attrition'!$A$7:$C$161,2,FALSE)*VLOOKUP(AB$1,'Attrition Modeling'!$L$15:$N$27,IF(AB$2-$F17&lt;=24,2,3),FALSE))*(1+Projection!AD$16)*(1+IF(AB149&gt;0,'Attrition Modeling'!$N$9,0))),0))</f>
        <v>6335.7313411718078</v>
      </c>
      <c r="AC17" s="799">
        <f>IF(AC$2=$F17+1,Monthly!Y$21,IF(AC$2&gt;$F17+1,('Traditional Attrition'!AB17+AC149)*(1-IF(AC$2-$F17&lt;=12,SUMIFS('Attrition Modeling'!$D:$D,'Attrition Modeling'!$B:$B,'Traditional Attrition'!$E17,'Attrition Modeling'!$C:$C,'Traditional Attrition'!AC$1),VLOOKUP('Traditional Attrition'!AC$2-'Traditional Attrition'!$F17-1,'Traditional Attrition'!$A$7:$C$161,2,FALSE)*VLOOKUP(AC$1,'Attrition Modeling'!$L$15:$N$27,IF(AC$2-$F17&lt;=24,2,3),FALSE))*(1+Projection!AE$16)*(1+IF(AC149&gt;0,'Attrition Modeling'!$N$9,0))),0))</f>
        <v>5891.8022953523123</v>
      </c>
      <c r="AD17" s="799">
        <f>IF(AD$2=$F17+1,Monthly!Z$21,IF(AD$2&gt;$F17+1,('Traditional Attrition'!AC17+AD149)*(1-IF(AD$2-$F17&lt;=12,SUMIFS('Attrition Modeling'!$D:$D,'Attrition Modeling'!$B:$B,'Traditional Attrition'!$E17,'Attrition Modeling'!$C:$C,'Traditional Attrition'!AD$1),VLOOKUP('Traditional Attrition'!AD$2-'Traditional Attrition'!$F17-1,'Traditional Attrition'!$A$7:$C$161,2,FALSE)*VLOOKUP(AD$1,'Attrition Modeling'!$L$15:$N$27,IF(AD$2-$F17&lt;=24,2,3),FALSE))*(1+Projection!AF$16)*(1+IF(AD149&gt;0,'Attrition Modeling'!$N$9,0))),0))</f>
        <v>5500.4930611204691</v>
      </c>
      <c r="AE17" s="799">
        <f>IF(AE$2=$F17+1,Monthly!AA$21,IF(AE$2&gt;$F17+1,('Traditional Attrition'!AD17+AE149)*(1-IF(AE$2-$F17&lt;=12,SUMIFS('Attrition Modeling'!$D:$D,'Attrition Modeling'!$B:$B,'Traditional Attrition'!$E17,'Attrition Modeling'!$C:$C,'Traditional Attrition'!AE$1),VLOOKUP('Traditional Attrition'!AE$2-'Traditional Attrition'!$F17-1,'Traditional Attrition'!$A$7:$C$161,2,FALSE)*VLOOKUP(AE$1,'Attrition Modeling'!$L$15:$N$27,IF(AE$2-$F17&lt;=24,2,3),FALSE))*(1+Projection!AG$16)*(1+IF(AE149&gt;0,'Attrition Modeling'!$N$9,0))),0))</f>
        <v>5158.4815884034106</v>
      </c>
      <c r="AF17" s="799">
        <f>IF(AF$2=$F17+1,Monthly!AB$21,IF(AF$2&gt;$F17+1,('Traditional Attrition'!AE17+AF149)*(1-IF(AF$2-$F17&lt;=12,SUMIFS('Attrition Modeling'!$D:$D,'Attrition Modeling'!$B:$B,'Traditional Attrition'!$E17,'Attrition Modeling'!$C:$C,'Traditional Attrition'!AF$1),VLOOKUP('Traditional Attrition'!AF$2-'Traditional Attrition'!$F17-1,'Traditional Attrition'!$A$7:$C$161,2,FALSE)*VLOOKUP(AF$1,'Attrition Modeling'!$L$15:$N$27,IF(AF$2-$F17&lt;=24,2,3),FALSE))*(1+Projection!AH$16)*(1+IF(AF149&gt;0,'Attrition Modeling'!$N$9,0))),0))</f>
        <v>4866.0732143192108</v>
      </c>
      <c r="AG17" s="799">
        <f>IF(AG$2=$F17+1,Monthly!AC$21,IF(AG$2&gt;$F17+1,('Traditional Attrition'!AF17+AG149)*(1-IF(AG$2-$F17&lt;=12,SUMIFS('Attrition Modeling'!$D:$D,'Attrition Modeling'!$B:$B,'Traditional Attrition'!$E17,'Attrition Modeling'!$C:$C,'Traditional Attrition'!AG$1),VLOOKUP('Traditional Attrition'!AG$2-'Traditional Attrition'!$F17-1,'Traditional Attrition'!$A$7:$C$161,2,FALSE)*VLOOKUP(AG$1,'Attrition Modeling'!$L$15:$N$27,IF(AG$2-$F17&lt;=24,2,3),FALSE))*(1+Projection!AI$16)*(1+IF(AG149&gt;0,'Attrition Modeling'!$N$9,0))),0))</f>
        <v>4746.1711752283682</v>
      </c>
      <c r="AH17" s="799">
        <f>IF(AH$2=$F17+1,Monthly!AD$21,IF(AH$2&gt;$F17+1,('Traditional Attrition'!AG17+AH149)*(1-IF(AH$2-$F17&lt;=12,SUMIFS('Attrition Modeling'!$D:$D,'Attrition Modeling'!$B:$B,'Traditional Attrition'!$E17,'Attrition Modeling'!$C:$C,'Traditional Attrition'!AH$1),VLOOKUP('Traditional Attrition'!AH$2-'Traditional Attrition'!$F17-1,'Traditional Attrition'!$A$7:$C$161,2,FALSE)*VLOOKUP(AH$1,'Attrition Modeling'!$L$15:$N$27,IF(AH$2-$F17&lt;=24,2,3),FALSE))*(1+Projection!AJ$16)*(1+IF(AH149&gt;0,'Attrition Modeling'!$N$9,0))),0))</f>
        <v>4495.2569669287677</v>
      </c>
      <c r="AI17" s="799">
        <f>IF(AI$2=$F17+1,Monthly!AE$21,IF(AI$2&gt;$F17+1,('Traditional Attrition'!AH17+AI149)*(1-IF(AI$2-$F17&lt;=12,SUMIFS('Attrition Modeling'!$D:$D,'Attrition Modeling'!$B:$B,'Traditional Attrition'!$E17,'Attrition Modeling'!$C:$C,'Traditional Attrition'!AI$1),VLOOKUP('Traditional Attrition'!AI$2-'Traditional Attrition'!$F17-1,'Traditional Attrition'!$A$7:$C$161,2,FALSE)*VLOOKUP(AI$1,'Attrition Modeling'!$L$15:$N$27,IF(AI$2-$F17&lt;=24,2,3),FALSE))*(1+Projection!AK$16)*(1+IF(AI149&gt;0,'Attrition Modeling'!$N$9,0))),0))</f>
        <v>4279.6421108084915</v>
      </c>
      <c r="AJ17" s="799">
        <f>IF(AJ$2=$F17+1,Monthly!AF$21,IF(AJ$2&gt;$F17+1,('Traditional Attrition'!AI17+AJ149)*(1-IF(AJ$2-$F17&lt;=12,SUMIFS('Attrition Modeling'!$D:$D,'Attrition Modeling'!$B:$B,'Traditional Attrition'!$E17,'Attrition Modeling'!$C:$C,'Traditional Attrition'!AJ$1),VLOOKUP('Traditional Attrition'!AJ$2-'Traditional Attrition'!$F17-1,'Traditional Attrition'!$A$7:$C$161,2,FALSE)*VLOOKUP(AJ$1,'Attrition Modeling'!$L$15:$N$27,IF(AJ$2-$F17&lt;=24,2,3),FALSE))*(1+Projection!AL$16)*(1+IF(AJ149&gt;0,'Attrition Modeling'!$N$9,0))),0))</f>
        <v>4085.8145493153006</v>
      </c>
      <c r="AK17" s="799">
        <f>IF(AK$2=$F17+1,Monthly!AG$21,IF(AK$2&gt;$F17+1,('Traditional Attrition'!AJ17+AK149)*(1-IF(AK$2-$F17&lt;=12,SUMIFS('Attrition Modeling'!$D:$D,'Attrition Modeling'!$B:$B,'Traditional Attrition'!$E17,'Attrition Modeling'!$C:$C,'Traditional Attrition'!AK$1),VLOOKUP('Traditional Attrition'!AK$2-'Traditional Attrition'!$F17-1,'Traditional Attrition'!$A$7:$C$161,2,FALSE)*VLOOKUP(AK$1,'Attrition Modeling'!$L$15:$N$27,IF(AK$2-$F17&lt;=24,2,3),FALSE))*(1+Projection!AM$16)*(1+IF(AK149&gt;0,'Attrition Modeling'!$N$9,0))),0))</f>
        <v>3890.0756280242895</v>
      </c>
      <c r="AL17" s="799">
        <f>IF(AL$2=$F17+1,Monthly!AH$21,IF(AL$2&gt;$F17+1,('Traditional Attrition'!AK17+AL149)*(1-IF(AL$2-$F17&lt;=12,SUMIFS('Attrition Modeling'!$D:$D,'Attrition Modeling'!$B:$B,'Traditional Attrition'!$E17,'Attrition Modeling'!$C:$C,'Traditional Attrition'!AL$1),VLOOKUP('Traditional Attrition'!AL$2-'Traditional Attrition'!$F17-1,'Traditional Attrition'!$A$7:$C$161,2,FALSE)*VLOOKUP(AL$1,'Attrition Modeling'!$L$15:$N$27,IF(AL$2-$F17&lt;=24,2,3),FALSE))*(1+Projection!AN$16)*(1+IF(AL149&gt;0,'Attrition Modeling'!$N$9,0))),0))</f>
        <v>3704.9130697281144</v>
      </c>
      <c r="AM17" s="799">
        <f>IF(AM$2=$F17+1,Monthly!AI$21,IF(AM$2&gt;$F17+1,('Traditional Attrition'!AL17+AM149)*(1-IF(AM$2-$F17&lt;=12,SUMIFS('Attrition Modeling'!$D:$D,'Attrition Modeling'!$B:$B,'Traditional Attrition'!$E17,'Attrition Modeling'!$C:$C,'Traditional Attrition'!AM$1),VLOOKUP('Traditional Attrition'!AM$2-'Traditional Attrition'!$F17-1,'Traditional Attrition'!$A$7:$C$161,2,FALSE)*VLOOKUP(AM$1,'Attrition Modeling'!$L$15:$N$27,IF(AM$2-$F17&lt;=24,2,3),FALSE))*(1+Projection!AO$16)*(1+IF(AM149&gt;0,'Attrition Modeling'!$N$9,0))),0))</f>
        <v>3824.3885063533276</v>
      </c>
      <c r="AN17" s="799">
        <f>IF(AN$2=$F17+1,Monthly!AJ$21,IF(AN$2&gt;$F17+1,('Traditional Attrition'!AM17+AN149)*(1-IF(AN$2-$F17&lt;=12,SUMIFS('Attrition Modeling'!$D:$D,'Attrition Modeling'!$B:$B,'Traditional Attrition'!$E17,'Attrition Modeling'!$C:$C,'Traditional Attrition'!AN$1),VLOOKUP('Traditional Attrition'!AN$2-'Traditional Attrition'!$F17-1,'Traditional Attrition'!$A$7:$C$161,2,FALSE)*VLOOKUP(AN$1,'Attrition Modeling'!$L$15:$N$27,IF(AN$2-$F17&lt;=24,2,3),FALSE))*(1+Projection!AP$16)*(1+IF(AN149&gt;0,'Attrition Modeling'!$N$9,0))),0))</f>
        <v>3658.9733742181561</v>
      </c>
      <c r="AO17" s="799">
        <f>IF(AO$2=$F17+1,Monthly!AK$21,IF(AO$2&gt;$F17+1,('Traditional Attrition'!AN17+AO149)*(1-IF(AO$2-$F17&lt;=12,SUMIFS('Attrition Modeling'!$D:$D,'Attrition Modeling'!$B:$B,'Traditional Attrition'!$E17,'Attrition Modeling'!$C:$C,'Traditional Attrition'!AO$1),VLOOKUP('Traditional Attrition'!AO$2-'Traditional Attrition'!$F17-1,'Traditional Attrition'!$A$7:$C$161,2,FALSE)*VLOOKUP(AO$1,'Attrition Modeling'!$L$15:$N$27,IF(AO$2-$F17&lt;=24,2,3),FALSE))*(1+Projection!AQ$16)*(1+IF(AO149&gt;0,'Attrition Modeling'!$N$9,0))),0))</f>
        <v>3500.1278269504965</v>
      </c>
      <c r="AP17" s="799">
        <f>IF(AP$2=$F17+1,Monthly!AL$21,IF(AP$2&gt;$F17+1,('Traditional Attrition'!AO17+AP149)*(1-IF(AP$2-$F17&lt;=12,SUMIFS('Attrition Modeling'!$D:$D,'Attrition Modeling'!$B:$B,'Traditional Attrition'!$E17,'Attrition Modeling'!$C:$C,'Traditional Attrition'!AP$1),VLOOKUP('Traditional Attrition'!AP$2-'Traditional Attrition'!$F17-1,'Traditional Attrition'!$A$7:$C$161,2,FALSE)*VLOOKUP(AP$1,'Attrition Modeling'!$L$15:$N$27,IF(AP$2-$F17&lt;=24,2,3),FALSE))*(1+Projection!AR$16)*(1+IF(AP149&gt;0,'Attrition Modeling'!$N$9,0))),0))</f>
        <v>3356.4508241487565</v>
      </c>
      <c r="AQ17" s="799">
        <f>IF(AQ$2=$F17+1,Monthly!AM$21,IF(AQ$2&gt;$F17+1,('Traditional Attrition'!AP17+AQ149)*(1-IF(AQ$2-$F17&lt;=12,SUMIFS('Attrition Modeling'!$D:$D,'Attrition Modeling'!$B:$B,'Traditional Attrition'!$E17,'Attrition Modeling'!$C:$C,'Traditional Attrition'!AQ$1),VLOOKUP('Traditional Attrition'!AQ$2-'Traditional Attrition'!$F17-1,'Traditional Attrition'!$A$7:$C$161,2,FALSE)*VLOOKUP(AQ$1,'Attrition Modeling'!$L$15:$N$27,IF(AQ$2-$F17&lt;=24,2,3),FALSE))*(1+Projection!AS$16)*(1+IF(AQ149&gt;0,'Attrition Modeling'!$N$9,0))),0))</f>
        <v>3222.2387228345751</v>
      </c>
      <c r="AR17" s="799">
        <f>IF(AR$2=$F17+1,Monthly!AN$21,IF(AR$2&gt;$F17+1,('Traditional Attrition'!AQ17+AR149)*(1-IF(AR$2-$F17&lt;=12,SUMIFS('Attrition Modeling'!$D:$D,'Attrition Modeling'!$B:$B,'Traditional Attrition'!$E17,'Attrition Modeling'!$C:$C,'Traditional Attrition'!AR$1),VLOOKUP('Traditional Attrition'!AR$2-'Traditional Attrition'!$F17-1,'Traditional Attrition'!$A$7:$C$161,2,FALSE)*VLOOKUP(AR$1,'Attrition Modeling'!$L$15:$N$27,IF(AR$2-$F17&lt;=24,2,3),FALSE))*(1+Projection!AT$16)*(1+IF(AR149&gt;0,'Attrition Modeling'!$N$9,0))),0))</f>
        <v>3095.119437630136</v>
      </c>
      <c r="AS17" s="799">
        <f>IF(AS$2=$F17+1,Monthly!AO$21,IF(AS$2&gt;$F17+1,('Traditional Attrition'!AR17+AS149)*(1-IF(AS$2-$F17&lt;=12,SUMIFS('Attrition Modeling'!$D:$D,'Attrition Modeling'!$B:$B,'Traditional Attrition'!$E17,'Attrition Modeling'!$C:$C,'Traditional Attrition'!AS$1),VLOOKUP('Traditional Attrition'!AS$2-'Traditional Attrition'!$F17-1,'Traditional Attrition'!$A$7:$C$161,2,FALSE)*VLOOKUP(AS$1,'Attrition Modeling'!$L$15:$N$27,IF(AS$2-$F17&lt;=24,2,3),FALSE))*(1+Projection!AU$16)*(1+IF(AS149&gt;0,'Attrition Modeling'!$N$9,0))),0))</f>
        <v>2986.425917215709</v>
      </c>
      <c r="AT17" s="799">
        <f>IF(AT$2=$F17+1,Monthly!AP$21,IF(AT$2&gt;$F17+1,('Traditional Attrition'!AS17+AT149)*(1-IF(AT$2-$F17&lt;=12,SUMIFS('Attrition Modeling'!$D:$D,'Attrition Modeling'!$B:$B,'Traditional Attrition'!$E17,'Attrition Modeling'!$C:$C,'Traditional Attrition'!AT$1),VLOOKUP('Traditional Attrition'!AT$2-'Traditional Attrition'!$F17-1,'Traditional Attrition'!$A$7:$C$161,2,FALSE)*VLOOKUP(AT$1,'Attrition Modeling'!$L$15:$N$27,IF(AT$2-$F17&lt;=24,2,3),FALSE))*(1+Projection!AV$16)*(1+IF(AT149&gt;0,'Attrition Modeling'!$N$9,0))),0))</f>
        <v>2886.3440591269368</v>
      </c>
      <c r="AU17" s="799">
        <f>IF(AU$2=$F17+1,Monthly!AQ$21,IF(AU$2&gt;$F17+1,('Traditional Attrition'!AT17+AU149)*(1-IF(AU$2-$F17&lt;=12,SUMIFS('Attrition Modeling'!$D:$D,'Attrition Modeling'!$B:$B,'Traditional Attrition'!$E17,'Attrition Modeling'!$C:$C,'Traditional Attrition'!AU$1),VLOOKUP('Traditional Attrition'!AU$2-'Traditional Attrition'!$F17-1,'Traditional Attrition'!$A$7:$C$161,2,FALSE)*VLOOKUP(AU$1,'Attrition Modeling'!$L$15:$N$27,IF(AU$2-$F17&lt;=24,2,3),FALSE))*(1+Projection!AW$16)*(1+IF(AU149&gt;0,'Attrition Modeling'!$N$9,0))),0))</f>
        <v>2810.4912551883422</v>
      </c>
      <c r="AV17" s="799">
        <f>IF(AV$2=$F17+1,Monthly!AR$21,IF(AV$2&gt;$F17+1,('Traditional Attrition'!AU17+AV149)*(1-IF(AV$2-$F17&lt;=12,SUMIFS('Attrition Modeling'!$D:$D,'Attrition Modeling'!$B:$B,'Traditional Attrition'!$E17,'Attrition Modeling'!$C:$C,'Traditional Attrition'!AV$1),VLOOKUP('Traditional Attrition'!AV$2-'Traditional Attrition'!$F17-1,'Traditional Attrition'!$A$7:$C$161,2,FALSE)*VLOOKUP(AV$1,'Attrition Modeling'!$L$15:$N$27,IF(AV$2-$F17&lt;=24,2,3),FALSE))*(1+Projection!AX$16)*(1+IF(AV149&gt;0,'Attrition Modeling'!$N$9,0))),0))</f>
        <v>2722.5310343920528</v>
      </c>
      <c r="AW17" s="799">
        <f>IF(AW$2=$F17+1,Monthly!AS$21,IF(AW$2&gt;$F17+1,('Traditional Attrition'!AV17+AW149)*(1-IF(AW$2-$F17&lt;=12,SUMIFS('Attrition Modeling'!$D:$D,'Attrition Modeling'!$B:$B,'Traditional Attrition'!$E17,'Attrition Modeling'!$C:$C,'Traditional Attrition'!AW$1),VLOOKUP('Traditional Attrition'!AW$2-'Traditional Attrition'!$F17-1,'Traditional Attrition'!$A$7:$C$161,2,FALSE)*VLOOKUP(AW$1,'Attrition Modeling'!$L$15:$N$27,IF(AW$2-$F17&lt;=24,2,3),FALSE))*(1+Projection!AY$16)*(1+IF(AW149&gt;0,'Attrition Modeling'!$N$9,0))),0))</f>
        <v>2626.5662285419812</v>
      </c>
      <c r="AX17" s="799">
        <f>IF(AX$2=$F17+1,Monthly!AT$21,IF(AX$2&gt;$F17+1,('Traditional Attrition'!AW17+AX149)*(1-IF(AX$2-$F17&lt;=12,SUMIFS('Attrition Modeling'!$D:$D,'Attrition Modeling'!$B:$B,'Traditional Attrition'!$E17,'Attrition Modeling'!$C:$C,'Traditional Attrition'!AX$1),VLOOKUP('Traditional Attrition'!AX$2-'Traditional Attrition'!$F17-1,'Traditional Attrition'!$A$7:$C$161,2,FALSE)*VLOOKUP(AX$1,'Attrition Modeling'!$L$15:$N$27,IF(AX$2-$F17&lt;=24,2,3),FALSE))*(1+Projection!AZ$16)*(1+IF(AX149&gt;0,'Attrition Modeling'!$N$9,0))),0))</f>
        <v>2526.9910783413752</v>
      </c>
      <c r="AY17" s="799">
        <f>IF(AY$2=$F17+1,Monthly!AU$21,IF(AY$2&gt;$F17+1,('Traditional Attrition'!AX17+AY149)*(1-IF(AY$2-$F17&lt;=12,SUMIFS('Attrition Modeling'!$D:$D,'Attrition Modeling'!$B:$B,'Traditional Attrition'!$E17,'Attrition Modeling'!$C:$C,'Traditional Attrition'!AY$1),VLOOKUP('Traditional Attrition'!AY$2-'Traditional Attrition'!$F17-1,'Traditional Attrition'!$A$7:$C$161,2,FALSE)*VLOOKUP(AY$1,'Attrition Modeling'!$L$15:$N$27,IF(AY$2-$F17&lt;=24,2,3),FALSE))*(1+Projection!BA$16)*(1+IF(AY149&gt;0,'Attrition Modeling'!$N$9,0))),0))</f>
        <v>2635.9749286399406</v>
      </c>
      <c r="AZ17" s="799">
        <f>IF(AZ$2=$F17+1,Monthly!AV$21,IF(AZ$2&gt;$F17+1,('Traditional Attrition'!AY17+AZ149)*(1-IF(AZ$2-$F17&lt;=12,SUMIFS('Attrition Modeling'!$D:$D,'Attrition Modeling'!$B:$B,'Traditional Attrition'!$E17,'Attrition Modeling'!$C:$C,'Traditional Attrition'!AZ$1),VLOOKUP('Traditional Attrition'!AZ$2-'Traditional Attrition'!$F17-1,'Traditional Attrition'!$A$7:$C$161,2,FALSE)*VLOOKUP(AZ$1,'Attrition Modeling'!$L$15:$N$27,IF(AZ$2-$F17&lt;=24,2,3),FALSE))*(1+Projection!BB$16)*(1+IF(AZ149&gt;0,'Attrition Modeling'!$N$9,0))),0))</f>
        <v>2537.6778521786409</v>
      </c>
      <c r="BA17" s="799">
        <f>IF(BA$2=$F17+1,Monthly!AW$21,IF(BA$2&gt;$F17+1,('Traditional Attrition'!AZ17+BA149)*(1-IF(BA$2-$F17&lt;=12,SUMIFS('Attrition Modeling'!$D:$D,'Attrition Modeling'!$B:$B,'Traditional Attrition'!$E17,'Attrition Modeling'!$C:$C,'Traditional Attrition'!BA$1),VLOOKUP('Traditional Attrition'!BA$2-'Traditional Attrition'!$F17-1,'Traditional Attrition'!$A$7:$C$161,2,FALSE)*VLOOKUP(BA$1,'Attrition Modeling'!$L$15:$N$27,IF(BA$2-$F17&lt;=24,2,3),FALSE))*(1+Projection!BC$16)*(1+IF(BA149&gt;0,'Attrition Modeling'!$N$9,0))),0))</f>
        <v>2447.3982060123599</v>
      </c>
      <c r="BB17" s="799">
        <f>IF(BB$2=$F17+1,Monthly!AX$21,IF(BB$2&gt;$F17+1,('Traditional Attrition'!BA17+BB149)*(1-IF(BB$2-$F17&lt;=12,SUMIFS('Attrition Modeling'!$D:$D,'Attrition Modeling'!$B:$B,'Traditional Attrition'!$E17,'Attrition Modeling'!$C:$C,'Traditional Attrition'!BB$1),VLOOKUP('Traditional Attrition'!BB$2-'Traditional Attrition'!$F17-1,'Traditional Attrition'!$A$7:$C$161,2,FALSE)*VLOOKUP(BB$1,'Attrition Modeling'!$L$15:$N$27,IF(BB$2-$F17&lt;=24,2,3),FALSE))*(1+Projection!BD$16)*(1+IF(BB149&gt;0,'Attrition Modeling'!$N$9,0))),0))</f>
        <v>2363.2955118882933</v>
      </c>
      <c r="BC17" s="799">
        <f>IF(BC$2=$F17+1,Monthly!AY$21,IF(BC$2&gt;$F17+1,('Traditional Attrition'!BB17+BC149)*(1-IF(BC$2-$F17&lt;=12,SUMIFS('Attrition Modeling'!$D:$D,'Attrition Modeling'!$B:$B,'Traditional Attrition'!$E17,'Attrition Modeling'!$C:$C,'Traditional Attrition'!BC$1),VLOOKUP('Traditional Attrition'!BC$2-'Traditional Attrition'!$F17-1,'Traditional Attrition'!$A$7:$C$161,2,FALSE)*VLOOKUP(BC$1,'Attrition Modeling'!$L$15:$N$27,IF(BC$2-$F17&lt;=24,2,3),FALSE))*(1+Projection!BE$16)*(1+IF(BC149&gt;0,'Attrition Modeling'!$N$9,0))),0))</f>
        <v>2297.1387629417768</v>
      </c>
      <c r="BD17" s="799">
        <f>IF(BD$2=$F17+1,Monthly!AZ$21,IF(BD$2&gt;$F17+1,('Traditional Attrition'!BC17+BD149)*(1-IF(BD$2-$F17&lt;=12,SUMIFS('Attrition Modeling'!$D:$D,'Attrition Modeling'!$B:$B,'Traditional Attrition'!$E17,'Attrition Modeling'!$C:$C,'Traditional Attrition'!BD$1),VLOOKUP('Traditional Attrition'!BD$2-'Traditional Attrition'!$F17-1,'Traditional Attrition'!$A$7:$C$161,2,FALSE)*VLOOKUP(BD$1,'Attrition Modeling'!$L$15:$N$27,IF(BD$2-$F17&lt;=24,2,3),FALSE))*(1+Projection!BF$16)*(1+IF(BD149&gt;0,'Attrition Modeling'!$N$9,0))),0))</f>
        <v>2226.7475362504065</v>
      </c>
      <c r="BE17" s="799">
        <f>IF(BE$2=$F17+1,Monthly!BA$21,IF(BE$2&gt;$F17+1,('Traditional Attrition'!BD17+BE149)*(1-IF(BE$2-$F17&lt;=12,SUMIFS('Attrition Modeling'!$D:$D,'Attrition Modeling'!$B:$B,'Traditional Attrition'!$E17,'Attrition Modeling'!$C:$C,'Traditional Attrition'!BE$1),VLOOKUP('Traditional Attrition'!BE$2-'Traditional Attrition'!$F17-1,'Traditional Attrition'!$A$7:$C$161,2,FALSE)*VLOOKUP(BE$1,'Attrition Modeling'!$L$15:$N$27,IF(BE$2-$F17&lt;=24,2,3),FALSE))*(1+Projection!BG$16)*(1+IF(BE149&gt;0,'Attrition Modeling'!$N$9,0))),0))</f>
        <v>2161.3833984253024</v>
      </c>
      <c r="BF17" s="799">
        <f>IF(BF$2=$F17+1,Monthly!BB$21,IF(BF$2&gt;$F17+1,('Traditional Attrition'!BE17+BF149)*(1-IF(BF$2-$F17&lt;=12,SUMIFS('Attrition Modeling'!$D:$D,'Attrition Modeling'!$B:$B,'Traditional Attrition'!$E17,'Attrition Modeling'!$C:$C,'Traditional Attrition'!BF$1),VLOOKUP('Traditional Attrition'!BF$2-'Traditional Attrition'!$F17-1,'Traditional Attrition'!$A$7:$C$161,2,FALSE)*VLOOKUP(BF$1,'Attrition Modeling'!$L$15:$N$27,IF(BF$2-$F17&lt;=24,2,3),FALSE))*(1+Projection!BH$16)*(1+IF(BF149&gt;0,'Attrition Modeling'!$N$9,0))),0))</f>
        <v>2101.2633760973754</v>
      </c>
      <c r="BG17" s="799">
        <f>IF(BG$2=$F17+1,Monthly!BC$21,IF(BG$2&gt;$F17+1,('Traditional Attrition'!BF17+BG149)*(1-IF(BG$2-$F17&lt;=12,SUMIFS('Attrition Modeling'!$D:$D,'Attrition Modeling'!$B:$B,'Traditional Attrition'!$E17,'Attrition Modeling'!$C:$C,'Traditional Attrition'!BG$1),VLOOKUP('Traditional Attrition'!BG$2-'Traditional Attrition'!$F17-1,'Traditional Attrition'!$A$7:$C$161,2,FALSE)*VLOOKUP(BG$1,'Attrition Modeling'!$L$15:$N$27,IF(BG$2-$F17&lt;=24,2,3),FALSE))*(1+Projection!BI$16)*(1+IF(BG149&gt;0,'Attrition Modeling'!$N$9,0))),0))</f>
        <v>2055.2766592104294</v>
      </c>
      <c r="BH17" s="799">
        <f>IF(BH$2=$F17+1,Monthly!BD$21,IF(BH$2&gt;$F17+1,('Traditional Attrition'!BG17+BH149)*(1-IF(BH$2-$F17&lt;=12,SUMIFS('Attrition Modeling'!$D:$D,'Attrition Modeling'!$B:$B,'Traditional Attrition'!$E17,'Attrition Modeling'!$C:$C,'Traditional Attrition'!BH$1),VLOOKUP('Traditional Attrition'!BH$2-'Traditional Attrition'!$F17-1,'Traditional Attrition'!$A$7:$C$161,2,FALSE)*VLOOKUP(BH$1,'Attrition Modeling'!$L$15:$N$27,IF(BH$2-$F17&lt;=24,2,3),FALSE))*(1+Projection!BJ$16)*(1+IF(BH149&gt;0,'Attrition Modeling'!$N$9,0))),0))</f>
        <v>2001.5417397804781</v>
      </c>
      <c r="BI17" s="799">
        <f>IF(BI$2=$F17+1,Monthly!BE$21,IF(BI$2&gt;$F17+1,('Traditional Attrition'!BH17+BI149)*(1-IF(BI$2-$F17&lt;=12,SUMIFS('Attrition Modeling'!$D:$D,'Attrition Modeling'!$B:$B,'Traditional Attrition'!$E17,'Attrition Modeling'!$C:$C,'Traditional Attrition'!BI$1),VLOOKUP('Traditional Attrition'!BI$2-'Traditional Attrition'!$F17-1,'Traditional Attrition'!$A$7:$C$161,2,FALSE)*VLOOKUP(BI$1,'Attrition Modeling'!$L$15:$N$27,IF(BI$2-$F17&lt;=24,2,3),FALSE))*(1+Projection!BK$16)*(1+IF(BI149&gt;0,'Attrition Modeling'!$N$9,0))),0))</f>
        <v>1942.4322639192205</v>
      </c>
      <c r="BJ17" s="799">
        <f>IF(BJ$2=$F17+1,Monthly!BF$21,IF(BJ$2&gt;$F17+1,('Traditional Attrition'!BI17+BJ149)*(1-IF(BJ$2-$F17&lt;=12,SUMIFS('Attrition Modeling'!$D:$D,'Attrition Modeling'!$B:$B,'Traditional Attrition'!$E17,'Attrition Modeling'!$C:$C,'Traditional Attrition'!BJ$1),VLOOKUP('Traditional Attrition'!BJ$2-'Traditional Attrition'!$F17-1,'Traditional Attrition'!$A$7:$C$161,2,FALSE)*VLOOKUP(BJ$1,'Attrition Modeling'!$L$15:$N$27,IF(BJ$2-$F17&lt;=24,2,3),FALSE))*(1+Projection!BL$16)*(1+IF(BJ149&gt;0,'Attrition Modeling'!$N$9,0))),0))</f>
        <v>1880.565538960519</v>
      </c>
      <c r="BK17" s="799">
        <f>IF(BK$2=$F17+1,Monthly!BG$21,IF(BK$2&gt;$F17+1,('Traditional Attrition'!BJ17+BK149)*(1-IF(BK$2-$F17&lt;=12,SUMIFS('Attrition Modeling'!$D:$D,'Attrition Modeling'!$B:$B,'Traditional Attrition'!$E17,'Attrition Modeling'!$C:$C,'Traditional Attrition'!BK$1),VLOOKUP('Traditional Attrition'!BK$2-'Traditional Attrition'!$F17-1,'Traditional Attrition'!$A$7:$C$161,2,FALSE)*VLOOKUP(BK$1,'Attrition Modeling'!$L$15:$N$27,IF(BK$2-$F17&lt;=24,2,3),FALSE))*(1+Projection!BM$16)*(1+IF(BK149&gt;0,'Attrition Modeling'!$N$9,0))),0))</f>
        <v>1977.3489511952664</v>
      </c>
      <c r="BL17" s="799">
        <f>IF(BL$2=$F17+1,Monthly!BH$21,IF(BL$2&gt;$F17+1,('Traditional Attrition'!BK17+BL149)*(1-IF(BL$2-$F17&lt;=12,SUMIFS('Attrition Modeling'!$D:$D,'Attrition Modeling'!$B:$B,'Traditional Attrition'!$E17,'Attrition Modeling'!$C:$C,'Traditional Attrition'!BL$1),VLOOKUP('Traditional Attrition'!BL$2-'Traditional Attrition'!$F17-1,'Traditional Attrition'!$A$7:$C$161,2,FALSE)*VLOOKUP(BL$1,'Attrition Modeling'!$L$15:$N$27,IF(BL$2-$F17&lt;=24,2,3),FALSE))*(1+Projection!BN$16)*(1+IF(BL149&gt;0,'Attrition Modeling'!$N$9,0))),0))</f>
        <v>1915.087541840235</v>
      </c>
      <c r="BM17" s="799">
        <f>IF(BM$2=$F17+1,Monthly!BI$21,IF(BM$2&gt;$F17+1,('Traditional Attrition'!BL17+BM149)*(1-IF(BM$2-$F17&lt;=12,SUMIFS('Attrition Modeling'!$D:$D,'Attrition Modeling'!$B:$B,'Traditional Attrition'!$E17,'Attrition Modeling'!$C:$C,'Traditional Attrition'!BM$1),VLOOKUP('Traditional Attrition'!BM$2-'Traditional Attrition'!$F17-1,'Traditional Attrition'!$A$7:$C$161,2,FALSE)*VLOOKUP(BM$1,'Attrition Modeling'!$L$15:$N$27,IF(BM$2-$F17&lt;=24,2,3),FALSE))*(1+Projection!BO$16)*(1+IF(BM149&gt;0,'Attrition Modeling'!$N$9,0))),0))</f>
        <v>1857.4266790844131</v>
      </c>
      <c r="BN17" s="799">
        <f>IF(BN$2=$F17+1,Monthly!BJ$21,IF(BN$2&gt;$F17+1,('Traditional Attrition'!BM17+BN149)*(1-IF(BN$2-$F17&lt;=12,SUMIFS('Attrition Modeling'!$D:$D,'Attrition Modeling'!$B:$B,'Traditional Attrition'!$E17,'Attrition Modeling'!$C:$C,'Traditional Attrition'!BN$1),VLOOKUP('Traditional Attrition'!BN$2-'Traditional Attrition'!$F17-1,'Traditional Attrition'!$A$7:$C$161,2,FALSE)*VLOOKUP(BN$1,'Attrition Modeling'!$L$15:$N$27,IF(BN$2-$F17&lt;=24,2,3),FALSE))*(1+Projection!BP$16)*(1+IF(BN149&gt;0,'Attrition Modeling'!$N$9,0))),0))</f>
        <v>1803.2884119828864</v>
      </c>
      <c r="BO17" s="799">
        <f>IF(BO$2=$F17+1,Monthly!BK$21,IF(BO$2&gt;$F17+1,('Traditional Attrition'!BN17+BO149)*(1-IF(BO$2-$F17&lt;=12,SUMIFS('Attrition Modeling'!$D:$D,'Attrition Modeling'!$B:$B,'Traditional Attrition'!$E17,'Attrition Modeling'!$C:$C,'Traditional Attrition'!BO$1),VLOOKUP('Traditional Attrition'!BO$2-'Traditional Attrition'!$F17-1,'Traditional Attrition'!$A$7:$C$161,2,FALSE)*VLOOKUP(BO$1,'Attrition Modeling'!$L$15:$N$27,IF(BO$2-$F17&lt;=24,2,3),FALSE))*(1+Projection!BV$16)*(1+IF(BO149&gt;0,'Attrition Modeling'!$N$9,0))),0))</f>
        <v>1760.3835651502311</v>
      </c>
      <c r="BP17" s="799">
        <f>IF(BP$2=$F17+1,Monthly!BL$21,IF(BP$2&gt;$F17+1,('Traditional Attrition'!BO17+BP149)*(1-IF(BP$2-$F17&lt;=12,SUMIFS('Attrition Modeling'!$D:$D,'Attrition Modeling'!$B:$B,'Traditional Attrition'!$E17,'Attrition Modeling'!$C:$C,'Traditional Attrition'!BP$1),VLOOKUP('Traditional Attrition'!BP$2-'Traditional Attrition'!$F17-1,'Traditional Attrition'!$A$7:$C$161,2,FALSE)*VLOOKUP(BP$1,'Attrition Modeling'!$L$15:$N$27,IF(BP$2-$F17&lt;=24,2,3),FALSE))*(1+Projection!BW$16)*(1+IF(BP149&gt;0,'Attrition Modeling'!$N$9,0))),0))</f>
        <v>1714.4453360988389</v>
      </c>
      <c r="BQ17" s="799">
        <f>IF(BQ$2=$F17+1,Monthly!BM$21,IF(BQ$2&gt;$F17+1,('Traditional Attrition'!BP17+BQ149)*(1-IF(BQ$2-$F17&lt;=12,SUMIFS('Attrition Modeling'!$D:$D,'Attrition Modeling'!$B:$B,'Traditional Attrition'!$E17,'Attrition Modeling'!$C:$C,'Traditional Attrition'!BQ$1),VLOOKUP('Traditional Attrition'!BQ$2-'Traditional Attrition'!$F17-1,'Traditional Attrition'!$A$7:$C$161,2,FALSE)*VLOOKUP(BQ$1,'Attrition Modeling'!$L$15:$N$27,IF(BQ$2-$F17&lt;=24,2,3),FALSE))*(1+Projection!BX$16)*(1+IF(BQ149&gt;0,'Attrition Modeling'!$N$9,0))),0))</f>
        <v>1671.508045711096</v>
      </c>
      <c r="BR17" s="799">
        <f>IF(BR$2=$F17+1,Monthly!BN$21,IF(BR$2&gt;$F17+1,('Traditional Attrition'!BQ17+BR149)*(1-IF(BR$2-$F17&lt;=12,SUMIFS('Attrition Modeling'!$D:$D,'Attrition Modeling'!$B:$B,'Traditional Attrition'!$E17,'Attrition Modeling'!$C:$C,'Traditional Attrition'!BR$1),VLOOKUP('Traditional Attrition'!BR$2-'Traditional Attrition'!$F17-1,'Traditional Attrition'!$A$7:$C$161,2,FALSE)*VLOOKUP(BR$1,'Attrition Modeling'!$L$15:$N$27,IF(BR$2-$F17&lt;=24,2,3),FALSE))*(1+Projection!BY$16)*(1+IF(BR149&gt;0,'Attrition Modeling'!$N$9,0))),0))</f>
        <v>1632.0372181120442</v>
      </c>
      <c r="BS17" s="799">
        <f>IF(BS$2=$F17+1,Monthly!BO$21,IF(BS$2&gt;$F17+1,('Traditional Attrition'!BR17+BS149)*(1-IF(BS$2-$F17&lt;=12,SUMIFS('Attrition Modeling'!$D:$D,'Attrition Modeling'!$B:$B,'Traditional Attrition'!$E17,'Attrition Modeling'!$C:$C,'Traditional Attrition'!BS$1),VLOOKUP('Traditional Attrition'!BS$2-'Traditional Attrition'!$F17-1,'Traditional Attrition'!$A$7:$C$161,2,FALSE)*VLOOKUP(BS$1,'Attrition Modeling'!$L$15:$N$27,IF(BS$2-$F17&lt;=24,2,3),FALSE))*(1+Projection!BZ$16)*(1+IF(BS149&gt;0,'Attrition Modeling'!$N$9,0))),0))</f>
        <v>1601.6689702872045</v>
      </c>
      <c r="BT17" s="799">
        <f>IF(BT$2=$F17+1,Monthly!#REF!,IF(BT$2&gt;$F17+1,('Traditional Attrition'!BS17+BT149)*(1-IF(BT$2-$F17&lt;=12,SUMIFS('Attrition Modeling'!$D:$D,'Attrition Modeling'!$B:$B,'Traditional Attrition'!$E17,'Attrition Modeling'!$C:$C,'Traditional Attrition'!BT$1),VLOOKUP('Traditional Attrition'!BT$2-'Traditional Attrition'!$F17-1,'Traditional Attrition'!$A$7:$C$161,2,FALSE)*VLOOKUP(BT$1,'Attrition Modeling'!$L$15:$N$27,IF(BT$2-$F17&lt;=24,2,3),FALSE))*(1+Projection!CA$16)*(1+IF(BT149&gt;0,'Attrition Modeling'!$N$9,0))),0))</f>
        <v>1566.014165849351</v>
      </c>
      <c r="BU17" s="799">
        <f>IF(BU$2=$F17+1,Monthly!#REF!,IF(BU$2&gt;$F17+1,('Traditional Attrition'!BT17+BU149)*(1-IF(BU$2-$F17&lt;=12,SUMIFS('Attrition Modeling'!$D:$D,'Attrition Modeling'!$B:$B,'Traditional Attrition'!$E17,'Attrition Modeling'!$C:$C,'Traditional Attrition'!BU$1),VLOOKUP('Traditional Attrition'!BU$2-'Traditional Attrition'!$F17-1,'Traditional Attrition'!$A$7:$C$161,2,FALSE)*VLOOKUP(BU$1,'Attrition Modeling'!$L$15:$N$27,IF(BU$2-$F17&lt;=24,2,3),FALSE))*(1+Projection!CB$16)*(1+IF(BU149&gt;0,'Attrition Modeling'!$N$9,0))),0))</f>
        <v>1526.5834701489275</v>
      </c>
    </row>
    <row r="18" spans="1:73" ht="14.25" customHeight="1" x14ac:dyDescent="0.2">
      <c r="A18" s="800">
        <v>11</v>
      </c>
      <c r="B18" s="779" t="e">
        <f>'Attrition Modeling'!H15*(1-Summary!$C$20)</f>
        <v>#DIV/0!</v>
      </c>
      <c r="C18" s="780" t="e">
        <f t="shared" si="4"/>
        <v>#DIV/0!</v>
      </c>
      <c r="E18" s="11">
        <f t="shared" si="2"/>
        <v>3</v>
      </c>
      <c r="F18" s="11">
        <f t="shared" si="3"/>
        <v>15</v>
      </c>
      <c r="G18" s="799"/>
      <c r="H18" s="799">
        <f>IF(H$2=$F18+1,Monthly!D$21,IF(H$2&gt;$F18+1,('Traditional Attrition'!G18+H150)*(1-IF(H$2-$F18&lt;=12,SUMIFS('Attrition Modeling'!$D:$D,'Attrition Modeling'!$B:$B,'Traditional Attrition'!$E18,'Attrition Modeling'!$C:$C,'Traditional Attrition'!H$1),VLOOKUP('Traditional Attrition'!H$2-'Traditional Attrition'!$F18-1,'Traditional Attrition'!$A$7:$C$161,2,FALSE)*VLOOKUP(H$1,'Attrition Modeling'!$L$15:$N$27,IF(H$2-$F18&lt;=24,2,3),FALSE))*(1+Projection!J$16)*(1+IF(H150&gt;0,'Attrition Modeling'!$N$9,0))),0))</f>
        <v>0</v>
      </c>
      <c r="I18" s="799">
        <f>IF(I$2=$F18+1,Monthly!E$21,IF(I$2&gt;$F18+1,('Traditional Attrition'!H18+I150)*(1-IF(I$2-$F18&lt;=12,SUMIFS('Attrition Modeling'!$D:$D,'Attrition Modeling'!$B:$B,'Traditional Attrition'!$E18,'Attrition Modeling'!$C:$C,'Traditional Attrition'!I$1),VLOOKUP('Traditional Attrition'!I$2-'Traditional Attrition'!$F18-1,'Traditional Attrition'!$A$7:$C$161,2,FALSE)*VLOOKUP(I$1,'Attrition Modeling'!$L$15:$N$27,IF(I$2-$F18&lt;=24,2,3),FALSE))*(1+Projection!K$16)*(1+IF(I150&gt;0,'Attrition Modeling'!$N$9,0))),0))</f>
        <v>0</v>
      </c>
      <c r="J18" s="799">
        <f>IF(J$2=$F18+1,Monthly!F$21,IF(J$2&gt;$F18+1,('Traditional Attrition'!I18+J150)*(1-IF(J$2-$F18&lt;=12,SUMIFS('Attrition Modeling'!$D:$D,'Attrition Modeling'!$B:$B,'Traditional Attrition'!$E18,'Attrition Modeling'!$C:$C,'Traditional Attrition'!J$1),VLOOKUP('Traditional Attrition'!J$2-'Traditional Attrition'!$F18-1,'Traditional Attrition'!$A$7:$C$161,2,FALSE)*VLOOKUP(J$1,'Attrition Modeling'!$L$15:$N$27,IF(J$2-$F18&lt;=24,2,3),FALSE))*(1+Projection!L$16)*(1+IF(J150&gt;0,'Attrition Modeling'!$N$9,0))),0))</f>
        <v>0</v>
      </c>
      <c r="K18" s="799">
        <f>IF(K$2=$F18+1,Monthly!G$21,IF(K$2&gt;$F18+1,('Traditional Attrition'!J18+K150)*(1-IF(K$2-$F18&lt;=12,SUMIFS('Attrition Modeling'!$D:$D,'Attrition Modeling'!$B:$B,'Traditional Attrition'!$E18,'Attrition Modeling'!$C:$C,'Traditional Attrition'!K$1),VLOOKUP('Traditional Attrition'!K$2-'Traditional Attrition'!$F18-1,'Traditional Attrition'!$A$7:$C$161,2,FALSE)*VLOOKUP(K$1,'Attrition Modeling'!$L$15:$N$27,IF(K$2-$F18&lt;=24,2,3),FALSE))*(1+Projection!M$16)*(1+IF(K150&gt;0,'Attrition Modeling'!$N$9,0))),0))</f>
        <v>0</v>
      </c>
      <c r="L18" s="799">
        <f>IF(L$2=$F18+1,Monthly!H$21,IF(L$2&gt;$F18+1,('Traditional Attrition'!K18+L150)*(1-IF(L$2-$F18&lt;=12,SUMIFS('Attrition Modeling'!$D:$D,'Attrition Modeling'!$B:$B,'Traditional Attrition'!$E18,'Attrition Modeling'!$C:$C,'Traditional Attrition'!L$1),VLOOKUP('Traditional Attrition'!L$2-'Traditional Attrition'!$F18-1,'Traditional Attrition'!$A$7:$C$161,2,FALSE)*VLOOKUP(L$1,'Attrition Modeling'!$L$15:$N$27,IF(L$2-$F18&lt;=24,2,3),FALSE))*(1+Projection!N$16)*(1+IF(L150&gt;0,'Attrition Modeling'!$N$9,0))),0))</f>
        <v>0</v>
      </c>
      <c r="M18" s="799">
        <f>IF(M$2=$F18+1,Monthly!I$21,IF(M$2&gt;$F18+1,('Traditional Attrition'!L18+M150)*(1-IF(M$2-$F18&lt;=12,SUMIFS('Attrition Modeling'!$D:$D,'Attrition Modeling'!$B:$B,'Traditional Attrition'!$E18,'Attrition Modeling'!$C:$C,'Traditional Attrition'!M$1),VLOOKUP('Traditional Attrition'!M$2-'Traditional Attrition'!$F18-1,'Traditional Attrition'!$A$7:$C$161,2,FALSE)*VLOOKUP(M$1,'Attrition Modeling'!$L$15:$N$27,IF(M$2-$F18&lt;=24,2,3),FALSE))*(1+Projection!O$16)*(1+IF(M150&gt;0,'Attrition Modeling'!$N$9,0))),0))</f>
        <v>0</v>
      </c>
      <c r="N18" s="799">
        <f>IF(N$2=$F18+1,Monthly!J$21,IF(N$2&gt;$F18+1,('Traditional Attrition'!M18+N150)*(1-IF(N$2-$F18&lt;=12,SUMIFS('Attrition Modeling'!$D:$D,'Attrition Modeling'!$B:$B,'Traditional Attrition'!$E18,'Attrition Modeling'!$C:$C,'Traditional Attrition'!N$1),VLOOKUP('Traditional Attrition'!N$2-'Traditional Attrition'!$F18-1,'Traditional Attrition'!$A$7:$C$161,2,FALSE)*VLOOKUP(N$1,'Attrition Modeling'!$L$15:$N$27,IF(N$2-$F18&lt;=24,2,3),FALSE))*(1+Projection!P$16)*(1+IF(N150&gt;0,'Attrition Modeling'!$N$9,0))),0))</f>
        <v>0</v>
      </c>
      <c r="O18" s="799">
        <f>IF(O$2=$F18+1,Monthly!K$21,IF(O$2&gt;$F18+1,('Traditional Attrition'!N18+O150)*(1-IF(O$2-$F18&lt;=12,SUMIFS('Attrition Modeling'!$D:$D,'Attrition Modeling'!$B:$B,'Traditional Attrition'!$E18,'Attrition Modeling'!$C:$C,'Traditional Attrition'!O$1),VLOOKUP('Traditional Attrition'!O$2-'Traditional Attrition'!$F18-1,'Traditional Attrition'!$A$7:$C$161,2,FALSE)*VLOOKUP(O$1,'Attrition Modeling'!$L$15:$N$27,IF(O$2-$F18&lt;=24,2,3),FALSE))*(1+Projection!Q$16)*(1+IF(O150&gt;0,'Attrition Modeling'!$N$9,0))),0))</f>
        <v>0</v>
      </c>
      <c r="P18" s="799">
        <f>IF(P$2=$F18+1,Monthly!L$21,IF(P$2&gt;$F18+1,('Traditional Attrition'!O18+P150)*(1-IF(P$2-$F18&lt;=12,SUMIFS('Attrition Modeling'!$D:$D,'Attrition Modeling'!$B:$B,'Traditional Attrition'!$E18,'Attrition Modeling'!$C:$C,'Traditional Attrition'!P$1),VLOOKUP('Traditional Attrition'!P$2-'Traditional Attrition'!$F18-1,'Traditional Attrition'!$A$7:$C$161,2,FALSE)*VLOOKUP(P$1,'Attrition Modeling'!$L$15:$N$27,IF(P$2-$F18&lt;=24,2,3),FALSE))*(1+Projection!R$16)*(1+IF(P150&gt;0,'Attrition Modeling'!$N$9,0))),0))</f>
        <v>0</v>
      </c>
      <c r="Q18" s="799">
        <f>IF(Q$2=$F18+1,Monthly!M$21,IF(Q$2&gt;$F18+1,('Traditional Attrition'!P18+Q150)*(1-IF(Q$2-$F18&lt;=12,SUMIFS('Attrition Modeling'!$D:$D,'Attrition Modeling'!$B:$B,'Traditional Attrition'!$E18,'Attrition Modeling'!$C:$C,'Traditional Attrition'!Q$1),VLOOKUP('Traditional Attrition'!Q$2-'Traditional Attrition'!$F18-1,'Traditional Attrition'!$A$7:$C$161,2,FALSE)*VLOOKUP(Q$1,'Attrition Modeling'!$L$15:$N$27,IF(Q$2-$F18&lt;=24,2,3),FALSE))*(1+Projection!S$16)*(1+IF(Q150&gt;0,'Attrition Modeling'!$N$9,0))),0))</f>
        <v>0</v>
      </c>
      <c r="R18" s="799">
        <f>IF(R$2=$F18+1,Monthly!N$21,IF(R$2&gt;$F18+1,('Traditional Attrition'!Q18+R150)*(1-IF(R$2-$F18&lt;=12,SUMIFS('Attrition Modeling'!$D:$D,'Attrition Modeling'!$B:$B,'Traditional Attrition'!$E18,'Attrition Modeling'!$C:$C,'Traditional Attrition'!R$1),VLOOKUP('Traditional Attrition'!R$2-'Traditional Attrition'!$F18-1,'Traditional Attrition'!$A$7:$C$161,2,FALSE)*VLOOKUP(R$1,'Attrition Modeling'!$L$15:$N$27,IF(R$2-$F18&lt;=24,2,3),FALSE))*(1+Projection!T$16)*(1+IF(R150&gt;0,'Attrition Modeling'!$N$9,0))),0))</f>
        <v>0</v>
      </c>
      <c r="S18" s="799">
        <f>IF(S$2=$F18+1,Monthly!O$21,IF(S$2&gt;$F18+1,('Traditional Attrition'!R18+S150)*(1-IF(S$2-$F18&lt;=12,SUMIFS('Attrition Modeling'!$D:$D,'Attrition Modeling'!$B:$B,'Traditional Attrition'!$E18,'Attrition Modeling'!$C:$C,'Traditional Attrition'!S$1),VLOOKUP('Traditional Attrition'!S$2-'Traditional Attrition'!$F18-1,'Traditional Attrition'!$A$7:$C$161,2,FALSE)*VLOOKUP(S$1,'Attrition Modeling'!$L$15:$N$27,IF(S$2-$F18&lt;=24,2,3),FALSE))*(1+Projection!U$16)*(1+IF(S150&gt;0,'Attrition Modeling'!$N$9,0))),0))</f>
        <v>0</v>
      </c>
      <c r="T18" s="799">
        <f>IF(T$2=$F18+1,Monthly!P$21,IF(T$2&gt;$F18+1,('Traditional Attrition'!S18+T150)*(1-IF(T$2-$F18&lt;=12,SUMIFS('Attrition Modeling'!$D:$D,'Attrition Modeling'!$B:$B,'Traditional Attrition'!$E18,'Attrition Modeling'!$C:$C,'Traditional Attrition'!T$1),VLOOKUP('Traditional Attrition'!T$2-'Traditional Attrition'!$F18-1,'Traditional Attrition'!$A$7:$C$161,2,FALSE)*VLOOKUP(T$1,'Attrition Modeling'!$L$15:$N$27,IF(T$2-$F18&lt;=24,2,3),FALSE))*(1+Projection!V$16)*(1+IF(T150&gt;0,'Attrition Modeling'!$N$9,0))),0))</f>
        <v>0</v>
      </c>
      <c r="U18" s="799">
        <f>IF(U$2=$F18+1,Monthly!Q$21,IF(U$2&gt;$F18+1,('Traditional Attrition'!T18+U150)*(1-IF(U$2-$F18&lt;=12,SUMIFS('Attrition Modeling'!$D:$D,'Attrition Modeling'!$B:$B,'Traditional Attrition'!$E18,'Attrition Modeling'!$C:$C,'Traditional Attrition'!U$1),VLOOKUP('Traditional Attrition'!U$2-'Traditional Attrition'!$F18-1,'Traditional Attrition'!$A$7:$C$161,2,FALSE)*VLOOKUP(U$1,'Attrition Modeling'!$L$15:$N$27,IF(U$2-$F18&lt;=24,2,3),FALSE))*(1+Projection!W$16)*(1+IF(U150&gt;0,'Attrition Modeling'!$N$9,0))),0))</f>
        <v>0</v>
      </c>
      <c r="V18" s="799">
        <f>IF(V$2=$F18+1,Monthly!R$21,IF(V$2&gt;$F18+1,('Traditional Attrition'!U18+V150)*(1-IF(V$2-$F18&lt;=12,SUMIFS('Attrition Modeling'!$D:$D,'Attrition Modeling'!$B:$B,'Traditional Attrition'!$E18,'Attrition Modeling'!$C:$C,'Traditional Attrition'!V$1),VLOOKUP('Traditional Attrition'!V$2-'Traditional Attrition'!$F18-1,'Traditional Attrition'!$A$7:$C$161,2,FALSE)*VLOOKUP(V$1,'Attrition Modeling'!$L$15:$N$27,IF(V$2-$F18&lt;=24,2,3),FALSE))*(1+Projection!X$16)*(1+IF(V150&gt;0,'Attrition Modeling'!$N$9,0))),0))</f>
        <v>0</v>
      </c>
      <c r="W18" s="799">
        <f>IF(W$2=$F18+1,Monthly!S$21,IF(W$2&gt;$F18+1,('Traditional Attrition'!V18+W150)*(1-IF(W$2-$F18&lt;=12,SUMIFS('Attrition Modeling'!$D:$D,'Attrition Modeling'!$B:$B,'Traditional Attrition'!$E18,'Attrition Modeling'!$C:$C,'Traditional Attrition'!W$1),VLOOKUP('Traditional Attrition'!W$2-'Traditional Attrition'!$F18-1,'Traditional Attrition'!$A$7:$C$161,2,FALSE)*VLOOKUP(W$1,'Attrition Modeling'!$L$15:$N$27,IF(W$2-$F18&lt;=24,2,3),FALSE))*(1+Projection!Y$16)*(1+IF(W150&gt;0,'Attrition Modeling'!$N$9,0))),0))</f>
        <v>10860.605841640225</v>
      </c>
      <c r="X18" s="799">
        <f>IF(X$2=$F18+1,Monthly!T$21,IF(X$2&gt;$F18+1,('Traditional Attrition'!W18+X150)*(1-IF(X$2-$F18&lt;=12,SUMIFS('Attrition Modeling'!$D:$D,'Attrition Modeling'!$B:$B,'Traditional Attrition'!$E18,'Attrition Modeling'!$C:$C,'Traditional Attrition'!X$1),VLOOKUP('Traditional Attrition'!X$2-'Traditional Attrition'!$F18-1,'Traditional Attrition'!$A$7:$C$161,2,FALSE)*VLOOKUP(X$1,'Attrition Modeling'!$L$15:$N$27,IF(X$2-$F18&lt;=24,2,3),FALSE))*(1+Projection!Z$16)*(1+IF(X150&gt;0,'Attrition Modeling'!$N$9,0))),0))</f>
        <v>9840.5976159020647</v>
      </c>
      <c r="Y18" s="799">
        <f>IF(Y$2=$F18+1,Monthly!U$21,IF(Y$2&gt;$F18+1,('Traditional Attrition'!X18+Y150)*(1-IF(Y$2-$F18&lt;=12,SUMIFS('Attrition Modeling'!$D:$D,'Attrition Modeling'!$B:$B,'Traditional Attrition'!$E18,'Attrition Modeling'!$C:$C,'Traditional Attrition'!Y$1),VLOOKUP('Traditional Attrition'!Y$2-'Traditional Attrition'!$F18-1,'Traditional Attrition'!$A$7:$C$161,2,FALSE)*VLOOKUP(Y$1,'Attrition Modeling'!$L$15:$N$27,IF(Y$2-$F18&lt;=24,2,3),FALSE))*(1+Projection!AA$16)*(1+IF(Y150&gt;0,'Attrition Modeling'!$N$9,0))),0))</f>
        <v>8957.1445817216991</v>
      </c>
      <c r="Z18" s="799">
        <f>IF(Z$2=$F18+1,Monthly!V$21,IF(Z$2&gt;$F18+1,('Traditional Attrition'!Y18+Z150)*(1-IF(Z$2-$F18&lt;=12,SUMIFS('Attrition Modeling'!$D:$D,'Attrition Modeling'!$B:$B,'Traditional Attrition'!$E18,'Attrition Modeling'!$C:$C,'Traditional Attrition'!Z$1),VLOOKUP('Traditional Attrition'!Z$2-'Traditional Attrition'!$F18-1,'Traditional Attrition'!$A$7:$C$161,2,FALSE)*VLOOKUP(Z$1,'Attrition Modeling'!$L$15:$N$27,IF(Z$2-$F18&lt;=24,2,3),FALSE))*(1+Projection!AB$16)*(1+IF(Z150&gt;0,'Attrition Modeling'!$N$9,0))),0))</f>
        <v>8156.2423946615118</v>
      </c>
      <c r="AA18" s="799">
        <f>IF(AA$2=$F18+1,Monthly!W$21,IF(AA$2&gt;$F18+1,('Traditional Attrition'!Z18+AA150)*(1-IF(AA$2-$F18&lt;=12,SUMIFS('Attrition Modeling'!$D:$D,'Attrition Modeling'!$B:$B,'Traditional Attrition'!$E18,'Attrition Modeling'!$C:$C,'Traditional Attrition'!AA$1),VLOOKUP('Traditional Attrition'!AA$2-'Traditional Attrition'!$F18-1,'Traditional Attrition'!$A$7:$C$161,2,FALSE)*VLOOKUP(AA$1,'Attrition Modeling'!$L$15:$N$27,IF(AA$2-$F18&lt;=24,2,3),FALSE))*(1+Projection!AC$16)*(1+IF(AA150&gt;0,'Attrition Modeling'!$N$9,0))),0))</f>
        <v>7444.623866652094</v>
      </c>
      <c r="AB18" s="799">
        <f>IF(AB$2=$F18+1,Monthly!X$21,IF(AB$2&gt;$F18+1,('Traditional Attrition'!AA18+AB150)*(1-IF(AB$2-$F18&lt;=12,SUMIFS('Attrition Modeling'!$D:$D,'Attrition Modeling'!$B:$B,'Traditional Attrition'!$E18,'Attrition Modeling'!$C:$C,'Traditional Attrition'!AB$1),VLOOKUP('Traditional Attrition'!AB$2-'Traditional Attrition'!$F18-1,'Traditional Attrition'!$A$7:$C$161,2,FALSE)*VLOOKUP(AB$1,'Attrition Modeling'!$L$15:$N$27,IF(AB$2-$F18&lt;=24,2,3),FALSE))*(1+Projection!AD$16)*(1+IF(AB150&gt;0,'Attrition Modeling'!$N$9,0))),0))</f>
        <v>7353.4858095446752</v>
      </c>
      <c r="AC18" s="799">
        <f>IF(AC$2=$F18+1,Monthly!Y$21,IF(AC$2&gt;$F18+1,('Traditional Attrition'!AB18+AC150)*(1-IF(AC$2-$F18&lt;=12,SUMIFS('Attrition Modeling'!$D:$D,'Attrition Modeling'!$B:$B,'Traditional Attrition'!$E18,'Attrition Modeling'!$C:$C,'Traditional Attrition'!AC$1),VLOOKUP('Traditional Attrition'!AC$2-'Traditional Attrition'!$F18-1,'Traditional Attrition'!$A$7:$C$161,2,FALSE)*VLOOKUP(AC$1,'Attrition Modeling'!$L$15:$N$27,IF(AC$2-$F18&lt;=24,2,3),FALSE))*(1+Projection!AE$16)*(1+IF(AC150&gt;0,'Attrition Modeling'!$N$9,0))),0))</f>
        <v>6770.6523480927854</v>
      </c>
      <c r="AD18" s="799">
        <f>IF(AD$2=$F18+1,Monthly!Z$21,IF(AD$2&gt;$F18+1,('Traditional Attrition'!AC18+AD150)*(1-IF(AD$2-$F18&lt;=12,SUMIFS('Attrition Modeling'!$D:$D,'Attrition Modeling'!$B:$B,'Traditional Attrition'!$E18,'Attrition Modeling'!$C:$C,'Traditional Attrition'!AD$1),VLOOKUP('Traditional Attrition'!AD$2-'Traditional Attrition'!$F18-1,'Traditional Attrition'!$A$7:$C$161,2,FALSE)*VLOOKUP(AD$1,'Attrition Modeling'!$L$15:$N$27,IF(AD$2-$F18&lt;=24,2,3),FALSE))*(1+Projection!AF$16)*(1+IF(AD150&gt;0,'Attrition Modeling'!$N$9,0))),0))</f>
        <v>6265.6766486019342</v>
      </c>
      <c r="AE18" s="799">
        <f>IF(AE$2=$F18+1,Monthly!AA$21,IF(AE$2&gt;$F18+1,('Traditional Attrition'!AD18+AE150)*(1-IF(AE$2-$F18&lt;=12,SUMIFS('Attrition Modeling'!$D:$D,'Attrition Modeling'!$B:$B,'Traditional Attrition'!$E18,'Attrition Modeling'!$C:$C,'Traditional Attrition'!AE$1),VLOOKUP('Traditional Attrition'!AE$2-'Traditional Attrition'!$F18-1,'Traditional Attrition'!$A$7:$C$161,2,FALSE)*VLOOKUP(AE$1,'Attrition Modeling'!$L$15:$N$27,IF(AE$2-$F18&lt;=24,2,3),FALSE))*(1+Projection!AG$16)*(1+IF(AE150&gt;0,'Attrition Modeling'!$N$9,0))),0))</f>
        <v>5892.1691998987699</v>
      </c>
      <c r="AF18" s="799">
        <f>IF(AF$2=$F18+1,Monthly!AB$21,IF(AF$2&gt;$F18+1,('Traditional Attrition'!AE18+AF150)*(1-IF(AF$2-$F18&lt;=12,SUMIFS('Attrition Modeling'!$D:$D,'Attrition Modeling'!$B:$B,'Traditional Attrition'!$E18,'Attrition Modeling'!$C:$C,'Traditional Attrition'!AF$1),VLOOKUP('Traditional Attrition'!AF$2-'Traditional Attrition'!$F18-1,'Traditional Attrition'!$A$7:$C$161,2,FALSE)*VLOOKUP(AF$1,'Attrition Modeling'!$L$15:$N$27,IF(AF$2-$F18&lt;=24,2,3),FALSE))*(1+Projection!AH$16)*(1+IF(AF150&gt;0,'Attrition Modeling'!$N$9,0))),0))</f>
        <v>5561.7141966122554</v>
      </c>
      <c r="AG18" s="799">
        <f>IF(AG$2=$F18+1,Monthly!AC$21,IF(AG$2&gt;$F18+1,('Traditional Attrition'!AF18+AG150)*(1-IF(AG$2-$F18&lt;=12,SUMIFS('Attrition Modeling'!$D:$D,'Attrition Modeling'!$B:$B,'Traditional Attrition'!$E18,'Attrition Modeling'!$C:$C,'Traditional Attrition'!AG$1),VLOOKUP('Traditional Attrition'!AG$2-'Traditional Attrition'!$F18-1,'Traditional Attrition'!$A$7:$C$161,2,FALSE)*VLOOKUP(AG$1,'Attrition Modeling'!$L$15:$N$27,IF(AG$2-$F18&lt;=24,2,3),FALSE))*(1+Projection!AI$16)*(1+IF(AG150&gt;0,'Attrition Modeling'!$N$9,0))),0))</f>
        <v>5274.9693427146531</v>
      </c>
      <c r="AH18" s="799">
        <f>IF(AH$2=$F18+1,Monthly!AD$21,IF(AH$2&gt;$F18+1,('Traditional Attrition'!AG18+AH150)*(1-IF(AH$2-$F18&lt;=12,SUMIFS('Attrition Modeling'!$D:$D,'Attrition Modeling'!$B:$B,'Traditional Attrition'!$E18,'Attrition Modeling'!$C:$C,'Traditional Attrition'!AH$1),VLOOKUP('Traditional Attrition'!AH$2-'Traditional Attrition'!$F18-1,'Traditional Attrition'!$A$7:$C$161,2,FALSE)*VLOOKUP(AH$1,'Attrition Modeling'!$L$15:$N$27,IF(AH$2-$F18&lt;=24,2,3),FALSE))*(1+Projection!AJ$16)*(1+IF(AH150&gt;0,'Attrition Modeling'!$N$9,0))),0))</f>
        <v>5106.0542744222448</v>
      </c>
      <c r="AI18" s="799">
        <f>IF(AI$2=$F18+1,Monthly!AE$21,IF(AI$2&gt;$F18+1,('Traditional Attrition'!AH18+AI150)*(1-IF(AI$2-$F18&lt;=12,SUMIFS('Attrition Modeling'!$D:$D,'Attrition Modeling'!$B:$B,'Traditional Attrition'!$E18,'Attrition Modeling'!$C:$C,'Traditional Attrition'!AI$1),VLOOKUP('Traditional Attrition'!AI$2-'Traditional Attrition'!$F18-1,'Traditional Attrition'!$A$7:$C$161,2,FALSE)*VLOOKUP(AI$1,'Attrition Modeling'!$L$15:$N$27,IF(AI$2-$F18&lt;=24,2,3),FALSE))*(1+Projection!AK$16)*(1+IF(AI150&gt;0,'Attrition Modeling'!$N$9,0))),0))</f>
        <v>4840.6421309745456</v>
      </c>
      <c r="AJ18" s="799">
        <f>IF(AJ$2=$F18+1,Monthly!AF$21,IF(AJ$2&gt;$F18+1,('Traditional Attrition'!AI18+AJ150)*(1-IF(AJ$2-$F18&lt;=12,SUMIFS('Attrition Modeling'!$D:$D,'Attrition Modeling'!$B:$B,'Traditional Attrition'!$E18,'Attrition Modeling'!$C:$C,'Traditional Attrition'!AJ$1),VLOOKUP('Traditional Attrition'!AJ$2-'Traditional Attrition'!$F18-1,'Traditional Attrition'!$A$7:$C$161,2,FALSE)*VLOOKUP(AJ$1,'Attrition Modeling'!$L$15:$N$27,IF(AJ$2-$F18&lt;=24,2,3),FALSE))*(1+Projection!AL$16)*(1+IF(AJ150&gt;0,'Attrition Modeling'!$N$9,0))),0))</f>
        <v>4610.1191033340374</v>
      </c>
      <c r="AK18" s="799">
        <f>IF(AK$2=$F18+1,Monthly!AG$21,IF(AK$2&gt;$F18+1,('Traditional Attrition'!AJ18+AK150)*(1-IF(AK$2-$F18&lt;=12,SUMIFS('Attrition Modeling'!$D:$D,'Attrition Modeling'!$B:$B,'Traditional Attrition'!$E18,'Attrition Modeling'!$C:$C,'Traditional Attrition'!AK$1),VLOOKUP('Traditional Attrition'!AK$2-'Traditional Attrition'!$F18-1,'Traditional Attrition'!$A$7:$C$161,2,FALSE)*VLOOKUP(AK$1,'Attrition Modeling'!$L$15:$N$27,IF(AK$2-$F18&lt;=24,2,3),FALSE))*(1+Projection!AM$16)*(1+IF(AK150&gt;0,'Attrition Modeling'!$N$9,0))),0))</f>
        <v>4380.8886777372527</v>
      </c>
      <c r="AL18" s="799">
        <f>IF(AL$2=$F18+1,Monthly!AH$21,IF(AL$2&gt;$F18+1,('Traditional Attrition'!AK18+AL150)*(1-IF(AL$2-$F18&lt;=12,SUMIFS('Attrition Modeling'!$D:$D,'Attrition Modeling'!$B:$B,'Traditional Attrition'!$E18,'Attrition Modeling'!$C:$C,'Traditional Attrition'!AL$1),VLOOKUP('Traditional Attrition'!AL$2-'Traditional Attrition'!$F18-1,'Traditional Attrition'!$A$7:$C$161,2,FALSE)*VLOOKUP(AL$1,'Attrition Modeling'!$L$15:$N$27,IF(AL$2-$F18&lt;=24,2,3),FALSE))*(1+Projection!AN$16)*(1+IF(AL150&gt;0,'Attrition Modeling'!$N$9,0))),0))</f>
        <v>4166.0457907702157</v>
      </c>
      <c r="AM18" s="799">
        <f>IF(AM$2=$F18+1,Monthly!AI$21,IF(AM$2&gt;$F18+1,('Traditional Attrition'!AL18+AM150)*(1-IF(AM$2-$F18&lt;=12,SUMIFS('Attrition Modeling'!$D:$D,'Attrition Modeling'!$B:$B,'Traditional Attrition'!$E18,'Attrition Modeling'!$C:$C,'Traditional Attrition'!AM$1),VLOOKUP('Traditional Attrition'!AM$2-'Traditional Attrition'!$F18-1,'Traditional Attrition'!$A$7:$C$161,2,FALSE)*VLOOKUP(AM$1,'Attrition Modeling'!$L$15:$N$27,IF(AM$2-$F18&lt;=24,2,3),FALSE))*(1+Projection!AO$16)*(1+IF(AM150&gt;0,'Attrition Modeling'!$N$9,0))),0))</f>
        <v>3958.9772064772283</v>
      </c>
      <c r="AN18" s="799">
        <f>IF(AN$2=$F18+1,Monthly!AJ$21,IF(AN$2&gt;$F18+1,('Traditional Attrition'!AM18+AN150)*(1-IF(AN$2-$F18&lt;=12,SUMIFS('Attrition Modeling'!$D:$D,'Attrition Modeling'!$B:$B,'Traditional Attrition'!$E18,'Attrition Modeling'!$C:$C,'Traditional Attrition'!AN$1),VLOOKUP('Traditional Attrition'!AN$2-'Traditional Attrition'!$F18-1,'Traditional Attrition'!$A$7:$C$161,2,FALSE)*VLOOKUP(AN$1,'Attrition Modeling'!$L$15:$N$27,IF(AN$2-$F18&lt;=24,2,3),FALSE))*(1+Projection!AP$16)*(1+IF(AN150&gt;0,'Attrition Modeling'!$N$9,0))),0))</f>
        <v>4108.8891446583939</v>
      </c>
      <c r="AO18" s="799">
        <f>IF(AO$2=$F18+1,Monthly!AK$21,IF(AO$2&gt;$F18+1,('Traditional Attrition'!AN18+AO150)*(1-IF(AO$2-$F18&lt;=12,SUMIFS('Attrition Modeling'!$D:$D,'Attrition Modeling'!$B:$B,'Traditional Attrition'!$E18,'Attrition Modeling'!$C:$C,'Traditional Attrition'!AO$1),VLOOKUP('Traditional Attrition'!AO$2-'Traditional Attrition'!$F18-1,'Traditional Attrition'!$A$7:$C$161,2,FALSE)*VLOOKUP(AO$1,'Attrition Modeling'!$L$15:$N$27,IF(AO$2-$F18&lt;=24,2,3),FALSE))*(1+Projection!AQ$16)*(1+IF(AO150&gt;0,'Attrition Modeling'!$N$9,0))),0))</f>
        <v>3927.0568045989057</v>
      </c>
      <c r="AP18" s="799">
        <f>IF(AP$2=$F18+1,Monthly!AL$21,IF(AP$2&gt;$F18+1,('Traditional Attrition'!AO18+AP150)*(1-IF(AP$2-$F18&lt;=12,SUMIFS('Attrition Modeling'!$D:$D,'Attrition Modeling'!$B:$B,'Traditional Attrition'!$E18,'Attrition Modeling'!$C:$C,'Traditional Attrition'!AP$1),VLOOKUP('Traditional Attrition'!AP$2-'Traditional Attrition'!$F18-1,'Traditional Attrition'!$A$7:$C$161,2,FALSE)*VLOOKUP(AP$1,'Attrition Modeling'!$L$15:$N$27,IF(AP$2-$F18&lt;=24,2,3),FALSE))*(1+Projection!AR$16)*(1+IF(AP150&gt;0,'Attrition Modeling'!$N$9,0))),0))</f>
        <v>3763.0529868937101</v>
      </c>
      <c r="AQ18" s="799">
        <f>IF(AQ$2=$F18+1,Monthly!AM$21,IF(AQ$2&gt;$F18+1,('Traditional Attrition'!AP18+AQ150)*(1-IF(AQ$2-$F18&lt;=12,SUMIFS('Attrition Modeling'!$D:$D,'Attrition Modeling'!$B:$B,'Traditional Attrition'!$E18,'Attrition Modeling'!$C:$C,'Traditional Attrition'!AQ$1),VLOOKUP('Traditional Attrition'!AQ$2-'Traditional Attrition'!$F18-1,'Traditional Attrition'!$A$7:$C$161,2,FALSE)*VLOOKUP(AQ$1,'Attrition Modeling'!$L$15:$N$27,IF(AQ$2-$F18&lt;=24,2,3),FALSE))*(1+Projection!AS$16)*(1+IF(AQ150&gt;0,'Attrition Modeling'!$N$9,0))),0))</f>
        <v>3610.2059883867878</v>
      </c>
      <c r="AR18" s="799">
        <f>IF(AR$2=$F18+1,Monthly!AN$21,IF(AR$2&gt;$F18+1,('Traditional Attrition'!AQ18+AR150)*(1-IF(AR$2-$F18&lt;=12,SUMIFS('Attrition Modeling'!$D:$D,'Attrition Modeling'!$B:$B,'Traditional Attrition'!$E18,'Attrition Modeling'!$C:$C,'Traditional Attrition'!AR$1),VLOOKUP('Traditional Attrition'!AR$2-'Traditional Attrition'!$F18-1,'Traditional Attrition'!$A$7:$C$161,2,FALSE)*VLOOKUP(AR$1,'Attrition Modeling'!$L$15:$N$27,IF(AR$2-$F18&lt;=24,2,3),FALSE))*(1+Projection!AT$16)*(1+IF(AR150&gt;0,'Attrition Modeling'!$N$9,0))),0))</f>
        <v>3465.7169203555613</v>
      </c>
      <c r="AS18" s="799">
        <f>IF(AS$2=$F18+1,Monthly!AO$21,IF(AS$2&gt;$F18+1,('Traditional Attrition'!AR18+AS150)*(1-IF(AS$2-$F18&lt;=12,SUMIFS('Attrition Modeling'!$D:$D,'Attrition Modeling'!$B:$B,'Traditional Attrition'!$E18,'Attrition Modeling'!$C:$C,'Traditional Attrition'!AS$1),VLOOKUP('Traditional Attrition'!AS$2-'Traditional Attrition'!$F18-1,'Traditional Attrition'!$A$7:$C$161,2,FALSE)*VLOOKUP(AS$1,'Attrition Modeling'!$L$15:$N$27,IF(AS$2-$F18&lt;=24,2,3),FALSE))*(1+Projection!AU$16)*(1+IF(AS150&gt;0,'Attrition Modeling'!$N$9,0))),0))</f>
        <v>3342.3768837562056</v>
      </c>
      <c r="AT18" s="799">
        <f>IF(AT$2=$F18+1,Monthly!AP$21,IF(AT$2&gt;$F18+1,('Traditional Attrition'!AS18+AT150)*(1-IF(AT$2-$F18&lt;=12,SUMIFS('Attrition Modeling'!$D:$D,'Attrition Modeling'!$B:$B,'Traditional Attrition'!$E18,'Attrition Modeling'!$C:$C,'Traditional Attrition'!AT$1),VLOOKUP('Traditional Attrition'!AT$2-'Traditional Attrition'!$F18-1,'Traditional Attrition'!$A$7:$C$161,2,FALSE)*VLOOKUP(AT$1,'Attrition Modeling'!$L$15:$N$27,IF(AT$2-$F18&lt;=24,2,3),FALSE))*(1+Projection!AV$16)*(1+IF(AT150&gt;0,'Attrition Modeling'!$N$9,0))),0))</f>
        <v>3214.6052949402947</v>
      </c>
      <c r="AU18" s="799">
        <f>IF(AU$2=$F18+1,Monthly!AQ$21,IF(AU$2&gt;$F18+1,('Traditional Attrition'!AT18+AU150)*(1-IF(AU$2-$F18&lt;=12,SUMIFS('Attrition Modeling'!$D:$D,'Attrition Modeling'!$B:$B,'Traditional Attrition'!$E18,'Attrition Modeling'!$C:$C,'Traditional Attrition'!AU$1),VLOOKUP('Traditional Attrition'!AU$2-'Traditional Attrition'!$F18-1,'Traditional Attrition'!$A$7:$C$161,2,FALSE)*VLOOKUP(AU$1,'Attrition Modeling'!$L$15:$N$27,IF(AU$2-$F18&lt;=24,2,3),FALSE))*(1+Projection!AW$16)*(1+IF(AU150&gt;0,'Attrition Modeling'!$N$9,0))),0))</f>
        <v>3128.6548293471246</v>
      </c>
      <c r="AV18" s="799">
        <f>IF(AV$2=$F18+1,Monthly!AR$21,IF(AV$2&gt;$F18+1,('Traditional Attrition'!AU18+AV150)*(1-IF(AV$2-$F18&lt;=12,SUMIFS('Attrition Modeling'!$D:$D,'Attrition Modeling'!$B:$B,'Traditional Attrition'!$E18,'Attrition Modeling'!$C:$C,'Traditional Attrition'!AV$1),VLOOKUP('Traditional Attrition'!AV$2-'Traditional Attrition'!$F18-1,'Traditional Attrition'!$A$7:$C$161,2,FALSE)*VLOOKUP(AV$1,'Attrition Modeling'!$L$15:$N$27,IF(AV$2-$F18&lt;=24,2,3),FALSE))*(1+Projection!AX$16)*(1+IF(AV150&gt;0,'Attrition Modeling'!$N$9,0))),0))</f>
        <v>3029.0710341176241</v>
      </c>
      <c r="AW18" s="799">
        <f>IF(AW$2=$F18+1,Monthly!AS$21,IF(AW$2&gt;$F18+1,('Traditional Attrition'!AV18+AW150)*(1-IF(AW$2-$F18&lt;=12,SUMIFS('Attrition Modeling'!$D:$D,'Attrition Modeling'!$B:$B,'Traditional Attrition'!$E18,'Attrition Modeling'!$C:$C,'Traditional Attrition'!AW$1),VLOOKUP('Traditional Attrition'!AW$2-'Traditional Attrition'!$F18-1,'Traditional Attrition'!$A$7:$C$161,2,FALSE)*VLOOKUP(AW$1,'Attrition Modeling'!$L$15:$N$27,IF(AW$2-$F18&lt;=24,2,3),FALSE))*(1+Projection!AY$16)*(1+IF(AW150&gt;0,'Attrition Modeling'!$N$9,0))),0))</f>
        <v>2920.5240759980152</v>
      </c>
      <c r="AX18" s="799">
        <f>IF(AX$2=$F18+1,Monthly!AT$21,IF(AX$2&gt;$F18+1,('Traditional Attrition'!AW18+AX150)*(1-IF(AX$2-$F18&lt;=12,SUMIFS('Attrition Modeling'!$D:$D,'Attrition Modeling'!$B:$B,'Traditional Attrition'!$E18,'Attrition Modeling'!$C:$C,'Traditional Attrition'!AX$1),VLOOKUP('Traditional Attrition'!AX$2-'Traditional Attrition'!$F18-1,'Traditional Attrition'!$A$7:$C$161,2,FALSE)*VLOOKUP(AX$1,'Attrition Modeling'!$L$15:$N$27,IF(AX$2-$F18&lt;=24,2,3),FALSE))*(1+Projection!AZ$16)*(1+IF(AX150&gt;0,'Attrition Modeling'!$N$9,0))),0))</f>
        <v>2807.9999878101994</v>
      </c>
      <c r="AY18" s="799">
        <f>IF(AY$2=$F18+1,Monthly!AU$21,IF(AY$2&gt;$F18+1,('Traditional Attrition'!AX18+AY150)*(1-IF(AY$2-$F18&lt;=12,SUMIFS('Attrition Modeling'!$D:$D,'Attrition Modeling'!$B:$B,'Traditional Attrition'!$E18,'Attrition Modeling'!$C:$C,'Traditional Attrition'!AY$1),VLOOKUP('Traditional Attrition'!AY$2-'Traditional Attrition'!$F18-1,'Traditional Attrition'!$A$7:$C$161,2,FALSE)*VLOOKUP(AY$1,'Attrition Modeling'!$L$15:$N$27,IF(AY$2-$F18&lt;=24,2,3),FALSE))*(1+Projection!BA$16)*(1+IF(AY150&gt;0,'Attrition Modeling'!$N$9,0))),0))</f>
        <v>2693.3123052956598</v>
      </c>
      <c r="AZ18" s="799">
        <f>IF(AZ$2=$F18+1,Monthly!AV$21,IF(AZ$2&gt;$F18+1,('Traditional Attrition'!AY18+AZ150)*(1-IF(AZ$2-$F18&lt;=12,SUMIFS('Attrition Modeling'!$D:$D,'Attrition Modeling'!$B:$B,'Traditional Attrition'!$E18,'Attrition Modeling'!$C:$C,'Traditional Attrition'!AZ$1),VLOOKUP('Traditional Attrition'!AZ$2-'Traditional Attrition'!$F18-1,'Traditional Attrition'!$A$7:$C$161,2,FALSE)*VLOOKUP(AZ$1,'Attrition Modeling'!$L$15:$N$27,IF(AZ$2-$F18&lt;=24,2,3),FALSE))*(1+Projection!BB$16)*(1+IF(AZ150&gt;0,'Attrition Modeling'!$N$9,0))),0))</f>
        <v>2817.7066813629158</v>
      </c>
      <c r="BA18" s="799">
        <f>IF(BA$2=$F18+1,Monthly!AW$21,IF(BA$2&gt;$F18+1,('Traditional Attrition'!AZ18+BA150)*(1-IF(BA$2-$F18&lt;=12,SUMIFS('Attrition Modeling'!$D:$D,'Attrition Modeling'!$B:$B,'Traditional Attrition'!$E18,'Attrition Modeling'!$C:$C,'Traditional Attrition'!BA$1),VLOOKUP('Traditional Attrition'!BA$2-'Traditional Attrition'!$F18-1,'Traditional Attrition'!$A$7:$C$161,2,FALSE)*VLOOKUP(BA$1,'Attrition Modeling'!$L$15:$N$27,IF(BA$2-$F18&lt;=24,2,3),FALSE))*(1+Projection!BC$16)*(1+IF(BA150&gt;0,'Attrition Modeling'!$N$9,0))),0))</f>
        <v>2715.9211612170575</v>
      </c>
      <c r="BB18" s="799">
        <f>IF(BB$2=$F18+1,Monthly!AX$21,IF(BB$2&gt;$F18+1,('Traditional Attrition'!BA18+BB150)*(1-IF(BB$2-$F18&lt;=12,SUMIFS('Attrition Modeling'!$D:$D,'Attrition Modeling'!$B:$B,'Traditional Attrition'!$E18,'Attrition Modeling'!$C:$C,'Traditional Attrition'!BB$1),VLOOKUP('Traditional Attrition'!BB$2-'Traditional Attrition'!$F18-1,'Traditional Attrition'!$A$7:$C$161,2,FALSE)*VLOOKUP(BB$1,'Attrition Modeling'!$L$15:$N$27,IF(BB$2-$F18&lt;=24,2,3),FALSE))*(1+Projection!BD$16)*(1+IF(BB150&gt;0,'Attrition Modeling'!$N$9,0))),0))</f>
        <v>2621.1782613368619</v>
      </c>
      <c r="BC18" s="799">
        <f>IF(BC$2=$F18+1,Monthly!AY$21,IF(BC$2&gt;$F18+1,('Traditional Attrition'!BB18+BC150)*(1-IF(BC$2-$F18&lt;=12,SUMIFS('Attrition Modeling'!$D:$D,'Attrition Modeling'!$B:$B,'Traditional Attrition'!$E18,'Attrition Modeling'!$C:$C,'Traditional Attrition'!BC$1),VLOOKUP('Traditional Attrition'!BC$2-'Traditional Attrition'!$F18-1,'Traditional Attrition'!$A$7:$C$161,2,FALSE)*VLOOKUP(BC$1,'Attrition Modeling'!$L$15:$N$27,IF(BC$2-$F18&lt;=24,2,3),FALSE))*(1+Projection!BE$16)*(1+IF(BC150&gt;0,'Attrition Modeling'!$N$9,0))),0))</f>
        <v>2546.7100230173678</v>
      </c>
      <c r="BD18" s="799">
        <f>IF(BD$2=$F18+1,Monthly!AZ$21,IF(BD$2&gt;$F18+1,('Traditional Attrition'!BC18+BD150)*(1-IF(BD$2-$F18&lt;=12,SUMIFS('Attrition Modeling'!$D:$D,'Attrition Modeling'!$B:$B,'Traditional Attrition'!$E18,'Attrition Modeling'!$C:$C,'Traditional Attrition'!BD$1),VLOOKUP('Traditional Attrition'!BD$2-'Traditional Attrition'!$F18-1,'Traditional Attrition'!$A$7:$C$161,2,FALSE)*VLOOKUP(BD$1,'Attrition Modeling'!$L$15:$N$27,IF(BD$2-$F18&lt;=24,2,3),FALSE))*(1+Projection!BF$16)*(1+IF(BD150&gt;0,'Attrition Modeling'!$N$9,0))),0))</f>
        <v>2467.5274589774444</v>
      </c>
      <c r="BE18" s="799">
        <f>IF(BE$2=$F18+1,Monthly!BA$21,IF(BE$2&gt;$F18+1,('Traditional Attrition'!BD18+BE150)*(1-IF(BE$2-$F18&lt;=12,SUMIFS('Attrition Modeling'!$D:$D,'Attrition Modeling'!$B:$B,'Traditional Attrition'!$E18,'Attrition Modeling'!$C:$C,'Traditional Attrition'!BE$1),VLOOKUP('Traditional Attrition'!BE$2-'Traditional Attrition'!$F18-1,'Traditional Attrition'!$A$7:$C$161,2,FALSE)*VLOOKUP(BE$1,'Attrition Modeling'!$L$15:$N$27,IF(BE$2-$F18&lt;=24,2,3),FALSE))*(1+Projection!BG$16)*(1+IF(BE150&gt;0,'Attrition Modeling'!$N$9,0))),0))</f>
        <v>2394.0497878693527</v>
      </c>
      <c r="BF18" s="799">
        <f>IF(BF$2=$F18+1,Monthly!BB$21,IF(BF$2&gt;$F18+1,('Traditional Attrition'!BE18+BF150)*(1-IF(BF$2-$F18&lt;=12,SUMIFS('Attrition Modeling'!$D:$D,'Attrition Modeling'!$B:$B,'Traditional Attrition'!$E18,'Attrition Modeling'!$C:$C,'Traditional Attrition'!BF$1),VLOOKUP('Traditional Attrition'!BF$2-'Traditional Attrition'!$F18-1,'Traditional Attrition'!$A$7:$C$161,2,FALSE)*VLOOKUP(BF$1,'Attrition Modeling'!$L$15:$N$27,IF(BF$2-$F18&lt;=24,2,3),FALSE))*(1+Projection!BH$16)*(1+IF(BF150&gt;0,'Attrition Modeling'!$N$9,0))),0))</f>
        <v>2326.5104702390558</v>
      </c>
      <c r="BG18" s="799">
        <f>IF(BG$2=$F18+1,Monthly!BC$21,IF(BG$2&gt;$F18+1,('Traditional Attrition'!BF18+BG150)*(1-IF(BG$2-$F18&lt;=12,SUMIFS('Attrition Modeling'!$D:$D,'Attrition Modeling'!$B:$B,'Traditional Attrition'!$E18,'Attrition Modeling'!$C:$C,'Traditional Attrition'!BG$1),VLOOKUP('Traditional Attrition'!BG$2-'Traditional Attrition'!$F18-1,'Traditional Attrition'!$A$7:$C$161,2,FALSE)*VLOOKUP(BG$1,'Attrition Modeling'!$L$15:$N$27,IF(BG$2-$F18&lt;=24,2,3),FALSE))*(1+Projection!BI$16)*(1+IF(BG150&gt;0,'Attrition Modeling'!$N$9,0))),0))</f>
        <v>2274.8796175788639</v>
      </c>
      <c r="BH18" s="799">
        <f>IF(BH$2=$F18+1,Monthly!BD$21,IF(BH$2&gt;$F18+1,('Traditional Attrition'!BG18+BH150)*(1-IF(BH$2-$F18&lt;=12,SUMIFS('Attrition Modeling'!$D:$D,'Attrition Modeling'!$B:$B,'Traditional Attrition'!$E18,'Attrition Modeling'!$C:$C,'Traditional Attrition'!BH$1),VLOOKUP('Traditional Attrition'!BH$2-'Traditional Attrition'!$F18-1,'Traditional Attrition'!$A$7:$C$161,2,FALSE)*VLOOKUP(BH$1,'Attrition Modeling'!$L$15:$N$27,IF(BH$2-$F18&lt;=24,2,3),FALSE))*(1+Projection!BJ$16)*(1+IF(BH150&gt;0,'Attrition Modeling'!$N$9,0))),0))</f>
        <v>2214.5795477880729</v>
      </c>
      <c r="BI18" s="799">
        <f>IF(BI$2=$F18+1,Monthly!BE$21,IF(BI$2&gt;$F18+1,('Traditional Attrition'!BH18+BI150)*(1-IF(BI$2-$F18&lt;=12,SUMIFS('Attrition Modeling'!$D:$D,'Attrition Modeling'!$B:$B,'Traditional Attrition'!$E18,'Attrition Modeling'!$C:$C,'Traditional Attrition'!BI$1),VLOOKUP('Traditional Attrition'!BI$2-'Traditional Attrition'!$F18-1,'Traditional Attrition'!$A$7:$C$161,2,FALSE)*VLOOKUP(BI$1,'Attrition Modeling'!$L$15:$N$27,IF(BI$2-$F18&lt;=24,2,3),FALSE))*(1+Projection!BK$16)*(1+IF(BI150&gt;0,'Attrition Modeling'!$N$9,0))),0))</f>
        <v>2148.284402984511</v>
      </c>
      <c r="BJ18" s="799">
        <f>IF(BJ$2=$F18+1,Monthly!BF$21,IF(BJ$2&gt;$F18+1,('Traditional Attrition'!BI18+BJ150)*(1-IF(BJ$2-$F18&lt;=12,SUMIFS('Attrition Modeling'!$D:$D,'Attrition Modeling'!$B:$B,'Traditional Attrition'!$E18,'Attrition Modeling'!$C:$C,'Traditional Attrition'!BJ$1),VLOOKUP('Traditional Attrition'!BJ$2-'Traditional Attrition'!$F18-1,'Traditional Attrition'!$A$7:$C$161,2,FALSE)*VLOOKUP(BJ$1,'Attrition Modeling'!$L$15:$N$27,IF(BJ$2-$F18&lt;=24,2,3),FALSE))*(1+Projection!BL$16)*(1+IF(BJ150&gt;0,'Attrition Modeling'!$N$9,0))),0))</f>
        <v>2078.937065069159</v>
      </c>
      <c r="BK18" s="799">
        <f>IF(BK$2=$F18+1,Monthly!BG$21,IF(BK$2&gt;$F18+1,('Traditional Attrition'!BJ18+BK150)*(1-IF(BK$2-$F18&lt;=12,SUMIFS('Attrition Modeling'!$D:$D,'Attrition Modeling'!$B:$B,'Traditional Attrition'!$E18,'Attrition Modeling'!$C:$C,'Traditional Attrition'!BK$1),VLOOKUP('Traditional Attrition'!BK$2-'Traditional Attrition'!$F18-1,'Traditional Attrition'!$A$7:$C$161,2,FALSE)*VLOOKUP(BK$1,'Attrition Modeling'!$L$15:$N$27,IF(BK$2-$F18&lt;=24,2,3),FALSE))*(1+Projection!BM$16)*(1+IF(BK150&gt;0,'Attrition Modeling'!$N$9,0))),0))</f>
        <v>2007.6009183572739</v>
      </c>
      <c r="BL18" s="799">
        <f>IF(BL$2=$F18+1,Monthly!BH$21,IF(BL$2&gt;$F18+1,('Traditional Attrition'!BK18+BL150)*(1-IF(BL$2-$F18&lt;=12,SUMIFS('Attrition Modeling'!$D:$D,'Attrition Modeling'!$B:$B,'Traditional Attrition'!$E18,'Attrition Modeling'!$C:$C,'Traditional Attrition'!BL$1),VLOOKUP('Traditional Attrition'!BL$2-'Traditional Attrition'!$F18-1,'Traditional Attrition'!$A$7:$C$161,2,FALSE)*VLOOKUP(BL$1,'Attrition Modeling'!$L$15:$N$27,IF(BL$2-$F18&lt;=24,2,3),FALSE))*(1+Projection!BN$16)*(1+IF(BL150&gt;0,'Attrition Modeling'!$N$9,0))),0))</f>
        <v>2073.7585971932353</v>
      </c>
      <c r="BM18" s="799">
        <f>IF(BM$2=$F18+1,Monthly!BI$21,IF(BM$2&gt;$F18+1,('Traditional Attrition'!BL18+BM150)*(1-IF(BM$2-$F18&lt;=12,SUMIFS('Attrition Modeling'!$D:$D,'Attrition Modeling'!$B:$B,'Traditional Attrition'!$E18,'Attrition Modeling'!$C:$C,'Traditional Attrition'!BM$1),VLOOKUP('Traditional Attrition'!BM$2-'Traditional Attrition'!$F18-1,'Traditional Attrition'!$A$7:$C$161,2,FALSE)*VLOOKUP(BM$1,'Attrition Modeling'!$L$15:$N$27,IF(BM$2-$F18&lt;=24,2,3),FALSE))*(1+Projection!BO$16)*(1+IF(BM150&gt;0,'Attrition Modeling'!$N$9,0))),0))</f>
        <v>2010.5050738861646</v>
      </c>
      <c r="BN18" s="799">
        <f>IF(BN$2=$F18+1,Monthly!BJ$21,IF(BN$2&gt;$F18+1,('Traditional Attrition'!BM18+BN150)*(1-IF(BN$2-$F18&lt;=12,SUMIFS('Attrition Modeling'!$D:$D,'Attrition Modeling'!$B:$B,'Traditional Attrition'!$E18,'Attrition Modeling'!$C:$C,'Traditional Attrition'!BN$1),VLOOKUP('Traditional Attrition'!BN$2-'Traditional Attrition'!$F18-1,'Traditional Attrition'!$A$7:$C$161,2,FALSE)*VLOOKUP(BN$1,'Attrition Modeling'!$L$15:$N$27,IF(BN$2-$F18&lt;=24,2,3),FALSE))*(1+Projection!BP$16)*(1+IF(BN150&gt;0,'Attrition Modeling'!$N$9,0))),0))</f>
        <v>1951.147815384677</v>
      </c>
      <c r="BO18" s="799">
        <f>IF(BO$2=$F18+1,Monthly!BK$21,IF(BO$2&gt;$F18+1,('Traditional Attrition'!BN18+BO150)*(1-IF(BO$2-$F18&lt;=12,SUMIFS('Attrition Modeling'!$D:$D,'Attrition Modeling'!$B:$B,'Traditional Attrition'!$E18,'Attrition Modeling'!$C:$C,'Traditional Attrition'!BO$1),VLOOKUP('Traditional Attrition'!BO$2-'Traditional Attrition'!$F18-1,'Traditional Attrition'!$A$7:$C$161,2,FALSE)*VLOOKUP(BO$1,'Attrition Modeling'!$L$15:$N$27,IF(BO$2-$F18&lt;=24,2,3),FALSE))*(1+Projection!BV$16)*(1+IF(BO150&gt;0,'Attrition Modeling'!$N$9,0))),0))</f>
        <v>1904.1311206639753</v>
      </c>
      <c r="BP18" s="799">
        <f>IF(BP$2=$F18+1,Monthly!BL$21,IF(BP$2&gt;$F18+1,('Traditional Attrition'!BO18+BP150)*(1-IF(BP$2-$F18&lt;=12,SUMIFS('Attrition Modeling'!$D:$D,'Attrition Modeling'!$B:$B,'Traditional Attrition'!$E18,'Attrition Modeling'!$C:$C,'Traditional Attrition'!BP$1),VLOOKUP('Traditional Attrition'!BP$2-'Traditional Attrition'!$F18-1,'Traditional Attrition'!$A$7:$C$161,2,FALSE)*VLOOKUP(BP$1,'Attrition Modeling'!$L$15:$N$27,IF(BP$2-$F18&lt;=24,2,3),FALSE))*(1+Projection!BW$16)*(1+IF(BP150&gt;0,'Attrition Modeling'!$N$9,0))),0))</f>
        <v>1853.812126265854</v>
      </c>
      <c r="BQ18" s="799">
        <f>IF(BQ$2=$F18+1,Monthly!BM$21,IF(BQ$2&gt;$F18+1,('Traditional Attrition'!BP18+BQ150)*(1-IF(BQ$2-$F18&lt;=12,SUMIFS('Attrition Modeling'!$D:$D,'Attrition Modeling'!$B:$B,'Traditional Attrition'!$E18,'Attrition Modeling'!$C:$C,'Traditional Attrition'!BQ$1),VLOOKUP('Traditional Attrition'!BQ$2-'Traditional Attrition'!$F18-1,'Traditional Attrition'!$A$7:$C$161,2,FALSE)*VLOOKUP(BQ$1,'Attrition Modeling'!$L$15:$N$27,IF(BQ$2-$F18&lt;=24,2,3),FALSE))*(1+Projection!BX$16)*(1+IF(BQ150&gt;0,'Attrition Modeling'!$N$9,0))),0))</f>
        <v>1806.8016395708039</v>
      </c>
      <c r="BR18" s="799">
        <f>IF(BR$2=$F18+1,Monthly!BN$21,IF(BR$2&gt;$F18+1,('Traditional Attrition'!BQ18+BR150)*(1-IF(BR$2-$F18&lt;=12,SUMIFS('Attrition Modeling'!$D:$D,'Attrition Modeling'!$B:$B,'Traditional Attrition'!$E18,'Attrition Modeling'!$C:$C,'Traditional Attrition'!BR$1),VLOOKUP('Traditional Attrition'!BR$2-'Traditional Attrition'!$F18-1,'Traditional Attrition'!$A$7:$C$161,2,FALSE)*VLOOKUP(BR$1,'Attrition Modeling'!$L$15:$N$27,IF(BR$2-$F18&lt;=24,2,3),FALSE))*(1+Projection!BY$16)*(1+IF(BR150&gt;0,'Attrition Modeling'!$N$9,0))),0))</f>
        <v>1763.3129419607717</v>
      </c>
      <c r="BS18" s="799">
        <f>IF(BS$2=$F18+1,Monthly!BO$21,IF(BS$2&gt;$F18+1,('Traditional Attrition'!BR18+BS150)*(1-IF(BS$2-$F18&lt;=12,SUMIFS('Attrition Modeling'!$D:$D,'Attrition Modeling'!$B:$B,'Traditional Attrition'!$E18,'Attrition Modeling'!$C:$C,'Traditional Attrition'!BS$1),VLOOKUP('Traditional Attrition'!BS$2-'Traditional Attrition'!$F18-1,'Traditional Attrition'!$A$7:$C$161,2,FALSE)*VLOOKUP(BS$1,'Attrition Modeling'!$L$15:$N$27,IF(BS$2-$F18&lt;=24,2,3),FALSE))*(1+Projection!BZ$16)*(1+IF(BS150&gt;0,'Attrition Modeling'!$N$9,0))),0))</f>
        <v>1730.0918334150913</v>
      </c>
      <c r="BT18" s="799">
        <f>IF(BT$2=$F18+1,Monthly!#REF!,IF(BT$2&gt;$F18+1,('Traditional Attrition'!BS18+BT150)*(1-IF(BT$2-$F18&lt;=12,SUMIFS('Attrition Modeling'!$D:$D,'Attrition Modeling'!$B:$B,'Traditional Attrition'!$E18,'Attrition Modeling'!$C:$C,'Traditional Attrition'!BT$1),VLOOKUP('Traditional Attrition'!BT$2-'Traditional Attrition'!$F18-1,'Traditional Attrition'!$A$7:$C$161,2,FALSE)*VLOOKUP(BT$1,'Attrition Modeling'!$L$15:$N$27,IF(BT$2-$F18&lt;=24,2,3),FALSE))*(1+Projection!CA$16)*(1+IF(BT150&gt;0,'Attrition Modeling'!$N$9,0))),0))</f>
        <v>1691.1006592472022</v>
      </c>
      <c r="BU18" s="799">
        <f>IF(BU$2=$F18+1,Monthly!#REF!,IF(BU$2&gt;$F18+1,('Traditional Attrition'!BT18+BU150)*(1-IF(BU$2-$F18&lt;=12,SUMIFS('Attrition Modeling'!$D:$D,'Attrition Modeling'!$B:$B,'Traditional Attrition'!$E18,'Attrition Modeling'!$C:$C,'Traditional Attrition'!BU$1),VLOOKUP('Traditional Attrition'!BU$2-'Traditional Attrition'!$F18-1,'Traditional Attrition'!$A$7:$C$161,2,FALSE)*VLOOKUP(BU$1,'Attrition Modeling'!$L$15:$N$27,IF(BU$2-$F18&lt;=24,2,3),FALSE))*(1+Projection!CB$16)*(1+IF(BU150&gt;0,'Attrition Modeling'!$N$9,0))),0))</f>
        <v>1647.9965293723783</v>
      </c>
    </row>
    <row r="19" spans="1:73" ht="14.25" customHeight="1" x14ac:dyDescent="0.2">
      <c r="A19" s="800">
        <v>12</v>
      </c>
      <c r="B19" s="779">
        <f>'Attrition Modeling'!H16*(1-Summary!$C$20)</f>
        <v>5.4496999999999997E-2</v>
      </c>
      <c r="C19" s="780" t="e">
        <f t="shared" si="4"/>
        <v>#DIV/0!</v>
      </c>
      <c r="E19" s="11">
        <f t="shared" si="2"/>
        <v>4</v>
      </c>
      <c r="F19" s="11">
        <f t="shared" si="3"/>
        <v>16</v>
      </c>
      <c r="G19" s="799"/>
      <c r="H19" s="799">
        <f>IF(H$2=$F19+1,Monthly!D$21,IF(H$2&gt;$F19+1,('Traditional Attrition'!G19+H151)*(1-IF(H$2-$F19&lt;=12,SUMIFS('Attrition Modeling'!$D:$D,'Attrition Modeling'!$B:$B,'Traditional Attrition'!$E19,'Attrition Modeling'!$C:$C,'Traditional Attrition'!H$1),VLOOKUP('Traditional Attrition'!H$2-'Traditional Attrition'!$F19-1,'Traditional Attrition'!$A$7:$C$161,2,FALSE)*VLOOKUP(H$1,'Attrition Modeling'!$L$15:$N$27,IF(H$2-$F19&lt;=24,2,3),FALSE))*(1+Projection!J$16)*(1+IF(H151&gt;0,'Attrition Modeling'!$N$9,0))),0))</f>
        <v>0</v>
      </c>
      <c r="I19" s="799">
        <f>IF(I$2=$F19+1,Monthly!E$21,IF(I$2&gt;$F19+1,('Traditional Attrition'!H19+I151)*(1-IF(I$2-$F19&lt;=12,SUMIFS('Attrition Modeling'!$D:$D,'Attrition Modeling'!$B:$B,'Traditional Attrition'!$E19,'Attrition Modeling'!$C:$C,'Traditional Attrition'!I$1),VLOOKUP('Traditional Attrition'!I$2-'Traditional Attrition'!$F19-1,'Traditional Attrition'!$A$7:$C$161,2,FALSE)*VLOOKUP(I$1,'Attrition Modeling'!$L$15:$N$27,IF(I$2-$F19&lt;=24,2,3),FALSE))*(1+Projection!K$16)*(1+IF(I151&gt;0,'Attrition Modeling'!$N$9,0))),0))</f>
        <v>0</v>
      </c>
      <c r="J19" s="799">
        <f>IF(J$2=$F19+1,Monthly!F$21,IF(J$2&gt;$F19+1,('Traditional Attrition'!I19+J151)*(1-IF(J$2-$F19&lt;=12,SUMIFS('Attrition Modeling'!$D:$D,'Attrition Modeling'!$B:$B,'Traditional Attrition'!$E19,'Attrition Modeling'!$C:$C,'Traditional Attrition'!J$1),VLOOKUP('Traditional Attrition'!J$2-'Traditional Attrition'!$F19-1,'Traditional Attrition'!$A$7:$C$161,2,FALSE)*VLOOKUP(J$1,'Attrition Modeling'!$L$15:$N$27,IF(J$2-$F19&lt;=24,2,3),FALSE))*(1+Projection!L$16)*(1+IF(J151&gt;0,'Attrition Modeling'!$N$9,0))),0))</f>
        <v>0</v>
      </c>
      <c r="K19" s="799">
        <f>IF(K$2=$F19+1,Monthly!G$21,IF(K$2&gt;$F19+1,('Traditional Attrition'!J19+K151)*(1-IF(K$2-$F19&lt;=12,SUMIFS('Attrition Modeling'!$D:$D,'Attrition Modeling'!$B:$B,'Traditional Attrition'!$E19,'Attrition Modeling'!$C:$C,'Traditional Attrition'!K$1),VLOOKUP('Traditional Attrition'!K$2-'Traditional Attrition'!$F19-1,'Traditional Attrition'!$A$7:$C$161,2,FALSE)*VLOOKUP(K$1,'Attrition Modeling'!$L$15:$N$27,IF(K$2-$F19&lt;=24,2,3),FALSE))*(1+Projection!M$16)*(1+IF(K151&gt;0,'Attrition Modeling'!$N$9,0))),0))</f>
        <v>0</v>
      </c>
      <c r="L19" s="799">
        <f>IF(L$2=$F19+1,Monthly!H$21,IF(L$2&gt;$F19+1,('Traditional Attrition'!K19+L151)*(1-IF(L$2-$F19&lt;=12,SUMIFS('Attrition Modeling'!$D:$D,'Attrition Modeling'!$B:$B,'Traditional Attrition'!$E19,'Attrition Modeling'!$C:$C,'Traditional Attrition'!L$1),VLOOKUP('Traditional Attrition'!L$2-'Traditional Attrition'!$F19-1,'Traditional Attrition'!$A$7:$C$161,2,FALSE)*VLOOKUP(L$1,'Attrition Modeling'!$L$15:$N$27,IF(L$2-$F19&lt;=24,2,3),FALSE))*(1+Projection!N$16)*(1+IF(L151&gt;0,'Attrition Modeling'!$N$9,0))),0))</f>
        <v>0</v>
      </c>
      <c r="M19" s="799">
        <f>IF(M$2=$F19+1,Monthly!I$21,IF(M$2&gt;$F19+1,('Traditional Attrition'!L19+M151)*(1-IF(M$2-$F19&lt;=12,SUMIFS('Attrition Modeling'!$D:$D,'Attrition Modeling'!$B:$B,'Traditional Attrition'!$E19,'Attrition Modeling'!$C:$C,'Traditional Attrition'!M$1),VLOOKUP('Traditional Attrition'!M$2-'Traditional Attrition'!$F19-1,'Traditional Attrition'!$A$7:$C$161,2,FALSE)*VLOOKUP(M$1,'Attrition Modeling'!$L$15:$N$27,IF(M$2-$F19&lt;=24,2,3),FALSE))*(1+Projection!O$16)*(1+IF(M151&gt;0,'Attrition Modeling'!$N$9,0))),0))</f>
        <v>0</v>
      </c>
      <c r="N19" s="799">
        <f>IF(N$2=$F19+1,Monthly!J$21,IF(N$2&gt;$F19+1,('Traditional Attrition'!M19+N151)*(1-IF(N$2-$F19&lt;=12,SUMIFS('Attrition Modeling'!$D:$D,'Attrition Modeling'!$B:$B,'Traditional Attrition'!$E19,'Attrition Modeling'!$C:$C,'Traditional Attrition'!N$1),VLOOKUP('Traditional Attrition'!N$2-'Traditional Attrition'!$F19-1,'Traditional Attrition'!$A$7:$C$161,2,FALSE)*VLOOKUP(N$1,'Attrition Modeling'!$L$15:$N$27,IF(N$2-$F19&lt;=24,2,3),FALSE))*(1+Projection!P$16)*(1+IF(N151&gt;0,'Attrition Modeling'!$N$9,0))),0))</f>
        <v>0</v>
      </c>
      <c r="O19" s="799">
        <f>IF(O$2=$F19+1,Monthly!K$21,IF(O$2&gt;$F19+1,('Traditional Attrition'!N19+O151)*(1-IF(O$2-$F19&lt;=12,SUMIFS('Attrition Modeling'!$D:$D,'Attrition Modeling'!$B:$B,'Traditional Attrition'!$E19,'Attrition Modeling'!$C:$C,'Traditional Attrition'!O$1),VLOOKUP('Traditional Attrition'!O$2-'Traditional Attrition'!$F19-1,'Traditional Attrition'!$A$7:$C$161,2,FALSE)*VLOOKUP(O$1,'Attrition Modeling'!$L$15:$N$27,IF(O$2-$F19&lt;=24,2,3),FALSE))*(1+Projection!Q$16)*(1+IF(O151&gt;0,'Attrition Modeling'!$N$9,0))),0))</f>
        <v>0</v>
      </c>
      <c r="P19" s="799">
        <f>IF(P$2=$F19+1,Monthly!L$21,IF(P$2&gt;$F19+1,('Traditional Attrition'!O19+P151)*(1-IF(P$2-$F19&lt;=12,SUMIFS('Attrition Modeling'!$D:$D,'Attrition Modeling'!$B:$B,'Traditional Attrition'!$E19,'Attrition Modeling'!$C:$C,'Traditional Attrition'!P$1),VLOOKUP('Traditional Attrition'!P$2-'Traditional Attrition'!$F19-1,'Traditional Attrition'!$A$7:$C$161,2,FALSE)*VLOOKUP(P$1,'Attrition Modeling'!$L$15:$N$27,IF(P$2-$F19&lt;=24,2,3),FALSE))*(1+Projection!R$16)*(1+IF(P151&gt;0,'Attrition Modeling'!$N$9,0))),0))</f>
        <v>0</v>
      </c>
      <c r="Q19" s="799">
        <f>IF(Q$2=$F19+1,Monthly!M$21,IF(Q$2&gt;$F19+1,('Traditional Attrition'!P19+Q151)*(1-IF(Q$2-$F19&lt;=12,SUMIFS('Attrition Modeling'!$D:$D,'Attrition Modeling'!$B:$B,'Traditional Attrition'!$E19,'Attrition Modeling'!$C:$C,'Traditional Attrition'!Q$1),VLOOKUP('Traditional Attrition'!Q$2-'Traditional Attrition'!$F19-1,'Traditional Attrition'!$A$7:$C$161,2,FALSE)*VLOOKUP(Q$1,'Attrition Modeling'!$L$15:$N$27,IF(Q$2-$F19&lt;=24,2,3),FALSE))*(1+Projection!S$16)*(1+IF(Q151&gt;0,'Attrition Modeling'!$N$9,0))),0))</f>
        <v>0</v>
      </c>
      <c r="R19" s="799">
        <f>IF(R$2=$F19+1,Monthly!N$21,IF(R$2&gt;$F19+1,('Traditional Attrition'!Q19+R151)*(1-IF(R$2-$F19&lt;=12,SUMIFS('Attrition Modeling'!$D:$D,'Attrition Modeling'!$B:$B,'Traditional Attrition'!$E19,'Attrition Modeling'!$C:$C,'Traditional Attrition'!R$1),VLOOKUP('Traditional Attrition'!R$2-'Traditional Attrition'!$F19-1,'Traditional Attrition'!$A$7:$C$161,2,FALSE)*VLOOKUP(R$1,'Attrition Modeling'!$L$15:$N$27,IF(R$2-$F19&lt;=24,2,3),FALSE))*(1+Projection!T$16)*(1+IF(R151&gt;0,'Attrition Modeling'!$N$9,0))),0))</f>
        <v>0</v>
      </c>
      <c r="S19" s="799">
        <f>IF(S$2=$F19+1,Monthly!O$21,IF(S$2&gt;$F19+1,('Traditional Attrition'!R19+S151)*(1-IF(S$2-$F19&lt;=12,SUMIFS('Attrition Modeling'!$D:$D,'Attrition Modeling'!$B:$B,'Traditional Attrition'!$E19,'Attrition Modeling'!$C:$C,'Traditional Attrition'!S$1),VLOOKUP('Traditional Attrition'!S$2-'Traditional Attrition'!$F19-1,'Traditional Attrition'!$A$7:$C$161,2,FALSE)*VLOOKUP(S$1,'Attrition Modeling'!$L$15:$N$27,IF(S$2-$F19&lt;=24,2,3),FALSE))*(1+Projection!U$16)*(1+IF(S151&gt;0,'Attrition Modeling'!$N$9,0))),0))</f>
        <v>0</v>
      </c>
      <c r="T19" s="799">
        <f>IF(T$2=$F19+1,Monthly!P$21,IF(T$2&gt;$F19+1,('Traditional Attrition'!S19+T151)*(1-IF(T$2-$F19&lt;=12,SUMIFS('Attrition Modeling'!$D:$D,'Attrition Modeling'!$B:$B,'Traditional Attrition'!$E19,'Attrition Modeling'!$C:$C,'Traditional Attrition'!T$1),VLOOKUP('Traditional Attrition'!T$2-'Traditional Attrition'!$F19-1,'Traditional Attrition'!$A$7:$C$161,2,FALSE)*VLOOKUP(T$1,'Attrition Modeling'!$L$15:$N$27,IF(T$2-$F19&lt;=24,2,3),FALSE))*(1+Projection!V$16)*(1+IF(T151&gt;0,'Attrition Modeling'!$N$9,0))),0))</f>
        <v>0</v>
      </c>
      <c r="U19" s="799">
        <f>IF(U$2=$F19+1,Monthly!Q$21,IF(U$2&gt;$F19+1,('Traditional Attrition'!T19+U151)*(1-IF(U$2-$F19&lt;=12,SUMIFS('Attrition Modeling'!$D:$D,'Attrition Modeling'!$B:$B,'Traditional Attrition'!$E19,'Attrition Modeling'!$C:$C,'Traditional Attrition'!U$1),VLOOKUP('Traditional Attrition'!U$2-'Traditional Attrition'!$F19-1,'Traditional Attrition'!$A$7:$C$161,2,FALSE)*VLOOKUP(U$1,'Attrition Modeling'!$L$15:$N$27,IF(U$2-$F19&lt;=24,2,3),FALSE))*(1+Projection!W$16)*(1+IF(U151&gt;0,'Attrition Modeling'!$N$9,0))),0))</f>
        <v>0</v>
      </c>
      <c r="V19" s="799">
        <f>IF(V$2=$F19+1,Monthly!R$21,IF(V$2&gt;$F19+1,('Traditional Attrition'!U19+V151)*(1-IF(V$2-$F19&lt;=12,SUMIFS('Attrition Modeling'!$D:$D,'Attrition Modeling'!$B:$B,'Traditional Attrition'!$E19,'Attrition Modeling'!$C:$C,'Traditional Attrition'!V$1),VLOOKUP('Traditional Attrition'!V$2-'Traditional Attrition'!$F19-1,'Traditional Attrition'!$A$7:$C$161,2,FALSE)*VLOOKUP(V$1,'Attrition Modeling'!$L$15:$N$27,IF(V$2-$F19&lt;=24,2,3),FALSE))*(1+Projection!X$16)*(1+IF(V151&gt;0,'Attrition Modeling'!$N$9,0))),0))</f>
        <v>0</v>
      </c>
      <c r="W19" s="799">
        <f>IF(W$2=$F19+1,Monthly!S$21,IF(W$2&gt;$F19+1,('Traditional Attrition'!V19+W151)*(1-IF(W$2-$F19&lt;=12,SUMIFS('Attrition Modeling'!$D:$D,'Attrition Modeling'!$B:$B,'Traditional Attrition'!$E19,'Attrition Modeling'!$C:$C,'Traditional Attrition'!W$1),VLOOKUP('Traditional Attrition'!W$2-'Traditional Attrition'!$F19-1,'Traditional Attrition'!$A$7:$C$161,2,FALSE)*VLOOKUP(W$1,'Attrition Modeling'!$L$15:$N$27,IF(W$2-$F19&lt;=24,2,3),FALSE))*(1+Projection!Y$16)*(1+IF(W151&gt;0,'Attrition Modeling'!$N$9,0))),0))</f>
        <v>0</v>
      </c>
      <c r="X19" s="799">
        <f>IF(X$2=$F19+1,Monthly!T$21,IF(X$2&gt;$F19+1,('Traditional Attrition'!W19+X151)*(1-IF(X$2-$F19&lt;=12,SUMIFS('Attrition Modeling'!$D:$D,'Attrition Modeling'!$B:$B,'Traditional Attrition'!$E19,'Attrition Modeling'!$C:$C,'Traditional Attrition'!X$1),VLOOKUP('Traditional Attrition'!X$2-'Traditional Attrition'!$F19-1,'Traditional Attrition'!$A$7:$C$161,2,FALSE)*VLOOKUP(X$1,'Attrition Modeling'!$L$15:$N$27,IF(X$2-$F19&lt;=24,2,3),FALSE))*(1+Projection!Z$16)*(1+IF(X151&gt;0,'Attrition Modeling'!$N$9,0))),0))</f>
        <v>14920.607008491033</v>
      </c>
      <c r="Y19" s="799">
        <f>IF(Y$2=$F19+1,Monthly!U$21,IF(Y$2&gt;$F19+1,('Traditional Attrition'!X19+Y151)*(1-IF(Y$2-$F19&lt;=12,SUMIFS('Attrition Modeling'!$D:$D,'Attrition Modeling'!$B:$B,'Traditional Attrition'!$E19,'Attrition Modeling'!$C:$C,'Traditional Attrition'!Y$1),VLOOKUP('Traditional Attrition'!Y$2-'Traditional Attrition'!$F19-1,'Traditional Attrition'!$A$7:$C$161,2,FALSE)*VLOOKUP(Y$1,'Attrition Modeling'!$L$15:$N$27,IF(Y$2-$F19&lt;=24,2,3),FALSE))*(1+Projection!AA$16)*(1+IF(Y151&gt;0,'Attrition Modeling'!$N$9,0))),0))</f>
        <v>13441.498438967792</v>
      </c>
      <c r="Z19" s="799">
        <f>IF(Z$2=$F19+1,Monthly!V$21,IF(Z$2&gt;$F19+1,('Traditional Attrition'!Y19+Z151)*(1-IF(Z$2-$F19&lt;=12,SUMIFS('Attrition Modeling'!$D:$D,'Attrition Modeling'!$B:$B,'Traditional Attrition'!$E19,'Attrition Modeling'!$C:$C,'Traditional Attrition'!Z$1),VLOOKUP('Traditional Attrition'!Z$2-'Traditional Attrition'!$F19-1,'Traditional Attrition'!$A$7:$C$161,2,FALSE)*VLOOKUP(Z$1,'Attrition Modeling'!$L$15:$N$27,IF(Z$2-$F19&lt;=24,2,3),FALSE))*(1+Projection!AB$16)*(1+IF(Z151&gt;0,'Attrition Modeling'!$N$9,0))),0))</f>
        <v>12195.961745123546</v>
      </c>
      <c r="AA19" s="799">
        <f>IF(AA$2=$F19+1,Monthly!W$21,IF(AA$2&gt;$F19+1,('Traditional Attrition'!Z19+AA151)*(1-IF(AA$2-$F19&lt;=12,SUMIFS('Attrition Modeling'!$D:$D,'Attrition Modeling'!$B:$B,'Traditional Attrition'!$E19,'Attrition Modeling'!$C:$C,'Traditional Attrition'!AA$1),VLOOKUP('Traditional Attrition'!AA$2-'Traditional Attrition'!$F19-1,'Traditional Attrition'!$A$7:$C$161,2,FALSE)*VLOOKUP(AA$1,'Attrition Modeling'!$L$15:$N$27,IF(AA$2-$F19&lt;=24,2,3),FALSE))*(1+Projection!AC$16)*(1+IF(AA151&gt;0,'Attrition Modeling'!$N$9,0))),0))</f>
        <v>10939.708168393874</v>
      </c>
      <c r="AB19" s="799">
        <f>IF(AB$2=$F19+1,Monthly!X$21,IF(AB$2&gt;$F19+1,('Traditional Attrition'!AA19+AB151)*(1-IF(AB$2-$F19&lt;=12,SUMIFS('Attrition Modeling'!$D:$D,'Attrition Modeling'!$B:$B,'Traditional Attrition'!$E19,'Attrition Modeling'!$C:$C,'Traditional Attrition'!AB$1),VLOOKUP('Traditional Attrition'!AB$2-'Traditional Attrition'!$F19-1,'Traditional Attrition'!$A$7:$C$161,2,FALSE)*VLOOKUP(AB$1,'Attrition Modeling'!$L$15:$N$27,IF(AB$2-$F19&lt;=24,2,3),FALSE))*(1+Projection!AD$16)*(1+IF(AB151&gt;0,'Attrition Modeling'!$N$9,0))),0))</f>
        <v>10050.014522182904</v>
      </c>
      <c r="AC19" s="799">
        <f>IF(AC$2=$F19+1,Monthly!Y$21,IF(AC$2&gt;$F19+1,('Traditional Attrition'!AB19+AC151)*(1-IF(AC$2-$F19&lt;=12,SUMIFS('Attrition Modeling'!$D:$D,'Attrition Modeling'!$B:$B,'Traditional Attrition'!$E19,'Attrition Modeling'!$C:$C,'Traditional Attrition'!AC$1),VLOOKUP('Traditional Attrition'!AC$2-'Traditional Attrition'!$F19-1,'Traditional Attrition'!$A$7:$C$161,2,FALSE)*VLOOKUP(AC$1,'Attrition Modeling'!$L$15:$N$27,IF(AC$2-$F19&lt;=24,2,3),FALSE))*(1+Projection!AE$16)*(1+IF(AC151&gt;0,'Attrition Modeling'!$N$9,0))),0))</f>
        <v>9914.4913209450679</v>
      </c>
      <c r="AD19" s="799">
        <f>IF(AD$2=$F19+1,Monthly!Z$21,IF(AD$2&gt;$F19+1,('Traditional Attrition'!AC19+AD151)*(1-IF(AD$2-$F19&lt;=12,SUMIFS('Attrition Modeling'!$D:$D,'Attrition Modeling'!$B:$B,'Traditional Attrition'!$E19,'Attrition Modeling'!$C:$C,'Traditional Attrition'!AD$1),VLOOKUP('Traditional Attrition'!AD$2-'Traditional Attrition'!$F19-1,'Traditional Attrition'!$A$7:$C$161,2,FALSE)*VLOOKUP(AD$1,'Attrition Modeling'!$L$15:$N$27,IF(AD$2-$F19&lt;=24,2,3),FALSE))*(1+Projection!AF$16)*(1+IF(AD151&gt;0,'Attrition Modeling'!$N$9,0))),0))</f>
        <v>9137.5530153747477</v>
      </c>
      <c r="AE19" s="799">
        <f>IF(AE$2=$F19+1,Monthly!AA$21,IF(AE$2&gt;$F19+1,('Traditional Attrition'!AD19+AE151)*(1-IF(AE$2-$F19&lt;=12,SUMIFS('Attrition Modeling'!$D:$D,'Attrition Modeling'!$B:$B,'Traditional Attrition'!$E19,'Attrition Modeling'!$C:$C,'Traditional Attrition'!AE$1),VLOOKUP('Traditional Attrition'!AE$2-'Traditional Attrition'!$F19-1,'Traditional Attrition'!$A$7:$C$161,2,FALSE)*VLOOKUP(AE$1,'Attrition Modeling'!$L$15:$N$27,IF(AE$2-$F19&lt;=24,2,3),FALSE))*(1+Projection!AG$16)*(1+IF(AE151&gt;0,'Attrition Modeling'!$N$9,0))),0))</f>
        <v>8525.9172893366467</v>
      </c>
      <c r="AF19" s="799">
        <f>IF(AF$2=$F19+1,Monthly!AB$21,IF(AF$2&gt;$F19+1,('Traditional Attrition'!AE19+AF151)*(1-IF(AF$2-$F19&lt;=12,SUMIFS('Attrition Modeling'!$D:$D,'Attrition Modeling'!$B:$B,'Traditional Attrition'!$E19,'Attrition Modeling'!$C:$C,'Traditional Attrition'!AF$1),VLOOKUP('Traditional Attrition'!AF$2-'Traditional Attrition'!$F19-1,'Traditional Attrition'!$A$7:$C$161,2,FALSE)*VLOOKUP(AF$1,'Attrition Modeling'!$L$15:$N$27,IF(AF$2-$F19&lt;=24,2,3),FALSE))*(1+Projection!AH$16)*(1+IF(AF151&gt;0,'Attrition Modeling'!$N$9,0))),0))</f>
        <v>7988.1359335802381</v>
      </c>
      <c r="AG19" s="799">
        <f>IF(AG$2=$F19+1,Monthly!AC$21,IF(AG$2&gt;$F19+1,('Traditional Attrition'!AF19+AG151)*(1-IF(AG$2-$F19&lt;=12,SUMIFS('Attrition Modeling'!$D:$D,'Attrition Modeling'!$B:$B,'Traditional Attrition'!$E19,'Attrition Modeling'!$C:$C,'Traditional Attrition'!AG$1),VLOOKUP('Traditional Attrition'!AG$2-'Traditional Attrition'!$F19-1,'Traditional Attrition'!$A$7:$C$161,2,FALSE)*VLOOKUP(AG$1,'Attrition Modeling'!$L$15:$N$27,IF(AG$2-$F19&lt;=24,2,3),FALSE))*(1+Projection!AI$16)*(1+IF(AG151&gt;0,'Attrition Modeling'!$N$9,0))),0))</f>
        <v>7571.74212619439</v>
      </c>
      <c r="AH19" s="799">
        <f>IF(AH$2=$F19+1,Monthly!AD$21,IF(AH$2&gt;$F19+1,('Traditional Attrition'!AG19+AH151)*(1-IF(AH$2-$F19&lt;=12,SUMIFS('Attrition Modeling'!$D:$D,'Attrition Modeling'!$B:$B,'Traditional Attrition'!$E19,'Attrition Modeling'!$C:$C,'Traditional Attrition'!AH$1),VLOOKUP('Traditional Attrition'!AH$2-'Traditional Attrition'!$F19-1,'Traditional Attrition'!$A$7:$C$161,2,FALSE)*VLOOKUP(AH$1,'Attrition Modeling'!$L$15:$N$27,IF(AH$2-$F19&lt;=24,2,3),FALSE))*(1+Projection!AJ$16)*(1+IF(AH151&gt;0,'Attrition Modeling'!$N$9,0))),0))</f>
        <v>7173.730548351552</v>
      </c>
      <c r="AI19" s="799">
        <f>IF(AI$2=$F19+1,Monthly!AE$21,IF(AI$2&gt;$F19+1,('Traditional Attrition'!AH19+AI151)*(1-IF(AI$2-$F19&lt;=12,SUMIFS('Attrition Modeling'!$D:$D,'Attrition Modeling'!$B:$B,'Traditional Attrition'!$E19,'Attrition Modeling'!$C:$C,'Traditional Attrition'!AI$1),VLOOKUP('Traditional Attrition'!AI$2-'Traditional Attrition'!$F19-1,'Traditional Attrition'!$A$7:$C$161,2,FALSE)*VLOOKUP(AI$1,'Attrition Modeling'!$L$15:$N$27,IF(AI$2-$F19&lt;=24,2,3),FALSE))*(1+Projection!AK$16)*(1+IF(AI151&gt;0,'Attrition Modeling'!$N$9,0))),0))</f>
        <v>7010.8748847739562</v>
      </c>
      <c r="AJ19" s="799">
        <f>IF(AJ$2=$F19+1,Monthly!AF$21,IF(AJ$2&gt;$F19+1,('Traditional Attrition'!AI19+AJ151)*(1-IF(AJ$2-$F19&lt;=12,SUMIFS('Attrition Modeling'!$D:$D,'Attrition Modeling'!$B:$B,'Traditional Attrition'!$E19,'Attrition Modeling'!$C:$C,'Traditional Attrition'!AJ$1),VLOOKUP('Traditional Attrition'!AJ$2-'Traditional Attrition'!$F19-1,'Traditional Attrition'!$A$7:$C$161,2,FALSE)*VLOOKUP(AJ$1,'Attrition Modeling'!$L$15:$N$27,IF(AJ$2-$F19&lt;=24,2,3),FALSE))*(1+Projection!AL$16)*(1+IF(AJ151&gt;0,'Attrition Modeling'!$N$9,0))),0))</f>
        <v>6649.0530599210833</v>
      </c>
      <c r="AK19" s="799">
        <f>IF(AK$2=$F19+1,Monthly!AG$21,IF(AK$2&gt;$F19+1,('Traditional Attrition'!AJ19+AK151)*(1-IF(AK$2-$F19&lt;=12,SUMIFS('Attrition Modeling'!$D:$D,'Attrition Modeling'!$B:$B,'Traditional Attrition'!$E19,'Attrition Modeling'!$C:$C,'Traditional Attrition'!AK$1),VLOOKUP('Traditional Attrition'!AK$2-'Traditional Attrition'!$F19-1,'Traditional Attrition'!$A$7:$C$161,2,FALSE)*VLOOKUP(AK$1,'Attrition Modeling'!$L$15:$N$27,IF(AK$2-$F19&lt;=24,2,3),FALSE))*(1+Projection!AM$16)*(1+IF(AK151&gt;0,'Attrition Modeling'!$N$9,0))),0))</f>
        <v>6301.4183179994034</v>
      </c>
      <c r="AL19" s="799">
        <f>IF(AL$2=$F19+1,Monthly!AH$21,IF(AL$2&gt;$F19+1,('Traditional Attrition'!AK19+AL151)*(1-IF(AL$2-$F19&lt;=12,SUMIFS('Attrition Modeling'!$D:$D,'Attrition Modeling'!$B:$B,'Traditional Attrition'!$E19,'Attrition Modeling'!$C:$C,'Traditional Attrition'!AL$1),VLOOKUP('Traditional Attrition'!AL$2-'Traditional Attrition'!$F19-1,'Traditional Attrition'!$A$7:$C$161,2,FALSE)*VLOOKUP(AL$1,'Attrition Modeling'!$L$15:$N$27,IF(AL$2-$F19&lt;=24,2,3),FALSE))*(1+Projection!AN$16)*(1+IF(AL151&gt;0,'Attrition Modeling'!$N$9,0))),0))</f>
        <v>5980.6742387596696</v>
      </c>
      <c r="AM19" s="799">
        <f>IF(AM$2=$F19+1,Monthly!AI$21,IF(AM$2&gt;$F19+1,('Traditional Attrition'!AL19+AM151)*(1-IF(AM$2-$F19&lt;=12,SUMIFS('Attrition Modeling'!$D:$D,'Attrition Modeling'!$B:$B,'Traditional Attrition'!$E19,'Attrition Modeling'!$C:$C,'Traditional Attrition'!AM$1),VLOOKUP('Traditional Attrition'!AM$2-'Traditional Attrition'!$F19-1,'Traditional Attrition'!$A$7:$C$161,2,FALSE)*VLOOKUP(AM$1,'Attrition Modeling'!$L$15:$N$27,IF(AM$2-$F19&lt;=24,2,3),FALSE))*(1+Projection!AO$16)*(1+IF(AM151&gt;0,'Attrition Modeling'!$N$9,0))),0))</f>
        <v>5674.4045926092222</v>
      </c>
      <c r="AN19" s="799">
        <f>IF(AN$2=$F19+1,Monthly!AJ$21,IF(AN$2&gt;$F19+1,('Traditional Attrition'!AM19+AN151)*(1-IF(AN$2-$F19&lt;=12,SUMIFS('Attrition Modeling'!$D:$D,'Attrition Modeling'!$B:$B,'Traditional Attrition'!$E19,'Attrition Modeling'!$C:$C,'Traditional Attrition'!AN$1),VLOOKUP('Traditional Attrition'!AN$2-'Traditional Attrition'!$F19-1,'Traditional Attrition'!$A$7:$C$161,2,FALSE)*VLOOKUP(AN$1,'Attrition Modeling'!$L$15:$N$27,IF(AN$2-$F19&lt;=24,2,3),FALSE))*(1+Projection!AP$16)*(1+IF(AN151&gt;0,'Attrition Modeling'!$N$9,0))),0))</f>
        <v>5417.2209780391422</v>
      </c>
      <c r="AO19" s="799">
        <f>IF(AO$2=$F19+1,Monthly!AK$21,IF(AO$2&gt;$F19+1,('Traditional Attrition'!AN19+AO151)*(1-IF(AO$2-$F19&lt;=12,SUMIFS('Attrition Modeling'!$D:$D,'Attrition Modeling'!$B:$B,'Traditional Attrition'!$E19,'Attrition Modeling'!$C:$C,'Traditional Attrition'!AO$1),VLOOKUP('Traditional Attrition'!AO$2-'Traditional Attrition'!$F19-1,'Traditional Attrition'!$A$7:$C$161,2,FALSE)*VLOOKUP(AO$1,'Attrition Modeling'!$L$15:$N$27,IF(AO$2-$F19&lt;=24,2,3),FALSE))*(1+Projection!AQ$16)*(1+IF(AO151&gt;0,'Attrition Modeling'!$N$9,0))),0))</f>
        <v>5615.0651210430105</v>
      </c>
      <c r="AP19" s="799">
        <f>IF(AP$2=$F19+1,Monthly!AL$21,IF(AP$2&gt;$F19+1,('Traditional Attrition'!AO19+AP151)*(1-IF(AP$2-$F19&lt;=12,SUMIFS('Attrition Modeling'!$D:$D,'Attrition Modeling'!$B:$B,'Traditional Attrition'!$E19,'Attrition Modeling'!$C:$C,'Traditional Attrition'!AP$1),VLOOKUP('Traditional Attrition'!AP$2-'Traditional Attrition'!$F19-1,'Traditional Attrition'!$A$7:$C$161,2,FALSE)*VLOOKUP(AP$1,'Attrition Modeling'!$L$15:$N$27,IF(AP$2-$F19&lt;=24,2,3),FALSE))*(1+Projection!AR$16)*(1+IF(AP151&gt;0,'Attrition Modeling'!$N$9,0))),0))</f>
        <v>5376.024075814501</v>
      </c>
      <c r="AQ19" s="799">
        <f>IF(AQ$2=$F19+1,Monthly!AM$21,IF(AQ$2&gt;$F19+1,('Traditional Attrition'!AP19+AQ151)*(1-IF(AQ$2-$F19&lt;=12,SUMIFS('Attrition Modeling'!$D:$D,'Attrition Modeling'!$B:$B,'Traditional Attrition'!$E19,'Attrition Modeling'!$C:$C,'Traditional Attrition'!AQ$1),VLOOKUP('Traditional Attrition'!AQ$2-'Traditional Attrition'!$F19-1,'Traditional Attrition'!$A$7:$C$161,2,FALSE)*VLOOKUP(AQ$1,'Attrition Modeling'!$L$15:$N$27,IF(AQ$2-$F19&lt;=24,2,3),FALSE))*(1+Projection!AS$16)*(1+IF(AQ151&gt;0,'Attrition Modeling'!$N$9,0))),0))</f>
        <v>5153.8664598719561</v>
      </c>
      <c r="AR19" s="799">
        <f>IF(AR$2=$F19+1,Monthly!AN$21,IF(AR$2&gt;$F19+1,('Traditional Attrition'!AQ19+AR151)*(1-IF(AR$2-$F19&lt;=12,SUMIFS('Attrition Modeling'!$D:$D,'Attrition Modeling'!$B:$B,'Traditional Attrition'!$E19,'Attrition Modeling'!$C:$C,'Traditional Attrition'!AR$1),VLOOKUP('Traditional Attrition'!AR$2-'Traditional Attrition'!$F19-1,'Traditional Attrition'!$A$7:$C$161,2,FALSE)*VLOOKUP(AR$1,'Attrition Modeling'!$L$15:$N$27,IF(AR$2-$F19&lt;=24,2,3),FALSE))*(1+Projection!AT$16)*(1+IF(AR151&gt;0,'Attrition Modeling'!$N$9,0))),0))</f>
        <v>4944.3387998220051</v>
      </c>
      <c r="AS19" s="799">
        <f>IF(AS$2=$F19+1,Monthly!AO$21,IF(AS$2&gt;$F19+1,('Traditional Attrition'!AR19+AS151)*(1-IF(AS$2-$F19&lt;=12,SUMIFS('Attrition Modeling'!$D:$D,'Attrition Modeling'!$B:$B,'Traditional Attrition'!$E19,'Attrition Modeling'!$C:$C,'Traditional Attrition'!AS$1),VLOOKUP('Traditional Attrition'!AS$2-'Traditional Attrition'!$F19-1,'Traditional Attrition'!$A$7:$C$161,2,FALSE)*VLOOKUP(AS$1,'Attrition Modeling'!$L$15:$N$27,IF(AS$2-$F19&lt;=24,2,3),FALSE))*(1+Projection!AU$16)*(1+IF(AS151&gt;0,'Attrition Modeling'!$N$9,0))),0))</f>
        <v>4765.8263597743971</v>
      </c>
      <c r="AT19" s="799">
        <f>IF(AT$2=$F19+1,Monthly!AP$21,IF(AT$2&gt;$F19+1,('Traditional Attrition'!AS19+AT151)*(1-IF(AT$2-$F19&lt;=12,SUMIFS('Attrition Modeling'!$D:$D,'Attrition Modeling'!$B:$B,'Traditional Attrition'!$E19,'Attrition Modeling'!$C:$C,'Traditional Attrition'!AT$1),VLOOKUP('Traditional Attrition'!AT$2-'Traditional Attrition'!$F19-1,'Traditional Attrition'!$A$7:$C$161,2,FALSE)*VLOOKUP(AT$1,'Attrition Modeling'!$L$15:$N$27,IF(AT$2-$F19&lt;=24,2,3),FALSE))*(1+Projection!AV$16)*(1+IF(AT151&gt;0,'Attrition Modeling'!$N$9,0))),0))</f>
        <v>4581.1965445443029</v>
      </c>
      <c r="AU19" s="799">
        <f>IF(AU$2=$F19+1,Monthly!AQ$21,IF(AU$2&gt;$F19+1,('Traditional Attrition'!AT19+AU151)*(1-IF(AU$2-$F19&lt;=12,SUMIFS('Attrition Modeling'!$D:$D,'Attrition Modeling'!$B:$B,'Traditional Attrition'!$E19,'Attrition Modeling'!$C:$C,'Traditional Attrition'!AU$1),VLOOKUP('Traditional Attrition'!AU$2-'Traditional Attrition'!$F19-1,'Traditional Attrition'!$A$7:$C$161,2,FALSE)*VLOOKUP(AU$1,'Attrition Modeling'!$L$15:$N$27,IF(AU$2-$F19&lt;=24,2,3),FALSE))*(1+Projection!AW$16)*(1+IF(AU151&gt;0,'Attrition Modeling'!$N$9,0))),0))</f>
        <v>4409.0052043714786</v>
      </c>
      <c r="AV19" s="799">
        <f>IF(AV$2=$F19+1,Monthly!AR$21,IF(AV$2&gt;$F19+1,('Traditional Attrition'!AU19+AV151)*(1-IF(AV$2-$F19&lt;=12,SUMIFS('Attrition Modeling'!$D:$D,'Attrition Modeling'!$B:$B,'Traditional Attrition'!$E19,'Attrition Modeling'!$C:$C,'Traditional Attrition'!AV$1),VLOOKUP('Traditional Attrition'!AV$2-'Traditional Attrition'!$F19-1,'Traditional Attrition'!$A$7:$C$161,2,FALSE)*VLOOKUP(AV$1,'Attrition Modeling'!$L$15:$N$27,IF(AV$2-$F19&lt;=24,2,3),FALSE))*(1+Projection!AX$16)*(1+IF(AV151&gt;0,'Attrition Modeling'!$N$9,0))),0))</f>
        <v>4266.2247793515216</v>
      </c>
      <c r="AW19" s="799">
        <f>IF(AW$2=$F19+1,Monthly!AS$21,IF(AW$2&gt;$F19+1,('Traditional Attrition'!AV19+AW151)*(1-IF(AW$2-$F19&lt;=12,SUMIFS('Attrition Modeling'!$D:$D,'Attrition Modeling'!$B:$B,'Traditional Attrition'!$E19,'Attrition Modeling'!$C:$C,'Traditional Attrition'!AW$1),VLOOKUP('Traditional Attrition'!AW$2-'Traditional Attrition'!$F19-1,'Traditional Attrition'!$A$7:$C$161,2,FALSE)*VLOOKUP(AW$1,'Attrition Modeling'!$L$15:$N$27,IF(AW$2-$F19&lt;=24,2,3),FALSE))*(1+Projection!AY$16)*(1+IF(AW151&gt;0,'Attrition Modeling'!$N$9,0))),0))</f>
        <v>4110.7432218535059</v>
      </c>
      <c r="AX19" s="799">
        <f>IF(AX$2=$F19+1,Monthly!AT$21,IF(AX$2&gt;$F19+1,('Traditional Attrition'!AW19+AX151)*(1-IF(AX$2-$F19&lt;=12,SUMIFS('Attrition Modeling'!$D:$D,'Attrition Modeling'!$B:$B,'Traditional Attrition'!$E19,'Attrition Modeling'!$C:$C,'Traditional Attrition'!AX$1),VLOOKUP('Traditional Attrition'!AX$2-'Traditional Attrition'!$F19-1,'Traditional Attrition'!$A$7:$C$161,2,FALSE)*VLOOKUP(AX$1,'Attrition Modeling'!$L$15:$N$27,IF(AX$2-$F19&lt;=24,2,3),FALSE))*(1+Projection!AZ$16)*(1+IF(AX151&gt;0,'Attrition Modeling'!$N$9,0))),0))</f>
        <v>3949.7253395779799</v>
      </c>
      <c r="AY19" s="799">
        <f>IF(AY$2=$F19+1,Monthly!AU$21,IF(AY$2&gt;$F19+1,('Traditional Attrition'!AX19+AY151)*(1-IF(AY$2-$F19&lt;=12,SUMIFS('Attrition Modeling'!$D:$D,'Attrition Modeling'!$B:$B,'Traditional Attrition'!$E19,'Attrition Modeling'!$C:$C,'Traditional Attrition'!AY$1),VLOOKUP('Traditional Attrition'!AY$2-'Traditional Attrition'!$F19-1,'Traditional Attrition'!$A$7:$C$161,2,FALSE)*VLOOKUP(AY$1,'Attrition Modeling'!$L$15:$N$27,IF(AY$2-$F19&lt;=24,2,3),FALSE))*(1+Projection!BA$16)*(1+IF(AY151&gt;0,'Attrition Modeling'!$N$9,0))),0))</f>
        <v>3785.7763784327158</v>
      </c>
      <c r="AZ19" s="799">
        <f>IF(AZ$2=$F19+1,Monthly!AV$21,IF(AZ$2&gt;$F19+1,('Traditional Attrition'!AY19+AZ151)*(1-IF(AZ$2-$F19&lt;=12,SUMIFS('Attrition Modeling'!$D:$D,'Attrition Modeling'!$B:$B,'Traditional Attrition'!$E19,'Attrition Modeling'!$C:$C,'Traditional Attrition'!AZ$1),VLOOKUP('Traditional Attrition'!AZ$2-'Traditional Attrition'!$F19-1,'Traditional Attrition'!$A$7:$C$161,2,FALSE)*VLOOKUP(AZ$1,'Attrition Modeling'!$L$15:$N$27,IF(AZ$2-$F19&lt;=24,2,3),FALSE))*(1+Projection!BB$16)*(1+IF(AZ151&gt;0,'Attrition Modeling'!$N$9,0))),0))</f>
        <v>3640.0976371331194</v>
      </c>
      <c r="BA19" s="799">
        <f>IF(BA$2=$F19+1,Monthly!AW$21,IF(BA$2&gt;$F19+1,('Traditional Attrition'!AZ19+BA151)*(1-IF(BA$2-$F19&lt;=12,SUMIFS('Attrition Modeling'!$D:$D,'Attrition Modeling'!$B:$B,'Traditional Attrition'!$E19,'Attrition Modeling'!$C:$C,'Traditional Attrition'!BA$1),VLOOKUP('Traditional Attrition'!BA$2-'Traditional Attrition'!$F19-1,'Traditional Attrition'!$A$7:$C$161,2,FALSE)*VLOOKUP(BA$1,'Attrition Modeling'!$L$15:$N$27,IF(BA$2-$F19&lt;=24,2,3),FALSE))*(1+Projection!BC$16)*(1+IF(BA151&gt;0,'Attrition Modeling'!$N$9,0))),0))</f>
        <v>3754.7399920508933</v>
      </c>
      <c r="BB19" s="799">
        <f>IF(BB$2=$F19+1,Monthly!AX$21,IF(BB$2&gt;$F19+1,('Traditional Attrition'!BA19+BB151)*(1-IF(BB$2-$F19&lt;=12,SUMIFS('Attrition Modeling'!$D:$D,'Attrition Modeling'!$B:$B,'Traditional Attrition'!$E19,'Attrition Modeling'!$C:$C,'Traditional Attrition'!BB$1),VLOOKUP('Traditional Attrition'!BB$2-'Traditional Attrition'!$F19-1,'Traditional Attrition'!$A$7:$C$161,2,FALSE)*VLOOKUP(BB$1,'Attrition Modeling'!$L$15:$N$27,IF(BB$2-$F19&lt;=24,2,3),FALSE))*(1+Projection!BD$16)*(1+IF(BB151&gt;0,'Attrition Modeling'!$N$9,0))),0))</f>
        <v>3621.7416452863108</v>
      </c>
      <c r="BC19" s="799">
        <f>IF(BC$2=$F19+1,Monthly!AY$21,IF(BC$2&gt;$F19+1,('Traditional Attrition'!BB19+BC151)*(1-IF(BC$2-$F19&lt;=12,SUMIFS('Attrition Modeling'!$D:$D,'Attrition Modeling'!$B:$B,'Traditional Attrition'!$E19,'Attrition Modeling'!$C:$C,'Traditional Attrition'!BC$1),VLOOKUP('Traditional Attrition'!BC$2-'Traditional Attrition'!$F19-1,'Traditional Attrition'!$A$7:$C$161,2,FALSE)*VLOOKUP(BC$1,'Attrition Modeling'!$L$15:$N$27,IF(BC$2-$F19&lt;=24,2,3),FALSE))*(1+Projection!BE$16)*(1+IF(BC151&gt;0,'Attrition Modeling'!$N$9,0))),0))</f>
        <v>3517.2897720112351</v>
      </c>
      <c r="BD19" s="799">
        <f>IF(BD$2=$F19+1,Monthly!AZ$21,IF(BD$2&gt;$F19+1,('Traditional Attrition'!BC19+BD151)*(1-IF(BD$2-$F19&lt;=12,SUMIFS('Attrition Modeling'!$D:$D,'Attrition Modeling'!$B:$B,'Traditional Attrition'!$E19,'Attrition Modeling'!$C:$C,'Traditional Attrition'!BD$1),VLOOKUP('Traditional Attrition'!BD$2-'Traditional Attrition'!$F19-1,'Traditional Attrition'!$A$7:$C$161,2,FALSE)*VLOOKUP(BD$1,'Attrition Modeling'!$L$15:$N$27,IF(BD$2-$F19&lt;=24,2,3),FALSE))*(1+Projection!BF$16)*(1+IF(BD151&gt;0,'Attrition Modeling'!$N$9,0))),0))</f>
        <v>3406.301622673097</v>
      </c>
      <c r="BE19" s="799">
        <f>IF(BE$2=$F19+1,Monthly!BA$21,IF(BE$2&gt;$F19+1,('Traditional Attrition'!BD19+BE151)*(1-IF(BE$2-$F19&lt;=12,SUMIFS('Attrition Modeling'!$D:$D,'Attrition Modeling'!$B:$B,'Traditional Attrition'!$E19,'Attrition Modeling'!$C:$C,'Traditional Attrition'!BE$1),VLOOKUP('Traditional Attrition'!BE$2-'Traditional Attrition'!$F19-1,'Traditional Attrition'!$A$7:$C$161,2,FALSE)*VLOOKUP(BE$1,'Attrition Modeling'!$L$15:$N$27,IF(BE$2-$F19&lt;=24,2,3),FALSE))*(1+Projection!BG$16)*(1+IF(BE151&gt;0,'Attrition Modeling'!$N$9,0))),0))</f>
        <v>3303.3826956503872</v>
      </c>
      <c r="BF19" s="799">
        <f>IF(BF$2=$F19+1,Monthly!BB$21,IF(BF$2&gt;$F19+1,('Traditional Attrition'!BE19+BF151)*(1-IF(BF$2-$F19&lt;=12,SUMIFS('Attrition Modeling'!$D:$D,'Attrition Modeling'!$B:$B,'Traditional Attrition'!$E19,'Attrition Modeling'!$C:$C,'Traditional Attrition'!BF$1),VLOOKUP('Traditional Attrition'!BF$2-'Traditional Attrition'!$F19-1,'Traditional Attrition'!$A$7:$C$161,2,FALSE)*VLOOKUP(BF$1,'Attrition Modeling'!$L$15:$N$27,IF(BF$2-$F19&lt;=24,2,3),FALSE))*(1+Projection!BH$16)*(1+IF(BF151&gt;0,'Attrition Modeling'!$N$9,0))),0))</f>
        <v>3208.8445211565704</v>
      </c>
      <c r="BG19" s="799">
        <f>IF(BG$2=$F19+1,Monthly!BC$21,IF(BG$2&gt;$F19+1,('Traditional Attrition'!BF19+BG151)*(1-IF(BG$2-$F19&lt;=12,SUMIFS('Attrition Modeling'!$D:$D,'Attrition Modeling'!$B:$B,'Traditional Attrition'!$E19,'Attrition Modeling'!$C:$C,'Traditional Attrition'!BG$1),VLOOKUP('Traditional Attrition'!BG$2-'Traditional Attrition'!$F19-1,'Traditional Attrition'!$A$7:$C$161,2,FALSE)*VLOOKUP(BG$1,'Attrition Modeling'!$L$15:$N$27,IF(BG$2-$F19&lt;=24,2,3),FALSE))*(1+Projection!BI$16)*(1+IF(BG151&gt;0,'Attrition Modeling'!$N$9,0))),0))</f>
        <v>3136.6192586115558</v>
      </c>
      <c r="BH19" s="799">
        <f>IF(BH$2=$F19+1,Monthly!BD$21,IF(BH$2&gt;$F19+1,('Traditional Attrition'!BG19+BH151)*(1-IF(BH$2-$F19&lt;=12,SUMIFS('Attrition Modeling'!$D:$D,'Attrition Modeling'!$B:$B,'Traditional Attrition'!$E19,'Attrition Modeling'!$C:$C,'Traditional Attrition'!BH$1),VLOOKUP('Traditional Attrition'!BH$2-'Traditional Attrition'!$F19-1,'Traditional Attrition'!$A$7:$C$161,2,FALSE)*VLOOKUP(BH$1,'Attrition Modeling'!$L$15:$N$27,IF(BH$2-$F19&lt;=24,2,3),FALSE))*(1+Projection!BJ$16)*(1+IF(BH151&gt;0,'Attrition Modeling'!$N$9,0))),0))</f>
        <v>3052.3103297549178</v>
      </c>
      <c r="BI19" s="799">
        <f>IF(BI$2=$F19+1,Monthly!BE$21,IF(BI$2&gt;$F19+1,('Traditional Attrition'!BH19+BI151)*(1-IF(BI$2-$F19&lt;=12,SUMIFS('Attrition Modeling'!$D:$D,'Attrition Modeling'!$B:$B,'Traditional Attrition'!$E19,'Attrition Modeling'!$C:$C,'Traditional Attrition'!BI$1),VLOOKUP('Traditional Attrition'!BI$2-'Traditional Attrition'!$F19-1,'Traditional Attrition'!$A$7:$C$161,2,FALSE)*VLOOKUP(BI$1,'Attrition Modeling'!$L$15:$N$27,IF(BI$2-$F19&lt;=24,2,3),FALSE))*(1+Projection!BK$16)*(1+IF(BI151&gt;0,'Attrition Modeling'!$N$9,0))),0))</f>
        <v>2959.6716816630856</v>
      </c>
      <c r="BJ19" s="799">
        <f>IF(BJ$2=$F19+1,Monthly!BF$21,IF(BJ$2&gt;$F19+1,('Traditional Attrition'!BI19+BJ151)*(1-IF(BJ$2-$F19&lt;=12,SUMIFS('Attrition Modeling'!$D:$D,'Attrition Modeling'!$B:$B,'Traditional Attrition'!$E19,'Attrition Modeling'!$C:$C,'Traditional Attrition'!BJ$1),VLOOKUP('Traditional Attrition'!BJ$2-'Traditional Attrition'!$F19-1,'Traditional Attrition'!$A$7:$C$161,2,FALSE)*VLOOKUP(BJ$1,'Attrition Modeling'!$L$15:$N$27,IF(BJ$2-$F19&lt;=24,2,3),FALSE))*(1+Projection!BL$16)*(1+IF(BJ151&gt;0,'Attrition Modeling'!$N$9,0))),0))</f>
        <v>2862.8261611764392</v>
      </c>
      <c r="BK19" s="799">
        <f>IF(BK$2=$F19+1,Monthly!BG$21,IF(BK$2&gt;$F19+1,('Traditional Attrition'!BJ19+BK151)*(1-IF(BK$2-$F19&lt;=12,SUMIFS('Attrition Modeling'!$D:$D,'Attrition Modeling'!$B:$B,'Traditional Attrition'!$E19,'Attrition Modeling'!$C:$C,'Traditional Attrition'!BK$1),VLOOKUP('Traditional Attrition'!BK$2-'Traditional Attrition'!$F19-1,'Traditional Attrition'!$A$7:$C$161,2,FALSE)*VLOOKUP(BK$1,'Attrition Modeling'!$L$15:$N$27,IF(BK$2-$F19&lt;=24,2,3),FALSE))*(1+Projection!BM$16)*(1+IF(BK151&gt;0,'Attrition Modeling'!$N$9,0))),0))</f>
        <v>2763.2649761158791</v>
      </c>
      <c r="BL19" s="799">
        <f>IF(BL$2=$F19+1,Monthly!BH$21,IF(BL$2&gt;$F19+1,('Traditional Attrition'!BK19+BL151)*(1-IF(BL$2-$F19&lt;=12,SUMIFS('Attrition Modeling'!$D:$D,'Attrition Modeling'!$B:$B,'Traditional Attrition'!$E19,'Attrition Modeling'!$C:$C,'Traditional Attrition'!BL$1),VLOOKUP('Traditional Attrition'!BL$2-'Traditional Attrition'!$F19-1,'Traditional Attrition'!$A$7:$C$161,2,FALSE)*VLOOKUP(BL$1,'Attrition Modeling'!$L$15:$N$27,IF(BL$2-$F19&lt;=24,2,3),FALSE))*(1+Projection!BN$16)*(1+IF(BL151&gt;0,'Attrition Modeling'!$N$9,0))),0))</f>
        <v>2673.9318802660537</v>
      </c>
      <c r="BM19" s="799">
        <f>IF(BM$2=$F19+1,Monthly!BI$21,IF(BM$2&gt;$F19+1,('Traditional Attrition'!BL19+BM151)*(1-IF(BM$2-$F19&lt;=12,SUMIFS('Attrition Modeling'!$D:$D,'Attrition Modeling'!$B:$B,'Traditional Attrition'!$E19,'Attrition Modeling'!$C:$C,'Traditional Attrition'!BM$1),VLOOKUP('Traditional Attrition'!BM$2-'Traditional Attrition'!$F19-1,'Traditional Attrition'!$A$7:$C$161,2,FALSE)*VLOOKUP(BM$1,'Attrition Modeling'!$L$15:$N$27,IF(BM$2-$F19&lt;=24,2,3),FALSE))*(1+Projection!BO$16)*(1+IF(BM151&gt;0,'Attrition Modeling'!$N$9,0))),0))</f>
        <v>2668.447175554345</v>
      </c>
      <c r="BN19" s="799">
        <f>IF(BN$2=$F19+1,Monthly!BJ$21,IF(BN$2&gt;$F19+1,('Traditional Attrition'!BM19+BN151)*(1-IF(BN$2-$F19&lt;=12,SUMIFS('Attrition Modeling'!$D:$D,'Attrition Modeling'!$B:$B,'Traditional Attrition'!$E19,'Attrition Modeling'!$C:$C,'Traditional Attrition'!BN$1),VLOOKUP('Traditional Attrition'!BN$2-'Traditional Attrition'!$F19-1,'Traditional Attrition'!$A$7:$C$161,2,FALSE)*VLOOKUP(BN$1,'Attrition Modeling'!$L$15:$N$27,IF(BN$2-$F19&lt;=24,2,3),FALSE))*(1+Projection!BP$16)*(1+IF(BN151&gt;0,'Attrition Modeling'!$N$9,0))),0))</f>
        <v>2588.636444784092</v>
      </c>
      <c r="BO19" s="799">
        <f>IF(BO$2=$F19+1,Monthly!BK$21,IF(BO$2&gt;$F19+1,('Traditional Attrition'!BN19+BO151)*(1-IF(BO$2-$F19&lt;=12,SUMIFS('Attrition Modeling'!$D:$D,'Attrition Modeling'!$B:$B,'Traditional Attrition'!$E19,'Attrition Modeling'!$C:$C,'Traditional Attrition'!BO$1),VLOOKUP('Traditional Attrition'!BO$2-'Traditional Attrition'!$F19-1,'Traditional Attrition'!$A$7:$C$161,2,FALSE)*VLOOKUP(BO$1,'Attrition Modeling'!$L$15:$N$27,IF(BO$2-$F19&lt;=24,2,3),FALSE))*(1+Projection!BV$16)*(1+IF(BO151&gt;0,'Attrition Modeling'!$N$9,0))),0))</f>
        <v>2525.4521745721722</v>
      </c>
      <c r="BP19" s="799">
        <f>IF(BP$2=$F19+1,Monthly!BL$21,IF(BP$2&gt;$F19+1,('Traditional Attrition'!BO19+BP151)*(1-IF(BP$2-$F19&lt;=12,SUMIFS('Attrition Modeling'!$D:$D,'Attrition Modeling'!$B:$B,'Traditional Attrition'!$E19,'Attrition Modeling'!$C:$C,'Traditional Attrition'!BP$1),VLOOKUP('Traditional Attrition'!BP$2-'Traditional Attrition'!$F19-1,'Traditional Attrition'!$A$7:$C$161,2,FALSE)*VLOOKUP(BP$1,'Attrition Modeling'!$L$15:$N$27,IF(BP$2-$F19&lt;=24,2,3),FALSE))*(1+Projection!BW$16)*(1+IF(BP151&gt;0,'Attrition Modeling'!$N$9,0))),0))</f>
        <v>2457.8602193048068</v>
      </c>
      <c r="BQ19" s="799">
        <f>IF(BQ$2=$F19+1,Monthly!BM$21,IF(BQ$2&gt;$F19+1,('Traditional Attrition'!BP19+BQ151)*(1-IF(BQ$2-$F19&lt;=12,SUMIFS('Attrition Modeling'!$D:$D,'Attrition Modeling'!$B:$B,'Traditional Attrition'!$E19,'Attrition Modeling'!$C:$C,'Traditional Attrition'!BQ$1),VLOOKUP('Traditional Attrition'!BQ$2-'Traditional Attrition'!$F19-1,'Traditional Attrition'!$A$7:$C$161,2,FALSE)*VLOOKUP(BQ$1,'Attrition Modeling'!$L$15:$N$27,IF(BQ$2-$F19&lt;=24,2,3),FALSE))*(1+Projection!BX$16)*(1+IF(BQ151&gt;0,'Attrition Modeling'!$N$9,0))),0))</f>
        <v>2394.7420537697571</v>
      </c>
      <c r="BR19" s="799">
        <f>IF(BR$2=$F19+1,Monthly!BN$21,IF(BR$2&gt;$F19+1,('Traditional Attrition'!BQ19+BR151)*(1-IF(BR$2-$F19&lt;=12,SUMIFS('Attrition Modeling'!$D:$D,'Attrition Modeling'!$B:$B,'Traditional Attrition'!$E19,'Attrition Modeling'!$C:$C,'Traditional Attrition'!BR$1),VLOOKUP('Traditional Attrition'!BR$2-'Traditional Attrition'!$F19-1,'Traditional Attrition'!$A$7:$C$161,2,FALSE)*VLOOKUP(BR$1,'Attrition Modeling'!$L$15:$N$27,IF(BR$2-$F19&lt;=24,2,3),FALSE))*(1+Projection!BY$16)*(1+IF(BR151&gt;0,'Attrition Modeling'!$N$9,0))),0))</f>
        <v>2336.3783689388843</v>
      </c>
      <c r="BS19" s="799">
        <f>IF(BS$2=$F19+1,Monthly!BO$21,IF(BS$2&gt;$F19+1,('Traditional Attrition'!BR19+BS151)*(1-IF(BS$2-$F19&lt;=12,SUMIFS('Attrition Modeling'!$D:$D,'Attrition Modeling'!$B:$B,'Traditional Attrition'!$E19,'Attrition Modeling'!$C:$C,'Traditional Attrition'!BS$1),VLOOKUP('Traditional Attrition'!BS$2-'Traditional Attrition'!$F19-1,'Traditional Attrition'!$A$7:$C$161,2,FALSE)*VLOOKUP(BS$1,'Attrition Modeling'!$L$15:$N$27,IF(BS$2-$F19&lt;=24,2,3),FALSE))*(1+Projection!BZ$16)*(1+IF(BS151&gt;0,'Attrition Modeling'!$N$9,0))),0))</f>
        <v>2291.5114686574775</v>
      </c>
      <c r="BT19" s="799">
        <f>IF(BT$2=$F19+1,Monthly!#REF!,IF(BT$2&gt;$F19+1,('Traditional Attrition'!BS19+BT151)*(1-IF(BT$2-$F19&lt;=12,SUMIFS('Attrition Modeling'!$D:$D,'Attrition Modeling'!$B:$B,'Traditional Attrition'!$E19,'Attrition Modeling'!$C:$C,'Traditional Attrition'!BT$1),VLOOKUP('Traditional Attrition'!BT$2-'Traditional Attrition'!$F19-1,'Traditional Attrition'!$A$7:$C$161,2,FALSE)*VLOOKUP(BT$1,'Attrition Modeling'!$L$15:$N$27,IF(BT$2-$F19&lt;=24,2,3),FALSE))*(1+Projection!CA$16)*(1+IF(BT151&gt;0,'Attrition Modeling'!$N$9,0))),0))</f>
        <v>2239.2219984799667</v>
      </c>
      <c r="BU19" s="799">
        <f>IF(BU$2=$F19+1,Monthly!#REF!,IF(BU$2&gt;$F19+1,('Traditional Attrition'!BT19+BU151)*(1-IF(BU$2-$F19&lt;=12,SUMIFS('Attrition Modeling'!$D:$D,'Attrition Modeling'!$B:$B,'Traditional Attrition'!$E19,'Attrition Modeling'!$C:$C,'Traditional Attrition'!BU$1),VLOOKUP('Traditional Attrition'!BU$2-'Traditional Attrition'!$F19-1,'Traditional Attrition'!$A$7:$C$161,2,FALSE)*VLOOKUP(BU$1,'Attrition Modeling'!$L$15:$N$27,IF(BU$2-$F19&lt;=24,2,3),FALSE))*(1+Projection!CB$16)*(1+IF(BU151&gt;0,'Attrition Modeling'!$N$9,0))),0))</f>
        <v>2181.4392179473161</v>
      </c>
    </row>
    <row r="20" spans="1:73" ht="14.25" customHeight="1" x14ac:dyDescent="0.2">
      <c r="A20" s="9">
        <v>13</v>
      </c>
      <c r="B20" s="25">
        <f>MAX('Attrition Modeling'!H17,$C$3)*(1-Summary!$C$20)</f>
        <v>5.0287655801895564E-2</v>
      </c>
      <c r="C20" s="24" t="e">
        <f t="shared" si="4"/>
        <v>#DIV/0!</v>
      </c>
      <c r="E20" s="11">
        <f t="shared" si="2"/>
        <v>5</v>
      </c>
      <c r="F20" s="11">
        <f t="shared" si="3"/>
        <v>17</v>
      </c>
      <c r="G20" s="799"/>
      <c r="H20" s="799">
        <f>IF(H$2=$F20+1,Monthly!D$21,IF(H$2&gt;$F20+1,('Traditional Attrition'!G20+H152)*(1-IF(H$2-$F20&lt;=12,SUMIFS('Attrition Modeling'!$D:$D,'Attrition Modeling'!$B:$B,'Traditional Attrition'!$E20,'Attrition Modeling'!$C:$C,'Traditional Attrition'!H$1),VLOOKUP('Traditional Attrition'!H$2-'Traditional Attrition'!$F20-1,'Traditional Attrition'!$A$7:$C$161,2,FALSE)*VLOOKUP(H$1,'Attrition Modeling'!$L$15:$N$27,IF(H$2-$F20&lt;=24,2,3),FALSE))*(1+Projection!J$16)*(1+IF(H152&gt;0,'Attrition Modeling'!$N$9,0))),0))</f>
        <v>0</v>
      </c>
      <c r="I20" s="799">
        <f>IF(I$2=$F20+1,Monthly!E$21,IF(I$2&gt;$F20+1,('Traditional Attrition'!H20+I152)*(1-IF(I$2-$F20&lt;=12,SUMIFS('Attrition Modeling'!$D:$D,'Attrition Modeling'!$B:$B,'Traditional Attrition'!$E20,'Attrition Modeling'!$C:$C,'Traditional Attrition'!I$1),VLOOKUP('Traditional Attrition'!I$2-'Traditional Attrition'!$F20-1,'Traditional Attrition'!$A$7:$C$161,2,FALSE)*VLOOKUP(I$1,'Attrition Modeling'!$L$15:$N$27,IF(I$2-$F20&lt;=24,2,3),FALSE))*(1+Projection!K$16)*(1+IF(I152&gt;0,'Attrition Modeling'!$N$9,0))),0))</f>
        <v>0</v>
      </c>
      <c r="J20" s="799">
        <f>IF(J$2=$F20+1,Monthly!F$21,IF(J$2&gt;$F20+1,('Traditional Attrition'!I20+J152)*(1-IF(J$2-$F20&lt;=12,SUMIFS('Attrition Modeling'!$D:$D,'Attrition Modeling'!$B:$B,'Traditional Attrition'!$E20,'Attrition Modeling'!$C:$C,'Traditional Attrition'!J$1),VLOOKUP('Traditional Attrition'!J$2-'Traditional Attrition'!$F20-1,'Traditional Attrition'!$A$7:$C$161,2,FALSE)*VLOOKUP(J$1,'Attrition Modeling'!$L$15:$N$27,IF(J$2-$F20&lt;=24,2,3),FALSE))*(1+Projection!L$16)*(1+IF(J152&gt;0,'Attrition Modeling'!$N$9,0))),0))</f>
        <v>0</v>
      </c>
      <c r="K20" s="799">
        <f>IF(K$2=$F20+1,Monthly!G$21,IF(K$2&gt;$F20+1,('Traditional Attrition'!J20+K152)*(1-IF(K$2-$F20&lt;=12,SUMIFS('Attrition Modeling'!$D:$D,'Attrition Modeling'!$B:$B,'Traditional Attrition'!$E20,'Attrition Modeling'!$C:$C,'Traditional Attrition'!K$1),VLOOKUP('Traditional Attrition'!K$2-'Traditional Attrition'!$F20-1,'Traditional Attrition'!$A$7:$C$161,2,FALSE)*VLOOKUP(K$1,'Attrition Modeling'!$L$15:$N$27,IF(K$2-$F20&lt;=24,2,3),FALSE))*(1+Projection!M$16)*(1+IF(K152&gt;0,'Attrition Modeling'!$N$9,0))),0))</f>
        <v>0</v>
      </c>
      <c r="L20" s="799">
        <f>IF(L$2=$F20+1,Monthly!H$21,IF(L$2&gt;$F20+1,('Traditional Attrition'!K20+L152)*(1-IF(L$2-$F20&lt;=12,SUMIFS('Attrition Modeling'!$D:$D,'Attrition Modeling'!$B:$B,'Traditional Attrition'!$E20,'Attrition Modeling'!$C:$C,'Traditional Attrition'!L$1),VLOOKUP('Traditional Attrition'!L$2-'Traditional Attrition'!$F20-1,'Traditional Attrition'!$A$7:$C$161,2,FALSE)*VLOOKUP(L$1,'Attrition Modeling'!$L$15:$N$27,IF(L$2-$F20&lt;=24,2,3),FALSE))*(1+Projection!N$16)*(1+IF(L152&gt;0,'Attrition Modeling'!$N$9,0))),0))</f>
        <v>0</v>
      </c>
      <c r="M20" s="799">
        <f>IF(M$2=$F20+1,Monthly!I$21,IF(M$2&gt;$F20+1,('Traditional Attrition'!L20+M152)*(1-IF(M$2-$F20&lt;=12,SUMIFS('Attrition Modeling'!$D:$D,'Attrition Modeling'!$B:$B,'Traditional Attrition'!$E20,'Attrition Modeling'!$C:$C,'Traditional Attrition'!M$1),VLOOKUP('Traditional Attrition'!M$2-'Traditional Attrition'!$F20-1,'Traditional Attrition'!$A$7:$C$161,2,FALSE)*VLOOKUP(M$1,'Attrition Modeling'!$L$15:$N$27,IF(M$2-$F20&lt;=24,2,3),FALSE))*(1+Projection!O$16)*(1+IF(M152&gt;0,'Attrition Modeling'!$N$9,0))),0))</f>
        <v>0</v>
      </c>
      <c r="N20" s="799">
        <f>IF(N$2=$F20+1,Monthly!J$21,IF(N$2&gt;$F20+1,('Traditional Attrition'!M20+N152)*(1-IF(N$2-$F20&lt;=12,SUMIFS('Attrition Modeling'!$D:$D,'Attrition Modeling'!$B:$B,'Traditional Attrition'!$E20,'Attrition Modeling'!$C:$C,'Traditional Attrition'!N$1),VLOOKUP('Traditional Attrition'!N$2-'Traditional Attrition'!$F20-1,'Traditional Attrition'!$A$7:$C$161,2,FALSE)*VLOOKUP(N$1,'Attrition Modeling'!$L$15:$N$27,IF(N$2-$F20&lt;=24,2,3),FALSE))*(1+Projection!P$16)*(1+IF(N152&gt;0,'Attrition Modeling'!$N$9,0))),0))</f>
        <v>0</v>
      </c>
      <c r="O20" s="799">
        <f>IF(O$2=$F20+1,Monthly!K$21,IF(O$2&gt;$F20+1,('Traditional Attrition'!N20+O152)*(1-IF(O$2-$F20&lt;=12,SUMIFS('Attrition Modeling'!$D:$D,'Attrition Modeling'!$B:$B,'Traditional Attrition'!$E20,'Attrition Modeling'!$C:$C,'Traditional Attrition'!O$1),VLOOKUP('Traditional Attrition'!O$2-'Traditional Attrition'!$F20-1,'Traditional Attrition'!$A$7:$C$161,2,FALSE)*VLOOKUP(O$1,'Attrition Modeling'!$L$15:$N$27,IF(O$2-$F20&lt;=24,2,3),FALSE))*(1+Projection!Q$16)*(1+IF(O152&gt;0,'Attrition Modeling'!$N$9,0))),0))</f>
        <v>0</v>
      </c>
      <c r="P20" s="799">
        <f>IF(P$2=$F20+1,Monthly!L$21,IF(P$2&gt;$F20+1,('Traditional Attrition'!O20+P152)*(1-IF(P$2-$F20&lt;=12,SUMIFS('Attrition Modeling'!$D:$D,'Attrition Modeling'!$B:$B,'Traditional Attrition'!$E20,'Attrition Modeling'!$C:$C,'Traditional Attrition'!P$1),VLOOKUP('Traditional Attrition'!P$2-'Traditional Attrition'!$F20-1,'Traditional Attrition'!$A$7:$C$161,2,FALSE)*VLOOKUP(P$1,'Attrition Modeling'!$L$15:$N$27,IF(P$2-$F20&lt;=24,2,3),FALSE))*(1+Projection!R$16)*(1+IF(P152&gt;0,'Attrition Modeling'!$N$9,0))),0))</f>
        <v>0</v>
      </c>
      <c r="Q20" s="799">
        <f>IF(Q$2=$F20+1,Monthly!M$21,IF(Q$2&gt;$F20+1,('Traditional Attrition'!P20+Q152)*(1-IF(Q$2-$F20&lt;=12,SUMIFS('Attrition Modeling'!$D:$D,'Attrition Modeling'!$B:$B,'Traditional Attrition'!$E20,'Attrition Modeling'!$C:$C,'Traditional Attrition'!Q$1),VLOOKUP('Traditional Attrition'!Q$2-'Traditional Attrition'!$F20-1,'Traditional Attrition'!$A$7:$C$161,2,FALSE)*VLOOKUP(Q$1,'Attrition Modeling'!$L$15:$N$27,IF(Q$2-$F20&lt;=24,2,3),FALSE))*(1+Projection!S$16)*(1+IF(Q152&gt;0,'Attrition Modeling'!$N$9,0))),0))</f>
        <v>0</v>
      </c>
      <c r="R20" s="799">
        <f>IF(R$2=$F20+1,Monthly!N$21,IF(R$2&gt;$F20+1,('Traditional Attrition'!Q20+R152)*(1-IF(R$2-$F20&lt;=12,SUMIFS('Attrition Modeling'!$D:$D,'Attrition Modeling'!$B:$B,'Traditional Attrition'!$E20,'Attrition Modeling'!$C:$C,'Traditional Attrition'!R$1),VLOOKUP('Traditional Attrition'!R$2-'Traditional Attrition'!$F20-1,'Traditional Attrition'!$A$7:$C$161,2,FALSE)*VLOOKUP(R$1,'Attrition Modeling'!$L$15:$N$27,IF(R$2-$F20&lt;=24,2,3),FALSE))*(1+Projection!T$16)*(1+IF(R152&gt;0,'Attrition Modeling'!$N$9,0))),0))</f>
        <v>0</v>
      </c>
      <c r="S20" s="799">
        <f>IF(S$2=$F20+1,Monthly!O$21,IF(S$2&gt;$F20+1,('Traditional Attrition'!R20+S152)*(1-IF(S$2-$F20&lt;=12,SUMIFS('Attrition Modeling'!$D:$D,'Attrition Modeling'!$B:$B,'Traditional Attrition'!$E20,'Attrition Modeling'!$C:$C,'Traditional Attrition'!S$1),VLOOKUP('Traditional Attrition'!S$2-'Traditional Attrition'!$F20-1,'Traditional Attrition'!$A$7:$C$161,2,FALSE)*VLOOKUP(S$1,'Attrition Modeling'!$L$15:$N$27,IF(S$2-$F20&lt;=24,2,3),FALSE))*(1+Projection!U$16)*(1+IF(S152&gt;0,'Attrition Modeling'!$N$9,0))),0))</f>
        <v>0</v>
      </c>
      <c r="T20" s="799">
        <f>IF(T$2=$F20+1,Monthly!P$21,IF(T$2&gt;$F20+1,('Traditional Attrition'!S20+T152)*(1-IF(T$2-$F20&lt;=12,SUMIFS('Attrition Modeling'!$D:$D,'Attrition Modeling'!$B:$B,'Traditional Attrition'!$E20,'Attrition Modeling'!$C:$C,'Traditional Attrition'!T$1),VLOOKUP('Traditional Attrition'!T$2-'Traditional Attrition'!$F20-1,'Traditional Attrition'!$A$7:$C$161,2,FALSE)*VLOOKUP(T$1,'Attrition Modeling'!$L$15:$N$27,IF(T$2-$F20&lt;=24,2,3),FALSE))*(1+Projection!V$16)*(1+IF(T152&gt;0,'Attrition Modeling'!$N$9,0))),0))</f>
        <v>0</v>
      </c>
      <c r="U20" s="799">
        <f>IF(U$2=$F20+1,Monthly!Q$21,IF(U$2&gt;$F20+1,('Traditional Attrition'!T20+U152)*(1-IF(U$2-$F20&lt;=12,SUMIFS('Attrition Modeling'!$D:$D,'Attrition Modeling'!$B:$B,'Traditional Attrition'!$E20,'Attrition Modeling'!$C:$C,'Traditional Attrition'!U$1),VLOOKUP('Traditional Attrition'!U$2-'Traditional Attrition'!$F20-1,'Traditional Attrition'!$A$7:$C$161,2,FALSE)*VLOOKUP(U$1,'Attrition Modeling'!$L$15:$N$27,IF(U$2-$F20&lt;=24,2,3),FALSE))*(1+Projection!W$16)*(1+IF(U152&gt;0,'Attrition Modeling'!$N$9,0))),0))</f>
        <v>0</v>
      </c>
      <c r="V20" s="799">
        <f>IF(V$2=$F20+1,Monthly!R$21,IF(V$2&gt;$F20+1,('Traditional Attrition'!U20+V152)*(1-IF(V$2-$F20&lt;=12,SUMIFS('Attrition Modeling'!$D:$D,'Attrition Modeling'!$B:$B,'Traditional Attrition'!$E20,'Attrition Modeling'!$C:$C,'Traditional Attrition'!V$1),VLOOKUP('Traditional Attrition'!V$2-'Traditional Attrition'!$F20-1,'Traditional Attrition'!$A$7:$C$161,2,FALSE)*VLOOKUP(V$1,'Attrition Modeling'!$L$15:$N$27,IF(V$2-$F20&lt;=24,2,3),FALSE))*(1+Projection!X$16)*(1+IF(V152&gt;0,'Attrition Modeling'!$N$9,0))),0))</f>
        <v>0</v>
      </c>
      <c r="W20" s="799">
        <f>IF(W$2=$F20+1,Monthly!S$21,IF(W$2&gt;$F20+1,('Traditional Attrition'!V20+W152)*(1-IF(W$2-$F20&lt;=12,SUMIFS('Attrition Modeling'!$D:$D,'Attrition Modeling'!$B:$B,'Traditional Attrition'!$E20,'Attrition Modeling'!$C:$C,'Traditional Attrition'!W$1),VLOOKUP('Traditional Attrition'!W$2-'Traditional Attrition'!$F20-1,'Traditional Attrition'!$A$7:$C$161,2,FALSE)*VLOOKUP(W$1,'Attrition Modeling'!$L$15:$N$27,IF(W$2-$F20&lt;=24,2,3),FALSE))*(1+Projection!Y$16)*(1+IF(W152&gt;0,'Attrition Modeling'!$N$9,0))),0))</f>
        <v>0</v>
      </c>
      <c r="X20" s="799">
        <f>IF(X$2=$F20+1,Monthly!T$21,IF(X$2&gt;$F20+1,('Traditional Attrition'!W20+X152)*(1-IF(X$2-$F20&lt;=12,SUMIFS('Attrition Modeling'!$D:$D,'Attrition Modeling'!$B:$B,'Traditional Attrition'!$E20,'Attrition Modeling'!$C:$C,'Traditional Attrition'!X$1),VLOOKUP('Traditional Attrition'!X$2-'Traditional Attrition'!$F20-1,'Traditional Attrition'!$A$7:$C$161,2,FALSE)*VLOOKUP(X$1,'Attrition Modeling'!$L$15:$N$27,IF(X$2-$F20&lt;=24,2,3),FALSE))*(1+Projection!Z$16)*(1+IF(X152&gt;0,'Attrition Modeling'!$N$9,0))),0))</f>
        <v>0</v>
      </c>
      <c r="Y20" s="799">
        <f>IF(Y$2=$F20+1,Monthly!U$21,IF(Y$2&gt;$F20+1,('Traditional Attrition'!X20+Y152)*(1-IF(Y$2-$F20&lt;=12,SUMIFS('Attrition Modeling'!$D:$D,'Attrition Modeling'!$B:$B,'Traditional Attrition'!$E20,'Attrition Modeling'!$C:$C,'Traditional Attrition'!Y$1),VLOOKUP('Traditional Attrition'!Y$2-'Traditional Attrition'!$F20-1,'Traditional Attrition'!$A$7:$C$161,2,FALSE)*VLOOKUP(Y$1,'Attrition Modeling'!$L$15:$N$27,IF(Y$2-$F20&lt;=24,2,3),FALSE))*(1+Projection!AA$16)*(1+IF(Y152&gt;0,'Attrition Modeling'!$N$9,0))),0))</f>
        <v>14636.476375413084</v>
      </c>
      <c r="Z20" s="799">
        <f>IF(Z$2=$F20+1,Monthly!V$21,IF(Z$2&gt;$F20+1,('Traditional Attrition'!Y20+Z152)*(1-IF(Z$2-$F20&lt;=12,SUMIFS('Attrition Modeling'!$D:$D,'Attrition Modeling'!$B:$B,'Traditional Attrition'!$E20,'Attrition Modeling'!$C:$C,'Traditional Attrition'!Z$1),VLOOKUP('Traditional Attrition'!Z$2-'Traditional Attrition'!$F20-1,'Traditional Attrition'!$A$7:$C$161,2,FALSE)*VLOOKUP(Z$1,'Attrition Modeling'!$L$15:$N$27,IF(Z$2-$F20&lt;=24,2,3),FALSE))*(1+Projection!AB$16)*(1+IF(Z152&gt;0,'Attrition Modeling'!$N$9,0))),0))</f>
        <v>13023.19857623829</v>
      </c>
      <c r="AA20" s="799">
        <f>IF(AA$2=$F20+1,Monthly!W$21,IF(AA$2&gt;$F20+1,('Traditional Attrition'!Z20+AA152)*(1-IF(AA$2-$F20&lt;=12,SUMIFS('Attrition Modeling'!$D:$D,'Attrition Modeling'!$B:$B,'Traditional Attrition'!$E20,'Attrition Modeling'!$C:$C,'Traditional Attrition'!AA$1),VLOOKUP('Traditional Attrition'!AA$2-'Traditional Attrition'!$F20-1,'Traditional Attrition'!$A$7:$C$161,2,FALSE)*VLOOKUP(AA$1,'Attrition Modeling'!$L$15:$N$27,IF(AA$2-$F20&lt;=24,2,3),FALSE))*(1+Projection!AC$16)*(1+IF(AA152&gt;0,'Attrition Modeling'!$N$9,0))),0))</f>
        <v>11285.958583602123</v>
      </c>
      <c r="AB20" s="799">
        <f>IF(AB$2=$F20+1,Monthly!X$21,IF(AB$2&gt;$F20+1,('Traditional Attrition'!AA20+AB152)*(1-IF(AB$2-$F20&lt;=12,SUMIFS('Attrition Modeling'!$D:$D,'Attrition Modeling'!$B:$B,'Traditional Attrition'!$E20,'Attrition Modeling'!$C:$C,'Traditional Attrition'!AB$1),VLOOKUP('Traditional Attrition'!AB$2-'Traditional Attrition'!$F20-1,'Traditional Attrition'!$A$7:$C$161,2,FALSE)*VLOOKUP(AB$1,'Attrition Modeling'!$L$15:$N$27,IF(AB$2-$F20&lt;=24,2,3),FALSE))*(1+Projection!AD$16)*(1+IF(AB152&gt;0,'Attrition Modeling'!$N$9,0))),0))</f>
        <v>10048.849362056435</v>
      </c>
      <c r="AC20" s="799">
        <f>IF(AC$2=$F20+1,Monthly!Y$21,IF(AC$2&gt;$F20+1,('Traditional Attrition'!AB20+AC152)*(1-IF(AC$2-$F20&lt;=12,SUMIFS('Attrition Modeling'!$D:$D,'Attrition Modeling'!$B:$B,'Traditional Attrition'!$E20,'Attrition Modeling'!$C:$C,'Traditional Attrition'!AC$1),VLOOKUP('Traditional Attrition'!AC$2-'Traditional Attrition'!$F20-1,'Traditional Attrition'!$A$7:$C$161,2,FALSE)*VLOOKUP(AC$1,'Attrition Modeling'!$L$15:$N$27,IF(AC$2-$F20&lt;=24,2,3),FALSE))*(1+Projection!AE$16)*(1+IF(AC152&gt;0,'Attrition Modeling'!$N$9,0))),0))</f>
        <v>9121.4269860431396</v>
      </c>
      <c r="AD20" s="799">
        <f>IF(AD$2=$F20+1,Monthly!Z$21,IF(AD$2&gt;$F20+1,('Traditional Attrition'!AC20+AD152)*(1-IF(AD$2-$F20&lt;=12,SUMIFS('Attrition Modeling'!$D:$D,'Attrition Modeling'!$B:$B,'Traditional Attrition'!$E20,'Attrition Modeling'!$C:$C,'Traditional Attrition'!AD$1),VLOOKUP('Traditional Attrition'!AD$2-'Traditional Attrition'!$F20-1,'Traditional Attrition'!$A$7:$C$161,2,FALSE)*VLOOKUP(AD$1,'Attrition Modeling'!$L$15:$N$27,IF(AD$2-$F20&lt;=24,2,3),FALSE))*(1+Projection!AF$16)*(1+IF(AD152&gt;0,'Attrition Modeling'!$N$9,0))),0))</f>
        <v>8901.312319474062</v>
      </c>
      <c r="AE20" s="799">
        <f>IF(AE$2=$F20+1,Monthly!AA$21,IF(AE$2&gt;$F20+1,('Traditional Attrition'!AD20+AE152)*(1-IF(AE$2-$F20&lt;=12,SUMIFS('Attrition Modeling'!$D:$D,'Attrition Modeling'!$B:$B,'Traditional Attrition'!$E20,'Attrition Modeling'!$C:$C,'Traditional Attrition'!AE$1),VLOOKUP('Traditional Attrition'!AE$2-'Traditional Attrition'!$F20-1,'Traditional Attrition'!$A$7:$C$161,2,FALSE)*VLOOKUP(AE$1,'Attrition Modeling'!$L$15:$N$27,IF(AE$2-$F20&lt;=24,2,3),FALSE))*(1+Projection!AG$16)*(1+IF(AE152&gt;0,'Attrition Modeling'!$N$9,0))),0))</f>
        <v>8216.9104431824198</v>
      </c>
      <c r="AF20" s="799">
        <f>IF(AF$2=$F20+1,Monthly!AB$21,IF(AF$2&gt;$F20+1,('Traditional Attrition'!AE20+AF152)*(1-IF(AF$2-$F20&lt;=12,SUMIFS('Attrition Modeling'!$D:$D,'Attrition Modeling'!$B:$B,'Traditional Attrition'!$E20,'Attrition Modeling'!$C:$C,'Traditional Attrition'!AF$1),VLOOKUP('Traditional Attrition'!AF$2-'Traditional Attrition'!$F20-1,'Traditional Attrition'!$A$7:$C$161,2,FALSE)*VLOOKUP(AF$1,'Attrition Modeling'!$L$15:$N$27,IF(AF$2-$F20&lt;=24,2,3),FALSE))*(1+Projection!AH$16)*(1+IF(AF152&gt;0,'Attrition Modeling'!$N$9,0))),0))</f>
        <v>7684.9155329709574</v>
      </c>
      <c r="AG20" s="799">
        <f>IF(AG$2=$F20+1,Monthly!AC$21,IF(AG$2&gt;$F20+1,('Traditional Attrition'!AF20+AG152)*(1-IF(AG$2-$F20&lt;=12,SUMIFS('Attrition Modeling'!$D:$D,'Attrition Modeling'!$B:$B,'Traditional Attrition'!$E20,'Attrition Modeling'!$C:$C,'Traditional Attrition'!AG$1),VLOOKUP('Traditional Attrition'!AG$2-'Traditional Attrition'!$F20-1,'Traditional Attrition'!$A$7:$C$161,2,FALSE)*VLOOKUP(AG$1,'Attrition Modeling'!$L$15:$N$27,IF(AG$2-$F20&lt;=24,2,3),FALSE))*(1+Projection!AI$16)*(1+IF(AG152&gt;0,'Attrition Modeling'!$N$9,0))),0))</f>
        <v>7253.0778429182737</v>
      </c>
      <c r="AH20" s="799">
        <f>IF(AH$2=$F20+1,Monthly!AD$21,IF(AH$2&gt;$F20+1,('Traditional Attrition'!AG20+AH152)*(1-IF(AH$2-$F20&lt;=12,SUMIFS('Attrition Modeling'!$D:$D,'Attrition Modeling'!$B:$B,'Traditional Attrition'!$E20,'Attrition Modeling'!$C:$C,'Traditional Attrition'!AH$1),VLOOKUP('Traditional Attrition'!AH$2-'Traditional Attrition'!$F20-1,'Traditional Attrition'!$A$7:$C$161,2,FALSE)*VLOOKUP(AH$1,'Attrition Modeling'!$L$15:$N$27,IF(AH$2-$F20&lt;=24,2,3),FALSE))*(1+Projection!AJ$16)*(1+IF(AH152&gt;0,'Attrition Modeling'!$N$9,0))),0))</f>
        <v>6839.4820310734021</v>
      </c>
      <c r="AI20" s="799">
        <f>IF(AI$2=$F20+1,Monthly!AE$21,IF(AI$2&gt;$F20+1,('Traditional Attrition'!AH20+AI152)*(1-IF(AI$2-$F20&lt;=12,SUMIFS('Attrition Modeling'!$D:$D,'Attrition Modeling'!$B:$B,'Traditional Attrition'!$E20,'Attrition Modeling'!$C:$C,'Traditional Attrition'!AI$1),VLOOKUP('Traditional Attrition'!AI$2-'Traditional Attrition'!$F20-1,'Traditional Attrition'!$A$7:$C$161,2,FALSE)*VLOOKUP(AI$1,'Attrition Modeling'!$L$15:$N$27,IF(AI$2-$F20&lt;=24,2,3),FALSE))*(1+Projection!AK$16)*(1+IF(AI152&gt;0,'Attrition Modeling'!$N$9,0))),0))</f>
        <v>6473.1251076841345</v>
      </c>
      <c r="AJ20" s="799">
        <f>IF(AJ$2=$F20+1,Monthly!AF$21,IF(AJ$2&gt;$F20+1,('Traditional Attrition'!AI20+AJ152)*(1-IF(AJ$2-$F20&lt;=12,SUMIFS('Attrition Modeling'!$D:$D,'Attrition Modeling'!$B:$B,'Traditional Attrition'!$E20,'Attrition Modeling'!$C:$C,'Traditional Attrition'!AJ$1),VLOOKUP('Traditional Attrition'!AJ$2-'Traditional Attrition'!$F20-1,'Traditional Attrition'!$A$7:$C$161,2,FALSE)*VLOOKUP(AJ$1,'Attrition Modeling'!$L$15:$N$27,IF(AJ$2-$F20&lt;=24,2,3),FALSE))*(1+Projection!AL$16)*(1+IF(AJ152&gt;0,'Attrition Modeling'!$N$9,0))),0))</f>
        <v>6313.152177647893</v>
      </c>
      <c r="AK20" s="799">
        <f>IF(AK$2=$F20+1,Monthly!AG$21,IF(AK$2&gt;$F20+1,('Traditional Attrition'!AJ20+AK152)*(1-IF(AK$2-$F20&lt;=12,SUMIFS('Attrition Modeling'!$D:$D,'Attrition Modeling'!$B:$B,'Traditional Attrition'!$E20,'Attrition Modeling'!$C:$C,'Traditional Attrition'!AK$1),VLOOKUP('Traditional Attrition'!AK$2-'Traditional Attrition'!$F20-1,'Traditional Attrition'!$A$7:$C$161,2,FALSE)*VLOOKUP(AK$1,'Attrition Modeling'!$L$15:$N$27,IF(AK$2-$F20&lt;=24,2,3),FALSE))*(1+Projection!AM$16)*(1+IF(AK152&gt;0,'Attrition Modeling'!$N$9,0))),0))</f>
        <v>5955.4506159538541</v>
      </c>
      <c r="AL20" s="799">
        <f>IF(AL$2=$F20+1,Monthly!AH$21,IF(AL$2&gt;$F20+1,('Traditional Attrition'!AK20+AL152)*(1-IF(AL$2-$F20&lt;=12,SUMIFS('Attrition Modeling'!$D:$D,'Attrition Modeling'!$B:$B,'Traditional Attrition'!$E20,'Attrition Modeling'!$C:$C,'Traditional Attrition'!AL$1),VLOOKUP('Traditional Attrition'!AL$2-'Traditional Attrition'!$F20-1,'Traditional Attrition'!$A$7:$C$161,2,FALSE)*VLOOKUP(AL$1,'Attrition Modeling'!$L$15:$N$27,IF(AL$2-$F20&lt;=24,2,3),FALSE))*(1+Projection!AN$16)*(1+IF(AL152&gt;0,'Attrition Modeling'!$N$9,0))),0))</f>
        <v>5636.7094010896117</v>
      </c>
      <c r="AM20" s="799">
        <f>IF(AM$2=$F20+1,Monthly!AI$21,IF(AM$2&gt;$F20+1,('Traditional Attrition'!AL20+AM152)*(1-IF(AM$2-$F20&lt;=12,SUMIFS('Attrition Modeling'!$D:$D,'Attrition Modeling'!$B:$B,'Traditional Attrition'!$E20,'Attrition Modeling'!$C:$C,'Traditional Attrition'!AM$1),VLOOKUP('Traditional Attrition'!AM$2-'Traditional Attrition'!$F20-1,'Traditional Attrition'!$A$7:$C$161,2,FALSE)*VLOOKUP(AM$1,'Attrition Modeling'!$L$15:$N$27,IF(AM$2-$F20&lt;=24,2,3),FALSE))*(1+Projection!AO$16)*(1+IF(AM152&gt;0,'Attrition Modeling'!$N$9,0))),0))</f>
        <v>5337.1099386044125</v>
      </c>
      <c r="AN20" s="799">
        <f>IF(AN$2=$F20+1,Monthly!AJ$21,IF(AN$2&gt;$F20+1,('Traditional Attrition'!AM20+AN152)*(1-IF(AN$2-$F20&lt;=12,SUMIFS('Attrition Modeling'!$D:$D,'Attrition Modeling'!$B:$B,'Traditional Attrition'!$E20,'Attrition Modeling'!$C:$C,'Traditional Attrition'!AN$1),VLOOKUP('Traditional Attrition'!AN$2-'Traditional Attrition'!$F20-1,'Traditional Attrition'!$A$7:$C$161,2,FALSE)*VLOOKUP(AN$1,'Attrition Modeling'!$L$15:$N$27,IF(AN$2-$F20&lt;=24,2,3),FALSE))*(1+Projection!AP$16)*(1+IF(AN152&gt;0,'Attrition Modeling'!$N$9,0))),0))</f>
        <v>5087.8842638393471</v>
      </c>
      <c r="AO20" s="799">
        <f>IF(AO$2=$F20+1,Monthly!AK$21,IF(AO$2&gt;$F20+1,('Traditional Attrition'!AN20+AO152)*(1-IF(AO$2-$F20&lt;=12,SUMIFS('Attrition Modeling'!$D:$D,'Attrition Modeling'!$B:$B,'Traditional Attrition'!$E20,'Attrition Modeling'!$C:$C,'Traditional Attrition'!AO$1),VLOOKUP('Traditional Attrition'!AO$2-'Traditional Attrition'!$F20-1,'Traditional Attrition'!$A$7:$C$161,2,FALSE)*VLOOKUP(AO$1,'Attrition Modeling'!$L$15:$N$27,IF(AO$2-$F20&lt;=24,2,3),FALSE))*(1+Projection!AQ$16)*(1+IF(AO152&gt;0,'Attrition Modeling'!$N$9,0))),0))</f>
        <v>4851.9485460847636</v>
      </c>
      <c r="AP20" s="799">
        <f>IF(AP$2=$F20+1,Monthly!AL$21,IF(AP$2&gt;$F20+1,('Traditional Attrition'!AO20+AP152)*(1-IF(AP$2-$F20&lt;=12,SUMIFS('Attrition Modeling'!$D:$D,'Attrition Modeling'!$B:$B,'Traditional Attrition'!$E20,'Attrition Modeling'!$C:$C,'Traditional Attrition'!AP$1),VLOOKUP('Traditional Attrition'!AP$2-'Traditional Attrition'!$F20-1,'Traditional Attrition'!$A$7:$C$161,2,FALSE)*VLOOKUP(AP$1,'Attrition Modeling'!$L$15:$N$27,IF(AP$2-$F20&lt;=24,2,3),FALSE))*(1+Projection!AR$16)*(1+IF(AP152&gt;0,'Attrition Modeling'!$N$9,0))),0))</f>
        <v>5040.1171240318999</v>
      </c>
      <c r="AQ20" s="799">
        <f>IF(AQ$2=$F20+1,Monthly!AM$21,IF(AQ$2&gt;$F20+1,('Traditional Attrition'!AP20+AQ152)*(1-IF(AQ$2-$F20&lt;=12,SUMIFS('Attrition Modeling'!$D:$D,'Attrition Modeling'!$B:$B,'Traditional Attrition'!$E20,'Attrition Modeling'!$C:$C,'Traditional Attrition'!AQ$1),VLOOKUP('Traditional Attrition'!AQ$2-'Traditional Attrition'!$F20-1,'Traditional Attrition'!$A$7:$C$161,2,FALSE)*VLOOKUP(AQ$1,'Attrition Modeling'!$L$15:$N$27,IF(AQ$2-$F20&lt;=24,2,3),FALSE))*(1+Projection!AS$16)*(1+IF(AQ152&gt;0,'Attrition Modeling'!$N$9,0))),0))</f>
        <v>4827.8065925882602</v>
      </c>
      <c r="AR20" s="799">
        <f>IF(AR$2=$F20+1,Monthly!AN$21,IF(AR$2&gt;$F20+1,('Traditional Attrition'!AQ20+AR152)*(1-IF(AR$2-$F20&lt;=12,SUMIFS('Attrition Modeling'!$D:$D,'Attrition Modeling'!$B:$B,'Traditional Attrition'!$E20,'Attrition Modeling'!$C:$C,'Traditional Attrition'!AR$1),VLOOKUP('Traditional Attrition'!AR$2-'Traditional Attrition'!$F20-1,'Traditional Attrition'!$A$7:$C$161,2,FALSE)*VLOOKUP(AR$1,'Attrition Modeling'!$L$15:$N$27,IF(AR$2-$F20&lt;=24,2,3),FALSE))*(1+Projection!AT$16)*(1+IF(AR152&gt;0,'Attrition Modeling'!$N$9,0))),0))</f>
        <v>4628.1234123245513</v>
      </c>
      <c r="AS20" s="799">
        <f>IF(AS$2=$F20+1,Monthly!AO$21,IF(AS$2&gt;$F20+1,('Traditional Attrition'!AR20+AS152)*(1-IF(AS$2-$F20&lt;=12,SUMIFS('Attrition Modeling'!$D:$D,'Attrition Modeling'!$B:$B,'Traditional Attrition'!$E20,'Attrition Modeling'!$C:$C,'Traditional Attrition'!AS$1),VLOOKUP('Traditional Attrition'!AS$2-'Traditional Attrition'!$F20-1,'Traditional Attrition'!$A$7:$C$161,2,FALSE)*VLOOKUP(AS$1,'Attrition Modeling'!$L$15:$N$27,IF(AS$2-$F20&lt;=24,2,3),FALSE))*(1+Projection!AU$16)*(1+IF(AS152&gt;0,'Attrition Modeling'!$N$9,0))),0))</f>
        <v>4458.3888092152374</v>
      </c>
      <c r="AT20" s="799">
        <f>IF(AT$2=$F20+1,Monthly!AP$21,IF(AT$2&gt;$F20+1,('Traditional Attrition'!AS20+AT152)*(1-IF(AT$2-$F20&lt;=12,SUMIFS('Attrition Modeling'!$D:$D,'Attrition Modeling'!$B:$B,'Traditional Attrition'!$E20,'Attrition Modeling'!$C:$C,'Traditional Attrition'!AT$1),VLOOKUP('Traditional Attrition'!AT$2-'Traditional Attrition'!$F20-1,'Traditional Attrition'!$A$7:$C$161,2,FALSE)*VLOOKUP(AT$1,'Attrition Modeling'!$L$15:$N$27,IF(AT$2-$F20&lt;=24,2,3),FALSE))*(1+Projection!AV$16)*(1+IF(AT152&gt;0,'Attrition Modeling'!$N$9,0))),0))</f>
        <v>4283.165919681067</v>
      </c>
      <c r="AU20" s="799">
        <f>IF(AU$2=$F20+1,Monthly!AQ$21,IF(AU$2&gt;$F20+1,('Traditional Attrition'!AT20+AU152)*(1-IF(AU$2-$F20&lt;=12,SUMIFS('Attrition Modeling'!$D:$D,'Attrition Modeling'!$B:$B,'Traditional Attrition'!$E20,'Attrition Modeling'!$C:$C,'Traditional Attrition'!AU$1),VLOOKUP('Traditional Attrition'!AU$2-'Traditional Attrition'!$F20-1,'Traditional Attrition'!$A$7:$C$161,2,FALSE)*VLOOKUP(AU$1,'Attrition Modeling'!$L$15:$N$27,IF(AU$2-$F20&lt;=24,2,3),FALSE))*(1+Projection!AW$16)*(1+IF(AU152&gt;0,'Attrition Modeling'!$N$9,0))),0))</f>
        <v>4120.0178183994849</v>
      </c>
      <c r="AV20" s="799">
        <f>IF(AV$2=$F20+1,Monthly!AR$21,IF(AV$2&gt;$F20+1,('Traditional Attrition'!AU20+AV152)*(1-IF(AV$2-$F20&lt;=12,SUMIFS('Attrition Modeling'!$D:$D,'Attrition Modeling'!$B:$B,'Traditional Attrition'!$E20,'Attrition Modeling'!$C:$C,'Traditional Attrition'!AV$1),VLOOKUP('Traditional Attrition'!AV$2-'Traditional Attrition'!$F20-1,'Traditional Attrition'!$A$7:$C$161,2,FALSE)*VLOOKUP(AV$1,'Attrition Modeling'!$L$15:$N$27,IF(AV$2-$F20&lt;=24,2,3),FALSE))*(1+Projection!AX$16)*(1+IF(AV152&gt;0,'Attrition Modeling'!$N$9,0))),0))</f>
        <v>3966.2665680353557</v>
      </c>
      <c r="AW20" s="799">
        <f>IF(AW$2=$F20+1,Monthly!AS$21,IF(AW$2&gt;$F20+1,('Traditional Attrition'!AV20+AW152)*(1-IF(AW$2-$F20&lt;=12,SUMIFS('Attrition Modeling'!$D:$D,'Attrition Modeling'!$B:$B,'Traditional Attrition'!$E20,'Attrition Modeling'!$C:$C,'Traditional Attrition'!AW$1),VLOOKUP('Traditional Attrition'!AW$2-'Traditional Attrition'!$F20-1,'Traditional Attrition'!$A$7:$C$161,2,FALSE)*VLOOKUP(AW$1,'Attrition Modeling'!$L$15:$N$27,IF(AW$2-$F20&lt;=24,2,3),FALSE))*(1+Projection!AY$16)*(1+IF(AW152&gt;0,'Attrition Modeling'!$N$9,0))),0))</f>
        <v>3819.1999568766614</v>
      </c>
      <c r="AX20" s="799">
        <f>IF(AX$2=$F20+1,Monthly!AT$21,IF(AX$2&gt;$F20+1,('Traditional Attrition'!AW20+AX152)*(1-IF(AX$2-$F20&lt;=12,SUMIFS('Attrition Modeling'!$D:$D,'Attrition Modeling'!$B:$B,'Traditional Attrition'!$E20,'Attrition Modeling'!$C:$C,'Traditional Attrition'!AX$1),VLOOKUP('Traditional Attrition'!AX$2-'Traditional Attrition'!$F20-1,'Traditional Attrition'!$A$7:$C$161,2,FALSE)*VLOOKUP(AX$1,'Attrition Modeling'!$L$15:$N$27,IF(AX$2-$F20&lt;=24,2,3),FALSE))*(1+Projection!AZ$16)*(1+IF(AX152&gt;0,'Attrition Modeling'!$N$9,0))),0))</f>
        <v>3667.0565605218189</v>
      </c>
      <c r="AY20" s="799">
        <f>IF(AY$2=$F20+1,Monthly!AU$21,IF(AY$2&gt;$F20+1,('Traditional Attrition'!AX20+AY152)*(1-IF(AY$2-$F20&lt;=12,SUMIFS('Attrition Modeling'!$D:$D,'Attrition Modeling'!$B:$B,'Traditional Attrition'!$E20,'Attrition Modeling'!$C:$C,'Traditional Attrition'!AY$1),VLOOKUP('Traditional Attrition'!AY$2-'Traditional Attrition'!$F20-1,'Traditional Attrition'!$A$7:$C$161,2,FALSE)*VLOOKUP(AY$1,'Attrition Modeling'!$L$15:$N$27,IF(AY$2-$F20&lt;=24,2,3),FALSE))*(1+Projection!BA$16)*(1+IF(AY152&gt;0,'Attrition Modeling'!$N$9,0))),0))</f>
        <v>3512.3073539727802</v>
      </c>
      <c r="AZ20" s="799">
        <f>IF(AZ$2=$F20+1,Monthly!AV$21,IF(AZ$2&gt;$F20+1,('Traditional Attrition'!AY20+AZ152)*(1-IF(AZ$2-$F20&lt;=12,SUMIFS('Attrition Modeling'!$D:$D,'Attrition Modeling'!$B:$B,'Traditional Attrition'!$E20,'Attrition Modeling'!$C:$C,'Traditional Attrition'!AZ$1),VLOOKUP('Traditional Attrition'!AZ$2-'Traditional Attrition'!$F20-1,'Traditional Attrition'!$A$7:$C$161,2,FALSE)*VLOOKUP(AZ$1,'Attrition Modeling'!$L$15:$N$27,IF(AZ$2-$F20&lt;=24,2,3),FALSE))*(1+Projection!BB$16)*(1+IF(AZ152&gt;0,'Attrition Modeling'!$N$9,0))),0))</f>
        <v>3374.9487609311795</v>
      </c>
      <c r="BA20" s="799">
        <f>IF(BA$2=$F20+1,Monthly!AW$21,IF(BA$2&gt;$F20+1,('Traditional Attrition'!AZ20+BA152)*(1-IF(BA$2-$F20&lt;=12,SUMIFS('Attrition Modeling'!$D:$D,'Attrition Modeling'!$B:$B,'Traditional Attrition'!$E20,'Attrition Modeling'!$C:$C,'Traditional Attrition'!BA$1),VLOOKUP('Traditional Attrition'!BA$2-'Traditional Attrition'!$F20-1,'Traditional Attrition'!$A$7:$C$161,2,FALSE)*VLOOKUP(BA$1,'Attrition Modeling'!$L$15:$N$27,IF(BA$2-$F20&lt;=24,2,3),FALSE))*(1+Projection!BC$16)*(1+IF(BA152&gt;0,'Attrition Modeling'!$N$9,0))),0))</f>
        <v>3249.1433561335016</v>
      </c>
      <c r="BB20" s="799">
        <f>IF(BB$2=$F20+1,Monthly!AX$21,IF(BB$2&gt;$F20+1,('Traditional Attrition'!BA20+BB152)*(1-IF(BB$2-$F20&lt;=12,SUMIFS('Attrition Modeling'!$D:$D,'Attrition Modeling'!$B:$B,'Traditional Attrition'!$E20,'Attrition Modeling'!$C:$C,'Traditional Attrition'!BB$1),VLOOKUP('Traditional Attrition'!BB$2-'Traditional Attrition'!$F20-1,'Traditional Attrition'!$A$7:$C$161,2,FALSE)*VLOOKUP(BB$1,'Attrition Modeling'!$L$15:$N$27,IF(BB$2-$F20&lt;=24,2,3),FALSE))*(1+Projection!BD$16)*(1+IF(BB152&gt;0,'Attrition Modeling'!$N$9,0))),0))</f>
        <v>3236.0290326901254</v>
      </c>
      <c r="BC20" s="799">
        <f>IF(BC$2=$F20+1,Monthly!AY$21,IF(BC$2&gt;$F20+1,('Traditional Attrition'!BB20+BC152)*(1-IF(BC$2-$F20&lt;=12,SUMIFS('Attrition Modeling'!$D:$D,'Attrition Modeling'!$B:$B,'Traditional Attrition'!$E20,'Attrition Modeling'!$C:$C,'Traditional Attrition'!BC$1),VLOOKUP('Traditional Attrition'!BC$2-'Traditional Attrition'!$F20-1,'Traditional Attrition'!$A$7:$C$161,2,FALSE)*VLOOKUP(BC$1,'Attrition Modeling'!$L$15:$N$27,IF(BC$2-$F20&lt;=24,2,3),FALSE))*(1+Projection!BE$16)*(1+IF(BC152&gt;0,'Attrition Modeling'!$N$9,0))),0))</f>
        <v>3141.264017808071</v>
      </c>
      <c r="BD20" s="799">
        <f>IF(BD$2=$F20+1,Monthly!AZ$21,IF(BD$2&gt;$F20+1,('Traditional Attrition'!BC20+BD152)*(1-IF(BD$2-$F20&lt;=12,SUMIFS('Attrition Modeling'!$D:$D,'Attrition Modeling'!$B:$B,'Traditional Attrition'!$E20,'Attrition Modeling'!$C:$C,'Traditional Attrition'!BD$1),VLOOKUP('Traditional Attrition'!BD$2-'Traditional Attrition'!$F20-1,'Traditional Attrition'!$A$7:$C$161,2,FALSE)*VLOOKUP(BD$1,'Attrition Modeling'!$L$15:$N$27,IF(BD$2-$F20&lt;=24,2,3),FALSE))*(1+Projection!BF$16)*(1+IF(BD152&gt;0,'Attrition Modeling'!$N$9,0))),0))</f>
        <v>3040.6410449757986</v>
      </c>
      <c r="BE20" s="799">
        <f>IF(BE$2=$F20+1,Monthly!BA$21,IF(BE$2&gt;$F20+1,('Traditional Attrition'!BD20+BE152)*(1-IF(BE$2-$F20&lt;=12,SUMIFS('Attrition Modeling'!$D:$D,'Attrition Modeling'!$B:$B,'Traditional Attrition'!$E20,'Attrition Modeling'!$C:$C,'Traditional Attrition'!BE$1),VLOOKUP('Traditional Attrition'!BE$2-'Traditional Attrition'!$F20-1,'Traditional Attrition'!$A$7:$C$161,2,FALSE)*VLOOKUP(BE$1,'Attrition Modeling'!$L$15:$N$27,IF(BE$2-$F20&lt;=24,2,3),FALSE))*(1+Projection!BG$16)*(1+IF(BE152&gt;0,'Attrition Modeling'!$N$9,0))),0))</f>
        <v>2947.4024544733588</v>
      </c>
      <c r="BF20" s="799">
        <f>IF(BF$2=$F20+1,Monthly!BB$21,IF(BF$2&gt;$F20+1,('Traditional Attrition'!BE20+BF152)*(1-IF(BF$2-$F20&lt;=12,SUMIFS('Attrition Modeling'!$D:$D,'Attrition Modeling'!$B:$B,'Traditional Attrition'!$E20,'Attrition Modeling'!$C:$C,'Traditional Attrition'!BF$1),VLOOKUP('Traditional Attrition'!BF$2-'Traditional Attrition'!$F20-1,'Traditional Attrition'!$A$7:$C$161,2,FALSE)*VLOOKUP(BF$1,'Attrition Modeling'!$L$15:$N$27,IF(BF$2-$F20&lt;=24,2,3),FALSE))*(1+Projection!BH$16)*(1+IF(BF152&gt;0,'Attrition Modeling'!$N$9,0))),0))</f>
        <v>2861.8157068264422</v>
      </c>
      <c r="BG20" s="799">
        <f>IF(BG$2=$F20+1,Monthly!BC$21,IF(BG$2&gt;$F20+1,('Traditional Attrition'!BF20+BG152)*(1-IF(BG$2-$F20&lt;=12,SUMIFS('Attrition Modeling'!$D:$D,'Attrition Modeling'!$B:$B,'Traditional Attrition'!$E20,'Attrition Modeling'!$C:$C,'Traditional Attrition'!BG$1),VLOOKUP('Traditional Attrition'!BG$2-'Traditional Attrition'!$F20-1,'Traditional Attrition'!$A$7:$C$161,2,FALSE)*VLOOKUP(BG$1,'Attrition Modeling'!$L$15:$N$27,IF(BG$2-$F20&lt;=24,2,3),FALSE))*(1+Projection!BI$16)*(1+IF(BG152&gt;0,'Attrition Modeling'!$N$9,0))),0))</f>
        <v>2796.4715212516712</v>
      </c>
      <c r="BH20" s="799">
        <f>IF(BH$2=$F20+1,Monthly!BD$21,IF(BH$2&gt;$F20+1,('Traditional Attrition'!BG20+BH152)*(1-IF(BH$2-$F20&lt;=12,SUMIFS('Attrition Modeling'!$D:$D,'Attrition Modeling'!$B:$B,'Traditional Attrition'!$E20,'Attrition Modeling'!$C:$C,'Traditional Attrition'!BH$1),VLOOKUP('Traditional Attrition'!BH$2-'Traditional Attrition'!$F20-1,'Traditional Attrition'!$A$7:$C$161,2,FALSE)*VLOOKUP(BH$1,'Attrition Modeling'!$L$15:$N$27,IF(BH$2-$F20&lt;=24,2,3),FALSE))*(1+Projection!BJ$16)*(1+IF(BH152&gt;0,'Attrition Modeling'!$N$9,0))),0))</f>
        <v>2720.235831049948</v>
      </c>
      <c r="BI20" s="799">
        <f>IF(BI$2=$F20+1,Monthly!BE$21,IF(BI$2&gt;$F20+1,('Traditional Attrition'!BH20+BI152)*(1-IF(BI$2-$F20&lt;=12,SUMIFS('Attrition Modeling'!$D:$D,'Attrition Modeling'!$B:$B,'Traditional Attrition'!$E20,'Attrition Modeling'!$C:$C,'Traditional Attrition'!BI$1),VLOOKUP('Traditional Attrition'!BI$2-'Traditional Attrition'!$F20-1,'Traditional Attrition'!$A$7:$C$161,2,FALSE)*VLOOKUP(BI$1,'Attrition Modeling'!$L$15:$N$27,IF(BI$2-$F20&lt;=24,2,3),FALSE))*(1+Projection!BK$16)*(1+IF(BI152&gt;0,'Attrition Modeling'!$N$9,0))),0))</f>
        <v>2636.5171358992366</v>
      </c>
      <c r="BJ20" s="799">
        <f>IF(BJ$2=$F20+1,Monthly!BF$21,IF(BJ$2&gt;$F20+1,('Traditional Attrition'!BI20+BJ152)*(1-IF(BJ$2-$F20&lt;=12,SUMIFS('Attrition Modeling'!$D:$D,'Attrition Modeling'!$B:$B,'Traditional Attrition'!$E20,'Attrition Modeling'!$C:$C,'Traditional Attrition'!BJ$1),VLOOKUP('Traditional Attrition'!BJ$2-'Traditional Attrition'!$F20-1,'Traditional Attrition'!$A$7:$C$161,2,FALSE)*VLOOKUP(BJ$1,'Attrition Modeling'!$L$15:$N$27,IF(BJ$2-$F20&lt;=24,2,3),FALSE))*(1+Projection!BL$16)*(1+IF(BJ152&gt;0,'Attrition Modeling'!$N$9,0))),0))</f>
        <v>2549.0510520427292</v>
      </c>
      <c r="BK20" s="799">
        <f>IF(BK$2=$F20+1,Monthly!BG$21,IF(BK$2&gt;$F20+1,('Traditional Attrition'!BJ20+BK152)*(1-IF(BK$2-$F20&lt;=12,SUMIFS('Attrition Modeling'!$D:$D,'Attrition Modeling'!$B:$B,'Traditional Attrition'!$E20,'Attrition Modeling'!$C:$C,'Traditional Attrition'!BK$1),VLOOKUP('Traditional Attrition'!BK$2-'Traditional Attrition'!$F20-1,'Traditional Attrition'!$A$7:$C$161,2,FALSE)*VLOOKUP(BK$1,'Attrition Modeling'!$L$15:$N$27,IF(BK$2-$F20&lt;=24,2,3),FALSE))*(1+Projection!BM$16)*(1+IF(BK152&gt;0,'Attrition Modeling'!$N$9,0))),0))</f>
        <v>2459.1899800378005</v>
      </c>
      <c r="BL20" s="799">
        <f>IF(BL$2=$F20+1,Monthly!BH$21,IF(BL$2&gt;$F20+1,('Traditional Attrition'!BK20+BL152)*(1-IF(BL$2-$F20&lt;=12,SUMIFS('Attrition Modeling'!$D:$D,'Attrition Modeling'!$B:$B,'Traditional Attrition'!$E20,'Attrition Modeling'!$C:$C,'Traditional Attrition'!BL$1),VLOOKUP('Traditional Attrition'!BL$2-'Traditional Attrition'!$F20-1,'Traditional Attrition'!$A$7:$C$161,2,FALSE)*VLOOKUP(BL$1,'Attrition Modeling'!$L$15:$N$27,IF(BL$2-$F20&lt;=24,2,3),FALSE))*(1+Projection!BN$16)*(1+IF(BL152&gt;0,'Attrition Modeling'!$N$9,0))),0))</f>
        <v>2378.6134226220338</v>
      </c>
      <c r="BM20" s="799">
        <f>IF(BM$2=$F20+1,Monthly!BI$21,IF(BM$2&gt;$F20+1,('Traditional Attrition'!BL20+BM152)*(1-IF(BM$2-$F20&lt;=12,SUMIFS('Attrition Modeling'!$D:$D,'Attrition Modeling'!$B:$B,'Traditional Attrition'!$E20,'Attrition Modeling'!$C:$C,'Traditional Attrition'!BM$1),VLOOKUP('Traditional Attrition'!BM$2-'Traditional Attrition'!$F20-1,'Traditional Attrition'!$A$7:$C$161,2,FALSE)*VLOOKUP(BM$1,'Attrition Modeling'!$L$15:$N$27,IF(BM$2-$F20&lt;=24,2,3),FALSE))*(1+Projection!BO$16)*(1+IF(BM152&gt;0,'Attrition Modeling'!$N$9,0))),0))</f>
        <v>2304.1222844341778</v>
      </c>
      <c r="BN20" s="799">
        <f>IF(BN$2=$F20+1,Monthly!BJ$21,IF(BN$2&gt;$F20+1,('Traditional Attrition'!BM20+BN152)*(1-IF(BN$2-$F20&lt;=12,SUMIFS('Attrition Modeling'!$D:$D,'Attrition Modeling'!$B:$B,'Traditional Attrition'!$E20,'Attrition Modeling'!$C:$C,'Traditional Attrition'!BN$1),VLOOKUP('Traditional Attrition'!BN$2-'Traditional Attrition'!$F20-1,'Traditional Attrition'!$A$7:$C$161,2,FALSE)*VLOOKUP(BN$1,'Attrition Modeling'!$L$15:$N$27,IF(BN$2-$F20&lt;=24,2,3),FALSE))*(1+Projection!BP$16)*(1+IF(BN152&gt;0,'Attrition Modeling'!$N$9,0))),0))</f>
        <v>2301.1172993737232</v>
      </c>
      <c r="BO20" s="799">
        <f>IF(BO$2=$F20+1,Monthly!BK$21,IF(BO$2&gt;$F20+1,('Traditional Attrition'!BN20+BO152)*(1-IF(BO$2-$F20&lt;=12,SUMIFS('Attrition Modeling'!$D:$D,'Attrition Modeling'!$B:$B,'Traditional Attrition'!$E20,'Attrition Modeling'!$C:$C,'Traditional Attrition'!BO$1),VLOOKUP('Traditional Attrition'!BO$2-'Traditional Attrition'!$F20-1,'Traditional Attrition'!$A$7:$C$161,2,FALSE)*VLOOKUP(BO$1,'Attrition Modeling'!$L$15:$N$27,IF(BO$2-$F20&lt;=24,2,3),FALSE))*(1+Projection!BV$16)*(1+IF(BO152&gt;0,'Attrition Modeling'!$N$9,0))),0))</f>
        <v>2244.2175063678624</v>
      </c>
      <c r="BP20" s="799">
        <f>IF(BP$2=$F20+1,Monthly!BL$21,IF(BP$2&gt;$F20+1,('Traditional Attrition'!BO20+BP152)*(1-IF(BP$2-$F20&lt;=12,SUMIFS('Attrition Modeling'!$D:$D,'Attrition Modeling'!$B:$B,'Traditional Attrition'!$E20,'Attrition Modeling'!$C:$C,'Traditional Attrition'!BP$1),VLOOKUP('Traditional Attrition'!BP$2-'Traditional Attrition'!$F20-1,'Traditional Attrition'!$A$7:$C$161,2,FALSE)*VLOOKUP(BP$1,'Attrition Modeling'!$L$15:$N$27,IF(BP$2-$F20&lt;=24,2,3),FALSE))*(1+Projection!BW$16)*(1+IF(BP152&gt;0,'Attrition Modeling'!$N$9,0))),0))</f>
        <v>2183.3764429170974</v>
      </c>
      <c r="BQ20" s="799">
        <f>IF(BQ$2=$F20+1,Monthly!BM$21,IF(BQ$2&gt;$F20+1,('Traditional Attrition'!BP20+BQ152)*(1-IF(BQ$2-$F20&lt;=12,SUMIFS('Attrition Modeling'!$D:$D,'Attrition Modeling'!$B:$B,'Traditional Attrition'!$E20,'Attrition Modeling'!$C:$C,'Traditional Attrition'!BQ$1),VLOOKUP('Traditional Attrition'!BQ$2-'Traditional Attrition'!$F20-1,'Traditional Attrition'!$A$7:$C$161,2,FALSE)*VLOOKUP(BQ$1,'Attrition Modeling'!$L$15:$N$27,IF(BQ$2-$F20&lt;=24,2,3),FALSE))*(1+Projection!BX$16)*(1+IF(BQ152&gt;0,'Attrition Modeling'!$N$9,0))),0))</f>
        <v>2126.5897514057997</v>
      </c>
      <c r="BR20" s="799">
        <f>IF(BR$2=$F20+1,Monthly!BN$21,IF(BR$2&gt;$F20+1,('Traditional Attrition'!BQ20+BR152)*(1-IF(BR$2-$F20&lt;=12,SUMIFS('Attrition Modeling'!$D:$D,'Attrition Modeling'!$B:$B,'Traditional Attrition'!$E20,'Attrition Modeling'!$C:$C,'Traditional Attrition'!BR$1),VLOOKUP('Traditional Attrition'!BR$2-'Traditional Attrition'!$F20-1,'Traditional Attrition'!$A$7:$C$161,2,FALSE)*VLOOKUP(BR$1,'Attrition Modeling'!$L$15:$N$27,IF(BR$2-$F20&lt;=24,2,3),FALSE))*(1+Projection!BY$16)*(1+IF(BR152&gt;0,'Attrition Modeling'!$N$9,0))),0))</f>
        <v>2074.1046744841242</v>
      </c>
      <c r="BS20" s="799">
        <f>IF(BS$2=$F20+1,Monthly!BO$21,IF(BS$2&gt;$F20+1,('Traditional Attrition'!BR20+BS152)*(1-IF(BS$2-$F20&lt;=12,SUMIFS('Attrition Modeling'!$D:$D,'Attrition Modeling'!$B:$B,'Traditional Attrition'!$E20,'Attrition Modeling'!$C:$C,'Traditional Attrition'!BS$1),VLOOKUP('Traditional Attrition'!BS$2-'Traditional Attrition'!$F20-1,'Traditional Attrition'!$A$7:$C$161,2,FALSE)*VLOOKUP(BS$1,'Attrition Modeling'!$L$15:$N$27,IF(BS$2-$F20&lt;=24,2,3),FALSE))*(1+Projection!BZ$16)*(1+IF(BS152&gt;0,'Attrition Modeling'!$N$9,0))),0))</f>
        <v>2033.7743610683572</v>
      </c>
      <c r="BT20" s="799">
        <f>IF(BT$2=$F20+1,Monthly!#REF!,IF(BT$2&gt;$F20+1,('Traditional Attrition'!BS20+BT152)*(1-IF(BT$2-$F20&lt;=12,SUMIFS('Attrition Modeling'!$D:$D,'Attrition Modeling'!$B:$B,'Traditional Attrition'!$E20,'Attrition Modeling'!$C:$C,'Traditional Attrition'!BT$1),VLOOKUP('Traditional Attrition'!BT$2-'Traditional Attrition'!$F20-1,'Traditional Attrition'!$A$7:$C$161,2,FALSE)*VLOOKUP(BT$1,'Attrition Modeling'!$L$15:$N$27,IF(BT$2-$F20&lt;=24,2,3),FALSE))*(1+Projection!CA$16)*(1+IF(BT152&gt;0,'Attrition Modeling'!$N$9,0))),0))</f>
        <v>1986.4708759500716</v>
      </c>
      <c r="BU20" s="799">
        <f>IF(BU$2=$F20+1,Monthly!#REF!,IF(BU$2&gt;$F20+1,('Traditional Attrition'!BT20+BU152)*(1-IF(BU$2-$F20&lt;=12,SUMIFS('Attrition Modeling'!$D:$D,'Attrition Modeling'!$B:$B,'Traditional Attrition'!$E20,'Attrition Modeling'!$C:$C,'Traditional Attrition'!BU$1),VLOOKUP('Traditional Attrition'!BU$2-'Traditional Attrition'!$F20-1,'Traditional Attrition'!$A$7:$C$161,2,FALSE)*VLOOKUP(BU$1,'Attrition Modeling'!$L$15:$N$27,IF(BU$2-$F20&lt;=24,2,3),FALSE))*(1+Projection!CB$16)*(1+IF(BU152&gt;0,'Attrition Modeling'!$N$9,0))),0))</f>
        <v>1934.5695401817179</v>
      </c>
    </row>
    <row r="21" spans="1:73" ht="14.25" customHeight="1" x14ac:dyDescent="0.2">
      <c r="A21" s="9">
        <v>14</v>
      </c>
      <c r="B21" s="25">
        <f>MAX('Attrition Modeling'!H18,$C$3)*(1-Summary!$C$20)</f>
        <v>4.78253472933763E-2</v>
      </c>
      <c r="C21" s="24" t="e">
        <f t="shared" si="4"/>
        <v>#DIV/0!</v>
      </c>
      <c r="E21" s="11">
        <f t="shared" si="2"/>
        <v>6</v>
      </c>
      <c r="F21" s="11">
        <f t="shared" si="3"/>
        <v>18</v>
      </c>
      <c r="G21" s="799"/>
      <c r="H21" s="799">
        <f>IF(H$2=$F21+1,Monthly!D$21,IF(H$2&gt;$F21+1,('Traditional Attrition'!G21+H153)*(1-IF(H$2-$F21&lt;=12,SUMIFS('Attrition Modeling'!$D:$D,'Attrition Modeling'!$B:$B,'Traditional Attrition'!$E21,'Attrition Modeling'!$C:$C,'Traditional Attrition'!H$1),VLOOKUP('Traditional Attrition'!H$2-'Traditional Attrition'!$F21-1,'Traditional Attrition'!$A$7:$C$161,2,FALSE)*VLOOKUP(H$1,'Attrition Modeling'!$L$15:$N$27,IF(H$2-$F21&lt;=24,2,3),FALSE))*(1+Projection!J$16)*(1+IF(H153&gt;0,'Attrition Modeling'!$N$9,0))),0))</f>
        <v>0</v>
      </c>
      <c r="I21" s="799">
        <f>IF(I$2=$F21+1,Monthly!E$21,IF(I$2&gt;$F21+1,('Traditional Attrition'!H21+I153)*(1-IF(I$2-$F21&lt;=12,SUMIFS('Attrition Modeling'!$D:$D,'Attrition Modeling'!$B:$B,'Traditional Attrition'!$E21,'Attrition Modeling'!$C:$C,'Traditional Attrition'!I$1),VLOOKUP('Traditional Attrition'!I$2-'Traditional Attrition'!$F21-1,'Traditional Attrition'!$A$7:$C$161,2,FALSE)*VLOOKUP(I$1,'Attrition Modeling'!$L$15:$N$27,IF(I$2-$F21&lt;=24,2,3),FALSE))*(1+Projection!K$16)*(1+IF(I153&gt;0,'Attrition Modeling'!$N$9,0))),0))</f>
        <v>0</v>
      </c>
      <c r="J21" s="799">
        <f>IF(J$2=$F21+1,Monthly!F$21,IF(J$2&gt;$F21+1,('Traditional Attrition'!I21+J153)*(1-IF(J$2-$F21&lt;=12,SUMIFS('Attrition Modeling'!$D:$D,'Attrition Modeling'!$B:$B,'Traditional Attrition'!$E21,'Attrition Modeling'!$C:$C,'Traditional Attrition'!J$1),VLOOKUP('Traditional Attrition'!J$2-'Traditional Attrition'!$F21-1,'Traditional Attrition'!$A$7:$C$161,2,FALSE)*VLOOKUP(J$1,'Attrition Modeling'!$L$15:$N$27,IF(J$2-$F21&lt;=24,2,3),FALSE))*(1+Projection!L$16)*(1+IF(J153&gt;0,'Attrition Modeling'!$N$9,0))),0))</f>
        <v>0</v>
      </c>
      <c r="K21" s="799">
        <f>IF(K$2=$F21+1,Monthly!G$21,IF(K$2&gt;$F21+1,('Traditional Attrition'!J21+K153)*(1-IF(K$2-$F21&lt;=12,SUMIFS('Attrition Modeling'!$D:$D,'Attrition Modeling'!$B:$B,'Traditional Attrition'!$E21,'Attrition Modeling'!$C:$C,'Traditional Attrition'!K$1),VLOOKUP('Traditional Attrition'!K$2-'Traditional Attrition'!$F21-1,'Traditional Attrition'!$A$7:$C$161,2,FALSE)*VLOOKUP(K$1,'Attrition Modeling'!$L$15:$N$27,IF(K$2-$F21&lt;=24,2,3),FALSE))*(1+Projection!M$16)*(1+IF(K153&gt;0,'Attrition Modeling'!$N$9,0))),0))</f>
        <v>0</v>
      </c>
      <c r="L21" s="799">
        <f>IF(L$2=$F21+1,Monthly!H$21,IF(L$2&gt;$F21+1,('Traditional Attrition'!K21+L153)*(1-IF(L$2-$F21&lt;=12,SUMIFS('Attrition Modeling'!$D:$D,'Attrition Modeling'!$B:$B,'Traditional Attrition'!$E21,'Attrition Modeling'!$C:$C,'Traditional Attrition'!L$1),VLOOKUP('Traditional Attrition'!L$2-'Traditional Attrition'!$F21-1,'Traditional Attrition'!$A$7:$C$161,2,FALSE)*VLOOKUP(L$1,'Attrition Modeling'!$L$15:$N$27,IF(L$2-$F21&lt;=24,2,3),FALSE))*(1+Projection!N$16)*(1+IF(L153&gt;0,'Attrition Modeling'!$N$9,0))),0))</f>
        <v>0</v>
      </c>
      <c r="M21" s="799">
        <f>IF(M$2=$F21+1,Monthly!I$21,IF(M$2&gt;$F21+1,('Traditional Attrition'!L21+M153)*(1-IF(M$2-$F21&lt;=12,SUMIFS('Attrition Modeling'!$D:$D,'Attrition Modeling'!$B:$B,'Traditional Attrition'!$E21,'Attrition Modeling'!$C:$C,'Traditional Attrition'!M$1),VLOOKUP('Traditional Attrition'!M$2-'Traditional Attrition'!$F21-1,'Traditional Attrition'!$A$7:$C$161,2,FALSE)*VLOOKUP(M$1,'Attrition Modeling'!$L$15:$N$27,IF(M$2-$F21&lt;=24,2,3),FALSE))*(1+Projection!O$16)*(1+IF(M153&gt;0,'Attrition Modeling'!$N$9,0))),0))</f>
        <v>0</v>
      </c>
      <c r="N21" s="799">
        <f>IF(N$2=$F21+1,Monthly!J$21,IF(N$2&gt;$F21+1,('Traditional Attrition'!M21+N153)*(1-IF(N$2-$F21&lt;=12,SUMIFS('Attrition Modeling'!$D:$D,'Attrition Modeling'!$B:$B,'Traditional Attrition'!$E21,'Attrition Modeling'!$C:$C,'Traditional Attrition'!N$1),VLOOKUP('Traditional Attrition'!N$2-'Traditional Attrition'!$F21-1,'Traditional Attrition'!$A$7:$C$161,2,FALSE)*VLOOKUP(N$1,'Attrition Modeling'!$L$15:$N$27,IF(N$2-$F21&lt;=24,2,3),FALSE))*(1+Projection!P$16)*(1+IF(N153&gt;0,'Attrition Modeling'!$N$9,0))),0))</f>
        <v>0</v>
      </c>
      <c r="O21" s="799">
        <f>IF(O$2=$F21+1,Monthly!K$21,IF(O$2&gt;$F21+1,('Traditional Attrition'!N21+O153)*(1-IF(O$2-$F21&lt;=12,SUMIFS('Attrition Modeling'!$D:$D,'Attrition Modeling'!$B:$B,'Traditional Attrition'!$E21,'Attrition Modeling'!$C:$C,'Traditional Attrition'!O$1),VLOOKUP('Traditional Attrition'!O$2-'Traditional Attrition'!$F21-1,'Traditional Attrition'!$A$7:$C$161,2,FALSE)*VLOOKUP(O$1,'Attrition Modeling'!$L$15:$N$27,IF(O$2-$F21&lt;=24,2,3),FALSE))*(1+Projection!Q$16)*(1+IF(O153&gt;0,'Attrition Modeling'!$N$9,0))),0))</f>
        <v>0</v>
      </c>
      <c r="P21" s="799">
        <f>IF(P$2=$F21+1,Monthly!L$21,IF(P$2&gt;$F21+1,('Traditional Attrition'!O21+P153)*(1-IF(P$2-$F21&lt;=12,SUMIFS('Attrition Modeling'!$D:$D,'Attrition Modeling'!$B:$B,'Traditional Attrition'!$E21,'Attrition Modeling'!$C:$C,'Traditional Attrition'!P$1),VLOOKUP('Traditional Attrition'!P$2-'Traditional Attrition'!$F21-1,'Traditional Attrition'!$A$7:$C$161,2,FALSE)*VLOOKUP(P$1,'Attrition Modeling'!$L$15:$N$27,IF(P$2-$F21&lt;=24,2,3),FALSE))*(1+Projection!R$16)*(1+IF(P153&gt;0,'Attrition Modeling'!$N$9,0))),0))</f>
        <v>0</v>
      </c>
      <c r="Q21" s="799">
        <f>IF(Q$2=$F21+1,Monthly!M$21,IF(Q$2&gt;$F21+1,('Traditional Attrition'!P21+Q153)*(1-IF(Q$2-$F21&lt;=12,SUMIFS('Attrition Modeling'!$D:$D,'Attrition Modeling'!$B:$B,'Traditional Attrition'!$E21,'Attrition Modeling'!$C:$C,'Traditional Attrition'!Q$1),VLOOKUP('Traditional Attrition'!Q$2-'Traditional Attrition'!$F21-1,'Traditional Attrition'!$A$7:$C$161,2,FALSE)*VLOOKUP(Q$1,'Attrition Modeling'!$L$15:$N$27,IF(Q$2-$F21&lt;=24,2,3),FALSE))*(1+Projection!S$16)*(1+IF(Q153&gt;0,'Attrition Modeling'!$N$9,0))),0))</f>
        <v>0</v>
      </c>
      <c r="R21" s="799">
        <f>IF(R$2=$F21+1,Monthly!N$21,IF(R$2&gt;$F21+1,('Traditional Attrition'!Q21+R153)*(1-IF(R$2-$F21&lt;=12,SUMIFS('Attrition Modeling'!$D:$D,'Attrition Modeling'!$B:$B,'Traditional Attrition'!$E21,'Attrition Modeling'!$C:$C,'Traditional Attrition'!R$1),VLOOKUP('Traditional Attrition'!R$2-'Traditional Attrition'!$F21-1,'Traditional Attrition'!$A$7:$C$161,2,FALSE)*VLOOKUP(R$1,'Attrition Modeling'!$L$15:$N$27,IF(R$2-$F21&lt;=24,2,3),FALSE))*(1+Projection!T$16)*(1+IF(R153&gt;0,'Attrition Modeling'!$N$9,0))),0))</f>
        <v>0</v>
      </c>
      <c r="S21" s="799">
        <f>IF(S$2=$F21+1,Monthly!O$21,IF(S$2&gt;$F21+1,('Traditional Attrition'!R21+S153)*(1-IF(S$2-$F21&lt;=12,SUMIFS('Attrition Modeling'!$D:$D,'Attrition Modeling'!$B:$B,'Traditional Attrition'!$E21,'Attrition Modeling'!$C:$C,'Traditional Attrition'!S$1),VLOOKUP('Traditional Attrition'!S$2-'Traditional Attrition'!$F21-1,'Traditional Attrition'!$A$7:$C$161,2,FALSE)*VLOOKUP(S$1,'Attrition Modeling'!$L$15:$N$27,IF(S$2-$F21&lt;=24,2,3),FALSE))*(1+Projection!U$16)*(1+IF(S153&gt;0,'Attrition Modeling'!$N$9,0))),0))</f>
        <v>0</v>
      </c>
      <c r="T21" s="799">
        <f>IF(T$2=$F21+1,Monthly!P$21,IF(T$2&gt;$F21+1,('Traditional Attrition'!S21+T153)*(1-IF(T$2-$F21&lt;=12,SUMIFS('Attrition Modeling'!$D:$D,'Attrition Modeling'!$B:$B,'Traditional Attrition'!$E21,'Attrition Modeling'!$C:$C,'Traditional Attrition'!T$1),VLOOKUP('Traditional Attrition'!T$2-'Traditional Attrition'!$F21-1,'Traditional Attrition'!$A$7:$C$161,2,FALSE)*VLOOKUP(T$1,'Attrition Modeling'!$L$15:$N$27,IF(T$2-$F21&lt;=24,2,3),FALSE))*(1+Projection!V$16)*(1+IF(T153&gt;0,'Attrition Modeling'!$N$9,0))),0))</f>
        <v>0</v>
      </c>
      <c r="U21" s="799">
        <f>IF(U$2=$F21+1,Monthly!Q$21,IF(U$2&gt;$F21+1,('Traditional Attrition'!T21+U153)*(1-IF(U$2-$F21&lt;=12,SUMIFS('Attrition Modeling'!$D:$D,'Attrition Modeling'!$B:$B,'Traditional Attrition'!$E21,'Attrition Modeling'!$C:$C,'Traditional Attrition'!U$1),VLOOKUP('Traditional Attrition'!U$2-'Traditional Attrition'!$F21-1,'Traditional Attrition'!$A$7:$C$161,2,FALSE)*VLOOKUP(U$1,'Attrition Modeling'!$L$15:$N$27,IF(U$2-$F21&lt;=24,2,3),FALSE))*(1+Projection!W$16)*(1+IF(U153&gt;0,'Attrition Modeling'!$N$9,0))),0))</f>
        <v>0</v>
      </c>
      <c r="V21" s="799">
        <f>IF(V$2=$F21+1,Monthly!R$21,IF(V$2&gt;$F21+1,('Traditional Attrition'!U21+V153)*(1-IF(V$2-$F21&lt;=12,SUMIFS('Attrition Modeling'!$D:$D,'Attrition Modeling'!$B:$B,'Traditional Attrition'!$E21,'Attrition Modeling'!$C:$C,'Traditional Attrition'!V$1),VLOOKUP('Traditional Attrition'!V$2-'Traditional Attrition'!$F21-1,'Traditional Attrition'!$A$7:$C$161,2,FALSE)*VLOOKUP(V$1,'Attrition Modeling'!$L$15:$N$27,IF(V$2-$F21&lt;=24,2,3),FALSE))*(1+Projection!X$16)*(1+IF(V153&gt;0,'Attrition Modeling'!$N$9,0))),0))</f>
        <v>0</v>
      </c>
      <c r="W21" s="799">
        <f>IF(W$2=$F21+1,Monthly!S$21,IF(W$2&gt;$F21+1,('Traditional Attrition'!V21+W153)*(1-IF(W$2-$F21&lt;=12,SUMIFS('Attrition Modeling'!$D:$D,'Attrition Modeling'!$B:$B,'Traditional Attrition'!$E21,'Attrition Modeling'!$C:$C,'Traditional Attrition'!W$1),VLOOKUP('Traditional Attrition'!W$2-'Traditional Attrition'!$F21-1,'Traditional Attrition'!$A$7:$C$161,2,FALSE)*VLOOKUP(W$1,'Attrition Modeling'!$L$15:$N$27,IF(W$2-$F21&lt;=24,2,3),FALSE))*(1+Projection!Y$16)*(1+IF(W153&gt;0,'Attrition Modeling'!$N$9,0))),0))</f>
        <v>0</v>
      </c>
      <c r="X21" s="799">
        <f>IF(X$2=$F21+1,Monthly!T$21,IF(X$2&gt;$F21+1,('Traditional Attrition'!W21+X153)*(1-IF(X$2-$F21&lt;=12,SUMIFS('Attrition Modeling'!$D:$D,'Attrition Modeling'!$B:$B,'Traditional Attrition'!$E21,'Attrition Modeling'!$C:$C,'Traditional Attrition'!X$1),VLOOKUP('Traditional Attrition'!X$2-'Traditional Attrition'!$F21-1,'Traditional Attrition'!$A$7:$C$161,2,FALSE)*VLOOKUP(X$1,'Attrition Modeling'!$L$15:$N$27,IF(X$2-$F21&lt;=24,2,3),FALSE))*(1+Projection!Z$16)*(1+IF(X153&gt;0,'Attrition Modeling'!$N$9,0))),0))</f>
        <v>0</v>
      </c>
      <c r="Y21" s="799">
        <f>IF(Y$2=$F21+1,Monthly!U$21,IF(Y$2&gt;$F21+1,('Traditional Attrition'!X21+Y153)*(1-IF(Y$2-$F21&lt;=12,SUMIFS('Attrition Modeling'!$D:$D,'Attrition Modeling'!$B:$B,'Traditional Attrition'!$E21,'Attrition Modeling'!$C:$C,'Traditional Attrition'!Y$1),VLOOKUP('Traditional Attrition'!Y$2-'Traditional Attrition'!$F21-1,'Traditional Attrition'!$A$7:$C$161,2,FALSE)*VLOOKUP(Y$1,'Attrition Modeling'!$L$15:$N$27,IF(Y$2-$F21&lt;=24,2,3),FALSE))*(1+Projection!AA$16)*(1+IF(Y153&gt;0,'Attrition Modeling'!$N$9,0))),0))</f>
        <v>0</v>
      </c>
      <c r="Z21" s="799">
        <f>IF(Z$2=$F21+1,Monthly!V$21,IF(Z$2&gt;$F21+1,('Traditional Attrition'!Y21+Z153)*(1-IF(Z$2-$F21&lt;=12,SUMIFS('Attrition Modeling'!$D:$D,'Attrition Modeling'!$B:$B,'Traditional Attrition'!$E21,'Attrition Modeling'!$C:$C,'Traditional Attrition'!Z$1),VLOOKUP('Traditional Attrition'!Z$2-'Traditional Attrition'!$F21-1,'Traditional Attrition'!$A$7:$C$161,2,FALSE)*VLOOKUP(Z$1,'Attrition Modeling'!$L$15:$N$27,IF(Z$2-$F21&lt;=24,2,3),FALSE))*(1+Projection!AB$16)*(1+IF(Z153&gt;0,'Attrition Modeling'!$N$9,0))),0))</f>
        <v>14536.855064955866</v>
      </c>
      <c r="AA21" s="799">
        <f>IF(AA$2=$F21+1,Monthly!W$21,IF(AA$2&gt;$F21+1,('Traditional Attrition'!Z21+AA153)*(1-IF(AA$2-$F21&lt;=12,SUMIFS('Attrition Modeling'!$D:$D,'Attrition Modeling'!$B:$B,'Traditional Attrition'!$E21,'Attrition Modeling'!$C:$C,'Traditional Attrition'!AA$1),VLOOKUP('Traditional Attrition'!AA$2-'Traditional Attrition'!$F21-1,'Traditional Attrition'!$A$7:$C$161,2,FALSE)*VLOOKUP(AA$1,'Attrition Modeling'!$L$15:$N$27,IF(AA$2-$F21&lt;=24,2,3),FALSE))*(1+Projection!AC$16)*(1+IF(AA153&gt;0,'Attrition Modeling'!$N$9,0))),0))</f>
        <v>12799.474109754627</v>
      </c>
      <c r="AB21" s="799">
        <f>IF(AB$2=$F21+1,Monthly!X$21,IF(AB$2&gt;$F21+1,('Traditional Attrition'!AA21+AB153)*(1-IF(AB$2-$F21&lt;=12,SUMIFS('Attrition Modeling'!$D:$D,'Attrition Modeling'!$B:$B,'Traditional Attrition'!$E21,'Attrition Modeling'!$C:$C,'Traditional Attrition'!AB$1),VLOOKUP('Traditional Attrition'!AB$2-'Traditional Attrition'!$F21-1,'Traditional Attrition'!$A$7:$C$161,2,FALSE)*VLOOKUP(AB$1,'Attrition Modeling'!$L$15:$N$27,IF(AB$2-$F21&lt;=24,2,3),FALSE))*(1+Projection!AD$16)*(1+IF(AB153&gt;0,'Attrition Modeling'!$N$9,0))),0))</f>
        <v>11382.176822054798</v>
      </c>
      <c r="AC21" s="799">
        <f>IF(AC$2=$F21+1,Monthly!Y$21,IF(AC$2&gt;$F21+1,('Traditional Attrition'!AB21+AC153)*(1-IF(AC$2-$F21&lt;=12,SUMIFS('Attrition Modeling'!$D:$D,'Attrition Modeling'!$B:$B,'Traditional Attrition'!$E21,'Attrition Modeling'!$C:$C,'Traditional Attrition'!AC$1),VLOOKUP('Traditional Attrition'!AC$2-'Traditional Attrition'!$F21-1,'Traditional Attrition'!$A$7:$C$161,2,FALSE)*VLOOKUP(AC$1,'Attrition Modeling'!$L$15:$N$27,IF(AC$2-$F21&lt;=24,2,3),FALSE))*(1+Projection!AE$16)*(1+IF(AC153&gt;0,'Attrition Modeling'!$N$9,0))),0))</f>
        <v>10321.903945261445</v>
      </c>
      <c r="AD21" s="799">
        <f>IF(AD$2=$F21+1,Monthly!Z$21,IF(AD$2&gt;$F21+1,('Traditional Attrition'!AC21+AD153)*(1-IF(AD$2-$F21&lt;=12,SUMIFS('Attrition Modeling'!$D:$D,'Attrition Modeling'!$B:$B,'Traditional Attrition'!$E21,'Attrition Modeling'!$C:$C,'Traditional Attrition'!AD$1),VLOOKUP('Traditional Attrition'!AD$2-'Traditional Attrition'!$F21-1,'Traditional Attrition'!$A$7:$C$161,2,FALSE)*VLOOKUP(AD$1,'Attrition Modeling'!$L$15:$N$27,IF(AD$2-$F21&lt;=24,2,3),FALSE))*(1+Projection!AF$16)*(1+IF(AD153&gt;0,'Attrition Modeling'!$N$9,0))),0))</f>
        <v>9416.1937232618384</v>
      </c>
      <c r="AE21" s="799">
        <f>IF(AE$2=$F21+1,Monthly!AA$21,IF(AE$2&gt;$F21+1,('Traditional Attrition'!AD21+AE153)*(1-IF(AE$2-$F21&lt;=12,SUMIFS('Attrition Modeling'!$D:$D,'Attrition Modeling'!$B:$B,'Traditional Attrition'!$E21,'Attrition Modeling'!$C:$C,'Traditional Attrition'!AE$1),VLOOKUP('Traditional Attrition'!AE$2-'Traditional Attrition'!$F21-1,'Traditional Attrition'!$A$7:$C$161,2,FALSE)*VLOOKUP(AE$1,'Attrition Modeling'!$L$15:$N$27,IF(AE$2-$F21&lt;=24,2,3),FALSE))*(1+Projection!AG$16)*(1+IF(AE153&gt;0,'Attrition Modeling'!$N$9,0))),0))</f>
        <v>9234.314369219579</v>
      </c>
      <c r="AF21" s="799">
        <f>IF(AF$2=$F21+1,Monthly!AB$21,IF(AF$2&gt;$F21+1,('Traditional Attrition'!AE21+AF153)*(1-IF(AF$2-$F21&lt;=12,SUMIFS('Attrition Modeling'!$D:$D,'Attrition Modeling'!$B:$B,'Traditional Attrition'!$E21,'Attrition Modeling'!$C:$C,'Traditional Attrition'!AF$1),VLOOKUP('Traditional Attrition'!AF$2-'Traditional Attrition'!$F21-1,'Traditional Attrition'!$A$7:$C$161,2,FALSE)*VLOOKUP(AF$1,'Attrition Modeling'!$L$15:$N$27,IF(AF$2-$F21&lt;=24,2,3),FALSE))*(1+Projection!AH$16)*(1+IF(AF153&gt;0,'Attrition Modeling'!$N$9,0))),0))</f>
        <v>8598.6467921127078</v>
      </c>
      <c r="AG21" s="799">
        <f>IF(AG$2=$F21+1,Monthly!AC$21,IF(AG$2&gt;$F21+1,('Traditional Attrition'!AF21+AG153)*(1-IF(AG$2-$F21&lt;=12,SUMIFS('Attrition Modeling'!$D:$D,'Attrition Modeling'!$B:$B,'Traditional Attrition'!$E21,'Attrition Modeling'!$C:$C,'Traditional Attrition'!AG$1),VLOOKUP('Traditional Attrition'!AG$2-'Traditional Attrition'!$F21-1,'Traditional Attrition'!$A$7:$C$161,2,FALSE)*VLOOKUP(AG$1,'Attrition Modeling'!$L$15:$N$27,IF(AG$2-$F21&lt;=24,2,3),FALSE))*(1+Projection!AI$16)*(1+IF(AG153&gt;0,'Attrition Modeling'!$N$9,0))),0))</f>
        <v>8067.5589398070433</v>
      </c>
      <c r="AH21" s="799">
        <f>IF(AH$2=$F21+1,Monthly!AD$21,IF(AH$2&gt;$F21+1,('Traditional Attrition'!AG21+AH153)*(1-IF(AH$2-$F21&lt;=12,SUMIFS('Attrition Modeling'!$D:$D,'Attrition Modeling'!$B:$B,'Traditional Attrition'!$E21,'Attrition Modeling'!$C:$C,'Traditional Attrition'!AH$1),VLOOKUP('Traditional Attrition'!AH$2-'Traditional Attrition'!$F21-1,'Traditional Attrition'!$A$7:$C$161,2,FALSE)*VLOOKUP(AH$1,'Attrition Modeling'!$L$15:$N$27,IF(AH$2-$F21&lt;=24,2,3),FALSE))*(1+Projection!AJ$16)*(1+IF(AH153&gt;0,'Attrition Modeling'!$N$9,0))),0))</f>
        <v>7546.654649720138</v>
      </c>
      <c r="AI21" s="799">
        <f>IF(AI$2=$F21+1,Monthly!AE$21,IF(AI$2&gt;$F21+1,('Traditional Attrition'!AH21+AI153)*(1-IF(AI$2-$F21&lt;=12,SUMIFS('Attrition Modeling'!$D:$D,'Attrition Modeling'!$B:$B,'Traditional Attrition'!$E21,'Attrition Modeling'!$C:$C,'Traditional Attrition'!AI$1),VLOOKUP('Traditional Attrition'!AI$2-'Traditional Attrition'!$F21-1,'Traditional Attrition'!$A$7:$C$161,2,FALSE)*VLOOKUP(AI$1,'Attrition Modeling'!$L$15:$N$27,IF(AI$2-$F21&lt;=24,2,3),FALSE))*(1+Projection!AK$16)*(1+IF(AI153&gt;0,'Attrition Modeling'!$N$9,0))),0))</f>
        <v>7129.5936103623299</v>
      </c>
      <c r="AJ21" s="799">
        <f>IF(AJ$2=$F21+1,Monthly!AF$21,IF(AJ$2&gt;$F21+1,('Traditional Attrition'!AI21+AJ153)*(1-IF(AJ$2-$F21&lt;=12,SUMIFS('Attrition Modeling'!$D:$D,'Attrition Modeling'!$B:$B,'Traditional Attrition'!$E21,'Attrition Modeling'!$C:$C,'Traditional Attrition'!AJ$1),VLOOKUP('Traditional Attrition'!AJ$2-'Traditional Attrition'!$F21-1,'Traditional Attrition'!$A$7:$C$161,2,FALSE)*VLOOKUP(AJ$1,'Attrition Modeling'!$L$15:$N$27,IF(AJ$2-$F21&lt;=24,2,3),FALSE))*(1+Projection!AL$16)*(1+IF(AJ153&gt;0,'Attrition Modeling'!$N$9,0))),0))</f>
        <v>6721.0554909956863</v>
      </c>
      <c r="AK21" s="799">
        <f>IF(AK$2=$F21+1,Monthly!AG$21,IF(AK$2&gt;$F21+1,('Traditional Attrition'!AJ21+AK153)*(1-IF(AK$2-$F21&lt;=12,SUMIFS('Attrition Modeling'!$D:$D,'Attrition Modeling'!$B:$B,'Traditional Attrition'!$E21,'Attrition Modeling'!$C:$C,'Traditional Attrition'!AK$1),VLOOKUP('Traditional Attrition'!AK$2-'Traditional Attrition'!$F21-1,'Traditional Attrition'!$A$7:$C$161,2,FALSE)*VLOOKUP(AK$1,'Attrition Modeling'!$L$15:$N$27,IF(AK$2-$F21&lt;=24,2,3),FALSE))*(1+Projection!AM$16)*(1+IF(AK153&gt;0,'Attrition Modeling'!$N$9,0))),0))</f>
        <v>6527.8968592916499</v>
      </c>
      <c r="AL21" s="799">
        <f>IF(AL$2=$F21+1,Monthly!AH$21,IF(AL$2&gt;$F21+1,('Traditional Attrition'!AK21+AL153)*(1-IF(AL$2-$F21&lt;=12,SUMIFS('Attrition Modeling'!$D:$D,'Attrition Modeling'!$B:$B,'Traditional Attrition'!$E21,'Attrition Modeling'!$C:$C,'Traditional Attrition'!AL$1),VLOOKUP('Traditional Attrition'!AL$2-'Traditional Attrition'!$F21-1,'Traditional Attrition'!$A$7:$C$161,2,FALSE)*VLOOKUP(AL$1,'Attrition Modeling'!$L$15:$N$27,IF(AL$2-$F21&lt;=24,2,3),FALSE))*(1+Projection!AN$16)*(1+IF(AL153&gt;0,'Attrition Modeling'!$N$9,0))),0))</f>
        <v>6149.2729073280379</v>
      </c>
      <c r="AM21" s="799">
        <f>IF(AM$2=$F21+1,Monthly!AI$21,IF(AM$2&gt;$F21+1,('Traditional Attrition'!AL21+AM153)*(1-IF(AM$2-$F21&lt;=12,SUMIFS('Attrition Modeling'!$D:$D,'Attrition Modeling'!$B:$B,'Traditional Attrition'!$E21,'Attrition Modeling'!$C:$C,'Traditional Attrition'!AM$1),VLOOKUP('Traditional Attrition'!AM$2-'Traditional Attrition'!$F21-1,'Traditional Attrition'!$A$7:$C$161,2,FALSE)*VLOOKUP(AM$1,'Attrition Modeling'!$L$15:$N$27,IF(AM$2-$F21&lt;=24,2,3),FALSE))*(1+Projection!AO$16)*(1+IF(AM153&gt;0,'Attrition Modeling'!$N$9,0))),0))</f>
        <v>5805.6022839068137</v>
      </c>
      <c r="AN21" s="799">
        <f>IF(AN$2=$F21+1,Monthly!AJ$21,IF(AN$2&gt;$F21+1,('Traditional Attrition'!AM21+AN153)*(1-IF(AN$2-$F21&lt;=12,SUMIFS('Attrition Modeling'!$D:$D,'Attrition Modeling'!$B:$B,'Traditional Attrition'!$E21,'Attrition Modeling'!$C:$C,'Traditional Attrition'!AN$1),VLOOKUP('Traditional Attrition'!AN$2-'Traditional Attrition'!$F21-1,'Traditional Attrition'!$A$7:$C$161,2,FALSE)*VLOOKUP(AN$1,'Attrition Modeling'!$L$15:$N$27,IF(AN$2-$F21&lt;=24,2,3),FALSE))*(1+Projection!AP$16)*(1+IF(AN153&gt;0,'Attrition Modeling'!$N$9,0))),0))</f>
        <v>5524.220818137589</v>
      </c>
      <c r="AO21" s="799">
        <f>IF(AO$2=$F21+1,Monthly!AK$21,IF(AO$2&gt;$F21+1,('Traditional Attrition'!AN21+AO153)*(1-IF(AO$2-$F21&lt;=12,SUMIFS('Attrition Modeling'!$D:$D,'Attrition Modeling'!$B:$B,'Traditional Attrition'!$E21,'Attrition Modeling'!$C:$C,'Traditional Attrition'!AO$1),VLOOKUP('Traditional Attrition'!AO$2-'Traditional Attrition'!$F21-1,'Traditional Attrition'!$A$7:$C$161,2,FALSE)*VLOOKUP(AO$1,'Attrition Modeling'!$L$15:$N$27,IF(AO$2-$F21&lt;=24,2,3),FALSE))*(1+Projection!AQ$16)*(1+IF(AO153&gt;0,'Attrition Modeling'!$N$9,0))),0))</f>
        <v>5260.2893744342964</v>
      </c>
      <c r="AP21" s="799">
        <f>IF(AP$2=$F21+1,Monthly!AL$21,IF(AP$2&gt;$F21+1,('Traditional Attrition'!AO21+AP153)*(1-IF(AP$2-$F21&lt;=12,SUMIFS('Attrition Modeling'!$D:$D,'Attrition Modeling'!$B:$B,'Traditional Attrition'!$E21,'Attrition Modeling'!$C:$C,'Traditional Attrition'!AP$1),VLOOKUP('Traditional Attrition'!AP$2-'Traditional Attrition'!$F21-1,'Traditional Attrition'!$A$7:$C$161,2,FALSE)*VLOOKUP(AP$1,'Attrition Modeling'!$L$15:$N$27,IF(AP$2-$F21&lt;=24,2,3),FALSE))*(1+Projection!AR$16)*(1+IF(AP153&gt;0,'Attrition Modeling'!$N$9,0))),0))</f>
        <v>5025.6304459864004</v>
      </c>
      <c r="AQ21" s="799">
        <f>IF(AQ$2=$F21+1,Monthly!AM$21,IF(AQ$2&gt;$F21+1,('Traditional Attrition'!AP21+AQ153)*(1-IF(AQ$2-$F21&lt;=12,SUMIFS('Attrition Modeling'!$D:$D,'Attrition Modeling'!$B:$B,'Traditional Attrition'!$E21,'Attrition Modeling'!$C:$C,'Traditional Attrition'!AQ$1),VLOOKUP('Traditional Attrition'!AQ$2-'Traditional Attrition'!$F21-1,'Traditional Attrition'!$A$7:$C$161,2,FALSE)*VLOOKUP(AQ$1,'Attrition Modeling'!$L$15:$N$27,IF(AQ$2-$F21&lt;=24,2,3),FALSE))*(1+Projection!AS$16)*(1+IF(AQ153&gt;0,'Attrition Modeling'!$N$9,0))),0))</f>
        <v>5197.614135573097</v>
      </c>
      <c r="AR21" s="799">
        <f>IF(AR$2=$F21+1,Monthly!AN$21,IF(AR$2&gt;$F21+1,('Traditional Attrition'!AQ21+AR153)*(1-IF(AR$2-$F21&lt;=12,SUMIFS('Attrition Modeling'!$D:$D,'Attrition Modeling'!$B:$B,'Traditional Attrition'!$E21,'Attrition Modeling'!$C:$C,'Traditional Attrition'!AR$1),VLOOKUP('Traditional Attrition'!AR$2-'Traditional Attrition'!$F21-1,'Traditional Attrition'!$A$7:$C$161,2,FALSE)*VLOOKUP(AR$1,'Attrition Modeling'!$L$15:$N$27,IF(AR$2-$F21&lt;=24,2,3),FALSE))*(1+Projection!AT$16)*(1+IF(AR153&gt;0,'Attrition Modeling'!$N$9,0))),0))</f>
        <v>4978.471659867545</v>
      </c>
      <c r="AS21" s="799">
        <f>IF(AS$2=$F21+1,Monthly!AO$21,IF(AS$2&gt;$F21+1,('Traditional Attrition'!AR21+AS153)*(1-IF(AS$2-$F21&lt;=12,SUMIFS('Attrition Modeling'!$D:$D,'Attrition Modeling'!$B:$B,'Traditional Attrition'!$E21,'Attrition Modeling'!$C:$C,'Traditional Attrition'!AS$1),VLOOKUP('Traditional Attrition'!AS$2-'Traditional Attrition'!$F21-1,'Traditional Attrition'!$A$7:$C$161,2,FALSE)*VLOOKUP(AS$1,'Attrition Modeling'!$L$15:$N$27,IF(AS$2-$F21&lt;=24,2,3),FALSE))*(1+Projection!AU$16)*(1+IF(AS153&gt;0,'Attrition Modeling'!$N$9,0))),0))</f>
        <v>4792.7147759155296</v>
      </c>
      <c r="AT21" s="799">
        <f>IF(AT$2=$F21+1,Monthly!AP$21,IF(AT$2&gt;$F21+1,('Traditional Attrition'!AS21+AT153)*(1-IF(AT$2-$F21&lt;=12,SUMIFS('Attrition Modeling'!$D:$D,'Attrition Modeling'!$B:$B,'Traditional Attrition'!$E21,'Attrition Modeling'!$C:$C,'Traditional Attrition'!AT$1),VLOOKUP('Traditional Attrition'!AT$2-'Traditional Attrition'!$F21-1,'Traditional Attrition'!$A$7:$C$161,2,FALSE)*VLOOKUP(AT$1,'Attrition Modeling'!$L$15:$N$27,IF(AT$2-$F21&lt;=24,2,3),FALSE))*(1+Projection!AV$16)*(1+IF(AT153&gt;0,'Attrition Modeling'!$N$9,0))),0))</f>
        <v>4601.3774607084415</v>
      </c>
      <c r="AU21" s="799">
        <f>IF(AU$2=$F21+1,Monthly!AQ$21,IF(AU$2&gt;$F21+1,('Traditional Attrition'!AT21+AU153)*(1-IF(AU$2-$F21&lt;=12,SUMIFS('Attrition Modeling'!$D:$D,'Attrition Modeling'!$B:$B,'Traditional Attrition'!$E21,'Attrition Modeling'!$C:$C,'Traditional Attrition'!AU$1),VLOOKUP('Traditional Attrition'!AU$2-'Traditional Attrition'!$F21-1,'Traditional Attrition'!$A$7:$C$161,2,FALSE)*VLOOKUP(AU$1,'Attrition Modeling'!$L$15:$N$27,IF(AU$2-$F21&lt;=24,2,3),FALSE))*(1+Projection!AW$16)*(1+IF(AU153&gt;0,'Attrition Modeling'!$N$9,0))),0))</f>
        <v>4423.5682458637393</v>
      </c>
      <c r="AV21" s="799">
        <f>IF(AV$2=$F21+1,Monthly!AR$21,IF(AV$2&gt;$F21+1,('Traditional Attrition'!AU21+AV153)*(1-IF(AV$2-$F21&lt;=12,SUMIFS('Attrition Modeling'!$D:$D,'Attrition Modeling'!$B:$B,'Traditional Attrition'!$E21,'Attrition Modeling'!$C:$C,'Traditional Attrition'!AV$1),VLOOKUP('Traditional Attrition'!AV$2-'Traditional Attrition'!$F21-1,'Traditional Attrition'!$A$7:$C$161,2,FALSE)*VLOOKUP(AV$1,'Attrition Modeling'!$L$15:$N$27,IF(AV$2-$F21&lt;=24,2,3),FALSE))*(1+Projection!AX$16)*(1+IF(AV153&gt;0,'Attrition Modeling'!$N$9,0))),0))</f>
        <v>4256.2755276481939</v>
      </c>
      <c r="AW21" s="799">
        <f>IF(AW$2=$F21+1,Monthly!AS$21,IF(AW$2&gt;$F21+1,('Traditional Attrition'!AV21+AW153)*(1-IF(AW$2-$F21&lt;=12,SUMIFS('Attrition Modeling'!$D:$D,'Attrition Modeling'!$B:$B,'Traditional Attrition'!$E21,'Attrition Modeling'!$C:$C,'Traditional Attrition'!AW$1),VLOOKUP('Traditional Attrition'!AW$2-'Traditional Attrition'!$F21-1,'Traditional Attrition'!$A$7:$C$161,2,FALSE)*VLOOKUP(AW$1,'Attrition Modeling'!$L$15:$N$27,IF(AW$2-$F21&lt;=24,2,3),FALSE))*(1+Projection!AY$16)*(1+IF(AW153&gt;0,'Attrition Modeling'!$N$9,0))),0))</f>
        <v>4081.8936573221667</v>
      </c>
      <c r="AX21" s="799">
        <f>IF(AX$2=$F21+1,Monthly!AT$21,IF(AX$2&gt;$F21+1,('Traditional Attrition'!AW21+AX153)*(1-IF(AX$2-$F21&lt;=12,SUMIFS('Attrition Modeling'!$D:$D,'Attrition Modeling'!$B:$B,'Traditional Attrition'!$E21,'Attrition Modeling'!$C:$C,'Traditional Attrition'!AX$1),VLOOKUP('Traditional Attrition'!AX$2-'Traditional Attrition'!$F21-1,'Traditional Attrition'!$A$7:$C$161,2,FALSE)*VLOOKUP(AX$1,'Attrition Modeling'!$L$15:$N$27,IF(AX$2-$F21&lt;=24,2,3),FALSE))*(1+Projection!AZ$16)*(1+IF(AX153&gt;0,'Attrition Modeling'!$N$9,0))),0))</f>
        <v>3916.4540716846891</v>
      </c>
      <c r="AY21" s="799">
        <f>IF(AY$2=$F21+1,Monthly!AU$21,IF(AY$2&gt;$F21+1,('Traditional Attrition'!AX21+AY153)*(1-IF(AY$2-$F21&lt;=12,SUMIFS('Attrition Modeling'!$D:$D,'Attrition Modeling'!$B:$B,'Traditional Attrition'!$E21,'Attrition Modeling'!$C:$C,'Traditional Attrition'!AY$1),VLOOKUP('Traditional Attrition'!AY$2-'Traditional Attrition'!$F21-1,'Traditional Attrition'!$A$7:$C$161,2,FALSE)*VLOOKUP(AY$1,'Attrition Modeling'!$L$15:$N$27,IF(AY$2-$F21&lt;=24,2,3),FALSE))*(1+Projection!BA$16)*(1+IF(AY153&gt;0,'Attrition Modeling'!$N$9,0))),0))</f>
        <v>3748.3683553237806</v>
      </c>
      <c r="AZ21" s="799">
        <f>IF(AZ$2=$F21+1,Monthly!AV$21,IF(AZ$2&gt;$F21+1,('Traditional Attrition'!AY21+AZ153)*(1-IF(AZ$2-$F21&lt;=12,SUMIFS('Attrition Modeling'!$D:$D,'Attrition Modeling'!$B:$B,'Traditional Attrition'!$E21,'Attrition Modeling'!$C:$C,'Traditional Attrition'!AZ$1),VLOOKUP('Traditional Attrition'!AZ$2-'Traditional Attrition'!$F21-1,'Traditional Attrition'!$A$7:$C$161,2,FALSE)*VLOOKUP(AZ$1,'Attrition Modeling'!$L$15:$N$27,IF(AZ$2-$F21&lt;=24,2,3),FALSE))*(1+Projection!BB$16)*(1+IF(AZ153&gt;0,'Attrition Modeling'!$N$9,0))),0))</f>
        <v>3599.3380356703096</v>
      </c>
      <c r="BA21" s="799">
        <f>IF(BA$2=$F21+1,Monthly!AW$21,IF(BA$2&gt;$F21+1,('Traditional Attrition'!AZ21+BA153)*(1-IF(BA$2-$F21&lt;=12,SUMIFS('Attrition Modeling'!$D:$D,'Attrition Modeling'!$B:$B,'Traditional Attrition'!$E21,'Attrition Modeling'!$C:$C,'Traditional Attrition'!BA$1),VLOOKUP('Traditional Attrition'!BA$2-'Traditional Attrition'!$F21-1,'Traditional Attrition'!$A$7:$C$161,2,FALSE)*VLOOKUP(BA$1,'Attrition Modeling'!$L$15:$N$27,IF(BA$2-$F21&lt;=24,2,3),FALSE))*(1+Projection!BC$16)*(1+IF(BA153&gt;0,'Attrition Modeling'!$N$9,0))),0))</f>
        <v>3462.9812205097933</v>
      </c>
      <c r="BB21" s="799">
        <f>IF(BB$2=$F21+1,Monthly!AX$21,IF(BB$2&gt;$F21+1,('Traditional Attrition'!BA21+BB153)*(1-IF(BB$2-$F21&lt;=12,SUMIFS('Attrition Modeling'!$D:$D,'Attrition Modeling'!$B:$B,'Traditional Attrition'!$E21,'Attrition Modeling'!$C:$C,'Traditional Attrition'!BB$1),VLOOKUP('Traditional Attrition'!BB$2-'Traditional Attrition'!$F21-1,'Traditional Attrition'!$A$7:$C$161,2,FALSE)*VLOOKUP(BB$1,'Attrition Modeling'!$L$15:$N$27,IF(BB$2-$F21&lt;=24,2,3),FALSE))*(1+Projection!BD$16)*(1+IF(BB153&gt;0,'Attrition Modeling'!$N$9,0))),0))</f>
        <v>3336.4031684899173</v>
      </c>
      <c r="BC21" s="799">
        <f>IF(BC$2=$F21+1,Monthly!AY$21,IF(BC$2&gt;$F21+1,('Traditional Attrition'!BB21+BC153)*(1-IF(BC$2-$F21&lt;=12,SUMIFS('Attrition Modeling'!$D:$D,'Attrition Modeling'!$B:$B,'Traditional Attrition'!$E21,'Attrition Modeling'!$C:$C,'Traditional Attrition'!BC$1),VLOOKUP('Traditional Attrition'!BC$2-'Traditional Attrition'!$F21-1,'Traditional Attrition'!$A$7:$C$161,2,FALSE)*VLOOKUP(BC$1,'Attrition Modeling'!$L$15:$N$27,IF(BC$2-$F21&lt;=24,2,3),FALSE))*(1+Projection!BE$16)*(1+IF(BC153&gt;0,'Attrition Modeling'!$N$9,0))),0))</f>
        <v>3352.8703573537027</v>
      </c>
      <c r="BD21" s="799">
        <f>IF(BD$2=$F21+1,Monthly!AZ$21,IF(BD$2&gt;$F21+1,('Traditional Attrition'!BC21+BD153)*(1-IF(BD$2-$F21&lt;=12,SUMIFS('Attrition Modeling'!$D:$D,'Attrition Modeling'!$B:$B,'Traditional Attrition'!$E21,'Attrition Modeling'!$C:$C,'Traditional Attrition'!BD$1),VLOOKUP('Traditional Attrition'!BD$2-'Traditional Attrition'!$F21-1,'Traditional Attrition'!$A$7:$C$161,2,FALSE)*VLOOKUP(BD$1,'Attrition Modeling'!$L$15:$N$27,IF(BD$2-$F21&lt;=24,2,3),FALSE))*(1+Projection!BF$16)*(1+IF(BD153&gt;0,'Attrition Modeling'!$N$9,0))),0))</f>
        <v>3243.8151707221068</v>
      </c>
      <c r="BE21" s="799">
        <f>IF(BE$2=$F21+1,Monthly!BA$21,IF(BE$2&gt;$F21+1,('Traditional Attrition'!BD21+BE153)*(1-IF(BE$2-$F21&lt;=12,SUMIFS('Attrition Modeling'!$D:$D,'Attrition Modeling'!$B:$B,'Traditional Attrition'!$E21,'Attrition Modeling'!$C:$C,'Traditional Attrition'!BE$1),VLOOKUP('Traditional Attrition'!BE$2-'Traditional Attrition'!$F21-1,'Traditional Attrition'!$A$7:$C$161,2,FALSE)*VLOOKUP(BE$1,'Attrition Modeling'!$L$15:$N$27,IF(BE$2-$F21&lt;=24,2,3),FALSE))*(1+Projection!BG$16)*(1+IF(BE153&gt;0,'Attrition Modeling'!$N$9,0))),0))</f>
        <v>3142.8408616101315</v>
      </c>
      <c r="BF21" s="799">
        <f>IF(BF$2=$F21+1,Monthly!BB$21,IF(BF$2&gt;$F21+1,('Traditional Attrition'!BE21+BF153)*(1-IF(BF$2-$F21&lt;=12,SUMIFS('Attrition Modeling'!$D:$D,'Attrition Modeling'!$B:$B,'Traditional Attrition'!$E21,'Attrition Modeling'!$C:$C,'Traditional Attrition'!BF$1),VLOOKUP('Traditional Attrition'!BF$2-'Traditional Attrition'!$F21-1,'Traditional Attrition'!$A$7:$C$161,2,FALSE)*VLOOKUP(BF$1,'Attrition Modeling'!$L$15:$N$27,IF(BF$2-$F21&lt;=24,2,3),FALSE))*(1+Projection!BH$16)*(1+IF(BF153&gt;0,'Attrition Modeling'!$N$9,0))),0))</f>
        <v>3050.2202017127811</v>
      </c>
      <c r="BG21" s="799">
        <f>IF(BG$2=$F21+1,Monthly!BC$21,IF(BG$2&gt;$F21+1,('Traditional Attrition'!BF21+BG153)*(1-IF(BG$2-$F21&lt;=12,SUMIFS('Attrition Modeling'!$D:$D,'Attrition Modeling'!$B:$B,'Traditional Attrition'!$E21,'Attrition Modeling'!$C:$C,'Traditional Attrition'!BG$1),VLOOKUP('Traditional Attrition'!BG$2-'Traditional Attrition'!$F21-1,'Traditional Attrition'!$A$7:$C$161,2,FALSE)*VLOOKUP(BG$1,'Attrition Modeling'!$L$15:$N$27,IF(BG$2-$F21&lt;=24,2,3),FALSE))*(1+Projection!BI$16)*(1+IF(BG153&gt;0,'Attrition Modeling'!$N$9,0))),0))</f>
        <v>2979.5534320001943</v>
      </c>
      <c r="BH21" s="799">
        <f>IF(BH$2=$F21+1,Monthly!BD$21,IF(BH$2&gt;$F21+1,('Traditional Attrition'!BG21+BH153)*(1-IF(BH$2-$F21&lt;=12,SUMIFS('Attrition Modeling'!$D:$D,'Attrition Modeling'!$B:$B,'Traditional Attrition'!$E21,'Attrition Modeling'!$C:$C,'Traditional Attrition'!BH$1),VLOOKUP('Traditional Attrition'!BH$2-'Traditional Attrition'!$F21-1,'Traditional Attrition'!$A$7:$C$161,2,FALSE)*VLOOKUP(BH$1,'Attrition Modeling'!$L$15:$N$27,IF(BH$2-$F21&lt;=24,2,3),FALSE))*(1+Projection!BJ$16)*(1+IF(BH153&gt;0,'Attrition Modeling'!$N$9,0))),0))</f>
        <v>2897.1540516922241</v>
      </c>
      <c r="BI21" s="799">
        <f>IF(BI$2=$F21+1,Monthly!BE$21,IF(BI$2&gt;$F21+1,('Traditional Attrition'!BH21+BI153)*(1-IF(BI$2-$F21&lt;=12,SUMIFS('Attrition Modeling'!$D:$D,'Attrition Modeling'!$B:$B,'Traditional Attrition'!$E21,'Attrition Modeling'!$C:$C,'Traditional Attrition'!BI$1),VLOOKUP('Traditional Attrition'!BI$2-'Traditional Attrition'!$F21-1,'Traditional Attrition'!$A$7:$C$161,2,FALSE)*VLOOKUP(BI$1,'Attrition Modeling'!$L$15:$N$27,IF(BI$2-$F21&lt;=24,2,3),FALSE))*(1+Projection!BK$16)*(1+IF(BI153&gt;0,'Attrition Modeling'!$N$9,0))),0))</f>
        <v>2806.7217361256603</v>
      </c>
      <c r="BJ21" s="799">
        <f>IF(BJ$2=$F21+1,Monthly!BF$21,IF(BJ$2&gt;$F21+1,('Traditional Attrition'!BI21+BJ153)*(1-IF(BJ$2-$F21&lt;=12,SUMIFS('Attrition Modeling'!$D:$D,'Attrition Modeling'!$B:$B,'Traditional Attrition'!$E21,'Attrition Modeling'!$C:$C,'Traditional Attrition'!BJ$1),VLOOKUP('Traditional Attrition'!BJ$2-'Traditional Attrition'!$F21-1,'Traditional Attrition'!$A$7:$C$161,2,FALSE)*VLOOKUP(BJ$1,'Attrition Modeling'!$L$15:$N$27,IF(BJ$2-$F21&lt;=24,2,3),FALSE))*(1+Projection!BL$16)*(1+IF(BJ153&gt;0,'Attrition Modeling'!$N$9,0))),0))</f>
        <v>2712.3024280499053</v>
      </c>
      <c r="BK21" s="799">
        <f>IF(BK$2=$F21+1,Monthly!BG$21,IF(BK$2&gt;$F21+1,('Traditional Attrition'!BJ21+BK153)*(1-IF(BK$2-$F21&lt;=12,SUMIFS('Attrition Modeling'!$D:$D,'Attrition Modeling'!$B:$B,'Traditional Attrition'!$E21,'Attrition Modeling'!$C:$C,'Traditional Attrition'!BK$1),VLOOKUP('Traditional Attrition'!BK$2-'Traditional Attrition'!$F21-1,'Traditional Attrition'!$A$7:$C$161,2,FALSE)*VLOOKUP(BK$1,'Attrition Modeling'!$L$15:$N$27,IF(BK$2-$F21&lt;=24,2,3),FALSE))*(1+Projection!BM$16)*(1+IF(BK153&gt;0,'Attrition Modeling'!$N$9,0))),0))</f>
        <v>2615.3621507172452</v>
      </c>
      <c r="BL21" s="799">
        <f>IF(BL$2=$F21+1,Monthly!BH$21,IF(BL$2&gt;$F21+1,('Traditional Attrition'!BK21+BL153)*(1-IF(BL$2-$F21&lt;=12,SUMIFS('Attrition Modeling'!$D:$D,'Attrition Modeling'!$B:$B,'Traditional Attrition'!$E21,'Attrition Modeling'!$C:$C,'Traditional Attrition'!BL$1),VLOOKUP('Traditional Attrition'!BL$2-'Traditional Attrition'!$F21-1,'Traditional Attrition'!$A$7:$C$161,2,FALSE)*VLOOKUP(BL$1,'Attrition Modeling'!$L$15:$N$27,IF(BL$2-$F21&lt;=24,2,3),FALSE))*(1+Projection!BN$16)*(1+IF(BL153&gt;0,'Attrition Modeling'!$N$9,0))),0))</f>
        <v>2528.496826718731</v>
      </c>
      <c r="BM21" s="799">
        <f>IF(BM$2=$F21+1,Monthly!BI$21,IF(BM$2&gt;$F21+1,('Traditional Attrition'!BL21+BM153)*(1-IF(BM$2-$F21&lt;=12,SUMIFS('Attrition Modeling'!$D:$D,'Attrition Modeling'!$B:$B,'Traditional Attrition'!$E21,'Attrition Modeling'!$C:$C,'Traditional Attrition'!BM$1),VLOOKUP('Traditional Attrition'!BM$2-'Traditional Attrition'!$F21-1,'Traditional Attrition'!$A$7:$C$161,2,FALSE)*VLOOKUP(BM$1,'Attrition Modeling'!$L$15:$N$27,IF(BM$2-$F21&lt;=24,2,3),FALSE))*(1+Projection!BO$16)*(1+IF(BM153&gt;0,'Attrition Modeling'!$N$9,0))),0))</f>
        <v>2448.242226943094</v>
      </c>
      <c r="BN21" s="799">
        <f>IF(BN$2=$F21+1,Monthly!BJ$21,IF(BN$2&gt;$F21+1,('Traditional Attrition'!BM21+BN153)*(1-IF(BN$2-$F21&lt;=12,SUMIFS('Attrition Modeling'!$D:$D,'Attrition Modeling'!$B:$B,'Traditional Attrition'!$E21,'Attrition Modeling'!$C:$C,'Traditional Attrition'!BN$1),VLOOKUP('Traditional Attrition'!BN$2-'Traditional Attrition'!$F21-1,'Traditional Attrition'!$A$7:$C$161,2,FALSE)*VLOOKUP(BN$1,'Attrition Modeling'!$L$15:$N$27,IF(BN$2-$F21&lt;=24,2,3),FALSE))*(1+Projection!BP$16)*(1+IF(BN153&gt;0,'Attrition Modeling'!$N$9,0))),0))</f>
        <v>2373.0606752962985</v>
      </c>
      <c r="BO21" s="799">
        <f>IF(BO$2=$F21+1,Monthly!BK$21,IF(BO$2&gt;$F21+1,('Traditional Attrition'!BN21+BO153)*(1-IF(BO$2-$F21&lt;=12,SUMIFS('Attrition Modeling'!$D:$D,'Attrition Modeling'!$B:$B,'Traditional Attrition'!$E21,'Attrition Modeling'!$C:$C,'Traditional Attrition'!BO$1),VLOOKUP('Traditional Attrition'!BO$2-'Traditional Attrition'!$F21-1,'Traditional Attrition'!$A$7:$C$161,2,FALSE)*VLOOKUP(BO$1,'Attrition Modeling'!$L$15:$N$27,IF(BO$2-$F21&lt;=24,2,3),FALSE))*(1+Projection!BV$16)*(1+IF(BO153&gt;0,'Attrition Modeling'!$N$9,0))),0))</f>
        <v>2385.4612665487921</v>
      </c>
      <c r="BP21" s="799">
        <f>IF(BP$2=$F21+1,Monthly!BL$21,IF(BP$2&gt;$F21+1,('Traditional Attrition'!BO21+BP153)*(1-IF(BP$2-$F21&lt;=12,SUMIFS('Attrition Modeling'!$D:$D,'Attrition Modeling'!$B:$B,'Traditional Attrition'!$E21,'Attrition Modeling'!$C:$C,'Traditional Attrition'!BP$1),VLOOKUP('Traditional Attrition'!BP$2-'Traditional Attrition'!$F21-1,'Traditional Attrition'!$A$7:$C$161,2,FALSE)*VLOOKUP(BP$1,'Attrition Modeling'!$L$15:$N$27,IF(BP$2-$F21&lt;=24,2,3),FALSE))*(1+Projection!BW$16)*(1+IF(BP153&gt;0,'Attrition Modeling'!$N$9,0))),0))</f>
        <v>2319.9466450128534</v>
      </c>
      <c r="BQ21" s="799">
        <f>IF(BQ$2=$F21+1,Monthly!BM$21,IF(BQ$2&gt;$F21+1,('Traditional Attrition'!BP21+BQ153)*(1-IF(BQ$2-$F21&lt;=12,SUMIFS('Attrition Modeling'!$D:$D,'Attrition Modeling'!$B:$B,'Traditional Attrition'!$E21,'Attrition Modeling'!$C:$C,'Traditional Attrition'!BQ$1),VLOOKUP('Traditional Attrition'!BQ$2-'Traditional Attrition'!$F21-1,'Traditional Attrition'!$A$7:$C$161,2,FALSE)*VLOOKUP(BQ$1,'Attrition Modeling'!$L$15:$N$27,IF(BQ$2-$F21&lt;=24,2,3),FALSE))*(1+Projection!BX$16)*(1+IF(BQ153&gt;0,'Attrition Modeling'!$N$9,0))),0))</f>
        <v>2258.8282511375496</v>
      </c>
      <c r="BR21" s="799">
        <f>IF(BR$2=$F21+1,Monthly!BN$21,IF(BR$2&gt;$F21+1,('Traditional Attrition'!BQ21+BR153)*(1-IF(BR$2-$F21&lt;=12,SUMIFS('Attrition Modeling'!$D:$D,'Attrition Modeling'!$B:$B,'Traditional Attrition'!$E21,'Attrition Modeling'!$C:$C,'Traditional Attrition'!BR$1),VLOOKUP('Traditional Attrition'!BR$2-'Traditional Attrition'!$F21-1,'Traditional Attrition'!$A$7:$C$161,2,FALSE)*VLOOKUP(BR$1,'Attrition Modeling'!$L$15:$N$27,IF(BR$2-$F21&lt;=24,2,3),FALSE))*(1+Projection!BY$16)*(1+IF(BR153&gt;0,'Attrition Modeling'!$N$9,0))),0))</f>
        <v>2202.3662727836368</v>
      </c>
      <c r="BS21" s="799">
        <f>IF(BS$2=$F21+1,Monthly!BO$21,IF(BS$2&gt;$F21+1,('Traditional Attrition'!BR21+BS153)*(1-IF(BS$2-$F21&lt;=12,SUMIFS('Attrition Modeling'!$D:$D,'Attrition Modeling'!$B:$B,'Traditional Attrition'!$E21,'Attrition Modeling'!$C:$C,'Traditional Attrition'!BS$1),VLOOKUP('Traditional Attrition'!BS$2-'Traditional Attrition'!$F21-1,'Traditional Attrition'!$A$7:$C$161,2,FALSE)*VLOOKUP(BS$1,'Attrition Modeling'!$L$15:$N$27,IF(BS$2-$F21&lt;=24,2,3),FALSE))*(1+Projection!BZ$16)*(1+IF(BS153&gt;0,'Attrition Modeling'!$N$9,0))),0))</f>
        <v>2158.9993473631766</v>
      </c>
      <c r="BT21" s="799">
        <f>IF(BT$2=$F21+1,Monthly!#REF!,IF(BT$2&gt;$F21+1,('Traditional Attrition'!BS21+BT153)*(1-IF(BT$2-$F21&lt;=12,SUMIFS('Attrition Modeling'!$D:$D,'Attrition Modeling'!$B:$B,'Traditional Attrition'!$E21,'Attrition Modeling'!$C:$C,'Traditional Attrition'!BT$1),VLOOKUP('Traditional Attrition'!BT$2-'Traditional Attrition'!$F21-1,'Traditional Attrition'!$A$7:$C$161,2,FALSE)*VLOOKUP(BT$1,'Attrition Modeling'!$L$15:$N$27,IF(BT$2-$F21&lt;=24,2,3),FALSE))*(1+Projection!CA$16)*(1+IF(BT153&gt;0,'Attrition Modeling'!$N$9,0))),0))</f>
        <v>2108.152864332204</v>
      </c>
      <c r="BU21" s="799">
        <f>IF(BU$2=$F21+1,Monthly!#REF!,IF(BU$2&gt;$F21+1,('Traditional Attrition'!BT21+BU153)*(1-IF(BU$2-$F21&lt;=12,SUMIFS('Attrition Modeling'!$D:$D,'Attrition Modeling'!$B:$B,'Traditional Attrition'!$E21,'Attrition Modeling'!$C:$C,'Traditional Attrition'!BU$1),VLOOKUP('Traditional Attrition'!BU$2-'Traditional Attrition'!$F21-1,'Traditional Attrition'!$A$7:$C$161,2,FALSE)*VLOOKUP(BU$1,'Attrition Modeling'!$L$15:$N$27,IF(BU$2-$F21&lt;=24,2,3),FALSE))*(1+Projection!CB$16)*(1+IF(BU153&gt;0,'Attrition Modeling'!$N$9,0))),0))</f>
        <v>2052.0097374982183</v>
      </c>
    </row>
    <row r="22" spans="1:73" ht="14.25" customHeight="1" x14ac:dyDescent="0.2">
      <c r="A22" s="9">
        <v>15</v>
      </c>
      <c r="B22" s="25">
        <f>MAX('Attrition Modeling'!H19,$C$3)*(1-Summary!$C$20)</f>
        <v>4.6078311603791125E-2</v>
      </c>
      <c r="C22" s="24" t="e">
        <f t="shared" si="4"/>
        <v>#DIV/0!</v>
      </c>
      <c r="E22" s="11">
        <f t="shared" si="2"/>
        <v>7</v>
      </c>
      <c r="F22" s="11">
        <f t="shared" si="3"/>
        <v>19</v>
      </c>
      <c r="G22" s="799"/>
      <c r="H22" s="799">
        <f>IF(H$2=$F22+1,Monthly!D$21,IF(H$2&gt;$F22+1,('Traditional Attrition'!G22+H154)*(1-IF(H$2-$F22&lt;=12,SUMIFS('Attrition Modeling'!$D:$D,'Attrition Modeling'!$B:$B,'Traditional Attrition'!$E22,'Attrition Modeling'!$C:$C,'Traditional Attrition'!H$1),VLOOKUP('Traditional Attrition'!H$2-'Traditional Attrition'!$F22-1,'Traditional Attrition'!$A$7:$C$161,2,FALSE)*VLOOKUP(H$1,'Attrition Modeling'!$L$15:$N$27,IF(H$2-$F22&lt;=24,2,3),FALSE))*(1+Projection!J$16)*(1+IF(H154&gt;0,'Attrition Modeling'!$N$9,0))),0))</f>
        <v>0</v>
      </c>
      <c r="I22" s="799">
        <f>IF(I$2=$F22+1,Monthly!E$21,IF(I$2&gt;$F22+1,('Traditional Attrition'!H22+I154)*(1-IF(I$2-$F22&lt;=12,SUMIFS('Attrition Modeling'!$D:$D,'Attrition Modeling'!$B:$B,'Traditional Attrition'!$E22,'Attrition Modeling'!$C:$C,'Traditional Attrition'!I$1),VLOOKUP('Traditional Attrition'!I$2-'Traditional Attrition'!$F22-1,'Traditional Attrition'!$A$7:$C$161,2,FALSE)*VLOOKUP(I$1,'Attrition Modeling'!$L$15:$N$27,IF(I$2-$F22&lt;=24,2,3),FALSE))*(1+Projection!K$16)*(1+IF(I154&gt;0,'Attrition Modeling'!$N$9,0))),0))</f>
        <v>0</v>
      </c>
      <c r="J22" s="799">
        <f>IF(J$2=$F22+1,Monthly!F$21,IF(J$2&gt;$F22+1,('Traditional Attrition'!I22+J154)*(1-IF(J$2-$F22&lt;=12,SUMIFS('Attrition Modeling'!$D:$D,'Attrition Modeling'!$B:$B,'Traditional Attrition'!$E22,'Attrition Modeling'!$C:$C,'Traditional Attrition'!J$1),VLOOKUP('Traditional Attrition'!J$2-'Traditional Attrition'!$F22-1,'Traditional Attrition'!$A$7:$C$161,2,FALSE)*VLOOKUP(J$1,'Attrition Modeling'!$L$15:$N$27,IF(J$2-$F22&lt;=24,2,3),FALSE))*(1+Projection!L$16)*(1+IF(J154&gt;0,'Attrition Modeling'!$N$9,0))),0))</f>
        <v>0</v>
      </c>
      <c r="K22" s="799">
        <f>IF(K$2=$F22+1,Monthly!G$21,IF(K$2&gt;$F22+1,('Traditional Attrition'!J22+K154)*(1-IF(K$2-$F22&lt;=12,SUMIFS('Attrition Modeling'!$D:$D,'Attrition Modeling'!$B:$B,'Traditional Attrition'!$E22,'Attrition Modeling'!$C:$C,'Traditional Attrition'!K$1),VLOOKUP('Traditional Attrition'!K$2-'Traditional Attrition'!$F22-1,'Traditional Attrition'!$A$7:$C$161,2,FALSE)*VLOOKUP(K$1,'Attrition Modeling'!$L$15:$N$27,IF(K$2-$F22&lt;=24,2,3),FALSE))*(1+Projection!M$16)*(1+IF(K154&gt;0,'Attrition Modeling'!$N$9,0))),0))</f>
        <v>0</v>
      </c>
      <c r="L22" s="799">
        <f>IF(L$2=$F22+1,Monthly!H$21,IF(L$2&gt;$F22+1,('Traditional Attrition'!K22+L154)*(1-IF(L$2-$F22&lt;=12,SUMIFS('Attrition Modeling'!$D:$D,'Attrition Modeling'!$B:$B,'Traditional Attrition'!$E22,'Attrition Modeling'!$C:$C,'Traditional Attrition'!L$1),VLOOKUP('Traditional Attrition'!L$2-'Traditional Attrition'!$F22-1,'Traditional Attrition'!$A$7:$C$161,2,FALSE)*VLOOKUP(L$1,'Attrition Modeling'!$L$15:$N$27,IF(L$2-$F22&lt;=24,2,3),FALSE))*(1+Projection!N$16)*(1+IF(L154&gt;0,'Attrition Modeling'!$N$9,0))),0))</f>
        <v>0</v>
      </c>
      <c r="M22" s="799">
        <f>IF(M$2=$F22+1,Monthly!I$21,IF(M$2&gt;$F22+1,('Traditional Attrition'!L22+M154)*(1-IF(M$2-$F22&lt;=12,SUMIFS('Attrition Modeling'!$D:$D,'Attrition Modeling'!$B:$B,'Traditional Attrition'!$E22,'Attrition Modeling'!$C:$C,'Traditional Attrition'!M$1),VLOOKUP('Traditional Attrition'!M$2-'Traditional Attrition'!$F22-1,'Traditional Attrition'!$A$7:$C$161,2,FALSE)*VLOOKUP(M$1,'Attrition Modeling'!$L$15:$N$27,IF(M$2-$F22&lt;=24,2,3),FALSE))*(1+Projection!O$16)*(1+IF(M154&gt;0,'Attrition Modeling'!$N$9,0))),0))</f>
        <v>0</v>
      </c>
      <c r="N22" s="799">
        <f>IF(N$2=$F22+1,Monthly!J$21,IF(N$2&gt;$F22+1,('Traditional Attrition'!M22+N154)*(1-IF(N$2-$F22&lt;=12,SUMIFS('Attrition Modeling'!$D:$D,'Attrition Modeling'!$B:$B,'Traditional Attrition'!$E22,'Attrition Modeling'!$C:$C,'Traditional Attrition'!N$1),VLOOKUP('Traditional Attrition'!N$2-'Traditional Attrition'!$F22-1,'Traditional Attrition'!$A$7:$C$161,2,FALSE)*VLOOKUP(N$1,'Attrition Modeling'!$L$15:$N$27,IF(N$2-$F22&lt;=24,2,3),FALSE))*(1+Projection!P$16)*(1+IF(N154&gt;0,'Attrition Modeling'!$N$9,0))),0))</f>
        <v>0</v>
      </c>
      <c r="O22" s="799">
        <f>IF(O$2=$F22+1,Monthly!K$21,IF(O$2&gt;$F22+1,('Traditional Attrition'!N22+O154)*(1-IF(O$2-$F22&lt;=12,SUMIFS('Attrition Modeling'!$D:$D,'Attrition Modeling'!$B:$B,'Traditional Attrition'!$E22,'Attrition Modeling'!$C:$C,'Traditional Attrition'!O$1),VLOOKUP('Traditional Attrition'!O$2-'Traditional Attrition'!$F22-1,'Traditional Attrition'!$A$7:$C$161,2,FALSE)*VLOOKUP(O$1,'Attrition Modeling'!$L$15:$N$27,IF(O$2-$F22&lt;=24,2,3),FALSE))*(1+Projection!Q$16)*(1+IF(O154&gt;0,'Attrition Modeling'!$N$9,0))),0))</f>
        <v>0</v>
      </c>
      <c r="P22" s="799">
        <f>IF(P$2=$F22+1,Monthly!L$21,IF(P$2&gt;$F22+1,('Traditional Attrition'!O22+P154)*(1-IF(P$2-$F22&lt;=12,SUMIFS('Attrition Modeling'!$D:$D,'Attrition Modeling'!$B:$B,'Traditional Attrition'!$E22,'Attrition Modeling'!$C:$C,'Traditional Attrition'!P$1),VLOOKUP('Traditional Attrition'!P$2-'Traditional Attrition'!$F22-1,'Traditional Attrition'!$A$7:$C$161,2,FALSE)*VLOOKUP(P$1,'Attrition Modeling'!$L$15:$N$27,IF(P$2-$F22&lt;=24,2,3),FALSE))*(1+Projection!R$16)*(1+IF(P154&gt;0,'Attrition Modeling'!$N$9,0))),0))</f>
        <v>0</v>
      </c>
      <c r="Q22" s="799">
        <f>IF(Q$2=$F22+1,Monthly!M$21,IF(Q$2&gt;$F22+1,('Traditional Attrition'!P22+Q154)*(1-IF(Q$2-$F22&lt;=12,SUMIFS('Attrition Modeling'!$D:$D,'Attrition Modeling'!$B:$B,'Traditional Attrition'!$E22,'Attrition Modeling'!$C:$C,'Traditional Attrition'!Q$1),VLOOKUP('Traditional Attrition'!Q$2-'Traditional Attrition'!$F22-1,'Traditional Attrition'!$A$7:$C$161,2,FALSE)*VLOOKUP(Q$1,'Attrition Modeling'!$L$15:$N$27,IF(Q$2-$F22&lt;=24,2,3),FALSE))*(1+Projection!S$16)*(1+IF(Q154&gt;0,'Attrition Modeling'!$N$9,0))),0))</f>
        <v>0</v>
      </c>
      <c r="R22" s="799">
        <f>IF(R$2=$F22+1,Monthly!N$21,IF(R$2&gt;$F22+1,('Traditional Attrition'!Q22+R154)*(1-IF(R$2-$F22&lt;=12,SUMIFS('Attrition Modeling'!$D:$D,'Attrition Modeling'!$B:$B,'Traditional Attrition'!$E22,'Attrition Modeling'!$C:$C,'Traditional Attrition'!R$1),VLOOKUP('Traditional Attrition'!R$2-'Traditional Attrition'!$F22-1,'Traditional Attrition'!$A$7:$C$161,2,FALSE)*VLOOKUP(R$1,'Attrition Modeling'!$L$15:$N$27,IF(R$2-$F22&lt;=24,2,3),FALSE))*(1+Projection!T$16)*(1+IF(R154&gt;0,'Attrition Modeling'!$N$9,0))),0))</f>
        <v>0</v>
      </c>
      <c r="S22" s="799">
        <f>IF(S$2=$F22+1,Monthly!O$21,IF(S$2&gt;$F22+1,('Traditional Attrition'!R22+S154)*(1-IF(S$2-$F22&lt;=12,SUMIFS('Attrition Modeling'!$D:$D,'Attrition Modeling'!$B:$B,'Traditional Attrition'!$E22,'Attrition Modeling'!$C:$C,'Traditional Attrition'!S$1),VLOOKUP('Traditional Attrition'!S$2-'Traditional Attrition'!$F22-1,'Traditional Attrition'!$A$7:$C$161,2,FALSE)*VLOOKUP(S$1,'Attrition Modeling'!$L$15:$N$27,IF(S$2-$F22&lt;=24,2,3),FALSE))*(1+Projection!U$16)*(1+IF(S154&gt;0,'Attrition Modeling'!$N$9,0))),0))</f>
        <v>0</v>
      </c>
      <c r="T22" s="799">
        <f>IF(T$2=$F22+1,Monthly!P$21,IF(T$2&gt;$F22+1,('Traditional Attrition'!S22+T154)*(1-IF(T$2-$F22&lt;=12,SUMIFS('Attrition Modeling'!$D:$D,'Attrition Modeling'!$B:$B,'Traditional Attrition'!$E22,'Attrition Modeling'!$C:$C,'Traditional Attrition'!T$1),VLOOKUP('Traditional Attrition'!T$2-'Traditional Attrition'!$F22-1,'Traditional Attrition'!$A$7:$C$161,2,FALSE)*VLOOKUP(T$1,'Attrition Modeling'!$L$15:$N$27,IF(T$2-$F22&lt;=24,2,3),FALSE))*(1+Projection!V$16)*(1+IF(T154&gt;0,'Attrition Modeling'!$N$9,0))),0))</f>
        <v>0</v>
      </c>
      <c r="U22" s="799">
        <f>IF(U$2=$F22+1,Monthly!Q$21,IF(U$2&gt;$F22+1,('Traditional Attrition'!T22+U154)*(1-IF(U$2-$F22&lt;=12,SUMIFS('Attrition Modeling'!$D:$D,'Attrition Modeling'!$B:$B,'Traditional Attrition'!$E22,'Attrition Modeling'!$C:$C,'Traditional Attrition'!U$1),VLOOKUP('Traditional Attrition'!U$2-'Traditional Attrition'!$F22-1,'Traditional Attrition'!$A$7:$C$161,2,FALSE)*VLOOKUP(U$1,'Attrition Modeling'!$L$15:$N$27,IF(U$2-$F22&lt;=24,2,3),FALSE))*(1+Projection!W$16)*(1+IF(U154&gt;0,'Attrition Modeling'!$N$9,0))),0))</f>
        <v>0</v>
      </c>
      <c r="V22" s="799">
        <f>IF(V$2=$F22+1,Monthly!R$21,IF(V$2&gt;$F22+1,('Traditional Attrition'!U22+V154)*(1-IF(V$2-$F22&lt;=12,SUMIFS('Attrition Modeling'!$D:$D,'Attrition Modeling'!$B:$B,'Traditional Attrition'!$E22,'Attrition Modeling'!$C:$C,'Traditional Attrition'!V$1),VLOOKUP('Traditional Attrition'!V$2-'Traditional Attrition'!$F22-1,'Traditional Attrition'!$A$7:$C$161,2,FALSE)*VLOOKUP(V$1,'Attrition Modeling'!$L$15:$N$27,IF(V$2-$F22&lt;=24,2,3),FALSE))*(1+Projection!X$16)*(1+IF(V154&gt;0,'Attrition Modeling'!$N$9,0))),0))</f>
        <v>0</v>
      </c>
      <c r="W22" s="799">
        <f>IF(W$2=$F22+1,Monthly!S$21,IF(W$2&gt;$F22+1,('Traditional Attrition'!V22+W154)*(1-IF(W$2-$F22&lt;=12,SUMIFS('Attrition Modeling'!$D:$D,'Attrition Modeling'!$B:$B,'Traditional Attrition'!$E22,'Attrition Modeling'!$C:$C,'Traditional Attrition'!W$1),VLOOKUP('Traditional Attrition'!W$2-'Traditional Attrition'!$F22-1,'Traditional Attrition'!$A$7:$C$161,2,FALSE)*VLOOKUP(W$1,'Attrition Modeling'!$L$15:$N$27,IF(W$2-$F22&lt;=24,2,3),FALSE))*(1+Projection!Y$16)*(1+IF(W154&gt;0,'Attrition Modeling'!$N$9,0))),0))</f>
        <v>0</v>
      </c>
      <c r="X22" s="799">
        <f>IF(X$2=$F22+1,Monthly!T$21,IF(X$2&gt;$F22+1,('Traditional Attrition'!W22+X154)*(1-IF(X$2-$F22&lt;=12,SUMIFS('Attrition Modeling'!$D:$D,'Attrition Modeling'!$B:$B,'Traditional Attrition'!$E22,'Attrition Modeling'!$C:$C,'Traditional Attrition'!X$1),VLOOKUP('Traditional Attrition'!X$2-'Traditional Attrition'!$F22-1,'Traditional Attrition'!$A$7:$C$161,2,FALSE)*VLOOKUP(X$1,'Attrition Modeling'!$L$15:$N$27,IF(X$2-$F22&lt;=24,2,3),FALSE))*(1+Projection!Z$16)*(1+IF(X154&gt;0,'Attrition Modeling'!$N$9,0))),0))</f>
        <v>0</v>
      </c>
      <c r="Y22" s="799">
        <f>IF(Y$2=$F22+1,Monthly!U$21,IF(Y$2&gt;$F22+1,('Traditional Attrition'!X22+Y154)*(1-IF(Y$2-$F22&lt;=12,SUMIFS('Attrition Modeling'!$D:$D,'Attrition Modeling'!$B:$B,'Traditional Attrition'!$E22,'Attrition Modeling'!$C:$C,'Traditional Attrition'!Y$1),VLOOKUP('Traditional Attrition'!Y$2-'Traditional Attrition'!$F22-1,'Traditional Attrition'!$A$7:$C$161,2,FALSE)*VLOOKUP(Y$1,'Attrition Modeling'!$L$15:$N$27,IF(Y$2-$F22&lt;=24,2,3),FALSE))*(1+Projection!AA$16)*(1+IF(Y154&gt;0,'Attrition Modeling'!$N$9,0))),0))</f>
        <v>0</v>
      </c>
      <c r="Z22" s="799">
        <f>IF(Z$2=$F22+1,Monthly!V$21,IF(Z$2&gt;$F22+1,('Traditional Attrition'!Y22+Z154)*(1-IF(Z$2-$F22&lt;=12,SUMIFS('Attrition Modeling'!$D:$D,'Attrition Modeling'!$B:$B,'Traditional Attrition'!$E22,'Attrition Modeling'!$C:$C,'Traditional Attrition'!Z$1),VLOOKUP('Traditional Attrition'!Z$2-'Traditional Attrition'!$F22-1,'Traditional Attrition'!$A$7:$C$161,2,FALSE)*VLOOKUP(Z$1,'Attrition Modeling'!$L$15:$N$27,IF(Z$2-$F22&lt;=24,2,3),FALSE))*(1+Projection!AB$16)*(1+IF(Z154&gt;0,'Attrition Modeling'!$N$9,0))),0))</f>
        <v>0</v>
      </c>
      <c r="AA22" s="799">
        <f>IF(AA$2=$F22+1,Monthly!W$21,IF(AA$2&gt;$F22+1,('Traditional Attrition'!Z22+AA154)*(1-IF(AA$2-$F22&lt;=12,SUMIFS('Attrition Modeling'!$D:$D,'Attrition Modeling'!$B:$B,'Traditional Attrition'!$E22,'Attrition Modeling'!$C:$C,'Traditional Attrition'!AA$1),VLOOKUP('Traditional Attrition'!AA$2-'Traditional Attrition'!$F22-1,'Traditional Attrition'!$A$7:$C$161,2,FALSE)*VLOOKUP(AA$1,'Attrition Modeling'!$L$15:$N$27,IF(AA$2-$F22&lt;=24,2,3),FALSE))*(1+Projection!AC$16)*(1+IF(AA154&gt;0,'Attrition Modeling'!$N$9,0))),0))</f>
        <v>13569.208586195937</v>
      </c>
      <c r="AB22" s="799">
        <f>IF(AB$2=$F22+1,Monthly!X$21,IF(AB$2&gt;$F22+1,('Traditional Attrition'!AA22+AB154)*(1-IF(AB$2-$F22&lt;=12,SUMIFS('Attrition Modeling'!$D:$D,'Attrition Modeling'!$B:$B,'Traditional Attrition'!$E22,'Attrition Modeling'!$C:$C,'Traditional Attrition'!AB$1),VLOOKUP('Traditional Attrition'!AB$2-'Traditional Attrition'!$F22-1,'Traditional Attrition'!$A$7:$C$161,2,FALSE)*VLOOKUP(AB$1,'Attrition Modeling'!$L$15:$N$27,IF(AB$2-$F22&lt;=24,2,3),FALSE))*(1+Projection!AD$16)*(1+IF(AB154&gt;0,'Attrition Modeling'!$N$9,0))),0))</f>
        <v>12017.068880567602</v>
      </c>
      <c r="AC22" s="799">
        <f>IF(AC$2=$F22+1,Monthly!Y$21,IF(AC$2&gt;$F22+1,('Traditional Attrition'!AB22+AC154)*(1-IF(AC$2-$F22&lt;=12,SUMIFS('Attrition Modeling'!$D:$D,'Attrition Modeling'!$B:$B,'Traditional Attrition'!$E22,'Attrition Modeling'!$C:$C,'Traditional Attrition'!AC$1),VLOOKUP('Traditional Attrition'!AC$2-'Traditional Attrition'!$F22-1,'Traditional Attrition'!$A$7:$C$161,2,FALSE)*VLOOKUP(AC$1,'Attrition Modeling'!$L$15:$N$27,IF(AC$2-$F22&lt;=24,2,3),FALSE))*(1+Projection!AE$16)*(1+IF(AC154&gt;0,'Attrition Modeling'!$N$9,0))),0))</f>
        <v>10852.927710343563</v>
      </c>
      <c r="AD22" s="799">
        <f>IF(AD$2=$F22+1,Monthly!Z$21,IF(AD$2&gt;$F22+1,('Traditional Attrition'!AC22+AD154)*(1-IF(AD$2-$F22&lt;=12,SUMIFS('Attrition Modeling'!$D:$D,'Attrition Modeling'!$B:$B,'Traditional Attrition'!$E22,'Attrition Modeling'!$C:$C,'Traditional Attrition'!AD$1),VLOOKUP('Traditional Attrition'!AD$2-'Traditional Attrition'!$F22-1,'Traditional Attrition'!$A$7:$C$161,2,FALSE)*VLOOKUP(AD$1,'Attrition Modeling'!$L$15:$N$27,IF(AD$2-$F22&lt;=24,2,3),FALSE))*(1+Projection!AF$16)*(1+IF(AD154&gt;0,'Attrition Modeling'!$N$9,0))),0))</f>
        <v>9861.7639007508969</v>
      </c>
      <c r="AE22" s="799">
        <f>IF(AE$2=$F22+1,Monthly!AA$21,IF(AE$2&gt;$F22+1,('Traditional Attrition'!AD22+AE154)*(1-IF(AE$2-$F22&lt;=12,SUMIFS('Attrition Modeling'!$D:$D,'Attrition Modeling'!$B:$B,'Traditional Attrition'!$E22,'Attrition Modeling'!$C:$C,'Traditional Attrition'!AE$1),VLOOKUP('Traditional Attrition'!AE$2-'Traditional Attrition'!$F22-1,'Traditional Attrition'!$A$7:$C$161,2,FALSE)*VLOOKUP(AE$1,'Attrition Modeling'!$L$15:$N$27,IF(AE$2-$F22&lt;=24,2,3),FALSE))*(1+Projection!AG$16)*(1+IF(AE154&gt;0,'Attrition Modeling'!$N$9,0))),0))</f>
        <v>9061.0054370085545</v>
      </c>
      <c r="AF22" s="799">
        <f>IF(AF$2=$F22+1,Monthly!AB$21,IF(AF$2&gt;$F22+1,('Traditional Attrition'!AE22+AF154)*(1-IF(AF$2-$F22&lt;=12,SUMIFS('Attrition Modeling'!$D:$D,'Attrition Modeling'!$B:$B,'Traditional Attrition'!$E22,'Attrition Modeling'!$C:$C,'Traditional Attrition'!AF$1),VLOOKUP('Traditional Attrition'!AF$2-'Traditional Attrition'!$F22-1,'Traditional Attrition'!$A$7:$C$161,2,FALSE)*VLOOKUP(AF$1,'Attrition Modeling'!$L$15:$N$27,IF(AF$2-$F22&lt;=24,2,3),FALSE))*(1+Projection!AH$16)*(1+IF(AF154&gt;0,'Attrition Modeling'!$N$9,0))),0))</f>
        <v>9008.4941063736151</v>
      </c>
      <c r="AG22" s="799">
        <f>IF(AG$2=$F22+1,Monthly!AC$21,IF(AG$2&gt;$F22+1,('Traditional Attrition'!AF22+AG154)*(1-IF(AG$2-$F22&lt;=12,SUMIFS('Attrition Modeling'!$D:$D,'Attrition Modeling'!$B:$B,'Traditional Attrition'!$E22,'Attrition Modeling'!$C:$C,'Traditional Attrition'!AG$1),VLOOKUP('Traditional Attrition'!AG$2-'Traditional Attrition'!$F22-1,'Traditional Attrition'!$A$7:$C$161,2,FALSE)*VLOOKUP(AG$1,'Attrition Modeling'!$L$15:$N$27,IF(AG$2-$F22&lt;=24,2,3),FALSE))*(1+Projection!AI$16)*(1+IF(AG154&gt;0,'Attrition Modeling'!$N$9,0))),0))</f>
        <v>8440.4062164737115</v>
      </c>
      <c r="AH22" s="799">
        <f>IF(AH$2=$F22+1,Monthly!AD$21,IF(AH$2&gt;$F22+1,('Traditional Attrition'!AG22+AH154)*(1-IF(AH$2-$F22&lt;=12,SUMIFS('Attrition Modeling'!$D:$D,'Attrition Modeling'!$B:$B,'Traditional Attrition'!$E22,'Attrition Modeling'!$C:$C,'Traditional Attrition'!AH$1),VLOOKUP('Traditional Attrition'!AH$2-'Traditional Attrition'!$F22-1,'Traditional Attrition'!$A$7:$C$161,2,FALSE)*VLOOKUP(AH$1,'Attrition Modeling'!$L$15:$N$27,IF(AH$2-$F22&lt;=24,2,3),FALSE))*(1+Projection!AJ$16)*(1+IF(AH154&gt;0,'Attrition Modeling'!$N$9,0))),0))</f>
        <v>7891.6517714406164</v>
      </c>
      <c r="AI22" s="799">
        <f>IF(AI$2=$F22+1,Monthly!AE$21,IF(AI$2&gt;$F22+1,('Traditional Attrition'!AH22+AI154)*(1-IF(AI$2-$F22&lt;=12,SUMIFS('Attrition Modeling'!$D:$D,'Attrition Modeling'!$B:$B,'Traditional Attrition'!$E22,'Attrition Modeling'!$C:$C,'Traditional Attrition'!AI$1),VLOOKUP('Traditional Attrition'!AI$2-'Traditional Attrition'!$F22-1,'Traditional Attrition'!$A$7:$C$161,2,FALSE)*VLOOKUP(AI$1,'Attrition Modeling'!$L$15:$N$27,IF(AI$2-$F22&lt;=24,2,3),FALSE))*(1+Projection!AK$16)*(1+IF(AI154&gt;0,'Attrition Modeling'!$N$9,0))),0))</f>
        <v>7418.7342009732165</v>
      </c>
      <c r="AJ22" s="799">
        <f>IF(AJ$2=$F22+1,Monthly!AF$21,IF(AJ$2&gt;$F22+1,('Traditional Attrition'!AI22+AJ154)*(1-IF(AJ$2-$F22&lt;=12,SUMIFS('Attrition Modeling'!$D:$D,'Attrition Modeling'!$B:$B,'Traditional Attrition'!$E22,'Attrition Modeling'!$C:$C,'Traditional Attrition'!AJ$1),VLOOKUP('Traditional Attrition'!AJ$2-'Traditional Attrition'!$F22-1,'Traditional Attrition'!$A$7:$C$161,2,FALSE)*VLOOKUP(AJ$1,'Attrition Modeling'!$L$15:$N$27,IF(AJ$2-$F22&lt;=24,2,3),FALSE))*(1+Projection!AL$16)*(1+IF(AJ154&gt;0,'Attrition Modeling'!$N$9,0))),0))</f>
        <v>7005.8699952763618</v>
      </c>
      <c r="AK22" s="799">
        <f>IF(AK$2=$F22+1,Monthly!AG$21,IF(AK$2&gt;$F22+1,('Traditional Attrition'!AJ22+AK154)*(1-IF(AK$2-$F22&lt;=12,SUMIFS('Attrition Modeling'!$D:$D,'Attrition Modeling'!$B:$B,'Traditional Attrition'!$E22,'Attrition Modeling'!$C:$C,'Traditional Attrition'!AK$1),VLOOKUP('Traditional Attrition'!AK$2-'Traditional Attrition'!$F22-1,'Traditional Attrition'!$A$7:$C$161,2,FALSE)*VLOOKUP(AK$1,'Attrition Modeling'!$L$15:$N$27,IF(AK$2-$F22&lt;=24,2,3),FALSE))*(1+Projection!AM$16)*(1+IF(AK154&gt;0,'Attrition Modeling'!$N$9,0))),0))</f>
        <v>6570.4092866214669</v>
      </c>
      <c r="AL22" s="799">
        <f>IF(AL$2=$F22+1,Monthly!AH$21,IF(AL$2&gt;$F22+1,('Traditional Attrition'!AK22+AL154)*(1-IF(AL$2-$F22&lt;=12,SUMIFS('Attrition Modeling'!$D:$D,'Attrition Modeling'!$B:$B,'Traditional Attrition'!$E22,'Attrition Modeling'!$C:$C,'Traditional Attrition'!AL$1),VLOOKUP('Traditional Attrition'!AL$2-'Traditional Attrition'!$F22-1,'Traditional Attrition'!$A$7:$C$161,2,FALSE)*VLOOKUP(AL$1,'Attrition Modeling'!$L$15:$N$27,IF(AL$2-$F22&lt;=24,2,3),FALSE))*(1+Projection!AN$16)*(1+IF(AL154&gt;0,'Attrition Modeling'!$N$9,0))),0))</f>
        <v>6352.3084268935463</v>
      </c>
      <c r="AM22" s="799">
        <f>IF(AM$2=$F22+1,Monthly!AI$21,IF(AM$2&gt;$F22+1,('Traditional Attrition'!AL22+AM154)*(1-IF(AM$2-$F22&lt;=12,SUMIFS('Attrition Modeling'!$D:$D,'Attrition Modeling'!$B:$B,'Traditional Attrition'!$E22,'Attrition Modeling'!$C:$C,'Traditional Attrition'!AM$1),VLOOKUP('Traditional Attrition'!AM$2-'Traditional Attrition'!$F22-1,'Traditional Attrition'!$A$7:$C$161,2,FALSE)*VLOOKUP(AM$1,'Attrition Modeling'!$L$15:$N$27,IF(AM$2-$F22&lt;=24,2,3),FALSE))*(1+Projection!AO$16)*(1+IF(AM154&gt;0,'Attrition Modeling'!$N$9,0))),0))</f>
        <v>5967.5736684780868</v>
      </c>
      <c r="AN22" s="799">
        <f>IF(AN$2=$F22+1,Monthly!AJ$21,IF(AN$2&gt;$F22+1,('Traditional Attrition'!AM22+AN154)*(1-IF(AN$2-$F22&lt;=12,SUMIFS('Attrition Modeling'!$D:$D,'Attrition Modeling'!$B:$B,'Traditional Attrition'!$E22,'Attrition Modeling'!$C:$C,'Traditional Attrition'!AN$1),VLOOKUP('Traditional Attrition'!AN$2-'Traditional Attrition'!$F22-1,'Traditional Attrition'!$A$7:$C$161,2,FALSE)*VLOOKUP(AN$1,'Attrition Modeling'!$L$15:$N$27,IF(AN$2-$F22&lt;=24,2,3),FALSE))*(1+Projection!AP$16)*(1+IF(AN154&gt;0,'Attrition Modeling'!$N$9,0))),0))</f>
        <v>5663.4506765442793</v>
      </c>
      <c r="AO22" s="799">
        <f>IF(AO$2=$F22+1,Monthly!AK$21,IF(AO$2&gt;$F22+1,('Traditional Attrition'!AN22+AO154)*(1-IF(AO$2-$F22&lt;=12,SUMIFS('Attrition Modeling'!$D:$D,'Attrition Modeling'!$B:$B,'Traditional Attrition'!$E22,'Attrition Modeling'!$C:$C,'Traditional Attrition'!AO$1),VLOOKUP('Traditional Attrition'!AO$2-'Traditional Attrition'!$F22-1,'Traditional Attrition'!$A$7:$C$161,2,FALSE)*VLOOKUP(AO$1,'Attrition Modeling'!$L$15:$N$27,IF(AO$2-$F22&lt;=24,2,3),FALSE))*(1+Projection!AQ$16)*(1+IF(AO154&gt;0,'Attrition Modeling'!$N$9,0))),0))</f>
        <v>5382.6081956602884</v>
      </c>
      <c r="AP22" s="799">
        <f>IF(AP$2=$F22+1,Monthly!AL$21,IF(AP$2&gt;$F22+1,('Traditional Attrition'!AO22+AP154)*(1-IF(AP$2-$F22&lt;=12,SUMIFS('Attrition Modeling'!$D:$D,'Attrition Modeling'!$B:$B,'Traditional Attrition'!$E22,'Attrition Modeling'!$C:$C,'Traditional Attrition'!AP$1),VLOOKUP('Traditional Attrition'!AP$2-'Traditional Attrition'!$F22-1,'Traditional Attrition'!$A$7:$C$161,2,FALSE)*VLOOKUP(AP$1,'Attrition Modeling'!$L$15:$N$27,IF(AP$2-$F22&lt;=24,2,3),FALSE))*(1+Projection!AR$16)*(1+IF(AP154&gt;0,'Attrition Modeling'!$N$9,0))),0))</f>
        <v>5135.2172220215616</v>
      </c>
      <c r="AQ22" s="799">
        <f>IF(AQ$2=$F22+1,Monthly!AM$21,IF(AQ$2&gt;$F22+1,('Traditional Attrition'!AP22+AQ154)*(1-IF(AQ$2-$F22&lt;=12,SUMIFS('Attrition Modeling'!$D:$D,'Attrition Modeling'!$B:$B,'Traditional Attrition'!$E22,'Attrition Modeling'!$C:$C,'Traditional Attrition'!AQ$1),VLOOKUP('Traditional Attrition'!AQ$2-'Traditional Attrition'!$F22-1,'Traditional Attrition'!$A$7:$C$161,2,FALSE)*VLOOKUP(AQ$1,'Attrition Modeling'!$L$15:$N$27,IF(AQ$2-$F22&lt;=24,2,3),FALSE))*(1+Projection!AS$16)*(1+IF(AQ154&gt;0,'Attrition Modeling'!$N$9,0))),0))</f>
        <v>4908.5443781762797</v>
      </c>
      <c r="AR22" s="799">
        <f>IF(AR$2=$F22+1,Monthly!AN$21,IF(AR$2&gt;$F22+1,('Traditional Attrition'!AQ22+AR154)*(1-IF(AR$2-$F22&lt;=12,SUMIFS('Attrition Modeling'!$D:$D,'Attrition Modeling'!$B:$B,'Traditional Attrition'!$E22,'Attrition Modeling'!$C:$C,'Traditional Attrition'!AR$1),VLOOKUP('Traditional Attrition'!AR$2-'Traditional Attrition'!$F22-1,'Traditional Attrition'!$A$7:$C$161,2,FALSE)*VLOOKUP(AR$1,'Attrition Modeling'!$L$15:$N$27,IF(AR$2-$F22&lt;=24,2,3),FALSE))*(1+Projection!AT$16)*(1+IF(AR154&gt;0,'Attrition Modeling'!$N$9,0))),0))</f>
        <v>5101.6077893383226</v>
      </c>
      <c r="AS22" s="799">
        <f>IF(AS$2=$F22+1,Monthly!AO$21,IF(AS$2&gt;$F22+1,('Traditional Attrition'!AR22+AS154)*(1-IF(AS$2-$F22&lt;=12,SUMIFS('Attrition Modeling'!$D:$D,'Attrition Modeling'!$B:$B,'Traditional Attrition'!$E22,'Attrition Modeling'!$C:$C,'Traditional Attrition'!AS$1),VLOOKUP('Traditional Attrition'!AS$2-'Traditional Attrition'!$F22-1,'Traditional Attrition'!$A$7:$C$161,2,FALSE)*VLOOKUP(AS$1,'Attrition Modeling'!$L$15:$N$27,IF(AS$2-$F22&lt;=24,2,3),FALSE))*(1+Projection!AU$16)*(1+IF(AS154&gt;0,'Attrition Modeling'!$N$9,0))),0))</f>
        <v>4907.569761261675</v>
      </c>
      <c r="AT22" s="799">
        <f>IF(AT$2=$F22+1,Monthly!AP$21,IF(AT$2&gt;$F22+1,('Traditional Attrition'!AS22+AT154)*(1-IF(AT$2-$F22&lt;=12,SUMIFS('Attrition Modeling'!$D:$D,'Attrition Modeling'!$B:$B,'Traditional Attrition'!$E22,'Attrition Modeling'!$C:$C,'Traditional Attrition'!AT$1),VLOOKUP('Traditional Attrition'!AT$2-'Traditional Attrition'!$F22-1,'Traditional Attrition'!$A$7:$C$161,2,FALSE)*VLOOKUP(AT$1,'Attrition Modeling'!$L$15:$N$27,IF(AT$2-$F22&lt;=24,2,3),FALSE))*(1+Projection!AV$16)*(1+IF(AT154&gt;0,'Attrition Modeling'!$N$9,0))),0))</f>
        <v>4708.2419061258579</v>
      </c>
      <c r="AU22" s="799">
        <f>IF(AU$2=$F22+1,Monthly!AQ$21,IF(AU$2&gt;$F22+1,('Traditional Attrition'!AT22+AU154)*(1-IF(AU$2-$F22&lt;=12,SUMIFS('Attrition Modeling'!$D:$D,'Attrition Modeling'!$B:$B,'Traditional Attrition'!$E22,'Attrition Modeling'!$C:$C,'Traditional Attrition'!AU$1),VLOOKUP('Traditional Attrition'!AU$2-'Traditional Attrition'!$F22-1,'Traditional Attrition'!$A$7:$C$161,2,FALSE)*VLOOKUP(AU$1,'Attrition Modeling'!$L$15:$N$27,IF(AU$2-$F22&lt;=24,2,3),FALSE))*(1+Projection!AW$16)*(1+IF(AU154&gt;0,'Attrition Modeling'!$N$9,0))),0))</f>
        <v>4523.4298215065792</v>
      </c>
      <c r="AV22" s="799">
        <f>IF(AV$2=$F22+1,Monthly!AR$21,IF(AV$2&gt;$F22+1,('Traditional Attrition'!AU22+AV154)*(1-IF(AV$2-$F22&lt;=12,SUMIFS('Attrition Modeling'!$D:$D,'Attrition Modeling'!$B:$B,'Traditional Attrition'!$E22,'Attrition Modeling'!$C:$C,'Traditional Attrition'!AV$1),VLOOKUP('Traditional Attrition'!AV$2-'Traditional Attrition'!$F22-1,'Traditional Attrition'!$A$7:$C$161,2,FALSE)*VLOOKUP(AV$1,'Attrition Modeling'!$L$15:$N$27,IF(AV$2-$F22&lt;=24,2,3),FALSE))*(1+Projection!AX$16)*(1+IF(AV154&gt;0,'Attrition Modeling'!$N$9,0))),0))</f>
        <v>4349.8810912353219</v>
      </c>
      <c r="AW22" s="799">
        <f>IF(AW$2=$F22+1,Monthly!AS$21,IF(AW$2&gt;$F22+1,('Traditional Attrition'!AV22+AW154)*(1-IF(AW$2-$F22&lt;=12,SUMIFS('Attrition Modeling'!$D:$D,'Attrition Modeling'!$B:$B,'Traditional Attrition'!$E22,'Attrition Modeling'!$C:$C,'Traditional Attrition'!AW$1),VLOOKUP('Traditional Attrition'!AW$2-'Traditional Attrition'!$F22-1,'Traditional Attrition'!$A$7:$C$161,2,FALSE)*VLOOKUP(AW$1,'Attrition Modeling'!$L$15:$N$27,IF(AW$2-$F22&lt;=24,2,3),FALSE))*(1+Projection!AY$16)*(1+IF(AW154&gt;0,'Attrition Modeling'!$N$9,0))),0))</f>
        <v>4169.2744456970477</v>
      </c>
      <c r="AX22" s="799">
        <f>IF(AX$2=$F22+1,Monthly!AT$21,IF(AX$2&gt;$F22+1,('Traditional Attrition'!AW22+AX154)*(1-IF(AX$2-$F22&lt;=12,SUMIFS('Attrition Modeling'!$D:$D,'Attrition Modeling'!$B:$B,'Traditional Attrition'!$E22,'Attrition Modeling'!$C:$C,'Traditional Attrition'!AX$1),VLOOKUP('Traditional Attrition'!AX$2-'Traditional Attrition'!$F22-1,'Traditional Attrition'!$A$7:$C$161,2,FALSE)*VLOOKUP(AX$1,'Attrition Modeling'!$L$15:$N$27,IF(AX$2-$F22&lt;=24,2,3),FALSE))*(1+Projection!AZ$16)*(1+IF(AX154&gt;0,'Attrition Modeling'!$N$9,0))),0))</f>
        <v>3994.4137092015671</v>
      </c>
      <c r="AY22" s="799">
        <f>IF(AY$2=$F22+1,Monthly!AU$21,IF(AY$2&gt;$F22+1,('Traditional Attrition'!AX22+AY154)*(1-IF(AY$2-$F22&lt;=12,SUMIFS('Attrition Modeling'!$D:$D,'Attrition Modeling'!$B:$B,'Traditional Attrition'!$E22,'Attrition Modeling'!$C:$C,'Traditional Attrition'!AY$1),VLOOKUP('Traditional Attrition'!AY$2-'Traditional Attrition'!$F22-1,'Traditional Attrition'!$A$7:$C$161,2,FALSE)*VLOOKUP(AY$1,'Attrition Modeling'!$L$15:$N$27,IF(AY$2-$F22&lt;=24,2,3),FALSE))*(1+Projection!BA$16)*(1+IF(AY154&gt;0,'Attrition Modeling'!$N$9,0))),0))</f>
        <v>3819.9970947078436</v>
      </c>
      <c r="AZ22" s="799">
        <f>IF(AZ$2=$F22+1,Monthly!AV$21,IF(AZ$2&gt;$F22+1,('Traditional Attrition'!AY22+AZ154)*(1-IF(AZ$2-$F22&lt;=12,SUMIFS('Attrition Modeling'!$D:$D,'Attrition Modeling'!$B:$B,'Traditional Attrition'!$E22,'Attrition Modeling'!$C:$C,'Traditional Attrition'!AZ$1),VLOOKUP('Traditional Attrition'!AZ$2-'Traditional Attrition'!$F22-1,'Traditional Attrition'!$A$7:$C$161,2,FALSE)*VLOOKUP(AZ$1,'Attrition Modeling'!$L$15:$N$27,IF(AZ$2-$F22&lt;=24,2,3),FALSE))*(1+Projection!BB$16)*(1+IF(AZ154&gt;0,'Attrition Modeling'!$N$9,0))),0))</f>
        <v>3665.534846449661</v>
      </c>
      <c r="BA22" s="799">
        <f>IF(BA$2=$F22+1,Monthly!AW$21,IF(BA$2&gt;$F22+1,('Traditional Attrition'!AZ22+BA154)*(1-IF(BA$2-$F22&lt;=12,SUMIFS('Attrition Modeling'!$D:$D,'Attrition Modeling'!$B:$B,'Traditional Attrition'!$E22,'Attrition Modeling'!$C:$C,'Traditional Attrition'!BA$1),VLOOKUP('Traditional Attrition'!BA$2-'Traditional Attrition'!$F22-1,'Traditional Attrition'!$A$7:$C$161,2,FALSE)*VLOOKUP(BA$1,'Attrition Modeling'!$L$15:$N$27,IF(BA$2-$F22&lt;=24,2,3),FALSE))*(1+Projection!BC$16)*(1+IF(BA154&gt;0,'Attrition Modeling'!$N$9,0))),0))</f>
        <v>3524.3589301614657</v>
      </c>
      <c r="BB22" s="799">
        <f>IF(BB$2=$F22+1,Monthly!AX$21,IF(BB$2&gt;$F22+1,('Traditional Attrition'!BA22+BB154)*(1-IF(BB$2-$F22&lt;=12,SUMIFS('Attrition Modeling'!$D:$D,'Attrition Modeling'!$B:$B,'Traditional Attrition'!$E22,'Attrition Modeling'!$C:$C,'Traditional Attrition'!BB$1),VLOOKUP('Traditional Attrition'!BB$2-'Traditional Attrition'!$F22-1,'Traditional Attrition'!$A$7:$C$161,2,FALSE)*VLOOKUP(BB$1,'Attrition Modeling'!$L$15:$N$27,IF(BB$2-$F22&lt;=24,2,3),FALSE))*(1+Projection!BD$16)*(1+IF(BB154&gt;0,'Attrition Modeling'!$N$9,0))),0))</f>
        <v>3393.4375724456427</v>
      </c>
      <c r="BC22" s="799">
        <f>IF(BC$2=$F22+1,Monthly!AY$21,IF(BC$2&gt;$F22+1,('Traditional Attrition'!BB22+BC154)*(1-IF(BC$2-$F22&lt;=12,SUMIFS('Attrition Modeling'!$D:$D,'Attrition Modeling'!$B:$B,'Traditional Attrition'!$E22,'Attrition Modeling'!$C:$C,'Traditional Attrition'!BC$1),VLOOKUP('Traditional Attrition'!BC$2-'Traditional Attrition'!$F22-1,'Traditional Attrition'!$A$7:$C$161,2,FALSE)*VLOOKUP(BC$1,'Attrition Modeling'!$L$15:$N$27,IF(BC$2-$F22&lt;=24,2,3),FALSE))*(1+Projection!BE$16)*(1+IF(BC154&gt;0,'Attrition Modeling'!$N$9,0))),0))</f>
        <v>3290.8918882303801</v>
      </c>
      <c r="BD22" s="799">
        <f>IF(BD$2=$F22+1,Monthly!AZ$21,IF(BD$2&gt;$F22+1,('Traditional Attrition'!BC22+BD154)*(1-IF(BD$2-$F22&lt;=12,SUMIFS('Attrition Modeling'!$D:$D,'Attrition Modeling'!$B:$B,'Traditional Attrition'!$E22,'Attrition Modeling'!$C:$C,'Traditional Attrition'!BD$1),VLOOKUP('Traditional Attrition'!BD$2-'Traditional Attrition'!$F22-1,'Traditional Attrition'!$A$7:$C$161,2,FALSE)*VLOOKUP(BD$1,'Attrition Modeling'!$L$15:$N$27,IF(BD$2-$F22&lt;=24,2,3),FALSE))*(1+Projection!BF$16)*(1+IF(BD154&gt;0,'Attrition Modeling'!$N$9,0))),0))</f>
        <v>3463.8320557181473</v>
      </c>
      <c r="BE22" s="799">
        <f>IF(BE$2=$F22+1,Monthly!BA$21,IF(BE$2&gt;$F22+1,('Traditional Attrition'!BD22+BE154)*(1-IF(BE$2-$F22&lt;=12,SUMIFS('Attrition Modeling'!$D:$D,'Attrition Modeling'!$B:$B,'Traditional Attrition'!$E22,'Attrition Modeling'!$C:$C,'Traditional Attrition'!BE$1),VLOOKUP('Traditional Attrition'!BE$2-'Traditional Attrition'!$F22-1,'Traditional Attrition'!$A$7:$C$161,2,FALSE)*VLOOKUP(BE$1,'Attrition Modeling'!$L$15:$N$27,IF(BE$2-$F22&lt;=24,2,3),FALSE))*(1+Projection!BG$16)*(1+IF(BE154&gt;0,'Attrition Modeling'!$N$9,0))),0))</f>
        <v>3354.3486051877771</v>
      </c>
      <c r="BF22" s="799">
        <f>IF(BF$2=$F22+1,Monthly!BB$21,IF(BF$2&gt;$F22+1,('Traditional Attrition'!BE22+BF154)*(1-IF(BF$2-$F22&lt;=12,SUMIFS('Attrition Modeling'!$D:$D,'Attrition Modeling'!$B:$B,'Traditional Attrition'!$E22,'Attrition Modeling'!$C:$C,'Traditional Attrition'!BF$1),VLOOKUP('Traditional Attrition'!BF$2-'Traditional Attrition'!$F22-1,'Traditional Attrition'!$A$7:$C$161,2,FALSE)*VLOOKUP(BF$1,'Attrition Modeling'!$L$15:$N$27,IF(BF$2-$F22&lt;=24,2,3),FALSE))*(1+Projection!BH$16)*(1+IF(BF154&gt;0,'Attrition Modeling'!$N$9,0))),0))</f>
        <v>3253.99847992585</v>
      </c>
      <c r="BG22" s="799">
        <f>IF(BG$2=$F22+1,Monthly!BC$21,IF(BG$2&gt;$F22+1,('Traditional Attrition'!BF22+BG154)*(1-IF(BG$2-$F22&lt;=12,SUMIFS('Attrition Modeling'!$D:$D,'Attrition Modeling'!$B:$B,'Traditional Attrition'!$E22,'Attrition Modeling'!$C:$C,'Traditional Attrition'!BG$1),VLOOKUP('Traditional Attrition'!BG$2-'Traditional Attrition'!$F22-1,'Traditional Attrition'!$A$7:$C$161,2,FALSE)*VLOOKUP(BG$1,'Attrition Modeling'!$L$15:$N$27,IF(BG$2-$F22&lt;=24,2,3),FALSE))*(1+Projection!BI$16)*(1+IF(BG154&gt;0,'Attrition Modeling'!$N$9,0))),0))</f>
        <v>3177.4882002173626</v>
      </c>
      <c r="BH22" s="799">
        <f>IF(BH$2=$F22+1,Monthly!BD$21,IF(BH$2&gt;$F22+1,('Traditional Attrition'!BG22+BH154)*(1-IF(BH$2-$F22&lt;=12,SUMIFS('Attrition Modeling'!$D:$D,'Attrition Modeling'!$B:$B,'Traditional Attrition'!$E22,'Attrition Modeling'!$C:$C,'Traditional Attrition'!BH$1),VLOOKUP('Traditional Attrition'!BH$2-'Traditional Attrition'!$F22-1,'Traditional Attrition'!$A$7:$C$161,2,FALSE)*VLOOKUP(BH$1,'Attrition Modeling'!$L$15:$N$27,IF(BH$2-$F22&lt;=24,2,3),FALSE))*(1+Projection!BJ$16)*(1+IF(BH154&gt;0,'Attrition Modeling'!$N$9,0))),0))</f>
        <v>3088.3270887035414</v>
      </c>
      <c r="BI22" s="799">
        <f>IF(BI$2=$F22+1,Monthly!BE$21,IF(BI$2&gt;$F22+1,('Traditional Attrition'!BH22+BI154)*(1-IF(BI$2-$F22&lt;=12,SUMIFS('Attrition Modeling'!$D:$D,'Attrition Modeling'!$B:$B,'Traditional Attrition'!$E22,'Attrition Modeling'!$C:$C,'Traditional Attrition'!BI$1),VLOOKUP('Traditional Attrition'!BI$2-'Traditional Attrition'!$F22-1,'Traditional Attrition'!$A$7:$C$161,2,FALSE)*VLOOKUP(BI$1,'Attrition Modeling'!$L$15:$N$27,IF(BI$2-$F22&lt;=24,2,3),FALSE))*(1+Projection!BK$16)*(1+IF(BI154&gt;0,'Attrition Modeling'!$N$9,0))),0))</f>
        <v>2990.5357964093068</v>
      </c>
      <c r="BJ22" s="799">
        <f>IF(BJ$2=$F22+1,Monthly!BF$21,IF(BJ$2&gt;$F22+1,('Traditional Attrition'!BI22+BJ154)*(1-IF(BJ$2-$F22&lt;=12,SUMIFS('Attrition Modeling'!$D:$D,'Attrition Modeling'!$B:$B,'Traditional Attrition'!$E22,'Attrition Modeling'!$C:$C,'Traditional Attrition'!BJ$1),VLOOKUP('Traditional Attrition'!BJ$2-'Traditional Attrition'!$F22-1,'Traditional Attrition'!$A$7:$C$161,2,FALSE)*VLOOKUP(BJ$1,'Attrition Modeling'!$L$15:$N$27,IF(BJ$2-$F22&lt;=24,2,3),FALSE))*(1+Projection!BL$16)*(1+IF(BJ154&gt;0,'Attrition Modeling'!$N$9,0))),0))</f>
        <v>2888.5013930173286</v>
      </c>
      <c r="BK22" s="799">
        <f>IF(BK$2=$F22+1,Monthly!BG$21,IF(BK$2&gt;$F22+1,('Traditional Attrition'!BJ22+BK154)*(1-IF(BK$2-$F22&lt;=12,SUMIFS('Attrition Modeling'!$D:$D,'Attrition Modeling'!$B:$B,'Traditional Attrition'!$E22,'Attrition Modeling'!$C:$C,'Traditional Attrition'!BK$1),VLOOKUP('Traditional Attrition'!BK$2-'Traditional Attrition'!$F22-1,'Traditional Attrition'!$A$7:$C$161,2,FALSE)*VLOOKUP(BK$1,'Attrition Modeling'!$L$15:$N$27,IF(BK$2-$F22&lt;=24,2,3),FALSE))*(1+Projection!BM$16)*(1+IF(BK154&gt;0,'Attrition Modeling'!$N$9,0))),0))</f>
        <v>2783.8147922754461</v>
      </c>
      <c r="BL22" s="799">
        <f>IF(BL$2=$F22+1,Monthly!BH$21,IF(BL$2&gt;$F22+1,('Traditional Attrition'!BK22+BL154)*(1-IF(BL$2-$F22&lt;=12,SUMIFS('Attrition Modeling'!$D:$D,'Attrition Modeling'!$B:$B,'Traditional Attrition'!$E22,'Attrition Modeling'!$C:$C,'Traditional Attrition'!BL$1),VLOOKUP('Traditional Attrition'!BL$2-'Traditional Attrition'!$F22-1,'Traditional Attrition'!$A$7:$C$161,2,FALSE)*VLOOKUP(BL$1,'Attrition Modeling'!$L$15:$N$27,IF(BL$2-$F22&lt;=24,2,3),FALSE))*(1+Projection!BN$16)*(1+IF(BL154&gt;0,'Attrition Modeling'!$N$9,0))),0))</f>
        <v>2690.0741270584895</v>
      </c>
      <c r="BM22" s="799">
        <f>IF(BM$2=$F22+1,Monthly!BI$21,IF(BM$2&gt;$F22+1,('Traditional Attrition'!BL22+BM154)*(1-IF(BM$2-$F22&lt;=12,SUMIFS('Attrition Modeling'!$D:$D,'Attrition Modeling'!$B:$B,'Traditional Attrition'!$E22,'Attrition Modeling'!$C:$C,'Traditional Attrition'!BM$1),VLOOKUP('Traditional Attrition'!BM$2-'Traditional Attrition'!$F22-1,'Traditional Attrition'!$A$7:$C$161,2,FALSE)*VLOOKUP(BM$1,'Attrition Modeling'!$L$15:$N$27,IF(BM$2-$F22&lt;=24,2,3),FALSE))*(1+Projection!BO$16)*(1+IF(BM154&gt;0,'Attrition Modeling'!$N$9,0))),0))</f>
        <v>2603.5235935072365</v>
      </c>
      <c r="BN22" s="799">
        <f>IF(BN$2=$F22+1,Monthly!BJ$21,IF(BN$2&gt;$F22+1,('Traditional Attrition'!BM22+BN154)*(1-IF(BN$2-$F22&lt;=12,SUMIFS('Attrition Modeling'!$D:$D,'Attrition Modeling'!$B:$B,'Traditional Attrition'!$E22,'Attrition Modeling'!$C:$C,'Traditional Attrition'!BN$1),VLOOKUP('Traditional Attrition'!BN$2-'Traditional Attrition'!$F22-1,'Traditional Attrition'!$A$7:$C$161,2,FALSE)*VLOOKUP(BN$1,'Attrition Modeling'!$L$15:$N$27,IF(BN$2-$F22&lt;=24,2,3),FALSE))*(1+Projection!BP$16)*(1+IF(BN154&gt;0,'Attrition Modeling'!$N$9,0))),0))</f>
        <v>2522.4937139056024</v>
      </c>
      <c r="BO22" s="799">
        <f>IF(BO$2=$F22+1,Monthly!BK$21,IF(BO$2&gt;$F22+1,('Traditional Attrition'!BN22+BO154)*(1-IF(BO$2-$F22&lt;=12,SUMIFS('Attrition Modeling'!$D:$D,'Attrition Modeling'!$B:$B,'Traditional Attrition'!$E22,'Attrition Modeling'!$C:$C,'Traditional Attrition'!BO$1),VLOOKUP('Traditional Attrition'!BO$2-'Traditional Attrition'!$F22-1,'Traditional Attrition'!$A$7:$C$161,2,FALSE)*VLOOKUP(BO$1,'Attrition Modeling'!$L$15:$N$27,IF(BO$2-$F22&lt;=24,2,3),FALSE))*(1+Projection!BV$16)*(1+IF(BO154&gt;0,'Attrition Modeling'!$N$9,0))),0))</f>
        <v>2458.4529881864123</v>
      </c>
      <c r="BP22" s="799">
        <f>IF(BP$2=$F22+1,Monthly!BL$21,IF(BP$2&gt;$F22+1,('Traditional Attrition'!BO22+BP154)*(1-IF(BP$2-$F22&lt;=12,SUMIFS('Attrition Modeling'!$D:$D,'Attrition Modeling'!$B:$B,'Traditional Attrition'!$E22,'Attrition Modeling'!$C:$C,'Traditional Attrition'!BP$1),VLOOKUP('Traditional Attrition'!BP$2-'Traditional Attrition'!$F22-1,'Traditional Attrition'!$A$7:$C$161,2,FALSE)*VLOOKUP(BP$1,'Attrition Modeling'!$L$15:$N$27,IF(BP$2-$F22&lt;=24,2,3),FALSE))*(1+Projection!BW$16)*(1+IF(BP154&gt;0,'Attrition Modeling'!$N$9,0))),0))</f>
        <v>2390.0424831605378</v>
      </c>
      <c r="BQ22" s="799">
        <f>IF(BQ$2=$F22+1,Monthly!BM$21,IF(BQ$2&gt;$F22+1,('Traditional Attrition'!BP22+BQ154)*(1-IF(BQ$2-$F22&lt;=12,SUMIFS('Attrition Modeling'!$D:$D,'Attrition Modeling'!$B:$B,'Traditional Attrition'!$E22,'Attrition Modeling'!$C:$C,'Traditional Attrition'!BQ$1),VLOOKUP('Traditional Attrition'!BQ$2-'Traditional Attrition'!$F22-1,'Traditional Attrition'!$A$7:$C$161,2,FALSE)*VLOOKUP(BQ$1,'Attrition Modeling'!$L$15:$N$27,IF(BQ$2-$F22&lt;=24,2,3),FALSE))*(1+Projection!BX$16)*(1+IF(BQ154&gt;0,'Attrition Modeling'!$N$9,0))),0))</f>
        <v>2326.255278100105</v>
      </c>
      <c r="BR22" s="799">
        <f>IF(BR$2=$F22+1,Monthly!BN$21,IF(BR$2&gt;$F22+1,('Traditional Attrition'!BQ22+BR154)*(1-IF(BR$2-$F22&lt;=12,SUMIFS('Attrition Modeling'!$D:$D,'Attrition Modeling'!$B:$B,'Traditional Attrition'!$E22,'Attrition Modeling'!$C:$C,'Traditional Attrition'!BR$1),VLOOKUP('Traditional Attrition'!BR$2-'Traditional Attrition'!$F22-1,'Traditional Attrition'!$A$7:$C$161,2,FALSE)*VLOOKUP(BR$1,'Attrition Modeling'!$L$15:$N$27,IF(BR$2-$F22&lt;=24,2,3),FALSE))*(1+Projection!BY$16)*(1+IF(BR154&gt;0,'Attrition Modeling'!$N$9,0))),0))</f>
        <v>2267.356505919578</v>
      </c>
      <c r="BS22" s="799">
        <f>IF(BS$2=$F22+1,Monthly!BO$21,IF(BS$2&gt;$F22+1,('Traditional Attrition'!BR22+BS154)*(1-IF(BS$2-$F22&lt;=12,SUMIFS('Attrition Modeling'!$D:$D,'Attrition Modeling'!$B:$B,'Traditional Attrition'!$E22,'Attrition Modeling'!$C:$C,'Traditional Attrition'!BS$1),VLOOKUP('Traditional Attrition'!BS$2-'Traditional Attrition'!$F22-1,'Traditional Attrition'!$A$7:$C$161,2,FALSE)*VLOOKUP(BS$1,'Attrition Modeling'!$L$15:$N$27,IF(BS$2-$F22&lt;=24,2,3),FALSE))*(1+Projection!BZ$16)*(1+IF(BS154&gt;0,'Attrition Modeling'!$N$9,0))),0))</f>
        <v>2222.1386822622162</v>
      </c>
      <c r="BT22" s="799">
        <f>IF(BT$2=$F22+1,Monthly!#REF!,IF(BT$2&gt;$F22+1,('Traditional Attrition'!BS22+BT154)*(1-IF(BT$2-$F22&lt;=12,SUMIFS('Attrition Modeling'!$D:$D,'Attrition Modeling'!$B:$B,'Traditional Attrition'!$E22,'Attrition Modeling'!$C:$C,'Traditional Attrition'!BT$1),VLOOKUP('Traditional Attrition'!BT$2-'Traditional Attrition'!$F22-1,'Traditional Attrition'!$A$7:$C$161,2,FALSE)*VLOOKUP(BT$1,'Attrition Modeling'!$L$15:$N$27,IF(BT$2-$F22&lt;=24,2,3),FALSE))*(1+Projection!CA$16)*(1+IF(BT154&gt;0,'Attrition Modeling'!$N$9,0))),0))</f>
        <v>2169.1421167050939</v>
      </c>
      <c r="BU22" s="799">
        <f>IF(BU$2=$F22+1,Monthly!#REF!,IF(BU$2&gt;$F22+1,('Traditional Attrition'!BT22+BU154)*(1-IF(BU$2-$F22&lt;=12,SUMIFS('Attrition Modeling'!$D:$D,'Attrition Modeling'!$B:$B,'Traditional Attrition'!$E22,'Attrition Modeling'!$C:$C,'Traditional Attrition'!BU$1),VLOOKUP('Traditional Attrition'!BU$2-'Traditional Attrition'!$F22-1,'Traditional Attrition'!$A$7:$C$161,2,FALSE)*VLOOKUP(BU$1,'Attrition Modeling'!$L$15:$N$27,IF(BU$2-$F22&lt;=24,2,3),FALSE))*(1+Projection!CB$16)*(1+IF(BU154&gt;0,'Attrition Modeling'!$N$9,0))),0))</f>
        <v>2110.6495685131072</v>
      </c>
    </row>
    <row r="23" spans="1:73" ht="14.25" customHeight="1" x14ac:dyDescent="0.2">
      <c r="A23" s="9">
        <v>16</v>
      </c>
      <c r="B23" s="25">
        <f>MAX('Attrition Modeling'!H20,$C$3)*(1-Summary!$C$20)</f>
        <v>4.4723205445370194E-2</v>
      </c>
      <c r="C23" s="24" t="e">
        <f t="shared" si="4"/>
        <v>#DIV/0!</v>
      </c>
      <c r="E23" s="11">
        <f t="shared" si="2"/>
        <v>8</v>
      </c>
      <c r="F23" s="11">
        <f t="shared" si="3"/>
        <v>20</v>
      </c>
      <c r="G23" s="799"/>
      <c r="H23" s="799">
        <f>IF(H$2=$F23+1,Monthly!D$21,IF(H$2&gt;$F23+1,('Traditional Attrition'!G23+H155)*(1-IF(H$2-$F23&lt;=12,SUMIFS('Attrition Modeling'!$D:$D,'Attrition Modeling'!$B:$B,'Traditional Attrition'!$E23,'Attrition Modeling'!$C:$C,'Traditional Attrition'!H$1),VLOOKUP('Traditional Attrition'!H$2-'Traditional Attrition'!$F23-1,'Traditional Attrition'!$A$7:$C$161,2,FALSE)*VLOOKUP(H$1,'Attrition Modeling'!$L$15:$N$27,IF(H$2-$F23&lt;=24,2,3),FALSE))*(1+Projection!J$16)*(1+IF(H155&gt;0,'Attrition Modeling'!$N$9,0))),0))</f>
        <v>0</v>
      </c>
      <c r="I23" s="799">
        <f>IF(I$2=$F23+1,Monthly!E$21,IF(I$2&gt;$F23+1,('Traditional Attrition'!H23+I155)*(1-IF(I$2-$F23&lt;=12,SUMIFS('Attrition Modeling'!$D:$D,'Attrition Modeling'!$B:$B,'Traditional Attrition'!$E23,'Attrition Modeling'!$C:$C,'Traditional Attrition'!I$1),VLOOKUP('Traditional Attrition'!I$2-'Traditional Attrition'!$F23-1,'Traditional Attrition'!$A$7:$C$161,2,FALSE)*VLOOKUP(I$1,'Attrition Modeling'!$L$15:$N$27,IF(I$2-$F23&lt;=24,2,3),FALSE))*(1+Projection!K$16)*(1+IF(I155&gt;0,'Attrition Modeling'!$N$9,0))),0))</f>
        <v>0</v>
      </c>
      <c r="J23" s="799">
        <f>IF(J$2=$F23+1,Monthly!F$21,IF(J$2&gt;$F23+1,('Traditional Attrition'!I23+J155)*(1-IF(J$2-$F23&lt;=12,SUMIFS('Attrition Modeling'!$D:$D,'Attrition Modeling'!$B:$B,'Traditional Attrition'!$E23,'Attrition Modeling'!$C:$C,'Traditional Attrition'!J$1),VLOOKUP('Traditional Attrition'!J$2-'Traditional Attrition'!$F23-1,'Traditional Attrition'!$A$7:$C$161,2,FALSE)*VLOOKUP(J$1,'Attrition Modeling'!$L$15:$N$27,IF(J$2-$F23&lt;=24,2,3),FALSE))*(1+Projection!L$16)*(1+IF(J155&gt;0,'Attrition Modeling'!$N$9,0))),0))</f>
        <v>0</v>
      </c>
      <c r="K23" s="799">
        <f>IF(K$2=$F23+1,Monthly!G$21,IF(K$2&gt;$F23+1,('Traditional Attrition'!J23+K155)*(1-IF(K$2-$F23&lt;=12,SUMIFS('Attrition Modeling'!$D:$D,'Attrition Modeling'!$B:$B,'Traditional Attrition'!$E23,'Attrition Modeling'!$C:$C,'Traditional Attrition'!K$1),VLOOKUP('Traditional Attrition'!K$2-'Traditional Attrition'!$F23-1,'Traditional Attrition'!$A$7:$C$161,2,FALSE)*VLOOKUP(K$1,'Attrition Modeling'!$L$15:$N$27,IF(K$2-$F23&lt;=24,2,3),FALSE))*(1+Projection!M$16)*(1+IF(K155&gt;0,'Attrition Modeling'!$N$9,0))),0))</f>
        <v>0</v>
      </c>
      <c r="L23" s="799">
        <f>IF(L$2=$F23+1,Monthly!H$21,IF(L$2&gt;$F23+1,('Traditional Attrition'!K23+L155)*(1-IF(L$2-$F23&lt;=12,SUMIFS('Attrition Modeling'!$D:$D,'Attrition Modeling'!$B:$B,'Traditional Attrition'!$E23,'Attrition Modeling'!$C:$C,'Traditional Attrition'!L$1),VLOOKUP('Traditional Attrition'!L$2-'Traditional Attrition'!$F23-1,'Traditional Attrition'!$A$7:$C$161,2,FALSE)*VLOOKUP(L$1,'Attrition Modeling'!$L$15:$N$27,IF(L$2-$F23&lt;=24,2,3),FALSE))*(1+Projection!N$16)*(1+IF(L155&gt;0,'Attrition Modeling'!$N$9,0))),0))</f>
        <v>0</v>
      </c>
      <c r="M23" s="799">
        <f>IF(M$2=$F23+1,Monthly!I$21,IF(M$2&gt;$F23+1,('Traditional Attrition'!L23+M155)*(1-IF(M$2-$F23&lt;=12,SUMIFS('Attrition Modeling'!$D:$D,'Attrition Modeling'!$B:$B,'Traditional Attrition'!$E23,'Attrition Modeling'!$C:$C,'Traditional Attrition'!M$1),VLOOKUP('Traditional Attrition'!M$2-'Traditional Attrition'!$F23-1,'Traditional Attrition'!$A$7:$C$161,2,FALSE)*VLOOKUP(M$1,'Attrition Modeling'!$L$15:$N$27,IF(M$2-$F23&lt;=24,2,3),FALSE))*(1+Projection!O$16)*(1+IF(M155&gt;0,'Attrition Modeling'!$N$9,0))),0))</f>
        <v>0</v>
      </c>
      <c r="N23" s="799">
        <f>IF(N$2=$F23+1,Monthly!J$21,IF(N$2&gt;$F23+1,('Traditional Attrition'!M23+N155)*(1-IF(N$2-$F23&lt;=12,SUMIFS('Attrition Modeling'!$D:$D,'Attrition Modeling'!$B:$B,'Traditional Attrition'!$E23,'Attrition Modeling'!$C:$C,'Traditional Attrition'!N$1),VLOOKUP('Traditional Attrition'!N$2-'Traditional Attrition'!$F23-1,'Traditional Attrition'!$A$7:$C$161,2,FALSE)*VLOOKUP(N$1,'Attrition Modeling'!$L$15:$N$27,IF(N$2-$F23&lt;=24,2,3),FALSE))*(1+Projection!P$16)*(1+IF(N155&gt;0,'Attrition Modeling'!$N$9,0))),0))</f>
        <v>0</v>
      </c>
      <c r="O23" s="799">
        <f>IF(O$2=$F23+1,Monthly!K$21,IF(O$2&gt;$F23+1,('Traditional Attrition'!N23+O155)*(1-IF(O$2-$F23&lt;=12,SUMIFS('Attrition Modeling'!$D:$D,'Attrition Modeling'!$B:$B,'Traditional Attrition'!$E23,'Attrition Modeling'!$C:$C,'Traditional Attrition'!O$1),VLOOKUP('Traditional Attrition'!O$2-'Traditional Attrition'!$F23-1,'Traditional Attrition'!$A$7:$C$161,2,FALSE)*VLOOKUP(O$1,'Attrition Modeling'!$L$15:$N$27,IF(O$2-$F23&lt;=24,2,3),FALSE))*(1+Projection!Q$16)*(1+IF(O155&gt;0,'Attrition Modeling'!$N$9,0))),0))</f>
        <v>0</v>
      </c>
      <c r="P23" s="799">
        <f>IF(P$2=$F23+1,Monthly!L$21,IF(P$2&gt;$F23+1,('Traditional Attrition'!O23+P155)*(1-IF(P$2-$F23&lt;=12,SUMIFS('Attrition Modeling'!$D:$D,'Attrition Modeling'!$B:$B,'Traditional Attrition'!$E23,'Attrition Modeling'!$C:$C,'Traditional Attrition'!P$1),VLOOKUP('Traditional Attrition'!P$2-'Traditional Attrition'!$F23-1,'Traditional Attrition'!$A$7:$C$161,2,FALSE)*VLOOKUP(P$1,'Attrition Modeling'!$L$15:$N$27,IF(P$2-$F23&lt;=24,2,3),FALSE))*(1+Projection!R$16)*(1+IF(P155&gt;0,'Attrition Modeling'!$N$9,0))),0))</f>
        <v>0</v>
      </c>
      <c r="Q23" s="799">
        <f>IF(Q$2=$F23+1,Monthly!M$21,IF(Q$2&gt;$F23+1,('Traditional Attrition'!P23+Q155)*(1-IF(Q$2-$F23&lt;=12,SUMIFS('Attrition Modeling'!$D:$D,'Attrition Modeling'!$B:$B,'Traditional Attrition'!$E23,'Attrition Modeling'!$C:$C,'Traditional Attrition'!Q$1),VLOOKUP('Traditional Attrition'!Q$2-'Traditional Attrition'!$F23-1,'Traditional Attrition'!$A$7:$C$161,2,FALSE)*VLOOKUP(Q$1,'Attrition Modeling'!$L$15:$N$27,IF(Q$2-$F23&lt;=24,2,3),FALSE))*(1+Projection!S$16)*(1+IF(Q155&gt;0,'Attrition Modeling'!$N$9,0))),0))</f>
        <v>0</v>
      </c>
      <c r="R23" s="799">
        <f>IF(R$2=$F23+1,Monthly!N$21,IF(R$2&gt;$F23+1,('Traditional Attrition'!Q23+R155)*(1-IF(R$2-$F23&lt;=12,SUMIFS('Attrition Modeling'!$D:$D,'Attrition Modeling'!$B:$B,'Traditional Attrition'!$E23,'Attrition Modeling'!$C:$C,'Traditional Attrition'!R$1),VLOOKUP('Traditional Attrition'!R$2-'Traditional Attrition'!$F23-1,'Traditional Attrition'!$A$7:$C$161,2,FALSE)*VLOOKUP(R$1,'Attrition Modeling'!$L$15:$N$27,IF(R$2-$F23&lt;=24,2,3),FALSE))*(1+Projection!T$16)*(1+IF(R155&gt;0,'Attrition Modeling'!$N$9,0))),0))</f>
        <v>0</v>
      </c>
      <c r="S23" s="799">
        <f>IF(S$2=$F23+1,Monthly!O$21,IF(S$2&gt;$F23+1,('Traditional Attrition'!R23+S155)*(1-IF(S$2-$F23&lt;=12,SUMIFS('Attrition Modeling'!$D:$D,'Attrition Modeling'!$B:$B,'Traditional Attrition'!$E23,'Attrition Modeling'!$C:$C,'Traditional Attrition'!S$1),VLOOKUP('Traditional Attrition'!S$2-'Traditional Attrition'!$F23-1,'Traditional Attrition'!$A$7:$C$161,2,FALSE)*VLOOKUP(S$1,'Attrition Modeling'!$L$15:$N$27,IF(S$2-$F23&lt;=24,2,3),FALSE))*(1+Projection!U$16)*(1+IF(S155&gt;0,'Attrition Modeling'!$N$9,0))),0))</f>
        <v>0</v>
      </c>
      <c r="T23" s="799">
        <f>IF(T$2=$F23+1,Monthly!P$21,IF(T$2&gt;$F23+1,('Traditional Attrition'!S23+T155)*(1-IF(T$2-$F23&lt;=12,SUMIFS('Attrition Modeling'!$D:$D,'Attrition Modeling'!$B:$B,'Traditional Attrition'!$E23,'Attrition Modeling'!$C:$C,'Traditional Attrition'!T$1),VLOOKUP('Traditional Attrition'!T$2-'Traditional Attrition'!$F23-1,'Traditional Attrition'!$A$7:$C$161,2,FALSE)*VLOOKUP(T$1,'Attrition Modeling'!$L$15:$N$27,IF(T$2-$F23&lt;=24,2,3),FALSE))*(1+Projection!V$16)*(1+IF(T155&gt;0,'Attrition Modeling'!$N$9,0))),0))</f>
        <v>0</v>
      </c>
      <c r="U23" s="799">
        <f>IF(U$2=$F23+1,Monthly!Q$21,IF(U$2&gt;$F23+1,('Traditional Attrition'!T23+U155)*(1-IF(U$2-$F23&lt;=12,SUMIFS('Attrition Modeling'!$D:$D,'Attrition Modeling'!$B:$B,'Traditional Attrition'!$E23,'Attrition Modeling'!$C:$C,'Traditional Attrition'!U$1),VLOOKUP('Traditional Attrition'!U$2-'Traditional Attrition'!$F23-1,'Traditional Attrition'!$A$7:$C$161,2,FALSE)*VLOOKUP(U$1,'Attrition Modeling'!$L$15:$N$27,IF(U$2-$F23&lt;=24,2,3),FALSE))*(1+Projection!W$16)*(1+IF(U155&gt;0,'Attrition Modeling'!$N$9,0))),0))</f>
        <v>0</v>
      </c>
      <c r="V23" s="799">
        <f>IF(V$2=$F23+1,Monthly!R$21,IF(V$2&gt;$F23+1,('Traditional Attrition'!U23+V155)*(1-IF(V$2-$F23&lt;=12,SUMIFS('Attrition Modeling'!$D:$D,'Attrition Modeling'!$B:$B,'Traditional Attrition'!$E23,'Attrition Modeling'!$C:$C,'Traditional Attrition'!V$1),VLOOKUP('Traditional Attrition'!V$2-'Traditional Attrition'!$F23-1,'Traditional Attrition'!$A$7:$C$161,2,FALSE)*VLOOKUP(V$1,'Attrition Modeling'!$L$15:$N$27,IF(V$2-$F23&lt;=24,2,3),FALSE))*(1+Projection!X$16)*(1+IF(V155&gt;0,'Attrition Modeling'!$N$9,0))),0))</f>
        <v>0</v>
      </c>
      <c r="W23" s="799">
        <f>IF(W$2=$F23+1,Monthly!S$21,IF(W$2&gt;$F23+1,('Traditional Attrition'!V23+W155)*(1-IF(W$2-$F23&lt;=12,SUMIFS('Attrition Modeling'!$D:$D,'Attrition Modeling'!$B:$B,'Traditional Attrition'!$E23,'Attrition Modeling'!$C:$C,'Traditional Attrition'!W$1),VLOOKUP('Traditional Attrition'!W$2-'Traditional Attrition'!$F23-1,'Traditional Attrition'!$A$7:$C$161,2,FALSE)*VLOOKUP(W$1,'Attrition Modeling'!$L$15:$N$27,IF(W$2-$F23&lt;=24,2,3),FALSE))*(1+Projection!Y$16)*(1+IF(W155&gt;0,'Attrition Modeling'!$N$9,0))),0))</f>
        <v>0</v>
      </c>
      <c r="X23" s="799">
        <f>IF(X$2=$F23+1,Monthly!T$21,IF(X$2&gt;$F23+1,('Traditional Attrition'!W23+X155)*(1-IF(X$2-$F23&lt;=12,SUMIFS('Attrition Modeling'!$D:$D,'Attrition Modeling'!$B:$B,'Traditional Attrition'!$E23,'Attrition Modeling'!$C:$C,'Traditional Attrition'!X$1),VLOOKUP('Traditional Attrition'!X$2-'Traditional Attrition'!$F23-1,'Traditional Attrition'!$A$7:$C$161,2,FALSE)*VLOOKUP(X$1,'Attrition Modeling'!$L$15:$N$27,IF(X$2-$F23&lt;=24,2,3),FALSE))*(1+Projection!Z$16)*(1+IF(X155&gt;0,'Attrition Modeling'!$N$9,0))),0))</f>
        <v>0</v>
      </c>
      <c r="Y23" s="799">
        <f>IF(Y$2=$F23+1,Monthly!U$21,IF(Y$2&gt;$F23+1,('Traditional Attrition'!X23+Y155)*(1-IF(Y$2-$F23&lt;=12,SUMIFS('Attrition Modeling'!$D:$D,'Attrition Modeling'!$B:$B,'Traditional Attrition'!$E23,'Attrition Modeling'!$C:$C,'Traditional Attrition'!Y$1),VLOOKUP('Traditional Attrition'!Y$2-'Traditional Attrition'!$F23-1,'Traditional Attrition'!$A$7:$C$161,2,FALSE)*VLOOKUP(Y$1,'Attrition Modeling'!$L$15:$N$27,IF(Y$2-$F23&lt;=24,2,3),FALSE))*(1+Projection!AA$16)*(1+IF(Y155&gt;0,'Attrition Modeling'!$N$9,0))),0))</f>
        <v>0</v>
      </c>
      <c r="Z23" s="799">
        <f>IF(Z$2=$F23+1,Monthly!V$21,IF(Z$2&gt;$F23+1,('Traditional Attrition'!Y23+Z155)*(1-IF(Z$2-$F23&lt;=12,SUMIFS('Attrition Modeling'!$D:$D,'Attrition Modeling'!$B:$B,'Traditional Attrition'!$E23,'Attrition Modeling'!$C:$C,'Traditional Attrition'!Z$1),VLOOKUP('Traditional Attrition'!Z$2-'Traditional Attrition'!$F23-1,'Traditional Attrition'!$A$7:$C$161,2,FALSE)*VLOOKUP(Z$1,'Attrition Modeling'!$L$15:$N$27,IF(Z$2-$F23&lt;=24,2,3),FALSE))*(1+Projection!AB$16)*(1+IF(Z155&gt;0,'Attrition Modeling'!$N$9,0))),0))</f>
        <v>0</v>
      </c>
      <c r="AA23" s="799">
        <f>IF(AA$2=$F23+1,Monthly!W$21,IF(AA$2&gt;$F23+1,('Traditional Attrition'!Z23+AA155)*(1-IF(AA$2-$F23&lt;=12,SUMIFS('Attrition Modeling'!$D:$D,'Attrition Modeling'!$B:$B,'Traditional Attrition'!$E23,'Attrition Modeling'!$C:$C,'Traditional Attrition'!AA$1),VLOOKUP('Traditional Attrition'!AA$2-'Traditional Attrition'!$F23-1,'Traditional Attrition'!$A$7:$C$161,2,FALSE)*VLOOKUP(AA$1,'Attrition Modeling'!$L$15:$N$27,IF(AA$2-$F23&lt;=24,2,3),FALSE))*(1+Projection!AC$16)*(1+IF(AA155&gt;0,'Attrition Modeling'!$N$9,0))),0))</f>
        <v>0</v>
      </c>
      <c r="AB23" s="799">
        <f>IF(AB$2=$F23+1,Monthly!X$21,IF(AB$2&gt;$F23+1,('Traditional Attrition'!AA23+AB155)*(1-IF(AB$2-$F23&lt;=12,SUMIFS('Attrition Modeling'!$D:$D,'Attrition Modeling'!$B:$B,'Traditional Attrition'!$E23,'Attrition Modeling'!$C:$C,'Traditional Attrition'!AB$1),VLOOKUP('Traditional Attrition'!AB$2-'Traditional Attrition'!$F23-1,'Traditional Attrition'!$A$7:$C$161,2,FALSE)*VLOOKUP(AB$1,'Attrition Modeling'!$L$15:$N$27,IF(AB$2-$F23&lt;=24,2,3),FALSE))*(1+Projection!AD$16)*(1+IF(AB155&gt;0,'Attrition Modeling'!$N$9,0))),0))</f>
        <v>12541.973185230914</v>
      </c>
      <c r="AC23" s="799">
        <f>IF(AC$2=$F23+1,Monthly!Y$21,IF(AC$2&gt;$F23+1,('Traditional Attrition'!AB23+AC155)*(1-IF(AC$2-$F23&lt;=12,SUMIFS('Attrition Modeling'!$D:$D,'Attrition Modeling'!$B:$B,'Traditional Attrition'!$E23,'Attrition Modeling'!$C:$C,'Traditional Attrition'!AC$1),VLOOKUP('Traditional Attrition'!AC$2-'Traditional Attrition'!$F23-1,'Traditional Attrition'!$A$7:$C$161,2,FALSE)*VLOOKUP(AC$1,'Attrition Modeling'!$L$15:$N$27,IF(AC$2-$F23&lt;=24,2,3),FALSE))*(1+Projection!AE$16)*(1+IF(AC155&gt;0,'Attrition Modeling'!$N$9,0))),0))</f>
        <v>11171.736276600748</v>
      </c>
      <c r="AD23" s="799">
        <f>IF(AD$2=$F23+1,Monthly!Z$21,IF(AD$2&gt;$F23+1,('Traditional Attrition'!AC23+AD155)*(1-IF(AD$2-$F23&lt;=12,SUMIFS('Attrition Modeling'!$D:$D,'Attrition Modeling'!$B:$B,'Traditional Attrition'!$E23,'Attrition Modeling'!$C:$C,'Traditional Attrition'!AD$1),VLOOKUP('Traditional Attrition'!AD$2-'Traditional Attrition'!$F23-1,'Traditional Attrition'!$A$7:$C$161,2,FALSE)*VLOOKUP(AD$1,'Attrition Modeling'!$L$15:$N$27,IF(AD$2-$F23&lt;=24,2,3),FALSE))*(1+Projection!AF$16)*(1+IF(AD155&gt;0,'Attrition Modeling'!$N$9,0))),0))</f>
        <v>10167.217543815013</v>
      </c>
      <c r="AE23" s="799">
        <f>IF(AE$2=$F23+1,Monthly!AA$21,IF(AE$2&gt;$F23+1,('Traditional Attrition'!AD23+AE155)*(1-IF(AE$2-$F23&lt;=12,SUMIFS('Attrition Modeling'!$D:$D,'Attrition Modeling'!$B:$B,'Traditional Attrition'!$E23,'Attrition Modeling'!$C:$C,'Traditional Attrition'!AE$1),VLOOKUP('Traditional Attrition'!AE$2-'Traditional Attrition'!$F23-1,'Traditional Attrition'!$A$7:$C$161,2,FALSE)*VLOOKUP(AE$1,'Attrition Modeling'!$L$15:$N$27,IF(AE$2-$F23&lt;=24,2,3),FALSE))*(1+Projection!AG$16)*(1+IF(AE155&gt;0,'Attrition Modeling'!$N$9,0))),0))</f>
        <v>9251.3122918431745</v>
      </c>
      <c r="AF23" s="799">
        <f>IF(AF$2=$F23+1,Monthly!AB$21,IF(AF$2&gt;$F23+1,('Traditional Attrition'!AE23+AF155)*(1-IF(AF$2-$F23&lt;=12,SUMIFS('Attrition Modeling'!$D:$D,'Attrition Modeling'!$B:$B,'Traditional Attrition'!$E23,'Attrition Modeling'!$C:$C,'Traditional Attrition'!AF$1),VLOOKUP('Traditional Attrition'!AF$2-'Traditional Attrition'!$F23-1,'Traditional Attrition'!$A$7:$C$161,2,FALSE)*VLOOKUP(AF$1,'Attrition Modeling'!$L$15:$N$27,IF(AF$2-$F23&lt;=24,2,3),FALSE))*(1+Projection!AH$16)*(1+IF(AF155&gt;0,'Attrition Modeling'!$N$9,0))),0))</f>
        <v>8534.0581423696967</v>
      </c>
      <c r="AG23" s="799">
        <f>IF(AG$2=$F23+1,Monthly!AC$21,IF(AG$2&gt;$F23+1,('Traditional Attrition'!AF23+AG155)*(1-IF(AG$2-$F23&lt;=12,SUMIFS('Attrition Modeling'!$D:$D,'Attrition Modeling'!$B:$B,'Traditional Attrition'!$E23,'Attrition Modeling'!$C:$C,'Traditional Attrition'!AG$1),VLOOKUP('Traditional Attrition'!AG$2-'Traditional Attrition'!$F23-1,'Traditional Attrition'!$A$7:$C$161,2,FALSE)*VLOOKUP(AG$1,'Attrition Modeling'!$L$15:$N$27,IF(AG$2-$F23&lt;=24,2,3),FALSE))*(1+Projection!AI$16)*(1+IF(AG155&gt;0,'Attrition Modeling'!$N$9,0))),0))</f>
        <v>8488.8881998113211</v>
      </c>
      <c r="AH23" s="799">
        <f>IF(AH$2=$F23+1,Monthly!AD$21,IF(AH$2&gt;$F23+1,('Traditional Attrition'!AG23+AH155)*(1-IF(AH$2-$F23&lt;=12,SUMIFS('Attrition Modeling'!$D:$D,'Attrition Modeling'!$B:$B,'Traditional Attrition'!$E23,'Attrition Modeling'!$C:$C,'Traditional Attrition'!AH$1),VLOOKUP('Traditional Attrition'!AH$2-'Traditional Attrition'!$F23-1,'Traditional Attrition'!$A$7:$C$161,2,FALSE)*VLOOKUP(AH$1,'Attrition Modeling'!$L$15:$N$27,IF(AH$2-$F23&lt;=24,2,3),FALSE))*(1+Projection!AJ$16)*(1+IF(AH155&gt;0,'Attrition Modeling'!$N$9,0))),0))</f>
        <v>7845.1200356241561</v>
      </c>
      <c r="AI23" s="799">
        <f>IF(AI$2=$F23+1,Monthly!AE$21,IF(AI$2&gt;$F23+1,('Traditional Attrition'!AH23+AI155)*(1-IF(AI$2-$F23&lt;=12,SUMIFS('Attrition Modeling'!$D:$D,'Attrition Modeling'!$B:$B,'Traditional Attrition'!$E23,'Attrition Modeling'!$C:$C,'Traditional Attrition'!AI$1),VLOOKUP('Traditional Attrition'!AI$2-'Traditional Attrition'!$F23-1,'Traditional Attrition'!$A$7:$C$161,2,FALSE)*VLOOKUP(AI$1,'Attrition Modeling'!$L$15:$N$27,IF(AI$2-$F23&lt;=24,2,3),FALSE))*(1+Projection!AK$16)*(1+IF(AI155&gt;0,'Attrition Modeling'!$N$9,0))),0))</f>
        <v>7329.3536805012964</v>
      </c>
      <c r="AJ23" s="799">
        <f>IF(AJ$2=$F23+1,Monthly!AF$21,IF(AJ$2&gt;$F23+1,('Traditional Attrition'!AI23+AJ155)*(1-IF(AJ$2-$F23&lt;=12,SUMIFS('Attrition Modeling'!$D:$D,'Attrition Modeling'!$B:$B,'Traditional Attrition'!$E23,'Attrition Modeling'!$C:$C,'Traditional Attrition'!AJ$1),VLOOKUP('Traditional Attrition'!AJ$2-'Traditional Attrition'!$F23-1,'Traditional Attrition'!$A$7:$C$161,2,FALSE)*VLOOKUP(AJ$1,'Attrition Modeling'!$L$15:$N$27,IF(AJ$2-$F23&lt;=24,2,3),FALSE))*(1+Projection!AL$16)*(1+IF(AJ155&gt;0,'Attrition Modeling'!$N$9,0))),0))</f>
        <v>6894.4727831129167</v>
      </c>
      <c r="AK23" s="799">
        <f>IF(AK$2=$F23+1,Monthly!AG$21,IF(AK$2&gt;$F23+1,('Traditional Attrition'!AJ23+AK155)*(1-IF(AK$2-$F23&lt;=12,SUMIFS('Attrition Modeling'!$D:$D,'Attrition Modeling'!$B:$B,'Traditional Attrition'!$E23,'Attrition Modeling'!$C:$C,'Traditional Attrition'!AK$1),VLOOKUP('Traditional Attrition'!AK$2-'Traditional Attrition'!$F23-1,'Traditional Attrition'!$A$7:$C$161,2,FALSE)*VLOOKUP(AK$1,'Attrition Modeling'!$L$15:$N$27,IF(AK$2-$F23&lt;=24,2,3),FALSE))*(1+Projection!AM$16)*(1+IF(AK155&gt;0,'Attrition Modeling'!$N$9,0))),0))</f>
        <v>6489.2473185516137</v>
      </c>
      <c r="AL23" s="799">
        <f>IF(AL$2=$F23+1,Monthly!AH$21,IF(AL$2&gt;$F23+1,('Traditional Attrition'!AK23+AL155)*(1-IF(AL$2-$F23&lt;=12,SUMIFS('Attrition Modeling'!$D:$D,'Attrition Modeling'!$B:$B,'Traditional Attrition'!$E23,'Attrition Modeling'!$C:$C,'Traditional Attrition'!AL$1),VLOOKUP('Traditional Attrition'!AL$2-'Traditional Attrition'!$F23-1,'Traditional Attrition'!$A$7:$C$161,2,FALSE)*VLOOKUP(AL$1,'Attrition Modeling'!$L$15:$N$27,IF(AL$2-$F23&lt;=24,2,3),FALSE))*(1+Projection!AN$16)*(1+IF(AL155&gt;0,'Attrition Modeling'!$N$9,0))),0))</f>
        <v>6104.3466987979709</v>
      </c>
      <c r="AM23" s="799">
        <f>IF(AM$2=$F23+1,Monthly!AI$21,IF(AM$2&gt;$F23+1,('Traditional Attrition'!AL23+AM155)*(1-IF(AM$2-$F23&lt;=12,SUMIFS('Attrition Modeling'!$D:$D,'Attrition Modeling'!$B:$B,'Traditional Attrition'!$E23,'Attrition Modeling'!$C:$C,'Traditional Attrition'!AM$1),VLOOKUP('Traditional Attrition'!AM$2-'Traditional Attrition'!$F23-1,'Traditional Attrition'!$A$7:$C$161,2,FALSE)*VLOOKUP(AM$1,'Attrition Modeling'!$L$15:$N$27,IF(AM$2-$F23&lt;=24,2,3),FALSE))*(1+Projection!AO$16)*(1+IF(AM155&gt;0,'Attrition Modeling'!$N$9,0))),0))</f>
        <v>5898.4244375212629</v>
      </c>
      <c r="AN23" s="799">
        <f>IF(AN$2=$F23+1,Monthly!AJ$21,IF(AN$2&gt;$F23+1,('Traditional Attrition'!AM23+AN155)*(1-IF(AN$2-$F23&lt;=12,SUMIFS('Attrition Modeling'!$D:$D,'Attrition Modeling'!$B:$B,'Traditional Attrition'!$E23,'Attrition Modeling'!$C:$C,'Traditional Attrition'!AN$1),VLOOKUP('Traditional Attrition'!AN$2-'Traditional Attrition'!$F23-1,'Traditional Attrition'!$A$7:$C$161,2,FALSE)*VLOOKUP(AN$1,'Attrition Modeling'!$L$15:$N$27,IF(AN$2-$F23&lt;=24,2,3),FALSE))*(1+Projection!AP$16)*(1+IF(AN155&gt;0,'Attrition Modeling'!$N$9,0))),0))</f>
        <v>5572.6637371885054</v>
      </c>
      <c r="AO23" s="799">
        <f>IF(AO$2=$F23+1,Monthly!AK$21,IF(AO$2&gt;$F23+1,('Traditional Attrition'!AN23+AO155)*(1-IF(AO$2-$F23&lt;=12,SUMIFS('Attrition Modeling'!$D:$D,'Attrition Modeling'!$B:$B,'Traditional Attrition'!$E23,'Attrition Modeling'!$C:$C,'Traditional Attrition'!AO$1),VLOOKUP('Traditional Attrition'!AO$2-'Traditional Attrition'!$F23-1,'Traditional Attrition'!$A$7:$C$161,2,FALSE)*VLOOKUP(AO$1,'Attrition Modeling'!$L$15:$N$27,IF(AO$2-$F23&lt;=24,2,3),FALSE))*(1+Projection!AQ$16)*(1+IF(AO155&gt;0,'Attrition Modeling'!$N$9,0))),0))</f>
        <v>5282.0957434117108</v>
      </c>
      <c r="AP23" s="799">
        <f>IF(AP$2=$F23+1,Monthly!AL$21,IF(AP$2&gt;$F23+1,('Traditional Attrition'!AO23+AP155)*(1-IF(AP$2-$F23&lt;=12,SUMIFS('Attrition Modeling'!$D:$D,'Attrition Modeling'!$B:$B,'Traditional Attrition'!$E23,'Attrition Modeling'!$C:$C,'Traditional Attrition'!AP$1),VLOOKUP('Traditional Attrition'!AP$2-'Traditional Attrition'!$F23-1,'Traditional Attrition'!$A$7:$C$161,2,FALSE)*VLOOKUP(AP$1,'Attrition Modeling'!$L$15:$N$27,IF(AP$2-$F23&lt;=24,2,3),FALSE))*(1+Projection!AR$16)*(1+IF(AP155&gt;0,'Attrition Modeling'!$N$9,0))),0))</f>
        <v>5030.1198895477446</v>
      </c>
      <c r="AQ23" s="799">
        <f>IF(AQ$2=$F23+1,Monthly!AM$21,IF(AQ$2&gt;$F23+1,('Traditional Attrition'!AP23+AQ155)*(1-IF(AQ$2-$F23&lt;=12,SUMIFS('Attrition Modeling'!$D:$D,'Attrition Modeling'!$B:$B,'Traditional Attrition'!$E23,'Attrition Modeling'!$C:$C,'Traditional Attrition'!AQ$1),VLOOKUP('Traditional Attrition'!AQ$2-'Traditional Attrition'!$F23-1,'Traditional Attrition'!$A$7:$C$161,2,FALSE)*VLOOKUP(AQ$1,'Attrition Modeling'!$L$15:$N$27,IF(AQ$2-$F23&lt;=24,2,3),FALSE))*(1+Projection!AS$16)*(1+IF(AQ155&gt;0,'Attrition Modeling'!$N$9,0))),0))</f>
        <v>4801.3585428063388</v>
      </c>
      <c r="AR23" s="799">
        <f>IF(AR$2=$F23+1,Monthly!AN$21,IF(AR$2&gt;$F23+1,('Traditional Attrition'!AQ23+AR155)*(1-IF(AR$2-$F23&lt;=12,SUMIFS('Attrition Modeling'!$D:$D,'Attrition Modeling'!$B:$B,'Traditional Attrition'!$E23,'Attrition Modeling'!$C:$C,'Traditional Attrition'!AR$1),VLOOKUP('Traditional Attrition'!AR$2-'Traditional Attrition'!$F23-1,'Traditional Attrition'!$A$7:$C$161,2,FALSE)*VLOOKUP(AR$1,'Attrition Modeling'!$L$15:$N$27,IF(AR$2-$F23&lt;=24,2,3),FALSE))*(1+Projection!AT$16)*(1+IF(AR155&gt;0,'Attrition Modeling'!$N$9,0))),0))</f>
        <v>4589.231307082031</v>
      </c>
      <c r="AS23" s="799">
        <f>IF(AS$2=$F23+1,Monthly!AO$21,IF(AS$2&gt;$F23+1,('Traditional Attrition'!AR23+AS155)*(1-IF(AS$2-$F23&lt;=12,SUMIFS('Attrition Modeling'!$D:$D,'Attrition Modeling'!$B:$B,'Traditional Attrition'!$E23,'Attrition Modeling'!$C:$C,'Traditional Attrition'!AS$1),VLOOKUP('Traditional Attrition'!AS$2-'Traditional Attrition'!$F23-1,'Traditional Attrition'!$A$7:$C$161,2,FALSE)*VLOOKUP(AS$1,'Attrition Modeling'!$L$15:$N$27,IF(AS$2-$F23&lt;=24,2,3),FALSE))*(1+Projection!AU$16)*(1+IF(AS155&gt;0,'Attrition Modeling'!$N$9,0))),0))</f>
        <v>4795.1941456796994</v>
      </c>
      <c r="AT23" s="799">
        <f>IF(AT$2=$F23+1,Monthly!AP$21,IF(AT$2&gt;$F23+1,('Traditional Attrition'!AS23+AT155)*(1-IF(AT$2-$F23&lt;=12,SUMIFS('Attrition Modeling'!$D:$D,'Attrition Modeling'!$B:$B,'Traditional Attrition'!$E23,'Attrition Modeling'!$C:$C,'Traditional Attrition'!AT$1),VLOOKUP('Traditional Attrition'!AT$2-'Traditional Attrition'!$F23-1,'Traditional Attrition'!$A$7:$C$161,2,FALSE)*VLOOKUP(AT$1,'Attrition Modeling'!$L$15:$N$27,IF(AT$2-$F23&lt;=24,2,3),FALSE))*(1+Projection!AV$16)*(1+IF(AT155&gt;0,'Attrition Modeling'!$N$9,0))),0))</f>
        <v>4596.6584442884505</v>
      </c>
      <c r="AU23" s="799">
        <f>IF(AU$2=$F23+1,Monthly!AQ$21,IF(AU$2&gt;$F23+1,('Traditional Attrition'!AT23+AU155)*(1-IF(AU$2-$F23&lt;=12,SUMIFS('Attrition Modeling'!$D:$D,'Attrition Modeling'!$B:$B,'Traditional Attrition'!$E23,'Attrition Modeling'!$C:$C,'Traditional Attrition'!AU$1),VLOOKUP('Traditional Attrition'!AU$2-'Traditional Attrition'!$F23-1,'Traditional Attrition'!$A$7:$C$161,2,FALSE)*VLOOKUP(AU$1,'Attrition Modeling'!$L$15:$N$27,IF(AU$2-$F23&lt;=24,2,3),FALSE))*(1+Projection!AW$16)*(1+IF(AU155&gt;0,'Attrition Modeling'!$N$9,0))),0))</f>
        <v>4413.0903277857533</v>
      </c>
      <c r="AV23" s="799">
        <f>IF(AV$2=$F23+1,Monthly!AR$21,IF(AV$2&gt;$F23+1,('Traditional Attrition'!AU23+AV155)*(1-IF(AV$2-$F23&lt;=12,SUMIFS('Attrition Modeling'!$D:$D,'Attrition Modeling'!$B:$B,'Traditional Attrition'!$E23,'Attrition Modeling'!$C:$C,'Traditional Attrition'!AV$1),VLOOKUP('Traditional Attrition'!AV$2-'Traditional Attrition'!$F23-1,'Traditional Attrition'!$A$7:$C$161,2,FALSE)*VLOOKUP(AV$1,'Attrition Modeling'!$L$15:$N$27,IF(AV$2-$F23&lt;=24,2,3),FALSE))*(1+Projection!AX$16)*(1+IF(AV155&gt;0,'Attrition Modeling'!$N$9,0))),0))</f>
        <v>4241.1009622769834</v>
      </c>
      <c r="AW23" s="799">
        <f>IF(AW$2=$F23+1,Monthly!AS$21,IF(AW$2&gt;$F23+1,('Traditional Attrition'!AV23+AW155)*(1-IF(AW$2-$F23&lt;=12,SUMIFS('Attrition Modeling'!$D:$D,'Attrition Modeling'!$B:$B,'Traditional Attrition'!$E23,'Attrition Modeling'!$C:$C,'Traditional Attrition'!AW$1),VLOOKUP('Traditional Attrition'!AW$2-'Traditional Attrition'!$F23-1,'Traditional Attrition'!$A$7:$C$161,2,FALSE)*VLOOKUP(AW$1,'Attrition Modeling'!$L$15:$N$27,IF(AW$2-$F23&lt;=24,2,3),FALSE))*(1+Projection!AY$16)*(1+IF(AW155&gt;0,'Attrition Modeling'!$N$9,0))),0))</f>
        <v>4062.4586915934424</v>
      </c>
      <c r="AX23" s="799">
        <f>IF(AX$2=$F23+1,Monthly!AT$21,IF(AX$2&gt;$F23+1,('Traditional Attrition'!AW23+AX155)*(1-IF(AX$2-$F23&lt;=12,SUMIFS('Attrition Modeling'!$D:$D,'Attrition Modeling'!$B:$B,'Traditional Attrition'!$E23,'Attrition Modeling'!$C:$C,'Traditional Attrition'!AX$1),VLOOKUP('Traditional Attrition'!AX$2-'Traditional Attrition'!$F23-1,'Traditional Attrition'!$A$7:$C$161,2,FALSE)*VLOOKUP(AX$1,'Attrition Modeling'!$L$15:$N$27,IF(AX$2-$F23&lt;=24,2,3),FALSE))*(1+Projection!AZ$16)*(1+IF(AX155&gt;0,'Attrition Modeling'!$N$9,0))),0))</f>
        <v>3889.7932112106992</v>
      </c>
      <c r="AY23" s="799">
        <f>IF(AY$2=$F23+1,Monthly!AU$21,IF(AY$2&gt;$F23+1,('Traditional Attrition'!AX23+AY155)*(1-IF(AY$2-$F23&lt;=12,SUMIFS('Attrition Modeling'!$D:$D,'Attrition Modeling'!$B:$B,'Traditional Attrition'!$E23,'Attrition Modeling'!$C:$C,'Traditional Attrition'!AY$1),VLOOKUP('Traditional Attrition'!AY$2-'Traditional Attrition'!$F23-1,'Traditional Attrition'!$A$7:$C$161,2,FALSE)*VLOOKUP(AY$1,'Attrition Modeling'!$L$15:$N$27,IF(AY$2-$F23&lt;=24,2,3),FALSE))*(1+Projection!BA$16)*(1+IF(AY155&gt;0,'Attrition Modeling'!$N$9,0))),0))</f>
        <v>3719.4388012410946</v>
      </c>
      <c r="AZ23" s="799">
        <f>IF(AZ$2=$F23+1,Monthly!AV$21,IF(AZ$2&gt;$F23+1,('Traditional Attrition'!AY23+AZ155)*(1-IF(AZ$2-$F23&lt;=12,SUMIFS('Attrition Modeling'!$D:$D,'Attrition Modeling'!$B:$B,'Traditional Attrition'!$E23,'Attrition Modeling'!$C:$C,'Traditional Attrition'!AZ$1),VLOOKUP('Traditional Attrition'!AZ$2-'Traditional Attrition'!$F23-1,'Traditional Attrition'!$A$7:$C$161,2,FALSE)*VLOOKUP(AZ$1,'Attrition Modeling'!$L$15:$N$27,IF(AZ$2-$F23&lt;=24,2,3),FALSE))*(1+Projection!BB$16)*(1+IF(AZ155&gt;0,'Attrition Modeling'!$N$9,0))),0))</f>
        <v>3566.4238832310216</v>
      </c>
      <c r="BA23" s="799">
        <f>IF(BA$2=$F23+1,Monthly!AW$21,IF(BA$2&gt;$F23+1,('Traditional Attrition'!AZ23+BA155)*(1-IF(BA$2-$F23&lt;=12,SUMIFS('Attrition Modeling'!$D:$D,'Attrition Modeling'!$B:$B,'Traditional Attrition'!$E23,'Attrition Modeling'!$C:$C,'Traditional Attrition'!BA$1),VLOOKUP('Traditional Attrition'!BA$2-'Traditional Attrition'!$F23-1,'Traditional Attrition'!$A$7:$C$161,2,FALSE)*VLOOKUP(BA$1,'Attrition Modeling'!$L$15:$N$27,IF(BA$2-$F23&lt;=24,2,3),FALSE))*(1+Projection!BC$16)*(1+IF(BA155&gt;0,'Attrition Modeling'!$N$9,0))),0))</f>
        <v>3426.7281404393598</v>
      </c>
      <c r="BB23" s="799">
        <f>IF(BB$2=$F23+1,Monthly!AX$21,IF(BB$2&gt;$F23+1,('Traditional Attrition'!BA23+BB155)*(1-IF(BB$2-$F23&lt;=12,SUMIFS('Attrition Modeling'!$D:$D,'Attrition Modeling'!$B:$B,'Traditional Attrition'!$E23,'Attrition Modeling'!$C:$C,'Traditional Attrition'!BB$1),VLOOKUP('Traditional Attrition'!BB$2-'Traditional Attrition'!$F23-1,'Traditional Attrition'!$A$7:$C$161,2,FALSE)*VLOOKUP(BB$1,'Attrition Modeling'!$L$15:$N$27,IF(BB$2-$F23&lt;=24,2,3),FALSE))*(1+Projection!BD$16)*(1+IF(BB155&gt;0,'Attrition Modeling'!$N$9,0))),0))</f>
        <v>3297.3147934876793</v>
      </c>
      <c r="BC23" s="799">
        <f>IF(BC$2=$F23+1,Monthly!AY$21,IF(BC$2&gt;$F23+1,('Traditional Attrition'!BB23+BC155)*(1-IF(BC$2-$F23&lt;=12,SUMIFS('Attrition Modeling'!$D:$D,'Attrition Modeling'!$B:$B,'Traditional Attrition'!$E23,'Attrition Modeling'!$C:$C,'Traditional Attrition'!BC$1),VLOOKUP('Traditional Attrition'!BC$2-'Traditional Attrition'!$F23-1,'Traditional Attrition'!$A$7:$C$161,2,FALSE)*VLOOKUP(BC$1,'Attrition Modeling'!$L$15:$N$27,IF(BC$2-$F23&lt;=24,2,3),FALSE))*(1+Projection!BE$16)*(1+IF(BC155&gt;0,'Attrition Modeling'!$N$9,0))),0))</f>
        <v>3196.0496385403098</v>
      </c>
      <c r="BD23" s="799">
        <f>IF(BD$2=$F23+1,Monthly!AZ$21,IF(BD$2&gt;$F23+1,('Traditional Attrition'!BC23+BD155)*(1-IF(BD$2-$F23&lt;=12,SUMIFS('Attrition Modeling'!$D:$D,'Attrition Modeling'!$B:$B,'Traditional Attrition'!$E23,'Attrition Modeling'!$C:$C,'Traditional Attrition'!BD$1),VLOOKUP('Traditional Attrition'!BD$2-'Traditional Attrition'!$F23-1,'Traditional Attrition'!$A$7:$C$161,2,FALSE)*VLOOKUP(BD$1,'Attrition Modeling'!$L$15:$N$27,IF(BD$2-$F23&lt;=24,2,3),FALSE))*(1+Projection!BF$16)*(1+IF(BD155&gt;0,'Attrition Modeling'!$N$9,0))),0))</f>
        <v>3088.7779844960723</v>
      </c>
      <c r="BE23" s="799">
        <f>IF(BE$2=$F23+1,Monthly!BA$21,IF(BE$2&gt;$F23+1,('Traditional Attrition'!BD23+BE155)*(1-IF(BE$2-$F23&lt;=12,SUMIFS('Attrition Modeling'!$D:$D,'Attrition Modeling'!$B:$B,'Traditional Attrition'!$E23,'Attrition Modeling'!$C:$C,'Traditional Attrition'!BE$1),VLOOKUP('Traditional Attrition'!BE$2-'Traditional Attrition'!$F23-1,'Traditional Attrition'!$A$7:$C$161,2,FALSE)*VLOOKUP(BE$1,'Attrition Modeling'!$L$15:$N$27,IF(BE$2-$F23&lt;=24,2,3),FALSE))*(1+Projection!BG$16)*(1+IF(BE155&gt;0,'Attrition Modeling'!$N$9,0))),0))</f>
        <v>3254.8858284952407</v>
      </c>
      <c r="BF23" s="799">
        <f>IF(BF$2=$F23+1,Monthly!BB$21,IF(BF$2&gt;$F23+1,('Traditional Attrition'!BE23+BF155)*(1-IF(BF$2-$F23&lt;=12,SUMIFS('Attrition Modeling'!$D:$D,'Attrition Modeling'!$B:$B,'Traditional Attrition'!$E23,'Attrition Modeling'!$C:$C,'Traditional Attrition'!BF$1),VLOOKUP('Traditional Attrition'!BF$2-'Traditional Attrition'!$F23-1,'Traditional Attrition'!$A$7:$C$161,2,FALSE)*VLOOKUP(BF$1,'Attrition Modeling'!$L$15:$N$27,IF(BF$2-$F23&lt;=24,2,3),FALSE))*(1+Projection!BH$16)*(1+IF(BF155&gt;0,'Attrition Modeling'!$N$9,0))),0))</f>
        <v>3156.0117741734143</v>
      </c>
      <c r="BG23" s="799">
        <f>IF(BG$2=$F23+1,Monthly!BC$21,IF(BG$2&gt;$F23+1,('Traditional Attrition'!BF23+BG155)*(1-IF(BG$2-$F23&lt;=12,SUMIFS('Attrition Modeling'!$D:$D,'Attrition Modeling'!$B:$B,'Traditional Attrition'!$E23,'Attrition Modeling'!$C:$C,'Traditional Attrition'!BG$1),VLOOKUP('Traditional Attrition'!BG$2-'Traditional Attrition'!$F23-1,'Traditional Attrition'!$A$7:$C$161,2,FALSE)*VLOOKUP(BG$1,'Attrition Modeling'!$L$15:$N$27,IF(BG$2-$F23&lt;=24,2,3),FALSE))*(1+Projection!BI$16)*(1+IF(BG155&gt;0,'Attrition Modeling'!$N$9,0))),0))</f>
        <v>3080.6822364181476</v>
      </c>
      <c r="BH23" s="799">
        <f>IF(BH$2=$F23+1,Monthly!BD$21,IF(BH$2&gt;$F23+1,('Traditional Attrition'!BG23+BH155)*(1-IF(BH$2-$F23&lt;=12,SUMIFS('Attrition Modeling'!$D:$D,'Attrition Modeling'!$B:$B,'Traditional Attrition'!$E23,'Attrition Modeling'!$C:$C,'Traditional Attrition'!BH$1),VLOOKUP('Traditional Attrition'!BH$2-'Traditional Attrition'!$F23-1,'Traditional Attrition'!$A$7:$C$161,2,FALSE)*VLOOKUP(BH$1,'Attrition Modeling'!$L$15:$N$27,IF(BH$2-$F23&lt;=24,2,3),FALSE))*(1+Projection!BJ$16)*(1+IF(BH155&gt;0,'Attrition Modeling'!$N$9,0))),0))</f>
        <v>2992.9504789421226</v>
      </c>
      <c r="BI23" s="799">
        <f>IF(BI$2=$F23+1,Monthly!BE$21,IF(BI$2&gt;$F23+1,('Traditional Attrition'!BH23+BI155)*(1-IF(BI$2-$F23&lt;=12,SUMIFS('Attrition Modeling'!$D:$D,'Attrition Modeling'!$B:$B,'Traditional Attrition'!$E23,'Attrition Modeling'!$C:$C,'Traditional Attrition'!BI$1),VLOOKUP('Traditional Attrition'!BI$2-'Traditional Attrition'!$F23-1,'Traditional Attrition'!$A$7:$C$161,2,FALSE)*VLOOKUP(BI$1,'Attrition Modeling'!$L$15:$N$27,IF(BI$2-$F23&lt;=24,2,3),FALSE))*(1+Projection!BK$16)*(1+IF(BI155&gt;0,'Attrition Modeling'!$N$9,0))),0))</f>
        <v>2896.7903171231283</v>
      </c>
      <c r="BJ23" s="799">
        <f>IF(BJ$2=$F23+1,Monthly!BF$21,IF(BJ$2&gt;$F23+1,('Traditional Attrition'!BI23+BJ155)*(1-IF(BJ$2-$F23&lt;=12,SUMIFS('Attrition Modeling'!$D:$D,'Attrition Modeling'!$B:$B,'Traditional Attrition'!$E23,'Attrition Modeling'!$C:$C,'Traditional Attrition'!BJ$1),VLOOKUP('Traditional Attrition'!BJ$2-'Traditional Attrition'!$F23-1,'Traditional Attrition'!$A$7:$C$161,2,FALSE)*VLOOKUP(BJ$1,'Attrition Modeling'!$L$15:$N$27,IF(BJ$2-$F23&lt;=24,2,3),FALSE))*(1+Projection!BL$16)*(1+IF(BJ155&gt;0,'Attrition Modeling'!$N$9,0))),0))</f>
        <v>2796.5275892779523</v>
      </c>
      <c r="BK23" s="799">
        <f>IF(BK$2=$F23+1,Monthly!BG$21,IF(BK$2&gt;$F23+1,('Traditional Attrition'!BJ23+BK155)*(1-IF(BK$2-$F23&lt;=12,SUMIFS('Attrition Modeling'!$D:$D,'Attrition Modeling'!$B:$B,'Traditional Attrition'!$E23,'Attrition Modeling'!$C:$C,'Traditional Attrition'!BK$1),VLOOKUP('Traditional Attrition'!BK$2-'Traditional Attrition'!$F23-1,'Traditional Attrition'!$A$7:$C$161,2,FALSE)*VLOOKUP(BK$1,'Attrition Modeling'!$L$15:$N$27,IF(BK$2-$F23&lt;=24,2,3),FALSE))*(1+Projection!BM$16)*(1+IF(BK155&gt;0,'Attrition Modeling'!$N$9,0))),0))</f>
        <v>2693.7321625518653</v>
      </c>
      <c r="BL23" s="799">
        <f>IF(BL$2=$F23+1,Monthly!BH$21,IF(BL$2&gt;$F23+1,('Traditional Attrition'!BK23+BL155)*(1-IF(BL$2-$F23&lt;=12,SUMIFS('Attrition Modeling'!$D:$D,'Attrition Modeling'!$B:$B,'Traditional Attrition'!$E23,'Attrition Modeling'!$C:$C,'Traditional Attrition'!BL$1),VLOOKUP('Traditional Attrition'!BL$2-'Traditional Attrition'!$F23-1,'Traditional Attrition'!$A$7:$C$161,2,FALSE)*VLOOKUP(BL$1,'Attrition Modeling'!$L$15:$N$27,IF(BL$2-$F23&lt;=24,2,3),FALSE))*(1+Projection!BN$16)*(1+IF(BL155&gt;0,'Attrition Modeling'!$N$9,0))),0))</f>
        <v>2601.7519357085262</v>
      </c>
      <c r="BM23" s="799">
        <f>IF(BM$2=$F23+1,Monthly!BI$21,IF(BM$2&gt;$F23+1,('Traditional Attrition'!BL23+BM155)*(1-IF(BM$2-$F23&lt;=12,SUMIFS('Attrition Modeling'!$D:$D,'Attrition Modeling'!$B:$B,'Traditional Attrition'!$E23,'Attrition Modeling'!$C:$C,'Traditional Attrition'!BM$1),VLOOKUP('Traditional Attrition'!BM$2-'Traditional Attrition'!$F23-1,'Traditional Attrition'!$A$7:$C$161,2,FALSE)*VLOOKUP(BM$1,'Attrition Modeling'!$L$15:$N$27,IF(BM$2-$F23&lt;=24,2,3),FALSE))*(1+Projection!BO$16)*(1+IF(BM155&gt;0,'Attrition Modeling'!$N$9,0))),0))</f>
        <v>2516.883837210285</v>
      </c>
      <c r="BN23" s="799">
        <f>IF(BN$2=$F23+1,Monthly!BJ$21,IF(BN$2&gt;$F23+1,('Traditional Attrition'!BM23+BN155)*(1-IF(BN$2-$F23&lt;=12,SUMIFS('Attrition Modeling'!$D:$D,'Attrition Modeling'!$B:$B,'Traditional Attrition'!$E23,'Attrition Modeling'!$C:$C,'Traditional Attrition'!BN$1),VLOOKUP('Traditional Attrition'!BN$2-'Traditional Attrition'!$F23-1,'Traditional Attrition'!$A$7:$C$161,2,FALSE)*VLOOKUP(BN$1,'Attrition Modeling'!$L$15:$N$27,IF(BN$2-$F23&lt;=24,2,3),FALSE))*(1+Projection!BP$16)*(1+IF(BN155&gt;0,'Attrition Modeling'!$N$9,0))),0))</f>
        <v>2437.4793894984923</v>
      </c>
      <c r="BO23" s="799">
        <f>IF(BO$2=$F23+1,Monthly!BK$21,IF(BO$2&gt;$F23+1,('Traditional Attrition'!BN23+BO155)*(1-IF(BO$2-$F23&lt;=12,SUMIFS('Attrition Modeling'!$D:$D,'Attrition Modeling'!$B:$B,'Traditional Attrition'!$E23,'Attrition Modeling'!$C:$C,'Traditional Attrition'!BO$1),VLOOKUP('Traditional Attrition'!BO$2-'Traditional Attrition'!$F23-1,'Traditional Attrition'!$A$7:$C$161,2,FALSE)*VLOOKUP(BO$1,'Attrition Modeling'!$L$15:$N$27,IF(BO$2-$F23&lt;=24,2,3),FALSE))*(1+Projection!BV$16)*(1+IF(BO155&gt;0,'Attrition Modeling'!$N$9,0))),0))</f>
        <v>2374.761147025939</v>
      </c>
      <c r="BP23" s="799">
        <f>IF(BP$2=$F23+1,Monthly!BL$21,IF(BP$2&gt;$F23+1,('Traditional Attrition'!BO23+BP155)*(1-IF(BP$2-$F23&lt;=12,SUMIFS('Attrition Modeling'!$D:$D,'Attrition Modeling'!$B:$B,'Traditional Attrition'!$E23,'Attrition Modeling'!$C:$C,'Traditional Attrition'!BP$1),VLOOKUP('Traditional Attrition'!BP$2-'Traditional Attrition'!$F23-1,'Traditional Attrition'!$A$7:$C$161,2,FALSE)*VLOOKUP(BP$1,'Attrition Modeling'!$L$15:$N$27,IF(BP$2-$F23&lt;=24,2,3),FALSE))*(1+Projection!BW$16)*(1+IF(BP155&gt;0,'Attrition Modeling'!$N$9,0))),0))</f>
        <v>2307.797357102148</v>
      </c>
      <c r="BQ23" s="799">
        <f>IF(BQ$2=$F23+1,Monthly!BM$21,IF(BQ$2&gt;$F23+1,('Traditional Attrition'!BP23+BQ155)*(1-IF(BQ$2-$F23&lt;=12,SUMIFS('Attrition Modeling'!$D:$D,'Attrition Modeling'!$B:$B,'Traditional Attrition'!$E23,'Attrition Modeling'!$C:$C,'Traditional Attrition'!BQ$1),VLOOKUP('Traditional Attrition'!BQ$2-'Traditional Attrition'!$F23-1,'Traditional Attrition'!$A$7:$C$161,2,FALSE)*VLOOKUP(BQ$1,'Attrition Modeling'!$L$15:$N$27,IF(BQ$2-$F23&lt;=24,2,3),FALSE))*(1+Projection!BX$16)*(1+IF(BQ155&gt;0,'Attrition Modeling'!$N$9,0))),0))</f>
        <v>2245.3921763329131</v>
      </c>
      <c r="BR23" s="799">
        <f>IF(BR$2=$F23+1,Monthly!BN$21,IF(BR$2&gt;$F23+1,('Traditional Attrition'!BQ23+BR155)*(1-IF(BR$2-$F23&lt;=12,SUMIFS('Attrition Modeling'!$D:$D,'Attrition Modeling'!$B:$B,'Traditional Attrition'!$E23,'Attrition Modeling'!$C:$C,'Traditional Attrition'!BR$1),VLOOKUP('Traditional Attrition'!BR$2-'Traditional Attrition'!$F23-1,'Traditional Attrition'!$A$7:$C$161,2,FALSE)*VLOOKUP(BR$1,'Attrition Modeling'!$L$15:$N$27,IF(BR$2-$F23&lt;=24,2,3),FALSE))*(1+Projection!BY$16)*(1+IF(BR155&gt;0,'Attrition Modeling'!$N$9,0))),0))</f>
        <v>2187.798461506939</v>
      </c>
      <c r="BS23" s="799">
        <f>IF(BS$2=$F23+1,Monthly!BO$21,IF(BS$2&gt;$F23+1,('Traditional Attrition'!BR23+BS155)*(1-IF(BS$2-$F23&lt;=12,SUMIFS('Attrition Modeling'!$D:$D,'Attrition Modeling'!$B:$B,'Traditional Attrition'!$E23,'Attrition Modeling'!$C:$C,'Traditional Attrition'!BS$1),VLOOKUP('Traditional Attrition'!BS$2-'Traditional Attrition'!$F23-1,'Traditional Attrition'!$A$7:$C$161,2,FALSE)*VLOOKUP(BS$1,'Attrition Modeling'!$L$15:$N$27,IF(BS$2-$F23&lt;=24,2,3),FALSE))*(1+Projection!BZ$16)*(1+IF(BS155&gt;0,'Attrition Modeling'!$N$9,0))),0))</f>
        <v>2143.6034606589292</v>
      </c>
      <c r="BT23" s="799">
        <f>IF(BT$2=$F23+1,Monthly!#REF!,IF(BT$2&gt;$F23+1,('Traditional Attrition'!BS23+BT155)*(1-IF(BT$2-$F23&lt;=12,SUMIFS('Attrition Modeling'!$D:$D,'Attrition Modeling'!$B:$B,'Traditional Attrition'!$E23,'Attrition Modeling'!$C:$C,'Traditional Attrition'!BT$1),VLOOKUP('Traditional Attrition'!BT$2-'Traditional Attrition'!$F23-1,'Traditional Attrition'!$A$7:$C$161,2,FALSE)*VLOOKUP(BT$1,'Attrition Modeling'!$L$15:$N$27,IF(BT$2-$F23&lt;=24,2,3),FALSE))*(1+Projection!CA$16)*(1+IF(BT155&gt;0,'Attrition Modeling'!$N$9,0))),0))</f>
        <v>2091.8258774860219</v>
      </c>
      <c r="BU23" s="799">
        <f>IF(BU$2=$F23+1,Monthly!#REF!,IF(BU$2&gt;$F23+1,('Traditional Attrition'!BT23+BU155)*(1-IF(BU$2-$F23&lt;=12,SUMIFS('Attrition Modeling'!$D:$D,'Attrition Modeling'!$B:$B,'Traditional Attrition'!$E23,'Attrition Modeling'!$C:$C,'Traditional Attrition'!BU$1),VLOOKUP('Traditional Attrition'!BU$2-'Traditional Attrition'!$F23-1,'Traditional Attrition'!$A$7:$C$161,2,FALSE)*VLOOKUP(BU$1,'Attrition Modeling'!$L$15:$N$27,IF(BU$2-$F23&lt;=24,2,3),FALSE))*(1+Projection!CB$16)*(1+IF(BU155&gt;0,'Attrition Modeling'!$N$9,0))),0))</f>
        <v>2034.7035065950308</v>
      </c>
    </row>
    <row r="24" spans="1:73" ht="14.25" customHeight="1" x14ac:dyDescent="0.2">
      <c r="A24" s="9">
        <v>17</v>
      </c>
      <c r="B24" s="25">
        <f>MAX('Attrition Modeling'!H21,$C$3)*(1-Summary!$C$20)</f>
        <v>4.3616003095271867E-2</v>
      </c>
      <c r="C24" s="24" t="e">
        <f t="shared" si="4"/>
        <v>#DIV/0!</v>
      </c>
      <c r="E24" s="11">
        <f t="shared" si="2"/>
        <v>9</v>
      </c>
      <c r="F24" s="11">
        <f t="shared" si="3"/>
        <v>21</v>
      </c>
      <c r="G24" s="799"/>
      <c r="H24" s="799">
        <f>IF(H$2=$F24+1,Monthly!D$21,IF(H$2&gt;$F24+1,('Traditional Attrition'!G24+H156)*(1-IF(H$2-$F24&lt;=12,SUMIFS('Attrition Modeling'!$D:$D,'Attrition Modeling'!$B:$B,'Traditional Attrition'!$E24,'Attrition Modeling'!$C:$C,'Traditional Attrition'!H$1),VLOOKUP('Traditional Attrition'!H$2-'Traditional Attrition'!$F24-1,'Traditional Attrition'!$A$7:$C$161,2,FALSE)*VLOOKUP(H$1,'Attrition Modeling'!$L$15:$N$27,IF(H$2-$F24&lt;=24,2,3),FALSE))*(1+Projection!J$16)*(1+IF(H156&gt;0,'Attrition Modeling'!$N$9,0))),0))</f>
        <v>0</v>
      </c>
      <c r="I24" s="799">
        <f>IF(I$2=$F24+1,Monthly!E$21,IF(I$2&gt;$F24+1,('Traditional Attrition'!H24+I156)*(1-IF(I$2-$F24&lt;=12,SUMIFS('Attrition Modeling'!$D:$D,'Attrition Modeling'!$B:$B,'Traditional Attrition'!$E24,'Attrition Modeling'!$C:$C,'Traditional Attrition'!I$1),VLOOKUP('Traditional Attrition'!I$2-'Traditional Attrition'!$F24-1,'Traditional Attrition'!$A$7:$C$161,2,FALSE)*VLOOKUP(I$1,'Attrition Modeling'!$L$15:$N$27,IF(I$2-$F24&lt;=24,2,3),FALSE))*(1+Projection!K$16)*(1+IF(I156&gt;0,'Attrition Modeling'!$N$9,0))),0))</f>
        <v>0</v>
      </c>
      <c r="J24" s="799">
        <f>IF(J$2=$F24+1,Monthly!F$21,IF(J$2&gt;$F24+1,('Traditional Attrition'!I24+J156)*(1-IF(J$2-$F24&lt;=12,SUMIFS('Attrition Modeling'!$D:$D,'Attrition Modeling'!$B:$B,'Traditional Attrition'!$E24,'Attrition Modeling'!$C:$C,'Traditional Attrition'!J$1),VLOOKUP('Traditional Attrition'!J$2-'Traditional Attrition'!$F24-1,'Traditional Attrition'!$A$7:$C$161,2,FALSE)*VLOOKUP(J$1,'Attrition Modeling'!$L$15:$N$27,IF(J$2-$F24&lt;=24,2,3),FALSE))*(1+Projection!L$16)*(1+IF(J156&gt;0,'Attrition Modeling'!$N$9,0))),0))</f>
        <v>0</v>
      </c>
      <c r="K24" s="799">
        <f>IF(K$2=$F24+1,Monthly!G$21,IF(K$2&gt;$F24+1,('Traditional Attrition'!J24+K156)*(1-IF(K$2-$F24&lt;=12,SUMIFS('Attrition Modeling'!$D:$D,'Attrition Modeling'!$B:$B,'Traditional Attrition'!$E24,'Attrition Modeling'!$C:$C,'Traditional Attrition'!K$1),VLOOKUP('Traditional Attrition'!K$2-'Traditional Attrition'!$F24-1,'Traditional Attrition'!$A$7:$C$161,2,FALSE)*VLOOKUP(K$1,'Attrition Modeling'!$L$15:$N$27,IF(K$2-$F24&lt;=24,2,3),FALSE))*(1+Projection!M$16)*(1+IF(K156&gt;0,'Attrition Modeling'!$N$9,0))),0))</f>
        <v>0</v>
      </c>
      <c r="L24" s="799">
        <f>IF(L$2=$F24+1,Monthly!H$21,IF(L$2&gt;$F24+1,('Traditional Attrition'!K24+L156)*(1-IF(L$2-$F24&lt;=12,SUMIFS('Attrition Modeling'!$D:$D,'Attrition Modeling'!$B:$B,'Traditional Attrition'!$E24,'Attrition Modeling'!$C:$C,'Traditional Attrition'!L$1),VLOOKUP('Traditional Attrition'!L$2-'Traditional Attrition'!$F24-1,'Traditional Attrition'!$A$7:$C$161,2,FALSE)*VLOOKUP(L$1,'Attrition Modeling'!$L$15:$N$27,IF(L$2-$F24&lt;=24,2,3),FALSE))*(1+Projection!N$16)*(1+IF(L156&gt;0,'Attrition Modeling'!$N$9,0))),0))</f>
        <v>0</v>
      </c>
      <c r="M24" s="799">
        <f>IF(M$2=$F24+1,Monthly!I$21,IF(M$2&gt;$F24+1,('Traditional Attrition'!L24+M156)*(1-IF(M$2-$F24&lt;=12,SUMIFS('Attrition Modeling'!$D:$D,'Attrition Modeling'!$B:$B,'Traditional Attrition'!$E24,'Attrition Modeling'!$C:$C,'Traditional Attrition'!M$1),VLOOKUP('Traditional Attrition'!M$2-'Traditional Attrition'!$F24-1,'Traditional Attrition'!$A$7:$C$161,2,FALSE)*VLOOKUP(M$1,'Attrition Modeling'!$L$15:$N$27,IF(M$2-$F24&lt;=24,2,3),FALSE))*(1+Projection!O$16)*(1+IF(M156&gt;0,'Attrition Modeling'!$N$9,0))),0))</f>
        <v>0</v>
      </c>
      <c r="N24" s="799">
        <f>IF(N$2=$F24+1,Monthly!J$21,IF(N$2&gt;$F24+1,('Traditional Attrition'!M24+N156)*(1-IF(N$2-$F24&lt;=12,SUMIFS('Attrition Modeling'!$D:$D,'Attrition Modeling'!$B:$B,'Traditional Attrition'!$E24,'Attrition Modeling'!$C:$C,'Traditional Attrition'!N$1),VLOOKUP('Traditional Attrition'!N$2-'Traditional Attrition'!$F24-1,'Traditional Attrition'!$A$7:$C$161,2,FALSE)*VLOOKUP(N$1,'Attrition Modeling'!$L$15:$N$27,IF(N$2-$F24&lt;=24,2,3),FALSE))*(1+Projection!P$16)*(1+IF(N156&gt;0,'Attrition Modeling'!$N$9,0))),0))</f>
        <v>0</v>
      </c>
      <c r="O24" s="799">
        <f>IF(O$2=$F24+1,Monthly!K$21,IF(O$2&gt;$F24+1,('Traditional Attrition'!N24+O156)*(1-IF(O$2-$F24&lt;=12,SUMIFS('Attrition Modeling'!$D:$D,'Attrition Modeling'!$B:$B,'Traditional Attrition'!$E24,'Attrition Modeling'!$C:$C,'Traditional Attrition'!O$1),VLOOKUP('Traditional Attrition'!O$2-'Traditional Attrition'!$F24-1,'Traditional Attrition'!$A$7:$C$161,2,FALSE)*VLOOKUP(O$1,'Attrition Modeling'!$L$15:$N$27,IF(O$2-$F24&lt;=24,2,3),FALSE))*(1+Projection!Q$16)*(1+IF(O156&gt;0,'Attrition Modeling'!$N$9,0))),0))</f>
        <v>0</v>
      </c>
      <c r="P24" s="799">
        <f>IF(P$2=$F24+1,Monthly!L$21,IF(P$2&gt;$F24+1,('Traditional Attrition'!O24+P156)*(1-IF(P$2-$F24&lt;=12,SUMIFS('Attrition Modeling'!$D:$D,'Attrition Modeling'!$B:$B,'Traditional Attrition'!$E24,'Attrition Modeling'!$C:$C,'Traditional Attrition'!P$1),VLOOKUP('Traditional Attrition'!P$2-'Traditional Attrition'!$F24-1,'Traditional Attrition'!$A$7:$C$161,2,FALSE)*VLOOKUP(P$1,'Attrition Modeling'!$L$15:$N$27,IF(P$2-$F24&lt;=24,2,3),FALSE))*(1+Projection!R$16)*(1+IF(P156&gt;0,'Attrition Modeling'!$N$9,0))),0))</f>
        <v>0</v>
      </c>
      <c r="Q24" s="799">
        <f>IF(Q$2=$F24+1,Monthly!M$21,IF(Q$2&gt;$F24+1,('Traditional Attrition'!P24+Q156)*(1-IF(Q$2-$F24&lt;=12,SUMIFS('Attrition Modeling'!$D:$D,'Attrition Modeling'!$B:$B,'Traditional Attrition'!$E24,'Attrition Modeling'!$C:$C,'Traditional Attrition'!Q$1),VLOOKUP('Traditional Attrition'!Q$2-'Traditional Attrition'!$F24-1,'Traditional Attrition'!$A$7:$C$161,2,FALSE)*VLOOKUP(Q$1,'Attrition Modeling'!$L$15:$N$27,IF(Q$2-$F24&lt;=24,2,3),FALSE))*(1+Projection!S$16)*(1+IF(Q156&gt;0,'Attrition Modeling'!$N$9,0))),0))</f>
        <v>0</v>
      </c>
      <c r="R24" s="799">
        <f>IF(R$2=$F24+1,Monthly!N$21,IF(R$2&gt;$F24+1,('Traditional Attrition'!Q24+R156)*(1-IF(R$2-$F24&lt;=12,SUMIFS('Attrition Modeling'!$D:$D,'Attrition Modeling'!$B:$B,'Traditional Attrition'!$E24,'Attrition Modeling'!$C:$C,'Traditional Attrition'!R$1),VLOOKUP('Traditional Attrition'!R$2-'Traditional Attrition'!$F24-1,'Traditional Attrition'!$A$7:$C$161,2,FALSE)*VLOOKUP(R$1,'Attrition Modeling'!$L$15:$N$27,IF(R$2-$F24&lt;=24,2,3),FALSE))*(1+Projection!T$16)*(1+IF(R156&gt;0,'Attrition Modeling'!$N$9,0))),0))</f>
        <v>0</v>
      </c>
      <c r="S24" s="799">
        <f>IF(S$2=$F24+1,Monthly!O$21,IF(S$2&gt;$F24+1,('Traditional Attrition'!R24+S156)*(1-IF(S$2-$F24&lt;=12,SUMIFS('Attrition Modeling'!$D:$D,'Attrition Modeling'!$B:$B,'Traditional Attrition'!$E24,'Attrition Modeling'!$C:$C,'Traditional Attrition'!S$1),VLOOKUP('Traditional Attrition'!S$2-'Traditional Attrition'!$F24-1,'Traditional Attrition'!$A$7:$C$161,2,FALSE)*VLOOKUP(S$1,'Attrition Modeling'!$L$15:$N$27,IF(S$2-$F24&lt;=24,2,3),FALSE))*(1+Projection!U$16)*(1+IF(S156&gt;0,'Attrition Modeling'!$N$9,0))),0))</f>
        <v>0</v>
      </c>
      <c r="T24" s="799">
        <f>IF(T$2=$F24+1,Monthly!P$21,IF(T$2&gt;$F24+1,('Traditional Attrition'!S24+T156)*(1-IF(T$2-$F24&lt;=12,SUMIFS('Attrition Modeling'!$D:$D,'Attrition Modeling'!$B:$B,'Traditional Attrition'!$E24,'Attrition Modeling'!$C:$C,'Traditional Attrition'!T$1),VLOOKUP('Traditional Attrition'!T$2-'Traditional Attrition'!$F24-1,'Traditional Attrition'!$A$7:$C$161,2,FALSE)*VLOOKUP(T$1,'Attrition Modeling'!$L$15:$N$27,IF(T$2-$F24&lt;=24,2,3),FALSE))*(1+Projection!V$16)*(1+IF(T156&gt;0,'Attrition Modeling'!$N$9,0))),0))</f>
        <v>0</v>
      </c>
      <c r="U24" s="799">
        <f>IF(U$2=$F24+1,Monthly!Q$21,IF(U$2&gt;$F24+1,('Traditional Attrition'!T24+U156)*(1-IF(U$2-$F24&lt;=12,SUMIFS('Attrition Modeling'!$D:$D,'Attrition Modeling'!$B:$B,'Traditional Attrition'!$E24,'Attrition Modeling'!$C:$C,'Traditional Attrition'!U$1),VLOOKUP('Traditional Attrition'!U$2-'Traditional Attrition'!$F24-1,'Traditional Attrition'!$A$7:$C$161,2,FALSE)*VLOOKUP(U$1,'Attrition Modeling'!$L$15:$N$27,IF(U$2-$F24&lt;=24,2,3),FALSE))*(1+Projection!W$16)*(1+IF(U156&gt;0,'Attrition Modeling'!$N$9,0))),0))</f>
        <v>0</v>
      </c>
      <c r="V24" s="799">
        <f>IF(V$2=$F24+1,Monthly!R$21,IF(V$2&gt;$F24+1,('Traditional Attrition'!U24+V156)*(1-IF(V$2-$F24&lt;=12,SUMIFS('Attrition Modeling'!$D:$D,'Attrition Modeling'!$B:$B,'Traditional Attrition'!$E24,'Attrition Modeling'!$C:$C,'Traditional Attrition'!V$1),VLOOKUP('Traditional Attrition'!V$2-'Traditional Attrition'!$F24-1,'Traditional Attrition'!$A$7:$C$161,2,FALSE)*VLOOKUP(V$1,'Attrition Modeling'!$L$15:$N$27,IF(V$2-$F24&lt;=24,2,3),FALSE))*(1+Projection!X$16)*(1+IF(V156&gt;0,'Attrition Modeling'!$N$9,0))),0))</f>
        <v>0</v>
      </c>
      <c r="W24" s="799">
        <f>IF(W$2=$F24+1,Monthly!S$21,IF(W$2&gt;$F24+1,('Traditional Attrition'!V24+W156)*(1-IF(W$2-$F24&lt;=12,SUMIFS('Attrition Modeling'!$D:$D,'Attrition Modeling'!$B:$B,'Traditional Attrition'!$E24,'Attrition Modeling'!$C:$C,'Traditional Attrition'!W$1),VLOOKUP('Traditional Attrition'!W$2-'Traditional Attrition'!$F24-1,'Traditional Attrition'!$A$7:$C$161,2,FALSE)*VLOOKUP(W$1,'Attrition Modeling'!$L$15:$N$27,IF(W$2-$F24&lt;=24,2,3),FALSE))*(1+Projection!Y$16)*(1+IF(W156&gt;0,'Attrition Modeling'!$N$9,0))),0))</f>
        <v>0</v>
      </c>
      <c r="X24" s="799">
        <f>IF(X$2=$F24+1,Monthly!T$21,IF(X$2&gt;$F24+1,('Traditional Attrition'!W24+X156)*(1-IF(X$2-$F24&lt;=12,SUMIFS('Attrition Modeling'!$D:$D,'Attrition Modeling'!$B:$B,'Traditional Attrition'!$E24,'Attrition Modeling'!$C:$C,'Traditional Attrition'!X$1),VLOOKUP('Traditional Attrition'!X$2-'Traditional Attrition'!$F24-1,'Traditional Attrition'!$A$7:$C$161,2,FALSE)*VLOOKUP(X$1,'Attrition Modeling'!$L$15:$N$27,IF(X$2-$F24&lt;=24,2,3),FALSE))*(1+Projection!Z$16)*(1+IF(X156&gt;0,'Attrition Modeling'!$N$9,0))),0))</f>
        <v>0</v>
      </c>
      <c r="Y24" s="799">
        <f>IF(Y$2=$F24+1,Monthly!U$21,IF(Y$2&gt;$F24+1,('Traditional Attrition'!X24+Y156)*(1-IF(Y$2-$F24&lt;=12,SUMIFS('Attrition Modeling'!$D:$D,'Attrition Modeling'!$B:$B,'Traditional Attrition'!$E24,'Attrition Modeling'!$C:$C,'Traditional Attrition'!Y$1),VLOOKUP('Traditional Attrition'!Y$2-'Traditional Attrition'!$F24-1,'Traditional Attrition'!$A$7:$C$161,2,FALSE)*VLOOKUP(Y$1,'Attrition Modeling'!$L$15:$N$27,IF(Y$2-$F24&lt;=24,2,3),FALSE))*(1+Projection!AA$16)*(1+IF(Y156&gt;0,'Attrition Modeling'!$N$9,0))),0))</f>
        <v>0</v>
      </c>
      <c r="Z24" s="799">
        <f>IF(Z$2=$F24+1,Monthly!V$21,IF(Z$2&gt;$F24+1,('Traditional Attrition'!Y24+Z156)*(1-IF(Z$2-$F24&lt;=12,SUMIFS('Attrition Modeling'!$D:$D,'Attrition Modeling'!$B:$B,'Traditional Attrition'!$E24,'Attrition Modeling'!$C:$C,'Traditional Attrition'!Z$1),VLOOKUP('Traditional Attrition'!Z$2-'Traditional Attrition'!$F24-1,'Traditional Attrition'!$A$7:$C$161,2,FALSE)*VLOOKUP(Z$1,'Attrition Modeling'!$L$15:$N$27,IF(Z$2-$F24&lt;=24,2,3),FALSE))*(1+Projection!AB$16)*(1+IF(Z156&gt;0,'Attrition Modeling'!$N$9,0))),0))</f>
        <v>0</v>
      </c>
      <c r="AA24" s="799">
        <f>IF(AA$2=$F24+1,Monthly!W$21,IF(AA$2&gt;$F24+1,('Traditional Attrition'!Z24+AA156)*(1-IF(AA$2-$F24&lt;=12,SUMIFS('Attrition Modeling'!$D:$D,'Attrition Modeling'!$B:$B,'Traditional Attrition'!$E24,'Attrition Modeling'!$C:$C,'Traditional Attrition'!AA$1),VLOOKUP('Traditional Attrition'!AA$2-'Traditional Attrition'!$F24-1,'Traditional Attrition'!$A$7:$C$161,2,FALSE)*VLOOKUP(AA$1,'Attrition Modeling'!$L$15:$N$27,IF(AA$2-$F24&lt;=24,2,3),FALSE))*(1+Projection!AC$16)*(1+IF(AA156&gt;0,'Attrition Modeling'!$N$9,0))),0))</f>
        <v>0</v>
      </c>
      <c r="AB24" s="799">
        <f>IF(AB$2=$F24+1,Monthly!X$21,IF(AB$2&gt;$F24+1,('Traditional Attrition'!AA24+AB156)*(1-IF(AB$2-$F24&lt;=12,SUMIFS('Attrition Modeling'!$D:$D,'Attrition Modeling'!$B:$B,'Traditional Attrition'!$E24,'Attrition Modeling'!$C:$C,'Traditional Attrition'!AB$1),VLOOKUP('Traditional Attrition'!AB$2-'Traditional Attrition'!$F24-1,'Traditional Attrition'!$A$7:$C$161,2,FALSE)*VLOOKUP(AB$1,'Attrition Modeling'!$L$15:$N$27,IF(AB$2-$F24&lt;=24,2,3),FALSE))*(1+Projection!AD$16)*(1+IF(AB156&gt;0,'Attrition Modeling'!$N$9,0))),0))</f>
        <v>0</v>
      </c>
      <c r="AC24" s="799">
        <f>IF(AC$2=$F24+1,Monthly!Y$21,IF(AC$2&gt;$F24+1,('Traditional Attrition'!AB24+AC156)*(1-IF(AC$2-$F24&lt;=12,SUMIFS('Attrition Modeling'!$D:$D,'Attrition Modeling'!$B:$B,'Traditional Attrition'!$E24,'Attrition Modeling'!$C:$C,'Traditional Attrition'!AC$1),VLOOKUP('Traditional Attrition'!AC$2-'Traditional Attrition'!$F24-1,'Traditional Attrition'!$A$7:$C$161,2,FALSE)*VLOOKUP(AC$1,'Attrition Modeling'!$L$15:$N$27,IF(AC$2-$F24&lt;=24,2,3),FALSE))*(1+Projection!AE$16)*(1+IF(AC156&gt;0,'Attrition Modeling'!$N$9,0))),0))</f>
        <v>12474.100619394152</v>
      </c>
      <c r="AD24" s="799">
        <f>IF(AD$2=$F24+1,Monthly!Z$21,IF(AD$2&gt;$F24+1,('Traditional Attrition'!AC24+AD156)*(1-IF(AD$2-$F24&lt;=12,SUMIFS('Attrition Modeling'!$D:$D,'Attrition Modeling'!$B:$B,'Traditional Attrition'!$E24,'Attrition Modeling'!$C:$C,'Traditional Attrition'!AD$1),VLOOKUP('Traditional Attrition'!AD$2-'Traditional Attrition'!$F24-1,'Traditional Attrition'!$A$7:$C$161,2,FALSE)*VLOOKUP(AD$1,'Attrition Modeling'!$L$15:$N$27,IF(AD$2-$F24&lt;=24,2,3),FALSE))*(1+Projection!AF$16)*(1+IF(AD156&gt;0,'Attrition Modeling'!$N$9,0))),0))</f>
        <v>11224.466425314298</v>
      </c>
      <c r="AE24" s="799">
        <f>IF(AE$2=$F24+1,Monthly!AA$21,IF(AE$2&gt;$F24+1,('Traditional Attrition'!AD24+AE156)*(1-IF(AE$2-$F24&lt;=12,SUMIFS('Attrition Modeling'!$D:$D,'Attrition Modeling'!$B:$B,'Traditional Attrition'!$E24,'Attrition Modeling'!$C:$C,'Traditional Attrition'!AE$1),VLOOKUP('Traditional Attrition'!AE$2-'Traditional Attrition'!$F24-1,'Traditional Attrition'!$A$7:$C$161,2,FALSE)*VLOOKUP(AE$1,'Attrition Modeling'!$L$15:$N$27,IF(AE$2-$F24&lt;=24,2,3),FALSE))*(1+Projection!AG$16)*(1+IF(AE156&gt;0,'Attrition Modeling'!$N$9,0))),0))</f>
        <v>10239.09543615142</v>
      </c>
      <c r="AF24" s="799">
        <f>IF(AF$2=$F24+1,Monthly!AB$21,IF(AF$2&gt;$F24+1,('Traditional Attrition'!AE24+AF156)*(1-IF(AF$2-$F24&lt;=12,SUMIFS('Attrition Modeling'!$D:$D,'Attrition Modeling'!$B:$B,'Traditional Attrition'!$E24,'Attrition Modeling'!$C:$C,'Traditional Attrition'!AF$1),VLOOKUP('Traditional Attrition'!AF$2-'Traditional Attrition'!$F24-1,'Traditional Attrition'!$A$7:$C$161,2,FALSE)*VLOOKUP(AF$1,'Attrition Modeling'!$L$15:$N$27,IF(AF$2-$F24&lt;=24,2,3),FALSE))*(1+Projection!AH$16)*(1+IF(AF156&gt;0,'Attrition Modeling'!$N$9,0))),0))</f>
        <v>9401.2366048503191</v>
      </c>
      <c r="AG24" s="799">
        <f>IF(AG$2=$F24+1,Monthly!AC$21,IF(AG$2&gt;$F24+1,('Traditional Attrition'!AF24+AG156)*(1-IF(AG$2-$F24&lt;=12,SUMIFS('Attrition Modeling'!$D:$D,'Attrition Modeling'!$B:$B,'Traditional Attrition'!$E24,'Attrition Modeling'!$C:$C,'Traditional Attrition'!AG$1),VLOOKUP('Traditional Attrition'!AG$2-'Traditional Attrition'!$F24-1,'Traditional Attrition'!$A$7:$C$161,2,FALSE)*VLOOKUP(AG$1,'Attrition Modeling'!$L$15:$N$27,IF(AG$2-$F24&lt;=24,2,3),FALSE))*(1+Projection!AI$16)*(1+IF(AG156&gt;0,'Attrition Modeling'!$N$9,0))),0))</f>
        <v>8707.7087906960023</v>
      </c>
      <c r="AH24" s="799">
        <f>IF(AH$2=$F24+1,Monthly!AD$21,IF(AH$2&gt;$F24+1,('Traditional Attrition'!AG24+AH156)*(1-IF(AH$2-$F24&lt;=12,SUMIFS('Attrition Modeling'!$D:$D,'Attrition Modeling'!$B:$B,'Traditional Attrition'!$E24,'Attrition Modeling'!$C:$C,'Traditional Attrition'!AH$1),VLOOKUP('Traditional Attrition'!AH$2-'Traditional Attrition'!$F24-1,'Traditional Attrition'!$A$7:$C$161,2,FALSE)*VLOOKUP(AH$1,'Attrition Modeling'!$L$15:$N$27,IF(AH$2-$F24&lt;=24,2,3),FALSE))*(1+Projection!AJ$16)*(1+IF(AH156&gt;0,'Attrition Modeling'!$N$9,0))),0))</f>
        <v>8566.0426467069865</v>
      </c>
      <c r="AI24" s="799">
        <f>IF(AI$2=$F24+1,Monthly!AE$21,IF(AI$2&gt;$F24+1,('Traditional Attrition'!AH24+AI156)*(1-IF(AI$2-$F24&lt;=12,SUMIFS('Attrition Modeling'!$D:$D,'Attrition Modeling'!$B:$B,'Traditional Attrition'!$E24,'Attrition Modeling'!$C:$C,'Traditional Attrition'!AI$1),VLOOKUP('Traditional Attrition'!AI$2-'Traditional Attrition'!$F24-1,'Traditional Attrition'!$A$7:$C$161,2,FALSE)*VLOOKUP(AI$1,'Attrition Modeling'!$L$15:$N$27,IF(AI$2-$F24&lt;=24,2,3),FALSE))*(1+Projection!AK$16)*(1+IF(AI156&gt;0,'Attrition Modeling'!$N$9,0))),0))</f>
        <v>7943.5966400513171</v>
      </c>
      <c r="AJ24" s="799">
        <f>IF(AJ$2=$F24+1,Monthly!AF$21,IF(AJ$2&gt;$F24+1,('Traditional Attrition'!AI24+AJ156)*(1-IF(AJ$2-$F24&lt;=12,SUMIFS('Attrition Modeling'!$D:$D,'Attrition Modeling'!$B:$B,'Traditional Attrition'!$E24,'Attrition Modeling'!$C:$C,'Traditional Attrition'!AJ$1),VLOOKUP('Traditional Attrition'!AJ$2-'Traditional Attrition'!$F24-1,'Traditional Attrition'!$A$7:$C$161,2,FALSE)*VLOOKUP(AJ$1,'Attrition Modeling'!$L$15:$N$27,IF(AJ$2-$F24&lt;=24,2,3),FALSE))*(1+Projection!AL$16)*(1+IF(AJ156&gt;0,'Attrition Modeling'!$N$9,0))),0))</f>
        <v>7378.4871097429404</v>
      </c>
      <c r="AK24" s="799">
        <f>IF(AK$2=$F24+1,Monthly!AG$21,IF(AK$2&gt;$F24+1,('Traditional Attrition'!AJ24+AK156)*(1-IF(AK$2-$F24&lt;=12,SUMIFS('Attrition Modeling'!$D:$D,'Attrition Modeling'!$B:$B,'Traditional Attrition'!$E24,'Attrition Modeling'!$C:$C,'Traditional Attrition'!AK$1),VLOOKUP('Traditional Attrition'!AK$2-'Traditional Attrition'!$F24-1,'Traditional Attrition'!$A$7:$C$161,2,FALSE)*VLOOKUP(AK$1,'Attrition Modeling'!$L$15:$N$27,IF(AK$2-$F24&lt;=24,2,3),FALSE))*(1+Projection!AM$16)*(1+IF(AK156&gt;0,'Attrition Modeling'!$N$9,0))),0))</f>
        <v>6870.3996913494202</v>
      </c>
      <c r="AL24" s="799">
        <f>IF(AL$2=$F24+1,Monthly!AH$21,IF(AL$2&gt;$F24+1,('Traditional Attrition'!AK24+AL156)*(1-IF(AL$2-$F24&lt;=12,SUMIFS('Attrition Modeling'!$D:$D,'Attrition Modeling'!$B:$B,'Traditional Attrition'!$E24,'Attrition Modeling'!$C:$C,'Traditional Attrition'!AL$1),VLOOKUP('Traditional Attrition'!AL$2-'Traditional Attrition'!$F24-1,'Traditional Attrition'!$A$7:$C$161,2,FALSE)*VLOOKUP(AL$1,'Attrition Modeling'!$L$15:$N$27,IF(AL$2-$F24&lt;=24,2,3),FALSE))*(1+Projection!AN$16)*(1+IF(AL156&gt;0,'Attrition Modeling'!$N$9,0))),0))</f>
        <v>6448.6810236070005</v>
      </c>
      <c r="AM24" s="799">
        <f>IF(AM$2=$F24+1,Monthly!AI$21,IF(AM$2&gt;$F24+1,('Traditional Attrition'!AL24+AM156)*(1-IF(AM$2-$F24&lt;=12,SUMIFS('Attrition Modeling'!$D:$D,'Attrition Modeling'!$B:$B,'Traditional Attrition'!$E24,'Attrition Modeling'!$C:$C,'Traditional Attrition'!AM$1),VLOOKUP('Traditional Attrition'!AM$2-'Traditional Attrition'!$F24-1,'Traditional Attrition'!$A$7:$C$161,2,FALSE)*VLOOKUP(AM$1,'Attrition Modeling'!$L$15:$N$27,IF(AM$2-$F24&lt;=24,2,3),FALSE))*(1+Projection!AO$16)*(1+IF(AM156&gt;0,'Attrition Modeling'!$N$9,0))),0))</f>
        <v>6068.7325406001146</v>
      </c>
      <c r="AN24" s="799">
        <f>IF(AN$2=$F24+1,Monthly!AJ$21,IF(AN$2&gt;$F24+1,('Traditional Attrition'!AM24+AN156)*(1-IF(AN$2-$F24&lt;=12,SUMIFS('Attrition Modeling'!$D:$D,'Attrition Modeling'!$B:$B,'Traditional Attrition'!$E24,'Attrition Modeling'!$C:$C,'Traditional Attrition'!AN$1),VLOOKUP('Traditional Attrition'!AN$2-'Traditional Attrition'!$F24-1,'Traditional Attrition'!$A$7:$C$161,2,FALSE)*VLOOKUP(AN$1,'Attrition Modeling'!$L$15:$N$27,IF(AN$2-$F24&lt;=24,2,3),FALSE))*(1+Projection!AP$16)*(1+IF(AN156&gt;0,'Attrition Modeling'!$N$9,0))),0))</f>
        <v>5808.8076335143542</v>
      </c>
      <c r="AO24" s="799">
        <f>IF(AO$2=$F24+1,Monthly!AK$21,IF(AO$2&gt;$F24+1,('Traditional Attrition'!AN24+AO156)*(1-IF(AO$2-$F24&lt;=12,SUMIFS('Attrition Modeling'!$D:$D,'Attrition Modeling'!$B:$B,'Traditional Attrition'!$E24,'Attrition Modeling'!$C:$C,'Traditional Attrition'!AO$1),VLOOKUP('Traditional Attrition'!AO$2-'Traditional Attrition'!$F24-1,'Traditional Attrition'!$A$7:$C$161,2,FALSE)*VLOOKUP(AO$1,'Attrition Modeling'!$L$15:$N$27,IF(AO$2-$F24&lt;=24,2,3),FALSE))*(1+Projection!AQ$16)*(1+IF(AO156&gt;0,'Attrition Modeling'!$N$9,0))),0))</f>
        <v>5480.5739581126609</v>
      </c>
      <c r="AP24" s="799">
        <f>IF(AP$2=$F24+1,Monthly!AL$21,IF(AP$2&gt;$F24+1,('Traditional Attrition'!AO24+AP156)*(1-IF(AP$2-$F24&lt;=12,SUMIFS('Attrition Modeling'!$D:$D,'Attrition Modeling'!$B:$B,'Traditional Attrition'!$E24,'Attrition Modeling'!$C:$C,'Traditional Attrition'!AP$1),VLOOKUP('Traditional Attrition'!AP$2-'Traditional Attrition'!$F24-1,'Traditional Attrition'!$A$7:$C$161,2,FALSE)*VLOOKUP(AP$1,'Attrition Modeling'!$L$15:$N$27,IF(AP$2-$F24&lt;=24,2,3),FALSE))*(1+Projection!AR$16)*(1+IF(AP156&gt;0,'Attrition Modeling'!$N$9,0))),0))</f>
        <v>5205.6693891046125</v>
      </c>
      <c r="AQ24" s="799">
        <f>IF(AQ$2=$F24+1,Monthly!AM$21,IF(AQ$2&gt;$F24+1,('Traditional Attrition'!AP24+AQ156)*(1-IF(AQ$2-$F24&lt;=12,SUMIFS('Attrition Modeling'!$D:$D,'Attrition Modeling'!$B:$B,'Traditional Attrition'!$E24,'Attrition Modeling'!$C:$C,'Traditional Attrition'!AQ$1),VLOOKUP('Traditional Attrition'!AQ$2-'Traditional Attrition'!$F24-1,'Traditional Attrition'!$A$7:$C$161,2,FALSE)*VLOOKUP(AQ$1,'Attrition Modeling'!$L$15:$N$27,IF(AQ$2-$F24&lt;=24,2,3),FALSE))*(1+Projection!AS$16)*(1+IF(AQ156&gt;0,'Attrition Modeling'!$N$9,0))),0))</f>
        <v>4959.9482804536419</v>
      </c>
      <c r="AR24" s="799">
        <f>IF(AR$2=$F24+1,Monthly!AN$21,IF(AR$2&gt;$F24+1,('Traditional Attrition'!AQ24+AR156)*(1-IF(AR$2-$F24&lt;=12,SUMIFS('Attrition Modeling'!$D:$D,'Attrition Modeling'!$B:$B,'Traditional Attrition'!$E24,'Attrition Modeling'!$C:$C,'Traditional Attrition'!AR$1),VLOOKUP('Traditional Attrition'!AR$2-'Traditional Attrition'!$F24-1,'Traditional Attrition'!$A$7:$C$161,2,FALSE)*VLOOKUP(AR$1,'Attrition Modeling'!$L$15:$N$27,IF(AR$2-$F24&lt;=24,2,3),FALSE))*(1+Projection!AT$16)*(1+IF(AR156&gt;0,'Attrition Modeling'!$N$9,0))),0))</f>
        <v>4734.1747228056802</v>
      </c>
      <c r="AS24" s="799">
        <f>IF(AS$2=$F24+1,Monthly!AO$21,IF(AS$2&gt;$F24+1,('Traditional Attrition'!AR24+AS156)*(1-IF(AS$2-$F24&lt;=12,SUMIFS('Attrition Modeling'!$D:$D,'Attrition Modeling'!$B:$B,'Traditional Attrition'!$E24,'Attrition Modeling'!$C:$C,'Traditional Attrition'!AS$1),VLOOKUP('Traditional Attrition'!AS$2-'Traditional Attrition'!$F24-1,'Traditional Attrition'!$A$7:$C$161,2,FALSE)*VLOOKUP(AS$1,'Attrition Modeling'!$L$15:$N$27,IF(AS$2-$F24&lt;=24,2,3),FALSE))*(1+Projection!AU$16)*(1+IF(AS156&gt;0,'Attrition Modeling'!$N$9,0))),0))</f>
        <v>4545.491262092416</v>
      </c>
      <c r="AT24" s="799">
        <f>IF(AT$2=$F24+1,Monthly!AP$21,IF(AT$2&gt;$F24+1,('Traditional Attrition'!AS24+AT156)*(1-IF(AT$2-$F24&lt;=12,SUMIFS('Attrition Modeling'!$D:$D,'Attrition Modeling'!$B:$B,'Traditional Attrition'!$E24,'Attrition Modeling'!$C:$C,'Traditional Attrition'!AT$1),VLOOKUP('Traditional Attrition'!AT$2-'Traditional Attrition'!$F24-1,'Traditional Attrition'!$A$7:$C$161,2,FALSE)*VLOOKUP(AT$1,'Attrition Modeling'!$L$15:$N$27,IF(AT$2-$F24&lt;=24,2,3),FALSE))*(1+Projection!AV$16)*(1+IF(AT156&gt;0,'Attrition Modeling'!$N$9,0))),0))</f>
        <v>4728.9124594143896</v>
      </c>
      <c r="AU24" s="799">
        <f>IF(AU$2=$F24+1,Monthly!AQ$21,IF(AU$2&gt;$F24+1,('Traditional Attrition'!AT24+AU156)*(1-IF(AU$2-$F24&lt;=12,SUMIFS('Attrition Modeling'!$D:$D,'Attrition Modeling'!$B:$B,'Traditional Attrition'!$E24,'Attrition Modeling'!$C:$C,'Traditional Attrition'!AU$1),VLOOKUP('Traditional Attrition'!AU$2-'Traditional Attrition'!$F24-1,'Traditional Attrition'!$A$7:$C$161,2,FALSE)*VLOOKUP(AU$1,'Attrition Modeling'!$L$15:$N$27,IF(AU$2-$F24&lt;=24,2,3),FALSE))*(1+Projection!AW$16)*(1+IF(AU156&gt;0,'Attrition Modeling'!$N$9,0))),0))</f>
        <v>4536.4051610643328</v>
      </c>
      <c r="AV24" s="799">
        <f>IF(AV$2=$F24+1,Monthly!AR$21,IF(AV$2&gt;$F24+1,('Traditional Attrition'!AU24+AV156)*(1-IF(AV$2-$F24&lt;=12,SUMIFS('Attrition Modeling'!$D:$D,'Attrition Modeling'!$B:$B,'Traditional Attrition'!$E24,'Attrition Modeling'!$C:$C,'Traditional Attrition'!AV$1),VLOOKUP('Traditional Attrition'!AV$2-'Traditional Attrition'!$F24-1,'Traditional Attrition'!$A$7:$C$161,2,FALSE)*VLOOKUP(AV$1,'Attrition Modeling'!$L$15:$N$27,IF(AV$2-$F24&lt;=24,2,3),FALSE))*(1+Projection!AX$16)*(1+IF(AV156&gt;0,'Attrition Modeling'!$N$9,0))),0))</f>
        <v>4356.5371081351523</v>
      </c>
      <c r="AW24" s="799">
        <f>IF(AW$2=$F24+1,Monthly!AS$21,IF(AW$2&gt;$F24+1,('Traditional Attrition'!AV24+AW156)*(1-IF(AW$2-$F24&lt;=12,SUMIFS('Attrition Modeling'!$D:$D,'Attrition Modeling'!$B:$B,'Traditional Attrition'!$E24,'Attrition Modeling'!$C:$C,'Traditional Attrition'!AW$1),VLOOKUP('Traditional Attrition'!AW$2-'Traditional Attrition'!$F24-1,'Traditional Attrition'!$A$7:$C$161,2,FALSE)*VLOOKUP(AW$1,'Attrition Modeling'!$L$15:$N$27,IF(AW$2-$F24&lt;=24,2,3),FALSE))*(1+Projection!AY$16)*(1+IF(AW156&gt;0,'Attrition Modeling'!$N$9,0))),0))</f>
        <v>4170.1343944784985</v>
      </c>
      <c r="AX24" s="799">
        <f>IF(AX$2=$F24+1,Monthly!AT$21,IF(AX$2&gt;$F24+1,('Traditional Attrition'!AW24+AX156)*(1-IF(AX$2-$F24&lt;=12,SUMIFS('Attrition Modeling'!$D:$D,'Attrition Modeling'!$B:$B,'Traditional Attrition'!$E24,'Attrition Modeling'!$C:$C,'Traditional Attrition'!AX$1),VLOOKUP('Traditional Attrition'!AX$2-'Traditional Attrition'!$F24-1,'Traditional Attrition'!$A$7:$C$161,2,FALSE)*VLOOKUP(AX$1,'Attrition Modeling'!$L$15:$N$27,IF(AX$2-$F24&lt;=24,2,3),FALSE))*(1+Projection!AZ$16)*(1+IF(AX156&gt;0,'Attrition Modeling'!$N$9,0))),0))</f>
        <v>3990.3235450227066</v>
      </c>
      <c r="AY24" s="799">
        <f>IF(AY$2=$F24+1,Monthly!AU$21,IF(AY$2&gt;$F24+1,('Traditional Attrition'!AX24+AY156)*(1-IF(AY$2-$F24&lt;=12,SUMIFS('Attrition Modeling'!$D:$D,'Attrition Modeling'!$B:$B,'Traditional Attrition'!$E24,'Attrition Modeling'!$C:$C,'Traditional Attrition'!AY$1),VLOOKUP('Traditional Attrition'!AY$2-'Traditional Attrition'!$F24-1,'Traditional Attrition'!$A$7:$C$161,2,FALSE)*VLOOKUP(AY$1,'Attrition Modeling'!$L$15:$N$27,IF(AY$2-$F24&lt;=24,2,3),FALSE))*(1+Projection!BA$16)*(1+IF(AY156&gt;0,'Attrition Modeling'!$N$9,0))),0))</f>
        <v>3813.2230719664917</v>
      </c>
      <c r="AZ24" s="799">
        <f>IF(AZ$2=$F24+1,Monthly!AV$21,IF(AZ$2&gt;$F24+1,('Traditional Attrition'!AY24+AZ156)*(1-IF(AZ$2-$F24&lt;=12,SUMIFS('Attrition Modeling'!$D:$D,'Attrition Modeling'!$B:$B,'Traditional Attrition'!$E24,'Attrition Modeling'!$C:$C,'Traditional Attrition'!AZ$1),VLOOKUP('Traditional Attrition'!AZ$2-'Traditional Attrition'!$F24-1,'Traditional Attrition'!$A$7:$C$161,2,FALSE)*VLOOKUP(AZ$1,'Attrition Modeling'!$L$15:$N$27,IF(AZ$2-$F24&lt;=24,2,3),FALSE))*(1+Projection!BB$16)*(1+IF(AZ156&gt;0,'Attrition Modeling'!$N$9,0))),0))</f>
        <v>3660.9399046706567</v>
      </c>
      <c r="BA24" s="799">
        <f>IF(BA$2=$F24+1,Monthly!AW$21,IF(BA$2&gt;$F24+1,('Traditional Attrition'!AZ24+BA156)*(1-IF(BA$2-$F24&lt;=12,SUMIFS('Attrition Modeling'!$D:$D,'Attrition Modeling'!$B:$B,'Traditional Attrition'!$E24,'Attrition Modeling'!$C:$C,'Traditional Attrition'!BA$1),VLOOKUP('Traditional Attrition'!BA$2-'Traditional Attrition'!$F24-1,'Traditional Attrition'!$A$7:$C$161,2,FALSE)*VLOOKUP(BA$1,'Attrition Modeling'!$L$15:$N$27,IF(BA$2-$F24&lt;=24,2,3),FALSE))*(1+Projection!BC$16)*(1+IF(BA156&gt;0,'Attrition Modeling'!$N$9,0))),0))</f>
        <v>3515.0450925839586</v>
      </c>
      <c r="BB24" s="799">
        <f>IF(BB$2=$F24+1,Monthly!AX$21,IF(BB$2&gt;$F24+1,('Traditional Attrition'!BA24+BB156)*(1-IF(BB$2-$F24&lt;=12,SUMIFS('Attrition Modeling'!$D:$D,'Attrition Modeling'!$B:$B,'Traditional Attrition'!$E24,'Attrition Modeling'!$C:$C,'Traditional Attrition'!BB$1),VLOOKUP('Traditional Attrition'!BB$2-'Traditional Attrition'!$F24-1,'Traditional Attrition'!$A$7:$C$161,2,FALSE)*VLOOKUP(BB$1,'Attrition Modeling'!$L$15:$N$27,IF(BB$2-$F24&lt;=24,2,3),FALSE))*(1+Projection!BD$16)*(1+IF(BB156&gt;0,'Attrition Modeling'!$N$9,0))),0))</f>
        <v>3380.0377875678314</v>
      </c>
      <c r="BC24" s="799">
        <f>IF(BC$2=$F24+1,Monthly!AY$21,IF(BC$2&gt;$F24+1,('Traditional Attrition'!BB24+BC156)*(1-IF(BC$2-$F24&lt;=12,SUMIFS('Attrition Modeling'!$D:$D,'Attrition Modeling'!$B:$B,'Traditional Attrition'!$E24,'Attrition Modeling'!$C:$C,'Traditional Attrition'!BC$1),VLOOKUP('Traditional Attrition'!BC$2-'Traditional Attrition'!$F24-1,'Traditional Attrition'!$A$7:$C$161,2,FALSE)*VLOOKUP(BC$1,'Attrition Modeling'!$L$15:$N$27,IF(BC$2-$F24&lt;=24,2,3),FALSE))*(1+Projection!BE$16)*(1+IF(BC156&gt;0,'Attrition Modeling'!$N$9,0))),0))</f>
        <v>3274.5043157936348</v>
      </c>
      <c r="BD24" s="799">
        <f>IF(BD$2=$F24+1,Monthly!AZ$21,IF(BD$2&gt;$F24+1,('Traditional Attrition'!BC24+BD156)*(1-IF(BD$2-$F24&lt;=12,SUMIFS('Attrition Modeling'!$D:$D,'Attrition Modeling'!$B:$B,'Traditional Attrition'!$E24,'Attrition Modeling'!$C:$C,'Traditional Attrition'!BD$1),VLOOKUP('Traditional Attrition'!BD$2-'Traditional Attrition'!$F24-1,'Traditional Attrition'!$A$7:$C$161,2,FALSE)*VLOOKUP(BD$1,'Attrition Modeling'!$L$15:$N$27,IF(BD$2-$F24&lt;=24,2,3),FALSE))*(1+Projection!BF$16)*(1+IF(BD156&gt;0,'Attrition Modeling'!$N$9,0))),0))</f>
        <v>3162.8079286591051</v>
      </c>
      <c r="BE24" s="799">
        <f>IF(BE$2=$F24+1,Monthly!BA$21,IF(BE$2&gt;$F24+1,('Traditional Attrition'!BD24+BE156)*(1-IF(BE$2-$F24&lt;=12,SUMIFS('Attrition Modeling'!$D:$D,'Attrition Modeling'!$B:$B,'Traditional Attrition'!$E24,'Attrition Modeling'!$C:$C,'Traditional Attrition'!BE$1),VLOOKUP('Traditional Attrition'!BE$2-'Traditional Attrition'!$F24-1,'Traditional Attrition'!$A$7:$C$161,2,FALSE)*VLOOKUP(BE$1,'Attrition Modeling'!$L$15:$N$27,IF(BE$2-$F24&lt;=24,2,3),FALSE))*(1+Projection!BG$16)*(1+IF(BE156&gt;0,'Attrition Modeling'!$N$9,0))),0))</f>
        <v>3059.6491087312106</v>
      </c>
      <c r="BF24" s="799">
        <f>IF(BF$2=$F24+1,Monthly!BB$21,IF(BF$2&gt;$F24+1,('Traditional Attrition'!BE24+BF156)*(1-IF(BF$2-$F24&lt;=12,SUMIFS('Attrition Modeling'!$D:$D,'Attrition Modeling'!$B:$B,'Traditional Attrition'!$E24,'Attrition Modeling'!$C:$C,'Traditional Attrition'!BF$1),VLOOKUP('Traditional Attrition'!BF$2-'Traditional Attrition'!$F24-1,'Traditional Attrition'!$A$7:$C$161,2,FALSE)*VLOOKUP(BF$1,'Attrition Modeling'!$L$15:$N$27,IF(BF$2-$F24&lt;=24,2,3),FALSE))*(1+Projection!BH$16)*(1+IF(BF156&gt;0,'Attrition Modeling'!$N$9,0))),0))</f>
        <v>3229.2196596674535</v>
      </c>
      <c r="BG24" s="799">
        <f>IF(BG$2=$F24+1,Monthly!BC$21,IF(BG$2&gt;$F24+1,('Traditional Attrition'!BF24+BG156)*(1-IF(BG$2-$F24&lt;=12,SUMIFS('Attrition Modeling'!$D:$D,'Attrition Modeling'!$B:$B,'Traditional Attrition'!$E24,'Attrition Modeling'!$C:$C,'Traditional Attrition'!BG$1),VLOOKUP('Traditional Attrition'!BG$2-'Traditional Attrition'!$F24-1,'Traditional Attrition'!$A$7:$C$161,2,FALSE)*VLOOKUP(BG$1,'Attrition Modeling'!$L$15:$N$27,IF(BG$2-$F24&lt;=24,2,3),FALSE))*(1+Projection!BI$16)*(1+IF(BG156&gt;0,'Attrition Modeling'!$N$9,0))),0))</f>
        <v>3150.9558228234637</v>
      </c>
      <c r="BH24" s="799">
        <f>IF(BH$2=$F24+1,Monthly!BD$21,IF(BH$2&gt;$F24+1,('Traditional Attrition'!BG24+BH156)*(1-IF(BH$2-$F24&lt;=12,SUMIFS('Attrition Modeling'!$D:$D,'Attrition Modeling'!$B:$B,'Traditional Attrition'!$E24,'Attrition Modeling'!$C:$C,'Traditional Attrition'!BH$1),VLOOKUP('Traditional Attrition'!BH$2-'Traditional Attrition'!$F24-1,'Traditional Attrition'!$A$7:$C$161,2,FALSE)*VLOOKUP(BH$1,'Attrition Modeling'!$L$15:$N$27,IF(BH$2-$F24&lt;=24,2,3),FALSE))*(1+Projection!BJ$16)*(1+IF(BH156&gt;0,'Attrition Modeling'!$N$9,0))),0))</f>
        <v>3059.8646102950374</v>
      </c>
      <c r="BI24" s="799">
        <f>IF(BI$2=$F24+1,Monthly!BE$21,IF(BI$2&gt;$F24+1,('Traditional Attrition'!BH24+BI156)*(1-IF(BI$2-$F24&lt;=12,SUMIFS('Attrition Modeling'!$D:$D,'Attrition Modeling'!$B:$B,'Traditional Attrition'!$E24,'Attrition Modeling'!$C:$C,'Traditional Attrition'!BI$1),VLOOKUP('Traditional Attrition'!BI$2-'Traditional Attrition'!$F24-1,'Traditional Attrition'!$A$7:$C$161,2,FALSE)*VLOOKUP(BI$1,'Attrition Modeling'!$L$15:$N$27,IF(BI$2-$F24&lt;=24,2,3),FALSE))*(1+Projection!BK$16)*(1+IF(BI156&gt;0,'Attrition Modeling'!$N$9,0))),0))</f>
        <v>2960.0908678456813</v>
      </c>
      <c r="BJ24" s="799">
        <f>IF(BJ$2=$F24+1,Monthly!BF$21,IF(BJ$2&gt;$F24+1,('Traditional Attrition'!BI24+BJ156)*(1-IF(BJ$2-$F24&lt;=12,SUMIFS('Attrition Modeling'!$D:$D,'Attrition Modeling'!$B:$B,'Traditional Attrition'!$E24,'Attrition Modeling'!$C:$C,'Traditional Attrition'!BJ$1),VLOOKUP('Traditional Attrition'!BJ$2-'Traditional Attrition'!$F24-1,'Traditional Attrition'!$A$7:$C$161,2,FALSE)*VLOOKUP(BJ$1,'Attrition Modeling'!$L$15:$N$27,IF(BJ$2-$F24&lt;=24,2,3),FALSE))*(1+Projection!BL$16)*(1+IF(BJ156&gt;0,'Attrition Modeling'!$N$9,0))),0))</f>
        <v>2856.1356580738216</v>
      </c>
      <c r="BK24" s="799">
        <f>IF(BK$2=$F24+1,Monthly!BG$21,IF(BK$2&gt;$F24+1,('Traditional Attrition'!BJ24+BK156)*(1-IF(BK$2-$F24&lt;=12,SUMIFS('Attrition Modeling'!$D:$D,'Attrition Modeling'!$B:$B,'Traditional Attrition'!$E24,'Attrition Modeling'!$C:$C,'Traditional Attrition'!BK$1),VLOOKUP('Traditional Attrition'!BK$2-'Traditional Attrition'!$F24-1,'Traditional Attrition'!$A$7:$C$161,2,FALSE)*VLOOKUP(BK$1,'Attrition Modeling'!$L$15:$N$27,IF(BK$2-$F24&lt;=24,2,3),FALSE))*(1+Projection!BM$16)*(1+IF(BK156&gt;0,'Attrition Modeling'!$N$9,0))),0))</f>
        <v>2749.6335145475055</v>
      </c>
      <c r="BL24" s="799">
        <f>IF(BL$2=$F24+1,Monthly!BH$21,IF(BL$2&gt;$F24+1,('Traditional Attrition'!BK24+BL156)*(1-IF(BL$2-$F24&lt;=12,SUMIFS('Attrition Modeling'!$D:$D,'Attrition Modeling'!$B:$B,'Traditional Attrition'!$E24,'Attrition Modeling'!$C:$C,'Traditional Attrition'!BL$1),VLOOKUP('Traditional Attrition'!BL$2-'Traditional Attrition'!$F24-1,'Traditional Attrition'!$A$7:$C$161,2,FALSE)*VLOOKUP(BL$1,'Attrition Modeling'!$L$15:$N$27,IF(BL$2-$F24&lt;=24,2,3),FALSE))*(1+Projection!BN$16)*(1+IF(BL156&gt;0,'Attrition Modeling'!$N$9,0))),0))</f>
        <v>2654.408500380473</v>
      </c>
      <c r="BM24" s="799">
        <f>IF(BM$2=$F24+1,Monthly!BI$21,IF(BM$2&gt;$F24+1,('Traditional Attrition'!BL24+BM156)*(1-IF(BM$2-$F24&lt;=12,SUMIFS('Attrition Modeling'!$D:$D,'Attrition Modeling'!$B:$B,'Traditional Attrition'!$E24,'Attrition Modeling'!$C:$C,'Traditional Attrition'!BM$1),VLOOKUP('Traditional Attrition'!BM$2-'Traditional Attrition'!$F24-1,'Traditional Attrition'!$A$7:$C$161,2,FALSE)*VLOOKUP(BM$1,'Attrition Modeling'!$L$15:$N$27,IF(BM$2-$F24&lt;=24,2,3),FALSE))*(1+Projection!BO$16)*(1+IF(BM156&gt;0,'Attrition Modeling'!$N$9,0))),0))</f>
        <v>2566.6076511399237</v>
      </c>
      <c r="BN24" s="799">
        <f>IF(BN$2=$F24+1,Monthly!BJ$21,IF(BN$2&gt;$F24+1,('Traditional Attrition'!BM24+BN156)*(1-IF(BN$2-$F24&lt;=12,SUMIFS('Attrition Modeling'!$D:$D,'Attrition Modeling'!$B:$B,'Traditional Attrition'!$E24,'Attrition Modeling'!$C:$C,'Traditional Attrition'!BN$1),VLOOKUP('Traditional Attrition'!BN$2-'Traditional Attrition'!$F24-1,'Traditional Attrition'!$A$7:$C$161,2,FALSE)*VLOOKUP(BN$1,'Attrition Modeling'!$L$15:$N$27,IF(BN$2-$F24&lt;=24,2,3),FALSE))*(1+Projection!BP$16)*(1+IF(BN156&gt;0,'Attrition Modeling'!$N$9,0))),0))</f>
        <v>2484.5131202440562</v>
      </c>
      <c r="BO24" s="799">
        <f>IF(BO$2=$F24+1,Monthly!BK$21,IF(BO$2&gt;$F24+1,('Traditional Attrition'!BN24+BO156)*(1-IF(BO$2-$F24&lt;=12,SUMIFS('Attrition Modeling'!$D:$D,'Attrition Modeling'!$B:$B,'Traditional Attrition'!$E24,'Attrition Modeling'!$C:$C,'Traditional Attrition'!BO$1),VLOOKUP('Traditional Attrition'!BO$2-'Traditional Attrition'!$F24-1,'Traditional Attrition'!$A$7:$C$161,2,FALSE)*VLOOKUP(BO$1,'Attrition Modeling'!$L$15:$N$27,IF(BO$2-$F24&lt;=24,2,3),FALSE))*(1+Projection!BV$16)*(1+IF(BO156&gt;0,'Attrition Modeling'!$N$9,0))),0))</f>
        <v>2419.7105541327551</v>
      </c>
      <c r="BP24" s="799">
        <f>IF(BP$2=$F24+1,Monthly!BL$21,IF(BP$2&gt;$F24+1,('Traditional Attrition'!BO24+BP156)*(1-IF(BP$2-$F24&lt;=12,SUMIFS('Attrition Modeling'!$D:$D,'Attrition Modeling'!$B:$B,'Traditional Attrition'!$E24,'Attrition Modeling'!$C:$C,'Traditional Attrition'!BP$1),VLOOKUP('Traditional Attrition'!BP$2-'Traditional Attrition'!$F24-1,'Traditional Attrition'!$A$7:$C$161,2,FALSE)*VLOOKUP(BP$1,'Attrition Modeling'!$L$15:$N$27,IF(BP$2-$F24&lt;=24,2,3),FALSE))*(1+Projection!BW$16)*(1+IF(BP156&gt;0,'Attrition Modeling'!$N$9,0))),0))</f>
        <v>2350.5576720882459</v>
      </c>
      <c r="BQ24" s="799">
        <f>IF(BQ$2=$F24+1,Monthly!BM$21,IF(BQ$2&gt;$F24+1,('Traditional Attrition'!BP24+BQ156)*(1-IF(BQ$2-$F24&lt;=12,SUMIFS('Attrition Modeling'!$D:$D,'Attrition Modeling'!$B:$B,'Traditional Attrition'!$E24,'Attrition Modeling'!$C:$C,'Traditional Attrition'!BQ$1),VLOOKUP('Traditional Attrition'!BQ$2-'Traditional Attrition'!$F24-1,'Traditional Attrition'!$A$7:$C$161,2,FALSE)*VLOOKUP(BQ$1,'Attrition Modeling'!$L$15:$N$27,IF(BQ$2-$F24&lt;=24,2,3),FALSE))*(1+Projection!BX$16)*(1+IF(BQ156&gt;0,'Attrition Modeling'!$N$9,0))),0))</f>
        <v>2286.1477035649518</v>
      </c>
      <c r="BR24" s="799">
        <f>IF(BR$2=$F24+1,Monthly!BN$21,IF(BR$2&gt;$F24+1,('Traditional Attrition'!BQ24+BR156)*(1-IF(BR$2-$F24&lt;=12,SUMIFS('Attrition Modeling'!$D:$D,'Attrition Modeling'!$B:$B,'Traditional Attrition'!$E24,'Attrition Modeling'!$C:$C,'Traditional Attrition'!BR$1),VLOOKUP('Traditional Attrition'!BR$2-'Traditional Attrition'!$F24-1,'Traditional Attrition'!$A$7:$C$161,2,FALSE)*VLOOKUP(BR$1,'Attrition Modeling'!$L$15:$N$27,IF(BR$2-$F24&lt;=24,2,3),FALSE))*(1+Projection!BY$16)*(1+IF(BR156&gt;0,'Attrition Modeling'!$N$9,0))),0))</f>
        <v>2265.1128261553345</v>
      </c>
      <c r="BS24" s="799">
        <f>IF(BS$2=$F24+1,Monthly!BO$21,IF(BS$2&gt;$F24+1,('Traditional Attrition'!BR24+BS156)*(1-IF(BS$2-$F24&lt;=12,SUMIFS('Attrition Modeling'!$D:$D,'Attrition Modeling'!$B:$B,'Traditional Attrition'!$E24,'Attrition Modeling'!$C:$C,'Traditional Attrition'!BS$1),VLOOKUP('Traditional Attrition'!BS$2-'Traditional Attrition'!$F24-1,'Traditional Attrition'!$A$7:$C$161,2,FALSE)*VLOOKUP(BS$1,'Attrition Modeling'!$L$15:$N$27,IF(BS$2-$F24&lt;=24,2,3),FALSE))*(1+Projection!BZ$16)*(1+IF(BS156&gt;0,'Attrition Modeling'!$N$9,0))),0))</f>
        <v>2218.758562154283</v>
      </c>
      <c r="BT24" s="799">
        <f>IF(BT$2=$F24+1,Monthly!#REF!,IF(BT$2&gt;$F24+1,('Traditional Attrition'!BS24+BT156)*(1-IF(BT$2-$F24&lt;=12,SUMIFS('Attrition Modeling'!$D:$D,'Attrition Modeling'!$B:$B,'Traditional Attrition'!$E24,'Attrition Modeling'!$C:$C,'Traditional Attrition'!BT$1),VLOOKUP('Traditional Attrition'!BT$2-'Traditional Attrition'!$F24-1,'Traditional Attrition'!$A$7:$C$161,2,FALSE)*VLOOKUP(BT$1,'Attrition Modeling'!$L$15:$N$27,IF(BT$2-$F24&lt;=24,2,3),FALSE))*(1+Projection!CA$16)*(1+IF(BT156&gt;0,'Attrition Modeling'!$N$9,0))),0))</f>
        <v>2164.4731222662795</v>
      </c>
      <c r="BU24" s="799">
        <f>IF(BU$2=$F24+1,Monthly!#REF!,IF(BU$2&gt;$F24+1,('Traditional Attrition'!BT24+BU156)*(1-IF(BU$2-$F24&lt;=12,SUMIFS('Attrition Modeling'!$D:$D,'Attrition Modeling'!$B:$B,'Traditional Attrition'!$E24,'Attrition Modeling'!$C:$C,'Traditional Attrition'!BU$1),VLOOKUP('Traditional Attrition'!BU$2-'Traditional Attrition'!$F24-1,'Traditional Attrition'!$A$7:$C$161,2,FALSE)*VLOOKUP(BU$1,'Attrition Modeling'!$L$15:$N$27,IF(BU$2-$F24&lt;=24,2,3),FALSE))*(1+Projection!CB$16)*(1+IF(BU156&gt;0,'Attrition Modeling'!$N$9,0))),0))</f>
        <v>2104.6107877279424</v>
      </c>
    </row>
    <row r="25" spans="1:73" ht="14.25" customHeight="1" x14ac:dyDescent="0.2">
      <c r="A25" s="9">
        <v>18</v>
      </c>
      <c r="B25" s="25">
        <f>MAX('Attrition Modeling'!H22,$C$3)*(1-Summary!$C$20)</f>
        <v>4.2679876846816893E-2</v>
      </c>
      <c r="C25" s="24" t="e">
        <f t="shared" si="4"/>
        <v>#DIV/0!</v>
      </c>
      <c r="E25" s="11">
        <f t="shared" si="2"/>
        <v>10</v>
      </c>
      <c r="F25" s="11">
        <f t="shared" si="3"/>
        <v>22</v>
      </c>
      <c r="G25" s="799"/>
      <c r="H25" s="799">
        <f>IF(H$2=$F25+1,Monthly!D$21,IF(H$2&gt;$F25+1,('Traditional Attrition'!G25+H157)*(1-IF(H$2-$F25&lt;=12,SUMIFS('Attrition Modeling'!$D:$D,'Attrition Modeling'!$B:$B,'Traditional Attrition'!$E25,'Attrition Modeling'!$C:$C,'Traditional Attrition'!H$1),VLOOKUP('Traditional Attrition'!H$2-'Traditional Attrition'!$F25-1,'Traditional Attrition'!$A$7:$C$161,2,FALSE)*VLOOKUP(H$1,'Attrition Modeling'!$L$15:$N$27,IF(H$2-$F25&lt;=24,2,3),FALSE))*(1+Projection!J$16)*(1+IF(H157&gt;0,'Attrition Modeling'!$N$9,0))),0))</f>
        <v>0</v>
      </c>
      <c r="I25" s="799">
        <f>IF(I$2=$F25+1,Monthly!E$21,IF(I$2&gt;$F25+1,('Traditional Attrition'!H25+I157)*(1-IF(I$2-$F25&lt;=12,SUMIFS('Attrition Modeling'!$D:$D,'Attrition Modeling'!$B:$B,'Traditional Attrition'!$E25,'Attrition Modeling'!$C:$C,'Traditional Attrition'!I$1),VLOOKUP('Traditional Attrition'!I$2-'Traditional Attrition'!$F25-1,'Traditional Attrition'!$A$7:$C$161,2,FALSE)*VLOOKUP(I$1,'Attrition Modeling'!$L$15:$N$27,IF(I$2-$F25&lt;=24,2,3),FALSE))*(1+Projection!K$16)*(1+IF(I157&gt;0,'Attrition Modeling'!$N$9,0))),0))</f>
        <v>0</v>
      </c>
      <c r="J25" s="799">
        <f>IF(J$2=$F25+1,Monthly!F$21,IF(J$2&gt;$F25+1,('Traditional Attrition'!I25+J157)*(1-IF(J$2-$F25&lt;=12,SUMIFS('Attrition Modeling'!$D:$D,'Attrition Modeling'!$B:$B,'Traditional Attrition'!$E25,'Attrition Modeling'!$C:$C,'Traditional Attrition'!J$1),VLOOKUP('Traditional Attrition'!J$2-'Traditional Attrition'!$F25-1,'Traditional Attrition'!$A$7:$C$161,2,FALSE)*VLOOKUP(J$1,'Attrition Modeling'!$L$15:$N$27,IF(J$2-$F25&lt;=24,2,3),FALSE))*(1+Projection!L$16)*(1+IF(J157&gt;0,'Attrition Modeling'!$N$9,0))),0))</f>
        <v>0</v>
      </c>
      <c r="K25" s="799">
        <f>IF(K$2=$F25+1,Monthly!G$21,IF(K$2&gt;$F25+1,('Traditional Attrition'!J25+K157)*(1-IF(K$2-$F25&lt;=12,SUMIFS('Attrition Modeling'!$D:$D,'Attrition Modeling'!$B:$B,'Traditional Attrition'!$E25,'Attrition Modeling'!$C:$C,'Traditional Attrition'!K$1),VLOOKUP('Traditional Attrition'!K$2-'Traditional Attrition'!$F25-1,'Traditional Attrition'!$A$7:$C$161,2,FALSE)*VLOOKUP(K$1,'Attrition Modeling'!$L$15:$N$27,IF(K$2-$F25&lt;=24,2,3),FALSE))*(1+Projection!M$16)*(1+IF(K157&gt;0,'Attrition Modeling'!$N$9,0))),0))</f>
        <v>0</v>
      </c>
      <c r="L25" s="799">
        <f>IF(L$2=$F25+1,Monthly!H$21,IF(L$2&gt;$F25+1,('Traditional Attrition'!K25+L157)*(1-IF(L$2-$F25&lt;=12,SUMIFS('Attrition Modeling'!$D:$D,'Attrition Modeling'!$B:$B,'Traditional Attrition'!$E25,'Attrition Modeling'!$C:$C,'Traditional Attrition'!L$1),VLOOKUP('Traditional Attrition'!L$2-'Traditional Attrition'!$F25-1,'Traditional Attrition'!$A$7:$C$161,2,FALSE)*VLOOKUP(L$1,'Attrition Modeling'!$L$15:$N$27,IF(L$2-$F25&lt;=24,2,3),FALSE))*(1+Projection!N$16)*(1+IF(L157&gt;0,'Attrition Modeling'!$N$9,0))),0))</f>
        <v>0</v>
      </c>
      <c r="M25" s="799">
        <f>IF(M$2=$F25+1,Monthly!I$21,IF(M$2&gt;$F25+1,('Traditional Attrition'!L25+M157)*(1-IF(M$2-$F25&lt;=12,SUMIFS('Attrition Modeling'!$D:$D,'Attrition Modeling'!$B:$B,'Traditional Attrition'!$E25,'Attrition Modeling'!$C:$C,'Traditional Attrition'!M$1),VLOOKUP('Traditional Attrition'!M$2-'Traditional Attrition'!$F25-1,'Traditional Attrition'!$A$7:$C$161,2,FALSE)*VLOOKUP(M$1,'Attrition Modeling'!$L$15:$N$27,IF(M$2-$F25&lt;=24,2,3),FALSE))*(1+Projection!O$16)*(1+IF(M157&gt;0,'Attrition Modeling'!$N$9,0))),0))</f>
        <v>0</v>
      </c>
      <c r="N25" s="799">
        <f>IF(N$2=$F25+1,Monthly!J$21,IF(N$2&gt;$F25+1,('Traditional Attrition'!M25+N157)*(1-IF(N$2-$F25&lt;=12,SUMIFS('Attrition Modeling'!$D:$D,'Attrition Modeling'!$B:$B,'Traditional Attrition'!$E25,'Attrition Modeling'!$C:$C,'Traditional Attrition'!N$1),VLOOKUP('Traditional Attrition'!N$2-'Traditional Attrition'!$F25-1,'Traditional Attrition'!$A$7:$C$161,2,FALSE)*VLOOKUP(N$1,'Attrition Modeling'!$L$15:$N$27,IF(N$2-$F25&lt;=24,2,3),FALSE))*(1+Projection!P$16)*(1+IF(N157&gt;0,'Attrition Modeling'!$N$9,0))),0))</f>
        <v>0</v>
      </c>
      <c r="O25" s="799">
        <f>IF(O$2=$F25+1,Monthly!K$21,IF(O$2&gt;$F25+1,('Traditional Attrition'!N25+O157)*(1-IF(O$2-$F25&lt;=12,SUMIFS('Attrition Modeling'!$D:$D,'Attrition Modeling'!$B:$B,'Traditional Attrition'!$E25,'Attrition Modeling'!$C:$C,'Traditional Attrition'!O$1),VLOOKUP('Traditional Attrition'!O$2-'Traditional Attrition'!$F25-1,'Traditional Attrition'!$A$7:$C$161,2,FALSE)*VLOOKUP(O$1,'Attrition Modeling'!$L$15:$N$27,IF(O$2-$F25&lt;=24,2,3),FALSE))*(1+Projection!Q$16)*(1+IF(O157&gt;0,'Attrition Modeling'!$N$9,0))),0))</f>
        <v>0</v>
      </c>
      <c r="P25" s="799">
        <f>IF(P$2=$F25+1,Monthly!L$21,IF(P$2&gt;$F25+1,('Traditional Attrition'!O25+P157)*(1-IF(P$2-$F25&lt;=12,SUMIFS('Attrition Modeling'!$D:$D,'Attrition Modeling'!$B:$B,'Traditional Attrition'!$E25,'Attrition Modeling'!$C:$C,'Traditional Attrition'!P$1),VLOOKUP('Traditional Attrition'!P$2-'Traditional Attrition'!$F25-1,'Traditional Attrition'!$A$7:$C$161,2,FALSE)*VLOOKUP(P$1,'Attrition Modeling'!$L$15:$N$27,IF(P$2-$F25&lt;=24,2,3),FALSE))*(1+Projection!R$16)*(1+IF(P157&gt;0,'Attrition Modeling'!$N$9,0))),0))</f>
        <v>0</v>
      </c>
      <c r="Q25" s="799">
        <f>IF(Q$2=$F25+1,Monthly!M$21,IF(Q$2&gt;$F25+1,('Traditional Attrition'!P25+Q157)*(1-IF(Q$2-$F25&lt;=12,SUMIFS('Attrition Modeling'!$D:$D,'Attrition Modeling'!$B:$B,'Traditional Attrition'!$E25,'Attrition Modeling'!$C:$C,'Traditional Attrition'!Q$1),VLOOKUP('Traditional Attrition'!Q$2-'Traditional Attrition'!$F25-1,'Traditional Attrition'!$A$7:$C$161,2,FALSE)*VLOOKUP(Q$1,'Attrition Modeling'!$L$15:$N$27,IF(Q$2-$F25&lt;=24,2,3),FALSE))*(1+Projection!S$16)*(1+IF(Q157&gt;0,'Attrition Modeling'!$N$9,0))),0))</f>
        <v>0</v>
      </c>
      <c r="R25" s="799">
        <f>IF(R$2=$F25+1,Monthly!N$21,IF(R$2&gt;$F25+1,('Traditional Attrition'!Q25+R157)*(1-IF(R$2-$F25&lt;=12,SUMIFS('Attrition Modeling'!$D:$D,'Attrition Modeling'!$B:$B,'Traditional Attrition'!$E25,'Attrition Modeling'!$C:$C,'Traditional Attrition'!R$1),VLOOKUP('Traditional Attrition'!R$2-'Traditional Attrition'!$F25-1,'Traditional Attrition'!$A$7:$C$161,2,FALSE)*VLOOKUP(R$1,'Attrition Modeling'!$L$15:$N$27,IF(R$2-$F25&lt;=24,2,3),FALSE))*(1+Projection!T$16)*(1+IF(R157&gt;0,'Attrition Modeling'!$N$9,0))),0))</f>
        <v>0</v>
      </c>
      <c r="S25" s="799">
        <f>IF(S$2=$F25+1,Monthly!O$21,IF(S$2&gt;$F25+1,('Traditional Attrition'!R25+S157)*(1-IF(S$2-$F25&lt;=12,SUMIFS('Attrition Modeling'!$D:$D,'Attrition Modeling'!$B:$B,'Traditional Attrition'!$E25,'Attrition Modeling'!$C:$C,'Traditional Attrition'!S$1),VLOOKUP('Traditional Attrition'!S$2-'Traditional Attrition'!$F25-1,'Traditional Attrition'!$A$7:$C$161,2,FALSE)*VLOOKUP(S$1,'Attrition Modeling'!$L$15:$N$27,IF(S$2-$F25&lt;=24,2,3),FALSE))*(1+Projection!U$16)*(1+IF(S157&gt;0,'Attrition Modeling'!$N$9,0))),0))</f>
        <v>0</v>
      </c>
      <c r="T25" s="799">
        <f>IF(T$2=$F25+1,Monthly!P$21,IF(T$2&gt;$F25+1,('Traditional Attrition'!S25+T157)*(1-IF(T$2-$F25&lt;=12,SUMIFS('Attrition Modeling'!$D:$D,'Attrition Modeling'!$B:$B,'Traditional Attrition'!$E25,'Attrition Modeling'!$C:$C,'Traditional Attrition'!T$1),VLOOKUP('Traditional Attrition'!T$2-'Traditional Attrition'!$F25-1,'Traditional Attrition'!$A$7:$C$161,2,FALSE)*VLOOKUP(T$1,'Attrition Modeling'!$L$15:$N$27,IF(T$2-$F25&lt;=24,2,3),FALSE))*(1+Projection!V$16)*(1+IF(T157&gt;0,'Attrition Modeling'!$N$9,0))),0))</f>
        <v>0</v>
      </c>
      <c r="U25" s="799">
        <f>IF(U$2=$F25+1,Monthly!Q$21,IF(U$2&gt;$F25+1,('Traditional Attrition'!T25+U157)*(1-IF(U$2-$F25&lt;=12,SUMIFS('Attrition Modeling'!$D:$D,'Attrition Modeling'!$B:$B,'Traditional Attrition'!$E25,'Attrition Modeling'!$C:$C,'Traditional Attrition'!U$1),VLOOKUP('Traditional Attrition'!U$2-'Traditional Attrition'!$F25-1,'Traditional Attrition'!$A$7:$C$161,2,FALSE)*VLOOKUP(U$1,'Attrition Modeling'!$L$15:$N$27,IF(U$2-$F25&lt;=24,2,3),FALSE))*(1+Projection!W$16)*(1+IF(U157&gt;0,'Attrition Modeling'!$N$9,0))),0))</f>
        <v>0</v>
      </c>
      <c r="V25" s="799">
        <f>IF(V$2=$F25+1,Monthly!R$21,IF(V$2&gt;$F25+1,('Traditional Attrition'!U25+V157)*(1-IF(V$2-$F25&lt;=12,SUMIFS('Attrition Modeling'!$D:$D,'Attrition Modeling'!$B:$B,'Traditional Attrition'!$E25,'Attrition Modeling'!$C:$C,'Traditional Attrition'!V$1),VLOOKUP('Traditional Attrition'!V$2-'Traditional Attrition'!$F25-1,'Traditional Attrition'!$A$7:$C$161,2,FALSE)*VLOOKUP(V$1,'Attrition Modeling'!$L$15:$N$27,IF(V$2-$F25&lt;=24,2,3),FALSE))*(1+Projection!X$16)*(1+IF(V157&gt;0,'Attrition Modeling'!$N$9,0))),0))</f>
        <v>0</v>
      </c>
      <c r="W25" s="799">
        <f>IF(W$2=$F25+1,Monthly!S$21,IF(W$2&gt;$F25+1,('Traditional Attrition'!V25+W157)*(1-IF(W$2-$F25&lt;=12,SUMIFS('Attrition Modeling'!$D:$D,'Attrition Modeling'!$B:$B,'Traditional Attrition'!$E25,'Attrition Modeling'!$C:$C,'Traditional Attrition'!W$1),VLOOKUP('Traditional Attrition'!W$2-'Traditional Attrition'!$F25-1,'Traditional Attrition'!$A$7:$C$161,2,FALSE)*VLOOKUP(W$1,'Attrition Modeling'!$L$15:$N$27,IF(W$2-$F25&lt;=24,2,3),FALSE))*(1+Projection!Y$16)*(1+IF(W157&gt;0,'Attrition Modeling'!$N$9,0))),0))</f>
        <v>0</v>
      </c>
      <c r="X25" s="799">
        <f>IF(X$2=$F25+1,Monthly!T$21,IF(X$2&gt;$F25+1,('Traditional Attrition'!W25+X157)*(1-IF(X$2-$F25&lt;=12,SUMIFS('Attrition Modeling'!$D:$D,'Attrition Modeling'!$B:$B,'Traditional Attrition'!$E25,'Attrition Modeling'!$C:$C,'Traditional Attrition'!X$1),VLOOKUP('Traditional Attrition'!X$2-'Traditional Attrition'!$F25-1,'Traditional Attrition'!$A$7:$C$161,2,FALSE)*VLOOKUP(X$1,'Attrition Modeling'!$L$15:$N$27,IF(X$2-$F25&lt;=24,2,3),FALSE))*(1+Projection!Z$16)*(1+IF(X157&gt;0,'Attrition Modeling'!$N$9,0))),0))</f>
        <v>0</v>
      </c>
      <c r="Y25" s="799">
        <f>IF(Y$2=$F25+1,Monthly!U$21,IF(Y$2&gt;$F25+1,('Traditional Attrition'!X25+Y157)*(1-IF(Y$2-$F25&lt;=12,SUMIFS('Attrition Modeling'!$D:$D,'Attrition Modeling'!$B:$B,'Traditional Attrition'!$E25,'Attrition Modeling'!$C:$C,'Traditional Attrition'!Y$1),VLOOKUP('Traditional Attrition'!Y$2-'Traditional Attrition'!$F25-1,'Traditional Attrition'!$A$7:$C$161,2,FALSE)*VLOOKUP(Y$1,'Attrition Modeling'!$L$15:$N$27,IF(Y$2-$F25&lt;=24,2,3),FALSE))*(1+Projection!AA$16)*(1+IF(Y157&gt;0,'Attrition Modeling'!$N$9,0))),0))</f>
        <v>0</v>
      </c>
      <c r="Z25" s="799">
        <f>IF(Z$2=$F25+1,Monthly!V$21,IF(Z$2&gt;$F25+1,('Traditional Attrition'!Y25+Z157)*(1-IF(Z$2-$F25&lt;=12,SUMIFS('Attrition Modeling'!$D:$D,'Attrition Modeling'!$B:$B,'Traditional Attrition'!$E25,'Attrition Modeling'!$C:$C,'Traditional Attrition'!Z$1),VLOOKUP('Traditional Attrition'!Z$2-'Traditional Attrition'!$F25-1,'Traditional Attrition'!$A$7:$C$161,2,FALSE)*VLOOKUP(Z$1,'Attrition Modeling'!$L$15:$N$27,IF(Z$2-$F25&lt;=24,2,3),FALSE))*(1+Projection!AB$16)*(1+IF(Z157&gt;0,'Attrition Modeling'!$N$9,0))),0))</f>
        <v>0</v>
      </c>
      <c r="AA25" s="799">
        <f>IF(AA$2=$F25+1,Monthly!W$21,IF(AA$2&gt;$F25+1,('Traditional Attrition'!Z25+AA157)*(1-IF(AA$2-$F25&lt;=12,SUMIFS('Attrition Modeling'!$D:$D,'Attrition Modeling'!$B:$B,'Traditional Attrition'!$E25,'Attrition Modeling'!$C:$C,'Traditional Attrition'!AA$1),VLOOKUP('Traditional Attrition'!AA$2-'Traditional Attrition'!$F25-1,'Traditional Attrition'!$A$7:$C$161,2,FALSE)*VLOOKUP(AA$1,'Attrition Modeling'!$L$15:$N$27,IF(AA$2-$F25&lt;=24,2,3),FALSE))*(1+Projection!AC$16)*(1+IF(AA157&gt;0,'Attrition Modeling'!$N$9,0))),0))</f>
        <v>0</v>
      </c>
      <c r="AB25" s="799">
        <f>IF(AB$2=$F25+1,Monthly!X$21,IF(AB$2&gt;$F25+1,('Traditional Attrition'!AA25+AB157)*(1-IF(AB$2-$F25&lt;=12,SUMIFS('Attrition Modeling'!$D:$D,'Attrition Modeling'!$B:$B,'Traditional Attrition'!$E25,'Attrition Modeling'!$C:$C,'Traditional Attrition'!AB$1),VLOOKUP('Traditional Attrition'!AB$2-'Traditional Attrition'!$F25-1,'Traditional Attrition'!$A$7:$C$161,2,FALSE)*VLOOKUP(AB$1,'Attrition Modeling'!$L$15:$N$27,IF(AB$2-$F25&lt;=24,2,3),FALSE))*(1+Projection!AD$16)*(1+IF(AB157&gt;0,'Attrition Modeling'!$N$9,0))),0))</f>
        <v>0</v>
      </c>
      <c r="AC25" s="799">
        <f>IF(AC$2=$F25+1,Monthly!Y$21,IF(AC$2&gt;$F25+1,('Traditional Attrition'!AB25+AC157)*(1-IF(AC$2-$F25&lt;=12,SUMIFS('Attrition Modeling'!$D:$D,'Attrition Modeling'!$B:$B,'Traditional Attrition'!$E25,'Attrition Modeling'!$C:$C,'Traditional Attrition'!AC$1),VLOOKUP('Traditional Attrition'!AC$2-'Traditional Attrition'!$F25-1,'Traditional Attrition'!$A$7:$C$161,2,FALSE)*VLOOKUP(AC$1,'Attrition Modeling'!$L$15:$N$27,IF(AC$2-$F25&lt;=24,2,3),FALSE))*(1+Projection!AE$16)*(1+IF(AC157&gt;0,'Attrition Modeling'!$N$9,0))),0))</f>
        <v>0</v>
      </c>
      <c r="AD25" s="799">
        <f>IF(AD$2=$F25+1,Monthly!Z$21,IF(AD$2&gt;$F25+1,('Traditional Attrition'!AC25+AD157)*(1-IF(AD$2-$F25&lt;=12,SUMIFS('Attrition Modeling'!$D:$D,'Attrition Modeling'!$B:$B,'Traditional Attrition'!$E25,'Attrition Modeling'!$C:$C,'Traditional Attrition'!AD$1),VLOOKUP('Traditional Attrition'!AD$2-'Traditional Attrition'!$F25-1,'Traditional Attrition'!$A$7:$C$161,2,FALSE)*VLOOKUP(AD$1,'Attrition Modeling'!$L$15:$N$27,IF(AD$2-$F25&lt;=24,2,3),FALSE))*(1+Projection!AF$16)*(1+IF(AD157&gt;0,'Attrition Modeling'!$N$9,0))),0))</f>
        <v>12034.064441889235</v>
      </c>
      <c r="AE25" s="799">
        <f>IF(AE$2=$F25+1,Monthly!AA$21,IF(AE$2&gt;$F25+1,('Traditional Attrition'!AD25+AE157)*(1-IF(AE$2-$F25&lt;=12,SUMIFS('Attrition Modeling'!$D:$D,'Attrition Modeling'!$B:$B,'Traditional Attrition'!$E25,'Attrition Modeling'!$C:$C,'Traditional Attrition'!AE$1),VLOOKUP('Traditional Attrition'!AE$2-'Traditional Attrition'!$F25-1,'Traditional Attrition'!$A$7:$C$161,2,FALSE)*VLOOKUP(AE$1,'Attrition Modeling'!$L$15:$N$27,IF(AE$2-$F25&lt;=24,2,3),FALSE))*(1+Projection!AG$16)*(1+IF(AE157&gt;0,'Attrition Modeling'!$N$9,0))),0))</f>
        <v>10814.117176124935</v>
      </c>
      <c r="AF25" s="799">
        <f>IF(AF$2=$F25+1,Monthly!AB$21,IF(AF$2&gt;$F25+1,('Traditional Attrition'!AE25+AF157)*(1-IF(AF$2-$F25&lt;=12,SUMIFS('Attrition Modeling'!$D:$D,'Attrition Modeling'!$B:$B,'Traditional Attrition'!$E25,'Attrition Modeling'!$C:$C,'Traditional Attrition'!AF$1),VLOOKUP('Traditional Attrition'!AF$2-'Traditional Attrition'!$F25-1,'Traditional Attrition'!$A$7:$C$161,2,FALSE)*VLOOKUP(AF$1,'Attrition Modeling'!$L$15:$N$27,IF(AF$2-$F25&lt;=24,2,3),FALSE))*(1+Projection!AH$16)*(1+IF(AF157&gt;0,'Attrition Modeling'!$N$9,0))),0))</f>
        <v>9958.5088752203155</v>
      </c>
      <c r="AG25" s="799">
        <f>IF(AG$2=$F25+1,Monthly!AC$21,IF(AG$2&gt;$F25+1,('Traditional Attrition'!AF25+AG157)*(1-IF(AG$2-$F25&lt;=12,SUMIFS('Attrition Modeling'!$D:$D,'Attrition Modeling'!$B:$B,'Traditional Attrition'!$E25,'Attrition Modeling'!$C:$C,'Traditional Attrition'!AG$1),VLOOKUP('Traditional Attrition'!AG$2-'Traditional Attrition'!$F25-1,'Traditional Attrition'!$A$7:$C$161,2,FALSE)*VLOOKUP(AG$1,'Attrition Modeling'!$L$15:$N$27,IF(AG$2-$F25&lt;=24,2,3),FALSE))*(1+Projection!AI$16)*(1+IF(AG157&gt;0,'Attrition Modeling'!$N$9,0))),0))</f>
        <v>9157.8126952540242</v>
      </c>
      <c r="AH25" s="799">
        <f>IF(AH$2=$F25+1,Monthly!AD$21,IF(AH$2&gt;$F25+1,('Traditional Attrition'!AG25+AH157)*(1-IF(AH$2-$F25&lt;=12,SUMIFS('Attrition Modeling'!$D:$D,'Attrition Modeling'!$B:$B,'Traditional Attrition'!$E25,'Attrition Modeling'!$C:$C,'Traditional Attrition'!AH$1),VLOOKUP('Traditional Attrition'!AH$2-'Traditional Attrition'!$F25-1,'Traditional Attrition'!$A$7:$C$161,2,FALSE)*VLOOKUP(AH$1,'Attrition Modeling'!$L$15:$N$27,IF(AH$2-$F25&lt;=24,2,3),FALSE))*(1+Projection!AJ$16)*(1+IF(AH157&gt;0,'Attrition Modeling'!$N$9,0))),0))</f>
        <v>8394.3938018208955</v>
      </c>
      <c r="AI25" s="799">
        <f>IF(AI$2=$F25+1,Monthly!AE$21,IF(AI$2&gt;$F25+1,('Traditional Attrition'!AH25+AI157)*(1-IF(AI$2-$F25&lt;=12,SUMIFS('Attrition Modeling'!$D:$D,'Attrition Modeling'!$B:$B,'Traditional Attrition'!$E25,'Attrition Modeling'!$C:$C,'Traditional Attrition'!AI$1),VLOOKUP('Traditional Attrition'!AI$2-'Traditional Attrition'!$F25-1,'Traditional Attrition'!$A$7:$C$161,2,FALSE)*VLOOKUP(AI$1,'Attrition Modeling'!$L$15:$N$27,IF(AI$2-$F25&lt;=24,2,3),FALSE))*(1+Projection!AK$16)*(1+IF(AI157&gt;0,'Attrition Modeling'!$N$9,0))),0))</f>
        <v>8208.6048785845087</v>
      </c>
      <c r="AJ25" s="799">
        <f>IF(AJ$2=$F25+1,Monthly!AF$21,IF(AJ$2&gt;$F25+1,('Traditional Attrition'!AI25+AJ157)*(1-IF(AJ$2-$F25&lt;=12,SUMIFS('Attrition Modeling'!$D:$D,'Attrition Modeling'!$B:$B,'Traditional Attrition'!$E25,'Attrition Modeling'!$C:$C,'Traditional Attrition'!AJ$1),VLOOKUP('Traditional Attrition'!AJ$2-'Traditional Attrition'!$F25-1,'Traditional Attrition'!$A$7:$C$161,2,FALSE)*VLOOKUP(AJ$1,'Attrition Modeling'!$L$15:$N$27,IF(AJ$2-$F25&lt;=24,2,3),FALSE))*(1+Projection!AL$16)*(1+IF(AJ157&gt;0,'Attrition Modeling'!$N$9,0))),0))</f>
        <v>7572.191906519949</v>
      </c>
      <c r="AK25" s="799">
        <f>IF(AK$2=$F25+1,Monthly!AG$21,IF(AK$2&gt;$F25+1,('Traditional Attrition'!AJ25+AK157)*(1-IF(AK$2-$F25&lt;=12,SUMIFS('Attrition Modeling'!$D:$D,'Attrition Modeling'!$B:$B,'Traditional Attrition'!$E25,'Attrition Modeling'!$C:$C,'Traditional Attrition'!AK$1),VLOOKUP('Traditional Attrition'!AK$2-'Traditional Attrition'!$F25-1,'Traditional Attrition'!$A$7:$C$161,2,FALSE)*VLOOKUP(AK$1,'Attrition Modeling'!$L$15:$N$27,IF(AK$2-$F25&lt;=24,2,3),FALSE))*(1+Projection!AM$16)*(1+IF(AK157&gt;0,'Attrition Modeling'!$N$9,0))),0))</f>
        <v>7057.0650806373606</v>
      </c>
      <c r="AL25" s="799">
        <f>IF(AL$2=$F25+1,Monthly!AH$21,IF(AL$2&gt;$F25+1,('Traditional Attrition'!AK25+AL157)*(1-IF(AL$2-$F25&lt;=12,SUMIFS('Attrition Modeling'!$D:$D,'Attrition Modeling'!$B:$B,'Traditional Attrition'!$E25,'Attrition Modeling'!$C:$C,'Traditional Attrition'!AL$1),VLOOKUP('Traditional Attrition'!AL$2-'Traditional Attrition'!$F25-1,'Traditional Attrition'!$A$7:$C$161,2,FALSE)*VLOOKUP(AL$1,'Attrition Modeling'!$L$15:$N$27,IF(AL$2-$F25&lt;=24,2,3),FALSE))*(1+Projection!AN$16)*(1+IF(AL157&gt;0,'Attrition Modeling'!$N$9,0))),0))</f>
        <v>6606.5404933351538</v>
      </c>
      <c r="AM25" s="799">
        <f>IF(AM$2=$F25+1,Monthly!AI$21,IF(AM$2&gt;$F25+1,('Traditional Attrition'!AL25+AM157)*(1-IF(AM$2-$F25&lt;=12,SUMIFS('Attrition Modeling'!$D:$D,'Attrition Modeling'!$B:$B,'Traditional Attrition'!$E25,'Attrition Modeling'!$C:$C,'Traditional Attrition'!AM$1),VLOOKUP('Traditional Attrition'!AM$2-'Traditional Attrition'!$F25-1,'Traditional Attrition'!$A$7:$C$161,2,FALSE)*VLOOKUP(AM$1,'Attrition Modeling'!$L$15:$N$27,IF(AM$2-$F25&lt;=24,2,3),FALSE))*(1+Projection!AO$16)*(1+IF(AM157&gt;0,'Attrition Modeling'!$N$9,0))),0))</f>
        <v>6170.8968228982076</v>
      </c>
      <c r="AN25" s="799">
        <f>IF(AN$2=$F25+1,Monthly!AJ$21,IF(AN$2&gt;$F25+1,('Traditional Attrition'!AM25+AN157)*(1-IF(AN$2-$F25&lt;=12,SUMIFS('Attrition Modeling'!$D:$D,'Attrition Modeling'!$B:$B,'Traditional Attrition'!$E25,'Attrition Modeling'!$C:$C,'Traditional Attrition'!AN$1),VLOOKUP('Traditional Attrition'!AN$2-'Traditional Attrition'!$F25-1,'Traditional Attrition'!$A$7:$C$161,2,FALSE)*VLOOKUP(AN$1,'Attrition Modeling'!$L$15:$N$27,IF(AN$2-$F25&lt;=24,2,3),FALSE))*(1+Projection!AP$16)*(1+IF(AN157&gt;0,'Attrition Modeling'!$N$9,0))),0))</f>
        <v>5773.1184070444278</v>
      </c>
      <c r="AO25" s="799">
        <f>IF(AO$2=$F25+1,Monthly!AK$21,IF(AO$2&gt;$F25+1,('Traditional Attrition'!AN25+AO157)*(1-IF(AO$2-$F25&lt;=12,SUMIFS('Attrition Modeling'!$D:$D,'Attrition Modeling'!$B:$B,'Traditional Attrition'!$E25,'Attrition Modeling'!$C:$C,'Traditional Attrition'!AO$1),VLOOKUP('Traditional Attrition'!AO$2-'Traditional Attrition'!$F25-1,'Traditional Attrition'!$A$7:$C$161,2,FALSE)*VLOOKUP(AO$1,'Attrition Modeling'!$L$15:$N$27,IF(AO$2-$F25&lt;=24,2,3),FALSE))*(1+Projection!AQ$16)*(1+IF(AO157&gt;0,'Attrition Modeling'!$N$9,0))),0))</f>
        <v>5573.6440033710751</v>
      </c>
      <c r="AP25" s="799">
        <f>IF(AP$2=$F25+1,Monthly!AL$21,IF(AP$2&gt;$F25+1,('Traditional Attrition'!AO25+AP157)*(1-IF(AP$2-$F25&lt;=12,SUMIFS('Attrition Modeling'!$D:$D,'Attrition Modeling'!$B:$B,'Traditional Attrition'!$E25,'Attrition Modeling'!$C:$C,'Traditional Attrition'!AP$1),VLOOKUP('Traditional Attrition'!AP$2-'Traditional Attrition'!$F25-1,'Traditional Attrition'!$A$7:$C$161,2,FALSE)*VLOOKUP(AP$1,'Attrition Modeling'!$L$15:$N$27,IF(AP$2-$F25&lt;=24,2,3),FALSE))*(1+Projection!AR$16)*(1+IF(AP157&gt;0,'Attrition Modeling'!$N$9,0))),0))</f>
        <v>5270.669316073011</v>
      </c>
      <c r="AQ25" s="799">
        <f>IF(AQ$2=$F25+1,Monthly!AM$21,IF(AQ$2&gt;$F25+1,('Traditional Attrition'!AP25+AQ157)*(1-IF(AQ$2-$F25&lt;=12,SUMIFS('Attrition Modeling'!$D:$D,'Attrition Modeling'!$B:$B,'Traditional Attrition'!$E25,'Attrition Modeling'!$C:$C,'Traditional Attrition'!AQ$1),VLOOKUP('Traditional Attrition'!AQ$2-'Traditional Attrition'!$F25-1,'Traditional Attrition'!$A$7:$C$161,2,FALSE)*VLOOKUP(AQ$1,'Attrition Modeling'!$L$15:$N$27,IF(AQ$2-$F25&lt;=24,2,3),FALSE))*(1+Projection!AS$16)*(1+IF(AQ157&gt;0,'Attrition Modeling'!$N$9,0))),0))</f>
        <v>5009.0710197080007</v>
      </c>
      <c r="AR25" s="799">
        <f>IF(AR$2=$F25+1,Monthly!AN$21,IF(AR$2&gt;$F25+1,('Traditional Attrition'!AQ25+AR157)*(1-IF(AR$2-$F25&lt;=12,SUMIFS('Attrition Modeling'!$D:$D,'Attrition Modeling'!$B:$B,'Traditional Attrition'!$E25,'Attrition Modeling'!$C:$C,'Traditional Attrition'!AR$1),VLOOKUP('Traditional Attrition'!AR$2-'Traditional Attrition'!$F25-1,'Traditional Attrition'!$A$7:$C$161,2,FALSE)*VLOOKUP(AR$1,'Attrition Modeling'!$L$15:$N$27,IF(AR$2-$F25&lt;=24,2,3),FALSE))*(1+Projection!AT$16)*(1+IF(AR157&gt;0,'Attrition Modeling'!$N$9,0))),0))</f>
        <v>4772.4165601064597</v>
      </c>
      <c r="AS25" s="799">
        <f>IF(AS$2=$F25+1,Monthly!AO$21,IF(AS$2&gt;$F25+1,('Traditional Attrition'!AR25+AS157)*(1-IF(AS$2-$F25&lt;=12,SUMIFS('Attrition Modeling'!$D:$D,'Attrition Modeling'!$B:$B,'Traditional Attrition'!$E25,'Attrition Modeling'!$C:$C,'Traditional Attrition'!AS$1),VLOOKUP('Traditional Attrition'!AS$2-'Traditional Attrition'!$F25-1,'Traditional Attrition'!$A$7:$C$161,2,FALSE)*VLOOKUP(AS$1,'Attrition Modeling'!$L$15:$N$27,IF(AS$2-$F25&lt;=24,2,3),FALSE))*(1+Projection!AU$16)*(1+IF(AS157&gt;0,'Attrition Modeling'!$N$9,0))),0))</f>
        <v>4576.4456862841425</v>
      </c>
      <c r="AT25" s="799">
        <f>IF(AT$2=$F25+1,Monthly!AP$21,IF(AT$2&gt;$F25+1,('Traditional Attrition'!AS25+AT157)*(1-IF(AT$2-$F25&lt;=12,SUMIFS('Attrition Modeling'!$D:$D,'Attrition Modeling'!$B:$B,'Traditional Attrition'!$E25,'Attrition Modeling'!$C:$C,'Traditional Attrition'!AT$1),VLOOKUP('Traditional Attrition'!AT$2-'Traditional Attrition'!$F25-1,'Traditional Attrition'!$A$7:$C$161,2,FALSE)*VLOOKUP(AT$1,'Attrition Modeling'!$L$15:$N$27,IF(AT$2-$F25&lt;=24,2,3),FALSE))*(1+Projection!AV$16)*(1+IF(AT157&gt;0,'Attrition Modeling'!$N$9,0))),0))</f>
        <v>4377.8954093416951</v>
      </c>
      <c r="AU25" s="799">
        <f>IF(AU$2=$F25+1,Monthly!AQ$21,IF(AU$2&gt;$F25+1,('Traditional Attrition'!AT25+AU157)*(1-IF(AU$2-$F25&lt;=12,SUMIFS('Attrition Modeling'!$D:$D,'Attrition Modeling'!$B:$B,'Traditional Attrition'!$E25,'Attrition Modeling'!$C:$C,'Traditional Attrition'!AU$1),VLOOKUP('Traditional Attrition'!AU$2-'Traditional Attrition'!$F25-1,'Traditional Attrition'!$A$7:$C$161,2,FALSE)*VLOOKUP(AU$1,'Attrition Modeling'!$L$15:$N$27,IF(AU$2-$F25&lt;=24,2,3),FALSE))*(1+Projection!AW$16)*(1+IF(AU157&gt;0,'Attrition Modeling'!$N$9,0))),0))</f>
        <v>4558.6401148100858</v>
      </c>
      <c r="AV25" s="799">
        <f>IF(AV$2=$F25+1,Monthly!AR$21,IF(AV$2&gt;$F25+1,('Traditional Attrition'!AU25+AV157)*(1-IF(AV$2-$F25&lt;=12,SUMIFS('Attrition Modeling'!$D:$D,'Attrition Modeling'!$B:$B,'Traditional Attrition'!$E25,'Attrition Modeling'!$C:$C,'Traditional Attrition'!AV$1),VLOOKUP('Traditional Attrition'!AV$2-'Traditional Attrition'!$F25-1,'Traditional Attrition'!$A$7:$C$161,2,FALSE)*VLOOKUP(AV$1,'Attrition Modeling'!$L$15:$N$27,IF(AV$2-$F25&lt;=24,2,3),FALSE))*(1+Projection!AX$16)*(1+IF(AV157&gt;0,'Attrition Modeling'!$N$9,0))),0))</f>
        <v>4374.3897260784561</v>
      </c>
      <c r="AW25" s="799">
        <f>IF(AW$2=$F25+1,Monthly!AS$21,IF(AW$2&gt;$F25+1,('Traditional Attrition'!AV25+AW157)*(1-IF(AW$2-$F25&lt;=12,SUMIFS('Attrition Modeling'!$D:$D,'Attrition Modeling'!$B:$B,'Traditional Attrition'!$E25,'Attrition Modeling'!$C:$C,'Traditional Attrition'!AW$1),VLOOKUP('Traditional Attrition'!AW$2-'Traditional Attrition'!$F25-1,'Traditional Attrition'!$A$7:$C$161,2,FALSE)*VLOOKUP(AW$1,'Attrition Modeling'!$L$15:$N$27,IF(AW$2-$F25&lt;=24,2,3),FALSE))*(1+Projection!AY$16)*(1+IF(AW157&gt;0,'Attrition Modeling'!$N$9,0))),0))</f>
        <v>4183.9701009725495</v>
      </c>
      <c r="AX25" s="799">
        <f>IF(AX$2=$F25+1,Monthly!AT$21,IF(AX$2&gt;$F25+1,('Traditional Attrition'!AW25+AX157)*(1-IF(AX$2-$F25&lt;=12,SUMIFS('Attrition Modeling'!$D:$D,'Attrition Modeling'!$B:$B,'Traditional Attrition'!$E25,'Attrition Modeling'!$C:$C,'Traditional Attrition'!AX$1),VLOOKUP('Traditional Attrition'!AX$2-'Traditional Attrition'!$F25-1,'Traditional Attrition'!$A$7:$C$161,2,FALSE)*VLOOKUP(AX$1,'Attrition Modeling'!$L$15:$N$27,IF(AX$2-$F25&lt;=24,2,3),FALSE))*(1+Projection!AZ$16)*(1+IF(AX157&gt;0,'Attrition Modeling'!$N$9,0))),0))</f>
        <v>4000.7135083108215</v>
      </c>
      <c r="AY25" s="799">
        <f>IF(AY$2=$F25+1,Monthly!AU$21,IF(AY$2&gt;$F25+1,('Traditional Attrition'!AX25+AY157)*(1-IF(AY$2-$F25&lt;=12,SUMIFS('Attrition Modeling'!$D:$D,'Attrition Modeling'!$B:$B,'Traditional Attrition'!$E25,'Attrition Modeling'!$C:$C,'Traditional Attrition'!AY$1),VLOOKUP('Traditional Attrition'!AY$2-'Traditional Attrition'!$F25-1,'Traditional Attrition'!$A$7:$C$161,2,FALSE)*VLOOKUP(AY$1,'Attrition Modeling'!$L$15:$N$27,IF(AY$2-$F25&lt;=24,2,3),FALSE))*(1+Projection!BA$16)*(1+IF(AY157&gt;0,'Attrition Modeling'!$N$9,0))),0))</f>
        <v>3820.5784099849157</v>
      </c>
      <c r="AZ25" s="799">
        <f>IF(AZ$2=$F25+1,Monthly!AV$21,IF(AZ$2&gt;$F25+1,('Traditional Attrition'!AY25+AZ157)*(1-IF(AZ$2-$F25&lt;=12,SUMIFS('Attrition Modeling'!$D:$D,'Attrition Modeling'!$B:$B,'Traditional Attrition'!$E25,'Attrition Modeling'!$C:$C,'Traditional Attrition'!AZ$1),VLOOKUP('Traditional Attrition'!AZ$2-'Traditional Attrition'!$F25-1,'Traditional Attrition'!$A$7:$C$161,2,FALSE)*VLOOKUP(AZ$1,'Attrition Modeling'!$L$15:$N$27,IF(AZ$2-$F25&lt;=24,2,3),FALSE))*(1+Projection!BB$16)*(1+IF(AZ157&gt;0,'Attrition Modeling'!$N$9,0))),0))</f>
        <v>3665.9556041063165</v>
      </c>
      <c r="BA25" s="799">
        <f>IF(BA$2=$F25+1,Monthly!AW$21,IF(BA$2&gt;$F25+1,('Traditional Attrition'!AZ25+BA157)*(1-IF(BA$2-$F25&lt;=12,SUMIFS('Attrition Modeling'!$D:$D,'Attrition Modeling'!$B:$B,'Traditional Attrition'!$E25,'Attrition Modeling'!$C:$C,'Traditional Attrition'!BA$1),VLOOKUP('Traditional Attrition'!BA$2-'Traditional Attrition'!$F25-1,'Traditional Attrition'!$A$7:$C$161,2,FALSE)*VLOOKUP(BA$1,'Attrition Modeling'!$L$15:$N$27,IF(BA$2-$F25&lt;=24,2,3),FALSE))*(1+Projection!BC$16)*(1+IF(BA157&gt;0,'Attrition Modeling'!$N$9,0))),0))</f>
        <v>3516.1664522453152</v>
      </c>
      <c r="BB25" s="799">
        <f>IF(BB$2=$F25+1,Monthly!AX$21,IF(BB$2&gt;$F25+1,('Traditional Attrition'!BA25+BB157)*(1-IF(BB$2-$F25&lt;=12,SUMIFS('Attrition Modeling'!$D:$D,'Attrition Modeling'!$B:$B,'Traditional Attrition'!$E25,'Attrition Modeling'!$C:$C,'Traditional Attrition'!BB$1),VLOOKUP('Traditional Attrition'!BB$2-'Traditional Attrition'!$F25-1,'Traditional Attrition'!$A$7:$C$161,2,FALSE)*VLOOKUP(BB$1,'Attrition Modeling'!$L$15:$N$27,IF(BB$2-$F25&lt;=24,2,3),FALSE))*(1+Projection!BD$16)*(1+IF(BB157&gt;0,'Attrition Modeling'!$N$9,0))),0))</f>
        <v>3378.7645229882255</v>
      </c>
      <c r="BC25" s="799">
        <f>IF(BC$2=$F25+1,Monthly!AY$21,IF(BC$2&gt;$F25+1,('Traditional Attrition'!BB25+BC157)*(1-IF(BC$2-$F25&lt;=12,SUMIFS('Attrition Modeling'!$D:$D,'Attrition Modeling'!$B:$B,'Traditional Attrition'!$E25,'Attrition Modeling'!$C:$C,'Traditional Attrition'!BC$1),VLOOKUP('Traditional Attrition'!BC$2-'Traditional Attrition'!$F25-1,'Traditional Attrition'!$A$7:$C$161,2,FALSE)*VLOOKUP(BC$1,'Attrition Modeling'!$L$15:$N$27,IF(BC$2-$F25&lt;=24,2,3),FALSE))*(1+Projection!BE$16)*(1+IF(BC157&gt;0,'Attrition Modeling'!$N$9,0))),0))</f>
        <v>3271.4759313255699</v>
      </c>
      <c r="BD25" s="799">
        <f>IF(BD$2=$F25+1,Monthly!AZ$21,IF(BD$2&gt;$F25+1,('Traditional Attrition'!BC25+BD157)*(1-IF(BD$2-$F25&lt;=12,SUMIFS('Attrition Modeling'!$D:$D,'Attrition Modeling'!$B:$B,'Traditional Attrition'!$E25,'Attrition Modeling'!$C:$C,'Traditional Attrition'!BD$1),VLOOKUP('Traditional Attrition'!BD$2-'Traditional Attrition'!$F25-1,'Traditional Attrition'!$A$7:$C$161,2,FALSE)*VLOOKUP(BD$1,'Attrition Modeling'!$L$15:$N$27,IF(BD$2-$F25&lt;=24,2,3),FALSE))*(1+Projection!BF$16)*(1+IF(BD157&gt;0,'Attrition Modeling'!$N$9,0))),0))</f>
        <v>3158.0254513242121</v>
      </c>
      <c r="BE25" s="799">
        <f>IF(BE$2=$F25+1,Monthly!BA$21,IF(BE$2&gt;$F25+1,('Traditional Attrition'!BD25+BE157)*(1-IF(BE$2-$F25&lt;=12,SUMIFS('Attrition Modeling'!$D:$D,'Attrition Modeling'!$B:$B,'Traditional Attrition'!$E25,'Attrition Modeling'!$C:$C,'Traditional Attrition'!BE$1),VLOOKUP('Traditional Attrition'!BE$2-'Traditional Attrition'!$F25-1,'Traditional Attrition'!$A$7:$C$161,2,FALSE)*VLOOKUP(BE$1,'Attrition Modeling'!$L$15:$N$27,IF(BE$2-$F25&lt;=24,2,3),FALSE))*(1+Projection!BG$16)*(1+IF(BE157&gt;0,'Attrition Modeling'!$N$9,0))),0))</f>
        <v>3053.3436300942922</v>
      </c>
      <c r="BF25" s="799">
        <f>IF(BF$2=$F25+1,Monthly!BB$21,IF(BF$2&gt;$F25+1,('Traditional Attrition'!BE25+BF157)*(1-IF(BF$2-$F25&lt;=12,SUMIFS('Attrition Modeling'!$D:$D,'Attrition Modeling'!$B:$B,'Traditional Attrition'!$E25,'Attrition Modeling'!$C:$C,'Traditional Attrition'!BF$1),VLOOKUP('Traditional Attrition'!BF$2-'Traditional Attrition'!$F25-1,'Traditional Attrition'!$A$7:$C$161,2,FALSE)*VLOOKUP(BF$1,'Attrition Modeling'!$L$15:$N$27,IF(BF$2-$F25&lt;=24,2,3),FALSE))*(1+Projection!BH$16)*(1+IF(BF157&gt;0,'Attrition Modeling'!$N$9,0))),0))</f>
        <v>2957.6321209520784</v>
      </c>
      <c r="BG25" s="799">
        <f>IF(BG$2=$F25+1,Monthly!BC$21,IF(BG$2&gt;$F25+1,('Traditional Attrition'!BF25+BG157)*(1-IF(BG$2-$F25&lt;=12,SUMIFS('Attrition Modeling'!$D:$D,'Attrition Modeling'!$B:$B,'Traditional Attrition'!$E25,'Attrition Modeling'!$C:$C,'Traditional Attrition'!BG$1),VLOOKUP('Traditional Attrition'!BG$2-'Traditional Attrition'!$F25-1,'Traditional Attrition'!$A$7:$C$161,2,FALSE)*VLOOKUP(BG$1,'Attrition Modeling'!$L$15:$N$27,IF(BG$2-$F25&lt;=24,2,3),FALSE))*(1+Projection!BI$16)*(1+IF(BG157&gt;0,'Attrition Modeling'!$N$9,0))),0))</f>
        <v>3145.8109246911622</v>
      </c>
      <c r="BH25" s="799">
        <f>IF(BH$2=$F25+1,Monthly!BD$21,IF(BH$2&gt;$F25+1,('Traditional Attrition'!BG25+BH157)*(1-IF(BH$2-$F25&lt;=12,SUMIFS('Attrition Modeling'!$D:$D,'Attrition Modeling'!$B:$B,'Traditional Attrition'!$E25,'Attrition Modeling'!$C:$C,'Traditional Attrition'!BH$1),VLOOKUP('Traditional Attrition'!BH$2-'Traditional Attrition'!$F25-1,'Traditional Attrition'!$A$7:$C$161,2,FALSE)*VLOOKUP(BH$1,'Attrition Modeling'!$L$15:$N$27,IF(BH$2-$F25&lt;=24,2,3),FALSE))*(1+Projection!BJ$16)*(1+IF(BH157&gt;0,'Attrition Modeling'!$N$9,0))),0))</f>
        <v>3053.4679959070259</v>
      </c>
      <c r="BI25" s="799">
        <f>IF(BI$2=$F25+1,Monthly!BE$21,IF(BI$2&gt;$F25+1,('Traditional Attrition'!BH25+BI157)*(1-IF(BI$2-$F25&lt;=12,SUMIFS('Attrition Modeling'!$D:$D,'Attrition Modeling'!$B:$B,'Traditional Attrition'!$E25,'Attrition Modeling'!$C:$C,'Traditional Attrition'!BI$1),VLOOKUP('Traditional Attrition'!BI$2-'Traditional Attrition'!$F25-1,'Traditional Attrition'!$A$7:$C$161,2,FALSE)*VLOOKUP(BI$1,'Attrition Modeling'!$L$15:$N$27,IF(BI$2-$F25&lt;=24,2,3),FALSE))*(1+Projection!BK$16)*(1+IF(BI157&gt;0,'Attrition Modeling'!$N$9,0))),0))</f>
        <v>2952.3958077322541</v>
      </c>
      <c r="BJ25" s="799">
        <f>IF(BJ$2=$F25+1,Monthly!BF$21,IF(BJ$2&gt;$F25+1,('Traditional Attrition'!BI25+BJ157)*(1-IF(BJ$2-$F25&lt;=12,SUMIFS('Attrition Modeling'!$D:$D,'Attrition Modeling'!$B:$B,'Traditional Attrition'!$E25,'Attrition Modeling'!$C:$C,'Traditional Attrition'!BJ$1),VLOOKUP('Traditional Attrition'!BJ$2-'Traditional Attrition'!$F25-1,'Traditional Attrition'!$A$7:$C$161,2,FALSE)*VLOOKUP(BJ$1,'Attrition Modeling'!$L$15:$N$27,IF(BJ$2-$F25&lt;=24,2,3),FALSE))*(1+Projection!BL$16)*(1+IF(BJ157&gt;0,'Attrition Modeling'!$N$9,0))),0))</f>
        <v>2847.1671105380087</v>
      </c>
      <c r="BK25" s="799">
        <f>IF(BK$2=$F25+1,Monthly!BG$21,IF(BK$2&gt;$F25+1,('Traditional Attrition'!BJ25+BK157)*(1-IF(BK$2-$F25&lt;=12,SUMIFS('Attrition Modeling'!$D:$D,'Attrition Modeling'!$B:$B,'Traditional Attrition'!$E25,'Attrition Modeling'!$C:$C,'Traditional Attrition'!BK$1),VLOOKUP('Traditional Attrition'!BK$2-'Traditional Attrition'!$F25-1,'Traditional Attrition'!$A$7:$C$161,2,FALSE)*VLOOKUP(BK$1,'Attrition Modeling'!$L$15:$N$27,IF(BK$2-$F25&lt;=24,2,3),FALSE))*(1+Projection!BM$16)*(1+IF(BK157&gt;0,'Attrition Modeling'!$N$9,0))),0))</f>
        <v>2739.4434170477998</v>
      </c>
      <c r="BL25" s="799">
        <f>IF(BL$2=$F25+1,Monthly!BH$21,IF(BL$2&gt;$F25+1,('Traditional Attrition'!BK25+BL157)*(1-IF(BL$2-$F25&lt;=12,SUMIFS('Attrition Modeling'!$D:$D,'Attrition Modeling'!$B:$B,'Traditional Attrition'!$E25,'Attrition Modeling'!$C:$C,'Traditional Attrition'!BL$1),VLOOKUP('Traditional Attrition'!BL$2-'Traditional Attrition'!$F25-1,'Traditional Attrition'!$A$7:$C$161,2,FALSE)*VLOOKUP(BL$1,'Attrition Modeling'!$L$15:$N$27,IF(BL$2-$F25&lt;=24,2,3),FALSE))*(1+Projection!BN$16)*(1+IF(BL157&gt;0,'Attrition Modeling'!$N$9,0))),0))</f>
        <v>2643.2016917726246</v>
      </c>
      <c r="BM25" s="799">
        <f>IF(BM$2=$F25+1,Monthly!BI$21,IF(BM$2&gt;$F25+1,('Traditional Attrition'!BL25+BM157)*(1-IF(BM$2-$F25&lt;=12,SUMIFS('Attrition Modeling'!$D:$D,'Attrition Modeling'!$B:$B,'Traditional Attrition'!$E25,'Attrition Modeling'!$C:$C,'Traditional Attrition'!BM$1),VLOOKUP('Traditional Attrition'!BM$2-'Traditional Attrition'!$F25-1,'Traditional Attrition'!$A$7:$C$161,2,FALSE)*VLOOKUP(BM$1,'Attrition Modeling'!$L$15:$N$27,IF(BM$2-$F25&lt;=24,2,3),FALSE))*(1+Projection!BO$16)*(1+IF(BM157&gt;0,'Attrition Modeling'!$N$9,0))),0))</f>
        <v>2554.527461073686</v>
      </c>
      <c r="BN25" s="799">
        <f>IF(BN$2=$F25+1,Monthly!BJ$21,IF(BN$2&gt;$F25+1,('Traditional Attrition'!BM25+BN157)*(1-IF(BN$2-$F25&lt;=12,SUMIFS('Attrition Modeling'!$D:$D,'Attrition Modeling'!$B:$B,'Traditional Attrition'!$E25,'Attrition Modeling'!$C:$C,'Traditional Attrition'!BN$1),VLOOKUP('Traditional Attrition'!BN$2-'Traditional Attrition'!$F25-1,'Traditional Attrition'!$A$7:$C$161,2,FALSE)*VLOOKUP(BN$1,'Attrition Modeling'!$L$15:$N$27,IF(BN$2-$F25&lt;=24,2,3),FALSE))*(1+Projection!BP$16)*(1+IF(BN157&gt;0,'Attrition Modeling'!$N$9,0))),0))</f>
        <v>2471.6726581982689</v>
      </c>
      <c r="BO25" s="799">
        <f>IF(BO$2=$F25+1,Monthly!BK$21,IF(BO$2&gt;$F25+1,('Traditional Attrition'!BN25+BO157)*(1-IF(BO$2-$F25&lt;=12,SUMIFS('Attrition Modeling'!$D:$D,'Attrition Modeling'!$B:$B,'Traditional Attrition'!$E25,'Attrition Modeling'!$C:$C,'Traditional Attrition'!BO$1),VLOOKUP('Traditional Attrition'!BO$2-'Traditional Attrition'!$F25-1,'Traditional Attrition'!$A$7:$C$161,2,FALSE)*VLOOKUP(BO$1,'Attrition Modeling'!$L$15:$N$27,IF(BO$2-$F25&lt;=24,2,3),FALSE))*(1+Projection!BV$16)*(1+IF(BO157&gt;0,'Attrition Modeling'!$N$9,0))),0))</f>
        <v>2406.312221367099</v>
      </c>
      <c r="BP25" s="799">
        <f>IF(BP$2=$F25+1,Monthly!BL$21,IF(BP$2&gt;$F25+1,('Traditional Attrition'!BO25+BP157)*(1-IF(BP$2-$F25&lt;=12,SUMIFS('Attrition Modeling'!$D:$D,'Attrition Modeling'!$B:$B,'Traditional Attrition'!$E25,'Attrition Modeling'!$C:$C,'Traditional Attrition'!BP$1),VLOOKUP('Traditional Attrition'!BP$2-'Traditional Attrition'!$F25-1,'Traditional Attrition'!$A$7:$C$161,2,FALSE)*VLOOKUP(BP$1,'Attrition Modeling'!$L$15:$N$27,IF(BP$2-$F25&lt;=24,2,3),FALSE))*(1+Projection!BW$16)*(1+IF(BP157&gt;0,'Attrition Modeling'!$N$9,0))),0))</f>
        <v>2336.6019418186966</v>
      </c>
      <c r="BQ25" s="799">
        <f>IF(BQ$2=$F25+1,Monthly!BM$21,IF(BQ$2&gt;$F25+1,('Traditional Attrition'!BP25+BQ157)*(1-IF(BQ$2-$F25&lt;=12,SUMIFS('Attrition Modeling'!$D:$D,'Attrition Modeling'!$B:$B,'Traditional Attrition'!$E25,'Attrition Modeling'!$C:$C,'Traditional Attrition'!BQ$1),VLOOKUP('Traditional Attrition'!BQ$2-'Traditional Attrition'!$F25-1,'Traditional Attrition'!$A$7:$C$161,2,FALSE)*VLOOKUP(BQ$1,'Attrition Modeling'!$L$15:$N$27,IF(BQ$2-$F25&lt;=24,2,3),FALSE))*(1+Projection!BX$16)*(1+IF(BQ157&gt;0,'Attrition Modeling'!$N$9,0))),0))</f>
        <v>2271.709564544577</v>
      </c>
      <c r="BR25" s="799">
        <f>IF(BR$2=$F25+1,Monthly!BN$21,IF(BR$2&gt;$F25+1,('Traditional Attrition'!BQ25+BR157)*(1-IF(BR$2-$F25&lt;=12,SUMIFS('Attrition Modeling'!$D:$D,'Attrition Modeling'!$B:$B,'Traditional Attrition'!$E25,'Attrition Modeling'!$C:$C,'Traditional Attrition'!BR$1),VLOOKUP('Traditional Attrition'!BR$2-'Traditional Attrition'!$F25-1,'Traditional Attrition'!$A$7:$C$161,2,FALSE)*VLOOKUP(BR$1,'Attrition Modeling'!$L$15:$N$27,IF(BR$2-$F25&lt;=24,2,3),FALSE))*(1+Projection!BY$16)*(1+IF(BR157&gt;0,'Attrition Modeling'!$N$9,0))),0))</f>
        <v>2211.8835715033433</v>
      </c>
      <c r="BS25" s="799">
        <f>IF(BS$2=$F25+1,Monthly!BO$21,IF(BS$2&gt;$F25+1,('Traditional Attrition'!BR25+BS157)*(1-IF(BS$2-$F25&lt;=12,SUMIFS('Attrition Modeling'!$D:$D,'Attrition Modeling'!$B:$B,'Traditional Attrition'!$E25,'Attrition Modeling'!$C:$C,'Traditional Attrition'!BS$1),VLOOKUP('Traditional Attrition'!BS$2-'Traditional Attrition'!$F25-1,'Traditional Attrition'!$A$7:$C$161,2,FALSE)*VLOOKUP(BS$1,'Attrition Modeling'!$L$15:$N$27,IF(BS$2-$F25&lt;=24,2,3),FALSE))*(1+Projection!BZ$16)*(1+IF(BS157&gt;0,'Attrition Modeling'!$N$9,0))),0))</f>
        <v>2279.5108631899352</v>
      </c>
      <c r="BT25" s="799">
        <f>IF(BT$2=$F25+1,Monthly!#REF!,IF(BT$2&gt;$F25+1,('Traditional Attrition'!BS25+BT157)*(1-IF(BT$2-$F25&lt;=12,SUMIFS('Attrition Modeling'!$D:$D,'Attrition Modeling'!$B:$B,'Traditional Attrition'!$E25,'Attrition Modeling'!$C:$C,'Traditional Attrition'!BT$1),VLOOKUP('Traditional Attrition'!BT$2-'Traditional Attrition'!$F25-1,'Traditional Attrition'!$A$7:$C$161,2,FALSE)*VLOOKUP(BT$1,'Attrition Modeling'!$L$15:$N$27,IF(BT$2-$F25&lt;=24,2,3),FALSE))*(1+Projection!CA$16)*(1+IF(BT157&gt;0,'Attrition Modeling'!$N$9,0))),0))</f>
        <v>2223.0107916301749</v>
      </c>
      <c r="BU25" s="799">
        <f>IF(BU$2=$F25+1,Monthly!#REF!,IF(BU$2&gt;$F25+1,('Traditional Attrition'!BT25+BU157)*(1-IF(BU$2-$F25&lt;=12,SUMIFS('Attrition Modeling'!$D:$D,'Attrition Modeling'!$B:$B,'Traditional Attrition'!$E25,'Attrition Modeling'!$C:$C,'Traditional Attrition'!BU$1),VLOOKUP('Traditional Attrition'!BU$2-'Traditional Attrition'!$F25-1,'Traditional Attrition'!$A$7:$C$161,2,FALSE)*VLOOKUP(BU$1,'Attrition Modeling'!$L$15:$N$27,IF(BU$2-$F25&lt;=24,2,3),FALSE))*(1+Projection!CB$16)*(1+IF(BU157&gt;0,'Attrition Modeling'!$N$9,0))),0))</f>
        <v>2160.7350349748385</v>
      </c>
    </row>
    <row r="26" spans="1:73" ht="14.25" customHeight="1" x14ac:dyDescent="0.2">
      <c r="A26" s="9">
        <v>19</v>
      </c>
      <c r="B26" s="25">
        <f>MAX('Attrition Modeling'!H23,$C$3)*(1-Summary!$C$20)</f>
        <v>4.1868967405686693E-2</v>
      </c>
      <c r="C26" s="24" t="e">
        <f t="shared" si="4"/>
        <v>#DIV/0!</v>
      </c>
      <c r="E26" s="11">
        <f t="shared" si="2"/>
        <v>11</v>
      </c>
      <c r="F26" s="11">
        <f t="shared" si="3"/>
        <v>23</v>
      </c>
      <c r="G26" s="799"/>
      <c r="H26" s="799">
        <f>IF(H$2=$F26+1,Monthly!D$21,IF(H$2&gt;$F26+1,('Traditional Attrition'!G26+H158)*(1-IF(H$2-$F26&lt;=12,SUMIFS('Attrition Modeling'!$D:$D,'Attrition Modeling'!$B:$B,'Traditional Attrition'!$E26,'Attrition Modeling'!$C:$C,'Traditional Attrition'!H$1),VLOOKUP('Traditional Attrition'!H$2-'Traditional Attrition'!$F26-1,'Traditional Attrition'!$A$7:$C$161,2,FALSE)*VLOOKUP(H$1,'Attrition Modeling'!$L$15:$N$27,IF(H$2-$F26&lt;=24,2,3),FALSE))*(1+Projection!J$16)*(1+IF(H158&gt;0,'Attrition Modeling'!$N$9,0))),0))</f>
        <v>0</v>
      </c>
      <c r="I26" s="799">
        <f>IF(I$2=$F26+1,Monthly!E$21,IF(I$2&gt;$F26+1,('Traditional Attrition'!H26+I158)*(1-IF(I$2-$F26&lt;=12,SUMIFS('Attrition Modeling'!$D:$D,'Attrition Modeling'!$B:$B,'Traditional Attrition'!$E26,'Attrition Modeling'!$C:$C,'Traditional Attrition'!I$1),VLOOKUP('Traditional Attrition'!I$2-'Traditional Attrition'!$F26-1,'Traditional Attrition'!$A$7:$C$161,2,FALSE)*VLOOKUP(I$1,'Attrition Modeling'!$L$15:$N$27,IF(I$2-$F26&lt;=24,2,3),FALSE))*(1+Projection!K$16)*(1+IF(I158&gt;0,'Attrition Modeling'!$N$9,0))),0))</f>
        <v>0</v>
      </c>
      <c r="J26" s="799">
        <f>IF(J$2=$F26+1,Monthly!F$21,IF(J$2&gt;$F26+1,('Traditional Attrition'!I26+J158)*(1-IF(J$2-$F26&lt;=12,SUMIFS('Attrition Modeling'!$D:$D,'Attrition Modeling'!$B:$B,'Traditional Attrition'!$E26,'Attrition Modeling'!$C:$C,'Traditional Attrition'!J$1),VLOOKUP('Traditional Attrition'!J$2-'Traditional Attrition'!$F26-1,'Traditional Attrition'!$A$7:$C$161,2,FALSE)*VLOOKUP(J$1,'Attrition Modeling'!$L$15:$N$27,IF(J$2-$F26&lt;=24,2,3),FALSE))*(1+Projection!L$16)*(1+IF(J158&gt;0,'Attrition Modeling'!$N$9,0))),0))</f>
        <v>0</v>
      </c>
      <c r="K26" s="799">
        <f>IF(K$2=$F26+1,Monthly!G$21,IF(K$2&gt;$F26+1,('Traditional Attrition'!J26+K158)*(1-IF(K$2-$F26&lt;=12,SUMIFS('Attrition Modeling'!$D:$D,'Attrition Modeling'!$B:$B,'Traditional Attrition'!$E26,'Attrition Modeling'!$C:$C,'Traditional Attrition'!K$1),VLOOKUP('Traditional Attrition'!K$2-'Traditional Attrition'!$F26-1,'Traditional Attrition'!$A$7:$C$161,2,FALSE)*VLOOKUP(K$1,'Attrition Modeling'!$L$15:$N$27,IF(K$2-$F26&lt;=24,2,3),FALSE))*(1+Projection!M$16)*(1+IF(K158&gt;0,'Attrition Modeling'!$N$9,0))),0))</f>
        <v>0</v>
      </c>
      <c r="L26" s="799">
        <f>IF(L$2=$F26+1,Monthly!H$21,IF(L$2&gt;$F26+1,('Traditional Attrition'!K26+L158)*(1-IF(L$2-$F26&lt;=12,SUMIFS('Attrition Modeling'!$D:$D,'Attrition Modeling'!$B:$B,'Traditional Attrition'!$E26,'Attrition Modeling'!$C:$C,'Traditional Attrition'!L$1),VLOOKUP('Traditional Attrition'!L$2-'Traditional Attrition'!$F26-1,'Traditional Attrition'!$A$7:$C$161,2,FALSE)*VLOOKUP(L$1,'Attrition Modeling'!$L$15:$N$27,IF(L$2-$F26&lt;=24,2,3),FALSE))*(1+Projection!N$16)*(1+IF(L158&gt;0,'Attrition Modeling'!$N$9,0))),0))</f>
        <v>0</v>
      </c>
      <c r="M26" s="799">
        <f>IF(M$2=$F26+1,Monthly!I$21,IF(M$2&gt;$F26+1,('Traditional Attrition'!L26+M158)*(1-IF(M$2-$F26&lt;=12,SUMIFS('Attrition Modeling'!$D:$D,'Attrition Modeling'!$B:$B,'Traditional Attrition'!$E26,'Attrition Modeling'!$C:$C,'Traditional Attrition'!M$1),VLOOKUP('Traditional Attrition'!M$2-'Traditional Attrition'!$F26-1,'Traditional Attrition'!$A$7:$C$161,2,FALSE)*VLOOKUP(M$1,'Attrition Modeling'!$L$15:$N$27,IF(M$2-$F26&lt;=24,2,3),FALSE))*(1+Projection!O$16)*(1+IF(M158&gt;0,'Attrition Modeling'!$N$9,0))),0))</f>
        <v>0</v>
      </c>
      <c r="N26" s="799">
        <f>IF(N$2=$F26+1,Monthly!J$21,IF(N$2&gt;$F26+1,('Traditional Attrition'!M26+N158)*(1-IF(N$2-$F26&lt;=12,SUMIFS('Attrition Modeling'!$D:$D,'Attrition Modeling'!$B:$B,'Traditional Attrition'!$E26,'Attrition Modeling'!$C:$C,'Traditional Attrition'!N$1),VLOOKUP('Traditional Attrition'!N$2-'Traditional Attrition'!$F26-1,'Traditional Attrition'!$A$7:$C$161,2,FALSE)*VLOOKUP(N$1,'Attrition Modeling'!$L$15:$N$27,IF(N$2-$F26&lt;=24,2,3),FALSE))*(1+Projection!P$16)*(1+IF(N158&gt;0,'Attrition Modeling'!$N$9,0))),0))</f>
        <v>0</v>
      </c>
      <c r="O26" s="799">
        <f>IF(O$2=$F26+1,Monthly!K$21,IF(O$2&gt;$F26+1,('Traditional Attrition'!N26+O158)*(1-IF(O$2-$F26&lt;=12,SUMIFS('Attrition Modeling'!$D:$D,'Attrition Modeling'!$B:$B,'Traditional Attrition'!$E26,'Attrition Modeling'!$C:$C,'Traditional Attrition'!O$1),VLOOKUP('Traditional Attrition'!O$2-'Traditional Attrition'!$F26-1,'Traditional Attrition'!$A$7:$C$161,2,FALSE)*VLOOKUP(O$1,'Attrition Modeling'!$L$15:$N$27,IF(O$2-$F26&lt;=24,2,3),FALSE))*(1+Projection!Q$16)*(1+IF(O158&gt;0,'Attrition Modeling'!$N$9,0))),0))</f>
        <v>0</v>
      </c>
      <c r="P26" s="799">
        <f>IF(P$2=$F26+1,Monthly!L$21,IF(P$2&gt;$F26+1,('Traditional Attrition'!O26+P158)*(1-IF(P$2-$F26&lt;=12,SUMIFS('Attrition Modeling'!$D:$D,'Attrition Modeling'!$B:$B,'Traditional Attrition'!$E26,'Attrition Modeling'!$C:$C,'Traditional Attrition'!P$1),VLOOKUP('Traditional Attrition'!P$2-'Traditional Attrition'!$F26-1,'Traditional Attrition'!$A$7:$C$161,2,FALSE)*VLOOKUP(P$1,'Attrition Modeling'!$L$15:$N$27,IF(P$2-$F26&lt;=24,2,3),FALSE))*(1+Projection!R$16)*(1+IF(P158&gt;0,'Attrition Modeling'!$N$9,0))),0))</f>
        <v>0</v>
      </c>
      <c r="Q26" s="799">
        <f>IF(Q$2=$F26+1,Monthly!M$21,IF(Q$2&gt;$F26+1,('Traditional Attrition'!P26+Q158)*(1-IF(Q$2-$F26&lt;=12,SUMIFS('Attrition Modeling'!$D:$D,'Attrition Modeling'!$B:$B,'Traditional Attrition'!$E26,'Attrition Modeling'!$C:$C,'Traditional Attrition'!Q$1),VLOOKUP('Traditional Attrition'!Q$2-'Traditional Attrition'!$F26-1,'Traditional Attrition'!$A$7:$C$161,2,FALSE)*VLOOKUP(Q$1,'Attrition Modeling'!$L$15:$N$27,IF(Q$2-$F26&lt;=24,2,3),FALSE))*(1+Projection!S$16)*(1+IF(Q158&gt;0,'Attrition Modeling'!$N$9,0))),0))</f>
        <v>0</v>
      </c>
      <c r="R26" s="799">
        <f>IF(R$2=$F26+1,Monthly!N$21,IF(R$2&gt;$F26+1,('Traditional Attrition'!Q26+R158)*(1-IF(R$2-$F26&lt;=12,SUMIFS('Attrition Modeling'!$D:$D,'Attrition Modeling'!$B:$B,'Traditional Attrition'!$E26,'Attrition Modeling'!$C:$C,'Traditional Attrition'!R$1),VLOOKUP('Traditional Attrition'!R$2-'Traditional Attrition'!$F26-1,'Traditional Attrition'!$A$7:$C$161,2,FALSE)*VLOOKUP(R$1,'Attrition Modeling'!$L$15:$N$27,IF(R$2-$F26&lt;=24,2,3),FALSE))*(1+Projection!T$16)*(1+IF(R158&gt;0,'Attrition Modeling'!$N$9,0))),0))</f>
        <v>0</v>
      </c>
      <c r="S26" s="799">
        <f>IF(S$2=$F26+1,Monthly!O$21,IF(S$2&gt;$F26+1,('Traditional Attrition'!R26+S158)*(1-IF(S$2-$F26&lt;=12,SUMIFS('Attrition Modeling'!$D:$D,'Attrition Modeling'!$B:$B,'Traditional Attrition'!$E26,'Attrition Modeling'!$C:$C,'Traditional Attrition'!S$1),VLOOKUP('Traditional Attrition'!S$2-'Traditional Attrition'!$F26-1,'Traditional Attrition'!$A$7:$C$161,2,FALSE)*VLOOKUP(S$1,'Attrition Modeling'!$L$15:$N$27,IF(S$2-$F26&lt;=24,2,3),FALSE))*(1+Projection!U$16)*(1+IF(S158&gt;0,'Attrition Modeling'!$N$9,0))),0))</f>
        <v>0</v>
      </c>
      <c r="T26" s="799">
        <f>IF(T$2=$F26+1,Monthly!P$21,IF(T$2&gt;$F26+1,('Traditional Attrition'!S26+T158)*(1-IF(T$2-$F26&lt;=12,SUMIFS('Attrition Modeling'!$D:$D,'Attrition Modeling'!$B:$B,'Traditional Attrition'!$E26,'Attrition Modeling'!$C:$C,'Traditional Attrition'!T$1),VLOOKUP('Traditional Attrition'!T$2-'Traditional Attrition'!$F26-1,'Traditional Attrition'!$A$7:$C$161,2,FALSE)*VLOOKUP(T$1,'Attrition Modeling'!$L$15:$N$27,IF(T$2-$F26&lt;=24,2,3),FALSE))*(1+Projection!V$16)*(1+IF(T158&gt;0,'Attrition Modeling'!$N$9,0))),0))</f>
        <v>0</v>
      </c>
      <c r="U26" s="799">
        <f>IF(U$2=$F26+1,Monthly!Q$21,IF(U$2&gt;$F26+1,('Traditional Attrition'!T26+U158)*(1-IF(U$2-$F26&lt;=12,SUMIFS('Attrition Modeling'!$D:$D,'Attrition Modeling'!$B:$B,'Traditional Attrition'!$E26,'Attrition Modeling'!$C:$C,'Traditional Attrition'!U$1),VLOOKUP('Traditional Attrition'!U$2-'Traditional Attrition'!$F26-1,'Traditional Attrition'!$A$7:$C$161,2,FALSE)*VLOOKUP(U$1,'Attrition Modeling'!$L$15:$N$27,IF(U$2-$F26&lt;=24,2,3),FALSE))*(1+Projection!W$16)*(1+IF(U158&gt;0,'Attrition Modeling'!$N$9,0))),0))</f>
        <v>0</v>
      </c>
      <c r="V26" s="799">
        <f>IF(V$2=$F26+1,Monthly!R$21,IF(V$2&gt;$F26+1,('Traditional Attrition'!U26+V158)*(1-IF(V$2-$F26&lt;=12,SUMIFS('Attrition Modeling'!$D:$D,'Attrition Modeling'!$B:$B,'Traditional Attrition'!$E26,'Attrition Modeling'!$C:$C,'Traditional Attrition'!V$1),VLOOKUP('Traditional Attrition'!V$2-'Traditional Attrition'!$F26-1,'Traditional Attrition'!$A$7:$C$161,2,FALSE)*VLOOKUP(V$1,'Attrition Modeling'!$L$15:$N$27,IF(V$2-$F26&lt;=24,2,3),FALSE))*(1+Projection!X$16)*(1+IF(V158&gt;0,'Attrition Modeling'!$N$9,0))),0))</f>
        <v>0</v>
      </c>
      <c r="W26" s="799">
        <f>IF(W$2=$F26+1,Monthly!S$21,IF(W$2&gt;$F26+1,('Traditional Attrition'!V26+W158)*(1-IF(W$2-$F26&lt;=12,SUMIFS('Attrition Modeling'!$D:$D,'Attrition Modeling'!$B:$B,'Traditional Attrition'!$E26,'Attrition Modeling'!$C:$C,'Traditional Attrition'!W$1),VLOOKUP('Traditional Attrition'!W$2-'Traditional Attrition'!$F26-1,'Traditional Attrition'!$A$7:$C$161,2,FALSE)*VLOOKUP(W$1,'Attrition Modeling'!$L$15:$N$27,IF(W$2-$F26&lt;=24,2,3),FALSE))*(1+Projection!Y$16)*(1+IF(W158&gt;0,'Attrition Modeling'!$N$9,0))),0))</f>
        <v>0</v>
      </c>
      <c r="X26" s="799">
        <f>IF(X$2=$F26+1,Monthly!T$21,IF(X$2&gt;$F26+1,('Traditional Attrition'!W26+X158)*(1-IF(X$2-$F26&lt;=12,SUMIFS('Attrition Modeling'!$D:$D,'Attrition Modeling'!$B:$B,'Traditional Attrition'!$E26,'Attrition Modeling'!$C:$C,'Traditional Attrition'!X$1),VLOOKUP('Traditional Attrition'!X$2-'Traditional Attrition'!$F26-1,'Traditional Attrition'!$A$7:$C$161,2,FALSE)*VLOOKUP(X$1,'Attrition Modeling'!$L$15:$N$27,IF(X$2-$F26&lt;=24,2,3),FALSE))*(1+Projection!Z$16)*(1+IF(X158&gt;0,'Attrition Modeling'!$N$9,0))),0))</f>
        <v>0</v>
      </c>
      <c r="Y26" s="799">
        <f>IF(Y$2=$F26+1,Monthly!U$21,IF(Y$2&gt;$F26+1,('Traditional Attrition'!X26+Y158)*(1-IF(Y$2-$F26&lt;=12,SUMIFS('Attrition Modeling'!$D:$D,'Attrition Modeling'!$B:$B,'Traditional Attrition'!$E26,'Attrition Modeling'!$C:$C,'Traditional Attrition'!Y$1),VLOOKUP('Traditional Attrition'!Y$2-'Traditional Attrition'!$F26-1,'Traditional Attrition'!$A$7:$C$161,2,FALSE)*VLOOKUP(Y$1,'Attrition Modeling'!$L$15:$N$27,IF(Y$2-$F26&lt;=24,2,3),FALSE))*(1+Projection!AA$16)*(1+IF(Y158&gt;0,'Attrition Modeling'!$N$9,0))),0))</f>
        <v>0</v>
      </c>
      <c r="Z26" s="799">
        <f>IF(Z$2=$F26+1,Monthly!V$21,IF(Z$2&gt;$F26+1,('Traditional Attrition'!Y26+Z158)*(1-IF(Z$2-$F26&lt;=12,SUMIFS('Attrition Modeling'!$D:$D,'Attrition Modeling'!$B:$B,'Traditional Attrition'!$E26,'Attrition Modeling'!$C:$C,'Traditional Attrition'!Z$1),VLOOKUP('Traditional Attrition'!Z$2-'Traditional Attrition'!$F26-1,'Traditional Attrition'!$A$7:$C$161,2,FALSE)*VLOOKUP(Z$1,'Attrition Modeling'!$L$15:$N$27,IF(Z$2-$F26&lt;=24,2,3),FALSE))*(1+Projection!AB$16)*(1+IF(Z158&gt;0,'Attrition Modeling'!$N$9,0))),0))</f>
        <v>0</v>
      </c>
      <c r="AA26" s="799">
        <f>IF(AA$2=$F26+1,Monthly!W$21,IF(AA$2&gt;$F26+1,('Traditional Attrition'!Z26+AA158)*(1-IF(AA$2-$F26&lt;=12,SUMIFS('Attrition Modeling'!$D:$D,'Attrition Modeling'!$B:$B,'Traditional Attrition'!$E26,'Attrition Modeling'!$C:$C,'Traditional Attrition'!AA$1),VLOOKUP('Traditional Attrition'!AA$2-'Traditional Attrition'!$F26-1,'Traditional Attrition'!$A$7:$C$161,2,FALSE)*VLOOKUP(AA$1,'Attrition Modeling'!$L$15:$N$27,IF(AA$2-$F26&lt;=24,2,3),FALSE))*(1+Projection!AC$16)*(1+IF(AA158&gt;0,'Attrition Modeling'!$N$9,0))),0))</f>
        <v>0</v>
      </c>
      <c r="AB26" s="799">
        <f>IF(AB$2=$F26+1,Monthly!X$21,IF(AB$2&gt;$F26+1,('Traditional Attrition'!AA26+AB158)*(1-IF(AB$2-$F26&lt;=12,SUMIFS('Attrition Modeling'!$D:$D,'Attrition Modeling'!$B:$B,'Traditional Attrition'!$E26,'Attrition Modeling'!$C:$C,'Traditional Attrition'!AB$1),VLOOKUP('Traditional Attrition'!AB$2-'Traditional Attrition'!$F26-1,'Traditional Attrition'!$A$7:$C$161,2,FALSE)*VLOOKUP(AB$1,'Attrition Modeling'!$L$15:$N$27,IF(AB$2-$F26&lt;=24,2,3),FALSE))*(1+Projection!AD$16)*(1+IF(AB158&gt;0,'Attrition Modeling'!$N$9,0))),0))</f>
        <v>0</v>
      </c>
      <c r="AC26" s="799">
        <f>IF(AC$2=$F26+1,Monthly!Y$21,IF(AC$2&gt;$F26+1,('Traditional Attrition'!AB26+AC158)*(1-IF(AC$2-$F26&lt;=12,SUMIFS('Attrition Modeling'!$D:$D,'Attrition Modeling'!$B:$B,'Traditional Attrition'!$E26,'Attrition Modeling'!$C:$C,'Traditional Attrition'!AC$1),VLOOKUP('Traditional Attrition'!AC$2-'Traditional Attrition'!$F26-1,'Traditional Attrition'!$A$7:$C$161,2,FALSE)*VLOOKUP(AC$1,'Attrition Modeling'!$L$15:$N$27,IF(AC$2-$F26&lt;=24,2,3),FALSE))*(1+Projection!AE$16)*(1+IF(AC158&gt;0,'Attrition Modeling'!$N$9,0))),0))</f>
        <v>0</v>
      </c>
      <c r="AD26" s="799">
        <f>IF(AD$2=$F26+1,Monthly!Z$21,IF(AD$2&gt;$F26+1,('Traditional Attrition'!AC26+AD158)*(1-IF(AD$2-$F26&lt;=12,SUMIFS('Attrition Modeling'!$D:$D,'Attrition Modeling'!$B:$B,'Traditional Attrition'!$E26,'Attrition Modeling'!$C:$C,'Traditional Attrition'!AD$1),VLOOKUP('Traditional Attrition'!AD$2-'Traditional Attrition'!$F26-1,'Traditional Attrition'!$A$7:$C$161,2,FALSE)*VLOOKUP(AD$1,'Attrition Modeling'!$L$15:$N$27,IF(AD$2-$F26&lt;=24,2,3),FALSE))*(1+Projection!AF$16)*(1+IF(AD158&gt;0,'Attrition Modeling'!$N$9,0))),0))</f>
        <v>0</v>
      </c>
      <c r="AE26" s="799">
        <f>IF(AE$2=$F26+1,Monthly!AA$21,IF(AE$2&gt;$F26+1,('Traditional Attrition'!AD26+AE158)*(1-IF(AE$2-$F26&lt;=12,SUMIFS('Attrition Modeling'!$D:$D,'Attrition Modeling'!$B:$B,'Traditional Attrition'!$E26,'Attrition Modeling'!$C:$C,'Traditional Attrition'!AE$1),VLOOKUP('Traditional Attrition'!AE$2-'Traditional Attrition'!$F26-1,'Traditional Attrition'!$A$7:$C$161,2,FALSE)*VLOOKUP(AE$1,'Attrition Modeling'!$L$15:$N$27,IF(AE$2-$F26&lt;=24,2,3),FALSE))*(1+Projection!AG$16)*(1+IF(AE158&gt;0,'Attrition Modeling'!$N$9,0))),0))</f>
        <v>11362.075953360341</v>
      </c>
      <c r="AF26" s="799">
        <f>IF(AF$2=$F26+1,Monthly!AB$21,IF(AF$2&gt;$F26+1,('Traditional Attrition'!AE26+AF158)*(1-IF(AF$2-$F26&lt;=12,SUMIFS('Attrition Modeling'!$D:$D,'Attrition Modeling'!$B:$B,'Traditional Attrition'!$E26,'Attrition Modeling'!$C:$C,'Traditional Attrition'!AF$1),VLOOKUP('Traditional Attrition'!AF$2-'Traditional Attrition'!$F26-1,'Traditional Attrition'!$A$7:$C$161,2,FALSE)*VLOOKUP(AF$1,'Attrition Modeling'!$L$15:$N$27,IF(AF$2-$F26&lt;=24,2,3),FALSE))*(1+Projection!AH$16)*(1+IF(AF158&gt;0,'Attrition Modeling'!$N$9,0))),0))</f>
        <v>10330.458539590179</v>
      </c>
      <c r="AG26" s="799">
        <f>IF(AG$2=$F26+1,Monthly!AC$21,IF(AG$2&gt;$F26+1,('Traditional Attrition'!AF26+AG158)*(1-IF(AG$2-$F26&lt;=12,SUMIFS('Attrition Modeling'!$D:$D,'Attrition Modeling'!$B:$B,'Traditional Attrition'!$E26,'Attrition Modeling'!$C:$C,'Traditional Attrition'!AG$1),VLOOKUP('Traditional Attrition'!AG$2-'Traditional Attrition'!$F26-1,'Traditional Attrition'!$A$7:$C$161,2,FALSE)*VLOOKUP(AG$1,'Attrition Modeling'!$L$15:$N$27,IF(AG$2-$F26&lt;=24,2,3),FALSE))*(1+Projection!AI$16)*(1+IF(AG158&gt;0,'Attrition Modeling'!$N$9,0))),0))</f>
        <v>9529.6539967605677</v>
      </c>
      <c r="AH26" s="799">
        <f>IF(AH$2=$F26+1,Monthly!AD$21,IF(AH$2&gt;$F26+1,('Traditional Attrition'!AG26+AH158)*(1-IF(AH$2-$F26&lt;=12,SUMIFS('Attrition Modeling'!$D:$D,'Attrition Modeling'!$B:$B,'Traditional Attrition'!$E26,'Attrition Modeling'!$C:$C,'Traditional Attrition'!AH$1),VLOOKUP('Traditional Attrition'!AH$2-'Traditional Attrition'!$F26-1,'Traditional Attrition'!$A$7:$C$161,2,FALSE)*VLOOKUP(AH$1,'Attrition Modeling'!$L$15:$N$27,IF(AH$2-$F26&lt;=24,2,3),FALSE))*(1+Projection!AJ$16)*(1+IF(AH158&gt;0,'Attrition Modeling'!$N$9,0))),0))</f>
        <v>8681.0417390244784</v>
      </c>
      <c r="AI26" s="799">
        <f>IF(AI$2=$F26+1,Monthly!AE$21,IF(AI$2&gt;$F26+1,('Traditional Attrition'!AH26+AI158)*(1-IF(AI$2-$F26&lt;=12,SUMIFS('Attrition Modeling'!$D:$D,'Attrition Modeling'!$B:$B,'Traditional Attrition'!$E26,'Attrition Modeling'!$C:$C,'Traditional Attrition'!AI$1),VLOOKUP('Traditional Attrition'!AI$2-'Traditional Attrition'!$F26-1,'Traditional Attrition'!$A$7:$C$161,2,FALSE)*VLOOKUP(AI$1,'Attrition Modeling'!$L$15:$N$27,IF(AI$2-$F26&lt;=24,2,3),FALSE))*(1+Projection!AK$16)*(1+IF(AI158&gt;0,'Attrition Modeling'!$N$9,0))),0))</f>
        <v>7997.7638017688359</v>
      </c>
      <c r="AJ26" s="799">
        <f>IF(AJ$2=$F26+1,Monthly!AF$21,IF(AJ$2&gt;$F26+1,('Traditional Attrition'!AI26+AJ158)*(1-IF(AJ$2-$F26&lt;=12,SUMIFS('Attrition Modeling'!$D:$D,'Attrition Modeling'!$B:$B,'Traditional Attrition'!$E26,'Attrition Modeling'!$C:$C,'Traditional Attrition'!AJ$1),VLOOKUP('Traditional Attrition'!AJ$2-'Traditional Attrition'!$F26-1,'Traditional Attrition'!$A$7:$C$161,2,FALSE)*VLOOKUP(AJ$1,'Attrition Modeling'!$L$15:$N$27,IF(AJ$2-$F26&lt;=24,2,3),FALSE))*(1+Projection!AL$16)*(1+IF(AJ158&gt;0,'Attrition Modeling'!$N$9,0))),0))</f>
        <v>7887.253621443585</v>
      </c>
      <c r="AK26" s="799">
        <f>IF(AK$2=$F26+1,Monthly!AG$21,IF(AK$2&gt;$F26+1,('Traditional Attrition'!AJ26+AK158)*(1-IF(AK$2-$F26&lt;=12,SUMIFS('Attrition Modeling'!$D:$D,'Attrition Modeling'!$B:$B,'Traditional Attrition'!$E26,'Attrition Modeling'!$C:$C,'Traditional Attrition'!AK$1),VLOOKUP('Traditional Attrition'!AK$2-'Traditional Attrition'!$F26-1,'Traditional Attrition'!$A$7:$C$161,2,FALSE)*VLOOKUP(AK$1,'Attrition Modeling'!$L$15:$N$27,IF(AK$2-$F26&lt;=24,2,3),FALSE))*(1+Projection!AM$16)*(1+IF(AK158&gt;0,'Attrition Modeling'!$N$9,0))),0))</f>
        <v>7328.3950886954044</v>
      </c>
      <c r="AL26" s="799">
        <f>IF(AL$2=$F26+1,Monthly!AH$21,IF(AL$2&gt;$F26+1,('Traditional Attrition'!AK26+AL158)*(1-IF(AL$2-$F26&lt;=12,SUMIFS('Attrition Modeling'!$D:$D,'Attrition Modeling'!$B:$B,'Traditional Attrition'!$E26,'Attrition Modeling'!$C:$C,'Traditional Attrition'!AL$1),VLOOKUP('Traditional Attrition'!AL$2-'Traditional Attrition'!$F26-1,'Traditional Attrition'!$A$7:$C$161,2,FALSE)*VLOOKUP(AL$1,'Attrition Modeling'!$L$15:$N$27,IF(AL$2-$F26&lt;=24,2,3),FALSE))*(1+Projection!AN$16)*(1+IF(AL158&gt;0,'Attrition Modeling'!$N$9,0))),0))</f>
        <v>6823.8731212092362</v>
      </c>
      <c r="AM26" s="799">
        <f>IF(AM$2=$F26+1,Monthly!AI$21,IF(AM$2&gt;$F26+1,('Traditional Attrition'!AL26+AM158)*(1-IF(AM$2-$F26&lt;=12,SUMIFS('Attrition Modeling'!$D:$D,'Attrition Modeling'!$B:$B,'Traditional Attrition'!$E26,'Attrition Modeling'!$C:$C,'Traditional Attrition'!AM$1),VLOOKUP('Traditional Attrition'!AM$2-'Traditional Attrition'!$F26-1,'Traditional Attrition'!$A$7:$C$161,2,FALSE)*VLOOKUP(AM$1,'Attrition Modeling'!$L$15:$N$27,IF(AM$2-$F26&lt;=24,2,3),FALSE))*(1+Projection!AO$16)*(1+IF(AM158&gt;0,'Attrition Modeling'!$N$9,0))),0))</f>
        <v>6359.524181980395</v>
      </c>
      <c r="AN26" s="799">
        <f>IF(AN$2=$F26+1,Monthly!AJ$21,IF(AN$2&gt;$F26+1,('Traditional Attrition'!AM26+AN158)*(1-IF(AN$2-$F26&lt;=12,SUMIFS('Attrition Modeling'!$D:$D,'Attrition Modeling'!$B:$B,'Traditional Attrition'!$E26,'Attrition Modeling'!$C:$C,'Traditional Attrition'!AN$1),VLOOKUP('Traditional Attrition'!AN$2-'Traditional Attrition'!$F26-1,'Traditional Attrition'!$A$7:$C$161,2,FALSE)*VLOOKUP(AN$1,'Attrition Modeling'!$L$15:$N$27,IF(AN$2-$F26&lt;=24,2,3),FALSE))*(1+Projection!AP$16)*(1+IF(AN158&gt;0,'Attrition Modeling'!$N$9,0))),0))</f>
        <v>6000.8603731174826</v>
      </c>
      <c r="AO26" s="799">
        <f>IF(AO$2=$F26+1,Monthly!AK$21,IF(AO$2&gt;$F26+1,('Traditional Attrition'!AN26+AO158)*(1-IF(AO$2-$F26&lt;=12,SUMIFS('Attrition Modeling'!$D:$D,'Attrition Modeling'!$B:$B,'Traditional Attrition'!$E26,'Attrition Modeling'!$C:$C,'Traditional Attrition'!AO$1),VLOOKUP('Traditional Attrition'!AO$2-'Traditional Attrition'!$F26-1,'Traditional Attrition'!$A$7:$C$161,2,FALSE)*VLOOKUP(AO$1,'Attrition Modeling'!$L$15:$N$27,IF(AO$2-$F26&lt;=24,2,3),FALSE))*(1+Projection!AQ$16)*(1+IF(AO158&gt;0,'Attrition Modeling'!$N$9,0))),0))</f>
        <v>5658.5717174950878</v>
      </c>
      <c r="AP26" s="799">
        <f>IF(AP$2=$F26+1,Monthly!AL$21,IF(AP$2&gt;$F26+1,('Traditional Attrition'!AO26+AP158)*(1-IF(AP$2-$F26&lt;=12,SUMIFS('Attrition Modeling'!$D:$D,'Attrition Modeling'!$B:$B,'Traditional Attrition'!$E26,'Attrition Modeling'!$C:$C,'Traditional Attrition'!AP$1),VLOOKUP('Traditional Attrition'!AP$2-'Traditional Attrition'!$F26-1,'Traditional Attrition'!$A$7:$C$161,2,FALSE)*VLOOKUP(AP$1,'Attrition Modeling'!$L$15:$N$27,IF(AP$2-$F26&lt;=24,2,3),FALSE))*(1+Projection!AR$16)*(1+IF(AP158&gt;0,'Attrition Modeling'!$N$9,0))),0))</f>
        <v>5506.5030914019735</v>
      </c>
      <c r="AQ26" s="799">
        <f>IF(AQ$2=$F26+1,Monthly!AM$21,IF(AQ$2&gt;$F26+1,('Traditional Attrition'!AP26+AQ158)*(1-IF(AQ$2-$F26&lt;=12,SUMIFS('Attrition Modeling'!$D:$D,'Attrition Modeling'!$B:$B,'Traditional Attrition'!$E26,'Attrition Modeling'!$C:$C,'Traditional Attrition'!AQ$1),VLOOKUP('Traditional Attrition'!AQ$2-'Traditional Attrition'!$F26-1,'Traditional Attrition'!$A$7:$C$161,2,FALSE)*VLOOKUP(AQ$1,'Attrition Modeling'!$L$15:$N$27,IF(AQ$2-$F26&lt;=24,2,3),FALSE))*(1+Projection!AS$16)*(1+IF(AQ158&gt;0,'Attrition Modeling'!$N$9,0))),0))</f>
        <v>5210.3227469531175</v>
      </c>
      <c r="AR26" s="799">
        <f>IF(AR$2=$F26+1,Monthly!AN$21,IF(AR$2&gt;$F26+1,('Traditional Attrition'!AQ26+AR158)*(1-IF(AR$2-$F26&lt;=12,SUMIFS('Attrition Modeling'!$D:$D,'Attrition Modeling'!$B:$B,'Traditional Attrition'!$E26,'Attrition Modeling'!$C:$C,'Traditional Attrition'!AR$1),VLOOKUP('Traditional Attrition'!AR$2-'Traditional Attrition'!$F26-1,'Traditional Attrition'!$A$7:$C$161,2,FALSE)*VLOOKUP(AR$1,'Attrition Modeling'!$L$15:$N$27,IF(AR$2-$F26&lt;=24,2,3),FALSE))*(1+Projection!AT$16)*(1+IF(AR158&gt;0,'Attrition Modeling'!$N$9,0))),0))</f>
        <v>4951.4863246451696</v>
      </c>
      <c r="AS26" s="799">
        <f>IF(AS$2=$F26+1,Monthly!AO$21,IF(AS$2&gt;$F26+1,('Traditional Attrition'!AR26+AS158)*(1-IF(AS$2-$F26&lt;=12,SUMIFS('Attrition Modeling'!$D:$D,'Attrition Modeling'!$B:$B,'Traditional Attrition'!$E26,'Attrition Modeling'!$C:$C,'Traditional Attrition'!AS$1),VLOOKUP('Traditional Attrition'!AS$2-'Traditional Attrition'!$F26-1,'Traditional Attrition'!$A$7:$C$161,2,FALSE)*VLOOKUP(AS$1,'Attrition Modeling'!$L$15:$N$27,IF(AS$2-$F26&lt;=24,2,3),FALSE))*(1+Projection!AU$16)*(1+IF(AS158&gt;0,'Attrition Modeling'!$N$9,0))),0))</f>
        <v>4740.4533385953519</v>
      </c>
      <c r="AT26" s="799">
        <f>IF(AT$2=$F26+1,Monthly!AP$21,IF(AT$2&gt;$F26+1,('Traditional Attrition'!AS26+AT158)*(1-IF(AT$2-$F26&lt;=12,SUMIFS('Attrition Modeling'!$D:$D,'Attrition Modeling'!$B:$B,'Traditional Attrition'!$E26,'Attrition Modeling'!$C:$C,'Traditional Attrition'!AT$1),VLOOKUP('Traditional Attrition'!AT$2-'Traditional Attrition'!$F26-1,'Traditional Attrition'!$A$7:$C$161,2,FALSE)*VLOOKUP(AT$1,'Attrition Modeling'!$L$15:$N$27,IF(AT$2-$F26&lt;=24,2,3),FALSE))*(1+Projection!AV$16)*(1+IF(AT158&gt;0,'Attrition Modeling'!$N$9,0))),0))</f>
        <v>4528.5559059007874</v>
      </c>
      <c r="AU26" s="799">
        <f>IF(AU$2=$F26+1,Monthly!AQ$21,IF(AU$2&gt;$F26+1,('Traditional Attrition'!AT26+AU158)*(1-IF(AU$2-$F26&lt;=12,SUMIFS('Attrition Modeling'!$D:$D,'Attrition Modeling'!$B:$B,'Traditional Attrition'!$E26,'Attrition Modeling'!$C:$C,'Traditional Attrition'!AU$1),VLOOKUP('Traditional Attrition'!AU$2-'Traditional Attrition'!$F26-1,'Traditional Attrition'!$A$7:$C$161,2,FALSE)*VLOOKUP(AU$1,'Attrition Modeling'!$L$15:$N$27,IF(AU$2-$F26&lt;=24,2,3),FALSE))*(1+Projection!AW$16)*(1+IF(AU158&gt;0,'Attrition Modeling'!$N$9,0))),0))</f>
        <v>4335.3789030110347</v>
      </c>
      <c r="AV26" s="799">
        <f>IF(AV$2=$F26+1,Monthly!AR$21,IF(AV$2&gt;$F26+1,('Traditional Attrition'!AU26+AV158)*(1-IF(AV$2-$F26&lt;=12,SUMIFS('Attrition Modeling'!$D:$D,'Attrition Modeling'!$B:$B,'Traditional Attrition'!$E26,'Attrition Modeling'!$C:$C,'Traditional Attrition'!AV$1),VLOOKUP('Traditional Attrition'!AV$2-'Traditional Attrition'!$F26-1,'Traditional Attrition'!$A$7:$C$161,2,FALSE)*VLOOKUP(AV$1,'Attrition Modeling'!$L$15:$N$27,IF(AV$2-$F26&lt;=24,2,3),FALSE))*(1+Projection!AX$16)*(1+IF(AV158&gt;0,'Attrition Modeling'!$N$9,0))),0))</f>
        <v>4516.0623927596007</v>
      </c>
      <c r="AW26" s="799">
        <f>IF(AW$2=$F26+1,Monthly!AS$21,IF(AW$2&gt;$F26+1,('Traditional Attrition'!AV26+AW158)*(1-IF(AW$2-$F26&lt;=12,SUMIFS('Attrition Modeling'!$D:$D,'Attrition Modeling'!$B:$B,'Traditional Attrition'!$E26,'Attrition Modeling'!$C:$C,'Traditional Attrition'!AW$1),VLOOKUP('Traditional Attrition'!AW$2-'Traditional Attrition'!$F26-1,'Traditional Attrition'!$A$7:$C$161,2,FALSE)*VLOOKUP(AW$1,'Attrition Modeling'!$L$15:$N$27,IF(AW$2-$F26&lt;=24,2,3),FALSE))*(1+Projection!AY$16)*(1+IF(AW158&gt;0,'Attrition Modeling'!$N$9,0))),0))</f>
        <v>4315.6682268770764</v>
      </c>
      <c r="AX26" s="799">
        <f>IF(AX$2=$F26+1,Monthly!AT$21,IF(AX$2&gt;$F26+1,('Traditional Attrition'!AW26+AX158)*(1-IF(AX$2-$F26&lt;=12,SUMIFS('Attrition Modeling'!$D:$D,'Attrition Modeling'!$B:$B,'Traditional Attrition'!$E26,'Attrition Modeling'!$C:$C,'Traditional Attrition'!AX$1),VLOOKUP('Traditional Attrition'!AX$2-'Traditional Attrition'!$F26-1,'Traditional Attrition'!$A$7:$C$161,2,FALSE)*VLOOKUP(AX$1,'Attrition Modeling'!$L$15:$N$27,IF(AX$2-$F26&lt;=24,2,3),FALSE))*(1+Projection!AZ$16)*(1+IF(AX158&gt;0,'Attrition Modeling'!$N$9,0))),0))</f>
        <v>4123.3579446272952</v>
      </c>
      <c r="AY26" s="799">
        <f>IF(AY$2=$F26+1,Monthly!AU$21,IF(AY$2&gt;$F26+1,('Traditional Attrition'!AX26+AY158)*(1-IF(AY$2-$F26&lt;=12,SUMIFS('Attrition Modeling'!$D:$D,'Attrition Modeling'!$B:$B,'Traditional Attrition'!$E26,'Attrition Modeling'!$C:$C,'Traditional Attrition'!AY$1),VLOOKUP('Traditional Attrition'!AY$2-'Traditional Attrition'!$F26-1,'Traditional Attrition'!$A$7:$C$161,2,FALSE)*VLOOKUP(AY$1,'Attrition Modeling'!$L$15:$N$27,IF(AY$2-$F26&lt;=24,2,3),FALSE))*(1+Projection!BA$16)*(1+IF(AY158&gt;0,'Attrition Modeling'!$N$9,0))),0))</f>
        <v>3934.7686138888585</v>
      </c>
      <c r="AZ26" s="799">
        <f>IF(AZ$2=$F26+1,Monthly!AV$21,IF(AZ$2&gt;$F26+1,('Traditional Attrition'!AY26+AZ158)*(1-IF(AZ$2-$F26&lt;=12,SUMIFS('Attrition Modeling'!$D:$D,'Attrition Modeling'!$B:$B,'Traditional Attrition'!$E26,'Attrition Modeling'!$C:$C,'Traditional Attrition'!AZ$1),VLOOKUP('Traditional Attrition'!AZ$2-'Traditional Attrition'!$F26-1,'Traditional Attrition'!$A$7:$C$161,2,FALSE)*VLOOKUP(AZ$1,'Attrition Modeling'!$L$15:$N$27,IF(AZ$2-$F26&lt;=24,2,3),FALSE))*(1+Projection!BB$16)*(1+IF(AZ158&gt;0,'Attrition Modeling'!$N$9,0))),0))</f>
        <v>3773.2164017527984</v>
      </c>
      <c r="BA26" s="799">
        <f>IF(BA$2=$F26+1,Monthly!AW$21,IF(BA$2&gt;$F26+1,('Traditional Attrition'!AZ26+BA158)*(1-IF(BA$2-$F26&lt;=12,SUMIFS('Attrition Modeling'!$D:$D,'Attrition Modeling'!$B:$B,'Traditional Attrition'!$E26,'Attrition Modeling'!$C:$C,'Traditional Attrition'!BA$1),VLOOKUP('Traditional Attrition'!BA$2-'Traditional Attrition'!$F26-1,'Traditional Attrition'!$A$7:$C$161,2,FALSE)*VLOOKUP(BA$1,'Attrition Modeling'!$L$15:$N$27,IF(BA$2-$F26&lt;=24,2,3),FALSE))*(1+Projection!BC$16)*(1+IF(BA158&gt;0,'Attrition Modeling'!$N$9,0))),0))</f>
        <v>3616.9773415458039</v>
      </c>
      <c r="BB26" s="799">
        <f>IF(BB$2=$F26+1,Monthly!AX$21,IF(BB$2&gt;$F26+1,('Traditional Attrition'!BA26+BB158)*(1-IF(BB$2-$F26&lt;=12,SUMIFS('Attrition Modeling'!$D:$D,'Attrition Modeling'!$B:$B,'Traditional Attrition'!$E26,'Attrition Modeling'!$C:$C,'Traditional Attrition'!BB$1),VLOOKUP('Traditional Attrition'!BB$2-'Traditional Attrition'!$F26-1,'Traditional Attrition'!$A$7:$C$161,2,FALSE)*VLOOKUP(BB$1,'Attrition Modeling'!$L$15:$N$27,IF(BB$2-$F26&lt;=24,2,3),FALSE))*(1+Projection!BD$16)*(1+IF(BB158&gt;0,'Attrition Modeling'!$N$9,0))),0))</f>
        <v>3474.8066987602401</v>
      </c>
      <c r="BC26" s="799">
        <f>IF(BC$2=$F26+1,Monthly!AY$21,IF(BC$2&gt;$F26+1,('Traditional Attrition'!BB26+BC158)*(1-IF(BC$2-$F26&lt;=12,SUMIFS('Attrition Modeling'!$D:$D,'Attrition Modeling'!$B:$B,'Traditional Attrition'!$E26,'Attrition Modeling'!$C:$C,'Traditional Attrition'!BC$1),VLOOKUP('Traditional Attrition'!BC$2-'Traditional Attrition'!$F26-1,'Traditional Attrition'!$A$7:$C$161,2,FALSE)*VLOOKUP(BC$1,'Attrition Modeling'!$L$15:$N$27,IF(BC$2-$F26&lt;=24,2,3),FALSE))*(1+Projection!BE$16)*(1+IF(BC158&gt;0,'Attrition Modeling'!$N$9,0))),0))</f>
        <v>3362.5471463107738</v>
      </c>
      <c r="BD26" s="799">
        <f>IF(BD$2=$F26+1,Monthly!AZ$21,IF(BD$2&gt;$F26+1,('Traditional Attrition'!BC26+BD158)*(1-IF(BD$2-$F26&lt;=12,SUMIFS('Attrition Modeling'!$D:$D,'Attrition Modeling'!$B:$B,'Traditional Attrition'!$E26,'Attrition Modeling'!$C:$C,'Traditional Attrition'!BD$1),VLOOKUP('Traditional Attrition'!BD$2-'Traditional Attrition'!$F26-1,'Traditional Attrition'!$A$7:$C$161,2,FALSE)*VLOOKUP(BD$1,'Attrition Modeling'!$L$15:$N$27,IF(BD$2-$F26&lt;=24,2,3),FALSE))*(1+Projection!BF$16)*(1+IF(BD158&gt;0,'Attrition Modeling'!$N$9,0))),0))</f>
        <v>3243.9544509942011</v>
      </c>
      <c r="BE26" s="799">
        <f>IF(BE$2=$F26+1,Monthly!BA$21,IF(BE$2&gt;$F26+1,('Traditional Attrition'!BD26+BE158)*(1-IF(BE$2-$F26&lt;=12,SUMIFS('Attrition Modeling'!$D:$D,'Attrition Modeling'!$B:$B,'Traditional Attrition'!$E26,'Attrition Modeling'!$C:$C,'Traditional Attrition'!BE$1),VLOOKUP('Traditional Attrition'!BE$2-'Traditional Attrition'!$F26-1,'Traditional Attrition'!$A$7:$C$161,2,FALSE)*VLOOKUP(BE$1,'Attrition Modeling'!$L$15:$N$27,IF(BE$2-$F26&lt;=24,2,3),FALSE))*(1+Projection!BG$16)*(1+IF(BE158&gt;0,'Attrition Modeling'!$N$9,0))),0))</f>
        <v>3134.6344968006888</v>
      </c>
      <c r="BF26" s="799">
        <f>IF(BF$2=$F26+1,Monthly!BB$21,IF(BF$2&gt;$F26+1,('Traditional Attrition'!BE26+BF158)*(1-IF(BF$2-$F26&lt;=12,SUMIFS('Attrition Modeling'!$D:$D,'Attrition Modeling'!$B:$B,'Traditional Attrition'!$E26,'Attrition Modeling'!$C:$C,'Traditional Attrition'!BF$1),VLOOKUP('Traditional Attrition'!BF$2-'Traditional Attrition'!$F26-1,'Traditional Attrition'!$A$7:$C$161,2,FALSE)*VLOOKUP(BF$1,'Attrition Modeling'!$L$15:$N$27,IF(BF$2-$F26&lt;=24,2,3),FALSE))*(1+Projection!BH$16)*(1+IF(BF158&gt;0,'Attrition Modeling'!$N$9,0))),0))</f>
        <v>3034.7731344292783</v>
      </c>
      <c r="BG26" s="799">
        <f>IF(BG$2=$F26+1,Monthly!BC$21,IF(BG$2&gt;$F26+1,('Traditional Attrition'!BF26+BG158)*(1-IF(BG$2-$F26&lt;=12,SUMIFS('Attrition Modeling'!$D:$D,'Attrition Modeling'!$B:$B,'Traditional Attrition'!$E26,'Attrition Modeling'!$C:$C,'Traditional Attrition'!BG$1),VLOOKUP('Traditional Attrition'!BG$2-'Traditional Attrition'!$F26-1,'Traditional Attrition'!$A$7:$C$161,2,FALSE)*VLOOKUP(BG$1,'Attrition Modeling'!$L$15:$N$27,IF(BG$2-$F26&lt;=24,2,3),FALSE))*(1+Projection!BI$16)*(1+IF(BG158&gt;0,'Attrition Modeling'!$N$9,0))),0))</f>
        <v>2958.8748996394324</v>
      </c>
      <c r="BH26" s="799">
        <f>IF(BH$2=$F26+1,Monthly!BD$21,IF(BH$2&gt;$F26+1,('Traditional Attrition'!BG26+BH158)*(1-IF(BH$2-$F26&lt;=12,SUMIFS('Attrition Modeling'!$D:$D,'Attrition Modeling'!$B:$B,'Traditional Attrition'!$E26,'Attrition Modeling'!$C:$C,'Traditional Attrition'!BH$1),VLOOKUP('Traditional Attrition'!BH$2-'Traditional Attrition'!$F26-1,'Traditional Attrition'!$A$7:$C$161,2,FALSE)*VLOOKUP(BH$1,'Attrition Modeling'!$L$15:$N$27,IF(BH$2-$F26&lt;=24,2,3),FALSE))*(1+Projection!BJ$16)*(1+IF(BH158&gt;0,'Attrition Modeling'!$N$9,0))),0))</f>
        <v>3126.9032969119203</v>
      </c>
      <c r="BI26" s="799">
        <f>IF(BI$2=$F26+1,Monthly!BE$21,IF(BI$2&gt;$F26+1,('Traditional Attrition'!BH26+BI158)*(1-IF(BI$2-$F26&lt;=12,SUMIFS('Attrition Modeling'!$D:$D,'Attrition Modeling'!$B:$B,'Traditional Attrition'!$E26,'Attrition Modeling'!$C:$C,'Traditional Attrition'!BI$1),VLOOKUP('Traditional Attrition'!BI$2-'Traditional Attrition'!$F26-1,'Traditional Attrition'!$A$7:$C$161,2,FALSE)*VLOOKUP(BI$1,'Attrition Modeling'!$L$15:$N$27,IF(BI$2-$F26&lt;=24,2,3),FALSE))*(1+Projection!BK$16)*(1+IF(BI158&gt;0,'Attrition Modeling'!$N$9,0))),0))</f>
        <v>3021.8064695855337</v>
      </c>
      <c r="BJ26" s="799">
        <f>IF(BJ$2=$F26+1,Monthly!BF$21,IF(BJ$2&gt;$F26+1,('Traditional Attrition'!BI26+BJ158)*(1-IF(BJ$2-$F26&lt;=12,SUMIFS('Attrition Modeling'!$D:$D,'Attrition Modeling'!$B:$B,'Traditional Attrition'!$E26,'Attrition Modeling'!$C:$C,'Traditional Attrition'!BJ$1),VLOOKUP('Traditional Attrition'!BJ$2-'Traditional Attrition'!$F26-1,'Traditional Attrition'!$A$7:$C$161,2,FALSE)*VLOOKUP(BJ$1,'Attrition Modeling'!$L$15:$N$27,IF(BJ$2-$F26&lt;=24,2,3),FALSE))*(1+Projection!BL$16)*(1+IF(BJ158&gt;0,'Attrition Modeling'!$N$9,0))),0))</f>
        <v>2912.4736611420703</v>
      </c>
      <c r="BK26" s="799">
        <f>IF(BK$2=$F26+1,Monthly!BG$21,IF(BK$2&gt;$F26+1,('Traditional Attrition'!BJ26+BK158)*(1-IF(BK$2-$F26&lt;=12,SUMIFS('Attrition Modeling'!$D:$D,'Attrition Modeling'!$B:$B,'Traditional Attrition'!$E26,'Attrition Modeling'!$C:$C,'Traditional Attrition'!BK$1),VLOOKUP('Traditional Attrition'!BK$2-'Traditional Attrition'!$F26-1,'Traditional Attrition'!$A$7:$C$161,2,FALSE)*VLOOKUP(BK$1,'Attrition Modeling'!$L$15:$N$27,IF(BK$2-$F26&lt;=24,2,3),FALSE))*(1+Projection!BM$16)*(1+IF(BK158&gt;0,'Attrition Modeling'!$N$9,0))),0))</f>
        <v>2800.638419262797</v>
      </c>
      <c r="BL26" s="799">
        <f>IF(BL$2=$F26+1,Monthly!BH$21,IF(BL$2&gt;$F26+1,('Traditional Attrition'!BK26+BL158)*(1-IF(BL$2-$F26&lt;=12,SUMIFS('Attrition Modeling'!$D:$D,'Attrition Modeling'!$B:$B,'Traditional Attrition'!$E26,'Attrition Modeling'!$C:$C,'Traditional Attrition'!BL$1),VLOOKUP('Traditional Attrition'!BL$2-'Traditional Attrition'!$F26-1,'Traditional Attrition'!$A$7:$C$161,2,FALSE)*VLOOKUP(BL$1,'Attrition Modeling'!$L$15:$N$27,IF(BL$2-$F26&lt;=24,2,3),FALSE))*(1+Projection!BN$16)*(1+IF(BL158&gt;0,'Attrition Modeling'!$N$9,0))),0))</f>
        <v>2700.804788175607</v>
      </c>
      <c r="BM26" s="799">
        <f>IF(BM$2=$F26+1,Monthly!BI$21,IF(BM$2&gt;$F26+1,('Traditional Attrition'!BL26+BM158)*(1-IF(BM$2-$F26&lt;=12,SUMIFS('Attrition Modeling'!$D:$D,'Attrition Modeling'!$B:$B,'Traditional Attrition'!$E26,'Attrition Modeling'!$C:$C,'Traditional Attrition'!BM$1),VLOOKUP('Traditional Attrition'!BM$2-'Traditional Attrition'!$F26-1,'Traditional Attrition'!$A$7:$C$161,2,FALSE)*VLOOKUP(BM$1,'Attrition Modeling'!$L$15:$N$27,IF(BM$2-$F26&lt;=24,2,3),FALSE))*(1+Projection!BO$16)*(1+IF(BM158&gt;0,'Attrition Modeling'!$N$9,0))),0))</f>
        <v>2608.8900503812083</v>
      </c>
      <c r="BN26" s="799">
        <f>IF(BN$2=$F26+1,Monthly!BJ$21,IF(BN$2&gt;$F26+1,('Traditional Attrition'!BM26+BN158)*(1-IF(BN$2-$F26&lt;=12,SUMIFS('Attrition Modeling'!$D:$D,'Attrition Modeling'!$B:$B,'Traditional Attrition'!$E26,'Attrition Modeling'!$C:$C,'Traditional Attrition'!BN$1),VLOOKUP('Traditional Attrition'!BN$2-'Traditional Attrition'!$F26-1,'Traditional Attrition'!$A$7:$C$161,2,FALSE)*VLOOKUP(BN$1,'Attrition Modeling'!$L$15:$N$27,IF(BN$2-$F26&lt;=24,2,3),FALSE))*(1+Projection!BP$16)*(1+IF(BN158&gt;0,'Attrition Modeling'!$N$9,0))),0))</f>
        <v>2523.0679660552009</v>
      </c>
      <c r="BO26" s="799">
        <f>IF(BO$2=$F26+1,Monthly!BK$21,IF(BO$2&gt;$F26+1,('Traditional Attrition'!BN26+BO158)*(1-IF(BO$2-$F26&lt;=12,SUMIFS('Attrition Modeling'!$D:$D,'Attrition Modeling'!$B:$B,'Traditional Attrition'!$E26,'Attrition Modeling'!$C:$C,'Traditional Attrition'!BO$1),VLOOKUP('Traditional Attrition'!BO$2-'Traditional Attrition'!$F26-1,'Traditional Attrition'!$A$7:$C$161,2,FALSE)*VLOOKUP(BO$1,'Attrition Modeling'!$L$15:$N$27,IF(BO$2-$F26&lt;=24,2,3),FALSE))*(1+Projection!BV$16)*(1+IF(BO158&gt;0,'Attrition Modeling'!$N$9,0))),0))</f>
        <v>2455.4121223884358</v>
      </c>
      <c r="BP26" s="799">
        <f>IF(BP$2=$F26+1,Monthly!BL$21,IF(BP$2&gt;$F26+1,('Traditional Attrition'!BO26+BP158)*(1-IF(BP$2-$F26&lt;=12,SUMIFS('Attrition Modeling'!$D:$D,'Attrition Modeling'!$B:$B,'Traditional Attrition'!$E26,'Attrition Modeling'!$C:$C,'Traditional Attrition'!BP$1),VLOOKUP('Traditional Attrition'!BP$2-'Traditional Attrition'!$F26-1,'Traditional Attrition'!$A$7:$C$161,2,FALSE)*VLOOKUP(BP$1,'Attrition Modeling'!$L$15:$N$27,IF(BP$2-$F26&lt;=24,2,3),FALSE))*(1+Projection!BW$16)*(1+IF(BP158&gt;0,'Attrition Modeling'!$N$9,0))),0))</f>
        <v>2383.2943461766645</v>
      </c>
      <c r="BQ26" s="799">
        <f>IF(BQ$2=$F26+1,Monthly!BM$21,IF(BQ$2&gt;$F26+1,('Traditional Attrition'!BP26+BQ158)*(1-IF(BQ$2-$F26&lt;=12,SUMIFS('Attrition Modeling'!$D:$D,'Attrition Modeling'!$B:$B,'Traditional Attrition'!$E26,'Attrition Modeling'!$C:$C,'Traditional Attrition'!BQ$1),VLOOKUP('Traditional Attrition'!BQ$2-'Traditional Attrition'!$F26-1,'Traditional Attrition'!$A$7:$C$161,2,FALSE)*VLOOKUP(BQ$1,'Attrition Modeling'!$L$15:$N$27,IF(BQ$2-$F26&lt;=24,2,3),FALSE))*(1+Projection!BX$16)*(1+IF(BQ158&gt;0,'Attrition Modeling'!$N$9,0))),0))</f>
        <v>2316.200202319802</v>
      </c>
      <c r="BR26" s="799">
        <f>IF(BR$2=$F26+1,Monthly!BN$21,IF(BR$2&gt;$F26+1,('Traditional Attrition'!BQ26+BR158)*(1-IF(BR$2-$F26&lt;=12,SUMIFS('Attrition Modeling'!$D:$D,'Attrition Modeling'!$B:$B,'Traditional Attrition'!$E26,'Attrition Modeling'!$C:$C,'Traditional Attrition'!BR$1),VLOOKUP('Traditional Attrition'!BR$2-'Traditional Attrition'!$F26-1,'Traditional Attrition'!$A$7:$C$161,2,FALSE)*VLOOKUP(BR$1,'Attrition Modeling'!$L$15:$N$27,IF(BR$2-$F26&lt;=24,2,3),FALSE))*(1+Projection!BY$16)*(1+IF(BR158&gt;0,'Attrition Modeling'!$N$9,0))),0))</f>
        <v>2254.3786393999781</v>
      </c>
      <c r="BS26" s="799">
        <f>IF(BS$2=$F26+1,Monthly!BO$21,IF(BS$2&gt;$F26+1,('Traditional Attrition'!BR26+BS158)*(1-IF(BS$2-$F26&lt;=12,SUMIFS('Attrition Modeling'!$D:$D,'Attrition Modeling'!$B:$B,'Traditional Attrition'!$E26,'Attrition Modeling'!$C:$C,'Traditional Attrition'!BS$1),VLOOKUP('Traditional Attrition'!BS$2-'Traditional Attrition'!$F26-1,'Traditional Attrition'!$A$7:$C$161,2,FALSE)*VLOOKUP(BS$1,'Attrition Modeling'!$L$15:$N$27,IF(BS$2-$F26&lt;=24,2,3),FALSE))*(1+Projection!BZ$16)*(1+IF(BS158&gt;0,'Attrition Modeling'!$N$9,0))),0))</f>
        <v>2207.0110880722905</v>
      </c>
      <c r="BT26" s="799">
        <f>IF(BT$2=$F26+1,Monthly!#REF!,IF(BT$2&gt;$F26+1,('Traditional Attrition'!BS26+BT158)*(1-IF(BT$2-$F26&lt;=12,SUMIFS('Attrition Modeling'!$D:$D,'Attrition Modeling'!$B:$B,'Traditional Attrition'!$E26,'Attrition Modeling'!$C:$C,'Traditional Attrition'!BT$1),VLOOKUP('Traditional Attrition'!BT$2-'Traditional Attrition'!$F26-1,'Traditional Attrition'!$A$7:$C$161,2,FALSE)*VLOOKUP(BT$1,'Attrition Modeling'!$L$15:$N$27,IF(BT$2-$F26&lt;=24,2,3),FALSE))*(1+Projection!CA$16)*(1+IF(BT158&gt;0,'Attrition Modeling'!$N$9,0))),0))</f>
        <v>2283.8588109100856</v>
      </c>
      <c r="BU26" s="799">
        <f>IF(BU$2=$F26+1,Monthly!#REF!,IF(BU$2&gt;$F26+1,('Traditional Attrition'!BT26+BU158)*(1-IF(BU$2-$F26&lt;=12,SUMIFS('Attrition Modeling'!$D:$D,'Attrition Modeling'!$B:$B,'Traditional Attrition'!$E26,'Attrition Modeling'!$C:$C,'Traditional Attrition'!BU$1),VLOOKUP('Traditional Attrition'!BU$2-'Traditional Attrition'!$F26-1,'Traditional Attrition'!$A$7:$C$161,2,FALSE)*VLOOKUP(BU$1,'Attrition Modeling'!$L$15:$N$27,IF(BU$2-$F26&lt;=24,2,3),FALSE))*(1+Projection!CB$16)*(1+IF(BU158&gt;0,'Attrition Modeling'!$N$9,0))),0))</f>
        <v>2219.0430370307545</v>
      </c>
    </row>
    <row r="27" spans="1:73" ht="14.25" customHeight="1" x14ac:dyDescent="0.2">
      <c r="A27" s="9">
        <v>20</v>
      </c>
      <c r="B27" s="25">
        <f>MAX('Attrition Modeling'!H24,$C$3)*(1-Summary!$C$20)</f>
        <v>4.1153694586752602E-2</v>
      </c>
      <c r="C27" s="24" t="e">
        <f t="shared" si="4"/>
        <v>#DIV/0!</v>
      </c>
      <c r="E27" s="11">
        <f t="shared" si="2"/>
        <v>12</v>
      </c>
      <c r="F27" s="11">
        <f t="shared" si="3"/>
        <v>24</v>
      </c>
      <c r="G27" s="799"/>
      <c r="H27" s="799">
        <f>IF(H$2=$F27+1,Monthly!D$21,IF(H$2&gt;$F27+1,('Traditional Attrition'!G27+H159)*(1-IF(H$2-$F27&lt;=12,SUMIFS('Attrition Modeling'!$D:$D,'Attrition Modeling'!$B:$B,'Traditional Attrition'!$E27,'Attrition Modeling'!$C:$C,'Traditional Attrition'!H$1),VLOOKUP('Traditional Attrition'!H$2-'Traditional Attrition'!$F27-1,'Traditional Attrition'!$A$7:$C$161,2,FALSE)*VLOOKUP(H$1,'Attrition Modeling'!$L$15:$N$27,IF(H$2-$F27&lt;=24,2,3),FALSE))*(1+Projection!J$16)*(1+IF(H159&gt;0,'Attrition Modeling'!$N$9,0))),0))</f>
        <v>0</v>
      </c>
      <c r="I27" s="799">
        <f>IF(I$2=$F27+1,Monthly!E$21,IF(I$2&gt;$F27+1,('Traditional Attrition'!H27+I159)*(1-IF(I$2-$F27&lt;=12,SUMIFS('Attrition Modeling'!$D:$D,'Attrition Modeling'!$B:$B,'Traditional Attrition'!$E27,'Attrition Modeling'!$C:$C,'Traditional Attrition'!I$1),VLOOKUP('Traditional Attrition'!I$2-'Traditional Attrition'!$F27-1,'Traditional Attrition'!$A$7:$C$161,2,FALSE)*VLOOKUP(I$1,'Attrition Modeling'!$L$15:$N$27,IF(I$2-$F27&lt;=24,2,3),FALSE))*(1+Projection!K$16)*(1+IF(I159&gt;0,'Attrition Modeling'!$N$9,0))),0))</f>
        <v>0</v>
      </c>
      <c r="J27" s="799">
        <f>IF(J$2=$F27+1,Monthly!F$21,IF(J$2&gt;$F27+1,('Traditional Attrition'!I27+J159)*(1-IF(J$2-$F27&lt;=12,SUMIFS('Attrition Modeling'!$D:$D,'Attrition Modeling'!$B:$B,'Traditional Attrition'!$E27,'Attrition Modeling'!$C:$C,'Traditional Attrition'!J$1),VLOOKUP('Traditional Attrition'!J$2-'Traditional Attrition'!$F27-1,'Traditional Attrition'!$A$7:$C$161,2,FALSE)*VLOOKUP(J$1,'Attrition Modeling'!$L$15:$N$27,IF(J$2-$F27&lt;=24,2,3),FALSE))*(1+Projection!L$16)*(1+IF(J159&gt;0,'Attrition Modeling'!$N$9,0))),0))</f>
        <v>0</v>
      </c>
      <c r="K27" s="799">
        <f>IF(K$2=$F27+1,Monthly!G$21,IF(K$2&gt;$F27+1,('Traditional Attrition'!J27+K159)*(1-IF(K$2-$F27&lt;=12,SUMIFS('Attrition Modeling'!$D:$D,'Attrition Modeling'!$B:$B,'Traditional Attrition'!$E27,'Attrition Modeling'!$C:$C,'Traditional Attrition'!K$1),VLOOKUP('Traditional Attrition'!K$2-'Traditional Attrition'!$F27-1,'Traditional Attrition'!$A$7:$C$161,2,FALSE)*VLOOKUP(K$1,'Attrition Modeling'!$L$15:$N$27,IF(K$2-$F27&lt;=24,2,3),FALSE))*(1+Projection!M$16)*(1+IF(K159&gt;0,'Attrition Modeling'!$N$9,0))),0))</f>
        <v>0</v>
      </c>
      <c r="L27" s="799">
        <f>IF(L$2=$F27+1,Monthly!H$21,IF(L$2&gt;$F27+1,('Traditional Attrition'!K27+L159)*(1-IF(L$2-$F27&lt;=12,SUMIFS('Attrition Modeling'!$D:$D,'Attrition Modeling'!$B:$B,'Traditional Attrition'!$E27,'Attrition Modeling'!$C:$C,'Traditional Attrition'!L$1),VLOOKUP('Traditional Attrition'!L$2-'Traditional Attrition'!$F27-1,'Traditional Attrition'!$A$7:$C$161,2,FALSE)*VLOOKUP(L$1,'Attrition Modeling'!$L$15:$N$27,IF(L$2-$F27&lt;=24,2,3),FALSE))*(1+Projection!N$16)*(1+IF(L159&gt;0,'Attrition Modeling'!$N$9,0))),0))</f>
        <v>0</v>
      </c>
      <c r="M27" s="799">
        <f>IF(M$2=$F27+1,Monthly!I$21,IF(M$2&gt;$F27+1,('Traditional Attrition'!L27+M159)*(1-IF(M$2-$F27&lt;=12,SUMIFS('Attrition Modeling'!$D:$D,'Attrition Modeling'!$B:$B,'Traditional Attrition'!$E27,'Attrition Modeling'!$C:$C,'Traditional Attrition'!M$1),VLOOKUP('Traditional Attrition'!M$2-'Traditional Attrition'!$F27-1,'Traditional Attrition'!$A$7:$C$161,2,FALSE)*VLOOKUP(M$1,'Attrition Modeling'!$L$15:$N$27,IF(M$2-$F27&lt;=24,2,3),FALSE))*(1+Projection!O$16)*(1+IF(M159&gt;0,'Attrition Modeling'!$N$9,0))),0))</f>
        <v>0</v>
      </c>
      <c r="N27" s="799">
        <f>IF(N$2=$F27+1,Monthly!J$21,IF(N$2&gt;$F27+1,('Traditional Attrition'!M27+N159)*(1-IF(N$2-$F27&lt;=12,SUMIFS('Attrition Modeling'!$D:$D,'Attrition Modeling'!$B:$B,'Traditional Attrition'!$E27,'Attrition Modeling'!$C:$C,'Traditional Attrition'!N$1),VLOOKUP('Traditional Attrition'!N$2-'Traditional Attrition'!$F27-1,'Traditional Attrition'!$A$7:$C$161,2,FALSE)*VLOOKUP(N$1,'Attrition Modeling'!$L$15:$N$27,IF(N$2-$F27&lt;=24,2,3),FALSE))*(1+Projection!P$16)*(1+IF(N159&gt;0,'Attrition Modeling'!$N$9,0))),0))</f>
        <v>0</v>
      </c>
      <c r="O27" s="799">
        <f>IF(O$2=$F27+1,Monthly!K$21,IF(O$2&gt;$F27+1,('Traditional Attrition'!N27+O159)*(1-IF(O$2-$F27&lt;=12,SUMIFS('Attrition Modeling'!$D:$D,'Attrition Modeling'!$B:$B,'Traditional Attrition'!$E27,'Attrition Modeling'!$C:$C,'Traditional Attrition'!O$1),VLOOKUP('Traditional Attrition'!O$2-'Traditional Attrition'!$F27-1,'Traditional Attrition'!$A$7:$C$161,2,FALSE)*VLOOKUP(O$1,'Attrition Modeling'!$L$15:$N$27,IF(O$2-$F27&lt;=24,2,3),FALSE))*(1+Projection!Q$16)*(1+IF(O159&gt;0,'Attrition Modeling'!$N$9,0))),0))</f>
        <v>0</v>
      </c>
      <c r="P27" s="799">
        <f>IF(P$2=$F27+1,Monthly!L$21,IF(P$2&gt;$F27+1,('Traditional Attrition'!O27+P159)*(1-IF(P$2-$F27&lt;=12,SUMIFS('Attrition Modeling'!$D:$D,'Attrition Modeling'!$B:$B,'Traditional Attrition'!$E27,'Attrition Modeling'!$C:$C,'Traditional Attrition'!P$1),VLOOKUP('Traditional Attrition'!P$2-'Traditional Attrition'!$F27-1,'Traditional Attrition'!$A$7:$C$161,2,FALSE)*VLOOKUP(P$1,'Attrition Modeling'!$L$15:$N$27,IF(P$2-$F27&lt;=24,2,3),FALSE))*(1+Projection!R$16)*(1+IF(P159&gt;0,'Attrition Modeling'!$N$9,0))),0))</f>
        <v>0</v>
      </c>
      <c r="Q27" s="799">
        <f>IF(Q$2=$F27+1,Monthly!M$21,IF(Q$2&gt;$F27+1,('Traditional Attrition'!P27+Q159)*(1-IF(Q$2-$F27&lt;=12,SUMIFS('Attrition Modeling'!$D:$D,'Attrition Modeling'!$B:$B,'Traditional Attrition'!$E27,'Attrition Modeling'!$C:$C,'Traditional Attrition'!Q$1),VLOOKUP('Traditional Attrition'!Q$2-'Traditional Attrition'!$F27-1,'Traditional Attrition'!$A$7:$C$161,2,FALSE)*VLOOKUP(Q$1,'Attrition Modeling'!$L$15:$N$27,IF(Q$2-$F27&lt;=24,2,3),FALSE))*(1+Projection!S$16)*(1+IF(Q159&gt;0,'Attrition Modeling'!$N$9,0))),0))</f>
        <v>0</v>
      </c>
      <c r="R27" s="799">
        <f>IF(R$2=$F27+1,Monthly!N$21,IF(R$2&gt;$F27+1,('Traditional Attrition'!Q27+R159)*(1-IF(R$2-$F27&lt;=12,SUMIFS('Attrition Modeling'!$D:$D,'Attrition Modeling'!$B:$B,'Traditional Attrition'!$E27,'Attrition Modeling'!$C:$C,'Traditional Attrition'!R$1),VLOOKUP('Traditional Attrition'!R$2-'Traditional Attrition'!$F27-1,'Traditional Attrition'!$A$7:$C$161,2,FALSE)*VLOOKUP(R$1,'Attrition Modeling'!$L$15:$N$27,IF(R$2-$F27&lt;=24,2,3),FALSE))*(1+Projection!T$16)*(1+IF(R159&gt;0,'Attrition Modeling'!$N$9,0))),0))</f>
        <v>0</v>
      </c>
      <c r="S27" s="799">
        <f>IF(S$2=$F27+1,Monthly!O$21,IF(S$2&gt;$F27+1,('Traditional Attrition'!R27+S159)*(1-IF(S$2-$F27&lt;=12,SUMIFS('Attrition Modeling'!$D:$D,'Attrition Modeling'!$B:$B,'Traditional Attrition'!$E27,'Attrition Modeling'!$C:$C,'Traditional Attrition'!S$1),VLOOKUP('Traditional Attrition'!S$2-'Traditional Attrition'!$F27-1,'Traditional Attrition'!$A$7:$C$161,2,FALSE)*VLOOKUP(S$1,'Attrition Modeling'!$L$15:$N$27,IF(S$2-$F27&lt;=24,2,3),FALSE))*(1+Projection!U$16)*(1+IF(S159&gt;0,'Attrition Modeling'!$N$9,0))),0))</f>
        <v>0</v>
      </c>
      <c r="T27" s="799">
        <f>IF(T$2=$F27+1,Monthly!P$21,IF(T$2&gt;$F27+1,('Traditional Attrition'!S27+T159)*(1-IF(T$2-$F27&lt;=12,SUMIFS('Attrition Modeling'!$D:$D,'Attrition Modeling'!$B:$B,'Traditional Attrition'!$E27,'Attrition Modeling'!$C:$C,'Traditional Attrition'!T$1),VLOOKUP('Traditional Attrition'!T$2-'Traditional Attrition'!$F27-1,'Traditional Attrition'!$A$7:$C$161,2,FALSE)*VLOOKUP(T$1,'Attrition Modeling'!$L$15:$N$27,IF(T$2-$F27&lt;=24,2,3),FALSE))*(1+Projection!V$16)*(1+IF(T159&gt;0,'Attrition Modeling'!$N$9,0))),0))</f>
        <v>0</v>
      </c>
      <c r="U27" s="799">
        <f>IF(U$2=$F27+1,Monthly!Q$21,IF(U$2&gt;$F27+1,('Traditional Attrition'!T27+U159)*(1-IF(U$2-$F27&lt;=12,SUMIFS('Attrition Modeling'!$D:$D,'Attrition Modeling'!$B:$B,'Traditional Attrition'!$E27,'Attrition Modeling'!$C:$C,'Traditional Attrition'!U$1),VLOOKUP('Traditional Attrition'!U$2-'Traditional Attrition'!$F27-1,'Traditional Attrition'!$A$7:$C$161,2,FALSE)*VLOOKUP(U$1,'Attrition Modeling'!$L$15:$N$27,IF(U$2-$F27&lt;=24,2,3),FALSE))*(1+Projection!W$16)*(1+IF(U159&gt;0,'Attrition Modeling'!$N$9,0))),0))</f>
        <v>0</v>
      </c>
      <c r="V27" s="799">
        <f>IF(V$2=$F27+1,Monthly!R$21,IF(V$2&gt;$F27+1,('Traditional Attrition'!U27+V159)*(1-IF(V$2-$F27&lt;=12,SUMIFS('Attrition Modeling'!$D:$D,'Attrition Modeling'!$B:$B,'Traditional Attrition'!$E27,'Attrition Modeling'!$C:$C,'Traditional Attrition'!V$1),VLOOKUP('Traditional Attrition'!V$2-'Traditional Attrition'!$F27-1,'Traditional Attrition'!$A$7:$C$161,2,FALSE)*VLOOKUP(V$1,'Attrition Modeling'!$L$15:$N$27,IF(V$2-$F27&lt;=24,2,3),FALSE))*(1+Projection!X$16)*(1+IF(V159&gt;0,'Attrition Modeling'!$N$9,0))),0))</f>
        <v>0</v>
      </c>
      <c r="W27" s="799">
        <f>IF(W$2=$F27+1,Monthly!S$21,IF(W$2&gt;$F27+1,('Traditional Attrition'!V27+W159)*(1-IF(W$2-$F27&lt;=12,SUMIFS('Attrition Modeling'!$D:$D,'Attrition Modeling'!$B:$B,'Traditional Attrition'!$E27,'Attrition Modeling'!$C:$C,'Traditional Attrition'!W$1),VLOOKUP('Traditional Attrition'!W$2-'Traditional Attrition'!$F27-1,'Traditional Attrition'!$A$7:$C$161,2,FALSE)*VLOOKUP(W$1,'Attrition Modeling'!$L$15:$N$27,IF(W$2-$F27&lt;=24,2,3),FALSE))*(1+Projection!Y$16)*(1+IF(W159&gt;0,'Attrition Modeling'!$N$9,0))),0))</f>
        <v>0</v>
      </c>
      <c r="X27" s="799">
        <f>IF(X$2=$F27+1,Monthly!T$21,IF(X$2&gt;$F27+1,('Traditional Attrition'!W27+X159)*(1-IF(X$2-$F27&lt;=12,SUMIFS('Attrition Modeling'!$D:$D,'Attrition Modeling'!$B:$B,'Traditional Attrition'!$E27,'Attrition Modeling'!$C:$C,'Traditional Attrition'!X$1),VLOOKUP('Traditional Attrition'!X$2-'Traditional Attrition'!$F27-1,'Traditional Attrition'!$A$7:$C$161,2,FALSE)*VLOOKUP(X$1,'Attrition Modeling'!$L$15:$N$27,IF(X$2-$F27&lt;=24,2,3),FALSE))*(1+Projection!Z$16)*(1+IF(X159&gt;0,'Attrition Modeling'!$N$9,0))),0))</f>
        <v>0</v>
      </c>
      <c r="Y27" s="799">
        <f>IF(Y$2=$F27+1,Monthly!U$21,IF(Y$2&gt;$F27+1,('Traditional Attrition'!X27+Y159)*(1-IF(Y$2-$F27&lt;=12,SUMIFS('Attrition Modeling'!$D:$D,'Attrition Modeling'!$B:$B,'Traditional Attrition'!$E27,'Attrition Modeling'!$C:$C,'Traditional Attrition'!Y$1),VLOOKUP('Traditional Attrition'!Y$2-'Traditional Attrition'!$F27-1,'Traditional Attrition'!$A$7:$C$161,2,FALSE)*VLOOKUP(Y$1,'Attrition Modeling'!$L$15:$N$27,IF(Y$2-$F27&lt;=24,2,3),FALSE))*(1+Projection!AA$16)*(1+IF(Y159&gt;0,'Attrition Modeling'!$N$9,0))),0))</f>
        <v>0</v>
      </c>
      <c r="Z27" s="799">
        <f>IF(Z$2=$F27+1,Monthly!V$21,IF(Z$2&gt;$F27+1,('Traditional Attrition'!Y27+Z159)*(1-IF(Z$2-$F27&lt;=12,SUMIFS('Attrition Modeling'!$D:$D,'Attrition Modeling'!$B:$B,'Traditional Attrition'!$E27,'Attrition Modeling'!$C:$C,'Traditional Attrition'!Z$1),VLOOKUP('Traditional Attrition'!Z$2-'Traditional Attrition'!$F27-1,'Traditional Attrition'!$A$7:$C$161,2,FALSE)*VLOOKUP(Z$1,'Attrition Modeling'!$L$15:$N$27,IF(Z$2-$F27&lt;=24,2,3),FALSE))*(1+Projection!AB$16)*(1+IF(Z159&gt;0,'Attrition Modeling'!$N$9,0))),0))</f>
        <v>0</v>
      </c>
      <c r="AA27" s="799">
        <f>IF(AA$2=$F27+1,Monthly!W$21,IF(AA$2&gt;$F27+1,('Traditional Attrition'!Z27+AA159)*(1-IF(AA$2-$F27&lt;=12,SUMIFS('Attrition Modeling'!$D:$D,'Attrition Modeling'!$B:$B,'Traditional Attrition'!$E27,'Attrition Modeling'!$C:$C,'Traditional Attrition'!AA$1),VLOOKUP('Traditional Attrition'!AA$2-'Traditional Attrition'!$F27-1,'Traditional Attrition'!$A$7:$C$161,2,FALSE)*VLOOKUP(AA$1,'Attrition Modeling'!$L$15:$N$27,IF(AA$2-$F27&lt;=24,2,3),FALSE))*(1+Projection!AC$16)*(1+IF(AA159&gt;0,'Attrition Modeling'!$N$9,0))),0))</f>
        <v>0</v>
      </c>
      <c r="AB27" s="799">
        <f>IF(AB$2=$F27+1,Monthly!X$21,IF(AB$2&gt;$F27+1,('Traditional Attrition'!AA27+AB159)*(1-IF(AB$2-$F27&lt;=12,SUMIFS('Attrition Modeling'!$D:$D,'Attrition Modeling'!$B:$B,'Traditional Attrition'!$E27,'Attrition Modeling'!$C:$C,'Traditional Attrition'!AB$1),VLOOKUP('Traditional Attrition'!AB$2-'Traditional Attrition'!$F27-1,'Traditional Attrition'!$A$7:$C$161,2,FALSE)*VLOOKUP(AB$1,'Attrition Modeling'!$L$15:$N$27,IF(AB$2-$F27&lt;=24,2,3),FALSE))*(1+Projection!AD$16)*(1+IF(AB159&gt;0,'Attrition Modeling'!$N$9,0))),0))</f>
        <v>0</v>
      </c>
      <c r="AC27" s="799">
        <f>IF(AC$2=$F27+1,Monthly!Y$21,IF(AC$2&gt;$F27+1,('Traditional Attrition'!AB27+AC159)*(1-IF(AC$2-$F27&lt;=12,SUMIFS('Attrition Modeling'!$D:$D,'Attrition Modeling'!$B:$B,'Traditional Attrition'!$E27,'Attrition Modeling'!$C:$C,'Traditional Attrition'!AC$1),VLOOKUP('Traditional Attrition'!AC$2-'Traditional Attrition'!$F27-1,'Traditional Attrition'!$A$7:$C$161,2,FALSE)*VLOOKUP(AC$1,'Attrition Modeling'!$L$15:$N$27,IF(AC$2-$F27&lt;=24,2,3),FALSE))*(1+Projection!AE$16)*(1+IF(AC159&gt;0,'Attrition Modeling'!$N$9,0))),0))</f>
        <v>0</v>
      </c>
      <c r="AD27" s="799">
        <f>IF(AD$2=$F27+1,Monthly!Z$21,IF(AD$2&gt;$F27+1,('Traditional Attrition'!AC27+AD159)*(1-IF(AD$2-$F27&lt;=12,SUMIFS('Attrition Modeling'!$D:$D,'Attrition Modeling'!$B:$B,'Traditional Attrition'!$E27,'Attrition Modeling'!$C:$C,'Traditional Attrition'!AD$1),VLOOKUP('Traditional Attrition'!AD$2-'Traditional Attrition'!$F27-1,'Traditional Attrition'!$A$7:$C$161,2,FALSE)*VLOOKUP(AD$1,'Attrition Modeling'!$L$15:$N$27,IF(AD$2-$F27&lt;=24,2,3),FALSE))*(1+Projection!AF$16)*(1+IF(AD159&gt;0,'Attrition Modeling'!$N$9,0))),0))</f>
        <v>0</v>
      </c>
      <c r="AE27" s="799">
        <f>IF(AE$2=$F27+1,Monthly!AA$21,IF(AE$2&gt;$F27+1,('Traditional Attrition'!AD27+AE159)*(1-IF(AE$2-$F27&lt;=12,SUMIFS('Attrition Modeling'!$D:$D,'Attrition Modeling'!$B:$B,'Traditional Attrition'!$E27,'Attrition Modeling'!$C:$C,'Traditional Attrition'!AE$1),VLOOKUP('Traditional Attrition'!AE$2-'Traditional Attrition'!$F27-1,'Traditional Attrition'!$A$7:$C$161,2,FALSE)*VLOOKUP(AE$1,'Attrition Modeling'!$L$15:$N$27,IF(AE$2-$F27&lt;=24,2,3),FALSE))*(1+Projection!AG$16)*(1+IF(AE159&gt;0,'Attrition Modeling'!$N$9,0))),0))</f>
        <v>0</v>
      </c>
      <c r="AF27" s="799">
        <f>IF(AF$2=$F27+1,Monthly!AB$21,IF(AF$2&gt;$F27+1,('Traditional Attrition'!AE27+AF159)*(1-IF(AF$2-$F27&lt;=12,SUMIFS('Attrition Modeling'!$D:$D,'Attrition Modeling'!$B:$B,'Traditional Attrition'!$E27,'Attrition Modeling'!$C:$C,'Traditional Attrition'!AF$1),VLOOKUP('Traditional Attrition'!AF$2-'Traditional Attrition'!$F27-1,'Traditional Attrition'!$A$7:$C$161,2,FALSE)*VLOOKUP(AF$1,'Attrition Modeling'!$L$15:$N$27,IF(AF$2-$F27&lt;=24,2,3),FALSE))*(1+Projection!AH$16)*(1+IF(AF159&gt;0,'Attrition Modeling'!$N$9,0))),0))</f>
        <v>10468.450810772045</v>
      </c>
      <c r="AG27" s="799">
        <f>IF(AG$2=$F27+1,Monthly!AC$21,IF(AG$2&gt;$F27+1,('Traditional Attrition'!AF27+AG159)*(1-IF(AG$2-$F27&lt;=12,SUMIFS('Attrition Modeling'!$D:$D,'Attrition Modeling'!$B:$B,'Traditional Attrition'!$E27,'Attrition Modeling'!$C:$C,'Traditional Attrition'!AG$1),VLOOKUP('Traditional Attrition'!AG$2-'Traditional Attrition'!$F27-1,'Traditional Attrition'!$A$7:$C$161,2,FALSE)*VLOOKUP(AG$1,'Attrition Modeling'!$L$15:$N$27,IF(AG$2-$F27&lt;=24,2,3),FALSE))*(1+Projection!AI$16)*(1+IF(AG159&gt;0,'Attrition Modeling'!$N$9,0))),0))</f>
        <v>9474.4531911848298</v>
      </c>
      <c r="AH27" s="799">
        <f>IF(AH$2=$F27+1,Monthly!AD$21,IF(AH$2&gt;$F27+1,('Traditional Attrition'!AG27+AH159)*(1-IF(AH$2-$F27&lt;=12,SUMIFS('Attrition Modeling'!$D:$D,'Attrition Modeling'!$B:$B,'Traditional Attrition'!$E27,'Attrition Modeling'!$C:$C,'Traditional Attrition'!AH$1),VLOOKUP('Traditional Attrition'!AH$2-'Traditional Attrition'!$F27-1,'Traditional Attrition'!$A$7:$C$161,2,FALSE)*VLOOKUP(AH$1,'Attrition Modeling'!$L$15:$N$27,IF(AH$2-$F27&lt;=24,2,3),FALSE))*(1+Projection!AJ$16)*(1+IF(AH159&gt;0,'Attrition Modeling'!$N$9,0))),0))</f>
        <v>8653.4014358852201</v>
      </c>
      <c r="AI27" s="799">
        <f>IF(AI$2=$F27+1,Monthly!AE$21,IF(AI$2&gt;$F27+1,('Traditional Attrition'!AH27+AI159)*(1-IF(AI$2-$F27&lt;=12,SUMIFS('Attrition Modeling'!$D:$D,'Attrition Modeling'!$B:$B,'Traditional Attrition'!$E27,'Attrition Modeling'!$C:$C,'Traditional Attrition'!AI$1),VLOOKUP('Traditional Attrition'!AI$2-'Traditional Attrition'!$F27-1,'Traditional Attrition'!$A$7:$C$161,2,FALSE)*VLOOKUP(AI$1,'Attrition Modeling'!$L$15:$N$27,IF(AI$2-$F27&lt;=24,2,3),FALSE))*(1+Projection!AK$16)*(1+IF(AI159&gt;0,'Attrition Modeling'!$N$9,0))),0))</f>
        <v>7879.913081439945</v>
      </c>
      <c r="AJ27" s="799">
        <f>IF(AJ$2=$F27+1,Monthly!AF$21,IF(AJ$2&gt;$F27+1,('Traditional Attrition'!AI27+AJ159)*(1-IF(AJ$2-$F27&lt;=12,SUMIFS('Attrition Modeling'!$D:$D,'Attrition Modeling'!$B:$B,'Traditional Attrition'!$E27,'Attrition Modeling'!$C:$C,'Traditional Attrition'!AJ$1),VLOOKUP('Traditional Attrition'!AJ$2-'Traditional Attrition'!$F27-1,'Traditional Attrition'!$A$7:$C$161,2,FALSE)*VLOOKUP(AJ$1,'Attrition Modeling'!$L$15:$N$27,IF(AJ$2-$F27&lt;=24,2,3),FALSE))*(1+Projection!AL$16)*(1+IF(AJ159&gt;0,'Attrition Modeling'!$N$9,0))),0))</f>
        <v>7208.1879208343262</v>
      </c>
      <c r="AK27" s="799">
        <f>IF(AK$2=$F27+1,Monthly!AG$21,IF(AK$2&gt;$F27+1,('Traditional Attrition'!AJ27+AK159)*(1-IF(AK$2-$F27&lt;=12,SUMIFS('Attrition Modeling'!$D:$D,'Attrition Modeling'!$B:$B,'Traditional Attrition'!$E27,'Attrition Modeling'!$C:$C,'Traditional Attrition'!AK$1),VLOOKUP('Traditional Attrition'!AK$2-'Traditional Attrition'!$F27-1,'Traditional Attrition'!$A$7:$C$161,2,FALSE)*VLOOKUP(AK$1,'Attrition Modeling'!$L$15:$N$27,IF(AK$2-$F27&lt;=24,2,3),FALSE))*(1+Projection!AM$16)*(1+IF(AK159&gt;0,'Attrition Modeling'!$N$9,0))),0))</f>
        <v>7184.8798865128774</v>
      </c>
      <c r="AL27" s="799">
        <f>IF(AL$2=$F27+1,Monthly!AH$21,IF(AL$2&gt;$F27+1,('Traditional Attrition'!AK27+AL159)*(1-IF(AL$2-$F27&lt;=12,SUMIFS('Attrition Modeling'!$D:$D,'Attrition Modeling'!$B:$B,'Traditional Attrition'!$E27,'Attrition Modeling'!$C:$C,'Traditional Attrition'!AL$1),VLOOKUP('Traditional Attrition'!AL$2-'Traditional Attrition'!$F27-1,'Traditional Attrition'!$A$7:$C$161,2,FALSE)*VLOOKUP(AL$1,'Attrition Modeling'!$L$15:$N$27,IF(AL$2-$F27&lt;=24,2,3),FALSE))*(1+Projection!AN$16)*(1+IF(AL159&gt;0,'Attrition Modeling'!$N$9,0))),0))</f>
        <v>6642.815330196534</v>
      </c>
      <c r="AM27" s="799">
        <f>IF(AM$2=$F27+1,Monthly!AI$21,IF(AM$2&gt;$F27+1,('Traditional Attrition'!AL27+AM159)*(1-IF(AM$2-$F27&lt;=12,SUMIFS('Attrition Modeling'!$D:$D,'Attrition Modeling'!$B:$B,'Traditional Attrition'!$E27,'Attrition Modeling'!$C:$C,'Traditional Attrition'!AM$1),VLOOKUP('Traditional Attrition'!AM$2-'Traditional Attrition'!$F27-1,'Traditional Attrition'!$A$7:$C$161,2,FALSE)*VLOOKUP(AM$1,'Attrition Modeling'!$L$15:$N$27,IF(AM$2-$F27&lt;=24,2,3),FALSE))*(1+Projection!AO$16)*(1+IF(AM159&gt;0,'Attrition Modeling'!$N$9,0))),0))</f>
        <v>6161.5982291784221</v>
      </c>
      <c r="AN27" s="799">
        <f>IF(AN$2=$F27+1,Monthly!AJ$21,IF(AN$2&gt;$F27+1,('Traditional Attrition'!AM27+AN159)*(1-IF(AN$2-$F27&lt;=12,SUMIFS('Attrition Modeling'!$D:$D,'Attrition Modeling'!$B:$B,'Traditional Attrition'!$E27,'Attrition Modeling'!$C:$C,'Traditional Attrition'!AN$1),VLOOKUP('Traditional Attrition'!AN$2-'Traditional Attrition'!$F27-1,'Traditional Attrition'!$A$7:$C$161,2,FALSE)*VLOOKUP(AN$1,'Attrition Modeling'!$L$15:$N$27,IF(AN$2-$F27&lt;=24,2,3),FALSE))*(1+Projection!AP$16)*(1+IF(AN159&gt;0,'Attrition Modeling'!$N$9,0))),0))</f>
        <v>5770.918642962356</v>
      </c>
      <c r="AO27" s="799">
        <f>IF(AO$2=$F27+1,Monthly!AK$21,IF(AO$2&gt;$F27+1,('Traditional Attrition'!AN27+AO159)*(1-IF(AO$2-$F27&lt;=12,SUMIFS('Attrition Modeling'!$D:$D,'Attrition Modeling'!$B:$B,'Traditional Attrition'!$E27,'Attrition Modeling'!$C:$C,'Traditional Attrition'!AO$1),VLOOKUP('Traditional Attrition'!AO$2-'Traditional Attrition'!$F27-1,'Traditional Attrition'!$A$7:$C$161,2,FALSE)*VLOOKUP(AO$1,'Attrition Modeling'!$L$15:$N$27,IF(AO$2-$F27&lt;=24,2,3),FALSE))*(1+Projection!AQ$16)*(1+IF(AO159&gt;0,'Attrition Modeling'!$N$9,0))),0))</f>
        <v>5416.0751855509716</v>
      </c>
      <c r="AP27" s="799">
        <f>IF(AP$2=$F27+1,Monthly!AL$21,IF(AP$2&gt;$F27+1,('Traditional Attrition'!AO27+AP159)*(1-IF(AP$2-$F27&lt;=12,SUMIFS('Attrition Modeling'!$D:$D,'Attrition Modeling'!$B:$B,'Traditional Attrition'!$E27,'Attrition Modeling'!$C:$C,'Traditional Attrition'!AP$1),VLOOKUP('Traditional Attrition'!AP$2-'Traditional Attrition'!$F27-1,'Traditional Attrition'!$A$7:$C$161,2,FALSE)*VLOOKUP(AP$1,'Attrition Modeling'!$L$15:$N$27,IF(AP$2-$F27&lt;=24,2,3),FALSE))*(1+Projection!AR$16)*(1+IF(AP159&gt;0,'Attrition Modeling'!$N$9,0))),0))</f>
        <v>5117.9652000104306</v>
      </c>
      <c r="AQ27" s="799">
        <f>IF(AQ$2=$F27+1,Monthly!AM$21,IF(AQ$2&gt;$F27+1,('Traditional Attrition'!AP27+AQ159)*(1-IF(AQ$2-$F27&lt;=12,SUMIFS('Attrition Modeling'!$D:$D,'Attrition Modeling'!$B:$B,'Traditional Attrition'!$E27,'Attrition Modeling'!$C:$C,'Traditional Attrition'!AQ$1),VLOOKUP('Traditional Attrition'!AQ$2-'Traditional Attrition'!$F27-1,'Traditional Attrition'!$A$7:$C$161,2,FALSE)*VLOOKUP(AQ$1,'Attrition Modeling'!$L$15:$N$27,IF(AQ$2-$F27&lt;=24,2,3),FALSE))*(1+Projection!AS$16)*(1+IF(AQ159&gt;0,'Attrition Modeling'!$N$9,0))),0))</f>
        <v>4958.5600322978653</v>
      </c>
      <c r="AR27" s="799">
        <f>IF(AR$2=$F27+1,Monthly!AN$21,IF(AR$2&gt;$F27+1,('Traditional Attrition'!AQ27+AR159)*(1-IF(AR$2-$F27&lt;=12,SUMIFS('Attrition Modeling'!$D:$D,'Attrition Modeling'!$B:$B,'Traditional Attrition'!$E27,'Attrition Modeling'!$C:$C,'Traditional Attrition'!AR$1),VLOOKUP('Traditional Attrition'!AR$2-'Traditional Attrition'!$F27-1,'Traditional Attrition'!$A$7:$C$161,2,FALSE)*VLOOKUP(AR$1,'Attrition Modeling'!$L$15:$N$27,IF(AR$2-$F27&lt;=24,2,3),FALSE))*(1+Projection!AT$16)*(1+IF(AR159&gt;0,'Attrition Modeling'!$N$9,0))),0))</f>
        <v>4691.6114970501621</v>
      </c>
      <c r="AS27" s="799">
        <f>IF(AS$2=$F27+1,Monthly!AO$21,IF(AS$2&gt;$F27+1,('Traditional Attrition'!AR27+AS159)*(1-IF(AS$2-$F27&lt;=12,SUMIFS('Attrition Modeling'!$D:$D,'Attrition Modeling'!$B:$B,'Traditional Attrition'!$E27,'Attrition Modeling'!$C:$C,'Traditional Attrition'!AS$1),VLOOKUP('Traditional Attrition'!AS$2-'Traditional Attrition'!$F27-1,'Traditional Attrition'!$A$7:$C$161,2,FALSE)*VLOOKUP(AS$1,'Attrition Modeling'!$L$15:$N$27,IF(AS$2-$F27&lt;=24,2,3),FALSE))*(1+Projection!AU$16)*(1+IF(AS159&gt;0,'Attrition Modeling'!$N$9,0))),0))</f>
        <v>4481.3595333179765</v>
      </c>
      <c r="AT27" s="799">
        <f>IF(AT$2=$F27+1,Monthly!AP$21,IF(AT$2&gt;$F27+1,('Traditional Attrition'!AS27+AT159)*(1-IF(AT$2-$F27&lt;=12,SUMIFS('Attrition Modeling'!$D:$D,'Attrition Modeling'!$B:$B,'Traditional Attrition'!$E27,'Attrition Modeling'!$C:$C,'Traditional Attrition'!AT$1),VLOOKUP('Traditional Attrition'!AT$2-'Traditional Attrition'!$F27-1,'Traditional Attrition'!$A$7:$C$161,2,FALSE)*VLOOKUP(AT$1,'Attrition Modeling'!$L$15:$N$27,IF(AT$2-$F27&lt;=24,2,3),FALSE))*(1+Projection!AV$16)*(1+IF(AT159&gt;0,'Attrition Modeling'!$N$9,0))),0))</f>
        <v>4273.4486698367564</v>
      </c>
      <c r="AU27" s="799">
        <f>IF(AU$2=$F27+1,Monthly!AQ$21,IF(AU$2&gt;$F27+1,('Traditional Attrition'!AT27+AU159)*(1-IF(AU$2-$F27&lt;=12,SUMIFS('Attrition Modeling'!$D:$D,'Attrition Modeling'!$B:$B,'Traditional Attrition'!$E27,'Attrition Modeling'!$C:$C,'Traditional Attrition'!AU$1),VLOOKUP('Traditional Attrition'!AU$2-'Traditional Attrition'!$F27-1,'Traditional Attrition'!$A$7:$C$161,2,FALSE)*VLOOKUP(AU$1,'Attrition Modeling'!$L$15:$N$27,IF(AU$2-$F27&lt;=24,2,3),FALSE))*(1+Projection!AW$16)*(1+IF(AU159&gt;0,'Attrition Modeling'!$N$9,0))),0))</f>
        <v>4085.6304083633336</v>
      </c>
      <c r="AV27" s="799">
        <f>IF(AV$2=$F27+1,Monthly!AR$21,IF(AV$2&gt;$F27+1,('Traditional Attrition'!AU27+AV159)*(1-IF(AV$2-$F27&lt;=12,SUMIFS('Attrition Modeling'!$D:$D,'Attrition Modeling'!$B:$B,'Traditional Attrition'!$E27,'Attrition Modeling'!$C:$C,'Traditional Attrition'!AV$1),VLOOKUP('Traditional Attrition'!AV$2-'Traditional Attrition'!$F27-1,'Traditional Attrition'!$A$7:$C$161,2,FALSE)*VLOOKUP(AV$1,'Attrition Modeling'!$L$15:$N$27,IF(AV$2-$F27&lt;=24,2,3),FALSE))*(1+Projection!AX$16)*(1+IF(AV159&gt;0,'Attrition Modeling'!$N$9,0))),0))</f>
        <v>3912.5922247168187</v>
      </c>
      <c r="AW27" s="799">
        <f>IF(AW$2=$F27+1,Monthly!AS$21,IF(AW$2&gt;$F27+1,('Traditional Attrition'!AV27+AW159)*(1-IF(AW$2-$F27&lt;=12,SUMIFS('Attrition Modeling'!$D:$D,'Attrition Modeling'!$B:$B,'Traditional Attrition'!$E27,'Attrition Modeling'!$C:$C,'Traditional Attrition'!AW$1),VLOOKUP('Traditional Attrition'!AW$2-'Traditional Attrition'!$F27-1,'Traditional Attrition'!$A$7:$C$161,2,FALSE)*VLOOKUP(AW$1,'Attrition Modeling'!$L$15:$N$27,IF(AW$2-$F27&lt;=24,2,3),FALSE))*(1+Projection!AY$16)*(1+IF(AW159&gt;0,'Attrition Modeling'!$N$9,0))),0))</f>
        <v>4054.8529963778838</v>
      </c>
      <c r="AX27" s="799">
        <f>IF(AX$2=$F27+1,Monthly!AT$21,IF(AX$2&gt;$F27+1,('Traditional Attrition'!AW27+AX159)*(1-IF(AX$2-$F27&lt;=12,SUMIFS('Attrition Modeling'!$D:$D,'Attrition Modeling'!$B:$B,'Traditional Attrition'!$E27,'Attrition Modeling'!$C:$C,'Traditional Attrition'!AX$1),VLOOKUP('Traditional Attrition'!AX$2-'Traditional Attrition'!$F27-1,'Traditional Attrition'!$A$7:$C$161,2,FALSE)*VLOOKUP(AX$1,'Attrition Modeling'!$L$15:$N$27,IF(AX$2-$F27&lt;=24,2,3),FALSE))*(1+Projection!AZ$16)*(1+IF(AX159&gt;0,'Attrition Modeling'!$N$9,0))),0))</f>
        <v>3870.6653593119913</v>
      </c>
      <c r="AY27" s="799">
        <f>IF(AY$2=$F27+1,Monthly!AU$21,IF(AY$2&gt;$F27+1,('Traditional Attrition'!AX27+AY159)*(1-IF(AY$2-$F27&lt;=12,SUMIFS('Attrition Modeling'!$D:$D,'Attrition Modeling'!$B:$B,'Traditional Attrition'!$E27,'Attrition Modeling'!$C:$C,'Traditional Attrition'!AY$1),VLOOKUP('Traditional Attrition'!AY$2-'Traditional Attrition'!$F27-1,'Traditional Attrition'!$A$7:$C$161,2,FALSE)*VLOOKUP(AY$1,'Attrition Modeling'!$L$15:$N$27,IF(AY$2-$F27&lt;=24,2,3),FALSE))*(1+Projection!BA$16)*(1+IF(AY159&gt;0,'Attrition Modeling'!$N$9,0))),0))</f>
        <v>3690.5564783393279</v>
      </c>
      <c r="AZ27" s="799">
        <f>IF(AZ$2=$F27+1,Monthly!AV$21,IF(AZ$2&gt;$F27+1,('Traditional Attrition'!AY27+AZ159)*(1-IF(AZ$2-$F27&lt;=12,SUMIFS('Attrition Modeling'!$D:$D,'Attrition Modeling'!$B:$B,'Traditional Attrition'!$E27,'Attrition Modeling'!$C:$C,'Traditional Attrition'!AZ$1),VLOOKUP('Traditional Attrition'!AZ$2-'Traditional Attrition'!$F27-1,'Traditional Attrition'!$A$7:$C$161,2,FALSE)*VLOOKUP(AZ$1,'Attrition Modeling'!$L$15:$N$27,IF(AZ$2-$F27&lt;=24,2,3),FALSE))*(1+Projection!BB$16)*(1+IF(AZ159&gt;0,'Attrition Modeling'!$N$9,0))),0))</f>
        <v>3536.638000275726</v>
      </c>
      <c r="BA27" s="799">
        <f>IF(BA$2=$F27+1,Monthly!AW$21,IF(BA$2&gt;$F27+1,('Traditional Attrition'!AZ27+BA159)*(1-IF(BA$2-$F27&lt;=12,SUMIFS('Attrition Modeling'!$D:$D,'Attrition Modeling'!$B:$B,'Traditional Attrition'!$E27,'Attrition Modeling'!$C:$C,'Traditional Attrition'!BA$1),VLOOKUP('Traditional Attrition'!BA$2-'Traditional Attrition'!$F27-1,'Traditional Attrition'!$A$7:$C$161,2,FALSE)*VLOOKUP(BA$1,'Attrition Modeling'!$L$15:$N$27,IF(BA$2-$F27&lt;=24,2,3),FALSE))*(1+Projection!BC$16)*(1+IF(BA159&gt;0,'Attrition Modeling'!$N$9,0))),0))</f>
        <v>3388.0725610656409</v>
      </c>
      <c r="BB27" s="799">
        <f>IF(BB$2=$F27+1,Monthly!AX$21,IF(BB$2&gt;$F27+1,('Traditional Attrition'!BA27+BB159)*(1-IF(BB$2-$F27&lt;=12,SUMIFS('Attrition Modeling'!$D:$D,'Attrition Modeling'!$B:$B,'Traditional Attrition'!$E27,'Attrition Modeling'!$C:$C,'Traditional Attrition'!BB$1),VLOOKUP('Traditional Attrition'!BB$2-'Traditional Attrition'!$F27-1,'Traditional Attrition'!$A$7:$C$161,2,FALSE)*VLOOKUP(BB$1,'Attrition Modeling'!$L$15:$N$27,IF(BB$2-$F27&lt;=24,2,3),FALSE))*(1+Projection!BD$16)*(1+IF(BB159&gt;0,'Attrition Modeling'!$N$9,0))),0))</f>
        <v>3253.1136437427458</v>
      </c>
      <c r="BC27" s="799">
        <f>IF(BC$2=$F27+1,Monthly!AY$21,IF(BC$2&gt;$F27+1,('Traditional Attrition'!BB27+BC159)*(1-IF(BC$2-$F27&lt;=12,SUMIFS('Attrition Modeling'!$D:$D,'Attrition Modeling'!$B:$B,'Traditional Attrition'!$E27,'Attrition Modeling'!$C:$C,'Traditional Attrition'!BC$1),VLOOKUP('Traditional Attrition'!BC$2-'Traditional Attrition'!$F27-1,'Traditional Attrition'!$A$7:$C$161,2,FALSE)*VLOOKUP(BC$1,'Attrition Modeling'!$L$15:$N$27,IF(BC$2-$F27&lt;=24,2,3),FALSE))*(1+Projection!BE$16)*(1+IF(BC159&gt;0,'Attrition Modeling'!$N$9,0))),0))</f>
        <v>3126.5885695143297</v>
      </c>
      <c r="BD27" s="799">
        <f>IF(BD$2=$F27+1,Monthly!AZ$21,IF(BD$2&gt;$F27+1,('Traditional Attrition'!BC27+BD159)*(1-IF(BD$2-$F27&lt;=12,SUMIFS('Attrition Modeling'!$D:$D,'Attrition Modeling'!$B:$B,'Traditional Attrition'!$E27,'Attrition Modeling'!$C:$C,'Traditional Attrition'!BD$1),VLOOKUP('Traditional Attrition'!BD$2-'Traditional Attrition'!$F27-1,'Traditional Attrition'!$A$7:$C$161,2,FALSE)*VLOOKUP(BD$1,'Attrition Modeling'!$L$15:$N$27,IF(BD$2-$F27&lt;=24,2,3),FALSE))*(1+Projection!BF$16)*(1+IF(BD159&gt;0,'Attrition Modeling'!$N$9,0))),0))</f>
        <v>3014.3977474049052</v>
      </c>
      <c r="BE27" s="799">
        <f>IF(BE$2=$F27+1,Monthly!BA$21,IF(BE$2&gt;$F27+1,('Traditional Attrition'!BD27+BE159)*(1-IF(BE$2-$F27&lt;=12,SUMIFS('Attrition Modeling'!$D:$D,'Attrition Modeling'!$B:$B,'Traditional Attrition'!$E27,'Attrition Modeling'!$C:$C,'Traditional Attrition'!BE$1),VLOOKUP('Traditional Attrition'!BE$2-'Traditional Attrition'!$F27-1,'Traditional Attrition'!$A$7:$C$161,2,FALSE)*VLOOKUP(BE$1,'Attrition Modeling'!$L$15:$N$27,IF(BE$2-$F27&lt;=24,2,3),FALSE))*(1+Projection!BG$16)*(1+IF(BE159&gt;0,'Attrition Modeling'!$N$9,0))),0))</f>
        <v>2911.0854072088778</v>
      </c>
      <c r="BF27" s="799">
        <f>IF(BF$2=$F27+1,Monthly!BB$21,IF(BF$2&gt;$F27+1,('Traditional Attrition'!BE27+BF159)*(1-IF(BF$2-$F27&lt;=12,SUMIFS('Attrition Modeling'!$D:$D,'Attrition Modeling'!$B:$B,'Traditional Attrition'!$E27,'Attrition Modeling'!$C:$C,'Traditional Attrition'!BF$1),VLOOKUP('Traditional Attrition'!BF$2-'Traditional Attrition'!$F27-1,'Traditional Attrition'!$A$7:$C$161,2,FALSE)*VLOOKUP(BF$1,'Attrition Modeling'!$L$15:$N$27,IF(BF$2-$F27&lt;=24,2,3),FALSE))*(1+Projection!BH$16)*(1+IF(BF159&gt;0,'Attrition Modeling'!$N$9,0))),0))</f>
        <v>2816.8021506631653</v>
      </c>
      <c r="BG27" s="799">
        <f>IF(BG$2=$F27+1,Monthly!BC$21,IF(BG$2&gt;$F27+1,('Traditional Attrition'!BF27+BG159)*(1-IF(BG$2-$F27&lt;=12,SUMIFS('Attrition Modeling'!$D:$D,'Attrition Modeling'!$B:$B,'Traditional Attrition'!$E27,'Attrition Modeling'!$C:$C,'Traditional Attrition'!BG$1),VLOOKUP('Traditional Attrition'!BG$2-'Traditional Attrition'!$F27-1,'Traditional Attrition'!$A$7:$C$161,2,FALSE)*VLOOKUP(BG$1,'Attrition Modeling'!$L$15:$N$27,IF(BG$2-$F27&lt;=24,2,3),FALSE))*(1+Projection!BI$16)*(1+IF(BG159&gt;0,'Attrition Modeling'!$N$9,0))),0))</f>
        <v>2745.2069541203696</v>
      </c>
      <c r="BH27" s="799">
        <f>IF(BH$2=$F27+1,Monthly!BD$21,IF(BH$2&gt;$F27+1,('Traditional Attrition'!BG27+BH159)*(1-IF(BH$2-$F27&lt;=12,SUMIFS('Attrition Modeling'!$D:$D,'Attrition Modeling'!$B:$B,'Traditional Attrition'!$E27,'Attrition Modeling'!$C:$C,'Traditional Attrition'!BH$1),VLOOKUP('Traditional Attrition'!BH$2-'Traditional Attrition'!$F27-1,'Traditional Attrition'!$A$7:$C$161,2,FALSE)*VLOOKUP(BH$1,'Attrition Modeling'!$L$15:$N$27,IF(BH$2-$F27&lt;=24,2,3),FALSE))*(1+Projection!BJ$16)*(1+IF(BH159&gt;0,'Attrition Modeling'!$N$9,0))),0))</f>
        <v>2662.0520214949465</v>
      </c>
      <c r="BI27" s="799">
        <f>IF(BI$2=$F27+1,Monthly!BE$21,IF(BI$2&gt;$F27+1,('Traditional Attrition'!BH27+BI159)*(1-IF(BI$2-$F27&lt;=12,SUMIFS('Attrition Modeling'!$D:$D,'Attrition Modeling'!$B:$B,'Traditional Attrition'!$E27,'Attrition Modeling'!$C:$C,'Traditional Attrition'!BI$1),VLOOKUP('Traditional Attrition'!BI$2-'Traditional Attrition'!$F27-1,'Traditional Attrition'!$A$7:$C$161,2,FALSE)*VLOOKUP(BI$1,'Attrition Modeling'!$L$15:$N$27,IF(BI$2-$F27&lt;=24,2,3),FALSE))*(1+Projection!BK$16)*(1+IF(BI159&gt;0,'Attrition Modeling'!$N$9,0))),0))</f>
        <v>2798.08907397025</v>
      </c>
      <c r="BJ27" s="799">
        <f>IF(BJ$2=$F27+1,Monthly!BF$21,IF(BJ$2&gt;$F27+1,('Traditional Attrition'!BI27+BJ159)*(1-IF(BJ$2-$F27&lt;=12,SUMIFS('Attrition Modeling'!$D:$D,'Attrition Modeling'!$B:$B,'Traditional Attrition'!$E27,'Attrition Modeling'!$C:$C,'Traditional Attrition'!BJ$1),VLOOKUP('Traditional Attrition'!BJ$2-'Traditional Attrition'!$F27-1,'Traditional Attrition'!$A$7:$C$161,2,FALSE)*VLOOKUP(BJ$1,'Attrition Modeling'!$L$15:$N$27,IF(BJ$2-$F27&lt;=24,2,3),FALSE))*(1+Projection!BL$16)*(1+IF(BJ159&gt;0,'Attrition Modeling'!$N$9,0))),0))</f>
        <v>2695.2916450505832</v>
      </c>
      <c r="BK27" s="799">
        <f>IF(BK$2=$F27+1,Monthly!BG$21,IF(BK$2&gt;$F27+1,('Traditional Attrition'!BJ27+BK159)*(1-IF(BK$2-$F27&lt;=12,SUMIFS('Attrition Modeling'!$D:$D,'Attrition Modeling'!$B:$B,'Traditional Attrition'!$E27,'Attrition Modeling'!$C:$C,'Traditional Attrition'!BK$1),VLOOKUP('Traditional Attrition'!BK$2-'Traditional Attrition'!$F27-1,'Traditional Attrition'!$A$7:$C$161,2,FALSE)*VLOOKUP(BK$1,'Attrition Modeling'!$L$15:$N$27,IF(BK$2-$F27&lt;=24,2,3),FALSE))*(1+Projection!BM$16)*(1+IF(BK159&gt;0,'Attrition Modeling'!$N$9,0))),0))</f>
        <v>2590.2293983591198</v>
      </c>
      <c r="BL27" s="799">
        <f>IF(BL$2=$F27+1,Monthly!BH$21,IF(BL$2&gt;$F27+1,('Traditional Attrition'!BK27+BL159)*(1-IF(BL$2-$F27&lt;=12,SUMIFS('Attrition Modeling'!$D:$D,'Attrition Modeling'!$B:$B,'Traditional Attrition'!$E27,'Attrition Modeling'!$C:$C,'Traditional Attrition'!BL$1),VLOOKUP('Traditional Attrition'!BL$2-'Traditional Attrition'!$F27-1,'Traditional Attrition'!$A$7:$C$161,2,FALSE)*VLOOKUP(BL$1,'Attrition Modeling'!$L$15:$N$27,IF(BL$2-$F27&lt;=24,2,3),FALSE))*(1+Projection!BN$16)*(1+IF(BL159&gt;0,'Attrition Modeling'!$N$9,0))),0))</f>
        <v>2496.5214454046441</v>
      </c>
      <c r="BM27" s="799">
        <f>IF(BM$2=$F27+1,Monthly!BI$21,IF(BM$2&gt;$F27+1,('Traditional Attrition'!BL27+BM159)*(1-IF(BM$2-$F27&lt;=12,SUMIFS('Attrition Modeling'!$D:$D,'Attrition Modeling'!$B:$B,'Traditional Attrition'!$E27,'Attrition Modeling'!$C:$C,'Traditional Attrition'!BM$1),VLOOKUP('Traditional Attrition'!BM$2-'Traditional Attrition'!$F27-1,'Traditional Attrition'!$A$7:$C$161,2,FALSE)*VLOOKUP(BM$1,'Attrition Modeling'!$L$15:$N$27,IF(BM$2-$F27&lt;=24,2,3),FALSE))*(1+Projection!BO$16)*(1+IF(BM159&gt;0,'Attrition Modeling'!$N$9,0))),0))</f>
        <v>2410.31375328884</v>
      </c>
      <c r="BN27" s="799">
        <f>IF(BN$2=$F27+1,Monthly!BJ$21,IF(BN$2&gt;$F27+1,('Traditional Attrition'!BM27+BN159)*(1-IF(BN$2-$F27&lt;=12,SUMIFS('Attrition Modeling'!$D:$D,'Attrition Modeling'!$B:$B,'Traditional Attrition'!$E27,'Attrition Modeling'!$C:$C,'Traditional Attrition'!BN$1),VLOOKUP('Traditional Attrition'!BN$2-'Traditional Attrition'!$F27-1,'Traditional Attrition'!$A$7:$C$161,2,FALSE)*VLOOKUP(BN$1,'Attrition Modeling'!$L$15:$N$27,IF(BN$2-$F27&lt;=24,2,3),FALSE))*(1+Projection!BP$16)*(1+IF(BN159&gt;0,'Attrition Modeling'!$N$9,0))),0))</f>
        <v>2329.8793781762806</v>
      </c>
      <c r="BO27" s="799">
        <f>IF(BO$2=$F27+1,Monthly!BK$21,IF(BO$2&gt;$F27+1,('Traditional Attrition'!BN27+BO159)*(1-IF(BO$2-$F27&lt;=12,SUMIFS('Attrition Modeling'!$D:$D,'Attrition Modeling'!$B:$B,'Traditional Attrition'!$E27,'Attrition Modeling'!$C:$C,'Traditional Attrition'!BO$1),VLOOKUP('Traditional Attrition'!BO$2-'Traditional Attrition'!$F27-1,'Traditional Attrition'!$A$7:$C$161,2,FALSE)*VLOOKUP(BO$1,'Attrition Modeling'!$L$15:$N$27,IF(BO$2-$F27&lt;=24,2,3),FALSE))*(1+Projection!BV$16)*(1+IF(BO159&gt;0,'Attrition Modeling'!$N$9,0))),0))</f>
        <v>2266.5148842660965</v>
      </c>
      <c r="BP27" s="799">
        <f>IF(BP$2=$F27+1,Monthly!BL$21,IF(BP$2&gt;$F27+1,('Traditional Attrition'!BO27+BP159)*(1-IF(BP$2-$F27&lt;=12,SUMIFS('Attrition Modeling'!$D:$D,'Attrition Modeling'!$B:$B,'Traditional Attrition'!$E27,'Attrition Modeling'!$C:$C,'Traditional Attrition'!BP$1),VLOOKUP('Traditional Attrition'!BP$2-'Traditional Attrition'!$F27-1,'Traditional Attrition'!$A$7:$C$161,2,FALSE)*VLOOKUP(BP$1,'Attrition Modeling'!$L$15:$N$27,IF(BP$2-$F27&lt;=24,2,3),FALSE))*(1+Projection!BW$16)*(1+IF(BP159&gt;0,'Attrition Modeling'!$N$9,0))),0))</f>
        <v>2199.0109821817423</v>
      </c>
      <c r="BQ27" s="799">
        <f>IF(BQ$2=$F27+1,Monthly!BM$21,IF(BQ$2&gt;$F27+1,('Traditional Attrition'!BP27+BQ159)*(1-IF(BQ$2-$F27&lt;=12,SUMIFS('Attrition Modeling'!$D:$D,'Attrition Modeling'!$B:$B,'Traditional Attrition'!$E27,'Attrition Modeling'!$C:$C,'Traditional Attrition'!BQ$1),VLOOKUP('Traditional Attrition'!BQ$2-'Traditional Attrition'!$F27-1,'Traditional Attrition'!$A$7:$C$161,2,FALSE)*VLOOKUP(BQ$1,'Attrition Modeling'!$L$15:$N$27,IF(BQ$2-$F27&lt;=24,2,3),FALSE))*(1+Projection!BX$16)*(1+IF(BQ159&gt;0,'Attrition Modeling'!$N$9,0))),0))</f>
        <v>2136.2474445308853</v>
      </c>
      <c r="BR27" s="799">
        <f>IF(BR$2=$F27+1,Monthly!BN$21,IF(BR$2&gt;$F27+1,('Traditional Attrition'!BQ27+BR159)*(1-IF(BR$2-$F27&lt;=12,SUMIFS('Attrition Modeling'!$D:$D,'Attrition Modeling'!$B:$B,'Traditional Attrition'!$E27,'Attrition Modeling'!$C:$C,'Traditional Attrition'!BR$1),VLOOKUP('Traditional Attrition'!BR$2-'Traditional Attrition'!$F27-1,'Traditional Attrition'!$A$7:$C$161,2,FALSE)*VLOOKUP(BR$1,'Attrition Modeling'!$L$15:$N$27,IF(BR$2-$F27&lt;=24,2,3),FALSE))*(1+Projection!BY$16)*(1+IF(BR159&gt;0,'Attrition Modeling'!$N$9,0))),0))</f>
        <v>2078.4493630448492</v>
      </c>
      <c r="BS27" s="799">
        <f>IF(BS$2=$F27+1,Monthly!BO$21,IF(BS$2&gt;$F27+1,('Traditional Attrition'!BR27+BS159)*(1-IF(BS$2-$F27&lt;=12,SUMIFS('Attrition Modeling'!$D:$D,'Attrition Modeling'!$B:$B,'Traditional Attrition'!$E27,'Attrition Modeling'!$C:$C,'Traditional Attrition'!BS$1),VLOOKUP('Traditional Attrition'!BS$2-'Traditional Attrition'!$F27-1,'Traditional Attrition'!$A$7:$C$161,2,FALSE)*VLOOKUP(BS$1,'Attrition Modeling'!$L$15:$N$27,IF(BS$2-$F27&lt;=24,2,3),FALSE))*(1+Projection!BZ$16)*(1+IF(BS159&gt;0,'Attrition Modeling'!$N$9,0))),0))</f>
        <v>2034.1884572508216</v>
      </c>
      <c r="BT27" s="799">
        <f>IF(BT$2=$F27+1,Monthly!#REF!,IF(BT$2&gt;$F27+1,('Traditional Attrition'!BS27+BT159)*(1-IF(BT$2-$F27&lt;=12,SUMIFS('Attrition Modeling'!$D:$D,'Attrition Modeling'!$B:$B,'Traditional Attrition'!$E27,'Attrition Modeling'!$C:$C,'Traditional Attrition'!BT$1),VLOOKUP('Traditional Attrition'!BT$2-'Traditional Attrition'!$F27-1,'Traditional Attrition'!$A$7:$C$161,2,FALSE)*VLOOKUP(BT$1,'Attrition Modeling'!$L$15:$N$27,IF(BT$2-$F27&lt;=24,2,3),FALSE))*(1+Projection!CA$16)*(1+IF(BT159&gt;0,'Attrition Modeling'!$N$9,0))),0))</f>
        <v>1982.4214879057129</v>
      </c>
      <c r="BU27" s="799">
        <f>IF(BU$2=$F27+1,Monthly!#REF!,IF(BU$2&gt;$F27+1,('Traditional Attrition'!BT27+BU159)*(1-IF(BU$2-$F27&lt;=12,SUMIFS('Attrition Modeling'!$D:$D,'Attrition Modeling'!$B:$B,'Traditional Attrition'!$E27,'Attrition Modeling'!$C:$C,'Traditional Attrition'!BU$1),VLOOKUP('Traditional Attrition'!BU$2-'Traditional Attrition'!$F27-1,'Traditional Attrition'!$A$7:$C$161,2,FALSE)*VLOOKUP(BU$1,'Attrition Modeling'!$L$15:$N$27,IF(BU$2-$F27&lt;=24,2,3),FALSE))*(1+Projection!CB$16)*(1+IF(BU159&gt;0,'Attrition Modeling'!$N$9,0))),0))</f>
        <v>2097.7627828113036</v>
      </c>
    </row>
    <row r="28" spans="1:73" ht="14.25" customHeight="1" x14ac:dyDescent="0.2">
      <c r="A28" s="9">
        <v>21</v>
      </c>
      <c r="B28" s="25">
        <f>MAX('Attrition Modeling'!H25,$C$3)*(1-Summary!$C$20)</f>
        <v>4.0513861247265755E-2</v>
      </c>
      <c r="C28" s="24" t="e">
        <f t="shared" si="4"/>
        <v>#DIV/0!</v>
      </c>
      <c r="E28" s="11">
        <f t="shared" si="2"/>
        <v>1</v>
      </c>
      <c r="F28" s="11">
        <f t="shared" si="3"/>
        <v>25</v>
      </c>
      <c r="G28" s="799"/>
      <c r="H28" s="799">
        <f>IF(H$2=$F28+1,Monthly!D$21,IF(H$2&gt;$F28+1,('Traditional Attrition'!G28+H160)*(1-IF(H$2-$F28&lt;=12,SUMIFS('Attrition Modeling'!$D:$D,'Attrition Modeling'!$B:$B,'Traditional Attrition'!$E28,'Attrition Modeling'!$C:$C,'Traditional Attrition'!H$1),VLOOKUP('Traditional Attrition'!H$2-'Traditional Attrition'!$F28-1,'Traditional Attrition'!$A$7:$C$161,2,FALSE)*VLOOKUP(H$1,'Attrition Modeling'!$L$15:$N$27,IF(H$2-$F28&lt;=24,2,3),FALSE))*(1+Projection!J$16)*(1+IF(H160&gt;0,'Attrition Modeling'!$N$9,0))),0))</f>
        <v>0</v>
      </c>
      <c r="I28" s="799">
        <f>IF(I$2=$F28+1,Monthly!E$21,IF(I$2&gt;$F28+1,('Traditional Attrition'!H28+I160)*(1-IF(I$2-$F28&lt;=12,SUMIFS('Attrition Modeling'!$D:$D,'Attrition Modeling'!$B:$B,'Traditional Attrition'!$E28,'Attrition Modeling'!$C:$C,'Traditional Attrition'!I$1),VLOOKUP('Traditional Attrition'!I$2-'Traditional Attrition'!$F28-1,'Traditional Attrition'!$A$7:$C$161,2,FALSE)*VLOOKUP(I$1,'Attrition Modeling'!$L$15:$N$27,IF(I$2-$F28&lt;=24,2,3),FALSE))*(1+Projection!K$16)*(1+IF(I160&gt;0,'Attrition Modeling'!$N$9,0))),0))</f>
        <v>0</v>
      </c>
      <c r="J28" s="799">
        <f>IF(J$2=$F28+1,Monthly!F$21,IF(J$2&gt;$F28+1,('Traditional Attrition'!I28+J160)*(1-IF(J$2-$F28&lt;=12,SUMIFS('Attrition Modeling'!$D:$D,'Attrition Modeling'!$B:$B,'Traditional Attrition'!$E28,'Attrition Modeling'!$C:$C,'Traditional Attrition'!J$1),VLOOKUP('Traditional Attrition'!J$2-'Traditional Attrition'!$F28-1,'Traditional Attrition'!$A$7:$C$161,2,FALSE)*VLOOKUP(J$1,'Attrition Modeling'!$L$15:$N$27,IF(J$2-$F28&lt;=24,2,3),FALSE))*(1+Projection!L$16)*(1+IF(J160&gt;0,'Attrition Modeling'!$N$9,0))),0))</f>
        <v>0</v>
      </c>
      <c r="K28" s="799">
        <f>IF(K$2=$F28+1,Monthly!G$21,IF(K$2&gt;$F28+1,('Traditional Attrition'!J28+K160)*(1-IF(K$2-$F28&lt;=12,SUMIFS('Attrition Modeling'!$D:$D,'Attrition Modeling'!$B:$B,'Traditional Attrition'!$E28,'Attrition Modeling'!$C:$C,'Traditional Attrition'!K$1),VLOOKUP('Traditional Attrition'!K$2-'Traditional Attrition'!$F28-1,'Traditional Attrition'!$A$7:$C$161,2,FALSE)*VLOOKUP(K$1,'Attrition Modeling'!$L$15:$N$27,IF(K$2-$F28&lt;=24,2,3),FALSE))*(1+Projection!M$16)*(1+IF(K160&gt;0,'Attrition Modeling'!$N$9,0))),0))</f>
        <v>0</v>
      </c>
      <c r="L28" s="799">
        <f>IF(L$2=$F28+1,Monthly!H$21,IF(L$2&gt;$F28+1,('Traditional Attrition'!K28+L160)*(1-IF(L$2-$F28&lt;=12,SUMIFS('Attrition Modeling'!$D:$D,'Attrition Modeling'!$B:$B,'Traditional Attrition'!$E28,'Attrition Modeling'!$C:$C,'Traditional Attrition'!L$1),VLOOKUP('Traditional Attrition'!L$2-'Traditional Attrition'!$F28-1,'Traditional Attrition'!$A$7:$C$161,2,FALSE)*VLOOKUP(L$1,'Attrition Modeling'!$L$15:$N$27,IF(L$2-$F28&lt;=24,2,3),FALSE))*(1+Projection!N$16)*(1+IF(L160&gt;0,'Attrition Modeling'!$N$9,0))),0))</f>
        <v>0</v>
      </c>
      <c r="M28" s="799">
        <f>IF(M$2=$F28+1,Monthly!I$21,IF(M$2&gt;$F28+1,('Traditional Attrition'!L28+M160)*(1-IF(M$2-$F28&lt;=12,SUMIFS('Attrition Modeling'!$D:$D,'Attrition Modeling'!$B:$B,'Traditional Attrition'!$E28,'Attrition Modeling'!$C:$C,'Traditional Attrition'!M$1),VLOOKUP('Traditional Attrition'!M$2-'Traditional Attrition'!$F28-1,'Traditional Attrition'!$A$7:$C$161,2,FALSE)*VLOOKUP(M$1,'Attrition Modeling'!$L$15:$N$27,IF(M$2-$F28&lt;=24,2,3),FALSE))*(1+Projection!O$16)*(1+IF(M160&gt;0,'Attrition Modeling'!$N$9,0))),0))</f>
        <v>0</v>
      </c>
      <c r="N28" s="799">
        <f>IF(N$2=$F28+1,Monthly!J$21,IF(N$2&gt;$F28+1,('Traditional Attrition'!M28+N160)*(1-IF(N$2-$F28&lt;=12,SUMIFS('Attrition Modeling'!$D:$D,'Attrition Modeling'!$B:$B,'Traditional Attrition'!$E28,'Attrition Modeling'!$C:$C,'Traditional Attrition'!N$1),VLOOKUP('Traditional Attrition'!N$2-'Traditional Attrition'!$F28-1,'Traditional Attrition'!$A$7:$C$161,2,FALSE)*VLOOKUP(N$1,'Attrition Modeling'!$L$15:$N$27,IF(N$2-$F28&lt;=24,2,3),FALSE))*(1+Projection!P$16)*(1+IF(N160&gt;0,'Attrition Modeling'!$N$9,0))),0))</f>
        <v>0</v>
      </c>
      <c r="O28" s="799">
        <f>IF(O$2=$F28+1,Monthly!K$21,IF(O$2&gt;$F28+1,('Traditional Attrition'!N28+O160)*(1-IF(O$2-$F28&lt;=12,SUMIFS('Attrition Modeling'!$D:$D,'Attrition Modeling'!$B:$B,'Traditional Attrition'!$E28,'Attrition Modeling'!$C:$C,'Traditional Attrition'!O$1),VLOOKUP('Traditional Attrition'!O$2-'Traditional Attrition'!$F28-1,'Traditional Attrition'!$A$7:$C$161,2,FALSE)*VLOOKUP(O$1,'Attrition Modeling'!$L$15:$N$27,IF(O$2-$F28&lt;=24,2,3),FALSE))*(1+Projection!Q$16)*(1+IF(O160&gt;0,'Attrition Modeling'!$N$9,0))),0))</f>
        <v>0</v>
      </c>
      <c r="P28" s="799">
        <f>IF(P$2=$F28+1,Monthly!L$21,IF(P$2&gt;$F28+1,('Traditional Attrition'!O28+P160)*(1-IF(P$2-$F28&lt;=12,SUMIFS('Attrition Modeling'!$D:$D,'Attrition Modeling'!$B:$B,'Traditional Attrition'!$E28,'Attrition Modeling'!$C:$C,'Traditional Attrition'!P$1),VLOOKUP('Traditional Attrition'!P$2-'Traditional Attrition'!$F28-1,'Traditional Attrition'!$A$7:$C$161,2,FALSE)*VLOOKUP(P$1,'Attrition Modeling'!$L$15:$N$27,IF(P$2-$F28&lt;=24,2,3),FALSE))*(1+Projection!R$16)*(1+IF(P160&gt;0,'Attrition Modeling'!$N$9,0))),0))</f>
        <v>0</v>
      </c>
      <c r="Q28" s="799">
        <f>IF(Q$2=$F28+1,Monthly!M$21,IF(Q$2&gt;$F28+1,('Traditional Attrition'!P28+Q160)*(1-IF(Q$2-$F28&lt;=12,SUMIFS('Attrition Modeling'!$D:$D,'Attrition Modeling'!$B:$B,'Traditional Attrition'!$E28,'Attrition Modeling'!$C:$C,'Traditional Attrition'!Q$1),VLOOKUP('Traditional Attrition'!Q$2-'Traditional Attrition'!$F28-1,'Traditional Attrition'!$A$7:$C$161,2,FALSE)*VLOOKUP(Q$1,'Attrition Modeling'!$L$15:$N$27,IF(Q$2-$F28&lt;=24,2,3),FALSE))*(1+Projection!S$16)*(1+IF(Q160&gt;0,'Attrition Modeling'!$N$9,0))),0))</f>
        <v>0</v>
      </c>
      <c r="R28" s="799">
        <f>IF(R$2=$F28+1,Monthly!N$21,IF(R$2&gt;$F28+1,('Traditional Attrition'!Q28+R160)*(1-IF(R$2-$F28&lt;=12,SUMIFS('Attrition Modeling'!$D:$D,'Attrition Modeling'!$B:$B,'Traditional Attrition'!$E28,'Attrition Modeling'!$C:$C,'Traditional Attrition'!R$1),VLOOKUP('Traditional Attrition'!R$2-'Traditional Attrition'!$F28-1,'Traditional Attrition'!$A$7:$C$161,2,FALSE)*VLOOKUP(R$1,'Attrition Modeling'!$L$15:$N$27,IF(R$2-$F28&lt;=24,2,3),FALSE))*(1+Projection!T$16)*(1+IF(R160&gt;0,'Attrition Modeling'!$N$9,0))),0))</f>
        <v>0</v>
      </c>
      <c r="S28" s="799">
        <f>IF(S$2=$F28+1,Monthly!O$21,IF(S$2&gt;$F28+1,('Traditional Attrition'!R28+S160)*(1-IF(S$2-$F28&lt;=12,SUMIFS('Attrition Modeling'!$D:$D,'Attrition Modeling'!$B:$B,'Traditional Attrition'!$E28,'Attrition Modeling'!$C:$C,'Traditional Attrition'!S$1),VLOOKUP('Traditional Attrition'!S$2-'Traditional Attrition'!$F28-1,'Traditional Attrition'!$A$7:$C$161,2,FALSE)*VLOOKUP(S$1,'Attrition Modeling'!$L$15:$N$27,IF(S$2-$F28&lt;=24,2,3),FALSE))*(1+Projection!U$16)*(1+IF(S160&gt;0,'Attrition Modeling'!$N$9,0))),0))</f>
        <v>0</v>
      </c>
      <c r="T28" s="799">
        <f>IF(T$2=$F28+1,Monthly!P$21,IF(T$2&gt;$F28+1,('Traditional Attrition'!S28+T160)*(1-IF(T$2-$F28&lt;=12,SUMIFS('Attrition Modeling'!$D:$D,'Attrition Modeling'!$B:$B,'Traditional Attrition'!$E28,'Attrition Modeling'!$C:$C,'Traditional Attrition'!T$1),VLOOKUP('Traditional Attrition'!T$2-'Traditional Attrition'!$F28-1,'Traditional Attrition'!$A$7:$C$161,2,FALSE)*VLOOKUP(T$1,'Attrition Modeling'!$L$15:$N$27,IF(T$2-$F28&lt;=24,2,3),FALSE))*(1+Projection!V$16)*(1+IF(T160&gt;0,'Attrition Modeling'!$N$9,0))),0))</f>
        <v>0</v>
      </c>
      <c r="U28" s="799">
        <f>IF(U$2=$F28+1,Monthly!Q$21,IF(U$2&gt;$F28+1,('Traditional Attrition'!T28+U160)*(1-IF(U$2-$F28&lt;=12,SUMIFS('Attrition Modeling'!$D:$D,'Attrition Modeling'!$B:$B,'Traditional Attrition'!$E28,'Attrition Modeling'!$C:$C,'Traditional Attrition'!U$1),VLOOKUP('Traditional Attrition'!U$2-'Traditional Attrition'!$F28-1,'Traditional Attrition'!$A$7:$C$161,2,FALSE)*VLOOKUP(U$1,'Attrition Modeling'!$L$15:$N$27,IF(U$2-$F28&lt;=24,2,3),FALSE))*(1+Projection!W$16)*(1+IF(U160&gt;0,'Attrition Modeling'!$N$9,0))),0))</f>
        <v>0</v>
      </c>
      <c r="V28" s="799">
        <f>IF(V$2=$F28+1,Monthly!R$21,IF(V$2&gt;$F28+1,('Traditional Attrition'!U28+V160)*(1-IF(V$2-$F28&lt;=12,SUMIFS('Attrition Modeling'!$D:$D,'Attrition Modeling'!$B:$B,'Traditional Attrition'!$E28,'Attrition Modeling'!$C:$C,'Traditional Attrition'!V$1),VLOOKUP('Traditional Attrition'!V$2-'Traditional Attrition'!$F28-1,'Traditional Attrition'!$A$7:$C$161,2,FALSE)*VLOOKUP(V$1,'Attrition Modeling'!$L$15:$N$27,IF(V$2-$F28&lt;=24,2,3),FALSE))*(1+Projection!X$16)*(1+IF(V160&gt;0,'Attrition Modeling'!$N$9,0))),0))</f>
        <v>0</v>
      </c>
      <c r="W28" s="799">
        <f>IF(W$2=$F28+1,Monthly!S$21,IF(W$2&gt;$F28+1,('Traditional Attrition'!V28+W160)*(1-IF(W$2-$F28&lt;=12,SUMIFS('Attrition Modeling'!$D:$D,'Attrition Modeling'!$B:$B,'Traditional Attrition'!$E28,'Attrition Modeling'!$C:$C,'Traditional Attrition'!W$1),VLOOKUP('Traditional Attrition'!W$2-'Traditional Attrition'!$F28-1,'Traditional Attrition'!$A$7:$C$161,2,FALSE)*VLOOKUP(W$1,'Attrition Modeling'!$L$15:$N$27,IF(W$2-$F28&lt;=24,2,3),FALSE))*(1+Projection!Y$16)*(1+IF(W160&gt;0,'Attrition Modeling'!$N$9,0))),0))</f>
        <v>0</v>
      </c>
      <c r="X28" s="799">
        <f>IF(X$2=$F28+1,Monthly!T$21,IF(X$2&gt;$F28+1,('Traditional Attrition'!W28+X160)*(1-IF(X$2-$F28&lt;=12,SUMIFS('Attrition Modeling'!$D:$D,'Attrition Modeling'!$B:$B,'Traditional Attrition'!$E28,'Attrition Modeling'!$C:$C,'Traditional Attrition'!X$1),VLOOKUP('Traditional Attrition'!X$2-'Traditional Attrition'!$F28-1,'Traditional Attrition'!$A$7:$C$161,2,FALSE)*VLOOKUP(X$1,'Attrition Modeling'!$L$15:$N$27,IF(X$2-$F28&lt;=24,2,3),FALSE))*(1+Projection!Z$16)*(1+IF(X160&gt;0,'Attrition Modeling'!$N$9,0))),0))</f>
        <v>0</v>
      </c>
      <c r="Y28" s="799">
        <f>IF(Y$2=$F28+1,Monthly!U$21,IF(Y$2&gt;$F28+1,('Traditional Attrition'!X28+Y160)*(1-IF(Y$2-$F28&lt;=12,SUMIFS('Attrition Modeling'!$D:$D,'Attrition Modeling'!$B:$B,'Traditional Attrition'!$E28,'Attrition Modeling'!$C:$C,'Traditional Attrition'!Y$1),VLOOKUP('Traditional Attrition'!Y$2-'Traditional Attrition'!$F28-1,'Traditional Attrition'!$A$7:$C$161,2,FALSE)*VLOOKUP(Y$1,'Attrition Modeling'!$L$15:$N$27,IF(Y$2-$F28&lt;=24,2,3),FALSE))*(1+Projection!AA$16)*(1+IF(Y160&gt;0,'Attrition Modeling'!$N$9,0))),0))</f>
        <v>0</v>
      </c>
      <c r="Z28" s="799">
        <f>IF(Z$2=$F28+1,Monthly!V$21,IF(Z$2&gt;$F28+1,('Traditional Attrition'!Y28+Z160)*(1-IF(Z$2-$F28&lt;=12,SUMIFS('Attrition Modeling'!$D:$D,'Attrition Modeling'!$B:$B,'Traditional Attrition'!$E28,'Attrition Modeling'!$C:$C,'Traditional Attrition'!Z$1),VLOOKUP('Traditional Attrition'!Z$2-'Traditional Attrition'!$F28-1,'Traditional Attrition'!$A$7:$C$161,2,FALSE)*VLOOKUP(Z$1,'Attrition Modeling'!$L$15:$N$27,IF(Z$2-$F28&lt;=24,2,3),FALSE))*(1+Projection!AB$16)*(1+IF(Z160&gt;0,'Attrition Modeling'!$N$9,0))),0))</f>
        <v>0</v>
      </c>
      <c r="AA28" s="799">
        <f>IF(AA$2=$F28+1,Monthly!W$21,IF(AA$2&gt;$F28+1,('Traditional Attrition'!Z28+AA160)*(1-IF(AA$2-$F28&lt;=12,SUMIFS('Attrition Modeling'!$D:$D,'Attrition Modeling'!$B:$B,'Traditional Attrition'!$E28,'Attrition Modeling'!$C:$C,'Traditional Attrition'!AA$1),VLOOKUP('Traditional Attrition'!AA$2-'Traditional Attrition'!$F28-1,'Traditional Attrition'!$A$7:$C$161,2,FALSE)*VLOOKUP(AA$1,'Attrition Modeling'!$L$15:$N$27,IF(AA$2-$F28&lt;=24,2,3),FALSE))*(1+Projection!AC$16)*(1+IF(AA160&gt;0,'Attrition Modeling'!$N$9,0))),0))</f>
        <v>0</v>
      </c>
      <c r="AB28" s="799">
        <f>IF(AB$2=$F28+1,Monthly!X$21,IF(AB$2&gt;$F28+1,('Traditional Attrition'!AA28+AB160)*(1-IF(AB$2-$F28&lt;=12,SUMIFS('Attrition Modeling'!$D:$D,'Attrition Modeling'!$B:$B,'Traditional Attrition'!$E28,'Attrition Modeling'!$C:$C,'Traditional Attrition'!AB$1),VLOOKUP('Traditional Attrition'!AB$2-'Traditional Attrition'!$F28-1,'Traditional Attrition'!$A$7:$C$161,2,FALSE)*VLOOKUP(AB$1,'Attrition Modeling'!$L$15:$N$27,IF(AB$2-$F28&lt;=24,2,3),FALSE))*(1+Projection!AD$16)*(1+IF(AB160&gt;0,'Attrition Modeling'!$N$9,0))),0))</f>
        <v>0</v>
      </c>
      <c r="AC28" s="799">
        <f>IF(AC$2=$F28+1,Monthly!Y$21,IF(AC$2&gt;$F28+1,('Traditional Attrition'!AB28+AC160)*(1-IF(AC$2-$F28&lt;=12,SUMIFS('Attrition Modeling'!$D:$D,'Attrition Modeling'!$B:$B,'Traditional Attrition'!$E28,'Attrition Modeling'!$C:$C,'Traditional Attrition'!AC$1),VLOOKUP('Traditional Attrition'!AC$2-'Traditional Attrition'!$F28-1,'Traditional Attrition'!$A$7:$C$161,2,FALSE)*VLOOKUP(AC$1,'Attrition Modeling'!$L$15:$N$27,IF(AC$2-$F28&lt;=24,2,3),FALSE))*(1+Projection!AE$16)*(1+IF(AC160&gt;0,'Attrition Modeling'!$N$9,0))),0))</f>
        <v>0</v>
      </c>
      <c r="AD28" s="799">
        <f>IF(AD$2=$F28+1,Monthly!Z$21,IF(AD$2&gt;$F28+1,('Traditional Attrition'!AC28+AD160)*(1-IF(AD$2-$F28&lt;=12,SUMIFS('Attrition Modeling'!$D:$D,'Attrition Modeling'!$B:$B,'Traditional Attrition'!$E28,'Attrition Modeling'!$C:$C,'Traditional Attrition'!AD$1),VLOOKUP('Traditional Attrition'!AD$2-'Traditional Attrition'!$F28-1,'Traditional Attrition'!$A$7:$C$161,2,FALSE)*VLOOKUP(AD$1,'Attrition Modeling'!$L$15:$N$27,IF(AD$2-$F28&lt;=24,2,3),FALSE))*(1+Projection!AF$16)*(1+IF(AD160&gt;0,'Attrition Modeling'!$N$9,0))),0))</f>
        <v>0</v>
      </c>
      <c r="AE28" s="799">
        <f>IF(AE$2=$F28+1,Monthly!AA$21,IF(AE$2&gt;$F28+1,('Traditional Attrition'!AD28+AE160)*(1-IF(AE$2-$F28&lt;=12,SUMIFS('Attrition Modeling'!$D:$D,'Attrition Modeling'!$B:$B,'Traditional Attrition'!$E28,'Attrition Modeling'!$C:$C,'Traditional Attrition'!AE$1),VLOOKUP('Traditional Attrition'!AE$2-'Traditional Attrition'!$F28-1,'Traditional Attrition'!$A$7:$C$161,2,FALSE)*VLOOKUP(AE$1,'Attrition Modeling'!$L$15:$N$27,IF(AE$2-$F28&lt;=24,2,3),FALSE))*(1+Projection!AG$16)*(1+IF(AE160&gt;0,'Attrition Modeling'!$N$9,0))),0))</f>
        <v>0</v>
      </c>
      <c r="AF28" s="799">
        <f>IF(AF$2=$F28+1,Monthly!AB$21,IF(AF$2&gt;$F28+1,('Traditional Attrition'!AE28+AF160)*(1-IF(AF$2-$F28&lt;=12,SUMIFS('Attrition Modeling'!$D:$D,'Attrition Modeling'!$B:$B,'Traditional Attrition'!$E28,'Attrition Modeling'!$C:$C,'Traditional Attrition'!AF$1),VLOOKUP('Traditional Attrition'!AF$2-'Traditional Attrition'!$F28-1,'Traditional Attrition'!$A$7:$C$161,2,FALSE)*VLOOKUP(AF$1,'Attrition Modeling'!$L$15:$N$27,IF(AF$2-$F28&lt;=24,2,3),FALSE))*(1+Projection!AH$16)*(1+IF(AF160&gt;0,'Attrition Modeling'!$N$9,0))),0))</f>
        <v>0</v>
      </c>
      <c r="AG28" s="799">
        <f>IF(AG$2=$F28+1,Monthly!AC$21,IF(AG$2&gt;$F28+1,('Traditional Attrition'!AF28+AG160)*(1-IF(AG$2-$F28&lt;=12,SUMIFS('Attrition Modeling'!$D:$D,'Attrition Modeling'!$B:$B,'Traditional Attrition'!$E28,'Attrition Modeling'!$C:$C,'Traditional Attrition'!AG$1),VLOOKUP('Traditional Attrition'!AG$2-'Traditional Attrition'!$F28-1,'Traditional Attrition'!$A$7:$C$161,2,FALSE)*VLOOKUP(AG$1,'Attrition Modeling'!$L$15:$N$27,IF(AG$2-$F28&lt;=24,2,3),FALSE))*(1+Projection!AI$16)*(1+IF(AG160&gt;0,'Attrition Modeling'!$N$9,0))),0))</f>
        <v>10167.762475127103</v>
      </c>
      <c r="AH28" s="799">
        <f>IF(AH$2=$F28+1,Monthly!AD$21,IF(AH$2&gt;$F28+1,('Traditional Attrition'!AG28+AH160)*(1-IF(AH$2-$F28&lt;=12,SUMIFS('Attrition Modeling'!$D:$D,'Attrition Modeling'!$B:$B,'Traditional Attrition'!$E28,'Attrition Modeling'!$C:$C,'Traditional Attrition'!AH$1),VLOOKUP('Traditional Attrition'!AH$2-'Traditional Attrition'!$F28-1,'Traditional Attrition'!$A$7:$C$161,2,FALSE)*VLOOKUP(AH$1,'Attrition Modeling'!$L$15:$N$27,IF(AH$2-$F28&lt;=24,2,3),FALSE))*(1+Projection!AJ$16)*(1+IF(AH160&gt;0,'Attrition Modeling'!$N$9,0))),0))</f>
        <v>9143.3227850368894</v>
      </c>
      <c r="AI28" s="799">
        <f>IF(AI$2=$F28+1,Monthly!AE$21,IF(AI$2&gt;$F28+1,('Traditional Attrition'!AH28+AI160)*(1-IF(AI$2-$F28&lt;=12,SUMIFS('Attrition Modeling'!$D:$D,'Attrition Modeling'!$B:$B,'Traditional Attrition'!$E28,'Attrition Modeling'!$C:$C,'Traditional Attrition'!AI$1),VLOOKUP('Traditional Attrition'!AI$2-'Traditional Attrition'!$F28-1,'Traditional Attrition'!$A$7:$C$161,2,FALSE)*VLOOKUP(AI$1,'Attrition Modeling'!$L$15:$N$27,IF(AI$2-$F28&lt;=24,2,3),FALSE))*(1+Projection!AK$16)*(1+IF(AI160&gt;0,'Attrition Modeling'!$N$9,0))),0))</f>
        <v>8379.749178508775</v>
      </c>
      <c r="AJ28" s="799">
        <f>IF(AJ$2=$F28+1,Monthly!AF$21,IF(AJ$2&gt;$F28+1,('Traditional Attrition'!AI28+AJ160)*(1-IF(AJ$2-$F28&lt;=12,SUMIFS('Attrition Modeling'!$D:$D,'Attrition Modeling'!$B:$B,'Traditional Attrition'!$E28,'Attrition Modeling'!$C:$C,'Traditional Attrition'!AJ$1),VLOOKUP('Traditional Attrition'!AJ$2-'Traditional Attrition'!$F28-1,'Traditional Attrition'!$A$7:$C$161,2,FALSE)*VLOOKUP(AJ$1,'Attrition Modeling'!$L$15:$N$27,IF(AJ$2-$F28&lt;=24,2,3),FALSE))*(1+Projection!AL$16)*(1+IF(AJ160&gt;0,'Attrition Modeling'!$N$9,0))),0))</f>
        <v>7608.9891505911255</v>
      </c>
      <c r="AK28" s="799">
        <f>IF(AK$2=$F28+1,Monthly!AG$21,IF(AK$2&gt;$F28+1,('Traditional Attrition'!AJ28+AK160)*(1-IF(AK$2-$F28&lt;=12,SUMIFS('Attrition Modeling'!$D:$D,'Attrition Modeling'!$B:$B,'Traditional Attrition'!$E28,'Attrition Modeling'!$C:$C,'Traditional Attrition'!AK$1),VLOOKUP('Traditional Attrition'!AK$2-'Traditional Attrition'!$F28-1,'Traditional Attrition'!$A$7:$C$161,2,FALSE)*VLOOKUP(AK$1,'Attrition Modeling'!$L$15:$N$27,IF(AK$2-$F28&lt;=24,2,3),FALSE))*(1+Projection!AM$16)*(1+IF(AK160&gt;0,'Attrition Modeling'!$N$9,0))),0))</f>
        <v>6992.6509094376743</v>
      </c>
      <c r="AL28" s="799">
        <f>IF(AL$2=$F28+1,Monthly!AH$21,IF(AL$2&gt;$F28+1,('Traditional Attrition'!AK28+AL160)*(1-IF(AL$2-$F28&lt;=12,SUMIFS('Attrition Modeling'!$D:$D,'Attrition Modeling'!$B:$B,'Traditional Attrition'!$E28,'Attrition Modeling'!$C:$C,'Traditional Attrition'!AL$1),VLOOKUP('Traditional Attrition'!AL$2-'Traditional Attrition'!$F28-1,'Traditional Attrition'!$A$7:$C$161,2,FALSE)*VLOOKUP(AL$1,'Attrition Modeling'!$L$15:$N$27,IF(AL$2-$F28&lt;=24,2,3),FALSE))*(1+Projection!AN$16)*(1+IF(AL160&gt;0,'Attrition Modeling'!$N$9,0))),0))</f>
        <v>6874.5916079749177</v>
      </c>
      <c r="AM28" s="799">
        <f>IF(AM$2=$F28+1,Monthly!AI$21,IF(AM$2&gt;$F28+1,('Traditional Attrition'!AL28+AM160)*(1-IF(AM$2-$F28&lt;=12,SUMIFS('Attrition Modeling'!$D:$D,'Attrition Modeling'!$B:$B,'Traditional Attrition'!$E28,'Attrition Modeling'!$C:$C,'Traditional Attrition'!AM$1),VLOOKUP('Traditional Attrition'!AM$2-'Traditional Attrition'!$F28-1,'Traditional Attrition'!$A$7:$C$161,2,FALSE)*VLOOKUP(AM$1,'Attrition Modeling'!$L$15:$N$27,IF(AM$2-$F28&lt;=24,2,3),FALSE))*(1+Projection!AO$16)*(1+IF(AM160&gt;0,'Attrition Modeling'!$N$9,0))),0))</f>
        <v>6350.271524486544</v>
      </c>
      <c r="AN28" s="799">
        <f>IF(AN$2=$F28+1,Monthly!AJ$21,IF(AN$2&gt;$F28+1,('Traditional Attrition'!AM28+AN160)*(1-IF(AN$2-$F28&lt;=12,SUMIFS('Attrition Modeling'!$D:$D,'Attrition Modeling'!$B:$B,'Traditional Attrition'!$E28,'Attrition Modeling'!$C:$C,'Traditional Attrition'!AN$1),VLOOKUP('Traditional Attrition'!AN$2-'Traditional Attrition'!$F28-1,'Traditional Attrition'!$A$7:$C$161,2,FALSE)*VLOOKUP(AN$1,'Attrition Modeling'!$L$15:$N$27,IF(AN$2-$F28&lt;=24,2,3),FALSE))*(1+Projection!AP$16)*(1+IF(AN160&gt;0,'Attrition Modeling'!$N$9,0))),0))</f>
        <v>5960.807276300181</v>
      </c>
      <c r="AO28" s="799">
        <f>IF(AO$2=$F28+1,Monthly!AK$21,IF(AO$2&gt;$F28+1,('Traditional Attrition'!AN28+AO160)*(1-IF(AO$2-$F28&lt;=12,SUMIFS('Attrition Modeling'!$D:$D,'Attrition Modeling'!$B:$B,'Traditional Attrition'!$E28,'Attrition Modeling'!$C:$C,'Traditional Attrition'!AO$1),VLOOKUP('Traditional Attrition'!AO$2-'Traditional Attrition'!$F28-1,'Traditional Attrition'!$A$7:$C$161,2,FALSE)*VLOOKUP(AO$1,'Attrition Modeling'!$L$15:$N$27,IF(AO$2-$F28&lt;=24,2,3),FALSE))*(1+Projection!AQ$16)*(1+IF(AO160&gt;0,'Attrition Modeling'!$N$9,0))),0))</f>
        <v>5578.2917823591915</v>
      </c>
      <c r="AP28" s="799">
        <f>IF(AP$2=$F28+1,Monthly!AL$21,IF(AP$2&gt;$F28+1,('Traditional Attrition'!AO28+AP160)*(1-IF(AP$2-$F28&lt;=12,SUMIFS('Attrition Modeling'!$D:$D,'Attrition Modeling'!$B:$B,'Traditional Attrition'!$E28,'Attrition Modeling'!$C:$C,'Traditional Attrition'!AP$1),VLOOKUP('Traditional Attrition'!AP$2-'Traditional Attrition'!$F28-1,'Traditional Attrition'!$A$7:$C$161,2,FALSE)*VLOOKUP(AP$1,'Attrition Modeling'!$L$15:$N$27,IF(AP$2-$F28&lt;=24,2,3),FALSE))*(1+Projection!AR$16)*(1+IF(AP160&gt;0,'Attrition Modeling'!$N$9,0))),0))</f>
        <v>5245.056234127961</v>
      </c>
      <c r="AQ28" s="799">
        <f>IF(AQ$2=$F28+1,Monthly!AM$21,IF(AQ$2&gt;$F28+1,('Traditional Attrition'!AP28+AQ160)*(1-IF(AQ$2-$F28&lt;=12,SUMIFS('Attrition Modeling'!$D:$D,'Attrition Modeling'!$B:$B,'Traditional Attrition'!$E28,'Attrition Modeling'!$C:$C,'Traditional Attrition'!AQ$1),VLOOKUP('Traditional Attrition'!AQ$2-'Traditional Attrition'!$F28-1,'Traditional Attrition'!$A$7:$C$161,2,FALSE)*VLOOKUP(AQ$1,'Attrition Modeling'!$L$15:$N$27,IF(AQ$2-$F28&lt;=24,2,3),FALSE))*(1+Projection!AS$16)*(1+IF(AQ160&gt;0,'Attrition Modeling'!$N$9,0))),0))</f>
        <v>4938.3362028225629</v>
      </c>
      <c r="AR28" s="799">
        <f>IF(AR$2=$F28+1,Monthly!AN$21,IF(AR$2&gt;$F28+1,('Traditional Attrition'!AQ28+AR160)*(1-IF(AR$2-$F28&lt;=12,SUMIFS('Attrition Modeling'!$D:$D,'Attrition Modeling'!$B:$B,'Traditional Attrition'!$E28,'Attrition Modeling'!$C:$C,'Traditional Attrition'!AR$1),VLOOKUP('Traditional Attrition'!AR$2-'Traditional Attrition'!$F28-1,'Traditional Attrition'!$A$7:$C$161,2,FALSE)*VLOOKUP(AR$1,'Attrition Modeling'!$L$15:$N$27,IF(AR$2-$F28&lt;=24,2,3),FALSE))*(1+Projection!AT$16)*(1+IF(AR160&gt;0,'Attrition Modeling'!$N$9,0))),0))</f>
        <v>4811.71987990038</v>
      </c>
      <c r="AS28" s="799">
        <f>IF(AS$2=$F28+1,Monthly!AO$21,IF(AS$2&gt;$F28+1,('Traditional Attrition'!AR28+AS160)*(1-IF(AS$2-$F28&lt;=12,SUMIFS('Attrition Modeling'!$D:$D,'Attrition Modeling'!$B:$B,'Traditional Attrition'!$E28,'Attrition Modeling'!$C:$C,'Traditional Attrition'!AS$1),VLOOKUP('Traditional Attrition'!AS$2-'Traditional Attrition'!$F28-1,'Traditional Attrition'!$A$7:$C$161,2,FALSE)*VLOOKUP(AS$1,'Attrition Modeling'!$L$15:$N$27,IF(AS$2-$F28&lt;=24,2,3),FALSE))*(1+Projection!AU$16)*(1+IF(AS160&gt;0,'Attrition Modeling'!$N$9,0))),0))</f>
        <v>4578.0355668573175</v>
      </c>
      <c r="AT28" s="799">
        <f>IF(AT$2=$F28+1,Monthly!AP$21,IF(AT$2&gt;$F28+1,('Traditional Attrition'!AS28+AT160)*(1-IF(AT$2-$F28&lt;=12,SUMIFS('Attrition Modeling'!$D:$D,'Attrition Modeling'!$B:$B,'Traditional Attrition'!$E28,'Attrition Modeling'!$C:$C,'Traditional Attrition'!AT$1),VLOOKUP('Traditional Attrition'!AT$2-'Traditional Attrition'!$F28-1,'Traditional Attrition'!$A$7:$C$161,2,FALSE)*VLOOKUP(AT$1,'Attrition Modeling'!$L$15:$N$27,IF(AT$2-$F28&lt;=24,2,3),FALSE))*(1+Projection!AV$16)*(1+IF(AT160&gt;0,'Attrition Modeling'!$N$9,0))),0))</f>
        <v>4354.7041531655696</v>
      </c>
      <c r="AU28" s="799">
        <f>IF(AU$2=$F28+1,Monthly!AQ$21,IF(AU$2&gt;$F28+1,('Traditional Attrition'!AT28+AU160)*(1-IF(AU$2-$F28&lt;=12,SUMIFS('Attrition Modeling'!$D:$D,'Attrition Modeling'!$B:$B,'Traditional Attrition'!$E28,'Attrition Modeling'!$C:$C,'Traditional Attrition'!AU$1),VLOOKUP('Traditional Attrition'!AU$2-'Traditional Attrition'!$F28-1,'Traditional Attrition'!$A$7:$C$161,2,FALSE)*VLOOKUP(AU$1,'Attrition Modeling'!$L$15:$N$27,IF(AU$2-$F28&lt;=24,2,3),FALSE))*(1+Projection!AW$16)*(1+IF(AU160&gt;0,'Attrition Modeling'!$N$9,0))),0))</f>
        <v>4156.058276373441</v>
      </c>
      <c r="AV28" s="799">
        <f>IF(AV$2=$F28+1,Monthly!AR$21,IF(AV$2&gt;$F28+1,('Traditional Attrition'!AU28+AV160)*(1-IF(AV$2-$F28&lt;=12,SUMIFS('Attrition Modeling'!$D:$D,'Attrition Modeling'!$B:$B,'Traditional Attrition'!$E28,'Attrition Modeling'!$C:$C,'Traditional Attrition'!AV$1),VLOOKUP('Traditional Attrition'!AV$2-'Traditional Attrition'!$F28-1,'Traditional Attrition'!$A$7:$C$161,2,FALSE)*VLOOKUP(AV$1,'Attrition Modeling'!$L$15:$N$27,IF(AV$2-$F28&lt;=24,2,3),FALSE))*(1+Projection!AX$16)*(1+IF(AV160&gt;0,'Attrition Modeling'!$N$9,0))),0))</f>
        <v>3974.7038611470748</v>
      </c>
      <c r="AW28" s="799">
        <f>IF(AW$2=$F28+1,Monthly!AS$21,IF(AW$2&gt;$F28+1,('Traditional Attrition'!AV28+AW160)*(1-IF(AW$2-$F28&lt;=12,SUMIFS('Attrition Modeling'!$D:$D,'Attrition Modeling'!$B:$B,'Traditional Attrition'!$E28,'Attrition Modeling'!$C:$C,'Traditional Attrition'!AW$1),VLOOKUP('Traditional Attrition'!AW$2-'Traditional Attrition'!$F28-1,'Traditional Attrition'!$A$7:$C$161,2,FALSE)*VLOOKUP(AW$1,'Attrition Modeling'!$L$15:$N$27,IF(AW$2-$F28&lt;=24,2,3),FALSE))*(1+Projection!AY$16)*(1+IF(AW160&gt;0,'Attrition Modeling'!$N$9,0))),0))</f>
        <v>3789.8878117626659</v>
      </c>
      <c r="AX28" s="799">
        <f>IF(AX$2=$F28+1,Monthly!AT$21,IF(AX$2&gt;$F28+1,('Traditional Attrition'!AW28+AX160)*(1-IF(AX$2-$F28&lt;=12,SUMIFS('Attrition Modeling'!$D:$D,'Attrition Modeling'!$B:$B,'Traditional Attrition'!$E28,'Attrition Modeling'!$C:$C,'Traditional Attrition'!AX$1),VLOOKUP('Traditional Attrition'!AX$2-'Traditional Attrition'!$F28-1,'Traditional Attrition'!$A$7:$C$161,2,FALSE)*VLOOKUP(AX$1,'Attrition Modeling'!$L$15:$N$27,IF(AX$2-$F28&lt;=24,2,3),FALSE))*(1+Projection!AZ$16)*(1+IF(AX160&gt;0,'Attrition Modeling'!$N$9,0))),0))</f>
        <v>3922.3368246581849</v>
      </c>
      <c r="AY28" s="799">
        <f>IF(AY$2=$F28+1,Monthly!AU$21,IF(AY$2&gt;$F28+1,('Traditional Attrition'!AX28+AY160)*(1-IF(AY$2-$F28&lt;=12,SUMIFS('Attrition Modeling'!$D:$D,'Attrition Modeling'!$B:$B,'Traditional Attrition'!$E28,'Attrition Modeling'!$C:$C,'Traditional Attrition'!AY$1),VLOOKUP('Traditional Attrition'!AY$2-'Traditional Attrition'!$F28-1,'Traditional Attrition'!$A$7:$C$161,2,FALSE)*VLOOKUP(AY$1,'Attrition Modeling'!$L$15:$N$27,IF(AY$2-$F28&lt;=24,2,3),FALSE))*(1+Projection!BA$16)*(1+IF(AY160&gt;0,'Attrition Modeling'!$N$9,0))),0))</f>
        <v>3736.2887008098451</v>
      </c>
      <c r="AZ28" s="799">
        <f>IF(AZ$2=$F28+1,Monthly!AV$21,IF(AZ$2&gt;$F28+1,('Traditional Attrition'!AY28+AZ160)*(1-IF(AZ$2-$F28&lt;=12,SUMIFS('Attrition Modeling'!$D:$D,'Attrition Modeling'!$B:$B,'Traditional Attrition'!$E28,'Attrition Modeling'!$C:$C,'Traditional Attrition'!AZ$1),VLOOKUP('Traditional Attrition'!AZ$2-'Traditional Attrition'!$F28-1,'Traditional Attrition'!$A$7:$C$161,2,FALSE)*VLOOKUP(AZ$1,'Attrition Modeling'!$L$15:$N$27,IF(AZ$2-$F28&lt;=24,2,3),FALSE))*(1+Projection!BB$16)*(1+IF(AZ160&gt;0,'Attrition Modeling'!$N$9,0))),0))</f>
        <v>3577.7545790657209</v>
      </c>
      <c r="BA28" s="799">
        <f>IF(BA$2=$F28+1,Monthly!AW$21,IF(BA$2&gt;$F28+1,('Traditional Attrition'!AZ28+BA160)*(1-IF(BA$2-$F28&lt;=12,SUMIFS('Attrition Modeling'!$D:$D,'Attrition Modeling'!$B:$B,'Traditional Attrition'!$E28,'Attrition Modeling'!$C:$C,'Traditional Attrition'!BA$1),VLOOKUP('Traditional Attrition'!BA$2-'Traditional Attrition'!$F28-1,'Traditional Attrition'!$A$7:$C$161,2,FALSE)*VLOOKUP(BA$1,'Attrition Modeling'!$L$15:$N$27,IF(BA$2-$F28&lt;=24,2,3),FALSE))*(1+Projection!BC$16)*(1+IF(BA160&gt;0,'Attrition Modeling'!$N$9,0))),0))</f>
        <v>3425.0883697321142</v>
      </c>
      <c r="BB28" s="799">
        <f>IF(BB$2=$F28+1,Monthly!AX$21,IF(BB$2&gt;$F28+1,('Traditional Attrition'!BA28+BB160)*(1-IF(BB$2-$F28&lt;=12,SUMIFS('Attrition Modeling'!$D:$D,'Attrition Modeling'!$B:$B,'Traditional Attrition'!$E28,'Attrition Modeling'!$C:$C,'Traditional Attrition'!BB$1),VLOOKUP('Traditional Attrition'!BB$2-'Traditional Attrition'!$F28-1,'Traditional Attrition'!$A$7:$C$161,2,FALSE)*VLOOKUP(BB$1,'Attrition Modeling'!$L$15:$N$27,IF(BB$2-$F28&lt;=24,2,3),FALSE))*(1+Projection!BD$16)*(1+IF(BB160&gt;0,'Attrition Modeling'!$N$9,0))),0))</f>
        <v>3286.6775815913966</v>
      </c>
      <c r="BC28" s="799">
        <f>IF(BC$2=$F28+1,Monthly!AY$21,IF(BC$2&gt;$F28+1,('Traditional Attrition'!BB28+BC160)*(1-IF(BC$2-$F28&lt;=12,SUMIFS('Attrition Modeling'!$D:$D,'Attrition Modeling'!$B:$B,'Traditional Attrition'!$E28,'Attrition Modeling'!$C:$C,'Traditional Attrition'!BC$1),VLOOKUP('Traditional Attrition'!BC$2-'Traditional Attrition'!$F28-1,'Traditional Attrition'!$A$7:$C$161,2,FALSE)*VLOOKUP(BC$1,'Attrition Modeling'!$L$15:$N$27,IF(BC$2-$F28&lt;=24,2,3),FALSE))*(1+Projection!BE$16)*(1+IF(BC160&gt;0,'Attrition Modeling'!$N$9,0))),0))</f>
        <v>3157.1330121193964</v>
      </c>
      <c r="BD28" s="799">
        <f>IF(BD$2=$F28+1,Monthly!AZ$21,IF(BD$2&gt;$F28+1,('Traditional Attrition'!BC28+BD160)*(1-IF(BD$2-$F28&lt;=12,SUMIFS('Attrition Modeling'!$D:$D,'Attrition Modeling'!$B:$B,'Traditional Attrition'!$E28,'Attrition Modeling'!$C:$C,'Traditional Attrition'!BD$1),VLOOKUP('Traditional Attrition'!BD$2-'Traditional Attrition'!$F28-1,'Traditional Attrition'!$A$7:$C$161,2,FALSE)*VLOOKUP(BD$1,'Attrition Modeling'!$L$15:$N$27,IF(BD$2-$F28&lt;=24,2,3),FALSE))*(1+Projection!BF$16)*(1+IF(BD160&gt;0,'Attrition Modeling'!$N$9,0))),0))</f>
        <v>3034.2301871980135</v>
      </c>
      <c r="BE28" s="799">
        <f>IF(BE$2=$F28+1,Monthly!BA$21,IF(BE$2&gt;$F28+1,('Traditional Attrition'!BD28+BE160)*(1-IF(BE$2-$F28&lt;=12,SUMIFS('Attrition Modeling'!$D:$D,'Attrition Modeling'!$B:$B,'Traditional Attrition'!$E28,'Attrition Modeling'!$C:$C,'Traditional Attrition'!BE$1),VLOOKUP('Traditional Attrition'!BE$2-'Traditional Attrition'!$F28-1,'Traditional Attrition'!$A$7:$C$161,2,FALSE)*VLOOKUP(BE$1,'Attrition Modeling'!$L$15:$N$27,IF(BE$2-$F28&lt;=24,2,3),FALSE))*(1+Projection!BG$16)*(1+IF(BE160&gt;0,'Attrition Modeling'!$N$9,0))),0))</f>
        <v>2928.4273765964117</v>
      </c>
      <c r="BF28" s="799">
        <f>IF(BF$2=$F28+1,Monthly!BB$21,IF(BF$2&gt;$F28+1,('Traditional Attrition'!BE28+BF160)*(1-IF(BF$2-$F28&lt;=12,SUMIFS('Attrition Modeling'!$D:$D,'Attrition Modeling'!$B:$B,'Traditional Attrition'!$E28,'Attrition Modeling'!$C:$C,'Traditional Attrition'!BF$1),VLOOKUP('Traditional Attrition'!BF$2-'Traditional Attrition'!$F28-1,'Traditional Attrition'!$A$7:$C$161,2,FALSE)*VLOOKUP(BF$1,'Attrition Modeling'!$L$15:$N$27,IF(BF$2-$F28&lt;=24,2,3),FALSE))*(1+Projection!BH$16)*(1+IF(BF160&gt;0,'Attrition Modeling'!$N$9,0))),0))</f>
        <v>2831.9687587230947</v>
      </c>
      <c r="BG28" s="799">
        <f>IF(BG$2=$F28+1,Monthly!BC$21,IF(BG$2&gt;$F28+1,('Traditional Attrition'!BF28+BG160)*(1-IF(BG$2-$F28&lt;=12,SUMIFS('Attrition Modeling'!$D:$D,'Attrition Modeling'!$B:$B,'Traditional Attrition'!$E28,'Attrition Modeling'!$C:$C,'Traditional Attrition'!BG$1),VLOOKUP('Traditional Attrition'!BG$2-'Traditional Attrition'!$F28-1,'Traditional Attrition'!$A$7:$C$161,2,FALSE)*VLOOKUP(BG$1,'Attrition Modeling'!$L$15:$N$27,IF(BG$2-$F28&lt;=24,2,3),FALSE))*(1+Projection!BI$16)*(1+IF(BG160&gt;0,'Attrition Modeling'!$N$9,0))),0))</f>
        <v>2758.7899981593328</v>
      </c>
      <c r="BH28" s="799">
        <f>IF(BH$2=$F28+1,Monthly!BD$21,IF(BH$2&gt;$F28+1,('Traditional Attrition'!BG28+BH160)*(1-IF(BH$2-$F28&lt;=12,SUMIFS('Attrition Modeling'!$D:$D,'Attrition Modeling'!$B:$B,'Traditional Attrition'!$E28,'Attrition Modeling'!$C:$C,'Traditional Attrition'!BH$1),VLOOKUP('Traditional Attrition'!BH$2-'Traditional Attrition'!$F28-1,'Traditional Attrition'!$A$7:$C$161,2,FALSE)*VLOOKUP(BH$1,'Attrition Modeling'!$L$15:$N$27,IF(BH$2-$F28&lt;=24,2,3),FALSE))*(1+Projection!BJ$16)*(1+IF(BH160&gt;0,'Attrition Modeling'!$N$9,0))),0))</f>
        <v>2673.8614566657643</v>
      </c>
      <c r="BI28" s="799">
        <f>IF(BI$2=$F28+1,Monthly!BE$21,IF(BI$2&gt;$F28+1,('Traditional Attrition'!BH28+BI160)*(1-IF(BI$2-$F28&lt;=12,SUMIFS('Attrition Modeling'!$D:$D,'Attrition Modeling'!$B:$B,'Traditional Attrition'!$E28,'Attrition Modeling'!$C:$C,'Traditional Attrition'!BI$1),VLOOKUP('Traditional Attrition'!BI$2-'Traditional Attrition'!$F28-1,'Traditional Attrition'!$A$7:$C$161,2,FALSE)*VLOOKUP(BI$1,'Attrition Modeling'!$L$15:$N$27,IF(BI$2-$F28&lt;=24,2,3),FALSE))*(1+Projection!BK$16)*(1+IF(BI160&gt;0,'Attrition Modeling'!$N$9,0))),0))</f>
        <v>2581.1238350613039</v>
      </c>
      <c r="BJ28" s="799">
        <f>IF(BJ$2=$F28+1,Monthly!BF$21,IF(BJ$2&gt;$F28+1,('Traditional Attrition'!BI28+BJ160)*(1-IF(BJ$2-$F28&lt;=12,SUMIFS('Attrition Modeling'!$D:$D,'Attrition Modeling'!$B:$B,'Traditional Attrition'!$E28,'Attrition Modeling'!$C:$C,'Traditional Attrition'!BJ$1),VLOOKUP('Traditional Attrition'!BJ$2-'Traditional Attrition'!$F28-1,'Traditional Attrition'!$A$7:$C$161,2,FALSE)*VLOOKUP(BJ$1,'Attrition Modeling'!$L$15:$N$27,IF(BJ$2-$F28&lt;=24,2,3),FALSE))*(1+Projection!BL$16)*(1+IF(BJ160&gt;0,'Attrition Modeling'!$N$9,0))),0))</f>
        <v>2702.2404205009911</v>
      </c>
      <c r="BK28" s="799">
        <f>IF(BK$2=$F28+1,Monthly!BG$21,IF(BK$2&gt;$F28+1,('Traditional Attrition'!BJ28+BK160)*(1-IF(BK$2-$F28&lt;=12,SUMIFS('Attrition Modeling'!$D:$D,'Attrition Modeling'!$B:$B,'Traditional Attrition'!$E28,'Attrition Modeling'!$C:$C,'Traditional Attrition'!BK$1),VLOOKUP('Traditional Attrition'!BK$2-'Traditional Attrition'!$F28-1,'Traditional Attrition'!$A$7:$C$161,2,FALSE)*VLOOKUP(BK$1,'Attrition Modeling'!$L$15:$N$27,IF(BK$2-$F28&lt;=24,2,3),FALSE))*(1+Projection!BM$16)*(1+IF(BK160&gt;0,'Attrition Modeling'!$N$9,0))),0))</f>
        <v>2595.2852549781633</v>
      </c>
      <c r="BL28" s="799">
        <f>IF(BL$2=$F28+1,Monthly!BH$21,IF(BL$2&gt;$F28+1,('Traditional Attrition'!BK28+BL160)*(1-IF(BL$2-$F28&lt;=12,SUMIFS('Attrition Modeling'!$D:$D,'Attrition Modeling'!$B:$B,'Traditional Attrition'!$E28,'Attrition Modeling'!$C:$C,'Traditional Attrition'!BL$1),VLOOKUP('Traditional Attrition'!BL$2-'Traditional Attrition'!$F28-1,'Traditional Attrition'!$A$7:$C$161,2,FALSE)*VLOOKUP(BL$1,'Attrition Modeling'!$L$15:$N$27,IF(BL$2-$F28&lt;=24,2,3),FALSE))*(1+Projection!BN$16)*(1+IF(BL160&gt;0,'Attrition Modeling'!$N$9,0))),0))</f>
        <v>2499.9732587137537</v>
      </c>
      <c r="BM28" s="799">
        <f>IF(BM$2=$F28+1,Monthly!BI$21,IF(BM$2&gt;$F28+1,('Traditional Attrition'!BL28+BM160)*(1-IF(BM$2-$F28&lt;=12,SUMIFS('Attrition Modeling'!$D:$D,'Attrition Modeling'!$B:$B,'Traditional Attrition'!$E28,'Attrition Modeling'!$C:$C,'Traditional Attrition'!BM$1),VLOOKUP('Traditional Attrition'!BM$2-'Traditional Attrition'!$F28-1,'Traditional Attrition'!$A$7:$C$161,2,FALSE)*VLOOKUP(BM$1,'Attrition Modeling'!$L$15:$N$27,IF(BM$2-$F28&lt;=24,2,3),FALSE))*(1+Projection!BO$16)*(1+IF(BM160&gt;0,'Attrition Modeling'!$N$9,0))),0))</f>
        <v>2412.3610804038494</v>
      </c>
      <c r="BN28" s="799">
        <f>IF(BN$2=$F28+1,Monthly!BJ$21,IF(BN$2&gt;$F28+1,('Traditional Attrition'!BM28+BN160)*(1-IF(BN$2-$F28&lt;=12,SUMIFS('Attrition Modeling'!$D:$D,'Attrition Modeling'!$B:$B,'Traditional Attrition'!$E28,'Attrition Modeling'!$C:$C,'Traditional Attrition'!BN$1),VLOOKUP('Traditional Attrition'!BN$2-'Traditional Attrition'!$F28-1,'Traditional Attrition'!$A$7:$C$161,2,FALSE)*VLOOKUP(BN$1,'Attrition Modeling'!$L$15:$N$27,IF(BN$2-$F28&lt;=24,2,3),FALSE))*(1+Projection!BP$16)*(1+IF(BN160&gt;0,'Attrition Modeling'!$N$9,0))),0))</f>
        <v>2330.6785493768098</v>
      </c>
      <c r="BO28" s="799">
        <f>IF(BO$2=$F28+1,Monthly!BK$21,IF(BO$2&gt;$F28+1,('Traditional Attrition'!BN28+BO160)*(1-IF(BO$2-$F28&lt;=12,SUMIFS('Attrition Modeling'!$D:$D,'Attrition Modeling'!$B:$B,'Traditional Attrition'!$E28,'Attrition Modeling'!$C:$C,'Traditional Attrition'!BO$1),VLOOKUP('Traditional Attrition'!BO$2-'Traditional Attrition'!$F28-1,'Traditional Attrition'!$A$7:$C$161,2,FALSE)*VLOOKUP(BO$1,'Attrition Modeling'!$L$15:$N$27,IF(BO$2-$F28&lt;=24,2,3),FALSE))*(1+Projection!BV$16)*(1+IF(BO160&gt;0,'Attrition Modeling'!$N$9,0))),0))</f>
        <v>2266.3772507313388</v>
      </c>
      <c r="BP28" s="799">
        <f>IF(BP$2=$F28+1,Monthly!BL$21,IF(BP$2&gt;$F28+1,('Traditional Attrition'!BO28+BP160)*(1-IF(BP$2-$F28&lt;=12,SUMIFS('Attrition Modeling'!$D:$D,'Attrition Modeling'!$B:$B,'Traditional Attrition'!$E28,'Attrition Modeling'!$C:$C,'Traditional Attrition'!BP$1),VLOOKUP('Traditional Attrition'!BP$2-'Traditional Attrition'!$F28-1,'Traditional Attrition'!$A$7:$C$161,2,FALSE)*VLOOKUP(BP$1,'Attrition Modeling'!$L$15:$N$27,IF(BP$2-$F28&lt;=24,2,3),FALSE))*(1+Projection!BW$16)*(1+IF(BP160&gt;0,'Attrition Modeling'!$N$9,0))),0))</f>
        <v>2197.9169703406305</v>
      </c>
      <c r="BQ28" s="799">
        <f>IF(BQ$2=$F28+1,Monthly!BM$21,IF(BQ$2&gt;$F28+1,('Traditional Attrition'!BP28+BQ160)*(1-IF(BQ$2-$F28&lt;=12,SUMIFS('Attrition Modeling'!$D:$D,'Attrition Modeling'!$B:$B,'Traditional Attrition'!$E28,'Attrition Modeling'!$C:$C,'Traditional Attrition'!BQ$1),VLOOKUP('Traditional Attrition'!BQ$2-'Traditional Attrition'!$F28-1,'Traditional Attrition'!$A$7:$C$161,2,FALSE)*VLOOKUP(BQ$1,'Attrition Modeling'!$L$15:$N$27,IF(BQ$2-$F28&lt;=24,2,3),FALSE))*(1+Projection!BX$16)*(1+IF(BQ160&gt;0,'Attrition Modeling'!$N$9,0))),0))</f>
        <v>2134.3042936487686</v>
      </c>
      <c r="BR28" s="799">
        <f>IF(BR$2=$F28+1,Monthly!BN$21,IF(BR$2&gt;$F28+1,('Traditional Attrition'!BQ28+BR160)*(1-IF(BR$2-$F28&lt;=12,SUMIFS('Attrition Modeling'!$D:$D,'Attrition Modeling'!$B:$B,'Traditional Attrition'!$E28,'Attrition Modeling'!$C:$C,'Traditional Attrition'!BR$1),VLOOKUP('Traditional Attrition'!BR$2-'Traditional Attrition'!$F28-1,'Traditional Attrition'!$A$7:$C$161,2,FALSE)*VLOOKUP(BR$1,'Attrition Modeling'!$L$15:$N$27,IF(BR$2-$F28&lt;=24,2,3),FALSE))*(1+Projection!BY$16)*(1+IF(BR160&gt;0,'Attrition Modeling'!$N$9,0))),0))</f>
        <v>2075.7590944224098</v>
      </c>
      <c r="BS28" s="799">
        <f>IF(BS$2=$F28+1,Monthly!BO$21,IF(BS$2&gt;$F28+1,('Traditional Attrition'!BR28+BS160)*(1-IF(BS$2-$F28&lt;=12,SUMIFS('Attrition Modeling'!$D:$D,'Attrition Modeling'!$B:$B,'Traditional Attrition'!$E28,'Attrition Modeling'!$C:$C,'Traditional Attrition'!BS$1),VLOOKUP('Traditional Attrition'!BS$2-'Traditional Attrition'!$F28-1,'Traditional Attrition'!$A$7:$C$161,2,FALSE)*VLOOKUP(BS$1,'Attrition Modeling'!$L$15:$N$27,IF(BS$2-$F28&lt;=24,2,3),FALSE))*(1+Projection!BZ$16)*(1+IF(BS160&gt;0,'Attrition Modeling'!$N$9,0))),0))</f>
        <v>2030.9510716752923</v>
      </c>
      <c r="BT28" s="799">
        <f>IF(BT$2=$F28+1,Monthly!#REF!,IF(BT$2&gt;$F28+1,('Traditional Attrition'!BS28+BT160)*(1-IF(BT$2-$F28&lt;=12,SUMIFS('Attrition Modeling'!$D:$D,'Attrition Modeling'!$B:$B,'Traditional Attrition'!$E28,'Attrition Modeling'!$C:$C,'Traditional Attrition'!BT$1),VLOOKUP('Traditional Attrition'!BT$2-'Traditional Attrition'!$F28-1,'Traditional Attrition'!$A$7:$C$161,2,FALSE)*VLOOKUP(BT$1,'Attrition Modeling'!$L$15:$N$27,IF(BT$2-$F28&lt;=24,2,3),FALSE))*(1+Projection!CA$16)*(1+IF(BT160&gt;0,'Attrition Modeling'!$N$9,0))),0))</f>
        <v>1978.5683823887573</v>
      </c>
      <c r="BU28" s="799">
        <f>IF(BU$2=$F28+1,Monthly!#REF!,IF(BU$2&gt;$F28+1,('Traditional Attrition'!BT28+BU160)*(1-IF(BU$2-$F28&lt;=12,SUMIFS('Attrition Modeling'!$D:$D,'Attrition Modeling'!$B:$B,'Traditional Attrition'!$E28,'Attrition Modeling'!$C:$C,'Traditional Attrition'!BU$1),VLOOKUP('Traditional Attrition'!BU$2-'Traditional Attrition'!$F28-1,'Traditional Attrition'!$A$7:$C$161,2,FALSE)*VLOOKUP(BU$1,'Attrition Modeling'!$L$15:$N$27,IF(BU$2-$F28&lt;=24,2,3),FALSE))*(1+Projection!CB$16)*(1+IF(BU160&gt;0,'Attrition Modeling'!$N$9,0))),0))</f>
        <v>1920.9160679864233</v>
      </c>
    </row>
    <row r="29" spans="1:73" ht="14.25" customHeight="1" x14ac:dyDescent="0.2">
      <c r="A29" s="9">
        <v>22</v>
      </c>
      <c r="B29" s="25">
        <f>MAX('Attrition Modeling'!H26,$C$3)*(1-Summary!$C$20)</f>
        <v>3.9935061587350051E-2</v>
      </c>
      <c r="C29" s="24" t="e">
        <f t="shared" si="4"/>
        <v>#DIV/0!</v>
      </c>
      <c r="E29" s="11">
        <f t="shared" si="2"/>
        <v>2</v>
      </c>
      <c r="F29" s="11">
        <f t="shared" si="3"/>
        <v>26</v>
      </c>
      <c r="G29" s="799"/>
      <c r="H29" s="799">
        <f>IF(H$2=$F29+1,Monthly!D$21,IF(H$2&gt;$F29+1,('Traditional Attrition'!G29+H161)*(1-IF(H$2-$F29&lt;=12,SUMIFS('Attrition Modeling'!$D:$D,'Attrition Modeling'!$B:$B,'Traditional Attrition'!$E29,'Attrition Modeling'!$C:$C,'Traditional Attrition'!H$1),VLOOKUP('Traditional Attrition'!H$2-'Traditional Attrition'!$F29-1,'Traditional Attrition'!$A$7:$C$161,2,FALSE)*VLOOKUP(H$1,'Attrition Modeling'!$L$15:$N$27,IF(H$2-$F29&lt;=24,2,3),FALSE))*(1+Projection!J$16)*(1+IF(H161&gt;0,'Attrition Modeling'!$N$9,0))),0))</f>
        <v>0</v>
      </c>
      <c r="I29" s="799">
        <f>IF(I$2=$F29+1,Monthly!E$21,IF(I$2&gt;$F29+1,('Traditional Attrition'!H29+I161)*(1-IF(I$2-$F29&lt;=12,SUMIFS('Attrition Modeling'!$D:$D,'Attrition Modeling'!$B:$B,'Traditional Attrition'!$E29,'Attrition Modeling'!$C:$C,'Traditional Attrition'!I$1),VLOOKUP('Traditional Attrition'!I$2-'Traditional Attrition'!$F29-1,'Traditional Attrition'!$A$7:$C$161,2,FALSE)*VLOOKUP(I$1,'Attrition Modeling'!$L$15:$N$27,IF(I$2-$F29&lt;=24,2,3),FALSE))*(1+Projection!K$16)*(1+IF(I161&gt;0,'Attrition Modeling'!$N$9,0))),0))</f>
        <v>0</v>
      </c>
      <c r="J29" s="799">
        <f>IF(J$2=$F29+1,Monthly!F$21,IF(J$2&gt;$F29+1,('Traditional Attrition'!I29+J161)*(1-IF(J$2-$F29&lt;=12,SUMIFS('Attrition Modeling'!$D:$D,'Attrition Modeling'!$B:$B,'Traditional Attrition'!$E29,'Attrition Modeling'!$C:$C,'Traditional Attrition'!J$1),VLOOKUP('Traditional Attrition'!J$2-'Traditional Attrition'!$F29-1,'Traditional Attrition'!$A$7:$C$161,2,FALSE)*VLOOKUP(J$1,'Attrition Modeling'!$L$15:$N$27,IF(J$2-$F29&lt;=24,2,3),FALSE))*(1+Projection!L$16)*(1+IF(J161&gt;0,'Attrition Modeling'!$N$9,0))),0))</f>
        <v>0</v>
      </c>
      <c r="K29" s="799">
        <f>IF(K$2=$F29+1,Monthly!G$21,IF(K$2&gt;$F29+1,('Traditional Attrition'!J29+K161)*(1-IF(K$2-$F29&lt;=12,SUMIFS('Attrition Modeling'!$D:$D,'Attrition Modeling'!$B:$B,'Traditional Attrition'!$E29,'Attrition Modeling'!$C:$C,'Traditional Attrition'!K$1),VLOOKUP('Traditional Attrition'!K$2-'Traditional Attrition'!$F29-1,'Traditional Attrition'!$A$7:$C$161,2,FALSE)*VLOOKUP(K$1,'Attrition Modeling'!$L$15:$N$27,IF(K$2-$F29&lt;=24,2,3),FALSE))*(1+Projection!M$16)*(1+IF(K161&gt;0,'Attrition Modeling'!$N$9,0))),0))</f>
        <v>0</v>
      </c>
      <c r="L29" s="799">
        <f>IF(L$2=$F29+1,Monthly!H$21,IF(L$2&gt;$F29+1,('Traditional Attrition'!K29+L161)*(1-IF(L$2-$F29&lt;=12,SUMIFS('Attrition Modeling'!$D:$D,'Attrition Modeling'!$B:$B,'Traditional Attrition'!$E29,'Attrition Modeling'!$C:$C,'Traditional Attrition'!L$1),VLOOKUP('Traditional Attrition'!L$2-'Traditional Attrition'!$F29-1,'Traditional Attrition'!$A$7:$C$161,2,FALSE)*VLOOKUP(L$1,'Attrition Modeling'!$L$15:$N$27,IF(L$2-$F29&lt;=24,2,3),FALSE))*(1+Projection!N$16)*(1+IF(L161&gt;0,'Attrition Modeling'!$N$9,0))),0))</f>
        <v>0</v>
      </c>
      <c r="M29" s="799">
        <f>IF(M$2=$F29+1,Monthly!I$21,IF(M$2&gt;$F29+1,('Traditional Attrition'!L29+M161)*(1-IF(M$2-$F29&lt;=12,SUMIFS('Attrition Modeling'!$D:$D,'Attrition Modeling'!$B:$B,'Traditional Attrition'!$E29,'Attrition Modeling'!$C:$C,'Traditional Attrition'!M$1),VLOOKUP('Traditional Attrition'!M$2-'Traditional Attrition'!$F29-1,'Traditional Attrition'!$A$7:$C$161,2,FALSE)*VLOOKUP(M$1,'Attrition Modeling'!$L$15:$N$27,IF(M$2-$F29&lt;=24,2,3),FALSE))*(1+Projection!O$16)*(1+IF(M161&gt;0,'Attrition Modeling'!$N$9,0))),0))</f>
        <v>0</v>
      </c>
      <c r="N29" s="799">
        <f>IF(N$2=$F29+1,Monthly!J$21,IF(N$2&gt;$F29+1,('Traditional Attrition'!M29+N161)*(1-IF(N$2-$F29&lt;=12,SUMIFS('Attrition Modeling'!$D:$D,'Attrition Modeling'!$B:$B,'Traditional Attrition'!$E29,'Attrition Modeling'!$C:$C,'Traditional Attrition'!N$1),VLOOKUP('Traditional Attrition'!N$2-'Traditional Attrition'!$F29-1,'Traditional Attrition'!$A$7:$C$161,2,FALSE)*VLOOKUP(N$1,'Attrition Modeling'!$L$15:$N$27,IF(N$2-$F29&lt;=24,2,3),FALSE))*(1+Projection!P$16)*(1+IF(N161&gt;0,'Attrition Modeling'!$N$9,0))),0))</f>
        <v>0</v>
      </c>
      <c r="O29" s="799">
        <f>IF(O$2=$F29+1,Monthly!K$21,IF(O$2&gt;$F29+1,('Traditional Attrition'!N29+O161)*(1-IF(O$2-$F29&lt;=12,SUMIFS('Attrition Modeling'!$D:$D,'Attrition Modeling'!$B:$B,'Traditional Attrition'!$E29,'Attrition Modeling'!$C:$C,'Traditional Attrition'!O$1),VLOOKUP('Traditional Attrition'!O$2-'Traditional Attrition'!$F29-1,'Traditional Attrition'!$A$7:$C$161,2,FALSE)*VLOOKUP(O$1,'Attrition Modeling'!$L$15:$N$27,IF(O$2-$F29&lt;=24,2,3),FALSE))*(1+Projection!Q$16)*(1+IF(O161&gt;0,'Attrition Modeling'!$N$9,0))),0))</f>
        <v>0</v>
      </c>
      <c r="P29" s="799">
        <f>IF(P$2=$F29+1,Monthly!L$21,IF(P$2&gt;$F29+1,('Traditional Attrition'!O29+P161)*(1-IF(P$2-$F29&lt;=12,SUMIFS('Attrition Modeling'!$D:$D,'Attrition Modeling'!$B:$B,'Traditional Attrition'!$E29,'Attrition Modeling'!$C:$C,'Traditional Attrition'!P$1),VLOOKUP('Traditional Attrition'!P$2-'Traditional Attrition'!$F29-1,'Traditional Attrition'!$A$7:$C$161,2,FALSE)*VLOOKUP(P$1,'Attrition Modeling'!$L$15:$N$27,IF(P$2-$F29&lt;=24,2,3),FALSE))*(1+Projection!R$16)*(1+IF(P161&gt;0,'Attrition Modeling'!$N$9,0))),0))</f>
        <v>0</v>
      </c>
      <c r="Q29" s="799">
        <f>IF(Q$2=$F29+1,Monthly!M$21,IF(Q$2&gt;$F29+1,('Traditional Attrition'!P29+Q161)*(1-IF(Q$2-$F29&lt;=12,SUMIFS('Attrition Modeling'!$D:$D,'Attrition Modeling'!$B:$B,'Traditional Attrition'!$E29,'Attrition Modeling'!$C:$C,'Traditional Attrition'!Q$1),VLOOKUP('Traditional Attrition'!Q$2-'Traditional Attrition'!$F29-1,'Traditional Attrition'!$A$7:$C$161,2,FALSE)*VLOOKUP(Q$1,'Attrition Modeling'!$L$15:$N$27,IF(Q$2-$F29&lt;=24,2,3),FALSE))*(1+Projection!S$16)*(1+IF(Q161&gt;0,'Attrition Modeling'!$N$9,0))),0))</f>
        <v>0</v>
      </c>
      <c r="R29" s="799">
        <f>IF(R$2=$F29+1,Monthly!N$21,IF(R$2&gt;$F29+1,('Traditional Attrition'!Q29+R161)*(1-IF(R$2-$F29&lt;=12,SUMIFS('Attrition Modeling'!$D:$D,'Attrition Modeling'!$B:$B,'Traditional Attrition'!$E29,'Attrition Modeling'!$C:$C,'Traditional Attrition'!R$1),VLOOKUP('Traditional Attrition'!R$2-'Traditional Attrition'!$F29-1,'Traditional Attrition'!$A$7:$C$161,2,FALSE)*VLOOKUP(R$1,'Attrition Modeling'!$L$15:$N$27,IF(R$2-$F29&lt;=24,2,3),FALSE))*(1+Projection!T$16)*(1+IF(R161&gt;0,'Attrition Modeling'!$N$9,0))),0))</f>
        <v>0</v>
      </c>
      <c r="S29" s="799">
        <f>IF(S$2=$F29+1,Monthly!O$21,IF(S$2&gt;$F29+1,('Traditional Attrition'!R29+S161)*(1-IF(S$2-$F29&lt;=12,SUMIFS('Attrition Modeling'!$D:$D,'Attrition Modeling'!$B:$B,'Traditional Attrition'!$E29,'Attrition Modeling'!$C:$C,'Traditional Attrition'!S$1),VLOOKUP('Traditional Attrition'!S$2-'Traditional Attrition'!$F29-1,'Traditional Attrition'!$A$7:$C$161,2,FALSE)*VLOOKUP(S$1,'Attrition Modeling'!$L$15:$N$27,IF(S$2-$F29&lt;=24,2,3),FALSE))*(1+Projection!U$16)*(1+IF(S161&gt;0,'Attrition Modeling'!$N$9,0))),0))</f>
        <v>0</v>
      </c>
      <c r="T29" s="799">
        <f>IF(T$2=$F29+1,Monthly!P$21,IF(T$2&gt;$F29+1,('Traditional Attrition'!S29+T161)*(1-IF(T$2-$F29&lt;=12,SUMIFS('Attrition Modeling'!$D:$D,'Attrition Modeling'!$B:$B,'Traditional Attrition'!$E29,'Attrition Modeling'!$C:$C,'Traditional Attrition'!T$1),VLOOKUP('Traditional Attrition'!T$2-'Traditional Attrition'!$F29-1,'Traditional Attrition'!$A$7:$C$161,2,FALSE)*VLOOKUP(T$1,'Attrition Modeling'!$L$15:$N$27,IF(T$2-$F29&lt;=24,2,3),FALSE))*(1+Projection!V$16)*(1+IF(T161&gt;0,'Attrition Modeling'!$N$9,0))),0))</f>
        <v>0</v>
      </c>
      <c r="U29" s="799">
        <f>IF(U$2=$F29+1,Monthly!Q$21,IF(U$2&gt;$F29+1,('Traditional Attrition'!T29+U161)*(1-IF(U$2-$F29&lt;=12,SUMIFS('Attrition Modeling'!$D:$D,'Attrition Modeling'!$B:$B,'Traditional Attrition'!$E29,'Attrition Modeling'!$C:$C,'Traditional Attrition'!U$1),VLOOKUP('Traditional Attrition'!U$2-'Traditional Attrition'!$F29-1,'Traditional Attrition'!$A$7:$C$161,2,FALSE)*VLOOKUP(U$1,'Attrition Modeling'!$L$15:$N$27,IF(U$2-$F29&lt;=24,2,3),FALSE))*(1+Projection!W$16)*(1+IF(U161&gt;0,'Attrition Modeling'!$N$9,0))),0))</f>
        <v>0</v>
      </c>
      <c r="V29" s="799">
        <f>IF(V$2=$F29+1,Monthly!R$21,IF(V$2&gt;$F29+1,('Traditional Attrition'!U29+V161)*(1-IF(V$2-$F29&lt;=12,SUMIFS('Attrition Modeling'!$D:$D,'Attrition Modeling'!$B:$B,'Traditional Attrition'!$E29,'Attrition Modeling'!$C:$C,'Traditional Attrition'!V$1),VLOOKUP('Traditional Attrition'!V$2-'Traditional Attrition'!$F29-1,'Traditional Attrition'!$A$7:$C$161,2,FALSE)*VLOOKUP(V$1,'Attrition Modeling'!$L$15:$N$27,IF(V$2-$F29&lt;=24,2,3),FALSE))*(1+Projection!X$16)*(1+IF(V161&gt;0,'Attrition Modeling'!$N$9,0))),0))</f>
        <v>0</v>
      </c>
      <c r="W29" s="799">
        <f>IF(W$2=$F29+1,Monthly!S$21,IF(W$2&gt;$F29+1,('Traditional Attrition'!V29+W161)*(1-IF(W$2-$F29&lt;=12,SUMIFS('Attrition Modeling'!$D:$D,'Attrition Modeling'!$B:$B,'Traditional Attrition'!$E29,'Attrition Modeling'!$C:$C,'Traditional Attrition'!W$1),VLOOKUP('Traditional Attrition'!W$2-'Traditional Attrition'!$F29-1,'Traditional Attrition'!$A$7:$C$161,2,FALSE)*VLOOKUP(W$1,'Attrition Modeling'!$L$15:$N$27,IF(W$2-$F29&lt;=24,2,3),FALSE))*(1+Projection!Y$16)*(1+IF(W161&gt;0,'Attrition Modeling'!$N$9,0))),0))</f>
        <v>0</v>
      </c>
      <c r="X29" s="799">
        <f>IF(X$2=$F29+1,Monthly!T$21,IF(X$2&gt;$F29+1,('Traditional Attrition'!W29+X161)*(1-IF(X$2-$F29&lt;=12,SUMIFS('Attrition Modeling'!$D:$D,'Attrition Modeling'!$B:$B,'Traditional Attrition'!$E29,'Attrition Modeling'!$C:$C,'Traditional Attrition'!X$1),VLOOKUP('Traditional Attrition'!X$2-'Traditional Attrition'!$F29-1,'Traditional Attrition'!$A$7:$C$161,2,FALSE)*VLOOKUP(X$1,'Attrition Modeling'!$L$15:$N$27,IF(X$2-$F29&lt;=24,2,3),FALSE))*(1+Projection!Z$16)*(1+IF(X161&gt;0,'Attrition Modeling'!$N$9,0))),0))</f>
        <v>0</v>
      </c>
      <c r="Y29" s="799">
        <f>IF(Y$2=$F29+1,Monthly!U$21,IF(Y$2&gt;$F29+1,('Traditional Attrition'!X29+Y161)*(1-IF(Y$2-$F29&lt;=12,SUMIFS('Attrition Modeling'!$D:$D,'Attrition Modeling'!$B:$B,'Traditional Attrition'!$E29,'Attrition Modeling'!$C:$C,'Traditional Attrition'!Y$1),VLOOKUP('Traditional Attrition'!Y$2-'Traditional Attrition'!$F29-1,'Traditional Attrition'!$A$7:$C$161,2,FALSE)*VLOOKUP(Y$1,'Attrition Modeling'!$L$15:$N$27,IF(Y$2-$F29&lt;=24,2,3),FALSE))*(1+Projection!AA$16)*(1+IF(Y161&gt;0,'Attrition Modeling'!$N$9,0))),0))</f>
        <v>0</v>
      </c>
      <c r="Z29" s="799">
        <f>IF(Z$2=$F29+1,Monthly!V$21,IF(Z$2&gt;$F29+1,('Traditional Attrition'!Y29+Z161)*(1-IF(Z$2-$F29&lt;=12,SUMIFS('Attrition Modeling'!$D:$D,'Attrition Modeling'!$B:$B,'Traditional Attrition'!$E29,'Attrition Modeling'!$C:$C,'Traditional Attrition'!Z$1),VLOOKUP('Traditional Attrition'!Z$2-'Traditional Attrition'!$F29-1,'Traditional Attrition'!$A$7:$C$161,2,FALSE)*VLOOKUP(Z$1,'Attrition Modeling'!$L$15:$N$27,IF(Z$2-$F29&lt;=24,2,3),FALSE))*(1+Projection!AB$16)*(1+IF(Z161&gt;0,'Attrition Modeling'!$N$9,0))),0))</f>
        <v>0</v>
      </c>
      <c r="AA29" s="799">
        <f>IF(AA$2=$F29+1,Monthly!W$21,IF(AA$2&gt;$F29+1,('Traditional Attrition'!Z29+AA161)*(1-IF(AA$2-$F29&lt;=12,SUMIFS('Attrition Modeling'!$D:$D,'Attrition Modeling'!$B:$B,'Traditional Attrition'!$E29,'Attrition Modeling'!$C:$C,'Traditional Attrition'!AA$1),VLOOKUP('Traditional Attrition'!AA$2-'Traditional Attrition'!$F29-1,'Traditional Attrition'!$A$7:$C$161,2,FALSE)*VLOOKUP(AA$1,'Attrition Modeling'!$L$15:$N$27,IF(AA$2-$F29&lt;=24,2,3),FALSE))*(1+Projection!AC$16)*(1+IF(AA161&gt;0,'Attrition Modeling'!$N$9,0))),0))</f>
        <v>0</v>
      </c>
      <c r="AB29" s="799">
        <f>IF(AB$2=$F29+1,Monthly!X$21,IF(AB$2&gt;$F29+1,('Traditional Attrition'!AA29+AB161)*(1-IF(AB$2-$F29&lt;=12,SUMIFS('Attrition Modeling'!$D:$D,'Attrition Modeling'!$B:$B,'Traditional Attrition'!$E29,'Attrition Modeling'!$C:$C,'Traditional Attrition'!AB$1),VLOOKUP('Traditional Attrition'!AB$2-'Traditional Attrition'!$F29-1,'Traditional Attrition'!$A$7:$C$161,2,FALSE)*VLOOKUP(AB$1,'Attrition Modeling'!$L$15:$N$27,IF(AB$2-$F29&lt;=24,2,3),FALSE))*(1+Projection!AD$16)*(1+IF(AB161&gt;0,'Attrition Modeling'!$N$9,0))),0))</f>
        <v>0</v>
      </c>
      <c r="AC29" s="799">
        <f>IF(AC$2=$F29+1,Monthly!Y$21,IF(AC$2&gt;$F29+1,('Traditional Attrition'!AB29+AC161)*(1-IF(AC$2-$F29&lt;=12,SUMIFS('Attrition Modeling'!$D:$D,'Attrition Modeling'!$B:$B,'Traditional Attrition'!$E29,'Attrition Modeling'!$C:$C,'Traditional Attrition'!AC$1),VLOOKUP('Traditional Attrition'!AC$2-'Traditional Attrition'!$F29-1,'Traditional Attrition'!$A$7:$C$161,2,FALSE)*VLOOKUP(AC$1,'Attrition Modeling'!$L$15:$N$27,IF(AC$2-$F29&lt;=24,2,3),FALSE))*(1+Projection!AE$16)*(1+IF(AC161&gt;0,'Attrition Modeling'!$N$9,0))),0))</f>
        <v>0</v>
      </c>
      <c r="AD29" s="799">
        <f>IF(AD$2=$F29+1,Monthly!Z$21,IF(AD$2&gt;$F29+1,('Traditional Attrition'!AC29+AD161)*(1-IF(AD$2-$F29&lt;=12,SUMIFS('Attrition Modeling'!$D:$D,'Attrition Modeling'!$B:$B,'Traditional Attrition'!$E29,'Attrition Modeling'!$C:$C,'Traditional Attrition'!AD$1),VLOOKUP('Traditional Attrition'!AD$2-'Traditional Attrition'!$F29-1,'Traditional Attrition'!$A$7:$C$161,2,FALSE)*VLOOKUP(AD$1,'Attrition Modeling'!$L$15:$N$27,IF(AD$2-$F29&lt;=24,2,3),FALSE))*(1+Projection!AF$16)*(1+IF(AD161&gt;0,'Attrition Modeling'!$N$9,0))),0))</f>
        <v>0</v>
      </c>
      <c r="AE29" s="799">
        <f>IF(AE$2=$F29+1,Monthly!AA$21,IF(AE$2&gt;$F29+1,('Traditional Attrition'!AD29+AE161)*(1-IF(AE$2-$F29&lt;=12,SUMIFS('Attrition Modeling'!$D:$D,'Attrition Modeling'!$B:$B,'Traditional Attrition'!$E29,'Attrition Modeling'!$C:$C,'Traditional Attrition'!AE$1),VLOOKUP('Traditional Attrition'!AE$2-'Traditional Attrition'!$F29-1,'Traditional Attrition'!$A$7:$C$161,2,FALSE)*VLOOKUP(AE$1,'Attrition Modeling'!$L$15:$N$27,IF(AE$2-$F29&lt;=24,2,3),FALSE))*(1+Projection!AG$16)*(1+IF(AE161&gt;0,'Attrition Modeling'!$N$9,0))),0))</f>
        <v>0</v>
      </c>
      <c r="AF29" s="799">
        <f>IF(AF$2=$F29+1,Monthly!AB$21,IF(AF$2&gt;$F29+1,('Traditional Attrition'!AE29+AF161)*(1-IF(AF$2-$F29&lt;=12,SUMIFS('Attrition Modeling'!$D:$D,'Attrition Modeling'!$B:$B,'Traditional Attrition'!$E29,'Attrition Modeling'!$C:$C,'Traditional Attrition'!AF$1),VLOOKUP('Traditional Attrition'!AF$2-'Traditional Attrition'!$F29-1,'Traditional Attrition'!$A$7:$C$161,2,FALSE)*VLOOKUP(AF$1,'Attrition Modeling'!$L$15:$N$27,IF(AF$2-$F29&lt;=24,2,3),FALSE))*(1+Projection!AH$16)*(1+IF(AF161&gt;0,'Attrition Modeling'!$N$9,0))),0))</f>
        <v>0</v>
      </c>
      <c r="AG29" s="799">
        <f>IF(AG$2=$F29+1,Monthly!AC$21,IF(AG$2&gt;$F29+1,('Traditional Attrition'!AF29+AG161)*(1-IF(AG$2-$F29&lt;=12,SUMIFS('Attrition Modeling'!$D:$D,'Attrition Modeling'!$B:$B,'Traditional Attrition'!$E29,'Attrition Modeling'!$C:$C,'Traditional Attrition'!AG$1),VLOOKUP('Traditional Attrition'!AG$2-'Traditional Attrition'!$F29-1,'Traditional Attrition'!$A$7:$C$161,2,FALSE)*VLOOKUP(AG$1,'Attrition Modeling'!$L$15:$N$27,IF(AG$2-$F29&lt;=24,2,3),FALSE))*(1+Projection!AI$16)*(1+IF(AG161&gt;0,'Attrition Modeling'!$N$9,0))),0))</f>
        <v>0</v>
      </c>
      <c r="AH29" s="799">
        <f>IF(AH$2=$F29+1,Monthly!AD$21,IF(AH$2&gt;$F29+1,('Traditional Attrition'!AG29+AH161)*(1-IF(AH$2-$F29&lt;=12,SUMIFS('Attrition Modeling'!$D:$D,'Attrition Modeling'!$B:$B,'Traditional Attrition'!$E29,'Attrition Modeling'!$C:$C,'Traditional Attrition'!AH$1),VLOOKUP('Traditional Attrition'!AH$2-'Traditional Attrition'!$F29-1,'Traditional Attrition'!$A$7:$C$161,2,FALSE)*VLOOKUP(AH$1,'Attrition Modeling'!$L$15:$N$27,IF(AH$2-$F29&lt;=24,2,3),FALSE))*(1+Projection!AJ$16)*(1+IF(AH161&gt;0,'Attrition Modeling'!$N$9,0))),0))</f>
        <v>12172.751529369185</v>
      </c>
      <c r="AI29" s="799">
        <f>IF(AI$2=$F29+1,Monthly!AE$21,IF(AI$2&gt;$F29+1,('Traditional Attrition'!AH29+AI161)*(1-IF(AI$2-$F29&lt;=12,SUMIFS('Attrition Modeling'!$D:$D,'Attrition Modeling'!$B:$B,'Traditional Attrition'!$E29,'Attrition Modeling'!$C:$C,'Traditional Attrition'!AI$1),VLOOKUP('Traditional Attrition'!AI$2-'Traditional Attrition'!$F29-1,'Traditional Attrition'!$A$7:$C$161,2,FALSE)*VLOOKUP(AI$1,'Attrition Modeling'!$L$15:$N$27,IF(AI$2-$F29&lt;=24,2,3),FALSE))*(1+Projection!AK$16)*(1+IF(AI161&gt;0,'Attrition Modeling'!$N$9,0))),0))</f>
        <v>10987.17665596505</v>
      </c>
      <c r="AJ29" s="799">
        <f>IF(AJ$2=$F29+1,Monthly!AF$21,IF(AJ$2&gt;$F29+1,('Traditional Attrition'!AI29+AJ161)*(1-IF(AJ$2-$F29&lt;=12,SUMIFS('Attrition Modeling'!$D:$D,'Attrition Modeling'!$B:$B,'Traditional Attrition'!$E29,'Attrition Modeling'!$C:$C,'Traditional Attrition'!AJ$1),VLOOKUP('Traditional Attrition'!AJ$2-'Traditional Attrition'!$F29-1,'Traditional Attrition'!$A$7:$C$161,2,FALSE)*VLOOKUP(AJ$1,'Attrition Modeling'!$L$15:$N$27,IF(AJ$2-$F29&lt;=24,2,3),FALSE))*(1+Projection!AL$16)*(1+IF(AJ161&gt;0,'Attrition Modeling'!$N$9,0))),0))</f>
        <v>10049.81754571218</v>
      </c>
      <c r="AK29" s="799">
        <f>IF(AK$2=$F29+1,Monthly!AG$21,IF(AK$2&gt;$F29+1,('Traditional Attrition'!AJ29+AK161)*(1-IF(AK$2-$F29&lt;=12,SUMIFS('Attrition Modeling'!$D:$D,'Attrition Modeling'!$B:$B,'Traditional Attrition'!$E29,'Attrition Modeling'!$C:$C,'Traditional Attrition'!AK$1),VLOOKUP('Traditional Attrition'!AK$2-'Traditional Attrition'!$F29-1,'Traditional Attrition'!$A$7:$C$161,2,FALSE)*VLOOKUP(AK$1,'Attrition Modeling'!$L$15:$N$27,IF(AK$2-$F29&lt;=24,2,3),FALSE))*(1+Projection!AM$16)*(1+IF(AK161&gt;0,'Attrition Modeling'!$N$9,0))),0))</f>
        <v>9115.9208640925226</v>
      </c>
      <c r="AL29" s="799">
        <f>IF(AL$2=$F29+1,Monthly!AH$21,IF(AL$2&gt;$F29+1,('Traditional Attrition'!AK29+AL161)*(1-IF(AL$2-$F29&lt;=12,SUMIFS('Attrition Modeling'!$D:$D,'Attrition Modeling'!$B:$B,'Traditional Attrition'!$E29,'Attrition Modeling'!$C:$C,'Traditional Attrition'!AL$1),VLOOKUP('Traditional Attrition'!AL$2-'Traditional Attrition'!$F29-1,'Traditional Attrition'!$A$7:$C$161,2,FALSE)*VLOOKUP(AL$1,'Attrition Modeling'!$L$15:$N$27,IF(AL$2-$F29&lt;=24,2,3),FALSE))*(1+Projection!AN$16)*(1+IF(AL161&gt;0,'Attrition Modeling'!$N$9,0))),0))</f>
        <v>8375.4118225001257</v>
      </c>
      <c r="AM29" s="799">
        <f>IF(AM$2=$F29+1,Monthly!AI$21,IF(AM$2&gt;$F29+1,('Traditional Attrition'!AL29+AM161)*(1-IF(AM$2-$F29&lt;=12,SUMIFS('Attrition Modeling'!$D:$D,'Attrition Modeling'!$B:$B,'Traditional Attrition'!$E29,'Attrition Modeling'!$C:$C,'Traditional Attrition'!AM$1),VLOOKUP('Traditional Attrition'!AM$2-'Traditional Attrition'!$F29-1,'Traditional Attrition'!$A$7:$C$161,2,FALSE)*VLOOKUP(AM$1,'Attrition Modeling'!$L$15:$N$27,IF(AM$2-$F29&lt;=24,2,3),FALSE))*(1+Projection!AO$16)*(1+IF(AM161&gt;0,'Attrition Modeling'!$N$9,0))),0))</f>
        <v>8253.000652239718</v>
      </c>
      <c r="AN29" s="799">
        <f>IF(AN$2=$F29+1,Monthly!AJ$21,IF(AN$2&gt;$F29+1,('Traditional Attrition'!AM29+AN161)*(1-IF(AN$2-$F29&lt;=12,SUMIFS('Attrition Modeling'!$D:$D,'Attrition Modeling'!$B:$B,'Traditional Attrition'!$E29,'Attrition Modeling'!$C:$C,'Traditional Attrition'!AN$1),VLOOKUP('Traditional Attrition'!AN$2-'Traditional Attrition'!$F29-1,'Traditional Attrition'!$A$7:$C$161,2,FALSE)*VLOOKUP(AN$1,'Attrition Modeling'!$L$15:$N$27,IF(AN$2-$F29&lt;=24,2,3),FALSE))*(1+Projection!AP$16)*(1+IF(AN161&gt;0,'Attrition Modeling'!$N$9,0))),0))</f>
        <v>7630.1847393481939</v>
      </c>
      <c r="AO29" s="799">
        <f>IF(AO$2=$F29+1,Monthly!AK$21,IF(AO$2&gt;$F29+1,('Traditional Attrition'!AN29+AO161)*(1-IF(AO$2-$F29&lt;=12,SUMIFS('Attrition Modeling'!$D:$D,'Attrition Modeling'!$B:$B,'Traditional Attrition'!$E29,'Attrition Modeling'!$C:$C,'Traditional Attrition'!AO$1),VLOOKUP('Traditional Attrition'!AO$2-'Traditional Attrition'!$F29-1,'Traditional Attrition'!$A$7:$C$161,2,FALSE)*VLOOKUP(AO$1,'Attrition Modeling'!$L$15:$N$27,IF(AO$2-$F29&lt;=24,2,3),FALSE))*(1+Projection!AQ$16)*(1+IF(AO161&gt;0,'Attrition Modeling'!$N$9,0))),0))</f>
        <v>7095.5565412183723</v>
      </c>
      <c r="AP29" s="799">
        <f>IF(AP$2=$F29+1,Monthly!AL$21,IF(AP$2&gt;$F29+1,('Traditional Attrition'!AO29+AP161)*(1-IF(AP$2-$F29&lt;=12,SUMIFS('Attrition Modeling'!$D:$D,'Attrition Modeling'!$B:$B,'Traditional Attrition'!$E29,'Attrition Modeling'!$C:$C,'Traditional Attrition'!AP$1),VLOOKUP('Traditional Attrition'!AP$2-'Traditional Attrition'!$F29-1,'Traditional Attrition'!$A$7:$C$161,2,FALSE)*VLOOKUP(AP$1,'Attrition Modeling'!$L$15:$N$27,IF(AP$2-$F29&lt;=24,2,3),FALSE))*(1+Projection!AR$16)*(1+IF(AP161&gt;0,'Attrition Modeling'!$N$9,0))),0))</f>
        <v>6624.2989094435979</v>
      </c>
      <c r="AQ29" s="799">
        <f>IF(AQ$2=$F29+1,Monthly!AM$21,IF(AQ$2&gt;$F29+1,('Traditional Attrition'!AP29+AQ161)*(1-IF(AQ$2-$F29&lt;=12,SUMIFS('Attrition Modeling'!$D:$D,'Attrition Modeling'!$B:$B,'Traditional Attrition'!$E29,'Attrition Modeling'!$C:$C,'Traditional Attrition'!AQ$1),VLOOKUP('Traditional Attrition'!AQ$2-'Traditional Attrition'!$F29-1,'Traditional Attrition'!$A$7:$C$161,2,FALSE)*VLOOKUP(AQ$1,'Attrition Modeling'!$L$15:$N$27,IF(AQ$2-$F29&lt;=24,2,3),FALSE))*(1+Projection!AS$16)*(1+IF(AQ161&gt;0,'Attrition Modeling'!$N$9,0))),0))</f>
        <v>6212.411065833574</v>
      </c>
      <c r="AR29" s="799">
        <f>IF(AR$2=$F29+1,Monthly!AN$21,IF(AR$2&gt;$F29+1,('Traditional Attrition'!AQ29+AR161)*(1-IF(AR$2-$F29&lt;=12,SUMIFS('Attrition Modeling'!$D:$D,'Attrition Modeling'!$B:$B,'Traditional Attrition'!$E29,'Attrition Modeling'!$C:$C,'Traditional Attrition'!AR$1),VLOOKUP('Traditional Attrition'!AR$2-'Traditional Attrition'!$F29-1,'Traditional Attrition'!$A$7:$C$161,2,FALSE)*VLOOKUP(AR$1,'Attrition Modeling'!$L$15:$N$27,IF(AR$2-$F29&lt;=24,2,3),FALSE))*(1+Projection!AT$16)*(1+IF(AR161&gt;0,'Attrition Modeling'!$N$9,0))),0))</f>
        <v>5860.2607309391296</v>
      </c>
      <c r="AS29" s="799">
        <f>IF(AS$2=$F29+1,Monthly!AO$21,IF(AS$2&gt;$F29+1,('Traditional Attrition'!AR29+AS161)*(1-IF(AS$2-$F29&lt;=12,SUMIFS('Attrition Modeling'!$D:$D,'Attrition Modeling'!$B:$B,'Traditional Attrition'!$E29,'Attrition Modeling'!$C:$C,'Traditional Attrition'!AS$1),VLOOKUP('Traditional Attrition'!AS$2-'Traditional Attrition'!$F29-1,'Traditional Attrition'!$A$7:$C$161,2,FALSE)*VLOOKUP(AS$1,'Attrition Modeling'!$L$15:$N$27,IF(AS$2-$F29&lt;=24,2,3),FALSE))*(1+Projection!AU$16)*(1+IF(AS161&gt;0,'Attrition Modeling'!$N$9,0))),0))</f>
        <v>5715.8615038218904</v>
      </c>
      <c r="AT29" s="799">
        <f>IF(AT$2=$F29+1,Monthly!AP$21,IF(AT$2&gt;$F29+1,('Traditional Attrition'!AS29+AT161)*(1-IF(AT$2-$F29&lt;=12,SUMIFS('Attrition Modeling'!$D:$D,'Attrition Modeling'!$B:$B,'Traditional Attrition'!$E29,'Attrition Modeling'!$C:$C,'Traditional Attrition'!AT$1),VLOOKUP('Traditional Attrition'!AT$2-'Traditional Attrition'!$F29-1,'Traditional Attrition'!$A$7:$C$161,2,FALSE)*VLOOKUP(AT$1,'Attrition Modeling'!$L$15:$N$27,IF(AT$2-$F29&lt;=24,2,3),FALSE))*(1+Projection!AV$16)*(1+IF(AT161&gt;0,'Attrition Modeling'!$N$9,0))),0))</f>
        <v>5413.6830085608917</v>
      </c>
      <c r="AU29" s="799">
        <f>IF(AU$2=$F29+1,Monthly!AQ$21,IF(AU$2&gt;$F29+1,('Traditional Attrition'!AT29+AU161)*(1-IF(AU$2-$F29&lt;=12,SUMIFS('Attrition Modeling'!$D:$D,'Attrition Modeling'!$B:$B,'Traditional Attrition'!$E29,'Attrition Modeling'!$C:$C,'Traditional Attrition'!AU$1),VLOOKUP('Traditional Attrition'!AU$2-'Traditional Attrition'!$F29-1,'Traditional Attrition'!$A$7:$C$161,2,FALSE)*VLOOKUP(AU$1,'Attrition Modeling'!$L$15:$N$27,IF(AU$2-$F29&lt;=24,2,3),FALSE))*(1+Projection!AW$16)*(1+IF(AU161&gt;0,'Attrition Modeling'!$N$9,0))),0))</f>
        <v>5154.0158768353522</v>
      </c>
      <c r="AV29" s="799">
        <f>IF(AV$2=$F29+1,Monthly!AR$21,IF(AV$2&gt;$F29+1,('Traditional Attrition'!AU29+AV161)*(1-IF(AV$2-$F29&lt;=12,SUMIFS('Attrition Modeling'!$D:$D,'Attrition Modeling'!$B:$B,'Traditional Attrition'!$E29,'Attrition Modeling'!$C:$C,'Traditional Attrition'!AV$1),VLOOKUP('Traditional Attrition'!AV$2-'Traditional Attrition'!$F29-1,'Traditional Attrition'!$A$7:$C$161,2,FALSE)*VLOOKUP(AV$1,'Attrition Modeling'!$L$15:$N$27,IF(AV$2-$F29&lt;=24,2,3),FALSE))*(1+Projection!AX$16)*(1+IF(AV161&gt;0,'Attrition Modeling'!$N$9,0))),0))</f>
        <v>4920.5874023418482</v>
      </c>
      <c r="AW29" s="799">
        <f>IF(AW$2=$F29+1,Monthly!AS$21,IF(AW$2&gt;$F29+1,('Traditional Attrition'!AV29+AW161)*(1-IF(AW$2-$F29&lt;=12,SUMIFS('Attrition Modeling'!$D:$D,'Attrition Modeling'!$B:$B,'Traditional Attrition'!$E29,'Attrition Modeling'!$C:$C,'Traditional Attrition'!AW$1),VLOOKUP('Traditional Attrition'!AW$2-'Traditional Attrition'!$F29-1,'Traditional Attrition'!$A$7:$C$161,2,FALSE)*VLOOKUP(AW$1,'Attrition Modeling'!$L$15:$N$27,IF(AW$2-$F29&lt;=24,2,3),FALSE))*(1+Projection!AY$16)*(1+IF(AW161&gt;0,'Attrition Modeling'!$N$9,0))),0))</f>
        <v>4684.8570580916576</v>
      </c>
      <c r="AX29" s="799">
        <f>IF(AX$2=$F29+1,Monthly!AT$21,IF(AX$2&gt;$F29+1,('Traditional Attrition'!AW29+AX161)*(1-IF(AX$2-$F29&lt;=12,SUMIFS('Attrition Modeling'!$D:$D,'Attrition Modeling'!$B:$B,'Traditional Attrition'!$E29,'Attrition Modeling'!$C:$C,'Traditional Attrition'!AX$1),VLOOKUP('Traditional Attrition'!AX$2-'Traditional Attrition'!$F29-1,'Traditional Attrition'!$A$7:$C$161,2,FALSE)*VLOOKUP(AX$1,'Attrition Modeling'!$L$15:$N$27,IF(AX$2-$F29&lt;=24,2,3),FALSE))*(1+Projection!AZ$16)*(1+IF(AX161&gt;0,'Attrition Modeling'!$N$9,0))),0))</f>
        <v>4461.8639337732202</v>
      </c>
      <c r="AY29" s="799">
        <f>IF(AY$2=$F29+1,Monthly!AU$21,IF(AY$2&gt;$F29+1,('Traditional Attrition'!AX29+AY161)*(1-IF(AY$2-$F29&lt;=12,SUMIFS('Attrition Modeling'!$D:$D,'Attrition Modeling'!$B:$B,'Traditional Attrition'!$E29,'Attrition Modeling'!$C:$C,'Traditional Attrition'!AY$1),VLOOKUP('Traditional Attrition'!AY$2-'Traditional Attrition'!$F29-1,'Traditional Attrition'!$A$7:$C$161,2,FALSE)*VLOOKUP(AY$1,'Attrition Modeling'!$L$15:$N$27,IF(AY$2-$F29&lt;=24,2,3),FALSE))*(1+Projection!BA$16)*(1+IF(AY161&gt;0,'Attrition Modeling'!$N$9,0))),0))</f>
        <v>4605.7493992664686</v>
      </c>
      <c r="AZ29" s="799">
        <f>IF(AZ$2=$F29+1,Monthly!AV$21,IF(AZ$2&gt;$F29+1,('Traditional Attrition'!AY29+AZ161)*(1-IF(AZ$2-$F29&lt;=12,SUMIFS('Attrition Modeling'!$D:$D,'Attrition Modeling'!$B:$B,'Traditional Attrition'!$E29,'Attrition Modeling'!$C:$C,'Traditional Attrition'!AZ$1),VLOOKUP('Traditional Attrition'!AZ$2-'Traditional Attrition'!$F29-1,'Traditional Attrition'!$A$7:$C$161,2,FALSE)*VLOOKUP(AZ$1,'Attrition Modeling'!$L$15:$N$27,IF(AZ$2-$F29&lt;=24,2,3),FALSE))*(1+Projection!BB$16)*(1+IF(AZ161&gt;0,'Attrition Modeling'!$N$9,0))),0))</f>
        <v>4406.5382981465127</v>
      </c>
      <c r="BA29" s="799">
        <f>IF(BA$2=$F29+1,Monthly!AW$21,IF(BA$2&gt;$F29+1,('Traditional Attrition'!AZ29+BA161)*(1-IF(BA$2-$F29&lt;=12,SUMIFS('Attrition Modeling'!$D:$D,'Attrition Modeling'!$B:$B,'Traditional Attrition'!$E29,'Attrition Modeling'!$C:$C,'Traditional Attrition'!BA$1),VLOOKUP('Traditional Attrition'!BA$2-'Traditional Attrition'!$F29-1,'Traditional Attrition'!$A$7:$C$161,2,FALSE)*VLOOKUP(BA$1,'Attrition Modeling'!$L$15:$N$27,IF(BA$2-$F29&lt;=24,2,3),FALSE))*(1+Projection!BC$16)*(1+IF(BA161&gt;0,'Attrition Modeling'!$N$9,0))),0))</f>
        <v>4215.2390139109311</v>
      </c>
      <c r="BB29" s="799">
        <f>IF(BB$2=$F29+1,Monthly!AX$21,IF(BB$2&gt;$F29+1,('Traditional Attrition'!BA29+BB161)*(1-IF(BB$2-$F29&lt;=12,SUMIFS('Attrition Modeling'!$D:$D,'Attrition Modeling'!$B:$B,'Traditional Attrition'!$E29,'Attrition Modeling'!$C:$C,'Traditional Attrition'!BB$1),VLOOKUP('Traditional Attrition'!BB$2-'Traditional Attrition'!$F29-1,'Traditional Attrition'!$A$7:$C$161,2,FALSE)*VLOOKUP(BB$1,'Attrition Modeling'!$L$15:$N$27,IF(BB$2-$F29&lt;=24,2,3),FALSE))*(1+Projection!BD$16)*(1+IF(BB161&gt;0,'Attrition Modeling'!$N$9,0))),0))</f>
        <v>4042.2073597672183</v>
      </c>
      <c r="BC29" s="799">
        <f>IF(BC$2=$F29+1,Monthly!AY$21,IF(BC$2&gt;$F29+1,('Traditional Attrition'!BB29+BC161)*(1-IF(BC$2-$F29&lt;=12,SUMIFS('Attrition Modeling'!$D:$D,'Attrition Modeling'!$B:$B,'Traditional Attrition'!$E29,'Attrition Modeling'!$C:$C,'Traditional Attrition'!BC$1),VLOOKUP('Traditional Attrition'!BC$2-'Traditional Attrition'!$F29-1,'Traditional Attrition'!$A$7:$C$161,2,FALSE)*VLOOKUP(BC$1,'Attrition Modeling'!$L$15:$N$27,IF(BC$2-$F29&lt;=24,2,3),FALSE))*(1+Projection!BE$16)*(1+IF(BC161&gt;0,'Attrition Modeling'!$N$9,0))),0))</f>
        <v>3880.5743813249987</v>
      </c>
      <c r="BD29" s="799">
        <f>IF(BD$2=$F29+1,Monthly!AZ$21,IF(BD$2&gt;$F29+1,('Traditional Attrition'!BC29+BD161)*(1-IF(BD$2-$F29&lt;=12,SUMIFS('Attrition Modeling'!$D:$D,'Attrition Modeling'!$B:$B,'Traditional Attrition'!$E29,'Attrition Modeling'!$C:$C,'Traditional Attrition'!BD$1),VLOOKUP('Traditional Attrition'!BD$2-'Traditional Attrition'!$F29-1,'Traditional Attrition'!$A$7:$C$161,2,FALSE)*VLOOKUP(BD$1,'Attrition Modeling'!$L$15:$N$27,IF(BD$2-$F29&lt;=24,2,3),FALSE))*(1+Projection!BF$16)*(1+IF(BD161&gt;0,'Attrition Modeling'!$N$9,0))),0))</f>
        <v>3727.4833523950424</v>
      </c>
      <c r="BE29" s="799">
        <f>IF(BE$2=$F29+1,Monthly!BA$21,IF(BE$2&gt;$F29+1,('Traditional Attrition'!BD29+BE161)*(1-IF(BE$2-$F29&lt;=12,SUMIFS('Attrition Modeling'!$D:$D,'Attrition Modeling'!$B:$B,'Traditional Attrition'!$E29,'Attrition Modeling'!$C:$C,'Traditional Attrition'!BE$1),VLOOKUP('Traditional Attrition'!BE$2-'Traditional Attrition'!$F29-1,'Traditional Attrition'!$A$7:$C$161,2,FALSE)*VLOOKUP(BE$1,'Attrition Modeling'!$L$15:$N$27,IF(BE$2-$F29&lt;=24,2,3),FALSE))*(1+Projection!BG$16)*(1+IF(BE161&gt;0,'Attrition Modeling'!$N$9,0))),0))</f>
        <v>3596.5826566311966</v>
      </c>
      <c r="BF29" s="799">
        <f>IF(BF$2=$F29+1,Monthly!BB$21,IF(BF$2&gt;$F29+1,('Traditional Attrition'!BE29+BF161)*(1-IF(BF$2-$F29&lt;=12,SUMIFS('Attrition Modeling'!$D:$D,'Attrition Modeling'!$B:$B,'Traditional Attrition'!$E29,'Attrition Modeling'!$C:$C,'Traditional Attrition'!BF$1),VLOOKUP('Traditional Attrition'!BF$2-'Traditional Attrition'!$F29-1,'Traditional Attrition'!$A$7:$C$161,2,FALSE)*VLOOKUP(BF$1,'Attrition Modeling'!$L$15:$N$27,IF(BF$2-$F29&lt;=24,2,3),FALSE))*(1+Projection!BH$16)*(1+IF(BF161&gt;0,'Attrition Modeling'!$N$9,0))),0))</f>
        <v>3476.0530720965526</v>
      </c>
      <c r="BG29" s="799">
        <f>IF(BG$2=$F29+1,Monthly!BC$21,IF(BG$2&gt;$F29+1,('Traditional Attrition'!BF29+BG161)*(1-IF(BG$2-$F29&lt;=12,SUMIFS('Attrition Modeling'!$D:$D,'Attrition Modeling'!$B:$B,'Traditional Attrition'!$E29,'Attrition Modeling'!$C:$C,'Traditional Attrition'!BG$1),VLOOKUP('Traditional Attrition'!BG$2-'Traditional Attrition'!$F29-1,'Traditional Attrition'!$A$7:$C$161,2,FALSE)*VLOOKUP(BG$1,'Attrition Modeling'!$L$15:$N$27,IF(BG$2-$F29&lt;=24,2,3),FALSE))*(1+Projection!BI$16)*(1+IF(BG161&gt;0,'Attrition Modeling'!$N$9,0))),0))</f>
        <v>3384.7027802544758</v>
      </c>
      <c r="BH29" s="799">
        <f>IF(BH$2=$F29+1,Monthly!BD$21,IF(BH$2&gt;$F29+1,('Traditional Attrition'!BG29+BH161)*(1-IF(BH$2-$F29&lt;=12,SUMIFS('Attrition Modeling'!$D:$D,'Attrition Modeling'!$B:$B,'Traditional Attrition'!$E29,'Attrition Modeling'!$C:$C,'Traditional Attrition'!BH$1),VLOOKUP('Traditional Attrition'!BH$2-'Traditional Attrition'!$F29-1,'Traditional Attrition'!$A$7:$C$161,2,FALSE)*VLOOKUP(BH$1,'Attrition Modeling'!$L$15:$N$27,IF(BH$2-$F29&lt;=24,2,3),FALSE))*(1+Projection!BJ$16)*(1+IF(BH161&gt;0,'Attrition Modeling'!$N$9,0))),0))</f>
        <v>3278.7714049721685</v>
      </c>
      <c r="BI29" s="799">
        <f>IF(BI$2=$F29+1,Monthly!BE$21,IF(BI$2&gt;$F29+1,('Traditional Attrition'!BH29+BI161)*(1-IF(BI$2-$F29&lt;=12,SUMIFS('Attrition Modeling'!$D:$D,'Attrition Modeling'!$B:$B,'Traditional Attrition'!$E29,'Attrition Modeling'!$C:$C,'Traditional Attrition'!BI$1),VLOOKUP('Traditional Attrition'!BI$2-'Traditional Attrition'!$F29-1,'Traditional Attrition'!$A$7:$C$161,2,FALSE)*VLOOKUP(BI$1,'Attrition Modeling'!$L$15:$N$27,IF(BI$2-$F29&lt;=24,2,3),FALSE))*(1+Projection!BK$16)*(1+IF(BI161&gt;0,'Attrition Modeling'!$N$9,0))),0))</f>
        <v>3163.2000277022003</v>
      </c>
      <c r="BJ29" s="799">
        <f>IF(BJ$2=$F29+1,Monthly!BF$21,IF(BJ$2&gt;$F29+1,('Traditional Attrition'!BI29+BJ161)*(1-IF(BJ$2-$F29&lt;=12,SUMIFS('Attrition Modeling'!$D:$D,'Attrition Modeling'!$B:$B,'Traditional Attrition'!$E29,'Attrition Modeling'!$C:$C,'Traditional Attrition'!BJ$1),VLOOKUP('Traditional Attrition'!BJ$2-'Traditional Attrition'!$F29-1,'Traditional Attrition'!$A$7:$C$161,2,FALSE)*VLOOKUP(BJ$1,'Attrition Modeling'!$L$15:$N$27,IF(BJ$2-$F29&lt;=24,2,3),FALSE))*(1+Projection!BL$16)*(1+IF(BJ161&gt;0,'Attrition Modeling'!$N$9,0))),0))</f>
        <v>3043.2806765545797</v>
      </c>
      <c r="BK29" s="799">
        <f>IF(BK$2=$F29+1,Monthly!BG$21,IF(BK$2&gt;$F29+1,('Traditional Attrition'!BJ29+BK161)*(1-IF(BK$2-$F29&lt;=12,SUMIFS('Attrition Modeling'!$D:$D,'Attrition Modeling'!$B:$B,'Traditional Attrition'!$E29,'Attrition Modeling'!$C:$C,'Traditional Attrition'!BK$1),VLOOKUP('Traditional Attrition'!BK$2-'Traditional Attrition'!$F29-1,'Traditional Attrition'!$A$7:$C$161,2,FALSE)*VLOOKUP(BK$1,'Attrition Modeling'!$L$15:$N$27,IF(BK$2-$F29&lt;=24,2,3),FALSE))*(1+Projection!BM$16)*(1+IF(BK161&gt;0,'Attrition Modeling'!$N$9,0))),0))</f>
        <v>3174.531019507051</v>
      </c>
      <c r="BL29" s="799">
        <f>IF(BL$2=$F29+1,Monthly!BH$21,IF(BL$2&gt;$F29+1,('Traditional Attrition'!BK29+BL161)*(1-IF(BL$2-$F29&lt;=12,SUMIFS('Attrition Modeling'!$D:$D,'Attrition Modeling'!$B:$B,'Traditional Attrition'!$E29,'Attrition Modeling'!$C:$C,'Traditional Attrition'!BL$1),VLOOKUP('Traditional Attrition'!BL$2-'Traditional Attrition'!$F29-1,'Traditional Attrition'!$A$7:$C$161,2,FALSE)*VLOOKUP(BL$1,'Attrition Modeling'!$L$15:$N$27,IF(BL$2-$F29&lt;=24,2,3),FALSE))*(1+Projection!BN$16)*(1+IF(BL161&gt;0,'Attrition Modeling'!$N$9,0))),0))</f>
        <v>3056.1508653702072</v>
      </c>
      <c r="BM29" s="799">
        <f>IF(BM$2=$F29+1,Monthly!BI$21,IF(BM$2&gt;$F29+1,('Traditional Attrition'!BL29+BM161)*(1-IF(BM$2-$F29&lt;=12,SUMIFS('Attrition Modeling'!$D:$D,'Attrition Modeling'!$B:$B,'Traditional Attrition'!$E29,'Attrition Modeling'!$C:$C,'Traditional Attrition'!BM$1),VLOOKUP('Traditional Attrition'!BM$2-'Traditional Attrition'!$F29-1,'Traditional Attrition'!$A$7:$C$161,2,FALSE)*VLOOKUP(BM$1,'Attrition Modeling'!$L$15:$N$27,IF(BM$2-$F29&lt;=24,2,3),FALSE))*(1+Projection!BO$16)*(1+IF(BM161&gt;0,'Attrition Modeling'!$N$9,0))),0))</f>
        <v>2947.4261828737567</v>
      </c>
      <c r="BN29" s="799">
        <f>IF(BN$2=$F29+1,Monthly!BJ$21,IF(BN$2&gt;$F29+1,('Traditional Attrition'!BM29+BN161)*(1-IF(BN$2-$F29&lt;=12,SUMIFS('Attrition Modeling'!$D:$D,'Attrition Modeling'!$B:$B,'Traditional Attrition'!$E29,'Attrition Modeling'!$C:$C,'Traditional Attrition'!BN$1),VLOOKUP('Traditional Attrition'!BN$2-'Traditional Attrition'!$F29-1,'Traditional Attrition'!$A$7:$C$161,2,FALSE)*VLOOKUP(BN$1,'Attrition Modeling'!$L$15:$N$27,IF(BN$2-$F29&lt;=24,2,3),FALSE))*(1+Projection!BP$16)*(1+IF(BN161&gt;0,'Attrition Modeling'!$N$9,0))),0))</f>
        <v>2846.1404656159234</v>
      </c>
      <c r="BO29" s="799">
        <f>IF(BO$2=$F29+1,Monthly!BK$21,IF(BO$2&gt;$F29+1,('Traditional Attrition'!BN29+BO161)*(1-IF(BO$2-$F29&lt;=12,SUMIFS('Attrition Modeling'!$D:$D,'Attrition Modeling'!$B:$B,'Traditional Attrition'!$E29,'Attrition Modeling'!$C:$C,'Traditional Attrition'!BO$1),VLOOKUP('Traditional Attrition'!BO$2-'Traditional Attrition'!$F29-1,'Traditional Attrition'!$A$7:$C$161,2,FALSE)*VLOOKUP(BO$1,'Attrition Modeling'!$L$15:$N$27,IF(BO$2-$F29&lt;=24,2,3),FALSE))*(1+Projection!BV$16)*(1+IF(BO161&gt;0,'Attrition Modeling'!$N$9,0))),0))</f>
        <v>2766.4672299570329</v>
      </c>
      <c r="BP29" s="799">
        <f>IF(BP$2=$F29+1,Monthly!BL$21,IF(BP$2&gt;$F29+1,('Traditional Attrition'!BO29+BP161)*(1-IF(BP$2-$F29&lt;=12,SUMIFS('Attrition Modeling'!$D:$D,'Attrition Modeling'!$B:$B,'Traditional Attrition'!$E29,'Attrition Modeling'!$C:$C,'Traditional Attrition'!BP$1),VLOOKUP('Traditional Attrition'!BP$2-'Traditional Attrition'!$F29-1,'Traditional Attrition'!$A$7:$C$161,2,FALSE)*VLOOKUP(BP$1,'Attrition Modeling'!$L$15:$N$27,IF(BP$2-$F29&lt;=24,2,3),FALSE))*(1+Projection!BW$16)*(1+IF(BP161&gt;0,'Attrition Modeling'!$N$9,0))),0))</f>
        <v>2681.6943703197812</v>
      </c>
      <c r="BQ29" s="799">
        <f>IF(BQ$2=$F29+1,Monthly!BM$21,IF(BQ$2&gt;$F29+1,('Traditional Attrition'!BP29+BQ161)*(1-IF(BQ$2-$F29&lt;=12,SUMIFS('Attrition Modeling'!$D:$D,'Attrition Modeling'!$B:$B,'Traditional Attrition'!$E29,'Attrition Modeling'!$C:$C,'Traditional Attrition'!BQ$1),VLOOKUP('Traditional Attrition'!BQ$2-'Traditional Attrition'!$F29-1,'Traditional Attrition'!$A$7:$C$161,2,FALSE)*VLOOKUP(BQ$1,'Attrition Modeling'!$L$15:$N$27,IF(BQ$2-$F29&lt;=24,2,3),FALSE))*(1+Projection!BX$16)*(1+IF(BQ161&gt;0,'Attrition Modeling'!$N$9,0))),0))</f>
        <v>2602.9756841765143</v>
      </c>
      <c r="BR29" s="799">
        <f>IF(BR$2=$F29+1,Monthly!BN$21,IF(BR$2&gt;$F29+1,('Traditional Attrition'!BQ29+BR161)*(1-IF(BR$2-$F29&lt;=12,SUMIFS('Attrition Modeling'!$D:$D,'Attrition Modeling'!$B:$B,'Traditional Attrition'!$E29,'Attrition Modeling'!$C:$C,'Traditional Attrition'!BR$1),VLOOKUP('Traditional Attrition'!BR$2-'Traditional Attrition'!$F29-1,'Traditional Attrition'!$A$7:$C$161,2,FALSE)*VLOOKUP(BR$1,'Attrition Modeling'!$L$15:$N$27,IF(BR$2-$F29&lt;=24,2,3),FALSE))*(1+Projection!BY$16)*(1+IF(BR161&gt;0,'Attrition Modeling'!$N$9,0))),0))</f>
        <v>2530.572538873485</v>
      </c>
      <c r="BS29" s="799">
        <f>IF(BS$2=$F29+1,Monthly!BO$21,IF(BS$2&gt;$F29+1,('Traditional Attrition'!BR29+BS161)*(1-IF(BS$2-$F29&lt;=12,SUMIFS('Attrition Modeling'!$D:$D,'Attrition Modeling'!$B:$B,'Traditional Attrition'!$E29,'Attrition Modeling'!$C:$C,'Traditional Attrition'!BS$1),VLOOKUP('Traditional Attrition'!BS$2-'Traditional Attrition'!$F29-1,'Traditional Attrition'!$A$7:$C$161,2,FALSE)*VLOOKUP(BS$1,'Attrition Modeling'!$L$15:$N$27,IF(BS$2-$F29&lt;=24,2,3),FALSE))*(1+Projection!BZ$16)*(1+IF(BS161&gt;0,'Attrition Modeling'!$N$9,0))),0))</f>
        <v>2475.1902749313076</v>
      </c>
      <c r="BT29" s="799">
        <f>IF(BT$2=$F29+1,Monthly!#REF!,IF(BT$2&gt;$F29+1,('Traditional Attrition'!BS29+BT161)*(1-IF(BT$2-$F29&lt;=12,SUMIFS('Attrition Modeling'!$D:$D,'Attrition Modeling'!$B:$B,'Traditional Attrition'!$E29,'Attrition Modeling'!$C:$C,'Traditional Attrition'!BT$1),VLOOKUP('Traditional Attrition'!BT$2-'Traditional Attrition'!$F29-1,'Traditional Attrition'!$A$7:$C$161,2,FALSE)*VLOOKUP(BT$1,'Attrition Modeling'!$L$15:$N$27,IF(BT$2-$F29&lt;=24,2,3),FALSE))*(1+Projection!CA$16)*(1+IF(BT161&gt;0,'Attrition Modeling'!$N$9,0))),0))</f>
        <v>2410.4767730281969</v>
      </c>
      <c r="BU29" s="799">
        <f>IF(BU$2=$F29+1,Monthly!#REF!,IF(BU$2&gt;$F29+1,('Traditional Attrition'!BT29+BU161)*(1-IF(BU$2-$F29&lt;=12,SUMIFS('Attrition Modeling'!$D:$D,'Attrition Modeling'!$B:$B,'Traditional Attrition'!$E29,'Attrition Modeling'!$C:$C,'Traditional Attrition'!BU$1),VLOOKUP('Traditional Attrition'!BU$2-'Traditional Attrition'!$F29-1,'Traditional Attrition'!$A$7:$C$161,2,FALSE)*VLOOKUP(BU$1,'Attrition Modeling'!$L$15:$N$27,IF(BU$2-$F29&lt;=24,2,3),FALSE))*(1+Projection!CB$16)*(1+IF(BU161&gt;0,'Attrition Modeling'!$N$9,0))),0))</f>
        <v>2339.2906389608356</v>
      </c>
    </row>
    <row r="30" spans="1:73" ht="14.25" customHeight="1" x14ac:dyDescent="0.2">
      <c r="A30" s="9">
        <v>23</v>
      </c>
      <c r="B30" s="25">
        <f>MAX('Attrition Modeling'!H27,$C$3)*(1-Summary!$C$20)</f>
        <v>3.9406658897167428E-2</v>
      </c>
      <c r="C30" s="24" t="e">
        <f t="shared" si="4"/>
        <v>#DIV/0!</v>
      </c>
      <c r="E30" s="11">
        <f t="shared" si="2"/>
        <v>3</v>
      </c>
      <c r="F30" s="11">
        <f t="shared" si="3"/>
        <v>27</v>
      </c>
      <c r="G30" s="799"/>
      <c r="H30" s="799">
        <f>IF(H$2=$F30+1,Monthly!D$21,IF(H$2&gt;$F30+1,('Traditional Attrition'!G30+H162)*(1-IF(H$2-$F30&lt;=12,SUMIFS('Attrition Modeling'!$D:$D,'Attrition Modeling'!$B:$B,'Traditional Attrition'!$E30,'Attrition Modeling'!$C:$C,'Traditional Attrition'!H$1),VLOOKUP('Traditional Attrition'!H$2-'Traditional Attrition'!$F30-1,'Traditional Attrition'!$A$7:$C$161,2,FALSE)*VLOOKUP(H$1,'Attrition Modeling'!$L$15:$N$27,IF(H$2-$F30&lt;=24,2,3),FALSE))*(1+Projection!J$16)*(1+IF(H162&gt;0,'Attrition Modeling'!$N$9,0))),0))</f>
        <v>0</v>
      </c>
      <c r="I30" s="799">
        <f>IF(I$2=$F30+1,Monthly!E$21,IF(I$2&gt;$F30+1,('Traditional Attrition'!H30+I162)*(1-IF(I$2-$F30&lt;=12,SUMIFS('Attrition Modeling'!$D:$D,'Attrition Modeling'!$B:$B,'Traditional Attrition'!$E30,'Attrition Modeling'!$C:$C,'Traditional Attrition'!I$1),VLOOKUP('Traditional Attrition'!I$2-'Traditional Attrition'!$F30-1,'Traditional Attrition'!$A$7:$C$161,2,FALSE)*VLOOKUP(I$1,'Attrition Modeling'!$L$15:$N$27,IF(I$2-$F30&lt;=24,2,3),FALSE))*(1+Projection!K$16)*(1+IF(I162&gt;0,'Attrition Modeling'!$N$9,0))),0))</f>
        <v>0</v>
      </c>
      <c r="J30" s="799">
        <f>IF(J$2=$F30+1,Monthly!F$21,IF(J$2&gt;$F30+1,('Traditional Attrition'!I30+J162)*(1-IF(J$2-$F30&lt;=12,SUMIFS('Attrition Modeling'!$D:$D,'Attrition Modeling'!$B:$B,'Traditional Attrition'!$E30,'Attrition Modeling'!$C:$C,'Traditional Attrition'!J$1),VLOOKUP('Traditional Attrition'!J$2-'Traditional Attrition'!$F30-1,'Traditional Attrition'!$A$7:$C$161,2,FALSE)*VLOOKUP(J$1,'Attrition Modeling'!$L$15:$N$27,IF(J$2-$F30&lt;=24,2,3),FALSE))*(1+Projection!L$16)*(1+IF(J162&gt;0,'Attrition Modeling'!$N$9,0))),0))</f>
        <v>0</v>
      </c>
      <c r="K30" s="799">
        <f>IF(K$2=$F30+1,Monthly!G$21,IF(K$2&gt;$F30+1,('Traditional Attrition'!J30+K162)*(1-IF(K$2-$F30&lt;=12,SUMIFS('Attrition Modeling'!$D:$D,'Attrition Modeling'!$B:$B,'Traditional Attrition'!$E30,'Attrition Modeling'!$C:$C,'Traditional Attrition'!K$1),VLOOKUP('Traditional Attrition'!K$2-'Traditional Attrition'!$F30-1,'Traditional Attrition'!$A$7:$C$161,2,FALSE)*VLOOKUP(K$1,'Attrition Modeling'!$L$15:$N$27,IF(K$2-$F30&lt;=24,2,3),FALSE))*(1+Projection!M$16)*(1+IF(K162&gt;0,'Attrition Modeling'!$N$9,0))),0))</f>
        <v>0</v>
      </c>
      <c r="L30" s="799">
        <f>IF(L$2=$F30+1,Monthly!H$21,IF(L$2&gt;$F30+1,('Traditional Attrition'!K30+L162)*(1-IF(L$2-$F30&lt;=12,SUMIFS('Attrition Modeling'!$D:$D,'Attrition Modeling'!$B:$B,'Traditional Attrition'!$E30,'Attrition Modeling'!$C:$C,'Traditional Attrition'!L$1),VLOOKUP('Traditional Attrition'!L$2-'Traditional Attrition'!$F30-1,'Traditional Attrition'!$A$7:$C$161,2,FALSE)*VLOOKUP(L$1,'Attrition Modeling'!$L$15:$N$27,IF(L$2-$F30&lt;=24,2,3),FALSE))*(1+Projection!N$16)*(1+IF(L162&gt;0,'Attrition Modeling'!$N$9,0))),0))</f>
        <v>0</v>
      </c>
      <c r="M30" s="799">
        <f>IF(M$2=$F30+1,Monthly!I$21,IF(M$2&gt;$F30+1,('Traditional Attrition'!L30+M162)*(1-IF(M$2-$F30&lt;=12,SUMIFS('Attrition Modeling'!$D:$D,'Attrition Modeling'!$B:$B,'Traditional Attrition'!$E30,'Attrition Modeling'!$C:$C,'Traditional Attrition'!M$1),VLOOKUP('Traditional Attrition'!M$2-'Traditional Attrition'!$F30-1,'Traditional Attrition'!$A$7:$C$161,2,FALSE)*VLOOKUP(M$1,'Attrition Modeling'!$L$15:$N$27,IF(M$2-$F30&lt;=24,2,3),FALSE))*(1+Projection!O$16)*(1+IF(M162&gt;0,'Attrition Modeling'!$N$9,0))),0))</f>
        <v>0</v>
      </c>
      <c r="N30" s="799">
        <f>IF(N$2=$F30+1,Monthly!J$21,IF(N$2&gt;$F30+1,('Traditional Attrition'!M30+N162)*(1-IF(N$2-$F30&lt;=12,SUMIFS('Attrition Modeling'!$D:$D,'Attrition Modeling'!$B:$B,'Traditional Attrition'!$E30,'Attrition Modeling'!$C:$C,'Traditional Attrition'!N$1),VLOOKUP('Traditional Attrition'!N$2-'Traditional Attrition'!$F30-1,'Traditional Attrition'!$A$7:$C$161,2,FALSE)*VLOOKUP(N$1,'Attrition Modeling'!$L$15:$N$27,IF(N$2-$F30&lt;=24,2,3),FALSE))*(1+Projection!P$16)*(1+IF(N162&gt;0,'Attrition Modeling'!$N$9,0))),0))</f>
        <v>0</v>
      </c>
      <c r="O30" s="799">
        <f>IF(O$2=$F30+1,Monthly!K$21,IF(O$2&gt;$F30+1,('Traditional Attrition'!N30+O162)*(1-IF(O$2-$F30&lt;=12,SUMIFS('Attrition Modeling'!$D:$D,'Attrition Modeling'!$B:$B,'Traditional Attrition'!$E30,'Attrition Modeling'!$C:$C,'Traditional Attrition'!O$1),VLOOKUP('Traditional Attrition'!O$2-'Traditional Attrition'!$F30-1,'Traditional Attrition'!$A$7:$C$161,2,FALSE)*VLOOKUP(O$1,'Attrition Modeling'!$L$15:$N$27,IF(O$2-$F30&lt;=24,2,3),FALSE))*(1+Projection!Q$16)*(1+IF(O162&gt;0,'Attrition Modeling'!$N$9,0))),0))</f>
        <v>0</v>
      </c>
      <c r="P30" s="799">
        <f>IF(P$2=$F30+1,Monthly!L$21,IF(P$2&gt;$F30+1,('Traditional Attrition'!O30+P162)*(1-IF(P$2-$F30&lt;=12,SUMIFS('Attrition Modeling'!$D:$D,'Attrition Modeling'!$B:$B,'Traditional Attrition'!$E30,'Attrition Modeling'!$C:$C,'Traditional Attrition'!P$1),VLOOKUP('Traditional Attrition'!P$2-'Traditional Attrition'!$F30-1,'Traditional Attrition'!$A$7:$C$161,2,FALSE)*VLOOKUP(P$1,'Attrition Modeling'!$L$15:$N$27,IF(P$2-$F30&lt;=24,2,3),FALSE))*(1+Projection!R$16)*(1+IF(P162&gt;0,'Attrition Modeling'!$N$9,0))),0))</f>
        <v>0</v>
      </c>
      <c r="Q30" s="799">
        <f>IF(Q$2=$F30+1,Monthly!M$21,IF(Q$2&gt;$F30+1,('Traditional Attrition'!P30+Q162)*(1-IF(Q$2-$F30&lt;=12,SUMIFS('Attrition Modeling'!$D:$D,'Attrition Modeling'!$B:$B,'Traditional Attrition'!$E30,'Attrition Modeling'!$C:$C,'Traditional Attrition'!Q$1),VLOOKUP('Traditional Attrition'!Q$2-'Traditional Attrition'!$F30-1,'Traditional Attrition'!$A$7:$C$161,2,FALSE)*VLOOKUP(Q$1,'Attrition Modeling'!$L$15:$N$27,IF(Q$2-$F30&lt;=24,2,3),FALSE))*(1+Projection!S$16)*(1+IF(Q162&gt;0,'Attrition Modeling'!$N$9,0))),0))</f>
        <v>0</v>
      </c>
      <c r="R30" s="799">
        <f>IF(R$2=$F30+1,Monthly!N$21,IF(R$2&gt;$F30+1,('Traditional Attrition'!Q30+R162)*(1-IF(R$2-$F30&lt;=12,SUMIFS('Attrition Modeling'!$D:$D,'Attrition Modeling'!$B:$B,'Traditional Attrition'!$E30,'Attrition Modeling'!$C:$C,'Traditional Attrition'!R$1),VLOOKUP('Traditional Attrition'!R$2-'Traditional Attrition'!$F30-1,'Traditional Attrition'!$A$7:$C$161,2,FALSE)*VLOOKUP(R$1,'Attrition Modeling'!$L$15:$N$27,IF(R$2-$F30&lt;=24,2,3),FALSE))*(1+Projection!T$16)*(1+IF(R162&gt;0,'Attrition Modeling'!$N$9,0))),0))</f>
        <v>0</v>
      </c>
      <c r="S30" s="799">
        <f>IF(S$2=$F30+1,Monthly!O$21,IF(S$2&gt;$F30+1,('Traditional Attrition'!R30+S162)*(1-IF(S$2-$F30&lt;=12,SUMIFS('Attrition Modeling'!$D:$D,'Attrition Modeling'!$B:$B,'Traditional Attrition'!$E30,'Attrition Modeling'!$C:$C,'Traditional Attrition'!S$1),VLOOKUP('Traditional Attrition'!S$2-'Traditional Attrition'!$F30-1,'Traditional Attrition'!$A$7:$C$161,2,FALSE)*VLOOKUP(S$1,'Attrition Modeling'!$L$15:$N$27,IF(S$2-$F30&lt;=24,2,3),FALSE))*(1+Projection!U$16)*(1+IF(S162&gt;0,'Attrition Modeling'!$N$9,0))),0))</f>
        <v>0</v>
      </c>
      <c r="T30" s="799">
        <f>IF(T$2=$F30+1,Monthly!P$21,IF(T$2&gt;$F30+1,('Traditional Attrition'!S30+T162)*(1-IF(T$2-$F30&lt;=12,SUMIFS('Attrition Modeling'!$D:$D,'Attrition Modeling'!$B:$B,'Traditional Attrition'!$E30,'Attrition Modeling'!$C:$C,'Traditional Attrition'!T$1),VLOOKUP('Traditional Attrition'!T$2-'Traditional Attrition'!$F30-1,'Traditional Attrition'!$A$7:$C$161,2,FALSE)*VLOOKUP(T$1,'Attrition Modeling'!$L$15:$N$27,IF(T$2-$F30&lt;=24,2,3),FALSE))*(1+Projection!V$16)*(1+IF(T162&gt;0,'Attrition Modeling'!$N$9,0))),0))</f>
        <v>0</v>
      </c>
      <c r="U30" s="799">
        <f>IF(U$2=$F30+1,Monthly!Q$21,IF(U$2&gt;$F30+1,('Traditional Attrition'!T30+U162)*(1-IF(U$2-$F30&lt;=12,SUMIFS('Attrition Modeling'!$D:$D,'Attrition Modeling'!$B:$B,'Traditional Attrition'!$E30,'Attrition Modeling'!$C:$C,'Traditional Attrition'!U$1),VLOOKUP('Traditional Attrition'!U$2-'Traditional Attrition'!$F30-1,'Traditional Attrition'!$A$7:$C$161,2,FALSE)*VLOOKUP(U$1,'Attrition Modeling'!$L$15:$N$27,IF(U$2-$F30&lt;=24,2,3),FALSE))*(1+Projection!W$16)*(1+IF(U162&gt;0,'Attrition Modeling'!$N$9,0))),0))</f>
        <v>0</v>
      </c>
      <c r="V30" s="799">
        <f>IF(V$2=$F30+1,Monthly!R$21,IF(V$2&gt;$F30+1,('Traditional Attrition'!U30+V162)*(1-IF(V$2-$F30&lt;=12,SUMIFS('Attrition Modeling'!$D:$D,'Attrition Modeling'!$B:$B,'Traditional Attrition'!$E30,'Attrition Modeling'!$C:$C,'Traditional Attrition'!V$1),VLOOKUP('Traditional Attrition'!V$2-'Traditional Attrition'!$F30-1,'Traditional Attrition'!$A$7:$C$161,2,FALSE)*VLOOKUP(V$1,'Attrition Modeling'!$L$15:$N$27,IF(V$2-$F30&lt;=24,2,3),FALSE))*(1+Projection!X$16)*(1+IF(V162&gt;0,'Attrition Modeling'!$N$9,0))),0))</f>
        <v>0</v>
      </c>
      <c r="W30" s="799">
        <f>IF(W$2=$F30+1,Monthly!S$21,IF(W$2&gt;$F30+1,('Traditional Attrition'!V30+W162)*(1-IF(W$2-$F30&lt;=12,SUMIFS('Attrition Modeling'!$D:$D,'Attrition Modeling'!$B:$B,'Traditional Attrition'!$E30,'Attrition Modeling'!$C:$C,'Traditional Attrition'!W$1),VLOOKUP('Traditional Attrition'!W$2-'Traditional Attrition'!$F30-1,'Traditional Attrition'!$A$7:$C$161,2,FALSE)*VLOOKUP(W$1,'Attrition Modeling'!$L$15:$N$27,IF(W$2-$F30&lt;=24,2,3),FALSE))*(1+Projection!Y$16)*(1+IF(W162&gt;0,'Attrition Modeling'!$N$9,0))),0))</f>
        <v>0</v>
      </c>
      <c r="X30" s="799">
        <f>IF(X$2=$F30+1,Monthly!T$21,IF(X$2&gt;$F30+1,('Traditional Attrition'!W30+X162)*(1-IF(X$2-$F30&lt;=12,SUMIFS('Attrition Modeling'!$D:$D,'Attrition Modeling'!$B:$B,'Traditional Attrition'!$E30,'Attrition Modeling'!$C:$C,'Traditional Attrition'!X$1),VLOOKUP('Traditional Attrition'!X$2-'Traditional Attrition'!$F30-1,'Traditional Attrition'!$A$7:$C$161,2,FALSE)*VLOOKUP(X$1,'Attrition Modeling'!$L$15:$N$27,IF(X$2-$F30&lt;=24,2,3),FALSE))*(1+Projection!Z$16)*(1+IF(X162&gt;0,'Attrition Modeling'!$N$9,0))),0))</f>
        <v>0</v>
      </c>
      <c r="Y30" s="799">
        <f>IF(Y$2=$F30+1,Monthly!U$21,IF(Y$2&gt;$F30+1,('Traditional Attrition'!X30+Y162)*(1-IF(Y$2-$F30&lt;=12,SUMIFS('Attrition Modeling'!$D:$D,'Attrition Modeling'!$B:$B,'Traditional Attrition'!$E30,'Attrition Modeling'!$C:$C,'Traditional Attrition'!Y$1),VLOOKUP('Traditional Attrition'!Y$2-'Traditional Attrition'!$F30-1,'Traditional Attrition'!$A$7:$C$161,2,FALSE)*VLOOKUP(Y$1,'Attrition Modeling'!$L$15:$N$27,IF(Y$2-$F30&lt;=24,2,3),FALSE))*(1+Projection!AA$16)*(1+IF(Y162&gt;0,'Attrition Modeling'!$N$9,0))),0))</f>
        <v>0</v>
      </c>
      <c r="Z30" s="799">
        <f>IF(Z$2=$F30+1,Monthly!V$21,IF(Z$2&gt;$F30+1,('Traditional Attrition'!Y30+Z162)*(1-IF(Z$2-$F30&lt;=12,SUMIFS('Attrition Modeling'!$D:$D,'Attrition Modeling'!$B:$B,'Traditional Attrition'!$E30,'Attrition Modeling'!$C:$C,'Traditional Attrition'!Z$1),VLOOKUP('Traditional Attrition'!Z$2-'Traditional Attrition'!$F30-1,'Traditional Attrition'!$A$7:$C$161,2,FALSE)*VLOOKUP(Z$1,'Attrition Modeling'!$L$15:$N$27,IF(Z$2-$F30&lt;=24,2,3),FALSE))*(1+Projection!AB$16)*(1+IF(Z162&gt;0,'Attrition Modeling'!$N$9,0))),0))</f>
        <v>0</v>
      </c>
      <c r="AA30" s="799">
        <f>IF(AA$2=$F30+1,Monthly!W$21,IF(AA$2&gt;$F30+1,('Traditional Attrition'!Z30+AA162)*(1-IF(AA$2-$F30&lt;=12,SUMIFS('Attrition Modeling'!$D:$D,'Attrition Modeling'!$B:$B,'Traditional Attrition'!$E30,'Attrition Modeling'!$C:$C,'Traditional Attrition'!AA$1),VLOOKUP('Traditional Attrition'!AA$2-'Traditional Attrition'!$F30-1,'Traditional Attrition'!$A$7:$C$161,2,FALSE)*VLOOKUP(AA$1,'Attrition Modeling'!$L$15:$N$27,IF(AA$2-$F30&lt;=24,2,3),FALSE))*(1+Projection!AC$16)*(1+IF(AA162&gt;0,'Attrition Modeling'!$N$9,0))),0))</f>
        <v>0</v>
      </c>
      <c r="AB30" s="799">
        <f>IF(AB$2=$F30+1,Monthly!X$21,IF(AB$2&gt;$F30+1,('Traditional Attrition'!AA30+AB162)*(1-IF(AB$2-$F30&lt;=12,SUMIFS('Attrition Modeling'!$D:$D,'Attrition Modeling'!$B:$B,'Traditional Attrition'!$E30,'Attrition Modeling'!$C:$C,'Traditional Attrition'!AB$1),VLOOKUP('Traditional Attrition'!AB$2-'Traditional Attrition'!$F30-1,'Traditional Attrition'!$A$7:$C$161,2,FALSE)*VLOOKUP(AB$1,'Attrition Modeling'!$L$15:$N$27,IF(AB$2-$F30&lt;=24,2,3),FALSE))*(1+Projection!AD$16)*(1+IF(AB162&gt;0,'Attrition Modeling'!$N$9,0))),0))</f>
        <v>0</v>
      </c>
      <c r="AC30" s="799">
        <f>IF(AC$2=$F30+1,Monthly!Y$21,IF(AC$2&gt;$F30+1,('Traditional Attrition'!AB30+AC162)*(1-IF(AC$2-$F30&lt;=12,SUMIFS('Attrition Modeling'!$D:$D,'Attrition Modeling'!$B:$B,'Traditional Attrition'!$E30,'Attrition Modeling'!$C:$C,'Traditional Attrition'!AC$1),VLOOKUP('Traditional Attrition'!AC$2-'Traditional Attrition'!$F30-1,'Traditional Attrition'!$A$7:$C$161,2,FALSE)*VLOOKUP(AC$1,'Attrition Modeling'!$L$15:$N$27,IF(AC$2-$F30&lt;=24,2,3),FALSE))*(1+Projection!AE$16)*(1+IF(AC162&gt;0,'Attrition Modeling'!$N$9,0))),0))</f>
        <v>0</v>
      </c>
      <c r="AD30" s="799">
        <f>IF(AD$2=$F30+1,Monthly!Z$21,IF(AD$2&gt;$F30+1,('Traditional Attrition'!AC30+AD162)*(1-IF(AD$2-$F30&lt;=12,SUMIFS('Attrition Modeling'!$D:$D,'Attrition Modeling'!$B:$B,'Traditional Attrition'!$E30,'Attrition Modeling'!$C:$C,'Traditional Attrition'!AD$1),VLOOKUP('Traditional Attrition'!AD$2-'Traditional Attrition'!$F30-1,'Traditional Attrition'!$A$7:$C$161,2,FALSE)*VLOOKUP(AD$1,'Attrition Modeling'!$L$15:$N$27,IF(AD$2-$F30&lt;=24,2,3),FALSE))*(1+Projection!AF$16)*(1+IF(AD162&gt;0,'Attrition Modeling'!$N$9,0))),0))</f>
        <v>0</v>
      </c>
      <c r="AE30" s="799">
        <f>IF(AE$2=$F30+1,Monthly!AA$21,IF(AE$2&gt;$F30+1,('Traditional Attrition'!AD30+AE162)*(1-IF(AE$2-$F30&lt;=12,SUMIFS('Attrition Modeling'!$D:$D,'Attrition Modeling'!$B:$B,'Traditional Attrition'!$E30,'Attrition Modeling'!$C:$C,'Traditional Attrition'!AE$1),VLOOKUP('Traditional Attrition'!AE$2-'Traditional Attrition'!$F30-1,'Traditional Attrition'!$A$7:$C$161,2,FALSE)*VLOOKUP(AE$1,'Attrition Modeling'!$L$15:$N$27,IF(AE$2-$F30&lt;=24,2,3),FALSE))*(1+Projection!AG$16)*(1+IF(AE162&gt;0,'Attrition Modeling'!$N$9,0))),0))</f>
        <v>0</v>
      </c>
      <c r="AF30" s="799">
        <f>IF(AF$2=$F30+1,Monthly!AB$21,IF(AF$2&gt;$F30+1,('Traditional Attrition'!AE30+AF162)*(1-IF(AF$2-$F30&lt;=12,SUMIFS('Attrition Modeling'!$D:$D,'Attrition Modeling'!$B:$B,'Traditional Attrition'!$E30,'Attrition Modeling'!$C:$C,'Traditional Attrition'!AF$1),VLOOKUP('Traditional Attrition'!AF$2-'Traditional Attrition'!$F30-1,'Traditional Attrition'!$A$7:$C$161,2,FALSE)*VLOOKUP(AF$1,'Attrition Modeling'!$L$15:$N$27,IF(AF$2-$F30&lt;=24,2,3),FALSE))*(1+Projection!AH$16)*(1+IF(AF162&gt;0,'Attrition Modeling'!$N$9,0))),0))</f>
        <v>0</v>
      </c>
      <c r="AG30" s="799">
        <f>IF(AG$2=$F30+1,Monthly!AC$21,IF(AG$2&gt;$F30+1,('Traditional Attrition'!AF30+AG162)*(1-IF(AG$2-$F30&lt;=12,SUMIFS('Attrition Modeling'!$D:$D,'Attrition Modeling'!$B:$B,'Traditional Attrition'!$E30,'Attrition Modeling'!$C:$C,'Traditional Attrition'!AG$1),VLOOKUP('Traditional Attrition'!AG$2-'Traditional Attrition'!$F30-1,'Traditional Attrition'!$A$7:$C$161,2,FALSE)*VLOOKUP(AG$1,'Attrition Modeling'!$L$15:$N$27,IF(AG$2-$F30&lt;=24,2,3),FALSE))*(1+Projection!AI$16)*(1+IF(AG162&gt;0,'Attrition Modeling'!$N$9,0))),0))</f>
        <v>0</v>
      </c>
      <c r="AH30" s="799">
        <f>IF(AH$2=$F30+1,Monthly!AD$21,IF(AH$2&gt;$F30+1,('Traditional Attrition'!AG30+AH162)*(1-IF(AH$2-$F30&lt;=12,SUMIFS('Attrition Modeling'!$D:$D,'Attrition Modeling'!$B:$B,'Traditional Attrition'!$E30,'Attrition Modeling'!$C:$C,'Traditional Attrition'!AH$1),VLOOKUP('Traditional Attrition'!AH$2-'Traditional Attrition'!$F30-1,'Traditional Attrition'!$A$7:$C$161,2,FALSE)*VLOOKUP(AH$1,'Attrition Modeling'!$L$15:$N$27,IF(AH$2-$F30&lt;=24,2,3),FALSE))*(1+Projection!AJ$16)*(1+IF(AH162&gt;0,'Attrition Modeling'!$N$9,0))),0))</f>
        <v>0</v>
      </c>
      <c r="AI30" s="799">
        <f>IF(AI$2=$F30+1,Monthly!AE$21,IF(AI$2&gt;$F30+1,('Traditional Attrition'!AH30+AI162)*(1-IF(AI$2-$F30&lt;=12,SUMIFS('Attrition Modeling'!$D:$D,'Attrition Modeling'!$B:$B,'Traditional Attrition'!$E30,'Attrition Modeling'!$C:$C,'Traditional Attrition'!AI$1),VLOOKUP('Traditional Attrition'!AI$2-'Traditional Attrition'!$F30-1,'Traditional Attrition'!$A$7:$C$161,2,FALSE)*VLOOKUP(AI$1,'Attrition Modeling'!$L$15:$N$27,IF(AI$2-$F30&lt;=24,2,3),FALSE))*(1+Projection!AK$16)*(1+IF(AI162&gt;0,'Attrition Modeling'!$N$9,0))),0))</f>
        <v>12667.941906690014</v>
      </c>
      <c r="AJ30" s="799">
        <f>IF(AJ$2=$F30+1,Monthly!AF$21,IF(AJ$2&gt;$F30+1,('Traditional Attrition'!AI30+AJ162)*(1-IF(AJ$2-$F30&lt;=12,SUMIFS('Attrition Modeling'!$D:$D,'Attrition Modeling'!$B:$B,'Traditional Attrition'!$E30,'Attrition Modeling'!$C:$C,'Traditional Attrition'!AJ$1),VLOOKUP('Traditional Attrition'!AJ$2-'Traditional Attrition'!$F30-1,'Traditional Attrition'!$A$7:$C$161,2,FALSE)*VLOOKUP(AJ$1,'Attrition Modeling'!$L$15:$N$27,IF(AJ$2-$F30&lt;=24,2,3),FALSE))*(1+Projection!AL$16)*(1+IF(AJ162&gt;0,'Attrition Modeling'!$N$9,0))),0))</f>
        <v>11478.191985147376</v>
      </c>
      <c r="AK30" s="799">
        <f>IF(AK$2=$F30+1,Monthly!AG$21,IF(AK$2&gt;$F30+1,('Traditional Attrition'!AJ30+AK162)*(1-IF(AK$2-$F30&lt;=12,SUMIFS('Attrition Modeling'!$D:$D,'Attrition Modeling'!$B:$B,'Traditional Attrition'!$E30,'Attrition Modeling'!$C:$C,'Traditional Attrition'!AK$1),VLOOKUP('Traditional Attrition'!AK$2-'Traditional Attrition'!$F30-1,'Traditional Attrition'!$A$7:$C$161,2,FALSE)*VLOOKUP(AK$1,'Attrition Modeling'!$L$15:$N$27,IF(AK$2-$F30&lt;=24,2,3),FALSE))*(1+Projection!AM$16)*(1+IF(AK162&gt;0,'Attrition Modeling'!$N$9,0))),0))</f>
        <v>10447.721689339671</v>
      </c>
      <c r="AL30" s="799">
        <f>IF(AL$2=$F30+1,Monthly!AH$21,IF(AL$2&gt;$F30+1,('Traditional Attrition'!AK30+AL162)*(1-IF(AL$2-$F30&lt;=12,SUMIFS('Attrition Modeling'!$D:$D,'Attrition Modeling'!$B:$B,'Traditional Attrition'!$E30,'Attrition Modeling'!$C:$C,'Traditional Attrition'!AL$1),VLOOKUP('Traditional Attrition'!AL$2-'Traditional Attrition'!$F30-1,'Traditional Attrition'!$A$7:$C$161,2,FALSE)*VLOOKUP(AL$1,'Attrition Modeling'!$L$15:$N$27,IF(AL$2-$F30&lt;=24,2,3),FALSE))*(1+Projection!AN$16)*(1+IF(AL162&gt;0,'Attrition Modeling'!$N$9,0))),0))</f>
        <v>9513.5396992595342</v>
      </c>
      <c r="AM30" s="799">
        <f>IF(AM$2=$F30+1,Monthly!AI$21,IF(AM$2&gt;$F30+1,('Traditional Attrition'!AL30+AM162)*(1-IF(AM$2-$F30&lt;=12,SUMIFS('Attrition Modeling'!$D:$D,'Attrition Modeling'!$B:$B,'Traditional Attrition'!$E30,'Attrition Modeling'!$C:$C,'Traditional Attrition'!AM$1),VLOOKUP('Traditional Attrition'!AM$2-'Traditional Attrition'!$F30-1,'Traditional Attrition'!$A$7:$C$161,2,FALSE)*VLOOKUP(AM$1,'Attrition Modeling'!$L$15:$N$27,IF(AM$2-$F30&lt;=24,2,3),FALSE))*(1+Projection!AO$16)*(1+IF(AM162&gt;0,'Attrition Modeling'!$N$9,0))),0))</f>
        <v>8683.4992481104382</v>
      </c>
      <c r="AN30" s="799">
        <f>IF(AN$2=$F30+1,Monthly!AJ$21,IF(AN$2&gt;$F30+1,('Traditional Attrition'!AM30+AN162)*(1-IF(AN$2-$F30&lt;=12,SUMIFS('Attrition Modeling'!$D:$D,'Attrition Modeling'!$B:$B,'Traditional Attrition'!$E30,'Attrition Modeling'!$C:$C,'Traditional Attrition'!AN$1),VLOOKUP('Traditional Attrition'!AN$2-'Traditional Attrition'!$F30-1,'Traditional Attrition'!$A$7:$C$161,2,FALSE)*VLOOKUP(AN$1,'Attrition Modeling'!$L$15:$N$27,IF(AN$2-$F30&lt;=24,2,3),FALSE))*(1+Projection!AP$16)*(1+IF(AN162&gt;0,'Attrition Modeling'!$N$9,0))),0))</f>
        <v>8577.1947168752813</v>
      </c>
      <c r="AO30" s="799">
        <f>IF(AO$2=$F30+1,Monthly!AK$21,IF(AO$2&gt;$F30+1,('Traditional Attrition'!AN30+AO162)*(1-IF(AO$2-$F30&lt;=12,SUMIFS('Attrition Modeling'!$D:$D,'Attrition Modeling'!$B:$B,'Traditional Attrition'!$E30,'Attrition Modeling'!$C:$C,'Traditional Attrition'!AO$1),VLOOKUP('Traditional Attrition'!AO$2-'Traditional Attrition'!$F30-1,'Traditional Attrition'!$A$7:$C$161,2,FALSE)*VLOOKUP(AO$1,'Attrition Modeling'!$L$15:$N$27,IF(AO$2-$F30&lt;=24,2,3),FALSE))*(1+Projection!AQ$16)*(1+IF(AO162&gt;0,'Attrition Modeling'!$N$9,0))),0))</f>
        <v>7897.3707237569997</v>
      </c>
      <c r="AP30" s="799">
        <f>IF(AP$2=$F30+1,Monthly!AL$21,IF(AP$2&gt;$F30+1,('Traditional Attrition'!AO30+AP162)*(1-IF(AP$2-$F30&lt;=12,SUMIFS('Attrition Modeling'!$D:$D,'Attrition Modeling'!$B:$B,'Traditional Attrition'!$E30,'Attrition Modeling'!$C:$C,'Traditional Attrition'!AP$1),VLOOKUP('Traditional Attrition'!AP$2-'Traditional Attrition'!$F30-1,'Traditional Attrition'!$A$7:$C$161,2,FALSE)*VLOOKUP(AP$1,'Attrition Modeling'!$L$15:$N$27,IF(AP$2-$F30&lt;=24,2,3),FALSE))*(1+Projection!AR$16)*(1+IF(AP162&gt;0,'Attrition Modeling'!$N$9,0))),0))</f>
        <v>7308.3609651196175</v>
      </c>
      <c r="AQ30" s="799">
        <f>IF(AQ$2=$F30+1,Monthly!AM$21,IF(AQ$2&gt;$F30+1,('Traditional Attrition'!AP30+AQ162)*(1-IF(AQ$2-$F30&lt;=12,SUMIFS('Attrition Modeling'!$D:$D,'Attrition Modeling'!$B:$B,'Traditional Attrition'!$E30,'Attrition Modeling'!$C:$C,'Traditional Attrition'!AQ$1),VLOOKUP('Traditional Attrition'!AQ$2-'Traditional Attrition'!$F30-1,'Traditional Attrition'!$A$7:$C$161,2,FALSE)*VLOOKUP(AQ$1,'Attrition Modeling'!$L$15:$N$27,IF(AQ$2-$F30&lt;=24,2,3),FALSE))*(1+Projection!AS$16)*(1+IF(AQ162&gt;0,'Attrition Modeling'!$N$9,0))),0))</f>
        <v>6872.6973630260254</v>
      </c>
      <c r="AR30" s="799">
        <f>IF(AR$2=$F30+1,Monthly!AN$21,IF(AR$2&gt;$F30+1,('Traditional Attrition'!AQ30+AR162)*(1-IF(AR$2-$F30&lt;=12,SUMIFS('Attrition Modeling'!$D:$D,'Attrition Modeling'!$B:$B,'Traditional Attrition'!$E30,'Attrition Modeling'!$C:$C,'Traditional Attrition'!AR$1),VLOOKUP('Traditional Attrition'!AR$2-'Traditional Attrition'!$F30-1,'Traditional Attrition'!$A$7:$C$161,2,FALSE)*VLOOKUP(AR$1,'Attrition Modeling'!$L$15:$N$27,IF(AR$2-$F30&lt;=24,2,3),FALSE))*(1+Projection!AT$16)*(1+IF(AR162&gt;0,'Attrition Modeling'!$N$9,0))),0))</f>
        <v>6487.2506535654411</v>
      </c>
      <c r="AS30" s="799">
        <f>IF(AS$2=$F30+1,Monthly!AO$21,IF(AS$2&gt;$F30+1,('Traditional Attrition'!AR30+AS162)*(1-IF(AS$2-$F30&lt;=12,SUMIFS('Attrition Modeling'!$D:$D,'Attrition Modeling'!$B:$B,'Traditional Attrition'!$E30,'Attrition Modeling'!$C:$C,'Traditional Attrition'!AS$1),VLOOKUP('Traditional Attrition'!AS$2-'Traditional Attrition'!$F30-1,'Traditional Attrition'!$A$7:$C$161,2,FALSE)*VLOOKUP(AS$1,'Attrition Modeling'!$L$15:$N$27,IF(AS$2-$F30&lt;=24,2,3),FALSE))*(1+Projection!AU$16)*(1+IF(AS162&gt;0,'Attrition Modeling'!$N$9,0))),0))</f>
        <v>6152.7879905996197</v>
      </c>
      <c r="AT30" s="799">
        <f>IF(AT$2=$F30+1,Monthly!AP$21,IF(AT$2&gt;$F30+1,('Traditional Attrition'!AS30+AT162)*(1-IF(AT$2-$F30&lt;=12,SUMIFS('Attrition Modeling'!$D:$D,'Attrition Modeling'!$B:$B,'Traditional Attrition'!$E30,'Attrition Modeling'!$C:$C,'Traditional Attrition'!AT$1),VLOOKUP('Traditional Attrition'!AT$2-'Traditional Attrition'!$F30-1,'Traditional Attrition'!$A$7:$C$161,2,FALSE)*VLOOKUP(AT$1,'Attrition Modeling'!$L$15:$N$27,IF(AT$2-$F30&lt;=24,2,3),FALSE))*(1+Projection!AV$16)*(1+IF(AT162&gt;0,'Attrition Modeling'!$N$9,0))),0))</f>
        <v>5955.7634135646385</v>
      </c>
      <c r="AU30" s="799">
        <f>IF(AU$2=$F30+1,Monthly!AQ$21,IF(AU$2&gt;$F30+1,('Traditional Attrition'!AT30+AU162)*(1-IF(AU$2-$F30&lt;=12,SUMIFS('Attrition Modeling'!$D:$D,'Attrition Modeling'!$B:$B,'Traditional Attrition'!$E30,'Attrition Modeling'!$C:$C,'Traditional Attrition'!AU$1),VLOOKUP('Traditional Attrition'!AU$2-'Traditional Attrition'!$F30-1,'Traditional Attrition'!$A$7:$C$161,2,FALSE)*VLOOKUP(AU$1,'Attrition Modeling'!$L$15:$N$27,IF(AU$2-$F30&lt;=24,2,3),FALSE))*(1+Projection!AW$16)*(1+IF(AU162&gt;0,'Attrition Modeling'!$N$9,0))),0))</f>
        <v>5646.1834818784564</v>
      </c>
      <c r="AV30" s="799">
        <f>IF(AV$2=$F30+1,Monthly!AR$21,IF(AV$2&gt;$F30+1,('Traditional Attrition'!AU30+AV162)*(1-IF(AV$2-$F30&lt;=12,SUMIFS('Attrition Modeling'!$D:$D,'Attrition Modeling'!$B:$B,'Traditional Attrition'!$E30,'Attrition Modeling'!$C:$C,'Traditional Attrition'!AV$1),VLOOKUP('Traditional Attrition'!AV$2-'Traditional Attrition'!$F30-1,'Traditional Attrition'!$A$7:$C$161,2,FALSE)*VLOOKUP(AV$1,'Attrition Modeling'!$L$15:$N$27,IF(AV$2-$F30&lt;=24,2,3),FALSE))*(1+Projection!AX$16)*(1+IF(AV162&gt;0,'Attrition Modeling'!$N$9,0))),0))</f>
        <v>5377.2986365130319</v>
      </c>
      <c r="AW30" s="799">
        <f>IF(AW$2=$F30+1,Monthly!AS$21,IF(AW$2&gt;$F30+1,('Traditional Attrition'!AV30+AW162)*(1-IF(AW$2-$F30&lt;=12,SUMIFS('Attrition Modeling'!$D:$D,'Attrition Modeling'!$B:$B,'Traditional Attrition'!$E30,'Attrition Modeling'!$C:$C,'Traditional Attrition'!AW$1),VLOOKUP('Traditional Attrition'!AW$2-'Traditional Attrition'!$F30-1,'Traditional Attrition'!$A$7:$C$161,2,FALSE)*VLOOKUP(AW$1,'Attrition Modeling'!$L$15:$N$27,IF(AW$2-$F30&lt;=24,2,3),FALSE))*(1+Projection!AY$16)*(1+IF(AW162&gt;0,'Attrition Modeling'!$N$9,0))),0))</f>
        <v>5109.9214977928095</v>
      </c>
      <c r="AX30" s="799">
        <f>IF(AX$2=$F30+1,Monthly!AT$21,IF(AX$2&gt;$F30+1,('Traditional Attrition'!AW30+AX162)*(1-IF(AX$2-$F30&lt;=12,SUMIFS('Attrition Modeling'!$D:$D,'Attrition Modeling'!$B:$B,'Traditional Attrition'!$E30,'Attrition Modeling'!$C:$C,'Traditional Attrition'!AX$1),VLOOKUP('Traditional Attrition'!AX$2-'Traditional Attrition'!$F30-1,'Traditional Attrition'!$A$7:$C$161,2,FALSE)*VLOOKUP(AX$1,'Attrition Modeling'!$L$15:$N$27,IF(AX$2-$F30&lt;=24,2,3),FALSE))*(1+Projection!AZ$16)*(1+IF(AX162&gt;0,'Attrition Modeling'!$N$9,0))),0))</f>
        <v>4859.3261580071458</v>
      </c>
      <c r="AY30" s="799">
        <f>IF(AY$2=$F30+1,Monthly!AU$21,IF(AY$2&gt;$F30+1,('Traditional Attrition'!AX30+AY162)*(1-IF(AY$2-$F30&lt;=12,SUMIFS('Attrition Modeling'!$D:$D,'Attrition Modeling'!$B:$B,'Traditional Attrition'!$E30,'Attrition Modeling'!$C:$C,'Traditional Attrition'!AY$1),VLOOKUP('Traditional Attrition'!AY$2-'Traditional Attrition'!$F30-1,'Traditional Attrition'!$A$7:$C$161,2,FALSE)*VLOOKUP(AY$1,'Attrition Modeling'!$L$15:$N$27,IF(AY$2-$F30&lt;=24,2,3),FALSE))*(1+Projection!BA$16)*(1+IF(AY162&gt;0,'Attrition Modeling'!$N$9,0))),0))</f>
        <v>4617.7988588147873</v>
      </c>
      <c r="AZ30" s="799">
        <f>IF(AZ$2=$F30+1,Monthly!AV$21,IF(AZ$2&gt;$F30+1,('Traditional Attrition'!AY30+AZ162)*(1-IF(AZ$2-$F30&lt;=12,SUMIFS('Attrition Modeling'!$D:$D,'Attrition Modeling'!$B:$B,'Traditional Attrition'!$E30,'Attrition Modeling'!$C:$C,'Traditional Attrition'!AZ$1),VLOOKUP('Traditional Attrition'!AZ$2-'Traditional Attrition'!$F30-1,'Traditional Attrition'!$A$7:$C$161,2,FALSE)*VLOOKUP(AZ$1,'Attrition Modeling'!$L$15:$N$27,IF(AZ$2-$F30&lt;=24,2,3),FALSE))*(1+Projection!BB$16)*(1+IF(AZ162&gt;0,'Attrition Modeling'!$N$9,0))),0))</f>
        <v>4792.6579552306739</v>
      </c>
      <c r="BA30" s="799">
        <f>IF(BA$2=$F30+1,Monthly!AW$21,IF(BA$2&gt;$F30+1,('Traditional Attrition'!AZ30+BA162)*(1-IF(BA$2-$F30&lt;=12,SUMIFS('Attrition Modeling'!$D:$D,'Attrition Modeling'!$B:$B,'Traditional Attrition'!$E30,'Attrition Modeling'!$C:$C,'Traditional Attrition'!BA$1),VLOOKUP('Traditional Attrition'!BA$2-'Traditional Attrition'!$F30-1,'Traditional Attrition'!$A$7:$C$161,2,FALSE)*VLOOKUP(BA$1,'Attrition Modeling'!$L$15:$N$27,IF(BA$2-$F30&lt;=24,2,3),FALSE))*(1+Projection!BC$16)*(1+IF(BA162&gt;0,'Attrition Modeling'!$N$9,0))),0))</f>
        <v>4580.5665162982741</v>
      </c>
      <c r="BB30" s="799">
        <f>IF(BB$2=$F30+1,Monthly!AX$21,IF(BB$2&gt;$F30+1,('Traditional Attrition'!BA30+BB162)*(1-IF(BB$2-$F30&lt;=12,SUMIFS('Attrition Modeling'!$D:$D,'Attrition Modeling'!$B:$B,'Traditional Attrition'!$E30,'Attrition Modeling'!$C:$C,'Traditional Attrition'!BB$1),VLOOKUP('Traditional Attrition'!BB$2-'Traditional Attrition'!$F30-1,'Traditional Attrition'!$A$7:$C$161,2,FALSE)*VLOOKUP(BB$1,'Attrition Modeling'!$L$15:$N$27,IF(BB$2-$F30&lt;=24,2,3),FALSE))*(1+Projection!BD$16)*(1+IF(BB162&gt;0,'Attrition Modeling'!$N$9,0))),0))</f>
        <v>4389.2704813018481</v>
      </c>
      <c r="BC30" s="799">
        <f>IF(BC$2=$F30+1,Monthly!AY$21,IF(BC$2&gt;$F30+1,('Traditional Attrition'!BB30+BC162)*(1-IF(BC$2-$F30&lt;=12,SUMIFS('Attrition Modeling'!$D:$D,'Attrition Modeling'!$B:$B,'Traditional Attrition'!$E30,'Attrition Modeling'!$C:$C,'Traditional Attrition'!BC$1),VLOOKUP('Traditional Attrition'!BC$2-'Traditional Attrition'!$F30-1,'Traditional Attrition'!$A$7:$C$161,2,FALSE)*VLOOKUP(BC$1,'Attrition Modeling'!$L$15:$N$27,IF(BC$2-$F30&lt;=24,2,3),FALSE))*(1+Projection!BE$16)*(1+IF(BC162&gt;0,'Attrition Modeling'!$N$9,0))),0))</f>
        <v>4210.9878950510974</v>
      </c>
      <c r="BD30" s="799">
        <f>IF(BD$2=$F30+1,Monthly!AZ$21,IF(BD$2&gt;$F30+1,('Traditional Attrition'!BC30+BD162)*(1-IF(BD$2-$F30&lt;=12,SUMIFS('Attrition Modeling'!$D:$D,'Attrition Modeling'!$B:$B,'Traditional Attrition'!$E30,'Attrition Modeling'!$C:$C,'Traditional Attrition'!BD$1),VLOOKUP('Traditional Attrition'!BD$2-'Traditional Attrition'!$F30-1,'Traditional Attrition'!$A$7:$C$161,2,FALSE)*VLOOKUP(BD$1,'Attrition Modeling'!$L$15:$N$27,IF(BD$2-$F30&lt;=24,2,3),FALSE))*(1+Projection!BF$16)*(1+IF(BD162&gt;0,'Attrition Modeling'!$N$9,0))),0))</f>
        <v>4042.4540999147735</v>
      </c>
      <c r="BE30" s="799">
        <f>IF(BE$2=$F30+1,Monthly!BA$21,IF(BE$2&gt;$F30+1,('Traditional Attrition'!BD30+BE162)*(1-IF(BE$2-$F30&lt;=12,SUMIFS('Attrition Modeling'!$D:$D,'Attrition Modeling'!$B:$B,'Traditional Attrition'!$E30,'Attrition Modeling'!$C:$C,'Traditional Attrition'!BE$1),VLOOKUP('Traditional Attrition'!BE$2-'Traditional Attrition'!$F30-1,'Traditional Attrition'!$A$7:$C$161,2,FALSE)*VLOOKUP(BE$1,'Attrition Modeling'!$L$15:$N$27,IF(BE$2-$F30&lt;=24,2,3),FALSE))*(1+Projection!BG$16)*(1+IF(BE162&gt;0,'Attrition Modeling'!$N$9,0))),0))</f>
        <v>3898.5887906316507</v>
      </c>
      <c r="BF30" s="799">
        <f>IF(BF$2=$F30+1,Monthly!BB$21,IF(BF$2&gt;$F30+1,('Traditional Attrition'!BE30+BF162)*(1-IF(BF$2-$F30&lt;=12,SUMIFS('Attrition Modeling'!$D:$D,'Attrition Modeling'!$B:$B,'Traditional Attrition'!$E30,'Attrition Modeling'!$C:$C,'Traditional Attrition'!BF$1),VLOOKUP('Traditional Attrition'!BF$2-'Traditional Attrition'!$F30-1,'Traditional Attrition'!$A$7:$C$161,2,FALSE)*VLOOKUP(BF$1,'Attrition Modeling'!$L$15:$N$27,IF(BF$2-$F30&lt;=24,2,3),FALSE))*(1+Projection!BH$16)*(1+IF(BF162&gt;0,'Attrition Modeling'!$N$9,0))),0))</f>
        <v>3749.5544652867775</v>
      </c>
      <c r="BG30" s="799">
        <f>IF(BG$2=$F30+1,Monthly!BC$21,IF(BG$2&gt;$F30+1,('Traditional Attrition'!BF30+BG162)*(1-IF(BG$2-$F30&lt;=12,SUMIFS('Attrition Modeling'!$D:$D,'Attrition Modeling'!$B:$B,'Traditional Attrition'!$E30,'Attrition Modeling'!$C:$C,'Traditional Attrition'!BG$1),VLOOKUP('Traditional Attrition'!BG$2-'Traditional Attrition'!$F30-1,'Traditional Attrition'!$A$7:$C$161,2,FALSE)*VLOOKUP(BG$1,'Attrition Modeling'!$L$15:$N$27,IF(BG$2-$F30&lt;=24,2,3),FALSE))*(1+Projection!BI$16)*(1+IF(BG162&gt;0,'Attrition Modeling'!$N$9,0))),0))</f>
        <v>3649.300803487115</v>
      </c>
      <c r="BH30" s="799">
        <f>IF(BH$2=$F30+1,Monthly!BD$21,IF(BH$2&gt;$F30+1,('Traditional Attrition'!BG30+BH162)*(1-IF(BH$2-$F30&lt;=12,SUMIFS('Attrition Modeling'!$D:$D,'Attrition Modeling'!$B:$B,'Traditional Attrition'!$E30,'Attrition Modeling'!$C:$C,'Traditional Attrition'!BH$1),VLOOKUP('Traditional Attrition'!BH$2-'Traditional Attrition'!$F30-1,'Traditional Attrition'!$A$7:$C$161,2,FALSE)*VLOOKUP(BH$1,'Attrition Modeling'!$L$15:$N$27,IF(BH$2-$F30&lt;=24,2,3),FALSE))*(1+Projection!BJ$16)*(1+IF(BH162&gt;0,'Attrition Modeling'!$N$9,0))),0))</f>
        <v>3533.1450612376102</v>
      </c>
      <c r="BI30" s="799">
        <f>IF(BI$2=$F30+1,Monthly!BE$21,IF(BI$2&gt;$F30+1,('Traditional Attrition'!BH30+BI162)*(1-IF(BI$2-$F30&lt;=12,SUMIFS('Attrition Modeling'!$D:$D,'Attrition Modeling'!$B:$B,'Traditional Attrition'!$E30,'Attrition Modeling'!$C:$C,'Traditional Attrition'!BI$1),VLOOKUP('Traditional Attrition'!BI$2-'Traditional Attrition'!$F30-1,'Traditional Attrition'!$A$7:$C$161,2,FALSE)*VLOOKUP(BI$1,'Attrition Modeling'!$L$15:$N$27,IF(BI$2-$F30&lt;=24,2,3),FALSE))*(1+Projection!BK$16)*(1+IF(BI162&gt;0,'Attrition Modeling'!$N$9,0))),0))</f>
        <v>3406.5345774711309</v>
      </c>
      <c r="BJ30" s="799">
        <f>IF(BJ$2=$F30+1,Monthly!BF$21,IF(BJ$2&gt;$F30+1,('Traditional Attrition'!BI30+BJ162)*(1-IF(BJ$2-$F30&lt;=12,SUMIFS('Attrition Modeling'!$D:$D,'Attrition Modeling'!$B:$B,'Traditional Attrition'!$E30,'Attrition Modeling'!$C:$C,'Traditional Attrition'!BJ$1),VLOOKUP('Traditional Attrition'!BJ$2-'Traditional Attrition'!$F30-1,'Traditional Attrition'!$A$7:$C$161,2,FALSE)*VLOOKUP(BJ$1,'Attrition Modeling'!$L$15:$N$27,IF(BJ$2-$F30&lt;=24,2,3),FALSE))*(1+Projection!BL$16)*(1+IF(BJ162&gt;0,'Attrition Modeling'!$N$9,0))),0))</f>
        <v>3275.2851211285338</v>
      </c>
      <c r="BK30" s="799">
        <f>IF(BK$2=$F30+1,Monthly!BG$21,IF(BK$2&gt;$F30+1,('Traditional Attrition'!BJ30+BK162)*(1-IF(BK$2-$F30&lt;=12,SUMIFS('Attrition Modeling'!$D:$D,'Attrition Modeling'!$B:$B,'Traditional Attrition'!$E30,'Attrition Modeling'!$C:$C,'Traditional Attrition'!BK$1),VLOOKUP('Traditional Attrition'!BK$2-'Traditional Attrition'!$F30-1,'Traditional Attrition'!$A$7:$C$161,2,FALSE)*VLOOKUP(BK$1,'Attrition Modeling'!$L$15:$N$27,IF(BK$2-$F30&lt;=24,2,3),FALSE))*(1+Projection!BM$16)*(1+IF(BK162&gt;0,'Attrition Modeling'!$N$9,0))),0))</f>
        <v>3141.5120222156947</v>
      </c>
      <c r="BL30" s="799">
        <f>IF(BL$2=$F30+1,Monthly!BH$21,IF(BL$2&gt;$F30+1,('Traditional Attrition'!BK30+BL162)*(1-IF(BL$2-$F30&lt;=12,SUMIFS('Attrition Modeling'!$D:$D,'Attrition Modeling'!$B:$B,'Traditional Attrition'!$E30,'Attrition Modeling'!$C:$C,'Traditional Attrition'!BL$1),VLOOKUP('Traditional Attrition'!BL$2-'Traditional Attrition'!$F30-1,'Traditional Attrition'!$A$7:$C$161,2,FALSE)*VLOOKUP(BL$1,'Attrition Modeling'!$L$15:$N$27,IF(BL$2-$F30&lt;=24,2,3),FALSE))*(1+Projection!BN$16)*(1+IF(BL162&gt;0,'Attrition Modeling'!$N$9,0))),0))</f>
        <v>3286.6071257961194</v>
      </c>
      <c r="BM30" s="799">
        <f>IF(BM$2=$F30+1,Monthly!BI$21,IF(BM$2&gt;$F30+1,('Traditional Attrition'!BL30+BM162)*(1-IF(BM$2-$F30&lt;=12,SUMIFS('Attrition Modeling'!$D:$D,'Attrition Modeling'!$B:$B,'Traditional Attrition'!$E30,'Attrition Modeling'!$C:$C,'Traditional Attrition'!BM$1),VLOOKUP('Traditional Attrition'!BM$2-'Traditional Attrition'!$F30-1,'Traditional Attrition'!$A$7:$C$161,2,FALSE)*VLOOKUP(BM$1,'Attrition Modeling'!$L$15:$N$27,IF(BM$2-$F30&lt;=24,2,3),FALSE))*(1+Projection!BO$16)*(1+IF(BM162&gt;0,'Attrition Modeling'!$N$9,0))),0))</f>
        <v>3167.8832649958067</v>
      </c>
      <c r="BN30" s="799">
        <f>IF(BN$2=$F30+1,Monthly!BJ$21,IF(BN$2&gt;$F30+1,('Traditional Attrition'!BM30+BN162)*(1-IF(BN$2-$F30&lt;=12,SUMIFS('Attrition Modeling'!$D:$D,'Attrition Modeling'!$B:$B,'Traditional Attrition'!$E30,'Attrition Modeling'!$C:$C,'Traditional Attrition'!BN$1),VLOOKUP('Traditional Attrition'!BN$2-'Traditional Attrition'!$F30-1,'Traditional Attrition'!$A$7:$C$161,2,FALSE)*VLOOKUP(BN$1,'Attrition Modeling'!$L$15:$N$27,IF(BN$2-$F30&lt;=24,2,3),FALSE))*(1+Projection!BP$16)*(1+IF(BN162&gt;0,'Attrition Modeling'!$N$9,0))),0))</f>
        <v>3057.3740015851013</v>
      </c>
      <c r="BO30" s="799">
        <f>IF(BO$2=$F30+1,Monthly!BK$21,IF(BO$2&gt;$F30+1,('Traditional Attrition'!BN30+BO162)*(1-IF(BO$2-$F30&lt;=12,SUMIFS('Attrition Modeling'!$D:$D,'Attrition Modeling'!$B:$B,'Traditional Attrition'!$E30,'Attrition Modeling'!$C:$C,'Traditional Attrition'!BO$1),VLOOKUP('Traditional Attrition'!BO$2-'Traditional Attrition'!$F30-1,'Traditional Attrition'!$A$7:$C$161,2,FALSE)*VLOOKUP(BO$1,'Attrition Modeling'!$L$15:$N$27,IF(BO$2-$F30&lt;=24,2,3),FALSE))*(1+Projection!BV$16)*(1+IF(BO162&gt;0,'Attrition Modeling'!$N$9,0))),0))</f>
        <v>2970.513348442898</v>
      </c>
      <c r="BP30" s="799">
        <f>IF(BP$2=$F30+1,Monthly!BL$21,IF(BP$2&gt;$F30+1,('Traditional Attrition'!BO30+BP162)*(1-IF(BP$2-$F30&lt;=12,SUMIFS('Attrition Modeling'!$D:$D,'Attrition Modeling'!$B:$B,'Traditional Attrition'!$E30,'Attrition Modeling'!$C:$C,'Traditional Attrition'!BP$1),VLOOKUP('Traditional Attrition'!BP$2-'Traditional Attrition'!$F30-1,'Traditional Attrition'!$A$7:$C$161,2,FALSE)*VLOOKUP(BP$1,'Attrition Modeling'!$L$15:$N$27,IF(BP$2-$F30&lt;=24,2,3),FALSE))*(1+Projection!BW$16)*(1+IF(BP162&gt;0,'Attrition Modeling'!$N$9,0))),0))</f>
        <v>2878.1538488066399</v>
      </c>
      <c r="BQ30" s="799">
        <f>IF(BQ$2=$F30+1,Monthly!BM$21,IF(BQ$2&gt;$F30+1,('Traditional Attrition'!BP30+BQ162)*(1-IF(BQ$2-$F30&lt;=12,SUMIFS('Attrition Modeling'!$D:$D,'Attrition Modeling'!$B:$B,'Traditional Attrition'!$E30,'Attrition Modeling'!$C:$C,'Traditional Attrition'!BQ$1),VLOOKUP('Traditional Attrition'!BQ$2-'Traditional Attrition'!$F30-1,'Traditional Attrition'!$A$7:$C$161,2,FALSE)*VLOOKUP(BQ$1,'Attrition Modeling'!$L$15:$N$27,IF(BQ$2-$F30&lt;=24,2,3),FALSE))*(1+Projection!BX$16)*(1+IF(BQ162&gt;0,'Attrition Modeling'!$N$9,0))),0))</f>
        <v>2792.4486052310563</v>
      </c>
      <c r="BR30" s="799">
        <f>IF(BR$2=$F30+1,Monthly!BN$21,IF(BR$2&gt;$F30+1,('Traditional Attrition'!BQ30+BR162)*(1-IF(BR$2-$F30&lt;=12,SUMIFS('Attrition Modeling'!$D:$D,'Attrition Modeling'!$B:$B,'Traditional Attrition'!$E30,'Attrition Modeling'!$C:$C,'Traditional Attrition'!BR$1),VLOOKUP('Traditional Attrition'!BR$2-'Traditional Attrition'!$F30-1,'Traditional Attrition'!$A$7:$C$161,2,FALSE)*VLOOKUP(BR$1,'Attrition Modeling'!$L$15:$N$27,IF(BR$2-$F30&lt;=24,2,3),FALSE))*(1+Projection!BY$16)*(1+IF(BR162&gt;0,'Attrition Modeling'!$N$9,0))),0))</f>
        <v>2713.6699289183848</v>
      </c>
      <c r="BS30" s="799">
        <f>IF(BS$2=$F30+1,Monthly!BO$21,IF(BS$2&gt;$F30+1,('Traditional Attrition'!BR30+BS162)*(1-IF(BS$2-$F30&lt;=12,SUMIFS('Attrition Modeling'!$D:$D,'Attrition Modeling'!$B:$B,'Traditional Attrition'!$E30,'Attrition Modeling'!$C:$C,'Traditional Attrition'!BS$1),VLOOKUP('Traditional Attrition'!BS$2-'Traditional Attrition'!$F30-1,'Traditional Attrition'!$A$7:$C$161,2,FALSE)*VLOOKUP(BS$1,'Attrition Modeling'!$L$15:$N$27,IF(BS$2-$F30&lt;=24,2,3),FALSE))*(1+Projection!BZ$16)*(1+IF(BS162&gt;0,'Attrition Modeling'!$N$9,0))),0))</f>
        <v>2653.4470784044211</v>
      </c>
      <c r="BT30" s="799">
        <f>IF(BT$2=$F30+1,Monthly!#REF!,IF(BT$2&gt;$F30+1,('Traditional Attrition'!BS30+BT162)*(1-IF(BT$2-$F30&lt;=12,SUMIFS('Attrition Modeling'!$D:$D,'Attrition Modeling'!$B:$B,'Traditional Attrition'!$E30,'Attrition Modeling'!$C:$C,'Traditional Attrition'!BT$1),VLOOKUP('Traditional Attrition'!BT$2-'Traditional Attrition'!$F30-1,'Traditional Attrition'!$A$7:$C$161,2,FALSE)*VLOOKUP(BT$1,'Attrition Modeling'!$L$15:$N$27,IF(BT$2-$F30&lt;=24,2,3),FALSE))*(1+Projection!CA$16)*(1+IF(BT162&gt;0,'Attrition Modeling'!$N$9,0))),0))</f>
        <v>2583.1123482597786</v>
      </c>
      <c r="BU30" s="799">
        <f>IF(BU$2=$F30+1,Monthly!#REF!,IF(BU$2&gt;$F30+1,('Traditional Attrition'!BT30+BU162)*(1-IF(BU$2-$F30&lt;=12,SUMIFS('Attrition Modeling'!$D:$D,'Attrition Modeling'!$B:$B,'Traditional Attrition'!$E30,'Attrition Modeling'!$C:$C,'Traditional Attrition'!BU$1),VLOOKUP('Traditional Attrition'!BU$2-'Traditional Attrition'!$F30-1,'Traditional Attrition'!$A$7:$C$161,2,FALSE)*VLOOKUP(BU$1,'Attrition Modeling'!$L$15:$N$27,IF(BU$2-$F30&lt;=24,2,3),FALSE))*(1+Projection!CB$16)*(1+IF(BU162&gt;0,'Attrition Modeling'!$N$9,0))),0))</f>
        <v>2505.7848901683346</v>
      </c>
    </row>
    <row r="31" spans="1:73" ht="14.25" customHeight="1" x14ac:dyDescent="0.2">
      <c r="A31" s="9">
        <v>24</v>
      </c>
      <c r="B31" s="25">
        <f>MAX('Attrition Modeling'!H28,$C$3)*(1-Summary!$C$20)</f>
        <v>3.6357656416387246E-2</v>
      </c>
      <c r="C31" s="24" t="e">
        <f t="shared" si="4"/>
        <v>#DIV/0!</v>
      </c>
      <c r="E31" s="11">
        <f t="shared" si="2"/>
        <v>4</v>
      </c>
      <c r="F31" s="11">
        <f t="shared" si="3"/>
        <v>28</v>
      </c>
      <c r="G31" s="799"/>
      <c r="H31" s="799">
        <f>IF(H$2=$F31+1,Monthly!D$21,IF(H$2&gt;$F31+1,('Traditional Attrition'!G31+H163)*(1-IF(H$2-$F31&lt;=12,SUMIFS('Attrition Modeling'!$D:$D,'Attrition Modeling'!$B:$B,'Traditional Attrition'!$E31,'Attrition Modeling'!$C:$C,'Traditional Attrition'!H$1),VLOOKUP('Traditional Attrition'!H$2-'Traditional Attrition'!$F31-1,'Traditional Attrition'!$A$7:$C$161,2,FALSE)*VLOOKUP(H$1,'Attrition Modeling'!$L$15:$N$27,IF(H$2-$F31&lt;=24,2,3),FALSE))*(1+Projection!J$16)*(1+IF(H163&gt;0,'Attrition Modeling'!$N$9,0))),0))</f>
        <v>0</v>
      </c>
      <c r="I31" s="799">
        <f>IF(I$2=$F31+1,Monthly!E$21,IF(I$2&gt;$F31+1,('Traditional Attrition'!H31+I163)*(1-IF(I$2-$F31&lt;=12,SUMIFS('Attrition Modeling'!$D:$D,'Attrition Modeling'!$B:$B,'Traditional Attrition'!$E31,'Attrition Modeling'!$C:$C,'Traditional Attrition'!I$1),VLOOKUP('Traditional Attrition'!I$2-'Traditional Attrition'!$F31-1,'Traditional Attrition'!$A$7:$C$161,2,FALSE)*VLOOKUP(I$1,'Attrition Modeling'!$L$15:$N$27,IF(I$2-$F31&lt;=24,2,3),FALSE))*(1+Projection!K$16)*(1+IF(I163&gt;0,'Attrition Modeling'!$N$9,0))),0))</f>
        <v>0</v>
      </c>
      <c r="J31" s="799">
        <f>IF(J$2=$F31+1,Monthly!F$21,IF(J$2&gt;$F31+1,('Traditional Attrition'!I31+J163)*(1-IF(J$2-$F31&lt;=12,SUMIFS('Attrition Modeling'!$D:$D,'Attrition Modeling'!$B:$B,'Traditional Attrition'!$E31,'Attrition Modeling'!$C:$C,'Traditional Attrition'!J$1),VLOOKUP('Traditional Attrition'!J$2-'Traditional Attrition'!$F31-1,'Traditional Attrition'!$A$7:$C$161,2,FALSE)*VLOOKUP(J$1,'Attrition Modeling'!$L$15:$N$27,IF(J$2-$F31&lt;=24,2,3),FALSE))*(1+Projection!L$16)*(1+IF(J163&gt;0,'Attrition Modeling'!$N$9,0))),0))</f>
        <v>0</v>
      </c>
      <c r="K31" s="799">
        <f>IF(K$2=$F31+1,Monthly!G$21,IF(K$2&gt;$F31+1,('Traditional Attrition'!J31+K163)*(1-IF(K$2-$F31&lt;=12,SUMIFS('Attrition Modeling'!$D:$D,'Attrition Modeling'!$B:$B,'Traditional Attrition'!$E31,'Attrition Modeling'!$C:$C,'Traditional Attrition'!K$1),VLOOKUP('Traditional Attrition'!K$2-'Traditional Attrition'!$F31-1,'Traditional Attrition'!$A$7:$C$161,2,FALSE)*VLOOKUP(K$1,'Attrition Modeling'!$L$15:$N$27,IF(K$2-$F31&lt;=24,2,3),FALSE))*(1+Projection!M$16)*(1+IF(K163&gt;0,'Attrition Modeling'!$N$9,0))),0))</f>
        <v>0</v>
      </c>
      <c r="L31" s="799">
        <f>IF(L$2=$F31+1,Monthly!H$21,IF(L$2&gt;$F31+1,('Traditional Attrition'!K31+L163)*(1-IF(L$2-$F31&lt;=12,SUMIFS('Attrition Modeling'!$D:$D,'Attrition Modeling'!$B:$B,'Traditional Attrition'!$E31,'Attrition Modeling'!$C:$C,'Traditional Attrition'!L$1),VLOOKUP('Traditional Attrition'!L$2-'Traditional Attrition'!$F31-1,'Traditional Attrition'!$A$7:$C$161,2,FALSE)*VLOOKUP(L$1,'Attrition Modeling'!$L$15:$N$27,IF(L$2-$F31&lt;=24,2,3),FALSE))*(1+Projection!N$16)*(1+IF(L163&gt;0,'Attrition Modeling'!$N$9,0))),0))</f>
        <v>0</v>
      </c>
      <c r="M31" s="799">
        <f>IF(M$2=$F31+1,Monthly!I$21,IF(M$2&gt;$F31+1,('Traditional Attrition'!L31+M163)*(1-IF(M$2-$F31&lt;=12,SUMIFS('Attrition Modeling'!$D:$D,'Attrition Modeling'!$B:$B,'Traditional Attrition'!$E31,'Attrition Modeling'!$C:$C,'Traditional Attrition'!M$1),VLOOKUP('Traditional Attrition'!M$2-'Traditional Attrition'!$F31-1,'Traditional Attrition'!$A$7:$C$161,2,FALSE)*VLOOKUP(M$1,'Attrition Modeling'!$L$15:$N$27,IF(M$2-$F31&lt;=24,2,3),FALSE))*(1+Projection!O$16)*(1+IF(M163&gt;0,'Attrition Modeling'!$N$9,0))),0))</f>
        <v>0</v>
      </c>
      <c r="N31" s="799">
        <f>IF(N$2=$F31+1,Monthly!J$21,IF(N$2&gt;$F31+1,('Traditional Attrition'!M31+N163)*(1-IF(N$2-$F31&lt;=12,SUMIFS('Attrition Modeling'!$D:$D,'Attrition Modeling'!$B:$B,'Traditional Attrition'!$E31,'Attrition Modeling'!$C:$C,'Traditional Attrition'!N$1),VLOOKUP('Traditional Attrition'!N$2-'Traditional Attrition'!$F31-1,'Traditional Attrition'!$A$7:$C$161,2,FALSE)*VLOOKUP(N$1,'Attrition Modeling'!$L$15:$N$27,IF(N$2-$F31&lt;=24,2,3),FALSE))*(1+Projection!P$16)*(1+IF(N163&gt;0,'Attrition Modeling'!$N$9,0))),0))</f>
        <v>0</v>
      </c>
      <c r="O31" s="799">
        <f>IF(O$2=$F31+1,Monthly!K$21,IF(O$2&gt;$F31+1,('Traditional Attrition'!N31+O163)*(1-IF(O$2-$F31&lt;=12,SUMIFS('Attrition Modeling'!$D:$D,'Attrition Modeling'!$B:$B,'Traditional Attrition'!$E31,'Attrition Modeling'!$C:$C,'Traditional Attrition'!O$1),VLOOKUP('Traditional Attrition'!O$2-'Traditional Attrition'!$F31-1,'Traditional Attrition'!$A$7:$C$161,2,FALSE)*VLOOKUP(O$1,'Attrition Modeling'!$L$15:$N$27,IF(O$2-$F31&lt;=24,2,3),FALSE))*(1+Projection!Q$16)*(1+IF(O163&gt;0,'Attrition Modeling'!$N$9,0))),0))</f>
        <v>0</v>
      </c>
      <c r="P31" s="799">
        <f>IF(P$2=$F31+1,Monthly!L$21,IF(P$2&gt;$F31+1,('Traditional Attrition'!O31+P163)*(1-IF(P$2-$F31&lt;=12,SUMIFS('Attrition Modeling'!$D:$D,'Attrition Modeling'!$B:$B,'Traditional Attrition'!$E31,'Attrition Modeling'!$C:$C,'Traditional Attrition'!P$1),VLOOKUP('Traditional Attrition'!P$2-'Traditional Attrition'!$F31-1,'Traditional Attrition'!$A$7:$C$161,2,FALSE)*VLOOKUP(P$1,'Attrition Modeling'!$L$15:$N$27,IF(P$2-$F31&lt;=24,2,3),FALSE))*(1+Projection!R$16)*(1+IF(P163&gt;0,'Attrition Modeling'!$N$9,0))),0))</f>
        <v>0</v>
      </c>
      <c r="Q31" s="799">
        <f>IF(Q$2=$F31+1,Monthly!M$21,IF(Q$2&gt;$F31+1,('Traditional Attrition'!P31+Q163)*(1-IF(Q$2-$F31&lt;=12,SUMIFS('Attrition Modeling'!$D:$D,'Attrition Modeling'!$B:$B,'Traditional Attrition'!$E31,'Attrition Modeling'!$C:$C,'Traditional Attrition'!Q$1),VLOOKUP('Traditional Attrition'!Q$2-'Traditional Attrition'!$F31-1,'Traditional Attrition'!$A$7:$C$161,2,FALSE)*VLOOKUP(Q$1,'Attrition Modeling'!$L$15:$N$27,IF(Q$2-$F31&lt;=24,2,3),FALSE))*(1+Projection!S$16)*(1+IF(Q163&gt;0,'Attrition Modeling'!$N$9,0))),0))</f>
        <v>0</v>
      </c>
      <c r="R31" s="799">
        <f>IF(R$2=$F31+1,Monthly!N$21,IF(R$2&gt;$F31+1,('Traditional Attrition'!Q31+R163)*(1-IF(R$2-$F31&lt;=12,SUMIFS('Attrition Modeling'!$D:$D,'Attrition Modeling'!$B:$B,'Traditional Attrition'!$E31,'Attrition Modeling'!$C:$C,'Traditional Attrition'!R$1),VLOOKUP('Traditional Attrition'!R$2-'Traditional Attrition'!$F31-1,'Traditional Attrition'!$A$7:$C$161,2,FALSE)*VLOOKUP(R$1,'Attrition Modeling'!$L$15:$N$27,IF(R$2-$F31&lt;=24,2,3),FALSE))*(1+Projection!T$16)*(1+IF(R163&gt;0,'Attrition Modeling'!$N$9,0))),0))</f>
        <v>0</v>
      </c>
      <c r="S31" s="799">
        <f>IF(S$2=$F31+1,Monthly!O$21,IF(S$2&gt;$F31+1,('Traditional Attrition'!R31+S163)*(1-IF(S$2-$F31&lt;=12,SUMIFS('Attrition Modeling'!$D:$D,'Attrition Modeling'!$B:$B,'Traditional Attrition'!$E31,'Attrition Modeling'!$C:$C,'Traditional Attrition'!S$1),VLOOKUP('Traditional Attrition'!S$2-'Traditional Attrition'!$F31-1,'Traditional Attrition'!$A$7:$C$161,2,FALSE)*VLOOKUP(S$1,'Attrition Modeling'!$L$15:$N$27,IF(S$2-$F31&lt;=24,2,3),FALSE))*(1+Projection!U$16)*(1+IF(S163&gt;0,'Attrition Modeling'!$N$9,0))),0))</f>
        <v>0</v>
      </c>
      <c r="T31" s="799">
        <f>IF(T$2=$F31+1,Monthly!P$21,IF(T$2&gt;$F31+1,('Traditional Attrition'!S31+T163)*(1-IF(T$2-$F31&lt;=12,SUMIFS('Attrition Modeling'!$D:$D,'Attrition Modeling'!$B:$B,'Traditional Attrition'!$E31,'Attrition Modeling'!$C:$C,'Traditional Attrition'!T$1),VLOOKUP('Traditional Attrition'!T$2-'Traditional Attrition'!$F31-1,'Traditional Attrition'!$A$7:$C$161,2,FALSE)*VLOOKUP(T$1,'Attrition Modeling'!$L$15:$N$27,IF(T$2-$F31&lt;=24,2,3),FALSE))*(1+Projection!V$16)*(1+IF(T163&gt;0,'Attrition Modeling'!$N$9,0))),0))</f>
        <v>0</v>
      </c>
      <c r="U31" s="799">
        <f>IF(U$2=$F31+1,Monthly!Q$21,IF(U$2&gt;$F31+1,('Traditional Attrition'!T31+U163)*(1-IF(U$2-$F31&lt;=12,SUMIFS('Attrition Modeling'!$D:$D,'Attrition Modeling'!$B:$B,'Traditional Attrition'!$E31,'Attrition Modeling'!$C:$C,'Traditional Attrition'!U$1),VLOOKUP('Traditional Attrition'!U$2-'Traditional Attrition'!$F31-1,'Traditional Attrition'!$A$7:$C$161,2,FALSE)*VLOOKUP(U$1,'Attrition Modeling'!$L$15:$N$27,IF(U$2-$F31&lt;=24,2,3),FALSE))*(1+Projection!W$16)*(1+IF(U163&gt;0,'Attrition Modeling'!$N$9,0))),0))</f>
        <v>0</v>
      </c>
      <c r="V31" s="799">
        <f>IF(V$2=$F31+1,Monthly!R$21,IF(V$2&gt;$F31+1,('Traditional Attrition'!U31+V163)*(1-IF(V$2-$F31&lt;=12,SUMIFS('Attrition Modeling'!$D:$D,'Attrition Modeling'!$B:$B,'Traditional Attrition'!$E31,'Attrition Modeling'!$C:$C,'Traditional Attrition'!V$1),VLOOKUP('Traditional Attrition'!V$2-'Traditional Attrition'!$F31-1,'Traditional Attrition'!$A$7:$C$161,2,FALSE)*VLOOKUP(V$1,'Attrition Modeling'!$L$15:$N$27,IF(V$2-$F31&lt;=24,2,3),FALSE))*(1+Projection!X$16)*(1+IF(V163&gt;0,'Attrition Modeling'!$N$9,0))),0))</f>
        <v>0</v>
      </c>
      <c r="W31" s="799">
        <f>IF(W$2=$F31+1,Monthly!S$21,IF(W$2&gt;$F31+1,('Traditional Attrition'!V31+W163)*(1-IF(W$2-$F31&lt;=12,SUMIFS('Attrition Modeling'!$D:$D,'Attrition Modeling'!$B:$B,'Traditional Attrition'!$E31,'Attrition Modeling'!$C:$C,'Traditional Attrition'!W$1),VLOOKUP('Traditional Attrition'!W$2-'Traditional Attrition'!$F31-1,'Traditional Attrition'!$A$7:$C$161,2,FALSE)*VLOOKUP(W$1,'Attrition Modeling'!$L$15:$N$27,IF(W$2-$F31&lt;=24,2,3),FALSE))*(1+Projection!Y$16)*(1+IF(W163&gt;0,'Attrition Modeling'!$N$9,0))),0))</f>
        <v>0</v>
      </c>
      <c r="X31" s="799">
        <f>IF(X$2=$F31+1,Monthly!T$21,IF(X$2&gt;$F31+1,('Traditional Attrition'!W31+X163)*(1-IF(X$2-$F31&lt;=12,SUMIFS('Attrition Modeling'!$D:$D,'Attrition Modeling'!$B:$B,'Traditional Attrition'!$E31,'Attrition Modeling'!$C:$C,'Traditional Attrition'!X$1),VLOOKUP('Traditional Attrition'!X$2-'Traditional Attrition'!$F31-1,'Traditional Attrition'!$A$7:$C$161,2,FALSE)*VLOOKUP(X$1,'Attrition Modeling'!$L$15:$N$27,IF(X$2-$F31&lt;=24,2,3),FALSE))*(1+Projection!Z$16)*(1+IF(X163&gt;0,'Attrition Modeling'!$N$9,0))),0))</f>
        <v>0</v>
      </c>
      <c r="Y31" s="799">
        <f>IF(Y$2=$F31+1,Monthly!U$21,IF(Y$2&gt;$F31+1,('Traditional Attrition'!X31+Y163)*(1-IF(Y$2-$F31&lt;=12,SUMIFS('Attrition Modeling'!$D:$D,'Attrition Modeling'!$B:$B,'Traditional Attrition'!$E31,'Attrition Modeling'!$C:$C,'Traditional Attrition'!Y$1),VLOOKUP('Traditional Attrition'!Y$2-'Traditional Attrition'!$F31-1,'Traditional Attrition'!$A$7:$C$161,2,FALSE)*VLOOKUP(Y$1,'Attrition Modeling'!$L$15:$N$27,IF(Y$2-$F31&lt;=24,2,3),FALSE))*(1+Projection!AA$16)*(1+IF(Y163&gt;0,'Attrition Modeling'!$N$9,0))),0))</f>
        <v>0</v>
      </c>
      <c r="Z31" s="799">
        <f>IF(Z$2=$F31+1,Monthly!V$21,IF(Z$2&gt;$F31+1,('Traditional Attrition'!Y31+Z163)*(1-IF(Z$2-$F31&lt;=12,SUMIFS('Attrition Modeling'!$D:$D,'Attrition Modeling'!$B:$B,'Traditional Attrition'!$E31,'Attrition Modeling'!$C:$C,'Traditional Attrition'!Z$1),VLOOKUP('Traditional Attrition'!Z$2-'Traditional Attrition'!$F31-1,'Traditional Attrition'!$A$7:$C$161,2,FALSE)*VLOOKUP(Z$1,'Attrition Modeling'!$L$15:$N$27,IF(Z$2-$F31&lt;=24,2,3),FALSE))*(1+Projection!AB$16)*(1+IF(Z163&gt;0,'Attrition Modeling'!$N$9,0))),0))</f>
        <v>0</v>
      </c>
      <c r="AA31" s="799">
        <f>IF(AA$2=$F31+1,Monthly!W$21,IF(AA$2&gt;$F31+1,('Traditional Attrition'!Z31+AA163)*(1-IF(AA$2-$F31&lt;=12,SUMIFS('Attrition Modeling'!$D:$D,'Attrition Modeling'!$B:$B,'Traditional Attrition'!$E31,'Attrition Modeling'!$C:$C,'Traditional Attrition'!AA$1),VLOOKUP('Traditional Attrition'!AA$2-'Traditional Attrition'!$F31-1,'Traditional Attrition'!$A$7:$C$161,2,FALSE)*VLOOKUP(AA$1,'Attrition Modeling'!$L$15:$N$27,IF(AA$2-$F31&lt;=24,2,3),FALSE))*(1+Projection!AC$16)*(1+IF(AA163&gt;0,'Attrition Modeling'!$N$9,0))),0))</f>
        <v>0</v>
      </c>
      <c r="AB31" s="799">
        <f>IF(AB$2=$F31+1,Monthly!X$21,IF(AB$2&gt;$F31+1,('Traditional Attrition'!AA31+AB163)*(1-IF(AB$2-$F31&lt;=12,SUMIFS('Attrition Modeling'!$D:$D,'Attrition Modeling'!$B:$B,'Traditional Attrition'!$E31,'Attrition Modeling'!$C:$C,'Traditional Attrition'!AB$1),VLOOKUP('Traditional Attrition'!AB$2-'Traditional Attrition'!$F31-1,'Traditional Attrition'!$A$7:$C$161,2,FALSE)*VLOOKUP(AB$1,'Attrition Modeling'!$L$15:$N$27,IF(AB$2-$F31&lt;=24,2,3),FALSE))*(1+Projection!AD$16)*(1+IF(AB163&gt;0,'Attrition Modeling'!$N$9,0))),0))</f>
        <v>0</v>
      </c>
      <c r="AC31" s="799">
        <f>IF(AC$2=$F31+1,Monthly!Y$21,IF(AC$2&gt;$F31+1,('Traditional Attrition'!AB31+AC163)*(1-IF(AC$2-$F31&lt;=12,SUMIFS('Attrition Modeling'!$D:$D,'Attrition Modeling'!$B:$B,'Traditional Attrition'!$E31,'Attrition Modeling'!$C:$C,'Traditional Attrition'!AC$1),VLOOKUP('Traditional Attrition'!AC$2-'Traditional Attrition'!$F31-1,'Traditional Attrition'!$A$7:$C$161,2,FALSE)*VLOOKUP(AC$1,'Attrition Modeling'!$L$15:$N$27,IF(AC$2-$F31&lt;=24,2,3),FALSE))*(1+Projection!AE$16)*(1+IF(AC163&gt;0,'Attrition Modeling'!$N$9,0))),0))</f>
        <v>0</v>
      </c>
      <c r="AD31" s="799">
        <f>IF(AD$2=$F31+1,Monthly!Z$21,IF(AD$2&gt;$F31+1,('Traditional Attrition'!AC31+AD163)*(1-IF(AD$2-$F31&lt;=12,SUMIFS('Attrition Modeling'!$D:$D,'Attrition Modeling'!$B:$B,'Traditional Attrition'!$E31,'Attrition Modeling'!$C:$C,'Traditional Attrition'!AD$1),VLOOKUP('Traditional Attrition'!AD$2-'Traditional Attrition'!$F31-1,'Traditional Attrition'!$A$7:$C$161,2,FALSE)*VLOOKUP(AD$1,'Attrition Modeling'!$L$15:$N$27,IF(AD$2-$F31&lt;=24,2,3),FALSE))*(1+Projection!AF$16)*(1+IF(AD163&gt;0,'Attrition Modeling'!$N$9,0))),0))</f>
        <v>0</v>
      </c>
      <c r="AE31" s="799">
        <f>IF(AE$2=$F31+1,Monthly!AA$21,IF(AE$2&gt;$F31+1,('Traditional Attrition'!AD31+AE163)*(1-IF(AE$2-$F31&lt;=12,SUMIFS('Attrition Modeling'!$D:$D,'Attrition Modeling'!$B:$B,'Traditional Attrition'!$E31,'Attrition Modeling'!$C:$C,'Traditional Attrition'!AE$1),VLOOKUP('Traditional Attrition'!AE$2-'Traditional Attrition'!$F31-1,'Traditional Attrition'!$A$7:$C$161,2,FALSE)*VLOOKUP(AE$1,'Attrition Modeling'!$L$15:$N$27,IF(AE$2-$F31&lt;=24,2,3),FALSE))*(1+Projection!AG$16)*(1+IF(AE163&gt;0,'Attrition Modeling'!$N$9,0))),0))</f>
        <v>0</v>
      </c>
      <c r="AF31" s="799">
        <f>IF(AF$2=$F31+1,Monthly!AB$21,IF(AF$2&gt;$F31+1,('Traditional Attrition'!AE31+AF163)*(1-IF(AF$2-$F31&lt;=12,SUMIFS('Attrition Modeling'!$D:$D,'Attrition Modeling'!$B:$B,'Traditional Attrition'!$E31,'Attrition Modeling'!$C:$C,'Traditional Attrition'!AF$1),VLOOKUP('Traditional Attrition'!AF$2-'Traditional Attrition'!$F31-1,'Traditional Attrition'!$A$7:$C$161,2,FALSE)*VLOOKUP(AF$1,'Attrition Modeling'!$L$15:$N$27,IF(AF$2-$F31&lt;=24,2,3),FALSE))*(1+Projection!AH$16)*(1+IF(AF163&gt;0,'Attrition Modeling'!$N$9,0))),0))</f>
        <v>0</v>
      </c>
      <c r="AG31" s="799">
        <f>IF(AG$2=$F31+1,Monthly!AC$21,IF(AG$2&gt;$F31+1,('Traditional Attrition'!AF31+AG163)*(1-IF(AG$2-$F31&lt;=12,SUMIFS('Attrition Modeling'!$D:$D,'Attrition Modeling'!$B:$B,'Traditional Attrition'!$E31,'Attrition Modeling'!$C:$C,'Traditional Attrition'!AG$1),VLOOKUP('Traditional Attrition'!AG$2-'Traditional Attrition'!$F31-1,'Traditional Attrition'!$A$7:$C$161,2,FALSE)*VLOOKUP(AG$1,'Attrition Modeling'!$L$15:$N$27,IF(AG$2-$F31&lt;=24,2,3),FALSE))*(1+Projection!AI$16)*(1+IF(AG163&gt;0,'Attrition Modeling'!$N$9,0))),0))</f>
        <v>0</v>
      </c>
      <c r="AH31" s="799">
        <f>IF(AH$2=$F31+1,Monthly!AD$21,IF(AH$2&gt;$F31+1,('Traditional Attrition'!AG31+AH163)*(1-IF(AH$2-$F31&lt;=12,SUMIFS('Attrition Modeling'!$D:$D,'Attrition Modeling'!$B:$B,'Traditional Attrition'!$E31,'Attrition Modeling'!$C:$C,'Traditional Attrition'!AH$1),VLOOKUP('Traditional Attrition'!AH$2-'Traditional Attrition'!$F31-1,'Traditional Attrition'!$A$7:$C$161,2,FALSE)*VLOOKUP(AH$1,'Attrition Modeling'!$L$15:$N$27,IF(AH$2-$F31&lt;=24,2,3),FALSE))*(1+Projection!AJ$16)*(1+IF(AH163&gt;0,'Attrition Modeling'!$N$9,0))),0))</f>
        <v>0</v>
      </c>
      <c r="AI31" s="799">
        <f>IF(AI$2=$F31+1,Monthly!AE$21,IF(AI$2&gt;$F31+1,('Traditional Attrition'!AH31+AI163)*(1-IF(AI$2-$F31&lt;=12,SUMIFS('Attrition Modeling'!$D:$D,'Attrition Modeling'!$B:$B,'Traditional Attrition'!$E31,'Attrition Modeling'!$C:$C,'Traditional Attrition'!AI$1),VLOOKUP('Traditional Attrition'!AI$2-'Traditional Attrition'!$F31-1,'Traditional Attrition'!$A$7:$C$161,2,FALSE)*VLOOKUP(AI$1,'Attrition Modeling'!$L$15:$N$27,IF(AI$2-$F31&lt;=24,2,3),FALSE))*(1+Projection!AK$16)*(1+IF(AI163&gt;0,'Attrition Modeling'!$N$9,0))),0))</f>
        <v>0</v>
      </c>
      <c r="AJ31" s="799">
        <f>IF(AJ$2=$F31+1,Monthly!AF$21,IF(AJ$2&gt;$F31+1,('Traditional Attrition'!AI31+AJ163)*(1-IF(AJ$2-$F31&lt;=12,SUMIFS('Attrition Modeling'!$D:$D,'Attrition Modeling'!$B:$B,'Traditional Attrition'!$E31,'Attrition Modeling'!$C:$C,'Traditional Attrition'!AJ$1),VLOOKUP('Traditional Attrition'!AJ$2-'Traditional Attrition'!$F31-1,'Traditional Attrition'!$A$7:$C$161,2,FALSE)*VLOOKUP(AJ$1,'Attrition Modeling'!$L$15:$N$27,IF(AJ$2-$F31&lt;=24,2,3),FALSE))*(1+Projection!AL$16)*(1+IF(AJ163&gt;0,'Attrition Modeling'!$N$9,0))),0))</f>
        <v>15758.992742427572</v>
      </c>
      <c r="AK31" s="799">
        <f>IF(AK$2=$F31+1,Monthly!AG$21,IF(AK$2&gt;$F31+1,('Traditional Attrition'!AJ31+AK163)*(1-IF(AK$2-$F31&lt;=12,SUMIFS('Attrition Modeling'!$D:$D,'Attrition Modeling'!$B:$B,'Traditional Attrition'!$E31,'Attrition Modeling'!$C:$C,'Traditional Attrition'!AK$1),VLOOKUP('Traditional Attrition'!AK$2-'Traditional Attrition'!$F31-1,'Traditional Attrition'!$A$7:$C$161,2,FALSE)*VLOOKUP(AK$1,'Attrition Modeling'!$L$15:$N$27,IF(AK$2-$F31&lt;=24,2,3),FALSE))*(1+Projection!AM$16)*(1+IF(AK163&gt;0,'Attrition Modeling'!$N$9,0))),0))</f>
        <v>14196.773377014733</v>
      </c>
      <c r="AL31" s="799">
        <f>IF(AL$2=$F31+1,Monthly!AH$21,IF(AL$2&gt;$F31+1,('Traditional Attrition'!AK31+AL163)*(1-IF(AL$2-$F31&lt;=12,SUMIFS('Attrition Modeling'!$D:$D,'Attrition Modeling'!$B:$B,'Traditional Attrition'!$E31,'Attrition Modeling'!$C:$C,'Traditional Attrition'!AL$1),VLOOKUP('Traditional Attrition'!AL$2-'Traditional Attrition'!$F31-1,'Traditional Attrition'!$A$7:$C$161,2,FALSE)*VLOOKUP(AL$1,'Attrition Modeling'!$L$15:$N$27,IF(AL$2-$F31&lt;=24,2,3),FALSE))*(1+Projection!AN$16)*(1+IF(AL163&gt;0,'Attrition Modeling'!$N$9,0))),0))</f>
        <v>12881.250241290527</v>
      </c>
      <c r="AM31" s="799">
        <f>IF(AM$2=$F31+1,Monthly!AI$21,IF(AM$2&gt;$F31+1,('Traditional Attrition'!AL31+AM163)*(1-IF(AM$2-$F31&lt;=12,SUMIFS('Attrition Modeling'!$D:$D,'Attrition Modeling'!$B:$B,'Traditional Attrition'!$E31,'Attrition Modeling'!$C:$C,'Traditional Attrition'!AM$1),VLOOKUP('Traditional Attrition'!AM$2-'Traditional Attrition'!$F31-1,'Traditional Attrition'!$A$7:$C$161,2,FALSE)*VLOOKUP(AM$1,'Attrition Modeling'!$L$15:$N$27,IF(AM$2-$F31&lt;=24,2,3),FALSE))*(1+Projection!AO$16)*(1+IF(AM163&gt;0,'Attrition Modeling'!$N$9,0))),0))</f>
        <v>11554.408043311227</v>
      </c>
      <c r="AN31" s="799">
        <f>IF(AN$2=$F31+1,Monthly!AJ$21,IF(AN$2&gt;$F31+1,('Traditional Attrition'!AM31+AN163)*(1-IF(AN$2-$F31&lt;=12,SUMIFS('Attrition Modeling'!$D:$D,'Attrition Modeling'!$B:$B,'Traditional Attrition'!$E31,'Attrition Modeling'!$C:$C,'Traditional Attrition'!AN$1),VLOOKUP('Traditional Attrition'!AN$2-'Traditional Attrition'!$F31-1,'Traditional Attrition'!$A$7:$C$161,2,FALSE)*VLOOKUP(AN$1,'Attrition Modeling'!$L$15:$N$27,IF(AN$2-$F31&lt;=24,2,3),FALSE))*(1+Projection!AP$16)*(1+IF(AN163&gt;0,'Attrition Modeling'!$N$9,0))),0))</f>
        <v>10614.722700372855</v>
      </c>
      <c r="AO31" s="799">
        <f>IF(AO$2=$F31+1,Monthly!AK$21,IF(AO$2&gt;$F31+1,('Traditional Attrition'!AN31+AO163)*(1-IF(AO$2-$F31&lt;=12,SUMIFS('Attrition Modeling'!$D:$D,'Attrition Modeling'!$B:$B,'Traditional Attrition'!$E31,'Attrition Modeling'!$C:$C,'Traditional Attrition'!AO$1),VLOOKUP('Traditional Attrition'!AO$2-'Traditional Attrition'!$F31-1,'Traditional Attrition'!$A$7:$C$161,2,FALSE)*VLOOKUP(AO$1,'Attrition Modeling'!$L$15:$N$27,IF(AO$2-$F31&lt;=24,2,3),FALSE))*(1+Projection!AQ$16)*(1+IF(AO163&gt;0,'Attrition Modeling'!$N$9,0))),0))</f>
        <v>10471.584479285586</v>
      </c>
      <c r="AP31" s="799">
        <f>IF(AP$2=$F31+1,Monthly!AL$21,IF(AP$2&gt;$F31+1,('Traditional Attrition'!AO31+AP163)*(1-IF(AP$2-$F31&lt;=12,SUMIFS('Attrition Modeling'!$D:$D,'Attrition Modeling'!$B:$B,'Traditional Attrition'!$E31,'Attrition Modeling'!$C:$C,'Traditional Attrition'!AP$1),VLOOKUP('Traditional Attrition'!AP$2-'Traditional Attrition'!$F31-1,'Traditional Attrition'!$A$7:$C$161,2,FALSE)*VLOOKUP(AP$1,'Attrition Modeling'!$L$15:$N$27,IF(AP$2-$F31&lt;=24,2,3),FALSE))*(1+Projection!AR$16)*(1+IF(AP163&gt;0,'Attrition Modeling'!$N$9,0))),0))</f>
        <v>9650.9901755934534</v>
      </c>
      <c r="AQ31" s="799">
        <f>IF(AQ$2=$F31+1,Monthly!AM$21,IF(AQ$2&gt;$F31+1,('Traditional Attrition'!AP31+AQ163)*(1-IF(AQ$2-$F31&lt;=12,SUMIFS('Attrition Modeling'!$D:$D,'Attrition Modeling'!$B:$B,'Traditional Attrition'!$E31,'Attrition Modeling'!$C:$C,'Traditional Attrition'!AQ$1),VLOOKUP('Traditional Attrition'!AQ$2-'Traditional Attrition'!$F31-1,'Traditional Attrition'!$A$7:$C$161,2,FALSE)*VLOOKUP(AQ$1,'Attrition Modeling'!$L$15:$N$27,IF(AQ$2-$F31&lt;=24,2,3),FALSE))*(1+Projection!AS$16)*(1+IF(AQ163&gt;0,'Attrition Modeling'!$N$9,0))),0))</f>
        <v>9004.9867682147433</v>
      </c>
      <c r="AR31" s="799">
        <f>IF(AR$2=$F31+1,Monthly!AN$21,IF(AR$2&gt;$F31+1,('Traditional Attrition'!AQ31+AR163)*(1-IF(AR$2-$F31&lt;=12,SUMIFS('Attrition Modeling'!$D:$D,'Attrition Modeling'!$B:$B,'Traditional Attrition'!$E31,'Attrition Modeling'!$C:$C,'Traditional Attrition'!AR$1),VLOOKUP('Traditional Attrition'!AR$2-'Traditional Attrition'!$F31-1,'Traditional Attrition'!$A$7:$C$161,2,FALSE)*VLOOKUP(AR$1,'Attrition Modeling'!$L$15:$N$27,IF(AR$2-$F31&lt;=24,2,3),FALSE))*(1+Projection!AT$16)*(1+IF(AR163&gt;0,'Attrition Modeling'!$N$9,0))),0))</f>
        <v>8436.9875924737553</v>
      </c>
      <c r="AS31" s="799">
        <f>IF(AS$2=$F31+1,Monthly!AO$21,IF(AS$2&gt;$F31+1,('Traditional Attrition'!AR31+AS163)*(1-IF(AS$2-$F31&lt;=12,SUMIFS('Attrition Modeling'!$D:$D,'Attrition Modeling'!$B:$B,'Traditional Attrition'!$E31,'Attrition Modeling'!$C:$C,'Traditional Attrition'!AS$1),VLOOKUP('Traditional Attrition'!AS$2-'Traditional Attrition'!$F31-1,'Traditional Attrition'!$A$7:$C$161,2,FALSE)*VLOOKUP(AS$1,'Attrition Modeling'!$L$15:$N$27,IF(AS$2-$F31&lt;=24,2,3),FALSE))*(1+Projection!AU$16)*(1+IF(AS163&gt;0,'Attrition Modeling'!$N$9,0))),0))</f>
        <v>7997.1967056250442</v>
      </c>
      <c r="AT31" s="799">
        <f>IF(AT$2=$F31+1,Monthly!AP$21,IF(AT$2&gt;$F31+1,('Traditional Attrition'!AS31+AT163)*(1-IF(AT$2-$F31&lt;=12,SUMIFS('Attrition Modeling'!$D:$D,'Attrition Modeling'!$B:$B,'Traditional Attrition'!$E31,'Attrition Modeling'!$C:$C,'Traditional Attrition'!AT$1),VLOOKUP('Traditional Attrition'!AT$2-'Traditional Attrition'!$F31-1,'Traditional Attrition'!$A$7:$C$161,2,FALSE)*VLOOKUP(AT$1,'Attrition Modeling'!$L$15:$N$27,IF(AT$2-$F31&lt;=24,2,3),FALSE))*(1+Projection!AV$16)*(1+IF(AT163&gt;0,'Attrition Modeling'!$N$9,0))),0))</f>
        <v>7576.8209418871484</v>
      </c>
      <c r="AU31" s="799">
        <f>IF(AU$2=$F31+1,Monthly!AQ$21,IF(AU$2&gt;$F31+1,('Traditional Attrition'!AT31+AU163)*(1-IF(AU$2-$F31&lt;=12,SUMIFS('Attrition Modeling'!$D:$D,'Attrition Modeling'!$B:$B,'Traditional Attrition'!$E31,'Attrition Modeling'!$C:$C,'Traditional Attrition'!AU$1),VLOOKUP('Traditional Attrition'!AU$2-'Traditional Attrition'!$F31-1,'Traditional Attrition'!$A$7:$C$161,2,FALSE)*VLOOKUP(AU$1,'Attrition Modeling'!$L$15:$N$27,IF(AU$2-$F31&lt;=24,2,3),FALSE))*(1+Projection!AW$16)*(1+IF(AU163&gt;0,'Attrition Modeling'!$N$9,0))),0))</f>
        <v>7404.8144532153374</v>
      </c>
      <c r="AV31" s="799">
        <f>IF(AV$2=$F31+1,Monthly!AR$21,IF(AV$2&gt;$F31+1,('Traditional Attrition'!AU31+AV163)*(1-IF(AV$2-$F31&lt;=12,SUMIFS('Attrition Modeling'!$D:$D,'Attrition Modeling'!$B:$B,'Traditional Attrition'!$E31,'Attrition Modeling'!$C:$C,'Traditional Attrition'!AV$1),VLOOKUP('Traditional Attrition'!AV$2-'Traditional Attrition'!$F31-1,'Traditional Attrition'!$A$7:$C$161,2,FALSE)*VLOOKUP(AV$1,'Attrition Modeling'!$L$15:$N$27,IF(AV$2-$F31&lt;=24,2,3),FALSE))*(1+Projection!AX$16)*(1+IF(AV163&gt;0,'Attrition Modeling'!$N$9,0))),0))</f>
        <v>7022.6619369897271</v>
      </c>
      <c r="AW31" s="799">
        <f>IF(AW$2=$F31+1,Monthly!AS$21,IF(AW$2&gt;$F31+1,('Traditional Attrition'!AV31+AW163)*(1-IF(AW$2-$F31&lt;=12,SUMIFS('Attrition Modeling'!$D:$D,'Attrition Modeling'!$B:$B,'Traditional Attrition'!$E31,'Attrition Modeling'!$C:$C,'Traditional Attrition'!AW$1),VLOOKUP('Traditional Attrition'!AW$2-'Traditional Attrition'!$F31-1,'Traditional Attrition'!$A$7:$C$161,2,FALSE)*VLOOKUP(AW$1,'Attrition Modeling'!$L$15:$N$27,IF(AW$2-$F31&lt;=24,2,3),FALSE))*(1+Projection!AY$16)*(1+IF(AW163&gt;0,'Attrition Modeling'!$N$9,0))),0))</f>
        <v>6655.4936728673765</v>
      </c>
      <c r="AX31" s="799">
        <f>IF(AX$2=$F31+1,Monthly!AT$21,IF(AX$2&gt;$F31+1,('Traditional Attrition'!AW31+AX163)*(1-IF(AX$2-$F31&lt;=12,SUMIFS('Attrition Modeling'!$D:$D,'Attrition Modeling'!$B:$B,'Traditional Attrition'!$E31,'Attrition Modeling'!$C:$C,'Traditional Attrition'!AX$1),VLOOKUP('Traditional Attrition'!AX$2-'Traditional Attrition'!$F31-1,'Traditional Attrition'!$A$7:$C$161,2,FALSE)*VLOOKUP(AX$1,'Attrition Modeling'!$L$15:$N$27,IF(AX$2-$F31&lt;=24,2,3),FALSE))*(1+Projection!AZ$16)*(1+IF(AX163&gt;0,'Attrition Modeling'!$N$9,0))),0))</f>
        <v>6316.727052042962</v>
      </c>
      <c r="AY31" s="799">
        <f>IF(AY$2=$F31+1,Monthly!AU$21,IF(AY$2&gt;$F31+1,('Traditional Attrition'!AX31+AY163)*(1-IF(AY$2-$F31&lt;=12,SUMIFS('Attrition Modeling'!$D:$D,'Attrition Modeling'!$B:$B,'Traditional Attrition'!$E31,'Attrition Modeling'!$C:$C,'Traditional Attrition'!AY$1),VLOOKUP('Traditional Attrition'!AY$2-'Traditional Attrition'!$F31-1,'Traditional Attrition'!$A$7:$C$161,2,FALSE)*VLOOKUP(AY$1,'Attrition Modeling'!$L$15:$N$27,IF(AY$2-$F31&lt;=24,2,3),FALSE))*(1+Projection!BA$16)*(1+IF(AY163&gt;0,'Attrition Modeling'!$N$9,0))),0))</f>
        <v>5993.24817962416</v>
      </c>
      <c r="AZ31" s="799">
        <f>IF(AZ$2=$F31+1,Monthly!AV$21,IF(AZ$2&gt;$F31+1,('Traditional Attrition'!AY31+AZ163)*(1-IF(AZ$2-$F31&lt;=12,SUMIFS('Attrition Modeling'!$D:$D,'Attrition Modeling'!$B:$B,'Traditional Attrition'!$E31,'Attrition Modeling'!$C:$C,'Traditional Attrition'!AZ$1),VLOOKUP('Traditional Attrition'!AZ$2-'Traditional Attrition'!$F31-1,'Traditional Attrition'!$A$7:$C$161,2,FALSE)*VLOOKUP(AZ$1,'Attrition Modeling'!$L$15:$N$27,IF(AZ$2-$F31&lt;=24,2,3),FALSE))*(1+Projection!BB$16)*(1+IF(AZ163&gt;0,'Attrition Modeling'!$N$9,0))),0))</f>
        <v>5721.6134724587801</v>
      </c>
      <c r="BA31" s="799">
        <f>IF(BA$2=$F31+1,Monthly!AW$21,IF(BA$2&gt;$F31+1,('Traditional Attrition'!AZ31+BA163)*(1-IF(BA$2-$F31&lt;=12,SUMIFS('Attrition Modeling'!$D:$D,'Attrition Modeling'!$B:$B,'Traditional Attrition'!$E31,'Attrition Modeling'!$C:$C,'Traditional Attrition'!BA$1),VLOOKUP('Traditional Attrition'!BA$2-'Traditional Attrition'!$F31-1,'Traditional Attrition'!$A$7:$C$161,2,FALSE)*VLOOKUP(BA$1,'Attrition Modeling'!$L$15:$N$27,IF(BA$2-$F31&lt;=24,2,3),FALSE))*(1+Projection!BC$16)*(1+IF(BA163&gt;0,'Attrition Modeling'!$N$9,0))),0))</f>
        <v>5930.5744357731719</v>
      </c>
      <c r="BB31" s="799">
        <f>IF(BB$2=$F31+1,Monthly!AX$21,IF(BB$2&gt;$F31+1,('Traditional Attrition'!BA31+BB163)*(1-IF(BB$2-$F31&lt;=12,SUMIFS('Attrition Modeling'!$D:$D,'Attrition Modeling'!$B:$B,'Traditional Attrition'!$E31,'Attrition Modeling'!$C:$C,'Traditional Attrition'!BB$1),VLOOKUP('Traditional Attrition'!BB$2-'Traditional Attrition'!$F31-1,'Traditional Attrition'!$A$7:$C$161,2,FALSE)*VLOOKUP(BB$1,'Attrition Modeling'!$L$15:$N$27,IF(BB$2-$F31&lt;=24,2,3),FALSE))*(1+Projection!BD$16)*(1+IF(BB163&gt;0,'Attrition Modeling'!$N$9,0))),0))</f>
        <v>5678.1017250614277</v>
      </c>
      <c r="BC31" s="799">
        <f>IF(BC$2=$F31+1,Monthly!AY$21,IF(BC$2&gt;$F31+1,('Traditional Attrition'!BB31+BC163)*(1-IF(BC$2-$F31&lt;=12,SUMIFS('Attrition Modeling'!$D:$D,'Attrition Modeling'!$B:$B,'Traditional Attrition'!$E31,'Attrition Modeling'!$C:$C,'Traditional Attrition'!BC$1),VLOOKUP('Traditional Attrition'!BC$2-'Traditional Attrition'!$F31-1,'Traditional Attrition'!$A$7:$C$161,2,FALSE)*VLOOKUP(BC$1,'Attrition Modeling'!$L$15:$N$27,IF(BC$2-$F31&lt;=24,2,3),FALSE))*(1+Projection!BE$16)*(1+IF(BC163&gt;0,'Attrition Modeling'!$N$9,0))),0))</f>
        <v>5443.4611199358296</v>
      </c>
      <c r="BD31" s="799">
        <f>IF(BD$2=$F31+1,Monthly!AZ$21,IF(BD$2&gt;$F31+1,('Traditional Attrition'!BC31+BD163)*(1-IF(BD$2-$F31&lt;=12,SUMIFS('Attrition Modeling'!$D:$D,'Attrition Modeling'!$B:$B,'Traditional Attrition'!$E31,'Attrition Modeling'!$C:$C,'Traditional Attrition'!BD$1),VLOOKUP('Traditional Attrition'!BD$2-'Traditional Attrition'!$F31-1,'Traditional Attrition'!$A$7:$C$161,2,FALSE)*VLOOKUP(BD$1,'Attrition Modeling'!$L$15:$N$27,IF(BD$2-$F31&lt;=24,2,3),FALSE))*(1+Projection!BF$16)*(1+IF(BD163&gt;0,'Attrition Modeling'!$N$9,0))),0))</f>
        <v>5222.1601452378209</v>
      </c>
      <c r="BE31" s="799">
        <f>IF(BE$2=$F31+1,Monthly!BA$21,IF(BE$2&gt;$F31+1,('Traditional Attrition'!BD31+BE163)*(1-IF(BE$2-$F31&lt;=12,SUMIFS('Attrition Modeling'!$D:$D,'Attrition Modeling'!$B:$B,'Traditional Attrition'!$E31,'Attrition Modeling'!$C:$C,'Traditional Attrition'!BE$1),VLOOKUP('Traditional Attrition'!BE$2-'Traditional Attrition'!$F31-1,'Traditional Attrition'!$A$7:$C$161,2,FALSE)*VLOOKUP(BE$1,'Attrition Modeling'!$L$15:$N$27,IF(BE$2-$F31&lt;=24,2,3),FALSE))*(1+Projection!BG$16)*(1+IF(BE163&gt;0,'Attrition Modeling'!$N$9,0))),0))</f>
        <v>5033.6171291566134</v>
      </c>
      <c r="BF31" s="799">
        <f>IF(BF$2=$F31+1,Monthly!BB$21,IF(BF$2&gt;$F31+1,('Traditional Attrition'!BE31+BF163)*(1-IF(BF$2-$F31&lt;=12,SUMIFS('Attrition Modeling'!$D:$D,'Attrition Modeling'!$B:$B,'Traditional Attrition'!$E31,'Attrition Modeling'!$C:$C,'Traditional Attrition'!BF$1),VLOOKUP('Traditional Attrition'!BF$2-'Traditional Attrition'!$F31-1,'Traditional Attrition'!$A$7:$C$161,2,FALSE)*VLOOKUP(BF$1,'Attrition Modeling'!$L$15:$N$27,IF(BF$2-$F31&lt;=24,2,3),FALSE))*(1+Projection!BH$16)*(1+IF(BF163&gt;0,'Attrition Modeling'!$N$9,0))),0))</f>
        <v>4838.6130038826877</v>
      </c>
      <c r="BG31" s="799">
        <f>IF(BG$2=$F31+1,Monthly!BC$21,IF(BG$2&gt;$F31+1,('Traditional Attrition'!BF31+BG163)*(1-IF(BG$2-$F31&lt;=12,SUMIFS('Attrition Modeling'!$D:$D,'Attrition Modeling'!$B:$B,'Traditional Attrition'!$E31,'Attrition Modeling'!$C:$C,'Traditional Attrition'!BG$1),VLOOKUP('Traditional Attrition'!BG$2-'Traditional Attrition'!$F31-1,'Traditional Attrition'!$A$7:$C$161,2,FALSE)*VLOOKUP(BG$1,'Attrition Modeling'!$L$15:$N$27,IF(BG$2-$F31&lt;=24,2,3),FALSE))*(1+Projection!BI$16)*(1+IF(BG163&gt;0,'Attrition Modeling'!$N$9,0))),0))</f>
        <v>4656.7462689336216</v>
      </c>
      <c r="BH31" s="799">
        <f>IF(BH$2=$F31+1,Monthly!BD$21,IF(BH$2&gt;$F31+1,('Traditional Attrition'!BG31+BH163)*(1-IF(BH$2-$F31&lt;=12,SUMIFS('Attrition Modeling'!$D:$D,'Attrition Modeling'!$B:$B,'Traditional Attrition'!$E31,'Attrition Modeling'!$C:$C,'Traditional Attrition'!BH$1),VLOOKUP('Traditional Attrition'!BH$2-'Traditional Attrition'!$F31-1,'Traditional Attrition'!$A$7:$C$161,2,FALSE)*VLOOKUP(BH$1,'Attrition Modeling'!$L$15:$N$27,IF(BH$2-$F31&lt;=24,2,3),FALSE))*(1+Projection!BJ$16)*(1+IF(BH163&gt;0,'Attrition Modeling'!$N$9,0))),0))</f>
        <v>4505.9430422036539</v>
      </c>
      <c r="BI31" s="799">
        <f>IF(BI$2=$F31+1,Monthly!BE$21,IF(BI$2&gt;$F31+1,('Traditional Attrition'!BH31+BI163)*(1-IF(BI$2-$F31&lt;=12,SUMIFS('Attrition Modeling'!$D:$D,'Attrition Modeling'!$B:$B,'Traditional Attrition'!$E31,'Attrition Modeling'!$C:$C,'Traditional Attrition'!BI$1),VLOOKUP('Traditional Attrition'!BI$2-'Traditional Attrition'!$F31-1,'Traditional Attrition'!$A$7:$C$161,2,FALSE)*VLOOKUP(BI$1,'Attrition Modeling'!$L$15:$N$27,IF(BI$2-$F31&lt;=24,2,3),FALSE))*(1+Projection!BK$16)*(1+IF(BI163&gt;0,'Attrition Modeling'!$N$9,0))),0))</f>
        <v>4341.7250090634352</v>
      </c>
      <c r="BJ31" s="799">
        <f>IF(BJ$2=$F31+1,Monthly!BF$21,IF(BJ$2&gt;$F31+1,('Traditional Attrition'!BI31+BJ163)*(1-IF(BJ$2-$F31&lt;=12,SUMIFS('Attrition Modeling'!$D:$D,'Attrition Modeling'!$B:$B,'Traditional Attrition'!$E31,'Attrition Modeling'!$C:$C,'Traditional Attrition'!BJ$1),VLOOKUP('Traditional Attrition'!BJ$2-'Traditional Attrition'!$F31-1,'Traditional Attrition'!$A$7:$C$161,2,FALSE)*VLOOKUP(BJ$1,'Attrition Modeling'!$L$15:$N$27,IF(BJ$2-$F31&lt;=24,2,3),FALSE))*(1+Projection!BL$16)*(1+IF(BJ163&gt;0,'Attrition Modeling'!$N$9,0))),0))</f>
        <v>4171.6595662341297</v>
      </c>
      <c r="BK31" s="799">
        <f>IF(BK$2=$F31+1,Monthly!BG$21,IF(BK$2&gt;$F31+1,('Traditional Attrition'!BJ31+BK163)*(1-IF(BK$2-$F31&lt;=12,SUMIFS('Attrition Modeling'!$D:$D,'Attrition Modeling'!$B:$B,'Traditional Attrition'!$E31,'Attrition Modeling'!$C:$C,'Traditional Attrition'!BK$1),VLOOKUP('Traditional Attrition'!BK$2-'Traditional Attrition'!$F31-1,'Traditional Attrition'!$A$7:$C$161,2,FALSE)*VLOOKUP(BK$1,'Attrition Modeling'!$L$15:$N$27,IF(BK$2-$F31&lt;=24,2,3),FALSE))*(1+Projection!BM$16)*(1+IF(BK163&gt;0,'Attrition Modeling'!$N$9,0))),0))</f>
        <v>3998.4983478368863</v>
      </c>
      <c r="BL31" s="799">
        <f>IF(BL$2=$F31+1,Monthly!BH$21,IF(BL$2&gt;$F31+1,('Traditional Attrition'!BK31+BL163)*(1-IF(BL$2-$F31&lt;=12,SUMIFS('Attrition Modeling'!$D:$D,'Attrition Modeling'!$B:$B,'Traditional Attrition'!$E31,'Attrition Modeling'!$C:$C,'Traditional Attrition'!BL$1),VLOOKUP('Traditional Attrition'!BL$2-'Traditional Attrition'!$F31-1,'Traditional Attrition'!$A$7:$C$161,2,FALSE)*VLOOKUP(BL$1,'Attrition Modeling'!$L$15:$N$27,IF(BL$2-$F31&lt;=24,2,3),FALSE))*(1+Projection!BN$16)*(1+IF(BL163&gt;0,'Attrition Modeling'!$N$9,0))),0))</f>
        <v>3844.6339490520477</v>
      </c>
      <c r="BM31" s="799">
        <f>IF(BM$2=$F31+1,Monthly!BI$21,IF(BM$2&gt;$F31+1,('Traditional Attrition'!BL31+BM163)*(1-IF(BM$2-$F31&lt;=12,SUMIFS('Attrition Modeling'!$D:$D,'Attrition Modeling'!$B:$B,'Traditional Attrition'!$E31,'Attrition Modeling'!$C:$C,'Traditional Attrition'!BM$1),VLOOKUP('Traditional Attrition'!BM$2-'Traditional Attrition'!$F31-1,'Traditional Attrition'!$A$7:$C$161,2,FALSE)*VLOOKUP(BM$1,'Attrition Modeling'!$L$15:$N$27,IF(BM$2-$F31&lt;=24,2,3),FALSE))*(1+Projection!BO$16)*(1+IF(BM163&gt;0,'Attrition Modeling'!$N$9,0))),0))</f>
        <v>3965.7180335062444</v>
      </c>
      <c r="BN31" s="799">
        <f>IF(BN$2=$F31+1,Monthly!BJ$21,IF(BN$2&gt;$F31+1,('Traditional Attrition'!BM31+BN163)*(1-IF(BN$2-$F31&lt;=12,SUMIFS('Attrition Modeling'!$D:$D,'Attrition Modeling'!$B:$B,'Traditional Attrition'!$E31,'Attrition Modeling'!$C:$C,'Traditional Attrition'!BN$1),VLOOKUP('Traditional Attrition'!BN$2-'Traditional Attrition'!$F31-1,'Traditional Attrition'!$A$7:$C$161,2,FALSE)*VLOOKUP(BN$1,'Attrition Modeling'!$L$15:$N$27,IF(BN$2-$F31&lt;=24,2,3),FALSE))*(1+Projection!BP$16)*(1+IF(BN163&gt;0,'Attrition Modeling'!$N$9,0))),0))</f>
        <v>3825.2465379280034</v>
      </c>
      <c r="BO31" s="799">
        <f>IF(BO$2=$F31+1,Monthly!BK$21,IF(BO$2&gt;$F31+1,('Traditional Attrition'!BN31+BO163)*(1-IF(BO$2-$F31&lt;=12,SUMIFS('Attrition Modeling'!$D:$D,'Attrition Modeling'!$B:$B,'Traditional Attrition'!$E31,'Attrition Modeling'!$C:$C,'Traditional Attrition'!BO$1),VLOOKUP('Traditional Attrition'!BO$2-'Traditional Attrition'!$F31-1,'Traditional Attrition'!$A$7:$C$161,2,FALSE)*VLOOKUP(BO$1,'Attrition Modeling'!$L$15:$N$27,IF(BO$2-$F31&lt;=24,2,3),FALSE))*(1+Projection!BV$16)*(1+IF(BO163&gt;0,'Attrition Modeling'!$N$9,0))),0))</f>
        <v>3714.9255361123169</v>
      </c>
      <c r="BP31" s="799">
        <f>IF(BP$2=$F31+1,Monthly!BL$21,IF(BP$2&gt;$F31+1,('Traditional Attrition'!BO31+BP163)*(1-IF(BP$2-$F31&lt;=12,SUMIFS('Attrition Modeling'!$D:$D,'Attrition Modeling'!$B:$B,'Traditional Attrition'!$E31,'Attrition Modeling'!$C:$C,'Traditional Attrition'!BP$1),VLOOKUP('Traditional Attrition'!BP$2-'Traditional Attrition'!$F31-1,'Traditional Attrition'!$A$7:$C$161,2,FALSE)*VLOOKUP(BP$1,'Attrition Modeling'!$L$15:$N$27,IF(BP$2-$F31&lt;=24,2,3),FALSE))*(1+Projection!BW$16)*(1+IF(BP163&gt;0,'Attrition Modeling'!$N$9,0))),0))</f>
        <v>3597.7009862719633</v>
      </c>
      <c r="BQ31" s="799">
        <f>IF(BQ$2=$F31+1,Monthly!BM$21,IF(BQ$2&gt;$F31+1,('Traditional Attrition'!BP31+BQ163)*(1-IF(BQ$2-$F31&lt;=12,SUMIFS('Attrition Modeling'!$D:$D,'Attrition Modeling'!$B:$B,'Traditional Attrition'!$E31,'Attrition Modeling'!$C:$C,'Traditional Attrition'!BQ$1),VLOOKUP('Traditional Attrition'!BQ$2-'Traditional Attrition'!$F31-1,'Traditional Attrition'!$A$7:$C$161,2,FALSE)*VLOOKUP(BQ$1,'Attrition Modeling'!$L$15:$N$27,IF(BQ$2-$F31&lt;=24,2,3),FALSE))*(1+Projection!BX$16)*(1+IF(BQ163&gt;0,'Attrition Modeling'!$N$9,0))),0))</f>
        <v>3488.9990666324793</v>
      </c>
      <c r="BR31" s="799">
        <f>IF(BR$2=$F31+1,Monthly!BN$21,IF(BR$2&gt;$F31+1,('Traditional Attrition'!BQ31+BR163)*(1-IF(BR$2-$F31&lt;=12,SUMIFS('Attrition Modeling'!$D:$D,'Attrition Modeling'!$B:$B,'Traditional Attrition'!$E31,'Attrition Modeling'!$C:$C,'Traditional Attrition'!BR$1),VLOOKUP('Traditional Attrition'!BR$2-'Traditional Attrition'!$F31-1,'Traditional Attrition'!$A$7:$C$161,2,FALSE)*VLOOKUP(BR$1,'Attrition Modeling'!$L$15:$N$27,IF(BR$2-$F31&lt;=24,2,3),FALSE))*(1+Projection!BY$16)*(1+IF(BR163&gt;0,'Attrition Modeling'!$N$9,0))),0))</f>
        <v>3389.1488122237561</v>
      </c>
      <c r="BS31" s="799">
        <f>IF(BS$2=$F31+1,Monthly!BO$21,IF(BS$2&gt;$F31+1,('Traditional Attrition'!BR31+BS163)*(1-IF(BS$2-$F31&lt;=12,SUMIFS('Attrition Modeling'!$D:$D,'Attrition Modeling'!$B:$B,'Traditional Attrition'!$E31,'Attrition Modeling'!$C:$C,'Traditional Attrition'!BS$1),VLOOKUP('Traditional Attrition'!BS$2-'Traditional Attrition'!$F31-1,'Traditional Attrition'!$A$7:$C$161,2,FALSE)*VLOOKUP(BS$1,'Attrition Modeling'!$L$15:$N$27,IF(BS$2-$F31&lt;=24,2,3),FALSE))*(1+Projection!BZ$16)*(1+IF(BS163&gt;0,'Attrition Modeling'!$N$9,0))),0))</f>
        <v>3312.8652275398968</v>
      </c>
      <c r="BT31" s="799">
        <f>IF(BT$2=$F31+1,Monthly!#REF!,IF(BT$2&gt;$F31+1,('Traditional Attrition'!BS31+BT163)*(1-IF(BT$2-$F31&lt;=12,SUMIFS('Attrition Modeling'!$D:$D,'Attrition Modeling'!$B:$B,'Traditional Attrition'!$E31,'Attrition Modeling'!$C:$C,'Traditional Attrition'!BT$1),VLOOKUP('Traditional Attrition'!BT$2-'Traditional Attrition'!$F31-1,'Traditional Attrition'!$A$7:$C$161,2,FALSE)*VLOOKUP(BT$1,'Attrition Modeling'!$L$15:$N$27,IF(BT$2-$F31&lt;=24,2,3),FALSE))*(1+Projection!CA$16)*(1+IF(BT163&gt;0,'Attrition Modeling'!$N$9,0))),0))</f>
        <v>3223.8189979047684</v>
      </c>
      <c r="BU31" s="799">
        <f>IF(BU$2=$F31+1,Monthly!#REF!,IF(BU$2&gt;$F31+1,('Traditional Attrition'!BT31+BU163)*(1-IF(BU$2-$F31&lt;=12,SUMIFS('Attrition Modeling'!$D:$D,'Attrition Modeling'!$B:$B,'Traditional Attrition'!$E31,'Attrition Modeling'!$C:$C,'Traditional Attrition'!BU$1),VLOOKUP('Traditional Attrition'!BU$2-'Traditional Attrition'!$F31-1,'Traditional Attrition'!$A$7:$C$161,2,FALSE)*VLOOKUP(BU$1,'Attrition Modeling'!$L$15:$N$27,IF(BU$2-$F31&lt;=24,2,3),FALSE))*(1+Projection!CB$16)*(1+IF(BU163&gt;0,'Attrition Modeling'!$N$9,0))),0))</f>
        <v>3125.975003882495</v>
      </c>
    </row>
    <row r="32" spans="1:73" ht="14.25" customHeight="1" x14ac:dyDescent="0.2">
      <c r="A32" s="9">
        <v>25</v>
      </c>
      <c r="B32" s="25">
        <f>MAX('Attrition Modeling'!H29,$C$3)*(1-Summary!$C$20)</f>
        <v>3.5735416142973743E-2</v>
      </c>
      <c r="C32" s="24" t="e">
        <f t="shared" si="4"/>
        <v>#DIV/0!</v>
      </c>
      <c r="E32" s="11">
        <f t="shared" si="2"/>
        <v>5</v>
      </c>
      <c r="F32" s="11">
        <f t="shared" si="3"/>
        <v>29</v>
      </c>
      <c r="G32" s="799"/>
      <c r="H32" s="799">
        <f>IF(H$2=$F32+1,Monthly!D$21,IF(H$2&gt;$F32+1,('Traditional Attrition'!G32+H164)*(1-IF(H$2-$F32&lt;=12,SUMIFS('Attrition Modeling'!$D:$D,'Attrition Modeling'!$B:$B,'Traditional Attrition'!$E32,'Attrition Modeling'!$C:$C,'Traditional Attrition'!H$1),VLOOKUP('Traditional Attrition'!H$2-'Traditional Attrition'!$F32-1,'Traditional Attrition'!$A$7:$C$161,2,FALSE)*VLOOKUP(H$1,'Attrition Modeling'!$L$15:$N$27,IF(H$2-$F32&lt;=24,2,3),FALSE))*(1+Projection!J$16)*(1+IF(H164&gt;0,'Attrition Modeling'!$N$9,0))),0))</f>
        <v>0</v>
      </c>
      <c r="I32" s="799">
        <f>IF(I$2=$F32+1,Monthly!E$21,IF(I$2&gt;$F32+1,('Traditional Attrition'!H32+I164)*(1-IF(I$2-$F32&lt;=12,SUMIFS('Attrition Modeling'!$D:$D,'Attrition Modeling'!$B:$B,'Traditional Attrition'!$E32,'Attrition Modeling'!$C:$C,'Traditional Attrition'!I$1),VLOOKUP('Traditional Attrition'!I$2-'Traditional Attrition'!$F32-1,'Traditional Attrition'!$A$7:$C$161,2,FALSE)*VLOOKUP(I$1,'Attrition Modeling'!$L$15:$N$27,IF(I$2-$F32&lt;=24,2,3),FALSE))*(1+Projection!K$16)*(1+IF(I164&gt;0,'Attrition Modeling'!$N$9,0))),0))</f>
        <v>0</v>
      </c>
      <c r="J32" s="799">
        <f>IF(J$2=$F32+1,Monthly!F$21,IF(J$2&gt;$F32+1,('Traditional Attrition'!I32+J164)*(1-IF(J$2-$F32&lt;=12,SUMIFS('Attrition Modeling'!$D:$D,'Attrition Modeling'!$B:$B,'Traditional Attrition'!$E32,'Attrition Modeling'!$C:$C,'Traditional Attrition'!J$1),VLOOKUP('Traditional Attrition'!J$2-'Traditional Attrition'!$F32-1,'Traditional Attrition'!$A$7:$C$161,2,FALSE)*VLOOKUP(J$1,'Attrition Modeling'!$L$15:$N$27,IF(J$2-$F32&lt;=24,2,3),FALSE))*(1+Projection!L$16)*(1+IF(J164&gt;0,'Attrition Modeling'!$N$9,0))),0))</f>
        <v>0</v>
      </c>
      <c r="K32" s="799">
        <f>IF(K$2=$F32+1,Monthly!G$21,IF(K$2&gt;$F32+1,('Traditional Attrition'!J32+K164)*(1-IF(K$2-$F32&lt;=12,SUMIFS('Attrition Modeling'!$D:$D,'Attrition Modeling'!$B:$B,'Traditional Attrition'!$E32,'Attrition Modeling'!$C:$C,'Traditional Attrition'!K$1),VLOOKUP('Traditional Attrition'!K$2-'Traditional Attrition'!$F32-1,'Traditional Attrition'!$A$7:$C$161,2,FALSE)*VLOOKUP(K$1,'Attrition Modeling'!$L$15:$N$27,IF(K$2-$F32&lt;=24,2,3),FALSE))*(1+Projection!M$16)*(1+IF(K164&gt;0,'Attrition Modeling'!$N$9,0))),0))</f>
        <v>0</v>
      </c>
      <c r="L32" s="799">
        <f>IF(L$2=$F32+1,Monthly!H$21,IF(L$2&gt;$F32+1,('Traditional Attrition'!K32+L164)*(1-IF(L$2-$F32&lt;=12,SUMIFS('Attrition Modeling'!$D:$D,'Attrition Modeling'!$B:$B,'Traditional Attrition'!$E32,'Attrition Modeling'!$C:$C,'Traditional Attrition'!L$1),VLOOKUP('Traditional Attrition'!L$2-'Traditional Attrition'!$F32-1,'Traditional Attrition'!$A$7:$C$161,2,FALSE)*VLOOKUP(L$1,'Attrition Modeling'!$L$15:$N$27,IF(L$2-$F32&lt;=24,2,3),FALSE))*(1+Projection!N$16)*(1+IF(L164&gt;0,'Attrition Modeling'!$N$9,0))),0))</f>
        <v>0</v>
      </c>
      <c r="M32" s="799">
        <f>IF(M$2=$F32+1,Monthly!I$21,IF(M$2&gt;$F32+1,('Traditional Attrition'!L32+M164)*(1-IF(M$2-$F32&lt;=12,SUMIFS('Attrition Modeling'!$D:$D,'Attrition Modeling'!$B:$B,'Traditional Attrition'!$E32,'Attrition Modeling'!$C:$C,'Traditional Attrition'!M$1),VLOOKUP('Traditional Attrition'!M$2-'Traditional Attrition'!$F32-1,'Traditional Attrition'!$A$7:$C$161,2,FALSE)*VLOOKUP(M$1,'Attrition Modeling'!$L$15:$N$27,IF(M$2-$F32&lt;=24,2,3),FALSE))*(1+Projection!O$16)*(1+IF(M164&gt;0,'Attrition Modeling'!$N$9,0))),0))</f>
        <v>0</v>
      </c>
      <c r="N32" s="799">
        <f>IF(N$2=$F32+1,Monthly!J$21,IF(N$2&gt;$F32+1,('Traditional Attrition'!M32+N164)*(1-IF(N$2-$F32&lt;=12,SUMIFS('Attrition Modeling'!$D:$D,'Attrition Modeling'!$B:$B,'Traditional Attrition'!$E32,'Attrition Modeling'!$C:$C,'Traditional Attrition'!N$1),VLOOKUP('Traditional Attrition'!N$2-'Traditional Attrition'!$F32-1,'Traditional Attrition'!$A$7:$C$161,2,FALSE)*VLOOKUP(N$1,'Attrition Modeling'!$L$15:$N$27,IF(N$2-$F32&lt;=24,2,3),FALSE))*(1+Projection!P$16)*(1+IF(N164&gt;0,'Attrition Modeling'!$N$9,0))),0))</f>
        <v>0</v>
      </c>
      <c r="O32" s="799">
        <f>IF(O$2=$F32+1,Monthly!K$21,IF(O$2&gt;$F32+1,('Traditional Attrition'!N32+O164)*(1-IF(O$2-$F32&lt;=12,SUMIFS('Attrition Modeling'!$D:$D,'Attrition Modeling'!$B:$B,'Traditional Attrition'!$E32,'Attrition Modeling'!$C:$C,'Traditional Attrition'!O$1),VLOOKUP('Traditional Attrition'!O$2-'Traditional Attrition'!$F32-1,'Traditional Attrition'!$A$7:$C$161,2,FALSE)*VLOOKUP(O$1,'Attrition Modeling'!$L$15:$N$27,IF(O$2-$F32&lt;=24,2,3),FALSE))*(1+Projection!Q$16)*(1+IF(O164&gt;0,'Attrition Modeling'!$N$9,0))),0))</f>
        <v>0</v>
      </c>
      <c r="P32" s="799">
        <f>IF(P$2=$F32+1,Monthly!L$21,IF(P$2&gt;$F32+1,('Traditional Attrition'!O32+P164)*(1-IF(P$2-$F32&lt;=12,SUMIFS('Attrition Modeling'!$D:$D,'Attrition Modeling'!$B:$B,'Traditional Attrition'!$E32,'Attrition Modeling'!$C:$C,'Traditional Attrition'!P$1),VLOOKUP('Traditional Attrition'!P$2-'Traditional Attrition'!$F32-1,'Traditional Attrition'!$A$7:$C$161,2,FALSE)*VLOOKUP(P$1,'Attrition Modeling'!$L$15:$N$27,IF(P$2-$F32&lt;=24,2,3),FALSE))*(1+Projection!R$16)*(1+IF(P164&gt;0,'Attrition Modeling'!$N$9,0))),0))</f>
        <v>0</v>
      </c>
      <c r="Q32" s="799">
        <f>IF(Q$2=$F32+1,Monthly!M$21,IF(Q$2&gt;$F32+1,('Traditional Attrition'!P32+Q164)*(1-IF(Q$2-$F32&lt;=12,SUMIFS('Attrition Modeling'!$D:$D,'Attrition Modeling'!$B:$B,'Traditional Attrition'!$E32,'Attrition Modeling'!$C:$C,'Traditional Attrition'!Q$1),VLOOKUP('Traditional Attrition'!Q$2-'Traditional Attrition'!$F32-1,'Traditional Attrition'!$A$7:$C$161,2,FALSE)*VLOOKUP(Q$1,'Attrition Modeling'!$L$15:$N$27,IF(Q$2-$F32&lt;=24,2,3),FALSE))*(1+Projection!S$16)*(1+IF(Q164&gt;0,'Attrition Modeling'!$N$9,0))),0))</f>
        <v>0</v>
      </c>
      <c r="R32" s="799">
        <f>IF(R$2=$F32+1,Monthly!N$21,IF(R$2&gt;$F32+1,('Traditional Attrition'!Q32+R164)*(1-IF(R$2-$F32&lt;=12,SUMIFS('Attrition Modeling'!$D:$D,'Attrition Modeling'!$B:$B,'Traditional Attrition'!$E32,'Attrition Modeling'!$C:$C,'Traditional Attrition'!R$1),VLOOKUP('Traditional Attrition'!R$2-'Traditional Attrition'!$F32-1,'Traditional Attrition'!$A$7:$C$161,2,FALSE)*VLOOKUP(R$1,'Attrition Modeling'!$L$15:$N$27,IF(R$2-$F32&lt;=24,2,3),FALSE))*(1+Projection!T$16)*(1+IF(R164&gt;0,'Attrition Modeling'!$N$9,0))),0))</f>
        <v>0</v>
      </c>
      <c r="S32" s="799">
        <f>IF(S$2=$F32+1,Monthly!O$21,IF(S$2&gt;$F32+1,('Traditional Attrition'!R32+S164)*(1-IF(S$2-$F32&lt;=12,SUMIFS('Attrition Modeling'!$D:$D,'Attrition Modeling'!$B:$B,'Traditional Attrition'!$E32,'Attrition Modeling'!$C:$C,'Traditional Attrition'!S$1),VLOOKUP('Traditional Attrition'!S$2-'Traditional Attrition'!$F32-1,'Traditional Attrition'!$A$7:$C$161,2,FALSE)*VLOOKUP(S$1,'Attrition Modeling'!$L$15:$N$27,IF(S$2-$F32&lt;=24,2,3),FALSE))*(1+Projection!U$16)*(1+IF(S164&gt;0,'Attrition Modeling'!$N$9,0))),0))</f>
        <v>0</v>
      </c>
      <c r="T32" s="799">
        <f>IF(T$2=$F32+1,Monthly!P$21,IF(T$2&gt;$F32+1,('Traditional Attrition'!S32+T164)*(1-IF(T$2-$F32&lt;=12,SUMIFS('Attrition Modeling'!$D:$D,'Attrition Modeling'!$B:$B,'Traditional Attrition'!$E32,'Attrition Modeling'!$C:$C,'Traditional Attrition'!T$1),VLOOKUP('Traditional Attrition'!T$2-'Traditional Attrition'!$F32-1,'Traditional Attrition'!$A$7:$C$161,2,FALSE)*VLOOKUP(T$1,'Attrition Modeling'!$L$15:$N$27,IF(T$2-$F32&lt;=24,2,3),FALSE))*(1+Projection!V$16)*(1+IF(T164&gt;0,'Attrition Modeling'!$N$9,0))),0))</f>
        <v>0</v>
      </c>
      <c r="U32" s="799">
        <f>IF(U$2=$F32+1,Monthly!Q$21,IF(U$2&gt;$F32+1,('Traditional Attrition'!T32+U164)*(1-IF(U$2-$F32&lt;=12,SUMIFS('Attrition Modeling'!$D:$D,'Attrition Modeling'!$B:$B,'Traditional Attrition'!$E32,'Attrition Modeling'!$C:$C,'Traditional Attrition'!U$1),VLOOKUP('Traditional Attrition'!U$2-'Traditional Attrition'!$F32-1,'Traditional Attrition'!$A$7:$C$161,2,FALSE)*VLOOKUP(U$1,'Attrition Modeling'!$L$15:$N$27,IF(U$2-$F32&lt;=24,2,3),FALSE))*(1+Projection!W$16)*(1+IF(U164&gt;0,'Attrition Modeling'!$N$9,0))),0))</f>
        <v>0</v>
      </c>
      <c r="V32" s="799">
        <f>IF(V$2=$F32+1,Monthly!R$21,IF(V$2&gt;$F32+1,('Traditional Attrition'!U32+V164)*(1-IF(V$2-$F32&lt;=12,SUMIFS('Attrition Modeling'!$D:$D,'Attrition Modeling'!$B:$B,'Traditional Attrition'!$E32,'Attrition Modeling'!$C:$C,'Traditional Attrition'!V$1),VLOOKUP('Traditional Attrition'!V$2-'Traditional Attrition'!$F32-1,'Traditional Attrition'!$A$7:$C$161,2,FALSE)*VLOOKUP(V$1,'Attrition Modeling'!$L$15:$N$27,IF(V$2-$F32&lt;=24,2,3),FALSE))*(1+Projection!X$16)*(1+IF(V164&gt;0,'Attrition Modeling'!$N$9,0))),0))</f>
        <v>0</v>
      </c>
      <c r="W32" s="799">
        <f>IF(W$2=$F32+1,Monthly!S$21,IF(W$2&gt;$F32+1,('Traditional Attrition'!V32+W164)*(1-IF(W$2-$F32&lt;=12,SUMIFS('Attrition Modeling'!$D:$D,'Attrition Modeling'!$B:$B,'Traditional Attrition'!$E32,'Attrition Modeling'!$C:$C,'Traditional Attrition'!W$1),VLOOKUP('Traditional Attrition'!W$2-'Traditional Attrition'!$F32-1,'Traditional Attrition'!$A$7:$C$161,2,FALSE)*VLOOKUP(W$1,'Attrition Modeling'!$L$15:$N$27,IF(W$2-$F32&lt;=24,2,3),FALSE))*(1+Projection!Y$16)*(1+IF(W164&gt;0,'Attrition Modeling'!$N$9,0))),0))</f>
        <v>0</v>
      </c>
      <c r="X32" s="799">
        <f>IF(X$2=$F32+1,Monthly!T$21,IF(X$2&gt;$F32+1,('Traditional Attrition'!W32+X164)*(1-IF(X$2-$F32&lt;=12,SUMIFS('Attrition Modeling'!$D:$D,'Attrition Modeling'!$B:$B,'Traditional Attrition'!$E32,'Attrition Modeling'!$C:$C,'Traditional Attrition'!X$1),VLOOKUP('Traditional Attrition'!X$2-'Traditional Attrition'!$F32-1,'Traditional Attrition'!$A$7:$C$161,2,FALSE)*VLOOKUP(X$1,'Attrition Modeling'!$L$15:$N$27,IF(X$2-$F32&lt;=24,2,3),FALSE))*(1+Projection!Z$16)*(1+IF(X164&gt;0,'Attrition Modeling'!$N$9,0))),0))</f>
        <v>0</v>
      </c>
      <c r="Y32" s="799">
        <f>IF(Y$2=$F32+1,Monthly!U$21,IF(Y$2&gt;$F32+1,('Traditional Attrition'!X32+Y164)*(1-IF(Y$2-$F32&lt;=12,SUMIFS('Attrition Modeling'!$D:$D,'Attrition Modeling'!$B:$B,'Traditional Attrition'!$E32,'Attrition Modeling'!$C:$C,'Traditional Attrition'!Y$1),VLOOKUP('Traditional Attrition'!Y$2-'Traditional Attrition'!$F32-1,'Traditional Attrition'!$A$7:$C$161,2,FALSE)*VLOOKUP(Y$1,'Attrition Modeling'!$L$15:$N$27,IF(Y$2-$F32&lt;=24,2,3),FALSE))*(1+Projection!AA$16)*(1+IF(Y164&gt;0,'Attrition Modeling'!$N$9,0))),0))</f>
        <v>0</v>
      </c>
      <c r="Z32" s="799">
        <f>IF(Z$2=$F32+1,Monthly!V$21,IF(Z$2&gt;$F32+1,('Traditional Attrition'!Y32+Z164)*(1-IF(Z$2-$F32&lt;=12,SUMIFS('Attrition Modeling'!$D:$D,'Attrition Modeling'!$B:$B,'Traditional Attrition'!$E32,'Attrition Modeling'!$C:$C,'Traditional Attrition'!Z$1),VLOOKUP('Traditional Attrition'!Z$2-'Traditional Attrition'!$F32-1,'Traditional Attrition'!$A$7:$C$161,2,FALSE)*VLOOKUP(Z$1,'Attrition Modeling'!$L$15:$N$27,IF(Z$2-$F32&lt;=24,2,3),FALSE))*(1+Projection!AB$16)*(1+IF(Z164&gt;0,'Attrition Modeling'!$N$9,0))),0))</f>
        <v>0</v>
      </c>
      <c r="AA32" s="799">
        <f>IF(AA$2=$F32+1,Monthly!W$21,IF(AA$2&gt;$F32+1,('Traditional Attrition'!Z32+AA164)*(1-IF(AA$2-$F32&lt;=12,SUMIFS('Attrition Modeling'!$D:$D,'Attrition Modeling'!$B:$B,'Traditional Attrition'!$E32,'Attrition Modeling'!$C:$C,'Traditional Attrition'!AA$1),VLOOKUP('Traditional Attrition'!AA$2-'Traditional Attrition'!$F32-1,'Traditional Attrition'!$A$7:$C$161,2,FALSE)*VLOOKUP(AA$1,'Attrition Modeling'!$L$15:$N$27,IF(AA$2-$F32&lt;=24,2,3),FALSE))*(1+Projection!AC$16)*(1+IF(AA164&gt;0,'Attrition Modeling'!$N$9,0))),0))</f>
        <v>0</v>
      </c>
      <c r="AB32" s="799">
        <f>IF(AB$2=$F32+1,Monthly!X$21,IF(AB$2&gt;$F32+1,('Traditional Attrition'!AA32+AB164)*(1-IF(AB$2-$F32&lt;=12,SUMIFS('Attrition Modeling'!$D:$D,'Attrition Modeling'!$B:$B,'Traditional Attrition'!$E32,'Attrition Modeling'!$C:$C,'Traditional Attrition'!AB$1),VLOOKUP('Traditional Attrition'!AB$2-'Traditional Attrition'!$F32-1,'Traditional Attrition'!$A$7:$C$161,2,FALSE)*VLOOKUP(AB$1,'Attrition Modeling'!$L$15:$N$27,IF(AB$2-$F32&lt;=24,2,3),FALSE))*(1+Projection!AD$16)*(1+IF(AB164&gt;0,'Attrition Modeling'!$N$9,0))),0))</f>
        <v>0</v>
      </c>
      <c r="AC32" s="799">
        <f>IF(AC$2=$F32+1,Monthly!Y$21,IF(AC$2&gt;$F32+1,('Traditional Attrition'!AB32+AC164)*(1-IF(AC$2-$F32&lt;=12,SUMIFS('Attrition Modeling'!$D:$D,'Attrition Modeling'!$B:$B,'Traditional Attrition'!$E32,'Attrition Modeling'!$C:$C,'Traditional Attrition'!AC$1),VLOOKUP('Traditional Attrition'!AC$2-'Traditional Attrition'!$F32-1,'Traditional Attrition'!$A$7:$C$161,2,FALSE)*VLOOKUP(AC$1,'Attrition Modeling'!$L$15:$N$27,IF(AC$2-$F32&lt;=24,2,3),FALSE))*(1+Projection!AE$16)*(1+IF(AC164&gt;0,'Attrition Modeling'!$N$9,0))),0))</f>
        <v>0</v>
      </c>
      <c r="AD32" s="799">
        <f>IF(AD$2=$F32+1,Monthly!Z$21,IF(AD$2&gt;$F32+1,('Traditional Attrition'!AC32+AD164)*(1-IF(AD$2-$F32&lt;=12,SUMIFS('Attrition Modeling'!$D:$D,'Attrition Modeling'!$B:$B,'Traditional Attrition'!$E32,'Attrition Modeling'!$C:$C,'Traditional Attrition'!AD$1),VLOOKUP('Traditional Attrition'!AD$2-'Traditional Attrition'!$F32-1,'Traditional Attrition'!$A$7:$C$161,2,FALSE)*VLOOKUP(AD$1,'Attrition Modeling'!$L$15:$N$27,IF(AD$2-$F32&lt;=24,2,3),FALSE))*(1+Projection!AF$16)*(1+IF(AD164&gt;0,'Attrition Modeling'!$N$9,0))),0))</f>
        <v>0</v>
      </c>
      <c r="AE32" s="799">
        <f>IF(AE$2=$F32+1,Monthly!AA$21,IF(AE$2&gt;$F32+1,('Traditional Attrition'!AD32+AE164)*(1-IF(AE$2-$F32&lt;=12,SUMIFS('Attrition Modeling'!$D:$D,'Attrition Modeling'!$B:$B,'Traditional Attrition'!$E32,'Attrition Modeling'!$C:$C,'Traditional Attrition'!AE$1),VLOOKUP('Traditional Attrition'!AE$2-'Traditional Attrition'!$F32-1,'Traditional Attrition'!$A$7:$C$161,2,FALSE)*VLOOKUP(AE$1,'Attrition Modeling'!$L$15:$N$27,IF(AE$2-$F32&lt;=24,2,3),FALSE))*(1+Projection!AG$16)*(1+IF(AE164&gt;0,'Attrition Modeling'!$N$9,0))),0))</f>
        <v>0</v>
      </c>
      <c r="AF32" s="799">
        <f>IF(AF$2=$F32+1,Monthly!AB$21,IF(AF$2&gt;$F32+1,('Traditional Attrition'!AE32+AF164)*(1-IF(AF$2-$F32&lt;=12,SUMIFS('Attrition Modeling'!$D:$D,'Attrition Modeling'!$B:$B,'Traditional Attrition'!$E32,'Attrition Modeling'!$C:$C,'Traditional Attrition'!AF$1),VLOOKUP('Traditional Attrition'!AF$2-'Traditional Attrition'!$F32-1,'Traditional Attrition'!$A$7:$C$161,2,FALSE)*VLOOKUP(AF$1,'Attrition Modeling'!$L$15:$N$27,IF(AF$2-$F32&lt;=24,2,3),FALSE))*(1+Projection!AH$16)*(1+IF(AF164&gt;0,'Attrition Modeling'!$N$9,0))),0))</f>
        <v>0</v>
      </c>
      <c r="AG32" s="799">
        <f>IF(AG$2=$F32+1,Monthly!AC$21,IF(AG$2&gt;$F32+1,('Traditional Attrition'!AF32+AG164)*(1-IF(AG$2-$F32&lt;=12,SUMIFS('Attrition Modeling'!$D:$D,'Attrition Modeling'!$B:$B,'Traditional Attrition'!$E32,'Attrition Modeling'!$C:$C,'Traditional Attrition'!AG$1),VLOOKUP('Traditional Attrition'!AG$2-'Traditional Attrition'!$F32-1,'Traditional Attrition'!$A$7:$C$161,2,FALSE)*VLOOKUP(AG$1,'Attrition Modeling'!$L$15:$N$27,IF(AG$2-$F32&lt;=24,2,3),FALSE))*(1+Projection!AI$16)*(1+IF(AG164&gt;0,'Attrition Modeling'!$N$9,0))),0))</f>
        <v>0</v>
      </c>
      <c r="AH32" s="799">
        <f>IF(AH$2=$F32+1,Monthly!AD$21,IF(AH$2&gt;$F32+1,('Traditional Attrition'!AG32+AH164)*(1-IF(AH$2-$F32&lt;=12,SUMIFS('Attrition Modeling'!$D:$D,'Attrition Modeling'!$B:$B,'Traditional Attrition'!$E32,'Attrition Modeling'!$C:$C,'Traditional Attrition'!AH$1),VLOOKUP('Traditional Attrition'!AH$2-'Traditional Attrition'!$F32-1,'Traditional Attrition'!$A$7:$C$161,2,FALSE)*VLOOKUP(AH$1,'Attrition Modeling'!$L$15:$N$27,IF(AH$2-$F32&lt;=24,2,3),FALSE))*(1+Projection!AJ$16)*(1+IF(AH164&gt;0,'Attrition Modeling'!$N$9,0))),0))</f>
        <v>0</v>
      </c>
      <c r="AI32" s="799">
        <f>IF(AI$2=$F32+1,Monthly!AE$21,IF(AI$2&gt;$F32+1,('Traditional Attrition'!AH32+AI164)*(1-IF(AI$2-$F32&lt;=12,SUMIFS('Attrition Modeling'!$D:$D,'Attrition Modeling'!$B:$B,'Traditional Attrition'!$E32,'Attrition Modeling'!$C:$C,'Traditional Attrition'!AI$1),VLOOKUP('Traditional Attrition'!AI$2-'Traditional Attrition'!$F32-1,'Traditional Attrition'!$A$7:$C$161,2,FALSE)*VLOOKUP(AI$1,'Attrition Modeling'!$L$15:$N$27,IF(AI$2-$F32&lt;=24,2,3),FALSE))*(1+Projection!AK$16)*(1+IF(AI164&gt;0,'Attrition Modeling'!$N$9,0))),0))</f>
        <v>0</v>
      </c>
      <c r="AJ32" s="799">
        <f>IF(AJ$2=$F32+1,Monthly!AF$21,IF(AJ$2&gt;$F32+1,('Traditional Attrition'!AI32+AJ164)*(1-IF(AJ$2-$F32&lt;=12,SUMIFS('Attrition Modeling'!$D:$D,'Attrition Modeling'!$B:$B,'Traditional Attrition'!$E32,'Attrition Modeling'!$C:$C,'Traditional Attrition'!AJ$1),VLOOKUP('Traditional Attrition'!AJ$2-'Traditional Attrition'!$F32-1,'Traditional Attrition'!$A$7:$C$161,2,FALSE)*VLOOKUP(AJ$1,'Attrition Modeling'!$L$15:$N$27,IF(AJ$2-$F32&lt;=24,2,3),FALSE))*(1+Projection!AL$16)*(1+IF(AJ164&gt;0,'Attrition Modeling'!$N$9,0))),0))</f>
        <v>0</v>
      </c>
      <c r="AK32" s="799">
        <f>IF(AK$2=$F32+1,Monthly!AG$21,IF(AK$2&gt;$F32+1,('Traditional Attrition'!AJ32+AK164)*(1-IF(AK$2-$F32&lt;=12,SUMIFS('Attrition Modeling'!$D:$D,'Attrition Modeling'!$B:$B,'Traditional Attrition'!$E32,'Attrition Modeling'!$C:$C,'Traditional Attrition'!AK$1),VLOOKUP('Traditional Attrition'!AK$2-'Traditional Attrition'!$F32-1,'Traditional Attrition'!$A$7:$C$161,2,FALSE)*VLOOKUP(AK$1,'Attrition Modeling'!$L$15:$N$27,IF(AK$2-$F32&lt;=24,2,3),FALSE))*(1+Projection!AM$16)*(1+IF(AK164&gt;0,'Attrition Modeling'!$N$9,0))),0))</f>
        <v>15742.773920101237</v>
      </c>
      <c r="AL32" s="799">
        <f>IF(AL$2=$F32+1,Monthly!AH$21,IF(AL$2&gt;$F32+1,('Traditional Attrition'!AK32+AL164)*(1-IF(AL$2-$F32&lt;=12,SUMIFS('Attrition Modeling'!$D:$D,'Attrition Modeling'!$B:$B,'Traditional Attrition'!$E32,'Attrition Modeling'!$C:$C,'Traditional Attrition'!AL$1),VLOOKUP('Traditional Attrition'!AL$2-'Traditional Attrition'!$F32-1,'Traditional Attrition'!$A$7:$C$161,2,FALSE)*VLOOKUP(AL$1,'Attrition Modeling'!$L$15:$N$27,IF(AL$2-$F32&lt;=24,2,3),FALSE))*(1+Projection!AN$16)*(1+IF(AL164&gt;0,'Attrition Modeling'!$N$9,0))),0))</f>
        <v>14007.556576028526</v>
      </c>
      <c r="AM32" s="799">
        <f>IF(AM$2=$F32+1,Monthly!AI$21,IF(AM$2&gt;$F32+1,('Traditional Attrition'!AL32+AM164)*(1-IF(AM$2-$F32&lt;=12,SUMIFS('Attrition Modeling'!$D:$D,'Attrition Modeling'!$B:$B,'Traditional Attrition'!$E32,'Attrition Modeling'!$C:$C,'Traditional Attrition'!AM$1),VLOOKUP('Traditional Attrition'!AM$2-'Traditional Attrition'!$F32-1,'Traditional Attrition'!$A$7:$C$161,2,FALSE)*VLOOKUP(AM$1,'Attrition Modeling'!$L$15:$N$27,IF(AM$2-$F32&lt;=24,2,3),FALSE))*(1+Projection!AO$16)*(1+IF(AM164&gt;0,'Attrition Modeling'!$N$9,0))),0))</f>
        <v>12139.007360523941</v>
      </c>
      <c r="AN32" s="799">
        <f>IF(AN$2=$F32+1,Monthly!AJ$21,IF(AN$2&gt;$F32+1,('Traditional Attrition'!AM32+AN164)*(1-IF(AN$2-$F32&lt;=12,SUMIFS('Attrition Modeling'!$D:$D,'Attrition Modeling'!$B:$B,'Traditional Attrition'!$E32,'Attrition Modeling'!$C:$C,'Traditional Attrition'!AN$1),VLOOKUP('Traditional Attrition'!AN$2-'Traditional Attrition'!$F32-1,'Traditional Attrition'!$A$7:$C$161,2,FALSE)*VLOOKUP(AN$1,'Attrition Modeling'!$L$15:$N$27,IF(AN$2-$F32&lt;=24,2,3),FALSE))*(1+Projection!AP$16)*(1+IF(AN164&gt;0,'Attrition Modeling'!$N$9,0))),0))</f>
        <v>10808.391282600845</v>
      </c>
      <c r="AO32" s="799">
        <f>IF(AO$2=$F32+1,Monthly!AK$21,IF(AO$2&gt;$F32+1,('Traditional Attrition'!AN32+AO164)*(1-IF(AO$2-$F32&lt;=12,SUMIFS('Attrition Modeling'!$D:$D,'Attrition Modeling'!$B:$B,'Traditional Attrition'!$E32,'Attrition Modeling'!$C:$C,'Traditional Attrition'!AO$1),VLOOKUP('Traditional Attrition'!AO$2-'Traditional Attrition'!$F32-1,'Traditional Attrition'!$A$7:$C$161,2,FALSE)*VLOOKUP(AO$1,'Attrition Modeling'!$L$15:$N$27,IF(AO$2-$F32&lt;=24,2,3),FALSE))*(1+Projection!AQ$16)*(1+IF(AO164&gt;0,'Attrition Modeling'!$N$9,0))),0))</f>
        <v>9810.869719381817</v>
      </c>
      <c r="AP32" s="799">
        <f>IF(AP$2=$F32+1,Monthly!AL$21,IF(AP$2&gt;$F32+1,('Traditional Attrition'!AO32+AP164)*(1-IF(AP$2-$F32&lt;=12,SUMIFS('Attrition Modeling'!$D:$D,'Attrition Modeling'!$B:$B,'Traditional Attrition'!$E32,'Attrition Modeling'!$C:$C,'Traditional Attrition'!AP$1),VLOOKUP('Traditional Attrition'!AP$2-'Traditional Attrition'!$F32-1,'Traditional Attrition'!$A$7:$C$161,2,FALSE)*VLOOKUP(AP$1,'Attrition Modeling'!$L$15:$N$27,IF(AP$2-$F32&lt;=24,2,3),FALSE))*(1+Projection!AR$16)*(1+IF(AP164&gt;0,'Attrition Modeling'!$N$9,0))),0))</f>
        <v>9574.1176935925741</v>
      </c>
      <c r="AQ32" s="799">
        <f>IF(AQ$2=$F32+1,Monthly!AM$21,IF(AQ$2&gt;$F32+1,('Traditional Attrition'!AP32+AQ164)*(1-IF(AQ$2-$F32&lt;=12,SUMIFS('Attrition Modeling'!$D:$D,'Attrition Modeling'!$B:$B,'Traditional Attrition'!$E32,'Attrition Modeling'!$C:$C,'Traditional Attrition'!AQ$1),VLOOKUP('Traditional Attrition'!AQ$2-'Traditional Attrition'!$F32-1,'Traditional Attrition'!$A$7:$C$161,2,FALSE)*VLOOKUP(AQ$1,'Attrition Modeling'!$L$15:$N$27,IF(AQ$2-$F32&lt;=24,2,3),FALSE))*(1+Projection!AS$16)*(1+IF(AQ164&gt;0,'Attrition Modeling'!$N$9,0))),0))</f>
        <v>8837.9853258970506</v>
      </c>
      <c r="AR32" s="799">
        <f>IF(AR$2=$F32+1,Monthly!AN$21,IF(AR$2&gt;$F32+1,('Traditional Attrition'!AQ32+AR164)*(1-IF(AR$2-$F32&lt;=12,SUMIFS('Attrition Modeling'!$D:$D,'Attrition Modeling'!$B:$B,'Traditional Attrition'!$E32,'Attrition Modeling'!$C:$C,'Traditional Attrition'!AR$1),VLOOKUP('Traditional Attrition'!AR$2-'Traditional Attrition'!$F32-1,'Traditional Attrition'!$A$7:$C$161,2,FALSE)*VLOOKUP(AR$1,'Attrition Modeling'!$L$15:$N$27,IF(AR$2-$F32&lt;=24,2,3),FALSE))*(1+Projection!AT$16)*(1+IF(AR164&gt;0,'Attrition Modeling'!$N$9,0))),0))</f>
        <v>8265.7795993758518</v>
      </c>
      <c r="AS32" s="799">
        <f>IF(AS$2=$F32+1,Monthly!AO$21,IF(AS$2&gt;$F32+1,('Traditional Attrition'!AR32+AS164)*(1-IF(AS$2-$F32&lt;=12,SUMIFS('Attrition Modeling'!$D:$D,'Attrition Modeling'!$B:$B,'Traditional Attrition'!$E32,'Attrition Modeling'!$C:$C,'Traditional Attrition'!AS$1),VLOOKUP('Traditional Attrition'!AS$2-'Traditional Attrition'!$F32-1,'Traditional Attrition'!$A$7:$C$161,2,FALSE)*VLOOKUP(AS$1,'Attrition Modeling'!$L$15:$N$27,IF(AS$2-$F32&lt;=24,2,3),FALSE))*(1+Projection!AU$16)*(1+IF(AS164&gt;0,'Attrition Modeling'!$N$9,0))),0))</f>
        <v>7801.3014729260849</v>
      </c>
      <c r="AT32" s="799">
        <f>IF(AT$2=$F32+1,Monthly!AP$21,IF(AT$2&gt;$F32+1,('Traditional Attrition'!AS32+AT164)*(1-IF(AT$2-$F32&lt;=12,SUMIFS('Attrition Modeling'!$D:$D,'Attrition Modeling'!$B:$B,'Traditional Attrition'!$E32,'Attrition Modeling'!$C:$C,'Traditional Attrition'!AT$1),VLOOKUP('Traditional Attrition'!AT$2-'Traditional Attrition'!$F32-1,'Traditional Attrition'!$A$7:$C$161,2,FALSE)*VLOOKUP(AT$1,'Attrition Modeling'!$L$15:$N$27,IF(AT$2-$F32&lt;=24,2,3),FALSE))*(1+Projection!AV$16)*(1+IF(AT164&gt;0,'Attrition Modeling'!$N$9,0))),0))</f>
        <v>7356.4440363976992</v>
      </c>
      <c r="AU32" s="799">
        <f>IF(AU$2=$F32+1,Monthly!AQ$21,IF(AU$2&gt;$F32+1,('Traditional Attrition'!AT32+AU164)*(1-IF(AU$2-$F32&lt;=12,SUMIFS('Attrition Modeling'!$D:$D,'Attrition Modeling'!$B:$B,'Traditional Attrition'!$E32,'Attrition Modeling'!$C:$C,'Traditional Attrition'!AU$1),VLOOKUP('Traditional Attrition'!AU$2-'Traditional Attrition'!$F32-1,'Traditional Attrition'!$A$7:$C$161,2,FALSE)*VLOOKUP(AU$1,'Attrition Modeling'!$L$15:$N$27,IF(AU$2-$F32&lt;=24,2,3),FALSE))*(1+Projection!AW$16)*(1+IF(AU164&gt;0,'Attrition Modeling'!$N$9,0))),0))</f>
        <v>6962.3960380236158</v>
      </c>
      <c r="AV32" s="799">
        <f>IF(AV$2=$F32+1,Monthly!AR$21,IF(AV$2&gt;$F32+1,('Traditional Attrition'!AU32+AV164)*(1-IF(AV$2-$F32&lt;=12,SUMIFS('Attrition Modeling'!$D:$D,'Attrition Modeling'!$B:$B,'Traditional Attrition'!$E32,'Attrition Modeling'!$C:$C,'Traditional Attrition'!AV$1),VLOOKUP('Traditional Attrition'!AV$2-'Traditional Attrition'!$F32-1,'Traditional Attrition'!$A$7:$C$161,2,FALSE)*VLOOKUP(AV$1,'Attrition Modeling'!$L$15:$N$27,IF(AV$2-$F32&lt;=24,2,3),FALSE))*(1+Projection!AX$16)*(1+IF(AV164&gt;0,'Attrition Modeling'!$N$9,0))),0))</f>
        <v>6790.3315597775227</v>
      </c>
      <c r="AW32" s="799">
        <f>IF(AW$2=$F32+1,Monthly!AS$21,IF(AW$2&gt;$F32+1,('Traditional Attrition'!AV32+AW164)*(1-IF(AW$2-$F32&lt;=12,SUMIFS('Attrition Modeling'!$D:$D,'Attrition Modeling'!$B:$B,'Traditional Attrition'!$E32,'Attrition Modeling'!$C:$C,'Traditional Attrition'!AW$1),VLOOKUP('Traditional Attrition'!AW$2-'Traditional Attrition'!$F32-1,'Traditional Attrition'!$A$7:$C$161,2,FALSE)*VLOOKUP(AW$1,'Attrition Modeling'!$L$15:$N$27,IF(AW$2-$F32&lt;=24,2,3),FALSE))*(1+Projection!AY$16)*(1+IF(AW164&gt;0,'Attrition Modeling'!$N$9,0))),0))</f>
        <v>6405.5931383036268</v>
      </c>
      <c r="AX32" s="799">
        <f>IF(AX$2=$F32+1,Monthly!AT$21,IF(AX$2&gt;$F32+1,('Traditional Attrition'!AW32+AX164)*(1-IF(AX$2-$F32&lt;=12,SUMIFS('Attrition Modeling'!$D:$D,'Attrition Modeling'!$B:$B,'Traditional Attrition'!$E32,'Attrition Modeling'!$C:$C,'Traditional Attrition'!AX$1),VLOOKUP('Traditional Attrition'!AX$2-'Traditional Attrition'!$F32-1,'Traditional Attrition'!$A$7:$C$161,2,FALSE)*VLOOKUP(AX$1,'Attrition Modeling'!$L$15:$N$27,IF(AX$2-$F32&lt;=24,2,3),FALSE))*(1+Projection!AZ$16)*(1+IF(AX164&gt;0,'Attrition Modeling'!$N$9,0))),0))</f>
        <v>6062.7598800847709</v>
      </c>
      <c r="AY32" s="799">
        <f>IF(AY$2=$F32+1,Monthly!AU$21,IF(AY$2&gt;$F32+1,('Traditional Attrition'!AX32+AY164)*(1-IF(AY$2-$F32&lt;=12,SUMIFS('Attrition Modeling'!$D:$D,'Attrition Modeling'!$B:$B,'Traditional Attrition'!$E32,'Attrition Modeling'!$C:$C,'Traditional Attrition'!AY$1),VLOOKUP('Traditional Attrition'!AY$2-'Traditional Attrition'!$F32-1,'Traditional Attrition'!$A$7:$C$161,2,FALSE)*VLOOKUP(AY$1,'Attrition Modeling'!$L$15:$N$27,IF(AY$2-$F32&lt;=24,2,3),FALSE))*(1+Projection!BA$16)*(1+IF(AY164&gt;0,'Attrition Modeling'!$N$9,0))),0))</f>
        <v>5740.5152029156579</v>
      </c>
      <c r="AZ32" s="799">
        <f>IF(AZ$2=$F32+1,Monthly!AV$21,IF(AZ$2&gt;$F32+1,('Traditional Attrition'!AY32+AZ164)*(1-IF(AZ$2-$F32&lt;=12,SUMIFS('Attrition Modeling'!$D:$D,'Attrition Modeling'!$B:$B,'Traditional Attrition'!$E32,'Attrition Modeling'!$C:$C,'Traditional Attrition'!AZ$1),VLOOKUP('Traditional Attrition'!AZ$2-'Traditional Attrition'!$F32-1,'Traditional Attrition'!$A$7:$C$161,2,FALSE)*VLOOKUP(AZ$1,'Attrition Modeling'!$L$15:$N$27,IF(AZ$2-$F32&lt;=24,2,3),FALSE))*(1+Projection!BB$16)*(1+IF(AZ164&gt;0,'Attrition Modeling'!$N$9,0))),0))</f>
        <v>5472.4518144144504</v>
      </c>
      <c r="BA32" s="799">
        <f>IF(BA$2=$F32+1,Monthly!AW$21,IF(BA$2&gt;$F32+1,('Traditional Attrition'!AZ32+BA164)*(1-IF(BA$2-$F32&lt;=12,SUMIFS('Attrition Modeling'!$D:$D,'Attrition Modeling'!$B:$B,'Traditional Attrition'!$E32,'Attrition Modeling'!$C:$C,'Traditional Attrition'!BA$1),VLOOKUP('Traditional Attrition'!BA$2-'Traditional Attrition'!$F32-1,'Traditional Attrition'!$A$7:$C$161,2,FALSE)*VLOOKUP(BA$1,'Attrition Modeling'!$L$15:$N$27,IF(BA$2-$F32&lt;=24,2,3),FALSE))*(1+Projection!BC$16)*(1+IF(BA164&gt;0,'Attrition Modeling'!$N$9,0))),0))</f>
        <v>5218.682903850251</v>
      </c>
      <c r="BB32" s="799">
        <f>IF(BB$2=$F32+1,Monthly!AX$21,IF(BB$2&gt;$F32+1,('Traditional Attrition'!BA32+BB164)*(1-IF(BB$2-$F32&lt;=12,SUMIFS('Attrition Modeling'!$D:$D,'Attrition Modeling'!$B:$B,'Traditional Attrition'!$E32,'Attrition Modeling'!$C:$C,'Traditional Attrition'!BB$1),VLOOKUP('Traditional Attrition'!BB$2-'Traditional Attrition'!$F32-1,'Traditional Attrition'!$A$7:$C$161,2,FALSE)*VLOOKUP(BB$1,'Attrition Modeling'!$L$15:$N$27,IF(BB$2-$F32&lt;=24,2,3),FALSE))*(1+Projection!BD$16)*(1+IF(BB164&gt;0,'Attrition Modeling'!$N$9,0))),0))</f>
        <v>5421.0741970487206</v>
      </c>
      <c r="BC32" s="799">
        <f>IF(BC$2=$F32+1,Monthly!AY$21,IF(BC$2&gt;$F32+1,('Traditional Attrition'!BB32+BC164)*(1-IF(BC$2-$F32&lt;=12,SUMIFS('Attrition Modeling'!$D:$D,'Attrition Modeling'!$B:$B,'Traditional Attrition'!$E32,'Attrition Modeling'!$C:$C,'Traditional Attrition'!BC$1),VLOOKUP('Traditional Attrition'!BC$2-'Traditional Attrition'!$F32-1,'Traditional Attrition'!$A$7:$C$161,2,FALSE)*VLOOKUP(BC$1,'Attrition Modeling'!$L$15:$N$27,IF(BC$2-$F32&lt;=24,2,3),FALSE))*(1+Projection!BE$16)*(1+IF(BC164&gt;0,'Attrition Modeling'!$N$9,0))),0))</f>
        <v>5192.7161816599637</v>
      </c>
      <c r="BD32" s="799">
        <f>IF(BD$2=$F32+1,Monthly!AZ$21,IF(BD$2&gt;$F32+1,('Traditional Attrition'!BC32+BD164)*(1-IF(BD$2-$F32&lt;=12,SUMIFS('Attrition Modeling'!$D:$D,'Attrition Modeling'!$B:$B,'Traditional Attrition'!$E32,'Attrition Modeling'!$C:$C,'Traditional Attrition'!BD$1),VLOOKUP('Traditional Attrition'!BD$2-'Traditional Attrition'!$F32-1,'Traditional Attrition'!$A$7:$C$161,2,FALSE)*VLOOKUP(BD$1,'Attrition Modeling'!$L$15:$N$27,IF(BD$2-$F32&lt;=24,2,3),FALSE))*(1+Projection!BF$16)*(1+IF(BD164&gt;0,'Attrition Modeling'!$N$9,0))),0))</f>
        <v>4977.9399553395988</v>
      </c>
      <c r="BE32" s="799">
        <f>IF(BE$2=$F32+1,Monthly!BA$21,IF(BE$2&gt;$F32+1,('Traditional Attrition'!BD32+BE164)*(1-IF(BE$2-$F32&lt;=12,SUMIFS('Attrition Modeling'!$D:$D,'Attrition Modeling'!$B:$B,'Traditional Attrition'!$E32,'Attrition Modeling'!$C:$C,'Traditional Attrition'!BE$1),VLOOKUP('Traditional Attrition'!BE$2-'Traditional Attrition'!$F32-1,'Traditional Attrition'!$A$7:$C$161,2,FALSE)*VLOOKUP(BE$1,'Attrition Modeling'!$L$15:$N$27,IF(BE$2-$F32&lt;=24,2,3),FALSE))*(1+Projection!BG$16)*(1+IF(BE164&gt;0,'Attrition Modeling'!$N$9,0))),0))</f>
        <v>4795.3759683094468</v>
      </c>
      <c r="BF32" s="799">
        <f>IF(BF$2=$F32+1,Monthly!BB$21,IF(BF$2&gt;$F32+1,('Traditional Attrition'!BE32+BF164)*(1-IF(BF$2-$F32&lt;=12,SUMIFS('Attrition Modeling'!$D:$D,'Attrition Modeling'!$B:$B,'Traditional Attrition'!$E32,'Attrition Modeling'!$C:$C,'Traditional Attrition'!BF$1),VLOOKUP('Traditional Attrition'!BF$2-'Traditional Attrition'!$F32-1,'Traditional Attrition'!$A$7:$C$161,2,FALSE)*VLOOKUP(BF$1,'Attrition Modeling'!$L$15:$N$27,IF(BF$2-$F32&lt;=24,2,3),FALSE))*(1+Projection!BH$16)*(1+IF(BF164&gt;0,'Attrition Modeling'!$N$9,0))),0))</f>
        <v>4606.9088629208063</v>
      </c>
      <c r="BG32" s="799">
        <f>IF(BG$2=$F32+1,Monthly!BC$21,IF(BG$2&gt;$F32+1,('Traditional Attrition'!BF32+BG164)*(1-IF(BG$2-$F32&lt;=12,SUMIFS('Attrition Modeling'!$D:$D,'Attrition Modeling'!$B:$B,'Traditional Attrition'!$E32,'Attrition Modeling'!$C:$C,'Traditional Attrition'!BG$1),VLOOKUP('Traditional Attrition'!BG$2-'Traditional Attrition'!$F32-1,'Traditional Attrition'!$A$7:$C$161,2,FALSE)*VLOOKUP(BG$1,'Attrition Modeling'!$L$15:$N$27,IF(BG$2-$F32&lt;=24,2,3),FALSE))*(1+Projection!BI$16)*(1+IF(BG164&gt;0,'Attrition Modeling'!$N$9,0))),0))</f>
        <v>4431.4292182240652</v>
      </c>
      <c r="BH32" s="799">
        <f>IF(BH$2=$F32+1,Monthly!BD$21,IF(BH$2&gt;$F32+1,('Traditional Attrition'!BG32+BH164)*(1-IF(BH$2-$F32&lt;=12,SUMIFS('Attrition Modeling'!$D:$D,'Attrition Modeling'!$B:$B,'Traditional Attrition'!$E32,'Attrition Modeling'!$C:$C,'Traditional Attrition'!BH$1),VLOOKUP('Traditional Attrition'!BH$2-'Traditional Attrition'!$F32-1,'Traditional Attrition'!$A$7:$C$161,2,FALSE)*VLOOKUP(BH$1,'Attrition Modeling'!$L$15:$N$27,IF(BH$2-$F32&lt;=24,2,3),FALSE))*(1+Projection!BJ$16)*(1+IF(BH164&gt;0,'Attrition Modeling'!$N$9,0))),0))</f>
        <v>4266.056685086146</v>
      </c>
      <c r="BI32" s="799">
        <f>IF(BI$2=$F32+1,Monthly!BE$21,IF(BI$2&gt;$F32+1,('Traditional Attrition'!BH32+BI164)*(1-IF(BI$2-$F32&lt;=12,SUMIFS('Attrition Modeling'!$D:$D,'Attrition Modeling'!$B:$B,'Traditional Attrition'!$E32,'Attrition Modeling'!$C:$C,'Traditional Attrition'!BI$1),VLOOKUP('Traditional Attrition'!BI$2-'Traditional Attrition'!$F32-1,'Traditional Attrition'!$A$7:$C$161,2,FALSE)*VLOOKUP(BI$1,'Attrition Modeling'!$L$15:$N$27,IF(BI$2-$F32&lt;=24,2,3),FALSE))*(1+Projection!BK$16)*(1+IF(BI164&gt;0,'Attrition Modeling'!$N$9,0))),0))</f>
        <v>4107.8740493695341</v>
      </c>
      <c r="BJ32" s="799">
        <f>IF(BJ$2=$F32+1,Monthly!BF$21,IF(BJ$2&gt;$F32+1,('Traditional Attrition'!BI32+BJ164)*(1-IF(BJ$2-$F32&lt;=12,SUMIFS('Attrition Modeling'!$D:$D,'Attrition Modeling'!$B:$B,'Traditional Attrition'!$E32,'Attrition Modeling'!$C:$C,'Traditional Attrition'!BJ$1),VLOOKUP('Traditional Attrition'!BJ$2-'Traditional Attrition'!$F32-1,'Traditional Attrition'!$A$7:$C$161,2,FALSE)*VLOOKUP(BJ$1,'Attrition Modeling'!$L$15:$N$27,IF(BJ$2-$F32&lt;=24,2,3),FALSE))*(1+Projection!BL$16)*(1+IF(BJ164&gt;0,'Attrition Modeling'!$N$9,0))),0))</f>
        <v>3944.2308998288345</v>
      </c>
      <c r="BK32" s="799">
        <f>IF(BK$2=$F32+1,Monthly!BG$21,IF(BK$2&gt;$F32+1,('Traditional Attrition'!BJ32+BK164)*(1-IF(BK$2-$F32&lt;=12,SUMIFS('Attrition Modeling'!$D:$D,'Attrition Modeling'!$B:$B,'Traditional Attrition'!$E32,'Attrition Modeling'!$C:$C,'Traditional Attrition'!BK$1),VLOOKUP('Traditional Attrition'!BK$2-'Traditional Attrition'!$F32-1,'Traditional Attrition'!$A$7:$C$161,2,FALSE)*VLOOKUP(BK$1,'Attrition Modeling'!$L$15:$N$27,IF(BK$2-$F32&lt;=24,2,3),FALSE))*(1+Projection!BM$16)*(1+IF(BK164&gt;0,'Attrition Modeling'!$N$9,0))),0))</f>
        <v>3777.7849800233712</v>
      </c>
      <c r="BL32" s="799">
        <f>IF(BL$2=$F32+1,Monthly!BH$21,IF(BL$2&gt;$F32+1,('Traditional Attrition'!BK32+BL164)*(1-IF(BL$2-$F32&lt;=12,SUMIFS('Attrition Modeling'!$D:$D,'Attrition Modeling'!$B:$B,'Traditional Attrition'!$E32,'Attrition Modeling'!$C:$C,'Traditional Attrition'!BL$1),VLOOKUP('Traditional Attrition'!BL$2-'Traditional Attrition'!$F32-1,'Traditional Attrition'!$A$7:$C$161,2,FALSE)*VLOOKUP(BL$1,'Attrition Modeling'!$L$15:$N$27,IF(BL$2-$F32&lt;=24,2,3),FALSE))*(1+Projection!BN$16)*(1+IF(BL164&gt;0,'Attrition Modeling'!$N$9,0))),0))</f>
        <v>3630.0441426269058</v>
      </c>
      <c r="BM32" s="799">
        <f>IF(BM$2=$F32+1,Monthly!BI$21,IF(BM$2&gt;$F32+1,('Traditional Attrition'!BL32+BM164)*(1-IF(BM$2-$F32&lt;=12,SUMIFS('Attrition Modeling'!$D:$D,'Attrition Modeling'!$B:$B,'Traditional Attrition'!$E32,'Attrition Modeling'!$C:$C,'Traditional Attrition'!BM$1),VLOOKUP('Traditional Attrition'!BM$2-'Traditional Attrition'!$F32-1,'Traditional Attrition'!$A$7:$C$161,2,FALSE)*VLOOKUP(BM$1,'Attrition Modeling'!$L$15:$N$27,IF(BM$2-$F32&lt;=24,2,3),FALSE))*(1+Projection!BO$16)*(1+IF(BM164&gt;0,'Attrition Modeling'!$N$9,0))),0))</f>
        <v>3494.7297407956271</v>
      </c>
      <c r="BN32" s="799">
        <f>IF(BN$2=$F32+1,Monthly!BJ$21,IF(BN$2&gt;$F32+1,('Traditional Attrition'!BM32+BN164)*(1-IF(BN$2-$F32&lt;=12,SUMIFS('Attrition Modeling'!$D:$D,'Attrition Modeling'!$B:$B,'Traditional Attrition'!$E32,'Attrition Modeling'!$C:$C,'Traditional Attrition'!BN$1),VLOOKUP('Traditional Attrition'!BN$2-'Traditional Attrition'!$F32-1,'Traditional Attrition'!$A$7:$C$161,2,FALSE)*VLOOKUP(BN$1,'Attrition Modeling'!$L$15:$N$27,IF(BN$2-$F32&lt;=24,2,3),FALSE))*(1+Projection!BP$16)*(1+IF(BN164&gt;0,'Attrition Modeling'!$N$9,0))),0))</f>
        <v>3494.1906076819923</v>
      </c>
      <c r="BO32" s="799">
        <f>IF(BO$2=$F32+1,Monthly!BK$21,IF(BO$2&gt;$F32+1,('Traditional Attrition'!BN32+BO164)*(1-IF(BO$2-$F32&lt;=12,SUMIFS('Attrition Modeling'!$D:$D,'Attrition Modeling'!$B:$B,'Traditional Attrition'!$E32,'Attrition Modeling'!$C:$C,'Traditional Attrition'!BO$1),VLOOKUP('Traditional Attrition'!BO$2-'Traditional Attrition'!$F32-1,'Traditional Attrition'!$A$7:$C$161,2,FALSE)*VLOOKUP(BO$1,'Attrition Modeling'!$L$15:$N$27,IF(BO$2-$F32&lt;=24,2,3),FALSE))*(1+Projection!BV$16)*(1+IF(BO164&gt;0,'Attrition Modeling'!$N$9,0))),0))</f>
        <v>3391.8654982368362</v>
      </c>
      <c r="BP32" s="799">
        <f>IF(BP$2=$F32+1,Monthly!BL$21,IF(BP$2&gt;$F32+1,('Traditional Attrition'!BO32+BP164)*(1-IF(BP$2-$F32&lt;=12,SUMIFS('Attrition Modeling'!$D:$D,'Attrition Modeling'!$B:$B,'Traditional Attrition'!$E32,'Attrition Modeling'!$C:$C,'Traditional Attrition'!BP$1),VLOOKUP('Traditional Attrition'!BP$2-'Traditional Attrition'!$F32-1,'Traditional Attrition'!$A$7:$C$161,2,FALSE)*VLOOKUP(BP$1,'Attrition Modeling'!$L$15:$N$27,IF(BP$2-$F32&lt;=24,2,3),FALSE))*(1+Projection!BW$16)*(1+IF(BP164&gt;0,'Attrition Modeling'!$N$9,0))),0))</f>
        <v>3283.2150989246634</v>
      </c>
      <c r="BQ32" s="799">
        <f>IF(BQ$2=$F32+1,Monthly!BM$21,IF(BQ$2&gt;$F32+1,('Traditional Attrition'!BP32+BQ164)*(1-IF(BQ$2-$F32&lt;=12,SUMIFS('Attrition Modeling'!$D:$D,'Attrition Modeling'!$B:$B,'Traditional Attrition'!$E32,'Attrition Modeling'!$C:$C,'Traditional Attrition'!BQ$1),VLOOKUP('Traditional Attrition'!BQ$2-'Traditional Attrition'!$F32-1,'Traditional Attrition'!$A$7:$C$161,2,FALSE)*VLOOKUP(BQ$1,'Attrition Modeling'!$L$15:$N$27,IF(BQ$2-$F32&lt;=24,2,3),FALSE))*(1+Projection!BX$16)*(1+IF(BQ164&gt;0,'Attrition Modeling'!$N$9,0))),0))</f>
        <v>3182.5381878351795</v>
      </c>
      <c r="BR32" s="799">
        <f>IF(BR$2=$F32+1,Monthly!BN$21,IF(BR$2&gt;$F32+1,('Traditional Attrition'!BQ32+BR164)*(1-IF(BR$2-$F32&lt;=12,SUMIFS('Attrition Modeling'!$D:$D,'Attrition Modeling'!$B:$B,'Traditional Attrition'!$E32,'Attrition Modeling'!$C:$C,'Traditional Attrition'!BR$1),VLOOKUP('Traditional Attrition'!BR$2-'Traditional Attrition'!$F32-1,'Traditional Attrition'!$A$7:$C$161,2,FALSE)*VLOOKUP(BR$1,'Attrition Modeling'!$L$15:$N$27,IF(BR$2-$F32&lt;=24,2,3),FALSE))*(1+Projection!BY$16)*(1+IF(BR164&gt;0,'Attrition Modeling'!$N$9,0))),0))</f>
        <v>3090.123562765732</v>
      </c>
      <c r="BS32" s="799">
        <f>IF(BS$2=$F32+1,Monthly!BO$21,IF(BS$2&gt;$F32+1,('Traditional Attrition'!BR32+BS164)*(1-IF(BS$2-$F32&lt;=12,SUMIFS('Attrition Modeling'!$D:$D,'Attrition Modeling'!$B:$B,'Traditional Attrition'!$E32,'Attrition Modeling'!$C:$C,'Traditional Attrition'!BS$1),VLOOKUP('Traditional Attrition'!BS$2-'Traditional Attrition'!$F32-1,'Traditional Attrition'!$A$7:$C$161,2,FALSE)*VLOOKUP(BS$1,'Attrition Modeling'!$L$15:$N$27,IF(BS$2-$F32&lt;=24,2,3),FALSE))*(1+Projection!BZ$16)*(1+IF(BS164&gt;0,'Attrition Modeling'!$N$9,0))),0))</f>
        <v>3019.5663961904411</v>
      </c>
      <c r="BT32" s="799">
        <f>IF(BT$2=$F32+1,Monthly!#REF!,IF(BT$2&gt;$F32+1,('Traditional Attrition'!BS32+BT164)*(1-IF(BT$2-$F32&lt;=12,SUMIFS('Attrition Modeling'!$D:$D,'Attrition Modeling'!$B:$B,'Traditional Attrition'!$E32,'Attrition Modeling'!$C:$C,'Traditional Attrition'!BT$1),VLOOKUP('Traditional Attrition'!BT$2-'Traditional Attrition'!$F32-1,'Traditional Attrition'!$A$7:$C$161,2,FALSE)*VLOOKUP(BT$1,'Attrition Modeling'!$L$15:$N$27,IF(BT$2-$F32&lt;=24,2,3),FALSE))*(1+Projection!CA$16)*(1+IF(BT164&gt;0,'Attrition Modeling'!$N$9,0))),0))</f>
        <v>2937.2488304386993</v>
      </c>
      <c r="BU32" s="799">
        <f>IF(BU$2=$F32+1,Monthly!#REF!,IF(BU$2&gt;$F32+1,('Traditional Attrition'!BT32+BU164)*(1-IF(BU$2-$F32&lt;=12,SUMIFS('Attrition Modeling'!$D:$D,'Attrition Modeling'!$B:$B,'Traditional Attrition'!$E32,'Attrition Modeling'!$C:$C,'Traditional Attrition'!BU$1),VLOOKUP('Traditional Attrition'!BU$2-'Traditional Attrition'!$F32-1,'Traditional Attrition'!$A$7:$C$161,2,FALSE)*VLOOKUP(BU$1,'Attrition Modeling'!$L$15:$N$27,IF(BU$2-$F32&lt;=24,2,3),FALSE))*(1+Projection!CB$16)*(1+IF(BU164&gt;0,'Attrition Modeling'!$N$9,0))),0))</f>
        <v>2846.8512860013966</v>
      </c>
    </row>
    <row r="33" spans="1:73" ht="14.25" customHeight="1" x14ac:dyDescent="0.2">
      <c r="A33" s="9">
        <v>26</v>
      </c>
      <c r="B33" s="25">
        <f>MAX('Attrition Modeling'!H30,$C$3)*(1-Summary!$C$20)</f>
        <v>3.5137583833142298E-2</v>
      </c>
      <c r="C33" s="24" t="e">
        <f t="shared" si="4"/>
        <v>#DIV/0!</v>
      </c>
      <c r="E33" s="11">
        <f t="shared" si="2"/>
        <v>6</v>
      </c>
      <c r="F33" s="11">
        <f t="shared" si="3"/>
        <v>30</v>
      </c>
      <c r="G33" s="799"/>
      <c r="H33" s="799">
        <f>IF(H$2=$F33+1,Monthly!D$21,IF(H$2&gt;$F33+1,('Traditional Attrition'!G33+H165)*(1-IF(H$2-$F33&lt;=12,SUMIFS('Attrition Modeling'!$D:$D,'Attrition Modeling'!$B:$B,'Traditional Attrition'!$E33,'Attrition Modeling'!$C:$C,'Traditional Attrition'!H$1),VLOOKUP('Traditional Attrition'!H$2-'Traditional Attrition'!$F33-1,'Traditional Attrition'!$A$7:$C$161,2,FALSE)*VLOOKUP(H$1,'Attrition Modeling'!$L$15:$N$27,IF(H$2-$F33&lt;=24,2,3),FALSE))*(1+Projection!J$16)*(1+IF(H165&gt;0,'Attrition Modeling'!$N$9,0))),0))</f>
        <v>0</v>
      </c>
      <c r="I33" s="799">
        <f>IF(I$2=$F33+1,Monthly!E$21,IF(I$2&gt;$F33+1,('Traditional Attrition'!H33+I165)*(1-IF(I$2-$F33&lt;=12,SUMIFS('Attrition Modeling'!$D:$D,'Attrition Modeling'!$B:$B,'Traditional Attrition'!$E33,'Attrition Modeling'!$C:$C,'Traditional Attrition'!I$1),VLOOKUP('Traditional Attrition'!I$2-'Traditional Attrition'!$F33-1,'Traditional Attrition'!$A$7:$C$161,2,FALSE)*VLOOKUP(I$1,'Attrition Modeling'!$L$15:$N$27,IF(I$2-$F33&lt;=24,2,3),FALSE))*(1+Projection!K$16)*(1+IF(I165&gt;0,'Attrition Modeling'!$N$9,0))),0))</f>
        <v>0</v>
      </c>
      <c r="J33" s="799">
        <f>IF(J$2=$F33+1,Monthly!F$21,IF(J$2&gt;$F33+1,('Traditional Attrition'!I33+J165)*(1-IF(J$2-$F33&lt;=12,SUMIFS('Attrition Modeling'!$D:$D,'Attrition Modeling'!$B:$B,'Traditional Attrition'!$E33,'Attrition Modeling'!$C:$C,'Traditional Attrition'!J$1),VLOOKUP('Traditional Attrition'!J$2-'Traditional Attrition'!$F33-1,'Traditional Attrition'!$A$7:$C$161,2,FALSE)*VLOOKUP(J$1,'Attrition Modeling'!$L$15:$N$27,IF(J$2-$F33&lt;=24,2,3),FALSE))*(1+Projection!L$16)*(1+IF(J165&gt;0,'Attrition Modeling'!$N$9,0))),0))</f>
        <v>0</v>
      </c>
      <c r="K33" s="799">
        <f>IF(K$2=$F33+1,Monthly!G$21,IF(K$2&gt;$F33+1,('Traditional Attrition'!J33+K165)*(1-IF(K$2-$F33&lt;=12,SUMIFS('Attrition Modeling'!$D:$D,'Attrition Modeling'!$B:$B,'Traditional Attrition'!$E33,'Attrition Modeling'!$C:$C,'Traditional Attrition'!K$1),VLOOKUP('Traditional Attrition'!K$2-'Traditional Attrition'!$F33-1,'Traditional Attrition'!$A$7:$C$161,2,FALSE)*VLOOKUP(K$1,'Attrition Modeling'!$L$15:$N$27,IF(K$2-$F33&lt;=24,2,3),FALSE))*(1+Projection!M$16)*(1+IF(K165&gt;0,'Attrition Modeling'!$N$9,0))),0))</f>
        <v>0</v>
      </c>
      <c r="L33" s="799">
        <f>IF(L$2=$F33+1,Monthly!H$21,IF(L$2&gt;$F33+1,('Traditional Attrition'!K33+L165)*(1-IF(L$2-$F33&lt;=12,SUMIFS('Attrition Modeling'!$D:$D,'Attrition Modeling'!$B:$B,'Traditional Attrition'!$E33,'Attrition Modeling'!$C:$C,'Traditional Attrition'!L$1),VLOOKUP('Traditional Attrition'!L$2-'Traditional Attrition'!$F33-1,'Traditional Attrition'!$A$7:$C$161,2,FALSE)*VLOOKUP(L$1,'Attrition Modeling'!$L$15:$N$27,IF(L$2-$F33&lt;=24,2,3),FALSE))*(1+Projection!N$16)*(1+IF(L165&gt;0,'Attrition Modeling'!$N$9,0))),0))</f>
        <v>0</v>
      </c>
      <c r="M33" s="799">
        <f>IF(M$2=$F33+1,Monthly!I$21,IF(M$2&gt;$F33+1,('Traditional Attrition'!L33+M165)*(1-IF(M$2-$F33&lt;=12,SUMIFS('Attrition Modeling'!$D:$D,'Attrition Modeling'!$B:$B,'Traditional Attrition'!$E33,'Attrition Modeling'!$C:$C,'Traditional Attrition'!M$1),VLOOKUP('Traditional Attrition'!M$2-'Traditional Attrition'!$F33-1,'Traditional Attrition'!$A$7:$C$161,2,FALSE)*VLOOKUP(M$1,'Attrition Modeling'!$L$15:$N$27,IF(M$2-$F33&lt;=24,2,3),FALSE))*(1+Projection!O$16)*(1+IF(M165&gt;0,'Attrition Modeling'!$N$9,0))),0))</f>
        <v>0</v>
      </c>
      <c r="N33" s="799">
        <f>IF(N$2=$F33+1,Monthly!J$21,IF(N$2&gt;$F33+1,('Traditional Attrition'!M33+N165)*(1-IF(N$2-$F33&lt;=12,SUMIFS('Attrition Modeling'!$D:$D,'Attrition Modeling'!$B:$B,'Traditional Attrition'!$E33,'Attrition Modeling'!$C:$C,'Traditional Attrition'!N$1),VLOOKUP('Traditional Attrition'!N$2-'Traditional Attrition'!$F33-1,'Traditional Attrition'!$A$7:$C$161,2,FALSE)*VLOOKUP(N$1,'Attrition Modeling'!$L$15:$N$27,IF(N$2-$F33&lt;=24,2,3),FALSE))*(1+Projection!P$16)*(1+IF(N165&gt;0,'Attrition Modeling'!$N$9,0))),0))</f>
        <v>0</v>
      </c>
      <c r="O33" s="799">
        <f>IF(O$2=$F33+1,Monthly!K$21,IF(O$2&gt;$F33+1,('Traditional Attrition'!N33+O165)*(1-IF(O$2-$F33&lt;=12,SUMIFS('Attrition Modeling'!$D:$D,'Attrition Modeling'!$B:$B,'Traditional Attrition'!$E33,'Attrition Modeling'!$C:$C,'Traditional Attrition'!O$1),VLOOKUP('Traditional Attrition'!O$2-'Traditional Attrition'!$F33-1,'Traditional Attrition'!$A$7:$C$161,2,FALSE)*VLOOKUP(O$1,'Attrition Modeling'!$L$15:$N$27,IF(O$2-$F33&lt;=24,2,3),FALSE))*(1+Projection!Q$16)*(1+IF(O165&gt;0,'Attrition Modeling'!$N$9,0))),0))</f>
        <v>0</v>
      </c>
      <c r="P33" s="799">
        <f>IF(P$2=$F33+1,Monthly!L$21,IF(P$2&gt;$F33+1,('Traditional Attrition'!O33+P165)*(1-IF(P$2-$F33&lt;=12,SUMIFS('Attrition Modeling'!$D:$D,'Attrition Modeling'!$B:$B,'Traditional Attrition'!$E33,'Attrition Modeling'!$C:$C,'Traditional Attrition'!P$1),VLOOKUP('Traditional Attrition'!P$2-'Traditional Attrition'!$F33-1,'Traditional Attrition'!$A$7:$C$161,2,FALSE)*VLOOKUP(P$1,'Attrition Modeling'!$L$15:$N$27,IF(P$2-$F33&lt;=24,2,3),FALSE))*(1+Projection!R$16)*(1+IF(P165&gt;0,'Attrition Modeling'!$N$9,0))),0))</f>
        <v>0</v>
      </c>
      <c r="Q33" s="799">
        <f>IF(Q$2=$F33+1,Monthly!M$21,IF(Q$2&gt;$F33+1,('Traditional Attrition'!P33+Q165)*(1-IF(Q$2-$F33&lt;=12,SUMIFS('Attrition Modeling'!$D:$D,'Attrition Modeling'!$B:$B,'Traditional Attrition'!$E33,'Attrition Modeling'!$C:$C,'Traditional Attrition'!Q$1),VLOOKUP('Traditional Attrition'!Q$2-'Traditional Attrition'!$F33-1,'Traditional Attrition'!$A$7:$C$161,2,FALSE)*VLOOKUP(Q$1,'Attrition Modeling'!$L$15:$N$27,IF(Q$2-$F33&lt;=24,2,3),FALSE))*(1+Projection!S$16)*(1+IF(Q165&gt;0,'Attrition Modeling'!$N$9,0))),0))</f>
        <v>0</v>
      </c>
      <c r="R33" s="799">
        <f>IF(R$2=$F33+1,Monthly!N$21,IF(R$2&gt;$F33+1,('Traditional Attrition'!Q33+R165)*(1-IF(R$2-$F33&lt;=12,SUMIFS('Attrition Modeling'!$D:$D,'Attrition Modeling'!$B:$B,'Traditional Attrition'!$E33,'Attrition Modeling'!$C:$C,'Traditional Attrition'!R$1),VLOOKUP('Traditional Attrition'!R$2-'Traditional Attrition'!$F33-1,'Traditional Attrition'!$A$7:$C$161,2,FALSE)*VLOOKUP(R$1,'Attrition Modeling'!$L$15:$N$27,IF(R$2-$F33&lt;=24,2,3),FALSE))*(1+Projection!T$16)*(1+IF(R165&gt;0,'Attrition Modeling'!$N$9,0))),0))</f>
        <v>0</v>
      </c>
      <c r="S33" s="799">
        <f>IF(S$2=$F33+1,Monthly!O$21,IF(S$2&gt;$F33+1,('Traditional Attrition'!R33+S165)*(1-IF(S$2-$F33&lt;=12,SUMIFS('Attrition Modeling'!$D:$D,'Attrition Modeling'!$B:$B,'Traditional Attrition'!$E33,'Attrition Modeling'!$C:$C,'Traditional Attrition'!S$1),VLOOKUP('Traditional Attrition'!S$2-'Traditional Attrition'!$F33-1,'Traditional Attrition'!$A$7:$C$161,2,FALSE)*VLOOKUP(S$1,'Attrition Modeling'!$L$15:$N$27,IF(S$2-$F33&lt;=24,2,3),FALSE))*(1+Projection!U$16)*(1+IF(S165&gt;0,'Attrition Modeling'!$N$9,0))),0))</f>
        <v>0</v>
      </c>
      <c r="T33" s="799">
        <f>IF(T$2=$F33+1,Monthly!P$21,IF(T$2&gt;$F33+1,('Traditional Attrition'!S33+T165)*(1-IF(T$2-$F33&lt;=12,SUMIFS('Attrition Modeling'!$D:$D,'Attrition Modeling'!$B:$B,'Traditional Attrition'!$E33,'Attrition Modeling'!$C:$C,'Traditional Attrition'!T$1),VLOOKUP('Traditional Attrition'!T$2-'Traditional Attrition'!$F33-1,'Traditional Attrition'!$A$7:$C$161,2,FALSE)*VLOOKUP(T$1,'Attrition Modeling'!$L$15:$N$27,IF(T$2-$F33&lt;=24,2,3),FALSE))*(1+Projection!V$16)*(1+IF(T165&gt;0,'Attrition Modeling'!$N$9,0))),0))</f>
        <v>0</v>
      </c>
      <c r="U33" s="799">
        <f>IF(U$2=$F33+1,Monthly!Q$21,IF(U$2&gt;$F33+1,('Traditional Attrition'!T33+U165)*(1-IF(U$2-$F33&lt;=12,SUMIFS('Attrition Modeling'!$D:$D,'Attrition Modeling'!$B:$B,'Traditional Attrition'!$E33,'Attrition Modeling'!$C:$C,'Traditional Attrition'!U$1),VLOOKUP('Traditional Attrition'!U$2-'Traditional Attrition'!$F33-1,'Traditional Attrition'!$A$7:$C$161,2,FALSE)*VLOOKUP(U$1,'Attrition Modeling'!$L$15:$N$27,IF(U$2-$F33&lt;=24,2,3),FALSE))*(1+Projection!W$16)*(1+IF(U165&gt;0,'Attrition Modeling'!$N$9,0))),0))</f>
        <v>0</v>
      </c>
      <c r="V33" s="799">
        <f>IF(V$2=$F33+1,Monthly!R$21,IF(V$2&gt;$F33+1,('Traditional Attrition'!U33+V165)*(1-IF(V$2-$F33&lt;=12,SUMIFS('Attrition Modeling'!$D:$D,'Attrition Modeling'!$B:$B,'Traditional Attrition'!$E33,'Attrition Modeling'!$C:$C,'Traditional Attrition'!V$1),VLOOKUP('Traditional Attrition'!V$2-'Traditional Attrition'!$F33-1,'Traditional Attrition'!$A$7:$C$161,2,FALSE)*VLOOKUP(V$1,'Attrition Modeling'!$L$15:$N$27,IF(V$2-$F33&lt;=24,2,3),FALSE))*(1+Projection!X$16)*(1+IF(V165&gt;0,'Attrition Modeling'!$N$9,0))),0))</f>
        <v>0</v>
      </c>
      <c r="W33" s="799">
        <f>IF(W$2=$F33+1,Monthly!S$21,IF(W$2&gt;$F33+1,('Traditional Attrition'!V33+W165)*(1-IF(W$2-$F33&lt;=12,SUMIFS('Attrition Modeling'!$D:$D,'Attrition Modeling'!$B:$B,'Traditional Attrition'!$E33,'Attrition Modeling'!$C:$C,'Traditional Attrition'!W$1),VLOOKUP('Traditional Attrition'!W$2-'Traditional Attrition'!$F33-1,'Traditional Attrition'!$A$7:$C$161,2,FALSE)*VLOOKUP(W$1,'Attrition Modeling'!$L$15:$N$27,IF(W$2-$F33&lt;=24,2,3),FALSE))*(1+Projection!Y$16)*(1+IF(W165&gt;0,'Attrition Modeling'!$N$9,0))),0))</f>
        <v>0</v>
      </c>
      <c r="X33" s="799">
        <f>IF(X$2=$F33+1,Monthly!T$21,IF(X$2&gt;$F33+1,('Traditional Attrition'!W33+X165)*(1-IF(X$2-$F33&lt;=12,SUMIFS('Attrition Modeling'!$D:$D,'Attrition Modeling'!$B:$B,'Traditional Attrition'!$E33,'Attrition Modeling'!$C:$C,'Traditional Attrition'!X$1),VLOOKUP('Traditional Attrition'!X$2-'Traditional Attrition'!$F33-1,'Traditional Attrition'!$A$7:$C$161,2,FALSE)*VLOOKUP(X$1,'Attrition Modeling'!$L$15:$N$27,IF(X$2-$F33&lt;=24,2,3),FALSE))*(1+Projection!Z$16)*(1+IF(X165&gt;0,'Attrition Modeling'!$N$9,0))),0))</f>
        <v>0</v>
      </c>
      <c r="Y33" s="799">
        <f>IF(Y$2=$F33+1,Monthly!U$21,IF(Y$2&gt;$F33+1,('Traditional Attrition'!X33+Y165)*(1-IF(Y$2-$F33&lt;=12,SUMIFS('Attrition Modeling'!$D:$D,'Attrition Modeling'!$B:$B,'Traditional Attrition'!$E33,'Attrition Modeling'!$C:$C,'Traditional Attrition'!Y$1),VLOOKUP('Traditional Attrition'!Y$2-'Traditional Attrition'!$F33-1,'Traditional Attrition'!$A$7:$C$161,2,FALSE)*VLOOKUP(Y$1,'Attrition Modeling'!$L$15:$N$27,IF(Y$2-$F33&lt;=24,2,3),FALSE))*(1+Projection!AA$16)*(1+IF(Y165&gt;0,'Attrition Modeling'!$N$9,0))),0))</f>
        <v>0</v>
      </c>
      <c r="Z33" s="799">
        <f>IF(Z$2=$F33+1,Monthly!V$21,IF(Z$2&gt;$F33+1,('Traditional Attrition'!Y33+Z165)*(1-IF(Z$2-$F33&lt;=12,SUMIFS('Attrition Modeling'!$D:$D,'Attrition Modeling'!$B:$B,'Traditional Attrition'!$E33,'Attrition Modeling'!$C:$C,'Traditional Attrition'!Z$1),VLOOKUP('Traditional Attrition'!Z$2-'Traditional Attrition'!$F33-1,'Traditional Attrition'!$A$7:$C$161,2,FALSE)*VLOOKUP(Z$1,'Attrition Modeling'!$L$15:$N$27,IF(Z$2-$F33&lt;=24,2,3),FALSE))*(1+Projection!AB$16)*(1+IF(Z165&gt;0,'Attrition Modeling'!$N$9,0))),0))</f>
        <v>0</v>
      </c>
      <c r="AA33" s="799">
        <f>IF(AA$2=$F33+1,Monthly!W$21,IF(AA$2&gt;$F33+1,('Traditional Attrition'!Z33+AA165)*(1-IF(AA$2-$F33&lt;=12,SUMIFS('Attrition Modeling'!$D:$D,'Attrition Modeling'!$B:$B,'Traditional Attrition'!$E33,'Attrition Modeling'!$C:$C,'Traditional Attrition'!AA$1),VLOOKUP('Traditional Attrition'!AA$2-'Traditional Attrition'!$F33-1,'Traditional Attrition'!$A$7:$C$161,2,FALSE)*VLOOKUP(AA$1,'Attrition Modeling'!$L$15:$N$27,IF(AA$2-$F33&lt;=24,2,3),FALSE))*(1+Projection!AC$16)*(1+IF(AA165&gt;0,'Attrition Modeling'!$N$9,0))),0))</f>
        <v>0</v>
      </c>
      <c r="AB33" s="799">
        <f>IF(AB$2=$F33+1,Monthly!X$21,IF(AB$2&gt;$F33+1,('Traditional Attrition'!AA33+AB165)*(1-IF(AB$2-$F33&lt;=12,SUMIFS('Attrition Modeling'!$D:$D,'Attrition Modeling'!$B:$B,'Traditional Attrition'!$E33,'Attrition Modeling'!$C:$C,'Traditional Attrition'!AB$1),VLOOKUP('Traditional Attrition'!AB$2-'Traditional Attrition'!$F33-1,'Traditional Attrition'!$A$7:$C$161,2,FALSE)*VLOOKUP(AB$1,'Attrition Modeling'!$L$15:$N$27,IF(AB$2-$F33&lt;=24,2,3),FALSE))*(1+Projection!AD$16)*(1+IF(AB165&gt;0,'Attrition Modeling'!$N$9,0))),0))</f>
        <v>0</v>
      </c>
      <c r="AC33" s="799">
        <f>IF(AC$2=$F33+1,Monthly!Y$21,IF(AC$2&gt;$F33+1,('Traditional Attrition'!AB33+AC165)*(1-IF(AC$2-$F33&lt;=12,SUMIFS('Attrition Modeling'!$D:$D,'Attrition Modeling'!$B:$B,'Traditional Attrition'!$E33,'Attrition Modeling'!$C:$C,'Traditional Attrition'!AC$1),VLOOKUP('Traditional Attrition'!AC$2-'Traditional Attrition'!$F33-1,'Traditional Attrition'!$A$7:$C$161,2,FALSE)*VLOOKUP(AC$1,'Attrition Modeling'!$L$15:$N$27,IF(AC$2-$F33&lt;=24,2,3),FALSE))*(1+Projection!AE$16)*(1+IF(AC165&gt;0,'Attrition Modeling'!$N$9,0))),0))</f>
        <v>0</v>
      </c>
      <c r="AD33" s="799">
        <f>IF(AD$2=$F33+1,Monthly!Z$21,IF(AD$2&gt;$F33+1,('Traditional Attrition'!AC33+AD165)*(1-IF(AD$2-$F33&lt;=12,SUMIFS('Attrition Modeling'!$D:$D,'Attrition Modeling'!$B:$B,'Traditional Attrition'!$E33,'Attrition Modeling'!$C:$C,'Traditional Attrition'!AD$1),VLOOKUP('Traditional Attrition'!AD$2-'Traditional Attrition'!$F33-1,'Traditional Attrition'!$A$7:$C$161,2,FALSE)*VLOOKUP(AD$1,'Attrition Modeling'!$L$15:$N$27,IF(AD$2-$F33&lt;=24,2,3),FALSE))*(1+Projection!AF$16)*(1+IF(AD165&gt;0,'Attrition Modeling'!$N$9,0))),0))</f>
        <v>0</v>
      </c>
      <c r="AE33" s="799">
        <f>IF(AE$2=$F33+1,Monthly!AA$21,IF(AE$2&gt;$F33+1,('Traditional Attrition'!AD33+AE165)*(1-IF(AE$2-$F33&lt;=12,SUMIFS('Attrition Modeling'!$D:$D,'Attrition Modeling'!$B:$B,'Traditional Attrition'!$E33,'Attrition Modeling'!$C:$C,'Traditional Attrition'!AE$1),VLOOKUP('Traditional Attrition'!AE$2-'Traditional Attrition'!$F33-1,'Traditional Attrition'!$A$7:$C$161,2,FALSE)*VLOOKUP(AE$1,'Attrition Modeling'!$L$15:$N$27,IF(AE$2-$F33&lt;=24,2,3),FALSE))*(1+Projection!AG$16)*(1+IF(AE165&gt;0,'Attrition Modeling'!$N$9,0))),0))</f>
        <v>0</v>
      </c>
      <c r="AF33" s="799">
        <f>IF(AF$2=$F33+1,Monthly!AB$21,IF(AF$2&gt;$F33+1,('Traditional Attrition'!AE33+AF165)*(1-IF(AF$2-$F33&lt;=12,SUMIFS('Attrition Modeling'!$D:$D,'Attrition Modeling'!$B:$B,'Traditional Attrition'!$E33,'Attrition Modeling'!$C:$C,'Traditional Attrition'!AF$1),VLOOKUP('Traditional Attrition'!AF$2-'Traditional Attrition'!$F33-1,'Traditional Attrition'!$A$7:$C$161,2,FALSE)*VLOOKUP(AF$1,'Attrition Modeling'!$L$15:$N$27,IF(AF$2-$F33&lt;=24,2,3),FALSE))*(1+Projection!AH$16)*(1+IF(AF165&gt;0,'Attrition Modeling'!$N$9,0))),0))</f>
        <v>0</v>
      </c>
      <c r="AG33" s="799">
        <f>IF(AG$2=$F33+1,Monthly!AC$21,IF(AG$2&gt;$F33+1,('Traditional Attrition'!AF33+AG165)*(1-IF(AG$2-$F33&lt;=12,SUMIFS('Attrition Modeling'!$D:$D,'Attrition Modeling'!$B:$B,'Traditional Attrition'!$E33,'Attrition Modeling'!$C:$C,'Traditional Attrition'!AG$1),VLOOKUP('Traditional Attrition'!AG$2-'Traditional Attrition'!$F33-1,'Traditional Attrition'!$A$7:$C$161,2,FALSE)*VLOOKUP(AG$1,'Attrition Modeling'!$L$15:$N$27,IF(AG$2-$F33&lt;=24,2,3),FALSE))*(1+Projection!AI$16)*(1+IF(AG165&gt;0,'Attrition Modeling'!$N$9,0))),0))</f>
        <v>0</v>
      </c>
      <c r="AH33" s="799">
        <f>IF(AH$2=$F33+1,Monthly!AD$21,IF(AH$2&gt;$F33+1,('Traditional Attrition'!AG33+AH165)*(1-IF(AH$2-$F33&lt;=12,SUMIFS('Attrition Modeling'!$D:$D,'Attrition Modeling'!$B:$B,'Traditional Attrition'!$E33,'Attrition Modeling'!$C:$C,'Traditional Attrition'!AH$1),VLOOKUP('Traditional Attrition'!AH$2-'Traditional Attrition'!$F33-1,'Traditional Attrition'!$A$7:$C$161,2,FALSE)*VLOOKUP(AH$1,'Attrition Modeling'!$L$15:$N$27,IF(AH$2-$F33&lt;=24,2,3),FALSE))*(1+Projection!AJ$16)*(1+IF(AH165&gt;0,'Attrition Modeling'!$N$9,0))),0))</f>
        <v>0</v>
      </c>
      <c r="AI33" s="799">
        <f>IF(AI$2=$F33+1,Monthly!AE$21,IF(AI$2&gt;$F33+1,('Traditional Attrition'!AH33+AI165)*(1-IF(AI$2-$F33&lt;=12,SUMIFS('Attrition Modeling'!$D:$D,'Attrition Modeling'!$B:$B,'Traditional Attrition'!$E33,'Attrition Modeling'!$C:$C,'Traditional Attrition'!AI$1),VLOOKUP('Traditional Attrition'!AI$2-'Traditional Attrition'!$F33-1,'Traditional Attrition'!$A$7:$C$161,2,FALSE)*VLOOKUP(AI$1,'Attrition Modeling'!$L$15:$N$27,IF(AI$2-$F33&lt;=24,2,3),FALSE))*(1+Projection!AK$16)*(1+IF(AI165&gt;0,'Attrition Modeling'!$N$9,0))),0))</f>
        <v>0</v>
      </c>
      <c r="AJ33" s="799">
        <f>IF(AJ$2=$F33+1,Monthly!AF$21,IF(AJ$2&gt;$F33+1,('Traditional Attrition'!AI33+AJ165)*(1-IF(AJ$2-$F33&lt;=12,SUMIFS('Attrition Modeling'!$D:$D,'Attrition Modeling'!$B:$B,'Traditional Attrition'!$E33,'Attrition Modeling'!$C:$C,'Traditional Attrition'!AJ$1),VLOOKUP('Traditional Attrition'!AJ$2-'Traditional Attrition'!$F33-1,'Traditional Attrition'!$A$7:$C$161,2,FALSE)*VLOOKUP(AJ$1,'Attrition Modeling'!$L$15:$N$27,IF(AJ$2-$F33&lt;=24,2,3),FALSE))*(1+Projection!AL$16)*(1+IF(AJ165&gt;0,'Attrition Modeling'!$N$9,0))),0))</f>
        <v>0</v>
      </c>
      <c r="AK33" s="799">
        <f>IF(AK$2=$F33+1,Monthly!AG$21,IF(AK$2&gt;$F33+1,('Traditional Attrition'!AJ33+AK165)*(1-IF(AK$2-$F33&lt;=12,SUMIFS('Attrition Modeling'!$D:$D,'Attrition Modeling'!$B:$B,'Traditional Attrition'!$E33,'Attrition Modeling'!$C:$C,'Traditional Attrition'!AK$1),VLOOKUP('Traditional Attrition'!AK$2-'Traditional Attrition'!$F33-1,'Traditional Attrition'!$A$7:$C$161,2,FALSE)*VLOOKUP(AK$1,'Attrition Modeling'!$L$15:$N$27,IF(AK$2-$F33&lt;=24,2,3),FALSE))*(1+Projection!AM$16)*(1+IF(AK165&gt;0,'Attrition Modeling'!$N$9,0))),0))</f>
        <v>0</v>
      </c>
      <c r="AL33" s="799">
        <f>IF(AL$2=$F33+1,Monthly!AH$21,IF(AL$2&gt;$F33+1,('Traditional Attrition'!AK33+AL165)*(1-IF(AL$2-$F33&lt;=12,SUMIFS('Attrition Modeling'!$D:$D,'Attrition Modeling'!$B:$B,'Traditional Attrition'!$E33,'Attrition Modeling'!$C:$C,'Traditional Attrition'!AL$1),VLOOKUP('Traditional Attrition'!AL$2-'Traditional Attrition'!$F33-1,'Traditional Attrition'!$A$7:$C$161,2,FALSE)*VLOOKUP(AL$1,'Attrition Modeling'!$L$15:$N$27,IF(AL$2-$F33&lt;=24,2,3),FALSE))*(1+Projection!AN$16)*(1+IF(AL165&gt;0,'Attrition Modeling'!$N$9,0))),0))</f>
        <v>15699.242095050509</v>
      </c>
      <c r="AM33" s="799">
        <f>IF(AM$2=$F33+1,Monthly!AI$21,IF(AM$2&gt;$F33+1,('Traditional Attrition'!AL33+AM165)*(1-IF(AM$2-$F33&lt;=12,SUMIFS('Attrition Modeling'!$D:$D,'Attrition Modeling'!$B:$B,'Traditional Attrition'!$E33,'Attrition Modeling'!$C:$C,'Traditional Attrition'!AM$1),VLOOKUP('Traditional Attrition'!AM$2-'Traditional Attrition'!$F33-1,'Traditional Attrition'!$A$7:$C$161,2,FALSE)*VLOOKUP(AM$1,'Attrition Modeling'!$L$15:$N$27,IF(AM$2-$F33&lt;=24,2,3),FALSE))*(1+Projection!AO$16)*(1+IF(AM165&gt;0,'Attrition Modeling'!$N$9,0))),0))</f>
        <v>13822.937756515292</v>
      </c>
      <c r="AN33" s="799">
        <f>IF(AN$2=$F33+1,Monthly!AJ$21,IF(AN$2&gt;$F33+1,('Traditional Attrition'!AM33+AN165)*(1-IF(AN$2-$F33&lt;=12,SUMIFS('Attrition Modeling'!$D:$D,'Attrition Modeling'!$B:$B,'Traditional Attrition'!$E33,'Attrition Modeling'!$C:$C,'Traditional Attrition'!AN$1),VLOOKUP('Traditional Attrition'!AN$2-'Traditional Attrition'!$F33-1,'Traditional Attrition'!$A$7:$C$161,2,FALSE)*VLOOKUP(AN$1,'Attrition Modeling'!$L$15:$N$27,IF(AN$2-$F33&lt;=24,2,3),FALSE))*(1+Projection!AP$16)*(1+IF(AN165&gt;0,'Attrition Modeling'!$N$9,0))),0))</f>
        <v>12292.311418092373</v>
      </c>
      <c r="AO33" s="799">
        <f>IF(AO$2=$F33+1,Monthly!AK$21,IF(AO$2&gt;$F33+1,('Traditional Attrition'!AN33+AO165)*(1-IF(AO$2-$F33&lt;=12,SUMIFS('Attrition Modeling'!$D:$D,'Attrition Modeling'!$B:$B,'Traditional Attrition'!$E33,'Attrition Modeling'!$C:$C,'Traditional Attrition'!AO$1),VLOOKUP('Traditional Attrition'!AO$2-'Traditional Attrition'!$F33-1,'Traditional Attrition'!$A$7:$C$161,2,FALSE)*VLOOKUP(AO$1,'Attrition Modeling'!$L$15:$N$27,IF(AO$2-$F33&lt;=24,2,3),FALSE))*(1+Projection!AQ$16)*(1+IF(AO165&gt;0,'Attrition Modeling'!$N$9,0))),0))</f>
        <v>11147.25765610489</v>
      </c>
      <c r="AP33" s="799">
        <f>IF(AP$2=$F33+1,Monthly!AL$21,IF(AP$2&gt;$F33+1,('Traditional Attrition'!AO33+AP165)*(1-IF(AP$2-$F33&lt;=12,SUMIFS('Attrition Modeling'!$D:$D,'Attrition Modeling'!$B:$B,'Traditional Attrition'!$E33,'Attrition Modeling'!$C:$C,'Traditional Attrition'!AP$1),VLOOKUP('Traditional Attrition'!AP$2-'Traditional Attrition'!$F33-1,'Traditional Attrition'!$A$7:$C$161,2,FALSE)*VLOOKUP(AP$1,'Attrition Modeling'!$L$15:$N$27,IF(AP$2-$F33&lt;=24,2,3),FALSE))*(1+Projection!AR$16)*(1+IF(AP165&gt;0,'Attrition Modeling'!$N$9,0))),0))</f>
        <v>10169.125592491519</v>
      </c>
      <c r="AQ33" s="799">
        <f>IF(AQ$2=$F33+1,Monthly!AM$21,IF(AQ$2&gt;$F33+1,('Traditional Attrition'!AP33+AQ165)*(1-IF(AQ$2-$F33&lt;=12,SUMIFS('Attrition Modeling'!$D:$D,'Attrition Modeling'!$B:$B,'Traditional Attrition'!$E33,'Attrition Modeling'!$C:$C,'Traditional Attrition'!AQ$1),VLOOKUP('Traditional Attrition'!AQ$2-'Traditional Attrition'!$F33-1,'Traditional Attrition'!$A$7:$C$161,2,FALSE)*VLOOKUP(AQ$1,'Attrition Modeling'!$L$15:$N$27,IF(AQ$2-$F33&lt;=24,2,3),FALSE))*(1+Projection!AS$16)*(1+IF(AQ165&gt;0,'Attrition Modeling'!$N$9,0))),0))</f>
        <v>9972.7029138280795</v>
      </c>
      <c r="AR33" s="799">
        <f>IF(AR$2=$F33+1,Monthly!AN$21,IF(AR$2&gt;$F33+1,('Traditional Attrition'!AQ33+AR165)*(1-IF(AR$2-$F33&lt;=12,SUMIFS('Attrition Modeling'!$D:$D,'Attrition Modeling'!$B:$B,'Traditional Attrition'!$E33,'Attrition Modeling'!$C:$C,'Traditional Attrition'!AR$1),VLOOKUP('Traditional Attrition'!AR$2-'Traditional Attrition'!$F33-1,'Traditional Attrition'!$A$7:$C$161,2,FALSE)*VLOOKUP(AR$1,'Attrition Modeling'!$L$15:$N$27,IF(AR$2-$F33&lt;=24,2,3),FALSE))*(1+Projection!AT$16)*(1+IF(AR165&gt;0,'Attrition Modeling'!$N$9,0))),0))</f>
        <v>9286.2064783622936</v>
      </c>
      <c r="AS33" s="799">
        <f>IF(AS$2=$F33+1,Monthly!AO$21,IF(AS$2&gt;$F33+1,('Traditional Attrition'!AR33+AS165)*(1-IF(AS$2-$F33&lt;=12,SUMIFS('Attrition Modeling'!$D:$D,'Attrition Modeling'!$B:$B,'Traditional Attrition'!$E33,'Attrition Modeling'!$C:$C,'Traditional Attrition'!AS$1),VLOOKUP('Traditional Attrition'!AS$2-'Traditional Attrition'!$F33-1,'Traditional Attrition'!$A$7:$C$161,2,FALSE)*VLOOKUP(AS$1,'Attrition Modeling'!$L$15:$N$27,IF(AS$2-$F33&lt;=24,2,3),FALSE))*(1+Projection!AU$16)*(1+IF(AS165&gt;0,'Attrition Modeling'!$N$9,0))),0))</f>
        <v>8712.652107087948</v>
      </c>
      <c r="AT33" s="799">
        <f>IF(AT$2=$F33+1,Monthly!AP$21,IF(AT$2&gt;$F33+1,('Traditional Attrition'!AS33+AT165)*(1-IF(AT$2-$F33&lt;=12,SUMIFS('Attrition Modeling'!$D:$D,'Attrition Modeling'!$B:$B,'Traditional Attrition'!$E33,'Attrition Modeling'!$C:$C,'Traditional Attrition'!AT$1),VLOOKUP('Traditional Attrition'!AT$2-'Traditional Attrition'!$F33-1,'Traditional Attrition'!$A$7:$C$161,2,FALSE)*VLOOKUP(AT$1,'Attrition Modeling'!$L$15:$N$27,IF(AT$2-$F33&lt;=24,2,3),FALSE))*(1+Projection!AV$16)*(1+IF(AT165&gt;0,'Attrition Modeling'!$N$9,0))),0))</f>
        <v>8150.0955897474778</v>
      </c>
      <c r="AU33" s="799">
        <f>IF(AU$2=$F33+1,Monthly!AQ$21,IF(AU$2&gt;$F33+1,('Traditional Attrition'!AT33+AU165)*(1-IF(AU$2-$F33&lt;=12,SUMIFS('Attrition Modeling'!$D:$D,'Attrition Modeling'!$B:$B,'Traditional Attrition'!$E33,'Attrition Modeling'!$C:$C,'Traditional Attrition'!AU$1),VLOOKUP('Traditional Attrition'!AU$2-'Traditional Attrition'!$F33-1,'Traditional Attrition'!$A$7:$C$161,2,FALSE)*VLOOKUP(AU$1,'Attrition Modeling'!$L$15:$N$27,IF(AU$2-$F33&lt;=24,2,3),FALSE))*(1+Projection!AW$16)*(1+IF(AU165&gt;0,'Attrition Modeling'!$N$9,0))),0))</f>
        <v>7699.6857730412612</v>
      </c>
      <c r="AV33" s="799">
        <f>IF(AV$2=$F33+1,Monthly!AR$21,IF(AV$2&gt;$F33+1,('Traditional Attrition'!AU33+AV165)*(1-IF(AV$2-$F33&lt;=12,SUMIFS('Attrition Modeling'!$D:$D,'Attrition Modeling'!$B:$B,'Traditional Attrition'!$E33,'Attrition Modeling'!$C:$C,'Traditional Attrition'!AV$1),VLOOKUP('Traditional Attrition'!AV$2-'Traditional Attrition'!$F33-1,'Traditional Attrition'!$A$7:$C$161,2,FALSE)*VLOOKUP(AV$1,'Attrition Modeling'!$L$15:$N$27,IF(AV$2-$F33&lt;=24,2,3),FALSE))*(1+Projection!AX$16)*(1+IF(AV165&gt;0,'Attrition Modeling'!$N$9,0))),0))</f>
        <v>7258.4803807927519</v>
      </c>
      <c r="AW33" s="799">
        <f>IF(AW$2=$F33+1,Monthly!AS$21,IF(AW$2&gt;$F33+1,('Traditional Attrition'!AV33+AW165)*(1-IF(AW$2-$F33&lt;=12,SUMIFS('Attrition Modeling'!$D:$D,'Attrition Modeling'!$B:$B,'Traditional Attrition'!$E33,'Attrition Modeling'!$C:$C,'Traditional Attrition'!AW$1),VLOOKUP('Traditional Attrition'!AW$2-'Traditional Attrition'!$F33-1,'Traditional Attrition'!$A$7:$C$161,2,FALSE)*VLOOKUP(AW$1,'Attrition Modeling'!$L$15:$N$27,IF(AW$2-$F33&lt;=24,2,3),FALSE))*(1+Projection!AY$16)*(1+IF(AW165&gt;0,'Attrition Modeling'!$N$9,0))),0))</f>
        <v>7049.8765178306239</v>
      </c>
      <c r="AX33" s="799">
        <f>IF(AX$2=$F33+1,Monthly!AT$21,IF(AX$2&gt;$F33+1,('Traditional Attrition'!AW33+AX165)*(1-IF(AX$2-$F33&lt;=12,SUMIFS('Attrition Modeling'!$D:$D,'Attrition Modeling'!$B:$B,'Traditional Attrition'!$E33,'Attrition Modeling'!$C:$C,'Traditional Attrition'!AX$1),VLOOKUP('Traditional Attrition'!AX$2-'Traditional Attrition'!$F33-1,'Traditional Attrition'!$A$7:$C$161,2,FALSE)*VLOOKUP(AX$1,'Attrition Modeling'!$L$15:$N$27,IF(AX$2-$F33&lt;=24,2,3),FALSE))*(1+Projection!AZ$16)*(1+IF(AX165&gt;0,'Attrition Modeling'!$N$9,0))),0))</f>
        <v>6640.9772711709356</v>
      </c>
      <c r="AY33" s="799">
        <f>IF(AY$2=$F33+1,Monthly!AU$21,IF(AY$2&gt;$F33+1,('Traditional Attrition'!AX33+AY165)*(1-IF(AY$2-$F33&lt;=12,SUMIFS('Attrition Modeling'!$D:$D,'Attrition Modeling'!$B:$B,'Traditional Attrition'!$E33,'Attrition Modeling'!$C:$C,'Traditional Attrition'!AY$1),VLOOKUP('Traditional Attrition'!AY$2-'Traditional Attrition'!$F33-1,'Traditional Attrition'!$A$7:$C$161,2,FALSE)*VLOOKUP(AY$1,'Attrition Modeling'!$L$15:$N$27,IF(AY$2-$F33&lt;=24,2,3),FALSE))*(1+Projection!BA$16)*(1+IF(AY165&gt;0,'Attrition Modeling'!$N$9,0))),0))</f>
        <v>6269.826269531427</v>
      </c>
      <c r="AZ33" s="799">
        <f>IF(AZ$2=$F33+1,Monthly!AV$21,IF(AZ$2&gt;$F33+1,('Traditional Attrition'!AY33+AZ165)*(1-IF(AZ$2-$F33&lt;=12,SUMIFS('Attrition Modeling'!$D:$D,'Attrition Modeling'!$B:$B,'Traditional Attrition'!$E33,'Attrition Modeling'!$C:$C,'Traditional Attrition'!AZ$1),VLOOKUP('Traditional Attrition'!AZ$2-'Traditional Attrition'!$F33-1,'Traditional Attrition'!$A$7:$C$161,2,FALSE)*VLOOKUP(AZ$1,'Attrition Modeling'!$L$15:$N$27,IF(AZ$2-$F33&lt;=24,2,3),FALSE))*(1+Projection!BB$16)*(1+IF(AZ165&gt;0,'Attrition Modeling'!$N$9,0))),0))</f>
        <v>5965.9451527126676</v>
      </c>
      <c r="BA33" s="799">
        <f>IF(BA$2=$F33+1,Monthly!AW$21,IF(BA$2&gt;$F33+1,('Traditional Attrition'!AZ33+BA165)*(1-IF(BA$2-$F33&lt;=12,SUMIFS('Attrition Modeling'!$D:$D,'Attrition Modeling'!$B:$B,'Traditional Attrition'!$E33,'Attrition Modeling'!$C:$C,'Traditional Attrition'!BA$1),VLOOKUP('Traditional Attrition'!BA$2-'Traditional Attrition'!$F33-1,'Traditional Attrition'!$A$7:$C$161,2,FALSE)*VLOOKUP(BA$1,'Attrition Modeling'!$L$15:$N$27,IF(BA$2-$F33&lt;=24,2,3),FALSE))*(1+Projection!BC$16)*(1+IF(BA165&gt;0,'Attrition Modeling'!$N$9,0))),0))</f>
        <v>5680.9093858511669</v>
      </c>
      <c r="BB33" s="799">
        <f>IF(BB$2=$F33+1,Monthly!AX$21,IF(BB$2&gt;$F33+1,('Traditional Attrition'!BA33+BB165)*(1-IF(BB$2-$F33&lt;=12,SUMIFS('Attrition Modeling'!$D:$D,'Attrition Modeling'!$B:$B,'Traditional Attrition'!$E33,'Attrition Modeling'!$C:$C,'Traditional Attrition'!BB$1),VLOOKUP('Traditional Attrition'!BB$2-'Traditional Attrition'!$F33-1,'Traditional Attrition'!$A$7:$C$161,2,FALSE)*VLOOKUP(BB$1,'Attrition Modeling'!$L$15:$N$27,IF(BB$2-$F33&lt;=24,2,3),FALSE))*(1+Projection!BD$16)*(1+IF(BB165&gt;0,'Attrition Modeling'!$N$9,0))),0))</f>
        <v>5427.48680503796</v>
      </c>
      <c r="BC33" s="799">
        <f>IF(BC$2=$F33+1,Monthly!AY$21,IF(BC$2&gt;$F33+1,('Traditional Attrition'!BB33+BC165)*(1-IF(BC$2-$F33&lt;=12,SUMIFS('Attrition Modeling'!$D:$D,'Attrition Modeling'!$B:$B,'Traditional Attrition'!$E33,'Attrition Modeling'!$C:$C,'Traditional Attrition'!BC$1),VLOOKUP('Traditional Attrition'!BC$2-'Traditional Attrition'!$F33-1,'Traditional Attrition'!$A$7:$C$161,2,FALSE)*VLOOKUP(BC$1,'Attrition Modeling'!$L$15:$N$27,IF(BC$2-$F33&lt;=24,2,3),FALSE))*(1+Projection!BE$16)*(1+IF(BC165&gt;0,'Attrition Modeling'!$N$9,0))),0))</f>
        <v>5641.2385348191347</v>
      </c>
      <c r="BD33" s="799">
        <f>IF(BD$2=$F33+1,Monthly!AZ$21,IF(BD$2&gt;$F33+1,('Traditional Attrition'!BC33+BD165)*(1-IF(BD$2-$F33&lt;=12,SUMIFS('Attrition Modeling'!$D:$D,'Attrition Modeling'!$B:$B,'Traditional Attrition'!$E33,'Attrition Modeling'!$C:$C,'Traditional Attrition'!BD$1),VLOOKUP('Traditional Attrition'!BD$2-'Traditional Attrition'!$F33-1,'Traditional Attrition'!$A$7:$C$161,2,FALSE)*VLOOKUP(BD$1,'Attrition Modeling'!$L$15:$N$27,IF(BD$2-$F33&lt;=24,2,3),FALSE))*(1+Projection!BF$16)*(1+IF(BD165&gt;0,'Attrition Modeling'!$N$9,0))),0))</f>
        <v>5403.3919101332267</v>
      </c>
      <c r="BE33" s="799">
        <f>IF(BE$2=$F33+1,Monthly!BA$21,IF(BE$2&gt;$F33+1,('Traditional Attrition'!BD33+BE165)*(1-IF(BE$2-$F33&lt;=12,SUMIFS('Attrition Modeling'!$D:$D,'Attrition Modeling'!$B:$B,'Traditional Attrition'!$E33,'Attrition Modeling'!$C:$C,'Traditional Attrition'!BE$1),VLOOKUP('Traditional Attrition'!BE$2-'Traditional Attrition'!$F33-1,'Traditional Attrition'!$A$7:$C$161,2,FALSE)*VLOOKUP(BE$1,'Attrition Modeling'!$L$15:$N$27,IF(BE$2-$F33&lt;=24,2,3),FALSE))*(1+Projection!BG$16)*(1+IF(BE165&gt;0,'Attrition Modeling'!$N$9,0))),0))</f>
        <v>5201.780389053567</v>
      </c>
      <c r="BF33" s="799">
        <f>IF(BF$2=$F33+1,Monthly!BB$21,IF(BF$2&gt;$F33+1,('Traditional Attrition'!BE33+BF165)*(1-IF(BF$2-$F33&lt;=12,SUMIFS('Attrition Modeling'!$D:$D,'Attrition Modeling'!$B:$B,'Traditional Attrition'!$E33,'Attrition Modeling'!$C:$C,'Traditional Attrition'!BF$1),VLOOKUP('Traditional Attrition'!BF$2-'Traditional Attrition'!$F33-1,'Traditional Attrition'!$A$7:$C$161,2,FALSE)*VLOOKUP(BF$1,'Attrition Modeling'!$L$15:$N$27,IF(BF$2-$F33&lt;=24,2,3),FALSE))*(1+Projection!BH$16)*(1+IF(BF165&gt;0,'Attrition Modeling'!$N$9,0))),0))</f>
        <v>4994.112138286805</v>
      </c>
      <c r="BG33" s="799">
        <f>IF(BG$2=$F33+1,Monthly!BC$21,IF(BG$2&gt;$F33+1,('Traditional Attrition'!BF33+BG165)*(1-IF(BG$2-$F33&lt;=12,SUMIFS('Attrition Modeling'!$D:$D,'Attrition Modeling'!$B:$B,'Traditional Attrition'!$E33,'Attrition Modeling'!$C:$C,'Traditional Attrition'!BG$1),VLOOKUP('Traditional Attrition'!BG$2-'Traditional Attrition'!$F33-1,'Traditional Attrition'!$A$7:$C$161,2,FALSE)*VLOOKUP(BG$1,'Attrition Modeling'!$L$15:$N$27,IF(BG$2-$F33&lt;=24,2,3),FALSE))*(1+Projection!BI$16)*(1+IF(BG165&gt;0,'Attrition Modeling'!$N$9,0))),0))</f>
        <v>4801.1266321556786</v>
      </c>
      <c r="BH33" s="799">
        <f>IF(BH$2=$F33+1,Monthly!BD$21,IF(BH$2&gt;$F33+1,('Traditional Attrition'!BG33+BH165)*(1-IF(BH$2-$F33&lt;=12,SUMIFS('Attrition Modeling'!$D:$D,'Attrition Modeling'!$B:$B,'Traditional Attrition'!$E33,'Attrition Modeling'!$C:$C,'Traditional Attrition'!BH$1),VLOOKUP('Traditional Attrition'!BH$2-'Traditional Attrition'!$F33-1,'Traditional Attrition'!$A$7:$C$161,2,FALSE)*VLOOKUP(BH$1,'Attrition Modeling'!$L$15:$N$27,IF(BH$2-$F33&lt;=24,2,3),FALSE))*(1+Projection!BJ$16)*(1+IF(BH165&gt;0,'Attrition Modeling'!$N$9,0))),0))</f>
        <v>4619.5552218939747</v>
      </c>
      <c r="BI33" s="799">
        <f>IF(BI$2=$F33+1,Monthly!BE$21,IF(BI$2&gt;$F33+1,('Traditional Attrition'!BH33+BI165)*(1-IF(BI$2-$F33&lt;=12,SUMIFS('Attrition Modeling'!$D:$D,'Attrition Modeling'!$B:$B,'Traditional Attrition'!$E33,'Attrition Modeling'!$C:$C,'Traditional Attrition'!BI$1),VLOOKUP('Traditional Attrition'!BI$2-'Traditional Attrition'!$F33-1,'Traditional Attrition'!$A$7:$C$161,2,FALSE)*VLOOKUP(BI$1,'Attrition Modeling'!$L$15:$N$27,IF(BI$2-$F33&lt;=24,2,3),FALSE))*(1+Projection!BK$16)*(1+IF(BI165&gt;0,'Attrition Modeling'!$N$9,0))),0))</f>
        <v>4430.2895894330632</v>
      </c>
      <c r="BJ33" s="799">
        <f>IF(BJ$2=$F33+1,Monthly!BF$21,IF(BJ$2&gt;$F33+1,('Traditional Attrition'!BI33+BJ165)*(1-IF(BJ$2-$F33&lt;=12,SUMIFS('Attrition Modeling'!$D:$D,'Attrition Modeling'!$B:$B,'Traditional Attrition'!$E33,'Attrition Modeling'!$C:$C,'Traditional Attrition'!BJ$1),VLOOKUP('Traditional Attrition'!BJ$2-'Traditional Attrition'!$F33-1,'Traditional Attrition'!$A$7:$C$161,2,FALSE)*VLOOKUP(BJ$1,'Attrition Modeling'!$L$15:$N$27,IF(BJ$2-$F33&lt;=24,2,3),FALSE))*(1+Projection!BL$16)*(1+IF(BJ165&gt;0,'Attrition Modeling'!$N$9,0))),0))</f>
        <v>4250.7294794789323</v>
      </c>
      <c r="BK33" s="799">
        <f>IF(BK$2=$F33+1,Monthly!BG$21,IF(BK$2&gt;$F33+1,('Traditional Attrition'!BJ33+BK165)*(1-IF(BK$2-$F33&lt;=12,SUMIFS('Attrition Modeling'!$D:$D,'Attrition Modeling'!$B:$B,'Traditional Attrition'!$E33,'Attrition Modeling'!$C:$C,'Traditional Attrition'!BK$1),VLOOKUP('Traditional Attrition'!BK$2-'Traditional Attrition'!$F33-1,'Traditional Attrition'!$A$7:$C$161,2,FALSE)*VLOOKUP(BK$1,'Attrition Modeling'!$L$15:$N$27,IF(BK$2-$F33&lt;=24,2,3),FALSE))*(1+Projection!BM$16)*(1+IF(BK165&gt;0,'Attrition Modeling'!$N$9,0))),0))</f>
        <v>4068.297387454601</v>
      </c>
      <c r="BL33" s="799">
        <f>IF(BL$2=$F33+1,Monthly!BH$21,IF(BL$2&gt;$F33+1,('Traditional Attrition'!BK33+BL165)*(1-IF(BL$2-$F33&lt;=12,SUMIFS('Attrition Modeling'!$D:$D,'Attrition Modeling'!$B:$B,'Traditional Attrition'!$E33,'Attrition Modeling'!$C:$C,'Traditional Attrition'!BL$1),VLOOKUP('Traditional Attrition'!BL$2-'Traditional Attrition'!$F33-1,'Traditional Attrition'!$A$7:$C$161,2,FALSE)*VLOOKUP(BL$1,'Attrition Modeling'!$L$15:$N$27,IF(BL$2-$F33&lt;=24,2,3),FALSE))*(1+Projection!BN$16)*(1+IF(BL165&gt;0,'Attrition Modeling'!$N$9,0))),0))</f>
        <v>3906.5470996962977</v>
      </c>
      <c r="BM33" s="799">
        <f>IF(BM$2=$F33+1,Monthly!BI$21,IF(BM$2&gt;$F33+1,('Traditional Attrition'!BL33+BM165)*(1-IF(BM$2-$F33&lt;=12,SUMIFS('Attrition Modeling'!$D:$D,'Attrition Modeling'!$B:$B,'Traditional Attrition'!$E33,'Attrition Modeling'!$C:$C,'Traditional Attrition'!BM$1),VLOOKUP('Traditional Attrition'!BM$2-'Traditional Attrition'!$F33-1,'Traditional Attrition'!$A$7:$C$161,2,FALSE)*VLOOKUP(BM$1,'Attrition Modeling'!$L$15:$N$27,IF(BM$2-$F33&lt;=24,2,3),FALSE))*(1+Projection!BO$16)*(1+IF(BM165&gt;0,'Attrition Modeling'!$N$9,0))),0))</f>
        <v>3758.5520196259877</v>
      </c>
      <c r="BN33" s="799">
        <f>IF(BN$2=$F33+1,Monthly!BJ$21,IF(BN$2&gt;$F33+1,('Traditional Attrition'!BM33+BN165)*(1-IF(BN$2-$F33&lt;=12,SUMIFS('Attrition Modeling'!$D:$D,'Attrition Modeling'!$B:$B,'Traditional Attrition'!$E33,'Attrition Modeling'!$C:$C,'Traditional Attrition'!BN$1),VLOOKUP('Traditional Attrition'!BN$2-'Traditional Attrition'!$F33-1,'Traditional Attrition'!$A$7:$C$161,2,FALSE)*VLOOKUP(BN$1,'Attrition Modeling'!$L$15:$N$27,IF(BN$2-$F33&lt;=24,2,3),FALSE))*(1+Projection!BP$16)*(1+IF(BN165&gt;0,'Attrition Modeling'!$N$9,0))),0))</f>
        <v>3621.1703352431914</v>
      </c>
      <c r="BO33" s="799">
        <f>IF(BO$2=$F33+1,Monthly!BK$21,IF(BO$2&gt;$F33+1,('Traditional Attrition'!BN33+BO165)*(1-IF(BO$2-$F33&lt;=12,SUMIFS('Attrition Modeling'!$D:$D,'Attrition Modeling'!$B:$B,'Traditional Attrition'!$E33,'Attrition Modeling'!$C:$C,'Traditional Attrition'!BO$1),VLOOKUP('Traditional Attrition'!BO$2-'Traditional Attrition'!$F33-1,'Traditional Attrition'!$A$7:$C$161,2,FALSE)*VLOOKUP(BO$1,'Attrition Modeling'!$L$15:$N$27,IF(BO$2-$F33&lt;=24,2,3),FALSE))*(1+Projection!BV$16)*(1+IF(BO165&gt;0,'Attrition Modeling'!$N$9,0))),0))</f>
        <v>3662.9004413522753</v>
      </c>
      <c r="BP33" s="799">
        <f>IF(BP$2=$F33+1,Monthly!BL$21,IF(BP$2&gt;$F33+1,('Traditional Attrition'!BO33+BP165)*(1-IF(BP$2-$F33&lt;=12,SUMIFS('Attrition Modeling'!$D:$D,'Attrition Modeling'!$B:$B,'Traditional Attrition'!$E33,'Attrition Modeling'!$C:$C,'Traditional Attrition'!BP$1),VLOOKUP('Traditional Attrition'!BP$2-'Traditional Attrition'!$F33-1,'Traditional Attrition'!$A$7:$C$161,2,FALSE)*VLOOKUP(BP$1,'Attrition Modeling'!$L$15:$N$27,IF(BP$2-$F33&lt;=24,2,3),FALSE))*(1+Projection!BW$16)*(1+IF(BP165&gt;0,'Attrition Modeling'!$N$9,0))),0))</f>
        <v>3543.7612416010788</v>
      </c>
      <c r="BQ33" s="799">
        <f>IF(BQ$2=$F33+1,Monthly!BM$21,IF(BQ$2&gt;$F33+1,('Traditional Attrition'!BP33+BQ165)*(1-IF(BQ$2-$F33&lt;=12,SUMIFS('Attrition Modeling'!$D:$D,'Attrition Modeling'!$B:$B,'Traditional Attrition'!$E33,'Attrition Modeling'!$C:$C,'Traditional Attrition'!BQ$1),VLOOKUP('Traditional Attrition'!BQ$2-'Traditional Attrition'!$F33-1,'Traditional Attrition'!$A$7:$C$161,2,FALSE)*VLOOKUP(BQ$1,'Attrition Modeling'!$L$15:$N$27,IF(BQ$2-$F33&lt;=24,2,3),FALSE))*(1+Projection!BX$16)*(1+IF(BQ165&gt;0,'Attrition Modeling'!$N$9,0))),0))</f>
        <v>3433.4501344029431</v>
      </c>
      <c r="BR33" s="799">
        <f>IF(BR$2=$F33+1,Monthly!BN$21,IF(BR$2&gt;$F33+1,('Traditional Attrition'!BQ33+BR165)*(1-IF(BR$2-$F33&lt;=12,SUMIFS('Attrition Modeling'!$D:$D,'Attrition Modeling'!$B:$B,'Traditional Attrition'!$E33,'Attrition Modeling'!$C:$C,'Traditional Attrition'!BR$1),VLOOKUP('Traditional Attrition'!BR$2-'Traditional Attrition'!$F33-1,'Traditional Attrition'!$A$7:$C$161,2,FALSE)*VLOOKUP(BR$1,'Attrition Modeling'!$L$15:$N$27,IF(BR$2-$F33&lt;=24,2,3),FALSE))*(1+Projection!BY$16)*(1+IF(BR165&gt;0,'Attrition Modeling'!$N$9,0))),0))</f>
        <v>3332.2651138511469</v>
      </c>
      <c r="BS33" s="799">
        <f>IF(BS$2=$F33+1,Monthly!BO$21,IF(BS$2&gt;$F33+1,('Traditional Attrition'!BR33+BS165)*(1-IF(BS$2-$F33&lt;=12,SUMIFS('Attrition Modeling'!$D:$D,'Attrition Modeling'!$B:$B,'Traditional Attrition'!$E33,'Attrition Modeling'!$C:$C,'Traditional Attrition'!BS$1),VLOOKUP('Traditional Attrition'!BS$2-'Traditional Attrition'!$F33-1,'Traditional Attrition'!$A$7:$C$161,2,FALSE)*VLOOKUP(BS$1,'Attrition Modeling'!$L$15:$N$27,IF(BS$2-$F33&lt;=24,2,3),FALSE))*(1+Projection!BZ$16)*(1+IF(BS165&gt;0,'Attrition Modeling'!$N$9,0))),0))</f>
        <v>3255.0639952926977</v>
      </c>
      <c r="BT33" s="799">
        <f>IF(BT$2=$F33+1,Monthly!#REF!,IF(BT$2&gt;$F33+1,('Traditional Attrition'!BS33+BT165)*(1-IF(BT$2-$F33&lt;=12,SUMIFS('Attrition Modeling'!$D:$D,'Attrition Modeling'!$B:$B,'Traditional Attrition'!$E33,'Attrition Modeling'!$C:$C,'Traditional Attrition'!BT$1),VLOOKUP('Traditional Attrition'!BT$2-'Traditional Attrition'!$F33-1,'Traditional Attrition'!$A$7:$C$161,2,FALSE)*VLOOKUP(BT$1,'Attrition Modeling'!$L$15:$N$27,IF(BT$2-$F33&lt;=24,2,3),FALSE))*(1+Projection!CA$16)*(1+IF(BT165&gt;0,'Attrition Modeling'!$N$9,0))),0))</f>
        <v>3165.045386062774</v>
      </c>
      <c r="BU33" s="799">
        <f>IF(BU$2=$F33+1,Monthly!#REF!,IF(BU$2&gt;$F33+1,('Traditional Attrition'!BT33+BU165)*(1-IF(BU$2-$F33&lt;=12,SUMIFS('Attrition Modeling'!$D:$D,'Attrition Modeling'!$B:$B,'Traditional Attrition'!$E33,'Attrition Modeling'!$C:$C,'Traditional Attrition'!BU$1),VLOOKUP('Traditional Attrition'!BU$2-'Traditional Attrition'!$F33-1,'Traditional Attrition'!$A$7:$C$161,2,FALSE)*VLOOKUP(BU$1,'Attrition Modeling'!$L$15:$N$27,IF(BU$2-$F33&lt;=24,2,3),FALSE))*(1+Projection!CB$16)*(1+IF(BU165&gt;0,'Attrition Modeling'!$N$9,0))),0))</f>
        <v>3066.2510596210218</v>
      </c>
    </row>
    <row r="34" spans="1:73" ht="14.25" customHeight="1" x14ac:dyDescent="0.2">
      <c r="A34" s="9">
        <v>27</v>
      </c>
      <c r="B34" s="25">
        <f>MAX('Attrition Modeling'!H31,$C$3)*(1-Summary!$C$20)</f>
        <v>3.4562316693975192E-2</v>
      </c>
      <c r="C34" s="24" t="e">
        <f t="shared" si="4"/>
        <v>#DIV/0!</v>
      </c>
      <c r="E34" s="11">
        <f t="shared" si="2"/>
        <v>7</v>
      </c>
      <c r="F34" s="11">
        <f t="shared" si="3"/>
        <v>31</v>
      </c>
      <c r="G34" s="799"/>
      <c r="H34" s="799">
        <f>IF(H$2=$F34+1,Monthly!D$21,IF(H$2&gt;$F34+1,('Traditional Attrition'!G34+H166)*(1-IF(H$2-$F34&lt;=12,SUMIFS('Attrition Modeling'!$D:$D,'Attrition Modeling'!$B:$B,'Traditional Attrition'!$E34,'Attrition Modeling'!$C:$C,'Traditional Attrition'!H$1),VLOOKUP('Traditional Attrition'!H$2-'Traditional Attrition'!$F34-1,'Traditional Attrition'!$A$7:$C$161,2,FALSE)*VLOOKUP(H$1,'Attrition Modeling'!$L$15:$N$27,IF(H$2-$F34&lt;=24,2,3),FALSE))*(1+Projection!J$16)*(1+IF(H166&gt;0,'Attrition Modeling'!$N$9,0))),0))</f>
        <v>0</v>
      </c>
      <c r="I34" s="799">
        <f>IF(I$2=$F34+1,Monthly!E$21,IF(I$2&gt;$F34+1,('Traditional Attrition'!H34+I166)*(1-IF(I$2-$F34&lt;=12,SUMIFS('Attrition Modeling'!$D:$D,'Attrition Modeling'!$B:$B,'Traditional Attrition'!$E34,'Attrition Modeling'!$C:$C,'Traditional Attrition'!I$1),VLOOKUP('Traditional Attrition'!I$2-'Traditional Attrition'!$F34-1,'Traditional Attrition'!$A$7:$C$161,2,FALSE)*VLOOKUP(I$1,'Attrition Modeling'!$L$15:$N$27,IF(I$2-$F34&lt;=24,2,3),FALSE))*(1+Projection!K$16)*(1+IF(I166&gt;0,'Attrition Modeling'!$N$9,0))),0))</f>
        <v>0</v>
      </c>
      <c r="J34" s="799">
        <f>IF(J$2=$F34+1,Monthly!F$21,IF(J$2&gt;$F34+1,('Traditional Attrition'!I34+J166)*(1-IF(J$2-$F34&lt;=12,SUMIFS('Attrition Modeling'!$D:$D,'Attrition Modeling'!$B:$B,'Traditional Attrition'!$E34,'Attrition Modeling'!$C:$C,'Traditional Attrition'!J$1),VLOOKUP('Traditional Attrition'!J$2-'Traditional Attrition'!$F34-1,'Traditional Attrition'!$A$7:$C$161,2,FALSE)*VLOOKUP(J$1,'Attrition Modeling'!$L$15:$N$27,IF(J$2-$F34&lt;=24,2,3),FALSE))*(1+Projection!L$16)*(1+IF(J166&gt;0,'Attrition Modeling'!$N$9,0))),0))</f>
        <v>0</v>
      </c>
      <c r="K34" s="799">
        <f>IF(K$2=$F34+1,Monthly!G$21,IF(K$2&gt;$F34+1,('Traditional Attrition'!J34+K166)*(1-IF(K$2-$F34&lt;=12,SUMIFS('Attrition Modeling'!$D:$D,'Attrition Modeling'!$B:$B,'Traditional Attrition'!$E34,'Attrition Modeling'!$C:$C,'Traditional Attrition'!K$1),VLOOKUP('Traditional Attrition'!K$2-'Traditional Attrition'!$F34-1,'Traditional Attrition'!$A$7:$C$161,2,FALSE)*VLOOKUP(K$1,'Attrition Modeling'!$L$15:$N$27,IF(K$2-$F34&lt;=24,2,3),FALSE))*(1+Projection!M$16)*(1+IF(K166&gt;0,'Attrition Modeling'!$N$9,0))),0))</f>
        <v>0</v>
      </c>
      <c r="L34" s="799">
        <f>IF(L$2=$F34+1,Monthly!H$21,IF(L$2&gt;$F34+1,('Traditional Attrition'!K34+L166)*(1-IF(L$2-$F34&lt;=12,SUMIFS('Attrition Modeling'!$D:$D,'Attrition Modeling'!$B:$B,'Traditional Attrition'!$E34,'Attrition Modeling'!$C:$C,'Traditional Attrition'!L$1),VLOOKUP('Traditional Attrition'!L$2-'Traditional Attrition'!$F34-1,'Traditional Attrition'!$A$7:$C$161,2,FALSE)*VLOOKUP(L$1,'Attrition Modeling'!$L$15:$N$27,IF(L$2-$F34&lt;=24,2,3),FALSE))*(1+Projection!N$16)*(1+IF(L166&gt;0,'Attrition Modeling'!$N$9,0))),0))</f>
        <v>0</v>
      </c>
      <c r="M34" s="799">
        <f>IF(M$2=$F34+1,Monthly!I$21,IF(M$2&gt;$F34+1,('Traditional Attrition'!L34+M166)*(1-IF(M$2-$F34&lt;=12,SUMIFS('Attrition Modeling'!$D:$D,'Attrition Modeling'!$B:$B,'Traditional Attrition'!$E34,'Attrition Modeling'!$C:$C,'Traditional Attrition'!M$1),VLOOKUP('Traditional Attrition'!M$2-'Traditional Attrition'!$F34-1,'Traditional Attrition'!$A$7:$C$161,2,FALSE)*VLOOKUP(M$1,'Attrition Modeling'!$L$15:$N$27,IF(M$2-$F34&lt;=24,2,3),FALSE))*(1+Projection!O$16)*(1+IF(M166&gt;0,'Attrition Modeling'!$N$9,0))),0))</f>
        <v>0</v>
      </c>
      <c r="N34" s="799">
        <f>IF(N$2=$F34+1,Monthly!J$21,IF(N$2&gt;$F34+1,('Traditional Attrition'!M34+N166)*(1-IF(N$2-$F34&lt;=12,SUMIFS('Attrition Modeling'!$D:$D,'Attrition Modeling'!$B:$B,'Traditional Attrition'!$E34,'Attrition Modeling'!$C:$C,'Traditional Attrition'!N$1),VLOOKUP('Traditional Attrition'!N$2-'Traditional Attrition'!$F34-1,'Traditional Attrition'!$A$7:$C$161,2,FALSE)*VLOOKUP(N$1,'Attrition Modeling'!$L$15:$N$27,IF(N$2-$F34&lt;=24,2,3),FALSE))*(1+Projection!P$16)*(1+IF(N166&gt;0,'Attrition Modeling'!$N$9,0))),0))</f>
        <v>0</v>
      </c>
      <c r="O34" s="799">
        <f>IF(O$2=$F34+1,Monthly!K$21,IF(O$2&gt;$F34+1,('Traditional Attrition'!N34+O166)*(1-IF(O$2-$F34&lt;=12,SUMIFS('Attrition Modeling'!$D:$D,'Attrition Modeling'!$B:$B,'Traditional Attrition'!$E34,'Attrition Modeling'!$C:$C,'Traditional Attrition'!O$1),VLOOKUP('Traditional Attrition'!O$2-'Traditional Attrition'!$F34-1,'Traditional Attrition'!$A$7:$C$161,2,FALSE)*VLOOKUP(O$1,'Attrition Modeling'!$L$15:$N$27,IF(O$2-$F34&lt;=24,2,3),FALSE))*(1+Projection!Q$16)*(1+IF(O166&gt;0,'Attrition Modeling'!$N$9,0))),0))</f>
        <v>0</v>
      </c>
      <c r="P34" s="799">
        <f>IF(P$2=$F34+1,Monthly!L$21,IF(P$2&gt;$F34+1,('Traditional Attrition'!O34+P166)*(1-IF(P$2-$F34&lt;=12,SUMIFS('Attrition Modeling'!$D:$D,'Attrition Modeling'!$B:$B,'Traditional Attrition'!$E34,'Attrition Modeling'!$C:$C,'Traditional Attrition'!P$1),VLOOKUP('Traditional Attrition'!P$2-'Traditional Attrition'!$F34-1,'Traditional Attrition'!$A$7:$C$161,2,FALSE)*VLOOKUP(P$1,'Attrition Modeling'!$L$15:$N$27,IF(P$2-$F34&lt;=24,2,3),FALSE))*(1+Projection!R$16)*(1+IF(P166&gt;0,'Attrition Modeling'!$N$9,0))),0))</f>
        <v>0</v>
      </c>
      <c r="Q34" s="799">
        <f>IF(Q$2=$F34+1,Monthly!M$21,IF(Q$2&gt;$F34+1,('Traditional Attrition'!P34+Q166)*(1-IF(Q$2-$F34&lt;=12,SUMIFS('Attrition Modeling'!$D:$D,'Attrition Modeling'!$B:$B,'Traditional Attrition'!$E34,'Attrition Modeling'!$C:$C,'Traditional Attrition'!Q$1),VLOOKUP('Traditional Attrition'!Q$2-'Traditional Attrition'!$F34-1,'Traditional Attrition'!$A$7:$C$161,2,FALSE)*VLOOKUP(Q$1,'Attrition Modeling'!$L$15:$N$27,IF(Q$2-$F34&lt;=24,2,3),FALSE))*(1+Projection!S$16)*(1+IF(Q166&gt;0,'Attrition Modeling'!$N$9,0))),0))</f>
        <v>0</v>
      </c>
      <c r="R34" s="799">
        <f>IF(R$2=$F34+1,Monthly!N$21,IF(R$2&gt;$F34+1,('Traditional Attrition'!Q34+R166)*(1-IF(R$2-$F34&lt;=12,SUMIFS('Attrition Modeling'!$D:$D,'Attrition Modeling'!$B:$B,'Traditional Attrition'!$E34,'Attrition Modeling'!$C:$C,'Traditional Attrition'!R$1),VLOOKUP('Traditional Attrition'!R$2-'Traditional Attrition'!$F34-1,'Traditional Attrition'!$A$7:$C$161,2,FALSE)*VLOOKUP(R$1,'Attrition Modeling'!$L$15:$N$27,IF(R$2-$F34&lt;=24,2,3),FALSE))*(1+Projection!T$16)*(1+IF(R166&gt;0,'Attrition Modeling'!$N$9,0))),0))</f>
        <v>0</v>
      </c>
      <c r="S34" s="799">
        <f>IF(S$2=$F34+1,Monthly!O$21,IF(S$2&gt;$F34+1,('Traditional Attrition'!R34+S166)*(1-IF(S$2-$F34&lt;=12,SUMIFS('Attrition Modeling'!$D:$D,'Attrition Modeling'!$B:$B,'Traditional Attrition'!$E34,'Attrition Modeling'!$C:$C,'Traditional Attrition'!S$1),VLOOKUP('Traditional Attrition'!S$2-'Traditional Attrition'!$F34-1,'Traditional Attrition'!$A$7:$C$161,2,FALSE)*VLOOKUP(S$1,'Attrition Modeling'!$L$15:$N$27,IF(S$2-$F34&lt;=24,2,3),FALSE))*(1+Projection!U$16)*(1+IF(S166&gt;0,'Attrition Modeling'!$N$9,0))),0))</f>
        <v>0</v>
      </c>
      <c r="T34" s="799">
        <f>IF(T$2=$F34+1,Monthly!P$21,IF(T$2&gt;$F34+1,('Traditional Attrition'!S34+T166)*(1-IF(T$2-$F34&lt;=12,SUMIFS('Attrition Modeling'!$D:$D,'Attrition Modeling'!$B:$B,'Traditional Attrition'!$E34,'Attrition Modeling'!$C:$C,'Traditional Attrition'!T$1),VLOOKUP('Traditional Attrition'!T$2-'Traditional Attrition'!$F34-1,'Traditional Attrition'!$A$7:$C$161,2,FALSE)*VLOOKUP(T$1,'Attrition Modeling'!$L$15:$N$27,IF(T$2-$F34&lt;=24,2,3),FALSE))*(1+Projection!V$16)*(1+IF(T166&gt;0,'Attrition Modeling'!$N$9,0))),0))</f>
        <v>0</v>
      </c>
      <c r="U34" s="799">
        <f>IF(U$2=$F34+1,Monthly!Q$21,IF(U$2&gt;$F34+1,('Traditional Attrition'!T34+U166)*(1-IF(U$2-$F34&lt;=12,SUMIFS('Attrition Modeling'!$D:$D,'Attrition Modeling'!$B:$B,'Traditional Attrition'!$E34,'Attrition Modeling'!$C:$C,'Traditional Attrition'!U$1),VLOOKUP('Traditional Attrition'!U$2-'Traditional Attrition'!$F34-1,'Traditional Attrition'!$A$7:$C$161,2,FALSE)*VLOOKUP(U$1,'Attrition Modeling'!$L$15:$N$27,IF(U$2-$F34&lt;=24,2,3),FALSE))*(1+Projection!W$16)*(1+IF(U166&gt;0,'Attrition Modeling'!$N$9,0))),0))</f>
        <v>0</v>
      </c>
      <c r="V34" s="799">
        <f>IF(V$2=$F34+1,Monthly!R$21,IF(V$2&gt;$F34+1,('Traditional Attrition'!U34+V166)*(1-IF(V$2-$F34&lt;=12,SUMIFS('Attrition Modeling'!$D:$D,'Attrition Modeling'!$B:$B,'Traditional Attrition'!$E34,'Attrition Modeling'!$C:$C,'Traditional Attrition'!V$1),VLOOKUP('Traditional Attrition'!V$2-'Traditional Attrition'!$F34-1,'Traditional Attrition'!$A$7:$C$161,2,FALSE)*VLOOKUP(V$1,'Attrition Modeling'!$L$15:$N$27,IF(V$2-$F34&lt;=24,2,3),FALSE))*(1+Projection!X$16)*(1+IF(V166&gt;0,'Attrition Modeling'!$N$9,0))),0))</f>
        <v>0</v>
      </c>
      <c r="W34" s="799">
        <f>IF(W$2=$F34+1,Monthly!S$21,IF(W$2&gt;$F34+1,('Traditional Attrition'!V34+W166)*(1-IF(W$2-$F34&lt;=12,SUMIFS('Attrition Modeling'!$D:$D,'Attrition Modeling'!$B:$B,'Traditional Attrition'!$E34,'Attrition Modeling'!$C:$C,'Traditional Attrition'!W$1),VLOOKUP('Traditional Attrition'!W$2-'Traditional Attrition'!$F34-1,'Traditional Attrition'!$A$7:$C$161,2,FALSE)*VLOOKUP(W$1,'Attrition Modeling'!$L$15:$N$27,IF(W$2-$F34&lt;=24,2,3),FALSE))*(1+Projection!Y$16)*(1+IF(W166&gt;0,'Attrition Modeling'!$N$9,0))),0))</f>
        <v>0</v>
      </c>
      <c r="X34" s="799">
        <f>IF(X$2=$F34+1,Monthly!T$21,IF(X$2&gt;$F34+1,('Traditional Attrition'!W34+X166)*(1-IF(X$2-$F34&lt;=12,SUMIFS('Attrition Modeling'!$D:$D,'Attrition Modeling'!$B:$B,'Traditional Attrition'!$E34,'Attrition Modeling'!$C:$C,'Traditional Attrition'!X$1),VLOOKUP('Traditional Attrition'!X$2-'Traditional Attrition'!$F34-1,'Traditional Attrition'!$A$7:$C$161,2,FALSE)*VLOOKUP(X$1,'Attrition Modeling'!$L$15:$N$27,IF(X$2-$F34&lt;=24,2,3),FALSE))*(1+Projection!Z$16)*(1+IF(X166&gt;0,'Attrition Modeling'!$N$9,0))),0))</f>
        <v>0</v>
      </c>
      <c r="Y34" s="799">
        <f>IF(Y$2=$F34+1,Monthly!U$21,IF(Y$2&gt;$F34+1,('Traditional Attrition'!X34+Y166)*(1-IF(Y$2-$F34&lt;=12,SUMIFS('Attrition Modeling'!$D:$D,'Attrition Modeling'!$B:$B,'Traditional Attrition'!$E34,'Attrition Modeling'!$C:$C,'Traditional Attrition'!Y$1),VLOOKUP('Traditional Attrition'!Y$2-'Traditional Attrition'!$F34-1,'Traditional Attrition'!$A$7:$C$161,2,FALSE)*VLOOKUP(Y$1,'Attrition Modeling'!$L$15:$N$27,IF(Y$2-$F34&lt;=24,2,3),FALSE))*(1+Projection!AA$16)*(1+IF(Y166&gt;0,'Attrition Modeling'!$N$9,0))),0))</f>
        <v>0</v>
      </c>
      <c r="Z34" s="799">
        <f>IF(Z$2=$F34+1,Monthly!V$21,IF(Z$2&gt;$F34+1,('Traditional Attrition'!Y34+Z166)*(1-IF(Z$2-$F34&lt;=12,SUMIFS('Attrition Modeling'!$D:$D,'Attrition Modeling'!$B:$B,'Traditional Attrition'!$E34,'Attrition Modeling'!$C:$C,'Traditional Attrition'!Z$1),VLOOKUP('Traditional Attrition'!Z$2-'Traditional Attrition'!$F34-1,'Traditional Attrition'!$A$7:$C$161,2,FALSE)*VLOOKUP(Z$1,'Attrition Modeling'!$L$15:$N$27,IF(Z$2-$F34&lt;=24,2,3),FALSE))*(1+Projection!AB$16)*(1+IF(Z166&gt;0,'Attrition Modeling'!$N$9,0))),0))</f>
        <v>0</v>
      </c>
      <c r="AA34" s="799">
        <f>IF(AA$2=$F34+1,Monthly!W$21,IF(AA$2&gt;$F34+1,('Traditional Attrition'!Z34+AA166)*(1-IF(AA$2-$F34&lt;=12,SUMIFS('Attrition Modeling'!$D:$D,'Attrition Modeling'!$B:$B,'Traditional Attrition'!$E34,'Attrition Modeling'!$C:$C,'Traditional Attrition'!AA$1),VLOOKUP('Traditional Attrition'!AA$2-'Traditional Attrition'!$F34-1,'Traditional Attrition'!$A$7:$C$161,2,FALSE)*VLOOKUP(AA$1,'Attrition Modeling'!$L$15:$N$27,IF(AA$2-$F34&lt;=24,2,3),FALSE))*(1+Projection!AC$16)*(1+IF(AA166&gt;0,'Attrition Modeling'!$N$9,0))),0))</f>
        <v>0</v>
      </c>
      <c r="AB34" s="799">
        <f>IF(AB$2=$F34+1,Monthly!X$21,IF(AB$2&gt;$F34+1,('Traditional Attrition'!AA34+AB166)*(1-IF(AB$2-$F34&lt;=12,SUMIFS('Attrition Modeling'!$D:$D,'Attrition Modeling'!$B:$B,'Traditional Attrition'!$E34,'Attrition Modeling'!$C:$C,'Traditional Attrition'!AB$1),VLOOKUP('Traditional Attrition'!AB$2-'Traditional Attrition'!$F34-1,'Traditional Attrition'!$A$7:$C$161,2,FALSE)*VLOOKUP(AB$1,'Attrition Modeling'!$L$15:$N$27,IF(AB$2-$F34&lt;=24,2,3),FALSE))*(1+Projection!AD$16)*(1+IF(AB166&gt;0,'Attrition Modeling'!$N$9,0))),0))</f>
        <v>0</v>
      </c>
      <c r="AC34" s="799">
        <f>IF(AC$2=$F34+1,Monthly!Y$21,IF(AC$2&gt;$F34+1,('Traditional Attrition'!AB34+AC166)*(1-IF(AC$2-$F34&lt;=12,SUMIFS('Attrition Modeling'!$D:$D,'Attrition Modeling'!$B:$B,'Traditional Attrition'!$E34,'Attrition Modeling'!$C:$C,'Traditional Attrition'!AC$1),VLOOKUP('Traditional Attrition'!AC$2-'Traditional Attrition'!$F34-1,'Traditional Attrition'!$A$7:$C$161,2,FALSE)*VLOOKUP(AC$1,'Attrition Modeling'!$L$15:$N$27,IF(AC$2-$F34&lt;=24,2,3),FALSE))*(1+Projection!AE$16)*(1+IF(AC166&gt;0,'Attrition Modeling'!$N$9,0))),0))</f>
        <v>0</v>
      </c>
      <c r="AD34" s="799">
        <f>IF(AD$2=$F34+1,Monthly!Z$21,IF(AD$2&gt;$F34+1,('Traditional Attrition'!AC34+AD166)*(1-IF(AD$2-$F34&lt;=12,SUMIFS('Attrition Modeling'!$D:$D,'Attrition Modeling'!$B:$B,'Traditional Attrition'!$E34,'Attrition Modeling'!$C:$C,'Traditional Attrition'!AD$1),VLOOKUP('Traditional Attrition'!AD$2-'Traditional Attrition'!$F34-1,'Traditional Attrition'!$A$7:$C$161,2,FALSE)*VLOOKUP(AD$1,'Attrition Modeling'!$L$15:$N$27,IF(AD$2-$F34&lt;=24,2,3),FALSE))*(1+Projection!AF$16)*(1+IF(AD166&gt;0,'Attrition Modeling'!$N$9,0))),0))</f>
        <v>0</v>
      </c>
      <c r="AE34" s="799">
        <f>IF(AE$2=$F34+1,Monthly!AA$21,IF(AE$2&gt;$F34+1,('Traditional Attrition'!AD34+AE166)*(1-IF(AE$2-$F34&lt;=12,SUMIFS('Attrition Modeling'!$D:$D,'Attrition Modeling'!$B:$B,'Traditional Attrition'!$E34,'Attrition Modeling'!$C:$C,'Traditional Attrition'!AE$1),VLOOKUP('Traditional Attrition'!AE$2-'Traditional Attrition'!$F34-1,'Traditional Attrition'!$A$7:$C$161,2,FALSE)*VLOOKUP(AE$1,'Attrition Modeling'!$L$15:$N$27,IF(AE$2-$F34&lt;=24,2,3),FALSE))*(1+Projection!AG$16)*(1+IF(AE166&gt;0,'Attrition Modeling'!$N$9,0))),0))</f>
        <v>0</v>
      </c>
      <c r="AF34" s="799">
        <f>IF(AF$2=$F34+1,Monthly!AB$21,IF(AF$2&gt;$F34+1,('Traditional Attrition'!AE34+AF166)*(1-IF(AF$2-$F34&lt;=12,SUMIFS('Attrition Modeling'!$D:$D,'Attrition Modeling'!$B:$B,'Traditional Attrition'!$E34,'Attrition Modeling'!$C:$C,'Traditional Attrition'!AF$1),VLOOKUP('Traditional Attrition'!AF$2-'Traditional Attrition'!$F34-1,'Traditional Attrition'!$A$7:$C$161,2,FALSE)*VLOOKUP(AF$1,'Attrition Modeling'!$L$15:$N$27,IF(AF$2-$F34&lt;=24,2,3),FALSE))*(1+Projection!AH$16)*(1+IF(AF166&gt;0,'Attrition Modeling'!$N$9,0))),0))</f>
        <v>0</v>
      </c>
      <c r="AG34" s="799">
        <f>IF(AG$2=$F34+1,Monthly!AC$21,IF(AG$2&gt;$F34+1,('Traditional Attrition'!AF34+AG166)*(1-IF(AG$2-$F34&lt;=12,SUMIFS('Attrition Modeling'!$D:$D,'Attrition Modeling'!$B:$B,'Traditional Attrition'!$E34,'Attrition Modeling'!$C:$C,'Traditional Attrition'!AG$1),VLOOKUP('Traditional Attrition'!AG$2-'Traditional Attrition'!$F34-1,'Traditional Attrition'!$A$7:$C$161,2,FALSE)*VLOOKUP(AG$1,'Attrition Modeling'!$L$15:$N$27,IF(AG$2-$F34&lt;=24,2,3),FALSE))*(1+Projection!AI$16)*(1+IF(AG166&gt;0,'Attrition Modeling'!$N$9,0))),0))</f>
        <v>0</v>
      </c>
      <c r="AH34" s="799">
        <f>IF(AH$2=$F34+1,Monthly!AD$21,IF(AH$2&gt;$F34+1,('Traditional Attrition'!AG34+AH166)*(1-IF(AH$2-$F34&lt;=12,SUMIFS('Attrition Modeling'!$D:$D,'Attrition Modeling'!$B:$B,'Traditional Attrition'!$E34,'Attrition Modeling'!$C:$C,'Traditional Attrition'!AH$1),VLOOKUP('Traditional Attrition'!AH$2-'Traditional Attrition'!$F34-1,'Traditional Attrition'!$A$7:$C$161,2,FALSE)*VLOOKUP(AH$1,'Attrition Modeling'!$L$15:$N$27,IF(AH$2-$F34&lt;=24,2,3),FALSE))*(1+Projection!AJ$16)*(1+IF(AH166&gt;0,'Attrition Modeling'!$N$9,0))),0))</f>
        <v>0</v>
      </c>
      <c r="AI34" s="799">
        <f>IF(AI$2=$F34+1,Monthly!AE$21,IF(AI$2&gt;$F34+1,('Traditional Attrition'!AH34+AI166)*(1-IF(AI$2-$F34&lt;=12,SUMIFS('Attrition Modeling'!$D:$D,'Attrition Modeling'!$B:$B,'Traditional Attrition'!$E34,'Attrition Modeling'!$C:$C,'Traditional Attrition'!AI$1),VLOOKUP('Traditional Attrition'!AI$2-'Traditional Attrition'!$F34-1,'Traditional Attrition'!$A$7:$C$161,2,FALSE)*VLOOKUP(AI$1,'Attrition Modeling'!$L$15:$N$27,IF(AI$2-$F34&lt;=24,2,3),FALSE))*(1+Projection!AK$16)*(1+IF(AI166&gt;0,'Attrition Modeling'!$N$9,0))),0))</f>
        <v>0</v>
      </c>
      <c r="AJ34" s="799">
        <f>IF(AJ$2=$F34+1,Monthly!AF$21,IF(AJ$2&gt;$F34+1,('Traditional Attrition'!AI34+AJ166)*(1-IF(AJ$2-$F34&lt;=12,SUMIFS('Attrition Modeling'!$D:$D,'Attrition Modeling'!$B:$B,'Traditional Attrition'!$E34,'Attrition Modeling'!$C:$C,'Traditional Attrition'!AJ$1),VLOOKUP('Traditional Attrition'!AJ$2-'Traditional Attrition'!$F34-1,'Traditional Attrition'!$A$7:$C$161,2,FALSE)*VLOOKUP(AJ$1,'Attrition Modeling'!$L$15:$N$27,IF(AJ$2-$F34&lt;=24,2,3),FALSE))*(1+Projection!AL$16)*(1+IF(AJ166&gt;0,'Attrition Modeling'!$N$9,0))),0))</f>
        <v>0</v>
      </c>
      <c r="AK34" s="799">
        <f>IF(AK$2=$F34+1,Monthly!AG$21,IF(AK$2&gt;$F34+1,('Traditional Attrition'!AJ34+AK166)*(1-IF(AK$2-$F34&lt;=12,SUMIFS('Attrition Modeling'!$D:$D,'Attrition Modeling'!$B:$B,'Traditional Attrition'!$E34,'Attrition Modeling'!$C:$C,'Traditional Attrition'!AK$1),VLOOKUP('Traditional Attrition'!AK$2-'Traditional Attrition'!$F34-1,'Traditional Attrition'!$A$7:$C$161,2,FALSE)*VLOOKUP(AK$1,'Attrition Modeling'!$L$15:$N$27,IF(AK$2-$F34&lt;=24,2,3),FALSE))*(1+Projection!AM$16)*(1+IF(AK166&gt;0,'Attrition Modeling'!$N$9,0))),0))</f>
        <v>0</v>
      </c>
      <c r="AL34" s="799">
        <f>IF(AL$2=$F34+1,Monthly!AH$21,IF(AL$2&gt;$F34+1,('Traditional Attrition'!AK34+AL166)*(1-IF(AL$2-$F34&lt;=12,SUMIFS('Attrition Modeling'!$D:$D,'Attrition Modeling'!$B:$B,'Traditional Attrition'!$E34,'Attrition Modeling'!$C:$C,'Traditional Attrition'!AL$1),VLOOKUP('Traditional Attrition'!AL$2-'Traditional Attrition'!$F34-1,'Traditional Attrition'!$A$7:$C$161,2,FALSE)*VLOOKUP(AL$1,'Attrition Modeling'!$L$15:$N$27,IF(AL$2-$F34&lt;=24,2,3),FALSE))*(1+Projection!AN$16)*(1+IF(AL166&gt;0,'Attrition Modeling'!$N$9,0))),0))</f>
        <v>0</v>
      </c>
      <c r="AM34" s="799">
        <f>IF(AM$2=$F34+1,Monthly!AI$21,IF(AM$2&gt;$F34+1,('Traditional Attrition'!AL34+AM166)*(1-IF(AM$2-$F34&lt;=12,SUMIFS('Attrition Modeling'!$D:$D,'Attrition Modeling'!$B:$B,'Traditional Attrition'!$E34,'Attrition Modeling'!$C:$C,'Traditional Attrition'!AM$1),VLOOKUP('Traditional Attrition'!AM$2-'Traditional Attrition'!$F34-1,'Traditional Attrition'!$A$7:$C$161,2,FALSE)*VLOOKUP(AM$1,'Attrition Modeling'!$L$15:$N$27,IF(AM$2-$F34&lt;=24,2,3),FALSE))*(1+Projection!AO$16)*(1+IF(AM166&gt;0,'Attrition Modeling'!$N$9,0))),0))</f>
        <v>15043.298297760357</v>
      </c>
      <c r="AN34" s="799">
        <f>IF(AN$2=$F34+1,Monthly!AJ$21,IF(AN$2&gt;$F34+1,('Traditional Attrition'!AM34+AN166)*(1-IF(AN$2-$F34&lt;=12,SUMIFS('Attrition Modeling'!$D:$D,'Attrition Modeling'!$B:$B,'Traditional Attrition'!$E34,'Attrition Modeling'!$C:$C,'Traditional Attrition'!AN$1),VLOOKUP('Traditional Attrition'!AN$2-'Traditional Attrition'!$F34-1,'Traditional Attrition'!$A$7:$C$161,2,FALSE)*VLOOKUP(AN$1,'Attrition Modeling'!$L$15:$N$27,IF(AN$2-$F34&lt;=24,2,3),FALSE))*(1+Projection!AP$16)*(1+IF(AN166&gt;0,'Attrition Modeling'!$N$9,0))),0))</f>
        <v>13322.542039704273</v>
      </c>
      <c r="AO34" s="799">
        <f>IF(AO$2=$F34+1,Monthly!AK$21,IF(AO$2&gt;$F34+1,('Traditional Attrition'!AN34+AO166)*(1-IF(AO$2-$F34&lt;=12,SUMIFS('Attrition Modeling'!$D:$D,'Attrition Modeling'!$B:$B,'Traditional Attrition'!$E34,'Attrition Modeling'!$C:$C,'Traditional Attrition'!AO$1),VLOOKUP('Traditional Attrition'!AO$2-'Traditional Attrition'!$F34-1,'Traditional Attrition'!$A$7:$C$161,2,FALSE)*VLOOKUP(AO$1,'Attrition Modeling'!$L$15:$N$27,IF(AO$2-$F34&lt;=24,2,3),FALSE))*(1+Projection!AQ$16)*(1+IF(AO166&gt;0,'Attrition Modeling'!$N$9,0))),0))</f>
        <v>12031.934501826223</v>
      </c>
      <c r="AP34" s="799">
        <f>IF(AP$2=$F34+1,Monthly!AL$21,IF(AP$2&gt;$F34+1,('Traditional Attrition'!AO34+AP166)*(1-IF(AP$2-$F34&lt;=12,SUMIFS('Attrition Modeling'!$D:$D,'Attrition Modeling'!$B:$B,'Traditional Attrition'!$E34,'Attrition Modeling'!$C:$C,'Traditional Attrition'!AP$1),VLOOKUP('Traditional Attrition'!AP$2-'Traditional Attrition'!$F34-1,'Traditional Attrition'!$A$7:$C$161,2,FALSE)*VLOOKUP(AP$1,'Attrition Modeling'!$L$15:$N$27,IF(AP$2-$F34&lt;=24,2,3),FALSE))*(1+Projection!AR$16)*(1+IF(AP166&gt;0,'Attrition Modeling'!$N$9,0))),0))</f>
        <v>10933.09570404877</v>
      </c>
      <c r="AQ34" s="799">
        <f>IF(AQ$2=$F34+1,Monthly!AM$21,IF(AQ$2&gt;$F34+1,('Traditional Attrition'!AP34+AQ166)*(1-IF(AQ$2-$F34&lt;=12,SUMIFS('Attrition Modeling'!$D:$D,'Attrition Modeling'!$B:$B,'Traditional Attrition'!$E34,'Attrition Modeling'!$C:$C,'Traditional Attrition'!AQ$1),VLOOKUP('Traditional Attrition'!AQ$2-'Traditional Attrition'!$F34-1,'Traditional Attrition'!$A$7:$C$161,2,FALSE)*VLOOKUP(AQ$1,'Attrition Modeling'!$L$15:$N$27,IF(AQ$2-$F34&lt;=24,2,3),FALSE))*(1+Projection!AS$16)*(1+IF(AQ166&gt;0,'Attrition Modeling'!$N$9,0))),0))</f>
        <v>10045.346919142707</v>
      </c>
      <c r="AR34" s="799">
        <f>IF(AR$2=$F34+1,Monthly!AN$21,IF(AR$2&gt;$F34+1,('Traditional Attrition'!AQ34+AR166)*(1-IF(AR$2-$F34&lt;=12,SUMIFS('Attrition Modeling'!$D:$D,'Attrition Modeling'!$B:$B,'Traditional Attrition'!$E34,'Attrition Modeling'!$C:$C,'Traditional Attrition'!AR$1),VLOOKUP('Traditional Attrition'!AR$2-'Traditional Attrition'!$F34-1,'Traditional Attrition'!$A$7:$C$161,2,FALSE)*VLOOKUP(AR$1,'Attrition Modeling'!$L$15:$N$27,IF(AR$2-$F34&lt;=24,2,3),FALSE))*(1+Projection!AT$16)*(1+IF(AR166&gt;0,'Attrition Modeling'!$N$9,0))),0))</f>
        <v>9987.1310249926737</v>
      </c>
      <c r="AS34" s="799">
        <f>IF(AS$2=$F34+1,Monthly!AO$21,IF(AS$2&gt;$F34+1,('Traditional Attrition'!AR34+AS166)*(1-IF(AS$2-$F34&lt;=12,SUMIFS('Attrition Modeling'!$D:$D,'Attrition Modeling'!$B:$B,'Traditional Attrition'!$E34,'Attrition Modeling'!$C:$C,'Traditional Attrition'!AS$1),VLOOKUP('Traditional Attrition'!AS$2-'Traditional Attrition'!$F34-1,'Traditional Attrition'!$A$7:$C$161,2,FALSE)*VLOOKUP(AS$1,'Attrition Modeling'!$L$15:$N$27,IF(AS$2-$F34&lt;=24,2,3),FALSE))*(1+Projection!AU$16)*(1+IF(AS166&gt;0,'Attrition Modeling'!$N$9,0))),0))</f>
        <v>9357.328960058443</v>
      </c>
      <c r="AT34" s="799">
        <f>IF(AT$2=$F34+1,Monthly!AP$21,IF(AT$2&gt;$F34+1,('Traditional Attrition'!AS34+AT166)*(1-IF(AT$2-$F34&lt;=12,SUMIFS('Attrition Modeling'!$D:$D,'Attrition Modeling'!$B:$B,'Traditional Attrition'!$E34,'Attrition Modeling'!$C:$C,'Traditional Attrition'!AT$1),VLOOKUP('Traditional Attrition'!AT$2-'Traditional Attrition'!$F34-1,'Traditional Attrition'!$A$7:$C$161,2,FALSE)*VLOOKUP(AT$1,'Attrition Modeling'!$L$15:$N$27,IF(AT$2-$F34&lt;=24,2,3),FALSE))*(1+Projection!AV$16)*(1+IF(AT166&gt;0,'Attrition Modeling'!$N$9,0))),0))</f>
        <v>8748.9606269743199</v>
      </c>
      <c r="AU34" s="799">
        <f>IF(AU$2=$F34+1,Monthly!AQ$21,IF(AU$2&gt;$F34+1,('Traditional Attrition'!AT34+AU166)*(1-IF(AU$2-$F34&lt;=12,SUMIFS('Attrition Modeling'!$D:$D,'Attrition Modeling'!$B:$B,'Traditional Attrition'!$E34,'Attrition Modeling'!$C:$C,'Traditional Attrition'!AU$1),VLOOKUP('Traditional Attrition'!AU$2-'Traditional Attrition'!$F34-1,'Traditional Attrition'!$A$7:$C$161,2,FALSE)*VLOOKUP(AU$1,'Attrition Modeling'!$L$15:$N$27,IF(AU$2-$F34&lt;=24,2,3),FALSE))*(1+Projection!AW$16)*(1+IF(AU166&gt;0,'Attrition Modeling'!$N$9,0))),0))</f>
        <v>8224.6677002644628</v>
      </c>
      <c r="AV34" s="799">
        <f>IF(AV$2=$F34+1,Monthly!AR$21,IF(AV$2&gt;$F34+1,('Traditional Attrition'!AU34+AV166)*(1-IF(AV$2-$F34&lt;=12,SUMIFS('Attrition Modeling'!$D:$D,'Attrition Modeling'!$B:$B,'Traditional Attrition'!$E34,'Attrition Modeling'!$C:$C,'Traditional Attrition'!AV$1),VLOOKUP('Traditional Attrition'!AV$2-'Traditional Attrition'!$F34-1,'Traditional Attrition'!$A$7:$C$161,2,FALSE)*VLOOKUP(AV$1,'Attrition Modeling'!$L$15:$N$27,IF(AV$2-$F34&lt;=24,2,3),FALSE))*(1+Projection!AX$16)*(1+IF(AV166&gt;0,'Attrition Modeling'!$N$9,0))),0))</f>
        <v>7766.9520300164559</v>
      </c>
      <c r="AW34" s="799">
        <f>IF(AW$2=$F34+1,Monthly!AS$21,IF(AW$2&gt;$F34+1,('Traditional Attrition'!AV34+AW166)*(1-IF(AW$2-$F34&lt;=12,SUMIFS('Attrition Modeling'!$D:$D,'Attrition Modeling'!$B:$B,'Traditional Attrition'!$E34,'Attrition Modeling'!$C:$C,'Traditional Attrition'!AW$1),VLOOKUP('Traditional Attrition'!AW$2-'Traditional Attrition'!$F34-1,'Traditional Attrition'!$A$7:$C$161,2,FALSE)*VLOOKUP(AW$1,'Attrition Modeling'!$L$15:$N$27,IF(AW$2-$F34&lt;=24,2,3),FALSE))*(1+Projection!AY$16)*(1+IF(AW166&gt;0,'Attrition Modeling'!$N$9,0))),0))</f>
        <v>7284.1850878151363</v>
      </c>
      <c r="AX34" s="799">
        <f>IF(AX$2=$F34+1,Monthly!AT$21,IF(AX$2&gt;$F34+1,('Traditional Attrition'!AW34+AX166)*(1-IF(AX$2-$F34&lt;=12,SUMIFS('Attrition Modeling'!$D:$D,'Attrition Modeling'!$B:$B,'Traditional Attrition'!$E34,'Attrition Modeling'!$C:$C,'Traditional Attrition'!AX$1),VLOOKUP('Traditional Attrition'!AX$2-'Traditional Attrition'!$F34-1,'Traditional Attrition'!$A$7:$C$161,2,FALSE)*VLOOKUP(AX$1,'Attrition Modeling'!$L$15:$N$27,IF(AX$2-$F34&lt;=24,2,3),FALSE))*(1+Projection!AZ$16)*(1+IF(AX166&gt;0,'Attrition Modeling'!$N$9,0))),0))</f>
        <v>7042.3908614943148</v>
      </c>
      <c r="AY34" s="799">
        <f>IF(AY$2=$F34+1,Monthly!AU$21,IF(AY$2&gt;$F34+1,('Traditional Attrition'!AX34+AY166)*(1-IF(AY$2-$F34&lt;=12,SUMIFS('Attrition Modeling'!$D:$D,'Attrition Modeling'!$B:$B,'Traditional Attrition'!$E34,'Attrition Modeling'!$C:$C,'Traditional Attrition'!AY$1),VLOOKUP('Traditional Attrition'!AY$2-'Traditional Attrition'!$F34-1,'Traditional Attrition'!$A$7:$C$161,2,FALSE)*VLOOKUP(AY$1,'Attrition Modeling'!$L$15:$N$27,IF(AY$2-$F34&lt;=24,2,3),FALSE))*(1+Projection!BA$16)*(1+IF(AY166&gt;0,'Attrition Modeling'!$N$9,0))),0))</f>
        <v>6615.8604784144663</v>
      </c>
      <c r="AZ34" s="799">
        <f>IF(AZ$2=$F34+1,Monthly!AV$21,IF(AZ$2&gt;$F34+1,('Traditional Attrition'!AY34+AZ166)*(1-IF(AZ$2-$F34&lt;=12,SUMIFS('Attrition Modeling'!$D:$D,'Attrition Modeling'!$B:$B,'Traditional Attrition'!$E34,'Attrition Modeling'!$C:$C,'Traditional Attrition'!AZ$1),VLOOKUP('Traditional Attrition'!AZ$2-'Traditional Attrition'!$F34-1,'Traditional Attrition'!$A$7:$C$161,2,FALSE)*VLOOKUP(AZ$1,'Attrition Modeling'!$L$15:$N$27,IF(AZ$2-$F34&lt;=24,2,3),FALSE))*(1+Projection!BB$16)*(1+IF(AZ166&gt;0,'Attrition Modeling'!$N$9,0))),0))</f>
        <v>6278.6991135636208</v>
      </c>
      <c r="BA34" s="799">
        <f>IF(BA$2=$F34+1,Monthly!AW$21,IF(BA$2&gt;$F34+1,('Traditional Attrition'!AZ34+BA166)*(1-IF(BA$2-$F34&lt;=12,SUMIFS('Attrition Modeling'!$D:$D,'Attrition Modeling'!$B:$B,'Traditional Attrition'!$E34,'Attrition Modeling'!$C:$C,'Traditional Attrition'!BA$1),VLOOKUP('Traditional Attrition'!BA$2-'Traditional Attrition'!$F34-1,'Traditional Attrition'!$A$7:$C$161,2,FALSE)*VLOOKUP(BA$1,'Attrition Modeling'!$L$15:$N$27,IF(BA$2-$F34&lt;=24,2,3),FALSE))*(1+Projection!BC$16)*(1+IF(BA166&gt;0,'Attrition Modeling'!$N$9,0))),0))</f>
        <v>5967.3473359132386</v>
      </c>
      <c r="BB34" s="799">
        <f>IF(BB$2=$F34+1,Monthly!AX$21,IF(BB$2&gt;$F34+1,('Traditional Attrition'!BA34+BB166)*(1-IF(BB$2-$F34&lt;=12,SUMIFS('Attrition Modeling'!$D:$D,'Attrition Modeling'!$B:$B,'Traditional Attrition'!$E34,'Attrition Modeling'!$C:$C,'Traditional Attrition'!BB$1),VLOOKUP('Traditional Attrition'!BB$2-'Traditional Attrition'!$F34-1,'Traditional Attrition'!$A$7:$C$161,2,FALSE)*VLOOKUP(BB$1,'Attrition Modeling'!$L$15:$N$27,IF(BB$2-$F34&lt;=24,2,3),FALSE))*(1+Projection!BD$16)*(1+IF(BB166&gt;0,'Attrition Modeling'!$N$9,0))),0))</f>
        <v>5693.081066883612</v>
      </c>
      <c r="BC34" s="799">
        <f>IF(BC$2=$F34+1,Monthly!AY$21,IF(BC$2&gt;$F34+1,('Traditional Attrition'!BB34+BC166)*(1-IF(BC$2-$F34&lt;=12,SUMIFS('Attrition Modeling'!$D:$D,'Attrition Modeling'!$B:$B,'Traditional Attrition'!$E34,'Attrition Modeling'!$C:$C,'Traditional Attrition'!BC$1),VLOOKUP('Traditional Attrition'!BC$2-'Traditional Attrition'!$F34-1,'Traditional Attrition'!$A$7:$C$161,2,FALSE)*VLOOKUP(BC$1,'Attrition Modeling'!$L$15:$N$27,IF(BC$2-$F34&lt;=24,2,3),FALSE))*(1+Projection!BE$16)*(1+IF(BC166&gt;0,'Attrition Modeling'!$N$9,0))),0))</f>
        <v>5441.78363974883</v>
      </c>
      <c r="BD34" s="799">
        <f>IF(BD$2=$F34+1,Monthly!AZ$21,IF(BD$2&gt;$F34+1,('Traditional Attrition'!BC34+BD166)*(1-IF(BD$2-$F34&lt;=12,SUMIFS('Attrition Modeling'!$D:$D,'Attrition Modeling'!$B:$B,'Traditional Attrition'!$E34,'Attrition Modeling'!$C:$C,'Traditional Attrition'!BD$1),VLOOKUP('Traditional Attrition'!BD$2-'Traditional Attrition'!$F34-1,'Traditional Attrition'!$A$7:$C$161,2,FALSE)*VLOOKUP(BD$1,'Attrition Modeling'!$L$15:$N$27,IF(BD$2-$F34&lt;=24,2,3),FALSE))*(1+Projection!BF$16)*(1+IF(BD166&gt;0,'Attrition Modeling'!$N$9,0))),0))</f>
        <v>5655.8204766096287</v>
      </c>
      <c r="BE34" s="799">
        <f>IF(BE$2=$F34+1,Monthly!BA$21,IF(BE$2&gt;$F34+1,('Traditional Attrition'!BD34+BE166)*(1-IF(BE$2-$F34&lt;=12,SUMIFS('Attrition Modeling'!$D:$D,'Attrition Modeling'!$B:$B,'Traditional Attrition'!$E34,'Attrition Modeling'!$C:$C,'Traditional Attrition'!BE$1),VLOOKUP('Traditional Attrition'!BE$2-'Traditional Attrition'!$F34-1,'Traditional Attrition'!$A$7:$C$161,2,FALSE)*VLOOKUP(BE$1,'Attrition Modeling'!$L$15:$N$27,IF(BE$2-$F34&lt;=24,2,3),FALSE))*(1+Projection!BG$16)*(1+IF(BE166&gt;0,'Attrition Modeling'!$N$9,0))),0))</f>
        <v>5440.7031454164371</v>
      </c>
      <c r="BF34" s="799">
        <f>IF(BF$2=$F34+1,Monthly!BB$21,IF(BF$2&gt;$F34+1,('Traditional Attrition'!BE34+BF166)*(1-IF(BF$2-$F34&lt;=12,SUMIFS('Attrition Modeling'!$D:$D,'Attrition Modeling'!$B:$B,'Traditional Attrition'!$E34,'Attrition Modeling'!$C:$C,'Traditional Attrition'!BF$1),VLOOKUP('Traditional Attrition'!BF$2-'Traditional Attrition'!$F34-1,'Traditional Attrition'!$A$7:$C$161,2,FALSE)*VLOOKUP(BF$1,'Attrition Modeling'!$L$15:$N$27,IF(BF$2-$F34&lt;=24,2,3),FALSE))*(1+Projection!BH$16)*(1+IF(BF166&gt;0,'Attrition Modeling'!$N$9,0))),0))</f>
        <v>5219.721327293948</v>
      </c>
      <c r="BG34" s="799">
        <f>IF(BG$2=$F34+1,Monthly!BC$21,IF(BG$2&gt;$F34+1,('Traditional Attrition'!BF34+BG166)*(1-IF(BG$2-$F34&lt;=12,SUMIFS('Attrition Modeling'!$D:$D,'Attrition Modeling'!$B:$B,'Traditional Attrition'!$E34,'Attrition Modeling'!$C:$C,'Traditional Attrition'!BG$1),VLOOKUP('Traditional Attrition'!BG$2-'Traditional Attrition'!$F34-1,'Traditional Attrition'!$A$7:$C$161,2,FALSE)*VLOOKUP(BG$1,'Attrition Modeling'!$L$15:$N$27,IF(BG$2-$F34&lt;=24,2,3),FALSE))*(1+Projection!BI$16)*(1+IF(BG166&gt;0,'Attrition Modeling'!$N$9,0))),0))</f>
        <v>5014.8321990667464</v>
      </c>
      <c r="BH34" s="799">
        <f>IF(BH$2=$F34+1,Monthly!BD$21,IF(BH$2&gt;$F34+1,('Traditional Attrition'!BG34+BH166)*(1-IF(BH$2-$F34&lt;=12,SUMIFS('Attrition Modeling'!$D:$D,'Attrition Modeling'!$B:$B,'Traditional Attrition'!$E34,'Attrition Modeling'!$C:$C,'Traditional Attrition'!BH$1),VLOOKUP('Traditional Attrition'!BH$2-'Traditional Attrition'!$F34-1,'Traditional Attrition'!$A$7:$C$161,2,FALSE)*VLOOKUP(BH$1,'Attrition Modeling'!$L$15:$N$27,IF(BH$2-$F34&lt;=24,2,3),FALSE))*(1+Projection!BJ$16)*(1+IF(BH166&gt;0,'Attrition Modeling'!$N$9,0))),0))</f>
        <v>4822.4300186386254</v>
      </c>
      <c r="BI34" s="799">
        <f>IF(BI$2=$F34+1,Monthly!BE$21,IF(BI$2&gt;$F34+1,('Traditional Attrition'!BH34+BI166)*(1-IF(BI$2-$F34&lt;=12,SUMIFS('Attrition Modeling'!$D:$D,'Attrition Modeling'!$B:$B,'Traditional Attrition'!$E34,'Attrition Modeling'!$C:$C,'Traditional Attrition'!BI$1),VLOOKUP('Traditional Attrition'!BI$2-'Traditional Attrition'!$F34-1,'Traditional Attrition'!$A$7:$C$161,2,FALSE)*VLOOKUP(BI$1,'Attrition Modeling'!$L$15:$N$27,IF(BI$2-$F34&lt;=24,2,3),FALSE))*(1+Projection!BK$16)*(1+IF(BI166&gt;0,'Attrition Modeling'!$N$9,0))),0))</f>
        <v>4622.2031869754965</v>
      </c>
      <c r="BJ34" s="799">
        <f>IF(BJ$2=$F34+1,Monthly!BF$21,IF(BJ$2&gt;$F34+1,('Traditional Attrition'!BI34+BJ166)*(1-IF(BJ$2-$F34&lt;=12,SUMIFS('Attrition Modeling'!$D:$D,'Attrition Modeling'!$B:$B,'Traditional Attrition'!$E34,'Attrition Modeling'!$C:$C,'Traditional Attrition'!BJ$1),VLOOKUP('Traditional Attrition'!BJ$2-'Traditional Attrition'!$F34-1,'Traditional Attrition'!$A$7:$C$161,2,FALSE)*VLOOKUP(BJ$1,'Attrition Modeling'!$L$15:$N$27,IF(BJ$2-$F34&lt;=24,2,3),FALSE))*(1+Projection!BL$16)*(1+IF(BJ166&gt;0,'Attrition Modeling'!$N$9,0))),0))</f>
        <v>4428.3464706491222</v>
      </c>
      <c r="BK34" s="799">
        <f>IF(BK$2=$F34+1,Monthly!BG$21,IF(BK$2&gt;$F34+1,('Traditional Attrition'!BJ34+BK166)*(1-IF(BK$2-$F34&lt;=12,SUMIFS('Attrition Modeling'!$D:$D,'Attrition Modeling'!$B:$B,'Traditional Attrition'!$E34,'Attrition Modeling'!$C:$C,'Traditional Attrition'!BK$1),VLOOKUP('Traditional Attrition'!BK$2-'Traditional Attrition'!$F34-1,'Traditional Attrition'!$A$7:$C$161,2,FALSE)*VLOOKUP(BK$1,'Attrition Modeling'!$L$15:$N$27,IF(BK$2-$F34&lt;=24,2,3),FALSE))*(1+Projection!BM$16)*(1+IF(BK166&gt;0,'Attrition Modeling'!$N$9,0))),0))</f>
        <v>4234.9821234768215</v>
      </c>
      <c r="BL34" s="799">
        <f>IF(BL$2=$F34+1,Monthly!BH$21,IF(BL$2&gt;$F34+1,('Traditional Attrition'!BK34+BL166)*(1-IF(BL$2-$F34&lt;=12,SUMIFS('Attrition Modeling'!$D:$D,'Attrition Modeling'!$B:$B,'Traditional Attrition'!$E34,'Attrition Modeling'!$C:$C,'Traditional Attrition'!BL$1),VLOOKUP('Traditional Attrition'!BL$2-'Traditional Attrition'!$F34-1,'Traditional Attrition'!$A$7:$C$161,2,FALSE)*VLOOKUP(BL$1,'Attrition Modeling'!$L$15:$N$27,IF(BL$2-$F34&lt;=24,2,3),FALSE))*(1+Projection!BN$16)*(1+IF(BL166&gt;0,'Attrition Modeling'!$N$9,0))),0))</f>
        <v>4063.7398832584499</v>
      </c>
      <c r="BM34" s="799">
        <f>IF(BM$2=$F34+1,Monthly!BI$21,IF(BM$2&gt;$F34+1,('Traditional Attrition'!BL34+BM166)*(1-IF(BM$2-$F34&lt;=12,SUMIFS('Attrition Modeling'!$D:$D,'Attrition Modeling'!$B:$B,'Traditional Attrition'!$E34,'Attrition Modeling'!$C:$C,'Traditional Attrition'!BM$1),VLOOKUP('Traditional Attrition'!BM$2-'Traditional Attrition'!$F34-1,'Traditional Attrition'!$A$7:$C$161,2,FALSE)*VLOOKUP(BM$1,'Attrition Modeling'!$L$15:$N$27,IF(BM$2-$F34&lt;=24,2,3),FALSE))*(1+Projection!BO$16)*(1+IF(BM166&gt;0,'Attrition Modeling'!$N$9,0))),0))</f>
        <v>3907.2273344467621</v>
      </c>
      <c r="BN34" s="799">
        <f>IF(BN$2=$F34+1,Monthly!BJ$21,IF(BN$2&gt;$F34+1,('Traditional Attrition'!BM34+BN166)*(1-IF(BN$2-$F34&lt;=12,SUMIFS('Attrition Modeling'!$D:$D,'Attrition Modeling'!$B:$B,'Traditional Attrition'!$E34,'Attrition Modeling'!$C:$C,'Traditional Attrition'!BN$1),VLOOKUP('Traditional Attrition'!BN$2-'Traditional Attrition'!$F34-1,'Traditional Attrition'!$A$7:$C$161,2,FALSE)*VLOOKUP(BN$1,'Attrition Modeling'!$L$15:$N$27,IF(BN$2-$F34&lt;=24,2,3),FALSE))*(1+Projection!BP$16)*(1+IF(BN166&gt;0,'Attrition Modeling'!$N$9,0))),0))</f>
        <v>3762.0833472233298</v>
      </c>
      <c r="BO34" s="799">
        <f>IF(BO$2=$F34+1,Monthly!BK$21,IF(BO$2&gt;$F34+1,('Traditional Attrition'!BN34+BO166)*(1-IF(BO$2-$F34&lt;=12,SUMIFS('Attrition Modeling'!$D:$D,'Attrition Modeling'!$B:$B,'Traditional Attrition'!$E34,'Attrition Modeling'!$C:$C,'Traditional Attrition'!BO$1),VLOOKUP('Traditional Attrition'!BO$2-'Traditional Attrition'!$F34-1,'Traditional Attrition'!$A$7:$C$161,2,FALSE)*VLOOKUP(BO$1,'Attrition Modeling'!$L$15:$N$27,IF(BO$2-$F34&lt;=24,2,3),FALSE))*(1+Projection!BV$16)*(1+IF(BO166&gt;0,'Attrition Modeling'!$N$9,0))),0))</f>
        <v>3648.3976221496177</v>
      </c>
      <c r="BP34" s="799">
        <f>IF(BP$2=$F34+1,Monthly!BL$21,IF(BP$2&gt;$F34+1,('Traditional Attrition'!BO34+BP166)*(1-IF(BP$2-$F34&lt;=12,SUMIFS('Attrition Modeling'!$D:$D,'Attrition Modeling'!$B:$B,'Traditional Attrition'!$E34,'Attrition Modeling'!$C:$C,'Traditional Attrition'!BP$1),VLOOKUP('Traditional Attrition'!BP$2-'Traditional Attrition'!$F34-1,'Traditional Attrition'!$A$7:$C$161,2,FALSE)*VLOOKUP(BP$1,'Attrition Modeling'!$L$15:$N$27,IF(BP$2-$F34&lt;=24,2,3),FALSE))*(1+Projection!BW$16)*(1+IF(BP166&gt;0,'Attrition Modeling'!$N$9,0))),0))</f>
        <v>3527.8694399392584</v>
      </c>
      <c r="BQ34" s="799">
        <f>IF(BQ$2=$F34+1,Monthly!BM$21,IF(BQ$2&gt;$F34+1,('Traditional Attrition'!BP34+BQ166)*(1-IF(BQ$2-$F34&lt;=12,SUMIFS('Attrition Modeling'!$D:$D,'Attrition Modeling'!$B:$B,'Traditional Attrition'!$E34,'Attrition Modeling'!$C:$C,'Traditional Attrition'!BQ$1),VLOOKUP('Traditional Attrition'!BQ$2-'Traditional Attrition'!$F34-1,'Traditional Attrition'!$A$7:$C$161,2,FALSE)*VLOOKUP(BQ$1,'Attrition Modeling'!$L$15:$N$27,IF(BQ$2-$F34&lt;=24,2,3),FALSE))*(1+Projection!BX$16)*(1+IF(BQ166&gt;0,'Attrition Modeling'!$N$9,0))),0))</f>
        <v>3416.3619207835363</v>
      </c>
      <c r="BR34" s="799">
        <f>IF(BR$2=$F34+1,Monthly!BN$21,IF(BR$2&gt;$F34+1,('Traditional Attrition'!BQ34+BR166)*(1-IF(BR$2-$F34&lt;=12,SUMIFS('Attrition Modeling'!$D:$D,'Attrition Modeling'!$B:$B,'Traditional Attrition'!$E34,'Attrition Modeling'!$C:$C,'Traditional Attrition'!BR$1),VLOOKUP('Traditional Attrition'!BR$2-'Traditional Attrition'!$F34-1,'Traditional Attrition'!$A$7:$C$161,2,FALSE)*VLOOKUP(BR$1,'Attrition Modeling'!$L$15:$N$27,IF(BR$2-$F34&lt;=24,2,3),FALSE))*(1+Projection!BY$16)*(1+IF(BR166&gt;0,'Attrition Modeling'!$N$9,0))),0))</f>
        <v>3314.1565786910396</v>
      </c>
      <c r="BS34" s="799">
        <f>IF(BS$2=$F34+1,Monthly!BO$21,IF(BS$2&gt;$F34+1,('Traditional Attrition'!BR34+BS166)*(1-IF(BS$2-$F34&lt;=12,SUMIFS('Attrition Modeling'!$D:$D,'Attrition Modeling'!$B:$B,'Traditional Attrition'!$E34,'Attrition Modeling'!$C:$C,'Traditional Attrition'!BS$1),VLOOKUP('Traditional Attrition'!BS$2-'Traditional Attrition'!$F34-1,'Traditional Attrition'!$A$7:$C$161,2,FALSE)*VLOOKUP(BS$1,'Attrition Modeling'!$L$15:$N$27,IF(BS$2-$F34&lt;=24,2,3),FALSE))*(1+Projection!BZ$16)*(1+IF(BS166&gt;0,'Attrition Modeling'!$N$9,0))),0))</f>
        <v>3236.2318198450694</v>
      </c>
      <c r="BT34" s="799">
        <f>IF(BT$2=$F34+1,Monthly!#REF!,IF(BT$2&gt;$F34+1,('Traditional Attrition'!BS34+BT166)*(1-IF(BT$2-$F34&lt;=12,SUMIFS('Attrition Modeling'!$D:$D,'Attrition Modeling'!$B:$B,'Traditional Attrition'!$E34,'Attrition Modeling'!$C:$C,'Traditional Attrition'!BT$1),VLOOKUP('Traditional Attrition'!BT$2-'Traditional Attrition'!$F34-1,'Traditional Attrition'!$A$7:$C$161,2,FALSE)*VLOOKUP(BT$1,'Attrition Modeling'!$L$15:$N$27,IF(BT$2-$F34&lt;=24,2,3),FALSE))*(1+Projection!CA$16)*(1+IF(BT166&gt;0,'Attrition Modeling'!$N$9,0))),0))</f>
        <v>3145.42234771106</v>
      </c>
      <c r="BU34" s="799">
        <f>IF(BU$2=$F34+1,Monthly!#REF!,IF(BU$2&gt;$F34+1,('Traditional Attrition'!BT34+BU166)*(1-IF(BU$2-$F34&lt;=12,SUMIFS('Attrition Modeling'!$D:$D,'Attrition Modeling'!$B:$B,'Traditional Attrition'!$E34,'Attrition Modeling'!$C:$C,'Traditional Attrition'!BU$1),VLOOKUP('Traditional Attrition'!BU$2-'Traditional Attrition'!$F34-1,'Traditional Attrition'!$A$7:$C$161,2,FALSE)*VLOOKUP(BU$1,'Attrition Modeling'!$L$15:$N$27,IF(BU$2-$F34&lt;=24,2,3),FALSE))*(1+Projection!CB$16)*(1+IF(BU166&gt;0,'Attrition Modeling'!$N$9,0))),0))</f>
        <v>3045.8231448549413</v>
      </c>
    </row>
    <row r="35" spans="1:73" ht="14.25" customHeight="1" x14ac:dyDescent="0.2">
      <c r="A35" s="9">
        <v>28</v>
      </c>
      <c r="B35" s="25">
        <f>MAX('Attrition Modeling'!H32,$C$3)*(1-Summary!$C$20)</f>
        <v>3.4007973058436711E-2</v>
      </c>
      <c r="C35" s="24" t="e">
        <f t="shared" si="4"/>
        <v>#DIV/0!</v>
      </c>
      <c r="E35" s="11">
        <f t="shared" si="2"/>
        <v>8</v>
      </c>
      <c r="F35" s="11">
        <f t="shared" si="3"/>
        <v>32</v>
      </c>
      <c r="G35" s="799"/>
      <c r="H35" s="799">
        <f>IF(H$2=$F35+1,Monthly!D$21,IF(H$2&gt;$F35+1,('Traditional Attrition'!G35+H167)*(1-IF(H$2-$F35&lt;=12,SUMIFS('Attrition Modeling'!$D:$D,'Attrition Modeling'!$B:$B,'Traditional Attrition'!$E35,'Attrition Modeling'!$C:$C,'Traditional Attrition'!H$1),VLOOKUP('Traditional Attrition'!H$2-'Traditional Attrition'!$F35-1,'Traditional Attrition'!$A$7:$C$161,2,FALSE)*VLOOKUP(H$1,'Attrition Modeling'!$L$15:$N$27,IF(H$2-$F35&lt;=24,2,3),FALSE))*(1+Projection!J$16)*(1+IF(H167&gt;0,'Attrition Modeling'!$N$9,0))),0))</f>
        <v>0</v>
      </c>
      <c r="I35" s="799">
        <f>IF(I$2=$F35+1,Monthly!E$21,IF(I$2&gt;$F35+1,('Traditional Attrition'!H35+I167)*(1-IF(I$2-$F35&lt;=12,SUMIFS('Attrition Modeling'!$D:$D,'Attrition Modeling'!$B:$B,'Traditional Attrition'!$E35,'Attrition Modeling'!$C:$C,'Traditional Attrition'!I$1),VLOOKUP('Traditional Attrition'!I$2-'Traditional Attrition'!$F35-1,'Traditional Attrition'!$A$7:$C$161,2,FALSE)*VLOOKUP(I$1,'Attrition Modeling'!$L$15:$N$27,IF(I$2-$F35&lt;=24,2,3),FALSE))*(1+Projection!K$16)*(1+IF(I167&gt;0,'Attrition Modeling'!$N$9,0))),0))</f>
        <v>0</v>
      </c>
      <c r="J35" s="799">
        <f>IF(J$2=$F35+1,Monthly!F$21,IF(J$2&gt;$F35+1,('Traditional Attrition'!I35+J167)*(1-IF(J$2-$F35&lt;=12,SUMIFS('Attrition Modeling'!$D:$D,'Attrition Modeling'!$B:$B,'Traditional Attrition'!$E35,'Attrition Modeling'!$C:$C,'Traditional Attrition'!J$1),VLOOKUP('Traditional Attrition'!J$2-'Traditional Attrition'!$F35-1,'Traditional Attrition'!$A$7:$C$161,2,FALSE)*VLOOKUP(J$1,'Attrition Modeling'!$L$15:$N$27,IF(J$2-$F35&lt;=24,2,3),FALSE))*(1+Projection!L$16)*(1+IF(J167&gt;0,'Attrition Modeling'!$N$9,0))),0))</f>
        <v>0</v>
      </c>
      <c r="K35" s="799">
        <f>IF(K$2=$F35+1,Monthly!G$21,IF(K$2&gt;$F35+1,('Traditional Attrition'!J35+K167)*(1-IF(K$2-$F35&lt;=12,SUMIFS('Attrition Modeling'!$D:$D,'Attrition Modeling'!$B:$B,'Traditional Attrition'!$E35,'Attrition Modeling'!$C:$C,'Traditional Attrition'!K$1),VLOOKUP('Traditional Attrition'!K$2-'Traditional Attrition'!$F35-1,'Traditional Attrition'!$A$7:$C$161,2,FALSE)*VLOOKUP(K$1,'Attrition Modeling'!$L$15:$N$27,IF(K$2-$F35&lt;=24,2,3),FALSE))*(1+Projection!M$16)*(1+IF(K167&gt;0,'Attrition Modeling'!$N$9,0))),0))</f>
        <v>0</v>
      </c>
      <c r="L35" s="799">
        <f>IF(L$2=$F35+1,Monthly!H$21,IF(L$2&gt;$F35+1,('Traditional Attrition'!K35+L167)*(1-IF(L$2-$F35&lt;=12,SUMIFS('Attrition Modeling'!$D:$D,'Attrition Modeling'!$B:$B,'Traditional Attrition'!$E35,'Attrition Modeling'!$C:$C,'Traditional Attrition'!L$1),VLOOKUP('Traditional Attrition'!L$2-'Traditional Attrition'!$F35-1,'Traditional Attrition'!$A$7:$C$161,2,FALSE)*VLOOKUP(L$1,'Attrition Modeling'!$L$15:$N$27,IF(L$2-$F35&lt;=24,2,3),FALSE))*(1+Projection!N$16)*(1+IF(L167&gt;0,'Attrition Modeling'!$N$9,0))),0))</f>
        <v>0</v>
      </c>
      <c r="M35" s="799">
        <f>IF(M$2=$F35+1,Monthly!I$21,IF(M$2&gt;$F35+1,('Traditional Attrition'!L35+M167)*(1-IF(M$2-$F35&lt;=12,SUMIFS('Attrition Modeling'!$D:$D,'Attrition Modeling'!$B:$B,'Traditional Attrition'!$E35,'Attrition Modeling'!$C:$C,'Traditional Attrition'!M$1),VLOOKUP('Traditional Attrition'!M$2-'Traditional Attrition'!$F35-1,'Traditional Attrition'!$A$7:$C$161,2,FALSE)*VLOOKUP(M$1,'Attrition Modeling'!$L$15:$N$27,IF(M$2-$F35&lt;=24,2,3),FALSE))*(1+Projection!O$16)*(1+IF(M167&gt;0,'Attrition Modeling'!$N$9,0))),0))</f>
        <v>0</v>
      </c>
      <c r="N35" s="799">
        <f>IF(N$2=$F35+1,Monthly!J$21,IF(N$2&gt;$F35+1,('Traditional Attrition'!M35+N167)*(1-IF(N$2-$F35&lt;=12,SUMIFS('Attrition Modeling'!$D:$D,'Attrition Modeling'!$B:$B,'Traditional Attrition'!$E35,'Attrition Modeling'!$C:$C,'Traditional Attrition'!N$1),VLOOKUP('Traditional Attrition'!N$2-'Traditional Attrition'!$F35-1,'Traditional Attrition'!$A$7:$C$161,2,FALSE)*VLOOKUP(N$1,'Attrition Modeling'!$L$15:$N$27,IF(N$2-$F35&lt;=24,2,3),FALSE))*(1+Projection!P$16)*(1+IF(N167&gt;0,'Attrition Modeling'!$N$9,0))),0))</f>
        <v>0</v>
      </c>
      <c r="O35" s="799">
        <f>IF(O$2=$F35+1,Monthly!K$21,IF(O$2&gt;$F35+1,('Traditional Attrition'!N35+O167)*(1-IF(O$2-$F35&lt;=12,SUMIFS('Attrition Modeling'!$D:$D,'Attrition Modeling'!$B:$B,'Traditional Attrition'!$E35,'Attrition Modeling'!$C:$C,'Traditional Attrition'!O$1),VLOOKUP('Traditional Attrition'!O$2-'Traditional Attrition'!$F35-1,'Traditional Attrition'!$A$7:$C$161,2,FALSE)*VLOOKUP(O$1,'Attrition Modeling'!$L$15:$N$27,IF(O$2-$F35&lt;=24,2,3),FALSE))*(1+Projection!Q$16)*(1+IF(O167&gt;0,'Attrition Modeling'!$N$9,0))),0))</f>
        <v>0</v>
      </c>
      <c r="P35" s="799">
        <f>IF(P$2=$F35+1,Monthly!L$21,IF(P$2&gt;$F35+1,('Traditional Attrition'!O35+P167)*(1-IF(P$2-$F35&lt;=12,SUMIFS('Attrition Modeling'!$D:$D,'Attrition Modeling'!$B:$B,'Traditional Attrition'!$E35,'Attrition Modeling'!$C:$C,'Traditional Attrition'!P$1),VLOOKUP('Traditional Attrition'!P$2-'Traditional Attrition'!$F35-1,'Traditional Attrition'!$A$7:$C$161,2,FALSE)*VLOOKUP(P$1,'Attrition Modeling'!$L$15:$N$27,IF(P$2-$F35&lt;=24,2,3),FALSE))*(1+Projection!R$16)*(1+IF(P167&gt;0,'Attrition Modeling'!$N$9,0))),0))</f>
        <v>0</v>
      </c>
      <c r="Q35" s="799">
        <f>IF(Q$2=$F35+1,Monthly!M$21,IF(Q$2&gt;$F35+1,('Traditional Attrition'!P35+Q167)*(1-IF(Q$2-$F35&lt;=12,SUMIFS('Attrition Modeling'!$D:$D,'Attrition Modeling'!$B:$B,'Traditional Attrition'!$E35,'Attrition Modeling'!$C:$C,'Traditional Attrition'!Q$1),VLOOKUP('Traditional Attrition'!Q$2-'Traditional Attrition'!$F35-1,'Traditional Attrition'!$A$7:$C$161,2,FALSE)*VLOOKUP(Q$1,'Attrition Modeling'!$L$15:$N$27,IF(Q$2-$F35&lt;=24,2,3),FALSE))*(1+Projection!S$16)*(1+IF(Q167&gt;0,'Attrition Modeling'!$N$9,0))),0))</f>
        <v>0</v>
      </c>
      <c r="R35" s="799">
        <f>IF(R$2=$F35+1,Monthly!N$21,IF(R$2&gt;$F35+1,('Traditional Attrition'!Q35+R167)*(1-IF(R$2-$F35&lt;=12,SUMIFS('Attrition Modeling'!$D:$D,'Attrition Modeling'!$B:$B,'Traditional Attrition'!$E35,'Attrition Modeling'!$C:$C,'Traditional Attrition'!R$1),VLOOKUP('Traditional Attrition'!R$2-'Traditional Attrition'!$F35-1,'Traditional Attrition'!$A$7:$C$161,2,FALSE)*VLOOKUP(R$1,'Attrition Modeling'!$L$15:$N$27,IF(R$2-$F35&lt;=24,2,3),FALSE))*(1+Projection!T$16)*(1+IF(R167&gt;0,'Attrition Modeling'!$N$9,0))),0))</f>
        <v>0</v>
      </c>
      <c r="S35" s="799">
        <f>IF(S$2=$F35+1,Monthly!O$21,IF(S$2&gt;$F35+1,('Traditional Attrition'!R35+S167)*(1-IF(S$2-$F35&lt;=12,SUMIFS('Attrition Modeling'!$D:$D,'Attrition Modeling'!$B:$B,'Traditional Attrition'!$E35,'Attrition Modeling'!$C:$C,'Traditional Attrition'!S$1),VLOOKUP('Traditional Attrition'!S$2-'Traditional Attrition'!$F35-1,'Traditional Attrition'!$A$7:$C$161,2,FALSE)*VLOOKUP(S$1,'Attrition Modeling'!$L$15:$N$27,IF(S$2-$F35&lt;=24,2,3),FALSE))*(1+Projection!U$16)*(1+IF(S167&gt;0,'Attrition Modeling'!$N$9,0))),0))</f>
        <v>0</v>
      </c>
      <c r="T35" s="799">
        <f>IF(T$2=$F35+1,Monthly!P$21,IF(T$2&gt;$F35+1,('Traditional Attrition'!S35+T167)*(1-IF(T$2-$F35&lt;=12,SUMIFS('Attrition Modeling'!$D:$D,'Attrition Modeling'!$B:$B,'Traditional Attrition'!$E35,'Attrition Modeling'!$C:$C,'Traditional Attrition'!T$1),VLOOKUP('Traditional Attrition'!T$2-'Traditional Attrition'!$F35-1,'Traditional Attrition'!$A$7:$C$161,2,FALSE)*VLOOKUP(T$1,'Attrition Modeling'!$L$15:$N$27,IF(T$2-$F35&lt;=24,2,3),FALSE))*(1+Projection!V$16)*(1+IF(T167&gt;0,'Attrition Modeling'!$N$9,0))),0))</f>
        <v>0</v>
      </c>
      <c r="U35" s="799">
        <f>IF(U$2=$F35+1,Monthly!Q$21,IF(U$2&gt;$F35+1,('Traditional Attrition'!T35+U167)*(1-IF(U$2-$F35&lt;=12,SUMIFS('Attrition Modeling'!$D:$D,'Attrition Modeling'!$B:$B,'Traditional Attrition'!$E35,'Attrition Modeling'!$C:$C,'Traditional Attrition'!U$1),VLOOKUP('Traditional Attrition'!U$2-'Traditional Attrition'!$F35-1,'Traditional Attrition'!$A$7:$C$161,2,FALSE)*VLOOKUP(U$1,'Attrition Modeling'!$L$15:$N$27,IF(U$2-$F35&lt;=24,2,3),FALSE))*(1+Projection!W$16)*(1+IF(U167&gt;0,'Attrition Modeling'!$N$9,0))),0))</f>
        <v>0</v>
      </c>
      <c r="V35" s="799">
        <f>IF(V$2=$F35+1,Monthly!R$21,IF(V$2&gt;$F35+1,('Traditional Attrition'!U35+V167)*(1-IF(V$2-$F35&lt;=12,SUMIFS('Attrition Modeling'!$D:$D,'Attrition Modeling'!$B:$B,'Traditional Attrition'!$E35,'Attrition Modeling'!$C:$C,'Traditional Attrition'!V$1),VLOOKUP('Traditional Attrition'!V$2-'Traditional Attrition'!$F35-1,'Traditional Attrition'!$A$7:$C$161,2,FALSE)*VLOOKUP(V$1,'Attrition Modeling'!$L$15:$N$27,IF(V$2-$F35&lt;=24,2,3),FALSE))*(1+Projection!X$16)*(1+IF(V167&gt;0,'Attrition Modeling'!$N$9,0))),0))</f>
        <v>0</v>
      </c>
      <c r="W35" s="799">
        <f>IF(W$2=$F35+1,Monthly!S$21,IF(W$2&gt;$F35+1,('Traditional Attrition'!V35+W167)*(1-IF(W$2-$F35&lt;=12,SUMIFS('Attrition Modeling'!$D:$D,'Attrition Modeling'!$B:$B,'Traditional Attrition'!$E35,'Attrition Modeling'!$C:$C,'Traditional Attrition'!W$1),VLOOKUP('Traditional Attrition'!W$2-'Traditional Attrition'!$F35-1,'Traditional Attrition'!$A$7:$C$161,2,FALSE)*VLOOKUP(W$1,'Attrition Modeling'!$L$15:$N$27,IF(W$2-$F35&lt;=24,2,3),FALSE))*(1+Projection!Y$16)*(1+IF(W167&gt;0,'Attrition Modeling'!$N$9,0))),0))</f>
        <v>0</v>
      </c>
      <c r="X35" s="799">
        <f>IF(X$2=$F35+1,Monthly!T$21,IF(X$2&gt;$F35+1,('Traditional Attrition'!W35+X167)*(1-IF(X$2-$F35&lt;=12,SUMIFS('Attrition Modeling'!$D:$D,'Attrition Modeling'!$B:$B,'Traditional Attrition'!$E35,'Attrition Modeling'!$C:$C,'Traditional Attrition'!X$1),VLOOKUP('Traditional Attrition'!X$2-'Traditional Attrition'!$F35-1,'Traditional Attrition'!$A$7:$C$161,2,FALSE)*VLOOKUP(X$1,'Attrition Modeling'!$L$15:$N$27,IF(X$2-$F35&lt;=24,2,3),FALSE))*(1+Projection!Z$16)*(1+IF(X167&gt;0,'Attrition Modeling'!$N$9,0))),0))</f>
        <v>0</v>
      </c>
      <c r="Y35" s="799">
        <f>IF(Y$2=$F35+1,Monthly!U$21,IF(Y$2&gt;$F35+1,('Traditional Attrition'!X35+Y167)*(1-IF(Y$2-$F35&lt;=12,SUMIFS('Attrition Modeling'!$D:$D,'Attrition Modeling'!$B:$B,'Traditional Attrition'!$E35,'Attrition Modeling'!$C:$C,'Traditional Attrition'!Y$1),VLOOKUP('Traditional Attrition'!Y$2-'Traditional Attrition'!$F35-1,'Traditional Attrition'!$A$7:$C$161,2,FALSE)*VLOOKUP(Y$1,'Attrition Modeling'!$L$15:$N$27,IF(Y$2-$F35&lt;=24,2,3),FALSE))*(1+Projection!AA$16)*(1+IF(Y167&gt;0,'Attrition Modeling'!$N$9,0))),0))</f>
        <v>0</v>
      </c>
      <c r="Z35" s="799">
        <f>IF(Z$2=$F35+1,Monthly!V$21,IF(Z$2&gt;$F35+1,('Traditional Attrition'!Y35+Z167)*(1-IF(Z$2-$F35&lt;=12,SUMIFS('Attrition Modeling'!$D:$D,'Attrition Modeling'!$B:$B,'Traditional Attrition'!$E35,'Attrition Modeling'!$C:$C,'Traditional Attrition'!Z$1),VLOOKUP('Traditional Attrition'!Z$2-'Traditional Attrition'!$F35-1,'Traditional Attrition'!$A$7:$C$161,2,FALSE)*VLOOKUP(Z$1,'Attrition Modeling'!$L$15:$N$27,IF(Z$2-$F35&lt;=24,2,3),FALSE))*(1+Projection!AB$16)*(1+IF(Z167&gt;0,'Attrition Modeling'!$N$9,0))),0))</f>
        <v>0</v>
      </c>
      <c r="AA35" s="799">
        <f>IF(AA$2=$F35+1,Monthly!W$21,IF(AA$2&gt;$F35+1,('Traditional Attrition'!Z35+AA167)*(1-IF(AA$2-$F35&lt;=12,SUMIFS('Attrition Modeling'!$D:$D,'Attrition Modeling'!$B:$B,'Traditional Attrition'!$E35,'Attrition Modeling'!$C:$C,'Traditional Attrition'!AA$1),VLOOKUP('Traditional Attrition'!AA$2-'Traditional Attrition'!$F35-1,'Traditional Attrition'!$A$7:$C$161,2,FALSE)*VLOOKUP(AA$1,'Attrition Modeling'!$L$15:$N$27,IF(AA$2-$F35&lt;=24,2,3),FALSE))*(1+Projection!AC$16)*(1+IF(AA167&gt;0,'Attrition Modeling'!$N$9,0))),0))</f>
        <v>0</v>
      </c>
      <c r="AB35" s="799">
        <f>IF(AB$2=$F35+1,Monthly!X$21,IF(AB$2&gt;$F35+1,('Traditional Attrition'!AA35+AB167)*(1-IF(AB$2-$F35&lt;=12,SUMIFS('Attrition Modeling'!$D:$D,'Attrition Modeling'!$B:$B,'Traditional Attrition'!$E35,'Attrition Modeling'!$C:$C,'Traditional Attrition'!AB$1),VLOOKUP('Traditional Attrition'!AB$2-'Traditional Attrition'!$F35-1,'Traditional Attrition'!$A$7:$C$161,2,FALSE)*VLOOKUP(AB$1,'Attrition Modeling'!$L$15:$N$27,IF(AB$2-$F35&lt;=24,2,3),FALSE))*(1+Projection!AD$16)*(1+IF(AB167&gt;0,'Attrition Modeling'!$N$9,0))),0))</f>
        <v>0</v>
      </c>
      <c r="AC35" s="799">
        <f>IF(AC$2=$F35+1,Monthly!Y$21,IF(AC$2&gt;$F35+1,('Traditional Attrition'!AB35+AC167)*(1-IF(AC$2-$F35&lt;=12,SUMIFS('Attrition Modeling'!$D:$D,'Attrition Modeling'!$B:$B,'Traditional Attrition'!$E35,'Attrition Modeling'!$C:$C,'Traditional Attrition'!AC$1),VLOOKUP('Traditional Attrition'!AC$2-'Traditional Attrition'!$F35-1,'Traditional Attrition'!$A$7:$C$161,2,FALSE)*VLOOKUP(AC$1,'Attrition Modeling'!$L$15:$N$27,IF(AC$2-$F35&lt;=24,2,3),FALSE))*(1+Projection!AE$16)*(1+IF(AC167&gt;0,'Attrition Modeling'!$N$9,0))),0))</f>
        <v>0</v>
      </c>
      <c r="AD35" s="799">
        <f>IF(AD$2=$F35+1,Monthly!Z$21,IF(AD$2&gt;$F35+1,('Traditional Attrition'!AC35+AD167)*(1-IF(AD$2-$F35&lt;=12,SUMIFS('Attrition Modeling'!$D:$D,'Attrition Modeling'!$B:$B,'Traditional Attrition'!$E35,'Attrition Modeling'!$C:$C,'Traditional Attrition'!AD$1),VLOOKUP('Traditional Attrition'!AD$2-'Traditional Attrition'!$F35-1,'Traditional Attrition'!$A$7:$C$161,2,FALSE)*VLOOKUP(AD$1,'Attrition Modeling'!$L$15:$N$27,IF(AD$2-$F35&lt;=24,2,3),FALSE))*(1+Projection!AF$16)*(1+IF(AD167&gt;0,'Attrition Modeling'!$N$9,0))),0))</f>
        <v>0</v>
      </c>
      <c r="AE35" s="799">
        <f>IF(AE$2=$F35+1,Monthly!AA$21,IF(AE$2&gt;$F35+1,('Traditional Attrition'!AD35+AE167)*(1-IF(AE$2-$F35&lt;=12,SUMIFS('Attrition Modeling'!$D:$D,'Attrition Modeling'!$B:$B,'Traditional Attrition'!$E35,'Attrition Modeling'!$C:$C,'Traditional Attrition'!AE$1),VLOOKUP('Traditional Attrition'!AE$2-'Traditional Attrition'!$F35-1,'Traditional Attrition'!$A$7:$C$161,2,FALSE)*VLOOKUP(AE$1,'Attrition Modeling'!$L$15:$N$27,IF(AE$2-$F35&lt;=24,2,3),FALSE))*(1+Projection!AG$16)*(1+IF(AE167&gt;0,'Attrition Modeling'!$N$9,0))),0))</f>
        <v>0</v>
      </c>
      <c r="AF35" s="799">
        <f>IF(AF$2=$F35+1,Monthly!AB$21,IF(AF$2&gt;$F35+1,('Traditional Attrition'!AE35+AF167)*(1-IF(AF$2-$F35&lt;=12,SUMIFS('Attrition Modeling'!$D:$D,'Attrition Modeling'!$B:$B,'Traditional Attrition'!$E35,'Attrition Modeling'!$C:$C,'Traditional Attrition'!AF$1),VLOOKUP('Traditional Attrition'!AF$2-'Traditional Attrition'!$F35-1,'Traditional Attrition'!$A$7:$C$161,2,FALSE)*VLOOKUP(AF$1,'Attrition Modeling'!$L$15:$N$27,IF(AF$2-$F35&lt;=24,2,3),FALSE))*(1+Projection!AH$16)*(1+IF(AF167&gt;0,'Attrition Modeling'!$N$9,0))),0))</f>
        <v>0</v>
      </c>
      <c r="AG35" s="799">
        <f>IF(AG$2=$F35+1,Monthly!AC$21,IF(AG$2&gt;$F35+1,('Traditional Attrition'!AF35+AG167)*(1-IF(AG$2-$F35&lt;=12,SUMIFS('Attrition Modeling'!$D:$D,'Attrition Modeling'!$B:$B,'Traditional Attrition'!$E35,'Attrition Modeling'!$C:$C,'Traditional Attrition'!AG$1),VLOOKUP('Traditional Attrition'!AG$2-'Traditional Attrition'!$F35-1,'Traditional Attrition'!$A$7:$C$161,2,FALSE)*VLOOKUP(AG$1,'Attrition Modeling'!$L$15:$N$27,IF(AG$2-$F35&lt;=24,2,3),FALSE))*(1+Projection!AI$16)*(1+IF(AG167&gt;0,'Attrition Modeling'!$N$9,0))),0))</f>
        <v>0</v>
      </c>
      <c r="AH35" s="799">
        <f>IF(AH$2=$F35+1,Monthly!AD$21,IF(AH$2&gt;$F35+1,('Traditional Attrition'!AG35+AH167)*(1-IF(AH$2-$F35&lt;=12,SUMIFS('Attrition Modeling'!$D:$D,'Attrition Modeling'!$B:$B,'Traditional Attrition'!$E35,'Attrition Modeling'!$C:$C,'Traditional Attrition'!AH$1),VLOOKUP('Traditional Attrition'!AH$2-'Traditional Attrition'!$F35-1,'Traditional Attrition'!$A$7:$C$161,2,FALSE)*VLOOKUP(AH$1,'Attrition Modeling'!$L$15:$N$27,IF(AH$2-$F35&lt;=24,2,3),FALSE))*(1+Projection!AJ$16)*(1+IF(AH167&gt;0,'Attrition Modeling'!$N$9,0))),0))</f>
        <v>0</v>
      </c>
      <c r="AI35" s="799">
        <f>IF(AI$2=$F35+1,Monthly!AE$21,IF(AI$2&gt;$F35+1,('Traditional Attrition'!AH35+AI167)*(1-IF(AI$2-$F35&lt;=12,SUMIFS('Attrition Modeling'!$D:$D,'Attrition Modeling'!$B:$B,'Traditional Attrition'!$E35,'Attrition Modeling'!$C:$C,'Traditional Attrition'!AI$1),VLOOKUP('Traditional Attrition'!AI$2-'Traditional Attrition'!$F35-1,'Traditional Attrition'!$A$7:$C$161,2,FALSE)*VLOOKUP(AI$1,'Attrition Modeling'!$L$15:$N$27,IF(AI$2-$F35&lt;=24,2,3),FALSE))*(1+Projection!AK$16)*(1+IF(AI167&gt;0,'Attrition Modeling'!$N$9,0))),0))</f>
        <v>0</v>
      </c>
      <c r="AJ35" s="799">
        <f>IF(AJ$2=$F35+1,Monthly!AF$21,IF(AJ$2&gt;$F35+1,('Traditional Attrition'!AI35+AJ167)*(1-IF(AJ$2-$F35&lt;=12,SUMIFS('Attrition Modeling'!$D:$D,'Attrition Modeling'!$B:$B,'Traditional Attrition'!$E35,'Attrition Modeling'!$C:$C,'Traditional Attrition'!AJ$1),VLOOKUP('Traditional Attrition'!AJ$2-'Traditional Attrition'!$F35-1,'Traditional Attrition'!$A$7:$C$161,2,FALSE)*VLOOKUP(AJ$1,'Attrition Modeling'!$L$15:$N$27,IF(AJ$2-$F35&lt;=24,2,3),FALSE))*(1+Projection!AL$16)*(1+IF(AJ167&gt;0,'Attrition Modeling'!$N$9,0))),0))</f>
        <v>0</v>
      </c>
      <c r="AK35" s="799">
        <f>IF(AK$2=$F35+1,Monthly!AG$21,IF(AK$2&gt;$F35+1,('Traditional Attrition'!AJ35+AK167)*(1-IF(AK$2-$F35&lt;=12,SUMIFS('Attrition Modeling'!$D:$D,'Attrition Modeling'!$B:$B,'Traditional Attrition'!$E35,'Attrition Modeling'!$C:$C,'Traditional Attrition'!AK$1),VLOOKUP('Traditional Attrition'!AK$2-'Traditional Attrition'!$F35-1,'Traditional Attrition'!$A$7:$C$161,2,FALSE)*VLOOKUP(AK$1,'Attrition Modeling'!$L$15:$N$27,IF(AK$2-$F35&lt;=24,2,3),FALSE))*(1+Projection!AM$16)*(1+IF(AK167&gt;0,'Attrition Modeling'!$N$9,0))),0))</f>
        <v>0</v>
      </c>
      <c r="AL35" s="799">
        <f>IF(AL$2=$F35+1,Monthly!AH$21,IF(AL$2&gt;$F35+1,('Traditional Attrition'!AK35+AL167)*(1-IF(AL$2-$F35&lt;=12,SUMIFS('Attrition Modeling'!$D:$D,'Attrition Modeling'!$B:$B,'Traditional Attrition'!$E35,'Attrition Modeling'!$C:$C,'Traditional Attrition'!AL$1),VLOOKUP('Traditional Attrition'!AL$2-'Traditional Attrition'!$F35-1,'Traditional Attrition'!$A$7:$C$161,2,FALSE)*VLOOKUP(AL$1,'Attrition Modeling'!$L$15:$N$27,IF(AL$2-$F35&lt;=24,2,3),FALSE))*(1+Projection!AN$16)*(1+IF(AL167&gt;0,'Attrition Modeling'!$N$9,0))),0))</f>
        <v>0</v>
      </c>
      <c r="AM35" s="799">
        <f>IF(AM$2=$F35+1,Monthly!AI$21,IF(AM$2&gt;$F35+1,('Traditional Attrition'!AL35+AM167)*(1-IF(AM$2-$F35&lt;=12,SUMIFS('Attrition Modeling'!$D:$D,'Attrition Modeling'!$B:$B,'Traditional Attrition'!$E35,'Attrition Modeling'!$C:$C,'Traditional Attrition'!AM$1),VLOOKUP('Traditional Attrition'!AM$2-'Traditional Attrition'!$F35-1,'Traditional Attrition'!$A$7:$C$161,2,FALSE)*VLOOKUP(AM$1,'Attrition Modeling'!$L$15:$N$27,IF(AM$2-$F35&lt;=24,2,3),FALSE))*(1+Projection!AO$16)*(1+IF(AM167&gt;0,'Attrition Modeling'!$N$9,0))),0))</f>
        <v>0</v>
      </c>
      <c r="AN35" s="799">
        <f>IF(AN$2=$F35+1,Monthly!AJ$21,IF(AN$2&gt;$F35+1,('Traditional Attrition'!AM35+AN167)*(1-IF(AN$2-$F35&lt;=12,SUMIFS('Attrition Modeling'!$D:$D,'Attrition Modeling'!$B:$B,'Traditional Attrition'!$E35,'Attrition Modeling'!$C:$C,'Traditional Attrition'!AN$1),VLOOKUP('Traditional Attrition'!AN$2-'Traditional Attrition'!$F35-1,'Traditional Attrition'!$A$7:$C$161,2,FALSE)*VLOOKUP(AN$1,'Attrition Modeling'!$L$15:$N$27,IF(AN$2-$F35&lt;=24,2,3),FALSE))*(1+Projection!AP$16)*(1+IF(AN167&gt;0,'Attrition Modeling'!$N$9,0))),0))</f>
        <v>13810.192239433594</v>
      </c>
      <c r="AO35" s="799">
        <f>IF(AO$2=$F35+1,Monthly!AK$21,IF(AO$2&gt;$F35+1,('Traditional Attrition'!AN35+AO167)*(1-IF(AO$2-$F35&lt;=12,SUMIFS('Attrition Modeling'!$D:$D,'Attrition Modeling'!$B:$B,'Traditional Attrition'!$E35,'Attrition Modeling'!$C:$C,'Traditional Attrition'!AO$1),VLOOKUP('Traditional Attrition'!AO$2-'Traditional Attrition'!$F35-1,'Traditional Attrition'!$A$7:$C$161,2,FALSE)*VLOOKUP(AO$1,'Attrition Modeling'!$L$15:$N$27,IF(AO$2-$F35&lt;=24,2,3),FALSE))*(1+Projection!AQ$16)*(1+IF(AO167&gt;0,'Attrition Modeling'!$N$9,0))),0))</f>
        <v>12301.399735871772</v>
      </c>
      <c r="AP35" s="799">
        <f>IF(AP$2=$F35+1,Monthly!AL$21,IF(AP$2&gt;$F35+1,('Traditional Attrition'!AO35+AP167)*(1-IF(AP$2-$F35&lt;=12,SUMIFS('Attrition Modeling'!$D:$D,'Attrition Modeling'!$B:$B,'Traditional Attrition'!$E35,'Attrition Modeling'!$C:$C,'Traditional Attrition'!AP$1),VLOOKUP('Traditional Attrition'!AP$2-'Traditional Attrition'!$F35-1,'Traditional Attrition'!$A$7:$C$161,2,FALSE)*VLOOKUP(AP$1,'Attrition Modeling'!$L$15:$N$27,IF(AP$2-$F35&lt;=24,2,3),FALSE))*(1+Projection!AR$16)*(1+IF(AP167&gt;0,'Attrition Modeling'!$N$9,0))),0))</f>
        <v>11195.306093109148</v>
      </c>
      <c r="AQ35" s="799">
        <f>IF(AQ$2=$F35+1,Monthly!AM$21,IF(AQ$2&gt;$F35+1,('Traditional Attrition'!AP35+AQ167)*(1-IF(AQ$2-$F35&lt;=12,SUMIFS('Attrition Modeling'!$D:$D,'Attrition Modeling'!$B:$B,'Traditional Attrition'!$E35,'Attrition Modeling'!$C:$C,'Traditional Attrition'!AQ$1),VLOOKUP('Traditional Attrition'!AQ$2-'Traditional Attrition'!$F35-1,'Traditional Attrition'!$A$7:$C$161,2,FALSE)*VLOOKUP(AQ$1,'Attrition Modeling'!$L$15:$N$27,IF(AQ$2-$F35&lt;=24,2,3),FALSE))*(1+Projection!AS$16)*(1+IF(AQ167&gt;0,'Attrition Modeling'!$N$9,0))),0))</f>
        <v>10186.78634776853</v>
      </c>
      <c r="AR35" s="799">
        <f>IF(AR$2=$F35+1,Monthly!AN$21,IF(AR$2&gt;$F35+1,('Traditional Attrition'!AQ35+AR167)*(1-IF(AR$2-$F35&lt;=12,SUMIFS('Attrition Modeling'!$D:$D,'Attrition Modeling'!$B:$B,'Traditional Attrition'!$E35,'Attrition Modeling'!$C:$C,'Traditional Attrition'!AR$1),VLOOKUP('Traditional Attrition'!AR$2-'Traditional Attrition'!$F35-1,'Traditional Attrition'!$A$7:$C$161,2,FALSE)*VLOOKUP(AR$1,'Attrition Modeling'!$L$15:$N$27,IF(AR$2-$F35&lt;=24,2,3),FALSE))*(1+Projection!AT$16)*(1+IF(AR167&gt;0,'Attrition Modeling'!$N$9,0))),0))</f>
        <v>9397.0049040938993</v>
      </c>
      <c r="AS35" s="799">
        <f>IF(AS$2=$F35+1,Monthly!AO$21,IF(AS$2&gt;$F35+1,('Traditional Attrition'!AR35+AS167)*(1-IF(AS$2-$F35&lt;=12,SUMIFS('Attrition Modeling'!$D:$D,'Attrition Modeling'!$B:$B,'Traditional Attrition'!$E35,'Attrition Modeling'!$C:$C,'Traditional Attrition'!AS$1),VLOOKUP('Traditional Attrition'!AS$2-'Traditional Attrition'!$F35-1,'Traditional Attrition'!$A$7:$C$161,2,FALSE)*VLOOKUP(AS$1,'Attrition Modeling'!$L$15:$N$27,IF(AS$2-$F35&lt;=24,2,3),FALSE))*(1+Projection!AU$16)*(1+IF(AS167&gt;0,'Attrition Modeling'!$N$9,0))),0))</f>
        <v>9347.267467969421</v>
      </c>
      <c r="AT35" s="799">
        <f>IF(AT$2=$F35+1,Monthly!AP$21,IF(AT$2&gt;$F35+1,('Traditional Attrition'!AS35+AT167)*(1-IF(AT$2-$F35&lt;=12,SUMIFS('Attrition Modeling'!$D:$D,'Attrition Modeling'!$B:$B,'Traditional Attrition'!$E35,'Attrition Modeling'!$C:$C,'Traditional Attrition'!AT$1),VLOOKUP('Traditional Attrition'!AT$2-'Traditional Attrition'!$F35-1,'Traditional Attrition'!$A$7:$C$161,2,FALSE)*VLOOKUP(AT$1,'Attrition Modeling'!$L$15:$N$27,IF(AT$2-$F35&lt;=24,2,3),FALSE))*(1+Projection!AV$16)*(1+IF(AT167&gt;0,'Attrition Modeling'!$N$9,0))),0))</f>
        <v>8638.402764326036</v>
      </c>
      <c r="AU35" s="799">
        <f>IF(AU$2=$F35+1,Monthly!AQ$21,IF(AU$2&gt;$F35+1,('Traditional Attrition'!AT35+AU167)*(1-IF(AU$2-$F35&lt;=12,SUMIFS('Attrition Modeling'!$D:$D,'Attrition Modeling'!$B:$B,'Traditional Attrition'!$E35,'Attrition Modeling'!$C:$C,'Traditional Attrition'!AU$1),VLOOKUP('Traditional Attrition'!AU$2-'Traditional Attrition'!$F35-1,'Traditional Attrition'!$A$7:$C$161,2,FALSE)*VLOOKUP(AU$1,'Attrition Modeling'!$L$15:$N$27,IF(AU$2-$F35&lt;=24,2,3),FALSE))*(1+Projection!AW$16)*(1+IF(AU167&gt;0,'Attrition Modeling'!$N$9,0))),0))</f>
        <v>8070.4831547333188</v>
      </c>
      <c r="AV35" s="799">
        <f>IF(AV$2=$F35+1,Monthly!AR$21,IF(AV$2&gt;$F35+1,('Traditional Attrition'!AU35+AV167)*(1-IF(AV$2-$F35&lt;=12,SUMIFS('Attrition Modeling'!$D:$D,'Attrition Modeling'!$B:$B,'Traditional Attrition'!$E35,'Attrition Modeling'!$C:$C,'Traditional Attrition'!AV$1),VLOOKUP('Traditional Attrition'!AV$2-'Traditional Attrition'!$F35-1,'Traditional Attrition'!$A$7:$C$161,2,FALSE)*VLOOKUP(AV$1,'Attrition Modeling'!$L$15:$N$27,IF(AV$2-$F35&lt;=24,2,3),FALSE))*(1+Projection!AX$16)*(1+IF(AV167&gt;0,'Attrition Modeling'!$N$9,0))),0))</f>
        <v>7591.6279773627302</v>
      </c>
      <c r="AW35" s="799">
        <f>IF(AW$2=$F35+1,Monthly!AS$21,IF(AW$2&gt;$F35+1,('Traditional Attrition'!AV35+AW167)*(1-IF(AW$2-$F35&lt;=12,SUMIFS('Attrition Modeling'!$D:$D,'Attrition Modeling'!$B:$B,'Traditional Attrition'!$E35,'Attrition Modeling'!$C:$C,'Traditional Attrition'!AW$1),VLOOKUP('Traditional Attrition'!AW$2-'Traditional Attrition'!$F35-1,'Traditional Attrition'!$A$7:$C$161,2,FALSE)*VLOOKUP(AW$1,'Attrition Modeling'!$L$15:$N$27,IF(AW$2-$F35&lt;=24,2,3),FALSE))*(1+Projection!AY$16)*(1+IF(AW167&gt;0,'Attrition Modeling'!$N$9,0))),0))</f>
        <v>7145.426930425765</v>
      </c>
      <c r="AX35" s="799">
        <f>IF(AX$2=$F35+1,Monthly!AT$21,IF(AX$2&gt;$F35+1,('Traditional Attrition'!AW35+AX167)*(1-IF(AX$2-$F35&lt;=12,SUMIFS('Attrition Modeling'!$D:$D,'Attrition Modeling'!$B:$B,'Traditional Attrition'!$E35,'Attrition Modeling'!$C:$C,'Traditional Attrition'!AX$1),VLOOKUP('Traditional Attrition'!AX$2-'Traditional Attrition'!$F35-1,'Traditional Attrition'!$A$7:$C$161,2,FALSE)*VLOOKUP(AX$1,'Attrition Modeling'!$L$15:$N$27,IF(AX$2-$F35&lt;=24,2,3),FALSE))*(1+Projection!AZ$16)*(1+IF(AX167&gt;0,'Attrition Modeling'!$N$9,0))),0))</f>
        <v>6721.6059356452633</v>
      </c>
      <c r="AY35" s="799">
        <f>IF(AY$2=$F35+1,Monthly!AU$21,IF(AY$2&gt;$F35+1,('Traditional Attrition'!AX35+AY167)*(1-IF(AY$2-$F35&lt;=12,SUMIFS('Attrition Modeling'!$D:$D,'Attrition Modeling'!$B:$B,'Traditional Attrition'!$E35,'Attrition Modeling'!$C:$C,'Traditional Attrition'!AY$1),VLOOKUP('Traditional Attrition'!AY$2-'Traditional Attrition'!$F35-1,'Traditional Attrition'!$A$7:$C$161,2,FALSE)*VLOOKUP(AY$1,'Attrition Modeling'!$L$15:$N$27,IF(AY$2-$F35&lt;=24,2,3),FALSE))*(1+Projection!BA$16)*(1+IF(AY167&gt;0,'Attrition Modeling'!$N$9,0))),0))</f>
        <v>6494.8612302779275</v>
      </c>
      <c r="AZ35" s="799">
        <f>IF(AZ$2=$F35+1,Monthly!AV$21,IF(AZ$2&gt;$F35+1,('Traditional Attrition'!AY35+AZ167)*(1-IF(AZ$2-$F35&lt;=12,SUMIFS('Attrition Modeling'!$D:$D,'Attrition Modeling'!$B:$B,'Traditional Attrition'!$E35,'Attrition Modeling'!$C:$C,'Traditional Attrition'!AZ$1),VLOOKUP('Traditional Attrition'!AZ$2-'Traditional Attrition'!$F35-1,'Traditional Attrition'!$A$7:$C$161,2,FALSE)*VLOOKUP(AZ$1,'Attrition Modeling'!$L$15:$N$27,IF(AZ$2-$F35&lt;=24,2,3),FALSE))*(1+Projection!BB$16)*(1+IF(AZ167&gt;0,'Attrition Modeling'!$N$9,0))),0))</f>
        <v>6136.1602643927836</v>
      </c>
      <c r="BA35" s="799">
        <f>IF(BA$2=$F35+1,Monthly!AW$21,IF(BA$2&gt;$F35+1,('Traditional Attrition'!AZ35+BA167)*(1-IF(BA$2-$F35&lt;=12,SUMIFS('Attrition Modeling'!$D:$D,'Attrition Modeling'!$B:$B,'Traditional Attrition'!$E35,'Attrition Modeling'!$C:$C,'Traditional Attrition'!BA$1),VLOOKUP('Traditional Attrition'!BA$2-'Traditional Attrition'!$F35-1,'Traditional Attrition'!$A$7:$C$161,2,FALSE)*VLOOKUP(BA$1,'Attrition Modeling'!$L$15:$N$27,IF(BA$2-$F35&lt;=24,2,3),FALSE))*(1+Projection!BC$16)*(1+IF(BA167&gt;0,'Attrition Modeling'!$N$9,0))),0))</f>
        <v>5816.2106206310309</v>
      </c>
      <c r="BB35" s="799">
        <f>IF(BB$2=$F35+1,Monthly!AX$21,IF(BB$2&gt;$F35+1,('Traditional Attrition'!BA35+BB167)*(1-IF(BB$2-$F35&lt;=12,SUMIFS('Attrition Modeling'!$D:$D,'Attrition Modeling'!$B:$B,'Traditional Attrition'!$E35,'Attrition Modeling'!$C:$C,'Traditional Attrition'!BB$1),VLOOKUP('Traditional Attrition'!BB$2-'Traditional Attrition'!$F35-1,'Traditional Attrition'!$A$7:$C$161,2,FALSE)*VLOOKUP(BB$1,'Attrition Modeling'!$L$15:$N$27,IF(BB$2-$F35&lt;=24,2,3),FALSE))*(1+Projection!BD$16)*(1+IF(BB167&gt;0,'Attrition Modeling'!$N$9,0))),0))</f>
        <v>5538.7554762001246</v>
      </c>
      <c r="BC35" s="799">
        <f>IF(BC$2=$F35+1,Monthly!AY$21,IF(BC$2&gt;$F35+1,('Traditional Attrition'!BB35+BC167)*(1-IF(BC$2-$F35&lt;=12,SUMIFS('Attrition Modeling'!$D:$D,'Attrition Modeling'!$B:$B,'Traditional Attrition'!$E35,'Attrition Modeling'!$C:$C,'Traditional Attrition'!BC$1),VLOOKUP('Traditional Attrition'!BC$2-'Traditional Attrition'!$F35-1,'Traditional Attrition'!$A$7:$C$161,2,FALSE)*VLOOKUP(BC$1,'Attrition Modeling'!$L$15:$N$27,IF(BC$2-$F35&lt;=24,2,3),FALSE))*(1+Projection!BE$16)*(1+IF(BC167&gt;0,'Attrition Modeling'!$N$9,0))),0))</f>
        <v>5286.8622430706864</v>
      </c>
      <c r="BD35" s="799">
        <f>IF(BD$2=$F35+1,Monthly!AZ$21,IF(BD$2&gt;$F35+1,('Traditional Attrition'!BC35+BD167)*(1-IF(BD$2-$F35&lt;=12,SUMIFS('Attrition Modeling'!$D:$D,'Attrition Modeling'!$B:$B,'Traditional Attrition'!$E35,'Attrition Modeling'!$C:$C,'Traditional Attrition'!BD$1),VLOOKUP('Traditional Attrition'!BD$2-'Traditional Attrition'!$F35-1,'Traditional Attrition'!$A$7:$C$161,2,FALSE)*VLOOKUP(BD$1,'Attrition Modeling'!$L$15:$N$27,IF(BD$2-$F35&lt;=24,2,3),FALSE))*(1+Projection!BF$16)*(1+IF(BD167&gt;0,'Attrition Modeling'!$N$9,0))),0))</f>
        <v>5053.285128743727</v>
      </c>
      <c r="BE35" s="799">
        <f>IF(BE$2=$F35+1,Monthly!BA$21,IF(BE$2&gt;$F35+1,('Traditional Attrition'!BD35+BE167)*(1-IF(BE$2-$F35&lt;=12,SUMIFS('Attrition Modeling'!$D:$D,'Attrition Modeling'!$B:$B,'Traditional Attrition'!$E35,'Attrition Modeling'!$C:$C,'Traditional Attrition'!BE$1),VLOOKUP('Traditional Attrition'!BE$2-'Traditional Attrition'!$F35-1,'Traditional Attrition'!$A$7:$C$161,2,FALSE)*VLOOKUP(BE$1,'Attrition Modeling'!$L$15:$N$27,IF(BE$2-$F35&lt;=24,2,3),FALSE))*(1+Projection!BG$16)*(1+IF(BE167&gt;0,'Attrition Modeling'!$N$9,0))),0))</f>
        <v>5280.0745145289484</v>
      </c>
      <c r="BF35" s="799">
        <f>IF(BF$2=$F35+1,Monthly!BB$21,IF(BF$2&gt;$F35+1,('Traditional Attrition'!BE35+BF167)*(1-IF(BF$2-$F35&lt;=12,SUMIFS('Attrition Modeling'!$D:$D,'Attrition Modeling'!$B:$B,'Traditional Attrition'!$E35,'Attrition Modeling'!$C:$C,'Traditional Attrition'!BF$1),VLOOKUP('Traditional Attrition'!BF$2-'Traditional Attrition'!$F35-1,'Traditional Attrition'!$A$7:$C$161,2,FALSE)*VLOOKUP(BF$1,'Attrition Modeling'!$L$15:$N$27,IF(BF$2-$F35&lt;=24,2,3),FALSE))*(1+Projection!BH$16)*(1+IF(BF167&gt;0,'Attrition Modeling'!$N$9,0))),0))</f>
        <v>5061.4632830974688</v>
      </c>
      <c r="BG35" s="799">
        <f>IF(BG$2=$F35+1,Monthly!BC$21,IF(BG$2&gt;$F35+1,('Traditional Attrition'!BF35+BG167)*(1-IF(BG$2-$F35&lt;=12,SUMIFS('Attrition Modeling'!$D:$D,'Attrition Modeling'!$B:$B,'Traditional Attrition'!$E35,'Attrition Modeling'!$C:$C,'Traditional Attrition'!BG$1),VLOOKUP('Traditional Attrition'!BG$2-'Traditional Attrition'!$F35-1,'Traditional Attrition'!$A$7:$C$161,2,FALSE)*VLOOKUP(BG$1,'Attrition Modeling'!$L$15:$N$27,IF(BG$2-$F35&lt;=24,2,3),FALSE))*(1+Projection!BI$16)*(1+IF(BG167&gt;0,'Attrition Modeling'!$N$9,0))),0))</f>
        <v>4859.3331285761469</v>
      </c>
      <c r="BH35" s="799">
        <f>IF(BH$2=$F35+1,Monthly!BD$21,IF(BH$2&gt;$F35+1,('Traditional Attrition'!BG35+BH167)*(1-IF(BH$2-$F35&lt;=12,SUMIFS('Attrition Modeling'!$D:$D,'Attrition Modeling'!$B:$B,'Traditional Attrition'!$E35,'Attrition Modeling'!$C:$C,'Traditional Attrition'!BH$1),VLOOKUP('Traditional Attrition'!BH$2-'Traditional Attrition'!$F35-1,'Traditional Attrition'!$A$7:$C$161,2,FALSE)*VLOOKUP(BH$1,'Attrition Modeling'!$L$15:$N$27,IF(BH$2-$F35&lt;=24,2,3),FALSE))*(1+Projection!BJ$16)*(1+IF(BH167&gt;0,'Attrition Modeling'!$N$9,0))),0))</f>
        <v>4669.9525450160336</v>
      </c>
      <c r="BI35" s="799">
        <f>IF(BI$2=$F35+1,Monthly!BE$21,IF(BI$2&gt;$F35+1,('Traditional Attrition'!BH35+BI167)*(1-IF(BI$2-$F35&lt;=12,SUMIFS('Attrition Modeling'!$D:$D,'Attrition Modeling'!$B:$B,'Traditional Attrition'!$E35,'Attrition Modeling'!$C:$C,'Traditional Attrition'!BI$1),VLOOKUP('Traditional Attrition'!BI$2-'Traditional Attrition'!$F35-1,'Traditional Attrition'!$A$7:$C$161,2,FALSE)*VLOOKUP(BI$1,'Attrition Modeling'!$L$15:$N$27,IF(BI$2-$F35&lt;=24,2,3),FALSE))*(1+Projection!BK$16)*(1+IF(BI167&gt;0,'Attrition Modeling'!$N$9,0))),0))</f>
        <v>4473.2463279166541</v>
      </c>
      <c r="BJ35" s="799">
        <f>IF(BJ$2=$F35+1,Monthly!BF$21,IF(BJ$2&gt;$F35+1,('Traditional Attrition'!BI35+BJ167)*(1-IF(BJ$2-$F35&lt;=12,SUMIFS('Attrition Modeling'!$D:$D,'Attrition Modeling'!$B:$B,'Traditional Attrition'!$E35,'Attrition Modeling'!$C:$C,'Traditional Attrition'!BJ$1),VLOOKUP('Traditional Attrition'!BJ$2-'Traditional Attrition'!$F35-1,'Traditional Attrition'!$A$7:$C$161,2,FALSE)*VLOOKUP(BJ$1,'Attrition Modeling'!$L$15:$N$27,IF(BJ$2-$F35&lt;=24,2,3),FALSE))*(1+Projection!BL$16)*(1+IF(BJ167&gt;0,'Attrition Modeling'!$N$9,0))),0))</f>
        <v>4283.1212621090026</v>
      </c>
      <c r="BK35" s="799">
        <f>IF(BK$2=$F35+1,Monthly!BG$21,IF(BK$2&gt;$F35+1,('Traditional Attrition'!BJ35+BK167)*(1-IF(BK$2-$F35&lt;=12,SUMIFS('Attrition Modeling'!$D:$D,'Attrition Modeling'!$B:$B,'Traditional Attrition'!$E35,'Attrition Modeling'!$C:$C,'Traditional Attrition'!BK$1),VLOOKUP('Traditional Attrition'!BK$2-'Traditional Attrition'!$F35-1,'Traditional Attrition'!$A$7:$C$161,2,FALSE)*VLOOKUP(BK$1,'Attrition Modeling'!$L$15:$N$27,IF(BK$2-$F35&lt;=24,2,3),FALSE))*(1+Projection!BM$16)*(1+IF(BK167&gt;0,'Attrition Modeling'!$N$9,0))),0))</f>
        <v>4095.540957497451</v>
      </c>
      <c r="BL35" s="799">
        <f>IF(BL$2=$F35+1,Monthly!BH$21,IF(BL$2&gt;$F35+1,('Traditional Attrition'!BK35+BL167)*(1-IF(BL$2-$F35&lt;=12,SUMIFS('Attrition Modeling'!$D:$D,'Attrition Modeling'!$B:$B,'Traditional Attrition'!$E35,'Attrition Modeling'!$C:$C,'Traditional Attrition'!BL$1),VLOOKUP('Traditional Attrition'!BL$2-'Traditional Attrition'!$F35-1,'Traditional Attrition'!$A$7:$C$161,2,FALSE)*VLOOKUP(BL$1,'Attrition Modeling'!$L$15:$N$27,IF(BL$2-$F35&lt;=24,2,3),FALSE))*(1+Projection!BN$16)*(1+IF(BL167&gt;0,'Attrition Modeling'!$N$9,0))),0))</f>
        <v>3927.053479330245</v>
      </c>
      <c r="BM35" s="799">
        <f>IF(BM$2=$F35+1,Monthly!BI$21,IF(BM$2&gt;$F35+1,('Traditional Attrition'!BL35+BM167)*(1-IF(BM$2-$F35&lt;=12,SUMIFS('Attrition Modeling'!$D:$D,'Attrition Modeling'!$B:$B,'Traditional Attrition'!$E35,'Attrition Modeling'!$C:$C,'Traditional Attrition'!BM$1),VLOOKUP('Traditional Attrition'!BM$2-'Traditional Attrition'!$F35-1,'Traditional Attrition'!$A$7:$C$161,2,FALSE)*VLOOKUP(BM$1,'Attrition Modeling'!$L$15:$N$27,IF(BM$2-$F35&lt;=24,2,3),FALSE))*(1+Projection!BO$16)*(1+IF(BM167&gt;0,'Attrition Modeling'!$N$9,0))),0))</f>
        <v>3773.2319845390489</v>
      </c>
      <c r="BN35" s="799">
        <f>IF(BN$2=$F35+1,Monthly!BJ$21,IF(BN$2&gt;$F35+1,('Traditional Attrition'!BM35+BN167)*(1-IF(BN$2-$F35&lt;=12,SUMIFS('Attrition Modeling'!$D:$D,'Attrition Modeling'!$B:$B,'Traditional Attrition'!$E35,'Attrition Modeling'!$C:$C,'Traditional Attrition'!BN$1),VLOOKUP('Traditional Attrition'!BN$2-'Traditional Attrition'!$F35-1,'Traditional Attrition'!$A$7:$C$161,2,FALSE)*VLOOKUP(BN$1,'Attrition Modeling'!$L$15:$N$27,IF(BN$2-$F35&lt;=24,2,3),FALSE))*(1+Projection!BP$16)*(1+IF(BN167&gt;0,'Attrition Modeling'!$N$9,0))),0))</f>
        <v>3630.7326207343317</v>
      </c>
      <c r="BO35" s="799">
        <f>IF(BO$2=$F35+1,Monthly!BK$21,IF(BO$2&gt;$F35+1,('Traditional Attrition'!BN35+BO167)*(1-IF(BO$2-$F35&lt;=12,SUMIFS('Attrition Modeling'!$D:$D,'Attrition Modeling'!$B:$B,'Traditional Attrition'!$E35,'Attrition Modeling'!$C:$C,'Traditional Attrition'!BO$1),VLOOKUP('Traditional Attrition'!BO$2-'Traditional Attrition'!$F35-1,'Traditional Attrition'!$A$7:$C$161,2,FALSE)*VLOOKUP(BO$1,'Attrition Modeling'!$L$15:$N$27,IF(BO$2-$F35&lt;=24,2,3),FALSE))*(1+Projection!BV$16)*(1+IF(BO167&gt;0,'Attrition Modeling'!$N$9,0))),0))</f>
        <v>3519.2277373858306</v>
      </c>
      <c r="BP35" s="799">
        <f>IF(BP$2=$F35+1,Monthly!BL$21,IF(BP$2&gt;$F35+1,('Traditional Attrition'!BO35+BP167)*(1-IF(BP$2-$F35&lt;=12,SUMIFS('Attrition Modeling'!$D:$D,'Attrition Modeling'!$B:$B,'Traditional Attrition'!$E35,'Attrition Modeling'!$C:$C,'Traditional Attrition'!BP$1),VLOOKUP('Traditional Attrition'!BP$2-'Traditional Attrition'!$F35-1,'Traditional Attrition'!$A$7:$C$161,2,FALSE)*VLOOKUP(BP$1,'Attrition Modeling'!$L$15:$N$27,IF(BP$2-$F35&lt;=24,2,3),FALSE))*(1+Projection!BW$16)*(1+IF(BP167&gt;0,'Attrition Modeling'!$N$9,0))),0))</f>
        <v>3401.1089898559412</v>
      </c>
      <c r="BQ35" s="799">
        <f>IF(BQ$2=$F35+1,Monthly!BM$21,IF(BQ$2&gt;$F35+1,('Traditional Attrition'!BP35+BQ167)*(1-IF(BQ$2-$F35&lt;=12,SUMIFS('Attrition Modeling'!$D:$D,'Attrition Modeling'!$B:$B,'Traditional Attrition'!$E35,'Attrition Modeling'!$C:$C,'Traditional Attrition'!BQ$1),VLOOKUP('Traditional Attrition'!BQ$2-'Traditional Attrition'!$F35-1,'Traditional Attrition'!$A$7:$C$161,2,FALSE)*VLOOKUP(BQ$1,'Attrition Modeling'!$L$15:$N$27,IF(BQ$2-$F35&lt;=24,2,3),FALSE))*(1+Projection!BX$16)*(1+IF(BQ167&gt;0,'Attrition Modeling'!$N$9,0))),0))</f>
        <v>3453.2529622716693</v>
      </c>
      <c r="BR35" s="799">
        <f>IF(BR$2=$F35+1,Monthly!BN$21,IF(BR$2&gt;$F35+1,('Traditional Attrition'!BQ35+BR167)*(1-IF(BR$2-$F35&lt;=12,SUMIFS('Attrition Modeling'!$D:$D,'Attrition Modeling'!$B:$B,'Traditional Attrition'!$E35,'Attrition Modeling'!$C:$C,'Traditional Attrition'!BR$1),VLOOKUP('Traditional Attrition'!BR$2-'Traditional Attrition'!$F35-1,'Traditional Attrition'!$A$7:$C$161,2,FALSE)*VLOOKUP(BR$1,'Attrition Modeling'!$L$15:$N$27,IF(BR$2-$F35&lt;=24,2,3),FALSE))*(1+Projection!BY$16)*(1+IF(BR167&gt;0,'Attrition Modeling'!$N$9,0))),0))</f>
        <v>3348.3530859105663</v>
      </c>
      <c r="BS35" s="799">
        <f>IF(BS$2=$F35+1,Monthly!BO$21,IF(BS$2&gt;$F35+1,('Traditional Attrition'!BR35+BS167)*(1-IF(BS$2-$F35&lt;=12,SUMIFS('Attrition Modeling'!$D:$D,'Attrition Modeling'!$B:$B,'Traditional Attrition'!$E35,'Attrition Modeling'!$C:$C,'Traditional Attrition'!BS$1),VLOOKUP('Traditional Attrition'!BS$2-'Traditional Attrition'!$F35-1,'Traditional Attrition'!$A$7:$C$161,2,FALSE)*VLOOKUP(BS$1,'Attrition Modeling'!$L$15:$N$27,IF(BS$2-$F35&lt;=24,2,3),FALSE))*(1+Projection!BZ$16)*(1+IF(BS167&gt;0,'Attrition Modeling'!$N$9,0))),0))</f>
        <v>3268.4326330570198</v>
      </c>
      <c r="BT35" s="799">
        <f>IF(BT$2=$F35+1,Monthly!#REF!,IF(BT$2&gt;$F35+1,('Traditional Attrition'!BS35+BT167)*(1-IF(BT$2-$F35&lt;=12,SUMIFS('Attrition Modeling'!$D:$D,'Attrition Modeling'!$B:$B,'Traditional Attrition'!$E35,'Attrition Modeling'!$C:$C,'Traditional Attrition'!BT$1),VLOOKUP('Traditional Attrition'!BT$2-'Traditional Attrition'!$F35-1,'Traditional Attrition'!$A$7:$C$161,2,FALSE)*VLOOKUP(BT$1,'Attrition Modeling'!$L$15:$N$27,IF(BT$2-$F35&lt;=24,2,3),FALSE))*(1+Projection!CA$16)*(1+IF(BT167&gt;0,'Attrition Modeling'!$N$9,0))),0))</f>
        <v>3175.3541143768593</v>
      </c>
      <c r="BU35" s="799">
        <f>IF(BU$2=$F35+1,Monthly!#REF!,IF(BU$2&gt;$F35+1,('Traditional Attrition'!BT35+BU167)*(1-IF(BU$2-$F35&lt;=12,SUMIFS('Attrition Modeling'!$D:$D,'Attrition Modeling'!$B:$B,'Traditional Attrition'!$E35,'Attrition Modeling'!$C:$C,'Traditional Attrition'!BU$1),VLOOKUP('Traditional Attrition'!BU$2-'Traditional Attrition'!$F35-1,'Traditional Attrition'!$A$7:$C$161,2,FALSE)*VLOOKUP(BU$1,'Attrition Modeling'!$L$15:$N$27,IF(BU$2-$F35&lt;=24,2,3),FALSE))*(1+Projection!CB$16)*(1+IF(BU167&gt;0,'Attrition Modeling'!$N$9,0))),0))</f>
        <v>3073.3335271271121</v>
      </c>
    </row>
    <row r="36" spans="1:73" ht="14.25" customHeight="1" x14ac:dyDescent="0.2">
      <c r="A36" s="9">
        <v>29</v>
      </c>
      <c r="B36" s="25">
        <f>MAX('Attrition Modeling'!H33,$C$3)*(1-Summary!$C$20)</f>
        <v>3.3473084141557072E-2</v>
      </c>
      <c r="C36" s="24" t="e">
        <f t="shared" si="4"/>
        <v>#DIV/0!</v>
      </c>
      <c r="E36" s="11">
        <f t="shared" si="2"/>
        <v>9</v>
      </c>
      <c r="F36" s="11">
        <f t="shared" si="3"/>
        <v>33</v>
      </c>
      <c r="G36" s="799"/>
      <c r="H36" s="799">
        <f>IF(H$2=$F36+1,Monthly!D$21,IF(H$2&gt;$F36+1,('Traditional Attrition'!G36+H168)*(1-IF(H$2-$F36&lt;=12,SUMIFS('Attrition Modeling'!$D:$D,'Attrition Modeling'!$B:$B,'Traditional Attrition'!$E36,'Attrition Modeling'!$C:$C,'Traditional Attrition'!H$1),VLOOKUP('Traditional Attrition'!H$2-'Traditional Attrition'!$F36-1,'Traditional Attrition'!$A$7:$C$161,2,FALSE)*VLOOKUP(H$1,'Attrition Modeling'!$L$15:$N$27,IF(H$2-$F36&lt;=24,2,3),FALSE))*(1+Projection!J$16)*(1+IF(H168&gt;0,'Attrition Modeling'!$N$9,0))),0))</f>
        <v>0</v>
      </c>
      <c r="I36" s="799">
        <f>IF(I$2=$F36+1,Monthly!E$21,IF(I$2&gt;$F36+1,('Traditional Attrition'!H36+I168)*(1-IF(I$2-$F36&lt;=12,SUMIFS('Attrition Modeling'!$D:$D,'Attrition Modeling'!$B:$B,'Traditional Attrition'!$E36,'Attrition Modeling'!$C:$C,'Traditional Attrition'!I$1),VLOOKUP('Traditional Attrition'!I$2-'Traditional Attrition'!$F36-1,'Traditional Attrition'!$A$7:$C$161,2,FALSE)*VLOOKUP(I$1,'Attrition Modeling'!$L$15:$N$27,IF(I$2-$F36&lt;=24,2,3),FALSE))*(1+Projection!K$16)*(1+IF(I168&gt;0,'Attrition Modeling'!$N$9,0))),0))</f>
        <v>0</v>
      </c>
      <c r="J36" s="799">
        <f>IF(J$2=$F36+1,Monthly!F$21,IF(J$2&gt;$F36+1,('Traditional Attrition'!I36+J168)*(1-IF(J$2-$F36&lt;=12,SUMIFS('Attrition Modeling'!$D:$D,'Attrition Modeling'!$B:$B,'Traditional Attrition'!$E36,'Attrition Modeling'!$C:$C,'Traditional Attrition'!J$1),VLOOKUP('Traditional Attrition'!J$2-'Traditional Attrition'!$F36-1,'Traditional Attrition'!$A$7:$C$161,2,FALSE)*VLOOKUP(J$1,'Attrition Modeling'!$L$15:$N$27,IF(J$2-$F36&lt;=24,2,3),FALSE))*(1+Projection!L$16)*(1+IF(J168&gt;0,'Attrition Modeling'!$N$9,0))),0))</f>
        <v>0</v>
      </c>
      <c r="K36" s="799">
        <f>IF(K$2=$F36+1,Monthly!G$21,IF(K$2&gt;$F36+1,('Traditional Attrition'!J36+K168)*(1-IF(K$2-$F36&lt;=12,SUMIFS('Attrition Modeling'!$D:$D,'Attrition Modeling'!$B:$B,'Traditional Attrition'!$E36,'Attrition Modeling'!$C:$C,'Traditional Attrition'!K$1),VLOOKUP('Traditional Attrition'!K$2-'Traditional Attrition'!$F36-1,'Traditional Attrition'!$A$7:$C$161,2,FALSE)*VLOOKUP(K$1,'Attrition Modeling'!$L$15:$N$27,IF(K$2-$F36&lt;=24,2,3),FALSE))*(1+Projection!M$16)*(1+IF(K168&gt;0,'Attrition Modeling'!$N$9,0))),0))</f>
        <v>0</v>
      </c>
      <c r="L36" s="799">
        <f>IF(L$2=$F36+1,Monthly!H$21,IF(L$2&gt;$F36+1,('Traditional Attrition'!K36+L168)*(1-IF(L$2-$F36&lt;=12,SUMIFS('Attrition Modeling'!$D:$D,'Attrition Modeling'!$B:$B,'Traditional Attrition'!$E36,'Attrition Modeling'!$C:$C,'Traditional Attrition'!L$1),VLOOKUP('Traditional Attrition'!L$2-'Traditional Attrition'!$F36-1,'Traditional Attrition'!$A$7:$C$161,2,FALSE)*VLOOKUP(L$1,'Attrition Modeling'!$L$15:$N$27,IF(L$2-$F36&lt;=24,2,3),FALSE))*(1+Projection!N$16)*(1+IF(L168&gt;0,'Attrition Modeling'!$N$9,0))),0))</f>
        <v>0</v>
      </c>
      <c r="M36" s="799">
        <f>IF(M$2=$F36+1,Monthly!I$21,IF(M$2&gt;$F36+1,('Traditional Attrition'!L36+M168)*(1-IF(M$2-$F36&lt;=12,SUMIFS('Attrition Modeling'!$D:$D,'Attrition Modeling'!$B:$B,'Traditional Attrition'!$E36,'Attrition Modeling'!$C:$C,'Traditional Attrition'!M$1),VLOOKUP('Traditional Attrition'!M$2-'Traditional Attrition'!$F36-1,'Traditional Attrition'!$A$7:$C$161,2,FALSE)*VLOOKUP(M$1,'Attrition Modeling'!$L$15:$N$27,IF(M$2-$F36&lt;=24,2,3),FALSE))*(1+Projection!O$16)*(1+IF(M168&gt;0,'Attrition Modeling'!$N$9,0))),0))</f>
        <v>0</v>
      </c>
      <c r="N36" s="799">
        <f>IF(N$2=$F36+1,Monthly!J$21,IF(N$2&gt;$F36+1,('Traditional Attrition'!M36+N168)*(1-IF(N$2-$F36&lt;=12,SUMIFS('Attrition Modeling'!$D:$D,'Attrition Modeling'!$B:$B,'Traditional Attrition'!$E36,'Attrition Modeling'!$C:$C,'Traditional Attrition'!N$1),VLOOKUP('Traditional Attrition'!N$2-'Traditional Attrition'!$F36-1,'Traditional Attrition'!$A$7:$C$161,2,FALSE)*VLOOKUP(N$1,'Attrition Modeling'!$L$15:$N$27,IF(N$2-$F36&lt;=24,2,3),FALSE))*(1+Projection!P$16)*(1+IF(N168&gt;0,'Attrition Modeling'!$N$9,0))),0))</f>
        <v>0</v>
      </c>
      <c r="O36" s="799">
        <f>IF(O$2=$F36+1,Monthly!K$21,IF(O$2&gt;$F36+1,('Traditional Attrition'!N36+O168)*(1-IF(O$2-$F36&lt;=12,SUMIFS('Attrition Modeling'!$D:$D,'Attrition Modeling'!$B:$B,'Traditional Attrition'!$E36,'Attrition Modeling'!$C:$C,'Traditional Attrition'!O$1),VLOOKUP('Traditional Attrition'!O$2-'Traditional Attrition'!$F36-1,'Traditional Attrition'!$A$7:$C$161,2,FALSE)*VLOOKUP(O$1,'Attrition Modeling'!$L$15:$N$27,IF(O$2-$F36&lt;=24,2,3),FALSE))*(1+Projection!Q$16)*(1+IF(O168&gt;0,'Attrition Modeling'!$N$9,0))),0))</f>
        <v>0</v>
      </c>
      <c r="P36" s="799">
        <f>IF(P$2=$F36+1,Monthly!L$21,IF(P$2&gt;$F36+1,('Traditional Attrition'!O36+P168)*(1-IF(P$2-$F36&lt;=12,SUMIFS('Attrition Modeling'!$D:$D,'Attrition Modeling'!$B:$B,'Traditional Attrition'!$E36,'Attrition Modeling'!$C:$C,'Traditional Attrition'!P$1),VLOOKUP('Traditional Attrition'!P$2-'Traditional Attrition'!$F36-1,'Traditional Attrition'!$A$7:$C$161,2,FALSE)*VLOOKUP(P$1,'Attrition Modeling'!$L$15:$N$27,IF(P$2-$F36&lt;=24,2,3),FALSE))*(1+Projection!R$16)*(1+IF(P168&gt;0,'Attrition Modeling'!$N$9,0))),0))</f>
        <v>0</v>
      </c>
      <c r="Q36" s="799">
        <f>IF(Q$2=$F36+1,Monthly!M$21,IF(Q$2&gt;$F36+1,('Traditional Attrition'!P36+Q168)*(1-IF(Q$2-$F36&lt;=12,SUMIFS('Attrition Modeling'!$D:$D,'Attrition Modeling'!$B:$B,'Traditional Attrition'!$E36,'Attrition Modeling'!$C:$C,'Traditional Attrition'!Q$1),VLOOKUP('Traditional Attrition'!Q$2-'Traditional Attrition'!$F36-1,'Traditional Attrition'!$A$7:$C$161,2,FALSE)*VLOOKUP(Q$1,'Attrition Modeling'!$L$15:$N$27,IF(Q$2-$F36&lt;=24,2,3),FALSE))*(1+Projection!S$16)*(1+IF(Q168&gt;0,'Attrition Modeling'!$N$9,0))),0))</f>
        <v>0</v>
      </c>
      <c r="R36" s="799">
        <f>IF(R$2=$F36+1,Monthly!N$21,IF(R$2&gt;$F36+1,('Traditional Attrition'!Q36+R168)*(1-IF(R$2-$F36&lt;=12,SUMIFS('Attrition Modeling'!$D:$D,'Attrition Modeling'!$B:$B,'Traditional Attrition'!$E36,'Attrition Modeling'!$C:$C,'Traditional Attrition'!R$1),VLOOKUP('Traditional Attrition'!R$2-'Traditional Attrition'!$F36-1,'Traditional Attrition'!$A$7:$C$161,2,FALSE)*VLOOKUP(R$1,'Attrition Modeling'!$L$15:$N$27,IF(R$2-$F36&lt;=24,2,3),FALSE))*(1+Projection!T$16)*(1+IF(R168&gt;0,'Attrition Modeling'!$N$9,0))),0))</f>
        <v>0</v>
      </c>
      <c r="S36" s="799">
        <f>IF(S$2=$F36+1,Monthly!O$21,IF(S$2&gt;$F36+1,('Traditional Attrition'!R36+S168)*(1-IF(S$2-$F36&lt;=12,SUMIFS('Attrition Modeling'!$D:$D,'Attrition Modeling'!$B:$B,'Traditional Attrition'!$E36,'Attrition Modeling'!$C:$C,'Traditional Attrition'!S$1),VLOOKUP('Traditional Attrition'!S$2-'Traditional Attrition'!$F36-1,'Traditional Attrition'!$A$7:$C$161,2,FALSE)*VLOOKUP(S$1,'Attrition Modeling'!$L$15:$N$27,IF(S$2-$F36&lt;=24,2,3),FALSE))*(1+Projection!U$16)*(1+IF(S168&gt;0,'Attrition Modeling'!$N$9,0))),0))</f>
        <v>0</v>
      </c>
      <c r="T36" s="799">
        <f>IF(T$2=$F36+1,Monthly!P$21,IF(T$2&gt;$F36+1,('Traditional Attrition'!S36+T168)*(1-IF(T$2-$F36&lt;=12,SUMIFS('Attrition Modeling'!$D:$D,'Attrition Modeling'!$B:$B,'Traditional Attrition'!$E36,'Attrition Modeling'!$C:$C,'Traditional Attrition'!T$1),VLOOKUP('Traditional Attrition'!T$2-'Traditional Attrition'!$F36-1,'Traditional Attrition'!$A$7:$C$161,2,FALSE)*VLOOKUP(T$1,'Attrition Modeling'!$L$15:$N$27,IF(T$2-$F36&lt;=24,2,3),FALSE))*(1+Projection!V$16)*(1+IF(T168&gt;0,'Attrition Modeling'!$N$9,0))),0))</f>
        <v>0</v>
      </c>
      <c r="U36" s="799">
        <f>IF(U$2=$F36+1,Monthly!Q$21,IF(U$2&gt;$F36+1,('Traditional Attrition'!T36+U168)*(1-IF(U$2-$F36&lt;=12,SUMIFS('Attrition Modeling'!$D:$D,'Attrition Modeling'!$B:$B,'Traditional Attrition'!$E36,'Attrition Modeling'!$C:$C,'Traditional Attrition'!U$1),VLOOKUP('Traditional Attrition'!U$2-'Traditional Attrition'!$F36-1,'Traditional Attrition'!$A$7:$C$161,2,FALSE)*VLOOKUP(U$1,'Attrition Modeling'!$L$15:$N$27,IF(U$2-$F36&lt;=24,2,3),FALSE))*(1+Projection!W$16)*(1+IF(U168&gt;0,'Attrition Modeling'!$N$9,0))),0))</f>
        <v>0</v>
      </c>
      <c r="V36" s="799">
        <f>IF(V$2=$F36+1,Monthly!R$21,IF(V$2&gt;$F36+1,('Traditional Attrition'!U36+V168)*(1-IF(V$2-$F36&lt;=12,SUMIFS('Attrition Modeling'!$D:$D,'Attrition Modeling'!$B:$B,'Traditional Attrition'!$E36,'Attrition Modeling'!$C:$C,'Traditional Attrition'!V$1),VLOOKUP('Traditional Attrition'!V$2-'Traditional Attrition'!$F36-1,'Traditional Attrition'!$A$7:$C$161,2,FALSE)*VLOOKUP(V$1,'Attrition Modeling'!$L$15:$N$27,IF(V$2-$F36&lt;=24,2,3),FALSE))*(1+Projection!X$16)*(1+IF(V168&gt;0,'Attrition Modeling'!$N$9,0))),0))</f>
        <v>0</v>
      </c>
      <c r="W36" s="799">
        <f>IF(W$2=$F36+1,Monthly!S$21,IF(W$2&gt;$F36+1,('Traditional Attrition'!V36+W168)*(1-IF(W$2-$F36&lt;=12,SUMIFS('Attrition Modeling'!$D:$D,'Attrition Modeling'!$B:$B,'Traditional Attrition'!$E36,'Attrition Modeling'!$C:$C,'Traditional Attrition'!W$1),VLOOKUP('Traditional Attrition'!W$2-'Traditional Attrition'!$F36-1,'Traditional Attrition'!$A$7:$C$161,2,FALSE)*VLOOKUP(W$1,'Attrition Modeling'!$L$15:$N$27,IF(W$2-$F36&lt;=24,2,3),FALSE))*(1+Projection!Y$16)*(1+IF(W168&gt;0,'Attrition Modeling'!$N$9,0))),0))</f>
        <v>0</v>
      </c>
      <c r="X36" s="799">
        <f>IF(X$2=$F36+1,Monthly!T$21,IF(X$2&gt;$F36+1,('Traditional Attrition'!W36+X168)*(1-IF(X$2-$F36&lt;=12,SUMIFS('Attrition Modeling'!$D:$D,'Attrition Modeling'!$B:$B,'Traditional Attrition'!$E36,'Attrition Modeling'!$C:$C,'Traditional Attrition'!X$1),VLOOKUP('Traditional Attrition'!X$2-'Traditional Attrition'!$F36-1,'Traditional Attrition'!$A$7:$C$161,2,FALSE)*VLOOKUP(X$1,'Attrition Modeling'!$L$15:$N$27,IF(X$2-$F36&lt;=24,2,3),FALSE))*(1+Projection!Z$16)*(1+IF(X168&gt;0,'Attrition Modeling'!$N$9,0))),0))</f>
        <v>0</v>
      </c>
      <c r="Y36" s="799">
        <f>IF(Y$2=$F36+1,Monthly!U$21,IF(Y$2&gt;$F36+1,('Traditional Attrition'!X36+Y168)*(1-IF(Y$2-$F36&lt;=12,SUMIFS('Attrition Modeling'!$D:$D,'Attrition Modeling'!$B:$B,'Traditional Attrition'!$E36,'Attrition Modeling'!$C:$C,'Traditional Attrition'!Y$1),VLOOKUP('Traditional Attrition'!Y$2-'Traditional Attrition'!$F36-1,'Traditional Attrition'!$A$7:$C$161,2,FALSE)*VLOOKUP(Y$1,'Attrition Modeling'!$L$15:$N$27,IF(Y$2-$F36&lt;=24,2,3),FALSE))*(1+Projection!AA$16)*(1+IF(Y168&gt;0,'Attrition Modeling'!$N$9,0))),0))</f>
        <v>0</v>
      </c>
      <c r="Z36" s="799">
        <f>IF(Z$2=$F36+1,Monthly!V$21,IF(Z$2&gt;$F36+1,('Traditional Attrition'!Y36+Z168)*(1-IF(Z$2-$F36&lt;=12,SUMIFS('Attrition Modeling'!$D:$D,'Attrition Modeling'!$B:$B,'Traditional Attrition'!$E36,'Attrition Modeling'!$C:$C,'Traditional Attrition'!Z$1),VLOOKUP('Traditional Attrition'!Z$2-'Traditional Attrition'!$F36-1,'Traditional Attrition'!$A$7:$C$161,2,FALSE)*VLOOKUP(Z$1,'Attrition Modeling'!$L$15:$N$27,IF(Z$2-$F36&lt;=24,2,3),FALSE))*(1+Projection!AB$16)*(1+IF(Z168&gt;0,'Attrition Modeling'!$N$9,0))),0))</f>
        <v>0</v>
      </c>
      <c r="AA36" s="799">
        <f>IF(AA$2=$F36+1,Monthly!W$21,IF(AA$2&gt;$F36+1,('Traditional Attrition'!Z36+AA168)*(1-IF(AA$2-$F36&lt;=12,SUMIFS('Attrition Modeling'!$D:$D,'Attrition Modeling'!$B:$B,'Traditional Attrition'!$E36,'Attrition Modeling'!$C:$C,'Traditional Attrition'!AA$1),VLOOKUP('Traditional Attrition'!AA$2-'Traditional Attrition'!$F36-1,'Traditional Attrition'!$A$7:$C$161,2,FALSE)*VLOOKUP(AA$1,'Attrition Modeling'!$L$15:$N$27,IF(AA$2-$F36&lt;=24,2,3),FALSE))*(1+Projection!AC$16)*(1+IF(AA168&gt;0,'Attrition Modeling'!$N$9,0))),0))</f>
        <v>0</v>
      </c>
      <c r="AB36" s="799">
        <f>IF(AB$2=$F36+1,Monthly!X$21,IF(AB$2&gt;$F36+1,('Traditional Attrition'!AA36+AB168)*(1-IF(AB$2-$F36&lt;=12,SUMIFS('Attrition Modeling'!$D:$D,'Attrition Modeling'!$B:$B,'Traditional Attrition'!$E36,'Attrition Modeling'!$C:$C,'Traditional Attrition'!AB$1),VLOOKUP('Traditional Attrition'!AB$2-'Traditional Attrition'!$F36-1,'Traditional Attrition'!$A$7:$C$161,2,FALSE)*VLOOKUP(AB$1,'Attrition Modeling'!$L$15:$N$27,IF(AB$2-$F36&lt;=24,2,3),FALSE))*(1+Projection!AD$16)*(1+IF(AB168&gt;0,'Attrition Modeling'!$N$9,0))),0))</f>
        <v>0</v>
      </c>
      <c r="AC36" s="799">
        <f>IF(AC$2=$F36+1,Monthly!Y$21,IF(AC$2&gt;$F36+1,('Traditional Attrition'!AB36+AC168)*(1-IF(AC$2-$F36&lt;=12,SUMIFS('Attrition Modeling'!$D:$D,'Attrition Modeling'!$B:$B,'Traditional Attrition'!$E36,'Attrition Modeling'!$C:$C,'Traditional Attrition'!AC$1),VLOOKUP('Traditional Attrition'!AC$2-'Traditional Attrition'!$F36-1,'Traditional Attrition'!$A$7:$C$161,2,FALSE)*VLOOKUP(AC$1,'Attrition Modeling'!$L$15:$N$27,IF(AC$2-$F36&lt;=24,2,3),FALSE))*(1+Projection!AE$16)*(1+IF(AC168&gt;0,'Attrition Modeling'!$N$9,0))),0))</f>
        <v>0</v>
      </c>
      <c r="AD36" s="799">
        <f>IF(AD$2=$F36+1,Monthly!Z$21,IF(AD$2&gt;$F36+1,('Traditional Attrition'!AC36+AD168)*(1-IF(AD$2-$F36&lt;=12,SUMIFS('Attrition Modeling'!$D:$D,'Attrition Modeling'!$B:$B,'Traditional Attrition'!$E36,'Attrition Modeling'!$C:$C,'Traditional Attrition'!AD$1),VLOOKUP('Traditional Attrition'!AD$2-'Traditional Attrition'!$F36-1,'Traditional Attrition'!$A$7:$C$161,2,FALSE)*VLOOKUP(AD$1,'Attrition Modeling'!$L$15:$N$27,IF(AD$2-$F36&lt;=24,2,3),FALSE))*(1+Projection!AF$16)*(1+IF(AD168&gt;0,'Attrition Modeling'!$N$9,0))),0))</f>
        <v>0</v>
      </c>
      <c r="AE36" s="799">
        <f>IF(AE$2=$F36+1,Monthly!AA$21,IF(AE$2&gt;$F36+1,('Traditional Attrition'!AD36+AE168)*(1-IF(AE$2-$F36&lt;=12,SUMIFS('Attrition Modeling'!$D:$D,'Attrition Modeling'!$B:$B,'Traditional Attrition'!$E36,'Attrition Modeling'!$C:$C,'Traditional Attrition'!AE$1),VLOOKUP('Traditional Attrition'!AE$2-'Traditional Attrition'!$F36-1,'Traditional Attrition'!$A$7:$C$161,2,FALSE)*VLOOKUP(AE$1,'Attrition Modeling'!$L$15:$N$27,IF(AE$2-$F36&lt;=24,2,3),FALSE))*(1+Projection!AG$16)*(1+IF(AE168&gt;0,'Attrition Modeling'!$N$9,0))),0))</f>
        <v>0</v>
      </c>
      <c r="AF36" s="799">
        <f>IF(AF$2=$F36+1,Monthly!AB$21,IF(AF$2&gt;$F36+1,('Traditional Attrition'!AE36+AF168)*(1-IF(AF$2-$F36&lt;=12,SUMIFS('Attrition Modeling'!$D:$D,'Attrition Modeling'!$B:$B,'Traditional Attrition'!$E36,'Attrition Modeling'!$C:$C,'Traditional Attrition'!AF$1),VLOOKUP('Traditional Attrition'!AF$2-'Traditional Attrition'!$F36-1,'Traditional Attrition'!$A$7:$C$161,2,FALSE)*VLOOKUP(AF$1,'Attrition Modeling'!$L$15:$N$27,IF(AF$2-$F36&lt;=24,2,3),FALSE))*(1+Projection!AH$16)*(1+IF(AF168&gt;0,'Attrition Modeling'!$N$9,0))),0))</f>
        <v>0</v>
      </c>
      <c r="AG36" s="799">
        <f>IF(AG$2=$F36+1,Monthly!AC$21,IF(AG$2&gt;$F36+1,('Traditional Attrition'!AF36+AG168)*(1-IF(AG$2-$F36&lt;=12,SUMIFS('Attrition Modeling'!$D:$D,'Attrition Modeling'!$B:$B,'Traditional Attrition'!$E36,'Attrition Modeling'!$C:$C,'Traditional Attrition'!AG$1),VLOOKUP('Traditional Attrition'!AG$2-'Traditional Attrition'!$F36-1,'Traditional Attrition'!$A$7:$C$161,2,FALSE)*VLOOKUP(AG$1,'Attrition Modeling'!$L$15:$N$27,IF(AG$2-$F36&lt;=24,2,3),FALSE))*(1+Projection!AI$16)*(1+IF(AG168&gt;0,'Attrition Modeling'!$N$9,0))),0))</f>
        <v>0</v>
      </c>
      <c r="AH36" s="799">
        <f>IF(AH$2=$F36+1,Monthly!AD$21,IF(AH$2&gt;$F36+1,('Traditional Attrition'!AG36+AH168)*(1-IF(AH$2-$F36&lt;=12,SUMIFS('Attrition Modeling'!$D:$D,'Attrition Modeling'!$B:$B,'Traditional Attrition'!$E36,'Attrition Modeling'!$C:$C,'Traditional Attrition'!AH$1),VLOOKUP('Traditional Attrition'!AH$2-'Traditional Attrition'!$F36-1,'Traditional Attrition'!$A$7:$C$161,2,FALSE)*VLOOKUP(AH$1,'Attrition Modeling'!$L$15:$N$27,IF(AH$2-$F36&lt;=24,2,3),FALSE))*(1+Projection!AJ$16)*(1+IF(AH168&gt;0,'Attrition Modeling'!$N$9,0))),0))</f>
        <v>0</v>
      </c>
      <c r="AI36" s="799">
        <f>IF(AI$2=$F36+1,Monthly!AE$21,IF(AI$2&gt;$F36+1,('Traditional Attrition'!AH36+AI168)*(1-IF(AI$2-$F36&lt;=12,SUMIFS('Attrition Modeling'!$D:$D,'Attrition Modeling'!$B:$B,'Traditional Attrition'!$E36,'Attrition Modeling'!$C:$C,'Traditional Attrition'!AI$1),VLOOKUP('Traditional Attrition'!AI$2-'Traditional Attrition'!$F36-1,'Traditional Attrition'!$A$7:$C$161,2,FALSE)*VLOOKUP(AI$1,'Attrition Modeling'!$L$15:$N$27,IF(AI$2-$F36&lt;=24,2,3),FALSE))*(1+Projection!AK$16)*(1+IF(AI168&gt;0,'Attrition Modeling'!$N$9,0))),0))</f>
        <v>0</v>
      </c>
      <c r="AJ36" s="799">
        <f>IF(AJ$2=$F36+1,Monthly!AF$21,IF(AJ$2&gt;$F36+1,('Traditional Attrition'!AI36+AJ168)*(1-IF(AJ$2-$F36&lt;=12,SUMIFS('Attrition Modeling'!$D:$D,'Attrition Modeling'!$B:$B,'Traditional Attrition'!$E36,'Attrition Modeling'!$C:$C,'Traditional Attrition'!AJ$1),VLOOKUP('Traditional Attrition'!AJ$2-'Traditional Attrition'!$F36-1,'Traditional Attrition'!$A$7:$C$161,2,FALSE)*VLOOKUP(AJ$1,'Attrition Modeling'!$L$15:$N$27,IF(AJ$2-$F36&lt;=24,2,3),FALSE))*(1+Projection!AL$16)*(1+IF(AJ168&gt;0,'Attrition Modeling'!$N$9,0))),0))</f>
        <v>0</v>
      </c>
      <c r="AK36" s="799">
        <f>IF(AK$2=$F36+1,Monthly!AG$21,IF(AK$2&gt;$F36+1,('Traditional Attrition'!AJ36+AK168)*(1-IF(AK$2-$F36&lt;=12,SUMIFS('Attrition Modeling'!$D:$D,'Attrition Modeling'!$B:$B,'Traditional Attrition'!$E36,'Attrition Modeling'!$C:$C,'Traditional Attrition'!AK$1),VLOOKUP('Traditional Attrition'!AK$2-'Traditional Attrition'!$F36-1,'Traditional Attrition'!$A$7:$C$161,2,FALSE)*VLOOKUP(AK$1,'Attrition Modeling'!$L$15:$N$27,IF(AK$2-$F36&lt;=24,2,3),FALSE))*(1+Projection!AM$16)*(1+IF(AK168&gt;0,'Attrition Modeling'!$N$9,0))),0))</f>
        <v>0</v>
      </c>
      <c r="AL36" s="799">
        <f>IF(AL$2=$F36+1,Monthly!AH$21,IF(AL$2&gt;$F36+1,('Traditional Attrition'!AK36+AL168)*(1-IF(AL$2-$F36&lt;=12,SUMIFS('Attrition Modeling'!$D:$D,'Attrition Modeling'!$B:$B,'Traditional Attrition'!$E36,'Attrition Modeling'!$C:$C,'Traditional Attrition'!AL$1),VLOOKUP('Traditional Attrition'!AL$2-'Traditional Attrition'!$F36-1,'Traditional Attrition'!$A$7:$C$161,2,FALSE)*VLOOKUP(AL$1,'Attrition Modeling'!$L$15:$N$27,IF(AL$2-$F36&lt;=24,2,3),FALSE))*(1+Projection!AN$16)*(1+IF(AL168&gt;0,'Attrition Modeling'!$N$9,0))),0))</f>
        <v>0</v>
      </c>
      <c r="AM36" s="799">
        <f>IF(AM$2=$F36+1,Monthly!AI$21,IF(AM$2&gt;$F36+1,('Traditional Attrition'!AL36+AM168)*(1-IF(AM$2-$F36&lt;=12,SUMIFS('Attrition Modeling'!$D:$D,'Attrition Modeling'!$B:$B,'Traditional Attrition'!$E36,'Attrition Modeling'!$C:$C,'Traditional Attrition'!AM$1),VLOOKUP('Traditional Attrition'!AM$2-'Traditional Attrition'!$F36-1,'Traditional Attrition'!$A$7:$C$161,2,FALSE)*VLOOKUP(AM$1,'Attrition Modeling'!$L$15:$N$27,IF(AM$2-$F36&lt;=24,2,3),FALSE))*(1+Projection!AO$16)*(1+IF(AM168&gt;0,'Attrition Modeling'!$N$9,0))),0))</f>
        <v>0</v>
      </c>
      <c r="AN36" s="799">
        <f>IF(AN$2=$F36+1,Monthly!AJ$21,IF(AN$2&gt;$F36+1,('Traditional Attrition'!AM36+AN168)*(1-IF(AN$2-$F36&lt;=12,SUMIFS('Attrition Modeling'!$D:$D,'Attrition Modeling'!$B:$B,'Traditional Attrition'!$E36,'Attrition Modeling'!$C:$C,'Traditional Attrition'!AN$1),VLOOKUP('Traditional Attrition'!AN$2-'Traditional Attrition'!$F36-1,'Traditional Attrition'!$A$7:$C$161,2,FALSE)*VLOOKUP(AN$1,'Attrition Modeling'!$L$15:$N$27,IF(AN$2-$F36&lt;=24,2,3),FALSE))*(1+Projection!AP$16)*(1+IF(AN168&gt;0,'Attrition Modeling'!$N$9,0))),0))</f>
        <v>0</v>
      </c>
      <c r="AO36" s="799">
        <f>IF(AO$2=$F36+1,Monthly!AK$21,IF(AO$2&gt;$F36+1,('Traditional Attrition'!AN36+AO168)*(1-IF(AO$2-$F36&lt;=12,SUMIFS('Attrition Modeling'!$D:$D,'Attrition Modeling'!$B:$B,'Traditional Attrition'!$E36,'Attrition Modeling'!$C:$C,'Traditional Attrition'!AO$1),VLOOKUP('Traditional Attrition'!AO$2-'Traditional Attrition'!$F36-1,'Traditional Attrition'!$A$7:$C$161,2,FALSE)*VLOOKUP(AO$1,'Attrition Modeling'!$L$15:$N$27,IF(AO$2-$F36&lt;=24,2,3),FALSE))*(1+Projection!AQ$16)*(1+IF(AO168&gt;0,'Attrition Modeling'!$N$9,0))),0))</f>
        <v>13497.981999839187</v>
      </c>
      <c r="AP36" s="799">
        <f>IF(AP$2=$F36+1,Monthly!AL$21,IF(AP$2&gt;$F36+1,('Traditional Attrition'!AO36+AP168)*(1-IF(AP$2-$F36&lt;=12,SUMIFS('Attrition Modeling'!$D:$D,'Attrition Modeling'!$B:$B,'Traditional Attrition'!$E36,'Attrition Modeling'!$C:$C,'Traditional Attrition'!AP$1),VLOOKUP('Traditional Attrition'!AP$2-'Traditional Attrition'!$F36-1,'Traditional Attrition'!$A$7:$C$161,2,FALSE)*VLOOKUP(AP$1,'Attrition Modeling'!$L$15:$N$27,IF(AP$2-$F36&lt;=24,2,3),FALSE))*(1+Projection!AR$16)*(1+IF(AP168&gt;0,'Attrition Modeling'!$N$9,0))),0))</f>
        <v>12145.777109664696</v>
      </c>
      <c r="AQ36" s="799">
        <f>IF(AQ$2=$F36+1,Monthly!AM$21,IF(AQ$2&gt;$F36+1,('Traditional Attrition'!AP36+AQ168)*(1-IF(AQ$2-$F36&lt;=12,SUMIFS('Attrition Modeling'!$D:$D,'Attrition Modeling'!$B:$B,'Traditional Attrition'!$E36,'Attrition Modeling'!$C:$C,'Traditional Attrition'!AQ$1),VLOOKUP('Traditional Attrition'!AQ$2-'Traditional Attrition'!$F36-1,'Traditional Attrition'!$A$7:$C$161,2,FALSE)*VLOOKUP(AQ$1,'Attrition Modeling'!$L$15:$N$27,IF(AQ$2-$F36&lt;=24,2,3),FALSE))*(1+Projection!AS$16)*(1+IF(AQ168&gt;0,'Attrition Modeling'!$N$9,0))),0))</f>
        <v>11079.526300832416</v>
      </c>
      <c r="AR36" s="799">
        <f>IF(AR$2=$F36+1,Monthly!AN$21,IF(AR$2&gt;$F36+1,('Traditional Attrition'!AQ36+AR168)*(1-IF(AR$2-$F36&lt;=12,SUMIFS('Attrition Modeling'!$D:$D,'Attrition Modeling'!$B:$B,'Traditional Attrition'!$E36,'Attrition Modeling'!$C:$C,'Traditional Attrition'!AR$1),VLOOKUP('Traditional Attrition'!AR$2-'Traditional Attrition'!$F36-1,'Traditional Attrition'!$A$7:$C$161,2,FALSE)*VLOOKUP(AR$1,'Attrition Modeling'!$L$15:$N$27,IF(AR$2-$F36&lt;=24,2,3),FALSE))*(1+Projection!AT$16)*(1+IF(AR168&gt;0,'Attrition Modeling'!$N$9,0))),0))</f>
        <v>10172.895532941608</v>
      </c>
      <c r="AS36" s="799">
        <f>IF(AS$2=$F36+1,Monthly!AO$21,IF(AS$2&gt;$F36+1,('Traditional Attrition'!AR36+AS168)*(1-IF(AS$2-$F36&lt;=12,SUMIFS('Attrition Modeling'!$D:$D,'Attrition Modeling'!$B:$B,'Traditional Attrition'!$E36,'Attrition Modeling'!$C:$C,'Traditional Attrition'!AS$1),VLOOKUP('Traditional Attrition'!AS$2-'Traditional Attrition'!$F36-1,'Traditional Attrition'!$A$7:$C$161,2,FALSE)*VLOOKUP(AS$1,'Attrition Modeling'!$L$15:$N$27,IF(AS$2-$F36&lt;=24,2,3),FALSE))*(1+Projection!AU$16)*(1+IF(AS168&gt;0,'Attrition Modeling'!$N$9,0))),0))</f>
        <v>9422.4425554108348</v>
      </c>
      <c r="AT36" s="799">
        <f>IF(AT$2=$F36+1,Monthly!AP$21,IF(AT$2&gt;$F36+1,('Traditional Attrition'!AS36+AT168)*(1-IF(AT$2-$F36&lt;=12,SUMIFS('Attrition Modeling'!$D:$D,'Attrition Modeling'!$B:$B,'Traditional Attrition'!$E36,'Attrition Modeling'!$C:$C,'Traditional Attrition'!AT$1),VLOOKUP('Traditional Attrition'!AT$2-'Traditional Attrition'!$F36-1,'Traditional Attrition'!$A$7:$C$161,2,FALSE)*VLOOKUP(AT$1,'Attrition Modeling'!$L$15:$N$27,IF(AT$2-$F36&lt;=24,2,3),FALSE))*(1+Projection!AV$16)*(1+IF(AT168&gt;0,'Attrition Modeling'!$N$9,0))),0))</f>
        <v>9269.1483725358503</v>
      </c>
      <c r="AU36" s="799">
        <f>IF(AU$2=$F36+1,Monthly!AQ$21,IF(AU$2&gt;$F36+1,('Traditional Attrition'!AT36+AU168)*(1-IF(AU$2-$F36&lt;=12,SUMIFS('Attrition Modeling'!$D:$D,'Attrition Modeling'!$B:$B,'Traditional Attrition'!$E36,'Attrition Modeling'!$C:$C,'Traditional Attrition'!AU$1),VLOOKUP('Traditional Attrition'!AU$2-'Traditional Attrition'!$F36-1,'Traditional Attrition'!$A$7:$C$161,2,FALSE)*VLOOKUP(AU$1,'Attrition Modeling'!$L$15:$N$27,IF(AU$2-$F36&lt;=24,2,3),FALSE))*(1+Projection!AW$16)*(1+IF(AU168&gt;0,'Attrition Modeling'!$N$9,0))),0))</f>
        <v>8595.6116383004919</v>
      </c>
      <c r="AV36" s="799">
        <f>IF(AV$2=$F36+1,Monthly!AR$21,IF(AV$2&gt;$F36+1,('Traditional Attrition'!AU36+AV168)*(1-IF(AV$2-$F36&lt;=12,SUMIFS('Attrition Modeling'!$D:$D,'Attrition Modeling'!$B:$B,'Traditional Attrition'!$E36,'Attrition Modeling'!$C:$C,'Traditional Attrition'!AV$1),VLOOKUP('Traditional Attrition'!AV$2-'Traditional Attrition'!$F36-1,'Traditional Attrition'!$A$7:$C$161,2,FALSE)*VLOOKUP(AV$1,'Attrition Modeling'!$L$15:$N$27,IF(AV$2-$F36&lt;=24,2,3),FALSE))*(1+Projection!AX$16)*(1+IF(AV168&gt;0,'Attrition Modeling'!$N$9,0))),0))</f>
        <v>7984.117591492769</v>
      </c>
      <c r="AW36" s="799">
        <f>IF(AW$2=$F36+1,Monthly!AS$21,IF(AW$2&gt;$F36+1,('Traditional Attrition'!AV36+AW168)*(1-IF(AW$2-$F36&lt;=12,SUMIFS('Attrition Modeling'!$D:$D,'Attrition Modeling'!$B:$B,'Traditional Attrition'!$E36,'Attrition Modeling'!$C:$C,'Traditional Attrition'!AW$1),VLOOKUP('Traditional Attrition'!AW$2-'Traditional Attrition'!$F36-1,'Traditional Attrition'!$A$7:$C$161,2,FALSE)*VLOOKUP(AW$1,'Attrition Modeling'!$L$15:$N$27,IF(AW$2-$F36&lt;=24,2,3),FALSE))*(1+Projection!AY$16)*(1+IF(AW168&gt;0,'Attrition Modeling'!$N$9,0))),0))</f>
        <v>7434.3260644661423</v>
      </c>
      <c r="AX36" s="799">
        <f>IF(AX$2=$F36+1,Monthly!AT$21,IF(AX$2&gt;$F36+1,('Traditional Attrition'!AW36+AX168)*(1-IF(AX$2-$F36&lt;=12,SUMIFS('Attrition Modeling'!$D:$D,'Attrition Modeling'!$B:$B,'Traditional Attrition'!$E36,'Attrition Modeling'!$C:$C,'Traditional Attrition'!AX$1),VLOOKUP('Traditional Attrition'!AX$2-'Traditional Attrition'!$F36-1,'Traditional Attrition'!$A$7:$C$161,2,FALSE)*VLOOKUP(AX$1,'Attrition Modeling'!$L$15:$N$27,IF(AX$2-$F36&lt;=24,2,3),FALSE))*(1+Projection!AZ$16)*(1+IF(AX168&gt;0,'Attrition Modeling'!$N$9,0))),0))</f>
        <v>6977.9924850068637</v>
      </c>
      <c r="AY36" s="799">
        <f>IF(AY$2=$F36+1,Monthly!AU$21,IF(AY$2&gt;$F36+1,('Traditional Attrition'!AX36+AY168)*(1-IF(AY$2-$F36&lt;=12,SUMIFS('Attrition Modeling'!$D:$D,'Attrition Modeling'!$B:$B,'Traditional Attrition'!$E36,'Attrition Modeling'!$C:$C,'Traditional Attrition'!AY$1),VLOOKUP('Traditional Attrition'!AY$2-'Traditional Attrition'!$F36-1,'Traditional Attrition'!$A$7:$C$161,2,FALSE)*VLOOKUP(AY$1,'Attrition Modeling'!$L$15:$N$27,IF(AY$2-$F36&lt;=24,2,3),FALSE))*(1+Projection!BA$16)*(1+IF(AY168&gt;0,'Attrition Modeling'!$N$9,0))),0))</f>
        <v>6566.8576111611665</v>
      </c>
      <c r="AZ36" s="799">
        <f>IF(AZ$2=$F36+1,Monthly!AV$21,IF(AZ$2&gt;$F36+1,('Traditional Attrition'!AY36+AZ168)*(1-IF(AZ$2-$F36&lt;=12,SUMIFS('Attrition Modeling'!$D:$D,'Attrition Modeling'!$B:$B,'Traditional Attrition'!$E36,'Attrition Modeling'!$C:$C,'Traditional Attrition'!AZ$1),VLOOKUP('Traditional Attrition'!AZ$2-'Traditional Attrition'!$F36-1,'Traditional Attrition'!$A$7:$C$161,2,FALSE)*VLOOKUP(AZ$1,'Attrition Modeling'!$L$15:$N$27,IF(AZ$2-$F36&lt;=24,2,3),FALSE))*(1+Projection!BB$16)*(1+IF(AZ168&gt;0,'Attrition Modeling'!$N$9,0))),0))</f>
        <v>6285.5979176407636</v>
      </c>
      <c r="BA36" s="799">
        <f>IF(BA$2=$F36+1,Monthly!AW$21,IF(BA$2&gt;$F36+1,('Traditional Attrition'!AZ36+BA168)*(1-IF(BA$2-$F36&lt;=12,SUMIFS('Attrition Modeling'!$D:$D,'Attrition Modeling'!$B:$B,'Traditional Attrition'!$E36,'Attrition Modeling'!$C:$C,'Traditional Attrition'!BA$1),VLOOKUP('Traditional Attrition'!BA$2-'Traditional Attrition'!$F36-1,'Traditional Attrition'!$A$7:$C$161,2,FALSE)*VLOOKUP(BA$1,'Attrition Modeling'!$L$15:$N$27,IF(BA$2-$F36&lt;=24,2,3),FALSE))*(1+Projection!BC$16)*(1+IF(BA168&gt;0,'Attrition Modeling'!$N$9,0))),0))</f>
        <v>5930.4226326647231</v>
      </c>
      <c r="BB36" s="799">
        <f>IF(BB$2=$F36+1,Monthly!AX$21,IF(BB$2&gt;$F36+1,('Traditional Attrition'!BA36+BB168)*(1-IF(BB$2-$F36&lt;=12,SUMIFS('Attrition Modeling'!$D:$D,'Attrition Modeling'!$B:$B,'Traditional Attrition'!$E36,'Attrition Modeling'!$C:$C,'Traditional Attrition'!BB$1),VLOOKUP('Traditional Attrition'!BB$2-'Traditional Attrition'!$F36-1,'Traditional Attrition'!$A$7:$C$161,2,FALSE)*VLOOKUP(BB$1,'Attrition Modeling'!$L$15:$N$27,IF(BB$2-$F36&lt;=24,2,3),FALSE))*(1+Projection!BD$16)*(1+IF(BB168&gt;0,'Attrition Modeling'!$N$9,0))),0))</f>
        <v>5632.9537379233234</v>
      </c>
      <c r="BC36" s="799">
        <f>IF(BC$2=$F36+1,Monthly!AY$21,IF(BC$2&gt;$F36+1,('Traditional Attrition'!BB36+BC168)*(1-IF(BC$2-$F36&lt;=12,SUMIFS('Attrition Modeling'!$D:$D,'Attrition Modeling'!$B:$B,'Traditional Attrition'!$E36,'Attrition Modeling'!$C:$C,'Traditional Attrition'!BC$1),VLOOKUP('Traditional Attrition'!BC$2-'Traditional Attrition'!$F36-1,'Traditional Attrition'!$A$7:$C$161,2,FALSE)*VLOOKUP(BC$1,'Attrition Modeling'!$L$15:$N$27,IF(BC$2-$F36&lt;=24,2,3),FALSE))*(1+Projection!BE$16)*(1+IF(BC168&gt;0,'Attrition Modeling'!$N$9,0))),0))</f>
        <v>5367.0636988134393</v>
      </c>
      <c r="BD36" s="799">
        <f>IF(BD$2=$F36+1,Monthly!AZ$21,IF(BD$2&gt;$F36+1,('Traditional Attrition'!BC36+BD168)*(1-IF(BD$2-$F36&lt;=12,SUMIFS('Attrition Modeling'!$D:$D,'Attrition Modeling'!$B:$B,'Traditional Attrition'!$E36,'Attrition Modeling'!$C:$C,'Traditional Attrition'!BD$1),VLOOKUP('Traditional Attrition'!BD$2-'Traditional Attrition'!$F36-1,'Traditional Attrition'!$A$7:$C$161,2,FALSE)*VLOOKUP(BD$1,'Attrition Modeling'!$L$15:$N$27,IF(BD$2-$F36&lt;=24,2,3),FALSE))*(1+Projection!BF$16)*(1+IF(BD168&gt;0,'Attrition Modeling'!$N$9,0))),0))</f>
        <v>5122.758517209104</v>
      </c>
      <c r="BE36" s="799">
        <f>IF(BE$2=$F36+1,Monthly!BA$21,IF(BE$2&gt;$F36+1,('Traditional Attrition'!BD36+BE168)*(1-IF(BE$2-$F36&lt;=12,SUMIFS('Attrition Modeling'!$D:$D,'Attrition Modeling'!$B:$B,'Traditional Attrition'!$E36,'Attrition Modeling'!$C:$C,'Traditional Attrition'!BE$1),VLOOKUP('Traditional Attrition'!BE$2-'Traditional Attrition'!$F36-1,'Traditional Attrition'!$A$7:$C$161,2,FALSE)*VLOOKUP(BE$1,'Attrition Modeling'!$L$15:$N$27,IF(BE$2-$F36&lt;=24,2,3),FALSE))*(1+Projection!BG$16)*(1+IF(BE168&gt;0,'Attrition Modeling'!$N$9,0))),0))</f>
        <v>4918.5878091088916</v>
      </c>
      <c r="BF36" s="799">
        <f>IF(BF$2=$F36+1,Monthly!BB$21,IF(BF$2&gt;$F36+1,('Traditional Attrition'!BE36+BF168)*(1-IF(BF$2-$F36&lt;=12,SUMIFS('Attrition Modeling'!$D:$D,'Attrition Modeling'!$B:$B,'Traditional Attrition'!$E36,'Attrition Modeling'!$C:$C,'Traditional Attrition'!BF$1),VLOOKUP('Traditional Attrition'!BF$2-'Traditional Attrition'!$F36-1,'Traditional Attrition'!$A$7:$C$161,2,FALSE)*VLOOKUP(BF$1,'Attrition Modeling'!$L$15:$N$27,IF(BF$2-$F36&lt;=24,2,3),FALSE))*(1+Projection!BH$16)*(1+IF(BF168&gt;0,'Attrition Modeling'!$N$9,0))),0))</f>
        <v>5117.0643242006227</v>
      </c>
      <c r="BG36" s="799">
        <f>IF(BG$2=$F36+1,Monthly!BC$21,IF(BG$2&gt;$F36+1,('Traditional Attrition'!BF36+BG168)*(1-IF(BG$2-$F36&lt;=12,SUMIFS('Attrition Modeling'!$D:$D,'Attrition Modeling'!$B:$B,'Traditional Attrition'!$E36,'Attrition Modeling'!$C:$C,'Traditional Attrition'!BG$1),VLOOKUP('Traditional Attrition'!BG$2-'Traditional Attrition'!$F36-1,'Traditional Attrition'!$A$7:$C$161,2,FALSE)*VLOOKUP(BG$1,'Attrition Modeling'!$L$15:$N$27,IF(BG$2-$F36&lt;=24,2,3),FALSE))*(1+Projection!BI$16)*(1+IF(BG168&gt;0,'Attrition Modeling'!$N$9,0))),0))</f>
        <v>4908.755915662794</v>
      </c>
      <c r="BH36" s="799">
        <f>IF(BH$2=$F36+1,Monthly!BD$21,IF(BH$2&gt;$F36+1,('Traditional Attrition'!BG36+BH168)*(1-IF(BH$2-$F36&lt;=12,SUMIFS('Attrition Modeling'!$D:$D,'Attrition Modeling'!$B:$B,'Traditional Attrition'!$E36,'Attrition Modeling'!$C:$C,'Traditional Attrition'!BH$1),VLOOKUP('Traditional Attrition'!BH$2-'Traditional Attrition'!$F36-1,'Traditional Attrition'!$A$7:$C$161,2,FALSE)*VLOOKUP(BH$1,'Attrition Modeling'!$L$15:$N$27,IF(BH$2-$F36&lt;=24,2,3),FALSE))*(1+Projection!BJ$16)*(1+IF(BH168&gt;0,'Attrition Modeling'!$N$9,0))),0))</f>
        <v>4714.1241891069349</v>
      </c>
      <c r="BI36" s="799">
        <f>IF(BI$2=$F36+1,Monthly!BE$21,IF(BI$2&gt;$F36+1,('Traditional Attrition'!BH36+BI168)*(1-IF(BI$2-$F36&lt;=12,SUMIFS('Attrition Modeling'!$D:$D,'Attrition Modeling'!$B:$B,'Traditional Attrition'!$E36,'Attrition Modeling'!$C:$C,'Traditional Attrition'!BI$1),VLOOKUP('Traditional Attrition'!BI$2-'Traditional Attrition'!$F36-1,'Traditional Attrition'!$A$7:$C$161,2,FALSE)*VLOOKUP(BI$1,'Attrition Modeling'!$L$15:$N$27,IF(BI$2-$F36&lt;=24,2,3),FALSE))*(1+Projection!BK$16)*(1+IF(BI168&gt;0,'Attrition Modeling'!$N$9,0))),0))</f>
        <v>4512.4214330984705</v>
      </c>
      <c r="BJ36" s="799">
        <f>IF(BJ$2=$F36+1,Monthly!BF$21,IF(BJ$2&gt;$F36+1,('Traditional Attrition'!BI36+BJ168)*(1-IF(BJ$2-$F36&lt;=12,SUMIFS('Attrition Modeling'!$D:$D,'Attrition Modeling'!$B:$B,'Traditional Attrition'!$E36,'Attrition Modeling'!$C:$C,'Traditional Attrition'!BJ$1),VLOOKUP('Traditional Attrition'!BJ$2-'Traditional Attrition'!$F36-1,'Traditional Attrition'!$A$7:$C$161,2,FALSE)*VLOOKUP(BJ$1,'Attrition Modeling'!$L$15:$N$27,IF(BJ$2-$F36&lt;=24,2,3),FALSE))*(1+Projection!BL$16)*(1+IF(BJ168&gt;0,'Attrition Modeling'!$N$9,0))),0))</f>
        <v>4317.8516053101202</v>
      </c>
      <c r="BK36" s="799">
        <f>IF(BK$2=$F36+1,Monthly!BG$21,IF(BK$2&gt;$F36+1,('Traditional Attrition'!BJ36+BK168)*(1-IF(BK$2-$F36&lt;=12,SUMIFS('Attrition Modeling'!$D:$D,'Attrition Modeling'!$B:$B,'Traditional Attrition'!$E36,'Attrition Modeling'!$C:$C,'Traditional Attrition'!BK$1),VLOOKUP('Traditional Attrition'!BK$2-'Traditional Attrition'!$F36-1,'Traditional Attrition'!$A$7:$C$161,2,FALSE)*VLOOKUP(BK$1,'Attrition Modeling'!$L$15:$N$27,IF(BK$2-$F36&lt;=24,2,3),FALSE))*(1+Projection!BM$16)*(1+IF(BK168&gt;0,'Attrition Modeling'!$N$9,0))),0))</f>
        <v>4126.2146231809911</v>
      </c>
      <c r="BL36" s="799">
        <f>IF(BL$2=$F36+1,Monthly!BH$21,IF(BL$2&gt;$F36+1,('Traditional Attrition'!BK36+BL168)*(1-IF(BL$2-$F36&lt;=12,SUMIFS('Attrition Modeling'!$D:$D,'Attrition Modeling'!$B:$B,'Traditional Attrition'!$E36,'Attrition Modeling'!$C:$C,'Traditional Attrition'!BL$1),VLOOKUP('Traditional Attrition'!BL$2-'Traditional Attrition'!$F36-1,'Traditional Attrition'!$A$7:$C$161,2,FALSE)*VLOOKUP(BL$1,'Attrition Modeling'!$L$15:$N$27,IF(BL$2-$F36&lt;=24,2,3),FALSE))*(1+Projection!BN$16)*(1+IF(BL168&gt;0,'Attrition Modeling'!$N$9,0))),0))</f>
        <v>3961.4319655966951</v>
      </c>
      <c r="BM36" s="799">
        <f>IF(BM$2=$F36+1,Monthly!BI$21,IF(BM$2&gt;$F36+1,('Traditional Attrition'!BL36+BM168)*(1-IF(BM$2-$F36&lt;=12,SUMIFS('Attrition Modeling'!$D:$D,'Attrition Modeling'!$B:$B,'Traditional Attrition'!$E36,'Attrition Modeling'!$C:$C,'Traditional Attrition'!BM$1),VLOOKUP('Traditional Attrition'!BM$2-'Traditional Attrition'!$F36-1,'Traditional Attrition'!$A$7:$C$161,2,FALSE)*VLOOKUP(BM$1,'Attrition Modeling'!$L$15:$N$27,IF(BM$2-$F36&lt;=24,2,3),FALSE))*(1+Projection!BO$16)*(1+IF(BM168&gt;0,'Attrition Modeling'!$N$9,0))),0))</f>
        <v>3803.5620231052567</v>
      </c>
      <c r="BN36" s="799">
        <f>IF(BN$2=$F36+1,Monthly!BJ$21,IF(BN$2&gt;$F36+1,('Traditional Attrition'!BM36+BN168)*(1-IF(BN$2-$F36&lt;=12,SUMIFS('Attrition Modeling'!$D:$D,'Attrition Modeling'!$B:$B,'Traditional Attrition'!$E36,'Attrition Modeling'!$C:$C,'Traditional Attrition'!BN$1),VLOOKUP('Traditional Attrition'!BN$2-'Traditional Attrition'!$F36-1,'Traditional Attrition'!$A$7:$C$161,2,FALSE)*VLOOKUP(BN$1,'Attrition Modeling'!$L$15:$N$27,IF(BN$2-$F36&lt;=24,2,3),FALSE))*(1+Projection!BP$16)*(1+IF(BN168&gt;0,'Attrition Modeling'!$N$9,0))),0))</f>
        <v>3657.4732405503673</v>
      </c>
      <c r="BO36" s="799">
        <f>IF(BO$2=$F36+1,Monthly!BK$21,IF(BO$2&gt;$F36+1,('Traditional Attrition'!BN36+BO168)*(1-IF(BO$2-$F36&lt;=12,SUMIFS('Attrition Modeling'!$D:$D,'Attrition Modeling'!$B:$B,'Traditional Attrition'!$E36,'Attrition Modeling'!$C:$C,'Traditional Attrition'!BO$1),VLOOKUP('Traditional Attrition'!BO$2-'Traditional Attrition'!$F36-1,'Traditional Attrition'!$A$7:$C$161,2,FALSE)*VLOOKUP(BO$1,'Attrition Modeling'!$L$15:$N$27,IF(BO$2-$F36&lt;=24,2,3),FALSE))*(1+Projection!BV$16)*(1+IF(BO168&gt;0,'Attrition Modeling'!$N$9,0))),0))</f>
        <v>3543.2775204858754</v>
      </c>
      <c r="BP36" s="799">
        <f>IF(BP$2=$F36+1,Monthly!BL$21,IF(BP$2&gt;$F36+1,('Traditional Attrition'!BO36+BP168)*(1-IF(BP$2-$F36&lt;=12,SUMIFS('Attrition Modeling'!$D:$D,'Attrition Modeling'!$B:$B,'Traditional Attrition'!$E36,'Attrition Modeling'!$C:$C,'Traditional Attrition'!BP$1),VLOOKUP('Traditional Attrition'!BP$2-'Traditional Attrition'!$F36-1,'Traditional Attrition'!$A$7:$C$161,2,FALSE)*VLOOKUP(BP$1,'Attrition Modeling'!$L$15:$N$27,IF(BP$2-$F36&lt;=24,2,3),FALSE))*(1+Projection!BW$16)*(1+IF(BP168&gt;0,'Attrition Modeling'!$N$9,0))),0))</f>
        <v>3422.4130294102715</v>
      </c>
      <c r="BQ36" s="799">
        <f>IF(BQ$2=$F36+1,Monthly!BM$21,IF(BQ$2&gt;$F36+1,('Traditional Attrition'!BP36+BQ168)*(1-IF(BQ$2-$F36&lt;=12,SUMIFS('Attrition Modeling'!$D:$D,'Attrition Modeling'!$B:$B,'Traditional Attrition'!$E36,'Attrition Modeling'!$C:$C,'Traditional Attrition'!BQ$1),VLOOKUP('Traditional Attrition'!BQ$2-'Traditional Attrition'!$F36-1,'Traditional Attrition'!$A$7:$C$161,2,FALSE)*VLOOKUP(BQ$1,'Attrition Modeling'!$L$15:$N$27,IF(BQ$2-$F36&lt;=24,2,3),FALSE))*(1+Projection!BX$16)*(1+IF(BQ168&gt;0,'Attrition Modeling'!$N$9,0))),0))</f>
        <v>3310.7868739865708</v>
      </c>
      <c r="BR36" s="799">
        <f>IF(BR$2=$F36+1,Monthly!BN$21,IF(BR$2&gt;$F36+1,('Traditional Attrition'!BQ36+BR168)*(1-IF(BR$2-$F36&lt;=12,SUMIFS('Attrition Modeling'!$D:$D,'Attrition Modeling'!$B:$B,'Traditional Attrition'!$E36,'Attrition Modeling'!$C:$C,'Traditional Attrition'!BR$1),VLOOKUP('Traditional Attrition'!BR$2-'Traditional Attrition'!$F36-1,'Traditional Attrition'!$A$7:$C$161,2,FALSE)*VLOOKUP(BR$1,'Attrition Modeling'!$L$15:$N$27,IF(BR$2-$F36&lt;=24,2,3),FALSE))*(1+Projection!BY$16)*(1+IF(BR168&gt;0,'Attrition Modeling'!$N$9,0))),0))</f>
        <v>3494.275873640911</v>
      </c>
      <c r="BS36" s="799">
        <f>IF(BS$2=$F36+1,Monthly!BO$21,IF(BS$2&gt;$F36+1,('Traditional Attrition'!BR36+BS168)*(1-IF(BS$2-$F36&lt;=12,SUMIFS('Attrition Modeling'!$D:$D,'Attrition Modeling'!$B:$B,'Traditional Attrition'!$E36,'Attrition Modeling'!$C:$C,'Traditional Attrition'!BS$1),VLOOKUP('Traditional Attrition'!BS$2-'Traditional Attrition'!$F36-1,'Traditional Attrition'!$A$7:$C$161,2,FALSE)*VLOOKUP(BS$1,'Attrition Modeling'!$L$15:$N$27,IF(BS$2-$F36&lt;=24,2,3),FALSE))*(1+Projection!BZ$16)*(1+IF(BS168&gt;0,'Attrition Modeling'!$N$9,0))),0))</f>
        <v>3409.5880958851285</v>
      </c>
      <c r="BT36" s="799">
        <f>IF(BT$2=$F36+1,Monthly!#REF!,IF(BT$2&gt;$F36+1,('Traditional Attrition'!BS36+BT168)*(1-IF(BT$2-$F36&lt;=12,SUMIFS('Attrition Modeling'!$D:$D,'Attrition Modeling'!$B:$B,'Traditional Attrition'!$E36,'Attrition Modeling'!$C:$C,'Traditional Attrition'!BT$1),VLOOKUP('Traditional Attrition'!BT$2-'Traditional Attrition'!$F36-1,'Traditional Attrition'!$A$7:$C$161,2,FALSE)*VLOOKUP(BT$1,'Attrition Modeling'!$L$15:$N$27,IF(BT$2-$F36&lt;=24,2,3),FALSE))*(1+Projection!CA$16)*(1+IF(BT168&gt;0,'Attrition Modeling'!$N$9,0))),0))</f>
        <v>3311.0200640431708</v>
      </c>
      <c r="BU36" s="799">
        <f>IF(BU$2=$F36+1,Monthly!#REF!,IF(BU$2&gt;$F36+1,('Traditional Attrition'!BT36+BU168)*(1-IF(BU$2-$F36&lt;=12,SUMIFS('Attrition Modeling'!$D:$D,'Attrition Modeling'!$B:$B,'Traditional Attrition'!$E36,'Attrition Modeling'!$C:$C,'Traditional Attrition'!BU$1),VLOOKUP('Traditional Attrition'!BU$2-'Traditional Attrition'!$F36-1,'Traditional Attrition'!$A$7:$C$161,2,FALSE)*VLOOKUP(BU$1,'Attrition Modeling'!$L$15:$N$27,IF(BU$2-$F36&lt;=24,2,3),FALSE))*(1+Projection!CB$16)*(1+IF(BU168&gt;0,'Attrition Modeling'!$N$9,0))),0))</f>
        <v>3203.0568352117352</v>
      </c>
    </row>
    <row r="37" spans="1:73" ht="14.25" customHeight="1" x14ac:dyDescent="0.2">
      <c r="A37" s="9">
        <v>30</v>
      </c>
      <c r="B37" s="25">
        <f>MAX('Attrition Modeling'!H34,$C$3)*(1-Summary!$C$20)</f>
        <v>3.2956330586721552E-2</v>
      </c>
      <c r="C37" s="24" t="e">
        <f t="shared" si="4"/>
        <v>#DIV/0!</v>
      </c>
      <c r="E37" s="11">
        <f t="shared" si="2"/>
        <v>10</v>
      </c>
      <c r="F37" s="11">
        <f t="shared" si="3"/>
        <v>34</v>
      </c>
      <c r="G37" s="799"/>
      <c r="H37" s="799">
        <f>IF(H$2=$F37+1,Monthly!D$21,IF(H$2&gt;$F37+1,('Traditional Attrition'!G37+H169)*(1-IF(H$2-$F37&lt;=12,SUMIFS('Attrition Modeling'!$D:$D,'Attrition Modeling'!$B:$B,'Traditional Attrition'!$E37,'Attrition Modeling'!$C:$C,'Traditional Attrition'!H$1),VLOOKUP('Traditional Attrition'!H$2-'Traditional Attrition'!$F37-1,'Traditional Attrition'!$A$7:$C$161,2,FALSE)*VLOOKUP(H$1,'Attrition Modeling'!$L$15:$N$27,IF(H$2-$F37&lt;=24,2,3),FALSE))*(1+Projection!J$16)*(1+IF(H169&gt;0,'Attrition Modeling'!$N$9,0))),0))</f>
        <v>0</v>
      </c>
      <c r="I37" s="799">
        <f>IF(I$2=$F37+1,Monthly!E$21,IF(I$2&gt;$F37+1,('Traditional Attrition'!H37+I169)*(1-IF(I$2-$F37&lt;=12,SUMIFS('Attrition Modeling'!$D:$D,'Attrition Modeling'!$B:$B,'Traditional Attrition'!$E37,'Attrition Modeling'!$C:$C,'Traditional Attrition'!I$1),VLOOKUP('Traditional Attrition'!I$2-'Traditional Attrition'!$F37-1,'Traditional Attrition'!$A$7:$C$161,2,FALSE)*VLOOKUP(I$1,'Attrition Modeling'!$L$15:$N$27,IF(I$2-$F37&lt;=24,2,3),FALSE))*(1+Projection!K$16)*(1+IF(I169&gt;0,'Attrition Modeling'!$N$9,0))),0))</f>
        <v>0</v>
      </c>
      <c r="J37" s="799">
        <f>IF(J$2=$F37+1,Monthly!F$21,IF(J$2&gt;$F37+1,('Traditional Attrition'!I37+J169)*(1-IF(J$2-$F37&lt;=12,SUMIFS('Attrition Modeling'!$D:$D,'Attrition Modeling'!$B:$B,'Traditional Attrition'!$E37,'Attrition Modeling'!$C:$C,'Traditional Attrition'!J$1),VLOOKUP('Traditional Attrition'!J$2-'Traditional Attrition'!$F37-1,'Traditional Attrition'!$A$7:$C$161,2,FALSE)*VLOOKUP(J$1,'Attrition Modeling'!$L$15:$N$27,IF(J$2-$F37&lt;=24,2,3),FALSE))*(1+Projection!L$16)*(1+IF(J169&gt;0,'Attrition Modeling'!$N$9,0))),0))</f>
        <v>0</v>
      </c>
      <c r="K37" s="799">
        <f>IF(K$2=$F37+1,Monthly!G$21,IF(K$2&gt;$F37+1,('Traditional Attrition'!J37+K169)*(1-IF(K$2-$F37&lt;=12,SUMIFS('Attrition Modeling'!$D:$D,'Attrition Modeling'!$B:$B,'Traditional Attrition'!$E37,'Attrition Modeling'!$C:$C,'Traditional Attrition'!K$1),VLOOKUP('Traditional Attrition'!K$2-'Traditional Attrition'!$F37-1,'Traditional Attrition'!$A$7:$C$161,2,FALSE)*VLOOKUP(K$1,'Attrition Modeling'!$L$15:$N$27,IF(K$2-$F37&lt;=24,2,3),FALSE))*(1+Projection!M$16)*(1+IF(K169&gt;0,'Attrition Modeling'!$N$9,0))),0))</f>
        <v>0</v>
      </c>
      <c r="L37" s="799">
        <f>IF(L$2=$F37+1,Monthly!H$21,IF(L$2&gt;$F37+1,('Traditional Attrition'!K37+L169)*(1-IF(L$2-$F37&lt;=12,SUMIFS('Attrition Modeling'!$D:$D,'Attrition Modeling'!$B:$B,'Traditional Attrition'!$E37,'Attrition Modeling'!$C:$C,'Traditional Attrition'!L$1),VLOOKUP('Traditional Attrition'!L$2-'Traditional Attrition'!$F37-1,'Traditional Attrition'!$A$7:$C$161,2,FALSE)*VLOOKUP(L$1,'Attrition Modeling'!$L$15:$N$27,IF(L$2-$F37&lt;=24,2,3),FALSE))*(1+Projection!N$16)*(1+IF(L169&gt;0,'Attrition Modeling'!$N$9,0))),0))</f>
        <v>0</v>
      </c>
      <c r="M37" s="799">
        <f>IF(M$2=$F37+1,Monthly!I$21,IF(M$2&gt;$F37+1,('Traditional Attrition'!L37+M169)*(1-IF(M$2-$F37&lt;=12,SUMIFS('Attrition Modeling'!$D:$D,'Attrition Modeling'!$B:$B,'Traditional Attrition'!$E37,'Attrition Modeling'!$C:$C,'Traditional Attrition'!M$1),VLOOKUP('Traditional Attrition'!M$2-'Traditional Attrition'!$F37-1,'Traditional Attrition'!$A$7:$C$161,2,FALSE)*VLOOKUP(M$1,'Attrition Modeling'!$L$15:$N$27,IF(M$2-$F37&lt;=24,2,3),FALSE))*(1+Projection!O$16)*(1+IF(M169&gt;0,'Attrition Modeling'!$N$9,0))),0))</f>
        <v>0</v>
      </c>
      <c r="N37" s="799">
        <f>IF(N$2=$F37+1,Monthly!J$21,IF(N$2&gt;$F37+1,('Traditional Attrition'!M37+N169)*(1-IF(N$2-$F37&lt;=12,SUMIFS('Attrition Modeling'!$D:$D,'Attrition Modeling'!$B:$B,'Traditional Attrition'!$E37,'Attrition Modeling'!$C:$C,'Traditional Attrition'!N$1),VLOOKUP('Traditional Attrition'!N$2-'Traditional Attrition'!$F37-1,'Traditional Attrition'!$A$7:$C$161,2,FALSE)*VLOOKUP(N$1,'Attrition Modeling'!$L$15:$N$27,IF(N$2-$F37&lt;=24,2,3),FALSE))*(1+Projection!P$16)*(1+IF(N169&gt;0,'Attrition Modeling'!$N$9,0))),0))</f>
        <v>0</v>
      </c>
      <c r="O37" s="799">
        <f>IF(O$2=$F37+1,Monthly!K$21,IF(O$2&gt;$F37+1,('Traditional Attrition'!N37+O169)*(1-IF(O$2-$F37&lt;=12,SUMIFS('Attrition Modeling'!$D:$D,'Attrition Modeling'!$B:$B,'Traditional Attrition'!$E37,'Attrition Modeling'!$C:$C,'Traditional Attrition'!O$1),VLOOKUP('Traditional Attrition'!O$2-'Traditional Attrition'!$F37-1,'Traditional Attrition'!$A$7:$C$161,2,FALSE)*VLOOKUP(O$1,'Attrition Modeling'!$L$15:$N$27,IF(O$2-$F37&lt;=24,2,3),FALSE))*(1+Projection!Q$16)*(1+IF(O169&gt;0,'Attrition Modeling'!$N$9,0))),0))</f>
        <v>0</v>
      </c>
      <c r="P37" s="799">
        <f>IF(P$2=$F37+1,Monthly!L$21,IF(P$2&gt;$F37+1,('Traditional Attrition'!O37+P169)*(1-IF(P$2-$F37&lt;=12,SUMIFS('Attrition Modeling'!$D:$D,'Attrition Modeling'!$B:$B,'Traditional Attrition'!$E37,'Attrition Modeling'!$C:$C,'Traditional Attrition'!P$1),VLOOKUP('Traditional Attrition'!P$2-'Traditional Attrition'!$F37-1,'Traditional Attrition'!$A$7:$C$161,2,FALSE)*VLOOKUP(P$1,'Attrition Modeling'!$L$15:$N$27,IF(P$2-$F37&lt;=24,2,3),FALSE))*(1+Projection!R$16)*(1+IF(P169&gt;0,'Attrition Modeling'!$N$9,0))),0))</f>
        <v>0</v>
      </c>
      <c r="Q37" s="799">
        <f>IF(Q$2=$F37+1,Monthly!M$21,IF(Q$2&gt;$F37+1,('Traditional Attrition'!P37+Q169)*(1-IF(Q$2-$F37&lt;=12,SUMIFS('Attrition Modeling'!$D:$D,'Attrition Modeling'!$B:$B,'Traditional Attrition'!$E37,'Attrition Modeling'!$C:$C,'Traditional Attrition'!Q$1),VLOOKUP('Traditional Attrition'!Q$2-'Traditional Attrition'!$F37-1,'Traditional Attrition'!$A$7:$C$161,2,FALSE)*VLOOKUP(Q$1,'Attrition Modeling'!$L$15:$N$27,IF(Q$2-$F37&lt;=24,2,3),FALSE))*(1+Projection!S$16)*(1+IF(Q169&gt;0,'Attrition Modeling'!$N$9,0))),0))</f>
        <v>0</v>
      </c>
      <c r="R37" s="799">
        <f>IF(R$2=$F37+1,Monthly!N$21,IF(R$2&gt;$F37+1,('Traditional Attrition'!Q37+R169)*(1-IF(R$2-$F37&lt;=12,SUMIFS('Attrition Modeling'!$D:$D,'Attrition Modeling'!$B:$B,'Traditional Attrition'!$E37,'Attrition Modeling'!$C:$C,'Traditional Attrition'!R$1),VLOOKUP('Traditional Attrition'!R$2-'Traditional Attrition'!$F37-1,'Traditional Attrition'!$A$7:$C$161,2,FALSE)*VLOOKUP(R$1,'Attrition Modeling'!$L$15:$N$27,IF(R$2-$F37&lt;=24,2,3),FALSE))*(1+Projection!T$16)*(1+IF(R169&gt;0,'Attrition Modeling'!$N$9,0))),0))</f>
        <v>0</v>
      </c>
      <c r="S37" s="799">
        <f>IF(S$2=$F37+1,Monthly!O$21,IF(S$2&gt;$F37+1,('Traditional Attrition'!R37+S169)*(1-IF(S$2-$F37&lt;=12,SUMIFS('Attrition Modeling'!$D:$D,'Attrition Modeling'!$B:$B,'Traditional Attrition'!$E37,'Attrition Modeling'!$C:$C,'Traditional Attrition'!S$1),VLOOKUP('Traditional Attrition'!S$2-'Traditional Attrition'!$F37-1,'Traditional Attrition'!$A$7:$C$161,2,FALSE)*VLOOKUP(S$1,'Attrition Modeling'!$L$15:$N$27,IF(S$2-$F37&lt;=24,2,3),FALSE))*(1+Projection!U$16)*(1+IF(S169&gt;0,'Attrition Modeling'!$N$9,0))),0))</f>
        <v>0</v>
      </c>
      <c r="T37" s="799">
        <f>IF(T$2=$F37+1,Monthly!P$21,IF(T$2&gt;$F37+1,('Traditional Attrition'!S37+T169)*(1-IF(T$2-$F37&lt;=12,SUMIFS('Attrition Modeling'!$D:$D,'Attrition Modeling'!$B:$B,'Traditional Attrition'!$E37,'Attrition Modeling'!$C:$C,'Traditional Attrition'!T$1),VLOOKUP('Traditional Attrition'!T$2-'Traditional Attrition'!$F37-1,'Traditional Attrition'!$A$7:$C$161,2,FALSE)*VLOOKUP(T$1,'Attrition Modeling'!$L$15:$N$27,IF(T$2-$F37&lt;=24,2,3),FALSE))*(1+Projection!V$16)*(1+IF(T169&gt;0,'Attrition Modeling'!$N$9,0))),0))</f>
        <v>0</v>
      </c>
      <c r="U37" s="799">
        <f>IF(U$2=$F37+1,Monthly!Q$21,IF(U$2&gt;$F37+1,('Traditional Attrition'!T37+U169)*(1-IF(U$2-$F37&lt;=12,SUMIFS('Attrition Modeling'!$D:$D,'Attrition Modeling'!$B:$B,'Traditional Attrition'!$E37,'Attrition Modeling'!$C:$C,'Traditional Attrition'!U$1),VLOOKUP('Traditional Attrition'!U$2-'Traditional Attrition'!$F37-1,'Traditional Attrition'!$A$7:$C$161,2,FALSE)*VLOOKUP(U$1,'Attrition Modeling'!$L$15:$N$27,IF(U$2-$F37&lt;=24,2,3),FALSE))*(1+Projection!W$16)*(1+IF(U169&gt;0,'Attrition Modeling'!$N$9,0))),0))</f>
        <v>0</v>
      </c>
      <c r="V37" s="799">
        <f>IF(V$2=$F37+1,Monthly!R$21,IF(V$2&gt;$F37+1,('Traditional Attrition'!U37+V169)*(1-IF(V$2-$F37&lt;=12,SUMIFS('Attrition Modeling'!$D:$D,'Attrition Modeling'!$B:$B,'Traditional Attrition'!$E37,'Attrition Modeling'!$C:$C,'Traditional Attrition'!V$1),VLOOKUP('Traditional Attrition'!V$2-'Traditional Attrition'!$F37-1,'Traditional Attrition'!$A$7:$C$161,2,FALSE)*VLOOKUP(V$1,'Attrition Modeling'!$L$15:$N$27,IF(V$2-$F37&lt;=24,2,3),FALSE))*(1+Projection!X$16)*(1+IF(V169&gt;0,'Attrition Modeling'!$N$9,0))),0))</f>
        <v>0</v>
      </c>
      <c r="W37" s="799">
        <f>IF(W$2=$F37+1,Monthly!S$21,IF(W$2&gt;$F37+1,('Traditional Attrition'!V37+W169)*(1-IF(W$2-$F37&lt;=12,SUMIFS('Attrition Modeling'!$D:$D,'Attrition Modeling'!$B:$B,'Traditional Attrition'!$E37,'Attrition Modeling'!$C:$C,'Traditional Attrition'!W$1),VLOOKUP('Traditional Attrition'!W$2-'Traditional Attrition'!$F37-1,'Traditional Attrition'!$A$7:$C$161,2,FALSE)*VLOOKUP(W$1,'Attrition Modeling'!$L$15:$N$27,IF(W$2-$F37&lt;=24,2,3),FALSE))*(1+Projection!Y$16)*(1+IF(W169&gt;0,'Attrition Modeling'!$N$9,0))),0))</f>
        <v>0</v>
      </c>
      <c r="X37" s="799">
        <f>IF(X$2=$F37+1,Monthly!T$21,IF(X$2&gt;$F37+1,('Traditional Attrition'!W37+X169)*(1-IF(X$2-$F37&lt;=12,SUMIFS('Attrition Modeling'!$D:$D,'Attrition Modeling'!$B:$B,'Traditional Attrition'!$E37,'Attrition Modeling'!$C:$C,'Traditional Attrition'!X$1),VLOOKUP('Traditional Attrition'!X$2-'Traditional Attrition'!$F37-1,'Traditional Attrition'!$A$7:$C$161,2,FALSE)*VLOOKUP(X$1,'Attrition Modeling'!$L$15:$N$27,IF(X$2-$F37&lt;=24,2,3),FALSE))*(1+Projection!Z$16)*(1+IF(X169&gt;0,'Attrition Modeling'!$N$9,0))),0))</f>
        <v>0</v>
      </c>
      <c r="Y37" s="799">
        <f>IF(Y$2=$F37+1,Monthly!U$21,IF(Y$2&gt;$F37+1,('Traditional Attrition'!X37+Y169)*(1-IF(Y$2-$F37&lt;=12,SUMIFS('Attrition Modeling'!$D:$D,'Attrition Modeling'!$B:$B,'Traditional Attrition'!$E37,'Attrition Modeling'!$C:$C,'Traditional Attrition'!Y$1),VLOOKUP('Traditional Attrition'!Y$2-'Traditional Attrition'!$F37-1,'Traditional Attrition'!$A$7:$C$161,2,FALSE)*VLOOKUP(Y$1,'Attrition Modeling'!$L$15:$N$27,IF(Y$2-$F37&lt;=24,2,3),FALSE))*(1+Projection!AA$16)*(1+IF(Y169&gt;0,'Attrition Modeling'!$N$9,0))),0))</f>
        <v>0</v>
      </c>
      <c r="Z37" s="799">
        <f>IF(Z$2=$F37+1,Monthly!V$21,IF(Z$2&gt;$F37+1,('Traditional Attrition'!Y37+Z169)*(1-IF(Z$2-$F37&lt;=12,SUMIFS('Attrition Modeling'!$D:$D,'Attrition Modeling'!$B:$B,'Traditional Attrition'!$E37,'Attrition Modeling'!$C:$C,'Traditional Attrition'!Z$1),VLOOKUP('Traditional Attrition'!Z$2-'Traditional Attrition'!$F37-1,'Traditional Attrition'!$A$7:$C$161,2,FALSE)*VLOOKUP(Z$1,'Attrition Modeling'!$L$15:$N$27,IF(Z$2-$F37&lt;=24,2,3),FALSE))*(1+Projection!AB$16)*(1+IF(Z169&gt;0,'Attrition Modeling'!$N$9,0))),0))</f>
        <v>0</v>
      </c>
      <c r="AA37" s="799">
        <f>IF(AA$2=$F37+1,Monthly!W$21,IF(AA$2&gt;$F37+1,('Traditional Attrition'!Z37+AA169)*(1-IF(AA$2-$F37&lt;=12,SUMIFS('Attrition Modeling'!$D:$D,'Attrition Modeling'!$B:$B,'Traditional Attrition'!$E37,'Attrition Modeling'!$C:$C,'Traditional Attrition'!AA$1),VLOOKUP('Traditional Attrition'!AA$2-'Traditional Attrition'!$F37-1,'Traditional Attrition'!$A$7:$C$161,2,FALSE)*VLOOKUP(AA$1,'Attrition Modeling'!$L$15:$N$27,IF(AA$2-$F37&lt;=24,2,3),FALSE))*(1+Projection!AC$16)*(1+IF(AA169&gt;0,'Attrition Modeling'!$N$9,0))),0))</f>
        <v>0</v>
      </c>
      <c r="AB37" s="799">
        <f>IF(AB$2=$F37+1,Monthly!X$21,IF(AB$2&gt;$F37+1,('Traditional Attrition'!AA37+AB169)*(1-IF(AB$2-$F37&lt;=12,SUMIFS('Attrition Modeling'!$D:$D,'Attrition Modeling'!$B:$B,'Traditional Attrition'!$E37,'Attrition Modeling'!$C:$C,'Traditional Attrition'!AB$1),VLOOKUP('Traditional Attrition'!AB$2-'Traditional Attrition'!$F37-1,'Traditional Attrition'!$A$7:$C$161,2,FALSE)*VLOOKUP(AB$1,'Attrition Modeling'!$L$15:$N$27,IF(AB$2-$F37&lt;=24,2,3),FALSE))*(1+Projection!AD$16)*(1+IF(AB169&gt;0,'Attrition Modeling'!$N$9,0))),0))</f>
        <v>0</v>
      </c>
      <c r="AC37" s="799">
        <f>IF(AC$2=$F37+1,Monthly!Y$21,IF(AC$2&gt;$F37+1,('Traditional Attrition'!AB37+AC169)*(1-IF(AC$2-$F37&lt;=12,SUMIFS('Attrition Modeling'!$D:$D,'Attrition Modeling'!$B:$B,'Traditional Attrition'!$E37,'Attrition Modeling'!$C:$C,'Traditional Attrition'!AC$1),VLOOKUP('Traditional Attrition'!AC$2-'Traditional Attrition'!$F37-1,'Traditional Attrition'!$A$7:$C$161,2,FALSE)*VLOOKUP(AC$1,'Attrition Modeling'!$L$15:$N$27,IF(AC$2-$F37&lt;=24,2,3),FALSE))*(1+Projection!AE$16)*(1+IF(AC169&gt;0,'Attrition Modeling'!$N$9,0))),0))</f>
        <v>0</v>
      </c>
      <c r="AD37" s="799">
        <f>IF(AD$2=$F37+1,Monthly!Z$21,IF(AD$2&gt;$F37+1,('Traditional Attrition'!AC37+AD169)*(1-IF(AD$2-$F37&lt;=12,SUMIFS('Attrition Modeling'!$D:$D,'Attrition Modeling'!$B:$B,'Traditional Attrition'!$E37,'Attrition Modeling'!$C:$C,'Traditional Attrition'!AD$1),VLOOKUP('Traditional Attrition'!AD$2-'Traditional Attrition'!$F37-1,'Traditional Attrition'!$A$7:$C$161,2,FALSE)*VLOOKUP(AD$1,'Attrition Modeling'!$L$15:$N$27,IF(AD$2-$F37&lt;=24,2,3),FALSE))*(1+Projection!AF$16)*(1+IF(AD169&gt;0,'Attrition Modeling'!$N$9,0))),0))</f>
        <v>0</v>
      </c>
      <c r="AE37" s="799">
        <f>IF(AE$2=$F37+1,Monthly!AA$21,IF(AE$2&gt;$F37+1,('Traditional Attrition'!AD37+AE169)*(1-IF(AE$2-$F37&lt;=12,SUMIFS('Attrition Modeling'!$D:$D,'Attrition Modeling'!$B:$B,'Traditional Attrition'!$E37,'Attrition Modeling'!$C:$C,'Traditional Attrition'!AE$1),VLOOKUP('Traditional Attrition'!AE$2-'Traditional Attrition'!$F37-1,'Traditional Attrition'!$A$7:$C$161,2,FALSE)*VLOOKUP(AE$1,'Attrition Modeling'!$L$15:$N$27,IF(AE$2-$F37&lt;=24,2,3),FALSE))*(1+Projection!AG$16)*(1+IF(AE169&gt;0,'Attrition Modeling'!$N$9,0))),0))</f>
        <v>0</v>
      </c>
      <c r="AF37" s="799">
        <f>IF(AF$2=$F37+1,Monthly!AB$21,IF(AF$2&gt;$F37+1,('Traditional Attrition'!AE37+AF169)*(1-IF(AF$2-$F37&lt;=12,SUMIFS('Attrition Modeling'!$D:$D,'Attrition Modeling'!$B:$B,'Traditional Attrition'!$E37,'Attrition Modeling'!$C:$C,'Traditional Attrition'!AF$1),VLOOKUP('Traditional Attrition'!AF$2-'Traditional Attrition'!$F37-1,'Traditional Attrition'!$A$7:$C$161,2,FALSE)*VLOOKUP(AF$1,'Attrition Modeling'!$L$15:$N$27,IF(AF$2-$F37&lt;=24,2,3),FALSE))*(1+Projection!AH$16)*(1+IF(AF169&gt;0,'Attrition Modeling'!$N$9,0))),0))</f>
        <v>0</v>
      </c>
      <c r="AG37" s="799">
        <f>IF(AG$2=$F37+1,Monthly!AC$21,IF(AG$2&gt;$F37+1,('Traditional Attrition'!AF37+AG169)*(1-IF(AG$2-$F37&lt;=12,SUMIFS('Attrition Modeling'!$D:$D,'Attrition Modeling'!$B:$B,'Traditional Attrition'!$E37,'Attrition Modeling'!$C:$C,'Traditional Attrition'!AG$1),VLOOKUP('Traditional Attrition'!AG$2-'Traditional Attrition'!$F37-1,'Traditional Attrition'!$A$7:$C$161,2,FALSE)*VLOOKUP(AG$1,'Attrition Modeling'!$L$15:$N$27,IF(AG$2-$F37&lt;=24,2,3),FALSE))*(1+Projection!AI$16)*(1+IF(AG169&gt;0,'Attrition Modeling'!$N$9,0))),0))</f>
        <v>0</v>
      </c>
      <c r="AH37" s="799">
        <f>IF(AH$2=$F37+1,Monthly!AD$21,IF(AH$2&gt;$F37+1,('Traditional Attrition'!AG37+AH169)*(1-IF(AH$2-$F37&lt;=12,SUMIFS('Attrition Modeling'!$D:$D,'Attrition Modeling'!$B:$B,'Traditional Attrition'!$E37,'Attrition Modeling'!$C:$C,'Traditional Attrition'!AH$1),VLOOKUP('Traditional Attrition'!AH$2-'Traditional Attrition'!$F37-1,'Traditional Attrition'!$A$7:$C$161,2,FALSE)*VLOOKUP(AH$1,'Attrition Modeling'!$L$15:$N$27,IF(AH$2-$F37&lt;=24,2,3),FALSE))*(1+Projection!AJ$16)*(1+IF(AH169&gt;0,'Attrition Modeling'!$N$9,0))),0))</f>
        <v>0</v>
      </c>
      <c r="AI37" s="799">
        <f>IF(AI$2=$F37+1,Monthly!AE$21,IF(AI$2&gt;$F37+1,('Traditional Attrition'!AH37+AI169)*(1-IF(AI$2-$F37&lt;=12,SUMIFS('Attrition Modeling'!$D:$D,'Attrition Modeling'!$B:$B,'Traditional Attrition'!$E37,'Attrition Modeling'!$C:$C,'Traditional Attrition'!AI$1),VLOOKUP('Traditional Attrition'!AI$2-'Traditional Attrition'!$F37-1,'Traditional Attrition'!$A$7:$C$161,2,FALSE)*VLOOKUP(AI$1,'Attrition Modeling'!$L$15:$N$27,IF(AI$2-$F37&lt;=24,2,3),FALSE))*(1+Projection!AK$16)*(1+IF(AI169&gt;0,'Attrition Modeling'!$N$9,0))),0))</f>
        <v>0</v>
      </c>
      <c r="AJ37" s="799">
        <f>IF(AJ$2=$F37+1,Monthly!AF$21,IF(AJ$2&gt;$F37+1,('Traditional Attrition'!AI37+AJ169)*(1-IF(AJ$2-$F37&lt;=12,SUMIFS('Attrition Modeling'!$D:$D,'Attrition Modeling'!$B:$B,'Traditional Attrition'!$E37,'Attrition Modeling'!$C:$C,'Traditional Attrition'!AJ$1),VLOOKUP('Traditional Attrition'!AJ$2-'Traditional Attrition'!$F37-1,'Traditional Attrition'!$A$7:$C$161,2,FALSE)*VLOOKUP(AJ$1,'Attrition Modeling'!$L$15:$N$27,IF(AJ$2-$F37&lt;=24,2,3),FALSE))*(1+Projection!AL$16)*(1+IF(AJ169&gt;0,'Attrition Modeling'!$N$9,0))),0))</f>
        <v>0</v>
      </c>
      <c r="AK37" s="799">
        <f>IF(AK$2=$F37+1,Monthly!AG$21,IF(AK$2&gt;$F37+1,('Traditional Attrition'!AJ37+AK169)*(1-IF(AK$2-$F37&lt;=12,SUMIFS('Attrition Modeling'!$D:$D,'Attrition Modeling'!$B:$B,'Traditional Attrition'!$E37,'Attrition Modeling'!$C:$C,'Traditional Attrition'!AK$1),VLOOKUP('Traditional Attrition'!AK$2-'Traditional Attrition'!$F37-1,'Traditional Attrition'!$A$7:$C$161,2,FALSE)*VLOOKUP(AK$1,'Attrition Modeling'!$L$15:$N$27,IF(AK$2-$F37&lt;=24,2,3),FALSE))*(1+Projection!AM$16)*(1+IF(AK169&gt;0,'Attrition Modeling'!$N$9,0))),0))</f>
        <v>0</v>
      </c>
      <c r="AL37" s="799">
        <f>IF(AL$2=$F37+1,Monthly!AH$21,IF(AL$2&gt;$F37+1,('Traditional Attrition'!AK37+AL169)*(1-IF(AL$2-$F37&lt;=12,SUMIFS('Attrition Modeling'!$D:$D,'Attrition Modeling'!$B:$B,'Traditional Attrition'!$E37,'Attrition Modeling'!$C:$C,'Traditional Attrition'!AL$1),VLOOKUP('Traditional Attrition'!AL$2-'Traditional Attrition'!$F37-1,'Traditional Attrition'!$A$7:$C$161,2,FALSE)*VLOOKUP(AL$1,'Attrition Modeling'!$L$15:$N$27,IF(AL$2-$F37&lt;=24,2,3),FALSE))*(1+Projection!AN$16)*(1+IF(AL169&gt;0,'Attrition Modeling'!$N$9,0))),0))</f>
        <v>0</v>
      </c>
      <c r="AM37" s="799">
        <f>IF(AM$2=$F37+1,Monthly!AI$21,IF(AM$2&gt;$F37+1,('Traditional Attrition'!AL37+AM169)*(1-IF(AM$2-$F37&lt;=12,SUMIFS('Attrition Modeling'!$D:$D,'Attrition Modeling'!$B:$B,'Traditional Attrition'!$E37,'Attrition Modeling'!$C:$C,'Traditional Attrition'!AM$1),VLOOKUP('Traditional Attrition'!AM$2-'Traditional Attrition'!$F37-1,'Traditional Attrition'!$A$7:$C$161,2,FALSE)*VLOOKUP(AM$1,'Attrition Modeling'!$L$15:$N$27,IF(AM$2-$F37&lt;=24,2,3),FALSE))*(1+Projection!AO$16)*(1+IF(AM169&gt;0,'Attrition Modeling'!$N$9,0))),0))</f>
        <v>0</v>
      </c>
      <c r="AN37" s="799">
        <f>IF(AN$2=$F37+1,Monthly!AJ$21,IF(AN$2&gt;$F37+1,('Traditional Attrition'!AM37+AN169)*(1-IF(AN$2-$F37&lt;=12,SUMIFS('Attrition Modeling'!$D:$D,'Attrition Modeling'!$B:$B,'Traditional Attrition'!$E37,'Attrition Modeling'!$C:$C,'Traditional Attrition'!AN$1),VLOOKUP('Traditional Attrition'!AN$2-'Traditional Attrition'!$F37-1,'Traditional Attrition'!$A$7:$C$161,2,FALSE)*VLOOKUP(AN$1,'Attrition Modeling'!$L$15:$N$27,IF(AN$2-$F37&lt;=24,2,3),FALSE))*(1+Projection!AP$16)*(1+IF(AN169&gt;0,'Attrition Modeling'!$N$9,0))),0))</f>
        <v>0</v>
      </c>
      <c r="AO37" s="799">
        <f>IF(AO$2=$F37+1,Monthly!AK$21,IF(AO$2&gt;$F37+1,('Traditional Attrition'!AN37+AO169)*(1-IF(AO$2-$F37&lt;=12,SUMIFS('Attrition Modeling'!$D:$D,'Attrition Modeling'!$B:$B,'Traditional Attrition'!$E37,'Attrition Modeling'!$C:$C,'Traditional Attrition'!AO$1),VLOOKUP('Traditional Attrition'!AO$2-'Traditional Attrition'!$F37-1,'Traditional Attrition'!$A$7:$C$161,2,FALSE)*VLOOKUP(AO$1,'Attrition Modeling'!$L$15:$N$27,IF(AO$2-$F37&lt;=24,2,3),FALSE))*(1+Projection!AQ$16)*(1+IF(AO169&gt;0,'Attrition Modeling'!$N$9,0))),0))</f>
        <v>0</v>
      </c>
      <c r="AP37" s="799">
        <f>IF(AP$2=$F37+1,Monthly!AL$21,IF(AP$2&gt;$F37+1,('Traditional Attrition'!AO37+AP169)*(1-IF(AP$2-$F37&lt;=12,SUMIFS('Attrition Modeling'!$D:$D,'Attrition Modeling'!$B:$B,'Traditional Attrition'!$E37,'Attrition Modeling'!$C:$C,'Traditional Attrition'!AP$1),VLOOKUP('Traditional Attrition'!AP$2-'Traditional Attrition'!$F37-1,'Traditional Attrition'!$A$7:$C$161,2,FALSE)*VLOOKUP(AP$1,'Attrition Modeling'!$L$15:$N$27,IF(AP$2-$F37&lt;=24,2,3),FALSE))*(1+Projection!AR$16)*(1+IF(AP169&gt;0,'Attrition Modeling'!$N$9,0))),0))</f>
        <v>12878.289640001678</v>
      </c>
      <c r="AQ37" s="799">
        <f>IF(AQ$2=$F37+1,Monthly!AM$21,IF(AQ$2&gt;$F37+1,('Traditional Attrition'!AP37+AQ169)*(1-IF(AQ$2-$F37&lt;=12,SUMIFS('Attrition Modeling'!$D:$D,'Attrition Modeling'!$B:$B,'Traditional Attrition'!$E37,'Attrition Modeling'!$C:$C,'Traditional Attrition'!AQ$1),VLOOKUP('Traditional Attrition'!AQ$2-'Traditional Attrition'!$F37-1,'Traditional Attrition'!$A$7:$C$161,2,FALSE)*VLOOKUP(AQ$1,'Attrition Modeling'!$L$15:$N$27,IF(AQ$2-$F37&lt;=24,2,3),FALSE))*(1+Projection!AS$16)*(1+IF(AQ169&gt;0,'Attrition Modeling'!$N$9,0))),0))</f>
        <v>11572.759466891328</v>
      </c>
      <c r="AR37" s="799">
        <f>IF(AR$2=$F37+1,Monthly!AN$21,IF(AR$2&gt;$F37+1,('Traditional Attrition'!AQ37+AR169)*(1-IF(AR$2-$F37&lt;=12,SUMIFS('Attrition Modeling'!$D:$D,'Attrition Modeling'!$B:$B,'Traditional Attrition'!$E37,'Attrition Modeling'!$C:$C,'Traditional Attrition'!AR$1),VLOOKUP('Traditional Attrition'!AR$2-'Traditional Attrition'!$F37-1,'Traditional Attrition'!$A$7:$C$161,2,FALSE)*VLOOKUP(AR$1,'Attrition Modeling'!$L$15:$N$27,IF(AR$2-$F37&lt;=24,2,3),FALSE))*(1+Projection!AT$16)*(1+IF(AR169&gt;0,'Attrition Modeling'!$N$9,0))),0))</f>
        <v>10657.127714157457</v>
      </c>
      <c r="AS37" s="799">
        <f>IF(AS$2=$F37+1,Monthly!AO$21,IF(AS$2&gt;$F37+1,('Traditional Attrition'!AR37+AS169)*(1-IF(AS$2-$F37&lt;=12,SUMIFS('Attrition Modeling'!$D:$D,'Attrition Modeling'!$B:$B,'Traditional Attrition'!$E37,'Attrition Modeling'!$C:$C,'Traditional Attrition'!AS$1),VLOOKUP('Traditional Attrition'!AS$2-'Traditional Attrition'!$F37-1,'Traditional Attrition'!$A$7:$C$161,2,FALSE)*VLOOKUP(AS$1,'Attrition Modeling'!$L$15:$N$27,IF(AS$2-$F37&lt;=24,2,3),FALSE))*(1+Projection!AU$16)*(1+IF(AS169&gt;0,'Attrition Modeling'!$N$9,0))),0))</f>
        <v>9800.2603299879574</v>
      </c>
      <c r="AT37" s="799">
        <f>IF(AT$2=$F37+1,Monthly!AP$21,IF(AT$2&gt;$F37+1,('Traditional Attrition'!AS37+AT169)*(1-IF(AT$2-$F37&lt;=12,SUMIFS('Attrition Modeling'!$D:$D,'Attrition Modeling'!$B:$B,'Traditional Attrition'!$E37,'Attrition Modeling'!$C:$C,'Traditional Attrition'!AT$1),VLOOKUP('Traditional Attrition'!AT$2-'Traditional Attrition'!$F37-1,'Traditional Attrition'!$A$7:$C$161,2,FALSE)*VLOOKUP(AT$1,'Attrition Modeling'!$L$15:$N$27,IF(AT$2-$F37&lt;=24,2,3),FALSE))*(1+Projection!AV$16)*(1+IF(AT169&gt;0,'Attrition Modeling'!$N$9,0))),0))</f>
        <v>8983.2853442085107</v>
      </c>
      <c r="AU37" s="799">
        <f>IF(AU$2=$F37+1,Monthly!AQ$21,IF(AU$2&gt;$F37+1,('Traditional Attrition'!AT37+AU169)*(1-IF(AU$2-$F37&lt;=12,SUMIFS('Attrition Modeling'!$D:$D,'Attrition Modeling'!$B:$B,'Traditional Attrition'!$E37,'Attrition Modeling'!$C:$C,'Traditional Attrition'!AU$1),VLOOKUP('Traditional Attrition'!AU$2-'Traditional Attrition'!$F37-1,'Traditional Attrition'!$A$7:$C$161,2,FALSE)*VLOOKUP(AU$1,'Attrition Modeling'!$L$15:$N$27,IF(AU$2-$F37&lt;=24,2,3),FALSE))*(1+Projection!AW$16)*(1+IF(AU169&gt;0,'Attrition Modeling'!$N$9,0))),0))</f>
        <v>8784.4627787406298</v>
      </c>
      <c r="AV37" s="799">
        <f>IF(AV$2=$F37+1,Monthly!AR$21,IF(AV$2&gt;$F37+1,('Traditional Attrition'!AU37+AV169)*(1-IF(AV$2-$F37&lt;=12,SUMIFS('Attrition Modeling'!$D:$D,'Attrition Modeling'!$B:$B,'Traditional Attrition'!$E37,'Attrition Modeling'!$C:$C,'Traditional Attrition'!AV$1),VLOOKUP('Traditional Attrition'!AV$2-'Traditional Attrition'!$F37-1,'Traditional Attrition'!$A$7:$C$161,2,FALSE)*VLOOKUP(AV$1,'Attrition Modeling'!$L$15:$N$27,IF(AV$2-$F37&lt;=24,2,3),FALSE))*(1+Projection!AX$16)*(1+IF(AV169&gt;0,'Attrition Modeling'!$N$9,0))),0))</f>
        <v>8103.4035551941242</v>
      </c>
      <c r="AW37" s="799">
        <f>IF(AW$2=$F37+1,Monthly!AS$21,IF(AW$2&gt;$F37+1,('Traditional Attrition'!AV37+AW169)*(1-IF(AW$2-$F37&lt;=12,SUMIFS('Attrition Modeling'!$D:$D,'Attrition Modeling'!$B:$B,'Traditional Attrition'!$E37,'Attrition Modeling'!$C:$C,'Traditional Attrition'!AW$1),VLOOKUP('Traditional Attrition'!AW$2-'Traditional Attrition'!$F37-1,'Traditional Attrition'!$A$7:$C$161,2,FALSE)*VLOOKUP(AW$1,'Attrition Modeling'!$L$15:$N$27,IF(AW$2-$F37&lt;=24,2,3),FALSE))*(1+Projection!AY$16)*(1+IF(AW169&gt;0,'Attrition Modeling'!$N$9,0))),0))</f>
        <v>7552.1390595546764</v>
      </c>
      <c r="AX37" s="799">
        <f>IF(AX$2=$F37+1,Monthly!AT$21,IF(AX$2&gt;$F37+1,('Traditional Attrition'!AW37+AX169)*(1-IF(AX$2-$F37&lt;=12,SUMIFS('Attrition Modeling'!$D:$D,'Attrition Modeling'!$B:$B,'Traditional Attrition'!$E37,'Attrition Modeling'!$C:$C,'Traditional Attrition'!AX$1),VLOOKUP('Traditional Attrition'!AX$2-'Traditional Attrition'!$F37-1,'Traditional Attrition'!$A$7:$C$161,2,FALSE)*VLOOKUP(AX$1,'Attrition Modeling'!$L$15:$N$27,IF(AX$2-$F37&lt;=24,2,3),FALSE))*(1+Projection!AZ$16)*(1+IF(AX169&gt;0,'Attrition Modeling'!$N$9,0))),0))</f>
        <v>7070.0088405221131</v>
      </c>
      <c r="AY37" s="799">
        <f>IF(AY$2=$F37+1,Monthly!AU$21,IF(AY$2&gt;$F37+1,('Traditional Attrition'!AX37+AY169)*(1-IF(AY$2-$F37&lt;=12,SUMIFS('Attrition Modeling'!$D:$D,'Attrition Modeling'!$B:$B,'Traditional Attrition'!$E37,'Attrition Modeling'!$C:$C,'Traditional Attrition'!AY$1),VLOOKUP('Traditional Attrition'!AY$2-'Traditional Attrition'!$F37-1,'Traditional Attrition'!$A$7:$C$161,2,FALSE)*VLOOKUP(AY$1,'Attrition Modeling'!$L$15:$N$27,IF(AY$2-$F37&lt;=24,2,3),FALSE))*(1+Projection!BA$16)*(1+IF(AY169&gt;0,'Attrition Modeling'!$N$9,0))),0))</f>
        <v>6603.8034786668577</v>
      </c>
      <c r="AZ37" s="799">
        <f>IF(AZ$2=$F37+1,Monthly!AV$21,IF(AZ$2&gt;$F37+1,('Traditional Attrition'!AY37+AZ169)*(1-IF(AZ$2-$F37&lt;=12,SUMIFS('Attrition Modeling'!$D:$D,'Attrition Modeling'!$B:$B,'Traditional Attrition'!$E37,'Attrition Modeling'!$C:$C,'Traditional Attrition'!AZ$1),VLOOKUP('Traditional Attrition'!AZ$2-'Traditional Attrition'!$F37-1,'Traditional Attrition'!$A$7:$C$161,2,FALSE)*VLOOKUP(AZ$1,'Attrition Modeling'!$L$15:$N$27,IF(AZ$2-$F37&lt;=24,2,3),FALSE))*(1+Projection!BB$16)*(1+IF(AZ169&gt;0,'Attrition Modeling'!$N$9,0))),0))</f>
        <v>6178.1197309486352</v>
      </c>
      <c r="BA37" s="799">
        <f>IF(BA$2=$F37+1,Monthly!AW$21,IF(BA$2&gt;$F37+1,('Traditional Attrition'!AZ37+BA169)*(1-IF(BA$2-$F37&lt;=12,SUMIFS('Attrition Modeling'!$D:$D,'Attrition Modeling'!$B:$B,'Traditional Attrition'!$E37,'Attrition Modeling'!$C:$C,'Traditional Attrition'!BA$1),VLOOKUP('Traditional Attrition'!BA$2-'Traditional Attrition'!$F37-1,'Traditional Attrition'!$A$7:$C$161,2,FALSE)*VLOOKUP(BA$1,'Attrition Modeling'!$L$15:$N$27,IF(BA$2-$F37&lt;=24,2,3),FALSE))*(1+Projection!BC$16)*(1+IF(BA169&gt;0,'Attrition Modeling'!$N$9,0))),0))</f>
        <v>5964.651608131373</v>
      </c>
      <c r="BB37" s="799">
        <f>IF(BB$2=$F37+1,Monthly!AX$21,IF(BB$2&gt;$F37+1,('Traditional Attrition'!BA37+BB169)*(1-IF(BB$2-$F37&lt;=12,SUMIFS('Attrition Modeling'!$D:$D,'Attrition Modeling'!$B:$B,'Traditional Attrition'!$E37,'Attrition Modeling'!$C:$C,'Traditional Attrition'!BB$1),VLOOKUP('Traditional Attrition'!BB$2-'Traditional Attrition'!$F37-1,'Traditional Attrition'!$A$7:$C$161,2,FALSE)*VLOOKUP(BB$1,'Attrition Modeling'!$L$15:$N$27,IF(BB$2-$F37&lt;=24,2,3),FALSE))*(1+Projection!BD$16)*(1+IF(BB169&gt;0,'Attrition Modeling'!$N$9,0))),0))</f>
        <v>5640.4223508048381</v>
      </c>
      <c r="BC37" s="799">
        <f>IF(BC$2=$F37+1,Monthly!AY$21,IF(BC$2&gt;$F37+1,('Traditional Attrition'!BB37+BC169)*(1-IF(BC$2-$F37&lt;=12,SUMIFS('Attrition Modeling'!$D:$D,'Attrition Modeling'!$B:$B,'Traditional Attrition'!$E37,'Attrition Modeling'!$C:$C,'Traditional Attrition'!BC$1),VLOOKUP('Traditional Attrition'!BC$2-'Traditional Attrition'!$F37-1,'Traditional Attrition'!$A$7:$C$161,2,FALSE)*VLOOKUP(BC$1,'Attrition Modeling'!$L$15:$N$27,IF(BC$2-$F37&lt;=24,2,3),FALSE))*(1+Projection!BE$16)*(1+IF(BC169&gt;0,'Attrition Modeling'!$N$9,0))),0))</f>
        <v>5360.4721605604927</v>
      </c>
      <c r="BD37" s="799">
        <f>IF(BD$2=$F37+1,Monthly!AZ$21,IF(BD$2&gt;$F37+1,('Traditional Attrition'!BC37+BD169)*(1-IF(BD$2-$F37&lt;=12,SUMIFS('Attrition Modeling'!$D:$D,'Attrition Modeling'!$B:$B,'Traditional Attrition'!$E37,'Attrition Modeling'!$C:$C,'Traditional Attrition'!BD$1),VLOOKUP('Traditional Attrition'!BD$2-'Traditional Attrition'!$F37-1,'Traditional Attrition'!$A$7:$C$161,2,FALSE)*VLOOKUP(BD$1,'Attrition Modeling'!$L$15:$N$27,IF(BD$2-$F37&lt;=24,2,3),FALSE))*(1+Projection!BF$16)*(1+IF(BD169&gt;0,'Attrition Modeling'!$N$9,0))),0))</f>
        <v>5107.2156909725445</v>
      </c>
      <c r="BE37" s="799">
        <f>IF(BE$2=$F37+1,Monthly!BA$21,IF(BE$2&gt;$F37+1,('Traditional Attrition'!BD37+BE169)*(1-IF(BE$2-$F37&lt;=12,SUMIFS('Attrition Modeling'!$D:$D,'Attrition Modeling'!$B:$B,'Traditional Attrition'!$E37,'Attrition Modeling'!$C:$C,'Traditional Attrition'!BE$1),VLOOKUP('Traditional Attrition'!BE$2-'Traditional Attrition'!$F37-1,'Traditional Attrition'!$A$7:$C$161,2,FALSE)*VLOOKUP(BE$1,'Attrition Modeling'!$L$15:$N$27,IF(BE$2-$F37&lt;=24,2,3),FALSE))*(1+Projection!BG$16)*(1+IF(BE169&gt;0,'Attrition Modeling'!$N$9,0))),0))</f>
        <v>4897.4968809832053</v>
      </c>
      <c r="BF37" s="799">
        <f>IF(BF$2=$F37+1,Monthly!BB$21,IF(BF$2&gt;$F37+1,('Traditional Attrition'!BE37+BF169)*(1-IF(BF$2-$F37&lt;=12,SUMIFS('Attrition Modeling'!$D:$D,'Attrition Modeling'!$B:$B,'Traditional Attrition'!$E37,'Attrition Modeling'!$C:$C,'Traditional Attrition'!BF$1),VLOOKUP('Traditional Attrition'!BF$2-'Traditional Attrition'!$F37-1,'Traditional Attrition'!$A$7:$C$161,2,FALSE)*VLOOKUP(BF$1,'Attrition Modeling'!$L$15:$N$27,IF(BF$2-$F37&lt;=24,2,3),FALSE))*(1+Projection!BH$16)*(1+IF(BF169&gt;0,'Attrition Modeling'!$N$9,0))),0))</f>
        <v>4685.0177151191101</v>
      </c>
      <c r="BG37" s="799">
        <f>IF(BG$2=$F37+1,Monthly!BC$21,IF(BG$2&gt;$F37+1,('Traditional Attrition'!BF37+BG169)*(1-IF(BG$2-$F37&lt;=12,SUMIFS('Attrition Modeling'!$D:$D,'Attrition Modeling'!$B:$B,'Traditional Attrition'!$E37,'Attrition Modeling'!$C:$C,'Traditional Attrition'!BG$1),VLOOKUP('Traditional Attrition'!BG$2-'Traditional Attrition'!$F37-1,'Traditional Attrition'!$A$7:$C$161,2,FALSE)*VLOOKUP(BG$1,'Attrition Modeling'!$L$15:$N$27,IF(BG$2-$F37&lt;=24,2,3),FALSE))*(1+Projection!BI$16)*(1+IF(BG169&gt;0,'Attrition Modeling'!$N$9,0))),0))</f>
        <v>4878.4421960298432</v>
      </c>
      <c r="BH37" s="799">
        <f>IF(BH$2=$F37+1,Monthly!BD$21,IF(BH$2&gt;$F37+1,('Traditional Attrition'!BG37+BH169)*(1-IF(BH$2-$F37&lt;=12,SUMIFS('Attrition Modeling'!$D:$D,'Attrition Modeling'!$B:$B,'Traditional Attrition'!$E37,'Attrition Modeling'!$C:$C,'Traditional Attrition'!BH$1),VLOOKUP('Traditional Attrition'!BH$2-'Traditional Attrition'!$F37-1,'Traditional Attrition'!$A$7:$C$161,2,FALSE)*VLOOKUP(BH$1,'Attrition Modeling'!$L$15:$N$27,IF(BH$2-$F37&lt;=24,2,3),FALSE))*(1+Projection!BJ$16)*(1+IF(BH169&gt;0,'Attrition Modeling'!$N$9,0))),0))</f>
        <v>4681.2660978107515</v>
      </c>
      <c r="BI37" s="799">
        <f>IF(BI$2=$F37+1,Monthly!BE$21,IF(BI$2&gt;$F37+1,('Traditional Attrition'!BH37+BI169)*(1-IF(BI$2-$F37&lt;=12,SUMIFS('Attrition Modeling'!$D:$D,'Attrition Modeling'!$B:$B,'Traditional Attrition'!$E37,'Attrition Modeling'!$C:$C,'Traditional Attrition'!BI$1),VLOOKUP('Traditional Attrition'!BI$2-'Traditional Attrition'!$F37-1,'Traditional Attrition'!$A$7:$C$161,2,FALSE)*VLOOKUP(BI$1,'Attrition Modeling'!$L$15:$N$27,IF(BI$2-$F37&lt;=24,2,3),FALSE))*(1+Projection!BK$16)*(1+IF(BI169&gt;0,'Attrition Modeling'!$N$9,0))),0))</f>
        <v>4477.4879730469938</v>
      </c>
      <c r="BJ37" s="799">
        <f>IF(BJ$2=$F37+1,Monthly!BF$21,IF(BJ$2&gt;$F37+1,('Traditional Attrition'!BI37+BJ169)*(1-IF(BJ$2-$F37&lt;=12,SUMIFS('Attrition Modeling'!$D:$D,'Attrition Modeling'!$B:$B,'Traditional Attrition'!$E37,'Attrition Modeling'!$C:$C,'Traditional Attrition'!BJ$1),VLOOKUP('Traditional Attrition'!BJ$2-'Traditional Attrition'!$F37-1,'Traditional Attrition'!$A$7:$C$161,2,FALSE)*VLOOKUP(BJ$1,'Attrition Modeling'!$L$15:$N$27,IF(BJ$2-$F37&lt;=24,2,3),FALSE))*(1+Projection!BL$16)*(1+IF(BJ169&gt;0,'Attrition Modeling'!$N$9,0))),0))</f>
        <v>4281.3753886301665</v>
      </c>
      <c r="BK37" s="799">
        <f>IF(BK$2=$F37+1,Monthly!BG$21,IF(BK$2&gt;$F37+1,('Traditional Attrition'!BJ37+BK169)*(1-IF(BK$2-$F37&lt;=12,SUMIFS('Attrition Modeling'!$D:$D,'Attrition Modeling'!$B:$B,'Traditional Attrition'!$E37,'Attrition Modeling'!$C:$C,'Traditional Attrition'!BK$1),VLOOKUP('Traditional Attrition'!BK$2-'Traditional Attrition'!$F37-1,'Traditional Attrition'!$A$7:$C$161,2,FALSE)*VLOOKUP(BK$1,'Attrition Modeling'!$L$15:$N$27,IF(BK$2-$F37&lt;=24,2,3),FALSE))*(1+Projection!BM$16)*(1+IF(BK169&gt;0,'Attrition Modeling'!$N$9,0))),0))</f>
        <v>4088.6032806052071</v>
      </c>
      <c r="BL37" s="799">
        <f>IF(BL$2=$F37+1,Monthly!BH$21,IF(BL$2&gt;$F37+1,('Traditional Attrition'!BK37+BL169)*(1-IF(BL$2-$F37&lt;=12,SUMIFS('Attrition Modeling'!$D:$D,'Attrition Modeling'!$B:$B,'Traditional Attrition'!$E37,'Attrition Modeling'!$C:$C,'Traditional Attrition'!BL$1),VLOOKUP('Traditional Attrition'!BL$2-'Traditional Attrition'!$F37-1,'Traditional Attrition'!$A$7:$C$161,2,FALSE)*VLOOKUP(BL$1,'Attrition Modeling'!$L$15:$N$27,IF(BL$2-$F37&lt;=24,2,3),FALSE))*(1+Projection!BN$16)*(1+IF(BL169&gt;0,'Attrition Modeling'!$N$9,0))),0))</f>
        <v>3923.1332277672864</v>
      </c>
      <c r="BM37" s="799">
        <f>IF(BM$2=$F37+1,Monthly!BI$21,IF(BM$2&gt;$F37+1,('Traditional Attrition'!BL37+BM169)*(1-IF(BM$2-$F37&lt;=12,SUMIFS('Attrition Modeling'!$D:$D,'Attrition Modeling'!$B:$B,'Traditional Attrition'!$E37,'Attrition Modeling'!$C:$C,'Traditional Attrition'!BM$1),VLOOKUP('Traditional Attrition'!BM$2-'Traditional Attrition'!$F37-1,'Traditional Attrition'!$A$7:$C$161,2,FALSE)*VLOOKUP(BM$1,'Attrition Modeling'!$L$15:$N$27,IF(BM$2-$F37&lt;=24,2,3),FALSE))*(1+Projection!BO$16)*(1+IF(BM169&gt;0,'Attrition Modeling'!$N$9,0))),0))</f>
        <v>3762.8359240665154</v>
      </c>
      <c r="BN37" s="799">
        <f>IF(BN$2=$F37+1,Monthly!BJ$21,IF(BN$2&gt;$F37+1,('Traditional Attrition'!BM37+BN169)*(1-IF(BN$2-$F37&lt;=12,SUMIFS('Attrition Modeling'!$D:$D,'Attrition Modeling'!$B:$B,'Traditional Attrition'!$E37,'Attrition Modeling'!$C:$C,'Traditional Attrition'!BN$1),VLOOKUP('Traditional Attrition'!BN$2-'Traditional Attrition'!$F37-1,'Traditional Attrition'!$A$7:$C$161,2,FALSE)*VLOOKUP(BN$1,'Attrition Modeling'!$L$15:$N$27,IF(BN$2-$F37&lt;=24,2,3),FALSE))*(1+Projection!BP$16)*(1+IF(BN169&gt;0,'Attrition Modeling'!$N$9,0))),0))</f>
        <v>3615.7948432569115</v>
      </c>
      <c r="BO37" s="799">
        <f>IF(BO$2=$F37+1,Monthly!BK$21,IF(BO$2&gt;$F37+1,('Traditional Attrition'!BN37+BO169)*(1-IF(BO$2-$F37&lt;=12,SUMIFS('Attrition Modeling'!$D:$D,'Attrition Modeling'!$B:$B,'Traditional Attrition'!$E37,'Attrition Modeling'!$C:$C,'Traditional Attrition'!BO$1),VLOOKUP('Traditional Attrition'!BO$2-'Traditional Attrition'!$F37-1,'Traditional Attrition'!$A$7:$C$161,2,FALSE)*VLOOKUP(BO$1,'Attrition Modeling'!$L$15:$N$27,IF(BO$2-$F37&lt;=24,2,3),FALSE))*(1+Projection!BV$16)*(1+IF(BO169&gt;0,'Attrition Modeling'!$N$9,0))),0))</f>
        <v>3500.9796397010764</v>
      </c>
      <c r="BP37" s="799">
        <f>IF(BP$2=$F37+1,Monthly!BL$21,IF(BP$2&gt;$F37+1,('Traditional Attrition'!BO37+BP169)*(1-IF(BP$2-$F37&lt;=12,SUMIFS('Attrition Modeling'!$D:$D,'Attrition Modeling'!$B:$B,'Traditional Attrition'!$E37,'Attrition Modeling'!$C:$C,'Traditional Attrition'!BP$1),VLOOKUP('Traditional Attrition'!BP$2-'Traditional Attrition'!$F37-1,'Traditional Attrition'!$A$7:$C$161,2,FALSE)*VLOOKUP(BP$1,'Attrition Modeling'!$L$15:$N$27,IF(BP$2-$F37&lt;=24,2,3),FALSE))*(1+Projection!BW$16)*(1+IF(BP169&gt;0,'Attrition Modeling'!$N$9,0))),0))</f>
        <v>3379.5702731225692</v>
      </c>
      <c r="BQ37" s="799">
        <f>IF(BQ$2=$F37+1,Monthly!BM$21,IF(BQ$2&gt;$F37+1,('Traditional Attrition'!BP37+BQ169)*(1-IF(BQ$2-$F37&lt;=12,SUMIFS('Attrition Modeling'!$D:$D,'Attrition Modeling'!$B:$B,'Traditional Attrition'!$E37,'Attrition Modeling'!$C:$C,'Traditional Attrition'!BQ$1),VLOOKUP('Traditional Attrition'!BQ$2-'Traditional Attrition'!$F37-1,'Traditional Attrition'!$A$7:$C$161,2,FALSE)*VLOOKUP(BQ$1,'Attrition Modeling'!$L$15:$N$27,IF(BQ$2-$F37&lt;=24,2,3),FALSE))*(1+Projection!BX$16)*(1+IF(BQ169&gt;0,'Attrition Modeling'!$N$9,0))),0))</f>
        <v>3267.5447126519834</v>
      </c>
      <c r="BR37" s="799">
        <f>IF(BR$2=$F37+1,Monthly!BN$21,IF(BR$2&gt;$F37+1,('Traditional Attrition'!BQ37+BR169)*(1-IF(BR$2-$F37&lt;=12,SUMIFS('Attrition Modeling'!$D:$D,'Attrition Modeling'!$B:$B,'Traditional Attrition'!$E37,'Attrition Modeling'!$C:$C,'Traditional Attrition'!BR$1),VLOOKUP('Traditional Attrition'!BR$2-'Traditional Attrition'!$F37-1,'Traditional Attrition'!$A$7:$C$161,2,FALSE)*VLOOKUP(BR$1,'Attrition Modeling'!$L$15:$N$27,IF(BR$2-$F37&lt;=24,2,3),FALSE))*(1+Projection!BY$16)*(1+IF(BR169&gt;0,'Attrition Modeling'!$N$9,0))),0))</f>
        <v>3165.1187581818917</v>
      </c>
      <c r="BS37" s="799">
        <f>IF(BS$2=$F37+1,Monthly!BO$21,IF(BS$2&gt;$F37+1,('Traditional Attrition'!BR37+BS169)*(1-IF(BS$2-$F37&lt;=12,SUMIFS('Attrition Modeling'!$D:$D,'Attrition Modeling'!$B:$B,'Traditional Attrition'!$E37,'Attrition Modeling'!$C:$C,'Traditional Attrition'!BS$1),VLOOKUP('Traditional Attrition'!BS$2-'Traditional Attrition'!$F37-1,'Traditional Attrition'!$A$7:$C$161,2,FALSE)*VLOOKUP(BS$1,'Attrition Modeling'!$L$15:$N$27,IF(BS$2-$F37&lt;=24,2,3),FALSE))*(1+Projection!BZ$16)*(1+IF(BS169&gt;0,'Attrition Modeling'!$N$9,0))),0))</f>
        <v>3366.4988613351779</v>
      </c>
      <c r="BT37" s="799">
        <f>IF(BT$2=$F37+1,Monthly!#REF!,IF(BT$2&gt;$F37+1,('Traditional Attrition'!BS37+BT169)*(1-IF(BT$2-$F37&lt;=12,SUMIFS('Attrition Modeling'!$D:$D,'Attrition Modeling'!$B:$B,'Traditional Attrition'!$E37,'Attrition Modeling'!$C:$C,'Traditional Attrition'!BT$1),VLOOKUP('Traditional Attrition'!BT$2-'Traditional Attrition'!$F37-1,'Traditional Attrition'!$A$7:$C$161,2,FALSE)*VLOOKUP(BT$1,'Attrition Modeling'!$L$15:$N$27,IF(BT$2-$F37&lt;=24,2,3),FALSE))*(1+Projection!CA$16)*(1+IF(BT169&gt;0,'Attrition Modeling'!$N$9,0))),0))</f>
        <v>3267.6778030941555</v>
      </c>
      <c r="BU37" s="799">
        <f>IF(BU$2=$F37+1,Monthly!#REF!,IF(BU$2&gt;$F37+1,('Traditional Attrition'!BT37+BU169)*(1-IF(BU$2-$F37&lt;=12,SUMIFS('Attrition Modeling'!$D:$D,'Attrition Modeling'!$B:$B,'Traditional Attrition'!$E37,'Attrition Modeling'!$C:$C,'Traditional Attrition'!BU$1),VLOOKUP('Traditional Attrition'!BU$2-'Traditional Attrition'!$F37-1,'Traditional Attrition'!$A$7:$C$161,2,FALSE)*VLOOKUP(BU$1,'Attrition Modeling'!$L$15:$N$27,IF(BU$2-$F37&lt;=24,2,3),FALSE))*(1+Projection!CB$16)*(1+IF(BU169&gt;0,'Attrition Modeling'!$N$9,0))),0))</f>
        <v>3159.5151021090578</v>
      </c>
    </row>
    <row r="38" spans="1:73" ht="14.25" customHeight="1" x14ac:dyDescent="0.2">
      <c r="A38" s="9">
        <v>31</v>
      </c>
      <c r="B38" s="25">
        <f>MAX('Attrition Modeling'!H35,$C$3)*(1-Summary!$C$20)</f>
        <v>3.2456522859089947E-2</v>
      </c>
      <c r="C38" s="24" t="e">
        <f t="shared" si="4"/>
        <v>#DIV/0!</v>
      </c>
      <c r="E38" s="11">
        <f t="shared" si="2"/>
        <v>11</v>
      </c>
      <c r="F38" s="11">
        <f t="shared" si="3"/>
        <v>35</v>
      </c>
      <c r="G38" s="799"/>
      <c r="H38" s="799">
        <f>IF(H$2=$F38+1,Monthly!D$21,IF(H$2&gt;$F38+1,('Traditional Attrition'!G38+H170)*(1-IF(H$2-$F38&lt;=12,SUMIFS('Attrition Modeling'!$D:$D,'Attrition Modeling'!$B:$B,'Traditional Attrition'!$E38,'Attrition Modeling'!$C:$C,'Traditional Attrition'!H$1),VLOOKUP('Traditional Attrition'!H$2-'Traditional Attrition'!$F38-1,'Traditional Attrition'!$A$7:$C$161,2,FALSE)*VLOOKUP(H$1,'Attrition Modeling'!$L$15:$N$27,IF(H$2-$F38&lt;=24,2,3),FALSE))*(1+Projection!J$16)*(1+IF(H170&gt;0,'Attrition Modeling'!$N$9,0))),0))</f>
        <v>0</v>
      </c>
      <c r="I38" s="799">
        <f>IF(I$2=$F38+1,Monthly!E$21,IF(I$2&gt;$F38+1,('Traditional Attrition'!H38+I170)*(1-IF(I$2-$F38&lt;=12,SUMIFS('Attrition Modeling'!$D:$D,'Attrition Modeling'!$B:$B,'Traditional Attrition'!$E38,'Attrition Modeling'!$C:$C,'Traditional Attrition'!I$1),VLOOKUP('Traditional Attrition'!I$2-'Traditional Attrition'!$F38-1,'Traditional Attrition'!$A$7:$C$161,2,FALSE)*VLOOKUP(I$1,'Attrition Modeling'!$L$15:$N$27,IF(I$2-$F38&lt;=24,2,3),FALSE))*(1+Projection!K$16)*(1+IF(I170&gt;0,'Attrition Modeling'!$N$9,0))),0))</f>
        <v>0</v>
      </c>
      <c r="J38" s="799">
        <f>IF(J$2=$F38+1,Monthly!F$21,IF(J$2&gt;$F38+1,('Traditional Attrition'!I38+J170)*(1-IF(J$2-$F38&lt;=12,SUMIFS('Attrition Modeling'!$D:$D,'Attrition Modeling'!$B:$B,'Traditional Attrition'!$E38,'Attrition Modeling'!$C:$C,'Traditional Attrition'!J$1),VLOOKUP('Traditional Attrition'!J$2-'Traditional Attrition'!$F38-1,'Traditional Attrition'!$A$7:$C$161,2,FALSE)*VLOOKUP(J$1,'Attrition Modeling'!$L$15:$N$27,IF(J$2-$F38&lt;=24,2,3),FALSE))*(1+Projection!L$16)*(1+IF(J170&gt;0,'Attrition Modeling'!$N$9,0))),0))</f>
        <v>0</v>
      </c>
      <c r="K38" s="799">
        <f>IF(K$2=$F38+1,Monthly!G$21,IF(K$2&gt;$F38+1,('Traditional Attrition'!J38+K170)*(1-IF(K$2-$F38&lt;=12,SUMIFS('Attrition Modeling'!$D:$D,'Attrition Modeling'!$B:$B,'Traditional Attrition'!$E38,'Attrition Modeling'!$C:$C,'Traditional Attrition'!K$1),VLOOKUP('Traditional Attrition'!K$2-'Traditional Attrition'!$F38-1,'Traditional Attrition'!$A$7:$C$161,2,FALSE)*VLOOKUP(K$1,'Attrition Modeling'!$L$15:$N$27,IF(K$2-$F38&lt;=24,2,3),FALSE))*(1+Projection!M$16)*(1+IF(K170&gt;0,'Attrition Modeling'!$N$9,0))),0))</f>
        <v>0</v>
      </c>
      <c r="L38" s="799">
        <f>IF(L$2=$F38+1,Monthly!H$21,IF(L$2&gt;$F38+1,('Traditional Attrition'!K38+L170)*(1-IF(L$2-$F38&lt;=12,SUMIFS('Attrition Modeling'!$D:$D,'Attrition Modeling'!$B:$B,'Traditional Attrition'!$E38,'Attrition Modeling'!$C:$C,'Traditional Attrition'!L$1),VLOOKUP('Traditional Attrition'!L$2-'Traditional Attrition'!$F38-1,'Traditional Attrition'!$A$7:$C$161,2,FALSE)*VLOOKUP(L$1,'Attrition Modeling'!$L$15:$N$27,IF(L$2-$F38&lt;=24,2,3),FALSE))*(1+Projection!N$16)*(1+IF(L170&gt;0,'Attrition Modeling'!$N$9,0))),0))</f>
        <v>0</v>
      </c>
      <c r="M38" s="799">
        <f>IF(M$2=$F38+1,Monthly!I$21,IF(M$2&gt;$F38+1,('Traditional Attrition'!L38+M170)*(1-IF(M$2-$F38&lt;=12,SUMIFS('Attrition Modeling'!$D:$D,'Attrition Modeling'!$B:$B,'Traditional Attrition'!$E38,'Attrition Modeling'!$C:$C,'Traditional Attrition'!M$1),VLOOKUP('Traditional Attrition'!M$2-'Traditional Attrition'!$F38-1,'Traditional Attrition'!$A$7:$C$161,2,FALSE)*VLOOKUP(M$1,'Attrition Modeling'!$L$15:$N$27,IF(M$2-$F38&lt;=24,2,3),FALSE))*(1+Projection!O$16)*(1+IF(M170&gt;0,'Attrition Modeling'!$N$9,0))),0))</f>
        <v>0</v>
      </c>
      <c r="N38" s="799">
        <f>IF(N$2=$F38+1,Monthly!J$21,IF(N$2&gt;$F38+1,('Traditional Attrition'!M38+N170)*(1-IF(N$2-$F38&lt;=12,SUMIFS('Attrition Modeling'!$D:$D,'Attrition Modeling'!$B:$B,'Traditional Attrition'!$E38,'Attrition Modeling'!$C:$C,'Traditional Attrition'!N$1),VLOOKUP('Traditional Attrition'!N$2-'Traditional Attrition'!$F38-1,'Traditional Attrition'!$A$7:$C$161,2,FALSE)*VLOOKUP(N$1,'Attrition Modeling'!$L$15:$N$27,IF(N$2-$F38&lt;=24,2,3),FALSE))*(1+Projection!P$16)*(1+IF(N170&gt;0,'Attrition Modeling'!$N$9,0))),0))</f>
        <v>0</v>
      </c>
      <c r="O38" s="799">
        <f>IF(O$2=$F38+1,Monthly!K$21,IF(O$2&gt;$F38+1,('Traditional Attrition'!N38+O170)*(1-IF(O$2-$F38&lt;=12,SUMIFS('Attrition Modeling'!$D:$D,'Attrition Modeling'!$B:$B,'Traditional Attrition'!$E38,'Attrition Modeling'!$C:$C,'Traditional Attrition'!O$1),VLOOKUP('Traditional Attrition'!O$2-'Traditional Attrition'!$F38-1,'Traditional Attrition'!$A$7:$C$161,2,FALSE)*VLOOKUP(O$1,'Attrition Modeling'!$L$15:$N$27,IF(O$2-$F38&lt;=24,2,3),FALSE))*(1+Projection!Q$16)*(1+IF(O170&gt;0,'Attrition Modeling'!$N$9,0))),0))</f>
        <v>0</v>
      </c>
      <c r="P38" s="799">
        <f>IF(P$2=$F38+1,Monthly!L$21,IF(P$2&gt;$F38+1,('Traditional Attrition'!O38+P170)*(1-IF(P$2-$F38&lt;=12,SUMIFS('Attrition Modeling'!$D:$D,'Attrition Modeling'!$B:$B,'Traditional Attrition'!$E38,'Attrition Modeling'!$C:$C,'Traditional Attrition'!P$1),VLOOKUP('Traditional Attrition'!P$2-'Traditional Attrition'!$F38-1,'Traditional Attrition'!$A$7:$C$161,2,FALSE)*VLOOKUP(P$1,'Attrition Modeling'!$L$15:$N$27,IF(P$2-$F38&lt;=24,2,3),FALSE))*(1+Projection!R$16)*(1+IF(P170&gt;0,'Attrition Modeling'!$N$9,0))),0))</f>
        <v>0</v>
      </c>
      <c r="Q38" s="799">
        <f>IF(Q$2=$F38+1,Monthly!M$21,IF(Q$2&gt;$F38+1,('Traditional Attrition'!P38+Q170)*(1-IF(Q$2-$F38&lt;=12,SUMIFS('Attrition Modeling'!$D:$D,'Attrition Modeling'!$B:$B,'Traditional Attrition'!$E38,'Attrition Modeling'!$C:$C,'Traditional Attrition'!Q$1),VLOOKUP('Traditional Attrition'!Q$2-'Traditional Attrition'!$F38-1,'Traditional Attrition'!$A$7:$C$161,2,FALSE)*VLOOKUP(Q$1,'Attrition Modeling'!$L$15:$N$27,IF(Q$2-$F38&lt;=24,2,3),FALSE))*(1+Projection!S$16)*(1+IF(Q170&gt;0,'Attrition Modeling'!$N$9,0))),0))</f>
        <v>0</v>
      </c>
      <c r="R38" s="799">
        <f>IF(R$2=$F38+1,Monthly!N$21,IF(R$2&gt;$F38+1,('Traditional Attrition'!Q38+R170)*(1-IF(R$2-$F38&lt;=12,SUMIFS('Attrition Modeling'!$D:$D,'Attrition Modeling'!$B:$B,'Traditional Attrition'!$E38,'Attrition Modeling'!$C:$C,'Traditional Attrition'!R$1),VLOOKUP('Traditional Attrition'!R$2-'Traditional Attrition'!$F38-1,'Traditional Attrition'!$A$7:$C$161,2,FALSE)*VLOOKUP(R$1,'Attrition Modeling'!$L$15:$N$27,IF(R$2-$F38&lt;=24,2,3),FALSE))*(1+Projection!T$16)*(1+IF(R170&gt;0,'Attrition Modeling'!$N$9,0))),0))</f>
        <v>0</v>
      </c>
      <c r="S38" s="799">
        <f>IF(S$2=$F38+1,Monthly!O$21,IF(S$2&gt;$F38+1,('Traditional Attrition'!R38+S170)*(1-IF(S$2-$F38&lt;=12,SUMIFS('Attrition Modeling'!$D:$D,'Attrition Modeling'!$B:$B,'Traditional Attrition'!$E38,'Attrition Modeling'!$C:$C,'Traditional Attrition'!S$1),VLOOKUP('Traditional Attrition'!S$2-'Traditional Attrition'!$F38-1,'Traditional Attrition'!$A$7:$C$161,2,FALSE)*VLOOKUP(S$1,'Attrition Modeling'!$L$15:$N$27,IF(S$2-$F38&lt;=24,2,3),FALSE))*(1+Projection!U$16)*(1+IF(S170&gt;0,'Attrition Modeling'!$N$9,0))),0))</f>
        <v>0</v>
      </c>
      <c r="T38" s="799">
        <f>IF(T$2=$F38+1,Monthly!P$21,IF(T$2&gt;$F38+1,('Traditional Attrition'!S38+T170)*(1-IF(T$2-$F38&lt;=12,SUMIFS('Attrition Modeling'!$D:$D,'Attrition Modeling'!$B:$B,'Traditional Attrition'!$E38,'Attrition Modeling'!$C:$C,'Traditional Attrition'!T$1),VLOOKUP('Traditional Attrition'!T$2-'Traditional Attrition'!$F38-1,'Traditional Attrition'!$A$7:$C$161,2,FALSE)*VLOOKUP(T$1,'Attrition Modeling'!$L$15:$N$27,IF(T$2-$F38&lt;=24,2,3),FALSE))*(1+Projection!V$16)*(1+IF(T170&gt;0,'Attrition Modeling'!$N$9,0))),0))</f>
        <v>0</v>
      </c>
      <c r="U38" s="799">
        <f>IF(U$2=$F38+1,Monthly!Q$21,IF(U$2&gt;$F38+1,('Traditional Attrition'!T38+U170)*(1-IF(U$2-$F38&lt;=12,SUMIFS('Attrition Modeling'!$D:$D,'Attrition Modeling'!$B:$B,'Traditional Attrition'!$E38,'Attrition Modeling'!$C:$C,'Traditional Attrition'!U$1),VLOOKUP('Traditional Attrition'!U$2-'Traditional Attrition'!$F38-1,'Traditional Attrition'!$A$7:$C$161,2,FALSE)*VLOOKUP(U$1,'Attrition Modeling'!$L$15:$N$27,IF(U$2-$F38&lt;=24,2,3),FALSE))*(1+Projection!W$16)*(1+IF(U170&gt;0,'Attrition Modeling'!$N$9,0))),0))</f>
        <v>0</v>
      </c>
      <c r="V38" s="799">
        <f>IF(V$2=$F38+1,Monthly!R$21,IF(V$2&gt;$F38+1,('Traditional Attrition'!U38+V170)*(1-IF(V$2-$F38&lt;=12,SUMIFS('Attrition Modeling'!$D:$D,'Attrition Modeling'!$B:$B,'Traditional Attrition'!$E38,'Attrition Modeling'!$C:$C,'Traditional Attrition'!V$1),VLOOKUP('Traditional Attrition'!V$2-'Traditional Attrition'!$F38-1,'Traditional Attrition'!$A$7:$C$161,2,FALSE)*VLOOKUP(V$1,'Attrition Modeling'!$L$15:$N$27,IF(V$2-$F38&lt;=24,2,3),FALSE))*(1+Projection!X$16)*(1+IF(V170&gt;0,'Attrition Modeling'!$N$9,0))),0))</f>
        <v>0</v>
      </c>
      <c r="W38" s="799">
        <f>IF(W$2=$F38+1,Monthly!S$21,IF(W$2&gt;$F38+1,('Traditional Attrition'!V38+W170)*(1-IF(W$2-$F38&lt;=12,SUMIFS('Attrition Modeling'!$D:$D,'Attrition Modeling'!$B:$B,'Traditional Attrition'!$E38,'Attrition Modeling'!$C:$C,'Traditional Attrition'!W$1),VLOOKUP('Traditional Attrition'!W$2-'Traditional Attrition'!$F38-1,'Traditional Attrition'!$A$7:$C$161,2,FALSE)*VLOOKUP(W$1,'Attrition Modeling'!$L$15:$N$27,IF(W$2-$F38&lt;=24,2,3),FALSE))*(1+Projection!Y$16)*(1+IF(W170&gt;0,'Attrition Modeling'!$N$9,0))),0))</f>
        <v>0</v>
      </c>
      <c r="X38" s="799">
        <f>IF(X$2=$F38+1,Monthly!T$21,IF(X$2&gt;$F38+1,('Traditional Attrition'!W38+X170)*(1-IF(X$2-$F38&lt;=12,SUMIFS('Attrition Modeling'!$D:$D,'Attrition Modeling'!$B:$B,'Traditional Attrition'!$E38,'Attrition Modeling'!$C:$C,'Traditional Attrition'!X$1),VLOOKUP('Traditional Attrition'!X$2-'Traditional Attrition'!$F38-1,'Traditional Attrition'!$A$7:$C$161,2,FALSE)*VLOOKUP(X$1,'Attrition Modeling'!$L$15:$N$27,IF(X$2-$F38&lt;=24,2,3),FALSE))*(1+Projection!Z$16)*(1+IF(X170&gt;0,'Attrition Modeling'!$N$9,0))),0))</f>
        <v>0</v>
      </c>
      <c r="Y38" s="799">
        <f>IF(Y$2=$F38+1,Monthly!U$21,IF(Y$2&gt;$F38+1,('Traditional Attrition'!X38+Y170)*(1-IF(Y$2-$F38&lt;=12,SUMIFS('Attrition Modeling'!$D:$D,'Attrition Modeling'!$B:$B,'Traditional Attrition'!$E38,'Attrition Modeling'!$C:$C,'Traditional Attrition'!Y$1),VLOOKUP('Traditional Attrition'!Y$2-'Traditional Attrition'!$F38-1,'Traditional Attrition'!$A$7:$C$161,2,FALSE)*VLOOKUP(Y$1,'Attrition Modeling'!$L$15:$N$27,IF(Y$2-$F38&lt;=24,2,3),FALSE))*(1+Projection!AA$16)*(1+IF(Y170&gt;0,'Attrition Modeling'!$N$9,0))),0))</f>
        <v>0</v>
      </c>
      <c r="Z38" s="799">
        <f>IF(Z$2=$F38+1,Monthly!V$21,IF(Z$2&gt;$F38+1,('Traditional Attrition'!Y38+Z170)*(1-IF(Z$2-$F38&lt;=12,SUMIFS('Attrition Modeling'!$D:$D,'Attrition Modeling'!$B:$B,'Traditional Attrition'!$E38,'Attrition Modeling'!$C:$C,'Traditional Attrition'!Z$1),VLOOKUP('Traditional Attrition'!Z$2-'Traditional Attrition'!$F38-1,'Traditional Attrition'!$A$7:$C$161,2,FALSE)*VLOOKUP(Z$1,'Attrition Modeling'!$L$15:$N$27,IF(Z$2-$F38&lt;=24,2,3),FALSE))*(1+Projection!AB$16)*(1+IF(Z170&gt;0,'Attrition Modeling'!$N$9,0))),0))</f>
        <v>0</v>
      </c>
      <c r="AA38" s="799">
        <f>IF(AA$2=$F38+1,Monthly!W$21,IF(AA$2&gt;$F38+1,('Traditional Attrition'!Z38+AA170)*(1-IF(AA$2-$F38&lt;=12,SUMIFS('Attrition Modeling'!$D:$D,'Attrition Modeling'!$B:$B,'Traditional Attrition'!$E38,'Attrition Modeling'!$C:$C,'Traditional Attrition'!AA$1),VLOOKUP('Traditional Attrition'!AA$2-'Traditional Attrition'!$F38-1,'Traditional Attrition'!$A$7:$C$161,2,FALSE)*VLOOKUP(AA$1,'Attrition Modeling'!$L$15:$N$27,IF(AA$2-$F38&lt;=24,2,3),FALSE))*(1+Projection!AC$16)*(1+IF(AA170&gt;0,'Attrition Modeling'!$N$9,0))),0))</f>
        <v>0</v>
      </c>
      <c r="AB38" s="799">
        <f>IF(AB$2=$F38+1,Monthly!X$21,IF(AB$2&gt;$F38+1,('Traditional Attrition'!AA38+AB170)*(1-IF(AB$2-$F38&lt;=12,SUMIFS('Attrition Modeling'!$D:$D,'Attrition Modeling'!$B:$B,'Traditional Attrition'!$E38,'Attrition Modeling'!$C:$C,'Traditional Attrition'!AB$1),VLOOKUP('Traditional Attrition'!AB$2-'Traditional Attrition'!$F38-1,'Traditional Attrition'!$A$7:$C$161,2,FALSE)*VLOOKUP(AB$1,'Attrition Modeling'!$L$15:$N$27,IF(AB$2-$F38&lt;=24,2,3),FALSE))*(1+Projection!AD$16)*(1+IF(AB170&gt;0,'Attrition Modeling'!$N$9,0))),0))</f>
        <v>0</v>
      </c>
      <c r="AC38" s="799">
        <f>IF(AC$2=$F38+1,Monthly!Y$21,IF(AC$2&gt;$F38+1,('Traditional Attrition'!AB38+AC170)*(1-IF(AC$2-$F38&lt;=12,SUMIFS('Attrition Modeling'!$D:$D,'Attrition Modeling'!$B:$B,'Traditional Attrition'!$E38,'Attrition Modeling'!$C:$C,'Traditional Attrition'!AC$1),VLOOKUP('Traditional Attrition'!AC$2-'Traditional Attrition'!$F38-1,'Traditional Attrition'!$A$7:$C$161,2,FALSE)*VLOOKUP(AC$1,'Attrition Modeling'!$L$15:$N$27,IF(AC$2-$F38&lt;=24,2,3),FALSE))*(1+Projection!AE$16)*(1+IF(AC170&gt;0,'Attrition Modeling'!$N$9,0))),0))</f>
        <v>0</v>
      </c>
      <c r="AD38" s="799">
        <f>IF(AD$2=$F38+1,Monthly!Z$21,IF(AD$2&gt;$F38+1,('Traditional Attrition'!AC38+AD170)*(1-IF(AD$2-$F38&lt;=12,SUMIFS('Attrition Modeling'!$D:$D,'Attrition Modeling'!$B:$B,'Traditional Attrition'!$E38,'Attrition Modeling'!$C:$C,'Traditional Attrition'!AD$1),VLOOKUP('Traditional Attrition'!AD$2-'Traditional Attrition'!$F38-1,'Traditional Attrition'!$A$7:$C$161,2,FALSE)*VLOOKUP(AD$1,'Attrition Modeling'!$L$15:$N$27,IF(AD$2-$F38&lt;=24,2,3),FALSE))*(1+Projection!AF$16)*(1+IF(AD170&gt;0,'Attrition Modeling'!$N$9,0))),0))</f>
        <v>0</v>
      </c>
      <c r="AE38" s="799">
        <f>IF(AE$2=$F38+1,Monthly!AA$21,IF(AE$2&gt;$F38+1,('Traditional Attrition'!AD38+AE170)*(1-IF(AE$2-$F38&lt;=12,SUMIFS('Attrition Modeling'!$D:$D,'Attrition Modeling'!$B:$B,'Traditional Attrition'!$E38,'Attrition Modeling'!$C:$C,'Traditional Attrition'!AE$1),VLOOKUP('Traditional Attrition'!AE$2-'Traditional Attrition'!$F38-1,'Traditional Attrition'!$A$7:$C$161,2,FALSE)*VLOOKUP(AE$1,'Attrition Modeling'!$L$15:$N$27,IF(AE$2-$F38&lt;=24,2,3),FALSE))*(1+Projection!AG$16)*(1+IF(AE170&gt;0,'Attrition Modeling'!$N$9,0))),0))</f>
        <v>0</v>
      </c>
      <c r="AF38" s="799">
        <f>IF(AF$2=$F38+1,Monthly!AB$21,IF(AF$2&gt;$F38+1,('Traditional Attrition'!AE38+AF170)*(1-IF(AF$2-$F38&lt;=12,SUMIFS('Attrition Modeling'!$D:$D,'Attrition Modeling'!$B:$B,'Traditional Attrition'!$E38,'Attrition Modeling'!$C:$C,'Traditional Attrition'!AF$1),VLOOKUP('Traditional Attrition'!AF$2-'Traditional Attrition'!$F38-1,'Traditional Attrition'!$A$7:$C$161,2,FALSE)*VLOOKUP(AF$1,'Attrition Modeling'!$L$15:$N$27,IF(AF$2-$F38&lt;=24,2,3),FALSE))*(1+Projection!AH$16)*(1+IF(AF170&gt;0,'Attrition Modeling'!$N$9,0))),0))</f>
        <v>0</v>
      </c>
      <c r="AG38" s="799">
        <f>IF(AG$2=$F38+1,Monthly!AC$21,IF(AG$2&gt;$F38+1,('Traditional Attrition'!AF38+AG170)*(1-IF(AG$2-$F38&lt;=12,SUMIFS('Attrition Modeling'!$D:$D,'Attrition Modeling'!$B:$B,'Traditional Attrition'!$E38,'Attrition Modeling'!$C:$C,'Traditional Attrition'!AG$1),VLOOKUP('Traditional Attrition'!AG$2-'Traditional Attrition'!$F38-1,'Traditional Attrition'!$A$7:$C$161,2,FALSE)*VLOOKUP(AG$1,'Attrition Modeling'!$L$15:$N$27,IF(AG$2-$F38&lt;=24,2,3),FALSE))*(1+Projection!AI$16)*(1+IF(AG170&gt;0,'Attrition Modeling'!$N$9,0))),0))</f>
        <v>0</v>
      </c>
      <c r="AH38" s="799">
        <f>IF(AH$2=$F38+1,Monthly!AD$21,IF(AH$2&gt;$F38+1,('Traditional Attrition'!AG38+AH170)*(1-IF(AH$2-$F38&lt;=12,SUMIFS('Attrition Modeling'!$D:$D,'Attrition Modeling'!$B:$B,'Traditional Attrition'!$E38,'Attrition Modeling'!$C:$C,'Traditional Attrition'!AH$1),VLOOKUP('Traditional Attrition'!AH$2-'Traditional Attrition'!$F38-1,'Traditional Attrition'!$A$7:$C$161,2,FALSE)*VLOOKUP(AH$1,'Attrition Modeling'!$L$15:$N$27,IF(AH$2-$F38&lt;=24,2,3),FALSE))*(1+Projection!AJ$16)*(1+IF(AH170&gt;0,'Attrition Modeling'!$N$9,0))),0))</f>
        <v>0</v>
      </c>
      <c r="AI38" s="799">
        <f>IF(AI$2=$F38+1,Monthly!AE$21,IF(AI$2&gt;$F38+1,('Traditional Attrition'!AH38+AI170)*(1-IF(AI$2-$F38&lt;=12,SUMIFS('Attrition Modeling'!$D:$D,'Attrition Modeling'!$B:$B,'Traditional Attrition'!$E38,'Attrition Modeling'!$C:$C,'Traditional Attrition'!AI$1),VLOOKUP('Traditional Attrition'!AI$2-'Traditional Attrition'!$F38-1,'Traditional Attrition'!$A$7:$C$161,2,FALSE)*VLOOKUP(AI$1,'Attrition Modeling'!$L$15:$N$27,IF(AI$2-$F38&lt;=24,2,3),FALSE))*(1+Projection!AK$16)*(1+IF(AI170&gt;0,'Attrition Modeling'!$N$9,0))),0))</f>
        <v>0</v>
      </c>
      <c r="AJ38" s="799">
        <f>IF(AJ$2=$F38+1,Monthly!AF$21,IF(AJ$2&gt;$F38+1,('Traditional Attrition'!AI38+AJ170)*(1-IF(AJ$2-$F38&lt;=12,SUMIFS('Attrition Modeling'!$D:$D,'Attrition Modeling'!$B:$B,'Traditional Attrition'!$E38,'Attrition Modeling'!$C:$C,'Traditional Attrition'!AJ$1),VLOOKUP('Traditional Attrition'!AJ$2-'Traditional Attrition'!$F38-1,'Traditional Attrition'!$A$7:$C$161,2,FALSE)*VLOOKUP(AJ$1,'Attrition Modeling'!$L$15:$N$27,IF(AJ$2-$F38&lt;=24,2,3),FALSE))*(1+Projection!AL$16)*(1+IF(AJ170&gt;0,'Attrition Modeling'!$N$9,0))),0))</f>
        <v>0</v>
      </c>
      <c r="AK38" s="799">
        <f>IF(AK$2=$F38+1,Monthly!AG$21,IF(AK$2&gt;$F38+1,('Traditional Attrition'!AJ38+AK170)*(1-IF(AK$2-$F38&lt;=12,SUMIFS('Attrition Modeling'!$D:$D,'Attrition Modeling'!$B:$B,'Traditional Attrition'!$E38,'Attrition Modeling'!$C:$C,'Traditional Attrition'!AK$1),VLOOKUP('Traditional Attrition'!AK$2-'Traditional Attrition'!$F38-1,'Traditional Attrition'!$A$7:$C$161,2,FALSE)*VLOOKUP(AK$1,'Attrition Modeling'!$L$15:$N$27,IF(AK$2-$F38&lt;=24,2,3),FALSE))*(1+Projection!AM$16)*(1+IF(AK170&gt;0,'Attrition Modeling'!$N$9,0))),0))</f>
        <v>0</v>
      </c>
      <c r="AL38" s="799">
        <f>IF(AL$2=$F38+1,Monthly!AH$21,IF(AL$2&gt;$F38+1,('Traditional Attrition'!AK38+AL170)*(1-IF(AL$2-$F38&lt;=12,SUMIFS('Attrition Modeling'!$D:$D,'Attrition Modeling'!$B:$B,'Traditional Attrition'!$E38,'Attrition Modeling'!$C:$C,'Traditional Attrition'!AL$1),VLOOKUP('Traditional Attrition'!AL$2-'Traditional Attrition'!$F38-1,'Traditional Attrition'!$A$7:$C$161,2,FALSE)*VLOOKUP(AL$1,'Attrition Modeling'!$L$15:$N$27,IF(AL$2-$F38&lt;=24,2,3),FALSE))*(1+Projection!AN$16)*(1+IF(AL170&gt;0,'Attrition Modeling'!$N$9,0))),0))</f>
        <v>0</v>
      </c>
      <c r="AM38" s="799">
        <f>IF(AM$2=$F38+1,Monthly!AI$21,IF(AM$2&gt;$F38+1,('Traditional Attrition'!AL38+AM170)*(1-IF(AM$2-$F38&lt;=12,SUMIFS('Attrition Modeling'!$D:$D,'Attrition Modeling'!$B:$B,'Traditional Attrition'!$E38,'Attrition Modeling'!$C:$C,'Traditional Attrition'!AM$1),VLOOKUP('Traditional Attrition'!AM$2-'Traditional Attrition'!$F38-1,'Traditional Attrition'!$A$7:$C$161,2,FALSE)*VLOOKUP(AM$1,'Attrition Modeling'!$L$15:$N$27,IF(AM$2-$F38&lt;=24,2,3),FALSE))*(1+Projection!AO$16)*(1+IF(AM170&gt;0,'Attrition Modeling'!$N$9,0))),0))</f>
        <v>0</v>
      </c>
      <c r="AN38" s="799">
        <f>IF(AN$2=$F38+1,Monthly!AJ$21,IF(AN$2&gt;$F38+1,('Traditional Attrition'!AM38+AN170)*(1-IF(AN$2-$F38&lt;=12,SUMIFS('Attrition Modeling'!$D:$D,'Attrition Modeling'!$B:$B,'Traditional Attrition'!$E38,'Attrition Modeling'!$C:$C,'Traditional Attrition'!AN$1),VLOOKUP('Traditional Attrition'!AN$2-'Traditional Attrition'!$F38-1,'Traditional Attrition'!$A$7:$C$161,2,FALSE)*VLOOKUP(AN$1,'Attrition Modeling'!$L$15:$N$27,IF(AN$2-$F38&lt;=24,2,3),FALSE))*(1+Projection!AP$16)*(1+IF(AN170&gt;0,'Attrition Modeling'!$N$9,0))),0))</f>
        <v>0</v>
      </c>
      <c r="AO38" s="799">
        <f>IF(AO$2=$F38+1,Monthly!AK$21,IF(AO$2&gt;$F38+1,('Traditional Attrition'!AN38+AO170)*(1-IF(AO$2-$F38&lt;=12,SUMIFS('Attrition Modeling'!$D:$D,'Attrition Modeling'!$B:$B,'Traditional Attrition'!$E38,'Attrition Modeling'!$C:$C,'Traditional Attrition'!AO$1),VLOOKUP('Traditional Attrition'!AO$2-'Traditional Attrition'!$F38-1,'Traditional Attrition'!$A$7:$C$161,2,FALSE)*VLOOKUP(AO$1,'Attrition Modeling'!$L$15:$N$27,IF(AO$2-$F38&lt;=24,2,3),FALSE))*(1+Projection!AQ$16)*(1+IF(AO170&gt;0,'Attrition Modeling'!$N$9,0))),0))</f>
        <v>0</v>
      </c>
      <c r="AP38" s="799">
        <f>IF(AP$2=$F38+1,Monthly!AL$21,IF(AP$2&gt;$F38+1,('Traditional Attrition'!AO38+AP170)*(1-IF(AP$2-$F38&lt;=12,SUMIFS('Attrition Modeling'!$D:$D,'Attrition Modeling'!$B:$B,'Traditional Attrition'!$E38,'Attrition Modeling'!$C:$C,'Traditional Attrition'!AP$1),VLOOKUP('Traditional Attrition'!AP$2-'Traditional Attrition'!$F38-1,'Traditional Attrition'!$A$7:$C$161,2,FALSE)*VLOOKUP(AP$1,'Attrition Modeling'!$L$15:$N$27,IF(AP$2-$F38&lt;=24,2,3),FALSE))*(1+Projection!AR$16)*(1+IF(AP170&gt;0,'Attrition Modeling'!$N$9,0))),0))</f>
        <v>0</v>
      </c>
      <c r="AQ38" s="799">
        <f>IF(AQ$2=$F38+1,Monthly!AM$21,IF(AQ$2&gt;$F38+1,('Traditional Attrition'!AP38+AQ170)*(1-IF(AQ$2-$F38&lt;=12,SUMIFS('Attrition Modeling'!$D:$D,'Attrition Modeling'!$B:$B,'Traditional Attrition'!$E38,'Attrition Modeling'!$C:$C,'Traditional Attrition'!AQ$1),VLOOKUP('Traditional Attrition'!AQ$2-'Traditional Attrition'!$F38-1,'Traditional Attrition'!$A$7:$C$161,2,FALSE)*VLOOKUP(AQ$1,'Attrition Modeling'!$L$15:$N$27,IF(AQ$2-$F38&lt;=24,2,3),FALSE))*(1+Projection!AS$16)*(1+IF(AQ170&gt;0,'Attrition Modeling'!$N$9,0))),0))</f>
        <v>12139.877173747924</v>
      </c>
      <c r="AR38" s="799">
        <f>IF(AR$2=$F38+1,Monthly!AN$21,IF(AR$2&gt;$F38+1,('Traditional Attrition'!AQ38+AR170)*(1-IF(AR$2-$F38&lt;=12,SUMIFS('Attrition Modeling'!$D:$D,'Attrition Modeling'!$B:$B,'Traditional Attrition'!$E38,'Attrition Modeling'!$C:$C,'Traditional Attrition'!AR$1),VLOOKUP('Traditional Attrition'!AR$2-'Traditional Attrition'!$F38-1,'Traditional Attrition'!$A$7:$C$161,2,FALSE)*VLOOKUP(AR$1,'Attrition Modeling'!$L$15:$N$27,IF(AR$2-$F38&lt;=24,2,3),FALSE))*(1+Projection!AT$16)*(1+IF(AR170&gt;0,'Attrition Modeling'!$N$9,0))),0))</f>
        <v>11037.639453732916</v>
      </c>
      <c r="AS38" s="799">
        <f>IF(AS$2=$F38+1,Monthly!AO$21,IF(AS$2&gt;$F38+1,('Traditional Attrition'!AR38+AS170)*(1-IF(AS$2-$F38&lt;=12,SUMIFS('Attrition Modeling'!$D:$D,'Attrition Modeling'!$B:$B,'Traditional Attrition'!$E38,'Attrition Modeling'!$C:$C,'Traditional Attrition'!AS$1),VLOOKUP('Traditional Attrition'!AS$2-'Traditional Attrition'!$F38-1,'Traditional Attrition'!$A$7:$C$161,2,FALSE)*VLOOKUP(AS$1,'Attrition Modeling'!$L$15:$N$27,IF(AS$2-$F38&lt;=24,2,3),FALSE))*(1+Projection!AU$16)*(1+IF(AS170&gt;0,'Attrition Modeling'!$N$9,0))),0))</f>
        <v>10182.015109199674</v>
      </c>
      <c r="AT38" s="799">
        <f>IF(AT$2=$F38+1,Monthly!AP$21,IF(AT$2&gt;$F38+1,('Traditional Attrition'!AS38+AT170)*(1-IF(AT$2-$F38&lt;=12,SUMIFS('Attrition Modeling'!$D:$D,'Attrition Modeling'!$B:$B,'Traditional Attrition'!$E38,'Attrition Modeling'!$C:$C,'Traditional Attrition'!AT$1),VLOOKUP('Traditional Attrition'!AT$2-'Traditional Attrition'!$F38-1,'Traditional Attrition'!$A$7:$C$161,2,FALSE)*VLOOKUP(AT$1,'Attrition Modeling'!$L$15:$N$27,IF(AT$2-$F38&lt;=24,2,3),FALSE))*(1+Projection!AV$16)*(1+IF(AT170&gt;0,'Attrition Modeling'!$N$9,0))),0))</f>
        <v>9275.3103292508822</v>
      </c>
      <c r="AU38" s="799">
        <f>IF(AU$2=$F38+1,Monthly!AQ$21,IF(AU$2&gt;$F38+1,('Traditional Attrition'!AT38+AU170)*(1-IF(AU$2-$F38&lt;=12,SUMIFS('Attrition Modeling'!$D:$D,'Attrition Modeling'!$B:$B,'Traditional Attrition'!$E38,'Attrition Modeling'!$C:$C,'Traditional Attrition'!AU$1),VLOOKUP('Traditional Attrition'!AU$2-'Traditional Attrition'!$F38-1,'Traditional Attrition'!$A$7:$C$161,2,FALSE)*VLOOKUP(AU$1,'Attrition Modeling'!$L$15:$N$27,IF(AU$2-$F38&lt;=24,2,3),FALSE))*(1+Projection!AW$16)*(1+IF(AU170&gt;0,'Attrition Modeling'!$N$9,0))),0))</f>
        <v>8545.2579807307047</v>
      </c>
      <c r="AV38" s="799">
        <f>IF(AV$2=$F38+1,Monthly!AR$21,IF(AV$2&gt;$F38+1,('Traditional Attrition'!AU38+AV170)*(1-IF(AV$2-$F38&lt;=12,SUMIFS('Attrition Modeling'!$D:$D,'Attrition Modeling'!$B:$B,'Traditional Attrition'!$E38,'Attrition Modeling'!$C:$C,'Traditional Attrition'!AV$1),VLOOKUP('Traditional Attrition'!AV$2-'Traditional Attrition'!$F38-1,'Traditional Attrition'!$A$7:$C$161,2,FALSE)*VLOOKUP(AV$1,'Attrition Modeling'!$L$15:$N$27,IF(AV$2-$F38&lt;=24,2,3),FALSE))*(1+Projection!AX$16)*(1+IF(AV170&gt;0,'Attrition Modeling'!$N$9,0))),0))</f>
        <v>8427.182725724113</v>
      </c>
      <c r="AW38" s="799">
        <f>IF(AW$2=$F38+1,Monthly!AS$21,IF(AW$2&gt;$F38+1,('Traditional Attrition'!AV38+AW170)*(1-IF(AW$2-$F38&lt;=12,SUMIFS('Attrition Modeling'!$D:$D,'Attrition Modeling'!$B:$B,'Traditional Attrition'!$E38,'Attrition Modeling'!$C:$C,'Traditional Attrition'!AW$1),VLOOKUP('Traditional Attrition'!AW$2-'Traditional Attrition'!$F38-1,'Traditional Attrition'!$A$7:$C$161,2,FALSE)*VLOOKUP(AW$1,'Attrition Modeling'!$L$15:$N$27,IF(AW$2-$F38&lt;=24,2,3),FALSE))*(1+Projection!AY$16)*(1+IF(AW170&gt;0,'Attrition Modeling'!$N$9,0))),0))</f>
        <v>7830.0670249566501</v>
      </c>
      <c r="AX38" s="799">
        <f>IF(AX$2=$F38+1,Monthly!AT$21,IF(AX$2&gt;$F38+1,('Traditional Attrition'!AW38+AX170)*(1-IF(AX$2-$F38&lt;=12,SUMIFS('Attrition Modeling'!$D:$D,'Attrition Modeling'!$B:$B,'Traditional Attrition'!$E38,'Attrition Modeling'!$C:$C,'Traditional Attrition'!AX$1),VLOOKUP('Traditional Attrition'!AX$2-'Traditional Attrition'!$F38-1,'Traditional Attrition'!$A$7:$C$161,2,FALSE)*VLOOKUP(AX$1,'Attrition Modeling'!$L$15:$N$27,IF(AX$2-$F38&lt;=24,2,3),FALSE))*(1+Projection!AZ$16)*(1+IF(AX170&gt;0,'Attrition Modeling'!$N$9,0))),0))</f>
        <v>7291.0075483362443</v>
      </c>
      <c r="AY38" s="799">
        <f>IF(AY$2=$F38+1,Monthly!AU$21,IF(AY$2&gt;$F38+1,('Traditional Attrition'!AX38+AY170)*(1-IF(AY$2-$F38&lt;=12,SUMIFS('Attrition Modeling'!$D:$D,'Attrition Modeling'!$B:$B,'Traditional Attrition'!$E38,'Attrition Modeling'!$C:$C,'Traditional Attrition'!AY$1),VLOOKUP('Traditional Attrition'!AY$2-'Traditional Attrition'!$F38-1,'Traditional Attrition'!$A$7:$C$161,2,FALSE)*VLOOKUP(AY$1,'Attrition Modeling'!$L$15:$N$27,IF(AY$2-$F38&lt;=24,2,3),FALSE))*(1+Projection!BA$16)*(1+IF(AY170&gt;0,'Attrition Modeling'!$N$9,0))),0))</f>
        <v>6794.8711810792483</v>
      </c>
      <c r="AZ38" s="799">
        <f>IF(AZ$2=$F38+1,Monthly!AV$21,IF(AZ$2&gt;$F38+1,('Traditional Attrition'!AY38+AZ170)*(1-IF(AZ$2-$F38&lt;=12,SUMIFS('Attrition Modeling'!$D:$D,'Attrition Modeling'!$B:$B,'Traditional Attrition'!$E38,'Attrition Modeling'!$C:$C,'Traditional Attrition'!AZ$1),VLOOKUP('Traditional Attrition'!AZ$2-'Traditional Attrition'!$F38-1,'Traditional Attrition'!$A$7:$C$161,2,FALSE)*VLOOKUP(AZ$1,'Attrition Modeling'!$L$15:$N$27,IF(AZ$2-$F38&lt;=24,2,3),FALSE))*(1+Projection!BB$16)*(1+IF(AZ170&gt;0,'Attrition Modeling'!$N$9,0))),0))</f>
        <v>6411.6547156958586</v>
      </c>
      <c r="BA38" s="799">
        <f>IF(BA$2=$F38+1,Monthly!AW$21,IF(BA$2&gt;$F38+1,('Traditional Attrition'!AZ38+BA170)*(1-IF(BA$2-$F38&lt;=12,SUMIFS('Attrition Modeling'!$D:$D,'Attrition Modeling'!$B:$B,'Traditional Attrition'!$E38,'Attrition Modeling'!$C:$C,'Traditional Attrition'!BA$1),VLOOKUP('Traditional Attrition'!BA$2-'Traditional Attrition'!$F38-1,'Traditional Attrition'!$A$7:$C$161,2,FALSE)*VLOOKUP(BA$1,'Attrition Modeling'!$L$15:$N$27,IF(BA$2-$F38&lt;=24,2,3),FALSE))*(1+Projection!BC$16)*(1+IF(BA170&gt;0,'Attrition Modeling'!$N$9,0))),0))</f>
        <v>6045.9343795283976</v>
      </c>
      <c r="BB38" s="799">
        <f>IF(BB$2=$F38+1,Monthly!AX$21,IF(BB$2&gt;$F38+1,('Traditional Attrition'!BA38+BB170)*(1-IF(BB$2-$F38&lt;=12,SUMIFS('Attrition Modeling'!$D:$D,'Attrition Modeling'!$B:$B,'Traditional Attrition'!$E38,'Attrition Modeling'!$C:$C,'Traditional Attrition'!BB$1),VLOOKUP('Traditional Attrition'!BB$2-'Traditional Attrition'!$F38-1,'Traditional Attrition'!$A$7:$C$161,2,FALSE)*VLOOKUP(BB$1,'Attrition Modeling'!$L$15:$N$27,IF(BB$2-$F38&lt;=24,2,3),FALSE))*(1+Projection!BD$16)*(1+IF(BB170&gt;0,'Attrition Modeling'!$N$9,0))),0))</f>
        <v>5883.4557576349198</v>
      </c>
      <c r="BC38" s="799">
        <f>IF(BC$2=$F38+1,Monthly!AY$21,IF(BC$2&gt;$F38+1,('Traditional Attrition'!BB38+BC170)*(1-IF(BC$2-$F38&lt;=12,SUMIFS('Attrition Modeling'!$D:$D,'Attrition Modeling'!$B:$B,'Traditional Attrition'!$E38,'Attrition Modeling'!$C:$C,'Traditional Attrition'!BC$1),VLOOKUP('Traditional Attrition'!BC$2-'Traditional Attrition'!$F38-1,'Traditional Attrition'!$A$7:$C$161,2,FALSE)*VLOOKUP(BC$1,'Attrition Modeling'!$L$15:$N$27,IF(BC$2-$F38&lt;=24,2,3),FALSE))*(1+Projection!BE$16)*(1+IF(BC170&gt;0,'Attrition Modeling'!$N$9,0))),0))</f>
        <v>5567.0001189253353</v>
      </c>
      <c r="BD38" s="799">
        <f>IF(BD$2=$F38+1,Monthly!AZ$21,IF(BD$2&gt;$F38+1,('Traditional Attrition'!BC38+BD170)*(1-IF(BD$2-$F38&lt;=12,SUMIFS('Attrition Modeling'!$D:$D,'Attrition Modeling'!$B:$B,'Traditional Attrition'!$E38,'Attrition Modeling'!$C:$C,'Traditional Attrition'!BD$1),VLOOKUP('Traditional Attrition'!BD$2-'Traditional Attrition'!$F38-1,'Traditional Attrition'!$A$7:$C$161,2,FALSE)*VLOOKUP(BD$1,'Attrition Modeling'!$L$15:$N$27,IF(BD$2-$F38&lt;=24,2,3),FALSE))*(1+Projection!BF$16)*(1+IF(BD170&gt;0,'Attrition Modeling'!$N$9,0))),0))</f>
        <v>5290.4448144361486</v>
      </c>
      <c r="BE38" s="799">
        <f>IF(BE$2=$F38+1,Monthly!BA$21,IF(BE$2&gt;$F38+1,('Traditional Attrition'!BD38+BE170)*(1-IF(BE$2-$F38&lt;=12,SUMIFS('Attrition Modeling'!$D:$D,'Attrition Modeling'!$B:$B,'Traditional Attrition'!$E38,'Attrition Modeling'!$C:$C,'Traditional Attrition'!BE$1),VLOOKUP('Traditional Attrition'!BE$2-'Traditional Attrition'!$F38-1,'Traditional Attrition'!$A$7:$C$161,2,FALSE)*VLOOKUP(BE$1,'Attrition Modeling'!$L$15:$N$27,IF(BE$2-$F38&lt;=24,2,3),FALSE))*(1+Projection!BG$16)*(1+IF(BE170&gt;0,'Attrition Modeling'!$N$9,0))),0))</f>
        <v>5064.9653738154084</v>
      </c>
      <c r="BF38" s="799">
        <f>IF(BF$2=$F38+1,Monthly!BB$21,IF(BF$2&gt;$F38+1,('Traditional Attrition'!BE38+BF170)*(1-IF(BF$2-$F38&lt;=12,SUMIFS('Attrition Modeling'!$D:$D,'Attrition Modeling'!$B:$B,'Traditional Attrition'!$E38,'Attrition Modeling'!$C:$C,'Traditional Attrition'!BF$1),VLOOKUP('Traditional Attrition'!BF$2-'Traditional Attrition'!$F38-1,'Traditional Attrition'!$A$7:$C$161,2,FALSE)*VLOOKUP(BF$1,'Attrition Modeling'!$L$15:$N$27,IF(BF$2-$F38&lt;=24,2,3),FALSE))*(1+Projection!BH$16)*(1+IF(BF170&gt;0,'Attrition Modeling'!$N$9,0))),0))</f>
        <v>4838.562310070377</v>
      </c>
      <c r="BG38" s="799">
        <f>IF(BG$2=$F38+1,Monthly!BC$21,IF(BG$2&gt;$F38+1,('Traditional Attrition'!BF38+BG170)*(1-IF(BG$2-$F38&lt;=12,SUMIFS('Attrition Modeling'!$D:$D,'Attrition Modeling'!$B:$B,'Traditional Attrition'!$E38,'Attrition Modeling'!$C:$C,'Traditional Attrition'!BG$1),VLOOKUP('Traditional Attrition'!BG$2-'Traditional Attrition'!$F38-1,'Traditional Attrition'!$A$7:$C$161,2,FALSE)*VLOOKUP(BG$1,'Attrition Modeling'!$L$15:$N$27,IF(BG$2-$F38&lt;=24,2,3),FALSE))*(1+Projection!BI$16)*(1+IF(BG170&gt;0,'Attrition Modeling'!$N$9,0))),0))</f>
        <v>4632.1612001410977</v>
      </c>
      <c r="BH38" s="799">
        <f>IF(BH$2=$F38+1,Monthly!BD$21,IF(BH$2&gt;$F38+1,('Traditional Attrition'!BG38+BH170)*(1-IF(BH$2-$F38&lt;=12,SUMIFS('Attrition Modeling'!$D:$D,'Attrition Modeling'!$B:$B,'Traditional Attrition'!$E38,'Attrition Modeling'!$C:$C,'Traditional Attrition'!BH$1),VLOOKUP('Traditional Attrition'!BH$2-'Traditional Attrition'!$F38-1,'Traditional Attrition'!$A$7:$C$161,2,FALSE)*VLOOKUP(BH$1,'Attrition Modeling'!$L$15:$N$27,IF(BH$2-$F38&lt;=24,2,3),FALSE))*(1+Projection!BJ$16)*(1+IF(BH170&gt;0,'Attrition Modeling'!$N$9,0))),0))</f>
        <v>4825.2135421493385</v>
      </c>
      <c r="BI38" s="799">
        <f>IF(BI$2=$F38+1,Monthly!BE$21,IF(BI$2&gt;$F38+1,('Traditional Attrition'!BH38+BI170)*(1-IF(BI$2-$F38&lt;=12,SUMIFS('Attrition Modeling'!$D:$D,'Attrition Modeling'!$B:$B,'Traditional Attrition'!$E38,'Attrition Modeling'!$C:$C,'Traditional Attrition'!BI$1),VLOOKUP('Traditional Attrition'!BI$2-'Traditional Attrition'!$F38-1,'Traditional Attrition'!$A$7:$C$161,2,FALSE)*VLOOKUP(BI$1,'Attrition Modeling'!$L$15:$N$27,IF(BI$2-$F38&lt;=24,2,3),FALSE))*(1+Projection!BK$16)*(1+IF(BI170&gt;0,'Attrition Modeling'!$N$9,0))),0))</f>
        <v>4611.101211785096</v>
      </c>
      <c r="BJ38" s="799">
        <f>IF(BJ$2=$F38+1,Monthly!BF$21,IF(BJ$2&gt;$F38+1,('Traditional Attrition'!BI38+BJ170)*(1-IF(BJ$2-$F38&lt;=12,SUMIFS('Attrition Modeling'!$D:$D,'Attrition Modeling'!$B:$B,'Traditional Attrition'!$E38,'Attrition Modeling'!$C:$C,'Traditional Attrition'!BJ$1),VLOOKUP('Traditional Attrition'!BJ$2-'Traditional Attrition'!$F38-1,'Traditional Attrition'!$A$7:$C$161,2,FALSE)*VLOOKUP(BJ$1,'Attrition Modeling'!$L$15:$N$27,IF(BJ$2-$F38&lt;=24,2,3),FALSE))*(1+Projection!BL$16)*(1+IF(BJ170&gt;0,'Attrition Modeling'!$N$9,0))),0))</f>
        <v>4405.6261546437399</v>
      </c>
      <c r="BK38" s="799">
        <f>IF(BK$2=$F38+1,Monthly!BG$21,IF(BK$2&gt;$F38+1,('Traditional Attrition'!BJ38+BK170)*(1-IF(BK$2-$F38&lt;=12,SUMIFS('Attrition Modeling'!$D:$D,'Attrition Modeling'!$B:$B,'Traditional Attrition'!$E38,'Attrition Modeling'!$C:$C,'Traditional Attrition'!BK$1),VLOOKUP('Traditional Attrition'!BK$2-'Traditional Attrition'!$F38-1,'Traditional Attrition'!$A$7:$C$161,2,FALSE)*VLOOKUP(BK$1,'Attrition Modeling'!$L$15:$N$27,IF(BK$2-$F38&lt;=24,2,3),FALSE))*(1+Projection!BM$16)*(1+IF(BK170&gt;0,'Attrition Modeling'!$N$9,0))),0))</f>
        <v>4204.1267701261741</v>
      </c>
      <c r="BL38" s="799">
        <f>IF(BL$2=$F38+1,Monthly!BH$21,IF(BL$2&gt;$F38+1,('Traditional Attrition'!BK38+BL170)*(1-IF(BL$2-$F38&lt;=12,SUMIFS('Attrition Modeling'!$D:$D,'Attrition Modeling'!$B:$B,'Traditional Attrition'!$E38,'Attrition Modeling'!$C:$C,'Traditional Attrition'!BL$1),VLOOKUP('Traditional Attrition'!BL$2-'Traditional Attrition'!$F38-1,'Traditional Attrition'!$A$7:$C$161,2,FALSE)*VLOOKUP(BL$1,'Attrition Modeling'!$L$15:$N$27,IF(BL$2-$F38&lt;=24,2,3),FALSE))*(1+Projection!BN$16)*(1+IF(BL170&gt;0,'Attrition Modeling'!$N$9,0))),0))</f>
        <v>4031.5153547008968</v>
      </c>
      <c r="BM38" s="799">
        <f>IF(BM$2=$F38+1,Monthly!BI$21,IF(BM$2&gt;$F38+1,('Traditional Attrition'!BL38+BM170)*(1-IF(BM$2-$F38&lt;=12,SUMIFS('Attrition Modeling'!$D:$D,'Attrition Modeling'!$B:$B,'Traditional Attrition'!$E38,'Attrition Modeling'!$C:$C,'Traditional Attrition'!BM$1),VLOOKUP('Traditional Attrition'!BM$2-'Traditional Attrition'!$F38-1,'Traditional Attrition'!$A$7:$C$161,2,FALSE)*VLOOKUP(BM$1,'Attrition Modeling'!$L$15:$N$27,IF(BM$2-$F38&lt;=24,2,3),FALSE))*(1+Projection!BO$16)*(1+IF(BM170&gt;0,'Attrition Modeling'!$N$9,0))),0))</f>
        <v>3864.5808078416358</v>
      </c>
      <c r="BN38" s="799">
        <f>IF(BN$2=$F38+1,Monthly!BJ$21,IF(BN$2&gt;$F38+1,('Traditional Attrition'!BM38+BN170)*(1-IF(BN$2-$F38&lt;=12,SUMIFS('Attrition Modeling'!$D:$D,'Attrition Modeling'!$B:$B,'Traditional Attrition'!$E38,'Attrition Modeling'!$C:$C,'Traditional Attrition'!BN$1),VLOOKUP('Traditional Attrition'!BN$2-'Traditional Attrition'!$F38-1,'Traditional Attrition'!$A$7:$C$161,2,FALSE)*VLOOKUP(BN$1,'Attrition Modeling'!$L$15:$N$27,IF(BN$2-$F38&lt;=24,2,3),FALSE))*(1+Projection!BP$16)*(1+IF(BN170&gt;0,'Attrition Modeling'!$N$9,0))),0))</f>
        <v>3712.6777446853744</v>
      </c>
      <c r="BO38" s="799">
        <f>IF(BO$2=$F38+1,Monthly!BK$21,IF(BO$2&gt;$F38+1,('Traditional Attrition'!BN38+BO170)*(1-IF(BO$2-$F38&lt;=12,SUMIFS('Attrition Modeling'!$D:$D,'Attrition Modeling'!$B:$B,'Traditional Attrition'!$E38,'Attrition Modeling'!$C:$C,'Traditional Attrition'!BO$1),VLOOKUP('Traditional Attrition'!BO$2-'Traditional Attrition'!$F38-1,'Traditional Attrition'!$A$7:$C$161,2,FALSE)*VLOOKUP(BO$1,'Attrition Modeling'!$L$15:$N$27,IF(BO$2-$F38&lt;=24,2,3),FALSE))*(1+Projection!BV$16)*(1+IF(BO170&gt;0,'Attrition Modeling'!$N$9,0))),0))</f>
        <v>3592.7333626982627</v>
      </c>
      <c r="BP38" s="799">
        <f>IF(BP$2=$F38+1,Monthly!BL$21,IF(BP$2&gt;$F38+1,('Traditional Attrition'!BO38+BP170)*(1-IF(BP$2-$F38&lt;=12,SUMIFS('Attrition Modeling'!$D:$D,'Attrition Modeling'!$B:$B,'Traditional Attrition'!$E38,'Attrition Modeling'!$C:$C,'Traditional Attrition'!BP$1),VLOOKUP('Traditional Attrition'!BP$2-'Traditional Attrition'!$F38-1,'Traditional Attrition'!$A$7:$C$161,2,FALSE)*VLOOKUP(BP$1,'Attrition Modeling'!$L$15:$N$27,IF(BP$2-$F38&lt;=24,2,3),FALSE))*(1+Projection!BW$16)*(1+IF(BP170&gt;0,'Attrition Modeling'!$N$9,0))),0))</f>
        <v>3466.0222968017961</v>
      </c>
      <c r="BQ38" s="799">
        <f>IF(BQ$2=$F38+1,Monthly!BM$21,IF(BQ$2&gt;$F38+1,('Traditional Attrition'!BP38+BQ170)*(1-IF(BQ$2-$F38&lt;=12,SUMIFS('Attrition Modeling'!$D:$D,'Attrition Modeling'!$B:$B,'Traditional Attrition'!$E38,'Attrition Modeling'!$C:$C,'Traditional Attrition'!BQ$1),VLOOKUP('Traditional Attrition'!BQ$2-'Traditional Attrition'!$F38-1,'Traditional Attrition'!$A$7:$C$161,2,FALSE)*VLOOKUP(BQ$1,'Attrition Modeling'!$L$15:$N$27,IF(BQ$2-$F38&lt;=24,2,3),FALSE))*(1+Projection!BX$16)*(1+IF(BQ170&gt;0,'Attrition Modeling'!$N$9,0))),0))</f>
        <v>3349.2187459369129</v>
      </c>
      <c r="BR38" s="799">
        <f>IF(BR$2=$F38+1,Monthly!BN$21,IF(BR$2&gt;$F38+1,('Traditional Attrition'!BQ38+BR170)*(1-IF(BR$2-$F38&lt;=12,SUMIFS('Attrition Modeling'!$D:$D,'Attrition Modeling'!$B:$B,'Traditional Attrition'!$E38,'Attrition Modeling'!$C:$C,'Traditional Attrition'!BR$1),VLOOKUP('Traditional Attrition'!BR$2-'Traditional Attrition'!$F38-1,'Traditional Attrition'!$A$7:$C$161,2,FALSE)*VLOOKUP(BR$1,'Attrition Modeling'!$L$15:$N$27,IF(BR$2-$F38&lt;=24,2,3),FALSE))*(1+Projection!BY$16)*(1+IF(BR170&gt;0,'Attrition Modeling'!$N$9,0))),0))</f>
        <v>3242.5212833809164</v>
      </c>
      <c r="BS38" s="799">
        <f>IF(BS$2=$F38+1,Monthly!BO$21,IF(BS$2&gt;$F38+1,('Traditional Attrition'!BR38+BS170)*(1-IF(BS$2-$F38&lt;=12,SUMIFS('Attrition Modeling'!$D:$D,'Attrition Modeling'!$B:$B,'Traditional Attrition'!$E38,'Attrition Modeling'!$C:$C,'Traditional Attrition'!BS$1),VLOOKUP('Traditional Attrition'!BS$2-'Traditional Attrition'!$F38-1,'Traditional Attrition'!$A$7:$C$161,2,FALSE)*VLOOKUP(BS$1,'Attrition Modeling'!$L$15:$N$27,IF(BS$2-$F38&lt;=24,2,3),FALSE))*(1+Projection!BZ$16)*(1+IF(BS170&gt;0,'Attrition Modeling'!$N$9,0))),0))</f>
        <v>3161.4273660514423</v>
      </c>
      <c r="BT38" s="799">
        <f>IF(BT$2=$F38+1,Monthly!#REF!,IF(BT$2&gt;$F38+1,('Traditional Attrition'!BS38+BT170)*(1-IF(BT$2-$F38&lt;=12,SUMIFS('Attrition Modeling'!$D:$D,'Attrition Modeling'!$B:$B,'Traditional Attrition'!$E38,'Attrition Modeling'!$C:$C,'Traditional Attrition'!BT$1),VLOOKUP('Traditional Attrition'!BT$2-'Traditional Attrition'!$F38-1,'Traditional Attrition'!$A$7:$C$161,2,FALSE)*VLOOKUP(BT$1,'Attrition Modeling'!$L$15:$N$27,IF(BT$2-$F38&lt;=24,2,3),FALSE))*(1+Projection!CA$16)*(1+IF(BT170&gt;0,'Attrition Modeling'!$N$9,0))),0))</f>
        <v>3340.9582997437519</v>
      </c>
      <c r="BU38" s="799">
        <f>IF(BU$2=$F38+1,Monthly!#REF!,IF(BU$2&gt;$F38+1,('Traditional Attrition'!BT38+BU170)*(1-IF(BU$2-$F38&lt;=12,SUMIFS('Attrition Modeling'!$D:$D,'Attrition Modeling'!$B:$B,'Traditional Attrition'!$E38,'Attrition Modeling'!$C:$C,'Traditional Attrition'!BU$1),VLOOKUP('Traditional Attrition'!BU$2-'Traditional Attrition'!$F38-1,'Traditional Attrition'!$A$7:$C$161,2,FALSE)*VLOOKUP(BU$1,'Attrition Modeling'!$L$15:$N$27,IF(BU$2-$F38&lt;=24,2,3),FALSE))*(1+Projection!CB$16)*(1+IF(BU170&gt;0,'Attrition Modeling'!$N$9,0))),0))</f>
        <v>3228.66697372814</v>
      </c>
    </row>
    <row r="39" spans="1:73" ht="14.25" customHeight="1" x14ac:dyDescent="0.2">
      <c r="A39" s="9">
        <v>32</v>
      </c>
      <c r="B39" s="25">
        <f>MAX('Attrition Modeling'!H36,$C$3)*(1-Summary!$C$20)</f>
        <v>3.1972584752881415E-2</v>
      </c>
      <c r="C39" s="24" t="e">
        <f t="shared" si="4"/>
        <v>#DIV/0!</v>
      </c>
      <c r="E39" s="11">
        <f t="shared" si="2"/>
        <v>12</v>
      </c>
      <c r="F39" s="11">
        <f t="shared" si="3"/>
        <v>36</v>
      </c>
      <c r="G39" s="799"/>
      <c r="H39" s="799">
        <f>IF(H$2=$F39+1,Monthly!D$21,IF(H$2&gt;$F39+1,('Traditional Attrition'!G39+H171)*(1-IF(H$2-$F39&lt;=12,SUMIFS('Attrition Modeling'!$D:$D,'Attrition Modeling'!$B:$B,'Traditional Attrition'!$E39,'Attrition Modeling'!$C:$C,'Traditional Attrition'!H$1),VLOOKUP('Traditional Attrition'!H$2-'Traditional Attrition'!$F39-1,'Traditional Attrition'!$A$7:$C$161,2,FALSE)*VLOOKUP(H$1,'Attrition Modeling'!$L$15:$N$27,IF(H$2-$F39&lt;=24,2,3),FALSE))*(1+Projection!J$16)*(1+IF(H171&gt;0,'Attrition Modeling'!$N$9,0))),0))</f>
        <v>0</v>
      </c>
      <c r="I39" s="799">
        <f>IF(I$2=$F39+1,Monthly!E$21,IF(I$2&gt;$F39+1,('Traditional Attrition'!H39+I171)*(1-IF(I$2-$F39&lt;=12,SUMIFS('Attrition Modeling'!$D:$D,'Attrition Modeling'!$B:$B,'Traditional Attrition'!$E39,'Attrition Modeling'!$C:$C,'Traditional Attrition'!I$1),VLOOKUP('Traditional Attrition'!I$2-'Traditional Attrition'!$F39-1,'Traditional Attrition'!$A$7:$C$161,2,FALSE)*VLOOKUP(I$1,'Attrition Modeling'!$L$15:$N$27,IF(I$2-$F39&lt;=24,2,3),FALSE))*(1+Projection!K$16)*(1+IF(I171&gt;0,'Attrition Modeling'!$N$9,0))),0))</f>
        <v>0</v>
      </c>
      <c r="J39" s="799">
        <f>IF(J$2=$F39+1,Monthly!F$21,IF(J$2&gt;$F39+1,('Traditional Attrition'!I39+J171)*(1-IF(J$2-$F39&lt;=12,SUMIFS('Attrition Modeling'!$D:$D,'Attrition Modeling'!$B:$B,'Traditional Attrition'!$E39,'Attrition Modeling'!$C:$C,'Traditional Attrition'!J$1),VLOOKUP('Traditional Attrition'!J$2-'Traditional Attrition'!$F39-1,'Traditional Attrition'!$A$7:$C$161,2,FALSE)*VLOOKUP(J$1,'Attrition Modeling'!$L$15:$N$27,IF(J$2-$F39&lt;=24,2,3),FALSE))*(1+Projection!L$16)*(1+IF(J171&gt;0,'Attrition Modeling'!$N$9,0))),0))</f>
        <v>0</v>
      </c>
      <c r="K39" s="799">
        <f>IF(K$2=$F39+1,Monthly!G$21,IF(K$2&gt;$F39+1,('Traditional Attrition'!J39+K171)*(1-IF(K$2-$F39&lt;=12,SUMIFS('Attrition Modeling'!$D:$D,'Attrition Modeling'!$B:$B,'Traditional Attrition'!$E39,'Attrition Modeling'!$C:$C,'Traditional Attrition'!K$1),VLOOKUP('Traditional Attrition'!K$2-'Traditional Attrition'!$F39-1,'Traditional Attrition'!$A$7:$C$161,2,FALSE)*VLOOKUP(K$1,'Attrition Modeling'!$L$15:$N$27,IF(K$2-$F39&lt;=24,2,3),FALSE))*(1+Projection!M$16)*(1+IF(K171&gt;0,'Attrition Modeling'!$N$9,0))),0))</f>
        <v>0</v>
      </c>
      <c r="L39" s="799">
        <f>IF(L$2=$F39+1,Monthly!H$21,IF(L$2&gt;$F39+1,('Traditional Attrition'!K39+L171)*(1-IF(L$2-$F39&lt;=12,SUMIFS('Attrition Modeling'!$D:$D,'Attrition Modeling'!$B:$B,'Traditional Attrition'!$E39,'Attrition Modeling'!$C:$C,'Traditional Attrition'!L$1),VLOOKUP('Traditional Attrition'!L$2-'Traditional Attrition'!$F39-1,'Traditional Attrition'!$A$7:$C$161,2,FALSE)*VLOOKUP(L$1,'Attrition Modeling'!$L$15:$N$27,IF(L$2-$F39&lt;=24,2,3),FALSE))*(1+Projection!N$16)*(1+IF(L171&gt;0,'Attrition Modeling'!$N$9,0))),0))</f>
        <v>0</v>
      </c>
      <c r="M39" s="799">
        <f>IF(M$2=$F39+1,Monthly!I$21,IF(M$2&gt;$F39+1,('Traditional Attrition'!L39+M171)*(1-IF(M$2-$F39&lt;=12,SUMIFS('Attrition Modeling'!$D:$D,'Attrition Modeling'!$B:$B,'Traditional Attrition'!$E39,'Attrition Modeling'!$C:$C,'Traditional Attrition'!M$1),VLOOKUP('Traditional Attrition'!M$2-'Traditional Attrition'!$F39-1,'Traditional Attrition'!$A$7:$C$161,2,FALSE)*VLOOKUP(M$1,'Attrition Modeling'!$L$15:$N$27,IF(M$2-$F39&lt;=24,2,3),FALSE))*(1+Projection!O$16)*(1+IF(M171&gt;0,'Attrition Modeling'!$N$9,0))),0))</f>
        <v>0</v>
      </c>
      <c r="N39" s="799">
        <f>IF(N$2=$F39+1,Monthly!J$21,IF(N$2&gt;$F39+1,('Traditional Attrition'!M39+N171)*(1-IF(N$2-$F39&lt;=12,SUMIFS('Attrition Modeling'!$D:$D,'Attrition Modeling'!$B:$B,'Traditional Attrition'!$E39,'Attrition Modeling'!$C:$C,'Traditional Attrition'!N$1),VLOOKUP('Traditional Attrition'!N$2-'Traditional Attrition'!$F39-1,'Traditional Attrition'!$A$7:$C$161,2,FALSE)*VLOOKUP(N$1,'Attrition Modeling'!$L$15:$N$27,IF(N$2-$F39&lt;=24,2,3),FALSE))*(1+Projection!P$16)*(1+IF(N171&gt;0,'Attrition Modeling'!$N$9,0))),0))</f>
        <v>0</v>
      </c>
      <c r="O39" s="799">
        <f>IF(O$2=$F39+1,Monthly!K$21,IF(O$2&gt;$F39+1,('Traditional Attrition'!N39+O171)*(1-IF(O$2-$F39&lt;=12,SUMIFS('Attrition Modeling'!$D:$D,'Attrition Modeling'!$B:$B,'Traditional Attrition'!$E39,'Attrition Modeling'!$C:$C,'Traditional Attrition'!O$1),VLOOKUP('Traditional Attrition'!O$2-'Traditional Attrition'!$F39-1,'Traditional Attrition'!$A$7:$C$161,2,FALSE)*VLOOKUP(O$1,'Attrition Modeling'!$L$15:$N$27,IF(O$2-$F39&lt;=24,2,3),FALSE))*(1+Projection!Q$16)*(1+IF(O171&gt;0,'Attrition Modeling'!$N$9,0))),0))</f>
        <v>0</v>
      </c>
      <c r="P39" s="799">
        <f>IF(P$2=$F39+1,Monthly!L$21,IF(P$2&gt;$F39+1,('Traditional Attrition'!O39+P171)*(1-IF(P$2-$F39&lt;=12,SUMIFS('Attrition Modeling'!$D:$D,'Attrition Modeling'!$B:$B,'Traditional Attrition'!$E39,'Attrition Modeling'!$C:$C,'Traditional Attrition'!P$1),VLOOKUP('Traditional Attrition'!P$2-'Traditional Attrition'!$F39-1,'Traditional Attrition'!$A$7:$C$161,2,FALSE)*VLOOKUP(P$1,'Attrition Modeling'!$L$15:$N$27,IF(P$2-$F39&lt;=24,2,3),FALSE))*(1+Projection!R$16)*(1+IF(P171&gt;0,'Attrition Modeling'!$N$9,0))),0))</f>
        <v>0</v>
      </c>
      <c r="Q39" s="799">
        <f>IF(Q$2=$F39+1,Monthly!M$21,IF(Q$2&gt;$F39+1,('Traditional Attrition'!P39+Q171)*(1-IF(Q$2-$F39&lt;=12,SUMIFS('Attrition Modeling'!$D:$D,'Attrition Modeling'!$B:$B,'Traditional Attrition'!$E39,'Attrition Modeling'!$C:$C,'Traditional Attrition'!Q$1),VLOOKUP('Traditional Attrition'!Q$2-'Traditional Attrition'!$F39-1,'Traditional Attrition'!$A$7:$C$161,2,FALSE)*VLOOKUP(Q$1,'Attrition Modeling'!$L$15:$N$27,IF(Q$2-$F39&lt;=24,2,3),FALSE))*(1+Projection!S$16)*(1+IF(Q171&gt;0,'Attrition Modeling'!$N$9,0))),0))</f>
        <v>0</v>
      </c>
      <c r="R39" s="799">
        <f>IF(R$2=$F39+1,Monthly!N$21,IF(R$2&gt;$F39+1,('Traditional Attrition'!Q39+R171)*(1-IF(R$2-$F39&lt;=12,SUMIFS('Attrition Modeling'!$D:$D,'Attrition Modeling'!$B:$B,'Traditional Attrition'!$E39,'Attrition Modeling'!$C:$C,'Traditional Attrition'!R$1),VLOOKUP('Traditional Attrition'!R$2-'Traditional Attrition'!$F39-1,'Traditional Attrition'!$A$7:$C$161,2,FALSE)*VLOOKUP(R$1,'Attrition Modeling'!$L$15:$N$27,IF(R$2-$F39&lt;=24,2,3),FALSE))*(1+Projection!T$16)*(1+IF(R171&gt;0,'Attrition Modeling'!$N$9,0))),0))</f>
        <v>0</v>
      </c>
      <c r="S39" s="799">
        <f>IF(S$2=$F39+1,Monthly!O$21,IF(S$2&gt;$F39+1,('Traditional Attrition'!R39+S171)*(1-IF(S$2-$F39&lt;=12,SUMIFS('Attrition Modeling'!$D:$D,'Attrition Modeling'!$B:$B,'Traditional Attrition'!$E39,'Attrition Modeling'!$C:$C,'Traditional Attrition'!S$1),VLOOKUP('Traditional Attrition'!S$2-'Traditional Attrition'!$F39-1,'Traditional Attrition'!$A$7:$C$161,2,FALSE)*VLOOKUP(S$1,'Attrition Modeling'!$L$15:$N$27,IF(S$2-$F39&lt;=24,2,3),FALSE))*(1+Projection!U$16)*(1+IF(S171&gt;0,'Attrition Modeling'!$N$9,0))),0))</f>
        <v>0</v>
      </c>
      <c r="T39" s="799">
        <f>IF(T$2=$F39+1,Monthly!P$21,IF(T$2&gt;$F39+1,('Traditional Attrition'!S39+T171)*(1-IF(T$2-$F39&lt;=12,SUMIFS('Attrition Modeling'!$D:$D,'Attrition Modeling'!$B:$B,'Traditional Attrition'!$E39,'Attrition Modeling'!$C:$C,'Traditional Attrition'!T$1),VLOOKUP('Traditional Attrition'!T$2-'Traditional Attrition'!$F39-1,'Traditional Attrition'!$A$7:$C$161,2,FALSE)*VLOOKUP(T$1,'Attrition Modeling'!$L$15:$N$27,IF(T$2-$F39&lt;=24,2,3),FALSE))*(1+Projection!V$16)*(1+IF(T171&gt;0,'Attrition Modeling'!$N$9,0))),0))</f>
        <v>0</v>
      </c>
      <c r="U39" s="799">
        <f>IF(U$2=$F39+1,Monthly!Q$21,IF(U$2&gt;$F39+1,('Traditional Attrition'!T39+U171)*(1-IF(U$2-$F39&lt;=12,SUMIFS('Attrition Modeling'!$D:$D,'Attrition Modeling'!$B:$B,'Traditional Attrition'!$E39,'Attrition Modeling'!$C:$C,'Traditional Attrition'!U$1),VLOOKUP('Traditional Attrition'!U$2-'Traditional Attrition'!$F39-1,'Traditional Attrition'!$A$7:$C$161,2,FALSE)*VLOOKUP(U$1,'Attrition Modeling'!$L$15:$N$27,IF(U$2-$F39&lt;=24,2,3),FALSE))*(1+Projection!W$16)*(1+IF(U171&gt;0,'Attrition Modeling'!$N$9,0))),0))</f>
        <v>0</v>
      </c>
      <c r="V39" s="799">
        <f>IF(V$2=$F39+1,Monthly!R$21,IF(V$2&gt;$F39+1,('Traditional Attrition'!U39+V171)*(1-IF(V$2-$F39&lt;=12,SUMIFS('Attrition Modeling'!$D:$D,'Attrition Modeling'!$B:$B,'Traditional Attrition'!$E39,'Attrition Modeling'!$C:$C,'Traditional Attrition'!V$1),VLOOKUP('Traditional Attrition'!V$2-'Traditional Attrition'!$F39-1,'Traditional Attrition'!$A$7:$C$161,2,FALSE)*VLOOKUP(V$1,'Attrition Modeling'!$L$15:$N$27,IF(V$2-$F39&lt;=24,2,3),FALSE))*(1+Projection!X$16)*(1+IF(V171&gt;0,'Attrition Modeling'!$N$9,0))),0))</f>
        <v>0</v>
      </c>
      <c r="W39" s="799">
        <f>IF(W$2=$F39+1,Monthly!S$21,IF(W$2&gt;$F39+1,('Traditional Attrition'!V39+W171)*(1-IF(W$2-$F39&lt;=12,SUMIFS('Attrition Modeling'!$D:$D,'Attrition Modeling'!$B:$B,'Traditional Attrition'!$E39,'Attrition Modeling'!$C:$C,'Traditional Attrition'!W$1),VLOOKUP('Traditional Attrition'!W$2-'Traditional Attrition'!$F39-1,'Traditional Attrition'!$A$7:$C$161,2,FALSE)*VLOOKUP(W$1,'Attrition Modeling'!$L$15:$N$27,IF(W$2-$F39&lt;=24,2,3),FALSE))*(1+Projection!Y$16)*(1+IF(W171&gt;0,'Attrition Modeling'!$N$9,0))),0))</f>
        <v>0</v>
      </c>
      <c r="X39" s="799">
        <f>IF(X$2=$F39+1,Monthly!T$21,IF(X$2&gt;$F39+1,('Traditional Attrition'!W39+X171)*(1-IF(X$2-$F39&lt;=12,SUMIFS('Attrition Modeling'!$D:$D,'Attrition Modeling'!$B:$B,'Traditional Attrition'!$E39,'Attrition Modeling'!$C:$C,'Traditional Attrition'!X$1),VLOOKUP('Traditional Attrition'!X$2-'Traditional Attrition'!$F39-1,'Traditional Attrition'!$A$7:$C$161,2,FALSE)*VLOOKUP(X$1,'Attrition Modeling'!$L$15:$N$27,IF(X$2-$F39&lt;=24,2,3),FALSE))*(1+Projection!Z$16)*(1+IF(X171&gt;0,'Attrition Modeling'!$N$9,0))),0))</f>
        <v>0</v>
      </c>
      <c r="Y39" s="799">
        <f>IF(Y$2=$F39+1,Monthly!U$21,IF(Y$2&gt;$F39+1,('Traditional Attrition'!X39+Y171)*(1-IF(Y$2-$F39&lt;=12,SUMIFS('Attrition Modeling'!$D:$D,'Attrition Modeling'!$B:$B,'Traditional Attrition'!$E39,'Attrition Modeling'!$C:$C,'Traditional Attrition'!Y$1),VLOOKUP('Traditional Attrition'!Y$2-'Traditional Attrition'!$F39-1,'Traditional Attrition'!$A$7:$C$161,2,FALSE)*VLOOKUP(Y$1,'Attrition Modeling'!$L$15:$N$27,IF(Y$2-$F39&lt;=24,2,3),FALSE))*(1+Projection!AA$16)*(1+IF(Y171&gt;0,'Attrition Modeling'!$N$9,0))),0))</f>
        <v>0</v>
      </c>
      <c r="Z39" s="799">
        <f>IF(Z$2=$F39+1,Monthly!V$21,IF(Z$2&gt;$F39+1,('Traditional Attrition'!Y39+Z171)*(1-IF(Z$2-$F39&lt;=12,SUMIFS('Attrition Modeling'!$D:$D,'Attrition Modeling'!$B:$B,'Traditional Attrition'!$E39,'Attrition Modeling'!$C:$C,'Traditional Attrition'!Z$1),VLOOKUP('Traditional Attrition'!Z$2-'Traditional Attrition'!$F39-1,'Traditional Attrition'!$A$7:$C$161,2,FALSE)*VLOOKUP(Z$1,'Attrition Modeling'!$L$15:$N$27,IF(Z$2-$F39&lt;=24,2,3),FALSE))*(1+Projection!AB$16)*(1+IF(Z171&gt;0,'Attrition Modeling'!$N$9,0))),0))</f>
        <v>0</v>
      </c>
      <c r="AA39" s="799">
        <f>IF(AA$2=$F39+1,Monthly!W$21,IF(AA$2&gt;$F39+1,('Traditional Attrition'!Z39+AA171)*(1-IF(AA$2-$F39&lt;=12,SUMIFS('Attrition Modeling'!$D:$D,'Attrition Modeling'!$B:$B,'Traditional Attrition'!$E39,'Attrition Modeling'!$C:$C,'Traditional Attrition'!AA$1),VLOOKUP('Traditional Attrition'!AA$2-'Traditional Attrition'!$F39-1,'Traditional Attrition'!$A$7:$C$161,2,FALSE)*VLOOKUP(AA$1,'Attrition Modeling'!$L$15:$N$27,IF(AA$2-$F39&lt;=24,2,3),FALSE))*(1+Projection!AC$16)*(1+IF(AA171&gt;0,'Attrition Modeling'!$N$9,0))),0))</f>
        <v>0</v>
      </c>
      <c r="AB39" s="799">
        <f>IF(AB$2=$F39+1,Monthly!X$21,IF(AB$2&gt;$F39+1,('Traditional Attrition'!AA39+AB171)*(1-IF(AB$2-$F39&lt;=12,SUMIFS('Attrition Modeling'!$D:$D,'Attrition Modeling'!$B:$B,'Traditional Attrition'!$E39,'Attrition Modeling'!$C:$C,'Traditional Attrition'!AB$1),VLOOKUP('Traditional Attrition'!AB$2-'Traditional Attrition'!$F39-1,'Traditional Attrition'!$A$7:$C$161,2,FALSE)*VLOOKUP(AB$1,'Attrition Modeling'!$L$15:$N$27,IF(AB$2-$F39&lt;=24,2,3),FALSE))*(1+Projection!AD$16)*(1+IF(AB171&gt;0,'Attrition Modeling'!$N$9,0))),0))</f>
        <v>0</v>
      </c>
      <c r="AC39" s="799">
        <f>IF(AC$2=$F39+1,Monthly!Y$21,IF(AC$2&gt;$F39+1,('Traditional Attrition'!AB39+AC171)*(1-IF(AC$2-$F39&lt;=12,SUMIFS('Attrition Modeling'!$D:$D,'Attrition Modeling'!$B:$B,'Traditional Attrition'!$E39,'Attrition Modeling'!$C:$C,'Traditional Attrition'!AC$1),VLOOKUP('Traditional Attrition'!AC$2-'Traditional Attrition'!$F39-1,'Traditional Attrition'!$A$7:$C$161,2,FALSE)*VLOOKUP(AC$1,'Attrition Modeling'!$L$15:$N$27,IF(AC$2-$F39&lt;=24,2,3),FALSE))*(1+Projection!AE$16)*(1+IF(AC171&gt;0,'Attrition Modeling'!$N$9,0))),0))</f>
        <v>0</v>
      </c>
      <c r="AD39" s="799">
        <f>IF(AD$2=$F39+1,Monthly!Z$21,IF(AD$2&gt;$F39+1,('Traditional Attrition'!AC39+AD171)*(1-IF(AD$2-$F39&lt;=12,SUMIFS('Attrition Modeling'!$D:$D,'Attrition Modeling'!$B:$B,'Traditional Attrition'!$E39,'Attrition Modeling'!$C:$C,'Traditional Attrition'!AD$1),VLOOKUP('Traditional Attrition'!AD$2-'Traditional Attrition'!$F39-1,'Traditional Attrition'!$A$7:$C$161,2,FALSE)*VLOOKUP(AD$1,'Attrition Modeling'!$L$15:$N$27,IF(AD$2-$F39&lt;=24,2,3),FALSE))*(1+Projection!AF$16)*(1+IF(AD171&gt;0,'Attrition Modeling'!$N$9,0))),0))</f>
        <v>0</v>
      </c>
      <c r="AE39" s="799">
        <f>IF(AE$2=$F39+1,Monthly!AA$21,IF(AE$2&gt;$F39+1,('Traditional Attrition'!AD39+AE171)*(1-IF(AE$2-$F39&lt;=12,SUMIFS('Attrition Modeling'!$D:$D,'Attrition Modeling'!$B:$B,'Traditional Attrition'!$E39,'Attrition Modeling'!$C:$C,'Traditional Attrition'!AE$1),VLOOKUP('Traditional Attrition'!AE$2-'Traditional Attrition'!$F39-1,'Traditional Attrition'!$A$7:$C$161,2,FALSE)*VLOOKUP(AE$1,'Attrition Modeling'!$L$15:$N$27,IF(AE$2-$F39&lt;=24,2,3),FALSE))*(1+Projection!AG$16)*(1+IF(AE171&gt;0,'Attrition Modeling'!$N$9,0))),0))</f>
        <v>0</v>
      </c>
      <c r="AF39" s="799">
        <f>IF(AF$2=$F39+1,Monthly!AB$21,IF(AF$2&gt;$F39+1,('Traditional Attrition'!AE39+AF171)*(1-IF(AF$2-$F39&lt;=12,SUMIFS('Attrition Modeling'!$D:$D,'Attrition Modeling'!$B:$B,'Traditional Attrition'!$E39,'Attrition Modeling'!$C:$C,'Traditional Attrition'!AF$1),VLOOKUP('Traditional Attrition'!AF$2-'Traditional Attrition'!$F39-1,'Traditional Attrition'!$A$7:$C$161,2,FALSE)*VLOOKUP(AF$1,'Attrition Modeling'!$L$15:$N$27,IF(AF$2-$F39&lt;=24,2,3),FALSE))*(1+Projection!AH$16)*(1+IF(AF171&gt;0,'Attrition Modeling'!$N$9,0))),0))</f>
        <v>0</v>
      </c>
      <c r="AG39" s="799">
        <f>IF(AG$2=$F39+1,Monthly!AC$21,IF(AG$2&gt;$F39+1,('Traditional Attrition'!AF39+AG171)*(1-IF(AG$2-$F39&lt;=12,SUMIFS('Attrition Modeling'!$D:$D,'Attrition Modeling'!$B:$B,'Traditional Attrition'!$E39,'Attrition Modeling'!$C:$C,'Traditional Attrition'!AG$1),VLOOKUP('Traditional Attrition'!AG$2-'Traditional Attrition'!$F39-1,'Traditional Attrition'!$A$7:$C$161,2,FALSE)*VLOOKUP(AG$1,'Attrition Modeling'!$L$15:$N$27,IF(AG$2-$F39&lt;=24,2,3),FALSE))*(1+Projection!AI$16)*(1+IF(AG171&gt;0,'Attrition Modeling'!$N$9,0))),0))</f>
        <v>0</v>
      </c>
      <c r="AH39" s="799">
        <f>IF(AH$2=$F39+1,Monthly!AD$21,IF(AH$2&gt;$F39+1,('Traditional Attrition'!AG39+AH171)*(1-IF(AH$2-$F39&lt;=12,SUMIFS('Attrition Modeling'!$D:$D,'Attrition Modeling'!$B:$B,'Traditional Attrition'!$E39,'Attrition Modeling'!$C:$C,'Traditional Attrition'!AH$1),VLOOKUP('Traditional Attrition'!AH$2-'Traditional Attrition'!$F39-1,'Traditional Attrition'!$A$7:$C$161,2,FALSE)*VLOOKUP(AH$1,'Attrition Modeling'!$L$15:$N$27,IF(AH$2-$F39&lt;=24,2,3),FALSE))*(1+Projection!AJ$16)*(1+IF(AH171&gt;0,'Attrition Modeling'!$N$9,0))),0))</f>
        <v>0</v>
      </c>
      <c r="AI39" s="799">
        <f>IF(AI$2=$F39+1,Monthly!AE$21,IF(AI$2&gt;$F39+1,('Traditional Attrition'!AH39+AI171)*(1-IF(AI$2-$F39&lt;=12,SUMIFS('Attrition Modeling'!$D:$D,'Attrition Modeling'!$B:$B,'Traditional Attrition'!$E39,'Attrition Modeling'!$C:$C,'Traditional Attrition'!AI$1),VLOOKUP('Traditional Attrition'!AI$2-'Traditional Attrition'!$F39-1,'Traditional Attrition'!$A$7:$C$161,2,FALSE)*VLOOKUP(AI$1,'Attrition Modeling'!$L$15:$N$27,IF(AI$2-$F39&lt;=24,2,3),FALSE))*(1+Projection!AK$16)*(1+IF(AI171&gt;0,'Attrition Modeling'!$N$9,0))),0))</f>
        <v>0</v>
      </c>
      <c r="AJ39" s="799">
        <f>IF(AJ$2=$F39+1,Monthly!AF$21,IF(AJ$2&gt;$F39+1,('Traditional Attrition'!AI39+AJ171)*(1-IF(AJ$2-$F39&lt;=12,SUMIFS('Attrition Modeling'!$D:$D,'Attrition Modeling'!$B:$B,'Traditional Attrition'!$E39,'Attrition Modeling'!$C:$C,'Traditional Attrition'!AJ$1),VLOOKUP('Traditional Attrition'!AJ$2-'Traditional Attrition'!$F39-1,'Traditional Attrition'!$A$7:$C$161,2,FALSE)*VLOOKUP(AJ$1,'Attrition Modeling'!$L$15:$N$27,IF(AJ$2-$F39&lt;=24,2,3),FALSE))*(1+Projection!AL$16)*(1+IF(AJ171&gt;0,'Attrition Modeling'!$N$9,0))),0))</f>
        <v>0</v>
      </c>
      <c r="AK39" s="799">
        <f>IF(AK$2=$F39+1,Monthly!AG$21,IF(AK$2&gt;$F39+1,('Traditional Attrition'!AJ39+AK171)*(1-IF(AK$2-$F39&lt;=12,SUMIFS('Attrition Modeling'!$D:$D,'Attrition Modeling'!$B:$B,'Traditional Attrition'!$E39,'Attrition Modeling'!$C:$C,'Traditional Attrition'!AK$1),VLOOKUP('Traditional Attrition'!AK$2-'Traditional Attrition'!$F39-1,'Traditional Attrition'!$A$7:$C$161,2,FALSE)*VLOOKUP(AK$1,'Attrition Modeling'!$L$15:$N$27,IF(AK$2-$F39&lt;=24,2,3),FALSE))*(1+Projection!AM$16)*(1+IF(AK171&gt;0,'Attrition Modeling'!$N$9,0))),0))</f>
        <v>0</v>
      </c>
      <c r="AL39" s="799">
        <f>IF(AL$2=$F39+1,Monthly!AH$21,IF(AL$2&gt;$F39+1,('Traditional Attrition'!AK39+AL171)*(1-IF(AL$2-$F39&lt;=12,SUMIFS('Attrition Modeling'!$D:$D,'Attrition Modeling'!$B:$B,'Traditional Attrition'!$E39,'Attrition Modeling'!$C:$C,'Traditional Attrition'!AL$1),VLOOKUP('Traditional Attrition'!AL$2-'Traditional Attrition'!$F39-1,'Traditional Attrition'!$A$7:$C$161,2,FALSE)*VLOOKUP(AL$1,'Attrition Modeling'!$L$15:$N$27,IF(AL$2-$F39&lt;=24,2,3),FALSE))*(1+Projection!AN$16)*(1+IF(AL171&gt;0,'Attrition Modeling'!$N$9,0))),0))</f>
        <v>0</v>
      </c>
      <c r="AM39" s="799">
        <f>IF(AM$2=$F39+1,Monthly!AI$21,IF(AM$2&gt;$F39+1,('Traditional Attrition'!AL39+AM171)*(1-IF(AM$2-$F39&lt;=12,SUMIFS('Attrition Modeling'!$D:$D,'Attrition Modeling'!$B:$B,'Traditional Attrition'!$E39,'Attrition Modeling'!$C:$C,'Traditional Attrition'!AM$1),VLOOKUP('Traditional Attrition'!AM$2-'Traditional Attrition'!$F39-1,'Traditional Attrition'!$A$7:$C$161,2,FALSE)*VLOOKUP(AM$1,'Attrition Modeling'!$L$15:$N$27,IF(AM$2-$F39&lt;=24,2,3),FALSE))*(1+Projection!AO$16)*(1+IF(AM171&gt;0,'Attrition Modeling'!$N$9,0))),0))</f>
        <v>0</v>
      </c>
      <c r="AN39" s="799">
        <f>IF(AN$2=$F39+1,Monthly!AJ$21,IF(AN$2&gt;$F39+1,('Traditional Attrition'!AM39+AN171)*(1-IF(AN$2-$F39&lt;=12,SUMIFS('Attrition Modeling'!$D:$D,'Attrition Modeling'!$B:$B,'Traditional Attrition'!$E39,'Attrition Modeling'!$C:$C,'Traditional Attrition'!AN$1),VLOOKUP('Traditional Attrition'!AN$2-'Traditional Attrition'!$F39-1,'Traditional Attrition'!$A$7:$C$161,2,FALSE)*VLOOKUP(AN$1,'Attrition Modeling'!$L$15:$N$27,IF(AN$2-$F39&lt;=24,2,3),FALSE))*(1+Projection!AP$16)*(1+IF(AN171&gt;0,'Attrition Modeling'!$N$9,0))),0))</f>
        <v>0</v>
      </c>
      <c r="AO39" s="799">
        <f>IF(AO$2=$F39+1,Monthly!AK$21,IF(AO$2&gt;$F39+1,('Traditional Attrition'!AN39+AO171)*(1-IF(AO$2-$F39&lt;=12,SUMIFS('Attrition Modeling'!$D:$D,'Attrition Modeling'!$B:$B,'Traditional Attrition'!$E39,'Attrition Modeling'!$C:$C,'Traditional Attrition'!AO$1),VLOOKUP('Traditional Attrition'!AO$2-'Traditional Attrition'!$F39-1,'Traditional Attrition'!$A$7:$C$161,2,FALSE)*VLOOKUP(AO$1,'Attrition Modeling'!$L$15:$N$27,IF(AO$2-$F39&lt;=24,2,3),FALSE))*(1+Projection!AQ$16)*(1+IF(AO171&gt;0,'Attrition Modeling'!$N$9,0))),0))</f>
        <v>0</v>
      </c>
      <c r="AP39" s="799">
        <f>IF(AP$2=$F39+1,Monthly!AL$21,IF(AP$2&gt;$F39+1,('Traditional Attrition'!AO39+AP171)*(1-IF(AP$2-$F39&lt;=12,SUMIFS('Attrition Modeling'!$D:$D,'Attrition Modeling'!$B:$B,'Traditional Attrition'!$E39,'Attrition Modeling'!$C:$C,'Traditional Attrition'!AP$1),VLOOKUP('Traditional Attrition'!AP$2-'Traditional Attrition'!$F39-1,'Traditional Attrition'!$A$7:$C$161,2,FALSE)*VLOOKUP(AP$1,'Attrition Modeling'!$L$15:$N$27,IF(AP$2-$F39&lt;=24,2,3),FALSE))*(1+Projection!AR$16)*(1+IF(AP171&gt;0,'Attrition Modeling'!$N$9,0))),0))</f>
        <v>0</v>
      </c>
      <c r="AQ39" s="799">
        <f>IF(AQ$2=$F39+1,Monthly!AM$21,IF(AQ$2&gt;$F39+1,('Traditional Attrition'!AP39+AQ171)*(1-IF(AQ$2-$F39&lt;=12,SUMIFS('Attrition Modeling'!$D:$D,'Attrition Modeling'!$B:$B,'Traditional Attrition'!$E39,'Attrition Modeling'!$C:$C,'Traditional Attrition'!AQ$1),VLOOKUP('Traditional Attrition'!AQ$2-'Traditional Attrition'!$F39-1,'Traditional Attrition'!$A$7:$C$161,2,FALSE)*VLOOKUP(AQ$1,'Attrition Modeling'!$L$15:$N$27,IF(AQ$2-$F39&lt;=24,2,3),FALSE))*(1+Projection!AS$16)*(1+IF(AQ171&gt;0,'Attrition Modeling'!$N$9,0))),0))</f>
        <v>0</v>
      </c>
      <c r="AR39" s="799">
        <f>IF(AR$2=$F39+1,Monthly!AN$21,IF(AR$2&gt;$F39+1,('Traditional Attrition'!AQ39+AR171)*(1-IF(AR$2-$F39&lt;=12,SUMIFS('Attrition Modeling'!$D:$D,'Attrition Modeling'!$B:$B,'Traditional Attrition'!$E39,'Attrition Modeling'!$C:$C,'Traditional Attrition'!AR$1),VLOOKUP('Traditional Attrition'!AR$2-'Traditional Attrition'!$F39-1,'Traditional Attrition'!$A$7:$C$161,2,FALSE)*VLOOKUP(AR$1,'Attrition Modeling'!$L$15:$N$27,IF(AR$2-$F39&lt;=24,2,3),FALSE))*(1+Projection!AT$16)*(1+IF(AR171&gt;0,'Attrition Modeling'!$N$9,0))),0))</f>
        <v>7435.4383219103674</v>
      </c>
      <c r="AS39" s="799">
        <f>IF(AS$2=$F39+1,Monthly!AO$21,IF(AS$2&gt;$F39+1,('Traditional Attrition'!AR39+AS171)*(1-IF(AS$2-$F39&lt;=12,SUMIFS('Attrition Modeling'!$D:$D,'Attrition Modeling'!$B:$B,'Traditional Attrition'!$E39,'Attrition Modeling'!$C:$C,'Traditional Attrition'!AS$1),VLOOKUP('Traditional Attrition'!AS$2-'Traditional Attrition'!$F39-1,'Traditional Attrition'!$A$7:$C$161,2,FALSE)*VLOOKUP(AS$1,'Attrition Modeling'!$L$15:$N$27,IF(AS$2-$F39&lt;=24,2,3),FALSE))*(1+Projection!AU$16)*(1+IF(AS171&gt;0,'Attrition Modeling'!$N$9,0))),0))</f>
        <v>6729.4305155822985</v>
      </c>
      <c r="AT39" s="799">
        <f>IF(AT$2=$F39+1,Monthly!AP$21,IF(AT$2&gt;$F39+1,('Traditional Attrition'!AS39+AT171)*(1-IF(AT$2-$F39&lt;=12,SUMIFS('Attrition Modeling'!$D:$D,'Attrition Modeling'!$B:$B,'Traditional Attrition'!$E39,'Attrition Modeling'!$C:$C,'Traditional Attrition'!AT$1),VLOOKUP('Traditional Attrition'!AT$2-'Traditional Attrition'!$F39-1,'Traditional Attrition'!$A$7:$C$161,2,FALSE)*VLOOKUP(AT$1,'Attrition Modeling'!$L$15:$N$27,IF(AT$2-$F39&lt;=24,2,3),FALSE))*(1+Projection!AV$16)*(1+IF(AT171&gt;0,'Attrition Modeling'!$N$9,0))),0))</f>
        <v>6146.2611626399739</v>
      </c>
      <c r="AU39" s="799">
        <f>IF(AU$2=$F39+1,Monthly!AQ$21,IF(AU$2&gt;$F39+1,('Traditional Attrition'!AT39+AU171)*(1-IF(AU$2-$F39&lt;=12,SUMIFS('Attrition Modeling'!$D:$D,'Attrition Modeling'!$B:$B,'Traditional Attrition'!$E39,'Attrition Modeling'!$C:$C,'Traditional Attrition'!AU$1),VLOOKUP('Traditional Attrition'!AU$2-'Traditional Attrition'!$F39-1,'Traditional Attrition'!$A$7:$C$161,2,FALSE)*VLOOKUP(AU$1,'Attrition Modeling'!$L$15:$N$27,IF(AU$2-$F39&lt;=24,2,3),FALSE))*(1+Projection!AW$16)*(1+IF(AU171&gt;0,'Attrition Modeling'!$N$9,0))),0))</f>
        <v>5596.8747198746532</v>
      </c>
      <c r="AV39" s="799">
        <f>IF(AV$2=$F39+1,Monthly!AR$21,IF(AV$2&gt;$F39+1,('Traditional Attrition'!AU39+AV171)*(1-IF(AV$2-$F39&lt;=12,SUMIFS('Attrition Modeling'!$D:$D,'Attrition Modeling'!$B:$B,'Traditional Attrition'!$E39,'Attrition Modeling'!$C:$C,'Traditional Attrition'!AV$1),VLOOKUP('Traditional Attrition'!AV$2-'Traditional Attrition'!$F39-1,'Traditional Attrition'!$A$7:$C$161,2,FALSE)*VLOOKUP(AV$1,'Attrition Modeling'!$L$15:$N$27,IF(AV$2-$F39&lt;=24,2,3),FALSE))*(1+Projection!AX$16)*(1+IF(AV171&gt;0,'Attrition Modeling'!$N$9,0))),0))</f>
        <v>5119.7677351602579</v>
      </c>
      <c r="AW39" s="799">
        <f>IF(AW$2=$F39+1,Monthly!AS$21,IF(AW$2&gt;$F39+1,('Traditional Attrition'!AV39+AW171)*(1-IF(AW$2-$F39&lt;=12,SUMIFS('Attrition Modeling'!$D:$D,'Attrition Modeling'!$B:$B,'Traditional Attrition'!$E39,'Attrition Modeling'!$C:$C,'Traditional Attrition'!AW$1),VLOOKUP('Traditional Attrition'!AW$2-'Traditional Attrition'!$F39-1,'Traditional Attrition'!$A$7:$C$161,2,FALSE)*VLOOKUP(AW$1,'Attrition Modeling'!$L$15:$N$27,IF(AW$2-$F39&lt;=24,2,3),FALSE))*(1+Projection!AY$16)*(1+IF(AW171&gt;0,'Attrition Modeling'!$N$9,0))),0))</f>
        <v>5103.2127114289751</v>
      </c>
      <c r="AX39" s="799">
        <f>IF(AX$2=$F39+1,Monthly!AT$21,IF(AX$2&gt;$F39+1,('Traditional Attrition'!AW39+AX171)*(1-IF(AX$2-$F39&lt;=12,SUMIFS('Attrition Modeling'!$D:$D,'Attrition Modeling'!$B:$B,'Traditional Attrition'!$E39,'Attrition Modeling'!$C:$C,'Traditional Attrition'!AX$1),VLOOKUP('Traditional Attrition'!AX$2-'Traditional Attrition'!$F39-1,'Traditional Attrition'!$A$7:$C$161,2,FALSE)*VLOOKUP(AX$1,'Attrition Modeling'!$L$15:$N$27,IF(AX$2-$F39&lt;=24,2,3),FALSE))*(1+Projection!AZ$16)*(1+IF(AX171&gt;0,'Attrition Modeling'!$N$9,0))),0))</f>
        <v>4718.1999098369279</v>
      </c>
      <c r="AY39" s="799">
        <f>IF(AY$2=$F39+1,Monthly!AU$21,IF(AY$2&gt;$F39+1,('Traditional Attrition'!AX39+AY171)*(1-IF(AY$2-$F39&lt;=12,SUMIFS('Attrition Modeling'!$D:$D,'Attrition Modeling'!$B:$B,'Traditional Attrition'!$E39,'Attrition Modeling'!$C:$C,'Traditional Attrition'!AY$1),VLOOKUP('Traditional Attrition'!AY$2-'Traditional Attrition'!$F39-1,'Traditional Attrition'!$A$7:$C$161,2,FALSE)*VLOOKUP(AY$1,'Attrition Modeling'!$L$15:$N$27,IF(AY$2-$F39&lt;=24,2,3),FALSE))*(1+Projection!BA$16)*(1+IF(AY171&gt;0,'Attrition Modeling'!$N$9,0))),0))</f>
        <v>4376.405298700498</v>
      </c>
      <c r="AZ39" s="799">
        <f>IF(AZ$2=$F39+1,Monthly!AV$21,IF(AZ$2&gt;$F39+1,('Traditional Attrition'!AY39+AZ171)*(1-IF(AZ$2-$F39&lt;=12,SUMIFS('Attrition Modeling'!$D:$D,'Attrition Modeling'!$B:$B,'Traditional Attrition'!$E39,'Attrition Modeling'!$C:$C,'Traditional Attrition'!AZ$1),VLOOKUP('Traditional Attrition'!AZ$2-'Traditional Attrition'!$F39-1,'Traditional Attrition'!$A$7:$C$161,2,FALSE)*VLOOKUP(AZ$1,'Attrition Modeling'!$L$15:$N$27,IF(AZ$2-$F39&lt;=24,2,3),FALSE))*(1+Projection!BB$16)*(1+IF(AZ171&gt;0,'Attrition Modeling'!$N$9,0))),0))</f>
        <v>4098.9168699494257</v>
      </c>
      <c r="BA39" s="799">
        <f>IF(BA$2=$F39+1,Monthly!AW$21,IF(BA$2&gt;$F39+1,('Traditional Attrition'!AZ39+BA171)*(1-IF(BA$2-$F39&lt;=12,SUMIFS('Attrition Modeling'!$D:$D,'Attrition Modeling'!$B:$B,'Traditional Attrition'!$E39,'Attrition Modeling'!$C:$C,'Traditional Attrition'!BA$1),VLOOKUP('Traditional Attrition'!BA$2-'Traditional Attrition'!$F39-1,'Traditional Attrition'!$A$7:$C$161,2,FALSE)*VLOOKUP(BA$1,'Attrition Modeling'!$L$15:$N$27,IF(BA$2-$F39&lt;=24,2,3),FALSE))*(1+Projection!BC$16)*(1+IF(BA171&gt;0,'Attrition Modeling'!$N$9,0))),0))</f>
        <v>3846.8818086774327</v>
      </c>
      <c r="BB39" s="799">
        <f>IF(BB$2=$F39+1,Monthly!AX$21,IF(BB$2&gt;$F39+1,('Traditional Attrition'!BA39+BB171)*(1-IF(BB$2-$F39&lt;=12,SUMIFS('Attrition Modeling'!$D:$D,'Attrition Modeling'!$B:$B,'Traditional Attrition'!$E39,'Attrition Modeling'!$C:$C,'Traditional Attrition'!BB$1),VLOOKUP('Traditional Attrition'!BB$2-'Traditional Attrition'!$F39-1,'Traditional Attrition'!$A$7:$C$161,2,FALSE)*VLOOKUP(BB$1,'Attrition Modeling'!$L$15:$N$27,IF(BB$2-$F39&lt;=24,2,3),FALSE))*(1+Projection!BD$16)*(1+IF(BB171&gt;0,'Attrition Modeling'!$N$9,0))),0))</f>
        <v>3635.1428942287521</v>
      </c>
      <c r="BC39" s="799">
        <f>IF(BC$2=$F39+1,Monthly!AY$21,IF(BC$2&gt;$F39+1,('Traditional Attrition'!BB39+BC171)*(1-IF(BC$2-$F39&lt;=12,SUMIFS('Attrition Modeling'!$D:$D,'Attrition Modeling'!$B:$B,'Traditional Attrition'!$E39,'Attrition Modeling'!$C:$C,'Traditional Attrition'!BC$1),VLOOKUP('Traditional Attrition'!BC$2-'Traditional Attrition'!$F39-1,'Traditional Attrition'!$A$7:$C$161,2,FALSE)*VLOOKUP(BC$1,'Attrition Modeling'!$L$15:$N$27,IF(BC$2-$F39&lt;=24,2,3),FALSE))*(1+Projection!BE$16)*(1+IF(BC171&gt;0,'Attrition Modeling'!$N$9,0))),0))</f>
        <v>3521.9220066165244</v>
      </c>
      <c r="BD39" s="799">
        <f>IF(BD$2=$F39+1,Monthly!AZ$21,IF(BD$2&gt;$F39+1,('Traditional Attrition'!BC39+BD171)*(1-IF(BD$2-$F39&lt;=12,SUMIFS('Attrition Modeling'!$D:$D,'Attrition Modeling'!$B:$B,'Traditional Attrition'!$E39,'Attrition Modeling'!$C:$C,'Traditional Attrition'!BD$1),VLOOKUP('Traditional Attrition'!BD$2-'Traditional Attrition'!$F39-1,'Traditional Attrition'!$A$7:$C$161,2,FALSE)*VLOOKUP(BD$1,'Attrition Modeling'!$L$15:$N$27,IF(BD$2-$F39&lt;=24,2,3),FALSE))*(1+Projection!BF$16)*(1+IF(BD171&gt;0,'Attrition Modeling'!$N$9,0))),0))</f>
        <v>3332.316170486868</v>
      </c>
      <c r="BE39" s="799">
        <f>IF(BE$2=$F39+1,Monthly!BA$21,IF(BE$2&gt;$F39+1,('Traditional Attrition'!BD39+BE171)*(1-IF(BE$2-$F39&lt;=12,SUMIFS('Attrition Modeling'!$D:$D,'Attrition Modeling'!$B:$B,'Traditional Attrition'!$E39,'Attrition Modeling'!$C:$C,'Traditional Attrition'!BE$1),VLOOKUP('Traditional Attrition'!BE$2-'Traditional Attrition'!$F39-1,'Traditional Attrition'!$A$7:$C$161,2,FALSE)*VLOOKUP(BE$1,'Attrition Modeling'!$L$15:$N$27,IF(BE$2-$F39&lt;=24,2,3),FALSE))*(1+Projection!BG$16)*(1+IF(BE171&gt;0,'Attrition Modeling'!$N$9,0))),0))</f>
        <v>3182.9802719236773</v>
      </c>
      <c r="BF39" s="799">
        <f>IF(BF$2=$F39+1,Monthly!BB$21,IF(BF$2&gt;$F39+1,('Traditional Attrition'!BE39+BF171)*(1-IF(BF$2-$F39&lt;=12,SUMIFS('Attrition Modeling'!$D:$D,'Attrition Modeling'!$B:$B,'Traditional Attrition'!$E39,'Attrition Modeling'!$C:$C,'Traditional Attrition'!BF$1),VLOOKUP('Traditional Attrition'!BF$2-'Traditional Attrition'!$F39-1,'Traditional Attrition'!$A$7:$C$161,2,FALSE)*VLOOKUP(BF$1,'Attrition Modeling'!$L$15:$N$27,IF(BF$2-$F39&lt;=24,2,3),FALSE))*(1+Projection!BH$16)*(1+IF(BF171&gt;0,'Attrition Modeling'!$N$9,0))),0))</f>
        <v>3035.3071892666908</v>
      </c>
      <c r="BG39" s="799">
        <f>IF(BG$2=$F39+1,Monthly!BC$21,IF(BG$2&gt;$F39+1,('Traditional Attrition'!BF39+BG171)*(1-IF(BG$2-$F39&lt;=12,SUMIFS('Attrition Modeling'!$D:$D,'Attrition Modeling'!$B:$B,'Traditional Attrition'!$E39,'Attrition Modeling'!$C:$C,'Traditional Attrition'!BG$1),VLOOKUP('Traditional Attrition'!BG$2-'Traditional Attrition'!$F39-1,'Traditional Attrition'!$A$7:$C$161,2,FALSE)*VLOOKUP(BG$1,'Attrition Modeling'!$L$15:$N$27,IF(BG$2-$F39&lt;=24,2,3),FALSE))*(1+Projection!BI$16)*(1+IF(BG171&gt;0,'Attrition Modeling'!$N$9,0))),0))</f>
        <v>2901.9053016180374</v>
      </c>
      <c r="BH39" s="799">
        <f>IF(BH$2=$F39+1,Monthly!BD$21,IF(BH$2&gt;$F39+1,('Traditional Attrition'!BG39+BH171)*(1-IF(BH$2-$F39&lt;=12,SUMIFS('Attrition Modeling'!$D:$D,'Attrition Modeling'!$B:$B,'Traditional Attrition'!$E39,'Attrition Modeling'!$C:$C,'Traditional Attrition'!BH$1),VLOOKUP('Traditional Attrition'!BH$2-'Traditional Attrition'!$F39-1,'Traditional Attrition'!$A$7:$C$161,2,FALSE)*VLOOKUP(BH$1,'Attrition Modeling'!$L$15:$N$27,IF(BH$2-$F39&lt;=24,2,3),FALSE))*(1+Projection!BJ$16)*(1+IF(BH171&gt;0,'Attrition Modeling'!$N$9,0))),0))</f>
        <v>2779.0012764574917</v>
      </c>
      <c r="BI39" s="799">
        <f>IF(BI$2=$F39+1,Monthly!BE$21,IF(BI$2&gt;$F39+1,('Traditional Attrition'!BH39+BI171)*(1-IF(BI$2-$F39&lt;=12,SUMIFS('Attrition Modeling'!$D:$D,'Attrition Modeling'!$B:$B,'Traditional Attrition'!$E39,'Attrition Modeling'!$C:$C,'Traditional Attrition'!BI$1),VLOOKUP('Traditional Attrition'!BI$2-'Traditional Attrition'!$F39-1,'Traditional Attrition'!$A$7:$C$161,2,FALSE)*VLOOKUP(BI$1,'Attrition Modeling'!$L$15:$N$27,IF(BI$2-$F39&lt;=24,2,3),FALSE))*(1+Projection!BK$16)*(1+IF(BI171&gt;0,'Attrition Modeling'!$N$9,0))),0))</f>
        <v>2880.0449946191875</v>
      </c>
      <c r="BJ39" s="799">
        <f>IF(BJ$2=$F39+1,Monthly!BF$21,IF(BJ$2&gt;$F39+1,('Traditional Attrition'!BI39+BJ171)*(1-IF(BJ$2-$F39&lt;=12,SUMIFS('Attrition Modeling'!$D:$D,'Attrition Modeling'!$B:$B,'Traditional Attrition'!$E39,'Attrition Modeling'!$C:$C,'Traditional Attrition'!BJ$1),VLOOKUP('Traditional Attrition'!BJ$2-'Traditional Attrition'!$F39-1,'Traditional Attrition'!$A$7:$C$161,2,FALSE)*VLOOKUP(BJ$1,'Attrition Modeling'!$L$15:$N$27,IF(BJ$2-$F39&lt;=24,2,3),FALSE))*(1+Projection!BL$16)*(1+IF(BJ171&gt;0,'Attrition Modeling'!$N$9,0))),0))</f>
        <v>2749.2218346486002</v>
      </c>
      <c r="BK39" s="799">
        <f>IF(BK$2=$F39+1,Monthly!BG$21,IF(BK$2&gt;$F39+1,('Traditional Attrition'!BJ39+BK171)*(1-IF(BK$2-$F39&lt;=12,SUMIFS('Attrition Modeling'!$D:$D,'Attrition Modeling'!$B:$B,'Traditional Attrition'!$E39,'Attrition Modeling'!$C:$C,'Traditional Attrition'!BK$1),VLOOKUP('Traditional Attrition'!BK$2-'Traditional Attrition'!$F39-1,'Traditional Attrition'!$A$7:$C$161,2,FALSE)*VLOOKUP(BK$1,'Attrition Modeling'!$L$15:$N$27,IF(BK$2-$F39&lt;=24,2,3),FALSE))*(1+Projection!BM$16)*(1+IF(BK171&gt;0,'Attrition Modeling'!$N$9,0))),0))</f>
        <v>2621.295697352095</v>
      </c>
      <c r="BL39" s="799">
        <f>IF(BL$2=$F39+1,Monthly!BH$21,IF(BL$2&gt;$F39+1,('Traditional Attrition'!BK39+BL171)*(1-IF(BL$2-$F39&lt;=12,SUMIFS('Attrition Modeling'!$D:$D,'Attrition Modeling'!$B:$B,'Traditional Attrition'!$E39,'Attrition Modeling'!$C:$C,'Traditional Attrition'!BL$1),VLOOKUP('Traditional Attrition'!BL$2-'Traditional Attrition'!$F39-1,'Traditional Attrition'!$A$7:$C$161,2,FALSE)*VLOOKUP(BL$1,'Attrition Modeling'!$L$15:$N$27,IF(BL$2-$F39&lt;=24,2,3),FALSE))*(1+Projection!BN$16)*(1+IF(BL171&gt;0,'Attrition Modeling'!$N$9,0))),0))</f>
        <v>2511.9718469628297</v>
      </c>
      <c r="BM39" s="799">
        <f>IF(BM$2=$F39+1,Monthly!BI$21,IF(BM$2&gt;$F39+1,('Traditional Attrition'!BL39+BM171)*(1-IF(BM$2-$F39&lt;=12,SUMIFS('Attrition Modeling'!$D:$D,'Attrition Modeling'!$B:$B,'Traditional Attrition'!$E39,'Attrition Modeling'!$C:$C,'Traditional Attrition'!BM$1),VLOOKUP('Traditional Attrition'!BM$2-'Traditional Attrition'!$F39-1,'Traditional Attrition'!$A$7:$C$161,2,FALSE)*VLOOKUP(BM$1,'Attrition Modeling'!$L$15:$N$27,IF(BM$2-$F39&lt;=24,2,3),FALSE))*(1+Projection!BO$16)*(1+IF(BM171&gt;0,'Attrition Modeling'!$N$9,0))),0))</f>
        <v>2406.4501054958473</v>
      </c>
      <c r="BN39" s="799">
        <f>IF(BN$2=$F39+1,Monthly!BJ$21,IF(BN$2&gt;$F39+1,('Traditional Attrition'!BM39+BN171)*(1-IF(BN$2-$F39&lt;=12,SUMIFS('Attrition Modeling'!$D:$D,'Attrition Modeling'!$B:$B,'Traditional Attrition'!$E39,'Attrition Modeling'!$C:$C,'Traditional Attrition'!BN$1),VLOOKUP('Traditional Attrition'!BN$2-'Traditional Attrition'!$F39-1,'Traditional Attrition'!$A$7:$C$161,2,FALSE)*VLOOKUP(BN$1,'Attrition Modeling'!$L$15:$N$27,IF(BN$2-$F39&lt;=24,2,3),FALSE))*(1+Projection!BP$16)*(1+IF(BN171&gt;0,'Attrition Modeling'!$N$9,0))),0))</f>
        <v>2310.5926836208159</v>
      </c>
      <c r="BO39" s="799">
        <f>IF(BO$2=$F39+1,Monthly!BK$21,IF(BO$2&gt;$F39+1,('Traditional Attrition'!BN39+BO171)*(1-IF(BO$2-$F39&lt;=12,SUMIFS('Attrition Modeling'!$D:$D,'Attrition Modeling'!$B:$B,'Traditional Attrition'!$E39,'Attrition Modeling'!$C:$C,'Traditional Attrition'!BO$1),VLOOKUP('Traditional Attrition'!BO$2-'Traditional Attrition'!$F39-1,'Traditional Attrition'!$A$7:$C$161,2,FALSE)*VLOOKUP(BO$1,'Attrition Modeling'!$L$15:$N$27,IF(BO$2-$F39&lt;=24,2,3),FALSE))*(1+Projection!BV$16)*(1+IF(BO171&gt;0,'Attrition Modeling'!$N$9,0))),0))</f>
        <v>2220.7255769585322</v>
      </c>
      <c r="BP39" s="799">
        <f>IF(BP$2=$F39+1,Monthly!BL$21,IF(BP$2&gt;$F39+1,('Traditional Attrition'!BO39+BP171)*(1-IF(BP$2-$F39&lt;=12,SUMIFS('Attrition Modeling'!$D:$D,'Attrition Modeling'!$B:$B,'Traditional Attrition'!$E39,'Attrition Modeling'!$C:$C,'Traditional Attrition'!BP$1),VLOOKUP('Traditional Attrition'!BP$2-'Traditional Attrition'!$F39-1,'Traditional Attrition'!$A$7:$C$161,2,FALSE)*VLOOKUP(BP$1,'Attrition Modeling'!$L$15:$N$27,IF(BP$2-$F39&lt;=24,2,3),FALSE))*(1+Projection!BW$16)*(1+IF(BP171&gt;0,'Attrition Modeling'!$N$9,0))),0))</f>
        <v>2141.039675657772</v>
      </c>
      <c r="BQ39" s="799">
        <f>IF(BQ$2=$F39+1,Monthly!BM$21,IF(BQ$2&gt;$F39+1,('Traditional Attrition'!BP39+BQ171)*(1-IF(BQ$2-$F39&lt;=12,SUMIFS('Attrition Modeling'!$D:$D,'Attrition Modeling'!$B:$B,'Traditional Attrition'!$E39,'Attrition Modeling'!$C:$C,'Traditional Attrition'!BQ$1),VLOOKUP('Traditional Attrition'!BQ$2-'Traditional Attrition'!$F39-1,'Traditional Attrition'!$A$7:$C$161,2,FALSE)*VLOOKUP(BQ$1,'Attrition Modeling'!$L$15:$N$27,IF(BQ$2-$F39&lt;=24,2,3),FALSE))*(1+Projection!BX$16)*(1+IF(BQ171&gt;0,'Attrition Modeling'!$N$9,0))),0))</f>
        <v>2067.6599036833618</v>
      </c>
      <c r="BR39" s="799">
        <f>IF(BR$2=$F39+1,Monthly!BN$21,IF(BR$2&gt;$F39+1,('Traditional Attrition'!BQ39+BR171)*(1-IF(BR$2-$F39&lt;=12,SUMIFS('Attrition Modeling'!$D:$D,'Attrition Modeling'!$B:$B,'Traditional Attrition'!$E39,'Attrition Modeling'!$C:$C,'Traditional Attrition'!BR$1),VLOOKUP('Traditional Attrition'!BR$2-'Traditional Attrition'!$F39-1,'Traditional Attrition'!$A$7:$C$161,2,FALSE)*VLOOKUP(BR$1,'Attrition Modeling'!$L$15:$N$27,IF(BR$2-$F39&lt;=24,2,3),FALSE))*(1+Projection!BY$16)*(1+IF(BR171&gt;0,'Attrition Modeling'!$N$9,0))),0))</f>
        <v>2000.6932291002297</v>
      </c>
      <c r="BS39" s="799">
        <f>IF(BS$2=$F39+1,Monthly!BO$21,IF(BS$2&gt;$F39+1,('Traditional Attrition'!BR39+BS171)*(1-IF(BS$2-$F39&lt;=12,SUMIFS('Attrition Modeling'!$D:$D,'Attrition Modeling'!$B:$B,'Traditional Attrition'!$E39,'Attrition Modeling'!$C:$C,'Traditional Attrition'!BS$1),VLOOKUP('Traditional Attrition'!BS$2-'Traditional Attrition'!$F39-1,'Traditional Attrition'!$A$7:$C$161,2,FALSE)*VLOOKUP(BS$1,'Attrition Modeling'!$L$15:$N$27,IF(BS$2-$F39&lt;=24,2,3),FALSE))*(1+Projection!BZ$16)*(1+IF(BS171&gt;0,'Attrition Modeling'!$N$9,0))),0))</f>
        <v>1949.8412283924242</v>
      </c>
      <c r="BT39" s="799">
        <f>IF(BT$2=$F39+1,Monthly!#REF!,IF(BT$2&gt;$F39+1,('Traditional Attrition'!BS39+BT171)*(1-IF(BT$2-$F39&lt;=12,SUMIFS('Attrition Modeling'!$D:$D,'Attrition Modeling'!$B:$B,'Traditional Attrition'!$E39,'Attrition Modeling'!$C:$C,'Traditional Attrition'!BT$1),VLOOKUP('Traditional Attrition'!BT$2-'Traditional Attrition'!$F39-1,'Traditional Attrition'!$A$7:$C$161,2,FALSE)*VLOOKUP(BT$1,'Attrition Modeling'!$L$15:$N$27,IF(BT$2-$F39&lt;=24,2,3),FALSE))*(1+Projection!CA$16)*(1+IF(BT171&gt;0,'Attrition Modeling'!$N$9,0))),0))</f>
        <v>1890.7786809462712</v>
      </c>
      <c r="BU39" s="799">
        <f>IF(BU$2=$F39+1,Monthly!#REF!,IF(BU$2&gt;$F39+1,('Traditional Attrition'!BT39+BU171)*(1-IF(BU$2-$F39&lt;=12,SUMIFS('Attrition Modeling'!$D:$D,'Attrition Modeling'!$B:$B,'Traditional Attrition'!$E39,'Attrition Modeling'!$C:$C,'Traditional Attrition'!BU$1),VLOOKUP('Traditional Attrition'!BU$2-'Traditional Attrition'!$F39-1,'Traditional Attrition'!$A$7:$C$161,2,FALSE)*VLOOKUP(BU$1,'Attrition Modeling'!$L$15:$N$27,IF(BU$2-$F39&lt;=24,2,3),FALSE))*(1+Projection!CB$16)*(1+IF(BU171&gt;0,'Attrition Modeling'!$N$9,0))),0))</f>
        <v>1987.4018710876217</v>
      </c>
    </row>
    <row r="40" spans="1:73" ht="14.25" customHeight="1" x14ac:dyDescent="0.2">
      <c r="A40" s="9">
        <v>33</v>
      </c>
      <c r="B40" s="25">
        <f>MAX('Attrition Modeling'!H37,$C$3)*(1-Summary!$C$20)</f>
        <v>3.1503539437305585E-2</v>
      </c>
      <c r="C40" s="24" t="e">
        <f t="shared" si="4"/>
        <v>#DIV/0!</v>
      </c>
      <c r="E40" s="11">
        <f t="shared" si="2"/>
        <v>1</v>
      </c>
      <c r="F40" s="11">
        <f t="shared" si="3"/>
        <v>37</v>
      </c>
      <c r="G40" s="799"/>
      <c r="H40" s="799">
        <f>IF(H$2=$F40+1,Monthly!D$21,IF(H$2&gt;$F40+1,('Traditional Attrition'!G40+H172)*(1-IF(H$2-$F40&lt;=12,SUMIFS('Attrition Modeling'!$D:$D,'Attrition Modeling'!$B:$B,'Traditional Attrition'!$E40,'Attrition Modeling'!$C:$C,'Traditional Attrition'!H$1),VLOOKUP('Traditional Attrition'!H$2-'Traditional Attrition'!$F40-1,'Traditional Attrition'!$A$7:$C$161,2,FALSE)*VLOOKUP(H$1,'Attrition Modeling'!$L$15:$N$27,IF(H$2-$F40&lt;=24,2,3),FALSE))*(1+Projection!J$16)*(1+IF(H172&gt;0,'Attrition Modeling'!$N$9,0))),0))</f>
        <v>0</v>
      </c>
      <c r="I40" s="799">
        <f>IF(I$2=$F40+1,Monthly!E$21,IF(I$2&gt;$F40+1,('Traditional Attrition'!H40+I172)*(1-IF(I$2-$F40&lt;=12,SUMIFS('Attrition Modeling'!$D:$D,'Attrition Modeling'!$B:$B,'Traditional Attrition'!$E40,'Attrition Modeling'!$C:$C,'Traditional Attrition'!I$1),VLOOKUP('Traditional Attrition'!I$2-'Traditional Attrition'!$F40-1,'Traditional Attrition'!$A$7:$C$161,2,FALSE)*VLOOKUP(I$1,'Attrition Modeling'!$L$15:$N$27,IF(I$2-$F40&lt;=24,2,3),FALSE))*(1+Projection!K$16)*(1+IF(I172&gt;0,'Attrition Modeling'!$N$9,0))),0))</f>
        <v>0</v>
      </c>
      <c r="J40" s="799">
        <f>IF(J$2=$F40+1,Monthly!F$21,IF(J$2&gt;$F40+1,('Traditional Attrition'!I40+J172)*(1-IF(J$2-$F40&lt;=12,SUMIFS('Attrition Modeling'!$D:$D,'Attrition Modeling'!$B:$B,'Traditional Attrition'!$E40,'Attrition Modeling'!$C:$C,'Traditional Attrition'!J$1),VLOOKUP('Traditional Attrition'!J$2-'Traditional Attrition'!$F40-1,'Traditional Attrition'!$A$7:$C$161,2,FALSE)*VLOOKUP(J$1,'Attrition Modeling'!$L$15:$N$27,IF(J$2-$F40&lt;=24,2,3),FALSE))*(1+Projection!L$16)*(1+IF(J172&gt;0,'Attrition Modeling'!$N$9,0))),0))</f>
        <v>0</v>
      </c>
      <c r="K40" s="799">
        <f>IF(K$2=$F40+1,Monthly!G$21,IF(K$2&gt;$F40+1,('Traditional Attrition'!J40+K172)*(1-IF(K$2-$F40&lt;=12,SUMIFS('Attrition Modeling'!$D:$D,'Attrition Modeling'!$B:$B,'Traditional Attrition'!$E40,'Attrition Modeling'!$C:$C,'Traditional Attrition'!K$1),VLOOKUP('Traditional Attrition'!K$2-'Traditional Attrition'!$F40-1,'Traditional Attrition'!$A$7:$C$161,2,FALSE)*VLOOKUP(K$1,'Attrition Modeling'!$L$15:$N$27,IF(K$2-$F40&lt;=24,2,3),FALSE))*(1+Projection!M$16)*(1+IF(K172&gt;0,'Attrition Modeling'!$N$9,0))),0))</f>
        <v>0</v>
      </c>
      <c r="L40" s="799">
        <f>IF(L$2=$F40+1,Monthly!H$21,IF(L$2&gt;$F40+1,('Traditional Attrition'!K40+L172)*(1-IF(L$2-$F40&lt;=12,SUMIFS('Attrition Modeling'!$D:$D,'Attrition Modeling'!$B:$B,'Traditional Attrition'!$E40,'Attrition Modeling'!$C:$C,'Traditional Attrition'!L$1),VLOOKUP('Traditional Attrition'!L$2-'Traditional Attrition'!$F40-1,'Traditional Attrition'!$A$7:$C$161,2,FALSE)*VLOOKUP(L$1,'Attrition Modeling'!$L$15:$N$27,IF(L$2-$F40&lt;=24,2,3),FALSE))*(1+Projection!N$16)*(1+IF(L172&gt;0,'Attrition Modeling'!$N$9,0))),0))</f>
        <v>0</v>
      </c>
      <c r="M40" s="799">
        <f>IF(M$2=$F40+1,Monthly!I$21,IF(M$2&gt;$F40+1,('Traditional Attrition'!L40+M172)*(1-IF(M$2-$F40&lt;=12,SUMIFS('Attrition Modeling'!$D:$D,'Attrition Modeling'!$B:$B,'Traditional Attrition'!$E40,'Attrition Modeling'!$C:$C,'Traditional Attrition'!M$1),VLOOKUP('Traditional Attrition'!M$2-'Traditional Attrition'!$F40-1,'Traditional Attrition'!$A$7:$C$161,2,FALSE)*VLOOKUP(M$1,'Attrition Modeling'!$L$15:$N$27,IF(M$2-$F40&lt;=24,2,3),FALSE))*(1+Projection!O$16)*(1+IF(M172&gt;0,'Attrition Modeling'!$N$9,0))),0))</f>
        <v>0</v>
      </c>
      <c r="N40" s="799">
        <f>IF(N$2=$F40+1,Monthly!J$21,IF(N$2&gt;$F40+1,('Traditional Attrition'!M40+N172)*(1-IF(N$2-$F40&lt;=12,SUMIFS('Attrition Modeling'!$D:$D,'Attrition Modeling'!$B:$B,'Traditional Attrition'!$E40,'Attrition Modeling'!$C:$C,'Traditional Attrition'!N$1),VLOOKUP('Traditional Attrition'!N$2-'Traditional Attrition'!$F40-1,'Traditional Attrition'!$A$7:$C$161,2,FALSE)*VLOOKUP(N$1,'Attrition Modeling'!$L$15:$N$27,IF(N$2-$F40&lt;=24,2,3),FALSE))*(1+Projection!P$16)*(1+IF(N172&gt;0,'Attrition Modeling'!$N$9,0))),0))</f>
        <v>0</v>
      </c>
      <c r="O40" s="799">
        <f>IF(O$2=$F40+1,Monthly!K$21,IF(O$2&gt;$F40+1,('Traditional Attrition'!N40+O172)*(1-IF(O$2-$F40&lt;=12,SUMIFS('Attrition Modeling'!$D:$D,'Attrition Modeling'!$B:$B,'Traditional Attrition'!$E40,'Attrition Modeling'!$C:$C,'Traditional Attrition'!O$1),VLOOKUP('Traditional Attrition'!O$2-'Traditional Attrition'!$F40-1,'Traditional Attrition'!$A$7:$C$161,2,FALSE)*VLOOKUP(O$1,'Attrition Modeling'!$L$15:$N$27,IF(O$2-$F40&lt;=24,2,3),FALSE))*(1+Projection!Q$16)*(1+IF(O172&gt;0,'Attrition Modeling'!$N$9,0))),0))</f>
        <v>0</v>
      </c>
      <c r="P40" s="799">
        <f>IF(P$2=$F40+1,Monthly!L$21,IF(P$2&gt;$F40+1,('Traditional Attrition'!O40+P172)*(1-IF(P$2-$F40&lt;=12,SUMIFS('Attrition Modeling'!$D:$D,'Attrition Modeling'!$B:$B,'Traditional Attrition'!$E40,'Attrition Modeling'!$C:$C,'Traditional Attrition'!P$1),VLOOKUP('Traditional Attrition'!P$2-'Traditional Attrition'!$F40-1,'Traditional Attrition'!$A$7:$C$161,2,FALSE)*VLOOKUP(P$1,'Attrition Modeling'!$L$15:$N$27,IF(P$2-$F40&lt;=24,2,3),FALSE))*(1+Projection!R$16)*(1+IF(P172&gt;0,'Attrition Modeling'!$N$9,0))),0))</f>
        <v>0</v>
      </c>
      <c r="Q40" s="799">
        <f>IF(Q$2=$F40+1,Monthly!M$21,IF(Q$2&gt;$F40+1,('Traditional Attrition'!P40+Q172)*(1-IF(Q$2-$F40&lt;=12,SUMIFS('Attrition Modeling'!$D:$D,'Attrition Modeling'!$B:$B,'Traditional Attrition'!$E40,'Attrition Modeling'!$C:$C,'Traditional Attrition'!Q$1),VLOOKUP('Traditional Attrition'!Q$2-'Traditional Attrition'!$F40-1,'Traditional Attrition'!$A$7:$C$161,2,FALSE)*VLOOKUP(Q$1,'Attrition Modeling'!$L$15:$N$27,IF(Q$2-$F40&lt;=24,2,3),FALSE))*(1+Projection!S$16)*(1+IF(Q172&gt;0,'Attrition Modeling'!$N$9,0))),0))</f>
        <v>0</v>
      </c>
      <c r="R40" s="799">
        <f>IF(R$2=$F40+1,Monthly!N$21,IF(R$2&gt;$F40+1,('Traditional Attrition'!Q40+R172)*(1-IF(R$2-$F40&lt;=12,SUMIFS('Attrition Modeling'!$D:$D,'Attrition Modeling'!$B:$B,'Traditional Attrition'!$E40,'Attrition Modeling'!$C:$C,'Traditional Attrition'!R$1),VLOOKUP('Traditional Attrition'!R$2-'Traditional Attrition'!$F40-1,'Traditional Attrition'!$A$7:$C$161,2,FALSE)*VLOOKUP(R$1,'Attrition Modeling'!$L$15:$N$27,IF(R$2-$F40&lt;=24,2,3),FALSE))*(1+Projection!T$16)*(1+IF(R172&gt;0,'Attrition Modeling'!$N$9,0))),0))</f>
        <v>0</v>
      </c>
      <c r="S40" s="799">
        <f>IF(S$2=$F40+1,Monthly!O$21,IF(S$2&gt;$F40+1,('Traditional Attrition'!R40+S172)*(1-IF(S$2-$F40&lt;=12,SUMIFS('Attrition Modeling'!$D:$D,'Attrition Modeling'!$B:$B,'Traditional Attrition'!$E40,'Attrition Modeling'!$C:$C,'Traditional Attrition'!S$1),VLOOKUP('Traditional Attrition'!S$2-'Traditional Attrition'!$F40-1,'Traditional Attrition'!$A$7:$C$161,2,FALSE)*VLOOKUP(S$1,'Attrition Modeling'!$L$15:$N$27,IF(S$2-$F40&lt;=24,2,3),FALSE))*(1+Projection!U$16)*(1+IF(S172&gt;0,'Attrition Modeling'!$N$9,0))),0))</f>
        <v>0</v>
      </c>
      <c r="T40" s="799">
        <f>IF(T$2=$F40+1,Monthly!P$21,IF(T$2&gt;$F40+1,('Traditional Attrition'!S40+T172)*(1-IF(T$2-$F40&lt;=12,SUMIFS('Attrition Modeling'!$D:$D,'Attrition Modeling'!$B:$B,'Traditional Attrition'!$E40,'Attrition Modeling'!$C:$C,'Traditional Attrition'!T$1),VLOOKUP('Traditional Attrition'!T$2-'Traditional Attrition'!$F40-1,'Traditional Attrition'!$A$7:$C$161,2,FALSE)*VLOOKUP(T$1,'Attrition Modeling'!$L$15:$N$27,IF(T$2-$F40&lt;=24,2,3),FALSE))*(1+Projection!V$16)*(1+IF(T172&gt;0,'Attrition Modeling'!$N$9,0))),0))</f>
        <v>0</v>
      </c>
      <c r="U40" s="799">
        <f>IF(U$2=$F40+1,Monthly!Q$21,IF(U$2&gt;$F40+1,('Traditional Attrition'!T40+U172)*(1-IF(U$2-$F40&lt;=12,SUMIFS('Attrition Modeling'!$D:$D,'Attrition Modeling'!$B:$B,'Traditional Attrition'!$E40,'Attrition Modeling'!$C:$C,'Traditional Attrition'!U$1),VLOOKUP('Traditional Attrition'!U$2-'Traditional Attrition'!$F40-1,'Traditional Attrition'!$A$7:$C$161,2,FALSE)*VLOOKUP(U$1,'Attrition Modeling'!$L$15:$N$27,IF(U$2-$F40&lt;=24,2,3),FALSE))*(1+Projection!W$16)*(1+IF(U172&gt;0,'Attrition Modeling'!$N$9,0))),0))</f>
        <v>0</v>
      </c>
      <c r="V40" s="799">
        <f>IF(V$2=$F40+1,Monthly!R$21,IF(V$2&gt;$F40+1,('Traditional Attrition'!U40+V172)*(1-IF(V$2-$F40&lt;=12,SUMIFS('Attrition Modeling'!$D:$D,'Attrition Modeling'!$B:$B,'Traditional Attrition'!$E40,'Attrition Modeling'!$C:$C,'Traditional Attrition'!V$1),VLOOKUP('Traditional Attrition'!V$2-'Traditional Attrition'!$F40-1,'Traditional Attrition'!$A$7:$C$161,2,FALSE)*VLOOKUP(V$1,'Attrition Modeling'!$L$15:$N$27,IF(V$2-$F40&lt;=24,2,3),FALSE))*(1+Projection!X$16)*(1+IF(V172&gt;0,'Attrition Modeling'!$N$9,0))),0))</f>
        <v>0</v>
      </c>
      <c r="W40" s="799">
        <f>IF(W$2=$F40+1,Monthly!S$21,IF(W$2&gt;$F40+1,('Traditional Attrition'!V40+W172)*(1-IF(W$2-$F40&lt;=12,SUMIFS('Attrition Modeling'!$D:$D,'Attrition Modeling'!$B:$B,'Traditional Attrition'!$E40,'Attrition Modeling'!$C:$C,'Traditional Attrition'!W$1),VLOOKUP('Traditional Attrition'!W$2-'Traditional Attrition'!$F40-1,'Traditional Attrition'!$A$7:$C$161,2,FALSE)*VLOOKUP(W$1,'Attrition Modeling'!$L$15:$N$27,IF(W$2-$F40&lt;=24,2,3),FALSE))*(1+Projection!Y$16)*(1+IF(W172&gt;0,'Attrition Modeling'!$N$9,0))),0))</f>
        <v>0</v>
      </c>
      <c r="X40" s="799">
        <f>IF(X$2=$F40+1,Monthly!T$21,IF(X$2&gt;$F40+1,('Traditional Attrition'!W40+X172)*(1-IF(X$2-$F40&lt;=12,SUMIFS('Attrition Modeling'!$D:$D,'Attrition Modeling'!$B:$B,'Traditional Attrition'!$E40,'Attrition Modeling'!$C:$C,'Traditional Attrition'!X$1),VLOOKUP('Traditional Attrition'!X$2-'Traditional Attrition'!$F40-1,'Traditional Attrition'!$A$7:$C$161,2,FALSE)*VLOOKUP(X$1,'Attrition Modeling'!$L$15:$N$27,IF(X$2-$F40&lt;=24,2,3),FALSE))*(1+Projection!Z$16)*(1+IF(X172&gt;0,'Attrition Modeling'!$N$9,0))),0))</f>
        <v>0</v>
      </c>
      <c r="Y40" s="799">
        <f>IF(Y$2=$F40+1,Monthly!U$21,IF(Y$2&gt;$F40+1,('Traditional Attrition'!X40+Y172)*(1-IF(Y$2-$F40&lt;=12,SUMIFS('Attrition Modeling'!$D:$D,'Attrition Modeling'!$B:$B,'Traditional Attrition'!$E40,'Attrition Modeling'!$C:$C,'Traditional Attrition'!Y$1),VLOOKUP('Traditional Attrition'!Y$2-'Traditional Attrition'!$F40-1,'Traditional Attrition'!$A$7:$C$161,2,FALSE)*VLOOKUP(Y$1,'Attrition Modeling'!$L$15:$N$27,IF(Y$2-$F40&lt;=24,2,3),FALSE))*(1+Projection!AA$16)*(1+IF(Y172&gt;0,'Attrition Modeling'!$N$9,0))),0))</f>
        <v>0</v>
      </c>
      <c r="Z40" s="799">
        <f>IF(Z$2=$F40+1,Monthly!V$21,IF(Z$2&gt;$F40+1,('Traditional Attrition'!Y40+Z172)*(1-IF(Z$2-$F40&lt;=12,SUMIFS('Attrition Modeling'!$D:$D,'Attrition Modeling'!$B:$B,'Traditional Attrition'!$E40,'Attrition Modeling'!$C:$C,'Traditional Attrition'!Z$1),VLOOKUP('Traditional Attrition'!Z$2-'Traditional Attrition'!$F40-1,'Traditional Attrition'!$A$7:$C$161,2,FALSE)*VLOOKUP(Z$1,'Attrition Modeling'!$L$15:$N$27,IF(Z$2-$F40&lt;=24,2,3),FALSE))*(1+Projection!AB$16)*(1+IF(Z172&gt;0,'Attrition Modeling'!$N$9,0))),0))</f>
        <v>0</v>
      </c>
      <c r="AA40" s="799">
        <f>IF(AA$2=$F40+1,Monthly!W$21,IF(AA$2&gt;$F40+1,('Traditional Attrition'!Z40+AA172)*(1-IF(AA$2-$F40&lt;=12,SUMIFS('Attrition Modeling'!$D:$D,'Attrition Modeling'!$B:$B,'Traditional Attrition'!$E40,'Attrition Modeling'!$C:$C,'Traditional Attrition'!AA$1),VLOOKUP('Traditional Attrition'!AA$2-'Traditional Attrition'!$F40-1,'Traditional Attrition'!$A$7:$C$161,2,FALSE)*VLOOKUP(AA$1,'Attrition Modeling'!$L$15:$N$27,IF(AA$2-$F40&lt;=24,2,3),FALSE))*(1+Projection!AC$16)*(1+IF(AA172&gt;0,'Attrition Modeling'!$N$9,0))),0))</f>
        <v>0</v>
      </c>
      <c r="AB40" s="799">
        <f>IF(AB$2=$F40+1,Monthly!X$21,IF(AB$2&gt;$F40+1,('Traditional Attrition'!AA40+AB172)*(1-IF(AB$2-$F40&lt;=12,SUMIFS('Attrition Modeling'!$D:$D,'Attrition Modeling'!$B:$B,'Traditional Attrition'!$E40,'Attrition Modeling'!$C:$C,'Traditional Attrition'!AB$1),VLOOKUP('Traditional Attrition'!AB$2-'Traditional Attrition'!$F40-1,'Traditional Attrition'!$A$7:$C$161,2,FALSE)*VLOOKUP(AB$1,'Attrition Modeling'!$L$15:$N$27,IF(AB$2-$F40&lt;=24,2,3),FALSE))*(1+Projection!AD$16)*(1+IF(AB172&gt;0,'Attrition Modeling'!$N$9,0))),0))</f>
        <v>0</v>
      </c>
      <c r="AC40" s="799">
        <f>IF(AC$2=$F40+1,Monthly!Y$21,IF(AC$2&gt;$F40+1,('Traditional Attrition'!AB40+AC172)*(1-IF(AC$2-$F40&lt;=12,SUMIFS('Attrition Modeling'!$D:$D,'Attrition Modeling'!$B:$B,'Traditional Attrition'!$E40,'Attrition Modeling'!$C:$C,'Traditional Attrition'!AC$1),VLOOKUP('Traditional Attrition'!AC$2-'Traditional Attrition'!$F40-1,'Traditional Attrition'!$A$7:$C$161,2,FALSE)*VLOOKUP(AC$1,'Attrition Modeling'!$L$15:$N$27,IF(AC$2-$F40&lt;=24,2,3),FALSE))*(1+Projection!AE$16)*(1+IF(AC172&gt;0,'Attrition Modeling'!$N$9,0))),0))</f>
        <v>0</v>
      </c>
      <c r="AD40" s="799">
        <f>IF(AD$2=$F40+1,Monthly!Z$21,IF(AD$2&gt;$F40+1,('Traditional Attrition'!AC40+AD172)*(1-IF(AD$2-$F40&lt;=12,SUMIFS('Attrition Modeling'!$D:$D,'Attrition Modeling'!$B:$B,'Traditional Attrition'!$E40,'Attrition Modeling'!$C:$C,'Traditional Attrition'!AD$1),VLOOKUP('Traditional Attrition'!AD$2-'Traditional Attrition'!$F40-1,'Traditional Attrition'!$A$7:$C$161,2,FALSE)*VLOOKUP(AD$1,'Attrition Modeling'!$L$15:$N$27,IF(AD$2-$F40&lt;=24,2,3),FALSE))*(1+Projection!AF$16)*(1+IF(AD172&gt;0,'Attrition Modeling'!$N$9,0))),0))</f>
        <v>0</v>
      </c>
      <c r="AE40" s="799">
        <f>IF(AE$2=$F40+1,Monthly!AA$21,IF(AE$2&gt;$F40+1,('Traditional Attrition'!AD40+AE172)*(1-IF(AE$2-$F40&lt;=12,SUMIFS('Attrition Modeling'!$D:$D,'Attrition Modeling'!$B:$B,'Traditional Attrition'!$E40,'Attrition Modeling'!$C:$C,'Traditional Attrition'!AE$1),VLOOKUP('Traditional Attrition'!AE$2-'Traditional Attrition'!$F40-1,'Traditional Attrition'!$A$7:$C$161,2,FALSE)*VLOOKUP(AE$1,'Attrition Modeling'!$L$15:$N$27,IF(AE$2-$F40&lt;=24,2,3),FALSE))*(1+Projection!AG$16)*(1+IF(AE172&gt;0,'Attrition Modeling'!$N$9,0))),0))</f>
        <v>0</v>
      </c>
      <c r="AF40" s="799">
        <f>IF(AF$2=$F40+1,Monthly!AB$21,IF(AF$2&gt;$F40+1,('Traditional Attrition'!AE40+AF172)*(1-IF(AF$2-$F40&lt;=12,SUMIFS('Attrition Modeling'!$D:$D,'Attrition Modeling'!$B:$B,'Traditional Attrition'!$E40,'Attrition Modeling'!$C:$C,'Traditional Attrition'!AF$1),VLOOKUP('Traditional Attrition'!AF$2-'Traditional Attrition'!$F40-1,'Traditional Attrition'!$A$7:$C$161,2,FALSE)*VLOOKUP(AF$1,'Attrition Modeling'!$L$15:$N$27,IF(AF$2-$F40&lt;=24,2,3),FALSE))*(1+Projection!AH$16)*(1+IF(AF172&gt;0,'Attrition Modeling'!$N$9,0))),0))</f>
        <v>0</v>
      </c>
      <c r="AG40" s="799">
        <f>IF(AG$2=$F40+1,Monthly!AC$21,IF(AG$2&gt;$F40+1,('Traditional Attrition'!AF40+AG172)*(1-IF(AG$2-$F40&lt;=12,SUMIFS('Attrition Modeling'!$D:$D,'Attrition Modeling'!$B:$B,'Traditional Attrition'!$E40,'Attrition Modeling'!$C:$C,'Traditional Attrition'!AG$1),VLOOKUP('Traditional Attrition'!AG$2-'Traditional Attrition'!$F40-1,'Traditional Attrition'!$A$7:$C$161,2,FALSE)*VLOOKUP(AG$1,'Attrition Modeling'!$L$15:$N$27,IF(AG$2-$F40&lt;=24,2,3),FALSE))*(1+Projection!AI$16)*(1+IF(AG172&gt;0,'Attrition Modeling'!$N$9,0))),0))</f>
        <v>0</v>
      </c>
      <c r="AH40" s="799">
        <f>IF(AH$2=$F40+1,Monthly!AD$21,IF(AH$2&gt;$F40+1,('Traditional Attrition'!AG40+AH172)*(1-IF(AH$2-$F40&lt;=12,SUMIFS('Attrition Modeling'!$D:$D,'Attrition Modeling'!$B:$B,'Traditional Attrition'!$E40,'Attrition Modeling'!$C:$C,'Traditional Attrition'!AH$1),VLOOKUP('Traditional Attrition'!AH$2-'Traditional Attrition'!$F40-1,'Traditional Attrition'!$A$7:$C$161,2,FALSE)*VLOOKUP(AH$1,'Attrition Modeling'!$L$15:$N$27,IF(AH$2-$F40&lt;=24,2,3),FALSE))*(1+Projection!AJ$16)*(1+IF(AH172&gt;0,'Attrition Modeling'!$N$9,0))),0))</f>
        <v>0</v>
      </c>
      <c r="AI40" s="799">
        <f>IF(AI$2=$F40+1,Monthly!AE$21,IF(AI$2&gt;$F40+1,('Traditional Attrition'!AH40+AI172)*(1-IF(AI$2-$F40&lt;=12,SUMIFS('Attrition Modeling'!$D:$D,'Attrition Modeling'!$B:$B,'Traditional Attrition'!$E40,'Attrition Modeling'!$C:$C,'Traditional Attrition'!AI$1),VLOOKUP('Traditional Attrition'!AI$2-'Traditional Attrition'!$F40-1,'Traditional Attrition'!$A$7:$C$161,2,FALSE)*VLOOKUP(AI$1,'Attrition Modeling'!$L$15:$N$27,IF(AI$2-$F40&lt;=24,2,3),FALSE))*(1+Projection!AK$16)*(1+IF(AI172&gt;0,'Attrition Modeling'!$N$9,0))),0))</f>
        <v>0</v>
      </c>
      <c r="AJ40" s="799">
        <f>IF(AJ$2=$F40+1,Monthly!AF$21,IF(AJ$2&gt;$F40+1,('Traditional Attrition'!AI40+AJ172)*(1-IF(AJ$2-$F40&lt;=12,SUMIFS('Attrition Modeling'!$D:$D,'Attrition Modeling'!$B:$B,'Traditional Attrition'!$E40,'Attrition Modeling'!$C:$C,'Traditional Attrition'!AJ$1),VLOOKUP('Traditional Attrition'!AJ$2-'Traditional Attrition'!$F40-1,'Traditional Attrition'!$A$7:$C$161,2,FALSE)*VLOOKUP(AJ$1,'Attrition Modeling'!$L$15:$N$27,IF(AJ$2-$F40&lt;=24,2,3),FALSE))*(1+Projection!AL$16)*(1+IF(AJ172&gt;0,'Attrition Modeling'!$N$9,0))),0))</f>
        <v>0</v>
      </c>
      <c r="AK40" s="799">
        <f>IF(AK$2=$F40+1,Monthly!AG$21,IF(AK$2&gt;$F40+1,('Traditional Attrition'!AJ40+AK172)*(1-IF(AK$2-$F40&lt;=12,SUMIFS('Attrition Modeling'!$D:$D,'Attrition Modeling'!$B:$B,'Traditional Attrition'!$E40,'Attrition Modeling'!$C:$C,'Traditional Attrition'!AK$1),VLOOKUP('Traditional Attrition'!AK$2-'Traditional Attrition'!$F40-1,'Traditional Attrition'!$A$7:$C$161,2,FALSE)*VLOOKUP(AK$1,'Attrition Modeling'!$L$15:$N$27,IF(AK$2-$F40&lt;=24,2,3),FALSE))*(1+Projection!AM$16)*(1+IF(AK172&gt;0,'Attrition Modeling'!$N$9,0))),0))</f>
        <v>0</v>
      </c>
      <c r="AL40" s="799">
        <f>IF(AL$2=$F40+1,Monthly!AH$21,IF(AL$2&gt;$F40+1,('Traditional Attrition'!AK40+AL172)*(1-IF(AL$2-$F40&lt;=12,SUMIFS('Attrition Modeling'!$D:$D,'Attrition Modeling'!$B:$B,'Traditional Attrition'!$E40,'Attrition Modeling'!$C:$C,'Traditional Attrition'!AL$1),VLOOKUP('Traditional Attrition'!AL$2-'Traditional Attrition'!$F40-1,'Traditional Attrition'!$A$7:$C$161,2,FALSE)*VLOOKUP(AL$1,'Attrition Modeling'!$L$15:$N$27,IF(AL$2-$F40&lt;=24,2,3),FALSE))*(1+Projection!AN$16)*(1+IF(AL172&gt;0,'Attrition Modeling'!$N$9,0))),0))</f>
        <v>0</v>
      </c>
      <c r="AM40" s="799">
        <f>IF(AM$2=$F40+1,Monthly!AI$21,IF(AM$2&gt;$F40+1,('Traditional Attrition'!AL40+AM172)*(1-IF(AM$2-$F40&lt;=12,SUMIFS('Attrition Modeling'!$D:$D,'Attrition Modeling'!$B:$B,'Traditional Attrition'!$E40,'Attrition Modeling'!$C:$C,'Traditional Attrition'!AM$1),VLOOKUP('Traditional Attrition'!AM$2-'Traditional Attrition'!$F40-1,'Traditional Attrition'!$A$7:$C$161,2,FALSE)*VLOOKUP(AM$1,'Attrition Modeling'!$L$15:$N$27,IF(AM$2-$F40&lt;=24,2,3),FALSE))*(1+Projection!AO$16)*(1+IF(AM172&gt;0,'Attrition Modeling'!$N$9,0))),0))</f>
        <v>0</v>
      </c>
      <c r="AN40" s="799">
        <f>IF(AN$2=$F40+1,Monthly!AJ$21,IF(AN$2&gt;$F40+1,('Traditional Attrition'!AM40+AN172)*(1-IF(AN$2-$F40&lt;=12,SUMIFS('Attrition Modeling'!$D:$D,'Attrition Modeling'!$B:$B,'Traditional Attrition'!$E40,'Attrition Modeling'!$C:$C,'Traditional Attrition'!AN$1),VLOOKUP('Traditional Attrition'!AN$2-'Traditional Attrition'!$F40-1,'Traditional Attrition'!$A$7:$C$161,2,FALSE)*VLOOKUP(AN$1,'Attrition Modeling'!$L$15:$N$27,IF(AN$2-$F40&lt;=24,2,3),FALSE))*(1+Projection!AP$16)*(1+IF(AN172&gt;0,'Attrition Modeling'!$N$9,0))),0))</f>
        <v>0</v>
      </c>
      <c r="AO40" s="799">
        <f>IF(AO$2=$F40+1,Monthly!AK$21,IF(AO$2&gt;$F40+1,('Traditional Attrition'!AN40+AO172)*(1-IF(AO$2-$F40&lt;=12,SUMIFS('Attrition Modeling'!$D:$D,'Attrition Modeling'!$B:$B,'Traditional Attrition'!$E40,'Attrition Modeling'!$C:$C,'Traditional Attrition'!AO$1),VLOOKUP('Traditional Attrition'!AO$2-'Traditional Attrition'!$F40-1,'Traditional Attrition'!$A$7:$C$161,2,FALSE)*VLOOKUP(AO$1,'Attrition Modeling'!$L$15:$N$27,IF(AO$2-$F40&lt;=24,2,3),FALSE))*(1+Projection!AQ$16)*(1+IF(AO172&gt;0,'Attrition Modeling'!$N$9,0))),0))</f>
        <v>0</v>
      </c>
      <c r="AP40" s="799">
        <f>IF(AP$2=$F40+1,Monthly!AL$21,IF(AP$2&gt;$F40+1,('Traditional Attrition'!AO40+AP172)*(1-IF(AP$2-$F40&lt;=12,SUMIFS('Attrition Modeling'!$D:$D,'Attrition Modeling'!$B:$B,'Traditional Attrition'!$E40,'Attrition Modeling'!$C:$C,'Traditional Attrition'!AP$1),VLOOKUP('Traditional Attrition'!AP$2-'Traditional Attrition'!$F40-1,'Traditional Attrition'!$A$7:$C$161,2,FALSE)*VLOOKUP(AP$1,'Attrition Modeling'!$L$15:$N$27,IF(AP$2-$F40&lt;=24,2,3),FALSE))*(1+Projection!AR$16)*(1+IF(AP172&gt;0,'Attrition Modeling'!$N$9,0))),0))</f>
        <v>0</v>
      </c>
      <c r="AQ40" s="799">
        <f>IF(AQ$2=$F40+1,Monthly!AM$21,IF(AQ$2&gt;$F40+1,('Traditional Attrition'!AP40+AQ172)*(1-IF(AQ$2-$F40&lt;=12,SUMIFS('Attrition Modeling'!$D:$D,'Attrition Modeling'!$B:$B,'Traditional Attrition'!$E40,'Attrition Modeling'!$C:$C,'Traditional Attrition'!AQ$1),VLOOKUP('Traditional Attrition'!AQ$2-'Traditional Attrition'!$F40-1,'Traditional Attrition'!$A$7:$C$161,2,FALSE)*VLOOKUP(AQ$1,'Attrition Modeling'!$L$15:$N$27,IF(AQ$2-$F40&lt;=24,2,3),FALSE))*(1+Projection!AS$16)*(1+IF(AQ172&gt;0,'Attrition Modeling'!$N$9,0))),0))</f>
        <v>0</v>
      </c>
      <c r="AR40" s="799">
        <f>IF(AR$2=$F40+1,Monthly!AN$21,IF(AR$2&gt;$F40+1,('Traditional Attrition'!AQ40+AR172)*(1-IF(AR$2-$F40&lt;=12,SUMIFS('Attrition Modeling'!$D:$D,'Attrition Modeling'!$B:$B,'Traditional Attrition'!$E40,'Attrition Modeling'!$C:$C,'Traditional Attrition'!AR$1),VLOOKUP('Traditional Attrition'!AR$2-'Traditional Attrition'!$F40-1,'Traditional Attrition'!$A$7:$C$161,2,FALSE)*VLOOKUP(AR$1,'Attrition Modeling'!$L$15:$N$27,IF(AR$2-$F40&lt;=24,2,3),FALSE))*(1+Projection!AT$16)*(1+IF(AR172&gt;0,'Attrition Modeling'!$N$9,0))),0))</f>
        <v>0</v>
      </c>
      <c r="AS40" s="799">
        <f>IF(AS$2=$F40+1,Monthly!AO$21,IF(AS$2&gt;$F40+1,('Traditional Attrition'!AR40+AS172)*(1-IF(AS$2-$F40&lt;=12,SUMIFS('Attrition Modeling'!$D:$D,'Attrition Modeling'!$B:$B,'Traditional Attrition'!$E40,'Attrition Modeling'!$C:$C,'Traditional Attrition'!AS$1),VLOOKUP('Traditional Attrition'!AS$2-'Traditional Attrition'!$F40-1,'Traditional Attrition'!$A$7:$C$161,2,FALSE)*VLOOKUP(AS$1,'Attrition Modeling'!$L$15:$N$27,IF(AS$2-$F40&lt;=24,2,3),FALSE))*(1+Projection!AU$16)*(1+IF(AS172&gt;0,'Attrition Modeling'!$N$9,0))),0))</f>
        <v>8754.9437060097953</v>
      </c>
      <c r="AT40" s="799">
        <f>IF(AT$2=$F40+1,Monthly!AP$21,IF(AT$2&gt;$F40+1,('Traditional Attrition'!AS40+AT172)*(1-IF(AT$2-$F40&lt;=12,SUMIFS('Attrition Modeling'!$D:$D,'Attrition Modeling'!$B:$B,'Traditional Attrition'!$E40,'Attrition Modeling'!$C:$C,'Traditional Attrition'!AT$1),VLOOKUP('Traditional Attrition'!AT$2-'Traditional Attrition'!$F40-1,'Traditional Attrition'!$A$7:$C$161,2,FALSE)*VLOOKUP(AT$1,'Attrition Modeling'!$L$15:$N$27,IF(AT$2-$F40&lt;=24,2,3),FALSE))*(1+Projection!AV$16)*(1+IF(AT172&gt;0,'Attrition Modeling'!$N$9,0))),0))</f>
        <v>7872.8507343375959</v>
      </c>
      <c r="AU40" s="799">
        <f>IF(AU$2=$F40+1,Monthly!AQ$21,IF(AU$2&gt;$F40+1,('Traditional Attrition'!AT40+AU172)*(1-IF(AU$2-$F40&lt;=12,SUMIFS('Attrition Modeling'!$D:$D,'Attrition Modeling'!$B:$B,'Traditional Attrition'!$E40,'Attrition Modeling'!$C:$C,'Traditional Attrition'!AU$1),VLOOKUP('Traditional Attrition'!AU$2-'Traditional Attrition'!$F40-1,'Traditional Attrition'!$A$7:$C$161,2,FALSE)*VLOOKUP(AU$1,'Attrition Modeling'!$L$15:$N$27,IF(AU$2-$F40&lt;=24,2,3),FALSE))*(1+Projection!AW$16)*(1+IF(AU172&gt;0,'Attrition Modeling'!$N$9,0))),0))</f>
        <v>7215.3762942233816</v>
      </c>
      <c r="AV40" s="799">
        <f>IF(AV$2=$F40+1,Monthly!AR$21,IF(AV$2&gt;$F40+1,('Traditional Attrition'!AU40+AV172)*(1-IF(AV$2-$F40&lt;=12,SUMIFS('Attrition Modeling'!$D:$D,'Attrition Modeling'!$B:$B,'Traditional Attrition'!$E40,'Attrition Modeling'!$C:$C,'Traditional Attrition'!AV$1),VLOOKUP('Traditional Attrition'!AV$2-'Traditional Attrition'!$F40-1,'Traditional Attrition'!$A$7:$C$161,2,FALSE)*VLOOKUP(AV$1,'Attrition Modeling'!$L$15:$N$27,IF(AV$2-$F40&lt;=24,2,3),FALSE))*(1+Projection!AX$16)*(1+IF(AV172&gt;0,'Attrition Modeling'!$N$9,0))),0))</f>
        <v>6551.713991748401</v>
      </c>
      <c r="AW40" s="799">
        <f>IF(AW$2=$F40+1,Monthly!AS$21,IF(AW$2&gt;$F40+1,('Traditional Attrition'!AV40+AW172)*(1-IF(AW$2-$F40&lt;=12,SUMIFS('Attrition Modeling'!$D:$D,'Attrition Modeling'!$B:$B,'Traditional Attrition'!$E40,'Attrition Modeling'!$C:$C,'Traditional Attrition'!AW$1),VLOOKUP('Traditional Attrition'!AW$2-'Traditional Attrition'!$F40-1,'Traditional Attrition'!$A$7:$C$161,2,FALSE)*VLOOKUP(AW$1,'Attrition Modeling'!$L$15:$N$27,IF(AW$2-$F40&lt;=24,2,3),FALSE))*(1+Projection!AY$16)*(1+IF(AW172&gt;0,'Attrition Modeling'!$N$9,0))),0))</f>
        <v>6021.0164446371718</v>
      </c>
      <c r="AX40" s="799">
        <f>IF(AX$2=$F40+1,Monthly!AT$21,IF(AX$2&gt;$F40+1,('Traditional Attrition'!AW40+AX172)*(1-IF(AX$2-$F40&lt;=12,SUMIFS('Attrition Modeling'!$D:$D,'Attrition Modeling'!$B:$B,'Traditional Attrition'!$E40,'Attrition Modeling'!$C:$C,'Traditional Attrition'!AX$1),VLOOKUP('Traditional Attrition'!AX$2-'Traditional Attrition'!$F40-1,'Traditional Attrition'!$A$7:$C$161,2,FALSE)*VLOOKUP(AX$1,'Attrition Modeling'!$L$15:$N$27,IF(AX$2-$F40&lt;=24,2,3),FALSE))*(1+Projection!AZ$16)*(1+IF(AX172&gt;0,'Attrition Modeling'!$N$9,0))),0))</f>
        <v>5919.3615780128066</v>
      </c>
      <c r="AY40" s="799">
        <f>IF(AY$2=$F40+1,Monthly!AU$21,IF(AY$2&gt;$F40+1,('Traditional Attrition'!AX40+AY172)*(1-IF(AY$2-$F40&lt;=12,SUMIFS('Attrition Modeling'!$D:$D,'Attrition Modeling'!$B:$B,'Traditional Attrition'!$E40,'Attrition Modeling'!$C:$C,'Traditional Attrition'!AY$1),VLOOKUP('Traditional Attrition'!AY$2-'Traditional Attrition'!$F40-1,'Traditional Attrition'!$A$7:$C$161,2,FALSE)*VLOOKUP(AY$1,'Attrition Modeling'!$L$15:$N$27,IF(AY$2-$F40&lt;=24,2,3),FALSE))*(1+Projection!BA$16)*(1+IF(AY172&gt;0,'Attrition Modeling'!$N$9,0))),0))</f>
        <v>5467.8961915917216</v>
      </c>
      <c r="AZ40" s="799">
        <f>IF(AZ$2=$F40+1,Monthly!AV$21,IF(AZ$2&gt;$F40+1,('Traditional Attrition'!AY40+AZ172)*(1-IF(AZ$2-$F40&lt;=12,SUMIFS('Attrition Modeling'!$D:$D,'Attrition Modeling'!$B:$B,'Traditional Attrition'!$E40,'Attrition Modeling'!$C:$C,'Traditional Attrition'!AZ$1),VLOOKUP('Traditional Attrition'!AZ$2-'Traditional Attrition'!$F40-1,'Traditional Attrition'!$A$7:$C$161,2,FALSE)*VLOOKUP(AZ$1,'Attrition Modeling'!$L$15:$N$27,IF(AZ$2-$F40&lt;=24,2,3),FALSE))*(1+Projection!BB$16)*(1+IF(AZ172&gt;0,'Attrition Modeling'!$N$9,0))),0))</f>
        <v>5132.5483137556585</v>
      </c>
      <c r="BA40" s="799">
        <f>IF(BA$2=$F40+1,Monthly!AW$21,IF(BA$2&gt;$F40+1,('Traditional Attrition'!AZ40+BA172)*(1-IF(BA$2-$F40&lt;=12,SUMIFS('Attrition Modeling'!$D:$D,'Attrition Modeling'!$B:$B,'Traditional Attrition'!$E40,'Attrition Modeling'!$C:$C,'Traditional Attrition'!BA$1),VLOOKUP('Traditional Attrition'!BA$2-'Traditional Attrition'!$F40-1,'Traditional Attrition'!$A$7:$C$161,2,FALSE)*VLOOKUP(BA$1,'Attrition Modeling'!$L$15:$N$27,IF(BA$2-$F40&lt;=24,2,3),FALSE))*(1+Projection!BC$16)*(1+IF(BA172&gt;0,'Attrition Modeling'!$N$9,0))),0))</f>
        <v>4803.1836551769256</v>
      </c>
      <c r="BB40" s="799">
        <f>IF(BB$2=$F40+1,Monthly!AX$21,IF(BB$2&gt;$F40+1,('Traditional Attrition'!BA40+BB172)*(1-IF(BB$2-$F40&lt;=12,SUMIFS('Attrition Modeling'!$D:$D,'Attrition Modeling'!$B:$B,'Traditional Attrition'!$E40,'Attrition Modeling'!$C:$C,'Traditional Attrition'!BB$1),VLOOKUP('Traditional Attrition'!BB$2-'Traditional Attrition'!$F40-1,'Traditional Attrition'!$A$7:$C$161,2,FALSE)*VLOOKUP(BB$1,'Attrition Modeling'!$L$15:$N$27,IF(BB$2-$F40&lt;=24,2,3),FALSE))*(1+Projection!BD$16)*(1+IF(BB172&gt;0,'Attrition Modeling'!$N$9,0))),0))</f>
        <v>4516.2514542386589</v>
      </c>
      <c r="BC40" s="799">
        <f>IF(BC$2=$F40+1,Monthly!AY$21,IF(BC$2&gt;$F40+1,('Traditional Attrition'!BB40+BC172)*(1-IF(BC$2-$F40&lt;=12,SUMIFS('Attrition Modeling'!$D:$D,'Attrition Modeling'!$B:$B,'Traditional Attrition'!$E40,'Attrition Modeling'!$C:$C,'Traditional Attrition'!BC$1),VLOOKUP('Traditional Attrition'!BC$2-'Traditional Attrition'!$F40-1,'Traditional Attrition'!$A$7:$C$161,2,FALSE)*VLOOKUP(BC$1,'Attrition Modeling'!$L$15:$N$27,IF(BC$2-$F40&lt;=24,2,3),FALSE))*(1+Projection!BE$16)*(1+IF(BC172&gt;0,'Attrition Modeling'!$N$9,0))),0))</f>
        <v>4252.1504178352925</v>
      </c>
      <c r="BD40" s="799">
        <f>IF(BD$2=$F40+1,Monthly!AZ$21,IF(BD$2&gt;$F40+1,('Traditional Attrition'!BC40+BD172)*(1-IF(BD$2-$F40&lt;=12,SUMIFS('Attrition Modeling'!$D:$D,'Attrition Modeling'!$B:$B,'Traditional Attrition'!$E40,'Attrition Modeling'!$C:$C,'Traditional Attrition'!BD$1),VLOOKUP('Traditional Attrition'!BD$2-'Traditional Attrition'!$F40-1,'Traditional Attrition'!$A$7:$C$161,2,FALSE)*VLOOKUP(BD$1,'Attrition Modeling'!$L$15:$N$27,IF(BD$2-$F40&lt;=24,2,3),FALSE))*(1+Projection!BF$16)*(1+IF(BD172&gt;0,'Attrition Modeling'!$N$9,0))),0))</f>
        <v>4143.1275347617175</v>
      </c>
      <c r="BE40" s="799">
        <f>IF(BE$2=$F40+1,Monthly!BA$21,IF(BE$2&gt;$F40+1,('Traditional Attrition'!BD40+BE172)*(1-IF(BE$2-$F40&lt;=12,SUMIFS('Attrition Modeling'!$D:$D,'Attrition Modeling'!$B:$B,'Traditional Attrition'!$E40,'Attrition Modeling'!$C:$C,'Traditional Attrition'!BE$1),VLOOKUP('Traditional Attrition'!BE$2-'Traditional Attrition'!$F40-1,'Traditional Attrition'!$A$7:$C$161,2,FALSE)*VLOOKUP(BE$1,'Attrition Modeling'!$L$15:$N$27,IF(BE$2-$F40&lt;=24,2,3),FALSE))*(1+Projection!BG$16)*(1+IF(BE172&gt;0,'Attrition Modeling'!$N$9,0))),0))</f>
        <v>3941.913844859504</v>
      </c>
      <c r="BF40" s="799">
        <f>IF(BF$2=$F40+1,Monthly!BB$21,IF(BF$2&gt;$F40+1,('Traditional Attrition'!BE40+BF172)*(1-IF(BF$2-$F40&lt;=12,SUMIFS('Attrition Modeling'!$D:$D,'Attrition Modeling'!$B:$B,'Traditional Attrition'!$E40,'Attrition Modeling'!$C:$C,'Traditional Attrition'!BF$1),VLOOKUP('Traditional Attrition'!BF$2-'Traditional Attrition'!$F40-1,'Traditional Attrition'!$A$7:$C$161,2,FALSE)*VLOOKUP(BF$1,'Attrition Modeling'!$L$15:$N$27,IF(BF$2-$F40&lt;=24,2,3),FALSE))*(1+Projection!BH$16)*(1+IF(BF172&gt;0,'Attrition Modeling'!$N$9,0))),0))</f>
        <v>3749.6145106217223</v>
      </c>
      <c r="BG40" s="799">
        <f>IF(BG$2=$F40+1,Monthly!BC$21,IF(BG$2&gt;$F40+1,('Traditional Attrition'!BF40+BG172)*(1-IF(BG$2-$F40&lt;=12,SUMIFS('Attrition Modeling'!$D:$D,'Attrition Modeling'!$B:$B,'Traditional Attrition'!$E40,'Attrition Modeling'!$C:$C,'Traditional Attrition'!BG$1),VLOOKUP('Traditional Attrition'!BG$2-'Traditional Attrition'!$F40-1,'Traditional Attrition'!$A$7:$C$161,2,FALSE)*VLOOKUP(BG$1,'Attrition Modeling'!$L$15:$N$27,IF(BG$2-$F40&lt;=24,2,3),FALSE))*(1+Projection!BI$16)*(1+IF(BG172&gt;0,'Attrition Modeling'!$N$9,0))),0))</f>
        <v>3578.5706380882716</v>
      </c>
      <c r="BH40" s="799">
        <f>IF(BH$2=$F40+1,Monthly!BD$21,IF(BH$2&gt;$F40+1,('Traditional Attrition'!BG40+BH172)*(1-IF(BH$2-$F40&lt;=12,SUMIFS('Attrition Modeling'!$D:$D,'Attrition Modeling'!$B:$B,'Traditional Attrition'!$E40,'Attrition Modeling'!$C:$C,'Traditional Attrition'!BH$1),VLOOKUP('Traditional Attrition'!BH$2-'Traditional Attrition'!$F40-1,'Traditional Attrition'!$A$7:$C$161,2,FALSE)*VLOOKUP(BH$1,'Attrition Modeling'!$L$15:$N$27,IF(BH$2-$F40&lt;=24,2,3),FALSE))*(1+Projection!BJ$16)*(1+IF(BH172&gt;0,'Attrition Modeling'!$N$9,0))),0))</f>
        <v>3422.4155646365471</v>
      </c>
      <c r="BI40" s="799">
        <f>IF(BI$2=$F40+1,Monthly!BE$21,IF(BI$2&gt;$F40+1,('Traditional Attrition'!BH40+BI172)*(1-IF(BI$2-$F40&lt;=12,SUMIFS('Attrition Modeling'!$D:$D,'Attrition Modeling'!$B:$B,'Traditional Attrition'!$E40,'Attrition Modeling'!$C:$C,'Traditional Attrition'!BI$1),VLOOKUP('Traditional Attrition'!BI$2-'Traditional Attrition'!$F40-1,'Traditional Attrition'!$A$7:$C$161,2,FALSE)*VLOOKUP(BI$1,'Attrition Modeling'!$L$15:$N$27,IF(BI$2-$F40&lt;=24,2,3),FALSE))*(1+Projection!BK$16)*(1+IF(BI172&gt;0,'Attrition Modeling'!$N$9,0))),0))</f>
        <v>3263.2798538756206</v>
      </c>
      <c r="BJ40" s="799">
        <f>IF(BJ$2=$F40+1,Monthly!BF$21,IF(BJ$2&gt;$F40+1,('Traditional Attrition'!BI40+BJ172)*(1-IF(BJ$2-$F40&lt;=12,SUMIFS('Attrition Modeling'!$D:$D,'Attrition Modeling'!$B:$B,'Traditional Attrition'!$E40,'Attrition Modeling'!$C:$C,'Traditional Attrition'!BJ$1),VLOOKUP('Traditional Attrition'!BJ$2-'Traditional Attrition'!$F40-1,'Traditional Attrition'!$A$7:$C$161,2,FALSE)*VLOOKUP(BJ$1,'Attrition Modeling'!$L$15:$N$27,IF(BJ$2-$F40&lt;=24,2,3),FALSE))*(1+Projection!BL$16)*(1+IF(BJ172&gt;0,'Attrition Modeling'!$N$9,0))),0))</f>
        <v>3377.3249699622197</v>
      </c>
      <c r="BK40" s="799">
        <f>IF(BK$2=$F40+1,Monthly!BG$21,IF(BK$2&gt;$F40+1,('Traditional Attrition'!BJ40+BK172)*(1-IF(BK$2-$F40&lt;=12,SUMIFS('Attrition Modeling'!$D:$D,'Attrition Modeling'!$B:$B,'Traditional Attrition'!$E40,'Attrition Modeling'!$C:$C,'Traditional Attrition'!BK$1),VLOOKUP('Traditional Attrition'!BK$2-'Traditional Attrition'!$F40-1,'Traditional Attrition'!$A$7:$C$161,2,FALSE)*VLOOKUP(BK$1,'Attrition Modeling'!$L$15:$N$27,IF(BK$2-$F40&lt;=24,2,3),FALSE))*(1+Projection!BM$16)*(1+IF(BK172&gt;0,'Attrition Modeling'!$N$9,0))),0))</f>
        <v>3217.1283824745096</v>
      </c>
      <c r="BL40" s="799">
        <f>IF(BL$2=$F40+1,Monthly!BH$21,IF(BL$2&gt;$F40+1,('Traditional Attrition'!BK40+BL172)*(1-IF(BL$2-$F40&lt;=12,SUMIFS('Attrition Modeling'!$D:$D,'Attrition Modeling'!$B:$B,'Traditional Attrition'!$E40,'Attrition Modeling'!$C:$C,'Traditional Attrition'!BL$1),VLOOKUP('Traditional Attrition'!BL$2-'Traditional Attrition'!$F40-1,'Traditional Attrition'!$A$7:$C$161,2,FALSE)*VLOOKUP(BL$1,'Attrition Modeling'!$L$15:$N$27,IF(BL$2-$F40&lt;=24,2,3),FALSE))*(1+Projection!BN$16)*(1+IF(BL172&gt;0,'Attrition Modeling'!$N$9,0))),0))</f>
        <v>3080.6227043819299</v>
      </c>
      <c r="BM40" s="799">
        <f>IF(BM$2=$F40+1,Monthly!BI$21,IF(BM$2&gt;$F40+1,('Traditional Attrition'!BL40+BM172)*(1-IF(BM$2-$F40&lt;=12,SUMIFS('Attrition Modeling'!$D:$D,'Attrition Modeling'!$B:$B,'Traditional Attrition'!$E40,'Attrition Modeling'!$C:$C,'Traditional Attrition'!BM$1),VLOOKUP('Traditional Attrition'!BM$2-'Traditional Attrition'!$F40-1,'Traditional Attrition'!$A$7:$C$161,2,FALSE)*VLOOKUP(BM$1,'Attrition Modeling'!$L$15:$N$27,IF(BM$2-$F40&lt;=24,2,3),FALSE))*(1+Projection!BO$16)*(1+IF(BM172&gt;0,'Attrition Modeling'!$N$9,0))),0))</f>
        <v>2949.1695875535956</v>
      </c>
      <c r="BN40" s="799">
        <f>IF(BN$2=$F40+1,Monthly!BJ$21,IF(BN$2&gt;$F40+1,('Traditional Attrition'!BM40+BN172)*(1-IF(BN$2-$F40&lt;=12,SUMIFS('Attrition Modeling'!$D:$D,'Attrition Modeling'!$B:$B,'Traditional Attrition'!$E40,'Attrition Modeling'!$C:$C,'Traditional Attrition'!BN$1),VLOOKUP('Traditional Attrition'!BN$2-'Traditional Attrition'!$F40-1,'Traditional Attrition'!$A$7:$C$161,2,FALSE)*VLOOKUP(BN$1,'Attrition Modeling'!$L$15:$N$27,IF(BN$2-$F40&lt;=24,2,3),FALSE))*(1+Projection!BP$16)*(1+IF(BN172&gt;0,'Attrition Modeling'!$N$9,0))),0))</f>
        <v>2829.991089684399</v>
      </c>
      <c r="BO40" s="799">
        <f>IF(BO$2=$F40+1,Monthly!BK$21,IF(BO$2&gt;$F40+1,('Traditional Attrition'!BN40+BO172)*(1-IF(BO$2-$F40&lt;=12,SUMIFS('Attrition Modeling'!$D:$D,'Attrition Modeling'!$B:$B,'Traditional Attrition'!$E40,'Attrition Modeling'!$C:$C,'Traditional Attrition'!BO$1),VLOOKUP('Traditional Attrition'!BO$2-'Traditional Attrition'!$F40-1,'Traditional Attrition'!$A$7:$C$161,2,FALSE)*VLOOKUP(BO$1,'Attrition Modeling'!$L$15:$N$27,IF(BO$2-$F40&lt;=24,2,3),FALSE))*(1+Projection!BV$16)*(1+IF(BO172&gt;0,'Attrition Modeling'!$N$9,0))),0))</f>
        <v>2718.4468422729292</v>
      </c>
      <c r="BP40" s="799">
        <f>IF(BP$2=$F40+1,Monthly!BL$21,IF(BP$2&gt;$F40+1,('Traditional Attrition'!BO40+BP172)*(1-IF(BP$2-$F40&lt;=12,SUMIFS('Attrition Modeling'!$D:$D,'Attrition Modeling'!$B:$B,'Traditional Attrition'!$E40,'Attrition Modeling'!$C:$C,'Traditional Attrition'!BP$1),VLOOKUP('Traditional Attrition'!BP$2-'Traditional Attrition'!$F40-1,'Traditional Attrition'!$A$7:$C$161,2,FALSE)*VLOOKUP(BP$1,'Attrition Modeling'!$L$15:$N$27,IF(BP$2-$F40&lt;=24,2,3),FALSE))*(1+Projection!BW$16)*(1+IF(BP172&gt;0,'Attrition Modeling'!$N$9,0))),0))</f>
        <v>2612.6214636679047</v>
      </c>
      <c r="BQ40" s="799">
        <f>IF(BQ$2=$F40+1,Monthly!BM$21,IF(BQ$2&gt;$F40+1,('Traditional Attrition'!BP40+BQ172)*(1-IF(BQ$2-$F40&lt;=12,SUMIFS('Attrition Modeling'!$D:$D,'Attrition Modeling'!$B:$B,'Traditional Attrition'!$E40,'Attrition Modeling'!$C:$C,'Traditional Attrition'!BQ$1),VLOOKUP('Traditional Attrition'!BQ$2-'Traditional Attrition'!$F40-1,'Traditional Attrition'!$A$7:$C$161,2,FALSE)*VLOOKUP(BQ$1,'Attrition Modeling'!$L$15:$N$27,IF(BQ$2-$F40&lt;=24,2,3),FALSE))*(1+Projection!BX$16)*(1+IF(BQ172&gt;0,'Attrition Modeling'!$N$9,0))),0))</f>
        <v>2521.5200386473462</v>
      </c>
      <c r="BR40" s="799">
        <f>IF(BR$2=$F40+1,Monthly!BN$21,IF(BR$2&gt;$F40+1,('Traditional Attrition'!BQ40+BR172)*(1-IF(BR$2-$F40&lt;=12,SUMIFS('Attrition Modeling'!$D:$D,'Attrition Modeling'!$B:$B,'Traditional Attrition'!$E40,'Attrition Modeling'!$C:$C,'Traditional Attrition'!BR$1),VLOOKUP('Traditional Attrition'!BR$2-'Traditional Attrition'!$F40-1,'Traditional Attrition'!$A$7:$C$161,2,FALSE)*VLOOKUP(BR$1,'Attrition Modeling'!$L$15:$N$27,IF(BR$2-$F40&lt;=24,2,3),FALSE))*(1+Projection!BY$16)*(1+IF(BR172&gt;0,'Attrition Modeling'!$N$9,0))),0))</f>
        <v>2438.4644232642927</v>
      </c>
      <c r="BS40" s="799">
        <f>IF(BS$2=$F40+1,Monthly!BO$21,IF(BS$2&gt;$F40+1,('Traditional Attrition'!BR40+BS172)*(1-IF(BS$2-$F40&lt;=12,SUMIFS('Attrition Modeling'!$D:$D,'Attrition Modeling'!$B:$B,'Traditional Attrition'!$E40,'Attrition Modeling'!$C:$C,'Traditional Attrition'!BS$1),VLOOKUP('Traditional Attrition'!BS$2-'Traditional Attrition'!$F40-1,'Traditional Attrition'!$A$7:$C$161,2,FALSE)*VLOOKUP(BS$1,'Attrition Modeling'!$L$15:$N$27,IF(BS$2-$F40&lt;=24,2,3),FALSE))*(1+Projection!BZ$16)*(1+IF(BS172&gt;0,'Attrition Modeling'!$N$9,0))),0))</f>
        <v>2375.453910304479</v>
      </c>
      <c r="BT40" s="799">
        <f>IF(BT$2=$F40+1,Monthly!#REF!,IF(BT$2&gt;$F40+1,('Traditional Attrition'!BS40+BT172)*(1-IF(BT$2-$F40&lt;=12,SUMIFS('Attrition Modeling'!$D:$D,'Attrition Modeling'!$B:$B,'Traditional Attrition'!$E40,'Attrition Modeling'!$C:$C,'Traditional Attrition'!BT$1),VLOOKUP('Traditional Attrition'!BT$2-'Traditional Attrition'!$F40-1,'Traditional Attrition'!$A$7:$C$161,2,FALSE)*VLOOKUP(BT$1,'Attrition Modeling'!$L$15:$N$27,IF(BT$2-$F40&lt;=24,2,3),FALSE))*(1+Projection!CA$16)*(1+IF(BT172&gt;0,'Attrition Modeling'!$N$9,0))),0))</f>
        <v>2302.326257919935</v>
      </c>
      <c r="BU40" s="799">
        <f>IF(BU$2=$F40+1,Monthly!#REF!,IF(BU$2&gt;$F40+1,('Traditional Attrition'!BT40+BU172)*(1-IF(BU$2-$F40&lt;=12,SUMIFS('Attrition Modeling'!$D:$D,'Attrition Modeling'!$B:$B,'Traditional Attrition'!$E40,'Attrition Modeling'!$C:$C,'Traditional Attrition'!BU$1),VLOOKUP('Traditional Attrition'!BU$2-'Traditional Attrition'!$F40-1,'Traditional Attrition'!$A$7:$C$161,2,FALSE)*VLOOKUP(BU$1,'Attrition Modeling'!$L$15:$N$27,IF(BU$2-$F40&lt;=24,2,3),FALSE))*(1+Projection!CB$16)*(1+IF(BU172&gt;0,'Attrition Modeling'!$N$9,0))),0))</f>
        <v>2222.4746033831152</v>
      </c>
    </row>
    <row r="41" spans="1:73" ht="14.25" customHeight="1" x14ac:dyDescent="0.2">
      <c r="A41" s="9">
        <v>34</v>
      </c>
      <c r="B41" s="25">
        <f>MAX('Attrition Modeling'!H38,$C$3)*(1-Summary!$C$20)</f>
        <v>3.1048497586196516E-2</v>
      </c>
      <c r="C41" s="24" t="e">
        <f t="shared" si="4"/>
        <v>#DIV/0!</v>
      </c>
      <c r="E41" s="11">
        <f t="shared" si="2"/>
        <v>2</v>
      </c>
      <c r="F41" s="11">
        <f t="shared" si="3"/>
        <v>38</v>
      </c>
      <c r="G41" s="799"/>
      <c r="H41" s="799">
        <f>IF(H$2=$F41+1,Monthly!D$21,IF(H$2&gt;$F41+1,('Traditional Attrition'!G41+H173)*(1-IF(H$2-$F41&lt;=12,SUMIFS('Attrition Modeling'!$D:$D,'Attrition Modeling'!$B:$B,'Traditional Attrition'!$E41,'Attrition Modeling'!$C:$C,'Traditional Attrition'!H$1),VLOOKUP('Traditional Attrition'!H$2-'Traditional Attrition'!$F41-1,'Traditional Attrition'!$A$7:$C$161,2,FALSE)*VLOOKUP(H$1,'Attrition Modeling'!$L$15:$N$27,IF(H$2-$F41&lt;=24,2,3),FALSE))*(1+Projection!J$16)*(1+IF(H173&gt;0,'Attrition Modeling'!$N$9,0))),0))</f>
        <v>0</v>
      </c>
      <c r="I41" s="799">
        <f>IF(I$2=$F41+1,Monthly!E$21,IF(I$2&gt;$F41+1,('Traditional Attrition'!H41+I173)*(1-IF(I$2-$F41&lt;=12,SUMIFS('Attrition Modeling'!$D:$D,'Attrition Modeling'!$B:$B,'Traditional Attrition'!$E41,'Attrition Modeling'!$C:$C,'Traditional Attrition'!I$1),VLOOKUP('Traditional Attrition'!I$2-'Traditional Attrition'!$F41-1,'Traditional Attrition'!$A$7:$C$161,2,FALSE)*VLOOKUP(I$1,'Attrition Modeling'!$L$15:$N$27,IF(I$2-$F41&lt;=24,2,3),FALSE))*(1+Projection!K$16)*(1+IF(I173&gt;0,'Attrition Modeling'!$N$9,0))),0))</f>
        <v>0</v>
      </c>
      <c r="J41" s="799">
        <f>IF(J$2=$F41+1,Monthly!F$21,IF(J$2&gt;$F41+1,('Traditional Attrition'!I41+J173)*(1-IF(J$2-$F41&lt;=12,SUMIFS('Attrition Modeling'!$D:$D,'Attrition Modeling'!$B:$B,'Traditional Attrition'!$E41,'Attrition Modeling'!$C:$C,'Traditional Attrition'!J$1),VLOOKUP('Traditional Attrition'!J$2-'Traditional Attrition'!$F41-1,'Traditional Attrition'!$A$7:$C$161,2,FALSE)*VLOOKUP(J$1,'Attrition Modeling'!$L$15:$N$27,IF(J$2-$F41&lt;=24,2,3),FALSE))*(1+Projection!L$16)*(1+IF(J173&gt;0,'Attrition Modeling'!$N$9,0))),0))</f>
        <v>0</v>
      </c>
      <c r="K41" s="799">
        <f>IF(K$2=$F41+1,Monthly!G$21,IF(K$2&gt;$F41+1,('Traditional Attrition'!J41+K173)*(1-IF(K$2-$F41&lt;=12,SUMIFS('Attrition Modeling'!$D:$D,'Attrition Modeling'!$B:$B,'Traditional Attrition'!$E41,'Attrition Modeling'!$C:$C,'Traditional Attrition'!K$1),VLOOKUP('Traditional Attrition'!K$2-'Traditional Attrition'!$F41-1,'Traditional Attrition'!$A$7:$C$161,2,FALSE)*VLOOKUP(K$1,'Attrition Modeling'!$L$15:$N$27,IF(K$2-$F41&lt;=24,2,3),FALSE))*(1+Projection!M$16)*(1+IF(K173&gt;0,'Attrition Modeling'!$N$9,0))),0))</f>
        <v>0</v>
      </c>
      <c r="L41" s="799">
        <f>IF(L$2=$F41+1,Monthly!H$21,IF(L$2&gt;$F41+1,('Traditional Attrition'!K41+L173)*(1-IF(L$2-$F41&lt;=12,SUMIFS('Attrition Modeling'!$D:$D,'Attrition Modeling'!$B:$B,'Traditional Attrition'!$E41,'Attrition Modeling'!$C:$C,'Traditional Attrition'!L$1),VLOOKUP('Traditional Attrition'!L$2-'Traditional Attrition'!$F41-1,'Traditional Attrition'!$A$7:$C$161,2,FALSE)*VLOOKUP(L$1,'Attrition Modeling'!$L$15:$N$27,IF(L$2-$F41&lt;=24,2,3),FALSE))*(1+Projection!N$16)*(1+IF(L173&gt;0,'Attrition Modeling'!$N$9,0))),0))</f>
        <v>0</v>
      </c>
      <c r="M41" s="799">
        <f>IF(M$2=$F41+1,Monthly!I$21,IF(M$2&gt;$F41+1,('Traditional Attrition'!L41+M173)*(1-IF(M$2-$F41&lt;=12,SUMIFS('Attrition Modeling'!$D:$D,'Attrition Modeling'!$B:$B,'Traditional Attrition'!$E41,'Attrition Modeling'!$C:$C,'Traditional Attrition'!M$1),VLOOKUP('Traditional Attrition'!M$2-'Traditional Attrition'!$F41-1,'Traditional Attrition'!$A$7:$C$161,2,FALSE)*VLOOKUP(M$1,'Attrition Modeling'!$L$15:$N$27,IF(M$2-$F41&lt;=24,2,3),FALSE))*(1+Projection!O$16)*(1+IF(M173&gt;0,'Attrition Modeling'!$N$9,0))),0))</f>
        <v>0</v>
      </c>
      <c r="N41" s="799">
        <f>IF(N$2=$F41+1,Monthly!J$21,IF(N$2&gt;$F41+1,('Traditional Attrition'!M41+N173)*(1-IF(N$2-$F41&lt;=12,SUMIFS('Attrition Modeling'!$D:$D,'Attrition Modeling'!$B:$B,'Traditional Attrition'!$E41,'Attrition Modeling'!$C:$C,'Traditional Attrition'!N$1),VLOOKUP('Traditional Attrition'!N$2-'Traditional Attrition'!$F41-1,'Traditional Attrition'!$A$7:$C$161,2,FALSE)*VLOOKUP(N$1,'Attrition Modeling'!$L$15:$N$27,IF(N$2-$F41&lt;=24,2,3),FALSE))*(1+Projection!P$16)*(1+IF(N173&gt;0,'Attrition Modeling'!$N$9,0))),0))</f>
        <v>0</v>
      </c>
      <c r="O41" s="799">
        <f>IF(O$2=$F41+1,Monthly!K$21,IF(O$2&gt;$F41+1,('Traditional Attrition'!N41+O173)*(1-IF(O$2-$F41&lt;=12,SUMIFS('Attrition Modeling'!$D:$D,'Attrition Modeling'!$B:$B,'Traditional Attrition'!$E41,'Attrition Modeling'!$C:$C,'Traditional Attrition'!O$1),VLOOKUP('Traditional Attrition'!O$2-'Traditional Attrition'!$F41-1,'Traditional Attrition'!$A$7:$C$161,2,FALSE)*VLOOKUP(O$1,'Attrition Modeling'!$L$15:$N$27,IF(O$2-$F41&lt;=24,2,3),FALSE))*(1+Projection!Q$16)*(1+IF(O173&gt;0,'Attrition Modeling'!$N$9,0))),0))</f>
        <v>0</v>
      </c>
      <c r="P41" s="799">
        <f>IF(P$2=$F41+1,Monthly!L$21,IF(P$2&gt;$F41+1,('Traditional Attrition'!O41+P173)*(1-IF(P$2-$F41&lt;=12,SUMIFS('Attrition Modeling'!$D:$D,'Attrition Modeling'!$B:$B,'Traditional Attrition'!$E41,'Attrition Modeling'!$C:$C,'Traditional Attrition'!P$1),VLOOKUP('Traditional Attrition'!P$2-'Traditional Attrition'!$F41-1,'Traditional Attrition'!$A$7:$C$161,2,FALSE)*VLOOKUP(P$1,'Attrition Modeling'!$L$15:$N$27,IF(P$2-$F41&lt;=24,2,3),FALSE))*(1+Projection!R$16)*(1+IF(P173&gt;0,'Attrition Modeling'!$N$9,0))),0))</f>
        <v>0</v>
      </c>
      <c r="Q41" s="799">
        <f>IF(Q$2=$F41+1,Monthly!M$21,IF(Q$2&gt;$F41+1,('Traditional Attrition'!P41+Q173)*(1-IF(Q$2-$F41&lt;=12,SUMIFS('Attrition Modeling'!$D:$D,'Attrition Modeling'!$B:$B,'Traditional Attrition'!$E41,'Attrition Modeling'!$C:$C,'Traditional Attrition'!Q$1),VLOOKUP('Traditional Attrition'!Q$2-'Traditional Attrition'!$F41-1,'Traditional Attrition'!$A$7:$C$161,2,FALSE)*VLOOKUP(Q$1,'Attrition Modeling'!$L$15:$N$27,IF(Q$2-$F41&lt;=24,2,3),FALSE))*(1+Projection!S$16)*(1+IF(Q173&gt;0,'Attrition Modeling'!$N$9,0))),0))</f>
        <v>0</v>
      </c>
      <c r="R41" s="799">
        <f>IF(R$2=$F41+1,Monthly!N$21,IF(R$2&gt;$F41+1,('Traditional Attrition'!Q41+R173)*(1-IF(R$2-$F41&lt;=12,SUMIFS('Attrition Modeling'!$D:$D,'Attrition Modeling'!$B:$B,'Traditional Attrition'!$E41,'Attrition Modeling'!$C:$C,'Traditional Attrition'!R$1),VLOOKUP('Traditional Attrition'!R$2-'Traditional Attrition'!$F41-1,'Traditional Attrition'!$A$7:$C$161,2,FALSE)*VLOOKUP(R$1,'Attrition Modeling'!$L$15:$N$27,IF(R$2-$F41&lt;=24,2,3),FALSE))*(1+Projection!T$16)*(1+IF(R173&gt;0,'Attrition Modeling'!$N$9,0))),0))</f>
        <v>0</v>
      </c>
      <c r="S41" s="799">
        <f>IF(S$2=$F41+1,Monthly!O$21,IF(S$2&gt;$F41+1,('Traditional Attrition'!R41+S173)*(1-IF(S$2-$F41&lt;=12,SUMIFS('Attrition Modeling'!$D:$D,'Attrition Modeling'!$B:$B,'Traditional Attrition'!$E41,'Attrition Modeling'!$C:$C,'Traditional Attrition'!S$1),VLOOKUP('Traditional Attrition'!S$2-'Traditional Attrition'!$F41-1,'Traditional Attrition'!$A$7:$C$161,2,FALSE)*VLOOKUP(S$1,'Attrition Modeling'!$L$15:$N$27,IF(S$2-$F41&lt;=24,2,3),FALSE))*(1+Projection!U$16)*(1+IF(S173&gt;0,'Attrition Modeling'!$N$9,0))),0))</f>
        <v>0</v>
      </c>
      <c r="T41" s="799">
        <f>IF(T$2=$F41+1,Monthly!P$21,IF(T$2&gt;$F41+1,('Traditional Attrition'!S41+T173)*(1-IF(T$2-$F41&lt;=12,SUMIFS('Attrition Modeling'!$D:$D,'Attrition Modeling'!$B:$B,'Traditional Attrition'!$E41,'Attrition Modeling'!$C:$C,'Traditional Attrition'!T$1),VLOOKUP('Traditional Attrition'!T$2-'Traditional Attrition'!$F41-1,'Traditional Attrition'!$A$7:$C$161,2,FALSE)*VLOOKUP(T$1,'Attrition Modeling'!$L$15:$N$27,IF(T$2-$F41&lt;=24,2,3),FALSE))*(1+Projection!V$16)*(1+IF(T173&gt;0,'Attrition Modeling'!$N$9,0))),0))</f>
        <v>0</v>
      </c>
      <c r="U41" s="799">
        <f>IF(U$2=$F41+1,Monthly!Q$21,IF(U$2&gt;$F41+1,('Traditional Attrition'!T41+U173)*(1-IF(U$2-$F41&lt;=12,SUMIFS('Attrition Modeling'!$D:$D,'Attrition Modeling'!$B:$B,'Traditional Attrition'!$E41,'Attrition Modeling'!$C:$C,'Traditional Attrition'!U$1),VLOOKUP('Traditional Attrition'!U$2-'Traditional Attrition'!$F41-1,'Traditional Attrition'!$A$7:$C$161,2,FALSE)*VLOOKUP(U$1,'Attrition Modeling'!$L$15:$N$27,IF(U$2-$F41&lt;=24,2,3),FALSE))*(1+Projection!W$16)*(1+IF(U173&gt;0,'Attrition Modeling'!$N$9,0))),0))</f>
        <v>0</v>
      </c>
      <c r="V41" s="799">
        <f>IF(V$2=$F41+1,Monthly!R$21,IF(V$2&gt;$F41+1,('Traditional Attrition'!U41+V173)*(1-IF(V$2-$F41&lt;=12,SUMIFS('Attrition Modeling'!$D:$D,'Attrition Modeling'!$B:$B,'Traditional Attrition'!$E41,'Attrition Modeling'!$C:$C,'Traditional Attrition'!V$1),VLOOKUP('Traditional Attrition'!V$2-'Traditional Attrition'!$F41-1,'Traditional Attrition'!$A$7:$C$161,2,FALSE)*VLOOKUP(V$1,'Attrition Modeling'!$L$15:$N$27,IF(V$2-$F41&lt;=24,2,3),FALSE))*(1+Projection!X$16)*(1+IF(V173&gt;0,'Attrition Modeling'!$N$9,0))),0))</f>
        <v>0</v>
      </c>
      <c r="W41" s="799">
        <f>IF(W$2=$F41+1,Monthly!S$21,IF(W$2&gt;$F41+1,('Traditional Attrition'!V41+W173)*(1-IF(W$2-$F41&lt;=12,SUMIFS('Attrition Modeling'!$D:$D,'Attrition Modeling'!$B:$B,'Traditional Attrition'!$E41,'Attrition Modeling'!$C:$C,'Traditional Attrition'!W$1),VLOOKUP('Traditional Attrition'!W$2-'Traditional Attrition'!$F41-1,'Traditional Attrition'!$A$7:$C$161,2,FALSE)*VLOOKUP(W$1,'Attrition Modeling'!$L$15:$N$27,IF(W$2-$F41&lt;=24,2,3),FALSE))*(1+Projection!Y$16)*(1+IF(W173&gt;0,'Attrition Modeling'!$N$9,0))),0))</f>
        <v>0</v>
      </c>
      <c r="X41" s="799">
        <f>IF(X$2=$F41+1,Monthly!T$21,IF(X$2&gt;$F41+1,('Traditional Attrition'!W41+X173)*(1-IF(X$2-$F41&lt;=12,SUMIFS('Attrition Modeling'!$D:$D,'Attrition Modeling'!$B:$B,'Traditional Attrition'!$E41,'Attrition Modeling'!$C:$C,'Traditional Attrition'!X$1),VLOOKUP('Traditional Attrition'!X$2-'Traditional Attrition'!$F41-1,'Traditional Attrition'!$A$7:$C$161,2,FALSE)*VLOOKUP(X$1,'Attrition Modeling'!$L$15:$N$27,IF(X$2-$F41&lt;=24,2,3),FALSE))*(1+Projection!Z$16)*(1+IF(X173&gt;0,'Attrition Modeling'!$N$9,0))),0))</f>
        <v>0</v>
      </c>
      <c r="Y41" s="799">
        <f>IF(Y$2=$F41+1,Monthly!U$21,IF(Y$2&gt;$F41+1,('Traditional Attrition'!X41+Y173)*(1-IF(Y$2-$F41&lt;=12,SUMIFS('Attrition Modeling'!$D:$D,'Attrition Modeling'!$B:$B,'Traditional Attrition'!$E41,'Attrition Modeling'!$C:$C,'Traditional Attrition'!Y$1),VLOOKUP('Traditional Attrition'!Y$2-'Traditional Attrition'!$F41-1,'Traditional Attrition'!$A$7:$C$161,2,FALSE)*VLOOKUP(Y$1,'Attrition Modeling'!$L$15:$N$27,IF(Y$2-$F41&lt;=24,2,3),FALSE))*(1+Projection!AA$16)*(1+IF(Y173&gt;0,'Attrition Modeling'!$N$9,0))),0))</f>
        <v>0</v>
      </c>
      <c r="Z41" s="799">
        <f>IF(Z$2=$F41+1,Monthly!V$21,IF(Z$2&gt;$F41+1,('Traditional Attrition'!Y41+Z173)*(1-IF(Z$2-$F41&lt;=12,SUMIFS('Attrition Modeling'!$D:$D,'Attrition Modeling'!$B:$B,'Traditional Attrition'!$E41,'Attrition Modeling'!$C:$C,'Traditional Attrition'!Z$1),VLOOKUP('Traditional Attrition'!Z$2-'Traditional Attrition'!$F41-1,'Traditional Attrition'!$A$7:$C$161,2,FALSE)*VLOOKUP(Z$1,'Attrition Modeling'!$L$15:$N$27,IF(Z$2-$F41&lt;=24,2,3),FALSE))*(1+Projection!AB$16)*(1+IF(Z173&gt;0,'Attrition Modeling'!$N$9,0))),0))</f>
        <v>0</v>
      </c>
      <c r="AA41" s="799">
        <f>IF(AA$2=$F41+1,Monthly!W$21,IF(AA$2&gt;$F41+1,('Traditional Attrition'!Z41+AA173)*(1-IF(AA$2-$F41&lt;=12,SUMIFS('Attrition Modeling'!$D:$D,'Attrition Modeling'!$B:$B,'Traditional Attrition'!$E41,'Attrition Modeling'!$C:$C,'Traditional Attrition'!AA$1),VLOOKUP('Traditional Attrition'!AA$2-'Traditional Attrition'!$F41-1,'Traditional Attrition'!$A$7:$C$161,2,FALSE)*VLOOKUP(AA$1,'Attrition Modeling'!$L$15:$N$27,IF(AA$2-$F41&lt;=24,2,3),FALSE))*(1+Projection!AC$16)*(1+IF(AA173&gt;0,'Attrition Modeling'!$N$9,0))),0))</f>
        <v>0</v>
      </c>
      <c r="AB41" s="799">
        <f>IF(AB$2=$F41+1,Monthly!X$21,IF(AB$2&gt;$F41+1,('Traditional Attrition'!AA41+AB173)*(1-IF(AB$2-$F41&lt;=12,SUMIFS('Attrition Modeling'!$D:$D,'Attrition Modeling'!$B:$B,'Traditional Attrition'!$E41,'Attrition Modeling'!$C:$C,'Traditional Attrition'!AB$1),VLOOKUP('Traditional Attrition'!AB$2-'Traditional Attrition'!$F41-1,'Traditional Attrition'!$A$7:$C$161,2,FALSE)*VLOOKUP(AB$1,'Attrition Modeling'!$L$15:$N$27,IF(AB$2-$F41&lt;=24,2,3),FALSE))*(1+Projection!AD$16)*(1+IF(AB173&gt;0,'Attrition Modeling'!$N$9,0))),0))</f>
        <v>0</v>
      </c>
      <c r="AC41" s="799">
        <f>IF(AC$2=$F41+1,Monthly!Y$21,IF(AC$2&gt;$F41+1,('Traditional Attrition'!AB41+AC173)*(1-IF(AC$2-$F41&lt;=12,SUMIFS('Attrition Modeling'!$D:$D,'Attrition Modeling'!$B:$B,'Traditional Attrition'!$E41,'Attrition Modeling'!$C:$C,'Traditional Attrition'!AC$1),VLOOKUP('Traditional Attrition'!AC$2-'Traditional Attrition'!$F41-1,'Traditional Attrition'!$A$7:$C$161,2,FALSE)*VLOOKUP(AC$1,'Attrition Modeling'!$L$15:$N$27,IF(AC$2-$F41&lt;=24,2,3),FALSE))*(1+Projection!AE$16)*(1+IF(AC173&gt;0,'Attrition Modeling'!$N$9,0))),0))</f>
        <v>0</v>
      </c>
      <c r="AD41" s="799">
        <f>IF(AD$2=$F41+1,Monthly!Z$21,IF(AD$2&gt;$F41+1,('Traditional Attrition'!AC41+AD173)*(1-IF(AD$2-$F41&lt;=12,SUMIFS('Attrition Modeling'!$D:$D,'Attrition Modeling'!$B:$B,'Traditional Attrition'!$E41,'Attrition Modeling'!$C:$C,'Traditional Attrition'!AD$1),VLOOKUP('Traditional Attrition'!AD$2-'Traditional Attrition'!$F41-1,'Traditional Attrition'!$A$7:$C$161,2,FALSE)*VLOOKUP(AD$1,'Attrition Modeling'!$L$15:$N$27,IF(AD$2-$F41&lt;=24,2,3),FALSE))*(1+Projection!AF$16)*(1+IF(AD173&gt;0,'Attrition Modeling'!$N$9,0))),0))</f>
        <v>0</v>
      </c>
      <c r="AE41" s="799">
        <f>IF(AE$2=$F41+1,Monthly!AA$21,IF(AE$2&gt;$F41+1,('Traditional Attrition'!AD41+AE173)*(1-IF(AE$2-$F41&lt;=12,SUMIFS('Attrition Modeling'!$D:$D,'Attrition Modeling'!$B:$B,'Traditional Attrition'!$E41,'Attrition Modeling'!$C:$C,'Traditional Attrition'!AE$1),VLOOKUP('Traditional Attrition'!AE$2-'Traditional Attrition'!$F41-1,'Traditional Attrition'!$A$7:$C$161,2,FALSE)*VLOOKUP(AE$1,'Attrition Modeling'!$L$15:$N$27,IF(AE$2-$F41&lt;=24,2,3),FALSE))*(1+Projection!AG$16)*(1+IF(AE173&gt;0,'Attrition Modeling'!$N$9,0))),0))</f>
        <v>0</v>
      </c>
      <c r="AF41" s="799">
        <f>IF(AF$2=$F41+1,Monthly!AB$21,IF(AF$2&gt;$F41+1,('Traditional Attrition'!AE41+AF173)*(1-IF(AF$2-$F41&lt;=12,SUMIFS('Attrition Modeling'!$D:$D,'Attrition Modeling'!$B:$B,'Traditional Attrition'!$E41,'Attrition Modeling'!$C:$C,'Traditional Attrition'!AF$1),VLOOKUP('Traditional Attrition'!AF$2-'Traditional Attrition'!$F41-1,'Traditional Attrition'!$A$7:$C$161,2,FALSE)*VLOOKUP(AF$1,'Attrition Modeling'!$L$15:$N$27,IF(AF$2-$F41&lt;=24,2,3),FALSE))*(1+Projection!AH$16)*(1+IF(AF173&gt;0,'Attrition Modeling'!$N$9,0))),0))</f>
        <v>0</v>
      </c>
      <c r="AG41" s="799">
        <f>IF(AG$2=$F41+1,Monthly!AC$21,IF(AG$2&gt;$F41+1,('Traditional Attrition'!AF41+AG173)*(1-IF(AG$2-$F41&lt;=12,SUMIFS('Attrition Modeling'!$D:$D,'Attrition Modeling'!$B:$B,'Traditional Attrition'!$E41,'Attrition Modeling'!$C:$C,'Traditional Attrition'!AG$1),VLOOKUP('Traditional Attrition'!AG$2-'Traditional Attrition'!$F41-1,'Traditional Attrition'!$A$7:$C$161,2,FALSE)*VLOOKUP(AG$1,'Attrition Modeling'!$L$15:$N$27,IF(AG$2-$F41&lt;=24,2,3),FALSE))*(1+Projection!AI$16)*(1+IF(AG173&gt;0,'Attrition Modeling'!$N$9,0))),0))</f>
        <v>0</v>
      </c>
      <c r="AH41" s="799">
        <f>IF(AH$2=$F41+1,Monthly!AD$21,IF(AH$2&gt;$F41+1,('Traditional Attrition'!AG41+AH173)*(1-IF(AH$2-$F41&lt;=12,SUMIFS('Attrition Modeling'!$D:$D,'Attrition Modeling'!$B:$B,'Traditional Attrition'!$E41,'Attrition Modeling'!$C:$C,'Traditional Attrition'!AH$1),VLOOKUP('Traditional Attrition'!AH$2-'Traditional Attrition'!$F41-1,'Traditional Attrition'!$A$7:$C$161,2,FALSE)*VLOOKUP(AH$1,'Attrition Modeling'!$L$15:$N$27,IF(AH$2-$F41&lt;=24,2,3),FALSE))*(1+Projection!AJ$16)*(1+IF(AH173&gt;0,'Attrition Modeling'!$N$9,0))),0))</f>
        <v>0</v>
      </c>
      <c r="AI41" s="799">
        <f>IF(AI$2=$F41+1,Monthly!AE$21,IF(AI$2&gt;$F41+1,('Traditional Attrition'!AH41+AI173)*(1-IF(AI$2-$F41&lt;=12,SUMIFS('Attrition Modeling'!$D:$D,'Attrition Modeling'!$B:$B,'Traditional Attrition'!$E41,'Attrition Modeling'!$C:$C,'Traditional Attrition'!AI$1),VLOOKUP('Traditional Attrition'!AI$2-'Traditional Attrition'!$F41-1,'Traditional Attrition'!$A$7:$C$161,2,FALSE)*VLOOKUP(AI$1,'Attrition Modeling'!$L$15:$N$27,IF(AI$2-$F41&lt;=24,2,3),FALSE))*(1+Projection!AK$16)*(1+IF(AI173&gt;0,'Attrition Modeling'!$N$9,0))),0))</f>
        <v>0</v>
      </c>
      <c r="AJ41" s="799">
        <f>IF(AJ$2=$F41+1,Monthly!AF$21,IF(AJ$2&gt;$F41+1,('Traditional Attrition'!AI41+AJ173)*(1-IF(AJ$2-$F41&lt;=12,SUMIFS('Attrition Modeling'!$D:$D,'Attrition Modeling'!$B:$B,'Traditional Attrition'!$E41,'Attrition Modeling'!$C:$C,'Traditional Attrition'!AJ$1),VLOOKUP('Traditional Attrition'!AJ$2-'Traditional Attrition'!$F41-1,'Traditional Attrition'!$A$7:$C$161,2,FALSE)*VLOOKUP(AJ$1,'Attrition Modeling'!$L$15:$N$27,IF(AJ$2-$F41&lt;=24,2,3),FALSE))*(1+Projection!AL$16)*(1+IF(AJ173&gt;0,'Attrition Modeling'!$N$9,0))),0))</f>
        <v>0</v>
      </c>
      <c r="AK41" s="799">
        <f>IF(AK$2=$F41+1,Monthly!AG$21,IF(AK$2&gt;$F41+1,('Traditional Attrition'!AJ41+AK173)*(1-IF(AK$2-$F41&lt;=12,SUMIFS('Attrition Modeling'!$D:$D,'Attrition Modeling'!$B:$B,'Traditional Attrition'!$E41,'Attrition Modeling'!$C:$C,'Traditional Attrition'!AK$1),VLOOKUP('Traditional Attrition'!AK$2-'Traditional Attrition'!$F41-1,'Traditional Attrition'!$A$7:$C$161,2,FALSE)*VLOOKUP(AK$1,'Attrition Modeling'!$L$15:$N$27,IF(AK$2-$F41&lt;=24,2,3),FALSE))*(1+Projection!AM$16)*(1+IF(AK173&gt;0,'Attrition Modeling'!$N$9,0))),0))</f>
        <v>0</v>
      </c>
      <c r="AL41" s="799">
        <f>IF(AL$2=$F41+1,Monthly!AH$21,IF(AL$2&gt;$F41+1,('Traditional Attrition'!AK41+AL173)*(1-IF(AL$2-$F41&lt;=12,SUMIFS('Attrition Modeling'!$D:$D,'Attrition Modeling'!$B:$B,'Traditional Attrition'!$E41,'Attrition Modeling'!$C:$C,'Traditional Attrition'!AL$1),VLOOKUP('Traditional Attrition'!AL$2-'Traditional Attrition'!$F41-1,'Traditional Attrition'!$A$7:$C$161,2,FALSE)*VLOOKUP(AL$1,'Attrition Modeling'!$L$15:$N$27,IF(AL$2-$F41&lt;=24,2,3),FALSE))*(1+Projection!AN$16)*(1+IF(AL173&gt;0,'Attrition Modeling'!$N$9,0))),0))</f>
        <v>0</v>
      </c>
      <c r="AM41" s="799">
        <f>IF(AM$2=$F41+1,Monthly!AI$21,IF(AM$2&gt;$F41+1,('Traditional Attrition'!AL41+AM173)*(1-IF(AM$2-$F41&lt;=12,SUMIFS('Attrition Modeling'!$D:$D,'Attrition Modeling'!$B:$B,'Traditional Attrition'!$E41,'Attrition Modeling'!$C:$C,'Traditional Attrition'!AM$1),VLOOKUP('Traditional Attrition'!AM$2-'Traditional Attrition'!$F41-1,'Traditional Attrition'!$A$7:$C$161,2,FALSE)*VLOOKUP(AM$1,'Attrition Modeling'!$L$15:$N$27,IF(AM$2-$F41&lt;=24,2,3),FALSE))*(1+Projection!AO$16)*(1+IF(AM173&gt;0,'Attrition Modeling'!$N$9,0))),0))</f>
        <v>0</v>
      </c>
      <c r="AN41" s="799">
        <f>IF(AN$2=$F41+1,Monthly!AJ$21,IF(AN$2&gt;$F41+1,('Traditional Attrition'!AM41+AN173)*(1-IF(AN$2-$F41&lt;=12,SUMIFS('Attrition Modeling'!$D:$D,'Attrition Modeling'!$B:$B,'Traditional Attrition'!$E41,'Attrition Modeling'!$C:$C,'Traditional Attrition'!AN$1),VLOOKUP('Traditional Attrition'!AN$2-'Traditional Attrition'!$F41-1,'Traditional Attrition'!$A$7:$C$161,2,FALSE)*VLOOKUP(AN$1,'Attrition Modeling'!$L$15:$N$27,IF(AN$2-$F41&lt;=24,2,3),FALSE))*(1+Projection!AP$16)*(1+IF(AN173&gt;0,'Attrition Modeling'!$N$9,0))),0))</f>
        <v>0</v>
      </c>
      <c r="AO41" s="799">
        <f>IF(AO$2=$F41+1,Monthly!AK$21,IF(AO$2&gt;$F41+1,('Traditional Attrition'!AN41+AO173)*(1-IF(AO$2-$F41&lt;=12,SUMIFS('Attrition Modeling'!$D:$D,'Attrition Modeling'!$B:$B,'Traditional Attrition'!$E41,'Attrition Modeling'!$C:$C,'Traditional Attrition'!AO$1),VLOOKUP('Traditional Attrition'!AO$2-'Traditional Attrition'!$F41-1,'Traditional Attrition'!$A$7:$C$161,2,FALSE)*VLOOKUP(AO$1,'Attrition Modeling'!$L$15:$N$27,IF(AO$2-$F41&lt;=24,2,3),FALSE))*(1+Projection!AQ$16)*(1+IF(AO173&gt;0,'Attrition Modeling'!$N$9,0))),0))</f>
        <v>0</v>
      </c>
      <c r="AP41" s="799">
        <f>IF(AP$2=$F41+1,Monthly!AL$21,IF(AP$2&gt;$F41+1,('Traditional Attrition'!AO41+AP173)*(1-IF(AP$2-$F41&lt;=12,SUMIFS('Attrition Modeling'!$D:$D,'Attrition Modeling'!$B:$B,'Traditional Attrition'!$E41,'Attrition Modeling'!$C:$C,'Traditional Attrition'!AP$1),VLOOKUP('Traditional Attrition'!AP$2-'Traditional Attrition'!$F41-1,'Traditional Attrition'!$A$7:$C$161,2,FALSE)*VLOOKUP(AP$1,'Attrition Modeling'!$L$15:$N$27,IF(AP$2-$F41&lt;=24,2,3),FALSE))*(1+Projection!AR$16)*(1+IF(AP173&gt;0,'Attrition Modeling'!$N$9,0))),0))</f>
        <v>0</v>
      </c>
      <c r="AQ41" s="799">
        <f>IF(AQ$2=$F41+1,Monthly!AM$21,IF(AQ$2&gt;$F41+1,('Traditional Attrition'!AP41+AQ173)*(1-IF(AQ$2-$F41&lt;=12,SUMIFS('Attrition Modeling'!$D:$D,'Attrition Modeling'!$B:$B,'Traditional Attrition'!$E41,'Attrition Modeling'!$C:$C,'Traditional Attrition'!AQ$1),VLOOKUP('Traditional Attrition'!AQ$2-'Traditional Attrition'!$F41-1,'Traditional Attrition'!$A$7:$C$161,2,FALSE)*VLOOKUP(AQ$1,'Attrition Modeling'!$L$15:$N$27,IF(AQ$2-$F41&lt;=24,2,3),FALSE))*(1+Projection!AS$16)*(1+IF(AQ173&gt;0,'Attrition Modeling'!$N$9,0))),0))</f>
        <v>0</v>
      </c>
      <c r="AR41" s="799">
        <f>IF(AR$2=$F41+1,Monthly!AN$21,IF(AR$2&gt;$F41+1,('Traditional Attrition'!AQ41+AR173)*(1-IF(AR$2-$F41&lt;=12,SUMIFS('Attrition Modeling'!$D:$D,'Attrition Modeling'!$B:$B,'Traditional Attrition'!$E41,'Attrition Modeling'!$C:$C,'Traditional Attrition'!AR$1),VLOOKUP('Traditional Attrition'!AR$2-'Traditional Attrition'!$F41-1,'Traditional Attrition'!$A$7:$C$161,2,FALSE)*VLOOKUP(AR$1,'Attrition Modeling'!$L$15:$N$27,IF(AR$2-$F41&lt;=24,2,3),FALSE))*(1+Projection!AT$16)*(1+IF(AR173&gt;0,'Attrition Modeling'!$N$9,0))),0))</f>
        <v>0</v>
      </c>
      <c r="AS41" s="799">
        <f>IF(AS$2=$F41+1,Monthly!AO$21,IF(AS$2&gt;$F41+1,('Traditional Attrition'!AR41+AS173)*(1-IF(AS$2-$F41&lt;=12,SUMIFS('Attrition Modeling'!$D:$D,'Attrition Modeling'!$B:$B,'Traditional Attrition'!$E41,'Attrition Modeling'!$C:$C,'Traditional Attrition'!AS$1),VLOOKUP('Traditional Attrition'!AS$2-'Traditional Attrition'!$F41-1,'Traditional Attrition'!$A$7:$C$161,2,FALSE)*VLOOKUP(AS$1,'Attrition Modeling'!$L$15:$N$27,IF(AS$2-$F41&lt;=24,2,3),FALSE))*(1+Projection!AU$16)*(1+IF(AS173&gt;0,'Attrition Modeling'!$N$9,0))),0))</f>
        <v>0</v>
      </c>
      <c r="AT41" s="799">
        <f>IF(AT$2=$F41+1,Monthly!AP$21,IF(AT$2&gt;$F41+1,('Traditional Attrition'!AS41+AT173)*(1-IF(AT$2-$F41&lt;=12,SUMIFS('Attrition Modeling'!$D:$D,'Attrition Modeling'!$B:$B,'Traditional Attrition'!$E41,'Attrition Modeling'!$C:$C,'Traditional Attrition'!AT$1),VLOOKUP('Traditional Attrition'!AT$2-'Traditional Attrition'!$F41-1,'Traditional Attrition'!$A$7:$C$161,2,FALSE)*VLOOKUP(AT$1,'Attrition Modeling'!$L$15:$N$27,IF(AT$2-$F41&lt;=24,2,3),FALSE))*(1+Projection!AV$16)*(1+IF(AT173&gt;0,'Attrition Modeling'!$N$9,0))),0))</f>
        <v>10081.606049843473</v>
      </c>
      <c r="AU41" s="799">
        <f>IF(AU$2=$F41+1,Monthly!AQ$21,IF(AU$2&gt;$F41+1,('Traditional Attrition'!AT41+AU173)*(1-IF(AU$2-$F41&lt;=12,SUMIFS('Attrition Modeling'!$D:$D,'Attrition Modeling'!$B:$B,'Traditional Attrition'!$E41,'Attrition Modeling'!$C:$C,'Traditional Attrition'!AU$1),VLOOKUP('Traditional Attrition'!AU$2-'Traditional Attrition'!$F41-1,'Traditional Attrition'!$A$7:$C$161,2,FALSE)*VLOOKUP(AU$1,'Attrition Modeling'!$L$15:$N$27,IF(AU$2-$F41&lt;=24,2,3),FALSE))*(1+Projection!AW$16)*(1+IF(AU173&gt;0,'Attrition Modeling'!$N$9,0))),0))</f>
        <v>9099.6999633341275</v>
      </c>
      <c r="AV41" s="799">
        <f>IF(AV$2=$F41+1,Monthly!AR$21,IF(AV$2&gt;$F41+1,('Traditional Attrition'!AU41+AV173)*(1-IF(AV$2-$F41&lt;=12,SUMIFS('Attrition Modeling'!$D:$D,'Attrition Modeling'!$B:$B,'Traditional Attrition'!$E41,'Attrition Modeling'!$C:$C,'Traditional Attrition'!AV$1),VLOOKUP('Traditional Attrition'!AV$2-'Traditional Attrition'!$F41-1,'Traditional Attrition'!$A$7:$C$161,2,FALSE)*VLOOKUP(AV$1,'Attrition Modeling'!$L$15:$N$27,IF(AV$2-$F41&lt;=24,2,3),FALSE))*(1+Projection!AX$16)*(1+IF(AV173&gt;0,'Attrition Modeling'!$N$9,0))),0))</f>
        <v>8323.368888638237</v>
      </c>
      <c r="AW41" s="799">
        <f>IF(AW$2=$F41+1,Monthly!AS$21,IF(AW$2&gt;$F41+1,('Traditional Attrition'!AV41+AW173)*(1-IF(AW$2-$F41&lt;=12,SUMIFS('Attrition Modeling'!$D:$D,'Attrition Modeling'!$B:$B,'Traditional Attrition'!$E41,'Attrition Modeling'!$C:$C,'Traditional Attrition'!AW$1),VLOOKUP('Traditional Attrition'!AW$2-'Traditional Attrition'!$F41-1,'Traditional Attrition'!$A$7:$C$161,2,FALSE)*VLOOKUP(AW$1,'Attrition Modeling'!$L$15:$N$27,IF(AW$2-$F41&lt;=24,2,3),FALSE))*(1+Projection!AY$16)*(1+IF(AW173&gt;0,'Attrition Modeling'!$N$9,0))),0))</f>
        <v>7549.9054352333515</v>
      </c>
      <c r="AX41" s="799">
        <f>IF(AX$2=$F41+1,Monthly!AT$21,IF(AX$2&gt;$F41+1,('Traditional Attrition'!AW41+AX173)*(1-IF(AX$2-$F41&lt;=12,SUMIFS('Attrition Modeling'!$D:$D,'Attrition Modeling'!$B:$B,'Traditional Attrition'!$E41,'Attrition Modeling'!$C:$C,'Traditional Attrition'!AX$1),VLOOKUP('Traditional Attrition'!AX$2-'Traditional Attrition'!$F41-1,'Traditional Attrition'!$A$7:$C$161,2,FALSE)*VLOOKUP(AX$1,'Attrition Modeling'!$L$15:$N$27,IF(AX$2-$F41&lt;=24,2,3),FALSE))*(1+Projection!AZ$16)*(1+IF(AX173&gt;0,'Attrition Modeling'!$N$9,0))),0))</f>
        <v>6936.6077419657577</v>
      </c>
      <c r="AY41" s="799">
        <f>IF(AY$2=$F41+1,Monthly!AU$21,IF(AY$2&gt;$F41+1,('Traditional Attrition'!AX41+AY173)*(1-IF(AY$2-$F41&lt;=12,SUMIFS('Attrition Modeling'!$D:$D,'Attrition Modeling'!$B:$B,'Traditional Attrition'!$E41,'Attrition Modeling'!$C:$C,'Traditional Attrition'!AY$1),VLOOKUP('Traditional Attrition'!AY$2-'Traditional Attrition'!$F41-1,'Traditional Attrition'!$A$7:$C$161,2,FALSE)*VLOOKUP(AY$1,'Attrition Modeling'!$L$15:$N$27,IF(AY$2-$F41&lt;=24,2,3),FALSE))*(1+Projection!BA$16)*(1+IF(AY173&gt;0,'Attrition Modeling'!$N$9,0))),0))</f>
        <v>6835.2254709411473</v>
      </c>
      <c r="AZ41" s="799">
        <f>IF(AZ$2=$F41+1,Monthly!AV$21,IF(AZ$2&gt;$F41+1,('Traditional Attrition'!AY41+AZ173)*(1-IF(AZ$2-$F41&lt;=12,SUMIFS('Attrition Modeling'!$D:$D,'Attrition Modeling'!$B:$B,'Traditional Attrition'!$E41,'Attrition Modeling'!$C:$C,'Traditional Attrition'!AZ$1),VLOOKUP('Traditional Attrition'!AZ$2-'Traditional Attrition'!$F41-1,'Traditional Attrition'!$A$7:$C$161,2,FALSE)*VLOOKUP(AZ$1,'Attrition Modeling'!$L$15:$N$27,IF(AZ$2-$F41&lt;=24,2,3),FALSE))*(1+Projection!BB$16)*(1+IF(AZ173&gt;0,'Attrition Modeling'!$N$9,0))),0))</f>
        <v>6319.4025150386406</v>
      </c>
      <c r="BA41" s="799">
        <f>IF(BA$2=$F41+1,Monthly!AW$21,IF(BA$2&gt;$F41+1,('Traditional Attrition'!AZ41+BA173)*(1-IF(BA$2-$F41&lt;=12,SUMIFS('Attrition Modeling'!$D:$D,'Attrition Modeling'!$B:$B,'Traditional Attrition'!$E41,'Attrition Modeling'!$C:$C,'Traditional Attrition'!BA$1),VLOOKUP('Traditional Attrition'!BA$2-'Traditional Attrition'!$F41-1,'Traditional Attrition'!$A$7:$C$161,2,FALSE)*VLOOKUP(BA$1,'Attrition Modeling'!$L$15:$N$27,IF(BA$2-$F41&lt;=24,2,3),FALSE))*(1+Projection!BC$16)*(1+IF(BA173&gt;0,'Attrition Modeling'!$N$9,0))),0))</f>
        <v>5876.6175897340954</v>
      </c>
      <c r="BB41" s="799">
        <f>IF(BB$2=$F41+1,Monthly!AX$21,IF(BB$2&gt;$F41+1,('Traditional Attrition'!BA41+BB173)*(1-IF(BB$2-$F41&lt;=12,SUMIFS('Attrition Modeling'!$D:$D,'Attrition Modeling'!$B:$B,'Traditional Attrition'!$E41,'Attrition Modeling'!$C:$C,'Traditional Attrition'!BB$1),VLOOKUP('Traditional Attrition'!BB$2-'Traditional Attrition'!$F41-1,'Traditional Attrition'!$A$7:$C$161,2,FALSE)*VLOOKUP(BB$1,'Attrition Modeling'!$L$15:$N$27,IF(BB$2-$F41&lt;=24,2,3),FALSE))*(1+Projection!BD$16)*(1+IF(BB173&gt;0,'Attrition Modeling'!$N$9,0))),0))</f>
        <v>5486.3168610884268</v>
      </c>
      <c r="BC41" s="799">
        <f>IF(BC$2=$F41+1,Monthly!AY$21,IF(BC$2&gt;$F41+1,('Traditional Attrition'!BB41+BC173)*(1-IF(BC$2-$F41&lt;=12,SUMIFS('Attrition Modeling'!$D:$D,'Attrition Modeling'!$B:$B,'Traditional Attrition'!$E41,'Attrition Modeling'!$C:$C,'Traditional Attrition'!BC$1),VLOOKUP('Traditional Attrition'!BC$2-'Traditional Attrition'!$F41-1,'Traditional Attrition'!$A$7:$C$161,2,FALSE)*VLOOKUP(BC$1,'Attrition Modeling'!$L$15:$N$27,IF(BC$2-$F41&lt;=24,2,3),FALSE))*(1+Projection!BE$16)*(1+IF(BC173&gt;0,'Attrition Modeling'!$N$9,0))),0))</f>
        <v>5145.1868408151067</v>
      </c>
      <c r="BD41" s="799">
        <f>IF(BD$2=$F41+1,Monthly!AZ$21,IF(BD$2&gt;$F41+1,('Traditional Attrition'!BC41+BD173)*(1-IF(BD$2-$F41&lt;=12,SUMIFS('Attrition Modeling'!$D:$D,'Attrition Modeling'!$B:$B,'Traditional Attrition'!$E41,'Attrition Modeling'!$C:$C,'Traditional Attrition'!BD$1),VLOOKUP('Traditional Attrition'!BD$2-'Traditional Attrition'!$F41-1,'Traditional Attrition'!$A$7:$C$161,2,FALSE)*VLOOKUP(BD$1,'Attrition Modeling'!$L$15:$N$27,IF(BD$2-$F41&lt;=24,2,3),FALSE))*(1+Projection!BF$16)*(1+IF(BD173&gt;0,'Attrition Modeling'!$N$9,0))),0))</f>
        <v>4853.5320790991072</v>
      </c>
      <c r="BE41" s="799">
        <f>IF(BE$2=$F41+1,Monthly!BA$21,IF(BE$2&gt;$F41+1,('Traditional Attrition'!BD41+BE173)*(1-IF(BE$2-$F41&lt;=12,SUMIFS('Attrition Modeling'!$D:$D,'Attrition Modeling'!$B:$B,'Traditional Attrition'!$E41,'Attrition Modeling'!$C:$C,'Traditional Attrition'!BE$1),VLOOKUP('Traditional Attrition'!BE$2-'Traditional Attrition'!$F41-1,'Traditional Attrition'!$A$7:$C$161,2,FALSE)*VLOOKUP(BE$1,'Attrition Modeling'!$L$15:$N$27,IF(BE$2-$F41&lt;=24,2,3),FALSE))*(1+Projection!BG$16)*(1+IF(BE173&gt;0,'Attrition Modeling'!$N$9,0))),0))</f>
        <v>4733.9390587219532</v>
      </c>
      <c r="BF41" s="799">
        <f>IF(BF$2=$F41+1,Monthly!BB$21,IF(BF$2&gt;$F41+1,('Traditional Attrition'!BE41+BF173)*(1-IF(BF$2-$F41&lt;=12,SUMIFS('Attrition Modeling'!$D:$D,'Attrition Modeling'!$B:$B,'Traditional Attrition'!$E41,'Attrition Modeling'!$C:$C,'Traditional Attrition'!BF$1),VLOOKUP('Traditional Attrition'!BF$2-'Traditional Attrition'!$F41-1,'Traditional Attrition'!$A$7:$C$161,2,FALSE)*VLOOKUP(BF$1,'Attrition Modeling'!$L$15:$N$27,IF(BF$2-$F41&lt;=24,2,3),FALSE))*(1+Projection!BH$16)*(1+IF(BF173&gt;0,'Attrition Modeling'!$N$9,0))),0))</f>
        <v>4483.6715215422346</v>
      </c>
      <c r="BG41" s="799">
        <f>IF(BG$2=$F41+1,Monthly!BC$21,IF(BG$2&gt;$F41+1,('Traditional Attrition'!BF41+BG173)*(1-IF(BG$2-$F41&lt;=12,SUMIFS('Attrition Modeling'!$D:$D,'Attrition Modeling'!$B:$B,'Traditional Attrition'!$E41,'Attrition Modeling'!$C:$C,'Traditional Attrition'!BG$1),VLOOKUP('Traditional Attrition'!BG$2-'Traditional Attrition'!$F41-1,'Traditional Attrition'!$A$7:$C$161,2,FALSE)*VLOOKUP(BG$1,'Attrition Modeling'!$L$15:$N$27,IF(BG$2-$F41&lt;=24,2,3),FALSE))*(1+Projection!BI$16)*(1+IF(BG173&gt;0,'Attrition Modeling'!$N$9,0))),0))</f>
        <v>4268.6123609380284</v>
      </c>
      <c r="BH41" s="799">
        <f>IF(BH$2=$F41+1,Monthly!BD$21,IF(BH$2&gt;$F41+1,('Traditional Attrition'!BG41+BH173)*(1-IF(BH$2-$F41&lt;=12,SUMIFS('Attrition Modeling'!$D:$D,'Attrition Modeling'!$B:$B,'Traditional Attrition'!$E41,'Attrition Modeling'!$C:$C,'Traditional Attrition'!BH$1),VLOOKUP('Traditional Attrition'!BH$2-'Traditional Attrition'!$F41-1,'Traditional Attrition'!$A$7:$C$161,2,FALSE)*VLOOKUP(BH$1,'Attrition Modeling'!$L$15:$N$27,IF(BH$2-$F41&lt;=24,2,3),FALSE))*(1+Projection!BJ$16)*(1+IF(BH173&gt;0,'Attrition Modeling'!$N$9,0))),0))</f>
        <v>4075.2843434407882</v>
      </c>
      <c r="BI41" s="799">
        <f>IF(BI$2=$F41+1,Monthly!BE$21,IF(BI$2&gt;$F41+1,('Traditional Attrition'!BH41+BI173)*(1-IF(BI$2-$F41&lt;=12,SUMIFS('Attrition Modeling'!$D:$D,'Attrition Modeling'!$B:$B,'Traditional Attrition'!$E41,'Attrition Modeling'!$C:$C,'Traditional Attrition'!BI$1),VLOOKUP('Traditional Attrition'!BI$2-'Traditional Attrition'!$F41-1,'Traditional Attrition'!$A$7:$C$161,2,FALSE)*VLOOKUP(BI$1,'Attrition Modeling'!$L$15:$N$27,IF(BI$2-$F41&lt;=24,2,3),FALSE))*(1+Projection!BK$16)*(1+IF(BI173&gt;0,'Attrition Modeling'!$N$9,0))),0))</f>
        <v>3880.0498922166316</v>
      </c>
      <c r="BJ41" s="799">
        <f>IF(BJ$2=$F41+1,Monthly!BF$21,IF(BJ$2&gt;$F41+1,('Traditional Attrition'!BI41+BJ173)*(1-IF(BJ$2-$F41&lt;=12,SUMIFS('Attrition Modeling'!$D:$D,'Attrition Modeling'!$B:$B,'Traditional Attrition'!$E41,'Attrition Modeling'!$C:$C,'Traditional Attrition'!BJ$1),VLOOKUP('Traditional Attrition'!BJ$2-'Traditional Attrition'!$F41-1,'Traditional Attrition'!$A$7:$C$161,2,FALSE)*VLOOKUP(BJ$1,'Attrition Modeling'!$L$15:$N$27,IF(BJ$2-$F41&lt;=24,2,3),FALSE))*(1+Projection!BL$16)*(1+IF(BJ173&gt;0,'Attrition Modeling'!$N$9,0))),0))</f>
        <v>3695.3645459513937</v>
      </c>
      <c r="BK41" s="799">
        <f>IF(BK$2=$F41+1,Monthly!BG$21,IF(BK$2&gt;$F41+1,('Traditional Attrition'!BJ41+BK173)*(1-IF(BK$2-$F41&lt;=12,SUMIFS('Attrition Modeling'!$D:$D,'Attrition Modeling'!$B:$B,'Traditional Attrition'!$E41,'Attrition Modeling'!$C:$C,'Traditional Attrition'!BK$1),VLOOKUP('Traditional Attrition'!BK$2-'Traditional Attrition'!$F41-1,'Traditional Attrition'!$A$7:$C$161,2,FALSE)*VLOOKUP(BK$1,'Attrition Modeling'!$L$15:$N$27,IF(BK$2-$F41&lt;=24,2,3),FALSE))*(1+Projection!BM$16)*(1+IF(BK173&gt;0,'Attrition Modeling'!$N$9,0))),0))</f>
        <v>3814.5320633283336</v>
      </c>
      <c r="BL41" s="799">
        <f>IF(BL$2=$F41+1,Monthly!BH$21,IF(BL$2&gt;$F41+1,('Traditional Attrition'!BK41+BL173)*(1-IF(BL$2-$F41&lt;=12,SUMIFS('Attrition Modeling'!$D:$D,'Attrition Modeling'!$B:$B,'Traditional Attrition'!$E41,'Attrition Modeling'!$C:$C,'Traditional Attrition'!BL$1),VLOOKUP('Traditional Attrition'!BL$2-'Traditional Attrition'!$F41-1,'Traditional Attrition'!$A$7:$C$161,2,FALSE)*VLOOKUP(BL$1,'Attrition Modeling'!$L$15:$N$27,IF(BL$2-$F41&lt;=24,2,3),FALSE))*(1+Projection!BN$16)*(1+IF(BL173&gt;0,'Attrition Modeling'!$N$9,0))),0))</f>
        <v>3649.543248975117</v>
      </c>
      <c r="BM41" s="799">
        <f>IF(BM$2=$F41+1,Monthly!BI$21,IF(BM$2&gt;$F41+1,('Traditional Attrition'!BL41+BM173)*(1-IF(BM$2-$F41&lt;=12,SUMIFS('Attrition Modeling'!$D:$D,'Attrition Modeling'!$B:$B,'Traditional Attrition'!$E41,'Attrition Modeling'!$C:$C,'Traditional Attrition'!BM$1),VLOOKUP('Traditional Attrition'!BM$2-'Traditional Attrition'!$F41-1,'Traditional Attrition'!$A$7:$C$161,2,FALSE)*VLOOKUP(BM$1,'Attrition Modeling'!$L$15:$N$27,IF(BM$2-$F41&lt;=24,2,3),FALSE))*(1+Projection!BO$16)*(1+IF(BM173&gt;0,'Attrition Modeling'!$N$9,0))),0))</f>
        <v>3491.1070879619701</v>
      </c>
      <c r="BN41" s="799">
        <f>IF(BN$2=$F41+1,Monthly!BJ$21,IF(BN$2&gt;$F41+1,('Traditional Attrition'!BM41+BN173)*(1-IF(BN$2-$F41&lt;=12,SUMIFS('Attrition Modeling'!$D:$D,'Attrition Modeling'!$B:$B,'Traditional Attrition'!$E41,'Attrition Modeling'!$C:$C,'Traditional Attrition'!BN$1),VLOOKUP('Traditional Attrition'!BN$2-'Traditional Attrition'!$F41-1,'Traditional Attrition'!$A$7:$C$161,2,FALSE)*VLOOKUP(BN$1,'Attrition Modeling'!$L$15:$N$27,IF(BN$2-$F41&lt;=24,2,3),FALSE))*(1+Projection!BP$16)*(1+IF(BN173&gt;0,'Attrition Modeling'!$N$9,0))),0))</f>
        <v>3347.8003781338034</v>
      </c>
      <c r="BO41" s="799">
        <f>IF(BO$2=$F41+1,Monthly!BK$21,IF(BO$2&gt;$F41+1,('Traditional Attrition'!BN41+BO173)*(1-IF(BO$2-$F41&lt;=12,SUMIFS('Attrition Modeling'!$D:$D,'Attrition Modeling'!$B:$B,'Traditional Attrition'!$E41,'Attrition Modeling'!$C:$C,'Traditional Attrition'!BO$1),VLOOKUP('Traditional Attrition'!BO$2-'Traditional Attrition'!$F41-1,'Traditional Attrition'!$A$7:$C$161,2,FALSE)*VLOOKUP(BO$1,'Attrition Modeling'!$L$15:$N$27,IF(BO$2-$F41&lt;=24,2,3),FALSE))*(1+Projection!BV$16)*(1+IF(BO173&gt;0,'Attrition Modeling'!$N$9,0))),0))</f>
        <v>3213.9341762824174</v>
      </c>
      <c r="BP41" s="799">
        <f>IF(BP$2=$F41+1,Monthly!BL$21,IF(BP$2&gt;$F41+1,('Traditional Attrition'!BO41+BP173)*(1-IF(BP$2-$F41&lt;=12,SUMIFS('Attrition Modeling'!$D:$D,'Attrition Modeling'!$B:$B,'Traditional Attrition'!$E41,'Attrition Modeling'!$C:$C,'Traditional Attrition'!BP$1),VLOOKUP('Traditional Attrition'!BP$2-'Traditional Attrition'!$F41-1,'Traditional Attrition'!$A$7:$C$161,2,FALSE)*VLOOKUP(BP$1,'Attrition Modeling'!$L$15:$N$27,IF(BP$2-$F41&lt;=24,2,3),FALSE))*(1+Projection!BW$16)*(1+IF(BP173&gt;0,'Attrition Modeling'!$N$9,0))),0))</f>
        <v>3087.1425105104481</v>
      </c>
      <c r="BQ41" s="799">
        <f>IF(BQ$2=$F41+1,Monthly!BM$21,IF(BQ$2&gt;$F41+1,('Traditional Attrition'!BP41+BQ173)*(1-IF(BQ$2-$F41&lt;=12,SUMIFS('Attrition Modeling'!$D:$D,'Attrition Modeling'!$B:$B,'Traditional Attrition'!$E41,'Attrition Modeling'!$C:$C,'Traditional Attrition'!BQ$1),VLOOKUP('Traditional Attrition'!BQ$2-'Traditional Attrition'!$F41-1,'Traditional Attrition'!$A$7:$C$161,2,FALSE)*VLOOKUP(BQ$1,'Attrition Modeling'!$L$15:$N$27,IF(BQ$2-$F41&lt;=24,2,3),FALSE))*(1+Projection!BX$16)*(1+IF(BQ173&gt;0,'Attrition Modeling'!$N$9,0))),0))</f>
        <v>2978.7291215443224</v>
      </c>
      <c r="BR41" s="799">
        <f>IF(BR$2=$F41+1,Monthly!BN$21,IF(BR$2&gt;$F41+1,('Traditional Attrition'!BQ41+BR173)*(1-IF(BR$2-$F41&lt;=12,SUMIFS('Attrition Modeling'!$D:$D,'Attrition Modeling'!$B:$B,'Traditional Attrition'!$E41,'Attrition Modeling'!$C:$C,'Traditional Attrition'!BR$1),VLOOKUP('Traditional Attrition'!BR$2-'Traditional Attrition'!$F41-1,'Traditional Attrition'!$A$7:$C$161,2,FALSE)*VLOOKUP(BR$1,'Attrition Modeling'!$L$15:$N$27,IF(BR$2-$F41&lt;=24,2,3),FALSE))*(1+Projection!BY$16)*(1+IF(BR173&gt;0,'Attrition Modeling'!$N$9,0))),0))</f>
        <v>2878.9052004121249</v>
      </c>
      <c r="BS41" s="799">
        <f>IF(BS$2=$F41+1,Monthly!BO$21,IF(BS$2&gt;$F41+1,('Traditional Attrition'!BR41+BS173)*(1-IF(BS$2-$F41&lt;=12,SUMIFS('Attrition Modeling'!$D:$D,'Attrition Modeling'!$B:$B,'Traditional Attrition'!$E41,'Attrition Modeling'!$C:$C,'Traditional Attrition'!BS$1),VLOOKUP('Traditional Attrition'!BS$2-'Traditional Attrition'!$F41-1,'Traditional Attrition'!$A$7:$C$161,2,FALSE)*VLOOKUP(BS$1,'Attrition Modeling'!$L$15:$N$27,IF(BS$2-$F41&lt;=24,2,3),FALSE))*(1+Projection!BZ$16)*(1+IF(BS173&gt;0,'Attrition Modeling'!$N$9,0))),0))</f>
        <v>2803.2478888611536</v>
      </c>
      <c r="BT41" s="799">
        <f>IF(BT$2=$F41+1,Monthly!#REF!,IF(BT$2&gt;$F41+1,('Traditional Attrition'!BS41+BT173)*(1-IF(BT$2-$F41&lt;=12,SUMIFS('Attrition Modeling'!$D:$D,'Attrition Modeling'!$B:$B,'Traditional Attrition'!$E41,'Attrition Modeling'!$C:$C,'Traditional Attrition'!BT$1),VLOOKUP('Traditional Attrition'!BT$2-'Traditional Attrition'!$F41-1,'Traditional Attrition'!$A$7:$C$161,2,FALSE)*VLOOKUP(BT$1,'Attrition Modeling'!$L$15:$N$27,IF(BT$2-$F41&lt;=24,2,3),FALSE))*(1+Projection!CA$16)*(1+IF(BT173&gt;0,'Attrition Modeling'!$N$9,0))),0))</f>
        <v>2715.5143644120849</v>
      </c>
      <c r="BU41" s="799">
        <f>IF(BU$2=$F41+1,Monthly!#REF!,IF(BU$2&gt;$F41+1,('Traditional Attrition'!BT41+BU173)*(1-IF(BU$2-$F41&lt;=12,SUMIFS('Attrition Modeling'!$D:$D,'Attrition Modeling'!$B:$B,'Traditional Attrition'!$E41,'Attrition Modeling'!$C:$C,'Traditional Attrition'!BU$1),VLOOKUP('Traditional Attrition'!BU$2-'Traditional Attrition'!$F41-1,'Traditional Attrition'!$A$7:$C$161,2,FALSE)*VLOOKUP(BU$1,'Attrition Modeling'!$L$15:$N$27,IF(BU$2-$F41&lt;=24,2,3),FALSE))*(1+Projection!CB$16)*(1+IF(BU173&gt;0,'Attrition Modeling'!$N$9,0))),0))</f>
        <v>2619.79688480507</v>
      </c>
    </row>
    <row r="42" spans="1:73" ht="14.25" customHeight="1" x14ac:dyDescent="0.2">
      <c r="A42" s="9">
        <v>35</v>
      </c>
      <c r="B42" s="25">
        <f>MAX('Attrition Modeling'!H39,$C$3)*(1-Summary!$C$20)</f>
        <v>3.0606647228771017E-2</v>
      </c>
      <c r="C42" s="24" t="e">
        <f t="shared" si="4"/>
        <v>#DIV/0!</v>
      </c>
      <c r="E42" s="11">
        <f t="shared" si="2"/>
        <v>3</v>
      </c>
      <c r="F42" s="11">
        <f t="shared" si="3"/>
        <v>39</v>
      </c>
      <c r="G42" s="799"/>
      <c r="H42" s="799">
        <f>IF(H$2=$F42+1,Monthly!D$21,IF(H$2&gt;$F42+1,('Traditional Attrition'!G42+H174)*(1-IF(H$2-$F42&lt;=12,SUMIFS('Attrition Modeling'!$D:$D,'Attrition Modeling'!$B:$B,'Traditional Attrition'!$E42,'Attrition Modeling'!$C:$C,'Traditional Attrition'!H$1),VLOOKUP('Traditional Attrition'!H$2-'Traditional Attrition'!$F42-1,'Traditional Attrition'!$A$7:$C$161,2,FALSE)*VLOOKUP(H$1,'Attrition Modeling'!$L$15:$N$27,IF(H$2-$F42&lt;=24,2,3),FALSE))*(1+Projection!J$16)*(1+IF(H174&gt;0,'Attrition Modeling'!$N$9,0))),0))</f>
        <v>0</v>
      </c>
      <c r="I42" s="799">
        <f>IF(I$2=$F42+1,Monthly!E$21,IF(I$2&gt;$F42+1,('Traditional Attrition'!H42+I174)*(1-IF(I$2-$F42&lt;=12,SUMIFS('Attrition Modeling'!$D:$D,'Attrition Modeling'!$B:$B,'Traditional Attrition'!$E42,'Attrition Modeling'!$C:$C,'Traditional Attrition'!I$1),VLOOKUP('Traditional Attrition'!I$2-'Traditional Attrition'!$F42-1,'Traditional Attrition'!$A$7:$C$161,2,FALSE)*VLOOKUP(I$1,'Attrition Modeling'!$L$15:$N$27,IF(I$2-$F42&lt;=24,2,3),FALSE))*(1+Projection!K$16)*(1+IF(I174&gt;0,'Attrition Modeling'!$N$9,0))),0))</f>
        <v>0</v>
      </c>
      <c r="J42" s="799">
        <f>IF(J$2=$F42+1,Monthly!F$21,IF(J$2&gt;$F42+1,('Traditional Attrition'!I42+J174)*(1-IF(J$2-$F42&lt;=12,SUMIFS('Attrition Modeling'!$D:$D,'Attrition Modeling'!$B:$B,'Traditional Attrition'!$E42,'Attrition Modeling'!$C:$C,'Traditional Attrition'!J$1),VLOOKUP('Traditional Attrition'!J$2-'Traditional Attrition'!$F42-1,'Traditional Attrition'!$A$7:$C$161,2,FALSE)*VLOOKUP(J$1,'Attrition Modeling'!$L$15:$N$27,IF(J$2-$F42&lt;=24,2,3),FALSE))*(1+Projection!L$16)*(1+IF(J174&gt;0,'Attrition Modeling'!$N$9,0))),0))</f>
        <v>0</v>
      </c>
      <c r="K42" s="799">
        <f>IF(K$2=$F42+1,Monthly!G$21,IF(K$2&gt;$F42+1,('Traditional Attrition'!J42+K174)*(1-IF(K$2-$F42&lt;=12,SUMIFS('Attrition Modeling'!$D:$D,'Attrition Modeling'!$B:$B,'Traditional Attrition'!$E42,'Attrition Modeling'!$C:$C,'Traditional Attrition'!K$1),VLOOKUP('Traditional Attrition'!K$2-'Traditional Attrition'!$F42-1,'Traditional Attrition'!$A$7:$C$161,2,FALSE)*VLOOKUP(K$1,'Attrition Modeling'!$L$15:$N$27,IF(K$2-$F42&lt;=24,2,3),FALSE))*(1+Projection!M$16)*(1+IF(K174&gt;0,'Attrition Modeling'!$N$9,0))),0))</f>
        <v>0</v>
      </c>
      <c r="L42" s="799">
        <f>IF(L$2=$F42+1,Monthly!H$21,IF(L$2&gt;$F42+1,('Traditional Attrition'!K42+L174)*(1-IF(L$2-$F42&lt;=12,SUMIFS('Attrition Modeling'!$D:$D,'Attrition Modeling'!$B:$B,'Traditional Attrition'!$E42,'Attrition Modeling'!$C:$C,'Traditional Attrition'!L$1),VLOOKUP('Traditional Attrition'!L$2-'Traditional Attrition'!$F42-1,'Traditional Attrition'!$A$7:$C$161,2,FALSE)*VLOOKUP(L$1,'Attrition Modeling'!$L$15:$N$27,IF(L$2-$F42&lt;=24,2,3),FALSE))*(1+Projection!N$16)*(1+IF(L174&gt;0,'Attrition Modeling'!$N$9,0))),0))</f>
        <v>0</v>
      </c>
      <c r="M42" s="799">
        <f>IF(M$2=$F42+1,Monthly!I$21,IF(M$2&gt;$F42+1,('Traditional Attrition'!L42+M174)*(1-IF(M$2-$F42&lt;=12,SUMIFS('Attrition Modeling'!$D:$D,'Attrition Modeling'!$B:$B,'Traditional Attrition'!$E42,'Attrition Modeling'!$C:$C,'Traditional Attrition'!M$1),VLOOKUP('Traditional Attrition'!M$2-'Traditional Attrition'!$F42-1,'Traditional Attrition'!$A$7:$C$161,2,FALSE)*VLOOKUP(M$1,'Attrition Modeling'!$L$15:$N$27,IF(M$2-$F42&lt;=24,2,3),FALSE))*(1+Projection!O$16)*(1+IF(M174&gt;0,'Attrition Modeling'!$N$9,0))),0))</f>
        <v>0</v>
      </c>
      <c r="N42" s="799">
        <f>IF(N$2=$F42+1,Monthly!J$21,IF(N$2&gt;$F42+1,('Traditional Attrition'!M42+N174)*(1-IF(N$2-$F42&lt;=12,SUMIFS('Attrition Modeling'!$D:$D,'Attrition Modeling'!$B:$B,'Traditional Attrition'!$E42,'Attrition Modeling'!$C:$C,'Traditional Attrition'!N$1),VLOOKUP('Traditional Attrition'!N$2-'Traditional Attrition'!$F42-1,'Traditional Attrition'!$A$7:$C$161,2,FALSE)*VLOOKUP(N$1,'Attrition Modeling'!$L$15:$N$27,IF(N$2-$F42&lt;=24,2,3),FALSE))*(1+Projection!P$16)*(1+IF(N174&gt;0,'Attrition Modeling'!$N$9,0))),0))</f>
        <v>0</v>
      </c>
      <c r="O42" s="799">
        <f>IF(O$2=$F42+1,Monthly!K$21,IF(O$2&gt;$F42+1,('Traditional Attrition'!N42+O174)*(1-IF(O$2-$F42&lt;=12,SUMIFS('Attrition Modeling'!$D:$D,'Attrition Modeling'!$B:$B,'Traditional Attrition'!$E42,'Attrition Modeling'!$C:$C,'Traditional Attrition'!O$1),VLOOKUP('Traditional Attrition'!O$2-'Traditional Attrition'!$F42-1,'Traditional Attrition'!$A$7:$C$161,2,FALSE)*VLOOKUP(O$1,'Attrition Modeling'!$L$15:$N$27,IF(O$2-$F42&lt;=24,2,3),FALSE))*(1+Projection!Q$16)*(1+IF(O174&gt;0,'Attrition Modeling'!$N$9,0))),0))</f>
        <v>0</v>
      </c>
      <c r="P42" s="799">
        <f>IF(P$2=$F42+1,Monthly!L$21,IF(P$2&gt;$F42+1,('Traditional Attrition'!O42+P174)*(1-IF(P$2-$F42&lt;=12,SUMIFS('Attrition Modeling'!$D:$D,'Attrition Modeling'!$B:$B,'Traditional Attrition'!$E42,'Attrition Modeling'!$C:$C,'Traditional Attrition'!P$1),VLOOKUP('Traditional Attrition'!P$2-'Traditional Attrition'!$F42-1,'Traditional Attrition'!$A$7:$C$161,2,FALSE)*VLOOKUP(P$1,'Attrition Modeling'!$L$15:$N$27,IF(P$2-$F42&lt;=24,2,3),FALSE))*(1+Projection!R$16)*(1+IF(P174&gt;0,'Attrition Modeling'!$N$9,0))),0))</f>
        <v>0</v>
      </c>
      <c r="Q42" s="799">
        <f>IF(Q$2=$F42+1,Monthly!M$21,IF(Q$2&gt;$F42+1,('Traditional Attrition'!P42+Q174)*(1-IF(Q$2-$F42&lt;=12,SUMIFS('Attrition Modeling'!$D:$D,'Attrition Modeling'!$B:$B,'Traditional Attrition'!$E42,'Attrition Modeling'!$C:$C,'Traditional Attrition'!Q$1),VLOOKUP('Traditional Attrition'!Q$2-'Traditional Attrition'!$F42-1,'Traditional Attrition'!$A$7:$C$161,2,FALSE)*VLOOKUP(Q$1,'Attrition Modeling'!$L$15:$N$27,IF(Q$2-$F42&lt;=24,2,3),FALSE))*(1+Projection!S$16)*(1+IF(Q174&gt;0,'Attrition Modeling'!$N$9,0))),0))</f>
        <v>0</v>
      </c>
      <c r="R42" s="799">
        <f>IF(R$2=$F42+1,Monthly!N$21,IF(R$2&gt;$F42+1,('Traditional Attrition'!Q42+R174)*(1-IF(R$2-$F42&lt;=12,SUMIFS('Attrition Modeling'!$D:$D,'Attrition Modeling'!$B:$B,'Traditional Attrition'!$E42,'Attrition Modeling'!$C:$C,'Traditional Attrition'!R$1),VLOOKUP('Traditional Attrition'!R$2-'Traditional Attrition'!$F42-1,'Traditional Attrition'!$A$7:$C$161,2,FALSE)*VLOOKUP(R$1,'Attrition Modeling'!$L$15:$N$27,IF(R$2-$F42&lt;=24,2,3),FALSE))*(1+Projection!T$16)*(1+IF(R174&gt;0,'Attrition Modeling'!$N$9,0))),0))</f>
        <v>0</v>
      </c>
      <c r="S42" s="799">
        <f>IF(S$2=$F42+1,Monthly!O$21,IF(S$2&gt;$F42+1,('Traditional Attrition'!R42+S174)*(1-IF(S$2-$F42&lt;=12,SUMIFS('Attrition Modeling'!$D:$D,'Attrition Modeling'!$B:$B,'Traditional Attrition'!$E42,'Attrition Modeling'!$C:$C,'Traditional Attrition'!S$1),VLOOKUP('Traditional Attrition'!S$2-'Traditional Attrition'!$F42-1,'Traditional Attrition'!$A$7:$C$161,2,FALSE)*VLOOKUP(S$1,'Attrition Modeling'!$L$15:$N$27,IF(S$2-$F42&lt;=24,2,3),FALSE))*(1+Projection!U$16)*(1+IF(S174&gt;0,'Attrition Modeling'!$N$9,0))),0))</f>
        <v>0</v>
      </c>
      <c r="T42" s="799">
        <f>IF(T$2=$F42+1,Monthly!P$21,IF(T$2&gt;$F42+1,('Traditional Attrition'!S42+T174)*(1-IF(T$2-$F42&lt;=12,SUMIFS('Attrition Modeling'!$D:$D,'Attrition Modeling'!$B:$B,'Traditional Attrition'!$E42,'Attrition Modeling'!$C:$C,'Traditional Attrition'!T$1),VLOOKUP('Traditional Attrition'!T$2-'Traditional Attrition'!$F42-1,'Traditional Attrition'!$A$7:$C$161,2,FALSE)*VLOOKUP(T$1,'Attrition Modeling'!$L$15:$N$27,IF(T$2-$F42&lt;=24,2,3),FALSE))*(1+Projection!V$16)*(1+IF(T174&gt;0,'Attrition Modeling'!$N$9,0))),0))</f>
        <v>0</v>
      </c>
      <c r="U42" s="799">
        <f>IF(U$2=$F42+1,Monthly!Q$21,IF(U$2&gt;$F42+1,('Traditional Attrition'!T42+U174)*(1-IF(U$2-$F42&lt;=12,SUMIFS('Attrition Modeling'!$D:$D,'Attrition Modeling'!$B:$B,'Traditional Attrition'!$E42,'Attrition Modeling'!$C:$C,'Traditional Attrition'!U$1),VLOOKUP('Traditional Attrition'!U$2-'Traditional Attrition'!$F42-1,'Traditional Attrition'!$A$7:$C$161,2,FALSE)*VLOOKUP(U$1,'Attrition Modeling'!$L$15:$N$27,IF(U$2-$F42&lt;=24,2,3),FALSE))*(1+Projection!W$16)*(1+IF(U174&gt;0,'Attrition Modeling'!$N$9,0))),0))</f>
        <v>0</v>
      </c>
      <c r="V42" s="799">
        <f>IF(V$2=$F42+1,Monthly!R$21,IF(V$2&gt;$F42+1,('Traditional Attrition'!U42+V174)*(1-IF(V$2-$F42&lt;=12,SUMIFS('Attrition Modeling'!$D:$D,'Attrition Modeling'!$B:$B,'Traditional Attrition'!$E42,'Attrition Modeling'!$C:$C,'Traditional Attrition'!V$1),VLOOKUP('Traditional Attrition'!V$2-'Traditional Attrition'!$F42-1,'Traditional Attrition'!$A$7:$C$161,2,FALSE)*VLOOKUP(V$1,'Attrition Modeling'!$L$15:$N$27,IF(V$2-$F42&lt;=24,2,3),FALSE))*(1+Projection!X$16)*(1+IF(V174&gt;0,'Attrition Modeling'!$N$9,0))),0))</f>
        <v>0</v>
      </c>
      <c r="W42" s="799">
        <f>IF(W$2=$F42+1,Monthly!S$21,IF(W$2&gt;$F42+1,('Traditional Attrition'!V42+W174)*(1-IF(W$2-$F42&lt;=12,SUMIFS('Attrition Modeling'!$D:$D,'Attrition Modeling'!$B:$B,'Traditional Attrition'!$E42,'Attrition Modeling'!$C:$C,'Traditional Attrition'!W$1),VLOOKUP('Traditional Attrition'!W$2-'Traditional Attrition'!$F42-1,'Traditional Attrition'!$A$7:$C$161,2,FALSE)*VLOOKUP(W$1,'Attrition Modeling'!$L$15:$N$27,IF(W$2-$F42&lt;=24,2,3),FALSE))*(1+Projection!Y$16)*(1+IF(W174&gt;0,'Attrition Modeling'!$N$9,0))),0))</f>
        <v>0</v>
      </c>
      <c r="X42" s="799">
        <f>IF(X$2=$F42+1,Monthly!T$21,IF(X$2&gt;$F42+1,('Traditional Attrition'!W42+X174)*(1-IF(X$2-$F42&lt;=12,SUMIFS('Attrition Modeling'!$D:$D,'Attrition Modeling'!$B:$B,'Traditional Attrition'!$E42,'Attrition Modeling'!$C:$C,'Traditional Attrition'!X$1),VLOOKUP('Traditional Attrition'!X$2-'Traditional Attrition'!$F42-1,'Traditional Attrition'!$A$7:$C$161,2,FALSE)*VLOOKUP(X$1,'Attrition Modeling'!$L$15:$N$27,IF(X$2-$F42&lt;=24,2,3),FALSE))*(1+Projection!Z$16)*(1+IF(X174&gt;0,'Attrition Modeling'!$N$9,0))),0))</f>
        <v>0</v>
      </c>
      <c r="Y42" s="799">
        <f>IF(Y$2=$F42+1,Monthly!U$21,IF(Y$2&gt;$F42+1,('Traditional Attrition'!X42+Y174)*(1-IF(Y$2-$F42&lt;=12,SUMIFS('Attrition Modeling'!$D:$D,'Attrition Modeling'!$B:$B,'Traditional Attrition'!$E42,'Attrition Modeling'!$C:$C,'Traditional Attrition'!Y$1),VLOOKUP('Traditional Attrition'!Y$2-'Traditional Attrition'!$F42-1,'Traditional Attrition'!$A$7:$C$161,2,FALSE)*VLOOKUP(Y$1,'Attrition Modeling'!$L$15:$N$27,IF(Y$2-$F42&lt;=24,2,3),FALSE))*(1+Projection!AA$16)*(1+IF(Y174&gt;0,'Attrition Modeling'!$N$9,0))),0))</f>
        <v>0</v>
      </c>
      <c r="Z42" s="799">
        <f>IF(Z$2=$F42+1,Monthly!V$21,IF(Z$2&gt;$F42+1,('Traditional Attrition'!Y42+Z174)*(1-IF(Z$2-$F42&lt;=12,SUMIFS('Attrition Modeling'!$D:$D,'Attrition Modeling'!$B:$B,'Traditional Attrition'!$E42,'Attrition Modeling'!$C:$C,'Traditional Attrition'!Z$1),VLOOKUP('Traditional Attrition'!Z$2-'Traditional Attrition'!$F42-1,'Traditional Attrition'!$A$7:$C$161,2,FALSE)*VLOOKUP(Z$1,'Attrition Modeling'!$L$15:$N$27,IF(Z$2-$F42&lt;=24,2,3),FALSE))*(1+Projection!AB$16)*(1+IF(Z174&gt;0,'Attrition Modeling'!$N$9,0))),0))</f>
        <v>0</v>
      </c>
      <c r="AA42" s="799">
        <f>IF(AA$2=$F42+1,Monthly!W$21,IF(AA$2&gt;$F42+1,('Traditional Attrition'!Z42+AA174)*(1-IF(AA$2-$F42&lt;=12,SUMIFS('Attrition Modeling'!$D:$D,'Attrition Modeling'!$B:$B,'Traditional Attrition'!$E42,'Attrition Modeling'!$C:$C,'Traditional Attrition'!AA$1),VLOOKUP('Traditional Attrition'!AA$2-'Traditional Attrition'!$F42-1,'Traditional Attrition'!$A$7:$C$161,2,FALSE)*VLOOKUP(AA$1,'Attrition Modeling'!$L$15:$N$27,IF(AA$2-$F42&lt;=24,2,3),FALSE))*(1+Projection!AC$16)*(1+IF(AA174&gt;0,'Attrition Modeling'!$N$9,0))),0))</f>
        <v>0</v>
      </c>
      <c r="AB42" s="799">
        <f>IF(AB$2=$F42+1,Monthly!X$21,IF(AB$2&gt;$F42+1,('Traditional Attrition'!AA42+AB174)*(1-IF(AB$2-$F42&lt;=12,SUMIFS('Attrition Modeling'!$D:$D,'Attrition Modeling'!$B:$B,'Traditional Attrition'!$E42,'Attrition Modeling'!$C:$C,'Traditional Attrition'!AB$1),VLOOKUP('Traditional Attrition'!AB$2-'Traditional Attrition'!$F42-1,'Traditional Attrition'!$A$7:$C$161,2,FALSE)*VLOOKUP(AB$1,'Attrition Modeling'!$L$15:$N$27,IF(AB$2-$F42&lt;=24,2,3),FALSE))*(1+Projection!AD$16)*(1+IF(AB174&gt;0,'Attrition Modeling'!$N$9,0))),0))</f>
        <v>0</v>
      </c>
      <c r="AC42" s="799">
        <f>IF(AC$2=$F42+1,Monthly!Y$21,IF(AC$2&gt;$F42+1,('Traditional Attrition'!AB42+AC174)*(1-IF(AC$2-$F42&lt;=12,SUMIFS('Attrition Modeling'!$D:$D,'Attrition Modeling'!$B:$B,'Traditional Attrition'!$E42,'Attrition Modeling'!$C:$C,'Traditional Attrition'!AC$1),VLOOKUP('Traditional Attrition'!AC$2-'Traditional Attrition'!$F42-1,'Traditional Attrition'!$A$7:$C$161,2,FALSE)*VLOOKUP(AC$1,'Attrition Modeling'!$L$15:$N$27,IF(AC$2-$F42&lt;=24,2,3),FALSE))*(1+Projection!AE$16)*(1+IF(AC174&gt;0,'Attrition Modeling'!$N$9,0))),0))</f>
        <v>0</v>
      </c>
      <c r="AD42" s="799">
        <f>IF(AD$2=$F42+1,Monthly!Z$21,IF(AD$2&gt;$F42+1,('Traditional Attrition'!AC42+AD174)*(1-IF(AD$2-$F42&lt;=12,SUMIFS('Attrition Modeling'!$D:$D,'Attrition Modeling'!$B:$B,'Traditional Attrition'!$E42,'Attrition Modeling'!$C:$C,'Traditional Attrition'!AD$1),VLOOKUP('Traditional Attrition'!AD$2-'Traditional Attrition'!$F42-1,'Traditional Attrition'!$A$7:$C$161,2,FALSE)*VLOOKUP(AD$1,'Attrition Modeling'!$L$15:$N$27,IF(AD$2-$F42&lt;=24,2,3),FALSE))*(1+Projection!AF$16)*(1+IF(AD174&gt;0,'Attrition Modeling'!$N$9,0))),0))</f>
        <v>0</v>
      </c>
      <c r="AE42" s="799">
        <f>IF(AE$2=$F42+1,Monthly!AA$21,IF(AE$2&gt;$F42+1,('Traditional Attrition'!AD42+AE174)*(1-IF(AE$2-$F42&lt;=12,SUMIFS('Attrition Modeling'!$D:$D,'Attrition Modeling'!$B:$B,'Traditional Attrition'!$E42,'Attrition Modeling'!$C:$C,'Traditional Attrition'!AE$1),VLOOKUP('Traditional Attrition'!AE$2-'Traditional Attrition'!$F42-1,'Traditional Attrition'!$A$7:$C$161,2,FALSE)*VLOOKUP(AE$1,'Attrition Modeling'!$L$15:$N$27,IF(AE$2-$F42&lt;=24,2,3),FALSE))*(1+Projection!AG$16)*(1+IF(AE174&gt;0,'Attrition Modeling'!$N$9,0))),0))</f>
        <v>0</v>
      </c>
      <c r="AF42" s="799">
        <f>IF(AF$2=$F42+1,Monthly!AB$21,IF(AF$2&gt;$F42+1,('Traditional Attrition'!AE42+AF174)*(1-IF(AF$2-$F42&lt;=12,SUMIFS('Attrition Modeling'!$D:$D,'Attrition Modeling'!$B:$B,'Traditional Attrition'!$E42,'Attrition Modeling'!$C:$C,'Traditional Attrition'!AF$1),VLOOKUP('Traditional Attrition'!AF$2-'Traditional Attrition'!$F42-1,'Traditional Attrition'!$A$7:$C$161,2,FALSE)*VLOOKUP(AF$1,'Attrition Modeling'!$L$15:$N$27,IF(AF$2-$F42&lt;=24,2,3),FALSE))*(1+Projection!AH$16)*(1+IF(AF174&gt;0,'Attrition Modeling'!$N$9,0))),0))</f>
        <v>0</v>
      </c>
      <c r="AG42" s="799">
        <f>IF(AG$2=$F42+1,Monthly!AC$21,IF(AG$2&gt;$F42+1,('Traditional Attrition'!AF42+AG174)*(1-IF(AG$2-$F42&lt;=12,SUMIFS('Attrition Modeling'!$D:$D,'Attrition Modeling'!$B:$B,'Traditional Attrition'!$E42,'Attrition Modeling'!$C:$C,'Traditional Attrition'!AG$1),VLOOKUP('Traditional Attrition'!AG$2-'Traditional Attrition'!$F42-1,'Traditional Attrition'!$A$7:$C$161,2,FALSE)*VLOOKUP(AG$1,'Attrition Modeling'!$L$15:$N$27,IF(AG$2-$F42&lt;=24,2,3),FALSE))*(1+Projection!AI$16)*(1+IF(AG174&gt;0,'Attrition Modeling'!$N$9,0))),0))</f>
        <v>0</v>
      </c>
      <c r="AH42" s="799">
        <f>IF(AH$2=$F42+1,Monthly!AD$21,IF(AH$2&gt;$F42+1,('Traditional Attrition'!AG42+AH174)*(1-IF(AH$2-$F42&lt;=12,SUMIFS('Attrition Modeling'!$D:$D,'Attrition Modeling'!$B:$B,'Traditional Attrition'!$E42,'Attrition Modeling'!$C:$C,'Traditional Attrition'!AH$1),VLOOKUP('Traditional Attrition'!AH$2-'Traditional Attrition'!$F42-1,'Traditional Attrition'!$A$7:$C$161,2,FALSE)*VLOOKUP(AH$1,'Attrition Modeling'!$L$15:$N$27,IF(AH$2-$F42&lt;=24,2,3),FALSE))*(1+Projection!AJ$16)*(1+IF(AH174&gt;0,'Attrition Modeling'!$N$9,0))),0))</f>
        <v>0</v>
      </c>
      <c r="AI42" s="799">
        <f>IF(AI$2=$F42+1,Monthly!AE$21,IF(AI$2&gt;$F42+1,('Traditional Attrition'!AH42+AI174)*(1-IF(AI$2-$F42&lt;=12,SUMIFS('Attrition Modeling'!$D:$D,'Attrition Modeling'!$B:$B,'Traditional Attrition'!$E42,'Attrition Modeling'!$C:$C,'Traditional Attrition'!AI$1),VLOOKUP('Traditional Attrition'!AI$2-'Traditional Attrition'!$F42-1,'Traditional Attrition'!$A$7:$C$161,2,FALSE)*VLOOKUP(AI$1,'Attrition Modeling'!$L$15:$N$27,IF(AI$2-$F42&lt;=24,2,3),FALSE))*(1+Projection!AK$16)*(1+IF(AI174&gt;0,'Attrition Modeling'!$N$9,0))),0))</f>
        <v>0</v>
      </c>
      <c r="AJ42" s="799">
        <f>IF(AJ$2=$F42+1,Monthly!AF$21,IF(AJ$2&gt;$F42+1,('Traditional Attrition'!AI42+AJ174)*(1-IF(AJ$2-$F42&lt;=12,SUMIFS('Attrition Modeling'!$D:$D,'Attrition Modeling'!$B:$B,'Traditional Attrition'!$E42,'Attrition Modeling'!$C:$C,'Traditional Attrition'!AJ$1),VLOOKUP('Traditional Attrition'!AJ$2-'Traditional Attrition'!$F42-1,'Traditional Attrition'!$A$7:$C$161,2,FALSE)*VLOOKUP(AJ$1,'Attrition Modeling'!$L$15:$N$27,IF(AJ$2-$F42&lt;=24,2,3),FALSE))*(1+Projection!AL$16)*(1+IF(AJ174&gt;0,'Attrition Modeling'!$N$9,0))),0))</f>
        <v>0</v>
      </c>
      <c r="AK42" s="799">
        <f>IF(AK$2=$F42+1,Monthly!AG$21,IF(AK$2&gt;$F42+1,('Traditional Attrition'!AJ42+AK174)*(1-IF(AK$2-$F42&lt;=12,SUMIFS('Attrition Modeling'!$D:$D,'Attrition Modeling'!$B:$B,'Traditional Attrition'!$E42,'Attrition Modeling'!$C:$C,'Traditional Attrition'!AK$1),VLOOKUP('Traditional Attrition'!AK$2-'Traditional Attrition'!$F42-1,'Traditional Attrition'!$A$7:$C$161,2,FALSE)*VLOOKUP(AK$1,'Attrition Modeling'!$L$15:$N$27,IF(AK$2-$F42&lt;=24,2,3),FALSE))*(1+Projection!AM$16)*(1+IF(AK174&gt;0,'Attrition Modeling'!$N$9,0))),0))</f>
        <v>0</v>
      </c>
      <c r="AL42" s="799">
        <f>IF(AL$2=$F42+1,Monthly!AH$21,IF(AL$2&gt;$F42+1,('Traditional Attrition'!AK42+AL174)*(1-IF(AL$2-$F42&lt;=12,SUMIFS('Attrition Modeling'!$D:$D,'Attrition Modeling'!$B:$B,'Traditional Attrition'!$E42,'Attrition Modeling'!$C:$C,'Traditional Attrition'!AL$1),VLOOKUP('Traditional Attrition'!AL$2-'Traditional Attrition'!$F42-1,'Traditional Attrition'!$A$7:$C$161,2,FALSE)*VLOOKUP(AL$1,'Attrition Modeling'!$L$15:$N$27,IF(AL$2-$F42&lt;=24,2,3),FALSE))*(1+Projection!AN$16)*(1+IF(AL174&gt;0,'Attrition Modeling'!$N$9,0))),0))</f>
        <v>0</v>
      </c>
      <c r="AM42" s="799">
        <f>IF(AM$2=$F42+1,Monthly!AI$21,IF(AM$2&gt;$F42+1,('Traditional Attrition'!AL42+AM174)*(1-IF(AM$2-$F42&lt;=12,SUMIFS('Attrition Modeling'!$D:$D,'Attrition Modeling'!$B:$B,'Traditional Attrition'!$E42,'Attrition Modeling'!$C:$C,'Traditional Attrition'!AM$1),VLOOKUP('Traditional Attrition'!AM$2-'Traditional Attrition'!$F42-1,'Traditional Attrition'!$A$7:$C$161,2,FALSE)*VLOOKUP(AM$1,'Attrition Modeling'!$L$15:$N$27,IF(AM$2-$F42&lt;=24,2,3),FALSE))*(1+Projection!AO$16)*(1+IF(AM174&gt;0,'Attrition Modeling'!$N$9,0))),0))</f>
        <v>0</v>
      </c>
      <c r="AN42" s="799">
        <f>IF(AN$2=$F42+1,Monthly!AJ$21,IF(AN$2&gt;$F42+1,('Traditional Attrition'!AM42+AN174)*(1-IF(AN$2-$F42&lt;=12,SUMIFS('Attrition Modeling'!$D:$D,'Attrition Modeling'!$B:$B,'Traditional Attrition'!$E42,'Attrition Modeling'!$C:$C,'Traditional Attrition'!AN$1),VLOOKUP('Traditional Attrition'!AN$2-'Traditional Attrition'!$F42-1,'Traditional Attrition'!$A$7:$C$161,2,FALSE)*VLOOKUP(AN$1,'Attrition Modeling'!$L$15:$N$27,IF(AN$2-$F42&lt;=24,2,3),FALSE))*(1+Projection!AP$16)*(1+IF(AN174&gt;0,'Attrition Modeling'!$N$9,0))),0))</f>
        <v>0</v>
      </c>
      <c r="AO42" s="799">
        <f>IF(AO$2=$F42+1,Monthly!AK$21,IF(AO$2&gt;$F42+1,('Traditional Attrition'!AN42+AO174)*(1-IF(AO$2-$F42&lt;=12,SUMIFS('Attrition Modeling'!$D:$D,'Attrition Modeling'!$B:$B,'Traditional Attrition'!$E42,'Attrition Modeling'!$C:$C,'Traditional Attrition'!AO$1),VLOOKUP('Traditional Attrition'!AO$2-'Traditional Attrition'!$F42-1,'Traditional Attrition'!$A$7:$C$161,2,FALSE)*VLOOKUP(AO$1,'Attrition Modeling'!$L$15:$N$27,IF(AO$2-$F42&lt;=24,2,3),FALSE))*(1+Projection!AQ$16)*(1+IF(AO174&gt;0,'Attrition Modeling'!$N$9,0))),0))</f>
        <v>0</v>
      </c>
      <c r="AP42" s="799">
        <f>IF(AP$2=$F42+1,Monthly!AL$21,IF(AP$2&gt;$F42+1,('Traditional Attrition'!AO42+AP174)*(1-IF(AP$2-$F42&lt;=12,SUMIFS('Attrition Modeling'!$D:$D,'Attrition Modeling'!$B:$B,'Traditional Attrition'!$E42,'Attrition Modeling'!$C:$C,'Traditional Attrition'!AP$1),VLOOKUP('Traditional Attrition'!AP$2-'Traditional Attrition'!$F42-1,'Traditional Attrition'!$A$7:$C$161,2,FALSE)*VLOOKUP(AP$1,'Attrition Modeling'!$L$15:$N$27,IF(AP$2-$F42&lt;=24,2,3),FALSE))*(1+Projection!AR$16)*(1+IF(AP174&gt;0,'Attrition Modeling'!$N$9,0))),0))</f>
        <v>0</v>
      </c>
      <c r="AQ42" s="799">
        <f>IF(AQ$2=$F42+1,Monthly!AM$21,IF(AQ$2&gt;$F42+1,('Traditional Attrition'!AP42+AQ174)*(1-IF(AQ$2-$F42&lt;=12,SUMIFS('Attrition Modeling'!$D:$D,'Attrition Modeling'!$B:$B,'Traditional Attrition'!$E42,'Attrition Modeling'!$C:$C,'Traditional Attrition'!AQ$1),VLOOKUP('Traditional Attrition'!AQ$2-'Traditional Attrition'!$F42-1,'Traditional Attrition'!$A$7:$C$161,2,FALSE)*VLOOKUP(AQ$1,'Attrition Modeling'!$L$15:$N$27,IF(AQ$2-$F42&lt;=24,2,3),FALSE))*(1+Projection!AS$16)*(1+IF(AQ174&gt;0,'Attrition Modeling'!$N$9,0))),0))</f>
        <v>0</v>
      </c>
      <c r="AR42" s="799">
        <f>IF(AR$2=$F42+1,Monthly!AN$21,IF(AR$2&gt;$F42+1,('Traditional Attrition'!AQ42+AR174)*(1-IF(AR$2-$F42&lt;=12,SUMIFS('Attrition Modeling'!$D:$D,'Attrition Modeling'!$B:$B,'Traditional Attrition'!$E42,'Attrition Modeling'!$C:$C,'Traditional Attrition'!AR$1),VLOOKUP('Traditional Attrition'!AR$2-'Traditional Attrition'!$F42-1,'Traditional Attrition'!$A$7:$C$161,2,FALSE)*VLOOKUP(AR$1,'Attrition Modeling'!$L$15:$N$27,IF(AR$2-$F42&lt;=24,2,3),FALSE))*(1+Projection!AT$16)*(1+IF(AR174&gt;0,'Attrition Modeling'!$N$9,0))),0))</f>
        <v>0</v>
      </c>
      <c r="AS42" s="799">
        <f>IF(AS$2=$F42+1,Monthly!AO$21,IF(AS$2&gt;$F42+1,('Traditional Attrition'!AR42+AS174)*(1-IF(AS$2-$F42&lt;=12,SUMIFS('Attrition Modeling'!$D:$D,'Attrition Modeling'!$B:$B,'Traditional Attrition'!$E42,'Attrition Modeling'!$C:$C,'Traditional Attrition'!AS$1),VLOOKUP('Traditional Attrition'!AS$2-'Traditional Attrition'!$F42-1,'Traditional Attrition'!$A$7:$C$161,2,FALSE)*VLOOKUP(AS$1,'Attrition Modeling'!$L$15:$N$27,IF(AS$2-$F42&lt;=24,2,3),FALSE))*(1+Projection!AU$16)*(1+IF(AS174&gt;0,'Attrition Modeling'!$N$9,0))),0))</f>
        <v>0</v>
      </c>
      <c r="AT42" s="799">
        <f>IF(AT$2=$F42+1,Monthly!AP$21,IF(AT$2&gt;$F42+1,('Traditional Attrition'!AS42+AT174)*(1-IF(AT$2-$F42&lt;=12,SUMIFS('Attrition Modeling'!$D:$D,'Attrition Modeling'!$B:$B,'Traditional Attrition'!$E42,'Attrition Modeling'!$C:$C,'Traditional Attrition'!AT$1),VLOOKUP('Traditional Attrition'!AT$2-'Traditional Attrition'!$F42-1,'Traditional Attrition'!$A$7:$C$161,2,FALSE)*VLOOKUP(AT$1,'Attrition Modeling'!$L$15:$N$27,IF(AT$2-$F42&lt;=24,2,3),FALSE))*(1+Projection!AV$16)*(1+IF(AT174&gt;0,'Attrition Modeling'!$N$9,0))),0))</f>
        <v>0</v>
      </c>
      <c r="AU42" s="799">
        <f>IF(AU$2=$F42+1,Monthly!AQ$21,IF(AU$2&gt;$F42+1,('Traditional Attrition'!AT42+AU174)*(1-IF(AU$2-$F42&lt;=12,SUMIFS('Attrition Modeling'!$D:$D,'Attrition Modeling'!$B:$B,'Traditional Attrition'!$E42,'Attrition Modeling'!$C:$C,'Traditional Attrition'!AU$1),VLOOKUP('Traditional Attrition'!AU$2-'Traditional Attrition'!$F42-1,'Traditional Attrition'!$A$7:$C$161,2,FALSE)*VLOOKUP(AU$1,'Attrition Modeling'!$L$15:$N$27,IF(AU$2-$F42&lt;=24,2,3),FALSE))*(1+Projection!AW$16)*(1+IF(AU174&gt;0,'Attrition Modeling'!$N$9,0))),0))</f>
        <v>10351.70950103892</v>
      </c>
      <c r="AV42" s="799">
        <f>IF(AV$2=$F42+1,Monthly!AR$21,IF(AV$2&gt;$F42+1,('Traditional Attrition'!AU42+AV174)*(1-IF(AV$2-$F42&lt;=12,SUMIFS('Attrition Modeling'!$D:$D,'Attrition Modeling'!$B:$B,'Traditional Attrition'!$E42,'Attrition Modeling'!$C:$C,'Traditional Attrition'!AV$1),VLOOKUP('Traditional Attrition'!AV$2-'Traditional Attrition'!$F42-1,'Traditional Attrition'!$A$7:$C$161,2,FALSE)*VLOOKUP(AV$1,'Attrition Modeling'!$L$15:$N$27,IF(AV$2-$F42&lt;=24,2,3),FALSE))*(1+Projection!AX$16)*(1+IF(AV174&gt;0,'Attrition Modeling'!$N$9,0))),0))</f>
        <v>9379.4958883297313</v>
      </c>
      <c r="AW42" s="799">
        <f>IF(AW$2=$F42+1,Monthly!AS$21,IF(AW$2&gt;$F42+1,('Traditional Attrition'!AV42+AW174)*(1-IF(AW$2-$F42&lt;=12,SUMIFS('Attrition Modeling'!$D:$D,'Attrition Modeling'!$B:$B,'Traditional Attrition'!$E42,'Attrition Modeling'!$C:$C,'Traditional Attrition'!AW$1),VLOOKUP('Traditional Attrition'!AW$2-'Traditional Attrition'!$F42-1,'Traditional Attrition'!$A$7:$C$161,2,FALSE)*VLOOKUP(AW$1,'Attrition Modeling'!$L$15:$N$27,IF(AW$2-$F42&lt;=24,2,3),FALSE))*(1+Projection!AY$16)*(1+IF(AW174&gt;0,'Attrition Modeling'!$N$9,0))),0))</f>
        <v>8537.438888840521</v>
      </c>
      <c r="AX42" s="799">
        <f>IF(AX$2=$F42+1,Monthly!AT$21,IF(AX$2&gt;$F42+1,('Traditional Attrition'!AW42+AX174)*(1-IF(AX$2-$F42&lt;=12,SUMIFS('Attrition Modeling'!$D:$D,'Attrition Modeling'!$B:$B,'Traditional Attrition'!$E42,'Attrition Modeling'!$C:$C,'Traditional Attrition'!AX$1),VLOOKUP('Traditional Attrition'!AX$2-'Traditional Attrition'!$F42-1,'Traditional Attrition'!$A$7:$C$161,2,FALSE)*VLOOKUP(AX$1,'Attrition Modeling'!$L$15:$N$27,IF(AX$2-$F42&lt;=24,2,3),FALSE))*(1+Projection!AZ$16)*(1+IF(AX174&gt;0,'Attrition Modeling'!$N$9,0))),0))</f>
        <v>7774.064644338735</v>
      </c>
      <c r="AY42" s="799">
        <f>IF(AY$2=$F42+1,Monthly!AU$21,IF(AY$2&gt;$F42+1,('Traditional Attrition'!AX42+AY174)*(1-IF(AY$2-$F42&lt;=12,SUMIFS('Attrition Modeling'!$D:$D,'Attrition Modeling'!$B:$B,'Traditional Attrition'!$E42,'Attrition Modeling'!$C:$C,'Traditional Attrition'!AY$1),VLOOKUP('Traditional Attrition'!AY$2-'Traditional Attrition'!$F42-1,'Traditional Attrition'!$A$7:$C$161,2,FALSE)*VLOOKUP(AY$1,'Attrition Modeling'!$L$15:$N$27,IF(AY$2-$F42&lt;=24,2,3),FALSE))*(1+Projection!BA$16)*(1+IF(AY174&gt;0,'Attrition Modeling'!$N$9,0))),0))</f>
        <v>7095.7904868081368</v>
      </c>
      <c r="AZ42" s="799">
        <f>IF(AZ$2=$F42+1,Monthly!AV$21,IF(AZ$2&gt;$F42+1,('Traditional Attrition'!AY42+AZ174)*(1-IF(AZ$2-$F42&lt;=12,SUMIFS('Attrition Modeling'!$D:$D,'Attrition Modeling'!$B:$B,'Traditional Attrition'!$E42,'Attrition Modeling'!$C:$C,'Traditional Attrition'!AZ$1),VLOOKUP('Traditional Attrition'!AZ$2-'Traditional Attrition'!$F42-1,'Traditional Attrition'!$A$7:$C$161,2,FALSE)*VLOOKUP(AZ$1,'Attrition Modeling'!$L$15:$N$27,IF(AZ$2-$F42&lt;=24,2,3),FALSE))*(1+Projection!BB$16)*(1+IF(AZ174&gt;0,'Attrition Modeling'!$N$9,0))),0))</f>
        <v>7008.9228934692919</v>
      </c>
      <c r="BA42" s="799">
        <f>IF(BA$2=$F42+1,Monthly!AW$21,IF(BA$2&gt;$F42+1,('Traditional Attrition'!AZ42+BA174)*(1-IF(BA$2-$F42&lt;=12,SUMIFS('Attrition Modeling'!$D:$D,'Attrition Modeling'!$B:$B,'Traditional Attrition'!$E42,'Attrition Modeling'!$C:$C,'Traditional Attrition'!BA$1),VLOOKUP('Traditional Attrition'!BA$2-'Traditional Attrition'!$F42-1,'Traditional Attrition'!$A$7:$C$161,2,FALSE)*VLOOKUP(BA$1,'Attrition Modeling'!$L$15:$N$27,IF(BA$2-$F42&lt;=24,2,3),FALSE))*(1+Projection!BC$16)*(1+IF(BA174&gt;0,'Attrition Modeling'!$N$9,0))),0))</f>
        <v>6453.399309572821</v>
      </c>
      <c r="BB42" s="799">
        <f>IF(BB$2=$F42+1,Monthly!AX$21,IF(BB$2&gt;$F42+1,('Traditional Attrition'!BA42+BB174)*(1-IF(BB$2-$F42&lt;=12,SUMIFS('Attrition Modeling'!$D:$D,'Attrition Modeling'!$B:$B,'Traditional Attrition'!$E42,'Attrition Modeling'!$C:$C,'Traditional Attrition'!BB$1),VLOOKUP('Traditional Attrition'!BB$2-'Traditional Attrition'!$F42-1,'Traditional Attrition'!$A$7:$C$161,2,FALSE)*VLOOKUP(BB$1,'Attrition Modeling'!$L$15:$N$27,IF(BB$2-$F42&lt;=24,2,3),FALSE))*(1+Projection!BD$16)*(1+IF(BB174&gt;0,'Attrition Modeling'!$N$9,0))),0))</f>
        <v>5972.0852997989659</v>
      </c>
      <c r="BC42" s="799">
        <f>IF(BC$2=$F42+1,Monthly!AY$21,IF(BC$2&gt;$F42+1,('Traditional Attrition'!BB42+BC174)*(1-IF(BC$2-$F42&lt;=12,SUMIFS('Attrition Modeling'!$D:$D,'Attrition Modeling'!$B:$B,'Traditional Attrition'!$E42,'Attrition Modeling'!$C:$C,'Traditional Attrition'!BC$1),VLOOKUP('Traditional Attrition'!BC$2-'Traditional Attrition'!$F42-1,'Traditional Attrition'!$A$7:$C$161,2,FALSE)*VLOOKUP(BC$1,'Attrition Modeling'!$L$15:$N$27,IF(BC$2-$F42&lt;=24,2,3),FALSE))*(1+Projection!BE$16)*(1+IF(BC174&gt;0,'Attrition Modeling'!$N$9,0))),0))</f>
        <v>5616.0793216954989</v>
      </c>
      <c r="BD42" s="799">
        <f>IF(BD$2=$F42+1,Monthly!AZ$21,IF(BD$2&gt;$F42+1,('Traditional Attrition'!BC42+BD174)*(1-IF(BD$2-$F42&lt;=12,SUMIFS('Attrition Modeling'!$D:$D,'Attrition Modeling'!$B:$B,'Traditional Attrition'!$E42,'Attrition Modeling'!$C:$C,'Traditional Attrition'!BD$1),VLOOKUP('Traditional Attrition'!BD$2-'Traditional Attrition'!$F42-1,'Traditional Attrition'!$A$7:$C$161,2,FALSE)*VLOOKUP(BD$1,'Attrition Modeling'!$L$15:$N$27,IF(BD$2-$F42&lt;=24,2,3),FALSE))*(1+Projection!BF$16)*(1+IF(BD174&gt;0,'Attrition Modeling'!$N$9,0))),0))</f>
        <v>5301.1084768765659</v>
      </c>
      <c r="BE42" s="799">
        <f>IF(BE$2=$F42+1,Monthly!BA$21,IF(BE$2&gt;$F42+1,('Traditional Attrition'!BD42+BE174)*(1-IF(BE$2-$F42&lt;=12,SUMIFS('Attrition Modeling'!$D:$D,'Attrition Modeling'!$B:$B,'Traditional Attrition'!$E42,'Attrition Modeling'!$C:$C,'Traditional Attrition'!BE$1),VLOOKUP('Traditional Attrition'!BE$2-'Traditional Attrition'!$F42-1,'Traditional Attrition'!$A$7:$C$161,2,FALSE)*VLOOKUP(BE$1,'Attrition Modeling'!$L$15:$N$27,IF(BE$2-$F42&lt;=24,2,3),FALSE))*(1+Projection!BG$16)*(1+IF(BE174&gt;0,'Attrition Modeling'!$N$9,0))),0))</f>
        <v>5027.7996512229192</v>
      </c>
      <c r="BF42" s="799">
        <f>IF(BF$2=$F42+1,Monthly!BB$21,IF(BF$2&gt;$F42+1,('Traditional Attrition'!BE42+BF174)*(1-IF(BF$2-$F42&lt;=12,SUMIFS('Attrition Modeling'!$D:$D,'Attrition Modeling'!$B:$B,'Traditional Attrition'!$E42,'Attrition Modeling'!$C:$C,'Traditional Attrition'!BF$1),VLOOKUP('Traditional Attrition'!BF$2-'Traditional Attrition'!$F42-1,'Traditional Attrition'!$A$7:$C$161,2,FALSE)*VLOOKUP(BF$1,'Attrition Modeling'!$L$15:$N$27,IF(BF$2-$F42&lt;=24,2,3),FALSE))*(1+Projection!BH$16)*(1+IF(BF174&gt;0,'Attrition Modeling'!$N$9,0))),0))</f>
        <v>4866.7994507914591</v>
      </c>
      <c r="BG42" s="799">
        <f>IF(BG$2=$F42+1,Monthly!BC$21,IF(BG$2&gt;$F42+1,('Traditional Attrition'!BF42+BG174)*(1-IF(BG$2-$F42&lt;=12,SUMIFS('Attrition Modeling'!$D:$D,'Attrition Modeling'!$B:$B,'Traditional Attrition'!$E42,'Attrition Modeling'!$C:$C,'Traditional Attrition'!BG$1),VLOOKUP('Traditional Attrition'!BG$2-'Traditional Attrition'!$F42-1,'Traditional Attrition'!$A$7:$C$161,2,FALSE)*VLOOKUP(BG$1,'Attrition Modeling'!$L$15:$N$27,IF(BG$2-$F42&lt;=24,2,3),FALSE))*(1+Projection!BI$16)*(1+IF(BG174&gt;0,'Attrition Modeling'!$N$9,0))),0))</f>
        <v>4613.8237469421683</v>
      </c>
      <c r="BH42" s="799">
        <f>IF(BH$2=$F42+1,Monthly!BD$21,IF(BH$2&gt;$F42+1,('Traditional Attrition'!BG42+BH174)*(1-IF(BH$2-$F42&lt;=12,SUMIFS('Attrition Modeling'!$D:$D,'Attrition Modeling'!$B:$B,'Traditional Attrition'!$E42,'Attrition Modeling'!$C:$C,'Traditional Attrition'!BH$1),VLOOKUP('Traditional Attrition'!BH$2-'Traditional Attrition'!$F42-1,'Traditional Attrition'!$A$7:$C$161,2,FALSE)*VLOOKUP(BH$1,'Attrition Modeling'!$L$15:$N$27,IF(BH$2-$F42&lt;=24,2,3),FALSE))*(1+Projection!BJ$16)*(1+IF(BH174&gt;0,'Attrition Modeling'!$N$9,0))),0))</f>
        <v>4394.1023566045078</v>
      </c>
      <c r="BI42" s="799">
        <f>IF(BI$2=$F42+1,Monthly!BE$21,IF(BI$2&gt;$F42+1,('Traditional Attrition'!BH42+BI174)*(1-IF(BI$2-$F42&lt;=12,SUMIFS('Attrition Modeling'!$D:$D,'Attrition Modeling'!$B:$B,'Traditional Attrition'!$E42,'Attrition Modeling'!$C:$C,'Traditional Attrition'!BI$1),VLOOKUP('Traditional Attrition'!BI$2-'Traditional Attrition'!$F42-1,'Traditional Attrition'!$A$7:$C$161,2,FALSE)*VLOOKUP(BI$1,'Attrition Modeling'!$L$15:$N$27,IF(BI$2-$F42&lt;=24,2,3),FALSE))*(1+Projection!BK$16)*(1+IF(BI174&gt;0,'Attrition Modeling'!$N$9,0))),0))</f>
        <v>4175.6130007456031</v>
      </c>
      <c r="BJ42" s="799">
        <f>IF(BJ$2=$F42+1,Monthly!BF$21,IF(BJ$2&gt;$F42+1,('Traditional Attrition'!BI42+BJ174)*(1-IF(BJ$2-$F42&lt;=12,SUMIFS('Attrition Modeling'!$D:$D,'Attrition Modeling'!$B:$B,'Traditional Attrition'!$E42,'Attrition Modeling'!$C:$C,'Traditional Attrition'!BJ$1),VLOOKUP('Traditional Attrition'!BJ$2-'Traditional Attrition'!$F42-1,'Traditional Attrition'!$A$7:$C$161,2,FALSE)*VLOOKUP(BJ$1,'Attrition Modeling'!$L$15:$N$27,IF(BJ$2-$F42&lt;=24,2,3),FALSE))*(1+Projection!BL$16)*(1+IF(BJ174&gt;0,'Attrition Modeling'!$N$9,0))),0))</f>
        <v>3970.8370253833086</v>
      </c>
      <c r="BK42" s="799">
        <f>IF(BK$2=$F42+1,Monthly!BG$21,IF(BK$2&gt;$F42+1,('Traditional Attrition'!BJ42+BK174)*(1-IF(BK$2-$F42&lt;=12,SUMIFS('Attrition Modeling'!$D:$D,'Attrition Modeling'!$B:$B,'Traditional Attrition'!$E42,'Attrition Modeling'!$C:$C,'Traditional Attrition'!BK$1),VLOOKUP('Traditional Attrition'!BK$2-'Traditional Attrition'!$F42-1,'Traditional Attrition'!$A$7:$C$161,2,FALSE)*VLOOKUP(BK$1,'Attrition Modeling'!$L$15:$N$27,IF(BK$2-$F42&lt;=24,2,3),FALSE))*(1+Projection!BM$16)*(1+IF(BK174&gt;0,'Attrition Modeling'!$N$9,0))),0))</f>
        <v>3773.4710715270294</v>
      </c>
      <c r="BL42" s="799">
        <f>IF(BL$2=$F42+1,Monthly!BH$21,IF(BL$2&gt;$F42+1,('Traditional Attrition'!BK42+BL174)*(1-IF(BL$2-$F42&lt;=12,SUMIFS('Attrition Modeling'!$D:$D,'Attrition Modeling'!$B:$B,'Traditional Attrition'!$E42,'Attrition Modeling'!$C:$C,'Traditional Attrition'!BL$1),VLOOKUP('Traditional Attrition'!BL$2-'Traditional Attrition'!$F42-1,'Traditional Attrition'!$A$7:$C$161,2,FALSE)*VLOOKUP(BL$1,'Attrition Modeling'!$L$15:$N$27,IF(BL$2-$F42&lt;=24,2,3),FALSE))*(1+Projection!BN$16)*(1+IF(BL174&gt;0,'Attrition Modeling'!$N$9,0))),0))</f>
        <v>3916.358573146807</v>
      </c>
      <c r="BM42" s="799">
        <f>IF(BM$2=$F42+1,Monthly!BI$21,IF(BM$2&gt;$F42+1,('Traditional Attrition'!BL42+BM174)*(1-IF(BM$2-$F42&lt;=12,SUMIFS('Attrition Modeling'!$D:$D,'Attrition Modeling'!$B:$B,'Traditional Attrition'!$E42,'Attrition Modeling'!$C:$C,'Traditional Attrition'!BM$1),VLOOKUP('Traditional Attrition'!BM$2-'Traditional Attrition'!$F42-1,'Traditional Attrition'!$A$7:$C$161,2,FALSE)*VLOOKUP(BM$1,'Attrition Modeling'!$L$15:$N$27,IF(BM$2-$F42&lt;=24,2,3),FALSE))*(1+Projection!BO$16)*(1+IF(BM174&gt;0,'Attrition Modeling'!$N$9,0))),0))</f>
        <v>3743.0463666607579</v>
      </c>
      <c r="BN42" s="799">
        <f>IF(BN$2=$F42+1,Monthly!BJ$21,IF(BN$2&gt;$F42+1,('Traditional Attrition'!BM42+BN174)*(1-IF(BN$2-$F42&lt;=12,SUMIFS('Attrition Modeling'!$D:$D,'Attrition Modeling'!$B:$B,'Traditional Attrition'!$E42,'Attrition Modeling'!$C:$C,'Traditional Attrition'!BN$1),VLOOKUP('Traditional Attrition'!BN$2-'Traditional Attrition'!$F42-1,'Traditional Attrition'!$A$7:$C$161,2,FALSE)*VLOOKUP(BN$1,'Attrition Modeling'!$L$15:$N$27,IF(BN$2-$F42&lt;=24,2,3),FALSE))*(1+Projection!BP$16)*(1+IF(BN174&gt;0,'Attrition Modeling'!$N$9,0))),0))</f>
        <v>3586.7272899259806</v>
      </c>
      <c r="BO42" s="799">
        <f>IF(BO$2=$F42+1,Monthly!BK$21,IF(BO$2&gt;$F42+1,('Traditional Attrition'!BN42+BO174)*(1-IF(BO$2-$F42&lt;=12,SUMIFS('Attrition Modeling'!$D:$D,'Attrition Modeling'!$B:$B,'Traditional Attrition'!$E42,'Attrition Modeling'!$C:$C,'Traditional Attrition'!BO$1),VLOOKUP('Traditional Attrition'!BO$2-'Traditional Attrition'!$F42-1,'Traditional Attrition'!$A$7:$C$161,2,FALSE)*VLOOKUP(BO$1,'Attrition Modeling'!$L$15:$N$27,IF(BO$2-$F42&lt;=24,2,3),FALSE))*(1+Projection!BV$16)*(1+IF(BO174&gt;0,'Attrition Modeling'!$N$9,0))),0))</f>
        <v>3441.0422563541856</v>
      </c>
      <c r="BP42" s="799">
        <f>IF(BP$2=$F42+1,Monthly!BL$21,IF(BP$2&gt;$F42+1,('Traditional Attrition'!BO42+BP174)*(1-IF(BP$2-$F42&lt;=12,SUMIFS('Attrition Modeling'!$D:$D,'Attrition Modeling'!$B:$B,'Traditional Attrition'!$E42,'Attrition Modeling'!$C:$C,'Traditional Attrition'!BP$1),VLOOKUP('Traditional Attrition'!BP$2-'Traditional Attrition'!$F42-1,'Traditional Attrition'!$A$7:$C$161,2,FALSE)*VLOOKUP(BP$1,'Attrition Modeling'!$L$15:$N$27,IF(BP$2-$F42&lt;=24,2,3),FALSE))*(1+Projection!BW$16)*(1+IF(BP174&gt;0,'Attrition Modeling'!$N$9,0))),0))</f>
        <v>3303.3235249920299</v>
      </c>
      <c r="BQ42" s="799">
        <f>IF(BQ$2=$F42+1,Monthly!BM$21,IF(BQ$2&gt;$F42+1,('Traditional Attrition'!BP42+BQ174)*(1-IF(BQ$2-$F42&lt;=12,SUMIFS('Attrition Modeling'!$D:$D,'Attrition Modeling'!$B:$B,'Traditional Attrition'!$E42,'Attrition Modeling'!$C:$C,'Traditional Attrition'!BQ$1),VLOOKUP('Traditional Attrition'!BQ$2-'Traditional Attrition'!$F42-1,'Traditional Attrition'!$A$7:$C$161,2,FALSE)*VLOOKUP(BQ$1,'Attrition Modeling'!$L$15:$N$27,IF(BQ$2-$F42&lt;=24,2,3),FALSE))*(1+Projection!BX$16)*(1+IF(BQ174&gt;0,'Attrition Modeling'!$N$9,0))),0))</f>
        <v>3185.7628430797204</v>
      </c>
      <c r="BR42" s="799">
        <f>IF(BR$2=$F42+1,Monthly!BN$21,IF(BR$2&gt;$F42+1,('Traditional Attrition'!BQ42+BR174)*(1-IF(BR$2-$F42&lt;=12,SUMIFS('Attrition Modeling'!$D:$D,'Attrition Modeling'!$B:$B,'Traditional Attrition'!$E42,'Attrition Modeling'!$C:$C,'Traditional Attrition'!BR$1),VLOOKUP('Traditional Attrition'!BR$2-'Traditional Attrition'!$F42-1,'Traditional Attrition'!$A$7:$C$161,2,FALSE)*VLOOKUP(BR$1,'Attrition Modeling'!$L$15:$N$27,IF(BR$2-$F42&lt;=24,2,3),FALSE))*(1+Projection!BY$16)*(1+IF(BR174&gt;0,'Attrition Modeling'!$N$9,0))),0))</f>
        <v>3063.9782585736366</v>
      </c>
      <c r="BS42" s="799">
        <f>IF(BS$2=$F42+1,Monthly!BO$21,IF(BS$2&gt;$F42+1,('Traditional Attrition'!BR42+BS174)*(1-IF(BS$2-$F42&lt;=12,SUMIFS('Attrition Modeling'!$D:$D,'Attrition Modeling'!$B:$B,'Traditional Attrition'!$E42,'Attrition Modeling'!$C:$C,'Traditional Attrition'!BS$1),VLOOKUP('Traditional Attrition'!BS$2-'Traditional Attrition'!$F42-1,'Traditional Attrition'!$A$7:$C$161,2,FALSE)*VLOOKUP(BS$1,'Attrition Modeling'!$L$15:$N$27,IF(BS$2-$F42&lt;=24,2,3),FALSE))*(1+Projection!BZ$16)*(1+IF(BS174&gt;0,'Attrition Modeling'!$N$9,0))),0))</f>
        <v>2982.0551813279599</v>
      </c>
      <c r="BT42" s="799">
        <f>IF(BT$2=$F42+1,Monthly!#REF!,IF(BT$2&gt;$F42+1,('Traditional Attrition'!BS42+BT174)*(1-IF(BT$2-$F42&lt;=12,SUMIFS('Attrition Modeling'!$D:$D,'Attrition Modeling'!$B:$B,'Traditional Attrition'!$E42,'Attrition Modeling'!$C:$C,'Traditional Attrition'!BT$1),VLOOKUP('Traditional Attrition'!BT$2-'Traditional Attrition'!$F42-1,'Traditional Attrition'!$A$7:$C$161,2,FALSE)*VLOOKUP(BT$1,'Attrition Modeling'!$L$15:$N$27,IF(BT$2-$F42&lt;=24,2,3),FALSE))*(1+Projection!CA$16)*(1+IF(BT174&gt;0,'Attrition Modeling'!$N$9,0))),0))</f>
        <v>2887.1375925435159</v>
      </c>
      <c r="BU42" s="799">
        <f>IF(BU$2=$F42+1,Monthly!#REF!,IF(BU$2&gt;$F42+1,('Traditional Attrition'!BT42+BU174)*(1-IF(BU$2-$F42&lt;=12,SUMIFS('Attrition Modeling'!$D:$D,'Attrition Modeling'!$B:$B,'Traditional Attrition'!$E42,'Attrition Modeling'!$C:$C,'Traditional Attrition'!BU$1),VLOOKUP('Traditional Attrition'!BU$2-'Traditional Attrition'!$F42-1,'Traditional Attrition'!$A$7:$C$161,2,FALSE)*VLOOKUP(BU$1,'Attrition Modeling'!$L$15:$N$27,IF(BU$2-$F42&lt;=24,2,3),FALSE))*(1+Projection!CB$16)*(1+IF(BU174&gt;0,'Attrition Modeling'!$N$9,0))),0))</f>
        <v>2783.6768285622379</v>
      </c>
    </row>
    <row r="43" spans="1:73" ht="14.25" customHeight="1" x14ac:dyDescent="0.2">
      <c r="A43" s="9">
        <v>36</v>
      </c>
      <c r="B43" s="25">
        <f>MAX('Attrition Modeling'!H40,$C$3)*(1-Summary!$C$20)</f>
        <v>3.0177245030469362E-2</v>
      </c>
      <c r="C43" s="24" t="e">
        <f t="shared" si="4"/>
        <v>#DIV/0!</v>
      </c>
      <c r="E43" s="11">
        <f t="shared" si="2"/>
        <v>4</v>
      </c>
      <c r="F43" s="11">
        <f t="shared" si="3"/>
        <v>40</v>
      </c>
      <c r="G43" s="799"/>
      <c r="H43" s="799">
        <f>IF(H$2=$F43+1,Monthly!D$21,IF(H$2&gt;$F43+1,('Traditional Attrition'!G43+H175)*(1-IF(H$2-$F43&lt;=12,SUMIFS('Attrition Modeling'!$D:$D,'Attrition Modeling'!$B:$B,'Traditional Attrition'!$E43,'Attrition Modeling'!$C:$C,'Traditional Attrition'!H$1),VLOOKUP('Traditional Attrition'!H$2-'Traditional Attrition'!$F43-1,'Traditional Attrition'!$A$7:$C$161,2,FALSE)*VLOOKUP(H$1,'Attrition Modeling'!$L$15:$N$27,IF(H$2-$F43&lt;=24,2,3),FALSE))*(1+Projection!J$16)*(1+IF(H175&gt;0,'Attrition Modeling'!$N$9,0))),0))</f>
        <v>0</v>
      </c>
      <c r="I43" s="799">
        <f>IF(I$2=$F43+1,Monthly!E$21,IF(I$2&gt;$F43+1,('Traditional Attrition'!H43+I175)*(1-IF(I$2-$F43&lt;=12,SUMIFS('Attrition Modeling'!$D:$D,'Attrition Modeling'!$B:$B,'Traditional Attrition'!$E43,'Attrition Modeling'!$C:$C,'Traditional Attrition'!I$1),VLOOKUP('Traditional Attrition'!I$2-'Traditional Attrition'!$F43-1,'Traditional Attrition'!$A$7:$C$161,2,FALSE)*VLOOKUP(I$1,'Attrition Modeling'!$L$15:$N$27,IF(I$2-$F43&lt;=24,2,3),FALSE))*(1+Projection!K$16)*(1+IF(I175&gt;0,'Attrition Modeling'!$N$9,0))),0))</f>
        <v>0</v>
      </c>
      <c r="J43" s="799">
        <f>IF(J$2=$F43+1,Monthly!F$21,IF(J$2&gt;$F43+1,('Traditional Attrition'!I43+J175)*(1-IF(J$2-$F43&lt;=12,SUMIFS('Attrition Modeling'!$D:$D,'Attrition Modeling'!$B:$B,'Traditional Attrition'!$E43,'Attrition Modeling'!$C:$C,'Traditional Attrition'!J$1),VLOOKUP('Traditional Attrition'!J$2-'Traditional Attrition'!$F43-1,'Traditional Attrition'!$A$7:$C$161,2,FALSE)*VLOOKUP(J$1,'Attrition Modeling'!$L$15:$N$27,IF(J$2-$F43&lt;=24,2,3),FALSE))*(1+Projection!L$16)*(1+IF(J175&gt;0,'Attrition Modeling'!$N$9,0))),0))</f>
        <v>0</v>
      </c>
      <c r="K43" s="799">
        <f>IF(K$2=$F43+1,Monthly!G$21,IF(K$2&gt;$F43+1,('Traditional Attrition'!J43+K175)*(1-IF(K$2-$F43&lt;=12,SUMIFS('Attrition Modeling'!$D:$D,'Attrition Modeling'!$B:$B,'Traditional Attrition'!$E43,'Attrition Modeling'!$C:$C,'Traditional Attrition'!K$1),VLOOKUP('Traditional Attrition'!K$2-'Traditional Attrition'!$F43-1,'Traditional Attrition'!$A$7:$C$161,2,FALSE)*VLOOKUP(K$1,'Attrition Modeling'!$L$15:$N$27,IF(K$2-$F43&lt;=24,2,3),FALSE))*(1+Projection!M$16)*(1+IF(K175&gt;0,'Attrition Modeling'!$N$9,0))),0))</f>
        <v>0</v>
      </c>
      <c r="L43" s="799">
        <f>IF(L$2=$F43+1,Monthly!H$21,IF(L$2&gt;$F43+1,('Traditional Attrition'!K43+L175)*(1-IF(L$2-$F43&lt;=12,SUMIFS('Attrition Modeling'!$D:$D,'Attrition Modeling'!$B:$B,'Traditional Attrition'!$E43,'Attrition Modeling'!$C:$C,'Traditional Attrition'!L$1),VLOOKUP('Traditional Attrition'!L$2-'Traditional Attrition'!$F43-1,'Traditional Attrition'!$A$7:$C$161,2,FALSE)*VLOOKUP(L$1,'Attrition Modeling'!$L$15:$N$27,IF(L$2-$F43&lt;=24,2,3),FALSE))*(1+Projection!N$16)*(1+IF(L175&gt;0,'Attrition Modeling'!$N$9,0))),0))</f>
        <v>0</v>
      </c>
      <c r="M43" s="799">
        <f>IF(M$2=$F43+1,Monthly!I$21,IF(M$2&gt;$F43+1,('Traditional Attrition'!L43+M175)*(1-IF(M$2-$F43&lt;=12,SUMIFS('Attrition Modeling'!$D:$D,'Attrition Modeling'!$B:$B,'Traditional Attrition'!$E43,'Attrition Modeling'!$C:$C,'Traditional Attrition'!M$1),VLOOKUP('Traditional Attrition'!M$2-'Traditional Attrition'!$F43-1,'Traditional Attrition'!$A$7:$C$161,2,FALSE)*VLOOKUP(M$1,'Attrition Modeling'!$L$15:$N$27,IF(M$2-$F43&lt;=24,2,3),FALSE))*(1+Projection!O$16)*(1+IF(M175&gt;0,'Attrition Modeling'!$N$9,0))),0))</f>
        <v>0</v>
      </c>
      <c r="N43" s="799">
        <f>IF(N$2=$F43+1,Monthly!J$21,IF(N$2&gt;$F43+1,('Traditional Attrition'!M43+N175)*(1-IF(N$2-$F43&lt;=12,SUMIFS('Attrition Modeling'!$D:$D,'Attrition Modeling'!$B:$B,'Traditional Attrition'!$E43,'Attrition Modeling'!$C:$C,'Traditional Attrition'!N$1),VLOOKUP('Traditional Attrition'!N$2-'Traditional Attrition'!$F43-1,'Traditional Attrition'!$A$7:$C$161,2,FALSE)*VLOOKUP(N$1,'Attrition Modeling'!$L$15:$N$27,IF(N$2-$F43&lt;=24,2,3),FALSE))*(1+Projection!P$16)*(1+IF(N175&gt;0,'Attrition Modeling'!$N$9,0))),0))</f>
        <v>0</v>
      </c>
      <c r="O43" s="799">
        <f>IF(O$2=$F43+1,Monthly!K$21,IF(O$2&gt;$F43+1,('Traditional Attrition'!N43+O175)*(1-IF(O$2-$F43&lt;=12,SUMIFS('Attrition Modeling'!$D:$D,'Attrition Modeling'!$B:$B,'Traditional Attrition'!$E43,'Attrition Modeling'!$C:$C,'Traditional Attrition'!O$1),VLOOKUP('Traditional Attrition'!O$2-'Traditional Attrition'!$F43-1,'Traditional Attrition'!$A$7:$C$161,2,FALSE)*VLOOKUP(O$1,'Attrition Modeling'!$L$15:$N$27,IF(O$2-$F43&lt;=24,2,3),FALSE))*(1+Projection!Q$16)*(1+IF(O175&gt;0,'Attrition Modeling'!$N$9,0))),0))</f>
        <v>0</v>
      </c>
      <c r="P43" s="799">
        <f>IF(P$2=$F43+1,Monthly!L$21,IF(P$2&gt;$F43+1,('Traditional Attrition'!O43+P175)*(1-IF(P$2-$F43&lt;=12,SUMIFS('Attrition Modeling'!$D:$D,'Attrition Modeling'!$B:$B,'Traditional Attrition'!$E43,'Attrition Modeling'!$C:$C,'Traditional Attrition'!P$1),VLOOKUP('Traditional Attrition'!P$2-'Traditional Attrition'!$F43-1,'Traditional Attrition'!$A$7:$C$161,2,FALSE)*VLOOKUP(P$1,'Attrition Modeling'!$L$15:$N$27,IF(P$2-$F43&lt;=24,2,3),FALSE))*(1+Projection!R$16)*(1+IF(P175&gt;0,'Attrition Modeling'!$N$9,0))),0))</f>
        <v>0</v>
      </c>
      <c r="Q43" s="799">
        <f>IF(Q$2=$F43+1,Monthly!M$21,IF(Q$2&gt;$F43+1,('Traditional Attrition'!P43+Q175)*(1-IF(Q$2-$F43&lt;=12,SUMIFS('Attrition Modeling'!$D:$D,'Attrition Modeling'!$B:$B,'Traditional Attrition'!$E43,'Attrition Modeling'!$C:$C,'Traditional Attrition'!Q$1),VLOOKUP('Traditional Attrition'!Q$2-'Traditional Attrition'!$F43-1,'Traditional Attrition'!$A$7:$C$161,2,FALSE)*VLOOKUP(Q$1,'Attrition Modeling'!$L$15:$N$27,IF(Q$2-$F43&lt;=24,2,3),FALSE))*(1+Projection!S$16)*(1+IF(Q175&gt;0,'Attrition Modeling'!$N$9,0))),0))</f>
        <v>0</v>
      </c>
      <c r="R43" s="799">
        <f>IF(R$2=$F43+1,Monthly!N$21,IF(R$2&gt;$F43+1,('Traditional Attrition'!Q43+R175)*(1-IF(R$2-$F43&lt;=12,SUMIFS('Attrition Modeling'!$D:$D,'Attrition Modeling'!$B:$B,'Traditional Attrition'!$E43,'Attrition Modeling'!$C:$C,'Traditional Attrition'!R$1),VLOOKUP('Traditional Attrition'!R$2-'Traditional Attrition'!$F43-1,'Traditional Attrition'!$A$7:$C$161,2,FALSE)*VLOOKUP(R$1,'Attrition Modeling'!$L$15:$N$27,IF(R$2-$F43&lt;=24,2,3),FALSE))*(1+Projection!T$16)*(1+IF(R175&gt;0,'Attrition Modeling'!$N$9,0))),0))</f>
        <v>0</v>
      </c>
      <c r="S43" s="799">
        <f>IF(S$2=$F43+1,Monthly!O$21,IF(S$2&gt;$F43+1,('Traditional Attrition'!R43+S175)*(1-IF(S$2-$F43&lt;=12,SUMIFS('Attrition Modeling'!$D:$D,'Attrition Modeling'!$B:$B,'Traditional Attrition'!$E43,'Attrition Modeling'!$C:$C,'Traditional Attrition'!S$1),VLOOKUP('Traditional Attrition'!S$2-'Traditional Attrition'!$F43-1,'Traditional Attrition'!$A$7:$C$161,2,FALSE)*VLOOKUP(S$1,'Attrition Modeling'!$L$15:$N$27,IF(S$2-$F43&lt;=24,2,3),FALSE))*(1+Projection!U$16)*(1+IF(S175&gt;0,'Attrition Modeling'!$N$9,0))),0))</f>
        <v>0</v>
      </c>
      <c r="T43" s="799">
        <f>IF(T$2=$F43+1,Monthly!P$21,IF(T$2&gt;$F43+1,('Traditional Attrition'!S43+T175)*(1-IF(T$2-$F43&lt;=12,SUMIFS('Attrition Modeling'!$D:$D,'Attrition Modeling'!$B:$B,'Traditional Attrition'!$E43,'Attrition Modeling'!$C:$C,'Traditional Attrition'!T$1),VLOOKUP('Traditional Attrition'!T$2-'Traditional Attrition'!$F43-1,'Traditional Attrition'!$A$7:$C$161,2,FALSE)*VLOOKUP(T$1,'Attrition Modeling'!$L$15:$N$27,IF(T$2-$F43&lt;=24,2,3),FALSE))*(1+Projection!V$16)*(1+IF(T175&gt;0,'Attrition Modeling'!$N$9,0))),0))</f>
        <v>0</v>
      </c>
      <c r="U43" s="799">
        <f>IF(U$2=$F43+1,Monthly!Q$21,IF(U$2&gt;$F43+1,('Traditional Attrition'!T43+U175)*(1-IF(U$2-$F43&lt;=12,SUMIFS('Attrition Modeling'!$D:$D,'Attrition Modeling'!$B:$B,'Traditional Attrition'!$E43,'Attrition Modeling'!$C:$C,'Traditional Attrition'!U$1),VLOOKUP('Traditional Attrition'!U$2-'Traditional Attrition'!$F43-1,'Traditional Attrition'!$A$7:$C$161,2,FALSE)*VLOOKUP(U$1,'Attrition Modeling'!$L$15:$N$27,IF(U$2-$F43&lt;=24,2,3),FALSE))*(1+Projection!W$16)*(1+IF(U175&gt;0,'Attrition Modeling'!$N$9,0))),0))</f>
        <v>0</v>
      </c>
      <c r="V43" s="799">
        <f>IF(V$2=$F43+1,Monthly!R$21,IF(V$2&gt;$F43+1,('Traditional Attrition'!U43+V175)*(1-IF(V$2-$F43&lt;=12,SUMIFS('Attrition Modeling'!$D:$D,'Attrition Modeling'!$B:$B,'Traditional Attrition'!$E43,'Attrition Modeling'!$C:$C,'Traditional Attrition'!V$1),VLOOKUP('Traditional Attrition'!V$2-'Traditional Attrition'!$F43-1,'Traditional Attrition'!$A$7:$C$161,2,FALSE)*VLOOKUP(V$1,'Attrition Modeling'!$L$15:$N$27,IF(V$2-$F43&lt;=24,2,3),FALSE))*(1+Projection!X$16)*(1+IF(V175&gt;0,'Attrition Modeling'!$N$9,0))),0))</f>
        <v>0</v>
      </c>
      <c r="W43" s="799">
        <f>IF(W$2=$F43+1,Monthly!S$21,IF(W$2&gt;$F43+1,('Traditional Attrition'!V43+W175)*(1-IF(W$2-$F43&lt;=12,SUMIFS('Attrition Modeling'!$D:$D,'Attrition Modeling'!$B:$B,'Traditional Attrition'!$E43,'Attrition Modeling'!$C:$C,'Traditional Attrition'!W$1),VLOOKUP('Traditional Attrition'!W$2-'Traditional Attrition'!$F43-1,'Traditional Attrition'!$A$7:$C$161,2,FALSE)*VLOOKUP(W$1,'Attrition Modeling'!$L$15:$N$27,IF(W$2-$F43&lt;=24,2,3),FALSE))*(1+Projection!Y$16)*(1+IF(W175&gt;0,'Attrition Modeling'!$N$9,0))),0))</f>
        <v>0</v>
      </c>
      <c r="X43" s="799">
        <f>IF(X$2=$F43+1,Monthly!T$21,IF(X$2&gt;$F43+1,('Traditional Attrition'!W43+X175)*(1-IF(X$2-$F43&lt;=12,SUMIFS('Attrition Modeling'!$D:$D,'Attrition Modeling'!$B:$B,'Traditional Attrition'!$E43,'Attrition Modeling'!$C:$C,'Traditional Attrition'!X$1),VLOOKUP('Traditional Attrition'!X$2-'Traditional Attrition'!$F43-1,'Traditional Attrition'!$A$7:$C$161,2,FALSE)*VLOOKUP(X$1,'Attrition Modeling'!$L$15:$N$27,IF(X$2-$F43&lt;=24,2,3),FALSE))*(1+Projection!Z$16)*(1+IF(X175&gt;0,'Attrition Modeling'!$N$9,0))),0))</f>
        <v>0</v>
      </c>
      <c r="Y43" s="799">
        <f>IF(Y$2=$F43+1,Monthly!U$21,IF(Y$2&gt;$F43+1,('Traditional Attrition'!X43+Y175)*(1-IF(Y$2-$F43&lt;=12,SUMIFS('Attrition Modeling'!$D:$D,'Attrition Modeling'!$B:$B,'Traditional Attrition'!$E43,'Attrition Modeling'!$C:$C,'Traditional Attrition'!Y$1),VLOOKUP('Traditional Attrition'!Y$2-'Traditional Attrition'!$F43-1,'Traditional Attrition'!$A$7:$C$161,2,FALSE)*VLOOKUP(Y$1,'Attrition Modeling'!$L$15:$N$27,IF(Y$2-$F43&lt;=24,2,3),FALSE))*(1+Projection!AA$16)*(1+IF(Y175&gt;0,'Attrition Modeling'!$N$9,0))),0))</f>
        <v>0</v>
      </c>
      <c r="Z43" s="799">
        <f>IF(Z$2=$F43+1,Monthly!V$21,IF(Z$2&gt;$F43+1,('Traditional Attrition'!Y43+Z175)*(1-IF(Z$2-$F43&lt;=12,SUMIFS('Attrition Modeling'!$D:$D,'Attrition Modeling'!$B:$B,'Traditional Attrition'!$E43,'Attrition Modeling'!$C:$C,'Traditional Attrition'!Z$1),VLOOKUP('Traditional Attrition'!Z$2-'Traditional Attrition'!$F43-1,'Traditional Attrition'!$A$7:$C$161,2,FALSE)*VLOOKUP(Z$1,'Attrition Modeling'!$L$15:$N$27,IF(Z$2-$F43&lt;=24,2,3),FALSE))*(1+Projection!AB$16)*(1+IF(Z175&gt;0,'Attrition Modeling'!$N$9,0))),0))</f>
        <v>0</v>
      </c>
      <c r="AA43" s="799">
        <f>IF(AA$2=$F43+1,Monthly!W$21,IF(AA$2&gt;$F43+1,('Traditional Attrition'!Z43+AA175)*(1-IF(AA$2-$F43&lt;=12,SUMIFS('Attrition Modeling'!$D:$D,'Attrition Modeling'!$B:$B,'Traditional Attrition'!$E43,'Attrition Modeling'!$C:$C,'Traditional Attrition'!AA$1),VLOOKUP('Traditional Attrition'!AA$2-'Traditional Attrition'!$F43-1,'Traditional Attrition'!$A$7:$C$161,2,FALSE)*VLOOKUP(AA$1,'Attrition Modeling'!$L$15:$N$27,IF(AA$2-$F43&lt;=24,2,3),FALSE))*(1+Projection!AC$16)*(1+IF(AA175&gt;0,'Attrition Modeling'!$N$9,0))),0))</f>
        <v>0</v>
      </c>
      <c r="AB43" s="799">
        <f>IF(AB$2=$F43+1,Monthly!X$21,IF(AB$2&gt;$F43+1,('Traditional Attrition'!AA43+AB175)*(1-IF(AB$2-$F43&lt;=12,SUMIFS('Attrition Modeling'!$D:$D,'Attrition Modeling'!$B:$B,'Traditional Attrition'!$E43,'Attrition Modeling'!$C:$C,'Traditional Attrition'!AB$1),VLOOKUP('Traditional Attrition'!AB$2-'Traditional Attrition'!$F43-1,'Traditional Attrition'!$A$7:$C$161,2,FALSE)*VLOOKUP(AB$1,'Attrition Modeling'!$L$15:$N$27,IF(AB$2-$F43&lt;=24,2,3),FALSE))*(1+Projection!AD$16)*(1+IF(AB175&gt;0,'Attrition Modeling'!$N$9,0))),0))</f>
        <v>0</v>
      </c>
      <c r="AC43" s="799">
        <f>IF(AC$2=$F43+1,Monthly!Y$21,IF(AC$2&gt;$F43+1,('Traditional Attrition'!AB43+AC175)*(1-IF(AC$2-$F43&lt;=12,SUMIFS('Attrition Modeling'!$D:$D,'Attrition Modeling'!$B:$B,'Traditional Attrition'!$E43,'Attrition Modeling'!$C:$C,'Traditional Attrition'!AC$1),VLOOKUP('Traditional Attrition'!AC$2-'Traditional Attrition'!$F43-1,'Traditional Attrition'!$A$7:$C$161,2,FALSE)*VLOOKUP(AC$1,'Attrition Modeling'!$L$15:$N$27,IF(AC$2-$F43&lt;=24,2,3),FALSE))*(1+Projection!AE$16)*(1+IF(AC175&gt;0,'Attrition Modeling'!$N$9,0))),0))</f>
        <v>0</v>
      </c>
      <c r="AD43" s="799">
        <f>IF(AD$2=$F43+1,Monthly!Z$21,IF(AD$2&gt;$F43+1,('Traditional Attrition'!AC43+AD175)*(1-IF(AD$2-$F43&lt;=12,SUMIFS('Attrition Modeling'!$D:$D,'Attrition Modeling'!$B:$B,'Traditional Attrition'!$E43,'Attrition Modeling'!$C:$C,'Traditional Attrition'!AD$1),VLOOKUP('Traditional Attrition'!AD$2-'Traditional Attrition'!$F43-1,'Traditional Attrition'!$A$7:$C$161,2,FALSE)*VLOOKUP(AD$1,'Attrition Modeling'!$L$15:$N$27,IF(AD$2-$F43&lt;=24,2,3),FALSE))*(1+Projection!AF$16)*(1+IF(AD175&gt;0,'Attrition Modeling'!$N$9,0))),0))</f>
        <v>0</v>
      </c>
      <c r="AE43" s="799">
        <f>IF(AE$2=$F43+1,Monthly!AA$21,IF(AE$2&gt;$F43+1,('Traditional Attrition'!AD43+AE175)*(1-IF(AE$2-$F43&lt;=12,SUMIFS('Attrition Modeling'!$D:$D,'Attrition Modeling'!$B:$B,'Traditional Attrition'!$E43,'Attrition Modeling'!$C:$C,'Traditional Attrition'!AE$1),VLOOKUP('Traditional Attrition'!AE$2-'Traditional Attrition'!$F43-1,'Traditional Attrition'!$A$7:$C$161,2,FALSE)*VLOOKUP(AE$1,'Attrition Modeling'!$L$15:$N$27,IF(AE$2-$F43&lt;=24,2,3),FALSE))*(1+Projection!AG$16)*(1+IF(AE175&gt;0,'Attrition Modeling'!$N$9,0))),0))</f>
        <v>0</v>
      </c>
      <c r="AF43" s="799">
        <f>IF(AF$2=$F43+1,Monthly!AB$21,IF(AF$2&gt;$F43+1,('Traditional Attrition'!AE43+AF175)*(1-IF(AF$2-$F43&lt;=12,SUMIFS('Attrition Modeling'!$D:$D,'Attrition Modeling'!$B:$B,'Traditional Attrition'!$E43,'Attrition Modeling'!$C:$C,'Traditional Attrition'!AF$1),VLOOKUP('Traditional Attrition'!AF$2-'Traditional Attrition'!$F43-1,'Traditional Attrition'!$A$7:$C$161,2,FALSE)*VLOOKUP(AF$1,'Attrition Modeling'!$L$15:$N$27,IF(AF$2-$F43&lt;=24,2,3),FALSE))*(1+Projection!AH$16)*(1+IF(AF175&gt;0,'Attrition Modeling'!$N$9,0))),0))</f>
        <v>0</v>
      </c>
      <c r="AG43" s="799">
        <f>IF(AG$2=$F43+1,Monthly!AC$21,IF(AG$2&gt;$F43+1,('Traditional Attrition'!AF43+AG175)*(1-IF(AG$2-$F43&lt;=12,SUMIFS('Attrition Modeling'!$D:$D,'Attrition Modeling'!$B:$B,'Traditional Attrition'!$E43,'Attrition Modeling'!$C:$C,'Traditional Attrition'!AG$1),VLOOKUP('Traditional Attrition'!AG$2-'Traditional Attrition'!$F43-1,'Traditional Attrition'!$A$7:$C$161,2,FALSE)*VLOOKUP(AG$1,'Attrition Modeling'!$L$15:$N$27,IF(AG$2-$F43&lt;=24,2,3),FALSE))*(1+Projection!AI$16)*(1+IF(AG175&gt;0,'Attrition Modeling'!$N$9,0))),0))</f>
        <v>0</v>
      </c>
      <c r="AH43" s="799">
        <f>IF(AH$2=$F43+1,Monthly!AD$21,IF(AH$2&gt;$F43+1,('Traditional Attrition'!AG43+AH175)*(1-IF(AH$2-$F43&lt;=12,SUMIFS('Attrition Modeling'!$D:$D,'Attrition Modeling'!$B:$B,'Traditional Attrition'!$E43,'Attrition Modeling'!$C:$C,'Traditional Attrition'!AH$1),VLOOKUP('Traditional Attrition'!AH$2-'Traditional Attrition'!$F43-1,'Traditional Attrition'!$A$7:$C$161,2,FALSE)*VLOOKUP(AH$1,'Attrition Modeling'!$L$15:$N$27,IF(AH$2-$F43&lt;=24,2,3),FALSE))*(1+Projection!AJ$16)*(1+IF(AH175&gt;0,'Attrition Modeling'!$N$9,0))),0))</f>
        <v>0</v>
      </c>
      <c r="AI43" s="799">
        <f>IF(AI$2=$F43+1,Monthly!AE$21,IF(AI$2&gt;$F43+1,('Traditional Attrition'!AH43+AI175)*(1-IF(AI$2-$F43&lt;=12,SUMIFS('Attrition Modeling'!$D:$D,'Attrition Modeling'!$B:$B,'Traditional Attrition'!$E43,'Attrition Modeling'!$C:$C,'Traditional Attrition'!AI$1),VLOOKUP('Traditional Attrition'!AI$2-'Traditional Attrition'!$F43-1,'Traditional Attrition'!$A$7:$C$161,2,FALSE)*VLOOKUP(AI$1,'Attrition Modeling'!$L$15:$N$27,IF(AI$2-$F43&lt;=24,2,3),FALSE))*(1+Projection!AK$16)*(1+IF(AI175&gt;0,'Attrition Modeling'!$N$9,0))),0))</f>
        <v>0</v>
      </c>
      <c r="AJ43" s="799">
        <f>IF(AJ$2=$F43+1,Monthly!AF$21,IF(AJ$2&gt;$F43+1,('Traditional Attrition'!AI43+AJ175)*(1-IF(AJ$2-$F43&lt;=12,SUMIFS('Attrition Modeling'!$D:$D,'Attrition Modeling'!$B:$B,'Traditional Attrition'!$E43,'Attrition Modeling'!$C:$C,'Traditional Attrition'!AJ$1),VLOOKUP('Traditional Attrition'!AJ$2-'Traditional Attrition'!$F43-1,'Traditional Attrition'!$A$7:$C$161,2,FALSE)*VLOOKUP(AJ$1,'Attrition Modeling'!$L$15:$N$27,IF(AJ$2-$F43&lt;=24,2,3),FALSE))*(1+Projection!AL$16)*(1+IF(AJ175&gt;0,'Attrition Modeling'!$N$9,0))),0))</f>
        <v>0</v>
      </c>
      <c r="AK43" s="799">
        <f>IF(AK$2=$F43+1,Monthly!AG$21,IF(AK$2&gt;$F43+1,('Traditional Attrition'!AJ43+AK175)*(1-IF(AK$2-$F43&lt;=12,SUMIFS('Attrition Modeling'!$D:$D,'Attrition Modeling'!$B:$B,'Traditional Attrition'!$E43,'Attrition Modeling'!$C:$C,'Traditional Attrition'!AK$1),VLOOKUP('Traditional Attrition'!AK$2-'Traditional Attrition'!$F43-1,'Traditional Attrition'!$A$7:$C$161,2,FALSE)*VLOOKUP(AK$1,'Attrition Modeling'!$L$15:$N$27,IF(AK$2-$F43&lt;=24,2,3),FALSE))*(1+Projection!AM$16)*(1+IF(AK175&gt;0,'Attrition Modeling'!$N$9,0))),0))</f>
        <v>0</v>
      </c>
      <c r="AL43" s="799">
        <f>IF(AL$2=$F43+1,Monthly!AH$21,IF(AL$2&gt;$F43+1,('Traditional Attrition'!AK43+AL175)*(1-IF(AL$2-$F43&lt;=12,SUMIFS('Attrition Modeling'!$D:$D,'Attrition Modeling'!$B:$B,'Traditional Attrition'!$E43,'Attrition Modeling'!$C:$C,'Traditional Attrition'!AL$1),VLOOKUP('Traditional Attrition'!AL$2-'Traditional Attrition'!$F43-1,'Traditional Attrition'!$A$7:$C$161,2,FALSE)*VLOOKUP(AL$1,'Attrition Modeling'!$L$15:$N$27,IF(AL$2-$F43&lt;=24,2,3),FALSE))*(1+Projection!AN$16)*(1+IF(AL175&gt;0,'Attrition Modeling'!$N$9,0))),0))</f>
        <v>0</v>
      </c>
      <c r="AM43" s="799">
        <f>IF(AM$2=$F43+1,Monthly!AI$21,IF(AM$2&gt;$F43+1,('Traditional Attrition'!AL43+AM175)*(1-IF(AM$2-$F43&lt;=12,SUMIFS('Attrition Modeling'!$D:$D,'Attrition Modeling'!$B:$B,'Traditional Attrition'!$E43,'Attrition Modeling'!$C:$C,'Traditional Attrition'!AM$1),VLOOKUP('Traditional Attrition'!AM$2-'Traditional Attrition'!$F43-1,'Traditional Attrition'!$A$7:$C$161,2,FALSE)*VLOOKUP(AM$1,'Attrition Modeling'!$L$15:$N$27,IF(AM$2-$F43&lt;=24,2,3),FALSE))*(1+Projection!AO$16)*(1+IF(AM175&gt;0,'Attrition Modeling'!$N$9,0))),0))</f>
        <v>0</v>
      </c>
      <c r="AN43" s="799">
        <f>IF(AN$2=$F43+1,Monthly!AJ$21,IF(AN$2&gt;$F43+1,('Traditional Attrition'!AM43+AN175)*(1-IF(AN$2-$F43&lt;=12,SUMIFS('Attrition Modeling'!$D:$D,'Attrition Modeling'!$B:$B,'Traditional Attrition'!$E43,'Attrition Modeling'!$C:$C,'Traditional Attrition'!AN$1),VLOOKUP('Traditional Attrition'!AN$2-'Traditional Attrition'!$F43-1,'Traditional Attrition'!$A$7:$C$161,2,FALSE)*VLOOKUP(AN$1,'Attrition Modeling'!$L$15:$N$27,IF(AN$2-$F43&lt;=24,2,3),FALSE))*(1+Projection!AP$16)*(1+IF(AN175&gt;0,'Attrition Modeling'!$N$9,0))),0))</f>
        <v>0</v>
      </c>
      <c r="AO43" s="799">
        <f>IF(AO$2=$F43+1,Monthly!AK$21,IF(AO$2&gt;$F43+1,('Traditional Attrition'!AN43+AO175)*(1-IF(AO$2-$F43&lt;=12,SUMIFS('Attrition Modeling'!$D:$D,'Attrition Modeling'!$B:$B,'Traditional Attrition'!$E43,'Attrition Modeling'!$C:$C,'Traditional Attrition'!AO$1),VLOOKUP('Traditional Attrition'!AO$2-'Traditional Attrition'!$F43-1,'Traditional Attrition'!$A$7:$C$161,2,FALSE)*VLOOKUP(AO$1,'Attrition Modeling'!$L$15:$N$27,IF(AO$2-$F43&lt;=24,2,3),FALSE))*(1+Projection!AQ$16)*(1+IF(AO175&gt;0,'Attrition Modeling'!$N$9,0))),0))</f>
        <v>0</v>
      </c>
      <c r="AP43" s="799">
        <f>IF(AP$2=$F43+1,Monthly!AL$21,IF(AP$2&gt;$F43+1,('Traditional Attrition'!AO43+AP175)*(1-IF(AP$2-$F43&lt;=12,SUMIFS('Attrition Modeling'!$D:$D,'Attrition Modeling'!$B:$B,'Traditional Attrition'!$E43,'Attrition Modeling'!$C:$C,'Traditional Attrition'!AP$1),VLOOKUP('Traditional Attrition'!AP$2-'Traditional Attrition'!$F43-1,'Traditional Attrition'!$A$7:$C$161,2,FALSE)*VLOOKUP(AP$1,'Attrition Modeling'!$L$15:$N$27,IF(AP$2-$F43&lt;=24,2,3),FALSE))*(1+Projection!AR$16)*(1+IF(AP175&gt;0,'Attrition Modeling'!$N$9,0))),0))</f>
        <v>0</v>
      </c>
      <c r="AQ43" s="799">
        <f>IF(AQ$2=$F43+1,Monthly!AM$21,IF(AQ$2&gt;$F43+1,('Traditional Attrition'!AP43+AQ175)*(1-IF(AQ$2-$F43&lt;=12,SUMIFS('Attrition Modeling'!$D:$D,'Attrition Modeling'!$B:$B,'Traditional Attrition'!$E43,'Attrition Modeling'!$C:$C,'Traditional Attrition'!AQ$1),VLOOKUP('Traditional Attrition'!AQ$2-'Traditional Attrition'!$F43-1,'Traditional Attrition'!$A$7:$C$161,2,FALSE)*VLOOKUP(AQ$1,'Attrition Modeling'!$L$15:$N$27,IF(AQ$2-$F43&lt;=24,2,3),FALSE))*(1+Projection!AS$16)*(1+IF(AQ175&gt;0,'Attrition Modeling'!$N$9,0))),0))</f>
        <v>0</v>
      </c>
      <c r="AR43" s="799">
        <f>IF(AR$2=$F43+1,Monthly!AN$21,IF(AR$2&gt;$F43+1,('Traditional Attrition'!AQ43+AR175)*(1-IF(AR$2-$F43&lt;=12,SUMIFS('Attrition Modeling'!$D:$D,'Attrition Modeling'!$B:$B,'Traditional Attrition'!$E43,'Attrition Modeling'!$C:$C,'Traditional Attrition'!AR$1),VLOOKUP('Traditional Attrition'!AR$2-'Traditional Attrition'!$F43-1,'Traditional Attrition'!$A$7:$C$161,2,FALSE)*VLOOKUP(AR$1,'Attrition Modeling'!$L$15:$N$27,IF(AR$2-$F43&lt;=24,2,3),FALSE))*(1+Projection!AT$16)*(1+IF(AR175&gt;0,'Attrition Modeling'!$N$9,0))),0))</f>
        <v>0</v>
      </c>
      <c r="AS43" s="799">
        <f>IF(AS$2=$F43+1,Monthly!AO$21,IF(AS$2&gt;$F43+1,('Traditional Attrition'!AR43+AS175)*(1-IF(AS$2-$F43&lt;=12,SUMIFS('Attrition Modeling'!$D:$D,'Attrition Modeling'!$B:$B,'Traditional Attrition'!$E43,'Attrition Modeling'!$C:$C,'Traditional Attrition'!AS$1),VLOOKUP('Traditional Attrition'!AS$2-'Traditional Attrition'!$F43-1,'Traditional Attrition'!$A$7:$C$161,2,FALSE)*VLOOKUP(AS$1,'Attrition Modeling'!$L$15:$N$27,IF(AS$2-$F43&lt;=24,2,3),FALSE))*(1+Projection!AU$16)*(1+IF(AS175&gt;0,'Attrition Modeling'!$N$9,0))),0))</f>
        <v>0</v>
      </c>
      <c r="AT43" s="799">
        <f>IF(AT$2=$F43+1,Monthly!AP$21,IF(AT$2&gt;$F43+1,('Traditional Attrition'!AS43+AT175)*(1-IF(AT$2-$F43&lt;=12,SUMIFS('Attrition Modeling'!$D:$D,'Attrition Modeling'!$B:$B,'Traditional Attrition'!$E43,'Attrition Modeling'!$C:$C,'Traditional Attrition'!AT$1),VLOOKUP('Traditional Attrition'!AT$2-'Traditional Attrition'!$F43-1,'Traditional Attrition'!$A$7:$C$161,2,FALSE)*VLOOKUP(AT$1,'Attrition Modeling'!$L$15:$N$27,IF(AT$2-$F43&lt;=24,2,3),FALSE))*(1+Projection!AV$16)*(1+IF(AT175&gt;0,'Attrition Modeling'!$N$9,0))),0))</f>
        <v>0</v>
      </c>
      <c r="AU43" s="799">
        <f>IF(AU$2=$F43+1,Monthly!AQ$21,IF(AU$2&gt;$F43+1,('Traditional Attrition'!AT43+AU175)*(1-IF(AU$2-$F43&lt;=12,SUMIFS('Attrition Modeling'!$D:$D,'Attrition Modeling'!$B:$B,'Traditional Attrition'!$E43,'Attrition Modeling'!$C:$C,'Traditional Attrition'!AU$1),VLOOKUP('Traditional Attrition'!AU$2-'Traditional Attrition'!$F43-1,'Traditional Attrition'!$A$7:$C$161,2,FALSE)*VLOOKUP(AU$1,'Attrition Modeling'!$L$15:$N$27,IF(AU$2-$F43&lt;=24,2,3),FALSE))*(1+Projection!AW$16)*(1+IF(AU175&gt;0,'Attrition Modeling'!$N$9,0))),0))</f>
        <v>0</v>
      </c>
      <c r="AV43" s="799">
        <f>IF(AV$2=$F43+1,Monthly!AR$21,IF(AV$2&gt;$F43+1,('Traditional Attrition'!AU43+AV175)*(1-IF(AV$2-$F43&lt;=12,SUMIFS('Attrition Modeling'!$D:$D,'Attrition Modeling'!$B:$B,'Traditional Attrition'!$E43,'Attrition Modeling'!$C:$C,'Traditional Attrition'!AV$1),VLOOKUP('Traditional Attrition'!AV$2-'Traditional Attrition'!$F43-1,'Traditional Attrition'!$A$7:$C$161,2,FALSE)*VLOOKUP(AV$1,'Attrition Modeling'!$L$15:$N$27,IF(AV$2-$F43&lt;=24,2,3),FALSE))*(1+Projection!AX$16)*(1+IF(AV175&gt;0,'Attrition Modeling'!$N$9,0))),0))</f>
        <v>12401.771834978908</v>
      </c>
      <c r="AW43" s="799">
        <f>IF(AW$2=$F43+1,Monthly!AS$21,IF(AW$2&gt;$F43+1,('Traditional Attrition'!AV43+AW175)*(1-IF(AW$2-$F43&lt;=12,SUMIFS('Attrition Modeling'!$D:$D,'Attrition Modeling'!$B:$B,'Traditional Attrition'!$E43,'Attrition Modeling'!$C:$C,'Traditional Attrition'!AW$1),VLOOKUP('Traditional Attrition'!AW$2-'Traditional Attrition'!$F43-1,'Traditional Attrition'!$A$7:$C$161,2,FALSE)*VLOOKUP(AW$1,'Attrition Modeling'!$L$15:$N$27,IF(AW$2-$F43&lt;=24,2,3),FALSE))*(1+Projection!AY$16)*(1+IF(AW175&gt;0,'Attrition Modeling'!$N$9,0))),0))</f>
        <v>11172.360257557808</v>
      </c>
      <c r="AX43" s="799">
        <f>IF(AX$2=$F43+1,Monthly!AT$21,IF(AX$2&gt;$F43+1,('Traditional Attrition'!AW43+AX175)*(1-IF(AX$2-$F43&lt;=12,SUMIFS('Attrition Modeling'!$D:$D,'Attrition Modeling'!$B:$B,'Traditional Attrition'!$E43,'Attrition Modeling'!$C:$C,'Traditional Attrition'!AX$1),VLOOKUP('Traditional Attrition'!AX$2-'Traditional Attrition'!$F43-1,'Traditional Attrition'!$A$7:$C$161,2,FALSE)*VLOOKUP(AX$1,'Attrition Modeling'!$L$15:$N$27,IF(AX$2-$F43&lt;=24,2,3),FALSE))*(1+Projection!AZ$16)*(1+IF(AX175&gt;0,'Attrition Modeling'!$N$9,0))),0))</f>
        <v>10137.089917660791</v>
      </c>
      <c r="AY43" s="799">
        <f>IF(AY$2=$F43+1,Monthly!AU$21,IF(AY$2&gt;$F43+1,('Traditional Attrition'!AX43+AY175)*(1-IF(AY$2-$F43&lt;=12,SUMIFS('Attrition Modeling'!$D:$D,'Attrition Modeling'!$B:$B,'Traditional Attrition'!$E43,'Attrition Modeling'!$C:$C,'Traditional Attrition'!AY$1),VLOOKUP('Traditional Attrition'!AY$2-'Traditional Attrition'!$F43-1,'Traditional Attrition'!$A$7:$C$161,2,FALSE)*VLOOKUP(AY$1,'Attrition Modeling'!$L$15:$N$27,IF(AY$2-$F43&lt;=24,2,3),FALSE))*(1+Projection!BA$16)*(1+IF(AY175&gt;0,'Attrition Modeling'!$N$9,0))),0))</f>
        <v>9092.9118747291996</v>
      </c>
      <c r="AZ43" s="799">
        <f>IF(AZ$2=$F43+1,Monthly!AV$21,IF(AZ$2&gt;$F43+1,('Traditional Attrition'!AY43+AZ175)*(1-IF(AZ$2-$F43&lt;=12,SUMIFS('Attrition Modeling'!$D:$D,'Attrition Modeling'!$B:$B,'Traditional Attrition'!$E43,'Attrition Modeling'!$C:$C,'Traditional Attrition'!AZ$1),VLOOKUP('Traditional Attrition'!AZ$2-'Traditional Attrition'!$F43-1,'Traditional Attrition'!$A$7:$C$161,2,FALSE)*VLOOKUP(AZ$1,'Attrition Modeling'!$L$15:$N$27,IF(AZ$2-$F43&lt;=24,2,3),FALSE))*(1+Projection!BB$16)*(1+IF(AZ175&gt;0,'Attrition Modeling'!$N$9,0))),0))</f>
        <v>8353.4126306930975</v>
      </c>
      <c r="BA43" s="799">
        <f>IF(BA$2=$F43+1,Monthly!AW$21,IF(BA$2&gt;$F43+1,('Traditional Attrition'!AZ43+BA175)*(1-IF(BA$2-$F43&lt;=12,SUMIFS('Attrition Modeling'!$D:$D,'Attrition Modeling'!$B:$B,'Traditional Attrition'!$E43,'Attrition Modeling'!$C:$C,'Traditional Attrition'!BA$1),VLOOKUP('Traditional Attrition'!BA$2-'Traditional Attrition'!$F43-1,'Traditional Attrition'!$A$7:$C$161,2,FALSE)*VLOOKUP(BA$1,'Attrition Modeling'!$L$15:$N$27,IF(BA$2-$F43&lt;=24,2,3),FALSE))*(1+Projection!BC$16)*(1+IF(BA175&gt;0,'Attrition Modeling'!$N$9,0))),0))</f>
        <v>8240.7678958548204</v>
      </c>
      <c r="BB43" s="799">
        <f>IF(BB$2=$F43+1,Monthly!AX$21,IF(BB$2&gt;$F43+1,('Traditional Attrition'!BA43+BB175)*(1-IF(BB$2-$F43&lt;=12,SUMIFS('Attrition Modeling'!$D:$D,'Attrition Modeling'!$B:$B,'Traditional Attrition'!$E43,'Attrition Modeling'!$C:$C,'Traditional Attrition'!BB$1),VLOOKUP('Traditional Attrition'!BB$2-'Traditional Attrition'!$F43-1,'Traditional Attrition'!$A$7:$C$161,2,FALSE)*VLOOKUP(BB$1,'Attrition Modeling'!$L$15:$N$27,IF(BB$2-$F43&lt;=24,2,3),FALSE))*(1+Projection!BD$16)*(1+IF(BB175&gt;0,'Attrition Modeling'!$N$9,0))),0))</f>
        <v>7594.9891021331641</v>
      </c>
      <c r="BC43" s="799">
        <f>IF(BC$2=$F43+1,Monthly!AY$21,IF(BC$2&gt;$F43+1,('Traditional Attrition'!BB43+BC175)*(1-IF(BC$2-$F43&lt;=12,SUMIFS('Attrition Modeling'!$D:$D,'Attrition Modeling'!$B:$B,'Traditional Attrition'!$E43,'Attrition Modeling'!$C:$C,'Traditional Attrition'!BC$1),VLOOKUP('Traditional Attrition'!BC$2-'Traditional Attrition'!$F43-1,'Traditional Attrition'!$A$7:$C$161,2,FALSE)*VLOOKUP(BC$1,'Attrition Modeling'!$L$15:$N$27,IF(BC$2-$F43&lt;=24,2,3),FALSE))*(1+Projection!BE$16)*(1+IF(BC175&gt;0,'Attrition Modeling'!$N$9,0))),0))</f>
        <v>7086.6071900481184</v>
      </c>
      <c r="BD43" s="799">
        <f>IF(BD$2=$F43+1,Monthly!AZ$21,IF(BD$2&gt;$F43+1,('Traditional Attrition'!BC43+BD175)*(1-IF(BD$2-$F43&lt;=12,SUMIFS('Attrition Modeling'!$D:$D,'Attrition Modeling'!$B:$B,'Traditional Attrition'!$E43,'Attrition Modeling'!$C:$C,'Traditional Attrition'!BD$1),VLOOKUP('Traditional Attrition'!BD$2-'Traditional Attrition'!$F43-1,'Traditional Attrition'!$A$7:$C$161,2,FALSE)*VLOOKUP(BD$1,'Attrition Modeling'!$L$15:$N$27,IF(BD$2-$F43&lt;=24,2,3),FALSE))*(1+Projection!BF$16)*(1+IF(BD175&gt;0,'Attrition Modeling'!$N$9,0))),0))</f>
        <v>6639.6118588661393</v>
      </c>
      <c r="BE43" s="799">
        <f>IF(BE$2=$F43+1,Monthly!BA$21,IF(BE$2&gt;$F43+1,('Traditional Attrition'!BD43+BE175)*(1-IF(BE$2-$F43&lt;=12,SUMIFS('Attrition Modeling'!$D:$D,'Attrition Modeling'!$B:$B,'Traditional Attrition'!$E43,'Attrition Modeling'!$C:$C,'Traditional Attrition'!BE$1),VLOOKUP('Traditional Attrition'!BE$2-'Traditional Attrition'!$F43-1,'Traditional Attrition'!$A$7:$C$161,2,FALSE)*VLOOKUP(BE$1,'Attrition Modeling'!$L$15:$N$27,IF(BE$2-$F43&lt;=24,2,3),FALSE))*(1+Projection!BG$16)*(1+IF(BE175&gt;0,'Attrition Modeling'!$N$9,0))),0))</f>
        <v>6293.5119321165976</v>
      </c>
      <c r="BF43" s="799">
        <f>IF(BF$2=$F43+1,Monthly!BB$21,IF(BF$2&gt;$F43+1,('Traditional Attrition'!BE43+BF175)*(1-IF(BF$2-$F43&lt;=12,SUMIFS('Attrition Modeling'!$D:$D,'Attrition Modeling'!$B:$B,'Traditional Attrition'!$E43,'Attrition Modeling'!$C:$C,'Traditional Attrition'!BF$1),VLOOKUP('Traditional Attrition'!BF$2-'Traditional Attrition'!$F43-1,'Traditional Attrition'!$A$7:$C$161,2,FALSE)*VLOOKUP(BF$1,'Attrition Modeling'!$L$15:$N$27,IF(BF$2-$F43&lt;=24,2,3),FALSE))*(1+Projection!BH$16)*(1+IF(BF175&gt;0,'Attrition Modeling'!$N$9,0))),0))</f>
        <v>5962.6910229352352</v>
      </c>
      <c r="BG43" s="799">
        <f>IF(BG$2=$F43+1,Monthly!BC$21,IF(BG$2&gt;$F43+1,('Traditional Attrition'!BF43+BG175)*(1-IF(BG$2-$F43&lt;=12,SUMIFS('Attrition Modeling'!$D:$D,'Attrition Modeling'!$B:$B,'Traditional Attrition'!$E43,'Attrition Modeling'!$C:$C,'Traditional Attrition'!BG$1),VLOOKUP('Traditional Attrition'!BG$2-'Traditional Attrition'!$F43-1,'Traditional Attrition'!$A$7:$C$161,2,FALSE)*VLOOKUP(BG$1,'Attrition Modeling'!$L$15:$N$27,IF(BG$2-$F43&lt;=24,2,3),FALSE))*(1+Projection!BI$16)*(1+IF(BG175&gt;0,'Attrition Modeling'!$N$9,0))),0))</f>
        <v>5827.327979020597</v>
      </c>
      <c r="BH43" s="799">
        <f>IF(BH$2=$F43+1,Monthly!BD$21,IF(BH$2&gt;$F43+1,('Traditional Attrition'!BG43+BH175)*(1-IF(BH$2-$F43&lt;=12,SUMIFS('Attrition Modeling'!$D:$D,'Attrition Modeling'!$B:$B,'Traditional Attrition'!$E43,'Attrition Modeling'!$C:$C,'Traditional Attrition'!BH$1),VLOOKUP('Traditional Attrition'!BH$2-'Traditional Attrition'!$F43-1,'Traditional Attrition'!$A$7:$C$161,2,FALSE)*VLOOKUP(BH$1,'Attrition Modeling'!$L$15:$N$27,IF(BH$2-$F43&lt;=24,2,3),FALSE))*(1+Projection!BJ$16)*(1+IF(BH175&gt;0,'Attrition Modeling'!$N$9,0))),0))</f>
        <v>5526.5874183860715</v>
      </c>
      <c r="BI43" s="799">
        <f>IF(BI$2=$F43+1,Monthly!BE$21,IF(BI$2&gt;$F43+1,('Traditional Attrition'!BH43+BI175)*(1-IF(BI$2-$F43&lt;=12,SUMIFS('Attrition Modeling'!$D:$D,'Attrition Modeling'!$B:$B,'Traditional Attrition'!$E43,'Attrition Modeling'!$C:$C,'Traditional Attrition'!BI$1),VLOOKUP('Traditional Attrition'!BI$2-'Traditional Attrition'!$F43-1,'Traditional Attrition'!$A$7:$C$161,2,FALSE)*VLOOKUP(BI$1,'Attrition Modeling'!$L$15:$N$27,IF(BI$2-$F43&lt;=24,2,3),FALSE))*(1+Projection!BK$16)*(1+IF(BI175&gt;0,'Attrition Modeling'!$N$9,0))),0))</f>
        <v>5237.6389360105904</v>
      </c>
      <c r="BJ43" s="799">
        <f>IF(BJ$2=$F43+1,Monthly!BF$21,IF(BJ$2&gt;$F43+1,('Traditional Attrition'!BI43+BJ175)*(1-IF(BJ$2-$F43&lt;=12,SUMIFS('Attrition Modeling'!$D:$D,'Attrition Modeling'!$B:$B,'Traditional Attrition'!$E43,'Attrition Modeling'!$C:$C,'Traditional Attrition'!BJ$1),VLOOKUP('Traditional Attrition'!BJ$2-'Traditional Attrition'!$F43-1,'Traditional Attrition'!$A$7:$C$161,2,FALSE)*VLOOKUP(BJ$1,'Attrition Modeling'!$L$15:$N$27,IF(BJ$2-$F43&lt;=24,2,3),FALSE))*(1+Projection!BL$16)*(1+IF(BJ175&gt;0,'Attrition Modeling'!$N$9,0))),0))</f>
        <v>4971.0415458449033</v>
      </c>
      <c r="BK43" s="799">
        <f>IF(BK$2=$F43+1,Monthly!BG$21,IF(BK$2&gt;$F43+1,('Traditional Attrition'!BJ43+BK175)*(1-IF(BK$2-$F43&lt;=12,SUMIFS('Attrition Modeling'!$D:$D,'Attrition Modeling'!$B:$B,'Traditional Attrition'!$E43,'Attrition Modeling'!$C:$C,'Traditional Attrition'!BK$1),VLOOKUP('Traditional Attrition'!BK$2-'Traditional Attrition'!$F43-1,'Traditional Attrition'!$A$7:$C$161,2,FALSE)*VLOOKUP(BK$1,'Attrition Modeling'!$L$15:$N$27,IF(BK$2-$F43&lt;=24,2,3),FALSE))*(1+Projection!BM$16)*(1+IF(BK175&gt;0,'Attrition Modeling'!$N$9,0))),0))</f>
        <v>4716.4750748309534</v>
      </c>
      <c r="BL43" s="799">
        <f>IF(BL$2=$F43+1,Monthly!BH$21,IF(BL$2&gt;$F43+1,('Traditional Attrition'!BK43+BL175)*(1-IF(BL$2-$F43&lt;=12,SUMIFS('Attrition Modeling'!$D:$D,'Attrition Modeling'!$B:$B,'Traditional Attrition'!$E43,'Attrition Modeling'!$C:$C,'Traditional Attrition'!BL$1),VLOOKUP('Traditional Attrition'!BL$2-'Traditional Attrition'!$F43-1,'Traditional Attrition'!$A$7:$C$161,2,FALSE)*VLOOKUP(BL$1,'Attrition Modeling'!$L$15:$N$27,IF(BL$2-$F43&lt;=24,2,3),FALSE))*(1+Projection!BN$16)*(1+IF(BL175&gt;0,'Attrition Modeling'!$N$9,0))),0))</f>
        <v>4502.7081345330025</v>
      </c>
      <c r="BM43" s="799">
        <f>IF(BM$2=$F43+1,Monthly!BI$21,IF(BM$2&gt;$F43+1,('Traditional Attrition'!BL43+BM175)*(1-IF(BM$2-$F43&lt;=12,SUMIFS('Attrition Modeling'!$D:$D,'Attrition Modeling'!$B:$B,'Traditional Attrition'!$E43,'Attrition Modeling'!$C:$C,'Traditional Attrition'!BM$1),VLOOKUP('Traditional Attrition'!BM$2-'Traditional Attrition'!$F43-1,'Traditional Attrition'!$A$7:$C$161,2,FALSE)*VLOOKUP(BM$1,'Attrition Modeling'!$L$15:$N$27,IF(BM$2-$F43&lt;=24,2,3),FALSE))*(1+Projection!BO$16)*(1+IF(BM175&gt;0,'Attrition Modeling'!$N$9,0))),0))</f>
        <v>4667.1530474661422</v>
      </c>
      <c r="BN43" s="799">
        <f>IF(BN$2=$F43+1,Monthly!BJ$21,IF(BN$2&gt;$F43+1,('Traditional Attrition'!BM43+BN175)*(1-IF(BN$2-$F43&lt;=12,SUMIFS('Attrition Modeling'!$D:$D,'Attrition Modeling'!$B:$B,'Traditional Attrition'!$E43,'Attrition Modeling'!$C:$C,'Traditional Attrition'!BN$1),VLOOKUP('Traditional Attrition'!BN$2-'Traditional Attrition'!$F43-1,'Traditional Attrition'!$A$7:$C$161,2,FALSE)*VLOOKUP(BN$1,'Attrition Modeling'!$L$15:$N$27,IF(BN$2-$F43&lt;=24,2,3),FALSE))*(1+Projection!BP$16)*(1+IF(BN175&gt;0,'Attrition Modeling'!$N$9,0))),0))</f>
        <v>4468.4659229790623</v>
      </c>
      <c r="BO43" s="799">
        <f>IF(BO$2=$F43+1,Monthly!BK$21,IF(BO$2&gt;$F43+1,('Traditional Attrition'!BN43+BO175)*(1-IF(BO$2-$F43&lt;=12,SUMIFS('Attrition Modeling'!$D:$D,'Attrition Modeling'!$B:$B,'Traditional Attrition'!$E43,'Attrition Modeling'!$C:$C,'Traditional Attrition'!BO$1),VLOOKUP('Traditional Attrition'!BO$2-'Traditional Attrition'!$F43-1,'Traditional Attrition'!$A$7:$C$161,2,FALSE)*VLOOKUP(BO$1,'Attrition Modeling'!$L$15:$N$27,IF(BO$2-$F43&lt;=24,2,3),FALSE))*(1+Projection!BV$16)*(1+IF(BO175&gt;0,'Attrition Modeling'!$N$9,0))),0))</f>
        <v>4283.8120370644738</v>
      </c>
      <c r="BP43" s="799">
        <f>IF(BP$2=$F43+1,Monthly!BL$21,IF(BP$2&gt;$F43+1,('Traditional Attrition'!BO43+BP175)*(1-IF(BP$2-$F43&lt;=12,SUMIFS('Attrition Modeling'!$D:$D,'Attrition Modeling'!$B:$B,'Traditional Attrition'!$E43,'Attrition Modeling'!$C:$C,'Traditional Attrition'!BP$1),VLOOKUP('Traditional Attrition'!BP$2-'Traditional Attrition'!$F43-1,'Traditional Attrition'!$A$7:$C$161,2,FALSE)*VLOOKUP(BP$1,'Attrition Modeling'!$L$15:$N$27,IF(BP$2-$F43&lt;=24,2,3),FALSE))*(1+Projection!BW$16)*(1+IF(BP175&gt;0,'Attrition Modeling'!$N$9,0))),0))</f>
        <v>4109.6559701177503</v>
      </c>
      <c r="BQ43" s="799">
        <f>IF(BQ$2=$F43+1,Monthly!BM$21,IF(BQ$2&gt;$F43+1,('Traditional Attrition'!BP43+BQ175)*(1-IF(BQ$2-$F43&lt;=12,SUMIFS('Attrition Modeling'!$D:$D,'Attrition Modeling'!$B:$B,'Traditional Attrition'!$E43,'Attrition Modeling'!$C:$C,'Traditional Attrition'!BQ$1),VLOOKUP('Traditional Attrition'!BQ$2-'Traditional Attrition'!$F43-1,'Traditional Attrition'!$A$7:$C$161,2,FALSE)*VLOOKUP(BQ$1,'Attrition Modeling'!$L$15:$N$27,IF(BQ$2-$F43&lt;=24,2,3),FALSE))*(1+Projection!BX$16)*(1+IF(BQ175&gt;0,'Attrition Modeling'!$N$9,0))),0))</f>
        <v>3961.2792619908009</v>
      </c>
      <c r="BR43" s="799">
        <f>IF(BR$2=$F43+1,Monthly!BN$21,IF(BR$2&gt;$F43+1,('Traditional Attrition'!BQ43+BR175)*(1-IF(BR$2-$F43&lt;=12,SUMIFS('Attrition Modeling'!$D:$D,'Attrition Modeling'!$B:$B,'Traditional Attrition'!$E43,'Attrition Modeling'!$C:$C,'Traditional Attrition'!BR$1),VLOOKUP('Traditional Attrition'!BR$2-'Traditional Attrition'!$F43-1,'Traditional Attrition'!$A$7:$C$161,2,FALSE)*VLOOKUP(BR$1,'Attrition Modeling'!$L$15:$N$27,IF(BR$2-$F43&lt;=24,2,3),FALSE))*(1+Projection!BY$16)*(1+IF(BR175&gt;0,'Attrition Modeling'!$N$9,0))),0))</f>
        <v>3807.8178886622968</v>
      </c>
      <c r="BS43" s="799">
        <f>IF(BS$2=$F43+1,Monthly!BO$21,IF(BS$2&gt;$F43+1,('Traditional Attrition'!BR43+BS175)*(1-IF(BS$2-$F43&lt;=12,SUMIFS('Attrition Modeling'!$D:$D,'Attrition Modeling'!$B:$B,'Traditional Attrition'!$E43,'Attrition Modeling'!$C:$C,'Traditional Attrition'!BS$1),VLOOKUP('Traditional Attrition'!BS$2-'Traditional Attrition'!$F43-1,'Traditional Attrition'!$A$7:$C$161,2,FALSE)*VLOOKUP(BS$1,'Attrition Modeling'!$L$15:$N$27,IF(BS$2-$F43&lt;=24,2,3),FALSE))*(1+Projection!BZ$16)*(1+IF(BS175&gt;0,'Attrition Modeling'!$N$9,0))),0))</f>
        <v>3664.6951784691164</v>
      </c>
      <c r="BT43" s="799">
        <f>IF(BT$2=$F43+1,Monthly!#REF!,IF(BT$2&gt;$F43+1,('Traditional Attrition'!BS43+BT175)*(1-IF(BT$2-$F43&lt;=12,SUMIFS('Attrition Modeling'!$D:$D,'Attrition Modeling'!$B:$B,'Traditional Attrition'!$E43,'Attrition Modeling'!$C:$C,'Traditional Attrition'!BT$1),VLOOKUP('Traditional Attrition'!BT$2-'Traditional Attrition'!$F43-1,'Traditional Attrition'!$A$7:$C$161,2,FALSE)*VLOOKUP(BT$1,'Attrition Modeling'!$L$15:$N$27,IF(BT$2-$F43&lt;=24,2,3),FALSE))*(1+Projection!CA$16)*(1+IF(BT175&gt;0,'Attrition Modeling'!$N$9,0))),0))</f>
        <v>3546.0183543565904</v>
      </c>
      <c r="BU43" s="799">
        <f>IF(BU$2=$F43+1,Monthly!#REF!,IF(BU$2&gt;$F43+1,('Traditional Attrition'!BT43+BU175)*(1-IF(BU$2-$F43&lt;=12,SUMIFS('Attrition Modeling'!$D:$D,'Attrition Modeling'!$B:$B,'Traditional Attrition'!$E43,'Attrition Modeling'!$C:$C,'Traditional Attrition'!BU$1),VLOOKUP('Traditional Attrition'!BU$2-'Traditional Attrition'!$F43-1,'Traditional Attrition'!$A$7:$C$161,2,FALSE)*VLOOKUP(BU$1,'Attrition Modeling'!$L$15:$N$27,IF(BU$2-$F43&lt;=24,2,3),FALSE))*(1+Projection!CB$16)*(1+IF(BU175&gt;0,'Attrition Modeling'!$N$9,0))),0))</f>
        <v>3416.7845504275533</v>
      </c>
    </row>
    <row r="44" spans="1:73" ht="14.25" customHeight="1" x14ac:dyDescent="0.2">
      <c r="A44" s="9">
        <v>37</v>
      </c>
      <c r="B44" s="25">
        <f>MAX('Attrition Modeling'!H41,$C$3)*(1-Summary!$C$20)</f>
        <v>2.9759608768683998E-2</v>
      </c>
      <c r="C44" s="24" t="e">
        <f t="shared" si="4"/>
        <v>#DIV/0!</v>
      </c>
      <c r="E44" s="11">
        <f t="shared" si="2"/>
        <v>5</v>
      </c>
      <c r="F44" s="11">
        <f t="shared" si="3"/>
        <v>41</v>
      </c>
      <c r="G44" s="799"/>
      <c r="H44" s="799">
        <f>IF(H$2=$F44+1,Monthly!D$21,IF(H$2&gt;$F44+1,('Traditional Attrition'!G44+H176)*(1-IF(H$2-$F44&lt;=12,SUMIFS('Attrition Modeling'!$D:$D,'Attrition Modeling'!$B:$B,'Traditional Attrition'!$E44,'Attrition Modeling'!$C:$C,'Traditional Attrition'!H$1),VLOOKUP('Traditional Attrition'!H$2-'Traditional Attrition'!$F44-1,'Traditional Attrition'!$A$7:$C$161,2,FALSE)*VLOOKUP(H$1,'Attrition Modeling'!$L$15:$N$27,IF(H$2-$F44&lt;=24,2,3),FALSE))*(1+Projection!J$16)*(1+IF(H176&gt;0,'Attrition Modeling'!$N$9,0))),0))</f>
        <v>0</v>
      </c>
      <c r="I44" s="799">
        <f>IF(I$2=$F44+1,Monthly!E$21,IF(I$2&gt;$F44+1,('Traditional Attrition'!H44+I176)*(1-IF(I$2-$F44&lt;=12,SUMIFS('Attrition Modeling'!$D:$D,'Attrition Modeling'!$B:$B,'Traditional Attrition'!$E44,'Attrition Modeling'!$C:$C,'Traditional Attrition'!I$1),VLOOKUP('Traditional Attrition'!I$2-'Traditional Attrition'!$F44-1,'Traditional Attrition'!$A$7:$C$161,2,FALSE)*VLOOKUP(I$1,'Attrition Modeling'!$L$15:$N$27,IF(I$2-$F44&lt;=24,2,3),FALSE))*(1+Projection!K$16)*(1+IF(I176&gt;0,'Attrition Modeling'!$N$9,0))),0))</f>
        <v>0</v>
      </c>
      <c r="J44" s="799">
        <f>IF(J$2=$F44+1,Monthly!F$21,IF(J$2&gt;$F44+1,('Traditional Attrition'!I44+J176)*(1-IF(J$2-$F44&lt;=12,SUMIFS('Attrition Modeling'!$D:$D,'Attrition Modeling'!$B:$B,'Traditional Attrition'!$E44,'Attrition Modeling'!$C:$C,'Traditional Attrition'!J$1),VLOOKUP('Traditional Attrition'!J$2-'Traditional Attrition'!$F44-1,'Traditional Attrition'!$A$7:$C$161,2,FALSE)*VLOOKUP(J$1,'Attrition Modeling'!$L$15:$N$27,IF(J$2-$F44&lt;=24,2,3),FALSE))*(1+Projection!L$16)*(1+IF(J176&gt;0,'Attrition Modeling'!$N$9,0))),0))</f>
        <v>0</v>
      </c>
      <c r="K44" s="799">
        <f>IF(K$2=$F44+1,Monthly!G$21,IF(K$2&gt;$F44+1,('Traditional Attrition'!J44+K176)*(1-IF(K$2-$F44&lt;=12,SUMIFS('Attrition Modeling'!$D:$D,'Attrition Modeling'!$B:$B,'Traditional Attrition'!$E44,'Attrition Modeling'!$C:$C,'Traditional Attrition'!K$1),VLOOKUP('Traditional Attrition'!K$2-'Traditional Attrition'!$F44-1,'Traditional Attrition'!$A$7:$C$161,2,FALSE)*VLOOKUP(K$1,'Attrition Modeling'!$L$15:$N$27,IF(K$2-$F44&lt;=24,2,3),FALSE))*(1+Projection!M$16)*(1+IF(K176&gt;0,'Attrition Modeling'!$N$9,0))),0))</f>
        <v>0</v>
      </c>
      <c r="L44" s="799">
        <f>IF(L$2=$F44+1,Monthly!H$21,IF(L$2&gt;$F44+1,('Traditional Attrition'!K44+L176)*(1-IF(L$2-$F44&lt;=12,SUMIFS('Attrition Modeling'!$D:$D,'Attrition Modeling'!$B:$B,'Traditional Attrition'!$E44,'Attrition Modeling'!$C:$C,'Traditional Attrition'!L$1),VLOOKUP('Traditional Attrition'!L$2-'Traditional Attrition'!$F44-1,'Traditional Attrition'!$A$7:$C$161,2,FALSE)*VLOOKUP(L$1,'Attrition Modeling'!$L$15:$N$27,IF(L$2-$F44&lt;=24,2,3),FALSE))*(1+Projection!N$16)*(1+IF(L176&gt;0,'Attrition Modeling'!$N$9,0))),0))</f>
        <v>0</v>
      </c>
      <c r="M44" s="799">
        <f>IF(M$2=$F44+1,Monthly!I$21,IF(M$2&gt;$F44+1,('Traditional Attrition'!L44+M176)*(1-IF(M$2-$F44&lt;=12,SUMIFS('Attrition Modeling'!$D:$D,'Attrition Modeling'!$B:$B,'Traditional Attrition'!$E44,'Attrition Modeling'!$C:$C,'Traditional Attrition'!M$1),VLOOKUP('Traditional Attrition'!M$2-'Traditional Attrition'!$F44-1,'Traditional Attrition'!$A$7:$C$161,2,FALSE)*VLOOKUP(M$1,'Attrition Modeling'!$L$15:$N$27,IF(M$2-$F44&lt;=24,2,3),FALSE))*(1+Projection!O$16)*(1+IF(M176&gt;0,'Attrition Modeling'!$N$9,0))),0))</f>
        <v>0</v>
      </c>
      <c r="N44" s="799">
        <f>IF(N$2=$F44+1,Monthly!J$21,IF(N$2&gt;$F44+1,('Traditional Attrition'!M44+N176)*(1-IF(N$2-$F44&lt;=12,SUMIFS('Attrition Modeling'!$D:$D,'Attrition Modeling'!$B:$B,'Traditional Attrition'!$E44,'Attrition Modeling'!$C:$C,'Traditional Attrition'!N$1),VLOOKUP('Traditional Attrition'!N$2-'Traditional Attrition'!$F44-1,'Traditional Attrition'!$A$7:$C$161,2,FALSE)*VLOOKUP(N$1,'Attrition Modeling'!$L$15:$N$27,IF(N$2-$F44&lt;=24,2,3),FALSE))*(1+Projection!P$16)*(1+IF(N176&gt;0,'Attrition Modeling'!$N$9,0))),0))</f>
        <v>0</v>
      </c>
      <c r="O44" s="799">
        <f>IF(O$2=$F44+1,Monthly!K$21,IF(O$2&gt;$F44+1,('Traditional Attrition'!N44+O176)*(1-IF(O$2-$F44&lt;=12,SUMIFS('Attrition Modeling'!$D:$D,'Attrition Modeling'!$B:$B,'Traditional Attrition'!$E44,'Attrition Modeling'!$C:$C,'Traditional Attrition'!O$1),VLOOKUP('Traditional Attrition'!O$2-'Traditional Attrition'!$F44-1,'Traditional Attrition'!$A$7:$C$161,2,FALSE)*VLOOKUP(O$1,'Attrition Modeling'!$L$15:$N$27,IF(O$2-$F44&lt;=24,2,3),FALSE))*(1+Projection!Q$16)*(1+IF(O176&gt;0,'Attrition Modeling'!$N$9,0))),0))</f>
        <v>0</v>
      </c>
      <c r="P44" s="799">
        <f>IF(P$2=$F44+1,Monthly!L$21,IF(P$2&gt;$F44+1,('Traditional Attrition'!O44+P176)*(1-IF(P$2-$F44&lt;=12,SUMIFS('Attrition Modeling'!$D:$D,'Attrition Modeling'!$B:$B,'Traditional Attrition'!$E44,'Attrition Modeling'!$C:$C,'Traditional Attrition'!P$1),VLOOKUP('Traditional Attrition'!P$2-'Traditional Attrition'!$F44-1,'Traditional Attrition'!$A$7:$C$161,2,FALSE)*VLOOKUP(P$1,'Attrition Modeling'!$L$15:$N$27,IF(P$2-$F44&lt;=24,2,3),FALSE))*(1+Projection!R$16)*(1+IF(P176&gt;0,'Attrition Modeling'!$N$9,0))),0))</f>
        <v>0</v>
      </c>
      <c r="Q44" s="799">
        <f>IF(Q$2=$F44+1,Monthly!M$21,IF(Q$2&gt;$F44+1,('Traditional Attrition'!P44+Q176)*(1-IF(Q$2-$F44&lt;=12,SUMIFS('Attrition Modeling'!$D:$D,'Attrition Modeling'!$B:$B,'Traditional Attrition'!$E44,'Attrition Modeling'!$C:$C,'Traditional Attrition'!Q$1),VLOOKUP('Traditional Attrition'!Q$2-'Traditional Attrition'!$F44-1,'Traditional Attrition'!$A$7:$C$161,2,FALSE)*VLOOKUP(Q$1,'Attrition Modeling'!$L$15:$N$27,IF(Q$2-$F44&lt;=24,2,3),FALSE))*(1+Projection!S$16)*(1+IF(Q176&gt;0,'Attrition Modeling'!$N$9,0))),0))</f>
        <v>0</v>
      </c>
      <c r="R44" s="799">
        <f>IF(R$2=$F44+1,Monthly!N$21,IF(R$2&gt;$F44+1,('Traditional Attrition'!Q44+R176)*(1-IF(R$2-$F44&lt;=12,SUMIFS('Attrition Modeling'!$D:$D,'Attrition Modeling'!$B:$B,'Traditional Attrition'!$E44,'Attrition Modeling'!$C:$C,'Traditional Attrition'!R$1),VLOOKUP('Traditional Attrition'!R$2-'Traditional Attrition'!$F44-1,'Traditional Attrition'!$A$7:$C$161,2,FALSE)*VLOOKUP(R$1,'Attrition Modeling'!$L$15:$N$27,IF(R$2-$F44&lt;=24,2,3),FALSE))*(1+Projection!T$16)*(1+IF(R176&gt;0,'Attrition Modeling'!$N$9,0))),0))</f>
        <v>0</v>
      </c>
      <c r="S44" s="799">
        <f>IF(S$2=$F44+1,Monthly!O$21,IF(S$2&gt;$F44+1,('Traditional Attrition'!R44+S176)*(1-IF(S$2-$F44&lt;=12,SUMIFS('Attrition Modeling'!$D:$D,'Attrition Modeling'!$B:$B,'Traditional Attrition'!$E44,'Attrition Modeling'!$C:$C,'Traditional Attrition'!S$1),VLOOKUP('Traditional Attrition'!S$2-'Traditional Attrition'!$F44-1,'Traditional Attrition'!$A$7:$C$161,2,FALSE)*VLOOKUP(S$1,'Attrition Modeling'!$L$15:$N$27,IF(S$2-$F44&lt;=24,2,3),FALSE))*(1+Projection!U$16)*(1+IF(S176&gt;0,'Attrition Modeling'!$N$9,0))),0))</f>
        <v>0</v>
      </c>
      <c r="T44" s="799">
        <f>IF(T$2=$F44+1,Monthly!P$21,IF(T$2&gt;$F44+1,('Traditional Attrition'!S44+T176)*(1-IF(T$2-$F44&lt;=12,SUMIFS('Attrition Modeling'!$D:$D,'Attrition Modeling'!$B:$B,'Traditional Attrition'!$E44,'Attrition Modeling'!$C:$C,'Traditional Attrition'!T$1),VLOOKUP('Traditional Attrition'!T$2-'Traditional Attrition'!$F44-1,'Traditional Attrition'!$A$7:$C$161,2,FALSE)*VLOOKUP(T$1,'Attrition Modeling'!$L$15:$N$27,IF(T$2-$F44&lt;=24,2,3),FALSE))*(1+Projection!V$16)*(1+IF(T176&gt;0,'Attrition Modeling'!$N$9,0))),0))</f>
        <v>0</v>
      </c>
      <c r="U44" s="799">
        <f>IF(U$2=$F44+1,Monthly!Q$21,IF(U$2&gt;$F44+1,('Traditional Attrition'!T44+U176)*(1-IF(U$2-$F44&lt;=12,SUMIFS('Attrition Modeling'!$D:$D,'Attrition Modeling'!$B:$B,'Traditional Attrition'!$E44,'Attrition Modeling'!$C:$C,'Traditional Attrition'!U$1),VLOOKUP('Traditional Attrition'!U$2-'Traditional Attrition'!$F44-1,'Traditional Attrition'!$A$7:$C$161,2,FALSE)*VLOOKUP(U$1,'Attrition Modeling'!$L$15:$N$27,IF(U$2-$F44&lt;=24,2,3),FALSE))*(1+Projection!W$16)*(1+IF(U176&gt;0,'Attrition Modeling'!$N$9,0))),0))</f>
        <v>0</v>
      </c>
      <c r="V44" s="799">
        <f>IF(V$2=$F44+1,Monthly!R$21,IF(V$2&gt;$F44+1,('Traditional Attrition'!U44+V176)*(1-IF(V$2-$F44&lt;=12,SUMIFS('Attrition Modeling'!$D:$D,'Attrition Modeling'!$B:$B,'Traditional Attrition'!$E44,'Attrition Modeling'!$C:$C,'Traditional Attrition'!V$1),VLOOKUP('Traditional Attrition'!V$2-'Traditional Attrition'!$F44-1,'Traditional Attrition'!$A$7:$C$161,2,FALSE)*VLOOKUP(V$1,'Attrition Modeling'!$L$15:$N$27,IF(V$2-$F44&lt;=24,2,3),FALSE))*(1+Projection!X$16)*(1+IF(V176&gt;0,'Attrition Modeling'!$N$9,0))),0))</f>
        <v>0</v>
      </c>
      <c r="W44" s="799">
        <f>IF(W$2=$F44+1,Monthly!S$21,IF(W$2&gt;$F44+1,('Traditional Attrition'!V44+W176)*(1-IF(W$2-$F44&lt;=12,SUMIFS('Attrition Modeling'!$D:$D,'Attrition Modeling'!$B:$B,'Traditional Attrition'!$E44,'Attrition Modeling'!$C:$C,'Traditional Attrition'!W$1),VLOOKUP('Traditional Attrition'!W$2-'Traditional Attrition'!$F44-1,'Traditional Attrition'!$A$7:$C$161,2,FALSE)*VLOOKUP(W$1,'Attrition Modeling'!$L$15:$N$27,IF(W$2-$F44&lt;=24,2,3),FALSE))*(1+Projection!Y$16)*(1+IF(W176&gt;0,'Attrition Modeling'!$N$9,0))),0))</f>
        <v>0</v>
      </c>
      <c r="X44" s="799">
        <f>IF(X$2=$F44+1,Monthly!T$21,IF(X$2&gt;$F44+1,('Traditional Attrition'!W44+X176)*(1-IF(X$2-$F44&lt;=12,SUMIFS('Attrition Modeling'!$D:$D,'Attrition Modeling'!$B:$B,'Traditional Attrition'!$E44,'Attrition Modeling'!$C:$C,'Traditional Attrition'!X$1),VLOOKUP('Traditional Attrition'!X$2-'Traditional Attrition'!$F44-1,'Traditional Attrition'!$A$7:$C$161,2,FALSE)*VLOOKUP(X$1,'Attrition Modeling'!$L$15:$N$27,IF(X$2-$F44&lt;=24,2,3),FALSE))*(1+Projection!Z$16)*(1+IF(X176&gt;0,'Attrition Modeling'!$N$9,0))),0))</f>
        <v>0</v>
      </c>
      <c r="Y44" s="799">
        <f>IF(Y$2=$F44+1,Monthly!U$21,IF(Y$2&gt;$F44+1,('Traditional Attrition'!X44+Y176)*(1-IF(Y$2-$F44&lt;=12,SUMIFS('Attrition Modeling'!$D:$D,'Attrition Modeling'!$B:$B,'Traditional Attrition'!$E44,'Attrition Modeling'!$C:$C,'Traditional Attrition'!Y$1),VLOOKUP('Traditional Attrition'!Y$2-'Traditional Attrition'!$F44-1,'Traditional Attrition'!$A$7:$C$161,2,FALSE)*VLOOKUP(Y$1,'Attrition Modeling'!$L$15:$N$27,IF(Y$2-$F44&lt;=24,2,3),FALSE))*(1+Projection!AA$16)*(1+IF(Y176&gt;0,'Attrition Modeling'!$N$9,0))),0))</f>
        <v>0</v>
      </c>
      <c r="Z44" s="799">
        <f>IF(Z$2=$F44+1,Monthly!V$21,IF(Z$2&gt;$F44+1,('Traditional Attrition'!Y44+Z176)*(1-IF(Z$2-$F44&lt;=12,SUMIFS('Attrition Modeling'!$D:$D,'Attrition Modeling'!$B:$B,'Traditional Attrition'!$E44,'Attrition Modeling'!$C:$C,'Traditional Attrition'!Z$1),VLOOKUP('Traditional Attrition'!Z$2-'Traditional Attrition'!$F44-1,'Traditional Attrition'!$A$7:$C$161,2,FALSE)*VLOOKUP(Z$1,'Attrition Modeling'!$L$15:$N$27,IF(Z$2-$F44&lt;=24,2,3),FALSE))*(1+Projection!AB$16)*(1+IF(Z176&gt;0,'Attrition Modeling'!$N$9,0))),0))</f>
        <v>0</v>
      </c>
      <c r="AA44" s="799">
        <f>IF(AA$2=$F44+1,Monthly!W$21,IF(AA$2&gt;$F44+1,('Traditional Attrition'!Z44+AA176)*(1-IF(AA$2-$F44&lt;=12,SUMIFS('Attrition Modeling'!$D:$D,'Attrition Modeling'!$B:$B,'Traditional Attrition'!$E44,'Attrition Modeling'!$C:$C,'Traditional Attrition'!AA$1),VLOOKUP('Traditional Attrition'!AA$2-'Traditional Attrition'!$F44-1,'Traditional Attrition'!$A$7:$C$161,2,FALSE)*VLOOKUP(AA$1,'Attrition Modeling'!$L$15:$N$27,IF(AA$2-$F44&lt;=24,2,3),FALSE))*(1+Projection!AC$16)*(1+IF(AA176&gt;0,'Attrition Modeling'!$N$9,0))),0))</f>
        <v>0</v>
      </c>
      <c r="AB44" s="799">
        <f>IF(AB$2=$F44+1,Monthly!X$21,IF(AB$2&gt;$F44+1,('Traditional Attrition'!AA44+AB176)*(1-IF(AB$2-$F44&lt;=12,SUMIFS('Attrition Modeling'!$D:$D,'Attrition Modeling'!$B:$B,'Traditional Attrition'!$E44,'Attrition Modeling'!$C:$C,'Traditional Attrition'!AB$1),VLOOKUP('Traditional Attrition'!AB$2-'Traditional Attrition'!$F44-1,'Traditional Attrition'!$A$7:$C$161,2,FALSE)*VLOOKUP(AB$1,'Attrition Modeling'!$L$15:$N$27,IF(AB$2-$F44&lt;=24,2,3),FALSE))*(1+Projection!AD$16)*(1+IF(AB176&gt;0,'Attrition Modeling'!$N$9,0))),0))</f>
        <v>0</v>
      </c>
      <c r="AC44" s="799">
        <f>IF(AC$2=$F44+1,Monthly!Y$21,IF(AC$2&gt;$F44+1,('Traditional Attrition'!AB44+AC176)*(1-IF(AC$2-$F44&lt;=12,SUMIFS('Attrition Modeling'!$D:$D,'Attrition Modeling'!$B:$B,'Traditional Attrition'!$E44,'Attrition Modeling'!$C:$C,'Traditional Attrition'!AC$1),VLOOKUP('Traditional Attrition'!AC$2-'Traditional Attrition'!$F44-1,'Traditional Attrition'!$A$7:$C$161,2,FALSE)*VLOOKUP(AC$1,'Attrition Modeling'!$L$15:$N$27,IF(AC$2-$F44&lt;=24,2,3),FALSE))*(1+Projection!AE$16)*(1+IF(AC176&gt;0,'Attrition Modeling'!$N$9,0))),0))</f>
        <v>0</v>
      </c>
      <c r="AD44" s="799">
        <f>IF(AD$2=$F44+1,Monthly!Z$21,IF(AD$2&gt;$F44+1,('Traditional Attrition'!AC44+AD176)*(1-IF(AD$2-$F44&lt;=12,SUMIFS('Attrition Modeling'!$D:$D,'Attrition Modeling'!$B:$B,'Traditional Attrition'!$E44,'Attrition Modeling'!$C:$C,'Traditional Attrition'!AD$1),VLOOKUP('Traditional Attrition'!AD$2-'Traditional Attrition'!$F44-1,'Traditional Attrition'!$A$7:$C$161,2,FALSE)*VLOOKUP(AD$1,'Attrition Modeling'!$L$15:$N$27,IF(AD$2-$F44&lt;=24,2,3),FALSE))*(1+Projection!AF$16)*(1+IF(AD176&gt;0,'Attrition Modeling'!$N$9,0))),0))</f>
        <v>0</v>
      </c>
      <c r="AE44" s="799">
        <f>IF(AE$2=$F44+1,Monthly!AA$21,IF(AE$2&gt;$F44+1,('Traditional Attrition'!AD44+AE176)*(1-IF(AE$2-$F44&lt;=12,SUMIFS('Attrition Modeling'!$D:$D,'Attrition Modeling'!$B:$B,'Traditional Attrition'!$E44,'Attrition Modeling'!$C:$C,'Traditional Attrition'!AE$1),VLOOKUP('Traditional Attrition'!AE$2-'Traditional Attrition'!$F44-1,'Traditional Attrition'!$A$7:$C$161,2,FALSE)*VLOOKUP(AE$1,'Attrition Modeling'!$L$15:$N$27,IF(AE$2-$F44&lt;=24,2,3),FALSE))*(1+Projection!AG$16)*(1+IF(AE176&gt;0,'Attrition Modeling'!$N$9,0))),0))</f>
        <v>0</v>
      </c>
      <c r="AF44" s="799">
        <f>IF(AF$2=$F44+1,Monthly!AB$21,IF(AF$2&gt;$F44+1,('Traditional Attrition'!AE44+AF176)*(1-IF(AF$2-$F44&lt;=12,SUMIFS('Attrition Modeling'!$D:$D,'Attrition Modeling'!$B:$B,'Traditional Attrition'!$E44,'Attrition Modeling'!$C:$C,'Traditional Attrition'!AF$1),VLOOKUP('Traditional Attrition'!AF$2-'Traditional Attrition'!$F44-1,'Traditional Attrition'!$A$7:$C$161,2,FALSE)*VLOOKUP(AF$1,'Attrition Modeling'!$L$15:$N$27,IF(AF$2-$F44&lt;=24,2,3),FALSE))*(1+Projection!AH$16)*(1+IF(AF176&gt;0,'Attrition Modeling'!$N$9,0))),0))</f>
        <v>0</v>
      </c>
      <c r="AG44" s="799">
        <f>IF(AG$2=$F44+1,Monthly!AC$21,IF(AG$2&gt;$F44+1,('Traditional Attrition'!AF44+AG176)*(1-IF(AG$2-$F44&lt;=12,SUMIFS('Attrition Modeling'!$D:$D,'Attrition Modeling'!$B:$B,'Traditional Attrition'!$E44,'Attrition Modeling'!$C:$C,'Traditional Attrition'!AG$1),VLOOKUP('Traditional Attrition'!AG$2-'Traditional Attrition'!$F44-1,'Traditional Attrition'!$A$7:$C$161,2,FALSE)*VLOOKUP(AG$1,'Attrition Modeling'!$L$15:$N$27,IF(AG$2-$F44&lt;=24,2,3),FALSE))*(1+Projection!AI$16)*(1+IF(AG176&gt;0,'Attrition Modeling'!$N$9,0))),0))</f>
        <v>0</v>
      </c>
      <c r="AH44" s="799">
        <f>IF(AH$2=$F44+1,Monthly!AD$21,IF(AH$2&gt;$F44+1,('Traditional Attrition'!AG44+AH176)*(1-IF(AH$2-$F44&lt;=12,SUMIFS('Attrition Modeling'!$D:$D,'Attrition Modeling'!$B:$B,'Traditional Attrition'!$E44,'Attrition Modeling'!$C:$C,'Traditional Attrition'!AH$1),VLOOKUP('Traditional Attrition'!AH$2-'Traditional Attrition'!$F44-1,'Traditional Attrition'!$A$7:$C$161,2,FALSE)*VLOOKUP(AH$1,'Attrition Modeling'!$L$15:$N$27,IF(AH$2-$F44&lt;=24,2,3),FALSE))*(1+Projection!AJ$16)*(1+IF(AH176&gt;0,'Attrition Modeling'!$N$9,0))),0))</f>
        <v>0</v>
      </c>
      <c r="AI44" s="799">
        <f>IF(AI$2=$F44+1,Monthly!AE$21,IF(AI$2&gt;$F44+1,('Traditional Attrition'!AH44+AI176)*(1-IF(AI$2-$F44&lt;=12,SUMIFS('Attrition Modeling'!$D:$D,'Attrition Modeling'!$B:$B,'Traditional Attrition'!$E44,'Attrition Modeling'!$C:$C,'Traditional Attrition'!AI$1),VLOOKUP('Traditional Attrition'!AI$2-'Traditional Attrition'!$F44-1,'Traditional Attrition'!$A$7:$C$161,2,FALSE)*VLOOKUP(AI$1,'Attrition Modeling'!$L$15:$N$27,IF(AI$2-$F44&lt;=24,2,3),FALSE))*(1+Projection!AK$16)*(1+IF(AI176&gt;0,'Attrition Modeling'!$N$9,0))),0))</f>
        <v>0</v>
      </c>
      <c r="AJ44" s="799">
        <f>IF(AJ$2=$F44+1,Monthly!AF$21,IF(AJ$2&gt;$F44+1,('Traditional Attrition'!AI44+AJ176)*(1-IF(AJ$2-$F44&lt;=12,SUMIFS('Attrition Modeling'!$D:$D,'Attrition Modeling'!$B:$B,'Traditional Attrition'!$E44,'Attrition Modeling'!$C:$C,'Traditional Attrition'!AJ$1),VLOOKUP('Traditional Attrition'!AJ$2-'Traditional Attrition'!$F44-1,'Traditional Attrition'!$A$7:$C$161,2,FALSE)*VLOOKUP(AJ$1,'Attrition Modeling'!$L$15:$N$27,IF(AJ$2-$F44&lt;=24,2,3),FALSE))*(1+Projection!AL$16)*(1+IF(AJ176&gt;0,'Attrition Modeling'!$N$9,0))),0))</f>
        <v>0</v>
      </c>
      <c r="AK44" s="799">
        <f>IF(AK$2=$F44+1,Monthly!AG$21,IF(AK$2&gt;$F44+1,('Traditional Attrition'!AJ44+AK176)*(1-IF(AK$2-$F44&lt;=12,SUMIFS('Attrition Modeling'!$D:$D,'Attrition Modeling'!$B:$B,'Traditional Attrition'!$E44,'Attrition Modeling'!$C:$C,'Traditional Attrition'!AK$1),VLOOKUP('Traditional Attrition'!AK$2-'Traditional Attrition'!$F44-1,'Traditional Attrition'!$A$7:$C$161,2,FALSE)*VLOOKUP(AK$1,'Attrition Modeling'!$L$15:$N$27,IF(AK$2-$F44&lt;=24,2,3),FALSE))*(1+Projection!AM$16)*(1+IF(AK176&gt;0,'Attrition Modeling'!$N$9,0))),0))</f>
        <v>0</v>
      </c>
      <c r="AL44" s="799">
        <f>IF(AL$2=$F44+1,Monthly!AH$21,IF(AL$2&gt;$F44+1,('Traditional Attrition'!AK44+AL176)*(1-IF(AL$2-$F44&lt;=12,SUMIFS('Attrition Modeling'!$D:$D,'Attrition Modeling'!$B:$B,'Traditional Attrition'!$E44,'Attrition Modeling'!$C:$C,'Traditional Attrition'!AL$1),VLOOKUP('Traditional Attrition'!AL$2-'Traditional Attrition'!$F44-1,'Traditional Attrition'!$A$7:$C$161,2,FALSE)*VLOOKUP(AL$1,'Attrition Modeling'!$L$15:$N$27,IF(AL$2-$F44&lt;=24,2,3),FALSE))*(1+Projection!AN$16)*(1+IF(AL176&gt;0,'Attrition Modeling'!$N$9,0))),0))</f>
        <v>0</v>
      </c>
      <c r="AM44" s="799">
        <f>IF(AM$2=$F44+1,Monthly!AI$21,IF(AM$2&gt;$F44+1,('Traditional Attrition'!AL44+AM176)*(1-IF(AM$2-$F44&lt;=12,SUMIFS('Attrition Modeling'!$D:$D,'Attrition Modeling'!$B:$B,'Traditional Attrition'!$E44,'Attrition Modeling'!$C:$C,'Traditional Attrition'!AM$1),VLOOKUP('Traditional Attrition'!AM$2-'Traditional Attrition'!$F44-1,'Traditional Attrition'!$A$7:$C$161,2,FALSE)*VLOOKUP(AM$1,'Attrition Modeling'!$L$15:$N$27,IF(AM$2-$F44&lt;=24,2,3),FALSE))*(1+Projection!AO$16)*(1+IF(AM176&gt;0,'Attrition Modeling'!$N$9,0))),0))</f>
        <v>0</v>
      </c>
      <c r="AN44" s="799">
        <f>IF(AN$2=$F44+1,Monthly!AJ$21,IF(AN$2&gt;$F44+1,('Traditional Attrition'!AM44+AN176)*(1-IF(AN$2-$F44&lt;=12,SUMIFS('Attrition Modeling'!$D:$D,'Attrition Modeling'!$B:$B,'Traditional Attrition'!$E44,'Attrition Modeling'!$C:$C,'Traditional Attrition'!AN$1),VLOOKUP('Traditional Attrition'!AN$2-'Traditional Attrition'!$F44-1,'Traditional Attrition'!$A$7:$C$161,2,FALSE)*VLOOKUP(AN$1,'Attrition Modeling'!$L$15:$N$27,IF(AN$2-$F44&lt;=24,2,3),FALSE))*(1+Projection!AP$16)*(1+IF(AN176&gt;0,'Attrition Modeling'!$N$9,0))),0))</f>
        <v>0</v>
      </c>
      <c r="AO44" s="799">
        <f>IF(AO$2=$F44+1,Monthly!AK$21,IF(AO$2&gt;$F44+1,('Traditional Attrition'!AN44+AO176)*(1-IF(AO$2-$F44&lt;=12,SUMIFS('Attrition Modeling'!$D:$D,'Attrition Modeling'!$B:$B,'Traditional Attrition'!$E44,'Attrition Modeling'!$C:$C,'Traditional Attrition'!AO$1),VLOOKUP('Traditional Attrition'!AO$2-'Traditional Attrition'!$F44-1,'Traditional Attrition'!$A$7:$C$161,2,FALSE)*VLOOKUP(AO$1,'Attrition Modeling'!$L$15:$N$27,IF(AO$2-$F44&lt;=24,2,3),FALSE))*(1+Projection!AQ$16)*(1+IF(AO176&gt;0,'Attrition Modeling'!$N$9,0))),0))</f>
        <v>0</v>
      </c>
      <c r="AP44" s="799">
        <f>IF(AP$2=$F44+1,Monthly!AL$21,IF(AP$2&gt;$F44+1,('Traditional Attrition'!AO44+AP176)*(1-IF(AP$2-$F44&lt;=12,SUMIFS('Attrition Modeling'!$D:$D,'Attrition Modeling'!$B:$B,'Traditional Attrition'!$E44,'Attrition Modeling'!$C:$C,'Traditional Attrition'!AP$1),VLOOKUP('Traditional Attrition'!AP$2-'Traditional Attrition'!$F44-1,'Traditional Attrition'!$A$7:$C$161,2,FALSE)*VLOOKUP(AP$1,'Attrition Modeling'!$L$15:$N$27,IF(AP$2-$F44&lt;=24,2,3),FALSE))*(1+Projection!AR$16)*(1+IF(AP176&gt;0,'Attrition Modeling'!$N$9,0))),0))</f>
        <v>0</v>
      </c>
      <c r="AQ44" s="799">
        <f>IF(AQ$2=$F44+1,Monthly!AM$21,IF(AQ$2&gt;$F44+1,('Traditional Attrition'!AP44+AQ176)*(1-IF(AQ$2-$F44&lt;=12,SUMIFS('Attrition Modeling'!$D:$D,'Attrition Modeling'!$B:$B,'Traditional Attrition'!$E44,'Attrition Modeling'!$C:$C,'Traditional Attrition'!AQ$1),VLOOKUP('Traditional Attrition'!AQ$2-'Traditional Attrition'!$F44-1,'Traditional Attrition'!$A$7:$C$161,2,FALSE)*VLOOKUP(AQ$1,'Attrition Modeling'!$L$15:$N$27,IF(AQ$2-$F44&lt;=24,2,3),FALSE))*(1+Projection!AS$16)*(1+IF(AQ176&gt;0,'Attrition Modeling'!$N$9,0))),0))</f>
        <v>0</v>
      </c>
      <c r="AR44" s="799">
        <f>IF(AR$2=$F44+1,Monthly!AN$21,IF(AR$2&gt;$F44+1,('Traditional Attrition'!AQ44+AR176)*(1-IF(AR$2-$F44&lt;=12,SUMIFS('Attrition Modeling'!$D:$D,'Attrition Modeling'!$B:$B,'Traditional Attrition'!$E44,'Attrition Modeling'!$C:$C,'Traditional Attrition'!AR$1),VLOOKUP('Traditional Attrition'!AR$2-'Traditional Attrition'!$F44-1,'Traditional Attrition'!$A$7:$C$161,2,FALSE)*VLOOKUP(AR$1,'Attrition Modeling'!$L$15:$N$27,IF(AR$2-$F44&lt;=24,2,3),FALSE))*(1+Projection!AT$16)*(1+IF(AR176&gt;0,'Attrition Modeling'!$N$9,0))),0))</f>
        <v>0</v>
      </c>
      <c r="AS44" s="799">
        <f>IF(AS$2=$F44+1,Monthly!AO$21,IF(AS$2&gt;$F44+1,('Traditional Attrition'!AR44+AS176)*(1-IF(AS$2-$F44&lt;=12,SUMIFS('Attrition Modeling'!$D:$D,'Attrition Modeling'!$B:$B,'Traditional Attrition'!$E44,'Attrition Modeling'!$C:$C,'Traditional Attrition'!AS$1),VLOOKUP('Traditional Attrition'!AS$2-'Traditional Attrition'!$F44-1,'Traditional Attrition'!$A$7:$C$161,2,FALSE)*VLOOKUP(AS$1,'Attrition Modeling'!$L$15:$N$27,IF(AS$2-$F44&lt;=24,2,3),FALSE))*(1+Projection!AU$16)*(1+IF(AS176&gt;0,'Attrition Modeling'!$N$9,0))),0))</f>
        <v>0</v>
      </c>
      <c r="AT44" s="799">
        <f>IF(AT$2=$F44+1,Monthly!AP$21,IF(AT$2&gt;$F44+1,('Traditional Attrition'!AS44+AT176)*(1-IF(AT$2-$F44&lt;=12,SUMIFS('Attrition Modeling'!$D:$D,'Attrition Modeling'!$B:$B,'Traditional Attrition'!$E44,'Attrition Modeling'!$C:$C,'Traditional Attrition'!AT$1),VLOOKUP('Traditional Attrition'!AT$2-'Traditional Attrition'!$F44-1,'Traditional Attrition'!$A$7:$C$161,2,FALSE)*VLOOKUP(AT$1,'Attrition Modeling'!$L$15:$N$27,IF(AT$2-$F44&lt;=24,2,3),FALSE))*(1+Projection!AV$16)*(1+IF(AT176&gt;0,'Attrition Modeling'!$N$9,0))),0))</f>
        <v>0</v>
      </c>
      <c r="AU44" s="799">
        <f>IF(AU$2=$F44+1,Monthly!AQ$21,IF(AU$2&gt;$F44+1,('Traditional Attrition'!AT44+AU176)*(1-IF(AU$2-$F44&lt;=12,SUMIFS('Attrition Modeling'!$D:$D,'Attrition Modeling'!$B:$B,'Traditional Attrition'!$E44,'Attrition Modeling'!$C:$C,'Traditional Attrition'!AU$1),VLOOKUP('Traditional Attrition'!AU$2-'Traditional Attrition'!$F44-1,'Traditional Attrition'!$A$7:$C$161,2,FALSE)*VLOOKUP(AU$1,'Attrition Modeling'!$L$15:$N$27,IF(AU$2-$F44&lt;=24,2,3),FALSE))*(1+Projection!AW$16)*(1+IF(AU176&gt;0,'Attrition Modeling'!$N$9,0))),0))</f>
        <v>0</v>
      </c>
      <c r="AV44" s="799">
        <f>IF(AV$2=$F44+1,Monthly!AR$21,IF(AV$2&gt;$F44+1,('Traditional Attrition'!AU44+AV176)*(1-IF(AV$2-$F44&lt;=12,SUMIFS('Attrition Modeling'!$D:$D,'Attrition Modeling'!$B:$B,'Traditional Attrition'!$E44,'Attrition Modeling'!$C:$C,'Traditional Attrition'!AV$1),VLOOKUP('Traditional Attrition'!AV$2-'Traditional Attrition'!$F44-1,'Traditional Attrition'!$A$7:$C$161,2,FALSE)*VLOOKUP(AV$1,'Attrition Modeling'!$L$15:$N$27,IF(AV$2-$F44&lt;=24,2,3),FALSE))*(1+Projection!AX$16)*(1+IF(AV176&gt;0,'Attrition Modeling'!$N$9,0))),0))</f>
        <v>0</v>
      </c>
      <c r="AW44" s="799">
        <f>IF(AW$2=$F44+1,Monthly!AS$21,IF(AW$2&gt;$F44+1,('Traditional Attrition'!AV44+AW176)*(1-IF(AW$2-$F44&lt;=12,SUMIFS('Attrition Modeling'!$D:$D,'Attrition Modeling'!$B:$B,'Traditional Attrition'!$E44,'Attrition Modeling'!$C:$C,'Traditional Attrition'!AW$1),VLOOKUP('Traditional Attrition'!AW$2-'Traditional Attrition'!$F44-1,'Traditional Attrition'!$A$7:$C$161,2,FALSE)*VLOOKUP(AW$1,'Attrition Modeling'!$L$15:$N$27,IF(AW$2-$F44&lt;=24,2,3),FALSE))*(1+Projection!AY$16)*(1+IF(AW176&gt;0,'Attrition Modeling'!$N$9,0))),0))</f>
        <v>12234.314706758178</v>
      </c>
      <c r="AX44" s="799">
        <f>IF(AX$2=$F44+1,Monthly!AT$21,IF(AX$2&gt;$F44+1,('Traditional Attrition'!AW44+AX176)*(1-IF(AX$2-$F44&lt;=12,SUMIFS('Attrition Modeling'!$D:$D,'Attrition Modeling'!$B:$B,'Traditional Attrition'!$E44,'Attrition Modeling'!$C:$C,'Traditional Attrition'!AX$1),VLOOKUP('Traditional Attrition'!AX$2-'Traditional Attrition'!$F44-1,'Traditional Attrition'!$A$7:$C$161,2,FALSE)*VLOOKUP(AX$1,'Attrition Modeling'!$L$15:$N$27,IF(AX$2-$F44&lt;=24,2,3),FALSE))*(1+Projection!AZ$16)*(1+IF(AX176&gt;0,'Attrition Modeling'!$N$9,0))),0))</f>
        <v>10885.810613403701</v>
      </c>
      <c r="AY44" s="799">
        <f>IF(AY$2=$F44+1,Monthly!AU$21,IF(AY$2&gt;$F44+1,('Traditional Attrition'!AX44+AY176)*(1-IF(AY$2-$F44&lt;=12,SUMIFS('Attrition Modeling'!$D:$D,'Attrition Modeling'!$B:$B,'Traditional Attrition'!$E44,'Attrition Modeling'!$C:$C,'Traditional Attrition'!AY$1),VLOOKUP('Traditional Attrition'!AY$2-'Traditional Attrition'!$F44-1,'Traditional Attrition'!$A$7:$C$161,2,FALSE)*VLOOKUP(AY$1,'Attrition Modeling'!$L$15:$N$27,IF(AY$2-$F44&lt;=24,2,3),FALSE))*(1+Projection!BA$16)*(1+IF(AY176&gt;0,'Attrition Modeling'!$N$9,0))),0))</f>
        <v>9433.689197980224</v>
      </c>
      <c r="AZ44" s="799">
        <f>IF(AZ$2=$F44+1,Monthly!AV$21,IF(AZ$2&gt;$F44+1,('Traditional Attrition'!AY44+AZ176)*(1-IF(AZ$2-$F44&lt;=12,SUMIFS('Attrition Modeling'!$D:$D,'Attrition Modeling'!$B:$B,'Traditional Attrition'!$E44,'Attrition Modeling'!$C:$C,'Traditional Attrition'!AZ$1),VLOOKUP('Traditional Attrition'!AZ$2-'Traditional Attrition'!$F44-1,'Traditional Attrition'!$A$7:$C$161,2,FALSE)*VLOOKUP(AZ$1,'Attrition Modeling'!$L$15:$N$27,IF(AZ$2-$F44&lt;=24,2,3),FALSE))*(1+Projection!BB$16)*(1+IF(AZ176&gt;0,'Attrition Modeling'!$N$9,0))),0))</f>
        <v>8399.6162999125427</v>
      </c>
      <c r="BA44" s="799">
        <f>IF(BA$2=$F44+1,Monthly!AW$21,IF(BA$2&gt;$F44+1,('Traditional Attrition'!AZ44+BA176)*(1-IF(BA$2-$F44&lt;=12,SUMIFS('Attrition Modeling'!$D:$D,'Attrition Modeling'!$B:$B,'Traditional Attrition'!$E44,'Attrition Modeling'!$C:$C,'Traditional Attrition'!BA$1),VLOOKUP('Traditional Attrition'!BA$2-'Traditional Attrition'!$F44-1,'Traditional Attrition'!$A$7:$C$161,2,FALSE)*VLOOKUP(BA$1,'Attrition Modeling'!$L$15:$N$27,IF(BA$2-$F44&lt;=24,2,3),FALSE))*(1+Projection!BC$16)*(1+IF(BA176&gt;0,'Attrition Modeling'!$N$9,0))),0))</f>
        <v>7624.4039521307941</v>
      </c>
      <c r="BB44" s="799">
        <f>IF(BB$2=$F44+1,Monthly!AX$21,IF(BB$2&gt;$F44+1,('Traditional Attrition'!BA44+BB176)*(1-IF(BB$2-$F44&lt;=12,SUMIFS('Attrition Modeling'!$D:$D,'Attrition Modeling'!$B:$B,'Traditional Attrition'!$E44,'Attrition Modeling'!$C:$C,'Traditional Attrition'!BB$1),VLOOKUP('Traditional Attrition'!BB$2-'Traditional Attrition'!$F44-1,'Traditional Attrition'!$A$7:$C$161,2,FALSE)*VLOOKUP(BB$1,'Attrition Modeling'!$L$15:$N$27,IF(BB$2-$F44&lt;=24,2,3),FALSE))*(1+Projection!BD$16)*(1+IF(BB176&gt;0,'Attrition Modeling'!$N$9,0))),0))</f>
        <v>7440.41485302611</v>
      </c>
      <c r="BC44" s="799">
        <f>IF(BC$2=$F44+1,Monthly!AY$21,IF(BC$2&gt;$F44+1,('Traditional Attrition'!BB44+BC176)*(1-IF(BC$2-$F44&lt;=12,SUMIFS('Attrition Modeling'!$D:$D,'Attrition Modeling'!$B:$B,'Traditional Attrition'!$E44,'Attrition Modeling'!$C:$C,'Traditional Attrition'!BC$1),VLOOKUP('Traditional Attrition'!BC$2-'Traditional Attrition'!$F44-1,'Traditional Attrition'!$A$7:$C$161,2,FALSE)*VLOOKUP(BC$1,'Attrition Modeling'!$L$15:$N$27,IF(BC$2-$F44&lt;=24,2,3),FALSE))*(1+Projection!BE$16)*(1+IF(BC176&gt;0,'Attrition Modeling'!$N$9,0))),0))</f>
        <v>6868.3380959103515</v>
      </c>
      <c r="BD44" s="799">
        <f>IF(BD$2=$F44+1,Monthly!AZ$21,IF(BD$2&gt;$F44+1,('Traditional Attrition'!BC44+BD176)*(1-IF(BD$2-$F44&lt;=12,SUMIFS('Attrition Modeling'!$D:$D,'Attrition Modeling'!$B:$B,'Traditional Attrition'!$E44,'Attrition Modeling'!$C:$C,'Traditional Attrition'!BD$1),VLOOKUP('Traditional Attrition'!BD$2-'Traditional Attrition'!$F44-1,'Traditional Attrition'!$A$7:$C$161,2,FALSE)*VLOOKUP(BD$1,'Attrition Modeling'!$L$15:$N$27,IF(BD$2-$F44&lt;=24,2,3),FALSE))*(1+Projection!BF$16)*(1+IF(BD176&gt;0,'Attrition Modeling'!$N$9,0))),0))</f>
        <v>6423.6550323791598</v>
      </c>
      <c r="BE44" s="799">
        <f>IF(BE$2=$F44+1,Monthly!BA$21,IF(BE$2&gt;$F44+1,('Traditional Attrition'!BD44+BE176)*(1-IF(BE$2-$F44&lt;=12,SUMIFS('Attrition Modeling'!$D:$D,'Attrition Modeling'!$B:$B,'Traditional Attrition'!$E44,'Attrition Modeling'!$C:$C,'Traditional Attrition'!BE$1),VLOOKUP('Traditional Attrition'!BE$2-'Traditional Attrition'!$F44-1,'Traditional Attrition'!$A$7:$C$161,2,FALSE)*VLOOKUP(BE$1,'Attrition Modeling'!$L$15:$N$27,IF(BE$2-$F44&lt;=24,2,3),FALSE))*(1+Projection!BG$16)*(1+IF(BE176&gt;0,'Attrition Modeling'!$N$9,0))),0))</f>
        <v>6062.6912275101813</v>
      </c>
      <c r="BF44" s="799">
        <f>IF(BF$2=$F44+1,Monthly!BB$21,IF(BF$2&gt;$F44+1,('Traditional Attrition'!BE44+BF176)*(1-IF(BF$2-$F44&lt;=12,SUMIFS('Attrition Modeling'!$D:$D,'Attrition Modeling'!$B:$B,'Traditional Attrition'!$E44,'Attrition Modeling'!$C:$C,'Traditional Attrition'!BF$1),VLOOKUP('Traditional Attrition'!BF$2-'Traditional Attrition'!$F44-1,'Traditional Attrition'!$A$7:$C$161,2,FALSE)*VLOOKUP(BF$1,'Attrition Modeling'!$L$15:$N$27,IF(BF$2-$F44&lt;=24,2,3),FALSE))*(1+Projection!BH$16)*(1+IF(BF176&gt;0,'Attrition Modeling'!$N$9,0))),0))</f>
        <v>5716.9754149251667</v>
      </c>
      <c r="BG44" s="799">
        <f>IF(BG$2=$F44+1,Monthly!BC$21,IF(BG$2&gt;$F44+1,('Traditional Attrition'!BF44+BG176)*(1-IF(BG$2-$F44&lt;=12,SUMIFS('Attrition Modeling'!$D:$D,'Attrition Modeling'!$B:$B,'Traditional Attrition'!$E44,'Attrition Modeling'!$C:$C,'Traditional Attrition'!BG$1),VLOOKUP('Traditional Attrition'!BG$2-'Traditional Attrition'!$F44-1,'Traditional Attrition'!$A$7:$C$161,2,FALSE)*VLOOKUP(BG$1,'Attrition Modeling'!$L$15:$N$27,IF(BG$2-$F44&lt;=24,2,3),FALSE))*(1+Projection!BI$16)*(1+IF(BG176&gt;0,'Attrition Modeling'!$N$9,0))),0))</f>
        <v>5410.7455696549459</v>
      </c>
      <c r="BH44" s="799">
        <f>IF(BH$2=$F44+1,Monthly!BD$21,IF(BH$2&gt;$F44+1,('Traditional Attrition'!BG44+BH176)*(1-IF(BH$2-$F44&lt;=12,SUMIFS('Attrition Modeling'!$D:$D,'Attrition Modeling'!$B:$B,'Traditional Attrition'!$E44,'Attrition Modeling'!$C:$C,'Traditional Attrition'!BH$1),VLOOKUP('Traditional Attrition'!BH$2-'Traditional Attrition'!$F44-1,'Traditional Attrition'!$A$7:$C$161,2,FALSE)*VLOOKUP(BH$1,'Attrition Modeling'!$L$15:$N$27,IF(BH$2-$F44&lt;=24,2,3),FALSE))*(1+Projection!BJ$16)*(1+IF(BH176&gt;0,'Attrition Modeling'!$N$9,0))),0))</f>
        <v>5277.0276500938353</v>
      </c>
      <c r="BI44" s="799">
        <f>IF(BI$2=$F44+1,Monthly!BE$21,IF(BI$2&gt;$F44+1,('Traditional Attrition'!BH44+BI176)*(1-IF(BI$2-$F44&lt;=12,SUMIFS('Attrition Modeling'!$D:$D,'Attrition Modeling'!$B:$B,'Traditional Attrition'!$E44,'Attrition Modeling'!$C:$C,'Traditional Attrition'!BI$1),VLOOKUP('Traditional Attrition'!BI$2-'Traditional Attrition'!$F44-1,'Traditional Attrition'!$A$7:$C$161,2,FALSE)*VLOOKUP(BI$1,'Attrition Modeling'!$L$15:$N$27,IF(BI$2-$F44&lt;=24,2,3),FALSE))*(1+Projection!BK$16)*(1+IF(BI176&gt;0,'Attrition Modeling'!$N$9,0))),0))</f>
        <v>4978.0326348581257</v>
      </c>
      <c r="BJ44" s="799">
        <f>IF(BJ$2=$F44+1,Monthly!BF$21,IF(BJ$2&gt;$F44+1,('Traditional Attrition'!BI44+BJ176)*(1-IF(BJ$2-$F44&lt;=12,SUMIFS('Attrition Modeling'!$D:$D,'Attrition Modeling'!$B:$B,'Traditional Attrition'!$E44,'Attrition Modeling'!$C:$C,'Traditional Attrition'!BJ$1),VLOOKUP('Traditional Attrition'!BJ$2-'Traditional Attrition'!$F44-1,'Traditional Attrition'!$A$7:$C$161,2,FALSE)*VLOOKUP(BJ$1,'Attrition Modeling'!$L$15:$N$27,IF(BJ$2-$F44&lt;=24,2,3),FALSE))*(1+Projection!BL$16)*(1+IF(BJ176&gt;0,'Attrition Modeling'!$N$9,0))),0))</f>
        <v>4711.6037326659125</v>
      </c>
      <c r="BK44" s="799">
        <f>IF(BK$2=$F44+1,Monthly!BG$21,IF(BK$2&gt;$F44+1,('Traditional Attrition'!BJ44+BK176)*(1-IF(BK$2-$F44&lt;=12,SUMIFS('Attrition Modeling'!$D:$D,'Attrition Modeling'!$B:$B,'Traditional Attrition'!$E44,'Attrition Modeling'!$C:$C,'Traditional Attrition'!BK$1),VLOOKUP('Traditional Attrition'!BK$2-'Traditional Attrition'!$F44-1,'Traditional Attrition'!$A$7:$C$161,2,FALSE)*VLOOKUP(BK$1,'Attrition Modeling'!$L$15:$N$27,IF(BK$2-$F44&lt;=24,2,3),FALSE))*(1+Projection!BM$16)*(1+IF(BK176&gt;0,'Attrition Modeling'!$N$9,0))),0))</f>
        <v>4461.1750081556347</v>
      </c>
      <c r="BL44" s="799">
        <f>IF(BL$2=$F44+1,Monthly!BH$21,IF(BL$2&gt;$F44+1,('Traditional Attrition'!BK44+BL176)*(1-IF(BL$2-$F44&lt;=12,SUMIFS('Attrition Modeling'!$D:$D,'Attrition Modeling'!$B:$B,'Traditional Attrition'!$E44,'Attrition Modeling'!$C:$C,'Traditional Attrition'!BL$1),VLOOKUP('Traditional Attrition'!BL$2-'Traditional Attrition'!$F44-1,'Traditional Attrition'!$A$7:$C$161,2,FALSE)*VLOOKUP(BL$1,'Attrition Modeling'!$L$15:$N$27,IF(BL$2-$F44&lt;=24,2,3),FALSE))*(1+Projection!BN$16)*(1+IF(BL176&gt;0,'Attrition Modeling'!$N$9,0))),0))</f>
        <v>4252.8526455956144</v>
      </c>
      <c r="BM44" s="799">
        <f>IF(BM$2=$F44+1,Monthly!BI$21,IF(BM$2&gt;$F44+1,('Traditional Attrition'!BL44+BM176)*(1-IF(BM$2-$F44&lt;=12,SUMIFS('Attrition Modeling'!$D:$D,'Attrition Modeling'!$B:$B,'Traditional Attrition'!$E44,'Attrition Modeling'!$C:$C,'Traditional Attrition'!BM$1),VLOOKUP('Traditional Attrition'!BM$2-'Traditional Attrition'!$F44-1,'Traditional Attrition'!$A$7:$C$161,2,FALSE)*VLOOKUP(BM$1,'Attrition Modeling'!$L$15:$N$27,IF(BM$2-$F44&lt;=24,2,3),FALSE))*(1+Projection!BO$16)*(1+IF(BM176&gt;0,'Attrition Modeling'!$N$9,0))),0))</f>
        <v>4055.6390712668012</v>
      </c>
      <c r="BN44" s="799">
        <f>IF(BN$2=$F44+1,Monthly!BJ$21,IF(BN$2&gt;$F44+1,('Traditional Attrition'!BM44+BN176)*(1-IF(BN$2-$F44&lt;=12,SUMIFS('Attrition Modeling'!$D:$D,'Attrition Modeling'!$B:$B,'Traditional Attrition'!$E44,'Attrition Modeling'!$C:$C,'Traditional Attrition'!BN$1),VLOOKUP('Traditional Attrition'!BN$2-'Traditional Attrition'!$F44-1,'Traditional Attrition'!$A$7:$C$161,2,FALSE)*VLOOKUP(BN$1,'Attrition Modeling'!$L$15:$N$27,IF(BN$2-$F44&lt;=24,2,3),FALSE))*(1+Projection!BP$16)*(1+IF(BN176&gt;0,'Attrition Modeling'!$N$9,0))),0))</f>
        <v>4212.925124376934</v>
      </c>
      <c r="BO44" s="799">
        <f>IF(BO$2=$F44+1,Monthly!BK$21,IF(BO$2&gt;$F44+1,('Traditional Attrition'!BN44+BO176)*(1-IF(BO$2-$F44&lt;=12,SUMIFS('Attrition Modeling'!$D:$D,'Attrition Modeling'!$B:$B,'Traditional Attrition'!$E44,'Attrition Modeling'!$C:$C,'Traditional Attrition'!BO$1),VLOOKUP('Traditional Attrition'!BO$2-'Traditional Attrition'!$F44-1,'Traditional Attrition'!$A$7:$C$161,2,FALSE)*VLOOKUP(BO$1,'Attrition Modeling'!$L$15:$N$27,IF(BO$2-$F44&lt;=24,2,3),FALSE))*(1+Projection!BV$16)*(1+IF(BO176&gt;0,'Attrition Modeling'!$N$9,0))),0))</f>
        <v>4035.4593333888861</v>
      </c>
      <c r="BP44" s="799">
        <f>IF(BP$2=$F44+1,Monthly!BL$21,IF(BP$2&gt;$F44+1,('Traditional Attrition'!BO44+BP176)*(1-IF(BP$2-$F44&lt;=12,SUMIFS('Attrition Modeling'!$D:$D,'Attrition Modeling'!$B:$B,'Traditional Attrition'!$E44,'Attrition Modeling'!$C:$C,'Traditional Attrition'!BP$1),VLOOKUP('Traditional Attrition'!BP$2-'Traditional Attrition'!$F44-1,'Traditional Attrition'!$A$7:$C$161,2,FALSE)*VLOOKUP(BP$1,'Attrition Modeling'!$L$15:$N$27,IF(BP$2-$F44&lt;=24,2,3),FALSE))*(1+Projection!BW$16)*(1+IF(BP176&gt;0,'Attrition Modeling'!$N$9,0))),0))</f>
        <v>3868.5484727191442</v>
      </c>
      <c r="BQ44" s="799">
        <f>IF(BQ$2=$F44+1,Monthly!BM$21,IF(BQ$2&gt;$F44+1,('Traditional Attrition'!BP44+BQ176)*(1-IF(BQ$2-$F44&lt;=12,SUMIFS('Attrition Modeling'!$D:$D,'Attrition Modeling'!$B:$B,'Traditional Attrition'!$E44,'Attrition Modeling'!$C:$C,'Traditional Attrition'!BQ$1),VLOOKUP('Traditional Attrition'!BQ$2-'Traditional Attrition'!$F44-1,'Traditional Attrition'!$A$7:$C$161,2,FALSE)*VLOOKUP(BQ$1,'Attrition Modeling'!$L$15:$N$27,IF(BQ$2-$F44&lt;=24,2,3),FALSE))*(1+Projection!BX$16)*(1+IF(BQ176&gt;0,'Attrition Modeling'!$N$9,0))),0))</f>
        <v>3726.6709813200277</v>
      </c>
      <c r="BR44" s="799">
        <f>IF(BR$2=$F44+1,Monthly!BN$21,IF(BR$2&gt;$F44+1,('Traditional Attrition'!BQ44+BR176)*(1-IF(BR$2-$F44&lt;=12,SUMIFS('Attrition Modeling'!$D:$D,'Attrition Modeling'!$B:$B,'Traditional Attrition'!$E44,'Attrition Modeling'!$C:$C,'Traditional Attrition'!BR$1),VLOOKUP('Traditional Attrition'!BR$2-'Traditional Attrition'!$F44-1,'Traditional Attrition'!$A$7:$C$161,2,FALSE)*VLOOKUP(BR$1,'Attrition Modeling'!$L$15:$N$27,IF(BR$2-$F44&lt;=24,2,3),FALSE))*(1+Projection!BY$16)*(1+IF(BR176&gt;0,'Attrition Modeling'!$N$9,0))),0))</f>
        <v>3580.2059497507021</v>
      </c>
      <c r="BS44" s="799">
        <f>IF(BS$2=$F44+1,Monthly!BO$21,IF(BS$2&gt;$F44+1,('Traditional Attrition'!BR44+BS176)*(1-IF(BS$2-$F44&lt;=12,SUMIFS('Attrition Modeling'!$D:$D,'Attrition Modeling'!$B:$B,'Traditional Attrition'!$E44,'Attrition Modeling'!$C:$C,'Traditional Attrition'!BS$1),VLOOKUP('Traditional Attrition'!BS$2-'Traditional Attrition'!$F44-1,'Traditional Attrition'!$A$7:$C$161,2,FALSE)*VLOOKUP(BS$1,'Attrition Modeling'!$L$15:$N$27,IF(BS$2-$F44&lt;=24,2,3),FALSE))*(1+Projection!BZ$16)*(1+IF(BS176&gt;0,'Attrition Modeling'!$N$9,0))),0))</f>
        <v>3443.8339730745465</v>
      </c>
      <c r="BT44" s="799">
        <f>IF(BT$2=$F44+1,Monthly!#REF!,IF(BT$2&gt;$F44+1,('Traditional Attrition'!BS44+BT176)*(1-IF(BT$2-$F44&lt;=12,SUMIFS('Attrition Modeling'!$D:$D,'Attrition Modeling'!$B:$B,'Traditional Attrition'!$E44,'Attrition Modeling'!$C:$C,'Traditional Attrition'!BT$1),VLOOKUP('Traditional Attrition'!BT$2-'Traditional Attrition'!$F44-1,'Traditional Attrition'!$A$7:$C$161,2,FALSE)*VLOOKUP(BT$1,'Attrition Modeling'!$L$15:$N$27,IF(BT$2-$F44&lt;=24,2,3),FALSE))*(1+Projection!CA$16)*(1+IF(BT176&gt;0,'Attrition Modeling'!$N$9,0))),0))</f>
        <v>3315.3166212703809</v>
      </c>
      <c r="BU44" s="799">
        <f>IF(BU$2=$F44+1,Monthly!#REF!,IF(BU$2&gt;$F44+1,('Traditional Attrition'!BT44+BU176)*(1-IF(BU$2-$F44&lt;=12,SUMIFS('Attrition Modeling'!$D:$D,'Attrition Modeling'!$B:$B,'Traditional Attrition'!$E44,'Attrition Modeling'!$C:$C,'Traditional Attrition'!BU$1),VLOOKUP('Traditional Attrition'!BU$2-'Traditional Attrition'!$F44-1,'Traditional Attrition'!$A$7:$C$161,2,FALSE)*VLOOKUP(BU$1,'Attrition Modeling'!$L$15:$N$27,IF(BU$2-$F44&lt;=24,2,3),FALSE))*(1+Projection!CB$16)*(1+IF(BU176&gt;0,'Attrition Modeling'!$N$9,0))),0))</f>
        <v>3192.3868151051238</v>
      </c>
    </row>
    <row r="45" spans="1:73" ht="14.25" customHeight="1" x14ac:dyDescent="0.2">
      <c r="A45" s="9">
        <v>38</v>
      </c>
      <c r="B45" s="25">
        <f>MAX('Attrition Modeling'!H42,$C$3)*(1-Summary!$C$20)</f>
        <v>2.9353110812107445E-2</v>
      </c>
      <c r="C45" s="24" t="e">
        <f t="shared" si="4"/>
        <v>#DIV/0!</v>
      </c>
      <c r="E45" s="11">
        <f t="shared" si="2"/>
        <v>6</v>
      </c>
      <c r="F45" s="11">
        <f t="shared" si="3"/>
        <v>42</v>
      </c>
      <c r="G45" s="799"/>
      <c r="H45" s="799">
        <f>IF(H$2=$F45+1,Monthly!D$21,IF(H$2&gt;$F45+1,('Traditional Attrition'!G45+H177)*(1-IF(H$2-$F45&lt;=12,SUMIFS('Attrition Modeling'!$D:$D,'Attrition Modeling'!$B:$B,'Traditional Attrition'!$E45,'Attrition Modeling'!$C:$C,'Traditional Attrition'!H$1),VLOOKUP('Traditional Attrition'!H$2-'Traditional Attrition'!$F45-1,'Traditional Attrition'!$A$7:$C$161,2,FALSE)*VLOOKUP(H$1,'Attrition Modeling'!$L$15:$N$27,IF(H$2-$F45&lt;=24,2,3),FALSE))*(1+Projection!J$16)*(1+IF(H177&gt;0,'Attrition Modeling'!$N$9,0))),0))</f>
        <v>0</v>
      </c>
      <c r="I45" s="799">
        <f>IF(I$2=$F45+1,Monthly!E$21,IF(I$2&gt;$F45+1,('Traditional Attrition'!H45+I177)*(1-IF(I$2-$F45&lt;=12,SUMIFS('Attrition Modeling'!$D:$D,'Attrition Modeling'!$B:$B,'Traditional Attrition'!$E45,'Attrition Modeling'!$C:$C,'Traditional Attrition'!I$1),VLOOKUP('Traditional Attrition'!I$2-'Traditional Attrition'!$F45-1,'Traditional Attrition'!$A$7:$C$161,2,FALSE)*VLOOKUP(I$1,'Attrition Modeling'!$L$15:$N$27,IF(I$2-$F45&lt;=24,2,3),FALSE))*(1+Projection!K$16)*(1+IF(I177&gt;0,'Attrition Modeling'!$N$9,0))),0))</f>
        <v>0</v>
      </c>
      <c r="J45" s="799">
        <f>IF(J$2=$F45+1,Monthly!F$21,IF(J$2&gt;$F45+1,('Traditional Attrition'!I45+J177)*(1-IF(J$2-$F45&lt;=12,SUMIFS('Attrition Modeling'!$D:$D,'Attrition Modeling'!$B:$B,'Traditional Attrition'!$E45,'Attrition Modeling'!$C:$C,'Traditional Attrition'!J$1),VLOOKUP('Traditional Attrition'!J$2-'Traditional Attrition'!$F45-1,'Traditional Attrition'!$A$7:$C$161,2,FALSE)*VLOOKUP(J$1,'Attrition Modeling'!$L$15:$N$27,IF(J$2-$F45&lt;=24,2,3),FALSE))*(1+Projection!L$16)*(1+IF(J177&gt;0,'Attrition Modeling'!$N$9,0))),0))</f>
        <v>0</v>
      </c>
      <c r="K45" s="799">
        <f>IF(K$2=$F45+1,Monthly!G$21,IF(K$2&gt;$F45+1,('Traditional Attrition'!J45+K177)*(1-IF(K$2-$F45&lt;=12,SUMIFS('Attrition Modeling'!$D:$D,'Attrition Modeling'!$B:$B,'Traditional Attrition'!$E45,'Attrition Modeling'!$C:$C,'Traditional Attrition'!K$1),VLOOKUP('Traditional Attrition'!K$2-'Traditional Attrition'!$F45-1,'Traditional Attrition'!$A$7:$C$161,2,FALSE)*VLOOKUP(K$1,'Attrition Modeling'!$L$15:$N$27,IF(K$2-$F45&lt;=24,2,3),FALSE))*(1+Projection!M$16)*(1+IF(K177&gt;0,'Attrition Modeling'!$N$9,0))),0))</f>
        <v>0</v>
      </c>
      <c r="L45" s="799">
        <f>IF(L$2=$F45+1,Monthly!H$21,IF(L$2&gt;$F45+1,('Traditional Attrition'!K45+L177)*(1-IF(L$2-$F45&lt;=12,SUMIFS('Attrition Modeling'!$D:$D,'Attrition Modeling'!$B:$B,'Traditional Attrition'!$E45,'Attrition Modeling'!$C:$C,'Traditional Attrition'!L$1),VLOOKUP('Traditional Attrition'!L$2-'Traditional Attrition'!$F45-1,'Traditional Attrition'!$A$7:$C$161,2,FALSE)*VLOOKUP(L$1,'Attrition Modeling'!$L$15:$N$27,IF(L$2-$F45&lt;=24,2,3),FALSE))*(1+Projection!N$16)*(1+IF(L177&gt;0,'Attrition Modeling'!$N$9,0))),0))</f>
        <v>0</v>
      </c>
      <c r="M45" s="799">
        <f>IF(M$2=$F45+1,Monthly!I$21,IF(M$2&gt;$F45+1,('Traditional Attrition'!L45+M177)*(1-IF(M$2-$F45&lt;=12,SUMIFS('Attrition Modeling'!$D:$D,'Attrition Modeling'!$B:$B,'Traditional Attrition'!$E45,'Attrition Modeling'!$C:$C,'Traditional Attrition'!M$1),VLOOKUP('Traditional Attrition'!M$2-'Traditional Attrition'!$F45-1,'Traditional Attrition'!$A$7:$C$161,2,FALSE)*VLOOKUP(M$1,'Attrition Modeling'!$L$15:$N$27,IF(M$2-$F45&lt;=24,2,3),FALSE))*(1+Projection!O$16)*(1+IF(M177&gt;0,'Attrition Modeling'!$N$9,0))),0))</f>
        <v>0</v>
      </c>
      <c r="N45" s="799">
        <f>IF(N$2=$F45+1,Monthly!J$21,IF(N$2&gt;$F45+1,('Traditional Attrition'!M45+N177)*(1-IF(N$2-$F45&lt;=12,SUMIFS('Attrition Modeling'!$D:$D,'Attrition Modeling'!$B:$B,'Traditional Attrition'!$E45,'Attrition Modeling'!$C:$C,'Traditional Attrition'!N$1),VLOOKUP('Traditional Attrition'!N$2-'Traditional Attrition'!$F45-1,'Traditional Attrition'!$A$7:$C$161,2,FALSE)*VLOOKUP(N$1,'Attrition Modeling'!$L$15:$N$27,IF(N$2-$F45&lt;=24,2,3),FALSE))*(1+Projection!P$16)*(1+IF(N177&gt;0,'Attrition Modeling'!$N$9,0))),0))</f>
        <v>0</v>
      </c>
      <c r="O45" s="799">
        <f>IF(O$2=$F45+1,Monthly!K$21,IF(O$2&gt;$F45+1,('Traditional Attrition'!N45+O177)*(1-IF(O$2-$F45&lt;=12,SUMIFS('Attrition Modeling'!$D:$D,'Attrition Modeling'!$B:$B,'Traditional Attrition'!$E45,'Attrition Modeling'!$C:$C,'Traditional Attrition'!O$1),VLOOKUP('Traditional Attrition'!O$2-'Traditional Attrition'!$F45-1,'Traditional Attrition'!$A$7:$C$161,2,FALSE)*VLOOKUP(O$1,'Attrition Modeling'!$L$15:$N$27,IF(O$2-$F45&lt;=24,2,3),FALSE))*(1+Projection!Q$16)*(1+IF(O177&gt;0,'Attrition Modeling'!$N$9,0))),0))</f>
        <v>0</v>
      </c>
      <c r="P45" s="799">
        <f>IF(P$2=$F45+1,Monthly!L$21,IF(P$2&gt;$F45+1,('Traditional Attrition'!O45+P177)*(1-IF(P$2-$F45&lt;=12,SUMIFS('Attrition Modeling'!$D:$D,'Attrition Modeling'!$B:$B,'Traditional Attrition'!$E45,'Attrition Modeling'!$C:$C,'Traditional Attrition'!P$1),VLOOKUP('Traditional Attrition'!P$2-'Traditional Attrition'!$F45-1,'Traditional Attrition'!$A$7:$C$161,2,FALSE)*VLOOKUP(P$1,'Attrition Modeling'!$L$15:$N$27,IF(P$2-$F45&lt;=24,2,3),FALSE))*(1+Projection!R$16)*(1+IF(P177&gt;0,'Attrition Modeling'!$N$9,0))),0))</f>
        <v>0</v>
      </c>
      <c r="Q45" s="799">
        <f>IF(Q$2=$F45+1,Monthly!M$21,IF(Q$2&gt;$F45+1,('Traditional Attrition'!P45+Q177)*(1-IF(Q$2-$F45&lt;=12,SUMIFS('Attrition Modeling'!$D:$D,'Attrition Modeling'!$B:$B,'Traditional Attrition'!$E45,'Attrition Modeling'!$C:$C,'Traditional Attrition'!Q$1),VLOOKUP('Traditional Attrition'!Q$2-'Traditional Attrition'!$F45-1,'Traditional Attrition'!$A$7:$C$161,2,FALSE)*VLOOKUP(Q$1,'Attrition Modeling'!$L$15:$N$27,IF(Q$2-$F45&lt;=24,2,3),FALSE))*(1+Projection!S$16)*(1+IF(Q177&gt;0,'Attrition Modeling'!$N$9,0))),0))</f>
        <v>0</v>
      </c>
      <c r="R45" s="799">
        <f>IF(R$2=$F45+1,Monthly!N$21,IF(R$2&gt;$F45+1,('Traditional Attrition'!Q45+R177)*(1-IF(R$2-$F45&lt;=12,SUMIFS('Attrition Modeling'!$D:$D,'Attrition Modeling'!$B:$B,'Traditional Attrition'!$E45,'Attrition Modeling'!$C:$C,'Traditional Attrition'!R$1),VLOOKUP('Traditional Attrition'!R$2-'Traditional Attrition'!$F45-1,'Traditional Attrition'!$A$7:$C$161,2,FALSE)*VLOOKUP(R$1,'Attrition Modeling'!$L$15:$N$27,IF(R$2-$F45&lt;=24,2,3),FALSE))*(1+Projection!T$16)*(1+IF(R177&gt;0,'Attrition Modeling'!$N$9,0))),0))</f>
        <v>0</v>
      </c>
      <c r="S45" s="799">
        <f>IF(S$2=$F45+1,Monthly!O$21,IF(S$2&gt;$F45+1,('Traditional Attrition'!R45+S177)*(1-IF(S$2-$F45&lt;=12,SUMIFS('Attrition Modeling'!$D:$D,'Attrition Modeling'!$B:$B,'Traditional Attrition'!$E45,'Attrition Modeling'!$C:$C,'Traditional Attrition'!S$1),VLOOKUP('Traditional Attrition'!S$2-'Traditional Attrition'!$F45-1,'Traditional Attrition'!$A$7:$C$161,2,FALSE)*VLOOKUP(S$1,'Attrition Modeling'!$L$15:$N$27,IF(S$2-$F45&lt;=24,2,3),FALSE))*(1+Projection!U$16)*(1+IF(S177&gt;0,'Attrition Modeling'!$N$9,0))),0))</f>
        <v>0</v>
      </c>
      <c r="T45" s="799">
        <f>IF(T$2=$F45+1,Monthly!P$21,IF(T$2&gt;$F45+1,('Traditional Attrition'!S45+T177)*(1-IF(T$2-$F45&lt;=12,SUMIFS('Attrition Modeling'!$D:$D,'Attrition Modeling'!$B:$B,'Traditional Attrition'!$E45,'Attrition Modeling'!$C:$C,'Traditional Attrition'!T$1),VLOOKUP('Traditional Attrition'!T$2-'Traditional Attrition'!$F45-1,'Traditional Attrition'!$A$7:$C$161,2,FALSE)*VLOOKUP(T$1,'Attrition Modeling'!$L$15:$N$27,IF(T$2-$F45&lt;=24,2,3),FALSE))*(1+Projection!V$16)*(1+IF(T177&gt;0,'Attrition Modeling'!$N$9,0))),0))</f>
        <v>0</v>
      </c>
      <c r="U45" s="799">
        <f>IF(U$2=$F45+1,Monthly!Q$21,IF(U$2&gt;$F45+1,('Traditional Attrition'!T45+U177)*(1-IF(U$2-$F45&lt;=12,SUMIFS('Attrition Modeling'!$D:$D,'Attrition Modeling'!$B:$B,'Traditional Attrition'!$E45,'Attrition Modeling'!$C:$C,'Traditional Attrition'!U$1),VLOOKUP('Traditional Attrition'!U$2-'Traditional Attrition'!$F45-1,'Traditional Attrition'!$A$7:$C$161,2,FALSE)*VLOOKUP(U$1,'Attrition Modeling'!$L$15:$N$27,IF(U$2-$F45&lt;=24,2,3),FALSE))*(1+Projection!W$16)*(1+IF(U177&gt;0,'Attrition Modeling'!$N$9,0))),0))</f>
        <v>0</v>
      </c>
      <c r="V45" s="799">
        <f>IF(V$2=$F45+1,Monthly!R$21,IF(V$2&gt;$F45+1,('Traditional Attrition'!U45+V177)*(1-IF(V$2-$F45&lt;=12,SUMIFS('Attrition Modeling'!$D:$D,'Attrition Modeling'!$B:$B,'Traditional Attrition'!$E45,'Attrition Modeling'!$C:$C,'Traditional Attrition'!V$1),VLOOKUP('Traditional Attrition'!V$2-'Traditional Attrition'!$F45-1,'Traditional Attrition'!$A$7:$C$161,2,FALSE)*VLOOKUP(V$1,'Attrition Modeling'!$L$15:$N$27,IF(V$2-$F45&lt;=24,2,3),FALSE))*(1+Projection!X$16)*(1+IF(V177&gt;0,'Attrition Modeling'!$N$9,0))),0))</f>
        <v>0</v>
      </c>
      <c r="W45" s="799">
        <f>IF(W$2=$F45+1,Monthly!S$21,IF(W$2&gt;$F45+1,('Traditional Attrition'!V45+W177)*(1-IF(W$2-$F45&lt;=12,SUMIFS('Attrition Modeling'!$D:$D,'Attrition Modeling'!$B:$B,'Traditional Attrition'!$E45,'Attrition Modeling'!$C:$C,'Traditional Attrition'!W$1),VLOOKUP('Traditional Attrition'!W$2-'Traditional Attrition'!$F45-1,'Traditional Attrition'!$A$7:$C$161,2,FALSE)*VLOOKUP(W$1,'Attrition Modeling'!$L$15:$N$27,IF(W$2-$F45&lt;=24,2,3),FALSE))*(1+Projection!Y$16)*(1+IF(W177&gt;0,'Attrition Modeling'!$N$9,0))),0))</f>
        <v>0</v>
      </c>
      <c r="X45" s="799">
        <f>IF(X$2=$F45+1,Monthly!T$21,IF(X$2&gt;$F45+1,('Traditional Attrition'!W45+X177)*(1-IF(X$2-$F45&lt;=12,SUMIFS('Attrition Modeling'!$D:$D,'Attrition Modeling'!$B:$B,'Traditional Attrition'!$E45,'Attrition Modeling'!$C:$C,'Traditional Attrition'!X$1),VLOOKUP('Traditional Attrition'!X$2-'Traditional Attrition'!$F45-1,'Traditional Attrition'!$A$7:$C$161,2,FALSE)*VLOOKUP(X$1,'Attrition Modeling'!$L$15:$N$27,IF(X$2-$F45&lt;=24,2,3),FALSE))*(1+Projection!Z$16)*(1+IF(X177&gt;0,'Attrition Modeling'!$N$9,0))),0))</f>
        <v>0</v>
      </c>
      <c r="Y45" s="799">
        <f>IF(Y$2=$F45+1,Monthly!U$21,IF(Y$2&gt;$F45+1,('Traditional Attrition'!X45+Y177)*(1-IF(Y$2-$F45&lt;=12,SUMIFS('Attrition Modeling'!$D:$D,'Attrition Modeling'!$B:$B,'Traditional Attrition'!$E45,'Attrition Modeling'!$C:$C,'Traditional Attrition'!Y$1),VLOOKUP('Traditional Attrition'!Y$2-'Traditional Attrition'!$F45-1,'Traditional Attrition'!$A$7:$C$161,2,FALSE)*VLOOKUP(Y$1,'Attrition Modeling'!$L$15:$N$27,IF(Y$2-$F45&lt;=24,2,3),FALSE))*(1+Projection!AA$16)*(1+IF(Y177&gt;0,'Attrition Modeling'!$N$9,0))),0))</f>
        <v>0</v>
      </c>
      <c r="Z45" s="799">
        <f>IF(Z$2=$F45+1,Monthly!V$21,IF(Z$2&gt;$F45+1,('Traditional Attrition'!Y45+Z177)*(1-IF(Z$2-$F45&lt;=12,SUMIFS('Attrition Modeling'!$D:$D,'Attrition Modeling'!$B:$B,'Traditional Attrition'!$E45,'Attrition Modeling'!$C:$C,'Traditional Attrition'!Z$1),VLOOKUP('Traditional Attrition'!Z$2-'Traditional Attrition'!$F45-1,'Traditional Attrition'!$A$7:$C$161,2,FALSE)*VLOOKUP(Z$1,'Attrition Modeling'!$L$15:$N$27,IF(Z$2-$F45&lt;=24,2,3),FALSE))*(1+Projection!AB$16)*(1+IF(Z177&gt;0,'Attrition Modeling'!$N$9,0))),0))</f>
        <v>0</v>
      </c>
      <c r="AA45" s="799">
        <f>IF(AA$2=$F45+1,Monthly!W$21,IF(AA$2&gt;$F45+1,('Traditional Attrition'!Z45+AA177)*(1-IF(AA$2-$F45&lt;=12,SUMIFS('Attrition Modeling'!$D:$D,'Attrition Modeling'!$B:$B,'Traditional Attrition'!$E45,'Attrition Modeling'!$C:$C,'Traditional Attrition'!AA$1),VLOOKUP('Traditional Attrition'!AA$2-'Traditional Attrition'!$F45-1,'Traditional Attrition'!$A$7:$C$161,2,FALSE)*VLOOKUP(AA$1,'Attrition Modeling'!$L$15:$N$27,IF(AA$2-$F45&lt;=24,2,3),FALSE))*(1+Projection!AC$16)*(1+IF(AA177&gt;0,'Attrition Modeling'!$N$9,0))),0))</f>
        <v>0</v>
      </c>
      <c r="AB45" s="799">
        <f>IF(AB$2=$F45+1,Monthly!X$21,IF(AB$2&gt;$F45+1,('Traditional Attrition'!AA45+AB177)*(1-IF(AB$2-$F45&lt;=12,SUMIFS('Attrition Modeling'!$D:$D,'Attrition Modeling'!$B:$B,'Traditional Attrition'!$E45,'Attrition Modeling'!$C:$C,'Traditional Attrition'!AB$1),VLOOKUP('Traditional Attrition'!AB$2-'Traditional Attrition'!$F45-1,'Traditional Attrition'!$A$7:$C$161,2,FALSE)*VLOOKUP(AB$1,'Attrition Modeling'!$L$15:$N$27,IF(AB$2-$F45&lt;=24,2,3),FALSE))*(1+Projection!AD$16)*(1+IF(AB177&gt;0,'Attrition Modeling'!$N$9,0))),0))</f>
        <v>0</v>
      </c>
      <c r="AC45" s="799">
        <f>IF(AC$2=$F45+1,Monthly!Y$21,IF(AC$2&gt;$F45+1,('Traditional Attrition'!AB45+AC177)*(1-IF(AC$2-$F45&lt;=12,SUMIFS('Attrition Modeling'!$D:$D,'Attrition Modeling'!$B:$B,'Traditional Attrition'!$E45,'Attrition Modeling'!$C:$C,'Traditional Attrition'!AC$1),VLOOKUP('Traditional Attrition'!AC$2-'Traditional Attrition'!$F45-1,'Traditional Attrition'!$A$7:$C$161,2,FALSE)*VLOOKUP(AC$1,'Attrition Modeling'!$L$15:$N$27,IF(AC$2-$F45&lt;=24,2,3),FALSE))*(1+Projection!AE$16)*(1+IF(AC177&gt;0,'Attrition Modeling'!$N$9,0))),0))</f>
        <v>0</v>
      </c>
      <c r="AD45" s="799">
        <f>IF(AD$2=$F45+1,Monthly!Z$21,IF(AD$2&gt;$F45+1,('Traditional Attrition'!AC45+AD177)*(1-IF(AD$2-$F45&lt;=12,SUMIFS('Attrition Modeling'!$D:$D,'Attrition Modeling'!$B:$B,'Traditional Attrition'!$E45,'Attrition Modeling'!$C:$C,'Traditional Attrition'!AD$1),VLOOKUP('Traditional Attrition'!AD$2-'Traditional Attrition'!$F45-1,'Traditional Attrition'!$A$7:$C$161,2,FALSE)*VLOOKUP(AD$1,'Attrition Modeling'!$L$15:$N$27,IF(AD$2-$F45&lt;=24,2,3),FALSE))*(1+Projection!AF$16)*(1+IF(AD177&gt;0,'Attrition Modeling'!$N$9,0))),0))</f>
        <v>0</v>
      </c>
      <c r="AE45" s="799">
        <f>IF(AE$2=$F45+1,Monthly!AA$21,IF(AE$2&gt;$F45+1,('Traditional Attrition'!AD45+AE177)*(1-IF(AE$2-$F45&lt;=12,SUMIFS('Attrition Modeling'!$D:$D,'Attrition Modeling'!$B:$B,'Traditional Attrition'!$E45,'Attrition Modeling'!$C:$C,'Traditional Attrition'!AE$1),VLOOKUP('Traditional Attrition'!AE$2-'Traditional Attrition'!$F45-1,'Traditional Attrition'!$A$7:$C$161,2,FALSE)*VLOOKUP(AE$1,'Attrition Modeling'!$L$15:$N$27,IF(AE$2-$F45&lt;=24,2,3),FALSE))*(1+Projection!AG$16)*(1+IF(AE177&gt;0,'Attrition Modeling'!$N$9,0))),0))</f>
        <v>0</v>
      </c>
      <c r="AF45" s="799">
        <f>IF(AF$2=$F45+1,Monthly!AB$21,IF(AF$2&gt;$F45+1,('Traditional Attrition'!AE45+AF177)*(1-IF(AF$2-$F45&lt;=12,SUMIFS('Attrition Modeling'!$D:$D,'Attrition Modeling'!$B:$B,'Traditional Attrition'!$E45,'Attrition Modeling'!$C:$C,'Traditional Attrition'!AF$1),VLOOKUP('Traditional Attrition'!AF$2-'Traditional Attrition'!$F45-1,'Traditional Attrition'!$A$7:$C$161,2,FALSE)*VLOOKUP(AF$1,'Attrition Modeling'!$L$15:$N$27,IF(AF$2-$F45&lt;=24,2,3),FALSE))*(1+Projection!AH$16)*(1+IF(AF177&gt;0,'Attrition Modeling'!$N$9,0))),0))</f>
        <v>0</v>
      </c>
      <c r="AG45" s="799">
        <f>IF(AG$2=$F45+1,Monthly!AC$21,IF(AG$2&gt;$F45+1,('Traditional Attrition'!AF45+AG177)*(1-IF(AG$2-$F45&lt;=12,SUMIFS('Attrition Modeling'!$D:$D,'Attrition Modeling'!$B:$B,'Traditional Attrition'!$E45,'Attrition Modeling'!$C:$C,'Traditional Attrition'!AG$1),VLOOKUP('Traditional Attrition'!AG$2-'Traditional Attrition'!$F45-1,'Traditional Attrition'!$A$7:$C$161,2,FALSE)*VLOOKUP(AG$1,'Attrition Modeling'!$L$15:$N$27,IF(AG$2-$F45&lt;=24,2,3),FALSE))*(1+Projection!AI$16)*(1+IF(AG177&gt;0,'Attrition Modeling'!$N$9,0))),0))</f>
        <v>0</v>
      </c>
      <c r="AH45" s="799">
        <f>IF(AH$2=$F45+1,Monthly!AD$21,IF(AH$2&gt;$F45+1,('Traditional Attrition'!AG45+AH177)*(1-IF(AH$2-$F45&lt;=12,SUMIFS('Attrition Modeling'!$D:$D,'Attrition Modeling'!$B:$B,'Traditional Attrition'!$E45,'Attrition Modeling'!$C:$C,'Traditional Attrition'!AH$1),VLOOKUP('Traditional Attrition'!AH$2-'Traditional Attrition'!$F45-1,'Traditional Attrition'!$A$7:$C$161,2,FALSE)*VLOOKUP(AH$1,'Attrition Modeling'!$L$15:$N$27,IF(AH$2-$F45&lt;=24,2,3),FALSE))*(1+Projection!AJ$16)*(1+IF(AH177&gt;0,'Attrition Modeling'!$N$9,0))),0))</f>
        <v>0</v>
      </c>
      <c r="AI45" s="799">
        <f>IF(AI$2=$F45+1,Monthly!AE$21,IF(AI$2&gt;$F45+1,('Traditional Attrition'!AH45+AI177)*(1-IF(AI$2-$F45&lt;=12,SUMIFS('Attrition Modeling'!$D:$D,'Attrition Modeling'!$B:$B,'Traditional Attrition'!$E45,'Attrition Modeling'!$C:$C,'Traditional Attrition'!AI$1),VLOOKUP('Traditional Attrition'!AI$2-'Traditional Attrition'!$F45-1,'Traditional Attrition'!$A$7:$C$161,2,FALSE)*VLOOKUP(AI$1,'Attrition Modeling'!$L$15:$N$27,IF(AI$2-$F45&lt;=24,2,3),FALSE))*(1+Projection!AK$16)*(1+IF(AI177&gt;0,'Attrition Modeling'!$N$9,0))),0))</f>
        <v>0</v>
      </c>
      <c r="AJ45" s="799">
        <f>IF(AJ$2=$F45+1,Monthly!AF$21,IF(AJ$2&gt;$F45+1,('Traditional Attrition'!AI45+AJ177)*(1-IF(AJ$2-$F45&lt;=12,SUMIFS('Attrition Modeling'!$D:$D,'Attrition Modeling'!$B:$B,'Traditional Attrition'!$E45,'Attrition Modeling'!$C:$C,'Traditional Attrition'!AJ$1),VLOOKUP('Traditional Attrition'!AJ$2-'Traditional Attrition'!$F45-1,'Traditional Attrition'!$A$7:$C$161,2,FALSE)*VLOOKUP(AJ$1,'Attrition Modeling'!$L$15:$N$27,IF(AJ$2-$F45&lt;=24,2,3),FALSE))*(1+Projection!AL$16)*(1+IF(AJ177&gt;0,'Attrition Modeling'!$N$9,0))),0))</f>
        <v>0</v>
      </c>
      <c r="AK45" s="799">
        <f>IF(AK$2=$F45+1,Monthly!AG$21,IF(AK$2&gt;$F45+1,('Traditional Attrition'!AJ45+AK177)*(1-IF(AK$2-$F45&lt;=12,SUMIFS('Attrition Modeling'!$D:$D,'Attrition Modeling'!$B:$B,'Traditional Attrition'!$E45,'Attrition Modeling'!$C:$C,'Traditional Attrition'!AK$1),VLOOKUP('Traditional Attrition'!AK$2-'Traditional Attrition'!$F45-1,'Traditional Attrition'!$A$7:$C$161,2,FALSE)*VLOOKUP(AK$1,'Attrition Modeling'!$L$15:$N$27,IF(AK$2-$F45&lt;=24,2,3),FALSE))*(1+Projection!AM$16)*(1+IF(AK177&gt;0,'Attrition Modeling'!$N$9,0))),0))</f>
        <v>0</v>
      </c>
      <c r="AL45" s="799">
        <f>IF(AL$2=$F45+1,Monthly!AH$21,IF(AL$2&gt;$F45+1,('Traditional Attrition'!AK45+AL177)*(1-IF(AL$2-$F45&lt;=12,SUMIFS('Attrition Modeling'!$D:$D,'Attrition Modeling'!$B:$B,'Traditional Attrition'!$E45,'Attrition Modeling'!$C:$C,'Traditional Attrition'!AL$1),VLOOKUP('Traditional Attrition'!AL$2-'Traditional Attrition'!$F45-1,'Traditional Attrition'!$A$7:$C$161,2,FALSE)*VLOOKUP(AL$1,'Attrition Modeling'!$L$15:$N$27,IF(AL$2-$F45&lt;=24,2,3),FALSE))*(1+Projection!AN$16)*(1+IF(AL177&gt;0,'Attrition Modeling'!$N$9,0))),0))</f>
        <v>0</v>
      </c>
      <c r="AM45" s="799">
        <f>IF(AM$2=$F45+1,Monthly!AI$21,IF(AM$2&gt;$F45+1,('Traditional Attrition'!AL45+AM177)*(1-IF(AM$2-$F45&lt;=12,SUMIFS('Attrition Modeling'!$D:$D,'Attrition Modeling'!$B:$B,'Traditional Attrition'!$E45,'Attrition Modeling'!$C:$C,'Traditional Attrition'!AM$1),VLOOKUP('Traditional Attrition'!AM$2-'Traditional Attrition'!$F45-1,'Traditional Attrition'!$A$7:$C$161,2,FALSE)*VLOOKUP(AM$1,'Attrition Modeling'!$L$15:$N$27,IF(AM$2-$F45&lt;=24,2,3),FALSE))*(1+Projection!AO$16)*(1+IF(AM177&gt;0,'Attrition Modeling'!$N$9,0))),0))</f>
        <v>0</v>
      </c>
      <c r="AN45" s="799">
        <f>IF(AN$2=$F45+1,Monthly!AJ$21,IF(AN$2&gt;$F45+1,('Traditional Attrition'!AM45+AN177)*(1-IF(AN$2-$F45&lt;=12,SUMIFS('Attrition Modeling'!$D:$D,'Attrition Modeling'!$B:$B,'Traditional Attrition'!$E45,'Attrition Modeling'!$C:$C,'Traditional Attrition'!AN$1),VLOOKUP('Traditional Attrition'!AN$2-'Traditional Attrition'!$F45-1,'Traditional Attrition'!$A$7:$C$161,2,FALSE)*VLOOKUP(AN$1,'Attrition Modeling'!$L$15:$N$27,IF(AN$2-$F45&lt;=24,2,3),FALSE))*(1+Projection!AP$16)*(1+IF(AN177&gt;0,'Attrition Modeling'!$N$9,0))),0))</f>
        <v>0</v>
      </c>
      <c r="AO45" s="799">
        <f>IF(AO$2=$F45+1,Monthly!AK$21,IF(AO$2&gt;$F45+1,('Traditional Attrition'!AN45+AO177)*(1-IF(AO$2-$F45&lt;=12,SUMIFS('Attrition Modeling'!$D:$D,'Attrition Modeling'!$B:$B,'Traditional Attrition'!$E45,'Attrition Modeling'!$C:$C,'Traditional Attrition'!AO$1),VLOOKUP('Traditional Attrition'!AO$2-'Traditional Attrition'!$F45-1,'Traditional Attrition'!$A$7:$C$161,2,FALSE)*VLOOKUP(AO$1,'Attrition Modeling'!$L$15:$N$27,IF(AO$2-$F45&lt;=24,2,3),FALSE))*(1+Projection!AQ$16)*(1+IF(AO177&gt;0,'Attrition Modeling'!$N$9,0))),0))</f>
        <v>0</v>
      </c>
      <c r="AP45" s="799">
        <f>IF(AP$2=$F45+1,Monthly!AL$21,IF(AP$2&gt;$F45+1,('Traditional Attrition'!AO45+AP177)*(1-IF(AP$2-$F45&lt;=12,SUMIFS('Attrition Modeling'!$D:$D,'Attrition Modeling'!$B:$B,'Traditional Attrition'!$E45,'Attrition Modeling'!$C:$C,'Traditional Attrition'!AP$1),VLOOKUP('Traditional Attrition'!AP$2-'Traditional Attrition'!$F45-1,'Traditional Attrition'!$A$7:$C$161,2,FALSE)*VLOOKUP(AP$1,'Attrition Modeling'!$L$15:$N$27,IF(AP$2-$F45&lt;=24,2,3),FALSE))*(1+Projection!AR$16)*(1+IF(AP177&gt;0,'Attrition Modeling'!$N$9,0))),0))</f>
        <v>0</v>
      </c>
      <c r="AQ45" s="799">
        <f>IF(AQ$2=$F45+1,Monthly!AM$21,IF(AQ$2&gt;$F45+1,('Traditional Attrition'!AP45+AQ177)*(1-IF(AQ$2-$F45&lt;=12,SUMIFS('Attrition Modeling'!$D:$D,'Attrition Modeling'!$B:$B,'Traditional Attrition'!$E45,'Attrition Modeling'!$C:$C,'Traditional Attrition'!AQ$1),VLOOKUP('Traditional Attrition'!AQ$2-'Traditional Attrition'!$F45-1,'Traditional Attrition'!$A$7:$C$161,2,FALSE)*VLOOKUP(AQ$1,'Attrition Modeling'!$L$15:$N$27,IF(AQ$2-$F45&lt;=24,2,3),FALSE))*(1+Projection!AS$16)*(1+IF(AQ177&gt;0,'Attrition Modeling'!$N$9,0))),0))</f>
        <v>0</v>
      </c>
      <c r="AR45" s="799">
        <f>IF(AR$2=$F45+1,Monthly!AN$21,IF(AR$2&gt;$F45+1,('Traditional Attrition'!AQ45+AR177)*(1-IF(AR$2-$F45&lt;=12,SUMIFS('Attrition Modeling'!$D:$D,'Attrition Modeling'!$B:$B,'Traditional Attrition'!$E45,'Attrition Modeling'!$C:$C,'Traditional Attrition'!AR$1),VLOOKUP('Traditional Attrition'!AR$2-'Traditional Attrition'!$F45-1,'Traditional Attrition'!$A$7:$C$161,2,FALSE)*VLOOKUP(AR$1,'Attrition Modeling'!$L$15:$N$27,IF(AR$2-$F45&lt;=24,2,3),FALSE))*(1+Projection!AT$16)*(1+IF(AR177&gt;0,'Attrition Modeling'!$N$9,0))),0))</f>
        <v>0</v>
      </c>
      <c r="AS45" s="799">
        <f>IF(AS$2=$F45+1,Monthly!AO$21,IF(AS$2&gt;$F45+1,('Traditional Attrition'!AR45+AS177)*(1-IF(AS$2-$F45&lt;=12,SUMIFS('Attrition Modeling'!$D:$D,'Attrition Modeling'!$B:$B,'Traditional Attrition'!$E45,'Attrition Modeling'!$C:$C,'Traditional Attrition'!AS$1),VLOOKUP('Traditional Attrition'!AS$2-'Traditional Attrition'!$F45-1,'Traditional Attrition'!$A$7:$C$161,2,FALSE)*VLOOKUP(AS$1,'Attrition Modeling'!$L$15:$N$27,IF(AS$2-$F45&lt;=24,2,3),FALSE))*(1+Projection!AU$16)*(1+IF(AS177&gt;0,'Attrition Modeling'!$N$9,0))),0))</f>
        <v>0</v>
      </c>
      <c r="AT45" s="799">
        <f>IF(AT$2=$F45+1,Monthly!AP$21,IF(AT$2&gt;$F45+1,('Traditional Attrition'!AS45+AT177)*(1-IF(AT$2-$F45&lt;=12,SUMIFS('Attrition Modeling'!$D:$D,'Attrition Modeling'!$B:$B,'Traditional Attrition'!$E45,'Attrition Modeling'!$C:$C,'Traditional Attrition'!AT$1),VLOOKUP('Traditional Attrition'!AT$2-'Traditional Attrition'!$F45-1,'Traditional Attrition'!$A$7:$C$161,2,FALSE)*VLOOKUP(AT$1,'Attrition Modeling'!$L$15:$N$27,IF(AT$2-$F45&lt;=24,2,3),FALSE))*(1+Projection!AV$16)*(1+IF(AT177&gt;0,'Attrition Modeling'!$N$9,0))),0))</f>
        <v>0</v>
      </c>
      <c r="AU45" s="799">
        <f>IF(AU$2=$F45+1,Monthly!AQ$21,IF(AU$2&gt;$F45+1,('Traditional Attrition'!AT45+AU177)*(1-IF(AU$2-$F45&lt;=12,SUMIFS('Attrition Modeling'!$D:$D,'Attrition Modeling'!$B:$B,'Traditional Attrition'!$E45,'Attrition Modeling'!$C:$C,'Traditional Attrition'!AU$1),VLOOKUP('Traditional Attrition'!AU$2-'Traditional Attrition'!$F45-1,'Traditional Attrition'!$A$7:$C$161,2,FALSE)*VLOOKUP(AU$1,'Attrition Modeling'!$L$15:$N$27,IF(AU$2-$F45&lt;=24,2,3),FALSE))*(1+Projection!AW$16)*(1+IF(AU177&gt;0,'Attrition Modeling'!$N$9,0))),0))</f>
        <v>0</v>
      </c>
      <c r="AV45" s="799">
        <f>IF(AV$2=$F45+1,Monthly!AR$21,IF(AV$2&gt;$F45+1,('Traditional Attrition'!AU45+AV177)*(1-IF(AV$2-$F45&lt;=12,SUMIFS('Attrition Modeling'!$D:$D,'Attrition Modeling'!$B:$B,'Traditional Attrition'!$E45,'Attrition Modeling'!$C:$C,'Traditional Attrition'!AV$1),VLOOKUP('Traditional Attrition'!AV$2-'Traditional Attrition'!$F45-1,'Traditional Attrition'!$A$7:$C$161,2,FALSE)*VLOOKUP(AV$1,'Attrition Modeling'!$L$15:$N$27,IF(AV$2-$F45&lt;=24,2,3),FALSE))*(1+Projection!AX$16)*(1+IF(AV177&gt;0,'Attrition Modeling'!$N$9,0))),0))</f>
        <v>0</v>
      </c>
      <c r="AW45" s="799">
        <f>IF(AW$2=$F45+1,Monthly!AS$21,IF(AW$2&gt;$F45+1,('Traditional Attrition'!AV45+AW177)*(1-IF(AW$2-$F45&lt;=12,SUMIFS('Attrition Modeling'!$D:$D,'Attrition Modeling'!$B:$B,'Traditional Attrition'!$E45,'Attrition Modeling'!$C:$C,'Traditional Attrition'!AW$1),VLOOKUP('Traditional Attrition'!AW$2-'Traditional Attrition'!$F45-1,'Traditional Attrition'!$A$7:$C$161,2,FALSE)*VLOOKUP(AW$1,'Attrition Modeling'!$L$15:$N$27,IF(AW$2-$F45&lt;=24,2,3),FALSE))*(1+Projection!AY$16)*(1+IF(AW177&gt;0,'Attrition Modeling'!$N$9,0))),0))</f>
        <v>0</v>
      </c>
      <c r="AX45" s="799">
        <f>IF(AX$2=$F45+1,Monthly!AT$21,IF(AX$2&gt;$F45+1,('Traditional Attrition'!AW45+AX177)*(1-IF(AX$2-$F45&lt;=12,SUMIFS('Attrition Modeling'!$D:$D,'Attrition Modeling'!$B:$B,'Traditional Attrition'!$E45,'Attrition Modeling'!$C:$C,'Traditional Attrition'!AX$1),VLOOKUP('Traditional Attrition'!AX$2-'Traditional Attrition'!$F45-1,'Traditional Attrition'!$A$7:$C$161,2,FALSE)*VLOOKUP(AX$1,'Attrition Modeling'!$L$15:$N$27,IF(AX$2-$F45&lt;=24,2,3),FALSE))*(1+Projection!AZ$16)*(1+IF(AX177&gt;0,'Attrition Modeling'!$N$9,0))),0))</f>
        <v>11556.649757422258</v>
      </c>
      <c r="AY45" s="799">
        <f>IF(AY$2=$F45+1,Monthly!AU$21,IF(AY$2&gt;$F45+1,('Traditional Attrition'!AX45+AY177)*(1-IF(AY$2-$F45&lt;=12,SUMIFS('Attrition Modeling'!$D:$D,'Attrition Modeling'!$B:$B,'Traditional Attrition'!$E45,'Attrition Modeling'!$C:$C,'Traditional Attrition'!AY$1),VLOOKUP('Traditional Attrition'!AY$2-'Traditional Attrition'!$F45-1,'Traditional Attrition'!$A$7:$C$161,2,FALSE)*VLOOKUP(AY$1,'Attrition Modeling'!$L$15:$N$27,IF(AY$2-$F45&lt;=24,2,3),FALSE))*(1+Projection!BA$16)*(1+IF(AY177&gt;0,'Attrition Modeling'!$N$9,0))),0))</f>
        <v>10175.449827674083</v>
      </c>
      <c r="AZ45" s="799">
        <f>IF(AZ$2=$F45+1,Monthly!AV$21,IF(AZ$2&gt;$F45+1,('Traditional Attrition'!AY45+AZ177)*(1-IF(AZ$2-$F45&lt;=12,SUMIFS('Attrition Modeling'!$D:$D,'Attrition Modeling'!$B:$B,'Traditional Attrition'!$E45,'Attrition Modeling'!$C:$C,'Traditional Attrition'!AZ$1),VLOOKUP('Traditional Attrition'!AZ$2-'Traditional Attrition'!$F45-1,'Traditional Attrition'!$A$7:$C$161,2,FALSE)*VLOOKUP(AZ$1,'Attrition Modeling'!$L$15:$N$27,IF(AZ$2-$F45&lt;=24,2,3),FALSE))*(1+Projection!BB$16)*(1+IF(AZ177&gt;0,'Attrition Modeling'!$N$9,0))),0))</f>
        <v>9048.7131103508873</v>
      </c>
      <c r="BA45" s="799">
        <f>IF(BA$2=$F45+1,Monthly!AW$21,IF(BA$2&gt;$F45+1,('Traditional Attrition'!AZ45+BA177)*(1-IF(BA$2-$F45&lt;=12,SUMIFS('Attrition Modeling'!$D:$D,'Attrition Modeling'!$B:$B,'Traditional Attrition'!$E45,'Attrition Modeling'!$C:$C,'Traditional Attrition'!BA$1),VLOOKUP('Traditional Attrition'!BA$2-'Traditional Attrition'!$F45-1,'Traditional Attrition'!$A$7:$C$161,2,FALSE)*VLOOKUP(BA$1,'Attrition Modeling'!$L$15:$N$27,IF(BA$2-$F45&lt;=24,2,3),FALSE))*(1+Projection!BC$16)*(1+IF(BA177&gt;0,'Attrition Modeling'!$N$9,0))),0))</f>
        <v>8205.807115234089</v>
      </c>
      <c r="BB45" s="799">
        <f>IF(BB$2=$F45+1,Monthly!AX$21,IF(BB$2&gt;$F45+1,('Traditional Attrition'!BA45+BB177)*(1-IF(BB$2-$F45&lt;=12,SUMIFS('Attrition Modeling'!$D:$D,'Attrition Modeling'!$B:$B,'Traditional Attrition'!$E45,'Attrition Modeling'!$C:$C,'Traditional Attrition'!BB$1),VLOOKUP('Traditional Attrition'!BB$2-'Traditional Attrition'!$F45-1,'Traditional Attrition'!$A$7:$C$161,2,FALSE)*VLOOKUP(BB$1,'Attrition Modeling'!$L$15:$N$27,IF(BB$2-$F45&lt;=24,2,3),FALSE))*(1+Projection!BD$16)*(1+IF(BB177&gt;0,'Attrition Modeling'!$N$9,0))),0))</f>
        <v>7485.7768356036986</v>
      </c>
      <c r="BC45" s="799">
        <f>IF(BC$2=$F45+1,Monthly!AY$21,IF(BC$2&gt;$F45+1,('Traditional Attrition'!BB45+BC177)*(1-IF(BC$2-$F45&lt;=12,SUMIFS('Attrition Modeling'!$D:$D,'Attrition Modeling'!$B:$B,'Traditional Attrition'!$E45,'Attrition Modeling'!$C:$C,'Traditional Attrition'!BC$1),VLOOKUP('Traditional Attrition'!BC$2-'Traditional Attrition'!$F45-1,'Traditional Attrition'!$A$7:$C$161,2,FALSE)*VLOOKUP(BC$1,'Attrition Modeling'!$L$15:$N$27,IF(BC$2-$F45&lt;=24,2,3),FALSE))*(1+Projection!BE$16)*(1+IF(BC177&gt;0,'Attrition Modeling'!$N$9,0))),0))</f>
        <v>7341.1846261209403</v>
      </c>
      <c r="BD45" s="799">
        <f>IF(BD$2=$F45+1,Monthly!AZ$21,IF(BD$2&gt;$F45+1,('Traditional Attrition'!BC45+BD177)*(1-IF(BD$2-$F45&lt;=12,SUMIFS('Attrition Modeling'!$D:$D,'Attrition Modeling'!$B:$B,'Traditional Attrition'!$E45,'Attrition Modeling'!$C:$C,'Traditional Attrition'!BD$1),VLOOKUP('Traditional Attrition'!BD$2-'Traditional Attrition'!$F45-1,'Traditional Attrition'!$A$7:$C$161,2,FALSE)*VLOOKUP(BD$1,'Attrition Modeling'!$L$15:$N$27,IF(BD$2-$F45&lt;=24,2,3),FALSE))*(1+Projection!BF$16)*(1+IF(BD177&gt;0,'Attrition Modeling'!$N$9,0))),0))</f>
        <v>6835.8354623611085</v>
      </c>
      <c r="BE45" s="799">
        <f>IF(BE$2=$F45+1,Monthly!BA$21,IF(BE$2&gt;$F45+1,('Traditional Attrition'!BD45+BE177)*(1-IF(BE$2-$F45&lt;=12,SUMIFS('Attrition Modeling'!$D:$D,'Attrition Modeling'!$B:$B,'Traditional Attrition'!$E45,'Attrition Modeling'!$C:$C,'Traditional Attrition'!BE$1),VLOOKUP('Traditional Attrition'!BE$2-'Traditional Attrition'!$F45-1,'Traditional Attrition'!$A$7:$C$161,2,FALSE)*VLOOKUP(BE$1,'Attrition Modeling'!$L$15:$N$27,IF(BE$2-$F45&lt;=24,2,3),FALSE))*(1+Projection!BG$16)*(1+IF(BE177&gt;0,'Attrition Modeling'!$N$9,0))),0))</f>
        <v>6413.6261005635815</v>
      </c>
      <c r="BF45" s="799">
        <f>IF(BF$2=$F45+1,Monthly!BB$21,IF(BF$2&gt;$F45+1,('Traditional Attrition'!BE45+BF177)*(1-IF(BF$2-$F45&lt;=12,SUMIFS('Attrition Modeling'!$D:$D,'Attrition Modeling'!$B:$B,'Traditional Attrition'!$E45,'Attrition Modeling'!$C:$C,'Traditional Attrition'!BF$1),VLOOKUP('Traditional Attrition'!BF$2-'Traditional Attrition'!$F45-1,'Traditional Attrition'!$A$7:$C$161,2,FALSE)*VLOOKUP(BF$1,'Attrition Modeling'!$L$15:$N$27,IF(BF$2-$F45&lt;=24,2,3),FALSE))*(1+Projection!BH$16)*(1+IF(BF177&gt;0,'Attrition Modeling'!$N$9,0))),0))</f>
        <v>5999.5125656363953</v>
      </c>
      <c r="BG45" s="799">
        <f>IF(BG$2=$F45+1,Monthly!BC$21,IF(BG$2&gt;$F45+1,('Traditional Attrition'!BF45+BG177)*(1-IF(BG$2-$F45&lt;=12,SUMIFS('Attrition Modeling'!$D:$D,'Attrition Modeling'!$B:$B,'Traditional Attrition'!$E45,'Attrition Modeling'!$C:$C,'Traditional Attrition'!BG$1),VLOOKUP('Traditional Attrition'!BG$2-'Traditional Attrition'!$F45-1,'Traditional Attrition'!$A$7:$C$161,2,FALSE)*VLOOKUP(BG$1,'Attrition Modeling'!$L$15:$N$27,IF(BG$2-$F45&lt;=24,2,3),FALSE))*(1+Projection!BI$16)*(1+IF(BG177&gt;0,'Attrition Modeling'!$N$9,0))),0))</f>
        <v>5667.9533433845418</v>
      </c>
      <c r="BH45" s="799">
        <f>IF(BH$2=$F45+1,Monthly!BD$21,IF(BH$2&gt;$F45+1,('Traditional Attrition'!BG45+BH177)*(1-IF(BH$2-$F45&lt;=12,SUMIFS('Attrition Modeling'!$D:$D,'Attrition Modeling'!$B:$B,'Traditional Attrition'!$E45,'Attrition Modeling'!$C:$C,'Traditional Attrition'!BH$1),VLOOKUP('Traditional Attrition'!BH$2-'Traditional Attrition'!$F45-1,'Traditional Attrition'!$A$7:$C$161,2,FALSE)*VLOOKUP(BH$1,'Attrition Modeling'!$L$15:$N$27,IF(BH$2-$F45&lt;=24,2,3),FALSE))*(1+Projection!BJ$16)*(1+IF(BH177&gt;0,'Attrition Modeling'!$N$9,0))),0))</f>
        <v>5343.1697545697898</v>
      </c>
      <c r="BI45" s="799">
        <f>IF(BI$2=$F45+1,Monthly!BE$21,IF(BI$2&gt;$F45+1,('Traditional Attrition'!BH45+BI177)*(1-IF(BI$2-$F45&lt;=12,SUMIFS('Attrition Modeling'!$D:$D,'Attrition Modeling'!$B:$B,'Traditional Attrition'!$E45,'Attrition Modeling'!$C:$C,'Traditional Attrition'!BI$1),VLOOKUP('Traditional Attrition'!BI$2-'Traditional Attrition'!$F45-1,'Traditional Attrition'!$A$7:$C$161,2,FALSE)*VLOOKUP(BI$1,'Attrition Modeling'!$L$15:$N$27,IF(BI$2-$F45&lt;=24,2,3),FALSE))*(1+Projection!BK$16)*(1+IF(BI177&gt;0,'Attrition Modeling'!$N$9,0))),0))</f>
        <v>5189.6106357471899</v>
      </c>
      <c r="BJ45" s="799">
        <f>IF(BJ$2=$F45+1,Monthly!BF$21,IF(BJ$2&gt;$F45+1,('Traditional Attrition'!BI45+BJ177)*(1-IF(BJ$2-$F45&lt;=12,SUMIFS('Attrition Modeling'!$D:$D,'Attrition Modeling'!$B:$B,'Traditional Attrition'!$E45,'Attrition Modeling'!$C:$C,'Traditional Attrition'!BJ$1),VLOOKUP('Traditional Attrition'!BJ$2-'Traditional Attrition'!$F45-1,'Traditional Attrition'!$A$7:$C$161,2,FALSE)*VLOOKUP(BJ$1,'Attrition Modeling'!$L$15:$N$27,IF(BJ$2-$F45&lt;=24,2,3),FALSE))*(1+Projection!BL$16)*(1+IF(BJ177&gt;0,'Attrition Modeling'!$N$9,0))),0))</f>
        <v>4888.6085013059592</v>
      </c>
      <c r="BK45" s="799">
        <f>IF(BK$2=$F45+1,Monthly!BG$21,IF(BK$2&gt;$F45+1,('Traditional Attrition'!BJ45+BK177)*(1-IF(BK$2-$F45&lt;=12,SUMIFS('Attrition Modeling'!$D:$D,'Attrition Modeling'!$B:$B,'Traditional Attrition'!$E45,'Attrition Modeling'!$C:$C,'Traditional Attrition'!BK$1),VLOOKUP('Traditional Attrition'!BK$2-'Traditional Attrition'!$F45-1,'Traditional Attrition'!$A$7:$C$161,2,FALSE)*VLOOKUP(BK$1,'Attrition Modeling'!$L$15:$N$27,IF(BK$2-$F45&lt;=24,2,3),FALSE))*(1+Projection!BM$16)*(1+IF(BK177&gt;0,'Attrition Modeling'!$N$9,0))),0))</f>
        <v>4615.3939023402854</v>
      </c>
      <c r="BL45" s="799">
        <f>IF(BL$2=$F45+1,Monthly!BH$21,IF(BL$2&gt;$F45+1,('Traditional Attrition'!BK45+BL177)*(1-IF(BL$2-$F45&lt;=12,SUMIFS('Attrition Modeling'!$D:$D,'Attrition Modeling'!$B:$B,'Traditional Attrition'!$E45,'Attrition Modeling'!$C:$C,'Traditional Attrition'!BL$1),VLOOKUP('Traditional Attrition'!BL$2-'Traditional Attrition'!$F45-1,'Traditional Attrition'!$A$7:$C$161,2,FALSE)*VLOOKUP(BL$1,'Attrition Modeling'!$L$15:$N$27,IF(BL$2-$F45&lt;=24,2,3),FALSE))*(1+Projection!BN$16)*(1+IF(BL177&gt;0,'Attrition Modeling'!$N$9,0))),0))</f>
        <v>4391.6985408886712</v>
      </c>
      <c r="BM45" s="799">
        <f>IF(BM$2=$F45+1,Monthly!BI$21,IF(BM$2&gt;$F45+1,('Traditional Attrition'!BL45+BM177)*(1-IF(BM$2-$F45&lt;=12,SUMIFS('Attrition Modeling'!$D:$D,'Attrition Modeling'!$B:$B,'Traditional Attrition'!$E45,'Attrition Modeling'!$C:$C,'Traditional Attrition'!BM$1),VLOOKUP('Traditional Attrition'!BM$2-'Traditional Attrition'!$F45-1,'Traditional Attrition'!$A$7:$C$161,2,FALSE)*VLOOKUP(BM$1,'Attrition Modeling'!$L$15:$N$27,IF(BM$2-$F45&lt;=24,2,3),FALSE))*(1+Projection!BO$16)*(1+IF(BM177&gt;0,'Attrition Modeling'!$N$9,0))),0))</f>
        <v>4181.8757668965973</v>
      </c>
      <c r="BN45" s="799">
        <f>IF(BN$2=$F45+1,Monthly!BJ$21,IF(BN$2&gt;$F45+1,('Traditional Attrition'!BM45+BN177)*(1-IF(BN$2-$F45&lt;=12,SUMIFS('Attrition Modeling'!$D:$D,'Attrition Modeling'!$B:$B,'Traditional Attrition'!$E45,'Attrition Modeling'!$C:$C,'Traditional Attrition'!BN$1),VLOOKUP('Traditional Attrition'!BN$2-'Traditional Attrition'!$F45-1,'Traditional Attrition'!$A$7:$C$161,2,FALSE)*VLOOKUP(BN$1,'Attrition Modeling'!$L$15:$N$27,IF(BN$2-$F45&lt;=24,2,3),FALSE))*(1+Projection!BP$16)*(1+IF(BN177&gt;0,'Attrition Modeling'!$N$9,0))),0))</f>
        <v>3995.3243404424752</v>
      </c>
      <c r="BO45" s="799">
        <f>IF(BO$2=$F45+1,Monthly!BK$21,IF(BO$2&gt;$F45+1,('Traditional Attrition'!BN45+BO177)*(1-IF(BO$2-$F45&lt;=12,SUMIFS('Attrition Modeling'!$D:$D,'Attrition Modeling'!$B:$B,'Traditional Attrition'!$E45,'Attrition Modeling'!$C:$C,'Traditional Attrition'!BO$1),VLOOKUP('Traditional Attrition'!BO$2-'Traditional Attrition'!$F45-1,'Traditional Attrition'!$A$7:$C$161,2,FALSE)*VLOOKUP(BO$1,'Attrition Modeling'!$L$15:$N$27,IF(BO$2-$F45&lt;=24,2,3),FALSE))*(1+Projection!BV$16)*(1+IF(BO177&gt;0,'Attrition Modeling'!$N$9,0))),0))</f>
        <v>4152.6729475388011</v>
      </c>
      <c r="BP45" s="799">
        <f>IF(BP$2=$F45+1,Monthly!BL$21,IF(BP$2&gt;$F45+1,('Traditional Attrition'!BO45+BP177)*(1-IF(BP$2-$F45&lt;=12,SUMIFS('Attrition Modeling'!$D:$D,'Attrition Modeling'!$B:$B,'Traditional Attrition'!$E45,'Attrition Modeling'!$C:$C,'Traditional Attrition'!BP$1),VLOOKUP('Traditional Attrition'!BP$2-'Traditional Attrition'!$F45-1,'Traditional Attrition'!$A$7:$C$161,2,FALSE)*VLOOKUP(BP$1,'Attrition Modeling'!$L$15:$N$27,IF(BP$2-$F45&lt;=24,2,3),FALSE))*(1+Projection!BW$16)*(1+IF(BP177&gt;0,'Attrition Modeling'!$N$9,0))),0))</f>
        <v>3977.5874166043695</v>
      </c>
      <c r="BQ45" s="799">
        <f>IF(BQ$2=$F45+1,Monthly!BM$21,IF(BQ$2&gt;$F45+1,('Traditional Attrition'!BP45+BQ177)*(1-IF(BQ$2-$F45&lt;=12,SUMIFS('Attrition Modeling'!$D:$D,'Attrition Modeling'!$B:$B,'Traditional Attrition'!$E45,'Attrition Modeling'!$C:$C,'Traditional Attrition'!BQ$1),VLOOKUP('Traditional Attrition'!BQ$2-'Traditional Attrition'!$F45-1,'Traditional Attrition'!$A$7:$C$161,2,FALSE)*VLOOKUP(BQ$1,'Attrition Modeling'!$L$15:$N$27,IF(BQ$2-$F45&lt;=24,2,3),FALSE))*(1+Projection!BX$16)*(1+IF(BQ177&gt;0,'Attrition Modeling'!$N$9,0))),0))</f>
        <v>3829.1755555685208</v>
      </c>
      <c r="BR45" s="799">
        <f>IF(BR$2=$F45+1,Monthly!BN$21,IF(BR$2&gt;$F45+1,('Traditional Attrition'!BQ45+BR177)*(1-IF(BR$2-$F45&lt;=12,SUMIFS('Attrition Modeling'!$D:$D,'Attrition Modeling'!$B:$B,'Traditional Attrition'!$E45,'Attrition Modeling'!$C:$C,'Traditional Attrition'!BR$1),VLOOKUP('Traditional Attrition'!BR$2-'Traditional Attrition'!$F45-1,'Traditional Attrition'!$A$7:$C$161,2,FALSE)*VLOOKUP(BR$1,'Attrition Modeling'!$L$15:$N$27,IF(BR$2-$F45&lt;=24,2,3),FALSE))*(1+Projection!BY$16)*(1+IF(BR177&gt;0,'Attrition Modeling'!$N$9,0))),0))</f>
        <v>3676.3051669651986</v>
      </c>
      <c r="BS45" s="799">
        <f>IF(BS$2=$F45+1,Monthly!BO$21,IF(BS$2&gt;$F45+1,('Traditional Attrition'!BR45+BS177)*(1-IF(BS$2-$F45&lt;=12,SUMIFS('Attrition Modeling'!$D:$D,'Attrition Modeling'!$B:$B,'Traditional Attrition'!$E45,'Attrition Modeling'!$C:$C,'Traditional Attrition'!BS$1),VLOOKUP('Traditional Attrition'!BS$2-'Traditional Attrition'!$F45-1,'Traditional Attrition'!$A$7:$C$161,2,FALSE)*VLOOKUP(BS$1,'Attrition Modeling'!$L$15:$N$27,IF(BS$2-$F45&lt;=24,2,3),FALSE))*(1+Projection!BZ$16)*(1+IF(BS177&gt;0,'Attrition Modeling'!$N$9,0))),0))</f>
        <v>3534.2431560022987</v>
      </c>
      <c r="BT45" s="799">
        <f>IF(BT$2=$F45+1,Monthly!#REF!,IF(BT$2&gt;$F45+1,('Traditional Attrition'!BS45+BT177)*(1-IF(BT$2-$F45&lt;=12,SUMIFS('Attrition Modeling'!$D:$D,'Attrition Modeling'!$B:$B,'Traditional Attrition'!$E45,'Attrition Modeling'!$C:$C,'Traditional Attrition'!BT$1),VLOOKUP('Traditional Attrition'!BT$2-'Traditional Attrition'!$F45-1,'Traditional Attrition'!$A$7:$C$161,2,FALSE)*VLOOKUP(BT$1,'Attrition Modeling'!$L$15:$N$27,IF(BT$2-$F45&lt;=24,2,3),FALSE))*(1+Projection!CA$16)*(1+IF(BT177&gt;0,'Attrition Modeling'!$N$9,0))),0))</f>
        <v>3400.5833792021635</v>
      </c>
      <c r="BU45" s="799">
        <f>IF(BU$2=$F45+1,Monthly!#REF!,IF(BU$2&gt;$F45+1,('Traditional Attrition'!BT45+BU177)*(1-IF(BU$2-$F45&lt;=12,SUMIFS('Attrition Modeling'!$D:$D,'Attrition Modeling'!$B:$B,'Traditional Attrition'!$E45,'Attrition Modeling'!$C:$C,'Traditional Attrition'!BU$1),VLOOKUP('Traditional Attrition'!BU$2-'Traditional Attrition'!$F45-1,'Traditional Attrition'!$A$7:$C$161,2,FALSE)*VLOOKUP(BU$1,'Attrition Modeling'!$L$15:$N$27,IF(BU$2-$F45&lt;=24,2,3),FALSE))*(1+Projection!CB$16)*(1+IF(BU177&gt;0,'Attrition Modeling'!$N$9,0))),0))</f>
        <v>3261.259670947652</v>
      </c>
    </row>
    <row r="46" spans="1:73" ht="14.25" customHeight="1" x14ac:dyDescent="0.2">
      <c r="A46" s="9">
        <v>39</v>
      </c>
      <c r="B46" s="25">
        <f>MAX('Attrition Modeling'!H43,$C$3)*(1-Summary!$C$20)</f>
        <v>2.8957172447224414E-2</v>
      </c>
      <c r="C46" s="24" t="e">
        <f t="shared" si="4"/>
        <v>#DIV/0!</v>
      </c>
      <c r="E46" s="11">
        <f t="shared" si="2"/>
        <v>7</v>
      </c>
      <c r="F46" s="11">
        <f t="shared" si="3"/>
        <v>43</v>
      </c>
      <c r="G46" s="799"/>
      <c r="H46" s="799">
        <f>IF(H$2=$F46+1,Monthly!D$21,IF(H$2&gt;$F46+1,('Traditional Attrition'!G46+H178)*(1-IF(H$2-$F46&lt;=12,SUMIFS('Attrition Modeling'!$D:$D,'Attrition Modeling'!$B:$B,'Traditional Attrition'!$E46,'Attrition Modeling'!$C:$C,'Traditional Attrition'!H$1),VLOOKUP('Traditional Attrition'!H$2-'Traditional Attrition'!$F46-1,'Traditional Attrition'!$A$7:$C$161,2,FALSE)*VLOOKUP(H$1,'Attrition Modeling'!$L$15:$N$27,IF(H$2-$F46&lt;=24,2,3),FALSE))*(1+Projection!J$16)*(1+IF(H178&gt;0,'Attrition Modeling'!$N$9,0))),0))</f>
        <v>0</v>
      </c>
      <c r="I46" s="799">
        <f>IF(I$2=$F46+1,Monthly!E$21,IF(I$2&gt;$F46+1,('Traditional Attrition'!H46+I178)*(1-IF(I$2-$F46&lt;=12,SUMIFS('Attrition Modeling'!$D:$D,'Attrition Modeling'!$B:$B,'Traditional Attrition'!$E46,'Attrition Modeling'!$C:$C,'Traditional Attrition'!I$1),VLOOKUP('Traditional Attrition'!I$2-'Traditional Attrition'!$F46-1,'Traditional Attrition'!$A$7:$C$161,2,FALSE)*VLOOKUP(I$1,'Attrition Modeling'!$L$15:$N$27,IF(I$2-$F46&lt;=24,2,3),FALSE))*(1+Projection!K$16)*(1+IF(I178&gt;0,'Attrition Modeling'!$N$9,0))),0))</f>
        <v>0</v>
      </c>
      <c r="J46" s="799">
        <f>IF(J$2=$F46+1,Monthly!F$21,IF(J$2&gt;$F46+1,('Traditional Attrition'!I46+J178)*(1-IF(J$2-$F46&lt;=12,SUMIFS('Attrition Modeling'!$D:$D,'Attrition Modeling'!$B:$B,'Traditional Attrition'!$E46,'Attrition Modeling'!$C:$C,'Traditional Attrition'!J$1),VLOOKUP('Traditional Attrition'!J$2-'Traditional Attrition'!$F46-1,'Traditional Attrition'!$A$7:$C$161,2,FALSE)*VLOOKUP(J$1,'Attrition Modeling'!$L$15:$N$27,IF(J$2-$F46&lt;=24,2,3),FALSE))*(1+Projection!L$16)*(1+IF(J178&gt;0,'Attrition Modeling'!$N$9,0))),0))</f>
        <v>0</v>
      </c>
      <c r="K46" s="799">
        <f>IF(K$2=$F46+1,Monthly!G$21,IF(K$2&gt;$F46+1,('Traditional Attrition'!J46+K178)*(1-IF(K$2-$F46&lt;=12,SUMIFS('Attrition Modeling'!$D:$D,'Attrition Modeling'!$B:$B,'Traditional Attrition'!$E46,'Attrition Modeling'!$C:$C,'Traditional Attrition'!K$1),VLOOKUP('Traditional Attrition'!K$2-'Traditional Attrition'!$F46-1,'Traditional Attrition'!$A$7:$C$161,2,FALSE)*VLOOKUP(K$1,'Attrition Modeling'!$L$15:$N$27,IF(K$2-$F46&lt;=24,2,3),FALSE))*(1+Projection!M$16)*(1+IF(K178&gt;0,'Attrition Modeling'!$N$9,0))),0))</f>
        <v>0</v>
      </c>
      <c r="L46" s="799">
        <f>IF(L$2=$F46+1,Monthly!H$21,IF(L$2&gt;$F46+1,('Traditional Attrition'!K46+L178)*(1-IF(L$2-$F46&lt;=12,SUMIFS('Attrition Modeling'!$D:$D,'Attrition Modeling'!$B:$B,'Traditional Attrition'!$E46,'Attrition Modeling'!$C:$C,'Traditional Attrition'!L$1),VLOOKUP('Traditional Attrition'!L$2-'Traditional Attrition'!$F46-1,'Traditional Attrition'!$A$7:$C$161,2,FALSE)*VLOOKUP(L$1,'Attrition Modeling'!$L$15:$N$27,IF(L$2-$F46&lt;=24,2,3),FALSE))*(1+Projection!N$16)*(1+IF(L178&gt;0,'Attrition Modeling'!$N$9,0))),0))</f>
        <v>0</v>
      </c>
      <c r="M46" s="799">
        <f>IF(M$2=$F46+1,Monthly!I$21,IF(M$2&gt;$F46+1,('Traditional Attrition'!L46+M178)*(1-IF(M$2-$F46&lt;=12,SUMIFS('Attrition Modeling'!$D:$D,'Attrition Modeling'!$B:$B,'Traditional Attrition'!$E46,'Attrition Modeling'!$C:$C,'Traditional Attrition'!M$1),VLOOKUP('Traditional Attrition'!M$2-'Traditional Attrition'!$F46-1,'Traditional Attrition'!$A$7:$C$161,2,FALSE)*VLOOKUP(M$1,'Attrition Modeling'!$L$15:$N$27,IF(M$2-$F46&lt;=24,2,3),FALSE))*(1+Projection!O$16)*(1+IF(M178&gt;0,'Attrition Modeling'!$N$9,0))),0))</f>
        <v>0</v>
      </c>
      <c r="N46" s="799">
        <f>IF(N$2=$F46+1,Monthly!J$21,IF(N$2&gt;$F46+1,('Traditional Attrition'!M46+N178)*(1-IF(N$2-$F46&lt;=12,SUMIFS('Attrition Modeling'!$D:$D,'Attrition Modeling'!$B:$B,'Traditional Attrition'!$E46,'Attrition Modeling'!$C:$C,'Traditional Attrition'!N$1),VLOOKUP('Traditional Attrition'!N$2-'Traditional Attrition'!$F46-1,'Traditional Attrition'!$A$7:$C$161,2,FALSE)*VLOOKUP(N$1,'Attrition Modeling'!$L$15:$N$27,IF(N$2-$F46&lt;=24,2,3),FALSE))*(1+Projection!P$16)*(1+IF(N178&gt;0,'Attrition Modeling'!$N$9,0))),0))</f>
        <v>0</v>
      </c>
      <c r="O46" s="799">
        <f>IF(O$2=$F46+1,Monthly!K$21,IF(O$2&gt;$F46+1,('Traditional Attrition'!N46+O178)*(1-IF(O$2-$F46&lt;=12,SUMIFS('Attrition Modeling'!$D:$D,'Attrition Modeling'!$B:$B,'Traditional Attrition'!$E46,'Attrition Modeling'!$C:$C,'Traditional Attrition'!O$1),VLOOKUP('Traditional Attrition'!O$2-'Traditional Attrition'!$F46-1,'Traditional Attrition'!$A$7:$C$161,2,FALSE)*VLOOKUP(O$1,'Attrition Modeling'!$L$15:$N$27,IF(O$2-$F46&lt;=24,2,3),FALSE))*(1+Projection!Q$16)*(1+IF(O178&gt;0,'Attrition Modeling'!$N$9,0))),0))</f>
        <v>0</v>
      </c>
      <c r="P46" s="799">
        <f>IF(P$2=$F46+1,Monthly!L$21,IF(P$2&gt;$F46+1,('Traditional Attrition'!O46+P178)*(1-IF(P$2-$F46&lt;=12,SUMIFS('Attrition Modeling'!$D:$D,'Attrition Modeling'!$B:$B,'Traditional Attrition'!$E46,'Attrition Modeling'!$C:$C,'Traditional Attrition'!P$1),VLOOKUP('Traditional Attrition'!P$2-'Traditional Attrition'!$F46-1,'Traditional Attrition'!$A$7:$C$161,2,FALSE)*VLOOKUP(P$1,'Attrition Modeling'!$L$15:$N$27,IF(P$2-$F46&lt;=24,2,3),FALSE))*(1+Projection!R$16)*(1+IF(P178&gt;0,'Attrition Modeling'!$N$9,0))),0))</f>
        <v>0</v>
      </c>
      <c r="Q46" s="799">
        <f>IF(Q$2=$F46+1,Monthly!M$21,IF(Q$2&gt;$F46+1,('Traditional Attrition'!P46+Q178)*(1-IF(Q$2-$F46&lt;=12,SUMIFS('Attrition Modeling'!$D:$D,'Attrition Modeling'!$B:$B,'Traditional Attrition'!$E46,'Attrition Modeling'!$C:$C,'Traditional Attrition'!Q$1),VLOOKUP('Traditional Attrition'!Q$2-'Traditional Attrition'!$F46-1,'Traditional Attrition'!$A$7:$C$161,2,FALSE)*VLOOKUP(Q$1,'Attrition Modeling'!$L$15:$N$27,IF(Q$2-$F46&lt;=24,2,3),FALSE))*(1+Projection!S$16)*(1+IF(Q178&gt;0,'Attrition Modeling'!$N$9,0))),0))</f>
        <v>0</v>
      </c>
      <c r="R46" s="799">
        <f>IF(R$2=$F46+1,Monthly!N$21,IF(R$2&gt;$F46+1,('Traditional Attrition'!Q46+R178)*(1-IF(R$2-$F46&lt;=12,SUMIFS('Attrition Modeling'!$D:$D,'Attrition Modeling'!$B:$B,'Traditional Attrition'!$E46,'Attrition Modeling'!$C:$C,'Traditional Attrition'!R$1),VLOOKUP('Traditional Attrition'!R$2-'Traditional Attrition'!$F46-1,'Traditional Attrition'!$A$7:$C$161,2,FALSE)*VLOOKUP(R$1,'Attrition Modeling'!$L$15:$N$27,IF(R$2-$F46&lt;=24,2,3),FALSE))*(1+Projection!T$16)*(1+IF(R178&gt;0,'Attrition Modeling'!$N$9,0))),0))</f>
        <v>0</v>
      </c>
      <c r="S46" s="799">
        <f>IF(S$2=$F46+1,Monthly!O$21,IF(S$2&gt;$F46+1,('Traditional Attrition'!R46+S178)*(1-IF(S$2-$F46&lt;=12,SUMIFS('Attrition Modeling'!$D:$D,'Attrition Modeling'!$B:$B,'Traditional Attrition'!$E46,'Attrition Modeling'!$C:$C,'Traditional Attrition'!S$1),VLOOKUP('Traditional Attrition'!S$2-'Traditional Attrition'!$F46-1,'Traditional Attrition'!$A$7:$C$161,2,FALSE)*VLOOKUP(S$1,'Attrition Modeling'!$L$15:$N$27,IF(S$2-$F46&lt;=24,2,3),FALSE))*(1+Projection!U$16)*(1+IF(S178&gt;0,'Attrition Modeling'!$N$9,0))),0))</f>
        <v>0</v>
      </c>
      <c r="T46" s="799">
        <f>IF(T$2=$F46+1,Monthly!P$21,IF(T$2&gt;$F46+1,('Traditional Attrition'!S46+T178)*(1-IF(T$2-$F46&lt;=12,SUMIFS('Attrition Modeling'!$D:$D,'Attrition Modeling'!$B:$B,'Traditional Attrition'!$E46,'Attrition Modeling'!$C:$C,'Traditional Attrition'!T$1),VLOOKUP('Traditional Attrition'!T$2-'Traditional Attrition'!$F46-1,'Traditional Attrition'!$A$7:$C$161,2,FALSE)*VLOOKUP(T$1,'Attrition Modeling'!$L$15:$N$27,IF(T$2-$F46&lt;=24,2,3),FALSE))*(1+Projection!V$16)*(1+IF(T178&gt;0,'Attrition Modeling'!$N$9,0))),0))</f>
        <v>0</v>
      </c>
      <c r="U46" s="799">
        <f>IF(U$2=$F46+1,Monthly!Q$21,IF(U$2&gt;$F46+1,('Traditional Attrition'!T46+U178)*(1-IF(U$2-$F46&lt;=12,SUMIFS('Attrition Modeling'!$D:$D,'Attrition Modeling'!$B:$B,'Traditional Attrition'!$E46,'Attrition Modeling'!$C:$C,'Traditional Attrition'!U$1),VLOOKUP('Traditional Attrition'!U$2-'Traditional Attrition'!$F46-1,'Traditional Attrition'!$A$7:$C$161,2,FALSE)*VLOOKUP(U$1,'Attrition Modeling'!$L$15:$N$27,IF(U$2-$F46&lt;=24,2,3),FALSE))*(1+Projection!W$16)*(1+IF(U178&gt;0,'Attrition Modeling'!$N$9,0))),0))</f>
        <v>0</v>
      </c>
      <c r="V46" s="799">
        <f>IF(V$2=$F46+1,Monthly!R$21,IF(V$2&gt;$F46+1,('Traditional Attrition'!U46+V178)*(1-IF(V$2-$F46&lt;=12,SUMIFS('Attrition Modeling'!$D:$D,'Attrition Modeling'!$B:$B,'Traditional Attrition'!$E46,'Attrition Modeling'!$C:$C,'Traditional Attrition'!V$1),VLOOKUP('Traditional Attrition'!V$2-'Traditional Attrition'!$F46-1,'Traditional Attrition'!$A$7:$C$161,2,FALSE)*VLOOKUP(V$1,'Attrition Modeling'!$L$15:$N$27,IF(V$2-$F46&lt;=24,2,3),FALSE))*(1+Projection!X$16)*(1+IF(V178&gt;0,'Attrition Modeling'!$N$9,0))),0))</f>
        <v>0</v>
      </c>
      <c r="W46" s="799">
        <f>IF(W$2=$F46+1,Monthly!S$21,IF(W$2&gt;$F46+1,('Traditional Attrition'!V46+W178)*(1-IF(W$2-$F46&lt;=12,SUMIFS('Attrition Modeling'!$D:$D,'Attrition Modeling'!$B:$B,'Traditional Attrition'!$E46,'Attrition Modeling'!$C:$C,'Traditional Attrition'!W$1),VLOOKUP('Traditional Attrition'!W$2-'Traditional Attrition'!$F46-1,'Traditional Attrition'!$A$7:$C$161,2,FALSE)*VLOOKUP(W$1,'Attrition Modeling'!$L$15:$N$27,IF(W$2-$F46&lt;=24,2,3),FALSE))*(1+Projection!Y$16)*(1+IF(W178&gt;0,'Attrition Modeling'!$N$9,0))),0))</f>
        <v>0</v>
      </c>
      <c r="X46" s="799">
        <f>IF(X$2=$F46+1,Monthly!T$21,IF(X$2&gt;$F46+1,('Traditional Attrition'!W46+X178)*(1-IF(X$2-$F46&lt;=12,SUMIFS('Attrition Modeling'!$D:$D,'Attrition Modeling'!$B:$B,'Traditional Attrition'!$E46,'Attrition Modeling'!$C:$C,'Traditional Attrition'!X$1),VLOOKUP('Traditional Attrition'!X$2-'Traditional Attrition'!$F46-1,'Traditional Attrition'!$A$7:$C$161,2,FALSE)*VLOOKUP(X$1,'Attrition Modeling'!$L$15:$N$27,IF(X$2-$F46&lt;=24,2,3),FALSE))*(1+Projection!Z$16)*(1+IF(X178&gt;0,'Attrition Modeling'!$N$9,0))),0))</f>
        <v>0</v>
      </c>
      <c r="Y46" s="799">
        <f>IF(Y$2=$F46+1,Monthly!U$21,IF(Y$2&gt;$F46+1,('Traditional Attrition'!X46+Y178)*(1-IF(Y$2-$F46&lt;=12,SUMIFS('Attrition Modeling'!$D:$D,'Attrition Modeling'!$B:$B,'Traditional Attrition'!$E46,'Attrition Modeling'!$C:$C,'Traditional Attrition'!Y$1),VLOOKUP('Traditional Attrition'!Y$2-'Traditional Attrition'!$F46-1,'Traditional Attrition'!$A$7:$C$161,2,FALSE)*VLOOKUP(Y$1,'Attrition Modeling'!$L$15:$N$27,IF(Y$2-$F46&lt;=24,2,3),FALSE))*(1+Projection!AA$16)*(1+IF(Y178&gt;0,'Attrition Modeling'!$N$9,0))),0))</f>
        <v>0</v>
      </c>
      <c r="Z46" s="799">
        <f>IF(Z$2=$F46+1,Monthly!V$21,IF(Z$2&gt;$F46+1,('Traditional Attrition'!Y46+Z178)*(1-IF(Z$2-$F46&lt;=12,SUMIFS('Attrition Modeling'!$D:$D,'Attrition Modeling'!$B:$B,'Traditional Attrition'!$E46,'Attrition Modeling'!$C:$C,'Traditional Attrition'!Z$1),VLOOKUP('Traditional Attrition'!Z$2-'Traditional Attrition'!$F46-1,'Traditional Attrition'!$A$7:$C$161,2,FALSE)*VLOOKUP(Z$1,'Attrition Modeling'!$L$15:$N$27,IF(Z$2-$F46&lt;=24,2,3),FALSE))*(1+Projection!AB$16)*(1+IF(Z178&gt;0,'Attrition Modeling'!$N$9,0))),0))</f>
        <v>0</v>
      </c>
      <c r="AA46" s="799">
        <f>IF(AA$2=$F46+1,Monthly!W$21,IF(AA$2&gt;$F46+1,('Traditional Attrition'!Z46+AA178)*(1-IF(AA$2-$F46&lt;=12,SUMIFS('Attrition Modeling'!$D:$D,'Attrition Modeling'!$B:$B,'Traditional Attrition'!$E46,'Attrition Modeling'!$C:$C,'Traditional Attrition'!AA$1),VLOOKUP('Traditional Attrition'!AA$2-'Traditional Attrition'!$F46-1,'Traditional Attrition'!$A$7:$C$161,2,FALSE)*VLOOKUP(AA$1,'Attrition Modeling'!$L$15:$N$27,IF(AA$2-$F46&lt;=24,2,3),FALSE))*(1+Projection!AC$16)*(1+IF(AA178&gt;0,'Attrition Modeling'!$N$9,0))),0))</f>
        <v>0</v>
      </c>
      <c r="AB46" s="799">
        <f>IF(AB$2=$F46+1,Monthly!X$21,IF(AB$2&gt;$F46+1,('Traditional Attrition'!AA46+AB178)*(1-IF(AB$2-$F46&lt;=12,SUMIFS('Attrition Modeling'!$D:$D,'Attrition Modeling'!$B:$B,'Traditional Attrition'!$E46,'Attrition Modeling'!$C:$C,'Traditional Attrition'!AB$1),VLOOKUP('Traditional Attrition'!AB$2-'Traditional Attrition'!$F46-1,'Traditional Attrition'!$A$7:$C$161,2,FALSE)*VLOOKUP(AB$1,'Attrition Modeling'!$L$15:$N$27,IF(AB$2-$F46&lt;=24,2,3),FALSE))*(1+Projection!AD$16)*(1+IF(AB178&gt;0,'Attrition Modeling'!$N$9,0))),0))</f>
        <v>0</v>
      </c>
      <c r="AC46" s="799">
        <f>IF(AC$2=$F46+1,Monthly!Y$21,IF(AC$2&gt;$F46+1,('Traditional Attrition'!AB46+AC178)*(1-IF(AC$2-$F46&lt;=12,SUMIFS('Attrition Modeling'!$D:$D,'Attrition Modeling'!$B:$B,'Traditional Attrition'!$E46,'Attrition Modeling'!$C:$C,'Traditional Attrition'!AC$1),VLOOKUP('Traditional Attrition'!AC$2-'Traditional Attrition'!$F46-1,'Traditional Attrition'!$A$7:$C$161,2,FALSE)*VLOOKUP(AC$1,'Attrition Modeling'!$L$15:$N$27,IF(AC$2-$F46&lt;=24,2,3),FALSE))*(1+Projection!AE$16)*(1+IF(AC178&gt;0,'Attrition Modeling'!$N$9,0))),0))</f>
        <v>0</v>
      </c>
      <c r="AD46" s="799">
        <f>IF(AD$2=$F46+1,Monthly!Z$21,IF(AD$2&gt;$F46+1,('Traditional Attrition'!AC46+AD178)*(1-IF(AD$2-$F46&lt;=12,SUMIFS('Attrition Modeling'!$D:$D,'Attrition Modeling'!$B:$B,'Traditional Attrition'!$E46,'Attrition Modeling'!$C:$C,'Traditional Attrition'!AD$1),VLOOKUP('Traditional Attrition'!AD$2-'Traditional Attrition'!$F46-1,'Traditional Attrition'!$A$7:$C$161,2,FALSE)*VLOOKUP(AD$1,'Attrition Modeling'!$L$15:$N$27,IF(AD$2-$F46&lt;=24,2,3),FALSE))*(1+Projection!AF$16)*(1+IF(AD178&gt;0,'Attrition Modeling'!$N$9,0))),0))</f>
        <v>0</v>
      </c>
      <c r="AE46" s="799">
        <f>IF(AE$2=$F46+1,Monthly!AA$21,IF(AE$2&gt;$F46+1,('Traditional Attrition'!AD46+AE178)*(1-IF(AE$2-$F46&lt;=12,SUMIFS('Attrition Modeling'!$D:$D,'Attrition Modeling'!$B:$B,'Traditional Attrition'!$E46,'Attrition Modeling'!$C:$C,'Traditional Attrition'!AE$1),VLOOKUP('Traditional Attrition'!AE$2-'Traditional Attrition'!$F46-1,'Traditional Attrition'!$A$7:$C$161,2,FALSE)*VLOOKUP(AE$1,'Attrition Modeling'!$L$15:$N$27,IF(AE$2-$F46&lt;=24,2,3),FALSE))*(1+Projection!AG$16)*(1+IF(AE178&gt;0,'Attrition Modeling'!$N$9,0))),0))</f>
        <v>0</v>
      </c>
      <c r="AF46" s="799">
        <f>IF(AF$2=$F46+1,Monthly!AB$21,IF(AF$2&gt;$F46+1,('Traditional Attrition'!AE46+AF178)*(1-IF(AF$2-$F46&lt;=12,SUMIFS('Attrition Modeling'!$D:$D,'Attrition Modeling'!$B:$B,'Traditional Attrition'!$E46,'Attrition Modeling'!$C:$C,'Traditional Attrition'!AF$1),VLOOKUP('Traditional Attrition'!AF$2-'Traditional Attrition'!$F46-1,'Traditional Attrition'!$A$7:$C$161,2,FALSE)*VLOOKUP(AF$1,'Attrition Modeling'!$L$15:$N$27,IF(AF$2-$F46&lt;=24,2,3),FALSE))*(1+Projection!AH$16)*(1+IF(AF178&gt;0,'Attrition Modeling'!$N$9,0))),0))</f>
        <v>0</v>
      </c>
      <c r="AG46" s="799">
        <f>IF(AG$2=$F46+1,Monthly!AC$21,IF(AG$2&gt;$F46+1,('Traditional Attrition'!AF46+AG178)*(1-IF(AG$2-$F46&lt;=12,SUMIFS('Attrition Modeling'!$D:$D,'Attrition Modeling'!$B:$B,'Traditional Attrition'!$E46,'Attrition Modeling'!$C:$C,'Traditional Attrition'!AG$1),VLOOKUP('Traditional Attrition'!AG$2-'Traditional Attrition'!$F46-1,'Traditional Attrition'!$A$7:$C$161,2,FALSE)*VLOOKUP(AG$1,'Attrition Modeling'!$L$15:$N$27,IF(AG$2-$F46&lt;=24,2,3),FALSE))*(1+Projection!AI$16)*(1+IF(AG178&gt;0,'Attrition Modeling'!$N$9,0))),0))</f>
        <v>0</v>
      </c>
      <c r="AH46" s="799">
        <f>IF(AH$2=$F46+1,Monthly!AD$21,IF(AH$2&gt;$F46+1,('Traditional Attrition'!AG46+AH178)*(1-IF(AH$2-$F46&lt;=12,SUMIFS('Attrition Modeling'!$D:$D,'Attrition Modeling'!$B:$B,'Traditional Attrition'!$E46,'Attrition Modeling'!$C:$C,'Traditional Attrition'!AH$1),VLOOKUP('Traditional Attrition'!AH$2-'Traditional Attrition'!$F46-1,'Traditional Attrition'!$A$7:$C$161,2,FALSE)*VLOOKUP(AH$1,'Attrition Modeling'!$L$15:$N$27,IF(AH$2-$F46&lt;=24,2,3),FALSE))*(1+Projection!AJ$16)*(1+IF(AH178&gt;0,'Attrition Modeling'!$N$9,0))),0))</f>
        <v>0</v>
      </c>
      <c r="AI46" s="799">
        <f>IF(AI$2=$F46+1,Monthly!AE$21,IF(AI$2&gt;$F46+1,('Traditional Attrition'!AH46+AI178)*(1-IF(AI$2-$F46&lt;=12,SUMIFS('Attrition Modeling'!$D:$D,'Attrition Modeling'!$B:$B,'Traditional Attrition'!$E46,'Attrition Modeling'!$C:$C,'Traditional Attrition'!AI$1),VLOOKUP('Traditional Attrition'!AI$2-'Traditional Attrition'!$F46-1,'Traditional Attrition'!$A$7:$C$161,2,FALSE)*VLOOKUP(AI$1,'Attrition Modeling'!$L$15:$N$27,IF(AI$2-$F46&lt;=24,2,3),FALSE))*(1+Projection!AK$16)*(1+IF(AI178&gt;0,'Attrition Modeling'!$N$9,0))),0))</f>
        <v>0</v>
      </c>
      <c r="AJ46" s="799">
        <f>IF(AJ$2=$F46+1,Monthly!AF$21,IF(AJ$2&gt;$F46+1,('Traditional Attrition'!AI46+AJ178)*(1-IF(AJ$2-$F46&lt;=12,SUMIFS('Attrition Modeling'!$D:$D,'Attrition Modeling'!$B:$B,'Traditional Attrition'!$E46,'Attrition Modeling'!$C:$C,'Traditional Attrition'!AJ$1),VLOOKUP('Traditional Attrition'!AJ$2-'Traditional Attrition'!$F46-1,'Traditional Attrition'!$A$7:$C$161,2,FALSE)*VLOOKUP(AJ$1,'Attrition Modeling'!$L$15:$N$27,IF(AJ$2-$F46&lt;=24,2,3),FALSE))*(1+Projection!AL$16)*(1+IF(AJ178&gt;0,'Attrition Modeling'!$N$9,0))),0))</f>
        <v>0</v>
      </c>
      <c r="AK46" s="799">
        <f>IF(AK$2=$F46+1,Monthly!AG$21,IF(AK$2&gt;$F46+1,('Traditional Attrition'!AJ46+AK178)*(1-IF(AK$2-$F46&lt;=12,SUMIFS('Attrition Modeling'!$D:$D,'Attrition Modeling'!$B:$B,'Traditional Attrition'!$E46,'Attrition Modeling'!$C:$C,'Traditional Attrition'!AK$1),VLOOKUP('Traditional Attrition'!AK$2-'Traditional Attrition'!$F46-1,'Traditional Attrition'!$A$7:$C$161,2,FALSE)*VLOOKUP(AK$1,'Attrition Modeling'!$L$15:$N$27,IF(AK$2-$F46&lt;=24,2,3),FALSE))*(1+Projection!AM$16)*(1+IF(AK178&gt;0,'Attrition Modeling'!$N$9,0))),0))</f>
        <v>0</v>
      </c>
      <c r="AL46" s="799">
        <f>IF(AL$2=$F46+1,Monthly!AH$21,IF(AL$2&gt;$F46+1,('Traditional Attrition'!AK46+AL178)*(1-IF(AL$2-$F46&lt;=12,SUMIFS('Attrition Modeling'!$D:$D,'Attrition Modeling'!$B:$B,'Traditional Attrition'!$E46,'Attrition Modeling'!$C:$C,'Traditional Attrition'!AL$1),VLOOKUP('Traditional Attrition'!AL$2-'Traditional Attrition'!$F46-1,'Traditional Attrition'!$A$7:$C$161,2,FALSE)*VLOOKUP(AL$1,'Attrition Modeling'!$L$15:$N$27,IF(AL$2-$F46&lt;=24,2,3),FALSE))*(1+Projection!AN$16)*(1+IF(AL178&gt;0,'Attrition Modeling'!$N$9,0))),0))</f>
        <v>0</v>
      </c>
      <c r="AM46" s="799">
        <f>IF(AM$2=$F46+1,Monthly!AI$21,IF(AM$2&gt;$F46+1,('Traditional Attrition'!AL46+AM178)*(1-IF(AM$2-$F46&lt;=12,SUMIFS('Attrition Modeling'!$D:$D,'Attrition Modeling'!$B:$B,'Traditional Attrition'!$E46,'Attrition Modeling'!$C:$C,'Traditional Attrition'!AM$1),VLOOKUP('Traditional Attrition'!AM$2-'Traditional Attrition'!$F46-1,'Traditional Attrition'!$A$7:$C$161,2,FALSE)*VLOOKUP(AM$1,'Attrition Modeling'!$L$15:$N$27,IF(AM$2-$F46&lt;=24,2,3),FALSE))*(1+Projection!AO$16)*(1+IF(AM178&gt;0,'Attrition Modeling'!$N$9,0))),0))</f>
        <v>0</v>
      </c>
      <c r="AN46" s="799">
        <f>IF(AN$2=$F46+1,Monthly!AJ$21,IF(AN$2&gt;$F46+1,('Traditional Attrition'!AM46+AN178)*(1-IF(AN$2-$F46&lt;=12,SUMIFS('Attrition Modeling'!$D:$D,'Attrition Modeling'!$B:$B,'Traditional Attrition'!$E46,'Attrition Modeling'!$C:$C,'Traditional Attrition'!AN$1),VLOOKUP('Traditional Attrition'!AN$2-'Traditional Attrition'!$F46-1,'Traditional Attrition'!$A$7:$C$161,2,FALSE)*VLOOKUP(AN$1,'Attrition Modeling'!$L$15:$N$27,IF(AN$2-$F46&lt;=24,2,3),FALSE))*(1+Projection!AP$16)*(1+IF(AN178&gt;0,'Attrition Modeling'!$N$9,0))),0))</f>
        <v>0</v>
      </c>
      <c r="AO46" s="799">
        <f>IF(AO$2=$F46+1,Monthly!AK$21,IF(AO$2&gt;$F46+1,('Traditional Attrition'!AN46+AO178)*(1-IF(AO$2-$F46&lt;=12,SUMIFS('Attrition Modeling'!$D:$D,'Attrition Modeling'!$B:$B,'Traditional Attrition'!$E46,'Attrition Modeling'!$C:$C,'Traditional Attrition'!AO$1),VLOOKUP('Traditional Attrition'!AO$2-'Traditional Attrition'!$F46-1,'Traditional Attrition'!$A$7:$C$161,2,FALSE)*VLOOKUP(AO$1,'Attrition Modeling'!$L$15:$N$27,IF(AO$2-$F46&lt;=24,2,3),FALSE))*(1+Projection!AQ$16)*(1+IF(AO178&gt;0,'Attrition Modeling'!$N$9,0))),0))</f>
        <v>0</v>
      </c>
      <c r="AP46" s="799">
        <f>IF(AP$2=$F46+1,Monthly!AL$21,IF(AP$2&gt;$F46+1,('Traditional Attrition'!AO46+AP178)*(1-IF(AP$2-$F46&lt;=12,SUMIFS('Attrition Modeling'!$D:$D,'Attrition Modeling'!$B:$B,'Traditional Attrition'!$E46,'Attrition Modeling'!$C:$C,'Traditional Attrition'!AP$1),VLOOKUP('Traditional Attrition'!AP$2-'Traditional Attrition'!$F46-1,'Traditional Attrition'!$A$7:$C$161,2,FALSE)*VLOOKUP(AP$1,'Attrition Modeling'!$L$15:$N$27,IF(AP$2-$F46&lt;=24,2,3),FALSE))*(1+Projection!AR$16)*(1+IF(AP178&gt;0,'Attrition Modeling'!$N$9,0))),0))</f>
        <v>0</v>
      </c>
      <c r="AQ46" s="799">
        <f>IF(AQ$2=$F46+1,Monthly!AM$21,IF(AQ$2&gt;$F46+1,('Traditional Attrition'!AP46+AQ178)*(1-IF(AQ$2-$F46&lt;=12,SUMIFS('Attrition Modeling'!$D:$D,'Attrition Modeling'!$B:$B,'Traditional Attrition'!$E46,'Attrition Modeling'!$C:$C,'Traditional Attrition'!AQ$1),VLOOKUP('Traditional Attrition'!AQ$2-'Traditional Attrition'!$F46-1,'Traditional Attrition'!$A$7:$C$161,2,FALSE)*VLOOKUP(AQ$1,'Attrition Modeling'!$L$15:$N$27,IF(AQ$2-$F46&lt;=24,2,3),FALSE))*(1+Projection!AS$16)*(1+IF(AQ178&gt;0,'Attrition Modeling'!$N$9,0))),0))</f>
        <v>0</v>
      </c>
      <c r="AR46" s="799">
        <f>IF(AR$2=$F46+1,Monthly!AN$21,IF(AR$2&gt;$F46+1,('Traditional Attrition'!AQ46+AR178)*(1-IF(AR$2-$F46&lt;=12,SUMIFS('Attrition Modeling'!$D:$D,'Attrition Modeling'!$B:$B,'Traditional Attrition'!$E46,'Attrition Modeling'!$C:$C,'Traditional Attrition'!AR$1),VLOOKUP('Traditional Attrition'!AR$2-'Traditional Attrition'!$F46-1,'Traditional Attrition'!$A$7:$C$161,2,FALSE)*VLOOKUP(AR$1,'Attrition Modeling'!$L$15:$N$27,IF(AR$2-$F46&lt;=24,2,3),FALSE))*(1+Projection!AT$16)*(1+IF(AR178&gt;0,'Attrition Modeling'!$N$9,0))),0))</f>
        <v>0</v>
      </c>
      <c r="AS46" s="799">
        <f>IF(AS$2=$F46+1,Monthly!AO$21,IF(AS$2&gt;$F46+1,('Traditional Attrition'!AR46+AS178)*(1-IF(AS$2-$F46&lt;=12,SUMIFS('Attrition Modeling'!$D:$D,'Attrition Modeling'!$B:$B,'Traditional Attrition'!$E46,'Attrition Modeling'!$C:$C,'Traditional Attrition'!AS$1),VLOOKUP('Traditional Attrition'!AS$2-'Traditional Attrition'!$F46-1,'Traditional Attrition'!$A$7:$C$161,2,FALSE)*VLOOKUP(AS$1,'Attrition Modeling'!$L$15:$N$27,IF(AS$2-$F46&lt;=24,2,3),FALSE))*(1+Projection!AU$16)*(1+IF(AS178&gt;0,'Attrition Modeling'!$N$9,0))),0))</f>
        <v>0</v>
      </c>
      <c r="AT46" s="799">
        <f>IF(AT$2=$F46+1,Monthly!AP$21,IF(AT$2&gt;$F46+1,('Traditional Attrition'!AS46+AT178)*(1-IF(AT$2-$F46&lt;=12,SUMIFS('Attrition Modeling'!$D:$D,'Attrition Modeling'!$B:$B,'Traditional Attrition'!$E46,'Attrition Modeling'!$C:$C,'Traditional Attrition'!AT$1),VLOOKUP('Traditional Attrition'!AT$2-'Traditional Attrition'!$F46-1,'Traditional Attrition'!$A$7:$C$161,2,FALSE)*VLOOKUP(AT$1,'Attrition Modeling'!$L$15:$N$27,IF(AT$2-$F46&lt;=24,2,3),FALSE))*(1+Projection!AV$16)*(1+IF(AT178&gt;0,'Attrition Modeling'!$N$9,0))),0))</f>
        <v>0</v>
      </c>
      <c r="AU46" s="799">
        <f>IF(AU$2=$F46+1,Monthly!AQ$21,IF(AU$2&gt;$F46+1,('Traditional Attrition'!AT46+AU178)*(1-IF(AU$2-$F46&lt;=12,SUMIFS('Attrition Modeling'!$D:$D,'Attrition Modeling'!$B:$B,'Traditional Attrition'!$E46,'Attrition Modeling'!$C:$C,'Traditional Attrition'!AU$1),VLOOKUP('Traditional Attrition'!AU$2-'Traditional Attrition'!$F46-1,'Traditional Attrition'!$A$7:$C$161,2,FALSE)*VLOOKUP(AU$1,'Attrition Modeling'!$L$15:$N$27,IF(AU$2-$F46&lt;=24,2,3),FALSE))*(1+Projection!AW$16)*(1+IF(AU178&gt;0,'Attrition Modeling'!$N$9,0))),0))</f>
        <v>0</v>
      </c>
      <c r="AV46" s="799">
        <f>IF(AV$2=$F46+1,Monthly!AR$21,IF(AV$2&gt;$F46+1,('Traditional Attrition'!AU46+AV178)*(1-IF(AV$2-$F46&lt;=12,SUMIFS('Attrition Modeling'!$D:$D,'Attrition Modeling'!$B:$B,'Traditional Attrition'!$E46,'Attrition Modeling'!$C:$C,'Traditional Attrition'!AV$1),VLOOKUP('Traditional Attrition'!AV$2-'Traditional Attrition'!$F46-1,'Traditional Attrition'!$A$7:$C$161,2,FALSE)*VLOOKUP(AV$1,'Attrition Modeling'!$L$15:$N$27,IF(AV$2-$F46&lt;=24,2,3),FALSE))*(1+Projection!AX$16)*(1+IF(AV178&gt;0,'Attrition Modeling'!$N$9,0))),0))</f>
        <v>0</v>
      </c>
      <c r="AW46" s="799">
        <f>IF(AW$2=$F46+1,Monthly!AS$21,IF(AW$2&gt;$F46+1,('Traditional Attrition'!AV46+AW178)*(1-IF(AW$2-$F46&lt;=12,SUMIFS('Attrition Modeling'!$D:$D,'Attrition Modeling'!$B:$B,'Traditional Attrition'!$E46,'Attrition Modeling'!$C:$C,'Traditional Attrition'!AW$1),VLOOKUP('Traditional Attrition'!AW$2-'Traditional Attrition'!$F46-1,'Traditional Attrition'!$A$7:$C$161,2,FALSE)*VLOOKUP(AW$1,'Attrition Modeling'!$L$15:$N$27,IF(AW$2-$F46&lt;=24,2,3),FALSE))*(1+Projection!AY$16)*(1+IF(AW178&gt;0,'Attrition Modeling'!$N$9,0))),0))</f>
        <v>0</v>
      </c>
      <c r="AX46" s="799">
        <f>IF(AX$2=$F46+1,Monthly!AT$21,IF(AX$2&gt;$F46+1,('Traditional Attrition'!AW46+AX178)*(1-IF(AX$2-$F46&lt;=12,SUMIFS('Attrition Modeling'!$D:$D,'Attrition Modeling'!$B:$B,'Traditional Attrition'!$E46,'Attrition Modeling'!$C:$C,'Traditional Attrition'!AX$1),VLOOKUP('Traditional Attrition'!AX$2-'Traditional Attrition'!$F46-1,'Traditional Attrition'!$A$7:$C$161,2,FALSE)*VLOOKUP(AX$1,'Attrition Modeling'!$L$15:$N$27,IF(AX$2-$F46&lt;=24,2,3),FALSE))*(1+Projection!AZ$16)*(1+IF(AX178&gt;0,'Attrition Modeling'!$N$9,0))),0))</f>
        <v>0</v>
      </c>
      <c r="AY46" s="799">
        <f>IF(AY$2=$F46+1,Monthly!AU$21,IF(AY$2&gt;$F46+1,('Traditional Attrition'!AX46+AY178)*(1-IF(AY$2-$F46&lt;=12,SUMIFS('Attrition Modeling'!$D:$D,'Attrition Modeling'!$B:$B,'Traditional Attrition'!$E46,'Attrition Modeling'!$C:$C,'Traditional Attrition'!AY$1),VLOOKUP('Traditional Attrition'!AY$2-'Traditional Attrition'!$F46-1,'Traditional Attrition'!$A$7:$C$161,2,FALSE)*VLOOKUP(AY$1,'Attrition Modeling'!$L$15:$N$27,IF(AY$2-$F46&lt;=24,2,3),FALSE))*(1+Projection!BA$16)*(1+IF(AY178&gt;0,'Attrition Modeling'!$N$9,0))),0))</f>
        <v>10095.151765000901</v>
      </c>
      <c r="AZ46" s="799">
        <f>IF(AZ$2=$F46+1,Monthly!AV$21,IF(AZ$2&gt;$F46+1,('Traditional Attrition'!AY46+AZ178)*(1-IF(AZ$2-$F46&lt;=12,SUMIFS('Attrition Modeling'!$D:$D,'Attrition Modeling'!$B:$B,'Traditional Attrition'!$E46,'Attrition Modeling'!$C:$C,'Traditional Attrition'!AZ$1),VLOOKUP('Traditional Attrition'!AZ$2-'Traditional Attrition'!$F46-1,'Traditional Attrition'!$A$7:$C$161,2,FALSE)*VLOOKUP(AZ$1,'Attrition Modeling'!$L$15:$N$27,IF(AZ$2-$F46&lt;=24,2,3),FALSE))*(1+Projection!BB$16)*(1+IF(AZ178&gt;0,'Attrition Modeling'!$N$9,0))),0))</f>
        <v>8940.3986495729205</v>
      </c>
      <c r="BA46" s="799">
        <f>IF(BA$2=$F46+1,Monthly!AW$21,IF(BA$2&gt;$F46+1,('Traditional Attrition'!AZ46+BA178)*(1-IF(BA$2-$F46&lt;=12,SUMIFS('Attrition Modeling'!$D:$D,'Attrition Modeling'!$B:$B,'Traditional Attrition'!$E46,'Attrition Modeling'!$C:$C,'Traditional Attrition'!BA$1),VLOOKUP('Traditional Attrition'!BA$2-'Traditional Attrition'!$F46-1,'Traditional Attrition'!$A$7:$C$161,2,FALSE)*VLOOKUP(BA$1,'Attrition Modeling'!$L$15:$N$27,IF(BA$2-$F46&lt;=24,2,3),FALSE))*(1+Projection!BC$16)*(1+IF(BA178&gt;0,'Attrition Modeling'!$N$9,0))),0))</f>
        <v>8074.3067390061533</v>
      </c>
      <c r="BB46" s="799">
        <f>IF(BB$2=$F46+1,Monthly!AX$21,IF(BB$2&gt;$F46+1,('Traditional Attrition'!BA46+BB178)*(1-IF(BB$2-$F46&lt;=12,SUMIFS('Attrition Modeling'!$D:$D,'Attrition Modeling'!$B:$B,'Traditional Attrition'!$E46,'Attrition Modeling'!$C:$C,'Traditional Attrition'!BB$1),VLOOKUP('Traditional Attrition'!BB$2-'Traditional Attrition'!$F46-1,'Traditional Attrition'!$A$7:$C$161,2,FALSE)*VLOOKUP(BB$1,'Attrition Modeling'!$L$15:$N$27,IF(BB$2-$F46&lt;=24,2,3),FALSE))*(1+Projection!BD$16)*(1+IF(BB178&gt;0,'Attrition Modeling'!$N$9,0))),0))</f>
        <v>7336.9056578558821</v>
      </c>
      <c r="BC46" s="799">
        <f>IF(BC$2=$F46+1,Monthly!AY$21,IF(BC$2&gt;$F46+1,('Traditional Attrition'!BB46+BC178)*(1-IF(BC$2-$F46&lt;=12,SUMIFS('Attrition Modeling'!$D:$D,'Attrition Modeling'!$B:$B,'Traditional Attrition'!$E46,'Attrition Modeling'!$C:$C,'Traditional Attrition'!BC$1),VLOOKUP('Traditional Attrition'!BC$2-'Traditional Attrition'!$F46-1,'Traditional Attrition'!$A$7:$C$161,2,FALSE)*VLOOKUP(BC$1,'Attrition Modeling'!$L$15:$N$27,IF(BC$2-$F46&lt;=24,2,3),FALSE))*(1+Projection!BE$16)*(1+IF(BC178&gt;0,'Attrition Modeling'!$N$9,0))),0))</f>
        <v>6741.1613911776021</v>
      </c>
      <c r="BD46" s="799">
        <f>IF(BD$2=$F46+1,Monthly!AZ$21,IF(BD$2&gt;$F46+1,('Traditional Attrition'!BC46+BD178)*(1-IF(BD$2-$F46&lt;=12,SUMIFS('Attrition Modeling'!$D:$D,'Attrition Modeling'!$B:$B,'Traditional Attrition'!$E46,'Attrition Modeling'!$C:$C,'Traditional Attrition'!BD$1),VLOOKUP('Traditional Attrition'!BD$2-'Traditional Attrition'!$F46-1,'Traditional Attrition'!$A$7:$C$161,2,FALSE)*VLOOKUP(BD$1,'Attrition Modeling'!$L$15:$N$27,IF(BD$2-$F46&lt;=24,2,3),FALSE))*(1+Projection!BF$16)*(1+IF(BD178&gt;0,'Attrition Modeling'!$N$9,0))),0))</f>
        <v>6702.0942747150302</v>
      </c>
      <c r="BE46" s="799">
        <f>IF(BE$2=$F46+1,Monthly!BA$21,IF(BE$2&gt;$F46+1,('Traditional Attrition'!BD46+BE178)*(1-IF(BE$2-$F46&lt;=12,SUMIFS('Attrition Modeling'!$D:$D,'Attrition Modeling'!$B:$B,'Traditional Attrition'!$E46,'Attrition Modeling'!$C:$C,'Traditional Attrition'!BE$1),VLOOKUP('Traditional Attrition'!BE$2-'Traditional Attrition'!$F46-1,'Traditional Attrition'!$A$7:$C$161,2,FALSE)*VLOOKUP(BE$1,'Attrition Modeling'!$L$15:$N$27,IF(BE$2-$F46&lt;=24,2,3),FALSE))*(1+Projection!BG$16)*(1+IF(BE178&gt;0,'Attrition Modeling'!$N$9,0))),0))</f>
        <v>6279.4510949032874</v>
      </c>
      <c r="BF46" s="799">
        <f>IF(BF$2=$F46+1,Monthly!BB$21,IF(BF$2&gt;$F46+1,('Traditional Attrition'!BE46+BF178)*(1-IF(BF$2-$F46&lt;=12,SUMIFS('Attrition Modeling'!$D:$D,'Attrition Modeling'!$B:$B,'Traditional Attrition'!$E46,'Attrition Modeling'!$C:$C,'Traditional Attrition'!BF$1),VLOOKUP('Traditional Attrition'!BF$2-'Traditional Attrition'!$F46-1,'Traditional Attrition'!$A$7:$C$161,2,FALSE)*VLOOKUP(BF$1,'Attrition Modeling'!$L$15:$N$27,IF(BF$2-$F46&lt;=24,2,3),FALSE))*(1+Projection!BH$16)*(1+IF(BF178&gt;0,'Attrition Modeling'!$N$9,0))),0))</f>
        <v>5871.1915144614641</v>
      </c>
      <c r="BG46" s="799">
        <f>IF(BG$2=$F46+1,Monthly!BC$21,IF(BG$2&gt;$F46+1,('Traditional Attrition'!BF46+BG178)*(1-IF(BG$2-$F46&lt;=12,SUMIFS('Attrition Modeling'!$D:$D,'Attrition Modeling'!$B:$B,'Traditional Attrition'!$E46,'Attrition Modeling'!$C:$C,'Traditional Attrition'!BG$1),VLOOKUP('Traditional Attrition'!BG$2-'Traditional Attrition'!$F46-1,'Traditional Attrition'!$A$7:$C$161,2,FALSE)*VLOOKUP(BG$1,'Attrition Modeling'!$L$15:$N$27,IF(BG$2-$F46&lt;=24,2,3),FALSE))*(1+Projection!BI$16)*(1+IF(BG178&gt;0,'Attrition Modeling'!$N$9,0))),0))</f>
        <v>5519.352671696477</v>
      </c>
      <c r="BH46" s="799">
        <f>IF(BH$2=$F46+1,Monthly!BD$21,IF(BH$2&gt;$F46+1,('Traditional Attrition'!BG46+BH178)*(1-IF(BH$2-$F46&lt;=12,SUMIFS('Attrition Modeling'!$D:$D,'Attrition Modeling'!$B:$B,'Traditional Attrition'!$E46,'Attrition Modeling'!$C:$C,'Traditional Attrition'!BH$1),VLOOKUP('Traditional Attrition'!BH$2-'Traditional Attrition'!$F46-1,'Traditional Attrition'!$A$7:$C$161,2,FALSE)*VLOOKUP(BH$1,'Attrition Modeling'!$L$15:$N$27,IF(BH$2-$F46&lt;=24,2,3),FALSE))*(1+Projection!BJ$16)*(1+IF(BH178&gt;0,'Attrition Modeling'!$N$9,0))),0))</f>
        <v>5212.1920301328737</v>
      </c>
      <c r="BI46" s="799">
        <f>IF(BI$2=$F46+1,Monthly!BE$21,IF(BI$2&gt;$F46+1,('Traditional Attrition'!BH46+BI178)*(1-IF(BI$2-$F46&lt;=12,SUMIFS('Attrition Modeling'!$D:$D,'Attrition Modeling'!$B:$B,'Traditional Attrition'!$E46,'Attrition Modeling'!$C:$C,'Traditional Attrition'!BI$1),VLOOKUP('Traditional Attrition'!BI$2-'Traditional Attrition'!$F46-1,'Traditional Attrition'!$A$7:$C$161,2,FALSE)*VLOOKUP(BI$1,'Attrition Modeling'!$L$15:$N$27,IF(BI$2-$F46&lt;=24,2,3),FALSE))*(1+Projection!BK$16)*(1+IF(BI178&gt;0,'Attrition Modeling'!$N$9,0))),0))</f>
        <v>4888.2201556023183</v>
      </c>
      <c r="BJ46" s="799">
        <f>IF(BJ$2=$F46+1,Monthly!BF$21,IF(BJ$2&gt;$F46+1,('Traditional Attrition'!BI46+BJ178)*(1-IF(BJ$2-$F46&lt;=12,SUMIFS('Attrition Modeling'!$D:$D,'Attrition Modeling'!$B:$B,'Traditional Attrition'!$E46,'Attrition Modeling'!$C:$C,'Traditional Attrition'!BJ$1),VLOOKUP('Traditional Attrition'!BJ$2-'Traditional Attrition'!$F46-1,'Traditional Attrition'!$A$7:$C$161,2,FALSE)*VLOOKUP(BJ$1,'Attrition Modeling'!$L$15:$N$27,IF(BJ$2-$F46&lt;=24,2,3),FALSE))*(1+Projection!BL$16)*(1+IF(BJ178&gt;0,'Attrition Modeling'!$N$9,0))),0))</f>
        <v>4725.9585715869907</v>
      </c>
      <c r="BK46" s="799">
        <f>IF(BK$2=$F46+1,Monthly!BG$21,IF(BK$2&gt;$F46+1,('Traditional Attrition'!BJ46+BK178)*(1-IF(BK$2-$F46&lt;=12,SUMIFS('Attrition Modeling'!$D:$D,'Attrition Modeling'!$B:$B,'Traditional Attrition'!$E46,'Attrition Modeling'!$C:$C,'Traditional Attrition'!BK$1),VLOOKUP('Traditional Attrition'!BK$2-'Traditional Attrition'!$F46-1,'Traditional Attrition'!$A$7:$C$161,2,FALSE)*VLOOKUP(BK$1,'Attrition Modeling'!$L$15:$N$27,IF(BK$2-$F46&lt;=24,2,3),FALSE))*(1+Projection!BM$16)*(1+IF(BK178&gt;0,'Attrition Modeling'!$N$9,0))),0))</f>
        <v>4439.7255351646454</v>
      </c>
      <c r="BL46" s="799">
        <f>IF(BL$2=$F46+1,Monthly!BH$21,IF(BL$2&gt;$F46+1,('Traditional Attrition'!BK46+BL178)*(1-IF(BL$2-$F46&lt;=12,SUMIFS('Attrition Modeling'!$D:$D,'Attrition Modeling'!$B:$B,'Traditional Attrition'!$E46,'Attrition Modeling'!$C:$C,'Traditional Attrition'!BL$1),VLOOKUP('Traditional Attrition'!BL$2-'Traditional Attrition'!$F46-1,'Traditional Attrition'!$A$7:$C$161,2,FALSE)*VLOOKUP(BL$1,'Attrition Modeling'!$L$15:$N$27,IF(BL$2-$F46&lt;=24,2,3),FALSE))*(1+Projection!BN$16)*(1+IF(BL178&gt;0,'Attrition Modeling'!$N$9,0))),0))</f>
        <v>4213.465636564425</v>
      </c>
      <c r="BM46" s="799">
        <f>IF(BM$2=$F46+1,Monthly!BI$21,IF(BM$2&gt;$F46+1,('Traditional Attrition'!BL46+BM178)*(1-IF(BM$2-$F46&lt;=12,SUMIFS('Attrition Modeling'!$D:$D,'Attrition Modeling'!$B:$B,'Traditional Attrition'!$E46,'Attrition Modeling'!$C:$C,'Traditional Attrition'!BM$1),VLOOKUP('Traditional Attrition'!BM$2-'Traditional Attrition'!$F46-1,'Traditional Attrition'!$A$7:$C$161,2,FALSE)*VLOOKUP(BM$1,'Attrition Modeling'!$L$15:$N$27,IF(BM$2-$F46&lt;=24,2,3),FALSE))*(1+Projection!BO$16)*(1+IF(BM178&gt;0,'Attrition Modeling'!$N$9,0))),0))</f>
        <v>4004.5258558415117</v>
      </c>
      <c r="BN46" s="799">
        <f>IF(BN$2=$F46+1,Monthly!BJ$21,IF(BN$2&gt;$F46+1,('Traditional Attrition'!BM46+BN178)*(1-IF(BN$2-$F46&lt;=12,SUMIFS('Attrition Modeling'!$D:$D,'Attrition Modeling'!$B:$B,'Traditional Attrition'!$E46,'Attrition Modeling'!$C:$C,'Traditional Attrition'!BN$1),VLOOKUP('Traditional Attrition'!BN$2-'Traditional Attrition'!$F46-1,'Traditional Attrition'!$A$7:$C$161,2,FALSE)*VLOOKUP(BN$1,'Attrition Modeling'!$L$15:$N$27,IF(BN$2-$F46&lt;=24,2,3),FALSE))*(1+Projection!BP$16)*(1+IF(BN178&gt;0,'Attrition Modeling'!$N$9,0))),0))</f>
        <v>3820.4731597458117</v>
      </c>
      <c r="BO46" s="799">
        <f>IF(BO$2=$F46+1,Monthly!BK$21,IF(BO$2&gt;$F46+1,('Traditional Attrition'!BN46+BO178)*(1-IF(BO$2-$F46&lt;=12,SUMIFS('Attrition Modeling'!$D:$D,'Attrition Modeling'!$B:$B,'Traditional Attrition'!$E46,'Attrition Modeling'!$C:$C,'Traditional Attrition'!BO$1),VLOOKUP('Traditional Attrition'!BO$2-'Traditional Attrition'!$F46-1,'Traditional Attrition'!$A$7:$C$161,2,FALSE)*VLOOKUP(BO$1,'Attrition Modeling'!$L$15:$N$27,IF(BO$2-$F46&lt;=24,2,3),FALSE))*(1+Projection!BV$16)*(1+IF(BO178&gt;0,'Attrition Modeling'!$N$9,0))),0))</f>
        <v>3651.8342339686387</v>
      </c>
      <c r="BP46" s="799">
        <f>IF(BP$2=$F46+1,Monthly!BL$21,IF(BP$2&gt;$F46+1,('Traditional Attrition'!BO46+BP178)*(1-IF(BP$2-$F46&lt;=12,SUMIFS('Attrition Modeling'!$D:$D,'Attrition Modeling'!$B:$B,'Traditional Attrition'!$E46,'Attrition Modeling'!$C:$C,'Traditional Attrition'!BP$1),VLOOKUP('Traditional Attrition'!BP$2-'Traditional Attrition'!$F46-1,'Traditional Attrition'!$A$7:$C$161,2,FALSE)*VLOOKUP(BP$1,'Attrition Modeling'!$L$15:$N$27,IF(BP$2-$F46&lt;=24,2,3),FALSE))*(1+Projection!BW$16)*(1+IF(BP178&gt;0,'Attrition Modeling'!$N$9,0))),0))</f>
        <v>3494.4880220719674</v>
      </c>
      <c r="BQ46" s="799">
        <f>IF(BQ$2=$F46+1,Monthly!BM$21,IF(BQ$2&gt;$F46+1,('Traditional Attrition'!BP46+BQ178)*(1-IF(BQ$2-$F46&lt;=12,SUMIFS('Attrition Modeling'!$D:$D,'Attrition Modeling'!$B:$B,'Traditional Attrition'!$E46,'Attrition Modeling'!$C:$C,'Traditional Attrition'!BQ$1),VLOOKUP('Traditional Attrition'!BQ$2-'Traditional Attrition'!$F46-1,'Traditional Attrition'!$A$7:$C$161,2,FALSE)*VLOOKUP(BQ$1,'Attrition Modeling'!$L$15:$N$27,IF(BQ$2-$F46&lt;=24,2,3),FALSE))*(1+Projection!BX$16)*(1+IF(BQ178&gt;0,'Attrition Modeling'!$N$9,0))),0))</f>
        <v>3361.5762826871069</v>
      </c>
      <c r="BR46" s="799">
        <f>IF(BR$2=$F46+1,Monthly!BN$21,IF(BR$2&gt;$F46+1,('Traditional Attrition'!BQ46+BR178)*(1-IF(BR$2-$F46&lt;=12,SUMIFS('Attrition Modeling'!$D:$D,'Attrition Modeling'!$B:$B,'Traditional Attrition'!$E46,'Attrition Modeling'!$C:$C,'Traditional Attrition'!BR$1),VLOOKUP('Traditional Attrition'!BR$2-'Traditional Attrition'!$F46-1,'Traditional Attrition'!$A$7:$C$161,2,FALSE)*VLOOKUP(BR$1,'Attrition Modeling'!$L$15:$N$27,IF(BR$2-$F46&lt;=24,2,3),FALSE))*(1+Projection!BY$16)*(1+IF(BR178&gt;0,'Attrition Modeling'!$N$9,0))),0))</f>
        <v>3225.0411292609451</v>
      </c>
      <c r="BS46" s="799">
        <f>IF(BS$2=$F46+1,Monthly!BO$21,IF(BS$2&gt;$F46+1,('Traditional Attrition'!BR46+BS178)*(1-IF(BS$2-$F46&lt;=12,SUMIFS('Attrition Modeling'!$D:$D,'Attrition Modeling'!$B:$B,'Traditional Attrition'!$E46,'Attrition Modeling'!$C:$C,'Traditional Attrition'!BS$1),VLOOKUP('Traditional Attrition'!BS$2-'Traditional Attrition'!$F46-1,'Traditional Attrition'!$A$7:$C$161,2,FALSE)*VLOOKUP(BS$1,'Attrition Modeling'!$L$15:$N$27,IF(BS$2-$F46&lt;=24,2,3),FALSE))*(1+Projection!BZ$16)*(1+IF(BS178&gt;0,'Attrition Modeling'!$N$9,0))),0))</f>
        <v>3098.4489562236713</v>
      </c>
      <c r="BT46" s="799">
        <f>IF(BT$2=$F46+1,Monthly!#REF!,IF(BT$2&gt;$F46+1,('Traditional Attrition'!BS46+BT178)*(1-IF(BT$2-$F46&lt;=12,SUMIFS('Attrition Modeling'!$D:$D,'Attrition Modeling'!$B:$B,'Traditional Attrition'!$E46,'Attrition Modeling'!$C:$C,'Traditional Attrition'!BT$1),VLOOKUP('Traditional Attrition'!BT$2-'Traditional Attrition'!$F46-1,'Traditional Attrition'!$A$7:$C$161,2,FALSE)*VLOOKUP(BT$1,'Attrition Modeling'!$L$15:$N$27,IF(BT$2-$F46&lt;=24,2,3),FALSE))*(1+Projection!CA$16)*(1+IF(BT178&gt;0,'Attrition Modeling'!$N$9,0))),0))</f>
        <v>2979.5719307404233</v>
      </c>
      <c r="BU46" s="799">
        <f>IF(BU$2=$F46+1,Monthly!#REF!,IF(BU$2&gt;$F46+1,('Traditional Attrition'!BT46+BU178)*(1-IF(BU$2-$F46&lt;=12,SUMIFS('Attrition Modeling'!$D:$D,'Attrition Modeling'!$B:$B,'Traditional Attrition'!$E46,'Attrition Modeling'!$C:$C,'Traditional Attrition'!BU$1),VLOOKUP('Traditional Attrition'!BU$2-'Traditional Attrition'!$F46-1,'Traditional Attrition'!$A$7:$C$161,2,FALSE)*VLOOKUP(BU$1,'Attrition Modeling'!$L$15:$N$27,IF(BU$2-$F46&lt;=24,2,3),FALSE))*(1+Projection!CB$16)*(1+IF(BU178&gt;0,'Attrition Modeling'!$N$9,0))),0))</f>
        <v>2855.8603900651347</v>
      </c>
    </row>
    <row r="47" spans="1:73" ht="14.25" customHeight="1" x14ac:dyDescent="0.2">
      <c r="A47" s="9">
        <v>40</v>
      </c>
      <c r="B47" s="25">
        <f>MAX('Attrition Modeling'!H44,$C$3)*(1-Summary!$C$20)</f>
        <v>2.8571258923215721E-2</v>
      </c>
      <c r="C47" s="24" t="e">
        <f t="shared" si="4"/>
        <v>#DIV/0!</v>
      </c>
      <c r="E47" s="11">
        <f t="shared" si="2"/>
        <v>8</v>
      </c>
      <c r="F47" s="11">
        <f t="shared" si="3"/>
        <v>44</v>
      </c>
      <c r="G47" s="799"/>
      <c r="H47" s="799">
        <f>IF(H$2=$F47+1,Monthly!D$21,IF(H$2&gt;$F47+1,('Traditional Attrition'!G47+H179)*(1-IF(H$2-$F47&lt;=12,SUMIFS('Attrition Modeling'!$D:$D,'Attrition Modeling'!$B:$B,'Traditional Attrition'!$E47,'Attrition Modeling'!$C:$C,'Traditional Attrition'!H$1),VLOOKUP('Traditional Attrition'!H$2-'Traditional Attrition'!$F47-1,'Traditional Attrition'!$A$7:$C$161,2,FALSE)*VLOOKUP(H$1,'Attrition Modeling'!$L$15:$N$27,IF(H$2-$F47&lt;=24,2,3),FALSE))*(1+Projection!J$16)*(1+IF(H179&gt;0,'Attrition Modeling'!$N$9,0))),0))</f>
        <v>0</v>
      </c>
      <c r="I47" s="799">
        <f>IF(I$2=$F47+1,Monthly!E$21,IF(I$2&gt;$F47+1,('Traditional Attrition'!H47+I179)*(1-IF(I$2-$F47&lt;=12,SUMIFS('Attrition Modeling'!$D:$D,'Attrition Modeling'!$B:$B,'Traditional Attrition'!$E47,'Attrition Modeling'!$C:$C,'Traditional Attrition'!I$1),VLOOKUP('Traditional Attrition'!I$2-'Traditional Attrition'!$F47-1,'Traditional Attrition'!$A$7:$C$161,2,FALSE)*VLOOKUP(I$1,'Attrition Modeling'!$L$15:$N$27,IF(I$2-$F47&lt;=24,2,3),FALSE))*(1+Projection!K$16)*(1+IF(I179&gt;0,'Attrition Modeling'!$N$9,0))),0))</f>
        <v>0</v>
      </c>
      <c r="J47" s="799">
        <f>IF(J$2=$F47+1,Monthly!F$21,IF(J$2&gt;$F47+1,('Traditional Attrition'!I47+J179)*(1-IF(J$2-$F47&lt;=12,SUMIFS('Attrition Modeling'!$D:$D,'Attrition Modeling'!$B:$B,'Traditional Attrition'!$E47,'Attrition Modeling'!$C:$C,'Traditional Attrition'!J$1),VLOOKUP('Traditional Attrition'!J$2-'Traditional Attrition'!$F47-1,'Traditional Attrition'!$A$7:$C$161,2,FALSE)*VLOOKUP(J$1,'Attrition Modeling'!$L$15:$N$27,IF(J$2-$F47&lt;=24,2,3),FALSE))*(1+Projection!L$16)*(1+IF(J179&gt;0,'Attrition Modeling'!$N$9,0))),0))</f>
        <v>0</v>
      </c>
      <c r="K47" s="799">
        <f>IF(K$2=$F47+1,Monthly!G$21,IF(K$2&gt;$F47+1,('Traditional Attrition'!J47+K179)*(1-IF(K$2-$F47&lt;=12,SUMIFS('Attrition Modeling'!$D:$D,'Attrition Modeling'!$B:$B,'Traditional Attrition'!$E47,'Attrition Modeling'!$C:$C,'Traditional Attrition'!K$1),VLOOKUP('Traditional Attrition'!K$2-'Traditional Attrition'!$F47-1,'Traditional Attrition'!$A$7:$C$161,2,FALSE)*VLOOKUP(K$1,'Attrition Modeling'!$L$15:$N$27,IF(K$2-$F47&lt;=24,2,3),FALSE))*(1+Projection!M$16)*(1+IF(K179&gt;0,'Attrition Modeling'!$N$9,0))),0))</f>
        <v>0</v>
      </c>
      <c r="L47" s="799">
        <f>IF(L$2=$F47+1,Monthly!H$21,IF(L$2&gt;$F47+1,('Traditional Attrition'!K47+L179)*(1-IF(L$2-$F47&lt;=12,SUMIFS('Attrition Modeling'!$D:$D,'Attrition Modeling'!$B:$B,'Traditional Attrition'!$E47,'Attrition Modeling'!$C:$C,'Traditional Attrition'!L$1),VLOOKUP('Traditional Attrition'!L$2-'Traditional Attrition'!$F47-1,'Traditional Attrition'!$A$7:$C$161,2,FALSE)*VLOOKUP(L$1,'Attrition Modeling'!$L$15:$N$27,IF(L$2-$F47&lt;=24,2,3),FALSE))*(1+Projection!N$16)*(1+IF(L179&gt;0,'Attrition Modeling'!$N$9,0))),0))</f>
        <v>0</v>
      </c>
      <c r="M47" s="799">
        <f>IF(M$2=$F47+1,Monthly!I$21,IF(M$2&gt;$F47+1,('Traditional Attrition'!L47+M179)*(1-IF(M$2-$F47&lt;=12,SUMIFS('Attrition Modeling'!$D:$D,'Attrition Modeling'!$B:$B,'Traditional Attrition'!$E47,'Attrition Modeling'!$C:$C,'Traditional Attrition'!M$1),VLOOKUP('Traditional Attrition'!M$2-'Traditional Attrition'!$F47-1,'Traditional Attrition'!$A$7:$C$161,2,FALSE)*VLOOKUP(M$1,'Attrition Modeling'!$L$15:$N$27,IF(M$2-$F47&lt;=24,2,3),FALSE))*(1+Projection!O$16)*(1+IF(M179&gt;0,'Attrition Modeling'!$N$9,0))),0))</f>
        <v>0</v>
      </c>
      <c r="N47" s="799">
        <f>IF(N$2=$F47+1,Monthly!J$21,IF(N$2&gt;$F47+1,('Traditional Attrition'!M47+N179)*(1-IF(N$2-$F47&lt;=12,SUMIFS('Attrition Modeling'!$D:$D,'Attrition Modeling'!$B:$B,'Traditional Attrition'!$E47,'Attrition Modeling'!$C:$C,'Traditional Attrition'!N$1),VLOOKUP('Traditional Attrition'!N$2-'Traditional Attrition'!$F47-1,'Traditional Attrition'!$A$7:$C$161,2,FALSE)*VLOOKUP(N$1,'Attrition Modeling'!$L$15:$N$27,IF(N$2-$F47&lt;=24,2,3),FALSE))*(1+Projection!P$16)*(1+IF(N179&gt;0,'Attrition Modeling'!$N$9,0))),0))</f>
        <v>0</v>
      </c>
      <c r="O47" s="799">
        <f>IF(O$2=$F47+1,Monthly!K$21,IF(O$2&gt;$F47+1,('Traditional Attrition'!N47+O179)*(1-IF(O$2-$F47&lt;=12,SUMIFS('Attrition Modeling'!$D:$D,'Attrition Modeling'!$B:$B,'Traditional Attrition'!$E47,'Attrition Modeling'!$C:$C,'Traditional Attrition'!O$1),VLOOKUP('Traditional Attrition'!O$2-'Traditional Attrition'!$F47-1,'Traditional Attrition'!$A$7:$C$161,2,FALSE)*VLOOKUP(O$1,'Attrition Modeling'!$L$15:$N$27,IF(O$2-$F47&lt;=24,2,3),FALSE))*(1+Projection!Q$16)*(1+IF(O179&gt;0,'Attrition Modeling'!$N$9,0))),0))</f>
        <v>0</v>
      </c>
      <c r="P47" s="799">
        <f>IF(P$2=$F47+1,Monthly!L$21,IF(P$2&gt;$F47+1,('Traditional Attrition'!O47+P179)*(1-IF(P$2-$F47&lt;=12,SUMIFS('Attrition Modeling'!$D:$D,'Attrition Modeling'!$B:$B,'Traditional Attrition'!$E47,'Attrition Modeling'!$C:$C,'Traditional Attrition'!P$1),VLOOKUP('Traditional Attrition'!P$2-'Traditional Attrition'!$F47-1,'Traditional Attrition'!$A$7:$C$161,2,FALSE)*VLOOKUP(P$1,'Attrition Modeling'!$L$15:$N$27,IF(P$2-$F47&lt;=24,2,3),FALSE))*(1+Projection!R$16)*(1+IF(P179&gt;0,'Attrition Modeling'!$N$9,0))),0))</f>
        <v>0</v>
      </c>
      <c r="Q47" s="799">
        <f>IF(Q$2=$F47+1,Monthly!M$21,IF(Q$2&gt;$F47+1,('Traditional Attrition'!P47+Q179)*(1-IF(Q$2-$F47&lt;=12,SUMIFS('Attrition Modeling'!$D:$D,'Attrition Modeling'!$B:$B,'Traditional Attrition'!$E47,'Attrition Modeling'!$C:$C,'Traditional Attrition'!Q$1),VLOOKUP('Traditional Attrition'!Q$2-'Traditional Attrition'!$F47-1,'Traditional Attrition'!$A$7:$C$161,2,FALSE)*VLOOKUP(Q$1,'Attrition Modeling'!$L$15:$N$27,IF(Q$2-$F47&lt;=24,2,3),FALSE))*(1+Projection!S$16)*(1+IF(Q179&gt;0,'Attrition Modeling'!$N$9,0))),0))</f>
        <v>0</v>
      </c>
      <c r="R47" s="799">
        <f>IF(R$2=$F47+1,Monthly!N$21,IF(R$2&gt;$F47+1,('Traditional Attrition'!Q47+R179)*(1-IF(R$2-$F47&lt;=12,SUMIFS('Attrition Modeling'!$D:$D,'Attrition Modeling'!$B:$B,'Traditional Attrition'!$E47,'Attrition Modeling'!$C:$C,'Traditional Attrition'!R$1),VLOOKUP('Traditional Attrition'!R$2-'Traditional Attrition'!$F47-1,'Traditional Attrition'!$A$7:$C$161,2,FALSE)*VLOOKUP(R$1,'Attrition Modeling'!$L$15:$N$27,IF(R$2-$F47&lt;=24,2,3),FALSE))*(1+Projection!T$16)*(1+IF(R179&gt;0,'Attrition Modeling'!$N$9,0))),0))</f>
        <v>0</v>
      </c>
      <c r="S47" s="799">
        <f>IF(S$2=$F47+1,Monthly!O$21,IF(S$2&gt;$F47+1,('Traditional Attrition'!R47+S179)*(1-IF(S$2-$F47&lt;=12,SUMIFS('Attrition Modeling'!$D:$D,'Attrition Modeling'!$B:$B,'Traditional Attrition'!$E47,'Attrition Modeling'!$C:$C,'Traditional Attrition'!S$1),VLOOKUP('Traditional Attrition'!S$2-'Traditional Attrition'!$F47-1,'Traditional Attrition'!$A$7:$C$161,2,FALSE)*VLOOKUP(S$1,'Attrition Modeling'!$L$15:$N$27,IF(S$2-$F47&lt;=24,2,3),FALSE))*(1+Projection!U$16)*(1+IF(S179&gt;0,'Attrition Modeling'!$N$9,0))),0))</f>
        <v>0</v>
      </c>
      <c r="T47" s="799">
        <f>IF(T$2=$F47+1,Monthly!P$21,IF(T$2&gt;$F47+1,('Traditional Attrition'!S47+T179)*(1-IF(T$2-$F47&lt;=12,SUMIFS('Attrition Modeling'!$D:$D,'Attrition Modeling'!$B:$B,'Traditional Attrition'!$E47,'Attrition Modeling'!$C:$C,'Traditional Attrition'!T$1),VLOOKUP('Traditional Attrition'!T$2-'Traditional Attrition'!$F47-1,'Traditional Attrition'!$A$7:$C$161,2,FALSE)*VLOOKUP(T$1,'Attrition Modeling'!$L$15:$N$27,IF(T$2-$F47&lt;=24,2,3),FALSE))*(1+Projection!V$16)*(1+IF(T179&gt;0,'Attrition Modeling'!$N$9,0))),0))</f>
        <v>0</v>
      </c>
      <c r="U47" s="799">
        <f>IF(U$2=$F47+1,Monthly!Q$21,IF(U$2&gt;$F47+1,('Traditional Attrition'!T47+U179)*(1-IF(U$2-$F47&lt;=12,SUMIFS('Attrition Modeling'!$D:$D,'Attrition Modeling'!$B:$B,'Traditional Attrition'!$E47,'Attrition Modeling'!$C:$C,'Traditional Attrition'!U$1),VLOOKUP('Traditional Attrition'!U$2-'Traditional Attrition'!$F47-1,'Traditional Attrition'!$A$7:$C$161,2,FALSE)*VLOOKUP(U$1,'Attrition Modeling'!$L$15:$N$27,IF(U$2-$F47&lt;=24,2,3),FALSE))*(1+Projection!W$16)*(1+IF(U179&gt;0,'Attrition Modeling'!$N$9,0))),0))</f>
        <v>0</v>
      </c>
      <c r="V47" s="799">
        <f>IF(V$2=$F47+1,Monthly!R$21,IF(V$2&gt;$F47+1,('Traditional Attrition'!U47+V179)*(1-IF(V$2-$F47&lt;=12,SUMIFS('Attrition Modeling'!$D:$D,'Attrition Modeling'!$B:$B,'Traditional Attrition'!$E47,'Attrition Modeling'!$C:$C,'Traditional Attrition'!V$1),VLOOKUP('Traditional Attrition'!V$2-'Traditional Attrition'!$F47-1,'Traditional Attrition'!$A$7:$C$161,2,FALSE)*VLOOKUP(V$1,'Attrition Modeling'!$L$15:$N$27,IF(V$2-$F47&lt;=24,2,3),FALSE))*(1+Projection!X$16)*(1+IF(V179&gt;0,'Attrition Modeling'!$N$9,0))),0))</f>
        <v>0</v>
      </c>
      <c r="W47" s="799">
        <f>IF(W$2=$F47+1,Monthly!S$21,IF(W$2&gt;$F47+1,('Traditional Attrition'!V47+W179)*(1-IF(W$2-$F47&lt;=12,SUMIFS('Attrition Modeling'!$D:$D,'Attrition Modeling'!$B:$B,'Traditional Attrition'!$E47,'Attrition Modeling'!$C:$C,'Traditional Attrition'!W$1),VLOOKUP('Traditional Attrition'!W$2-'Traditional Attrition'!$F47-1,'Traditional Attrition'!$A$7:$C$161,2,FALSE)*VLOOKUP(W$1,'Attrition Modeling'!$L$15:$N$27,IF(W$2-$F47&lt;=24,2,3),FALSE))*(1+Projection!Y$16)*(1+IF(W179&gt;0,'Attrition Modeling'!$N$9,0))),0))</f>
        <v>0</v>
      </c>
      <c r="X47" s="799">
        <f>IF(X$2=$F47+1,Monthly!T$21,IF(X$2&gt;$F47+1,('Traditional Attrition'!W47+X179)*(1-IF(X$2-$F47&lt;=12,SUMIFS('Attrition Modeling'!$D:$D,'Attrition Modeling'!$B:$B,'Traditional Attrition'!$E47,'Attrition Modeling'!$C:$C,'Traditional Attrition'!X$1),VLOOKUP('Traditional Attrition'!X$2-'Traditional Attrition'!$F47-1,'Traditional Attrition'!$A$7:$C$161,2,FALSE)*VLOOKUP(X$1,'Attrition Modeling'!$L$15:$N$27,IF(X$2-$F47&lt;=24,2,3),FALSE))*(1+Projection!Z$16)*(1+IF(X179&gt;0,'Attrition Modeling'!$N$9,0))),0))</f>
        <v>0</v>
      </c>
      <c r="Y47" s="799">
        <f>IF(Y$2=$F47+1,Monthly!U$21,IF(Y$2&gt;$F47+1,('Traditional Attrition'!X47+Y179)*(1-IF(Y$2-$F47&lt;=12,SUMIFS('Attrition Modeling'!$D:$D,'Attrition Modeling'!$B:$B,'Traditional Attrition'!$E47,'Attrition Modeling'!$C:$C,'Traditional Attrition'!Y$1),VLOOKUP('Traditional Attrition'!Y$2-'Traditional Attrition'!$F47-1,'Traditional Attrition'!$A$7:$C$161,2,FALSE)*VLOOKUP(Y$1,'Attrition Modeling'!$L$15:$N$27,IF(Y$2-$F47&lt;=24,2,3),FALSE))*(1+Projection!AA$16)*(1+IF(Y179&gt;0,'Attrition Modeling'!$N$9,0))),0))</f>
        <v>0</v>
      </c>
      <c r="Z47" s="799">
        <f>IF(Z$2=$F47+1,Monthly!V$21,IF(Z$2&gt;$F47+1,('Traditional Attrition'!Y47+Z179)*(1-IF(Z$2-$F47&lt;=12,SUMIFS('Attrition Modeling'!$D:$D,'Attrition Modeling'!$B:$B,'Traditional Attrition'!$E47,'Attrition Modeling'!$C:$C,'Traditional Attrition'!Z$1),VLOOKUP('Traditional Attrition'!Z$2-'Traditional Attrition'!$F47-1,'Traditional Attrition'!$A$7:$C$161,2,FALSE)*VLOOKUP(Z$1,'Attrition Modeling'!$L$15:$N$27,IF(Z$2-$F47&lt;=24,2,3),FALSE))*(1+Projection!AB$16)*(1+IF(Z179&gt;0,'Attrition Modeling'!$N$9,0))),0))</f>
        <v>0</v>
      </c>
      <c r="AA47" s="799">
        <f>IF(AA$2=$F47+1,Monthly!W$21,IF(AA$2&gt;$F47+1,('Traditional Attrition'!Z47+AA179)*(1-IF(AA$2-$F47&lt;=12,SUMIFS('Attrition Modeling'!$D:$D,'Attrition Modeling'!$B:$B,'Traditional Attrition'!$E47,'Attrition Modeling'!$C:$C,'Traditional Attrition'!AA$1),VLOOKUP('Traditional Attrition'!AA$2-'Traditional Attrition'!$F47-1,'Traditional Attrition'!$A$7:$C$161,2,FALSE)*VLOOKUP(AA$1,'Attrition Modeling'!$L$15:$N$27,IF(AA$2-$F47&lt;=24,2,3),FALSE))*(1+Projection!AC$16)*(1+IF(AA179&gt;0,'Attrition Modeling'!$N$9,0))),0))</f>
        <v>0</v>
      </c>
      <c r="AB47" s="799">
        <f>IF(AB$2=$F47+1,Monthly!X$21,IF(AB$2&gt;$F47+1,('Traditional Attrition'!AA47+AB179)*(1-IF(AB$2-$F47&lt;=12,SUMIFS('Attrition Modeling'!$D:$D,'Attrition Modeling'!$B:$B,'Traditional Attrition'!$E47,'Attrition Modeling'!$C:$C,'Traditional Attrition'!AB$1),VLOOKUP('Traditional Attrition'!AB$2-'Traditional Attrition'!$F47-1,'Traditional Attrition'!$A$7:$C$161,2,FALSE)*VLOOKUP(AB$1,'Attrition Modeling'!$L$15:$N$27,IF(AB$2-$F47&lt;=24,2,3),FALSE))*(1+Projection!AD$16)*(1+IF(AB179&gt;0,'Attrition Modeling'!$N$9,0))),0))</f>
        <v>0</v>
      </c>
      <c r="AC47" s="799">
        <f>IF(AC$2=$F47+1,Monthly!Y$21,IF(AC$2&gt;$F47+1,('Traditional Attrition'!AB47+AC179)*(1-IF(AC$2-$F47&lt;=12,SUMIFS('Attrition Modeling'!$D:$D,'Attrition Modeling'!$B:$B,'Traditional Attrition'!$E47,'Attrition Modeling'!$C:$C,'Traditional Attrition'!AC$1),VLOOKUP('Traditional Attrition'!AC$2-'Traditional Attrition'!$F47-1,'Traditional Attrition'!$A$7:$C$161,2,FALSE)*VLOOKUP(AC$1,'Attrition Modeling'!$L$15:$N$27,IF(AC$2-$F47&lt;=24,2,3),FALSE))*(1+Projection!AE$16)*(1+IF(AC179&gt;0,'Attrition Modeling'!$N$9,0))),0))</f>
        <v>0</v>
      </c>
      <c r="AD47" s="799">
        <f>IF(AD$2=$F47+1,Monthly!Z$21,IF(AD$2&gt;$F47+1,('Traditional Attrition'!AC47+AD179)*(1-IF(AD$2-$F47&lt;=12,SUMIFS('Attrition Modeling'!$D:$D,'Attrition Modeling'!$B:$B,'Traditional Attrition'!$E47,'Attrition Modeling'!$C:$C,'Traditional Attrition'!AD$1),VLOOKUP('Traditional Attrition'!AD$2-'Traditional Attrition'!$F47-1,'Traditional Attrition'!$A$7:$C$161,2,FALSE)*VLOOKUP(AD$1,'Attrition Modeling'!$L$15:$N$27,IF(AD$2-$F47&lt;=24,2,3),FALSE))*(1+Projection!AF$16)*(1+IF(AD179&gt;0,'Attrition Modeling'!$N$9,0))),0))</f>
        <v>0</v>
      </c>
      <c r="AE47" s="799">
        <f>IF(AE$2=$F47+1,Monthly!AA$21,IF(AE$2&gt;$F47+1,('Traditional Attrition'!AD47+AE179)*(1-IF(AE$2-$F47&lt;=12,SUMIFS('Attrition Modeling'!$D:$D,'Attrition Modeling'!$B:$B,'Traditional Attrition'!$E47,'Attrition Modeling'!$C:$C,'Traditional Attrition'!AE$1),VLOOKUP('Traditional Attrition'!AE$2-'Traditional Attrition'!$F47-1,'Traditional Attrition'!$A$7:$C$161,2,FALSE)*VLOOKUP(AE$1,'Attrition Modeling'!$L$15:$N$27,IF(AE$2-$F47&lt;=24,2,3),FALSE))*(1+Projection!AG$16)*(1+IF(AE179&gt;0,'Attrition Modeling'!$N$9,0))),0))</f>
        <v>0</v>
      </c>
      <c r="AF47" s="799">
        <f>IF(AF$2=$F47+1,Monthly!AB$21,IF(AF$2&gt;$F47+1,('Traditional Attrition'!AE47+AF179)*(1-IF(AF$2-$F47&lt;=12,SUMIFS('Attrition Modeling'!$D:$D,'Attrition Modeling'!$B:$B,'Traditional Attrition'!$E47,'Attrition Modeling'!$C:$C,'Traditional Attrition'!AF$1),VLOOKUP('Traditional Attrition'!AF$2-'Traditional Attrition'!$F47-1,'Traditional Attrition'!$A$7:$C$161,2,FALSE)*VLOOKUP(AF$1,'Attrition Modeling'!$L$15:$N$27,IF(AF$2-$F47&lt;=24,2,3),FALSE))*(1+Projection!AH$16)*(1+IF(AF179&gt;0,'Attrition Modeling'!$N$9,0))),0))</f>
        <v>0</v>
      </c>
      <c r="AG47" s="799">
        <f>IF(AG$2=$F47+1,Monthly!AC$21,IF(AG$2&gt;$F47+1,('Traditional Attrition'!AF47+AG179)*(1-IF(AG$2-$F47&lt;=12,SUMIFS('Attrition Modeling'!$D:$D,'Attrition Modeling'!$B:$B,'Traditional Attrition'!$E47,'Attrition Modeling'!$C:$C,'Traditional Attrition'!AG$1),VLOOKUP('Traditional Attrition'!AG$2-'Traditional Attrition'!$F47-1,'Traditional Attrition'!$A$7:$C$161,2,FALSE)*VLOOKUP(AG$1,'Attrition Modeling'!$L$15:$N$27,IF(AG$2-$F47&lt;=24,2,3),FALSE))*(1+Projection!AI$16)*(1+IF(AG179&gt;0,'Attrition Modeling'!$N$9,0))),0))</f>
        <v>0</v>
      </c>
      <c r="AH47" s="799">
        <f>IF(AH$2=$F47+1,Monthly!AD$21,IF(AH$2&gt;$F47+1,('Traditional Attrition'!AG47+AH179)*(1-IF(AH$2-$F47&lt;=12,SUMIFS('Attrition Modeling'!$D:$D,'Attrition Modeling'!$B:$B,'Traditional Attrition'!$E47,'Attrition Modeling'!$C:$C,'Traditional Attrition'!AH$1),VLOOKUP('Traditional Attrition'!AH$2-'Traditional Attrition'!$F47-1,'Traditional Attrition'!$A$7:$C$161,2,FALSE)*VLOOKUP(AH$1,'Attrition Modeling'!$L$15:$N$27,IF(AH$2-$F47&lt;=24,2,3),FALSE))*(1+Projection!AJ$16)*(1+IF(AH179&gt;0,'Attrition Modeling'!$N$9,0))),0))</f>
        <v>0</v>
      </c>
      <c r="AI47" s="799">
        <f>IF(AI$2=$F47+1,Monthly!AE$21,IF(AI$2&gt;$F47+1,('Traditional Attrition'!AH47+AI179)*(1-IF(AI$2-$F47&lt;=12,SUMIFS('Attrition Modeling'!$D:$D,'Attrition Modeling'!$B:$B,'Traditional Attrition'!$E47,'Attrition Modeling'!$C:$C,'Traditional Attrition'!AI$1),VLOOKUP('Traditional Attrition'!AI$2-'Traditional Attrition'!$F47-1,'Traditional Attrition'!$A$7:$C$161,2,FALSE)*VLOOKUP(AI$1,'Attrition Modeling'!$L$15:$N$27,IF(AI$2-$F47&lt;=24,2,3),FALSE))*(1+Projection!AK$16)*(1+IF(AI179&gt;0,'Attrition Modeling'!$N$9,0))),0))</f>
        <v>0</v>
      </c>
      <c r="AJ47" s="799">
        <f>IF(AJ$2=$F47+1,Monthly!AF$21,IF(AJ$2&gt;$F47+1,('Traditional Attrition'!AI47+AJ179)*(1-IF(AJ$2-$F47&lt;=12,SUMIFS('Attrition Modeling'!$D:$D,'Attrition Modeling'!$B:$B,'Traditional Attrition'!$E47,'Attrition Modeling'!$C:$C,'Traditional Attrition'!AJ$1),VLOOKUP('Traditional Attrition'!AJ$2-'Traditional Attrition'!$F47-1,'Traditional Attrition'!$A$7:$C$161,2,FALSE)*VLOOKUP(AJ$1,'Attrition Modeling'!$L$15:$N$27,IF(AJ$2-$F47&lt;=24,2,3),FALSE))*(1+Projection!AL$16)*(1+IF(AJ179&gt;0,'Attrition Modeling'!$N$9,0))),0))</f>
        <v>0</v>
      </c>
      <c r="AK47" s="799">
        <f>IF(AK$2=$F47+1,Monthly!AG$21,IF(AK$2&gt;$F47+1,('Traditional Attrition'!AJ47+AK179)*(1-IF(AK$2-$F47&lt;=12,SUMIFS('Attrition Modeling'!$D:$D,'Attrition Modeling'!$B:$B,'Traditional Attrition'!$E47,'Attrition Modeling'!$C:$C,'Traditional Attrition'!AK$1),VLOOKUP('Traditional Attrition'!AK$2-'Traditional Attrition'!$F47-1,'Traditional Attrition'!$A$7:$C$161,2,FALSE)*VLOOKUP(AK$1,'Attrition Modeling'!$L$15:$N$27,IF(AK$2-$F47&lt;=24,2,3),FALSE))*(1+Projection!AM$16)*(1+IF(AK179&gt;0,'Attrition Modeling'!$N$9,0))),0))</f>
        <v>0</v>
      </c>
      <c r="AL47" s="799">
        <f>IF(AL$2=$F47+1,Monthly!AH$21,IF(AL$2&gt;$F47+1,('Traditional Attrition'!AK47+AL179)*(1-IF(AL$2-$F47&lt;=12,SUMIFS('Attrition Modeling'!$D:$D,'Attrition Modeling'!$B:$B,'Traditional Attrition'!$E47,'Attrition Modeling'!$C:$C,'Traditional Attrition'!AL$1),VLOOKUP('Traditional Attrition'!AL$2-'Traditional Attrition'!$F47-1,'Traditional Attrition'!$A$7:$C$161,2,FALSE)*VLOOKUP(AL$1,'Attrition Modeling'!$L$15:$N$27,IF(AL$2-$F47&lt;=24,2,3),FALSE))*(1+Projection!AN$16)*(1+IF(AL179&gt;0,'Attrition Modeling'!$N$9,0))),0))</f>
        <v>0</v>
      </c>
      <c r="AM47" s="799">
        <f>IF(AM$2=$F47+1,Monthly!AI$21,IF(AM$2&gt;$F47+1,('Traditional Attrition'!AL47+AM179)*(1-IF(AM$2-$F47&lt;=12,SUMIFS('Attrition Modeling'!$D:$D,'Attrition Modeling'!$B:$B,'Traditional Attrition'!$E47,'Attrition Modeling'!$C:$C,'Traditional Attrition'!AM$1),VLOOKUP('Traditional Attrition'!AM$2-'Traditional Attrition'!$F47-1,'Traditional Attrition'!$A$7:$C$161,2,FALSE)*VLOOKUP(AM$1,'Attrition Modeling'!$L$15:$N$27,IF(AM$2-$F47&lt;=24,2,3),FALSE))*(1+Projection!AO$16)*(1+IF(AM179&gt;0,'Attrition Modeling'!$N$9,0))),0))</f>
        <v>0</v>
      </c>
      <c r="AN47" s="799">
        <f>IF(AN$2=$F47+1,Monthly!AJ$21,IF(AN$2&gt;$F47+1,('Traditional Attrition'!AM47+AN179)*(1-IF(AN$2-$F47&lt;=12,SUMIFS('Attrition Modeling'!$D:$D,'Attrition Modeling'!$B:$B,'Traditional Attrition'!$E47,'Attrition Modeling'!$C:$C,'Traditional Attrition'!AN$1),VLOOKUP('Traditional Attrition'!AN$2-'Traditional Attrition'!$F47-1,'Traditional Attrition'!$A$7:$C$161,2,FALSE)*VLOOKUP(AN$1,'Attrition Modeling'!$L$15:$N$27,IF(AN$2-$F47&lt;=24,2,3),FALSE))*(1+Projection!AP$16)*(1+IF(AN179&gt;0,'Attrition Modeling'!$N$9,0))),0))</f>
        <v>0</v>
      </c>
      <c r="AO47" s="799">
        <f>IF(AO$2=$F47+1,Monthly!AK$21,IF(AO$2&gt;$F47+1,('Traditional Attrition'!AN47+AO179)*(1-IF(AO$2-$F47&lt;=12,SUMIFS('Attrition Modeling'!$D:$D,'Attrition Modeling'!$B:$B,'Traditional Attrition'!$E47,'Attrition Modeling'!$C:$C,'Traditional Attrition'!AO$1),VLOOKUP('Traditional Attrition'!AO$2-'Traditional Attrition'!$F47-1,'Traditional Attrition'!$A$7:$C$161,2,FALSE)*VLOOKUP(AO$1,'Attrition Modeling'!$L$15:$N$27,IF(AO$2-$F47&lt;=24,2,3),FALSE))*(1+Projection!AQ$16)*(1+IF(AO179&gt;0,'Attrition Modeling'!$N$9,0))),0))</f>
        <v>0</v>
      </c>
      <c r="AP47" s="799">
        <f>IF(AP$2=$F47+1,Monthly!AL$21,IF(AP$2&gt;$F47+1,('Traditional Attrition'!AO47+AP179)*(1-IF(AP$2-$F47&lt;=12,SUMIFS('Attrition Modeling'!$D:$D,'Attrition Modeling'!$B:$B,'Traditional Attrition'!$E47,'Attrition Modeling'!$C:$C,'Traditional Attrition'!AP$1),VLOOKUP('Traditional Attrition'!AP$2-'Traditional Attrition'!$F47-1,'Traditional Attrition'!$A$7:$C$161,2,FALSE)*VLOOKUP(AP$1,'Attrition Modeling'!$L$15:$N$27,IF(AP$2-$F47&lt;=24,2,3),FALSE))*(1+Projection!AR$16)*(1+IF(AP179&gt;0,'Attrition Modeling'!$N$9,0))),0))</f>
        <v>0</v>
      </c>
      <c r="AQ47" s="799">
        <f>IF(AQ$2=$F47+1,Monthly!AM$21,IF(AQ$2&gt;$F47+1,('Traditional Attrition'!AP47+AQ179)*(1-IF(AQ$2-$F47&lt;=12,SUMIFS('Attrition Modeling'!$D:$D,'Attrition Modeling'!$B:$B,'Traditional Attrition'!$E47,'Attrition Modeling'!$C:$C,'Traditional Attrition'!AQ$1),VLOOKUP('Traditional Attrition'!AQ$2-'Traditional Attrition'!$F47-1,'Traditional Attrition'!$A$7:$C$161,2,FALSE)*VLOOKUP(AQ$1,'Attrition Modeling'!$L$15:$N$27,IF(AQ$2-$F47&lt;=24,2,3),FALSE))*(1+Projection!AS$16)*(1+IF(AQ179&gt;0,'Attrition Modeling'!$N$9,0))),0))</f>
        <v>0</v>
      </c>
      <c r="AR47" s="799">
        <f>IF(AR$2=$F47+1,Monthly!AN$21,IF(AR$2&gt;$F47+1,('Traditional Attrition'!AQ47+AR179)*(1-IF(AR$2-$F47&lt;=12,SUMIFS('Attrition Modeling'!$D:$D,'Attrition Modeling'!$B:$B,'Traditional Attrition'!$E47,'Attrition Modeling'!$C:$C,'Traditional Attrition'!AR$1),VLOOKUP('Traditional Attrition'!AR$2-'Traditional Attrition'!$F47-1,'Traditional Attrition'!$A$7:$C$161,2,FALSE)*VLOOKUP(AR$1,'Attrition Modeling'!$L$15:$N$27,IF(AR$2-$F47&lt;=24,2,3),FALSE))*(1+Projection!AT$16)*(1+IF(AR179&gt;0,'Attrition Modeling'!$N$9,0))),0))</f>
        <v>0</v>
      </c>
      <c r="AS47" s="799">
        <f>IF(AS$2=$F47+1,Monthly!AO$21,IF(AS$2&gt;$F47+1,('Traditional Attrition'!AR47+AS179)*(1-IF(AS$2-$F47&lt;=12,SUMIFS('Attrition Modeling'!$D:$D,'Attrition Modeling'!$B:$B,'Traditional Attrition'!$E47,'Attrition Modeling'!$C:$C,'Traditional Attrition'!AS$1),VLOOKUP('Traditional Attrition'!AS$2-'Traditional Attrition'!$F47-1,'Traditional Attrition'!$A$7:$C$161,2,FALSE)*VLOOKUP(AS$1,'Attrition Modeling'!$L$15:$N$27,IF(AS$2-$F47&lt;=24,2,3),FALSE))*(1+Projection!AU$16)*(1+IF(AS179&gt;0,'Attrition Modeling'!$N$9,0))),0))</f>
        <v>0</v>
      </c>
      <c r="AT47" s="799">
        <f>IF(AT$2=$F47+1,Monthly!AP$21,IF(AT$2&gt;$F47+1,('Traditional Attrition'!AS47+AT179)*(1-IF(AT$2-$F47&lt;=12,SUMIFS('Attrition Modeling'!$D:$D,'Attrition Modeling'!$B:$B,'Traditional Attrition'!$E47,'Attrition Modeling'!$C:$C,'Traditional Attrition'!AT$1),VLOOKUP('Traditional Attrition'!AT$2-'Traditional Attrition'!$F47-1,'Traditional Attrition'!$A$7:$C$161,2,FALSE)*VLOOKUP(AT$1,'Attrition Modeling'!$L$15:$N$27,IF(AT$2-$F47&lt;=24,2,3),FALSE))*(1+Projection!AV$16)*(1+IF(AT179&gt;0,'Attrition Modeling'!$N$9,0))),0))</f>
        <v>0</v>
      </c>
      <c r="AU47" s="799">
        <f>IF(AU$2=$F47+1,Monthly!AQ$21,IF(AU$2&gt;$F47+1,('Traditional Attrition'!AT47+AU179)*(1-IF(AU$2-$F47&lt;=12,SUMIFS('Attrition Modeling'!$D:$D,'Attrition Modeling'!$B:$B,'Traditional Attrition'!$E47,'Attrition Modeling'!$C:$C,'Traditional Attrition'!AU$1),VLOOKUP('Traditional Attrition'!AU$2-'Traditional Attrition'!$F47-1,'Traditional Attrition'!$A$7:$C$161,2,FALSE)*VLOOKUP(AU$1,'Attrition Modeling'!$L$15:$N$27,IF(AU$2-$F47&lt;=24,2,3),FALSE))*(1+Projection!AW$16)*(1+IF(AU179&gt;0,'Attrition Modeling'!$N$9,0))),0))</f>
        <v>0</v>
      </c>
      <c r="AV47" s="799">
        <f>IF(AV$2=$F47+1,Monthly!AR$21,IF(AV$2&gt;$F47+1,('Traditional Attrition'!AU47+AV179)*(1-IF(AV$2-$F47&lt;=12,SUMIFS('Attrition Modeling'!$D:$D,'Attrition Modeling'!$B:$B,'Traditional Attrition'!$E47,'Attrition Modeling'!$C:$C,'Traditional Attrition'!AV$1),VLOOKUP('Traditional Attrition'!AV$2-'Traditional Attrition'!$F47-1,'Traditional Attrition'!$A$7:$C$161,2,FALSE)*VLOOKUP(AV$1,'Attrition Modeling'!$L$15:$N$27,IF(AV$2-$F47&lt;=24,2,3),FALSE))*(1+Projection!AX$16)*(1+IF(AV179&gt;0,'Attrition Modeling'!$N$9,0))),0))</f>
        <v>0</v>
      </c>
      <c r="AW47" s="799">
        <f>IF(AW$2=$F47+1,Monthly!AS$21,IF(AW$2&gt;$F47+1,('Traditional Attrition'!AV47+AW179)*(1-IF(AW$2-$F47&lt;=12,SUMIFS('Attrition Modeling'!$D:$D,'Attrition Modeling'!$B:$B,'Traditional Attrition'!$E47,'Attrition Modeling'!$C:$C,'Traditional Attrition'!AW$1),VLOOKUP('Traditional Attrition'!AW$2-'Traditional Attrition'!$F47-1,'Traditional Attrition'!$A$7:$C$161,2,FALSE)*VLOOKUP(AW$1,'Attrition Modeling'!$L$15:$N$27,IF(AW$2-$F47&lt;=24,2,3),FALSE))*(1+Projection!AY$16)*(1+IF(AW179&gt;0,'Attrition Modeling'!$N$9,0))),0))</f>
        <v>0</v>
      </c>
      <c r="AX47" s="799">
        <f>IF(AX$2=$F47+1,Monthly!AT$21,IF(AX$2&gt;$F47+1,('Traditional Attrition'!AW47+AX179)*(1-IF(AX$2-$F47&lt;=12,SUMIFS('Attrition Modeling'!$D:$D,'Attrition Modeling'!$B:$B,'Traditional Attrition'!$E47,'Attrition Modeling'!$C:$C,'Traditional Attrition'!AX$1),VLOOKUP('Traditional Attrition'!AX$2-'Traditional Attrition'!$F47-1,'Traditional Attrition'!$A$7:$C$161,2,FALSE)*VLOOKUP(AX$1,'Attrition Modeling'!$L$15:$N$27,IF(AX$2-$F47&lt;=24,2,3),FALSE))*(1+Projection!AZ$16)*(1+IF(AX179&gt;0,'Attrition Modeling'!$N$9,0))),0))</f>
        <v>0</v>
      </c>
      <c r="AY47" s="799">
        <f>IF(AY$2=$F47+1,Monthly!AU$21,IF(AY$2&gt;$F47+1,('Traditional Attrition'!AX47+AY179)*(1-IF(AY$2-$F47&lt;=12,SUMIFS('Attrition Modeling'!$D:$D,'Attrition Modeling'!$B:$B,'Traditional Attrition'!$E47,'Attrition Modeling'!$C:$C,'Traditional Attrition'!AY$1),VLOOKUP('Traditional Attrition'!AY$2-'Traditional Attrition'!$F47-1,'Traditional Attrition'!$A$7:$C$161,2,FALSE)*VLOOKUP(AY$1,'Attrition Modeling'!$L$15:$N$27,IF(AY$2-$F47&lt;=24,2,3),FALSE))*(1+Projection!BA$16)*(1+IF(AY179&gt;0,'Attrition Modeling'!$N$9,0))),0))</f>
        <v>0</v>
      </c>
      <c r="AZ47" s="799">
        <f>IF(AZ$2=$F47+1,Monthly!AV$21,IF(AZ$2&gt;$F47+1,('Traditional Attrition'!AY47+AZ179)*(1-IF(AZ$2-$F47&lt;=12,SUMIFS('Attrition Modeling'!$D:$D,'Attrition Modeling'!$B:$B,'Traditional Attrition'!$E47,'Attrition Modeling'!$C:$C,'Traditional Attrition'!AZ$1),VLOOKUP('Traditional Attrition'!AZ$2-'Traditional Attrition'!$F47-1,'Traditional Attrition'!$A$7:$C$161,2,FALSE)*VLOOKUP(AZ$1,'Attrition Modeling'!$L$15:$N$27,IF(AZ$2-$F47&lt;=24,2,3),FALSE))*(1+Projection!BB$16)*(1+IF(AZ179&gt;0,'Attrition Modeling'!$N$9,0))),0))</f>
        <v>9418.3103479124293</v>
      </c>
      <c r="BA47" s="799">
        <f>IF(BA$2=$F47+1,Monthly!AW$21,IF(BA$2&gt;$F47+1,('Traditional Attrition'!AZ47+BA179)*(1-IF(BA$2-$F47&lt;=12,SUMIFS('Attrition Modeling'!$D:$D,'Attrition Modeling'!$B:$B,'Traditional Attrition'!$E47,'Attrition Modeling'!$C:$C,'Traditional Attrition'!BA$1),VLOOKUP('Traditional Attrition'!BA$2-'Traditional Attrition'!$F47-1,'Traditional Attrition'!$A$7:$C$161,2,FALSE)*VLOOKUP(BA$1,'Attrition Modeling'!$L$15:$N$27,IF(BA$2-$F47&lt;=24,2,3),FALSE))*(1+Projection!BC$16)*(1+IF(BA179&gt;0,'Attrition Modeling'!$N$9,0))),0))</f>
        <v>8389.3401639512667</v>
      </c>
      <c r="BB47" s="799">
        <f>IF(BB$2=$F47+1,Monthly!AX$21,IF(BB$2&gt;$F47+1,('Traditional Attrition'!BA47+BB179)*(1-IF(BB$2-$F47&lt;=12,SUMIFS('Attrition Modeling'!$D:$D,'Attrition Modeling'!$B:$B,'Traditional Attrition'!$E47,'Attrition Modeling'!$C:$C,'Traditional Attrition'!BB$1),VLOOKUP('Traditional Attrition'!BB$2-'Traditional Attrition'!$F47-1,'Traditional Attrition'!$A$7:$C$161,2,FALSE)*VLOOKUP(BB$1,'Attrition Modeling'!$L$15:$N$27,IF(BB$2-$F47&lt;=24,2,3),FALSE))*(1+Projection!BD$16)*(1+IF(BB179&gt;0,'Attrition Modeling'!$N$9,0))),0))</f>
        <v>7635.003582622212</v>
      </c>
      <c r="BC47" s="799">
        <f>IF(BC$2=$F47+1,Monthly!AY$21,IF(BC$2&gt;$F47+1,('Traditional Attrition'!BB47+BC179)*(1-IF(BC$2-$F47&lt;=12,SUMIFS('Attrition Modeling'!$D:$D,'Attrition Modeling'!$B:$B,'Traditional Attrition'!$E47,'Attrition Modeling'!$C:$C,'Traditional Attrition'!BC$1),VLOOKUP('Traditional Attrition'!BC$2-'Traditional Attrition'!$F47-1,'Traditional Attrition'!$A$7:$C$161,2,FALSE)*VLOOKUP(BC$1,'Attrition Modeling'!$L$15:$N$27,IF(BC$2-$F47&lt;=24,2,3),FALSE))*(1+Projection!BE$16)*(1+IF(BC179&gt;0,'Attrition Modeling'!$N$9,0))),0))</f>
        <v>6947.2106982846999</v>
      </c>
      <c r="BD47" s="799">
        <f>IF(BD$2=$F47+1,Monthly!AZ$21,IF(BD$2&gt;$F47+1,('Traditional Attrition'!BC47+BD179)*(1-IF(BD$2-$F47&lt;=12,SUMIFS('Attrition Modeling'!$D:$D,'Attrition Modeling'!$B:$B,'Traditional Attrition'!$E47,'Attrition Modeling'!$C:$C,'Traditional Attrition'!BD$1),VLOOKUP('Traditional Attrition'!BD$2-'Traditional Attrition'!$F47-1,'Traditional Attrition'!$A$7:$C$161,2,FALSE)*VLOOKUP(BD$1,'Attrition Modeling'!$L$15:$N$27,IF(BD$2-$F47&lt;=24,2,3),FALSE))*(1+Projection!BF$16)*(1+IF(BD179&gt;0,'Attrition Modeling'!$N$9,0))),0))</f>
        <v>6408.5935223187944</v>
      </c>
      <c r="BE47" s="799">
        <f>IF(BE$2=$F47+1,Monthly!BA$21,IF(BE$2&gt;$F47+1,('Traditional Attrition'!BD47+BE179)*(1-IF(BE$2-$F47&lt;=12,SUMIFS('Attrition Modeling'!$D:$D,'Attrition Modeling'!$B:$B,'Traditional Attrition'!$E47,'Attrition Modeling'!$C:$C,'Traditional Attrition'!BE$1),VLOOKUP('Traditional Attrition'!BE$2-'Traditional Attrition'!$F47-1,'Traditional Attrition'!$A$7:$C$161,2,FALSE)*VLOOKUP(BE$1,'Attrition Modeling'!$L$15:$N$27,IF(BE$2-$F47&lt;=24,2,3),FALSE))*(1+Projection!BG$16)*(1+IF(BE179&gt;0,'Attrition Modeling'!$N$9,0))),0))</f>
        <v>6374.6734579773138</v>
      </c>
      <c r="BF47" s="799">
        <f>IF(BF$2=$F47+1,Monthly!BB$21,IF(BF$2&gt;$F47+1,('Traditional Attrition'!BE47+BF179)*(1-IF(BF$2-$F47&lt;=12,SUMIFS('Attrition Modeling'!$D:$D,'Attrition Modeling'!$B:$B,'Traditional Attrition'!$E47,'Attrition Modeling'!$C:$C,'Traditional Attrition'!BF$1),VLOOKUP('Traditional Attrition'!BF$2-'Traditional Attrition'!$F47-1,'Traditional Attrition'!$A$7:$C$161,2,FALSE)*VLOOKUP(BF$1,'Attrition Modeling'!$L$15:$N$27,IF(BF$2-$F47&lt;=24,2,3),FALSE))*(1+Projection!BH$16)*(1+IF(BF179&gt;0,'Attrition Modeling'!$N$9,0))),0))</f>
        <v>5891.2400880542755</v>
      </c>
      <c r="BG47" s="799">
        <f>IF(BG$2=$F47+1,Monthly!BC$21,IF(BG$2&gt;$F47+1,('Traditional Attrition'!BF47+BG179)*(1-IF(BG$2-$F47&lt;=12,SUMIFS('Attrition Modeling'!$D:$D,'Attrition Modeling'!$B:$B,'Traditional Attrition'!$E47,'Attrition Modeling'!$C:$C,'Traditional Attrition'!BG$1),VLOOKUP('Traditional Attrition'!BG$2-'Traditional Attrition'!$F47-1,'Traditional Attrition'!$A$7:$C$161,2,FALSE)*VLOOKUP(BG$1,'Attrition Modeling'!$L$15:$N$27,IF(BG$2-$F47&lt;=24,2,3),FALSE))*(1+Projection!BI$16)*(1+IF(BG179&gt;0,'Attrition Modeling'!$N$9,0))),0))</f>
        <v>5503.9288151136716</v>
      </c>
      <c r="BH47" s="799">
        <f>IF(BH$2=$F47+1,Monthly!BD$21,IF(BH$2&gt;$F47+1,('Traditional Attrition'!BG47+BH179)*(1-IF(BH$2-$F47&lt;=12,SUMIFS('Attrition Modeling'!$D:$D,'Attrition Modeling'!$B:$B,'Traditional Attrition'!$E47,'Attrition Modeling'!$C:$C,'Traditional Attrition'!BH$1),VLOOKUP('Traditional Attrition'!BH$2-'Traditional Attrition'!$F47-1,'Traditional Attrition'!$A$7:$C$161,2,FALSE)*VLOOKUP(BH$1,'Attrition Modeling'!$L$15:$N$27,IF(BH$2-$F47&lt;=24,2,3),FALSE))*(1+Projection!BJ$16)*(1+IF(BH179&gt;0,'Attrition Modeling'!$N$9,0))),0))</f>
        <v>5177.3579322476826</v>
      </c>
      <c r="BI47" s="799">
        <f>IF(BI$2=$F47+1,Monthly!BE$21,IF(BI$2&gt;$F47+1,('Traditional Attrition'!BH47+BI179)*(1-IF(BI$2-$F47&lt;=12,SUMIFS('Attrition Modeling'!$D:$D,'Attrition Modeling'!$B:$B,'Traditional Attrition'!$E47,'Attrition Modeling'!$C:$C,'Traditional Attrition'!BI$1),VLOOKUP('Traditional Attrition'!BI$2-'Traditional Attrition'!$F47-1,'Traditional Attrition'!$A$7:$C$161,2,FALSE)*VLOOKUP(BI$1,'Attrition Modeling'!$L$15:$N$27,IF(BI$2-$F47&lt;=24,2,3),FALSE))*(1+Projection!BK$16)*(1+IF(BI179&gt;0,'Attrition Modeling'!$N$9,0))),0))</f>
        <v>4873.0565970630732</v>
      </c>
      <c r="BJ47" s="799">
        <f>IF(BJ$2=$F47+1,Monthly!BF$21,IF(BJ$2&gt;$F47+1,('Traditional Attrition'!BI47+BJ179)*(1-IF(BJ$2-$F47&lt;=12,SUMIFS('Attrition Modeling'!$D:$D,'Attrition Modeling'!$B:$B,'Traditional Attrition'!$E47,'Attrition Modeling'!$C:$C,'Traditional Attrition'!BJ$1),VLOOKUP('Traditional Attrition'!BJ$2-'Traditional Attrition'!$F47-1,'Traditional Attrition'!$A$7:$C$161,2,FALSE)*VLOOKUP(BJ$1,'Attrition Modeling'!$L$15:$N$27,IF(BJ$2-$F47&lt;=24,2,3),FALSE))*(1+Projection!BL$16)*(1+IF(BJ179&gt;0,'Attrition Modeling'!$N$9,0))),0))</f>
        <v>4584.0180672875131</v>
      </c>
      <c r="BK47" s="799">
        <f>IF(BK$2=$F47+1,Monthly!BG$21,IF(BK$2&gt;$F47+1,('Traditional Attrition'!BJ47+BK179)*(1-IF(BK$2-$F47&lt;=12,SUMIFS('Attrition Modeling'!$D:$D,'Attrition Modeling'!$B:$B,'Traditional Attrition'!$E47,'Attrition Modeling'!$C:$C,'Traditional Attrition'!BK$1),VLOOKUP('Traditional Attrition'!BK$2-'Traditional Attrition'!$F47-1,'Traditional Attrition'!$A$7:$C$161,2,FALSE)*VLOOKUP(BK$1,'Attrition Modeling'!$L$15:$N$27,IF(BK$2-$F47&lt;=24,2,3),FALSE))*(1+Projection!BM$16)*(1+IF(BK179&gt;0,'Attrition Modeling'!$N$9,0))),0))</f>
        <v>4429.3821311708753</v>
      </c>
      <c r="BL47" s="799">
        <f>IF(BL$2=$F47+1,Monthly!BH$21,IF(BL$2&gt;$F47+1,('Traditional Attrition'!BK47+BL179)*(1-IF(BL$2-$F47&lt;=12,SUMIFS('Attrition Modeling'!$D:$D,'Attrition Modeling'!$B:$B,'Traditional Attrition'!$E47,'Attrition Modeling'!$C:$C,'Traditional Attrition'!BL$1),VLOOKUP('Traditional Attrition'!BL$2-'Traditional Attrition'!$F47-1,'Traditional Attrition'!$A$7:$C$161,2,FALSE)*VLOOKUP(BL$1,'Attrition Modeling'!$L$15:$N$27,IF(BL$2-$F47&lt;=24,2,3),FALSE))*(1+Projection!BN$16)*(1+IF(BL179&gt;0,'Attrition Modeling'!$N$9,0))),0))</f>
        <v>4184.7543258347787</v>
      </c>
      <c r="BM47" s="799">
        <f>IF(BM$2=$F47+1,Monthly!BI$21,IF(BM$2&gt;$F47+1,('Traditional Attrition'!BL47+BM179)*(1-IF(BM$2-$F47&lt;=12,SUMIFS('Attrition Modeling'!$D:$D,'Attrition Modeling'!$B:$B,'Traditional Attrition'!$E47,'Attrition Modeling'!$C:$C,'Traditional Attrition'!BM$1),VLOOKUP('Traditional Attrition'!BM$2-'Traditional Attrition'!$F47-1,'Traditional Attrition'!$A$7:$C$161,2,FALSE)*VLOOKUP(BM$1,'Attrition Modeling'!$L$15:$N$27,IF(BM$2-$F47&lt;=24,2,3),FALSE))*(1+Projection!BO$16)*(1+IF(BM179&gt;0,'Attrition Modeling'!$N$9,0))),0))</f>
        <v>3966.5542466173588</v>
      </c>
      <c r="BN47" s="799">
        <f>IF(BN$2=$F47+1,Monthly!BJ$21,IF(BN$2&gt;$F47+1,('Traditional Attrition'!BM47+BN179)*(1-IF(BN$2-$F47&lt;=12,SUMIFS('Attrition Modeling'!$D:$D,'Attrition Modeling'!$B:$B,'Traditional Attrition'!$E47,'Attrition Modeling'!$C:$C,'Traditional Attrition'!BN$1),VLOOKUP('Traditional Attrition'!BN$2-'Traditional Attrition'!$F47-1,'Traditional Attrition'!$A$7:$C$161,2,FALSE)*VLOOKUP(BN$1,'Attrition Modeling'!$L$15:$N$27,IF(BN$2-$F47&lt;=24,2,3),FALSE))*(1+Projection!BP$16)*(1+IF(BN179&gt;0,'Attrition Modeling'!$N$9,0))),0))</f>
        <v>3777.3346751175836</v>
      </c>
      <c r="BO47" s="799">
        <f>IF(BO$2=$F47+1,Monthly!BK$21,IF(BO$2&gt;$F47+1,('Traditional Attrition'!BN47+BO179)*(1-IF(BO$2-$F47&lt;=12,SUMIFS('Attrition Modeling'!$D:$D,'Attrition Modeling'!$B:$B,'Traditional Attrition'!$E47,'Attrition Modeling'!$C:$C,'Traditional Attrition'!BO$1),VLOOKUP('Traditional Attrition'!BO$2-'Traditional Attrition'!$F47-1,'Traditional Attrition'!$A$7:$C$161,2,FALSE)*VLOOKUP(BO$1,'Attrition Modeling'!$L$15:$N$27,IF(BO$2-$F47&lt;=24,2,3),FALSE))*(1+Projection!BV$16)*(1+IF(BO179&gt;0,'Attrition Modeling'!$N$9,0))),0))</f>
        <v>3605.5478814929493</v>
      </c>
      <c r="BP47" s="799">
        <f>IF(BP$2=$F47+1,Monthly!BL$21,IF(BP$2&gt;$F47+1,('Traditional Attrition'!BO47+BP179)*(1-IF(BP$2-$F47&lt;=12,SUMIFS('Attrition Modeling'!$D:$D,'Attrition Modeling'!$B:$B,'Traditional Attrition'!$E47,'Attrition Modeling'!$C:$C,'Traditional Attrition'!BP$1),VLOOKUP('Traditional Attrition'!BP$2-'Traditional Attrition'!$F47-1,'Traditional Attrition'!$A$7:$C$161,2,FALSE)*VLOOKUP(BP$1,'Attrition Modeling'!$L$15:$N$27,IF(BP$2-$F47&lt;=24,2,3),FALSE))*(1+Projection!BW$16)*(1+IF(BP179&gt;0,'Attrition Modeling'!$N$9,0))),0))</f>
        <v>3446.2523615783512</v>
      </c>
      <c r="BQ47" s="799">
        <f>IF(BQ$2=$F47+1,Monthly!BM$21,IF(BQ$2&gt;$F47+1,('Traditional Attrition'!BP47+BQ179)*(1-IF(BQ$2-$F47&lt;=12,SUMIFS('Attrition Modeling'!$D:$D,'Attrition Modeling'!$B:$B,'Traditional Attrition'!$E47,'Attrition Modeling'!$C:$C,'Traditional Attrition'!BQ$1),VLOOKUP('Traditional Attrition'!BQ$2-'Traditional Attrition'!$F47-1,'Traditional Attrition'!$A$7:$C$161,2,FALSE)*VLOOKUP(BQ$1,'Attrition Modeling'!$L$15:$N$27,IF(BQ$2-$F47&lt;=24,2,3),FALSE))*(1+Projection!BX$16)*(1+IF(BQ179&gt;0,'Attrition Modeling'!$N$9,0))),0))</f>
        <v>3600.9187689610521</v>
      </c>
      <c r="BR47" s="799">
        <f>IF(BR$2=$F47+1,Monthly!BN$21,IF(BR$2&gt;$F47+1,('Traditional Attrition'!BQ47+BR179)*(1-IF(BR$2-$F47&lt;=12,SUMIFS('Attrition Modeling'!$D:$D,'Attrition Modeling'!$B:$B,'Traditional Attrition'!$E47,'Attrition Modeling'!$C:$C,'Traditional Attrition'!BR$1),VLOOKUP('Traditional Attrition'!BR$2-'Traditional Attrition'!$F47-1,'Traditional Attrition'!$A$7:$C$161,2,FALSE)*VLOOKUP(BR$1,'Attrition Modeling'!$L$15:$N$27,IF(BR$2-$F47&lt;=24,2,3),FALSE))*(1+Projection!BY$16)*(1+IF(BR179&gt;0,'Attrition Modeling'!$N$9,0))),0))</f>
        <v>3451.8297202741069</v>
      </c>
      <c r="BS47" s="799">
        <f>IF(BS$2=$F47+1,Monthly!BO$21,IF(BS$2&gt;$F47+1,('Traditional Attrition'!BR47+BS179)*(1-IF(BS$2-$F47&lt;=12,SUMIFS('Attrition Modeling'!$D:$D,'Attrition Modeling'!$B:$B,'Traditional Attrition'!$E47,'Attrition Modeling'!$C:$C,'Traditional Attrition'!BS$1),VLOOKUP('Traditional Attrition'!BS$2-'Traditional Attrition'!$F47-1,'Traditional Attrition'!$A$7:$C$161,2,FALSE)*VLOOKUP(BS$1,'Attrition Modeling'!$L$15:$N$27,IF(BS$2-$F47&lt;=24,2,3),FALSE))*(1+Projection!BZ$16)*(1+IF(BS179&gt;0,'Attrition Modeling'!$N$9,0))),0))</f>
        <v>3313.9804787177577</v>
      </c>
      <c r="BT47" s="799">
        <f>IF(BT$2=$F47+1,Monthly!#REF!,IF(BT$2&gt;$F47+1,('Traditional Attrition'!BS47+BT179)*(1-IF(BT$2-$F47&lt;=12,SUMIFS('Attrition Modeling'!$D:$D,'Attrition Modeling'!$B:$B,'Traditional Attrition'!$E47,'Attrition Modeling'!$C:$C,'Traditional Attrition'!BT$1),VLOOKUP('Traditional Attrition'!BT$2-'Traditional Attrition'!$F47-1,'Traditional Attrition'!$A$7:$C$161,2,FALSE)*VLOOKUP(BT$1,'Attrition Modeling'!$L$15:$N$27,IF(BT$2-$F47&lt;=24,2,3),FALSE))*(1+Projection!CA$16)*(1+IF(BT179&gt;0,'Attrition Modeling'!$N$9,0))),0))</f>
        <v>3184.8262222878657</v>
      </c>
      <c r="BU47" s="799">
        <f>IF(BU$2=$F47+1,Monthly!#REF!,IF(BU$2&gt;$F47+1,('Traditional Attrition'!BT47+BU179)*(1-IF(BU$2-$F47&lt;=12,SUMIFS('Attrition Modeling'!$D:$D,'Attrition Modeling'!$B:$B,'Traditional Attrition'!$E47,'Attrition Modeling'!$C:$C,'Traditional Attrition'!BU$1),VLOOKUP('Traditional Attrition'!BU$2-'Traditional Attrition'!$F47-1,'Traditional Attrition'!$A$7:$C$161,2,FALSE)*VLOOKUP(BU$1,'Attrition Modeling'!$L$15:$N$27,IF(BU$2-$F47&lt;=24,2,3),FALSE))*(1+Projection!CB$16)*(1+IF(BU179&gt;0,'Attrition Modeling'!$N$9,0))),0))</f>
        <v>3050.6760114953054</v>
      </c>
    </row>
    <row r="48" spans="1:73" ht="14.25" customHeight="1" x14ac:dyDescent="0.2">
      <c r="A48" s="9">
        <v>41</v>
      </c>
      <c r="B48" s="25">
        <f>MAX('Attrition Modeling'!H45,$C$3)*(1-Summary!$C$20)</f>
        <v>2.819487510880158E-2</v>
      </c>
      <c r="C48" s="24" t="e">
        <f t="shared" si="4"/>
        <v>#DIV/0!</v>
      </c>
      <c r="E48" s="11">
        <f t="shared" si="2"/>
        <v>9</v>
      </c>
      <c r="F48" s="11">
        <f t="shared" si="3"/>
        <v>45</v>
      </c>
      <c r="G48" s="799"/>
      <c r="H48" s="799">
        <f>IF(H$2=$F48+1,Monthly!D$21,IF(H$2&gt;$F48+1,('Traditional Attrition'!G48+H180)*(1-IF(H$2-$F48&lt;=12,SUMIFS('Attrition Modeling'!$D:$D,'Attrition Modeling'!$B:$B,'Traditional Attrition'!$E48,'Attrition Modeling'!$C:$C,'Traditional Attrition'!H$1),VLOOKUP('Traditional Attrition'!H$2-'Traditional Attrition'!$F48-1,'Traditional Attrition'!$A$7:$C$161,2,FALSE)*VLOOKUP(H$1,'Attrition Modeling'!$L$15:$N$27,IF(H$2-$F48&lt;=24,2,3),FALSE))*(1+Projection!J$16)*(1+IF(H180&gt;0,'Attrition Modeling'!$N$9,0))),0))</f>
        <v>0</v>
      </c>
      <c r="I48" s="799">
        <f>IF(I$2=$F48+1,Monthly!E$21,IF(I$2&gt;$F48+1,('Traditional Attrition'!H48+I180)*(1-IF(I$2-$F48&lt;=12,SUMIFS('Attrition Modeling'!$D:$D,'Attrition Modeling'!$B:$B,'Traditional Attrition'!$E48,'Attrition Modeling'!$C:$C,'Traditional Attrition'!I$1),VLOOKUP('Traditional Attrition'!I$2-'Traditional Attrition'!$F48-1,'Traditional Attrition'!$A$7:$C$161,2,FALSE)*VLOOKUP(I$1,'Attrition Modeling'!$L$15:$N$27,IF(I$2-$F48&lt;=24,2,3),FALSE))*(1+Projection!K$16)*(1+IF(I180&gt;0,'Attrition Modeling'!$N$9,0))),0))</f>
        <v>0</v>
      </c>
      <c r="J48" s="799">
        <f>IF(J$2=$F48+1,Monthly!F$21,IF(J$2&gt;$F48+1,('Traditional Attrition'!I48+J180)*(1-IF(J$2-$F48&lt;=12,SUMIFS('Attrition Modeling'!$D:$D,'Attrition Modeling'!$B:$B,'Traditional Attrition'!$E48,'Attrition Modeling'!$C:$C,'Traditional Attrition'!J$1),VLOOKUP('Traditional Attrition'!J$2-'Traditional Attrition'!$F48-1,'Traditional Attrition'!$A$7:$C$161,2,FALSE)*VLOOKUP(J$1,'Attrition Modeling'!$L$15:$N$27,IF(J$2-$F48&lt;=24,2,3),FALSE))*(1+Projection!L$16)*(1+IF(J180&gt;0,'Attrition Modeling'!$N$9,0))),0))</f>
        <v>0</v>
      </c>
      <c r="K48" s="799">
        <f>IF(K$2=$F48+1,Monthly!G$21,IF(K$2&gt;$F48+1,('Traditional Attrition'!J48+K180)*(1-IF(K$2-$F48&lt;=12,SUMIFS('Attrition Modeling'!$D:$D,'Attrition Modeling'!$B:$B,'Traditional Attrition'!$E48,'Attrition Modeling'!$C:$C,'Traditional Attrition'!K$1),VLOOKUP('Traditional Attrition'!K$2-'Traditional Attrition'!$F48-1,'Traditional Attrition'!$A$7:$C$161,2,FALSE)*VLOOKUP(K$1,'Attrition Modeling'!$L$15:$N$27,IF(K$2-$F48&lt;=24,2,3),FALSE))*(1+Projection!M$16)*(1+IF(K180&gt;0,'Attrition Modeling'!$N$9,0))),0))</f>
        <v>0</v>
      </c>
      <c r="L48" s="799">
        <f>IF(L$2=$F48+1,Monthly!H$21,IF(L$2&gt;$F48+1,('Traditional Attrition'!K48+L180)*(1-IF(L$2-$F48&lt;=12,SUMIFS('Attrition Modeling'!$D:$D,'Attrition Modeling'!$B:$B,'Traditional Attrition'!$E48,'Attrition Modeling'!$C:$C,'Traditional Attrition'!L$1),VLOOKUP('Traditional Attrition'!L$2-'Traditional Attrition'!$F48-1,'Traditional Attrition'!$A$7:$C$161,2,FALSE)*VLOOKUP(L$1,'Attrition Modeling'!$L$15:$N$27,IF(L$2-$F48&lt;=24,2,3),FALSE))*(1+Projection!N$16)*(1+IF(L180&gt;0,'Attrition Modeling'!$N$9,0))),0))</f>
        <v>0</v>
      </c>
      <c r="M48" s="799">
        <f>IF(M$2=$F48+1,Monthly!I$21,IF(M$2&gt;$F48+1,('Traditional Attrition'!L48+M180)*(1-IF(M$2-$F48&lt;=12,SUMIFS('Attrition Modeling'!$D:$D,'Attrition Modeling'!$B:$B,'Traditional Attrition'!$E48,'Attrition Modeling'!$C:$C,'Traditional Attrition'!M$1),VLOOKUP('Traditional Attrition'!M$2-'Traditional Attrition'!$F48-1,'Traditional Attrition'!$A$7:$C$161,2,FALSE)*VLOOKUP(M$1,'Attrition Modeling'!$L$15:$N$27,IF(M$2-$F48&lt;=24,2,3),FALSE))*(1+Projection!O$16)*(1+IF(M180&gt;0,'Attrition Modeling'!$N$9,0))),0))</f>
        <v>0</v>
      </c>
      <c r="N48" s="799">
        <f>IF(N$2=$F48+1,Monthly!J$21,IF(N$2&gt;$F48+1,('Traditional Attrition'!M48+N180)*(1-IF(N$2-$F48&lt;=12,SUMIFS('Attrition Modeling'!$D:$D,'Attrition Modeling'!$B:$B,'Traditional Attrition'!$E48,'Attrition Modeling'!$C:$C,'Traditional Attrition'!N$1),VLOOKUP('Traditional Attrition'!N$2-'Traditional Attrition'!$F48-1,'Traditional Attrition'!$A$7:$C$161,2,FALSE)*VLOOKUP(N$1,'Attrition Modeling'!$L$15:$N$27,IF(N$2-$F48&lt;=24,2,3),FALSE))*(1+Projection!P$16)*(1+IF(N180&gt;0,'Attrition Modeling'!$N$9,0))),0))</f>
        <v>0</v>
      </c>
      <c r="O48" s="799">
        <f>IF(O$2=$F48+1,Monthly!K$21,IF(O$2&gt;$F48+1,('Traditional Attrition'!N48+O180)*(1-IF(O$2-$F48&lt;=12,SUMIFS('Attrition Modeling'!$D:$D,'Attrition Modeling'!$B:$B,'Traditional Attrition'!$E48,'Attrition Modeling'!$C:$C,'Traditional Attrition'!O$1),VLOOKUP('Traditional Attrition'!O$2-'Traditional Attrition'!$F48-1,'Traditional Attrition'!$A$7:$C$161,2,FALSE)*VLOOKUP(O$1,'Attrition Modeling'!$L$15:$N$27,IF(O$2-$F48&lt;=24,2,3),FALSE))*(1+Projection!Q$16)*(1+IF(O180&gt;0,'Attrition Modeling'!$N$9,0))),0))</f>
        <v>0</v>
      </c>
      <c r="P48" s="799">
        <f>IF(P$2=$F48+1,Monthly!L$21,IF(P$2&gt;$F48+1,('Traditional Attrition'!O48+P180)*(1-IF(P$2-$F48&lt;=12,SUMIFS('Attrition Modeling'!$D:$D,'Attrition Modeling'!$B:$B,'Traditional Attrition'!$E48,'Attrition Modeling'!$C:$C,'Traditional Attrition'!P$1),VLOOKUP('Traditional Attrition'!P$2-'Traditional Attrition'!$F48-1,'Traditional Attrition'!$A$7:$C$161,2,FALSE)*VLOOKUP(P$1,'Attrition Modeling'!$L$15:$N$27,IF(P$2-$F48&lt;=24,2,3),FALSE))*(1+Projection!R$16)*(1+IF(P180&gt;0,'Attrition Modeling'!$N$9,0))),0))</f>
        <v>0</v>
      </c>
      <c r="Q48" s="799">
        <f>IF(Q$2=$F48+1,Monthly!M$21,IF(Q$2&gt;$F48+1,('Traditional Attrition'!P48+Q180)*(1-IF(Q$2-$F48&lt;=12,SUMIFS('Attrition Modeling'!$D:$D,'Attrition Modeling'!$B:$B,'Traditional Attrition'!$E48,'Attrition Modeling'!$C:$C,'Traditional Attrition'!Q$1),VLOOKUP('Traditional Attrition'!Q$2-'Traditional Attrition'!$F48-1,'Traditional Attrition'!$A$7:$C$161,2,FALSE)*VLOOKUP(Q$1,'Attrition Modeling'!$L$15:$N$27,IF(Q$2-$F48&lt;=24,2,3),FALSE))*(1+Projection!S$16)*(1+IF(Q180&gt;0,'Attrition Modeling'!$N$9,0))),0))</f>
        <v>0</v>
      </c>
      <c r="R48" s="799">
        <f>IF(R$2=$F48+1,Monthly!N$21,IF(R$2&gt;$F48+1,('Traditional Attrition'!Q48+R180)*(1-IF(R$2-$F48&lt;=12,SUMIFS('Attrition Modeling'!$D:$D,'Attrition Modeling'!$B:$B,'Traditional Attrition'!$E48,'Attrition Modeling'!$C:$C,'Traditional Attrition'!R$1),VLOOKUP('Traditional Attrition'!R$2-'Traditional Attrition'!$F48-1,'Traditional Attrition'!$A$7:$C$161,2,FALSE)*VLOOKUP(R$1,'Attrition Modeling'!$L$15:$N$27,IF(R$2-$F48&lt;=24,2,3),FALSE))*(1+Projection!T$16)*(1+IF(R180&gt;0,'Attrition Modeling'!$N$9,0))),0))</f>
        <v>0</v>
      </c>
      <c r="S48" s="799">
        <f>IF(S$2=$F48+1,Monthly!O$21,IF(S$2&gt;$F48+1,('Traditional Attrition'!R48+S180)*(1-IF(S$2-$F48&lt;=12,SUMIFS('Attrition Modeling'!$D:$D,'Attrition Modeling'!$B:$B,'Traditional Attrition'!$E48,'Attrition Modeling'!$C:$C,'Traditional Attrition'!S$1),VLOOKUP('Traditional Attrition'!S$2-'Traditional Attrition'!$F48-1,'Traditional Attrition'!$A$7:$C$161,2,FALSE)*VLOOKUP(S$1,'Attrition Modeling'!$L$15:$N$27,IF(S$2-$F48&lt;=24,2,3),FALSE))*(1+Projection!U$16)*(1+IF(S180&gt;0,'Attrition Modeling'!$N$9,0))),0))</f>
        <v>0</v>
      </c>
      <c r="T48" s="799">
        <f>IF(T$2=$F48+1,Monthly!P$21,IF(T$2&gt;$F48+1,('Traditional Attrition'!S48+T180)*(1-IF(T$2-$F48&lt;=12,SUMIFS('Attrition Modeling'!$D:$D,'Attrition Modeling'!$B:$B,'Traditional Attrition'!$E48,'Attrition Modeling'!$C:$C,'Traditional Attrition'!T$1),VLOOKUP('Traditional Attrition'!T$2-'Traditional Attrition'!$F48-1,'Traditional Attrition'!$A$7:$C$161,2,FALSE)*VLOOKUP(T$1,'Attrition Modeling'!$L$15:$N$27,IF(T$2-$F48&lt;=24,2,3),FALSE))*(1+Projection!V$16)*(1+IF(T180&gt;0,'Attrition Modeling'!$N$9,0))),0))</f>
        <v>0</v>
      </c>
      <c r="U48" s="799">
        <f>IF(U$2=$F48+1,Monthly!Q$21,IF(U$2&gt;$F48+1,('Traditional Attrition'!T48+U180)*(1-IF(U$2-$F48&lt;=12,SUMIFS('Attrition Modeling'!$D:$D,'Attrition Modeling'!$B:$B,'Traditional Attrition'!$E48,'Attrition Modeling'!$C:$C,'Traditional Attrition'!U$1),VLOOKUP('Traditional Attrition'!U$2-'Traditional Attrition'!$F48-1,'Traditional Attrition'!$A$7:$C$161,2,FALSE)*VLOOKUP(U$1,'Attrition Modeling'!$L$15:$N$27,IF(U$2-$F48&lt;=24,2,3),FALSE))*(1+Projection!W$16)*(1+IF(U180&gt;0,'Attrition Modeling'!$N$9,0))),0))</f>
        <v>0</v>
      </c>
      <c r="V48" s="799">
        <f>IF(V$2=$F48+1,Monthly!R$21,IF(V$2&gt;$F48+1,('Traditional Attrition'!U48+V180)*(1-IF(V$2-$F48&lt;=12,SUMIFS('Attrition Modeling'!$D:$D,'Attrition Modeling'!$B:$B,'Traditional Attrition'!$E48,'Attrition Modeling'!$C:$C,'Traditional Attrition'!V$1),VLOOKUP('Traditional Attrition'!V$2-'Traditional Attrition'!$F48-1,'Traditional Attrition'!$A$7:$C$161,2,FALSE)*VLOOKUP(V$1,'Attrition Modeling'!$L$15:$N$27,IF(V$2-$F48&lt;=24,2,3),FALSE))*(1+Projection!X$16)*(1+IF(V180&gt;0,'Attrition Modeling'!$N$9,0))),0))</f>
        <v>0</v>
      </c>
      <c r="W48" s="799">
        <f>IF(W$2=$F48+1,Monthly!S$21,IF(W$2&gt;$F48+1,('Traditional Attrition'!V48+W180)*(1-IF(W$2-$F48&lt;=12,SUMIFS('Attrition Modeling'!$D:$D,'Attrition Modeling'!$B:$B,'Traditional Attrition'!$E48,'Attrition Modeling'!$C:$C,'Traditional Attrition'!W$1),VLOOKUP('Traditional Attrition'!W$2-'Traditional Attrition'!$F48-1,'Traditional Attrition'!$A$7:$C$161,2,FALSE)*VLOOKUP(W$1,'Attrition Modeling'!$L$15:$N$27,IF(W$2-$F48&lt;=24,2,3),FALSE))*(1+Projection!Y$16)*(1+IF(W180&gt;0,'Attrition Modeling'!$N$9,0))),0))</f>
        <v>0</v>
      </c>
      <c r="X48" s="799">
        <f>IF(X$2=$F48+1,Monthly!T$21,IF(X$2&gt;$F48+1,('Traditional Attrition'!W48+X180)*(1-IF(X$2-$F48&lt;=12,SUMIFS('Attrition Modeling'!$D:$D,'Attrition Modeling'!$B:$B,'Traditional Attrition'!$E48,'Attrition Modeling'!$C:$C,'Traditional Attrition'!X$1),VLOOKUP('Traditional Attrition'!X$2-'Traditional Attrition'!$F48-1,'Traditional Attrition'!$A$7:$C$161,2,FALSE)*VLOOKUP(X$1,'Attrition Modeling'!$L$15:$N$27,IF(X$2-$F48&lt;=24,2,3),FALSE))*(1+Projection!Z$16)*(1+IF(X180&gt;0,'Attrition Modeling'!$N$9,0))),0))</f>
        <v>0</v>
      </c>
      <c r="Y48" s="799">
        <f>IF(Y$2=$F48+1,Monthly!U$21,IF(Y$2&gt;$F48+1,('Traditional Attrition'!X48+Y180)*(1-IF(Y$2-$F48&lt;=12,SUMIFS('Attrition Modeling'!$D:$D,'Attrition Modeling'!$B:$B,'Traditional Attrition'!$E48,'Attrition Modeling'!$C:$C,'Traditional Attrition'!Y$1),VLOOKUP('Traditional Attrition'!Y$2-'Traditional Attrition'!$F48-1,'Traditional Attrition'!$A$7:$C$161,2,FALSE)*VLOOKUP(Y$1,'Attrition Modeling'!$L$15:$N$27,IF(Y$2-$F48&lt;=24,2,3),FALSE))*(1+Projection!AA$16)*(1+IF(Y180&gt;0,'Attrition Modeling'!$N$9,0))),0))</f>
        <v>0</v>
      </c>
      <c r="Z48" s="799">
        <f>IF(Z$2=$F48+1,Monthly!V$21,IF(Z$2&gt;$F48+1,('Traditional Attrition'!Y48+Z180)*(1-IF(Z$2-$F48&lt;=12,SUMIFS('Attrition Modeling'!$D:$D,'Attrition Modeling'!$B:$B,'Traditional Attrition'!$E48,'Attrition Modeling'!$C:$C,'Traditional Attrition'!Z$1),VLOOKUP('Traditional Attrition'!Z$2-'Traditional Attrition'!$F48-1,'Traditional Attrition'!$A$7:$C$161,2,FALSE)*VLOOKUP(Z$1,'Attrition Modeling'!$L$15:$N$27,IF(Z$2-$F48&lt;=24,2,3),FALSE))*(1+Projection!AB$16)*(1+IF(Z180&gt;0,'Attrition Modeling'!$N$9,0))),0))</f>
        <v>0</v>
      </c>
      <c r="AA48" s="799">
        <f>IF(AA$2=$F48+1,Monthly!W$21,IF(AA$2&gt;$F48+1,('Traditional Attrition'!Z48+AA180)*(1-IF(AA$2-$F48&lt;=12,SUMIFS('Attrition Modeling'!$D:$D,'Attrition Modeling'!$B:$B,'Traditional Attrition'!$E48,'Attrition Modeling'!$C:$C,'Traditional Attrition'!AA$1),VLOOKUP('Traditional Attrition'!AA$2-'Traditional Attrition'!$F48-1,'Traditional Attrition'!$A$7:$C$161,2,FALSE)*VLOOKUP(AA$1,'Attrition Modeling'!$L$15:$N$27,IF(AA$2-$F48&lt;=24,2,3),FALSE))*(1+Projection!AC$16)*(1+IF(AA180&gt;0,'Attrition Modeling'!$N$9,0))),0))</f>
        <v>0</v>
      </c>
      <c r="AB48" s="799">
        <f>IF(AB$2=$F48+1,Monthly!X$21,IF(AB$2&gt;$F48+1,('Traditional Attrition'!AA48+AB180)*(1-IF(AB$2-$F48&lt;=12,SUMIFS('Attrition Modeling'!$D:$D,'Attrition Modeling'!$B:$B,'Traditional Attrition'!$E48,'Attrition Modeling'!$C:$C,'Traditional Attrition'!AB$1),VLOOKUP('Traditional Attrition'!AB$2-'Traditional Attrition'!$F48-1,'Traditional Attrition'!$A$7:$C$161,2,FALSE)*VLOOKUP(AB$1,'Attrition Modeling'!$L$15:$N$27,IF(AB$2-$F48&lt;=24,2,3),FALSE))*(1+Projection!AD$16)*(1+IF(AB180&gt;0,'Attrition Modeling'!$N$9,0))),0))</f>
        <v>0</v>
      </c>
      <c r="AC48" s="799">
        <f>IF(AC$2=$F48+1,Monthly!Y$21,IF(AC$2&gt;$F48+1,('Traditional Attrition'!AB48+AC180)*(1-IF(AC$2-$F48&lt;=12,SUMIFS('Attrition Modeling'!$D:$D,'Attrition Modeling'!$B:$B,'Traditional Attrition'!$E48,'Attrition Modeling'!$C:$C,'Traditional Attrition'!AC$1),VLOOKUP('Traditional Attrition'!AC$2-'Traditional Attrition'!$F48-1,'Traditional Attrition'!$A$7:$C$161,2,FALSE)*VLOOKUP(AC$1,'Attrition Modeling'!$L$15:$N$27,IF(AC$2-$F48&lt;=24,2,3),FALSE))*(1+Projection!AE$16)*(1+IF(AC180&gt;0,'Attrition Modeling'!$N$9,0))),0))</f>
        <v>0</v>
      </c>
      <c r="AD48" s="799">
        <f>IF(AD$2=$F48+1,Monthly!Z$21,IF(AD$2&gt;$F48+1,('Traditional Attrition'!AC48+AD180)*(1-IF(AD$2-$F48&lt;=12,SUMIFS('Attrition Modeling'!$D:$D,'Attrition Modeling'!$B:$B,'Traditional Attrition'!$E48,'Attrition Modeling'!$C:$C,'Traditional Attrition'!AD$1),VLOOKUP('Traditional Attrition'!AD$2-'Traditional Attrition'!$F48-1,'Traditional Attrition'!$A$7:$C$161,2,FALSE)*VLOOKUP(AD$1,'Attrition Modeling'!$L$15:$N$27,IF(AD$2-$F48&lt;=24,2,3),FALSE))*(1+Projection!AF$16)*(1+IF(AD180&gt;0,'Attrition Modeling'!$N$9,0))),0))</f>
        <v>0</v>
      </c>
      <c r="AE48" s="799">
        <f>IF(AE$2=$F48+1,Monthly!AA$21,IF(AE$2&gt;$F48+1,('Traditional Attrition'!AD48+AE180)*(1-IF(AE$2-$F48&lt;=12,SUMIFS('Attrition Modeling'!$D:$D,'Attrition Modeling'!$B:$B,'Traditional Attrition'!$E48,'Attrition Modeling'!$C:$C,'Traditional Attrition'!AE$1),VLOOKUP('Traditional Attrition'!AE$2-'Traditional Attrition'!$F48-1,'Traditional Attrition'!$A$7:$C$161,2,FALSE)*VLOOKUP(AE$1,'Attrition Modeling'!$L$15:$N$27,IF(AE$2-$F48&lt;=24,2,3),FALSE))*(1+Projection!AG$16)*(1+IF(AE180&gt;0,'Attrition Modeling'!$N$9,0))),0))</f>
        <v>0</v>
      </c>
      <c r="AF48" s="799">
        <f>IF(AF$2=$F48+1,Monthly!AB$21,IF(AF$2&gt;$F48+1,('Traditional Attrition'!AE48+AF180)*(1-IF(AF$2-$F48&lt;=12,SUMIFS('Attrition Modeling'!$D:$D,'Attrition Modeling'!$B:$B,'Traditional Attrition'!$E48,'Attrition Modeling'!$C:$C,'Traditional Attrition'!AF$1),VLOOKUP('Traditional Attrition'!AF$2-'Traditional Attrition'!$F48-1,'Traditional Attrition'!$A$7:$C$161,2,FALSE)*VLOOKUP(AF$1,'Attrition Modeling'!$L$15:$N$27,IF(AF$2-$F48&lt;=24,2,3),FALSE))*(1+Projection!AH$16)*(1+IF(AF180&gt;0,'Attrition Modeling'!$N$9,0))),0))</f>
        <v>0</v>
      </c>
      <c r="AG48" s="799">
        <f>IF(AG$2=$F48+1,Monthly!AC$21,IF(AG$2&gt;$F48+1,('Traditional Attrition'!AF48+AG180)*(1-IF(AG$2-$F48&lt;=12,SUMIFS('Attrition Modeling'!$D:$D,'Attrition Modeling'!$B:$B,'Traditional Attrition'!$E48,'Attrition Modeling'!$C:$C,'Traditional Attrition'!AG$1),VLOOKUP('Traditional Attrition'!AG$2-'Traditional Attrition'!$F48-1,'Traditional Attrition'!$A$7:$C$161,2,FALSE)*VLOOKUP(AG$1,'Attrition Modeling'!$L$15:$N$27,IF(AG$2-$F48&lt;=24,2,3),FALSE))*(1+Projection!AI$16)*(1+IF(AG180&gt;0,'Attrition Modeling'!$N$9,0))),0))</f>
        <v>0</v>
      </c>
      <c r="AH48" s="799">
        <f>IF(AH$2=$F48+1,Monthly!AD$21,IF(AH$2&gt;$F48+1,('Traditional Attrition'!AG48+AH180)*(1-IF(AH$2-$F48&lt;=12,SUMIFS('Attrition Modeling'!$D:$D,'Attrition Modeling'!$B:$B,'Traditional Attrition'!$E48,'Attrition Modeling'!$C:$C,'Traditional Attrition'!AH$1),VLOOKUP('Traditional Attrition'!AH$2-'Traditional Attrition'!$F48-1,'Traditional Attrition'!$A$7:$C$161,2,FALSE)*VLOOKUP(AH$1,'Attrition Modeling'!$L$15:$N$27,IF(AH$2-$F48&lt;=24,2,3),FALSE))*(1+Projection!AJ$16)*(1+IF(AH180&gt;0,'Attrition Modeling'!$N$9,0))),0))</f>
        <v>0</v>
      </c>
      <c r="AI48" s="799">
        <f>IF(AI$2=$F48+1,Monthly!AE$21,IF(AI$2&gt;$F48+1,('Traditional Attrition'!AH48+AI180)*(1-IF(AI$2-$F48&lt;=12,SUMIFS('Attrition Modeling'!$D:$D,'Attrition Modeling'!$B:$B,'Traditional Attrition'!$E48,'Attrition Modeling'!$C:$C,'Traditional Attrition'!AI$1),VLOOKUP('Traditional Attrition'!AI$2-'Traditional Attrition'!$F48-1,'Traditional Attrition'!$A$7:$C$161,2,FALSE)*VLOOKUP(AI$1,'Attrition Modeling'!$L$15:$N$27,IF(AI$2-$F48&lt;=24,2,3),FALSE))*(1+Projection!AK$16)*(1+IF(AI180&gt;0,'Attrition Modeling'!$N$9,0))),0))</f>
        <v>0</v>
      </c>
      <c r="AJ48" s="799">
        <f>IF(AJ$2=$F48+1,Monthly!AF$21,IF(AJ$2&gt;$F48+1,('Traditional Attrition'!AI48+AJ180)*(1-IF(AJ$2-$F48&lt;=12,SUMIFS('Attrition Modeling'!$D:$D,'Attrition Modeling'!$B:$B,'Traditional Attrition'!$E48,'Attrition Modeling'!$C:$C,'Traditional Attrition'!AJ$1),VLOOKUP('Traditional Attrition'!AJ$2-'Traditional Attrition'!$F48-1,'Traditional Attrition'!$A$7:$C$161,2,FALSE)*VLOOKUP(AJ$1,'Attrition Modeling'!$L$15:$N$27,IF(AJ$2-$F48&lt;=24,2,3),FALSE))*(1+Projection!AL$16)*(1+IF(AJ180&gt;0,'Attrition Modeling'!$N$9,0))),0))</f>
        <v>0</v>
      </c>
      <c r="AK48" s="799">
        <f>IF(AK$2=$F48+1,Monthly!AG$21,IF(AK$2&gt;$F48+1,('Traditional Attrition'!AJ48+AK180)*(1-IF(AK$2-$F48&lt;=12,SUMIFS('Attrition Modeling'!$D:$D,'Attrition Modeling'!$B:$B,'Traditional Attrition'!$E48,'Attrition Modeling'!$C:$C,'Traditional Attrition'!AK$1),VLOOKUP('Traditional Attrition'!AK$2-'Traditional Attrition'!$F48-1,'Traditional Attrition'!$A$7:$C$161,2,FALSE)*VLOOKUP(AK$1,'Attrition Modeling'!$L$15:$N$27,IF(AK$2-$F48&lt;=24,2,3),FALSE))*(1+Projection!AM$16)*(1+IF(AK180&gt;0,'Attrition Modeling'!$N$9,0))),0))</f>
        <v>0</v>
      </c>
      <c r="AL48" s="799">
        <f>IF(AL$2=$F48+1,Monthly!AH$21,IF(AL$2&gt;$F48+1,('Traditional Attrition'!AK48+AL180)*(1-IF(AL$2-$F48&lt;=12,SUMIFS('Attrition Modeling'!$D:$D,'Attrition Modeling'!$B:$B,'Traditional Attrition'!$E48,'Attrition Modeling'!$C:$C,'Traditional Attrition'!AL$1),VLOOKUP('Traditional Attrition'!AL$2-'Traditional Attrition'!$F48-1,'Traditional Attrition'!$A$7:$C$161,2,FALSE)*VLOOKUP(AL$1,'Attrition Modeling'!$L$15:$N$27,IF(AL$2-$F48&lt;=24,2,3),FALSE))*(1+Projection!AN$16)*(1+IF(AL180&gt;0,'Attrition Modeling'!$N$9,0))),0))</f>
        <v>0</v>
      </c>
      <c r="AM48" s="799">
        <f>IF(AM$2=$F48+1,Monthly!AI$21,IF(AM$2&gt;$F48+1,('Traditional Attrition'!AL48+AM180)*(1-IF(AM$2-$F48&lt;=12,SUMIFS('Attrition Modeling'!$D:$D,'Attrition Modeling'!$B:$B,'Traditional Attrition'!$E48,'Attrition Modeling'!$C:$C,'Traditional Attrition'!AM$1),VLOOKUP('Traditional Attrition'!AM$2-'Traditional Attrition'!$F48-1,'Traditional Attrition'!$A$7:$C$161,2,FALSE)*VLOOKUP(AM$1,'Attrition Modeling'!$L$15:$N$27,IF(AM$2-$F48&lt;=24,2,3),FALSE))*(1+Projection!AO$16)*(1+IF(AM180&gt;0,'Attrition Modeling'!$N$9,0))),0))</f>
        <v>0</v>
      </c>
      <c r="AN48" s="799">
        <f>IF(AN$2=$F48+1,Monthly!AJ$21,IF(AN$2&gt;$F48+1,('Traditional Attrition'!AM48+AN180)*(1-IF(AN$2-$F48&lt;=12,SUMIFS('Attrition Modeling'!$D:$D,'Attrition Modeling'!$B:$B,'Traditional Attrition'!$E48,'Attrition Modeling'!$C:$C,'Traditional Attrition'!AN$1),VLOOKUP('Traditional Attrition'!AN$2-'Traditional Attrition'!$F48-1,'Traditional Attrition'!$A$7:$C$161,2,FALSE)*VLOOKUP(AN$1,'Attrition Modeling'!$L$15:$N$27,IF(AN$2-$F48&lt;=24,2,3),FALSE))*(1+Projection!AP$16)*(1+IF(AN180&gt;0,'Attrition Modeling'!$N$9,0))),0))</f>
        <v>0</v>
      </c>
      <c r="AO48" s="799">
        <f>IF(AO$2=$F48+1,Monthly!AK$21,IF(AO$2&gt;$F48+1,('Traditional Attrition'!AN48+AO180)*(1-IF(AO$2-$F48&lt;=12,SUMIFS('Attrition Modeling'!$D:$D,'Attrition Modeling'!$B:$B,'Traditional Attrition'!$E48,'Attrition Modeling'!$C:$C,'Traditional Attrition'!AO$1),VLOOKUP('Traditional Attrition'!AO$2-'Traditional Attrition'!$F48-1,'Traditional Attrition'!$A$7:$C$161,2,FALSE)*VLOOKUP(AO$1,'Attrition Modeling'!$L$15:$N$27,IF(AO$2-$F48&lt;=24,2,3),FALSE))*(1+Projection!AQ$16)*(1+IF(AO180&gt;0,'Attrition Modeling'!$N$9,0))),0))</f>
        <v>0</v>
      </c>
      <c r="AP48" s="799">
        <f>IF(AP$2=$F48+1,Monthly!AL$21,IF(AP$2&gt;$F48+1,('Traditional Attrition'!AO48+AP180)*(1-IF(AP$2-$F48&lt;=12,SUMIFS('Attrition Modeling'!$D:$D,'Attrition Modeling'!$B:$B,'Traditional Attrition'!$E48,'Attrition Modeling'!$C:$C,'Traditional Attrition'!AP$1),VLOOKUP('Traditional Attrition'!AP$2-'Traditional Attrition'!$F48-1,'Traditional Attrition'!$A$7:$C$161,2,FALSE)*VLOOKUP(AP$1,'Attrition Modeling'!$L$15:$N$27,IF(AP$2-$F48&lt;=24,2,3),FALSE))*(1+Projection!AR$16)*(1+IF(AP180&gt;0,'Attrition Modeling'!$N$9,0))),0))</f>
        <v>0</v>
      </c>
      <c r="AQ48" s="799">
        <f>IF(AQ$2=$F48+1,Monthly!AM$21,IF(AQ$2&gt;$F48+1,('Traditional Attrition'!AP48+AQ180)*(1-IF(AQ$2-$F48&lt;=12,SUMIFS('Attrition Modeling'!$D:$D,'Attrition Modeling'!$B:$B,'Traditional Attrition'!$E48,'Attrition Modeling'!$C:$C,'Traditional Attrition'!AQ$1),VLOOKUP('Traditional Attrition'!AQ$2-'Traditional Attrition'!$F48-1,'Traditional Attrition'!$A$7:$C$161,2,FALSE)*VLOOKUP(AQ$1,'Attrition Modeling'!$L$15:$N$27,IF(AQ$2-$F48&lt;=24,2,3),FALSE))*(1+Projection!AS$16)*(1+IF(AQ180&gt;0,'Attrition Modeling'!$N$9,0))),0))</f>
        <v>0</v>
      </c>
      <c r="AR48" s="799">
        <f>IF(AR$2=$F48+1,Monthly!AN$21,IF(AR$2&gt;$F48+1,('Traditional Attrition'!AQ48+AR180)*(1-IF(AR$2-$F48&lt;=12,SUMIFS('Attrition Modeling'!$D:$D,'Attrition Modeling'!$B:$B,'Traditional Attrition'!$E48,'Attrition Modeling'!$C:$C,'Traditional Attrition'!AR$1),VLOOKUP('Traditional Attrition'!AR$2-'Traditional Attrition'!$F48-1,'Traditional Attrition'!$A$7:$C$161,2,FALSE)*VLOOKUP(AR$1,'Attrition Modeling'!$L$15:$N$27,IF(AR$2-$F48&lt;=24,2,3),FALSE))*(1+Projection!AT$16)*(1+IF(AR180&gt;0,'Attrition Modeling'!$N$9,0))),0))</f>
        <v>0</v>
      </c>
      <c r="AS48" s="799">
        <f>IF(AS$2=$F48+1,Monthly!AO$21,IF(AS$2&gt;$F48+1,('Traditional Attrition'!AR48+AS180)*(1-IF(AS$2-$F48&lt;=12,SUMIFS('Attrition Modeling'!$D:$D,'Attrition Modeling'!$B:$B,'Traditional Attrition'!$E48,'Attrition Modeling'!$C:$C,'Traditional Attrition'!AS$1),VLOOKUP('Traditional Attrition'!AS$2-'Traditional Attrition'!$F48-1,'Traditional Attrition'!$A$7:$C$161,2,FALSE)*VLOOKUP(AS$1,'Attrition Modeling'!$L$15:$N$27,IF(AS$2-$F48&lt;=24,2,3),FALSE))*(1+Projection!AU$16)*(1+IF(AS180&gt;0,'Attrition Modeling'!$N$9,0))),0))</f>
        <v>0</v>
      </c>
      <c r="AT48" s="799">
        <f>IF(AT$2=$F48+1,Monthly!AP$21,IF(AT$2&gt;$F48+1,('Traditional Attrition'!AS48+AT180)*(1-IF(AT$2-$F48&lt;=12,SUMIFS('Attrition Modeling'!$D:$D,'Attrition Modeling'!$B:$B,'Traditional Attrition'!$E48,'Attrition Modeling'!$C:$C,'Traditional Attrition'!AT$1),VLOOKUP('Traditional Attrition'!AT$2-'Traditional Attrition'!$F48-1,'Traditional Attrition'!$A$7:$C$161,2,FALSE)*VLOOKUP(AT$1,'Attrition Modeling'!$L$15:$N$27,IF(AT$2-$F48&lt;=24,2,3),FALSE))*(1+Projection!AV$16)*(1+IF(AT180&gt;0,'Attrition Modeling'!$N$9,0))),0))</f>
        <v>0</v>
      </c>
      <c r="AU48" s="799">
        <f>IF(AU$2=$F48+1,Monthly!AQ$21,IF(AU$2&gt;$F48+1,('Traditional Attrition'!AT48+AU180)*(1-IF(AU$2-$F48&lt;=12,SUMIFS('Attrition Modeling'!$D:$D,'Attrition Modeling'!$B:$B,'Traditional Attrition'!$E48,'Attrition Modeling'!$C:$C,'Traditional Attrition'!AU$1),VLOOKUP('Traditional Attrition'!AU$2-'Traditional Attrition'!$F48-1,'Traditional Attrition'!$A$7:$C$161,2,FALSE)*VLOOKUP(AU$1,'Attrition Modeling'!$L$15:$N$27,IF(AU$2-$F48&lt;=24,2,3),FALSE))*(1+Projection!AW$16)*(1+IF(AU180&gt;0,'Attrition Modeling'!$N$9,0))),0))</f>
        <v>0</v>
      </c>
      <c r="AV48" s="799">
        <f>IF(AV$2=$F48+1,Monthly!AR$21,IF(AV$2&gt;$F48+1,('Traditional Attrition'!AU48+AV180)*(1-IF(AV$2-$F48&lt;=12,SUMIFS('Attrition Modeling'!$D:$D,'Attrition Modeling'!$B:$B,'Traditional Attrition'!$E48,'Attrition Modeling'!$C:$C,'Traditional Attrition'!AV$1),VLOOKUP('Traditional Attrition'!AV$2-'Traditional Attrition'!$F48-1,'Traditional Attrition'!$A$7:$C$161,2,FALSE)*VLOOKUP(AV$1,'Attrition Modeling'!$L$15:$N$27,IF(AV$2-$F48&lt;=24,2,3),FALSE))*(1+Projection!AX$16)*(1+IF(AV180&gt;0,'Attrition Modeling'!$N$9,0))),0))</f>
        <v>0</v>
      </c>
      <c r="AW48" s="799">
        <f>IF(AW$2=$F48+1,Monthly!AS$21,IF(AW$2&gt;$F48+1,('Traditional Attrition'!AV48+AW180)*(1-IF(AW$2-$F48&lt;=12,SUMIFS('Attrition Modeling'!$D:$D,'Attrition Modeling'!$B:$B,'Traditional Attrition'!$E48,'Attrition Modeling'!$C:$C,'Traditional Attrition'!AW$1),VLOOKUP('Traditional Attrition'!AW$2-'Traditional Attrition'!$F48-1,'Traditional Attrition'!$A$7:$C$161,2,FALSE)*VLOOKUP(AW$1,'Attrition Modeling'!$L$15:$N$27,IF(AW$2-$F48&lt;=24,2,3),FALSE))*(1+Projection!AY$16)*(1+IF(AW180&gt;0,'Attrition Modeling'!$N$9,0))),0))</f>
        <v>0</v>
      </c>
      <c r="AX48" s="799">
        <f>IF(AX$2=$F48+1,Monthly!AT$21,IF(AX$2&gt;$F48+1,('Traditional Attrition'!AW48+AX180)*(1-IF(AX$2-$F48&lt;=12,SUMIFS('Attrition Modeling'!$D:$D,'Attrition Modeling'!$B:$B,'Traditional Attrition'!$E48,'Attrition Modeling'!$C:$C,'Traditional Attrition'!AX$1),VLOOKUP('Traditional Attrition'!AX$2-'Traditional Attrition'!$F48-1,'Traditional Attrition'!$A$7:$C$161,2,FALSE)*VLOOKUP(AX$1,'Attrition Modeling'!$L$15:$N$27,IF(AX$2-$F48&lt;=24,2,3),FALSE))*(1+Projection!AZ$16)*(1+IF(AX180&gt;0,'Attrition Modeling'!$N$9,0))),0))</f>
        <v>0</v>
      </c>
      <c r="AY48" s="799">
        <f>IF(AY$2=$F48+1,Monthly!AU$21,IF(AY$2&gt;$F48+1,('Traditional Attrition'!AX48+AY180)*(1-IF(AY$2-$F48&lt;=12,SUMIFS('Attrition Modeling'!$D:$D,'Attrition Modeling'!$B:$B,'Traditional Attrition'!$E48,'Attrition Modeling'!$C:$C,'Traditional Attrition'!AY$1),VLOOKUP('Traditional Attrition'!AY$2-'Traditional Attrition'!$F48-1,'Traditional Attrition'!$A$7:$C$161,2,FALSE)*VLOOKUP(AY$1,'Attrition Modeling'!$L$15:$N$27,IF(AY$2-$F48&lt;=24,2,3),FALSE))*(1+Projection!BA$16)*(1+IF(AY180&gt;0,'Attrition Modeling'!$N$9,0))),0))</f>
        <v>0</v>
      </c>
      <c r="AZ48" s="799">
        <f>IF(AZ$2=$F48+1,Monthly!AV$21,IF(AZ$2&gt;$F48+1,('Traditional Attrition'!AY48+AZ180)*(1-IF(AZ$2-$F48&lt;=12,SUMIFS('Attrition Modeling'!$D:$D,'Attrition Modeling'!$B:$B,'Traditional Attrition'!$E48,'Attrition Modeling'!$C:$C,'Traditional Attrition'!AZ$1),VLOOKUP('Traditional Attrition'!AZ$2-'Traditional Attrition'!$F48-1,'Traditional Attrition'!$A$7:$C$161,2,FALSE)*VLOOKUP(AZ$1,'Attrition Modeling'!$L$15:$N$27,IF(AZ$2-$F48&lt;=24,2,3),FALSE))*(1+Projection!BB$16)*(1+IF(AZ180&gt;0,'Attrition Modeling'!$N$9,0))),0))</f>
        <v>0</v>
      </c>
      <c r="BA48" s="799">
        <f>IF(BA$2=$F48+1,Monthly!AW$21,IF(BA$2&gt;$F48+1,('Traditional Attrition'!AZ48+BA180)*(1-IF(BA$2-$F48&lt;=12,SUMIFS('Attrition Modeling'!$D:$D,'Attrition Modeling'!$B:$B,'Traditional Attrition'!$E48,'Attrition Modeling'!$C:$C,'Traditional Attrition'!BA$1),VLOOKUP('Traditional Attrition'!BA$2-'Traditional Attrition'!$F48-1,'Traditional Attrition'!$A$7:$C$161,2,FALSE)*VLOOKUP(BA$1,'Attrition Modeling'!$L$15:$N$27,IF(BA$2-$F48&lt;=24,2,3),FALSE))*(1+Projection!BC$16)*(1+IF(BA180&gt;0,'Attrition Modeling'!$N$9,0))),0))</f>
        <v>8986.9304520492315</v>
      </c>
      <c r="BB48" s="799">
        <f>IF(BB$2=$F48+1,Monthly!AX$21,IF(BB$2&gt;$F48+1,('Traditional Attrition'!BA48+BB180)*(1-IF(BB$2-$F48&lt;=12,SUMIFS('Attrition Modeling'!$D:$D,'Attrition Modeling'!$B:$B,'Traditional Attrition'!$E48,'Attrition Modeling'!$C:$C,'Traditional Attrition'!BB$1),VLOOKUP('Traditional Attrition'!BB$2-'Traditional Attrition'!$F48-1,'Traditional Attrition'!$A$7:$C$161,2,FALSE)*VLOOKUP(BB$1,'Attrition Modeling'!$L$15:$N$27,IF(BB$2-$F48&lt;=24,2,3),FALSE))*(1+Projection!BD$16)*(1+IF(BB180&gt;0,'Attrition Modeling'!$N$9,0))),0))</f>
        <v>8086.6350371447079</v>
      </c>
      <c r="BC48" s="799">
        <f>IF(BC$2=$F48+1,Monthly!AY$21,IF(BC$2&gt;$F48+1,('Traditional Attrition'!BB48+BC180)*(1-IF(BC$2-$F48&lt;=12,SUMIFS('Attrition Modeling'!$D:$D,'Attrition Modeling'!$B:$B,'Traditional Attrition'!$E48,'Attrition Modeling'!$C:$C,'Traditional Attrition'!BC$1),VLOOKUP('Traditional Attrition'!BC$2-'Traditional Attrition'!$F48-1,'Traditional Attrition'!$A$7:$C$161,2,FALSE)*VLOOKUP(BC$1,'Attrition Modeling'!$L$15:$N$27,IF(BC$2-$F48&lt;=24,2,3),FALSE))*(1+Projection!BE$16)*(1+IF(BC180&gt;0,'Attrition Modeling'!$N$9,0))),0))</f>
        <v>7376.7272995635567</v>
      </c>
      <c r="BD48" s="799">
        <f>IF(BD$2=$F48+1,Monthly!AZ$21,IF(BD$2&gt;$F48+1,('Traditional Attrition'!BC48+BD180)*(1-IF(BD$2-$F48&lt;=12,SUMIFS('Attrition Modeling'!$D:$D,'Attrition Modeling'!$B:$B,'Traditional Attrition'!$E48,'Attrition Modeling'!$C:$C,'Traditional Attrition'!BD$1),VLOOKUP('Traditional Attrition'!BD$2-'Traditional Attrition'!$F48-1,'Traditional Attrition'!$A$7:$C$161,2,FALSE)*VLOOKUP(BD$1,'Attrition Modeling'!$L$15:$N$27,IF(BD$2-$F48&lt;=24,2,3),FALSE))*(1+Projection!BF$16)*(1+IF(BD180&gt;0,'Attrition Modeling'!$N$9,0))),0))</f>
        <v>6773.094278211197</v>
      </c>
      <c r="BE48" s="799">
        <f>IF(BE$2=$F48+1,Monthly!BA$21,IF(BE$2&gt;$F48+1,('Traditional Attrition'!BD48+BE180)*(1-IF(BE$2-$F48&lt;=12,SUMIFS('Attrition Modeling'!$D:$D,'Attrition Modeling'!$B:$B,'Traditional Attrition'!$E48,'Attrition Modeling'!$C:$C,'Traditional Attrition'!BE$1),VLOOKUP('Traditional Attrition'!BE$2-'Traditional Attrition'!$F48-1,'Traditional Attrition'!$A$7:$C$161,2,FALSE)*VLOOKUP(BE$1,'Attrition Modeling'!$L$15:$N$27,IF(BE$2-$F48&lt;=24,2,3),FALSE))*(1+Projection!BG$16)*(1+IF(BE180&gt;0,'Attrition Modeling'!$N$9,0))),0))</f>
        <v>6273.4441292716983</v>
      </c>
      <c r="BF48" s="799">
        <f>IF(BF$2=$F48+1,Monthly!BB$21,IF(BF$2&gt;$F48+1,('Traditional Attrition'!BE48+BF180)*(1-IF(BF$2-$F48&lt;=12,SUMIFS('Attrition Modeling'!$D:$D,'Attrition Modeling'!$B:$B,'Traditional Attrition'!$E48,'Attrition Modeling'!$C:$C,'Traditional Attrition'!BF$1),VLOOKUP('Traditional Attrition'!BF$2-'Traditional Attrition'!$F48-1,'Traditional Attrition'!$A$7:$C$161,2,FALSE)*VLOOKUP(BF$1,'Attrition Modeling'!$L$15:$N$27,IF(BF$2-$F48&lt;=24,2,3),FALSE))*(1+Projection!BH$16)*(1+IF(BF180&gt;0,'Attrition Modeling'!$N$9,0))),0))</f>
        <v>6171.3811571757496</v>
      </c>
      <c r="BG48" s="799">
        <f>IF(BG$2=$F48+1,Monthly!BC$21,IF(BG$2&gt;$F48+1,('Traditional Attrition'!BF48+BG180)*(1-IF(BG$2-$F48&lt;=12,SUMIFS('Attrition Modeling'!$D:$D,'Attrition Modeling'!$B:$B,'Traditional Attrition'!$E48,'Attrition Modeling'!$C:$C,'Traditional Attrition'!BG$1),VLOOKUP('Traditional Attrition'!BG$2-'Traditional Attrition'!$F48-1,'Traditional Attrition'!$A$7:$C$161,2,FALSE)*VLOOKUP(BG$1,'Attrition Modeling'!$L$15:$N$27,IF(BG$2-$F48&lt;=24,2,3),FALSE))*(1+Projection!BI$16)*(1+IF(BG180&gt;0,'Attrition Modeling'!$N$9,0))),0))</f>
        <v>5722.9416950735149</v>
      </c>
      <c r="BH48" s="799">
        <f>IF(BH$2=$F48+1,Monthly!BD$21,IF(BH$2&gt;$F48+1,('Traditional Attrition'!BG48+BH180)*(1-IF(BH$2-$F48&lt;=12,SUMIFS('Attrition Modeling'!$D:$D,'Attrition Modeling'!$B:$B,'Traditional Attrition'!$E48,'Attrition Modeling'!$C:$C,'Traditional Attrition'!BH$1),VLOOKUP('Traditional Attrition'!BH$2-'Traditional Attrition'!$F48-1,'Traditional Attrition'!$A$7:$C$161,2,FALSE)*VLOOKUP(BH$1,'Attrition Modeling'!$L$15:$N$27,IF(BH$2-$F48&lt;=24,2,3),FALSE))*(1+Projection!BJ$16)*(1+IF(BH180&gt;0,'Attrition Modeling'!$N$9,0))),0))</f>
        <v>5315.8101349211447</v>
      </c>
      <c r="BI48" s="799">
        <f>IF(BI$2=$F48+1,Monthly!BE$21,IF(BI$2&gt;$F48+1,('Traditional Attrition'!BH48+BI180)*(1-IF(BI$2-$F48&lt;=12,SUMIFS('Attrition Modeling'!$D:$D,'Attrition Modeling'!$B:$B,'Traditional Attrition'!$E48,'Attrition Modeling'!$C:$C,'Traditional Attrition'!BI$1),VLOOKUP('Traditional Attrition'!BI$2-'Traditional Attrition'!$F48-1,'Traditional Attrition'!$A$7:$C$161,2,FALSE)*VLOOKUP(BI$1,'Attrition Modeling'!$L$15:$N$27,IF(BI$2-$F48&lt;=24,2,3),FALSE))*(1+Projection!BK$16)*(1+IF(BI180&gt;0,'Attrition Modeling'!$N$9,0))),0))</f>
        <v>4949.7599937538871</v>
      </c>
      <c r="BJ48" s="799">
        <f>IF(BJ$2=$F48+1,Monthly!BF$21,IF(BJ$2&gt;$F48+1,('Traditional Attrition'!BI48+BJ180)*(1-IF(BJ$2-$F48&lt;=12,SUMIFS('Attrition Modeling'!$D:$D,'Attrition Modeling'!$B:$B,'Traditional Attrition'!$E48,'Attrition Modeling'!$C:$C,'Traditional Attrition'!BJ$1),VLOOKUP('Traditional Attrition'!BJ$2-'Traditional Attrition'!$F48-1,'Traditional Attrition'!$A$7:$C$161,2,FALSE)*VLOOKUP(BJ$1,'Attrition Modeling'!$L$15:$N$27,IF(BJ$2-$F48&lt;=24,2,3),FALSE))*(1+Projection!BL$16)*(1+IF(BJ180&gt;0,'Attrition Modeling'!$N$9,0))),0))</f>
        <v>4645.9339743100854</v>
      </c>
      <c r="BK48" s="799">
        <f>IF(BK$2=$F48+1,Monthly!BG$21,IF(BK$2&gt;$F48+1,('Traditional Attrition'!BJ48+BK180)*(1-IF(BK$2-$F48&lt;=12,SUMIFS('Attrition Modeling'!$D:$D,'Attrition Modeling'!$B:$B,'Traditional Attrition'!$E48,'Attrition Modeling'!$C:$C,'Traditional Attrition'!BK$1),VLOOKUP('Traditional Attrition'!BK$2-'Traditional Attrition'!$F48-1,'Traditional Attrition'!$A$7:$C$161,2,FALSE)*VLOOKUP(BK$1,'Attrition Modeling'!$L$15:$N$27,IF(BK$2-$F48&lt;=24,2,3),FALSE))*(1+Projection!BM$16)*(1+IF(BK180&gt;0,'Attrition Modeling'!$N$9,0))),0))</f>
        <v>4372.2011661238439</v>
      </c>
      <c r="BL48" s="799">
        <f>IF(BL$2=$F48+1,Monthly!BH$21,IF(BL$2&gt;$F48+1,('Traditional Attrition'!BK48+BL180)*(1-IF(BL$2-$F48&lt;=12,SUMIFS('Attrition Modeling'!$D:$D,'Attrition Modeling'!$B:$B,'Traditional Attrition'!$E48,'Attrition Modeling'!$C:$C,'Traditional Attrition'!BL$1),VLOOKUP('Traditional Attrition'!BL$2-'Traditional Attrition'!$F48-1,'Traditional Attrition'!$A$7:$C$161,2,FALSE)*VLOOKUP(BL$1,'Attrition Modeling'!$L$15:$N$27,IF(BL$2-$F48&lt;=24,2,3),FALSE))*(1+Projection!BN$16)*(1+IF(BL180&gt;0,'Attrition Modeling'!$N$9,0))),0))</f>
        <v>4184.9390031825496</v>
      </c>
      <c r="BM48" s="799">
        <f>IF(BM$2=$F48+1,Monthly!BI$21,IF(BM$2&gt;$F48+1,('Traditional Attrition'!BL48+BM180)*(1-IF(BM$2-$F48&lt;=12,SUMIFS('Attrition Modeling'!$D:$D,'Attrition Modeling'!$B:$B,'Traditional Attrition'!$E48,'Attrition Modeling'!$C:$C,'Traditional Attrition'!BM$1),VLOOKUP('Traditional Attrition'!BM$2-'Traditional Attrition'!$F48-1,'Traditional Attrition'!$A$7:$C$161,2,FALSE)*VLOOKUP(BM$1,'Attrition Modeling'!$L$15:$N$27,IF(BM$2-$F48&lt;=24,2,3),FALSE))*(1+Projection!BO$16)*(1+IF(BM180&gt;0,'Attrition Modeling'!$N$9,0))),0))</f>
        <v>3948.4639816271447</v>
      </c>
      <c r="BN48" s="799">
        <f>IF(BN$2=$F48+1,Monthly!BJ$21,IF(BN$2&gt;$F48+1,('Traditional Attrition'!BM48+BN180)*(1-IF(BN$2-$F48&lt;=12,SUMIFS('Attrition Modeling'!$D:$D,'Attrition Modeling'!$B:$B,'Traditional Attrition'!$E48,'Attrition Modeling'!$C:$C,'Traditional Attrition'!BN$1),VLOOKUP('Traditional Attrition'!BN$2-'Traditional Attrition'!$F48-1,'Traditional Attrition'!$A$7:$C$161,2,FALSE)*VLOOKUP(BN$1,'Attrition Modeling'!$L$15:$N$27,IF(BN$2-$F48&lt;=24,2,3),FALSE))*(1+Projection!BP$16)*(1+IF(BN180&gt;0,'Attrition Modeling'!$N$9,0))),0))</f>
        <v>3750.4097636913998</v>
      </c>
      <c r="BO48" s="799">
        <f>IF(BO$2=$F48+1,Monthly!BK$21,IF(BO$2&gt;$F48+1,('Traditional Attrition'!BN48+BO180)*(1-IF(BO$2-$F48&lt;=12,SUMIFS('Attrition Modeling'!$D:$D,'Attrition Modeling'!$B:$B,'Traditional Attrition'!$E48,'Attrition Modeling'!$C:$C,'Traditional Attrition'!BO$1),VLOOKUP('Traditional Attrition'!BO$2-'Traditional Attrition'!$F48-1,'Traditional Attrition'!$A$7:$C$161,2,FALSE)*VLOOKUP(BO$1,'Attrition Modeling'!$L$15:$N$27,IF(BO$2-$F48&lt;=24,2,3),FALSE))*(1+Projection!BV$16)*(1+IF(BO180&gt;0,'Attrition Modeling'!$N$9,0))),0))</f>
        <v>3573.3806870930134</v>
      </c>
      <c r="BP48" s="799">
        <f>IF(BP$2=$F48+1,Monthly!BL$21,IF(BP$2&gt;$F48+1,('Traditional Attrition'!BO48+BP180)*(1-IF(BP$2-$F48&lt;=12,SUMIFS('Attrition Modeling'!$D:$D,'Attrition Modeling'!$B:$B,'Traditional Attrition'!$E48,'Attrition Modeling'!$C:$C,'Traditional Attrition'!BP$1),VLOOKUP('Traditional Attrition'!BP$2-'Traditional Attrition'!$F48-1,'Traditional Attrition'!$A$7:$C$161,2,FALSE)*VLOOKUP(BP$1,'Attrition Modeling'!$L$15:$N$27,IF(BP$2-$F48&lt;=24,2,3),FALSE))*(1+Projection!BW$16)*(1+IF(BP180&gt;0,'Attrition Modeling'!$N$9,0))),0))</f>
        <v>3410.7227671032269</v>
      </c>
      <c r="BQ48" s="799">
        <f>IF(BQ$2=$F48+1,Monthly!BM$21,IF(BQ$2&gt;$F48+1,('Traditional Attrition'!BP48+BQ180)*(1-IF(BQ$2-$F48&lt;=12,SUMIFS('Attrition Modeling'!$D:$D,'Attrition Modeling'!$B:$B,'Traditional Attrition'!$E48,'Attrition Modeling'!$C:$C,'Traditional Attrition'!BQ$1),VLOOKUP('Traditional Attrition'!BQ$2-'Traditional Attrition'!$F48-1,'Traditional Attrition'!$A$7:$C$161,2,FALSE)*VLOOKUP(BQ$1,'Attrition Modeling'!$L$15:$N$27,IF(BQ$2-$F48&lt;=24,2,3),FALSE))*(1+Projection!BX$16)*(1+IF(BQ180&gt;0,'Attrition Modeling'!$N$9,0))),0))</f>
        <v>3274.7863023736018</v>
      </c>
      <c r="BR48" s="799">
        <f>IF(BR$2=$F48+1,Monthly!BN$21,IF(BR$2&gt;$F48+1,('Traditional Attrition'!BQ48+BR180)*(1-IF(BR$2-$F48&lt;=12,SUMIFS('Attrition Modeling'!$D:$D,'Attrition Modeling'!$B:$B,'Traditional Attrition'!$E48,'Attrition Modeling'!$C:$C,'Traditional Attrition'!BR$1),VLOOKUP('Traditional Attrition'!BR$2-'Traditional Attrition'!$F48-1,'Traditional Attrition'!$A$7:$C$161,2,FALSE)*VLOOKUP(BR$1,'Attrition Modeling'!$L$15:$N$27,IF(BR$2-$F48&lt;=24,2,3),FALSE))*(1+Projection!BY$16)*(1+IF(BR180&gt;0,'Attrition Modeling'!$N$9,0))),0))</f>
        <v>3406.9315843509921</v>
      </c>
      <c r="BS48" s="799">
        <f>IF(BS$2=$F48+1,Monthly!BO$21,IF(BS$2&gt;$F48+1,('Traditional Attrition'!BR48+BS180)*(1-IF(BS$2-$F48&lt;=12,SUMIFS('Attrition Modeling'!$D:$D,'Attrition Modeling'!$B:$B,'Traditional Attrition'!$E48,'Attrition Modeling'!$C:$C,'Traditional Attrition'!BS$1),VLOOKUP('Traditional Attrition'!BS$2-'Traditional Attrition'!$F48-1,'Traditional Attrition'!$A$7:$C$161,2,FALSE)*VLOOKUP(BS$1,'Attrition Modeling'!$L$15:$N$27,IF(BS$2-$F48&lt;=24,2,3),FALSE))*(1+Projection!BZ$16)*(1+IF(BS180&gt;0,'Attrition Modeling'!$N$9,0))),0))</f>
        <v>3268.2402466288918</v>
      </c>
      <c r="BT48" s="799">
        <f>IF(BT$2=$F48+1,Monthly!#REF!,IF(BT$2&gt;$F48+1,('Traditional Attrition'!BS48+BT180)*(1-IF(BT$2-$F48&lt;=12,SUMIFS('Attrition Modeling'!$D:$D,'Attrition Modeling'!$B:$B,'Traditional Attrition'!$E48,'Attrition Modeling'!$C:$C,'Traditional Attrition'!BT$1),VLOOKUP('Traditional Attrition'!BT$2-'Traditional Attrition'!$F48-1,'Traditional Attrition'!$A$7:$C$161,2,FALSE)*VLOOKUP(BT$1,'Attrition Modeling'!$L$15:$N$27,IF(BT$2-$F48&lt;=24,2,3),FALSE))*(1+Projection!CA$16)*(1+IF(BT180&gt;0,'Attrition Modeling'!$N$9,0))),0))</f>
        <v>3138.654817463213</v>
      </c>
      <c r="BU48" s="799">
        <f>IF(BU$2=$F48+1,Monthly!#REF!,IF(BU$2&gt;$F48+1,('Traditional Attrition'!BT48+BU180)*(1-IF(BU$2-$F48&lt;=12,SUMIFS('Attrition Modeling'!$D:$D,'Attrition Modeling'!$B:$B,'Traditional Attrition'!$E48,'Attrition Modeling'!$C:$C,'Traditional Attrition'!BU$1),VLOOKUP('Traditional Attrition'!BU$2-'Traditional Attrition'!$F48-1,'Traditional Attrition'!$A$7:$C$161,2,FALSE)*VLOOKUP(BU$1,'Attrition Modeling'!$L$15:$N$27,IF(BU$2-$F48&lt;=24,2,3),FALSE))*(1+Projection!CB$16)*(1+IF(BU180&gt;0,'Attrition Modeling'!$N$9,0))),0))</f>
        <v>3004.3615104891546</v>
      </c>
    </row>
    <row r="49" spans="1:73" ht="14.25" customHeight="1" x14ac:dyDescent="0.2">
      <c r="A49" s="9">
        <v>42</v>
      </c>
      <c r="B49" s="25">
        <f>MAX('Attrition Modeling'!H46,$C$3)*(1-Summary!$C$20)</f>
        <v>2.7827561672518826E-2</v>
      </c>
      <c r="C49" s="24" t="e">
        <f t="shared" si="4"/>
        <v>#DIV/0!</v>
      </c>
      <c r="E49" s="11">
        <f t="shared" si="2"/>
        <v>10</v>
      </c>
      <c r="F49" s="11">
        <f t="shared" si="3"/>
        <v>46</v>
      </c>
      <c r="G49" s="799"/>
      <c r="H49" s="799">
        <f>IF(H$2=$F49+1,Monthly!D$21,IF(H$2&gt;$F49+1,('Traditional Attrition'!G49+H181)*(1-IF(H$2-$F49&lt;=12,SUMIFS('Attrition Modeling'!$D:$D,'Attrition Modeling'!$B:$B,'Traditional Attrition'!$E49,'Attrition Modeling'!$C:$C,'Traditional Attrition'!H$1),VLOOKUP('Traditional Attrition'!H$2-'Traditional Attrition'!$F49-1,'Traditional Attrition'!$A$7:$C$161,2,FALSE)*VLOOKUP(H$1,'Attrition Modeling'!$L$15:$N$27,IF(H$2-$F49&lt;=24,2,3),FALSE))*(1+Projection!J$16)*(1+IF(H181&gt;0,'Attrition Modeling'!$N$9,0))),0))</f>
        <v>0</v>
      </c>
      <c r="I49" s="799">
        <f>IF(I$2=$F49+1,Monthly!E$21,IF(I$2&gt;$F49+1,('Traditional Attrition'!H49+I181)*(1-IF(I$2-$F49&lt;=12,SUMIFS('Attrition Modeling'!$D:$D,'Attrition Modeling'!$B:$B,'Traditional Attrition'!$E49,'Attrition Modeling'!$C:$C,'Traditional Attrition'!I$1),VLOOKUP('Traditional Attrition'!I$2-'Traditional Attrition'!$F49-1,'Traditional Attrition'!$A$7:$C$161,2,FALSE)*VLOOKUP(I$1,'Attrition Modeling'!$L$15:$N$27,IF(I$2-$F49&lt;=24,2,3),FALSE))*(1+Projection!K$16)*(1+IF(I181&gt;0,'Attrition Modeling'!$N$9,0))),0))</f>
        <v>0</v>
      </c>
      <c r="J49" s="799">
        <f>IF(J$2=$F49+1,Monthly!F$21,IF(J$2&gt;$F49+1,('Traditional Attrition'!I49+J181)*(1-IF(J$2-$F49&lt;=12,SUMIFS('Attrition Modeling'!$D:$D,'Attrition Modeling'!$B:$B,'Traditional Attrition'!$E49,'Attrition Modeling'!$C:$C,'Traditional Attrition'!J$1),VLOOKUP('Traditional Attrition'!J$2-'Traditional Attrition'!$F49-1,'Traditional Attrition'!$A$7:$C$161,2,FALSE)*VLOOKUP(J$1,'Attrition Modeling'!$L$15:$N$27,IF(J$2-$F49&lt;=24,2,3),FALSE))*(1+Projection!L$16)*(1+IF(J181&gt;0,'Attrition Modeling'!$N$9,0))),0))</f>
        <v>0</v>
      </c>
      <c r="K49" s="799">
        <f>IF(K$2=$F49+1,Monthly!G$21,IF(K$2&gt;$F49+1,('Traditional Attrition'!J49+K181)*(1-IF(K$2-$F49&lt;=12,SUMIFS('Attrition Modeling'!$D:$D,'Attrition Modeling'!$B:$B,'Traditional Attrition'!$E49,'Attrition Modeling'!$C:$C,'Traditional Attrition'!K$1),VLOOKUP('Traditional Attrition'!K$2-'Traditional Attrition'!$F49-1,'Traditional Attrition'!$A$7:$C$161,2,FALSE)*VLOOKUP(K$1,'Attrition Modeling'!$L$15:$N$27,IF(K$2-$F49&lt;=24,2,3),FALSE))*(1+Projection!M$16)*(1+IF(K181&gt;0,'Attrition Modeling'!$N$9,0))),0))</f>
        <v>0</v>
      </c>
      <c r="L49" s="799">
        <f>IF(L$2=$F49+1,Monthly!H$21,IF(L$2&gt;$F49+1,('Traditional Attrition'!K49+L181)*(1-IF(L$2-$F49&lt;=12,SUMIFS('Attrition Modeling'!$D:$D,'Attrition Modeling'!$B:$B,'Traditional Attrition'!$E49,'Attrition Modeling'!$C:$C,'Traditional Attrition'!L$1),VLOOKUP('Traditional Attrition'!L$2-'Traditional Attrition'!$F49-1,'Traditional Attrition'!$A$7:$C$161,2,FALSE)*VLOOKUP(L$1,'Attrition Modeling'!$L$15:$N$27,IF(L$2-$F49&lt;=24,2,3),FALSE))*(1+Projection!N$16)*(1+IF(L181&gt;0,'Attrition Modeling'!$N$9,0))),0))</f>
        <v>0</v>
      </c>
      <c r="M49" s="799">
        <f>IF(M$2=$F49+1,Monthly!I$21,IF(M$2&gt;$F49+1,('Traditional Attrition'!L49+M181)*(1-IF(M$2-$F49&lt;=12,SUMIFS('Attrition Modeling'!$D:$D,'Attrition Modeling'!$B:$B,'Traditional Attrition'!$E49,'Attrition Modeling'!$C:$C,'Traditional Attrition'!M$1),VLOOKUP('Traditional Attrition'!M$2-'Traditional Attrition'!$F49-1,'Traditional Attrition'!$A$7:$C$161,2,FALSE)*VLOOKUP(M$1,'Attrition Modeling'!$L$15:$N$27,IF(M$2-$F49&lt;=24,2,3),FALSE))*(1+Projection!O$16)*(1+IF(M181&gt;0,'Attrition Modeling'!$N$9,0))),0))</f>
        <v>0</v>
      </c>
      <c r="N49" s="799">
        <f>IF(N$2=$F49+1,Monthly!J$21,IF(N$2&gt;$F49+1,('Traditional Attrition'!M49+N181)*(1-IF(N$2-$F49&lt;=12,SUMIFS('Attrition Modeling'!$D:$D,'Attrition Modeling'!$B:$B,'Traditional Attrition'!$E49,'Attrition Modeling'!$C:$C,'Traditional Attrition'!N$1),VLOOKUP('Traditional Attrition'!N$2-'Traditional Attrition'!$F49-1,'Traditional Attrition'!$A$7:$C$161,2,FALSE)*VLOOKUP(N$1,'Attrition Modeling'!$L$15:$N$27,IF(N$2-$F49&lt;=24,2,3),FALSE))*(1+Projection!P$16)*(1+IF(N181&gt;0,'Attrition Modeling'!$N$9,0))),0))</f>
        <v>0</v>
      </c>
      <c r="O49" s="799">
        <f>IF(O$2=$F49+1,Monthly!K$21,IF(O$2&gt;$F49+1,('Traditional Attrition'!N49+O181)*(1-IF(O$2-$F49&lt;=12,SUMIFS('Attrition Modeling'!$D:$D,'Attrition Modeling'!$B:$B,'Traditional Attrition'!$E49,'Attrition Modeling'!$C:$C,'Traditional Attrition'!O$1),VLOOKUP('Traditional Attrition'!O$2-'Traditional Attrition'!$F49-1,'Traditional Attrition'!$A$7:$C$161,2,FALSE)*VLOOKUP(O$1,'Attrition Modeling'!$L$15:$N$27,IF(O$2-$F49&lt;=24,2,3),FALSE))*(1+Projection!Q$16)*(1+IF(O181&gt;0,'Attrition Modeling'!$N$9,0))),0))</f>
        <v>0</v>
      </c>
      <c r="P49" s="799">
        <f>IF(P$2=$F49+1,Monthly!L$21,IF(P$2&gt;$F49+1,('Traditional Attrition'!O49+P181)*(1-IF(P$2-$F49&lt;=12,SUMIFS('Attrition Modeling'!$D:$D,'Attrition Modeling'!$B:$B,'Traditional Attrition'!$E49,'Attrition Modeling'!$C:$C,'Traditional Attrition'!P$1),VLOOKUP('Traditional Attrition'!P$2-'Traditional Attrition'!$F49-1,'Traditional Attrition'!$A$7:$C$161,2,FALSE)*VLOOKUP(P$1,'Attrition Modeling'!$L$15:$N$27,IF(P$2-$F49&lt;=24,2,3),FALSE))*(1+Projection!R$16)*(1+IF(P181&gt;0,'Attrition Modeling'!$N$9,0))),0))</f>
        <v>0</v>
      </c>
      <c r="Q49" s="799">
        <f>IF(Q$2=$F49+1,Monthly!M$21,IF(Q$2&gt;$F49+1,('Traditional Attrition'!P49+Q181)*(1-IF(Q$2-$F49&lt;=12,SUMIFS('Attrition Modeling'!$D:$D,'Attrition Modeling'!$B:$B,'Traditional Attrition'!$E49,'Attrition Modeling'!$C:$C,'Traditional Attrition'!Q$1),VLOOKUP('Traditional Attrition'!Q$2-'Traditional Attrition'!$F49-1,'Traditional Attrition'!$A$7:$C$161,2,FALSE)*VLOOKUP(Q$1,'Attrition Modeling'!$L$15:$N$27,IF(Q$2-$F49&lt;=24,2,3),FALSE))*(1+Projection!S$16)*(1+IF(Q181&gt;0,'Attrition Modeling'!$N$9,0))),0))</f>
        <v>0</v>
      </c>
      <c r="R49" s="799">
        <f>IF(R$2=$F49+1,Monthly!N$21,IF(R$2&gt;$F49+1,('Traditional Attrition'!Q49+R181)*(1-IF(R$2-$F49&lt;=12,SUMIFS('Attrition Modeling'!$D:$D,'Attrition Modeling'!$B:$B,'Traditional Attrition'!$E49,'Attrition Modeling'!$C:$C,'Traditional Attrition'!R$1),VLOOKUP('Traditional Attrition'!R$2-'Traditional Attrition'!$F49-1,'Traditional Attrition'!$A$7:$C$161,2,FALSE)*VLOOKUP(R$1,'Attrition Modeling'!$L$15:$N$27,IF(R$2-$F49&lt;=24,2,3),FALSE))*(1+Projection!T$16)*(1+IF(R181&gt;0,'Attrition Modeling'!$N$9,0))),0))</f>
        <v>0</v>
      </c>
      <c r="S49" s="799">
        <f>IF(S$2=$F49+1,Monthly!O$21,IF(S$2&gt;$F49+1,('Traditional Attrition'!R49+S181)*(1-IF(S$2-$F49&lt;=12,SUMIFS('Attrition Modeling'!$D:$D,'Attrition Modeling'!$B:$B,'Traditional Attrition'!$E49,'Attrition Modeling'!$C:$C,'Traditional Attrition'!S$1),VLOOKUP('Traditional Attrition'!S$2-'Traditional Attrition'!$F49-1,'Traditional Attrition'!$A$7:$C$161,2,FALSE)*VLOOKUP(S$1,'Attrition Modeling'!$L$15:$N$27,IF(S$2-$F49&lt;=24,2,3),FALSE))*(1+Projection!U$16)*(1+IF(S181&gt;0,'Attrition Modeling'!$N$9,0))),0))</f>
        <v>0</v>
      </c>
      <c r="T49" s="799">
        <f>IF(T$2=$F49+1,Monthly!P$21,IF(T$2&gt;$F49+1,('Traditional Attrition'!S49+T181)*(1-IF(T$2-$F49&lt;=12,SUMIFS('Attrition Modeling'!$D:$D,'Attrition Modeling'!$B:$B,'Traditional Attrition'!$E49,'Attrition Modeling'!$C:$C,'Traditional Attrition'!T$1),VLOOKUP('Traditional Attrition'!T$2-'Traditional Attrition'!$F49-1,'Traditional Attrition'!$A$7:$C$161,2,FALSE)*VLOOKUP(T$1,'Attrition Modeling'!$L$15:$N$27,IF(T$2-$F49&lt;=24,2,3),FALSE))*(1+Projection!V$16)*(1+IF(T181&gt;0,'Attrition Modeling'!$N$9,0))),0))</f>
        <v>0</v>
      </c>
      <c r="U49" s="799">
        <f>IF(U$2=$F49+1,Monthly!Q$21,IF(U$2&gt;$F49+1,('Traditional Attrition'!T49+U181)*(1-IF(U$2-$F49&lt;=12,SUMIFS('Attrition Modeling'!$D:$D,'Attrition Modeling'!$B:$B,'Traditional Attrition'!$E49,'Attrition Modeling'!$C:$C,'Traditional Attrition'!U$1),VLOOKUP('Traditional Attrition'!U$2-'Traditional Attrition'!$F49-1,'Traditional Attrition'!$A$7:$C$161,2,FALSE)*VLOOKUP(U$1,'Attrition Modeling'!$L$15:$N$27,IF(U$2-$F49&lt;=24,2,3),FALSE))*(1+Projection!W$16)*(1+IF(U181&gt;0,'Attrition Modeling'!$N$9,0))),0))</f>
        <v>0</v>
      </c>
      <c r="V49" s="799">
        <f>IF(V$2=$F49+1,Monthly!R$21,IF(V$2&gt;$F49+1,('Traditional Attrition'!U49+V181)*(1-IF(V$2-$F49&lt;=12,SUMIFS('Attrition Modeling'!$D:$D,'Attrition Modeling'!$B:$B,'Traditional Attrition'!$E49,'Attrition Modeling'!$C:$C,'Traditional Attrition'!V$1),VLOOKUP('Traditional Attrition'!V$2-'Traditional Attrition'!$F49-1,'Traditional Attrition'!$A$7:$C$161,2,FALSE)*VLOOKUP(V$1,'Attrition Modeling'!$L$15:$N$27,IF(V$2-$F49&lt;=24,2,3),FALSE))*(1+Projection!X$16)*(1+IF(V181&gt;0,'Attrition Modeling'!$N$9,0))),0))</f>
        <v>0</v>
      </c>
      <c r="W49" s="799">
        <f>IF(W$2=$F49+1,Monthly!S$21,IF(W$2&gt;$F49+1,('Traditional Attrition'!V49+W181)*(1-IF(W$2-$F49&lt;=12,SUMIFS('Attrition Modeling'!$D:$D,'Attrition Modeling'!$B:$B,'Traditional Attrition'!$E49,'Attrition Modeling'!$C:$C,'Traditional Attrition'!W$1),VLOOKUP('Traditional Attrition'!W$2-'Traditional Attrition'!$F49-1,'Traditional Attrition'!$A$7:$C$161,2,FALSE)*VLOOKUP(W$1,'Attrition Modeling'!$L$15:$N$27,IF(W$2-$F49&lt;=24,2,3),FALSE))*(1+Projection!Y$16)*(1+IF(W181&gt;0,'Attrition Modeling'!$N$9,0))),0))</f>
        <v>0</v>
      </c>
      <c r="X49" s="799">
        <f>IF(X$2=$F49+1,Monthly!T$21,IF(X$2&gt;$F49+1,('Traditional Attrition'!W49+X181)*(1-IF(X$2-$F49&lt;=12,SUMIFS('Attrition Modeling'!$D:$D,'Attrition Modeling'!$B:$B,'Traditional Attrition'!$E49,'Attrition Modeling'!$C:$C,'Traditional Attrition'!X$1),VLOOKUP('Traditional Attrition'!X$2-'Traditional Attrition'!$F49-1,'Traditional Attrition'!$A$7:$C$161,2,FALSE)*VLOOKUP(X$1,'Attrition Modeling'!$L$15:$N$27,IF(X$2-$F49&lt;=24,2,3),FALSE))*(1+Projection!Z$16)*(1+IF(X181&gt;0,'Attrition Modeling'!$N$9,0))),0))</f>
        <v>0</v>
      </c>
      <c r="Y49" s="799">
        <f>IF(Y$2=$F49+1,Monthly!U$21,IF(Y$2&gt;$F49+1,('Traditional Attrition'!X49+Y181)*(1-IF(Y$2-$F49&lt;=12,SUMIFS('Attrition Modeling'!$D:$D,'Attrition Modeling'!$B:$B,'Traditional Attrition'!$E49,'Attrition Modeling'!$C:$C,'Traditional Attrition'!Y$1),VLOOKUP('Traditional Attrition'!Y$2-'Traditional Attrition'!$F49-1,'Traditional Attrition'!$A$7:$C$161,2,FALSE)*VLOOKUP(Y$1,'Attrition Modeling'!$L$15:$N$27,IF(Y$2-$F49&lt;=24,2,3),FALSE))*(1+Projection!AA$16)*(1+IF(Y181&gt;0,'Attrition Modeling'!$N$9,0))),0))</f>
        <v>0</v>
      </c>
      <c r="Z49" s="799">
        <f>IF(Z$2=$F49+1,Monthly!V$21,IF(Z$2&gt;$F49+1,('Traditional Attrition'!Y49+Z181)*(1-IF(Z$2-$F49&lt;=12,SUMIFS('Attrition Modeling'!$D:$D,'Attrition Modeling'!$B:$B,'Traditional Attrition'!$E49,'Attrition Modeling'!$C:$C,'Traditional Attrition'!Z$1),VLOOKUP('Traditional Attrition'!Z$2-'Traditional Attrition'!$F49-1,'Traditional Attrition'!$A$7:$C$161,2,FALSE)*VLOOKUP(Z$1,'Attrition Modeling'!$L$15:$N$27,IF(Z$2-$F49&lt;=24,2,3),FALSE))*(1+Projection!AB$16)*(1+IF(Z181&gt;0,'Attrition Modeling'!$N$9,0))),0))</f>
        <v>0</v>
      </c>
      <c r="AA49" s="799">
        <f>IF(AA$2=$F49+1,Monthly!W$21,IF(AA$2&gt;$F49+1,('Traditional Attrition'!Z49+AA181)*(1-IF(AA$2-$F49&lt;=12,SUMIFS('Attrition Modeling'!$D:$D,'Attrition Modeling'!$B:$B,'Traditional Attrition'!$E49,'Attrition Modeling'!$C:$C,'Traditional Attrition'!AA$1),VLOOKUP('Traditional Attrition'!AA$2-'Traditional Attrition'!$F49-1,'Traditional Attrition'!$A$7:$C$161,2,FALSE)*VLOOKUP(AA$1,'Attrition Modeling'!$L$15:$N$27,IF(AA$2-$F49&lt;=24,2,3),FALSE))*(1+Projection!AC$16)*(1+IF(AA181&gt;0,'Attrition Modeling'!$N$9,0))),0))</f>
        <v>0</v>
      </c>
      <c r="AB49" s="799">
        <f>IF(AB$2=$F49+1,Monthly!X$21,IF(AB$2&gt;$F49+1,('Traditional Attrition'!AA49+AB181)*(1-IF(AB$2-$F49&lt;=12,SUMIFS('Attrition Modeling'!$D:$D,'Attrition Modeling'!$B:$B,'Traditional Attrition'!$E49,'Attrition Modeling'!$C:$C,'Traditional Attrition'!AB$1),VLOOKUP('Traditional Attrition'!AB$2-'Traditional Attrition'!$F49-1,'Traditional Attrition'!$A$7:$C$161,2,FALSE)*VLOOKUP(AB$1,'Attrition Modeling'!$L$15:$N$27,IF(AB$2-$F49&lt;=24,2,3),FALSE))*(1+Projection!AD$16)*(1+IF(AB181&gt;0,'Attrition Modeling'!$N$9,0))),0))</f>
        <v>0</v>
      </c>
      <c r="AC49" s="799">
        <f>IF(AC$2=$F49+1,Monthly!Y$21,IF(AC$2&gt;$F49+1,('Traditional Attrition'!AB49+AC181)*(1-IF(AC$2-$F49&lt;=12,SUMIFS('Attrition Modeling'!$D:$D,'Attrition Modeling'!$B:$B,'Traditional Attrition'!$E49,'Attrition Modeling'!$C:$C,'Traditional Attrition'!AC$1),VLOOKUP('Traditional Attrition'!AC$2-'Traditional Attrition'!$F49-1,'Traditional Attrition'!$A$7:$C$161,2,FALSE)*VLOOKUP(AC$1,'Attrition Modeling'!$L$15:$N$27,IF(AC$2-$F49&lt;=24,2,3),FALSE))*(1+Projection!AE$16)*(1+IF(AC181&gt;0,'Attrition Modeling'!$N$9,0))),0))</f>
        <v>0</v>
      </c>
      <c r="AD49" s="799">
        <f>IF(AD$2=$F49+1,Monthly!Z$21,IF(AD$2&gt;$F49+1,('Traditional Attrition'!AC49+AD181)*(1-IF(AD$2-$F49&lt;=12,SUMIFS('Attrition Modeling'!$D:$D,'Attrition Modeling'!$B:$B,'Traditional Attrition'!$E49,'Attrition Modeling'!$C:$C,'Traditional Attrition'!AD$1),VLOOKUP('Traditional Attrition'!AD$2-'Traditional Attrition'!$F49-1,'Traditional Attrition'!$A$7:$C$161,2,FALSE)*VLOOKUP(AD$1,'Attrition Modeling'!$L$15:$N$27,IF(AD$2-$F49&lt;=24,2,3),FALSE))*(1+Projection!AF$16)*(1+IF(AD181&gt;0,'Attrition Modeling'!$N$9,0))),0))</f>
        <v>0</v>
      </c>
      <c r="AE49" s="799">
        <f>IF(AE$2=$F49+1,Monthly!AA$21,IF(AE$2&gt;$F49+1,('Traditional Attrition'!AD49+AE181)*(1-IF(AE$2-$F49&lt;=12,SUMIFS('Attrition Modeling'!$D:$D,'Attrition Modeling'!$B:$B,'Traditional Attrition'!$E49,'Attrition Modeling'!$C:$C,'Traditional Attrition'!AE$1),VLOOKUP('Traditional Attrition'!AE$2-'Traditional Attrition'!$F49-1,'Traditional Attrition'!$A$7:$C$161,2,FALSE)*VLOOKUP(AE$1,'Attrition Modeling'!$L$15:$N$27,IF(AE$2-$F49&lt;=24,2,3),FALSE))*(1+Projection!AG$16)*(1+IF(AE181&gt;0,'Attrition Modeling'!$N$9,0))),0))</f>
        <v>0</v>
      </c>
      <c r="AF49" s="799">
        <f>IF(AF$2=$F49+1,Monthly!AB$21,IF(AF$2&gt;$F49+1,('Traditional Attrition'!AE49+AF181)*(1-IF(AF$2-$F49&lt;=12,SUMIFS('Attrition Modeling'!$D:$D,'Attrition Modeling'!$B:$B,'Traditional Attrition'!$E49,'Attrition Modeling'!$C:$C,'Traditional Attrition'!AF$1),VLOOKUP('Traditional Attrition'!AF$2-'Traditional Attrition'!$F49-1,'Traditional Attrition'!$A$7:$C$161,2,FALSE)*VLOOKUP(AF$1,'Attrition Modeling'!$L$15:$N$27,IF(AF$2-$F49&lt;=24,2,3),FALSE))*(1+Projection!AH$16)*(1+IF(AF181&gt;0,'Attrition Modeling'!$N$9,0))),0))</f>
        <v>0</v>
      </c>
      <c r="AG49" s="799">
        <f>IF(AG$2=$F49+1,Monthly!AC$21,IF(AG$2&gt;$F49+1,('Traditional Attrition'!AF49+AG181)*(1-IF(AG$2-$F49&lt;=12,SUMIFS('Attrition Modeling'!$D:$D,'Attrition Modeling'!$B:$B,'Traditional Attrition'!$E49,'Attrition Modeling'!$C:$C,'Traditional Attrition'!AG$1),VLOOKUP('Traditional Attrition'!AG$2-'Traditional Attrition'!$F49-1,'Traditional Attrition'!$A$7:$C$161,2,FALSE)*VLOOKUP(AG$1,'Attrition Modeling'!$L$15:$N$27,IF(AG$2-$F49&lt;=24,2,3),FALSE))*(1+Projection!AI$16)*(1+IF(AG181&gt;0,'Attrition Modeling'!$N$9,0))),0))</f>
        <v>0</v>
      </c>
      <c r="AH49" s="799">
        <f>IF(AH$2=$F49+1,Monthly!AD$21,IF(AH$2&gt;$F49+1,('Traditional Attrition'!AG49+AH181)*(1-IF(AH$2-$F49&lt;=12,SUMIFS('Attrition Modeling'!$D:$D,'Attrition Modeling'!$B:$B,'Traditional Attrition'!$E49,'Attrition Modeling'!$C:$C,'Traditional Attrition'!AH$1),VLOOKUP('Traditional Attrition'!AH$2-'Traditional Attrition'!$F49-1,'Traditional Attrition'!$A$7:$C$161,2,FALSE)*VLOOKUP(AH$1,'Attrition Modeling'!$L$15:$N$27,IF(AH$2-$F49&lt;=24,2,3),FALSE))*(1+Projection!AJ$16)*(1+IF(AH181&gt;0,'Attrition Modeling'!$N$9,0))),0))</f>
        <v>0</v>
      </c>
      <c r="AI49" s="799">
        <f>IF(AI$2=$F49+1,Monthly!AE$21,IF(AI$2&gt;$F49+1,('Traditional Attrition'!AH49+AI181)*(1-IF(AI$2-$F49&lt;=12,SUMIFS('Attrition Modeling'!$D:$D,'Attrition Modeling'!$B:$B,'Traditional Attrition'!$E49,'Attrition Modeling'!$C:$C,'Traditional Attrition'!AI$1),VLOOKUP('Traditional Attrition'!AI$2-'Traditional Attrition'!$F49-1,'Traditional Attrition'!$A$7:$C$161,2,FALSE)*VLOOKUP(AI$1,'Attrition Modeling'!$L$15:$N$27,IF(AI$2-$F49&lt;=24,2,3),FALSE))*(1+Projection!AK$16)*(1+IF(AI181&gt;0,'Attrition Modeling'!$N$9,0))),0))</f>
        <v>0</v>
      </c>
      <c r="AJ49" s="799">
        <f>IF(AJ$2=$F49+1,Monthly!AF$21,IF(AJ$2&gt;$F49+1,('Traditional Attrition'!AI49+AJ181)*(1-IF(AJ$2-$F49&lt;=12,SUMIFS('Attrition Modeling'!$D:$D,'Attrition Modeling'!$B:$B,'Traditional Attrition'!$E49,'Attrition Modeling'!$C:$C,'Traditional Attrition'!AJ$1),VLOOKUP('Traditional Attrition'!AJ$2-'Traditional Attrition'!$F49-1,'Traditional Attrition'!$A$7:$C$161,2,FALSE)*VLOOKUP(AJ$1,'Attrition Modeling'!$L$15:$N$27,IF(AJ$2-$F49&lt;=24,2,3),FALSE))*(1+Projection!AL$16)*(1+IF(AJ181&gt;0,'Attrition Modeling'!$N$9,0))),0))</f>
        <v>0</v>
      </c>
      <c r="AK49" s="799">
        <f>IF(AK$2=$F49+1,Monthly!AG$21,IF(AK$2&gt;$F49+1,('Traditional Attrition'!AJ49+AK181)*(1-IF(AK$2-$F49&lt;=12,SUMIFS('Attrition Modeling'!$D:$D,'Attrition Modeling'!$B:$B,'Traditional Attrition'!$E49,'Attrition Modeling'!$C:$C,'Traditional Attrition'!AK$1),VLOOKUP('Traditional Attrition'!AK$2-'Traditional Attrition'!$F49-1,'Traditional Attrition'!$A$7:$C$161,2,FALSE)*VLOOKUP(AK$1,'Attrition Modeling'!$L$15:$N$27,IF(AK$2-$F49&lt;=24,2,3),FALSE))*(1+Projection!AM$16)*(1+IF(AK181&gt;0,'Attrition Modeling'!$N$9,0))),0))</f>
        <v>0</v>
      </c>
      <c r="AL49" s="799">
        <f>IF(AL$2=$F49+1,Monthly!AH$21,IF(AL$2&gt;$F49+1,('Traditional Attrition'!AK49+AL181)*(1-IF(AL$2-$F49&lt;=12,SUMIFS('Attrition Modeling'!$D:$D,'Attrition Modeling'!$B:$B,'Traditional Attrition'!$E49,'Attrition Modeling'!$C:$C,'Traditional Attrition'!AL$1),VLOOKUP('Traditional Attrition'!AL$2-'Traditional Attrition'!$F49-1,'Traditional Attrition'!$A$7:$C$161,2,FALSE)*VLOOKUP(AL$1,'Attrition Modeling'!$L$15:$N$27,IF(AL$2-$F49&lt;=24,2,3),FALSE))*(1+Projection!AN$16)*(1+IF(AL181&gt;0,'Attrition Modeling'!$N$9,0))),0))</f>
        <v>0</v>
      </c>
      <c r="AM49" s="799">
        <f>IF(AM$2=$F49+1,Monthly!AI$21,IF(AM$2&gt;$F49+1,('Traditional Attrition'!AL49+AM181)*(1-IF(AM$2-$F49&lt;=12,SUMIFS('Attrition Modeling'!$D:$D,'Attrition Modeling'!$B:$B,'Traditional Attrition'!$E49,'Attrition Modeling'!$C:$C,'Traditional Attrition'!AM$1),VLOOKUP('Traditional Attrition'!AM$2-'Traditional Attrition'!$F49-1,'Traditional Attrition'!$A$7:$C$161,2,FALSE)*VLOOKUP(AM$1,'Attrition Modeling'!$L$15:$N$27,IF(AM$2-$F49&lt;=24,2,3),FALSE))*(1+Projection!AO$16)*(1+IF(AM181&gt;0,'Attrition Modeling'!$N$9,0))),0))</f>
        <v>0</v>
      </c>
      <c r="AN49" s="799">
        <f>IF(AN$2=$F49+1,Monthly!AJ$21,IF(AN$2&gt;$F49+1,('Traditional Attrition'!AM49+AN181)*(1-IF(AN$2-$F49&lt;=12,SUMIFS('Attrition Modeling'!$D:$D,'Attrition Modeling'!$B:$B,'Traditional Attrition'!$E49,'Attrition Modeling'!$C:$C,'Traditional Attrition'!AN$1),VLOOKUP('Traditional Attrition'!AN$2-'Traditional Attrition'!$F49-1,'Traditional Attrition'!$A$7:$C$161,2,FALSE)*VLOOKUP(AN$1,'Attrition Modeling'!$L$15:$N$27,IF(AN$2-$F49&lt;=24,2,3),FALSE))*(1+Projection!AP$16)*(1+IF(AN181&gt;0,'Attrition Modeling'!$N$9,0))),0))</f>
        <v>0</v>
      </c>
      <c r="AO49" s="799">
        <f>IF(AO$2=$F49+1,Monthly!AK$21,IF(AO$2&gt;$F49+1,('Traditional Attrition'!AN49+AO181)*(1-IF(AO$2-$F49&lt;=12,SUMIFS('Attrition Modeling'!$D:$D,'Attrition Modeling'!$B:$B,'Traditional Attrition'!$E49,'Attrition Modeling'!$C:$C,'Traditional Attrition'!AO$1),VLOOKUP('Traditional Attrition'!AO$2-'Traditional Attrition'!$F49-1,'Traditional Attrition'!$A$7:$C$161,2,FALSE)*VLOOKUP(AO$1,'Attrition Modeling'!$L$15:$N$27,IF(AO$2-$F49&lt;=24,2,3),FALSE))*(1+Projection!AQ$16)*(1+IF(AO181&gt;0,'Attrition Modeling'!$N$9,0))),0))</f>
        <v>0</v>
      </c>
      <c r="AP49" s="799">
        <f>IF(AP$2=$F49+1,Monthly!AL$21,IF(AP$2&gt;$F49+1,('Traditional Attrition'!AO49+AP181)*(1-IF(AP$2-$F49&lt;=12,SUMIFS('Attrition Modeling'!$D:$D,'Attrition Modeling'!$B:$B,'Traditional Attrition'!$E49,'Attrition Modeling'!$C:$C,'Traditional Attrition'!AP$1),VLOOKUP('Traditional Attrition'!AP$2-'Traditional Attrition'!$F49-1,'Traditional Attrition'!$A$7:$C$161,2,FALSE)*VLOOKUP(AP$1,'Attrition Modeling'!$L$15:$N$27,IF(AP$2-$F49&lt;=24,2,3),FALSE))*(1+Projection!AR$16)*(1+IF(AP181&gt;0,'Attrition Modeling'!$N$9,0))),0))</f>
        <v>0</v>
      </c>
      <c r="AQ49" s="799">
        <f>IF(AQ$2=$F49+1,Monthly!AM$21,IF(AQ$2&gt;$F49+1,('Traditional Attrition'!AP49+AQ181)*(1-IF(AQ$2-$F49&lt;=12,SUMIFS('Attrition Modeling'!$D:$D,'Attrition Modeling'!$B:$B,'Traditional Attrition'!$E49,'Attrition Modeling'!$C:$C,'Traditional Attrition'!AQ$1),VLOOKUP('Traditional Attrition'!AQ$2-'Traditional Attrition'!$F49-1,'Traditional Attrition'!$A$7:$C$161,2,FALSE)*VLOOKUP(AQ$1,'Attrition Modeling'!$L$15:$N$27,IF(AQ$2-$F49&lt;=24,2,3),FALSE))*(1+Projection!AS$16)*(1+IF(AQ181&gt;0,'Attrition Modeling'!$N$9,0))),0))</f>
        <v>0</v>
      </c>
      <c r="AR49" s="799">
        <f>IF(AR$2=$F49+1,Monthly!AN$21,IF(AR$2&gt;$F49+1,('Traditional Attrition'!AQ49+AR181)*(1-IF(AR$2-$F49&lt;=12,SUMIFS('Attrition Modeling'!$D:$D,'Attrition Modeling'!$B:$B,'Traditional Attrition'!$E49,'Attrition Modeling'!$C:$C,'Traditional Attrition'!AR$1),VLOOKUP('Traditional Attrition'!AR$2-'Traditional Attrition'!$F49-1,'Traditional Attrition'!$A$7:$C$161,2,FALSE)*VLOOKUP(AR$1,'Attrition Modeling'!$L$15:$N$27,IF(AR$2-$F49&lt;=24,2,3),FALSE))*(1+Projection!AT$16)*(1+IF(AR181&gt;0,'Attrition Modeling'!$N$9,0))),0))</f>
        <v>0</v>
      </c>
      <c r="AS49" s="799">
        <f>IF(AS$2=$F49+1,Monthly!AO$21,IF(AS$2&gt;$F49+1,('Traditional Attrition'!AR49+AS181)*(1-IF(AS$2-$F49&lt;=12,SUMIFS('Attrition Modeling'!$D:$D,'Attrition Modeling'!$B:$B,'Traditional Attrition'!$E49,'Attrition Modeling'!$C:$C,'Traditional Attrition'!AS$1),VLOOKUP('Traditional Attrition'!AS$2-'Traditional Attrition'!$F49-1,'Traditional Attrition'!$A$7:$C$161,2,FALSE)*VLOOKUP(AS$1,'Attrition Modeling'!$L$15:$N$27,IF(AS$2-$F49&lt;=24,2,3),FALSE))*(1+Projection!AU$16)*(1+IF(AS181&gt;0,'Attrition Modeling'!$N$9,0))),0))</f>
        <v>0</v>
      </c>
      <c r="AT49" s="799">
        <f>IF(AT$2=$F49+1,Monthly!AP$21,IF(AT$2&gt;$F49+1,('Traditional Attrition'!AS49+AT181)*(1-IF(AT$2-$F49&lt;=12,SUMIFS('Attrition Modeling'!$D:$D,'Attrition Modeling'!$B:$B,'Traditional Attrition'!$E49,'Attrition Modeling'!$C:$C,'Traditional Attrition'!AT$1),VLOOKUP('Traditional Attrition'!AT$2-'Traditional Attrition'!$F49-1,'Traditional Attrition'!$A$7:$C$161,2,FALSE)*VLOOKUP(AT$1,'Attrition Modeling'!$L$15:$N$27,IF(AT$2-$F49&lt;=24,2,3),FALSE))*(1+Projection!AV$16)*(1+IF(AT181&gt;0,'Attrition Modeling'!$N$9,0))),0))</f>
        <v>0</v>
      </c>
      <c r="AU49" s="799">
        <f>IF(AU$2=$F49+1,Monthly!AQ$21,IF(AU$2&gt;$F49+1,('Traditional Attrition'!AT49+AU181)*(1-IF(AU$2-$F49&lt;=12,SUMIFS('Attrition Modeling'!$D:$D,'Attrition Modeling'!$B:$B,'Traditional Attrition'!$E49,'Attrition Modeling'!$C:$C,'Traditional Attrition'!AU$1),VLOOKUP('Traditional Attrition'!AU$2-'Traditional Attrition'!$F49-1,'Traditional Attrition'!$A$7:$C$161,2,FALSE)*VLOOKUP(AU$1,'Attrition Modeling'!$L$15:$N$27,IF(AU$2-$F49&lt;=24,2,3),FALSE))*(1+Projection!AW$16)*(1+IF(AU181&gt;0,'Attrition Modeling'!$N$9,0))),0))</f>
        <v>0</v>
      </c>
      <c r="AV49" s="799">
        <f>IF(AV$2=$F49+1,Monthly!AR$21,IF(AV$2&gt;$F49+1,('Traditional Attrition'!AU49+AV181)*(1-IF(AV$2-$F49&lt;=12,SUMIFS('Attrition Modeling'!$D:$D,'Attrition Modeling'!$B:$B,'Traditional Attrition'!$E49,'Attrition Modeling'!$C:$C,'Traditional Attrition'!AV$1),VLOOKUP('Traditional Attrition'!AV$2-'Traditional Attrition'!$F49-1,'Traditional Attrition'!$A$7:$C$161,2,FALSE)*VLOOKUP(AV$1,'Attrition Modeling'!$L$15:$N$27,IF(AV$2-$F49&lt;=24,2,3),FALSE))*(1+Projection!AX$16)*(1+IF(AV181&gt;0,'Attrition Modeling'!$N$9,0))),0))</f>
        <v>0</v>
      </c>
      <c r="AW49" s="799">
        <f>IF(AW$2=$F49+1,Monthly!AS$21,IF(AW$2&gt;$F49+1,('Traditional Attrition'!AV49+AW181)*(1-IF(AW$2-$F49&lt;=12,SUMIFS('Attrition Modeling'!$D:$D,'Attrition Modeling'!$B:$B,'Traditional Attrition'!$E49,'Attrition Modeling'!$C:$C,'Traditional Attrition'!AW$1),VLOOKUP('Traditional Attrition'!AW$2-'Traditional Attrition'!$F49-1,'Traditional Attrition'!$A$7:$C$161,2,FALSE)*VLOOKUP(AW$1,'Attrition Modeling'!$L$15:$N$27,IF(AW$2-$F49&lt;=24,2,3),FALSE))*(1+Projection!AY$16)*(1+IF(AW181&gt;0,'Attrition Modeling'!$N$9,0))),0))</f>
        <v>0</v>
      </c>
      <c r="AX49" s="799">
        <f>IF(AX$2=$F49+1,Monthly!AT$21,IF(AX$2&gt;$F49+1,('Traditional Attrition'!AW49+AX181)*(1-IF(AX$2-$F49&lt;=12,SUMIFS('Attrition Modeling'!$D:$D,'Attrition Modeling'!$B:$B,'Traditional Attrition'!$E49,'Attrition Modeling'!$C:$C,'Traditional Attrition'!AX$1),VLOOKUP('Traditional Attrition'!AX$2-'Traditional Attrition'!$F49-1,'Traditional Attrition'!$A$7:$C$161,2,FALSE)*VLOOKUP(AX$1,'Attrition Modeling'!$L$15:$N$27,IF(AX$2-$F49&lt;=24,2,3),FALSE))*(1+Projection!AZ$16)*(1+IF(AX181&gt;0,'Attrition Modeling'!$N$9,0))),0))</f>
        <v>0</v>
      </c>
      <c r="AY49" s="799">
        <f>IF(AY$2=$F49+1,Monthly!AU$21,IF(AY$2&gt;$F49+1,('Traditional Attrition'!AX49+AY181)*(1-IF(AY$2-$F49&lt;=12,SUMIFS('Attrition Modeling'!$D:$D,'Attrition Modeling'!$B:$B,'Traditional Attrition'!$E49,'Attrition Modeling'!$C:$C,'Traditional Attrition'!AY$1),VLOOKUP('Traditional Attrition'!AY$2-'Traditional Attrition'!$F49-1,'Traditional Attrition'!$A$7:$C$161,2,FALSE)*VLOOKUP(AY$1,'Attrition Modeling'!$L$15:$N$27,IF(AY$2-$F49&lt;=24,2,3),FALSE))*(1+Projection!BA$16)*(1+IF(AY181&gt;0,'Attrition Modeling'!$N$9,0))),0))</f>
        <v>0</v>
      </c>
      <c r="AZ49" s="799">
        <f>IF(AZ$2=$F49+1,Monthly!AV$21,IF(AZ$2&gt;$F49+1,('Traditional Attrition'!AY49+AZ181)*(1-IF(AZ$2-$F49&lt;=12,SUMIFS('Attrition Modeling'!$D:$D,'Attrition Modeling'!$B:$B,'Traditional Attrition'!$E49,'Attrition Modeling'!$C:$C,'Traditional Attrition'!AZ$1),VLOOKUP('Traditional Attrition'!AZ$2-'Traditional Attrition'!$F49-1,'Traditional Attrition'!$A$7:$C$161,2,FALSE)*VLOOKUP(AZ$1,'Attrition Modeling'!$L$15:$N$27,IF(AZ$2-$F49&lt;=24,2,3),FALSE))*(1+Projection!BB$16)*(1+IF(AZ181&gt;0,'Attrition Modeling'!$N$9,0))),0))</f>
        <v>0</v>
      </c>
      <c r="BA49" s="799">
        <f>IF(BA$2=$F49+1,Monthly!AW$21,IF(BA$2&gt;$F49+1,('Traditional Attrition'!AZ49+BA181)*(1-IF(BA$2-$F49&lt;=12,SUMIFS('Attrition Modeling'!$D:$D,'Attrition Modeling'!$B:$B,'Traditional Attrition'!$E49,'Attrition Modeling'!$C:$C,'Traditional Attrition'!BA$1),VLOOKUP('Traditional Attrition'!BA$2-'Traditional Attrition'!$F49-1,'Traditional Attrition'!$A$7:$C$161,2,FALSE)*VLOOKUP(BA$1,'Attrition Modeling'!$L$15:$N$27,IF(BA$2-$F49&lt;=24,2,3),FALSE))*(1+Projection!BC$16)*(1+IF(BA181&gt;0,'Attrition Modeling'!$N$9,0))),0))</f>
        <v>0</v>
      </c>
      <c r="BB49" s="799">
        <f>IF(BB$2=$F49+1,Monthly!AX$21,IF(BB$2&gt;$F49+1,('Traditional Attrition'!BA49+BB181)*(1-IF(BB$2-$F49&lt;=12,SUMIFS('Attrition Modeling'!$D:$D,'Attrition Modeling'!$B:$B,'Traditional Attrition'!$E49,'Attrition Modeling'!$C:$C,'Traditional Attrition'!BB$1),VLOOKUP('Traditional Attrition'!BB$2-'Traditional Attrition'!$F49-1,'Traditional Attrition'!$A$7:$C$161,2,FALSE)*VLOOKUP(BB$1,'Attrition Modeling'!$L$15:$N$27,IF(BB$2-$F49&lt;=24,2,3),FALSE))*(1+Projection!BD$16)*(1+IF(BB181&gt;0,'Attrition Modeling'!$N$9,0))),0))</f>
        <v>8461.3939031567879</v>
      </c>
      <c r="BC49" s="799">
        <f>IF(BC$2=$F49+1,Monthly!AY$21,IF(BC$2&gt;$F49+1,('Traditional Attrition'!BB49+BC181)*(1-IF(BC$2-$F49&lt;=12,SUMIFS('Attrition Modeling'!$D:$D,'Attrition Modeling'!$B:$B,'Traditional Attrition'!$E49,'Attrition Modeling'!$C:$C,'Traditional Attrition'!BC$1),VLOOKUP('Traditional Attrition'!BC$2-'Traditional Attrition'!$F49-1,'Traditional Attrition'!$A$7:$C$161,2,FALSE)*VLOOKUP(BC$1,'Attrition Modeling'!$L$15:$N$27,IF(BC$2-$F49&lt;=24,2,3),FALSE))*(1+Projection!BE$16)*(1+IF(BC181&gt;0,'Attrition Modeling'!$N$9,0))),0))</f>
        <v>7603.62432692122</v>
      </c>
      <c r="BD49" s="799">
        <f>IF(BD$2=$F49+1,Monthly!AZ$21,IF(BD$2&gt;$F49+1,('Traditional Attrition'!BC49+BD181)*(1-IF(BD$2-$F49&lt;=12,SUMIFS('Attrition Modeling'!$D:$D,'Attrition Modeling'!$B:$B,'Traditional Attrition'!$E49,'Attrition Modeling'!$C:$C,'Traditional Attrition'!BD$1),VLOOKUP('Traditional Attrition'!BD$2-'Traditional Attrition'!$F49-1,'Traditional Attrition'!$A$7:$C$161,2,FALSE)*VLOOKUP(BD$1,'Attrition Modeling'!$L$15:$N$27,IF(BD$2-$F49&lt;=24,2,3),FALSE))*(1+Projection!BF$16)*(1+IF(BD181&gt;0,'Attrition Modeling'!$N$9,0))),0))</f>
        <v>7002.0288397336735</v>
      </c>
      <c r="BE49" s="799">
        <f>IF(BE$2=$F49+1,Monthly!BA$21,IF(BE$2&gt;$F49+1,('Traditional Attrition'!BD49+BE181)*(1-IF(BE$2-$F49&lt;=12,SUMIFS('Attrition Modeling'!$D:$D,'Attrition Modeling'!$B:$B,'Traditional Attrition'!$E49,'Attrition Modeling'!$C:$C,'Traditional Attrition'!BE$1),VLOOKUP('Traditional Attrition'!BE$2-'Traditional Attrition'!$F49-1,'Traditional Attrition'!$A$7:$C$161,2,FALSE)*VLOOKUP(BE$1,'Attrition Modeling'!$L$15:$N$27,IF(BE$2-$F49&lt;=24,2,3),FALSE))*(1+Projection!BG$16)*(1+IF(BE181&gt;0,'Attrition Modeling'!$N$9,0))),0))</f>
        <v>6439.0431744862226</v>
      </c>
      <c r="BF49" s="799">
        <f>IF(BF$2=$F49+1,Monthly!BB$21,IF(BF$2&gt;$F49+1,('Traditional Attrition'!BE49+BF181)*(1-IF(BF$2-$F49&lt;=12,SUMIFS('Attrition Modeling'!$D:$D,'Attrition Modeling'!$B:$B,'Traditional Attrition'!$E49,'Attrition Modeling'!$C:$C,'Traditional Attrition'!BF$1),VLOOKUP('Traditional Attrition'!BF$2-'Traditional Attrition'!$F49-1,'Traditional Attrition'!$A$7:$C$161,2,FALSE)*VLOOKUP(BF$1,'Attrition Modeling'!$L$15:$N$27,IF(BF$2-$F49&lt;=24,2,3),FALSE))*(1+Projection!BH$16)*(1+IF(BF181&gt;0,'Attrition Modeling'!$N$9,0))),0))</f>
        <v>5902.2679227296612</v>
      </c>
      <c r="BG49" s="799">
        <f>IF(BG$2=$F49+1,Monthly!BC$21,IF(BG$2&gt;$F49+1,('Traditional Attrition'!BF49+BG181)*(1-IF(BG$2-$F49&lt;=12,SUMIFS('Attrition Modeling'!$D:$D,'Attrition Modeling'!$B:$B,'Traditional Attrition'!$E49,'Attrition Modeling'!$C:$C,'Traditional Attrition'!BG$1),VLOOKUP('Traditional Attrition'!BG$2-'Traditional Attrition'!$F49-1,'Traditional Attrition'!$A$7:$C$161,2,FALSE)*VLOOKUP(BG$1,'Attrition Modeling'!$L$15:$N$27,IF(BG$2-$F49&lt;=24,2,3),FALSE))*(1+Projection!BI$16)*(1+IF(BG181&gt;0,'Attrition Modeling'!$N$9,0))),0))</f>
        <v>5771.6359762299944</v>
      </c>
      <c r="BH49" s="799">
        <f>IF(BH$2=$F49+1,Monthly!BD$21,IF(BH$2&gt;$F49+1,('Traditional Attrition'!BG49+BH181)*(1-IF(BH$2-$F49&lt;=12,SUMIFS('Attrition Modeling'!$D:$D,'Attrition Modeling'!$B:$B,'Traditional Attrition'!$E49,'Attrition Modeling'!$C:$C,'Traditional Attrition'!BH$1),VLOOKUP('Traditional Attrition'!BH$2-'Traditional Attrition'!$F49-1,'Traditional Attrition'!$A$7:$C$161,2,FALSE)*VLOOKUP(BH$1,'Attrition Modeling'!$L$15:$N$27,IF(BH$2-$F49&lt;=24,2,3),FALSE))*(1+Projection!BJ$16)*(1+IF(BH181&gt;0,'Attrition Modeling'!$N$9,0))),0))</f>
        <v>5324.161154425602</v>
      </c>
      <c r="BI49" s="799">
        <f>IF(BI$2=$F49+1,Monthly!BE$21,IF(BI$2&gt;$F49+1,('Traditional Attrition'!BH49+BI181)*(1-IF(BI$2-$F49&lt;=12,SUMIFS('Attrition Modeling'!$D:$D,'Attrition Modeling'!$B:$B,'Traditional Attrition'!$E49,'Attrition Modeling'!$C:$C,'Traditional Attrition'!BI$1),VLOOKUP('Traditional Attrition'!BI$2-'Traditional Attrition'!$F49-1,'Traditional Attrition'!$A$7:$C$161,2,FALSE)*VLOOKUP(BI$1,'Attrition Modeling'!$L$15:$N$27,IF(BI$2-$F49&lt;=24,2,3),FALSE))*(1+Projection!BK$16)*(1+IF(BI181&gt;0,'Attrition Modeling'!$N$9,0))),0))</f>
        <v>4961.9650730498597</v>
      </c>
      <c r="BJ49" s="799">
        <f>IF(BJ$2=$F49+1,Monthly!BF$21,IF(BJ$2&gt;$F49+1,('Traditional Attrition'!BI49+BJ181)*(1-IF(BJ$2-$F49&lt;=12,SUMIFS('Attrition Modeling'!$D:$D,'Attrition Modeling'!$B:$B,'Traditional Attrition'!$E49,'Attrition Modeling'!$C:$C,'Traditional Attrition'!BJ$1),VLOOKUP('Traditional Attrition'!BJ$2-'Traditional Attrition'!$F49-1,'Traditional Attrition'!$A$7:$C$161,2,FALSE)*VLOOKUP(BJ$1,'Attrition Modeling'!$L$15:$N$27,IF(BJ$2-$F49&lt;=24,2,3),FALSE))*(1+Projection!BL$16)*(1+IF(BJ181&gt;0,'Attrition Modeling'!$N$9,0))),0))</f>
        <v>4645.1921311540409</v>
      </c>
      <c r="BK49" s="799">
        <f>IF(BK$2=$F49+1,Monthly!BG$21,IF(BK$2&gt;$F49+1,('Traditional Attrition'!BJ49+BK181)*(1-IF(BK$2-$F49&lt;=12,SUMIFS('Attrition Modeling'!$D:$D,'Attrition Modeling'!$B:$B,'Traditional Attrition'!$E49,'Attrition Modeling'!$C:$C,'Traditional Attrition'!BK$1),VLOOKUP('Traditional Attrition'!BK$2-'Traditional Attrition'!$F49-1,'Traditional Attrition'!$A$7:$C$161,2,FALSE)*VLOOKUP(BK$1,'Attrition Modeling'!$L$15:$N$27,IF(BK$2-$F49&lt;=24,2,3),FALSE))*(1+Projection!BM$16)*(1+IF(BK181&gt;0,'Attrition Modeling'!$N$9,0))),0))</f>
        <v>4338.8822626317369</v>
      </c>
      <c r="BL49" s="799">
        <f>IF(BL$2=$F49+1,Monthly!BH$21,IF(BL$2&gt;$F49+1,('Traditional Attrition'!BK49+BL181)*(1-IF(BL$2-$F49&lt;=12,SUMIFS('Attrition Modeling'!$D:$D,'Attrition Modeling'!$B:$B,'Traditional Attrition'!$E49,'Attrition Modeling'!$C:$C,'Traditional Attrition'!BL$1),VLOOKUP('Traditional Attrition'!BL$2-'Traditional Attrition'!$F49-1,'Traditional Attrition'!$A$7:$C$161,2,FALSE)*VLOOKUP(BL$1,'Attrition Modeling'!$L$15:$N$27,IF(BL$2-$F49&lt;=24,2,3),FALSE))*(1+Projection!BN$16)*(1+IF(BL181&gt;0,'Attrition Modeling'!$N$9,0))),0))</f>
        <v>4059.1962198184124</v>
      </c>
      <c r="BM49" s="799">
        <f>IF(BM$2=$F49+1,Monthly!BI$21,IF(BM$2&gt;$F49+1,('Traditional Attrition'!BL49+BM181)*(1-IF(BM$2-$F49&lt;=12,SUMIFS('Attrition Modeling'!$D:$D,'Attrition Modeling'!$B:$B,'Traditional Attrition'!$E49,'Attrition Modeling'!$C:$C,'Traditional Attrition'!BM$1),VLOOKUP('Traditional Attrition'!BM$2-'Traditional Attrition'!$F49-1,'Traditional Attrition'!$A$7:$C$161,2,FALSE)*VLOOKUP(BM$1,'Attrition Modeling'!$L$15:$N$27,IF(BM$2-$F49&lt;=24,2,3),FALSE))*(1+Projection!BO$16)*(1+IF(BM181&gt;0,'Attrition Modeling'!$N$9,0))),0))</f>
        <v>3918.9417354563052</v>
      </c>
      <c r="BN49" s="799">
        <f>IF(BN$2=$F49+1,Monthly!BJ$21,IF(BN$2&gt;$F49+1,('Traditional Attrition'!BM49+BN181)*(1-IF(BN$2-$F49&lt;=12,SUMIFS('Attrition Modeling'!$D:$D,'Attrition Modeling'!$B:$B,'Traditional Attrition'!$E49,'Attrition Modeling'!$C:$C,'Traditional Attrition'!BN$1),VLOOKUP('Traditional Attrition'!BN$2-'Traditional Attrition'!$F49-1,'Traditional Attrition'!$A$7:$C$161,2,FALSE)*VLOOKUP(BN$1,'Attrition Modeling'!$L$15:$N$27,IF(BN$2-$F49&lt;=24,2,3),FALSE))*(1+Projection!BP$16)*(1+IF(BN181&gt;0,'Attrition Modeling'!$N$9,0))),0))</f>
        <v>3705.9141100605898</v>
      </c>
      <c r="BO49" s="799">
        <f>IF(BO$2=$F49+1,Monthly!BK$21,IF(BO$2&gt;$F49+1,('Traditional Attrition'!BN49+BO181)*(1-IF(BO$2-$F49&lt;=12,SUMIFS('Attrition Modeling'!$D:$D,'Attrition Modeling'!$B:$B,'Traditional Attrition'!$E49,'Attrition Modeling'!$C:$C,'Traditional Attrition'!BO$1),VLOOKUP('Traditional Attrition'!BO$2-'Traditional Attrition'!$F49-1,'Traditional Attrition'!$A$7:$C$161,2,FALSE)*VLOOKUP(BO$1,'Attrition Modeling'!$L$15:$N$27,IF(BO$2-$F49&lt;=24,2,3),FALSE))*(1+Projection!BV$16)*(1+IF(BO181&gt;0,'Attrition Modeling'!$N$9,0))),0))</f>
        <v>3521.9790612973306</v>
      </c>
      <c r="BP49" s="799">
        <f>IF(BP$2=$F49+1,Monthly!BL$21,IF(BP$2&gt;$F49+1,('Traditional Attrition'!BO49+BP181)*(1-IF(BP$2-$F49&lt;=12,SUMIFS('Attrition Modeling'!$D:$D,'Attrition Modeling'!$B:$B,'Traditional Attrition'!$E49,'Attrition Modeling'!$C:$C,'Traditional Attrition'!BP$1),VLOOKUP('Traditional Attrition'!BP$2-'Traditional Attrition'!$F49-1,'Traditional Attrition'!$A$7:$C$161,2,FALSE)*VLOOKUP(BP$1,'Attrition Modeling'!$L$15:$N$27,IF(BP$2-$F49&lt;=24,2,3),FALSE))*(1+Projection!BW$16)*(1+IF(BP181&gt;0,'Attrition Modeling'!$N$9,0))),0))</f>
        <v>3355.5825282476053</v>
      </c>
      <c r="BQ49" s="799">
        <f>IF(BQ$2=$F49+1,Monthly!BM$21,IF(BQ$2&gt;$F49+1,('Traditional Attrition'!BP49+BQ181)*(1-IF(BQ$2-$F49&lt;=12,SUMIFS('Attrition Modeling'!$D:$D,'Attrition Modeling'!$B:$B,'Traditional Attrition'!$E49,'Attrition Modeling'!$C:$C,'Traditional Attrition'!BQ$1),VLOOKUP('Traditional Attrition'!BQ$2-'Traditional Attrition'!$F49-1,'Traditional Attrition'!$A$7:$C$161,2,FALSE)*VLOOKUP(BQ$1,'Attrition Modeling'!$L$15:$N$27,IF(BQ$2-$F49&lt;=24,2,3),FALSE))*(1+Projection!BX$16)*(1+IF(BQ181&gt;0,'Attrition Modeling'!$N$9,0))),0))</f>
        <v>3217.7914465259137</v>
      </c>
      <c r="BR49" s="799">
        <f>IF(BR$2=$F49+1,Monthly!BN$21,IF(BR$2&gt;$F49+1,('Traditional Attrition'!BQ49+BR181)*(1-IF(BR$2-$F49&lt;=12,SUMIFS('Attrition Modeling'!$D:$D,'Attrition Modeling'!$B:$B,'Traditional Attrition'!$E49,'Attrition Modeling'!$C:$C,'Traditional Attrition'!BR$1),VLOOKUP('Traditional Attrition'!BR$2-'Traditional Attrition'!$F49-1,'Traditional Attrition'!$A$7:$C$161,2,FALSE)*VLOOKUP(BR$1,'Attrition Modeling'!$L$15:$N$27,IF(BR$2-$F49&lt;=24,2,3),FALSE))*(1+Projection!BY$16)*(1+IF(BR181&gt;0,'Attrition Modeling'!$N$9,0))),0))</f>
        <v>3078.186734343803</v>
      </c>
      <c r="BS49" s="799">
        <f>IF(BS$2=$F49+1,Monthly!BO$21,IF(BS$2&gt;$F49+1,('Traditional Attrition'!BR49+BS181)*(1-IF(BS$2-$F49&lt;=12,SUMIFS('Attrition Modeling'!$D:$D,'Attrition Modeling'!$B:$B,'Traditional Attrition'!$E49,'Attrition Modeling'!$C:$C,'Traditional Attrition'!BS$1),VLOOKUP('Traditional Attrition'!BS$2-'Traditional Attrition'!$F49-1,'Traditional Attrition'!$A$7:$C$161,2,FALSE)*VLOOKUP(BS$1,'Attrition Modeling'!$L$15:$N$27,IF(BS$2-$F49&lt;=24,2,3),FALSE))*(1+Projection!BZ$16)*(1+IF(BS181&gt;0,'Attrition Modeling'!$N$9,0))),0))</f>
        <v>3205.2719893931785</v>
      </c>
      <c r="BT49" s="799">
        <f>IF(BT$2=$F49+1,Monthly!#REF!,IF(BT$2&gt;$F49+1,('Traditional Attrition'!BS49+BT181)*(1-IF(BT$2-$F49&lt;=12,SUMIFS('Attrition Modeling'!$D:$D,'Attrition Modeling'!$B:$B,'Traditional Attrition'!$E49,'Attrition Modeling'!$C:$C,'Traditional Attrition'!BT$1),VLOOKUP('Traditional Attrition'!BT$2-'Traditional Attrition'!$F49-1,'Traditional Attrition'!$A$7:$C$161,2,FALSE)*VLOOKUP(BT$1,'Attrition Modeling'!$L$15:$N$27,IF(BT$2-$F49&lt;=24,2,3),FALSE))*(1+Projection!CA$16)*(1+IF(BT181&gt;0,'Attrition Modeling'!$N$9,0))),0))</f>
        <v>3075.7218175957496</v>
      </c>
      <c r="BU49" s="799">
        <f>IF(BU$2=$F49+1,Monthly!#REF!,IF(BU$2&gt;$F49+1,('Traditional Attrition'!BT49+BU181)*(1-IF(BU$2-$F49&lt;=12,SUMIFS('Attrition Modeling'!$D:$D,'Attrition Modeling'!$B:$B,'Traditional Attrition'!$E49,'Attrition Modeling'!$C:$C,'Traditional Attrition'!BU$1),VLOOKUP('Traditional Attrition'!BU$2-'Traditional Attrition'!$F49-1,'Traditional Attrition'!$A$7:$C$161,2,FALSE)*VLOOKUP(BU$1,'Attrition Modeling'!$L$15:$N$27,IF(BU$2-$F49&lt;=24,2,3),FALSE))*(1+Projection!CB$16)*(1+IF(BU181&gt;0,'Attrition Modeling'!$N$9,0))),0))</f>
        <v>2941.8339310306701</v>
      </c>
    </row>
    <row r="50" spans="1:73" ht="14.25" customHeight="1" x14ac:dyDescent="0.2">
      <c r="A50" s="9">
        <v>43</v>
      </c>
      <c r="B50" s="25">
        <f>MAX('Attrition Modeling'!H47,$C$3)*(1-Summary!$C$20)</f>
        <v>2.7468891712509644E-2</v>
      </c>
      <c r="C50" s="24" t="e">
        <f t="shared" si="4"/>
        <v>#DIV/0!</v>
      </c>
      <c r="E50" s="11">
        <f t="shared" si="2"/>
        <v>11</v>
      </c>
      <c r="F50" s="11">
        <f t="shared" si="3"/>
        <v>47</v>
      </c>
      <c r="G50" s="799"/>
      <c r="H50" s="799">
        <f>IF(H$2=$F50+1,Monthly!D$21,IF(H$2&gt;$F50+1,('Traditional Attrition'!G50+H182)*(1-IF(H$2-$F50&lt;=12,SUMIFS('Attrition Modeling'!$D:$D,'Attrition Modeling'!$B:$B,'Traditional Attrition'!$E50,'Attrition Modeling'!$C:$C,'Traditional Attrition'!H$1),VLOOKUP('Traditional Attrition'!H$2-'Traditional Attrition'!$F50-1,'Traditional Attrition'!$A$7:$C$161,2,FALSE)*VLOOKUP(H$1,'Attrition Modeling'!$L$15:$N$27,IF(H$2-$F50&lt;=24,2,3),FALSE))*(1+Projection!J$16)*(1+IF(H182&gt;0,'Attrition Modeling'!$N$9,0))),0))</f>
        <v>0</v>
      </c>
      <c r="I50" s="799">
        <f>IF(I$2=$F50+1,Monthly!E$21,IF(I$2&gt;$F50+1,('Traditional Attrition'!H50+I182)*(1-IF(I$2-$F50&lt;=12,SUMIFS('Attrition Modeling'!$D:$D,'Attrition Modeling'!$B:$B,'Traditional Attrition'!$E50,'Attrition Modeling'!$C:$C,'Traditional Attrition'!I$1),VLOOKUP('Traditional Attrition'!I$2-'Traditional Attrition'!$F50-1,'Traditional Attrition'!$A$7:$C$161,2,FALSE)*VLOOKUP(I$1,'Attrition Modeling'!$L$15:$N$27,IF(I$2-$F50&lt;=24,2,3),FALSE))*(1+Projection!K$16)*(1+IF(I182&gt;0,'Attrition Modeling'!$N$9,0))),0))</f>
        <v>0</v>
      </c>
      <c r="J50" s="799">
        <f>IF(J$2=$F50+1,Monthly!F$21,IF(J$2&gt;$F50+1,('Traditional Attrition'!I50+J182)*(1-IF(J$2-$F50&lt;=12,SUMIFS('Attrition Modeling'!$D:$D,'Attrition Modeling'!$B:$B,'Traditional Attrition'!$E50,'Attrition Modeling'!$C:$C,'Traditional Attrition'!J$1),VLOOKUP('Traditional Attrition'!J$2-'Traditional Attrition'!$F50-1,'Traditional Attrition'!$A$7:$C$161,2,FALSE)*VLOOKUP(J$1,'Attrition Modeling'!$L$15:$N$27,IF(J$2-$F50&lt;=24,2,3),FALSE))*(1+Projection!L$16)*(1+IF(J182&gt;0,'Attrition Modeling'!$N$9,0))),0))</f>
        <v>0</v>
      </c>
      <c r="K50" s="799">
        <f>IF(K$2=$F50+1,Monthly!G$21,IF(K$2&gt;$F50+1,('Traditional Attrition'!J50+K182)*(1-IF(K$2-$F50&lt;=12,SUMIFS('Attrition Modeling'!$D:$D,'Attrition Modeling'!$B:$B,'Traditional Attrition'!$E50,'Attrition Modeling'!$C:$C,'Traditional Attrition'!K$1),VLOOKUP('Traditional Attrition'!K$2-'Traditional Attrition'!$F50-1,'Traditional Attrition'!$A$7:$C$161,2,FALSE)*VLOOKUP(K$1,'Attrition Modeling'!$L$15:$N$27,IF(K$2-$F50&lt;=24,2,3),FALSE))*(1+Projection!M$16)*(1+IF(K182&gt;0,'Attrition Modeling'!$N$9,0))),0))</f>
        <v>0</v>
      </c>
      <c r="L50" s="799">
        <f>IF(L$2=$F50+1,Monthly!H$21,IF(L$2&gt;$F50+1,('Traditional Attrition'!K50+L182)*(1-IF(L$2-$F50&lt;=12,SUMIFS('Attrition Modeling'!$D:$D,'Attrition Modeling'!$B:$B,'Traditional Attrition'!$E50,'Attrition Modeling'!$C:$C,'Traditional Attrition'!L$1),VLOOKUP('Traditional Attrition'!L$2-'Traditional Attrition'!$F50-1,'Traditional Attrition'!$A$7:$C$161,2,FALSE)*VLOOKUP(L$1,'Attrition Modeling'!$L$15:$N$27,IF(L$2-$F50&lt;=24,2,3),FALSE))*(1+Projection!N$16)*(1+IF(L182&gt;0,'Attrition Modeling'!$N$9,0))),0))</f>
        <v>0</v>
      </c>
      <c r="M50" s="799">
        <f>IF(M$2=$F50+1,Monthly!I$21,IF(M$2&gt;$F50+1,('Traditional Attrition'!L50+M182)*(1-IF(M$2-$F50&lt;=12,SUMIFS('Attrition Modeling'!$D:$D,'Attrition Modeling'!$B:$B,'Traditional Attrition'!$E50,'Attrition Modeling'!$C:$C,'Traditional Attrition'!M$1),VLOOKUP('Traditional Attrition'!M$2-'Traditional Attrition'!$F50-1,'Traditional Attrition'!$A$7:$C$161,2,FALSE)*VLOOKUP(M$1,'Attrition Modeling'!$L$15:$N$27,IF(M$2-$F50&lt;=24,2,3),FALSE))*(1+Projection!O$16)*(1+IF(M182&gt;0,'Attrition Modeling'!$N$9,0))),0))</f>
        <v>0</v>
      </c>
      <c r="N50" s="799">
        <f>IF(N$2=$F50+1,Monthly!J$21,IF(N$2&gt;$F50+1,('Traditional Attrition'!M50+N182)*(1-IF(N$2-$F50&lt;=12,SUMIFS('Attrition Modeling'!$D:$D,'Attrition Modeling'!$B:$B,'Traditional Attrition'!$E50,'Attrition Modeling'!$C:$C,'Traditional Attrition'!N$1),VLOOKUP('Traditional Attrition'!N$2-'Traditional Attrition'!$F50-1,'Traditional Attrition'!$A$7:$C$161,2,FALSE)*VLOOKUP(N$1,'Attrition Modeling'!$L$15:$N$27,IF(N$2-$F50&lt;=24,2,3),FALSE))*(1+Projection!P$16)*(1+IF(N182&gt;0,'Attrition Modeling'!$N$9,0))),0))</f>
        <v>0</v>
      </c>
      <c r="O50" s="799">
        <f>IF(O$2=$F50+1,Monthly!K$21,IF(O$2&gt;$F50+1,('Traditional Attrition'!N50+O182)*(1-IF(O$2-$F50&lt;=12,SUMIFS('Attrition Modeling'!$D:$D,'Attrition Modeling'!$B:$B,'Traditional Attrition'!$E50,'Attrition Modeling'!$C:$C,'Traditional Attrition'!O$1),VLOOKUP('Traditional Attrition'!O$2-'Traditional Attrition'!$F50-1,'Traditional Attrition'!$A$7:$C$161,2,FALSE)*VLOOKUP(O$1,'Attrition Modeling'!$L$15:$N$27,IF(O$2-$F50&lt;=24,2,3),FALSE))*(1+Projection!Q$16)*(1+IF(O182&gt;0,'Attrition Modeling'!$N$9,0))),0))</f>
        <v>0</v>
      </c>
      <c r="P50" s="799">
        <f>IF(P$2=$F50+1,Monthly!L$21,IF(P$2&gt;$F50+1,('Traditional Attrition'!O50+P182)*(1-IF(P$2-$F50&lt;=12,SUMIFS('Attrition Modeling'!$D:$D,'Attrition Modeling'!$B:$B,'Traditional Attrition'!$E50,'Attrition Modeling'!$C:$C,'Traditional Attrition'!P$1),VLOOKUP('Traditional Attrition'!P$2-'Traditional Attrition'!$F50-1,'Traditional Attrition'!$A$7:$C$161,2,FALSE)*VLOOKUP(P$1,'Attrition Modeling'!$L$15:$N$27,IF(P$2-$F50&lt;=24,2,3),FALSE))*(1+Projection!R$16)*(1+IF(P182&gt;0,'Attrition Modeling'!$N$9,0))),0))</f>
        <v>0</v>
      </c>
      <c r="Q50" s="799">
        <f>IF(Q$2=$F50+1,Monthly!M$21,IF(Q$2&gt;$F50+1,('Traditional Attrition'!P50+Q182)*(1-IF(Q$2-$F50&lt;=12,SUMIFS('Attrition Modeling'!$D:$D,'Attrition Modeling'!$B:$B,'Traditional Attrition'!$E50,'Attrition Modeling'!$C:$C,'Traditional Attrition'!Q$1),VLOOKUP('Traditional Attrition'!Q$2-'Traditional Attrition'!$F50-1,'Traditional Attrition'!$A$7:$C$161,2,FALSE)*VLOOKUP(Q$1,'Attrition Modeling'!$L$15:$N$27,IF(Q$2-$F50&lt;=24,2,3),FALSE))*(1+Projection!S$16)*(1+IF(Q182&gt;0,'Attrition Modeling'!$N$9,0))),0))</f>
        <v>0</v>
      </c>
      <c r="R50" s="799">
        <f>IF(R$2=$F50+1,Monthly!N$21,IF(R$2&gt;$F50+1,('Traditional Attrition'!Q50+R182)*(1-IF(R$2-$F50&lt;=12,SUMIFS('Attrition Modeling'!$D:$D,'Attrition Modeling'!$B:$B,'Traditional Attrition'!$E50,'Attrition Modeling'!$C:$C,'Traditional Attrition'!R$1),VLOOKUP('Traditional Attrition'!R$2-'Traditional Attrition'!$F50-1,'Traditional Attrition'!$A$7:$C$161,2,FALSE)*VLOOKUP(R$1,'Attrition Modeling'!$L$15:$N$27,IF(R$2-$F50&lt;=24,2,3),FALSE))*(1+Projection!T$16)*(1+IF(R182&gt;0,'Attrition Modeling'!$N$9,0))),0))</f>
        <v>0</v>
      </c>
      <c r="S50" s="799">
        <f>IF(S$2=$F50+1,Monthly!O$21,IF(S$2&gt;$F50+1,('Traditional Attrition'!R50+S182)*(1-IF(S$2-$F50&lt;=12,SUMIFS('Attrition Modeling'!$D:$D,'Attrition Modeling'!$B:$B,'Traditional Attrition'!$E50,'Attrition Modeling'!$C:$C,'Traditional Attrition'!S$1),VLOOKUP('Traditional Attrition'!S$2-'Traditional Attrition'!$F50-1,'Traditional Attrition'!$A$7:$C$161,2,FALSE)*VLOOKUP(S$1,'Attrition Modeling'!$L$15:$N$27,IF(S$2-$F50&lt;=24,2,3),FALSE))*(1+Projection!U$16)*(1+IF(S182&gt;0,'Attrition Modeling'!$N$9,0))),0))</f>
        <v>0</v>
      </c>
      <c r="T50" s="799">
        <f>IF(T$2=$F50+1,Monthly!P$21,IF(T$2&gt;$F50+1,('Traditional Attrition'!S50+T182)*(1-IF(T$2-$F50&lt;=12,SUMIFS('Attrition Modeling'!$D:$D,'Attrition Modeling'!$B:$B,'Traditional Attrition'!$E50,'Attrition Modeling'!$C:$C,'Traditional Attrition'!T$1),VLOOKUP('Traditional Attrition'!T$2-'Traditional Attrition'!$F50-1,'Traditional Attrition'!$A$7:$C$161,2,FALSE)*VLOOKUP(T$1,'Attrition Modeling'!$L$15:$N$27,IF(T$2-$F50&lt;=24,2,3),FALSE))*(1+Projection!V$16)*(1+IF(T182&gt;0,'Attrition Modeling'!$N$9,0))),0))</f>
        <v>0</v>
      </c>
      <c r="U50" s="799">
        <f>IF(U$2=$F50+1,Monthly!Q$21,IF(U$2&gt;$F50+1,('Traditional Attrition'!T50+U182)*(1-IF(U$2-$F50&lt;=12,SUMIFS('Attrition Modeling'!$D:$D,'Attrition Modeling'!$B:$B,'Traditional Attrition'!$E50,'Attrition Modeling'!$C:$C,'Traditional Attrition'!U$1),VLOOKUP('Traditional Attrition'!U$2-'Traditional Attrition'!$F50-1,'Traditional Attrition'!$A$7:$C$161,2,FALSE)*VLOOKUP(U$1,'Attrition Modeling'!$L$15:$N$27,IF(U$2-$F50&lt;=24,2,3),FALSE))*(1+Projection!W$16)*(1+IF(U182&gt;0,'Attrition Modeling'!$N$9,0))),0))</f>
        <v>0</v>
      </c>
      <c r="V50" s="799">
        <f>IF(V$2=$F50+1,Monthly!R$21,IF(V$2&gt;$F50+1,('Traditional Attrition'!U50+V182)*(1-IF(V$2-$F50&lt;=12,SUMIFS('Attrition Modeling'!$D:$D,'Attrition Modeling'!$B:$B,'Traditional Attrition'!$E50,'Attrition Modeling'!$C:$C,'Traditional Attrition'!V$1),VLOOKUP('Traditional Attrition'!V$2-'Traditional Attrition'!$F50-1,'Traditional Attrition'!$A$7:$C$161,2,FALSE)*VLOOKUP(V$1,'Attrition Modeling'!$L$15:$N$27,IF(V$2-$F50&lt;=24,2,3),FALSE))*(1+Projection!X$16)*(1+IF(V182&gt;0,'Attrition Modeling'!$N$9,0))),0))</f>
        <v>0</v>
      </c>
      <c r="W50" s="799">
        <f>IF(W$2=$F50+1,Monthly!S$21,IF(W$2&gt;$F50+1,('Traditional Attrition'!V50+W182)*(1-IF(W$2-$F50&lt;=12,SUMIFS('Attrition Modeling'!$D:$D,'Attrition Modeling'!$B:$B,'Traditional Attrition'!$E50,'Attrition Modeling'!$C:$C,'Traditional Attrition'!W$1),VLOOKUP('Traditional Attrition'!W$2-'Traditional Attrition'!$F50-1,'Traditional Attrition'!$A$7:$C$161,2,FALSE)*VLOOKUP(W$1,'Attrition Modeling'!$L$15:$N$27,IF(W$2-$F50&lt;=24,2,3),FALSE))*(1+Projection!Y$16)*(1+IF(W182&gt;0,'Attrition Modeling'!$N$9,0))),0))</f>
        <v>0</v>
      </c>
      <c r="X50" s="799">
        <f>IF(X$2=$F50+1,Monthly!T$21,IF(X$2&gt;$F50+1,('Traditional Attrition'!W50+X182)*(1-IF(X$2-$F50&lt;=12,SUMIFS('Attrition Modeling'!$D:$D,'Attrition Modeling'!$B:$B,'Traditional Attrition'!$E50,'Attrition Modeling'!$C:$C,'Traditional Attrition'!X$1),VLOOKUP('Traditional Attrition'!X$2-'Traditional Attrition'!$F50-1,'Traditional Attrition'!$A$7:$C$161,2,FALSE)*VLOOKUP(X$1,'Attrition Modeling'!$L$15:$N$27,IF(X$2-$F50&lt;=24,2,3),FALSE))*(1+Projection!Z$16)*(1+IF(X182&gt;0,'Attrition Modeling'!$N$9,0))),0))</f>
        <v>0</v>
      </c>
      <c r="Y50" s="799">
        <f>IF(Y$2=$F50+1,Monthly!U$21,IF(Y$2&gt;$F50+1,('Traditional Attrition'!X50+Y182)*(1-IF(Y$2-$F50&lt;=12,SUMIFS('Attrition Modeling'!$D:$D,'Attrition Modeling'!$B:$B,'Traditional Attrition'!$E50,'Attrition Modeling'!$C:$C,'Traditional Attrition'!Y$1),VLOOKUP('Traditional Attrition'!Y$2-'Traditional Attrition'!$F50-1,'Traditional Attrition'!$A$7:$C$161,2,FALSE)*VLOOKUP(Y$1,'Attrition Modeling'!$L$15:$N$27,IF(Y$2-$F50&lt;=24,2,3),FALSE))*(1+Projection!AA$16)*(1+IF(Y182&gt;0,'Attrition Modeling'!$N$9,0))),0))</f>
        <v>0</v>
      </c>
      <c r="Z50" s="799">
        <f>IF(Z$2=$F50+1,Monthly!V$21,IF(Z$2&gt;$F50+1,('Traditional Attrition'!Y50+Z182)*(1-IF(Z$2-$F50&lt;=12,SUMIFS('Attrition Modeling'!$D:$D,'Attrition Modeling'!$B:$B,'Traditional Attrition'!$E50,'Attrition Modeling'!$C:$C,'Traditional Attrition'!Z$1),VLOOKUP('Traditional Attrition'!Z$2-'Traditional Attrition'!$F50-1,'Traditional Attrition'!$A$7:$C$161,2,FALSE)*VLOOKUP(Z$1,'Attrition Modeling'!$L$15:$N$27,IF(Z$2-$F50&lt;=24,2,3),FALSE))*(1+Projection!AB$16)*(1+IF(Z182&gt;0,'Attrition Modeling'!$N$9,0))),0))</f>
        <v>0</v>
      </c>
      <c r="AA50" s="799">
        <f>IF(AA$2=$F50+1,Monthly!W$21,IF(AA$2&gt;$F50+1,('Traditional Attrition'!Z50+AA182)*(1-IF(AA$2-$F50&lt;=12,SUMIFS('Attrition Modeling'!$D:$D,'Attrition Modeling'!$B:$B,'Traditional Attrition'!$E50,'Attrition Modeling'!$C:$C,'Traditional Attrition'!AA$1),VLOOKUP('Traditional Attrition'!AA$2-'Traditional Attrition'!$F50-1,'Traditional Attrition'!$A$7:$C$161,2,FALSE)*VLOOKUP(AA$1,'Attrition Modeling'!$L$15:$N$27,IF(AA$2-$F50&lt;=24,2,3),FALSE))*(1+Projection!AC$16)*(1+IF(AA182&gt;0,'Attrition Modeling'!$N$9,0))),0))</f>
        <v>0</v>
      </c>
      <c r="AB50" s="799">
        <f>IF(AB$2=$F50+1,Monthly!X$21,IF(AB$2&gt;$F50+1,('Traditional Attrition'!AA50+AB182)*(1-IF(AB$2-$F50&lt;=12,SUMIFS('Attrition Modeling'!$D:$D,'Attrition Modeling'!$B:$B,'Traditional Attrition'!$E50,'Attrition Modeling'!$C:$C,'Traditional Attrition'!AB$1),VLOOKUP('Traditional Attrition'!AB$2-'Traditional Attrition'!$F50-1,'Traditional Attrition'!$A$7:$C$161,2,FALSE)*VLOOKUP(AB$1,'Attrition Modeling'!$L$15:$N$27,IF(AB$2-$F50&lt;=24,2,3),FALSE))*(1+Projection!AD$16)*(1+IF(AB182&gt;0,'Attrition Modeling'!$N$9,0))),0))</f>
        <v>0</v>
      </c>
      <c r="AC50" s="799">
        <f>IF(AC$2=$F50+1,Monthly!Y$21,IF(AC$2&gt;$F50+1,('Traditional Attrition'!AB50+AC182)*(1-IF(AC$2-$F50&lt;=12,SUMIFS('Attrition Modeling'!$D:$D,'Attrition Modeling'!$B:$B,'Traditional Attrition'!$E50,'Attrition Modeling'!$C:$C,'Traditional Attrition'!AC$1),VLOOKUP('Traditional Attrition'!AC$2-'Traditional Attrition'!$F50-1,'Traditional Attrition'!$A$7:$C$161,2,FALSE)*VLOOKUP(AC$1,'Attrition Modeling'!$L$15:$N$27,IF(AC$2-$F50&lt;=24,2,3),FALSE))*(1+Projection!AE$16)*(1+IF(AC182&gt;0,'Attrition Modeling'!$N$9,0))),0))</f>
        <v>0</v>
      </c>
      <c r="AD50" s="799">
        <f>IF(AD$2=$F50+1,Monthly!Z$21,IF(AD$2&gt;$F50+1,('Traditional Attrition'!AC50+AD182)*(1-IF(AD$2-$F50&lt;=12,SUMIFS('Attrition Modeling'!$D:$D,'Attrition Modeling'!$B:$B,'Traditional Attrition'!$E50,'Attrition Modeling'!$C:$C,'Traditional Attrition'!AD$1),VLOOKUP('Traditional Attrition'!AD$2-'Traditional Attrition'!$F50-1,'Traditional Attrition'!$A$7:$C$161,2,FALSE)*VLOOKUP(AD$1,'Attrition Modeling'!$L$15:$N$27,IF(AD$2-$F50&lt;=24,2,3),FALSE))*(1+Projection!AF$16)*(1+IF(AD182&gt;0,'Attrition Modeling'!$N$9,0))),0))</f>
        <v>0</v>
      </c>
      <c r="AE50" s="799">
        <f>IF(AE$2=$F50+1,Monthly!AA$21,IF(AE$2&gt;$F50+1,('Traditional Attrition'!AD50+AE182)*(1-IF(AE$2-$F50&lt;=12,SUMIFS('Attrition Modeling'!$D:$D,'Attrition Modeling'!$B:$B,'Traditional Attrition'!$E50,'Attrition Modeling'!$C:$C,'Traditional Attrition'!AE$1),VLOOKUP('Traditional Attrition'!AE$2-'Traditional Attrition'!$F50-1,'Traditional Attrition'!$A$7:$C$161,2,FALSE)*VLOOKUP(AE$1,'Attrition Modeling'!$L$15:$N$27,IF(AE$2-$F50&lt;=24,2,3),FALSE))*(1+Projection!AG$16)*(1+IF(AE182&gt;0,'Attrition Modeling'!$N$9,0))),0))</f>
        <v>0</v>
      </c>
      <c r="AF50" s="799">
        <f>IF(AF$2=$F50+1,Monthly!AB$21,IF(AF$2&gt;$F50+1,('Traditional Attrition'!AE50+AF182)*(1-IF(AF$2-$F50&lt;=12,SUMIFS('Attrition Modeling'!$D:$D,'Attrition Modeling'!$B:$B,'Traditional Attrition'!$E50,'Attrition Modeling'!$C:$C,'Traditional Attrition'!AF$1),VLOOKUP('Traditional Attrition'!AF$2-'Traditional Attrition'!$F50-1,'Traditional Attrition'!$A$7:$C$161,2,FALSE)*VLOOKUP(AF$1,'Attrition Modeling'!$L$15:$N$27,IF(AF$2-$F50&lt;=24,2,3),FALSE))*(1+Projection!AH$16)*(1+IF(AF182&gt;0,'Attrition Modeling'!$N$9,0))),0))</f>
        <v>0</v>
      </c>
      <c r="AG50" s="799">
        <f>IF(AG$2=$F50+1,Monthly!AC$21,IF(AG$2&gt;$F50+1,('Traditional Attrition'!AF50+AG182)*(1-IF(AG$2-$F50&lt;=12,SUMIFS('Attrition Modeling'!$D:$D,'Attrition Modeling'!$B:$B,'Traditional Attrition'!$E50,'Attrition Modeling'!$C:$C,'Traditional Attrition'!AG$1),VLOOKUP('Traditional Attrition'!AG$2-'Traditional Attrition'!$F50-1,'Traditional Attrition'!$A$7:$C$161,2,FALSE)*VLOOKUP(AG$1,'Attrition Modeling'!$L$15:$N$27,IF(AG$2-$F50&lt;=24,2,3),FALSE))*(1+Projection!AI$16)*(1+IF(AG182&gt;0,'Attrition Modeling'!$N$9,0))),0))</f>
        <v>0</v>
      </c>
      <c r="AH50" s="799">
        <f>IF(AH$2=$F50+1,Monthly!AD$21,IF(AH$2&gt;$F50+1,('Traditional Attrition'!AG50+AH182)*(1-IF(AH$2-$F50&lt;=12,SUMIFS('Attrition Modeling'!$D:$D,'Attrition Modeling'!$B:$B,'Traditional Attrition'!$E50,'Attrition Modeling'!$C:$C,'Traditional Attrition'!AH$1),VLOOKUP('Traditional Attrition'!AH$2-'Traditional Attrition'!$F50-1,'Traditional Attrition'!$A$7:$C$161,2,FALSE)*VLOOKUP(AH$1,'Attrition Modeling'!$L$15:$N$27,IF(AH$2-$F50&lt;=24,2,3),FALSE))*(1+Projection!AJ$16)*(1+IF(AH182&gt;0,'Attrition Modeling'!$N$9,0))),0))</f>
        <v>0</v>
      </c>
      <c r="AI50" s="799">
        <f>IF(AI$2=$F50+1,Monthly!AE$21,IF(AI$2&gt;$F50+1,('Traditional Attrition'!AH50+AI182)*(1-IF(AI$2-$F50&lt;=12,SUMIFS('Attrition Modeling'!$D:$D,'Attrition Modeling'!$B:$B,'Traditional Attrition'!$E50,'Attrition Modeling'!$C:$C,'Traditional Attrition'!AI$1),VLOOKUP('Traditional Attrition'!AI$2-'Traditional Attrition'!$F50-1,'Traditional Attrition'!$A$7:$C$161,2,FALSE)*VLOOKUP(AI$1,'Attrition Modeling'!$L$15:$N$27,IF(AI$2-$F50&lt;=24,2,3),FALSE))*(1+Projection!AK$16)*(1+IF(AI182&gt;0,'Attrition Modeling'!$N$9,0))),0))</f>
        <v>0</v>
      </c>
      <c r="AJ50" s="799">
        <f>IF(AJ$2=$F50+1,Monthly!AF$21,IF(AJ$2&gt;$F50+1,('Traditional Attrition'!AI50+AJ182)*(1-IF(AJ$2-$F50&lt;=12,SUMIFS('Attrition Modeling'!$D:$D,'Attrition Modeling'!$B:$B,'Traditional Attrition'!$E50,'Attrition Modeling'!$C:$C,'Traditional Attrition'!AJ$1),VLOOKUP('Traditional Attrition'!AJ$2-'Traditional Attrition'!$F50-1,'Traditional Attrition'!$A$7:$C$161,2,FALSE)*VLOOKUP(AJ$1,'Attrition Modeling'!$L$15:$N$27,IF(AJ$2-$F50&lt;=24,2,3),FALSE))*(1+Projection!AL$16)*(1+IF(AJ182&gt;0,'Attrition Modeling'!$N$9,0))),0))</f>
        <v>0</v>
      </c>
      <c r="AK50" s="799">
        <f>IF(AK$2=$F50+1,Monthly!AG$21,IF(AK$2&gt;$F50+1,('Traditional Attrition'!AJ50+AK182)*(1-IF(AK$2-$F50&lt;=12,SUMIFS('Attrition Modeling'!$D:$D,'Attrition Modeling'!$B:$B,'Traditional Attrition'!$E50,'Attrition Modeling'!$C:$C,'Traditional Attrition'!AK$1),VLOOKUP('Traditional Attrition'!AK$2-'Traditional Attrition'!$F50-1,'Traditional Attrition'!$A$7:$C$161,2,FALSE)*VLOOKUP(AK$1,'Attrition Modeling'!$L$15:$N$27,IF(AK$2-$F50&lt;=24,2,3),FALSE))*(1+Projection!AM$16)*(1+IF(AK182&gt;0,'Attrition Modeling'!$N$9,0))),0))</f>
        <v>0</v>
      </c>
      <c r="AL50" s="799">
        <f>IF(AL$2=$F50+1,Monthly!AH$21,IF(AL$2&gt;$F50+1,('Traditional Attrition'!AK50+AL182)*(1-IF(AL$2-$F50&lt;=12,SUMIFS('Attrition Modeling'!$D:$D,'Attrition Modeling'!$B:$B,'Traditional Attrition'!$E50,'Attrition Modeling'!$C:$C,'Traditional Attrition'!AL$1),VLOOKUP('Traditional Attrition'!AL$2-'Traditional Attrition'!$F50-1,'Traditional Attrition'!$A$7:$C$161,2,FALSE)*VLOOKUP(AL$1,'Attrition Modeling'!$L$15:$N$27,IF(AL$2-$F50&lt;=24,2,3),FALSE))*(1+Projection!AN$16)*(1+IF(AL182&gt;0,'Attrition Modeling'!$N$9,0))),0))</f>
        <v>0</v>
      </c>
      <c r="AM50" s="799">
        <f>IF(AM$2=$F50+1,Monthly!AI$21,IF(AM$2&gt;$F50+1,('Traditional Attrition'!AL50+AM182)*(1-IF(AM$2-$F50&lt;=12,SUMIFS('Attrition Modeling'!$D:$D,'Attrition Modeling'!$B:$B,'Traditional Attrition'!$E50,'Attrition Modeling'!$C:$C,'Traditional Attrition'!AM$1),VLOOKUP('Traditional Attrition'!AM$2-'Traditional Attrition'!$F50-1,'Traditional Attrition'!$A$7:$C$161,2,FALSE)*VLOOKUP(AM$1,'Attrition Modeling'!$L$15:$N$27,IF(AM$2-$F50&lt;=24,2,3),FALSE))*(1+Projection!AO$16)*(1+IF(AM182&gt;0,'Attrition Modeling'!$N$9,0))),0))</f>
        <v>0</v>
      </c>
      <c r="AN50" s="799">
        <f>IF(AN$2=$F50+1,Monthly!AJ$21,IF(AN$2&gt;$F50+1,('Traditional Attrition'!AM50+AN182)*(1-IF(AN$2-$F50&lt;=12,SUMIFS('Attrition Modeling'!$D:$D,'Attrition Modeling'!$B:$B,'Traditional Attrition'!$E50,'Attrition Modeling'!$C:$C,'Traditional Attrition'!AN$1),VLOOKUP('Traditional Attrition'!AN$2-'Traditional Attrition'!$F50-1,'Traditional Attrition'!$A$7:$C$161,2,FALSE)*VLOOKUP(AN$1,'Attrition Modeling'!$L$15:$N$27,IF(AN$2-$F50&lt;=24,2,3),FALSE))*(1+Projection!AP$16)*(1+IF(AN182&gt;0,'Attrition Modeling'!$N$9,0))),0))</f>
        <v>0</v>
      </c>
      <c r="AO50" s="799">
        <f>IF(AO$2=$F50+1,Monthly!AK$21,IF(AO$2&gt;$F50+1,('Traditional Attrition'!AN50+AO182)*(1-IF(AO$2-$F50&lt;=12,SUMIFS('Attrition Modeling'!$D:$D,'Attrition Modeling'!$B:$B,'Traditional Attrition'!$E50,'Attrition Modeling'!$C:$C,'Traditional Attrition'!AO$1),VLOOKUP('Traditional Attrition'!AO$2-'Traditional Attrition'!$F50-1,'Traditional Attrition'!$A$7:$C$161,2,FALSE)*VLOOKUP(AO$1,'Attrition Modeling'!$L$15:$N$27,IF(AO$2-$F50&lt;=24,2,3),FALSE))*(1+Projection!AQ$16)*(1+IF(AO182&gt;0,'Attrition Modeling'!$N$9,0))),0))</f>
        <v>0</v>
      </c>
      <c r="AP50" s="799">
        <f>IF(AP$2=$F50+1,Monthly!AL$21,IF(AP$2&gt;$F50+1,('Traditional Attrition'!AO50+AP182)*(1-IF(AP$2-$F50&lt;=12,SUMIFS('Attrition Modeling'!$D:$D,'Attrition Modeling'!$B:$B,'Traditional Attrition'!$E50,'Attrition Modeling'!$C:$C,'Traditional Attrition'!AP$1),VLOOKUP('Traditional Attrition'!AP$2-'Traditional Attrition'!$F50-1,'Traditional Attrition'!$A$7:$C$161,2,FALSE)*VLOOKUP(AP$1,'Attrition Modeling'!$L$15:$N$27,IF(AP$2-$F50&lt;=24,2,3),FALSE))*(1+Projection!AR$16)*(1+IF(AP182&gt;0,'Attrition Modeling'!$N$9,0))),0))</f>
        <v>0</v>
      </c>
      <c r="AQ50" s="799">
        <f>IF(AQ$2=$F50+1,Monthly!AM$21,IF(AQ$2&gt;$F50+1,('Traditional Attrition'!AP50+AQ182)*(1-IF(AQ$2-$F50&lt;=12,SUMIFS('Attrition Modeling'!$D:$D,'Attrition Modeling'!$B:$B,'Traditional Attrition'!$E50,'Attrition Modeling'!$C:$C,'Traditional Attrition'!AQ$1),VLOOKUP('Traditional Attrition'!AQ$2-'Traditional Attrition'!$F50-1,'Traditional Attrition'!$A$7:$C$161,2,FALSE)*VLOOKUP(AQ$1,'Attrition Modeling'!$L$15:$N$27,IF(AQ$2-$F50&lt;=24,2,3),FALSE))*(1+Projection!AS$16)*(1+IF(AQ182&gt;0,'Attrition Modeling'!$N$9,0))),0))</f>
        <v>0</v>
      </c>
      <c r="AR50" s="799">
        <f>IF(AR$2=$F50+1,Monthly!AN$21,IF(AR$2&gt;$F50+1,('Traditional Attrition'!AQ50+AR182)*(1-IF(AR$2-$F50&lt;=12,SUMIFS('Attrition Modeling'!$D:$D,'Attrition Modeling'!$B:$B,'Traditional Attrition'!$E50,'Attrition Modeling'!$C:$C,'Traditional Attrition'!AR$1),VLOOKUP('Traditional Attrition'!AR$2-'Traditional Attrition'!$F50-1,'Traditional Attrition'!$A$7:$C$161,2,FALSE)*VLOOKUP(AR$1,'Attrition Modeling'!$L$15:$N$27,IF(AR$2-$F50&lt;=24,2,3),FALSE))*(1+Projection!AT$16)*(1+IF(AR182&gt;0,'Attrition Modeling'!$N$9,0))),0))</f>
        <v>0</v>
      </c>
      <c r="AS50" s="799">
        <f>IF(AS$2=$F50+1,Monthly!AO$21,IF(AS$2&gt;$F50+1,('Traditional Attrition'!AR50+AS182)*(1-IF(AS$2-$F50&lt;=12,SUMIFS('Attrition Modeling'!$D:$D,'Attrition Modeling'!$B:$B,'Traditional Attrition'!$E50,'Attrition Modeling'!$C:$C,'Traditional Attrition'!AS$1),VLOOKUP('Traditional Attrition'!AS$2-'Traditional Attrition'!$F50-1,'Traditional Attrition'!$A$7:$C$161,2,FALSE)*VLOOKUP(AS$1,'Attrition Modeling'!$L$15:$N$27,IF(AS$2-$F50&lt;=24,2,3),FALSE))*(1+Projection!AU$16)*(1+IF(AS182&gt;0,'Attrition Modeling'!$N$9,0))),0))</f>
        <v>0</v>
      </c>
      <c r="AT50" s="799">
        <f>IF(AT$2=$F50+1,Monthly!AP$21,IF(AT$2&gt;$F50+1,('Traditional Attrition'!AS50+AT182)*(1-IF(AT$2-$F50&lt;=12,SUMIFS('Attrition Modeling'!$D:$D,'Attrition Modeling'!$B:$B,'Traditional Attrition'!$E50,'Attrition Modeling'!$C:$C,'Traditional Attrition'!AT$1),VLOOKUP('Traditional Attrition'!AT$2-'Traditional Attrition'!$F50-1,'Traditional Attrition'!$A$7:$C$161,2,FALSE)*VLOOKUP(AT$1,'Attrition Modeling'!$L$15:$N$27,IF(AT$2-$F50&lt;=24,2,3),FALSE))*(1+Projection!AV$16)*(1+IF(AT182&gt;0,'Attrition Modeling'!$N$9,0))),0))</f>
        <v>0</v>
      </c>
      <c r="AU50" s="799">
        <f>IF(AU$2=$F50+1,Monthly!AQ$21,IF(AU$2&gt;$F50+1,('Traditional Attrition'!AT50+AU182)*(1-IF(AU$2-$F50&lt;=12,SUMIFS('Attrition Modeling'!$D:$D,'Attrition Modeling'!$B:$B,'Traditional Attrition'!$E50,'Attrition Modeling'!$C:$C,'Traditional Attrition'!AU$1),VLOOKUP('Traditional Attrition'!AU$2-'Traditional Attrition'!$F50-1,'Traditional Attrition'!$A$7:$C$161,2,FALSE)*VLOOKUP(AU$1,'Attrition Modeling'!$L$15:$N$27,IF(AU$2-$F50&lt;=24,2,3),FALSE))*(1+Projection!AW$16)*(1+IF(AU182&gt;0,'Attrition Modeling'!$N$9,0))),0))</f>
        <v>0</v>
      </c>
      <c r="AV50" s="799">
        <f>IF(AV$2=$F50+1,Monthly!AR$21,IF(AV$2&gt;$F50+1,('Traditional Attrition'!AU50+AV182)*(1-IF(AV$2-$F50&lt;=12,SUMIFS('Attrition Modeling'!$D:$D,'Attrition Modeling'!$B:$B,'Traditional Attrition'!$E50,'Attrition Modeling'!$C:$C,'Traditional Attrition'!AV$1),VLOOKUP('Traditional Attrition'!AV$2-'Traditional Attrition'!$F50-1,'Traditional Attrition'!$A$7:$C$161,2,FALSE)*VLOOKUP(AV$1,'Attrition Modeling'!$L$15:$N$27,IF(AV$2-$F50&lt;=24,2,3),FALSE))*(1+Projection!AX$16)*(1+IF(AV182&gt;0,'Attrition Modeling'!$N$9,0))),0))</f>
        <v>0</v>
      </c>
      <c r="AW50" s="799">
        <f>IF(AW$2=$F50+1,Monthly!AS$21,IF(AW$2&gt;$F50+1,('Traditional Attrition'!AV50+AW182)*(1-IF(AW$2-$F50&lt;=12,SUMIFS('Attrition Modeling'!$D:$D,'Attrition Modeling'!$B:$B,'Traditional Attrition'!$E50,'Attrition Modeling'!$C:$C,'Traditional Attrition'!AW$1),VLOOKUP('Traditional Attrition'!AW$2-'Traditional Attrition'!$F50-1,'Traditional Attrition'!$A$7:$C$161,2,FALSE)*VLOOKUP(AW$1,'Attrition Modeling'!$L$15:$N$27,IF(AW$2-$F50&lt;=24,2,3),FALSE))*(1+Projection!AY$16)*(1+IF(AW182&gt;0,'Attrition Modeling'!$N$9,0))),0))</f>
        <v>0</v>
      </c>
      <c r="AX50" s="799">
        <f>IF(AX$2=$F50+1,Monthly!AT$21,IF(AX$2&gt;$F50+1,('Traditional Attrition'!AW50+AX182)*(1-IF(AX$2-$F50&lt;=12,SUMIFS('Attrition Modeling'!$D:$D,'Attrition Modeling'!$B:$B,'Traditional Attrition'!$E50,'Attrition Modeling'!$C:$C,'Traditional Attrition'!AX$1),VLOOKUP('Traditional Attrition'!AX$2-'Traditional Attrition'!$F50-1,'Traditional Attrition'!$A$7:$C$161,2,FALSE)*VLOOKUP(AX$1,'Attrition Modeling'!$L$15:$N$27,IF(AX$2-$F50&lt;=24,2,3),FALSE))*(1+Projection!AZ$16)*(1+IF(AX182&gt;0,'Attrition Modeling'!$N$9,0))),0))</f>
        <v>0</v>
      </c>
      <c r="AY50" s="799">
        <f>IF(AY$2=$F50+1,Monthly!AU$21,IF(AY$2&gt;$F50+1,('Traditional Attrition'!AX50+AY182)*(1-IF(AY$2-$F50&lt;=12,SUMIFS('Attrition Modeling'!$D:$D,'Attrition Modeling'!$B:$B,'Traditional Attrition'!$E50,'Attrition Modeling'!$C:$C,'Traditional Attrition'!AY$1),VLOOKUP('Traditional Attrition'!AY$2-'Traditional Attrition'!$F50-1,'Traditional Attrition'!$A$7:$C$161,2,FALSE)*VLOOKUP(AY$1,'Attrition Modeling'!$L$15:$N$27,IF(AY$2-$F50&lt;=24,2,3),FALSE))*(1+Projection!BA$16)*(1+IF(AY182&gt;0,'Attrition Modeling'!$N$9,0))),0))</f>
        <v>0</v>
      </c>
      <c r="AZ50" s="799">
        <f>IF(AZ$2=$F50+1,Monthly!AV$21,IF(AZ$2&gt;$F50+1,('Traditional Attrition'!AY50+AZ182)*(1-IF(AZ$2-$F50&lt;=12,SUMIFS('Attrition Modeling'!$D:$D,'Attrition Modeling'!$B:$B,'Traditional Attrition'!$E50,'Attrition Modeling'!$C:$C,'Traditional Attrition'!AZ$1),VLOOKUP('Traditional Attrition'!AZ$2-'Traditional Attrition'!$F50-1,'Traditional Attrition'!$A$7:$C$161,2,FALSE)*VLOOKUP(AZ$1,'Attrition Modeling'!$L$15:$N$27,IF(AZ$2-$F50&lt;=24,2,3),FALSE))*(1+Projection!BB$16)*(1+IF(AZ182&gt;0,'Attrition Modeling'!$N$9,0))),0))</f>
        <v>0</v>
      </c>
      <c r="BA50" s="799">
        <f>IF(BA$2=$F50+1,Monthly!AW$21,IF(BA$2&gt;$F50+1,('Traditional Attrition'!AZ50+BA182)*(1-IF(BA$2-$F50&lt;=12,SUMIFS('Attrition Modeling'!$D:$D,'Attrition Modeling'!$B:$B,'Traditional Attrition'!$E50,'Attrition Modeling'!$C:$C,'Traditional Attrition'!BA$1),VLOOKUP('Traditional Attrition'!BA$2-'Traditional Attrition'!$F50-1,'Traditional Attrition'!$A$7:$C$161,2,FALSE)*VLOOKUP(BA$1,'Attrition Modeling'!$L$15:$N$27,IF(BA$2-$F50&lt;=24,2,3),FALSE))*(1+Projection!BC$16)*(1+IF(BA182&gt;0,'Attrition Modeling'!$N$9,0))),0))</f>
        <v>0</v>
      </c>
      <c r="BB50" s="799">
        <f>IF(BB$2=$F50+1,Monthly!AX$21,IF(BB$2&gt;$F50+1,('Traditional Attrition'!BA50+BB182)*(1-IF(BB$2-$F50&lt;=12,SUMIFS('Attrition Modeling'!$D:$D,'Attrition Modeling'!$B:$B,'Traditional Attrition'!$E50,'Attrition Modeling'!$C:$C,'Traditional Attrition'!BB$1),VLOOKUP('Traditional Attrition'!BB$2-'Traditional Attrition'!$F50-1,'Traditional Attrition'!$A$7:$C$161,2,FALSE)*VLOOKUP(BB$1,'Attrition Modeling'!$L$15:$N$27,IF(BB$2-$F50&lt;=24,2,3),FALSE))*(1+Projection!BD$16)*(1+IF(BB182&gt;0,'Attrition Modeling'!$N$9,0))),0))</f>
        <v>0</v>
      </c>
      <c r="BC50" s="799">
        <f>IF(BC$2=$F50+1,Monthly!AY$21,IF(BC$2&gt;$F50+1,('Traditional Attrition'!BB50+BC182)*(1-IF(BC$2-$F50&lt;=12,SUMIFS('Attrition Modeling'!$D:$D,'Attrition Modeling'!$B:$B,'Traditional Attrition'!$E50,'Attrition Modeling'!$C:$C,'Traditional Attrition'!BC$1),VLOOKUP('Traditional Attrition'!BC$2-'Traditional Attrition'!$F50-1,'Traditional Attrition'!$A$7:$C$161,2,FALSE)*VLOOKUP(BC$1,'Attrition Modeling'!$L$15:$N$27,IF(BC$2-$F50&lt;=24,2,3),FALSE))*(1+Projection!BE$16)*(1+IF(BC182&gt;0,'Attrition Modeling'!$N$9,0))),0))</f>
        <v>8111.0200406727981</v>
      </c>
      <c r="BD50" s="799">
        <f>IF(BD$2=$F50+1,Monthly!AZ$21,IF(BD$2&gt;$F50+1,('Traditional Attrition'!BC50+BD182)*(1-IF(BD$2-$F50&lt;=12,SUMIFS('Attrition Modeling'!$D:$D,'Attrition Modeling'!$B:$B,'Traditional Attrition'!$E50,'Attrition Modeling'!$C:$C,'Traditional Attrition'!BD$1),VLOOKUP('Traditional Attrition'!BD$2-'Traditional Attrition'!$F50-1,'Traditional Attrition'!$A$7:$C$161,2,FALSE)*VLOOKUP(BD$1,'Attrition Modeling'!$L$15:$N$27,IF(BD$2-$F50&lt;=24,2,3),FALSE))*(1+Projection!BF$16)*(1+IF(BD182&gt;0,'Attrition Modeling'!$N$9,0))),0))</f>
        <v>7374.5815982839204</v>
      </c>
      <c r="BE50" s="799">
        <f>IF(BE$2=$F50+1,Monthly!BA$21,IF(BE$2&gt;$F50+1,('Traditional Attrition'!BD50+BE182)*(1-IF(BE$2-$F50&lt;=12,SUMIFS('Attrition Modeling'!$D:$D,'Attrition Modeling'!$B:$B,'Traditional Attrition'!$E50,'Attrition Modeling'!$C:$C,'Traditional Attrition'!BE$1),VLOOKUP('Traditional Attrition'!BE$2-'Traditional Attrition'!$F50-1,'Traditional Attrition'!$A$7:$C$161,2,FALSE)*VLOOKUP(BE$1,'Attrition Modeling'!$L$15:$N$27,IF(BE$2-$F50&lt;=24,2,3),FALSE))*(1+Projection!BG$16)*(1+IF(BE182&gt;0,'Attrition Modeling'!$N$9,0))),0))</f>
        <v>6802.9130297745005</v>
      </c>
      <c r="BF50" s="799">
        <f>IF(BF$2=$F50+1,Monthly!BB$21,IF(BF$2&gt;$F50+1,('Traditional Attrition'!BE50+BF182)*(1-IF(BF$2-$F50&lt;=12,SUMIFS('Attrition Modeling'!$D:$D,'Attrition Modeling'!$B:$B,'Traditional Attrition'!$E50,'Attrition Modeling'!$C:$C,'Traditional Attrition'!BF$1),VLOOKUP('Traditional Attrition'!BF$2-'Traditional Attrition'!$F50-1,'Traditional Attrition'!$A$7:$C$161,2,FALSE)*VLOOKUP(BF$1,'Attrition Modeling'!$L$15:$N$27,IF(BF$2-$F50&lt;=24,2,3),FALSE))*(1+Projection!BH$16)*(1+IF(BF182&gt;0,'Attrition Modeling'!$N$9,0))),0))</f>
        <v>6197.1160735217718</v>
      </c>
      <c r="BG50" s="799">
        <f>IF(BG$2=$F50+1,Monthly!BC$21,IF(BG$2&gt;$F50+1,('Traditional Attrition'!BF50+BG182)*(1-IF(BG$2-$F50&lt;=12,SUMIFS('Attrition Modeling'!$D:$D,'Attrition Modeling'!$B:$B,'Traditional Attrition'!$E50,'Attrition Modeling'!$C:$C,'Traditional Attrition'!BG$1),VLOOKUP('Traditional Attrition'!BG$2-'Traditional Attrition'!$F50-1,'Traditional Attrition'!$A$7:$C$161,2,FALSE)*VLOOKUP(BG$1,'Attrition Modeling'!$L$15:$N$27,IF(BG$2-$F50&lt;=24,2,3),FALSE))*(1+Projection!BI$16)*(1+IF(BG182&gt;0,'Attrition Modeling'!$N$9,0))),0))</f>
        <v>5709.3459630965717</v>
      </c>
      <c r="BH50" s="799">
        <f>IF(BH$2=$F50+1,Monthly!BD$21,IF(BH$2&gt;$F50+1,('Traditional Attrition'!BG50+BH182)*(1-IF(BH$2-$F50&lt;=12,SUMIFS('Attrition Modeling'!$D:$D,'Attrition Modeling'!$B:$B,'Traditional Attrition'!$E50,'Attrition Modeling'!$C:$C,'Traditional Attrition'!BH$1),VLOOKUP('Traditional Attrition'!BH$2-'Traditional Attrition'!$F50-1,'Traditional Attrition'!$A$7:$C$161,2,FALSE)*VLOOKUP(BH$1,'Attrition Modeling'!$L$15:$N$27,IF(BH$2-$F50&lt;=24,2,3),FALSE))*(1+Projection!BJ$16)*(1+IF(BH182&gt;0,'Attrition Modeling'!$N$9,0))),0))</f>
        <v>5630.4563049922017</v>
      </c>
      <c r="BI50" s="799">
        <f>IF(BI$2=$F50+1,Monthly!BE$21,IF(BI$2&gt;$F50+1,('Traditional Attrition'!BH50+BI182)*(1-IF(BI$2-$F50&lt;=12,SUMIFS('Attrition Modeling'!$D:$D,'Attrition Modeling'!$B:$B,'Traditional Attrition'!$E50,'Attrition Modeling'!$C:$C,'Traditional Attrition'!BI$1),VLOOKUP('Traditional Attrition'!BI$2-'Traditional Attrition'!$F50-1,'Traditional Attrition'!$A$7:$C$161,2,FALSE)*VLOOKUP(BI$1,'Attrition Modeling'!$L$15:$N$27,IF(BI$2-$F50&lt;=24,2,3),FALSE))*(1+Projection!BK$16)*(1+IF(BI182&gt;0,'Attrition Modeling'!$N$9,0))),0))</f>
        <v>5231.5051997867413</v>
      </c>
      <c r="BJ50" s="799">
        <f>IF(BJ$2=$F50+1,Monthly!BF$21,IF(BJ$2&gt;$F50+1,('Traditional Attrition'!BI50+BJ182)*(1-IF(BJ$2-$F50&lt;=12,SUMIFS('Attrition Modeling'!$D:$D,'Attrition Modeling'!$B:$B,'Traditional Attrition'!$E50,'Attrition Modeling'!$C:$C,'Traditional Attrition'!BJ$1),VLOOKUP('Traditional Attrition'!BJ$2-'Traditional Attrition'!$F50-1,'Traditional Attrition'!$A$7:$C$161,2,FALSE)*VLOOKUP(BJ$1,'Attrition Modeling'!$L$15:$N$27,IF(BJ$2-$F50&lt;=24,2,3),FALSE))*(1+Projection!BL$16)*(1+IF(BJ182&gt;0,'Attrition Modeling'!$N$9,0))),0))</f>
        <v>4871.3432182934112</v>
      </c>
      <c r="BK50" s="799">
        <f>IF(BK$2=$F50+1,Monthly!BG$21,IF(BK$2&gt;$F50+1,('Traditional Attrition'!BJ50+BK182)*(1-IF(BK$2-$F50&lt;=12,SUMIFS('Attrition Modeling'!$D:$D,'Attrition Modeling'!$B:$B,'Traditional Attrition'!$E50,'Attrition Modeling'!$C:$C,'Traditional Attrition'!BK$1),VLOOKUP('Traditional Attrition'!BK$2-'Traditional Attrition'!$F50-1,'Traditional Attrition'!$A$7:$C$161,2,FALSE)*VLOOKUP(BK$1,'Attrition Modeling'!$L$15:$N$27,IF(BK$2-$F50&lt;=24,2,3),FALSE))*(1+Projection!BM$16)*(1+IF(BK182&gt;0,'Attrition Modeling'!$N$9,0))),0))</f>
        <v>4539.8594676645143</v>
      </c>
      <c r="BL50" s="799">
        <f>IF(BL$2=$F50+1,Monthly!BH$21,IF(BL$2&gt;$F50+1,('Traditional Attrition'!BK50+BL182)*(1-IF(BL$2-$F50&lt;=12,SUMIFS('Attrition Modeling'!$D:$D,'Attrition Modeling'!$B:$B,'Traditional Attrition'!$E50,'Attrition Modeling'!$C:$C,'Traditional Attrition'!BL$1),VLOOKUP('Traditional Attrition'!BL$2-'Traditional Attrition'!$F50-1,'Traditional Attrition'!$A$7:$C$161,2,FALSE)*VLOOKUP(BL$1,'Attrition Modeling'!$L$15:$N$27,IF(BL$2-$F50&lt;=24,2,3),FALSE))*(1+Projection!BN$16)*(1+IF(BL182&gt;0,'Attrition Modeling'!$N$9,0))),0))</f>
        <v>4283.8209273931179</v>
      </c>
      <c r="BM50" s="799">
        <f>IF(BM$2=$F50+1,Monthly!BI$21,IF(BM$2&gt;$F50+1,('Traditional Attrition'!BL50+BM182)*(1-IF(BM$2-$F50&lt;=12,SUMIFS('Attrition Modeling'!$D:$D,'Attrition Modeling'!$B:$B,'Traditional Attrition'!$E50,'Attrition Modeling'!$C:$C,'Traditional Attrition'!BM$1),VLOOKUP('Traditional Attrition'!BM$2-'Traditional Attrition'!$F50-1,'Traditional Attrition'!$A$7:$C$161,2,FALSE)*VLOOKUP(BM$1,'Attrition Modeling'!$L$15:$N$27,IF(BM$2-$F50&lt;=24,2,3),FALSE))*(1+Projection!BO$16)*(1+IF(BM182&gt;0,'Attrition Modeling'!$N$9,0))),0))</f>
        <v>4039.4720815620794</v>
      </c>
      <c r="BN50" s="799">
        <f>IF(BN$2=$F50+1,Monthly!BJ$21,IF(BN$2&gt;$F50+1,('Traditional Attrition'!BM50+BN182)*(1-IF(BN$2-$F50&lt;=12,SUMIFS('Attrition Modeling'!$D:$D,'Attrition Modeling'!$B:$B,'Traditional Attrition'!$E50,'Attrition Modeling'!$C:$C,'Traditional Attrition'!BN$1),VLOOKUP('Traditional Attrition'!BN$2-'Traditional Attrition'!$F50-1,'Traditional Attrition'!$A$7:$C$161,2,FALSE)*VLOOKUP(BN$1,'Attrition Modeling'!$L$15:$N$27,IF(BN$2-$F50&lt;=24,2,3),FALSE))*(1+Projection!BP$16)*(1+IF(BN182&gt;0,'Attrition Modeling'!$N$9,0))),0))</f>
        <v>3930.9151876580177</v>
      </c>
      <c r="BO50" s="799">
        <f>IF(BO$2=$F50+1,Monthly!BK$21,IF(BO$2&gt;$F50+1,('Traditional Attrition'!BN50+BO182)*(1-IF(BO$2-$F50&lt;=12,SUMIFS('Attrition Modeling'!$D:$D,'Attrition Modeling'!$B:$B,'Traditional Attrition'!$E50,'Attrition Modeling'!$C:$C,'Traditional Attrition'!BO$1),VLOOKUP('Traditional Attrition'!BO$2-'Traditional Attrition'!$F50-1,'Traditional Attrition'!$A$7:$C$161,2,FALSE)*VLOOKUP(BO$1,'Attrition Modeling'!$L$15:$N$27,IF(BO$2-$F50&lt;=24,2,3),FALSE))*(1+Projection!BV$16)*(1+IF(BO182&gt;0,'Attrition Modeling'!$N$9,0))),0))</f>
        <v>3719.4815799846283</v>
      </c>
      <c r="BP50" s="799">
        <f>IF(BP$2=$F50+1,Monthly!BL$21,IF(BP$2&gt;$F50+1,('Traditional Attrition'!BO50+BP182)*(1-IF(BP$2-$F50&lt;=12,SUMIFS('Attrition Modeling'!$D:$D,'Attrition Modeling'!$B:$B,'Traditional Attrition'!$E50,'Attrition Modeling'!$C:$C,'Traditional Attrition'!BP$1),VLOOKUP('Traditional Attrition'!BP$2-'Traditional Attrition'!$F50-1,'Traditional Attrition'!$A$7:$C$161,2,FALSE)*VLOOKUP(BP$1,'Attrition Modeling'!$L$15:$N$27,IF(BP$2-$F50&lt;=24,2,3),FALSE))*(1+Projection!BW$16)*(1+IF(BP182&gt;0,'Attrition Modeling'!$N$9,0))),0))</f>
        <v>3534.7065954471495</v>
      </c>
      <c r="BQ50" s="799">
        <f>IF(BQ$2=$F50+1,Monthly!BM$21,IF(BQ$2&gt;$F50+1,('Traditional Attrition'!BP50+BQ182)*(1-IF(BQ$2-$F50&lt;=12,SUMIFS('Attrition Modeling'!$D:$D,'Attrition Modeling'!$B:$B,'Traditional Attrition'!$E50,'Attrition Modeling'!$C:$C,'Traditional Attrition'!BQ$1),VLOOKUP('Traditional Attrition'!BQ$2-'Traditional Attrition'!$F50-1,'Traditional Attrition'!$A$7:$C$161,2,FALSE)*VLOOKUP(BQ$1,'Attrition Modeling'!$L$15:$N$27,IF(BQ$2-$F50&lt;=24,2,3),FALSE))*(1+Projection!BX$16)*(1+IF(BQ182&gt;0,'Attrition Modeling'!$N$9,0))),0))</f>
        <v>3384.0569442637438</v>
      </c>
      <c r="BR50" s="799">
        <f>IF(BR$2=$F50+1,Monthly!BN$21,IF(BR$2&gt;$F50+1,('Traditional Attrition'!BQ50+BR182)*(1-IF(BR$2-$F50&lt;=12,SUMIFS('Attrition Modeling'!$D:$D,'Attrition Modeling'!$B:$B,'Traditional Attrition'!$E50,'Attrition Modeling'!$C:$C,'Traditional Attrition'!BR$1),VLOOKUP('Traditional Attrition'!BR$2-'Traditional Attrition'!$F50-1,'Traditional Attrition'!$A$7:$C$161,2,FALSE)*VLOOKUP(BR$1,'Attrition Modeling'!$L$15:$N$27,IF(BR$2-$F50&lt;=24,2,3),FALSE))*(1+Projection!BY$16)*(1+IF(BR182&gt;0,'Attrition Modeling'!$N$9,0))),0))</f>
        <v>3232.7901924652379</v>
      </c>
      <c r="BS50" s="799">
        <f>IF(BS$2=$F50+1,Monthly!BO$21,IF(BS$2&gt;$F50+1,('Traditional Attrition'!BR50+BS182)*(1-IF(BS$2-$F50&lt;=12,SUMIFS('Attrition Modeling'!$D:$D,'Attrition Modeling'!$B:$B,'Traditional Attrition'!$E50,'Attrition Modeling'!$C:$C,'Traditional Attrition'!BS$1),VLOOKUP('Traditional Attrition'!BS$2-'Traditional Attrition'!$F50-1,'Traditional Attrition'!$A$7:$C$161,2,FALSE)*VLOOKUP(BS$1,'Attrition Modeling'!$L$15:$N$27,IF(BS$2-$F50&lt;=24,2,3),FALSE))*(1+Projection!BZ$16)*(1+IF(BS182&gt;0,'Attrition Modeling'!$N$9,0))),0))</f>
        <v>3094.8873525029253</v>
      </c>
      <c r="BT50" s="799">
        <f>IF(BT$2=$F50+1,Monthly!#REF!,IF(BT$2&gt;$F50+1,('Traditional Attrition'!BS50+BT182)*(1-IF(BT$2-$F50&lt;=12,SUMIFS('Attrition Modeling'!$D:$D,'Attrition Modeling'!$B:$B,'Traditional Attrition'!$E50,'Attrition Modeling'!$C:$C,'Traditional Attrition'!BT$1),VLOOKUP('Traditional Attrition'!BT$2-'Traditional Attrition'!$F50-1,'Traditional Attrition'!$A$7:$C$161,2,FALSE)*VLOOKUP(BT$1,'Attrition Modeling'!$L$15:$N$27,IF(BT$2-$F50&lt;=24,2,3),FALSE))*(1+Projection!CA$16)*(1+IF(BT182&gt;0,'Attrition Modeling'!$N$9,0))),0))</f>
        <v>3223.8714758607598</v>
      </c>
      <c r="BU50" s="799">
        <f>IF(BU$2=$F50+1,Monthly!#REF!,IF(BU$2&gt;$F50+1,('Traditional Attrition'!BT50+BU182)*(1-IF(BU$2-$F50&lt;=12,SUMIFS('Attrition Modeling'!$D:$D,'Attrition Modeling'!$B:$B,'Traditional Attrition'!$E50,'Attrition Modeling'!$C:$C,'Traditional Attrition'!BU$1),VLOOKUP('Traditional Attrition'!BU$2-'Traditional Attrition'!$F50-1,'Traditional Attrition'!$A$7:$C$161,2,FALSE)*VLOOKUP(BU$1,'Attrition Modeling'!$L$15:$N$27,IF(BU$2-$F50&lt;=24,2,3),FALSE))*(1+Projection!CB$16)*(1+IF(BU182&gt;0,'Attrition Modeling'!$N$9,0))),0))</f>
        <v>3080.8165357090575</v>
      </c>
    </row>
    <row r="51" spans="1:73" ht="14.25" customHeight="1" x14ac:dyDescent="0.2">
      <c r="A51" s="9">
        <v>44</v>
      </c>
      <c r="B51" s="25">
        <f>MAX('Attrition Modeling'!H48,$C$3)*(1-Summary!$C$20)</f>
        <v>2.7118467773799754E-2</v>
      </c>
      <c r="C51" s="24" t="e">
        <f t="shared" si="4"/>
        <v>#DIV/0!</v>
      </c>
      <c r="E51" s="11">
        <f t="shared" si="2"/>
        <v>12</v>
      </c>
      <c r="F51" s="11">
        <f t="shared" si="3"/>
        <v>48</v>
      </c>
      <c r="G51" s="799"/>
      <c r="H51" s="799">
        <f>IF(H$2=$F51+1,Monthly!D$21,IF(H$2&gt;$F51+1,('Traditional Attrition'!G51+H183)*(1-IF(H$2-$F51&lt;=12,SUMIFS('Attrition Modeling'!$D:$D,'Attrition Modeling'!$B:$B,'Traditional Attrition'!$E51,'Attrition Modeling'!$C:$C,'Traditional Attrition'!H$1),VLOOKUP('Traditional Attrition'!H$2-'Traditional Attrition'!$F51-1,'Traditional Attrition'!$A$7:$C$161,2,FALSE)*VLOOKUP(H$1,'Attrition Modeling'!$L$15:$N$27,IF(H$2-$F51&lt;=24,2,3),FALSE))*(1+Projection!J$16)*(1+IF(H183&gt;0,'Attrition Modeling'!$N$9,0))),0))</f>
        <v>0</v>
      </c>
      <c r="I51" s="799">
        <f>IF(I$2=$F51+1,Monthly!E$21,IF(I$2&gt;$F51+1,('Traditional Attrition'!H51+I183)*(1-IF(I$2-$F51&lt;=12,SUMIFS('Attrition Modeling'!$D:$D,'Attrition Modeling'!$B:$B,'Traditional Attrition'!$E51,'Attrition Modeling'!$C:$C,'Traditional Attrition'!I$1),VLOOKUP('Traditional Attrition'!I$2-'Traditional Attrition'!$F51-1,'Traditional Attrition'!$A$7:$C$161,2,FALSE)*VLOOKUP(I$1,'Attrition Modeling'!$L$15:$N$27,IF(I$2-$F51&lt;=24,2,3),FALSE))*(1+Projection!K$16)*(1+IF(I183&gt;0,'Attrition Modeling'!$N$9,0))),0))</f>
        <v>0</v>
      </c>
      <c r="J51" s="799">
        <f>IF(J$2=$F51+1,Monthly!F$21,IF(J$2&gt;$F51+1,('Traditional Attrition'!I51+J183)*(1-IF(J$2-$F51&lt;=12,SUMIFS('Attrition Modeling'!$D:$D,'Attrition Modeling'!$B:$B,'Traditional Attrition'!$E51,'Attrition Modeling'!$C:$C,'Traditional Attrition'!J$1),VLOOKUP('Traditional Attrition'!J$2-'Traditional Attrition'!$F51-1,'Traditional Attrition'!$A$7:$C$161,2,FALSE)*VLOOKUP(J$1,'Attrition Modeling'!$L$15:$N$27,IF(J$2-$F51&lt;=24,2,3),FALSE))*(1+Projection!L$16)*(1+IF(J183&gt;0,'Attrition Modeling'!$N$9,0))),0))</f>
        <v>0</v>
      </c>
      <c r="K51" s="799">
        <f>IF(K$2=$F51+1,Monthly!G$21,IF(K$2&gt;$F51+1,('Traditional Attrition'!J51+K183)*(1-IF(K$2-$F51&lt;=12,SUMIFS('Attrition Modeling'!$D:$D,'Attrition Modeling'!$B:$B,'Traditional Attrition'!$E51,'Attrition Modeling'!$C:$C,'Traditional Attrition'!K$1),VLOOKUP('Traditional Attrition'!K$2-'Traditional Attrition'!$F51-1,'Traditional Attrition'!$A$7:$C$161,2,FALSE)*VLOOKUP(K$1,'Attrition Modeling'!$L$15:$N$27,IF(K$2-$F51&lt;=24,2,3),FALSE))*(1+Projection!M$16)*(1+IF(K183&gt;0,'Attrition Modeling'!$N$9,0))),0))</f>
        <v>0</v>
      </c>
      <c r="L51" s="799">
        <f>IF(L$2=$F51+1,Monthly!H$21,IF(L$2&gt;$F51+1,('Traditional Attrition'!K51+L183)*(1-IF(L$2-$F51&lt;=12,SUMIFS('Attrition Modeling'!$D:$D,'Attrition Modeling'!$B:$B,'Traditional Attrition'!$E51,'Attrition Modeling'!$C:$C,'Traditional Attrition'!L$1),VLOOKUP('Traditional Attrition'!L$2-'Traditional Attrition'!$F51-1,'Traditional Attrition'!$A$7:$C$161,2,FALSE)*VLOOKUP(L$1,'Attrition Modeling'!$L$15:$N$27,IF(L$2-$F51&lt;=24,2,3),FALSE))*(1+Projection!N$16)*(1+IF(L183&gt;0,'Attrition Modeling'!$N$9,0))),0))</f>
        <v>0</v>
      </c>
      <c r="M51" s="799">
        <f>IF(M$2=$F51+1,Monthly!I$21,IF(M$2&gt;$F51+1,('Traditional Attrition'!L51+M183)*(1-IF(M$2-$F51&lt;=12,SUMIFS('Attrition Modeling'!$D:$D,'Attrition Modeling'!$B:$B,'Traditional Attrition'!$E51,'Attrition Modeling'!$C:$C,'Traditional Attrition'!M$1),VLOOKUP('Traditional Attrition'!M$2-'Traditional Attrition'!$F51-1,'Traditional Attrition'!$A$7:$C$161,2,FALSE)*VLOOKUP(M$1,'Attrition Modeling'!$L$15:$N$27,IF(M$2-$F51&lt;=24,2,3),FALSE))*(1+Projection!O$16)*(1+IF(M183&gt;0,'Attrition Modeling'!$N$9,0))),0))</f>
        <v>0</v>
      </c>
      <c r="N51" s="799">
        <f>IF(N$2=$F51+1,Monthly!J$21,IF(N$2&gt;$F51+1,('Traditional Attrition'!M51+N183)*(1-IF(N$2-$F51&lt;=12,SUMIFS('Attrition Modeling'!$D:$D,'Attrition Modeling'!$B:$B,'Traditional Attrition'!$E51,'Attrition Modeling'!$C:$C,'Traditional Attrition'!N$1),VLOOKUP('Traditional Attrition'!N$2-'Traditional Attrition'!$F51-1,'Traditional Attrition'!$A$7:$C$161,2,FALSE)*VLOOKUP(N$1,'Attrition Modeling'!$L$15:$N$27,IF(N$2-$F51&lt;=24,2,3),FALSE))*(1+Projection!P$16)*(1+IF(N183&gt;0,'Attrition Modeling'!$N$9,0))),0))</f>
        <v>0</v>
      </c>
      <c r="O51" s="799">
        <f>IF(O$2=$F51+1,Monthly!K$21,IF(O$2&gt;$F51+1,('Traditional Attrition'!N51+O183)*(1-IF(O$2-$F51&lt;=12,SUMIFS('Attrition Modeling'!$D:$D,'Attrition Modeling'!$B:$B,'Traditional Attrition'!$E51,'Attrition Modeling'!$C:$C,'Traditional Attrition'!O$1),VLOOKUP('Traditional Attrition'!O$2-'Traditional Attrition'!$F51-1,'Traditional Attrition'!$A$7:$C$161,2,FALSE)*VLOOKUP(O$1,'Attrition Modeling'!$L$15:$N$27,IF(O$2-$F51&lt;=24,2,3),FALSE))*(1+Projection!Q$16)*(1+IF(O183&gt;0,'Attrition Modeling'!$N$9,0))),0))</f>
        <v>0</v>
      </c>
      <c r="P51" s="799">
        <f>IF(P$2=$F51+1,Monthly!L$21,IF(P$2&gt;$F51+1,('Traditional Attrition'!O51+P183)*(1-IF(P$2-$F51&lt;=12,SUMIFS('Attrition Modeling'!$D:$D,'Attrition Modeling'!$B:$B,'Traditional Attrition'!$E51,'Attrition Modeling'!$C:$C,'Traditional Attrition'!P$1),VLOOKUP('Traditional Attrition'!P$2-'Traditional Attrition'!$F51-1,'Traditional Attrition'!$A$7:$C$161,2,FALSE)*VLOOKUP(P$1,'Attrition Modeling'!$L$15:$N$27,IF(P$2-$F51&lt;=24,2,3),FALSE))*(1+Projection!R$16)*(1+IF(P183&gt;0,'Attrition Modeling'!$N$9,0))),0))</f>
        <v>0</v>
      </c>
      <c r="Q51" s="799">
        <f>IF(Q$2=$F51+1,Monthly!M$21,IF(Q$2&gt;$F51+1,('Traditional Attrition'!P51+Q183)*(1-IF(Q$2-$F51&lt;=12,SUMIFS('Attrition Modeling'!$D:$D,'Attrition Modeling'!$B:$B,'Traditional Attrition'!$E51,'Attrition Modeling'!$C:$C,'Traditional Attrition'!Q$1),VLOOKUP('Traditional Attrition'!Q$2-'Traditional Attrition'!$F51-1,'Traditional Attrition'!$A$7:$C$161,2,FALSE)*VLOOKUP(Q$1,'Attrition Modeling'!$L$15:$N$27,IF(Q$2-$F51&lt;=24,2,3),FALSE))*(1+Projection!S$16)*(1+IF(Q183&gt;0,'Attrition Modeling'!$N$9,0))),0))</f>
        <v>0</v>
      </c>
      <c r="R51" s="799">
        <f>IF(R$2=$F51+1,Monthly!N$21,IF(R$2&gt;$F51+1,('Traditional Attrition'!Q51+R183)*(1-IF(R$2-$F51&lt;=12,SUMIFS('Attrition Modeling'!$D:$D,'Attrition Modeling'!$B:$B,'Traditional Attrition'!$E51,'Attrition Modeling'!$C:$C,'Traditional Attrition'!R$1),VLOOKUP('Traditional Attrition'!R$2-'Traditional Attrition'!$F51-1,'Traditional Attrition'!$A$7:$C$161,2,FALSE)*VLOOKUP(R$1,'Attrition Modeling'!$L$15:$N$27,IF(R$2-$F51&lt;=24,2,3),FALSE))*(1+Projection!T$16)*(1+IF(R183&gt;0,'Attrition Modeling'!$N$9,0))),0))</f>
        <v>0</v>
      </c>
      <c r="S51" s="799">
        <f>IF(S$2=$F51+1,Monthly!O$21,IF(S$2&gt;$F51+1,('Traditional Attrition'!R51+S183)*(1-IF(S$2-$F51&lt;=12,SUMIFS('Attrition Modeling'!$D:$D,'Attrition Modeling'!$B:$B,'Traditional Attrition'!$E51,'Attrition Modeling'!$C:$C,'Traditional Attrition'!S$1),VLOOKUP('Traditional Attrition'!S$2-'Traditional Attrition'!$F51-1,'Traditional Attrition'!$A$7:$C$161,2,FALSE)*VLOOKUP(S$1,'Attrition Modeling'!$L$15:$N$27,IF(S$2-$F51&lt;=24,2,3),FALSE))*(1+Projection!U$16)*(1+IF(S183&gt;0,'Attrition Modeling'!$N$9,0))),0))</f>
        <v>0</v>
      </c>
      <c r="T51" s="799">
        <f>IF(T$2=$F51+1,Monthly!P$21,IF(T$2&gt;$F51+1,('Traditional Attrition'!S51+T183)*(1-IF(T$2-$F51&lt;=12,SUMIFS('Attrition Modeling'!$D:$D,'Attrition Modeling'!$B:$B,'Traditional Attrition'!$E51,'Attrition Modeling'!$C:$C,'Traditional Attrition'!T$1),VLOOKUP('Traditional Attrition'!T$2-'Traditional Attrition'!$F51-1,'Traditional Attrition'!$A$7:$C$161,2,FALSE)*VLOOKUP(T$1,'Attrition Modeling'!$L$15:$N$27,IF(T$2-$F51&lt;=24,2,3),FALSE))*(1+Projection!V$16)*(1+IF(T183&gt;0,'Attrition Modeling'!$N$9,0))),0))</f>
        <v>0</v>
      </c>
      <c r="U51" s="799">
        <f>IF(U$2=$F51+1,Monthly!Q$21,IF(U$2&gt;$F51+1,('Traditional Attrition'!T51+U183)*(1-IF(U$2-$F51&lt;=12,SUMIFS('Attrition Modeling'!$D:$D,'Attrition Modeling'!$B:$B,'Traditional Attrition'!$E51,'Attrition Modeling'!$C:$C,'Traditional Attrition'!U$1),VLOOKUP('Traditional Attrition'!U$2-'Traditional Attrition'!$F51-1,'Traditional Attrition'!$A$7:$C$161,2,FALSE)*VLOOKUP(U$1,'Attrition Modeling'!$L$15:$N$27,IF(U$2-$F51&lt;=24,2,3),FALSE))*(1+Projection!W$16)*(1+IF(U183&gt;0,'Attrition Modeling'!$N$9,0))),0))</f>
        <v>0</v>
      </c>
      <c r="V51" s="799">
        <f>IF(V$2=$F51+1,Monthly!R$21,IF(V$2&gt;$F51+1,('Traditional Attrition'!U51+V183)*(1-IF(V$2-$F51&lt;=12,SUMIFS('Attrition Modeling'!$D:$D,'Attrition Modeling'!$B:$B,'Traditional Attrition'!$E51,'Attrition Modeling'!$C:$C,'Traditional Attrition'!V$1),VLOOKUP('Traditional Attrition'!V$2-'Traditional Attrition'!$F51-1,'Traditional Attrition'!$A$7:$C$161,2,FALSE)*VLOOKUP(V$1,'Attrition Modeling'!$L$15:$N$27,IF(V$2-$F51&lt;=24,2,3),FALSE))*(1+Projection!X$16)*(1+IF(V183&gt;0,'Attrition Modeling'!$N$9,0))),0))</f>
        <v>0</v>
      </c>
      <c r="W51" s="799">
        <f>IF(W$2=$F51+1,Monthly!S$21,IF(W$2&gt;$F51+1,('Traditional Attrition'!V51+W183)*(1-IF(W$2-$F51&lt;=12,SUMIFS('Attrition Modeling'!$D:$D,'Attrition Modeling'!$B:$B,'Traditional Attrition'!$E51,'Attrition Modeling'!$C:$C,'Traditional Attrition'!W$1),VLOOKUP('Traditional Attrition'!W$2-'Traditional Attrition'!$F51-1,'Traditional Attrition'!$A$7:$C$161,2,FALSE)*VLOOKUP(W$1,'Attrition Modeling'!$L$15:$N$27,IF(W$2-$F51&lt;=24,2,3),FALSE))*(1+Projection!Y$16)*(1+IF(W183&gt;0,'Attrition Modeling'!$N$9,0))),0))</f>
        <v>0</v>
      </c>
      <c r="X51" s="799">
        <f>IF(X$2=$F51+1,Monthly!T$21,IF(X$2&gt;$F51+1,('Traditional Attrition'!W51+X183)*(1-IF(X$2-$F51&lt;=12,SUMIFS('Attrition Modeling'!$D:$D,'Attrition Modeling'!$B:$B,'Traditional Attrition'!$E51,'Attrition Modeling'!$C:$C,'Traditional Attrition'!X$1),VLOOKUP('Traditional Attrition'!X$2-'Traditional Attrition'!$F51-1,'Traditional Attrition'!$A$7:$C$161,2,FALSE)*VLOOKUP(X$1,'Attrition Modeling'!$L$15:$N$27,IF(X$2-$F51&lt;=24,2,3),FALSE))*(1+Projection!Z$16)*(1+IF(X183&gt;0,'Attrition Modeling'!$N$9,0))),0))</f>
        <v>0</v>
      </c>
      <c r="Y51" s="799">
        <f>IF(Y$2=$F51+1,Monthly!U$21,IF(Y$2&gt;$F51+1,('Traditional Attrition'!X51+Y183)*(1-IF(Y$2-$F51&lt;=12,SUMIFS('Attrition Modeling'!$D:$D,'Attrition Modeling'!$B:$B,'Traditional Attrition'!$E51,'Attrition Modeling'!$C:$C,'Traditional Attrition'!Y$1),VLOOKUP('Traditional Attrition'!Y$2-'Traditional Attrition'!$F51-1,'Traditional Attrition'!$A$7:$C$161,2,FALSE)*VLOOKUP(Y$1,'Attrition Modeling'!$L$15:$N$27,IF(Y$2-$F51&lt;=24,2,3),FALSE))*(1+Projection!AA$16)*(1+IF(Y183&gt;0,'Attrition Modeling'!$N$9,0))),0))</f>
        <v>0</v>
      </c>
      <c r="Z51" s="799">
        <f>IF(Z$2=$F51+1,Monthly!V$21,IF(Z$2&gt;$F51+1,('Traditional Attrition'!Y51+Z183)*(1-IF(Z$2-$F51&lt;=12,SUMIFS('Attrition Modeling'!$D:$D,'Attrition Modeling'!$B:$B,'Traditional Attrition'!$E51,'Attrition Modeling'!$C:$C,'Traditional Attrition'!Z$1),VLOOKUP('Traditional Attrition'!Z$2-'Traditional Attrition'!$F51-1,'Traditional Attrition'!$A$7:$C$161,2,FALSE)*VLOOKUP(Z$1,'Attrition Modeling'!$L$15:$N$27,IF(Z$2-$F51&lt;=24,2,3),FALSE))*(1+Projection!AB$16)*(1+IF(Z183&gt;0,'Attrition Modeling'!$N$9,0))),0))</f>
        <v>0</v>
      </c>
      <c r="AA51" s="799">
        <f>IF(AA$2=$F51+1,Monthly!W$21,IF(AA$2&gt;$F51+1,('Traditional Attrition'!Z51+AA183)*(1-IF(AA$2-$F51&lt;=12,SUMIFS('Attrition Modeling'!$D:$D,'Attrition Modeling'!$B:$B,'Traditional Attrition'!$E51,'Attrition Modeling'!$C:$C,'Traditional Attrition'!AA$1),VLOOKUP('Traditional Attrition'!AA$2-'Traditional Attrition'!$F51-1,'Traditional Attrition'!$A$7:$C$161,2,FALSE)*VLOOKUP(AA$1,'Attrition Modeling'!$L$15:$N$27,IF(AA$2-$F51&lt;=24,2,3),FALSE))*(1+Projection!AC$16)*(1+IF(AA183&gt;0,'Attrition Modeling'!$N$9,0))),0))</f>
        <v>0</v>
      </c>
      <c r="AB51" s="799">
        <f>IF(AB$2=$F51+1,Monthly!X$21,IF(AB$2&gt;$F51+1,('Traditional Attrition'!AA51+AB183)*(1-IF(AB$2-$F51&lt;=12,SUMIFS('Attrition Modeling'!$D:$D,'Attrition Modeling'!$B:$B,'Traditional Attrition'!$E51,'Attrition Modeling'!$C:$C,'Traditional Attrition'!AB$1),VLOOKUP('Traditional Attrition'!AB$2-'Traditional Attrition'!$F51-1,'Traditional Attrition'!$A$7:$C$161,2,FALSE)*VLOOKUP(AB$1,'Attrition Modeling'!$L$15:$N$27,IF(AB$2-$F51&lt;=24,2,3),FALSE))*(1+Projection!AD$16)*(1+IF(AB183&gt;0,'Attrition Modeling'!$N$9,0))),0))</f>
        <v>0</v>
      </c>
      <c r="AC51" s="799">
        <f>IF(AC$2=$F51+1,Monthly!Y$21,IF(AC$2&gt;$F51+1,('Traditional Attrition'!AB51+AC183)*(1-IF(AC$2-$F51&lt;=12,SUMIFS('Attrition Modeling'!$D:$D,'Attrition Modeling'!$B:$B,'Traditional Attrition'!$E51,'Attrition Modeling'!$C:$C,'Traditional Attrition'!AC$1),VLOOKUP('Traditional Attrition'!AC$2-'Traditional Attrition'!$F51-1,'Traditional Attrition'!$A$7:$C$161,2,FALSE)*VLOOKUP(AC$1,'Attrition Modeling'!$L$15:$N$27,IF(AC$2-$F51&lt;=24,2,3),FALSE))*(1+Projection!AE$16)*(1+IF(AC183&gt;0,'Attrition Modeling'!$N$9,0))),0))</f>
        <v>0</v>
      </c>
      <c r="AD51" s="799">
        <f>IF(AD$2=$F51+1,Monthly!Z$21,IF(AD$2&gt;$F51+1,('Traditional Attrition'!AC51+AD183)*(1-IF(AD$2-$F51&lt;=12,SUMIFS('Attrition Modeling'!$D:$D,'Attrition Modeling'!$B:$B,'Traditional Attrition'!$E51,'Attrition Modeling'!$C:$C,'Traditional Attrition'!AD$1),VLOOKUP('Traditional Attrition'!AD$2-'Traditional Attrition'!$F51-1,'Traditional Attrition'!$A$7:$C$161,2,FALSE)*VLOOKUP(AD$1,'Attrition Modeling'!$L$15:$N$27,IF(AD$2-$F51&lt;=24,2,3),FALSE))*(1+Projection!AF$16)*(1+IF(AD183&gt;0,'Attrition Modeling'!$N$9,0))),0))</f>
        <v>0</v>
      </c>
      <c r="AE51" s="799">
        <f>IF(AE$2=$F51+1,Monthly!AA$21,IF(AE$2&gt;$F51+1,('Traditional Attrition'!AD51+AE183)*(1-IF(AE$2-$F51&lt;=12,SUMIFS('Attrition Modeling'!$D:$D,'Attrition Modeling'!$B:$B,'Traditional Attrition'!$E51,'Attrition Modeling'!$C:$C,'Traditional Attrition'!AE$1),VLOOKUP('Traditional Attrition'!AE$2-'Traditional Attrition'!$F51-1,'Traditional Attrition'!$A$7:$C$161,2,FALSE)*VLOOKUP(AE$1,'Attrition Modeling'!$L$15:$N$27,IF(AE$2-$F51&lt;=24,2,3),FALSE))*(1+Projection!AG$16)*(1+IF(AE183&gt;0,'Attrition Modeling'!$N$9,0))),0))</f>
        <v>0</v>
      </c>
      <c r="AF51" s="799">
        <f>IF(AF$2=$F51+1,Monthly!AB$21,IF(AF$2&gt;$F51+1,('Traditional Attrition'!AE51+AF183)*(1-IF(AF$2-$F51&lt;=12,SUMIFS('Attrition Modeling'!$D:$D,'Attrition Modeling'!$B:$B,'Traditional Attrition'!$E51,'Attrition Modeling'!$C:$C,'Traditional Attrition'!AF$1),VLOOKUP('Traditional Attrition'!AF$2-'Traditional Attrition'!$F51-1,'Traditional Attrition'!$A$7:$C$161,2,FALSE)*VLOOKUP(AF$1,'Attrition Modeling'!$L$15:$N$27,IF(AF$2-$F51&lt;=24,2,3),FALSE))*(1+Projection!AH$16)*(1+IF(AF183&gt;0,'Attrition Modeling'!$N$9,0))),0))</f>
        <v>0</v>
      </c>
      <c r="AG51" s="799">
        <f>IF(AG$2=$F51+1,Monthly!AC$21,IF(AG$2&gt;$F51+1,('Traditional Attrition'!AF51+AG183)*(1-IF(AG$2-$F51&lt;=12,SUMIFS('Attrition Modeling'!$D:$D,'Attrition Modeling'!$B:$B,'Traditional Attrition'!$E51,'Attrition Modeling'!$C:$C,'Traditional Attrition'!AG$1),VLOOKUP('Traditional Attrition'!AG$2-'Traditional Attrition'!$F51-1,'Traditional Attrition'!$A$7:$C$161,2,FALSE)*VLOOKUP(AG$1,'Attrition Modeling'!$L$15:$N$27,IF(AG$2-$F51&lt;=24,2,3),FALSE))*(1+Projection!AI$16)*(1+IF(AG183&gt;0,'Attrition Modeling'!$N$9,0))),0))</f>
        <v>0</v>
      </c>
      <c r="AH51" s="799">
        <f>IF(AH$2=$F51+1,Monthly!AD$21,IF(AH$2&gt;$F51+1,('Traditional Attrition'!AG51+AH183)*(1-IF(AH$2-$F51&lt;=12,SUMIFS('Attrition Modeling'!$D:$D,'Attrition Modeling'!$B:$B,'Traditional Attrition'!$E51,'Attrition Modeling'!$C:$C,'Traditional Attrition'!AH$1),VLOOKUP('Traditional Attrition'!AH$2-'Traditional Attrition'!$F51-1,'Traditional Attrition'!$A$7:$C$161,2,FALSE)*VLOOKUP(AH$1,'Attrition Modeling'!$L$15:$N$27,IF(AH$2-$F51&lt;=24,2,3),FALSE))*(1+Projection!AJ$16)*(1+IF(AH183&gt;0,'Attrition Modeling'!$N$9,0))),0))</f>
        <v>0</v>
      </c>
      <c r="AI51" s="799">
        <f>IF(AI$2=$F51+1,Monthly!AE$21,IF(AI$2&gt;$F51+1,('Traditional Attrition'!AH51+AI183)*(1-IF(AI$2-$F51&lt;=12,SUMIFS('Attrition Modeling'!$D:$D,'Attrition Modeling'!$B:$B,'Traditional Attrition'!$E51,'Attrition Modeling'!$C:$C,'Traditional Attrition'!AI$1),VLOOKUP('Traditional Attrition'!AI$2-'Traditional Attrition'!$F51-1,'Traditional Attrition'!$A$7:$C$161,2,FALSE)*VLOOKUP(AI$1,'Attrition Modeling'!$L$15:$N$27,IF(AI$2-$F51&lt;=24,2,3),FALSE))*(1+Projection!AK$16)*(1+IF(AI183&gt;0,'Attrition Modeling'!$N$9,0))),0))</f>
        <v>0</v>
      </c>
      <c r="AJ51" s="799">
        <f>IF(AJ$2=$F51+1,Monthly!AF$21,IF(AJ$2&gt;$F51+1,('Traditional Attrition'!AI51+AJ183)*(1-IF(AJ$2-$F51&lt;=12,SUMIFS('Attrition Modeling'!$D:$D,'Attrition Modeling'!$B:$B,'Traditional Attrition'!$E51,'Attrition Modeling'!$C:$C,'Traditional Attrition'!AJ$1),VLOOKUP('Traditional Attrition'!AJ$2-'Traditional Attrition'!$F51-1,'Traditional Attrition'!$A$7:$C$161,2,FALSE)*VLOOKUP(AJ$1,'Attrition Modeling'!$L$15:$N$27,IF(AJ$2-$F51&lt;=24,2,3),FALSE))*(1+Projection!AL$16)*(1+IF(AJ183&gt;0,'Attrition Modeling'!$N$9,0))),0))</f>
        <v>0</v>
      </c>
      <c r="AK51" s="799">
        <f>IF(AK$2=$F51+1,Monthly!AG$21,IF(AK$2&gt;$F51+1,('Traditional Attrition'!AJ51+AK183)*(1-IF(AK$2-$F51&lt;=12,SUMIFS('Attrition Modeling'!$D:$D,'Attrition Modeling'!$B:$B,'Traditional Attrition'!$E51,'Attrition Modeling'!$C:$C,'Traditional Attrition'!AK$1),VLOOKUP('Traditional Attrition'!AK$2-'Traditional Attrition'!$F51-1,'Traditional Attrition'!$A$7:$C$161,2,FALSE)*VLOOKUP(AK$1,'Attrition Modeling'!$L$15:$N$27,IF(AK$2-$F51&lt;=24,2,3),FALSE))*(1+Projection!AM$16)*(1+IF(AK183&gt;0,'Attrition Modeling'!$N$9,0))),0))</f>
        <v>0</v>
      </c>
      <c r="AL51" s="799">
        <f>IF(AL$2=$F51+1,Monthly!AH$21,IF(AL$2&gt;$F51+1,('Traditional Attrition'!AK51+AL183)*(1-IF(AL$2-$F51&lt;=12,SUMIFS('Attrition Modeling'!$D:$D,'Attrition Modeling'!$B:$B,'Traditional Attrition'!$E51,'Attrition Modeling'!$C:$C,'Traditional Attrition'!AL$1),VLOOKUP('Traditional Attrition'!AL$2-'Traditional Attrition'!$F51-1,'Traditional Attrition'!$A$7:$C$161,2,FALSE)*VLOOKUP(AL$1,'Attrition Modeling'!$L$15:$N$27,IF(AL$2-$F51&lt;=24,2,3),FALSE))*(1+Projection!AN$16)*(1+IF(AL183&gt;0,'Attrition Modeling'!$N$9,0))),0))</f>
        <v>0</v>
      </c>
      <c r="AM51" s="799">
        <f>IF(AM$2=$F51+1,Monthly!AI$21,IF(AM$2&gt;$F51+1,('Traditional Attrition'!AL51+AM183)*(1-IF(AM$2-$F51&lt;=12,SUMIFS('Attrition Modeling'!$D:$D,'Attrition Modeling'!$B:$B,'Traditional Attrition'!$E51,'Attrition Modeling'!$C:$C,'Traditional Attrition'!AM$1),VLOOKUP('Traditional Attrition'!AM$2-'Traditional Attrition'!$F51-1,'Traditional Attrition'!$A$7:$C$161,2,FALSE)*VLOOKUP(AM$1,'Attrition Modeling'!$L$15:$N$27,IF(AM$2-$F51&lt;=24,2,3),FALSE))*(1+Projection!AO$16)*(1+IF(AM183&gt;0,'Attrition Modeling'!$N$9,0))),0))</f>
        <v>0</v>
      </c>
      <c r="AN51" s="799">
        <f>IF(AN$2=$F51+1,Monthly!AJ$21,IF(AN$2&gt;$F51+1,('Traditional Attrition'!AM51+AN183)*(1-IF(AN$2-$F51&lt;=12,SUMIFS('Attrition Modeling'!$D:$D,'Attrition Modeling'!$B:$B,'Traditional Attrition'!$E51,'Attrition Modeling'!$C:$C,'Traditional Attrition'!AN$1),VLOOKUP('Traditional Attrition'!AN$2-'Traditional Attrition'!$F51-1,'Traditional Attrition'!$A$7:$C$161,2,FALSE)*VLOOKUP(AN$1,'Attrition Modeling'!$L$15:$N$27,IF(AN$2-$F51&lt;=24,2,3),FALSE))*(1+Projection!AP$16)*(1+IF(AN183&gt;0,'Attrition Modeling'!$N$9,0))),0))</f>
        <v>0</v>
      </c>
      <c r="AO51" s="799">
        <f>IF(AO$2=$F51+1,Monthly!AK$21,IF(AO$2&gt;$F51+1,('Traditional Attrition'!AN51+AO183)*(1-IF(AO$2-$F51&lt;=12,SUMIFS('Attrition Modeling'!$D:$D,'Attrition Modeling'!$B:$B,'Traditional Attrition'!$E51,'Attrition Modeling'!$C:$C,'Traditional Attrition'!AO$1),VLOOKUP('Traditional Attrition'!AO$2-'Traditional Attrition'!$F51-1,'Traditional Attrition'!$A$7:$C$161,2,FALSE)*VLOOKUP(AO$1,'Attrition Modeling'!$L$15:$N$27,IF(AO$2-$F51&lt;=24,2,3),FALSE))*(1+Projection!AQ$16)*(1+IF(AO183&gt;0,'Attrition Modeling'!$N$9,0))),0))</f>
        <v>0</v>
      </c>
      <c r="AP51" s="799">
        <f>IF(AP$2=$F51+1,Monthly!AL$21,IF(AP$2&gt;$F51+1,('Traditional Attrition'!AO51+AP183)*(1-IF(AP$2-$F51&lt;=12,SUMIFS('Attrition Modeling'!$D:$D,'Attrition Modeling'!$B:$B,'Traditional Attrition'!$E51,'Attrition Modeling'!$C:$C,'Traditional Attrition'!AP$1),VLOOKUP('Traditional Attrition'!AP$2-'Traditional Attrition'!$F51-1,'Traditional Attrition'!$A$7:$C$161,2,FALSE)*VLOOKUP(AP$1,'Attrition Modeling'!$L$15:$N$27,IF(AP$2-$F51&lt;=24,2,3),FALSE))*(1+Projection!AR$16)*(1+IF(AP183&gt;0,'Attrition Modeling'!$N$9,0))),0))</f>
        <v>0</v>
      </c>
      <c r="AQ51" s="799">
        <f>IF(AQ$2=$F51+1,Monthly!AM$21,IF(AQ$2&gt;$F51+1,('Traditional Attrition'!AP51+AQ183)*(1-IF(AQ$2-$F51&lt;=12,SUMIFS('Attrition Modeling'!$D:$D,'Attrition Modeling'!$B:$B,'Traditional Attrition'!$E51,'Attrition Modeling'!$C:$C,'Traditional Attrition'!AQ$1),VLOOKUP('Traditional Attrition'!AQ$2-'Traditional Attrition'!$F51-1,'Traditional Attrition'!$A$7:$C$161,2,FALSE)*VLOOKUP(AQ$1,'Attrition Modeling'!$L$15:$N$27,IF(AQ$2-$F51&lt;=24,2,3),FALSE))*(1+Projection!AS$16)*(1+IF(AQ183&gt;0,'Attrition Modeling'!$N$9,0))),0))</f>
        <v>0</v>
      </c>
      <c r="AR51" s="799">
        <f>IF(AR$2=$F51+1,Monthly!AN$21,IF(AR$2&gt;$F51+1,('Traditional Attrition'!AQ51+AR183)*(1-IF(AR$2-$F51&lt;=12,SUMIFS('Attrition Modeling'!$D:$D,'Attrition Modeling'!$B:$B,'Traditional Attrition'!$E51,'Attrition Modeling'!$C:$C,'Traditional Attrition'!AR$1),VLOOKUP('Traditional Attrition'!AR$2-'Traditional Attrition'!$F51-1,'Traditional Attrition'!$A$7:$C$161,2,FALSE)*VLOOKUP(AR$1,'Attrition Modeling'!$L$15:$N$27,IF(AR$2-$F51&lt;=24,2,3),FALSE))*(1+Projection!AT$16)*(1+IF(AR183&gt;0,'Attrition Modeling'!$N$9,0))),0))</f>
        <v>0</v>
      </c>
      <c r="AS51" s="799">
        <f>IF(AS$2=$F51+1,Monthly!AO$21,IF(AS$2&gt;$F51+1,('Traditional Attrition'!AR51+AS183)*(1-IF(AS$2-$F51&lt;=12,SUMIFS('Attrition Modeling'!$D:$D,'Attrition Modeling'!$B:$B,'Traditional Attrition'!$E51,'Attrition Modeling'!$C:$C,'Traditional Attrition'!AS$1),VLOOKUP('Traditional Attrition'!AS$2-'Traditional Attrition'!$F51-1,'Traditional Attrition'!$A$7:$C$161,2,FALSE)*VLOOKUP(AS$1,'Attrition Modeling'!$L$15:$N$27,IF(AS$2-$F51&lt;=24,2,3),FALSE))*(1+Projection!AU$16)*(1+IF(AS183&gt;0,'Attrition Modeling'!$N$9,0))),0))</f>
        <v>0</v>
      </c>
      <c r="AT51" s="799">
        <f>IF(AT$2=$F51+1,Monthly!AP$21,IF(AT$2&gt;$F51+1,('Traditional Attrition'!AS51+AT183)*(1-IF(AT$2-$F51&lt;=12,SUMIFS('Attrition Modeling'!$D:$D,'Attrition Modeling'!$B:$B,'Traditional Attrition'!$E51,'Attrition Modeling'!$C:$C,'Traditional Attrition'!AT$1),VLOOKUP('Traditional Attrition'!AT$2-'Traditional Attrition'!$F51-1,'Traditional Attrition'!$A$7:$C$161,2,FALSE)*VLOOKUP(AT$1,'Attrition Modeling'!$L$15:$N$27,IF(AT$2-$F51&lt;=24,2,3),FALSE))*(1+Projection!AV$16)*(1+IF(AT183&gt;0,'Attrition Modeling'!$N$9,0))),0))</f>
        <v>0</v>
      </c>
      <c r="AU51" s="799">
        <f>IF(AU$2=$F51+1,Monthly!AQ$21,IF(AU$2&gt;$F51+1,('Traditional Attrition'!AT51+AU183)*(1-IF(AU$2-$F51&lt;=12,SUMIFS('Attrition Modeling'!$D:$D,'Attrition Modeling'!$B:$B,'Traditional Attrition'!$E51,'Attrition Modeling'!$C:$C,'Traditional Attrition'!AU$1),VLOOKUP('Traditional Attrition'!AU$2-'Traditional Attrition'!$F51-1,'Traditional Attrition'!$A$7:$C$161,2,FALSE)*VLOOKUP(AU$1,'Attrition Modeling'!$L$15:$N$27,IF(AU$2-$F51&lt;=24,2,3),FALSE))*(1+Projection!AW$16)*(1+IF(AU183&gt;0,'Attrition Modeling'!$N$9,0))),0))</f>
        <v>0</v>
      </c>
      <c r="AV51" s="799">
        <f>IF(AV$2=$F51+1,Monthly!AR$21,IF(AV$2&gt;$F51+1,('Traditional Attrition'!AU51+AV183)*(1-IF(AV$2-$F51&lt;=12,SUMIFS('Attrition Modeling'!$D:$D,'Attrition Modeling'!$B:$B,'Traditional Attrition'!$E51,'Attrition Modeling'!$C:$C,'Traditional Attrition'!AV$1),VLOOKUP('Traditional Attrition'!AV$2-'Traditional Attrition'!$F51-1,'Traditional Attrition'!$A$7:$C$161,2,FALSE)*VLOOKUP(AV$1,'Attrition Modeling'!$L$15:$N$27,IF(AV$2-$F51&lt;=24,2,3),FALSE))*(1+Projection!AX$16)*(1+IF(AV183&gt;0,'Attrition Modeling'!$N$9,0))),0))</f>
        <v>0</v>
      </c>
      <c r="AW51" s="799">
        <f>IF(AW$2=$F51+1,Monthly!AS$21,IF(AW$2&gt;$F51+1,('Traditional Attrition'!AV51+AW183)*(1-IF(AW$2-$F51&lt;=12,SUMIFS('Attrition Modeling'!$D:$D,'Attrition Modeling'!$B:$B,'Traditional Attrition'!$E51,'Attrition Modeling'!$C:$C,'Traditional Attrition'!AW$1),VLOOKUP('Traditional Attrition'!AW$2-'Traditional Attrition'!$F51-1,'Traditional Attrition'!$A$7:$C$161,2,FALSE)*VLOOKUP(AW$1,'Attrition Modeling'!$L$15:$N$27,IF(AW$2-$F51&lt;=24,2,3),FALSE))*(1+Projection!AY$16)*(1+IF(AW183&gt;0,'Attrition Modeling'!$N$9,0))),0))</f>
        <v>0</v>
      </c>
      <c r="AX51" s="799">
        <f>IF(AX$2=$F51+1,Monthly!AT$21,IF(AX$2&gt;$F51+1,('Traditional Attrition'!AW51+AX183)*(1-IF(AX$2-$F51&lt;=12,SUMIFS('Attrition Modeling'!$D:$D,'Attrition Modeling'!$B:$B,'Traditional Attrition'!$E51,'Attrition Modeling'!$C:$C,'Traditional Attrition'!AX$1),VLOOKUP('Traditional Attrition'!AX$2-'Traditional Attrition'!$F51-1,'Traditional Attrition'!$A$7:$C$161,2,FALSE)*VLOOKUP(AX$1,'Attrition Modeling'!$L$15:$N$27,IF(AX$2-$F51&lt;=24,2,3),FALSE))*(1+Projection!AZ$16)*(1+IF(AX183&gt;0,'Attrition Modeling'!$N$9,0))),0))</f>
        <v>0</v>
      </c>
      <c r="AY51" s="799">
        <f>IF(AY$2=$F51+1,Monthly!AU$21,IF(AY$2&gt;$F51+1,('Traditional Attrition'!AX51+AY183)*(1-IF(AY$2-$F51&lt;=12,SUMIFS('Attrition Modeling'!$D:$D,'Attrition Modeling'!$B:$B,'Traditional Attrition'!$E51,'Attrition Modeling'!$C:$C,'Traditional Attrition'!AY$1),VLOOKUP('Traditional Attrition'!AY$2-'Traditional Attrition'!$F51-1,'Traditional Attrition'!$A$7:$C$161,2,FALSE)*VLOOKUP(AY$1,'Attrition Modeling'!$L$15:$N$27,IF(AY$2-$F51&lt;=24,2,3),FALSE))*(1+Projection!BA$16)*(1+IF(AY183&gt;0,'Attrition Modeling'!$N$9,0))),0))</f>
        <v>0</v>
      </c>
      <c r="AZ51" s="799">
        <f>IF(AZ$2=$F51+1,Monthly!AV$21,IF(AZ$2&gt;$F51+1,('Traditional Attrition'!AY51+AZ183)*(1-IF(AZ$2-$F51&lt;=12,SUMIFS('Attrition Modeling'!$D:$D,'Attrition Modeling'!$B:$B,'Traditional Attrition'!$E51,'Attrition Modeling'!$C:$C,'Traditional Attrition'!AZ$1),VLOOKUP('Traditional Attrition'!AZ$2-'Traditional Attrition'!$F51-1,'Traditional Attrition'!$A$7:$C$161,2,FALSE)*VLOOKUP(AZ$1,'Attrition Modeling'!$L$15:$N$27,IF(AZ$2-$F51&lt;=24,2,3),FALSE))*(1+Projection!BB$16)*(1+IF(AZ183&gt;0,'Attrition Modeling'!$N$9,0))),0))</f>
        <v>0</v>
      </c>
      <c r="BA51" s="799">
        <f>IF(BA$2=$F51+1,Monthly!AW$21,IF(BA$2&gt;$F51+1,('Traditional Attrition'!AZ51+BA183)*(1-IF(BA$2-$F51&lt;=12,SUMIFS('Attrition Modeling'!$D:$D,'Attrition Modeling'!$B:$B,'Traditional Attrition'!$E51,'Attrition Modeling'!$C:$C,'Traditional Attrition'!BA$1),VLOOKUP('Traditional Attrition'!BA$2-'Traditional Attrition'!$F51-1,'Traditional Attrition'!$A$7:$C$161,2,FALSE)*VLOOKUP(BA$1,'Attrition Modeling'!$L$15:$N$27,IF(BA$2-$F51&lt;=24,2,3),FALSE))*(1+Projection!BC$16)*(1+IF(BA183&gt;0,'Attrition Modeling'!$N$9,0))),0))</f>
        <v>0</v>
      </c>
      <c r="BB51" s="799">
        <f>IF(BB$2=$F51+1,Monthly!AX$21,IF(BB$2&gt;$F51+1,('Traditional Attrition'!BA51+BB183)*(1-IF(BB$2-$F51&lt;=12,SUMIFS('Attrition Modeling'!$D:$D,'Attrition Modeling'!$B:$B,'Traditional Attrition'!$E51,'Attrition Modeling'!$C:$C,'Traditional Attrition'!BB$1),VLOOKUP('Traditional Attrition'!BB$2-'Traditional Attrition'!$F51-1,'Traditional Attrition'!$A$7:$C$161,2,FALSE)*VLOOKUP(BB$1,'Attrition Modeling'!$L$15:$N$27,IF(BB$2-$F51&lt;=24,2,3),FALSE))*(1+Projection!BD$16)*(1+IF(BB183&gt;0,'Attrition Modeling'!$N$9,0))),0))</f>
        <v>0</v>
      </c>
      <c r="BC51" s="799">
        <f>IF(BC$2=$F51+1,Monthly!AY$21,IF(BC$2&gt;$F51+1,('Traditional Attrition'!BB51+BC183)*(1-IF(BC$2-$F51&lt;=12,SUMIFS('Attrition Modeling'!$D:$D,'Attrition Modeling'!$B:$B,'Traditional Attrition'!$E51,'Attrition Modeling'!$C:$C,'Traditional Attrition'!BC$1),VLOOKUP('Traditional Attrition'!BC$2-'Traditional Attrition'!$F51-1,'Traditional Attrition'!$A$7:$C$161,2,FALSE)*VLOOKUP(BC$1,'Attrition Modeling'!$L$15:$N$27,IF(BC$2-$F51&lt;=24,2,3),FALSE))*(1+Projection!BE$16)*(1+IF(BC183&gt;0,'Attrition Modeling'!$N$9,0))),0))</f>
        <v>0</v>
      </c>
      <c r="BD51" s="799">
        <f>IF(BD$2=$F51+1,Monthly!AZ$21,IF(BD$2&gt;$F51+1,('Traditional Attrition'!BC51+BD183)*(1-IF(BD$2-$F51&lt;=12,SUMIFS('Attrition Modeling'!$D:$D,'Attrition Modeling'!$B:$B,'Traditional Attrition'!$E51,'Attrition Modeling'!$C:$C,'Traditional Attrition'!BD$1),VLOOKUP('Traditional Attrition'!BD$2-'Traditional Attrition'!$F51-1,'Traditional Attrition'!$A$7:$C$161,2,FALSE)*VLOOKUP(BD$1,'Attrition Modeling'!$L$15:$N$27,IF(BD$2-$F51&lt;=24,2,3),FALSE))*(1+Projection!BF$16)*(1+IF(BD183&gt;0,'Attrition Modeling'!$N$9,0))),0))</f>
        <v>8566.4474346477873</v>
      </c>
      <c r="BE51" s="799">
        <f>IF(BE$2=$F51+1,Monthly!BA$21,IF(BE$2&gt;$F51+1,('Traditional Attrition'!BD51+BE183)*(1-IF(BE$2-$F51&lt;=12,SUMIFS('Attrition Modeling'!$D:$D,'Attrition Modeling'!$B:$B,'Traditional Attrition'!$E51,'Attrition Modeling'!$C:$C,'Traditional Attrition'!BE$1),VLOOKUP('Traditional Attrition'!BE$2-'Traditional Attrition'!$F51-1,'Traditional Attrition'!$A$7:$C$161,2,FALSE)*VLOOKUP(BE$1,'Attrition Modeling'!$L$15:$N$27,IF(BE$2-$F51&lt;=24,2,3),FALSE))*(1+Projection!BG$16)*(1+IF(BE183&gt;0,'Attrition Modeling'!$N$9,0))),0))</f>
        <v>7753.0483451094442</v>
      </c>
      <c r="BF51" s="799">
        <f>IF(BF$2=$F51+1,Monthly!BB$21,IF(BF$2&gt;$F51+1,('Traditional Attrition'!BE51+BF183)*(1-IF(BF$2-$F51&lt;=12,SUMIFS('Attrition Modeling'!$D:$D,'Attrition Modeling'!$B:$B,'Traditional Attrition'!$E51,'Attrition Modeling'!$C:$C,'Traditional Attrition'!BF$1),VLOOKUP('Traditional Attrition'!BF$2-'Traditional Attrition'!$F51-1,'Traditional Attrition'!$A$7:$C$161,2,FALSE)*VLOOKUP(BF$1,'Attrition Modeling'!$L$15:$N$27,IF(BF$2-$F51&lt;=24,2,3),FALSE))*(1+Projection!BH$16)*(1+IF(BF183&gt;0,'Attrition Modeling'!$N$9,0))),0))</f>
        <v>7081.172741924499</v>
      </c>
      <c r="BG51" s="799">
        <f>IF(BG$2=$F51+1,Monthly!BC$21,IF(BG$2&gt;$F51+1,('Traditional Attrition'!BF51+BG183)*(1-IF(BG$2-$F51&lt;=12,SUMIFS('Attrition Modeling'!$D:$D,'Attrition Modeling'!$B:$B,'Traditional Attrition'!$E51,'Attrition Modeling'!$C:$C,'Traditional Attrition'!BG$1),VLOOKUP('Traditional Attrition'!BG$2-'Traditional Attrition'!$F51-1,'Traditional Attrition'!$A$7:$C$161,2,FALSE)*VLOOKUP(BG$1,'Attrition Modeling'!$L$15:$N$27,IF(BG$2-$F51&lt;=24,2,3),FALSE))*(1+Projection!BI$16)*(1+IF(BG183&gt;0,'Attrition Modeling'!$N$9,0))),0))</f>
        <v>6448.2187882363887</v>
      </c>
      <c r="BH51" s="799">
        <f>IF(BH$2=$F51+1,Monthly!BD$21,IF(BH$2&gt;$F51+1,('Traditional Attrition'!BG51+BH183)*(1-IF(BH$2-$F51&lt;=12,SUMIFS('Attrition Modeling'!$D:$D,'Attrition Modeling'!$B:$B,'Traditional Attrition'!$E51,'Attrition Modeling'!$C:$C,'Traditional Attrition'!BH$1),VLOOKUP('Traditional Attrition'!BH$2-'Traditional Attrition'!$F51-1,'Traditional Attrition'!$A$7:$C$161,2,FALSE)*VLOOKUP(BH$1,'Attrition Modeling'!$L$15:$N$27,IF(BH$2-$F51&lt;=24,2,3),FALSE))*(1+Projection!BJ$16)*(1+IF(BH183&gt;0,'Attrition Modeling'!$N$9,0))),0))</f>
        <v>5898.5387655784807</v>
      </c>
      <c r="BI51" s="799">
        <f>IF(BI$2=$F51+1,Monthly!BE$21,IF(BI$2&gt;$F51+1,('Traditional Attrition'!BH51+BI183)*(1-IF(BI$2-$F51&lt;=12,SUMIFS('Attrition Modeling'!$D:$D,'Attrition Modeling'!$B:$B,'Traditional Attrition'!$E51,'Attrition Modeling'!$C:$C,'Traditional Attrition'!BI$1),VLOOKUP('Traditional Attrition'!BI$2-'Traditional Attrition'!$F51-1,'Traditional Attrition'!$A$7:$C$161,2,FALSE)*VLOOKUP(BI$1,'Attrition Modeling'!$L$15:$N$27,IF(BI$2-$F51&lt;=24,2,3),FALSE))*(1+Projection!BK$16)*(1+IF(BI183&gt;0,'Attrition Modeling'!$N$9,0))),0))</f>
        <v>5879.4655469686932</v>
      </c>
      <c r="BJ51" s="799">
        <f>IF(BJ$2=$F51+1,Monthly!BF$21,IF(BJ$2&gt;$F51+1,('Traditional Attrition'!BI51+BJ183)*(1-IF(BJ$2-$F51&lt;=12,SUMIFS('Attrition Modeling'!$D:$D,'Attrition Modeling'!$B:$B,'Traditional Attrition'!$E51,'Attrition Modeling'!$C:$C,'Traditional Attrition'!BJ$1),VLOOKUP('Traditional Attrition'!BJ$2-'Traditional Attrition'!$F51-1,'Traditional Attrition'!$A$7:$C$161,2,FALSE)*VLOOKUP(BJ$1,'Attrition Modeling'!$L$15:$N$27,IF(BJ$2-$F51&lt;=24,2,3),FALSE))*(1+Projection!BL$16)*(1+IF(BJ183&gt;0,'Attrition Modeling'!$N$9,0))),0))</f>
        <v>5435.8882104738414</v>
      </c>
      <c r="BK51" s="799">
        <f>IF(BK$2=$F51+1,Monthly!BG$21,IF(BK$2&gt;$F51+1,('Traditional Attrition'!BJ51+BK183)*(1-IF(BK$2-$F51&lt;=12,SUMIFS('Attrition Modeling'!$D:$D,'Attrition Modeling'!$B:$B,'Traditional Attrition'!$E51,'Attrition Modeling'!$C:$C,'Traditional Attrition'!BK$1),VLOOKUP('Traditional Attrition'!BK$2-'Traditional Attrition'!$F51-1,'Traditional Attrition'!$A$7:$C$161,2,FALSE)*VLOOKUP(BK$1,'Attrition Modeling'!$L$15:$N$27,IF(BK$2-$F51&lt;=24,2,3),FALSE))*(1+Projection!BM$16)*(1+IF(BK183&gt;0,'Attrition Modeling'!$N$9,0))),0))</f>
        <v>5042.1030100616299</v>
      </c>
      <c r="BL51" s="799">
        <f>IF(BL$2=$F51+1,Monthly!BH$21,IF(BL$2&gt;$F51+1,('Traditional Attrition'!BK51+BL183)*(1-IF(BL$2-$F51&lt;=12,SUMIFS('Attrition Modeling'!$D:$D,'Attrition Modeling'!$B:$B,'Traditional Attrition'!$E51,'Attrition Modeling'!$C:$C,'Traditional Attrition'!BL$1),VLOOKUP('Traditional Attrition'!BL$2-'Traditional Attrition'!$F51-1,'Traditional Attrition'!$A$7:$C$161,2,FALSE)*VLOOKUP(BL$1,'Attrition Modeling'!$L$15:$N$27,IF(BL$2-$F51&lt;=24,2,3),FALSE))*(1+Projection!BN$16)*(1+IF(BL183&gt;0,'Attrition Modeling'!$N$9,0))),0))</f>
        <v>4722.4056451309871</v>
      </c>
      <c r="BM51" s="799">
        <f>IF(BM$2=$F51+1,Monthly!BI$21,IF(BM$2&gt;$F51+1,('Traditional Attrition'!BL51+BM183)*(1-IF(BM$2-$F51&lt;=12,SUMIFS('Attrition Modeling'!$D:$D,'Attrition Modeling'!$B:$B,'Traditional Attrition'!$E51,'Attrition Modeling'!$C:$C,'Traditional Attrition'!BM$1),VLOOKUP('Traditional Attrition'!BM$2-'Traditional Attrition'!$F51-1,'Traditional Attrition'!$A$7:$C$161,2,FALSE)*VLOOKUP(BM$1,'Attrition Modeling'!$L$15:$N$27,IF(BM$2-$F51&lt;=24,2,3),FALSE))*(1+Projection!BO$16)*(1+IF(BM183&gt;0,'Attrition Modeling'!$N$9,0))),0))</f>
        <v>4432.0333751179869</v>
      </c>
      <c r="BN51" s="799">
        <f>IF(BN$2=$F51+1,Monthly!BJ$21,IF(BN$2&gt;$F51+1,('Traditional Attrition'!BM51+BN183)*(1-IF(BN$2-$F51&lt;=12,SUMIFS('Attrition Modeling'!$D:$D,'Attrition Modeling'!$B:$B,'Traditional Attrition'!$E51,'Attrition Modeling'!$C:$C,'Traditional Attrition'!BN$1),VLOOKUP('Traditional Attrition'!BN$2-'Traditional Attrition'!$F51-1,'Traditional Attrition'!$A$7:$C$161,2,FALSE)*VLOOKUP(BN$1,'Attrition Modeling'!$L$15:$N$27,IF(BN$2-$F51&lt;=24,2,3),FALSE))*(1+Projection!BP$16)*(1+IF(BN183&gt;0,'Attrition Modeling'!$N$9,0))),0))</f>
        <v>4188.0867236947552</v>
      </c>
      <c r="BO51" s="799">
        <f>IF(BO$2=$F51+1,Monthly!BK$21,IF(BO$2&gt;$F51+1,('Traditional Attrition'!BN51+BO183)*(1-IF(BO$2-$F51&lt;=12,SUMIFS('Attrition Modeling'!$D:$D,'Attrition Modeling'!$B:$B,'Traditional Attrition'!$E51,'Attrition Modeling'!$C:$C,'Traditional Attrition'!BO$1),VLOOKUP('Traditional Attrition'!BO$2-'Traditional Attrition'!$F51-1,'Traditional Attrition'!$A$7:$C$161,2,FALSE)*VLOOKUP(BO$1,'Attrition Modeling'!$L$15:$N$27,IF(BO$2-$F51&lt;=24,2,3),FALSE))*(1+Projection!BV$16)*(1+IF(BO183&gt;0,'Attrition Modeling'!$N$9,0))),0))</f>
        <v>4057.6437369812134</v>
      </c>
      <c r="BP51" s="799">
        <f>IF(BP$2=$F51+1,Monthly!BL$21,IF(BP$2&gt;$F51+1,('Traditional Attrition'!BO51+BP183)*(1-IF(BP$2-$F51&lt;=12,SUMIFS('Attrition Modeling'!$D:$D,'Attrition Modeling'!$B:$B,'Traditional Attrition'!$E51,'Attrition Modeling'!$C:$C,'Traditional Attrition'!BP$1),VLOOKUP('Traditional Attrition'!BP$2-'Traditional Attrition'!$F51-1,'Traditional Attrition'!$A$7:$C$161,2,FALSE)*VLOOKUP(BP$1,'Attrition Modeling'!$L$15:$N$27,IF(BP$2-$F51&lt;=24,2,3),FALSE))*(1+Projection!BW$16)*(1+IF(BP183&gt;0,'Attrition Modeling'!$N$9,0))),0))</f>
        <v>3839.196840081956</v>
      </c>
      <c r="BQ51" s="799">
        <f>IF(BQ$2=$F51+1,Monthly!BM$21,IF(BQ$2&gt;$F51+1,('Traditional Attrition'!BP51+BQ183)*(1-IF(BQ$2-$F51&lt;=12,SUMIFS('Attrition Modeling'!$D:$D,'Attrition Modeling'!$B:$B,'Traditional Attrition'!$E51,'Attrition Modeling'!$C:$C,'Traditional Attrition'!BQ$1),VLOOKUP('Traditional Attrition'!BQ$2-'Traditional Attrition'!$F51-1,'Traditional Attrition'!$A$7:$C$161,2,FALSE)*VLOOKUP(BQ$1,'Attrition Modeling'!$L$15:$N$27,IF(BQ$2-$F51&lt;=24,2,3),FALSE))*(1+Projection!BX$16)*(1+IF(BQ183&gt;0,'Attrition Modeling'!$N$9,0))),0))</f>
        <v>3667.1453658093828</v>
      </c>
      <c r="BR51" s="799">
        <f>IF(BR$2=$F51+1,Monthly!BN$21,IF(BR$2&gt;$F51+1,('Traditional Attrition'!BQ51+BR183)*(1-IF(BR$2-$F51&lt;=12,SUMIFS('Attrition Modeling'!$D:$D,'Attrition Modeling'!$B:$B,'Traditional Attrition'!$E51,'Attrition Modeling'!$C:$C,'Traditional Attrition'!BR$1),VLOOKUP('Traditional Attrition'!BR$2-'Traditional Attrition'!$F51-1,'Traditional Attrition'!$A$7:$C$161,2,FALSE)*VLOOKUP(BR$1,'Attrition Modeling'!$L$15:$N$27,IF(BR$2-$F51&lt;=24,2,3),FALSE))*(1+Projection!BY$16)*(1+IF(BR183&gt;0,'Attrition Modeling'!$N$9,0))),0))</f>
        <v>3497.0096393968947</v>
      </c>
      <c r="BS51" s="799">
        <f>IF(BS$2=$F51+1,Monthly!BO$21,IF(BS$2&gt;$F51+1,('Traditional Attrition'!BR51+BS183)*(1-IF(BS$2-$F51&lt;=12,SUMIFS('Attrition Modeling'!$D:$D,'Attrition Modeling'!$B:$B,'Traditional Attrition'!$E51,'Attrition Modeling'!$C:$C,'Traditional Attrition'!BS$1),VLOOKUP('Traditional Attrition'!BS$2-'Traditional Attrition'!$F51-1,'Traditional Attrition'!$A$7:$C$161,2,FALSE)*VLOOKUP(BS$1,'Attrition Modeling'!$L$15:$N$27,IF(BS$2-$F51&lt;=24,2,3),FALSE))*(1+Projection!BZ$16)*(1+IF(BS183&gt;0,'Attrition Modeling'!$N$9,0))),0))</f>
        <v>3343.3159082744814</v>
      </c>
      <c r="BT51" s="799">
        <f>IF(BT$2=$F51+1,Monthly!#REF!,IF(BT$2&gt;$F51+1,('Traditional Attrition'!BS51+BT183)*(1-IF(BT$2-$F51&lt;=12,SUMIFS('Attrition Modeling'!$D:$D,'Attrition Modeling'!$B:$B,'Traditional Attrition'!$E51,'Attrition Modeling'!$C:$C,'Traditional Attrition'!BT$1),VLOOKUP('Traditional Attrition'!BT$2-'Traditional Attrition'!$F51-1,'Traditional Attrition'!$A$7:$C$161,2,FALSE)*VLOOKUP(BT$1,'Attrition Modeling'!$L$15:$N$27,IF(BT$2-$F51&lt;=24,2,3),FALSE))*(1+Projection!CA$16)*(1+IF(BT183&gt;0,'Attrition Modeling'!$N$9,0))),0))</f>
        <v>3201.7168759831429</v>
      </c>
      <c r="BU51" s="799">
        <f>IF(BU$2=$F51+1,Monthly!#REF!,IF(BU$2&gt;$F51+1,('Traditional Attrition'!BT51+BU183)*(1-IF(BU$2-$F51&lt;=12,SUMIFS('Attrition Modeling'!$D:$D,'Attrition Modeling'!$B:$B,'Traditional Attrition'!$E51,'Attrition Modeling'!$C:$C,'Traditional Attrition'!BU$1),VLOOKUP('Traditional Attrition'!BU$2-'Traditional Attrition'!$F51-1,'Traditional Attrition'!$A$7:$C$161,2,FALSE)*VLOOKUP(BU$1,'Attrition Modeling'!$L$15:$N$27,IF(BU$2-$F51&lt;=24,2,3),FALSE))*(1+Projection!CB$16)*(1+IF(BU183&gt;0,'Attrition Modeling'!$N$9,0))),0))</f>
        <v>3318.1304164845642</v>
      </c>
    </row>
    <row r="52" spans="1:73" ht="14.25" customHeight="1" x14ac:dyDescent="0.2">
      <c r="A52" s="9">
        <v>45</v>
      </c>
      <c r="B52" s="25">
        <f>MAX('Attrition Modeling'!H49,$C$3)*(1-Summary!$C$20)</f>
        <v>2.6775919200803668E-2</v>
      </c>
      <c r="C52" s="24" t="e">
        <f t="shared" si="4"/>
        <v>#DIV/0!</v>
      </c>
      <c r="E52" s="11">
        <f t="shared" si="2"/>
        <v>1</v>
      </c>
      <c r="F52" s="11">
        <f t="shared" si="3"/>
        <v>49</v>
      </c>
      <c r="G52" s="799"/>
      <c r="H52" s="799">
        <f>IF(H$2=$F52+1,Monthly!D$21,IF(H$2&gt;$F52+1,('Traditional Attrition'!G52+H184)*(1-IF(H$2-$F52&lt;=12,SUMIFS('Attrition Modeling'!$D:$D,'Attrition Modeling'!$B:$B,'Traditional Attrition'!$E52,'Attrition Modeling'!$C:$C,'Traditional Attrition'!H$1),VLOOKUP('Traditional Attrition'!H$2-'Traditional Attrition'!$F52-1,'Traditional Attrition'!$A$7:$C$161,2,FALSE)*VLOOKUP(H$1,'Attrition Modeling'!$L$15:$N$27,IF(H$2-$F52&lt;=24,2,3),FALSE))*(1+Projection!J$16)*(1+IF(H184&gt;0,'Attrition Modeling'!$N$9,0))),0))</f>
        <v>0</v>
      </c>
      <c r="I52" s="799">
        <f>IF(I$2=$F52+1,Monthly!E$21,IF(I$2&gt;$F52+1,('Traditional Attrition'!H52+I184)*(1-IF(I$2-$F52&lt;=12,SUMIFS('Attrition Modeling'!$D:$D,'Attrition Modeling'!$B:$B,'Traditional Attrition'!$E52,'Attrition Modeling'!$C:$C,'Traditional Attrition'!I$1),VLOOKUP('Traditional Attrition'!I$2-'Traditional Attrition'!$F52-1,'Traditional Attrition'!$A$7:$C$161,2,FALSE)*VLOOKUP(I$1,'Attrition Modeling'!$L$15:$N$27,IF(I$2-$F52&lt;=24,2,3),FALSE))*(1+Projection!K$16)*(1+IF(I184&gt;0,'Attrition Modeling'!$N$9,0))),0))</f>
        <v>0</v>
      </c>
      <c r="J52" s="799">
        <f>IF(J$2=$F52+1,Monthly!F$21,IF(J$2&gt;$F52+1,('Traditional Attrition'!I52+J184)*(1-IF(J$2-$F52&lt;=12,SUMIFS('Attrition Modeling'!$D:$D,'Attrition Modeling'!$B:$B,'Traditional Attrition'!$E52,'Attrition Modeling'!$C:$C,'Traditional Attrition'!J$1),VLOOKUP('Traditional Attrition'!J$2-'Traditional Attrition'!$F52-1,'Traditional Attrition'!$A$7:$C$161,2,FALSE)*VLOOKUP(J$1,'Attrition Modeling'!$L$15:$N$27,IF(J$2-$F52&lt;=24,2,3),FALSE))*(1+Projection!L$16)*(1+IF(J184&gt;0,'Attrition Modeling'!$N$9,0))),0))</f>
        <v>0</v>
      </c>
      <c r="K52" s="799">
        <f>IF(K$2=$F52+1,Monthly!G$21,IF(K$2&gt;$F52+1,('Traditional Attrition'!J52+K184)*(1-IF(K$2-$F52&lt;=12,SUMIFS('Attrition Modeling'!$D:$D,'Attrition Modeling'!$B:$B,'Traditional Attrition'!$E52,'Attrition Modeling'!$C:$C,'Traditional Attrition'!K$1),VLOOKUP('Traditional Attrition'!K$2-'Traditional Attrition'!$F52-1,'Traditional Attrition'!$A$7:$C$161,2,FALSE)*VLOOKUP(K$1,'Attrition Modeling'!$L$15:$N$27,IF(K$2-$F52&lt;=24,2,3),FALSE))*(1+Projection!M$16)*(1+IF(K184&gt;0,'Attrition Modeling'!$N$9,0))),0))</f>
        <v>0</v>
      </c>
      <c r="L52" s="799">
        <f>IF(L$2=$F52+1,Monthly!H$21,IF(L$2&gt;$F52+1,('Traditional Attrition'!K52+L184)*(1-IF(L$2-$F52&lt;=12,SUMIFS('Attrition Modeling'!$D:$D,'Attrition Modeling'!$B:$B,'Traditional Attrition'!$E52,'Attrition Modeling'!$C:$C,'Traditional Attrition'!L$1),VLOOKUP('Traditional Attrition'!L$2-'Traditional Attrition'!$F52-1,'Traditional Attrition'!$A$7:$C$161,2,FALSE)*VLOOKUP(L$1,'Attrition Modeling'!$L$15:$N$27,IF(L$2-$F52&lt;=24,2,3),FALSE))*(1+Projection!N$16)*(1+IF(L184&gt;0,'Attrition Modeling'!$N$9,0))),0))</f>
        <v>0</v>
      </c>
      <c r="M52" s="799">
        <f>IF(M$2=$F52+1,Monthly!I$21,IF(M$2&gt;$F52+1,('Traditional Attrition'!L52+M184)*(1-IF(M$2-$F52&lt;=12,SUMIFS('Attrition Modeling'!$D:$D,'Attrition Modeling'!$B:$B,'Traditional Attrition'!$E52,'Attrition Modeling'!$C:$C,'Traditional Attrition'!M$1),VLOOKUP('Traditional Attrition'!M$2-'Traditional Attrition'!$F52-1,'Traditional Attrition'!$A$7:$C$161,2,FALSE)*VLOOKUP(M$1,'Attrition Modeling'!$L$15:$N$27,IF(M$2-$F52&lt;=24,2,3),FALSE))*(1+Projection!O$16)*(1+IF(M184&gt;0,'Attrition Modeling'!$N$9,0))),0))</f>
        <v>0</v>
      </c>
      <c r="N52" s="799">
        <f>IF(N$2=$F52+1,Monthly!J$21,IF(N$2&gt;$F52+1,('Traditional Attrition'!M52+N184)*(1-IF(N$2-$F52&lt;=12,SUMIFS('Attrition Modeling'!$D:$D,'Attrition Modeling'!$B:$B,'Traditional Attrition'!$E52,'Attrition Modeling'!$C:$C,'Traditional Attrition'!N$1),VLOOKUP('Traditional Attrition'!N$2-'Traditional Attrition'!$F52-1,'Traditional Attrition'!$A$7:$C$161,2,FALSE)*VLOOKUP(N$1,'Attrition Modeling'!$L$15:$N$27,IF(N$2-$F52&lt;=24,2,3),FALSE))*(1+Projection!P$16)*(1+IF(N184&gt;0,'Attrition Modeling'!$N$9,0))),0))</f>
        <v>0</v>
      </c>
      <c r="O52" s="799">
        <f>IF(O$2=$F52+1,Monthly!K$21,IF(O$2&gt;$F52+1,('Traditional Attrition'!N52+O184)*(1-IF(O$2-$F52&lt;=12,SUMIFS('Attrition Modeling'!$D:$D,'Attrition Modeling'!$B:$B,'Traditional Attrition'!$E52,'Attrition Modeling'!$C:$C,'Traditional Attrition'!O$1),VLOOKUP('Traditional Attrition'!O$2-'Traditional Attrition'!$F52-1,'Traditional Attrition'!$A$7:$C$161,2,FALSE)*VLOOKUP(O$1,'Attrition Modeling'!$L$15:$N$27,IF(O$2-$F52&lt;=24,2,3),FALSE))*(1+Projection!Q$16)*(1+IF(O184&gt;0,'Attrition Modeling'!$N$9,0))),0))</f>
        <v>0</v>
      </c>
      <c r="P52" s="799">
        <f>IF(P$2=$F52+1,Monthly!L$21,IF(P$2&gt;$F52+1,('Traditional Attrition'!O52+P184)*(1-IF(P$2-$F52&lt;=12,SUMIFS('Attrition Modeling'!$D:$D,'Attrition Modeling'!$B:$B,'Traditional Attrition'!$E52,'Attrition Modeling'!$C:$C,'Traditional Attrition'!P$1),VLOOKUP('Traditional Attrition'!P$2-'Traditional Attrition'!$F52-1,'Traditional Attrition'!$A$7:$C$161,2,FALSE)*VLOOKUP(P$1,'Attrition Modeling'!$L$15:$N$27,IF(P$2-$F52&lt;=24,2,3),FALSE))*(1+Projection!R$16)*(1+IF(P184&gt;0,'Attrition Modeling'!$N$9,0))),0))</f>
        <v>0</v>
      </c>
      <c r="Q52" s="799">
        <f>IF(Q$2=$F52+1,Monthly!M$21,IF(Q$2&gt;$F52+1,('Traditional Attrition'!P52+Q184)*(1-IF(Q$2-$F52&lt;=12,SUMIFS('Attrition Modeling'!$D:$D,'Attrition Modeling'!$B:$B,'Traditional Attrition'!$E52,'Attrition Modeling'!$C:$C,'Traditional Attrition'!Q$1),VLOOKUP('Traditional Attrition'!Q$2-'Traditional Attrition'!$F52-1,'Traditional Attrition'!$A$7:$C$161,2,FALSE)*VLOOKUP(Q$1,'Attrition Modeling'!$L$15:$N$27,IF(Q$2-$F52&lt;=24,2,3),FALSE))*(1+Projection!S$16)*(1+IF(Q184&gt;0,'Attrition Modeling'!$N$9,0))),0))</f>
        <v>0</v>
      </c>
      <c r="R52" s="799">
        <f>IF(R$2=$F52+1,Monthly!N$21,IF(R$2&gt;$F52+1,('Traditional Attrition'!Q52+R184)*(1-IF(R$2-$F52&lt;=12,SUMIFS('Attrition Modeling'!$D:$D,'Attrition Modeling'!$B:$B,'Traditional Attrition'!$E52,'Attrition Modeling'!$C:$C,'Traditional Attrition'!R$1),VLOOKUP('Traditional Attrition'!R$2-'Traditional Attrition'!$F52-1,'Traditional Attrition'!$A$7:$C$161,2,FALSE)*VLOOKUP(R$1,'Attrition Modeling'!$L$15:$N$27,IF(R$2-$F52&lt;=24,2,3),FALSE))*(1+Projection!T$16)*(1+IF(R184&gt;0,'Attrition Modeling'!$N$9,0))),0))</f>
        <v>0</v>
      </c>
      <c r="S52" s="799">
        <f>IF(S$2=$F52+1,Monthly!O$21,IF(S$2&gt;$F52+1,('Traditional Attrition'!R52+S184)*(1-IF(S$2-$F52&lt;=12,SUMIFS('Attrition Modeling'!$D:$D,'Attrition Modeling'!$B:$B,'Traditional Attrition'!$E52,'Attrition Modeling'!$C:$C,'Traditional Attrition'!S$1),VLOOKUP('Traditional Attrition'!S$2-'Traditional Attrition'!$F52-1,'Traditional Attrition'!$A$7:$C$161,2,FALSE)*VLOOKUP(S$1,'Attrition Modeling'!$L$15:$N$27,IF(S$2-$F52&lt;=24,2,3),FALSE))*(1+Projection!U$16)*(1+IF(S184&gt;0,'Attrition Modeling'!$N$9,0))),0))</f>
        <v>0</v>
      </c>
      <c r="T52" s="799">
        <f>IF(T$2=$F52+1,Monthly!P$21,IF(T$2&gt;$F52+1,('Traditional Attrition'!S52+T184)*(1-IF(T$2-$F52&lt;=12,SUMIFS('Attrition Modeling'!$D:$D,'Attrition Modeling'!$B:$B,'Traditional Attrition'!$E52,'Attrition Modeling'!$C:$C,'Traditional Attrition'!T$1),VLOOKUP('Traditional Attrition'!T$2-'Traditional Attrition'!$F52-1,'Traditional Attrition'!$A$7:$C$161,2,FALSE)*VLOOKUP(T$1,'Attrition Modeling'!$L$15:$N$27,IF(T$2-$F52&lt;=24,2,3),FALSE))*(1+Projection!V$16)*(1+IF(T184&gt;0,'Attrition Modeling'!$N$9,0))),0))</f>
        <v>0</v>
      </c>
      <c r="U52" s="799">
        <f>IF(U$2=$F52+1,Monthly!Q$21,IF(U$2&gt;$F52+1,('Traditional Attrition'!T52+U184)*(1-IF(U$2-$F52&lt;=12,SUMIFS('Attrition Modeling'!$D:$D,'Attrition Modeling'!$B:$B,'Traditional Attrition'!$E52,'Attrition Modeling'!$C:$C,'Traditional Attrition'!U$1),VLOOKUP('Traditional Attrition'!U$2-'Traditional Attrition'!$F52-1,'Traditional Attrition'!$A$7:$C$161,2,FALSE)*VLOOKUP(U$1,'Attrition Modeling'!$L$15:$N$27,IF(U$2-$F52&lt;=24,2,3),FALSE))*(1+Projection!W$16)*(1+IF(U184&gt;0,'Attrition Modeling'!$N$9,0))),0))</f>
        <v>0</v>
      </c>
      <c r="V52" s="799">
        <f>IF(V$2=$F52+1,Monthly!R$21,IF(V$2&gt;$F52+1,('Traditional Attrition'!U52+V184)*(1-IF(V$2-$F52&lt;=12,SUMIFS('Attrition Modeling'!$D:$D,'Attrition Modeling'!$B:$B,'Traditional Attrition'!$E52,'Attrition Modeling'!$C:$C,'Traditional Attrition'!V$1),VLOOKUP('Traditional Attrition'!V$2-'Traditional Attrition'!$F52-1,'Traditional Attrition'!$A$7:$C$161,2,FALSE)*VLOOKUP(V$1,'Attrition Modeling'!$L$15:$N$27,IF(V$2-$F52&lt;=24,2,3),FALSE))*(1+Projection!X$16)*(1+IF(V184&gt;0,'Attrition Modeling'!$N$9,0))),0))</f>
        <v>0</v>
      </c>
      <c r="W52" s="799">
        <f>IF(W$2=$F52+1,Monthly!S$21,IF(W$2&gt;$F52+1,('Traditional Attrition'!V52+W184)*(1-IF(W$2-$F52&lt;=12,SUMIFS('Attrition Modeling'!$D:$D,'Attrition Modeling'!$B:$B,'Traditional Attrition'!$E52,'Attrition Modeling'!$C:$C,'Traditional Attrition'!W$1),VLOOKUP('Traditional Attrition'!W$2-'Traditional Attrition'!$F52-1,'Traditional Attrition'!$A$7:$C$161,2,FALSE)*VLOOKUP(W$1,'Attrition Modeling'!$L$15:$N$27,IF(W$2-$F52&lt;=24,2,3),FALSE))*(1+Projection!Y$16)*(1+IF(W184&gt;0,'Attrition Modeling'!$N$9,0))),0))</f>
        <v>0</v>
      </c>
      <c r="X52" s="799">
        <f>IF(X$2=$F52+1,Monthly!T$21,IF(X$2&gt;$F52+1,('Traditional Attrition'!W52+X184)*(1-IF(X$2-$F52&lt;=12,SUMIFS('Attrition Modeling'!$D:$D,'Attrition Modeling'!$B:$B,'Traditional Attrition'!$E52,'Attrition Modeling'!$C:$C,'Traditional Attrition'!X$1),VLOOKUP('Traditional Attrition'!X$2-'Traditional Attrition'!$F52-1,'Traditional Attrition'!$A$7:$C$161,2,FALSE)*VLOOKUP(X$1,'Attrition Modeling'!$L$15:$N$27,IF(X$2-$F52&lt;=24,2,3),FALSE))*(1+Projection!Z$16)*(1+IF(X184&gt;0,'Attrition Modeling'!$N$9,0))),0))</f>
        <v>0</v>
      </c>
      <c r="Y52" s="799">
        <f>IF(Y$2=$F52+1,Monthly!U$21,IF(Y$2&gt;$F52+1,('Traditional Attrition'!X52+Y184)*(1-IF(Y$2-$F52&lt;=12,SUMIFS('Attrition Modeling'!$D:$D,'Attrition Modeling'!$B:$B,'Traditional Attrition'!$E52,'Attrition Modeling'!$C:$C,'Traditional Attrition'!Y$1),VLOOKUP('Traditional Attrition'!Y$2-'Traditional Attrition'!$F52-1,'Traditional Attrition'!$A$7:$C$161,2,FALSE)*VLOOKUP(Y$1,'Attrition Modeling'!$L$15:$N$27,IF(Y$2-$F52&lt;=24,2,3),FALSE))*(1+Projection!AA$16)*(1+IF(Y184&gt;0,'Attrition Modeling'!$N$9,0))),0))</f>
        <v>0</v>
      </c>
      <c r="Z52" s="799">
        <f>IF(Z$2=$F52+1,Monthly!V$21,IF(Z$2&gt;$F52+1,('Traditional Attrition'!Y52+Z184)*(1-IF(Z$2-$F52&lt;=12,SUMIFS('Attrition Modeling'!$D:$D,'Attrition Modeling'!$B:$B,'Traditional Attrition'!$E52,'Attrition Modeling'!$C:$C,'Traditional Attrition'!Z$1),VLOOKUP('Traditional Attrition'!Z$2-'Traditional Attrition'!$F52-1,'Traditional Attrition'!$A$7:$C$161,2,FALSE)*VLOOKUP(Z$1,'Attrition Modeling'!$L$15:$N$27,IF(Z$2-$F52&lt;=24,2,3),FALSE))*(1+Projection!AB$16)*(1+IF(Z184&gt;0,'Attrition Modeling'!$N$9,0))),0))</f>
        <v>0</v>
      </c>
      <c r="AA52" s="799">
        <f>IF(AA$2=$F52+1,Monthly!W$21,IF(AA$2&gt;$F52+1,('Traditional Attrition'!Z52+AA184)*(1-IF(AA$2-$F52&lt;=12,SUMIFS('Attrition Modeling'!$D:$D,'Attrition Modeling'!$B:$B,'Traditional Attrition'!$E52,'Attrition Modeling'!$C:$C,'Traditional Attrition'!AA$1),VLOOKUP('Traditional Attrition'!AA$2-'Traditional Attrition'!$F52-1,'Traditional Attrition'!$A$7:$C$161,2,FALSE)*VLOOKUP(AA$1,'Attrition Modeling'!$L$15:$N$27,IF(AA$2-$F52&lt;=24,2,3),FALSE))*(1+Projection!AC$16)*(1+IF(AA184&gt;0,'Attrition Modeling'!$N$9,0))),0))</f>
        <v>0</v>
      </c>
      <c r="AB52" s="799">
        <f>IF(AB$2=$F52+1,Monthly!X$21,IF(AB$2&gt;$F52+1,('Traditional Attrition'!AA52+AB184)*(1-IF(AB$2-$F52&lt;=12,SUMIFS('Attrition Modeling'!$D:$D,'Attrition Modeling'!$B:$B,'Traditional Attrition'!$E52,'Attrition Modeling'!$C:$C,'Traditional Attrition'!AB$1),VLOOKUP('Traditional Attrition'!AB$2-'Traditional Attrition'!$F52-1,'Traditional Attrition'!$A$7:$C$161,2,FALSE)*VLOOKUP(AB$1,'Attrition Modeling'!$L$15:$N$27,IF(AB$2-$F52&lt;=24,2,3),FALSE))*(1+Projection!AD$16)*(1+IF(AB184&gt;0,'Attrition Modeling'!$N$9,0))),0))</f>
        <v>0</v>
      </c>
      <c r="AC52" s="799">
        <f>IF(AC$2=$F52+1,Monthly!Y$21,IF(AC$2&gt;$F52+1,('Traditional Attrition'!AB52+AC184)*(1-IF(AC$2-$F52&lt;=12,SUMIFS('Attrition Modeling'!$D:$D,'Attrition Modeling'!$B:$B,'Traditional Attrition'!$E52,'Attrition Modeling'!$C:$C,'Traditional Attrition'!AC$1),VLOOKUP('Traditional Attrition'!AC$2-'Traditional Attrition'!$F52-1,'Traditional Attrition'!$A$7:$C$161,2,FALSE)*VLOOKUP(AC$1,'Attrition Modeling'!$L$15:$N$27,IF(AC$2-$F52&lt;=24,2,3),FALSE))*(1+Projection!AE$16)*(1+IF(AC184&gt;0,'Attrition Modeling'!$N$9,0))),0))</f>
        <v>0</v>
      </c>
      <c r="AD52" s="799">
        <f>IF(AD$2=$F52+1,Monthly!Z$21,IF(AD$2&gt;$F52+1,('Traditional Attrition'!AC52+AD184)*(1-IF(AD$2-$F52&lt;=12,SUMIFS('Attrition Modeling'!$D:$D,'Attrition Modeling'!$B:$B,'Traditional Attrition'!$E52,'Attrition Modeling'!$C:$C,'Traditional Attrition'!AD$1),VLOOKUP('Traditional Attrition'!AD$2-'Traditional Attrition'!$F52-1,'Traditional Attrition'!$A$7:$C$161,2,FALSE)*VLOOKUP(AD$1,'Attrition Modeling'!$L$15:$N$27,IF(AD$2-$F52&lt;=24,2,3),FALSE))*(1+Projection!AF$16)*(1+IF(AD184&gt;0,'Attrition Modeling'!$N$9,0))),0))</f>
        <v>0</v>
      </c>
      <c r="AE52" s="799">
        <f>IF(AE$2=$F52+1,Monthly!AA$21,IF(AE$2&gt;$F52+1,('Traditional Attrition'!AD52+AE184)*(1-IF(AE$2-$F52&lt;=12,SUMIFS('Attrition Modeling'!$D:$D,'Attrition Modeling'!$B:$B,'Traditional Attrition'!$E52,'Attrition Modeling'!$C:$C,'Traditional Attrition'!AE$1),VLOOKUP('Traditional Attrition'!AE$2-'Traditional Attrition'!$F52-1,'Traditional Attrition'!$A$7:$C$161,2,FALSE)*VLOOKUP(AE$1,'Attrition Modeling'!$L$15:$N$27,IF(AE$2-$F52&lt;=24,2,3),FALSE))*(1+Projection!AG$16)*(1+IF(AE184&gt;0,'Attrition Modeling'!$N$9,0))),0))</f>
        <v>0</v>
      </c>
      <c r="AF52" s="799">
        <f>IF(AF$2=$F52+1,Monthly!AB$21,IF(AF$2&gt;$F52+1,('Traditional Attrition'!AE52+AF184)*(1-IF(AF$2-$F52&lt;=12,SUMIFS('Attrition Modeling'!$D:$D,'Attrition Modeling'!$B:$B,'Traditional Attrition'!$E52,'Attrition Modeling'!$C:$C,'Traditional Attrition'!AF$1),VLOOKUP('Traditional Attrition'!AF$2-'Traditional Attrition'!$F52-1,'Traditional Attrition'!$A$7:$C$161,2,FALSE)*VLOOKUP(AF$1,'Attrition Modeling'!$L$15:$N$27,IF(AF$2-$F52&lt;=24,2,3),FALSE))*(1+Projection!AH$16)*(1+IF(AF184&gt;0,'Attrition Modeling'!$N$9,0))),0))</f>
        <v>0</v>
      </c>
      <c r="AG52" s="799">
        <f>IF(AG$2=$F52+1,Monthly!AC$21,IF(AG$2&gt;$F52+1,('Traditional Attrition'!AF52+AG184)*(1-IF(AG$2-$F52&lt;=12,SUMIFS('Attrition Modeling'!$D:$D,'Attrition Modeling'!$B:$B,'Traditional Attrition'!$E52,'Attrition Modeling'!$C:$C,'Traditional Attrition'!AG$1),VLOOKUP('Traditional Attrition'!AG$2-'Traditional Attrition'!$F52-1,'Traditional Attrition'!$A$7:$C$161,2,FALSE)*VLOOKUP(AG$1,'Attrition Modeling'!$L$15:$N$27,IF(AG$2-$F52&lt;=24,2,3),FALSE))*(1+Projection!AI$16)*(1+IF(AG184&gt;0,'Attrition Modeling'!$N$9,0))),0))</f>
        <v>0</v>
      </c>
      <c r="AH52" s="799">
        <f>IF(AH$2=$F52+1,Monthly!AD$21,IF(AH$2&gt;$F52+1,('Traditional Attrition'!AG52+AH184)*(1-IF(AH$2-$F52&lt;=12,SUMIFS('Attrition Modeling'!$D:$D,'Attrition Modeling'!$B:$B,'Traditional Attrition'!$E52,'Attrition Modeling'!$C:$C,'Traditional Attrition'!AH$1),VLOOKUP('Traditional Attrition'!AH$2-'Traditional Attrition'!$F52-1,'Traditional Attrition'!$A$7:$C$161,2,FALSE)*VLOOKUP(AH$1,'Attrition Modeling'!$L$15:$N$27,IF(AH$2-$F52&lt;=24,2,3),FALSE))*(1+Projection!AJ$16)*(1+IF(AH184&gt;0,'Attrition Modeling'!$N$9,0))),0))</f>
        <v>0</v>
      </c>
      <c r="AI52" s="799">
        <f>IF(AI$2=$F52+1,Monthly!AE$21,IF(AI$2&gt;$F52+1,('Traditional Attrition'!AH52+AI184)*(1-IF(AI$2-$F52&lt;=12,SUMIFS('Attrition Modeling'!$D:$D,'Attrition Modeling'!$B:$B,'Traditional Attrition'!$E52,'Attrition Modeling'!$C:$C,'Traditional Attrition'!AI$1),VLOOKUP('Traditional Attrition'!AI$2-'Traditional Attrition'!$F52-1,'Traditional Attrition'!$A$7:$C$161,2,FALSE)*VLOOKUP(AI$1,'Attrition Modeling'!$L$15:$N$27,IF(AI$2-$F52&lt;=24,2,3),FALSE))*(1+Projection!AK$16)*(1+IF(AI184&gt;0,'Attrition Modeling'!$N$9,0))),0))</f>
        <v>0</v>
      </c>
      <c r="AJ52" s="799">
        <f>IF(AJ$2=$F52+1,Monthly!AF$21,IF(AJ$2&gt;$F52+1,('Traditional Attrition'!AI52+AJ184)*(1-IF(AJ$2-$F52&lt;=12,SUMIFS('Attrition Modeling'!$D:$D,'Attrition Modeling'!$B:$B,'Traditional Attrition'!$E52,'Attrition Modeling'!$C:$C,'Traditional Attrition'!AJ$1),VLOOKUP('Traditional Attrition'!AJ$2-'Traditional Attrition'!$F52-1,'Traditional Attrition'!$A$7:$C$161,2,FALSE)*VLOOKUP(AJ$1,'Attrition Modeling'!$L$15:$N$27,IF(AJ$2-$F52&lt;=24,2,3),FALSE))*(1+Projection!AL$16)*(1+IF(AJ184&gt;0,'Attrition Modeling'!$N$9,0))),0))</f>
        <v>0</v>
      </c>
      <c r="AK52" s="799">
        <f>IF(AK$2=$F52+1,Monthly!AG$21,IF(AK$2&gt;$F52+1,('Traditional Attrition'!AJ52+AK184)*(1-IF(AK$2-$F52&lt;=12,SUMIFS('Attrition Modeling'!$D:$D,'Attrition Modeling'!$B:$B,'Traditional Attrition'!$E52,'Attrition Modeling'!$C:$C,'Traditional Attrition'!AK$1),VLOOKUP('Traditional Attrition'!AK$2-'Traditional Attrition'!$F52-1,'Traditional Attrition'!$A$7:$C$161,2,FALSE)*VLOOKUP(AK$1,'Attrition Modeling'!$L$15:$N$27,IF(AK$2-$F52&lt;=24,2,3),FALSE))*(1+Projection!AM$16)*(1+IF(AK184&gt;0,'Attrition Modeling'!$N$9,0))),0))</f>
        <v>0</v>
      </c>
      <c r="AL52" s="799">
        <f>IF(AL$2=$F52+1,Monthly!AH$21,IF(AL$2&gt;$F52+1,('Traditional Attrition'!AK52+AL184)*(1-IF(AL$2-$F52&lt;=12,SUMIFS('Attrition Modeling'!$D:$D,'Attrition Modeling'!$B:$B,'Traditional Attrition'!$E52,'Attrition Modeling'!$C:$C,'Traditional Attrition'!AL$1),VLOOKUP('Traditional Attrition'!AL$2-'Traditional Attrition'!$F52-1,'Traditional Attrition'!$A$7:$C$161,2,FALSE)*VLOOKUP(AL$1,'Attrition Modeling'!$L$15:$N$27,IF(AL$2-$F52&lt;=24,2,3),FALSE))*(1+Projection!AN$16)*(1+IF(AL184&gt;0,'Attrition Modeling'!$N$9,0))),0))</f>
        <v>0</v>
      </c>
      <c r="AM52" s="799">
        <f>IF(AM$2=$F52+1,Monthly!AI$21,IF(AM$2&gt;$F52+1,('Traditional Attrition'!AL52+AM184)*(1-IF(AM$2-$F52&lt;=12,SUMIFS('Attrition Modeling'!$D:$D,'Attrition Modeling'!$B:$B,'Traditional Attrition'!$E52,'Attrition Modeling'!$C:$C,'Traditional Attrition'!AM$1),VLOOKUP('Traditional Attrition'!AM$2-'Traditional Attrition'!$F52-1,'Traditional Attrition'!$A$7:$C$161,2,FALSE)*VLOOKUP(AM$1,'Attrition Modeling'!$L$15:$N$27,IF(AM$2-$F52&lt;=24,2,3),FALSE))*(1+Projection!AO$16)*(1+IF(AM184&gt;0,'Attrition Modeling'!$N$9,0))),0))</f>
        <v>0</v>
      </c>
      <c r="AN52" s="799">
        <f>IF(AN$2=$F52+1,Monthly!AJ$21,IF(AN$2&gt;$F52+1,('Traditional Attrition'!AM52+AN184)*(1-IF(AN$2-$F52&lt;=12,SUMIFS('Attrition Modeling'!$D:$D,'Attrition Modeling'!$B:$B,'Traditional Attrition'!$E52,'Attrition Modeling'!$C:$C,'Traditional Attrition'!AN$1),VLOOKUP('Traditional Attrition'!AN$2-'Traditional Attrition'!$F52-1,'Traditional Attrition'!$A$7:$C$161,2,FALSE)*VLOOKUP(AN$1,'Attrition Modeling'!$L$15:$N$27,IF(AN$2-$F52&lt;=24,2,3),FALSE))*(1+Projection!AP$16)*(1+IF(AN184&gt;0,'Attrition Modeling'!$N$9,0))),0))</f>
        <v>0</v>
      </c>
      <c r="AO52" s="799">
        <f>IF(AO$2=$F52+1,Monthly!AK$21,IF(AO$2&gt;$F52+1,('Traditional Attrition'!AN52+AO184)*(1-IF(AO$2-$F52&lt;=12,SUMIFS('Attrition Modeling'!$D:$D,'Attrition Modeling'!$B:$B,'Traditional Attrition'!$E52,'Attrition Modeling'!$C:$C,'Traditional Attrition'!AO$1),VLOOKUP('Traditional Attrition'!AO$2-'Traditional Attrition'!$F52-1,'Traditional Attrition'!$A$7:$C$161,2,FALSE)*VLOOKUP(AO$1,'Attrition Modeling'!$L$15:$N$27,IF(AO$2-$F52&lt;=24,2,3),FALSE))*(1+Projection!AQ$16)*(1+IF(AO184&gt;0,'Attrition Modeling'!$N$9,0))),0))</f>
        <v>0</v>
      </c>
      <c r="AP52" s="799">
        <f>IF(AP$2=$F52+1,Monthly!AL$21,IF(AP$2&gt;$F52+1,('Traditional Attrition'!AO52+AP184)*(1-IF(AP$2-$F52&lt;=12,SUMIFS('Attrition Modeling'!$D:$D,'Attrition Modeling'!$B:$B,'Traditional Attrition'!$E52,'Attrition Modeling'!$C:$C,'Traditional Attrition'!AP$1),VLOOKUP('Traditional Attrition'!AP$2-'Traditional Attrition'!$F52-1,'Traditional Attrition'!$A$7:$C$161,2,FALSE)*VLOOKUP(AP$1,'Attrition Modeling'!$L$15:$N$27,IF(AP$2-$F52&lt;=24,2,3),FALSE))*(1+Projection!AR$16)*(1+IF(AP184&gt;0,'Attrition Modeling'!$N$9,0))),0))</f>
        <v>0</v>
      </c>
      <c r="AQ52" s="799">
        <f>IF(AQ$2=$F52+1,Monthly!AM$21,IF(AQ$2&gt;$F52+1,('Traditional Attrition'!AP52+AQ184)*(1-IF(AQ$2-$F52&lt;=12,SUMIFS('Attrition Modeling'!$D:$D,'Attrition Modeling'!$B:$B,'Traditional Attrition'!$E52,'Attrition Modeling'!$C:$C,'Traditional Attrition'!AQ$1),VLOOKUP('Traditional Attrition'!AQ$2-'Traditional Attrition'!$F52-1,'Traditional Attrition'!$A$7:$C$161,2,FALSE)*VLOOKUP(AQ$1,'Attrition Modeling'!$L$15:$N$27,IF(AQ$2-$F52&lt;=24,2,3),FALSE))*(1+Projection!AS$16)*(1+IF(AQ184&gt;0,'Attrition Modeling'!$N$9,0))),0))</f>
        <v>0</v>
      </c>
      <c r="AR52" s="799">
        <f>IF(AR$2=$F52+1,Monthly!AN$21,IF(AR$2&gt;$F52+1,('Traditional Attrition'!AQ52+AR184)*(1-IF(AR$2-$F52&lt;=12,SUMIFS('Attrition Modeling'!$D:$D,'Attrition Modeling'!$B:$B,'Traditional Attrition'!$E52,'Attrition Modeling'!$C:$C,'Traditional Attrition'!AR$1),VLOOKUP('Traditional Attrition'!AR$2-'Traditional Attrition'!$F52-1,'Traditional Attrition'!$A$7:$C$161,2,FALSE)*VLOOKUP(AR$1,'Attrition Modeling'!$L$15:$N$27,IF(AR$2-$F52&lt;=24,2,3),FALSE))*(1+Projection!AT$16)*(1+IF(AR184&gt;0,'Attrition Modeling'!$N$9,0))),0))</f>
        <v>0</v>
      </c>
      <c r="AS52" s="799">
        <f>IF(AS$2=$F52+1,Monthly!AO$21,IF(AS$2&gt;$F52+1,('Traditional Attrition'!AR52+AS184)*(1-IF(AS$2-$F52&lt;=12,SUMIFS('Attrition Modeling'!$D:$D,'Attrition Modeling'!$B:$B,'Traditional Attrition'!$E52,'Attrition Modeling'!$C:$C,'Traditional Attrition'!AS$1),VLOOKUP('Traditional Attrition'!AS$2-'Traditional Attrition'!$F52-1,'Traditional Attrition'!$A$7:$C$161,2,FALSE)*VLOOKUP(AS$1,'Attrition Modeling'!$L$15:$N$27,IF(AS$2-$F52&lt;=24,2,3),FALSE))*(1+Projection!AU$16)*(1+IF(AS184&gt;0,'Attrition Modeling'!$N$9,0))),0))</f>
        <v>0</v>
      </c>
      <c r="AT52" s="799">
        <f>IF(AT$2=$F52+1,Monthly!AP$21,IF(AT$2&gt;$F52+1,('Traditional Attrition'!AS52+AT184)*(1-IF(AT$2-$F52&lt;=12,SUMIFS('Attrition Modeling'!$D:$D,'Attrition Modeling'!$B:$B,'Traditional Attrition'!$E52,'Attrition Modeling'!$C:$C,'Traditional Attrition'!AT$1),VLOOKUP('Traditional Attrition'!AT$2-'Traditional Attrition'!$F52-1,'Traditional Attrition'!$A$7:$C$161,2,FALSE)*VLOOKUP(AT$1,'Attrition Modeling'!$L$15:$N$27,IF(AT$2-$F52&lt;=24,2,3),FALSE))*(1+Projection!AV$16)*(1+IF(AT184&gt;0,'Attrition Modeling'!$N$9,0))),0))</f>
        <v>0</v>
      </c>
      <c r="AU52" s="799">
        <f>IF(AU$2=$F52+1,Monthly!AQ$21,IF(AU$2&gt;$F52+1,('Traditional Attrition'!AT52+AU184)*(1-IF(AU$2-$F52&lt;=12,SUMIFS('Attrition Modeling'!$D:$D,'Attrition Modeling'!$B:$B,'Traditional Attrition'!$E52,'Attrition Modeling'!$C:$C,'Traditional Attrition'!AU$1),VLOOKUP('Traditional Attrition'!AU$2-'Traditional Attrition'!$F52-1,'Traditional Attrition'!$A$7:$C$161,2,FALSE)*VLOOKUP(AU$1,'Attrition Modeling'!$L$15:$N$27,IF(AU$2-$F52&lt;=24,2,3),FALSE))*(1+Projection!AW$16)*(1+IF(AU184&gt;0,'Attrition Modeling'!$N$9,0))),0))</f>
        <v>0</v>
      </c>
      <c r="AV52" s="799">
        <f>IF(AV$2=$F52+1,Monthly!AR$21,IF(AV$2&gt;$F52+1,('Traditional Attrition'!AU52+AV184)*(1-IF(AV$2-$F52&lt;=12,SUMIFS('Attrition Modeling'!$D:$D,'Attrition Modeling'!$B:$B,'Traditional Attrition'!$E52,'Attrition Modeling'!$C:$C,'Traditional Attrition'!AV$1),VLOOKUP('Traditional Attrition'!AV$2-'Traditional Attrition'!$F52-1,'Traditional Attrition'!$A$7:$C$161,2,FALSE)*VLOOKUP(AV$1,'Attrition Modeling'!$L$15:$N$27,IF(AV$2-$F52&lt;=24,2,3),FALSE))*(1+Projection!AX$16)*(1+IF(AV184&gt;0,'Attrition Modeling'!$N$9,0))),0))</f>
        <v>0</v>
      </c>
      <c r="AW52" s="799">
        <f>IF(AW$2=$F52+1,Monthly!AS$21,IF(AW$2&gt;$F52+1,('Traditional Attrition'!AV52+AW184)*(1-IF(AW$2-$F52&lt;=12,SUMIFS('Attrition Modeling'!$D:$D,'Attrition Modeling'!$B:$B,'Traditional Attrition'!$E52,'Attrition Modeling'!$C:$C,'Traditional Attrition'!AW$1),VLOOKUP('Traditional Attrition'!AW$2-'Traditional Attrition'!$F52-1,'Traditional Attrition'!$A$7:$C$161,2,FALSE)*VLOOKUP(AW$1,'Attrition Modeling'!$L$15:$N$27,IF(AW$2-$F52&lt;=24,2,3),FALSE))*(1+Projection!AY$16)*(1+IF(AW184&gt;0,'Attrition Modeling'!$N$9,0))),0))</f>
        <v>0</v>
      </c>
      <c r="AX52" s="799">
        <f>IF(AX$2=$F52+1,Monthly!AT$21,IF(AX$2&gt;$F52+1,('Traditional Attrition'!AW52+AX184)*(1-IF(AX$2-$F52&lt;=12,SUMIFS('Attrition Modeling'!$D:$D,'Attrition Modeling'!$B:$B,'Traditional Attrition'!$E52,'Attrition Modeling'!$C:$C,'Traditional Attrition'!AX$1),VLOOKUP('Traditional Attrition'!AX$2-'Traditional Attrition'!$F52-1,'Traditional Attrition'!$A$7:$C$161,2,FALSE)*VLOOKUP(AX$1,'Attrition Modeling'!$L$15:$N$27,IF(AX$2-$F52&lt;=24,2,3),FALSE))*(1+Projection!AZ$16)*(1+IF(AX184&gt;0,'Attrition Modeling'!$N$9,0))),0))</f>
        <v>0</v>
      </c>
      <c r="AY52" s="799">
        <f>IF(AY$2=$F52+1,Monthly!AU$21,IF(AY$2&gt;$F52+1,('Traditional Attrition'!AX52+AY184)*(1-IF(AY$2-$F52&lt;=12,SUMIFS('Attrition Modeling'!$D:$D,'Attrition Modeling'!$B:$B,'Traditional Attrition'!$E52,'Attrition Modeling'!$C:$C,'Traditional Attrition'!AY$1),VLOOKUP('Traditional Attrition'!AY$2-'Traditional Attrition'!$F52-1,'Traditional Attrition'!$A$7:$C$161,2,FALSE)*VLOOKUP(AY$1,'Attrition Modeling'!$L$15:$N$27,IF(AY$2-$F52&lt;=24,2,3),FALSE))*(1+Projection!BA$16)*(1+IF(AY184&gt;0,'Attrition Modeling'!$N$9,0))),0))</f>
        <v>0</v>
      </c>
      <c r="AZ52" s="799">
        <f>IF(AZ$2=$F52+1,Monthly!AV$21,IF(AZ$2&gt;$F52+1,('Traditional Attrition'!AY52+AZ184)*(1-IF(AZ$2-$F52&lt;=12,SUMIFS('Attrition Modeling'!$D:$D,'Attrition Modeling'!$B:$B,'Traditional Attrition'!$E52,'Attrition Modeling'!$C:$C,'Traditional Attrition'!AZ$1),VLOOKUP('Traditional Attrition'!AZ$2-'Traditional Attrition'!$F52-1,'Traditional Attrition'!$A$7:$C$161,2,FALSE)*VLOOKUP(AZ$1,'Attrition Modeling'!$L$15:$N$27,IF(AZ$2-$F52&lt;=24,2,3),FALSE))*(1+Projection!BB$16)*(1+IF(AZ184&gt;0,'Attrition Modeling'!$N$9,0))),0))</f>
        <v>0</v>
      </c>
      <c r="BA52" s="799">
        <f>IF(BA$2=$F52+1,Monthly!AW$21,IF(BA$2&gt;$F52+1,('Traditional Attrition'!AZ52+BA184)*(1-IF(BA$2-$F52&lt;=12,SUMIFS('Attrition Modeling'!$D:$D,'Attrition Modeling'!$B:$B,'Traditional Attrition'!$E52,'Attrition Modeling'!$C:$C,'Traditional Attrition'!BA$1),VLOOKUP('Traditional Attrition'!BA$2-'Traditional Attrition'!$F52-1,'Traditional Attrition'!$A$7:$C$161,2,FALSE)*VLOOKUP(BA$1,'Attrition Modeling'!$L$15:$N$27,IF(BA$2-$F52&lt;=24,2,3),FALSE))*(1+Projection!BC$16)*(1+IF(BA184&gt;0,'Attrition Modeling'!$N$9,0))),0))</f>
        <v>0</v>
      </c>
      <c r="BB52" s="799">
        <f>IF(BB$2=$F52+1,Monthly!AX$21,IF(BB$2&gt;$F52+1,('Traditional Attrition'!BA52+BB184)*(1-IF(BB$2-$F52&lt;=12,SUMIFS('Attrition Modeling'!$D:$D,'Attrition Modeling'!$B:$B,'Traditional Attrition'!$E52,'Attrition Modeling'!$C:$C,'Traditional Attrition'!BB$1),VLOOKUP('Traditional Attrition'!BB$2-'Traditional Attrition'!$F52-1,'Traditional Attrition'!$A$7:$C$161,2,FALSE)*VLOOKUP(BB$1,'Attrition Modeling'!$L$15:$N$27,IF(BB$2-$F52&lt;=24,2,3),FALSE))*(1+Projection!BD$16)*(1+IF(BB184&gt;0,'Attrition Modeling'!$N$9,0))),0))</f>
        <v>0</v>
      </c>
      <c r="BC52" s="799">
        <f>IF(BC$2=$F52+1,Monthly!AY$21,IF(BC$2&gt;$F52+1,('Traditional Attrition'!BB52+BC184)*(1-IF(BC$2-$F52&lt;=12,SUMIFS('Attrition Modeling'!$D:$D,'Attrition Modeling'!$B:$B,'Traditional Attrition'!$E52,'Attrition Modeling'!$C:$C,'Traditional Attrition'!BC$1),VLOOKUP('Traditional Attrition'!BC$2-'Traditional Attrition'!$F52-1,'Traditional Attrition'!$A$7:$C$161,2,FALSE)*VLOOKUP(BC$1,'Attrition Modeling'!$L$15:$N$27,IF(BC$2-$F52&lt;=24,2,3),FALSE))*(1+Projection!BE$16)*(1+IF(BC184&gt;0,'Attrition Modeling'!$N$9,0))),0))</f>
        <v>0</v>
      </c>
      <c r="BD52" s="799">
        <f>IF(BD$2=$F52+1,Monthly!AZ$21,IF(BD$2&gt;$F52+1,('Traditional Attrition'!BC52+BD184)*(1-IF(BD$2-$F52&lt;=12,SUMIFS('Attrition Modeling'!$D:$D,'Attrition Modeling'!$B:$B,'Traditional Attrition'!$E52,'Attrition Modeling'!$C:$C,'Traditional Attrition'!BD$1),VLOOKUP('Traditional Attrition'!BD$2-'Traditional Attrition'!$F52-1,'Traditional Attrition'!$A$7:$C$161,2,FALSE)*VLOOKUP(BD$1,'Attrition Modeling'!$L$15:$N$27,IF(BD$2-$F52&lt;=24,2,3),FALSE))*(1+Projection!BF$16)*(1+IF(BD184&gt;0,'Attrition Modeling'!$N$9,0))),0))</f>
        <v>0</v>
      </c>
      <c r="BE52" s="799">
        <f>IF(BE$2=$F52+1,Monthly!BA$21,IF(BE$2&gt;$F52+1,('Traditional Attrition'!BD52+BE184)*(1-IF(BE$2-$F52&lt;=12,SUMIFS('Attrition Modeling'!$D:$D,'Attrition Modeling'!$B:$B,'Traditional Attrition'!$E52,'Attrition Modeling'!$C:$C,'Traditional Attrition'!BE$1),VLOOKUP('Traditional Attrition'!BE$2-'Traditional Attrition'!$F52-1,'Traditional Attrition'!$A$7:$C$161,2,FALSE)*VLOOKUP(BE$1,'Attrition Modeling'!$L$15:$N$27,IF(BE$2-$F52&lt;=24,2,3),FALSE))*(1+Projection!BG$16)*(1+IF(BE184&gt;0,'Attrition Modeling'!$N$9,0))),0))</f>
        <v>8108.2408362242404</v>
      </c>
      <c r="BF52" s="799">
        <f>IF(BF$2=$F52+1,Monthly!BB$21,IF(BF$2&gt;$F52+1,('Traditional Attrition'!BE52+BF184)*(1-IF(BF$2-$F52&lt;=12,SUMIFS('Attrition Modeling'!$D:$D,'Attrition Modeling'!$B:$B,'Traditional Attrition'!$E52,'Attrition Modeling'!$C:$C,'Traditional Attrition'!BF$1),VLOOKUP('Traditional Attrition'!BF$2-'Traditional Attrition'!$F52-1,'Traditional Attrition'!$A$7:$C$161,2,FALSE)*VLOOKUP(BF$1,'Attrition Modeling'!$L$15:$N$27,IF(BF$2-$F52&lt;=24,2,3),FALSE))*(1+Projection!BH$16)*(1+IF(BF184&gt;0,'Attrition Modeling'!$N$9,0))),0))</f>
        <v>7291.3055714835536</v>
      </c>
      <c r="BG52" s="799">
        <f>IF(BG$2=$F52+1,Monthly!BC$21,IF(BG$2&gt;$F52+1,('Traditional Attrition'!BF52+BG184)*(1-IF(BG$2-$F52&lt;=12,SUMIFS('Attrition Modeling'!$D:$D,'Attrition Modeling'!$B:$B,'Traditional Attrition'!$E52,'Attrition Modeling'!$C:$C,'Traditional Attrition'!BG$1),VLOOKUP('Traditional Attrition'!BG$2-'Traditional Attrition'!$F52-1,'Traditional Attrition'!$A$7:$C$161,2,FALSE)*VLOOKUP(BG$1,'Attrition Modeling'!$L$15:$N$27,IF(BG$2-$F52&lt;=24,2,3),FALSE))*(1+Projection!BI$16)*(1+IF(BG184&gt;0,'Attrition Modeling'!$N$9,0))),0))</f>
        <v>6682.3969042069921</v>
      </c>
      <c r="BH52" s="799">
        <f>IF(BH$2=$F52+1,Monthly!BD$21,IF(BH$2&gt;$F52+1,('Traditional Attrition'!BG52+BH184)*(1-IF(BH$2-$F52&lt;=12,SUMIFS('Attrition Modeling'!$D:$D,'Attrition Modeling'!$B:$B,'Traditional Attrition'!$E52,'Attrition Modeling'!$C:$C,'Traditional Attrition'!BH$1),VLOOKUP('Traditional Attrition'!BH$2-'Traditional Attrition'!$F52-1,'Traditional Attrition'!$A$7:$C$161,2,FALSE)*VLOOKUP(BH$1,'Attrition Modeling'!$L$15:$N$27,IF(BH$2-$F52&lt;=24,2,3),FALSE))*(1+Projection!BJ$16)*(1+IF(BH184&gt;0,'Attrition Modeling'!$N$9,0))),0))</f>
        <v>6067.7574544185964</v>
      </c>
      <c r="BI52" s="799">
        <f>IF(BI$2=$F52+1,Monthly!BE$21,IF(BI$2&gt;$F52+1,('Traditional Attrition'!BH52+BI184)*(1-IF(BI$2-$F52&lt;=12,SUMIFS('Attrition Modeling'!$D:$D,'Attrition Modeling'!$B:$B,'Traditional Attrition'!$E52,'Attrition Modeling'!$C:$C,'Traditional Attrition'!BI$1),VLOOKUP('Traditional Attrition'!BI$2-'Traditional Attrition'!$F52-1,'Traditional Attrition'!$A$7:$C$161,2,FALSE)*VLOOKUP(BI$1,'Attrition Modeling'!$L$15:$N$27,IF(BI$2-$F52&lt;=24,2,3),FALSE))*(1+Projection!BK$16)*(1+IF(BI184&gt;0,'Attrition Modeling'!$N$9,0))),0))</f>
        <v>5576.2610304932759</v>
      </c>
      <c r="BJ52" s="799">
        <f>IF(BJ$2=$F52+1,Monthly!BF$21,IF(BJ$2&gt;$F52+1,('Traditional Attrition'!BI52+BJ184)*(1-IF(BJ$2-$F52&lt;=12,SUMIFS('Attrition Modeling'!$D:$D,'Attrition Modeling'!$B:$B,'Traditional Attrition'!$E52,'Attrition Modeling'!$C:$C,'Traditional Attrition'!BJ$1),VLOOKUP('Traditional Attrition'!BJ$2-'Traditional Attrition'!$F52-1,'Traditional Attrition'!$A$7:$C$161,2,FALSE)*VLOOKUP(BJ$1,'Attrition Modeling'!$L$15:$N$27,IF(BJ$2-$F52&lt;=24,2,3),FALSE))*(1+Projection!BL$16)*(1+IF(BJ184&gt;0,'Attrition Modeling'!$N$9,0))),0))</f>
        <v>5482.1151206573504</v>
      </c>
      <c r="BK52" s="799">
        <f>IF(BK$2=$F52+1,Monthly!BG$21,IF(BK$2&gt;$F52+1,('Traditional Attrition'!BJ52+BK184)*(1-IF(BK$2-$F52&lt;=12,SUMIFS('Attrition Modeling'!$D:$D,'Attrition Modeling'!$B:$B,'Traditional Attrition'!$E52,'Attrition Modeling'!$C:$C,'Traditional Attrition'!BK$1),VLOOKUP('Traditional Attrition'!BK$2-'Traditional Attrition'!$F52-1,'Traditional Attrition'!$A$7:$C$161,2,FALSE)*VLOOKUP(BK$1,'Attrition Modeling'!$L$15:$N$27,IF(BK$2-$F52&lt;=24,2,3),FALSE))*(1+Projection!BM$16)*(1+IF(BK184&gt;0,'Attrition Modeling'!$N$9,0))),0))</f>
        <v>5063.9982023488519</v>
      </c>
      <c r="BL52" s="799">
        <f>IF(BL$2=$F52+1,Monthly!BH$21,IF(BL$2&gt;$F52+1,('Traditional Attrition'!BK52+BL184)*(1-IF(BL$2-$F52&lt;=12,SUMIFS('Attrition Modeling'!$D:$D,'Attrition Modeling'!$B:$B,'Traditional Attrition'!$E52,'Attrition Modeling'!$C:$C,'Traditional Attrition'!BL$1),VLOOKUP('Traditional Attrition'!BL$2-'Traditional Attrition'!$F52-1,'Traditional Attrition'!$A$7:$C$161,2,FALSE)*VLOOKUP(BL$1,'Attrition Modeling'!$L$15:$N$27,IF(BL$2-$F52&lt;=24,2,3),FALSE))*(1+Projection!BN$16)*(1+IF(BL184&gt;0,'Attrition Modeling'!$N$9,0))),0))</f>
        <v>4753.4215214793903</v>
      </c>
      <c r="BM52" s="799">
        <f>IF(BM$2=$F52+1,Monthly!BI$21,IF(BM$2&gt;$F52+1,('Traditional Attrition'!BL52+BM184)*(1-IF(BM$2-$F52&lt;=12,SUMIFS('Attrition Modeling'!$D:$D,'Attrition Modeling'!$B:$B,'Traditional Attrition'!$E52,'Attrition Modeling'!$C:$C,'Traditional Attrition'!BM$1),VLOOKUP('Traditional Attrition'!BM$2-'Traditional Attrition'!$F52-1,'Traditional Attrition'!$A$7:$C$161,2,FALSE)*VLOOKUP(BM$1,'Attrition Modeling'!$L$15:$N$27,IF(BM$2-$F52&lt;=24,2,3),FALSE))*(1+Projection!BO$16)*(1+IF(BM184&gt;0,'Attrition Modeling'!$N$9,0))),0))</f>
        <v>4448.3860964241803</v>
      </c>
      <c r="BN52" s="799">
        <f>IF(BN$2=$F52+1,Monthly!BJ$21,IF(BN$2&gt;$F52+1,('Traditional Attrition'!BM52+BN184)*(1-IF(BN$2-$F52&lt;=12,SUMIFS('Attrition Modeling'!$D:$D,'Attrition Modeling'!$B:$B,'Traditional Attrition'!$E52,'Attrition Modeling'!$C:$C,'Traditional Attrition'!BN$1),VLOOKUP('Traditional Attrition'!BN$2-'Traditional Attrition'!$F52-1,'Traditional Attrition'!$A$7:$C$161,2,FALSE)*VLOOKUP(BN$1,'Attrition Modeling'!$L$15:$N$27,IF(BN$2-$F52&lt;=24,2,3),FALSE))*(1+Projection!BP$16)*(1+IF(BN184&gt;0,'Attrition Modeling'!$N$9,0))),0))</f>
        <v>4182.6487636668808</v>
      </c>
      <c r="BO52" s="799">
        <f>IF(BO$2=$F52+1,Monthly!BK$21,IF(BO$2&gt;$F52+1,('Traditional Attrition'!BN52+BO184)*(1-IF(BO$2-$F52&lt;=12,SUMIFS('Attrition Modeling'!$D:$D,'Attrition Modeling'!$B:$B,'Traditional Attrition'!$E52,'Attrition Modeling'!$C:$C,'Traditional Attrition'!BO$1),VLOOKUP('Traditional Attrition'!BO$2-'Traditional Attrition'!$F52-1,'Traditional Attrition'!$A$7:$C$161,2,FALSE)*VLOOKUP(BO$1,'Attrition Modeling'!$L$15:$N$27,IF(BO$2-$F52&lt;=24,2,3),FALSE))*(1+Projection!BV$16)*(1+IF(BO184&gt;0,'Attrition Modeling'!$N$9,0))),0))</f>
        <v>3938.0561220505824</v>
      </c>
      <c r="BP52" s="799">
        <f>IF(BP$2=$F52+1,Monthly!BL$21,IF(BP$2&gt;$F52+1,('Traditional Attrition'!BO52+BP184)*(1-IF(BP$2-$F52&lt;=12,SUMIFS('Attrition Modeling'!$D:$D,'Attrition Modeling'!$B:$B,'Traditional Attrition'!$E52,'Attrition Modeling'!$C:$C,'Traditional Attrition'!BP$1),VLOOKUP('Traditional Attrition'!BP$2-'Traditional Attrition'!$F52-1,'Traditional Attrition'!$A$7:$C$161,2,FALSE)*VLOOKUP(BP$1,'Attrition Modeling'!$L$15:$N$27,IF(BP$2-$F52&lt;=24,2,3),FALSE))*(1+Projection!BW$16)*(1+IF(BP184&gt;0,'Attrition Modeling'!$N$9,0))),0))</f>
        <v>3837.0864502509503</v>
      </c>
      <c r="BQ52" s="799">
        <f>IF(BQ$2=$F52+1,Monthly!BM$21,IF(BQ$2&gt;$F52+1,('Traditional Attrition'!BP52+BQ184)*(1-IF(BQ$2-$F52&lt;=12,SUMIFS('Attrition Modeling'!$D:$D,'Attrition Modeling'!$B:$B,'Traditional Attrition'!$E52,'Attrition Modeling'!$C:$C,'Traditional Attrition'!BQ$1),VLOOKUP('Traditional Attrition'!BQ$2-'Traditional Attrition'!$F52-1,'Traditional Attrition'!$A$7:$C$161,2,FALSE)*VLOOKUP(BQ$1,'Attrition Modeling'!$L$15:$N$27,IF(BQ$2-$F52&lt;=24,2,3),FALSE))*(1+Projection!BX$16)*(1+IF(BQ184&gt;0,'Attrition Modeling'!$N$9,0))),0))</f>
        <v>3650.7358451462528</v>
      </c>
      <c r="BR52" s="799">
        <f>IF(BR$2=$F52+1,Monthly!BN$21,IF(BR$2&gt;$F52+1,('Traditional Attrition'!BQ52+BR184)*(1-IF(BR$2-$F52&lt;=12,SUMIFS('Attrition Modeling'!$D:$D,'Attrition Modeling'!$B:$B,'Traditional Attrition'!$E52,'Attrition Modeling'!$C:$C,'Traditional Attrition'!BR$1),VLOOKUP('Traditional Attrition'!BR$2-'Traditional Attrition'!$F52-1,'Traditional Attrition'!$A$7:$C$161,2,FALSE)*VLOOKUP(BR$1,'Attrition Modeling'!$L$15:$N$27,IF(BR$2-$F52&lt;=24,2,3),FALSE))*(1+Projection!BY$16)*(1+IF(BR184&gt;0,'Attrition Modeling'!$N$9,0))),0))</f>
        <v>3472.6411175267936</v>
      </c>
      <c r="BS52" s="799">
        <f>IF(BS$2=$F52+1,Monthly!BO$21,IF(BS$2&gt;$F52+1,('Traditional Attrition'!BR52+BS184)*(1-IF(BS$2-$F52&lt;=12,SUMIFS('Attrition Modeling'!$D:$D,'Attrition Modeling'!$B:$B,'Traditional Attrition'!$E52,'Attrition Modeling'!$C:$C,'Traditional Attrition'!BS$1),VLOOKUP('Traditional Attrition'!BS$2-'Traditional Attrition'!$F52-1,'Traditional Attrition'!$A$7:$C$161,2,FALSE)*VLOOKUP(BS$1,'Attrition Modeling'!$L$15:$N$27,IF(BS$2-$F52&lt;=24,2,3),FALSE))*(1+Projection!BZ$16)*(1+IF(BS184&gt;0,'Attrition Modeling'!$N$9,0))),0))</f>
        <v>3314.2317709184708</v>
      </c>
      <c r="BT52" s="799">
        <f>IF(BT$2=$F52+1,Monthly!#REF!,IF(BT$2&gt;$F52+1,('Traditional Attrition'!BS52+BT184)*(1-IF(BT$2-$F52&lt;=12,SUMIFS('Attrition Modeling'!$D:$D,'Attrition Modeling'!$B:$B,'Traditional Attrition'!$E52,'Attrition Modeling'!$C:$C,'Traditional Attrition'!BT$1),VLOOKUP('Traditional Attrition'!BT$2-'Traditional Attrition'!$F52-1,'Traditional Attrition'!$A$7:$C$161,2,FALSE)*VLOOKUP(BT$1,'Attrition Modeling'!$L$15:$N$27,IF(BT$2-$F52&lt;=24,2,3),FALSE))*(1+Projection!CA$16)*(1+IF(BT184&gt;0,'Attrition Modeling'!$N$9,0))),0))</f>
        <v>3169.6114300160239</v>
      </c>
      <c r="BU52" s="799">
        <f>IF(BU$2=$F52+1,Monthly!#REF!,IF(BU$2&gt;$F52+1,('Traditional Attrition'!BT52+BU184)*(1-IF(BU$2-$F52&lt;=12,SUMIFS('Attrition Modeling'!$D:$D,'Attrition Modeling'!$B:$B,'Traditional Attrition'!$E52,'Attrition Modeling'!$C:$C,'Traditional Attrition'!BU$1),VLOOKUP('Traditional Attrition'!BU$2-'Traditional Attrition'!$F52-1,'Traditional Attrition'!$A$7:$C$161,2,FALSE)*VLOOKUP(BU$1,'Attrition Modeling'!$L$15:$N$27,IF(BU$2-$F52&lt;=24,2,3),FALSE))*(1+Projection!CB$16)*(1+IF(BU184&gt;0,'Attrition Modeling'!$N$9,0))),0))</f>
        <v>3022.230623031784</v>
      </c>
    </row>
    <row r="53" spans="1:73" ht="14.25" customHeight="1" x14ac:dyDescent="0.2">
      <c r="A53" s="9">
        <v>46</v>
      </c>
      <c r="B53" s="25">
        <f>MAX('Attrition Modeling'!H50,$C$3)*(1-Summary!$C$20)</f>
        <v>2.6440899780837919E-2</v>
      </c>
      <c r="C53" s="24" t="e">
        <f t="shared" si="4"/>
        <v>#DIV/0!</v>
      </c>
      <c r="E53" s="11">
        <f t="shared" si="2"/>
        <v>2</v>
      </c>
      <c r="F53" s="11">
        <f t="shared" si="3"/>
        <v>50</v>
      </c>
      <c r="G53" s="799"/>
      <c r="H53" s="799">
        <f>IF(H$2=$F53+1,Monthly!D$21,IF(H$2&gt;$F53+1,('Traditional Attrition'!G53+H185)*(1-IF(H$2-$F53&lt;=12,SUMIFS('Attrition Modeling'!$D:$D,'Attrition Modeling'!$B:$B,'Traditional Attrition'!$E53,'Attrition Modeling'!$C:$C,'Traditional Attrition'!H$1),VLOOKUP('Traditional Attrition'!H$2-'Traditional Attrition'!$F53-1,'Traditional Attrition'!$A$7:$C$161,2,FALSE)*VLOOKUP(H$1,'Attrition Modeling'!$L$15:$N$27,IF(H$2-$F53&lt;=24,2,3),FALSE))*(1+Projection!J$16)*(1+IF(H185&gt;0,'Attrition Modeling'!$N$9,0))),0))</f>
        <v>0</v>
      </c>
      <c r="I53" s="799">
        <f>IF(I$2=$F53+1,Monthly!E$21,IF(I$2&gt;$F53+1,('Traditional Attrition'!H53+I185)*(1-IF(I$2-$F53&lt;=12,SUMIFS('Attrition Modeling'!$D:$D,'Attrition Modeling'!$B:$B,'Traditional Attrition'!$E53,'Attrition Modeling'!$C:$C,'Traditional Attrition'!I$1),VLOOKUP('Traditional Attrition'!I$2-'Traditional Attrition'!$F53-1,'Traditional Attrition'!$A$7:$C$161,2,FALSE)*VLOOKUP(I$1,'Attrition Modeling'!$L$15:$N$27,IF(I$2-$F53&lt;=24,2,3),FALSE))*(1+Projection!K$16)*(1+IF(I185&gt;0,'Attrition Modeling'!$N$9,0))),0))</f>
        <v>0</v>
      </c>
      <c r="J53" s="799">
        <f>IF(J$2=$F53+1,Monthly!F$21,IF(J$2&gt;$F53+1,('Traditional Attrition'!I53+J185)*(1-IF(J$2-$F53&lt;=12,SUMIFS('Attrition Modeling'!$D:$D,'Attrition Modeling'!$B:$B,'Traditional Attrition'!$E53,'Attrition Modeling'!$C:$C,'Traditional Attrition'!J$1),VLOOKUP('Traditional Attrition'!J$2-'Traditional Attrition'!$F53-1,'Traditional Attrition'!$A$7:$C$161,2,FALSE)*VLOOKUP(J$1,'Attrition Modeling'!$L$15:$N$27,IF(J$2-$F53&lt;=24,2,3),FALSE))*(1+Projection!L$16)*(1+IF(J185&gt;0,'Attrition Modeling'!$N$9,0))),0))</f>
        <v>0</v>
      </c>
      <c r="K53" s="799">
        <f>IF(K$2=$F53+1,Monthly!G$21,IF(K$2&gt;$F53+1,('Traditional Attrition'!J53+K185)*(1-IF(K$2-$F53&lt;=12,SUMIFS('Attrition Modeling'!$D:$D,'Attrition Modeling'!$B:$B,'Traditional Attrition'!$E53,'Attrition Modeling'!$C:$C,'Traditional Attrition'!K$1),VLOOKUP('Traditional Attrition'!K$2-'Traditional Attrition'!$F53-1,'Traditional Attrition'!$A$7:$C$161,2,FALSE)*VLOOKUP(K$1,'Attrition Modeling'!$L$15:$N$27,IF(K$2-$F53&lt;=24,2,3),FALSE))*(1+Projection!M$16)*(1+IF(K185&gt;0,'Attrition Modeling'!$N$9,0))),0))</f>
        <v>0</v>
      </c>
      <c r="L53" s="799">
        <f>IF(L$2=$F53+1,Monthly!H$21,IF(L$2&gt;$F53+1,('Traditional Attrition'!K53+L185)*(1-IF(L$2-$F53&lt;=12,SUMIFS('Attrition Modeling'!$D:$D,'Attrition Modeling'!$B:$B,'Traditional Attrition'!$E53,'Attrition Modeling'!$C:$C,'Traditional Attrition'!L$1),VLOOKUP('Traditional Attrition'!L$2-'Traditional Attrition'!$F53-1,'Traditional Attrition'!$A$7:$C$161,2,FALSE)*VLOOKUP(L$1,'Attrition Modeling'!$L$15:$N$27,IF(L$2-$F53&lt;=24,2,3),FALSE))*(1+Projection!N$16)*(1+IF(L185&gt;0,'Attrition Modeling'!$N$9,0))),0))</f>
        <v>0</v>
      </c>
      <c r="M53" s="799">
        <f>IF(M$2=$F53+1,Monthly!I$21,IF(M$2&gt;$F53+1,('Traditional Attrition'!L53+M185)*(1-IF(M$2-$F53&lt;=12,SUMIFS('Attrition Modeling'!$D:$D,'Attrition Modeling'!$B:$B,'Traditional Attrition'!$E53,'Attrition Modeling'!$C:$C,'Traditional Attrition'!M$1),VLOOKUP('Traditional Attrition'!M$2-'Traditional Attrition'!$F53-1,'Traditional Attrition'!$A$7:$C$161,2,FALSE)*VLOOKUP(M$1,'Attrition Modeling'!$L$15:$N$27,IF(M$2-$F53&lt;=24,2,3),FALSE))*(1+Projection!O$16)*(1+IF(M185&gt;0,'Attrition Modeling'!$N$9,0))),0))</f>
        <v>0</v>
      </c>
      <c r="N53" s="799">
        <f>IF(N$2=$F53+1,Monthly!J$21,IF(N$2&gt;$F53+1,('Traditional Attrition'!M53+N185)*(1-IF(N$2-$F53&lt;=12,SUMIFS('Attrition Modeling'!$D:$D,'Attrition Modeling'!$B:$B,'Traditional Attrition'!$E53,'Attrition Modeling'!$C:$C,'Traditional Attrition'!N$1),VLOOKUP('Traditional Attrition'!N$2-'Traditional Attrition'!$F53-1,'Traditional Attrition'!$A$7:$C$161,2,FALSE)*VLOOKUP(N$1,'Attrition Modeling'!$L$15:$N$27,IF(N$2-$F53&lt;=24,2,3),FALSE))*(1+Projection!P$16)*(1+IF(N185&gt;0,'Attrition Modeling'!$N$9,0))),0))</f>
        <v>0</v>
      </c>
      <c r="O53" s="799">
        <f>IF(O$2=$F53+1,Monthly!K$21,IF(O$2&gt;$F53+1,('Traditional Attrition'!N53+O185)*(1-IF(O$2-$F53&lt;=12,SUMIFS('Attrition Modeling'!$D:$D,'Attrition Modeling'!$B:$B,'Traditional Attrition'!$E53,'Attrition Modeling'!$C:$C,'Traditional Attrition'!O$1),VLOOKUP('Traditional Attrition'!O$2-'Traditional Attrition'!$F53-1,'Traditional Attrition'!$A$7:$C$161,2,FALSE)*VLOOKUP(O$1,'Attrition Modeling'!$L$15:$N$27,IF(O$2-$F53&lt;=24,2,3),FALSE))*(1+Projection!Q$16)*(1+IF(O185&gt;0,'Attrition Modeling'!$N$9,0))),0))</f>
        <v>0</v>
      </c>
      <c r="P53" s="799">
        <f>IF(P$2=$F53+1,Monthly!L$21,IF(P$2&gt;$F53+1,('Traditional Attrition'!O53+P185)*(1-IF(P$2-$F53&lt;=12,SUMIFS('Attrition Modeling'!$D:$D,'Attrition Modeling'!$B:$B,'Traditional Attrition'!$E53,'Attrition Modeling'!$C:$C,'Traditional Attrition'!P$1),VLOOKUP('Traditional Attrition'!P$2-'Traditional Attrition'!$F53-1,'Traditional Attrition'!$A$7:$C$161,2,FALSE)*VLOOKUP(P$1,'Attrition Modeling'!$L$15:$N$27,IF(P$2-$F53&lt;=24,2,3),FALSE))*(1+Projection!R$16)*(1+IF(P185&gt;0,'Attrition Modeling'!$N$9,0))),0))</f>
        <v>0</v>
      </c>
      <c r="Q53" s="799">
        <f>IF(Q$2=$F53+1,Monthly!M$21,IF(Q$2&gt;$F53+1,('Traditional Attrition'!P53+Q185)*(1-IF(Q$2-$F53&lt;=12,SUMIFS('Attrition Modeling'!$D:$D,'Attrition Modeling'!$B:$B,'Traditional Attrition'!$E53,'Attrition Modeling'!$C:$C,'Traditional Attrition'!Q$1),VLOOKUP('Traditional Attrition'!Q$2-'Traditional Attrition'!$F53-1,'Traditional Attrition'!$A$7:$C$161,2,FALSE)*VLOOKUP(Q$1,'Attrition Modeling'!$L$15:$N$27,IF(Q$2-$F53&lt;=24,2,3),FALSE))*(1+Projection!S$16)*(1+IF(Q185&gt;0,'Attrition Modeling'!$N$9,0))),0))</f>
        <v>0</v>
      </c>
      <c r="R53" s="799">
        <f>IF(R$2=$F53+1,Monthly!N$21,IF(R$2&gt;$F53+1,('Traditional Attrition'!Q53+R185)*(1-IF(R$2-$F53&lt;=12,SUMIFS('Attrition Modeling'!$D:$D,'Attrition Modeling'!$B:$B,'Traditional Attrition'!$E53,'Attrition Modeling'!$C:$C,'Traditional Attrition'!R$1),VLOOKUP('Traditional Attrition'!R$2-'Traditional Attrition'!$F53-1,'Traditional Attrition'!$A$7:$C$161,2,FALSE)*VLOOKUP(R$1,'Attrition Modeling'!$L$15:$N$27,IF(R$2-$F53&lt;=24,2,3),FALSE))*(1+Projection!T$16)*(1+IF(R185&gt;0,'Attrition Modeling'!$N$9,0))),0))</f>
        <v>0</v>
      </c>
      <c r="S53" s="799">
        <f>IF(S$2=$F53+1,Monthly!O$21,IF(S$2&gt;$F53+1,('Traditional Attrition'!R53+S185)*(1-IF(S$2-$F53&lt;=12,SUMIFS('Attrition Modeling'!$D:$D,'Attrition Modeling'!$B:$B,'Traditional Attrition'!$E53,'Attrition Modeling'!$C:$C,'Traditional Attrition'!S$1),VLOOKUP('Traditional Attrition'!S$2-'Traditional Attrition'!$F53-1,'Traditional Attrition'!$A$7:$C$161,2,FALSE)*VLOOKUP(S$1,'Attrition Modeling'!$L$15:$N$27,IF(S$2-$F53&lt;=24,2,3),FALSE))*(1+Projection!U$16)*(1+IF(S185&gt;0,'Attrition Modeling'!$N$9,0))),0))</f>
        <v>0</v>
      </c>
      <c r="T53" s="799">
        <f>IF(T$2=$F53+1,Monthly!P$21,IF(T$2&gt;$F53+1,('Traditional Attrition'!S53+T185)*(1-IF(T$2-$F53&lt;=12,SUMIFS('Attrition Modeling'!$D:$D,'Attrition Modeling'!$B:$B,'Traditional Attrition'!$E53,'Attrition Modeling'!$C:$C,'Traditional Attrition'!T$1),VLOOKUP('Traditional Attrition'!T$2-'Traditional Attrition'!$F53-1,'Traditional Attrition'!$A$7:$C$161,2,FALSE)*VLOOKUP(T$1,'Attrition Modeling'!$L$15:$N$27,IF(T$2-$F53&lt;=24,2,3),FALSE))*(1+Projection!V$16)*(1+IF(T185&gt;0,'Attrition Modeling'!$N$9,0))),0))</f>
        <v>0</v>
      </c>
      <c r="U53" s="799">
        <f>IF(U$2=$F53+1,Monthly!Q$21,IF(U$2&gt;$F53+1,('Traditional Attrition'!T53+U185)*(1-IF(U$2-$F53&lt;=12,SUMIFS('Attrition Modeling'!$D:$D,'Attrition Modeling'!$B:$B,'Traditional Attrition'!$E53,'Attrition Modeling'!$C:$C,'Traditional Attrition'!U$1),VLOOKUP('Traditional Attrition'!U$2-'Traditional Attrition'!$F53-1,'Traditional Attrition'!$A$7:$C$161,2,FALSE)*VLOOKUP(U$1,'Attrition Modeling'!$L$15:$N$27,IF(U$2-$F53&lt;=24,2,3),FALSE))*(1+Projection!W$16)*(1+IF(U185&gt;0,'Attrition Modeling'!$N$9,0))),0))</f>
        <v>0</v>
      </c>
      <c r="V53" s="799">
        <f>IF(V$2=$F53+1,Monthly!R$21,IF(V$2&gt;$F53+1,('Traditional Attrition'!U53+V185)*(1-IF(V$2-$F53&lt;=12,SUMIFS('Attrition Modeling'!$D:$D,'Attrition Modeling'!$B:$B,'Traditional Attrition'!$E53,'Attrition Modeling'!$C:$C,'Traditional Attrition'!V$1),VLOOKUP('Traditional Attrition'!V$2-'Traditional Attrition'!$F53-1,'Traditional Attrition'!$A$7:$C$161,2,FALSE)*VLOOKUP(V$1,'Attrition Modeling'!$L$15:$N$27,IF(V$2-$F53&lt;=24,2,3),FALSE))*(1+Projection!X$16)*(1+IF(V185&gt;0,'Attrition Modeling'!$N$9,0))),0))</f>
        <v>0</v>
      </c>
      <c r="W53" s="799">
        <f>IF(W$2=$F53+1,Monthly!S$21,IF(W$2&gt;$F53+1,('Traditional Attrition'!V53+W185)*(1-IF(W$2-$F53&lt;=12,SUMIFS('Attrition Modeling'!$D:$D,'Attrition Modeling'!$B:$B,'Traditional Attrition'!$E53,'Attrition Modeling'!$C:$C,'Traditional Attrition'!W$1),VLOOKUP('Traditional Attrition'!W$2-'Traditional Attrition'!$F53-1,'Traditional Attrition'!$A$7:$C$161,2,FALSE)*VLOOKUP(W$1,'Attrition Modeling'!$L$15:$N$27,IF(W$2-$F53&lt;=24,2,3),FALSE))*(1+Projection!Y$16)*(1+IF(W185&gt;0,'Attrition Modeling'!$N$9,0))),0))</f>
        <v>0</v>
      </c>
      <c r="X53" s="799">
        <f>IF(X$2=$F53+1,Monthly!T$21,IF(X$2&gt;$F53+1,('Traditional Attrition'!W53+X185)*(1-IF(X$2-$F53&lt;=12,SUMIFS('Attrition Modeling'!$D:$D,'Attrition Modeling'!$B:$B,'Traditional Attrition'!$E53,'Attrition Modeling'!$C:$C,'Traditional Attrition'!X$1),VLOOKUP('Traditional Attrition'!X$2-'Traditional Attrition'!$F53-1,'Traditional Attrition'!$A$7:$C$161,2,FALSE)*VLOOKUP(X$1,'Attrition Modeling'!$L$15:$N$27,IF(X$2-$F53&lt;=24,2,3),FALSE))*(1+Projection!Z$16)*(1+IF(X185&gt;0,'Attrition Modeling'!$N$9,0))),0))</f>
        <v>0</v>
      </c>
      <c r="Y53" s="799">
        <f>IF(Y$2=$F53+1,Monthly!U$21,IF(Y$2&gt;$F53+1,('Traditional Attrition'!X53+Y185)*(1-IF(Y$2-$F53&lt;=12,SUMIFS('Attrition Modeling'!$D:$D,'Attrition Modeling'!$B:$B,'Traditional Attrition'!$E53,'Attrition Modeling'!$C:$C,'Traditional Attrition'!Y$1),VLOOKUP('Traditional Attrition'!Y$2-'Traditional Attrition'!$F53-1,'Traditional Attrition'!$A$7:$C$161,2,FALSE)*VLOOKUP(Y$1,'Attrition Modeling'!$L$15:$N$27,IF(Y$2-$F53&lt;=24,2,3),FALSE))*(1+Projection!AA$16)*(1+IF(Y185&gt;0,'Attrition Modeling'!$N$9,0))),0))</f>
        <v>0</v>
      </c>
      <c r="Z53" s="799">
        <f>IF(Z$2=$F53+1,Monthly!V$21,IF(Z$2&gt;$F53+1,('Traditional Attrition'!Y53+Z185)*(1-IF(Z$2-$F53&lt;=12,SUMIFS('Attrition Modeling'!$D:$D,'Attrition Modeling'!$B:$B,'Traditional Attrition'!$E53,'Attrition Modeling'!$C:$C,'Traditional Attrition'!Z$1),VLOOKUP('Traditional Attrition'!Z$2-'Traditional Attrition'!$F53-1,'Traditional Attrition'!$A$7:$C$161,2,FALSE)*VLOOKUP(Z$1,'Attrition Modeling'!$L$15:$N$27,IF(Z$2-$F53&lt;=24,2,3),FALSE))*(1+Projection!AB$16)*(1+IF(Z185&gt;0,'Attrition Modeling'!$N$9,0))),0))</f>
        <v>0</v>
      </c>
      <c r="AA53" s="799">
        <f>IF(AA$2=$F53+1,Monthly!W$21,IF(AA$2&gt;$F53+1,('Traditional Attrition'!Z53+AA185)*(1-IF(AA$2-$F53&lt;=12,SUMIFS('Attrition Modeling'!$D:$D,'Attrition Modeling'!$B:$B,'Traditional Attrition'!$E53,'Attrition Modeling'!$C:$C,'Traditional Attrition'!AA$1),VLOOKUP('Traditional Attrition'!AA$2-'Traditional Attrition'!$F53-1,'Traditional Attrition'!$A$7:$C$161,2,FALSE)*VLOOKUP(AA$1,'Attrition Modeling'!$L$15:$N$27,IF(AA$2-$F53&lt;=24,2,3),FALSE))*(1+Projection!AC$16)*(1+IF(AA185&gt;0,'Attrition Modeling'!$N$9,0))),0))</f>
        <v>0</v>
      </c>
      <c r="AB53" s="799">
        <f>IF(AB$2=$F53+1,Monthly!X$21,IF(AB$2&gt;$F53+1,('Traditional Attrition'!AA53+AB185)*(1-IF(AB$2-$F53&lt;=12,SUMIFS('Attrition Modeling'!$D:$D,'Attrition Modeling'!$B:$B,'Traditional Attrition'!$E53,'Attrition Modeling'!$C:$C,'Traditional Attrition'!AB$1),VLOOKUP('Traditional Attrition'!AB$2-'Traditional Attrition'!$F53-1,'Traditional Attrition'!$A$7:$C$161,2,FALSE)*VLOOKUP(AB$1,'Attrition Modeling'!$L$15:$N$27,IF(AB$2-$F53&lt;=24,2,3),FALSE))*(1+Projection!AD$16)*(1+IF(AB185&gt;0,'Attrition Modeling'!$N$9,0))),0))</f>
        <v>0</v>
      </c>
      <c r="AC53" s="799">
        <f>IF(AC$2=$F53+1,Monthly!Y$21,IF(AC$2&gt;$F53+1,('Traditional Attrition'!AB53+AC185)*(1-IF(AC$2-$F53&lt;=12,SUMIFS('Attrition Modeling'!$D:$D,'Attrition Modeling'!$B:$B,'Traditional Attrition'!$E53,'Attrition Modeling'!$C:$C,'Traditional Attrition'!AC$1),VLOOKUP('Traditional Attrition'!AC$2-'Traditional Attrition'!$F53-1,'Traditional Attrition'!$A$7:$C$161,2,FALSE)*VLOOKUP(AC$1,'Attrition Modeling'!$L$15:$N$27,IF(AC$2-$F53&lt;=24,2,3),FALSE))*(1+Projection!AE$16)*(1+IF(AC185&gt;0,'Attrition Modeling'!$N$9,0))),0))</f>
        <v>0</v>
      </c>
      <c r="AD53" s="799">
        <f>IF(AD$2=$F53+1,Monthly!Z$21,IF(AD$2&gt;$F53+1,('Traditional Attrition'!AC53+AD185)*(1-IF(AD$2-$F53&lt;=12,SUMIFS('Attrition Modeling'!$D:$D,'Attrition Modeling'!$B:$B,'Traditional Attrition'!$E53,'Attrition Modeling'!$C:$C,'Traditional Attrition'!AD$1),VLOOKUP('Traditional Attrition'!AD$2-'Traditional Attrition'!$F53-1,'Traditional Attrition'!$A$7:$C$161,2,FALSE)*VLOOKUP(AD$1,'Attrition Modeling'!$L$15:$N$27,IF(AD$2-$F53&lt;=24,2,3),FALSE))*(1+Projection!AF$16)*(1+IF(AD185&gt;0,'Attrition Modeling'!$N$9,0))),0))</f>
        <v>0</v>
      </c>
      <c r="AE53" s="799">
        <f>IF(AE$2=$F53+1,Monthly!AA$21,IF(AE$2&gt;$F53+1,('Traditional Attrition'!AD53+AE185)*(1-IF(AE$2-$F53&lt;=12,SUMIFS('Attrition Modeling'!$D:$D,'Attrition Modeling'!$B:$B,'Traditional Attrition'!$E53,'Attrition Modeling'!$C:$C,'Traditional Attrition'!AE$1),VLOOKUP('Traditional Attrition'!AE$2-'Traditional Attrition'!$F53-1,'Traditional Attrition'!$A$7:$C$161,2,FALSE)*VLOOKUP(AE$1,'Attrition Modeling'!$L$15:$N$27,IF(AE$2-$F53&lt;=24,2,3),FALSE))*(1+Projection!AG$16)*(1+IF(AE185&gt;0,'Attrition Modeling'!$N$9,0))),0))</f>
        <v>0</v>
      </c>
      <c r="AF53" s="799">
        <f>IF(AF$2=$F53+1,Monthly!AB$21,IF(AF$2&gt;$F53+1,('Traditional Attrition'!AE53+AF185)*(1-IF(AF$2-$F53&lt;=12,SUMIFS('Attrition Modeling'!$D:$D,'Attrition Modeling'!$B:$B,'Traditional Attrition'!$E53,'Attrition Modeling'!$C:$C,'Traditional Attrition'!AF$1),VLOOKUP('Traditional Attrition'!AF$2-'Traditional Attrition'!$F53-1,'Traditional Attrition'!$A$7:$C$161,2,FALSE)*VLOOKUP(AF$1,'Attrition Modeling'!$L$15:$N$27,IF(AF$2-$F53&lt;=24,2,3),FALSE))*(1+Projection!AH$16)*(1+IF(AF185&gt;0,'Attrition Modeling'!$N$9,0))),0))</f>
        <v>0</v>
      </c>
      <c r="AG53" s="799">
        <f>IF(AG$2=$F53+1,Monthly!AC$21,IF(AG$2&gt;$F53+1,('Traditional Attrition'!AF53+AG185)*(1-IF(AG$2-$F53&lt;=12,SUMIFS('Attrition Modeling'!$D:$D,'Attrition Modeling'!$B:$B,'Traditional Attrition'!$E53,'Attrition Modeling'!$C:$C,'Traditional Attrition'!AG$1),VLOOKUP('Traditional Attrition'!AG$2-'Traditional Attrition'!$F53-1,'Traditional Attrition'!$A$7:$C$161,2,FALSE)*VLOOKUP(AG$1,'Attrition Modeling'!$L$15:$N$27,IF(AG$2-$F53&lt;=24,2,3),FALSE))*(1+Projection!AI$16)*(1+IF(AG185&gt;0,'Attrition Modeling'!$N$9,0))),0))</f>
        <v>0</v>
      </c>
      <c r="AH53" s="799">
        <f>IF(AH$2=$F53+1,Monthly!AD$21,IF(AH$2&gt;$F53+1,('Traditional Attrition'!AG53+AH185)*(1-IF(AH$2-$F53&lt;=12,SUMIFS('Attrition Modeling'!$D:$D,'Attrition Modeling'!$B:$B,'Traditional Attrition'!$E53,'Attrition Modeling'!$C:$C,'Traditional Attrition'!AH$1),VLOOKUP('Traditional Attrition'!AH$2-'Traditional Attrition'!$F53-1,'Traditional Attrition'!$A$7:$C$161,2,FALSE)*VLOOKUP(AH$1,'Attrition Modeling'!$L$15:$N$27,IF(AH$2-$F53&lt;=24,2,3),FALSE))*(1+Projection!AJ$16)*(1+IF(AH185&gt;0,'Attrition Modeling'!$N$9,0))),0))</f>
        <v>0</v>
      </c>
      <c r="AI53" s="799">
        <f>IF(AI$2=$F53+1,Monthly!AE$21,IF(AI$2&gt;$F53+1,('Traditional Attrition'!AH53+AI185)*(1-IF(AI$2-$F53&lt;=12,SUMIFS('Attrition Modeling'!$D:$D,'Attrition Modeling'!$B:$B,'Traditional Attrition'!$E53,'Attrition Modeling'!$C:$C,'Traditional Attrition'!AI$1),VLOOKUP('Traditional Attrition'!AI$2-'Traditional Attrition'!$F53-1,'Traditional Attrition'!$A$7:$C$161,2,FALSE)*VLOOKUP(AI$1,'Attrition Modeling'!$L$15:$N$27,IF(AI$2-$F53&lt;=24,2,3),FALSE))*(1+Projection!AK$16)*(1+IF(AI185&gt;0,'Attrition Modeling'!$N$9,0))),0))</f>
        <v>0</v>
      </c>
      <c r="AJ53" s="799">
        <f>IF(AJ$2=$F53+1,Monthly!AF$21,IF(AJ$2&gt;$F53+1,('Traditional Attrition'!AI53+AJ185)*(1-IF(AJ$2-$F53&lt;=12,SUMIFS('Attrition Modeling'!$D:$D,'Attrition Modeling'!$B:$B,'Traditional Attrition'!$E53,'Attrition Modeling'!$C:$C,'Traditional Attrition'!AJ$1),VLOOKUP('Traditional Attrition'!AJ$2-'Traditional Attrition'!$F53-1,'Traditional Attrition'!$A$7:$C$161,2,FALSE)*VLOOKUP(AJ$1,'Attrition Modeling'!$L$15:$N$27,IF(AJ$2-$F53&lt;=24,2,3),FALSE))*(1+Projection!AL$16)*(1+IF(AJ185&gt;0,'Attrition Modeling'!$N$9,0))),0))</f>
        <v>0</v>
      </c>
      <c r="AK53" s="799">
        <f>IF(AK$2=$F53+1,Monthly!AG$21,IF(AK$2&gt;$F53+1,('Traditional Attrition'!AJ53+AK185)*(1-IF(AK$2-$F53&lt;=12,SUMIFS('Attrition Modeling'!$D:$D,'Attrition Modeling'!$B:$B,'Traditional Attrition'!$E53,'Attrition Modeling'!$C:$C,'Traditional Attrition'!AK$1),VLOOKUP('Traditional Attrition'!AK$2-'Traditional Attrition'!$F53-1,'Traditional Attrition'!$A$7:$C$161,2,FALSE)*VLOOKUP(AK$1,'Attrition Modeling'!$L$15:$N$27,IF(AK$2-$F53&lt;=24,2,3),FALSE))*(1+Projection!AM$16)*(1+IF(AK185&gt;0,'Attrition Modeling'!$N$9,0))),0))</f>
        <v>0</v>
      </c>
      <c r="AL53" s="799">
        <f>IF(AL$2=$F53+1,Monthly!AH$21,IF(AL$2&gt;$F53+1,('Traditional Attrition'!AK53+AL185)*(1-IF(AL$2-$F53&lt;=12,SUMIFS('Attrition Modeling'!$D:$D,'Attrition Modeling'!$B:$B,'Traditional Attrition'!$E53,'Attrition Modeling'!$C:$C,'Traditional Attrition'!AL$1),VLOOKUP('Traditional Attrition'!AL$2-'Traditional Attrition'!$F53-1,'Traditional Attrition'!$A$7:$C$161,2,FALSE)*VLOOKUP(AL$1,'Attrition Modeling'!$L$15:$N$27,IF(AL$2-$F53&lt;=24,2,3),FALSE))*(1+Projection!AN$16)*(1+IF(AL185&gt;0,'Attrition Modeling'!$N$9,0))),0))</f>
        <v>0</v>
      </c>
      <c r="AM53" s="799">
        <f>IF(AM$2=$F53+1,Monthly!AI$21,IF(AM$2&gt;$F53+1,('Traditional Attrition'!AL53+AM185)*(1-IF(AM$2-$F53&lt;=12,SUMIFS('Attrition Modeling'!$D:$D,'Attrition Modeling'!$B:$B,'Traditional Attrition'!$E53,'Attrition Modeling'!$C:$C,'Traditional Attrition'!AM$1),VLOOKUP('Traditional Attrition'!AM$2-'Traditional Attrition'!$F53-1,'Traditional Attrition'!$A$7:$C$161,2,FALSE)*VLOOKUP(AM$1,'Attrition Modeling'!$L$15:$N$27,IF(AM$2-$F53&lt;=24,2,3),FALSE))*(1+Projection!AO$16)*(1+IF(AM185&gt;0,'Attrition Modeling'!$N$9,0))),0))</f>
        <v>0</v>
      </c>
      <c r="AN53" s="799">
        <f>IF(AN$2=$F53+1,Monthly!AJ$21,IF(AN$2&gt;$F53+1,('Traditional Attrition'!AM53+AN185)*(1-IF(AN$2-$F53&lt;=12,SUMIFS('Attrition Modeling'!$D:$D,'Attrition Modeling'!$B:$B,'Traditional Attrition'!$E53,'Attrition Modeling'!$C:$C,'Traditional Attrition'!AN$1),VLOOKUP('Traditional Attrition'!AN$2-'Traditional Attrition'!$F53-1,'Traditional Attrition'!$A$7:$C$161,2,FALSE)*VLOOKUP(AN$1,'Attrition Modeling'!$L$15:$N$27,IF(AN$2-$F53&lt;=24,2,3),FALSE))*(1+Projection!AP$16)*(1+IF(AN185&gt;0,'Attrition Modeling'!$N$9,0))),0))</f>
        <v>0</v>
      </c>
      <c r="AO53" s="799">
        <f>IF(AO$2=$F53+1,Monthly!AK$21,IF(AO$2&gt;$F53+1,('Traditional Attrition'!AN53+AO185)*(1-IF(AO$2-$F53&lt;=12,SUMIFS('Attrition Modeling'!$D:$D,'Attrition Modeling'!$B:$B,'Traditional Attrition'!$E53,'Attrition Modeling'!$C:$C,'Traditional Attrition'!AO$1),VLOOKUP('Traditional Attrition'!AO$2-'Traditional Attrition'!$F53-1,'Traditional Attrition'!$A$7:$C$161,2,FALSE)*VLOOKUP(AO$1,'Attrition Modeling'!$L$15:$N$27,IF(AO$2-$F53&lt;=24,2,3),FALSE))*(1+Projection!AQ$16)*(1+IF(AO185&gt;0,'Attrition Modeling'!$N$9,0))),0))</f>
        <v>0</v>
      </c>
      <c r="AP53" s="799">
        <f>IF(AP$2=$F53+1,Monthly!AL$21,IF(AP$2&gt;$F53+1,('Traditional Attrition'!AO53+AP185)*(1-IF(AP$2-$F53&lt;=12,SUMIFS('Attrition Modeling'!$D:$D,'Attrition Modeling'!$B:$B,'Traditional Attrition'!$E53,'Attrition Modeling'!$C:$C,'Traditional Attrition'!AP$1),VLOOKUP('Traditional Attrition'!AP$2-'Traditional Attrition'!$F53-1,'Traditional Attrition'!$A$7:$C$161,2,FALSE)*VLOOKUP(AP$1,'Attrition Modeling'!$L$15:$N$27,IF(AP$2-$F53&lt;=24,2,3),FALSE))*(1+Projection!AR$16)*(1+IF(AP185&gt;0,'Attrition Modeling'!$N$9,0))),0))</f>
        <v>0</v>
      </c>
      <c r="AQ53" s="799">
        <f>IF(AQ$2=$F53+1,Monthly!AM$21,IF(AQ$2&gt;$F53+1,('Traditional Attrition'!AP53+AQ185)*(1-IF(AQ$2-$F53&lt;=12,SUMIFS('Attrition Modeling'!$D:$D,'Attrition Modeling'!$B:$B,'Traditional Attrition'!$E53,'Attrition Modeling'!$C:$C,'Traditional Attrition'!AQ$1),VLOOKUP('Traditional Attrition'!AQ$2-'Traditional Attrition'!$F53-1,'Traditional Attrition'!$A$7:$C$161,2,FALSE)*VLOOKUP(AQ$1,'Attrition Modeling'!$L$15:$N$27,IF(AQ$2-$F53&lt;=24,2,3),FALSE))*(1+Projection!AS$16)*(1+IF(AQ185&gt;0,'Attrition Modeling'!$N$9,0))),0))</f>
        <v>0</v>
      </c>
      <c r="AR53" s="799">
        <f>IF(AR$2=$F53+1,Monthly!AN$21,IF(AR$2&gt;$F53+1,('Traditional Attrition'!AQ53+AR185)*(1-IF(AR$2-$F53&lt;=12,SUMIFS('Attrition Modeling'!$D:$D,'Attrition Modeling'!$B:$B,'Traditional Attrition'!$E53,'Attrition Modeling'!$C:$C,'Traditional Attrition'!AR$1),VLOOKUP('Traditional Attrition'!AR$2-'Traditional Attrition'!$F53-1,'Traditional Attrition'!$A$7:$C$161,2,FALSE)*VLOOKUP(AR$1,'Attrition Modeling'!$L$15:$N$27,IF(AR$2-$F53&lt;=24,2,3),FALSE))*(1+Projection!AT$16)*(1+IF(AR185&gt;0,'Attrition Modeling'!$N$9,0))),0))</f>
        <v>0</v>
      </c>
      <c r="AS53" s="799">
        <f>IF(AS$2=$F53+1,Monthly!AO$21,IF(AS$2&gt;$F53+1,('Traditional Attrition'!AR53+AS185)*(1-IF(AS$2-$F53&lt;=12,SUMIFS('Attrition Modeling'!$D:$D,'Attrition Modeling'!$B:$B,'Traditional Attrition'!$E53,'Attrition Modeling'!$C:$C,'Traditional Attrition'!AS$1),VLOOKUP('Traditional Attrition'!AS$2-'Traditional Attrition'!$F53-1,'Traditional Attrition'!$A$7:$C$161,2,FALSE)*VLOOKUP(AS$1,'Attrition Modeling'!$L$15:$N$27,IF(AS$2-$F53&lt;=24,2,3),FALSE))*(1+Projection!AU$16)*(1+IF(AS185&gt;0,'Attrition Modeling'!$N$9,0))),0))</f>
        <v>0</v>
      </c>
      <c r="AT53" s="799">
        <f>IF(AT$2=$F53+1,Monthly!AP$21,IF(AT$2&gt;$F53+1,('Traditional Attrition'!AS53+AT185)*(1-IF(AT$2-$F53&lt;=12,SUMIFS('Attrition Modeling'!$D:$D,'Attrition Modeling'!$B:$B,'Traditional Attrition'!$E53,'Attrition Modeling'!$C:$C,'Traditional Attrition'!AT$1),VLOOKUP('Traditional Attrition'!AT$2-'Traditional Attrition'!$F53-1,'Traditional Attrition'!$A$7:$C$161,2,FALSE)*VLOOKUP(AT$1,'Attrition Modeling'!$L$15:$N$27,IF(AT$2-$F53&lt;=24,2,3),FALSE))*(1+Projection!AV$16)*(1+IF(AT185&gt;0,'Attrition Modeling'!$N$9,0))),0))</f>
        <v>0</v>
      </c>
      <c r="AU53" s="799">
        <f>IF(AU$2=$F53+1,Monthly!AQ$21,IF(AU$2&gt;$F53+1,('Traditional Attrition'!AT53+AU185)*(1-IF(AU$2-$F53&lt;=12,SUMIFS('Attrition Modeling'!$D:$D,'Attrition Modeling'!$B:$B,'Traditional Attrition'!$E53,'Attrition Modeling'!$C:$C,'Traditional Attrition'!AU$1),VLOOKUP('Traditional Attrition'!AU$2-'Traditional Attrition'!$F53-1,'Traditional Attrition'!$A$7:$C$161,2,FALSE)*VLOOKUP(AU$1,'Attrition Modeling'!$L$15:$N$27,IF(AU$2-$F53&lt;=24,2,3),FALSE))*(1+Projection!AW$16)*(1+IF(AU185&gt;0,'Attrition Modeling'!$N$9,0))),0))</f>
        <v>0</v>
      </c>
      <c r="AV53" s="799">
        <f>IF(AV$2=$F53+1,Monthly!AR$21,IF(AV$2&gt;$F53+1,('Traditional Attrition'!AU53+AV185)*(1-IF(AV$2-$F53&lt;=12,SUMIFS('Attrition Modeling'!$D:$D,'Attrition Modeling'!$B:$B,'Traditional Attrition'!$E53,'Attrition Modeling'!$C:$C,'Traditional Attrition'!AV$1),VLOOKUP('Traditional Attrition'!AV$2-'Traditional Attrition'!$F53-1,'Traditional Attrition'!$A$7:$C$161,2,FALSE)*VLOOKUP(AV$1,'Attrition Modeling'!$L$15:$N$27,IF(AV$2-$F53&lt;=24,2,3),FALSE))*(1+Projection!AX$16)*(1+IF(AV185&gt;0,'Attrition Modeling'!$N$9,0))),0))</f>
        <v>0</v>
      </c>
      <c r="AW53" s="799">
        <f>IF(AW$2=$F53+1,Monthly!AS$21,IF(AW$2&gt;$F53+1,('Traditional Attrition'!AV53+AW185)*(1-IF(AW$2-$F53&lt;=12,SUMIFS('Attrition Modeling'!$D:$D,'Attrition Modeling'!$B:$B,'Traditional Attrition'!$E53,'Attrition Modeling'!$C:$C,'Traditional Attrition'!AW$1),VLOOKUP('Traditional Attrition'!AW$2-'Traditional Attrition'!$F53-1,'Traditional Attrition'!$A$7:$C$161,2,FALSE)*VLOOKUP(AW$1,'Attrition Modeling'!$L$15:$N$27,IF(AW$2-$F53&lt;=24,2,3),FALSE))*(1+Projection!AY$16)*(1+IF(AW185&gt;0,'Attrition Modeling'!$N$9,0))),0))</f>
        <v>0</v>
      </c>
      <c r="AX53" s="799">
        <f>IF(AX$2=$F53+1,Monthly!AT$21,IF(AX$2&gt;$F53+1,('Traditional Attrition'!AW53+AX185)*(1-IF(AX$2-$F53&lt;=12,SUMIFS('Attrition Modeling'!$D:$D,'Attrition Modeling'!$B:$B,'Traditional Attrition'!$E53,'Attrition Modeling'!$C:$C,'Traditional Attrition'!AX$1),VLOOKUP('Traditional Attrition'!AX$2-'Traditional Attrition'!$F53-1,'Traditional Attrition'!$A$7:$C$161,2,FALSE)*VLOOKUP(AX$1,'Attrition Modeling'!$L$15:$N$27,IF(AX$2-$F53&lt;=24,2,3),FALSE))*(1+Projection!AZ$16)*(1+IF(AX185&gt;0,'Attrition Modeling'!$N$9,0))),0))</f>
        <v>0</v>
      </c>
      <c r="AY53" s="799">
        <f>IF(AY$2=$F53+1,Monthly!AU$21,IF(AY$2&gt;$F53+1,('Traditional Attrition'!AX53+AY185)*(1-IF(AY$2-$F53&lt;=12,SUMIFS('Attrition Modeling'!$D:$D,'Attrition Modeling'!$B:$B,'Traditional Attrition'!$E53,'Attrition Modeling'!$C:$C,'Traditional Attrition'!AY$1),VLOOKUP('Traditional Attrition'!AY$2-'Traditional Attrition'!$F53-1,'Traditional Attrition'!$A$7:$C$161,2,FALSE)*VLOOKUP(AY$1,'Attrition Modeling'!$L$15:$N$27,IF(AY$2-$F53&lt;=24,2,3),FALSE))*(1+Projection!BA$16)*(1+IF(AY185&gt;0,'Attrition Modeling'!$N$9,0))),0))</f>
        <v>0</v>
      </c>
      <c r="AZ53" s="799">
        <f>IF(AZ$2=$F53+1,Monthly!AV$21,IF(AZ$2&gt;$F53+1,('Traditional Attrition'!AY53+AZ185)*(1-IF(AZ$2-$F53&lt;=12,SUMIFS('Attrition Modeling'!$D:$D,'Attrition Modeling'!$B:$B,'Traditional Attrition'!$E53,'Attrition Modeling'!$C:$C,'Traditional Attrition'!AZ$1),VLOOKUP('Traditional Attrition'!AZ$2-'Traditional Attrition'!$F53-1,'Traditional Attrition'!$A$7:$C$161,2,FALSE)*VLOOKUP(AZ$1,'Attrition Modeling'!$L$15:$N$27,IF(AZ$2-$F53&lt;=24,2,3),FALSE))*(1+Projection!BB$16)*(1+IF(AZ185&gt;0,'Attrition Modeling'!$N$9,0))),0))</f>
        <v>0</v>
      </c>
      <c r="BA53" s="799">
        <f>IF(BA$2=$F53+1,Monthly!AW$21,IF(BA$2&gt;$F53+1,('Traditional Attrition'!AZ53+BA185)*(1-IF(BA$2-$F53&lt;=12,SUMIFS('Attrition Modeling'!$D:$D,'Attrition Modeling'!$B:$B,'Traditional Attrition'!$E53,'Attrition Modeling'!$C:$C,'Traditional Attrition'!BA$1),VLOOKUP('Traditional Attrition'!BA$2-'Traditional Attrition'!$F53-1,'Traditional Attrition'!$A$7:$C$161,2,FALSE)*VLOOKUP(BA$1,'Attrition Modeling'!$L$15:$N$27,IF(BA$2-$F53&lt;=24,2,3),FALSE))*(1+Projection!BC$16)*(1+IF(BA185&gt;0,'Attrition Modeling'!$N$9,0))),0))</f>
        <v>0</v>
      </c>
      <c r="BB53" s="799">
        <f>IF(BB$2=$F53+1,Monthly!AX$21,IF(BB$2&gt;$F53+1,('Traditional Attrition'!BA53+BB185)*(1-IF(BB$2-$F53&lt;=12,SUMIFS('Attrition Modeling'!$D:$D,'Attrition Modeling'!$B:$B,'Traditional Attrition'!$E53,'Attrition Modeling'!$C:$C,'Traditional Attrition'!BB$1),VLOOKUP('Traditional Attrition'!BB$2-'Traditional Attrition'!$F53-1,'Traditional Attrition'!$A$7:$C$161,2,FALSE)*VLOOKUP(BB$1,'Attrition Modeling'!$L$15:$N$27,IF(BB$2-$F53&lt;=24,2,3),FALSE))*(1+Projection!BD$16)*(1+IF(BB185&gt;0,'Attrition Modeling'!$N$9,0))),0))</f>
        <v>0</v>
      </c>
      <c r="BC53" s="799">
        <f>IF(BC$2=$F53+1,Monthly!AY$21,IF(BC$2&gt;$F53+1,('Traditional Attrition'!BB53+BC185)*(1-IF(BC$2-$F53&lt;=12,SUMIFS('Attrition Modeling'!$D:$D,'Attrition Modeling'!$B:$B,'Traditional Attrition'!$E53,'Attrition Modeling'!$C:$C,'Traditional Attrition'!BC$1),VLOOKUP('Traditional Attrition'!BC$2-'Traditional Attrition'!$F53-1,'Traditional Attrition'!$A$7:$C$161,2,FALSE)*VLOOKUP(BC$1,'Attrition Modeling'!$L$15:$N$27,IF(BC$2-$F53&lt;=24,2,3),FALSE))*(1+Projection!BE$16)*(1+IF(BC185&gt;0,'Attrition Modeling'!$N$9,0))),0))</f>
        <v>0</v>
      </c>
      <c r="BD53" s="799">
        <f>IF(BD$2=$F53+1,Monthly!AZ$21,IF(BD$2&gt;$F53+1,('Traditional Attrition'!BC53+BD185)*(1-IF(BD$2-$F53&lt;=12,SUMIFS('Attrition Modeling'!$D:$D,'Attrition Modeling'!$B:$B,'Traditional Attrition'!$E53,'Attrition Modeling'!$C:$C,'Traditional Attrition'!BD$1),VLOOKUP('Traditional Attrition'!BD$2-'Traditional Attrition'!$F53-1,'Traditional Attrition'!$A$7:$C$161,2,FALSE)*VLOOKUP(BD$1,'Attrition Modeling'!$L$15:$N$27,IF(BD$2-$F53&lt;=24,2,3),FALSE))*(1+Projection!BF$16)*(1+IF(BD185&gt;0,'Attrition Modeling'!$N$9,0))),0))</f>
        <v>0</v>
      </c>
      <c r="BE53" s="799">
        <f>IF(BE$2=$F53+1,Monthly!BA$21,IF(BE$2&gt;$F53+1,('Traditional Attrition'!BD53+BE185)*(1-IF(BE$2-$F53&lt;=12,SUMIFS('Attrition Modeling'!$D:$D,'Attrition Modeling'!$B:$B,'Traditional Attrition'!$E53,'Attrition Modeling'!$C:$C,'Traditional Attrition'!BE$1),VLOOKUP('Traditional Attrition'!BE$2-'Traditional Attrition'!$F53-1,'Traditional Attrition'!$A$7:$C$161,2,FALSE)*VLOOKUP(BE$1,'Attrition Modeling'!$L$15:$N$27,IF(BE$2-$F53&lt;=24,2,3),FALSE))*(1+Projection!BG$16)*(1+IF(BE185&gt;0,'Attrition Modeling'!$N$9,0))),0))</f>
        <v>0</v>
      </c>
      <c r="BF53" s="799">
        <f>IF(BF$2=$F53+1,Monthly!BB$21,IF(BF$2&gt;$F53+1,('Traditional Attrition'!BE53+BF185)*(1-IF(BF$2-$F53&lt;=12,SUMIFS('Attrition Modeling'!$D:$D,'Attrition Modeling'!$B:$B,'Traditional Attrition'!$E53,'Attrition Modeling'!$C:$C,'Traditional Attrition'!BF$1),VLOOKUP('Traditional Attrition'!BF$2-'Traditional Attrition'!$F53-1,'Traditional Attrition'!$A$7:$C$161,2,FALSE)*VLOOKUP(BF$1,'Attrition Modeling'!$L$15:$N$27,IF(BF$2-$F53&lt;=24,2,3),FALSE))*(1+Projection!BH$16)*(1+IF(BF185&gt;0,'Attrition Modeling'!$N$9,0))),0))</f>
        <v>9311.551886858857</v>
      </c>
      <c r="BG53" s="799">
        <f>IF(BG$2=$F53+1,Monthly!BC$21,IF(BG$2&gt;$F53+1,('Traditional Attrition'!BF53+BG185)*(1-IF(BG$2-$F53&lt;=12,SUMIFS('Attrition Modeling'!$D:$D,'Attrition Modeling'!$B:$B,'Traditional Attrition'!$E53,'Attrition Modeling'!$C:$C,'Traditional Attrition'!BG$1),VLOOKUP('Traditional Attrition'!BG$2-'Traditional Attrition'!$F53-1,'Traditional Attrition'!$A$7:$C$161,2,FALSE)*VLOOKUP(BG$1,'Attrition Modeling'!$L$15:$N$27,IF(BG$2-$F53&lt;=24,2,3),FALSE))*(1+Projection!BI$16)*(1+IF(BG185&gt;0,'Attrition Modeling'!$N$9,0))),0))</f>
        <v>8404.6458415967281</v>
      </c>
      <c r="BH53" s="799">
        <f>IF(BH$2=$F53+1,Monthly!BD$21,IF(BH$2&gt;$F53+1,('Traditional Attrition'!BG53+BH185)*(1-IF(BH$2-$F53&lt;=12,SUMIFS('Attrition Modeling'!$D:$D,'Attrition Modeling'!$B:$B,'Traditional Attrition'!$E53,'Attrition Modeling'!$C:$C,'Traditional Attrition'!BH$1),VLOOKUP('Traditional Attrition'!BH$2-'Traditional Attrition'!$F53-1,'Traditional Attrition'!$A$7:$C$161,2,FALSE)*VLOOKUP(BH$1,'Attrition Modeling'!$L$15:$N$27,IF(BH$2-$F53&lt;=24,2,3),FALSE))*(1+Projection!BJ$16)*(1+IF(BH185&gt;0,'Attrition Modeling'!$N$9,0))),0))</f>
        <v>7687.6125586384114</v>
      </c>
      <c r="BI53" s="799">
        <f>IF(BI$2=$F53+1,Monthly!BE$21,IF(BI$2&gt;$F53+1,('Traditional Attrition'!BH53+BI185)*(1-IF(BI$2-$F53&lt;=12,SUMIFS('Attrition Modeling'!$D:$D,'Attrition Modeling'!$B:$B,'Traditional Attrition'!$E53,'Attrition Modeling'!$C:$C,'Traditional Attrition'!BI$1),VLOOKUP('Traditional Attrition'!BI$2-'Traditional Attrition'!$F53-1,'Traditional Attrition'!$A$7:$C$161,2,FALSE)*VLOOKUP(BI$1,'Attrition Modeling'!$L$15:$N$27,IF(BI$2-$F53&lt;=24,2,3),FALSE))*(1+Projection!BK$16)*(1+IF(BI185&gt;0,'Attrition Modeling'!$N$9,0))),0))</f>
        <v>6973.2278620572106</v>
      </c>
      <c r="BJ53" s="799">
        <f>IF(BJ$2=$F53+1,Monthly!BF$21,IF(BJ$2&gt;$F53+1,('Traditional Attrition'!BI53+BJ185)*(1-IF(BJ$2-$F53&lt;=12,SUMIFS('Attrition Modeling'!$D:$D,'Attrition Modeling'!$B:$B,'Traditional Attrition'!$E53,'Attrition Modeling'!$C:$C,'Traditional Attrition'!BJ$1),VLOOKUP('Traditional Attrition'!BJ$2-'Traditional Attrition'!$F53-1,'Traditional Attrition'!$A$7:$C$161,2,FALSE)*VLOOKUP(BJ$1,'Attrition Modeling'!$L$15:$N$27,IF(BJ$2-$F53&lt;=24,2,3),FALSE))*(1+Projection!BL$16)*(1+IF(BJ185&gt;0,'Attrition Modeling'!$N$9,0))),0))</f>
        <v>6406.7751297526484</v>
      </c>
      <c r="BK53" s="799">
        <f>IF(BK$2=$F53+1,Monthly!BG$21,IF(BK$2&gt;$F53+1,('Traditional Attrition'!BJ53+BK185)*(1-IF(BK$2-$F53&lt;=12,SUMIFS('Attrition Modeling'!$D:$D,'Attrition Modeling'!$B:$B,'Traditional Attrition'!$E53,'Attrition Modeling'!$C:$C,'Traditional Attrition'!BK$1),VLOOKUP('Traditional Attrition'!BK$2-'Traditional Attrition'!$F53-1,'Traditional Attrition'!$A$7:$C$161,2,FALSE)*VLOOKUP(BK$1,'Attrition Modeling'!$L$15:$N$27,IF(BK$2-$F53&lt;=24,2,3),FALSE))*(1+Projection!BM$16)*(1+IF(BK185&gt;0,'Attrition Modeling'!$N$9,0))),0))</f>
        <v>6313.136648702508</v>
      </c>
      <c r="BL53" s="799">
        <f>IF(BL$2=$F53+1,Monthly!BH$21,IF(BL$2&gt;$F53+1,('Traditional Attrition'!BK53+BL185)*(1-IF(BL$2-$F53&lt;=12,SUMIFS('Attrition Modeling'!$D:$D,'Attrition Modeling'!$B:$B,'Traditional Attrition'!$E53,'Attrition Modeling'!$C:$C,'Traditional Attrition'!BL$1),VLOOKUP('Traditional Attrition'!BL$2-'Traditional Attrition'!$F53-1,'Traditional Attrition'!$A$7:$C$161,2,FALSE)*VLOOKUP(BL$1,'Attrition Modeling'!$L$15:$N$27,IF(BL$2-$F53&lt;=24,2,3),FALSE))*(1+Projection!BN$16)*(1+IF(BL185&gt;0,'Attrition Modeling'!$N$9,0))),0))</f>
        <v>5836.7133293848801</v>
      </c>
      <c r="BM53" s="799">
        <f>IF(BM$2=$F53+1,Monthly!BI$21,IF(BM$2&gt;$F53+1,('Traditional Attrition'!BL53+BM185)*(1-IF(BM$2-$F53&lt;=12,SUMIFS('Attrition Modeling'!$D:$D,'Attrition Modeling'!$B:$B,'Traditional Attrition'!$E53,'Attrition Modeling'!$C:$C,'Traditional Attrition'!BM$1),VLOOKUP('Traditional Attrition'!BM$2-'Traditional Attrition'!$F53-1,'Traditional Attrition'!$A$7:$C$161,2,FALSE)*VLOOKUP(BM$1,'Attrition Modeling'!$L$15:$N$27,IF(BM$2-$F53&lt;=24,2,3),FALSE))*(1+Projection!BO$16)*(1+IF(BM185&gt;0,'Attrition Modeling'!$N$9,0))),0))</f>
        <v>5427.7492430768052</v>
      </c>
      <c r="BN53" s="799">
        <f>IF(BN$2=$F53+1,Monthly!BJ$21,IF(BN$2&gt;$F53+1,('Traditional Attrition'!BM53+BN185)*(1-IF(BN$2-$F53&lt;=12,SUMIFS('Attrition Modeling'!$D:$D,'Attrition Modeling'!$B:$B,'Traditional Attrition'!$E53,'Attrition Modeling'!$C:$C,'Traditional Attrition'!BN$1),VLOOKUP('Traditional Attrition'!BN$2-'Traditional Attrition'!$F53-1,'Traditional Attrition'!$A$7:$C$161,2,FALSE)*VLOOKUP(BN$1,'Attrition Modeling'!$L$15:$N$27,IF(BN$2-$F53&lt;=24,2,3),FALSE))*(1+Projection!BP$16)*(1+IF(BN185&gt;0,'Attrition Modeling'!$N$9,0))),0))</f>
        <v>5067.2605006785252</v>
      </c>
      <c r="BO53" s="799">
        <f>IF(BO$2=$F53+1,Monthly!BK$21,IF(BO$2&gt;$F53+1,('Traditional Attrition'!BN53+BO185)*(1-IF(BO$2-$F53&lt;=12,SUMIFS('Attrition Modeling'!$D:$D,'Attrition Modeling'!$B:$B,'Traditional Attrition'!$E53,'Attrition Modeling'!$C:$C,'Traditional Attrition'!BO$1),VLOOKUP('Traditional Attrition'!BO$2-'Traditional Attrition'!$F53-1,'Traditional Attrition'!$A$7:$C$161,2,FALSE)*VLOOKUP(BO$1,'Attrition Modeling'!$L$15:$N$27,IF(BO$2-$F53&lt;=24,2,3),FALSE))*(1+Projection!BV$16)*(1+IF(BO185&gt;0,'Attrition Modeling'!$N$9,0))),0))</f>
        <v>4752.1867050713709</v>
      </c>
      <c r="BP53" s="799">
        <f>IF(BP$2=$F53+1,Monthly!BL$21,IF(BP$2&gt;$F53+1,('Traditional Attrition'!BO53+BP185)*(1-IF(BP$2-$F53&lt;=12,SUMIFS('Attrition Modeling'!$D:$D,'Attrition Modeling'!$B:$B,'Traditional Attrition'!$E53,'Attrition Modeling'!$C:$C,'Traditional Attrition'!BP$1),VLOOKUP('Traditional Attrition'!BP$2-'Traditional Attrition'!$F53-1,'Traditional Attrition'!$A$7:$C$161,2,FALSE)*VLOOKUP(BP$1,'Attrition Modeling'!$L$15:$N$27,IF(BP$2-$F53&lt;=24,2,3),FALSE))*(1+Projection!BW$16)*(1+IF(BP185&gt;0,'Attrition Modeling'!$N$9,0))),0))</f>
        <v>4482.8091442600007</v>
      </c>
      <c r="BQ53" s="799">
        <f>IF(BQ$2=$F53+1,Monthly!BM$21,IF(BQ$2&gt;$F53+1,('Traditional Attrition'!BP53+BQ185)*(1-IF(BQ$2-$F53&lt;=12,SUMIFS('Attrition Modeling'!$D:$D,'Attrition Modeling'!$B:$B,'Traditional Attrition'!$E53,'Attrition Modeling'!$C:$C,'Traditional Attrition'!BQ$1),VLOOKUP('Traditional Attrition'!BQ$2-'Traditional Attrition'!$F53-1,'Traditional Attrition'!$A$7:$C$161,2,FALSE)*VLOOKUP(BQ$1,'Attrition Modeling'!$L$15:$N$27,IF(BQ$2-$F53&lt;=24,2,3),FALSE))*(1+Projection!BX$16)*(1+IF(BQ185&gt;0,'Attrition Modeling'!$N$9,0))),0))</f>
        <v>4372.3508889936857</v>
      </c>
      <c r="BR53" s="799">
        <f>IF(BR$2=$F53+1,Monthly!BN$21,IF(BR$2&gt;$F53+1,('Traditional Attrition'!BQ53+BR185)*(1-IF(BR$2-$F53&lt;=12,SUMIFS('Attrition Modeling'!$D:$D,'Attrition Modeling'!$B:$B,'Traditional Attrition'!$E53,'Attrition Modeling'!$C:$C,'Traditional Attrition'!BR$1),VLOOKUP('Traditional Attrition'!BR$2-'Traditional Attrition'!$F53-1,'Traditional Attrition'!$A$7:$C$161,2,FALSE)*VLOOKUP(BR$1,'Attrition Modeling'!$L$15:$N$27,IF(BR$2-$F53&lt;=24,2,3),FALSE))*(1+Projection!BY$16)*(1+IF(BR185&gt;0,'Attrition Modeling'!$N$9,0))),0))</f>
        <v>4141.1993099175015</v>
      </c>
      <c r="BS53" s="799">
        <f>IF(BS$2=$F53+1,Monthly!BO$21,IF(BS$2&gt;$F53+1,('Traditional Attrition'!BR53+BS185)*(1-IF(BS$2-$F53&lt;=12,SUMIFS('Attrition Modeling'!$D:$D,'Attrition Modeling'!$B:$B,'Traditional Attrition'!$E53,'Attrition Modeling'!$C:$C,'Traditional Attrition'!BS$1),VLOOKUP('Traditional Attrition'!BS$2-'Traditional Attrition'!$F53-1,'Traditional Attrition'!$A$7:$C$161,2,FALSE)*VLOOKUP(BS$1,'Attrition Modeling'!$L$15:$N$27,IF(BS$2-$F53&lt;=24,2,3),FALSE))*(1+Projection!BZ$16)*(1+IF(BS185&gt;0,'Attrition Modeling'!$N$9,0))),0))</f>
        <v>3942.5668179504632</v>
      </c>
      <c r="BT53" s="799">
        <f>IF(BT$2=$F53+1,Monthly!#REF!,IF(BT$2&gt;$F53+1,('Traditional Attrition'!BS53+BT185)*(1-IF(BT$2-$F53&lt;=12,SUMIFS('Attrition Modeling'!$D:$D,'Attrition Modeling'!$B:$B,'Traditional Attrition'!$E53,'Attrition Modeling'!$C:$C,'Traditional Attrition'!BT$1),VLOOKUP('Traditional Attrition'!BT$2-'Traditional Attrition'!$F53-1,'Traditional Attrition'!$A$7:$C$161,2,FALSE)*VLOOKUP(BT$1,'Attrition Modeling'!$L$15:$N$27,IF(BT$2-$F53&lt;=24,2,3),FALSE))*(1+Projection!CA$16)*(1+IF(BT185&gt;0,'Attrition Modeling'!$N$9,0))),0))</f>
        <v>3764.0055989136354</v>
      </c>
      <c r="BU53" s="799">
        <f>IF(BU$2=$F53+1,Monthly!#REF!,IF(BU$2&gt;$F53+1,('Traditional Attrition'!BT53+BU185)*(1-IF(BU$2-$F53&lt;=12,SUMIFS('Attrition Modeling'!$D:$D,'Attrition Modeling'!$B:$B,'Traditional Attrition'!$E53,'Attrition Modeling'!$C:$C,'Traditional Attrition'!BU$1),VLOOKUP('Traditional Attrition'!BU$2-'Traditional Attrition'!$F53-1,'Traditional Attrition'!$A$7:$C$161,2,FALSE)*VLOOKUP(BU$1,'Attrition Modeling'!$L$15:$N$27,IF(BU$2-$F53&lt;=24,2,3),FALSE))*(1+Projection!CB$16)*(1+IF(BU185&gt;0,'Attrition Modeling'!$N$9,0))),0))</f>
        <v>3583.6835635466246</v>
      </c>
    </row>
    <row r="54" spans="1:73" ht="14.25" customHeight="1" x14ac:dyDescent="0.2">
      <c r="A54" s="9">
        <v>47</v>
      </c>
      <c r="B54" s="25">
        <f>MAX('Attrition Modeling'!H51,$C$3)*(1-Summary!$C$20)</f>
        <v>2.6113085641081973E-2</v>
      </c>
      <c r="C54" s="24" t="e">
        <f t="shared" si="4"/>
        <v>#DIV/0!</v>
      </c>
      <c r="E54" s="11">
        <f t="shared" si="2"/>
        <v>3</v>
      </c>
      <c r="F54" s="11">
        <f t="shared" si="3"/>
        <v>51</v>
      </c>
      <c r="G54" s="799"/>
      <c r="H54" s="799">
        <f>IF(H$2=$F54+1,Monthly!D$21,IF(H$2&gt;$F54+1,('Traditional Attrition'!G54+H186)*(1-IF(H$2-$F54&lt;=12,SUMIFS('Attrition Modeling'!$D:$D,'Attrition Modeling'!$B:$B,'Traditional Attrition'!$E54,'Attrition Modeling'!$C:$C,'Traditional Attrition'!H$1),VLOOKUP('Traditional Attrition'!H$2-'Traditional Attrition'!$F54-1,'Traditional Attrition'!$A$7:$C$161,2,FALSE)*VLOOKUP(H$1,'Attrition Modeling'!$L$15:$N$27,IF(H$2-$F54&lt;=24,2,3),FALSE))*(1+Projection!J$16)*(1+IF(H186&gt;0,'Attrition Modeling'!$N$9,0))),0))</f>
        <v>0</v>
      </c>
      <c r="I54" s="799">
        <f>IF(I$2=$F54+1,Monthly!E$21,IF(I$2&gt;$F54+1,('Traditional Attrition'!H54+I186)*(1-IF(I$2-$F54&lt;=12,SUMIFS('Attrition Modeling'!$D:$D,'Attrition Modeling'!$B:$B,'Traditional Attrition'!$E54,'Attrition Modeling'!$C:$C,'Traditional Attrition'!I$1),VLOOKUP('Traditional Attrition'!I$2-'Traditional Attrition'!$F54-1,'Traditional Attrition'!$A$7:$C$161,2,FALSE)*VLOOKUP(I$1,'Attrition Modeling'!$L$15:$N$27,IF(I$2-$F54&lt;=24,2,3),FALSE))*(1+Projection!K$16)*(1+IF(I186&gt;0,'Attrition Modeling'!$N$9,0))),0))</f>
        <v>0</v>
      </c>
      <c r="J54" s="799">
        <f>IF(J$2=$F54+1,Monthly!F$21,IF(J$2&gt;$F54+1,('Traditional Attrition'!I54+J186)*(1-IF(J$2-$F54&lt;=12,SUMIFS('Attrition Modeling'!$D:$D,'Attrition Modeling'!$B:$B,'Traditional Attrition'!$E54,'Attrition Modeling'!$C:$C,'Traditional Attrition'!J$1),VLOOKUP('Traditional Attrition'!J$2-'Traditional Attrition'!$F54-1,'Traditional Attrition'!$A$7:$C$161,2,FALSE)*VLOOKUP(J$1,'Attrition Modeling'!$L$15:$N$27,IF(J$2-$F54&lt;=24,2,3),FALSE))*(1+Projection!L$16)*(1+IF(J186&gt;0,'Attrition Modeling'!$N$9,0))),0))</f>
        <v>0</v>
      </c>
      <c r="K54" s="799">
        <f>IF(K$2=$F54+1,Monthly!G$21,IF(K$2&gt;$F54+1,('Traditional Attrition'!J54+K186)*(1-IF(K$2-$F54&lt;=12,SUMIFS('Attrition Modeling'!$D:$D,'Attrition Modeling'!$B:$B,'Traditional Attrition'!$E54,'Attrition Modeling'!$C:$C,'Traditional Attrition'!K$1),VLOOKUP('Traditional Attrition'!K$2-'Traditional Attrition'!$F54-1,'Traditional Attrition'!$A$7:$C$161,2,FALSE)*VLOOKUP(K$1,'Attrition Modeling'!$L$15:$N$27,IF(K$2-$F54&lt;=24,2,3),FALSE))*(1+Projection!M$16)*(1+IF(K186&gt;0,'Attrition Modeling'!$N$9,0))),0))</f>
        <v>0</v>
      </c>
      <c r="L54" s="799">
        <f>IF(L$2=$F54+1,Monthly!H$21,IF(L$2&gt;$F54+1,('Traditional Attrition'!K54+L186)*(1-IF(L$2-$F54&lt;=12,SUMIFS('Attrition Modeling'!$D:$D,'Attrition Modeling'!$B:$B,'Traditional Attrition'!$E54,'Attrition Modeling'!$C:$C,'Traditional Attrition'!L$1),VLOOKUP('Traditional Attrition'!L$2-'Traditional Attrition'!$F54-1,'Traditional Attrition'!$A$7:$C$161,2,FALSE)*VLOOKUP(L$1,'Attrition Modeling'!$L$15:$N$27,IF(L$2-$F54&lt;=24,2,3),FALSE))*(1+Projection!N$16)*(1+IF(L186&gt;0,'Attrition Modeling'!$N$9,0))),0))</f>
        <v>0</v>
      </c>
      <c r="M54" s="799">
        <f>IF(M$2=$F54+1,Monthly!I$21,IF(M$2&gt;$F54+1,('Traditional Attrition'!L54+M186)*(1-IF(M$2-$F54&lt;=12,SUMIFS('Attrition Modeling'!$D:$D,'Attrition Modeling'!$B:$B,'Traditional Attrition'!$E54,'Attrition Modeling'!$C:$C,'Traditional Attrition'!M$1),VLOOKUP('Traditional Attrition'!M$2-'Traditional Attrition'!$F54-1,'Traditional Attrition'!$A$7:$C$161,2,FALSE)*VLOOKUP(M$1,'Attrition Modeling'!$L$15:$N$27,IF(M$2-$F54&lt;=24,2,3),FALSE))*(1+Projection!O$16)*(1+IF(M186&gt;0,'Attrition Modeling'!$N$9,0))),0))</f>
        <v>0</v>
      </c>
      <c r="N54" s="799">
        <f>IF(N$2=$F54+1,Monthly!J$21,IF(N$2&gt;$F54+1,('Traditional Attrition'!M54+N186)*(1-IF(N$2-$F54&lt;=12,SUMIFS('Attrition Modeling'!$D:$D,'Attrition Modeling'!$B:$B,'Traditional Attrition'!$E54,'Attrition Modeling'!$C:$C,'Traditional Attrition'!N$1),VLOOKUP('Traditional Attrition'!N$2-'Traditional Attrition'!$F54-1,'Traditional Attrition'!$A$7:$C$161,2,FALSE)*VLOOKUP(N$1,'Attrition Modeling'!$L$15:$N$27,IF(N$2-$F54&lt;=24,2,3),FALSE))*(1+Projection!P$16)*(1+IF(N186&gt;0,'Attrition Modeling'!$N$9,0))),0))</f>
        <v>0</v>
      </c>
      <c r="O54" s="799">
        <f>IF(O$2=$F54+1,Monthly!K$21,IF(O$2&gt;$F54+1,('Traditional Attrition'!N54+O186)*(1-IF(O$2-$F54&lt;=12,SUMIFS('Attrition Modeling'!$D:$D,'Attrition Modeling'!$B:$B,'Traditional Attrition'!$E54,'Attrition Modeling'!$C:$C,'Traditional Attrition'!O$1),VLOOKUP('Traditional Attrition'!O$2-'Traditional Attrition'!$F54-1,'Traditional Attrition'!$A$7:$C$161,2,FALSE)*VLOOKUP(O$1,'Attrition Modeling'!$L$15:$N$27,IF(O$2-$F54&lt;=24,2,3),FALSE))*(1+Projection!Q$16)*(1+IF(O186&gt;0,'Attrition Modeling'!$N$9,0))),0))</f>
        <v>0</v>
      </c>
      <c r="P54" s="799">
        <f>IF(P$2=$F54+1,Monthly!L$21,IF(P$2&gt;$F54+1,('Traditional Attrition'!O54+P186)*(1-IF(P$2-$F54&lt;=12,SUMIFS('Attrition Modeling'!$D:$D,'Attrition Modeling'!$B:$B,'Traditional Attrition'!$E54,'Attrition Modeling'!$C:$C,'Traditional Attrition'!P$1),VLOOKUP('Traditional Attrition'!P$2-'Traditional Attrition'!$F54-1,'Traditional Attrition'!$A$7:$C$161,2,FALSE)*VLOOKUP(P$1,'Attrition Modeling'!$L$15:$N$27,IF(P$2-$F54&lt;=24,2,3),FALSE))*(1+Projection!R$16)*(1+IF(P186&gt;0,'Attrition Modeling'!$N$9,0))),0))</f>
        <v>0</v>
      </c>
      <c r="Q54" s="799">
        <f>IF(Q$2=$F54+1,Monthly!M$21,IF(Q$2&gt;$F54+1,('Traditional Attrition'!P54+Q186)*(1-IF(Q$2-$F54&lt;=12,SUMIFS('Attrition Modeling'!$D:$D,'Attrition Modeling'!$B:$B,'Traditional Attrition'!$E54,'Attrition Modeling'!$C:$C,'Traditional Attrition'!Q$1),VLOOKUP('Traditional Attrition'!Q$2-'Traditional Attrition'!$F54-1,'Traditional Attrition'!$A$7:$C$161,2,FALSE)*VLOOKUP(Q$1,'Attrition Modeling'!$L$15:$N$27,IF(Q$2-$F54&lt;=24,2,3),FALSE))*(1+Projection!S$16)*(1+IF(Q186&gt;0,'Attrition Modeling'!$N$9,0))),0))</f>
        <v>0</v>
      </c>
      <c r="R54" s="799">
        <f>IF(R$2=$F54+1,Monthly!N$21,IF(R$2&gt;$F54+1,('Traditional Attrition'!Q54+R186)*(1-IF(R$2-$F54&lt;=12,SUMIFS('Attrition Modeling'!$D:$D,'Attrition Modeling'!$B:$B,'Traditional Attrition'!$E54,'Attrition Modeling'!$C:$C,'Traditional Attrition'!R$1),VLOOKUP('Traditional Attrition'!R$2-'Traditional Attrition'!$F54-1,'Traditional Attrition'!$A$7:$C$161,2,FALSE)*VLOOKUP(R$1,'Attrition Modeling'!$L$15:$N$27,IF(R$2-$F54&lt;=24,2,3),FALSE))*(1+Projection!T$16)*(1+IF(R186&gt;0,'Attrition Modeling'!$N$9,0))),0))</f>
        <v>0</v>
      </c>
      <c r="S54" s="799">
        <f>IF(S$2=$F54+1,Monthly!O$21,IF(S$2&gt;$F54+1,('Traditional Attrition'!R54+S186)*(1-IF(S$2-$F54&lt;=12,SUMIFS('Attrition Modeling'!$D:$D,'Attrition Modeling'!$B:$B,'Traditional Attrition'!$E54,'Attrition Modeling'!$C:$C,'Traditional Attrition'!S$1),VLOOKUP('Traditional Attrition'!S$2-'Traditional Attrition'!$F54-1,'Traditional Attrition'!$A$7:$C$161,2,FALSE)*VLOOKUP(S$1,'Attrition Modeling'!$L$15:$N$27,IF(S$2-$F54&lt;=24,2,3),FALSE))*(1+Projection!U$16)*(1+IF(S186&gt;0,'Attrition Modeling'!$N$9,0))),0))</f>
        <v>0</v>
      </c>
      <c r="T54" s="799">
        <f>IF(T$2=$F54+1,Monthly!P$21,IF(T$2&gt;$F54+1,('Traditional Attrition'!S54+T186)*(1-IF(T$2-$F54&lt;=12,SUMIFS('Attrition Modeling'!$D:$D,'Attrition Modeling'!$B:$B,'Traditional Attrition'!$E54,'Attrition Modeling'!$C:$C,'Traditional Attrition'!T$1),VLOOKUP('Traditional Attrition'!T$2-'Traditional Attrition'!$F54-1,'Traditional Attrition'!$A$7:$C$161,2,FALSE)*VLOOKUP(T$1,'Attrition Modeling'!$L$15:$N$27,IF(T$2-$F54&lt;=24,2,3),FALSE))*(1+Projection!V$16)*(1+IF(T186&gt;0,'Attrition Modeling'!$N$9,0))),0))</f>
        <v>0</v>
      </c>
      <c r="U54" s="799">
        <f>IF(U$2=$F54+1,Monthly!Q$21,IF(U$2&gt;$F54+1,('Traditional Attrition'!T54+U186)*(1-IF(U$2-$F54&lt;=12,SUMIFS('Attrition Modeling'!$D:$D,'Attrition Modeling'!$B:$B,'Traditional Attrition'!$E54,'Attrition Modeling'!$C:$C,'Traditional Attrition'!U$1),VLOOKUP('Traditional Attrition'!U$2-'Traditional Attrition'!$F54-1,'Traditional Attrition'!$A$7:$C$161,2,FALSE)*VLOOKUP(U$1,'Attrition Modeling'!$L$15:$N$27,IF(U$2-$F54&lt;=24,2,3),FALSE))*(1+Projection!W$16)*(1+IF(U186&gt;0,'Attrition Modeling'!$N$9,0))),0))</f>
        <v>0</v>
      </c>
      <c r="V54" s="799">
        <f>IF(V$2=$F54+1,Monthly!R$21,IF(V$2&gt;$F54+1,('Traditional Attrition'!U54+V186)*(1-IF(V$2-$F54&lt;=12,SUMIFS('Attrition Modeling'!$D:$D,'Attrition Modeling'!$B:$B,'Traditional Attrition'!$E54,'Attrition Modeling'!$C:$C,'Traditional Attrition'!V$1),VLOOKUP('Traditional Attrition'!V$2-'Traditional Attrition'!$F54-1,'Traditional Attrition'!$A$7:$C$161,2,FALSE)*VLOOKUP(V$1,'Attrition Modeling'!$L$15:$N$27,IF(V$2-$F54&lt;=24,2,3),FALSE))*(1+Projection!X$16)*(1+IF(V186&gt;0,'Attrition Modeling'!$N$9,0))),0))</f>
        <v>0</v>
      </c>
      <c r="W54" s="799">
        <f>IF(W$2=$F54+1,Monthly!S$21,IF(W$2&gt;$F54+1,('Traditional Attrition'!V54+W186)*(1-IF(W$2-$F54&lt;=12,SUMIFS('Attrition Modeling'!$D:$D,'Attrition Modeling'!$B:$B,'Traditional Attrition'!$E54,'Attrition Modeling'!$C:$C,'Traditional Attrition'!W$1),VLOOKUP('Traditional Attrition'!W$2-'Traditional Attrition'!$F54-1,'Traditional Attrition'!$A$7:$C$161,2,FALSE)*VLOOKUP(W$1,'Attrition Modeling'!$L$15:$N$27,IF(W$2-$F54&lt;=24,2,3),FALSE))*(1+Projection!Y$16)*(1+IF(W186&gt;0,'Attrition Modeling'!$N$9,0))),0))</f>
        <v>0</v>
      </c>
      <c r="X54" s="799">
        <f>IF(X$2=$F54+1,Monthly!T$21,IF(X$2&gt;$F54+1,('Traditional Attrition'!W54+X186)*(1-IF(X$2-$F54&lt;=12,SUMIFS('Attrition Modeling'!$D:$D,'Attrition Modeling'!$B:$B,'Traditional Attrition'!$E54,'Attrition Modeling'!$C:$C,'Traditional Attrition'!X$1),VLOOKUP('Traditional Attrition'!X$2-'Traditional Attrition'!$F54-1,'Traditional Attrition'!$A$7:$C$161,2,FALSE)*VLOOKUP(X$1,'Attrition Modeling'!$L$15:$N$27,IF(X$2-$F54&lt;=24,2,3),FALSE))*(1+Projection!Z$16)*(1+IF(X186&gt;0,'Attrition Modeling'!$N$9,0))),0))</f>
        <v>0</v>
      </c>
      <c r="Y54" s="799">
        <f>IF(Y$2=$F54+1,Monthly!U$21,IF(Y$2&gt;$F54+1,('Traditional Attrition'!X54+Y186)*(1-IF(Y$2-$F54&lt;=12,SUMIFS('Attrition Modeling'!$D:$D,'Attrition Modeling'!$B:$B,'Traditional Attrition'!$E54,'Attrition Modeling'!$C:$C,'Traditional Attrition'!Y$1),VLOOKUP('Traditional Attrition'!Y$2-'Traditional Attrition'!$F54-1,'Traditional Attrition'!$A$7:$C$161,2,FALSE)*VLOOKUP(Y$1,'Attrition Modeling'!$L$15:$N$27,IF(Y$2-$F54&lt;=24,2,3),FALSE))*(1+Projection!AA$16)*(1+IF(Y186&gt;0,'Attrition Modeling'!$N$9,0))),0))</f>
        <v>0</v>
      </c>
      <c r="Z54" s="799">
        <f>IF(Z$2=$F54+1,Monthly!V$21,IF(Z$2&gt;$F54+1,('Traditional Attrition'!Y54+Z186)*(1-IF(Z$2-$F54&lt;=12,SUMIFS('Attrition Modeling'!$D:$D,'Attrition Modeling'!$B:$B,'Traditional Attrition'!$E54,'Attrition Modeling'!$C:$C,'Traditional Attrition'!Z$1),VLOOKUP('Traditional Attrition'!Z$2-'Traditional Attrition'!$F54-1,'Traditional Attrition'!$A$7:$C$161,2,FALSE)*VLOOKUP(Z$1,'Attrition Modeling'!$L$15:$N$27,IF(Z$2-$F54&lt;=24,2,3),FALSE))*(1+Projection!AB$16)*(1+IF(Z186&gt;0,'Attrition Modeling'!$N$9,0))),0))</f>
        <v>0</v>
      </c>
      <c r="AA54" s="799">
        <f>IF(AA$2=$F54+1,Monthly!W$21,IF(AA$2&gt;$F54+1,('Traditional Attrition'!Z54+AA186)*(1-IF(AA$2-$F54&lt;=12,SUMIFS('Attrition Modeling'!$D:$D,'Attrition Modeling'!$B:$B,'Traditional Attrition'!$E54,'Attrition Modeling'!$C:$C,'Traditional Attrition'!AA$1),VLOOKUP('Traditional Attrition'!AA$2-'Traditional Attrition'!$F54-1,'Traditional Attrition'!$A$7:$C$161,2,FALSE)*VLOOKUP(AA$1,'Attrition Modeling'!$L$15:$N$27,IF(AA$2-$F54&lt;=24,2,3),FALSE))*(1+Projection!AC$16)*(1+IF(AA186&gt;0,'Attrition Modeling'!$N$9,0))),0))</f>
        <v>0</v>
      </c>
      <c r="AB54" s="799">
        <f>IF(AB$2=$F54+1,Monthly!X$21,IF(AB$2&gt;$F54+1,('Traditional Attrition'!AA54+AB186)*(1-IF(AB$2-$F54&lt;=12,SUMIFS('Attrition Modeling'!$D:$D,'Attrition Modeling'!$B:$B,'Traditional Attrition'!$E54,'Attrition Modeling'!$C:$C,'Traditional Attrition'!AB$1),VLOOKUP('Traditional Attrition'!AB$2-'Traditional Attrition'!$F54-1,'Traditional Attrition'!$A$7:$C$161,2,FALSE)*VLOOKUP(AB$1,'Attrition Modeling'!$L$15:$N$27,IF(AB$2-$F54&lt;=24,2,3),FALSE))*(1+Projection!AD$16)*(1+IF(AB186&gt;0,'Attrition Modeling'!$N$9,0))),0))</f>
        <v>0</v>
      </c>
      <c r="AC54" s="799">
        <f>IF(AC$2=$F54+1,Monthly!Y$21,IF(AC$2&gt;$F54+1,('Traditional Attrition'!AB54+AC186)*(1-IF(AC$2-$F54&lt;=12,SUMIFS('Attrition Modeling'!$D:$D,'Attrition Modeling'!$B:$B,'Traditional Attrition'!$E54,'Attrition Modeling'!$C:$C,'Traditional Attrition'!AC$1),VLOOKUP('Traditional Attrition'!AC$2-'Traditional Attrition'!$F54-1,'Traditional Attrition'!$A$7:$C$161,2,FALSE)*VLOOKUP(AC$1,'Attrition Modeling'!$L$15:$N$27,IF(AC$2-$F54&lt;=24,2,3),FALSE))*(1+Projection!AE$16)*(1+IF(AC186&gt;0,'Attrition Modeling'!$N$9,0))),0))</f>
        <v>0</v>
      </c>
      <c r="AD54" s="799">
        <f>IF(AD$2=$F54+1,Monthly!Z$21,IF(AD$2&gt;$F54+1,('Traditional Attrition'!AC54+AD186)*(1-IF(AD$2-$F54&lt;=12,SUMIFS('Attrition Modeling'!$D:$D,'Attrition Modeling'!$B:$B,'Traditional Attrition'!$E54,'Attrition Modeling'!$C:$C,'Traditional Attrition'!AD$1),VLOOKUP('Traditional Attrition'!AD$2-'Traditional Attrition'!$F54-1,'Traditional Attrition'!$A$7:$C$161,2,FALSE)*VLOOKUP(AD$1,'Attrition Modeling'!$L$15:$N$27,IF(AD$2-$F54&lt;=24,2,3),FALSE))*(1+Projection!AF$16)*(1+IF(AD186&gt;0,'Attrition Modeling'!$N$9,0))),0))</f>
        <v>0</v>
      </c>
      <c r="AE54" s="799">
        <f>IF(AE$2=$F54+1,Monthly!AA$21,IF(AE$2&gt;$F54+1,('Traditional Attrition'!AD54+AE186)*(1-IF(AE$2-$F54&lt;=12,SUMIFS('Attrition Modeling'!$D:$D,'Attrition Modeling'!$B:$B,'Traditional Attrition'!$E54,'Attrition Modeling'!$C:$C,'Traditional Attrition'!AE$1),VLOOKUP('Traditional Attrition'!AE$2-'Traditional Attrition'!$F54-1,'Traditional Attrition'!$A$7:$C$161,2,FALSE)*VLOOKUP(AE$1,'Attrition Modeling'!$L$15:$N$27,IF(AE$2-$F54&lt;=24,2,3),FALSE))*(1+Projection!AG$16)*(1+IF(AE186&gt;0,'Attrition Modeling'!$N$9,0))),0))</f>
        <v>0</v>
      </c>
      <c r="AF54" s="799">
        <f>IF(AF$2=$F54+1,Monthly!AB$21,IF(AF$2&gt;$F54+1,('Traditional Attrition'!AE54+AF186)*(1-IF(AF$2-$F54&lt;=12,SUMIFS('Attrition Modeling'!$D:$D,'Attrition Modeling'!$B:$B,'Traditional Attrition'!$E54,'Attrition Modeling'!$C:$C,'Traditional Attrition'!AF$1),VLOOKUP('Traditional Attrition'!AF$2-'Traditional Attrition'!$F54-1,'Traditional Attrition'!$A$7:$C$161,2,FALSE)*VLOOKUP(AF$1,'Attrition Modeling'!$L$15:$N$27,IF(AF$2-$F54&lt;=24,2,3),FALSE))*(1+Projection!AH$16)*(1+IF(AF186&gt;0,'Attrition Modeling'!$N$9,0))),0))</f>
        <v>0</v>
      </c>
      <c r="AG54" s="799">
        <f>IF(AG$2=$F54+1,Monthly!AC$21,IF(AG$2&gt;$F54+1,('Traditional Attrition'!AF54+AG186)*(1-IF(AG$2-$F54&lt;=12,SUMIFS('Attrition Modeling'!$D:$D,'Attrition Modeling'!$B:$B,'Traditional Attrition'!$E54,'Attrition Modeling'!$C:$C,'Traditional Attrition'!AG$1),VLOOKUP('Traditional Attrition'!AG$2-'Traditional Attrition'!$F54-1,'Traditional Attrition'!$A$7:$C$161,2,FALSE)*VLOOKUP(AG$1,'Attrition Modeling'!$L$15:$N$27,IF(AG$2-$F54&lt;=24,2,3),FALSE))*(1+Projection!AI$16)*(1+IF(AG186&gt;0,'Attrition Modeling'!$N$9,0))),0))</f>
        <v>0</v>
      </c>
      <c r="AH54" s="799">
        <f>IF(AH$2=$F54+1,Monthly!AD$21,IF(AH$2&gt;$F54+1,('Traditional Attrition'!AG54+AH186)*(1-IF(AH$2-$F54&lt;=12,SUMIFS('Attrition Modeling'!$D:$D,'Attrition Modeling'!$B:$B,'Traditional Attrition'!$E54,'Attrition Modeling'!$C:$C,'Traditional Attrition'!AH$1),VLOOKUP('Traditional Attrition'!AH$2-'Traditional Attrition'!$F54-1,'Traditional Attrition'!$A$7:$C$161,2,FALSE)*VLOOKUP(AH$1,'Attrition Modeling'!$L$15:$N$27,IF(AH$2-$F54&lt;=24,2,3),FALSE))*(1+Projection!AJ$16)*(1+IF(AH186&gt;0,'Attrition Modeling'!$N$9,0))),0))</f>
        <v>0</v>
      </c>
      <c r="AI54" s="799">
        <f>IF(AI$2=$F54+1,Monthly!AE$21,IF(AI$2&gt;$F54+1,('Traditional Attrition'!AH54+AI186)*(1-IF(AI$2-$F54&lt;=12,SUMIFS('Attrition Modeling'!$D:$D,'Attrition Modeling'!$B:$B,'Traditional Attrition'!$E54,'Attrition Modeling'!$C:$C,'Traditional Attrition'!AI$1),VLOOKUP('Traditional Attrition'!AI$2-'Traditional Attrition'!$F54-1,'Traditional Attrition'!$A$7:$C$161,2,FALSE)*VLOOKUP(AI$1,'Attrition Modeling'!$L$15:$N$27,IF(AI$2-$F54&lt;=24,2,3),FALSE))*(1+Projection!AK$16)*(1+IF(AI186&gt;0,'Attrition Modeling'!$N$9,0))),0))</f>
        <v>0</v>
      </c>
      <c r="AJ54" s="799">
        <f>IF(AJ$2=$F54+1,Monthly!AF$21,IF(AJ$2&gt;$F54+1,('Traditional Attrition'!AI54+AJ186)*(1-IF(AJ$2-$F54&lt;=12,SUMIFS('Attrition Modeling'!$D:$D,'Attrition Modeling'!$B:$B,'Traditional Attrition'!$E54,'Attrition Modeling'!$C:$C,'Traditional Attrition'!AJ$1),VLOOKUP('Traditional Attrition'!AJ$2-'Traditional Attrition'!$F54-1,'Traditional Attrition'!$A$7:$C$161,2,FALSE)*VLOOKUP(AJ$1,'Attrition Modeling'!$L$15:$N$27,IF(AJ$2-$F54&lt;=24,2,3),FALSE))*(1+Projection!AL$16)*(1+IF(AJ186&gt;0,'Attrition Modeling'!$N$9,0))),0))</f>
        <v>0</v>
      </c>
      <c r="AK54" s="799">
        <f>IF(AK$2=$F54+1,Monthly!AG$21,IF(AK$2&gt;$F54+1,('Traditional Attrition'!AJ54+AK186)*(1-IF(AK$2-$F54&lt;=12,SUMIFS('Attrition Modeling'!$D:$D,'Attrition Modeling'!$B:$B,'Traditional Attrition'!$E54,'Attrition Modeling'!$C:$C,'Traditional Attrition'!AK$1),VLOOKUP('Traditional Attrition'!AK$2-'Traditional Attrition'!$F54-1,'Traditional Attrition'!$A$7:$C$161,2,FALSE)*VLOOKUP(AK$1,'Attrition Modeling'!$L$15:$N$27,IF(AK$2-$F54&lt;=24,2,3),FALSE))*(1+Projection!AM$16)*(1+IF(AK186&gt;0,'Attrition Modeling'!$N$9,0))),0))</f>
        <v>0</v>
      </c>
      <c r="AL54" s="799">
        <f>IF(AL$2=$F54+1,Monthly!AH$21,IF(AL$2&gt;$F54+1,('Traditional Attrition'!AK54+AL186)*(1-IF(AL$2-$F54&lt;=12,SUMIFS('Attrition Modeling'!$D:$D,'Attrition Modeling'!$B:$B,'Traditional Attrition'!$E54,'Attrition Modeling'!$C:$C,'Traditional Attrition'!AL$1),VLOOKUP('Traditional Attrition'!AL$2-'Traditional Attrition'!$F54-1,'Traditional Attrition'!$A$7:$C$161,2,FALSE)*VLOOKUP(AL$1,'Attrition Modeling'!$L$15:$N$27,IF(AL$2-$F54&lt;=24,2,3),FALSE))*(1+Projection!AN$16)*(1+IF(AL186&gt;0,'Attrition Modeling'!$N$9,0))),0))</f>
        <v>0</v>
      </c>
      <c r="AM54" s="799">
        <f>IF(AM$2=$F54+1,Monthly!AI$21,IF(AM$2&gt;$F54+1,('Traditional Attrition'!AL54+AM186)*(1-IF(AM$2-$F54&lt;=12,SUMIFS('Attrition Modeling'!$D:$D,'Attrition Modeling'!$B:$B,'Traditional Attrition'!$E54,'Attrition Modeling'!$C:$C,'Traditional Attrition'!AM$1),VLOOKUP('Traditional Attrition'!AM$2-'Traditional Attrition'!$F54-1,'Traditional Attrition'!$A$7:$C$161,2,FALSE)*VLOOKUP(AM$1,'Attrition Modeling'!$L$15:$N$27,IF(AM$2-$F54&lt;=24,2,3),FALSE))*(1+Projection!AO$16)*(1+IF(AM186&gt;0,'Attrition Modeling'!$N$9,0))),0))</f>
        <v>0</v>
      </c>
      <c r="AN54" s="799">
        <f>IF(AN$2=$F54+1,Monthly!AJ$21,IF(AN$2&gt;$F54+1,('Traditional Attrition'!AM54+AN186)*(1-IF(AN$2-$F54&lt;=12,SUMIFS('Attrition Modeling'!$D:$D,'Attrition Modeling'!$B:$B,'Traditional Attrition'!$E54,'Attrition Modeling'!$C:$C,'Traditional Attrition'!AN$1),VLOOKUP('Traditional Attrition'!AN$2-'Traditional Attrition'!$F54-1,'Traditional Attrition'!$A$7:$C$161,2,FALSE)*VLOOKUP(AN$1,'Attrition Modeling'!$L$15:$N$27,IF(AN$2-$F54&lt;=24,2,3),FALSE))*(1+Projection!AP$16)*(1+IF(AN186&gt;0,'Attrition Modeling'!$N$9,0))),0))</f>
        <v>0</v>
      </c>
      <c r="AO54" s="799">
        <f>IF(AO$2=$F54+1,Monthly!AK$21,IF(AO$2&gt;$F54+1,('Traditional Attrition'!AN54+AO186)*(1-IF(AO$2-$F54&lt;=12,SUMIFS('Attrition Modeling'!$D:$D,'Attrition Modeling'!$B:$B,'Traditional Attrition'!$E54,'Attrition Modeling'!$C:$C,'Traditional Attrition'!AO$1),VLOOKUP('Traditional Attrition'!AO$2-'Traditional Attrition'!$F54-1,'Traditional Attrition'!$A$7:$C$161,2,FALSE)*VLOOKUP(AO$1,'Attrition Modeling'!$L$15:$N$27,IF(AO$2-$F54&lt;=24,2,3),FALSE))*(1+Projection!AQ$16)*(1+IF(AO186&gt;0,'Attrition Modeling'!$N$9,0))),0))</f>
        <v>0</v>
      </c>
      <c r="AP54" s="799">
        <f>IF(AP$2=$F54+1,Monthly!AL$21,IF(AP$2&gt;$F54+1,('Traditional Attrition'!AO54+AP186)*(1-IF(AP$2-$F54&lt;=12,SUMIFS('Attrition Modeling'!$D:$D,'Attrition Modeling'!$B:$B,'Traditional Attrition'!$E54,'Attrition Modeling'!$C:$C,'Traditional Attrition'!AP$1),VLOOKUP('Traditional Attrition'!AP$2-'Traditional Attrition'!$F54-1,'Traditional Attrition'!$A$7:$C$161,2,FALSE)*VLOOKUP(AP$1,'Attrition Modeling'!$L$15:$N$27,IF(AP$2-$F54&lt;=24,2,3),FALSE))*(1+Projection!AR$16)*(1+IF(AP186&gt;0,'Attrition Modeling'!$N$9,0))),0))</f>
        <v>0</v>
      </c>
      <c r="AQ54" s="799">
        <f>IF(AQ$2=$F54+1,Monthly!AM$21,IF(AQ$2&gt;$F54+1,('Traditional Attrition'!AP54+AQ186)*(1-IF(AQ$2-$F54&lt;=12,SUMIFS('Attrition Modeling'!$D:$D,'Attrition Modeling'!$B:$B,'Traditional Attrition'!$E54,'Attrition Modeling'!$C:$C,'Traditional Attrition'!AQ$1),VLOOKUP('Traditional Attrition'!AQ$2-'Traditional Attrition'!$F54-1,'Traditional Attrition'!$A$7:$C$161,2,FALSE)*VLOOKUP(AQ$1,'Attrition Modeling'!$L$15:$N$27,IF(AQ$2-$F54&lt;=24,2,3),FALSE))*(1+Projection!AS$16)*(1+IF(AQ186&gt;0,'Attrition Modeling'!$N$9,0))),0))</f>
        <v>0</v>
      </c>
      <c r="AR54" s="799">
        <f>IF(AR$2=$F54+1,Monthly!AN$21,IF(AR$2&gt;$F54+1,('Traditional Attrition'!AQ54+AR186)*(1-IF(AR$2-$F54&lt;=12,SUMIFS('Attrition Modeling'!$D:$D,'Attrition Modeling'!$B:$B,'Traditional Attrition'!$E54,'Attrition Modeling'!$C:$C,'Traditional Attrition'!AR$1),VLOOKUP('Traditional Attrition'!AR$2-'Traditional Attrition'!$F54-1,'Traditional Attrition'!$A$7:$C$161,2,FALSE)*VLOOKUP(AR$1,'Attrition Modeling'!$L$15:$N$27,IF(AR$2-$F54&lt;=24,2,3),FALSE))*(1+Projection!AT$16)*(1+IF(AR186&gt;0,'Attrition Modeling'!$N$9,0))),0))</f>
        <v>0</v>
      </c>
      <c r="AS54" s="799">
        <f>IF(AS$2=$F54+1,Monthly!AO$21,IF(AS$2&gt;$F54+1,('Traditional Attrition'!AR54+AS186)*(1-IF(AS$2-$F54&lt;=12,SUMIFS('Attrition Modeling'!$D:$D,'Attrition Modeling'!$B:$B,'Traditional Attrition'!$E54,'Attrition Modeling'!$C:$C,'Traditional Attrition'!AS$1),VLOOKUP('Traditional Attrition'!AS$2-'Traditional Attrition'!$F54-1,'Traditional Attrition'!$A$7:$C$161,2,FALSE)*VLOOKUP(AS$1,'Attrition Modeling'!$L$15:$N$27,IF(AS$2-$F54&lt;=24,2,3),FALSE))*(1+Projection!AU$16)*(1+IF(AS186&gt;0,'Attrition Modeling'!$N$9,0))),0))</f>
        <v>0</v>
      </c>
      <c r="AT54" s="799">
        <f>IF(AT$2=$F54+1,Monthly!AP$21,IF(AT$2&gt;$F54+1,('Traditional Attrition'!AS54+AT186)*(1-IF(AT$2-$F54&lt;=12,SUMIFS('Attrition Modeling'!$D:$D,'Attrition Modeling'!$B:$B,'Traditional Attrition'!$E54,'Attrition Modeling'!$C:$C,'Traditional Attrition'!AT$1),VLOOKUP('Traditional Attrition'!AT$2-'Traditional Attrition'!$F54-1,'Traditional Attrition'!$A$7:$C$161,2,FALSE)*VLOOKUP(AT$1,'Attrition Modeling'!$L$15:$N$27,IF(AT$2-$F54&lt;=24,2,3),FALSE))*(1+Projection!AV$16)*(1+IF(AT186&gt;0,'Attrition Modeling'!$N$9,0))),0))</f>
        <v>0</v>
      </c>
      <c r="AU54" s="799">
        <f>IF(AU$2=$F54+1,Monthly!AQ$21,IF(AU$2&gt;$F54+1,('Traditional Attrition'!AT54+AU186)*(1-IF(AU$2-$F54&lt;=12,SUMIFS('Attrition Modeling'!$D:$D,'Attrition Modeling'!$B:$B,'Traditional Attrition'!$E54,'Attrition Modeling'!$C:$C,'Traditional Attrition'!AU$1),VLOOKUP('Traditional Attrition'!AU$2-'Traditional Attrition'!$F54-1,'Traditional Attrition'!$A$7:$C$161,2,FALSE)*VLOOKUP(AU$1,'Attrition Modeling'!$L$15:$N$27,IF(AU$2-$F54&lt;=24,2,3),FALSE))*(1+Projection!AW$16)*(1+IF(AU186&gt;0,'Attrition Modeling'!$N$9,0))),0))</f>
        <v>0</v>
      </c>
      <c r="AV54" s="799">
        <f>IF(AV$2=$F54+1,Monthly!AR$21,IF(AV$2&gt;$F54+1,('Traditional Attrition'!AU54+AV186)*(1-IF(AV$2-$F54&lt;=12,SUMIFS('Attrition Modeling'!$D:$D,'Attrition Modeling'!$B:$B,'Traditional Attrition'!$E54,'Attrition Modeling'!$C:$C,'Traditional Attrition'!AV$1),VLOOKUP('Traditional Attrition'!AV$2-'Traditional Attrition'!$F54-1,'Traditional Attrition'!$A$7:$C$161,2,FALSE)*VLOOKUP(AV$1,'Attrition Modeling'!$L$15:$N$27,IF(AV$2-$F54&lt;=24,2,3),FALSE))*(1+Projection!AX$16)*(1+IF(AV186&gt;0,'Attrition Modeling'!$N$9,0))),0))</f>
        <v>0</v>
      </c>
      <c r="AW54" s="799">
        <f>IF(AW$2=$F54+1,Monthly!AS$21,IF(AW$2&gt;$F54+1,('Traditional Attrition'!AV54+AW186)*(1-IF(AW$2-$F54&lt;=12,SUMIFS('Attrition Modeling'!$D:$D,'Attrition Modeling'!$B:$B,'Traditional Attrition'!$E54,'Attrition Modeling'!$C:$C,'Traditional Attrition'!AW$1),VLOOKUP('Traditional Attrition'!AW$2-'Traditional Attrition'!$F54-1,'Traditional Attrition'!$A$7:$C$161,2,FALSE)*VLOOKUP(AW$1,'Attrition Modeling'!$L$15:$N$27,IF(AW$2-$F54&lt;=24,2,3),FALSE))*(1+Projection!AY$16)*(1+IF(AW186&gt;0,'Attrition Modeling'!$N$9,0))),0))</f>
        <v>0</v>
      </c>
      <c r="AX54" s="799">
        <f>IF(AX$2=$F54+1,Monthly!AT$21,IF(AX$2&gt;$F54+1,('Traditional Attrition'!AW54+AX186)*(1-IF(AX$2-$F54&lt;=12,SUMIFS('Attrition Modeling'!$D:$D,'Attrition Modeling'!$B:$B,'Traditional Attrition'!$E54,'Attrition Modeling'!$C:$C,'Traditional Attrition'!AX$1),VLOOKUP('Traditional Attrition'!AX$2-'Traditional Attrition'!$F54-1,'Traditional Attrition'!$A$7:$C$161,2,FALSE)*VLOOKUP(AX$1,'Attrition Modeling'!$L$15:$N$27,IF(AX$2-$F54&lt;=24,2,3),FALSE))*(1+Projection!AZ$16)*(1+IF(AX186&gt;0,'Attrition Modeling'!$N$9,0))),0))</f>
        <v>0</v>
      </c>
      <c r="AY54" s="799">
        <f>IF(AY$2=$F54+1,Monthly!AU$21,IF(AY$2&gt;$F54+1,('Traditional Attrition'!AX54+AY186)*(1-IF(AY$2-$F54&lt;=12,SUMIFS('Attrition Modeling'!$D:$D,'Attrition Modeling'!$B:$B,'Traditional Attrition'!$E54,'Attrition Modeling'!$C:$C,'Traditional Attrition'!AY$1),VLOOKUP('Traditional Attrition'!AY$2-'Traditional Attrition'!$F54-1,'Traditional Attrition'!$A$7:$C$161,2,FALSE)*VLOOKUP(AY$1,'Attrition Modeling'!$L$15:$N$27,IF(AY$2-$F54&lt;=24,2,3),FALSE))*(1+Projection!BA$16)*(1+IF(AY186&gt;0,'Attrition Modeling'!$N$9,0))),0))</f>
        <v>0</v>
      </c>
      <c r="AZ54" s="799">
        <f>IF(AZ$2=$F54+1,Monthly!AV$21,IF(AZ$2&gt;$F54+1,('Traditional Attrition'!AY54+AZ186)*(1-IF(AZ$2-$F54&lt;=12,SUMIFS('Attrition Modeling'!$D:$D,'Attrition Modeling'!$B:$B,'Traditional Attrition'!$E54,'Attrition Modeling'!$C:$C,'Traditional Attrition'!AZ$1),VLOOKUP('Traditional Attrition'!AZ$2-'Traditional Attrition'!$F54-1,'Traditional Attrition'!$A$7:$C$161,2,FALSE)*VLOOKUP(AZ$1,'Attrition Modeling'!$L$15:$N$27,IF(AZ$2-$F54&lt;=24,2,3),FALSE))*(1+Projection!BB$16)*(1+IF(AZ186&gt;0,'Attrition Modeling'!$N$9,0))),0))</f>
        <v>0</v>
      </c>
      <c r="BA54" s="799">
        <f>IF(BA$2=$F54+1,Monthly!AW$21,IF(BA$2&gt;$F54+1,('Traditional Attrition'!AZ54+BA186)*(1-IF(BA$2-$F54&lt;=12,SUMIFS('Attrition Modeling'!$D:$D,'Attrition Modeling'!$B:$B,'Traditional Attrition'!$E54,'Attrition Modeling'!$C:$C,'Traditional Attrition'!BA$1),VLOOKUP('Traditional Attrition'!BA$2-'Traditional Attrition'!$F54-1,'Traditional Attrition'!$A$7:$C$161,2,FALSE)*VLOOKUP(BA$1,'Attrition Modeling'!$L$15:$N$27,IF(BA$2-$F54&lt;=24,2,3),FALSE))*(1+Projection!BC$16)*(1+IF(BA186&gt;0,'Attrition Modeling'!$N$9,0))),0))</f>
        <v>0</v>
      </c>
      <c r="BB54" s="799">
        <f>IF(BB$2=$F54+1,Monthly!AX$21,IF(BB$2&gt;$F54+1,('Traditional Attrition'!BA54+BB186)*(1-IF(BB$2-$F54&lt;=12,SUMIFS('Attrition Modeling'!$D:$D,'Attrition Modeling'!$B:$B,'Traditional Attrition'!$E54,'Attrition Modeling'!$C:$C,'Traditional Attrition'!BB$1),VLOOKUP('Traditional Attrition'!BB$2-'Traditional Attrition'!$F54-1,'Traditional Attrition'!$A$7:$C$161,2,FALSE)*VLOOKUP(BB$1,'Attrition Modeling'!$L$15:$N$27,IF(BB$2-$F54&lt;=24,2,3),FALSE))*(1+Projection!BD$16)*(1+IF(BB186&gt;0,'Attrition Modeling'!$N$9,0))),0))</f>
        <v>0</v>
      </c>
      <c r="BC54" s="799">
        <f>IF(BC$2=$F54+1,Monthly!AY$21,IF(BC$2&gt;$F54+1,('Traditional Attrition'!BB54+BC186)*(1-IF(BC$2-$F54&lt;=12,SUMIFS('Attrition Modeling'!$D:$D,'Attrition Modeling'!$B:$B,'Traditional Attrition'!$E54,'Attrition Modeling'!$C:$C,'Traditional Attrition'!BC$1),VLOOKUP('Traditional Attrition'!BC$2-'Traditional Attrition'!$F54-1,'Traditional Attrition'!$A$7:$C$161,2,FALSE)*VLOOKUP(BC$1,'Attrition Modeling'!$L$15:$N$27,IF(BC$2-$F54&lt;=24,2,3),FALSE))*(1+Projection!BE$16)*(1+IF(BC186&gt;0,'Attrition Modeling'!$N$9,0))),0))</f>
        <v>0</v>
      </c>
      <c r="BD54" s="799">
        <f>IF(BD$2=$F54+1,Monthly!AZ$21,IF(BD$2&gt;$F54+1,('Traditional Attrition'!BC54+BD186)*(1-IF(BD$2-$F54&lt;=12,SUMIFS('Attrition Modeling'!$D:$D,'Attrition Modeling'!$B:$B,'Traditional Attrition'!$E54,'Attrition Modeling'!$C:$C,'Traditional Attrition'!BD$1),VLOOKUP('Traditional Attrition'!BD$2-'Traditional Attrition'!$F54-1,'Traditional Attrition'!$A$7:$C$161,2,FALSE)*VLOOKUP(BD$1,'Attrition Modeling'!$L$15:$N$27,IF(BD$2-$F54&lt;=24,2,3),FALSE))*(1+Projection!BF$16)*(1+IF(BD186&gt;0,'Attrition Modeling'!$N$9,0))),0))</f>
        <v>0</v>
      </c>
      <c r="BE54" s="799">
        <f>IF(BE$2=$F54+1,Monthly!BA$21,IF(BE$2&gt;$F54+1,('Traditional Attrition'!BD54+BE186)*(1-IF(BE$2-$F54&lt;=12,SUMIFS('Attrition Modeling'!$D:$D,'Attrition Modeling'!$B:$B,'Traditional Attrition'!$E54,'Attrition Modeling'!$C:$C,'Traditional Attrition'!BE$1),VLOOKUP('Traditional Attrition'!BE$2-'Traditional Attrition'!$F54-1,'Traditional Attrition'!$A$7:$C$161,2,FALSE)*VLOOKUP(BE$1,'Attrition Modeling'!$L$15:$N$27,IF(BE$2-$F54&lt;=24,2,3),FALSE))*(1+Projection!BG$16)*(1+IF(BE186&gt;0,'Attrition Modeling'!$N$9,0))),0))</f>
        <v>0</v>
      </c>
      <c r="BF54" s="799">
        <f>IF(BF$2=$F54+1,Monthly!BB$21,IF(BF$2&gt;$F54+1,('Traditional Attrition'!BE54+BF186)*(1-IF(BF$2-$F54&lt;=12,SUMIFS('Attrition Modeling'!$D:$D,'Attrition Modeling'!$B:$B,'Traditional Attrition'!$E54,'Attrition Modeling'!$C:$C,'Traditional Attrition'!BF$1),VLOOKUP('Traditional Attrition'!BF$2-'Traditional Attrition'!$F54-1,'Traditional Attrition'!$A$7:$C$161,2,FALSE)*VLOOKUP(BF$1,'Attrition Modeling'!$L$15:$N$27,IF(BF$2-$F54&lt;=24,2,3),FALSE))*(1+Projection!BH$16)*(1+IF(BF186&gt;0,'Attrition Modeling'!$N$9,0))),0))</f>
        <v>0</v>
      </c>
      <c r="BG54" s="799">
        <f>IF(BG$2=$F54+1,Monthly!BC$21,IF(BG$2&gt;$F54+1,('Traditional Attrition'!BF54+BG186)*(1-IF(BG$2-$F54&lt;=12,SUMIFS('Attrition Modeling'!$D:$D,'Attrition Modeling'!$B:$B,'Traditional Attrition'!$E54,'Attrition Modeling'!$C:$C,'Traditional Attrition'!BG$1),VLOOKUP('Traditional Attrition'!BG$2-'Traditional Attrition'!$F54-1,'Traditional Attrition'!$A$7:$C$161,2,FALSE)*VLOOKUP(BG$1,'Attrition Modeling'!$L$15:$N$27,IF(BG$2-$F54&lt;=24,2,3),FALSE))*(1+Projection!BI$16)*(1+IF(BG186&gt;0,'Attrition Modeling'!$N$9,0))),0))</f>
        <v>9573.2584380392891</v>
      </c>
      <c r="BH54" s="799">
        <f>IF(BH$2=$F54+1,Monthly!BD$21,IF(BH$2&gt;$F54+1,('Traditional Attrition'!BG54+BH186)*(1-IF(BH$2-$F54&lt;=12,SUMIFS('Attrition Modeling'!$D:$D,'Attrition Modeling'!$B:$B,'Traditional Attrition'!$E54,'Attrition Modeling'!$C:$C,'Traditional Attrition'!BH$1),VLOOKUP('Traditional Attrition'!BH$2-'Traditional Attrition'!$F54-1,'Traditional Attrition'!$A$7:$C$161,2,FALSE)*VLOOKUP(BH$1,'Attrition Modeling'!$L$15:$N$27,IF(BH$2-$F54&lt;=24,2,3),FALSE))*(1+Projection!BJ$16)*(1+IF(BH186&gt;0,'Attrition Modeling'!$N$9,0))),0))</f>
        <v>8674.1555246015796</v>
      </c>
      <c r="BI54" s="799">
        <f>IF(BI$2=$F54+1,Monthly!BE$21,IF(BI$2&gt;$F54+1,('Traditional Attrition'!BH54+BI186)*(1-IF(BI$2-$F54&lt;=12,SUMIFS('Attrition Modeling'!$D:$D,'Attrition Modeling'!$B:$B,'Traditional Attrition'!$E54,'Attrition Modeling'!$C:$C,'Traditional Attrition'!BI$1),VLOOKUP('Traditional Attrition'!BI$2-'Traditional Attrition'!$F54-1,'Traditional Attrition'!$A$7:$C$161,2,FALSE)*VLOOKUP(BI$1,'Attrition Modeling'!$L$15:$N$27,IF(BI$2-$F54&lt;=24,2,3),FALSE))*(1+Projection!BK$16)*(1+IF(BI186&gt;0,'Attrition Modeling'!$N$9,0))),0))</f>
        <v>7895.4214155289592</v>
      </c>
      <c r="BJ54" s="799">
        <f>IF(BJ$2=$F54+1,Monthly!BF$21,IF(BJ$2&gt;$F54+1,('Traditional Attrition'!BI54+BJ186)*(1-IF(BJ$2-$F54&lt;=12,SUMIFS('Attrition Modeling'!$D:$D,'Attrition Modeling'!$B:$B,'Traditional Attrition'!$E54,'Attrition Modeling'!$C:$C,'Traditional Attrition'!BJ$1),VLOOKUP('Traditional Attrition'!BJ$2-'Traditional Attrition'!$F54-1,'Traditional Attrition'!$A$7:$C$161,2,FALSE)*VLOOKUP(BJ$1,'Attrition Modeling'!$L$15:$N$27,IF(BJ$2-$F54&lt;=24,2,3),FALSE))*(1+Projection!BL$16)*(1+IF(BJ186&gt;0,'Attrition Modeling'!$N$9,0))),0))</f>
        <v>7189.4530992015789</v>
      </c>
      <c r="BK54" s="799">
        <f>IF(BK$2=$F54+1,Monthly!BG$21,IF(BK$2&gt;$F54+1,('Traditional Attrition'!BJ54+BK186)*(1-IF(BK$2-$F54&lt;=12,SUMIFS('Attrition Modeling'!$D:$D,'Attrition Modeling'!$B:$B,'Traditional Attrition'!$E54,'Attrition Modeling'!$C:$C,'Traditional Attrition'!BK$1),VLOOKUP('Traditional Attrition'!BK$2-'Traditional Attrition'!$F54-1,'Traditional Attrition'!$A$7:$C$161,2,FALSE)*VLOOKUP(BK$1,'Attrition Modeling'!$L$15:$N$27,IF(BK$2-$F54&lt;=24,2,3),FALSE))*(1+Projection!BM$16)*(1+IF(BK186&gt;0,'Attrition Modeling'!$N$9,0))),0))</f>
        <v>6562.1853226829171</v>
      </c>
      <c r="BL54" s="799">
        <f>IF(BL$2=$F54+1,Monthly!BH$21,IF(BL$2&gt;$F54+1,('Traditional Attrition'!BK54+BL186)*(1-IF(BL$2-$F54&lt;=12,SUMIFS('Attrition Modeling'!$D:$D,'Attrition Modeling'!$B:$B,'Traditional Attrition'!$E54,'Attrition Modeling'!$C:$C,'Traditional Attrition'!BL$1),VLOOKUP('Traditional Attrition'!BL$2-'Traditional Attrition'!$F54-1,'Traditional Attrition'!$A$7:$C$161,2,FALSE)*VLOOKUP(BL$1,'Attrition Modeling'!$L$15:$N$27,IF(BL$2-$F54&lt;=24,2,3),FALSE))*(1+Projection!BN$16)*(1+IF(BL186&gt;0,'Attrition Modeling'!$N$9,0))),0))</f>
        <v>6481.8501934137075</v>
      </c>
      <c r="BM54" s="799">
        <f>IF(BM$2=$F54+1,Monthly!BI$21,IF(BM$2&gt;$F54+1,('Traditional Attrition'!BL54+BM186)*(1-IF(BM$2-$F54&lt;=12,SUMIFS('Attrition Modeling'!$D:$D,'Attrition Modeling'!$B:$B,'Traditional Attrition'!$E54,'Attrition Modeling'!$C:$C,'Traditional Attrition'!BM$1),VLOOKUP('Traditional Attrition'!BM$2-'Traditional Attrition'!$F54-1,'Traditional Attrition'!$A$7:$C$161,2,FALSE)*VLOOKUP(BM$1,'Attrition Modeling'!$L$15:$N$27,IF(BM$2-$F54&lt;=24,2,3),FALSE))*(1+Projection!BO$16)*(1+IF(BM186&gt;0,'Attrition Modeling'!$N$9,0))),0))</f>
        <v>5968.102117645838</v>
      </c>
      <c r="BN54" s="799">
        <f>IF(BN$2=$F54+1,Monthly!BJ$21,IF(BN$2&gt;$F54+1,('Traditional Attrition'!BM54+BN186)*(1-IF(BN$2-$F54&lt;=12,SUMIFS('Attrition Modeling'!$D:$D,'Attrition Modeling'!$B:$B,'Traditional Attrition'!$E54,'Attrition Modeling'!$C:$C,'Traditional Attrition'!BN$1),VLOOKUP('Traditional Attrition'!BN$2-'Traditional Attrition'!$F54-1,'Traditional Attrition'!$A$7:$C$161,2,FALSE)*VLOOKUP(BN$1,'Attrition Modeling'!$L$15:$N$27,IF(BN$2-$F54&lt;=24,2,3),FALSE))*(1+Projection!BP$16)*(1+IF(BN186&gt;0,'Attrition Modeling'!$N$9,0))),0))</f>
        <v>5522.9830380434169</v>
      </c>
      <c r="BO54" s="799">
        <f>IF(BO$2=$F54+1,Monthly!BK$21,IF(BO$2&gt;$F54+1,('Traditional Attrition'!BN54+BO186)*(1-IF(BO$2-$F54&lt;=12,SUMIFS('Attrition Modeling'!$D:$D,'Attrition Modeling'!$B:$B,'Traditional Attrition'!$E54,'Attrition Modeling'!$C:$C,'Traditional Attrition'!BO$1),VLOOKUP('Traditional Attrition'!BO$2-'Traditional Attrition'!$F54-1,'Traditional Attrition'!$A$7:$C$161,2,FALSE)*VLOOKUP(BO$1,'Attrition Modeling'!$L$15:$N$27,IF(BO$2-$F54&lt;=24,2,3),FALSE))*(1+Projection!BV$16)*(1+IF(BO186&gt;0,'Attrition Modeling'!$N$9,0))),0))</f>
        <v>5193.7487957639751</v>
      </c>
      <c r="BP54" s="799">
        <f>IF(BP$2=$F54+1,Monthly!BL$21,IF(BP$2&gt;$F54+1,('Traditional Attrition'!BO54+BP186)*(1-IF(BP$2-$F54&lt;=12,SUMIFS('Attrition Modeling'!$D:$D,'Attrition Modeling'!$B:$B,'Traditional Attrition'!$E54,'Attrition Modeling'!$C:$C,'Traditional Attrition'!BP$1),VLOOKUP('Traditional Attrition'!BP$2-'Traditional Attrition'!$F54-1,'Traditional Attrition'!$A$7:$C$161,2,FALSE)*VLOOKUP(BP$1,'Attrition Modeling'!$L$15:$N$27,IF(BP$2-$F54&lt;=24,2,3),FALSE))*(1+Projection!BW$16)*(1+IF(BP186&gt;0,'Attrition Modeling'!$N$9,0))),0))</f>
        <v>4902.463834802059</v>
      </c>
      <c r="BQ54" s="799">
        <f>IF(BQ$2=$F54+1,Monthly!BM$21,IF(BQ$2&gt;$F54+1,('Traditional Attrition'!BP54+BQ186)*(1-IF(BQ$2-$F54&lt;=12,SUMIFS('Attrition Modeling'!$D:$D,'Attrition Modeling'!$B:$B,'Traditional Attrition'!$E54,'Attrition Modeling'!$C:$C,'Traditional Attrition'!BQ$1),VLOOKUP('Traditional Attrition'!BQ$2-'Traditional Attrition'!$F54-1,'Traditional Attrition'!$A$7:$C$161,2,FALSE)*VLOOKUP(BQ$1,'Attrition Modeling'!$L$15:$N$27,IF(BQ$2-$F54&lt;=24,2,3),FALSE))*(1+Projection!BX$16)*(1+IF(BQ186&gt;0,'Attrition Modeling'!$N$9,0))),0))</f>
        <v>4649.7078990682758</v>
      </c>
      <c r="BR54" s="799">
        <f>IF(BR$2=$F54+1,Monthly!BN$21,IF(BR$2&gt;$F54+1,('Traditional Attrition'!BQ54+BR186)*(1-IF(BR$2-$F54&lt;=12,SUMIFS('Attrition Modeling'!$D:$D,'Attrition Modeling'!$B:$B,'Traditional Attrition'!$E54,'Attrition Modeling'!$C:$C,'Traditional Attrition'!BR$1),VLOOKUP('Traditional Attrition'!BR$2-'Traditional Attrition'!$F54-1,'Traditional Attrition'!$A$7:$C$161,2,FALSE)*VLOOKUP(BR$1,'Attrition Modeling'!$L$15:$N$27,IF(BR$2-$F54&lt;=24,2,3),FALSE))*(1+Projection!BY$16)*(1+IF(BR186&gt;0,'Attrition Modeling'!$N$9,0))),0))</f>
        <v>4500.8149527243113</v>
      </c>
      <c r="BS54" s="799">
        <f>IF(BS$2=$F54+1,Monthly!BO$21,IF(BS$2&gt;$F54+1,('Traditional Attrition'!BR54+BS186)*(1-IF(BS$2-$F54&lt;=12,SUMIFS('Attrition Modeling'!$D:$D,'Attrition Modeling'!$B:$B,'Traditional Attrition'!$E54,'Attrition Modeling'!$C:$C,'Traditional Attrition'!BS$1),VLOOKUP('Traditional Attrition'!BS$2-'Traditional Attrition'!$F54-1,'Traditional Attrition'!$A$7:$C$161,2,FALSE)*VLOOKUP(BS$1,'Attrition Modeling'!$L$15:$N$27,IF(BS$2-$F54&lt;=24,2,3),FALSE))*(1+Projection!BZ$16)*(1+IF(BS186&gt;0,'Attrition Modeling'!$N$9,0))),0))</f>
        <v>4266.8630831078872</v>
      </c>
      <c r="BT54" s="799">
        <f>IF(BT$2=$F54+1,Monthly!#REF!,IF(BT$2&gt;$F54+1,('Traditional Attrition'!BS54+BT186)*(1-IF(BT$2-$F54&lt;=12,SUMIFS('Attrition Modeling'!$D:$D,'Attrition Modeling'!$B:$B,'Traditional Attrition'!$E54,'Attrition Modeling'!$C:$C,'Traditional Attrition'!BT$1),VLOOKUP('Traditional Attrition'!BT$2-'Traditional Attrition'!$F54-1,'Traditional Attrition'!$A$7:$C$161,2,FALSE)*VLOOKUP(BT$1,'Attrition Modeling'!$L$15:$N$27,IF(BT$2-$F54&lt;=24,2,3),FALSE))*(1+Projection!CA$16)*(1+IF(BT186&gt;0,'Attrition Modeling'!$N$9,0))),0))</f>
        <v>4063.6647945685281</v>
      </c>
      <c r="BU54" s="799">
        <f>IF(BU$2=$F54+1,Monthly!#REF!,IF(BU$2&gt;$F54+1,('Traditional Attrition'!BT54+BU186)*(1-IF(BU$2-$F54&lt;=12,SUMIFS('Attrition Modeling'!$D:$D,'Attrition Modeling'!$B:$B,'Traditional Attrition'!$E54,'Attrition Modeling'!$C:$C,'Traditional Attrition'!BU$1),VLOOKUP('Traditional Attrition'!BU$2-'Traditional Attrition'!$F54-1,'Traditional Attrition'!$A$7:$C$161,2,FALSE)*VLOOKUP(BU$1,'Attrition Modeling'!$L$15:$N$27,IF(BU$2-$F54&lt;=24,2,3),FALSE))*(1+Projection!CB$16)*(1+IF(BU186&gt;0,'Attrition Modeling'!$N$9,0))),0))</f>
        <v>3861.6058912165645</v>
      </c>
    </row>
    <row r="55" spans="1:73" ht="14.25" customHeight="1" x14ac:dyDescent="0.2">
      <c r="A55" s="9">
        <v>48</v>
      </c>
      <c r="B55" s="25">
        <f>MAX('Attrition Modeling'!H52,$C$3)*(1-Summary!$C$20)</f>
        <v>2.5618873453481676E-2</v>
      </c>
      <c r="C55" s="24" t="e">
        <f t="shared" si="4"/>
        <v>#DIV/0!</v>
      </c>
      <c r="E55" s="11">
        <f t="shared" si="2"/>
        <v>4</v>
      </c>
      <c r="F55" s="11">
        <f t="shared" si="3"/>
        <v>52</v>
      </c>
      <c r="G55" s="799"/>
      <c r="H55" s="799">
        <f>IF(H$2=$F55+1,Monthly!D$21,IF(H$2&gt;$F55+1,('Traditional Attrition'!G55+H187)*(1-IF(H$2-$F55&lt;=12,SUMIFS('Attrition Modeling'!$D:$D,'Attrition Modeling'!$B:$B,'Traditional Attrition'!$E55,'Attrition Modeling'!$C:$C,'Traditional Attrition'!H$1),VLOOKUP('Traditional Attrition'!H$2-'Traditional Attrition'!$F55-1,'Traditional Attrition'!$A$7:$C$161,2,FALSE)*VLOOKUP(H$1,'Attrition Modeling'!$L$15:$N$27,IF(H$2-$F55&lt;=24,2,3),FALSE))*(1+Projection!J$16)*(1+IF(H187&gt;0,'Attrition Modeling'!$N$9,0))),0))</f>
        <v>0</v>
      </c>
      <c r="I55" s="799">
        <f>IF(I$2=$F55+1,Monthly!E$21,IF(I$2&gt;$F55+1,('Traditional Attrition'!H55+I187)*(1-IF(I$2-$F55&lt;=12,SUMIFS('Attrition Modeling'!$D:$D,'Attrition Modeling'!$B:$B,'Traditional Attrition'!$E55,'Attrition Modeling'!$C:$C,'Traditional Attrition'!I$1),VLOOKUP('Traditional Attrition'!I$2-'Traditional Attrition'!$F55-1,'Traditional Attrition'!$A$7:$C$161,2,FALSE)*VLOOKUP(I$1,'Attrition Modeling'!$L$15:$N$27,IF(I$2-$F55&lt;=24,2,3),FALSE))*(1+Projection!K$16)*(1+IF(I187&gt;0,'Attrition Modeling'!$N$9,0))),0))</f>
        <v>0</v>
      </c>
      <c r="J55" s="799">
        <f>IF(J$2=$F55+1,Monthly!F$21,IF(J$2&gt;$F55+1,('Traditional Attrition'!I55+J187)*(1-IF(J$2-$F55&lt;=12,SUMIFS('Attrition Modeling'!$D:$D,'Attrition Modeling'!$B:$B,'Traditional Attrition'!$E55,'Attrition Modeling'!$C:$C,'Traditional Attrition'!J$1),VLOOKUP('Traditional Attrition'!J$2-'Traditional Attrition'!$F55-1,'Traditional Attrition'!$A$7:$C$161,2,FALSE)*VLOOKUP(J$1,'Attrition Modeling'!$L$15:$N$27,IF(J$2-$F55&lt;=24,2,3),FALSE))*(1+Projection!L$16)*(1+IF(J187&gt;0,'Attrition Modeling'!$N$9,0))),0))</f>
        <v>0</v>
      </c>
      <c r="K55" s="799">
        <f>IF(K$2=$F55+1,Monthly!G$21,IF(K$2&gt;$F55+1,('Traditional Attrition'!J55+K187)*(1-IF(K$2-$F55&lt;=12,SUMIFS('Attrition Modeling'!$D:$D,'Attrition Modeling'!$B:$B,'Traditional Attrition'!$E55,'Attrition Modeling'!$C:$C,'Traditional Attrition'!K$1),VLOOKUP('Traditional Attrition'!K$2-'Traditional Attrition'!$F55-1,'Traditional Attrition'!$A$7:$C$161,2,FALSE)*VLOOKUP(K$1,'Attrition Modeling'!$L$15:$N$27,IF(K$2-$F55&lt;=24,2,3),FALSE))*(1+Projection!M$16)*(1+IF(K187&gt;0,'Attrition Modeling'!$N$9,0))),0))</f>
        <v>0</v>
      </c>
      <c r="L55" s="799">
        <f>IF(L$2=$F55+1,Monthly!H$21,IF(L$2&gt;$F55+1,('Traditional Attrition'!K55+L187)*(1-IF(L$2-$F55&lt;=12,SUMIFS('Attrition Modeling'!$D:$D,'Attrition Modeling'!$B:$B,'Traditional Attrition'!$E55,'Attrition Modeling'!$C:$C,'Traditional Attrition'!L$1),VLOOKUP('Traditional Attrition'!L$2-'Traditional Attrition'!$F55-1,'Traditional Attrition'!$A$7:$C$161,2,FALSE)*VLOOKUP(L$1,'Attrition Modeling'!$L$15:$N$27,IF(L$2-$F55&lt;=24,2,3),FALSE))*(1+Projection!N$16)*(1+IF(L187&gt;0,'Attrition Modeling'!$N$9,0))),0))</f>
        <v>0</v>
      </c>
      <c r="M55" s="799">
        <f>IF(M$2=$F55+1,Monthly!I$21,IF(M$2&gt;$F55+1,('Traditional Attrition'!L55+M187)*(1-IF(M$2-$F55&lt;=12,SUMIFS('Attrition Modeling'!$D:$D,'Attrition Modeling'!$B:$B,'Traditional Attrition'!$E55,'Attrition Modeling'!$C:$C,'Traditional Attrition'!M$1),VLOOKUP('Traditional Attrition'!M$2-'Traditional Attrition'!$F55-1,'Traditional Attrition'!$A$7:$C$161,2,FALSE)*VLOOKUP(M$1,'Attrition Modeling'!$L$15:$N$27,IF(M$2-$F55&lt;=24,2,3),FALSE))*(1+Projection!O$16)*(1+IF(M187&gt;0,'Attrition Modeling'!$N$9,0))),0))</f>
        <v>0</v>
      </c>
      <c r="N55" s="799">
        <f>IF(N$2=$F55+1,Monthly!J$21,IF(N$2&gt;$F55+1,('Traditional Attrition'!M55+N187)*(1-IF(N$2-$F55&lt;=12,SUMIFS('Attrition Modeling'!$D:$D,'Attrition Modeling'!$B:$B,'Traditional Attrition'!$E55,'Attrition Modeling'!$C:$C,'Traditional Attrition'!N$1),VLOOKUP('Traditional Attrition'!N$2-'Traditional Attrition'!$F55-1,'Traditional Attrition'!$A$7:$C$161,2,FALSE)*VLOOKUP(N$1,'Attrition Modeling'!$L$15:$N$27,IF(N$2-$F55&lt;=24,2,3),FALSE))*(1+Projection!P$16)*(1+IF(N187&gt;0,'Attrition Modeling'!$N$9,0))),0))</f>
        <v>0</v>
      </c>
      <c r="O55" s="799">
        <f>IF(O$2=$F55+1,Monthly!K$21,IF(O$2&gt;$F55+1,('Traditional Attrition'!N55+O187)*(1-IF(O$2-$F55&lt;=12,SUMIFS('Attrition Modeling'!$D:$D,'Attrition Modeling'!$B:$B,'Traditional Attrition'!$E55,'Attrition Modeling'!$C:$C,'Traditional Attrition'!O$1),VLOOKUP('Traditional Attrition'!O$2-'Traditional Attrition'!$F55-1,'Traditional Attrition'!$A$7:$C$161,2,FALSE)*VLOOKUP(O$1,'Attrition Modeling'!$L$15:$N$27,IF(O$2-$F55&lt;=24,2,3),FALSE))*(1+Projection!Q$16)*(1+IF(O187&gt;0,'Attrition Modeling'!$N$9,0))),0))</f>
        <v>0</v>
      </c>
      <c r="P55" s="799">
        <f>IF(P$2=$F55+1,Monthly!L$21,IF(P$2&gt;$F55+1,('Traditional Attrition'!O55+P187)*(1-IF(P$2-$F55&lt;=12,SUMIFS('Attrition Modeling'!$D:$D,'Attrition Modeling'!$B:$B,'Traditional Attrition'!$E55,'Attrition Modeling'!$C:$C,'Traditional Attrition'!P$1),VLOOKUP('Traditional Attrition'!P$2-'Traditional Attrition'!$F55-1,'Traditional Attrition'!$A$7:$C$161,2,FALSE)*VLOOKUP(P$1,'Attrition Modeling'!$L$15:$N$27,IF(P$2-$F55&lt;=24,2,3),FALSE))*(1+Projection!R$16)*(1+IF(P187&gt;0,'Attrition Modeling'!$N$9,0))),0))</f>
        <v>0</v>
      </c>
      <c r="Q55" s="799">
        <f>IF(Q$2=$F55+1,Monthly!M$21,IF(Q$2&gt;$F55+1,('Traditional Attrition'!P55+Q187)*(1-IF(Q$2-$F55&lt;=12,SUMIFS('Attrition Modeling'!$D:$D,'Attrition Modeling'!$B:$B,'Traditional Attrition'!$E55,'Attrition Modeling'!$C:$C,'Traditional Attrition'!Q$1),VLOOKUP('Traditional Attrition'!Q$2-'Traditional Attrition'!$F55-1,'Traditional Attrition'!$A$7:$C$161,2,FALSE)*VLOOKUP(Q$1,'Attrition Modeling'!$L$15:$N$27,IF(Q$2-$F55&lt;=24,2,3),FALSE))*(1+Projection!S$16)*(1+IF(Q187&gt;0,'Attrition Modeling'!$N$9,0))),0))</f>
        <v>0</v>
      </c>
      <c r="R55" s="799">
        <f>IF(R$2=$F55+1,Monthly!N$21,IF(R$2&gt;$F55+1,('Traditional Attrition'!Q55+R187)*(1-IF(R$2-$F55&lt;=12,SUMIFS('Attrition Modeling'!$D:$D,'Attrition Modeling'!$B:$B,'Traditional Attrition'!$E55,'Attrition Modeling'!$C:$C,'Traditional Attrition'!R$1),VLOOKUP('Traditional Attrition'!R$2-'Traditional Attrition'!$F55-1,'Traditional Attrition'!$A$7:$C$161,2,FALSE)*VLOOKUP(R$1,'Attrition Modeling'!$L$15:$N$27,IF(R$2-$F55&lt;=24,2,3),FALSE))*(1+Projection!T$16)*(1+IF(R187&gt;0,'Attrition Modeling'!$N$9,0))),0))</f>
        <v>0</v>
      </c>
      <c r="S55" s="799">
        <f>IF(S$2=$F55+1,Monthly!O$21,IF(S$2&gt;$F55+1,('Traditional Attrition'!R55+S187)*(1-IF(S$2-$F55&lt;=12,SUMIFS('Attrition Modeling'!$D:$D,'Attrition Modeling'!$B:$B,'Traditional Attrition'!$E55,'Attrition Modeling'!$C:$C,'Traditional Attrition'!S$1),VLOOKUP('Traditional Attrition'!S$2-'Traditional Attrition'!$F55-1,'Traditional Attrition'!$A$7:$C$161,2,FALSE)*VLOOKUP(S$1,'Attrition Modeling'!$L$15:$N$27,IF(S$2-$F55&lt;=24,2,3),FALSE))*(1+Projection!U$16)*(1+IF(S187&gt;0,'Attrition Modeling'!$N$9,0))),0))</f>
        <v>0</v>
      </c>
      <c r="T55" s="799">
        <f>IF(T$2=$F55+1,Monthly!P$21,IF(T$2&gt;$F55+1,('Traditional Attrition'!S55+T187)*(1-IF(T$2-$F55&lt;=12,SUMIFS('Attrition Modeling'!$D:$D,'Attrition Modeling'!$B:$B,'Traditional Attrition'!$E55,'Attrition Modeling'!$C:$C,'Traditional Attrition'!T$1),VLOOKUP('Traditional Attrition'!T$2-'Traditional Attrition'!$F55-1,'Traditional Attrition'!$A$7:$C$161,2,FALSE)*VLOOKUP(T$1,'Attrition Modeling'!$L$15:$N$27,IF(T$2-$F55&lt;=24,2,3),FALSE))*(1+Projection!V$16)*(1+IF(T187&gt;0,'Attrition Modeling'!$N$9,0))),0))</f>
        <v>0</v>
      </c>
      <c r="U55" s="799">
        <f>IF(U$2=$F55+1,Monthly!Q$21,IF(U$2&gt;$F55+1,('Traditional Attrition'!T55+U187)*(1-IF(U$2-$F55&lt;=12,SUMIFS('Attrition Modeling'!$D:$D,'Attrition Modeling'!$B:$B,'Traditional Attrition'!$E55,'Attrition Modeling'!$C:$C,'Traditional Attrition'!U$1),VLOOKUP('Traditional Attrition'!U$2-'Traditional Attrition'!$F55-1,'Traditional Attrition'!$A$7:$C$161,2,FALSE)*VLOOKUP(U$1,'Attrition Modeling'!$L$15:$N$27,IF(U$2-$F55&lt;=24,2,3),FALSE))*(1+Projection!W$16)*(1+IF(U187&gt;0,'Attrition Modeling'!$N$9,0))),0))</f>
        <v>0</v>
      </c>
      <c r="V55" s="799">
        <f>IF(V$2=$F55+1,Monthly!R$21,IF(V$2&gt;$F55+1,('Traditional Attrition'!U55+V187)*(1-IF(V$2-$F55&lt;=12,SUMIFS('Attrition Modeling'!$D:$D,'Attrition Modeling'!$B:$B,'Traditional Attrition'!$E55,'Attrition Modeling'!$C:$C,'Traditional Attrition'!V$1),VLOOKUP('Traditional Attrition'!V$2-'Traditional Attrition'!$F55-1,'Traditional Attrition'!$A$7:$C$161,2,FALSE)*VLOOKUP(V$1,'Attrition Modeling'!$L$15:$N$27,IF(V$2-$F55&lt;=24,2,3),FALSE))*(1+Projection!X$16)*(1+IF(V187&gt;0,'Attrition Modeling'!$N$9,0))),0))</f>
        <v>0</v>
      </c>
      <c r="W55" s="799">
        <f>IF(W$2=$F55+1,Monthly!S$21,IF(W$2&gt;$F55+1,('Traditional Attrition'!V55+W187)*(1-IF(W$2-$F55&lt;=12,SUMIFS('Attrition Modeling'!$D:$D,'Attrition Modeling'!$B:$B,'Traditional Attrition'!$E55,'Attrition Modeling'!$C:$C,'Traditional Attrition'!W$1),VLOOKUP('Traditional Attrition'!W$2-'Traditional Attrition'!$F55-1,'Traditional Attrition'!$A$7:$C$161,2,FALSE)*VLOOKUP(W$1,'Attrition Modeling'!$L$15:$N$27,IF(W$2-$F55&lt;=24,2,3),FALSE))*(1+Projection!Y$16)*(1+IF(W187&gt;0,'Attrition Modeling'!$N$9,0))),0))</f>
        <v>0</v>
      </c>
      <c r="X55" s="799">
        <f>IF(X$2=$F55+1,Monthly!T$21,IF(X$2&gt;$F55+1,('Traditional Attrition'!W55+X187)*(1-IF(X$2-$F55&lt;=12,SUMIFS('Attrition Modeling'!$D:$D,'Attrition Modeling'!$B:$B,'Traditional Attrition'!$E55,'Attrition Modeling'!$C:$C,'Traditional Attrition'!X$1),VLOOKUP('Traditional Attrition'!X$2-'Traditional Attrition'!$F55-1,'Traditional Attrition'!$A$7:$C$161,2,FALSE)*VLOOKUP(X$1,'Attrition Modeling'!$L$15:$N$27,IF(X$2-$F55&lt;=24,2,3),FALSE))*(1+Projection!Z$16)*(1+IF(X187&gt;0,'Attrition Modeling'!$N$9,0))),0))</f>
        <v>0</v>
      </c>
      <c r="Y55" s="799">
        <f>IF(Y$2=$F55+1,Monthly!U$21,IF(Y$2&gt;$F55+1,('Traditional Attrition'!X55+Y187)*(1-IF(Y$2-$F55&lt;=12,SUMIFS('Attrition Modeling'!$D:$D,'Attrition Modeling'!$B:$B,'Traditional Attrition'!$E55,'Attrition Modeling'!$C:$C,'Traditional Attrition'!Y$1),VLOOKUP('Traditional Attrition'!Y$2-'Traditional Attrition'!$F55-1,'Traditional Attrition'!$A$7:$C$161,2,FALSE)*VLOOKUP(Y$1,'Attrition Modeling'!$L$15:$N$27,IF(Y$2-$F55&lt;=24,2,3),FALSE))*(1+Projection!AA$16)*(1+IF(Y187&gt;0,'Attrition Modeling'!$N$9,0))),0))</f>
        <v>0</v>
      </c>
      <c r="Z55" s="799">
        <f>IF(Z$2=$F55+1,Monthly!V$21,IF(Z$2&gt;$F55+1,('Traditional Attrition'!Y55+Z187)*(1-IF(Z$2-$F55&lt;=12,SUMIFS('Attrition Modeling'!$D:$D,'Attrition Modeling'!$B:$B,'Traditional Attrition'!$E55,'Attrition Modeling'!$C:$C,'Traditional Attrition'!Z$1),VLOOKUP('Traditional Attrition'!Z$2-'Traditional Attrition'!$F55-1,'Traditional Attrition'!$A$7:$C$161,2,FALSE)*VLOOKUP(Z$1,'Attrition Modeling'!$L$15:$N$27,IF(Z$2-$F55&lt;=24,2,3),FALSE))*(1+Projection!AB$16)*(1+IF(Z187&gt;0,'Attrition Modeling'!$N$9,0))),0))</f>
        <v>0</v>
      </c>
      <c r="AA55" s="799">
        <f>IF(AA$2=$F55+1,Monthly!W$21,IF(AA$2&gt;$F55+1,('Traditional Attrition'!Z55+AA187)*(1-IF(AA$2-$F55&lt;=12,SUMIFS('Attrition Modeling'!$D:$D,'Attrition Modeling'!$B:$B,'Traditional Attrition'!$E55,'Attrition Modeling'!$C:$C,'Traditional Attrition'!AA$1),VLOOKUP('Traditional Attrition'!AA$2-'Traditional Attrition'!$F55-1,'Traditional Attrition'!$A$7:$C$161,2,FALSE)*VLOOKUP(AA$1,'Attrition Modeling'!$L$15:$N$27,IF(AA$2-$F55&lt;=24,2,3),FALSE))*(1+Projection!AC$16)*(1+IF(AA187&gt;0,'Attrition Modeling'!$N$9,0))),0))</f>
        <v>0</v>
      </c>
      <c r="AB55" s="799">
        <f>IF(AB$2=$F55+1,Monthly!X$21,IF(AB$2&gt;$F55+1,('Traditional Attrition'!AA55+AB187)*(1-IF(AB$2-$F55&lt;=12,SUMIFS('Attrition Modeling'!$D:$D,'Attrition Modeling'!$B:$B,'Traditional Attrition'!$E55,'Attrition Modeling'!$C:$C,'Traditional Attrition'!AB$1),VLOOKUP('Traditional Attrition'!AB$2-'Traditional Attrition'!$F55-1,'Traditional Attrition'!$A$7:$C$161,2,FALSE)*VLOOKUP(AB$1,'Attrition Modeling'!$L$15:$N$27,IF(AB$2-$F55&lt;=24,2,3),FALSE))*(1+Projection!AD$16)*(1+IF(AB187&gt;0,'Attrition Modeling'!$N$9,0))),0))</f>
        <v>0</v>
      </c>
      <c r="AC55" s="799">
        <f>IF(AC$2=$F55+1,Monthly!Y$21,IF(AC$2&gt;$F55+1,('Traditional Attrition'!AB55+AC187)*(1-IF(AC$2-$F55&lt;=12,SUMIFS('Attrition Modeling'!$D:$D,'Attrition Modeling'!$B:$B,'Traditional Attrition'!$E55,'Attrition Modeling'!$C:$C,'Traditional Attrition'!AC$1),VLOOKUP('Traditional Attrition'!AC$2-'Traditional Attrition'!$F55-1,'Traditional Attrition'!$A$7:$C$161,2,FALSE)*VLOOKUP(AC$1,'Attrition Modeling'!$L$15:$N$27,IF(AC$2-$F55&lt;=24,2,3),FALSE))*(1+Projection!AE$16)*(1+IF(AC187&gt;0,'Attrition Modeling'!$N$9,0))),0))</f>
        <v>0</v>
      </c>
      <c r="AD55" s="799">
        <f>IF(AD$2=$F55+1,Monthly!Z$21,IF(AD$2&gt;$F55+1,('Traditional Attrition'!AC55+AD187)*(1-IF(AD$2-$F55&lt;=12,SUMIFS('Attrition Modeling'!$D:$D,'Attrition Modeling'!$B:$B,'Traditional Attrition'!$E55,'Attrition Modeling'!$C:$C,'Traditional Attrition'!AD$1),VLOOKUP('Traditional Attrition'!AD$2-'Traditional Attrition'!$F55-1,'Traditional Attrition'!$A$7:$C$161,2,FALSE)*VLOOKUP(AD$1,'Attrition Modeling'!$L$15:$N$27,IF(AD$2-$F55&lt;=24,2,3),FALSE))*(1+Projection!AF$16)*(1+IF(AD187&gt;0,'Attrition Modeling'!$N$9,0))),0))</f>
        <v>0</v>
      </c>
      <c r="AE55" s="799">
        <f>IF(AE$2=$F55+1,Monthly!AA$21,IF(AE$2&gt;$F55+1,('Traditional Attrition'!AD55+AE187)*(1-IF(AE$2-$F55&lt;=12,SUMIFS('Attrition Modeling'!$D:$D,'Attrition Modeling'!$B:$B,'Traditional Attrition'!$E55,'Attrition Modeling'!$C:$C,'Traditional Attrition'!AE$1),VLOOKUP('Traditional Attrition'!AE$2-'Traditional Attrition'!$F55-1,'Traditional Attrition'!$A$7:$C$161,2,FALSE)*VLOOKUP(AE$1,'Attrition Modeling'!$L$15:$N$27,IF(AE$2-$F55&lt;=24,2,3),FALSE))*(1+Projection!AG$16)*(1+IF(AE187&gt;0,'Attrition Modeling'!$N$9,0))),0))</f>
        <v>0</v>
      </c>
      <c r="AF55" s="799">
        <f>IF(AF$2=$F55+1,Monthly!AB$21,IF(AF$2&gt;$F55+1,('Traditional Attrition'!AE55+AF187)*(1-IF(AF$2-$F55&lt;=12,SUMIFS('Attrition Modeling'!$D:$D,'Attrition Modeling'!$B:$B,'Traditional Attrition'!$E55,'Attrition Modeling'!$C:$C,'Traditional Attrition'!AF$1),VLOOKUP('Traditional Attrition'!AF$2-'Traditional Attrition'!$F55-1,'Traditional Attrition'!$A$7:$C$161,2,FALSE)*VLOOKUP(AF$1,'Attrition Modeling'!$L$15:$N$27,IF(AF$2-$F55&lt;=24,2,3),FALSE))*(1+Projection!AH$16)*(1+IF(AF187&gt;0,'Attrition Modeling'!$N$9,0))),0))</f>
        <v>0</v>
      </c>
      <c r="AG55" s="799">
        <f>IF(AG$2=$F55+1,Monthly!AC$21,IF(AG$2&gt;$F55+1,('Traditional Attrition'!AF55+AG187)*(1-IF(AG$2-$F55&lt;=12,SUMIFS('Attrition Modeling'!$D:$D,'Attrition Modeling'!$B:$B,'Traditional Attrition'!$E55,'Attrition Modeling'!$C:$C,'Traditional Attrition'!AG$1),VLOOKUP('Traditional Attrition'!AG$2-'Traditional Attrition'!$F55-1,'Traditional Attrition'!$A$7:$C$161,2,FALSE)*VLOOKUP(AG$1,'Attrition Modeling'!$L$15:$N$27,IF(AG$2-$F55&lt;=24,2,3),FALSE))*(1+Projection!AI$16)*(1+IF(AG187&gt;0,'Attrition Modeling'!$N$9,0))),0))</f>
        <v>0</v>
      </c>
      <c r="AH55" s="799">
        <f>IF(AH$2=$F55+1,Monthly!AD$21,IF(AH$2&gt;$F55+1,('Traditional Attrition'!AG55+AH187)*(1-IF(AH$2-$F55&lt;=12,SUMIFS('Attrition Modeling'!$D:$D,'Attrition Modeling'!$B:$B,'Traditional Attrition'!$E55,'Attrition Modeling'!$C:$C,'Traditional Attrition'!AH$1),VLOOKUP('Traditional Attrition'!AH$2-'Traditional Attrition'!$F55-1,'Traditional Attrition'!$A$7:$C$161,2,FALSE)*VLOOKUP(AH$1,'Attrition Modeling'!$L$15:$N$27,IF(AH$2-$F55&lt;=24,2,3),FALSE))*(1+Projection!AJ$16)*(1+IF(AH187&gt;0,'Attrition Modeling'!$N$9,0))),0))</f>
        <v>0</v>
      </c>
      <c r="AI55" s="799">
        <f>IF(AI$2=$F55+1,Monthly!AE$21,IF(AI$2&gt;$F55+1,('Traditional Attrition'!AH55+AI187)*(1-IF(AI$2-$F55&lt;=12,SUMIFS('Attrition Modeling'!$D:$D,'Attrition Modeling'!$B:$B,'Traditional Attrition'!$E55,'Attrition Modeling'!$C:$C,'Traditional Attrition'!AI$1),VLOOKUP('Traditional Attrition'!AI$2-'Traditional Attrition'!$F55-1,'Traditional Attrition'!$A$7:$C$161,2,FALSE)*VLOOKUP(AI$1,'Attrition Modeling'!$L$15:$N$27,IF(AI$2-$F55&lt;=24,2,3),FALSE))*(1+Projection!AK$16)*(1+IF(AI187&gt;0,'Attrition Modeling'!$N$9,0))),0))</f>
        <v>0</v>
      </c>
      <c r="AJ55" s="799">
        <f>IF(AJ$2=$F55+1,Monthly!AF$21,IF(AJ$2&gt;$F55+1,('Traditional Attrition'!AI55+AJ187)*(1-IF(AJ$2-$F55&lt;=12,SUMIFS('Attrition Modeling'!$D:$D,'Attrition Modeling'!$B:$B,'Traditional Attrition'!$E55,'Attrition Modeling'!$C:$C,'Traditional Attrition'!AJ$1),VLOOKUP('Traditional Attrition'!AJ$2-'Traditional Attrition'!$F55-1,'Traditional Attrition'!$A$7:$C$161,2,FALSE)*VLOOKUP(AJ$1,'Attrition Modeling'!$L$15:$N$27,IF(AJ$2-$F55&lt;=24,2,3),FALSE))*(1+Projection!AL$16)*(1+IF(AJ187&gt;0,'Attrition Modeling'!$N$9,0))),0))</f>
        <v>0</v>
      </c>
      <c r="AK55" s="799">
        <f>IF(AK$2=$F55+1,Monthly!AG$21,IF(AK$2&gt;$F55+1,('Traditional Attrition'!AJ55+AK187)*(1-IF(AK$2-$F55&lt;=12,SUMIFS('Attrition Modeling'!$D:$D,'Attrition Modeling'!$B:$B,'Traditional Attrition'!$E55,'Attrition Modeling'!$C:$C,'Traditional Attrition'!AK$1),VLOOKUP('Traditional Attrition'!AK$2-'Traditional Attrition'!$F55-1,'Traditional Attrition'!$A$7:$C$161,2,FALSE)*VLOOKUP(AK$1,'Attrition Modeling'!$L$15:$N$27,IF(AK$2-$F55&lt;=24,2,3),FALSE))*(1+Projection!AM$16)*(1+IF(AK187&gt;0,'Attrition Modeling'!$N$9,0))),0))</f>
        <v>0</v>
      </c>
      <c r="AL55" s="799">
        <f>IF(AL$2=$F55+1,Monthly!AH$21,IF(AL$2&gt;$F55+1,('Traditional Attrition'!AK55+AL187)*(1-IF(AL$2-$F55&lt;=12,SUMIFS('Attrition Modeling'!$D:$D,'Attrition Modeling'!$B:$B,'Traditional Attrition'!$E55,'Attrition Modeling'!$C:$C,'Traditional Attrition'!AL$1),VLOOKUP('Traditional Attrition'!AL$2-'Traditional Attrition'!$F55-1,'Traditional Attrition'!$A$7:$C$161,2,FALSE)*VLOOKUP(AL$1,'Attrition Modeling'!$L$15:$N$27,IF(AL$2-$F55&lt;=24,2,3),FALSE))*(1+Projection!AN$16)*(1+IF(AL187&gt;0,'Attrition Modeling'!$N$9,0))),0))</f>
        <v>0</v>
      </c>
      <c r="AM55" s="799">
        <f>IF(AM$2=$F55+1,Monthly!AI$21,IF(AM$2&gt;$F55+1,('Traditional Attrition'!AL55+AM187)*(1-IF(AM$2-$F55&lt;=12,SUMIFS('Attrition Modeling'!$D:$D,'Attrition Modeling'!$B:$B,'Traditional Attrition'!$E55,'Attrition Modeling'!$C:$C,'Traditional Attrition'!AM$1),VLOOKUP('Traditional Attrition'!AM$2-'Traditional Attrition'!$F55-1,'Traditional Attrition'!$A$7:$C$161,2,FALSE)*VLOOKUP(AM$1,'Attrition Modeling'!$L$15:$N$27,IF(AM$2-$F55&lt;=24,2,3),FALSE))*(1+Projection!AO$16)*(1+IF(AM187&gt;0,'Attrition Modeling'!$N$9,0))),0))</f>
        <v>0</v>
      </c>
      <c r="AN55" s="799">
        <f>IF(AN$2=$F55+1,Monthly!AJ$21,IF(AN$2&gt;$F55+1,('Traditional Attrition'!AM55+AN187)*(1-IF(AN$2-$F55&lt;=12,SUMIFS('Attrition Modeling'!$D:$D,'Attrition Modeling'!$B:$B,'Traditional Attrition'!$E55,'Attrition Modeling'!$C:$C,'Traditional Attrition'!AN$1),VLOOKUP('Traditional Attrition'!AN$2-'Traditional Attrition'!$F55-1,'Traditional Attrition'!$A$7:$C$161,2,FALSE)*VLOOKUP(AN$1,'Attrition Modeling'!$L$15:$N$27,IF(AN$2-$F55&lt;=24,2,3),FALSE))*(1+Projection!AP$16)*(1+IF(AN187&gt;0,'Attrition Modeling'!$N$9,0))),0))</f>
        <v>0</v>
      </c>
      <c r="AO55" s="799">
        <f>IF(AO$2=$F55+1,Monthly!AK$21,IF(AO$2&gt;$F55+1,('Traditional Attrition'!AN55+AO187)*(1-IF(AO$2-$F55&lt;=12,SUMIFS('Attrition Modeling'!$D:$D,'Attrition Modeling'!$B:$B,'Traditional Attrition'!$E55,'Attrition Modeling'!$C:$C,'Traditional Attrition'!AO$1),VLOOKUP('Traditional Attrition'!AO$2-'Traditional Attrition'!$F55-1,'Traditional Attrition'!$A$7:$C$161,2,FALSE)*VLOOKUP(AO$1,'Attrition Modeling'!$L$15:$N$27,IF(AO$2-$F55&lt;=24,2,3),FALSE))*(1+Projection!AQ$16)*(1+IF(AO187&gt;0,'Attrition Modeling'!$N$9,0))),0))</f>
        <v>0</v>
      </c>
      <c r="AP55" s="799">
        <f>IF(AP$2=$F55+1,Monthly!AL$21,IF(AP$2&gt;$F55+1,('Traditional Attrition'!AO55+AP187)*(1-IF(AP$2-$F55&lt;=12,SUMIFS('Attrition Modeling'!$D:$D,'Attrition Modeling'!$B:$B,'Traditional Attrition'!$E55,'Attrition Modeling'!$C:$C,'Traditional Attrition'!AP$1),VLOOKUP('Traditional Attrition'!AP$2-'Traditional Attrition'!$F55-1,'Traditional Attrition'!$A$7:$C$161,2,FALSE)*VLOOKUP(AP$1,'Attrition Modeling'!$L$15:$N$27,IF(AP$2-$F55&lt;=24,2,3),FALSE))*(1+Projection!AR$16)*(1+IF(AP187&gt;0,'Attrition Modeling'!$N$9,0))),0))</f>
        <v>0</v>
      </c>
      <c r="AQ55" s="799">
        <f>IF(AQ$2=$F55+1,Monthly!AM$21,IF(AQ$2&gt;$F55+1,('Traditional Attrition'!AP55+AQ187)*(1-IF(AQ$2-$F55&lt;=12,SUMIFS('Attrition Modeling'!$D:$D,'Attrition Modeling'!$B:$B,'Traditional Attrition'!$E55,'Attrition Modeling'!$C:$C,'Traditional Attrition'!AQ$1),VLOOKUP('Traditional Attrition'!AQ$2-'Traditional Attrition'!$F55-1,'Traditional Attrition'!$A$7:$C$161,2,FALSE)*VLOOKUP(AQ$1,'Attrition Modeling'!$L$15:$N$27,IF(AQ$2-$F55&lt;=24,2,3),FALSE))*(1+Projection!AS$16)*(1+IF(AQ187&gt;0,'Attrition Modeling'!$N$9,0))),0))</f>
        <v>0</v>
      </c>
      <c r="AR55" s="799">
        <f>IF(AR$2=$F55+1,Monthly!AN$21,IF(AR$2&gt;$F55+1,('Traditional Attrition'!AQ55+AR187)*(1-IF(AR$2-$F55&lt;=12,SUMIFS('Attrition Modeling'!$D:$D,'Attrition Modeling'!$B:$B,'Traditional Attrition'!$E55,'Attrition Modeling'!$C:$C,'Traditional Attrition'!AR$1),VLOOKUP('Traditional Attrition'!AR$2-'Traditional Attrition'!$F55-1,'Traditional Attrition'!$A$7:$C$161,2,FALSE)*VLOOKUP(AR$1,'Attrition Modeling'!$L$15:$N$27,IF(AR$2-$F55&lt;=24,2,3),FALSE))*(1+Projection!AT$16)*(1+IF(AR187&gt;0,'Attrition Modeling'!$N$9,0))),0))</f>
        <v>0</v>
      </c>
      <c r="AS55" s="799">
        <f>IF(AS$2=$F55+1,Monthly!AO$21,IF(AS$2&gt;$F55+1,('Traditional Attrition'!AR55+AS187)*(1-IF(AS$2-$F55&lt;=12,SUMIFS('Attrition Modeling'!$D:$D,'Attrition Modeling'!$B:$B,'Traditional Attrition'!$E55,'Attrition Modeling'!$C:$C,'Traditional Attrition'!AS$1),VLOOKUP('Traditional Attrition'!AS$2-'Traditional Attrition'!$F55-1,'Traditional Attrition'!$A$7:$C$161,2,FALSE)*VLOOKUP(AS$1,'Attrition Modeling'!$L$15:$N$27,IF(AS$2-$F55&lt;=24,2,3),FALSE))*(1+Projection!AU$16)*(1+IF(AS187&gt;0,'Attrition Modeling'!$N$9,0))),0))</f>
        <v>0</v>
      </c>
      <c r="AT55" s="799">
        <f>IF(AT$2=$F55+1,Monthly!AP$21,IF(AT$2&gt;$F55+1,('Traditional Attrition'!AS55+AT187)*(1-IF(AT$2-$F55&lt;=12,SUMIFS('Attrition Modeling'!$D:$D,'Attrition Modeling'!$B:$B,'Traditional Attrition'!$E55,'Attrition Modeling'!$C:$C,'Traditional Attrition'!AT$1),VLOOKUP('Traditional Attrition'!AT$2-'Traditional Attrition'!$F55-1,'Traditional Attrition'!$A$7:$C$161,2,FALSE)*VLOOKUP(AT$1,'Attrition Modeling'!$L$15:$N$27,IF(AT$2-$F55&lt;=24,2,3),FALSE))*(1+Projection!AV$16)*(1+IF(AT187&gt;0,'Attrition Modeling'!$N$9,0))),0))</f>
        <v>0</v>
      </c>
      <c r="AU55" s="799">
        <f>IF(AU$2=$F55+1,Monthly!AQ$21,IF(AU$2&gt;$F55+1,('Traditional Attrition'!AT55+AU187)*(1-IF(AU$2-$F55&lt;=12,SUMIFS('Attrition Modeling'!$D:$D,'Attrition Modeling'!$B:$B,'Traditional Attrition'!$E55,'Attrition Modeling'!$C:$C,'Traditional Attrition'!AU$1),VLOOKUP('Traditional Attrition'!AU$2-'Traditional Attrition'!$F55-1,'Traditional Attrition'!$A$7:$C$161,2,FALSE)*VLOOKUP(AU$1,'Attrition Modeling'!$L$15:$N$27,IF(AU$2-$F55&lt;=24,2,3),FALSE))*(1+Projection!AW$16)*(1+IF(AU187&gt;0,'Attrition Modeling'!$N$9,0))),0))</f>
        <v>0</v>
      </c>
      <c r="AV55" s="799">
        <f>IF(AV$2=$F55+1,Monthly!AR$21,IF(AV$2&gt;$F55+1,('Traditional Attrition'!AU55+AV187)*(1-IF(AV$2-$F55&lt;=12,SUMIFS('Attrition Modeling'!$D:$D,'Attrition Modeling'!$B:$B,'Traditional Attrition'!$E55,'Attrition Modeling'!$C:$C,'Traditional Attrition'!AV$1),VLOOKUP('Traditional Attrition'!AV$2-'Traditional Attrition'!$F55-1,'Traditional Attrition'!$A$7:$C$161,2,FALSE)*VLOOKUP(AV$1,'Attrition Modeling'!$L$15:$N$27,IF(AV$2-$F55&lt;=24,2,3),FALSE))*(1+Projection!AX$16)*(1+IF(AV187&gt;0,'Attrition Modeling'!$N$9,0))),0))</f>
        <v>0</v>
      </c>
      <c r="AW55" s="799">
        <f>IF(AW$2=$F55+1,Monthly!AS$21,IF(AW$2&gt;$F55+1,('Traditional Attrition'!AV55+AW187)*(1-IF(AW$2-$F55&lt;=12,SUMIFS('Attrition Modeling'!$D:$D,'Attrition Modeling'!$B:$B,'Traditional Attrition'!$E55,'Attrition Modeling'!$C:$C,'Traditional Attrition'!AW$1),VLOOKUP('Traditional Attrition'!AW$2-'Traditional Attrition'!$F55-1,'Traditional Attrition'!$A$7:$C$161,2,FALSE)*VLOOKUP(AW$1,'Attrition Modeling'!$L$15:$N$27,IF(AW$2-$F55&lt;=24,2,3),FALSE))*(1+Projection!AY$16)*(1+IF(AW187&gt;0,'Attrition Modeling'!$N$9,0))),0))</f>
        <v>0</v>
      </c>
      <c r="AX55" s="799">
        <f>IF(AX$2=$F55+1,Monthly!AT$21,IF(AX$2&gt;$F55+1,('Traditional Attrition'!AW55+AX187)*(1-IF(AX$2-$F55&lt;=12,SUMIFS('Attrition Modeling'!$D:$D,'Attrition Modeling'!$B:$B,'Traditional Attrition'!$E55,'Attrition Modeling'!$C:$C,'Traditional Attrition'!AX$1),VLOOKUP('Traditional Attrition'!AX$2-'Traditional Attrition'!$F55-1,'Traditional Attrition'!$A$7:$C$161,2,FALSE)*VLOOKUP(AX$1,'Attrition Modeling'!$L$15:$N$27,IF(AX$2-$F55&lt;=24,2,3),FALSE))*(1+Projection!AZ$16)*(1+IF(AX187&gt;0,'Attrition Modeling'!$N$9,0))),0))</f>
        <v>0</v>
      </c>
      <c r="AY55" s="799">
        <f>IF(AY$2=$F55+1,Monthly!AU$21,IF(AY$2&gt;$F55+1,('Traditional Attrition'!AX55+AY187)*(1-IF(AY$2-$F55&lt;=12,SUMIFS('Attrition Modeling'!$D:$D,'Attrition Modeling'!$B:$B,'Traditional Attrition'!$E55,'Attrition Modeling'!$C:$C,'Traditional Attrition'!AY$1),VLOOKUP('Traditional Attrition'!AY$2-'Traditional Attrition'!$F55-1,'Traditional Attrition'!$A$7:$C$161,2,FALSE)*VLOOKUP(AY$1,'Attrition Modeling'!$L$15:$N$27,IF(AY$2-$F55&lt;=24,2,3),FALSE))*(1+Projection!BA$16)*(1+IF(AY187&gt;0,'Attrition Modeling'!$N$9,0))),0))</f>
        <v>0</v>
      </c>
      <c r="AZ55" s="799">
        <f>IF(AZ$2=$F55+1,Monthly!AV$21,IF(AZ$2&gt;$F55+1,('Traditional Attrition'!AY55+AZ187)*(1-IF(AZ$2-$F55&lt;=12,SUMIFS('Attrition Modeling'!$D:$D,'Attrition Modeling'!$B:$B,'Traditional Attrition'!$E55,'Attrition Modeling'!$C:$C,'Traditional Attrition'!AZ$1),VLOOKUP('Traditional Attrition'!AZ$2-'Traditional Attrition'!$F55-1,'Traditional Attrition'!$A$7:$C$161,2,FALSE)*VLOOKUP(AZ$1,'Attrition Modeling'!$L$15:$N$27,IF(AZ$2-$F55&lt;=24,2,3),FALSE))*(1+Projection!BB$16)*(1+IF(AZ187&gt;0,'Attrition Modeling'!$N$9,0))),0))</f>
        <v>0</v>
      </c>
      <c r="BA55" s="799">
        <f>IF(BA$2=$F55+1,Monthly!AW$21,IF(BA$2&gt;$F55+1,('Traditional Attrition'!AZ55+BA187)*(1-IF(BA$2-$F55&lt;=12,SUMIFS('Attrition Modeling'!$D:$D,'Attrition Modeling'!$B:$B,'Traditional Attrition'!$E55,'Attrition Modeling'!$C:$C,'Traditional Attrition'!BA$1),VLOOKUP('Traditional Attrition'!BA$2-'Traditional Attrition'!$F55-1,'Traditional Attrition'!$A$7:$C$161,2,FALSE)*VLOOKUP(BA$1,'Attrition Modeling'!$L$15:$N$27,IF(BA$2-$F55&lt;=24,2,3),FALSE))*(1+Projection!BC$16)*(1+IF(BA187&gt;0,'Attrition Modeling'!$N$9,0))),0))</f>
        <v>0</v>
      </c>
      <c r="BB55" s="799">
        <f>IF(BB$2=$F55+1,Monthly!AX$21,IF(BB$2&gt;$F55+1,('Traditional Attrition'!BA55+BB187)*(1-IF(BB$2-$F55&lt;=12,SUMIFS('Attrition Modeling'!$D:$D,'Attrition Modeling'!$B:$B,'Traditional Attrition'!$E55,'Attrition Modeling'!$C:$C,'Traditional Attrition'!BB$1),VLOOKUP('Traditional Attrition'!BB$2-'Traditional Attrition'!$F55-1,'Traditional Attrition'!$A$7:$C$161,2,FALSE)*VLOOKUP(BB$1,'Attrition Modeling'!$L$15:$N$27,IF(BB$2-$F55&lt;=24,2,3),FALSE))*(1+Projection!BD$16)*(1+IF(BB187&gt;0,'Attrition Modeling'!$N$9,0))),0))</f>
        <v>0</v>
      </c>
      <c r="BC55" s="799">
        <f>IF(BC$2=$F55+1,Monthly!AY$21,IF(BC$2&gt;$F55+1,('Traditional Attrition'!BB55+BC187)*(1-IF(BC$2-$F55&lt;=12,SUMIFS('Attrition Modeling'!$D:$D,'Attrition Modeling'!$B:$B,'Traditional Attrition'!$E55,'Attrition Modeling'!$C:$C,'Traditional Attrition'!BC$1),VLOOKUP('Traditional Attrition'!BC$2-'Traditional Attrition'!$F55-1,'Traditional Attrition'!$A$7:$C$161,2,FALSE)*VLOOKUP(BC$1,'Attrition Modeling'!$L$15:$N$27,IF(BC$2-$F55&lt;=24,2,3),FALSE))*(1+Projection!BE$16)*(1+IF(BC187&gt;0,'Attrition Modeling'!$N$9,0))),0))</f>
        <v>0</v>
      </c>
      <c r="BD55" s="799">
        <f>IF(BD$2=$F55+1,Monthly!AZ$21,IF(BD$2&gt;$F55+1,('Traditional Attrition'!BC55+BD187)*(1-IF(BD$2-$F55&lt;=12,SUMIFS('Attrition Modeling'!$D:$D,'Attrition Modeling'!$B:$B,'Traditional Attrition'!$E55,'Attrition Modeling'!$C:$C,'Traditional Attrition'!BD$1),VLOOKUP('Traditional Attrition'!BD$2-'Traditional Attrition'!$F55-1,'Traditional Attrition'!$A$7:$C$161,2,FALSE)*VLOOKUP(BD$1,'Attrition Modeling'!$L$15:$N$27,IF(BD$2-$F55&lt;=24,2,3),FALSE))*(1+Projection!BF$16)*(1+IF(BD187&gt;0,'Attrition Modeling'!$N$9,0))),0))</f>
        <v>0</v>
      </c>
      <c r="BE55" s="799">
        <f>IF(BE$2=$F55+1,Monthly!BA$21,IF(BE$2&gt;$F55+1,('Traditional Attrition'!BD55+BE187)*(1-IF(BE$2-$F55&lt;=12,SUMIFS('Attrition Modeling'!$D:$D,'Attrition Modeling'!$B:$B,'Traditional Attrition'!$E55,'Attrition Modeling'!$C:$C,'Traditional Attrition'!BE$1),VLOOKUP('Traditional Attrition'!BE$2-'Traditional Attrition'!$F55-1,'Traditional Attrition'!$A$7:$C$161,2,FALSE)*VLOOKUP(BE$1,'Attrition Modeling'!$L$15:$N$27,IF(BE$2-$F55&lt;=24,2,3),FALSE))*(1+Projection!BG$16)*(1+IF(BE187&gt;0,'Attrition Modeling'!$N$9,0))),0))</f>
        <v>0</v>
      </c>
      <c r="BF55" s="799">
        <f>IF(BF$2=$F55+1,Monthly!BB$21,IF(BF$2&gt;$F55+1,('Traditional Attrition'!BE55+BF187)*(1-IF(BF$2-$F55&lt;=12,SUMIFS('Attrition Modeling'!$D:$D,'Attrition Modeling'!$B:$B,'Traditional Attrition'!$E55,'Attrition Modeling'!$C:$C,'Traditional Attrition'!BF$1),VLOOKUP('Traditional Attrition'!BF$2-'Traditional Attrition'!$F55-1,'Traditional Attrition'!$A$7:$C$161,2,FALSE)*VLOOKUP(BF$1,'Attrition Modeling'!$L$15:$N$27,IF(BF$2-$F55&lt;=24,2,3),FALSE))*(1+Projection!BH$16)*(1+IF(BF187&gt;0,'Attrition Modeling'!$N$9,0))),0))</f>
        <v>0</v>
      </c>
      <c r="BG55" s="799">
        <f>IF(BG$2=$F55+1,Monthly!BC$21,IF(BG$2&gt;$F55+1,('Traditional Attrition'!BF55+BG187)*(1-IF(BG$2-$F55&lt;=12,SUMIFS('Attrition Modeling'!$D:$D,'Attrition Modeling'!$B:$B,'Traditional Attrition'!$E55,'Attrition Modeling'!$C:$C,'Traditional Attrition'!BG$1),VLOOKUP('Traditional Attrition'!BG$2-'Traditional Attrition'!$F55-1,'Traditional Attrition'!$A$7:$C$161,2,FALSE)*VLOOKUP(BG$1,'Attrition Modeling'!$L$15:$N$27,IF(BG$2-$F55&lt;=24,2,3),FALSE))*(1+Projection!BI$16)*(1+IF(BG187&gt;0,'Attrition Modeling'!$N$9,0))),0))</f>
        <v>0</v>
      </c>
      <c r="BH55" s="799">
        <f>IF(BH$2=$F55+1,Monthly!BD$21,IF(BH$2&gt;$F55+1,('Traditional Attrition'!BG55+BH187)*(1-IF(BH$2-$F55&lt;=12,SUMIFS('Attrition Modeling'!$D:$D,'Attrition Modeling'!$B:$B,'Traditional Attrition'!$E55,'Attrition Modeling'!$C:$C,'Traditional Attrition'!BH$1),VLOOKUP('Traditional Attrition'!BH$2-'Traditional Attrition'!$F55-1,'Traditional Attrition'!$A$7:$C$161,2,FALSE)*VLOOKUP(BH$1,'Attrition Modeling'!$L$15:$N$27,IF(BH$2-$F55&lt;=24,2,3),FALSE))*(1+Projection!BJ$16)*(1+IF(BH187&gt;0,'Attrition Modeling'!$N$9,0))),0))</f>
        <v>11831.563305508125</v>
      </c>
      <c r="BI55" s="799">
        <f>IF(BI$2=$F55+1,Monthly!BE$21,IF(BI$2&gt;$F55+1,('Traditional Attrition'!BH55+BI187)*(1-IF(BI$2-$F55&lt;=12,SUMIFS('Attrition Modeling'!$D:$D,'Attrition Modeling'!$B:$B,'Traditional Attrition'!$E55,'Attrition Modeling'!$C:$C,'Traditional Attrition'!BI$1),VLOOKUP('Traditional Attrition'!BI$2-'Traditional Attrition'!$F55-1,'Traditional Attrition'!$A$7:$C$161,2,FALSE)*VLOOKUP(BI$1,'Attrition Modeling'!$L$15:$N$27,IF(BI$2-$F55&lt;=24,2,3),FALSE))*(1+Projection!BK$16)*(1+IF(BI187&gt;0,'Attrition Modeling'!$N$9,0))),0))</f>
        <v>10658.677600115925</v>
      </c>
      <c r="BJ55" s="799">
        <f>IF(BJ$2=$F55+1,Monthly!BF$21,IF(BJ$2&gt;$F55+1,('Traditional Attrition'!BI55+BJ187)*(1-IF(BJ$2-$F55&lt;=12,SUMIFS('Attrition Modeling'!$D:$D,'Attrition Modeling'!$B:$B,'Traditional Attrition'!$E55,'Attrition Modeling'!$C:$C,'Traditional Attrition'!BJ$1),VLOOKUP('Traditional Attrition'!BJ$2-'Traditional Attrition'!$F55-1,'Traditional Attrition'!$A$7:$C$161,2,FALSE)*VLOOKUP(BJ$1,'Attrition Modeling'!$L$15:$N$27,IF(BJ$2-$F55&lt;=24,2,3),FALSE))*(1+Projection!BL$16)*(1+IF(BJ187&gt;0,'Attrition Modeling'!$N$9,0))),0))</f>
        <v>9671.0069085572541</v>
      </c>
      <c r="BK55" s="799">
        <f>IF(BK$2=$F55+1,Monthly!BG$21,IF(BK$2&gt;$F55+1,('Traditional Attrition'!BJ55+BK187)*(1-IF(BK$2-$F55&lt;=12,SUMIFS('Attrition Modeling'!$D:$D,'Attrition Modeling'!$B:$B,'Traditional Attrition'!$E55,'Attrition Modeling'!$C:$C,'Traditional Attrition'!BK$1),VLOOKUP('Traditional Attrition'!BK$2-'Traditional Attrition'!$F55-1,'Traditional Attrition'!$A$7:$C$161,2,FALSE)*VLOOKUP(BK$1,'Attrition Modeling'!$L$15:$N$27,IF(BK$2-$F55&lt;=24,2,3),FALSE))*(1+Projection!BM$16)*(1+IF(BK187&gt;0,'Attrition Modeling'!$N$9,0))),0))</f>
        <v>8674.8380722364782</v>
      </c>
      <c r="BL55" s="799">
        <f>IF(BL$2=$F55+1,Monthly!BH$21,IF(BL$2&gt;$F55+1,('Traditional Attrition'!BK55+BL187)*(1-IF(BL$2-$F55&lt;=12,SUMIFS('Attrition Modeling'!$D:$D,'Attrition Modeling'!$B:$B,'Traditional Attrition'!$E55,'Attrition Modeling'!$C:$C,'Traditional Attrition'!BL$1),VLOOKUP('Traditional Attrition'!BL$2-'Traditional Attrition'!$F55-1,'Traditional Attrition'!$A$7:$C$161,2,FALSE)*VLOOKUP(BL$1,'Attrition Modeling'!$L$15:$N$27,IF(BL$2-$F55&lt;=24,2,3),FALSE))*(1+Projection!BN$16)*(1+IF(BL187&gt;0,'Attrition Modeling'!$N$9,0))),0))</f>
        <v>7969.3395163357018</v>
      </c>
      <c r="BM55" s="799">
        <f>IF(BM$2=$F55+1,Monthly!BI$21,IF(BM$2&gt;$F55+1,('Traditional Attrition'!BL55+BM187)*(1-IF(BM$2-$F55&lt;=12,SUMIFS('Attrition Modeling'!$D:$D,'Attrition Modeling'!$B:$B,'Traditional Attrition'!$E55,'Attrition Modeling'!$C:$C,'Traditional Attrition'!BM$1),VLOOKUP('Traditional Attrition'!BM$2-'Traditional Attrition'!$F55-1,'Traditional Attrition'!$A$7:$C$161,2,FALSE)*VLOOKUP(BM$1,'Attrition Modeling'!$L$15:$N$27,IF(BM$2-$F55&lt;=24,2,3),FALSE))*(1+Projection!BO$16)*(1+IF(BM187&gt;0,'Attrition Modeling'!$N$9,0))),0))</f>
        <v>7861.8739598809216</v>
      </c>
      <c r="BN55" s="799">
        <f>IF(BN$2=$F55+1,Monthly!BJ$21,IF(BN$2&gt;$F55+1,('Traditional Attrition'!BM55+BN187)*(1-IF(BN$2-$F55&lt;=12,SUMIFS('Attrition Modeling'!$D:$D,'Attrition Modeling'!$B:$B,'Traditional Attrition'!$E55,'Attrition Modeling'!$C:$C,'Traditional Attrition'!BN$1),VLOOKUP('Traditional Attrition'!BN$2-'Traditional Attrition'!$F55-1,'Traditional Attrition'!$A$7:$C$161,2,FALSE)*VLOOKUP(BN$1,'Attrition Modeling'!$L$15:$N$27,IF(BN$2-$F55&lt;=24,2,3),FALSE))*(1+Projection!BP$16)*(1+IF(BN187&gt;0,'Attrition Modeling'!$N$9,0))),0))</f>
        <v>7245.7867764574694</v>
      </c>
      <c r="BO55" s="799">
        <f>IF(BO$2=$F55+1,Monthly!BK$21,IF(BO$2&gt;$F55+1,('Traditional Attrition'!BN55+BO187)*(1-IF(BO$2-$F55&lt;=12,SUMIFS('Attrition Modeling'!$D:$D,'Attrition Modeling'!$B:$B,'Traditional Attrition'!$E55,'Attrition Modeling'!$C:$C,'Traditional Attrition'!BO$1),VLOOKUP('Traditional Attrition'!BO$2-'Traditional Attrition'!$F55-1,'Traditional Attrition'!$A$7:$C$161,2,FALSE)*VLOOKUP(BO$1,'Attrition Modeling'!$L$15:$N$27,IF(BO$2-$F55&lt;=24,2,3),FALSE))*(1+Projection!BV$16)*(1+IF(BO187&gt;0,'Attrition Modeling'!$N$9,0))),0))</f>
        <v>6760.7792423529918</v>
      </c>
      <c r="BP55" s="799">
        <f>IF(BP$2=$F55+1,Monthly!BL$21,IF(BP$2&gt;$F55+1,('Traditional Attrition'!BO55+BP187)*(1-IF(BP$2-$F55&lt;=12,SUMIFS('Attrition Modeling'!$D:$D,'Attrition Modeling'!$B:$B,'Traditional Attrition'!$E55,'Attrition Modeling'!$C:$C,'Traditional Attrition'!BP$1),VLOOKUP('Traditional Attrition'!BP$2-'Traditional Attrition'!$F55-1,'Traditional Attrition'!$A$7:$C$161,2,FALSE)*VLOOKUP(BP$1,'Attrition Modeling'!$L$15:$N$27,IF(BP$2-$F55&lt;=24,2,3),FALSE))*(1+Projection!BW$16)*(1+IF(BP187&gt;0,'Attrition Modeling'!$N$9,0))),0))</f>
        <v>6334.3358576077871</v>
      </c>
      <c r="BQ55" s="799">
        <f>IF(BQ$2=$F55+1,Monthly!BM$21,IF(BQ$2&gt;$F55+1,('Traditional Attrition'!BP55+BQ187)*(1-IF(BQ$2-$F55&lt;=12,SUMIFS('Attrition Modeling'!$D:$D,'Attrition Modeling'!$B:$B,'Traditional Attrition'!$E55,'Attrition Modeling'!$C:$C,'Traditional Attrition'!BQ$1),VLOOKUP('Traditional Attrition'!BQ$2-'Traditional Attrition'!$F55-1,'Traditional Attrition'!$A$7:$C$161,2,FALSE)*VLOOKUP(BQ$1,'Attrition Modeling'!$L$15:$N$27,IF(BQ$2-$F55&lt;=24,2,3),FALSE))*(1+Projection!BX$16)*(1+IF(BQ187&gt;0,'Attrition Modeling'!$N$9,0))),0))</f>
        <v>6004.1489094961189</v>
      </c>
      <c r="BR55" s="799">
        <f>IF(BR$2=$F55+1,Monthly!BN$21,IF(BR$2&gt;$F55+1,('Traditional Attrition'!BQ55+BR187)*(1-IF(BR$2-$F55&lt;=12,SUMIFS('Attrition Modeling'!$D:$D,'Attrition Modeling'!$B:$B,'Traditional Attrition'!$E55,'Attrition Modeling'!$C:$C,'Traditional Attrition'!BR$1),VLOOKUP('Traditional Attrition'!BR$2-'Traditional Attrition'!$F55-1,'Traditional Attrition'!$A$7:$C$161,2,FALSE)*VLOOKUP(BR$1,'Attrition Modeling'!$L$15:$N$27,IF(BR$2-$F55&lt;=24,2,3),FALSE))*(1+Projection!BY$16)*(1+IF(BR187&gt;0,'Attrition Modeling'!$N$9,0))),0))</f>
        <v>5688.5384804503801</v>
      </c>
      <c r="BS55" s="799">
        <f>IF(BS$2=$F55+1,Monthly!BO$21,IF(BS$2&gt;$F55+1,('Traditional Attrition'!BR55+BS187)*(1-IF(BS$2-$F55&lt;=12,SUMIFS('Attrition Modeling'!$D:$D,'Attrition Modeling'!$B:$B,'Traditional Attrition'!$E55,'Attrition Modeling'!$C:$C,'Traditional Attrition'!BS$1),VLOOKUP('Traditional Attrition'!BS$2-'Traditional Attrition'!$F55-1,'Traditional Attrition'!$A$7:$C$161,2,FALSE)*VLOOKUP(BS$1,'Attrition Modeling'!$L$15:$N$27,IF(BS$2-$F55&lt;=24,2,3),FALSE))*(1+Projection!BZ$16)*(1+IF(BS187&gt;0,'Attrition Modeling'!$N$9,0))),0))</f>
        <v>5559.3991570848939</v>
      </c>
      <c r="BT55" s="799">
        <f>IF(BT$2=$F55+1,Monthly!#REF!,IF(BT$2&gt;$F55+1,('Traditional Attrition'!BS55+BT187)*(1-IF(BT$2-$F55&lt;=12,SUMIFS('Attrition Modeling'!$D:$D,'Attrition Modeling'!$B:$B,'Traditional Attrition'!$E55,'Attrition Modeling'!$C:$C,'Traditional Attrition'!BT$1),VLOOKUP('Traditional Attrition'!BT$2-'Traditional Attrition'!$F55-1,'Traditional Attrition'!$A$7:$C$161,2,FALSE)*VLOOKUP(BT$1,'Attrition Modeling'!$L$15:$N$27,IF(BT$2-$F55&lt;=24,2,3),FALSE))*(1+Projection!CA$16)*(1+IF(BT187&gt;0,'Attrition Modeling'!$N$9,0))),0))</f>
        <v>5272.4860426502701</v>
      </c>
      <c r="BU55" s="799">
        <f>IF(BU$2=$F55+1,Monthly!#REF!,IF(BU$2&gt;$F55+1,('Traditional Attrition'!BT55+BU187)*(1-IF(BU$2-$F55&lt;=12,SUMIFS('Attrition Modeling'!$D:$D,'Attrition Modeling'!$B:$B,'Traditional Attrition'!$E55,'Attrition Modeling'!$C:$C,'Traditional Attrition'!BU$1),VLOOKUP('Traditional Attrition'!BU$2-'Traditional Attrition'!$F55-1,'Traditional Attrition'!$A$7:$C$161,2,FALSE)*VLOOKUP(BU$1,'Attrition Modeling'!$L$15:$N$27,IF(BU$2-$F55&lt;=24,2,3),FALSE))*(1+Projection!CB$16)*(1+IF(BU187&gt;0,'Attrition Modeling'!$N$9,0))),0))</f>
        <v>4996.8228304297709</v>
      </c>
    </row>
    <row r="56" spans="1:73" ht="14.25" customHeight="1" x14ac:dyDescent="0.2">
      <c r="A56" s="9">
        <v>49</v>
      </c>
      <c r="B56" s="25">
        <f>MAX('Attrition Modeling'!H53,$C$3)*(1-Summary!$C$20)</f>
        <v>2.5302590083221485E-2</v>
      </c>
      <c r="C56" s="24" t="e">
        <f t="shared" si="4"/>
        <v>#DIV/0!</v>
      </c>
      <c r="E56" s="11">
        <f t="shared" si="2"/>
        <v>5</v>
      </c>
      <c r="F56" s="11">
        <f t="shared" si="3"/>
        <v>53</v>
      </c>
      <c r="G56" s="799"/>
      <c r="H56" s="799">
        <f>IF(H$2=$F56+1,Monthly!D$21,IF(H$2&gt;$F56+1,('Traditional Attrition'!G56+H188)*(1-IF(H$2-$F56&lt;=12,SUMIFS('Attrition Modeling'!$D:$D,'Attrition Modeling'!$B:$B,'Traditional Attrition'!$E56,'Attrition Modeling'!$C:$C,'Traditional Attrition'!H$1),VLOOKUP('Traditional Attrition'!H$2-'Traditional Attrition'!$F56-1,'Traditional Attrition'!$A$7:$C$161,2,FALSE)*VLOOKUP(H$1,'Attrition Modeling'!$L$15:$N$27,IF(H$2-$F56&lt;=24,2,3),FALSE))*(1+Projection!J$16)*(1+IF(H188&gt;0,'Attrition Modeling'!$N$9,0))),0))</f>
        <v>0</v>
      </c>
      <c r="I56" s="799">
        <f>IF(I$2=$F56+1,Monthly!E$21,IF(I$2&gt;$F56+1,('Traditional Attrition'!H56+I188)*(1-IF(I$2-$F56&lt;=12,SUMIFS('Attrition Modeling'!$D:$D,'Attrition Modeling'!$B:$B,'Traditional Attrition'!$E56,'Attrition Modeling'!$C:$C,'Traditional Attrition'!I$1),VLOOKUP('Traditional Attrition'!I$2-'Traditional Attrition'!$F56-1,'Traditional Attrition'!$A$7:$C$161,2,FALSE)*VLOOKUP(I$1,'Attrition Modeling'!$L$15:$N$27,IF(I$2-$F56&lt;=24,2,3),FALSE))*(1+Projection!K$16)*(1+IF(I188&gt;0,'Attrition Modeling'!$N$9,0))),0))</f>
        <v>0</v>
      </c>
      <c r="J56" s="799">
        <f>IF(J$2=$F56+1,Monthly!F$21,IF(J$2&gt;$F56+1,('Traditional Attrition'!I56+J188)*(1-IF(J$2-$F56&lt;=12,SUMIFS('Attrition Modeling'!$D:$D,'Attrition Modeling'!$B:$B,'Traditional Attrition'!$E56,'Attrition Modeling'!$C:$C,'Traditional Attrition'!J$1),VLOOKUP('Traditional Attrition'!J$2-'Traditional Attrition'!$F56-1,'Traditional Attrition'!$A$7:$C$161,2,FALSE)*VLOOKUP(J$1,'Attrition Modeling'!$L$15:$N$27,IF(J$2-$F56&lt;=24,2,3),FALSE))*(1+Projection!L$16)*(1+IF(J188&gt;0,'Attrition Modeling'!$N$9,0))),0))</f>
        <v>0</v>
      </c>
      <c r="K56" s="799">
        <f>IF(K$2=$F56+1,Monthly!G$21,IF(K$2&gt;$F56+1,('Traditional Attrition'!J56+K188)*(1-IF(K$2-$F56&lt;=12,SUMIFS('Attrition Modeling'!$D:$D,'Attrition Modeling'!$B:$B,'Traditional Attrition'!$E56,'Attrition Modeling'!$C:$C,'Traditional Attrition'!K$1),VLOOKUP('Traditional Attrition'!K$2-'Traditional Attrition'!$F56-1,'Traditional Attrition'!$A$7:$C$161,2,FALSE)*VLOOKUP(K$1,'Attrition Modeling'!$L$15:$N$27,IF(K$2-$F56&lt;=24,2,3),FALSE))*(1+Projection!M$16)*(1+IF(K188&gt;0,'Attrition Modeling'!$N$9,0))),0))</f>
        <v>0</v>
      </c>
      <c r="L56" s="799">
        <f>IF(L$2=$F56+1,Monthly!H$21,IF(L$2&gt;$F56+1,('Traditional Attrition'!K56+L188)*(1-IF(L$2-$F56&lt;=12,SUMIFS('Attrition Modeling'!$D:$D,'Attrition Modeling'!$B:$B,'Traditional Attrition'!$E56,'Attrition Modeling'!$C:$C,'Traditional Attrition'!L$1),VLOOKUP('Traditional Attrition'!L$2-'Traditional Attrition'!$F56-1,'Traditional Attrition'!$A$7:$C$161,2,FALSE)*VLOOKUP(L$1,'Attrition Modeling'!$L$15:$N$27,IF(L$2-$F56&lt;=24,2,3),FALSE))*(1+Projection!N$16)*(1+IF(L188&gt;0,'Attrition Modeling'!$N$9,0))),0))</f>
        <v>0</v>
      </c>
      <c r="M56" s="799">
        <f>IF(M$2=$F56+1,Monthly!I$21,IF(M$2&gt;$F56+1,('Traditional Attrition'!L56+M188)*(1-IF(M$2-$F56&lt;=12,SUMIFS('Attrition Modeling'!$D:$D,'Attrition Modeling'!$B:$B,'Traditional Attrition'!$E56,'Attrition Modeling'!$C:$C,'Traditional Attrition'!M$1),VLOOKUP('Traditional Attrition'!M$2-'Traditional Attrition'!$F56-1,'Traditional Attrition'!$A$7:$C$161,2,FALSE)*VLOOKUP(M$1,'Attrition Modeling'!$L$15:$N$27,IF(M$2-$F56&lt;=24,2,3),FALSE))*(1+Projection!O$16)*(1+IF(M188&gt;0,'Attrition Modeling'!$N$9,0))),0))</f>
        <v>0</v>
      </c>
      <c r="N56" s="799">
        <f>IF(N$2=$F56+1,Monthly!J$21,IF(N$2&gt;$F56+1,('Traditional Attrition'!M56+N188)*(1-IF(N$2-$F56&lt;=12,SUMIFS('Attrition Modeling'!$D:$D,'Attrition Modeling'!$B:$B,'Traditional Attrition'!$E56,'Attrition Modeling'!$C:$C,'Traditional Attrition'!N$1),VLOOKUP('Traditional Attrition'!N$2-'Traditional Attrition'!$F56-1,'Traditional Attrition'!$A$7:$C$161,2,FALSE)*VLOOKUP(N$1,'Attrition Modeling'!$L$15:$N$27,IF(N$2-$F56&lt;=24,2,3),FALSE))*(1+Projection!P$16)*(1+IF(N188&gt;0,'Attrition Modeling'!$N$9,0))),0))</f>
        <v>0</v>
      </c>
      <c r="O56" s="799">
        <f>IF(O$2=$F56+1,Monthly!K$21,IF(O$2&gt;$F56+1,('Traditional Attrition'!N56+O188)*(1-IF(O$2-$F56&lt;=12,SUMIFS('Attrition Modeling'!$D:$D,'Attrition Modeling'!$B:$B,'Traditional Attrition'!$E56,'Attrition Modeling'!$C:$C,'Traditional Attrition'!O$1),VLOOKUP('Traditional Attrition'!O$2-'Traditional Attrition'!$F56-1,'Traditional Attrition'!$A$7:$C$161,2,FALSE)*VLOOKUP(O$1,'Attrition Modeling'!$L$15:$N$27,IF(O$2-$F56&lt;=24,2,3),FALSE))*(1+Projection!Q$16)*(1+IF(O188&gt;0,'Attrition Modeling'!$N$9,0))),0))</f>
        <v>0</v>
      </c>
      <c r="P56" s="799">
        <f>IF(P$2=$F56+1,Monthly!L$21,IF(P$2&gt;$F56+1,('Traditional Attrition'!O56+P188)*(1-IF(P$2-$F56&lt;=12,SUMIFS('Attrition Modeling'!$D:$D,'Attrition Modeling'!$B:$B,'Traditional Attrition'!$E56,'Attrition Modeling'!$C:$C,'Traditional Attrition'!P$1),VLOOKUP('Traditional Attrition'!P$2-'Traditional Attrition'!$F56-1,'Traditional Attrition'!$A$7:$C$161,2,FALSE)*VLOOKUP(P$1,'Attrition Modeling'!$L$15:$N$27,IF(P$2-$F56&lt;=24,2,3),FALSE))*(1+Projection!R$16)*(1+IF(P188&gt;0,'Attrition Modeling'!$N$9,0))),0))</f>
        <v>0</v>
      </c>
      <c r="Q56" s="799">
        <f>IF(Q$2=$F56+1,Monthly!M$21,IF(Q$2&gt;$F56+1,('Traditional Attrition'!P56+Q188)*(1-IF(Q$2-$F56&lt;=12,SUMIFS('Attrition Modeling'!$D:$D,'Attrition Modeling'!$B:$B,'Traditional Attrition'!$E56,'Attrition Modeling'!$C:$C,'Traditional Attrition'!Q$1),VLOOKUP('Traditional Attrition'!Q$2-'Traditional Attrition'!$F56-1,'Traditional Attrition'!$A$7:$C$161,2,FALSE)*VLOOKUP(Q$1,'Attrition Modeling'!$L$15:$N$27,IF(Q$2-$F56&lt;=24,2,3),FALSE))*(1+Projection!S$16)*(1+IF(Q188&gt;0,'Attrition Modeling'!$N$9,0))),0))</f>
        <v>0</v>
      </c>
      <c r="R56" s="799">
        <f>IF(R$2=$F56+1,Monthly!N$21,IF(R$2&gt;$F56+1,('Traditional Attrition'!Q56+R188)*(1-IF(R$2-$F56&lt;=12,SUMIFS('Attrition Modeling'!$D:$D,'Attrition Modeling'!$B:$B,'Traditional Attrition'!$E56,'Attrition Modeling'!$C:$C,'Traditional Attrition'!R$1),VLOOKUP('Traditional Attrition'!R$2-'Traditional Attrition'!$F56-1,'Traditional Attrition'!$A$7:$C$161,2,FALSE)*VLOOKUP(R$1,'Attrition Modeling'!$L$15:$N$27,IF(R$2-$F56&lt;=24,2,3),FALSE))*(1+Projection!T$16)*(1+IF(R188&gt;0,'Attrition Modeling'!$N$9,0))),0))</f>
        <v>0</v>
      </c>
      <c r="S56" s="799">
        <f>IF(S$2=$F56+1,Monthly!O$21,IF(S$2&gt;$F56+1,('Traditional Attrition'!R56+S188)*(1-IF(S$2-$F56&lt;=12,SUMIFS('Attrition Modeling'!$D:$D,'Attrition Modeling'!$B:$B,'Traditional Attrition'!$E56,'Attrition Modeling'!$C:$C,'Traditional Attrition'!S$1),VLOOKUP('Traditional Attrition'!S$2-'Traditional Attrition'!$F56-1,'Traditional Attrition'!$A$7:$C$161,2,FALSE)*VLOOKUP(S$1,'Attrition Modeling'!$L$15:$N$27,IF(S$2-$F56&lt;=24,2,3),FALSE))*(1+Projection!U$16)*(1+IF(S188&gt;0,'Attrition Modeling'!$N$9,0))),0))</f>
        <v>0</v>
      </c>
      <c r="T56" s="799">
        <f>IF(T$2=$F56+1,Monthly!P$21,IF(T$2&gt;$F56+1,('Traditional Attrition'!S56+T188)*(1-IF(T$2-$F56&lt;=12,SUMIFS('Attrition Modeling'!$D:$D,'Attrition Modeling'!$B:$B,'Traditional Attrition'!$E56,'Attrition Modeling'!$C:$C,'Traditional Attrition'!T$1),VLOOKUP('Traditional Attrition'!T$2-'Traditional Attrition'!$F56-1,'Traditional Attrition'!$A$7:$C$161,2,FALSE)*VLOOKUP(T$1,'Attrition Modeling'!$L$15:$N$27,IF(T$2-$F56&lt;=24,2,3),FALSE))*(1+Projection!V$16)*(1+IF(T188&gt;0,'Attrition Modeling'!$N$9,0))),0))</f>
        <v>0</v>
      </c>
      <c r="U56" s="799">
        <f>IF(U$2=$F56+1,Monthly!Q$21,IF(U$2&gt;$F56+1,('Traditional Attrition'!T56+U188)*(1-IF(U$2-$F56&lt;=12,SUMIFS('Attrition Modeling'!$D:$D,'Attrition Modeling'!$B:$B,'Traditional Attrition'!$E56,'Attrition Modeling'!$C:$C,'Traditional Attrition'!U$1),VLOOKUP('Traditional Attrition'!U$2-'Traditional Attrition'!$F56-1,'Traditional Attrition'!$A$7:$C$161,2,FALSE)*VLOOKUP(U$1,'Attrition Modeling'!$L$15:$N$27,IF(U$2-$F56&lt;=24,2,3),FALSE))*(1+Projection!W$16)*(1+IF(U188&gt;0,'Attrition Modeling'!$N$9,0))),0))</f>
        <v>0</v>
      </c>
      <c r="V56" s="799">
        <f>IF(V$2=$F56+1,Monthly!R$21,IF(V$2&gt;$F56+1,('Traditional Attrition'!U56+V188)*(1-IF(V$2-$F56&lt;=12,SUMIFS('Attrition Modeling'!$D:$D,'Attrition Modeling'!$B:$B,'Traditional Attrition'!$E56,'Attrition Modeling'!$C:$C,'Traditional Attrition'!V$1),VLOOKUP('Traditional Attrition'!V$2-'Traditional Attrition'!$F56-1,'Traditional Attrition'!$A$7:$C$161,2,FALSE)*VLOOKUP(V$1,'Attrition Modeling'!$L$15:$N$27,IF(V$2-$F56&lt;=24,2,3),FALSE))*(1+Projection!X$16)*(1+IF(V188&gt;0,'Attrition Modeling'!$N$9,0))),0))</f>
        <v>0</v>
      </c>
      <c r="W56" s="799">
        <f>IF(W$2=$F56+1,Monthly!S$21,IF(W$2&gt;$F56+1,('Traditional Attrition'!V56+W188)*(1-IF(W$2-$F56&lt;=12,SUMIFS('Attrition Modeling'!$D:$D,'Attrition Modeling'!$B:$B,'Traditional Attrition'!$E56,'Attrition Modeling'!$C:$C,'Traditional Attrition'!W$1),VLOOKUP('Traditional Attrition'!W$2-'Traditional Attrition'!$F56-1,'Traditional Attrition'!$A$7:$C$161,2,FALSE)*VLOOKUP(W$1,'Attrition Modeling'!$L$15:$N$27,IF(W$2-$F56&lt;=24,2,3),FALSE))*(1+Projection!Y$16)*(1+IF(W188&gt;0,'Attrition Modeling'!$N$9,0))),0))</f>
        <v>0</v>
      </c>
      <c r="X56" s="799">
        <f>IF(X$2=$F56+1,Monthly!T$21,IF(X$2&gt;$F56+1,('Traditional Attrition'!W56+X188)*(1-IF(X$2-$F56&lt;=12,SUMIFS('Attrition Modeling'!$D:$D,'Attrition Modeling'!$B:$B,'Traditional Attrition'!$E56,'Attrition Modeling'!$C:$C,'Traditional Attrition'!X$1),VLOOKUP('Traditional Attrition'!X$2-'Traditional Attrition'!$F56-1,'Traditional Attrition'!$A$7:$C$161,2,FALSE)*VLOOKUP(X$1,'Attrition Modeling'!$L$15:$N$27,IF(X$2-$F56&lt;=24,2,3),FALSE))*(1+Projection!Z$16)*(1+IF(X188&gt;0,'Attrition Modeling'!$N$9,0))),0))</f>
        <v>0</v>
      </c>
      <c r="Y56" s="799">
        <f>IF(Y$2=$F56+1,Monthly!U$21,IF(Y$2&gt;$F56+1,('Traditional Attrition'!X56+Y188)*(1-IF(Y$2-$F56&lt;=12,SUMIFS('Attrition Modeling'!$D:$D,'Attrition Modeling'!$B:$B,'Traditional Attrition'!$E56,'Attrition Modeling'!$C:$C,'Traditional Attrition'!Y$1),VLOOKUP('Traditional Attrition'!Y$2-'Traditional Attrition'!$F56-1,'Traditional Attrition'!$A$7:$C$161,2,FALSE)*VLOOKUP(Y$1,'Attrition Modeling'!$L$15:$N$27,IF(Y$2-$F56&lt;=24,2,3),FALSE))*(1+Projection!AA$16)*(1+IF(Y188&gt;0,'Attrition Modeling'!$N$9,0))),0))</f>
        <v>0</v>
      </c>
      <c r="Z56" s="799">
        <f>IF(Z$2=$F56+1,Monthly!V$21,IF(Z$2&gt;$F56+1,('Traditional Attrition'!Y56+Z188)*(1-IF(Z$2-$F56&lt;=12,SUMIFS('Attrition Modeling'!$D:$D,'Attrition Modeling'!$B:$B,'Traditional Attrition'!$E56,'Attrition Modeling'!$C:$C,'Traditional Attrition'!Z$1),VLOOKUP('Traditional Attrition'!Z$2-'Traditional Attrition'!$F56-1,'Traditional Attrition'!$A$7:$C$161,2,FALSE)*VLOOKUP(Z$1,'Attrition Modeling'!$L$15:$N$27,IF(Z$2-$F56&lt;=24,2,3),FALSE))*(1+Projection!AB$16)*(1+IF(Z188&gt;0,'Attrition Modeling'!$N$9,0))),0))</f>
        <v>0</v>
      </c>
      <c r="AA56" s="799">
        <f>IF(AA$2=$F56+1,Monthly!W$21,IF(AA$2&gt;$F56+1,('Traditional Attrition'!Z56+AA188)*(1-IF(AA$2-$F56&lt;=12,SUMIFS('Attrition Modeling'!$D:$D,'Attrition Modeling'!$B:$B,'Traditional Attrition'!$E56,'Attrition Modeling'!$C:$C,'Traditional Attrition'!AA$1),VLOOKUP('Traditional Attrition'!AA$2-'Traditional Attrition'!$F56-1,'Traditional Attrition'!$A$7:$C$161,2,FALSE)*VLOOKUP(AA$1,'Attrition Modeling'!$L$15:$N$27,IF(AA$2-$F56&lt;=24,2,3),FALSE))*(1+Projection!AC$16)*(1+IF(AA188&gt;0,'Attrition Modeling'!$N$9,0))),0))</f>
        <v>0</v>
      </c>
      <c r="AB56" s="799">
        <f>IF(AB$2=$F56+1,Monthly!X$21,IF(AB$2&gt;$F56+1,('Traditional Attrition'!AA56+AB188)*(1-IF(AB$2-$F56&lt;=12,SUMIFS('Attrition Modeling'!$D:$D,'Attrition Modeling'!$B:$B,'Traditional Attrition'!$E56,'Attrition Modeling'!$C:$C,'Traditional Attrition'!AB$1),VLOOKUP('Traditional Attrition'!AB$2-'Traditional Attrition'!$F56-1,'Traditional Attrition'!$A$7:$C$161,2,FALSE)*VLOOKUP(AB$1,'Attrition Modeling'!$L$15:$N$27,IF(AB$2-$F56&lt;=24,2,3),FALSE))*(1+Projection!AD$16)*(1+IF(AB188&gt;0,'Attrition Modeling'!$N$9,0))),0))</f>
        <v>0</v>
      </c>
      <c r="AC56" s="799">
        <f>IF(AC$2=$F56+1,Monthly!Y$21,IF(AC$2&gt;$F56+1,('Traditional Attrition'!AB56+AC188)*(1-IF(AC$2-$F56&lt;=12,SUMIFS('Attrition Modeling'!$D:$D,'Attrition Modeling'!$B:$B,'Traditional Attrition'!$E56,'Attrition Modeling'!$C:$C,'Traditional Attrition'!AC$1),VLOOKUP('Traditional Attrition'!AC$2-'Traditional Attrition'!$F56-1,'Traditional Attrition'!$A$7:$C$161,2,FALSE)*VLOOKUP(AC$1,'Attrition Modeling'!$L$15:$N$27,IF(AC$2-$F56&lt;=24,2,3),FALSE))*(1+Projection!AE$16)*(1+IF(AC188&gt;0,'Attrition Modeling'!$N$9,0))),0))</f>
        <v>0</v>
      </c>
      <c r="AD56" s="799">
        <f>IF(AD$2=$F56+1,Monthly!Z$21,IF(AD$2&gt;$F56+1,('Traditional Attrition'!AC56+AD188)*(1-IF(AD$2-$F56&lt;=12,SUMIFS('Attrition Modeling'!$D:$D,'Attrition Modeling'!$B:$B,'Traditional Attrition'!$E56,'Attrition Modeling'!$C:$C,'Traditional Attrition'!AD$1),VLOOKUP('Traditional Attrition'!AD$2-'Traditional Attrition'!$F56-1,'Traditional Attrition'!$A$7:$C$161,2,FALSE)*VLOOKUP(AD$1,'Attrition Modeling'!$L$15:$N$27,IF(AD$2-$F56&lt;=24,2,3),FALSE))*(1+Projection!AF$16)*(1+IF(AD188&gt;0,'Attrition Modeling'!$N$9,0))),0))</f>
        <v>0</v>
      </c>
      <c r="AE56" s="799">
        <f>IF(AE$2=$F56+1,Monthly!AA$21,IF(AE$2&gt;$F56+1,('Traditional Attrition'!AD56+AE188)*(1-IF(AE$2-$F56&lt;=12,SUMIFS('Attrition Modeling'!$D:$D,'Attrition Modeling'!$B:$B,'Traditional Attrition'!$E56,'Attrition Modeling'!$C:$C,'Traditional Attrition'!AE$1),VLOOKUP('Traditional Attrition'!AE$2-'Traditional Attrition'!$F56-1,'Traditional Attrition'!$A$7:$C$161,2,FALSE)*VLOOKUP(AE$1,'Attrition Modeling'!$L$15:$N$27,IF(AE$2-$F56&lt;=24,2,3),FALSE))*(1+Projection!AG$16)*(1+IF(AE188&gt;0,'Attrition Modeling'!$N$9,0))),0))</f>
        <v>0</v>
      </c>
      <c r="AF56" s="799">
        <f>IF(AF$2=$F56+1,Monthly!AB$21,IF(AF$2&gt;$F56+1,('Traditional Attrition'!AE56+AF188)*(1-IF(AF$2-$F56&lt;=12,SUMIFS('Attrition Modeling'!$D:$D,'Attrition Modeling'!$B:$B,'Traditional Attrition'!$E56,'Attrition Modeling'!$C:$C,'Traditional Attrition'!AF$1),VLOOKUP('Traditional Attrition'!AF$2-'Traditional Attrition'!$F56-1,'Traditional Attrition'!$A$7:$C$161,2,FALSE)*VLOOKUP(AF$1,'Attrition Modeling'!$L$15:$N$27,IF(AF$2-$F56&lt;=24,2,3),FALSE))*(1+Projection!AH$16)*(1+IF(AF188&gt;0,'Attrition Modeling'!$N$9,0))),0))</f>
        <v>0</v>
      </c>
      <c r="AG56" s="799">
        <f>IF(AG$2=$F56+1,Monthly!AC$21,IF(AG$2&gt;$F56+1,('Traditional Attrition'!AF56+AG188)*(1-IF(AG$2-$F56&lt;=12,SUMIFS('Attrition Modeling'!$D:$D,'Attrition Modeling'!$B:$B,'Traditional Attrition'!$E56,'Attrition Modeling'!$C:$C,'Traditional Attrition'!AG$1),VLOOKUP('Traditional Attrition'!AG$2-'Traditional Attrition'!$F56-1,'Traditional Attrition'!$A$7:$C$161,2,FALSE)*VLOOKUP(AG$1,'Attrition Modeling'!$L$15:$N$27,IF(AG$2-$F56&lt;=24,2,3),FALSE))*(1+Projection!AI$16)*(1+IF(AG188&gt;0,'Attrition Modeling'!$N$9,0))),0))</f>
        <v>0</v>
      </c>
      <c r="AH56" s="799">
        <f>IF(AH$2=$F56+1,Monthly!AD$21,IF(AH$2&gt;$F56+1,('Traditional Attrition'!AG56+AH188)*(1-IF(AH$2-$F56&lt;=12,SUMIFS('Attrition Modeling'!$D:$D,'Attrition Modeling'!$B:$B,'Traditional Attrition'!$E56,'Attrition Modeling'!$C:$C,'Traditional Attrition'!AH$1),VLOOKUP('Traditional Attrition'!AH$2-'Traditional Attrition'!$F56-1,'Traditional Attrition'!$A$7:$C$161,2,FALSE)*VLOOKUP(AH$1,'Attrition Modeling'!$L$15:$N$27,IF(AH$2-$F56&lt;=24,2,3),FALSE))*(1+Projection!AJ$16)*(1+IF(AH188&gt;0,'Attrition Modeling'!$N$9,0))),0))</f>
        <v>0</v>
      </c>
      <c r="AI56" s="799">
        <f>IF(AI$2=$F56+1,Monthly!AE$21,IF(AI$2&gt;$F56+1,('Traditional Attrition'!AH56+AI188)*(1-IF(AI$2-$F56&lt;=12,SUMIFS('Attrition Modeling'!$D:$D,'Attrition Modeling'!$B:$B,'Traditional Attrition'!$E56,'Attrition Modeling'!$C:$C,'Traditional Attrition'!AI$1),VLOOKUP('Traditional Attrition'!AI$2-'Traditional Attrition'!$F56-1,'Traditional Attrition'!$A$7:$C$161,2,FALSE)*VLOOKUP(AI$1,'Attrition Modeling'!$L$15:$N$27,IF(AI$2-$F56&lt;=24,2,3),FALSE))*(1+Projection!AK$16)*(1+IF(AI188&gt;0,'Attrition Modeling'!$N$9,0))),0))</f>
        <v>0</v>
      </c>
      <c r="AJ56" s="799">
        <f>IF(AJ$2=$F56+1,Monthly!AF$21,IF(AJ$2&gt;$F56+1,('Traditional Attrition'!AI56+AJ188)*(1-IF(AJ$2-$F56&lt;=12,SUMIFS('Attrition Modeling'!$D:$D,'Attrition Modeling'!$B:$B,'Traditional Attrition'!$E56,'Attrition Modeling'!$C:$C,'Traditional Attrition'!AJ$1),VLOOKUP('Traditional Attrition'!AJ$2-'Traditional Attrition'!$F56-1,'Traditional Attrition'!$A$7:$C$161,2,FALSE)*VLOOKUP(AJ$1,'Attrition Modeling'!$L$15:$N$27,IF(AJ$2-$F56&lt;=24,2,3),FALSE))*(1+Projection!AL$16)*(1+IF(AJ188&gt;0,'Attrition Modeling'!$N$9,0))),0))</f>
        <v>0</v>
      </c>
      <c r="AK56" s="799">
        <f>IF(AK$2=$F56+1,Monthly!AG$21,IF(AK$2&gt;$F56+1,('Traditional Attrition'!AJ56+AK188)*(1-IF(AK$2-$F56&lt;=12,SUMIFS('Attrition Modeling'!$D:$D,'Attrition Modeling'!$B:$B,'Traditional Attrition'!$E56,'Attrition Modeling'!$C:$C,'Traditional Attrition'!AK$1),VLOOKUP('Traditional Attrition'!AK$2-'Traditional Attrition'!$F56-1,'Traditional Attrition'!$A$7:$C$161,2,FALSE)*VLOOKUP(AK$1,'Attrition Modeling'!$L$15:$N$27,IF(AK$2-$F56&lt;=24,2,3),FALSE))*(1+Projection!AM$16)*(1+IF(AK188&gt;0,'Attrition Modeling'!$N$9,0))),0))</f>
        <v>0</v>
      </c>
      <c r="AL56" s="799">
        <f>IF(AL$2=$F56+1,Monthly!AH$21,IF(AL$2&gt;$F56+1,('Traditional Attrition'!AK56+AL188)*(1-IF(AL$2-$F56&lt;=12,SUMIFS('Attrition Modeling'!$D:$D,'Attrition Modeling'!$B:$B,'Traditional Attrition'!$E56,'Attrition Modeling'!$C:$C,'Traditional Attrition'!AL$1),VLOOKUP('Traditional Attrition'!AL$2-'Traditional Attrition'!$F56-1,'Traditional Attrition'!$A$7:$C$161,2,FALSE)*VLOOKUP(AL$1,'Attrition Modeling'!$L$15:$N$27,IF(AL$2-$F56&lt;=24,2,3),FALSE))*(1+Projection!AN$16)*(1+IF(AL188&gt;0,'Attrition Modeling'!$N$9,0))),0))</f>
        <v>0</v>
      </c>
      <c r="AM56" s="799">
        <f>IF(AM$2=$F56+1,Monthly!AI$21,IF(AM$2&gt;$F56+1,('Traditional Attrition'!AL56+AM188)*(1-IF(AM$2-$F56&lt;=12,SUMIFS('Attrition Modeling'!$D:$D,'Attrition Modeling'!$B:$B,'Traditional Attrition'!$E56,'Attrition Modeling'!$C:$C,'Traditional Attrition'!AM$1),VLOOKUP('Traditional Attrition'!AM$2-'Traditional Attrition'!$F56-1,'Traditional Attrition'!$A$7:$C$161,2,FALSE)*VLOOKUP(AM$1,'Attrition Modeling'!$L$15:$N$27,IF(AM$2-$F56&lt;=24,2,3),FALSE))*(1+Projection!AO$16)*(1+IF(AM188&gt;0,'Attrition Modeling'!$N$9,0))),0))</f>
        <v>0</v>
      </c>
      <c r="AN56" s="799">
        <f>IF(AN$2=$F56+1,Monthly!AJ$21,IF(AN$2&gt;$F56+1,('Traditional Attrition'!AM56+AN188)*(1-IF(AN$2-$F56&lt;=12,SUMIFS('Attrition Modeling'!$D:$D,'Attrition Modeling'!$B:$B,'Traditional Attrition'!$E56,'Attrition Modeling'!$C:$C,'Traditional Attrition'!AN$1),VLOOKUP('Traditional Attrition'!AN$2-'Traditional Attrition'!$F56-1,'Traditional Attrition'!$A$7:$C$161,2,FALSE)*VLOOKUP(AN$1,'Attrition Modeling'!$L$15:$N$27,IF(AN$2-$F56&lt;=24,2,3),FALSE))*(1+Projection!AP$16)*(1+IF(AN188&gt;0,'Attrition Modeling'!$N$9,0))),0))</f>
        <v>0</v>
      </c>
      <c r="AO56" s="799">
        <f>IF(AO$2=$F56+1,Monthly!AK$21,IF(AO$2&gt;$F56+1,('Traditional Attrition'!AN56+AO188)*(1-IF(AO$2-$F56&lt;=12,SUMIFS('Attrition Modeling'!$D:$D,'Attrition Modeling'!$B:$B,'Traditional Attrition'!$E56,'Attrition Modeling'!$C:$C,'Traditional Attrition'!AO$1),VLOOKUP('Traditional Attrition'!AO$2-'Traditional Attrition'!$F56-1,'Traditional Attrition'!$A$7:$C$161,2,FALSE)*VLOOKUP(AO$1,'Attrition Modeling'!$L$15:$N$27,IF(AO$2-$F56&lt;=24,2,3),FALSE))*(1+Projection!AQ$16)*(1+IF(AO188&gt;0,'Attrition Modeling'!$N$9,0))),0))</f>
        <v>0</v>
      </c>
      <c r="AP56" s="799">
        <f>IF(AP$2=$F56+1,Monthly!AL$21,IF(AP$2&gt;$F56+1,('Traditional Attrition'!AO56+AP188)*(1-IF(AP$2-$F56&lt;=12,SUMIFS('Attrition Modeling'!$D:$D,'Attrition Modeling'!$B:$B,'Traditional Attrition'!$E56,'Attrition Modeling'!$C:$C,'Traditional Attrition'!AP$1),VLOOKUP('Traditional Attrition'!AP$2-'Traditional Attrition'!$F56-1,'Traditional Attrition'!$A$7:$C$161,2,FALSE)*VLOOKUP(AP$1,'Attrition Modeling'!$L$15:$N$27,IF(AP$2-$F56&lt;=24,2,3),FALSE))*(1+Projection!AR$16)*(1+IF(AP188&gt;0,'Attrition Modeling'!$N$9,0))),0))</f>
        <v>0</v>
      </c>
      <c r="AQ56" s="799">
        <f>IF(AQ$2=$F56+1,Monthly!AM$21,IF(AQ$2&gt;$F56+1,('Traditional Attrition'!AP56+AQ188)*(1-IF(AQ$2-$F56&lt;=12,SUMIFS('Attrition Modeling'!$D:$D,'Attrition Modeling'!$B:$B,'Traditional Attrition'!$E56,'Attrition Modeling'!$C:$C,'Traditional Attrition'!AQ$1),VLOOKUP('Traditional Attrition'!AQ$2-'Traditional Attrition'!$F56-1,'Traditional Attrition'!$A$7:$C$161,2,FALSE)*VLOOKUP(AQ$1,'Attrition Modeling'!$L$15:$N$27,IF(AQ$2-$F56&lt;=24,2,3),FALSE))*(1+Projection!AS$16)*(1+IF(AQ188&gt;0,'Attrition Modeling'!$N$9,0))),0))</f>
        <v>0</v>
      </c>
      <c r="AR56" s="799">
        <f>IF(AR$2=$F56+1,Monthly!AN$21,IF(AR$2&gt;$F56+1,('Traditional Attrition'!AQ56+AR188)*(1-IF(AR$2-$F56&lt;=12,SUMIFS('Attrition Modeling'!$D:$D,'Attrition Modeling'!$B:$B,'Traditional Attrition'!$E56,'Attrition Modeling'!$C:$C,'Traditional Attrition'!AR$1),VLOOKUP('Traditional Attrition'!AR$2-'Traditional Attrition'!$F56-1,'Traditional Attrition'!$A$7:$C$161,2,FALSE)*VLOOKUP(AR$1,'Attrition Modeling'!$L$15:$N$27,IF(AR$2-$F56&lt;=24,2,3),FALSE))*(1+Projection!AT$16)*(1+IF(AR188&gt;0,'Attrition Modeling'!$N$9,0))),0))</f>
        <v>0</v>
      </c>
      <c r="AS56" s="799">
        <f>IF(AS$2=$F56+1,Monthly!AO$21,IF(AS$2&gt;$F56+1,('Traditional Attrition'!AR56+AS188)*(1-IF(AS$2-$F56&lt;=12,SUMIFS('Attrition Modeling'!$D:$D,'Attrition Modeling'!$B:$B,'Traditional Attrition'!$E56,'Attrition Modeling'!$C:$C,'Traditional Attrition'!AS$1),VLOOKUP('Traditional Attrition'!AS$2-'Traditional Attrition'!$F56-1,'Traditional Attrition'!$A$7:$C$161,2,FALSE)*VLOOKUP(AS$1,'Attrition Modeling'!$L$15:$N$27,IF(AS$2-$F56&lt;=24,2,3),FALSE))*(1+Projection!AU$16)*(1+IF(AS188&gt;0,'Attrition Modeling'!$N$9,0))),0))</f>
        <v>0</v>
      </c>
      <c r="AT56" s="799">
        <f>IF(AT$2=$F56+1,Monthly!AP$21,IF(AT$2&gt;$F56+1,('Traditional Attrition'!AS56+AT188)*(1-IF(AT$2-$F56&lt;=12,SUMIFS('Attrition Modeling'!$D:$D,'Attrition Modeling'!$B:$B,'Traditional Attrition'!$E56,'Attrition Modeling'!$C:$C,'Traditional Attrition'!AT$1),VLOOKUP('Traditional Attrition'!AT$2-'Traditional Attrition'!$F56-1,'Traditional Attrition'!$A$7:$C$161,2,FALSE)*VLOOKUP(AT$1,'Attrition Modeling'!$L$15:$N$27,IF(AT$2-$F56&lt;=24,2,3),FALSE))*(1+Projection!AV$16)*(1+IF(AT188&gt;0,'Attrition Modeling'!$N$9,0))),0))</f>
        <v>0</v>
      </c>
      <c r="AU56" s="799">
        <f>IF(AU$2=$F56+1,Monthly!AQ$21,IF(AU$2&gt;$F56+1,('Traditional Attrition'!AT56+AU188)*(1-IF(AU$2-$F56&lt;=12,SUMIFS('Attrition Modeling'!$D:$D,'Attrition Modeling'!$B:$B,'Traditional Attrition'!$E56,'Attrition Modeling'!$C:$C,'Traditional Attrition'!AU$1),VLOOKUP('Traditional Attrition'!AU$2-'Traditional Attrition'!$F56-1,'Traditional Attrition'!$A$7:$C$161,2,FALSE)*VLOOKUP(AU$1,'Attrition Modeling'!$L$15:$N$27,IF(AU$2-$F56&lt;=24,2,3),FALSE))*(1+Projection!AW$16)*(1+IF(AU188&gt;0,'Attrition Modeling'!$N$9,0))),0))</f>
        <v>0</v>
      </c>
      <c r="AV56" s="799">
        <f>IF(AV$2=$F56+1,Monthly!AR$21,IF(AV$2&gt;$F56+1,('Traditional Attrition'!AU56+AV188)*(1-IF(AV$2-$F56&lt;=12,SUMIFS('Attrition Modeling'!$D:$D,'Attrition Modeling'!$B:$B,'Traditional Attrition'!$E56,'Attrition Modeling'!$C:$C,'Traditional Attrition'!AV$1),VLOOKUP('Traditional Attrition'!AV$2-'Traditional Attrition'!$F56-1,'Traditional Attrition'!$A$7:$C$161,2,FALSE)*VLOOKUP(AV$1,'Attrition Modeling'!$L$15:$N$27,IF(AV$2-$F56&lt;=24,2,3),FALSE))*(1+Projection!AX$16)*(1+IF(AV188&gt;0,'Attrition Modeling'!$N$9,0))),0))</f>
        <v>0</v>
      </c>
      <c r="AW56" s="799">
        <f>IF(AW$2=$F56+1,Monthly!AS$21,IF(AW$2&gt;$F56+1,('Traditional Attrition'!AV56+AW188)*(1-IF(AW$2-$F56&lt;=12,SUMIFS('Attrition Modeling'!$D:$D,'Attrition Modeling'!$B:$B,'Traditional Attrition'!$E56,'Attrition Modeling'!$C:$C,'Traditional Attrition'!AW$1),VLOOKUP('Traditional Attrition'!AW$2-'Traditional Attrition'!$F56-1,'Traditional Attrition'!$A$7:$C$161,2,FALSE)*VLOOKUP(AW$1,'Attrition Modeling'!$L$15:$N$27,IF(AW$2-$F56&lt;=24,2,3),FALSE))*(1+Projection!AY$16)*(1+IF(AW188&gt;0,'Attrition Modeling'!$N$9,0))),0))</f>
        <v>0</v>
      </c>
      <c r="AX56" s="799">
        <f>IF(AX$2=$F56+1,Monthly!AT$21,IF(AX$2&gt;$F56+1,('Traditional Attrition'!AW56+AX188)*(1-IF(AX$2-$F56&lt;=12,SUMIFS('Attrition Modeling'!$D:$D,'Attrition Modeling'!$B:$B,'Traditional Attrition'!$E56,'Attrition Modeling'!$C:$C,'Traditional Attrition'!AX$1),VLOOKUP('Traditional Attrition'!AX$2-'Traditional Attrition'!$F56-1,'Traditional Attrition'!$A$7:$C$161,2,FALSE)*VLOOKUP(AX$1,'Attrition Modeling'!$L$15:$N$27,IF(AX$2-$F56&lt;=24,2,3),FALSE))*(1+Projection!AZ$16)*(1+IF(AX188&gt;0,'Attrition Modeling'!$N$9,0))),0))</f>
        <v>0</v>
      </c>
      <c r="AY56" s="799">
        <f>IF(AY$2=$F56+1,Monthly!AU$21,IF(AY$2&gt;$F56+1,('Traditional Attrition'!AX56+AY188)*(1-IF(AY$2-$F56&lt;=12,SUMIFS('Attrition Modeling'!$D:$D,'Attrition Modeling'!$B:$B,'Traditional Attrition'!$E56,'Attrition Modeling'!$C:$C,'Traditional Attrition'!AY$1),VLOOKUP('Traditional Attrition'!AY$2-'Traditional Attrition'!$F56-1,'Traditional Attrition'!$A$7:$C$161,2,FALSE)*VLOOKUP(AY$1,'Attrition Modeling'!$L$15:$N$27,IF(AY$2-$F56&lt;=24,2,3),FALSE))*(1+Projection!BA$16)*(1+IF(AY188&gt;0,'Attrition Modeling'!$N$9,0))),0))</f>
        <v>0</v>
      </c>
      <c r="AZ56" s="799">
        <f>IF(AZ$2=$F56+1,Monthly!AV$21,IF(AZ$2&gt;$F56+1,('Traditional Attrition'!AY56+AZ188)*(1-IF(AZ$2-$F56&lt;=12,SUMIFS('Attrition Modeling'!$D:$D,'Attrition Modeling'!$B:$B,'Traditional Attrition'!$E56,'Attrition Modeling'!$C:$C,'Traditional Attrition'!AZ$1),VLOOKUP('Traditional Attrition'!AZ$2-'Traditional Attrition'!$F56-1,'Traditional Attrition'!$A$7:$C$161,2,FALSE)*VLOOKUP(AZ$1,'Attrition Modeling'!$L$15:$N$27,IF(AZ$2-$F56&lt;=24,2,3),FALSE))*(1+Projection!BB$16)*(1+IF(AZ188&gt;0,'Attrition Modeling'!$N$9,0))),0))</f>
        <v>0</v>
      </c>
      <c r="BA56" s="799">
        <f>IF(BA$2=$F56+1,Monthly!AW$21,IF(BA$2&gt;$F56+1,('Traditional Attrition'!AZ56+BA188)*(1-IF(BA$2-$F56&lt;=12,SUMIFS('Attrition Modeling'!$D:$D,'Attrition Modeling'!$B:$B,'Traditional Attrition'!$E56,'Attrition Modeling'!$C:$C,'Traditional Attrition'!BA$1),VLOOKUP('Traditional Attrition'!BA$2-'Traditional Attrition'!$F56-1,'Traditional Attrition'!$A$7:$C$161,2,FALSE)*VLOOKUP(BA$1,'Attrition Modeling'!$L$15:$N$27,IF(BA$2-$F56&lt;=24,2,3),FALSE))*(1+Projection!BC$16)*(1+IF(BA188&gt;0,'Attrition Modeling'!$N$9,0))),0))</f>
        <v>0</v>
      </c>
      <c r="BB56" s="799">
        <f>IF(BB$2=$F56+1,Monthly!AX$21,IF(BB$2&gt;$F56+1,('Traditional Attrition'!BA56+BB188)*(1-IF(BB$2-$F56&lt;=12,SUMIFS('Attrition Modeling'!$D:$D,'Attrition Modeling'!$B:$B,'Traditional Attrition'!$E56,'Attrition Modeling'!$C:$C,'Traditional Attrition'!BB$1),VLOOKUP('Traditional Attrition'!BB$2-'Traditional Attrition'!$F56-1,'Traditional Attrition'!$A$7:$C$161,2,FALSE)*VLOOKUP(BB$1,'Attrition Modeling'!$L$15:$N$27,IF(BB$2-$F56&lt;=24,2,3),FALSE))*(1+Projection!BD$16)*(1+IF(BB188&gt;0,'Attrition Modeling'!$N$9,0))),0))</f>
        <v>0</v>
      </c>
      <c r="BC56" s="799">
        <f>IF(BC$2=$F56+1,Monthly!AY$21,IF(BC$2&gt;$F56+1,('Traditional Attrition'!BB56+BC188)*(1-IF(BC$2-$F56&lt;=12,SUMIFS('Attrition Modeling'!$D:$D,'Attrition Modeling'!$B:$B,'Traditional Attrition'!$E56,'Attrition Modeling'!$C:$C,'Traditional Attrition'!BC$1),VLOOKUP('Traditional Attrition'!BC$2-'Traditional Attrition'!$F56-1,'Traditional Attrition'!$A$7:$C$161,2,FALSE)*VLOOKUP(BC$1,'Attrition Modeling'!$L$15:$N$27,IF(BC$2-$F56&lt;=24,2,3),FALSE))*(1+Projection!BE$16)*(1+IF(BC188&gt;0,'Attrition Modeling'!$N$9,0))),0))</f>
        <v>0</v>
      </c>
      <c r="BD56" s="799">
        <f>IF(BD$2=$F56+1,Monthly!AZ$21,IF(BD$2&gt;$F56+1,('Traditional Attrition'!BC56+BD188)*(1-IF(BD$2-$F56&lt;=12,SUMIFS('Attrition Modeling'!$D:$D,'Attrition Modeling'!$B:$B,'Traditional Attrition'!$E56,'Attrition Modeling'!$C:$C,'Traditional Attrition'!BD$1),VLOOKUP('Traditional Attrition'!BD$2-'Traditional Attrition'!$F56-1,'Traditional Attrition'!$A$7:$C$161,2,FALSE)*VLOOKUP(BD$1,'Attrition Modeling'!$L$15:$N$27,IF(BD$2-$F56&lt;=24,2,3),FALSE))*(1+Projection!BF$16)*(1+IF(BD188&gt;0,'Attrition Modeling'!$N$9,0))),0))</f>
        <v>0</v>
      </c>
      <c r="BE56" s="799">
        <f>IF(BE$2=$F56+1,Monthly!BA$21,IF(BE$2&gt;$F56+1,('Traditional Attrition'!BD56+BE188)*(1-IF(BE$2-$F56&lt;=12,SUMIFS('Attrition Modeling'!$D:$D,'Attrition Modeling'!$B:$B,'Traditional Attrition'!$E56,'Attrition Modeling'!$C:$C,'Traditional Attrition'!BE$1),VLOOKUP('Traditional Attrition'!BE$2-'Traditional Attrition'!$F56-1,'Traditional Attrition'!$A$7:$C$161,2,FALSE)*VLOOKUP(BE$1,'Attrition Modeling'!$L$15:$N$27,IF(BE$2-$F56&lt;=24,2,3),FALSE))*(1+Projection!BG$16)*(1+IF(BE188&gt;0,'Attrition Modeling'!$N$9,0))),0))</f>
        <v>0</v>
      </c>
      <c r="BF56" s="799">
        <f>IF(BF$2=$F56+1,Monthly!BB$21,IF(BF$2&gt;$F56+1,('Traditional Attrition'!BE56+BF188)*(1-IF(BF$2-$F56&lt;=12,SUMIFS('Attrition Modeling'!$D:$D,'Attrition Modeling'!$B:$B,'Traditional Attrition'!$E56,'Attrition Modeling'!$C:$C,'Traditional Attrition'!BF$1),VLOOKUP('Traditional Attrition'!BF$2-'Traditional Attrition'!$F56-1,'Traditional Attrition'!$A$7:$C$161,2,FALSE)*VLOOKUP(BF$1,'Attrition Modeling'!$L$15:$N$27,IF(BF$2-$F56&lt;=24,2,3),FALSE))*(1+Projection!BH$16)*(1+IF(BF188&gt;0,'Attrition Modeling'!$N$9,0))),0))</f>
        <v>0</v>
      </c>
      <c r="BG56" s="799">
        <f>IF(BG$2=$F56+1,Monthly!BC$21,IF(BG$2&gt;$F56+1,('Traditional Attrition'!BF56+BG188)*(1-IF(BG$2-$F56&lt;=12,SUMIFS('Attrition Modeling'!$D:$D,'Attrition Modeling'!$B:$B,'Traditional Attrition'!$E56,'Attrition Modeling'!$C:$C,'Traditional Attrition'!BG$1),VLOOKUP('Traditional Attrition'!BG$2-'Traditional Attrition'!$F56-1,'Traditional Attrition'!$A$7:$C$161,2,FALSE)*VLOOKUP(BG$1,'Attrition Modeling'!$L$15:$N$27,IF(BG$2-$F56&lt;=24,2,3),FALSE))*(1+Projection!BI$16)*(1+IF(BG188&gt;0,'Attrition Modeling'!$N$9,0))),0))</f>
        <v>0</v>
      </c>
      <c r="BH56" s="799">
        <f>IF(BH$2=$F56+1,Monthly!BD$21,IF(BH$2&gt;$F56+1,('Traditional Attrition'!BG56+BH188)*(1-IF(BH$2-$F56&lt;=12,SUMIFS('Attrition Modeling'!$D:$D,'Attrition Modeling'!$B:$B,'Traditional Attrition'!$E56,'Attrition Modeling'!$C:$C,'Traditional Attrition'!BH$1),VLOOKUP('Traditional Attrition'!BH$2-'Traditional Attrition'!$F56-1,'Traditional Attrition'!$A$7:$C$161,2,FALSE)*VLOOKUP(BH$1,'Attrition Modeling'!$L$15:$N$27,IF(BH$2-$F56&lt;=24,2,3),FALSE))*(1+Projection!BJ$16)*(1+IF(BH188&gt;0,'Attrition Modeling'!$N$9,0))),0))</f>
        <v>0</v>
      </c>
      <c r="BI56" s="799">
        <f>IF(BI$2=$F56+1,Monthly!BE$21,IF(BI$2&gt;$F56+1,('Traditional Attrition'!BH56+BI188)*(1-IF(BI$2-$F56&lt;=12,SUMIFS('Attrition Modeling'!$D:$D,'Attrition Modeling'!$B:$B,'Traditional Attrition'!$E56,'Attrition Modeling'!$C:$C,'Traditional Attrition'!BI$1),VLOOKUP('Traditional Attrition'!BI$2-'Traditional Attrition'!$F56-1,'Traditional Attrition'!$A$7:$C$161,2,FALSE)*VLOOKUP(BI$1,'Attrition Modeling'!$L$15:$N$27,IF(BI$2-$F56&lt;=24,2,3),FALSE))*(1+Projection!BK$16)*(1+IF(BI188&gt;0,'Attrition Modeling'!$N$9,0))),0))</f>
        <v>11829.480366671496</v>
      </c>
      <c r="BJ56" s="799">
        <f>IF(BJ$2=$F56+1,Monthly!BF$21,IF(BJ$2&gt;$F56+1,('Traditional Attrition'!BI56+BJ188)*(1-IF(BJ$2-$F56&lt;=12,SUMIFS('Attrition Modeling'!$D:$D,'Attrition Modeling'!$B:$B,'Traditional Attrition'!$E56,'Attrition Modeling'!$C:$C,'Traditional Attrition'!BJ$1),VLOOKUP('Traditional Attrition'!BJ$2-'Traditional Attrition'!$F56-1,'Traditional Attrition'!$A$7:$C$161,2,FALSE)*VLOOKUP(BJ$1,'Attrition Modeling'!$L$15:$N$27,IF(BJ$2-$F56&lt;=24,2,3),FALSE))*(1+Projection!BL$16)*(1+IF(BJ188&gt;0,'Attrition Modeling'!$N$9,0))),0))</f>
        <v>10525.598369267827</v>
      </c>
      <c r="BK56" s="799">
        <f>IF(BK$2=$F56+1,Monthly!BG$21,IF(BK$2&gt;$F56+1,('Traditional Attrition'!BJ56+BK188)*(1-IF(BK$2-$F56&lt;=12,SUMIFS('Attrition Modeling'!$D:$D,'Attrition Modeling'!$B:$B,'Traditional Attrition'!$E56,'Attrition Modeling'!$C:$C,'Traditional Attrition'!BK$1),VLOOKUP('Traditional Attrition'!BK$2-'Traditional Attrition'!$F56-1,'Traditional Attrition'!$A$7:$C$161,2,FALSE)*VLOOKUP(BK$1,'Attrition Modeling'!$L$15:$N$27,IF(BK$2-$F56&lt;=24,2,3),FALSE))*(1+Projection!BM$16)*(1+IF(BK188&gt;0,'Attrition Modeling'!$N$9,0))),0))</f>
        <v>9121.5277543206503</v>
      </c>
      <c r="BL56" s="799">
        <f>IF(BL$2=$F56+1,Monthly!BH$21,IF(BL$2&gt;$F56+1,('Traditional Attrition'!BK56+BL188)*(1-IF(BL$2-$F56&lt;=12,SUMIFS('Attrition Modeling'!$D:$D,'Attrition Modeling'!$B:$B,'Traditional Attrition'!$E56,'Attrition Modeling'!$C:$C,'Traditional Attrition'!BL$1),VLOOKUP('Traditional Attrition'!BL$2-'Traditional Attrition'!$F56-1,'Traditional Attrition'!$A$7:$C$161,2,FALSE)*VLOOKUP(BL$1,'Attrition Modeling'!$L$15:$N$27,IF(BL$2-$F56&lt;=24,2,3),FALSE))*(1+Projection!BN$16)*(1+IF(BL188&gt;0,'Attrition Modeling'!$N$9,0))),0))</f>
        <v>8121.6724016835678</v>
      </c>
      <c r="BM56" s="799">
        <f>IF(BM$2=$F56+1,Monthly!BI$21,IF(BM$2&gt;$F56+1,('Traditional Attrition'!BL56+BM188)*(1-IF(BM$2-$F56&lt;=12,SUMIFS('Attrition Modeling'!$D:$D,'Attrition Modeling'!$B:$B,'Traditional Attrition'!$E56,'Attrition Modeling'!$C:$C,'Traditional Attrition'!BM$1),VLOOKUP('Traditional Attrition'!BM$2-'Traditional Attrition'!$F56-1,'Traditional Attrition'!$A$7:$C$161,2,FALSE)*VLOOKUP(BM$1,'Attrition Modeling'!$L$15:$N$27,IF(BM$2-$F56&lt;=24,2,3),FALSE))*(1+Projection!BO$16)*(1+IF(BM188&gt;0,'Attrition Modeling'!$N$9,0))),0))</f>
        <v>7372.1118853908292</v>
      </c>
      <c r="BN56" s="799">
        <f>IF(BN$2=$F56+1,Monthly!BJ$21,IF(BN$2&gt;$F56+1,('Traditional Attrition'!BM56+BN188)*(1-IF(BN$2-$F56&lt;=12,SUMIFS('Attrition Modeling'!$D:$D,'Attrition Modeling'!$B:$B,'Traditional Attrition'!$E56,'Attrition Modeling'!$C:$C,'Traditional Attrition'!BN$1),VLOOKUP('Traditional Attrition'!BN$2-'Traditional Attrition'!$F56-1,'Traditional Attrition'!$A$7:$C$161,2,FALSE)*VLOOKUP(BN$1,'Attrition Modeling'!$L$15:$N$27,IF(BN$2-$F56&lt;=24,2,3),FALSE))*(1+Projection!BP$16)*(1+IF(BN188&gt;0,'Attrition Modeling'!$N$9,0))),0))</f>
        <v>7194.2109986057158</v>
      </c>
      <c r="BO56" s="799">
        <f>IF(BO$2=$F56+1,Monthly!BK$21,IF(BO$2&gt;$F56+1,('Traditional Attrition'!BN56+BO188)*(1-IF(BO$2-$F56&lt;=12,SUMIFS('Attrition Modeling'!$D:$D,'Attrition Modeling'!$B:$B,'Traditional Attrition'!$E56,'Attrition Modeling'!$C:$C,'Traditional Attrition'!BO$1),VLOOKUP('Traditional Attrition'!BO$2-'Traditional Attrition'!$F56-1,'Traditional Attrition'!$A$7:$C$161,2,FALSE)*VLOOKUP(BO$1,'Attrition Modeling'!$L$15:$N$27,IF(BO$2-$F56&lt;=24,2,3),FALSE))*(1+Projection!BV$16)*(1+IF(BO188&gt;0,'Attrition Modeling'!$N$9,0))),0))</f>
        <v>6641.0643018976689</v>
      </c>
      <c r="BP56" s="799">
        <f>IF(BP$2=$F56+1,Monthly!BL$21,IF(BP$2&gt;$F56+1,('Traditional Attrition'!BO56+BP188)*(1-IF(BP$2-$F56&lt;=12,SUMIFS('Attrition Modeling'!$D:$D,'Attrition Modeling'!$B:$B,'Traditional Attrition'!$E56,'Attrition Modeling'!$C:$C,'Traditional Attrition'!BP$1),VLOOKUP('Traditional Attrition'!BP$2-'Traditional Attrition'!$F56-1,'Traditional Attrition'!$A$7:$C$161,2,FALSE)*VLOOKUP(BP$1,'Attrition Modeling'!$L$15:$N$27,IF(BP$2-$F56&lt;=24,2,3),FALSE))*(1+Projection!BW$16)*(1+IF(BP188&gt;0,'Attrition Modeling'!$N$9,0))),0))</f>
        <v>6211.0958324313933</v>
      </c>
      <c r="BQ56" s="799">
        <f>IF(BQ$2=$F56+1,Monthly!BM$21,IF(BQ$2&gt;$F56+1,('Traditional Attrition'!BP56+BQ188)*(1-IF(BQ$2-$F56&lt;=12,SUMIFS('Attrition Modeling'!$D:$D,'Attrition Modeling'!$B:$B,'Traditional Attrition'!$E56,'Attrition Modeling'!$C:$C,'Traditional Attrition'!BQ$1),VLOOKUP('Traditional Attrition'!BQ$2-'Traditional Attrition'!$F56-1,'Traditional Attrition'!$A$7:$C$161,2,FALSE)*VLOOKUP(BQ$1,'Attrition Modeling'!$L$15:$N$27,IF(BQ$2-$F56&lt;=24,2,3),FALSE))*(1+Projection!BX$16)*(1+IF(BQ188&gt;0,'Attrition Modeling'!$N$9,0))),0))</f>
        <v>5862.0763454291591</v>
      </c>
      <c r="BR56" s="799">
        <f>IF(BR$2=$F56+1,Monthly!BN$21,IF(BR$2&gt;$F56+1,('Traditional Attrition'!BQ56+BR188)*(1-IF(BR$2-$F56&lt;=12,SUMIFS('Attrition Modeling'!$D:$D,'Attrition Modeling'!$B:$B,'Traditional Attrition'!$E56,'Attrition Modeling'!$C:$C,'Traditional Attrition'!BR$1),VLOOKUP('Traditional Attrition'!BR$2-'Traditional Attrition'!$F56-1,'Traditional Attrition'!$A$7:$C$161,2,FALSE)*VLOOKUP(BR$1,'Attrition Modeling'!$L$15:$N$27,IF(BR$2-$F56&lt;=24,2,3),FALSE))*(1+Projection!BY$16)*(1+IF(BR188&gt;0,'Attrition Modeling'!$N$9,0))),0))</f>
        <v>5527.8002935663435</v>
      </c>
      <c r="BS56" s="799">
        <f>IF(BS$2=$F56+1,Monthly!BO$21,IF(BS$2&gt;$F56+1,('Traditional Attrition'!BR56+BS188)*(1-IF(BS$2-$F56&lt;=12,SUMIFS('Attrition Modeling'!$D:$D,'Attrition Modeling'!$B:$B,'Traditional Attrition'!$E56,'Attrition Modeling'!$C:$C,'Traditional Attrition'!BS$1),VLOOKUP('Traditional Attrition'!BS$2-'Traditional Attrition'!$F56-1,'Traditional Attrition'!$A$7:$C$161,2,FALSE)*VLOOKUP(BS$1,'Attrition Modeling'!$L$15:$N$27,IF(BS$2-$F56&lt;=24,2,3),FALSE))*(1+Projection!BZ$16)*(1+IF(BS188&gt;0,'Attrition Modeling'!$N$9,0))),0))</f>
        <v>5231.7036155634596</v>
      </c>
      <c r="BT56" s="799">
        <f>IF(BT$2=$F56+1,Monthly!#REF!,IF(BT$2&gt;$F56+1,('Traditional Attrition'!BS56+BT188)*(1-IF(BT$2-$F56&lt;=12,SUMIFS('Attrition Modeling'!$D:$D,'Attrition Modeling'!$B:$B,'Traditional Attrition'!$E56,'Attrition Modeling'!$C:$C,'Traditional Attrition'!BT$1),VLOOKUP('Traditional Attrition'!BT$2-'Traditional Attrition'!$F56-1,'Traditional Attrition'!$A$7:$C$161,2,FALSE)*VLOOKUP(BT$1,'Attrition Modeling'!$L$15:$N$27,IF(BT$2-$F56&lt;=24,2,3),FALSE))*(1+Projection!CA$16)*(1+IF(BT188&gt;0,'Attrition Modeling'!$N$9,0))),0))</f>
        <v>5102.4104314305932</v>
      </c>
      <c r="BU56" s="799">
        <f>IF(BU$2=$F56+1,Monthly!#REF!,IF(BU$2&gt;$F56+1,('Traditional Attrition'!BT56+BU188)*(1-IF(BU$2-$F56&lt;=12,SUMIFS('Attrition Modeling'!$D:$D,'Attrition Modeling'!$B:$B,'Traditional Attrition'!$E56,'Attrition Modeling'!$C:$C,'Traditional Attrition'!BU$1),VLOOKUP('Traditional Attrition'!BU$2-'Traditional Attrition'!$F56-1,'Traditional Attrition'!$A$7:$C$161,2,FALSE)*VLOOKUP(BU$1,'Attrition Modeling'!$L$15:$N$27,IF(BU$2-$F56&lt;=24,2,3),FALSE))*(1+Projection!CB$16)*(1+IF(BU188&gt;0,'Attrition Modeling'!$N$9,0))),0))</f>
        <v>4813.3091824240037</v>
      </c>
    </row>
    <row r="57" spans="1:73" ht="14.25" customHeight="1" x14ac:dyDescent="0.2">
      <c r="A57" s="9">
        <v>50</v>
      </c>
      <c r="B57" s="25">
        <f>MAX('Attrition Modeling'!H54,$C$3)*(1-Summary!$C$20)</f>
        <v>2.4992696715136584E-2</v>
      </c>
      <c r="C57" s="24" t="e">
        <f t="shared" si="4"/>
        <v>#DIV/0!</v>
      </c>
      <c r="E57" s="11">
        <f t="shared" si="2"/>
        <v>6</v>
      </c>
      <c r="F57" s="11">
        <f t="shared" si="3"/>
        <v>54</v>
      </c>
      <c r="G57" s="799"/>
      <c r="H57" s="799">
        <f>IF(H$2=$F57+1,Monthly!D$21,IF(H$2&gt;$F57+1,('Traditional Attrition'!G57+H189)*(1-IF(H$2-$F57&lt;=12,SUMIFS('Attrition Modeling'!$D:$D,'Attrition Modeling'!$B:$B,'Traditional Attrition'!$E57,'Attrition Modeling'!$C:$C,'Traditional Attrition'!H$1),VLOOKUP('Traditional Attrition'!H$2-'Traditional Attrition'!$F57-1,'Traditional Attrition'!$A$7:$C$161,2,FALSE)*VLOOKUP(H$1,'Attrition Modeling'!$L$15:$N$27,IF(H$2-$F57&lt;=24,2,3),FALSE))*(1+Projection!J$16)*(1+IF(H189&gt;0,'Attrition Modeling'!$N$9,0))),0))</f>
        <v>0</v>
      </c>
      <c r="I57" s="799">
        <f>IF(I$2=$F57+1,Monthly!E$21,IF(I$2&gt;$F57+1,('Traditional Attrition'!H57+I189)*(1-IF(I$2-$F57&lt;=12,SUMIFS('Attrition Modeling'!$D:$D,'Attrition Modeling'!$B:$B,'Traditional Attrition'!$E57,'Attrition Modeling'!$C:$C,'Traditional Attrition'!I$1),VLOOKUP('Traditional Attrition'!I$2-'Traditional Attrition'!$F57-1,'Traditional Attrition'!$A$7:$C$161,2,FALSE)*VLOOKUP(I$1,'Attrition Modeling'!$L$15:$N$27,IF(I$2-$F57&lt;=24,2,3),FALSE))*(1+Projection!K$16)*(1+IF(I189&gt;0,'Attrition Modeling'!$N$9,0))),0))</f>
        <v>0</v>
      </c>
      <c r="J57" s="799">
        <f>IF(J$2=$F57+1,Monthly!F$21,IF(J$2&gt;$F57+1,('Traditional Attrition'!I57+J189)*(1-IF(J$2-$F57&lt;=12,SUMIFS('Attrition Modeling'!$D:$D,'Attrition Modeling'!$B:$B,'Traditional Attrition'!$E57,'Attrition Modeling'!$C:$C,'Traditional Attrition'!J$1),VLOOKUP('Traditional Attrition'!J$2-'Traditional Attrition'!$F57-1,'Traditional Attrition'!$A$7:$C$161,2,FALSE)*VLOOKUP(J$1,'Attrition Modeling'!$L$15:$N$27,IF(J$2-$F57&lt;=24,2,3),FALSE))*(1+Projection!L$16)*(1+IF(J189&gt;0,'Attrition Modeling'!$N$9,0))),0))</f>
        <v>0</v>
      </c>
      <c r="K57" s="799">
        <f>IF(K$2=$F57+1,Monthly!G$21,IF(K$2&gt;$F57+1,('Traditional Attrition'!J57+K189)*(1-IF(K$2-$F57&lt;=12,SUMIFS('Attrition Modeling'!$D:$D,'Attrition Modeling'!$B:$B,'Traditional Attrition'!$E57,'Attrition Modeling'!$C:$C,'Traditional Attrition'!K$1),VLOOKUP('Traditional Attrition'!K$2-'Traditional Attrition'!$F57-1,'Traditional Attrition'!$A$7:$C$161,2,FALSE)*VLOOKUP(K$1,'Attrition Modeling'!$L$15:$N$27,IF(K$2-$F57&lt;=24,2,3),FALSE))*(1+Projection!M$16)*(1+IF(K189&gt;0,'Attrition Modeling'!$N$9,0))),0))</f>
        <v>0</v>
      </c>
      <c r="L57" s="799">
        <f>IF(L$2=$F57+1,Monthly!H$21,IF(L$2&gt;$F57+1,('Traditional Attrition'!K57+L189)*(1-IF(L$2-$F57&lt;=12,SUMIFS('Attrition Modeling'!$D:$D,'Attrition Modeling'!$B:$B,'Traditional Attrition'!$E57,'Attrition Modeling'!$C:$C,'Traditional Attrition'!L$1),VLOOKUP('Traditional Attrition'!L$2-'Traditional Attrition'!$F57-1,'Traditional Attrition'!$A$7:$C$161,2,FALSE)*VLOOKUP(L$1,'Attrition Modeling'!$L$15:$N$27,IF(L$2-$F57&lt;=24,2,3),FALSE))*(1+Projection!N$16)*(1+IF(L189&gt;0,'Attrition Modeling'!$N$9,0))),0))</f>
        <v>0</v>
      </c>
      <c r="M57" s="799">
        <f>IF(M$2=$F57+1,Monthly!I$21,IF(M$2&gt;$F57+1,('Traditional Attrition'!L57+M189)*(1-IF(M$2-$F57&lt;=12,SUMIFS('Attrition Modeling'!$D:$D,'Attrition Modeling'!$B:$B,'Traditional Attrition'!$E57,'Attrition Modeling'!$C:$C,'Traditional Attrition'!M$1),VLOOKUP('Traditional Attrition'!M$2-'Traditional Attrition'!$F57-1,'Traditional Attrition'!$A$7:$C$161,2,FALSE)*VLOOKUP(M$1,'Attrition Modeling'!$L$15:$N$27,IF(M$2-$F57&lt;=24,2,3),FALSE))*(1+Projection!O$16)*(1+IF(M189&gt;0,'Attrition Modeling'!$N$9,0))),0))</f>
        <v>0</v>
      </c>
      <c r="N57" s="799">
        <f>IF(N$2=$F57+1,Monthly!J$21,IF(N$2&gt;$F57+1,('Traditional Attrition'!M57+N189)*(1-IF(N$2-$F57&lt;=12,SUMIFS('Attrition Modeling'!$D:$D,'Attrition Modeling'!$B:$B,'Traditional Attrition'!$E57,'Attrition Modeling'!$C:$C,'Traditional Attrition'!N$1),VLOOKUP('Traditional Attrition'!N$2-'Traditional Attrition'!$F57-1,'Traditional Attrition'!$A$7:$C$161,2,FALSE)*VLOOKUP(N$1,'Attrition Modeling'!$L$15:$N$27,IF(N$2-$F57&lt;=24,2,3),FALSE))*(1+Projection!P$16)*(1+IF(N189&gt;0,'Attrition Modeling'!$N$9,0))),0))</f>
        <v>0</v>
      </c>
      <c r="O57" s="799">
        <f>IF(O$2=$F57+1,Monthly!K$21,IF(O$2&gt;$F57+1,('Traditional Attrition'!N57+O189)*(1-IF(O$2-$F57&lt;=12,SUMIFS('Attrition Modeling'!$D:$D,'Attrition Modeling'!$B:$B,'Traditional Attrition'!$E57,'Attrition Modeling'!$C:$C,'Traditional Attrition'!O$1),VLOOKUP('Traditional Attrition'!O$2-'Traditional Attrition'!$F57-1,'Traditional Attrition'!$A$7:$C$161,2,FALSE)*VLOOKUP(O$1,'Attrition Modeling'!$L$15:$N$27,IF(O$2-$F57&lt;=24,2,3),FALSE))*(1+Projection!Q$16)*(1+IF(O189&gt;0,'Attrition Modeling'!$N$9,0))),0))</f>
        <v>0</v>
      </c>
      <c r="P57" s="799">
        <f>IF(P$2=$F57+1,Monthly!L$21,IF(P$2&gt;$F57+1,('Traditional Attrition'!O57+P189)*(1-IF(P$2-$F57&lt;=12,SUMIFS('Attrition Modeling'!$D:$D,'Attrition Modeling'!$B:$B,'Traditional Attrition'!$E57,'Attrition Modeling'!$C:$C,'Traditional Attrition'!P$1),VLOOKUP('Traditional Attrition'!P$2-'Traditional Attrition'!$F57-1,'Traditional Attrition'!$A$7:$C$161,2,FALSE)*VLOOKUP(P$1,'Attrition Modeling'!$L$15:$N$27,IF(P$2-$F57&lt;=24,2,3),FALSE))*(1+Projection!R$16)*(1+IF(P189&gt;0,'Attrition Modeling'!$N$9,0))),0))</f>
        <v>0</v>
      </c>
      <c r="Q57" s="799">
        <f>IF(Q$2=$F57+1,Monthly!M$21,IF(Q$2&gt;$F57+1,('Traditional Attrition'!P57+Q189)*(1-IF(Q$2-$F57&lt;=12,SUMIFS('Attrition Modeling'!$D:$D,'Attrition Modeling'!$B:$B,'Traditional Attrition'!$E57,'Attrition Modeling'!$C:$C,'Traditional Attrition'!Q$1),VLOOKUP('Traditional Attrition'!Q$2-'Traditional Attrition'!$F57-1,'Traditional Attrition'!$A$7:$C$161,2,FALSE)*VLOOKUP(Q$1,'Attrition Modeling'!$L$15:$N$27,IF(Q$2-$F57&lt;=24,2,3),FALSE))*(1+Projection!S$16)*(1+IF(Q189&gt;0,'Attrition Modeling'!$N$9,0))),0))</f>
        <v>0</v>
      </c>
      <c r="R57" s="799">
        <f>IF(R$2=$F57+1,Monthly!N$21,IF(R$2&gt;$F57+1,('Traditional Attrition'!Q57+R189)*(1-IF(R$2-$F57&lt;=12,SUMIFS('Attrition Modeling'!$D:$D,'Attrition Modeling'!$B:$B,'Traditional Attrition'!$E57,'Attrition Modeling'!$C:$C,'Traditional Attrition'!R$1),VLOOKUP('Traditional Attrition'!R$2-'Traditional Attrition'!$F57-1,'Traditional Attrition'!$A$7:$C$161,2,FALSE)*VLOOKUP(R$1,'Attrition Modeling'!$L$15:$N$27,IF(R$2-$F57&lt;=24,2,3),FALSE))*(1+Projection!T$16)*(1+IF(R189&gt;0,'Attrition Modeling'!$N$9,0))),0))</f>
        <v>0</v>
      </c>
      <c r="S57" s="799">
        <f>IF(S$2=$F57+1,Monthly!O$21,IF(S$2&gt;$F57+1,('Traditional Attrition'!R57+S189)*(1-IF(S$2-$F57&lt;=12,SUMIFS('Attrition Modeling'!$D:$D,'Attrition Modeling'!$B:$B,'Traditional Attrition'!$E57,'Attrition Modeling'!$C:$C,'Traditional Attrition'!S$1),VLOOKUP('Traditional Attrition'!S$2-'Traditional Attrition'!$F57-1,'Traditional Attrition'!$A$7:$C$161,2,FALSE)*VLOOKUP(S$1,'Attrition Modeling'!$L$15:$N$27,IF(S$2-$F57&lt;=24,2,3),FALSE))*(1+Projection!U$16)*(1+IF(S189&gt;0,'Attrition Modeling'!$N$9,0))),0))</f>
        <v>0</v>
      </c>
      <c r="T57" s="799">
        <f>IF(T$2=$F57+1,Monthly!P$21,IF(T$2&gt;$F57+1,('Traditional Attrition'!S57+T189)*(1-IF(T$2-$F57&lt;=12,SUMIFS('Attrition Modeling'!$D:$D,'Attrition Modeling'!$B:$B,'Traditional Attrition'!$E57,'Attrition Modeling'!$C:$C,'Traditional Attrition'!T$1),VLOOKUP('Traditional Attrition'!T$2-'Traditional Attrition'!$F57-1,'Traditional Attrition'!$A$7:$C$161,2,FALSE)*VLOOKUP(T$1,'Attrition Modeling'!$L$15:$N$27,IF(T$2-$F57&lt;=24,2,3),FALSE))*(1+Projection!V$16)*(1+IF(T189&gt;0,'Attrition Modeling'!$N$9,0))),0))</f>
        <v>0</v>
      </c>
      <c r="U57" s="799">
        <f>IF(U$2=$F57+1,Monthly!Q$21,IF(U$2&gt;$F57+1,('Traditional Attrition'!T57+U189)*(1-IF(U$2-$F57&lt;=12,SUMIFS('Attrition Modeling'!$D:$D,'Attrition Modeling'!$B:$B,'Traditional Attrition'!$E57,'Attrition Modeling'!$C:$C,'Traditional Attrition'!U$1),VLOOKUP('Traditional Attrition'!U$2-'Traditional Attrition'!$F57-1,'Traditional Attrition'!$A$7:$C$161,2,FALSE)*VLOOKUP(U$1,'Attrition Modeling'!$L$15:$N$27,IF(U$2-$F57&lt;=24,2,3),FALSE))*(1+Projection!W$16)*(1+IF(U189&gt;0,'Attrition Modeling'!$N$9,0))),0))</f>
        <v>0</v>
      </c>
      <c r="V57" s="799">
        <f>IF(V$2=$F57+1,Monthly!R$21,IF(V$2&gt;$F57+1,('Traditional Attrition'!U57+V189)*(1-IF(V$2-$F57&lt;=12,SUMIFS('Attrition Modeling'!$D:$D,'Attrition Modeling'!$B:$B,'Traditional Attrition'!$E57,'Attrition Modeling'!$C:$C,'Traditional Attrition'!V$1),VLOOKUP('Traditional Attrition'!V$2-'Traditional Attrition'!$F57-1,'Traditional Attrition'!$A$7:$C$161,2,FALSE)*VLOOKUP(V$1,'Attrition Modeling'!$L$15:$N$27,IF(V$2-$F57&lt;=24,2,3),FALSE))*(1+Projection!X$16)*(1+IF(V189&gt;0,'Attrition Modeling'!$N$9,0))),0))</f>
        <v>0</v>
      </c>
      <c r="W57" s="799">
        <f>IF(W$2=$F57+1,Monthly!S$21,IF(W$2&gt;$F57+1,('Traditional Attrition'!V57+W189)*(1-IF(W$2-$F57&lt;=12,SUMIFS('Attrition Modeling'!$D:$D,'Attrition Modeling'!$B:$B,'Traditional Attrition'!$E57,'Attrition Modeling'!$C:$C,'Traditional Attrition'!W$1),VLOOKUP('Traditional Attrition'!W$2-'Traditional Attrition'!$F57-1,'Traditional Attrition'!$A$7:$C$161,2,FALSE)*VLOOKUP(W$1,'Attrition Modeling'!$L$15:$N$27,IF(W$2-$F57&lt;=24,2,3),FALSE))*(1+Projection!Y$16)*(1+IF(W189&gt;0,'Attrition Modeling'!$N$9,0))),0))</f>
        <v>0</v>
      </c>
      <c r="X57" s="799">
        <f>IF(X$2=$F57+1,Monthly!T$21,IF(X$2&gt;$F57+1,('Traditional Attrition'!W57+X189)*(1-IF(X$2-$F57&lt;=12,SUMIFS('Attrition Modeling'!$D:$D,'Attrition Modeling'!$B:$B,'Traditional Attrition'!$E57,'Attrition Modeling'!$C:$C,'Traditional Attrition'!X$1),VLOOKUP('Traditional Attrition'!X$2-'Traditional Attrition'!$F57-1,'Traditional Attrition'!$A$7:$C$161,2,FALSE)*VLOOKUP(X$1,'Attrition Modeling'!$L$15:$N$27,IF(X$2-$F57&lt;=24,2,3),FALSE))*(1+Projection!Z$16)*(1+IF(X189&gt;0,'Attrition Modeling'!$N$9,0))),0))</f>
        <v>0</v>
      </c>
      <c r="Y57" s="799">
        <f>IF(Y$2=$F57+1,Monthly!U$21,IF(Y$2&gt;$F57+1,('Traditional Attrition'!X57+Y189)*(1-IF(Y$2-$F57&lt;=12,SUMIFS('Attrition Modeling'!$D:$D,'Attrition Modeling'!$B:$B,'Traditional Attrition'!$E57,'Attrition Modeling'!$C:$C,'Traditional Attrition'!Y$1),VLOOKUP('Traditional Attrition'!Y$2-'Traditional Attrition'!$F57-1,'Traditional Attrition'!$A$7:$C$161,2,FALSE)*VLOOKUP(Y$1,'Attrition Modeling'!$L$15:$N$27,IF(Y$2-$F57&lt;=24,2,3),FALSE))*(1+Projection!AA$16)*(1+IF(Y189&gt;0,'Attrition Modeling'!$N$9,0))),0))</f>
        <v>0</v>
      </c>
      <c r="Z57" s="799">
        <f>IF(Z$2=$F57+1,Monthly!V$21,IF(Z$2&gt;$F57+1,('Traditional Attrition'!Y57+Z189)*(1-IF(Z$2-$F57&lt;=12,SUMIFS('Attrition Modeling'!$D:$D,'Attrition Modeling'!$B:$B,'Traditional Attrition'!$E57,'Attrition Modeling'!$C:$C,'Traditional Attrition'!Z$1),VLOOKUP('Traditional Attrition'!Z$2-'Traditional Attrition'!$F57-1,'Traditional Attrition'!$A$7:$C$161,2,FALSE)*VLOOKUP(Z$1,'Attrition Modeling'!$L$15:$N$27,IF(Z$2-$F57&lt;=24,2,3),FALSE))*(1+Projection!AB$16)*(1+IF(Z189&gt;0,'Attrition Modeling'!$N$9,0))),0))</f>
        <v>0</v>
      </c>
      <c r="AA57" s="799">
        <f>IF(AA$2=$F57+1,Monthly!W$21,IF(AA$2&gt;$F57+1,('Traditional Attrition'!Z57+AA189)*(1-IF(AA$2-$F57&lt;=12,SUMIFS('Attrition Modeling'!$D:$D,'Attrition Modeling'!$B:$B,'Traditional Attrition'!$E57,'Attrition Modeling'!$C:$C,'Traditional Attrition'!AA$1),VLOOKUP('Traditional Attrition'!AA$2-'Traditional Attrition'!$F57-1,'Traditional Attrition'!$A$7:$C$161,2,FALSE)*VLOOKUP(AA$1,'Attrition Modeling'!$L$15:$N$27,IF(AA$2-$F57&lt;=24,2,3),FALSE))*(1+Projection!AC$16)*(1+IF(AA189&gt;0,'Attrition Modeling'!$N$9,0))),0))</f>
        <v>0</v>
      </c>
      <c r="AB57" s="799">
        <f>IF(AB$2=$F57+1,Monthly!X$21,IF(AB$2&gt;$F57+1,('Traditional Attrition'!AA57+AB189)*(1-IF(AB$2-$F57&lt;=12,SUMIFS('Attrition Modeling'!$D:$D,'Attrition Modeling'!$B:$B,'Traditional Attrition'!$E57,'Attrition Modeling'!$C:$C,'Traditional Attrition'!AB$1),VLOOKUP('Traditional Attrition'!AB$2-'Traditional Attrition'!$F57-1,'Traditional Attrition'!$A$7:$C$161,2,FALSE)*VLOOKUP(AB$1,'Attrition Modeling'!$L$15:$N$27,IF(AB$2-$F57&lt;=24,2,3),FALSE))*(1+Projection!AD$16)*(1+IF(AB189&gt;0,'Attrition Modeling'!$N$9,0))),0))</f>
        <v>0</v>
      </c>
      <c r="AC57" s="799">
        <f>IF(AC$2=$F57+1,Monthly!Y$21,IF(AC$2&gt;$F57+1,('Traditional Attrition'!AB57+AC189)*(1-IF(AC$2-$F57&lt;=12,SUMIFS('Attrition Modeling'!$D:$D,'Attrition Modeling'!$B:$B,'Traditional Attrition'!$E57,'Attrition Modeling'!$C:$C,'Traditional Attrition'!AC$1),VLOOKUP('Traditional Attrition'!AC$2-'Traditional Attrition'!$F57-1,'Traditional Attrition'!$A$7:$C$161,2,FALSE)*VLOOKUP(AC$1,'Attrition Modeling'!$L$15:$N$27,IF(AC$2-$F57&lt;=24,2,3),FALSE))*(1+Projection!AE$16)*(1+IF(AC189&gt;0,'Attrition Modeling'!$N$9,0))),0))</f>
        <v>0</v>
      </c>
      <c r="AD57" s="799">
        <f>IF(AD$2=$F57+1,Monthly!Z$21,IF(AD$2&gt;$F57+1,('Traditional Attrition'!AC57+AD189)*(1-IF(AD$2-$F57&lt;=12,SUMIFS('Attrition Modeling'!$D:$D,'Attrition Modeling'!$B:$B,'Traditional Attrition'!$E57,'Attrition Modeling'!$C:$C,'Traditional Attrition'!AD$1),VLOOKUP('Traditional Attrition'!AD$2-'Traditional Attrition'!$F57-1,'Traditional Attrition'!$A$7:$C$161,2,FALSE)*VLOOKUP(AD$1,'Attrition Modeling'!$L$15:$N$27,IF(AD$2-$F57&lt;=24,2,3),FALSE))*(1+Projection!AF$16)*(1+IF(AD189&gt;0,'Attrition Modeling'!$N$9,0))),0))</f>
        <v>0</v>
      </c>
      <c r="AE57" s="799">
        <f>IF(AE$2=$F57+1,Monthly!AA$21,IF(AE$2&gt;$F57+1,('Traditional Attrition'!AD57+AE189)*(1-IF(AE$2-$F57&lt;=12,SUMIFS('Attrition Modeling'!$D:$D,'Attrition Modeling'!$B:$B,'Traditional Attrition'!$E57,'Attrition Modeling'!$C:$C,'Traditional Attrition'!AE$1),VLOOKUP('Traditional Attrition'!AE$2-'Traditional Attrition'!$F57-1,'Traditional Attrition'!$A$7:$C$161,2,FALSE)*VLOOKUP(AE$1,'Attrition Modeling'!$L$15:$N$27,IF(AE$2-$F57&lt;=24,2,3),FALSE))*(1+Projection!AG$16)*(1+IF(AE189&gt;0,'Attrition Modeling'!$N$9,0))),0))</f>
        <v>0</v>
      </c>
      <c r="AF57" s="799">
        <f>IF(AF$2=$F57+1,Monthly!AB$21,IF(AF$2&gt;$F57+1,('Traditional Attrition'!AE57+AF189)*(1-IF(AF$2-$F57&lt;=12,SUMIFS('Attrition Modeling'!$D:$D,'Attrition Modeling'!$B:$B,'Traditional Attrition'!$E57,'Attrition Modeling'!$C:$C,'Traditional Attrition'!AF$1),VLOOKUP('Traditional Attrition'!AF$2-'Traditional Attrition'!$F57-1,'Traditional Attrition'!$A$7:$C$161,2,FALSE)*VLOOKUP(AF$1,'Attrition Modeling'!$L$15:$N$27,IF(AF$2-$F57&lt;=24,2,3),FALSE))*(1+Projection!AH$16)*(1+IF(AF189&gt;0,'Attrition Modeling'!$N$9,0))),0))</f>
        <v>0</v>
      </c>
      <c r="AG57" s="799">
        <f>IF(AG$2=$F57+1,Monthly!AC$21,IF(AG$2&gt;$F57+1,('Traditional Attrition'!AF57+AG189)*(1-IF(AG$2-$F57&lt;=12,SUMIFS('Attrition Modeling'!$D:$D,'Attrition Modeling'!$B:$B,'Traditional Attrition'!$E57,'Attrition Modeling'!$C:$C,'Traditional Attrition'!AG$1),VLOOKUP('Traditional Attrition'!AG$2-'Traditional Attrition'!$F57-1,'Traditional Attrition'!$A$7:$C$161,2,FALSE)*VLOOKUP(AG$1,'Attrition Modeling'!$L$15:$N$27,IF(AG$2-$F57&lt;=24,2,3),FALSE))*(1+Projection!AI$16)*(1+IF(AG189&gt;0,'Attrition Modeling'!$N$9,0))),0))</f>
        <v>0</v>
      </c>
      <c r="AH57" s="799">
        <f>IF(AH$2=$F57+1,Monthly!AD$21,IF(AH$2&gt;$F57+1,('Traditional Attrition'!AG57+AH189)*(1-IF(AH$2-$F57&lt;=12,SUMIFS('Attrition Modeling'!$D:$D,'Attrition Modeling'!$B:$B,'Traditional Attrition'!$E57,'Attrition Modeling'!$C:$C,'Traditional Attrition'!AH$1),VLOOKUP('Traditional Attrition'!AH$2-'Traditional Attrition'!$F57-1,'Traditional Attrition'!$A$7:$C$161,2,FALSE)*VLOOKUP(AH$1,'Attrition Modeling'!$L$15:$N$27,IF(AH$2-$F57&lt;=24,2,3),FALSE))*(1+Projection!AJ$16)*(1+IF(AH189&gt;0,'Attrition Modeling'!$N$9,0))),0))</f>
        <v>0</v>
      </c>
      <c r="AI57" s="799">
        <f>IF(AI$2=$F57+1,Monthly!AE$21,IF(AI$2&gt;$F57+1,('Traditional Attrition'!AH57+AI189)*(1-IF(AI$2-$F57&lt;=12,SUMIFS('Attrition Modeling'!$D:$D,'Attrition Modeling'!$B:$B,'Traditional Attrition'!$E57,'Attrition Modeling'!$C:$C,'Traditional Attrition'!AI$1),VLOOKUP('Traditional Attrition'!AI$2-'Traditional Attrition'!$F57-1,'Traditional Attrition'!$A$7:$C$161,2,FALSE)*VLOOKUP(AI$1,'Attrition Modeling'!$L$15:$N$27,IF(AI$2-$F57&lt;=24,2,3),FALSE))*(1+Projection!AK$16)*(1+IF(AI189&gt;0,'Attrition Modeling'!$N$9,0))),0))</f>
        <v>0</v>
      </c>
      <c r="AJ57" s="799">
        <f>IF(AJ$2=$F57+1,Monthly!AF$21,IF(AJ$2&gt;$F57+1,('Traditional Attrition'!AI57+AJ189)*(1-IF(AJ$2-$F57&lt;=12,SUMIFS('Attrition Modeling'!$D:$D,'Attrition Modeling'!$B:$B,'Traditional Attrition'!$E57,'Attrition Modeling'!$C:$C,'Traditional Attrition'!AJ$1),VLOOKUP('Traditional Attrition'!AJ$2-'Traditional Attrition'!$F57-1,'Traditional Attrition'!$A$7:$C$161,2,FALSE)*VLOOKUP(AJ$1,'Attrition Modeling'!$L$15:$N$27,IF(AJ$2-$F57&lt;=24,2,3),FALSE))*(1+Projection!AL$16)*(1+IF(AJ189&gt;0,'Attrition Modeling'!$N$9,0))),0))</f>
        <v>0</v>
      </c>
      <c r="AK57" s="799">
        <f>IF(AK$2=$F57+1,Monthly!AG$21,IF(AK$2&gt;$F57+1,('Traditional Attrition'!AJ57+AK189)*(1-IF(AK$2-$F57&lt;=12,SUMIFS('Attrition Modeling'!$D:$D,'Attrition Modeling'!$B:$B,'Traditional Attrition'!$E57,'Attrition Modeling'!$C:$C,'Traditional Attrition'!AK$1),VLOOKUP('Traditional Attrition'!AK$2-'Traditional Attrition'!$F57-1,'Traditional Attrition'!$A$7:$C$161,2,FALSE)*VLOOKUP(AK$1,'Attrition Modeling'!$L$15:$N$27,IF(AK$2-$F57&lt;=24,2,3),FALSE))*(1+Projection!AM$16)*(1+IF(AK189&gt;0,'Attrition Modeling'!$N$9,0))),0))</f>
        <v>0</v>
      </c>
      <c r="AL57" s="799">
        <f>IF(AL$2=$F57+1,Monthly!AH$21,IF(AL$2&gt;$F57+1,('Traditional Attrition'!AK57+AL189)*(1-IF(AL$2-$F57&lt;=12,SUMIFS('Attrition Modeling'!$D:$D,'Attrition Modeling'!$B:$B,'Traditional Attrition'!$E57,'Attrition Modeling'!$C:$C,'Traditional Attrition'!AL$1),VLOOKUP('Traditional Attrition'!AL$2-'Traditional Attrition'!$F57-1,'Traditional Attrition'!$A$7:$C$161,2,FALSE)*VLOOKUP(AL$1,'Attrition Modeling'!$L$15:$N$27,IF(AL$2-$F57&lt;=24,2,3),FALSE))*(1+Projection!AN$16)*(1+IF(AL189&gt;0,'Attrition Modeling'!$N$9,0))),0))</f>
        <v>0</v>
      </c>
      <c r="AM57" s="799">
        <f>IF(AM$2=$F57+1,Monthly!AI$21,IF(AM$2&gt;$F57+1,('Traditional Attrition'!AL57+AM189)*(1-IF(AM$2-$F57&lt;=12,SUMIFS('Attrition Modeling'!$D:$D,'Attrition Modeling'!$B:$B,'Traditional Attrition'!$E57,'Attrition Modeling'!$C:$C,'Traditional Attrition'!AM$1),VLOOKUP('Traditional Attrition'!AM$2-'Traditional Attrition'!$F57-1,'Traditional Attrition'!$A$7:$C$161,2,FALSE)*VLOOKUP(AM$1,'Attrition Modeling'!$L$15:$N$27,IF(AM$2-$F57&lt;=24,2,3),FALSE))*(1+Projection!AO$16)*(1+IF(AM189&gt;0,'Attrition Modeling'!$N$9,0))),0))</f>
        <v>0</v>
      </c>
      <c r="AN57" s="799">
        <f>IF(AN$2=$F57+1,Monthly!AJ$21,IF(AN$2&gt;$F57+1,('Traditional Attrition'!AM57+AN189)*(1-IF(AN$2-$F57&lt;=12,SUMIFS('Attrition Modeling'!$D:$D,'Attrition Modeling'!$B:$B,'Traditional Attrition'!$E57,'Attrition Modeling'!$C:$C,'Traditional Attrition'!AN$1),VLOOKUP('Traditional Attrition'!AN$2-'Traditional Attrition'!$F57-1,'Traditional Attrition'!$A$7:$C$161,2,FALSE)*VLOOKUP(AN$1,'Attrition Modeling'!$L$15:$N$27,IF(AN$2-$F57&lt;=24,2,3),FALSE))*(1+Projection!AP$16)*(1+IF(AN189&gt;0,'Attrition Modeling'!$N$9,0))),0))</f>
        <v>0</v>
      </c>
      <c r="AO57" s="799">
        <f>IF(AO$2=$F57+1,Monthly!AK$21,IF(AO$2&gt;$F57+1,('Traditional Attrition'!AN57+AO189)*(1-IF(AO$2-$F57&lt;=12,SUMIFS('Attrition Modeling'!$D:$D,'Attrition Modeling'!$B:$B,'Traditional Attrition'!$E57,'Attrition Modeling'!$C:$C,'Traditional Attrition'!AO$1),VLOOKUP('Traditional Attrition'!AO$2-'Traditional Attrition'!$F57-1,'Traditional Attrition'!$A$7:$C$161,2,FALSE)*VLOOKUP(AO$1,'Attrition Modeling'!$L$15:$N$27,IF(AO$2-$F57&lt;=24,2,3),FALSE))*(1+Projection!AQ$16)*(1+IF(AO189&gt;0,'Attrition Modeling'!$N$9,0))),0))</f>
        <v>0</v>
      </c>
      <c r="AP57" s="799">
        <f>IF(AP$2=$F57+1,Monthly!AL$21,IF(AP$2&gt;$F57+1,('Traditional Attrition'!AO57+AP189)*(1-IF(AP$2-$F57&lt;=12,SUMIFS('Attrition Modeling'!$D:$D,'Attrition Modeling'!$B:$B,'Traditional Attrition'!$E57,'Attrition Modeling'!$C:$C,'Traditional Attrition'!AP$1),VLOOKUP('Traditional Attrition'!AP$2-'Traditional Attrition'!$F57-1,'Traditional Attrition'!$A$7:$C$161,2,FALSE)*VLOOKUP(AP$1,'Attrition Modeling'!$L$15:$N$27,IF(AP$2-$F57&lt;=24,2,3),FALSE))*(1+Projection!AR$16)*(1+IF(AP189&gt;0,'Attrition Modeling'!$N$9,0))),0))</f>
        <v>0</v>
      </c>
      <c r="AQ57" s="799">
        <f>IF(AQ$2=$F57+1,Monthly!AM$21,IF(AQ$2&gt;$F57+1,('Traditional Attrition'!AP57+AQ189)*(1-IF(AQ$2-$F57&lt;=12,SUMIFS('Attrition Modeling'!$D:$D,'Attrition Modeling'!$B:$B,'Traditional Attrition'!$E57,'Attrition Modeling'!$C:$C,'Traditional Attrition'!AQ$1),VLOOKUP('Traditional Attrition'!AQ$2-'Traditional Attrition'!$F57-1,'Traditional Attrition'!$A$7:$C$161,2,FALSE)*VLOOKUP(AQ$1,'Attrition Modeling'!$L$15:$N$27,IF(AQ$2-$F57&lt;=24,2,3),FALSE))*(1+Projection!AS$16)*(1+IF(AQ189&gt;0,'Attrition Modeling'!$N$9,0))),0))</f>
        <v>0</v>
      </c>
      <c r="AR57" s="799">
        <f>IF(AR$2=$F57+1,Monthly!AN$21,IF(AR$2&gt;$F57+1,('Traditional Attrition'!AQ57+AR189)*(1-IF(AR$2-$F57&lt;=12,SUMIFS('Attrition Modeling'!$D:$D,'Attrition Modeling'!$B:$B,'Traditional Attrition'!$E57,'Attrition Modeling'!$C:$C,'Traditional Attrition'!AR$1),VLOOKUP('Traditional Attrition'!AR$2-'Traditional Attrition'!$F57-1,'Traditional Attrition'!$A$7:$C$161,2,FALSE)*VLOOKUP(AR$1,'Attrition Modeling'!$L$15:$N$27,IF(AR$2-$F57&lt;=24,2,3),FALSE))*(1+Projection!AT$16)*(1+IF(AR189&gt;0,'Attrition Modeling'!$N$9,0))),0))</f>
        <v>0</v>
      </c>
      <c r="AS57" s="799">
        <f>IF(AS$2=$F57+1,Monthly!AO$21,IF(AS$2&gt;$F57+1,('Traditional Attrition'!AR57+AS189)*(1-IF(AS$2-$F57&lt;=12,SUMIFS('Attrition Modeling'!$D:$D,'Attrition Modeling'!$B:$B,'Traditional Attrition'!$E57,'Attrition Modeling'!$C:$C,'Traditional Attrition'!AS$1),VLOOKUP('Traditional Attrition'!AS$2-'Traditional Attrition'!$F57-1,'Traditional Attrition'!$A$7:$C$161,2,FALSE)*VLOOKUP(AS$1,'Attrition Modeling'!$L$15:$N$27,IF(AS$2-$F57&lt;=24,2,3),FALSE))*(1+Projection!AU$16)*(1+IF(AS189&gt;0,'Attrition Modeling'!$N$9,0))),0))</f>
        <v>0</v>
      </c>
      <c r="AT57" s="799">
        <f>IF(AT$2=$F57+1,Monthly!AP$21,IF(AT$2&gt;$F57+1,('Traditional Attrition'!AS57+AT189)*(1-IF(AT$2-$F57&lt;=12,SUMIFS('Attrition Modeling'!$D:$D,'Attrition Modeling'!$B:$B,'Traditional Attrition'!$E57,'Attrition Modeling'!$C:$C,'Traditional Attrition'!AT$1),VLOOKUP('Traditional Attrition'!AT$2-'Traditional Attrition'!$F57-1,'Traditional Attrition'!$A$7:$C$161,2,FALSE)*VLOOKUP(AT$1,'Attrition Modeling'!$L$15:$N$27,IF(AT$2-$F57&lt;=24,2,3),FALSE))*(1+Projection!AV$16)*(1+IF(AT189&gt;0,'Attrition Modeling'!$N$9,0))),0))</f>
        <v>0</v>
      </c>
      <c r="AU57" s="799">
        <f>IF(AU$2=$F57+1,Monthly!AQ$21,IF(AU$2&gt;$F57+1,('Traditional Attrition'!AT57+AU189)*(1-IF(AU$2-$F57&lt;=12,SUMIFS('Attrition Modeling'!$D:$D,'Attrition Modeling'!$B:$B,'Traditional Attrition'!$E57,'Attrition Modeling'!$C:$C,'Traditional Attrition'!AU$1),VLOOKUP('Traditional Attrition'!AU$2-'Traditional Attrition'!$F57-1,'Traditional Attrition'!$A$7:$C$161,2,FALSE)*VLOOKUP(AU$1,'Attrition Modeling'!$L$15:$N$27,IF(AU$2-$F57&lt;=24,2,3),FALSE))*(1+Projection!AW$16)*(1+IF(AU189&gt;0,'Attrition Modeling'!$N$9,0))),0))</f>
        <v>0</v>
      </c>
      <c r="AV57" s="799">
        <f>IF(AV$2=$F57+1,Monthly!AR$21,IF(AV$2&gt;$F57+1,('Traditional Attrition'!AU57+AV189)*(1-IF(AV$2-$F57&lt;=12,SUMIFS('Attrition Modeling'!$D:$D,'Attrition Modeling'!$B:$B,'Traditional Attrition'!$E57,'Attrition Modeling'!$C:$C,'Traditional Attrition'!AV$1),VLOOKUP('Traditional Attrition'!AV$2-'Traditional Attrition'!$F57-1,'Traditional Attrition'!$A$7:$C$161,2,FALSE)*VLOOKUP(AV$1,'Attrition Modeling'!$L$15:$N$27,IF(AV$2-$F57&lt;=24,2,3),FALSE))*(1+Projection!AX$16)*(1+IF(AV189&gt;0,'Attrition Modeling'!$N$9,0))),0))</f>
        <v>0</v>
      </c>
      <c r="AW57" s="799">
        <f>IF(AW$2=$F57+1,Monthly!AS$21,IF(AW$2&gt;$F57+1,('Traditional Attrition'!AV57+AW189)*(1-IF(AW$2-$F57&lt;=12,SUMIFS('Attrition Modeling'!$D:$D,'Attrition Modeling'!$B:$B,'Traditional Attrition'!$E57,'Attrition Modeling'!$C:$C,'Traditional Attrition'!AW$1),VLOOKUP('Traditional Attrition'!AW$2-'Traditional Attrition'!$F57-1,'Traditional Attrition'!$A$7:$C$161,2,FALSE)*VLOOKUP(AW$1,'Attrition Modeling'!$L$15:$N$27,IF(AW$2-$F57&lt;=24,2,3),FALSE))*(1+Projection!AY$16)*(1+IF(AW189&gt;0,'Attrition Modeling'!$N$9,0))),0))</f>
        <v>0</v>
      </c>
      <c r="AX57" s="799">
        <f>IF(AX$2=$F57+1,Monthly!AT$21,IF(AX$2&gt;$F57+1,('Traditional Attrition'!AW57+AX189)*(1-IF(AX$2-$F57&lt;=12,SUMIFS('Attrition Modeling'!$D:$D,'Attrition Modeling'!$B:$B,'Traditional Attrition'!$E57,'Attrition Modeling'!$C:$C,'Traditional Attrition'!AX$1),VLOOKUP('Traditional Attrition'!AX$2-'Traditional Attrition'!$F57-1,'Traditional Attrition'!$A$7:$C$161,2,FALSE)*VLOOKUP(AX$1,'Attrition Modeling'!$L$15:$N$27,IF(AX$2-$F57&lt;=24,2,3),FALSE))*(1+Projection!AZ$16)*(1+IF(AX189&gt;0,'Attrition Modeling'!$N$9,0))),0))</f>
        <v>0</v>
      </c>
      <c r="AY57" s="799">
        <f>IF(AY$2=$F57+1,Monthly!AU$21,IF(AY$2&gt;$F57+1,('Traditional Attrition'!AX57+AY189)*(1-IF(AY$2-$F57&lt;=12,SUMIFS('Attrition Modeling'!$D:$D,'Attrition Modeling'!$B:$B,'Traditional Attrition'!$E57,'Attrition Modeling'!$C:$C,'Traditional Attrition'!AY$1),VLOOKUP('Traditional Attrition'!AY$2-'Traditional Attrition'!$F57-1,'Traditional Attrition'!$A$7:$C$161,2,FALSE)*VLOOKUP(AY$1,'Attrition Modeling'!$L$15:$N$27,IF(AY$2-$F57&lt;=24,2,3),FALSE))*(1+Projection!BA$16)*(1+IF(AY189&gt;0,'Attrition Modeling'!$N$9,0))),0))</f>
        <v>0</v>
      </c>
      <c r="AZ57" s="799">
        <f>IF(AZ$2=$F57+1,Monthly!AV$21,IF(AZ$2&gt;$F57+1,('Traditional Attrition'!AY57+AZ189)*(1-IF(AZ$2-$F57&lt;=12,SUMIFS('Attrition Modeling'!$D:$D,'Attrition Modeling'!$B:$B,'Traditional Attrition'!$E57,'Attrition Modeling'!$C:$C,'Traditional Attrition'!AZ$1),VLOOKUP('Traditional Attrition'!AZ$2-'Traditional Attrition'!$F57-1,'Traditional Attrition'!$A$7:$C$161,2,FALSE)*VLOOKUP(AZ$1,'Attrition Modeling'!$L$15:$N$27,IF(AZ$2-$F57&lt;=24,2,3),FALSE))*(1+Projection!BB$16)*(1+IF(AZ189&gt;0,'Attrition Modeling'!$N$9,0))),0))</f>
        <v>0</v>
      </c>
      <c r="BA57" s="799">
        <f>IF(BA$2=$F57+1,Monthly!AW$21,IF(BA$2&gt;$F57+1,('Traditional Attrition'!AZ57+BA189)*(1-IF(BA$2-$F57&lt;=12,SUMIFS('Attrition Modeling'!$D:$D,'Attrition Modeling'!$B:$B,'Traditional Attrition'!$E57,'Attrition Modeling'!$C:$C,'Traditional Attrition'!BA$1),VLOOKUP('Traditional Attrition'!BA$2-'Traditional Attrition'!$F57-1,'Traditional Attrition'!$A$7:$C$161,2,FALSE)*VLOOKUP(BA$1,'Attrition Modeling'!$L$15:$N$27,IF(BA$2-$F57&lt;=24,2,3),FALSE))*(1+Projection!BC$16)*(1+IF(BA189&gt;0,'Attrition Modeling'!$N$9,0))),0))</f>
        <v>0</v>
      </c>
      <c r="BB57" s="799">
        <f>IF(BB$2=$F57+1,Monthly!AX$21,IF(BB$2&gt;$F57+1,('Traditional Attrition'!BA57+BB189)*(1-IF(BB$2-$F57&lt;=12,SUMIFS('Attrition Modeling'!$D:$D,'Attrition Modeling'!$B:$B,'Traditional Attrition'!$E57,'Attrition Modeling'!$C:$C,'Traditional Attrition'!BB$1),VLOOKUP('Traditional Attrition'!BB$2-'Traditional Attrition'!$F57-1,'Traditional Attrition'!$A$7:$C$161,2,FALSE)*VLOOKUP(BB$1,'Attrition Modeling'!$L$15:$N$27,IF(BB$2-$F57&lt;=24,2,3),FALSE))*(1+Projection!BD$16)*(1+IF(BB189&gt;0,'Attrition Modeling'!$N$9,0))),0))</f>
        <v>0</v>
      </c>
      <c r="BC57" s="799">
        <f>IF(BC$2=$F57+1,Monthly!AY$21,IF(BC$2&gt;$F57+1,('Traditional Attrition'!BB57+BC189)*(1-IF(BC$2-$F57&lt;=12,SUMIFS('Attrition Modeling'!$D:$D,'Attrition Modeling'!$B:$B,'Traditional Attrition'!$E57,'Attrition Modeling'!$C:$C,'Traditional Attrition'!BC$1),VLOOKUP('Traditional Attrition'!BC$2-'Traditional Attrition'!$F57-1,'Traditional Attrition'!$A$7:$C$161,2,FALSE)*VLOOKUP(BC$1,'Attrition Modeling'!$L$15:$N$27,IF(BC$2-$F57&lt;=24,2,3),FALSE))*(1+Projection!BE$16)*(1+IF(BC189&gt;0,'Attrition Modeling'!$N$9,0))),0))</f>
        <v>0</v>
      </c>
      <c r="BD57" s="799">
        <f>IF(BD$2=$F57+1,Monthly!AZ$21,IF(BD$2&gt;$F57+1,('Traditional Attrition'!BC57+BD189)*(1-IF(BD$2-$F57&lt;=12,SUMIFS('Attrition Modeling'!$D:$D,'Attrition Modeling'!$B:$B,'Traditional Attrition'!$E57,'Attrition Modeling'!$C:$C,'Traditional Attrition'!BD$1),VLOOKUP('Traditional Attrition'!BD$2-'Traditional Attrition'!$F57-1,'Traditional Attrition'!$A$7:$C$161,2,FALSE)*VLOOKUP(BD$1,'Attrition Modeling'!$L$15:$N$27,IF(BD$2-$F57&lt;=24,2,3),FALSE))*(1+Projection!BF$16)*(1+IF(BD189&gt;0,'Attrition Modeling'!$N$9,0))),0))</f>
        <v>0</v>
      </c>
      <c r="BE57" s="799">
        <f>IF(BE$2=$F57+1,Monthly!BA$21,IF(BE$2&gt;$F57+1,('Traditional Attrition'!BD57+BE189)*(1-IF(BE$2-$F57&lt;=12,SUMIFS('Attrition Modeling'!$D:$D,'Attrition Modeling'!$B:$B,'Traditional Attrition'!$E57,'Attrition Modeling'!$C:$C,'Traditional Attrition'!BE$1),VLOOKUP('Traditional Attrition'!BE$2-'Traditional Attrition'!$F57-1,'Traditional Attrition'!$A$7:$C$161,2,FALSE)*VLOOKUP(BE$1,'Attrition Modeling'!$L$15:$N$27,IF(BE$2-$F57&lt;=24,2,3),FALSE))*(1+Projection!BG$16)*(1+IF(BE189&gt;0,'Attrition Modeling'!$N$9,0))),0))</f>
        <v>0</v>
      </c>
      <c r="BF57" s="799">
        <f>IF(BF$2=$F57+1,Monthly!BB$21,IF(BF$2&gt;$F57+1,('Traditional Attrition'!BE57+BF189)*(1-IF(BF$2-$F57&lt;=12,SUMIFS('Attrition Modeling'!$D:$D,'Attrition Modeling'!$B:$B,'Traditional Attrition'!$E57,'Attrition Modeling'!$C:$C,'Traditional Attrition'!BF$1),VLOOKUP('Traditional Attrition'!BF$2-'Traditional Attrition'!$F57-1,'Traditional Attrition'!$A$7:$C$161,2,FALSE)*VLOOKUP(BF$1,'Attrition Modeling'!$L$15:$N$27,IF(BF$2-$F57&lt;=24,2,3),FALSE))*(1+Projection!BH$16)*(1+IF(BF189&gt;0,'Attrition Modeling'!$N$9,0))),0))</f>
        <v>0</v>
      </c>
      <c r="BG57" s="799">
        <f>IF(BG$2=$F57+1,Monthly!BC$21,IF(BG$2&gt;$F57+1,('Traditional Attrition'!BF57+BG189)*(1-IF(BG$2-$F57&lt;=12,SUMIFS('Attrition Modeling'!$D:$D,'Attrition Modeling'!$B:$B,'Traditional Attrition'!$E57,'Attrition Modeling'!$C:$C,'Traditional Attrition'!BG$1),VLOOKUP('Traditional Attrition'!BG$2-'Traditional Attrition'!$F57-1,'Traditional Attrition'!$A$7:$C$161,2,FALSE)*VLOOKUP(BG$1,'Attrition Modeling'!$L$15:$N$27,IF(BG$2-$F57&lt;=24,2,3),FALSE))*(1+Projection!BI$16)*(1+IF(BG189&gt;0,'Attrition Modeling'!$N$9,0))),0))</f>
        <v>0</v>
      </c>
      <c r="BH57" s="799">
        <f>IF(BH$2=$F57+1,Monthly!BD$21,IF(BH$2&gt;$F57+1,('Traditional Attrition'!BG57+BH189)*(1-IF(BH$2-$F57&lt;=12,SUMIFS('Attrition Modeling'!$D:$D,'Attrition Modeling'!$B:$B,'Traditional Attrition'!$E57,'Attrition Modeling'!$C:$C,'Traditional Attrition'!BH$1),VLOOKUP('Traditional Attrition'!BH$2-'Traditional Attrition'!$F57-1,'Traditional Attrition'!$A$7:$C$161,2,FALSE)*VLOOKUP(BH$1,'Attrition Modeling'!$L$15:$N$27,IF(BH$2-$F57&lt;=24,2,3),FALSE))*(1+Projection!BJ$16)*(1+IF(BH189&gt;0,'Attrition Modeling'!$N$9,0))),0))</f>
        <v>0</v>
      </c>
      <c r="BI57" s="799">
        <f>IF(BI$2=$F57+1,Monthly!BE$21,IF(BI$2&gt;$F57+1,('Traditional Attrition'!BH57+BI189)*(1-IF(BI$2-$F57&lt;=12,SUMIFS('Attrition Modeling'!$D:$D,'Attrition Modeling'!$B:$B,'Traditional Attrition'!$E57,'Attrition Modeling'!$C:$C,'Traditional Attrition'!BI$1),VLOOKUP('Traditional Attrition'!BI$2-'Traditional Attrition'!$F57-1,'Traditional Attrition'!$A$7:$C$161,2,FALSE)*VLOOKUP(BI$1,'Attrition Modeling'!$L$15:$N$27,IF(BI$2-$F57&lt;=24,2,3),FALSE))*(1+Projection!BK$16)*(1+IF(BI189&gt;0,'Attrition Modeling'!$N$9,0))),0))</f>
        <v>0</v>
      </c>
      <c r="BJ57" s="799">
        <f>IF(BJ$2=$F57+1,Monthly!BF$21,IF(BJ$2&gt;$F57+1,('Traditional Attrition'!BI57+BJ189)*(1-IF(BJ$2-$F57&lt;=12,SUMIFS('Attrition Modeling'!$D:$D,'Attrition Modeling'!$B:$B,'Traditional Attrition'!$E57,'Attrition Modeling'!$C:$C,'Traditional Attrition'!BJ$1),VLOOKUP('Traditional Attrition'!BJ$2-'Traditional Attrition'!$F57-1,'Traditional Attrition'!$A$7:$C$161,2,FALSE)*VLOOKUP(BJ$1,'Attrition Modeling'!$L$15:$N$27,IF(BJ$2-$F57&lt;=24,2,3),FALSE))*(1+Projection!BL$16)*(1+IF(BJ189&gt;0,'Attrition Modeling'!$N$9,0))),0))</f>
        <v>11234.465851959729</v>
      </c>
      <c r="BK57" s="799">
        <f>IF(BK$2=$F57+1,Monthly!BG$21,IF(BK$2&gt;$F57+1,('Traditional Attrition'!BJ57+BK189)*(1-IF(BK$2-$F57&lt;=12,SUMIFS('Attrition Modeling'!$D:$D,'Attrition Modeling'!$B:$B,'Traditional Attrition'!$E57,'Attrition Modeling'!$C:$C,'Traditional Attrition'!BK$1),VLOOKUP('Traditional Attrition'!BK$2-'Traditional Attrition'!$F57-1,'Traditional Attrition'!$A$7:$C$161,2,FALSE)*VLOOKUP(BK$1,'Attrition Modeling'!$L$15:$N$27,IF(BK$2-$F57&lt;=24,2,3),FALSE))*(1+Projection!BM$16)*(1+IF(BK189&gt;0,'Attrition Modeling'!$N$9,0))),0))</f>
        <v>9891.7719249832517</v>
      </c>
      <c r="BL57" s="799">
        <f>IF(BL$2=$F57+1,Monthly!BH$21,IF(BL$2&gt;$F57+1,('Traditional Attrition'!BK57+BL189)*(1-IF(BL$2-$F57&lt;=12,SUMIFS('Attrition Modeling'!$D:$D,'Attrition Modeling'!$B:$B,'Traditional Attrition'!$E57,'Attrition Modeling'!$C:$C,'Traditional Attrition'!BL$1),VLOOKUP('Traditional Attrition'!BL$2-'Traditional Attrition'!$F57-1,'Traditional Attrition'!$A$7:$C$161,2,FALSE)*VLOOKUP(BL$1,'Attrition Modeling'!$L$15:$N$27,IF(BL$2-$F57&lt;=24,2,3),FALSE))*(1+Projection!BN$16)*(1+IF(BL189&gt;0,'Attrition Modeling'!$N$9,0))),0))</f>
        <v>8796.4471171351233</v>
      </c>
      <c r="BM57" s="799">
        <f>IF(BM$2=$F57+1,Monthly!BI$21,IF(BM$2&gt;$F57+1,('Traditional Attrition'!BL57+BM189)*(1-IF(BM$2-$F57&lt;=12,SUMIFS('Attrition Modeling'!$D:$D,'Attrition Modeling'!$B:$B,'Traditional Attrition'!$E57,'Attrition Modeling'!$C:$C,'Traditional Attrition'!BM$1),VLOOKUP('Traditional Attrition'!BM$2-'Traditional Attrition'!$F57-1,'Traditional Attrition'!$A$7:$C$161,2,FALSE)*VLOOKUP(BM$1,'Attrition Modeling'!$L$15:$N$27,IF(BM$2-$F57&lt;=24,2,3),FALSE))*(1+Projection!BO$16)*(1+IF(BM189&gt;0,'Attrition Modeling'!$N$9,0))),0))</f>
        <v>7977.0402113863393</v>
      </c>
      <c r="BN57" s="799">
        <f>IF(BN$2=$F57+1,Monthly!BJ$21,IF(BN$2&gt;$F57+1,('Traditional Attrition'!BM57+BN189)*(1-IF(BN$2-$F57&lt;=12,SUMIFS('Attrition Modeling'!$D:$D,'Attrition Modeling'!$B:$B,'Traditional Attrition'!$E57,'Attrition Modeling'!$C:$C,'Traditional Attrition'!BN$1),VLOOKUP('Traditional Attrition'!BN$2-'Traditional Attrition'!$F57-1,'Traditional Attrition'!$A$7:$C$161,2,FALSE)*VLOOKUP(BN$1,'Attrition Modeling'!$L$15:$N$27,IF(BN$2-$F57&lt;=24,2,3),FALSE))*(1+Projection!BP$16)*(1+IF(BN189&gt;0,'Attrition Modeling'!$N$9,0))),0))</f>
        <v>7277.0834108707422</v>
      </c>
      <c r="BO57" s="799">
        <f>IF(BO$2=$F57+1,Monthly!BK$21,IF(BO$2&gt;$F57+1,('Traditional Attrition'!BN57+BO189)*(1-IF(BO$2-$F57&lt;=12,SUMIFS('Attrition Modeling'!$D:$D,'Attrition Modeling'!$B:$B,'Traditional Attrition'!$E57,'Attrition Modeling'!$C:$C,'Traditional Attrition'!BO$1),VLOOKUP('Traditional Attrition'!BO$2-'Traditional Attrition'!$F57-1,'Traditional Attrition'!$A$7:$C$161,2,FALSE)*VLOOKUP(BO$1,'Attrition Modeling'!$L$15:$N$27,IF(BO$2-$F57&lt;=24,2,3),FALSE))*(1+Projection!BV$16)*(1+IF(BO189&gt;0,'Attrition Modeling'!$N$9,0))),0))</f>
        <v>7136.522238386462</v>
      </c>
      <c r="BP57" s="799">
        <f>IF(BP$2=$F57+1,Monthly!BL$21,IF(BP$2&gt;$F57+1,('Traditional Attrition'!BO57+BP189)*(1-IF(BP$2-$F57&lt;=12,SUMIFS('Attrition Modeling'!$D:$D,'Attrition Modeling'!$B:$B,'Traditional Attrition'!$E57,'Attrition Modeling'!$C:$C,'Traditional Attrition'!BP$1),VLOOKUP('Traditional Attrition'!BP$2-'Traditional Attrition'!$F57-1,'Traditional Attrition'!$A$7:$C$161,2,FALSE)*VLOOKUP(BP$1,'Attrition Modeling'!$L$15:$N$27,IF(BP$2-$F57&lt;=24,2,3),FALSE))*(1+Projection!BW$16)*(1+IF(BP189&gt;0,'Attrition Modeling'!$N$9,0))),0))</f>
        <v>6645.2615319754223</v>
      </c>
      <c r="BQ57" s="799">
        <f>IF(BQ$2=$F57+1,Monthly!BM$21,IF(BQ$2&gt;$F57+1,('Traditional Attrition'!BP57+BQ189)*(1-IF(BQ$2-$F57&lt;=12,SUMIFS('Attrition Modeling'!$D:$D,'Attrition Modeling'!$B:$B,'Traditional Attrition'!$E57,'Attrition Modeling'!$C:$C,'Traditional Attrition'!BQ$1),VLOOKUP('Traditional Attrition'!BQ$2-'Traditional Attrition'!$F57-1,'Traditional Attrition'!$A$7:$C$161,2,FALSE)*VLOOKUP(BQ$1,'Attrition Modeling'!$L$15:$N$27,IF(BQ$2-$F57&lt;=24,2,3),FALSE))*(1+Projection!BX$16)*(1+IF(BQ189&gt;0,'Attrition Modeling'!$N$9,0))),0))</f>
        <v>6234.8228012831087</v>
      </c>
      <c r="BR57" s="799">
        <f>IF(BR$2=$F57+1,Monthly!BN$21,IF(BR$2&gt;$F57+1,('Traditional Attrition'!BQ57+BR189)*(1-IF(BR$2-$F57&lt;=12,SUMIFS('Attrition Modeling'!$D:$D,'Attrition Modeling'!$B:$B,'Traditional Attrition'!$E57,'Attrition Modeling'!$C:$C,'Traditional Attrition'!BR$1),VLOOKUP('Traditional Attrition'!BR$2-'Traditional Attrition'!$F57-1,'Traditional Attrition'!$A$7:$C$161,2,FALSE)*VLOOKUP(BR$1,'Attrition Modeling'!$L$15:$N$27,IF(BR$2-$F57&lt;=24,2,3),FALSE))*(1+Projection!BY$16)*(1+IF(BR189&gt;0,'Attrition Modeling'!$N$9,0))),0))</f>
        <v>5832.2541966591052</v>
      </c>
      <c r="BS57" s="799">
        <f>IF(BS$2=$F57+1,Monthly!BO$21,IF(BS$2&gt;$F57+1,('Traditional Attrition'!BR57+BS189)*(1-IF(BS$2-$F57&lt;=12,SUMIFS('Attrition Modeling'!$D:$D,'Attrition Modeling'!$B:$B,'Traditional Attrition'!$E57,'Attrition Modeling'!$C:$C,'Traditional Attrition'!BS$1),VLOOKUP('Traditional Attrition'!BS$2-'Traditional Attrition'!$F57-1,'Traditional Attrition'!$A$7:$C$161,2,FALSE)*VLOOKUP(BS$1,'Attrition Modeling'!$L$15:$N$27,IF(BS$2-$F57&lt;=24,2,3),FALSE))*(1+Projection!BZ$16)*(1+IF(BS189&gt;0,'Attrition Modeling'!$N$9,0))),0))</f>
        <v>5509.9384011234251</v>
      </c>
      <c r="BT57" s="799">
        <f>IF(BT$2=$F57+1,Monthly!#REF!,IF(BT$2&gt;$F57+1,('Traditional Attrition'!BS57+BT189)*(1-IF(BT$2-$F57&lt;=12,SUMIFS('Attrition Modeling'!$D:$D,'Attrition Modeling'!$B:$B,'Traditional Attrition'!$E57,'Attrition Modeling'!$C:$C,'Traditional Attrition'!BT$1),VLOOKUP('Traditional Attrition'!BT$2-'Traditional Attrition'!$F57-1,'Traditional Attrition'!$A$7:$C$161,2,FALSE)*VLOOKUP(BT$1,'Attrition Modeling'!$L$15:$N$27,IF(BT$2-$F57&lt;=24,2,3),FALSE))*(1+Projection!CA$16)*(1+IF(BT189&gt;0,'Attrition Modeling'!$N$9,0))),0))</f>
        <v>5194.2093434462349</v>
      </c>
      <c r="BU57" s="799">
        <f>IF(BU$2=$F57+1,Monthly!#REF!,IF(BU$2&gt;$F57+1,('Traditional Attrition'!BT57+BU189)*(1-IF(BU$2-$F57&lt;=12,SUMIFS('Attrition Modeling'!$D:$D,'Attrition Modeling'!$B:$B,'Traditional Attrition'!$E57,'Attrition Modeling'!$C:$C,'Traditional Attrition'!BU$1),VLOOKUP('Traditional Attrition'!BU$2-'Traditional Attrition'!$F57-1,'Traditional Attrition'!$A$7:$C$161,2,FALSE)*VLOOKUP(BU$1,'Attrition Modeling'!$L$15:$N$27,IF(BU$2-$F57&lt;=24,2,3),FALSE))*(1+Projection!CB$16)*(1+IF(BU189&gt;0,'Attrition Modeling'!$N$9,0))),0))</f>
        <v>5044.9312470358509</v>
      </c>
    </row>
    <row r="58" spans="1:73" ht="14.25" customHeight="1" x14ac:dyDescent="0.2">
      <c r="A58" s="9">
        <v>51</v>
      </c>
      <c r="B58" s="25">
        <f>MAX('Attrition Modeling'!H55,$C$3)*(1-Summary!$C$20)</f>
        <v>2.4688940254515027E-2</v>
      </c>
      <c r="C58" s="24" t="e">
        <f t="shared" si="4"/>
        <v>#DIV/0!</v>
      </c>
      <c r="E58" s="11">
        <f t="shared" si="2"/>
        <v>7</v>
      </c>
      <c r="F58" s="11">
        <f t="shared" si="3"/>
        <v>55</v>
      </c>
      <c r="G58" s="799"/>
      <c r="H58" s="799">
        <f>IF(H$2=$F58+1,Monthly!D$21,IF(H$2&gt;$F58+1,('Traditional Attrition'!G58+H190)*(1-IF(H$2-$F58&lt;=12,SUMIFS('Attrition Modeling'!$D:$D,'Attrition Modeling'!$B:$B,'Traditional Attrition'!$E58,'Attrition Modeling'!$C:$C,'Traditional Attrition'!H$1),VLOOKUP('Traditional Attrition'!H$2-'Traditional Attrition'!$F58-1,'Traditional Attrition'!$A$7:$C$161,2,FALSE)*VLOOKUP(H$1,'Attrition Modeling'!$L$15:$N$27,IF(H$2-$F58&lt;=24,2,3),FALSE))*(1+Projection!J$16)*(1+IF(H190&gt;0,'Attrition Modeling'!$N$9,0))),0))</f>
        <v>0</v>
      </c>
      <c r="I58" s="799">
        <f>IF(I$2=$F58+1,Monthly!E$21,IF(I$2&gt;$F58+1,('Traditional Attrition'!H58+I190)*(1-IF(I$2-$F58&lt;=12,SUMIFS('Attrition Modeling'!$D:$D,'Attrition Modeling'!$B:$B,'Traditional Attrition'!$E58,'Attrition Modeling'!$C:$C,'Traditional Attrition'!I$1),VLOOKUP('Traditional Attrition'!I$2-'Traditional Attrition'!$F58-1,'Traditional Attrition'!$A$7:$C$161,2,FALSE)*VLOOKUP(I$1,'Attrition Modeling'!$L$15:$N$27,IF(I$2-$F58&lt;=24,2,3),FALSE))*(1+Projection!K$16)*(1+IF(I190&gt;0,'Attrition Modeling'!$N$9,0))),0))</f>
        <v>0</v>
      </c>
      <c r="J58" s="799">
        <f>IF(J$2=$F58+1,Monthly!F$21,IF(J$2&gt;$F58+1,('Traditional Attrition'!I58+J190)*(1-IF(J$2-$F58&lt;=12,SUMIFS('Attrition Modeling'!$D:$D,'Attrition Modeling'!$B:$B,'Traditional Attrition'!$E58,'Attrition Modeling'!$C:$C,'Traditional Attrition'!J$1),VLOOKUP('Traditional Attrition'!J$2-'Traditional Attrition'!$F58-1,'Traditional Attrition'!$A$7:$C$161,2,FALSE)*VLOOKUP(J$1,'Attrition Modeling'!$L$15:$N$27,IF(J$2-$F58&lt;=24,2,3),FALSE))*(1+Projection!L$16)*(1+IF(J190&gt;0,'Attrition Modeling'!$N$9,0))),0))</f>
        <v>0</v>
      </c>
      <c r="K58" s="799">
        <f>IF(K$2=$F58+1,Monthly!G$21,IF(K$2&gt;$F58+1,('Traditional Attrition'!J58+K190)*(1-IF(K$2-$F58&lt;=12,SUMIFS('Attrition Modeling'!$D:$D,'Attrition Modeling'!$B:$B,'Traditional Attrition'!$E58,'Attrition Modeling'!$C:$C,'Traditional Attrition'!K$1),VLOOKUP('Traditional Attrition'!K$2-'Traditional Attrition'!$F58-1,'Traditional Attrition'!$A$7:$C$161,2,FALSE)*VLOOKUP(K$1,'Attrition Modeling'!$L$15:$N$27,IF(K$2-$F58&lt;=24,2,3),FALSE))*(1+Projection!M$16)*(1+IF(K190&gt;0,'Attrition Modeling'!$N$9,0))),0))</f>
        <v>0</v>
      </c>
      <c r="L58" s="799">
        <f>IF(L$2=$F58+1,Monthly!H$21,IF(L$2&gt;$F58+1,('Traditional Attrition'!K58+L190)*(1-IF(L$2-$F58&lt;=12,SUMIFS('Attrition Modeling'!$D:$D,'Attrition Modeling'!$B:$B,'Traditional Attrition'!$E58,'Attrition Modeling'!$C:$C,'Traditional Attrition'!L$1),VLOOKUP('Traditional Attrition'!L$2-'Traditional Attrition'!$F58-1,'Traditional Attrition'!$A$7:$C$161,2,FALSE)*VLOOKUP(L$1,'Attrition Modeling'!$L$15:$N$27,IF(L$2-$F58&lt;=24,2,3),FALSE))*(1+Projection!N$16)*(1+IF(L190&gt;0,'Attrition Modeling'!$N$9,0))),0))</f>
        <v>0</v>
      </c>
      <c r="M58" s="799">
        <f>IF(M$2=$F58+1,Monthly!I$21,IF(M$2&gt;$F58+1,('Traditional Attrition'!L58+M190)*(1-IF(M$2-$F58&lt;=12,SUMIFS('Attrition Modeling'!$D:$D,'Attrition Modeling'!$B:$B,'Traditional Attrition'!$E58,'Attrition Modeling'!$C:$C,'Traditional Attrition'!M$1),VLOOKUP('Traditional Attrition'!M$2-'Traditional Attrition'!$F58-1,'Traditional Attrition'!$A$7:$C$161,2,FALSE)*VLOOKUP(M$1,'Attrition Modeling'!$L$15:$N$27,IF(M$2-$F58&lt;=24,2,3),FALSE))*(1+Projection!O$16)*(1+IF(M190&gt;0,'Attrition Modeling'!$N$9,0))),0))</f>
        <v>0</v>
      </c>
      <c r="N58" s="799">
        <f>IF(N$2=$F58+1,Monthly!J$21,IF(N$2&gt;$F58+1,('Traditional Attrition'!M58+N190)*(1-IF(N$2-$F58&lt;=12,SUMIFS('Attrition Modeling'!$D:$D,'Attrition Modeling'!$B:$B,'Traditional Attrition'!$E58,'Attrition Modeling'!$C:$C,'Traditional Attrition'!N$1),VLOOKUP('Traditional Attrition'!N$2-'Traditional Attrition'!$F58-1,'Traditional Attrition'!$A$7:$C$161,2,FALSE)*VLOOKUP(N$1,'Attrition Modeling'!$L$15:$N$27,IF(N$2-$F58&lt;=24,2,3),FALSE))*(1+Projection!P$16)*(1+IF(N190&gt;0,'Attrition Modeling'!$N$9,0))),0))</f>
        <v>0</v>
      </c>
      <c r="O58" s="799">
        <f>IF(O$2=$F58+1,Monthly!K$21,IF(O$2&gt;$F58+1,('Traditional Attrition'!N58+O190)*(1-IF(O$2-$F58&lt;=12,SUMIFS('Attrition Modeling'!$D:$D,'Attrition Modeling'!$B:$B,'Traditional Attrition'!$E58,'Attrition Modeling'!$C:$C,'Traditional Attrition'!O$1),VLOOKUP('Traditional Attrition'!O$2-'Traditional Attrition'!$F58-1,'Traditional Attrition'!$A$7:$C$161,2,FALSE)*VLOOKUP(O$1,'Attrition Modeling'!$L$15:$N$27,IF(O$2-$F58&lt;=24,2,3),FALSE))*(1+Projection!Q$16)*(1+IF(O190&gt;0,'Attrition Modeling'!$N$9,0))),0))</f>
        <v>0</v>
      </c>
      <c r="P58" s="799">
        <f>IF(P$2=$F58+1,Monthly!L$21,IF(P$2&gt;$F58+1,('Traditional Attrition'!O58+P190)*(1-IF(P$2-$F58&lt;=12,SUMIFS('Attrition Modeling'!$D:$D,'Attrition Modeling'!$B:$B,'Traditional Attrition'!$E58,'Attrition Modeling'!$C:$C,'Traditional Attrition'!P$1),VLOOKUP('Traditional Attrition'!P$2-'Traditional Attrition'!$F58-1,'Traditional Attrition'!$A$7:$C$161,2,FALSE)*VLOOKUP(P$1,'Attrition Modeling'!$L$15:$N$27,IF(P$2-$F58&lt;=24,2,3),FALSE))*(1+Projection!R$16)*(1+IF(P190&gt;0,'Attrition Modeling'!$N$9,0))),0))</f>
        <v>0</v>
      </c>
      <c r="Q58" s="799">
        <f>IF(Q$2=$F58+1,Monthly!M$21,IF(Q$2&gt;$F58+1,('Traditional Attrition'!P58+Q190)*(1-IF(Q$2-$F58&lt;=12,SUMIFS('Attrition Modeling'!$D:$D,'Attrition Modeling'!$B:$B,'Traditional Attrition'!$E58,'Attrition Modeling'!$C:$C,'Traditional Attrition'!Q$1),VLOOKUP('Traditional Attrition'!Q$2-'Traditional Attrition'!$F58-1,'Traditional Attrition'!$A$7:$C$161,2,FALSE)*VLOOKUP(Q$1,'Attrition Modeling'!$L$15:$N$27,IF(Q$2-$F58&lt;=24,2,3),FALSE))*(1+Projection!S$16)*(1+IF(Q190&gt;0,'Attrition Modeling'!$N$9,0))),0))</f>
        <v>0</v>
      </c>
      <c r="R58" s="799">
        <f>IF(R$2=$F58+1,Monthly!N$21,IF(R$2&gt;$F58+1,('Traditional Attrition'!Q58+R190)*(1-IF(R$2-$F58&lt;=12,SUMIFS('Attrition Modeling'!$D:$D,'Attrition Modeling'!$B:$B,'Traditional Attrition'!$E58,'Attrition Modeling'!$C:$C,'Traditional Attrition'!R$1),VLOOKUP('Traditional Attrition'!R$2-'Traditional Attrition'!$F58-1,'Traditional Attrition'!$A$7:$C$161,2,FALSE)*VLOOKUP(R$1,'Attrition Modeling'!$L$15:$N$27,IF(R$2-$F58&lt;=24,2,3),FALSE))*(1+Projection!T$16)*(1+IF(R190&gt;0,'Attrition Modeling'!$N$9,0))),0))</f>
        <v>0</v>
      </c>
      <c r="S58" s="799">
        <f>IF(S$2=$F58+1,Monthly!O$21,IF(S$2&gt;$F58+1,('Traditional Attrition'!R58+S190)*(1-IF(S$2-$F58&lt;=12,SUMIFS('Attrition Modeling'!$D:$D,'Attrition Modeling'!$B:$B,'Traditional Attrition'!$E58,'Attrition Modeling'!$C:$C,'Traditional Attrition'!S$1),VLOOKUP('Traditional Attrition'!S$2-'Traditional Attrition'!$F58-1,'Traditional Attrition'!$A$7:$C$161,2,FALSE)*VLOOKUP(S$1,'Attrition Modeling'!$L$15:$N$27,IF(S$2-$F58&lt;=24,2,3),FALSE))*(1+Projection!U$16)*(1+IF(S190&gt;0,'Attrition Modeling'!$N$9,0))),0))</f>
        <v>0</v>
      </c>
      <c r="T58" s="799">
        <f>IF(T$2=$F58+1,Monthly!P$21,IF(T$2&gt;$F58+1,('Traditional Attrition'!S58+T190)*(1-IF(T$2-$F58&lt;=12,SUMIFS('Attrition Modeling'!$D:$D,'Attrition Modeling'!$B:$B,'Traditional Attrition'!$E58,'Attrition Modeling'!$C:$C,'Traditional Attrition'!T$1),VLOOKUP('Traditional Attrition'!T$2-'Traditional Attrition'!$F58-1,'Traditional Attrition'!$A$7:$C$161,2,FALSE)*VLOOKUP(T$1,'Attrition Modeling'!$L$15:$N$27,IF(T$2-$F58&lt;=24,2,3),FALSE))*(1+Projection!V$16)*(1+IF(T190&gt;0,'Attrition Modeling'!$N$9,0))),0))</f>
        <v>0</v>
      </c>
      <c r="U58" s="799">
        <f>IF(U$2=$F58+1,Monthly!Q$21,IF(U$2&gt;$F58+1,('Traditional Attrition'!T58+U190)*(1-IF(U$2-$F58&lt;=12,SUMIFS('Attrition Modeling'!$D:$D,'Attrition Modeling'!$B:$B,'Traditional Attrition'!$E58,'Attrition Modeling'!$C:$C,'Traditional Attrition'!U$1),VLOOKUP('Traditional Attrition'!U$2-'Traditional Attrition'!$F58-1,'Traditional Attrition'!$A$7:$C$161,2,FALSE)*VLOOKUP(U$1,'Attrition Modeling'!$L$15:$N$27,IF(U$2-$F58&lt;=24,2,3),FALSE))*(1+Projection!W$16)*(1+IF(U190&gt;0,'Attrition Modeling'!$N$9,0))),0))</f>
        <v>0</v>
      </c>
      <c r="V58" s="799">
        <f>IF(V$2=$F58+1,Monthly!R$21,IF(V$2&gt;$F58+1,('Traditional Attrition'!U58+V190)*(1-IF(V$2-$F58&lt;=12,SUMIFS('Attrition Modeling'!$D:$D,'Attrition Modeling'!$B:$B,'Traditional Attrition'!$E58,'Attrition Modeling'!$C:$C,'Traditional Attrition'!V$1),VLOOKUP('Traditional Attrition'!V$2-'Traditional Attrition'!$F58-1,'Traditional Attrition'!$A$7:$C$161,2,FALSE)*VLOOKUP(V$1,'Attrition Modeling'!$L$15:$N$27,IF(V$2-$F58&lt;=24,2,3),FALSE))*(1+Projection!X$16)*(1+IF(V190&gt;0,'Attrition Modeling'!$N$9,0))),0))</f>
        <v>0</v>
      </c>
      <c r="W58" s="799">
        <f>IF(W$2=$F58+1,Monthly!S$21,IF(W$2&gt;$F58+1,('Traditional Attrition'!V58+W190)*(1-IF(W$2-$F58&lt;=12,SUMIFS('Attrition Modeling'!$D:$D,'Attrition Modeling'!$B:$B,'Traditional Attrition'!$E58,'Attrition Modeling'!$C:$C,'Traditional Attrition'!W$1),VLOOKUP('Traditional Attrition'!W$2-'Traditional Attrition'!$F58-1,'Traditional Attrition'!$A$7:$C$161,2,FALSE)*VLOOKUP(W$1,'Attrition Modeling'!$L$15:$N$27,IF(W$2-$F58&lt;=24,2,3),FALSE))*(1+Projection!Y$16)*(1+IF(W190&gt;0,'Attrition Modeling'!$N$9,0))),0))</f>
        <v>0</v>
      </c>
      <c r="X58" s="799">
        <f>IF(X$2=$F58+1,Monthly!T$21,IF(X$2&gt;$F58+1,('Traditional Attrition'!W58+X190)*(1-IF(X$2-$F58&lt;=12,SUMIFS('Attrition Modeling'!$D:$D,'Attrition Modeling'!$B:$B,'Traditional Attrition'!$E58,'Attrition Modeling'!$C:$C,'Traditional Attrition'!X$1),VLOOKUP('Traditional Attrition'!X$2-'Traditional Attrition'!$F58-1,'Traditional Attrition'!$A$7:$C$161,2,FALSE)*VLOOKUP(X$1,'Attrition Modeling'!$L$15:$N$27,IF(X$2-$F58&lt;=24,2,3),FALSE))*(1+Projection!Z$16)*(1+IF(X190&gt;0,'Attrition Modeling'!$N$9,0))),0))</f>
        <v>0</v>
      </c>
      <c r="Y58" s="799">
        <f>IF(Y$2=$F58+1,Monthly!U$21,IF(Y$2&gt;$F58+1,('Traditional Attrition'!X58+Y190)*(1-IF(Y$2-$F58&lt;=12,SUMIFS('Attrition Modeling'!$D:$D,'Attrition Modeling'!$B:$B,'Traditional Attrition'!$E58,'Attrition Modeling'!$C:$C,'Traditional Attrition'!Y$1),VLOOKUP('Traditional Attrition'!Y$2-'Traditional Attrition'!$F58-1,'Traditional Attrition'!$A$7:$C$161,2,FALSE)*VLOOKUP(Y$1,'Attrition Modeling'!$L$15:$N$27,IF(Y$2-$F58&lt;=24,2,3),FALSE))*(1+Projection!AA$16)*(1+IF(Y190&gt;0,'Attrition Modeling'!$N$9,0))),0))</f>
        <v>0</v>
      </c>
      <c r="Z58" s="799">
        <f>IF(Z$2=$F58+1,Monthly!V$21,IF(Z$2&gt;$F58+1,('Traditional Attrition'!Y58+Z190)*(1-IF(Z$2-$F58&lt;=12,SUMIFS('Attrition Modeling'!$D:$D,'Attrition Modeling'!$B:$B,'Traditional Attrition'!$E58,'Attrition Modeling'!$C:$C,'Traditional Attrition'!Z$1),VLOOKUP('Traditional Attrition'!Z$2-'Traditional Attrition'!$F58-1,'Traditional Attrition'!$A$7:$C$161,2,FALSE)*VLOOKUP(Z$1,'Attrition Modeling'!$L$15:$N$27,IF(Z$2-$F58&lt;=24,2,3),FALSE))*(1+Projection!AB$16)*(1+IF(Z190&gt;0,'Attrition Modeling'!$N$9,0))),0))</f>
        <v>0</v>
      </c>
      <c r="AA58" s="799">
        <f>IF(AA$2=$F58+1,Monthly!W$21,IF(AA$2&gt;$F58+1,('Traditional Attrition'!Z58+AA190)*(1-IF(AA$2-$F58&lt;=12,SUMIFS('Attrition Modeling'!$D:$D,'Attrition Modeling'!$B:$B,'Traditional Attrition'!$E58,'Attrition Modeling'!$C:$C,'Traditional Attrition'!AA$1),VLOOKUP('Traditional Attrition'!AA$2-'Traditional Attrition'!$F58-1,'Traditional Attrition'!$A$7:$C$161,2,FALSE)*VLOOKUP(AA$1,'Attrition Modeling'!$L$15:$N$27,IF(AA$2-$F58&lt;=24,2,3),FALSE))*(1+Projection!AC$16)*(1+IF(AA190&gt;0,'Attrition Modeling'!$N$9,0))),0))</f>
        <v>0</v>
      </c>
      <c r="AB58" s="799">
        <f>IF(AB$2=$F58+1,Monthly!X$21,IF(AB$2&gt;$F58+1,('Traditional Attrition'!AA58+AB190)*(1-IF(AB$2-$F58&lt;=12,SUMIFS('Attrition Modeling'!$D:$D,'Attrition Modeling'!$B:$B,'Traditional Attrition'!$E58,'Attrition Modeling'!$C:$C,'Traditional Attrition'!AB$1),VLOOKUP('Traditional Attrition'!AB$2-'Traditional Attrition'!$F58-1,'Traditional Attrition'!$A$7:$C$161,2,FALSE)*VLOOKUP(AB$1,'Attrition Modeling'!$L$15:$N$27,IF(AB$2-$F58&lt;=24,2,3),FALSE))*(1+Projection!AD$16)*(1+IF(AB190&gt;0,'Attrition Modeling'!$N$9,0))),0))</f>
        <v>0</v>
      </c>
      <c r="AC58" s="799">
        <f>IF(AC$2=$F58+1,Monthly!Y$21,IF(AC$2&gt;$F58+1,('Traditional Attrition'!AB58+AC190)*(1-IF(AC$2-$F58&lt;=12,SUMIFS('Attrition Modeling'!$D:$D,'Attrition Modeling'!$B:$B,'Traditional Attrition'!$E58,'Attrition Modeling'!$C:$C,'Traditional Attrition'!AC$1),VLOOKUP('Traditional Attrition'!AC$2-'Traditional Attrition'!$F58-1,'Traditional Attrition'!$A$7:$C$161,2,FALSE)*VLOOKUP(AC$1,'Attrition Modeling'!$L$15:$N$27,IF(AC$2-$F58&lt;=24,2,3),FALSE))*(1+Projection!AE$16)*(1+IF(AC190&gt;0,'Attrition Modeling'!$N$9,0))),0))</f>
        <v>0</v>
      </c>
      <c r="AD58" s="799">
        <f>IF(AD$2=$F58+1,Monthly!Z$21,IF(AD$2&gt;$F58+1,('Traditional Attrition'!AC58+AD190)*(1-IF(AD$2-$F58&lt;=12,SUMIFS('Attrition Modeling'!$D:$D,'Attrition Modeling'!$B:$B,'Traditional Attrition'!$E58,'Attrition Modeling'!$C:$C,'Traditional Attrition'!AD$1),VLOOKUP('Traditional Attrition'!AD$2-'Traditional Attrition'!$F58-1,'Traditional Attrition'!$A$7:$C$161,2,FALSE)*VLOOKUP(AD$1,'Attrition Modeling'!$L$15:$N$27,IF(AD$2-$F58&lt;=24,2,3),FALSE))*(1+Projection!AF$16)*(1+IF(AD190&gt;0,'Attrition Modeling'!$N$9,0))),0))</f>
        <v>0</v>
      </c>
      <c r="AE58" s="799">
        <f>IF(AE$2=$F58+1,Monthly!AA$21,IF(AE$2&gt;$F58+1,('Traditional Attrition'!AD58+AE190)*(1-IF(AE$2-$F58&lt;=12,SUMIFS('Attrition Modeling'!$D:$D,'Attrition Modeling'!$B:$B,'Traditional Attrition'!$E58,'Attrition Modeling'!$C:$C,'Traditional Attrition'!AE$1),VLOOKUP('Traditional Attrition'!AE$2-'Traditional Attrition'!$F58-1,'Traditional Attrition'!$A$7:$C$161,2,FALSE)*VLOOKUP(AE$1,'Attrition Modeling'!$L$15:$N$27,IF(AE$2-$F58&lt;=24,2,3),FALSE))*(1+Projection!AG$16)*(1+IF(AE190&gt;0,'Attrition Modeling'!$N$9,0))),0))</f>
        <v>0</v>
      </c>
      <c r="AF58" s="799">
        <f>IF(AF$2=$F58+1,Monthly!AB$21,IF(AF$2&gt;$F58+1,('Traditional Attrition'!AE58+AF190)*(1-IF(AF$2-$F58&lt;=12,SUMIFS('Attrition Modeling'!$D:$D,'Attrition Modeling'!$B:$B,'Traditional Attrition'!$E58,'Attrition Modeling'!$C:$C,'Traditional Attrition'!AF$1),VLOOKUP('Traditional Attrition'!AF$2-'Traditional Attrition'!$F58-1,'Traditional Attrition'!$A$7:$C$161,2,FALSE)*VLOOKUP(AF$1,'Attrition Modeling'!$L$15:$N$27,IF(AF$2-$F58&lt;=24,2,3),FALSE))*(1+Projection!AH$16)*(1+IF(AF190&gt;0,'Attrition Modeling'!$N$9,0))),0))</f>
        <v>0</v>
      </c>
      <c r="AG58" s="799">
        <f>IF(AG$2=$F58+1,Monthly!AC$21,IF(AG$2&gt;$F58+1,('Traditional Attrition'!AF58+AG190)*(1-IF(AG$2-$F58&lt;=12,SUMIFS('Attrition Modeling'!$D:$D,'Attrition Modeling'!$B:$B,'Traditional Attrition'!$E58,'Attrition Modeling'!$C:$C,'Traditional Attrition'!AG$1),VLOOKUP('Traditional Attrition'!AG$2-'Traditional Attrition'!$F58-1,'Traditional Attrition'!$A$7:$C$161,2,FALSE)*VLOOKUP(AG$1,'Attrition Modeling'!$L$15:$N$27,IF(AG$2-$F58&lt;=24,2,3),FALSE))*(1+Projection!AI$16)*(1+IF(AG190&gt;0,'Attrition Modeling'!$N$9,0))),0))</f>
        <v>0</v>
      </c>
      <c r="AH58" s="799">
        <f>IF(AH$2=$F58+1,Monthly!AD$21,IF(AH$2&gt;$F58+1,('Traditional Attrition'!AG58+AH190)*(1-IF(AH$2-$F58&lt;=12,SUMIFS('Attrition Modeling'!$D:$D,'Attrition Modeling'!$B:$B,'Traditional Attrition'!$E58,'Attrition Modeling'!$C:$C,'Traditional Attrition'!AH$1),VLOOKUP('Traditional Attrition'!AH$2-'Traditional Attrition'!$F58-1,'Traditional Attrition'!$A$7:$C$161,2,FALSE)*VLOOKUP(AH$1,'Attrition Modeling'!$L$15:$N$27,IF(AH$2-$F58&lt;=24,2,3),FALSE))*(1+Projection!AJ$16)*(1+IF(AH190&gt;0,'Attrition Modeling'!$N$9,0))),0))</f>
        <v>0</v>
      </c>
      <c r="AI58" s="799">
        <f>IF(AI$2=$F58+1,Monthly!AE$21,IF(AI$2&gt;$F58+1,('Traditional Attrition'!AH58+AI190)*(1-IF(AI$2-$F58&lt;=12,SUMIFS('Attrition Modeling'!$D:$D,'Attrition Modeling'!$B:$B,'Traditional Attrition'!$E58,'Attrition Modeling'!$C:$C,'Traditional Attrition'!AI$1),VLOOKUP('Traditional Attrition'!AI$2-'Traditional Attrition'!$F58-1,'Traditional Attrition'!$A$7:$C$161,2,FALSE)*VLOOKUP(AI$1,'Attrition Modeling'!$L$15:$N$27,IF(AI$2-$F58&lt;=24,2,3),FALSE))*(1+Projection!AK$16)*(1+IF(AI190&gt;0,'Attrition Modeling'!$N$9,0))),0))</f>
        <v>0</v>
      </c>
      <c r="AJ58" s="799">
        <f>IF(AJ$2=$F58+1,Monthly!AF$21,IF(AJ$2&gt;$F58+1,('Traditional Attrition'!AI58+AJ190)*(1-IF(AJ$2-$F58&lt;=12,SUMIFS('Attrition Modeling'!$D:$D,'Attrition Modeling'!$B:$B,'Traditional Attrition'!$E58,'Attrition Modeling'!$C:$C,'Traditional Attrition'!AJ$1),VLOOKUP('Traditional Attrition'!AJ$2-'Traditional Attrition'!$F58-1,'Traditional Attrition'!$A$7:$C$161,2,FALSE)*VLOOKUP(AJ$1,'Attrition Modeling'!$L$15:$N$27,IF(AJ$2-$F58&lt;=24,2,3),FALSE))*(1+Projection!AL$16)*(1+IF(AJ190&gt;0,'Attrition Modeling'!$N$9,0))),0))</f>
        <v>0</v>
      </c>
      <c r="AK58" s="799">
        <f>IF(AK$2=$F58+1,Monthly!AG$21,IF(AK$2&gt;$F58+1,('Traditional Attrition'!AJ58+AK190)*(1-IF(AK$2-$F58&lt;=12,SUMIFS('Attrition Modeling'!$D:$D,'Attrition Modeling'!$B:$B,'Traditional Attrition'!$E58,'Attrition Modeling'!$C:$C,'Traditional Attrition'!AK$1),VLOOKUP('Traditional Attrition'!AK$2-'Traditional Attrition'!$F58-1,'Traditional Attrition'!$A$7:$C$161,2,FALSE)*VLOOKUP(AK$1,'Attrition Modeling'!$L$15:$N$27,IF(AK$2-$F58&lt;=24,2,3),FALSE))*(1+Projection!AM$16)*(1+IF(AK190&gt;0,'Attrition Modeling'!$N$9,0))),0))</f>
        <v>0</v>
      </c>
      <c r="AL58" s="799">
        <f>IF(AL$2=$F58+1,Monthly!AH$21,IF(AL$2&gt;$F58+1,('Traditional Attrition'!AK58+AL190)*(1-IF(AL$2-$F58&lt;=12,SUMIFS('Attrition Modeling'!$D:$D,'Attrition Modeling'!$B:$B,'Traditional Attrition'!$E58,'Attrition Modeling'!$C:$C,'Traditional Attrition'!AL$1),VLOOKUP('Traditional Attrition'!AL$2-'Traditional Attrition'!$F58-1,'Traditional Attrition'!$A$7:$C$161,2,FALSE)*VLOOKUP(AL$1,'Attrition Modeling'!$L$15:$N$27,IF(AL$2-$F58&lt;=24,2,3),FALSE))*(1+Projection!AN$16)*(1+IF(AL190&gt;0,'Attrition Modeling'!$N$9,0))),0))</f>
        <v>0</v>
      </c>
      <c r="AM58" s="799">
        <f>IF(AM$2=$F58+1,Monthly!AI$21,IF(AM$2&gt;$F58+1,('Traditional Attrition'!AL58+AM190)*(1-IF(AM$2-$F58&lt;=12,SUMIFS('Attrition Modeling'!$D:$D,'Attrition Modeling'!$B:$B,'Traditional Attrition'!$E58,'Attrition Modeling'!$C:$C,'Traditional Attrition'!AM$1),VLOOKUP('Traditional Attrition'!AM$2-'Traditional Attrition'!$F58-1,'Traditional Attrition'!$A$7:$C$161,2,FALSE)*VLOOKUP(AM$1,'Attrition Modeling'!$L$15:$N$27,IF(AM$2-$F58&lt;=24,2,3),FALSE))*(1+Projection!AO$16)*(1+IF(AM190&gt;0,'Attrition Modeling'!$N$9,0))),0))</f>
        <v>0</v>
      </c>
      <c r="AN58" s="799">
        <f>IF(AN$2=$F58+1,Monthly!AJ$21,IF(AN$2&gt;$F58+1,('Traditional Attrition'!AM58+AN190)*(1-IF(AN$2-$F58&lt;=12,SUMIFS('Attrition Modeling'!$D:$D,'Attrition Modeling'!$B:$B,'Traditional Attrition'!$E58,'Attrition Modeling'!$C:$C,'Traditional Attrition'!AN$1),VLOOKUP('Traditional Attrition'!AN$2-'Traditional Attrition'!$F58-1,'Traditional Attrition'!$A$7:$C$161,2,FALSE)*VLOOKUP(AN$1,'Attrition Modeling'!$L$15:$N$27,IF(AN$2-$F58&lt;=24,2,3),FALSE))*(1+Projection!AP$16)*(1+IF(AN190&gt;0,'Attrition Modeling'!$N$9,0))),0))</f>
        <v>0</v>
      </c>
      <c r="AO58" s="799">
        <f>IF(AO$2=$F58+1,Monthly!AK$21,IF(AO$2&gt;$F58+1,('Traditional Attrition'!AN58+AO190)*(1-IF(AO$2-$F58&lt;=12,SUMIFS('Attrition Modeling'!$D:$D,'Attrition Modeling'!$B:$B,'Traditional Attrition'!$E58,'Attrition Modeling'!$C:$C,'Traditional Attrition'!AO$1),VLOOKUP('Traditional Attrition'!AO$2-'Traditional Attrition'!$F58-1,'Traditional Attrition'!$A$7:$C$161,2,FALSE)*VLOOKUP(AO$1,'Attrition Modeling'!$L$15:$N$27,IF(AO$2-$F58&lt;=24,2,3),FALSE))*(1+Projection!AQ$16)*(1+IF(AO190&gt;0,'Attrition Modeling'!$N$9,0))),0))</f>
        <v>0</v>
      </c>
      <c r="AP58" s="799">
        <f>IF(AP$2=$F58+1,Monthly!AL$21,IF(AP$2&gt;$F58+1,('Traditional Attrition'!AO58+AP190)*(1-IF(AP$2-$F58&lt;=12,SUMIFS('Attrition Modeling'!$D:$D,'Attrition Modeling'!$B:$B,'Traditional Attrition'!$E58,'Attrition Modeling'!$C:$C,'Traditional Attrition'!AP$1),VLOOKUP('Traditional Attrition'!AP$2-'Traditional Attrition'!$F58-1,'Traditional Attrition'!$A$7:$C$161,2,FALSE)*VLOOKUP(AP$1,'Attrition Modeling'!$L$15:$N$27,IF(AP$2-$F58&lt;=24,2,3),FALSE))*(1+Projection!AR$16)*(1+IF(AP190&gt;0,'Attrition Modeling'!$N$9,0))),0))</f>
        <v>0</v>
      </c>
      <c r="AQ58" s="799">
        <f>IF(AQ$2=$F58+1,Monthly!AM$21,IF(AQ$2&gt;$F58+1,('Traditional Attrition'!AP58+AQ190)*(1-IF(AQ$2-$F58&lt;=12,SUMIFS('Attrition Modeling'!$D:$D,'Attrition Modeling'!$B:$B,'Traditional Attrition'!$E58,'Attrition Modeling'!$C:$C,'Traditional Attrition'!AQ$1),VLOOKUP('Traditional Attrition'!AQ$2-'Traditional Attrition'!$F58-1,'Traditional Attrition'!$A$7:$C$161,2,FALSE)*VLOOKUP(AQ$1,'Attrition Modeling'!$L$15:$N$27,IF(AQ$2-$F58&lt;=24,2,3),FALSE))*(1+Projection!AS$16)*(1+IF(AQ190&gt;0,'Attrition Modeling'!$N$9,0))),0))</f>
        <v>0</v>
      </c>
      <c r="AR58" s="799">
        <f>IF(AR$2=$F58+1,Monthly!AN$21,IF(AR$2&gt;$F58+1,('Traditional Attrition'!AQ58+AR190)*(1-IF(AR$2-$F58&lt;=12,SUMIFS('Attrition Modeling'!$D:$D,'Attrition Modeling'!$B:$B,'Traditional Attrition'!$E58,'Attrition Modeling'!$C:$C,'Traditional Attrition'!AR$1),VLOOKUP('Traditional Attrition'!AR$2-'Traditional Attrition'!$F58-1,'Traditional Attrition'!$A$7:$C$161,2,FALSE)*VLOOKUP(AR$1,'Attrition Modeling'!$L$15:$N$27,IF(AR$2-$F58&lt;=24,2,3),FALSE))*(1+Projection!AT$16)*(1+IF(AR190&gt;0,'Attrition Modeling'!$N$9,0))),0))</f>
        <v>0</v>
      </c>
      <c r="AS58" s="799">
        <f>IF(AS$2=$F58+1,Monthly!AO$21,IF(AS$2&gt;$F58+1,('Traditional Attrition'!AR58+AS190)*(1-IF(AS$2-$F58&lt;=12,SUMIFS('Attrition Modeling'!$D:$D,'Attrition Modeling'!$B:$B,'Traditional Attrition'!$E58,'Attrition Modeling'!$C:$C,'Traditional Attrition'!AS$1),VLOOKUP('Traditional Attrition'!AS$2-'Traditional Attrition'!$F58-1,'Traditional Attrition'!$A$7:$C$161,2,FALSE)*VLOOKUP(AS$1,'Attrition Modeling'!$L$15:$N$27,IF(AS$2-$F58&lt;=24,2,3),FALSE))*(1+Projection!AU$16)*(1+IF(AS190&gt;0,'Attrition Modeling'!$N$9,0))),0))</f>
        <v>0</v>
      </c>
      <c r="AT58" s="799">
        <f>IF(AT$2=$F58+1,Monthly!AP$21,IF(AT$2&gt;$F58+1,('Traditional Attrition'!AS58+AT190)*(1-IF(AT$2-$F58&lt;=12,SUMIFS('Attrition Modeling'!$D:$D,'Attrition Modeling'!$B:$B,'Traditional Attrition'!$E58,'Attrition Modeling'!$C:$C,'Traditional Attrition'!AT$1),VLOOKUP('Traditional Attrition'!AT$2-'Traditional Attrition'!$F58-1,'Traditional Attrition'!$A$7:$C$161,2,FALSE)*VLOOKUP(AT$1,'Attrition Modeling'!$L$15:$N$27,IF(AT$2-$F58&lt;=24,2,3),FALSE))*(1+Projection!AV$16)*(1+IF(AT190&gt;0,'Attrition Modeling'!$N$9,0))),0))</f>
        <v>0</v>
      </c>
      <c r="AU58" s="799">
        <f>IF(AU$2=$F58+1,Monthly!AQ$21,IF(AU$2&gt;$F58+1,('Traditional Attrition'!AT58+AU190)*(1-IF(AU$2-$F58&lt;=12,SUMIFS('Attrition Modeling'!$D:$D,'Attrition Modeling'!$B:$B,'Traditional Attrition'!$E58,'Attrition Modeling'!$C:$C,'Traditional Attrition'!AU$1),VLOOKUP('Traditional Attrition'!AU$2-'Traditional Attrition'!$F58-1,'Traditional Attrition'!$A$7:$C$161,2,FALSE)*VLOOKUP(AU$1,'Attrition Modeling'!$L$15:$N$27,IF(AU$2-$F58&lt;=24,2,3),FALSE))*(1+Projection!AW$16)*(1+IF(AU190&gt;0,'Attrition Modeling'!$N$9,0))),0))</f>
        <v>0</v>
      </c>
      <c r="AV58" s="799">
        <f>IF(AV$2=$F58+1,Monthly!AR$21,IF(AV$2&gt;$F58+1,('Traditional Attrition'!AU58+AV190)*(1-IF(AV$2-$F58&lt;=12,SUMIFS('Attrition Modeling'!$D:$D,'Attrition Modeling'!$B:$B,'Traditional Attrition'!$E58,'Attrition Modeling'!$C:$C,'Traditional Attrition'!AV$1),VLOOKUP('Traditional Attrition'!AV$2-'Traditional Attrition'!$F58-1,'Traditional Attrition'!$A$7:$C$161,2,FALSE)*VLOOKUP(AV$1,'Attrition Modeling'!$L$15:$N$27,IF(AV$2-$F58&lt;=24,2,3),FALSE))*(1+Projection!AX$16)*(1+IF(AV190&gt;0,'Attrition Modeling'!$N$9,0))),0))</f>
        <v>0</v>
      </c>
      <c r="AW58" s="799">
        <f>IF(AW$2=$F58+1,Monthly!AS$21,IF(AW$2&gt;$F58+1,('Traditional Attrition'!AV58+AW190)*(1-IF(AW$2-$F58&lt;=12,SUMIFS('Attrition Modeling'!$D:$D,'Attrition Modeling'!$B:$B,'Traditional Attrition'!$E58,'Attrition Modeling'!$C:$C,'Traditional Attrition'!AW$1),VLOOKUP('Traditional Attrition'!AW$2-'Traditional Attrition'!$F58-1,'Traditional Attrition'!$A$7:$C$161,2,FALSE)*VLOOKUP(AW$1,'Attrition Modeling'!$L$15:$N$27,IF(AW$2-$F58&lt;=24,2,3),FALSE))*(1+Projection!AY$16)*(1+IF(AW190&gt;0,'Attrition Modeling'!$N$9,0))),0))</f>
        <v>0</v>
      </c>
      <c r="AX58" s="799">
        <f>IF(AX$2=$F58+1,Monthly!AT$21,IF(AX$2&gt;$F58+1,('Traditional Attrition'!AW58+AX190)*(1-IF(AX$2-$F58&lt;=12,SUMIFS('Attrition Modeling'!$D:$D,'Attrition Modeling'!$B:$B,'Traditional Attrition'!$E58,'Attrition Modeling'!$C:$C,'Traditional Attrition'!AX$1),VLOOKUP('Traditional Attrition'!AX$2-'Traditional Attrition'!$F58-1,'Traditional Attrition'!$A$7:$C$161,2,FALSE)*VLOOKUP(AX$1,'Attrition Modeling'!$L$15:$N$27,IF(AX$2-$F58&lt;=24,2,3),FALSE))*(1+Projection!AZ$16)*(1+IF(AX190&gt;0,'Attrition Modeling'!$N$9,0))),0))</f>
        <v>0</v>
      </c>
      <c r="AY58" s="799">
        <f>IF(AY$2=$F58+1,Monthly!AU$21,IF(AY$2&gt;$F58+1,('Traditional Attrition'!AX58+AY190)*(1-IF(AY$2-$F58&lt;=12,SUMIFS('Attrition Modeling'!$D:$D,'Attrition Modeling'!$B:$B,'Traditional Attrition'!$E58,'Attrition Modeling'!$C:$C,'Traditional Attrition'!AY$1),VLOOKUP('Traditional Attrition'!AY$2-'Traditional Attrition'!$F58-1,'Traditional Attrition'!$A$7:$C$161,2,FALSE)*VLOOKUP(AY$1,'Attrition Modeling'!$L$15:$N$27,IF(AY$2-$F58&lt;=24,2,3),FALSE))*(1+Projection!BA$16)*(1+IF(AY190&gt;0,'Attrition Modeling'!$N$9,0))),0))</f>
        <v>0</v>
      </c>
      <c r="AZ58" s="799">
        <f>IF(AZ$2=$F58+1,Monthly!AV$21,IF(AZ$2&gt;$F58+1,('Traditional Attrition'!AY58+AZ190)*(1-IF(AZ$2-$F58&lt;=12,SUMIFS('Attrition Modeling'!$D:$D,'Attrition Modeling'!$B:$B,'Traditional Attrition'!$E58,'Attrition Modeling'!$C:$C,'Traditional Attrition'!AZ$1),VLOOKUP('Traditional Attrition'!AZ$2-'Traditional Attrition'!$F58-1,'Traditional Attrition'!$A$7:$C$161,2,FALSE)*VLOOKUP(AZ$1,'Attrition Modeling'!$L$15:$N$27,IF(AZ$2-$F58&lt;=24,2,3),FALSE))*(1+Projection!BB$16)*(1+IF(AZ190&gt;0,'Attrition Modeling'!$N$9,0))),0))</f>
        <v>0</v>
      </c>
      <c r="BA58" s="799">
        <f>IF(BA$2=$F58+1,Monthly!AW$21,IF(BA$2&gt;$F58+1,('Traditional Attrition'!AZ58+BA190)*(1-IF(BA$2-$F58&lt;=12,SUMIFS('Attrition Modeling'!$D:$D,'Attrition Modeling'!$B:$B,'Traditional Attrition'!$E58,'Attrition Modeling'!$C:$C,'Traditional Attrition'!BA$1),VLOOKUP('Traditional Attrition'!BA$2-'Traditional Attrition'!$F58-1,'Traditional Attrition'!$A$7:$C$161,2,FALSE)*VLOOKUP(BA$1,'Attrition Modeling'!$L$15:$N$27,IF(BA$2-$F58&lt;=24,2,3),FALSE))*(1+Projection!BC$16)*(1+IF(BA190&gt;0,'Attrition Modeling'!$N$9,0))),0))</f>
        <v>0</v>
      </c>
      <c r="BB58" s="799">
        <f>IF(BB$2=$F58+1,Monthly!AX$21,IF(BB$2&gt;$F58+1,('Traditional Attrition'!BA58+BB190)*(1-IF(BB$2-$F58&lt;=12,SUMIFS('Attrition Modeling'!$D:$D,'Attrition Modeling'!$B:$B,'Traditional Attrition'!$E58,'Attrition Modeling'!$C:$C,'Traditional Attrition'!BB$1),VLOOKUP('Traditional Attrition'!BB$2-'Traditional Attrition'!$F58-1,'Traditional Attrition'!$A$7:$C$161,2,FALSE)*VLOOKUP(BB$1,'Attrition Modeling'!$L$15:$N$27,IF(BB$2-$F58&lt;=24,2,3),FALSE))*(1+Projection!BD$16)*(1+IF(BB190&gt;0,'Attrition Modeling'!$N$9,0))),0))</f>
        <v>0</v>
      </c>
      <c r="BC58" s="799">
        <f>IF(BC$2=$F58+1,Monthly!AY$21,IF(BC$2&gt;$F58+1,('Traditional Attrition'!BB58+BC190)*(1-IF(BC$2-$F58&lt;=12,SUMIFS('Attrition Modeling'!$D:$D,'Attrition Modeling'!$B:$B,'Traditional Attrition'!$E58,'Attrition Modeling'!$C:$C,'Traditional Attrition'!BC$1),VLOOKUP('Traditional Attrition'!BC$2-'Traditional Attrition'!$F58-1,'Traditional Attrition'!$A$7:$C$161,2,FALSE)*VLOOKUP(BC$1,'Attrition Modeling'!$L$15:$N$27,IF(BC$2-$F58&lt;=24,2,3),FALSE))*(1+Projection!BE$16)*(1+IF(BC190&gt;0,'Attrition Modeling'!$N$9,0))),0))</f>
        <v>0</v>
      </c>
      <c r="BD58" s="799">
        <f>IF(BD$2=$F58+1,Monthly!AZ$21,IF(BD$2&gt;$F58+1,('Traditional Attrition'!BC58+BD190)*(1-IF(BD$2-$F58&lt;=12,SUMIFS('Attrition Modeling'!$D:$D,'Attrition Modeling'!$B:$B,'Traditional Attrition'!$E58,'Attrition Modeling'!$C:$C,'Traditional Attrition'!BD$1),VLOOKUP('Traditional Attrition'!BD$2-'Traditional Attrition'!$F58-1,'Traditional Attrition'!$A$7:$C$161,2,FALSE)*VLOOKUP(BD$1,'Attrition Modeling'!$L$15:$N$27,IF(BD$2-$F58&lt;=24,2,3),FALSE))*(1+Projection!BF$16)*(1+IF(BD190&gt;0,'Attrition Modeling'!$N$9,0))),0))</f>
        <v>0</v>
      </c>
      <c r="BE58" s="799">
        <f>IF(BE$2=$F58+1,Monthly!BA$21,IF(BE$2&gt;$F58+1,('Traditional Attrition'!BD58+BE190)*(1-IF(BE$2-$F58&lt;=12,SUMIFS('Attrition Modeling'!$D:$D,'Attrition Modeling'!$B:$B,'Traditional Attrition'!$E58,'Attrition Modeling'!$C:$C,'Traditional Attrition'!BE$1),VLOOKUP('Traditional Attrition'!BE$2-'Traditional Attrition'!$F58-1,'Traditional Attrition'!$A$7:$C$161,2,FALSE)*VLOOKUP(BE$1,'Attrition Modeling'!$L$15:$N$27,IF(BE$2-$F58&lt;=24,2,3),FALSE))*(1+Projection!BG$16)*(1+IF(BE190&gt;0,'Attrition Modeling'!$N$9,0))),0))</f>
        <v>0</v>
      </c>
      <c r="BF58" s="799">
        <f>IF(BF$2=$F58+1,Monthly!BB$21,IF(BF$2&gt;$F58+1,('Traditional Attrition'!BE58+BF190)*(1-IF(BF$2-$F58&lt;=12,SUMIFS('Attrition Modeling'!$D:$D,'Attrition Modeling'!$B:$B,'Traditional Attrition'!$E58,'Attrition Modeling'!$C:$C,'Traditional Attrition'!BF$1),VLOOKUP('Traditional Attrition'!BF$2-'Traditional Attrition'!$F58-1,'Traditional Attrition'!$A$7:$C$161,2,FALSE)*VLOOKUP(BF$1,'Attrition Modeling'!$L$15:$N$27,IF(BF$2-$F58&lt;=24,2,3),FALSE))*(1+Projection!BH$16)*(1+IF(BF190&gt;0,'Attrition Modeling'!$N$9,0))),0))</f>
        <v>0</v>
      </c>
      <c r="BG58" s="799">
        <f>IF(BG$2=$F58+1,Monthly!BC$21,IF(BG$2&gt;$F58+1,('Traditional Attrition'!BF58+BG190)*(1-IF(BG$2-$F58&lt;=12,SUMIFS('Attrition Modeling'!$D:$D,'Attrition Modeling'!$B:$B,'Traditional Attrition'!$E58,'Attrition Modeling'!$C:$C,'Traditional Attrition'!BG$1),VLOOKUP('Traditional Attrition'!BG$2-'Traditional Attrition'!$F58-1,'Traditional Attrition'!$A$7:$C$161,2,FALSE)*VLOOKUP(BG$1,'Attrition Modeling'!$L$15:$N$27,IF(BG$2-$F58&lt;=24,2,3),FALSE))*(1+Projection!BI$16)*(1+IF(BG190&gt;0,'Attrition Modeling'!$N$9,0))),0))</f>
        <v>0</v>
      </c>
      <c r="BH58" s="799">
        <f>IF(BH$2=$F58+1,Monthly!BD$21,IF(BH$2&gt;$F58+1,('Traditional Attrition'!BG58+BH190)*(1-IF(BH$2-$F58&lt;=12,SUMIFS('Attrition Modeling'!$D:$D,'Attrition Modeling'!$B:$B,'Traditional Attrition'!$E58,'Attrition Modeling'!$C:$C,'Traditional Attrition'!BH$1),VLOOKUP('Traditional Attrition'!BH$2-'Traditional Attrition'!$F58-1,'Traditional Attrition'!$A$7:$C$161,2,FALSE)*VLOOKUP(BH$1,'Attrition Modeling'!$L$15:$N$27,IF(BH$2-$F58&lt;=24,2,3),FALSE))*(1+Projection!BJ$16)*(1+IF(BH190&gt;0,'Attrition Modeling'!$N$9,0))),0))</f>
        <v>0</v>
      </c>
      <c r="BI58" s="799">
        <f>IF(BI$2=$F58+1,Monthly!BE$21,IF(BI$2&gt;$F58+1,('Traditional Attrition'!BH58+BI190)*(1-IF(BI$2-$F58&lt;=12,SUMIFS('Attrition Modeling'!$D:$D,'Attrition Modeling'!$B:$B,'Traditional Attrition'!$E58,'Attrition Modeling'!$C:$C,'Traditional Attrition'!BI$1),VLOOKUP('Traditional Attrition'!BI$2-'Traditional Attrition'!$F58-1,'Traditional Attrition'!$A$7:$C$161,2,FALSE)*VLOOKUP(BI$1,'Attrition Modeling'!$L$15:$N$27,IF(BI$2-$F58&lt;=24,2,3),FALSE))*(1+Projection!BK$16)*(1+IF(BI190&gt;0,'Attrition Modeling'!$N$9,0))),0))</f>
        <v>0</v>
      </c>
      <c r="BJ58" s="799">
        <f>IF(BJ$2=$F58+1,Monthly!BF$21,IF(BJ$2&gt;$F58+1,('Traditional Attrition'!BI58+BJ190)*(1-IF(BJ$2-$F58&lt;=12,SUMIFS('Attrition Modeling'!$D:$D,'Attrition Modeling'!$B:$B,'Traditional Attrition'!$E58,'Attrition Modeling'!$C:$C,'Traditional Attrition'!BJ$1),VLOOKUP('Traditional Attrition'!BJ$2-'Traditional Attrition'!$F58-1,'Traditional Attrition'!$A$7:$C$161,2,FALSE)*VLOOKUP(BJ$1,'Attrition Modeling'!$L$15:$N$27,IF(BJ$2-$F58&lt;=24,2,3),FALSE))*(1+Projection!BL$16)*(1+IF(BJ190&gt;0,'Attrition Modeling'!$N$9,0))),0))</f>
        <v>0</v>
      </c>
      <c r="BK58" s="799">
        <f>IF(BK$2=$F58+1,Monthly!BG$21,IF(BK$2&gt;$F58+1,('Traditional Attrition'!BJ58+BK190)*(1-IF(BK$2-$F58&lt;=12,SUMIFS('Attrition Modeling'!$D:$D,'Attrition Modeling'!$B:$B,'Traditional Attrition'!$E58,'Attrition Modeling'!$C:$C,'Traditional Attrition'!BK$1),VLOOKUP('Traditional Attrition'!BK$2-'Traditional Attrition'!$F58-1,'Traditional Attrition'!$A$7:$C$161,2,FALSE)*VLOOKUP(BK$1,'Attrition Modeling'!$L$15:$N$27,IF(BK$2-$F58&lt;=24,2,3),FALSE))*(1+Projection!BM$16)*(1+IF(BK190&gt;0,'Attrition Modeling'!$N$9,0))),0))</f>
        <v>9766.2082587378627</v>
      </c>
      <c r="BL58" s="799">
        <f>IF(BL$2=$F58+1,Monthly!BH$21,IF(BL$2&gt;$F58+1,('Traditional Attrition'!BK58+BL190)*(1-IF(BL$2-$F58&lt;=12,SUMIFS('Attrition Modeling'!$D:$D,'Attrition Modeling'!$B:$B,'Traditional Attrition'!$E58,'Attrition Modeling'!$C:$C,'Traditional Attrition'!BL$1),VLOOKUP('Traditional Attrition'!BL$2-'Traditional Attrition'!$F58-1,'Traditional Attrition'!$A$7:$C$161,2,FALSE)*VLOOKUP(BL$1,'Attrition Modeling'!$L$15:$N$27,IF(BL$2-$F58&lt;=24,2,3),FALSE))*(1+Projection!BN$16)*(1+IF(BL190&gt;0,'Attrition Modeling'!$N$9,0))),0))</f>
        <v>8649.0819712664415</v>
      </c>
      <c r="BM58" s="799">
        <f>IF(BM$2=$F58+1,Monthly!BI$21,IF(BM$2&gt;$F58+1,('Traditional Attrition'!BL58+BM190)*(1-IF(BM$2-$F58&lt;=12,SUMIFS('Attrition Modeling'!$D:$D,'Attrition Modeling'!$B:$B,'Traditional Attrition'!$E58,'Attrition Modeling'!$C:$C,'Traditional Attrition'!BM$1),VLOOKUP('Traditional Attrition'!BM$2-'Traditional Attrition'!$F58-1,'Traditional Attrition'!$A$7:$C$161,2,FALSE)*VLOOKUP(BM$1,'Attrition Modeling'!$L$15:$N$27,IF(BM$2-$F58&lt;=24,2,3),FALSE))*(1+Projection!BO$16)*(1+IF(BM190&gt;0,'Attrition Modeling'!$N$9,0))),0))</f>
        <v>7811.2110638544355</v>
      </c>
      <c r="BN58" s="799">
        <f>IF(BN$2=$F58+1,Monthly!BJ$21,IF(BN$2&gt;$F58+1,('Traditional Attrition'!BM58+BN190)*(1-IF(BN$2-$F58&lt;=12,SUMIFS('Attrition Modeling'!$D:$D,'Attrition Modeling'!$B:$B,'Traditional Attrition'!$E58,'Attrition Modeling'!$C:$C,'Traditional Attrition'!BN$1),VLOOKUP('Traditional Attrition'!BN$2-'Traditional Attrition'!$F58-1,'Traditional Attrition'!$A$7:$C$161,2,FALSE)*VLOOKUP(BN$1,'Attrition Modeling'!$L$15:$N$27,IF(BN$2-$F58&lt;=24,2,3),FALSE))*(1+Projection!BP$16)*(1+IF(BN190&gt;0,'Attrition Modeling'!$N$9,0))),0))</f>
        <v>7097.8376845953499</v>
      </c>
      <c r="BO58" s="799">
        <f>IF(BO$2=$F58+1,Monthly!BK$21,IF(BO$2&gt;$F58+1,('Traditional Attrition'!BN58+BO190)*(1-IF(BO$2-$F58&lt;=12,SUMIFS('Attrition Modeling'!$D:$D,'Attrition Modeling'!$B:$B,'Traditional Attrition'!$E58,'Attrition Modeling'!$C:$C,'Traditional Attrition'!BO$1),VLOOKUP('Traditional Attrition'!BO$2-'Traditional Attrition'!$F58-1,'Traditional Attrition'!$A$7:$C$161,2,FALSE)*VLOOKUP(BO$1,'Attrition Modeling'!$L$15:$N$27,IF(BO$2-$F58&lt;=24,2,3),FALSE))*(1+Projection!BV$16)*(1+IF(BO190&gt;0,'Attrition Modeling'!$N$9,0))),0))</f>
        <v>6521.5053309302712</v>
      </c>
      <c r="BP58" s="799">
        <f>IF(BP$2=$F58+1,Monthly!BL$21,IF(BP$2&gt;$F58+1,('Traditional Attrition'!BO58+BP190)*(1-IF(BP$2-$F58&lt;=12,SUMIFS('Attrition Modeling'!$D:$D,'Attrition Modeling'!$B:$B,'Traditional Attrition'!$E58,'Attrition Modeling'!$C:$C,'Traditional Attrition'!BP$1),VLOOKUP('Traditional Attrition'!BP$2-'Traditional Attrition'!$F58-1,'Traditional Attrition'!$A$7:$C$161,2,FALSE)*VLOOKUP(BP$1,'Attrition Modeling'!$L$15:$N$27,IF(BP$2-$F58&lt;=24,2,3),FALSE))*(1+Projection!BW$16)*(1+IF(BP190&gt;0,'Attrition Modeling'!$N$9,0))),0))</f>
        <v>6016.746622456013</v>
      </c>
      <c r="BQ58" s="799">
        <f>IF(BQ$2=$F58+1,Monthly!BM$21,IF(BQ$2&gt;$F58+1,('Traditional Attrition'!BP58+BQ190)*(1-IF(BQ$2-$F58&lt;=12,SUMIFS('Attrition Modeling'!$D:$D,'Attrition Modeling'!$B:$B,'Traditional Attrition'!$E58,'Attrition Modeling'!$C:$C,'Traditional Attrition'!BQ$1),VLOOKUP('Traditional Attrition'!BQ$2-'Traditional Attrition'!$F58-1,'Traditional Attrition'!$A$7:$C$161,2,FALSE)*VLOOKUP(BQ$1,'Attrition Modeling'!$L$15:$N$27,IF(BQ$2-$F58&lt;=24,2,3),FALSE))*(1+Projection!BX$16)*(1+IF(BQ190&gt;0,'Attrition Modeling'!$N$9,0))),0))</f>
        <v>5637.3223976685304</v>
      </c>
      <c r="BR58" s="799">
        <f>IF(BR$2=$F58+1,Monthly!BN$21,IF(BR$2&gt;$F58+1,('Traditional Attrition'!BQ58+BR190)*(1-IF(BR$2-$F58&lt;=12,SUMIFS('Attrition Modeling'!$D:$D,'Attrition Modeling'!$B:$B,'Traditional Attrition'!$E58,'Attrition Modeling'!$C:$C,'Traditional Attrition'!BR$1),VLOOKUP('Traditional Attrition'!BR$2-'Traditional Attrition'!$F58-1,'Traditional Attrition'!$A$7:$C$161,2,FALSE)*VLOOKUP(BR$1,'Attrition Modeling'!$L$15:$N$27,IF(BR$2-$F58&lt;=24,2,3),FALSE))*(1+Projection!BY$16)*(1+IF(BR190&gt;0,'Attrition Modeling'!$N$9,0))),0))</f>
        <v>5270.8109236393029</v>
      </c>
      <c r="BS58" s="799">
        <f>IF(BS$2=$F58+1,Monthly!BO$21,IF(BS$2&gt;$F58+1,('Traditional Attrition'!BR58+BS190)*(1-IF(BS$2-$F58&lt;=12,SUMIFS('Attrition Modeling'!$D:$D,'Attrition Modeling'!$B:$B,'Traditional Attrition'!$E58,'Attrition Modeling'!$C:$C,'Traditional Attrition'!BS$1),VLOOKUP('Traditional Attrition'!BS$2-'Traditional Attrition'!$F58-1,'Traditional Attrition'!$A$7:$C$161,2,FALSE)*VLOOKUP(BS$1,'Attrition Modeling'!$L$15:$N$27,IF(BS$2-$F58&lt;=24,2,3),FALSE))*(1+Projection!BZ$16)*(1+IF(BS190&gt;0,'Attrition Modeling'!$N$9,0))),0))</f>
        <v>4954.9506742779076</v>
      </c>
      <c r="BT58" s="799">
        <f>IF(BT$2=$F58+1,Monthly!#REF!,IF(BT$2&gt;$F58+1,('Traditional Attrition'!BS58+BT190)*(1-IF(BT$2-$F58&lt;=12,SUMIFS('Attrition Modeling'!$D:$D,'Attrition Modeling'!$B:$B,'Traditional Attrition'!$E58,'Attrition Modeling'!$C:$C,'Traditional Attrition'!BT$1),VLOOKUP('Traditional Attrition'!BT$2-'Traditional Attrition'!$F58-1,'Traditional Attrition'!$A$7:$C$161,2,FALSE)*VLOOKUP(BT$1,'Attrition Modeling'!$L$15:$N$27,IF(BT$2-$F58&lt;=24,2,3),FALSE))*(1+Projection!CA$16)*(1+IF(BT190&gt;0,'Attrition Modeling'!$N$9,0))),0))</f>
        <v>4679.1998899817836</v>
      </c>
      <c r="BU58" s="799">
        <f>IF(BU$2=$F58+1,Monthly!#REF!,IF(BU$2&gt;$F58+1,('Traditional Attrition'!BT58+BU190)*(1-IF(BU$2-$F58&lt;=12,SUMIFS('Attrition Modeling'!$D:$D,'Attrition Modeling'!$B:$B,'Traditional Attrition'!$E58,'Attrition Modeling'!$C:$C,'Traditional Attrition'!BU$1),VLOOKUP('Traditional Attrition'!BU$2-'Traditional Attrition'!$F58-1,'Traditional Attrition'!$A$7:$C$161,2,FALSE)*VLOOKUP(BU$1,'Attrition Modeling'!$L$15:$N$27,IF(BU$2-$F58&lt;=24,2,3),FALSE))*(1+Projection!CB$16)*(1+IF(BU190&gt;0,'Attrition Modeling'!$N$9,0))),0))</f>
        <v>4388.3569680601368</v>
      </c>
    </row>
    <row r="59" spans="1:73" ht="14.25" customHeight="1" x14ac:dyDescent="0.2">
      <c r="A59" s="9">
        <v>52</v>
      </c>
      <c r="B59" s="25">
        <f>MAX('Attrition Modeling'!H56,$C$3)*(1-Summary!$C$20)</f>
        <v>2.4391082351935767E-2</v>
      </c>
      <c r="C59" s="24" t="e">
        <f t="shared" si="4"/>
        <v>#DIV/0!</v>
      </c>
      <c r="E59" s="11">
        <f t="shared" si="2"/>
        <v>8</v>
      </c>
      <c r="F59" s="11">
        <f t="shared" si="3"/>
        <v>56</v>
      </c>
      <c r="G59" s="799"/>
      <c r="H59" s="799">
        <f>IF(H$2=$F59+1,Monthly!D$21,IF(H$2&gt;$F59+1,('Traditional Attrition'!G59+H191)*(1-IF(H$2-$F59&lt;=12,SUMIFS('Attrition Modeling'!$D:$D,'Attrition Modeling'!$B:$B,'Traditional Attrition'!$E59,'Attrition Modeling'!$C:$C,'Traditional Attrition'!H$1),VLOOKUP('Traditional Attrition'!H$2-'Traditional Attrition'!$F59-1,'Traditional Attrition'!$A$7:$C$161,2,FALSE)*VLOOKUP(H$1,'Attrition Modeling'!$L$15:$N$27,IF(H$2-$F59&lt;=24,2,3),FALSE))*(1+Projection!J$16)*(1+IF(H191&gt;0,'Attrition Modeling'!$N$9,0))),0))</f>
        <v>0</v>
      </c>
      <c r="I59" s="799">
        <f>IF(I$2=$F59+1,Monthly!E$21,IF(I$2&gt;$F59+1,('Traditional Attrition'!H59+I191)*(1-IF(I$2-$F59&lt;=12,SUMIFS('Attrition Modeling'!$D:$D,'Attrition Modeling'!$B:$B,'Traditional Attrition'!$E59,'Attrition Modeling'!$C:$C,'Traditional Attrition'!I$1),VLOOKUP('Traditional Attrition'!I$2-'Traditional Attrition'!$F59-1,'Traditional Attrition'!$A$7:$C$161,2,FALSE)*VLOOKUP(I$1,'Attrition Modeling'!$L$15:$N$27,IF(I$2-$F59&lt;=24,2,3),FALSE))*(1+Projection!K$16)*(1+IF(I191&gt;0,'Attrition Modeling'!$N$9,0))),0))</f>
        <v>0</v>
      </c>
      <c r="J59" s="799">
        <f>IF(J$2=$F59+1,Monthly!F$21,IF(J$2&gt;$F59+1,('Traditional Attrition'!I59+J191)*(1-IF(J$2-$F59&lt;=12,SUMIFS('Attrition Modeling'!$D:$D,'Attrition Modeling'!$B:$B,'Traditional Attrition'!$E59,'Attrition Modeling'!$C:$C,'Traditional Attrition'!J$1),VLOOKUP('Traditional Attrition'!J$2-'Traditional Attrition'!$F59-1,'Traditional Attrition'!$A$7:$C$161,2,FALSE)*VLOOKUP(J$1,'Attrition Modeling'!$L$15:$N$27,IF(J$2-$F59&lt;=24,2,3),FALSE))*(1+Projection!L$16)*(1+IF(J191&gt;0,'Attrition Modeling'!$N$9,0))),0))</f>
        <v>0</v>
      </c>
      <c r="K59" s="799">
        <f>IF(K$2=$F59+1,Monthly!G$21,IF(K$2&gt;$F59+1,('Traditional Attrition'!J59+K191)*(1-IF(K$2-$F59&lt;=12,SUMIFS('Attrition Modeling'!$D:$D,'Attrition Modeling'!$B:$B,'Traditional Attrition'!$E59,'Attrition Modeling'!$C:$C,'Traditional Attrition'!K$1),VLOOKUP('Traditional Attrition'!K$2-'Traditional Attrition'!$F59-1,'Traditional Attrition'!$A$7:$C$161,2,FALSE)*VLOOKUP(K$1,'Attrition Modeling'!$L$15:$N$27,IF(K$2-$F59&lt;=24,2,3),FALSE))*(1+Projection!M$16)*(1+IF(K191&gt;0,'Attrition Modeling'!$N$9,0))),0))</f>
        <v>0</v>
      </c>
      <c r="L59" s="799">
        <f>IF(L$2=$F59+1,Monthly!H$21,IF(L$2&gt;$F59+1,('Traditional Attrition'!K59+L191)*(1-IF(L$2-$F59&lt;=12,SUMIFS('Attrition Modeling'!$D:$D,'Attrition Modeling'!$B:$B,'Traditional Attrition'!$E59,'Attrition Modeling'!$C:$C,'Traditional Attrition'!L$1),VLOOKUP('Traditional Attrition'!L$2-'Traditional Attrition'!$F59-1,'Traditional Attrition'!$A$7:$C$161,2,FALSE)*VLOOKUP(L$1,'Attrition Modeling'!$L$15:$N$27,IF(L$2-$F59&lt;=24,2,3),FALSE))*(1+Projection!N$16)*(1+IF(L191&gt;0,'Attrition Modeling'!$N$9,0))),0))</f>
        <v>0</v>
      </c>
      <c r="M59" s="799">
        <f>IF(M$2=$F59+1,Monthly!I$21,IF(M$2&gt;$F59+1,('Traditional Attrition'!L59+M191)*(1-IF(M$2-$F59&lt;=12,SUMIFS('Attrition Modeling'!$D:$D,'Attrition Modeling'!$B:$B,'Traditional Attrition'!$E59,'Attrition Modeling'!$C:$C,'Traditional Attrition'!M$1),VLOOKUP('Traditional Attrition'!M$2-'Traditional Attrition'!$F59-1,'Traditional Attrition'!$A$7:$C$161,2,FALSE)*VLOOKUP(M$1,'Attrition Modeling'!$L$15:$N$27,IF(M$2-$F59&lt;=24,2,3),FALSE))*(1+Projection!O$16)*(1+IF(M191&gt;0,'Attrition Modeling'!$N$9,0))),0))</f>
        <v>0</v>
      </c>
      <c r="N59" s="799">
        <f>IF(N$2=$F59+1,Monthly!J$21,IF(N$2&gt;$F59+1,('Traditional Attrition'!M59+N191)*(1-IF(N$2-$F59&lt;=12,SUMIFS('Attrition Modeling'!$D:$D,'Attrition Modeling'!$B:$B,'Traditional Attrition'!$E59,'Attrition Modeling'!$C:$C,'Traditional Attrition'!N$1),VLOOKUP('Traditional Attrition'!N$2-'Traditional Attrition'!$F59-1,'Traditional Attrition'!$A$7:$C$161,2,FALSE)*VLOOKUP(N$1,'Attrition Modeling'!$L$15:$N$27,IF(N$2-$F59&lt;=24,2,3),FALSE))*(1+Projection!P$16)*(1+IF(N191&gt;0,'Attrition Modeling'!$N$9,0))),0))</f>
        <v>0</v>
      </c>
      <c r="O59" s="799">
        <f>IF(O$2=$F59+1,Monthly!K$21,IF(O$2&gt;$F59+1,('Traditional Attrition'!N59+O191)*(1-IF(O$2-$F59&lt;=12,SUMIFS('Attrition Modeling'!$D:$D,'Attrition Modeling'!$B:$B,'Traditional Attrition'!$E59,'Attrition Modeling'!$C:$C,'Traditional Attrition'!O$1),VLOOKUP('Traditional Attrition'!O$2-'Traditional Attrition'!$F59-1,'Traditional Attrition'!$A$7:$C$161,2,FALSE)*VLOOKUP(O$1,'Attrition Modeling'!$L$15:$N$27,IF(O$2-$F59&lt;=24,2,3),FALSE))*(1+Projection!Q$16)*(1+IF(O191&gt;0,'Attrition Modeling'!$N$9,0))),0))</f>
        <v>0</v>
      </c>
      <c r="P59" s="799">
        <f>IF(P$2=$F59+1,Monthly!L$21,IF(P$2&gt;$F59+1,('Traditional Attrition'!O59+P191)*(1-IF(P$2-$F59&lt;=12,SUMIFS('Attrition Modeling'!$D:$D,'Attrition Modeling'!$B:$B,'Traditional Attrition'!$E59,'Attrition Modeling'!$C:$C,'Traditional Attrition'!P$1),VLOOKUP('Traditional Attrition'!P$2-'Traditional Attrition'!$F59-1,'Traditional Attrition'!$A$7:$C$161,2,FALSE)*VLOOKUP(P$1,'Attrition Modeling'!$L$15:$N$27,IF(P$2-$F59&lt;=24,2,3),FALSE))*(1+Projection!R$16)*(1+IF(P191&gt;0,'Attrition Modeling'!$N$9,0))),0))</f>
        <v>0</v>
      </c>
      <c r="Q59" s="799">
        <f>IF(Q$2=$F59+1,Monthly!M$21,IF(Q$2&gt;$F59+1,('Traditional Attrition'!P59+Q191)*(1-IF(Q$2-$F59&lt;=12,SUMIFS('Attrition Modeling'!$D:$D,'Attrition Modeling'!$B:$B,'Traditional Attrition'!$E59,'Attrition Modeling'!$C:$C,'Traditional Attrition'!Q$1),VLOOKUP('Traditional Attrition'!Q$2-'Traditional Attrition'!$F59-1,'Traditional Attrition'!$A$7:$C$161,2,FALSE)*VLOOKUP(Q$1,'Attrition Modeling'!$L$15:$N$27,IF(Q$2-$F59&lt;=24,2,3),FALSE))*(1+Projection!S$16)*(1+IF(Q191&gt;0,'Attrition Modeling'!$N$9,0))),0))</f>
        <v>0</v>
      </c>
      <c r="R59" s="799">
        <f>IF(R$2=$F59+1,Monthly!N$21,IF(R$2&gt;$F59+1,('Traditional Attrition'!Q59+R191)*(1-IF(R$2-$F59&lt;=12,SUMIFS('Attrition Modeling'!$D:$D,'Attrition Modeling'!$B:$B,'Traditional Attrition'!$E59,'Attrition Modeling'!$C:$C,'Traditional Attrition'!R$1),VLOOKUP('Traditional Attrition'!R$2-'Traditional Attrition'!$F59-1,'Traditional Attrition'!$A$7:$C$161,2,FALSE)*VLOOKUP(R$1,'Attrition Modeling'!$L$15:$N$27,IF(R$2-$F59&lt;=24,2,3),FALSE))*(1+Projection!T$16)*(1+IF(R191&gt;0,'Attrition Modeling'!$N$9,0))),0))</f>
        <v>0</v>
      </c>
      <c r="S59" s="799">
        <f>IF(S$2=$F59+1,Monthly!O$21,IF(S$2&gt;$F59+1,('Traditional Attrition'!R59+S191)*(1-IF(S$2-$F59&lt;=12,SUMIFS('Attrition Modeling'!$D:$D,'Attrition Modeling'!$B:$B,'Traditional Attrition'!$E59,'Attrition Modeling'!$C:$C,'Traditional Attrition'!S$1),VLOOKUP('Traditional Attrition'!S$2-'Traditional Attrition'!$F59-1,'Traditional Attrition'!$A$7:$C$161,2,FALSE)*VLOOKUP(S$1,'Attrition Modeling'!$L$15:$N$27,IF(S$2-$F59&lt;=24,2,3),FALSE))*(1+Projection!U$16)*(1+IF(S191&gt;0,'Attrition Modeling'!$N$9,0))),0))</f>
        <v>0</v>
      </c>
      <c r="T59" s="799">
        <f>IF(T$2=$F59+1,Monthly!P$21,IF(T$2&gt;$F59+1,('Traditional Attrition'!S59+T191)*(1-IF(T$2-$F59&lt;=12,SUMIFS('Attrition Modeling'!$D:$D,'Attrition Modeling'!$B:$B,'Traditional Attrition'!$E59,'Attrition Modeling'!$C:$C,'Traditional Attrition'!T$1),VLOOKUP('Traditional Attrition'!T$2-'Traditional Attrition'!$F59-1,'Traditional Attrition'!$A$7:$C$161,2,FALSE)*VLOOKUP(T$1,'Attrition Modeling'!$L$15:$N$27,IF(T$2-$F59&lt;=24,2,3),FALSE))*(1+Projection!V$16)*(1+IF(T191&gt;0,'Attrition Modeling'!$N$9,0))),0))</f>
        <v>0</v>
      </c>
      <c r="U59" s="799">
        <f>IF(U$2=$F59+1,Monthly!Q$21,IF(U$2&gt;$F59+1,('Traditional Attrition'!T59+U191)*(1-IF(U$2-$F59&lt;=12,SUMIFS('Attrition Modeling'!$D:$D,'Attrition Modeling'!$B:$B,'Traditional Attrition'!$E59,'Attrition Modeling'!$C:$C,'Traditional Attrition'!U$1),VLOOKUP('Traditional Attrition'!U$2-'Traditional Attrition'!$F59-1,'Traditional Attrition'!$A$7:$C$161,2,FALSE)*VLOOKUP(U$1,'Attrition Modeling'!$L$15:$N$27,IF(U$2-$F59&lt;=24,2,3),FALSE))*(1+Projection!W$16)*(1+IF(U191&gt;0,'Attrition Modeling'!$N$9,0))),0))</f>
        <v>0</v>
      </c>
      <c r="V59" s="799">
        <f>IF(V$2=$F59+1,Monthly!R$21,IF(V$2&gt;$F59+1,('Traditional Attrition'!U59+V191)*(1-IF(V$2-$F59&lt;=12,SUMIFS('Attrition Modeling'!$D:$D,'Attrition Modeling'!$B:$B,'Traditional Attrition'!$E59,'Attrition Modeling'!$C:$C,'Traditional Attrition'!V$1),VLOOKUP('Traditional Attrition'!V$2-'Traditional Attrition'!$F59-1,'Traditional Attrition'!$A$7:$C$161,2,FALSE)*VLOOKUP(V$1,'Attrition Modeling'!$L$15:$N$27,IF(V$2-$F59&lt;=24,2,3),FALSE))*(1+Projection!X$16)*(1+IF(V191&gt;0,'Attrition Modeling'!$N$9,0))),0))</f>
        <v>0</v>
      </c>
      <c r="W59" s="799">
        <f>IF(W$2=$F59+1,Monthly!S$21,IF(W$2&gt;$F59+1,('Traditional Attrition'!V59+W191)*(1-IF(W$2-$F59&lt;=12,SUMIFS('Attrition Modeling'!$D:$D,'Attrition Modeling'!$B:$B,'Traditional Attrition'!$E59,'Attrition Modeling'!$C:$C,'Traditional Attrition'!W$1),VLOOKUP('Traditional Attrition'!W$2-'Traditional Attrition'!$F59-1,'Traditional Attrition'!$A$7:$C$161,2,FALSE)*VLOOKUP(W$1,'Attrition Modeling'!$L$15:$N$27,IF(W$2-$F59&lt;=24,2,3),FALSE))*(1+Projection!Y$16)*(1+IF(W191&gt;0,'Attrition Modeling'!$N$9,0))),0))</f>
        <v>0</v>
      </c>
      <c r="X59" s="799">
        <f>IF(X$2=$F59+1,Monthly!T$21,IF(X$2&gt;$F59+1,('Traditional Attrition'!W59+X191)*(1-IF(X$2-$F59&lt;=12,SUMIFS('Attrition Modeling'!$D:$D,'Attrition Modeling'!$B:$B,'Traditional Attrition'!$E59,'Attrition Modeling'!$C:$C,'Traditional Attrition'!X$1),VLOOKUP('Traditional Attrition'!X$2-'Traditional Attrition'!$F59-1,'Traditional Attrition'!$A$7:$C$161,2,FALSE)*VLOOKUP(X$1,'Attrition Modeling'!$L$15:$N$27,IF(X$2-$F59&lt;=24,2,3),FALSE))*(1+Projection!Z$16)*(1+IF(X191&gt;0,'Attrition Modeling'!$N$9,0))),0))</f>
        <v>0</v>
      </c>
      <c r="Y59" s="799">
        <f>IF(Y$2=$F59+1,Monthly!U$21,IF(Y$2&gt;$F59+1,('Traditional Attrition'!X59+Y191)*(1-IF(Y$2-$F59&lt;=12,SUMIFS('Attrition Modeling'!$D:$D,'Attrition Modeling'!$B:$B,'Traditional Attrition'!$E59,'Attrition Modeling'!$C:$C,'Traditional Attrition'!Y$1),VLOOKUP('Traditional Attrition'!Y$2-'Traditional Attrition'!$F59-1,'Traditional Attrition'!$A$7:$C$161,2,FALSE)*VLOOKUP(Y$1,'Attrition Modeling'!$L$15:$N$27,IF(Y$2-$F59&lt;=24,2,3),FALSE))*(1+Projection!AA$16)*(1+IF(Y191&gt;0,'Attrition Modeling'!$N$9,0))),0))</f>
        <v>0</v>
      </c>
      <c r="Z59" s="799">
        <f>IF(Z$2=$F59+1,Monthly!V$21,IF(Z$2&gt;$F59+1,('Traditional Attrition'!Y59+Z191)*(1-IF(Z$2-$F59&lt;=12,SUMIFS('Attrition Modeling'!$D:$D,'Attrition Modeling'!$B:$B,'Traditional Attrition'!$E59,'Attrition Modeling'!$C:$C,'Traditional Attrition'!Z$1),VLOOKUP('Traditional Attrition'!Z$2-'Traditional Attrition'!$F59-1,'Traditional Attrition'!$A$7:$C$161,2,FALSE)*VLOOKUP(Z$1,'Attrition Modeling'!$L$15:$N$27,IF(Z$2-$F59&lt;=24,2,3),FALSE))*(1+Projection!AB$16)*(1+IF(Z191&gt;0,'Attrition Modeling'!$N$9,0))),0))</f>
        <v>0</v>
      </c>
      <c r="AA59" s="799">
        <f>IF(AA$2=$F59+1,Monthly!W$21,IF(AA$2&gt;$F59+1,('Traditional Attrition'!Z59+AA191)*(1-IF(AA$2-$F59&lt;=12,SUMIFS('Attrition Modeling'!$D:$D,'Attrition Modeling'!$B:$B,'Traditional Attrition'!$E59,'Attrition Modeling'!$C:$C,'Traditional Attrition'!AA$1),VLOOKUP('Traditional Attrition'!AA$2-'Traditional Attrition'!$F59-1,'Traditional Attrition'!$A$7:$C$161,2,FALSE)*VLOOKUP(AA$1,'Attrition Modeling'!$L$15:$N$27,IF(AA$2-$F59&lt;=24,2,3),FALSE))*(1+Projection!AC$16)*(1+IF(AA191&gt;0,'Attrition Modeling'!$N$9,0))),0))</f>
        <v>0</v>
      </c>
      <c r="AB59" s="799">
        <f>IF(AB$2=$F59+1,Monthly!X$21,IF(AB$2&gt;$F59+1,('Traditional Attrition'!AA59+AB191)*(1-IF(AB$2-$F59&lt;=12,SUMIFS('Attrition Modeling'!$D:$D,'Attrition Modeling'!$B:$B,'Traditional Attrition'!$E59,'Attrition Modeling'!$C:$C,'Traditional Attrition'!AB$1),VLOOKUP('Traditional Attrition'!AB$2-'Traditional Attrition'!$F59-1,'Traditional Attrition'!$A$7:$C$161,2,FALSE)*VLOOKUP(AB$1,'Attrition Modeling'!$L$15:$N$27,IF(AB$2-$F59&lt;=24,2,3),FALSE))*(1+Projection!AD$16)*(1+IF(AB191&gt;0,'Attrition Modeling'!$N$9,0))),0))</f>
        <v>0</v>
      </c>
      <c r="AC59" s="799">
        <f>IF(AC$2=$F59+1,Monthly!Y$21,IF(AC$2&gt;$F59+1,('Traditional Attrition'!AB59+AC191)*(1-IF(AC$2-$F59&lt;=12,SUMIFS('Attrition Modeling'!$D:$D,'Attrition Modeling'!$B:$B,'Traditional Attrition'!$E59,'Attrition Modeling'!$C:$C,'Traditional Attrition'!AC$1),VLOOKUP('Traditional Attrition'!AC$2-'Traditional Attrition'!$F59-1,'Traditional Attrition'!$A$7:$C$161,2,FALSE)*VLOOKUP(AC$1,'Attrition Modeling'!$L$15:$N$27,IF(AC$2-$F59&lt;=24,2,3),FALSE))*(1+Projection!AE$16)*(1+IF(AC191&gt;0,'Attrition Modeling'!$N$9,0))),0))</f>
        <v>0</v>
      </c>
      <c r="AD59" s="799">
        <f>IF(AD$2=$F59+1,Monthly!Z$21,IF(AD$2&gt;$F59+1,('Traditional Attrition'!AC59+AD191)*(1-IF(AD$2-$F59&lt;=12,SUMIFS('Attrition Modeling'!$D:$D,'Attrition Modeling'!$B:$B,'Traditional Attrition'!$E59,'Attrition Modeling'!$C:$C,'Traditional Attrition'!AD$1),VLOOKUP('Traditional Attrition'!AD$2-'Traditional Attrition'!$F59-1,'Traditional Attrition'!$A$7:$C$161,2,FALSE)*VLOOKUP(AD$1,'Attrition Modeling'!$L$15:$N$27,IF(AD$2-$F59&lt;=24,2,3),FALSE))*(1+Projection!AF$16)*(1+IF(AD191&gt;0,'Attrition Modeling'!$N$9,0))),0))</f>
        <v>0</v>
      </c>
      <c r="AE59" s="799">
        <f>IF(AE$2=$F59+1,Monthly!AA$21,IF(AE$2&gt;$F59+1,('Traditional Attrition'!AD59+AE191)*(1-IF(AE$2-$F59&lt;=12,SUMIFS('Attrition Modeling'!$D:$D,'Attrition Modeling'!$B:$B,'Traditional Attrition'!$E59,'Attrition Modeling'!$C:$C,'Traditional Attrition'!AE$1),VLOOKUP('Traditional Attrition'!AE$2-'Traditional Attrition'!$F59-1,'Traditional Attrition'!$A$7:$C$161,2,FALSE)*VLOOKUP(AE$1,'Attrition Modeling'!$L$15:$N$27,IF(AE$2-$F59&lt;=24,2,3),FALSE))*(1+Projection!AG$16)*(1+IF(AE191&gt;0,'Attrition Modeling'!$N$9,0))),0))</f>
        <v>0</v>
      </c>
      <c r="AF59" s="799">
        <f>IF(AF$2=$F59+1,Monthly!AB$21,IF(AF$2&gt;$F59+1,('Traditional Attrition'!AE59+AF191)*(1-IF(AF$2-$F59&lt;=12,SUMIFS('Attrition Modeling'!$D:$D,'Attrition Modeling'!$B:$B,'Traditional Attrition'!$E59,'Attrition Modeling'!$C:$C,'Traditional Attrition'!AF$1),VLOOKUP('Traditional Attrition'!AF$2-'Traditional Attrition'!$F59-1,'Traditional Attrition'!$A$7:$C$161,2,FALSE)*VLOOKUP(AF$1,'Attrition Modeling'!$L$15:$N$27,IF(AF$2-$F59&lt;=24,2,3),FALSE))*(1+Projection!AH$16)*(1+IF(AF191&gt;0,'Attrition Modeling'!$N$9,0))),0))</f>
        <v>0</v>
      </c>
      <c r="AG59" s="799">
        <f>IF(AG$2=$F59+1,Monthly!AC$21,IF(AG$2&gt;$F59+1,('Traditional Attrition'!AF59+AG191)*(1-IF(AG$2-$F59&lt;=12,SUMIFS('Attrition Modeling'!$D:$D,'Attrition Modeling'!$B:$B,'Traditional Attrition'!$E59,'Attrition Modeling'!$C:$C,'Traditional Attrition'!AG$1),VLOOKUP('Traditional Attrition'!AG$2-'Traditional Attrition'!$F59-1,'Traditional Attrition'!$A$7:$C$161,2,FALSE)*VLOOKUP(AG$1,'Attrition Modeling'!$L$15:$N$27,IF(AG$2-$F59&lt;=24,2,3),FALSE))*(1+Projection!AI$16)*(1+IF(AG191&gt;0,'Attrition Modeling'!$N$9,0))),0))</f>
        <v>0</v>
      </c>
      <c r="AH59" s="799">
        <f>IF(AH$2=$F59+1,Monthly!AD$21,IF(AH$2&gt;$F59+1,('Traditional Attrition'!AG59+AH191)*(1-IF(AH$2-$F59&lt;=12,SUMIFS('Attrition Modeling'!$D:$D,'Attrition Modeling'!$B:$B,'Traditional Attrition'!$E59,'Attrition Modeling'!$C:$C,'Traditional Attrition'!AH$1),VLOOKUP('Traditional Attrition'!AH$2-'Traditional Attrition'!$F59-1,'Traditional Attrition'!$A$7:$C$161,2,FALSE)*VLOOKUP(AH$1,'Attrition Modeling'!$L$15:$N$27,IF(AH$2-$F59&lt;=24,2,3),FALSE))*(1+Projection!AJ$16)*(1+IF(AH191&gt;0,'Attrition Modeling'!$N$9,0))),0))</f>
        <v>0</v>
      </c>
      <c r="AI59" s="799">
        <f>IF(AI$2=$F59+1,Monthly!AE$21,IF(AI$2&gt;$F59+1,('Traditional Attrition'!AH59+AI191)*(1-IF(AI$2-$F59&lt;=12,SUMIFS('Attrition Modeling'!$D:$D,'Attrition Modeling'!$B:$B,'Traditional Attrition'!$E59,'Attrition Modeling'!$C:$C,'Traditional Attrition'!AI$1),VLOOKUP('Traditional Attrition'!AI$2-'Traditional Attrition'!$F59-1,'Traditional Attrition'!$A$7:$C$161,2,FALSE)*VLOOKUP(AI$1,'Attrition Modeling'!$L$15:$N$27,IF(AI$2-$F59&lt;=24,2,3),FALSE))*(1+Projection!AK$16)*(1+IF(AI191&gt;0,'Attrition Modeling'!$N$9,0))),0))</f>
        <v>0</v>
      </c>
      <c r="AJ59" s="799">
        <f>IF(AJ$2=$F59+1,Monthly!AF$21,IF(AJ$2&gt;$F59+1,('Traditional Attrition'!AI59+AJ191)*(1-IF(AJ$2-$F59&lt;=12,SUMIFS('Attrition Modeling'!$D:$D,'Attrition Modeling'!$B:$B,'Traditional Attrition'!$E59,'Attrition Modeling'!$C:$C,'Traditional Attrition'!AJ$1),VLOOKUP('Traditional Attrition'!AJ$2-'Traditional Attrition'!$F59-1,'Traditional Attrition'!$A$7:$C$161,2,FALSE)*VLOOKUP(AJ$1,'Attrition Modeling'!$L$15:$N$27,IF(AJ$2-$F59&lt;=24,2,3),FALSE))*(1+Projection!AL$16)*(1+IF(AJ191&gt;0,'Attrition Modeling'!$N$9,0))),0))</f>
        <v>0</v>
      </c>
      <c r="AK59" s="799">
        <f>IF(AK$2=$F59+1,Monthly!AG$21,IF(AK$2&gt;$F59+1,('Traditional Attrition'!AJ59+AK191)*(1-IF(AK$2-$F59&lt;=12,SUMIFS('Attrition Modeling'!$D:$D,'Attrition Modeling'!$B:$B,'Traditional Attrition'!$E59,'Attrition Modeling'!$C:$C,'Traditional Attrition'!AK$1),VLOOKUP('Traditional Attrition'!AK$2-'Traditional Attrition'!$F59-1,'Traditional Attrition'!$A$7:$C$161,2,FALSE)*VLOOKUP(AK$1,'Attrition Modeling'!$L$15:$N$27,IF(AK$2-$F59&lt;=24,2,3),FALSE))*(1+Projection!AM$16)*(1+IF(AK191&gt;0,'Attrition Modeling'!$N$9,0))),0))</f>
        <v>0</v>
      </c>
      <c r="AL59" s="799">
        <f>IF(AL$2=$F59+1,Monthly!AH$21,IF(AL$2&gt;$F59+1,('Traditional Attrition'!AK59+AL191)*(1-IF(AL$2-$F59&lt;=12,SUMIFS('Attrition Modeling'!$D:$D,'Attrition Modeling'!$B:$B,'Traditional Attrition'!$E59,'Attrition Modeling'!$C:$C,'Traditional Attrition'!AL$1),VLOOKUP('Traditional Attrition'!AL$2-'Traditional Attrition'!$F59-1,'Traditional Attrition'!$A$7:$C$161,2,FALSE)*VLOOKUP(AL$1,'Attrition Modeling'!$L$15:$N$27,IF(AL$2-$F59&lt;=24,2,3),FALSE))*(1+Projection!AN$16)*(1+IF(AL191&gt;0,'Attrition Modeling'!$N$9,0))),0))</f>
        <v>0</v>
      </c>
      <c r="AM59" s="799">
        <f>IF(AM$2=$F59+1,Monthly!AI$21,IF(AM$2&gt;$F59+1,('Traditional Attrition'!AL59+AM191)*(1-IF(AM$2-$F59&lt;=12,SUMIFS('Attrition Modeling'!$D:$D,'Attrition Modeling'!$B:$B,'Traditional Attrition'!$E59,'Attrition Modeling'!$C:$C,'Traditional Attrition'!AM$1),VLOOKUP('Traditional Attrition'!AM$2-'Traditional Attrition'!$F59-1,'Traditional Attrition'!$A$7:$C$161,2,FALSE)*VLOOKUP(AM$1,'Attrition Modeling'!$L$15:$N$27,IF(AM$2-$F59&lt;=24,2,3),FALSE))*(1+Projection!AO$16)*(1+IF(AM191&gt;0,'Attrition Modeling'!$N$9,0))),0))</f>
        <v>0</v>
      </c>
      <c r="AN59" s="799">
        <f>IF(AN$2=$F59+1,Monthly!AJ$21,IF(AN$2&gt;$F59+1,('Traditional Attrition'!AM59+AN191)*(1-IF(AN$2-$F59&lt;=12,SUMIFS('Attrition Modeling'!$D:$D,'Attrition Modeling'!$B:$B,'Traditional Attrition'!$E59,'Attrition Modeling'!$C:$C,'Traditional Attrition'!AN$1),VLOOKUP('Traditional Attrition'!AN$2-'Traditional Attrition'!$F59-1,'Traditional Attrition'!$A$7:$C$161,2,FALSE)*VLOOKUP(AN$1,'Attrition Modeling'!$L$15:$N$27,IF(AN$2-$F59&lt;=24,2,3),FALSE))*(1+Projection!AP$16)*(1+IF(AN191&gt;0,'Attrition Modeling'!$N$9,0))),0))</f>
        <v>0</v>
      </c>
      <c r="AO59" s="799">
        <f>IF(AO$2=$F59+1,Monthly!AK$21,IF(AO$2&gt;$F59+1,('Traditional Attrition'!AN59+AO191)*(1-IF(AO$2-$F59&lt;=12,SUMIFS('Attrition Modeling'!$D:$D,'Attrition Modeling'!$B:$B,'Traditional Attrition'!$E59,'Attrition Modeling'!$C:$C,'Traditional Attrition'!AO$1),VLOOKUP('Traditional Attrition'!AO$2-'Traditional Attrition'!$F59-1,'Traditional Attrition'!$A$7:$C$161,2,FALSE)*VLOOKUP(AO$1,'Attrition Modeling'!$L$15:$N$27,IF(AO$2-$F59&lt;=24,2,3),FALSE))*(1+Projection!AQ$16)*(1+IF(AO191&gt;0,'Attrition Modeling'!$N$9,0))),0))</f>
        <v>0</v>
      </c>
      <c r="AP59" s="799">
        <f>IF(AP$2=$F59+1,Monthly!AL$21,IF(AP$2&gt;$F59+1,('Traditional Attrition'!AO59+AP191)*(1-IF(AP$2-$F59&lt;=12,SUMIFS('Attrition Modeling'!$D:$D,'Attrition Modeling'!$B:$B,'Traditional Attrition'!$E59,'Attrition Modeling'!$C:$C,'Traditional Attrition'!AP$1),VLOOKUP('Traditional Attrition'!AP$2-'Traditional Attrition'!$F59-1,'Traditional Attrition'!$A$7:$C$161,2,FALSE)*VLOOKUP(AP$1,'Attrition Modeling'!$L$15:$N$27,IF(AP$2-$F59&lt;=24,2,3),FALSE))*(1+Projection!AR$16)*(1+IF(AP191&gt;0,'Attrition Modeling'!$N$9,0))),0))</f>
        <v>0</v>
      </c>
      <c r="AQ59" s="799">
        <f>IF(AQ$2=$F59+1,Monthly!AM$21,IF(AQ$2&gt;$F59+1,('Traditional Attrition'!AP59+AQ191)*(1-IF(AQ$2-$F59&lt;=12,SUMIFS('Attrition Modeling'!$D:$D,'Attrition Modeling'!$B:$B,'Traditional Attrition'!$E59,'Attrition Modeling'!$C:$C,'Traditional Attrition'!AQ$1),VLOOKUP('Traditional Attrition'!AQ$2-'Traditional Attrition'!$F59-1,'Traditional Attrition'!$A$7:$C$161,2,FALSE)*VLOOKUP(AQ$1,'Attrition Modeling'!$L$15:$N$27,IF(AQ$2-$F59&lt;=24,2,3),FALSE))*(1+Projection!AS$16)*(1+IF(AQ191&gt;0,'Attrition Modeling'!$N$9,0))),0))</f>
        <v>0</v>
      </c>
      <c r="AR59" s="799">
        <f>IF(AR$2=$F59+1,Monthly!AN$21,IF(AR$2&gt;$F59+1,('Traditional Attrition'!AQ59+AR191)*(1-IF(AR$2-$F59&lt;=12,SUMIFS('Attrition Modeling'!$D:$D,'Attrition Modeling'!$B:$B,'Traditional Attrition'!$E59,'Attrition Modeling'!$C:$C,'Traditional Attrition'!AR$1),VLOOKUP('Traditional Attrition'!AR$2-'Traditional Attrition'!$F59-1,'Traditional Attrition'!$A$7:$C$161,2,FALSE)*VLOOKUP(AR$1,'Attrition Modeling'!$L$15:$N$27,IF(AR$2-$F59&lt;=24,2,3),FALSE))*(1+Projection!AT$16)*(1+IF(AR191&gt;0,'Attrition Modeling'!$N$9,0))),0))</f>
        <v>0</v>
      </c>
      <c r="AS59" s="799">
        <f>IF(AS$2=$F59+1,Monthly!AO$21,IF(AS$2&gt;$F59+1,('Traditional Attrition'!AR59+AS191)*(1-IF(AS$2-$F59&lt;=12,SUMIFS('Attrition Modeling'!$D:$D,'Attrition Modeling'!$B:$B,'Traditional Attrition'!$E59,'Attrition Modeling'!$C:$C,'Traditional Attrition'!AS$1),VLOOKUP('Traditional Attrition'!AS$2-'Traditional Attrition'!$F59-1,'Traditional Attrition'!$A$7:$C$161,2,FALSE)*VLOOKUP(AS$1,'Attrition Modeling'!$L$15:$N$27,IF(AS$2-$F59&lt;=24,2,3),FALSE))*(1+Projection!AU$16)*(1+IF(AS191&gt;0,'Attrition Modeling'!$N$9,0))),0))</f>
        <v>0</v>
      </c>
      <c r="AT59" s="799">
        <f>IF(AT$2=$F59+1,Monthly!AP$21,IF(AT$2&gt;$F59+1,('Traditional Attrition'!AS59+AT191)*(1-IF(AT$2-$F59&lt;=12,SUMIFS('Attrition Modeling'!$D:$D,'Attrition Modeling'!$B:$B,'Traditional Attrition'!$E59,'Attrition Modeling'!$C:$C,'Traditional Attrition'!AT$1),VLOOKUP('Traditional Attrition'!AT$2-'Traditional Attrition'!$F59-1,'Traditional Attrition'!$A$7:$C$161,2,FALSE)*VLOOKUP(AT$1,'Attrition Modeling'!$L$15:$N$27,IF(AT$2-$F59&lt;=24,2,3),FALSE))*(1+Projection!AV$16)*(1+IF(AT191&gt;0,'Attrition Modeling'!$N$9,0))),0))</f>
        <v>0</v>
      </c>
      <c r="AU59" s="799">
        <f>IF(AU$2=$F59+1,Monthly!AQ$21,IF(AU$2&gt;$F59+1,('Traditional Attrition'!AT59+AU191)*(1-IF(AU$2-$F59&lt;=12,SUMIFS('Attrition Modeling'!$D:$D,'Attrition Modeling'!$B:$B,'Traditional Attrition'!$E59,'Attrition Modeling'!$C:$C,'Traditional Attrition'!AU$1),VLOOKUP('Traditional Attrition'!AU$2-'Traditional Attrition'!$F59-1,'Traditional Attrition'!$A$7:$C$161,2,FALSE)*VLOOKUP(AU$1,'Attrition Modeling'!$L$15:$N$27,IF(AU$2-$F59&lt;=24,2,3),FALSE))*(1+Projection!AW$16)*(1+IF(AU191&gt;0,'Attrition Modeling'!$N$9,0))),0))</f>
        <v>0</v>
      </c>
      <c r="AV59" s="799">
        <f>IF(AV$2=$F59+1,Monthly!AR$21,IF(AV$2&gt;$F59+1,('Traditional Attrition'!AU59+AV191)*(1-IF(AV$2-$F59&lt;=12,SUMIFS('Attrition Modeling'!$D:$D,'Attrition Modeling'!$B:$B,'Traditional Attrition'!$E59,'Attrition Modeling'!$C:$C,'Traditional Attrition'!AV$1),VLOOKUP('Traditional Attrition'!AV$2-'Traditional Attrition'!$F59-1,'Traditional Attrition'!$A$7:$C$161,2,FALSE)*VLOOKUP(AV$1,'Attrition Modeling'!$L$15:$N$27,IF(AV$2-$F59&lt;=24,2,3),FALSE))*(1+Projection!AX$16)*(1+IF(AV191&gt;0,'Attrition Modeling'!$N$9,0))),0))</f>
        <v>0</v>
      </c>
      <c r="AW59" s="799">
        <f>IF(AW$2=$F59+1,Monthly!AS$21,IF(AW$2&gt;$F59+1,('Traditional Attrition'!AV59+AW191)*(1-IF(AW$2-$F59&lt;=12,SUMIFS('Attrition Modeling'!$D:$D,'Attrition Modeling'!$B:$B,'Traditional Attrition'!$E59,'Attrition Modeling'!$C:$C,'Traditional Attrition'!AW$1),VLOOKUP('Traditional Attrition'!AW$2-'Traditional Attrition'!$F59-1,'Traditional Attrition'!$A$7:$C$161,2,FALSE)*VLOOKUP(AW$1,'Attrition Modeling'!$L$15:$N$27,IF(AW$2-$F59&lt;=24,2,3),FALSE))*(1+Projection!AY$16)*(1+IF(AW191&gt;0,'Attrition Modeling'!$N$9,0))),0))</f>
        <v>0</v>
      </c>
      <c r="AX59" s="799">
        <f>IF(AX$2=$F59+1,Monthly!AT$21,IF(AX$2&gt;$F59+1,('Traditional Attrition'!AW59+AX191)*(1-IF(AX$2-$F59&lt;=12,SUMIFS('Attrition Modeling'!$D:$D,'Attrition Modeling'!$B:$B,'Traditional Attrition'!$E59,'Attrition Modeling'!$C:$C,'Traditional Attrition'!AX$1),VLOOKUP('Traditional Attrition'!AX$2-'Traditional Attrition'!$F59-1,'Traditional Attrition'!$A$7:$C$161,2,FALSE)*VLOOKUP(AX$1,'Attrition Modeling'!$L$15:$N$27,IF(AX$2-$F59&lt;=24,2,3),FALSE))*(1+Projection!AZ$16)*(1+IF(AX191&gt;0,'Attrition Modeling'!$N$9,0))),0))</f>
        <v>0</v>
      </c>
      <c r="AY59" s="799">
        <f>IF(AY$2=$F59+1,Monthly!AU$21,IF(AY$2&gt;$F59+1,('Traditional Attrition'!AX59+AY191)*(1-IF(AY$2-$F59&lt;=12,SUMIFS('Attrition Modeling'!$D:$D,'Attrition Modeling'!$B:$B,'Traditional Attrition'!$E59,'Attrition Modeling'!$C:$C,'Traditional Attrition'!AY$1),VLOOKUP('Traditional Attrition'!AY$2-'Traditional Attrition'!$F59-1,'Traditional Attrition'!$A$7:$C$161,2,FALSE)*VLOOKUP(AY$1,'Attrition Modeling'!$L$15:$N$27,IF(AY$2-$F59&lt;=24,2,3),FALSE))*(1+Projection!BA$16)*(1+IF(AY191&gt;0,'Attrition Modeling'!$N$9,0))),0))</f>
        <v>0</v>
      </c>
      <c r="AZ59" s="799">
        <f>IF(AZ$2=$F59+1,Monthly!AV$21,IF(AZ$2&gt;$F59+1,('Traditional Attrition'!AY59+AZ191)*(1-IF(AZ$2-$F59&lt;=12,SUMIFS('Attrition Modeling'!$D:$D,'Attrition Modeling'!$B:$B,'Traditional Attrition'!$E59,'Attrition Modeling'!$C:$C,'Traditional Attrition'!AZ$1),VLOOKUP('Traditional Attrition'!AZ$2-'Traditional Attrition'!$F59-1,'Traditional Attrition'!$A$7:$C$161,2,FALSE)*VLOOKUP(AZ$1,'Attrition Modeling'!$L$15:$N$27,IF(AZ$2-$F59&lt;=24,2,3),FALSE))*(1+Projection!BB$16)*(1+IF(AZ191&gt;0,'Attrition Modeling'!$N$9,0))),0))</f>
        <v>0</v>
      </c>
      <c r="BA59" s="799">
        <f>IF(BA$2=$F59+1,Monthly!AW$21,IF(BA$2&gt;$F59+1,('Traditional Attrition'!AZ59+BA191)*(1-IF(BA$2-$F59&lt;=12,SUMIFS('Attrition Modeling'!$D:$D,'Attrition Modeling'!$B:$B,'Traditional Attrition'!$E59,'Attrition Modeling'!$C:$C,'Traditional Attrition'!BA$1),VLOOKUP('Traditional Attrition'!BA$2-'Traditional Attrition'!$F59-1,'Traditional Attrition'!$A$7:$C$161,2,FALSE)*VLOOKUP(BA$1,'Attrition Modeling'!$L$15:$N$27,IF(BA$2-$F59&lt;=24,2,3),FALSE))*(1+Projection!BC$16)*(1+IF(BA191&gt;0,'Attrition Modeling'!$N$9,0))),0))</f>
        <v>0</v>
      </c>
      <c r="BB59" s="799">
        <f>IF(BB$2=$F59+1,Monthly!AX$21,IF(BB$2&gt;$F59+1,('Traditional Attrition'!BA59+BB191)*(1-IF(BB$2-$F59&lt;=12,SUMIFS('Attrition Modeling'!$D:$D,'Attrition Modeling'!$B:$B,'Traditional Attrition'!$E59,'Attrition Modeling'!$C:$C,'Traditional Attrition'!BB$1),VLOOKUP('Traditional Attrition'!BB$2-'Traditional Attrition'!$F59-1,'Traditional Attrition'!$A$7:$C$161,2,FALSE)*VLOOKUP(BB$1,'Attrition Modeling'!$L$15:$N$27,IF(BB$2-$F59&lt;=24,2,3),FALSE))*(1+Projection!BD$16)*(1+IF(BB191&gt;0,'Attrition Modeling'!$N$9,0))),0))</f>
        <v>0</v>
      </c>
      <c r="BC59" s="799">
        <f>IF(BC$2=$F59+1,Monthly!AY$21,IF(BC$2&gt;$F59+1,('Traditional Attrition'!BB59+BC191)*(1-IF(BC$2-$F59&lt;=12,SUMIFS('Attrition Modeling'!$D:$D,'Attrition Modeling'!$B:$B,'Traditional Attrition'!$E59,'Attrition Modeling'!$C:$C,'Traditional Attrition'!BC$1),VLOOKUP('Traditional Attrition'!BC$2-'Traditional Attrition'!$F59-1,'Traditional Attrition'!$A$7:$C$161,2,FALSE)*VLOOKUP(BC$1,'Attrition Modeling'!$L$15:$N$27,IF(BC$2-$F59&lt;=24,2,3),FALSE))*(1+Projection!BE$16)*(1+IF(BC191&gt;0,'Attrition Modeling'!$N$9,0))),0))</f>
        <v>0</v>
      </c>
      <c r="BD59" s="799">
        <f>IF(BD$2=$F59+1,Monthly!AZ$21,IF(BD$2&gt;$F59+1,('Traditional Attrition'!BC59+BD191)*(1-IF(BD$2-$F59&lt;=12,SUMIFS('Attrition Modeling'!$D:$D,'Attrition Modeling'!$B:$B,'Traditional Attrition'!$E59,'Attrition Modeling'!$C:$C,'Traditional Attrition'!BD$1),VLOOKUP('Traditional Attrition'!BD$2-'Traditional Attrition'!$F59-1,'Traditional Attrition'!$A$7:$C$161,2,FALSE)*VLOOKUP(BD$1,'Attrition Modeling'!$L$15:$N$27,IF(BD$2-$F59&lt;=24,2,3),FALSE))*(1+Projection!BF$16)*(1+IF(BD191&gt;0,'Attrition Modeling'!$N$9,0))),0))</f>
        <v>0</v>
      </c>
      <c r="BE59" s="799">
        <f>IF(BE$2=$F59+1,Monthly!BA$21,IF(BE$2&gt;$F59+1,('Traditional Attrition'!BD59+BE191)*(1-IF(BE$2-$F59&lt;=12,SUMIFS('Attrition Modeling'!$D:$D,'Attrition Modeling'!$B:$B,'Traditional Attrition'!$E59,'Attrition Modeling'!$C:$C,'Traditional Attrition'!BE$1),VLOOKUP('Traditional Attrition'!BE$2-'Traditional Attrition'!$F59-1,'Traditional Attrition'!$A$7:$C$161,2,FALSE)*VLOOKUP(BE$1,'Attrition Modeling'!$L$15:$N$27,IF(BE$2-$F59&lt;=24,2,3),FALSE))*(1+Projection!BG$16)*(1+IF(BE191&gt;0,'Attrition Modeling'!$N$9,0))),0))</f>
        <v>0</v>
      </c>
      <c r="BF59" s="799">
        <f>IF(BF$2=$F59+1,Monthly!BB$21,IF(BF$2&gt;$F59+1,('Traditional Attrition'!BE59+BF191)*(1-IF(BF$2-$F59&lt;=12,SUMIFS('Attrition Modeling'!$D:$D,'Attrition Modeling'!$B:$B,'Traditional Attrition'!$E59,'Attrition Modeling'!$C:$C,'Traditional Attrition'!BF$1),VLOOKUP('Traditional Attrition'!BF$2-'Traditional Attrition'!$F59-1,'Traditional Attrition'!$A$7:$C$161,2,FALSE)*VLOOKUP(BF$1,'Attrition Modeling'!$L$15:$N$27,IF(BF$2-$F59&lt;=24,2,3),FALSE))*(1+Projection!BH$16)*(1+IF(BF191&gt;0,'Attrition Modeling'!$N$9,0))),0))</f>
        <v>0</v>
      </c>
      <c r="BG59" s="799">
        <f>IF(BG$2=$F59+1,Monthly!BC$21,IF(BG$2&gt;$F59+1,('Traditional Attrition'!BF59+BG191)*(1-IF(BG$2-$F59&lt;=12,SUMIFS('Attrition Modeling'!$D:$D,'Attrition Modeling'!$B:$B,'Traditional Attrition'!$E59,'Attrition Modeling'!$C:$C,'Traditional Attrition'!BG$1),VLOOKUP('Traditional Attrition'!BG$2-'Traditional Attrition'!$F59-1,'Traditional Attrition'!$A$7:$C$161,2,FALSE)*VLOOKUP(BG$1,'Attrition Modeling'!$L$15:$N$27,IF(BG$2-$F59&lt;=24,2,3),FALSE))*(1+Projection!BI$16)*(1+IF(BG191&gt;0,'Attrition Modeling'!$N$9,0))),0))</f>
        <v>0</v>
      </c>
      <c r="BH59" s="799">
        <f>IF(BH$2=$F59+1,Monthly!BD$21,IF(BH$2&gt;$F59+1,('Traditional Attrition'!BG59+BH191)*(1-IF(BH$2-$F59&lt;=12,SUMIFS('Attrition Modeling'!$D:$D,'Attrition Modeling'!$B:$B,'Traditional Attrition'!$E59,'Attrition Modeling'!$C:$C,'Traditional Attrition'!BH$1),VLOOKUP('Traditional Attrition'!BH$2-'Traditional Attrition'!$F59-1,'Traditional Attrition'!$A$7:$C$161,2,FALSE)*VLOOKUP(BH$1,'Attrition Modeling'!$L$15:$N$27,IF(BH$2-$F59&lt;=24,2,3),FALSE))*(1+Projection!BJ$16)*(1+IF(BH191&gt;0,'Attrition Modeling'!$N$9,0))),0))</f>
        <v>0</v>
      </c>
      <c r="BI59" s="799">
        <f>IF(BI$2=$F59+1,Monthly!BE$21,IF(BI$2&gt;$F59+1,('Traditional Attrition'!BH59+BI191)*(1-IF(BI$2-$F59&lt;=12,SUMIFS('Attrition Modeling'!$D:$D,'Attrition Modeling'!$B:$B,'Traditional Attrition'!$E59,'Attrition Modeling'!$C:$C,'Traditional Attrition'!BI$1),VLOOKUP('Traditional Attrition'!BI$2-'Traditional Attrition'!$F59-1,'Traditional Attrition'!$A$7:$C$161,2,FALSE)*VLOOKUP(BI$1,'Attrition Modeling'!$L$15:$N$27,IF(BI$2-$F59&lt;=24,2,3),FALSE))*(1+Projection!BK$16)*(1+IF(BI191&gt;0,'Attrition Modeling'!$N$9,0))),0))</f>
        <v>0</v>
      </c>
      <c r="BJ59" s="799">
        <f>IF(BJ$2=$F59+1,Monthly!BF$21,IF(BJ$2&gt;$F59+1,('Traditional Attrition'!BI59+BJ191)*(1-IF(BJ$2-$F59&lt;=12,SUMIFS('Attrition Modeling'!$D:$D,'Attrition Modeling'!$B:$B,'Traditional Attrition'!$E59,'Attrition Modeling'!$C:$C,'Traditional Attrition'!BJ$1),VLOOKUP('Traditional Attrition'!BJ$2-'Traditional Attrition'!$F59-1,'Traditional Attrition'!$A$7:$C$161,2,FALSE)*VLOOKUP(BJ$1,'Attrition Modeling'!$L$15:$N$27,IF(BJ$2-$F59&lt;=24,2,3),FALSE))*(1+Projection!BL$16)*(1+IF(BJ191&gt;0,'Attrition Modeling'!$N$9,0))),0))</f>
        <v>0</v>
      </c>
      <c r="BK59" s="799">
        <f>IF(BK$2=$F59+1,Monthly!BG$21,IF(BK$2&gt;$F59+1,('Traditional Attrition'!BJ59+BK191)*(1-IF(BK$2-$F59&lt;=12,SUMIFS('Attrition Modeling'!$D:$D,'Attrition Modeling'!$B:$B,'Traditional Attrition'!$E59,'Attrition Modeling'!$C:$C,'Traditional Attrition'!BK$1),VLOOKUP('Traditional Attrition'!BK$2-'Traditional Attrition'!$F59-1,'Traditional Attrition'!$A$7:$C$161,2,FALSE)*VLOOKUP(BK$1,'Attrition Modeling'!$L$15:$N$27,IF(BK$2-$F59&lt;=24,2,3),FALSE))*(1+Projection!BM$16)*(1+IF(BK191&gt;0,'Attrition Modeling'!$N$9,0))),0))</f>
        <v>0</v>
      </c>
      <c r="BL59" s="799">
        <f>IF(BL$2=$F59+1,Monthly!BH$21,IF(BL$2&gt;$F59+1,('Traditional Attrition'!BK59+BL191)*(1-IF(BL$2-$F59&lt;=12,SUMIFS('Attrition Modeling'!$D:$D,'Attrition Modeling'!$B:$B,'Traditional Attrition'!$E59,'Attrition Modeling'!$C:$C,'Traditional Attrition'!BL$1),VLOOKUP('Traditional Attrition'!BL$2-'Traditional Attrition'!$F59-1,'Traditional Attrition'!$A$7:$C$161,2,FALSE)*VLOOKUP(BL$1,'Attrition Modeling'!$L$15:$N$27,IF(BL$2-$F59&lt;=24,2,3),FALSE))*(1+Projection!BN$16)*(1+IF(BL191&gt;0,'Attrition Modeling'!$N$9,0))),0))</f>
        <v>9152.6937506992217</v>
      </c>
      <c r="BM59" s="799">
        <f>IF(BM$2=$F59+1,Monthly!BI$21,IF(BM$2&gt;$F59+1,('Traditional Attrition'!BL59+BM191)*(1-IF(BM$2-$F59&lt;=12,SUMIFS('Attrition Modeling'!$D:$D,'Attrition Modeling'!$B:$B,'Traditional Attrition'!$E59,'Attrition Modeling'!$C:$C,'Traditional Attrition'!BM$1),VLOOKUP('Traditional Attrition'!BM$2-'Traditional Attrition'!$F59-1,'Traditional Attrition'!$A$7:$C$161,2,FALSE)*VLOOKUP(BM$1,'Attrition Modeling'!$L$15:$N$27,IF(BM$2-$F59&lt;=24,2,3),FALSE))*(1+Projection!BO$16)*(1+IF(BM191&gt;0,'Attrition Modeling'!$N$9,0))),0))</f>
        <v>8152.7427377784552</v>
      </c>
      <c r="BN59" s="799">
        <f>IF(BN$2=$F59+1,Monthly!BJ$21,IF(BN$2&gt;$F59+1,('Traditional Attrition'!BM59+BN191)*(1-IF(BN$2-$F59&lt;=12,SUMIFS('Attrition Modeling'!$D:$D,'Attrition Modeling'!$B:$B,'Traditional Attrition'!$E59,'Attrition Modeling'!$C:$C,'Traditional Attrition'!BN$1),VLOOKUP('Traditional Attrition'!BN$2-'Traditional Attrition'!$F59-1,'Traditional Attrition'!$A$7:$C$161,2,FALSE)*VLOOKUP(BN$1,'Attrition Modeling'!$L$15:$N$27,IF(BN$2-$F59&lt;=24,2,3),FALSE))*(1+Projection!BP$16)*(1+IF(BN191&gt;0,'Attrition Modeling'!$N$9,0))),0))</f>
        <v>7419.6800695489492</v>
      </c>
      <c r="BO59" s="799">
        <f>IF(BO$2=$F59+1,Monthly!BK$21,IF(BO$2&gt;$F59+1,('Traditional Attrition'!BN59+BO191)*(1-IF(BO$2-$F59&lt;=12,SUMIFS('Attrition Modeling'!$D:$D,'Attrition Modeling'!$B:$B,'Traditional Attrition'!$E59,'Attrition Modeling'!$C:$C,'Traditional Attrition'!BO$1),VLOOKUP('Traditional Attrition'!BO$2-'Traditional Attrition'!$F59-1,'Traditional Attrition'!$A$7:$C$161,2,FALSE)*VLOOKUP(BO$1,'Attrition Modeling'!$L$15:$N$27,IF(BO$2-$F59&lt;=24,2,3),FALSE))*(1+Projection!BV$16)*(1+IF(BO191&gt;0,'Attrition Modeling'!$N$9,0))),0))</f>
        <v>6751.2844230148903</v>
      </c>
      <c r="BP59" s="799">
        <f>IF(BP$2=$F59+1,Monthly!BL$21,IF(BP$2&gt;$F59+1,('Traditional Attrition'!BO59+BP191)*(1-IF(BP$2-$F59&lt;=12,SUMIFS('Attrition Modeling'!$D:$D,'Attrition Modeling'!$B:$B,'Traditional Attrition'!$E59,'Attrition Modeling'!$C:$C,'Traditional Attrition'!BP$1),VLOOKUP('Traditional Attrition'!BP$2-'Traditional Attrition'!$F59-1,'Traditional Attrition'!$A$7:$C$161,2,FALSE)*VLOOKUP(BP$1,'Attrition Modeling'!$L$15:$N$27,IF(BP$2-$F59&lt;=24,2,3),FALSE))*(1+Projection!BW$16)*(1+IF(BP191&gt;0,'Attrition Modeling'!$N$9,0))),0))</f>
        <v>6227.8574092113904</v>
      </c>
      <c r="BQ59" s="799">
        <f>IF(BQ$2=$F59+1,Monthly!BM$21,IF(BQ$2&gt;$F59+1,('Traditional Attrition'!BP59+BQ191)*(1-IF(BQ$2-$F59&lt;=12,SUMIFS('Attrition Modeling'!$D:$D,'Attrition Modeling'!$B:$B,'Traditional Attrition'!$E59,'Attrition Modeling'!$C:$C,'Traditional Attrition'!BQ$1),VLOOKUP('Traditional Attrition'!BQ$2-'Traditional Attrition'!$F59-1,'Traditional Attrition'!$A$7:$C$161,2,FALSE)*VLOOKUP(BQ$1,'Attrition Modeling'!$L$15:$N$27,IF(BQ$2-$F59&lt;=24,2,3),FALSE))*(1+Projection!BX$16)*(1+IF(BQ191&gt;0,'Attrition Modeling'!$N$9,0))),0))</f>
        <v>6194.8939635981969</v>
      </c>
      <c r="BR59" s="799">
        <f>IF(BR$2=$F59+1,Monthly!BN$21,IF(BR$2&gt;$F59+1,('Traditional Attrition'!BQ59+BR191)*(1-IF(BR$2-$F59&lt;=12,SUMIFS('Attrition Modeling'!$D:$D,'Attrition Modeling'!$B:$B,'Traditional Attrition'!$E59,'Attrition Modeling'!$C:$C,'Traditional Attrition'!BR$1),VLOOKUP('Traditional Attrition'!BR$2-'Traditional Attrition'!$F59-1,'Traditional Attrition'!$A$7:$C$161,2,FALSE)*VLOOKUP(BR$1,'Attrition Modeling'!$L$15:$N$27,IF(BR$2-$F59&lt;=24,2,3),FALSE))*(1+Projection!BY$16)*(1+IF(BR191&gt;0,'Attrition Modeling'!$N$9,0))),0))</f>
        <v>5725.0944538852045</v>
      </c>
      <c r="BS59" s="799">
        <f>IF(BS$2=$F59+1,Monthly!BO$21,IF(BS$2&gt;$F59+1,('Traditional Attrition'!BR59+BS191)*(1-IF(BS$2-$F59&lt;=12,SUMIFS('Attrition Modeling'!$D:$D,'Attrition Modeling'!$B:$B,'Traditional Attrition'!$E59,'Attrition Modeling'!$C:$C,'Traditional Attrition'!BS$1),VLOOKUP('Traditional Attrition'!BS$2-'Traditional Attrition'!$F59-1,'Traditional Attrition'!$A$7:$C$161,2,FALSE)*VLOOKUP(BS$1,'Attrition Modeling'!$L$15:$N$27,IF(BS$2-$F59&lt;=24,2,3),FALSE))*(1+Projection!BZ$16)*(1+IF(BS191&gt;0,'Attrition Modeling'!$N$9,0))),0))</f>
        <v>5348.7061913977022</v>
      </c>
      <c r="BT59" s="799">
        <f>IF(BT$2=$F59+1,Monthly!#REF!,IF(BT$2&gt;$F59+1,('Traditional Attrition'!BS59+BT191)*(1-IF(BT$2-$F59&lt;=12,SUMIFS('Attrition Modeling'!$D:$D,'Attrition Modeling'!$B:$B,'Traditional Attrition'!$E59,'Attrition Modeling'!$C:$C,'Traditional Attrition'!BT$1),VLOOKUP('Traditional Attrition'!BT$2-'Traditional Attrition'!$F59-1,'Traditional Attrition'!$A$7:$C$161,2,FALSE)*VLOOKUP(BT$1,'Attrition Modeling'!$L$15:$N$27,IF(BT$2-$F59&lt;=24,2,3),FALSE))*(1+Projection!CA$16)*(1+IF(BT191&gt;0,'Attrition Modeling'!$N$9,0))),0))</f>
        <v>5031.3453094184442</v>
      </c>
      <c r="BU59" s="799">
        <f>IF(BU$2=$F59+1,Monthly!#REF!,IF(BU$2&gt;$F59+1,('Traditional Attrition'!BT59+BU191)*(1-IF(BU$2-$F59&lt;=12,SUMIFS('Attrition Modeling'!$D:$D,'Attrition Modeling'!$B:$B,'Traditional Attrition'!$E59,'Attrition Modeling'!$C:$C,'Traditional Attrition'!BU$1),VLOOKUP('Traditional Attrition'!BU$2-'Traditional Attrition'!$F59-1,'Traditional Attrition'!$A$7:$C$161,2,FALSE)*VLOOKUP(BU$1,'Attrition Modeling'!$L$15:$N$27,IF(BU$2-$F59&lt;=24,2,3),FALSE))*(1+Projection!CB$16)*(1+IF(BU191&gt;0,'Attrition Modeling'!$N$9,0))),0))</f>
        <v>4735.6259260057986</v>
      </c>
    </row>
    <row r="60" spans="1:73" ht="14.25" customHeight="1" x14ac:dyDescent="0.2">
      <c r="A60" s="9">
        <v>53</v>
      </c>
      <c r="B60" s="25">
        <f>MAX('Attrition Modeling'!H57,$C$3)*(1-Summary!$C$20)</f>
        <v>2.4098898279641297E-2</v>
      </c>
      <c r="C60" s="24" t="e">
        <f t="shared" si="4"/>
        <v>#DIV/0!</v>
      </c>
      <c r="E60" s="11">
        <f t="shared" si="2"/>
        <v>9</v>
      </c>
      <c r="F60" s="11">
        <f t="shared" si="3"/>
        <v>57</v>
      </c>
      <c r="G60" s="799"/>
      <c r="H60" s="799">
        <f>IF(H$2=$F60+1,Monthly!D$21,IF(H$2&gt;$F60+1,('Traditional Attrition'!G60+H192)*(1-IF(H$2-$F60&lt;=12,SUMIFS('Attrition Modeling'!$D:$D,'Attrition Modeling'!$B:$B,'Traditional Attrition'!$E60,'Attrition Modeling'!$C:$C,'Traditional Attrition'!H$1),VLOOKUP('Traditional Attrition'!H$2-'Traditional Attrition'!$F60-1,'Traditional Attrition'!$A$7:$C$161,2,FALSE)*VLOOKUP(H$1,'Attrition Modeling'!$L$15:$N$27,IF(H$2-$F60&lt;=24,2,3),FALSE))*(1+Projection!J$16)*(1+IF(H192&gt;0,'Attrition Modeling'!$N$9,0))),0))</f>
        <v>0</v>
      </c>
      <c r="I60" s="799">
        <f>IF(I$2=$F60+1,Monthly!E$21,IF(I$2&gt;$F60+1,('Traditional Attrition'!H60+I192)*(1-IF(I$2-$F60&lt;=12,SUMIFS('Attrition Modeling'!$D:$D,'Attrition Modeling'!$B:$B,'Traditional Attrition'!$E60,'Attrition Modeling'!$C:$C,'Traditional Attrition'!I$1),VLOOKUP('Traditional Attrition'!I$2-'Traditional Attrition'!$F60-1,'Traditional Attrition'!$A$7:$C$161,2,FALSE)*VLOOKUP(I$1,'Attrition Modeling'!$L$15:$N$27,IF(I$2-$F60&lt;=24,2,3),FALSE))*(1+Projection!K$16)*(1+IF(I192&gt;0,'Attrition Modeling'!$N$9,0))),0))</f>
        <v>0</v>
      </c>
      <c r="J60" s="799">
        <f>IF(J$2=$F60+1,Monthly!F$21,IF(J$2&gt;$F60+1,('Traditional Attrition'!I60+J192)*(1-IF(J$2-$F60&lt;=12,SUMIFS('Attrition Modeling'!$D:$D,'Attrition Modeling'!$B:$B,'Traditional Attrition'!$E60,'Attrition Modeling'!$C:$C,'Traditional Attrition'!J$1),VLOOKUP('Traditional Attrition'!J$2-'Traditional Attrition'!$F60-1,'Traditional Attrition'!$A$7:$C$161,2,FALSE)*VLOOKUP(J$1,'Attrition Modeling'!$L$15:$N$27,IF(J$2-$F60&lt;=24,2,3),FALSE))*(1+Projection!L$16)*(1+IF(J192&gt;0,'Attrition Modeling'!$N$9,0))),0))</f>
        <v>0</v>
      </c>
      <c r="K60" s="799">
        <f>IF(K$2=$F60+1,Monthly!G$21,IF(K$2&gt;$F60+1,('Traditional Attrition'!J60+K192)*(1-IF(K$2-$F60&lt;=12,SUMIFS('Attrition Modeling'!$D:$D,'Attrition Modeling'!$B:$B,'Traditional Attrition'!$E60,'Attrition Modeling'!$C:$C,'Traditional Attrition'!K$1),VLOOKUP('Traditional Attrition'!K$2-'Traditional Attrition'!$F60-1,'Traditional Attrition'!$A$7:$C$161,2,FALSE)*VLOOKUP(K$1,'Attrition Modeling'!$L$15:$N$27,IF(K$2-$F60&lt;=24,2,3),FALSE))*(1+Projection!M$16)*(1+IF(K192&gt;0,'Attrition Modeling'!$N$9,0))),0))</f>
        <v>0</v>
      </c>
      <c r="L60" s="799">
        <f>IF(L$2=$F60+1,Monthly!H$21,IF(L$2&gt;$F60+1,('Traditional Attrition'!K60+L192)*(1-IF(L$2-$F60&lt;=12,SUMIFS('Attrition Modeling'!$D:$D,'Attrition Modeling'!$B:$B,'Traditional Attrition'!$E60,'Attrition Modeling'!$C:$C,'Traditional Attrition'!L$1),VLOOKUP('Traditional Attrition'!L$2-'Traditional Attrition'!$F60-1,'Traditional Attrition'!$A$7:$C$161,2,FALSE)*VLOOKUP(L$1,'Attrition Modeling'!$L$15:$N$27,IF(L$2-$F60&lt;=24,2,3),FALSE))*(1+Projection!N$16)*(1+IF(L192&gt;0,'Attrition Modeling'!$N$9,0))),0))</f>
        <v>0</v>
      </c>
      <c r="M60" s="799">
        <f>IF(M$2=$F60+1,Monthly!I$21,IF(M$2&gt;$F60+1,('Traditional Attrition'!L60+M192)*(1-IF(M$2-$F60&lt;=12,SUMIFS('Attrition Modeling'!$D:$D,'Attrition Modeling'!$B:$B,'Traditional Attrition'!$E60,'Attrition Modeling'!$C:$C,'Traditional Attrition'!M$1),VLOOKUP('Traditional Attrition'!M$2-'Traditional Attrition'!$F60-1,'Traditional Attrition'!$A$7:$C$161,2,FALSE)*VLOOKUP(M$1,'Attrition Modeling'!$L$15:$N$27,IF(M$2-$F60&lt;=24,2,3),FALSE))*(1+Projection!O$16)*(1+IF(M192&gt;0,'Attrition Modeling'!$N$9,0))),0))</f>
        <v>0</v>
      </c>
      <c r="N60" s="799">
        <f>IF(N$2=$F60+1,Monthly!J$21,IF(N$2&gt;$F60+1,('Traditional Attrition'!M60+N192)*(1-IF(N$2-$F60&lt;=12,SUMIFS('Attrition Modeling'!$D:$D,'Attrition Modeling'!$B:$B,'Traditional Attrition'!$E60,'Attrition Modeling'!$C:$C,'Traditional Attrition'!N$1),VLOOKUP('Traditional Attrition'!N$2-'Traditional Attrition'!$F60-1,'Traditional Attrition'!$A$7:$C$161,2,FALSE)*VLOOKUP(N$1,'Attrition Modeling'!$L$15:$N$27,IF(N$2-$F60&lt;=24,2,3),FALSE))*(1+Projection!P$16)*(1+IF(N192&gt;0,'Attrition Modeling'!$N$9,0))),0))</f>
        <v>0</v>
      </c>
      <c r="O60" s="799">
        <f>IF(O$2=$F60+1,Monthly!K$21,IF(O$2&gt;$F60+1,('Traditional Attrition'!N60+O192)*(1-IF(O$2-$F60&lt;=12,SUMIFS('Attrition Modeling'!$D:$D,'Attrition Modeling'!$B:$B,'Traditional Attrition'!$E60,'Attrition Modeling'!$C:$C,'Traditional Attrition'!O$1),VLOOKUP('Traditional Attrition'!O$2-'Traditional Attrition'!$F60-1,'Traditional Attrition'!$A$7:$C$161,2,FALSE)*VLOOKUP(O$1,'Attrition Modeling'!$L$15:$N$27,IF(O$2-$F60&lt;=24,2,3),FALSE))*(1+Projection!Q$16)*(1+IF(O192&gt;0,'Attrition Modeling'!$N$9,0))),0))</f>
        <v>0</v>
      </c>
      <c r="P60" s="799">
        <f>IF(P$2=$F60+1,Monthly!L$21,IF(P$2&gt;$F60+1,('Traditional Attrition'!O60+P192)*(1-IF(P$2-$F60&lt;=12,SUMIFS('Attrition Modeling'!$D:$D,'Attrition Modeling'!$B:$B,'Traditional Attrition'!$E60,'Attrition Modeling'!$C:$C,'Traditional Attrition'!P$1),VLOOKUP('Traditional Attrition'!P$2-'Traditional Attrition'!$F60-1,'Traditional Attrition'!$A$7:$C$161,2,FALSE)*VLOOKUP(P$1,'Attrition Modeling'!$L$15:$N$27,IF(P$2-$F60&lt;=24,2,3),FALSE))*(1+Projection!R$16)*(1+IF(P192&gt;0,'Attrition Modeling'!$N$9,0))),0))</f>
        <v>0</v>
      </c>
      <c r="Q60" s="799">
        <f>IF(Q$2=$F60+1,Monthly!M$21,IF(Q$2&gt;$F60+1,('Traditional Attrition'!P60+Q192)*(1-IF(Q$2-$F60&lt;=12,SUMIFS('Attrition Modeling'!$D:$D,'Attrition Modeling'!$B:$B,'Traditional Attrition'!$E60,'Attrition Modeling'!$C:$C,'Traditional Attrition'!Q$1),VLOOKUP('Traditional Attrition'!Q$2-'Traditional Attrition'!$F60-1,'Traditional Attrition'!$A$7:$C$161,2,FALSE)*VLOOKUP(Q$1,'Attrition Modeling'!$L$15:$N$27,IF(Q$2-$F60&lt;=24,2,3),FALSE))*(1+Projection!S$16)*(1+IF(Q192&gt;0,'Attrition Modeling'!$N$9,0))),0))</f>
        <v>0</v>
      </c>
      <c r="R60" s="799">
        <f>IF(R$2=$F60+1,Monthly!N$21,IF(R$2&gt;$F60+1,('Traditional Attrition'!Q60+R192)*(1-IF(R$2-$F60&lt;=12,SUMIFS('Attrition Modeling'!$D:$D,'Attrition Modeling'!$B:$B,'Traditional Attrition'!$E60,'Attrition Modeling'!$C:$C,'Traditional Attrition'!R$1),VLOOKUP('Traditional Attrition'!R$2-'Traditional Attrition'!$F60-1,'Traditional Attrition'!$A$7:$C$161,2,FALSE)*VLOOKUP(R$1,'Attrition Modeling'!$L$15:$N$27,IF(R$2-$F60&lt;=24,2,3),FALSE))*(1+Projection!T$16)*(1+IF(R192&gt;0,'Attrition Modeling'!$N$9,0))),0))</f>
        <v>0</v>
      </c>
      <c r="S60" s="799">
        <f>IF(S$2=$F60+1,Monthly!O$21,IF(S$2&gt;$F60+1,('Traditional Attrition'!R60+S192)*(1-IF(S$2-$F60&lt;=12,SUMIFS('Attrition Modeling'!$D:$D,'Attrition Modeling'!$B:$B,'Traditional Attrition'!$E60,'Attrition Modeling'!$C:$C,'Traditional Attrition'!S$1),VLOOKUP('Traditional Attrition'!S$2-'Traditional Attrition'!$F60-1,'Traditional Attrition'!$A$7:$C$161,2,FALSE)*VLOOKUP(S$1,'Attrition Modeling'!$L$15:$N$27,IF(S$2-$F60&lt;=24,2,3),FALSE))*(1+Projection!U$16)*(1+IF(S192&gt;0,'Attrition Modeling'!$N$9,0))),0))</f>
        <v>0</v>
      </c>
      <c r="T60" s="799">
        <f>IF(T$2=$F60+1,Monthly!P$21,IF(T$2&gt;$F60+1,('Traditional Attrition'!S60+T192)*(1-IF(T$2-$F60&lt;=12,SUMIFS('Attrition Modeling'!$D:$D,'Attrition Modeling'!$B:$B,'Traditional Attrition'!$E60,'Attrition Modeling'!$C:$C,'Traditional Attrition'!T$1),VLOOKUP('Traditional Attrition'!T$2-'Traditional Attrition'!$F60-1,'Traditional Attrition'!$A$7:$C$161,2,FALSE)*VLOOKUP(T$1,'Attrition Modeling'!$L$15:$N$27,IF(T$2-$F60&lt;=24,2,3),FALSE))*(1+Projection!V$16)*(1+IF(T192&gt;0,'Attrition Modeling'!$N$9,0))),0))</f>
        <v>0</v>
      </c>
      <c r="U60" s="799">
        <f>IF(U$2=$F60+1,Monthly!Q$21,IF(U$2&gt;$F60+1,('Traditional Attrition'!T60+U192)*(1-IF(U$2-$F60&lt;=12,SUMIFS('Attrition Modeling'!$D:$D,'Attrition Modeling'!$B:$B,'Traditional Attrition'!$E60,'Attrition Modeling'!$C:$C,'Traditional Attrition'!U$1),VLOOKUP('Traditional Attrition'!U$2-'Traditional Attrition'!$F60-1,'Traditional Attrition'!$A$7:$C$161,2,FALSE)*VLOOKUP(U$1,'Attrition Modeling'!$L$15:$N$27,IF(U$2-$F60&lt;=24,2,3),FALSE))*(1+Projection!W$16)*(1+IF(U192&gt;0,'Attrition Modeling'!$N$9,0))),0))</f>
        <v>0</v>
      </c>
      <c r="V60" s="799">
        <f>IF(V$2=$F60+1,Monthly!R$21,IF(V$2&gt;$F60+1,('Traditional Attrition'!U60+V192)*(1-IF(V$2-$F60&lt;=12,SUMIFS('Attrition Modeling'!$D:$D,'Attrition Modeling'!$B:$B,'Traditional Attrition'!$E60,'Attrition Modeling'!$C:$C,'Traditional Attrition'!V$1),VLOOKUP('Traditional Attrition'!V$2-'Traditional Attrition'!$F60-1,'Traditional Attrition'!$A$7:$C$161,2,FALSE)*VLOOKUP(V$1,'Attrition Modeling'!$L$15:$N$27,IF(V$2-$F60&lt;=24,2,3),FALSE))*(1+Projection!X$16)*(1+IF(V192&gt;0,'Attrition Modeling'!$N$9,0))),0))</f>
        <v>0</v>
      </c>
      <c r="W60" s="799">
        <f>IF(W$2=$F60+1,Monthly!S$21,IF(W$2&gt;$F60+1,('Traditional Attrition'!V60+W192)*(1-IF(W$2-$F60&lt;=12,SUMIFS('Attrition Modeling'!$D:$D,'Attrition Modeling'!$B:$B,'Traditional Attrition'!$E60,'Attrition Modeling'!$C:$C,'Traditional Attrition'!W$1),VLOOKUP('Traditional Attrition'!W$2-'Traditional Attrition'!$F60-1,'Traditional Attrition'!$A$7:$C$161,2,FALSE)*VLOOKUP(W$1,'Attrition Modeling'!$L$15:$N$27,IF(W$2-$F60&lt;=24,2,3),FALSE))*(1+Projection!Y$16)*(1+IF(W192&gt;0,'Attrition Modeling'!$N$9,0))),0))</f>
        <v>0</v>
      </c>
      <c r="X60" s="799">
        <f>IF(X$2=$F60+1,Monthly!T$21,IF(X$2&gt;$F60+1,('Traditional Attrition'!W60+X192)*(1-IF(X$2-$F60&lt;=12,SUMIFS('Attrition Modeling'!$D:$D,'Attrition Modeling'!$B:$B,'Traditional Attrition'!$E60,'Attrition Modeling'!$C:$C,'Traditional Attrition'!X$1),VLOOKUP('Traditional Attrition'!X$2-'Traditional Attrition'!$F60-1,'Traditional Attrition'!$A$7:$C$161,2,FALSE)*VLOOKUP(X$1,'Attrition Modeling'!$L$15:$N$27,IF(X$2-$F60&lt;=24,2,3),FALSE))*(1+Projection!Z$16)*(1+IF(X192&gt;0,'Attrition Modeling'!$N$9,0))),0))</f>
        <v>0</v>
      </c>
      <c r="Y60" s="799">
        <f>IF(Y$2=$F60+1,Monthly!U$21,IF(Y$2&gt;$F60+1,('Traditional Attrition'!X60+Y192)*(1-IF(Y$2-$F60&lt;=12,SUMIFS('Attrition Modeling'!$D:$D,'Attrition Modeling'!$B:$B,'Traditional Attrition'!$E60,'Attrition Modeling'!$C:$C,'Traditional Attrition'!Y$1),VLOOKUP('Traditional Attrition'!Y$2-'Traditional Attrition'!$F60-1,'Traditional Attrition'!$A$7:$C$161,2,FALSE)*VLOOKUP(Y$1,'Attrition Modeling'!$L$15:$N$27,IF(Y$2-$F60&lt;=24,2,3),FALSE))*(1+Projection!AA$16)*(1+IF(Y192&gt;0,'Attrition Modeling'!$N$9,0))),0))</f>
        <v>0</v>
      </c>
      <c r="Z60" s="799">
        <f>IF(Z$2=$F60+1,Monthly!V$21,IF(Z$2&gt;$F60+1,('Traditional Attrition'!Y60+Z192)*(1-IF(Z$2-$F60&lt;=12,SUMIFS('Attrition Modeling'!$D:$D,'Attrition Modeling'!$B:$B,'Traditional Attrition'!$E60,'Attrition Modeling'!$C:$C,'Traditional Attrition'!Z$1),VLOOKUP('Traditional Attrition'!Z$2-'Traditional Attrition'!$F60-1,'Traditional Attrition'!$A$7:$C$161,2,FALSE)*VLOOKUP(Z$1,'Attrition Modeling'!$L$15:$N$27,IF(Z$2-$F60&lt;=24,2,3),FALSE))*(1+Projection!AB$16)*(1+IF(Z192&gt;0,'Attrition Modeling'!$N$9,0))),0))</f>
        <v>0</v>
      </c>
      <c r="AA60" s="799">
        <f>IF(AA$2=$F60+1,Monthly!W$21,IF(AA$2&gt;$F60+1,('Traditional Attrition'!Z60+AA192)*(1-IF(AA$2-$F60&lt;=12,SUMIFS('Attrition Modeling'!$D:$D,'Attrition Modeling'!$B:$B,'Traditional Attrition'!$E60,'Attrition Modeling'!$C:$C,'Traditional Attrition'!AA$1),VLOOKUP('Traditional Attrition'!AA$2-'Traditional Attrition'!$F60-1,'Traditional Attrition'!$A$7:$C$161,2,FALSE)*VLOOKUP(AA$1,'Attrition Modeling'!$L$15:$N$27,IF(AA$2-$F60&lt;=24,2,3),FALSE))*(1+Projection!AC$16)*(1+IF(AA192&gt;0,'Attrition Modeling'!$N$9,0))),0))</f>
        <v>0</v>
      </c>
      <c r="AB60" s="799">
        <f>IF(AB$2=$F60+1,Monthly!X$21,IF(AB$2&gt;$F60+1,('Traditional Attrition'!AA60+AB192)*(1-IF(AB$2-$F60&lt;=12,SUMIFS('Attrition Modeling'!$D:$D,'Attrition Modeling'!$B:$B,'Traditional Attrition'!$E60,'Attrition Modeling'!$C:$C,'Traditional Attrition'!AB$1),VLOOKUP('Traditional Attrition'!AB$2-'Traditional Attrition'!$F60-1,'Traditional Attrition'!$A$7:$C$161,2,FALSE)*VLOOKUP(AB$1,'Attrition Modeling'!$L$15:$N$27,IF(AB$2-$F60&lt;=24,2,3),FALSE))*(1+Projection!AD$16)*(1+IF(AB192&gt;0,'Attrition Modeling'!$N$9,0))),0))</f>
        <v>0</v>
      </c>
      <c r="AC60" s="799">
        <f>IF(AC$2=$F60+1,Monthly!Y$21,IF(AC$2&gt;$F60+1,('Traditional Attrition'!AB60+AC192)*(1-IF(AC$2-$F60&lt;=12,SUMIFS('Attrition Modeling'!$D:$D,'Attrition Modeling'!$B:$B,'Traditional Attrition'!$E60,'Attrition Modeling'!$C:$C,'Traditional Attrition'!AC$1),VLOOKUP('Traditional Attrition'!AC$2-'Traditional Attrition'!$F60-1,'Traditional Attrition'!$A$7:$C$161,2,FALSE)*VLOOKUP(AC$1,'Attrition Modeling'!$L$15:$N$27,IF(AC$2-$F60&lt;=24,2,3),FALSE))*(1+Projection!AE$16)*(1+IF(AC192&gt;0,'Attrition Modeling'!$N$9,0))),0))</f>
        <v>0</v>
      </c>
      <c r="AD60" s="799">
        <f>IF(AD$2=$F60+1,Monthly!Z$21,IF(AD$2&gt;$F60+1,('Traditional Attrition'!AC60+AD192)*(1-IF(AD$2-$F60&lt;=12,SUMIFS('Attrition Modeling'!$D:$D,'Attrition Modeling'!$B:$B,'Traditional Attrition'!$E60,'Attrition Modeling'!$C:$C,'Traditional Attrition'!AD$1),VLOOKUP('Traditional Attrition'!AD$2-'Traditional Attrition'!$F60-1,'Traditional Attrition'!$A$7:$C$161,2,FALSE)*VLOOKUP(AD$1,'Attrition Modeling'!$L$15:$N$27,IF(AD$2-$F60&lt;=24,2,3),FALSE))*(1+Projection!AF$16)*(1+IF(AD192&gt;0,'Attrition Modeling'!$N$9,0))),0))</f>
        <v>0</v>
      </c>
      <c r="AE60" s="799">
        <f>IF(AE$2=$F60+1,Monthly!AA$21,IF(AE$2&gt;$F60+1,('Traditional Attrition'!AD60+AE192)*(1-IF(AE$2-$F60&lt;=12,SUMIFS('Attrition Modeling'!$D:$D,'Attrition Modeling'!$B:$B,'Traditional Attrition'!$E60,'Attrition Modeling'!$C:$C,'Traditional Attrition'!AE$1),VLOOKUP('Traditional Attrition'!AE$2-'Traditional Attrition'!$F60-1,'Traditional Attrition'!$A$7:$C$161,2,FALSE)*VLOOKUP(AE$1,'Attrition Modeling'!$L$15:$N$27,IF(AE$2-$F60&lt;=24,2,3),FALSE))*(1+Projection!AG$16)*(1+IF(AE192&gt;0,'Attrition Modeling'!$N$9,0))),0))</f>
        <v>0</v>
      </c>
      <c r="AF60" s="799">
        <f>IF(AF$2=$F60+1,Monthly!AB$21,IF(AF$2&gt;$F60+1,('Traditional Attrition'!AE60+AF192)*(1-IF(AF$2-$F60&lt;=12,SUMIFS('Attrition Modeling'!$D:$D,'Attrition Modeling'!$B:$B,'Traditional Attrition'!$E60,'Attrition Modeling'!$C:$C,'Traditional Attrition'!AF$1),VLOOKUP('Traditional Attrition'!AF$2-'Traditional Attrition'!$F60-1,'Traditional Attrition'!$A$7:$C$161,2,FALSE)*VLOOKUP(AF$1,'Attrition Modeling'!$L$15:$N$27,IF(AF$2-$F60&lt;=24,2,3),FALSE))*(1+Projection!AH$16)*(1+IF(AF192&gt;0,'Attrition Modeling'!$N$9,0))),0))</f>
        <v>0</v>
      </c>
      <c r="AG60" s="799">
        <f>IF(AG$2=$F60+1,Monthly!AC$21,IF(AG$2&gt;$F60+1,('Traditional Attrition'!AF60+AG192)*(1-IF(AG$2-$F60&lt;=12,SUMIFS('Attrition Modeling'!$D:$D,'Attrition Modeling'!$B:$B,'Traditional Attrition'!$E60,'Attrition Modeling'!$C:$C,'Traditional Attrition'!AG$1),VLOOKUP('Traditional Attrition'!AG$2-'Traditional Attrition'!$F60-1,'Traditional Attrition'!$A$7:$C$161,2,FALSE)*VLOOKUP(AG$1,'Attrition Modeling'!$L$15:$N$27,IF(AG$2-$F60&lt;=24,2,3),FALSE))*(1+Projection!AI$16)*(1+IF(AG192&gt;0,'Attrition Modeling'!$N$9,0))),0))</f>
        <v>0</v>
      </c>
      <c r="AH60" s="799">
        <f>IF(AH$2=$F60+1,Monthly!AD$21,IF(AH$2&gt;$F60+1,('Traditional Attrition'!AG60+AH192)*(1-IF(AH$2-$F60&lt;=12,SUMIFS('Attrition Modeling'!$D:$D,'Attrition Modeling'!$B:$B,'Traditional Attrition'!$E60,'Attrition Modeling'!$C:$C,'Traditional Attrition'!AH$1),VLOOKUP('Traditional Attrition'!AH$2-'Traditional Attrition'!$F60-1,'Traditional Attrition'!$A$7:$C$161,2,FALSE)*VLOOKUP(AH$1,'Attrition Modeling'!$L$15:$N$27,IF(AH$2-$F60&lt;=24,2,3),FALSE))*(1+Projection!AJ$16)*(1+IF(AH192&gt;0,'Attrition Modeling'!$N$9,0))),0))</f>
        <v>0</v>
      </c>
      <c r="AI60" s="799">
        <f>IF(AI$2=$F60+1,Monthly!AE$21,IF(AI$2&gt;$F60+1,('Traditional Attrition'!AH60+AI192)*(1-IF(AI$2-$F60&lt;=12,SUMIFS('Attrition Modeling'!$D:$D,'Attrition Modeling'!$B:$B,'Traditional Attrition'!$E60,'Attrition Modeling'!$C:$C,'Traditional Attrition'!AI$1),VLOOKUP('Traditional Attrition'!AI$2-'Traditional Attrition'!$F60-1,'Traditional Attrition'!$A$7:$C$161,2,FALSE)*VLOOKUP(AI$1,'Attrition Modeling'!$L$15:$N$27,IF(AI$2-$F60&lt;=24,2,3),FALSE))*(1+Projection!AK$16)*(1+IF(AI192&gt;0,'Attrition Modeling'!$N$9,0))),0))</f>
        <v>0</v>
      </c>
      <c r="AJ60" s="799">
        <f>IF(AJ$2=$F60+1,Monthly!AF$21,IF(AJ$2&gt;$F60+1,('Traditional Attrition'!AI60+AJ192)*(1-IF(AJ$2-$F60&lt;=12,SUMIFS('Attrition Modeling'!$D:$D,'Attrition Modeling'!$B:$B,'Traditional Attrition'!$E60,'Attrition Modeling'!$C:$C,'Traditional Attrition'!AJ$1),VLOOKUP('Traditional Attrition'!AJ$2-'Traditional Attrition'!$F60-1,'Traditional Attrition'!$A$7:$C$161,2,FALSE)*VLOOKUP(AJ$1,'Attrition Modeling'!$L$15:$N$27,IF(AJ$2-$F60&lt;=24,2,3),FALSE))*(1+Projection!AL$16)*(1+IF(AJ192&gt;0,'Attrition Modeling'!$N$9,0))),0))</f>
        <v>0</v>
      </c>
      <c r="AK60" s="799">
        <f>IF(AK$2=$F60+1,Monthly!AG$21,IF(AK$2&gt;$F60+1,('Traditional Attrition'!AJ60+AK192)*(1-IF(AK$2-$F60&lt;=12,SUMIFS('Attrition Modeling'!$D:$D,'Attrition Modeling'!$B:$B,'Traditional Attrition'!$E60,'Attrition Modeling'!$C:$C,'Traditional Attrition'!AK$1),VLOOKUP('Traditional Attrition'!AK$2-'Traditional Attrition'!$F60-1,'Traditional Attrition'!$A$7:$C$161,2,FALSE)*VLOOKUP(AK$1,'Attrition Modeling'!$L$15:$N$27,IF(AK$2-$F60&lt;=24,2,3),FALSE))*(1+Projection!AM$16)*(1+IF(AK192&gt;0,'Attrition Modeling'!$N$9,0))),0))</f>
        <v>0</v>
      </c>
      <c r="AL60" s="799">
        <f>IF(AL$2=$F60+1,Monthly!AH$21,IF(AL$2&gt;$F60+1,('Traditional Attrition'!AK60+AL192)*(1-IF(AL$2-$F60&lt;=12,SUMIFS('Attrition Modeling'!$D:$D,'Attrition Modeling'!$B:$B,'Traditional Attrition'!$E60,'Attrition Modeling'!$C:$C,'Traditional Attrition'!AL$1),VLOOKUP('Traditional Attrition'!AL$2-'Traditional Attrition'!$F60-1,'Traditional Attrition'!$A$7:$C$161,2,FALSE)*VLOOKUP(AL$1,'Attrition Modeling'!$L$15:$N$27,IF(AL$2-$F60&lt;=24,2,3),FALSE))*(1+Projection!AN$16)*(1+IF(AL192&gt;0,'Attrition Modeling'!$N$9,0))),0))</f>
        <v>0</v>
      </c>
      <c r="AM60" s="799">
        <f>IF(AM$2=$F60+1,Monthly!AI$21,IF(AM$2&gt;$F60+1,('Traditional Attrition'!AL60+AM192)*(1-IF(AM$2-$F60&lt;=12,SUMIFS('Attrition Modeling'!$D:$D,'Attrition Modeling'!$B:$B,'Traditional Attrition'!$E60,'Attrition Modeling'!$C:$C,'Traditional Attrition'!AM$1),VLOOKUP('Traditional Attrition'!AM$2-'Traditional Attrition'!$F60-1,'Traditional Attrition'!$A$7:$C$161,2,FALSE)*VLOOKUP(AM$1,'Attrition Modeling'!$L$15:$N$27,IF(AM$2-$F60&lt;=24,2,3),FALSE))*(1+Projection!AO$16)*(1+IF(AM192&gt;0,'Attrition Modeling'!$N$9,0))),0))</f>
        <v>0</v>
      </c>
      <c r="AN60" s="799">
        <f>IF(AN$2=$F60+1,Monthly!AJ$21,IF(AN$2&gt;$F60+1,('Traditional Attrition'!AM60+AN192)*(1-IF(AN$2-$F60&lt;=12,SUMIFS('Attrition Modeling'!$D:$D,'Attrition Modeling'!$B:$B,'Traditional Attrition'!$E60,'Attrition Modeling'!$C:$C,'Traditional Attrition'!AN$1),VLOOKUP('Traditional Attrition'!AN$2-'Traditional Attrition'!$F60-1,'Traditional Attrition'!$A$7:$C$161,2,FALSE)*VLOOKUP(AN$1,'Attrition Modeling'!$L$15:$N$27,IF(AN$2-$F60&lt;=24,2,3),FALSE))*(1+Projection!AP$16)*(1+IF(AN192&gt;0,'Attrition Modeling'!$N$9,0))),0))</f>
        <v>0</v>
      </c>
      <c r="AO60" s="799">
        <f>IF(AO$2=$F60+1,Monthly!AK$21,IF(AO$2&gt;$F60+1,('Traditional Attrition'!AN60+AO192)*(1-IF(AO$2-$F60&lt;=12,SUMIFS('Attrition Modeling'!$D:$D,'Attrition Modeling'!$B:$B,'Traditional Attrition'!$E60,'Attrition Modeling'!$C:$C,'Traditional Attrition'!AO$1),VLOOKUP('Traditional Attrition'!AO$2-'Traditional Attrition'!$F60-1,'Traditional Attrition'!$A$7:$C$161,2,FALSE)*VLOOKUP(AO$1,'Attrition Modeling'!$L$15:$N$27,IF(AO$2-$F60&lt;=24,2,3),FALSE))*(1+Projection!AQ$16)*(1+IF(AO192&gt;0,'Attrition Modeling'!$N$9,0))),0))</f>
        <v>0</v>
      </c>
      <c r="AP60" s="799">
        <f>IF(AP$2=$F60+1,Monthly!AL$21,IF(AP$2&gt;$F60+1,('Traditional Attrition'!AO60+AP192)*(1-IF(AP$2-$F60&lt;=12,SUMIFS('Attrition Modeling'!$D:$D,'Attrition Modeling'!$B:$B,'Traditional Attrition'!$E60,'Attrition Modeling'!$C:$C,'Traditional Attrition'!AP$1),VLOOKUP('Traditional Attrition'!AP$2-'Traditional Attrition'!$F60-1,'Traditional Attrition'!$A$7:$C$161,2,FALSE)*VLOOKUP(AP$1,'Attrition Modeling'!$L$15:$N$27,IF(AP$2-$F60&lt;=24,2,3),FALSE))*(1+Projection!AR$16)*(1+IF(AP192&gt;0,'Attrition Modeling'!$N$9,0))),0))</f>
        <v>0</v>
      </c>
      <c r="AQ60" s="799">
        <f>IF(AQ$2=$F60+1,Monthly!AM$21,IF(AQ$2&gt;$F60+1,('Traditional Attrition'!AP60+AQ192)*(1-IF(AQ$2-$F60&lt;=12,SUMIFS('Attrition Modeling'!$D:$D,'Attrition Modeling'!$B:$B,'Traditional Attrition'!$E60,'Attrition Modeling'!$C:$C,'Traditional Attrition'!AQ$1),VLOOKUP('Traditional Attrition'!AQ$2-'Traditional Attrition'!$F60-1,'Traditional Attrition'!$A$7:$C$161,2,FALSE)*VLOOKUP(AQ$1,'Attrition Modeling'!$L$15:$N$27,IF(AQ$2-$F60&lt;=24,2,3),FALSE))*(1+Projection!AS$16)*(1+IF(AQ192&gt;0,'Attrition Modeling'!$N$9,0))),0))</f>
        <v>0</v>
      </c>
      <c r="AR60" s="799">
        <f>IF(AR$2=$F60+1,Monthly!AN$21,IF(AR$2&gt;$F60+1,('Traditional Attrition'!AQ60+AR192)*(1-IF(AR$2-$F60&lt;=12,SUMIFS('Attrition Modeling'!$D:$D,'Attrition Modeling'!$B:$B,'Traditional Attrition'!$E60,'Attrition Modeling'!$C:$C,'Traditional Attrition'!AR$1),VLOOKUP('Traditional Attrition'!AR$2-'Traditional Attrition'!$F60-1,'Traditional Attrition'!$A$7:$C$161,2,FALSE)*VLOOKUP(AR$1,'Attrition Modeling'!$L$15:$N$27,IF(AR$2-$F60&lt;=24,2,3),FALSE))*(1+Projection!AT$16)*(1+IF(AR192&gt;0,'Attrition Modeling'!$N$9,0))),0))</f>
        <v>0</v>
      </c>
      <c r="AS60" s="799">
        <f>IF(AS$2=$F60+1,Monthly!AO$21,IF(AS$2&gt;$F60+1,('Traditional Attrition'!AR60+AS192)*(1-IF(AS$2-$F60&lt;=12,SUMIFS('Attrition Modeling'!$D:$D,'Attrition Modeling'!$B:$B,'Traditional Attrition'!$E60,'Attrition Modeling'!$C:$C,'Traditional Attrition'!AS$1),VLOOKUP('Traditional Attrition'!AS$2-'Traditional Attrition'!$F60-1,'Traditional Attrition'!$A$7:$C$161,2,FALSE)*VLOOKUP(AS$1,'Attrition Modeling'!$L$15:$N$27,IF(AS$2-$F60&lt;=24,2,3),FALSE))*(1+Projection!AU$16)*(1+IF(AS192&gt;0,'Attrition Modeling'!$N$9,0))),0))</f>
        <v>0</v>
      </c>
      <c r="AT60" s="799">
        <f>IF(AT$2=$F60+1,Monthly!AP$21,IF(AT$2&gt;$F60+1,('Traditional Attrition'!AS60+AT192)*(1-IF(AT$2-$F60&lt;=12,SUMIFS('Attrition Modeling'!$D:$D,'Attrition Modeling'!$B:$B,'Traditional Attrition'!$E60,'Attrition Modeling'!$C:$C,'Traditional Attrition'!AT$1),VLOOKUP('Traditional Attrition'!AT$2-'Traditional Attrition'!$F60-1,'Traditional Attrition'!$A$7:$C$161,2,FALSE)*VLOOKUP(AT$1,'Attrition Modeling'!$L$15:$N$27,IF(AT$2-$F60&lt;=24,2,3),FALSE))*(1+Projection!AV$16)*(1+IF(AT192&gt;0,'Attrition Modeling'!$N$9,0))),0))</f>
        <v>0</v>
      </c>
      <c r="AU60" s="799">
        <f>IF(AU$2=$F60+1,Monthly!AQ$21,IF(AU$2&gt;$F60+1,('Traditional Attrition'!AT60+AU192)*(1-IF(AU$2-$F60&lt;=12,SUMIFS('Attrition Modeling'!$D:$D,'Attrition Modeling'!$B:$B,'Traditional Attrition'!$E60,'Attrition Modeling'!$C:$C,'Traditional Attrition'!AU$1),VLOOKUP('Traditional Attrition'!AU$2-'Traditional Attrition'!$F60-1,'Traditional Attrition'!$A$7:$C$161,2,FALSE)*VLOOKUP(AU$1,'Attrition Modeling'!$L$15:$N$27,IF(AU$2-$F60&lt;=24,2,3),FALSE))*(1+Projection!AW$16)*(1+IF(AU192&gt;0,'Attrition Modeling'!$N$9,0))),0))</f>
        <v>0</v>
      </c>
      <c r="AV60" s="799">
        <f>IF(AV$2=$F60+1,Monthly!AR$21,IF(AV$2&gt;$F60+1,('Traditional Attrition'!AU60+AV192)*(1-IF(AV$2-$F60&lt;=12,SUMIFS('Attrition Modeling'!$D:$D,'Attrition Modeling'!$B:$B,'Traditional Attrition'!$E60,'Attrition Modeling'!$C:$C,'Traditional Attrition'!AV$1),VLOOKUP('Traditional Attrition'!AV$2-'Traditional Attrition'!$F60-1,'Traditional Attrition'!$A$7:$C$161,2,FALSE)*VLOOKUP(AV$1,'Attrition Modeling'!$L$15:$N$27,IF(AV$2-$F60&lt;=24,2,3),FALSE))*(1+Projection!AX$16)*(1+IF(AV192&gt;0,'Attrition Modeling'!$N$9,0))),0))</f>
        <v>0</v>
      </c>
      <c r="AW60" s="799">
        <f>IF(AW$2=$F60+1,Monthly!AS$21,IF(AW$2&gt;$F60+1,('Traditional Attrition'!AV60+AW192)*(1-IF(AW$2-$F60&lt;=12,SUMIFS('Attrition Modeling'!$D:$D,'Attrition Modeling'!$B:$B,'Traditional Attrition'!$E60,'Attrition Modeling'!$C:$C,'Traditional Attrition'!AW$1),VLOOKUP('Traditional Attrition'!AW$2-'Traditional Attrition'!$F60-1,'Traditional Attrition'!$A$7:$C$161,2,FALSE)*VLOOKUP(AW$1,'Attrition Modeling'!$L$15:$N$27,IF(AW$2-$F60&lt;=24,2,3),FALSE))*(1+Projection!AY$16)*(1+IF(AW192&gt;0,'Attrition Modeling'!$N$9,0))),0))</f>
        <v>0</v>
      </c>
      <c r="AX60" s="799">
        <f>IF(AX$2=$F60+1,Monthly!AT$21,IF(AX$2&gt;$F60+1,('Traditional Attrition'!AW60+AX192)*(1-IF(AX$2-$F60&lt;=12,SUMIFS('Attrition Modeling'!$D:$D,'Attrition Modeling'!$B:$B,'Traditional Attrition'!$E60,'Attrition Modeling'!$C:$C,'Traditional Attrition'!AX$1),VLOOKUP('Traditional Attrition'!AX$2-'Traditional Attrition'!$F60-1,'Traditional Attrition'!$A$7:$C$161,2,FALSE)*VLOOKUP(AX$1,'Attrition Modeling'!$L$15:$N$27,IF(AX$2-$F60&lt;=24,2,3),FALSE))*(1+Projection!AZ$16)*(1+IF(AX192&gt;0,'Attrition Modeling'!$N$9,0))),0))</f>
        <v>0</v>
      </c>
      <c r="AY60" s="799">
        <f>IF(AY$2=$F60+1,Monthly!AU$21,IF(AY$2&gt;$F60+1,('Traditional Attrition'!AX60+AY192)*(1-IF(AY$2-$F60&lt;=12,SUMIFS('Attrition Modeling'!$D:$D,'Attrition Modeling'!$B:$B,'Traditional Attrition'!$E60,'Attrition Modeling'!$C:$C,'Traditional Attrition'!AY$1),VLOOKUP('Traditional Attrition'!AY$2-'Traditional Attrition'!$F60-1,'Traditional Attrition'!$A$7:$C$161,2,FALSE)*VLOOKUP(AY$1,'Attrition Modeling'!$L$15:$N$27,IF(AY$2-$F60&lt;=24,2,3),FALSE))*(1+Projection!BA$16)*(1+IF(AY192&gt;0,'Attrition Modeling'!$N$9,0))),0))</f>
        <v>0</v>
      </c>
      <c r="AZ60" s="799">
        <f>IF(AZ$2=$F60+1,Monthly!AV$21,IF(AZ$2&gt;$F60+1,('Traditional Attrition'!AY60+AZ192)*(1-IF(AZ$2-$F60&lt;=12,SUMIFS('Attrition Modeling'!$D:$D,'Attrition Modeling'!$B:$B,'Traditional Attrition'!$E60,'Attrition Modeling'!$C:$C,'Traditional Attrition'!AZ$1),VLOOKUP('Traditional Attrition'!AZ$2-'Traditional Attrition'!$F60-1,'Traditional Attrition'!$A$7:$C$161,2,FALSE)*VLOOKUP(AZ$1,'Attrition Modeling'!$L$15:$N$27,IF(AZ$2-$F60&lt;=24,2,3),FALSE))*(1+Projection!BB$16)*(1+IF(AZ192&gt;0,'Attrition Modeling'!$N$9,0))),0))</f>
        <v>0</v>
      </c>
      <c r="BA60" s="799">
        <f>IF(BA$2=$F60+1,Monthly!AW$21,IF(BA$2&gt;$F60+1,('Traditional Attrition'!AZ60+BA192)*(1-IF(BA$2-$F60&lt;=12,SUMIFS('Attrition Modeling'!$D:$D,'Attrition Modeling'!$B:$B,'Traditional Attrition'!$E60,'Attrition Modeling'!$C:$C,'Traditional Attrition'!BA$1),VLOOKUP('Traditional Attrition'!BA$2-'Traditional Attrition'!$F60-1,'Traditional Attrition'!$A$7:$C$161,2,FALSE)*VLOOKUP(BA$1,'Attrition Modeling'!$L$15:$N$27,IF(BA$2-$F60&lt;=24,2,3),FALSE))*(1+Projection!BC$16)*(1+IF(BA192&gt;0,'Attrition Modeling'!$N$9,0))),0))</f>
        <v>0</v>
      </c>
      <c r="BB60" s="799">
        <f>IF(BB$2=$F60+1,Monthly!AX$21,IF(BB$2&gt;$F60+1,('Traditional Attrition'!BA60+BB192)*(1-IF(BB$2-$F60&lt;=12,SUMIFS('Attrition Modeling'!$D:$D,'Attrition Modeling'!$B:$B,'Traditional Attrition'!$E60,'Attrition Modeling'!$C:$C,'Traditional Attrition'!BB$1),VLOOKUP('Traditional Attrition'!BB$2-'Traditional Attrition'!$F60-1,'Traditional Attrition'!$A$7:$C$161,2,FALSE)*VLOOKUP(BB$1,'Attrition Modeling'!$L$15:$N$27,IF(BB$2-$F60&lt;=24,2,3),FALSE))*(1+Projection!BD$16)*(1+IF(BB192&gt;0,'Attrition Modeling'!$N$9,0))),0))</f>
        <v>0</v>
      </c>
      <c r="BC60" s="799">
        <f>IF(BC$2=$F60+1,Monthly!AY$21,IF(BC$2&gt;$F60+1,('Traditional Attrition'!BB60+BC192)*(1-IF(BC$2-$F60&lt;=12,SUMIFS('Attrition Modeling'!$D:$D,'Attrition Modeling'!$B:$B,'Traditional Attrition'!$E60,'Attrition Modeling'!$C:$C,'Traditional Attrition'!BC$1),VLOOKUP('Traditional Attrition'!BC$2-'Traditional Attrition'!$F60-1,'Traditional Attrition'!$A$7:$C$161,2,FALSE)*VLOOKUP(BC$1,'Attrition Modeling'!$L$15:$N$27,IF(BC$2-$F60&lt;=24,2,3),FALSE))*(1+Projection!BE$16)*(1+IF(BC192&gt;0,'Attrition Modeling'!$N$9,0))),0))</f>
        <v>0</v>
      </c>
      <c r="BD60" s="799">
        <f>IF(BD$2=$F60+1,Monthly!AZ$21,IF(BD$2&gt;$F60+1,('Traditional Attrition'!BC60+BD192)*(1-IF(BD$2-$F60&lt;=12,SUMIFS('Attrition Modeling'!$D:$D,'Attrition Modeling'!$B:$B,'Traditional Attrition'!$E60,'Attrition Modeling'!$C:$C,'Traditional Attrition'!BD$1),VLOOKUP('Traditional Attrition'!BD$2-'Traditional Attrition'!$F60-1,'Traditional Attrition'!$A$7:$C$161,2,FALSE)*VLOOKUP(BD$1,'Attrition Modeling'!$L$15:$N$27,IF(BD$2-$F60&lt;=24,2,3),FALSE))*(1+Projection!BF$16)*(1+IF(BD192&gt;0,'Attrition Modeling'!$N$9,0))),0))</f>
        <v>0</v>
      </c>
      <c r="BE60" s="799">
        <f>IF(BE$2=$F60+1,Monthly!BA$21,IF(BE$2&gt;$F60+1,('Traditional Attrition'!BD60+BE192)*(1-IF(BE$2-$F60&lt;=12,SUMIFS('Attrition Modeling'!$D:$D,'Attrition Modeling'!$B:$B,'Traditional Attrition'!$E60,'Attrition Modeling'!$C:$C,'Traditional Attrition'!BE$1),VLOOKUP('Traditional Attrition'!BE$2-'Traditional Attrition'!$F60-1,'Traditional Attrition'!$A$7:$C$161,2,FALSE)*VLOOKUP(BE$1,'Attrition Modeling'!$L$15:$N$27,IF(BE$2-$F60&lt;=24,2,3),FALSE))*(1+Projection!BG$16)*(1+IF(BE192&gt;0,'Attrition Modeling'!$N$9,0))),0))</f>
        <v>0</v>
      </c>
      <c r="BF60" s="799">
        <f>IF(BF$2=$F60+1,Monthly!BB$21,IF(BF$2&gt;$F60+1,('Traditional Attrition'!BE60+BF192)*(1-IF(BF$2-$F60&lt;=12,SUMIFS('Attrition Modeling'!$D:$D,'Attrition Modeling'!$B:$B,'Traditional Attrition'!$E60,'Attrition Modeling'!$C:$C,'Traditional Attrition'!BF$1),VLOOKUP('Traditional Attrition'!BF$2-'Traditional Attrition'!$F60-1,'Traditional Attrition'!$A$7:$C$161,2,FALSE)*VLOOKUP(BF$1,'Attrition Modeling'!$L$15:$N$27,IF(BF$2-$F60&lt;=24,2,3),FALSE))*(1+Projection!BH$16)*(1+IF(BF192&gt;0,'Attrition Modeling'!$N$9,0))),0))</f>
        <v>0</v>
      </c>
      <c r="BG60" s="799">
        <f>IF(BG$2=$F60+1,Monthly!BC$21,IF(BG$2&gt;$F60+1,('Traditional Attrition'!BF60+BG192)*(1-IF(BG$2-$F60&lt;=12,SUMIFS('Attrition Modeling'!$D:$D,'Attrition Modeling'!$B:$B,'Traditional Attrition'!$E60,'Attrition Modeling'!$C:$C,'Traditional Attrition'!BG$1),VLOOKUP('Traditional Attrition'!BG$2-'Traditional Attrition'!$F60-1,'Traditional Attrition'!$A$7:$C$161,2,FALSE)*VLOOKUP(BG$1,'Attrition Modeling'!$L$15:$N$27,IF(BG$2-$F60&lt;=24,2,3),FALSE))*(1+Projection!BI$16)*(1+IF(BG192&gt;0,'Attrition Modeling'!$N$9,0))),0))</f>
        <v>0</v>
      </c>
      <c r="BH60" s="799">
        <f>IF(BH$2=$F60+1,Monthly!BD$21,IF(BH$2&gt;$F60+1,('Traditional Attrition'!BG60+BH192)*(1-IF(BH$2-$F60&lt;=12,SUMIFS('Attrition Modeling'!$D:$D,'Attrition Modeling'!$B:$B,'Traditional Attrition'!$E60,'Attrition Modeling'!$C:$C,'Traditional Attrition'!BH$1),VLOOKUP('Traditional Attrition'!BH$2-'Traditional Attrition'!$F60-1,'Traditional Attrition'!$A$7:$C$161,2,FALSE)*VLOOKUP(BH$1,'Attrition Modeling'!$L$15:$N$27,IF(BH$2-$F60&lt;=24,2,3),FALSE))*(1+Projection!BJ$16)*(1+IF(BH192&gt;0,'Attrition Modeling'!$N$9,0))),0))</f>
        <v>0</v>
      </c>
      <c r="BI60" s="799">
        <f>IF(BI$2=$F60+1,Monthly!BE$21,IF(BI$2&gt;$F60+1,('Traditional Attrition'!BH60+BI192)*(1-IF(BI$2-$F60&lt;=12,SUMIFS('Attrition Modeling'!$D:$D,'Attrition Modeling'!$B:$B,'Traditional Attrition'!$E60,'Attrition Modeling'!$C:$C,'Traditional Attrition'!BI$1),VLOOKUP('Traditional Attrition'!BI$2-'Traditional Attrition'!$F60-1,'Traditional Attrition'!$A$7:$C$161,2,FALSE)*VLOOKUP(BI$1,'Attrition Modeling'!$L$15:$N$27,IF(BI$2-$F60&lt;=24,2,3),FALSE))*(1+Projection!BK$16)*(1+IF(BI192&gt;0,'Attrition Modeling'!$N$9,0))),0))</f>
        <v>0</v>
      </c>
      <c r="BJ60" s="799">
        <f>IF(BJ$2=$F60+1,Monthly!BF$21,IF(BJ$2&gt;$F60+1,('Traditional Attrition'!BI60+BJ192)*(1-IF(BJ$2-$F60&lt;=12,SUMIFS('Attrition Modeling'!$D:$D,'Attrition Modeling'!$B:$B,'Traditional Attrition'!$E60,'Attrition Modeling'!$C:$C,'Traditional Attrition'!BJ$1),VLOOKUP('Traditional Attrition'!BJ$2-'Traditional Attrition'!$F60-1,'Traditional Attrition'!$A$7:$C$161,2,FALSE)*VLOOKUP(BJ$1,'Attrition Modeling'!$L$15:$N$27,IF(BJ$2-$F60&lt;=24,2,3),FALSE))*(1+Projection!BL$16)*(1+IF(BJ192&gt;0,'Attrition Modeling'!$N$9,0))),0))</f>
        <v>0</v>
      </c>
      <c r="BK60" s="799">
        <f>IF(BK$2=$F60+1,Monthly!BG$21,IF(BK$2&gt;$F60+1,('Traditional Attrition'!BJ60+BK192)*(1-IF(BK$2-$F60&lt;=12,SUMIFS('Attrition Modeling'!$D:$D,'Attrition Modeling'!$B:$B,'Traditional Attrition'!$E60,'Attrition Modeling'!$C:$C,'Traditional Attrition'!BK$1),VLOOKUP('Traditional Attrition'!BK$2-'Traditional Attrition'!$F60-1,'Traditional Attrition'!$A$7:$C$161,2,FALSE)*VLOOKUP(BK$1,'Attrition Modeling'!$L$15:$N$27,IF(BK$2-$F60&lt;=24,2,3),FALSE))*(1+Projection!BM$16)*(1+IF(BK192&gt;0,'Attrition Modeling'!$N$9,0))),0))</f>
        <v>0</v>
      </c>
      <c r="BL60" s="799">
        <f>IF(BL$2=$F60+1,Monthly!BH$21,IF(BL$2&gt;$F60+1,('Traditional Attrition'!BK60+BL192)*(1-IF(BL$2-$F60&lt;=12,SUMIFS('Attrition Modeling'!$D:$D,'Attrition Modeling'!$B:$B,'Traditional Attrition'!$E60,'Attrition Modeling'!$C:$C,'Traditional Attrition'!BL$1),VLOOKUP('Traditional Attrition'!BL$2-'Traditional Attrition'!$F60-1,'Traditional Attrition'!$A$7:$C$161,2,FALSE)*VLOOKUP(BL$1,'Attrition Modeling'!$L$15:$N$27,IF(BL$2-$F60&lt;=24,2,3),FALSE))*(1+Projection!BN$16)*(1+IF(BL192&gt;0,'Attrition Modeling'!$N$9,0))),0))</f>
        <v>0</v>
      </c>
      <c r="BM60" s="799">
        <f>IF(BM$2=$F60+1,Monthly!BI$21,IF(BM$2&gt;$F60+1,('Traditional Attrition'!BL60+BM192)*(1-IF(BM$2-$F60&lt;=12,SUMIFS('Attrition Modeling'!$D:$D,'Attrition Modeling'!$B:$B,'Traditional Attrition'!$E60,'Attrition Modeling'!$C:$C,'Traditional Attrition'!BM$1),VLOOKUP('Traditional Attrition'!BM$2-'Traditional Attrition'!$F60-1,'Traditional Attrition'!$A$7:$C$161,2,FALSE)*VLOOKUP(BM$1,'Attrition Modeling'!$L$15:$N$27,IF(BM$2-$F60&lt;=24,2,3),FALSE))*(1+Projection!BO$16)*(1+IF(BM192&gt;0,'Attrition Modeling'!$N$9,0))),0))</f>
        <v>8755.6605481798233</v>
      </c>
      <c r="BN60" s="799">
        <f>IF(BN$2=$F60+1,Monthly!BJ$21,IF(BN$2&gt;$F60+1,('Traditional Attrition'!BM60+BN192)*(1-IF(BN$2-$F60&lt;=12,SUMIFS('Attrition Modeling'!$D:$D,'Attrition Modeling'!$B:$B,'Traditional Attrition'!$E60,'Attrition Modeling'!$C:$C,'Traditional Attrition'!BN$1),VLOOKUP('Traditional Attrition'!BN$2-'Traditional Attrition'!$F60-1,'Traditional Attrition'!$A$7:$C$161,2,FALSE)*VLOOKUP(BN$1,'Attrition Modeling'!$L$15:$N$27,IF(BN$2-$F60&lt;=24,2,3),FALSE))*(1+Projection!BP$16)*(1+IF(BN192&gt;0,'Attrition Modeling'!$N$9,0))),0))</f>
        <v>7878.5333590861001</v>
      </c>
      <c r="BO60" s="799">
        <f>IF(BO$2=$F60+1,Monthly!BK$21,IF(BO$2&gt;$F60+1,('Traditional Attrition'!BN60+BO192)*(1-IF(BO$2-$F60&lt;=12,SUMIFS('Attrition Modeling'!$D:$D,'Attrition Modeling'!$B:$B,'Traditional Attrition'!$E60,'Attrition Modeling'!$C:$C,'Traditional Attrition'!BO$1),VLOOKUP('Traditional Attrition'!BO$2-'Traditional Attrition'!$F60-1,'Traditional Attrition'!$A$7:$C$161,2,FALSE)*VLOOKUP(BO$1,'Attrition Modeling'!$L$15:$N$27,IF(BO$2-$F60&lt;=24,2,3),FALSE))*(1+Projection!BV$16)*(1+IF(BO192&gt;0,'Attrition Modeling'!$N$9,0))),0))</f>
        <v>7186.8944058359884</v>
      </c>
      <c r="BP60" s="799">
        <f>IF(BP$2=$F60+1,Monthly!BL$21,IF(BP$2&gt;$F60+1,('Traditional Attrition'!BO60+BP192)*(1-IF(BP$2-$F60&lt;=12,SUMIFS('Attrition Modeling'!$D:$D,'Attrition Modeling'!$B:$B,'Traditional Attrition'!$E60,'Attrition Modeling'!$C:$C,'Traditional Attrition'!BP$1),VLOOKUP('Traditional Attrition'!BP$2-'Traditional Attrition'!$F60-1,'Traditional Attrition'!$A$7:$C$161,2,FALSE)*VLOOKUP(BP$1,'Attrition Modeling'!$L$15:$N$27,IF(BP$2-$F60&lt;=24,2,3),FALSE))*(1+Projection!BW$16)*(1+IF(BP192&gt;0,'Attrition Modeling'!$N$9,0))),0))</f>
        <v>6598.7952924809615</v>
      </c>
      <c r="BQ60" s="799">
        <f>IF(BQ$2=$F60+1,Monthly!BM$21,IF(BQ$2&gt;$F60+1,('Traditional Attrition'!BP60+BQ192)*(1-IF(BQ$2-$F60&lt;=12,SUMIFS('Attrition Modeling'!$D:$D,'Attrition Modeling'!$B:$B,'Traditional Attrition'!$E60,'Attrition Modeling'!$C:$C,'Traditional Attrition'!BQ$1),VLOOKUP('Traditional Attrition'!BQ$2-'Traditional Attrition'!$F60-1,'Traditional Attrition'!$A$7:$C$161,2,FALSE)*VLOOKUP(BQ$1,'Attrition Modeling'!$L$15:$N$27,IF(BQ$2-$F60&lt;=24,2,3),FALSE))*(1+Projection!BX$16)*(1+IF(BQ192&gt;0,'Attrition Modeling'!$N$9,0))),0))</f>
        <v>6112.0031535739345</v>
      </c>
      <c r="BR60" s="799">
        <f>IF(BR$2=$F60+1,Monthly!BN$21,IF(BR$2&gt;$F60+1,('Traditional Attrition'!BQ60+BR192)*(1-IF(BR$2-$F60&lt;=12,SUMIFS('Attrition Modeling'!$D:$D,'Attrition Modeling'!$B:$B,'Traditional Attrition'!$E60,'Attrition Modeling'!$C:$C,'Traditional Attrition'!BR$1),VLOOKUP('Traditional Attrition'!BR$2-'Traditional Attrition'!$F60-1,'Traditional Attrition'!$A$7:$C$161,2,FALSE)*VLOOKUP(BR$1,'Attrition Modeling'!$L$15:$N$27,IF(BR$2-$F60&lt;=24,2,3),FALSE))*(1+Projection!BY$16)*(1+IF(BR192&gt;0,'Attrition Modeling'!$N$9,0))),0))</f>
        <v>6012.5666726777563</v>
      </c>
      <c r="BS60" s="799">
        <f>IF(BS$2=$F60+1,Monthly!BO$21,IF(BS$2&gt;$F60+1,('Traditional Attrition'!BR60+BS192)*(1-IF(BS$2-$F60&lt;=12,SUMIFS('Attrition Modeling'!$D:$D,'Attrition Modeling'!$B:$B,'Traditional Attrition'!$E60,'Attrition Modeling'!$C:$C,'Traditional Attrition'!BS$1),VLOOKUP('Traditional Attrition'!BS$2-'Traditional Attrition'!$F60-1,'Traditional Attrition'!$A$7:$C$161,2,FALSE)*VLOOKUP(BS$1,'Attrition Modeling'!$L$15:$N$27,IF(BS$2-$F60&lt;=24,2,3),FALSE))*(1+Projection!BZ$16)*(1+IF(BS192&gt;0,'Attrition Modeling'!$N$9,0))),0))</f>
        <v>5575.6673634502977</v>
      </c>
      <c r="BT60" s="799">
        <f>IF(BT$2=$F60+1,Monthly!#REF!,IF(BT$2&gt;$F60+1,('Traditional Attrition'!BS60+BT192)*(1-IF(BT$2-$F60&lt;=12,SUMIFS('Attrition Modeling'!$D:$D,'Attrition Modeling'!$B:$B,'Traditional Attrition'!$E60,'Attrition Modeling'!$C:$C,'Traditional Attrition'!BT$1),VLOOKUP('Traditional Attrition'!BT$2-'Traditional Attrition'!$F60-1,'Traditional Attrition'!$A$7:$C$161,2,FALSE)*VLOOKUP(BT$1,'Attrition Modeling'!$L$15:$N$27,IF(BT$2-$F60&lt;=24,2,3),FALSE))*(1+Projection!CA$16)*(1+IF(BT192&gt;0,'Attrition Modeling'!$N$9,0))),0))</f>
        <v>5179.0129375409297</v>
      </c>
      <c r="BU60" s="799">
        <f>IF(BU$2=$F60+1,Monthly!#REF!,IF(BU$2&gt;$F60+1,('Traditional Attrition'!BT60+BU192)*(1-IF(BU$2-$F60&lt;=12,SUMIFS('Attrition Modeling'!$D:$D,'Attrition Modeling'!$B:$B,'Traditional Attrition'!$E60,'Attrition Modeling'!$C:$C,'Traditional Attrition'!BU$1),VLOOKUP('Traditional Attrition'!BU$2-'Traditional Attrition'!$F60-1,'Traditional Attrition'!$A$7:$C$161,2,FALSE)*VLOOKUP(BU$1,'Attrition Modeling'!$L$15:$N$27,IF(BU$2-$F60&lt;=24,2,3),FALSE))*(1+Projection!CB$16)*(1+IF(BU192&gt;0,'Attrition Modeling'!$N$9,0))),0))</f>
        <v>4822.382740303452</v>
      </c>
    </row>
    <row r="61" spans="1:73" ht="14.25" customHeight="1" x14ac:dyDescent="0.2">
      <c r="A61" s="9">
        <v>54</v>
      </c>
      <c r="B61" s="25">
        <f>MAX('Attrition Modeling'!H58,$C$3)*(1-Summary!$C$20)</f>
        <v>2.3812175912941283E-2</v>
      </c>
      <c r="C61" s="24" t="e">
        <f t="shared" si="4"/>
        <v>#DIV/0!</v>
      </c>
      <c r="E61" s="11">
        <f t="shared" si="2"/>
        <v>10</v>
      </c>
      <c r="F61" s="11">
        <f t="shared" si="3"/>
        <v>58</v>
      </c>
      <c r="G61" s="799"/>
      <c r="H61" s="799">
        <f>IF(H$2=$F61+1,Monthly!D$21,IF(H$2&gt;$F61+1,('Traditional Attrition'!G61+H193)*(1-IF(H$2-$F61&lt;=12,SUMIFS('Attrition Modeling'!$D:$D,'Attrition Modeling'!$B:$B,'Traditional Attrition'!$E61,'Attrition Modeling'!$C:$C,'Traditional Attrition'!H$1),VLOOKUP('Traditional Attrition'!H$2-'Traditional Attrition'!$F61-1,'Traditional Attrition'!$A$7:$C$161,2,FALSE)*VLOOKUP(H$1,'Attrition Modeling'!$L$15:$N$27,IF(H$2-$F61&lt;=24,2,3),FALSE))*(1+Projection!J$16)*(1+IF(H193&gt;0,'Attrition Modeling'!$N$9,0))),0))</f>
        <v>0</v>
      </c>
      <c r="I61" s="799">
        <f>IF(I$2=$F61+1,Monthly!E$21,IF(I$2&gt;$F61+1,('Traditional Attrition'!H61+I193)*(1-IF(I$2-$F61&lt;=12,SUMIFS('Attrition Modeling'!$D:$D,'Attrition Modeling'!$B:$B,'Traditional Attrition'!$E61,'Attrition Modeling'!$C:$C,'Traditional Attrition'!I$1),VLOOKUP('Traditional Attrition'!I$2-'Traditional Attrition'!$F61-1,'Traditional Attrition'!$A$7:$C$161,2,FALSE)*VLOOKUP(I$1,'Attrition Modeling'!$L$15:$N$27,IF(I$2-$F61&lt;=24,2,3),FALSE))*(1+Projection!K$16)*(1+IF(I193&gt;0,'Attrition Modeling'!$N$9,0))),0))</f>
        <v>0</v>
      </c>
      <c r="J61" s="799">
        <f>IF(J$2=$F61+1,Monthly!F$21,IF(J$2&gt;$F61+1,('Traditional Attrition'!I61+J193)*(1-IF(J$2-$F61&lt;=12,SUMIFS('Attrition Modeling'!$D:$D,'Attrition Modeling'!$B:$B,'Traditional Attrition'!$E61,'Attrition Modeling'!$C:$C,'Traditional Attrition'!J$1),VLOOKUP('Traditional Attrition'!J$2-'Traditional Attrition'!$F61-1,'Traditional Attrition'!$A$7:$C$161,2,FALSE)*VLOOKUP(J$1,'Attrition Modeling'!$L$15:$N$27,IF(J$2-$F61&lt;=24,2,3),FALSE))*(1+Projection!L$16)*(1+IF(J193&gt;0,'Attrition Modeling'!$N$9,0))),0))</f>
        <v>0</v>
      </c>
      <c r="K61" s="799">
        <f>IF(K$2=$F61+1,Monthly!G$21,IF(K$2&gt;$F61+1,('Traditional Attrition'!J61+K193)*(1-IF(K$2-$F61&lt;=12,SUMIFS('Attrition Modeling'!$D:$D,'Attrition Modeling'!$B:$B,'Traditional Attrition'!$E61,'Attrition Modeling'!$C:$C,'Traditional Attrition'!K$1),VLOOKUP('Traditional Attrition'!K$2-'Traditional Attrition'!$F61-1,'Traditional Attrition'!$A$7:$C$161,2,FALSE)*VLOOKUP(K$1,'Attrition Modeling'!$L$15:$N$27,IF(K$2-$F61&lt;=24,2,3),FALSE))*(1+Projection!M$16)*(1+IF(K193&gt;0,'Attrition Modeling'!$N$9,0))),0))</f>
        <v>0</v>
      </c>
      <c r="L61" s="799">
        <f>IF(L$2=$F61+1,Monthly!H$21,IF(L$2&gt;$F61+1,('Traditional Attrition'!K61+L193)*(1-IF(L$2-$F61&lt;=12,SUMIFS('Attrition Modeling'!$D:$D,'Attrition Modeling'!$B:$B,'Traditional Attrition'!$E61,'Attrition Modeling'!$C:$C,'Traditional Attrition'!L$1),VLOOKUP('Traditional Attrition'!L$2-'Traditional Attrition'!$F61-1,'Traditional Attrition'!$A$7:$C$161,2,FALSE)*VLOOKUP(L$1,'Attrition Modeling'!$L$15:$N$27,IF(L$2-$F61&lt;=24,2,3),FALSE))*(1+Projection!N$16)*(1+IF(L193&gt;0,'Attrition Modeling'!$N$9,0))),0))</f>
        <v>0</v>
      </c>
      <c r="M61" s="799">
        <f>IF(M$2=$F61+1,Monthly!I$21,IF(M$2&gt;$F61+1,('Traditional Attrition'!L61+M193)*(1-IF(M$2-$F61&lt;=12,SUMIFS('Attrition Modeling'!$D:$D,'Attrition Modeling'!$B:$B,'Traditional Attrition'!$E61,'Attrition Modeling'!$C:$C,'Traditional Attrition'!M$1),VLOOKUP('Traditional Attrition'!M$2-'Traditional Attrition'!$F61-1,'Traditional Attrition'!$A$7:$C$161,2,FALSE)*VLOOKUP(M$1,'Attrition Modeling'!$L$15:$N$27,IF(M$2-$F61&lt;=24,2,3),FALSE))*(1+Projection!O$16)*(1+IF(M193&gt;0,'Attrition Modeling'!$N$9,0))),0))</f>
        <v>0</v>
      </c>
      <c r="N61" s="799">
        <f>IF(N$2=$F61+1,Monthly!J$21,IF(N$2&gt;$F61+1,('Traditional Attrition'!M61+N193)*(1-IF(N$2-$F61&lt;=12,SUMIFS('Attrition Modeling'!$D:$D,'Attrition Modeling'!$B:$B,'Traditional Attrition'!$E61,'Attrition Modeling'!$C:$C,'Traditional Attrition'!N$1),VLOOKUP('Traditional Attrition'!N$2-'Traditional Attrition'!$F61-1,'Traditional Attrition'!$A$7:$C$161,2,FALSE)*VLOOKUP(N$1,'Attrition Modeling'!$L$15:$N$27,IF(N$2-$F61&lt;=24,2,3),FALSE))*(1+Projection!P$16)*(1+IF(N193&gt;0,'Attrition Modeling'!$N$9,0))),0))</f>
        <v>0</v>
      </c>
      <c r="O61" s="799">
        <f>IF(O$2=$F61+1,Monthly!K$21,IF(O$2&gt;$F61+1,('Traditional Attrition'!N61+O193)*(1-IF(O$2-$F61&lt;=12,SUMIFS('Attrition Modeling'!$D:$D,'Attrition Modeling'!$B:$B,'Traditional Attrition'!$E61,'Attrition Modeling'!$C:$C,'Traditional Attrition'!O$1),VLOOKUP('Traditional Attrition'!O$2-'Traditional Attrition'!$F61-1,'Traditional Attrition'!$A$7:$C$161,2,FALSE)*VLOOKUP(O$1,'Attrition Modeling'!$L$15:$N$27,IF(O$2-$F61&lt;=24,2,3),FALSE))*(1+Projection!Q$16)*(1+IF(O193&gt;0,'Attrition Modeling'!$N$9,0))),0))</f>
        <v>0</v>
      </c>
      <c r="P61" s="799">
        <f>IF(P$2=$F61+1,Monthly!L$21,IF(P$2&gt;$F61+1,('Traditional Attrition'!O61+P193)*(1-IF(P$2-$F61&lt;=12,SUMIFS('Attrition Modeling'!$D:$D,'Attrition Modeling'!$B:$B,'Traditional Attrition'!$E61,'Attrition Modeling'!$C:$C,'Traditional Attrition'!P$1),VLOOKUP('Traditional Attrition'!P$2-'Traditional Attrition'!$F61-1,'Traditional Attrition'!$A$7:$C$161,2,FALSE)*VLOOKUP(P$1,'Attrition Modeling'!$L$15:$N$27,IF(P$2-$F61&lt;=24,2,3),FALSE))*(1+Projection!R$16)*(1+IF(P193&gt;0,'Attrition Modeling'!$N$9,0))),0))</f>
        <v>0</v>
      </c>
      <c r="Q61" s="799">
        <f>IF(Q$2=$F61+1,Monthly!M$21,IF(Q$2&gt;$F61+1,('Traditional Attrition'!P61+Q193)*(1-IF(Q$2-$F61&lt;=12,SUMIFS('Attrition Modeling'!$D:$D,'Attrition Modeling'!$B:$B,'Traditional Attrition'!$E61,'Attrition Modeling'!$C:$C,'Traditional Attrition'!Q$1),VLOOKUP('Traditional Attrition'!Q$2-'Traditional Attrition'!$F61-1,'Traditional Attrition'!$A$7:$C$161,2,FALSE)*VLOOKUP(Q$1,'Attrition Modeling'!$L$15:$N$27,IF(Q$2-$F61&lt;=24,2,3),FALSE))*(1+Projection!S$16)*(1+IF(Q193&gt;0,'Attrition Modeling'!$N$9,0))),0))</f>
        <v>0</v>
      </c>
      <c r="R61" s="799">
        <f>IF(R$2=$F61+1,Monthly!N$21,IF(R$2&gt;$F61+1,('Traditional Attrition'!Q61+R193)*(1-IF(R$2-$F61&lt;=12,SUMIFS('Attrition Modeling'!$D:$D,'Attrition Modeling'!$B:$B,'Traditional Attrition'!$E61,'Attrition Modeling'!$C:$C,'Traditional Attrition'!R$1),VLOOKUP('Traditional Attrition'!R$2-'Traditional Attrition'!$F61-1,'Traditional Attrition'!$A$7:$C$161,2,FALSE)*VLOOKUP(R$1,'Attrition Modeling'!$L$15:$N$27,IF(R$2-$F61&lt;=24,2,3),FALSE))*(1+Projection!T$16)*(1+IF(R193&gt;0,'Attrition Modeling'!$N$9,0))),0))</f>
        <v>0</v>
      </c>
      <c r="S61" s="799">
        <f>IF(S$2=$F61+1,Monthly!O$21,IF(S$2&gt;$F61+1,('Traditional Attrition'!R61+S193)*(1-IF(S$2-$F61&lt;=12,SUMIFS('Attrition Modeling'!$D:$D,'Attrition Modeling'!$B:$B,'Traditional Attrition'!$E61,'Attrition Modeling'!$C:$C,'Traditional Attrition'!S$1),VLOOKUP('Traditional Attrition'!S$2-'Traditional Attrition'!$F61-1,'Traditional Attrition'!$A$7:$C$161,2,FALSE)*VLOOKUP(S$1,'Attrition Modeling'!$L$15:$N$27,IF(S$2-$F61&lt;=24,2,3),FALSE))*(1+Projection!U$16)*(1+IF(S193&gt;0,'Attrition Modeling'!$N$9,0))),0))</f>
        <v>0</v>
      </c>
      <c r="T61" s="799">
        <f>IF(T$2=$F61+1,Monthly!P$21,IF(T$2&gt;$F61+1,('Traditional Attrition'!S61+T193)*(1-IF(T$2-$F61&lt;=12,SUMIFS('Attrition Modeling'!$D:$D,'Attrition Modeling'!$B:$B,'Traditional Attrition'!$E61,'Attrition Modeling'!$C:$C,'Traditional Attrition'!T$1),VLOOKUP('Traditional Attrition'!T$2-'Traditional Attrition'!$F61-1,'Traditional Attrition'!$A$7:$C$161,2,FALSE)*VLOOKUP(T$1,'Attrition Modeling'!$L$15:$N$27,IF(T$2-$F61&lt;=24,2,3),FALSE))*(1+Projection!V$16)*(1+IF(T193&gt;0,'Attrition Modeling'!$N$9,0))),0))</f>
        <v>0</v>
      </c>
      <c r="U61" s="799">
        <f>IF(U$2=$F61+1,Monthly!Q$21,IF(U$2&gt;$F61+1,('Traditional Attrition'!T61+U193)*(1-IF(U$2-$F61&lt;=12,SUMIFS('Attrition Modeling'!$D:$D,'Attrition Modeling'!$B:$B,'Traditional Attrition'!$E61,'Attrition Modeling'!$C:$C,'Traditional Attrition'!U$1),VLOOKUP('Traditional Attrition'!U$2-'Traditional Attrition'!$F61-1,'Traditional Attrition'!$A$7:$C$161,2,FALSE)*VLOOKUP(U$1,'Attrition Modeling'!$L$15:$N$27,IF(U$2-$F61&lt;=24,2,3),FALSE))*(1+Projection!W$16)*(1+IF(U193&gt;0,'Attrition Modeling'!$N$9,0))),0))</f>
        <v>0</v>
      </c>
      <c r="V61" s="799">
        <f>IF(V$2=$F61+1,Monthly!R$21,IF(V$2&gt;$F61+1,('Traditional Attrition'!U61+V193)*(1-IF(V$2-$F61&lt;=12,SUMIFS('Attrition Modeling'!$D:$D,'Attrition Modeling'!$B:$B,'Traditional Attrition'!$E61,'Attrition Modeling'!$C:$C,'Traditional Attrition'!V$1),VLOOKUP('Traditional Attrition'!V$2-'Traditional Attrition'!$F61-1,'Traditional Attrition'!$A$7:$C$161,2,FALSE)*VLOOKUP(V$1,'Attrition Modeling'!$L$15:$N$27,IF(V$2-$F61&lt;=24,2,3),FALSE))*(1+Projection!X$16)*(1+IF(V193&gt;0,'Attrition Modeling'!$N$9,0))),0))</f>
        <v>0</v>
      </c>
      <c r="W61" s="799">
        <f>IF(W$2=$F61+1,Monthly!S$21,IF(W$2&gt;$F61+1,('Traditional Attrition'!V61+W193)*(1-IF(W$2-$F61&lt;=12,SUMIFS('Attrition Modeling'!$D:$D,'Attrition Modeling'!$B:$B,'Traditional Attrition'!$E61,'Attrition Modeling'!$C:$C,'Traditional Attrition'!W$1),VLOOKUP('Traditional Attrition'!W$2-'Traditional Attrition'!$F61-1,'Traditional Attrition'!$A$7:$C$161,2,FALSE)*VLOOKUP(W$1,'Attrition Modeling'!$L$15:$N$27,IF(W$2-$F61&lt;=24,2,3),FALSE))*(1+Projection!Y$16)*(1+IF(W193&gt;0,'Attrition Modeling'!$N$9,0))),0))</f>
        <v>0</v>
      </c>
      <c r="X61" s="799">
        <f>IF(X$2=$F61+1,Monthly!T$21,IF(X$2&gt;$F61+1,('Traditional Attrition'!W61+X193)*(1-IF(X$2-$F61&lt;=12,SUMIFS('Attrition Modeling'!$D:$D,'Attrition Modeling'!$B:$B,'Traditional Attrition'!$E61,'Attrition Modeling'!$C:$C,'Traditional Attrition'!X$1),VLOOKUP('Traditional Attrition'!X$2-'Traditional Attrition'!$F61-1,'Traditional Attrition'!$A$7:$C$161,2,FALSE)*VLOOKUP(X$1,'Attrition Modeling'!$L$15:$N$27,IF(X$2-$F61&lt;=24,2,3),FALSE))*(1+Projection!Z$16)*(1+IF(X193&gt;0,'Attrition Modeling'!$N$9,0))),0))</f>
        <v>0</v>
      </c>
      <c r="Y61" s="799">
        <f>IF(Y$2=$F61+1,Monthly!U$21,IF(Y$2&gt;$F61+1,('Traditional Attrition'!X61+Y193)*(1-IF(Y$2-$F61&lt;=12,SUMIFS('Attrition Modeling'!$D:$D,'Attrition Modeling'!$B:$B,'Traditional Attrition'!$E61,'Attrition Modeling'!$C:$C,'Traditional Attrition'!Y$1),VLOOKUP('Traditional Attrition'!Y$2-'Traditional Attrition'!$F61-1,'Traditional Attrition'!$A$7:$C$161,2,FALSE)*VLOOKUP(Y$1,'Attrition Modeling'!$L$15:$N$27,IF(Y$2-$F61&lt;=24,2,3),FALSE))*(1+Projection!AA$16)*(1+IF(Y193&gt;0,'Attrition Modeling'!$N$9,0))),0))</f>
        <v>0</v>
      </c>
      <c r="Z61" s="799">
        <f>IF(Z$2=$F61+1,Monthly!V$21,IF(Z$2&gt;$F61+1,('Traditional Attrition'!Y61+Z193)*(1-IF(Z$2-$F61&lt;=12,SUMIFS('Attrition Modeling'!$D:$D,'Attrition Modeling'!$B:$B,'Traditional Attrition'!$E61,'Attrition Modeling'!$C:$C,'Traditional Attrition'!Z$1),VLOOKUP('Traditional Attrition'!Z$2-'Traditional Attrition'!$F61-1,'Traditional Attrition'!$A$7:$C$161,2,FALSE)*VLOOKUP(Z$1,'Attrition Modeling'!$L$15:$N$27,IF(Z$2-$F61&lt;=24,2,3),FALSE))*(1+Projection!AB$16)*(1+IF(Z193&gt;0,'Attrition Modeling'!$N$9,0))),0))</f>
        <v>0</v>
      </c>
      <c r="AA61" s="799">
        <f>IF(AA$2=$F61+1,Monthly!W$21,IF(AA$2&gt;$F61+1,('Traditional Attrition'!Z61+AA193)*(1-IF(AA$2-$F61&lt;=12,SUMIFS('Attrition Modeling'!$D:$D,'Attrition Modeling'!$B:$B,'Traditional Attrition'!$E61,'Attrition Modeling'!$C:$C,'Traditional Attrition'!AA$1),VLOOKUP('Traditional Attrition'!AA$2-'Traditional Attrition'!$F61-1,'Traditional Attrition'!$A$7:$C$161,2,FALSE)*VLOOKUP(AA$1,'Attrition Modeling'!$L$15:$N$27,IF(AA$2-$F61&lt;=24,2,3),FALSE))*(1+Projection!AC$16)*(1+IF(AA193&gt;0,'Attrition Modeling'!$N$9,0))),0))</f>
        <v>0</v>
      </c>
      <c r="AB61" s="799">
        <f>IF(AB$2=$F61+1,Monthly!X$21,IF(AB$2&gt;$F61+1,('Traditional Attrition'!AA61+AB193)*(1-IF(AB$2-$F61&lt;=12,SUMIFS('Attrition Modeling'!$D:$D,'Attrition Modeling'!$B:$B,'Traditional Attrition'!$E61,'Attrition Modeling'!$C:$C,'Traditional Attrition'!AB$1),VLOOKUP('Traditional Attrition'!AB$2-'Traditional Attrition'!$F61-1,'Traditional Attrition'!$A$7:$C$161,2,FALSE)*VLOOKUP(AB$1,'Attrition Modeling'!$L$15:$N$27,IF(AB$2-$F61&lt;=24,2,3),FALSE))*(1+Projection!AD$16)*(1+IF(AB193&gt;0,'Attrition Modeling'!$N$9,0))),0))</f>
        <v>0</v>
      </c>
      <c r="AC61" s="799">
        <f>IF(AC$2=$F61+1,Monthly!Y$21,IF(AC$2&gt;$F61+1,('Traditional Attrition'!AB61+AC193)*(1-IF(AC$2-$F61&lt;=12,SUMIFS('Attrition Modeling'!$D:$D,'Attrition Modeling'!$B:$B,'Traditional Attrition'!$E61,'Attrition Modeling'!$C:$C,'Traditional Attrition'!AC$1),VLOOKUP('Traditional Attrition'!AC$2-'Traditional Attrition'!$F61-1,'Traditional Attrition'!$A$7:$C$161,2,FALSE)*VLOOKUP(AC$1,'Attrition Modeling'!$L$15:$N$27,IF(AC$2-$F61&lt;=24,2,3),FALSE))*(1+Projection!AE$16)*(1+IF(AC193&gt;0,'Attrition Modeling'!$N$9,0))),0))</f>
        <v>0</v>
      </c>
      <c r="AD61" s="799">
        <f>IF(AD$2=$F61+1,Monthly!Z$21,IF(AD$2&gt;$F61+1,('Traditional Attrition'!AC61+AD193)*(1-IF(AD$2-$F61&lt;=12,SUMIFS('Attrition Modeling'!$D:$D,'Attrition Modeling'!$B:$B,'Traditional Attrition'!$E61,'Attrition Modeling'!$C:$C,'Traditional Attrition'!AD$1),VLOOKUP('Traditional Attrition'!AD$2-'Traditional Attrition'!$F61-1,'Traditional Attrition'!$A$7:$C$161,2,FALSE)*VLOOKUP(AD$1,'Attrition Modeling'!$L$15:$N$27,IF(AD$2-$F61&lt;=24,2,3),FALSE))*(1+Projection!AF$16)*(1+IF(AD193&gt;0,'Attrition Modeling'!$N$9,0))),0))</f>
        <v>0</v>
      </c>
      <c r="AE61" s="799">
        <f>IF(AE$2=$F61+1,Monthly!AA$21,IF(AE$2&gt;$F61+1,('Traditional Attrition'!AD61+AE193)*(1-IF(AE$2-$F61&lt;=12,SUMIFS('Attrition Modeling'!$D:$D,'Attrition Modeling'!$B:$B,'Traditional Attrition'!$E61,'Attrition Modeling'!$C:$C,'Traditional Attrition'!AE$1),VLOOKUP('Traditional Attrition'!AE$2-'Traditional Attrition'!$F61-1,'Traditional Attrition'!$A$7:$C$161,2,FALSE)*VLOOKUP(AE$1,'Attrition Modeling'!$L$15:$N$27,IF(AE$2-$F61&lt;=24,2,3),FALSE))*(1+Projection!AG$16)*(1+IF(AE193&gt;0,'Attrition Modeling'!$N$9,0))),0))</f>
        <v>0</v>
      </c>
      <c r="AF61" s="799">
        <f>IF(AF$2=$F61+1,Monthly!AB$21,IF(AF$2&gt;$F61+1,('Traditional Attrition'!AE61+AF193)*(1-IF(AF$2-$F61&lt;=12,SUMIFS('Attrition Modeling'!$D:$D,'Attrition Modeling'!$B:$B,'Traditional Attrition'!$E61,'Attrition Modeling'!$C:$C,'Traditional Attrition'!AF$1),VLOOKUP('Traditional Attrition'!AF$2-'Traditional Attrition'!$F61-1,'Traditional Attrition'!$A$7:$C$161,2,FALSE)*VLOOKUP(AF$1,'Attrition Modeling'!$L$15:$N$27,IF(AF$2-$F61&lt;=24,2,3),FALSE))*(1+Projection!AH$16)*(1+IF(AF193&gt;0,'Attrition Modeling'!$N$9,0))),0))</f>
        <v>0</v>
      </c>
      <c r="AG61" s="799">
        <f>IF(AG$2=$F61+1,Monthly!AC$21,IF(AG$2&gt;$F61+1,('Traditional Attrition'!AF61+AG193)*(1-IF(AG$2-$F61&lt;=12,SUMIFS('Attrition Modeling'!$D:$D,'Attrition Modeling'!$B:$B,'Traditional Attrition'!$E61,'Attrition Modeling'!$C:$C,'Traditional Attrition'!AG$1),VLOOKUP('Traditional Attrition'!AG$2-'Traditional Attrition'!$F61-1,'Traditional Attrition'!$A$7:$C$161,2,FALSE)*VLOOKUP(AG$1,'Attrition Modeling'!$L$15:$N$27,IF(AG$2-$F61&lt;=24,2,3),FALSE))*(1+Projection!AI$16)*(1+IF(AG193&gt;0,'Attrition Modeling'!$N$9,0))),0))</f>
        <v>0</v>
      </c>
      <c r="AH61" s="799">
        <f>IF(AH$2=$F61+1,Monthly!AD$21,IF(AH$2&gt;$F61+1,('Traditional Attrition'!AG61+AH193)*(1-IF(AH$2-$F61&lt;=12,SUMIFS('Attrition Modeling'!$D:$D,'Attrition Modeling'!$B:$B,'Traditional Attrition'!$E61,'Attrition Modeling'!$C:$C,'Traditional Attrition'!AH$1),VLOOKUP('Traditional Attrition'!AH$2-'Traditional Attrition'!$F61-1,'Traditional Attrition'!$A$7:$C$161,2,FALSE)*VLOOKUP(AH$1,'Attrition Modeling'!$L$15:$N$27,IF(AH$2-$F61&lt;=24,2,3),FALSE))*(1+Projection!AJ$16)*(1+IF(AH193&gt;0,'Attrition Modeling'!$N$9,0))),0))</f>
        <v>0</v>
      </c>
      <c r="AI61" s="799">
        <f>IF(AI$2=$F61+1,Monthly!AE$21,IF(AI$2&gt;$F61+1,('Traditional Attrition'!AH61+AI193)*(1-IF(AI$2-$F61&lt;=12,SUMIFS('Attrition Modeling'!$D:$D,'Attrition Modeling'!$B:$B,'Traditional Attrition'!$E61,'Attrition Modeling'!$C:$C,'Traditional Attrition'!AI$1),VLOOKUP('Traditional Attrition'!AI$2-'Traditional Attrition'!$F61-1,'Traditional Attrition'!$A$7:$C$161,2,FALSE)*VLOOKUP(AI$1,'Attrition Modeling'!$L$15:$N$27,IF(AI$2-$F61&lt;=24,2,3),FALSE))*(1+Projection!AK$16)*(1+IF(AI193&gt;0,'Attrition Modeling'!$N$9,0))),0))</f>
        <v>0</v>
      </c>
      <c r="AJ61" s="799">
        <f>IF(AJ$2=$F61+1,Monthly!AF$21,IF(AJ$2&gt;$F61+1,('Traditional Attrition'!AI61+AJ193)*(1-IF(AJ$2-$F61&lt;=12,SUMIFS('Attrition Modeling'!$D:$D,'Attrition Modeling'!$B:$B,'Traditional Attrition'!$E61,'Attrition Modeling'!$C:$C,'Traditional Attrition'!AJ$1),VLOOKUP('Traditional Attrition'!AJ$2-'Traditional Attrition'!$F61-1,'Traditional Attrition'!$A$7:$C$161,2,FALSE)*VLOOKUP(AJ$1,'Attrition Modeling'!$L$15:$N$27,IF(AJ$2-$F61&lt;=24,2,3),FALSE))*(1+Projection!AL$16)*(1+IF(AJ193&gt;0,'Attrition Modeling'!$N$9,0))),0))</f>
        <v>0</v>
      </c>
      <c r="AK61" s="799">
        <f>IF(AK$2=$F61+1,Monthly!AG$21,IF(AK$2&gt;$F61+1,('Traditional Attrition'!AJ61+AK193)*(1-IF(AK$2-$F61&lt;=12,SUMIFS('Attrition Modeling'!$D:$D,'Attrition Modeling'!$B:$B,'Traditional Attrition'!$E61,'Attrition Modeling'!$C:$C,'Traditional Attrition'!AK$1),VLOOKUP('Traditional Attrition'!AK$2-'Traditional Attrition'!$F61-1,'Traditional Attrition'!$A$7:$C$161,2,FALSE)*VLOOKUP(AK$1,'Attrition Modeling'!$L$15:$N$27,IF(AK$2-$F61&lt;=24,2,3),FALSE))*(1+Projection!AM$16)*(1+IF(AK193&gt;0,'Attrition Modeling'!$N$9,0))),0))</f>
        <v>0</v>
      </c>
      <c r="AL61" s="799">
        <f>IF(AL$2=$F61+1,Monthly!AH$21,IF(AL$2&gt;$F61+1,('Traditional Attrition'!AK61+AL193)*(1-IF(AL$2-$F61&lt;=12,SUMIFS('Attrition Modeling'!$D:$D,'Attrition Modeling'!$B:$B,'Traditional Attrition'!$E61,'Attrition Modeling'!$C:$C,'Traditional Attrition'!AL$1),VLOOKUP('Traditional Attrition'!AL$2-'Traditional Attrition'!$F61-1,'Traditional Attrition'!$A$7:$C$161,2,FALSE)*VLOOKUP(AL$1,'Attrition Modeling'!$L$15:$N$27,IF(AL$2-$F61&lt;=24,2,3),FALSE))*(1+Projection!AN$16)*(1+IF(AL193&gt;0,'Attrition Modeling'!$N$9,0))),0))</f>
        <v>0</v>
      </c>
      <c r="AM61" s="799">
        <f>IF(AM$2=$F61+1,Monthly!AI$21,IF(AM$2&gt;$F61+1,('Traditional Attrition'!AL61+AM193)*(1-IF(AM$2-$F61&lt;=12,SUMIFS('Attrition Modeling'!$D:$D,'Attrition Modeling'!$B:$B,'Traditional Attrition'!$E61,'Attrition Modeling'!$C:$C,'Traditional Attrition'!AM$1),VLOOKUP('Traditional Attrition'!AM$2-'Traditional Attrition'!$F61-1,'Traditional Attrition'!$A$7:$C$161,2,FALSE)*VLOOKUP(AM$1,'Attrition Modeling'!$L$15:$N$27,IF(AM$2-$F61&lt;=24,2,3),FALSE))*(1+Projection!AO$16)*(1+IF(AM193&gt;0,'Attrition Modeling'!$N$9,0))),0))</f>
        <v>0</v>
      </c>
      <c r="AN61" s="799">
        <f>IF(AN$2=$F61+1,Monthly!AJ$21,IF(AN$2&gt;$F61+1,('Traditional Attrition'!AM61+AN193)*(1-IF(AN$2-$F61&lt;=12,SUMIFS('Attrition Modeling'!$D:$D,'Attrition Modeling'!$B:$B,'Traditional Attrition'!$E61,'Attrition Modeling'!$C:$C,'Traditional Attrition'!AN$1),VLOOKUP('Traditional Attrition'!AN$2-'Traditional Attrition'!$F61-1,'Traditional Attrition'!$A$7:$C$161,2,FALSE)*VLOOKUP(AN$1,'Attrition Modeling'!$L$15:$N$27,IF(AN$2-$F61&lt;=24,2,3),FALSE))*(1+Projection!AP$16)*(1+IF(AN193&gt;0,'Attrition Modeling'!$N$9,0))),0))</f>
        <v>0</v>
      </c>
      <c r="AO61" s="799">
        <f>IF(AO$2=$F61+1,Monthly!AK$21,IF(AO$2&gt;$F61+1,('Traditional Attrition'!AN61+AO193)*(1-IF(AO$2-$F61&lt;=12,SUMIFS('Attrition Modeling'!$D:$D,'Attrition Modeling'!$B:$B,'Traditional Attrition'!$E61,'Attrition Modeling'!$C:$C,'Traditional Attrition'!AO$1),VLOOKUP('Traditional Attrition'!AO$2-'Traditional Attrition'!$F61-1,'Traditional Attrition'!$A$7:$C$161,2,FALSE)*VLOOKUP(AO$1,'Attrition Modeling'!$L$15:$N$27,IF(AO$2-$F61&lt;=24,2,3),FALSE))*(1+Projection!AQ$16)*(1+IF(AO193&gt;0,'Attrition Modeling'!$N$9,0))),0))</f>
        <v>0</v>
      </c>
      <c r="AP61" s="799">
        <f>IF(AP$2=$F61+1,Monthly!AL$21,IF(AP$2&gt;$F61+1,('Traditional Attrition'!AO61+AP193)*(1-IF(AP$2-$F61&lt;=12,SUMIFS('Attrition Modeling'!$D:$D,'Attrition Modeling'!$B:$B,'Traditional Attrition'!$E61,'Attrition Modeling'!$C:$C,'Traditional Attrition'!AP$1),VLOOKUP('Traditional Attrition'!AP$2-'Traditional Attrition'!$F61-1,'Traditional Attrition'!$A$7:$C$161,2,FALSE)*VLOOKUP(AP$1,'Attrition Modeling'!$L$15:$N$27,IF(AP$2-$F61&lt;=24,2,3),FALSE))*(1+Projection!AR$16)*(1+IF(AP193&gt;0,'Attrition Modeling'!$N$9,0))),0))</f>
        <v>0</v>
      </c>
      <c r="AQ61" s="799">
        <f>IF(AQ$2=$F61+1,Monthly!AM$21,IF(AQ$2&gt;$F61+1,('Traditional Attrition'!AP61+AQ193)*(1-IF(AQ$2-$F61&lt;=12,SUMIFS('Attrition Modeling'!$D:$D,'Attrition Modeling'!$B:$B,'Traditional Attrition'!$E61,'Attrition Modeling'!$C:$C,'Traditional Attrition'!AQ$1),VLOOKUP('Traditional Attrition'!AQ$2-'Traditional Attrition'!$F61-1,'Traditional Attrition'!$A$7:$C$161,2,FALSE)*VLOOKUP(AQ$1,'Attrition Modeling'!$L$15:$N$27,IF(AQ$2-$F61&lt;=24,2,3),FALSE))*(1+Projection!AS$16)*(1+IF(AQ193&gt;0,'Attrition Modeling'!$N$9,0))),0))</f>
        <v>0</v>
      </c>
      <c r="AR61" s="799">
        <f>IF(AR$2=$F61+1,Monthly!AN$21,IF(AR$2&gt;$F61+1,('Traditional Attrition'!AQ61+AR193)*(1-IF(AR$2-$F61&lt;=12,SUMIFS('Attrition Modeling'!$D:$D,'Attrition Modeling'!$B:$B,'Traditional Attrition'!$E61,'Attrition Modeling'!$C:$C,'Traditional Attrition'!AR$1),VLOOKUP('Traditional Attrition'!AR$2-'Traditional Attrition'!$F61-1,'Traditional Attrition'!$A$7:$C$161,2,FALSE)*VLOOKUP(AR$1,'Attrition Modeling'!$L$15:$N$27,IF(AR$2-$F61&lt;=24,2,3),FALSE))*(1+Projection!AT$16)*(1+IF(AR193&gt;0,'Attrition Modeling'!$N$9,0))),0))</f>
        <v>0</v>
      </c>
      <c r="AS61" s="799">
        <f>IF(AS$2=$F61+1,Monthly!AO$21,IF(AS$2&gt;$F61+1,('Traditional Attrition'!AR61+AS193)*(1-IF(AS$2-$F61&lt;=12,SUMIFS('Attrition Modeling'!$D:$D,'Attrition Modeling'!$B:$B,'Traditional Attrition'!$E61,'Attrition Modeling'!$C:$C,'Traditional Attrition'!AS$1),VLOOKUP('Traditional Attrition'!AS$2-'Traditional Attrition'!$F61-1,'Traditional Attrition'!$A$7:$C$161,2,FALSE)*VLOOKUP(AS$1,'Attrition Modeling'!$L$15:$N$27,IF(AS$2-$F61&lt;=24,2,3),FALSE))*(1+Projection!AU$16)*(1+IF(AS193&gt;0,'Attrition Modeling'!$N$9,0))),0))</f>
        <v>0</v>
      </c>
      <c r="AT61" s="799">
        <f>IF(AT$2=$F61+1,Monthly!AP$21,IF(AT$2&gt;$F61+1,('Traditional Attrition'!AS61+AT193)*(1-IF(AT$2-$F61&lt;=12,SUMIFS('Attrition Modeling'!$D:$D,'Attrition Modeling'!$B:$B,'Traditional Attrition'!$E61,'Attrition Modeling'!$C:$C,'Traditional Attrition'!AT$1),VLOOKUP('Traditional Attrition'!AT$2-'Traditional Attrition'!$F61-1,'Traditional Attrition'!$A$7:$C$161,2,FALSE)*VLOOKUP(AT$1,'Attrition Modeling'!$L$15:$N$27,IF(AT$2-$F61&lt;=24,2,3),FALSE))*(1+Projection!AV$16)*(1+IF(AT193&gt;0,'Attrition Modeling'!$N$9,0))),0))</f>
        <v>0</v>
      </c>
      <c r="AU61" s="799">
        <f>IF(AU$2=$F61+1,Monthly!AQ$21,IF(AU$2&gt;$F61+1,('Traditional Attrition'!AT61+AU193)*(1-IF(AU$2-$F61&lt;=12,SUMIFS('Attrition Modeling'!$D:$D,'Attrition Modeling'!$B:$B,'Traditional Attrition'!$E61,'Attrition Modeling'!$C:$C,'Traditional Attrition'!AU$1),VLOOKUP('Traditional Attrition'!AU$2-'Traditional Attrition'!$F61-1,'Traditional Attrition'!$A$7:$C$161,2,FALSE)*VLOOKUP(AU$1,'Attrition Modeling'!$L$15:$N$27,IF(AU$2-$F61&lt;=24,2,3),FALSE))*(1+Projection!AW$16)*(1+IF(AU193&gt;0,'Attrition Modeling'!$N$9,0))),0))</f>
        <v>0</v>
      </c>
      <c r="AV61" s="799">
        <f>IF(AV$2=$F61+1,Monthly!AR$21,IF(AV$2&gt;$F61+1,('Traditional Attrition'!AU61+AV193)*(1-IF(AV$2-$F61&lt;=12,SUMIFS('Attrition Modeling'!$D:$D,'Attrition Modeling'!$B:$B,'Traditional Attrition'!$E61,'Attrition Modeling'!$C:$C,'Traditional Attrition'!AV$1),VLOOKUP('Traditional Attrition'!AV$2-'Traditional Attrition'!$F61-1,'Traditional Attrition'!$A$7:$C$161,2,FALSE)*VLOOKUP(AV$1,'Attrition Modeling'!$L$15:$N$27,IF(AV$2-$F61&lt;=24,2,3),FALSE))*(1+Projection!AX$16)*(1+IF(AV193&gt;0,'Attrition Modeling'!$N$9,0))),0))</f>
        <v>0</v>
      </c>
      <c r="AW61" s="799">
        <f>IF(AW$2=$F61+1,Monthly!AS$21,IF(AW$2&gt;$F61+1,('Traditional Attrition'!AV61+AW193)*(1-IF(AW$2-$F61&lt;=12,SUMIFS('Attrition Modeling'!$D:$D,'Attrition Modeling'!$B:$B,'Traditional Attrition'!$E61,'Attrition Modeling'!$C:$C,'Traditional Attrition'!AW$1),VLOOKUP('Traditional Attrition'!AW$2-'Traditional Attrition'!$F61-1,'Traditional Attrition'!$A$7:$C$161,2,FALSE)*VLOOKUP(AW$1,'Attrition Modeling'!$L$15:$N$27,IF(AW$2-$F61&lt;=24,2,3),FALSE))*(1+Projection!AY$16)*(1+IF(AW193&gt;0,'Attrition Modeling'!$N$9,0))),0))</f>
        <v>0</v>
      </c>
      <c r="AX61" s="799">
        <f>IF(AX$2=$F61+1,Monthly!AT$21,IF(AX$2&gt;$F61+1,('Traditional Attrition'!AW61+AX193)*(1-IF(AX$2-$F61&lt;=12,SUMIFS('Attrition Modeling'!$D:$D,'Attrition Modeling'!$B:$B,'Traditional Attrition'!$E61,'Attrition Modeling'!$C:$C,'Traditional Attrition'!AX$1),VLOOKUP('Traditional Attrition'!AX$2-'Traditional Attrition'!$F61-1,'Traditional Attrition'!$A$7:$C$161,2,FALSE)*VLOOKUP(AX$1,'Attrition Modeling'!$L$15:$N$27,IF(AX$2-$F61&lt;=24,2,3),FALSE))*(1+Projection!AZ$16)*(1+IF(AX193&gt;0,'Attrition Modeling'!$N$9,0))),0))</f>
        <v>0</v>
      </c>
      <c r="AY61" s="799">
        <f>IF(AY$2=$F61+1,Monthly!AU$21,IF(AY$2&gt;$F61+1,('Traditional Attrition'!AX61+AY193)*(1-IF(AY$2-$F61&lt;=12,SUMIFS('Attrition Modeling'!$D:$D,'Attrition Modeling'!$B:$B,'Traditional Attrition'!$E61,'Attrition Modeling'!$C:$C,'Traditional Attrition'!AY$1),VLOOKUP('Traditional Attrition'!AY$2-'Traditional Attrition'!$F61-1,'Traditional Attrition'!$A$7:$C$161,2,FALSE)*VLOOKUP(AY$1,'Attrition Modeling'!$L$15:$N$27,IF(AY$2-$F61&lt;=24,2,3),FALSE))*(1+Projection!BA$16)*(1+IF(AY193&gt;0,'Attrition Modeling'!$N$9,0))),0))</f>
        <v>0</v>
      </c>
      <c r="AZ61" s="799">
        <f>IF(AZ$2=$F61+1,Monthly!AV$21,IF(AZ$2&gt;$F61+1,('Traditional Attrition'!AY61+AZ193)*(1-IF(AZ$2-$F61&lt;=12,SUMIFS('Attrition Modeling'!$D:$D,'Attrition Modeling'!$B:$B,'Traditional Attrition'!$E61,'Attrition Modeling'!$C:$C,'Traditional Attrition'!AZ$1),VLOOKUP('Traditional Attrition'!AZ$2-'Traditional Attrition'!$F61-1,'Traditional Attrition'!$A$7:$C$161,2,FALSE)*VLOOKUP(AZ$1,'Attrition Modeling'!$L$15:$N$27,IF(AZ$2-$F61&lt;=24,2,3),FALSE))*(1+Projection!BB$16)*(1+IF(AZ193&gt;0,'Attrition Modeling'!$N$9,0))),0))</f>
        <v>0</v>
      </c>
      <c r="BA61" s="799">
        <f>IF(BA$2=$F61+1,Monthly!AW$21,IF(BA$2&gt;$F61+1,('Traditional Attrition'!AZ61+BA193)*(1-IF(BA$2-$F61&lt;=12,SUMIFS('Attrition Modeling'!$D:$D,'Attrition Modeling'!$B:$B,'Traditional Attrition'!$E61,'Attrition Modeling'!$C:$C,'Traditional Attrition'!BA$1),VLOOKUP('Traditional Attrition'!BA$2-'Traditional Attrition'!$F61-1,'Traditional Attrition'!$A$7:$C$161,2,FALSE)*VLOOKUP(BA$1,'Attrition Modeling'!$L$15:$N$27,IF(BA$2-$F61&lt;=24,2,3),FALSE))*(1+Projection!BC$16)*(1+IF(BA193&gt;0,'Attrition Modeling'!$N$9,0))),0))</f>
        <v>0</v>
      </c>
      <c r="BB61" s="799">
        <f>IF(BB$2=$F61+1,Monthly!AX$21,IF(BB$2&gt;$F61+1,('Traditional Attrition'!BA61+BB193)*(1-IF(BB$2-$F61&lt;=12,SUMIFS('Attrition Modeling'!$D:$D,'Attrition Modeling'!$B:$B,'Traditional Attrition'!$E61,'Attrition Modeling'!$C:$C,'Traditional Attrition'!BB$1),VLOOKUP('Traditional Attrition'!BB$2-'Traditional Attrition'!$F61-1,'Traditional Attrition'!$A$7:$C$161,2,FALSE)*VLOOKUP(BB$1,'Attrition Modeling'!$L$15:$N$27,IF(BB$2-$F61&lt;=24,2,3),FALSE))*(1+Projection!BD$16)*(1+IF(BB193&gt;0,'Attrition Modeling'!$N$9,0))),0))</f>
        <v>0</v>
      </c>
      <c r="BC61" s="799">
        <f>IF(BC$2=$F61+1,Monthly!AY$21,IF(BC$2&gt;$F61+1,('Traditional Attrition'!BB61+BC193)*(1-IF(BC$2-$F61&lt;=12,SUMIFS('Attrition Modeling'!$D:$D,'Attrition Modeling'!$B:$B,'Traditional Attrition'!$E61,'Attrition Modeling'!$C:$C,'Traditional Attrition'!BC$1),VLOOKUP('Traditional Attrition'!BC$2-'Traditional Attrition'!$F61-1,'Traditional Attrition'!$A$7:$C$161,2,FALSE)*VLOOKUP(BC$1,'Attrition Modeling'!$L$15:$N$27,IF(BC$2-$F61&lt;=24,2,3),FALSE))*(1+Projection!BE$16)*(1+IF(BC193&gt;0,'Attrition Modeling'!$N$9,0))),0))</f>
        <v>0</v>
      </c>
      <c r="BD61" s="799">
        <f>IF(BD$2=$F61+1,Monthly!AZ$21,IF(BD$2&gt;$F61+1,('Traditional Attrition'!BC61+BD193)*(1-IF(BD$2-$F61&lt;=12,SUMIFS('Attrition Modeling'!$D:$D,'Attrition Modeling'!$B:$B,'Traditional Attrition'!$E61,'Attrition Modeling'!$C:$C,'Traditional Attrition'!BD$1),VLOOKUP('Traditional Attrition'!BD$2-'Traditional Attrition'!$F61-1,'Traditional Attrition'!$A$7:$C$161,2,FALSE)*VLOOKUP(BD$1,'Attrition Modeling'!$L$15:$N$27,IF(BD$2-$F61&lt;=24,2,3),FALSE))*(1+Projection!BF$16)*(1+IF(BD193&gt;0,'Attrition Modeling'!$N$9,0))),0))</f>
        <v>0</v>
      </c>
      <c r="BE61" s="799">
        <f>IF(BE$2=$F61+1,Monthly!BA$21,IF(BE$2&gt;$F61+1,('Traditional Attrition'!BD61+BE193)*(1-IF(BE$2-$F61&lt;=12,SUMIFS('Attrition Modeling'!$D:$D,'Attrition Modeling'!$B:$B,'Traditional Attrition'!$E61,'Attrition Modeling'!$C:$C,'Traditional Attrition'!BE$1),VLOOKUP('Traditional Attrition'!BE$2-'Traditional Attrition'!$F61-1,'Traditional Attrition'!$A$7:$C$161,2,FALSE)*VLOOKUP(BE$1,'Attrition Modeling'!$L$15:$N$27,IF(BE$2-$F61&lt;=24,2,3),FALSE))*(1+Projection!BG$16)*(1+IF(BE193&gt;0,'Attrition Modeling'!$N$9,0))),0))</f>
        <v>0</v>
      </c>
      <c r="BF61" s="799">
        <f>IF(BF$2=$F61+1,Monthly!BB$21,IF(BF$2&gt;$F61+1,('Traditional Attrition'!BE61+BF193)*(1-IF(BF$2-$F61&lt;=12,SUMIFS('Attrition Modeling'!$D:$D,'Attrition Modeling'!$B:$B,'Traditional Attrition'!$E61,'Attrition Modeling'!$C:$C,'Traditional Attrition'!BF$1),VLOOKUP('Traditional Attrition'!BF$2-'Traditional Attrition'!$F61-1,'Traditional Attrition'!$A$7:$C$161,2,FALSE)*VLOOKUP(BF$1,'Attrition Modeling'!$L$15:$N$27,IF(BF$2-$F61&lt;=24,2,3),FALSE))*(1+Projection!BH$16)*(1+IF(BF193&gt;0,'Attrition Modeling'!$N$9,0))),0))</f>
        <v>0</v>
      </c>
      <c r="BG61" s="799">
        <f>IF(BG$2=$F61+1,Monthly!BC$21,IF(BG$2&gt;$F61+1,('Traditional Attrition'!BF61+BG193)*(1-IF(BG$2-$F61&lt;=12,SUMIFS('Attrition Modeling'!$D:$D,'Attrition Modeling'!$B:$B,'Traditional Attrition'!$E61,'Attrition Modeling'!$C:$C,'Traditional Attrition'!BG$1),VLOOKUP('Traditional Attrition'!BG$2-'Traditional Attrition'!$F61-1,'Traditional Attrition'!$A$7:$C$161,2,FALSE)*VLOOKUP(BG$1,'Attrition Modeling'!$L$15:$N$27,IF(BG$2-$F61&lt;=24,2,3),FALSE))*(1+Projection!BI$16)*(1+IF(BG193&gt;0,'Attrition Modeling'!$N$9,0))),0))</f>
        <v>0</v>
      </c>
      <c r="BH61" s="799">
        <f>IF(BH$2=$F61+1,Monthly!BD$21,IF(BH$2&gt;$F61+1,('Traditional Attrition'!BG61+BH193)*(1-IF(BH$2-$F61&lt;=12,SUMIFS('Attrition Modeling'!$D:$D,'Attrition Modeling'!$B:$B,'Traditional Attrition'!$E61,'Attrition Modeling'!$C:$C,'Traditional Attrition'!BH$1),VLOOKUP('Traditional Attrition'!BH$2-'Traditional Attrition'!$F61-1,'Traditional Attrition'!$A$7:$C$161,2,FALSE)*VLOOKUP(BH$1,'Attrition Modeling'!$L$15:$N$27,IF(BH$2-$F61&lt;=24,2,3),FALSE))*(1+Projection!BJ$16)*(1+IF(BH193&gt;0,'Attrition Modeling'!$N$9,0))),0))</f>
        <v>0</v>
      </c>
      <c r="BI61" s="799">
        <f>IF(BI$2=$F61+1,Monthly!BE$21,IF(BI$2&gt;$F61+1,('Traditional Attrition'!BH61+BI193)*(1-IF(BI$2-$F61&lt;=12,SUMIFS('Attrition Modeling'!$D:$D,'Attrition Modeling'!$B:$B,'Traditional Attrition'!$E61,'Attrition Modeling'!$C:$C,'Traditional Attrition'!BI$1),VLOOKUP('Traditional Attrition'!BI$2-'Traditional Attrition'!$F61-1,'Traditional Attrition'!$A$7:$C$161,2,FALSE)*VLOOKUP(BI$1,'Attrition Modeling'!$L$15:$N$27,IF(BI$2-$F61&lt;=24,2,3),FALSE))*(1+Projection!BK$16)*(1+IF(BI193&gt;0,'Attrition Modeling'!$N$9,0))),0))</f>
        <v>0</v>
      </c>
      <c r="BJ61" s="799">
        <f>IF(BJ$2=$F61+1,Monthly!BF$21,IF(BJ$2&gt;$F61+1,('Traditional Attrition'!BI61+BJ193)*(1-IF(BJ$2-$F61&lt;=12,SUMIFS('Attrition Modeling'!$D:$D,'Attrition Modeling'!$B:$B,'Traditional Attrition'!$E61,'Attrition Modeling'!$C:$C,'Traditional Attrition'!BJ$1),VLOOKUP('Traditional Attrition'!BJ$2-'Traditional Attrition'!$F61-1,'Traditional Attrition'!$A$7:$C$161,2,FALSE)*VLOOKUP(BJ$1,'Attrition Modeling'!$L$15:$N$27,IF(BJ$2-$F61&lt;=24,2,3),FALSE))*(1+Projection!BL$16)*(1+IF(BJ193&gt;0,'Attrition Modeling'!$N$9,0))),0))</f>
        <v>0</v>
      </c>
      <c r="BK61" s="799">
        <f>IF(BK$2=$F61+1,Monthly!BG$21,IF(BK$2&gt;$F61+1,('Traditional Attrition'!BJ61+BK193)*(1-IF(BK$2-$F61&lt;=12,SUMIFS('Attrition Modeling'!$D:$D,'Attrition Modeling'!$B:$B,'Traditional Attrition'!$E61,'Attrition Modeling'!$C:$C,'Traditional Attrition'!BK$1),VLOOKUP('Traditional Attrition'!BK$2-'Traditional Attrition'!$F61-1,'Traditional Attrition'!$A$7:$C$161,2,FALSE)*VLOOKUP(BK$1,'Attrition Modeling'!$L$15:$N$27,IF(BK$2-$F61&lt;=24,2,3),FALSE))*(1+Projection!BM$16)*(1+IF(BK193&gt;0,'Attrition Modeling'!$N$9,0))),0))</f>
        <v>0</v>
      </c>
      <c r="BL61" s="799">
        <f>IF(BL$2=$F61+1,Monthly!BH$21,IF(BL$2&gt;$F61+1,('Traditional Attrition'!BK61+BL193)*(1-IF(BL$2-$F61&lt;=12,SUMIFS('Attrition Modeling'!$D:$D,'Attrition Modeling'!$B:$B,'Traditional Attrition'!$E61,'Attrition Modeling'!$C:$C,'Traditional Attrition'!BL$1),VLOOKUP('Traditional Attrition'!BL$2-'Traditional Attrition'!$F61-1,'Traditional Attrition'!$A$7:$C$161,2,FALSE)*VLOOKUP(BL$1,'Attrition Modeling'!$L$15:$N$27,IF(BL$2-$F61&lt;=24,2,3),FALSE))*(1+Projection!BN$16)*(1+IF(BL193&gt;0,'Attrition Modeling'!$N$9,0))),0))</f>
        <v>0</v>
      </c>
      <c r="BM61" s="799">
        <f>IF(BM$2=$F61+1,Monthly!BI$21,IF(BM$2&gt;$F61+1,('Traditional Attrition'!BL61+BM193)*(1-IF(BM$2-$F61&lt;=12,SUMIFS('Attrition Modeling'!$D:$D,'Attrition Modeling'!$B:$B,'Traditional Attrition'!$E61,'Attrition Modeling'!$C:$C,'Traditional Attrition'!BM$1),VLOOKUP('Traditional Attrition'!BM$2-'Traditional Attrition'!$F61-1,'Traditional Attrition'!$A$7:$C$161,2,FALSE)*VLOOKUP(BM$1,'Attrition Modeling'!$L$15:$N$27,IF(BM$2-$F61&lt;=24,2,3),FALSE))*(1+Projection!BO$16)*(1+IF(BM193&gt;0,'Attrition Modeling'!$N$9,0))),0))</f>
        <v>0</v>
      </c>
      <c r="BN61" s="799">
        <f>IF(BN$2=$F61+1,Monthly!BJ$21,IF(BN$2&gt;$F61+1,('Traditional Attrition'!BM61+BN193)*(1-IF(BN$2-$F61&lt;=12,SUMIFS('Attrition Modeling'!$D:$D,'Attrition Modeling'!$B:$B,'Traditional Attrition'!$E61,'Attrition Modeling'!$C:$C,'Traditional Attrition'!BN$1),VLOOKUP('Traditional Attrition'!BN$2-'Traditional Attrition'!$F61-1,'Traditional Attrition'!$A$7:$C$161,2,FALSE)*VLOOKUP(BN$1,'Attrition Modeling'!$L$15:$N$27,IF(BN$2-$F61&lt;=24,2,3),FALSE))*(1+Projection!BP$16)*(1+IF(BN193&gt;0,'Attrition Modeling'!$N$9,0))),0))</f>
        <v>8285.6403998340338</v>
      </c>
      <c r="BO61" s="799">
        <f>IF(BO$2=$F61+1,Monthly!BK$21,IF(BO$2&gt;$F61+1,('Traditional Attrition'!BN61+BO193)*(1-IF(BO$2-$F61&lt;=12,SUMIFS('Attrition Modeling'!$D:$D,'Attrition Modeling'!$B:$B,'Traditional Attrition'!$E61,'Attrition Modeling'!$C:$C,'Traditional Attrition'!BO$1),VLOOKUP('Traditional Attrition'!BO$2-'Traditional Attrition'!$F61-1,'Traditional Attrition'!$A$7:$C$161,2,FALSE)*VLOOKUP(BO$1,'Attrition Modeling'!$L$15:$N$27,IF(BO$2-$F61&lt;=24,2,3),FALSE))*(1+Projection!BV$16)*(1+IF(BO193&gt;0,'Attrition Modeling'!$N$9,0))),0))</f>
        <v>7445.6877471210582</v>
      </c>
      <c r="BP61" s="799">
        <f>IF(BP$2=$F61+1,Monthly!BL$21,IF(BP$2&gt;$F61+1,('Traditional Attrition'!BO61+BP193)*(1-IF(BP$2-$F61&lt;=12,SUMIFS('Attrition Modeling'!$D:$D,'Attrition Modeling'!$B:$B,'Traditional Attrition'!$E61,'Attrition Modeling'!$C:$C,'Traditional Attrition'!BP$1),VLOOKUP('Traditional Attrition'!BP$2-'Traditional Attrition'!$F61-1,'Traditional Attrition'!$A$7:$C$161,2,FALSE)*VLOOKUP(BP$1,'Attrition Modeling'!$L$15:$N$27,IF(BP$2-$F61&lt;=24,2,3),FALSE))*(1+Projection!BW$16)*(1+IF(BP193&gt;0,'Attrition Modeling'!$N$9,0))),0))</f>
        <v>6856.5881342145713</v>
      </c>
      <c r="BQ61" s="799">
        <f>IF(BQ$2=$F61+1,Monthly!BM$21,IF(BQ$2&gt;$F61+1,('Traditional Attrition'!BP61+BQ193)*(1-IF(BQ$2-$F61&lt;=12,SUMIFS('Attrition Modeling'!$D:$D,'Attrition Modeling'!$B:$B,'Traditional Attrition'!$E61,'Attrition Modeling'!$C:$C,'Traditional Attrition'!BQ$1),VLOOKUP('Traditional Attrition'!BQ$2-'Traditional Attrition'!$F61-1,'Traditional Attrition'!$A$7:$C$161,2,FALSE)*VLOOKUP(BQ$1,'Attrition Modeling'!$L$15:$N$27,IF(BQ$2-$F61&lt;=24,2,3),FALSE))*(1+Projection!BX$16)*(1+IF(BQ193&gt;0,'Attrition Modeling'!$N$9,0))),0))</f>
        <v>6305.2963700099272</v>
      </c>
      <c r="BR61" s="799">
        <f>IF(BR$2=$F61+1,Monthly!BN$21,IF(BR$2&gt;$F61+1,('Traditional Attrition'!BQ61+BR193)*(1-IF(BR$2-$F61&lt;=12,SUMIFS('Attrition Modeling'!$D:$D,'Attrition Modeling'!$B:$B,'Traditional Attrition'!$E61,'Attrition Modeling'!$C:$C,'Traditional Attrition'!BR$1),VLOOKUP('Traditional Attrition'!BR$2-'Traditional Attrition'!$F61-1,'Traditional Attrition'!$A$7:$C$161,2,FALSE)*VLOOKUP(BR$1,'Attrition Modeling'!$L$15:$N$27,IF(BR$2-$F61&lt;=24,2,3),FALSE))*(1+Projection!BY$16)*(1+IF(BR193&gt;0,'Attrition Modeling'!$N$9,0))),0))</f>
        <v>5779.6705969412651</v>
      </c>
      <c r="BS61" s="799">
        <f>IF(BS$2=$F61+1,Monthly!BO$21,IF(BS$2&gt;$F61+1,('Traditional Attrition'!BR61+BS193)*(1-IF(BS$2-$F61&lt;=12,SUMIFS('Attrition Modeling'!$D:$D,'Attrition Modeling'!$B:$B,'Traditional Attrition'!$E61,'Attrition Modeling'!$C:$C,'Traditional Attrition'!BS$1),VLOOKUP('Traditional Attrition'!BS$2-'Traditional Attrition'!$F61-1,'Traditional Attrition'!$A$7:$C$161,2,FALSE)*VLOOKUP(BS$1,'Attrition Modeling'!$L$15:$N$27,IF(BS$2-$F61&lt;=24,2,3),FALSE))*(1+Projection!BZ$16)*(1+IF(BS193&gt;0,'Attrition Modeling'!$N$9,0))),0))</f>
        <v>5651.7520357899184</v>
      </c>
      <c r="BT61" s="799">
        <f>IF(BT$2=$F61+1,Monthly!#REF!,IF(BT$2&gt;$F61+1,('Traditional Attrition'!BS61+BT193)*(1-IF(BT$2-$F61&lt;=12,SUMIFS('Attrition Modeling'!$D:$D,'Attrition Modeling'!$B:$B,'Traditional Attrition'!$E61,'Attrition Modeling'!$C:$C,'Traditional Attrition'!BT$1),VLOOKUP('Traditional Attrition'!BT$2-'Traditional Attrition'!$F61-1,'Traditional Attrition'!$A$7:$C$161,2,FALSE)*VLOOKUP(BT$1,'Attrition Modeling'!$L$15:$N$27,IF(BT$2-$F61&lt;=24,2,3),FALSE))*(1+Projection!CA$16)*(1+IF(BT193&gt;0,'Attrition Modeling'!$N$9,0))),0))</f>
        <v>5213.5718134901672</v>
      </c>
      <c r="BU61" s="799">
        <f>IF(BU$2=$F61+1,Monthly!#REF!,IF(BU$2&gt;$F61+1,('Traditional Attrition'!BT61+BU193)*(1-IF(BU$2-$F61&lt;=12,SUMIFS('Attrition Modeling'!$D:$D,'Attrition Modeling'!$B:$B,'Traditional Attrition'!$E61,'Attrition Modeling'!$C:$C,'Traditional Attrition'!BU$1),VLOOKUP('Traditional Attrition'!BU$2-'Traditional Attrition'!$F61-1,'Traditional Attrition'!$A$7:$C$161,2,FALSE)*VLOOKUP(BU$1,'Attrition Modeling'!$L$15:$N$27,IF(BU$2-$F61&lt;=24,2,3),FALSE))*(1+Projection!CB$16)*(1+IF(BU193&gt;0,'Attrition Modeling'!$N$9,0))),0))</f>
        <v>4858.8989878474795</v>
      </c>
    </row>
    <row r="62" spans="1:73" ht="14.25" customHeight="1" x14ac:dyDescent="0.2">
      <c r="A62" s="9">
        <v>55</v>
      </c>
      <c r="B62" s="25">
        <f>MAX('Attrition Modeling'!H59,$C$3)*(1-Summary!$C$20)</f>
        <v>2.3530714805082079E-2</v>
      </c>
      <c r="C62" s="24" t="e">
        <f t="shared" si="4"/>
        <v>#DIV/0!</v>
      </c>
      <c r="E62" s="11">
        <f t="shared" si="2"/>
        <v>11</v>
      </c>
      <c r="F62" s="11">
        <f t="shared" si="3"/>
        <v>59</v>
      </c>
      <c r="G62" s="799"/>
      <c r="H62" s="799">
        <f>IF(H$2=$F62+1,Monthly!D$21,IF(H$2&gt;$F62+1,('Traditional Attrition'!G62+H194)*(1-IF(H$2-$F62&lt;=12,SUMIFS('Attrition Modeling'!$D:$D,'Attrition Modeling'!$B:$B,'Traditional Attrition'!$E62,'Attrition Modeling'!$C:$C,'Traditional Attrition'!H$1),VLOOKUP('Traditional Attrition'!H$2-'Traditional Attrition'!$F62-1,'Traditional Attrition'!$A$7:$C$161,2,FALSE)*VLOOKUP(H$1,'Attrition Modeling'!$L$15:$N$27,IF(H$2-$F62&lt;=24,2,3),FALSE))*(1+Projection!J$16)*(1+IF(H194&gt;0,'Attrition Modeling'!$N$9,0))),0))</f>
        <v>0</v>
      </c>
      <c r="I62" s="799">
        <f>IF(I$2=$F62+1,Monthly!E$21,IF(I$2&gt;$F62+1,('Traditional Attrition'!H62+I194)*(1-IF(I$2-$F62&lt;=12,SUMIFS('Attrition Modeling'!$D:$D,'Attrition Modeling'!$B:$B,'Traditional Attrition'!$E62,'Attrition Modeling'!$C:$C,'Traditional Attrition'!I$1),VLOOKUP('Traditional Attrition'!I$2-'Traditional Attrition'!$F62-1,'Traditional Attrition'!$A$7:$C$161,2,FALSE)*VLOOKUP(I$1,'Attrition Modeling'!$L$15:$N$27,IF(I$2-$F62&lt;=24,2,3),FALSE))*(1+Projection!K$16)*(1+IF(I194&gt;0,'Attrition Modeling'!$N$9,0))),0))</f>
        <v>0</v>
      </c>
      <c r="J62" s="799">
        <f>IF(J$2=$F62+1,Monthly!F$21,IF(J$2&gt;$F62+1,('Traditional Attrition'!I62+J194)*(1-IF(J$2-$F62&lt;=12,SUMIFS('Attrition Modeling'!$D:$D,'Attrition Modeling'!$B:$B,'Traditional Attrition'!$E62,'Attrition Modeling'!$C:$C,'Traditional Attrition'!J$1),VLOOKUP('Traditional Attrition'!J$2-'Traditional Attrition'!$F62-1,'Traditional Attrition'!$A$7:$C$161,2,FALSE)*VLOOKUP(J$1,'Attrition Modeling'!$L$15:$N$27,IF(J$2-$F62&lt;=24,2,3),FALSE))*(1+Projection!L$16)*(1+IF(J194&gt;0,'Attrition Modeling'!$N$9,0))),0))</f>
        <v>0</v>
      </c>
      <c r="K62" s="799">
        <f>IF(K$2=$F62+1,Monthly!G$21,IF(K$2&gt;$F62+1,('Traditional Attrition'!J62+K194)*(1-IF(K$2-$F62&lt;=12,SUMIFS('Attrition Modeling'!$D:$D,'Attrition Modeling'!$B:$B,'Traditional Attrition'!$E62,'Attrition Modeling'!$C:$C,'Traditional Attrition'!K$1),VLOOKUP('Traditional Attrition'!K$2-'Traditional Attrition'!$F62-1,'Traditional Attrition'!$A$7:$C$161,2,FALSE)*VLOOKUP(K$1,'Attrition Modeling'!$L$15:$N$27,IF(K$2-$F62&lt;=24,2,3),FALSE))*(1+Projection!M$16)*(1+IF(K194&gt;0,'Attrition Modeling'!$N$9,0))),0))</f>
        <v>0</v>
      </c>
      <c r="L62" s="799">
        <f>IF(L$2=$F62+1,Monthly!H$21,IF(L$2&gt;$F62+1,('Traditional Attrition'!K62+L194)*(1-IF(L$2-$F62&lt;=12,SUMIFS('Attrition Modeling'!$D:$D,'Attrition Modeling'!$B:$B,'Traditional Attrition'!$E62,'Attrition Modeling'!$C:$C,'Traditional Attrition'!L$1),VLOOKUP('Traditional Attrition'!L$2-'Traditional Attrition'!$F62-1,'Traditional Attrition'!$A$7:$C$161,2,FALSE)*VLOOKUP(L$1,'Attrition Modeling'!$L$15:$N$27,IF(L$2-$F62&lt;=24,2,3),FALSE))*(1+Projection!N$16)*(1+IF(L194&gt;0,'Attrition Modeling'!$N$9,0))),0))</f>
        <v>0</v>
      </c>
      <c r="M62" s="799">
        <f>IF(M$2=$F62+1,Monthly!I$21,IF(M$2&gt;$F62+1,('Traditional Attrition'!L62+M194)*(1-IF(M$2-$F62&lt;=12,SUMIFS('Attrition Modeling'!$D:$D,'Attrition Modeling'!$B:$B,'Traditional Attrition'!$E62,'Attrition Modeling'!$C:$C,'Traditional Attrition'!M$1),VLOOKUP('Traditional Attrition'!M$2-'Traditional Attrition'!$F62-1,'Traditional Attrition'!$A$7:$C$161,2,FALSE)*VLOOKUP(M$1,'Attrition Modeling'!$L$15:$N$27,IF(M$2-$F62&lt;=24,2,3),FALSE))*(1+Projection!O$16)*(1+IF(M194&gt;0,'Attrition Modeling'!$N$9,0))),0))</f>
        <v>0</v>
      </c>
      <c r="N62" s="799">
        <f>IF(N$2=$F62+1,Monthly!J$21,IF(N$2&gt;$F62+1,('Traditional Attrition'!M62+N194)*(1-IF(N$2-$F62&lt;=12,SUMIFS('Attrition Modeling'!$D:$D,'Attrition Modeling'!$B:$B,'Traditional Attrition'!$E62,'Attrition Modeling'!$C:$C,'Traditional Attrition'!N$1),VLOOKUP('Traditional Attrition'!N$2-'Traditional Attrition'!$F62-1,'Traditional Attrition'!$A$7:$C$161,2,FALSE)*VLOOKUP(N$1,'Attrition Modeling'!$L$15:$N$27,IF(N$2-$F62&lt;=24,2,3),FALSE))*(1+Projection!P$16)*(1+IF(N194&gt;0,'Attrition Modeling'!$N$9,0))),0))</f>
        <v>0</v>
      </c>
      <c r="O62" s="799">
        <f>IF(O$2=$F62+1,Monthly!K$21,IF(O$2&gt;$F62+1,('Traditional Attrition'!N62+O194)*(1-IF(O$2-$F62&lt;=12,SUMIFS('Attrition Modeling'!$D:$D,'Attrition Modeling'!$B:$B,'Traditional Attrition'!$E62,'Attrition Modeling'!$C:$C,'Traditional Attrition'!O$1),VLOOKUP('Traditional Attrition'!O$2-'Traditional Attrition'!$F62-1,'Traditional Attrition'!$A$7:$C$161,2,FALSE)*VLOOKUP(O$1,'Attrition Modeling'!$L$15:$N$27,IF(O$2-$F62&lt;=24,2,3),FALSE))*(1+Projection!Q$16)*(1+IF(O194&gt;0,'Attrition Modeling'!$N$9,0))),0))</f>
        <v>0</v>
      </c>
      <c r="P62" s="799">
        <f>IF(P$2=$F62+1,Monthly!L$21,IF(P$2&gt;$F62+1,('Traditional Attrition'!O62+P194)*(1-IF(P$2-$F62&lt;=12,SUMIFS('Attrition Modeling'!$D:$D,'Attrition Modeling'!$B:$B,'Traditional Attrition'!$E62,'Attrition Modeling'!$C:$C,'Traditional Attrition'!P$1),VLOOKUP('Traditional Attrition'!P$2-'Traditional Attrition'!$F62-1,'Traditional Attrition'!$A$7:$C$161,2,FALSE)*VLOOKUP(P$1,'Attrition Modeling'!$L$15:$N$27,IF(P$2-$F62&lt;=24,2,3),FALSE))*(1+Projection!R$16)*(1+IF(P194&gt;0,'Attrition Modeling'!$N$9,0))),0))</f>
        <v>0</v>
      </c>
      <c r="Q62" s="799">
        <f>IF(Q$2=$F62+1,Monthly!M$21,IF(Q$2&gt;$F62+1,('Traditional Attrition'!P62+Q194)*(1-IF(Q$2-$F62&lt;=12,SUMIFS('Attrition Modeling'!$D:$D,'Attrition Modeling'!$B:$B,'Traditional Attrition'!$E62,'Attrition Modeling'!$C:$C,'Traditional Attrition'!Q$1),VLOOKUP('Traditional Attrition'!Q$2-'Traditional Attrition'!$F62-1,'Traditional Attrition'!$A$7:$C$161,2,FALSE)*VLOOKUP(Q$1,'Attrition Modeling'!$L$15:$N$27,IF(Q$2-$F62&lt;=24,2,3),FALSE))*(1+Projection!S$16)*(1+IF(Q194&gt;0,'Attrition Modeling'!$N$9,0))),0))</f>
        <v>0</v>
      </c>
      <c r="R62" s="799">
        <f>IF(R$2=$F62+1,Monthly!N$21,IF(R$2&gt;$F62+1,('Traditional Attrition'!Q62+R194)*(1-IF(R$2-$F62&lt;=12,SUMIFS('Attrition Modeling'!$D:$D,'Attrition Modeling'!$B:$B,'Traditional Attrition'!$E62,'Attrition Modeling'!$C:$C,'Traditional Attrition'!R$1),VLOOKUP('Traditional Attrition'!R$2-'Traditional Attrition'!$F62-1,'Traditional Attrition'!$A$7:$C$161,2,FALSE)*VLOOKUP(R$1,'Attrition Modeling'!$L$15:$N$27,IF(R$2-$F62&lt;=24,2,3),FALSE))*(1+Projection!T$16)*(1+IF(R194&gt;0,'Attrition Modeling'!$N$9,0))),0))</f>
        <v>0</v>
      </c>
      <c r="S62" s="799">
        <f>IF(S$2=$F62+1,Monthly!O$21,IF(S$2&gt;$F62+1,('Traditional Attrition'!R62+S194)*(1-IF(S$2-$F62&lt;=12,SUMIFS('Attrition Modeling'!$D:$D,'Attrition Modeling'!$B:$B,'Traditional Attrition'!$E62,'Attrition Modeling'!$C:$C,'Traditional Attrition'!S$1),VLOOKUP('Traditional Attrition'!S$2-'Traditional Attrition'!$F62-1,'Traditional Attrition'!$A$7:$C$161,2,FALSE)*VLOOKUP(S$1,'Attrition Modeling'!$L$15:$N$27,IF(S$2-$F62&lt;=24,2,3),FALSE))*(1+Projection!U$16)*(1+IF(S194&gt;0,'Attrition Modeling'!$N$9,0))),0))</f>
        <v>0</v>
      </c>
      <c r="T62" s="799">
        <f>IF(T$2=$F62+1,Monthly!P$21,IF(T$2&gt;$F62+1,('Traditional Attrition'!S62+T194)*(1-IF(T$2-$F62&lt;=12,SUMIFS('Attrition Modeling'!$D:$D,'Attrition Modeling'!$B:$B,'Traditional Attrition'!$E62,'Attrition Modeling'!$C:$C,'Traditional Attrition'!T$1),VLOOKUP('Traditional Attrition'!T$2-'Traditional Attrition'!$F62-1,'Traditional Attrition'!$A$7:$C$161,2,FALSE)*VLOOKUP(T$1,'Attrition Modeling'!$L$15:$N$27,IF(T$2-$F62&lt;=24,2,3),FALSE))*(1+Projection!V$16)*(1+IF(T194&gt;0,'Attrition Modeling'!$N$9,0))),0))</f>
        <v>0</v>
      </c>
      <c r="U62" s="799">
        <f>IF(U$2=$F62+1,Monthly!Q$21,IF(U$2&gt;$F62+1,('Traditional Attrition'!T62+U194)*(1-IF(U$2-$F62&lt;=12,SUMIFS('Attrition Modeling'!$D:$D,'Attrition Modeling'!$B:$B,'Traditional Attrition'!$E62,'Attrition Modeling'!$C:$C,'Traditional Attrition'!U$1),VLOOKUP('Traditional Attrition'!U$2-'Traditional Attrition'!$F62-1,'Traditional Attrition'!$A$7:$C$161,2,FALSE)*VLOOKUP(U$1,'Attrition Modeling'!$L$15:$N$27,IF(U$2-$F62&lt;=24,2,3),FALSE))*(1+Projection!W$16)*(1+IF(U194&gt;0,'Attrition Modeling'!$N$9,0))),0))</f>
        <v>0</v>
      </c>
      <c r="V62" s="799">
        <f>IF(V$2=$F62+1,Monthly!R$21,IF(V$2&gt;$F62+1,('Traditional Attrition'!U62+V194)*(1-IF(V$2-$F62&lt;=12,SUMIFS('Attrition Modeling'!$D:$D,'Attrition Modeling'!$B:$B,'Traditional Attrition'!$E62,'Attrition Modeling'!$C:$C,'Traditional Attrition'!V$1),VLOOKUP('Traditional Attrition'!V$2-'Traditional Attrition'!$F62-1,'Traditional Attrition'!$A$7:$C$161,2,FALSE)*VLOOKUP(V$1,'Attrition Modeling'!$L$15:$N$27,IF(V$2-$F62&lt;=24,2,3),FALSE))*(1+Projection!X$16)*(1+IF(V194&gt;0,'Attrition Modeling'!$N$9,0))),0))</f>
        <v>0</v>
      </c>
      <c r="W62" s="799">
        <f>IF(W$2=$F62+1,Monthly!S$21,IF(W$2&gt;$F62+1,('Traditional Attrition'!V62+W194)*(1-IF(W$2-$F62&lt;=12,SUMIFS('Attrition Modeling'!$D:$D,'Attrition Modeling'!$B:$B,'Traditional Attrition'!$E62,'Attrition Modeling'!$C:$C,'Traditional Attrition'!W$1),VLOOKUP('Traditional Attrition'!W$2-'Traditional Attrition'!$F62-1,'Traditional Attrition'!$A$7:$C$161,2,FALSE)*VLOOKUP(W$1,'Attrition Modeling'!$L$15:$N$27,IF(W$2-$F62&lt;=24,2,3),FALSE))*(1+Projection!Y$16)*(1+IF(W194&gt;0,'Attrition Modeling'!$N$9,0))),0))</f>
        <v>0</v>
      </c>
      <c r="X62" s="799">
        <f>IF(X$2=$F62+1,Monthly!T$21,IF(X$2&gt;$F62+1,('Traditional Attrition'!W62+X194)*(1-IF(X$2-$F62&lt;=12,SUMIFS('Attrition Modeling'!$D:$D,'Attrition Modeling'!$B:$B,'Traditional Attrition'!$E62,'Attrition Modeling'!$C:$C,'Traditional Attrition'!X$1),VLOOKUP('Traditional Attrition'!X$2-'Traditional Attrition'!$F62-1,'Traditional Attrition'!$A$7:$C$161,2,FALSE)*VLOOKUP(X$1,'Attrition Modeling'!$L$15:$N$27,IF(X$2-$F62&lt;=24,2,3),FALSE))*(1+Projection!Z$16)*(1+IF(X194&gt;0,'Attrition Modeling'!$N$9,0))),0))</f>
        <v>0</v>
      </c>
      <c r="Y62" s="799">
        <f>IF(Y$2=$F62+1,Monthly!U$21,IF(Y$2&gt;$F62+1,('Traditional Attrition'!X62+Y194)*(1-IF(Y$2-$F62&lt;=12,SUMIFS('Attrition Modeling'!$D:$D,'Attrition Modeling'!$B:$B,'Traditional Attrition'!$E62,'Attrition Modeling'!$C:$C,'Traditional Attrition'!Y$1),VLOOKUP('Traditional Attrition'!Y$2-'Traditional Attrition'!$F62-1,'Traditional Attrition'!$A$7:$C$161,2,FALSE)*VLOOKUP(Y$1,'Attrition Modeling'!$L$15:$N$27,IF(Y$2-$F62&lt;=24,2,3),FALSE))*(1+Projection!AA$16)*(1+IF(Y194&gt;0,'Attrition Modeling'!$N$9,0))),0))</f>
        <v>0</v>
      </c>
      <c r="Z62" s="799">
        <f>IF(Z$2=$F62+1,Monthly!V$21,IF(Z$2&gt;$F62+1,('Traditional Attrition'!Y62+Z194)*(1-IF(Z$2-$F62&lt;=12,SUMIFS('Attrition Modeling'!$D:$D,'Attrition Modeling'!$B:$B,'Traditional Attrition'!$E62,'Attrition Modeling'!$C:$C,'Traditional Attrition'!Z$1),VLOOKUP('Traditional Attrition'!Z$2-'Traditional Attrition'!$F62-1,'Traditional Attrition'!$A$7:$C$161,2,FALSE)*VLOOKUP(Z$1,'Attrition Modeling'!$L$15:$N$27,IF(Z$2-$F62&lt;=24,2,3),FALSE))*(1+Projection!AB$16)*(1+IF(Z194&gt;0,'Attrition Modeling'!$N$9,0))),0))</f>
        <v>0</v>
      </c>
      <c r="AA62" s="799">
        <f>IF(AA$2=$F62+1,Monthly!W$21,IF(AA$2&gt;$F62+1,('Traditional Attrition'!Z62+AA194)*(1-IF(AA$2-$F62&lt;=12,SUMIFS('Attrition Modeling'!$D:$D,'Attrition Modeling'!$B:$B,'Traditional Attrition'!$E62,'Attrition Modeling'!$C:$C,'Traditional Attrition'!AA$1),VLOOKUP('Traditional Attrition'!AA$2-'Traditional Attrition'!$F62-1,'Traditional Attrition'!$A$7:$C$161,2,FALSE)*VLOOKUP(AA$1,'Attrition Modeling'!$L$15:$N$27,IF(AA$2-$F62&lt;=24,2,3),FALSE))*(1+Projection!AC$16)*(1+IF(AA194&gt;0,'Attrition Modeling'!$N$9,0))),0))</f>
        <v>0</v>
      </c>
      <c r="AB62" s="799">
        <f>IF(AB$2=$F62+1,Monthly!X$21,IF(AB$2&gt;$F62+1,('Traditional Attrition'!AA62+AB194)*(1-IF(AB$2-$F62&lt;=12,SUMIFS('Attrition Modeling'!$D:$D,'Attrition Modeling'!$B:$B,'Traditional Attrition'!$E62,'Attrition Modeling'!$C:$C,'Traditional Attrition'!AB$1),VLOOKUP('Traditional Attrition'!AB$2-'Traditional Attrition'!$F62-1,'Traditional Attrition'!$A$7:$C$161,2,FALSE)*VLOOKUP(AB$1,'Attrition Modeling'!$L$15:$N$27,IF(AB$2-$F62&lt;=24,2,3),FALSE))*(1+Projection!AD$16)*(1+IF(AB194&gt;0,'Attrition Modeling'!$N$9,0))),0))</f>
        <v>0</v>
      </c>
      <c r="AC62" s="799">
        <f>IF(AC$2=$F62+1,Monthly!Y$21,IF(AC$2&gt;$F62+1,('Traditional Attrition'!AB62+AC194)*(1-IF(AC$2-$F62&lt;=12,SUMIFS('Attrition Modeling'!$D:$D,'Attrition Modeling'!$B:$B,'Traditional Attrition'!$E62,'Attrition Modeling'!$C:$C,'Traditional Attrition'!AC$1),VLOOKUP('Traditional Attrition'!AC$2-'Traditional Attrition'!$F62-1,'Traditional Attrition'!$A$7:$C$161,2,FALSE)*VLOOKUP(AC$1,'Attrition Modeling'!$L$15:$N$27,IF(AC$2-$F62&lt;=24,2,3),FALSE))*(1+Projection!AE$16)*(1+IF(AC194&gt;0,'Attrition Modeling'!$N$9,0))),0))</f>
        <v>0</v>
      </c>
      <c r="AD62" s="799">
        <f>IF(AD$2=$F62+1,Monthly!Z$21,IF(AD$2&gt;$F62+1,('Traditional Attrition'!AC62+AD194)*(1-IF(AD$2-$F62&lt;=12,SUMIFS('Attrition Modeling'!$D:$D,'Attrition Modeling'!$B:$B,'Traditional Attrition'!$E62,'Attrition Modeling'!$C:$C,'Traditional Attrition'!AD$1),VLOOKUP('Traditional Attrition'!AD$2-'Traditional Attrition'!$F62-1,'Traditional Attrition'!$A$7:$C$161,2,FALSE)*VLOOKUP(AD$1,'Attrition Modeling'!$L$15:$N$27,IF(AD$2-$F62&lt;=24,2,3),FALSE))*(1+Projection!AF$16)*(1+IF(AD194&gt;0,'Attrition Modeling'!$N$9,0))),0))</f>
        <v>0</v>
      </c>
      <c r="AE62" s="799">
        <f>IF(AE$2=$F62+1,Monthly!AA$21,IF(AE$2&gt;$F62+1,('Traditional Attrition'!AD62+AE194)*(1-IF(AE$2-$F62&lt;=12,SUMIFS('Attrition Modeling'!$D:$D,'Attrition Modeling'!$B:$B,'Traditional Attrition'!$E62,'Attrition Modeling'!$C:$C,'Traditional Attrition'!AE$1),VLOOKUP('Traditional Attrition'!AE$2-'Traditional Attrition'!$F62-1,'Traditional Attrition'!$A$7:$C$161,2,FALSE)*VLOOKUP(AE$1,'Attrition Modeling'!$L$15:$N$27,IF(AE$2-$F62&lt;=24,2,3),FALSE))*(1+Projection!AG$16)*(1+IF(AE194&gt;0,'Attrition Modeling'!$N$9,0))),0))</f>
        <v>0</v>
      </c>
      <c r="AF62" s="799">
        <f>IF(AF$2=$F62+1,Monthly!AB$21,IF(AF$2&gt;$F62+1,('Traditional Attrition'!AE62+AF194)*(1-IF(AF$2-$F62&lt;=12,SUMIFS('Attrition Modeling'!$D:$D,'Attrition Modeling'!$B:$B,'Traditional Attrition'!$E62,'Attrition Modeling'!$C:$C,'Traditional Attrition'!AF$1),VLOOKUP('Traditional Attrition'!AF$2-'Traditional Attrition'!$F62-1,'Traditional Attrition'!$A$7:$C$161,2,FALSE)*VLOOKUP(AF$1,'Attrition Modeling'!$L$15:$N$27,IF(AF$2-$F62&lt;=24,2,3),FALSE))*(1+Projection!AH$16)*(1+IF(AF194&gt;0,'Attrition Modeling'!$N$9,0))),0))</f>
        <v>0</v>
      </c>
      <c r="AG62" s="799">
        <f>IF(AG$2=$F62+1,Monthly!AC$21,IF(AG$2&gt;$F62+1,('Traditional Attrition'!AF62+AG194)*(1-IF(AG$2-$F62&lt;=12,SUMIFS('Attrition Modeling'!$D:$D,'Attrition Modeling'!$B:$B,'Traditional Attrition'!$E62,'Attrition Modeling'!$C:$C,'Traditional Attrition'!AG$1),VLOOKUP('Traditional Attrition'!AG$2-'Traditional Attrition'!$F62-1,'Traditional Attrition'!$A$7:$C$161,2,FALSE)*VLOOKUP(AG$1,'Attrition Modeling'!$L$15:$N$27,IF(AG$2-$F62&lt;=24,2,3),FALSE))*(1+Projection!AI$16)*(1+IF(AG194&gt;0,'Attrition Modeling'!$N$9,0))),0))</f>
        <v>0</v>
      </c>
      <c r="AH62" s="799">
        <f>IF(AH$2=$F62+1,Monthly!AD$21,IF(AH$2&gt;$F62+1,('Traditional Attrition'!AG62+AH194)*(1-IF(AH$2-$F62&lt;=12,SUMIFS('Attrition Modeling'!$D:$D,'Attrition Modeling'!$B:$B,'Traditional Attrition'!$E62,'Attrition Modeling'!$C:$C,'Traditional Attrition'!AH$1),VLOOKUP('Traditional Attrition'!AH$2-'Traditional Attrition'!$F62-1,'Traditional Attrition'!$A$7:$C$161,2,FALSE)*VLOOKUP(AH$1,'Attrition Modeling'!$L$15:$N$27,IF(AH$2-$F62&lt;=24,2,3),FALSE))*(1+Projection!AJ$16)*(1+IF(AH194&gt;0,'Attrition Modeling'!$N$9,0))),0))</f>
        <v>0</v>
      </c>
      <c r="AI62" s="799">
        <f>IF(AI$2=$F62+1,Monthly!AE$21,IF(AI$2&gt;$F62+1,('Traditional Attrition'!AH62+AI194)*(1-IF(AI$2-$F62&lt;=12,SUMIFS('Attrition Modeling'!$D:$D,'Attrition Modeling'!$B:$B,'Traditional Attrition'!$E62,'Attrition Modeling'!$C:$C,'Traditional Attrition'!AI$1),VLOOKUP('Traditional Attrition'!AI$2-'Traditional Attrition'!$F62-1,'Traditional Attrition'!$A$7:$C$161,2,FALSE)*VLOOKUP(AI$1,'Attrition Modeling'!$L$15:$N$27,IF(AI$2-$F62&lt;=24,2,3),FALSE))*(1+Projection!AK$16)*(1+IF(AI194&gt;0,'Attrition Modeling'!$N$9,0))),0))</f>
        <v>0</v>
      </c>
      <c r="AJ62" s="799">
        <f>IF(AJ$2=$F62+1,Monthly!AF$21,IF(AJ$2&gt;$F62+1,('Traditional Attrition'!AI62+AJ194)*(1-IF(AJ$2-$F62&lt;=12,SUMIFS('Attrition Modeling'!$D:$D,'Attrition Modeling'!$B:$B,'Traditional Attrition'!$E62,'Attrition Modeling'!$C:$C,'Traditional Attrition'!AJ$1),VLOOKUP('Traditional Attrition'!AJ$2-'Traditional Attrition'!$F62-1,'Traditional Attrition'!$A$7:$C$161,2,FALSE)*VLOOKUP(AJ$1,'Attrition Modeling'!$L$15:$N$27,IF(AJ$2-$F62&lt;=24,2,3),FALSE))*(1+Projection!AL$16)*(1+IF(AJ194&gt;0,'Attrition Modeling'!$N$9,0))),0))</f>
        <v>0</v>
      </c>
      <c r="AK62" s="799">
        <f>IF(AK$2=$F62+1,Monthly!AG$21,IF(AK$2&gt;$F62+1,('Traditional Attrition'!AJ62+AK194)*(1-IF(AK$2-$F62&lt;=12,SUMIFS('Attrition Modeling'!$D:$D,'Attrition Modeling'!$B:$B,'Traditional Attrition'!$E62,'Attrition Modeling'!$C:$C,'Traditional Attrition'!AK$1),VLOOKUP('Traditional Attrition'!AK$2-'Traditional Attrition'!$F62-1,'Traditional Attrition'!$A$7:$C$161,2,FALSE)*VLOOKUP(AK$1,'Attrition Modeling'!$L$15:$N$27,IF(AK$2-$F62&lt;=24,2,3),FALSE))*(1+Projection!AM$16)*(1+IF(AK194&gt;0,'Attrition Modeling'!$N$9,0))),0))</f>
        <v>0</v>
      </c>
      <c r="AL62" s="799">
        <f>IF(AL$2=$F62+1,Monthly!AH$21,IF(AL$2&gt;$F62+1,('Traditional Attrition'!AK62+AL194)*(1-IF(AL$2-$F62&lt;=12,SUMIFS('Attrition Modeling'!$D:$D,'Attrition Modeling'!$B:$B,'Traditional Attrition'!$E62,'Attrition Modeling'!$C:$C,'Traditional Attrition'!AL$1),VLOOKUP('Traditional Attrition'!AL$2-'Traditional Attrition'!$F62-1,'Traditional Attrition'!$A$7:$C$161,2,FALSE)*VLOOKUP(AL$1,'Attrition Modeling'!$L$15:$N$27,IF(AL$2-$F62&lt;=24,2,3),FALSE))*(1+Projection!AN$16)*(1+IF(AL194&gt;0,'Attrition Modeling'!$N$9,0))),0))</f>
        <v>0</v>
      </c>
      <c r="AM62" s="799">
        <f>IF(AM$2=$F62+1,Monthly!AI$21,IF(AM$2&gt;$F62+1,('Traditional Attrition'!AL62+AM194)*(1-IF(AM$2-$F62&lt;=12,SUMIFS('Attrition Modeling'!$D:$D,'Attrition Modeling'!$B:$B,'Traditional Attrition'!$E62,'Attrition Modeling'!$C:$C,'Traditional Attrition'!AM$1),VLOOKUP('Traditional Attrition'!AM$2-'Traditional Attrition'!$F62-1,'Traditional Attrition'!$A$7:$C$161,2,FALSE)*VLOOKUP(AM$1,'Attrition Modeling'!$L$15:$N$27,IF(AM$2-$F62&lt;=24,2,3),FALSE))*(1+Projection!AO$16)*(1+IF(AM194&gt;0,'Attrition Modeling'!$N$9,0))),0))</f>
        <v>0</v>
      </c>
      <c r="AN62" s="799">
        <f>IF(AN$2=$F62+1,Monthly!AJ$21,IF(AN$2&gt;$F62+1,('Traditional Attrition'!AM62+AN194)*(1-IF(AN$2-$F62&lt;=12,SUMIFS('Attrition Modeling'!$D:$D,'Attrition Modeling'!$B:$B,'Traditional Attrition'!$E62,'Attrition Modeling'!$C:$C,'Traditional Attrition'!AN$1),VLOOKUP('Traditional Attrition'!AN$2-'Traditional Attrition'!$F62-1,'Traditional Attrition'!$A$7:$C$161,2,FALSE)*VLOOKUP(AN$1,'Attrition Modeling'!$L$15:$N$27,IF(AN$2-$F62&lt;=24,2,3),FALSE))*(1+Projection!AP$16)*(1+IF(AN194&gt;0,'Attrition Modeling'!$N$9,0))),0))</f>
        <v>0</v>
      </c>
      <c r="AO62" s="799">
        <f>IF(AO$2=$F62+1,Monthly!AK$21,IF(AO$2&gt;$F62+1,('Traditional Attrition'!AN62+AO194)*(1-IF(AO$2-$F62&lt;=12,SUMIFS('Attrition Modeling'!$D:$D,'Attrition Modeling'!$B:$B,'Traditional Attrition'!$E62,'Attrition Modeling'!$C:$C,'Traditional Attrition'!AO$1),VLOOKUP('Traditional Attrition'!AO$2-'Traditional Attrition'!$F62-1,'Traditional Attrition'!$A$7:$C$161,2,FALSE)*VLOOKUP(AO$1,'Attrition Modeling'!$L$15:$N$27,IF(AO$2-$F62&lt;=24,2,3),FALSE))*(1+Projection!AQ$16)*(1+IF(AO194&gt;0,'Attrition Modeling'!$N$9,0))),0))</f>
        <v>0</v>
      </c>
      <c r="AP62" s="799">
        <f>IF(AP$2=$F62+1,Monthly!AL$21,IF(AP$2&gt;$F62+1,('Traditional Attrition'!AO62+AP194)*(1-IF(AP$2-$F62&lt;=12,SUMIFS('Attrition Modeling'!$D:$D,'Attrition Modeling'!$B:$B,'Traditional Attrition'!$E62,'Attrition Modeling'!$C:$C,'Traditional Attrition'!AP$1),VLOOKUP('Traditional Attrition'!AP$2-'Traditional Attrition'!$F62-1,'Traditional Attrition'!$A$7:$C$161,2,FALSE)*VLOOKUP(AP$1,'Attrition Modeling'!$L$15:$N$27,IF(AP$2-$F62&lt;=24,2,3),FALSE))*(1+Projection!AR$16)*(1+IF(AP194&gt;0,'Attrition Modeling'!$N$9,0))),0))</f>
        <v>0</v>
      </c>
      <c r="AQ62" s="799">
        <f>IF(AQ$2=$F62+1,Monthly!AM$21,IF(AQ$2&gt;$F62+1,('Traditional Attrition'!AP62+AQ194)*(1-IF(AQ$2-$F62&lt;=12,SUMIFS('Attrition Modeling'!$D:$D,'Attrition Modeling'!$B:$B,'Traditional Attrition'!$E62,'Attrition Modeling'!$C:$C,'Traditional Attrition'!AQ$1),VLOOKUP('Traditional Attrition'!AQ$2-'Traditional Attrition'!$F62-1,'Traditional Attrition'!$A$7:$C$161,2,FALSE)*VLOOKUP(AQ$1,'Attrition Modeling'!$L$15:$N$27,IF(AQ$2-$F62&lt;=24,2,3),FALSE))*(1+Projection!AS$16)*(1+IF(AQ194&gt;0,'Attrition Modeling'!$N$9,0))),0))</f>
        <v>0</v>
      </c>
      <c r="AR62" s="799">
        <f>IF(AR$2=$F62+1,Monthly!AN$21,IF(AR$2&gt;$F62+1,('Traditional Attrition'!AQ62+AR194)*(1-IF(AR$2-$F62&lt;=12,SUMIFS('Attrition Modeling'!$D:$D,'Attrition Modeling'!$B:$B,'Traditional Attrition'!$E62,'Attrition Modeling'!$C:$C,'Traditional Attrition'!AR$1),VLOOKUP('Traditional Attrition'!AR$2-'Traditional Attrition'!$F62-1,'Traditional Attrition'!$A$7:$C$161,2,FALSE)*VLOOKUP(AR$1,'Attrition Modeling'!$L$15:$N$27,IF(AR$2-$F62&lt;=24,2,3),FALSE))*(1+Projection!AT$16)*(1+IF(AR194&gt;0,'Attrition Modeling'!$N$9,0))),0))</f>
        <v>0</v>
      </c>
      <c r="AS62" s="799">
        <f>IF(AS$2=$F62+1,Monthly!AO$21,IF(AS$2&gt;$F62+1,('Traditional Attrition'!AR62+AS194)*(1-IF(AS$2-$F62&lt;=12,SUMIFS('Attrition Modeling'!$D:$D,'Attrition Modeling'!$B:$B,'Traditional Attrition'!$E62,'Attrition Modeling'!$C:$C,'Traditional Attrition'!AS$1),VLOOKUP('Traditional Attrition'!AS$2-'Traditional Attrition'!$F62-1,'Traditional Attrition'!$A$7:$C$161,2,FALSE)*VLOOKUP(AS$1,'Attrition Modeling'!$L$15:$N$27,IF(AS$2-$F62&lt;=24,2,3),FALSE))*(1+Projection!AU$16)*(1+IF(AS194&gt;0,'Attrition Modeling'!$N$9,0))),0))</f>
        <v>0</v>
      </c>
      <c r="AT62" s="799">
        <f>IF(AT$2=$F62+1,Monthly!AP$21,IF(AT$2&gt;$F62+1,('Traditional Attrition'!AS62+AT194)*(1-IF(AT$2-$F62&lt;=12,SUMIFS('Attrition Modeling'!$D:$D,'Attrition Modeling'!$B:$B,'Traditional Attrition'!$E62,'Attrition Modeling'!$C:$C,'Traditional Attrition'!AT$1),VLOOKUP('Traditional Attrition'!AT$2-'Traditional Attrition'!$F62-1,'Traditional Attrition'!$A$7:$C$161,2,FALSE)*VLOOKUP(AT$1,'Attrition Modeling'!$L$15:$N$27,IF(AT$2-$F62&lt;=24,2,3),FALSE))*(1+Projection!AV$16)*(1+IF(AT194&gt;0,'Attrition Modeling'!$N$9,0))),0))</f>
        <v>0</v>
      </c>
      <c r="AU62" s="799">
        <f>IF(AU$2=$F62+1,Monthly!AQ$21,IF(AU$2&gt;$F62+1,('Traditional Attrition'!AT62+AU194)*(1-IF(AU$2-$F62&lt;=12,SUMIFS('Attrition Modeling'!$D:$D,'Attrition Modeling'!$B:$B,'Traditional Attrition'!$E62,'Attrition Modeling'!$C:$C,'Traditional Attrition'!AU$1),VLOOKUP('Traditional Attrition'!AU$2-'Traditional Attrition'!$F62-1,'Traditional Attrition'!$A$7:$C$161,2,FALSE)*VLOOKUP(AU$1,'Attrition Modeling'!$L$15:$N$27,IF(AU$2-$F62&lt;=24,2,3),FALSE))*(1+Projection!AW$16)*(1+IF(AU194&gt;0,'Attrition Modeling'!$N$9,0))),0))</f>
        <v>0</v>
      </c>
      <c r="AV62" s="799">
        <f>IF(AV$2=$F62+1,Monthly!AR$21,IF(AV$2&gt;$F62+1,('Traditional Attrition'!AU62+AV194)*(1-IF(AV$2-$F62&lt;=12,SUMIFS('Attrition Modeling'!$D:$D,'Attrition Modeling'!$B:$B,'Traditional Attrition'!$E62,'Attrition Modeling'!$C:$C,'Traditional Attrition'!AV$1),VLOOKUP('Traditional Attrition'!AV$2-'Traditional Attrition'!$F62-1,'Traditional Attrition'!$A$7:$C$161,2,FALSE)*VLOOKUP(AV$1,'Attrition Modeling'!$L$15:$N$27,IF(AV$2-$F62&lt;=24,2,3),FALSE))*(1+Projection!AX$16)*(1+IF(AV194&gt;0,'Attrition Modeling'!$N$9,0))),0))</f>
        <v>0</v>
      </c>
      <c r="AW62" s="799">
        <f>IF(AW$2=$F62+1,Monthly!AS$21,IF(AW$2&gt;$F62+1,('Traditional Attrition'!AV62+AW194)*(1-IF(AW$2-$F62&lt;=12,SUMIFS('Attrition Modeling'!$D:$D,'Attrition Modeling'!$B:$B,'Traditional Attrition'!$E62,'Attrition Modeling'!$C:$C,'Traditional Attrition'!AW$1),VLOOKUP('Traditional Attrition'!AW$2-'Traditional Attrition'!$F62-1,'Traditional Attrition'!$A$7:$C$161,2,FALSE)*VLOOKUP(AW$1,'Attrition Modeling'!$L$15:$N$27,IF(AW$2-$F62&lt;=24,2,3),FALSE))*(1+Projection!AY$16)*(1+IF(AW194&gt;0,'Attrition Modeling'!$N$9,0))),0))</f>
        <v>0</v>
      </c>
      <c r="AX62" s="799">
        <f>IF(AX$2=$F62+1,Monthly!AT$21,IF(AX$2&gt;$F62+1,('Traditional Attrition'!AW62+AX194)*(1-IF(AX$2-$F62&lt;=12,SUMIFS('Attrition Modeling'!$D:$D,'Attrition Modeling'!$B:$B,'Traditional Attrition'!$E62,'Attrition Modeling'!$C:$C,'Traditional Attrition'!AX$1),VLOOKUP('Traditional Attrition'!AX$2-'Traditional Attrition'!$F62-1,'Traditional Attrition'!$A$7:$C$161,2,FALSE)*VLOOKUP(AX$1,'Attrition Modeling'!$L$15:$N$27,IF(AX$2-$F62&lt;=24,2,3),FALSE))*(1+Projection!AZ$16)*(1+IF(AX194&gt;0,'Attrition Modeling'!$N$9,0))),0))</f>
        <v>0</v>
      </c>
      <c r="AY62" s="799">
        <f>IF(AY$2=$F62+1,Monthly!AU$21,IF(AY$2&gt;$F62+1,('Traditional Attrition'!AX62+AY194)*(1-IF(AY$2-$F62&lt;=12,SUMIFS('Attrition Modeling'!$D:$D,'Attrition Modeling'!$B:$B,'Traditional Attrition'!$E62,'Attrition Modeling'!$C:$C,'Traditional Attrition'!AY$1),VLOOKUP('Traditional Attrition'!AY$2-'Traditional Attrition'!$F62-1,'Traditional Attrition'!$A$7:$C$161,2,FALSE)*VLOOKUP(AY$1,'Attrition Modeling'!$L$15:$N$27,IF(AY$2-$F62&lt;=24,2,3),FALSE))*(1+Projection!BA$16)*(1+IF(AY194&gt;0,'Attrition Modeling'!$N$9,0))),0))</f>
        <v>0</v>
      </c>
      <c r="AZ62" s="799">
        <f>IF(AZ$2=$F62+1,Monthly!AV$21,IF(AZ$2&gt;$F62+1,('Traditional Attrition'!AY62+AZ194)*(1-IF(AZ$2-$F62&lt;=12,SUMIFS('Attrition Modeling'!$D:$D,'Attrition Modeling'!$B:$B,'Traditional Attrition'!$E62,'Attrition Modeling'!$C:$C,'Traditional Attrition'!AZ$1),VLOOKUP('Traditional Attrition'!AZ$2-'Traditional Attrition'!$F62-1,'Traditional Attrition'!$A$7:$C$161,2,FALSE)*VLOOKUP(AZ$1,'Attrition Modeling'!$L$15:$N$27,IF(AZ$2-$F62&lt;=24,2,3),FALSE))*(1+Projection!BB$16)*(1+IF(AZ194&gt;0,'Attrition Modeling'!$N$9,0))),0))</f>
        <v>0</v>
      </c>
      <c r="BA62" s="799">
        <f>IF(BA$2=$F62+1,Monthly!AW$21,IF(BA$2&gt;$F62+1,('Traditional Attrition'!AZ62+BA194)*(1-IF(BA$2-$F62&lt;=12,SUMIFS('Attrition Modeling'!$D:$D,'Attrition Modeling'!$B:$B,'Traditional Attrition'!$E62,'Attrition Modeling'!$C:$C,'Traditional Attrition'!BA$1),VLOOKUP('Traditional Attrition'!BA$2-'Traditional Attrition'!$F62-1,'Traditional Attrition'!$A$7:$C$161,2,FALSE)*VLOOKUP(BA$1,'Attrition Modeling'!$L$15:$N$27,IF(BA$2-$F62&lt;=24,2,3),FALSE))*(1+Projection!BC$16)*(1+IF(BA194&gt;0,'Attrition Modeling'!$N$9,0))),0))</f>
        <v>0</v>
      </c>
      <c r="BB62" s="799">
        <f>IF(BB$2=$F62+1,Monthly!AX$21,IF(BB$2&gt;$F62+1,('Traditional Attrition'!BA62+BB194)*(1-IF(BB$2-$F62&lt;=12,SUMIFS('Attrition Modeling'!$D:$D,'Attrition Modeling'!$B:$B,'Traditional Attrition'!$E62,'Attrition Modeling'!$C:$C,'Traditional Attrition'!BB$1),VLOOKUP('Traditional Attrition'!BB$2-'Traditional Attrition'!$F62-1,'Traditional Attrition'!$A$7:$C$161,2,FALSE)*VLOOKUP(BB$1,'Attrition Modeling'!$L$15:$N$27,IF(BB$2-$F62&lt;=24,2,3),FALSE))*(1+Projection!BD$16)*(1+IF(BB194&gt;0,'Attrition Modeling'!$N$9,0))),0))</f>
        <v>0</v>
      </c>
      <c r="BC62" s="799">
        <f>IF(BC$2=$F62+1,Monthly!AY$21,IF(BC$2&gt;$F62+1,('Traditional Attrition'!BB62+BC194)*(1-IF(BC$2-$F62&lt;=12,SUMIFS('Attrition Modeling'!$D:$D,'Attrition Modeling'!$B:$B,'Traditional Attrition'!$E62,'Attrition Modeling'!$C:$C,'Traditional Attrition'!BC$1),VLOOKUP('Traditional Attrition'!BC$2-'Traditional Attrition'!$F62-1,'Traditional Attrition'!$A$7:$C$161,2,FALSE)*VLOOKUP(BC$1,'Attrition Modeling'!$L$15:$N$27,IF(BC$2-$F62&lt;=24,2,3),FALSE))*(1+Projection!BE$16)*(1+IF(BC194&gt;0,'Attrition Modeling'!$N$9,0))),0))</f>
        <v>0</v>
      </c>
      <c r="BD62" s="799">
        <f>IF(BD$2=$F62+1,Monthly!AZ$21,IF(BD$2&gt;$F62+1,('Traditional Attrition'!BC62+BD194)*(1-IF(BD$2-$F62&lt;=12,SUMIFS('Attrition Modeling'!$D:$D,'Attrition Modeling'!$B:$B,'Traditional Attrition'!$E62,'Attrition Modeling'!$C:$C,'Traditional Attrition'!BD$1),VLOOKUP('Traditional Attrition'!BD$2-'Traditional Attrition'!$F62-1,'Traditional Attrition'!$A$7:$C$161,2,FALSE)*VLOOKUP(BD$1,'Attrition Modeling'!$L$15:$N$27,IF(BD$2-$F62&lt;=24,2,3),FALSE))*(1+Projection!BF$16)*(1+IF(BD194&gt;0,'Attrition Modeling'!$N$9,0))),0))</f>
        <v>0</v>
      </c>
      <c r="BE62" s="799">
        <f>IF(BE$2=$F62+1,Monthly!BA$21,IF(BE$2&gt;$F62+1,('Traditional Attrition'!BD62+BE194)*(1-IF(BE$2-$F62&lt;=12,SUMIFS('Attrition Modeling'!$D:$D,'Attrition Modeling'!$B:$B,'Traditional Attrition'!$E62,'Attrition Modeling'!$C:$C,'Traditional Attrition'!BE$1),VLOOKUP('Traditional Attrition'!BE$2-'Traditional Attrition'!$F62-1,'Traditional Attrition'!$A$7:$C$161,2,FALSE)*VLOOKUP(BE$1,'Attrition Modeling'!$L$15:$N$27,IF(BE$2-$F62&lt;=24,2,3),FALSE))*(1+Projection!BG$16)*(1+IF(BE194&gt;0,'Attrition Modeling'!$N$9,0))),0))</f>
        <v>0</v>
      </c>
      <c r="BF62" s="799">
        <f>IF(BF$2=$F62+1,Monthly!BB$21,IF(BF$2&gt;$F62+1,('Traditional Attrition'!BE62+BF194)*(1-IF(BF$2-$F62&lt;=12,SUMIFS('Attrition Modeling'!$D:$D,'Attrition Modeling'!$B:$B,'Traditional Attrition'!$E62,'Attrition Modeling'!$C:$C,'Traditional Attrition'!BF$1),VLOOKUP('Traditional Attrition'!BF$2-'Traditional Attrition'!$F62-1,'Traditional Attrition'!$A$7:$C$161,2,FALSE)*VLOOKUP(BF$1,'Attrition Modeling'!$L$15:$N$27,IF(BF$2-$F62&lt;=24,2,3),FALSE))*(1+Projection!BH$16)*(1+IF(BF194&gt;0,'Attrition Modeling'!$N$9,0))),0))</f>
        <v>0</v>
      </c>
      <c r="BG62" s="799">
        <f>IF(BG$2=$F62+1,Monthly!BC$21,IF(BG$2&gt;$F62+1,('Traditional Attrition'!BF62+BG194)*(1-IF(BG$2-$F62&lt;=12,SUMIFS('Attrition Modeling'!$D:$D,'Attrition Modeling'!$B:$B,'Traditional Attrition'!$E62,'Attrition Modeling'!$C:$C,'Traditional Attrition'!BG$1),VLOOKUP('Traditional Attrition'!BG$2-'Traditional Attrition'!$F62-1,'Traditional Attrition'!$A$7:$C$161,2,FALSE)*VLOOKUP(BG$1,'Attrition Modeling'!$L$15:$N$27,IF(BG$2-$F62&lt;=24,2,3),FALSE))*(1+Projection!BI$16)*(1+IF(BG194&gt;0,'Attrition Modeling'!$N$9,0))),0))</f>
        <v>0</v>
      </c>
      <c r="BH62" s="799">
        <f>IF(BH$2=$F62+1,Monthly!BD$21,IF(BH$2&gt;$F62+1,('Traditional Attrition'!BG62+BH194)*(1-IF(BH$2-$F62&lt;=12,SUMIFS('Attrition Modeling'!$D:$D,'Attrition Modeling'!$B:$B,'Traditional Attrition'!$E62,'Attrition Modeling'!$C:$C,'Traditional Attrition'!BH$1),VLOOKUP('Traditional Attrition'!BH$2-'Traditional Attrition'!$F62-1,'Traditional Attrition'!$A$7:$C$161,2,FALSE)*VLOOKUP(BH$1,'Attrition Modeling'!$L$15:$N$27,IF(BH$2-$F62&lt;=24,2,3),FALSE))*(1+Projection!BJ$16)*(1+IF(BH194&gt;0,'Attrition Modeling'!$N$9,0))),0))</f>
        <v>0</v>
      </c>
      <c r="BI62" s="799">
        <f>IF(BI$2=$F62+1,Monthly!BE$21,IF(BI$2&gt;$F62+1,('Traditional Attrition'!BH62+BI194)*(1-IF(BI$2-$F62&lt;=12,SUMIFS('Attrition Modeling'!$D:$D,'Attrition Modeling'!$B:$B,'Traditional Attrition'!$E62,'Attrition Modeling'!$C:$C,'Traditional Attrition'!BI$1),VLOOKUP('Traditional Attrition'!BI$2-'Traditional Attrition'!$F62-1,'Traditional Attrition'!$A$7:$C$161,2,FALSE)*VLOOKUP(BI$1,'Attrition Modeling'!$L$15:$N$27,IF(BI$2-$F62&lt;=24,2,3),FALSE))*(1+Projection!BK$16)*(1+IF(BI194&gt;0,'Attrition Modeling'!$N$9,0))),0))</f>
        <v>0</v>
      </c>
      <c r="BJ62" s="799">
        <f>IF(BJ$2=$F62+1,Monthly!BF$21,IF(BJ$2&gt;$F62+1,('Traditional Attrition'!BI62+BJ194)*(1-IF(BJ$2-$F62&lt;=12,SUMIFS('Attrition Modeling'!$D:$D,'Attrition Modeling'!$B:$B,'Traditional Attrition'!$E62,'Attrition Modeling'!$C:$C,'Traditional Attrition'!BJ$1),VLOOKUP('Traditional Attrition'!BJ$2-'Traditional Attrition'!$F62-1,'Traditional Attrition'!$A$7:$C$161,2,FALSE)*VLOOKUP(BJ$1,'Attrition Modeling'!$L$15:$N$27,IF(BJ$2-$F62&lt;=24,2,3),FALSE))*(1+Projection!BL$16)*(1+IF(BJ194&gt;0,'Attrition Modeling'!$N$9,0))),0))</f>
        <v>0</v>
      </c>
      <c r="BK62" s="799">
        <f>IF(BK$2=$F62+1,Monthly!BG$21,IF(BK$2&gt;$F62+1,('Traditional Attrition'!BJ62+BK194)*(1-IF(BK$2-$F62&lt;=12,SUMIFS('Attrition Modeling'!$D:$D,'Attrition Modeling'!$B:$B,'Traditional Attrition'!$E62,'Attrition Modeling'!$C:$C,'Traditional Attrition'!BK$1),VLOOKUP('Traditional Attrition'!BK$2-'Traditional Attrition'!$F62-1,'Traditional Attrition'!$A$7:$C$161,2,FALSE)*VLOOKUP(BK$1,'Attrition Modeling'!$L$15:$N$27,IF(BK$2-$F62&lt;=24,2,3),FALSE))*(1+Projection!BM$16)*(1+IF(BK194&gt;0,'Attrition Modeling'!$N$9,0))),0))</f>
        <v>0</v>
      </c>
      <c r="BL62" s="799">
        <f>IF(BL$2=$F62+1,Monthly!BH$21,IF(BL$2&gt;$F62+1,('Traditional Attrition'!BK62+BL194)*(1-IF(BL$2-$F62&lt;=12,SUMIFS('Attrition Modeling'!$D:$D,'Attrition Modeling'!$B:$B,'Traditional Attrition'!$E62,'Attrition Modeling'!$C:$C,'Traditional Attrition'!BL$1),VLOOKUP('Traditional Attrition'!BL$2-'Traditional Attrition'!$F62-1,'Traditional Attrition'!$A$7:$C$161,2,FALSE)*VLOOKUP(BL$1,'Attrition Modeling'!$L$15:$N$27,IF(BL$2-$F62&lt;=24,2,3),FALSE))*(1+Projection!BN$16)*(1+IF(BL194&gt;0,'Attrition Modeling'!$N$9,0))),0))</f>
        <v>0</v>
      </c>
      <c r="BM62" s="799">
        <f>IF(BM$2=$F62+1,Monthly!BI$21,IF(BM$2&gt;$F62+1,('Traditional Attrition'!BL62+BM194)*(1-IF(BM$2-$F62&lt;=12,SUMIFS('Attrition Modeling'!$D:$D,'Attrition Modeling'!$B:$B,'Traditional Attrition'!$E62,'Attrition Modeling'!$C:$C,'Traditional Attrition'!BM$1),VLOOKUP('Traditional Attrition'!BM$2-'Traditional Attrition'!$F62-1,'Traditional Attrition'!$A$7:$C$161,2,FALSE)*VLOOKUP(BM$1,'Attrition Modeling'!$L$15:$N$27,IF(BM$2-$F62&lt;=24,2,3),FALSE))*(1+Projection!BO$16)*(1+IF(BM194&gt;0,'Attrition Modeling'!$N$9,0))),0))</f>
        <v>0</v>
      </c>
      <c r="BN62" s="799">
        <f>IF(BN$2=$F62+1,Monthly!BJ$21,IF(BN$2&gt;$F62+1,('Traditional Attrition'!BM62+BN194)*(1-IF(BN$2-$F62&lt;=12,SUMIFS('Attrition Modeling'!$D:$D,'Attrition Modeling'!$B:$B,'Traditional Attrition'!$E62,'Attrition Modeling'!$C:$C,'Traditional Attrition'!BN$1),VLOOKUP('Traditional Attrition'!BN$2-'Traditional Attrition'!$F62-1,'Traditional Attrition'!$A$7:$C$161,2,FALSE)*VLOOKUP(BN$1,'Attrition Modeling'!$L$15:$N$27,IF(BN$2-$F62&lt;=24,2,3),FALSE))*(1+Projection!BP$16)*(1+IF(BN194&gt;0,'Attrition Modeling'!$N$9,0))),0))</f>
        <v>0</v>
      </c>
      <c r="BO62" s="799">
        <f>IF(BO$2=$F62+1,Monthly!BK$21,IF(BO$2&gt;$F62+1,('Traditional Attrition'!BN62+BO194)*(1-IF(BO$2-$F62&lt;=12,SUMIFS('Attrition Modeling'!$D:$D,'Attrition Modeling'!$B:$B,'Traditional Attrition'!$E62,'Attrition Modeling'!$C:$C,'Traditional Attrition'!BO$1),VLOOKUP('Traditional Attrition'!BO$2-'Traditional Attrition'!$F62-1,'Traditional Attrition'!$A$7:$C$161,2,FALSE)*VLOOKUP(BO$1,'Attrition Modeling'!$L$15:$N$27,IF(BO$2-$F62&lt;=24,2,3),FALSE))*(1+Projection!BV$16)*(1+IF(BO194&gt;0,'Attrition Modeling'!$N$9,0))),0))</f>
        <v>7811.1010355722228</v>
      </c>
      <c r="BP62" s="799">
        <f>IF(BP$2=$F62+1,Monthly!BL$21,IF(BP$2&gt;$F62+1,('Traditional Attrition'!BO62+BP194)*(1-IF(BP$2-$F62&lt;=12,SUMIFS('Attrition Modeling'!$D:$D,'Attrition Modeling'!$B:$B,'Traditional Attrition'!$E62,'Attrition Modeling'!$C:$C,'Traditional Attrition'!BP$1),VLOOKUP('Traditional Attrition'!BP$2-'Traditional Attrition'!$F62-1,'Traditional Attrition'!$A$7:$C$161,2,FALSE)*VLOOKUP(BP$1,'Attrition Modeling'!$L$15:$N$27,IF(BP$2-$F62&lt;=24,2,3),FALSE))*(1+Projection!BW$16)*(1+IF(BP194&gt;0,'Attrition Modeling'!$N$9,0))),0))</f>
        <v>7101.8936792676504</v>
      </c>
      <c r="BQ62" s="799">
        <f>IF(BQ$2=$F62+1,Monthly!BM$21,IF(BQ$2&gt;$F62+1,('Traditional Attrition'!BP62+BQ194)*(1-IF(BQ$2-$F62&lt;=12,SUMIFS('Attrition Modeling'!$D:$D,'Attrition Modeling'!$B:$B,'Traditional Attrition'!$E62,'Attrition Modeling'!$C:$C,'Traditional Attrition'!BQ$1),VLOOKUP('Traditional Attrition'!BQ$2-'Traditional Attrition'!$F62-1,'Traditional Attrition'!$A$7:$C$161,2,FALSE)*VLOOKUP(BQ$1,'Attrition Modeling'!$L$15:$N$27,IF(BQ$2-$F62&lt;=24,2,3),FALSE))*(1+Projection!BX$16)*(1+IF(BQ194&gt;0,'Attrition Modeling'!$N$9,0))),0))</f>
        <v>6551.3635455611111</v>
      </c>
      <c r="BR62" s="799">
        <f>IF(BR$2=$F62+1,Monthly!BN$21,IF(BR$2&gt;$F62+1,('Traditional Attrition'!BQ62+BR194)*(1-IF(BR$2-$F62&lt;=12,SUMIFS('Attrition Modeling'!$D:$D,'Attrition Modeling'!$B:$B,'Traditional Attrition'!$E62,'Attrition Modeling'!$C:$C,'Traditional Attrition'!BR$1),VLOOKUP('Traditional Attrition'!BR$2-'Traditional Attrition'!$F62-1,'Traditional Attrition'!$A$7:$C$161,2,FALSE)*VLOOKUP(BR$1,'Attrition Modeling'!$L$15:$N$27,IF(BR$2-$F62&lt;=24,2,3),FALSE))*(1+Projection!BY$16)*(1+IF(BR194&gt;0,'Attrition Modeling'!$N$9,0))),0))</f>
        <v>5967.9669803197703</v>
      </c>
      <c r="BS62" s="799">
        <f>IF(BS$2=$F62+1,Monthly!BO$21,IF(BS$2&gt;$F62+1,('Traditional Attrition'!BR62+BS194)*(1-IF(BS$2-$F62&lt;=12,SUMIFS('Attrition Modeling'!$D:$D,'Attrition Modeling'!$B:$B,'Traditional Attrition'!$E62,'Attrition Modeling'!$C:$C,'Traditional Attrition'!BS$1),VLOOKUP('Traditional Attrition'!BS$2-'Traditional Attrition'!$F62-1,'Traditional Attrition'!$A$7:$C$161,2,FALSE)*VLOOKUP(BS$1,'Attrition Modeling'!$L$15:$N$27,IF(BS$2-$F62&lt;=24,2,3),FALSE))*(1+Projection!BZ$16)*(1+IF(BS194&gt;0,'Attrition Modeling'!$N$9,0))),0))</f>
        <v>5498.2330139927162</v>
      </c>
      <c r="BT62" s="799">
        <f>IF(BT$2=$F62+1,Monthly!#REF!,IF(BT$2&gt;$F62+1,('Traditional Attrition'!BS62+BT194)*(1-IF(BT$2-$F62&lt;=12,SUMIFS('Attrition Modeling'!$D:$D,'Attrition Modeling'!$B:$B,'Traditional Attrition'!$E62,'Attrition Modeling'!$C:$C,'Traditional Attrition'!BT$1),VLOOKUP('Traditional Attrition'!BT$2-'Traditional Attrition'!$F62-1,'Traditional Attrition'!$A$7:$C$161,2,FALSE)*VLOOKUP(BT$1,'Attrition Modeling'!$L$15:$N$27,IF(BT$2-$F62&lt;=24,2,3),FALSE))*(1+Projection!CA$16)*(1+IF(BT194&gt;0,'Attrition Modeling'!$N$9,0))),0))</f>
        <v>5422.2604375442597</v>
      </c>
      <c r="BU62" s="799">
        <f>IF(BU$2=$F62+1,Monthly!#REF!,IF(BU$2&gt;$F62+1,('Traditional Attrition'!BT62+BU194)*(1-IF(BU$2-$F62&lt;=12,SUMIFS('Attrition Modeling'!$D:$D,'Attrition Modeling'!$B:$B,'Traditional Attrition'!$E62,'Attrition Modeling'!$C:$C,'Traditional Attrition'!BU$1),VLOOKUP('Traditional Attrition'!BU$2-'Traditional Attrition'!$F62-1,'Traditional Attrition'!$A$7:$C$161,2,FALSE)*VLOOKUP(BU$1,'Attrition Modeling'!$L$15:$N$27,IF(BU$2-$F62&lt;=24,2,3),FALSE))*(1+Projection!CB$16)*(1+IF(BU194&gt;0,'Attrition Modeling'!$N$9,0))),0))</f>
        <v>5038.0612399850634</v>
      </c>
    </row>
    <row r="63" spans="1:73" ht="14.25" customHeight="1" x14ac:dyDescent="0.2">
      <c r="A63" s="9">
        <v>56</v>
      </c>
      <c r="B63" s="25">
        <f>MAX('Attrition Modeling'!H60,$C$3)*(1-Summary!$C$20)</f>
        <v>2.3254325345475398E-2</v>
      </c>
      <c r="C63" s="24" t="e">
        <f t="shared" si="4"/>
        <v>#DIV/0!</v>
      </c>
      <c r="E63" s="11">
        <f t="shared" si="2"/>
        <v>12</v>
      </c>
      <c r="F63" s="11">
        <f t="shared" si="3"/>
        <v>60</v>
      </c>
      <c r="G63" s="801"/>
      <c r="H63" s="799">
        <f>IF(H$2=$F63+1,Monthly!D$21,IF(H$2&gt;$F63+1,('Traditional Attrition'!G63+H195)*(1-IF(H$2-$F63&lt;=12,SUMIFS('Attrition Modeling'!$D:$D,'Attrition Modeling'!$B:$B,'Traditional Attrition'!$E63,'Attrition Modeling'!$C:$C,'Traditional Attrition'!H$1),VLOOKUP('Traditional Attrition'!H$2-'Traditional Attrition'!$F63-1,'Traditional Attrition'!$A$7:$C$161,2,FALSE)*VLOOKUP(H$1,'Attrition Modeling'!$L$15:$N$27,IF(H$2-$F63&lt;=24,2,3),FALSE))*(1+Projection!J$16)*(1+IF(H195&gt;0,'Attrition Modeling'!$N$9,0))),0))</f>
        <v>0</v>
      </c>
      <c r="I63" s="799">
        <f>IF(I$2=$F63+1,Monthly!E$21,IF(I$2&gt;$F63+1,('Traditional Attrition'!H63+I195)*(1-IF(I$2-$F63&lt;=12,SUMIFS('Attrition Modeling'!$D:$D,'Attrition Modeling'!$B:$B,'Traditional Attrition'!$E63,'Attrition Modeling'!$C:$C,'Traditional Attrition'!I$1),VLOOKUP('Traditional Attrition'!I$2-'Traditional Attrition'!$F63-1,'Traditional Attrition'!$A$7:$C$161,2,FALSE)*VLOOKUP(I$1,'Attrition Modeling'!$L$15:$N$27,IF(I$2-$F63&lt;=24,2,3),FALSE))*(1+Projection!K$16)*(1+IF(I195&gt;0,'Attrition Modeling'!$N$9,0))),0))</f>
        <v>0</v>
      </c>
      <c r="J63" s="799">
        <f>IF(J$2=$F63+1,Monthly!F$21,IF(J$2&gt;$F63+1,('Traditional Attrition'!I63+J195)*(1-IF(J$2-$F63&lt;=12,SUMIFS('Attrition Modeling'!$D:$D,'Attrition Modeling'!$B:$B,'Traditional Attrition'!$E63,'Attrition Modeling'!$C:$C,'Traditional Attrition'!J$1),VLOOKUP('Traditional Attrition'!J$2-'Traditional Attrition'!$F63-1,'Traditional Attrition'!$A$7:$C$161,2,FALSE)*VLOOKUP(J$1,'Attrition Modeling'!$L$15:$N$27,IF(J$2-$F63&lt;=24,2,3),FALSE))*(1+Projection!L$16)*(1+IF(J195&gt;0,'Attrition Modeling'!$N$9,0))),0))</f>
        <v>0</v>
      </c>
      <c r="K63" s="799">
        <f>IF(K$2=$F63+1,Monthly!G$21,IF(K$2&gt;$F63+1,('Traditional Attrition'!J63+K195)*(1-IF(K$2-$F63&lt;=12,SUMIFS('Attrition Modeling'!$D:$D,'Attrition Modeling'!$B:$B,'Traditional Attrition'!$E63,'Attrition Modeling'!$C:$C,'Traditional Attrition'!K$1),VLOOKUP('Traditional Attrition'!K$2-'Traditional Attrition'!$F63-1,'Traditional Attrition'!$A$7:$C$161,2,FALSE)*VLOOKUP(K$1,'Attrition Modeling'!$L$15:$N$27,IF(K$2-$F63&lt;=24,2,3),FALSE))*(1+Projection!M$16)*(1+IF(K195&gt;0,'Attrition Modeling'!$N$9,0))),0))</f>
        <v>0</v>
      </c>
      <c r="L63" s="799">
        <f>IF(L$2=$F63+1,Monthly!H$21,IF(L$2&gt;$F63+1,('Traditional Attrition'!K63+L195)*(1-IF(L$2-$F63&lt;=12,SUMIFS('Attrition Modeling'!$D:$D,'Attrition Modeling'!$B:$B,'Traditional Attrition'!$E63,'Attrition Modeling'!$C:$C,'Traditional Attrition'!L$1),VLOOKUP('Traditional Attrition'!L$2-'Traditional Attrition'!$F63-1,'Traditional Attrition'!$A$7:$C$161,2,FALSE)*VLOOKUP(L$1,'Attrition Modeling'!$L$15:$N$27,IF(L$2-$F63&lt;=24,2,3),FALSE))*(1+Projection!N$16)*(1+IF(L195&gt;0,'Attrition Modeling'!$N$9,0))),0))</f>
        <v>0</v>
      </c>
      <c r="M63" s="799">
        <f>IF(M$2=$F63+1,Monthly!I$21,IF(M$2&gt;$F63+1,('Traditional Attrition'!L63+M195)*(1-IF(M$2-$F63&lt;=12,SUMIFS('Attrition Modeling'!$D:$D,'Attrition Modeling'!$B:$B,'Traditional Attrition'!$E63,'Attrition Modeling'!$C:$C,'Traditional Attrition'!M$1),VLOOKUP('Traditional Attrition'!M$2-'Traditional Attrition'!$F63-1,'Traditional Attrition'!$A$7:$C$161,2,FALSE)*VLOOKUP(M$1,'Attrition Modeling'!$L$15:$N$27,IF(M$2-$F63&lt;=24,2,3),FALSE))*(1+Projection!O$16)*(1+IF(M195&gt;0,'Attrition Modeling'!$N$9,0))),0))</f>
        <v>0</v>
      </c>
      <c r="N63" s="799">
        <f>IF(N$2=$F63+1,Monthly!J$21,IF(N$2&gt;$F63+1,('Traditional Attrition'!M63+N195)*(1-IF(N$2-$F63&lt;=12,SUMIFS('Attrition Modeling'!$D:$D,'Attrition Modeling'!$B:$B,'Traditional Attrition'!$E63,'Attrition Modeling'!$C:$C,'Traditional Attrition'!N$1),VLOOKUP('Traditional Attrition'!N$2-'Traditional Attrition'!$F63-1,'Traditional Attrition'!$A$7:$C$161,2,FALSE)*VLOOKUP(N$1,'Attrition Modeling'!$L$15:$N$27,IF(N$2-$F63&lt;=24,2,3),FALSE))*(1+Projection!P$16)*(1+IF(N195&gt;0,'Attrition Modeling'!$N$9,0))),0))</f>
        <v>0</v>
      </c>
      <c r="O63" s="799">
        <f>IF(O$2=$F63+1,Monthly!K$21,IF(O$2&gt;$F63+1,('Traditional Attrition'!N63+O195)*(1-IF(O$2-$F63&lt;=12,SUMIFS('Attrition Modeling'!$D:$D,'Attrition Modeling'!$B:$B,'Traditional Attrition'!$E63,'Attrition Modeling'!$C:$C,'Traditional Attrition'!O$1),VLOOKUP('Traditional Attrition'!O$2-'Traditional Attrition'!$F63-1,'Traditional Attrition'!$A$7:$C$161,2,FALSE)*VLOOKUP(O$1,'Attrition Modeling'!$L$15:$N$27,IF(O$2-$F63&lt;=24,2,3),FALSE))*(1+Projection!Q$16)*(1+IF(O195&gt;0,'Attrition Modeling'!$N$9,0))),0))</f>
        <v>0</v>
      </c>
      <c r="P63" s="799">
        <f>IF(P$2=$F63+1,Monthly!L$21,IF(P$2&gt;$F63+1,('Traditional Attrition'!O63+P195)*(1-IF(P$2-$F63&lt;=12,SUMIFS('Attrition Modeling'!$D:$D,'Attrition Modeling'!$B:$B,'Traditional Attrition'!$E63,'Attrition Modeling'!$C:$C,'Traditional Attrition'!P$1),VLOOKUP('Traditional Attrition'!P$2-'Traditional Attrition'!$F63-1,'Traditional Attrition'!$A$7:$C$161,2,FALSE)*VLOOKUP(P$1,'Attrition Modeling'!$L$15:$N$27,IF(P$2-$F63&lt;=24,2,3),FALSE))*(1+Projection!R$16)*(1+IF(P195&gt;0,'Attrition Modeling'!$N$9,0))),0))</f>
        <v>0</v>
      </c>
      <c r="Q63" s="799">
        <f>IF(Q$2=$F63+1,Monthly!M$21,IF(Q$2&gt;$F63+1,('Traditional Attrition'!P63+Q195)*(1-IF(Q$2-$F63&lt;=12,SUMIFS('Attrition Modeling'!$D:$D,'Attrition Modeling'!$B:$B,'Traditional Attrition'!$E63,'Attrition Modeling'!$C:$C,'Traditional Attrition'!Q$1),VLOOKUP('Traditional Attrition'!Q$2-'Traditional Attrition'!$F63-1,'Traditional Attrition'!$A$7:$C$161,2,FALSE)*VLOOKUP(Q$1,'Attrition Modeling'!$L$15:$N$27,IF(Q$2-$F63&lt;=24,2,3),FALSE))*(1+Projection!S$16)*(1+IF(Q195&gt;0,'Attrition Modeling'!$N$9,0))),0))</f>
        <v>0</v>
      </c>
      <c r="R63" s="799">
        <f>IF(R$2=$F63+1,Monthly!N$21,IF(R$2&gt;$F63+1,('Traditional Attrition'!Q63+R195)*(1-IF(R$2-$F63&lt;=12,SUMIFS('Attrition Modeling'!$D:$D,'Attrition Modeling'!$B:$B,'Traditional Attrition'!$E63,'Attrition Modeling'!$C:$C,'Traditional Attrition'!R$1),VLOOKUP('Traditional Attrition'!R$2-'Traditional Attrition'!$F63-1,'Traditional Attrition'!$A$7:$C$161,2,FALSE)*VLOOKUP(R$1,'Attrition Modeling'!$L$15:$N$27,IF(R$2-$F63&lt;=24,2,3),FALSE))*(1+Projection!T$16)*(1+IF(R195&gt;0,'Attrition Modeling'!$N$9,0))),0))</f>
        <v>0</v>
      </c>
      <c r="S63" s="799">
        <f>IF(S$2=$F63+1,Monthly!O$21,IF(S$2&gt;$F63+1,('Traditional Attrition'!R63+S195)*(1-IF(S$2-$F63&lt;=12,SUMIFS('Attrition Modeling'!$D:$D,'Attrition Modeling'!$B:$B,'Traditional Attrition'!$E63,'Attrition Modeling'!$C:$C,'Traditional Attrition'!S$1),VLOOKUP('Traditional Attrition'!S$2-'Traditional Attrition'!$F63-1,'Traditional Attrition'!$A$7:$C$161,2,FALSE)*VLOOKUP(S$1,'Attrition Modeling'!$L$15:$N$27,IF(S$2-$F63&lt;=24,2,3),FALSE))*(1+Projection!U$16)*(1+IF(S195&gt;0,'Attrition Modeling'!$N$9,0))),0))</f>
        <v>0</v>
      </c>
      <c r="T63" s="799">
        <f>IF(T$2=$F63+1,Monthly!P$21,IF(T$2&gt;$F63+1,('Traditional Attrition'!S63+T195)*(1-IF(T$2-$F63&lt;=12,SUMIFS('Attrition Modeling'!$D:$D,'Attrition Modeling'!$B:$B,'Traditional Attrition'!$E63,'Attrition Modeling'!$C:$C,'Traditional Attrition'!T$1),VLOOKUP('Traditional Attrition'!T$2-'Traditional Attrition'!$F63-1,'Traditional Attrition'!$A$7:$C$161,2,FALSE)*VLOOKUP(T$1,'Attrition Modeling'!$L$15:$N$27,IF(T$2-$F63&lt;=24,2,3),FALSE))*(1+Projection!V$16)*(1+IF(T195&gt;0,'Attrition Modeling'!$N$9,0))),0))</f>
        <v>0</v>
      </c>
      <c r="U63" s="799">
        <f>IF(U$2=$F63+1,Monthly!Q$21,IF(U$2&gt;$F63+1,('Traditional Attrition'!T63+U195)*(1-IF(U$2-$F63&lt;=12,SUMIFS('Attrition Modeling'!$D:$D,'Attrition Modeling'!$B:$B,'Traditional Attrition'!$E63,'Attrition Modeling'!$C:$C,'Traditional Attrition'!U$1),VLOOKUP('Traditional Attrition'!U$2-'Traditional Attrition'!$F63-1,'Traditional Attrition'!$A$7:$C$161,2,FALSE)*VLOOKUP(U$1,'Attrition Modeling'!$L$15:$N$27,IF(U$2-$F63&lt;=24,2,3),FALSE))*(1+Projection!W$16)*(1+IF(U195&gt;0,'Attrition Modeling'!$N$9,0))),0))</f>
        <v>0</v>
      </c>
      <c r="V63" s="799">
        <f>IF(V$2=$F63+1,Monthly!R$21,IF(V$2&gt;$F63+1,('Traditional Attrition'!U63+V195)*(1-IF(V$2-$F63&lt;=12,SUMIFS('Attrition Modeling'!$D:$D,'Attrition Modeling'!$B:$B,'Traditional Attrition'!$E63,'Attrition Modeling'!$C:$C,'Traditional Attrition'!V$1),VLOOKUP('Traditional Attrition'!V$2-'Traditional Attrition'!$F63-1,'Traditional Attrition'!$A$7:$C$161,2,FALSE)*VLOOKUP(V$1,'Attrition Modeling'!$L$15:$N$27,IF(V$2-$F63&lt;=24,2,3),FALSE))*(1+Projection!X$16)*(1+IF(V195&gt;0,'Attrition Modeling'!$N$9,0))),0))</f>
        <v>0</v>
      </c>
      <c r="W63" s="799">
        <f>IF(W$2=$F63+1,Monthly!S$21,IF(W$2&gt;$F63+1,('Traditional Attrition'!V63+W195)*(1-IF(W$2-$F63&lt;=12,SUMIFS('Attrition Modeling'!$D:$D,'Attrition Modeling'!$B:$B,'Traditional Attrition'!$E63,'Attrition Modeling'!$C:$C,'Traditional Attrition'!W$1),VLOOKUP('Traditional Attrition'!W$2-'Traditional Attrition'!$F63-1,'Traditional Attrition'!$A$7:$C$161,2,FALSE)*VLOOKUP(W$1,'Attrition Modeling'!$L$15:$N$27,IF(W$2-$F63&lt;=24,2,3),FALSE))*(1+Projection!Y$16)*(1+IF(W195&gt;0,'Attrition Modeling'!$N$9,0))),0))</f>
        <v>0</v>
      </c>
      <c r="X63" s="799">
        <f>IF(X$2=$F63+1,Monthly!T$21,IF(X$2&gt;$F63+1,('Traditional Attrition'!W63+X195)*(1-IF(X$2-$F63&lt;=12,SUMIFS('Attrition Modeling'!$D:$D,'Attrition Modeling'!$B:$B,'Traditional Attrition'!$E63,'Attrition Modeling'!$C:$C,'Traditional Attrition'!X$1),VLOOKUP('Traditional Attrition'!X$2-'Traditional Attrition'!$F63-1,'Traditional Attrition'!$A$7:$C$161,2,FALSE)*VLOOKUP(X$1,'Attrition Modeling'!$L$15:$N$27,IF(X$2-$F63&lt;=24,2,3),FALSE))*(1+Projection!Z$16)*(1+IF(X195&gt;0,'Attrition Modeling'!$N$9,0))),0))</f>
        <v>0</v>
      </c>
      <c r="Y63" s="799">
        <f>IF(Y$2=$F63+1,Monthly!U$21,IF(Y$2&gt;$F63+1,('Traditional Attrition'!X63+Y195)*(1-IF(Y$2-$F63&lt;=12,SUMIFS('Attrition Modeling'!$D:$D,'Attrition Modeling'!$B:$B,'Traditional Attrition'!$E63,'Attrition Modeling'!$C:$C,'Traditional Attrition'!Y$1),VLOOKUP('Traditional Attrition'!Y$2-'Traditional Attrition'!$F63-1,'Traditional Attrition'!$A$7:$C$161,2,FALSE)*VLOOKUP(Y$1,'Attrition Modeling'!$L$15:$N$27,IF(Y$2-$F63&lt;=24,2,3),FALSE))*(1+Projection!AA$16)*(1+IF(Y195&gt;0,'Attrition Modeling'!$N$9,0))),0))</f>
        <v>0</v>
      </c>
      <c r="Z63" s="799">
        <f>IF(Z$2=$F63+1,Monthly!V$21,IF(Z$2&gt;$F63+1,('Traditional Attrition'!Y63+Z195)*(1-IF(Z$2-$F63&lt;=12,SUMIFS('Attrition Modeling'!$D:$D,'Attrition Modeling'!$B:$B,'Traditional Attrition'!$E63,'Attrition Modeling'!$C:$C,'Traditional Attrition'!Z$1),VLOOKUP('Traditional Attrition'!Z$2-'Traditional Attrition'!$F63-1,'Traditional Attrition'!$A$7:$C$161,2,FALSE)*VLOOKUP(Z$1,'Attrition Modeling'!$L$15:$N$27,IF(Z$2-$F63&lt;=24,2,3),FALSE))*(1+Projection!AB$16)*(1+IF(Z195&gt;0,'Attrition Modeling'!$N$9,0))),0))</f>
        <v>0</v>
      </c>
      <c r="AA63" s="799">
        <f>IF(AA$2=$F63+1,Monthly!W$21,IF(AA$2&gt;$F63+1,('Traditional Attrition'!Z63+AA195)*(1-IF(AA$2-$F63&lt;=12,SUMIFS('Attrition Modeling'!$D:$D,'Attrition Modeling'!$B:$B,'Traditional Attrition'!$E63,'Attrition Modeling'!$C:$C,'Traditional Attrition'!AA$1),VLOOKUP('Traditional Attrition'!AA$2-'Traditional Attrition'!$F63-1,'Traditional Attrition'!$A$7:$C$161,2,FALSE)*VLOOKUP(AA$1,'Attrition Modeling'!$L$15:$N$27,IF(AA$2-$F63&lt;=24,2,3),FALSE))*(1+Projection!AC$16)*(1+IF(AA195&gt;0,'Attrition Modeling'!$N$9,0))),0))</f>
        <v>0</v>
      </c>
      <c r="AB63" s="799">
        <f>IF(AB$2=$F63+1,Monthly!X$21,IF(AB$2&gt;$F63+1,('Traditional Attrition'!AA63+AB195)*(1-IF(AB$2-$F63&lt;=12,SUMIFS('Attrition Modeling'!$D:$D,'Attrition Modeling'!$B:$B,'Traditional Attrition'!$E63,'Attrition Modeling'!$C:$C,'Traditional Attrition'!AB$1),VLOOKUP('Traditional Attrition'!AB$2-'Traditional Attrition'!$F63-1,'Traditional Attrition'!$A$7:$C$161,2,FALSE)*VLOOKUP(AB$1,'Attrition Modeling'!$L$15:$N$27,IF(AB$2-$F63&lt;=24,2,3),FALSE))*(1+Projection!AD$16)*(1+IF(AB195&gt;0,'Attrition Modeling'!$N$9,0))),0))</f>
        <v>0</v>
      </c>
      <c r="AC63" s="799">
        <f>IF(AC$2=$F63+1,Monthly!Y$21,IF(AC$2&gt;$F63+1,('Traditional Attrition'!AB63+AC195)*(1-IF(AC$2-$F63&lt;=12,SUMIFS('Attrition Modeling'!$D:$D,'Attrition Modeling'!$B:$B,'Traditional Attrition'!$E63,'Attrition Modeling'!$C:$C,'Traditional Attrition'!AC$1),VLOOKUP('Traditional Attrition'!AC$2-'Traditional Attrition'!$F63-1,'Traditional Attrition'!$A$7:$C$161,2,FALSE)*VLOOKUP(AC$1,'Attrition Modeling'!$L$15:$N$27,IF(AC$2-$F63&lt;=24,2,3),FALSE))*(1+Projection!AE$16)*(1+IF(AC195&gt;0,'Attrition Modeling'!$N$9,0))),0))</f>
        <v>0</v>
      </c>
      <c r="AD63" s="799">
        <f>IF(AD$2=$F63+1,Monthly!Z$21,IF(AD$2&gt;$F63+1,('Traditional Attrition'!AC63+AD195)*(1-IF(AD$2-$F63&lt;=12,SUMIFS('Attrition Modeling'!$D:$D,'Attrition Modeling'!$B:$B,'Traditional Attrition'!$E63,'Attrition Modeling'!$C:$C,'Traditional Attrition'!AD$1),VLOOKUP('Traditional Attrition'!AD$2-'Traditional Attrition'!$F63-1,'Traditional Attrition'!$A$7:$C$161,2,FALSE)*VLOOKUP(AD$1,'Attrition Modeling'!$L$15:$N$27,IF(AD$2-$F63&lt;=24,2,3),FALSE))*(1+Projection!AF$16)*(1+IF(AD195&gt;0,'Attrition Modeling'!$N$9,0))),0))</f>
        <v>0</v>
      </c>
      <c r="AE63" s="799">
        <f>IF(AE$2=$F63+1,Monthly!AA$21,IF(AE$2&gt;$F63+1,('Traditional Attrition'!AD63+AE195)*(1-IF(AE$2-$F63&lt;=12,SUMIFS('Attrition Modeling'!$D:$D,'Attrition Modeling'!$B:$B,'Traditional Attrition'!$E63,'Attrition Modeling'!$C:$C,'Traditional Attrition'!AE$1),VLOOKUP('Traditional Attrition'!AE$2-'Traditional Attrition'!$F63-1,'Traditional Attrition'!$A$7:$C$161,2,FALSE)*VLOOKUP(AE$1,'Attrition Modeling'!$L$15:$N$27,IF(AE$2-$F63&lt;=24,2,3),FALSE))*(1+Projection!AG$16)*(1+IF(AE195&gt;0,'Attrition Modeling'!$N$9,0))),0))</f>
        <v>0</v>
      </c>
      <c r="AF63" s="799">
        <f>IF(AF$2=$F63+1,Monthly!AB$21,IF(AF$2&gt;$F63+1,('Traditional Attrition'!AE63+AF195)*(1-IF(AF$2-$F63&lt;=12,SUMIFS('Attrition Modeling'!$D:$D,'Attrition Modeling'!$B:$B,'Traditional Attrition'!$E63,'Attrition Modeling'!$C:$C,'Traditional Attrition'!AF$1),VLOOKUP('Traditional Attrition'!AF$2-'Traditional Attrition'!$F63-1,'Traditional Attrition'!$A$7:$C$161,2,FALSE)*VLOOKUP(AF$1,'Attrition Modeling'!$L$15:$N$27,IF(AF$2-$F63&lt;=24,2,3),FALSE))*(1+Projection!AH$16)*(1+IF(AF195&gt;0,'Attrition Modeling'!$N$9,0))),0))</f>
        <v>0</v>
      </c>
      <c r="AG63" s="799">
        <f>IF(AG$2=$F63+1,Monthly!AC$21,IF(AG$2&gt;$F63+1,('Traditional Attrition'!AF63+AG195)*(1-IF(AG$2-$F63&lt;=12,SUMIFS('Attrition Modeling'!$D:$D,'Attrition Modeling'!$B:$B,'Traditional Attrition'!$E63,'Attrition Modeling'!$C:$C,'Traditional Attrition'!AG$1),VLOOKUP('Traditional Attrition'!AG$2-'Traditional Attrition'!$F63-1,'Traditional Attrition'!$A$7:$C$161,2,FALSE)*VLOOKUP(AG$1,'Attrition Modeling'!$L$15:$N$27,IF(AG$2-$F63&lt;=24,2,3),FALSE))*(1+Projection!AI$16)*(1+IF(AG195&gt;0,'Attrition Modeling'!$N$9,0))),0))</f>
        <v>0</v>
      </c>
      <c r="AH63" s="799">
        <f>IF(AH$2=$F63+1,Monthly!AD$21,IF(AH$2&gt;$F63+1,('Traditional Attrition'!AG63+AH195)*(1-IF(AH$2-$F63&lt;=12,SUMIFS('Attrition Modeling'!$D:$D,'Attrition Modeling'!$B:$B,'Traditional Attrition'!$E63,'Attrition Modeling'!$C:$C,'Traditional Attrition'!AH$1),VLOOKUP('Traditional Attrition'!AH$2-'Traditional Attrition'!$F63-1,'Traditional Attrition'!$A$7:$C$161,2,FALSE)*VLOOKUP(AH$1,'Attrition Modeling'!$L$15:$N$27,IF(AH$2-$F63&lt;=24,2,3),FALSE))*(1+Projection!AJ$16)*(1+IF(AH195&gt;0,'Attrition Modeling'!$N$9,0))),0))</f>
        <v>0</v>
      </c>
      <c r="AI63" s="799">
        <f>IF(AI$2=$F63+1,Monthly!AE$21,IF(AI$2&gt;$F63+1,('Traditional Attrition'!AH63+AI195)*(1-IF(AI$2-$F63&lt;=12,SUMIFS('Attrition Modeling'!$D:$D,'Attrition Modeling'!$B:$B,'Traditional Attrition'!$E63,'Attrition Modeling'!$C:$C,'Traditional Attrition'!AI$1),VLOOKUP('Traditional Attrition'!AI$2-'Traditional Attrition'!$F63-1,'Traditional Attrition'!$A$7:$C$161,2,FALSE)*VLOOKUP(AI$1,'Attrition Modeling'!$L$15:$N$27,IF(AI$2-$F63&lt;=24,2,3),FALSE))*(1+Projection!AK$16)*(1+IF(AI195&gt;0,'Attrition Modeling'!$N$9,0))),0))</f>
        <v>0</v>
      </c>
      <c r="AJ63" s="799">
        <f>IF(AJ$2=$F63+1,Monthly!AF$21,IF(AJ$2&gt;$F63+1,('Traditional Attrition'!AI63+AJ195)*(1-IF(AJ$2-$F63&lt;=12,SUMIFS('Attrition Modeling'!$D:$D,'Attrition Modeling'!$B:$B,'Traditional Attrition'!$E63,'Attrition Modeling'!$C:$C,'Traditional Attrition'!AJ$1),VLOOKUP('Traditional Attrition'!AJ$2-'Traditional Attrition'!$F63-1,'Traditional Attrition'!$A$7:$C$161,2,FALSE)*VLOOKUP(AJ$1,'Attrition Modeling'!$L$15:$N$27,IF(AJ$2-$F63&lt;=24,2,3),FALSE))*(1+Projection!AL$16)*(1+IF(AJ195&gt;0,'Attrition Modeling'!$N$9,0))),0))</f>
        <v>0</v>
      </c>
      <c r="AK63" s="799">
        <f>IF(AK$2=$F63+1,Monthly!AG$21,IF(AK$2&gt;$F63+1,('Traditional Attrition'!AJ63+AK195)*(1-IF(AK$2-$F63&lt;=12,SUMIFS('Attrition Modeling'!$D:$D,'Attrition Modeling'!$B:$B,'Traditional Attrition'!$E63,'Attrition Modeling'!$C:$C,'Traditional Attrition'!AK$1),VLOOKUP('Traditional Attrition'!AK$2-'Traditional Attrition'!$F63-1,'Traditional Attrition'!$A$7:$C$161,2,FALSE)*VLOOKUP(AK$1,'Attrition Modeling'!$L$15:$N$27,IF(AK$2-$F63&lt;=24,2,3),FALSE))*(1+Projection!AM$16)*(1+IF(AK195&gt;0,'Attrition Modeling'!$N$9,0))),0))</f>
        <v>0</v>
      </c>
      <c r="AL63" s="799">
        <f>IF(AL$2=$F63+1,Monthly!AH$21,IF(AL$2&gt;$F63+1,('Traditional Attrition'!AK63+AL195)*(1-IF(AL$2-$F63&lt;=12,SUMIFS('Attrition Modeling'!$D:$D,'Attrition Modeling'!$B:$B,'Traditional Attrition'!$E63,'Attrition Modeling'!$C:$C,'Traditional Attrition'!AL$1),VLOOKUP('Traditional Attrition'!AL$2-'Traditional Attrition'!$F63-1,'Traditional Attrition'!$A$7:$C$161,2,FALSE)*VLOOKUP(AL$1,'Attrition Modeling'!$L$15:$N$27,IF(AL$2-$F63&lt;=24,2,3),FALSE))*(1+Projection!AN$16)*(1+IF(AL195&gt;0,'Attrition Modeling'!$N$9,0))),0))</f>
        <v>0</v>
      </c>
      <c r="AM63" s="799">
        <f>IF(AM$2=$F63+1,Monthly!AI$21,IF(AM$2&gt;$F63+1,('Traditional Attrition'!AL63+AM195)*(1-IF(AM$2-$F63&lt;=12,SUMIFS('Attrition Modeling'!$D:$D,'Attrition Modeling'!$B:$B,'Traditional Attrition'!$E63,'Attrition Modeling'!$C:$C,'Traditional Attrition'!AM$1),VLOOKUP('Traditional Attrition'!AM$2-'Traditional Attrition'!$F63-1,'Traditional Attrition'!$A$7:$C$161,2,FALSE)*VLOOKUP(AM$1,'Attrition Modeling'!$L$15:$N$27,IF(AM$2-$F63&lt;=24,2,3),FALSE))*(1+Projection!AO$16)*(1+IF(AM195&gt;0,'Attrition Modeling'!$N$9,0))),0))</f>
        <v>0</v>
      </c>
      <c r="AN63" s="799">
        <f>IF(AN$2=$F63+1,Monthly!AJ$21,IF(AN$2&gt;$F63+1,('Traditional Attrition'!AM63+AN195)*(1-IF(AN$2-$F63&lt;=12,SUMIFS('Attrition Modeling'!$D:$D,'Attrition Modeling'!$B:$B,'Traditional Attrition'!$E63,'Attrition Modeling'!$C:$C,'Traditional Attrition'!AN$1),VLOOKUP('Traditional Attrition'!AN$2-'Traditional Attrition'!$F63-1,'Traditional Attrition'!$A$7:$C$161,2,FALSE)*VLOOKUP(AN$1,'Attrition Modeling'!$L$15:$N$27,IF(AN$2-$F63&lt;=24,2,3),FALSE))*(1+Projection!AP$16)*(1+IF(AN195&gt;0,'Attrition Modeling'!$N$9,0))),0))</f>
        <v>0</v>
      </c>
      <c r="AO63" s="799">
        <f>IF(AO$2=$F63+1,Monthly!AK$21,IF(AO$2&gt;$F63+1,('Traditional Attrition'!AN63+AO195)*(1-IF(AO$2-$F63&lt;=12,SUMIFS('Attrition Modeling'!$D:$D,'Attrition Modeling'!$B:$B,'Traditional Attrition'!$E63,'Attrition Modeling'!$C:$C,'Traditional Attrition'!AO$1),VLOOKUP('Traditional Attrition'!AO$2-'Traditional Attrition'!$F63-1,'Traditional Attrition'!$A$7:$C$161,2,FALSE)*VLOOKUP(AO$1,'Attrition Modeling'!$L$15:$N$27,IF(AO$2-$F63&lt;=24,2,3),FALSE))*(1+Projection!AQ$16)*(1+IF(AO195&gt;0,'Attrition Modeling'!$N$9,0))),0))</f>
        <v>0</v>
      </c>
      <c r="AP63" s="799">
        <f>IF(AP$2=$F63+1,Monthly!AL$21,IF(AP$2&gt;$F63+1,('Traditional Attrition'!AO63+AP195)*(1-IF(AP$2-$F63&lt;=12,SUMIFS('Attrition Modeling'!$D:$D,'Attrition Modeling'!$B:$B,'Traditional Attrition'!$E63,'Attrition Modeling'!$C:$C,'Traditional Attrition'!AP$1),VLOOKUP('Traditional Attrition'!AP$2-'Traditional Attrition'!$F63-1,'Traditional Attrition'!$A$7:$C$161,2,FALSE)*VLOOKUP(AP$1,'Attrition Modeling'!$L$15:$N$27,IF(AP$2-$F63&lt;=24,2,3),FALSE))*(1+Projection!AR$16)*(1+IF(AP195&gt;0,'Attrition Modeling'!$N$9,0))),0))</f>
        <v>0</v>
      </c>
      <c r="AQ63" s="799">
        <f>IF(AQ$2=$F63+1,Monthly!AM$21,IF(AQ$2&gt;$F63+1,('Traditional Attrition'!AP63+AQ195)*(1-IF(AQ$2-$F63&lt;=12,SUMIFS('Attrition Modeling'!$D:$D,'Attrition Modeling'!$B:$B,'Traditional Attrition'!$E63,'Attrition Modeling'!$C:$C,'Traditional Attrition'!AQ$1),VLOOKUP('Traditional Attrition'!AQ$2-'Traditional Attrition'!$F63-1,'Traditional Attrition'!$A$7:$C$161,2,FALSE)*VLOOKUP(AQ$1,'Attrition Modeling'!$L$15:$N$27,IF(AQ$2-$F63&lt;=24,2,3),FALSE))*(1+Projection!AS$16)*(1+IF(AQ195&gt;0,'Attrition Modeling'!$N$9,0))),0))</f>
        <v>0</v>
      </c>
      <c r="AR63" s="799">
        <f>IF(AR$2=$F63+1,Monthly!AN$21,IF(AR$2&gt;$F63+1,('Traditional Attrition'!AQ63+AR195)*(1-IF(AR$2-$F63&lt;=12,SUMIFS('Attrition Modeling'!$D:$D,'Attrition Modeling'!$B:$B,'Traditional Attrition'!$E63,'Attrition Modeling'!$C:$C,'Traditional Attrition'!AR$1),VLOOKUP('Traditional Attrition'!AR$2-'Traditional Attrition'!$F63-1,'Traditional Attrition'!$A$7:$C$161,2,FALSE)*VLOOKUP(AR$1,'Attrition Modeling'!$L$15:$N$27,IF(AR$2-$F63&lt;=24,2,3),FALSE))*(1+Projection!AT$16)*(1+IF(AR195&gt;0,'Attrition Modeling'!$N$9,0))),0))</f>
        <v>0</v>
      </c>
      <c r="AS63" s="799">
        <f>IF(AS$2=$F63+1,Monthly!AO$21,IF(AS$2&gt;$F63+1,('Traditional Attrition'!AR63+AS195)*(1-IF(AS$2-$F63&lt;=12,SUMIFS('Attrition Modeling'!$D:$D,'Attrition Modeling'!$B:$B,'Traditional Attrition'!$E63,'Attrition Modeling'!$C:$C,'Traditional Attrition'!AS$1),VLOOKUP('Traditional Attrition'!AS$2-'Traditional Attrition'!$F63-1,'Traditional Attrition'!$A$7:$C$161,2,FALSE)*VLOOKUP(AS$1,'Attrition Modeling'!$L$15:$N$27,IF(AS$2-$F63&lt;=24,2,3),FALSE))*(1+Projection!AU$16)*(1+IF(AS195&gt;0,'Attrition Modeling'!$N$9,0))),0))</f>
        <v>0</v>
      </c>
      <c r="AT63" s="799">
        <f>IF(AT$2=$F63+1,Monthly!AP$21,IF(AT$2&gt;$F63+1,('Traditional Attrition'!AS63+AT195)*(1-IF(AT$2-$F63&lt;=12,SUMIFS('Attrition Modeling'!$D:$D,'Attrition Modeling'!$B:$B,'Traditional Attrition'!$E63,'Attrition Modeling'!$C:$C,'Traditional Attrition'!AT$1),VLOOKUP('Traditional Attrition'!AT$2-'Traditional Attrition'!$F63-1,'Traditional Attrition'!$A$7:$C$161,2,FALSE)*VLOOKUP(AT$1,'Attrition Modeling'!$L$15:$N$27,IF(AT$2-$F63&lt;=24,2,3),FALSE))*(1+Projection!AV$16)*(1+IF(AT195&gt;0,'Attrition Modeling'!$N$9,0))),0))</f>
        <v>0</v>
      </c>
      <c r="AU63" s="799">
        <f>IF(AU$2=$F63+1,Monthly!AQ$21,IF(AU$2&gt;$F63+1,('Traditional Attrition'!AT63+AU195)*(1-IF(AU$2-$F63&lt;=12,SUMIFS('Attrition Modeling'!$D:$D,'Attrition Modeling'!$B:$B,'Traditional Attrition'!$E63,'Attrition Modeling'!$C:$C,'Traditional Attrition'!AU$1),VLOOKUP('Traditional Attrition'!AU$2-'Traditional Attrition'!$F63-1,'Traditional Attrition'!$A$7:$C$161,2,FALSE)*VLOOKUP(AU$1,'Attrition Modeling'!$L$15:$N$27,IF(AU$2-$F63&lt;=24,2,3),FALSE))*(1+Projection!AW$16)*(1+IF(AU195&gt;0,'Attrition Modeling'!$N$9,0))),0))</f>
        <v>0</v>
      </c>
      <c r="AV63" s="799">
        <f>IF(AV$2=$F63+1,Monthly!AR$21,IF(AV$2&gt;$F63+1,('Traditional Attrition'!AU63+AV195)*(1-IF(AV$2-$F63&lt;=12,SUMIFS('Attrition Modeling'!$D:$D,'Attrition Modeling'!$B:$B,'Traditional Attrition'!$E63,'Attrition Modeling'!$C:$C,'Traditional Attrition'!AV$1),VLOOKUP('Traditional Attrition'!AV$2-'Traditional Attrition'!$F63-1,'Traditional Attrition'!$A$7:$C$161,2,FALSE)*VLOOKUP(AV$1,'Attrition Modeling'!$L$15:$N$27,IF(AV$2-$F63&lt;=24,2,3),FALSE))*(1+Projection!AX$16)*(1+IF(AV195&gt;0,'Attrition Modeling'!$N$9,0))),0))</f>
        <v>0</v>
      </c>
      <c r="AW63" s="799">
        <f>IF(AW$2=$F63+1,Monthly!AS$21,IF(AW$2&gt;$F63+1,('Traditional Attrition'!AV63+AW195)*(1-IF(AW$2-$F63&lt;=12,SUMIFS('Attrition Modeling'!$D:$D,'Attrition Modeling'!$B:$B,'Traditional Attrition'!$E63,'Attrition Modeling'!$C:$C,'Traditional Attrition'!AW$1),VLOOKUP('Traditional Attrition'!AW$2-'Traditional Attrition'!$F63-1,'Traditional Attrition'!$A$7:$C$161,2,FALSE)*VLOOKUP(AW$1,'Attrition Modeling'!$L$15:$N$27,IF(AW$2-$F63&lt;=24,2,3),FALSE))*(1+Projection!AY$16)*(1+IF(AW195&gt;0,'Attrition Modeling'!$N$9,0))),0))</f>
        <v>0</v>
      </c>
      <c r="AX63" s="799">
        <f>IF(AX$2=$F63+1,Monthly!AT$21,IF(AX$2&gt;$F63+1,('Traditional Attrition'!AW63+AX195)*(1-IF(AX$2-$F63&lt;=12,SUMIFS('Attrition Modeling'!$D:$D,'Attrition Modeling'!$B:$B,'Traditional Attrition'!$E63,'Attrition Modeling'!$C:$C,'Traditional Attrition'!AX$1),VLOOKUP('Traditional Attrition'!AX$2-'Traditional Attrition'!$F63-1,'Traditional Attrition'!$A$7:$C$161,2,FALSE)*VLOOKUP(AX$1,'Attrition Modeling'!$L$15:$N$27,IF(AX$2-$F63&lt;=24,2,3),FALSE))*(1+Projection!AZ$16)*(1+IF(AX195&gt;0,'Attrition Modeling'!$N$9,0))),0))</f>
        <v>0</v>
      </c>
      <c r="AY63" s="799">
        <f>IF(AY$2=$F63+1,Monthly!AU$21,IF(AY$2&gt;$F63+1,('Traditional Attrition'!AX63+AY195)*(1-IF(AY$2-$F63&lt;=12,SUMIFS('Attrition Modeling'!$D:$D,'Attrition Modeling'!$B:$B,'Traditional Attrition'!$E63,'Attrition Modeling'!$C:$C,'Traditional Attrition'!AY$1),VLOOKUP('Traditional Attrition'!AY$2-'Traditional Attrition'!$F63-1,'Traditional Attrition'!$A$7:$C$161,2,FALSE)*VLOOKUP(AY$1,'Attrition Modeling'!$L$15:$N$27,IF(AY$2-$F63&lt;=24,2,3),FALSE))*(1+Projection!BA$16)*(1+IF(AY195&gt;0,'Attrition Modeling'!$N$9,0))),0))</f>
        <v>0</v>
      </c>
      <c r="AZ63" s="799">
        <f>IF(AZ$2=$F63+1,Monthly!AV$21,IF(AZ$2&gt;$F63+1,('Traditional Attrition'!AY63+AZ195)*(1-IF(AZ$2-$F63&lt;=12,SUMIFS('Attrition Modeling'!$D:$D,'Attrition Modeling'!$B:$B,'Traditional Attrition'!$E63,'Attrition Modeling'!$C:$C,'Traditional Attrition'!AZ$1),VLOOKUP('Traditional Attrition'!AZ$2-'Traditional Attrition'!$F63-1,'Traditional Attrition'!$A$7:$C$161,2,FALSE)*VLOOKUP(AZ$1,'Attrition Modeling'!$L$15:$N$27,IF(AZ$2-$F63&lt;=24,2,3),FALSE))*(1+Projection!BB$16)*(1+IF(AZ195&gt;0,'Attrition Modeling'!$N$9,0))),0))</f>
        <v>0</v>
      </c>
      <c r="BA63" s="799">
        <f>IF(BA$2=$F63+1,Monthly!AW$21,IF(BA$2&gt;$F63+1,('Traditional Attrition'!AZ63+BA195)*(1-IF(BA$2-$F63&lt;=12,SUMIFS('Attrition Modeling'!$D:$D,'Attrition Modeling'!$B:$B,'Traditional Attrition'!$E63,'Attrition Modeling'!$C:$C,'Traditional Attrition'!BA$1),VLOOKUP('Traditional Attrition'!BA$2-'Traditional Attrition'!$F63-1,'Traditional Attrition'!$A$7:$C$161,2,FALSE)*VLOOKUP(BA$1,'Attrition Modeling'!$L$15:$N$27,IF(BA$2-$F63&lt;=24,2,3),FALSE))*(1+Projection!BC$16)*(1+IF(BA195&gt;0,'Attrition Modeling'!$N$9,0))),0))</f>
        <v>0</v>
      </c>
      <c r="BB63" s="799">
        <f>IF(BB$2=$F63+1,Monthly!AX$21,IF(BB$2&gt;$F63+1,('Traditional Attrition'!BA63+BB195)*(1-IF(BB$2-$F63&lt;=12,SUMIFS('Attrition Modeling'!$D:$D,'Attrition Modeling'!$B:$B,'Traditional Attrition'!$E63,'Attrition Modeling'!$C:$C,'Traditional Attrition'!BB$1),VLOOKUP('Traditional Attrition'!BB$2-'Traditional Attrition'!$F63-1,'Traditional Attrition'!$A$7:$C$161,2,FALSE)*VLOOKUP(BB$1,'Attrition Modeling'!$L$15:$N$27,IF(BB$2-$F63&lt;=24,2,3),FALSE))*(1+Projection!BD$16)*(1+IF(BB195&gt;0,'Attrition Modeling'!$N$9,0))),0))</f>
        <v>0</v>
      </c>
      <c r="BC63" s="799">
        <f>IF(BC$2=$F63+1,Monthly!AY$21,IF(BC$2&gt;$F63+1,('Traditional Attrition'!BB63+BC195)*(1-IF(BC$2-$F63&lt;=12,SUMIFS('Attrition Modeling'!$D:$D,'Attrition Modeling'!$B:$B,'Traditional Attrition'!$E63,'Attrition Modeling'!$C:$C,'Traditional Attrition'!BC$1),VLOOKUP('Traditional Attrition'!BC$2-'Traditional Attrition'!$F63-1,'Traditional Attrition'!$A$7:$C$161,2,FALSE)*VLOOKUP(BC$1,'Attrition Modeling'!$L$15:$N$27,IF(BC$2-$F63&lt;=24,2,3),FALSE))*(1+Projection!BE$16)*(1+IF(BC195&gt;0,'Attrition Modeling'!$N$9,0))),0))</f>
        <v>0</v>
      </c>
      <c r="BD63" s="799">
        <f>IF(BD$2=$F63+1,Monthly!AZ$21,IF(BD$2&gt;$F63+1,('Traditional Attrition'!BC63+BD195)*(1-IF(BD$2-$F63&lt;=12,SUMIFS('Attrition Modeling'!$D:$D,'Attrition Modeling'!$B:$B,'Traditional Attrition'!$E63,'Attrition Modeling'!$C:$C,'Traditional Attrition'!BD$1),VLOOKUP('Traditional Attrition'!BD$2-'Traditional Attrition'!$F63-1,'Traditional Attrition'!$A$7:$C$161,2,FALSE)*VLOOKUP(BD$1,'Attrition Modeling'!$L$15:$N$27,IF(BD$2-$F63&lt;=24,2,3),FALSE))*(1+Projection!BF$16)*(1+IF(BD195&gt;0,'Attrition Modeling'!$N$9,0))),0))</f>
        <v>0</v>
      </c>
      <c r="BE63" s="799">
        <f>IF(BE$2=$F63+1,Monthly!BA$21,IF(BE$2&gt;$F63+1,('Traditional Attrition'!BD63+BE195)*(1-IF(BE$2-$F63&lt;=12,SUMIFS('Attrition Modeling'!$D:$D,'Attrition Modeling'!$B:$B,'Traditional Attrition'!$E63,'Attrition Modeling'!$C:$C,'Traditional Attrition'!BE$1),VLOOKUP('Traditional Attrition'!BE$2-'Traditional Attrition'!$F63-1,'Traditional Attrition'!$A$7:$C$161,2,FALSE)*VLOOKUP(BE$1,'Attrition Modeling'!$L$15:$N$27,IF(BE$2-$F63&lt;=24,2,3),FALSE))*(1+Projection!BG$16)*(1+IF(BE195&gt;0,'Attrition Modeling'!$N$9,0))),0))</f>
        <v>0</v>
      </c>
      <c r="BF63" s="799">
        <f>IF(BF$2=$F63+1,Monthly!BB$21,IF(BF$2&gt;$F63+1,('Traditional Attrition'!BE63+BF195)*(1-IF(BF$2-$F63&lt;=12,SUMIFS('Attrition Modeling'!$D:$D,'Attrition Modeling'!$B:$B,'Traditional Attrition'!$E63,'Attrition Modeling'!$C:$C,'Traditional Attrition'!BF$1),VLOOKUP('Traditional Attrition'!BF$2-'Traditional Attrition'!$F63-1,'Traditional Attrition'!$A$7:$C$161,2,FALSE)*VLOOKUP(BF$1,'Attrition Modeling'!$L$15:$N$27,IF(BF$2-$F63&lt;=24,2,3),FALSE))*(1+Projection!BH$16)*(1+IF(BF195&gt;0,'Attrition Modeling'!$N$9,0))),0))</f>
        <v>0</v>
      </c>
      <c r="BG63" s="799">
        <f>IF(BG$2=$F63+1,Monthly!BC$21,IF(BG$2&gt;$F63+1,('Traditional Attrition'!BF63+BG195)*(1-IF(BG$2-$F63&lt;=12,SUMIFS('Attrition Modeling'!$D:$D,'Attrition Modeling'!$B:$B,'Traditional Attrition'!$E63,'Attrition Modeling'!$C:$C,'Traditional Attrition'!BG$1),VLOOKUP('Traditional Attrition'!BG$2-'Traditional Attrition'!$F63-1,'Traditional Attrition'!$A$7:$C$161,2,FALSE)*VLOOKUP(BG$1,'Attrition Modeling'!$L$15:$N$27,IF(BG$2-$F63&lt;=24,2,3),FALSE))*(1+Projection!BI$16)*(1+IF(BG195&gt;0,'Attrition Modeling'!$N$9,0))),0))</f>
        <v>0</v>
      </c>
      <c r="BH63" s="799">
        <f>IF(BH$2=$F63+1,Monthly!BD$21,IF(BH$2&gt;$F63+1,('Traditional Attrition'!BG63+BH195)*(1-IF(BH$2-$F63&lt;=12,SUMIFS('Attrition Modeling'!$D:$D,'Attrition Modeling'!$B:$B,'Traditional Attrition'!$E63,'Attrition Modeling'!$C:$C,'Traditional Attrition'!BH$1),VLOOKUP('Traditional Attrition'!BH$2-'Traditional Attrition'!$F63-1,'Traditional Attrition'!$A$7:$C$161,2,FALSE)*VLOOKUP(BH$1,'Attrition Modeling'!$L$15:$N$27,IF(BH$2-$F63&lt;=24,2,3),FALSE))*(1+Projection!BJ$16)*(1+IF(BH195&gt;0,'Attrition Modeling'!$N$9,0))),0))</f>
        <v>0</v>
      </c>
      <c r="BI63" s="799">
        <f>IF(BI$2=$F63+1,Monthly!BE$21,IF(BI$2&gt;$F63+1,('Traditional Attrition'!BH63+BI195)*(1-IF(BI$2-$F63&lt;=12,SUMIFS('Attrition Modeling'!$D:$D,'Attrition Modeling'!$B:$B,'Traditional Attrition'!$E63,'Attrition Modeling'!$C:$C,'Traditional Attrition'!BI$1),VLOOKUP('Traditional Attrition'!BI$2-'Traditional Attrition'!$F63-1,'Traditional Attrition'!$A$7:$C$161,2,FALSE)*VLOOKUP(BI$1,'Attrition Modeling'!$L$15:$N$27,IF(BI$2-$F63&lt;=24,2,3),FALSE))*(1+Projection!BK$16)*(1+IF(BI195&gt;0,'Attrition Modeling'!$N$9,0))),0))</f>
        <v>0</v>
      </c>
      <c r="BJ63" s="799">
        <f>IF(BJ$2=$F63+1,Monthly!BF$21,IF(BJ$2&gt;$F63+1,('Traditional Attrition'!BI63+BJ195)*(1-IF(BJ$2-$F63&lt;=12,SUMIFS('Attrition Modeling'!$D:$D,'Attrition Modeling'!$B:$B,'Traditional Attrition'!$E63,'Attrition Modeling'!$C:$C,'Traditional Attrition'!BJ$1),VLOOKUP('Traditional Attrition'!BJ$2-'Traditional Attrition'!$F63-1,'Traditional Attrition'!$A$7:$C$161,2,FALSE)*VLOOKUP(BJ$1,'Attrition Modeling'!$L$15:$N$27,IF(BJ$2-$F63&lt;=24,2,3),FALSE))*(1+Projection!BL$16)*(1+IF(BJ195&gt;0,'Attrition Modeling'!$N$9,0))),0))</f>
        <v>0</v>
      </c>
      <c r="BK63" s="799">
        <f>IF(BK$2=$F63+1,Monthly!BG$21,IF(BK$2&gt;$F63+1,('Traditional Attrition'!BJ63+BK195)*(1-IF(BK$2-$F63&lt;=12,SUMIFS('Attrition Modeling'!$D:$D,'Attrition Modeling'!$B:$B,'Traditional Attrition'!$E63,'Attrition Modeling'!$C:$C,'Traditional Attrition'!BK$1),VLOOKUP('Traditional Attrition'!BK$2-'Traditional Attrition'!$F63-1,'Traditional Attrition'!$A$7:$C$161,2,FALSE)*VLOOKUP(BK$1,'Attrition Modeling'!$L$15:$N$27,IF(BK$2-$F63&lt;=24,2,3),FALSE))*(1+Projection!BM$16)*(1+IF(BK195&gt;0,'Attrition Modeling'!$N$9,0))),0))</f>
        <v>0</v>
      </c>
      <c r="BL63" s="799">
        <f>IF(BL$2=$F63+1,Monthly!BH$21,IF(BL$2&gt;$F63+1,('Traditional Attrition'!BK63+BL195)*(1-IF(BL$2-$F63&lt;=12,SUMIFS('Attrition Modeling'!$D:$D,'Attrition Modeling'!$B:$B,'Traditional Attrition'!$E63,'Attrition Modeling'!$C:$C,'Traditional Attrition'!BL$1),VLOOKUP('Traditional Attrition'!BL$2-'Traditional Attrition'!$F63-1,'Traditional Attrition'!$A$7:$C$161,2,FALSE)*VLOOKUP(BL$1,'Attrition Modeling'!$L$15:$N$27,IF(BL$2-$F63&lt;=24,2,3),FALSE))*(1+Projection!BN$16)*(1+IF(BL195&gt;0,'Attrition Modeling'!$N$9,0))),0))</f>
        <v>0</v>
      </c>
      <c r="BM63" s="799">
        <f>IF(BM$2=$F63+1,Monthly!BI$21,IF(BM$2&gt;$F63+1,('Traditional Attrition'!BL63+BM195)*(1-IF(BM$2-$F63&lt;=12,SUMIFS('Attrition Modeling'!$D:$D,'Attrition Modeling'!$B:$B,'Traditional Attrition'!$E63,'Attrition Modeling'!$C:$C,'Traditional Attrition'!BM$1),VLOOKUP('Traditional Attrition'!BM$2-'Traditional Attrition'!$F63-1,'Traditional Attrition'!$A$7:$C$161,2,FALSE)*VLOOKUP(BM$1,'Attrition Modeling'!$L$15:$N$27,IF(BM$2-$F63&lt;=24,2,3),FALSE))*(1+Projection!BO$16)*(1+IF(BM195&gt;0,'Attrition Modeling'!$N$9,0))),0))</f>
        <v>0</v>
      </c>
      <c r="BN63" s="799">
        <f>IF(BN$2=$F63+1,Monthly!BJ$21,IF(BN$2&gt;$F63+1,('Traditional Attrition'!BM63+BN195)*(1-IF(BN$2-$F63&lt;=12,SUMIFS('Attrition Modeling'!$D:$D,'Attrition Modeling'!$B:$B,'Traditional Attrition'!$E63,'Attrition Modeling'!$C:$C,'Traditional Attrition'!BN$1),VLOOKUP('Traditional Attrition'!BN$2-'Traditional Attrition'!$F63-1,'Traditional Attrition'!$A$7:$C$161,2,FALSE)*VLOOKUP(BN$1,'Attrition Modeling'!$L$15:$N$27,IF(BN$2-$F63&lt;=24,2,3),FALSE))*(1+Projection!BP$16)*(1+IF(BN195&gt;0,'Attrition Modeling'!$N$9,0))),0))</f>
        <v>0</v>
      </c>
      <c r="BO63" s="799">
        <f>IF(BO$2=$F63+1,Monthly!BK$21,IF(BO$2&gt;$F63+1,('Traditional Attrition'!BN63+BO195)*(1-IF(BO$2-$F63&lt;=12,SUMIFS('Attrition Modeling'!$D:$D,'Attrition Modeling'!$B:$B,'Traditional Attrition'!$E63,'Attrition Modeling'!$C:$C,'Traditional Attrition'!BO$1),VLOOKUP('Traditional Attrition'!BO$2-'Traditional Attrition'!$F63-1,'Traditional Attrition'!$A$7:$C$161,2,FALSE)*VLOOKUP(BO$1,'Attrition Modeling'!$L$15:$N$27,IF(BO$2-$F63&lt;=24,2,3),FALSE))*(1+Projection!BV$16)*(1+IF(BO195&gt;0,'Attrition Modeling'!$N$9,0))),0))</f>
        <v>0</v>
      </c>
      <c r="BP63" s="799">
        <f>IF(BP$2=$F63+1,Monthly!BL$21,IF(BP$2&gt;$F63+1,('Traditional Attrition'!BO63+BP195)*(1-IF(BP$2-$F63&lt;=12,SUMIFS('Attrition Modeling'!$D:$D,'Attrition Modeling'!$B:$B,'Traditional Attrition'!$E63,'Attrition Modeling'!$C:$C,'Traditional Attrition'!BP$1),VLOOKUP('Traditional Attrition'!BP$2-'Traditional Attrition'!$F63-1,'Traditional Attrition'!$A$7:$C$161,2,FALSE)*VLOOKUP(BP$1,'Attrition Modeling'!$L$15:$N$27,IF(BP$2-$F63&lt;=24,2,3),FALSE))*(1+Projection!BW$16)*(1+IF(BP195&gt;0,'Attrition Modeling'!$N$9,0))),0))</f>
        <v>8246.3818697295119</v>
      </c>
      <c r="BQ63" s="799">
        <f>IF(BQ$2=$F63+1,Monthly!BM$21,IF(BQ$2&gt;$F63+1,('Traditional Attrition'!BP63+BQ195)*(1-IF(BQ$2-$F63&lt;=12,SUMIFS('Attrition Modeling'!$D:$D,'Attrition Modeling'!$B:$B,'Traditional Attrition'!$E63,'Attrition Modeling'!$C:$C,'Traditional Attrition'!BQ$1),VLOOKUP('Traditional Attrition'!BQ$2-'Traditional Attrition'!$F63-1,'Traditional Attrition'!$A$7:$C$161,2,FALSE)*VLOOKUP(BQ$1,'Attrition Modeling'!$L$15:$N$27,IF(BQ$2-$F63&lt;=24,2,3),FALSE))*(1+Projection!BX$16)*(1+IF(BQ195&gt;0,'Attrition Modeling'!$N$9,0))),0))</f>
        <v>7463.3735624942419</v>
      </c>
      <c r="BR63" s="799">
        <f>IF(BR$2=$F63+1,Monthly!BN$21,IF(BR$2&gt;$F63+1,('Traditional Attrition'!BQ63+BR195)*(1-IF(BR$2-$F63&lt;=12,SUMIFS('Attrition Modeling'!$D:$D,'Attrition Modeling'!$B:$B,'Traditional Attrition'!$E63,'Attrition Modeling'!$C:$C,'Traditional Attrition'!BR$1),VLOOKUP('Traditional Attrition'!BR$2-'Traditional Attrition'!$F63-1,'Traditional Attrition'!$A$7:$C$161,2,FALSE)*VLOOKUP(BR$1,'Attrition Modeling'!$L$15:$N$27,IF(BR$2-$F63&lt;=24,2,3),FALSE))*(1+Projection!BY$16)*(1+IF(BR195&gt;0,'Attrition Modeling'!$N$9,0))),0))</f>
        <v>6816.60104272033</v>
      </c>
      <c r="BS63" s="799">
        <f>IF(BS$2=$F63+1,Monthly!BO$21,IF(BS$2&gt;$F63+1,('Traditional Attrition'!BR63+BS195)*(1-IF(BS$2-$F63&lt;=12,SUMIFS('Attrition Modeling'!$D:$D,'Attrition Modeling'!$B:$B,'Traditional Attrition'!$E63,'Attrition Modeling'!$C:$C,'Traditional Attrition'!BS$1),VLOOKUP('Traditional Attrition'!BS$2-'Traditional Attrition'!$F63-1,'Traditional Attrition'!$A$7:$C$161,2,FALSE)*VLOOKUP(BS$1,'Attrition Modeling'!$L$15:$N$27,IF(BS$2-$F63&lt;=24,2,3),FALSE))*(1+Projection!BZ$16)*(1+IF(BS195&gt;0,'Attrition Modeling'!$N$9,0))),0))</f>
        <v>6207.2959547142837</v>
      </c>
      <c r="BT63" s="799">
        <f>IF(BT$2=$F63+1,Monthly!#REF!,IF(BT$2&gt;$F63+1,('Traditional Attrition'!BS63+BT195)*(1-IF(BT$2-$F63&lt;=12,SUMIFS('Attrition Modeling'!$D:$D,'Attrition Modeling'!$B:$B,'Traditional Attrition'!$E63,'Attrition Modeling'!$C:$C,'Traditional Attrition'!BT$1),VLOOKUP('Traditional Attrition'!BT$2-'Traditional Attrition'!$F63-1,'Traditional Attrition'!$A$7:$C$161,2,FALSE)*VLOOKUP(BT$1,'Attrition Modeling'!$L$15:$N$27,IF(BT$2-$F63&lt;=24,2,3),FALSE))*(1+Projection!CA$16)*(1+IF(BT195&gt;0,'Attrition Modeling'!$N$9,0))),0))</f>
        <v>5678.1534592306753</v>
      </c>
      <c r="BU63" s="799">
        <f>IF(BU$2=$F63+1,Monthly!#REF!,IF(BU$2&gt;$F63+1,('Traditional Attrition'!BT63+BU195)*(1-IF(BU$2-$F63&lt;=12,SUMIFS('Attrition Modeling'!$D:$D,'Attrition Modeling'!$B:$B,'Traditional Attrition'!$E63,'Attrition Modeling'!$C:$C,'Traditional Attrition'!BU$1),VLOOKUP('Traditional Attrition'!BU$2-'Traditional Attrition'!$F63-1,'Traditional Attrition'!$A$7:$C$161,2,FALSE)*VLOOKUP(BU$1,'Attrition Modeling'!$L$15:$N$27,IF(BU$2-$F63&lt;=24,2,3),FALSE))*(1+Projection!CB$16)*(1+IF(BU195&gt;0,'Attrition Modeling'!$N$9,0))),0))</f>
        <v>5659.7928674753366</v>
      </c>
    </row>
    <row r="64" spans="1:73" ht="14.25" customHeight="1" x14ac:dyDescent="0.2">
      <c r="A64" s="9">
        <v>57</v>
      </c>
      <c r="B64" s="25">
        <f>MAX('Attrition Modeling'!H61,$C$3)*(1-Summary!$C$20)</f>
        <v>2.2982827992432273E-2</v>
      </c>
      <c r="C64" s="24" t="e">
        <f t="shared" si="4"/>
        <v>#DIV/0!</v>
      </c>
      <c r="F64" s="802" t="s">
        <v>697</v>
      </c>
      <c r="G64" s="803"/>
      <c r="H64" s="804">
        <f t="shared" ref="H64:BU64" si="5">SUMIF(G3:G63,"&gt;0",H3:H63)-SUM(G3:G63)-H196</f>
        <v>0</v>
      </c>
      <c r="I64" s="804">
        <f t="shared" si="5"/>
        <v>0</v>
      </c>
      <c r="J64" s="804">
        <f t="shared" si="5"/>
        <v>-349.25697864539779</v>
      </c>
      <c r="K64" s="804">
        <f t="shared" si="5"/>
        <v>-766.34323425651019</v>
      </c>
      <c r="L64" s="804">
        <f t="shared" si="5"/>
        <v>-1220.3535403575497</v>
      </c>
      <c r="M64" s="804">
        <f t="shared" si="5"/>
        <v>-2035.24264698251</v>
      </c>
      <c r="N64" s="804">
        <f t="shared" si="5"/>
        <v>-2825.4601780747989</v>
      </c>
      <c r="O64" s="804">
        <f t="shared" si="5"/>
        <v>-3931.7865927217777</v>
      </c>
      <c r="P64" s="804">
        <f t="shared" si="5"/>
        <v>-3992.62685693091</v>
      </c>
      <c r="Q64" s="804">
        <f t="shared" si="5"/>
        <v>-4142.6035312140712</v>
      </c>
      <c r="R64" s="804">
        <f t="shared" si="5"/>
        <v>-4300.9614113376556</v>
      </c>
      <c r="S64" s="804">
        <f t="shared" si="5"/>
        <v>-4370.8471044398166</v>
      </c>
      <c r="T64" s="804">
        <f t="shared" si="5"/>
        <v>-4312.9753719199289</v>
      </c>
      <c r="U64" s="804">
        <f t="shared" si="5"/>
        <v>-4346.6059539140088</v>
      </c>
      <c r="V64" s="804">
        <f t="shared" si="5"/>
        <v>-5016.1113045890233</v>
      </c>
      <c r="W64" s="804">
        <f t="shared" si="5"/>
        <v>-5228.5069498652992</v>
      </c>
      <c r="X64" s="804">
        <f t="shared" si="5"/>
        <v>-5696.0839780713186</v>
      </c>
      <c r="Y64" s="804">
        <f t="shared" si="5"/>
        <v>-6666.8797215685354</v>
      </c>
      <c r="Z64" s="804">
        <f t="shared" si="5"/>
        <v>-7577.4555830587797</v>
      </c>
      <c r="AA64" s="804">
        <f t="shared" si="5"/>
        <v>-9156.158287295988</v>
      </c>
      <c r="AB64" s="804">
        <f t="shared" si="5"/>
        <v>-8898.0534562128141</v>
      </c>
      <c r="AC64" s="804">
        <f t="shared" si="5"/>
        <v>-8955.8803856304876</v>
      </c>
      <c r="AD64" s="804">
        <f t="shared" si="5"/>
        <v>-8939.3223354315487</v>
      </c>
      <c r="AE64" s="804">
        <f t="shared" si="5"/>
        <v>-8891.2554055872788</v>
      </c>
      <c r="AF64" s="804">
        <f t="shared" si="5"/>
        <v>-8398.5264114591191</v>
      </c>
      <c r="AG64" s="804">
        <f t="shared" si="5"/>
        <v>-8046.3621540770473</v>
      </c>
      <c r="AH64" s="804">
        <f t="shared" si="5"/>
        <v>-8930.6591350978797</v>
      </c>
      <c r="AI64" s="804">
        <f t="shared" si="5"/>
        <v>-8826.8251083825598</v>
      </c>
      <c r="AJ64" s="804">
        <f t="shared" si="5"/>
        <v>-9183.7387851701515</v>
      </c>
      <c r="AK64" s="804">
        <f t="shared" si="5"/>
        <v>-10027.013901940381</v>
      </c>
      <c r="AL64" s="804">
        <f t="shared" si="5"/>
        <v>-10859.849624505287</v>
      </c>
      <c r="AM64" s="804">
        <f t="shared" si="5"/>
        <v>-12475.308176504694</v>
      </c>
      <c r="AN64" s="804">
        <f t="shared" si="5"/>
        <v>-11906.623776795823</v>
      </c>
      <c r="AO64" s="804">
        <f t="shared" si="5"/>
        <v>-11811.090743636483</v>
      </c>
      <c r="AP64" s="804">
        <f t="shared" si="5"/>
        <v>-11576.224028348248</v>
      </c>
      <c r="AQ64" s="804">
        <f t="shared" si="5"/>
        <v>-11267.384226718501</v>
      </c>
      <c r="AR64" s="804">
        <f t="shared" si="5"/>
        <v>-10704.869329757465</v>
      </c>
      <c r="AS64" s="804">
        <f t="shared" si="5"/>
        <v>-9771.9529340132667</v>
      </c>
      <c r="AT64" s="804">
        <f t="shared" si="5"/>
        <v>-10529.040829587912</v>
      </c>
      <c r="AU64" s="804">
        <f t="shared" si="5"/>
        <v>-9974.8263735268702</v>
      </c>
      <c r="AV64" s="804">
        <f t="shared" si="5"/>
        <v>-10196.022379566184</v>
      </c>
      <c r="AW64" s="804">
        <f t="shared" si="5"/>
        <v>-10789.478206248157</v>
      </c>
      <c r="AX64" s="804">
        <f t="shared" si="5"/>
        <v>-11357.424120843036</v>
      </c>
      <c r="AY64" s="804">
        <f t="shared" si="5"/>
        <v>-12502.506930853437</v>
      </c>
      <c r="AZ64" s="804">
        <f t="shared" si="5"/>
        <v>-11543.55660151166</v>
      </c>
      <c r="BA64" s="804">
        <f t="shared" si="5"/>
        <v>-11206.284592444217</v>
      </c>
      <c r="BB64" s="804">
        <f t="shared" si="5"/>
        <v>-10726.694673199228</v>
      </c>
      <c r="BC64" s="804">
        <f t="shared" si="5"/>
        <v>-10105.534184951981</v>
      </c>
      <c r="BD64" s="804">
        <f t="shared" si="5"/>
        <v>-9627.7298647895659</v>
      </c>
      <c r="BE64" s="804">
        <f t="shared" si="5"/>
        <v>-9067.5797532951874</v>
      </c>
      <c r="BF64" s="804">
        <f t="shared" si="5"/>
        <v>-9669.2084644145216</v>
      </c>
      <c r="BG64" s="804">
        <f t="shared" si="5"/>
        <v>-9108.0320159034181</v>
      </c>
      <c r="BH64" s="804">
        <f t="shared" si="5"/>
        <v>-9528.5716949322341</v>
      </c>
      <c r="BI64" s="804">
        <f t="shared" si="5"/>
        <v>-10347.300619175232</v>
      </c>
      <c r="BJ64" s="804">
        <f t="shared" si="5"/>
        <v>-11048.108174420686</v>
      </c>
      <c r="BK64" s="804">
        <f t="shared" si="5"/>
        <v>-12242.773219781318</v>
      </c>
      <c r="BL64" s="804">
        <f t="shared" si="5"/>
        <v>-11331.695968558053</v>
      </c>
      <c r="BM64" s="804">
        <f t="shared" si="5"/>
        <v>-11018.212556694551</v>
      </c>
      <c r="BN64" s="804">
        <f t="shared" si="5"/>
        <v>-10595.87342999562</v>
      </c>
      <c r="BO64" s="804">
        <f t="shared" si="5"/>
        <v>-9816.3855403994348</v>
      </c>
      <c r="BP64" s="804">
        <f t="shared" si="5"/>
        <v>-9196.5568538347725</v>
      </c>
      <c r="BQ64" s="804">
        <f t="shared" si="5"/>
        <v>-8882.8346614643324</v>
      </c>
      <c r="BR64" s="804">
        <f t="shared" si="5"/>
        <v>-8623.7794874245374</v>
      </c>
      <c r="BS64" s="804">
        <f t="shared" si="5"/>
        <v>-7312.015210342568</v>
      </c>
      <c r="BT64" s="804">
        <f t="shared" si="5"/>
        <v>-7134.1644749559573</v>
      </c>
      <c r="BU64" s="804">
        <f t="shared" si="5"/>
        <v>-7071.7432316210798</v>
      </c>
    </row>
    <row r="65" spans="1:73" ht="14.25" customHeight="1" x14ac:dyDescent="0.2">
      <c r="A65" s="9">
        <v>58</v>
      </c>
      <c r="B65" s="25">
        <f>MAX('Attrition Modeling'!H62,$C$3)*(1-Summary!$C$20)</f>
        <v>2.271605257262637E-2</v>
      </c>
      <c r="C65" s="24" t="e">
        <f t="shared" si="4"/>
        <v>#DIV/0!</v>
      </c>
      <c r="H65" s="75">
        <f t="shared" ref="H65:BU65" si="6">SUM(H3:H63)/SUM(H70:H130)*12</f>
        <v>18.175812993534755</v>
      </c>
      <c r="I65" s="75">
        <f t="shared" si="6"/>
        <v>18.205922181700618</v>
      </c>
      <c r="J65" s="75">
        <f t="shared" si="6"/>
        <v>18.324383892603841</v>
      </c>
      <c r="K65" s="75">
        <f t="shared" si="6"/>
        <v>18.644271786405977</v>
      </c>
      <c r="L65" s="75">
        <f t="shared" si="6"/>
        <v>19.165449511653879</v>
      </c>
      <c r="M65" s="75">
        <f t="shared" si="6"/>
        <v>19.760768955489748</v>
      </c>
      <c r="N65" s="75">
        <f t="shared" si="6"/>
        <v>20.085302092062847</v>
      </c>
      <c r="O65" s="75">
        <f t="shared" si="6"/>
        <v>20.121591975980181</v>
      </c>
      <c r="P65" s="75">
        <f t="shared" si="6"/>
        <v>20.123861790494857</v>
      </c>
      <c r="Q65" s="75">
        <f t="shared" si="6"/>
        <v>20.170155408378825</v>
      </c>
      <c r="R65" s="75">
        <f t="shared" si="6"/>
        <v>20.155966216600028</v>
      </c>
      <c r="S65" s="75">
        <f t="shared" si="6"/>
        <v>20.160365481173752</v>
      </c>
      <c r="T65" s="75">
        <f t="shared" si="6"/>
        <v>20.145554896165311</v>
      </c>
      <c r="U65" s="75">
        <f t="shared" si="6"/>
        <v>20.139689936256875</v>
      </c>
      <c r="V65" s="75">
        <f t="shared" si="6"/>
        <v>20.141858694046267</v>
      </c>
      <c r="W65" s="75">
        <f t="shared" si="6"/>
        <v>20.256499266600056</v>
      </c>
      <c r="X65" s="75">
        <f t="shared" si="6"/>
        <v>20.470980790289161</v>
      </c>
      <c r="Y65" s="75">
        <f t="shared" si="6"/>
        <v>20.784408021316061</v>
      </c>
      <c r="Z65" s="75">
        <f t="shared" si="6"/>
        <v>21.007309947168761</v>
      </c>
      <c r="AA65" s="75">
        <f t="shared" si="6"/>
        <v>21.06628890683962</v>
      </c>
      <c r="AB65" s="75">
        <f t="shared" si="6"/>
        <v>21.099091431136813</v>
      </c>
      <c r="AC65" s="75">
        <f t="shared" si="6"/>
        <v>21.163569463960876</v>
      </c>
      <c r="AD65" s="75">
        <f t="shared" si="6"/>
        <v>21.180024215317722</v>
      </c>
      <c r="AE65" s="75">
        <f t="shared" si="6"/>
        <v>21.209467319939307</v>
      </c>
      <c r="AF65" s="75">
        <f t="shared" si="6"/>
        <v>21.250935276293568</v>
      </c>
      <c r="AG65" s="75">
        <f t="shared" si="6"/>
        <v>21.293720173945221</v>
      </c>
      <c r="AH65" s="75">
        <f t="shared" si="6"/>
        <v>21.338305780448064</v>
      </c>
      <c r="AI65" s="75">
        <f t="shared" si="6"/>
        <v>21.454853192179076</v>
      </c>
      <c r="AJ65" s="75">
        <f t="shared" si="6"/>
        <v>21.631414257824609</v>
      </c>
      <c r="AK65" s="75">
        <f t="shared" si="6"/>
        <v>21.851619444315318</v>
      </c>
      <c r="AL65" s="75">
        <f t="shared" si="6"/>
        <v>22.012833943243194</v>
      </c>
      <c r="AM65" s="75">
        <f t="shared" si="6"/>
        <v>22.051291144972151</v>
      </c>
      <c r="AN65" s="75">
        <f t="shared" si="6"/>
        <v>22.065365205175706</v>
      </c>
      <c r="AO65" s="75">
        <f t="shared" si="6"/>
        <v>22.096673884929409</v>
      </c>
      <c r="AP65" s="75">
        <f t="shared" si="6"/>
        <v>22.073619414224257</v>
      </c>
      <c r="AQ65" s="75">
        <f t="shared" si="6"/>
        <v>22.057439713871037</v>
      </c>
      <c r="AR65" s="75">
        <f t="shared" si="6"/>
        <v>22.15167912303972</v>
      </c>
      <c r="AS65" s="75">
        <f t="shared" si="6"/>
        <v>22.214703858934087</v>
      </c>
      <c r="AT65" s="75">
        <f t="shared" si="6"/>
        <v>22.275227970047091</v>
      </c>
      <c r="AU65" s="75">
        <f t="shared" si="6"/>
        <v>22.380940519537532</v>
      </c>
      <c r="AV65" s="75">
        <f t="shared" si="6"/>
        <v>22.509281479058842</v>
      </c>
      <c r="AW65" s="75">
        <f t="shared" si="6"/>
        <v>22.638010988216507</v>
      </c>
      <c r="AX65" s="75">
        <f t="shared" si="6"/>
        <v>22.758488498867564</v>
      </c>
      <c r="AY65" s="75">
        <f t="shared" si="6"/>
        <v>22.834972966901397</v>
      </c>
      <c r="AZ65" s="75">
        <f t="shared" si="6"/>
        <v>22.902082552293045</v>
      </c>
      <c r="BA65" s="75">
        <f t="shared" si="6"/>
        <v>22.985204401550973</v>
      </c>
      <c r="BB65" s="75">
        <f t="shared" si="6"/>
        <v>23.030612926784165</v>
      </c>
      <c r="BC65" s="75">
        <f t="shared" si="6"/>
        <v>23.088462026396073</v>
      </c>
      <c r="BD65" s="75">
        <f t="shared" si="6"/>
        <v>23.149371266451656</v>
      </c>
      <c r="BE65" s="75">
        <f t="shared" si="6"/>
        <v>23.215186720143482</v>
      </c>
      <c r="BF65" s="75">
        <f t="shared" si="6"/>
        <v>23.280202880845131</v>
      </c>
      <c r="BG65" s="75">
        <f t="shared" si="6"/>
        <v>23.388059278321474</v>
      </c>
      <c r="BH65" s="75">
        <f t="shared" si="6"/>
        <v>23.513699201985713</v>
      </c>
      <c r="BI65" s="75">
        <f t="shared" si="6"/>
        <v>23.655521784665883</v>
      </c>
      <c r="BJ65" s="75">
        <f t="shared" si="6"/>
        <v>23.783405235701625</v>
      </c>
      <c r="BK65" s="75">
        <f t="shared" si="6"/>
        <v>23.86876265805429</v>
      </c>
      <c r="BL65" s="75">
        <f t="shared" si="6"/>
        <v>23.937104521708253</v>
      </c>
      <c r="BM65" s="75">
        <f t="shared" si="6"/>
        <v>24.017175417578414</v>
      </c>
      <c r="BN65" s="75">
        <f t="shared" si="6"/>
        <v>24.059126759501677</v>
      </c>
      <c r="BO65" s="75">
        <f t="shared" si="6"/>
        <v>24.114293174370317</v>
      </c>
      <c r="BP65" s="75">
        <f t="shared" si="6"/>
        <v>23.995567662432848</v>
      </c>
      <c r="BQ65" s="75">
        <f t="shared" si="6"/>
        <v>24.174081131137008</v>
      </c>
      <c r="BR65" s="75">
        <f t="shared" si="6"/>
        <v>24.381456056865549</v>
      </c>
      <c r="BS65" s="75">
        <f t="shared" si="6"/>
        <v>24.598187645745583</v>
      </c>
      <c r="BT65" s="75">
        <f t="shared" si="6"/>
        <v>24.816280924885028</v>
      </c>
      <c r="BU65" s="75">
        <f t="shared" si="6"/>
        <v>25.034053144776365</v>
      </c>
    </row>
    <row r="66" spans="1:73" ht="14.25" customHeight="1" x14ac:dyDescent="0.2">
      <c r="A66" s="9">
        <v>59</v>
      </c>
      <c r="B66" s="25">
        <f>MAX('Attrition Modeling'!H63,$C$3)*(1-Summary!$C$20)</f>
        <v>2.2453837640441385E-2</v>
      </c>
      <c r="C66" s="24" t="e">
        <f t="shared" si="4"/>
        <v>#DIV/0!</v>
      </c>
    </row>
    <row r="67" spans="1:73" ht="14.25" customHeight="1" x14ac:dyDescent="0.2">
      <c r="A67" s="9">
        <v>60</v>
      </c>
      <c r="B67" s="25">
        <f>MAX('Attrition Modeling'!H64,$C$3)*(1-Summary!$C$20)</f>
        <v>2.2196029891162761E-2</v>
      </c>
      <c r="C67" s="24" t="e">
        <f t="shared" si="4"/>
        <v>#DIV/0!</v>
      </c>
    </row>
    <row r="68" spans="1:73" ht="14.25" customHeight="1" x14ac:dyDescent="0.2">
      <c r="A68" s="9">
        <v>61</v>
      </c>
      <c r="B68" s="25">
        <f>MAX('Attrition Modeling'!H65,$C$3)*(1-Summary!$C$20)</f>
        <v>2.1942483622672745E-2</v>
      </c>
      <c r="C68" s="24" t="e">
        <f t="shared" si="4"/>
        <v>#DIV/0!</v>
      </c>
      <c r="F68" s="795" t="s">
        <v>698</v>
      </c>
      <c r="G68" s="796"/>
      <c r="H68" s="796">
        <f t="shared" ref="H68:BU68" si="7">H1</f>
        <v>1</v>
      </c>
      <c r="I68" s="796">
        <f t="shared" si="7"/>
        <v>2</v>
      </c>
      <c r="J68" s="796">
        <f t="shared" si="7"/>
        <v>3</v>
      </c>
      <c r="K68" s="796">
        <f t="shared" si="7"/>
        <v>4</v>
      </c>
      <c r="L68" s="796">
        <f t="shared" si="7"/>
        <v>5</v>
      </c>
      <c r="M68" s="796">
        <f t="shared" si="7"/>
        <v>6</v>
      </c>
      <c r="N68" s="796">
        <f t="shared" si="7"/>
        <v>7</v>
      </c>
      <c r="O68" s="796">
        <f t="shared" si="7"/>
        <v>8</v>
      </c>
      <c r="P68" s="796">
        <f t="shared" si="7"/>
        <v>9</v>
      </c>
      <c r="Q68" s="796">
        <f t="shared" si="7"/>
        <v>10</v>
      </c>
      <c r="R68" s="796">
        <f t="shared" si="7"/>
        <v>11</v>
      </c>
      <c r="S68" s="796">
        <f t="shared" si="7"/>
        <v>12</v>
      </c>
      <c r="T68" s="796">
        <f t="shared" si="7"/>
        <v>1</v>
      </c>
      <c r="U68" s="796">
        <f t="shared" si="7"/>
        <v>2</v>
      </c>
      <c r="V68" s="796">
        <f t="shared" si="7"/>
        <v>3</v>
      </c>
      <c r="W68" s="796">
        <f t="shared" si="7"/>
        <v>4</v>
      </c>
      <c r="X68" s="796">
        <f t="shared" si="7"/>
        <v>5</v>
      </c>
      <c r="Y68" s="796">
        <f t="shared" si="7"/>
        <v>6</v>
      </c>
      <c r="Z68" s="796">
        <f t="shared" si="7"/>
        <v>7</v>
      </c>
      <c r="AA68" s="796">
        <f t="shared" si="7"/>
        <v>8</v>
      </c>
      <c r="AB68" s="796">
        <f t="shared" si="7"/>
        <v>9</v>
      </c>
      <c r="AC68" s="796">
        <f t="shared" si="7"/>
        <v>10</v>
      </c>
      <c r="AD68" s="796">
        <f t="shared" si="7"/>
        <v>11</v>
      </c>
      <c r="AE68" s="796">
        <f t="shared" si="7"/>
        <v>12</v>
      </c>
      <c r="AF68" s="796">
        <f t="shared" si="7"/>
        <v>1</v>
      </c>
      <c r="AG68" s="796">
        <f t="shared" si="7"/>
        <v>2</v>
      </c>
      <c r="AH68" s="796">
        <f t="shared" si="7"/>
        <v>3</v>
      </c>
      <c r="AI68" s="796">
        <f t="shared" si="7"/>
        <v>4</v>
      </c>
      <c r="AJ68" s="796">
        <f t="shared" si="7"/>
        <v>5</v>
      </c>
      <c r="AK68" s="796">
        <f t="shared" si="7"/>
        <v>6</v>
      </c>
      <c r="AL68" s="796">
        <f t="shared" si="7"/>
        <v>7</v>
      </c>
      <c r="AM68" s="796">
        <f t="shared" si="7"/>
        <v>8</v>
      </c>
      <c r="AN68" s="796">
        <f t="shared" si="7"/>
        <v>9</v>
      </c>
      <c r="AO68" s="796">
        <f t="shared" si="7"/>
        <v>10</v>
      </c>
      <c r="AP68" s="796">
        <f t="shared" si="7"/>
        <v>11</v>
      </c>
      <c r="AQ68" s="796">
        <f t="shared" si="7"/>
        <v>12</v>
      </c>
      <c r="AR68" s="796">
        <f t="shared" si="7"/>
        <v>1</v>
      </c>
      <c r="AS68" s="796">
        <f t="shared" si="7"/>
        <v>2</v>
      </c>
      <c r="AT68" s="796">
        <f t="shared" si="7"/>
        <v>3</v>
      </c>
      <c r="AU68" s="796">
        <f t="shared" si="7"/>
        <v>4</v>
      </c>
      <c r="AV68" s="796">
        <f t="shared" si="7"/>
        <v>5</v>
      </c>
      <c r="AW68" s="796">
        <f t="shared" si="7"/>
        <v>6</v>
      </c>
      <c r="AX68" s="796">
        <f t="shared" si="7"/>
        <v>7</v>
      </c>
      <c r="AY68" s="796">
        <f t="shared" si="7"/>
        <v>8</v>
      </c>
      <c r="AZ68" s="796">
        <f t="shared" si="7"/>
        <v>9</v>
      </c>
      <c r="BA68" s="796">
        <f t="shared" si="7"/>
        <v>10</v>
      </c>
      <c r="BB68" s="796">
        <f t="shared" si="7"/>
        <v>11</v>
      </c>
      <c r="BC68" s="796">
        <f t="shared" si="7"/>
        <v>12</v>
      </c>
      <c r="BD68" s="796">
        <f t="shared" si="7"/>
        <v>1</v>
      </c>
      <c r="BE68" s="796">
        <f t="shared" si="7"/>
        <v>2</v>
      </c>
      <c r="BF68" s="796">
        <f t="shared" si="7"/>
        <v>3</v>
      </c>
      <c r="BG68" s="796">
        <f t="shared" si="7"/>
        <v>4</v>
      </c>
      <c r="BH68" s="796">
        <f t="shared" si="7"/>
        <v>5</v>
      </c>
      <c r="BI68" s="796">
        <f t="shared" si="7"/>
        <v>6</v>
      </c>
      <c r="BJ68" s="796">
        <f t="shared" si="7"/>
        <v>7</v>
      </c>
      <c r="BK68" s="796">
        <f t="shared" si="7"/>
        <v>8</v>
      </c>
      <c r="BL68" s="796">
        <f t="shared" si="7"/>
        <v>9</v>
      </c>
      <c r="BM68" s="796">
        <f t="shared" si="7"/>
        <v>10</v>
      </c>
      <c r="BN68" s="796">
        <f t="shared" si="7"/>
        <v>11</v>
      </c>
      <c r="BO68" s="796">
        <f t="shared" si="7"/>
        <v>12</v>
      </c>
      <c r="BP68" s="796">
        <f t="shared" si="7"/>
        <v>1</v>
      </c>
      <c r="BQ68" s="796">
        <f t="shared" si="7"/>
        <v>2</v>
      </c>
      <c r="BR68" s="796">
        <f t="shared" si="7"/>
        <v>3</v>
      </c>
      <c r="BS68" s="796">
        <f t="shared" si="7"/>
        <v>4</v>
      </c>
      <c r="BT68" s="796">
        <f t="shared" si="7"/>
        <v>5</v>
      </c>
      <c r="BU68" s="796">
        <f t="shared" si="7"/>
        <v>6</v>
      </c>
    </row>
    <row r="69" spans="1:73" ht="14.25" customHeight="1" x14ac:dyDescent="0.2">
      <c r="A69" s="9">
        <v>62</v>
      </c>
      <c r="B69" s="25">
        <f>MAX('Attrition Modeling'!H66,$C$3)*(1-Summary!$C$20)</f>
        <v>2.1693060240916329E-2</v>
      </c>
      <c r="C69" s="24" t="e">
        <f t="shared" si="4"/>
        <v>#DIV/0!</v>
      </c>
      <c r="F69" s="11" t="s">
        <v>679</v>
      </c>
      <c r="G69" s="797">
        <v>0</v>
      </c>
      <c r="H69" s="797">
        <v>1</v>
      </c>
      <c r="I69" s="797">
        <f t="shared" ref="I69:BU69" si="8">H69+1</f>
        <v>2</v>
      </c>
      <c r="J69" s="797">
        <f t="shared" si="8"/>
        <v>3</v>
      </c>
      <c r="K69" s="797">
        <f t="shared" si="8"/>
        <v>4</v>
      </c>
      <c r="L69" s="797">
        <f t="shared" si="8"/>
        <v>5</v>
      </c>
      <c r="M69" s="797">
        <f t="shared" si="8"/>
        <v>6</v>
      </c>
      <c r="N69" s="797">
        <f t="shared" si="8"/>
        <v>7</v>
      </c>
      <c r="O69" s="797">
        <f t="shared" si="8"/>
        <v>8</v>
      </c>
      <c r="P69" s="797">
        <f t="shared" si="8"/>
        <v>9</v>
      </c>
      <c r="Q69" s="797">
        <f t="shared" si="8"/>
        <v>10</v>
      </c>
      <c r="R69" s="797">
        <f t="shared" si="8"/>
        <v>11</v>
      </c>
      <c r="S69" s="797">
        <f t="shared" si="8"/>
        <v>12</v>
      </c>
      <c r="T69" s="797">
        <f t="shared" si="8"/>
        <v>13</v>
      </c>
      <c r="U69" s="797">
        <f t="shared" si="8"/>
        <v>14</v>
      </c>
      <c r="V69" s="797">
        <f t="shared" si="8"/>
        <v>15</v>
      </c>
      <c r="W69" s="797">
        <f t="shared" si="8"/>
        <v>16</v>
      </c>
      <c r="X69" s="797">
        <f t="shared" si="8"/>
        <v>17</v>
      </c>
      <c r="Y69" s="797">
        <f t="shared" si="8"/>
        <v>18</v>
      </c>
      <c r="Z69" s="797">
        <f t="shared" si="8"/>
        <v>19</v>
      </c>
      <c r="AA69" s="797">
        <f t="shared" si="8"/>
        <v>20</v>
      </c>
      <c r="AB69" s="797">
        <f t="shared" si="8"/>
        <v>21</v>
      </c>
      <c r="AC69" s="797">
        <f t="shared" si="8"/>
        <v>22</v>
      </c>
      <c r="AD69" s="797">
        <f t="shared" si="8"/>
        <v>23</v>
      </c>
      <c r="AE69" s="797">
        <f t="shared" si="8"/>
        <v>24</v>
      </c>
      <c r="AF69" s="797">
        <f t="shared" si="8"/>
        <v>25</v>
      </c>
      <c r="AG69" s="797">
        <f t="shared" si="8"/>
        <v>26</v>
      </c>
      <c r="AH69" s="797">
        <f t="shared" si="8"/>
        <v>27</v>
      </c>
      <c r="AI69" s="797">
        <f t="shared" si="8"/>
        <v>28</v>
      </c>
      <c r="AJ69" s="797">
        <f t="shared" si="8"/>
        <v>29</v>
      </c>
      <c r="AK69" s="797">
        <f t="shared" si="8"/>
        <v>30</v>
      </c>
      <c r="AL69" s="797">
        <f t="shared" si="8"/>
        <v>31</v>
      </c>
      <c r="AM69" s="797">
        <f t="shared" si="8"/>
        <v>32</v>
      </c>
      <c r="AN69" s="797">
        <f t="shared" si="8"/>
        <v>33</v>
      </c>
      <c r="AO69" s="797">
        <f t="shared" si="8"/>
        <v>34</v>
      </c>
      <c r="AP69" s="797">
        <f t="shared" si="8"/>
        <v>35</v>
      </c>
      <c r="AQ69" s="797">
        <f t="shared" si="8"/>
        <v>36</v>
      </c>
      <c r="AR69" s="797">
        <f t="shared" si="8"/>
        <v>37</v>
      </c>
      <c r="AS69" s="797">
        <f t="shared" si="8"/>
        <v>38</v>
      </c>
      <c r="AT69" s="797">
        <f t="shared" si="8"/>
        <v>39</v>
      </c>
      <c r="AU69" s="797">
        <f t="shared" si="8"/>
        <v>40</v>
      </c>
      <c r="AV69" s="797">
        <f t="shared" si="8"/>
        <v>41</v>
      </c>
      <c r="AW69" s="797">
        <f t="shared" si="8"/>
        <v>42</v>
      </c>
      <c r="AX69" s="797">
        <f t="shared" si="8"/>
        <v>43</v>
      </c>
      <c r="AY69" s="797">
        <f t="shared" si="8"/>
        <v>44</v>
      </c>
      <c r="AZ69" s="797">
        <f t="shared" si="8"/>
        <v>45</v>
      </c>
      <c r="BA69" s="797">
        <f t="shared" si="8"/>
        <v>46</v>
      </c>
      <c r="BB69" s="797">
        <f t="shared" si="8"/>
        <v>47</v>
      </c>
      <c r="BC69" s="797">
        <f t="shared" si="8"/>
        <v>48</v>
      </c>
      <c r="BD69" s="797">
        <f t="shared" si="8"/>
        <v>49</v>
      </c>
      <c r="BE69" s="797">
        <f t="shared" si="8"/>
        <v>50</v>
      </c>
      <c r="BF69" s="797">
        <f t="shared" si="8"/>
        <v>51</v>
      </c>
      <c r="BG69" s="797">
        <f t="shared" si="8"/>
        <v>52</v>
      </c>
      <c r="BH69" s="797">
        <f t="shared" si="8"/>
        <v>53</v>
      </c>
      <c r="BI69" s="797">
        <f t="shared" si="8"/>
        <v>54</v>
      </c>
      <c r="BJ69" s="797">
        <f t="shared" si="8"/>
        <v>55</v>
      </c>
      <c r="BK69" s="797">
        <f t="shared" si="8"/>
        <v>56</v>
      </c>
      <c r="BL69" s="797">
        <f t="shared" si="8"/>
        <v>57</v>
      </c>
      <c r="BM69" s="797">
        <f t="shared" si="8"/>
        <v>58</v>
      </c>
      <c r="BN69" s="797">
        <f t="shared" si="8"/>
        <v>59</v>
      </c>
      <c r="BO69" s="797">
        <f t="shared" si="8"/>
        <v>60</v>
      </c>
      <c r="BP69" s="797">
        <f t="shared" si="8"/>
        <v>61</v>
      </c>
      <c r="BQ69" s="797">
        <f t="shared" si="8"/>
        <v>62</v>
      </c>
      <c r="BR69" s="797">
        <f t="shared" si="8"/>
        <v>63</v>
      </c>
      <c r="BS69" s="797">
        <f t="shared" si="8"/>
        <v>64</v>
      </c>
      <c r="BT69" s="797">
        <f t="shared" si="8"/>
        <v>65</v>
      </c>
      <c r="BU69" s="797">
        <f t="shared" si="8"/>
        <v>66</v>
      </c>
    </row>
    <row r="70" spans="1:73" ht="14.25" customHeight="1" x14ac:dyDescent="0.2">
      <c r="A70" s="9">
        <v>63</v>
      </c>
      <c r="B70" s="25">
        <f>MAX('Attrition Modeling'!H67,$C$3)*(1-Summary!$C$20)</f>
        <v>2.1447627804935004E-2</v>
      </c>
      <c r="C70" s="24" t="e">
        <f t="shared" si="4"/>
        <v>#DIV/0!</v>
      </c>
      <c r="E70" s="11">
        <f t="shared" ref="E70:E130" si="9">E3</f>
        <v>0</v>
      </c>
      <c r="F70" s="11">
        <v>0</v>
      </c>
      <c r="G70" s="799"/>
      <c r="H70" s="799">
        <f>IF(H$69=$F70+1,IF(Monthly!D$4=TRUE,0,Monthly!D$17),IF(H$69&gt;$F70+1,G70*(1-IF(H$69-$F70&lt;=12,SUMIFS('Attrition Modeling'!$D:$D,'Attrition Modeling'!$B:$B,$E70,'Attrition Modeling'!$C:$C,H$68),VLOOKUP(H$69-$F70-1,$A$7:$C$161,2,FALSE)*VLOOKUP(H$1,'Attrition Modeling'!$L$15:$N$27,IF(H$2-$F3&lt;=24,2,3),FALSE))*(1+Projection!J$16)*(1+IF(H135&gt;0,'Attrition Modeling'!$N$9,0))),0))</f>
        <v>2308.858690115092</v>
      </c>
      <c r="I70" s="799">
        <f>IF(I$69=$F70+1,IF(Monthly!E$4=TRUE,0,Monthly!E$17),IF(I$69&gt;$F70+1,H70*(1-IF(I$69-$F70&lt;=12,SUMIFS('Attrition Modeling'!$D:$D,'Attrition Modeling'!$B:$B,$E70,'Attrition Modeling'!$C:$C,I$68),VLOOKUP(I$69-$F70-1,$A$7:$C$161,2,FALSE)*VLOOKUP(I$1,'Attrition Modeling'!$L$15:$N$27,IF(I$2-$F3&lt;=24,2,3),FALSE))*(1+Projection!K$16)*(1+IF(I135&gt;0,'Attrition Modeling'!$N$9,0))),0))</f>
        <v>2308.858690115092</v>
      </c>
      <c r="J70" s="799">
        <f>IF(J$69=$F70+1,IF(Monthly!F$4=TRUE,0,Monthly!F$17),IF(J$69&gt;$F70+1,I70*(1-IF(J$69-$F70&lt;=12,SUMIFS('Attrition Modeling'!$D:$D,'Attrition Modeling'!$B:$B,$E70,'Attrition Modeling'!$C:$C,J$68),VLOOKUP(J$69-$F70-1,$A$7:$C$161,2,FALSE)*VLOOKUP(J$1,'Attrition Modeling'!$L$15:$N$27,IF(J$2-$F3&lt;=24,2,3),FALSE))*(1+Projection!L$16)*(1+IF(J135&gt;0,'Attrition Modeling'!$N$9,0))),0))</f>
        <v>2308.858690115092</v>
      </c>
      <c r="K70" s="799">
        <f>IF(K$69=$F70+1,IF(Monthly!G$4=TRUE,0,Monthly!G$17),IF(K$69&gt;$F70+1,J70*(1-IF(K$69-$F70&lt;=12,SUMIFS('Attrition Modeling'!$D:$D,'Attrition Modeling'!$B:$B,$E70,'Attrition Modeling'!$C:$C,K$68),VLOOKUP(K$69-$F70-1,$A$7:$C$161,2,FALSE)*VLOOKUP(K$1,'Attrition Modeling'!$L$15:$N$27,IF(K$2-$F3&lt;=24,2,3),FALSE))*(1+Projection!M$16)*(1+IF(K135&gt;0,'Attrition Modeling'!$N$9,0))),0))</f>
        <v>2308.858690115092</v>
      </c>
      <c r="L70" s="799">
        <f>IF(L$69=$F70+1,IF(Monthly!H$4=TRUE,0,Monthly!H$17),IF(L$69&gt;$F70+1,K70*(1-IF(L$69-$F70&lt;=12,SUMIFS('Attrition Modeling'!$D:$D,'Attrition Modeling'!$B:$B,$E70,'Attrition Modeling'!$C:$C,L$68),VLOOKUP(L$69-$F70-1,$A$7:$C$161,2,FALSE)*VLOOKUP(L$1,'Attrition Modeling'!$L$15:$N$27,IF(L$2-$F3&lt;=24,2,3),FALSE))*(1+Projection!N$16)*(1+IF(L135&gt;0,'Attrition Modeling'!$N$9,0))),0))</f>
        <v>2308.858690115092</v>
      </c>
      <c r="M70" s="799">
        <f>IF(M$69=$F70+1,IF(Monthly!I$4=TRUE,0,Monthly!I$17),IF(M$69&gt;$F70+1,L70*(1-IF(M$69-$F70&lt;=12,SUMIFS('Attrition Modeling'!$D:$D,'Attrition Modeling'!$B:$B,$E70,'Attrition Modeling'!$C:$C,M$68),VLOOKUP(M$69-$F70-1,$A$7:$C$161,2,FALSE)*VLOOKUP(M$1,'Attrition Modeling'!$L$15:$N$27,IF(M$2-$F3&lt;=24,2,3),FALSE))*(1+Projection!O$16)*(1+IF(M135&gt;0,'Attrition Modeling'!$N$9,0))),0))</f>
        <v>2308.858690115092</v>
      </c>
      <c r="N70" s="799">
        <f>IF(N$69=$F70+1,IF(Monthly!J$4=TRUE,0,Monthly!J$17),IF(N$69&gt;$F70+1,M70*(1-IF(N$69-$F70&lt;=12,SUMIFS('Attrition Modeling'!$D:$D,'Attrition Modeling'!$B:$B,$E70,'Attrition Modeling'!$C:$C,N$68),VLOOKUP(N$69-$F70-1,$A$7:$C$161,2,FALSE)*VLOOKUP(N$1,'Attrition Modeling'!$L$15:$N$27,IF(N$2-$F3&lt;=24,2,3),FALSE))*(1+Projection!P$16)*(1+IF(N135&gt;0,'Attrition Modeling'!$N$9,0))),0))</f>
        <v>2308.858690115092</v>
      </c>
      <c r="O70" s="799">
        <f>IF(O$69=$F70+1,IF(Monthly!K$4=TRUE,0,Monthly!K$17),IF(O$69&gt;$F70+1,N70*(1-IF(O$69-$F70&lt;=12,SUMIFS('Attrition Modeling'!$D:$D,'Attrition Modeling'!$B:$B,$E70,'Attrition Modeling'!$C:$C,O$68),VLOOKUP(O$69-$F70-1,$A$7:$C$161,2,FALSE)*VLOOKUP(O$1,'Attrition Modeling'!$L$15:$N$27,IF(O$2-$F3&lt;=24,2,3),FALSE))*(1+Projection!Q$16)*(1+IF(O135&gt;0,'Attrition Modeling'!$N$9,0))),0))</f>
        <v>2308.858690115092</v>
      </c>
      <c r="P70" s="799">
        <f>IF(P$69=$F70+1,IF(Monthly!L$4=TRUE,0,Monthly!L$17),IF(P$69&gt;$F70+1,O70*(1-IF(P$69-$F70&lt;=12,SUMIFS('Attrition Modeling'!$D:$D,'Attrition Modeling'!$B:$B,$E70,'Attrition Modeling'!$C:$C,P$68),VLOOKUP(P$69-$F70-1,$A$7:$C$161,2,FALSE)*VLOOKUP(P$1,'Attrition Modeling'!$L$15:$N$27,IF(P$2-$F3&lt;=24,2,3),FALSE))*(1+Projection!R$16)*(1+IF(P135&gt;0,'Attrition Modeling'!$N$9,0))),0))</f>
        <v>2308.858690115092</v>
      </c>
      <c r="Q70" s="799">
        <f>IF(Q$69=$F70+1,IF(Monthly!M$4=TRUE,0,Monthly!M$17),IF(Q$69&gt;$F70+1,P70*(1-IF(Q$69-$F70&lt;=12,SUMIFS('Attrition Modeling'!$D:$D,'Attrition Modeling'!$B:$B,$E70,'Attrition Modeling'!$C:$C,Q$68),VLOOKUP(Q$69-$F70-1,$A$7:$C$161,2,FALSE)*VLOOKUP(Q$1,'Attrition Modeling'!$L$15:$N$27,IF(Q$2-$F3&lt;=24,2,3),FALSE))*(1+Projection!S$16)*(1+IF(Q135&gt;0,'Attrition Modeling'!$N$9,0))),0))</f>
        <v>2308.858690115092</v>
      </c>
      <c r="R70" s="799">
        <f>IF(R$69=$F70+1,IF(Monthly!N$4=TRUE,0,Monthly!N$17),IF(R$69&gt;$F70+1,Q70*(1-IF(R$69-$F70&lt;=12,SUMIFS('Attrition Modeling'!$D:$D,'Attrition Modeling'!$B:$B,$E70,'Attrition Modeling'!$C:$C,R$68),VLOOKUP(R$69-$F70-1,$A$7:$C$161,2,FALSE)*VLOOKUP(R$1,'Attrition Modeling'!$L$15:$N$27,IF(R$2-$F3&lt;=24,2,3),FALSE))*(1+Projection!T$16)*(1+IF(R135&gt;0,'Attrition Modeling'!$N$9,0))),0))</f>
        <v>2308.858690115092</v>
      </c>
      <c r="S70" s="799">
        <f>IF(S$69=$F70+1,IF(Monthly!O$4=TRUE,0,Monthly!O$17),IF(S$69&gt;$F70+1,R70*(1-IF(S$69-$F70&lt;=12,SUMIFS('Attrition Modeling'!$D:$D,'Attrition Modeling'!$B:$B,$E70,'Attrition Modeling'!$C:$C,S$68),VLOOKUP(S$69-$F70-1,$A$7:$C$161,2,FALSE)*VLOOKUP(S$1,'Attrition Modeling'!$L$15:$N$27,IF(S$2-$F3&lt;=24,2,3),FALSE))*(1+Projection!U$16)*(1+IF(S135&gt;0,'Attrition Modeling'!$N$9,0))),0))</f>
        <v>2308.858690115092</v>
      </c>
      <c r="T70" s="799">
        <f>IF(T$69=$F70+1,IF(Monthly!P$4=TRUE,0,Monthly!P$17),IF(T$69&gt;$F70+1,S70*(1-IF(T$69-$F70&lt;=12,SUMIFS('Attrition Modeling'!$D:$D,'Attrition Modeling'!$B:$B,$E70,'Attrition Modeling'!$C:$C,T$68),VLOOKUP(T$69-$F70-1,$A$7:$C$161,2,FALSE)*VLOOKUP(T$1,'Attrition Modeling'!$L$15:$N$27,IF(T$2-$F3&lt;=24,2,3),FALSE))*(1+Projection!V$16)*(1+IF(T135&gt;0,'Attrition Modeling'!$N$9,0))),0))</f>
        <v>2184.5592077239248</v>
      </c>
      <c r="U70" s="799">
        <f>IF(U$69=$F70+1,IF(Monthly!Q$4=TRUE,0,Monthly!Q$17),IF(U$69&gt;$F70+1,T70*(1-IF(U$69-$F70&lt;=12,SUMIFS('Attrition Modeling'!$D:$D,'Attrition Modeling'!$B:$B,$E70,'Attrition Modeling'!$C:$C,U$68),VLOOKUP(U$69-$F70-1,$A$7:$C$161,2,FALSE)*VLOOKUP(U$1,'Attrition Modeling'!$L$15:$N$27,IF(U$2-$F3&lt;=24,2,3),FALSE))*(1+Projection!W$16)*(1+IF(U135&gt;0,'Attrition Modeling'!$N$9,0))),0))</f>
        <v>2086.6594000348246</v>
      </c>
      <c r="V70" s="799">
        <f>IF(V$69=$F70+1,IF(Monthly!R$4=TRUE,0,Monthly!R$17),IF(V$69&gt;$F70+1,U70*(1-IF(V$69-$F70&lt;=12,SUMIFS('Attrition Modeling'!$D:$D,'Attrition Modeling'!$B:$B,$E70,'Attrition Modeling'!$C:$C,V$68),VLOOKUP(V$69-$F70-1,$A$7:$C$161,2,FALSE)*VLOOKUP(V$1,'Attrition Modeling'!$L$15:$N$27,IF(V$2-$F3&lt;=24,2,3),FALSE))*(1+Projection!X$16)*(1+IF(V135&gt;0,'Attrition Modeling'!$N$9,0))),0))</f>
        <v>1989.8496809245989</v>
      </c>
      <c r="W70" s="799">
        <f>IF(W$69=$F70+1,IF(Monthly!S$4=TRUE,0,Monthly!S$17),IF(W$69&gt;$F70+1,V70*(1-IF(W$69-$F70&lt;=12,SUMIFS('Attrition Modeling'!$D:$D,'Attrition Modeling'!$B:$B,$E70,'Attrition Modeling'!$C:$C,W$68),VLOOKUP(W$69-$F70-1,$A$7:$C$161,2,FALSE)*VLOOKUP(W$1,'Attrition Modeling'!$L$15:$N$27,IF(W$2-$F3&lt;=24,2,3),FALSE))*(1+Projection!Y$16)*(1+IF(W135&gt;0,'Attrition Modeling'!$N$9,0))),0))</f>
        <v>1902.395697844704</v>
      </c>
      <c r="X70" s="799">
        <f>IF(X$69=$F70+1,IF(Monthly!T$4=TRUE,0,Monthly!T$17),IF(X$69&gt;$F70+1,W70*(1-IF(X$69-$F70&lt;=12,SUMIFS('Attrition Modeling'!$D:$D,'Attrition Modeling'!$B:$B,$E70,'Attrition Modeling'!$C:$C,X$68),VLOOKUP(X$69-$F70-1,$A$7:$C$161,2,FALSE)*VLOOKUP(X$1,'Attrition Modeling'!$L$15:$N$27,IF(X$2-$F3&lt;=24,2,3),FALSE))*(1+Projection!Z$16)*(1+IF(X135&gt;0,'Attrition Modeling'!$N$9,0))),0))</f>
        <v>1821.8237754656896</v>
      </c>
      <c r="Y70" s="799">
        <f>IF(Y$69=$F70+1,IF(Monthly!U$4=TRUE,0,Monthly!U$17),IF(Y$69&gt;$F70+1,X70*(1-IF(Y$69-$F70&lt;=12,SUMIFS('Attrition Modeling'!$D:$D,'Attrition Modeling'!$B:$B,$E70,'Attrition Modeling'!$C:$C,Y$68),VLOOKUP(Y$69-$F70-1,$A$7:$C$161,2,FALSE)*VLOOKUP(Y$1,'Attrition Modeling'!$L$15:$N$27,IF(Y$2-$F3&lt;=24,2,3),FALSE))*(1+Projection!AA$16)*(1+IF(Y135&gt;0,'Attrition Modeling'!$N$9,0))),0))</f>
        <v>1722.6868469903811</v>
      </c>
      <c r="Z70" s="799">
        <f>IF(Z$69=$F70+1,IF(Monthly!V$4=TRUE,0,Monthly!V$17),IF(Z$69&gt;$F70+1,Y70*(1-IF(Z$69-$F70&lt;=12,SUMIFS('Attrition Modeling'!$D:$D,'Attrition Modeling'!$B:$B,$E70,'Attrition Modeling'!$C:$C,Z$68),VLOOKUP(Z$69-$F70-1,$A$7:$C$161,2,FALSE)*VLOOKUP(Z$1,'Attrition Modeling'!$L$15:$N$27,IF(Z$2-$F3&lt;=24,2,3),FALSE))*(1+Projection!AB$16)*(1+IF(Z135&gt;0,'Attrition Modeling'!$N$9,0))),0))</f>
        <v>1644.4355219645204</v>
      </c>
      <c r="AA70" s="799">
        <f>IF(AA$69=$F70+1,IF(Monthly!W$4=TRUE,0,Monthly!W$17),IF(AA$69&gt;$F70+1,Z70*(1-IF(AA$69-$F70&lt;=12,SUMIFS('Attrition Modeling'!$D:$D,'Attrition Modeling'!$B:$B,$E70,'Attrition Modeling'!$C:$C,AA$68),VLOOKUP(AA$69-$F70-1,$A$7:$C$161,2,FALSE)*VLOOKUP(AA$1,'Attrition Modeling'!$L$15:$N$27,IF(AA$2-$F3&lt;=24,2,3),FALSE))*(1+Projection!AC$16)*(1+IF(AA135&gt;0,'Attrition Modeling'!$N$9,0))),0))</f>
        <v>1567.9170389134895</v>
      </c>
      <c r="AB70" s="799">
        <f>IF(AB$69=$F70+1,IF(Monthly!X$4=TRUE,0,Monthly!X$17),IF(AB$69&gt;$F70+1,AA70*(1-IF(AB$69-$F70&lt;=12,SUMIFS('Attrition Modeling'!$D:$D,'Attrition Modeling'!$B:$B,$E70,'Attrition Modeling'!$C:$C,AB$68),VLOOKUP(AB$69-$F70-1,$A$7:$C$161,2,FALSE)*VLOOKUP(AB$1,'Attrition Modeling'!$L$15:$N$27,IF(AB$2-$F3&lt;=24,2,3),FALSE))*(1+Projection!AD$16)*(1+IF(AB135&gt;0,'Attrition Modeling'!$N$9,0))),0))</f>
        <v>1502.5254358379154</v>
      </c>
      <c r="AC70" s="799">
        <f>IF(AC$69=$F70+1,IF(Monthly!Y$4=TRUE,0,Monthly!Y$17),IF(AC$69&gt;$F70+1,AB70*(1-IF(AC$69-$F70&lt;=12,SUMIFS('Attrition Modeling'!$D:$D,'Attrition Modeling'!$B:$B,$E70,'Attrition Modeling'!$C:$C,AC$68),VLOOKUP(AC$69-$F70-1,$A$7:$C$161,2,FALSE)*VLOOKUP(AC$1,'Attrition Modeling'!$L$15:$N$27,IF(AC$2-$F3&lt;=24,2,3),FALSE))*(1+Projection!AE$16)*(1+IF(AC135&gt;0,'Attrition Modeling'!$N$9,0))),0))</f>
        <v>1439.4080482844872</v>
      </c>
      <c r="AD70" s="799">
        <f>IF(AD$69=$F70+1,IF(Monthly!Z$4=TRUE,0,Monthly!Z$17),IF(AD$69&gt;$F70+1,AC70*(1-IF(AD$69-$F70&lt;=12,SUMIFS('Attrition Modeling'!$D:$D,'Attrition Modeling'!$B:$B,$E70,'Attrition Modeling'!$C:$C,AD$68),VLOOKUP(AD$69-$F70-1,$A$7:$C$161,2,FALSE)*VLOOKUP(AD$1,'Attrition Modeling'!$L$15:$N$27,IF(AD$2-$F3&lt;=24,2,3),FALSE))*(1+Projection!AF$16)*(1+IF(AD135&gt;0,'Attrition Modeling'!$N$9,0))),0))</f>
        <v>1382.0713330043293</v>
      </c>
      <c r="AE70" s="799">
        <f>IF(AE$69=$F70+1,IF(Monthly!AA$4=TRUE,0,Monthly!AA$17),IF(AE$69&gt;$F70+1,AD70*(1-IF(AE$69-$F70&lt;=12,SUMIFS('Attrition Modeling'!$D:$D,'Attrition Modeling'!$B:$B,$E70,'Attrition Modeling'!$C:$C,AE$68),VLOOKUP(AE$69-$F70-1,$A$7:$C$161,2,FALSE)*VLOOKUP(AE$1,'Attrition Modeling'!$L$15:$N$27,IF(AE$2-$F3&lt;=24,2,3),FALSE))*(1+Projection!AG$16)*(1+IF(AE135&gt;0,'Attrition Modeling'!$N$9,0))),0))</f>
        <v>1328.3176996710183</v>
      </c>
      <c r="AF70" s="799">
        <f>IF(AF$69=$F70+1,IF(Monthly!AB$4=TRUE,0,Monthly!AB$17),IF(AF$69&gt;$F70+1,AE70*(1-IF(AF$69-$F70&lt;=12,SUMIFS('Attrition Modeling'!$D:$D,'Attrition Modeling'!$B:$B,$E70,'Attrition Modeling'!$C:$C,AF$68),VLOOKUP(AF$69-$F70-1,$A$7:$C$161,2,FALSE)*VLOOKUP(AF$1,'Attrition Modeling'!$L$15:$N$27,IF(AF$2-$F3&lt;=24,2,3),FALSE))*(1+Projection!AH$16)*(1+IF(AF135&gt;0,'Attrition Modeling'!$N$9,0))),0))</f>
        <v>1280.6539116684478</v>
      </c>
      <c r="AG70" s="799">
        <f>IF(AG$69=$F70+1,IF(Monthly!AC$4=TRUE,0,Monthly!AC$17),IF(AG$69&gt;$F70+1,AF70*(1-IF(AG$69-$F70&lt;=12,SUMIFS('Attrition Modeling'!$D:$D,'Attrition Modeling'!$B:$B,$E70,'Attrition Modeling'!$C:$C,AG$68),VLOOKUP(AG$69-$F70-1,$A$7:$C$161,2,FALSE)*VLOOKUP(AG$1,'Attrition Modeling'!$L$15:$N$27,IF(AG$2-$F3&lt;=24,2,3),FALSE))*(1+Projection!AI$16)*(1+IF(AG135&gt;0,'Attrition Modeling'!$N$9,0))),0))</f>
        <v>1236.7621085016071</v>
      </c>
      <c r="AH70" s="799">
        <f>IF(AH$69=$F70+1,IF(Monthly!AD$4=TRUE,0,Monthly!AD$17),IF(AH$69&gt;$F70+1,AG70*(1-IF(AH$69-$F70&lt;=12,SUMIFS('Attrition Modeling'!$D:$D,'Attrition Modeling'!$B:$B,$E70,'Attrition Modeling'!$C:$C,AH$68),VLOOKUP(AH$69-$F70-1,$A$7:$C$161,2,FALSE)*VLOOKUP(AH$1,'Attrition Modeling'!$L$15:$N$27,IF(AH$2-$F3&lt;=24,2,3),FALSE))*(1+Projection!AJ$16)*(1+IF(AH135&gt;0,'Attrition Modeling'!$N$9,0))),0))</f>
        <v>1196.7062726703687</v>
      </c>
      <c r="AI70" s="799">
        <f>IF(AI$69=$F70+1,IF(Monthly!AE$4=TRUE,0,Monthly!AE$17),IF(AI$69&gt;$F70+1,AH70*(1-IF(AI$69-$F70&lt;=12,SUMIFS('Attrition Modeling'!$D:$D,'Attrition Modeling'!$B:$B,$E70,'Attrition Modeling'!$C:$C,AI$68),VLOOKUP(AI$69-$F70-1,$A$7:$C$161,2,FALSE)*VLOOKUP(AI$1,'Attrition Modeling'!$L$15:$N$27,IF(AI$2-$F3&lt;=24,2,3),FALSE))*(1+Projection!AK$16)*(1+IF(AI135&gt;0,'Attrition Modeling'!$N$9,0))),0))</f>
        <v>1166.2893615019148</v>
      </c>
      <c r="AJ70" s="799">
        <f>IF(AJ$69=$F70+1,IF(Monthly!AF$4=TRUE,0,Monthly!AF$17),IF(AJ$69&gt;$F70+1,AI70*(1-IF(AJ$69-$F70&lt;=12,SUMIFS('Attrition Modeling'!$D:$D,'Attrition Modeling'!$B:$B,$E70,'Attrition Modeling'!$C:$C,AJ$68),VLOOKUP(AJ$69-$F70-1,$A$7:$C$161,2,FALSE)*VLOOKUP(AJ$1,'Attrition Modeling'!$L$15:$N$27,IF(AJ$2-$F3&lt;=24,2,3),FALSE))*(1+Projection!AL$16)*(1+IF(AJ135&gt;0,'Attrition Modeling'!$N$9,0))),0))</f>
        <v>1130.9613462016932</v>
      </c>
      <c r="AK70" s="799">
        <f>IF(AK$69=$F70+1,IF(Monthly!AG$4=TRUE,0,Monthly!AG$17),IF(AK$69&gt;$F70+1,AJ70*(1-IF(AK$69-$F70&lt;=12,SUMIFS('Attrition Modeling'!$D:$D,'Attrition Modeling'!$B:$B,$E70,'Attrition Modeling'!$C:$C,AK$68),VLOOKUP(AK$69-$F70-1,$A$7:$C$161,2,FALSE)*VLOOKUP(AK$1,'Attrition Modeling'!$L$15:$N$27,IF(AK$2-$F3&lt;=24,2,3),FALSE))*(1+Projection!AM$16)*(1+IF(AK135&gt;0,'Attrition Modeling'!$N$9,0))),0))</f>
        <v>1084.6314804397869</v>
      </c>
      <c r="AL70" s="799">
        <f>IF(AL$69=$F70+1,IF(Monthly!AH$4=TRUE,0,Monthly!AH$17),IF(AL$69&gt;$F70+1,AK70*(1-IF(AL$69-$F70&lt;=12,SUMIFS('Attrition Modeling'!$D:$D,'Attrition Modeling'!$B:$B,$E70,'Attrition Modeling'!$C:$C,AL$68),VLOOKUP(AL$69-$F70-1,$A$7:$C$161,2,FALSE)*VLOOKUP(AL$1,'Attrition Modeling'!$L$15:$N$27,IF(AL$2-$F3&lt;=24,2,3),FALSE))*(1+Projection!AN$16)*(1+IF(AL135&gt;0,'Attrition Modeling'!$N$9,0))),0))</f>
        <v>1044.7838113459875</v>
      </c>
      <c r="AM70" s="799">
        <f>IF(AM$69=$F70+1,IF(Monthly!AI$4=TRUE,0,Monthly!AI$17),IF(AM$69&gt;$F70+1,AL70*(1-IF(AM$69-$F70&lt;=12,SUMIFS('Attrition Modeling'!$D:$D,'Attrition Modeling'!$B:$B,$E70,'Attrition Modeling'!$C:$C,AM$68),VLOOKUP(AM$69-$F70-1,$A$7:$C$161,2,FALSE)*VLOOKUP(AM$1,'Attrition Modeling'!$L$15:$N$27,IF(AM$2-$F3&lt;=24,2,3),FALSE))*(1+Projection!AO$16)*(1+IF(AM135&gt;0,'Attrition Modeling'!$N$9,0))),0))</f>
        <v>1004.0582242918194</v>
      </c>
      <c r="AN70" s="799">
        <f>IF(AN$69=$F70+1,IF(Monthly!AJ$4=TRUE,0,Monthly!AJ$17),IF(AN$69&gt;$F70+1,AM70*(1-IF(AN$69-$F70&lt;=12,SUMIFS('Attrition Modeling'!$D:$D,'Attrition Modeling'!$B:$B,$E70,'Attrition Modeling'!$C:$C,AN$68),VLOOKUP(AN$69-$F70-1,$A$7:$C$161,2,FALSE)*VLOOKUP(AN$1,'Attrition Modeling'!$L$15:$N$27,IF(AN$2-$F3&lt;=24,2,3),FALSE))*(1+Projection!AP$16)*(1+IF(AN135&gt;0,'Attrition Modeling'!$N$9,0))),0))</f>
        <v>967.73393544501062</v>
      </c>
      <c r="AO70" s="799">
        <f>IF(AO$69=$F70+1,IF(Monthly!AK$4=TRUE,0,Monthly!AK$17),IF(AO$69&gt;$F70+1,AN70*(1-IF(AO$69-$F70&lt;=12,SUMIFS('Attrition Modeling'!$D:$D,'Attrition Modeling'!$B:$B,$E70,'Attrition Modeling'!$C:$C,AO$68),VLOOKUP(AO$69-$F70-1,$A$7:$C$161,2,FALSE)*VLOOKUP(AO$1,'Attrition Modeling'!$L$15:$N$27,IF(AO$2-$F3&lt;=24,2,3),FALSE))*(1+Projection!AQ$16)*(1+IF(AO135&gt;0,'Attrition Modeling'!$N$9,0))),0))</f>
        <v>934.31699472117998</v>
      </c>
      <c r="AP70" s="799">
        <f>IF(AP$69=$F70+1,IF(Monthly!AL$4=TRUE,0,Monthly!AL$17),IF(AP$69&gt;$F70+1,AO70*(1-IF(AP$69-$F70&lt;=12,SUMIFS('Attrition Modeling'!$D:$D,'Attrition Modeling'!$B:$B,$E70,'Attrition Modeling'!$C:$C,AP$68),VLOOKUP(AP$69-$F70-1,$A$7:$C$161,2,FALSE)*VLOOKUP(AP$1,'Attrition Modeling'!$L$15:$N$27,IF(AP$2-$F3&lt;=24,2,3),FALSE))*(1+Projection!AR$16)*(1+IF(AP135&gt;0,'Attrition Modeling'!$N$9,0))),0))</f>
        <v>903.13798181263235</v>
      </c>
      <c r="AQ70" s="799">
        <f>IF(AQ$69=$F70+1,IF(Monthly!AM$4=TRUE,0,Monthly!AM$17),IF(AQ$69&gt;$F70+1,AP70*(1-IF(AQ$69-$F70&lt;=12,SUMIFS('Attrition Modeling'!$D:$D,'Attrition Modeling'!$B:$B,$E70,'Attrition Modeling'!$C:$C,AQ$68),VLOOKUP(AQ$69-$F70-1,$A$7:$C$161,2,FALSE)*VLOOKUP(AQ$1,'Attrition Modeling'!$L$15:$N$27,IF(AQ$2-$F3&lt;=24,2,3),FALSE))*(1+Projection!AS$16)*(1+IF(AQ135&gt;0,'Attrition Modeling'!$N$9,0))),0))</f>
        <v>878.57581705652512</v>
      </c>
      <c r="AR70" s="799">
        <f>IF(AR$69=$F70+1,IF(Monthly!AN$4=TRUE,0,Monthly!AN$17),IF(AR$69&gt;$F70+1,AQ70*(1-IF(AR$69-$F70&lt;=12,SUMIFS('Attrition Modeling'!$D:$D,'Attrition Modeling'!$B:$B,$E70,'Attrition Modeling'!$C:$C,AR$68),VLOOKUP(AR$69-$F70-1,$A$7:$C$161,2,FALSE)*VLOOKUP(AR$1,'Attrition Modeling'!$L$15:$N$27,IF(AR$2-$F3&lt;=24,2,3),FALSE))*(1+Projection!AT$16)*(1+IF(AR135&gt;0,'Attrition Modeling'!$N$9,0))),0))</f>
        <v>852.40908136024973</v>
      </c>
      <c r="AS70" s="799">
        <f>IF(AS$69=$F70+1,IF(Monthly!AO$4=TRUE,0,Monthly!AO$17),IF(AS$69&gt;$F70+1,AR70*(1-IF(AS$69-$F70&lt;=12,SUMIFS('Attrition Modeling'!$D:$D,'Attrition Modeling'!$B:$B,$E70,'Attrition Modeling'!$C:$C,AS$68),VLOOKUP(AS$69-$F70-1,$A$7:$C$161,2,FALSE)*VLOOKUP(AS$1,'Attrition Modeling'!$L$15:$N$27,IF(AS$2-$F3&lt;=24,2,3),FALSE))*(1+Projection!AU$16)*(1+IF(AS135&gt;0,'Attrition Modeling'!$N$9,0))),0))</f>
        <v>828.07986704281757</v>
      </c>
      <c r="AT70" s="799">
        <f>IF(AT$69=$F70+1,IF(Monthly!AP$4=TRUE,0,Monthly!AP$17),IF(AT$69&gt;$F70+1,AS70*(1-IF(AT$69-$F70&lt;=12,SUMIFS('Attrition Modeling'!$D:$D,'Attrition Modeling'!$B:$B,$E70,'Attrition Modeling'!$C:$C,AT$68),VLOOKUP(AT$69-$F70-1,$A$7:$C$161,2,FALSE)*VLOOKUP(AT$1,'Attrition Modeling'!$L$15:$N$27,IF(AT$2-$F3&lt;=24,2,3),FALSE))*(1+Projection!AV$16)*(1+IF(AT135&gt;0,'Attrition Modeling'!$N$9,0))),0))</f>
        <v>805.67542707271059</v>
      </c>
      <c r="AU70" s="799">
        <f>IF(AU$69=$F70+1,IF(Monthly!AQ$4=TRUE,0,Monthly!AQ$17),IF(AU$69&gt;$F70+1,AT70*(1-IF(AU$69-$F70&lt;=12,SUMIFS('Attrition Modeling'!$D:$D,'Attrition Modeling'!$B:$B,$E70,'Attrition Modeling'!$C:$C,AU$68),VLOOKUP(AU$69-$F70-1,$A$7:$C$161,2,FALSE)*VLOOKUP(AU$1,'Attrition Modeling'!$L$15:$N$27,IF(AU$2-$F3&lt;=24,2,3),FALSE))*(1+Projection!AW$16)*(1+IF(AU135&gt;0,'Attrition Modeling'!$N$9,0))),0))</f>
        <v>788.51844224918432</v>
      </c>
      <c r="AV70" s="799">
        <f>IF(AV$69=$F70+1,IF(Monthly!AR$4=TRUE,0,Monthly!AR$17),IF(AV$69&gt;$F70+1,AU70*(1-IF(AV$69-$F70&lt;=12,SUMIFS('Attrition Modeling'!$D:$D,'Attrition Modeling'!$B:$B,$E70,'Attrition Modeling'!$C:$C,AV$68),VLOOKUP(AV$69-$F70-1,$A$7:$C$161,2,FALSE)*VLOOKUP(AV$1,'Attrition Modeling'!$L$15:$N$27,IF(AV$2-$F3&lt;=24,2,3),FALSE))*(1+Projection!AX$16)*(1+IF(AV135&gt;0,'Attrition Modeling'!$N$9,0))),0))</f>
        <v>768.45185998023715</v>
      </c>
      <c r="AW70" s="799">
        <f>IF(AW$69=$F70+1,IF(Monthly!AS$4=TRUE,0,Monthly!AS$17),IF(AW$69&gt;$F70+1,AV70*(1-IF(AW$69-$F70&lt;=12,SUMIFS('Attrition Modeling'!$D:$D,'Attrition Modeling'!$B:$B,$E70,'Attrition Modeling'!$C:$C,AW$68),VLOOKUP(AW$69-$F70-1,$A$7:$C$161,2,FALSE)*VLOOKUP(AW$1,'Attrition Modeling'!$L$15:$N$27,IF(AW$2-$F3&lt;=24,2,3),FALSE))*(1+Projection!AY$16)*(1+IF(AW135&gt;0,'Attrition Modeling'!$N$9,0))),0))</f>
        <v>741.93608089760528</v>
      </c>
      <c r="AX70" s="799">
        <f>IF(AX$69=$F70+1,IF(Monthly!AT$4=TRUE,0,Monthly!AT$17),IF(AX$69&gt;$F70+1,AW70*(1-IF(AX$69-$F70&lt;=12,SUMIFS('Attrition Modeling'!$D:$D,'Attrition Modeling'!$B:$B,$E70,'Attrition Modeling'!$C:$C,AX$68),VLOOKUP(AX$69-$F70-1,$A$7:$C$161,2,FALSE)*VLOOKUP(AX$1,'Attrition Modeling'!$L$15:$N$27,IF(AX$2-$F3&lt;=24,2,3),FALSE))*(1+Projection!AZ$16)*(1+IF(AX135&gt;0,'Attrition Modeling'!$N$9,0))),0))</f>
        <v>718.92041673213453</v>
      </c>
      <c r="AY70" s="799">
        <f>IF(AY$69=$F70+1,IF(Monthly!AU$4=TRUE,0,Monthly!AU$17),IF(AY$69&gt;$F70+1,AX70*(1-IF(AY$69-$F70&lt;=12,SUMIFS('Attrition Modeling'!$D:$D,'Attrition Modeling'!$B:$B,$E70,'Attrition Modeling'!$C:$C,AY$68),VLOOKUP(AY$69-$F70-1,$A$7:$C$161,2,FALSE)*VLOOKUP(AY$1,'Attrition Modeling'!$L$15:$N$27,IF(AY$2-$F3&lt;=24,2,3),FALSE))*(1+Projection!BA$16)*(1+IF(AY135&gt;0,'Attrition Modeling'!$N$9,0))),0))</f>
        <v>695.20335509421136</v>
      </c>
      <c r="AZ70" s="799">
        <f>IF(AZ$69=$F70+1,IF(Monthly!AV$4=TRUE,0,Monthly!AV$17),IF(AZ$69&gt;$F70+1,AY70*(1-IF(AZ$69-$F70&lt;=12,SUMIFS('Attrition Modeling'!$D:$D,'Attrition Modeling'!$B:$B,$E70,'Attrition Modeling'!$C:$C,AZ$68),VLOOKUP(AZ$69-$F70-1,$A$7:$C$161,2,FALSE)*VLOOKUP(AZ$1,'Attrition Modeling'!$L$15:$N$27,IF(AZ$2-$F3&lt;=24,2,3),FALSE))*(1+Projection!BB$16)*(1+IF(AZ135&gt;0,'Attrition Modeling'!$N$9,0))),0))</f>
        <v>673.87106492420537</v>
      </c>
      <c r="BA70" s="799">
        <f>IF(BA$69=$F70+1,IF(Monthly!AW$4=TRUE,0,Monthly!AW$17),IF(BA$69&gt;$F70+1,AZ70*(1-IF(BA$69-$F70&lt;=12,SUMIFS('Attrition Modeling'!$D:$D,'Attrition Modeling'!$B:$B,$E70,'Attrition Modeling'!$C:$C,BA$68),VLOOKUP(BA$69-$F70-1,$A$7:$C$161,2,FALSE)*VLOOKUP(BA$1,'Attrition Modeling'!$L$15:$N$27,IF(BA$2-$F3&lt;=24,2,3),FALSE))*(1+Projection!BC$16)*(1+IF(BA135&gt;0,'Attrition Modeling'!$N$9,0))),0))</f>
        <v>654.09351153785667</v>
      </c>
      <c r="BB70" s="799">
        <f>IF(BB$69=$F70+1,IF(Monthly!AX$4=TRUE,0,Monthly!AX$17),IF(BB$69&gt;$F70+1,BA70*(1-IF(BB$69-$F70&lt;=12,SUMIFS('Attrition Modeling'!$D:$D,'Attrition Modeling'!$B:$B,$E70,'Attrition Modeling'!$C:$C,BB$68),VLOOKUP(BB$69-$F70-1,$A$7:$C$161,2,FALSE)*VLOOKUP(BB$1,'Attrition Modeling'!$L$15:$N$27,IF(BB$2-$F3&lt;=24,2,3),FALSE))*(1+Projection!BD$16)*(1+IF(BB135&gt;0,'Attrition Modeling'!$N$9,0))),0))</f>
        <v>635.50504368986117</v>
      </c>
      <c r="BC70" s="799">
        <f>IF(BC$69=$F70+1,IF(Monthly!AY$4=TRUE,0,Monthly!AY$17),IF(BC$69&gt;$F70+1,BB70*(1-IF(BC$69-$F70&lt;=12,SUMIFS('Attrition Modeling'!$D:$D,'Attrition Modeling'!$B:$B,$E70,'Attrition Modeling'!$C:$C,BC$68),VLOOKUP(BC$69-$F70-1,$A$7:$C$161,2,FALSE)*VLOOKUP(BC$1,'Attrition Modeling'!$L$15:$N$27,IF(BC$2-$F3&lt;=24,2,3),FALSE))*(1+Projection!BE$16)*(1+IF(BC135&gt;0,'Attrition Modeling'!$N$9,0))),0))</f>
        <v>620.75905250520998</v>
      </c>
      <c r="BD70" s="799">
        <f>IF(BD$69=$F70+1,IF(Monthly!AZ$4=TRUE,0,Monthly!AZ$17),IF(BD$69&gt;$F70+1,BC70*(1-IF(BD$69-$F70&lt;=12,SUMIFS('Attrition Modeling'!$D:$D,'Attrition Modeling'!$B:$B,$E70,'Attrition Modeling'!$C:$C,BD$68),VLOOKUP(BD$69-$F70-1,$A$7:$C$161,2,FALSE)*VLOOKUP(BD$1,'Attrition Modeling'!$L$15:$N$27,IF(BD$2-$F3&lt;=24,2,3),FALSE))*(1+Projection!BF$16)*(1+IF(BD135&gt;0,'Attrition Modeling'!$N$9,0))),0))</f>
        <v>605.06360135906311</v>
      </c>
      <c r="BE70" s="799">
        <f>IF(BE$69=$F70+1,IF(Monthly!BA$4=TRUE,0,Monthly!BA$17),IF(BE$69&gt;$F70+1,BD70*(1-IF(BE$69-$F70&lt;=12,SUMIFS('Attrition Modeling'!$D:$D,'Attrition Modeling'!$B:$B,$E70,'Attrition Modeling'!$C:$C,BE$68),VLOOKUP(BE$69-$F70-1,$A$7:$C$161,2,FALSE)*VLOOKUP(BE$1,'Attrition Modeling'!$L$15:$N$27,IF(BE$2-$F3&lt;=24,2,3),FALSE))*(1+Projection!BG$16)*(1+IF(BE135&gt;0,'Attrition Modeling'!$N$9,0))),0))</f>
        <v>590.38046586542123</v>
      </c>
      <c r="BF70" s="799">
        <f>IF(BF$69=$F70+1,IF(Monthly!BB$4=TRUE,0,Monthly!BB$17),IF(BF$69&gt;$F70+1,BE70*(1-IF(BF$69-$F70&lt;=12,SUMIFS('Attrition Modeling'!$D:$D,'Attrition Modeling'!$B:$B,$E70,'Attrition Modeling'!$C:$C,BF$68),VLOOKUP(BF$69-$F70-1,$A$7:$C$161,2,FALSE)*VLOOKUP(BF$1,'Attrition Modeling'!$L$15:$N$27,IF(BF$2-$F3&lt;=24,2,3),FALSE))*(1+Projection!BH$16)*(1+IF(BF135&gt;0,'Attrition Modeling'!$N$9,0))),0))</f>
        <v>576.78002986517333</v>
      </c>
      <c r="BG70" s="799">
        <f>IF(BG$69=$F70+1,IF(Monthly!BC$4=TRUE,0,Monthly!BC$17),IF(BG$69&gt;$F70+1,BF70*(1-IF(BG$69-$F70&lt;=12,SUMIFS('Attrition Modeling'!$D:$D,'Attrition Modeling'!$B:$B,$E70,'Attrition Modeling'!$C:$C,BG$68),VLOOKUP(BG$69-$F70-1,$A$7:$C$161,2,FALSE)*VLOOKUP(BG$1,'Attrition Modeling'!$L$15:$N$27,IF(BG$2-$F3&lt;=24,2,3),FALSE))*(1+Projection!BI$16)*(1+IF(BG135&gt;0,'Attrition Modeling'!$N$9,0))),0))</f>
        <v>566.30784354387424</v>
      </c>
      <c r="BH70" s="799">
        <f>IF(BH$69=$F70+1,IF(Monthly!BD$4=TRUE,0,Monthly!BD$17),IF(BH$69&gt;$F70+1,BG70*(1-IF(BH$69-$F70&lt;=12,SUMIFS('Attrition Modeling'!$D:$D,'Attrition Modeling'!$B:$B,$E70,'Attrition Modeling'!$C:$C,BH$68),VLOOKUP(BH$69-$F70-1,$A$7:$C$161,2,FALSE)*VLOOKUP(BH$1,'Attrition Modeling'!$L$15:$N$27,IF(BH$2-$F3&lt;=24,2,3),FALSE))*(1+Projection!BJ$16)*(1+IF(BH135&gt;0,'Attrition Modeling'!$N$9,0))),0))</f>
        <v>554.00470747935231</v>
      </c>
      <c r="BI70" s="799">
        <f>IF(BI$69=$F70+1,IF(Monthly!BE$4=TRUE,0,Monthly!BE$17),IF(BI$69&gt;$F70+1,BH70*(1-IF(BI$69-$F70&lt;=12,SUMIFS('Attrition Modeling'!$D:$D,'Attrition Modeling'!$B:$B,$E70,'Attrition Modeling'!$C:$C,BI$68),VLOOKUP(BI$69-$F70-1,$A$7:$C$161,2,FALSE)*VLOOKUP(BI$1,'Attrition Modeling'!$L$15:$N$27,IF(BI$2-$F3&lt;=24,2,3),FALSE))*(1+Projection!BK$16)*(1+IF(BI135&gt;0,'Attrition Modeling'!$N$9,0))),0))</f>
        <v>537.66560509032161</v>
      </c>
      <c r="BJ70" s="799">
        <f>IF(BJ$69=$F70+1,IF(Monthly!BF$4=TRUE,0,Monthly!BF$17),IF(BJ$69&gt;$F70+1,BI70*(1-IF(BJ$69-$F70&lt;=12,SUMIFS('Attrition Modeling'!$D:$D,'Attrition Modeling'!$B:$B,$E70,'Attrition Modeling'!$C:$C,BJ$68),VLOOKUP(BJ$69-$F70-1,$A$7:$C$161,2,FALSE)*VLOOKUP(BJ$1,'Attrition Modeling'!$L$15:$N$27,IF(BJ$2-$F3&lt;=24,2,3),FALSE))*(1+Projection!BL$16)*(1+IF(BJ135&gt;0,'Attrition Modeling'!$N$9,0))),0))</f>
        <v>523.39333013624037</v>
      </c>
      <c r="BK70" s="799">
        <f>IF(BK$69=$F70+1,IF(Monthly!BG$4=TRUE,0,Monthly!BG$17),IF(BK$69&gt;$F70+1,BJ70*(1-IF(BK$69-$F70&lt;=12,SUMIFS('Attrition Modeling'!$D:$D,'Attrition Modeling'!$B:$B,$E70,'Attrition Modeling'!$C:$C,BK$68),VLOOKUP(BK$69-$F70-1,$A$7:$C$161,2,FALSE)*VLOOKUP(BK$1,'Attrition Modeling'!$L$15:$N$27,IF(BK$2-$F3&lt;=24,2,3),FALSE))*(1+Projection!BM$16)*(1+IF(BK135&gt;0,'Attrition Modeling'!$N$9,0))),0))</f>
        <v>508.60217024869604</v>
      </c>
      <c r="BL70" s="799">
        <f>IF(BL$69=$F70+1,IF(Monthly!BH$4=TRUE,0,Monthly!BH$17),IF(BL$69&gt;$F70+1,BK70*(1-IF(BL$69-$F70&lt;=12,SUMIFS('Attrition Modeling'!$D:$D,'Attrition Modeling'!$B:$B,$E70,'Attrition Modeling'!$C:$C,BL$68),VLOOKUP(BL$69-$F70-1,$A$7:$C$161,2,FALSE)*VLOOKUP(BL$1,'Attrition Modeling'!$L$15:$N$27,IF(BL$2-$F3&lt;=24,2,3),FALSE))*(1+Projection!BN$16)*(1+IF(BL135&gt;0,'Attrition Modeling'!$N$9,0))),0))</f>
        <v>495.21951073339409</v>
      </c>
      <c r="BM70" s="799">
        <f>IF(BM$69=$F70+1,IF(Monthly!BI$4=TRUE,0,Monthly!BI$17),IF(BM$69&gt;$F70+1,BL70*(1-IF(BM$69-$F70&lt;=12,SUMIFS('Attrition Modeling'!$D:$D,'Attrition Modeling'!$B:$B,$E70,'Attrition Modeling'!$C:$C,BM$68),VLOOKUP(BM$69-$F70-1,$A$7:$C$161,2,FALSE)*VLOOKUP(BM$1,'Attrition Modeling'!$L$15:$N$27,IF(BM$2-$F3&lt;=24,2,3),FALSE))*(1+Projection!BO$16)*(1+IF(BM135&gt;0,'Attrition Modeling'!$N$9,0))),0))</f>
        <v>482.74416525364461</v>
      </c>
      <c r="BN70" s="799">
        <f>IF(BN$69=$F70+1,IF(Monthly!BJ$4=TRUE,0,Monthly!BJ$17),IF(BN$69&gt;$F70+1,BM70*(1-IF(BN$69-$F70&lt;=12,SUMIFS('Attrition Modeling'!$D:$D,'Attrition Modeling'!$B:$B,$E70,'Attrition Modeling'!$C:$C,BN$68),VLOOKUP(BN$69-$F70-1,$A$7:$C$161,2,FALSE)*VLOOKUP(BN$1,'Attrition Modeling'!$L$15:$N$27,IF(BN$2-$F3&lt;=24,2,3),FALSE))*(1+Projection!BP$16)*(1+IF(BN135&gt;0,'Attrition Modeling'!$N$9,0))),0))</f>
        <v>470.95786713156701</v>
      </c>
      <c r="BO70" s="799">
        <f>IF(BO$69=$F70+1,IF(Monthly!BK$4=TRUE,0,Monthly!BK$17),IF(BO$69&gt;$F70+1,BN70*(1-IF(BO$69-$F70&lt;=12,SUMIFS('Attrition Modeling'!$D:$D,'Attrition Modeling'!$B:$B,$E70,'Attrition Modeling'!$C:$C,BO$68),VLOOKUP(BO$69-$F70-1,$A$7:$C$161,2,FALSE)*VLOOKUP(BO$1,'Attrition Modeling'!$L$15:$N$27,IF(BO$2-$F3&lt;=24,2,3),FALSE))*(1+Projection!BV$16)*(1+IF(BO135&gt;0,'Attrition Modeling'!$N$9,0))),0))</f>
        <v>461.56129592446939</v>
      </c>
      <c r="BP70" s="799">
        <f>IF(BP$69=$F70+1,IF(Monthly!BL$4=TRUE,0,Monthly!BL$17),IF(BP$69&gt;$F70+1,BO70*(1-IF(BP$69-$F70&lt;=12,SUMIFS('Attrition Modeling'!$D:$D,'Attrition Modeling'!$B:$B,$E70,'Attrition Modeling'!$C:$C,BP$68),VLOOKUP(BP$69-$F70-1,$A$7:$C$161,2,FALSE)*VLOOKUP(BP$1,'Attrition Modeling'!$L$15:$N$27,IF(BP$2-$F3&lt;=24,2,3),FALSE))*(1+Projection!BW$16)*(1+IF(BP135&gt;0,'Attrition Modeling'!$N$9,0))),0))</f>
        <v>451.45026593576205</v>
      </c>
      <c r="BQ70" s="799">
        <f>IF(BQ$69=$F70+1,IF(Monthly!BM$4=TRUE,0,Monthly!BM$17),IF(BQ$69&gt;$F70+1,BP70*(1-IF(BQ$69-$F70&lt;=12,SUMIFS('Attrition Modeling'!$D:$D,'Attrition Modeling'!$B:$B,$E70,'Attrition Modeling'!$C:$C,BQ$68),VLOOKUP(BQ$69-$F70-1,$A$7:$C$161,2,FALSE)*VLOOKUP(BQ$1,'Attrition Modeling'!$L$15:$N$27,IF(BQ$2-$F3&lt;=24,2,3),FALSE))*(1+Projection!BX$16)*(1+IF(BQ135&gt;0,'Attrition Modeling'!$N$9,0))),0))</f>
        <v>441.94972147375921</v>
      </c>
      <c r="BR70" s="799">
        <f>IF(BR$69=$F70+1,IF(Monthly!BN$4=TRUE,0,Monthly!BN$17),IF(BR$69&gt;$F70+1,BQ70*(1-IF(BR$69-$F70&lt;=12,SUMIFS('Attrition Modeling'!$D:$D,'Attrition Modeling'!$B:$B,$E70,'Attrition Modeling'!$C:$C,BR$68),VLOOKUP(BR$69-$F70-1,$A$7:$C$161,2,FALSE)*VLOOKUP(BR$1,'Attrition Modeling'!$L$15:$N$27,IF(BR$2-$F3&lt;=24,2,3),FALSE))*(1+Projection!BY$16)*(1+IF(BR135&gt;0,'Attrition Modeling'!$N$9,0))),0))</f>
        <v>433.11279137955199</v>
      </c>
      <c r="BS70" s="799">
        <f>IF(BS$69=$F70+1,IF(Monthly!BO$4=TRUE,0,Monthly!BO$17),IF(BS$69&gt;$F70+1,BR70*(1-IF(BS$69-$F70&lt;=12,SUMIFS('Attrition Modeling'!$D:$D,'Attrition Modeling'!$B:$B,$E70,'Attrition Modeling'!$C:$C,BS$68),VLOOKUP(BS$69-$F70-1,$A$7:$C$161,2,FALSE)*VLOOKUP(BS$1,'Attrition Modeling'!$L$15:$N$27,IF(BS$2-$F3&lt;=24,2,3),FALSE))*(1+Projection!BZ$16)*(1+IF(BS135&gt;0,'Attrition Modeling'!$N$9,0))),0))</f>
        <v>426.28146600284987</v>
      </c>
      <c r="BT70" s="799">
        <f>IF(BT$69=$F70+1,IF(Monthly!#REF!=TRUE,0,Monthly!#REF!),IF(BT$69&gt;$F70+1,BS70*(1-IF(BT$69-$F70&lt;=12,SUMIFS('Attrition Modeling'!$D:$D,'Attrition Modeling'!$B:$B,$E70,'Attrition Modeling'!$C:$C,BT$68),VLOOKUP(BT$69-$F70-1,$A$7:$C$161,2,FALSE)*VLOOKUP(BT$1,'Attrition Modeling'!$L$15:$N$27,IF(BT$2-$F3&lt;=24,2,3),FALSE))*(1+Projection!CA$16)*(1+IF(BT135&gt;0,'Attrition Modeling'!$N$9,0))),0))</f>
        <v>418.22974669066667</v>
      </c>
      <c r="BU70" s="799">
        <f>IF(BU$69=$F70+1,IF(Monthly!#REF!=TRUE,0,Monthly!#REF!),IF(BU$69&gt;$F70+1,BT70*(1-IF(BU$69-$F70&lt;=12,SUMIFS('Attrition Modeling'!$D:$D,'Attrition Modeling'!$B:$B,$E70,'Attrition Modeling'!$C:$C,BU$68),VLOOKUP(BU$69-$F70-1,$A$7:$C$161,2,FALSE)*VLOOKUP(BU$1,'Attrition Modeling'!$L$15:$N$27,IF(BU$2-$F3&lt;=24,2,3),FALSE))*(1+Projection!CB$16)*(1+IF(BU135&gt;0,'Attrition Modeling'!$N$9,0))),0))</f>
        <v>409.28613000895604</v>
      </c>
    </row>
    <row r="71" spans="1:73" ht="14.25" customHeight="1" x14ac:dyDescent="0.2">
      <c r="A71" s="9">
        <v>64</v>
      </c>
      <c r="B71" s="25">
        <f>MAX('Attrition Modeling'!H68,$C$3)*(1-Summary!$C$20)</f>
        <v>2.1206060607729324E-2</v>
      </c>
      <c r="C71" s="24" t="e">
        <f t="shared" si="4"/>
        <v>#DIV/0!</v>
      </c>
      <c r="E71" s="11">
        <f t="shared" si="9"/>
        <v>1</v>
      </c>
      <c r="F71" s="11">
        <f t="shared" ref="F71:F130" si="10">F70+1</f>
        <v>1</v>
      </c>
      <c r="G71" s="799"/>
      <c r="H71" s="799">
        <f>IF(H$69=$F71+1,IF(Monthly!D$4=TRUE,0,Monthly!D$17),IF(H$69&gt;$F71+1,G71*(1-IF(H$69-$F71&lt;=12,SUMIFS('Attrition Modeling'!$D:$D,'Attrition Modeling'!$B:$B,$E71,'Attrition Modeling'!$C:$C,H$68),VLOOKUP(H$69-$F71-1,$A$7:$C$161,2,FALSE)*VLOOKUP(H$1,'Attrition Modeling'!$L$15:$N$27,IF(H$2-$F4&lt;=24,2,3),FALSE))*(1+Projection!J$16)*(1+IF(H136&gt;0,'Attrition Modeling'!$N$9,0))),0))</f>
        <v>0</v>
      </c>
      <c r="I71" s="799">
        <f>IF(I$69=$F71+1,IF(Monthly!E$4=TRUE,0,Monthly!E$17),IF(I$69&gt;$F71+1,H71*(1-IF(I$69-$F71&lt;=12,SUMIFS('Attrition Modeling'!$D:$D,'Attrition Modeling'!$B:$B,$E71,'Attrition Modeling'!$C:$C,I$68),VLOOKUP(I$69-$F71-1,$A$7:$C$161,2,FALSE)*VLOOKUP(I$1,'Attrition Modeling'!$L$15:$N$27,IF(I$2-$F4&lt;=24,2,3),FALSE))*(1+Projection!K$16)*(1+IF(I136&gt;0,'Attrition Modeling'!$N$9,0))),0))</f>
        <v>2281.005058304313</v>
      </c>
      <c r="J71" s="799">
        <f>IF(J$69=$F71+1,IF(Monthly!F$4=TRUE,0,Monthly!F$17),IF(J$69&gt;$F71+1,I71*(1-IF(J$69-$F71&lt;=12,SUMIFS('Attrition Modeling'!$D:$D,'Attrition Modeling'!$B:$B,$E71,'Attrition Modeling'!$C:$C,J$68),VLOOKUP(J$69-$F71-1,$A$7:$C$161,2,FALSE)*VLOOKUP(J$1,'Attrition Modeling'!$L$15:$N$27,IF(J$2-$F4&lt;=24,2,3),FALSE))*(1+Projection!L$16)*(1+IF(J136&gt;0,'Attrition Modeling'!$N$9,0))),0))</f>
        <v>2051.1853589614375</v>
      </c>
      <c r="K71" s="799">
        <f>IF(K$69=$F71+1,IF(Monthly!G$4=TRUE,0,Monthly!G$17),IF(K$69&gt;$F71+1,J71*(1-IF(K$69-$F71&lt;=12,SUMIFS('Attrition Modeling'!$D:$D,'Attrition Modeling'!$B:$B,$E71,'Attrition Modeling'!$C:$C,K$68),VLOOKUP(K$69-$F71-1,$A$7:$C$161,2,FALSE)*VLOOKUP(K$1,'Attrition Modeling'!$L$15:$N$27,IF(K$2-$F4&lt;=24,2,3),FALSE))*(1+Projection!M$16)*(1+IF(K136&gt;0,'Attrition Modeling'!$N$9,0))),0))</f>
        <v>1879.8875672261399</v>
      </c>
      <c r="L71" s="799">
        <f>IF(L$69=$F71+1,IF(Monthly!H$4=TRUE,0,Monthly!H$17),IF(L$69&gt;$F71+1,K71*(1-IF(L$69-$F71&lt;=12,SUMIFS('Attrition Modeling'!$D:$D,'Attrition Modeling'!$B:$B,$E71,'Attrition Modeling'!$C:$C,L$68),VLOOKUP(L$69-$F71-1,$A$7:$C$161,2,FALSE)*VLOOKUP(L$1,'Attrition Modeling'!$L$15:$N$27,IF(L$2-$F4&lt;=24,2,3),FALSE))*(1+Projection!N$16)*(1+IF(L136&gt;0,'Attrition Modeling'!$N$9,0))),0))</f>
        <v>1706.9775954678792</v>
      </c>
      <c r="M71" s="799">
        <f>IF(M$69=$F71+1,IF(Monthly!I$4=TRUE,0,Monthly!I$17),IF(M$69&gt;$F71+1,L71*(1-IF(M$69-$F71&lt;=12,SUMIFS('Attrition Modeling'!$D:$D,'Attrition Modeling'!$B:$B,$E71,'Attrition Modeling'!$C:$C,M$68),VLOOKUP(M$69-$F71-1,$A$7:$C$161,2,FALSE)*VLOOKUP(M$1,'Attrition Modeling'!$L$15:$N$27,IF(M$2-$F4&lt;=24,2,3),FALSE))*(1+Projection!O$16)*(1+IF(M136&gt;0,'Attrition Modeling'!$N$9,0))),0))</f>
        <v>1568.7101399547789</v>
      </c>
      <c r="N71" s="799">
        <f>IF(N$69=$F71+1,IF(Monthly!J$4=TRUE,0,Monthly!J$17),IF(N$69&gt;$F71+1,M71*(1-IF(N$69-$F71&lt;=12,SUMIFS('Attrition Modeling'!$D:$D,'Attrition Modeling'!$B:$B,$E71,'Attrition Modeling'!$C:$C,N$68),VLOOKUP(N$69-$F71-1,$A$7:$C$161,2,FALSE)*VLOOKUP(N$1,'Attrition Modeling'!$L$15:$N$27,IF(N$2-$F4&lt;=24,2,3),FALSE))*(1+Projection!P$16)*(1+IF(N136&gt;0,'Attrition Modeling'!$N$9,0))),0))</f>
        <v>1407.1396656949519</v>
      </c>
      <c r="O71" s="799">
        <f>IF(O$69=$F71+1,IF(Monthly!K$4=TRUE,0,Monthly!K$17),IF(O$69&gt;$F71+1,N71*(1-IF(O$69-$F71&lt;=12,SUMIFS('Attrition Modeling'!$D:$D,'Attrition Modeling'!$B:$B,$E71,'Attrition Modeling'!$C:$C,O$68),VLOOKUP(O$69-$F71-1,$A$7:$C$161,2,FALSE)*VLOOKUP(O$1,'Attrition Modeling'!$L$15:$N$27,IF(O$2-$F4&lt;=24,2,3),FALSE))*(1+Projection!Q$16)*(1+IF(O136&gt;0,'Attrition Modeling'!$N$9,0))),0))</f>
        <v>1299.8181506043538</v>
      </c>
      <c r="P71" s="799">
        <f>IF(P$69=$F71+1,IF(Monthly!L$4=TRUE,0,Monthly!L$17),IF(P$69&gt;$F71+1,O71*(1-IF(P$69-$F71&lt;=12,SUMIFS('Attrition Modeling'!$D:$D,'Attrition Modeling'!$B:$B,$E71,'Attrition Modeling'!$C:$C,P$68),VLOOKUP(P$69-$F71-1,$A$7:$C$161,2,FALSE)*VLOOKUP(P$1,'Attrition Modeling'!$L$15:$N$27,IF(P$2-$F4&lt;=24,2,3),FALSE))*(1+Projection!R$16)*(1+IF(P136&gt;0,'Attrition Modeling'!$N$9,0))),0))</f>
        <v>1220.0998744877991</v>
      </c>
      <c r="Q71" s="799">
        <f>IF(Q$69=$F71+1,IF(Monthly!M$4=TRUE,0,Monthly!M$17),IF(Q$69&gt;$F71+1,P71*(1-IF(Q$69-$F71&lt;=12,SUMIFS('Attrition Modeling'!$D:$D,'Attrition Modeling'!$B:$B,$E71,'Attrition Modeling'!$C:$C,Q$68),VLOOKUP(Q$69-$F71-1,$A$7:$C$161,2,FALSE)*VLOOKUP(Q$1,'Attrition Modeling'!$L$15:$N$27,IF(Q$2-$F4&lt;=24,2,3),FALSE))*(1+Projection!S$16)*(1+IF(Q136&gt;0,'Attrition Modeling'!$N$9,0))),0))</f>
        <v>1141.8039181661379</v>
      </c>
      <c r="R71" s="799">
        <f>IF(R$69=$F71+1,IF(Monthly!N$4=TRUE,0,Monthly!N$17),IF(R$69&gt;$F71+1,Q71*(1-IF(R$69-$F71&lt;=12,SUMIFS('Attrition Modeling'!$D:$D,'Attrition Modeling'!$B:$B,$E71,'Attrition Modeling'!$C:$C,R$68),VLOOKUP(R$69-$F71-1,$A$7:$C$161,2,FALSE)*VLOOKUP(R$1,'Attrition Modeling'!$L$15:$N$27,IF(R$2-$F4&lt;=24,2,3),FALSE))*(1+Projection!T$16)*(1+IF(R136&gt;0,'Attrition Modeling'!$N$9,0))),0))</f>
        <v>1073.5949270470426</v>
      </c>
      <c r="S71" s="799">
        <f>IF(S$69=$F71+1,IF(Monthly!O$4=TRUE,0,Monthly!O$17),IF(S$69&gt;$F71+1,R71*(1-IF(S$69-$F71&lt;=12,SUMIFS('Attrition Modeling'!$D:$D,'Attrition Modeling'!$B:$B,$E71,'Attrition Modeling'!$C:$C,S$68),VLOOKUP(S$69-$F71-1,$A$7:$C$161,2,FALSE)*VLOOKUP(S$1,'Attrition Modeling'!$L$15:$N$27,IF(S$2-$F4&lt;=24,2,3),FALSE))*(1+Projection!U$16)*(1+IF(S136&gt;0,'Attrition Modeling'!$N$9,0))),0))</f>
        <v>1010.8133180548305</v>
      </c>
      <c r="T71" s="799">
        <f>IF(T$69=$F71+1,IF(Monthly!P$4=TRUE,0,Monthly!P$17),IF(T$69&gt;$F71+1,S71*(1-IF(T$69-$F71&lt;=12,SUMIFS('Attrition Modeling'!$D:$D,'Attrition Modeling'!$B:$B,$E71,'Attrition Modeling'!$C:$C,T$68),VLOOKUP(T$69-$F71-1,$A$7:$C$161,2,FALSE)*VLOOKUP(T$1,'Attrition Modeling'!$L$15:$N$27,IF(T$2-$F4&lt;=24,2,3),FALSE))*(1+Projection!V$16)*(1+IF(T136&gt;0,'Attrition Modeling'!$N$9,0))),0))</f>
        <v>984.89660031096321</v>
      </c>
      <c r="U71" s="799">
        <f>IF(U$69=$F71+1,IF(Monthly!Q$4=TRUE,0,Monthly!Q$17),IF(U$69&gt;$F71+1,T71*(1-IF(U$69-$F71&lt;=12,SUMIFS('Attrition Modeling'!$D:$D,'Attrition Modeling'!$B:$B,$E71,'Attrition Modeling'!$C:$C,U$68),VLOOKUP(U$69-$F71-1,$A$7:$C$161,2,FALSE)*VLOOKUP(U$1,'Attrition Modeling'!$L$15:$N$27,IF(U$2-$F4&lt;=24,2,3),FALSE))*(1+Projection!W$16)*(1+IF(U136&gt;0,'Attrition Modeling'!$N$9,0))),0))</f>
        <v>937.06445479818649</v>
      </c>
      <c r="V71" s="799">
        <f>IF(V$69=$F71+1,IF(Monthly!R$4=TRUE,0,Monthly!R$17),IF(V$69&gt;$F71+1,U71*(1-IF(V$69-$F71&lt;=12,SUMIFS('Attrition Modeling'!$D:$D,'Attrition Modeling'!$B:$B,$E71,'Attrition Modeling'!$C:$C,V$68),VLOOKUP(V$69-$F71-1,$A$7:$C$161,2,FALSE)*VLOOKUP(V$1,'Attrition Modeling'!$L$15:$N$27,IF(V$2-$F4&lt;=24,2,3),FALSE))*(1+Projection!X$16)*(1+IF(V136&gt;0,'Attrition Modeling'!$N$9,0))),0))</f>
        <v>891.35141339557731</v>
      </c>
      <c r="W71" s="799">
        <f>IF(W$69=$F71+1,IF(Monthly!S$4=TRUE,0,Monthly!S$17),IF(W$69&gt;$F71+1,V71*(1-IF(W$69-$F71&lt;=12,SUMIFS('Attrition Modeling'!$D:$D,'Attrition Modeling'!$B:$B,$E71,'Attrition Modeling'!$C:$C,W$68),VLOOKUP(W$69-$F71-1,$A$7:$C$161,2,FALSE)*VLOOKUP(W$1,'Attrition Modeling'!$L$15:$N$27,IF(W$2-$F4&lt;=24,2,3),FALSE))*(1+Projection!Y$16)*(1+IF(W136&gt;0,'Attrition Modeling'!$N$9,0))),0))</f>
        <v>850.69118096275986</v>
      </c>
      <c r="X71" s="799">
        <f>IF(X$69=$F71+1,IF(Monthly!T$4=TRUE,0,Monthly!T$17),IF(X$69&gt;$F71+1,W71*(1-IF(X$69-$F71&lt;=12,SUMIFS('Attrition Modeling'!$D:$D,'Attrition Modeling'!$B:$B,$E71,'Attrition Modeling'!$C:$C,X$68),VLOOKUP(X$69-$F71-1,$A$7:$C$161,2,FALSE)*VLOOKUP(X$1,'Attrition Modeling'!$L$15:$N$27,IF(X$2-$F4&lt;=24,2,3),FALSE))*(1+Projection!Z$16)*(1+IF(X136&gt;0,'Attrition Modeling'!$N$9,0))),0))</f>
        <v>813.57028625857174</v>
      </c>
      <c r="Y71" s="799">
        <f>IF(Y$69=$F71+1,IF(Monthly!U$4=TRUE,0,Monthly!U$17),IF(Y$69&gt;$F71+1,X71*(1-IF(Y$69-$F71&lt;=12,SUMIFS('Attrition Modeling'!$D:$D,'Attrition Modeling'!$B:$B,$E71,'Attrition Modeling'!$C:$C,Y$68),VLOOKUP(Y$69-$F71-1,$A$7:$C$161,2,FALSE)*VLOOKUP(Y$1,'Attrition Modeling'!$L$15:$N$27,IF(Y$2-$F4&lt;=24,2,3),FALSE))*(1+Projection!AA$16)*(1+IF(Y136&gt;0,'Attrition Modeling'!$N$9,0))),0))</f>
        <v>775.74083997638786</v>
      </c>
      <c r="Z71" s="799">
        <f>IF(Z$69=$F71+1,IF(Monthly!V$4=TRUE,0,Monthly!V$17),IF(Z$69&gt;$F71+1,Y71*(1-IF(Z$69-$F71&lt;=12,SUMIFS('Attrition Modeling'!$D:$D,'Attrition Modeling'!$B:$B,$E71,'Attrition Modeling'!$C:$C,Z$68),VLOOKUP(Z$69-$F71-1,$A$7:$C$161,2,FALSE)*VLOOKUP(Z$1,'Attrition Modeling'!$L$15:$N$27,IF(Z$2-$F4&lt;=24,2,3),FALSE))*(1+Projection!AB$16)*(1+IF(Z136&gt;0,'Attrition Modeling'!$N$9,0))),0))</f>
        <v>732.52868033382128</v>
      </c>
      <c r="AA71" s="799">
        <f>IF(AA$69=$F71+1,IF(Monthly!W$4=TRUE,0,Monthly!W$17),IF(AA$69&gt;$F71+1,Z71*(1-IF(AA$69-$F71&lt;=12,SUMIFS('Attrition Modeling'!$D:$D,'Attrition Modeling'!$B:$B,$E71,'Attrition Modeling'!$C:$C,AA$68),VLOOKUP(AA$69-$F71-1,$A$7:$C$161,2,FALSE)*VLOOKUP(AA$1,'Attrition Modeling'!$L$15:$N$27,IF(AA$2-$F4&lt;=24,2,3),FALSE))*(1+Projection!AC$16)*(1+IF(AA136&gt;0,'Attrition Modeling'!$N$9,0))),0))</f>
        <v>697.78266214781695</v>
      </c>
      <c r="AB71" s="799">
        <f>IF(AB$69=$F71+1,IF(Monthly!X$4=TRUE,0,Monthly!X$17),IF(AB$69&gt;$F71+1,AA71*(1-IF(AB$69-$F71&lt;=12,SUMIFS('Attrition Modeling'!$D:$D,'Attrition Modeling'!$B:$B,$E71,'Attrition Modeling'!$C:$C,AB$68),VLOOKUP(AB$69-$F71-1,$A$7:$C$161,2,FALSE)*VLOOKUP(AB$1,'Attrition Modeling'!$L$15:$N$27,IF(AB$2-$F4&lt;=24,2,3),FALSE))*(1+Projection!AD$16)*(1+IF(AB136&gt;0,'Attrition Modeling'!$N$9,0))),0))</f>
        <v>668.17511027745331</v>
      </c>
      <c r="AC71" s="799">
        <f>IF(AC$69=$F71+1,IF(Monthly!Y$4=TRUE,0,Monthly!Y$17),IF(AC$69&gt;$F71+1,AB71*(1-IF(AC$69-$F71&lt;=12,SUMIFS('Attrition Modeling'!$D:$D,'Attrition Modeling'!$B:$B,$E71,'Attrition Modeling'!$C:$C,AC$68),VLOOKUP(AC$69-$F71-1,$A$7:$C$161,2,FALSE)*VLOOKUP(AC$1,'Attrition Modeling'!$L$15:$N$27,IF(AC$2-$F4&lt;=24,2,3),FALSE))*(1+Projection!AE$16)*(1+IF(AC136&gt;0,'Attrition Modeling'!$N$9,0))),0))</f>
        <v>639.66343933892813</v>
      </c>
      <c r="AD71" s="799">
        <f>IF(AD$69=$F71+1,IF(Monthly!Z$4=TRUE,0,Monthly!Z$17),IF(AD$69&gt;$F71+1,AC71*(1-IF(AD$69-$F71&lt;=12,SUMIFS('Attrition Modeling'!$D:$D,'Attrition Modeling'!$B:$B,$E71,'Attrition Modeling'!$C:$C,AD$68),VLOOKUP(AD$69-$F71-1,$A$7:$C$161,2,FALSE)*VLOOKUP(AD$1,'Attrition Modeling'!$L$15:$N$27,IF(AD$2-$F4&lt;=24,2,3),FALSE))*(1+Projection!AF$16)*(1+IF(AD136&gt;0,'Attrition Modeling'!$N$9,0))),0))</f>
        <v>613.81408562119384</v>
      </c>
      <c r="AE71" s="799">
        <f>IF(AE$69=$F71+1,IF(Monthly!AA$4=TRUE,0,Monthly!AA$17),IF(AE$69&gt;$F71+1,AD71*(1-IF(AE$69-$F71&lt;=12,SUMIFS('Attrition Modeling'!$D:$D,'Attrition Modeling'!$B:$B,$E71,'Attrition Modeling'!$C:$C,AE$68),VLOOKUP(AE$69-$F71-1,$A$7:$C$161,2,FALSE)*VLOOKUP(AE$1,'Attrition Modeling'!$L$15:$N$27,IF(AE$2-$F4&lt;=24,2,3),FALSE))*(1+Projection!AG$16)*(1+IF(AE136&gt;0,'Attrition Modeling'!$N$9,0))),0))</f>
        <v>589.62057120316399</v>
      </c>
      <c r="AF71" s="799">
        <f>IF(AF$69=$F71+1,IF(Monthly!AB$4=TRUE,0,Monthly!AB$17),IF(AF$69&gt;$F71+1,AE71*(1-IF(AF$69-$F71&lt;=12,SUMIFS('Attrition Modeling'!$D:$D,'Attrition Modeling'!$B:$B,$E71,'Attrition Modeling'!$C:$C,AF$68),VLOOKUP(AF$69-$F71-1,$A$7:$C$161,2,FALSE)*VLOOKUP(AF$1,'Attrition Modeling'!$L$15:$N$27,IF(AF$2-$F4&lt;=24,2,3),FALSE))*(1+Projection!AH$16)*(1+IF(AF136&gt;0,'Attrition Modeling'!$N$9,0))),0))</f>
        <v>566.66745723728093</v>
      </c>
      <c r="AG71" s="799">
        <f>IF(AG$69=$F71+1,IF(Monthly!AC$4=TRUE,0,Monthly!AC$17),IF(AG$69&gt;$F71+1,AF71*(1-IF(AG$69-$F71&lt;=12,SUMIFS('Attrition Modeling'!$D:$D,'Attrition Modeling'!$B:$B,$E71,'Attrition Modeling'!$C:$C,AG$68),VLOOKUP(AG$69-$F71-1,$A$7:$C$161,2,FALSE)*VLOOKUP(AG$1,'Attrition Modeling'!$L$15:$N$27,IF(AG$2-$F4&lt;=24,2,3),FALSE))*(1+Projection!AI$16)*(1+IF(AG136&gt;0,'Attrition Modeling'!$N$9,0))),0))</f>
        <v>546.90791166782185</v>
      </c>
      <c r="AH71" s="799">
        <f>IF(AH$69=$F71+1,IF(Monthly!AD$4=TRUE,0,Monthly!AD$17),IF(AH$69&gt;$F71+1,AG71*(1-IF(AH$69-$F71&lt;=12,SUMIFS('Attrition Modeling'!$D:$D,'Attrition Modeling'!$B:$B,$E71,'Attrition Modeling'!$C:$C,AH$68),VLOOKUP(AH$69-$F71-1,$A$7:$C$161,2,FALSE)*VLOOKUP(AH$1,'Attrition Modeling'!$L$15:$N$27,IF(AH$2-$F4&lt;=24,2,3),FALSE))*(1+Projection!AJ$16)*(1+IF(AH136&gt;0,'Attrition Modeling'!$N$9,0))),0))</f>
        <v>528.89347098711289</v>
      </c>
      <c r="AI71" s="799">
        <f>IF(AI$69=$F71+1,IF(Monthly!AE$4=TRUE,0,Monthly!AE$17),IF(AI$69&gt;$F71+1,AH71*(1-IF(AI$69-$F71&lt;=12,SUMIFS('Attrition Modeling'!$D:$D,'Attrition Modeling'!$B:$B,$E71,'Attrition Modeling'!$C:$C,AI$68),VLOOKUP(AI$69-$F71-1,$A$7:$C$161,2,FALSE)*VLOOKUP(AI$1,'Attrition Modeling'!$L$15:$N$27,IF(AI$2-$F4&lt;=24,2,3),FALSE))*(1+Projection!AK$16)*(1+IF(AI136&gt;0,'Attrition Modeling'!$N$9,0))),0))</f>
        <v>515.22673523733226</v>
      </c>
      <c r="AJ71" s="799">
        <f>IF(AJ$69=$F71+1,IF(Monthly!AF$4=TRUE,0,Monthly!AF$17),IF(AJ$69&gt;$F71+1,AI71*(1-IF(AJ$69-$F71&lt;=12,SUMIFS('Attrition Modeling'!$D:$D,'Attrition Modeling'!$B:$B,$E71,'Attrition Modeling'!$C:$C,AJ$68),VLOOKUP(AJ$69-$F71-1,$A$7:$C$161,2,FALSE)*VLOOKUP(AJ$1,'Attrition Modeling'!$L$15:$N$27,IF(AJ$2-$F4&lt;=24,2,3),FALSE))*(1+Projection!AL$16)*(1+IF(AJ136&gt;0,'Attrition Modeling'!$N$9,0))),0))</f>
        <v>499.36563120571168</v>
      </c>
      <c r="AK71" s="799">
        <f>IF(AK$69=$F71+1,IF(Monthly!AG$4=TRUE,0,Monthly!AG$17),IF(AK$69&gt;$F71+1,AJ71*(1-IF(AK$69-$F71&lt;=12,SUMIFS('Attrition Modeling'!$D:$D,'Attrition Modeling'!$B:$B,$E71,'Attrition Modeling'!$C:$C,AK$68),VLOOKUP(AK$69-$F71-1,$A$7:$C$161,2,FALSE)*VLOOKUP(AK$1,'Attrition Modeling'!$L$15:$N$27,IF(AK$2-$F4&lt;=24,2,3),FALSE))*(1+Projection!AM$16)*(1+IF(AK136&gt;0,'Attrition Modeling'!$N$9,0))),0))</f>
        <v>482.04611719963629</v>
      </c>
      <c r="AL71" s="799">
        <f>IF(AL$69=$F71+1,IF(Monthly!AH$4=TRUE,0,Monthly!AH$17),IF(AL$69&gt;$F71+1,AK71*(1-IF(AL$69-$F71&lt;=12,SUMIFS('Attrition Modeling'!$D:$D,'Attrition Modeling'!$B:$B,$E71,'Attrition Modeling'!$C:$C,AL$68),VLOOKUP(AL$69-$F71-1,$A$7:$C$161,2,FALSE)*VLOOKUP(AL$1,'Attrition Modeling'!$L$15:$N$27,IF(AL$2-$F4&lt;=24,2,3),FALSE))*(1+Projection!AN$16)*(1+IF(AL136&gt;0,'Attrition Modeling'!$N$9,0))),0))</f>
        <v>460.46134693677163</v>
      </c>
      <c r="AM71" s="799">
        <f>IF(AM$69=$F71+1,IF(Monthly!AI$4=TRUE,0,Monthly!AI$17),IF(AM$69&gt;$F71+1,AL71*(1-IF(AM$69-$F71&lt;=12,SUMIFS('Attrition Modeling'!$D:$D,'Attrition Modeling'!$B:$B,$E71,'Attrition Modeling'!$C:$C,AM$68),VLOOKUP(AM$69-$F71-1,$A$7:$C$161,2,FALSE)*VLOOKUP(AM$1,'Attrition Modeling'!$L$15:$N$27,IF(AM$2-$F4&lt;=24,2,3),FALSE))*(1+Projection!AO$16)*(1+IF(AM136&gt;0,'Attrition Modeling'!$N$9,0))),0))</f>
        <v>442.23620338372092</v>
      </c>
      <c r="AN71" s="799">
        <f>IF(AN$69=$F71+1,IF(Monthly!AJ$4=TRUE,0,Monthly!AJ$17),IF(AN$69&gt;$F71+1,AM71*(1-IF(AN$69-$F71&lt;=12,SUMIFS('Attrition Modeling'!$D:$D,'Attrition Modeling'!$B:$B,$E71,'Attrition Modeling'!$C:$C,AN$68),VLOOKUP(AN$69-$F71-1,$A$7:$C$161,2,FALSE)*VLOOKUP(AN$1,'Attrition Modeling'!$L$15:$N$27,IF(AN$2-$F4&lt;=24,2,3),FALSE))*(1+Projection!AP$16)*(1+IF(AN136&gt;0,'Attrition Modeling'!$N$9,0))),0))</f>
        <v>425.9950540595591</v>
      </c>
      <c r="AO71" s="799">
        <f>IF(AO$69=$F71+1,IF(Monthly!AK$4=TRUE,0,Monthly!AK$17),IF(AO$69&gt;$F71+1,AN71*(1-IF(AO$69-$F71&lt;=12,SUMIFS('Attrition Modeling'!$D:$D,'Attrition Modeling'!$B:$B,$E71,'Attrition Modeling'!$C:$C,AO$68),VLOOKUP(AO$69-$F71-1,$A$7:$C$161,2,FALSE)*VLOOKUP(AO$1,'Attrition Modeling'!$L$15:$N$27,IF(AO$2-$F4&lt;=24,2,3),FALSE))*(1+Projection!AQ$16)*(1+IF(AO136&gt;0,'Attrition Modeling'!$N$9,0))),0))</f>
        <v>411.06595251604665</v>
      </c>
      <c r="AP71" s="799">
        <f>IF(AP$69=$F71+1,IF(Monthly!AL$4=TRUE,0,Monthly!AL$17),IF(AP$69&gt;$F71+1,AO71*(1-IF(AP$69-$F71&lt;=12,SUMIFS('Attrition Modeling'!$D:$D,'Attrition Modeling'!$B:$B,$E71,'Attrition Modeling'!$C:$C,AP$68),VLOOKUP(AP$69-$F71-1,$A$7:$C$161,2,FALSE)*VLOOKUP(AP$1,'Attrition Modeling'!$L$15:$N$27,IF(AP$2-$F4&lt;=24,2,3),FALSE))*(1+Projection!AR$16)*(1+IF(AP136&gt;0,'Attrition Modeling'!$N$9,0))),0))</f>
        <v>397.14726194633698</v>
      </c>
      <c r="AQ71" s="799">
        <f>IF(AQ$69=$F71+1,IF(Monthly!AM$4=TRUE,0,Monthly!AM$17),IF(AQ$69&gt;$F71+1,AP71*(1-IF(AQ$69-$F71&lt;=12,SUMIFS('Attrition Modeling'!$D:$D,'Attrition Modeling'!$B:$B,$E71,'Attrition Modeling'!$C:$C,AQ$68),VLOOKUP(AQ$69-$F71-1,$A$7:$C$161,2,FALSE)*VLOOKUP(AQ$1,'Attrition Modeling'!$L$15:$N$27,IF(AQ$2-$F4&lt;=24,2,3),FALSE))*(1+Projection!AS$16)*(1+IF(AQ136&gt;0,'Attrition Modeling'!$N$9,0))),0))</f>
        <v>386.1903306683318</v>
      </c>
      <c r="AR71" s="799">
        <f>IF(AR$69=$F71+1,IF(Monthly!AN$4=TRUE,0,Monthly!AN$17),IF(AR$69&gt;$F71+1,AQ71*(1-IF(AR$69-$F71&lt;=12,SUMIFS('Attrition Modeling'!$D:$D,'Attrition Modeling'!$B:$B,$E71,'Attrition Modeling'!$C:$C,AR$68),VLOOKUP(AR$69-$F71-1,$A$7:$C$161,2,FALSE)*VLOOKUP(AR$1,'Attrition Modeling'!$L$15:$N$27,IF(AR$2-$F4&lt;=24,2,3),FALSE))*(1+Projection!AT$16)*(1+IF(AR136&gt;0,'Attrition Modeling'!$N$9,0))),0))</f>
        <v>374.52470954845739</v>
      </c>
      <c r="AS71" s="799">
        <f>IF(AS$69=$F71+1,IF(Monthly!AO$4=TRUE,0,Monthly!AO$17),IF(AS$69&gt;$F71+1,AR71*(1-IF(AS$69-$F71&lt;=12,SUMIFS('Attrition Modeling'!$D:$D,'Attrition Modeling'!$B:$B,$E71,'Attrition Modeling'!$C:$C,AS$68),VLOOKUP(AS$69-$F71-1,$A$7:$C$161,2,FALSE)*VLOOKUP(AS$1,'Attrition Modeling'!$L$15:$N$27,IF(AS$2-$F4&lt;=24,2,3),FALSE))*(1+Projection!AU$16)*(1+IF(AS136&gt;0,'Attrition Modeling'!$N$9,0))),0))</f>
        <v>363.68511934413442</v>
      </c>
      <c r="AT71" s="799">
        <f>IF(AT$69=$F71+1,IF(Monthly!AP$4=TRUE,0,Monthly!AP$17),IF(AT$69&gt;$F71+1,AS71*(1-IF(AT$69-$F71&lt;=12,SUMIFS('Attrition Modeling'!$D:$D,'Attrition Modeling'!$B:$B,$E71,'Attrition Modeling'!$C:$C,AT$68),VLOOKUP(AT$69-$F71-1,$A$7:$C$161,2,FALSE)*VLOOKUP(AT$1,'Attrition Modeling'!$L$15:$N$27,IF(AT$2-$F4&lt;=24,2,3),FALSE))*(1+Projection!AV$16)*(1+IF(AT136&gt;0,'Attrition Modeling'!$N$9,0))),0))</f>
        <v>353.70902651096867</v>
      </c>
      <c r="AU71" s="799">
        <f>IF(AU$69=$F71+1,IF(Monthly!AQ$4=TRUE,0,Monthly!AQ$17),IF(AU$69&gt;$F71+1,AT71*(1-IF(AU$69-$F71&lt;=12,SUMIFS('Attrition Modeling'!$D:$D,'Attrition Modeling'!$B:$B,$E71,'Attrition Modeling'!$C:$C,AU$68),VLOOKUP(AU$69-$F71-1,$A$7:$C$161,2,FALSE)*VLOOKUP(AU$1,'Attrition Modeling'!$L$15:$N$27,IF(AU$2-$F4&lt;=24,2,3),FALSE))*(1+Projection!AW$16)*(1+IF(AU136&gt;0,'Attrition Modeling'!$N$9,0))),0))</f>
        <v>346.07374641110027</v>
      </c>
      <c r="AV71" s="799">
        <f>IF(AV$69=$F71+1,IF(Monthly!AR$4=TRUE,0,Monthly!AR$17),IF(AV$69&gt;$F71+1,AU71*(1-IF(AV$69-$F71&lt;=12,SUMIFS('Attrition Modeling'!$D:$D,'Attrition Modeling'!$B:$B,$E71,'Attrition Modeling'!$C:$C,AV$68),VLOOKUP(AV$69-$F71-1,$A$7:$C$161,2,FALSE)*VLOOKUP(AV$1,'Attrition Modeling'!$L$15:$N$27,IF(AV$2-$F4&lt;=24,2,3),FALSE))*(1+Projection!AX$16)*(1+IF(AV136&gt;0,'Attrition Modeling'!$N$9,0))),0))</f>
        <v>337.14774431222838</v>
      </c>
      <c r="AW71" s="799">
        <f>IF(AW$69=$F71+1,IF(Monthly!AS$4=TRUE,0,Monthly!AS$17),IF(AW$69&gt;$F71+1,AV71*(1-IF(AW$69-$F71&lt;=12,SUMIFS('Attrition Modeling'!$D:$D,'Attrition Modeling'!$B:$B,$E71,'Attrition Modeling'!$C:$C,AW$68),VLOOKUP(AW$69-$F71-1,$A$7:$C$161,2,FALSE)*VLOOKUP(AW$1,'Attrition Modeling'!$L$15:$N$27,IF(AW$2-$F4&lt;=24,2,3),FALSE))*(1+Projection!AY$16)*(1+IF(AW136&gt;0,'Attrition Modeling'!$N$9,0))),0))</f>
        <v>327.32379891406163</v>
      </c>
      <c r="AX71" s="799">
        <f>IF(AX$69=$F71+1,IF(Monthly!AT$4=TRUE,0,Monthly!AT$17),IF(AX$69&gt;$F71+1,AW71*(1-IF(AX$69-$F71&lt;=12,SUMIFS('Attrition Modeling'!$D:$D,'Attrition Modeling'!$B:$B,$E71,'Attrition Modeling'!$C:$C,AX$68),VLOOKUP(AX$69-$F71-1,$A$7:$C$161,2,FALSE)*VLOOKUP(AX$1,'Attrition Modeling'!$L$15:$N$27,IF(AX$2-$F4&lt;=24,2,3),FALSE))*(1+Projection!AZ$16)*(1+IF(AX136&gt;0,'Attrition Modeling'!$N$9,0))),0))</f>
        <v>314.97823675372581</v>
      </c>
      <c r="AY71" s="799">
        <f>IF(AY$69=$F71+1,IF(Monthly!AU$4=TRUE,0,Monthly!AU$17),IF(AY$69&gt;$F71+1,AX71*(1-IF(AY$69-$F71&lt;=12,SUMIFS('Attrition Modeling'!$D:$D,'Attrition Modeling'!$B:$B,$E71,'Attrition Modeling'!$C:$C,AY$68),VLOOKUP(AY$69-$F71-1,$A$7:$C$161,2,FALSE)*VLOOKUP(AY$1,'Attrition Modeling'!$L$15:$N$27,IF(AY$2-$F4&lt;=24,2,3),FALSE))*(1+Projection!BA$16)*(1+IF(AY136&gt;0,'Attrition Modeling'!$N$9,0))),0))</f>
        <v>304.4514789968718</v>
      </c>
      <c r="AZ71" s="799">
        <f>IF(AZ$69=$F71+1,IF(Monthly!AV$4=TRUE,0,Monthly!AV$17),IF(AZ$69&gt;$F71+1,AY71*(1-IF(AZ$69-$F71&lt;=12,SUMIFS('Attrition Modeling'!$D:$D,'Attrition Modeling'!$B:$B,$E71,'Attrition Modeling'!$C:$C,AZ$68),VLOOKUP(AZ$69-$F71-1,$A$7:$C$161,2,FALSE)*VLOOKUP(AZ$1,'Attrition Modeling'!$L$15:$N$27,IF(AZ$2-$F4&lt;=24,2,3),FALSE))*(1+Projection!BB$16)*(1+IF(AZ136&gt;0,'Attrition Modeling'!$N$9,0))),0))</f>
        <v>294.98867813325381</v>
      </c>
      <c r="BA71" s="799">
        <f>IF(BA$69=$F71+1,IF(Monthly!AW$4=TRUE,0,Monthly!AW$17),IF(BA$69&gt;$F71+1,AZ71*(1-IF(BA$69-$F71&lt;=12,SUMIFS('Attrition Modeling'!$D:$D,'Attrition Modeling'!$B:$B,$E71,'Attrition Modeling'!$C:$C,BA$68),VLOOKUP(BA$69-$F71-1,$A$7:$C$161,2,FALSE)*VLOOKUP(BA$1,'Attrition Modeling'!$L$15:$N$27,IF(BA$2-$F4&lt;=24,2,3),FALSE))*(1+Projection!BC$16)*(1+IF(BA136&gt;0,'Attrition Modeling'!$N$9,0))),0))</f>
        <v>286.22024764616549</v>
      </c>
      <c r="BB71" s="799">
        <f>IF(BB$69=$F71+1,IF(Monthly!AX$4=TRUE,0,Monthly!AX$17),IF(BB$69&gt;$F71+1,BA71*(1-IF(BB$69-$F71&lt;=12,SUMIFS('Attrition Modeling'!$D:$D,'Attrition Modeling'!$B:$B,$E71,'Attrition Modeling'!$C:$C,BB$68),VLOOKUP(BB$69-$F71-1,$A$7:$C$161,2,FALSE)*VLOOKUP(BB$1,'Attrition Modeling'!$L$15:$N$27,IF(BB$2-$F4&lt;=24,2,3),FALSE))*(1+Projection!BD$16)*(1+IF(BB136&gt;0,'Attrition Modeling'!$N$9,0))),0))</f>
        <v>277.98318696368375</v>
      </c>
      <c r="BC71" s="799">
        <f>IF(BC$69=$F71+1,IF(Monthly!AY$4=TRUE,0,Monthly!AY$17),IF(BC$69&gt;$F71+1,BB71*(1-IF(BC$69-$F71&lt;=12,SUMIFS('Attrition Modeling'!$D:$D,'Attrition Modeling'!$B:$B,$E71,'Attrition Modeling'!$C:$C,BC$68),VLOOKUP(BC$69-$F71-1,$A$7:$C$161,2,FALSE)*VLOOKUP(BC$1,'Attrition Modeling'!$L$15:$N$27,IF(BC$2-$F4&lt;=24,2,3),FALSE))*(1+Projection!BE$16)*(1+IF(BC136&gt;0,'Attrition Modeling'!$N$9,0))),0))</f>
        <v>271.45200874211969</v>
      </c>
      <c r="BD71" s="799">
        <f>IF(BD$69=$F71+1,IF(Monthly!AZ$4=TRUE,0,Monthly!AZ$17),IF(BD$69&gt;$F71+1,BC71*(1-IF(BD$69-$F71&lt;=12,SUMIFS('Attrition Modeling'!$D:$D,'Attrition Modeling'!$B:$B,$E71,'Attrition Modeling'!$C:$C,BD$68),VLOOKUP(BD$69-$F71-1,$A$7:$C$161,2,FALSE)*VLOOKUP(BD$1,'Attrition Modeling'!$L$15:$N$27,IF(BD$2-$F4&lt;=24,2,3),FALSE))*(1+Projection!BF$16)*(1+IF(BD136&gt;0,'Attrition Modeling'!$N$9,0))),0))</f>
        <v>264.45613494651582</v>
      </c>
      <c r="BE71" s="799">
        <f>IF(BE$69=$F71+1,IF(Monthly!BA$4=TRUE,0,Monthly!BA$17),IF(BE$69&gt;$F71+1,BD71*(1-IF(BE$69-$F71&lt;=12,SUMIFS('Attrition Modeling'!$D:$D,'Attrition Modeling'!$B:$B,$E71,'Attrition Modeling'!$C:$C,BE$68),VLOOKUP(BE$69-$F71-1,$A$7:$C$161,2,FALSE)*VLOOKUP(BE$1,'Attrition Modeling'!$L$15:$N$27,IF(BE$2-$F4&lt;=24,2,3),FALSE))*(1+Projection!BG$16)*(1+IF(BE136&gt;0,'Attrition Modeling'!$N$9,0))),0))</f>
        <v>257.95833294510601</v>
      </c>
      <c r="BF71" s="799">
        <f>IF(BF$69=$F71+1,IF(Monthly!BB$4=TRUE,0,Monthly!BB$17),IF(BF$69&gt;$F71+1,BE71*(1-IF(BF$69-$F71&lt;=12,SUMIFS('Attrition Modeling'!$D:$D,'Attrition Modeling'!$B:$B,$E71,'Attrition Modeling'!$C:$C,BF$68),VLOOKUP(BF$69-$F71-1,$A$7:$C$161,2,FALSE)*VLOOKUP(BF$1,'Attrition Modeling'!$L$15:$N$27,IF(BF$2-$F4&lt;=24,2,3),FALSE))*(1+Projection!BH$16)*(1+IF(BF136&gt;0,'Attrition Modeling'!$N$9,0))),0))</f>
        <v>251.94213282464827</v>
      </c>
      <c r="BG71" s="799">
        <f>IF(BG$69=$F71+1,IF(Monthly!BC$4=TRUE,0,Monthly!BC$17),IF(BG$69&gt;$F71+1,BF71*(1-IF(BG$69-$F71&lt;=12,SUMIFS('Attrition Modeling'!$D:$D,'Attrition Modeling'!$B:$B,$E71,'Attrition Modeling'!$C:$C,BG$68),VLOOKUP(BG$69-$F71-1,$A$7:$C$161,2,FALSE)*VLOOKUP(BG$1,'Attrition Modeling'!$L$15:$N$27,IF(BG$2-$F4&lt;=24,2,3),FALSE))*(1+Projection!BI$16)*(1+IF(BG136&gt;0,'Attrition Modeling'!$N$9,0))),0))</f>
        <v>247.31151843148464</v>
      </c>
      <c r="BH71" s="799">
        <f>IF(BH$69=$F71+1,IF(Monthly!BD$4=TRUE,0,Monthly!BD$17),IF(BH$69&gt;$F71+1,BG71*(1-IF(BH$69-$F71&lt;=12,SUMIFS('Attrition Modeling'!$D:$D,'Attrition Modeling'!$B:$B,$E71,'Attrition Modeling'!$C:$C,BH$68),VLOOKUP(BH$69-$F71-1,$A$7:$C$161,2,FALSE)*VLOOKUP(BH$1,'Attrition Modeling'!$L$15:$N$27,IF(BH$2-$F4&lt;=24,2,3),FALSE))*(1+Projection!BJ$16)*(1+IF(BH136&gt;0,'Attrition Modeling'!$N$9,0))),0))</f>
        <v>241.87302046627565</v>
      </c>
      <c r="BI71" s="799">
        <f>IF(BI$69=$F71+1,IF(Monthly!BE$4=TRUE,0,Monthly!BE$17),IF(BI$69&gt;$F71+1,BH71*(1-IF(BI$69-$F71&lt;=12,SUMIFS('Attrition Modeling'!$D:$D,'Attrition Modeling'!$B:$B,$E71,'Attrition Modeling'!$C:$C,BI$68),VLOOKUP(BI$69-$F71-1,$A$7:$C$161,2,FALSE)*VLOOKUP(BI$1,'Attrition Modeling'!$L$15:$N$27,IF(BI$2-$F4&lt;=24,2,3),FALSE))*(1+Projection!BK$16)*(1+IF(BI136&gt;0,'Attrition Modeling'!$N$9,0))),0))</f>
        <v>235.85636968037377</v>
      </c>
      <c r="BJ71" s="799">
        <f>IF(BJ$69=$F71+1,IF(Monthly!BF$4=TRUE,0,Monthly!BF$17),IF(BJ$69&gt;$F71+1,BI71*(1-IF(BJ$69-$F71&lt;=12,SUMIFS('Attrition Modeling'!$D:$D,'Attrition Modeling'!$B:$B,$E71,'Attrition Modeling'!$C:$C,BJ$68),VLOOKUP(BJ$69-$F71-1,$A$7:$C$161,2,FALSE)*VLOOKUP(BJ$1,'Attrition Modeling'!$L$15:$N$27,IF(BJ$2-$F4&lt;=24,2,3),FALSE))*(1+Projection!BL$16)*(1+IF(BJ136&gt;0,'Attrition Modeling'!$N$9,0))),0))</f>
        <v>228.25296841982066</v>
      </c>
      <c r="BK71" s="799">
        <f>IF(BK$69=$F71+1,IF(Monthly!BG$4=TRUE,0,Monthly!BG$17),IF(BK$69&gt;$F71+1,BJ71*(1-IF(BK$69-$F71&lt;=12,SUMIFS('Attrition Modeling'!$D:$D,'Attrition Modeling'!$B:$B,$E71,'Attrition Modeling'!$C:$C,BK$68),VLOOKUP(BK$69-$F71-1,$A$7:$C$161,2,FALSE)*VLOOKUP(BK$1,'Attrition Modeling'!$L$15:$N$27,IF(BK$2-$F4&lt;=24,2,3),FALSE))*(1+Projection!BM$16)*(1+IF(BK136&gt;0,'Attrition Modeling'!$N$9,0))),0))</f>
        <v>221.72535473738935</v>
      </c>
      <c r="BL71" s="799">
        <f>IF(BL$69=$F71+1,IF(Monthly!BH$4=TRUE,0,Monthly!BH$17),IF(BL$69&gt;$F71+1,BK71*(1-IF(BL$69-$F71&lt;=12,SUMIFS('Attrition Modeling'!$D:$D,'Attrition Modeling'!$B:$B,$E71,'Attrition Modeling'!$C:$C,BL$68),VLOOKUP(BL$69-$F71-1,$A$7:$C$161,2,FALSE)*VLOOKUP(BL$1,'Attrition Modeling'!$L$15:$N$27,IF(BL$2-$F4&lt;=24,2,3),FALSE))*(1+Projection!BN$16)*(1+IF(BL136&gt;0,'Attrition Modeling'!$N$9,0))),0))</f>
        <v>215.8218358918563</v>
      </c>
      <c r="BM71" s="799">
        <f>IF(BM$69=$F71+1,IF(Monthly!BI$4=TRUE,0,Monthly!BI$17),IF(BM$69&gt;$F71+1,BL71*(1-IF(BM$69-$F71&lt;=12,SUMIFS('Attrition Modeling'!$D:$D,'Attrition Modeling'!$B:$B,$E71,'Attrition Modeling'!$C:$C,BM$68),VLOOKUP(BM$69-$F71-1,$A$7:$C$161,2,FALSE)*VLOOKUP(BM$1,'Attrition Modeling'!$L$15:$N$27,IF(BM$2-$F4&lt;=24,2,3),FALSE))*(1+Projection!BO$16)*(1+IF(BM136&gt;0,'Attrition Modeling'!$N$9,0))),0))</f>
        <v>210.32072379485791</v>
      </c>
      <c r="BN71" s="799">
        <f>IF(BN$69=$F71+1,IF(Monthly!BJ$4=TRUE,0,Monthly!BJ$17),IF(BN$69&gt;$F71+1,BM71*(1-IF(BN$69-$F71&lt;=12,SUMIFS('Attrition Modeling'!$D:$D,'Attrition Modeling'!$B:$B,$E71,'Attrition Modeling'!$C:$C,BN$68),VLOOKUP(BN$69-$F71-1,$A$7:$C$161,2,FALSE)*VLOOKUP(BN$1,'Attrition Modeling'!$L$15:$N$27,IF(BN$2-$F4&lt;=24,2,3),FALSE))*(1+Projection!BP$16)*(1+IF(BN136&gt;0,'Attrition Modeling'!$N$9,0))),0))</f>
        <v>205.125394759687</v>
      </c>
      <c r="BO71" s="799">
        <f>IF(BO$69=$F71+1,IF(Monthly!BK$4=TRUE,0,Monthly!BK$17),IF(BO$69&gt;$F71+1,BN71*(1-IF(BO$69-$F71&lt;=12,SUMIFS('Attrition Modeling'!$D:$D,'Attrition Modeling'!$B:$B,$E71,'Attrition Modeling'!$C:$C,BO$68),VLOOKUP(BO$69-$F71-1,$A$7:$C$161,2,FALSE)*VLOOKUP(BO$1,'Attrition Modeling'!$L$15:$N$27,IF(BO$2-$F4&lt;=24,2,3),FALSE))*(1+Projection!BV$16)*(1+IF(BO136&gt;0,'Attrition Modeling'!$N$9,0))),0))</f>
        <v>200.98493021423235</v>
      </c>
      <c r="BP71" s="799">
        <f>IF(BP$69=$F71+1,IF(Monthly!BL$4=TRUE,0,Monthly!BL$17),IF(BP$69&gt;$F71+1,BO71*(1-IF(BP$69-$F71&lt;=12,SUMIFS('Attrition Modeling'!$D:$D,'Attrition Modeling'!$B:$B,$E71,'Attrition Modeling'!$C:$C,BP$68),VLOOKUP(BP$69-$F71-1,$A$7:$C$161,2,FALSE)*VLOOKUP(BP$1,'Attrition Modeling'!$L$15:$N$27,IF(BP$2-$F4&lt;=24,2,3),FALSE))*(1+Projection!BW$16)*(1+IF(BP136&gt;0,'Attrition Modeling'!$N$9,0))),0))</f>
        <v>196.53098586005231</v>
      </c>
      <c r="BQ71" s="799">
        <f>IF(BQ$69=$F71+1,IF(Monthly!BM$4=TRUE,0,Monthly!BM$17),IF(BQ$69&gt;$F71+1,BP71*(1-IF(BQ$69-$F71&lt;=12,SUMIFS('Attrition Modeling'!$D:$D,'Attrition Modeling'!$B:$B,$E71,'Attrition Modeling'!$C:$C,BQ$68),VLOOKUP(BQ$69-$F71-1,$A$7:$C$161,2,FALSE)*VLOOKUP(BQ$1,'Attrition Modeling'!$L$15:$N$27,IF(BQ$2-$F4&lt;=24,2,3),FALSE))*(1+Projection!BX$16)*(1+IF(BQ136&gt;0,'Attrition Modeling'!$N$9,0))),0))</f>
        <v>192.34729937238848</v>
      </c>
      <c r="BR71" s="799">
        <f>IF(BR$69=$F71+1,IF(Monthly!BN$4=TRUE,0,Monthly!BN$17),IF(BR$69&gt;$F71+1,BQ71*(1-IF(BR$69-$F71&lt;=12,SUMIFS('Attrition Modeling'!$D:$D,'Attrition Modeling'!$B:$B,$E71,'Attrition Modeling'!$C:$C,BR$68),VLOOKUP(BR$69-$F71-1,$A$7:$C$161,2,FALSE)*VLOOKUP(BR$1,'Attrition Modeling'!$L$15:$N$27,IF(BR$2-$F4&lt;=24,2,3),FALSE))*(1+Projection!BY$16)*(1+IF(BR136&gt;0,'Attrition Modeling'!$N$9,0))),0))</f>
        <v>188.45703058662161</v>
      </c>
      <c r="BS71" s="799">
        <f>IF(BS$69=$F71+1,IF(Monthly!BO$4=TRUE,0,Monthly!BO$17),IF(BS$69&gt;$F71+1,BR71*(1-IF(BS$69-$F71&lt;=12,SUMIFS('Attrition Modeling'!$D:$D,'Attrition Modeling'!$B:$B,$E71,'Attrition Modeling'!$C:$C,BS$68),VLOOKUP(BS$69-$F71-1,$A$7:$C$161,2,FALSE)*VLOOKUP(BS$1,'Attrition Modeling'!$L$15:$N$27,IF(BS$2-$F4&lt;=24,2,3),FALSE))*(1+Projection!BZ$16)*(1+IF(BS136&gt;0,'Attrition Modeling'!$N$9,0))),0))</f>
        <v>185.45055374529363</v>
      </c>
      <c r="BT71" s="799">
        <f>IF(BT$69=$F71+1,IF(Monthly!#REF!=TRUE,0,Monthly!#REF!),IF(BT$69&gt;$F71+1,BS71*(1-IF(BT$69-$F71&lt;=12,SUMIFS('Attrition Modeling'!$D:$D,'Attrition Modeling'!$B:$B,$E71,'Attrition Modeling'!$C:$C,BT$68),VLOOKUP(BT$69-$F71-1,$A$7:$C$161,2,FALSE)*VLOOKUP(BT$1,'Attrition Modeling'!$L$15:$N$27,IF(BT$2-$F4&lt;=24,2,3),FALSE))*(1+Projection!CA$16)*(1+IF(BT136&gt;0,'Attrition Modeling'!$N$9,0))),0))</f>
        <v>181.90781133243127</v>
      </c>
      <c r="BU71" s="799">
        <f>IF(BU$69=$F71+1,IF(Monthly!#REF!=TRUE,0,Monthly!#REF!),IF(BU$69&gt;$F71+1,BT71*(1-IF(BU$69-$F71&lt;=12,SUMIFS('Attrition Modeling'!$D:$D,'Attrition Modeling'!$B:$B,$E71,'Attrition Modeling'!$C:$C,BU$68),VLOOKUP(BU$69-$F71-1,$A$7:$C$161,2,FALSE)*VLOOKUP(BU$1,'Attrition Modeling'!$L$15:$N$27,IF(BU$2-$F4&lt;=24,2,3),FALSE))*(1+Projection!CB$16)*(1+IF(BU136&gt;0,'Attrition Modeling'!$N$9,0))),0))</f>
        <v>177.97369089085555</v>
      </c>
    </row>
    <row r="72" spans="1:73" ht="14.25" customHeight="1" x14ac:dyDescent="0.2">
      <c r="A72" s="9">
        <v>65</v>
      </c>
      <c r="B72" s="25">
        <f>MAX('Attrition Modeling'!H69,$C$3)*(1-Summary!$C$20)</f>
        <v>2.0968238789616844E-2</v>
      </c>
      <c r="C72" s="24" t="e">
        <f t="shared" si="4"/>
        <v>#DIV/0!</v>
      </c>
      <c r="E72" s="11">
        <f t="shared" si="9"/>
        <v>2</v>
      </c>
      <c r="F72" s="11">
        <f t="shared" si="10"/>
        <v>2</v>
      </c>
      <c r="G72" s="799"/>
      <c r="H72" s="799">
        <f>IF(H$69=$F72+1,IF(Monthly!D$4=TRUE,0,Monthly!D$17),IF(H$69&gt;$F72+1,G72*(1-IF(H$69-$F72&lt;=12,SUMIFS('Attrition Modeling'!$D:$D,'Attrition Modeling'!$B:$B,$E72,'Attrition Modeling'!$C:$C,H$68),VLOOKUP(H$69-$F72-1,$A$7:$C$161,2,FALSE)*VLOOKUP(H$1,'Attrition Modeling'!$L$15:$N$27,IF(H$2-$F5&lt;=24,2,3),FALSE))*(1+Projection!J$16)*(1+IF(H137&gt;0,'Attrition Modeling'!$N$9,0))),0))</f>
        <v>0</v>
      </c>
      <c r="I72" s="799">
        <f>IF(I$69=$F72+1,IF(Monthly!E$4=TRUE,0,Monthly!E$17),IF(I$69&gt;$F72+1,H72*(1-IF(I$69-$F72&lt;=12,SUMIFS('Attrition Modeling'!$D:$D,'Attrition Modeling'!$B:$B,$E72,'Attrition Modeling'!$C:$C,I$68),VLOOKUP(I$69-$F72-1,$A$7:$C$161,2,FALSE)*VLOOKUP(I$1,'Attrition Modeling'!$L$15:$N$27,IF(I$2-$F5&lt;=24,2,3),FALSE))*(1+Projection!K$16)*(1+IF(I137&gt;0,'Attrition Modeling'!$N$9,0))),0))</f>
        <v>0</v>
      </c>
      <c r="J72" s="799">
        <f>IF(J$69=$F72+1,IF(Monthly!F$4=TRUE,0,Monthly!F$17),IF(J$69&gt;$F72+1,I72*(1-IF(J$69-$F72&lt;=12,SUMIFS('Attrition Modeling'!$D:$D,'Attrition Modeling'!$B:$B,$E72,'Attrition Modeling'!$C:$C,J$68),VLOOKUP(J$69-$F72-1,$A$7:$C$161,2,FALSE)*VLOOKUP(J$1,'Attrition Modeling'!$L$15:$N$27,IF(J$2-$F5&lt;=24,2,3),FALSE))*(1+Projection!L$16)*(1+IF(J137&gt;0,'Attrition Modeling'!$N$9,0))),0))</f>
        <v>3373.7973669296325</v>
      </c>
      <c r="K72" s="799">
        <f>IF(K$69=$F72+1,IF(Monthly!G$4=TRUE,0,Monthly!G$17),IF(K$69&gt;$F72+1,J72*(1-IF(K$69-$F72&lt;=12,SUMIFS('Attrition Modeling'!$D:$D,'Attrition Modeling'!$B:$B,$E72,'Attrition Modeling'!$C:$C,K$68),VLOOKUP(K$69-$F72-1,$A$7:$C$161,2,FALSE)*VLOOKUP(K$1,'Attrition Modeling'!$L$15:$N$27,IF(K$2-$F5&lt;=24,2,3),FALSE))*(1+Projection!M$16)*(1+IF(K137&gt;0,'Attrition Modeling'!$N$9,0))),0))</f>
        <v>3045.2036733396271</v>
      </c>
      <c r="L72" s="799">
        <f>IF(L$69=$F72+1,IF(Monthly!H$4=TRUE,0,Monthly!H$17),IF(L$69&gt;$F72+1,K72*(1-IF(L$69-$F72&lt;=12,SUMIFS('Attrition Modeling'!$D:$D,'Attrition Modeling'!$B:$B,$E72,'Attrition Modeling'!$C:$C,L$68),VLOOKUP(L$69-$F72-1,$A$7:$C$161,2,FALSE)*VLOOKUP(L$1,'Attrition Modeling'!$L$15:$N$27,IF(L$2-$F5&lt;=24,2,3),FALSE))*(1+Projection!N$16)*(1+IF(L137&gt;0,'Attrition Modeling'!$N$9,0))),0))</f>
        <v>2785.4054107686238</v>
      </c>
      <c r="M72" s="799">
        <f>IF(M$69=$F72+1,IF(Monthly!I$4=TRUE,0,Monthly!I$17),IF(M$69&gt;$F72+1,L72*(1-IF(M$69-$F72&lt;=12,SUMIFS('Attrition Modeling'!$D:$D,'Attrition Modeling'!$B:$B,$E72,'Attrition Modeling'!$C:$C,M$68),VLOOKUP(M$69-$F72-1,$A$7:$C$161,2,FALSE)*VLOOKUP(M$1,'Attrition Modeling'!$L$15:$N$27,IF(M$2-$F5&lt;=24,2,3),FALSE))*(1+Projection!O$16)*(1+IF(M137&gt;0,'Attrition Modeling'!$N$9,0))),0))</f>
        <v>2526.5667942215891</v>
      </c>
      <c r="N72" s="799">
        <f>IF(N$69=$F72+1,IF(Monthly!J$4=TRUE,0,Monthly!J$17),IF(N$69&gt;$F72+1,M72*(1-IF(N$69-$F72&lt;=12,SUMIFS('Attrition Modeling'!$D:$D,'Attrition Modeling'!$B:$B,$E72,'Attrition Modeling'!$C:$C,N$68),VLOOKUP(N$69-$F72-1,$A$7:$C$161,2,FALSE)*VLOOKUP(N$1,'Attrition Modeling'!$L$15:$N$27,IF(N$2-$F5&lt;=24,2,3),FALSE))*(1+Projection!P$16)*(1+IF(N137&gt;0,'Attrition Modeling'!$N$9,0))),0))</f>
        <v>2321.3274571099837</v>
      </c>
      <c r="O72" s="799">
        <f>IF(O$69=$F72+1,IF(Monthly!K$4=TRUE,0,Monthly!K$17),IF(O$69&gt;$F72+1,N72*(1-IF(O$69-$F72&lt;=12,SUMIFS('Attrition Modeling'!$D:$D,'Attrition Modeling'!$B:$B,$E72,'Attrition Modeling'!$C:$C,O$68),VLOOKUP(O$69-$F72-1,$A$7:$C$161,2,FALSE)*VLOOKUP(O$1,'Attrition Modeling'!$L$15:$N$27,IF(O$2-$F5&lt;=24,2,3),FALSE))*(1+Projection!Q$16)*(1+IF(O137&gt;0,'Attrition Modeling'!$N$9,0))),0))</f>
        <v>2087.043797233157</v>
      </c>
      <c r="P72" s="799">
        <f>IF(P$69=$F72+1,IF(Monthly!L$4=TRUE,0,Monthly!L$17),IF(P$69&gt;$F72+1,O72*(1-IF(P$69-$F72&lt;=12,SUMIFS('Attrition Modeling'!$D:$D,'Attrition Modeling'!$B:$B,$E72,'Attrition Modeling'!$C:$C,P$68),VLOOKUP(P$69-$F72-1,$A$7:$C$161,2,FALSE)*VLOOKUP(P$1,'Attrition Modeling'!$L$15:$N$27,IF(P$2-$F5&lt;=24,2,3),FALSE))*(1+Projection!R$16)*(1+IF(P137&gt;0,'Attrition Modeling'!$N$9,0))),0))</f>
        <v>1929.544223127876</v>
      </c>
      <c r="Q72" s="799">
        <f>IF(Q$69=$F72+1,IF(Monthly!M$4=TRUE,0,Monthly!M$17),IF(Q$69&gt;$F72+1,P72*(1-IF(Q$69-$F72&lt;=12,SUMIFS('Attrition Modeling'!$D:$D,'Attrition Modeling'!$B:$B,$E72,'Attrition Modeling'!$C:$C,Q$68),VLOOKUP(Q$69-$F72-1,$A$7:$C$161,2,FALSE)*VLOOKUP(Q$1,'Attrition Modeling'!$L$15:$N$27,IF(Q$2-$F5&lt;=24,2,3),FALSE))*(1+Projection!S$16)*(1+IF(Q137&gt;0,'Attrition Modeling'!$N$9,0))),0))</f>
        <v>1794.3458253875369</v>
      </c>
      <c r="R72" s="799">
        <f>IF(R$69=$F72+1,IF(Monthly!N$4=TRUE,0,Monthly!N$17),IF(R$69&gt;$F72+1,Q72*(1-IF(R$69-$F72&lt;=12,SUMIFS('Attrition Modeling'!$D:$D,'Attrition Modeling'!$B:$B,$E72,'Attrition Modeling'!$C:$C,R$68),VLOOKUP(R$69-$F72-1,$A$7:$C$161,2,FALSE)*VLOOKUP(R$1,'Attrition Modeling'!$L$15:$N$27,IF(R$2-$F5&lt;=24,2,3),FALSE))*(1+Projection!T$16)*(1+IF(R137&gt;0,'Attrition Modeling'!$N$9,0))),0))</f>
        <v>1675.1727683700974</v>
      </c>
      <c r="S72" s="799">
        <f>IF(S$69=$F72+1,IF(Monthly!O$4=TRUE,0,Monthly!O$17),IF(S$69&gt;$F72+1,R72*(1-IF(S$69-$F72&lt;=12,SUMIFS('Attrition Modeling'!$D:$D,'Attrition Modeling'!$B:$B,$E72,'Attrition Modeling'!$C:$C,S$68),VLOOKUP(S$69-$F72-1,$A$7:$C$161,2,FALSE)*VLOOKUP(S$1,'Attrition Modeling'!$L$15:$N$27,IF(S$2-$F5&lt;=24,2,3),FALSE))*(1+Projection!U$16)*(1+IF(S137&gt;0,'Attrition Modeling'!$N$9,0))),0))</f>
        <v>1571.013323171368</v>
      </c>
      <c r="T72" s="799">
        <f>IF(T$69=$F72+1,IF(Monthly!P$4=TRUE,0,Monthly!P$17),IF(T$69&gt;$F72+1,S72*(1-IF(T$69-$F72&lt;=12,SUMIFS('Attrition Modeling'!$D:$D,'Attrition Modeling'!$B:$B,$E72,'Attrition Modeling'!$C:$C,T$68),VLOOKUP(T$69-$F72-1,$A$7:$C$161,2,FALSE)*VLOOKUP(T$1,'Attrition Modeling'!$L$15:$N$27,IF(T$2-$F5&lt;=24,2,3),FALSE))*(1+Projection!V$16)*(1+IF(T137&gt;0,'Attrition Modeling'!$N$9,0))),0))</f>
        <v>1481.9604800777986</v>
      </c>
      <c r="U72" s="799">
        <f>IF(U$69=$F72+1,IF(Monthly!Q$4=TRUE,0,Monthly!Q$17),IF(U$69&gt;$F72+1,T72*(1-IF(U$69-$F72&lt;=12,SUMIFS('Attrition Modeling'!$D:$D,'Attrition Modeling'!$B:$B,$E72,'Attrition Modeling'!$C:$C,U$68),VLOOKUP(U$69-$F72-1,$A$7:$C$161,2,FALSE)*VLOOKUP(U$1,'Attrition Modeling'!$L$15:$N$27,IF(U$2-$F5&lt;=24,2,3),FALSE))*(1+Projection!W$16)*(1+IF(U137&gt;0,'Attrition Modeling'!$N$9,0))),0))</f>
        <v>1445.4443662448848</v>
      </c>
      <c r="V72" s="799">
        <f>IF(V$69=$F72+1,IF(Monthly!R$4=TRUE,0,Monthly!R$17),IF(V$69&gt;$F72+1,U72*(1-IF(V$69-$F72&lt;=12,SUMIFS('Attrition Modeling'!$D:$D,'Attrition Modeling'!$B:$B,$E72,'Attrition Modeling'!$C:$C,V$68),VLOOKUP(V$69-$F72-1,$A$7:$C$161,2,FALSE)*VLOOKUP(V$1,'Attrition Modeling'!$L$15:$N$27,IF(V$2-$F5&lt;=24,2,3),FALSE))*(1+Projection!X$16)*(1+IF(V137&gt;0,'Attrition Modeling'!$N$9,0))),0))</f>
        <v>1369.0285532859259</v>
      </c>
      <c r="W72" s="799">
        <f>IF(W$69=$F72+1,IF(Monthly!S$4=TRUE,0,Monthly!S$17),IF(W$69&gt;$F72+1,V72*(1-IF(W$69-$F72&lt;=12,SUMIFS('Attrition Modeling'!$D:$D,'Attrition Modeling'!$B:$B,$E72,'Attrition Modeling'!$C:$C,W$68),VLOOKUP(W$69-$F72-1,$A$7:$C$161,2,FALSE)*VLOOKUP(W$1,'Attrition Modeling'!$L$15:$N$27,IF(W$2-$F5&lt;=24,2,3),FALSE))*(1+Projection!Y$16)*(1+IF(W137&gt;0,'Attrition Modeling'!$N$9,0))),0))</f>
        <v>1303.3631426736001</v>
      </c>
      <c r="X72" s="799">
        <f>IF(X$69=$F72+1,IF(Monthly!T$4=TRUE,0,Monthly!T$17),IF(X$69&gt;$F72+1,W72*(1-IF(X$69-$F72&lt;=12,SUMIFS('Attrition Modeling'!$D:$D,'Attrition Modeling'!$B:$B,$E72,'Attrition Modeling'!$C:$C,X$68),VLOOKUP(X$69-$F72-1,$A$7:$C$161,2,FALSE)*VLOOKUP(X$1,'Attrition Modeling'!$L$15:$N$27,IF(X$2-$F5&lt;=24,2,3),FALSE))*(1+Projection!Z$16)*(1+IF(X137&gt;0,'Attrition Modeling'!$N$9,0))),0))</f>
        <v>1244.3330431597881</v>
      </c>
      <c r="Y72" s="799">
        <f>IF(Y$69=$F72+1,IF(Monthly!U$4=TRUE,0,Monthly!U$17),IF(Y$69&gt;$F72+1,X72*(1-IF(Y$69-$F72&lt;=12,SUMIFS('Attrition Modeling'!$D:$D,'Attrition Modeling'!$B:$B,$E72,'Attrition Modeling'!$C:$C,Y$68),VLOOKUP(Y$69-$F72-1,$A$7:$C$161,2,FALSE)*VLOOKUP(Y$1,'Attrition Modeling'!$L$15:$N$27,IF(Y$2-$F5&lt;=24,2,3),FALSE))*(1+Projection!AA$16)*(1+IF(Y137&gt;0,'Attrition Modeling'!$N$9,0))),0))</f>
        <v>1184.7208398512275</v>
      </c>
      <c r="Z72" s="799">
        <f>IF(Z$69=$F72+1,IF(Monthly!V$4=TRUE,0,Monthly!V$17),IF(Z$69&gt;$F72+1,Y72*(1-IF(Z$69-$F72&lt;=12,SUMIFS('Attrition Modeling'!$D:$D,'Attrition Modeling'!$B:$B,$E72,'Attrition Modeling'!$C:$C,Z$68),VLOOKUP(Z$69-$F72-1,$A$7:$C$161,2,FALSE)*VLOOKUP(Z$1,'Attrition Modeling'!$L$15:$N$27,IF(Z$2-$F5&lt;=24,2,3),FALSE))*(1+Projection!AB$16)*(1+IF(Z137&gt;0,'Attrition Modeling'!$N$9,0))),0))</f>
        <v>1128.3296632907197</v>
      </c>
      <c r="AA72" s="799">
        <f>IF(AA$69=$F72+1,IF(Monthly!W$4=TRUE,0,Monthly!W$17),IF(AA$69&gt;$F72+1,Z72*(1-IF(AA$69-$F72&lt;=12,SUMIFS('Attrition Modeling'!$D:$D,'Attrition Modeling'!$B:$B,$E72,'Attrition Modeling'!$C:$C,AA$68),VLOOKUP(AA$69-$F72-1,$A$7:$C$161,2,FALSE)*VLOOKUP(AA$1,'Attrition Modeling'!$L$15:$N$27,IF(AA$2-$F5&lt;=24,2,3),FALSE))*(1+Projection!AC$16)*(1+IF(AA137&gt;0,'Attrition Modeling'!$N$9,0))),0))</f>
        <v>1062.6969484747726</v>
      </c>
      <c r="AB72" s="799">
        <f>IF(AB$69=$F72+1,IF(Monthly!X$4=TRUE,0,Monthly!X$17),IF(AB$69&gt;$F72+1,AA72*(1-IF(AB$69-$F72&lt;=12,SUMIFS('Attrition Modeling'!$D:$D,'Attrition Modeling'!$B:$B,$E72,'Attrition Modeling'!$C:$C,AB$68),VLOOKUP(AB$69-$F72-1,$A$7:$C$161,2,FALSE)*VLOOKUP(AB$1,'Attrition Modeling'!$L$15:$N$27,IF(AB$2-$F5&lt;=24,2,3),FALSE))*(1+Projection!AD$16)*(1+IF(AB137&gt;0,'Attrition Modeling'!$N$9,0))),0))</f>
        <v>1016.7324352304801</v>
      </c>
      <c r="AC72" s="799">
        <f>IF(AC$69=$F72+1,IF(Monthly!Y$4=TRUE,0,Monthly!Y$17),IF(AC$69&gt;$F72+1,AB72*(1-IF(AC$69-$F72&lt;=12,SUMIFS('Attrition Modeling'!$D:$D,'Attrition Modeling'!$B:$B,$E72,'Attrition Modeling'!$C:$C,AC$68),VLOOKUP(AC$69-$F72-1,$A$7:$C$161,2,FALSE)*VLOOKUP(AC$1,'Attrition Modeling'!$L$15:$N$27,IF(AC$2-$F5&lt;=24,2,3),FALSE))*(1+Projection!AE$16)*(1+IF(AC137&gt;0,'Attrition Modeling'!$N$9,0))),0))</f>
        <v>972.59343677890593</v>
      </c>
      <c r="AD72" s="799">
        <f>IF(AD$69=$F72+1,IF(Monthly!Z$4=TRUE,0,Monthly!Z$17),IF(AD$69&gt;$F72+1,AC72*(1-IF(AD$69-$F72&lt;=12,SUMIFS('Attrition Modeling'!$D:$D,'Attrition Modeling'!$B:$B,$E72,'Attrition Modeling'!$C:$C,AD$68),VLOOKUP(AD$69-$F72-1,$A$7:$C$161,2,FALSE)*VLOOKUP(AD$1,'Attrition Modeling'!$L$15:$N$27,IF(AD$2-$F5&lt;=24,2,3),FALSE))*(1+Projection!AF$16)*(1+IF(AD137&gt;0,'Attrition Modeling'!$N$9,0))),0))</f>
        <v>932.66937775881433</v>
      </c>
      <c r="AE72" s="799">
        <f>IF(AE$69=$F72+1,IF(Monthly!AA$4=TRUE,0,Monthly!AA$17),IF(AE$69&gt;$F72+1,AD72*(1-IF(AE$69-$F72&lt;=12,SUMIFS('Attrition Modeling'!$D:$D,'Attrition Modeling'!$B:$B,$E72,'Attrition Modeling'!$C:$C,AE$68),VLOOKUP(AE$69-$F72-1,$A$7:$C$161,2,FALSE)*VLOOKUP(AE$1,'Attrition Modeling'!$L$15:$N$27,IF(AE$2-$F5&lt;=24,2,3),FALSE))*(1+Projection!AG$16)*(1+IF(AE137&gt;0,'Attrition Modeling'!$N$9,0))),0))</f>
        <v>895.37536584605334</v>
      </c>
      <c r="AF72" s="799">
        <f>IF(AF$69=$F72+1,IF(Monthly!AB$4=TRUE,0,Monthly!AB$17),IF(AF$69&gt;$F72+1,AE72*(1-IF(AF$69-$F72&lt;=12,SUMIFS('Attrition Modeling'!$D:$D,'Attrition Modeling'!$B:$B,$E72,'Attrition Modeling'!$C:$C,AF$68),VLOOKUP(AF$69-$F72-1,$A$7:$C$161,2,FALSE)*VLOOKUP(AF$1,'Attrition Modeling'!$L$15:$N$27,IF(AF$2-$F5&lt;=24,2,3),FALSE))*(1+Projection!AH$16)*(1+IF(AF137&gt;0,'Attrition Modeling'!$N$9,0))),0))</f>
        <v>860.05226092231646</v>
      </c>
      <c r="AG72" s="799">
        <f>IF(AG$69=$F72+1,IF(Monthly!AC$4=TRUE,0,Monthly!AC$17),IF(AG$69&gt;$F72+1,AF72*(1-IF(AG$69-$F72&lt;=12,SUMIFS('Attrition Modeling'!$D:$D,'Attrition Modeling'!$B:$B,$E72,'Attrition Modeling'!$C:$C,AG$68),VLOOKUP(AG$69-$F72-1,$A$7:$C$161,2,FALSE)*VLOOKUP(AG$1,'Attrition Modeling'!$L$15:$N$27,IF(AG$2-$F5&lt;=24,2,3),FALSE))*(1+Projection!AI$16)*(1+IF(AG137&gt;0,'Attrition Modeling'!$N$9,0))),0))</f>
        <v>829.84919126255204</v>
      </c>
      <c r="AH72" s="799">
        <f>IF(AH$69=$F72+1,IF(Monthly!AD$4=TRUE,0,Monthly!AD$17),IF(AH$69&gt;$F72+1,AG72*(1-IF(AH$69-$F72&lt;=12,SUMIFS('Attrition Modeling'!$D:$D,'Attrition Modeling'!$B:$B,$E72,'Attrition Modeling'!$C:$C,AH$68),VLOOKUP(AH$69-$F72-1,$A$7:$C$161,2,FALSE)*VLOOKUP(AH$1,'Attrition Modeling'!$L$15:$N$27,IF(AH$2-$F5&lt;=24,2,3),FALSE))*(1+Projection!AJ$16)*(1+IF(AH137&gt;0,'Attrition Modeling'!$N$9,0))),0))</f>
        <v>802.03907599525201</v>
      </c>
      <c r="AI72" s="799">
        <f>IF(AI$69=$F72+1,IF(Monthly!AE$4=TRUE,0,Monthly!AE$17),IF(AI$69&gt;$F72+1,AH72*(1-IF(AI$69-$F72&lt;=12,SUMIFS('Attrition Modeling'!$D:$D,'Attrition Modeling'!$B:$B,$E72,'Attrition Modeling'!$C:$C,AI$68),VLOOKUP(AI$69-$F72-1,$A$7:$C$161,2,FALSE)*VLOOKUP(AI$1,'Attrition Modeling'!$L$15:$N$27,IF(AI$2-$F5&lt;=24,2,3),FALSE))*(1+Projection!AK$16)*(1+IF(AI137&gt;0,'Attrition Modeling'!$N$9,0))),0))</f>
        <v>780.96157742394121</v>
      </c>
      <c r="AJ72" s="799">
        <f>IF(AJ$69=$F72+1,IF(Monthly!AF$4=TRUE,0,Monthly!AF$17),IF(AJ$69&gt;$F72+1,AI72*(1-IF(AJ$69-$F72&lt;=12,SUMIFS('Attrition Modeling'!$D:$D,'Attrition Modeling'!$B:$B,$E72,'Attrition Modeling'!$C:$C,AJ$68),VLOOKUP(AJ$69-$F72-1,$A$7:$C$161,2,FALSE)*VLOOKUP(AJ$1,'Attrition Modeling'!$L$15:$N$27,IF(AJ$2-$F5&lt;=24,2,3),FALSE))*(1+Projection!AL$16)*(1+IF(AJ137&gt;0,'Attrition Modeling'!$N$9,0))),0))</f>
        <v>756.5197462469838</v>
      </c>
      <c r="AK72" s="799">
        <f>IF(AK$69=$F72+1,IF(Monthly!AG$4=TRUE,0,Monthly!AG$17),IF(AK$69&gt;$F72+1,AJ72*(1-IF(AK$69-$F72&lt;=12,SUMIFS('Attrition Modeling'!$D:$D,'Attrition Modeling'!$B:$B,$E72,'Attrition Modeling'!$C:$C,AK$68),VLOOKUP(AK$69-$F72-1,$A$7:$C$161,2,FALSE)*VLOOKUP(AK$1,'Attrition Modeling'!$L$15:$N$27,IF(AK$2-$F5&lt;=24,2,3),FALSE))*(1+Projection!AM$16)*(1+IF(AK137&gt;0,'Attrition Modeling'!$N$9,0))),0))</f>
        <v>729.85365147956497</v>
      </c>
      <c r="AL72" s="799">
        <f>IF(AL$69=$F72+1,IF(Monthly!AH$4=TRUE,0,Monthly!AH$17),IF(AL$69&gt;$F72+1,AK72*(1-IF(AL$69-$F72&lt;=12,SUMIFS('Attrition Modeling'!$D:$D,'Attrition Modeling'!$B:$B,$E72,'Attrition Modeling'!$C:$C,AL$68),VLOOKUP(AL$69-$F72-1,$A$7:$C$161,2,FALSE)*VLOOKUP(AL$1,'Attrition Modeling'!$L$15:$N$27,IF(AL$2-$F5&lt;=24,2,3),FALSE))*(1+Projection!AN$16)*(1+IF(AL137&gt;0,'Attrition Modeling'!$N$9,0))),0))</f>
        <v>702.18433700319611</v>
      </c>
      <c r="AM72" s="799">
        <f>IF(AM$69=$F72+1,IF(Monthly!AI$4=TRUE,0,Monthly!AI$17),IF(AM$69&gt;$F72+1,AL72*(1-IF(AM$69-$F72&lt;=12,SUMIFS('Attrition Modeling'!$D:$D,'Attrition Modeling'!$B:$B,$E72,'Attrition Modeling'!$C:$C,AM$68),VLOOKUP(AM$69-$F72-1,$A$7:$C$161,2,FALSE)*VLOOKUP(AM$1,'Attrition Modeling'!$L$15:$N$27,IF(AM$2-$F5&lt;=24,2,3),FALSE))*(1+Projection!AO$16)*(1+IF(AM137&gt;0,'Attrition Modeling'!$N$9,0))),0))</f>
        <v>668.31029352130656</v>
      </c>
      <c r="AN72" s="799">
        <f>IF(AN$69=$F72+1,IF(Monthly!AJ$4=TRUE,0,Monthly!AJ$17),IF(AN$69&gt;$F72+1,AM72*(1-IF(AN$69-$F72&lt;=12,SUMIFS('Attrition Modeling'!$D:$D,'Attrition Modeling'!$B:$B,$E72,'Attrition Modeling'!$C:$C,AN$68),VLOOKUP(AN$69-$F72-1,$A$7:$C$161,2,FALSE)*VLOOKUP(AN$1,'Attrition Modeling'!$L$15:$N$27,IF(AN$2-$F5&lt;=24,2,3),FALSE))*(1+Projection!AP$16)*(1+IF(AN137&gt;0,'Attrition Modeling'!$N$9,0))),0))</f>
        <v>643.38860427897657</v>
      </c>
      <c r="AO72" s="799">
        <f>IF(AO$69=$F72+1,IF(Monthly!AK$4=TRUE,0,Monthly!AK$17),IF(AO$69&gt;$F72+1,AN72*(1-IF(AO$69-$F72&lt;=12,SUMIFS('Attrition Modeling'!$D:$D,'Attrition Modeling'!$B:$B,$E72,'Attrition Modeling'!$C:$C,AO$68),VLOOKUP(AO$69-$F72-1,$A$7:$C$161,2,FALSE)*VLOOKUP(AO$1,'Attrition Modeling'!$L$15:$N$27,IF(AO$2-$F5&lt;=24,2,3),FALSE))*(1+Projection!AQ$16)*(1+IF(AO137&gt;0,'Attrition Modeling'!$N$9,0))),0))</f>
        <v>620.49960932957561</v>
      </c>
      <c r="AP72" s="799">
        <f>IF(AP$69=$F72+1,IF(Monthly!AL$4=TRUE,0,Monthly!AL$17),IF(AP$69&gt;$F72+1,AO72*(1-IF(AP$69-$F72&lt;=12,SUMIFS('Attrition Modeling'!$D:$D,'Attrition Modeling'!$B:$B,$E72,'Attrition Modeling'!$C:$C,AP$68),VLOOKUP(AP$69-$F72-1,$A$7:$C$161,2,FALSE)*VLOOKUP(AP$1,'Attrition Modeling'!$L$15:$N$27,IF(AP$2-$F5&lt;=24,2,3),FALSE))*(1+Projection!AR$16)*(1+IF(AP137&gt;0,'Attrition Modeling'!$N$9,0))),0))</f>
        <v>599.17668414341381</v>
      </c>
      <c r="AQ72" s="799">
        <f>IF(AQ$69=$F72+1,IF(Monthly!AM$4=TRUE,0,Monthly!AM$17),IF(AQ$69&gt;$F72+1,AP72*(1-IF(AQ$69-$F72&lt;=12,SUMIFS('Attrition Modeling'!$D:$D,'Attrition Modeling'!$B:$B,$E72,'Attrition Modeling'!$C:$C,AQ$68),VLOOKUP(AQ$69-$F72-1,$A$7:$C$161,2,FALSE)*VLOOKUP(AQ$1,'Attrition Modeling'!$L$15:$N$27,IF(AQ$2-$F5&lt;=24,2,3),FALSE))*(1+Projection!AS$16)*(1+IF(AQ137&gt;0,'Attrition Modeling'!$N$9,0))),0))</f>
        <v>582.40367320674522</v>
      </c>
      <c r="AR72" s="799">
        <f>IF(AR$69=$F72+1,IF(Monthly!AN$4=TRUE,0,Monthly!AN$17),IF(AR$69&gt;$F72+1,AQ72*(1-IF(AR$69-$F72&lt;=12,SUMIFS('Attrition Modeling'!$D:$D,'Attrition Modeling'!$B:$B,$E72,'Attrition Modeling'!$C:$C,AR$68),VLOOKUP(AR$69-$F72-1,$A$7:$C$161,2,FALSE)*VLOOKUP(AR$1,'Attrition Modeling'!$L$15:$N$27,IF(AR$2-$F5&lt;=24,2,3),FALSE))*(1+Projection!AT$16)*(1+IF(AR137&gt;0,'Attrition Modeling'!$N$9,0))),0))</f>
        <v>564.55707654138655</v>
      </c>
      <c r="AS72" s="799">
        <f>IF(AS$69=$F72+1,IF(Monthly!AO$4=TRUE,0,Monthly!AO$17),IF(AS$69&gt;$F72+1,AR72*(1-IF(AS$69-$F72&lt;=12,SUMIFS('Attrition Modeling'!$D:$D,'Attrition Modeling'!$B:$B,$E72,'Attrition Modeling'!$C:$C,AS$68),VLOOKUP(AS$69-$F72-1,$A$7:$C$161,2,FALSE)*VLOOKUP(AS$1,'Attrition Modeling'!$L$15:$N$27,IF(AS$2-$F5&lt;=24,2,3),FALSE))*(1+Projection!AU$16)*(1+IF(AS137&gt;0,'Attrition Modeling'!$N$9,0))),0))</f>
        <v>547.98501978127103</v>
      </c>
      <c r="AT72" s="799">
        <f>IF(AT$69=$F72+1,IF(Monthly!AP$4=TRUE,0,Monthly!AP$17),IF(AT$69&gt;$F72+1,AS72*(1-IF(AT$69-$F72&lt;=12,SUMIFS('Attrition Modeling'!$D:$D,'Attrition Modeling'!$B:$B,$E72,'Attrition Modeling'!$C:$C,AT$68),VLOOKUP(AT$69-$F72-1,$A$7:$C$161,2,FALSE)*VLOOKUP(AT$1,'Attrition Modeling'!$L$15:$N$27,IF(AT$2-$F5&lt;=24,2,3),FALSE))*(1+Projection!AV$16)*(1+IF(AT137&gt;0,'Attrition Modeling'!$N$9,0))),0))</f>
        <v>532.74252664071037</v>
      </c>
      <c r="AU72" s="799">
        <f>IF(AU$69=$F72+1,IF(Monthly!AQ$4=TRUE,0,Monthly!AQ$17),IF(AU$69&gt;$F72+1,AT72*(1-IF(AU$69-$F72&lt;=12,SUMIFS('Attrition Modeling'!$D:$D,'Attrition Modeling'!$B:$B,$E72,'Attrition Modeling'!$C:$C,AU$68),VLOOKUP(AU$69-$F72-1,$A$7:$C$161,2,FALSE)*VLOOKUP(AU$1,'Attrition Modeling'!$L$15:$N$27,IF(AU$2-$F5&lt;=24,2,3),FALSE))*(1+Projection!AW$16)*(1+IF(AU137&gt;0,'Attrition Modeling'!$N$9,0))),0))</f>
        <v>521.08331246273133</v>
      </c>
      <c r="AV72" s="799">
        <f>IF(AV$69=$F72+1,IF(Monthly!AR$4=TRUE,0,Monthly!AR$17),IF(AV$69&gt;$F72+1,AU72*(1-IF(AV$69-$F72&lt;=12,SUMIFS('Attrition Modeling'!$D:$D,'Attrition Modeling'!$B:$B,$E72,'Attrition Modeling'!$C:$C,AV$68),VLOOKUP(AV$69-$F72-1,$A$7:$C$161,2,FALSE)*VLOOKUP(AV$1,'Attrition Modeling'!$L$15:$N$27,IF(AV$2-$F5&lt;=24,2,3),FALSE))*(1+Projection!AX$16)*(1+IF(AV137&gt;0,'Attrition Modeling'!$N$9,0))),0))</f>
        <v>507.4596624854899</v>
      </c>
      <c r="AW72" s="799">
        <f>IF(AW$69=$F72+1,IF(Monthly!AS$4=TRUE,0,Monthly!AS$17),IF(AW$69&gt;$F72+1,AV72*(1-IF(AW$69-$F72&lt;=12,SUMIFS('Attrition Modeling'!$D:$D,'Attrition Modeling'!$B:$B,$E72,'Attrition Modeling'!$C:$C,AW$68),VLOOKUP(AW$69-$F72-1,$A$7:$C$161,2,FALSE)*VLOOKUP(AW$1,'Attrition Modeling'!$L$15:$N$27,IF(AW$2-$F5&lt;=24,2,3),FALSE))*(1+Projection!AY$16)*(1+IF(AW137&gt;0,'Attrition Modeling'!$N$9,0))),0))</f>
        <v>492.47337762613051</v>
      </c>
      <c r="AX72" s="799">
        <f>IF(AX$69=$F72+1,IF(Monthly!AT$4=TRUE,0,Monthly!AT$17),IF(AX$69&gt;$F72+1,AW72*(1-IF(AX$69-$F72&lt;=12,SUMIFS('Attrition Modeling'!$D:$D,'Attrition Modeling'!$B:$B,$E72,'Attrition Modeling'!$C:$C,AX$68),VLOOKUP(AX$69-$F72-1,$A$7:$C$161,2,FALSE)*VLOOKUP(AX$1,'Attrition Modeling'!$L$15:$N$27,IF(AX$2-$F5&lt;=24,2,3),FALSE))*(1+Projection!AZ$16)*(1+IF(AX137&gt;0,'Attrition Modeling'!$N$9,0))),0))</f>
        <v>476.78803530093444</v>
      </c>
      <c r="AY72" s="799">
        <f>IF(AY$69=$F72+1,IF(Monthly!AU$4=TRUE,0,Monthly!AU$17),IF(AY$69&gt;$F72+1,AX72*(1-IF(AY$69-$F72&lt;=12,SUMIFS('Attrition Modeling'!$D:$D,'Attrition Modeling'!$B:$B,$E72,'Attrition Modeling'!$C:$C,AY$68),VLOOKUP(AY$69-$F72-1,$A$7:$C$161,2,FALSE)*VLOOKUP(AY$1,'Attrition Modeling'!$L$15:$N$27,IF(AY$2-$F5&lt;=24,2,3),FALSE))*(1+Projection!BA$16)*(1+IF(AY137&gt;0,'Attrition Modeling'!$N$9,0))),0))</f>
        <v>457.41419581031698</v>
      </c>
      <c r="AZ72" s="799">
        <f>IF(AZ$69=$F72+1,IF(Monthly!AV$4=TRUE,0,Monthly!AV$17),IF(AZ$69&gt;$F72+1,AY72*(1-IF(AZ$69-$F72&lt;=12,SUMIFS('Attrition Modeling'!$D:$D,'Attrition Modeling'!$B:$B,$E72,'Attrition Modeling'!$C:$C,AZ$68),VLOOKUP(AZ$69-$F72-1,$A$7:$C$161,2,FALSE)*VLOOKUP(AZ$1,'Attrition Modeling'!$L$15:$N$27,IF(AZ$2-$F5&lt;=24,2,3),FALSE))*(1+Projection!BB$16)*(1+IF(AZ137&gt;0,'Attrition Modeling'!$N$9,0))),0))</f>
        <v>443.01145092660101</v>
      </c>
      <c r="BA72" s="799">
        <f>IF(BA$69=$F72+1,IF(Monthly!AW$4=TRUE,0,Monthly!AW$17),IF(BA$69&gt;$F72+1,AZ72*(1-IF(BA$69-$F72&lt;=12,SUMIFS('Attrition Modeling'!$D:$D,'Attrition Modeling'!$B:$B,$E72,'Attrition Modeling'!$C:$C,BA$68),VLOOKUP(BA$69-$F72-1,$A$7:$C$161,2,FALSE)*VLOOKUP(BA$1,'Attrition Modeling'!$L$15:$N$27,IF(BA$2-$F5&lt;=24,2,3),FALSE))*(1+Projection!BC$16)*(1+IF(BA137&gt;0,'Attrition Modeling'!$N$9,0))),0))</f>
        <v>429.67293667435422</v>
      </c>
      <c r="BB72" s="799">
        <f>IF(BB$69=$F72+1,IF(Monthly!AX$4=TRUE,0,Monthly!AX$17),IF(BB$69&gt;$F72+1,BA72*(1-IF(BB$69-$F72&lt;=12,SUMIFS('Attrition Modeling'!$D:$D,'Attrition Modeling'!$B:$B,$E72,'Attrition Modeling'!$C:$C,BB$68),VLOOKUP(BB$69-$F72-1,$A$7:$C$161,2,FALSE)*VLOOKUP(BB$1,'Attrition Modeling'!$L$15:$N$27,IF(BB$2-$F5&lt;=24,2,3),FALSE))*(1+Projection!BD$16)*(1+IF(BB137&gt;0,'Attrition Modeling'!$N$9,0))),0))</f>
        <v>417.14929389808054</v>
      </c>
      <c r="BC72" s="799">
        <f>IF(BC$69=$F72+1,IF(Monthly!AY$4=TRUE,0,Monthly!AY$17),IF(BC$69&gt;$F72+1,BB72*(1-IF(BC$69-$F72&lt;=12,SUMIFS('Attrition Modeling'!$D:$D,'Attrition Modeling'!$B:$B,$E72,'Attrition Modeling'!$C:$C,BC$68),VLOOKUP(BC$69-$F72-1,$A$7:$C$161,2,FALSE)*VLOOKUP(BC$1,'Attrition Modeling'!$L$15:$N$27,IF(BC$2-$F5&lt;=24,2,3),FALSE))*(1+Projection!BE$16)*(1+IF(BC137&gt;0,'Attrition Modeling'!$N$9,0))),0))</f>
        <v>407.22424450380908</v>
      </c>
      <c r="BD72" s="799">
        <f>IF(BD$69=$F72+1,IF(Monthly!AZ$4=TRUE,0,Monthly!AZ$17),IF(BD$69&gt;$F72+1,BC72*(1-IF(BD$69-$F72&lt;=12,SUMIFS('Attrition Modeling'!$D:$D,'Attrition Modeling'!$B:$B,$E72,'Attrition Modeling'!$C:$C,BD$68),VLOOKUP(BD$69-$F72-1,$A$7:$C$161,2,FALSE)*VLOOKUP(BD$1,'Attrition Modeling'!$L$15:$N$27,IF(BD$2-$F5&lt;=24,2,3),FALSE))*(1+Projection!BF$16)*(1+IF(BD137&gt;0,'Attrition Modeling'!$N$9,0))),0))</f>
        <v>396.59749190872924</v>
      </c>
      <c r="BE72" s="799">
        <f>IF(BE$69=$F72+1,IF(Monthly!BA$4=TRUE,0,Monthly!BA$17),IF(BE$69&gt;$F72+1,BD72*(1-IF(BE$69-$F72&lt;=12,SUMIFS('Attrition Modeling'!$D:$D,'Attrition Modeling'!$B:$B,$E72,'Attrition Modeling'!$C:$C,BE$68),VLOOKUP(BE$69-$F72-1,$A$7:$C$161,2,FALSE)*VLOOKUP(BE$1,'Attrition Modeling'!$L$15:$N$27,IF(BE$2-$F5&lt;=24,2,3),FALSE))*(1+Projection!BG$16)*(1+IF(BE137&gt;0,'Attrition Modeling'!$N$9,0))),0))</f>
        <v>386.66493744427243</v>
      </c>
      <c r="BF72" s="799">
        <f>IF(BF$69=$F72+1,IF(Monthly!BB$4=TRUE,0,Monthly!BB$17),IF(BF$69&gt;$F72+1,BE72*(1-IF(BF$69-$F72&lt;=12,SUMIFS('Attrition Modeling'!$D:$D,'Attrition Modeling'!$B:$B,$E72,'Attrition Modeling'!$C:$C,BF$68),VLOOKUP(BF$69-$F72-1,$A$7:$C$161,2,FALSE)*VLOOKUP(BF$1,'Attrition Modeling'!$L$15:$N$27,IF(BF$2-$F5&lt;=24,2,3),FALSE))*(1+Projection!BH$16)*(1+IF(BF137&gt;0,'Attrition Modeling'!$N$9,0))),0))</f>
        <v>377.53426940852978</v>
      </c>
      <c r="BG72" s="799">
        <f>IF(BG$69=$F72+1,IF(Monthly!BC$4=TRUE,0,Monthly!BC$17),IF(BG$69&gt;$F72+1,BF72*(1-IF(BG$69-$F72&lt;=12,SUMIFS('Attrition Modeling'!$D:$D,'Attrition Modeling'!$B:$B,$E72,'Attrition Modeling'!$C:$C,BG$68),VLOOKUP(BG$69-$F72-1,$A$7:$C$161,2,FALSE)*VLOOKUP(BG$1,'Attrition Modeling'!$L$15:$N$27,IF(BG$2-$F5&lt;=24,2,3),FALSE))*(1+Projection!BI$16)*(1+IF(BG137&gt;0,'Attrition Modeling'!$N$9,0))),0))</f>
        <v>370.50927382109404</v>
      </c>
      <c r="BH72" s="799">
        <f>IF(BH$69=$F72+1,IF(Monthly!BD$4=TRUE,0,Monthly!BD$17),IF(BH$69&gt;$F72+1,BG72*(1-IF(BH$69-$F72&lt;=12,SUMIFS('Attrition Modeling'!$D:$D,'Attrition Modeling'!$B:$B,$E72,'Attrition Modeling'!$C:$C,BH$68),VLOOKUP(BH$69-$F72-1,$A$7:$C$161,2,FALSE)*VLOOKUP(BH$1,'Attrition Modeling'!$L$15:$N$27,IF(BH$2-$F5&lt;=24,2,3),FALSE))*(1+Projection!BJ$16)*(1+IF(BH137&gt;0,'Attrition Modeling'!$N$9,0))),0))</f>
        <v>362.26135496546846</v>
      </c>
      <c r="BI72" s="799">
        <f>IF(BI$69=$F72+1,IF(Monthly!BE$4=TRUE,0,Monthly!BE$17),IF(BI$69&gt;$F72+1,BH72*(1-IF(BI$69-$F72&lt;=12,SUMIFS('Attrition Modeling'!$D:$D,'Attrition Modeling'!$B:$B,$E72,'Attrition Modeling'!$C:$C,BI$68),VLOOKUP(BI$69-$F72-1,$A$7:$C$161,2,FALSE)*VLOOKUP(BI$1,'Attrition Modeling'!$L$15:$N$27,IF(BI$2-$F5&lt;=24,2,3),FALSE))*(1+Projection!BK$16)*(1+IF(BI137&gt;0,'Attrition Modeling'!$N$9,0))),0))</f>
        <v>353.13997052133783</v>
      </c>
      <c r="BJ72" s="799">
        <f>IF(BJ$69=$F72+1,IF(Monthly!BF$4=TRUE,0,Monthly!BF$17),IF(BJ$69&gt;$F72+1,BI72*(1-IF(BJ$69-$F72&lt;=12,SUMIFS('Attrition Modeling'!$D:$D,'Attrition Modeling'!$B:$B,$E72,'Attrition Modeling'!$C:$C,BJ$68),VLOOKUP(BJ$69-$F72-1,$A$7:$C$161,2,FALSE)*VLOOKUP(BJ$1,'Attrition Modeling'!$L$15:$N$27,IF(BJ$2-$F5&lt;=24,2,3),FALSE))*(1+Projection!BL$16)*(1+IF(BJ137&gt;0,'Attrition Modeling'!$N$9,0))),0))</f>
        <v>343.53801222793629</v>
      </c>
      <c r="BK72" s="799">
        <f>IF(BK$69=$F72+1,IF(Monthly!BG$4=TRUE,0,Monthly!BG$17),IF(BK$69&gt;$F72+1,BJ72*(1-IF(BK$69-$F72&lt;=12,SUMIFS('Attrition Modeling'!$D:$D,'Attrition Modeling'!$B:$B,$E72,'Attrition Modeling'!$C:$C,BK$68),VLOOKUP(BK$69-$F72-1,$A$7:$C$161,2,FALSE)*VLOOKUP(BK$1,'Attrition Modeling'!$L$15:$N$27,IF(BK$2-$F5&lt;=24,2,3),FALSE))*(1+Projection!BM$16)*(1+IF(BK137&gt;0,'Attrition Modeling'!$N$9,0))),0))</f>
        <v>331.60659148729997</v>
      </c>
      <c r="BL72" s="799">
        <f>IF(BL$69=$F72+1,IF(Monthly!BH$4=TRUE,0,Monthly!BH$17),IF(BL$69&gt;$F72+1,BK72*(1-IF(BL$69-$F72&lt;=12,SUMIFS('Attrition Modeling'!$D:$D,'Attrition Modeling'!$B:$B,$E72,'Attrition Modeling'!$C:$C,BL$68),VLOOKUP(BL$69-$F72-1,$A$7:$C$161,2,FALSE)*VLOOKUP(BL$1,'Attrition Modeling'!$L$15:$N$27,IF(BL$2-$F5&lt;=24,2,3),FALSE))*(1+Projection!BN$16)*(1+IF(BL137&gt;0,'Attrition Modeling'!$N$9,0))),0))</f>
        <v>322.67183516958482</v>
      </c>
      <c r="BM72" s="799">
        <f>IF(BM$69=$F72+1,IF(Monthly!BI$4=TRUE,0,Monthly!BI$17),IF(BM$69&gt;$F72+1,BL72*(1-IF(BM$69-$F72&lt;=12,SUMIFS('Attrition Modeling'!$D:$D,'Attrition Modeling'!$B:$B,$E72,'Attrition Modeling'!$C:$C,BM$68),VLOOKUP(BM$69-$F72-1,$A$7:$C$161,2,FALSE)*VLOOKUP(BM$1,'Attrition Modeling'!$L$15:$N$27,IF(BM$2-$F5&lt;=24,2,3),FALSE))*(1+Projection!BO$16)*(1+IF(BM137&gt;0,'Attrition Modeling'!$N$9,0))),0))</f>
        <v>314.34945506677286</v>
      </c>
      <c r="BN72" s="799">
        <f>IF(BN$69=$F72+1,IF(Monthly!BJ$4=TRUE,0,Monthly!BJ$17),IF(BN$69&gt;$F72+1,BM72*(1-IF(BN$69-$F72&lt;=12,SUMIFS('Attrition Modeling'!$D:$D,'Attrition Modeling'!$B:$B,$E72,'Attrition Modeling'!$C:$C,BN$68),VLOOKUP(BN$69-$F72-1,$A$7:$C$161,2,FALSE)*VLOOKUP(BN$1,'Attrition Modeling'!$L$15:$N$27,IF(BN$2-$F5&lt;=24,2,3),FALSE))*(1+Projection!BP$16)*(1+IF(BN137&gt;0,'Attrition Modeling'!$N$9,0))),0))</f>
        <v>306.49268615519429</v>
      </c>
      <c r="BO72" s="799">
        <f>IF(BO$69=$F72+1,IF(Monthly!BK$4=TRUE,0,Monthly!BK$17),IF(BO$69&gt;$F72+1,BN72*(1-IF(BO$69-$F72&lt;=12,SUMIFS('Attrition Modeling'!$D:$D,'Attrition Modeling'!$B:$B,$E72,'Attrition Modeling'!$C:$C,BO$68),VLOOKUP(BO$69-$F72-1,$A$7:$C$161,2,FALSE)*VLOOKUP(BO$1,'Attrition Modeling'!$L$15:$N$27,IF(BO$2-$F5&lt;=24,2,3),FALSE))*(1+Projection!BV$16)*(1+IF(BO137&gt;0,'Attrition Modeling'!$N$9,0))),0))</f>
        <v>300.23346412524347</v>
      </c>
      <c r="BP72" s="799">
        <f>IF(BP$69=$F72+1,IF(Monthly!BL$4=TRUE,0,Monthly!BL$17),IF(BP$69&gt;$F72+1,BO72*(1-IF(BP$69-$F72&lt;=12,SUMIFS('Attrition Modeling'!$D:$D,'Attrition Modeling'!$B:$B,$E72,'Attrition Modeling'!$C:$C,BP$68),VLOOKUP(BP$69-$F72-1,$A$7:$C$161,2,FALSE)*VLOOKUP(BP$1,'Attrition Modeling'!$L$15:$N$27,IF(BP$2-$F5&lt;=24,2,3),FALSE))*(1+Projection!BW$16)*(1+IF(BP137&gt;0,'Attrition Modeling'!$N$9,0))),0))</f>
        <v>293.50241630835484</v>
      </c>
      <c r="BQ72" s="799">
        <f>IF(BQ$69=$F72+1,IF(Monthly!BM$4=TRUE,0,Monthly!BM$17),IF(BQ$69&gt;$F72+1,BP72*(1-IF(BQ$69-$F72&lt;=12,SUMIFS('Attrition Modeling'!$D:$D,'Attrition Modeling'!$B:$B,$E72,'Attrition Modeling'!$C:$C,BQ$68),VLOOKUP(BQ$69-$F72-1,$A$7:$C$161,2,FALSE)*VLOOKUP(BQ$1,'Attrition Modeling'!$L$15:$N$27,IF(BQ$2-$F5&lt;=24,2,3),FALSE))*(1+Projection!BX$16)*(1+IF(BQ137&gt;0,'Attrition Modeling'!$N$9,0))),0))</f>
        <v>287.18186359461879</v>
      </c>
      <c r="BR72" s="799">
        <f>IF(BR$69=$F72+1,IF(Monthly!BN$4=TRUE,0,Monthly!BN$17),IF(BR$69&gt;$F72+1,BQ72*(1-IF(BR$69-$F72&lt;=12,SUMIFS('Attrition Modeling'!$D:$D,'Attrition Modeling'!$B:$B,$E72,'Attrition Modeling'!$C:$C,BR$68),VLOOKUP(BR$69-$F72-1,$A$7:$C$161,2,FALSE)*VLOOKUP(BR$1,'Attrition Modeling'!$L$15:$N$27,IF(BR$2-$F5&lt;=24,2,3),FALSE))*(1+Projection!BY$16)*(1+IF(BR137&gt;0,'Attrition Modeling'!$N$9,0))),0))</f>
        <v>281.30642836397641</v>
      </c>
      <c r="BS72" s="799">
        <f>IF(BS$69=$F72+1,IF(Monthly!BO$4=TRUE,0,Monthly!BO$17),IF(BS$69&gt;$F72+1,BR72*(1-IF(BS$69-$F72&lt;=12,SUMIFS('Attrition Modeling'!$D:$D,'Attrition Modeling'!$B:$B,$E72,'Attrition Modeling'!$C:$C,BS$68),VLOOKUP(BS$69-$F72-1,$A$7:$C$161,2,FALSE)*VLOOKUP(BS$1,'Attrition Modeling'!$L$15:$N$27,IF(BS$2-$F5&lt;=24,2,3),FALSE))*(1+Projection!BZ$16)*(1+IF(BS137&gt;0,'Attrition Modeling'!$N$9,0))),0))</f>
        <v>276.76711529596594</v>
      </c>
      <c r="BT72" s="799">
        <f>IF(BT$69=$F72+1,IF(Monthly!#REF!=TRUE,0,Monthly!#REF!),IF(BT$69&gt;$F72+1,BS72*(1-IF(BT$69-$F72&lt;=12,SUMIFS('Attrition Modeling'!$D:$D,'Attrition Modeling'!$B:$B,$E72,'Attrition Modeling'!$C:$C,BT$68),VLOOKUP(BT$69-$F72-1,$A$7:$C$161,2,FALSE)*VLOOKUP(BT$1,'Attrition Modeling'!$L$15:$N$27,IF(BT$2-$F5&lt;=24,2,3),FALSE))*(1+Projection!CA$16)*(1+IF(BT137&gt;0,'Attrition Modeling'!$N$9,0))),0))</f>
        <v>271.41940973814025</v>
      </c>
      <c r="BU72" s="799">
        <f>IF(BU$69=$F72+1,IF(Monthly!#REF!=TRUE,0,Monthly!#REF!),IF(BU$69&gt;$F72+1,BT72*(1-IF(BU$69-$F72&lt;=12,SUMIFS('Attrition Modeling'!$D:$D,'Attrition Modeling'!$B:$B,$E72,'Attrition Modeling'!$C:$C,BU$68),VLOOKUP(BU$69-$F72-1,$A$7:$C$161,2,FALSE)*VLOOKUP(BU$1,'Attrition Modeling'!$L$15:$N$27,IF(BU$2-$F5&lt;=24,2,3),FALSE))*(1+Projection!CB$16)*(1+IF(BU137&gt;0,'Attrition Modeling'!$N$9,0))),0))</f>
        <v>265.48255434415341</v>
      </c>
    </row>
    <row r="73" spans="1:73" ht="14.25" customHeight="1" x14ac:dyDescent="0.2">
      <c r="A73" s="9">
        <v>66</v>
      </c>
      <c r="B73" s="25">
        <f>MAX('Attrition Modeling'!H70,$C$3)*(1-Summary!$C$20)</f>
        <v>2.0734047981108256E-2</v>
      </c>
      <c r="C73" s="24" t="e">
        <f t="shared" si="4"/>
        <v>#DIV/0!</v>
      </c>
      <c r="E73" s="11">
        <f t="shared" si="9"/>
        <v>3</v>
      </c>
      <c r="F73" s="11">
        <f t="shared" si="10"/>
        <v>3</v>
      </c>
      <c r="G73" s="799"/>
      <c r="H73" s="799">
        <f>IF(H$69=$F73+1,IF(Monthly!D$4=TRUE,0,Monthly!D$17),IF(H$69&gt;$F73+1,G73*(1-IF(H$69-$F73&lt;=12,SUMIFS('Attrition Modeling'!$D:$D,'Attrition Modeling'!$B:$B,$E73,'Attrition Modeling'!$C:$C,H$68),VLOOKUP(H$69-$F73-1,$A$7:$C$161,2,FALSE)*VLOOKUP(H$1,'Attrition Modeling'!$L$15:$N$27,IF(H$2-$F6&lt;=24,2,3),FALSE))*(1+Projection!J$16)*(1+IF(H138&gt;0,'Attrition Modeling'!$N$9,0))),0))</f>
        <v>0</v>
      </c>
      <c r="I73" s="799">
        <f>IF(I$69=$F73+1,IF(Monthly!E$4=TRUE,0,Monthly!E$17),IF(I$69&gt;$F73+1,H73*(1-IF(I$69-$F73&lt;=12,SUMIFS('Attrition Modeling'!$D:$D,'Attrition Modeling'!$B:$B,$E73,'Attrition Modeling'!$C:$C,I$68),VLOOKUP(I$69-$F73-1,$A$7:$C$161,2,FALSE)*VLOOKUP(I$1,'Attrition Modeling'!$L$15:$N$27,IF(I$2-$F6&lt;=24,2,3),FALSE))*(1+Projection!K$16)*(1+IF(I138&gt;0,'Attrition Modeling'!$N$9,0))),0))</f>
        <v>0</v>
      </c>
      <c r="J73" s="799">
        <f>IF(J$69=$F73+1,IF(Monthly!F$4=TRUE,0,Monthly!F$17),IF(J$69&gt;$F73+1,I73*(1-IF(J$69-$F73&lt;=12,SUMIFS('Attrition Modeling'!$D:$D,'Attrition Modeling'!$B:$B,$E73,'Attrition Modeling'!$C:$C,J$68),VLOOKUP(J$69-$F73-1,$A$7:$C$161,2,FALSE)*VLOOKUP(J$1,'Attrition Modeling'!$L$15:$N$27,IF(J$2-$F6&lt;=24,2,3),FALSE))*(1+Projection!L$16)*(1+IF(J138&gt;0,'Attrition Modeling'!$N$9,0))),0))</f>
        <v>0</v>
      </c>
      <c r="K73" s="799">
        <f>IF(K$69=$F73+1,IF(Monthly!G$4=TRUE,0,Monthly!G$17),IF(K$69&gt;$F73+1,J73*(1-IF(K$69-$F73&lt;=12,SUMIFS('Attrition Modeling'!$D:$D,'Attrition Modeling'!$B:$B,$E73,'Attrition Modeling'!$C:$C,K$68),VLOOKUP(K$69-$F73-1,$A$7:$C$161,2,FALSE)*VLOOKUP(K$1,'Attrition Modeling'!$L$15:$N$27,IF(K$2-$F6&lt;=24,2,3),FALSE))*(1+Projection!M$16)*(1+IF(K138&gt;0,'Attrition Modeling'!$N$9,0))),0))</f>
        <v>3694.5714901876709</v>
      </c>
      <c r="L73" s="799">
        <f>IF(L$69=$F73+1,IF(Monthly!H$4=TRUE,0,Monthly!H$17),IF(L$69&gt;$F73+1,K73*(1-IF(L$69-$F73&lt;=12,SUMIFS('Attrition Modeling'!$D:$D,'Attrition Modeling'!$B:$B,$E73,'Attrition Modeling'!$C:$C,L$68),VLOOKUP(L$69-$F73-1,$A$7:$C$161,2,FALSE)*VLOOKUP(L$1,'Attrition Modeling'!$L$15:$N$27,IF(L$2-$F6&lt;=24,2,3),FALSE))*(1+Projection!N$16)*(1+IF(L138&gt;0,'Attrition Modeling'!$N$9,0))),0))</f>
        <v>3347.584096895072</v>
      </c>
      <c r="M73" s="799">
        <f>IF(M$69=$F73+1,IF(Monthly!I$4=TRUE,0,Monthly!I$17),IF(M$69&gt;$F73+1,L73*(1-IF(M$69-$F73&lt;=12,SUMIFS('Attrition Modeling'!$D:$D,'Attrition Modeling'!$B:$B,$E73,'Attrition Modeling'!$C:$C,M$68),VLOOKUP(M$69-$F73-1,$A$7:$C$161,2,FALSE)*VLOOKUP(M$1,'Attrition Modeling'!$L$15:$N$27,IF(M$2-$F6&lt;=24,2,3),FALSE))*(1+Projection!O$16)*(1+IF(M138&gt;0,'Attrition Modeling'!$N$9,0))),0))</f>
        <v>3047.0501818819453</v>
      </c>
      <c r="N73" s="799">
        <f>IF(N$69=$F73+1,IF(Monthly!J$4=TRUE,0,Monthly!J$17),IF(N$69&gt;$F73+1,M73*(1-IF(N$69-$F73&lt;=12,SUMIFS('Attrition Modeling'!$D:$D,'Attrition Modeling'!$B:$B,$E73,'Attrition Modeling'!$C:$C,N$68),VLOOKUP(N$69-$F73-1,$A$7:$C$161,2,FALSE)*VLOOKUP(N$1,'Attrition Modeling'!$L$15:$N$27,IF(N$2-$F6&lt;=24,2,3),FALSE))*(1+Projection!P$16)*(1+IF(N138&gt;0,'Attrition Modeling'!$N$9,0))),0))</f>
        <v>2774.5984945739892</v>
      </c>
      <c r="O73" s="799">
        <f>IF(O$69=$F73+1,IF(Monthly!K$4=TRUE,0,Monthly!K$17),IF(O$69&gt;$F73+1,N73*(1-IF(O$69-$F73&lt;=12,SUMIFS('Attrition Modeling'!$D:$D,'Attrition Modeling'!$B:$B,$E73,'Attrition Modeling'!$C:$C,O$68),VLOOKUP(O$69-$F73-1,$A$7:$C$161,2,FALSE)*VLOOKUP(O$1,'Attrition Modeling'!$L$15:$N$27,IF(O$2-$F6&lt;=24,2,3),FALSE))*(1+Projection!Q$16)*(1+IF(O138&gt;0,'Attrition Modeling'!$N$9,0))),0))</f>
        <v>2532.5194095018946</v>
      </c>
      <c r="P73" s="799">
        <f>IF(P$69=$F73+1,IF(Monthly!L$4=TRUE,0,Monthly!L$17),IF(P$69&gt;$F73+1,O73*(1-IF(P$69-$F73&lt;=12,SUMIFS('Attrition Modeling'!$D:$D,'Attrition Modeling'!$B:$B,$E73,'Attrition Modeling'!$C:$C,P$68),VLOOKUP(P$69-$F73-1,$A$7:$C$161,2,FALSE)*VLOOKUP(P$1,'Attrition Modeling'!$L$15:$N$27,IF(P$2-$F6&lt;=24,2,3),FALSE))*(1+Projection!R$16)*(1+IF(P138&gt;0,'Attrition Modeling'!$N$9,0))),0))</f>
        <v>2282.4050878887583</v>
      </c>
      <c r="Q73" s="799">
        <f>IF(Q$69=$F73+1,IF(Monthly!M$4=TRUE,0,Monthly!M$17),IF(Q$69&gt;$F73+1,P73*(1-IF(Q$69-$F73&lt;=12,SUMIFS('Attrition Modeling'!$D:$D,'Attrition Modeling'!$B:$B,$E73,'Attrition Modeling'!$C:$C,Q$68),VLOOKUP(Q$69-$F73-1,$A$7:$C$161,2,FALSE)*VLOOKUP(Q$1,'Attrition Modeling'!$L$15:$N$27,IF(Q$2-$F6&lt;=24,2,3),FALSE))*(1+Projection!S$16)*(1+IF(Q138&gt;0,'Attrition Modeling'!$N$9,0))),0))</f>
        <v>2101.5028474733413</v>
      </c>
      <c r="R73" s="799">
        <f>IF(R$69=$F73+1,IF(Monthly!N$4=TRUE,0,Monthly!N$17),IF(R$69&gt;$F73+1,Q73*(1-IF(R$69-$F73&lt;=12,SUMIFS('Attrition Modeling'!$D:$D,'Attrition Modeling'!$B:$B,$E73,'Attrition Modeling'!$C:$C,R$68),VLOOKUP(R$69-$F73-1,$A$7:$C$161,2,FALSE)*VLOOKUP(R$1,'Attrition Modeling'!$L$15:$N$27,IF(R$2-$F6&lt;=24,2,3),FALSE))*(1+Projection!T$16)*(1+IF(R138&gt;0,'Attrition Modeling'!$N$9,0))),0))</f>
        <v>1944.7664185701801</v>
      </c>
      <c r="S73" s="799">
        <f>IF(S$69=$F73+1,IF(Monthly!O$4=TRUE,0,Monthly!O$17),IF(S$69&gt;$F73+1,R73*(1-IF(S$69-$F73&lt;=12,SUMIFS('Attrition Modeling'!$D:$D,'Attrition Modeling'!$B:$B,$E73,'Attrition Modeling'!$C:$C,S$68),VLOOKUP(S$69-$F73-1,$A$7:$C$161,2,FALSE)*VLOOKUP(S$1,'Attrition Modeling'!$L$15:$N$27,IF(S$2-$F6&lt;=24,2,3),FALSE))*(1+Projection!U$16)*(1+IF(S138&gt;0,'Attrition Modeling'!$N$9,0))),0))</f>
        <v>1828.8356445992927</v>
      </c>
      <c r="T73" s="799">
        <f>IF(T$69=$F73+1,IF(Monthly!P$4=TRUE,0,Monthly!P$17),IF(T$69&gt;$F73+1,S73*(1-IF(T$69-$F73&lt;=12,SUMIFS('Attrition Modeling'!$D:$D,'Attrition Modeling'!$B:$B,$E73,'Attrition Modeling'!$C:$C,T$68),VLOOKUP(T$69-$F73-1,$A$7:$C$161,2,FALSE)*VLOOKUP(T$1,'Attrition Modeling'!$L$15:$N$27,IF(T$2-$F6&lt;=24,2,3),FALSE))*(1+Projection!V$16)*(1+IF(T138&gt;0,'Attrition Modeling'!$N$9,0))),0))</f>
        <v>1726.2676652281405</v>
      </c>
      <c r="U73" s="799">
        <f>IF(U$69=$F73+1,IF(Monthly!Q$4=TRUE,0,Monthly!Q$17),IF(U$69&gt;$F73+1,T73*(1-IF(U$69-$F73&lt;=12,SUMIFS('Attrition Modeling'!$D:$D,'Attrition Modeling'!$B:$B,$E73,'Attrition Modeling'!$C:$C,U$68),VLOOKUP(U$69-$F73-1,$A$7:$C$161,2,FALSE)*VLOOKUP(U$1,'Attrition Modeling'!$L$15:$N$27,IF(U$2-$F6&lt;=24,2,3),FALSE))*(1+Projection!W$16)*(1+IF(U138&gt;0,'Attrition Modeling'!$N$9,0))),0))</f>
        <v>1637.2666213133864</v>
      </c>
      <c r="V73" s="799">
        <f>IF(V$69=$F73+1,IF(Monthly!R$4=TRUE,0,Monthly!R$17),IF(V$69&gt;$F73+1,U73*(1-IF(V$69-$F73&lt;=12,SUMIFS('Attrition Modeling'!$D:$D,'Attrition Modeling'!$B:$B,$E73,'Attrition Modeling'!$C:$C,V$68),VLOOKUP(V$69-$F73-1,$A$7:$C$161,2,FALSE)*VLOOKUP(V$1,'Attrition Modeling'!$L$15:$N$27,IF(V$2-$F6&lt;=24,2,3),FALSE))*(1+Projection!X$16)*(1+IF(V138&gt;0,'Attrition Modeling'!$N$9,0))),0))</f>
        <v>1584.8380695656892</v>
      </c>
      <c r="W73" s="799">
        <f>IF(W$69=$F73+1,IF(Monthly!S$4=TRUE,0,Monthly!S$17),IF(W$69&gt;$F73+1,V73*(1-IF(W$69-$F73&lt;=12,SUMIFS('Attrition Modeling'!$D:$D,'Attrition Modeling'!$B:$B,$E73,'Attrition Modeling'!$C:$C,W$68),VLOOKUP(W$69-$F73-1,$A$7:$C$161,2,FALSE)*VLOOKUP(W$1,'Attrition Modeling'!$L$15:$N$27,IF(W$2-$F6&lt;=24,2,3),FALSE))*(1+Projection!Y$16)*(1+IF(W138&gt;0,'Attrition Modeling'!$N$9,0))),0))</f>
        <v>1502.4583598222907</v>
      </c>
      <c r="X73" s="799">
        <f>IF(X$69=$F73+1,IF(Monthly!T$4=TRUE,0,Monthly!T$17),IF(X$69&gt;$F73+1,W73*(1-IF(X$69-$F73&lt;=12,SUMIFS('Attrition Modeling'!$D:$D,'Attrition Modeling'!$B:$B,$E73,'Attrition Modeling'!$C:$C,X$68),VLOOKUP(X$69-$F73-1,$A$7:$C$161,2,FALSE)*VLOOKUP(X$1,'Attrition Modeling'!$L$15:$N$27,IF(X$2-$F6&lt;=24,2,3),FALSE))*(1+Projection!Z$16)*(1+IF(X138&gt;0,'Attrition Modeling'!$N$9,0))),0))</f>
        <v>1430.907676950327</v>
      </c>
      <c r="Y73" s="799">
        <f>IF(Y$69=$F73+1,IF(Monthly!U$4=TRUE,0,Monthly!U$17),IF(Y$69&gt;$F73+1,X73*(1-IF(Y$69-$F73&lt;=12,SUMIFS('Attrition Modeling'!$D:$D,'Attrition Modeling'!$B:$B,$E73,'Attrition Modeling'!$C:$C,Y$68),VLOOKUP(Y$69-$F73-1,$A$7:$C$161,2,FALSE)*VLOOKUP(Y$1,'Attrition Modeling'!$L$15:$N$27,IF(Y$2-$F6&lt;=24,2,3),FALSE))*(1+Projection!AA$16)*(1+IF(Y138&gt;0,'Attrition Modeling'!$N$9,0))),0))</f>
        <v>1359.758197202653</v>
      </c>
      <c r="Z73" s="799">
        <f>IF(Z$69=$F73+1,IF(Monthly!V$4=TRUE,0,Monthly!V$17),IF(Z$69&gt;$F73+1,Y73*(1-IF(Z$69-$F73&lt;=12,SUMIFS('Attrition Modeling'!$D:$D,'Attrition Modeling'!$B:$B,$E73,'Attrition Modeling'!$C:$C,Z$68),VLOOKUP(Z$69-$F73-1,$A$7:$C$161,2,FALSE)*VLOOKUP(Z$1,'Attrition Modeling'!$L$15:$N$27,IF(Z$2-$F6&lt;=24,2,3),FALSE))*(1+Projection!AB$16)*(1+IF(Z138&gt;0,'Attrition Modeling'!$N$9,0))),0))</f>
        <v>1293.0743807092833</v>
      </c>
      <c r="AA73" s="799">
        <f>IF(AA$69=$F73+1,IF(Monthly!W$4=TRUE,0,Monthly!W$17),IF(AA$69&gt;$F73+1,Z73*(1-IF(AA$69-$F73&lt;=12,SUMIFS('Attrition Modeling'!$D:$D,'Attrition Modeling'!$B:$B,$E73,'Attrition Modeling'!$C:$C,AA$68),VLOOKUP(AA$69-$F73-1,$A$7:$C$161,2,FALSE)*VLOOKUP(AA$1,'Attrition Modeling'!$L$15:$N$27,IF(AA$2-$F6&lt;=24,2,3),FALSE))*(1+Projection!AC$16)*(1+IF(AA138&gt;0,'Attrition Modeling'!$N$9,0))),0))</f>
        <v>1228.8035841683022</v>
      </c>
      <c r="AB73" s="799">
        <f>IF(AB$69=$F73+1,IF(Monthly!X$4=TRUE,0,Monthly!X$17),IF(AB$69&gt;$F73+1,AA73*(1-IF(AB$69-$F73&lt;=12,SUMIFS('Attrition Modeling'!$D:$D,'Attrition Modeling'!$B:$B,$E73,'Attrition Modeling'!$C:$C,AB$68),VLOOKUP(AB$69-$F73-1,$A$7:$C$161,2,FALSE)*VLOOKUP(AB$1,'Attrition Modeling'!$L$15:$N$27,IF(AB$2-$F6&lt;=24,2,3),FALSE))*(1+Projection!AD$16)*(1+IF(AB138&gt;0,'Attrition Modeling'!$N$9,0))),0))</f>
        <v>1163.6257905525224</v>
      </c>
      <c r="AC73" s="799">
        <f>IF(AC$69=$F73+1,IF(Monthly!Y$4=TRUE,0,Monthly!Y$17),IF(AC$69&gt;$F73+1,AB73*(1-IF(AC$69-$F73&lt;=12,SUMIFS('Attrition Modeling'!$D:$D,'Attrition Modeling'!$B:$B,$E73,'Attrition Modeling'!$C:$C,AC$68),VLOOKUP(AC$69-$F73-1,$A$7:$C$161,2,FALSE)*VLOOKUP(AC$1,'Attrition Modeling'!$L$15:$N$27,IF(AC$2-$F6&lt;=24,2,3),FALSE))*(1+Projection!AE$16)*(1+IF(AC138&gt;0,'Attrition Modeling'!$N$9,0))),0))</f>
        <v>1112.1313858604904</v>
      </c>
      <c r="AD73" s="799">
        <f>IF(AD$69=$F73+1,IF(Monthly!Z$4=TRUE,0,Monthly!Z$17),IF(AD$69&gt;$F73+1,AC73*(1-IF(AD$69-$F73&lt;=12,SUMIFS('Attrition Modeling'!$D:$D,'Attrition Modeling'!$B:$B,$E73,'Attrition Modeling'!$C:$C,AD$68),VLOOKUP(AD$69-$F73-1,$A$7:$C$161,2,FALSE)*VLOOKUP(AD$1,'Attrition Modeling'!$L$15:$N$27,IF(AD$2-$F6&lt;=24,2,3),FALSE))*(1+Projection!AF$16)*(1+IF(AD138&gt;0,'Attrition Modeling'!$N$9,0))),0))</f>
        <v>1065.6859683006292</v>
      </c>
      <c r="AE73" s="799">
        <f>IF(AE$69=$F73+1,IF(Monthly!AA$4=TRUE,0,Monthly!AA$17),IF(AE$69&gt;$F73+1,AD73*(1-IF(AE$69-$F73&lt;=12,SUMIFS('Attrition Modeling'!$D:$D,'Attrition Modeling'!$B:$B,$E73,'Attrition Modeling'!$C:$C,AE$68),VLOOKUP(AE$69-$F73-1,$A$7:$C$161,2,FALSE)*VLOOKUP(AE$1,'Attrition Modeling'!$L$15:$N$27,IF(AE$2-$F6&lt;=24,2,3),FALSE))*(1+Projection!AG$16)*(1+IF(AE138&gt;0,'Attrition Modeling'!$N$9,0))),0))</f>
        <v>1022.4001303990607</v>
      </c>
      <c r="AF73" s="799">
        <f>IF(AF$69=$F73+1,IF(Monthly!AB$4=TRUE,0,Monthly!AB$17),IF(AF$69&gt;$F73+1,AE73*(1-IF(AF$69-$F73&lt;=12,SUMIFS('Attrition Modeling'!$D:$D,'Attrition Modeling'!$B:$B,$E73,'Attrition Modeling'!$C:$C,AF$68),VLOOKUP(AF$69-$F73-1,$A$7:$C$161,2,FALSE)*VLOOKUP(AF$1,'Attrition Modeling'!$L$15:$N$27,IF(AF$2-$F6&lt;=24,2,3),FALSE))*(1+Projection!AH$16)*(1+IF(AF138&gt;0,'Attrition Modeling'!$N$9,0))),0))</f>
        <v>981.4812347815905</v>
      </c>
      <c r="AG73" s="799">
        <f>IF(AG$69=$F73+1,IF(Monthly!AC$4=TRUE,0,Monthly!AC$17),IF(AG$69&gt;$F73+1,AF73*(1-IF(AG$69-$F73&lt;=12,SUMIFS('Attrition Modeling'!$D:$D,'Attrition Modeling'!$B:$B,$E73,'Attrition Modeling'!$C:$C,AG$68),VLOOKUP(AG$69-$F73-1,$A$7:$C$161,2,FALSE)*VLOOKUP(AG$1,'Attrition Modeling'!$L$15:$N$27,IF(AG$2-$F6&lt;=24,2,3),FALSE))*(1+Projection!AI$16)*(1+IF(AG138&gt;0,'Attrition Modeling'!$N$9,0))),0))</f>
        <v>946.55168508047916</v>
      </c>
      <c r="AH73" s="799">
        <f>IF(AH$69=$F73+1,IF(Monthly!AD$4=TRUE,0,Monthly!AD$17),IF(AH$69&gt;$F73+1,AG73*(1-IF(AH$69-$F73&lt;=12,SUMIFS('Attrition Modeling'!$D:$D,'Attrition Modeling'!$B:$B,$E73,'Attrition Modeling'!$C:$C,AH$68),VLOOKUP(AH$69-$F73-1,$A$7:$C$161,2,FALSE)*VLOOKUP(AH$1,'Attrition Modeling'!$L$15:$N$27,IF(AH$2-$F6&lt;=24,2,3),FALSE))*(1+Projection!AJ$16)*(1+IF(AH138&gt;0,'Attrition Modeling'!$N$9,0))),0))</f>
        <v>910.36713231897431</v>
      </c>
      <c r="AI73" s="799">
        <f>IF(AI$69=$F73+1,IF(Monthly!AE$4=TRUE,0,Monthly!AE$17),IF(AI$69&gt;$F73+1,AH73*(1-IF(AI$69-$F73&lt;=12,SUMIFS('Attrition Modeling'!$D:$D,'Attrition Modeling'!$B:$B,$E73,'Attrition Modeling'!$C:$C,AI$68),VLOOKUP(AI$69-$F73-1,$A$7:$C$161,2,FALSE)*VLOOKUP(AI$1,'Attrition Modeling'!$L$15:$N$27,IF(AI$2-$F6&lt;=24,2,3),FALSE))*(1+Projection!AK$16)*(1+IF(AI138&gt;0,'Attrition Modeling'!$N$9,0))),0))</f>
        <v>886.02620343209264</v>
      </c>
      <c r="AJ73" s="799">
        <f>IF(AJ$69=$F73+1,IF(Monthly!AF$4=TRUE,0,Monthly!AF$17),IF(AJ$69&gt;$F73+1,AI73*(1-IF(AJ$69-$F73&lt;=12,SUMIFS('Attrition Modeling'!$D:$D,'Attrition Modeling'!$B:$B,$E73,'Attrition Modeling'!$C:$C,AJ$68),VLOOKUP(AJ$69-$F73-1,$A$7:$C$161,2,FALSE)*VLOOKUP(AJ$1,'Attrition Modeling'!$L$15:$N$27,IF(AJ$2-$F6&lt;=24,2,3),FALSE))*(1+Projection!AL$16)*(1+IF(AJ138&gt;0,'Attrition Modeling'!$N$9,0))),0))</f>
        <v>857.82435413158487</v>
      </c>
      <c r="AK73" s="799">
        <f>IF(AK$69=$F73+1,IF(Monthly!AG$4=TRUE,0,Monthly!AG$17),IF(AK$69&gt;$F73+1,AJ73*(1-IF(AK$69-$F73&lt;=12,SUMIFS('Attrition Modeling'!$D:$D,'Attrition Modeling'!$B:$B,$E73,'Attrition Modeling'!$C:$C,AK$68),VLOOKUP(AK$69-$F73-1,$A$7:$C$161,2,FALSE)*VLOOKUP(AK$1,'Attrition Modeling'!$L$15:$N$27,IF(AK$2-$F6&lt;=24,2,3),FALSE))*(1+Projection!AM$16)*(1+IF(AK138&gt;0,'Attrition Modeling'!$N$9,0))),0))</f>
        <v>827.0841624381186</v>
      </c>
      <c r="AL73" s="799">
        <f>IF(AL$69=$F73+1,IF(Monthly!AH$4=TRUE,0,Monthly!AH$17),IF(AL$69&gt;$F73+1,AK73*(1-IF(AL$69-$F73&lt;=12,SUMIFS('Attrition Modeling'!$D:$D,'Attrition Modeling'!$B:$B,$E73,'Attrition Modeling'!$C:$C,AL$68),VLOOKUP(AL$69-$F73-1,$A$7:$C$161,2,FALSE)*VLOOKUP(AL$1,'Attrition Modeling'!$L$15:$N$27,IF(AL$2-$F6&lt;=24,2,3),FALSE))*(1+Projection!AN$16)*(1+IF(AL138&gt;0,'Attrition Modeling'!$N$9,0))),0))</f>
        <v>795.21765875208769</v>
      </c>
      <c r="AM73" s="799">
        <f>IF(AM$69=$F73+1,IF(Monthly!AI$4=TRUE,0,Monthly!AI$17),IF(AM$69&gt;$F73+1,AL73*(1-IF(AM$69-$F73&lt;=12,SUMIFS('Attrition Modeling'!$D:$D,'Attrition Modeling'!$B:$B,$E73,'Attrition Modeling'!$C:$C,AM$68),VLOOKUP(AM$69-$F73-1,$A$7:$C$161,2,FALSE)*VLOOKUP(AM$1,'Attrition Modeling'!$L$15:$N$27,IF(AM$2-$F6&lt;=24,2,3),FALSE))*(1+Projection!AO$16)*(1+IF(AM138&gt;0,'Attrition Modeling'!$N$9,0))),0))</f>
        <v>762.73843126888596</v>
      </c>
      <c r="AN73" s="799">
        <f>IF(AN$69=$F73+1,IF(Monthly!AJ$4=TRUE,0,Monthly!AJ$17),IF(AN$69&gt;$F73+1,AM73*(1-IF(AN$69-$F73&lt;=12,SUMIFS('Attrition Modeling'!$D:$D,'Attrition Modeling'!$B:$B,$E73,'Attrition Modeling'!$C:$C,AN$68),VLOOKUP(AN$69-$F73-1,$A$7:$C$161,2,FALSE)*VLOOKUP(AN$1,'Attrition Modeling'!$L$15:$N$27,IF(AN$2-$F6&lt;=24,2,3),FALSE))*(1+Projection!AP$16)*(1+IF(AN138&gt;0,'Attrition Modeling'!$N$9,0))),0))</f>
        <v>728.07168515223248</v>
      </c>
      <c r="AO73" s="799">
        <f>IF(AO$69=$F73+1,IF(Monthly!AK$4=TRUE,0,Monthly!AK$17),IF(AO$69&gt;$F73+1,AN73*(1-IF(AO$69-$F73&lt;=12,SUMIFS('Attrition Modeling'!$D:$D,'Attrition Modeling'!$B:$B,$E73,'Attrition Modeling'!$C:$C,AO$68),VLOOKUP(AO$69-$F73-1,$A$7:$C$161,2,FALSE)*VLOOKUP(AO$1,'Attrition Modeling'!$L$15:$N$27,IF(AO$2-$F6&lt;=24,2,3),FALSE))*(1+Projection!AQ$16)*(1+IF(AO138&gt;0,'Attrition Modeling'!$N$9,0))),0))</f>
        <v>701.77116364413632</v>
      </c>
      <c r="AP73" s="799">
        <f>IF(AP$69=$F73+1,IF(Monthly!AL$4=TRUE,0,Monthly!AL$17),IF(AP$69&gt;$F73+1,AO73*(1-IF(AP$69-$F73&lt;=12,SUMIFS('Attrition Modeling'!$D:$D,'Attrition Modeling'!$B:$B,$E73,'Attrition Modeling'!$C:$C,AP$68),VLOOKUP(AP$69-$F73-1,$A$7:$C$161,2,FALSE)*VLOOKUP(AP$1,'Attrition Modeling'!$L$15:$N$27,IF(AP$2-$F6&lt;=24,2,3),FALSE))*(1+Projection!AR$16)*(1+IF(AP138&gt;0,'Attrition Modeling'!$N$9,0))),0))</f>
        <v>677.29039592326831</v>
      </c>
      <c r="AQ73" s="799">
        <f>IF(AQ$69=$F73+1,IF(Monthly!AM$4=TRUE,0,Monthly!AM$17),IF(AQ$69&gt;$F73+1,AP73*(1-IF(AQ$69-$F73&lt;=12,SUMIFS('Attrition Modeling'!$D:$D,'Attrition Modeling'!$B:$B,$E73,'Attrition Modeling'!$C:$C,AQ$68),VLOOKUP(AQ$69-$F73-1,$A$7:$C$161,2,FALSE)*VLOOKUP(AQ$1,'Attrition Modeling'!$L$15:$N$27,IF(AQ$2-$F6&lt;=24,2,3),FALSE))*(1+Projection!AS$16)*(1+IF(AQ138&gt;0,'Attrition Modeling'!$N$9,0))),0))</f>
        <v>658.04843006422198</v>
      </c>
      <c r="AR73" s="799">
        <f>IF(AR$69=$F73+1,IF(Monthly!AN$4=TRUE,0,Monthly!AN$17),IF(AR$69&gt;$F73+1,AQ73*(1-IF(AR$69-$F73&lt;=12,SUMIFS('Attrition Modeling'!$D:$D,'Attrition Modeling'!$B:$B,$E73,'Attrition Modeling'!$C:$C,AR$68),VLOOKUP(AR$69-$F73-1,$A$7:$C$161,2,FALSE)*VLOOKUP(AR$1,'Attrition Modeling'!$L$15:$N$27,IF(AR$2-$F6&lt;=24,2,3),FALSE))*(1+Projection!AT$16)*(1+IF(AR138&gt;0,'Attrition Modeling'!$N$9,0))),0))</f>
        <v>637.58832212731772</v>
      </c>
      <c r="AS73" s="799">
        <f>IF(AS$69=$F73+1,IF(Monthly!AO$4=TRUE,0,Monthly!AO$17),IF(AS$69&gt;$F73+1,AR73*(1-IF(AS$69-$F73&lt;=12,SUMIFS('Attrition Modeling'!$D:$D,'Attrition Modeling'!$B:$B,$E73,'Attrition Modeling'!$C:$C,AS$68),VLOOKUP(AS$69-$F73-1,$A$7:$C$161,2,FALSE)*VLOOKUP(AS$1,'Attrition Modeling'!$L$15:$N$27,IF(AS$2-$F6&lt;=24,2,3),FALSE))*(1+Projection!AU$16)*(1+IF(AS138&gt;0,'Attrition Modeling'!$N$9,0))),0))</f>
        <v>618.60231049645006</v>
      </c>
      <c r="AT73" s="799">
        <f>IF(AT$69=$F73+1,IF(Monthly!AP$4=TRUE,0,Monthly!AP$17),IF(AT$69&gt;$F73+1,AS73*(1-IF(AT$69-$F73&lt;=12,SUMIFS('Attrition Modeling'!$D:$D,'Attrition Modeling'!$B:$B,$E73,'Attrition Modeling'!$C:$C,AT$68),VLOOKUP(AT$69-$F73-1,$A$7:$C$161,2,FALSE)*VLOOKUP(AT$1,'Attrition Modeling'!$L$15:$N$27,IF(AT$2-$F6&lt;=24,2,3),FALSE))*(1+Projection!AV$16)*(1+IF(AT138&gt;0,'Attrition Modeling'!$N$9,0))),0))</f>
        <v>601.1507194112711</v>
      </c>
      <c r="AU73" s="799">
        <f>IF(AU$69=$F73+1,IF(Monthly!AQ$4=TRUE,0,Monthly!AQ$17),IF(AU$69&gt;$F73+1,AT73*(1-IF(AU$69-$F73&lt;=12,SUMIFS('Attrition Modeling'!$D:$D,'Attrition Modeling'!$B:$B,$E73,'Attrition Modeling'!$C:$C,AU$68),VLOOKUP(AU$69-$F73-1,$A$7:$C$161,2,FALSE)*VLOOKUP(AU$1,'Attrition Modeling'!$L$15:$N$27,IF(AU$2-$F6&lt;=24,2,3),FALSE))*(1+Projection!AW$16)*(1+IF(AU138&gt;0,'Attrition Modeling'!$N$9,0))),0))</f>
        <v>587.80974174642415</v>
      </c>
      <c r="AV73" s="799">
        <f>IF(AV$69=$F73+1,IF(Monthly!AR$4=TRUE,0,Monthly!AR$17),IF(AV$69&gt;$F73+1,AU73*(1-IF(AV$69-$F73&lt;=12,SUMIFS('Attrition Modeling'!$D:$D,'Attrition Modeling'!$B:$B,$E73,'Attrition Modeling'!$C:$C,AV$68),VLOOKUP(AV$69-$F73-1,$A$7:$C$161,2,FALSE)*VLOOKUP(AV$1,'Attrition Modeling'!$L$15:$N$27,IF(AV$2-$F6&lt;=24,2,3),FALSE))*(1+Projection!AX$16)*(1+IF(AV138&gt;0,'Attrition Modeling'!$N$9,0))),0))</f>
        <v>572.22871135821401</v>
      </c>
      <c r="AW73" s="799">
        <f>IF(AW$69=$F73+1,IF(Monthly!AS$4=TRUE,0,Monthly!AS$17),IF(AW$69&gt;$F73+1,AV73*(1-IF(AW$69-$F73&lt;=12,SUMIFS('Attrition Modeling'!$D:$D,'Attrition Modeling'!$B:$B,$E73,'Attrition Modeling'!$C:$C,AW$68),VLOOKUP(AW$69-$F73-1,$A$7:$C$161,2,FALSE)*VLOOKUP(AW$1,'Attrition Modeling'!$L$15:$N$27,IF(AW$2-$F6&lt;=24,2,3),FALSE))*(1+Projection!AY$16)*(1+IF(AW138&gt;0,'Attrition Modeling'!$N$9,0))),0))</f>
        <v>555.09860405719644</v>
      </c>
      <c r="AX73" s="799">
        <f>IF(AX$69=$F73+1,IF(Monthly!AT$4=TRUE,0,Monthly!AT$17),IF(AX$69&gt;$F73+1,AW73*(1-IF(AX$69-$F73&lt;=12,SUMIFS('Attrition Modeling'!$D:$D,'Attrition Modeling'!$B:$B,$E73,'Attrition Modeling'!$C:$C,AX$68),VLOOKUP(AX$69-$F73-1,$A$7:$C$161,2,FALSE)*VLOOKUP(AX$1,'Attrition Modeling'!$L$15:$N$27,IF(AX$2-$F6&lt;=24,2,3),FALSE))*(1+Projection!AZ$16)*(1+IF(AX138&gt;0,'Attrition Modeling'!$N$9,0))),0))</f>
        <v>537.17983575146559</v>
      </c>
      <c r="AY73" s="799">
        <f>IF(AY$69=$F73+1,IF(Monthly!AU$4=TRUE,0,Monthly!AU$17),IF(AY$69&gt;$F73+1,AX73*(1-IF(AY$69-$F73&lt;=12,SUMIFS('Attrition Modeling'!$D:$D,'Attrition Modeling'!$B:$B,$E73,'Attrition Modeling'!$C:$C,AY$68),VLOOKUP(AY$69-$F73-1,$A$7:$C$161,2,FALSE)*VLOOKUP(AY$1,'Attrition Modeling'!$L$15:$N$27,IF(AY$2-$F6&lt;=24,2,3),FALSE))*(1+Projection!BA$16)*(1+IF(AY138&gt;0,'Attrition Modeling'!$N$9,0))),0))</f>
        <v>518.74717599581402</v>
      </c>
      <c r="AZ73" s="799">
        <f>IF(AZ$69=$F73+1,IF(Monthly!AV$4=TRUE,0,Monthly!AV$17),IF(AZ$69&gt;$F73+1,AY73*(1-IF(AZ$69-$F73&lt;=12,SUMIFS('Attrition Modeling'!$D:$D,'Attrition Modeling'!$B:$B,$E73,'Attrition Modeling'!$C:$C,AZ$68),VLOOKUP(AZ$69-$F73-1,$A$7:$C$161,2,FALSE)*VLOOKUP(AZ$1,'Attrition Modeling'!$L$15:$N$27,IF(AZ$2-$F6&lt;=24,2,3),FALSE))*(1+Projection!BB$16)*(1+IF(AZ138&gt;0,'Attrition Modeling'!$N$9,0))),0))</f>
        <v>498.88770654321939</v>
      </c>
      <c r="BA73" s="799">
        <f>IF(BA$69=$F73+1,IF(Monthly!AW$4=TRUE,0,Monthly!AW$17),IF(BA$69&gt;$F73+1,AZ73*(1-IF(BA$69-$F73&lt;=12,SUMIFS('Attrition Modeling'!$D:$D,'Attrition Modeling'!$B:$B,$E73,'Attrition Modeling'!$C:$C,BA$68),VLOOKUP(BA$69-$F73-1,$A$7:$C$161,2,FALSE)*VLOOKUP(BA$1,'Attrition Modeling'!$L$15:$N$27,IF(BA$2-$F6&lt;=24,2,3),FALSE))*(1+Projection!BC$16)*(1+IF(BA138&gt;0,'Attrition Modeling'!$N$9,0))),0))</f>
        <v>483.67069660958822</v>
      </c>
      <c r="BB73" s="799">
        <f>IF(BB$69=$F73+1,IF(Monthly!AX$4=TRUE,0,Monthly!AX$17),IF(BB$69&gt;$F73+1,BA73*(1-IF(BB$69-$F73&lt;=12,SUMIFS('Attrition Modeling'!$D:$D,'Attrition Modeling'!$B:$B,$E73,'Attrition Modeling'!$C:$C,BB$68),VLOOKUP(BB$69-$F73-1,$A$7:$C$161,2,FALSE)*VLOOKUP(BB$1,'Attrition Modeling'!$L$15:$N$27,IF(BB$2-$F6&lt;=24,2,3),FALSE))*(1+Projection!BD$16)*(1+IF(BB138&gt;0,'Attrition Modeling'!$N$9,0))),0))</f>
        <v>469.39101786560138</v>
      </c>
      <c r="BC73" s="799">
        <f>IF(BC$69=$F73+1,IF(Monthly!AY$4=TRUE,0,Monthly!AY$17),IF(BC$69&gt;$F73+1,BB73*(1-IF(BC$69-$F73&lt;=12,SUMIFS('Attrition Modeling'!$D:$D,'Attrition Modeling'!$B:$B,$E73,'Attrition Modeling'!$C:$C,BC$68),VLOOKUP(BC$69-$F73-1,$A$7:$C$161,2,FALSE)*VLOOKUP(BC$1,'Attrition Modeling'!$L$15:$N$27,IF(BC$2-$F6&lt;=24,2,3),FALSE))*(1+Projection!BE$16)*(1+IF(BC138&gt;0,'Attrition Modeling'!$N$9,0))),0))</f>
        <v>458.08012997816809</v>
      </c>
      <c r="BD73" s="799">
        <f>IF(BD$69=$F73+1,IF(Monthly!AZ$4=TRUE,0,Monthly!AZ$17),IF(BD$69&gt;$F73+1,BC73*(1-IF(BD$69-$F73&lt;=12,SUMIFS('Attrition Modeling'!$D:$D,'Attrition Modeling'!$B:$B,$E73,'Attrition Modeling'!$C:$C,BD$68),VLOOKUP(BD$69-$F73-1,$A$7:$C$161,2,FALSE)*VLOOKUP(BD$1,'Attrition Modeling'!$L$15:$N$27,IF(BD$2-$F6&lt;=24,2,3),FALSE))*(1+Projection!BF$16)*(1+IF(BD138&gt;0,'Attrition Modeling'!$N$9,0))),0))</f>
        <v>445.97480212331715</v>
      </c>
      <c r="BE73" s="799">
        <f>IF(BE$69=$F73+1,IF(Monthly!BA$4=TRUE,0,Monthly!BA$17),IF(BE$69&gt;$F73+1,BD73*(1-IF(BE$69-$F73&lt;=12,SUMIFS('Attrition Modeling'!$D:$D,'Attrition Modeling'!$B:$B,$E73,'Attrition Modeling'!$C:$C,BE$68),VLOOKUP(BE$69-$F73-1,$A$7:$C$161,2,FALSE)*VLOOKUP(BE$1,'Attrition Modeling'!$L$15:$N$27,IF(BE$2-$F6&lt;=24,2,3),FALSE))*(1+Projection!BG$16)*(1+IF(BE138&gt;0,'Attrition Modeling'!$N$9,0))),0))</f>
        <v>434.66540771139438</v>
      </c>
      <c r="BF73" s="799">
        <f>IF(BF$69=$F73+1,IF(Monthly!BB$4=TRUE,0,Monthly!BB$17),IF(BF$69&gt;$F73+1,BE73*(1-IF(BF$69-$F73&lt;=12,SUMIFS('Attrition Modeling'!$D:$D,'Attrition Modeling'!$B:$B,$E73,'Attrition Modeling'!$C:$C,BF$68),VLOOKUP(BF$69-$F73-1,$A$7:$C$161,2,FALSE)*VLOOKUP(BF$1,'Attrition Modeling'!$L$15:$N$27,IF(BF$2-$F6&lt;=24,2,3),FALSE))*(1+Projection!BH$16)*(1+IF(BF138&gt;0,'Attrition Modeling'!$N$9,0))),0))</f>
        <v>424.20325621479037</v>
      </c>
      <c r="BG73" s="799">
        <f>IF(BG$69=$F73+1,IF(Monthly!BC$4=TRUE,0,Monthly!BC$17),IF(BG$69&gt;$F73+1,BF73*(1-IF(BG$69-$F73&lt;=12,SUMIFS('Attrition Modeling'!$D:$D,'Attrition Modeling'!$B:$B,$E73,'Attrition Modeling'!$C:$C,BG$68),VLOOKUP(BG$69-$F73-1,$A$7:$C$161,2,FALSE)*VLOOKUP(BG$1,'Attrition Modeling'!$L$15:$N$27,IF(BG$2-$F6&lt;=24,2,3),FALSE))*(1+Projection!BI$16)*(1+IF(BG138&gt;0,'Attrition Modeling'!$N$9,0))),0))</f>
        <v>416.21119644775206</v>
      </c>
      <c r="BH73" s="799">
        <f>IF(BH$69=$F73+1,IF(Monthly!BD$4=TRUE,0,Monthly!BD$17),IF(BH$69&gt;$F73+1,BG73*(1-IF(BH$69-$F73&lt;=12,SUMIFS('Attrition Modeling'!$D:$D,'Attrition Modeling'!$B:$B,$E73,'Attrition Modeling'!$C:$C,BH$68),VLOOKUP(BH$69-$F73-1,$A$7:$C$161,2,FALSE)*VLOOKUP(BH$1,'Attrition Modeling'!$L$15:$N$27,IF(BH$2-$F6&lt;=24,2,3),FALSE))*(1+Projection!BJ$16)*(1+IF(BH138&gt;0,'Attrition Modeling'!$N$9,0))),0))</f>
        <v>406.83102197499841</v>
      </c>
      <c r="BI73" s="799">
        <f>IF(BI$69=$F73+1,IF(Monthly!BE$4=TRUE,0,Monthly!BE$17),IF(BI$69&gt;$F73+1,BH73*(1-IF(BI$69-$F73&lt;=12,SUMIFS('Attrition Modeling'!$D:$D,'Attrition Modeling'!$B:$B,$E73,'Attrition Modeling'!$C:$C,BI$68),VLOOKUP(BI$69-$F73-1,$A$7:$C$161,2,FALSE)*VLOOKUP(BI$1,'Attrition Modeling'!$L$15:$N$27,IF(BI$2-$F6&lt;=24,2,3),FALSE))*(1+Projection!BK$16)*(1+IF(BI138&gt;0,'Attrition Modeling'!$N$9,0))),0))</f>
        <v>396.46138660620613</v>
      </c>
      <c r="BJ73" s="799">
        <f>IF(BJ$69=$F73+1,IF(Monthly!BF$4=TRUE,0,Monthly!BF$17),IF(BJ$69&gt;$F73+1,BI73*(1-IF(BJ$69-$F73&lt;=12,SUMIFS('Attrition Modeling'!$D:$D,'Attrition Modeling'!$B:$B,$E73,'Attrition Modeling'!$C:$C,BJ$68),VLOOKUP(BJ$69-$F73-1,$A$7:$C$161,2,FALSE)*VLOOKUP(BJ$1,'Attrition Modeling'!$L$15:$N$27,IF(BJ$2-$F6&lt;=24,2,3),FALSE))*(1+Projection!BL$16)*(1+IF(BJ138&gt;0,'Attrition Modeling'!$N$9,0))),0))</f>
        <v>385.54986767231554</v>
      </c>
      <c r="BK73" s="799">
        <f>IF(BK$69=$F73+1,IF(Monthly!BG$4=TRUE,0,Monthly!BG$17),IF(BK$69&gt;$F73+1,BJ73*(1-IF(BK$69-$F73&lt;=12,SUMIFS('Attrition Modeling'!$D:$D,'Attrition Modeling'!$B:$B,$E73,'Attrition Modeling'!$C:$C,BK$68),VLOOKUP(BK$69-$F73-1,$A$7:$C$161,2,FALSE)*VLOOKUP(BK$1,'Attrition Modeling'!$L$15:$N$27,IF(BK$2-$F6&lt;=24,2,3),FALSE))*(1+Projection!BM$16)*(1+IF(BK138&gt;0,'Attrition Modeling'!$N$9,0))),0))</f>
        <v>374.25579550417672</v>
      </c>
      <c r="BL73" s="799">
        <f>IF(BL$69=$F73+1,IF(Monthly!BH$4=TRUE,0,Monthly!BH$17),IF(BL$69&gt;$F73+1,BK73*(1-IF(BL$69-$F73&lt;=12,SUMIFS('Attrition Modeling'!$D:$D,'Attrition Modeling'!$B:$B,$E73,'Attrition Modeling'!$C:$C,BL$68),VLOOKUP(BL$69-$F73-1,$A$7:$C$161,2,FALSE)*VLOOKUP(BL$1,'Attrition Modeling'!$L$15:$N$27,IF(BL$2-$F6&lt;=24,2,3),FALSE))*(1+Projection!BN$16)*(1+IF(BL138&gt;0,'Attrition Modeling'!$N$9,0))),0))</f>
        <v>362.00942359716163</v>
      </c>
      <c r="BM73" s="799">
        <f>IF(BM$69=$F73+1,IF(Monthly!BI$4=TRUE,0,Monthly!BI$17),IF(BM$69&gt;$F73+1,BL73*(1-IF(BM$69-$F73&lt;=12,SUMIFS('Attrition Modeling'!$D:$D,'Attrition Modeling'!$B:$B,$E73,'Attrition Modeling'!$C:$C,BM$68),VLOOKUP(BM$69-$F73-1,$A$7:$C$161,2,FALSE)*VLOOKUP(BM$1,'Attrition Modeling'!$L$15:$N$27,IF(BM$2-$F6&lt;=24,2,3),FALSE))*(1+Projection!BO$16)*(1+IF(BM138&gt;0,'Attrition Modeling'!$N$9,0))),0))</f>
        <v>352.5607613245391</v>
      </c>
      <c r="BN73" s="799">
        <f>IF(BN$69=$F73+1,IF(Monthly!BJ$4=TRUE,0,Monthly!BJ$17),IF(BN$69&gt;$F73+1,BM73*(1-IF(BN$69-$F73&lt;=12,SUMIFS('Attrition Modeling'!$D:$D,'Attrition Modeling'!$B:$B,$E73,'Attrition Modeling'!$C:$C,BN$68),VLOOKUP(BN$69-$F73-1,$A$7:$C$161,2,FALSE)*VLOOKUP(BN$1,'Attrition Modeling'!$L$15:$N$27,IF(BN$2-$F6&lt;=24,2,3),FALSE))*(1+Projection!BP$16)*(1+IF(BN138&gt;0,'Attrition Modeling'!$N$9,0))),0))</f>
        <v>343.64421605225533</v>
      </c>
      <c r="BO73" s="799">
        <f>IF(BO$69=$F73+1,IF(Monthly!BK$4=TRUE,0,Monthly!BK$17),IF(BO$69&gt;$F73+1,BN73*(1-IF(BO$69-$F73&lt;=12,SUMIFS('Attrition Modeling'!$D:$D,'Attrition Modeling'!$B:$B,$E73,'Attrition Modeling'!$C:$C,BO$68),VLOOKUP(BO$69-$F73-1,$A$7:$C$161,2,FALSE)*VLOOKUP(BO$1,'Attrition Modeling'!$L$15:$N$27,IF(BO$2-$F6&lt;=24,2,3),FALSE))*(1+Projection!BV$16)*(1+IF(BO138&gt;0,'Attrition Modeling'!$N$9,0))),0))</f>
        <v>336.5433788142816</v>
      </c>
      <c r="BP73" s="799">
        <f>IF(BP$69=$F73+1,IF(Monthly!BL$4=TRUE,0,Monthly!BL$17),IF(BP$69&gt;$F73+1,BO73*(1-IF(BP$69-$F73&lt;=12,SUMIFS('Attrition Modeling'!$D:$D,'Attrition Modeling'!$B:$B,$E73,'Attrition Modeling'!$C:$C,BP$68),VLOOKUP(BP$69-$F73-1,$A$7:$C$161,2,FALSE)*VLOOKUP(BP$1,'Attrition Modeling'!$L$15:$N$27,IF(BP$2-$F6&lt;=24,2,3),FALSE))*(1+Projection!BW$16)*(1+IF(BP138&gt;0,'Attrition Modeling'!$N$9,0))),0))</f>
        <v>328.90967631188528</v>
      </c>
      <c r="BQ73" s="799">
        <f>IF(BQ$69=$F73+1,IF(Monthly!BM$4=TRUE,0,Monthly!BM$17),IF(BQ$69&gt;$F73+1,BP73*(1-IF(BQ$69-$F73&lt;=12,SUMIFS('Attrition Modeling'!$D:$D,'Attrition Modeling'!$B:$B,$E73,'Attrition Modeling'!$C:$C,BQ$68),VLOOKUP(BQ$69-$F73-1,$A$7:$C$161,2,FALSE)*VLOOKUP(BQ$1,'Attrition Modeling'!$L$15:$N$27,IF(BQ$2-$F6&lt;=24,2,3),FALSE))*(1+Projection!BX$16)*(1+IF(BQ138&gt;0,'Attrition Modeling'!$N$9,0))),0))</f>
        <v>321.7439153923043</v>
      </c>
      <c r="BR73" s="799">
        <f>IF(BR$69=$F73+1,IF(Monthly!BN$4=TRUE,0,Monthly!BN$17),IF(BR$69&gt;$F73+1,BQ73*(1-IF(BR$69-$F73&lt;=12,SUMIFS('Attrition Modeling'!$D:$D,'Attrition Modeling'!$B:$B,$E73,'Attrition Modeling'!$C:$C,BR$68),VLOOKUP(BR$69-$F73-1,$A$7:$C$161,2,FALSE)*VLOOKUP(BR$1,'Attrition Modeling'!$L$15:$N$27,IF(BR$2-$F6&lt;=24,2,3),FALSE))*(1+Projection!BY$16)*(1+IF(BR138&gt;0,'Attrition Modeling'!$N$9,0))),0))</f>
        <v>315.08492093762555</v>
      </c>
      <c r="BS73" s="799">
        <f>IF(BS$69=$F73+1,IF(Monthly!BO$4=TRUE,0,Monthly!BO$17),IF(BS$69&gt;$F73+1,BR73*(1-IF(BS$69-$F73&lt;=12,SUMIFS('Attrition Modeling'!$D:$D,'Attrition Modeling'!$B:$B,$E73,'Attrition Modeling'!$C:$C,BS$68),VLOOKUP(BS$69-$F73-1,$A$7:$C$161,2,FALSE)*VLOOKUP(BS$1,'Attrition Modeling'!$L$15:$N$27,IF(BS$2-$F6&lt;=24,2,3),FALSE))*(1+Projection!BZ$16)*(1+IF(BS138&gt;0,'Attrition Modeling'!$N$9,0))),0))</f>
        <v>309.94178957115088</v>
      </c>
      <c r="BT73" s="799">
        <f>IF(BT$69=$F73+1,IF(Monthly!#REF!=TRUE,0,Monthly!#REF!),IF(BT$69&gt;$F73+1,BS73*(1-IF(BT$69-$F73&lt;=12,SUMIFS('Attrition Modeling'!$D:$D,'Attrition Modeling'!$B:$B,$E73,'Attrition Modeling'!$C:$C,BT$68),VLOOKUP(BT$69-$F73-1,$A$7:$C$161,2,FALSE)*VLOOKUP(BT$1,'Attrition Modeling'!$L$15:$N$27,IF(BT$2-$F6&lt;=24,2,3),FALSE))*(1+Projection!CA$16)*(1+IF(BT138&gt;0,'Attrition Modeling'!$N$9,0))),0))</f>
        <v>303.88422437697915</v>
      </c>
      <c r="BU73" s="799">
        <f>IF(BU$69=$F73+1,IF(Monthly!#REF!=TRUE,0,Monthly!#REF!),IF(BU$69&gt;$F73+1,BT73*(1-IF(BU$69-$F73&lt;=12,SUMIFS('Attrition Modeling'!$D:$D,'Attrition Modeling'!$B:$B,$E73,'Attrition Modeling'!$C:$C,BU$68),VLOOKUP(BU$69-$F73-1,$A$7:$C$161,2,FALSE)*VLOOKUP(BU$1,'Attrition Modeling'!$L$15:$N$27,IF(BU$2-$F6&lt;=24,2,3),FALSE))*(1+Projection!CB$16)*(1+IF(BU138&gt;0,'Attrition Modeling'!$N$9,0))),0))</f>
        <v>297.16119077369643</v>
      </c>
    </row>
    <row r="74" spans="1:73" ht="14.25" customHeight="1" x14ac:dyDescent="0.2">
      <c r="A74" s="9">
        <v>67</v>
      </c>
      <c r="B74" s="25">
        <f>MAX('Attrition Modeling'!H71,$C$3)*(1-Summary!$C$20)</f>
        <v>2.0503378972638098E-2</v>
      </c>
      <c r="C74" s="24" t="e">
        <f t="shared" si="4"/>
        <v>#DIV/0!</v>
      </c>
      <c r="E74" s="11">
        <f t="shared" si="9"/>
        <v>4</v>
      </c>
      <c r="F74" s="11">
        <f t="shared" si="10"/>
        <v>4</v>
      </c>
      <c r="G74" s="799"/>
      <c r="H74" s="799">
        <f>IF(H$69=$F74+1,IF(Monthly!D$4=TRUE,0,Monthly!D$17),IF(H$69&gt;$F74+1,G74*(1-IF(H$69-$F74&lt;=12,SUMIFS('Attrition Modeling'!$D:$D,'Attrition Modeling'!$B:$B,$E74,'Attrition Modeling'!$C:$C,H$68),VLOOKUP(H$69-$F74-1,$A$7:$C$161,2,FALSE)*VLOOKUP(H$1,'Attrition Modeling'!$L$15:$N$27,IF(H$2-$F7&lt;=24,2,3),FALSE))*(1+Projection!J$16)*(1+IF(H139&gt;0,'Attrition Modeling'!$N$9,0))),0))</f>
        <v>0</v>
      </c>
      <c r="I74" s="799">
        <f>IF(I$69=$F74+1,IF(Monthly!E$4=TRUE,0,Monthly!E$17),IF(I$69&gt;$F74+1,H74*(1-IF(I$69-$F74&lt;=12,SUMIFS('Attrition Modeling'!$D:$D,'Attrition Modeling'!$B:$B,$E74,'Attrition Modeling'!$C:$C,I$68),VLOOKUP(I$69-$F74-1,$A$7:$C$161,2,FALSE)*VLOOKUP(I$1,'Attrition Modeling'!$L$15:$N$27,IF(I$2-$F7&lt;=24,2,3),FALSE))*(1+Projection!K$16)*(1+IF(I139&gt;0,'Attrition Modeling'!$N$9,0))),0))</f>
        <v>0</v>
      </c>
      <c r="J74" s="799">
        <f>IF(J$69=$F74+1,IF(Monthly!F$4=TRUE,0,Monthly!F$17),IF(J$69&gt;$F74+1,I74*(1-IF(J$69-$F74&lt;=12,SUMIFS('Attrition Modeling'!$D:$D,'Attrition Modeling'!$B:$B,$E74,'Attrition Modeling'!$C:$C,J$68),VLOOKUP(J$69-$F74-1,$A$7:$C$161,2,FALSE)*VLOOKUP(J$1,'Attrition Modeling'!$L$15:$N$27,IF(J$2-$F7&lt;=24,2,3),FALSE))*(1+Projection!L$16)*(1+IF(J139&gt;0,'Attrition Modeling'!$N$9,0))),0))</f>
        <v>0</v>
      </c>
      <c r="K74" s="799">
        <f>IF(K$69=$F74+1,IF(Monthly!G$4=TRUE,0,Monthly!G$17),IF(K$69&gt;$F74+1,J74*(1-IF(K$69-$F74&lt;=12,SUMIFS('Attrition Modeling'!$D:$D,'Attrition Modeling'!$B:$B,$E74,'Attrition Modeling'!$C:$C,K$68),VLOOKUP(K$69-$F74-1,$A$7:$C$161,2,FALSE)*VLOOKUP(K$1,'Attrition Modeling'!$L$15:$N$27,IF(K$2-$F7&lt;=24,2,3),FALSE))*(1+Projection!M$16)*(1+IF(K139&gt;0,'Attrition Modeling'!$N$9,0))),0))</f>
        <v>0</v>
      </c>
      <c r="L74" s="799">
        <f>IF(L$69=$F74+1,IF(Monthly!H$4=TRUE,0,Monthly!H$17),IF(L$69&gt;$F74+1,K74*(1-IF(L$69-$F74&lt;=12,SUMIFS('Attrition Modeling'!$D:$D,'Attrition Modeling'!$B:$B,$E74,'Attrition Modeling'!$C:$C,L$68),VLOOKUP(L$69-$F74-1,$A$7:$C$161,2,FALSE)*VLOOKUP(L$1,'Attrition Modeling'!$L$15:$N$27,IF(L$2-$F7&lt;=24,2,3),FALSE))*(1+Projection!N$16)*(1+IF(L139&gt;0,'Attrition Modeling'!$N$9,0))),0))</f>
        <v>5678.5951413682178</v>
      </c>
      <c r="M74" s="799">
        <f>IF(M$69=$F74+1,IF(Monthly!I$4=TRUE,0,Monthly!I$17),IF(M$69&gt;$F74+1,L74*(1-IF(M$69-$F74&lt;=12,SUMIFS('Attrition Modeling'!$D:$D,'Attrition Modeling'!$B:$B,$E74,'Attrition Modeling'!$C:$C,M$68),VLOOKUP(M$69-$F74-1,$A$7:$C$161,2,FALSE)*VLOOKUP(M$1,'Attrition Modeling'!$L$15:$N$27,IF(M$2-$F7&lt;=24,2,3),FALSE))*(1+Projection!O$16)*(1+IF(M139&gt;0,'Attrition Modeling'!$N$9,0))),0))</f>
        <v>5115.6650453157636</v>
      </c>
      <c r="N74" s="799">
        <f>IF(N$69=$F74+1,IF(Monthly!J$4=TRUE,0,Monthly!J$17),IF(N$69&gt;$F74+1,M74*(1-IF(N$69-$F74&lt;=12,SUMIFS('Attrition Modeling'!$D:$D,'Attrition Modeling'!$B:$B,$E74,'Attrition Modeling'!$C:$C,N$68),VLOOKUP(N$69-$F74-1,$A$7:$C$161,2,FALSE)*VLOOKUP(N$1,'Attrition Modeling'!$L$15:$N$27,IF(N$2-$F7&lt;=24,2,3),FALSE))*(1+Projection!P$16)*(1+IF(N139&gt;0,'Attrition Modeling'!$N$9,0))),0))</f>
        <v>4641.6294639191947</v>
      </c>
      <c r="O74" s="799">
        <f>IF(O$69=$F74+1,IF(Monthly!K$4=TRUE,0,Monthly!K$17),IF(O$69&gt;$F74+1,N74*(1-IF(O$69-$F74&lt;=12,SUMIFS('Attrition Modeling'!$D:$D,'Attrition Modeling'!$B:$B,$E74,'Attrition Modeling'!$C:$C,O$68),VLOOKUP(O$69-$F74-1,$A$7:$C$161,2,FALSE)*VLOOKUP(O$1,'Attrition Modeling'!$L$15:$N$27,IF(O$2-$F7&lt;=24,2,3),FALSE))*(1+Projection!Q$16)*(1+IF(O139&gt;0,'Attrition Modeling'!$N$9,0))),0))</f>
        <v>4163.5151718475736</v>
      </c>
      <c r="P74" s="799">
        <f>IF(P$69=$F74+1,IF(Monthly!L$4=TRUE,0,Monthly!L$17),IF(P$69&gt;$F74+1,O74*(1-IF(P$69-$F74&lt;=12,SUMIFS('Attrition Modeling'!$D:$D,'Attrition Modeling'!$B:$B,$E74,'Attrition Modeling'!$C:$C,P$68),VLOOKUP(P$69-$F74-1,$A$7:$C$161,2,FALSE)*VLOOKUP(P$1,'Attrition Modeling'!$L$15:$N$27,IF(P$2-$F7&lt;=24,2,3),FALSE))*(1+Projection!R$16)*(1+IF(P139&gt;0,'Attrition Modeling'!$N$9,0))),0))</f>
        <v>3824.9089734667259</v>
      </c>
      <c r="Q74" s="799">
        <f>IF(Q$69=$F74+1,IF(Monthly!M$4=TRUE,0,Monthly!M$17),IF(Q$69&gt;$F74+1,P74*(1-IF(Q$69-$F74&lt;=12,SUMIFS('Attrition Modeling'!$D:$D,'Attrition Modeling'!$B:$B,$E74,'Attrition Modeling'!$C:$C,Q$68),VLOOKUP(Q$69-$F74-1,$A$7:$C$161,2,FALSE)*VLOOKUP(Q$1,'Attrition Modeling'!$L$15:$N$27,IF(Q$2-$F7&lt;=24,2,3),FALSE))*(1+Projection!S$16)*(1+IF(Q139&gt;0,'Attrition Modeling'!$N$9,0))),0))</f>
        <v>3442.8198445586263</v>
      </c>
      <c r="R74" s="799">
        <f>IF(R$69=$F74+1,IF(Monthly!N$4=TRUE,0,Monthly!N$17),IF(R$69&gt;$F74+1,Q74*(1-IF(R$69-$F74&lt;=12,SUMIFS('Attrition Modeling'!$D:$D,'Attrition Modeling'!$B:$B,$E74,'Attrition Modeling'!$C:$C,R$68),VLOOKUP(R$69-$F74-1,$A$7:$C$161,2,FALSE)*VLOOKUP(R$1,'Attrition Modeling'!$L$15:$N$27,IF(R$2-$F7&lt;=24,2,3),FALSE))*(1+Projection!T$16)*(1+IF(R139&gt;0,'Attrition Modeling'!$N$9,0))),0))</f>
        <v>3173.0270201134203</v>
      </c>
      <c r="S74" s="799">
        <f>IF(S$69=$F74+1,IF(Monthly!O$4=TRUE,0,Monthly!O$17),IF(S$69&gt;$F74+1,R74*(1-IF(S$69-$F74&lt;=12,SUMIFS('Attrition Modeling'!$D:$D,'Attrition Modeling'!$B:$B,$E74,'Attrition Modeling'!$C:$C,S$68),VLOOKUP(S$69-$F74-1,$A$7:$C$161,2,FALSE)*VLOOKUP(S$1,'Attrition Modeling'!$L$15:$N$27,IF(S$2-$F7&lt;=24,2,3),FALSE))*(1+Projection!U$16)*(1+IF(S139&gt;0,'Attrition Modeling'!$N$9,0))),0))</f>
        <v>2960.6357287118685</v>
      </c>
      <c r="T74" s="799">
        <f>IF(T$69=$F74+1,IF(Monthly!P$4=TRUE,0,Monthly!P$17),IF(T$69&gt;$F74+1,S74*(1-IF(T$69-$F74&lt;=12,SUMIFS('Attrition Modeling'!$D:$D,'Attrition Modeling'!$B:$B,$E74,'Attrition Modeling'!$C:$C,T$68),VLOOKUP(T$69-$F74-1,$A$7:$C$161,2,FALSE)*VLOOKUP(T$1,'Attrition Modeling'!$L$15:$N$27,IF(T$2-$F7&lt;=24,2,3),FALSE))*(1+Projection!V$16)*(1+IF(T139&gt;0,'Attrition Modeling'!$N$9,0))),0))</f>
        <v>2773.8904622431378</v>
      </c>
      <c r="U74" s="799">
        <f>IF(U$69=$F74+1,IF(Monthly!Q$4=TRUE,0,Monthly!Q$17),IF(U$69&gt;$F74+1,T74*(1-IF(U$69-$F74&lt;=12,SUMIFS('Attrition Modeling'!$D:$D,'Attrition Modeling'!$B:$B,$E74,'Attrition Modeling'!$C:$C,U$68),VLOOKUP(U$69-$F74-1,$A$7:$C$161,2,FALSE)*VLOOKUP(U$1,'Attrition Modeling'!$L$15:$N$27,IF(U$2-$F7&lt;=24,2,3),FALSE))*(1+Projection!W$16)*(1+IF(U139&gt;0,'Attrition Modeling'!$N$9,0))),0))</f>
        <v>2629.297177846307</v>
      </c>
      <c r="V74" s="799">
        <f>IF(V$69=$F74+1,IF(Monthly!R$4=TRUE,0,Monthly!R$17),IF(V$69&gt;$F74+1,U74*(1-IF(V$69-$F74&lt;=12,SUMIFS('Attrition Modeling'!$D:$D,'Attrition Modeling'!$B:$B,$E74,'Attrition Modeling'!$C:$C,V$68),VLOOKUP(V$69-$F74-1,$A$7:$C$161,2,FALSE)*VLOOKUP(V$1,'Attrition Modeling'!$L$15:$N$27,IF(V$2-$F7&lt;=24,2,3),FALSE))*(1+Projection!X$16)*(1+IF(V139&gt;0,'Attrition Modeling'!$N$9,0))),0))</f>
        <v>2491.0871462669165</v>
      </c>
      <c r="W74" s="799">
        <f>IF(W$69=$F74+1,IF(Monthly!S$4=TRUE,0,Monthly!S$17),IF(W$69&gt;$F74+1,V74*(1-IF(W$69-$F74&lt;=12,SUMIFS('Attrition Modeling'!$D:$D,'Attrition Modeling'!$B:$B,$E74,'Attrition Modeling'!$C:$C,W$68),VLOOKUP(W$69-$F74-1,$A$7:$C$161,2,FALSE)*VLOOKUP(W$1,'Attrition Modeling'!$L$15:$N$27,IF(W$2-$F7&lt;=24,2,3),FALSE))*(1+Projection!Y$16)*(1+IF(W139&gt;0,'Attrition Modeling'!$N$9,0))),0))</f>
        <v>2434.535307931123</v>
      </c>
      <c r="X74" s="799">
        <f>IF(X$69=$F74+1,IF(Monthly!T$4=TRUE,0,Monthly!T$17),IF(X$69&gt;$F74+1,W74*(1-IF(X$69-$F74&lt;=12,SUMIFS('Attrition Modeling'!$D:$D,'Attrition Modeling'!$B:$B,$E74,'Attrition Modeling'!$C:$C,X$68),VLOOKUP(X$69-$F74-1,$A$7:$C$161,2,FALSE)*VLOOKUP(X$1,'Attrition Modeling'!$L$15:$N$27,IF(X$2-$F7&lt;=24,2,3),FALSE))*(1+Projection!Z$16)*(1+IF(X139&gt;0,'Attrition Modeling'!$N$9,0))),0))</f>
        <v>2308.8922145566517</v>
      </c>
      <c r="Y74" s="799">
        <f>IF(Y$69=$F74+1,IF(Monthly!U$4=TRUE,0,Monthly!U$17),IF(Y$69&gt;$F74+1,X74*(1-IF(Y$69-$F74&lt;=12,SUMIFS('Attrition Modeling'!$D:$D,'Attrition Modeling'!$B:$B,$E74,'Attrition Modeling'!$C:$C,Y$68),VLOOKUP(Y$69-$F74-1,$A$7:$C$161,2,FALSE)*VLOOKUP(Y$1,'Attrition Modeling'!$L$15:$N$27,IF(Y$2-$F7&lt;=24,2,3),FALSE))*(1+Projection!AA$16)*(1+IF(Y139&gt;0,'Attrition Modeling'!$N$9,0))),0))</f>
        <v>2188.1756039507645</v>
      </c>
      <c r="Z74" s="799">
        <f>IF(Z$69=$F74+1,IF(Monthly!V$4=TRUE,0,Monthly!V$17),IF(Z$69&gt;$F74+1,Y74*(1-IF(Z$69-$F74&lt;=12,SUMIFS('Attrition Modeling'!$D:$D,'Attrition Modeling'!$B:$B,$E74,'Attrition Modeling'!$C:$C,Z$68),VLOOKUP(Z$69-$F74-1,$A$7:$C$161,2,FALSE)*VLOOKUP(Z$1,'Attrition Modeling'!$L$15:$N$27,IF(Z$2-$F7&lt;=24,2,3),FALSE))*(1+Projection!AB$16)*(1+IF(Z139&gt;0,'Attrition Modeling'!$N$9,0))),0))</f>
        <v>2076.796810497347</v>
      </c>
      <c r="AA74" s="799">
        <f>IF(AA$69=$F74+1,IF(Monthly!W$4=TRUE,0,Monthly!W$17),IF(AA$69&gt;$F74+1,Z74*(1-IF(AA$69-$F74&lt;=12,SUMIFS('Attrition Modeling'!$D:$D,'Attrition Modeling'!$B:$B,$E74,'Attrition Modeling'!$C:$C,AA$68),VLOOKUP(AA$69-$F74-1,$A$7:$C$161,2,FALSE)*VLOOKUP(AA$1,'Attrition Modeling'!$L$15:$N$27,IF(AA$2-$F7&lt;=24,2,3),FALSE))*(1+Projection!AC$16)*(1+IF(AA139&gt;0,'Attrition Modeling'!$N$9,0))),0))</f>
        <v>1970.4442825239603</v>
      </c>
      <c r="AB74" s="799">
        <f>IF(AB$69=$F74+1,IF(Monthly!X$4=TRUE,0,Monthly!X$17),IF(AB$69&gt;$F74+1,AA74*(1-IF(AB$69-$F74&lt;=12,SUMIFS('Attrition Modeling'!$D:$D,'Attrition Modeling'!$B:$B,$E74,'Attrition Modeling'!$C:$C,AB$68),VLOOKUP(AB$69-$F74-1,$A$7:$C$161,2,FALSE)*VLOOKUP(AB$1,'Attrition Modeling'!$L$15:$N$27,IF(AB$2-$F7&lt;=24,2,3),FALSE))*(1+Projection!AD$16)*(1+IF(AB139&gt;0,'Attrition Modeling'!$N$9,0))),0))</f>
        <v>1881.136942058934</v>
      </c>
      <c r="AC74" s="799">
        <f>IF(AC$69=$F74+1,IF(Monthly!Y$4=TRUE,0,Monthly!Y$17),IF(AC$69&gt;$F74+1,AB74*(1-IF(AC$69-$F74&lt;=12,SUMIFS('Attrition Modeling'!$D:$D,'Attrition Modeling'!$B:$B,$E74,'Attrition Modeling'!$C:$C,AC$68),VLOOKUP(AC$69-$F74-1,$A$7:$C$161,2,FALSE)*VLOOKUP(AC$1,'Attrition Modeling'!$L$15:$N$27,IF(AC$2-$F7&lt;=24,2,3),FALSE))*(1+Projection!AE$16)*(1+IF(AC139&gt;0,'Attrition Modeling'!$N$9,0))),0))</f>
        <v>1779.0497945363475</v>
      </c>
      <c r="AD74" s="799">
        <f>IF(AD$69=$F74+1,IF(Monthly!Z$4=TRUE,0,Monthly!Z$17),IF(AD$69&gt;$F74+1,AC74*(1-IF(AD$69-$F74&lt;=12,SUMIFS('Attrition Modeling'!$D:$D,'Attrition Modeling'!$B:$B,$E74,'Attrition Modeling'!$C:$C,AD$68),VLOOKUP(AD$69-$F74-1,$A$7:$C$161,2,FALSE)*VLOOKUP(AD$1,'Attrition Modeling'!$L$15:$N$27,IF(AD$2-$F7&lt;=24,2,3),FALSE))*(1+Projection!AF$16)*(1+IF(AD139&gt;0,'Attrition Modeling'!$N$9,0))),0))</f>
        <v>1703.3131978572087</v>
      </c>
      <c r="AE74" s="799">
        <f>IF(AE$69=$F74+1,IF(Monthly!AA$4=TRUE,0,Monthly!AA$17),IF(AE$69&gt;$F74+1,AD74*(1-IF(AE$69-$F74&lt;=12,SUMIFS('Attrition Modeling'!$D:$D,'Attrition Modeling'!$B:$B,$E74,'Attrition Modeling'!$C:$C,AE$68),VLOOKUP(AE$69-$F74-1,$A$7:$C$161,2,FALSE)*VLOOKUP(AE$1,'Attrition Modeling'!$L$15:$N$27,IF(AE$2-$F7&lt;=24,2,3),FALSE))*(1+Projection!AG$16)*(1+IF(AE139&gt;0,'Attrition Modeling'!$N$9,0))),0))</f>
        <v>1632.9258644109575</v>
      </c>
      <c r="AF74" s="799">
        <f>IF(AF$69=$F74+1,IF(Monthly!AB$4=TRUE,0,Monthly!AB$17),IF(AF$69&gt;$F74+1,AE74*(1-IF(AF$69-$F74&lt;=12,SUMIFS('Attrition Modeling'!$D:$D,'Attrition Modeling'!$B:$B,$E74,'Attrition Modeling'!$C:$C,AF$68),VLOOKUP(AF$69-$F74-1,$A$7:$C$161,2,FALSE)*VLOOKUP(AF$1,'Attrition Modeling'!$L$15:$N$27,IF(AF$2-$F7&lt;=24,2,3),FALSE))*(1+Projection!AH$16)*(1+IF(AF139&gt;0,'Attrition Modeling'!$N$9,0))),0))</f>
        <v>1566.5401444725383</v>
      </c>
      <c r="AG74" s="799">
        <f>IF(AG$69=$F74+1,IF(Monthly!AC$4=TRUE,0,Monthly!AC$17),IF(AG$69&gt;$F74+1,AF74*(1-IF(AG$69-$F74&lt;=12,SUMIFS('Attrition Modeling'!$D:$D,'Attrition Modeling'!$B:$B,$E74,'Attrition Modeling'!$C:$C,AG$68),VLOOKUP(AG$69-$F74-1,$A$7:$C$161,2,FALSE)*VLOOKUP(AG$1,'Attrition Modeling'!$L$15:$N$27,IF(AG$2-$F7&lt;=24,2,3),FALSE))*(1+Projection!AI$16)*(1+IF(AG139&gt;0,'Attrition Modeling'!$N$9,0))),0))</f>
        <v>1509.9811352815839</v>
      </c>
      <c r="AH74" s="799">
        <f>IF(AH$69=$F74+1,IF(Monthly!AD$4=TRUE,0,Monthly!AD$17),IF(AH$69&gt;$F74+1,AG74*(1-IF(AH$69-$F74&lt;=12,SUMIFS('Attrition Modeling'!$D:$D,'Attrition Modeling'!$B:$B,$E74,'Attrition Modeling'!$C:$C,AH$68),VLOOKUP(AH$69-$F74-1,$A$7:$C$161,2,FALSE)*VLOOKUP(AH$1,'Attrition Modeling'!$L$15:$N$27,IF(AH$2-$F7&lt;=24,2,3),FALSE))*(1+Projection!AJ$16)*(1+IF(AH139&gt;0,'Attrition Modeling'!$N$9,0))),0))</f>
        <v>1451.4839268307994</v>
      </c>
      <c r="AI74" s="799">
        <f>IF(AI$69=$F74+1,IF(Monthly!AE$4=TRUE,0,Monthly!AE$17),IF(AI$69&gt;$F74+1,AH74*(1-IF(AI$69-$F74&lt;=12,SUMIFS('Attrition Modeling'!$D:$D,'Attrition Modeling'!$B:$B,$E74,'Attrition Modeling'!$C:$C,AI$68),VLOOKUP(AI$69-$F74-1,$A$7:$C$161,2,FALSE)*VLOOKUP(AI$1,'Attrition Modeling'!$L$15:$N$27,IF(AI$2-$F7&lt;=24,2,3),FALSE))*(1+Projection!AK$16)*(1+IF(AI139&gt;0,'Attrition Modeling'!$N$9,0))),0))</f>
        <v>1396.9276640356677</v>
      </c>
      <c r="AJ74" s="799">
        <f>IF(AJ$69=$F74+1,IF(Monthly!AF$4=TRUE,0,Monthly!AF$17),IF(AJ$69&gt;$F74+1,AI74*(1-IF(AJ$69-$F74&lt;=12,SUMIFS('Attrition Modeling'!$D:$D,'Attrition Modeling'!$B:$B,$E74,'Attrition Modeling'!$C:$C,AJ$68),VLOOKUP(AJ$69-$F74-1,$A$7:$C$161,2,FALSE)*VLOOKUP(AJ$1,'Attrition Modeling'!$L$15:$N$27,IF(AJ$2-$F7&lt;=24,2,3),FALSE))*(1+Projection!AL$16)*(1+IF(AJ139&gt;0,'Attrition Modeling'!$N$9,0))),0))</f>
        <v>1351.6898118790425</v>
      </c>
      <c r="AK74" s="799">
        <f>IF(AK$69=$F74+1,IF(Monthly!AG$4=TRUE,0,Monthly!AG$17),IF(AK$69&gt;$F74+1,AJ74*(1-IF(AK$69-$F74&lt;=12,SUMIFS('Attrition Modeling'!$D:$D,'Attrition Modeling'!$B:$B,$E74,'Attrition Modeling'!$C:$C,AK$68),VLOOKUP(AK$69-$F74-1,$A$7:$C$161,2,FALSE)*VLOOKUP(AK$1,'Attrition Modeling'!$L$15:$N$27,IF(AK$2-$F7&lt;=24,2,3),FALSE))*(1+Projection!AM$16)*(1+IF(AK139&gt;0,'Attrition Modeling'!$N$9,0))),0))</f>
        <v>1302.4277949730561</v>
      </c>
      <c r="AL74" s="799">
        <f>IF(AL$69=$F74+1,IF(Monthly!AH$4=TRUE,0,Monthly!AH$17),IF(AL$69&gt;$F74+1,AK74*(1-IF(AL$69-$F74&lt;=12,SUMIFS('Attrition Modeling'!$D:$D,'Attrition Modeling'!$B:$B,$E74,'Attrition Modeling'!$C:$C,AL$68),VLOOKUP(AL$69-$F74-1,$A$7:$C$161,2,FALSE)*VLOOKUP(AL$1,'Attrition Modeling'!$L$15:$N$27,IF(AL$2-$F7&lt;=24,2,3),FALSE))*(1+Projection!AN$16)*(1+IF(AL139&gt;0,'Attrition Modeling'!$N$9,0))),0))</f>
        <v>1251.4116759782078</v>
      </c>
      <c r="AM74" s="799">
        <f>IF(AM$69=$F74+1,IF(Monthly!AI$4=TRUE,0,Monthly!AI$17),IF(AM$69&gt;$F74+1,AL74*(1-IF(AM$69-$F74&lt;=12,SUMIFS('Attrition Modeling'!$D:$D,'Attrition Modeling'!$B:$B,$E74,'Attrition Modeling'!$C:$C,AM$68),VLOOKUP(AM$69-$F74-1,$A$7:$C$161,2,FALSE)*VLOOKUP(AM$1,'Attrition Modeling'!$L$15:$N$27,IF(AM$2-$F7&lt;=24,2,3),FALSE))*(1+Projection!AO$16)*(1+IF(AM139&gt;0,'Attrition Modeling'!$N$9,0))),0))</f>
        <v>1199.4668882771971</v>
      </c>
      <c r="AN74" s="799">
        <f>IF(AN$69=$F74+1,IF(Monthly!AJ$4=TRUE,0,Monthly!AJ$17),IF(AN$69&gt;$F74+1,AM74*(1-IF(AN$69-$F74&lt;=12,SUMIFS('Attrition Modeling'!$D:$D,'Attrition Modeling'!$B:$B,$E74,'Attrition Modeling'!$C:$C,AN$68),VLOOKUP(AN$69-$F74-1,$A$7:$C$161,2,FALSE)*VLOOKUP(AN$1,'Attrition Modeling'!$L$15:$N$27,IF(AN$2-$F7&lt;=24,2,3),FALSE))*(1+Projection!AP$16)*(1+IF(AN139&gt;0,'Attrition Modeling'!$N$9,0))),0))</f>
        <v>1153.3107477533595</v>
      </c>
      <c r="AO74" s="799">
        <f>IF(AO$69=$F74+1,IF(Monthly!AK$4=TRUE,0,Monthly!AK$17),IF(AO$69&gt;$F74+1,AN74*(1-IF(AO$69-$F74&lt;=12,SUMIFS('Attrition Modeling'!$D:$D,'Attrition Modeling'!$B:$B,$E74,'Attrition Modeling'!$C:$C,AO$68),VLOOKUP(AO$69-$F74-1,$A$7:$C$161,2,FALSE)*VLOOKUP(AO$1,'Attrition Modeling'!$L$15:$N$27,IF(AO$2-$F7&lt;=24,2,3),FALSE))*(1+Projection!AQ$16)*(1+IF(AO139&gt;0,'Attrition Modeling'!$N$9,0))),0))</f>
        <v>1102.532854016795</v>
      </c>
      <c r="AP74" s="799">
        <f>IF(AP$69=$F74+1,IF(Monthly!AL$4=TRUE,0,Monthly!AL$17),IF(AP$69&gt;$F74+1,AO74*(1-IF(AP$69-$F74&lt;=12,SUMIFS('Attrition Modeling'!$D:$D,'Attrition Modeling'!$B:$B,$E74,'Attrition Modeling'!$C:$C,AP$68),VLOOKUP(AP$69-$F74-1,$A$7:$C$161,2,FALSE)*VLOOKUP(AP$1,'Attrition Modeling'!$L$15:$N$27,IF(AP$2-$F7&lt;=24,2,3),FALSE))*(1+Projection!AR$16)*(1+IF(AP139&gt;0,'Attrition Modeling'!$N$9,0))),0))</f>
        <v>1063.479538168478</v>
      </c>
      <c r="AQ74" s="799">
        <f>IF(AQ$69=$F74+1,IF(Monthly!AM$4=TRUE,0,Monthly!AM$17),IF(AQ$69&gt;$F74+1,AP74*(1-IF(AQ$69-$F74&lt;=12,SUMIFS('Attrition Modeling'!$D:$D,'Attrition Modeling'!$B:$B,$E74,'Attrition Modeling'!$C:$C,AQ$68),VLOOKUP(AQ$69-$F74-1,$A$7:$C$161,2,FALSE)*VLOOKUP(AQ$1,'Attrition Modeling'!$L$15:$N$27,IF(AQ$2-$F7&lt;=24,2,3),FALSE))*(1+Projection!AS$16)*(1+IF(AQ139&gt;0,'Attrition Modeling'!$N$9,0))),0))</f>
        <v>1032.8085403914877</v>
      </c>
      <c r="AR74" s="799">
        <f>IF(AR$69=$F74+1,IF(Monthly!AN$4=TRUE,0,Monthly!AN$17),IF(AR$69&gt;$F74+1,AQ74*(1-IF(AR$69-$F74&lt;=12,SUMIFS('Attrition Modeling'!$D:$D,'Attrition Modeling'!$B:$B,$E74,'Attrition Modeling'!$C:$C,AR$68),VLOOKUP(AR$69-$F74-1,$A$7:$C$161,2,FALSE)*VLOOKUP(AR$1,'Attrition Modeling'!$L$15:$N$27,IF(AR$2-$F7&lt;=24,2,3),FALSE))*(1+Projection!AT$16)*(1+IF(AR139&gt;0,'Attrition Modeling'!$N$9,0))),0))</f>
        <v>1000.2182461738099</v>
      </c>
      <c r="AS74" s="799">
        <f>IF(AS$69=$F74+1,IF(Monthly!AO$4=TRUE,0,Monthly!AO$17),IF(AS$69&gt;$F74+1,AR74*(1-IF(AS$69-$F74&lt;=12,SUMIFS('Attrition Modeling'!$D:$D,'Attrition Modeling'!$B:$B,$E74,'Attrition Modeling'!$C:$C,AS$68),VLOOKUP(AS$69-$F74-1,$A$7:$C$161,2,FALSE)*VLOOKUP(AS$1,'Attrition Modeling'!$L$15:$N$27,IF(AS$2-$F7&lt;=24,2,3),FALSE))*(1+Projection!AU$16)*(1+IF(AS139&gt;0,'Attrition Modeling'!$N$9,0))),0))</f>
        <v>969.99737906106088</v>
      </c>
      <c r="AT74" s="799">
        <f>IF(AT$69=$F74+1,IF(Monthly!AP$4=TRUE,0,Monthly!AP$17),IF(AT$69&gt;$F74+1,AS74*(1-IF(AT$69-$F74&lt;=12,SUMIFS('Attrition Modeling'!$D:$D,'Attrition Modeling'!$B:$B,$E74,'Attrition Modeling'!$C:$C,AT$68),VLOOKUP(AT$69-$F74-1,$A$7:$C$161,2,FALSE)*VLOOKUP(AT$1,'Attrition Modeling'!$L$15:$N$27,IF(AT$2-$F7&lt;=24,2,3),FALSE))*(1+Projection!AV$16)*(1+IF(AT139&gt;0,'Attrition Modeling'!$N$9,0))),0))</f>
        <v>942.23741603862197</v>
      </c>
      <c r="AU74" s="799">
        <f>IF(AU$69=$F74+1,IF(Monthly!AQ$4=TRUE,0,Monthly!AQ$17),IF(AU$69&gt;$F74+1,AT74*(1-IF(AU$69-$F74&lt;=12,SUMIFS('Attrition Modeling'!$D:$D,'Attrition Modeling'!$B:$B,$E74,'Attrition Modeling'!$C:$C,AU$68),VLOOKUP(AU$69-$F74-1,$A$7:$C$161,2,FALSE)*VLOOKUP(AU$1,'Attrition Modeling'!$L$15:$N$27,IF(AU$2-$F7&lt;=24,2,3),FALSE))*(1+Projection!AW$16)*(1+IF(AU139&gt;0,'Attrition Modeling'!$N$9,0))),0))</f>
        <v>921.02936301379134</v>
      </c>
      <c r="AV74" s="799">
        <f>IF(AV$69=$F74+1,IF(Monthly!AR$4=TRUE,0,Monthly!AR$17),IF(AV$69&gt;$F74+1,AU74*(1-IF(AV$69-$F74&lt;=12,SUMIFS('Attrition Modeling'!$D:$D,'Attrition Modeling'!$B:$B,$E74,'Attrition Modeling'!$C:$C,AV$68),VLOOKUP(AV$69-$F74-1,$A$7:$C$161,2,FALSE)*VLOOKUP(AV$1,'Attrition Modeling'!$L$15:$N$27,IF(AV$2-$F7&lt;=24,2,3),FALSE))*(1+Projection!AX$16)*(1+IF(AV139&gt;0,'Attrition Modeling'!$N$9,0))),0))</f>
        <v>896.27309116855088</v>
      </c>
      <c r="AW74" s="799">
        <f>IF(AW$69=$F74+1,IF(Monthly!AS$4=TRUE,0,Monthly!AS$17),IF(AW$69&gt;$F74+1,AV74*(1-IF(AW$69-$F74&lt;=12,SUMIFS('Attrition Modeling'!$D:$D,'Attrition Modeling'!$B:$B,$E74,'Attrition Modeling'!$C:$C,AW$68),VLOOKUP(AW$69-$F74-1,$A$7:$C$161,2,FALSE)*VLOOKUP(AW$1,'Attrition Modeling'!$L$15:$N$27,IF(AW$2-$F7&lt;=24,2,3),FALSE))*(1+Projection!AY$16)*(1+IF(AW139&gt;0,'Attrition Modeling'!$N$9,0))),0))</f>
        <v>869.07090052707417</v>
      </c>
      <c r="AX74" s="799">
        <f>IF(AX$69=$F74+1,IF(Monthly!AT$4=TRUE,0,Monthly!AT$17),IF(AX$69&gt;$F74+1,AW74*(1-IF(AX$69-$F74&lt;=12,SUMIFS('Attrition Modeling'!$D:$D,'Attrition Modeling'!$B:$B,$E74,'Attrition Modeling'!$C:$C,AX$68),VLOOKUP(AX$69-$F74-1,$A$7:$C$161,2,FALSE)*VLOOKUP(AX$1,'Attrition Modeling'!$L$15:$N$27,IF(AX$2-$F7&lt;=24,2,3),FALSE))*(1+Projection!AZ$16)*(1+IF(AX139&gt;0,'Attrition Modeling'!$N$9,0))),0))</f>
        <v>840.63341395624991</v>
      </c>
      <c r="AY74" s="799">
        <f>IF(AY$69=$F74+1,IF(Monthly!AU$4=TRUE,0,Monthly!AU$17),IF(AY$69&gt;$F74+1,AX74*(1-IF(AY$69-$F74&lt;=12,SUMIFS('Attrition Modeling'!$D:$D,'Attrition Modeling'!$B:$B,$E74,'Attrition Modeling'!$C:$C,AY$68),VLOOKUP(AY$69-$F74-1,$A$7:$C$161,2,FALSE)*VLOOKUP(AY$1,'Attrition Modeling'!$L$15:$N$27,IF(AY$2-$F7&lt;=24,2,3),FALSE))*(1+Projection!BA$16)*(1+IF(AY139&gt;0,'Attrition Modeling'!$N$9,0))),0))</f>
        <v>811.39850614731904</v>
      </c>
      <c r="AZ74" s="799">
        <f>IF(AZ$69=$F74+1,IF(Monthly!AV$4=TRUE,0,Monthly!AV$17),IF(AZ$69&gt;$F74+1,AY74*(1-IF(AZ$69-$F74&lt;=12,SUMIFS('Attrition Modeling'!$D:$D,'Attrition Modeling'!$B:$B,$E74,'Attrition Modeling'!$C:$C,AZ$68),VLOOKUP(AZ$69-$F74-1,$A$7:$C$161,2,FALSE)*VLOOKUP(AZ$1,'Attrition Modeling'!$L$15:$N$27,IF(AZ$2-$F7&lt;=24,2,3),FALSE))*(1+Projection!BB$16)*(1+IF(AZ139&gt;0,'Attrition Modeling'!$N$9,0))),0))</f>
        <v>785.16694994529666</v>
      </c>
      <c r="BA74" s="799">
        <f>IF(BA$69=$F74+1,IF(Monthly!AW$4=TRUE,0,Monthly!AW$17),IF(BA$69&gt;$F74+1,AZ74*(1-IF(BA$69-$F74&lt;=12,SUMIFS('Attrition Modeling'!$D:$D,'Attrition Modeling'!$B:$B,$E74,'Attrition Modeling'!$C:$C,BA$68),VLOOKUP(BA$69-$F74-1,$A$7:$C$161,2,FALSE)*VLOOKUP(BA$1,'Attrition Modeling'!$L$15:$N$27,IF(BA$2-$F7&lt;=24,2,3),FALSE))*(1+Projection!BC$16)*(1+IF(BA139&gt;0,'Attrition Modeling'!$N$9,0))),0))</f>
        <v>756.04873150791025</v>
      </c>
      <c r="BB74" s="799">
        <f>IF(BB$69=$F74+1,IF(Monthly!AX$4=TRUE,0,Monthly!AX$17),IF(BB$69&gt;$F74+1,BA74*(1-IF(BB$69-$F74&lt;=12,SUMIFS('Attrition Modeling'!$D:$D,'Attrition Modeling'!$B:$B,$E74,'Attrition Modeling'!$C:$C,BB$68),VLOOKUP(BB$69-$F74-1,$A$7:$C$161,2,FALSE)*VLOOKUP(BB$1,'Attrition Modeling'!$L$15:$N$27,IF(BB$2-$F7&lt;=24,2,3),FALSE))*(1+Projection!BD$16)*(1+IF(BB139&gt;0,'Attrition Modeling'!$N$9,0))),0))</f>
        <v>733.43602914214807</v>
      </c>
      <c r="BC74" s="799">
        <f>IF(BC$69=$F74+1,IF(Monthly!AY$4=TRUE,0,Monthly!AY$17),IF(BC$69&gt;$F74+1,BB74*(1-IF(BC$69-$F74&lt;=12,SUMIFS('Attrition Modeling'!$D:$D,'Attrition Modeling'!$B:$B,$E74,'Attrition Modeling'!$C:$C,BC$68),VLOOKUP(BC$69-$F74-1,$A$7:$C$161,2,FALSE)*VLOOKUP(BC$1,'Attrition Modeling'!$L$15:$N$27,IF(BC$2-$F7&lt;=24,2,3),FALSE))*(1+Projection!BE$16)*(1+IF(BC139&gt;0,'Attrition Modeling'!$N$9,0))),0))</f>
        <v>715.53408685054126</v>
      </c>
      <c r="BD74" s="799">
        <f>IF(BD$69=$F74+1,IF(Monthly!AZ$4=TRUE,0,Monthly!AZ$17),IF(BD$69&gt;$F74+1,BC74*(1-IF(BD$69-$F74&lt;=12,SUMIFS('Attrition Modeling'!$D:$D,'Attrition Modeling'!$B:$B,$E74,'Attrition Modeling'!$C:$C,BD$68),VLOOKUP(BD$69-$F74-1,$A$7:$C$161,2,FALSE)*VLOOKUP(BD$1,'Attrition Modeling'!$L$15:$N$27,IF(BD$2-$F7&lt;=24,2,3),FALSE))*(1+Projection!BF$16)*(1+IF(BD139&gt;0,'Attrition Modeling'!$N$9,0))),0))</f>
        <v>696.38331912758076</v>
      </c>
      <c r="BE74" s="799">
        <f>IF(BE$69=$F74+1,IF(Monthly!BA$4=TRUE,0,Monthly!BA$17),IF(BE$69&gt;$F74+1,BD74*(1-IF(BE$69-$F74&lt;=12,SUMIFS('Attrition Modeling'!$D:$D,'Attrition Modeling'!$B:$B,$E74,'Attrition Modeling'!$C:$C,BE$68),VLOOKUP(BE$69-$F74-1,$A$7:$C$161,2,FALSE)*VLOOKUP(BE$1,'Attrition Modeling'!$L$15:$N$27,IF(BE$2-$F7&lt;=24,2,3),FALSE))*(1+Projection!BG$16)*(1+IF(BE139&gt;0,'Attrition Modeling'!$N$9,0))),0))</f>
        <v>678.50010621445006</v>
      </c>
      <c r="BF74" s="799">
        <f>IF(BF$69=$F74+1,IF(Monthly!BB$4=TRUE,0,Monthly!BB$17),IF(BF$69&gt;$F74+1,BE74*(1-IF(BF$69-$F74&lt;=12,SUMIFS('Attrition Modeling'!$D:$D,'Attrition Modeling'!$B:$B,$E74,'Attrition Modeling'!$C:$C,BF$68),VLOOKUP(BF$69-$F74-1,$A$7:$C$161,2,FALSE)*VLOOKUP(BF$1,'Attrition Modeling'!$L$15:$N$27,IF(BF$2-$F7&lt;=24,2,3),FALSE))*(1+Projection!BH$16)*(1+IF(BF139&gt;0,'Attrition Modeling'!$N$9,0))),0))</f>
        <v>661.96397603104401</v>
      </c>
      <c r="BG74" s="799">
        <f>IF(BG$69=$F74+1,IF(Monthly!BC$4=TRUE,0,Monthly!BC$17),IF(BG$69&gt;$F74+1,BF74*(1-IF(BG$69-$F74&lt;=12,SUMIFS('Attrition Modeling'!$D:$D,'Attrition Modeling'!$B:$B,$E74,'Attrition Modeling'!$C:$C,BG$68),VLOOKUP(BG$69-$F74-1,$A$7:$C$161,2,FALSE)*VLOOKUP(BG$1,'Attrition Modeling'!$L$15:$N$27,IF(BG$2-$F7&lt;=24,2,3),FALSE))*(1+Projection!BI$16)*(1+IF(BG139&gt;0,'Attrition Modeling'!$N$9,0))),0))</f>
        <v>649.25187764093721</v>
      </c>
      <c r="BH74" s="799">
        <f>IF(BH$69=$F74+1,IF(Monthly!BD$4=TRUE,0,Monthly!BD$17),IF(BH$69&gt;$F74+1,BG74*(1-IF(BH$69-$F74&lt;=12,SUMIFS('Attrition Modeling'!$D:$D,'Attrition Modeling'!$B:$B,$E74,'Attrition Modeling'!$C:$C,BH$68),VLOOKUP(BH$69-$F74-1,$A$7:$C$161,2,FALSE)*VLOOKUP(BH$1,'Attrition Modeling'!$L$15:$N$27,IF(BH$2-$F7&lt;=24,2,3),FALSE))*(1+Projection!BJ$16)*(1+IF(BH139&gt;0,'Attrition Modeling'!$N$9,0))),0))</f>
        <v>634.43674921677609</v>
      </c>
      <c r="BI74" s="799">
        <f>IF(BI$69=$F74+1,IF(Monthly!BE$4=TRUE,0,Monthly!BE$17),IF(BI$69&gt;$F74+1,BH74*(1-IF(BI$69-$F74&lt;=12,SUMIFS('Attrition Modeling'!$D:$D,'Attrition Modeling'!$B:$B,$E74,'Attrition Modeling'!$C:$C,BI$68),VLOOKUP(BI$69-$F74-1,$A$7:$C$161,2,FALSE)*VLOOKUP(BI$1,'Attrition Modeling'!$L$15:$N$27,IF(BI$2-$F7&lt;=24,2,3),FALSE))*(1+Projection!BK$16)*(1+IF(BI139&gt;0,'Attrition Modeling'!$N$9,0))),0))</f>
        <v>618.06520612425265</v>
      </c>
      <c r="BJ74" s="799">
        <f>IF(BJ$69=$F74+1,IF(Monthly!BF$4=TRUE,0,Monthly!BF$17),IF(BJ$69&gt;$F74+1,BI74*(1-IF(BJ$69-$F74&lt;=12,SUMIFS('Attrition Modeling'!$D:$D,'Attrition Modeling'!$B:$B,$E74,'Attrition Modeling'!$C:$C,BJ$68),VLOOKUP(BJ$69-$F74-1,$A$7:$C$161,2,FALSE)*VLOOKUP(BJ$1,'Attrition Modeling'!$L$15:$N$27,IF(BJ$2-$F7&lt;=24,2,3),FALSE))*(1+Projection!BL$16)*(1+IF(BJ139&gt;0,'Attrition Modeling'!$N$9,0))),0))</f>
        <v>600.84535941141633</v>
      </c>
      <c r="BK74" s="799">
        <f>IF(BK$69=$F74+1,IF(Monthly!BG$4=TRUE,0,Monthly!BG$17),IF(BK$69&gt;$F74+1,BJ74*(1-IF(BK$69-$F74&lt;=12,SUMIFS('Attrition Modeling'!$D:$D,'Attrition Modeling'!$B:$B,$E74,'Attrition Modeling'!$C:$C,BK$68),VLOOKUP(BK$69-$F74-1,$A$7:$C$161,2,FALSE)*VLOOKUP(BK$1,'Attrition Modeling'!$L$15:$N$27,IF(BK$2-$F7&lt;=24,2,3),FALSE))*(1+Projection!BM$16)*(1+IF(BK139&gt;0,'Attrition Modeling'!$N$9,0))),0))</f>
        <v>583.02961032325584</v>
      </c>
      <c r="BL74" s="799">
        <f>IF(BL$69=$F74+1,IF(Monthly!BH$4=TRUE,0,Monthly!BH$17),IF(BL$69&gt;$F74+1,BK74*(1-IF(BL$69-$F74&lt;=12,SUMIFS('Attrition Modeling'!$D:$D,'Attrition Modeling'!$B:$B,$E74,'Attrition Modeling'!$C:$C,BL$68),VLOOKUP(BL$69-$F74-1,$A$7:$C$161,2,FALSE)*VLOOKUP(BL$1,'Attrition Modeling'!$L$15:$N$27,IF(BL$2-$F7&lt;=24,2,3),FALSE))*(1+Projection!BN$16)*(1+IF(BL139&gt;0,'Attrition Modeling'!$N$9,0))),0))</f>
        <v>566.93864274646648</v>
      </c>
      <c r="BM74" s="799">
        <f>IF(BM$69=$F74+1,IF(Monthly!BI$4=TRUE,0,Monthly!BI$17),IF(BM$69&gt;$F74+1,BL74*(1-IF(BM$69-$F74&lt;=12,SUMIFS('Attrition Modeling'!$D:$D,'Attrition Modeling'!$B:$B,$E74,'Attrition Modeling'!$C:$C,BM$68),VLOOKUP(BM$69-$F74-1,$A$7:$C$161,2,FALSE)*VLOOKUP(BM$1,'Attrition Modeling'!$L$15:$N$27,IF(BM$2-$F7&lt;=24,2,3),FALSE))*(1+Projection!BO$16)*(1+IF(BM139&gt;0,'Attrition Modeling'!$N$9,0))),0))</f>
        <v>548.96790683107588</v>
      </c>
      <c r="BN74" s="799">
        <f>IF(BN$69=$F74+1,IF(Monthly!BJ$4=TRUE,0,Monthly!BJ$17),IF(BN$69&gt;$F74+1,BM74*(1-IF(BN$69-$F74&lt;=12,SUMIFS('Attrition Modeling'!$D:$D,'Attrition Modeling'!$B:$B,$E74,'Attrition Modeling'!$C:$C,BN$68),VLOOKUP(BN$69-$F74-1,$A$7:$C$161,2,FALSE)*VLOOKUP(BN$1,'Attrition Modeling'!$L$15:$N$27,IF(BN$2-$F7&lt;=24,2,3),FALSE))*(1+Projection!BP$16)*(1+IF(BN139&gt;0,'Attrition Modeling'!$N$9,0))),0))</f>
        <v>534.91799620380652</v>
      </c>
      <c r="BO74" s="799">
        <f>IF(BO$69=$F74+1,IF(Monthly!BK$4=TRUE,0,Monthly!BK$17),IF(BO$69&gt;$F74+1,BN74*(1-IF(BO$69-$F74&lt;=12,SUMIFS('Attrition Modeling'!$D:$D,'Attrition Modeling'!$B:$B,$E74,'Attrition Modeling'!$C:$C,BO$68),VLOOKUP(BO$69-$F74-1,$A$7:$C$161,2,FALSE)*VLOOKUP(BO$1,'Attrition Modeling'!$L$15:$N$27,IF(BO$2-$F7&lt;=24,2,3),FALSE))*(1+Projection!BV$16)*(1+IF(BO139&gt;0,'Attrition Modeling'!$N$9,0))),0))</f>
        <v>523.73343103283605</v>
      </c>
      <c r="BP74" s="799">
        <f>IF(BP$69=$F74+1,IF(Monthly!BL$4=TRUE,0,Monthly!BL$17),IF(BP$69&gt;$F74+1,BO74*(1-IF(BP$69-$F74&lt;=12,SUMIFS('Attrition Modeling'!$D:$D,'Attrition Modeling'!$B:$B,$E74,'Attrition Modeling'!$C:$C,BP$68),VLOOKUP(BP$69-$F74-1,$A$7:$C$161,2,FALSE)*VLOOKUP(BP$1,'Attrition Modeling'!$L$15:$N$27,IF(BP$2-$F7&lt;=24,2,3),FALSE))*(1+Projection!BW$16)*(1+IF(BP139&gt;0,'Attrition Modeling'!$N$9,0))),0))</f>
        <v>511.71342309559225</v>
      </c>
      <c r="BQ74" s="799">
        <f>IF(BQ$69=$F74+1,IF(Monthly!BM$4=TRUE,0,Monthly!BM$17),IF(BQ$69&gt;$F74+1,BP74*(1-IF(BQ$69-$F74&lt;=12,SUMIFS('Attrition Modeling'!$D:$D,'Attrition Modeling'!$B:$B,$E74,'Attrition Modeling'!$C:$C,BQ$68),VLOOKUP(BQ$69-$F74-1,$A$7:$C$161,2,FALSE)*VLOOKUP(BQ$1,'Attrition Modeling'!$L$15:$N$27,IF(BQ$2-$F7&lt;=24,2,3),FALSE))*(1+Projection!BX$16)*(1+IF(BQ139&gt;0,'Attrition Modeling'!$N$9,0))),0))</f>
        <v>500.43409902228279</v>
      </c>
      <c r="BR74" s="799">
        <f>IF(BR$69=$F74+1,IF(Monthly!BN$4=TRUE,0,Monthly!BN$17),IF(BR$69&gt;$F74+1,BQ74*(1-IF(BR$69-$F74&lt;=12,SUMIFS('Attrition Modeling'!$D:$D,'Attrition Modeling'!$B:$B,$E74,'Attrition Modeling'!$C:$C,BR$68),VLOOKUP(BR$69-$F74-1,$A$7:$C$161,2,FALSE)*VLOOKUP(BR$1,'Attrition Modeling'!$L$15:$N$27,IF(BR$2-$F7&lt;=24,2,3),FALSE))*(1+Projection!BY$16)*(1+IF(BR139&gt;0,'Attrition Modeling'!$N$9,0))),0))</f>
        <v>489.95587951659098</v>
      </c>
      <c r="BS74" s="799">
        <f>IF(BS$69=$F74+1,IF(Monthly!BO$4=TRUE,0,Monthly!BO$17),IF(BS$69&gt;$F74+1,BR74*(1-IF(BS$69-$F74&lt;=12,SUMIFS('Attrition Modeling'!$D:$D,'Attrition Modeling'!$B:$B,$E74,'Attrition Modeling'!$C:$C,BS$68),VLOOKUP(BS$69-$F74-1,$A$7:$C$161,2,FALSE)*VLOOKUP(BS$1,'Attrition Modeling'!$L$15:$N$27,IF(BS$2-$F7&lt;=24,2,3),FALSE))*(1+Projection!BZ$16)*(1+IF(BS139&gt;0,'Attrition Modeling'!$N$9,0))),0))</f>
        <v>481.86543752566917</v>
      </c>
      <c r="BT74" s="799">
        <f>IF(BT$69=$F74+1,IF(Monthly!#REF!=TRUE,0,Monthly!#REF!),IF(BT$69&gt;$F74+1,BS74*(1-IF(BT$69-$F74&lt;=12,SUMIFS('Attrition Modeling'!$D:$D,'Attrition Modeling'!$B:$B,$E74,'Attrition Modeling'!$C:$C,BT$68),VLOOKUP(BT$69-$F74-1,$A$7:$C$161,2,FALSE)*VLOOKUP(BT$1,'Attrition Modeling'!$L$15:$N$27,IF(BT$2-$F7&lt;=24,2,3),FALSE))*(1+Projection!CA$16)*(1+IF(BT139&gt;0,'Attrition Modeling'!$N$9,0))),0))</f>
        <v>472.33894007051549</v>
      </c>
      <c r="BU74" s="799">
        <f>IF(BU$69=$F74+1,IF(Monthly!#REF!=TRUE,0,Monthly!#REF!),IF(BU$69&gt;$F74+1,BT74*(1-IF(BU$69-$F74&lt;=12,SUMIFS('Attrition Modeling'!$D:$D,'Attrition Modeling'!$B:$B,$E74,'Attrition Modeling'!$C:$C,BU$68),VLOOKUP(BU$69-$F74-1,$A$7:$C$161,2,FALSE)*VLOOKUP(BU$1,'Attrition Modeling'!$L$15:$N$27,IF(BU$2-$F7&lt;=24,2,3),FALSE))*(1+Projection!CB$16)*(1+IF(BU139&gt;0,'Attrition Modeling'!$N$9,0))),0))</f>
        <v>461.76891935991767</v>
      </c>
    </row>
    <row r="75" spans="1:73" ht="14.25" customHeight="1" x14ac:dyDescent="0.2">
      <c r="A75" s="9">
        <v>68</v>
      </c>
      <c r="B75" s="25">
        <f>MAX('Attrition Modeling'!H72,$C$3)*(1-Summary!$C$20)</f>
        <v>2.0276127408762668E-2</v>
      </c>
      <c r="C75" s="24" t="e">
        <f t="shared" si="4"/>
        <v>#DIV/0!</v>
      </c>
      <c r="E75" s="11">
        <f t="shared" si="9"/>
        <v>5</v>
      </c>
      <c r="F75" s="11">
        <f t="shared" si="10"/>
        <v>5</v>
      </c>
      <c r="G75" s="799"/>
      <c r="H75" s="799">
        <f>IF(H$69=$F75+1,IF(Monthly!D$4=TRUE,0,Monthly!D$17),IF(H$69&gt;$F75+1,G75*(1-IF(H$69-$F75&lt;=12,SUMIFS('Attrition Modeling'!$D:$D,'Attrition Modeling'!$B:$B,$E75,'Attrition Modeling'!$C:$C,H$68),VLOOKUP(H$69-$F75-1,$A$7:$C$161,2,FALSE)*VLOOKUP(H$1,'Attrition Modeling'!$L$15:$N$27,IF(H$2-$F8&lt;=24,2,3),FALSE))*(1+Projection!J$16)*(1+IF(H140&gt;0,'Attrition Modeling'!$N$9,0))),0))</f>
        <v>0</v>
      </c>
      <c r="I75" s="799">
        <f>IF(I$69=$F75+1,IF(Monthly!E$4=TRUE,0,Monthly!E$17),IF(I$69&gt;$F75+1,H75*(1-IF(I$69-$F75&lt;=12,SUMIFS('Attrition Modeling'!$D:$D,'Attrition Modeling'!$B:$B,$E75,'Attrition Modeling'!$C:$C,I$68),VLOOKUP(I$69-$F75-1,$A$7:$C$161,2,FALSE)*VLOOKUP(I$1,'Attrition Modeling'!$L$15:$N$27,IF(I$2-$F8&lt;=24,2,3),FALSE))*(1+Projection!K$16)*(1+IF(I140&gt;0,'Attrition Modeling'!$N$9,0))),0))</f>
        <v>0</v>
      </c>
      <c r="J75" s="799">
        <f>IF(J$69=$F75+1,IF(Monthly!F$4=TRUE,0,Monthly!F$17),IF(J$69&gt;$F75+1,I75*(1-IF(J$69-$F75&lt;=12,SUMIFS('Attrition Modeling'!$D:$D,'Attrition Modeling'!$B:$B,$E75,'Attrition Modeling'!$C:$C,J$68),VLOOKUP(J$69-$F75-1,$A$7:$C$161,2,FALSE)*VLOOKUP(J$1,'Attrition Modeling'!$L$15:$N$27,IF(J$2-$F8&lt;=24,2,3),FALSE))*(1+Projection!L$16)*(1+IF(J140&gt;0,'Attrition Modeling'!$N$9,0))),0))</f>
        <v>0</v>
      </c>
      <c r="K75" s="799">
        <f>IF(K$69=$F75+1,IF(Monthly!G$4=TRUE,0,Monthly!G$17),IF(K$69&gt;$F75+1,J75*(1-IF(K$69-$F75&lt;=12,SUMIFS('Attrition Modeling'!$D:$D,'Attrition Modeling'!$B:$B,$E75,'Attrition Modeling'!$C:$C,K$68),VLOOKUP(K$69-$F75-1,$A$7:$C$161,2,FALSE)*VLOOKUP(K$1,'Attrition Modeling'!$L$15:$N$27,IF(K$2-$F8&lt;=24,2,3),FALSE))*(1+Projection!M$16)*(1+IF(K140&gt;0,'Attrition Modeling'!$N$9,0))),0))</f>
        <v>0</v>
      </c>
      <c r="L75" s="799">
        <f>IF(L$69=$F75+1,IF(Monthly!H$4=TRUE,0,Monthly!H$17),IF(L$69&gt;$F75+1,K75*(1-IF(L$69-$F75&lt;=12,SUMIFS('Attrition Modeling'!$D:$D,'Attrition Modeling'!$B:$B,$E75,'Attrition Modeling'!$C:$C,L$68),VLOOKUP(L$69-$F75-1,$A$7:$C$161,2,FALSE)*VLOOKUP(L$1,'Attrition Modeling'!$L$15:$N$27,IF(L$2-$F8&lt;=24,2,3),FALSE))*(1+Projection!N$16)*(1+IF(L140&gt;0,'Attrition Modeling'!$N$9,0))),0))</f>
        <v>0</v>
      </c>
      <c r="M75" s="799">
        <f>IF(M$69=$F75+1,IF(Monthly!I$4=TRUE,0,Monthly!I$17),IF(M$69&gt;$F75+1,L75*(1-IF(M$69-$F75&lt;=12,SUMIFS('Attrition Modeling'!$D:$D,'Attrition Modeling'!$B:$B,$E75,'Attrition Modeling'!$C:$C,M$68),VLOOKUP(M$69-$F75-1,$A$7:$C$161,2,FALSE)*VLOOKUP(M$1,'Attrition Modeling'!$L$15:$N$27,IF(M$2-$F8&lt;=24,2,3),FALSE))*(1+Projection!O$16)*(1+IF(M140&gt;0,'Attrition Modeling'!$N$9,0))),0))</f>
        <v>5304.6663409112844</v>
      </c>
      <c r="N75" s="799">
        <f>IF(N$69=$F75+1,IF(Monthly!J$4=TRUE,0,Monthly!J$17),IF(N$69&gt;$F75+1,M75*(1-IF(N$69-$F75&lt;=12,SUMIFS('Attrition Modeling'!$D:$D,'Attrition Modeling'!$B:$B,$E75,'Attrition Modeling'!$C:$C,N$68),VLOOKUP(N$69-$F75-1,$A$7:$C$161,2,FALSE)*VLOOKUP(N$1,'Attrition Modeling'!$L$15:$N$27,IF(N$2-$F8&lt;=24,2,3),FALSE))*(1+Projection!P$16)*(1+IF(N140&gt;0,'Attrition Modeling'!$N$9,0))),0))</f>
        <v>4719.9695723503855</v>
      </c>
      <c r="O75" s="799">
        <f>IF(O$69=$F75+1,IF(Monthly!K$4=TRUE,0,Monthly!K$17),IF(O$69&gt;$F75+1,N75*(1-IF(O$69-$F75&lt;=12,SUMIFS('Attrition Modeling'!$D:$D,'Attrition Modeling'!$B:$B,$E75,'Attrition Modeling'!$C:$C,O$68),VLOOKUP(O$69-$F75-1,$A$7:$C$161,2,FALSE)*VLOOKUP(O$1,'Attrition Modeling'!$L$15:$N$27,IF(O$2-$F8&lt;=24,2,3),FALSE))*(1+Projection!Q$16)*(1+IF(O140&gt;0,'Attrition Modeling'!$N$9,0))),0))</f>
        <v>4090.3454552710482</v>
      </c>
      <c r="P75" s="799">
        <f>IF(P$69=$F75+1,IF(Monthly!L$4=TRUE,0,Monthly!L$17),IF(P$69&gt;$F75+1,O75*(1-IF(P$69-$F75&lt;=12,SUMIFS('Attrition Modeling'!$D:$D,'Attrition Modeling'!$B:$B,$E75,'Attrition Modeling'!$C:$C,P$68),VLOOKUP(P$69-$F75-1,$A$7:$C$161,2,FALSE)*VLOOKUP(P$1,'Attrition Modeling'!$L$15:$N$27,IF(P$2-$F8&lt;=24,2,3),FALSE))*(1+Projection!R$16)*(1+IF(P140&gt;0,'Attrition Modeling'!$N$9,0))),0))</f>
        <v>3641.9826472260579</v>
      </c>
      <c r="Q75" s="799">
        <f>IF(Q$69=$F75+1,IF(Monthly!M$4=TRUE,0,Monthly!M$17),IF(Q$69&gt;$F75+1,P75*(1-IF(Q$69-$F75&lt;=12,SUMIFS('Attrition Modeling'!$D:$D,'Attrition Modeling'!$B:$B,$E75,'Attrition Modeling'!$C:$C,Q$68),VLOOKUP(Q$69-$F75-1,$A$7:$C$161,2,FALSE)*VLOOKUP(Q$1,'Attrition Modeling'!$L$15:$N$27,IF(Q$2-$F8&lt;=24,2,3),FALSE))*(1+Projection!S$16)*(1+IF(Q140&gt;0,'Attrition Modeling'!$N$9,0))),0))</f>
        <v>3305.858969937859</v>
      </c>
      <c r="R75" s="799">
        <f>IF(R$69=$F75+1,IF(Monthly!N$4=TRUE,0,Monthly!N$17),IF(R$69&gt;$F75+1,Q75*(1-IF(R$69-$F75&lt;=12,SUMIFS('Attrition Modeling'!$D:$D,'Attrition Modeling'!$B:$B,$E75,'Attrition Modeling'!$C:$C,R$68),VLOOKUP(R$69-$F75-1,$A$7:$C$161,2,FALSE)*VLOOKUP(R$1,'Attrition Modeling'!$L$15:$N$27,IF(R$2-$F8&lt;=24,2,3),FALSE))*(1+Projection!T$16)*(1+IF(R140&gt;0,'Attrition Modeling'!$N$9,0))),0))</f>
        <v>2943.506650951992</v>
      </c>
      <c r="S75" s="799">
        <f>IF(S$69=$F75+1,IF(Monthly!O$4=TRUE,0,Monthly!O$17),IF(S$69&gt;$F75+1,R75*(1-IF(S$69-$F75&lt;=12,SUMIFS('Attrition Modeling'!$D:$D,'Attrition Modeling'!$B:$B,$E75,'Attrition Modeling'!$C:$C,S$68),VLOOKUP(S$69-$F75-1,$A$7:$C$161,2,FALSE)*VLOOKUP(S$1,'Attrition Modeling'!$L$15:$N$27,IF(S$2-$F8&lt;=24,2,3),FALSE))*(1+Projection!U$16)*(1+IF(S140&gt;0,'Attrition Modeling'!$N$9,0))),0))</f>
        <v>2717.187047450258</v>
      </c>
      <c r="T75" s="799">
        <f>IF(T$69=$F75+1,IF(Monthly!P$4=TRUE,0,Monthly!P$17),IF(T$69&gt;$F75+1,S75*(1-IF(T$69-$F75&lt;=12,SUMIFS('Attrition Modeling'!$D:$D,'Attrition Modeling'!$B:$B,$E75,'Attrition Modeling'!$C:$C,T$68),VLOOKUP(T$69-$F75-1,$A$7:$C$161,2,FALSE)*VLOOKUP(T$1,'Attrition Modeling'!$L$15:$N$27,IF(T$2-$F8&lt;=24,2,3),FALSE))*(1+Projection!V$16)*(1+IF(T140&gt;0,'Attrition Modeling'!$N$9,0))),0))</f>
        <v>2541.2657337969727</v>
      </c>
      <c r="U75" s="799">
        <f>IF(U$69=$F75+1,IF(Monthly!Q$4=TRUE,0,Monthly!Q$17),IF(U$69&gt;$F75+1,T75*(1-IF(U$69-$F75&lt;=12,SUMIFS('Attrition Modeling'!$D:$D,'Attrition Modeling'!$B:$B,$E75,'Attrition Modeling'!$C:$C,U$68),VLOOKUP(U$69-$F75-1,$A$7:$C$161,2,FALSE)*VLOOKUP(U$1,'Attrition Modeling'!$L$15:$N$27,IF(U$2-$F8&lt;=24,2,3),FALSE))*(1+Projection!W$16)*(1+IF(U140&gt;0,'Attrition Modeling'!$N$9,0))),0))</f>
        <v>2398.4646425442929</v>
      </c>
      <c r="V75" s="799">
        <f>IF(V$69=$F75+1,IF(Monthly!R$4=TRUE,0,Monthly!R$17),IF(V$69&gt;$F75+1,U75*(1-IF(V$69-$F75&lt;=12,SUMIFS('Attrition Modeling'!$D:$D,'Attrition Modeling'!$B:$B,$E75,'Attrition Modeling'!$C:$C,V$68),VLOOKUP(V$69-$F75-1,$A$7:$C$161,2,FALSE)*VLOOKUP(V$1,'Attrition Modeling'!$L$15:$N$27,IF(V$2-$F8&lt;=24,2,3),FALSE))*(1+Projection!X$16)*(1+IF(V140&gt;0,'Attrition Modeling'!$N$9,0))),0))</f>
        <v>2261.6958179848148</v>
      </c>
      <c r="W75" s="799">
        <f>IF(W$69=$F75+1,IF(Monthly!S$4=TRUE,0,Monthly!S$17),IF(W$69&gt;$F75+1,V75*(1-IF(W$69-$F75&lt;=12,SUMIFS('Attrition Modeling'!$D:$D,'Attrition Modeling'!$B:$B,$E75,'Attrition Modeling'!$C:$C,W$68),VLOOKUP(W$69-$F75-1,$A$7:$C$161,2,FALSE)*VLOOKUP(W$1,'Attrition Modeling'!$L$15:$N$27,IF(W$2-$F8&lt;=24,2,3),FALSE))*(1+Projection!Y$16)*(1+IF(W140&gt;0,'Attrition Modeling'!$N$9,0))),0))</f>
        <v>2140.5480588774999</v>
      </c>
      <c r="X75" s="799">
        <f>IF(X$69=$F75+1,IF(Monthly!T$4=TRUE,0,Monthly!T$17),IF(X$69&gt;$F75+1,W75*(1-IF(X$69-$F75&lt;=12,SUMIFS('Attrition Modeling'!$D:$D,'Attrition Modeling'!$B:$B,$E75,'Attrition Modeling'!$C:$C,X$68),VLOOKUP(X$69-$F75-1,$A$7:$C$161,2,FALSE)*VLOOKUP(X$1,'Attrition Modeling'!$L$15:$N$27,IF(X$2-$F8&lt;=24,2,3),FALSE))*(1+Projection!Z$16)*(1+IF(X140&gt;0,'Attrition Modeling'!$N$9,0))),0))</f>
        <v>2087.6478384792367</v>
      </c>
      <c r="Y75" s="799">
        <f>IF(Y$69=$F75+1,IF(Monthly!U$4=TRUE,0,Monthly!U$17),IF(Y$69&gt;$F75+1,X75*(1-IF(Y$69-$F75&lt;=12,SUMIFS('Attrition Modeling'!$D:$D,'Attrition Modeling'!$B:$B,$E75,'Attrition Modeling'!$C:$C,Y$68),VLOOKUP(Y$69-$F75-1,$A$7:$C$161,2,FALSE)*VLOOKUP(Y$1,'Attrition Modeling'!$L$15:$N$27,IF(Y$2-$F8&lt;=24,2,3),FALSE))*(1+Projection!AA$16)*(1+IF(Y140&gt;0,'Attrition Modeling'!$N$9,0))),0))</f>
        <v>1969.3622544986797</v>
      </c>
      <c r="Z75" s="799">
        <f>IF(Z$69=$F75+1,IF(Monthly!V$4=TRUE,0,Monthly!V$17),IF(Z$69&gt;$F75+1,Y75*(1-IF(Z$69-$F75&lt;=12,SUMIFS('Attrition Modeling'!$D:$D,'Attrition Modeling'!$B:$B,$E75,'Attrition Modeling'!$C:$C,Z$68),VLOOKUP(Z$69-$F75-1,$A$7:$C$161,2,FALSE)*VLOOKUP(Z$1,'Attrition Modeling'!$L$15:$N$27,IF(Z$2-$F8&lt;=24,2,3),FALSE))*(1+Projection!AB$16)*(1+IF(Z140&gt;0,'Attrition Modeling'!$N$9,0))),0))</f>
        <v>1863.960168580089</v>
      </c>
      <c r="AA75" s="799">
        <f>IF(AA$69=$F75+1,IF(Monthly!W$4=TRUE,0,Monthly!W$17),IF(AA$69&gt;$F75+1,Z75*(1-IF(AA$69-$F75&lt;=12,SUMIFS('Attrition Modeling'!$D:$D,'Attrition Modeling'!$B:$B,$E75,'Attrition Modeling'!$C:$C,AA$68),VLOOKUP(AA$69-$F75-1,$A$7:$C$161,2,FALSE)*VLOOKUP(AA$1,'Attrition Modeling'!$L$15:$N$27,IF(AA$2-$F8&lt;=24,2,3),FALSE))*(1+Projection!AC$16)*(1+IF(AA140&gt;0,'Attrition Modeling'!$N$9,0))),0))</f>
        <v>1764.8879218376073</v>
      </c>
      <c r="AB75" s="799">
        <f>IF(AB$69=$F75+1,IF(Monthly!X$4=TRUE,0,Monthly!X$17),IF(AB$69&gt;$F75+1,AA75*(1-IF(AB$69-$F75&lt;=12,SUMIFS('Attrition Modeling'!$D:$D,'Attrition Modeling'!$B:$B,$E75,'Attrition Modeling'!$C:$C,AB$68),VLOOKUP(AB$69-$F75-1,$A$7:$C$161,2,FALSE)*VLOOKUP(AB$1,'Attrition Modeling'!$L$15:$N$27,IF(AB$2-$F8&lt;=24,2,3),FALSE))*(1+Projection!AD$16)*(1+IF(AB140&gt;0,'Attrition Modeling'!$N$9,0))),0))</f>
        <v>1682.473396323878</v>
      </c>
      <c r="AC75" s="799">
        <f>IF(AC$69=$F75+1,IF(Monthly!Y$4=TRUE,0,Monthly!Y$17),IF(AC$69&gt;$F75+1,AB75*(1-IF(AC$69-$F75&lt;=12,SUMIFS('Attrition Modeling'!$D:$D,'Attrition Modeling'!$B:$B,$E75,'Attrition Modeling'!$C:$C,AC$68),VLOOKUP(AC$69-$F75-1,$A$7:$C$161,2,FALSE)*VLOOKUP(AC$1,'Attrition Modeling'!$L$15:$N$27,IF(AC$2-$F8&lt;=24,2,3),FALSE))*(1+Projection!AE$16)*(1+IF(AC140&gt;0,'Attrition Modeling'!$N$9,0))),0))</f>
        <v>1604.4536246899374</v>
      </c>
      <c r="AD75" s="799">
        <f>IF(AD$69=$F75+1,IF(Monthly!Z$4=TRUE,0,Monthly!Z$17),IF(AD$69&gt;$F75+1,AC75*(1-IF(AD$69-$F75&lt;=12,SUMIFS('Attrition Modeling'!$D:$D,'Attrition Modeling'!$B:$B,$E75,'Attrition Modeling'!$C:$C,AD$68),VLOOKUP(AD$69-$F75-1,$A$7:$C$161,2,FALSE)*VLOOKUP(AD$1,'Attrition Modeling'!$L$15:$N$27,IF(AD$2-$F8&lt;=24,2,3),FALSE))*(1+Projection!AF$16)*(1+IF(AD140&gt;0,'Attrition Modeling'!$N$9,0))),0))</f>
        <v>1520.6912842031438</v>
      </c>
      <c r="AE75" s="799">
        <f>IF(AE$69=$F75+1,IF(Monthly!AA$4=TRUE,0,Monthly!AA$17),IF(AE$69&gt;$F75+1,AD75*(1-IF(AE$69-$F75&lt;=12,SUMIFS('Attrition Modeling'!$D:$D,'Attrition Modeling'!$B:$B,$E75,'Attrition Modeling'!$C:$C,AE$68),VLOOKUP(AE$69-$F75-1,$A$7:$C$161,2,FALSE)*VLOOKUP(AE$1,'Attrition Modeling'!$L$15:$N$27,IF(AE$2-$F8&lt;=24,2,3),FALSE))*(1+Projection!AG$16)*(1+IF(AE140&gt;0,'Attrition Modeling'!$N$9,0))),0))</f>
        <v>1456.6334921388584</v>
      </c>
      <c r="AF75" s="799">
        <f>IF(AF$69=$F75+1,IF(Monthly!AB$4=TRUE,0,Monthly!AB$17),IF(AF$69&gt;$F75+1,AE75*(1-IF(AF$69-$F75&lt;=12,SUMIFS('Attrition Modeling'!$D:$D,'Attrition Modeling'!$B:$B,$E75,'Attrition Modeling'!$C:$C,AF$68),VLOOKUP(AF$69-$F75-1,$A$7:$C$161,2,FALSE)*VLOOKUP(AF$1,'Attrition Modeling'!$L$15:$N$27,IF(AF$2-$F8&lt;=24,2,3),FALSE))*(1+Projection!AH$16)*(1+IF(AF140&gt;0,'Attrition Modeling'!$N$9,0))),0))</f>
        <v>1396.3855922674215</v>
      </c>
      <c r="AG75" s="799">
        <f>IF(AG$69=$F75+1,IF(Monthly!AC$4=TRUE,0,Monthly!AC$17),IF(AG$69&gt;$F75+1,AF75*(1-IF(AG$69-$F75&lt;=12,SUMIFS('Attrition Modeling'!$D:$D,'Attrition Modeling'!$B:$B,$E75,'Attrition Modeling'!$C:$C,AG$68),VLOOKUP(AG$69-$F75-1,$A$7:$C$161,2,FALSE)*VLOOKUP(AG$1,'Attrition Modeling'!$L$15:$N$27,IF(AG$2-$F8&lt;=24,2,3),FALSE))*(1+Projection!AI$16)*(1+IF(AG140&gt;0,'Attrition Modeling'!$N$9,0))),0))</f>
        <v>1345.1737007132958</v>
      </c>
      <c r="AH75" s="799">
        <f>IF(AH$69=$F75+1,IF(Monthly!AD$4=TRUE,0,Monthly!AD$17),IF(AH$69&gt;$F75+1,AG75*(1-IF(AH$69-$F75&lt;=12,SUMIFS('Attrition Modeling'!$D:$D,'Attrition Modeling'!$B:$B,$E75,'Attrition Modeling'!$C:$C,AH$68),VLOOKUP(AH$69-$F75-1,$A$7:$C$161,2,FALSE)*VLOOKUP(AH$1,'Attrition Modeling'!$L$15:$N$27,IF(AH$2-$F8&lt;=24,2,3),FALSE))*(1+Projection!AJ$16)*(1+IF(AH140&gt;0,'Attrition Modeling'!$N$9,0))),0))</f>
        <v>1292.305897376546</v>
      </c>
      <c r="AI75" s="799">
        <f>IF(AI$69=$F75+1,IF(Monthly!AE$4=TRUE,0,Monthly!AE$17),IF(AI$69&gt;$F75+1,AH75*(1-IF(AI$69-$F75&lt;=12,SUMIFS('Attrition Modeling'!$D:$D,'Attrition Modeling'!$B:$B,$E75,'Attrition Modeling'!$C:$C,AI$68),VLOOKUP(AI$69-$F75-1,$A$7:$C$161,2,FALSE)*VLOOKUP(AI$1,'Attrition Modeling'!$L$15:$N$27,IF(AI$2-$F8&lt;=24,2,3),FALSE))*(1+Projection!AK$16)*(1+IF(AI140&gt;0,'Attrition Modeling'!$N$9,0))),0))</f>
        <v>1243.0812683554798</v>
      </c>
      <c r="AJ75" s="799">
        <f>IF(AJ$69=$F75+1,IF(Monthly!AF$4=TRUE,0,Monthly!AF$17),IF(AJ$69&gt;$F75+1,AI75*(1-IF(AJ$69-$F75&lt;=12,SUMIFS('Attrition Modeling'!$D:$D,'Attrition Modeling'!$B:$B,$E75,'Attrition Modeling'!$C:$C,AJ$68),VLOOKUP(AJ$69-$F75-1,$A$7:$C$161,2,FALSE)*VLOOKUP(AJ$1,'Attrition Modeling'!$L$15:$N$27,IF(AJ$2-$F8&lt;=24,2,3),FALSE))*(1+Projection!AL$16)*(1+IF(AJ140&gt;0,'Attrition Modeling'!$N$9,0))),0))</f>
        <v>1196.6918332272285</v>
      </c>
      <c r="AK75" s="799">
        <f>IF(AK$69=$F75+1,IF(Monthly!AG$4=TRUE,0,Monthly!AG$17),IF(AK$69&gt;$F75+1,AJ75*(1-IF(AK$69-$F75&lt;=12,SUMIFS('Attrition Modeling'!$D:$D,'Attrition Modeling'!$B:$B,$E75,'Attrition Modeling'!$C:$C,AK$68),VLOOKUP(AK$69-$F75-1,$A$7:$C$161,2,FALSE)*VLOOKUP(AK$1,'Attrition Modeling'!$L$15:$N$27,IF(AK$2-$F8&lt;=24,2,3),FALSE))*(1+Projection!AM$16)*(1+IF(AK140&gt;0,'Attrition Modeling'!$N$9,0))),0))</f>
        <v>1152.3192703913448</v>
      </c>
      <c r="AL75" s="799">
        <f>IF(AL$69=$F75+1,IF(Monthly!AH$4=TRUE,0,Monthly!AH$17),IF(AL$69&gt;$F75+1,AK75*(1-IF(AL$69-$F75&lt;=12,SUMIFS('Attrition Modeling'!$D:$D,'Attrition Modeling'!$B:$B,$E75,'Attrition Modeling'!$C:$C,AL$68),VLOOKUP(AL$69-$F75-1,$A$7:$C$161,2,FALSE)*VLOOKUP(AL$1,'Attrition Modeling'!$L$15:$N$27,IF(AL$2-$F8&lt;=24,2,3),FALSE))*(1+Projection!AN$16)*(1+IF(AL140&gt;0,'Attrition Modeling'!$N$9,0))),0))</f>
        <v>1106.4149528740584</v>
      </c>
      <c r="AM75" s="799">
        <f>IF(AM$69=$F75+1,IF(Monthly!AI$4=TRUE,0,Monthly!AI$17),IF(AM$69&gt;$F75+1,AL75*(1-IF(AM$69-$F75&lt;=12,SUMIFS('Attrition Modeling'!$D:$D,'Attrition Modeling'!$B:$B,$E75,'Attrition Modeling'!$C:$C,AM$68),VLOOKUP(AM$69-$F75-1,$A$7:$C$161,2,FALSE)*VLOOKUP(AM$1,'Attrition Modeling'!$L$15:$N$27,IF(AM$2-$F8&lt;=24,2,3),FALSE))*(1+Projection!AO$16)*(1+IF(AM140&gt;0,'Attrition Modeling'!$N$9,0))),0))</f>
        <v>1059.7244169509124</v>
      </c>
      <c r="AN75" s="799">
        <f>IF(AN$69=$F75+1,IF(Monthly!AJ$4=TRUE,0,Monthly!AJ$17),IF(AN$69&gt;$F75+1,AM75*(1-IF(AN$69-$F75&lt;=12,SUMIFS('Attrition Modeling'!$D:$D,'Attrition Modeling'!$B:$B,$E75,'Attrition Modeling'!$C:$C,AN$68),VLOOKUP(AN$69-$F75-1,$A$7:$C$161,2,FALSE)*VLOOKUP(AN$1,'Attrition Modeling'!$L$15:$N$27,IF(AN$2-$F8&lt;=24,2,3),FALSE))*(1+Projection!AP$16)*(1+IF(AN140&gt;0,'Attrition Modeling'!$N$9,0))),0))</f>
        <v>1018.2809325817093</v>
      </c>
      <c r="AO75" s="799">
        <f>IF(AO$69=$F75+1,IF(Monthly!AK$4=TRUE,0,Monthly!AK$17),IF(AO$69&gt;$F75+1,AN75*(1-IF(AO$69-$F75&lt;=12,SUMIFS('Attrition Modeling'!$D:$D,'Attrition Modeling'!$B:$B,$E75,'Attrition Modeling'!$C:$C,AO$68),VLOOKUP(AO$69-$F75-1,$A$7:$C$161,2,FALSE)*VLOOKUP(AO$1,'Attrition Modeling'!$L$15:$N$27,IF(AO$2-$F8&lt;=24,2,3),FALSE))*(1+Projection!AQ$16)*(1+IF(AO140&gt;0,'Attrition Modeling'!$N$9,0))),0))</f>
        <v>980.32324670387879</v>
      </c>
      <c r="AP75" s="799">
        <f>IF(AP$69=$F75+1,IF(Monthly!AL$4=TRUE,0,Monthly!AL$17),IF(AP$69&gt;$F75+1,AO75*(1-IF(AP$69-$F75&lt;=12,SUMIFS('Attrition Modeling'!$D:$D,'Attrition Modeling'!$B:$B,$E75,'Attrition Modeling'!$C:$C,AP$68),VLOOKUP(AP$69-$F75-1,$A$7:$C$161,2,FALSE)*VLOOKUP(AP$1,'Attrition Modeling'!$L$15:$N$27,IF(AP$2-$F8&lt;=24,2,3),FALSE))*(1+Projection!AR$16)*(1+IF(AP140&gt;0,'Attrition Modeling'!$N$9,0))),0))</f>
        <v>938.00050440194968</v>
      </c>
      <c r="AQ75" s="799">
        <f>IF(AQ$69=$F75+1,IF(Monthly!AM$4=TRUE,0,Monthly!AM$17),IF(AQ$69&gt;$F75+1,AP75*(1-IF(AQ$69-$F75&lt;=12,SUMIFS('Attrition Modeling'!$D:$D,'Attrition Modeling'!$B:$B,$E75,'Attrition Modeling'!$C:$C,AQ$68),VLOOKUP(AQ$69-$F75-1,$A$7:$C$161,2,FALSE)*VLOOKUP(AQ$1,'Attrition Modeling'!$L$15:$N$27,IF(AQ$2-$F8&lt;=24,2,3),FALSE))*(1+Projection!AS$16)*(1+IF(AQ140&gt;0,'Attrition Modeling'!$N$9,0))),0))</f>
        <v>910.53176698919196</v>
      </c>
      <c r="AR75" s="799">
        <f>IF(AR$69=$F75+1,IF(Monthly!AN$4=TRUE,0,Monthly!AN$17),IF(AR$69&gt;$F75+1,AQ75*(1-IF(AR$69-$F75&lt;=12,SUMIFS('Attrition Modeling'!$D:$D,'Attrition Modeling'!$B:$B,$E75,'Attrition Modeling'!$C:$C,AR$68),VLOOKUP(AR$69-$F75-1,$A$7:$C$161,2,FALSE)*VLOOKUP(AR$1,'Attrition Modeling'!$L$15:$N$27,IF(AR$2-$F8&lt;=24,2,3),FALSE))*(1+Projection!AT$16)*(1+IF(AR140&gt;0,'Attrition Modeling'!$N$9,0))),0))</f>
        <v>881.36503260033737</v>
      </c>
      <c r="AS75" s="799">
        <f>IF(AS$69=$F75+1,IF(Monthly!AO$4=TRUE,0,Monthly!AO$17),IF(AS$69&gt;$F75+1,AR75*(1-IF(AS$69-$F75&lt;=12,SUMIFS('Attrition Modeling'!$D:$D,'Attrition Modeling'!$B:$B,$E75,'Attrition Modeling'!$C:$C,AS$68),VLOOKUP(AS$69-$F75-1,$A$7:$C$161,2,FALSE)*VLOOKUP(AS$1,'Attrition Modeling'!$L$15:$N$27,IF(AS$2-$F8&lt;=24,2,3),FALSE))*(1+Projection!AU$16)*(1+IF(AS140&gt;0,'Attrition Modeling'!$N$9,0))),0))</f>
        <v>854.33874697758097</v>
      </c>
      <c r="AT75" s="799">
        <f>IF(AT$69=$F75+1,IF(Monthly!AP$4=TRUE,0,Monthly!AP$17),IF(AT$69&gt;$F75+1,AS75*(1-IF(AT$69-$F75&lt;=12,SUMIFS('Attrition Modeling'!$D:$D,'Attrition Modeling'!$B:$B,$E75,'Attrition Modeling'!$C:$C,AT$68),VLOOKUP(AT$69-$F75-1,$A$7:$C$161,2,FALSE)*VLOOKUP(AT$1,'Attrition Modeling'!$L$15:$N$27,IF(AT$2-$F8&lt;=24,2,3),FALSE))*(1+Projection!AV$16)*(1+IF(AT140&gt;0,'Attrition Modeling'!$N$9,0))),0))</f>
        <v>829.53043665281461</v>
      </c>
      <c r="AU75" s="799">
        <f>IF(AU$69=$F75+1,IF(Monthly!AQ$4=TRUE,0,Monthly!AQ$17),IF(AU$69&gt;$F75+1,AT75*(1-IF(AU$69-$F75&lt;=12,SUMIFS('Attrition Modeling'!$D:$D,'Attrition Modeling'!$B:$B,$E75,'Attrition Modeling'!$C:$C,AU$68),VLOOKUP(AU$69-$F75-1,$A$7:$C$161,2,FALSE)*VLOOKUP(AU$1,'Attrition Modeling'!$L$15:$N$27,IF(AU$2-$F8&lt;=24,2,3),FALSE))*(1+Projection!AW$16)*(1+IF(AU140&gt;0,'Attrition Modeling'!$N$9,0))),0))</f>
        <v>810.58966745399289</v>
      </c>
      <c r="AV75" s="799">
        <f>IF(AV$69=$F75+1,IF(Monthly!AR$4=TRUE,0,Monthly!AR$17),IF(AV$69&gt;$F75+1,AU75*(1-IF(AV$69-$F75&lt;=12,SUMIFS('Attrition Modeling'!$D:$D,'Attrition Modeling'!$B:$B,$E75,'Attrition Modeling'!$C:$C,AV$68),VLOOKUP(AV$69-$F75-1,$A$7:$C$161,2,FALSE)*VLOOKUP(AV$1,'Attrition Modeling'!$L$15:$N$27,IF(AV$2-$F8&lt;=24,2,3),FALSE))*(1+Projection!AX$16)*(1+IF(AV140&gt;0,'Attrition Modeling'!$N$9,0))),0))</f>
        <v>788.4918694613707</v>
      </c>
      <c r="AW75" s="799">
        <f>IF(AW$69=$F75+1,IF(Monthly!AS$4=TRUE,0,Monthly!AS$17),IF(AW$69&gt;$F75+1,AV75*(1-IF(AW$69-$F75&lt;=12,SUMIFS('Attrition Modeling'!$D:$D,'Attrition Modeling'!$B:$B,$E75,'Attrition Modeling'!$C:$C,AW$68),VLOOKUP(AW$69-$F75-1,$A$7:$C$161,2,FALSE)*VLOOKUP(AW$1,'Attrition Modeling'!$L$15:$N$27,IF(AW$2-$F8&lt;=24,2,3),FALSE))*(1+Projection!AY$16)*(1+IF(AW140&gt;0,'Attrition Modeling'!$N$9,0))),0))</f>
        <v>764.22503579394845</v>
      </c>
      <c r="AX75" s="799">
        <f>IF(AX$69=$F75+1,IF(Monthly!AT$4=TRUE,0,Monthly!AT$17),IF(AX$69&gt;$F75+1,AW75*(1-IF(AX$69-$F75&lt;=12,SUMIFS('Attrition Modeling'!$D:$D,'Attrition Modeling'!$B:$B,$E75,'Attrition Modeling'!$C:$C,AX$68),VLOOKUP(AX$69-$F75-1,$A$7:$C$161,2,FALSE)*VLOOKUP(AX$1,'Attrition Modeling'!$L$15:$N$27,IF(AX$2-$F8&lt;=24,2,3),FALSE))*(1+Projection!AZ$16)*(1+IF(AX140&gt;0,'Attrition Modeling'!$N$9,0))),0))</f>
        <v>738.87197809679174</v>
      </c>
      <c r="AY75" s="799">
        <f>IF(AY$69=$F75+1,IF(Monthly!AU$4=TRUE,0,Monthly!AU$17),IF(AY$69&gt;$F75+1,AX75*(1-IF(AY$69-$F75&lt;=12,SUMIFS('Attrition Modeling'!$D:$D,'Attrition Modeling'!$B:$B,$E75,'Attrition Modeling'!$C:$C,AY$68),VLOOKUP(AY$69-$F75-1,$A$7:$C$161,2,FALSE)*VLOOKUP(AY$1,'Attrition Modeling'!$L$15:$N$27,IF(AY$2-$F8&lt;=24,2,3),FALSE))*(1+Projection!BA$16)*(1+IF(AY140&gt;0,'Attrition Modeling'!$N$9,0))),0))</f>
        <v>712.82470533896594</v>
      </c>
      <c r="AZ75" s="799">
        <f>IF(AZ$69=$F75+1,IF(Monthly!AV$4=TRUE,0,Monthly!AV$17),IF(AZ$69&gt;$F75+1,AY75*(1-IF(AZ$69-$F75&lt;=12,SUMIFS('Attrition Modeling'!$D:$D,'Attrition Modeling'!$B:$B,$E75,'Attrition Modeling'!$C:$C,AZ$68),VLOOKUP(AZ$69-$F75-1,$A$7:$C$161,2,FALSE)*VLOOKUP(AZ$1,'Attrition Modeling'!$L$15:$N$27,IF(AZ$2-$F8&lt;=24,2,3),FALSE))*(1+Projection!BB$16)*(1+IF(AZ140&gt;0,'Attrition Modeling'!$N$9,0))),0))</f>
        <v>689.46865669556689</v>
      </c>
      <c r="BA75" s="799">
        <f>IF(BA$69=$F75+1,IF(Monthly!AW$4=TRUE,0,Monthly!AW$17),IF(BA$69&gt;$F75+1,AZ75*(1-IF(BA$69-$F75&lt;=12,SUMIFS('Attrition Modeling'!$D:$D,'Attrition Modeling'!$B:$B,$E75,'Attrition Modeling'!$C:$C,BA$68),VLOOKUP(BA$69-$F75-1,$A$7:$C$161,2,FALSE)*VLOOKUP(BA$1,'Attrition Modeling'!$L$15:$N$27,IF(BA$2-$F8&lt;=24,2,3),FALSE))*(1+Projection!BC$16)*(1+IF(BA140&gt;0,'Attrition Modeling'!$N$9,0))),0))</f>
        <v>667.87653731473472</v>
      </c>
      <c r="BB75" s="799">
        <f>IF(BB$69=$F75+1,IF(Monthly!AX$4=TRUE,0,Monthly!AX$17),IF(BB$69&gt;$F75+1,BA75*(1-IF(BB$69-$F75&lt;=12,SUMIFS('Attrition Modeling'!$D:$D,'Attrition Modeling'!$B:$B,$E75,'Attrition Modeling'!$C:$C,BB$68),VLOOKUP(BB$69-$F75-1,$A$7:$C$161,2,FALSE)*VLOOKUP(BB$1,'Attrition Modeling'!$L$15:$N$27,IF(BB$2-$F8&lt;=24,2,3),FALSE))*(1+Projection!BD$16)*(1+IF(BB140&gt;0,'Attrition Modeling'!$N$9,0))),0))</f>
        <v>643.58946692189465</v>
      </c>
      <c r="BC75" s="799">
        <f>IF(BC$69=$F75+1,IF(Monthly!AY$4=TRUE,0,Monthly!AY$17),IF(BC$69&gt;$F75+1,BB75*(1-IF(BC$69-$F75&lt;=12,SUMIFS('Attrition Modeling'!$D:$D,'Attrition Modeling'!$B:$B,$E75,'Attrition Modeling'!$C:$C,BC$68),VLOOKUP(BC$69-$F75-1,$A$7:$C$161,2,FALSE)*VLOOKUP(BC$1,'Attrition Modeling'!$L$15:$N$27,IF(BC$2-$F8&lt;=24,2,3),FALSE))*(1+Projection!BE$16)*(1+IF(BC140&gt;0,'Attrition Modeling'!$N$9,0))),0))</f>
        <v>627.67541184153231</v>
      </c>
      <c r="BD75" s="799">
        <f>IF(BD$69=$F75+1,IF(Monthly!AZ$4=TRUE,0,Monthly!AZ$17),IF(BD$69&gt;$F75+1,BC75*(1-IF(BD$69-$F75&lt;=12,SUMIFS('Attrition Modeling'!$D:$D,'Attrition Modeling'!$B:$B,$E75,'Attrition Modeling'!$C:$C,BD$68),VLOOKUP(BD$69-$F75-1,$A$7:$C$161,2,FALSE)*VLOOKUP(BD$1,'Attrition Modeling'!$L$15:$N$27,IF(BD$2-$F8&lt;=24,2,3),FALSE))*(1+Projection!BF$16)*(1+IF(BD140&gt;0,'Attrition Modeling'!$N$9,0))),0))</f>
        <v>610.65904001038064</v>
      </c>
      <c r="BE75" s="799">
        <f>IF(BE$69=$F75+1,IF(Monthly!BA$4=TRUE,0,Monthly!BA$17),IF(BE$69&gt;$F75+1,BD75*(1-IF(BE$69-$F75&lt;=12,SUMIFS('Attrition Modeling'!$D:$D,'Attrition Modeling'!$B:$B,$E75,'Attrition Modeling'!$C:$C,BE$68),VLOOKUP(BE$69-$F75-1,$A$7:$C$161,2,FALSE)*VLOOKUP(BE$1,'Attrition Modeling'!$L$15:$N$27,IF(BE$2-$F8&lt;=24,2,3),FALSE))*(1+Projection!BG$16)*(1+IF(BE140&gt;0,'Attrition Modeling'!$N$9,0))),0))</f>
        <v>594.77661779402467</v>
      </c>
      <c r="BF75" s="799">
        <f>IF(BF$69=$F75+1,IF(Monthly!BB$4=TRUE,0,Monthly!BB$17),IF(BF$69&gt;$F75+1,BE75*(1-IF(BF$69-$F75&lt;=12,SUMIFS('Attrition Modeling'!$D:$D,'Attrition Modeling'!$B:$B,$E75,'Attrition Modeling'!$C:$C,BF$68),VLOOKUP(BF$69-$F75-1,$A$7:$C$161,2,FALSE)*VLOOKUP(BF$1,'Attrition Modeling'!$L$15:$N$27,IF(BF$2-$F8&lt;=24,2,3),FALSE))*(1+Projection!BH$16)*(1+IF(BF140&gt;0,'Attrition Modeling'!$N$9,0))),0))</f>
        <v>580.097295411559</v>
      </c>
      <c r="BG75" s="799">
        <f>IF(BG$69=$F75+1,IF(Monthly!BC$4=TRUE,0,Monthly!BC$17),IF(BG$69&gt;$F75+1,BF75*(1-IF(BG$69-$F75&lt;=12,SUMIFS('Attrition Modeling'!$D:$D,'Attrition Modeling'!$B:$B,$E75,'Attrition Modeling'!$C:$C,BG$68),VLOOKUP(BG$69-$F75-1,$A$7:$C$161,2,FALSE)*VLOOKUP(BG$1,'Attrition Modeling'!$L$15:$N$27,IF(BG$2-$F8&lt;=24,2,3),FALSE))*(1+Projection!BI$16)*(1+IF(BG140&gt;0,'Attrition Modeling'!$N$9,0))),0))</f>
        <v>568.8174858516071</v>
      </c>
      <c r="BH75" s="799">
        <f>IF(BH$69=$F75+1,IF(Monthly!BD$4=TRUE,0,Monthly!BD$17),IF(BH$69&gt;$F75+1,BG75*(1-IF(BH$69-$F75&lt;=12,SUMIFS('Attrition Modeling'!$D:$D,'Attrition Modeling'!$B:$B,$E75,'Attrition Modeling'!$C:$C,BH$68),VLOOKUP(BH$69-$F75-1,$A$7:$C$161,2,FALSE)*VLOOKUP(BH$1,'Attrition Modeling'!$L$15:$N$27,IF(BH$2-$F8&lt;=24,2,3),FALSE))*(1+Projection!BJ$16)*(1+IF(BH140&gt;0,'Attrition Modeling'!$N$9,0))),0))</f>
        <v>555.58738029414121</v>
      </c>
      <c r="BI75" s="799">
        <f>IF(BI$69=$F75+1,IF(Monthly!BE$4=TRUE,0,Monthly!BE$17),IF(BI$69&gt;$F75+1,BH75*(1-IF(BI$69-$F75&lt;=12,SUMIFS('Attrition Modeling'!$D:$D,'Attrition Modeling'!$B:$B,$E75,'Attrition Modeling'!$C:$C,BI$68),VLOOKUP(BI$69-$F75-1,$A$7:$C$161,2,FALSE)*VLOOKUP(BI$1,'Attrition Modeling'!$L$15:$N$27,IF(BI$2-$F8&lt;=24,2,3),FALSE))*(1+Projection!BK$16)*(1+IF(BI140&gt;0,'Attrition Modeling'!$N$9,0))),0))</f>
        <v>541.07132193032805</v>
      </c>
      <c r="BJ75" s="799">
        <f>IF(BJ$69=$F75+1,IF(Monthly!BF$4=TRUE,0,Monthly!BF$17),IF(BJ$69&gt;$F75+1,BI75*(1-IF(BJ$69-$F75&lt;=12,SUMIFS('Attrition Modeling'!$D:$D,'Attrition Modeling'!$B:$B,$E75,'Attrition Modeling'!$C:$C,BJ$68),VLOOKUP(BJ$69-$F75-1,$A$7:$C$161,2,FALSE)*VLOOKUP(BJ$1,'Attrition Modeling'!$L$15:$N$27,IF(BJ$2-$F8&lt;=24,2,3),FALSE))*(1+Projection!BL$16)*(1+IF(BJ140&gt;0,'Attrition Modeling'!$N$9,0))),0))</f>
        <v>525.80967641396023</v>
      </c>
      <c r="BK75" s="799">
        <f>IF(BK$69=$F75+1,IF(Monthly!BG$4=TRUE,0,Monthly!BG$17),IF(BK$69&gt;$F75+1,BJ75*(1-IF(BK$69-$F75&lt;=12,SUMIFS('Attrition Modeling'!$D:$D,'Attrition Modeling'!$B:$B,$E75,'Attrition Modeling'!$C:$C,BK$68),VLOOKUP(BK$69-$F75-1,$A$7:$C$161,2,FALSE)*VLOOKUP(BK$1,'Attrition Modeling'!$L$15:$N$27,IF(BK$2-$F8&lt;=24,2,3),FALSE))*(1+Projection!BM$16)*(1+IF(BK140&gt;0,'Attrition Modeling'!$N$9,0))),0))</f>
        <v>510.02700115005672</v>
      </c>
      <c r="BL75" s="799">
        <f>IF(BL$69=$F75+1,IF(Monthly!BH$4=TRUE,0,Monthly!BH$17),IF(BL$69&gt;$F75+1,BK75*(1-IF(BL$69-$F75&lt;=12,SUMIFS('Attrition Modeling'!$D:$D,'Attrition Modeling'!$B:$B,$E75,'Attrition Modeling'!$C:$C,BL$68),VLOOKUP(BL$69-$F75-1,$A$7:$C$161,2,FALSE)*VLOOKUP(BL$1,'Attrition Modeling'!$L$15:$N$27,IF(BL$2-$F8&lt;=24,2,3),FALSE))*(1+Projection!BN$16)*(1+IF(BL140&gt;0,'Attrition Modeling'!$N$9,0))),0))</f>
        <v>495.77892942722781</v>
      </c>
      <c r="BM75" s="799">
        <f>IF(BM$69=$F75+1,IF(Monthly!BI$4=TRUE,0,Monthly!BI$17),IF(BM$69&gt;$F75+1,BL75*(1-IF(BM$69-$F75&lt;=12,SUMIFS('Attrition Modeling'!$D:$D,'Attrition Modeling'!$B:$B,$E75,'Attrition Modeling'!$C:$C,BM$68),VLOOKUP(BM$69-$F75-1,$A$7:$C$161,2,FALSE)*VLOOKUP(BM$1,'Attrition Modeling'!$L$15:$N$27,IF(BM$2-$F8&lt;=24,2,3),FALSE))*(1+Projection!BO$16)*(1+IF(BM140&gt;0,'Attrition Modeling'!$N$9,0))),0))</f>
        <v>482.52421101857556</v>
      </c>
      <c r="BN75" s="799">
        <f>IF(BN$69=$F75+1,IF(Monthly!BJ$4=TRUE,0,Monthly!BJ$17),IF(BN$69&gt;$F75+1,BM75*(1-IF(BN$69-$F75&lt;=12,SUMIFS('Attrition Modeling'!$D:$D,'Attrition Modeling'!$B:$B,$E75,'Attrition Modeling'!$C:$C,BN$68),VLOOKUP(BN$69-$F75-1,$A$7:$C$161,2,FALSE)*VLOOKUP(BN$1,'Attrition Modeling'!$L$15:$N$27,IF(BN$2-$F8&lt;=24,2,3),FALSE))*(1+Projection!BP$16)*(1+IF(BN140&gt;0,'Attrition Modeling'!$N$9,0))),0))</f>
        <v>467.52649702471666</v>
      </c>
      <c r="BO75" s="799">
        <f>IF(BO$69=$F75+1,IF(Monthly!BK$4=TRUE,0,Monthly!BK$17),IF(BO$69&gt;$F75+1,BN75*(1-IF(BO$69-$F75&lt;=12,SUMIFS('Attrition Modeling'!$D:$D,'Attrition Modeling'!$B:$B,$E75,'Attrition Modeling'!$C:$C,BO$68),VLOOKUP(BO$69-$F75-1,$A$7:$C$161,2,FALSE)*VLOOKUP(BO$1,'Attrition Modeling'!$L$15:$N$27,IF(BO$2-$F8&lt;=24,2,3),FALSE))*(1+Projection!BV$16)*(1+IF(BO140&gt;0,'Attrition Modeling'!$N$9,0))),0))</f>
        <v>457.63408749959126</v>
      </c>
      <c r="BP75" s="799">
        <f>IF(BP$69=$F75+1,IF(Monthly!BL$4=TRUE,0,Monthly!BL$17),IF(BP$69&gt;$F75+1,BO75*(1-IF(BP$69-$F75&lt;=12,SUMIFS('Attrition Modeling'!$D:$D,'Attrition Modeling'!$B:$B,$E75,'Attrition Modeling'!$C:$C,BP$68),VLOOKUP(BP$69-$F75-1,$A$7:$C$161,2,FALSE)*VLOOKUP(BP$1,'Attrition Modeling'!$L$15:$N$27,IF(BP$2-$F8&lt;=24,2,3),FALSE))*(1+Projection!BW$16)*(1+IF(BP140&gt;0,'Attrition Modeling'!$N$9,0))),0))</f>
        <v>447.0062672716154</v>
      </c>
      <c r="BQ75" s="799">
        <f>IF(BQ$69=$F75+1,IF(Monthly!BM$4=TRUE,0,Monthly!BM$17),IF(BQ$69&gt;$F75+1,BP75*(1-IF(BQ$69-$F75&lt;=12,SUMIFS('Attrition Modeling'!$D:$D,'Attrition Modeling'!$B:$B,$E75,'Attrition Modeling'!$C:$C,BQ$68),VLOOKUP(BQ$69-$F75-1,$A$7:$C$161,2,FALSE)*VLOOKUP(BQ$1,'Attrition Modeling'!$L$15:$N$27,IF(BQ$2-$F8&lt;=24,2,3),FALSE))*(1+Projection!BX$16)*(1+IF(BQ140&gt;0,'Attrition Modeling'!$N$9,0))),0))</f>
        <v>437.03684124593894</v>
      </c>
      <c r="BR75" s="799">
        <f>IF(BR$69=$F75+1,IF(Monthly!BN$4=TRUE,0,Monthly!BN$17),IF(BR$69&gt;$F75+1,BQ75*(1-IF(BR$69-$F75&lt;=12,SUMIFS('Attrition Modeling'!$D:$D,'Attrition Modeling'!$B:$B,$E75,'Attrition Modeling'!$C:$C,BR$68),VLOOKUP(BR$69-$F75-1,$A$7:$C$161,2,FALSE)*VLOOKUP(BR$1,'Attrition Modeling'!$L$15:$N$27,IF(BR$2-$F8&lt;=24,2,3),FALSE))*(1+Projection!BY$16)*(1+IF(BR140&gt;0,'Attrition Modeling'!$N$9,0))),0))</f>
        <v>427.7785839097337</v>
      </c>
      <c r="BS75" s="799">
        <f>IF(BS$69=$F75+1,IF(Monthly!BO$4=TRUE,0,Monthly!BO$17),IF(BS$69&gt;$F75+1,BR75*(1-IF(BS$69-$F75&lt;=12,SUMIFS('Attrition Modeling'!$D:$D,'Attrition Modeling'!$B:$B,$E75,'Attrition Modeling'!$C:$C,BS$68),VLOOKUP(BS$69-$F75-1,$A$7:$C$161,2,FALSE)*VLOOKUP(BS$1,'Attrition Modeling'!$L$15:$N$27,IF(BS$2-$F8&lt;=24,2,3),FALSE))*(1+Projection!BZ$16)*(1+IF(BS140&gt;0,'Attrition Modeling'!$N$9,0))),0))</f>
        <v>420.63236031878563</v>
      </c>
      <c r="BT75" s="799">
        <f>IF(BT$69=$F75+1,IF(Monthly!#REF!=TRUE,0,Monthly!#REF!),IF(BT$69&gt;$F75+1,BS75*(1-IF(BT$69-$F75&lt;=12,SUMIFS('Attrition Modeling'!$D:$D,'Attrition Modeling'!$B:$B,$E75,'Attrition Modeling'!$C:$C,BT$68),VLOOKUP(BT$69-$F75-1,$A$7:$C$161,2,FALSE)*VLOOKUP(BT$1,'Attrition Modeling'!$L$15:$N$27,IF(BT$2-$F8&lt;=24,2,3),FALSE))*(1+Projection!CA$16)*(1+IF(BT140&gt;0,'Attrition Modeling'!$N$9,0))),0))</f>
        <v>412.21985335427007</v>
      </c>
      <c r="BU75" s="799">
        <f>IF(BU$69=$F75+1,IF(Monthly!#REF!=TRUE,0,Monthly!#REF!),IF(BU$69&gt;$F75+1,BT75*(1-IF(BU$69-$F75&lt;=12,SUMIFS('Attrition Modeling'!$D:$D,'Attrition Modeling'!$B:$B,$E75,'Attrition Modeling'!$C:$C,BU$68),VLOOKUP(BU$69-$F75-1,$A$7:$C$161,2,FALSE)*VLOOKUP(BU$1,'Attrition Modeling'!$L$15:$N$27,IF(BU$2-$F8&lt;=24,2,3),FALSE))*(1+Projection!CB$16)*(1+IF(BU140&gt;0,'Attrition Modeling'!$N$9,0))),0))</f>
        <v>402.88858863500963</v>
      </c>
    </row>
    <row r="76" spans="1:73" ht="14.25" customHeight="1" x14ac:dyDescent="0.2">
      <c r="A76" s="9">
        <v>69</v>
      </c>
      <c r="B76" s="25">
        <f>MAX('Attrition Modeling'!H73,$C$3)*(1-Summary!$C$20)</f>
        <v>2.0052193504681723E-2</v>
      </c>
      <c r="C76" s="24" t="e">
        <f t="shared" si="4"/>
        <v>#DIV/0!</v>
      </c>
      <c r="E76" s="11">
        <f t="shared" si="9"/>
        <v>6</v>
      </c>
      <c r="F76" s="11">
        <f t="shared" si="10"/>
        <v>6</v>
      </c>
      <c r="G76" s="799"/>
      <c r="H76" s="799">
        <f>IF(H$69=$F76+1,IF(Monthly!D$4=TRUE,0,Monthly!D$17),IF(H$69&gt;$F76+1,G76*(1-IF(H$69-$F76&lt;=12,SUMIFS('Attrition Modeling'!$D:$D,'Attrition Modeling'!$B:$B,$E76,'Attrition Modeling'!$C:$C,H$68),VLOOKUP(H$69-$F76-1,$A$7:$C$161,2,FALSE)*VLOOKUP(H$1,'Attrition Modeling'!$L$15:$N$27,IF(H$2-$F9&lt;=24,2,3),FALSE))*(1+Projection!J$16)*(1+IF(H141&gt;0,'Attrition Modeling'!$N$9,0))),0))</f>
        <v>0</v>
      </c>
      <c r="I76" s="799">
        <f>IF(I$69=$F76+1,IF(Monthly!E$4=TRUE,0,Monthly!E$17),IF(I$69&gt;$F76+1,H76*(1-IF(I$69-$F76&lt;=12,SUMIFS('Attrition Modeling'!$D:$D,'Attrition Modeling'!$B:$B,$E76,'Attrition Modeling'!$C:$C,I$68),VLOOKUP(I$69-$F76-1,$A$7:$C$161,2,FALSE)*VLOOKUP(I$1,'Attrition Modeling'!$L$15:$N$27,IF(I$2-$F9&lt;=24,2,3),FALSE))*(1+Projection!K$16)*(1+IF(I141&gt;0,'Attrition Modeling'!$N$9,0))),0))</f>
        <v>0</v>
      </c>
      <c r="J76" s="799">
        <f>IF(J$69=$F76+1,IF(Monthly!F$4=TRUE,0,Monthly!F$17),IF(J$69&gt;$F76+1,I76*(1-IF(J$69-$F76&lt;=12,SUMIFS('Attrition Modeling'!$D:$D,'Attrition Modeling'!$B:$B,$E76,'Attrition Modeling'!$C:$C,J$68),VLOOKUP(J$69-$F76-1,$A$7:$C$161,2,FALSE)*VLOOKUP(J$1,'Attrition Modeling'!$L$15:$N$27,IF(J$2-$F9&lt;=24,2,3),FALSE))*(1+Projection!L$16)*(1+IF(J141&gt;0,'Attrition Modeling'!$N$9,0))),0))</f>
        <v>0</v>
      </c>
      <c r="K76" s="799">
        <f>IF(K$69=$F76+1,IF(Monthly!G$4=TRUE,0,Monthly!G$17),IF(K$69&gt;$F76+1,J76*(1-IF(K$69-$F76&lt;=12,SUMIFS('Attrition Modeling'!$D:$D,'Attrition Modeling'!$B:$B,$E76,'Attrition Modeling'!$C:$C,K$68),VLOOKUP(K$69-$F76-1,$A$7:$C$161,2,FALSE)*VLOOKUP(K$1,'Attrition Modeling'!$L$15:$N$27,IF(K$2-$F9&lt;=24,2,3),FALSE))*(1+Projection!M$16)*(1+IF(K141&gt;0,'Attrition Modeling'!$N$9,0))),0))</f>
        <v>0</v>
      </c>
      <c r="L76" s="799">
        <f>IF(L$69=$F76+1,IF(Monthly!H$4=TRUE,0,Monthly!H$17),IF(L$69&gt;$F76+1,K76*(1-IF(L$69-$F76&lt;=12,SUMIFS('Attrition Modeling'!$D:$D,'Attrition Modeling'!$B:$B,$E76,'Attrition Modeling'!$C:$C,L$68),VLOOKUP(L$69-$F76-1,$A$7:$C$161,2,FALSE)*VLOOKUP(L$1,'Attrition Modeling'!$L$15:$N$27,IF(L$2-$F9&lt;=24,2,3),FALSE))*(1+Projection!N$16)*(1+IF(L141&gt;0,'Attrition Modeling'!$N$9,0))),0))</f>
        <v>0</v>
      </c>
      <c r="M76" s="799">
        <f>IF(M$69=$F76+1,IF(Monthly!I$4=TRUE,0,Monthly!I$17),IF(M$69&gt;$F76+1,L76*(1-IF(M$69-$F76&lt;=12,SUMIFS('Attrition Modeling'!$D:$D,'Attrition Modeling'!$B:$B,$E76,'Attrition Modeling'!$C:$C,M$68),VLOOKUP(M$69-$F76-1,$A$7:$C$161,2,FALSE)*VLOOKUP(M$1,'Attrition Modeling'!$L$15:$N$27,IF(M$2-$F9&lt;=24,2,3),FALSE))*(1+Projection!O$16)*(1+IF(M141&gt;0,'Attrition Modeling'!$N$9,0))),0))</f>
        <v>0</v>
      </c>
      <c r="N76" s="799">
        <f>IF(N$69=$F76+1,IF(Monthly!J$4=TRUE,0,Monthly!J$17),IF(N$69&gt;$F76+1,M76*(1-IF(N$69-$F76&lt;=12,SUMIFS('Attrition Modeling'!$D:$D,'Attrition Modeling'!$B:$B,$E76,'Attrition Modeling'!$C:$C,N$68),VLOOKUP(N$69-$F76-1,$A$7:$C$161,2,FALSE)*VLOOKUP(N$1,'Attrition Modeling'!$L$15:$N$27,IF(N$2-$F9&lt;=24,2,3),FALSE))*(1+Projection!P$16)*(1+IF(N141&gt;0,'Attrition Modeling'!$N$9,0))),0))</f>
        <v>5233.6102339308454</v>
      </c>
      <c r="O76" s="799">
        <f>IF(O$69=$F76+1,IF(Monthly!K$4=TRUE,0,Monthly!K$17),IF(O$69&gt;$F76+1,N76*(1-IF(O$69-$F76&lt;=12,SUMIFS('Attrition Modeling'!$D:$D,'Attrition Modeling'!$B:$B,$E76,'Attrition Modeling'!$C:$C,O$68),VLOOKUP(O$69-$F76-1,$A$7:$C$161,2,FALSE)*VLOOKUP(O$1,'Attrition Modeling'!$L$15:$N$27,IF(O$2-$F9&lt;=24,2,3),FALSE))*(1+Projection!Q$16)*(1+IF(O141&gt;0,'Attrition Modeling'!$N$9,0))),0))</f>
        <v>4608.1121666564604</v>
      </c>
      <c r="P76" s="799">
        <f>IF(P$69=$F76+1,IF(Monthly!L$4=TRUE,0,Monthly!L$17),IF(P$69&gt;$F76+1,O76*(1-IF(P$69-$F76&lt;=12,SUMIFS('Attrition Modeling'!$D:$D,'Attrition Modeling'!$B:$B,$E76,'Attrition Modeling'!$C:$C,P$68),VLOOKUP(P$69-$F76-1,$A$7:$C$161,2,FALSE)*VLOOKUP(P$1,'Attrition Modeling'!$L$15:$N$27,IF(P$2-$F9&lt;=24,2,3),FALSE))*(1+Projection!R$16)*(1+IF(P141&gt;0,'Attrition Modeling'!$N$9,0))),0))</f>
        <v>4097.8517591416403</v>
      </c>
      <c r="Q76" s="799">
        <f>IF(Q$69=$F76+1,IF(Monthly!M$4=TRUE,0,Monthly!M$17),IF(Q$69&gt;$F76+1,P76*(1-IF(Q$69-$F76&lt;=12,SUMIFS('Attrition Modeling'!$D:$D,'Attrition Modeling'!$B:$B,$E76,'Attrition Modeling'!$C:$C,Q$68),VLOOKUP(Q$69-$F76-1,$A$7:$C$161,2,FALSE)*VLOOKUP(Q$1,'Attrition Modeling'!$L$15:$N$27,IF(Q$2-$F9&lt;=24,2,3),FALSE))*(1+Projection!S$16)*(1+IF(Q141&gt;0,'Attrition Modeling'!$N$9,0))),0))</f>
        <v>3716.1285491385256</v>
      </c>
      <c r="R76" s="799">
        <f>IF(R$69=$F76+1,IF(Monthly!N$4=TRUE,0,Monthly!N$17),IF(R$69&gt;$F76+1,Q76*(1-IF(R$69-$F76&lt;=12,SUMIFS('Attrition Modeling'!$D:$D,'Attrition Modeling'!$B:$B,$E76,'Attrition Modeling'!$C:$C,R$68),VLOOKUP(R$69-$F76-1,$A$7:$C$161,2,FALSE)*VLOOKUP(R$1,'Attrition Modeling'!$L$15:$N$27,IF(R$2-$F9&lt;=24,2,3),FALSE))*(1+Projection!T$16)*(1+IF(R141&gt;0,'Attrition Modeling'!$N$9,0))),0))</f>
        <v>3390.0515355305401</v>
      </c>
      <c r="S76" s="799">
        <f>IF(S$69=$F76+1,IF(Monthly!O$4=TRUE,0,Monthly!O$17),IF(S$69&gt;$F76+1,R76*(1-IF(S$69-$F76&lt;=12,SUMIFS('Attrition Modeling'!$D:$D,'Attrition Modeling'!$B:$B,$E76,'Attrition Modeling'!$C:$C,S$68),VLOOKUP(S$69-$F76-1,$A$7:$C$161,2,FALSE)*VLOOKUP(S$1,'Attrition Modeling'!$L$15:$N$27,IF(S$2-$F9&lt;=24,2,3),FALSE))*(1+Projection!U$16)*(1+IF(S141&gt;0,'Attrition Modeling'!$N$9,0))),0))</f>
        <v>3033.3674123819619</v>
      </c>
      <c r="T76" s="799">
        <f>IF(T$69=$F76+1,IF(Monthly!P$4=TRUE,0,Monthly!P$17),IF(T$69&gt;$F76+1,S76*(1-IF(T$69-$F76&lt;=12,SUMIFS('Attrition Modeling'!$D:$D,'Attrition Modeling'!$B:$B,$E76,'Attrition Modeling'!$C:$C,T$68),VLOOKUP(T$69-$F76-1,$A$7:$C$161,2,FALSE)*VLOOKUP(T$1,'Attrition Modeling'!$L$15:$N$27,IF(T$2-$F9&lt;=24,2,3),FALSE))*(1+Projection!V$16)*(1+IF(T141&gt;0,'Attrition Modeling'!$N$9,0))),0))</f>
        <v>2824.5578314637478</v>
      </c>
      <c r="U76" s="799">
        <f>IF(U$69=$F76+1,IF(Monthly!Q$4=TRUE,0,Monthly!Q$17),IF(U$69&gt;$F76+1,T76*(1-IF(U$69-$F76&lt;=12,SUMIFS('Attrition Modeling'!$D:$D,'Attrition Modeling'!$B:$B,$E76,'Attrition Modeling'!$C:$C,U$68),VLOOKUP(U$69-$F76-1,$A$7:$C$161,2,FALSE)*VLOOKUP(U$1,'Attrition Modeling'!$L$15:$N$27,IF(U$2-$F9&lt;=24,2,3),FALSE))*(1+Projection!W$16)*(1+IF(U141&gt;0,'Attrition Modeling'!$N$9,0))),0))</f>
        <v>2650.1015026142813</v>
      </c>
      <c r="V76" s="799">
        <f>IF(V$69=$F76+1,IF(Monthly!R$4=TRUE,0,Monthly!R$17),IF(V$69&gt;$F76+1,U76*(1-IF(V$69-$F76&lt;=12,SUMIFS('Attrition Modeling'!$D:$D,'Attrition Modeling'!$B:$B,$E76,'Attrition Modeling'!$C:$C,V$68),VLOOKUP(V$69-$F76-1,$A$7:$C$161,2,FALSE)*VLOOKUP(V$1,'Attrition Modeling'!$L$15:$N$27,IF(V$2-$F9&lt;=24,2,3),FALSE))*(1+Projection!X$16)*(1+IF(V141&gt;0,'Attrition Modeling'!$N$9,0))),0))</f>
        <v>2478.990358316828</v>
      </c>
      <c r="W76" s="799">
        <f>IF(W$69=$F76+1,IF(Monthly!S$4=TRUE,0,Monthly!S$17),IF(W$69&gt;$F76+1,V76*(1-IF(W$69-$F76&lt;=12,SUMIFS('Attrition Modeling'!$D:$D,'Attrition Modeling'!$B:$B,$E76,'Attrition Modeling'!$C:$C,W$68),VLOOKUP(W$69-$F76-1,$A$7:$C$161,2,FALSE)*VLOOKUP(W$1,'Attrition Modeling'!$L$15:$N$27,IF(W$2-$F9&lt;=24,2,3),FALSE))*(1+Projection!Y$16)*(1+IF(W141&gt;0,'Attrition Modeling'!$N$9,0))),0))</f>
        <v>2341.9905427182775</v>
      </c>
      <c r="X76" s="799">
        <f>IF(X$69=$F76+1,IF(Monthly!T$4=TRUE,0,Monthly!T$17),IF(X$69&gt;$F76+1,W76*(1-IF(X$69-$F76&lt;=12,SUMIFS('Attrition Modeling'!$D:$D,'Attrition Modeling'!$B:$B,$E76,'Attrition Modeling'!$C:$C,X$68),VLOOKUP(X$69-$F76-1,$A$7:$C$161,2,FALSE)*VLOOKUP(X$1,'Attrition Modeling'!$L$15:$N$27,IF(X$2-$F9&lt;=24,2,3),FALSE))*(1+Projection!Z$16)*(1+IF(X141&gt;0,'Attrition Modeling'!$N$9,0))),0))</f>
        <v>2207.7904095569761</v>
      </c>
      <c r="Y76" s="799">
        <f>IF(Y$69=$F76+1,IF(Monthly!U$4=TRUE,0,Monthly!U$17),IF(Y$69&gt;$F76+1,X76*(1-IF(Y$69-$F76&lt;=12,SUMIFS('Attrition Modeling'!$D:$D,'Attrition Modeling'!$B:$B,$E76,'Attrition Modeling'!$C:$C,Y$68),VLOOKUP(Y$69-$F76-1,$A$7:$C$161,2,FALSE)*VLOOKUP(Y$1,'Attrition Modeling'!$L$15:$N$27,IF(Y$2-$F9&lt;=24,2,3),FALSE))*(1+Projection!AA$16)*(1+IF(Y141&gt;0,'Attrition Modeling'!$N$9,0))),0))</f>
        <v>2144.3399924058831</v>
      </c>
      <c r="Z76" s="799">
        <f>IF(Z$69=$F76+1,IF(Monthly!V$4=TRUE,0,Monthly!V$17),IF(Z$69&gt;$F76+1,Y76*(1-IF(Z$69-$F76&lt;=12,SUMIFS('Attrition Modeling'!$D:$D,'Attrition Modeling'!$B:$B,$E76,'Attrition Modeling'!$C:$C,Z$68),VLOOKUP(Z$69-$F76-1,$A$7:$C$161,2,FALSE)*VLOOKUP(Z$1,'Attrition Modeling'!$L$15:$N$27,IF(Z$2-$F9&lt;=24,2,3),FALSE))*(1+Projection!AB$16)*(1+IF(Z141&gt;0,'Attrition Modeling'!$N$9,0))),0))</f>
        <v>2019.9663235537625</v>
      </c>
      <c r="AA76" s="799">
        <f>IF(AA$69=$F76+1,IF(Monthly!W$4=TRUE,0,Monthly!W$17),IF(AA$69&gt;$F76+1,Z76*(1-IF(AA$69-$F76&lt;=12,SUMIFS('Attrition Modeling'!$D:$D,'Attrition Modeling'!$B:$B,$E76,'Attrition Modeling'!$C:$C,AA$68),VLOOKUP(AA$69-$F76-1,$A$7:$C$161,2,FALSE)*VLOOKUP(AA$1,'Attrition Modeling'!$L$15:$N$27,IF(AA$2-$F9&lt;=24,2,3),FALSE))*(1+Projection!AC$16)*(1+IF(AA141&gt;0,'Attrition Modeling'!$N$9,0))),0))</f>
        <v>1907.0744262241899</v>
      </c>
      <c r="AB76" s="799">
        <f>IF(AB$69=$F76+1,IF(Monthly!X$4=TRUE,0,Monthly!X$17),IF(AB$69&gt;$F76+1,AA76*(1-IF(AB$69-$F76&lt;=12,SUMIFS('Attrition Modeling'!$D:$D,'Attrition Modeling'!$B:$B,$E76,'Attrition Modeling'!$C:$C,AB$68),VLOOKUP(AB$69-$F76-1,$A$7:$C$161,2,FALSE)*VLOOKUP(AB$1,'Attrition Modeling'!$L$15:$N$27,IF(AB$2-$F9&lt;=24,2,3),FALSE))*(1+Projection!AD$16)*(1+IF(AB141&gt;0,'Attrition Modeling'!$N$9,0))),0))</f>
        <v>1814.6438098746221</v>
      </c>
      <c r="AC76" s="799">
        <f>IF(AC$69=$F76+1,IF(Monthly!Y$4=TRUE,0,Monthly!Y$17),IF(AC$69&gt;$F76+1,AB76*(1-IF(AC$69-$F76&lt;=12,SUMIFS('Attrition Modeling'!$D:$D,'Attrition Modeling'!$B:$B,$E76,'Attrition Modeling'!$C:$C,AC$68),VLOOKUP(AC$69-$F76-1,$A$7:$C$161,2,FALSE)*VLOOKUP(AC$1,'Attrition Modeling'!$L$15:$N$27,IF(AC$2-$F9&lt;=24,2,3),FALSE))*(1+Projection!AE$16)*(1+IF(AC141&gt;0,'Attrition Modeling'!$N$9,0))),0))</f>
        <v>1727.9453276244285</v>
      </c>
      <c r="AD76" s="799">
        <f>IF(AD$69=$F76+1,IF(Monthly!Z$4=TRUE,0,Monthly!Z$17),IF(AD$69&gt;$F76+1,AC76*(1-IF(AD$69-$F76&lt;=12,SUMIFS('Attrition Modeling'!$D:$D,'Attrition Modeling'!$B:$B,$E76,'Attrition Modeling'!$C:$C,AD$68),VLOOKUP(AD$69-$F76-1,$A$7:$C$161,2,FALSE)*VLOOKUP(AD$1,'Attrition Modeling'!$L$15:$N$27,IF(AD$2-$F9&lt;=24,2,3),FALSE))*(1+Projection!AF$16)*(1+IF(AD141&gt;0,'Attrition Modeling'!$N$9,0))),0))</f>
        <v>1650.8625342390355</v>
      </c>
      <c r="AE76" s="799">
        <f>IF(AE$69=$F76+1,IF(Monthly!AA$4=TRUE,0,Monthly!AA$17),IF(AE$69&gt;$F76+1,AD76*(1-IF(AE$69-$F76&lt;=12,SUMIFS('Attrition Modeling'!$D:$D,'Attrition Modeling'!$B:$B,$E76,'Attrition Modeling'!$C:$C,AE$68),VLOOKUP(AE$69-$F76-1,$A$7:$C$161,2,FALSE)*VLOOKUP(AE$1,'Attrition Modeling'!$L$15:$N$27,IF(AE$2-$F9&lt;=24,2,3),FALSE))*(1+Projection!AG$16)*(1+IF(AE141&gt;0,'Attrition Modeling'!$N$9,0))),0))</f>
        <v>1565.5828127227117</v>
      </c>
      <c r="AF76" s="799">
        <f>IF(AF$69=$F76+1,IF(Monthly!AB$4=TRUE,0,Monthly!AB$17),IF(AF$69&gt;$F76+1,AE76*(1-IF(AF$69-$F76&lt;=12,SUMIFS('Attrition Modeling'!$D:$D,'Attrition Modeling'!$B:$B,$E76,'Attrition Modeling'!$C:$C,AF$68),VLOOKUP(AF$69-$F76-1,$A$7:$C$161,2,FALSE)*VLOOKUP(AF$1,'Attrition Modeling'!$L$15:$N$27,IF(AF$2-$F9&lt;=24,2,3),FALSE))*(1+Projection!AH$16)*(1+IF(AF141&gt;0,'Attrition Modeling'!$N$9,0))),0))</f>
        <v>1499.5745088061135</v>
      </c>
      <c r="AG76" s="799">
        <f>IF(AG$69=$F76+1,IF(Monthly!AC$4=TRUE,0,Monthly!AC$17),IF(AG$69&gt;$F76+1,AF76*(1-IF(AG$69-$F76&lt;=12,SUMIFS('Attrition Modeling'!$D:$D,'Attrition Modeling'!$B:$B,$E76,'Attrition Modeling'!$C:$C,AG$68),VLOOKUP(AG$69-$F76-1,$A$7:$C$161,2,FALSE)*VLOOKUP(AG$1,'Attrition Modeling'!$L$15:$N$27,IF(AG$2-$F9&lt;=24,2,3),FALSE))*(1+Projection!AI$16)*(1+IF(AG141&gt;0,'Attrition Modeling'!$N$9,0))),0))</f>
        <v>1443.622339738808</v>
      </c>
      <c r="AH76" s="799">
        <f>IF(AH$69=$F76+1,IF(Monthly!AD$4=TRUE,0,Monthly!AD$17),IF(AH$69&gt;$F76+1,AG76*(1-IF(AH$69-$F76&lt;=12,SUMIFS('Attrition Modeling'!$D:$D,'Attrition Modeling'!$B:$B,$E76,'Attrition Modeling'!$C:$C,AH$68),VLOOKUP(AH$69-$F76-1,$A$7:$C$161,2,FALSE)*VLOOKUP(AH$1,'Attrition Modeling'!$L$15:$N$27,IF(AH$2-$F9&lt;=24,2,3),FALSE))*(1+Projection!AJ$16)*(1+IF(AH141&gt;0,'Attrition Modeling'!$N$9,0))),0))</f>
        <v>1385.9892788175405</v>
      </c>
      <c r="AI76" s="799">
        <f>IF(AI$69=$F76+1,IF(Monthly!AE$4=TRUE,0,Monthly!AE$17),IF(AI$69&gt;$F76+1,AH76*(1-IF(AI$69-$F76&lt;=12,SUMIFS('Attrition Modeling'!$D:$D,'Attrition Modeling'!$B:$B,$E76,'Attrition Modeling'!$C:$C,AI$68),VLOOKUP(AI$69-$F76-1,$A$7:$C$161,2,FALSE)*VLOOKUP(AI$1,'Attrition Modeling'!$L$15:$N$27,IF(AI$2-$F9&lt;=24,2,3),FALSE))*(1+Projection!AK$16)*(1+IF(AI141&gt;0,'Attrition Modeling'!$N$9,0))),0))</f>
        <v>1332.4310416257194</v>
      </c>
      <c r="AJ76" s="799">
        <f>IF(AJ$69=$F76+1,IF(Monthly!AF$4=TRUE,0,Monthly!AF$17),IF(AJ$69&gt;$F76+1,AI76*(1-IF(AJ$69-$F76&lt;=12,SUMIFS('Attrition Modeling'!$D:$D,'Attrition Modeling'!$B:$B,$E76,'Attrition Modeling'!$C:$C,AJ$68),VLOOKUP(AJ$69-$F76-1,$A$7:$C$161,2,FALSE)*VLOOKUP(AJ$1,'Attrition Modeling'!$L$15:$N$27,IF(AJ$2-$F9&lt;=24,2,3),FALSE))*(1+Projection!AL$16)*(1+IF(AJ141&gt;0,'Attrition Modeling'!$N$9,0))),0))</f>
        <v>1282.040497522152</v>
      </c>
      <c r="AK76" s="799">
        <f>IF(AK$69=$F76+1,IF(Monthly!AG$4=TRUE,0,Monthly!AG$17),IF(AK$69&gt;$F76+1,AJ76*(1-IF(AK$69-$F76&lt;=12,SUMIFS('Attrition Modeling'!$D:$D,'Attrition Modeling'!$B:$B,$E76,'Attrition Modeling'!$C:$C,AK$68),VLOOKUP(AK$69-$F76-1,$A$7:$C$161,2,FALSE)*VLOOKUP(AK$1,'Attrition Modeling'!$L$15:$N$27,IF(AK$2-$F9&lt;=24,2,3),FALSE))*(1+Projection!AM$16)*(1+IF(AK141&gt;0,'Attrition Modeling'!$N$9,0))),0))</f>
        <v>1229.5146170100993</v>
      </c>
      <c r="AL76" s="799">
        <f>IF(AL$69=$F76+1,IF(Monthly!AH$4=TRUE,0,Monthly!AH$17),IF(AL$69&gt;$F76+1,AK76*(1-IF(AL$69-$F76&lt;=12,SUMIFS('Attrition Modeling'!$D:$D,'Attrition Modeling'!$B:$B,$E76,'Attrition Modeling'!$C:$C,AL$68),VLOOKUP(AL$69-$F76-1,$A$7:$C$161,2,FALSE)*VLOOKUP(AL$1,'Attrition Modeling'!$L$15:$N$27,IF(AL$2-$F9&lt;=24,2,3),FALSE))*(1+Projection!AN$16)*(1+IF(AL141&gt;0,'Attrition Modeling'!$N$9,0))),0))</f>
        <v>1179.6822583428195</v>
      </c>
      <c r="AM76" s="799">
        <f>IF(AM$69=$F76+1,IF(Monthly!AI$4=TRUE,0,Monthly!AI$17),IF(AM$69&gt;$F76+1,AL76*(1-IF(AM$69-$F76&lt;=12,SUMIFS('Attrition Modeling'!$D:$D,'Attrition Modeling'!$B:$B,$E76,'Attrition Modeling'!$C:$C,AM$68),VLOOKUP(AM$69-$F76-1,$A$7:$C$161,2,FALSE)*VLOOKUP(AM$1,'Attrition Modeling'!$L$15:$N$27,IF(AM$2-$F9&lt;=24,2,3),FALSE))*(1+Projection!AO$16)*(1+IF(AM141&gt;0,'Attrition Modeling'!$N$9,0))),0))</f>
        <v>1129.052853824739</v>
      </c>
      <c r="AN76" s="799">
        <f>IF(AN$69=$F76+1,IF(Monthly!AJ$4=TRUE,0,Monthly!AJ$17),IF(AN$69&gt;$F76+1,AM76*(1-IF(AN$69-$F76&lt;=12,SUMIFS('Attrition Modeling'!$D:$D,'Attrition Modeling'!$B:$B,$E76,'Attrition Modeling'!$C:$C,AN$68),VLOOKUP(AN$69-$F76-1,$A$7:$C$161,2,FALSE)*VLOOKUP(AN$1,'Attrition Modeling'!$L$15:$N$27,IF(AN$2-$F9&lt;=24,2,3),FALSE))*(1+Projection!AP$16)*(1+IF(AN141&gt;0,'Attrition Modeling'!$N$9,0))),0))</f>
        <v>1084.1631600271212</v>
      </c>
      <c r="AO76" s="799">
        <f>IF(AO$69=$F76+1,IF(Monthly!AK$4=TRUE,0,Monthly!AK$17),IF(AO$69&gt;$F76+1,AN76*(1-IF(AO$69-$F76&lt;=12,SUMIFS('Attrition Modeling'!$D:$D,'Attrition Modeling'!$B:$B,$E76,'Attrition Modeling'!$C:$C,AO$68),VLOOKUP(AO$69-$F76-1,$A$7:$C$161,2,FALSE)*VLOOKUP(AO$1,'Attrition Modeling'!$L$15:$N$27,IF(AO$2-$F9&lt;=24,2,3),FALSE))*(1+Projection!AQ$16)*(1+IF(AO141&gt;0,'Attrition Modeling'!$N$9,0))),0))</f>
        <v>1043.0908755818709</v>
      </c>
      <c r="AP76" s="799">
        <f>IF(AP$69=$F76+1,IF(Monthly!AL$4=TRUE,0,Monthly!AL$17),IF(AP$69&gt;$F76+1,AO76*(1-IF(AP$69-$F76&lt;=12,SUMIFS('Attrition Modeling'!$D:$D,'Attrition Modeling'!$B:$B,$E76,'Attrition Modeling'!$C:$C,AP$68),VLOOKUP(AP$69-$F76-1,$A$7:$C$161,2,FALSE)*VLOOKUP(AP$1,'Attrition Modeling'!$L$15:$N$27,IF(AP$2-$F9&lt;=24,2,3),FALSE))*(1+Projection!AR$16)*(1+IF(AP141&gt;0,'Attrition Modeling'!$N$9,0))),0))</f>
        <v>1004.9640701782242</v>
      </c>
      <c r="AQ76" s="799">
        <f>IF(AQ$69=$F76+1,IF(Monthly!AM$4=TRUE,0,Monthly!AM$17),IF(AQ$69&gt;$F76+1,AP76*(1-IF(AQ$69-$F76&lt;=12,SUMIFS('Attrition Modeling'!$D:$D,'Attrition Modeling'!$B:$B,$E76,'Attrition Modeling'!$C:$C,AQ$68),VLOOKUP(AQ$69-$F76-1,$A$7:$C$161,2,FALSE)*VLOOKUP(AQ$1,'Attrition Modeling'!$L$15:$N$27,IF(AQ$2-$F9&lt;=24,2,3),FALSE))*(1+Projection!AS$16)*(1+IF(AQ141&gt;0,'Attrition Modeling'!$N$9,0))),0))</f>
        <v>969.09465586586725</v>
      </c>
      <c r="AR76" s="799">
        <f>IF(AR$69=$F76+1,IF(Monthly!AN$4=TRUE,0,Monthly!AN$17),IF(AR$69&gt;$F76+1,AQ76*(1-IF(AR$69-$F76&lt;=12,SUMIFS('Attrition Modeling'!$D:$D,'Attrition Modeling'!$B:$B,$E76,'Attrition Modeling'!$C:$C,AR$68),VLOOKUP(AR$69-$F76-1,$A$7:$C$161,2,FALSE)*VLOOKUP(AR$1,'Attrition Modeling'!$L$15:$N$27,IF(AR$2-$F9&lt;=24,2,3),FALSE))*(1+Projection!AT$16)*(1+IF(AR141&gt;0,'Attrition Modeling'!$N$9,0))),0))</f>
        <v>937.5739624613816</v>
      </c>
      <c r="AS76" s="799">
        <f>IF(AS$69=$F76+1,IF(Monthly!AO$4=TRUE,0,Monthly!AO$17),IF(AS$69&gt;$F76+1,AR76*(1-IF(AS$69-$F76&lt;=12,SUMIFS('Attrition Modeling'!$D:$D,'Attrition Modeling'!$B:$B,$E76,'Attrition Modeling'!$C:$C,AS$68),VLOOKUP(AS$69-$F76-1,$A$7:$C$161,2,FALSE)*VLOOKUP(AS$1,'Attrition Modeling'!$L$15:$N$27,IF(AS$2-$F9&lt;=24,2,3),FALSE))*(1+Projection!AU$16)*(1+IF(AS141&gt;0,'Attrition Modeling'!$N$9,0))),0))</f>
        <v>908.3889201213027</v>
      </c>
      <c r="AT76" s="799">
        <f>IF(AT$69=$F76+1,IF(Monthly!AP$4=TRUE,0,Monthly!AP$17),IF(AT$69&gt;$F76+1,AS76*(1-IF(AT$69-$F76&lt;=12,SUMIFS('Attrition Modeling'!$D:$D,'Attrition Modeling'!$B:$B,$E76,'Attrition Modeling'!$C:$C,AT$68),VLOOKUP(AT$69-$F76-1,$A$7:$C$161,2,FALSE)*VLOOKUP(AT$1,'Attrition Modeling'!$L$15:$N$27,IF(AT$2-$F9&lt;=24,2,3),FALSE))*(1+Projection!AV$16)*(1+IF(AT141&gt;0,'Attrition Modeling'!$N$9,0))),0))</f>
        <v>881.61836923124838</v>
      </c>
      <c r="AU76" s="799">
        <f>IF(AU$69=$F76+1,IF(Monthly!AQ$4=TRUE,0,Monthly!AQ$17),IF(AU$69&gt;$F76+1,AT76*(1-IF(AU$69-$F76&lt;=12,SUMIFS('Attrition Modeling'!$D:$D,'Attrition Modeling'!$B:$B,$E76,'Attrition Modeling'!$C:$C,AU$68),VLOOKUP(AU$69-$F76-1,$A$7:$C$161,2,FALSE)*VLOOKUP(AU$1,'Attrition Modeling'!$L$15:$N$27,IF(AU$2-$F9&lt;=24,2,3),FALSE))*(1+Projection!AW$16)*(1+IF(AU141&gt;0,'Attrition Modeling'!$N$9,0))),0))</f>
        <v>861.19324640311049</v>
      </c>
      <c r="AV76" s="799">
        <f>IF(AV$69=$F76+1,IF(Monthly!AR$4=TRUE,0,Monthly!AR$17),IF(AV$69&gt;$F76+1,AU76*(1-IF(AV$69-$F76&lt;=12,SUMIFS('Attrition Modeling'!$D:$D,'Attrition Modeling'!$B:$B,$E76,'Attrition Modeling'!$C:$C,AV$68),VLOOKUP(AV$69-$F76-1,$A$7:$C$161,2,FALSE)*VLOOKUP(AV$1,'Attrition Modeling'!$L$15:$N$27,IF(AV$2-$F9&lt;=24,2,3),FALSE))*(1+Projection!AX$16)*(1+IF(AV141&gt;0,'Attrition Modeling'!$N$9,0))),0))</f>
        <v>837.37699626746917</v>
      </c>
      <c r="AW76" s="799">
        <f>IF(AW$69=$F76+1,IF(Monthly!AS$4=TRUE,0,Monthly!AS$17),IF(AW$69&gt;$F76+1,AV76*(1-IF(AW$69-$F76&lt;=12,SUMIFS('Attrition Modeling'!$D:$D,'Attrition Modeling'!$B:$B,$E76,'Attrition Modeling'!$C:$C,AW$68),VLOOKUP(AW$69-$F76-1,$A$7:$C$161,2,FALSE)*VLOOKUP(AW$1,'Attrition Modeling'!$L$15:$N$27,IF(AW$2-$F9&lt;=24,2,3),FALSE))*(1+Projection!AY$16)*(1+IF(AW141&gt;0,'Attrition Modeling'!$N$9,0))),0))</f>
        <v>811.23895202698088</v>
      </c>
      <c r="AX76" s="799">
        <f>IF(AX$69=$F76+1,IF(Monthly!AT$4=TRUE,0,Monthly!AT$17),IF(AX$69&gt;$F76+1,AW76*(1-IF(AX$69-$F76&lt;=12,SUMIFS('Attrition Modeling'!$D:$D,'Attrition Modeling'!$B:$B,$E76,'Attrition Modeling'!$C:$C,AX$68),VLOOKUP(AX$69-$F76-1,$A$7:$C$161,2,FALSE)*VLOOKUP(AX$1,'Attrition Modeling'!$L$15:$N$27,IF(AX$2-$F9&lt;=24,2,3),FALSE))*(1+Projection!AZ$16)*(1+IF(AX141&gt;0,'Attrition Modeling'!$N$9,0))),0))</f>
        <v>783.94853005582365</v>
      </c>
      <c r="AY76" s="799">
        <f>IF(AY$69=$F76+1,IF(Monthly!AU$4=TRUE,0,Monthly!AU$17),IF(AY$69&gt;$F76+1,AX76*(1-IF(AY$69-$F76&lt;=12,SUMIFS('Attrition Modeling'!$D:$D,'Attrition Modeling'!$B:$B,$E76,'Attrition Modeling'!$C:$C,AY$68),VLOOKUP(AY$69-$F76-1,$A$7:$C$161,2,FALSE)*VLOOKUP(AY$1,'Attrition Modeling'!$L$15:$N$27,IF(AY$2-$F9&lt;=24,2,3),FALSE))*(1+Projection!BA$16)*(1+IF(AY141&gt;0,'Attrition Modeling'!$N$9,0))),0))</f>
        <v>755.92946141059792</v>
      </c>
      <c r="AZ76" s="799">
        <f>IF(AZ$69=$F76+1,IF(Monthly!AV$4=TRUE,0,Monthly!AV$17),IF(AZ$69&gt;$F76+1,AY76*(1-IF(AZ$69-$F76&lt;=12,SUMIFS('Attrition Modeling'!$D:$D,'Attrition Modeling'!$B:$B,$E76,'Attrition Modeling'!$C:$C,AZ$68),VLOOKUP(AZ$69-$F76-1,$A$7:$C$161,2,FALSE)*VLOOKUP(AZ$1,'Attrition Modeling'!$L$15:$N$27,IF(AZ$2-$F9&lt;=24,2,3),FALSE))*(1+Projection!BB$16)*(1+IF(AZ141&gt;0,'Attrition Modeling'!$N$9,0))),0))</f>
        <v>730.82240020783263</v>
      </c>
      <c r="BA76" s="799">
        <f>IF(BA$69=$F76+1,IF(Monthly!AW$4=TRUE,0,Monthly!AW$17),IF(BA$69&gt;$F76+1,AZ76*(1-IF(BA$69-$F76&lt;=12,SUMIFS('Attrition Modeling'!$D:$D,'Attrition Modeling'!$B:$B,$E76,'Attrition Modeling'!$C:$C,BA$68),VLOOKUP(BA$69-$F76-1,$A$7:$C$161,2,FALSE)*VLOOKUP(BA$1,'Attrition Modeling'!$L$15:$N$27,IF(BA$2-$F9&lt;=24,2,3),FALSE))*(1+Projection!BC$16)*(1+IF(BA141&gt;0,'Attrition Modeling'!$N$9,0))),0))</f>
        <v>707.62606528821823</v>
      </c>
      <c r="BB76" s="799">
        <f>IF(BB$69=$F76+1,IF(Monthly!AX$4=TRUE,0,Monthly!AX$17),IF(BB$69&gt;$F76+1,BA76*(1-IF(BB$69-$F76&lt;=12,SUMIFS('Attrition Modeling'!$D:$D,'Attrition Modeling'!$B:$B,$E76,'Attrition Modeling'!$C:$C,BB$68),VLOOKUP(BB$69-$F76-1,$A$7:$C$161,2,FALSE)*VLOOKUP(BB$1,'Attrition Modeling'!$L$15:$N$27,IF(BB$2-$F9&lt;=24,2,3),FALSE))*(1+Projection!BD$16)*(1+IF(BB141&gt;0,'Attrition Modeling'!$N$9,0))),0))</f>
        <v>685.8960154636502</v>
      </c>
      <c r="BC76" s="799">
        <f>IF(BC$69=$F76+1,IF(Monthly!AY$4=TRUE,0,Monthly!AY$17),IF(BC$69&gt;$F76+1,BB76*(1-IF(BC$69-$F76&lt;=12,SUMIFS('Attrition Modeling'!$D:$D,'Attrition Modeling'!$B:$B,$E76,'Attrition Modeling'!$C:$C,BC$68),VLOOKUP(BC$69-$F76-1,$A$7:$C$161,2,FALSE)*VLOOKUP(BC$1,'Attrition Modeling'!$L$15:$N$27,IF(BC$2-$F9&lt;=24,2,3),FALSE))*(1+Projection!BE$16)*(1+IF(BC141&gt;0,'Attrition Modeling'!$N$9,0))),0))</f>
        <v>665.27516958247395</v>
      </c>
      <c r="BD76" s="799">
        <f>IF(BD$69=$F76+1,IF(Monthly!AZ$4=TRUE,0,Monthly!AZ$17),IF(BD$69&gt;$F76+1,BC76*(1-IF(BD$69-$F76&lt;=12,SUMIFS('Attrition Modeling'!$D:$D,'Attrition Modeling'!$B:$B,$E76,'Attrition Modeling'!$C:$C,BD$68),VLOOKUP(BD$69-$F76-1,$A$7:$C$161,2,FALSE)*VLOOKUP(BD$1,'Attrition Modeling'!$L$15:$N$27,IF(BD$2-$F9&lt;=24,2,3),FALSE))*(1+Projection!BF$16)*(1+IF(BD141&gt;0,'Attrition Modeling'!$N$9,0))),0))</f>
        <v>647.00396494643689</v>
      </c>
      <c r="BE76" s="799">
        <f>IF(BE$69=$F76+1,IF(Monthly!BA$4=TRUE,0,Monthly!BA$17),IF(BE$69&gt;$F76+1,BD76*(1-IF(BE$69-$F76&lt;=12,SUMIFS('Attrition Modeling'!$D:$D,'Attrition Modeling'!$B:$B,$E76,'Attrition Modeling'!$C:$C,BE$68),VLOOKUP(BE$69-$F76-1,$A$7:$C$161,2,FALSE)*VLOOKUP(BE$1,'Attrition Modeling'!$L$15:$N$27,IF(BE$2-$F9&lt;=24,2,3),FALSE))*(1+Projection!BG$16)*(1+IF(BE141&gt;0,'Attrition Modeling'!$N$9,0))),0))</f>
        <v>629.95881295835727</v>
      </c>
      <c r="BF76" s="799">
        <f>IF(BF$69=$F76+1,IF(Monthly!BB$4=TRUE,0,Monthly!BB$17),IF(BF$69&gt;$F76+1,BE76*(1-IF(BF$69-$F76&lt;=12,SUMIFS('Attrition Modeling'!$D:$D,'Attrition Modeling'!$B:$B,$E76,'Attrition Modeling'!$C:$C,BF$68),VLOOKUP(BF$69-$F76-1,$A$7:$C$161,2,FALSE)*VLOOKUP(BF$1,'Attrition Modeling'!$L$15:$N$27,IF(BF$2-$F9&lt;=24,2,3),FALSE))*(1+Projection!BH$16)*(1+IF(BF141&gt;0,'Attrition Modeling'!$N$9,0))),0))</f>
        <v>614.21227674286638</v>
      </c>
      <c r="BG76" s="799">
        <f>IF(BG$69=$F76+1,IF(Monthly!BC$4=TRUE,0,Monthly!BC$17),IF(BG$69&gt;$F76+1,BF76*(1-IF(BG$69-$F76&lt;=12,SUMIFS('Attrition Modeling'!$D:$D,'Attrition Modeling'!$B:$B,$E76,'Attrition Modeling'!$C:$C,BG$68),VLOOKUP(BG$69-$F76-1,$A$7:$C$161,2,FALSE)*VLOOKUP(BG$1,'Attrition Modeling'!$L$15:$N$27,IF(BG$2-$F9&lt;=24,2,3),FALSE))*(1+Projection!BI$16)*(1+IF(BG141&gt;0,'Attrition Modeling'!$N$9,0))),0))</f>
        <v>602.11778622736631</v>
      </c>
      <c r="BH76" s="799">
        <f>IF(BH$69=$F76+1,IF(Monthly!BD$4=TRUE,0,Monthly!BD$17),IF(BH$69&gt;$F76+1,BG76*(1-IF(BH$69-$F76&lt;=12,SUMIFS('Attrition Modeling'!$D:$D,'Attrition Modeling'!$B:$B,$E76,'Attrition Modeling'!$C:$C,BH$68),VLOOKUP(BH$69-$F76-1,$A$7:$C$161,2,FALSE)*VLOOKUP(BH$1,'Attrition Modeling'!$L$15:$N$27,IF(BH$2-$F9&lt;=24,2,3),FALSE))*(1+Projection!BJ$16)*(1+IF(BH141&gt;0,'Attrition Modeling'!$N$9,0))),0))</f>
        <v>587.93734108853471</v>
      </c>
      <c r="BI76" s="799">
        <f>IF(BI$69=$F76+1,IF(Monthly!BE$4=TRUE,0,Monthly!BE$17),IF(BI$69&gt;$F76+1,BH76*(1-IF(BI$69-$F76&lt;=12,SUMIFS('Attrition Modeling'!$D:$D,'Attrition Modeling'!$B:$B,$E76,'Attrition Modeling'!$C:$C,BI$68),VLOOKUP(BI$69-$F76-1,$A$7:$C$161,2,FALSE)*VLOOKUP(BI$1,'Attrition Modeling'!$L$15:$N$27,IF(BI$2-$F9&lt;=24,2,3),FALSE))*(1+Projection!BK$16)*(1+IF(BI141&gt;0,'Attrition Modeling'!$N$9,0))),0))</f>
        <v>572.27972855500241</v>
      </c>
      <c r="BJ76" s="799">
        <f>IF(BJ$69=$F76+1,IF(Monthly!BF$4=TRUE,0,Monthly!BF$17),IF(BJ$69&gt;$F76+1,BI76*(1-IF(BJ$69-$F76&lt;=12,SUMIFS('Attrition Modeling'!$D:$D,'Attrition Modeling'!$B:$B,$E76,'Attrition Modeling'!$C:$C,BJ$68),VLOOKUP(BJ$69-$F76-1,$A$7:$C$161,2,FALSE)*VLOOKUP(BJ$1,'Attrition Modeling'!$L$15:$N$27,IF(BJ$2-$F9&lt;=24,2,3),FALSE))*(1+Projection!BL$16)*(1+IF(BJ141&gt;0,'Attrition Modeling'!$N$9,0))),0))</f>
        <v>555.93603324610547</v>
      </c>
      <c r="BK76" s="799">
        <f>IF(BK$69=$F76+1,IF(Monthly!BG$4=TRUE,0,Monthly!BG$17),IF(BK$69&gt;$F76+1,BJ76*(1-IF(BK$69-$F76&lt;=12,SUMIFS('Attrition Modeling'!$D:$D,'Attrition Modeling'!$B:$B,$E76,'Attrition Modeling'!$C:$C,BK$68),VLOOKUP(BK$69-$F76-1,$A$7:$C$161,2,FALSE)*VLOOKUP(BK$1,'Attrition Modeling'!$L$15:$N$27,IF(BK$2-$F9&lt;=24,2,3),FALSE))*(1+Projection!BM$16)*(1+IF(BK141&gt;0,'Attrition Modeling'!$N$9,0))),0))</f>
        <v>539.04217945392963</v>
      </c>
      <c r="BL76" s="799">
        <f>IF(BL$69=$F76+1,IF(Monthly!BH$4=TRUE,0,Monthly!BH$17),IF(BL$69&gt;$F76+1,BK76*(1-IF(BL$69-$F76&lt;=12,SUMIFS('Attrition Modeling'!$D:$D,'Attrition Modeling'!$B:$B,$E76,'Attrition Modeling'!$C:$C,BL$68),VLOOKUP(BL$69-$F76-1,$A$7:$C$161,2,FALSE)*VLOOKUP(BL$1,'Attrition Modeling'!$L$15:$N$27,IF(BL$2-$F9&lt;=24,2,3),FALSE))*(1+Projection!BN$16)*(1+IF(BL141&gt;0,'Attrition Modeling'!$N$9,0))),0))</f>
        <v>523.79827057652892</v>
      </c>
      <c r="BM76" s="799">
        <f>IF(BM$69=$F76+1,IF(Monthly!BI$4=TRUE,0,Monthly!BI$17),IF(BM$69&gt;$F76+1,BL76*(1-IF(BM$69-$F76&lt;=12,SUMIFS('Attrition Modeling'!$D:$D,'Attrition Modeling'!$B:$B,$E76,'Attrition Modeling'!$C:$C,BM$68),VLOOKUP(BM$69-$F76-1,$A$7:$C$161,2,FALSE)*VLOOKUP(BM$1,'Attrition Modeling'!$L$15:$N$27,IF(BM$2-$F9&lt;=24,2,3),FALSE))*(1+Projection!BO$16)*(1+IF(BM141&gt;0,'Attrition Modeling'!$N$9,0))),0))</f>
        <v>509.62343999765346</v>
      </c>
      <c r="BN76" s="799">
        <f>IF(BN$69=$F76+1,IF(Monthly!BJ$4=TRUE,0,Monthly!BJ$17),IF(BN$69&gt;$F76+1,BM76*(1-IF(BN$69-$F76&lt;=12,SUMIFS('Attrition Modeling'!$D:$D,'Attrition Modeling'!$B:$B,$E76,'Attrition Modeling'!$C:$C,BN$68),VLOOKUP(BN$69-$F76-1,$A$7:$C$161,2,FALSE)*VLOOKUP(BN$1,'Attrition Modeling'!$L$15:$N$27,IF(BN$2-$F9&lt;=24,2,3),FALSE))*(1+Projection!BP$16)*(1+IF(BN141&gt;0,'Attrition Modeling'!$N$9,0))),0))</f>
        <v>496.26339284161435</v>
      </c>
      <c r="BO76" s="799">
        <f>IF(BO$69=$F76+1,IF(Monthly!BK$4=TRUE,0,Monthly!BK$17),IF(BO$69&gt;$F76+1,BN76*(1-IF(BO$69-$F76&lt;=12,SUMIFS('Attrition Modeling'!$D:$D,'Attrition Modeling'!$B:$B,$E76,'Attrition Modeling'!$C:$C,BO$68),VLOOKUP(BO$69-$F76-1,$A$7:$C$161,2,FALSE)*VLOOKUP(BO$1,'Attrition Modeling'!$L$15:$N$27,IF(BO$2-$F9&lt;=24,2,3),FALSE))*(1+Projection!BV$16)*(1+IF(BO141&gt;0,'Attrition Modeling'!$N$9,0))),0))</f>
        <v>483.51112428507685</v>
      </c>
      <c r="BP76" s="799">
        <f>IF(BP$69=$F76+1,IF(Monthly!BL$4=TRUE,0,Monthly!BL$17),IF(BP$69&gt;$F76+1,BO76*(1-IF(BP$69-$F76&lt;=12,SUMIFS('Attrition Modeling'!$D:$D,'Attrition Modeling'!$B:$B,$E76,'Attrition Modeling'!$C:$C,BP$68),VLOOKUP(BP$69-$F76-1,$A$7:$C$161,2,FALSE)*VLOOKUP(BP$1,'Attrition Modeling'!$L$15:$N$27,IF(BP$2-$F9&lt;=24,2,3),FALSE))*(1+Projection!BW$16)*(1+IF(BP141&gt;0,'Attrition Modeling'!$N$9,0))),0))</f>
        <v>472.14803900280646</v>
      </c>
      <c r="BQ76" s="799">
        <f>IF(BQ$69=$F76+1,IF(Monthly!BM$4=TRUE,0,Monthly!BM$17),IF(BQ$69&gt;$F76+1,BP76*(1-IF(BQ$69-$F76&lt;=12,SUMIFS('Attrition Modeling'!$D:$D,'Attrition Modeling'!$B:$B,$E76,'Attrition Modeling'!$C:$C,BQ$68),VLOOKUP(BQ$69-$F76-1,$A$7:$C$161,2,FALSE)*VLOOKUP(BQ$1,'Attrition Modeling'!$L$15:$N$27,IF(BQ$2-$F9&lt;=24,2,3),FALSE))*(1+Projection!BX$16)*(1+IF(BQ141&gt;0,'Attrition Modeling'!$N$9,0))),0))</f>
        <v>461.49272851829113</v>
      </c>
      <c r="BR76" s="799">
        <f>IF(BR$69=$F76+1,IF(Monthly!BN$4=TRUE,0,Monthly!BN$17),IF(BR$69&gt;$F76+1,BQ76*(1-IF(BR$69-$F76&lt;=12,SUMIFS('Attrition Modeling'!$D:$D,'Attrition Modeling'!$B:$B,$E76,'Attrition Modeling'!$C:$C,BR$68),VLOOKUP(BR$69-$F76-1,$A$7:$C$161,2,FALSE)*VLOOKUP(BR$1,'Attrition Modeling'!$L$15:$N$27,IF(BR$2-$F9&lt;=24,2,3),FALSE))*(1+Projection!BY$16)*(1+IF(BR141&gt;0,'Attrition Modeling'!$N$9,0))),0))</f>
        <v>451.60090545617732</v>
      </c>
      <c r="BS76" s="799">
        <f>IF(BS$69=$F76+1,IF(Monthly!BO$4=TRUE,0,Monthly!BO$17),IF(BS$69&gt;$F76+1,BR76*(1-IF(BS$69-$F76&lt;=12,SUMIFS('Attrition Modeling'!$D:$D,'Attrition Modeling'!$B:$B,$E76,'Attrition Modeling'!$C:$C,BS$68),VLOOKUP(BS$69-$F76-1,$A$7:$C$161,2,FALSE)*VLOOKUP(BS$1,'Attrition Modeling'!$L$15:$N$27,IF(BS$2-$F9&lt;=24,2,3),FALSE))*(1+Projection!BZ$16)*(1+IF(BS141&gt;0,'Attrition Modeling'!$N$9,0))),0))</f>
        <v>443.96812154472661</v>
      </c>
      <c r="BT76" s="799">
        <f>IF(BT$69=$F76+1,IF(Monthly!#REF!=TRUE,0,Monthly!#REF!),IF(BT$69&gt;$F76+1,BS76*(1-IF(BT$69-$F76&lt;=12,SUMIFS('Attrition Modeling'!$D:$D,'Attrition Modeling'!$B:$B,$E76,'Attrition Modeling'!$C:$C,BT$68),VLOOKUP(BT$69-$F76-1,$A$7:$C$161,2,FALSE)*VLOOKUP(BT$1,'Attrition Modeling'!$L$15:$N$27,IF(BT$2-$F9&lt;=24,2,3),FALSE))*(1+Projection!CA$16)*(1+IF(BT141&gt;0,'Attrition Modeling'!$N$9,0))),0))</f>
        <v>434.98521605916716</v>
      </c>
      <c r="BU76" s="799">
        <f>IF(BU$69=$F76+1,IF(Monthly!#REF!=TRUE,0,Monthly!#REF!),IF(BU$69&gt;$F76+1,BT76*(1-IF(BU$69-$F76&lt;=12,SUMIFS('Attrition Modeling'!$D:$D,'Attrition Modeling'!$B:$B,$E76,'Attrition Modeling'!$C:$C,BU$68),VLOOKUP(BU$69-$F76-1,$A$7:$C$161,2,FALSE)*VLOOKUP(BU$1,'Attrition Modeling'!$L$15:$N$27,IF(BU$2-$F9&lt;=24,2,3),FALSE))*(1+Projection!CB$16)*(1+IF(BU141&gt;0,'Attrition Modeling'!$N$9,0))),0))</f>
        <v>425.02425185474061</v>
      </c>
    </row>
    <row r="77" spans="1:73" ht="14.25" customHeight="1" x14ac:dyDescent="0.2">
      <c r="A77" s="9">
        <v>70</v>
      </c>
      <c r="B77" s="25">
        <f>MAX('Attrition Modeling'!H74,$C$3)*(1-Summary!$C$20)</f>
        <v>0.02</v>
      </c>
      <c r="C77" s="24" t="e">
        <f t="shared" si="4"/>
        <v>#DIV/0!</v>
      </c>
      <c r="E77" s="11">
        <f t="shared" si="9"/>
        <v>7</v>
      </c>
      <c r="F77" s="11">
        <f t="shared" si="10"/>
        <v>7</v>
      </c>
      <c r="G77" s="799"/>
      <c r="H77" s="799">
        <f>IF(H$69=$F77+1,IF(Monthly!D$4=TRUE,0,Monthly!D$17),IF(H$69&gt;$F77+1,G77*(1-IF(H$69-$F77&lt;=12,SUMIFS('Attrition Modeling'!$D:$D,'Attrition Modeling'!$B:$B,$E77,'Attrition Modeling'!$C:$C,H$68),VLOOKUP(H$69-$F77-1,$A$7:$C$161,2,FALSE)*VLOOKUP(H$1,'Attrition Modeling'!$L$15:$N$27,IF(H$2-$F10&lt;=24,2,3),FALSE))*(1+Projection!J$16)*(1+IF(H142&gt;0,'Attrition Modeling'!$N$9,0))),0))</f>
        <v>0</v>
      </c>
      <c r="I77" s="799">
        <f>IF(I$69=$F77+1,IF(Monthly!E$4=TRUE,0,Monthly!E$17),IF(I$69&gt;$F77+1,H77*(1-IF(I$69-$F77&lt;=12,SUMIFS('Attrition Modeling'!$D:$D,'Attrition Modeling'!$B:$B,$E77,'Attrition Modeling'!$C:$C,I$68),VLOOKUP(I$69-$F77-1,$A$7:$C$161,2,FALSE)*VLOOKUP(I$1,'Attrition Modeling'!$L$15:$N$27,IF(I$2-$F10&lt;=24,2,3),FALSE))*(1+Projection!K$16)*(1+IF(I142&gt;0,'Attrition Modeling'!$N$9,0))),0))</f>
        <v>0</v>
      </c>
      <c r="J77" s="799">
        <f>IF(J$69=$F77+1,IF(Monthly!F$4=TRUE,0,Monthly!F$17),IF(J$69&gt;$F77+1,I77*(1-IF(J$69-$F77&lt;=12,SUMIFS('Attrition Modeling'!$D:$D,'Attrition Modeling'!$B:$B,$E77,'Attrition Modeling'!$C:$C,J$68),VLOOKUP(J$69-$F77-1,$A$7:$C$161,2,FALSE)*VLOOKUP(J$1,'Attrition Modeling'!$L$15:$N$27,IF(J$2-$F10&lt;=24,2,3),FALSE))*(1+Projection!L$16)*(1+IF(J142&gt;0,'Attrition Modeling'!$N$9,0))),0))</f>
        <v>0</v>
      </c>
      <c r="K77" s="799">
        <f>IF(K$69=$F77+1,IF(Monthly!G$4=TRUE,0,Monthly!G$17),IF(K$69&gt;$F77+1,J77*(1-IF(K$69-$F77&lt;=12,SUMIFS('Attrition Modeling'!$D:$D,'Attrition Modeling'!$B:$B,$E77,'Attrition Modeling'!$C:$C,K$68),VLOOKUP(K$69-$F77-1,$A$7:$C$161,2,FALSE)*VLOOKUP(K$1,'Attrition Modeling'!$L$15:$N$27,IF(K$2-$F10&lt;=24,2,3),FALSE))*(1+Projection!M$16)*(1+IF(K142&gt;0,'Attrition Modeling'!$N$9,0))),0))</f>
        <v>0</v>
      </c>
      <c r="L77" s="799">
        <f>IF(L$69=$F77+1,IF(Monthly!H$4=TRUE,0,Monthly!H$17),IF(L$69&gt;$F77+1,K77*(1-IF(L$69-$F77&lt;=12,SUMIFS('Attrition Modeling'!$D:$D,'Attrition Modeling'!$B:$B,$E77,'Attrition Modeling'!$C:$C,L$68),VLOOKUP(L$69-$F77-1,$A$7:$C$161,2,FALSE)*VLOOKUP(L$1,'Attrition Modeling'!$L$15:$N$27,IF(L$2-$F10&lt;=24,2,3),FALSE))*(1+Projection!N$16)*(1+IF(L142&gt;0,'Attrition Modeling'!$N$9,0))),0))</f>
        <v>0</v>
      </c>
      <c r="M77" s="799">
        <f>IF(M$69=$F77+1,IF(Monthly!I$4=TRUE,0,Monthly!I$17),IF(M$69&gt;$F77+1,L77*(1-IF(M$69-$F77&lt;=12,SUMIFS('Attrition Modeling'!$D:$D,'Attrition Modeling'!$B:$B,$E77,'Attrition Modeling'!$C:$C,M$68),VLOOKUP(M$69-$F77-1,$A$7:$C$161,2,FALSE)*VLOOKUP(M$1,'Attrition Modeling'!$L$15:$N$27,IF(M$2-$F10&lt;=24,2,3),FALSE))*(1+Projection!O$16)*(1+IF(M142&gt;0,'Attrition Modeling'!$N$9,0))),0))</f>
        <v>0</v>
      </c>
      <c r="N77" s="799">
        <f>IF(N$69=$F77+1,IF(Monthly!J$4=TRUE,0,Monthly!J$17),IF(N$69&gt;$F77+1,M77*(1-IF(N$69-$F77&lt;=12,SUMIFS('Attrition Modeling'!$D:$D,'Attrition Modeling'!$B:$B,$E77,'Attrition Modeling'!$C:$C,N$68),VLOOKUP(N$69-$F77-1,$A$7:$C$161,2,FALSE)*VLOOKUP(N$1,'Attrition Modeling'!$L$15:$N$27,IF(N$2-$F10&lt;=24,2,3),FALSE))*(1+Projection!P$16)*(1+IF(N142&gt;0,'Attrition Modeling'!$N$9,0))),0))</f>
        <v>0</v>
      </c>
      <c r="O77" s="799">
        <f>IF(O$69=$F77+1,IF(Monthly!K$4=TRUE,0,Monthly!K$17),IF(O$69&gt;$F77+1,N77*(1-IF(O$69-$F77&lt;=12,SUMIFS('Attrition Modeling'!$D:$D,'Attrition Modeling'!$B:$B,$E77,'Attrition Modeling'!$C:$C,O$68),VLOOKUP(O$69-$F77-1,$A$7:$C$161,2,FALSE)*VLOOKUP(O$1,'Attrition Modeling'!$L$15:$N$27,IF(O$2-$F10&lt;=24,2,3),FALSE))*(1+Projection!Q$16)*(1+IF(O142&gt;0,'Attrition Modeling'!$N$9,0))),0))</f>
        <v>4986.1446948919001</v>
      </c>
      <c r="P77" s="799">
        <f>IF(P$69=$F77+1,IF(Monthly!L$4=TRUE,0,Monthly!L$17),IF(P$69&gt;$F77+1,O77*(1-IF(P$69-$F77&lt;=12,SUMIFS('Attrition Modeling'!$D:$D,'Attrition Modeling'!$B:$B,$E77,'Attrition Modeling'!$C:$C,P$68),VLOOKUP(P$69-$F77-1,$A$7:$C$161,2,FALSE)*VLOOKUP(P$1,'Attrition Modeling'!$L$15:$N$27,IF(P$2-$F10&lt;=24,2,3),FALSE))*(1+Projection!R$16)*(1+IF(P142&gt;0,'Attrition Modeling'!$N$9,0))),0))</f>
        <v>4415.7950602917699</v>
      </c>
      <c r="Q77" s="799">
        <f>IF(Q$69=$F77+1,IF(Monthly!M$4=TRUE,0,Monthly!M$17),IF(Q$69&gt;$F77+1,P77*(1-IF(Q$69-$F77&lt;=12,SUMIFS('Attrition Modeling'!$D:$D,'Attrition Modeling'!$B:$B,$E77,'Attrition Modeling'!$C:$C,Q$68),VLOOKUP(Q$69-$F77-1,$A$7:$C$161,2,FALSE)*VLOOKUP(Q$1,'Attrition Modeling'!$L$15:$N$27,IF(Q$2-$F10&lt;=24,2,3),FALSE))*(1+Projection!S$16)*(1+IF(Q142&gt;0,'Attrition Modeling'!$N$9,0))),0))</f>
        <v>3988.0194620949169</v>
      </c>
      <c r="R77" s="799">
        <f>IF(R$69=$F77+1,IF(Monthly!N$4=TRUE,0,Monthly!N$17),IF(R$69&gt;$F77+1,Q77*(1-IF(R$69-$F77&lt;=12,SUMIFS('Attrition Modeling'!$D:$D,'Attrition Modeling'!$B:$B,$E77,'Attrition Modeling'!$C:$C,R$68),VLOOKUP(R$69-$F77-1,$A$7:$C$161,2,FALSE)*VLOOKUP(R$1,'Attrition Modeling'!$L$15:$N$27,IF(R$2-$F10&lt;=24,2,3),FALSE))*(1+Projection!T$16)*(1+IF(R142&gt;0,'Attrition Modeling'!$N$9,0))),0))</f>
        <v>3623.8061670028992</v>
      </c>
      <c r="S77" s="799">
        <f>IF(S$69=$F77+1,IF(Monthly!O$4=TRUE,0,Monthly!O$17),IF(S$69&gt;$F77+1,R77*(1-IF(S$69-$F77&lt;=12,SUMIFS('Attrition Modeling'!$D:$D,'Attrition Modeling'!$B:$B,$E77,'Attrition Modeling'!$C:$C,S$68),VLOOKUP(S$69-$F77-1,$A$7:$C$161,2,FALSE)*VLOOKUP(S$1,'Attrition Modeling'!$L$15:$N$27,IF(S$2-$F10&lt;=24,2,3),FALSE))*(1+Projection!U$16)*(1+IF(S142&gt;0,'Attrition Modeling'!$N$9,0))),0))</f>
        <v>3329.5592667127476</v>
      </c>
      <c r="T77" s="799">
        <f>IF(T$69=$F77+1,IF(Monthly!P$4=TRUE,0,Monthly!P$17),IF(T$69&gt;$F77+1,S77*(1-IF(T$69-$F77&lt;=12,SUMIFS('Attrition Modeling'!$D:$D,'Attrition Modeling'!$B:$B,$E77,'Attrition Modeling'!$C:$C,T$68),VLOOKUP(T$69-$F77-1,$A$7:$C$161,2,FALSE)*VLOOKUP(T$1,'Attrition Modeling'!$L$15:$N$27,IF(T$2-$F10&lt;=24,2,3),FALSE))*(1+Projection!V$16)*(1+IF(T142&gt;0,'Attrition Modeling'!$N$9,0))),0))</f>
        <v>3020.3133579897644</v>
      </c>
      <c r="U77" s="799">
        <f>IF(U$69=$F77+1,IF(Monthly!Q$4=TRUE,0,Monthly!Q$17),IF(U$69&gt;$F77+1,T77*(1-IF(U$69-$F77&lt;=12,SUMIFS('Attrition Modeling'!$D:$D,'Attrition Modeling'!$B:$B,$E77,'Attrition Modeling'!$C:$C,U$68),VLOOKUP(U$69-$F77-1,$A$7:$C$161,2,FALSE)*VLOOKUP(U$1,'Attrition Modeling'!$L$15:$N$27,IF(U$2-$F10&lt;=24,2,3),FALSE))*(1+Projection!W$16)*(1+IF(U142&gt;0,'Attrition Modeling'!$N$9,0))),0))</f>
        <v>2829.8482900087633</v>
      </c>
      <c r="V77" s="799">
        <f>IF(V$69=$F77+1,IF(Monthly!R$4=TRUE,0,Monthly!R$17),IF(V$69&gt;$F77+1,U77*(1-IF(V$69-$F77&lt;=12,SUMIFS('Attrition Modeling'!$D:$D,'Attrition Modeling'!$B:$B,$E77,'Attrition Modeling'!$C:$C,V$68),VLOOKUP(V$69-$F77-1,$A$7:$C$161,2,FALSE)*VLOOKUP(V$1,'Attrition Modeling'!$L$15:$N$27,IF(V$2-$F10&lt;=24,2,3),FALSE))*(1+Projection!X$16)*(1+IF(V142&gt;0,'Attrition Modeling'!$N$9,0))),0))</f>
        <v>2645.8652223596341</v>
      </c>
      <c r="W77" s="799">
        <f>IF(W$69=$F77+1,IF(Monthly!S$4=TRUE,0,Monthly!S$17),IF(W$69&gt;$F77+1,V77*(1-IF(W$69-$F77&lt;=12,SUMIFS('Attrition Modeling'!$D:$D,'Attrition Modeling'!$B:$B,$E77,'Attrition Modeling'!$C:$C,W$68),VLOOKUP(W$69-$F77-1,$A$7:$C$161,2,FALSE)*VLOOKUP(W$1,'Attrition Modeling'!$L$15:$N$27,IF(W$2-$F10&lt;=24,2,3),FALSE))*(1+Projection!Y$16)*(1+IF(W142&gt;0,'Attrition Modeling'!$N$9,0))),0))</f>
        <v>2487.3082828262918</v>
      </c>
      <c r="X77" s="799">
        <f>IF(X$69=$F77+1,IF(Monthly!T$4=TRUE,0,Monthly!T$17),IF(X$69&gt;$F77+1,W77*(1-IF(X$69-$F77&lt;=12,SUMIFS('Attrition Modeling'!$D:$D,'Attrition Modeling'!$B:$B,$E77,'Attrition Modeling'!$C:$C,X$68),VLOOKUP(X$69-$F77-1,$A$7:$C$161,2,FALSE)*VLOOKUP(X$1,'Attrition Modeling'!$L$15:$N$27,IF(X$2-$F10&lt;=24,2,3),FALSE))*(1+Projection!Z$16)*(1+IF(X142&gt;0,'Attrition Modeling'!$N$9,0))),0))</f>
        <v>2348.8856718130046</v>
      </c>
      <c r="Y77" s="799">
        <f>IF(Y$69=$F77+1,IF(Monthly!U$4=TRUE,0,Monthly!U$17),IF(Y$69&gt;$F77+1,X77*(1-IF(Y$69-$F77&lt;=12,SUMIFS('Attrition Modeling'!$D:$D,'Attrition Modeling'!$B:$B,$E77,'Attrition Modeling'!$C:$C,Y$68),VLOOKUP(Y$69-$F77-1,$A$7:$C$161,2,FALSE)*VLOOKUP(Y$1,'Attrition Modeling'!$L$15:$N$27,IF(Y$2-$F10&lt;=24,2,3),FALSE))*(1+Projection!AA$16)*(1+IF(Y142&gt;0,'Attrition Modeling'!$N$9,0))),0))</f>
        <v>2202.8870421086758</v>
      </c>
      <c r="Z77" s="799">
        <f>IF(Z$69=$F77+1,IF(Monthly!V$4=TRUE,0,Monthly!V$17),IF(Z$69&gt;$F77+1,Y77*(1-IF(Z$69-$F77&lt;=12,SUMIFS('Attrition Modeling'!$D:$D,'Attrition Modeling'!$B:$B,$E77,'Attrition Modeling'!$C:$C,Z$68),VLOOKUP(Z$69-$F77-1,$A$7:$C$161,2,FALSE)*VLOOKUP(Z$1,'Attrition Modeling'!$L$15:$N$27,IF(Z$2-$F10&lt;=24,2,3),FALSE))*(1+Projection!AB$16)*(1+IF(Z142&gt;0,'Attrition Modeling'!$N$9,0))),0))</f>
        <v>2129.7635064492333</v>
      </c>
      <c r="AA77" s="799">
        <f>IF(AA$69=$F77+1,IF(Monthly!W$4=TRUE,0,Monthly!W$17),IF(AA$69&gt;$F77+1,Z77*(1-IF(AA$69-$F77&lt;=12,SUMIFS('Attrition Modeling'!$D:$D,'Attrition Modeling'!$B:$B,$E77,'Attrition Modeling'!$C:$C,AA$68),VLOOKUP(AA$69-$F77-1,$A$7:$C$161,2,FALSE)*VLOOKUP(AA$1,'Attrition Modeling'!$L$15:$N$27,IF(AA$2-$F10&lt;=24,2,3),FALSE))*(1+Projection!AC$16)*(1+IF(AA142&gt;0,'Attrition Modeling'!$N$9,0))),0))</f>
        <v>2000.7719661980127</v>
      </c>
      <c r="AB77" s="799">
        <f>IF(AB$69=$F77+1,IF(Monthly!X$4=TRUE,0,Monthly!X$17),IF(AB$69&gt;$F77+1,AA77*(1-IF(AB$69-$F77&lt;=12,SUMIFS('Attrition Modeling'!$D:$D,'Attrition Modeling'!$B:$B,$E77,'Attrition Modeling'!$C:$C,AB$68),VLOOKUP(AB$69-$F77-1,$A$7:$C$161,2,FALSE)*VLOOKUP(AB$1,'Attrition Modeling'!$L$15:$N$27,IF(AB$2-$F10&lt;=24,2,3),FALSE))*(1+Projection!AD$16)*(1+IF(AB142&gt;0,'Attrition Modeling'!$N$9,0))),0))</f>
        <v>1898.8074509124215</v>
      </c>
      <c r="AC77" s="799">
        <f>IF(AC$69=$F77+1,IF(Monthly!Y$4=TRUE,0,Monthly!Y$17),IF(AC$69&gt;$F77+1,AB77*(1-IF(AC$69-$F77&lt;=12,SUMIFS('Attrition Modeling'!$D:$D,'Attrition Modeling'!$B:$B,$E77,'Attrition Modeling'!$C:$C,AC$68),VLOOKUP(AC$69-$F77-1,$A$7:$C$161,2,FALSE)*VLOOKUP(AC$1,'Attrition Modeling'!$L$15:$N$27,IF(AC$2-$F10&lt;=24,2,3),FALSE))*(1+Projection!AE$16)*(1+IF(AC142&gt;0,'Attrition Modeling'!$N$9,0))),0))</f>
        <v>1804.6482844092466</v>
      </c>
      <c r="AD77" s="799">
        <f>IF(AD$69=$F77+1,IF(Monthly!Z$4=TRUE,0,Monthly!Z$17),IF(AD$69&gt;$F77+1,AC77*(1-IF(AD$69-$F77&lt;=12,SUMIFS('Attrition Modeling'!$D:$D,'Attrition Modeling'!$B:$B,$E77,'Attrition Modeling'!$C:$C,AD$68),VLOOKUP(AD$69-$F77-1,$A$7:$C$161,2,FALSE)*VLOOKUP(AD$1,'Attrition Modeling'!$L$15:$N$27,IF(AD$2-$F10&lt;=24,2,3),FALSE))*(1+Projection!AF$16)*(1+IF(AD142&gt;0,'Attrition Modeling'!$N$9,0))),0))</f>
        <v>1721.7045367080088</v>
      </c>
      <c r="AE77" s="799">
        <f>IF(AE$69=$F77+1,IF(Monthly!AA$4=TRUE,0,Monthly!AA$17),IF(AE$69&gt;$F77+1,AD77*(1-IF(AE$69-$F77&lt;=12,SUMIFS('Attrition Modeling'!$D:$D,'Attrition Modeling'!$B:$B,$E77,'Attrition Modeling'!$C:$C,AE$68),VLOOKUP(AE$69-$F77-1,$A$7:$C$161,2,FALSE)*VLOOKUP(AE$1,'Attrition Modeling'!$L$15:$N$27,IF(AE$2-$F10&lt;=24,2,3),FALSE))*(1+Projection!AG$16)*(1+IF(AE142&gt;0,'Attrition Modeling'!$N$9,0))),0))</f>
        <v>1645.7070381166454</v>
      </c>
      <c r="AF77" s="799">
        <f>IF(AF$69=$F77+1,IF(Monthly!AB$4=TRUE,0,Monthly!AB$17),IF(AF$69&gt;$F77+1,AE77*(1-IF(AF$69-$F77&lt;=12,SUMIFS('Attrition Modeling'!$D:$D,'Attrition Modeling'!$B:$B,$E77,'Attrition Modeling'!$C:$C,AF$68),VLOOKUP(AF$69-$F77-1,$A$7:$C$161,2,FALSE)*VLOOKUP(AF$1,'Attrition Modeling'!$L$15:$N$27,IF(AF$2-$F10&lt;=24,2,3),FALSE))*(1+Projection!AH$16)*(1+IF(AF142&gt;0,'Attrition Modeling'!$N$9,0))),0))</f>
        <v>1560.6169430852722</v>
      </c>
      <c r="AG77" s="799">
        <f>IF(AG$69=$F77+1,IF(Monthly!AC$4=TRUE,0,Monthly!AC$17),IF(AG$69&gt;$F77+1,AF77*(1-IF(AG$69-$F77&lt;=12,SUMIFS('Attrition Modeling'!$D:$D,'Attrition Modeling'!$B:$B,$E77,'Attrition Modeling'!$C:$C,AG$68),VLOOKUP(AG$69-$F77-1,$A$7:$C$161,2,FALSE)*VLOOKUP(AG$1,'Attrition Modeling'!$L$15:$N$27,IF(AG$2-$F10&lt;=24,2,3),FALSE))*(1+Projection!AI$16)*(1+IF(AG142&gt;0,'Attrition Modeling'!$N$9,0))),0))</f>
        <v>1501.2593745061815</v>
      </c>
      <c r="AH77" s="799">
        <f>IF(AH$69=$F77+1,IF(Monthly!AD$4=TRUE,0,Monthly!AD$17),IF(AH$69&gt;$F77+1,AG77*(1-IF(AH$69-$F77&lt;=12,SUMIFS('Attrition Modeling'!$D:$D,'Attrition Modeling'!$B:$B,$E77,'Attrition Modeling'!$C:$C,AH$68),VLOOKUP(AH$69-$F77-1,$A$7:$C$161,2,FALSE)*VLOOKUP(AH$1,'Attrition Modeling'!$L$15:$N$27,IF(AH$2-$F10&lt;=24,2,3),FALSE))*(1+Projection!AJ$16)*(1+IF(AH142&gt;0,'Attrition Modeling'!$N$9,0))),0))</f>
        <v>1440.2836114136312</v>
      </c>
      <c r="AI77" s="799">
        <f>IF(AI$69=$F77+1,IF(Monthly!AE$4=TRUE,0,Monthly!AE$17),IF(AI$69&gt;$F77+1,AH77*(1-IF(AI$69-$F77&lt;=12,SUMIFS('Attrition Modeling'!$D:$D,'Attrition Modeling'!$B:$B,$E77,'Attrition Modeling'!$C:$C,AI$68),VLOOKUP(AI$69-$F77-1,$A$7:$C$161,2,FALSE)*VLOOKUP(AI$1,'Attrition Modeling'!$L$15:$N$27,IF(AI$2-$F10&lt;=24,2,3),FALSE))*(1+Projection!AK$16)*(1+IF(AI142&gt;0,'Attrition Modeling'!$N$9,0))),0))</f>
        <v>1383.7483224510972</v>
      </c>
      <c r="AJ77" s="799">
        <f>IF(AJ$69=$F77+1,IF(Monthly!AF$4=TRUE,0,Monthly!AF$17),IF(AJ$69&gt;$F77+1,AI77*(1-IF(AJ$69-$F77&lt;=12,SUMIFS('Attrition Modeling'!$D:$D,'Attrition Modeling'!$B:$B,$E77,'Attrition Modeling'!$C:$C,AJ$68),VLOOKUP(AJ$69-$F77-1,$A$7:$C$161,2,FALSE)*VLOOKUP(AJ$1,'Attrition Modeling'!$L$15:$N$27,IF(AJ$2-$F10&lt;=24,2,3),FALSE))*(1+Projection!AL$16)*(1+IF(AJ142&gt;0,'Attrition Modeling'!$N$9,0))),0))</f>
        <v>1330.6585711224502</v>
      </c>
      <c r="AK77" s="799">
        <f>IF(AK$69=$F77+1,IF(Monthly!AG$4=TRUE,0,Monthly!AG$17),IF(AK$69&gt;$F77+1,AJ77*(1-IF(AK$69-$F77&lt;=12,SUMIFS('Attrition Modeling'!$D:$D,'Attrition Modeling'!$B:$B,$E77,'Attrition Modeling'!$C:$C,AK$68),VLOOKUP(AK$69-$F77-1,$A$7:$C$161,2,FALSE)*VLOOKUP(AK$1,'Attrition Modeling'!$L$15:$N$27,IF(AK$2-$F10&lt;=24,2,3),FALSE))*(1+Projection!AM$16)*(1+IF(AK142&gt;0,'Attrition Modeling'!$N$9,0))),0))</f>
        <v>1275.409754925746</v>
      </c>
      <c r="AL77" s="799">
        <f>IF(AL$69=$F77+1,IF(Monthly!AH$4=TRUE,0,Monthly!AH$17),IF(AL$69&gt;$F77+1,AK77*(1-IF(AL$69-$F77&lt;=12,SUMIFS('Attrition Modeling'!$D:$D,'Attrition Modeling'!$B:$B,$E77,'Attrition Modeling'!$C:$C,AL$68),VLOOKUP(AL$69-$F77-1,$A$7:$C$161,2,FALSE)*VLOOKUP(AL$1,'Attrition Modeling'!$L$15:$N$27,IF(AL$2-$F10&lt;=24,2,3),FALSE))*(1+Projection!AN$16)*(1+IF(AL142&gt;0,'Attrition Modeling'!$N$9,0))),0))</f>
        <v>1221.9186518610375</v>
      </c>
      <c r="AM77" s="799">
        <f>IF(AM$69=$F77+1,IF(Monthly!AI$4=TRUE,0,Monthly!AI$17),IF(AM$69&gt;$F77+1,AL77*(1-IF(AM$69-$F77&lt;=12,SUMIFS('Attrition Modeling'!$D:$D,'Attrition Modeling'!$B:$B,$E77,'Attrition Modeling'!$C:$C,AM$68),VLOOKUP(AM$69-$F77-1,$A$7:$C$161,2,FALSE)*VLOOKUP(AM$1,'Attrition Modeling'!$L$15:$N$27,IF(AM$2-$F10&lt;=24,2,3),FALSE))*(1+Projection!AO$16)*(1+IF(AM142&gt;0,'Attrition Modeling'!$N$9,0))),0))</f>
        <v>1168.5634087740771</v>
      </c>
      <c r="AN77" s="799">
        <f>IF(AN$69=$F77+1,IF(Monthly!AJ$4=TRUE,0,Monthly!AJ$17),IF(AN$69&gt;$F77+1,AM77*(1-IF(AN$69-$F77&lt;=12,SUMIFS('Attrition Modeling'!$D:$D,'Attrition Modeling'!$B:$B,$E77,'Attrition Modeling'!$C:$C,AN$68),VLOOKUP(AN$69-$F77-1,$A$7:$C$161,2,FALSE)*VLOOKUP(AN$1,'Attrition Modeling'!$L$15:$N$27,IF(AN$2-$F10&lt;=24,2,3),FALSE))*(1+Projection!AP$16)*(1+IF(AN142&gt;0,'Attrition Modeling'!$N$9,0))),0))</f>
        <v>1121.3123436877843</v>
      </c>
      <c r="AO77" s="799">
        <f>IF(AO$69=$F77+1,IF(Monthly!AK$4=TRUE,0,Monthly!AK$17),IF(AO$69&gt;$F77+1,AN77*(1-IF(AO$69-$F77&lt;=12,SUMIFS('Attrition Modeling'!$D:$D,'Attrition Modeling'!$B:$B,$E77,'Attrition Modeling'!$C:$C,AO$68),VLOOKUP(AO$69-$F77-1,$A$7:$C$161,2,FALSE)*VLOOKUP(AO$1,'Attrition Modeling'!$L$15:$N$27,IF(AO$2-$F10&lt;=24,2,3),FALSE))*(1+Projection!AQ$16)*(1+IF(AO142&gt;0,'Attrition Modeling'!$N$9,0))),0))</f>
        <v>1078.1256590164562</v>
      </c>
      <c r="AP77" s="799">
        <f>IF(AP$69=$F77+1,IF(Monthly!AL$4=TRUE,0,Monthly!AL$17),IF(AP$69&gt;$F77+1,AO77*(1-IF(AP$69-$F77&lt;=12,SUMIFS('Attrition Modeling'!$D:$D,'Attrition Modeling'!$B:$B,$E77,'Attrition Modeling'!$C:$C,AP$68),VLOOKUP(AP$69-$F77-1,$A$7:$C$161,2,FALSE)*VLOOKUP(AP$1,'Attrition Modeling'!$L$15:$N$27,IF(AP$2-$F10&lt;=24,2,3),FALSE))*(1+Projection!AR$16)*(1+IF(AP142&gt;0,'Attrition Modeling'!$N$9,0))),0))</f>
        <v>1038.0759144065239</v>
      </c>
      <c r="AQ77" s="799">
        <f>IF(AQ$69=$F77+1,IF(Monthly!AM$4=TRUE,0,Monthly!AM$17),IF(AQ$69&gt;$F77+1,AP77*(1-IF(AQ$69-$F77&lt;=12,SUMIFS('Attrition Modeling'!$D:$D,'Attrition Modeling'!$B:$B,$E77,'Attrition Modeling'!$C:$C,AQ$68),VLOOKUP(AQ$69-$F77-1,$A$7:$C$161,2,FALSE)*VLOOKUP(AQ$1,'Attrition Modeling'!$L$15:$N$27,IF(AQ$2-$F10&lt;=24,2,3),FALSE))*(1+Projection!AS$16)*(1+IF(AQ142&gt;0,'Attrition Modeling'!$N$9,0))),0))</f>
        <v>1006.7064836633255</v>
      </c>
      <c r="AR77" s="799">
        <f>IF(AR$69=$F77+1,IF(Monthly!AN$4=TRUE,0,Monthly!AN$17),IF(AR$69&gt;$F77+1,AQ77*(1-IF(AR$69-$F77&lt;=12,SUMIFS('Attrition Modeling'!$D:$D,'Attrition Modeling'!$B:$B,$E77,'Attrition Modeling'!$C:$C,AR$68),VLOOKUP(AR$69-$F77-1,$A$7:$C$161,2,FALSE)*VLOOKUP(AR$1,'Attrition Modeling'!$L$15:$N$27,IF(AR$2-$F10&lt;=24,2,3),FALSE))*(1+Projection!AT$16)*(1+IF(AR142&gt;0,'Attrition Modeling'!$N$9,0))),0))</f>
        <v>966.79751044439251</v>
      </c>
      <c r="AS77" s="799">
        <f>IF(AS$69=$F77+1,IF(Monthly!AO$4=TRUE,0,Monthly!AO$17),IF(AS$69&gt;$F77+1,AR77*(1-IF(AS$69-$F77&lt;=12,SUMIFS('Attrition Modeling'!$D:$D,'Attrition Modeling'!$B:$B,$E77,'Attrition Modeling'!$C:$C,AS$68),VLOOKUP(AS$69-$F77-1,$A$7:$C$161,2,FALSE)*VLOOKUP(AS$1,'Attrition Modeling'!$L$15:$N$27,IF(AS$2-$F10&lt;=24,2,3),FALSE))*(1+Projection!AU$16)*(1+IF(AS142&gt;0,'Attrition Modeling'!$N$9,0))),0))</f>
        <v>936.23935239718355</v>
      </c>
      <c r="AT77" s="799">
        <f>IF(AT$69=$F77+1,IF(Monthly!AP$4=TRUE,0,Monthly!AP$17),IF(AT$69&gt;$F77+1,AS77*(1-IF(AT$69-$F77&lt;=12,SUMIFS('Attrition Modeling'!$D:$D,'Attrition Modeling'!$B:$B,$E77,'Attrition Modeling'!$C:$C,AT$68),VLOOKUP(AT$69-$F77-1,$A$7:$C$161,2,FALSE)*VLOOKUP(AT$1,'Attrition Modeling'!$L$15:$N$27,IF(AT$2-$F10&lt;=24,2,3),FALSE))*(1+Projection!AV$16)*(1+IF(AT142&gt;0,'Attrition Modeling'!$N$9,0))),0))</f>
        <v>908.23041613370197</v>
      </c>
      <c r="AU77" s="799">
        <f>IF(AU$69=$F77+1,IF(Monthly!AQ$4=TRUE,0,Monthly!AQ$17),IF(AU$69&gt;$F77+1,AT77*(1-IF(AU$69-$F77&lt;=12,SUMIFS('Attrition Modeling'!$D:$D,'Attrition Modeling'!$B:$B,$E77,'Attrition Modeling'!$C:$C,AU$68),VLOOKUP(AU$69-$F77-1,$A$7:$C$161,2,FALSE)*VLOOKUP(AU$1,'Attrition Modeling'!$L$15:$N$27,IF(AU$2-$F10&lt;=24,2,3),FALSE))*(1+Projection!AW$16)*(1+IF(AU142&gt;0,'Attrition Modeling'!$N$9,0))),0))</f>
        <v>886.87546971721531</v>
      </c>
      <c r="AV77" s="799">
        <f>IF(AV$69=$F77+1,IF(Monthly!AR$4=TRUE,0,Monthly!AR$17),IF(AV$69&gt;$F77+1,AU77*(1-IF(AV$69-$F77&lt;=12,SUMIFS('Attrition Modeling'!$D:$D,'Attrition Modeling'!$B:$B,$E77,'Attrition Modeling'!$C:$C,AV$68),VLOOKUP(AV$69-$F77-1,$A$7:$C$161,2,FALSE)*VLOOKUP(AV$1,'Attrition Modeling'!$L$15:$N$27,IF(AV$2-$F10&lt;=24,2,3),FALSE))*(1+Projection!AX$16)*(1+IF(AV142&gt;0,'Attrition Modeling'!$N$9,0))),0))</f>
        <v>861.98952280829531</v>
      </c>
      <c r="AW77" s="799">
        <f>IF(AW$69=$F77+1,IF(Monthly!AS$4=TRUE,0,Monthly!AS$17),IF(AW$69&gt;$F77+1,AV77*(1-IF(AW$69-$F77&lt;=12,SUMIFS('Attrition Modeling'!$D:$D,'Attrition Modeling'!$B:$B,$E77,'Attrition Modeling'!$C:$C,AW$68),VLOOKUP(AW$69-$F77-1,$A$7:$C$161,2,FALSE)*VLOOKUP(AW$1,'Attrition Modeling'!$L$15:$N$27,IF(AW$2-$F10&lt;=24,2,3),FALSE))*(1+Projection!AY$16)*(1+IF(AW142&gt;0,'Attrition Modeling'!$N$9,0))),0))</f>
        <v>834.69478784066587</v>
      </c>
      <c r="AX77" s="799">
        <f>IF(AX$69=$F77+1,IF(Monthly!AT$4=TRUE,0,Monthly!AT$17),IF(AX$69&gt;$F77+1,AW77*(1-IF(AX$69-$F77&lt;=12,SUMIFS('Attrition Modeling'!$D:$D,'Attrition Modeling'!$B:$B,$E77,'Attrition Modeling'!$C:$C,AX$68),VLOOKUP(AX$69-$F77-1,$A$7:$C$161,2,FALSE)*VLOOKUP(AX$1,'Attrition Modeling'!$L$15:$N$27,IF(AX$2-$F10&lt;=24,2,3),FALSE))*(1+Projection!AZ$16)*(1+IF(AX142&gt;0,'Attrition Modeling'!$N$9,0))),0))</f>
        <v>806.21574913663972</v>
      </c>
      <c r="AY77" s="799">
        <f>IF(AY$69=$F77+1,IF(Monthly!AU$4=TRUE,0,Monthly!AU$17),IF(AY$69&gt;$F77+1,AX77*(1-IF(AY$69-$F77&lt;=12,SUMIFS('Attrition Modeling'!$D:$D,'Attrition Modeling'!$B:$B,$E77,'Attrition Modeling'!$C:$C,AY$68),VLOOKUP(AY$69-$F77-1,$A$7:$C$161,2,FALSE)*VLOOKUP(AY$1,'Attrition Modeling'!$L$15:$N$27,IF(AY$2-$F10&lt;=24,2,3),FALSE))*(1+Projection!BA$16)*(1+IF(AY142&gt;0,'Attrition Modeling'!$N$9,0))),0))</f>
        <v>776.9964500060546</v>
      </c>
      <c r="AZ77" s="799">
        <f>IF(AZ$69=$F77+1,IF(Monthly!AV$4=TRUE,0,Monthly!AV$17),IF(AZ$69&gt;$F77+1,AY77*(1-IF(AZ$69-$F77&lt;=12,SUMIFS('Attrition Modeling'!$D:$D,'Attrition Modeling'!$B:$B,$E77,'Attrition Modeling'!$C:$C,AZ$68),VLOOKUP(AZ$69-$F77-1,$A$7:$C$161,2,FALSE)*VLOOKUP(AZ$1,'Attrition Modeling'!$L$15:$N$27,IF(AZ$2-$F10&lt;=24,2,3),FALSE))*(1+Projection!BB$16)*(1+IF(AZ142&gt;0,'Attrition Modeling'!$N$9,0))),0))</f>
        <v>750.83229415168967</v>
      </c>
      <c r="BA77" s="799">
        <f>IF(BA$69=$F77+1,IF(Monthly!AW$4=TRUE,0,Monthly!AW$17),IF(BA$69&gt;$F77+1,AZ77*(1-IF(BA$69-$F77&lt;=12,SUMIFS('Attrition Modeling'!$D:$D,'Attrition Modeling'!$B:$B,$E77,'Attrition Modeling'!$C:$C,BA$68),VLOOKUP(BA$69-$F77-1,$A$7:$C$161,2,FALSE)*VLOOKUP(BA$1,'Attrition Modeling'!$L$15:$N$27,IF(BA$2-$F10&lt;=24,2,3),FALSE))*(1+Projection!BC$16)*(1+IF(BA142&gt;0,'Attrition Modeling'!$N$9,0))),0))</f>
        <v>726.67499119387162</v>
      </c>
      <c r="BB77" s="799">
        <f>IF(BB$69=$F77+1,IF(Monthly!AX$4=TRUE,0,Monthly!AX$17),IF(BB$69&gt;$F77+1,BA77*(1-IF(BB$69-$F77&lt;=12,SUMIFS('Attrition Modeling'!$D:$D,'Attrition Modeling'!$B:$B,$E77,'Attrition Modeling'!$C:$C,BB$68),VLOOKUP(BB$69-$F77-1,$A$7:$C$161,2,FALSE)*VLOOKUP(BB$1,'Attrition Modeling'!$L$15:$N$27,IF(BB$2-$F10&lt;=24,2,3),FALSE))*(1+Projection!BD$16)*(1+IF(BB142&gt;0,'Attrition Modeling'!$N$9,0))),0))</f>
        <v>704.05856966698366</v>
      </c>
      <c r="BC77" s="799">
        <f>IF(BC$69=$F77+1,IF(Monthly!AY$4=TRUE,0,Monthly!AY$17),IF(BC$69&gt;$F77+1,BB77*(1-IF(BC$69-$F77&lt;=12,SUMIFS('Attrition Modeling'!$D:$D,'Attrition Modeling'!$B:$B,$E77,'Attrition Modeling'!$C:$C,BC$68),VLOOKUP(BC$69-$F77-1,$A$7:$C$161,2,FALSE)*VLOOKUP(BC$1,'Attrition Modeling'!$L$15:$N$27,IF(BC$2-$F10&lt;=24,2,3),FALSE))*(1+Projection!BE$16)*(1+IF(BC142&gt;0,'Attrition Modeling'!$N$9,0))),0))</f>
        <v>686.18402690728033</v>
      </c>
      <c r="BD77" s="799">
        <f>IF(BD$69=$F77+1,IF(Monthly!AZ$4=TRUE,0,Monthly!AZ$17),IF(BD$69&gt;$F77+1,BC77*(1-IF(BD$69-$F77&lt;=12,SUMIFS('Attrition Modeling'!$D:$D,'Attrition Modeling'!$B:$B,$E77,'Attrition Modeling'!$C:$C,BD$68),VLOOKUP(BD$69-$F77-1,$A$7:$C$161,2,FALSE)*VLOOKUP(BD$1,'Attrition Modeling'!$L$15:$N$27,IF(BD$2-$F10&lt;=24,2,3),FALSE))*(1+Projection!BF$16)*(1+IF(BD142&gt;0,'Attrition Modeling'!$N$9,0))),0))</f>
        <v>663.27098555306952</v>
      </c>
      <c r="BE77" s="799">
        <f>IF(BE$69=$F77+1,IF(Monthly!BA$4=TRUE,0,Monthly!BA$17),IF(BE$69&gt;$F77+1,BD77*(1-IF(BE$69-$F77&lt;=12,SUMIFS('Attrition Modeling'!$D:$D,'Attrition Modeling'!$B:$B,$E77,'Attrition Modeling'!$C:$C,BE$68),VLOOKUP(BE$69-$F77-1,$A$7:$C$161,2,FALSE)*VLOOKUP(BE$1,'Attrition Modeling'!$L$15:$N$27,IF(BE$2-$F10&lt;=24,2,3),FALSE))*(1+Projection!BG$16)*(1+IF(BE142&gt;0,'Attrition Modeling'!$N$9,0))),0))</f>
        <v>645.56912348819048</v>
      </c>
      <c r="BF77" s="799">
        <f>IF(BF$69=$F77+1,IF(Monthly!BB$4=TRUE,0,Monthly!BB$17),IF(BF$69&gt;$F77+1,BE77*(1-IF(BF$69-$F77&lt;=12,SUMIFS('Attrition Modeling'!$D:$D,'Attrition Modeling'!$B:$B,$E77,'Attrition Modeling'!$C:$C,BF$68),VLOOKUP(BF$69-$F77-1,$A$7:$C$161,2,FALSE)*VLOOKUP(BF$1,'Attrition Modeling'!$L$15:$N$27,IF(BF$2-$F10&lt;=24,2,3),FALSE))*(1+Projection!BH$16)*(1+IF(BF142&gt;0,'Attrition Modeling'!$N$9,0))),0))</f>
        <v>629.22387149066788</v>
      </c>
      <c r="BG77" s="799">
        <f>IF(BG$69=$F77+1,IF(Monthly!BC$4=TRUE,0,Monthly!BC$17),IF(BG$69&gt;$F77+1,BF77*(1-IF(BG$69-$F77&lt;=12,SUMIFS('Attrition Modeling'!$D:$D,'Attrition Modeling'!$B:$B,$E77,'Attrition Modeling'!$C:$C,BG$68),VLOOKUP(BG$69-$F77-1,$A$7:$C$161,2,FALSE)*VLOOKUP(BG$1,'Attrition Modeling'!$L$15:$N$27,IF(BG$2-$F10&lt;=24,2,3),FALSE))*(1+Projection!BI$16)*(1+IF(BG142&gt;0,'Attrition Modeling'!$N$9,0))),0))</f>
        <v>616.6752784538935</v>
      </c>
      <c r="BH77" s="799">
        <f>IF(BH$69=$F77+1,IF(Monthly!BD$4=TRUE,0,Monthly!BD$17),IF(BH$69&gt;$F77+1,BG77*(1-IF(BH$69-$F77&lt;=12,SUMIFS('Attrition Modeling'!$D:$D,'Attrition Modeling'!$B:$B,$E77,'Attrition Modeling'!$C:$C,BH$68),VLOOKUP(BH$69-$F77-1,$A$7:$C$161,2,FALSE)*VLOOKUP(BH$1,'Attrition Modeling'!$L$15:$N$27,IF(BH$2-$F10&lt;=24,2,3),FALSE))*(1+Projection!BJ$16)*(1+IF(BH142&gt;0,'Attrition Modeling'!$N$9,0))),0))</f>
        <v>601.96797324251611</v>
      </c>
      <c r="BI77" s="799">
        <f>IF(BI$69=$F77+1,IF(Monthly!BE$4=TRUE,0,Monthly!BE$17),IF(BI$69&gt;$F77+1,BH77*(1-IF(BI$69-$F77&lt;=12,SUMIFS('Attrition Modeling'!$D:$D,'Attrition Modeling'!$B:$B,$E77,'Attrition Modeling'!$C:$C,BI$68),VLOOKUP(BI$69-$F77-1,$A$7:$C$161,2,FALSE)*VLOOKUP(BI$1,'Attrition Modeling'!$L$15:$N$27,IF(BI$2-$F10&lt;=24,2,3),FALSE))*(1+Projection!BK$16)*(1+IF(BI142&gt;0,'Attrition Modeling'!$N$9,0))),0))</f>
        <v>585.73545421402343</v>
      </c>
      <c r="BJ77" s="799">
        <f>IF(BJ$69=$F77+1,IF(Monthly!BF$4=TRUE,0,Monthly!BF$17),IF(BJ$69&gt;$F77+1,BI77*(1-IF(BJ$69-$F77&lt;=12,SUMIFS('Attrition Modeling'!$D:$D,'Attrition Modeling'!$B:$B,$E77,'Attrition Modeling'!$C:$C,BJ$68),VLOOKUP(BJ$69-$F77-1,$A$7:$C$161,2,FALSE)*VLOOKUP(BJ$1,'Attrition Modeling'!$L$15:$N$27,IF(BJ$2-$F10&lt;=24,2,3),FALSE))*(1+Projection!BL$16)*(1+IF(BJ142&gt;0,'Attrition Modeling'!$N$9,0))),0))</f>
        <v>568.68477939759634</v>
      </c>
      <c r="BK77" s="799">
        <f>IF(BK$69=$F77+1,IF(Monthly!BG$4=TRUE,0,Monthly!BG$17),IF(BK$69&gt;$F77+1,BJ77*(1-IF(BK$69-$F77&lt;=12,SUMIFS('Attrition Modeling'!$D:$D,'Attrition Modeling'!$B:$B,$E77,'Attrition Modeling'!$C:$C,BK$68),VLOOKUP(BK$69-$F77-1,$A$7:$C$161,2,FALSE)*VLOOKUP(BK$1,'Attrition Modeling'!$L$15:$N$27,IF(BK$2-$F10&lt;=24,2,3),FALSE))*(1+Projection!BM$16)*(1+IF(BK142&gt;0,'Attrition Modeling'!$N$9,0))),0))</f>
        <v>551.1874986283616</v>
      </c>
      <c r="BL77" s="799">
        <f>IF(BL$69=$F77+1,IF(Monthly!BH$4=TRUE,0,Monthly!BH$17),IF(BL$69&gt;$F77+1,BK77*(1-IF(BL$69-$F77&lt;=12,SUMIFS('Attrition Modeling'!$D:$D,'Attrition Modeling'!$B:$B,$E77,'Attrition Modeling'!$C:$C,BL$68),VLOOKUP(BL$69-$F77-1,$A$7:$C$161,2,FALSE)*VLOOKUP(BL$1,'Attrition Modeling'!$L$15:$N$27,IF(BL$2-$F10&lt;=24,2,3),FALSE))*(1+Projection!BN$16)*(1+IF(BL142&gt;0,'Attrition Modeling'!$N$9,0))),0))</f>
        <v>535.4068513069036</v>
      </c>
      <c r="BM77" s="799">
        <f>IF(BM$69=$F77+1,IF(Monthly!BI$4=TRUE,0,Monthly!BI$17),IF(BM$69&gt;$F77+1,BL77*(1-IF(BM$69-$F77&lt;=12,SUMIFS('Attrition Modeling'!$D:$D,'Attrition Modeling'!$B:$B,$E77,'Attrition Modeling'!$C:$C,BM$68),VLOOKUP(BM$69-$F77-1,$A$7:$C$161,2,FALSE)*VLOOKUP(BM$1,'Attrition Modeling'!$L$15:$N$27,IF(BM$2-$F10&lt;=24,2,3),FALSE))*(1+Projection!BO$16)*(1+IF(BM142&gt;0,'Attrition Modeling'!$N$9,0))),0))</f>
        <v>520.73961087146279</v>
      </c>
      <c r="BN77" s="799">
        <f>IF(BN$69=$F77+1,IF(Monthly!BJ$4=TRUE,0,Monthly!BJ$17),IF(BN$69&gt;$F77+1,BM77*(1-IF(BN$69-$F77&lt;=12,SUMIFS('Attrition Modeling'!$D:$D,'Attrition Modeling'!$B:$B,$E77,'Attrition Modeling'!$C:$C,BN$68),VLOOKUP(BN$69-$F77-1,$A$7:$C$161,2,FALSE)*VLOOKUP(BN$1,'Attrition Modeling'!$L$15:$N$27,IF(BN$2-$F10&lt;=24,2,3),FALSE))*(1+Projection!BP$16)*(1+IF(BN142&gt;0,'Attrition Modeling'!$N$9,0))),0))</f>
        <v>506.92143911937848</v>
      </c>
      <c r="BO77" s="799">
        <f>IF(BO$69=$F77+1,IF(Monthly!BK$4=TRUE,0,Monthly!BK$17),IF(BO$69&gt;$F77+1,BN77*(1-IF(BO$69-$F77&lt;=12,SUMIFS('Attrition Modeling'!$D:$D,'Attrition Modeling'!$B:$B,$E77,'Attrition Modeling'!$C:$C,BO$68),VLOOKUP(BO$69-$F77-1,$A$7:$C$161,2,FALSE)*VLOOKUP(BO$1,'Attrition Modeling'!$L$15:$N$27,IF(BO$2-$F10&lt;=24,2,3),FALSE))*(1+Projection!BV$16)*(1+IF(BO142&gt;0,'Attrition Modeling'!$N$9,0))),0))</f>
        <v>495.93470772740824</v>
      </c>
      <c r="BP77" s="799">
        <f>IF(BP$69=$F77+1,IF(Monthly!BL$4=TRUE,0,Monthly!BL$17),IF(BP$69&gt;$F77+1,BO77*(1-IF(BP$69-$F77&lt;=12,SUMIFS('Attrition Modeling'!$D:$D,'Attrition Modeling'!$B:$B,$E77,'Attrition Modeling'!$C:$C,BP$68),VLOOKUP(BP$69-$F77-1,$A$7:$C$161,2,FALSE)*VLOOKUP(BP$1,'Attrition Modeling'!$L$15:$N$27,IF(BP$2-$F10&lt;=24,2,3),FALSE))*(1+Projection!BW$16)*(1+IF(BP142&gt;0,'Attrition Modeling'!$N$9,0))),0))</f>
        <v>484.1393150023415</v>
      </c>
      <c r="BQ77" s="799">
        <f>IF(BQ$69=$F77+1,IF(Monthly!BM$4=TRUE,0,Monthly!BM$17),IF(BQ$69&gt;$F77+1,BP77*(1-IF(BQ$69-$F77&lt;=12,SUMIFS('Attrition Modeling'!$D:$D,'Attrition Modeling'!$B:$B,$E77,'Attrition Modeling'!$C:$C,BQ$68),VLOOKUP(BQ$69-$F77-1,$A$7:$C$161,2,FALSE)*VLOOKUP(BQ$1,'Attrition Modeling'!$L$15:$N$27,IF(BQ$2-$F10&lt;=24,2,3),FALSE))*(1+Projection!BX$16)*(1+IF(BQ142&gt;0,'Attrition Modeling'!$N$9,0))),0))</f>
        <v>473.08269885809273</v>
      </c>
      <c r="BR77" s="799">
        <f>IF(BR$69=$F77+1,IF(Monthly!BN$4=TRUE,0,Monthly!BN$17),IF(BR$69&gt;$F77+1,BQ77*(1-IF(BR$69-$F77&lt;=12,SUMIFS('Attrition Modeling'!$D:$D,'Attrition Modeling'!$B:$B,$E77,'Attrition Modeling'!$C:$C,BR$68),VLOOKUP(BR$69-$F77-1,$A$7:$C$161,2,FALSE)*VLOOKUP(BR$1,'Attrition Modeling'!$L$15:$N$27,IF(BR$2-$F10&lt;=24,2,3),FALSE))*(1+Projection!BY$16)*(1+IF(BR142&gt;0,'Attrition Modeling'!$N$9,0))),0))</f>
        <v>462.82192966751376</v>
      </c>
      <c r="BS77" s="799">
        <f>IF(BS$69=$F77+1,IF(Monthly!BO$4=TRUE,0,Monthly!BO$17),IF(BS$69&gt;$F77+1,BR77*(1-IF(BS$69-$F77&lt;=12,SUMIFS('Attrition Modeling'!$D:$D,'Attrition Modeling'!$B:$B,$E77,'Attrition Modeling'!$C:$C,BS$68),VLOOKUP(BS$69-$F77-1,$A$7:$C$161,2,FALSE)*VLOOKUP(BS$1,'Attrition Modeling'!$L$15:$N$27,IF(BS$2-$F10&lt;=24,2,3),FALSE))*(1+Projection!BZ$16)*(1+IF(BS142&gt;0,'Attrition Modeling'!$N$9,0))),0))</f>
        <v>454.90708548040368</v>
      </c>
      <c r="BT77" s="799">
        <f>IF(BT$69=$F77+1,IF(Monthly!#REF!=TRUE,0,Monthly!#REF!),IF(BT$69&gt;$F77+1,BS77*(1-IF(BT$69-$F77&lt;=12,SUMIFS('Attrition Modeling'!$D:$D,'Attrition Modeling'!$B:$B,$E77,'Attrition Modeling'!$C:$C,BT$68),VLOOKUP(BT$69-$F77-1,$A$7:$C$161,2,FALSE)*VLOOKUP(BT$1,'Attrition Modeling'!$L$15:$N$27,IF(BT$2-$F10&lt;=24,2,3),FALSE))*(1+Projection!CA$16)*(1+IF(BT142&gt;0,'Attrition Modeling'!$N$9,0))),0))</f>
        <v>445.59475573430063</v>
      </c>
      <c r="BU77" s="799">
        <f>IF(BU$69=$F77+1,IF(Monthly!#REF!=TRUE,0,Monthly!#REF!),IF(BU$69&gt;$F77+1,BT77*(1-IF(BU$69-$F77&lt;=12,SUMIFS('Attrition Modeling'!$D:$D,'Attrition Modeling'!$B:$B,$E77,'Attrition Modeling'!$C:$C,BU$68),VLOOKUP(BU$69-$F77-1,$A$7:$C$161,2,FALSE)*VLOOKUP(BU$1,'Attrition Modeling'!$L$15:$N$27,IF(BU$2-$F10&lt;=24,2,3),FALSE))*(1+Projection!CB$16)*(1+IF(BU142&gt;0,'Attrition Modeling'!$N$9,0))),0))</f>
        <v>435.27167697658371</v>
      </c>
    </row>
    <row r="78" spans="1:73" ht="14.25" customHeight="1" x14ac:dyDescent="0.2">
      <c r="A78" s="9">
        <v>71</v>
      </c>
      <c r="B78" s="25">
        <f>MAX('Attrition Modeling'!H75,$C$3)*(1-Summary!$C$20)</f>
        <v>0.02</v>
      </c>
      <c r="C78" s="24" t="e">
        <f t="shared" si="4"/>
        <v>#DIV/0!</v>
      </c>
      <c r="E78" s="11">
        <f t="shared" si="9"/>
        <v>8</v>
      </c>
      <c r="F78" s="11">
        <f t="shared" si="10"/>
        <v>8</v>
      </c>
      <c r="G78" s="799"/>
      <c r="H78" s="799">
        <f>IF(H$69=$F78+1,IF(Monthly!D$4=TRUE,0,Monthly!D$17),IF(H$69&gt;$F78+1,G78*(1-IF(H$69-$F78&lt;=12,SUMIFS('Attrition Modeling'!$D:$D,'Attrition Modeling'!$B:$B,$E78,'Attrition Modeling'!$C:$C,H$68),VLOOKUP(H$69-$F78-1,$A$7:$C$161,2,FALSE)*VLOOKUP(H$1,'Attrition Modeling'!$L$15:$N$27,IF(H$2-$F11&lt;=24,2,3),FALSE))*(1+Projection!J$16)*(1+IF(H143&gt;0,'Attrition Modeling'!$N$9,0))),0))</f>
        <v>0</v>
      </c>
      <c r="I78" s="799">
        <f>IF(I$69=$F78+1,IF(Monthly!E$4=TRUE,0,Monthly!E$17),IF(I$69&gt;$F78+1,H78*(1-IF(I$69-$F78&lt;=12,SUMIFS('Attrition Modeling'!$D:$D,'Attrition Modeling'!$B:$B,$E78,'Attrition Modeling'!$C:$C,I$68),VLOOKUP(I$69-$F78-1,$A$7:$C$161,2,FALSE)*VLOOKUP(I$1,'Attrition Modeling'!$L$15:$N$27,IF(I$2-$F11&lt;=24,2,3),FALSE))*(1+Projection!K$16)*(1+IF(I143&gt;0,'Attrition Modeling'!$N$9,0))),0))</f>
        <v>0</v>
      </c>
      <c r="J78" s="799">
        <f>IF(J$69=$F78+1,IF(Monthly!F$4=TRUE,0,Monthly!F$17),IF(J$69&gt;$F78+1,I78*(1-IF(J$69-$F78&lt;=12,SUMIFS('Attrition Modeling'!$D:$D,'Attrition Modeling'!$B:$B,$E78,'Attrition Modeling'!$C:$C,J$68),VLOOKUP(J$69-$F78-1,$A$7:$C$161,2,FALSE)*VLOOKUP(J$1,'Attrition Modeling'!$L$15:$N$27,IF(J$2-$F11&lt;=24,2,3),FALSE))*(1+Projection!L$16)*(1+IF(J143&gt;0,'Attrition Modeling'!$N$9,0))),0))</f>
        <v>0</v>
      </c>
      <c r="K78" s="799">
        <f>IF(K$69=$F78+1,IF(Monthly!G$4=TRUE,0,Monthly!G$17),IF(K$69&gt;$F78+1,J78*(1-IF(K$69-$F78&lt;=12,SUMIFS('Attrition Modeling'!$D:$D,'Attrition Modeling'!$B:$B,$E78,'Attrition Modeling'!$C:$C,K$68),VLOOKUP(K$69-$F78-1,$A$7:$C$161,2,FALSE)*VLOOKUP(K$1,'Attrition Modeling'!$L$15:$N$27,IF(K$2-$F11&lt;=24,2,3),FALSE))*(1+Projection!M$16)*(1+IF(K143&gt;0,'Attrition Modeling'!$N$9,0))),0))</f>
        <v>0</v>
      </c>
      <c r="L78" s="799">
        <f>IF(L$69=$F78+1,IF(Monthly!H$4=TRUE,0,Monthly!H$17),IF(L$69&gt;$F78+1,K78*(1-IF(L$69-$F78&lt;=12,SUMIFS('Attrition Modeling'!$D:$D,'Attrition Modeling'!$B:$B,$E78,'Attrition Modeling'!$C:$C,L$68),VLOOKUP(L$69-$F78-1,$A$7:$C$161,2,FALSE)*VLOOKUP(L$1,'Attrition Modeling'!$L$15:$N$27,IF(L$2-$F11&lt;=24,2,3),FALSE))*(1+Projection!N$16)*(1+IF(L143&gt;0,'Attrition Modeling'!$N$9,0))),0))</f>
        <v>0</v>
      </c>
      <c r="M78" s="799">
        <f>IF(M$69=$F78+1,IF(Monthly!I$4=TRUE,0,Monthly!I$17),IF(M$69&gt;$F78+1,L78*(1-IF(M$69-$F78&lt;=12,SUMIFS('Attrition Modeling'!$D:$D,'Attrition Modeling'!$B:$B,$E78,'Attrition Modeling'!$C:$C,M$68),VLOOKUP(M$69-$F78-1,$A$7:$C$161,2,FALSE)*VLOOKUP(M$1,'Attrition Modeling'!$L$15:$N$27,IF(M$2-$F11&lt;=24,2,3),FALSE))*(1+Projection!O$16)*(1+IF(M143&gt;0,'Attrition Modeling'!$N$9,0))),0))</f>
        <v>0</v>
      </c>
      <c r="N78" s="799">
        <f>IF(N$69=$F78+1,IF(Monthly!J$4=TRUE,0,Monthly!J$17),IF(N$69&gt;$F78+1,M78*(1-IF(N$69-$F78&lt;=12,SUMIFS('Attrition Modeling'!$D:$D,'Attrition Modeling'!$B:$B,$E78,'Attrition Modeling'!$C:$C,N$68),VLOOKUP(N$69-$F78-1,$A$7:$C$161,2,FALSE)*VLOOKUP(N$1,'Attrition Modeling'!$L$15:$N$27,IF(N$2-$F11&lt;=24,2,3),FALSE))*(1+Projection!P$16)*(1+IF(N143&gt;0,'Attrition Modeling'!$N$9,0))),0))</f>
        <v>0</v>
      </c>
      <c r="O78" s="799">
        <f>IF(O$69=$F78+1,IF(Monthly!K$4=TRUE,0,Monthly!K$17),IF(O$69&gt;$F78+1,N78*(1-IF(O$69-$F78&lt;=12,SUMIFS('Attrition Modeling'!$D:$D,'Attrition Modeling'!$B:$B,$E78,'Attrition Modeling'!$C:$C,O$68),VLOOKUP(O$69-$F78-1,$A$7:$C$161,2,FALSE)*VLOOKUP(O$1,'Attrition Modeling'!$L$15:$N$27,IF(O$2-$F11&lt;=24,2,3),FALSE))*(1+Projection!Q$16)*(1+IF(O143&gt;0,'Attrition Modeling'!$N$9,0))),0))</f>
        <v>0</v>
      </c>
      <c r="P78" s="799">
        <f>IF(P$69=$F78+1,IF(Monthly!L$4=TRUE,0,Monthly!L$17),IF(P$69&gt;$F78+1,O78*(1-IF(P$69-$F78&lt;=12,SUMIFS('Attrition Modeling'!$D:$D,'Attrition Modeling'!$B:$B,$E78,'Attrition Modeling'!$C:$C,P$68),VLOOKUP(P$69-$F78-1,$A$7:$C$161,2,FALSE)*VLOOKUP(P$1,'Attrition Modeling'!$L$15:$N$27,IF(P$2-$F11&lt;=24,2,3),FALSE))*(1+Projection!R$16)*(1+IF(P143&gt;0,'Attrition Modeling'!$N$9,0))),0))</f>
        <v>4711.8624123583686</v>
      </c>
      <c r="Q78" s="799">
        <f>IF(Q$69=$F78+1,IF(Monthly!M$4=TRUE,0,Monthly!M$17),IF(Q$69&gt;$F78+1,P78*(1-IF(Q$69-$F78&lt;=12,SUMIFS('Attrition Modeling'!$D:$D,'Attrition Modeling'!$B:$B,$E78,'Attrition Modeling'!$C:$C,Q$68),VLOOKUP(Q$69-$F78-1,$A$7:$C$161,2,FALSE)*VLOOKUP(Q$1,'Attrition Modeling'!$L$15:$N$27,IF(Q$2-$F11&lt;=24,2,3),FALSE))*(1+Projection!S$16)*(1+IF(Q143&gt;0,'Attrition Modeling'!$N$9,0))),0))</f>
        <v>4197.0815488971512</v>
      </c>
      <c r="R78" s="799">
        <f>IF(R$69=$F78+1,IF(Monthly!N$4=TRUE,0,Monthly!N$17),IF(R$69&gt;$F78+1,Q78*(1-IF(R$69-$F78&lt;=12,SUMIFS('Attrition Modeling'!$D:$D,'Attrition Modeling'!$B:$B,$E78,'Attrition Modeling'!$C:$C,R$68),VLOOKUP(R$69-$F78-1,$A$7:$C$161,2,FALSE)*VLOOKUP(R$1,'Attrition Modeling'!$L$15:$N$27,IF(R$2-$F11&lt;=24,2,3),FALSE))*(1+Projection!T$16)*(1+IF(R143&gt;0,'Attrition Modeling'!$N$9,0))),0))</f>
        <v>3819.6964285799913</v>
      </c>
      <c r="S78" s="799">
        <f>IF(S$69=$F78+1,IF(Monthly!O$4=TRUE,0,Monthly!O$17),IF(S$69&gt;$F78+1,R78*(1-IF(S$69-$F78&lt;=12,SUMIFS('Attrition Modeling'!$D:$D,'Attrition Modeling'!$B:$B,$E78,'Attrition Modeling'!$C:$C,S$68),VLOOKUP(S$69-$F78-1,$A$7:$C$161,2,FALSE)*VLOOKUP(S$1,'Attrition Modeling'!$L$15:$N$27,IF(S$2-$F11&lt;=24,2,3),FALSE))*(1+Projection!U$16)*(1+IF(S143&gt;0,'Attrition Modeling'!$N$9,0))),0))</f>
        <v>3475.6022843563628</v>
      </c>
      <c r="T78" s="799">
        <f>IF(T$69=$F78+1,IF(Monthly!P$4=TRUE,0,Monthly!P$17),IF(T$69&gt;$F78+1,S78*(1-IF(T$69-$F78&lt;=12,SUMIFS('Attrition Modeling'!$D:$D,'Attrition Modeling'!$B:$B,$E78,'Attrition Modeling'!$C:$C,T$68),VLOOKUP(T$69-$F78-1,$A$7:$C$161,2,FALSE)*VLOOKUP(T$1,'Attrition Modeling'!$L$15:$N$27,IF(T$2-$F11&lt;=24,2,3),FALSE))*(1+Projection!V$16)*(1+IF(T143&gt;0,'Attrition Modeling'!$N$9,0))),0))</f>
        <v>3206.1388740062371</v>
      </c>
      <c r="U78" s="799">
        <f>IF(U$69=$F78+1,IF(Monthly!Q$4=TRUE,0,Monthly!Q$17),IF(U$69&gt;$F78+1,T78*(1-IF(U$69-$F78&lt;=12,SUMIFS('Attrition Modeling'!$D:$D,'Attrition Modeling'!$B:$B,$E78,'Attrition Modeling'!$C:$C,U$68),VLOOKUP(U$69-$F78-1,$A$7:$C$161,2,FALSE)*VLOOKUP(U$1,'Attrition Modeling'!$L$15:$N$27,IF(U$2-$F11&lt;=24,2,3),FALSE))*(1+Projection!W$16)*(1+IF(U143&gt;0,'Attrition Modeling'!$N$9,0))),0))</f>
        <v>2909.8258136046998</v>
      </c>
      <c r="V78" s="799">
        <f>IF(V$69=$F78+1,IF(Monthly!R$4=TRUE,0,Monthly!R$17),IF(V$69&gt;$F78+1,U78*(1-IF(V$69-$F78&lt;=12,SUMIFS('Attrition Modeling'!$D:$D,'Attrition Modeling'!$B:$B,$E78,'Attrition Modeling'!$C:$C,V$68),VLOOKUP(V$69-$F78-1,$A$7:$C$161,2,FALSE)*VLOOKUP(V$1,'Attrition Modeling'!$L$15:$N$27,IF(V$2-$F11&lt;=24,2,3),FALSE))*(1+Projection!X$16)*(1+IF(V143&gt;0,'Attrition Modeling'!$N$9,0))),0))</f>
        <v>2689.15460460346</v>
      </c>
      <c r="W78" s="799">
        <f>IF(W$69=$F78+1,IF(Monthly!S$4=TRUE,0,Monthly!S$17),IF(W$69&gt;$F78+1,V78*(1-IF(W$69-$F78&lt;=12,SUMIFS('Attrition Modeling'!$D:$D,'Attrition Modeling'!$B:$B,$E78,'Attrition Modeling'!$C:$C,W$68),VLOOKUP(W$69-$F78-1,$A$7:$C$161,2,FALSE)*VLOOKUP(W$1,'Attrition Modeling'!$L$15:$N$27,IF(W$2-$F11&lt;=24,2,3),FALSE))*(1+Projection!Y$16)*(1+IF(W143&gt;0,'Attrition Modeling'!$N$9,0))),0))</f>
        <v>2512.359926831798</v>
      </c>
      <c r="X78" s="799">
        <f>IF(X$69=$F78+1,IF(Monthly!T$4=TRUE,0,Monthly!T$17),IF(X$69&gt;$F78+1,W78*(1-IF(X$69-$F78&lt;=12,SUMIFS('Attrition Modeling'!$D:$D,'Attrition Modeling'!$B:$B,$E78,'Attrition Modeling'!$C:$C,X$68),VLOOKUP(X$69-$F78-1,$A$7:$C$161,2,FALSE)*VLOOKUP(X$1,'Attrition Modeling'!$L$15:$N$27,IF(X$2-$F11&lt;=24,2,3),FALSE))*(1+Projection!Z$16)*(1+IF(X143&gt;0,'Attrition Modeling'!$N$9,0))),0))</f>
        <v>2363.2912112027702</v>
      </c>
      <c r="Y78" s="799">
        <f>IF(Y$69=$F78+1,IF(Monthly!U$4=TRUE,0,Monthly!U$17),IF(Y$69&gt;$F78+1,X78*(1-IF(Y$69-$F78&lt;=12,SUMIFS('Attrition Modeling'!$D:$D,'Attrition Modeling'!$B:$B,$E78,'Attrition Modeling'!$C:$C,Y$68),VLOOKUP(Y$69-$F78-1,$A$7:$C$161,2,FALSE)*VLOOKUP(Y$1,'Attrition Modeling'!$L$15:$N$27,IF(Y$2-$F11&lt;=24,2,3),FALSE))*(1+Projection!AA$16)*(1+IF(Y143&gt;0,'Attrition Modeling'!$N$9,0))),0))</f>
        <v>2224.387801314931</v>
      </c>
      <c r="Z78" s="799">
        <f>IF(Z$69=$F78+1,IF(Monthly!V$4=TRUE,0,Monthly!V$17),IF(Z$69&gt;$F78+1,Y78*(1-IF(Z$69-$F78&lt;=12,SUMIFS('Attrition Modeling'!$D:$D,'Attrition Modeling'!$B:$B,$E78,'Attrition Modeling'!$C:$C,Z$68),VLOOKUP(Z$69-$F78-1,$A$7:$C$161,2,FALSE)*VLOOKUP(Z$1,'Attrition Modeling'!$L$15:$N$27,IF(Z$2-$F11&lt;=24,2,3),FALSE))*(1+Projection!AB$16)*(1+IF(Z143&gt;0,'Attrition Modeling'!$N$9,0))),0))</f>
        <v>2092.4513530228578</v>
      </c>
      <c r="AA78" s="799">
        <f>IF(AA$69=$F78+1,IF(Monthly!W$4=TRUE,0,Monthly!W$17),IF(AA$69&gt;$F78+1,Z78*(1-IF(AA$69-$F78&lt;=12,SUMIFS('Attrition Modeling'!$D:$D,'Attrition Modeling'!$B:$B,$E78,'Attrition Modeling'!$C:$C,AA$68),VLOOKUP(AA$69-$F78-1,$A$7:$C$161,2,FALSE)*VLOOKUP(AA$1,'Attrition Modeling'!$L$15:$N$27,IF(AA$2-$F11&lt;=24,2,3),FALSE))*(1+Projection!AC$16)*(1+IF(AA143&gt;0,'Attrition Modeling'!$N$9,0))),0))</f>
        <v>2021.865205890877</v>
      </c>
      <c r="AB78" s="799">
        <f>IF(AB$69=$F78+1,IF(Monthly!X$4=TRUE,0,Monthly!X$17),IF(AB$69&gt;$F78+1,AA78*(1-IF(AB$69-$F78&lt;=12,SUMIFS('Attrition Modeling'!$D:$D,'Attrition Modeling'!$B:$B,$E78,'Attrition Modeling'!$C:$C,AB$68),VLOOKUP(AB$69-$F78-1,$A$7:$C$161,2,FALSE)*VLOOKUP(AB$1,'Attrition Modeling'!$L$15:$N$27,IF(AB$2-$F11&lt;=24,2,3),FALSE))*(1+Projection!AD$16)*(1+IF(AB143&gt;0,'Attrition Modeling'!$N$9,0))),0))</f>
        <v>1910.200772036362</v>
      </c>
      <c r="AC78" s="799">
        <f>IF(AC$69=$F78+1,IF(Monthly!Y$4=TRUE,0,Monthly!Y$17),IF(AC$69&gt;$F78+1,AB78*(1-IF(AC$69-$F78&lt;=12,SUMIFS('Attrition Modeling'!$D:$D,'Attrition Modeling'!$B:$B,$E78,'Attrition Modeling'!$C:$C,AC$68),VLOOKUP(AC$69-$F78-1,$A$7:$C$161,2,FALSE)*VLOOKUP(AC$1,'Attrition Modeling'!$L$15:$N$27,IF(AC$2-$F11&lt;=24,2,3),FALSE))*(1+Projection!AE$16)*(1+IF(AC143&gt;0,'Attrition Modeling'!$N$9,0))),0))</f>
        <v>1810.599713688363</v>
      </c>
      <c r="AD78" s="799">
        <f>IF(AD$69=$F78+1,IF(Monthly!Z$4=TRUE,0,Monthly!Z$17),IF(AD$69&gt;$F78+1,AC78*(1-IF(AD$69-$F78&lt;=12,SUMIFS('Attrition Modeling'!$D:$D,'Attrition Modeling'!$B:$B,$E78,'Attrition Modeling'!$C:$C,AD$68),VLOOKUP(AD$69-$F78-1,$A$7:$C$161,2,FALSE)*VLOOKUP(AD$1,'Attrition Modeling'!$L$15:$N$27,IF(AD$2-$F11&lt;=24,2,3),FALSE))*(1+Projection!AF$16)*(1+IF(AD143&gt;0,'Attrition Modeling'!$N$9,0))),0))</f>
        <v>1724.2272905016905</v>
      </c>
      <c r="AE78" s="799">
        <f>IF(AE$69=$F78+1,IF(Monthly!AA$4=TRUE,0,Monthly!AA$17),IF(AE$69&gt;$F78+1,AD78*(1-IF(AE$69-$F78&lt;=12,SUMIFS('Attrition Modeling'!$D:$D,'Attrition Modeling'!$B:$B,$E78,'Attrition Modeling'!$C:$C,AE$68),VLOOKUP(AE$69-$F78-1,$A$7:$C$161,2,FALSE)*VLOOKUP(AE$1,'Attrition Modeling'!$L$15:$N$27,IF(AE$2-$F11&lt;=24,2,3),FALSE))*(1+Projection!AG$16)*(1+IF(AE143&gt;0,'Attrition Modeling'!$N$9,0))),0))</f>
        <v>1645.8123489645984</v>
      </c>
      <c r="AF78" s="799">
        <f>IF(AF$69=$F78+1,IF(Monthly!AB$4=TRUE,0,Monthly!AB$17),IF(AF$69&gt;$F78+1,AE78*(1-IF(AF$69-$F78&lt;=12,SUMIFS('Attrition Modeling'!$D:$D,'Attrition Modeling'!$B:$B,$E78,'Attrition Modeling'!$C:$C,AF$68),VLOOKUP(AF$69-$F78-1,$A$7:$C$161,2,FALSE)*VLOOKUP(AF$1,'Attrition Modeling'!$L$15:$N$27,IF(AF$2-$F11&lt;=24,2,3),FALSE))*(1+Projection!AH$16)*(1+IF(AF143&gt;0,'Attrition Modeling'!$N$9,0))),0))</f>
        <v>1573.0992572439513</v>
      </c>
      <c r="AG78" s="799">
        <f>IF(AG$69=$F78+1,IF(Monthly!AC$4=TRUE,0,Monthly!AC$17),IF(AG$69&gt;$F78+1,AF78*(1-IF(AG$69-$F78&lt;=12,SUMIFS('Attrition Modeling'!$D:$D,'Attrition Modeling'!$B:$B,$E78,'Attrition Modeling'!$C:$C,AG$68),VLOOKUP(AG$69-$F78-1,$A$7:$C$161,2,FALSE)*VLOOKUP(AG$1,'Attrition Modeling'!$L$15:$N$27,IF(AG$2-$F11&lt;=24,2,3),FALSE))*(1+Projection!AI$16)*(1+IF(AG143&gt;0,'Attrition Modeling'!$N$9,0))),0))</f>
        <v>1499.7256509968574</v>
      </c>
      <c r="AH78" s="799">
        <f>IF(AH$69=$F78+1,IF(Monthly!AD$4=TRUE,0,Monthly!AD$17),IF(AH$69&gt;$F78+1,AG78*(1-IF(AH$69-$F78&lt;=12,SUMIFS('Attrition Modeling'!$D:$D,'Attrition Modeling'!$B:$B,$E78,'Attrition Modeling'!$C:$C,AH$68),VLOOKUP(AH$69-$F78-1,$A$7:$C$161,2,FALSE)*VLOOKUP(AH$1,'Attrition Modeling'!$L$15:$N$27,IF(AH$2-$F11&lt;=24,2,3),FALSE))*(1+Projection!AJ$16)*(1+IF(AH143&gt;0,'Attrition Modeling'!$N$9,0))),0))</f>
        <v>1437.6324228669037</v>
      </c>
      <c r="AI78" s="799">
        <f>IF(AI$69=$F78+1,IF(Monthly!AE$4=TRUE,0,Monthly!AE$17),IF(AI$69&gt;$F78+1,AH78*(1-IF(AI$69-$F78&lt;=12,SUMIFS('Attrition Modeling'!$D:$D,'Attrition Modeling'!$B:$B,$E78,'Attrition Modeling'!$C:$C,AI$68),VLOOKUP(AI$69-$F78-1,$A$7:$C$161,2,FALSE)*VLOOKUP(AI$1,'Attrition Modeling'!$L$15:$N$27,IF(AI$2-$F11&lt;=24,2,3),FALSE))*(1+Projection!AK$16)*(1+IF(AI143&gt;0,'Attrition Modeling'!$N$9,0))),0))</f>
        <v>1380.2203964378357</v>
      </c>
      <c r="AJ78" s="799">
        <f>IF(AJ$69=$F78+1,IF(Monthly!AF$4=TRUE,0,Monthly!AF$17),IF(AJ$69&gt;$F78+1,AI78*(1-IF(AJ$69-$F78&lt;=12,SUMIFS('Attrition Modeling'!$D:$D,'Attrition Modeling'!$B:$B,$E78,'Attrition Modeling'!$C:$C,AJ$68),VLOOKUP(AJ$69-$F78-1,$A$7:$C$161,2,FALSE)*VLOOKUP(AJ$1,'Attrition Modeling'!$L$15:$N$27,IF(AJ$2-$F11&lt;=24,2,3),FALSE))*(1+Projection!AL$16)*(1+IF(AJ143&gt;0,'Attrition Modeling'!$N$9,0))),0))</f>
        <v>1326.4296936391663</v>
      </c>
      <c r="AK78" s="799">
        <f>IF(AK$69=$F78+1,IF(Monthly!AG$4=TRUE,0,Monthly!AG$17),IF(AK$69&gt;$F78+1,AJ78*(1-IF(AK$69-$F78&lt;=12,SUMIFS('Attrition Modeling'!$D:$D,'Attrition Modeling'!$B:$B,$E78,'Attrition Modeling'!$C:$C,AK$68),VLOOKUP(AK$69-$F78-1,$A$7:$C$161,2,FALSE)*VLOOKUP(AK$1,'Attrition Modeling'!$L$15:$N$27,IF(AK$2-$F11&lt;=24,2,3),FALSE))*(1+Projection!AM$16)*(1+IF(AK143&gt;0,'Attrition Modeling'!$N$9,0))),0))</f>
        <v>1270.558254953454</v>
      </c>
      <c r="AL78" s="799">
        <f>IF(AL$69=$F78+1,IF(Monthly!AH$4=TRUE,0,Monthly!AH$17),IF(AL$69&gt;$F78+1,AK78*(1-IF(AL$69-$F78&lt;=12,SUMIFS('Attrition Modeling'!$D:$D,'Attrition Modeling'!$B:$B,$E78,'Attrition Modeling'!$C:$C,AL$68),VLOOKUP(AL$69-$F78-1,$A$7:$C$161,2,FALSE)*VLOOKUP(AL$1,'Attrition Modeling'!$L$15:$N$27,IF(AL$2-$F11&lt;=24,2,3),FALSE))*(1+Projection!AN$16)*(1+IF(AL143&gt;0,'Attrition Modeling'!$N$9,0))),0))</f>
        <v>1216.5560931838413</v>
      </c>
      <c r="AM78" s="799">
        <f>IF(AM$69=$F78+1,IF(Monthly!AI$4=TRUE,0,Monthly!AI$17),IF(AM$69&gt;$F78+1,AL78*(1-IF(AM$69-$F78&lt;=12,SUMIFS('Attrition Modeling'!$D:$D,'Attrition Modeling'!$B:$B,$E78,'Attrition Modeling'!$C:$C,AM$68),VLOOKUP(AM$69-$F78-1,$A$7:$C$161,2,FALSE)*VLOOKUP(AM$1,'Attrition Modeling'!$L$15:$N$27,IF(AM$2-$F11&lt;=24,2,3),FALSE))*(1+Projection!AO$16)*(1+IF(AM143&gt;0,'Attrition Modeling'!$N$9,0))),0))</f>
        <v>1163.2767325093555</v>
      </c>
      <c r="AN78" s="799">
        <f>IF(AN$69=$F78+1,IF(Monthly!AJ$4=TRUE,0,Monthly!AJ$17),IF(AN$69&gt;$F78+1,AM78*(1-IF(AN$69-$F78&lt;=12,SUMIFS('Attrition Modeling'!$D:$D,'Attrition Modeling'!$B:$B,$E78,'Attrition Modeling'!$C:$C,AN$68),VLOOKUP(AN$69-$F78-1,$A$7:$C$161,2,FALSE)*VLOOKUP(AN$1,'Attrition Modeling'!$L$15:$N$27,IF(AN$2-$F11&lt;=24,2,3),FALSE))*(1+Projection!AP$16)*(1+IF(AN143&gt;0,'Attrition Modeling'!$N$9,0))),0))</f>
        <v>1115.4204016595104</v>
      </c>
      <c r="AO78" s="799">
        <f>IF(AO$69=$F78+1,IF(Monthly!AK$4=TRUE,0,Monthly!AK$17),IF(AO$69&gt;$F78+1,AN78*(1-IF(AO$69-$F78&lt;=12,SUMIFS('Attrition Modeling'!$D:$D,'Attrition Modeling'!$B:$B,$E78,'Attrition Modeling'!$C:$C,AO$68),VLOOKUP(AO$69-$F78-1,$A$7:$C$161,2,FALSE)*VLOOKUP(AO$1,'Attrition Modeling'!$L$15:$N$27,IF(AO$2-$F11&lt;=24,2,3),FALSE))*(1+Projection!AQ$16)*(1+IF(AO143&gt;0,'Attrition Modeling'!$N$9,0))),0))</f>
        <v>1071.7297225264306</v>
      </c>
      <c r="AP78" s="799">
        <f>IF(AP$69=$F78+1,IF(Monthly!AL$4=TRUE,0,Monthly!AL$17),IF(AP$69&gt;$F78+1,AO78*(1-IF(AP$69-$F78&lt;=12,SUMIFS('Attrition Modeling'!$D:$D,'Attrition Modeling'!$B:$B,$E78,'Attrition Modeling'!$C:$C,AP$68),VLOOKUP(AP$69-$F78-1,$A$7:$C$161,2,FALSE)*VLOOKUP(AP$1,'Attrition Modeling'!$L$15:$N$27,IF(AP$2-$F11&lt;=24,2,3),FALSE))*(1+Projection!AR$16)*(1+IF(AP143&gt;0,'Attrition Modeling'!$N$9,0))),0))</f>
        <v>1031.2549241953443</v>
      </c>
      <c r="AQ78" s="799">
        <f>IF(AQ$69=$F78+1,IF(Monthly!AM$4=TRUE,0,Monthly!AM$17),IF(AQ$69&gt;$F78+1,AP78*(1-IF(AQ$69-$F78&lt;=12,SUMIFS('Attrition Modeling'!$D:$D,'Attrition Modeling'!$B:$B,$E78,'Attrition Modeling'!$C:$C,AQ$68),VLOOKUP(AQ$69-$F78-1,$A$7:$C$161,2,FALSE)*VLOOKUP(AQ$1,'Attrition Modeling'!$L$15:$N$27,IF(AQ$2-$F11&lt;=24,2,3),FALSE))*(1+Projection!AS$16)*(1+IF(AQ143&gt;0,'Attrition Modeling'!$N$9,0))),0))</f>
        <v>999.5836412789746</v>
      </c>
      <c r="AR78" s="799">
        <f>IF(AR$69=$F78+1,IF(Monthly!AN$4=TRUE,0,Monthly!AN$17),IF(AR$69&gt;$F78+1,AQ78*(1-IF(AR$69-$F78&lt;=12,SUMIFS('Attrition Modeling'!$D:$D,'Attrition Modeling'!$B:$B,$E78,'Attrition Modeling'!$C:$C,AR$68),VLOOKUP(AR$69-$F78-1,$A$7:$C$161,2,FALSE)*VLOOKUP(AR$1,'Attrition Modeling'!$L$15:$N$27,IF(AR$2-$F11&lt;=24,2,3),FALSE))*(1+Projection!AT$16)*(1+IF(AR143&gt;0,'Attrition Modeling'!$N$9,0))),0))</f>
        <v>966.03378984283438</v>
      </c>
      <c r="AS78" s="799">
        <f>IF(AS$69=$F78+1,IF(Monthly!AO$4=TRUE,0,Monthly!AO$17),IF(AS$69&gt;$F78+1,AR78*(1-IF(AS$69-$F78&lt;=12,SUMIFS('Attrition Modeling'!$D:$D,'Attrition Modeling'!$B:$B,$E78,'Attrition Modeling'!$C:$C,AS$68),VLOOKUP(AS$69-$F78-1,$A$7:$C$161,2,FALSE)*VLOOKUP(AS$1,'Attrition Modeling'!$L$15:$N$27,IF(AS$2-$F11&lt;=24,2,3),FALSE))*(1+Projection!AU$16)*(1+IF(AS143&gt;0,'Attrition Modeling'!$N$9,0))),0))</f>
        <v>928.81844124971781</v>
      </c>
      <c r="AT78" s="799">
        <f>IF(AT$69=$F78+1,IF(Monthly!AP$4=TRUE,0,Monthly!AP$17),IF(AT$69&gt;$F78+1,AS78*(1-IF(AT$69-$F78&lt;=12,SUMIFS('Attrition Modeling'!$D:$D,'Attrition Modeling'!$B:$B,$E78,'Attrition Modeling'!$C:$C,AT$68),VLOOKUP(AT$69-$F78-1,$A$7:$C$161,2,FALSE)*VLOOKUP(AT$1,'Attrition Modeling'!$L$15:$N$27,IF(AT$2-$F11&lt;=24,2,3),FALSE))*(1+Projection!AV$16)*(1+IF(AT143&gt;0,'Attrition Modeling'!$N$9,0))),0))</f>
        <v>900.60361287962553</v>
      </c>
      <c r="AU78" s="799">
        <f>IF(AU$69=$F78+1,IF(Monthly!AQ$4=TRUE,0,Monthly!AQ$17),IF(AU$69&gt;$F78+1,AT78*(1-IF(AU$69-$F78&lt;=12,SUMIFS('Attrition Modeling'!$D:$D,'Attrition Modeling'!$B:$B,$E78,'Attrition Modeling'!$C:$C,AU$68),VLOOKUP(AU$69-$F78-1,$A$7:$C$161,2,FALSE)*VLOOKUP(AU$1,'Attrition Modeling'!$L$15:$N$27,IF(AU$2-$F11&lt;=24,2,3),FALSE))*(1+Projection!AW$16)*(1+IF(AU143&gt;0,'Attrition Modeling'!$N$9,0))),0))</f>
        <v>879.10747829162517</v>
      </c>
      <c r="AV78" s="799">
        <f>IF(AV$69=$F78+1,IF(Monthly!AR$4=TRUE,0,Monthly!AR$17),IF(AV$69&gt;$F78+1,AU78*(1-IF(AV$69-$F78&lt;=12,SUMIFS('Attrition Modeling'!$D:$D,'Attrition Modeling'!$B:$B,$E78,'Attrition Modeling'!$C:$C,AV$68),VLOOKUP(AV$69-$F78-1,$A$7:$C$161,2,FALSE)*VLOOKUP(AV$1,'Attrition Modeling'!$L$15:$N$27,IF(AV$2-$F11&lt;=24,2,3),FALSE))*(1+Projection!AX$16)*(1+IF(AV143&gt;0,'Attrition Modeling'!$N$9,0))),0))</f>
        <v>854.07223019978903</v>
      </c>
      <c r="AW78" s="799">
        <f>IF(AW$69=$F78+1,IF(Monthly!AS$4=TRUE,0,Monthly!AS$17),IF(AW$69&gt;$F78+1,AV78*(1-IF(AW$69-$F78&lt;=12,SUMIFS('Attrition Modeling'!$D:$D,'Attrition Modeling'!$B:$B,$E78,'Attrition Modeling'!$C:$C,AW$68),VLOOKUP(AW$69-$F78-1,$A$7:$C$161,2,FALSE)*VLOOKUP(AW$1,'Attrition Modeling'!$L$15:$N$27,IF(AW$2-$F11&lt;=24,2,3),FALSE))*(1+Projection!AY$16)*(1+IF(AW143&gt;0,'Attrition Modeling'!$N$9,0))),0))</f>
        <v>826.63184171392618</v>
      </c>
      <c r="AX78" s="799">
        <f>IF(AX$69=$F78+1,IF(Monthly!AT$4=TRUE,0,Monthly!AT$17),IF(AX$69&gt;$F78+1,AW78*(1-IF(AX$69-$F78&lt;=12,SUMIFS('Attrition Modeling'!$D:$D,'Attrition Modeling'!$B:$B,$E78,'Attrition Modeling'!$C:$C,AX$68),VLOOKUP(AX$69-$F78-1,$A$7:$C$161,2,FALSE)*VLOOKUP(AX$1,'Attrition Modeling'!$L$15:$N$27,IF(AX$2-$F11&lt;=24,2,3),FALSE))*(1+Projection!AZ$16)*(1+IF(AX143&gt;0,'Attrition Modeling'!$N$9,0))),0))</f>
        <v>798.02073966625346</v>
      </c>
      <c r="AY78" s="799">
        <f>IF(AY$69=$F78+1,IF(Monthly!AU$4=TRUE,0,Monthly!AU$17),IF(AY$69&gt;$F78+1,AX78*(1-IF(AY$69-$F78&lt;=12,SUMIFS('Attrition Modeling'!$D:$D,'Attrition Modeling'!$B:$B,$E78,'Attrition Modeling'!$C:$C,AY$68),VLOOKUP(AY$69-$F78-1,$A$7:$C$161,2,FALSE)*VLOOKUP(AY$1,'Attrition Modeling'!$L$15:$N$27,IF(AY$2-$F11&lt;=24,2,3),FALSE))*(1+Projection!BA$16)*(1+IF(AY143&gt;0,'Attrition Modeling'!$N$9,0))),0))</f>
        <v>768.68690338129113</v>
      </c>
      <c r="AZ78" s="799">
        <f>IF(AZ$69=$F78+1,IF(Monthly!AV$4=TRUE,0,Monthly!AV$17),IF(AZ$69&gt;$F78+1,AY78*(1-IF(AZ$69-$F78&lt;=12,SUMIFS('Attrition Modeling'!$D:$D,'Attrition Modeling'!$B:$B,$E78,'Attrition Modeling'!$C:$C,AZ$68),VLOOKUP(AZ$69-$F78-1,$A$7:$C$161,2,FALSE)*VLOOKUP(AZ$1,'Attrition Modeling'!$L$15:$N$27,IF(AZ$2-$F11&lt;=24,2,3),FALSE))*(1+Projection!BB$16)*(1+IF(AZ143&gt;0,'Attrition Modeling'!$N$9,0))),0))</f>
        <v>742.43930656099894</v>
      </c>
      <c r="BA78" s="799">
        <f>IF(BA$69=$F78+1,IF(Monthly!AW$4=TRUE,0,Monthly!AW$17),IF(BA$69&gt;$F78+1,AZ78*(1-IF(BA$69-$F78&lt;=12,SUMIFS('Attrition Modeling'!$D:$D,'Attrition Modeling'!$B:$B,$E78,'Attrition Modeling'!$C:$C,BA$68),VLOOKUP(BA$69-$F78-1,$A$7:$C$161,2,FALSE)*VLOOKUP(BA$1,'Attrition Modeling'!$L$15:$N$27,IF(BA$2-$F11&lt;=24,2,3),FALSE))*(1+Projection!BC$16)*(1+IF(BA143&gt;0,'Attrition Modeling'!$N$9,0))),0))</f>
        <v>718.22123590891522</v>
      </c>
      <c r="BB78" s="799">
        <f>IF(BB$69=$F78+1,IF(Monthly!AX$4=TRUE,0,Monthly!AX$17),IF(BB$69&gt;$F78+1,BA78*(1-IF(BB$69-$F78&lt;=12,SUMIFS('Attrition Modeling'!$D:$D,'Attrition Modeling'!$B:$B,$E78,'Attrition Modeling'!$C:$C,BB$68),VLOOKUP(BB$69-$F78-1,$A$7:$C$161,2,FALSE)*VLOOKUP(BB$1,'Attrition Modeling'!$L$15:$N$27,IF(BB$2-$F11&lt;=24,2,3),FALSE))*(1+Projection!BD$16)*(1+IF(BB143&gt;0,'Attrition Modeling'!$N$9,0))),0))</f>
        <v>695.56227973100886</v>
      </c>
      <c r="BC78" s="799">
        <f>IF(BC$69=$F78+1,IF(Monthly!AY$4=TRUE,0,Monthly!AY$17),IF(BC$69&gt;$F78+1,BB78*(1-IF(BC$69-$F78&lt;=12,SUMIFS('Attrition Modeling'!$D:$D,'Attrition Modeling'!$B:$B,$E78,'Attrition Modeling'!$C:$C,BC$68),VLOOKUP(BC$69-$F78-1,$A$7:$C$161,2,FALSE)*VLOOKUP(BC$1,'Attrition Modeling'!$L$15:$N$27,IF(BC$2-$F11&lt;=24,2,3),FALSE))*(1+Projection!BE$16)*(1+IF(BC143&gt;0,'Attrition Modeling'!$N$9,0))),0))</f>
        <v>677.66492072035203</v>
      </c>
      <c r="BD78" s="799">
        <f>IF(BD$69=$F78+1,IF(Monthly!AZ$4=TRUE,0,Monthly!AZ$17),IF(BD$69&gt;$F78+1,BC78*(1-IF(BD$69-$F78&lt;=12,SUMIFS('Attrition Modeling'!$D:$D,'Attrition Modeling'!$B:$B,$E78,'Attrition Modeling'!$C:$C,BD$68),VLOOKUP(BD$69-$F78-1,$A$7:$C$161,2,FALSE)*VLOOKUP(BD$1,'Attrition Modeling'!$L$15:$N$27,IF(BD$2-$F11&lt;=24,2,3),FALSE))*(1+Projection!BF$16)*(1+IF(BD143&gt;0,'Attrition Modeling'!$N$9,0))),0))</f>
        <v>658.55604678299994</v>
      </c>
      <c r="BE78" s="799">
        <f>IF(BE$69=$F78+1,IF(Monthly!BA$4=TRUE,0,Monthly!BA$17),IF(BE$69&gt;$F78+1,BD78*(1-IF(BE$69-$F78&lt;=12,SUMIFS('Attrition Modeling'!$D:$D,'Attrition Modeling'!$B:$B,$E78,'Attrition Modeling'!$C:$C,BE$68),VLOOKUP(BE$69-$F78-1,$A$7:$C$161,2,FALSE)*VLOOKUP(BE$1,'Attrition Modeling'!$L$15:$N$27,IF(BE$2-$F11&lt;=24,2,3),FALSE))*(1+Projection!BG$16)*(1+IF(BE143&gt;0,'Attrition Modeling'!$N$9,0))),0))</f>
        <v>637.18641880261043</v>
      </c>
      <c r="BF78" s="799">
        <f>IF(BF$69=$F78+1,IF(Monthly!BB$4=TRUE,0,Monthly!BB$17),IF(BF$69&gt;$F78+1,BE78*(1-IF(BF$69-$F78&lt;=12,SUMIFS('Attrition Modeling'!$D:$D,'Attrition Modeling'!$B:$B,$E78,'Attrition Modeling'!$C:$C,BF$68),VLOOKUP(BF$69-$F78-1,$A$7:$C$161,2,FALSE)*VLOOKUP(BF$1,'Attrition Modeling'!$L$15:$N$27,IF(BF$2-$F11&lt;=24,2,3),FALSE))*(1+Projection!BH$16)*(1+IF(BF143&gt;0,'Attrition Modeling'!$N$9,0))),0))</f>
        <v>620.84275586376691</v>
      </c>
      <c r="BG78" s="799">
        <f>IF(BG$69=$F78+1,IF(Monthly!BC$4=TRUE,0,Monthly!BC$17),IF(BG$69&gt;$F78+1,BF78*(1-IF(BG$69-$F78&lt;=12,SUMIFS('Attrition Modeling'!$D:$D,'Attrition Modeling'!$B:$B,$E78,'Attrition Modeling'!$C:$C,BG$68),VLOOKUP(BG$69-$F78-1,$A$7:$C$161,2,FALSE)*VLOOKUP(BG$1,'Attrition Modeling'!$L$15:$N$27,IF(BG$2-$F11&lt;=24,2,3),FALSE))*(1+Projection!BI$16)*(1+IF(BG143&gt;0,'Attrition Modeling'!$N$9,0))),0))</f>
        <v>608.30131449947385</v>
      </c>
      <c r="BH78" s="799">
        <f>IF(BH$69=$F78+1,IF(Monthly!BD$4=TRUE,0,Monthly!BD$17),IF(BH$69&gt;$F78+1,BG78*(1-IF(BH$69-$F78&lt;=12,SUMIFS('Attrition Modeling'!$D:$D,'Attrition Modeling'!$B:$B,$E78,'Attrition Modeling'!$C:$C,BH$68),VLOOKUP(BH$69-$F78-1,$A$7:$C$161,2,FALSE)*VLOOKUP(BH$1,'Attrition Modeling'!$L$15:$N$27,IF(BH$2-$F11&lt;=24,2,3),FALSE))*(1+Projection!BJ$16)*(1+IF(BH143&gt;0,'Attrition Modeling'!$N$9,0))),0))</f>
        <v>593.60812497830955</v>
      </c>
      <c r="BI78" s="799">
        <f>IF(BI$69=$F78+1,IF(Monthly!BE$4=TRUE,0,Monthly!BE$17),IF(BI$69&gt;$F78+1,BH78*(1-IF(BI$69-$F78&lt;=12,SUMIFS('Attrition Modeling'!$D:$D,'Attrition Modeling'!$B:$B,$E78,'Attrition Modeling'!$C:$C,BI$68),VLOOKUP(BI$69-$F78-1,$A$7:$C$161,2,FALSE)*VLOOKUP(BI$1,'Attrition Modeling'!$L$15:$N$27,IF(BI$2-$F11&lt;=24,2,3),FALSE))*(1+Projection!BK$16)*(1+IF(BI143&gt;0,'Attrition Modeling'!$N$9,0))),0))</f>
        <v>577.39821771792697</v>
      </c>
      <c r="BJ78" s="799">
        <f>IF(BJ$69=$F78+1,IF(Monthly!BF$4=TRUE,0,Monthly!BF$17),IF(BJ$69&gt;$F78+1,BI78*(1-IF(BJ$69-$F78&lt;=12,SUMIFS('Attrition Modeling'!$D:$D,'Attrition Modeling'!$B:$B,$E78,'Attrition Modeling'!$C:$C,BJ$68),VLOOKUP(BJ$69-$F78-1,$A$7:$C$161,2,FALSE)*VLOOKUP(BJ$1,'Attrition Modeling'!$L$15:$N$27,IF(BJ$2-$F11&lt;=24,2,3),FALSE))*(1+Projection!BL$16)*(1+IF(BJ143&gt;0,'Attrition Modeling'!$N$9,0))),0))</f>
        <v>560.3792374263295</v>
      </c>
      <c r="BK78" s="799">
        <f>IF(BK$69=$F78+1,IF(Monthly!BG$4=TRUE,0,Monthly!BG$17),IF(BK$69&gt;$F78+1,BJ78*(1-IF(BK$69-$F78&lt;=12,SUMIFS('Attrition Modeling'!$D:$D,'Attrition Modeling'!$B:$B,$E78,'Attrition Modeling'!$C:$C,BK$68),VLOOKUP(BK$69-$F78-1,$A$7:$C$161,2,FALSE)*VLOOKUP(BK$1,'Attrition Modeling'!$L$15:$N$27,IF(BK$2-$F11&lt;=24,2,3),FALSE))*(1+Projection!BM$16)*(1+IF(BK143&gt;0,'Attrition Modeling'!$N$9,0))),0))</f>
        <v>542.80489206932339</v>
      </c>
      <c r="BL78" s="799">
        <f>IF(BL$69=$F78+1,IF(Monthly!BH$4=TRUE,0,Monthly!BH$17),IF(BL$69&gt;$F78+1,BK78*(1-IF(BL$69-$F78&lt;=12,SUMIFS('Attrition Modeling'!$D:$D,'Attrition Modeling'!$B:$B,$E78,'Attrition Modeling'!$C:$C,BL$68),VLOOKUP(BL$69-$F78-1,$A$7:$C$161,2,FALSE)*VLOOKUP(BL$1,'Attrition Modeling'!$L$15:$N$27,IF(BL$2-$F11&lt;=24,2,3),FALSE))*(1+Projection!BN$16)*(1+IF(BL143&gt;0,'Attrition Modeling'!$N$9,0))),0))</f>
        <v>527.06998229479962</v>
      </c>
      <c r="BM78" s="799">
        <f>IF(BM$69=$F78+1,IF(Monthly!BI$4=TRUE,0,Monthly!BI$17),IF(BM$69&gt;$F78+1,BL78*(1-IF(BM$69-$F78&lt;=12,SUMIFS('Attrition Modeling'!$D:$D,'Attrition Modeling'!$B:$B,$E78,'Attrition Modeling'!$C:$C,BM$68),VLOOKUP(BM$69-$F78-1,$A$7:$C$161,2,FALSE)*VLOOKUP(BM$1,'Attrition Modeling'!$L$15:$N$27,IF(BM$2-$F11&lt;=24,2,3),FALSE))*(1+Projection!BO$16)*(1+IF(BM143&gt;0,'Attrition Modeling'!$N$9,0))),0))</f>
        <v>512.4520942771702</v>
      </c>
      <c r="BN78" s="799">
        <f>IF(BN$69=$F78+1,IF(Monthly!BJ$4=TRUE,0,Monthly!BJ$17),IF(BN$69&gt;$F78+1,BM78*(1-IF(BN$69-$F78&lt;=12,SUMIFS('Attrition Modeling'!$D:$D,'Attrition Modeling'!$B:$B,$E78,'Attrition Modeling'!$C:$C,BN$68),VLOOKUP(BN$69-$F78-1,$A$7:$C$161,2,FALSE)*VLOOKUP(BN$1,'Attrition Modeling'!$L$15:$N$27,IF(BN$2-$F11&lt;=24,2,3),FALSE))*(1+Projection!BP$16)*(1+IF(BN143&gt;0,'Attrition Modeling'!$N$9,0))),0))</f>
        <v>498.68653328917844</v>
      </c>
      <c r="BO78" s="799">
        <f>IF(BO$69=$F78+1,IF(Monthly!BK$4=TRUE,0,Monthly!BK$17),IF(BO$69&gt;$F78+1,BN78*(1-IF(BO$69-$F78&lt;=12,SUMIFS('Attrition Modeling'!$D:$D,'Attrition Modeling'!$B:$B,$E78,'Attrition Modeling'!$C:$C,BO$68),VLOOKUP(BO$69-$F78-1,$A$7:$C$161,2,FALSE)*VLOOKUP(BO$1,'Attrition Modeling'!$L$15:$N$27,IF(BO$2-$F11&lt;=24,2,3),FALSE))*(1+Projection!BV$16)*(1+IF(BO143&gt;0,'Attrition Modeling'!$N$9,0))),0))</f>
        <v>487.74629290971831</v>
      </c>
      <c r="BP78" s="799">
        <f>IF(BP$69=$F78+1,IF(Monthly!BL$4=TRUE,0,Monthly!BL$17),IF(BP$69&gt;$F78+1,BO78*(1-IF(BP$69-$F78&lt;=12,SUMIFS('Attrition Modeling'!$D:$D,'Attrition Modeling'!$B:$B,$E78,'Attrition Modeling'!$C:$C,BP$68),VLOOKUP(BP$69-$F78-1,$A$7:$C$161,2,FALSE)*VLOOKUP(BP$1,'Attrition Modeling'!$L$15:$N$27,IF(BP$2-$F11&lt;=24,2,3),FALSE))*(1+Projection!BW$16)*(1+IF(BP143&gt;0,'Attrition Modeling'!$N$9,0))),0))</f>
        <v>476.00500430741278</v>
      </c>
      <c r="BQ78" s="799">
        <f>IF(BQ$69=$F78+1,IF(Monthly!BM$4=TRUE,0,Monthly!BM$17),IF(BQ$69&gt;$F78+1,BP78*(1-IF(BQ$69-$F78&lt;=12,SUMIFS('Attrition Modeling'!$D:$D,'Attrition Modeling'!$B:$B,$E78,'Attrition Modeling'!$C:$C,BQ$68),VLOOKUP(BQ$69-$F78-1,$A$7:$C$161,2,FALSE)*VLOOKUP(BQ$1,'Attrition Modeling'!$L$15:$N$27,IF(BQ$2-$F11&lt;=24,2,3),FALSE))*(1+Projection!BX$16)*(1+IF(BQ143&gt;0,'Attrition Modeling'!$N$9,0))),0))</f>
        <v>465.00326105029029</v>
      </c>
      <c r="BR78" s="799">
        <f>IF(BR$69=$F78+1,IF(Monthly!BN$4=TRUE,0,Monthly!BN$17),IF(BR$69&gt;$F78+1,BQ78*(1-IF(BR$69-$F78&lt;=12,SUMIFS('Attrition Modeling'!$D:$D,'Attrition Modeling'!$B:$B,$E78,'Attrition Modeling'!$C:$C,BR$68),VLOOKUP(BR$69-$F78-1,$A$7:$C$161,2,FALSE)*VLOOKUP(BR$1,'Attrition Modeling'!$L$15:$N$27,IF(BR$2-$F11&lt;=24,2,3),FALSE))*(1+Projection!BY$16)*(1+IF(BR143&gt;0,'Attrition Modeling'!$N$9,0))),0))</f>
        <v>454.79709068440951</v>
      </c>
      <c r="BS78" s="799">
        <f>IF(BS$69=$F78+1,IF(Monthly!BO$4=TRUE,0,Monthly!BO$17),IF(BS$69&gt;$F78+1,BR78*(1-IF(BS$69-$F78&lt;=12,SUMIFS('Attrition Modeling'!$D:$D,'Attrition Modeling'!$B:$B,$E78,'Attrition Modeling'!$C:$C,BS$68),VLOOKUP(BS$69-$F78-1,$A$7:$C$161,2,FALSE)*VLOOKUP(BS$1,'Attrition Modeling'!$L$15:$N$27,IF(BS$2-$F11&lt;=24,2,3),FALSE))*(1+Projection!BZ$16)*(1+IF(BS143&gt;0,'Attrition Modeling'!$N$9,0))),0))</f>
        <v>446.92704062662619</v>
      </c>
      <c r="BT78" s="799">
        <f>IF(BT$69=$F78+1,IF(Monthly!#REF!=TRUE,0,Monthly!#REF!),IF(BT$69&gt;$F78+1,BS78*(1-IF(BT$69-$F78&lt;=12,SUMIFS('Attrition Modeling'!$D:$D,'Attrition Modeling'!$B:$B,$E78,'Attrition Modeling'!$C:$C,BT$68),VLOOKUP(BT$69-$F78-1,$A$7:$C$161,2,FALSE)*VLOOKUP(BT$1,'Attrition Modeling'!$L$15:$N$27,IF(BT$2-$F11&lt;=24,2,3),FALSE))*(1+Projection!CA$16)*(1+IF(BT143&gt;0,'Attrition Modeling'!$N$9,0))),0))</f>
        <v>437.66999181384881</v>
      </c>
      <c r="BU78" s="799">
        <f>IF(BU$69=$F78+1,IF(Monthly!#REF!=TRUE,0,Monthly!#REF!),IF(BU$69&gt;$F78+1,BT78*(1-IF(BU$69-$F78&lt;=12,SUMIFS('Attrition Modeling'!$D:$D,'Attrition Modeling'!$B:$B,$E78,'Attrition Modeling'!$C:$C,BU$68),VLOOKUP(BU$69-$F78-1,$A$7:$C$161,2,FALSE)*VLOOKUP(BU$1,'Attrition Modeling'!$L$15:$N$27,IF(BU$2-$F11&lt;=24,2,3),FALSE))*(1+Projection!CB$16)*(1+IF(BU143&gt;0,'Attrition Modeling'!$N$9,0))),0))</f>
        <v>427.41142852102843</v>
      </c>
    </row>
    <row r="79" spans="1:73" ht="14.25" customHeight="1" x14ac:dyDescent="0.2">
      <c r="A79" s="9">
        <v>72</v>
      </c>
      <c r="B79" s="25">
        <f>MAX('Attrition Modeling'!H76,$C$3)*(1-Summary!$C$20)</f>
        <v>2.1155441792258291E-2</v>
      </c>
      <c r="C79" s="24" t="e">
        <f t="shared" si="4"/>
        <v>#DIV/0!</v>
      </c>
      <c r="E79" s="11">
        <f t="shared" si="9"/>
        <v>9</v>
      </c>
      <c r="F79" s="11">
        <f t="shared" si="10"/>
        <v>9</v>
      </c>
      <c r="G79" s="799"/>
      <c r="H79" s="799">
        <f>IF(H$69=$F79+1,IF(Monthly!D$4=TRUE,0,Monthly!D$17),IF(H$69&gt;$F79+1,G79*(1-IF(H$69-$F79&lt;=12,SUMIFS('Attrition Modeling'!$D:$D,'Attrition Modeling'!$B:$B,$E79,'Attrition Modeling'!$C:$C,H$68),VLOOKUP(H$69-$F79-1,$A$7:$C$161,2,FALSE)*VLOOKUP(H$1,'Attrition Modeling'!$L$15:$N$27,IF(H$2-$F12&lt;=24,2,3),FALSE))*(1+Projection!J$16)*(1+IF(H144&gt;0,'Attrition Modeling'!$N$9,0))),0))</f>
        <v>0</v>
      </c>
      <c r="I79" s="799">
        <f>IF(I$69=$F79+1,IF(Monthly!E$4=TRUE,0,Monthly!E$17),IF(I$69&gt;$F79+1,H79*(1-IF(I$69-$F79&lt;=12,SUMIFS('Attrition Modeling'!$D:$D,'Attrition Modeling'!$B:$B,$E79,'Attrition Modeling'!$C:$C,I$68),VLOOKUP(I$69-$F79-1,$A$7:$C$161,2,FALSE)*VLOOKUP(I$1,'Attrition Modeling'!$L$15:$N$27,IF(I$2-$F12&lt;=24,2,3),FALSE))*(1+Projection!K$16)*(1+IF(I144&gt;0,'Attrition Modeling'!$N$9,0))),0))</f>
        <v>0</v>
      </c>
      <c r="J79" s="799">
        <f>IF(J$69=$F79+1,IF(Monthly!F$4=TRUE,0,Monthly!F$17),IF(J$69&gt;$F79+1,I79*(1-IF(J$69-$F79&lt;=12,SUMIFS('Attrition Modeling'!$D:$D,'Attrition Modeling'!$B:$B,$E79,'Attrition Modeling'!$C:$C,J$68),VLOOKUP(J$69-$F79-1,$A$7:$C$161,2,FALSE)*VLOOKUP(J$1,'Attrition Modeling'!$L$15:$N$27,IF(J$2-$F12&lt;=24,2,3),FALSE))*(1+Projection!L$16)*(1+IF(J144&gt;0,'Attrition Modeling'!$N$9,0))),0))</f>
        <v>0</v>
      </c>
      <c r="K79" s="799">
        <f>IF(K$69=$F79+1,IF(Monthly!G$4=TRUE,0,Monthly!G$17),IF(K$69&gt;$F79+1,J79*(1-IF(K$69-$F79&lt;=12,SUMIFS('Attrition Modeling'!$D:$D,'Attrition Modeling'!$B:$B,$E79,'Attrition Modeling'!$C:$C,K$68),VLOOKUP(K$69-$F79-1,$A$7:$C$161,2,FALSE)*VLOOKUP(K$1,'Attrition Modeling'!$L$15:$N$27,IF(K$2-$F12&lt;=24,2,3),FALSE))*(1+Projection!M$16)*(1+IF(K144&gt;0,'Attrition Modeling'!$N$9,0))),0))</f>
        <v>0</v>
      </c>
      <c r="L79" s="799">
        <f>IF(L$69=$F79+1,IF(Monthly!H$4=TRUE,0,Monthly!H$17),IF(L$69&gt;$F79+1,K79*(1-IF(L$69-$F79&lt;=12,SUMIFS('Attrition Modeling'!$D:$D,'Attrition Modeling'!$B:$B,$E79,'Attrition Modeling'!$C:$C,L$68),VLOOKUP(L$69-$F79-1,$A$7:$C$161,2,FALSE)*VLOOKUP(L$1,'Attrition Modeling'!$L$15:$N$27,IF(L$2-$F12&lt;=24,2,3),FALSE))*(1+Projection!N$16)*(1+IF(L144&gt;0,'Attrition Modeling'!$N$9,0))),0))</f>
        <v>0</v>
      </c>
      <c r="M79" s="799">
        <f>IF(M$69=$F79+1,IF(Monthly!I$4=TRUE,0,Monthly!I$17),IF(M$69&gt;$F79+1,L79*(1-IF(M$69-$F79&lt;=12,SUMIFS('Attrition Modeling'!$D:$D,'Attrition Modeling'!$B:$B,$E79,'Attrition Modeling'!$C:$C,M$68),VLOOKUP(M$69-$F79-1,$A$7:$C$161,2,FALSE)*VLOOKUP(M$1,'Attrition Modeling'!$L$15:$N$27,IF(M$2-$F12&lt;=24,2,3),FALSE))*(1+Projection!O$16)*(1+IF(M144&gt;0,'Attrition Modeling'!$N$9,0))),0))</f>
        <v>0</v>
      </c>
      <c r="N79" s="799">
        <f>IF(N$69=$F79+1,IF(Monthly!J$4=TRUE,0,Monthly!J$17),IF(N$69&gt;$F79+1,M79*(1-IF(N$69-$F79&lt;=12,SUMIFS('Attrition Modeling'!$D:$D,'Attrition Modeling'!$B:$B,$E79,'Attrition Modeling'!$C:$C,N$68),VLOOKUP(N$69-$F79-1,$A$7:$C$161,2,FALSE)*VLOOKUP(N$1,'Attrition Modeling'!$L$15:$N$27,IF(N$2-$F12&lt;=24,2,3),FALSE))*(1+Projection!P$16)*(1+IF(N144&gt;0,'Attrition Modeling'!$N$9,0))),0))</f>
        <v>0</v>
      </c>
      <c r="O79" s="799">
        <f>IF(O$69=$F79+1,IF(Monthly!K$4=TRUE,0,Monthly!K$17),IF(O$69&gt;$F79+1,N79*(1-IF(O$69-$F79&lt;=12,SUMIFS('Attrition Modeling'!$D:$D,'Attrition Modeling'!$B:$B,$E79,'Attrition Modeling'!$C:$C,O$68),VLOOKUP(O$69-$F79-1,$A$7:$C$161,2,FALSE)*VLOOKUP(O$1,'Attrition Modeling'!$L$15:$N$27,IF(O$2-$F12&lt;=24,2,3),FALSE))*(1+Projection!Q$16)*(1+IF(O144&gt;0,'Attrition Modeling'!$N$9,0))),0))</f>
        <v>0</v>
      </c>
      <c r="P79" s="799">
        <f>IF(P$69=$F79+1,IF(Monthly!L$4=TRUE,0,Monthly!L$17),IF(P$69&gt;$F79+1,O79*(1-IF(P$69-$F79&lt;=12,SUMIFS('Attrition Modeling'!$D:$D,'Attrition Modeling'!$B:$B,$E79,'Attrition Modeling'!$C:$C,P$68),VLOOKUP(P$69-$F79-1,$A$7:$C$161,2,FALSE)*VLOOKUP(P$1,'Attrition Modeling'!$L$15:$N$27,IF(P$2-$F12&lt;=24,2,3),FALSE))*(1+Projection!R$16)*(1+IF(P144&gt;0,'Attrition Modeling'!$N$9,0))),0))</f>
        <v>0</v>
      </c>
      <c r="Q79" s="799">
        <f>IF(Q$69=$F79+1,IF(Monthly!M$4=TRUE,0,Monthly!M$17),IF(Q$69&gt;$F79+1,P79*(1-IF(Q$69-$F79&lt;=12,SUMIFS('Attrition Modeling'!$D:$D,'Attrition Modeling'!$B:$B,$E79,'Attrition Modeling'!$C:$C,Q$68),VLOOKUP(Q$69-$F79-1,$A$7:$C$161,2,FALSE)*VLOOKUP(Q$1,'Attrition Modeling'!$L$15:$N$27,IF(Q$2-$F12&lt;=24,2,3),FALSE))*(1+Projection!S$16)*(1+IF(Q144&gt;0,'Attrition Modeling'!$N$9,0))),0))</f>
        <v>4824.014849745934</v>
      </c>
      <c r="R79" s="799">
        <f>IF(R$69=$F79+1,IF(Monthly!N$4=TRUE,0,Monthly!N$17),IF(R$69&gt;$F79+1,Q79*(1-IF(R$69-$F79&lt;=12,SUMIFS('Attrition Modeling'!$D:$D,'Attrition Modeling'!$B:$B,$E79,'Attrition Modeling'!$C:$C,R$68),VLOOKUP(R$69-$F79-1,$A$7:$C$161,2,FALSE)*VLOOKUP(R$1,'Attrition Modeling'!$L$15:$N$27,IF(R$2-$F12&lt;=24,2,3),FALSE))*(1+Projection!T$16)*(1+IF(R144&gt;0,'Attrition Modeling'!$N$9,0))),0))</f>
        <v>4340.7532429236308</v>
      </c>
      <c r="S79" s="799">
        <f>IF(S$69=$F79+1,IF(Monthly!O$4=TRUE,0,Monthly!O$17),IF(S$69&gt;$F79+1,R79*(1-IF(S$69-$F79&lt;=12,SUMIFS('Attrition Modeling'!$D:$D,'Attrition Modeling'!$B:$B,$E79,'Attrition Modeling'!$C:$C,S$68),VLOOKUP(S$69-$F79-1,$A$7:$C$161,2,FALSE)*VLOOKUP(S$1,'Attrition Modeling'!$L$15:$N$27,IF(S$2-$F12&lt;=24,2,3),FALSE))*(1+Projection!U$16)*(1+IF(S144&gt;0,'Attrition Modeling'!$N$9,0))),0))</f>
        <v>3959.6881521995647</v>
      </c>
      <c r="T79" s="799">
        <f>IF(T$69=$F79+1,IF(Monthly!P$4=TRUE,0,Monthly!P$17),IF(T$69&gt;$F79+1,S79*(1-IF(T$69-$F79&lt;=12,SUMIFS('Attrition Modeling'!$D:$D,'Attrition Modeling'!$B:$B,$E79,'Attrition Modeling'!$C:$C,T$68),VLOOKUP(T$69-$F79-1,$A$7:$C$161,2,FALSE)*VLOOKUP(T$1,'Attrition Modeling'!$L$15:$N$27,IF(T$2-$F12&lt;=24,2,3),FALSE))*(1+Projection!V$16)*(1+IF(T144&gt;0,'Attrition Modeling'!$N$9,0))),0))</f>
        <v>3635.669325711729</v>
      </c>
      <c r="U79" s="799">
        <f>IF(U$69=$F79+1,IF(Monthly!Q$4=TRUE,0,Monthly!Q$17),IF(U$69&gt;$F79+1,T79*(1-IF(U$69-$F79&lt;=12,SUMIFS('Attrition Modeling'!$D:$D,'Attrition Modeling'!$B:$B,$E79,'Attrition Modeling'!$C:$C,U$68),VLOOKUP(U$69-$F79-1,$A$7:$C$161,2,FALSE)*VLOOKUP(U$1,'Attrition Modeling'!$L$15:$N$27,IF(U$2-$F12&lt;=24,2,3),FALSE))*(1+Projection!W$16)*(1+IF(U144&gt;0,'Attrition Modeling'!$N$9,0))),0))</f>
        <v>3367.4665449043737</v>
      </c>
      <c r="V79" s="799">
        <f>IF(V$69=$F79+1,IF(Monthly!R$4=TRUE,0,Monthly!R$17),IF(V$69&gt;$F79+1,U79*(1-IF(V$69-$F79&lt;=12,SUMIFS('Attrition Modeling'!$D:$D,'Attrition Modeling'!$B:$B,$E79,'Attrition Modeling'!$C:$C,V$68),VLOOKUP(V$69-$F79-1,$A$7:$C$161,2,FALSE)*VLOOKUP(V$1,'Attrition Modeling'!$L$15:$N$27,IF(V$2-$F12&lt;=24,2,3),FALSE))*(1+Projection!X$16)*(1+IF(V144&gt;0,'Attrition Modeling'!$N$9,0))),0))</f>
        <v>3022.5192203659262</v>
      </c>
      <c r="W79" s="799">
        <f>IF(W$69=$F79+1,IF(Monthly!S$4=TRUE,0,Monthly!S$17),IF(W$69&gt;$F79+1,V79*(1-IF(W$69-$F79&lt;=12,SUMIFS('Attrition Modeling'!$D:$D,'Attrition Modeling'!$B:$B,$E79,'Attrition Modeling'!$C:$C,W$68),VLOOKUP(W$69-$F79-1,$A$7:$C$161,2,FALSE)*VLOOKUP(W$1,'Attrition Modeling'!$L$15:$N$27,IF(W$2-$F12&lt;=24,2,3),FALSE))*(1+Projection!Y$16)*(1+IF(W144&gt;0,'Attrition Modeling'!$N$9,0))),0))</f>
        <v>2802.8897956303372</v>
      </c>
      <c r="X79" s="799">
        <f>IF(X$69=$F79+1,IF(Monthly!T$4=TRUE,0,Monthly!T$17),IF(X$69&gt;$F79+1,W79*(1-IF(X$69-$F79&lt;=12,SUMIFS('Attrition Modeling'!$D:$D,'Attrition Modeling'!$B:$B,$E79,'Attrition Modeling'!$C:$C,X$68),VLOOKUP(X$69-$F79-1,$A$7:$C$161,2,FALSE)*VLOOKUP(X$1,'Attrition Modeling'!$L$15:$N$27,IF(X$2-$F12&lt;=24,2,3),FALSE))*(1+Projection!Z$16)*(1+IF(X144&gt;0,'Attrition Modeling'!$N$9,0))),0))</f>
        <v>2603.4914868178485</v>
      </c>
      <c r="Y79" s="799">
        <f>IF(Y$69=$F79+1,IF(Monthly!U$4=TRUE,0,Monthly!U$17),IF(Y$69&gt;$F79+1,X79*(1-IF(Y$69-$F79&lt;=12,SUMIFS('Attrition Modeling'!$D:$D,'Attrition Modeling'!$B:$B,$E79,'Attrition Modeling'!$C:$C,Y$68),VLOOKUP(Y$69-$F79-1,$A$7:$C$161,2,FALSE)*VLOOKUP(Y$1,'Attrition Modeling'!$L$15:$N$27,IF(Y$2-$F12&lt;=24,2,3),FALSE))*(1+Projection!AA$16)*(1+IF(Y144&gt;0,'Attrition Modeling'!$N$9,0))),0))</f>
        <v>2424.2133707661051</v>
      </c>
      <c r="Z79" s="799">
        <f>IF(Z$69=$F79+1,IF(Monthly!V$4=TRUE,0,Monthly!V$17),IF(Z$69&gt;$F79+1,Y79*(1-IF(Z$69-$F79&lt;=12,SUMIFS('Attrition Modeling'!$D:$D,'Attrition Modeling'!$B:$B,$E79,'Attrition Modeling'!$C:$C,Z$68),VLOOKUP(Z$69-$F79-1,$A$7:$C$161,2,FALSE)*VLOOKUP(Z$1,'Attrition Modeling'!$L$15:$N$27,IF(Z$2-$F12&lt;=24,2,3),FALSE))*(1+Projection!AB$16)*(1+IF(Z144&gt;0,'Attrition Modeling'!$N$9,0))),0))</f>
        <v>2275.4103783681412</v>
      </c>
      <c r="AA79" s="799">
        <f>IF(AA$69=$F79+1,IF(Monthly!W$4=TRUE,0,Monthly!W$17),IF(AA$69&gt;$F79+1,Z79*(1-IF(AA$69-$F79&lt;=12,SUMIFS('Attrition Modeling'!$D:$D,'Attrition Modeling'!$B:$B,$E79,'Attrition Modeling'!$C:$C,AA$68),VLOOKUP(AA$69-$F79-1,$A$7:$C$161,2,FALSE)*VLOOKUP(AA$1,'Attrition Modeling'!$L$15:$N$27,IF(AA$2-$F12&lt;=24,2,3),FALSE))*(1+Projection!AC$16)*(1+IF(AA144&gt;0,'Attrition Modeling'!$N$9,0))),0))</f>
        <v>2141.345952121248</v>
      </c>
      <c r="AB79" s="799">
        <f>IF(AB$69=$F79+1,IF(Monthly!X$4=TRUE,0,Monthly!X$17),IF(AB$69&gt;$F79+1,AA79*(1-IF(AB$69-$F79&lt;=12,SUMIFS('Attrition Modeling'!$D:$D,'Attrition Modeling'!$B:$B,$E79,'Attrition Modeling'!$C:$C,AB$68),VLOOKUP(AB$69-$F79-1,$A$7:$C$161,2,FALSE)*VLOOKUP(AB$1,'Attrition Modeling'!$L$15:$N$27,IF(AB$2-$F12&lt;=24,2,3),FALSE))*(1+Projection!AD$16)*(1+IF(AB144&gt;0,'Attrition Modeling'!$N$9,0))),0))</f>
        <v>2049.6317195496235</v>
      </c>
      <c r="AC79" s="799">
        <f>IF(AC$69=$F79+1,IF(Monthly!Y$4=TRUE,0,Monthly!Y$17),IF(AC$69&gt;$F79+1,AB79*(1-IF(AC$69-$F79&lt;=12,SUMIFS('Attrition Modeling'!$D:$D,'Attrition Modeling'!$B:$B,$E79,'Attrition Modeling'!$C:$C,AC$68),VLOOKUP(AC$69-$F79-1,$A$7:$C$161,2,FALSE)*VLOOKUP(AC$1,'Attrition Modeling'!$L$15:$N$27,IF(AC$2-$F12&lt;=24,2,3),FALSE))*(1+Projection!AE$16)*(1+IF(AC144&gt;0,'Attrition Modeling'!$N$9,0))),0))</f>
        <v>1933.8148092690803</v>
      </c>
      <c r="AD79" s="799">
        <f>IF(AD$69=$F79+1,IF(Monthly!Z$4=TRUE,0,Monthly!Z$17),IF(AD$69&gt;$F79+1,AC79*(1-IF(AD$69-$F79&lt;=12,SUMIFS('Attrition Modeling'!$D:$D,'Attrition Modeling'!$B:$B,$E79,'Attrition Modeling'!$C:$C,AD$68),VLOOKUP(AD$69-$F79-1,$A$7:$C$161,2,FALSE)*VLOOKUP(AD$1,'Attrition Modeling'!$L$15:$N$27,IF(AD$2-$F12&lt;=24,2,3),FALSE))*(1+Projection!AF$16)*(1+IF(AD144&gt;0,'Attrition Modeling'!$N$9,0))),0))</f>
        <v>1836.8150185999714</v>
      </c>
      <c r="AE79" s="799">
        <f>IF(AE$69=$F79+1,IF(Monthly!AA$4=TRUE,0,Monthly!AA$17),IF(AE$69&gt;$F79+1,AD79*(1-IF(AE$69-$F79&lt;=12,SUMIFS('Attrition Modeling'!$D:$D,'Attrition Modeling'!$B:$B,$E79,'Attrition Modeling'!$C:$C,AE$68),VLOOKUP(AE$69-$F79-1,$A$7:$C$161,2,FALSE)*VLOOKUP(AE$1,'Attrition Modeling'!$L$15:$N$27,IF(AE$2-$F12&lt;=24,2,3),FALSE))*(1+Projection!AG$16)*(1+IF(AE144&gt;0,'Attrition Modeling'!$N$9,0))),0))</f>
        <v>1750.112581502872</v>
      </c>
      <c r="AF79" s="799">
        <f>IF(AF$69=$F79+1,IF(Monthly!AB$4=TRUE,0,Monthly!AB$17),IF(AF$69&gt;$F79+1,AE79*(1-IF(AF$69-$F79&lt;=12,SUMIFS('Attrition Modeling'!$D:$D,'Attrition Modeling'!$B:$B,$E79,'Attrition Modeling'!$C:$C,AF$68),VLOOKUP(AF$69-$F79-1,$A$7:$C$161,2,FALSE)*VLOOKUP(AF$1,'Attrition Modeling'!$L$15:$N$27,IF(AF$2-$F12&lt;=24,2,3),FALSE))*(1+Projection!AH$16)*(1+IF(AF144&gt;0,'Attrition Modeling'!$N$9,0))),0))</f>
        <v>1670.4486169878585</v>
      </c>
      <c r="AG79" s="799">
        <f>IF(AG$69=$F79+1,IF(Monthly!AC$4=TRUE,0,Monthly!AC$17),IF(AG$69&gt;$F79+1,AF79*(1-IF(AG$69-$F79&lt;=12,SUMIFS('Attrition Modeling'!$D:$D,'Attrition Modeling'!$B:$B,$E79,'Attrition Modeling'!$C:$C,AG$68),VLOOKUP(AG$69-$F79-1,$A$7:$C$161,2,FALSE)*VLOOKUP(AG$1,'Attrition Modeling'!$L$15:$N$27,IF(AG$2-$F12&lt;=24,2,3),FALSE))*(1+Projection!AI$16)*(1+IF(AG144&gt;0,'Attrition Modeling'!$N$9,0))),0))</f>
        <v>1603.8718545209756</v>
      </c>
      <c r="AH79" s="799">
        <f>IF(AH$69=$F79+1,IF(Monthly!AD$4=TRUE,0,Monthly!AD$17),IF(AH$69&gt;$F79+1,AG79*(1-IF(AH$69-$F79&lt;=12,SUMIFS('Attrition Modeling'!$D:$D,'Attrition Modeling'!$B:$B,$E79,'Attrition Modeling'!$C:$C,AH$68),VLOOKUP(AH$69-$F79-1,$A$7:$C$161,2,FALSE)*VLOOKUP(AH$1,'Attrition Modeling'!$L$15:$N$27,IF(AH$2-$F12&lt;=24,2,3),FALSE))*(1+Projection!AJ$16)*(1+IF(AH144&gt;0,'Attrition Modeling'!$N$9,0))),0))</f>
        <v>1522.4378036811765</v>
      </c>
      <c r="AI79" s="799">
        <f>IF(AI$69=$F79+1,IF(Monthly!AE$4=TRUE,0,Monthly!AE$17),IF(AI$69&gt;$F79+1,AH79*(1-IF(AI$69-$F79&lt;=12,SUMIFS('Attrition Modeling'!$D:$D,'Attrition Modeling'!$B:$B,$E79,'Attrition Modeling'!$C:$C,AI$68),VLOOKUP(AI$69-$F79-1,$A$7:$C$161,2,FALSE)*VLOOKUP(AI$1,'Attrition Modeling'!$L$15:$N$27,IF(AI$2-$F12&lt;=24,2,3),FALSE))*(1+Projection!AK$16)*(1+IF(AI144&gt;0,'Attrition Modeling'!$N$9,0))),0))</f>
        <v>1460.4615266813371</v>
      </c>
      <c r="AJ79" s="799">
        <f>IF(AJ$69=$F79+1,IF(Monthly!AF$4=TRUE,0,Monthly!AF$17),IF(AJ$69&gt;$F79+1,AI79*(1-IF(AJ$69-$F79&lt;=12,SUMIFS('Attrition Modeling'!$D:$D,'Attrition Modeling'!$B:$B,$E79,'Attrition Modeling'!$C:$C,AJ$68),VLOOKUP(AJ$69-$F79-1,$A$7:$C$161,2,FALSE)*VLOOKUP(AJ$1,'Attrition Modeling'!$L$15:$N$27,IF(AJ$2-$F12&lt;=24,2,3),FALSE))*(1+Projection!AL$16)*(1+IF(AJ144&gt;0,'Attrition Modeling'!$N$9,0))),0))</f>
        <v>1402.5543596944012</v>
      </c>
      <c r="AK79" s="799">
        <f>IF(AK$69=$F79+1,IF(Monthly!AG$4=TRUE,0,Monthly!AG$17),IF(AK$69&gt;$F79+1,AJ79*(1-IF(AK$69-$F79&lt;=12,SUMIFS('Attrition Modeling'!$D:$D,'Attrition Modeling'!$B:$B,$E79,'Attrition Modeling'!$C:$C,AK$68),VLOOKUP(AK$69-$F79-1,$A$7:$C$161,2,FALSE)*VLOOKUP(AK$1,'Attrition Modeling'!$L$15:$N$27,IF(AK$2-$F12&lt;=24,2,3),FALSE))*(1+Projection!AM$16)*(1+IF(AK144&gt;0,'Attrition Modeling'!$N$9,0))),0))</f>
        <v>1342.54340782857</v>
      </c>
      <c r="AL79" s="799">
        <f>IF(AL$69=$F79+1,IF(Monthly!AH$4=TRUE,0,Monthly!AH$17),IF(AL$69&gt;$F79+1,AK79*(1-IF(AL$69-$F79&lt;=12,SUMIFS('Attrition Modeling'!$D:$D,'Attrition Modeling'!$B:$B,$E79,'Attrition Modeling'!$C:$C,AL$68),VLOOKUP(AL$69-$F79-1,$A$7:$C$161,2,FALSE)*VLOOKUP(AL$1,'Attrition Modeling'!$L$15:$N$27,IF(AL$2-$F12&lt;=24,2,3),FALSE))*(1+Projection!AN$16)*(1+IF(AL144&gt;0,'Attrition Modeling'!$N$9,0))),0))</f>
        <v>1284.6546570697067</v>
      </c>
      <c r="AM79" s="799">
        <f>IF(AM$69=$F79+1,IF(Monthly!AI$4=TRUE,0,Monthly!AI$17),IF(AM$69&gt;$F79+1,AL79*(1-IF(AM$69-$F79&lt;=12,SUMIFS('Attrition Modeling'!$D:$D,'Attrition Modeling'!$B:$B,$E79,'Attrition Modeling'!$C:$C,AM$68),VLOOKUP(AM$69-$F79-1,$A$7:$C$161,2,FALSE)*VLOOKUP(AM$1,'Attrition Modeling'!$L$15:$N$27,IF(AM$2-$F12&lt;=24,2,3),FALSE))*(1+Projection!AO$16)*(1+IF(AM144&gt;0,'Attrition Modeling'!$N$9,0))),0))</f>
        <v>1227.6384916099657</v>
      </c>
      <c r="AN79" s="799">
        <f>IF(AN$69=$F79+1,IF(Monthly!AJ$4=TRUE,0,Monthly!AJ$17),IF(AN$69&gt;$F79+1,AM79*(1-IF(AN$69-$F79&lt;=12,SUMIFS('Attrition Modeling'!$D:$D,'Attrition Modeling'!$B:$B,$E79,'Attrition Modeling'!$C:$C,AN$68),VLOOKUP(AN$69-$F79-1,$A$7:$C$161,2,FALSE)*VLOOKUP(AN$1,'Attrition Modeling'!$L$15:$N$27,IF(AN$2-$F12&lt;=24,2,3),FALSE))*(1+Projection!AP$16)*(1+IF(AN144&gt;0,'Attrition Modeling'!$N$9,0))),0))</f>
        <v>1178.6120711073129</v>
      </c>
      <c r="AO79" s="799">
        <f>IF(AO$69=$F79+1,IF(Monthly!AK$4=TRUE,0,Monthly!AK$17),IF(AO$69&gt;$F79+1,AN79*(1-IF(AO$69-$F79&lt;=12,SUMIFS('Attrition Modeling'!$D:$D,'Attrition Modeling'!$B:$B,$E79,'Attrition Modeling'!$C:$C,AO$68),VLOOKUP(AO$69-$F79-1,$A$7:$C$161,2,FALSE)*VLOOKUP(AO$1,'Attrition Modeling'!$L$15:$N$27,IF(AO$2-$F12&lt;=24,2,3),FALSE))*(1+Projection!AQ$16)*(1+IF(AO144&gt;0,'Attrition Modeling'!$N$9,0))),0))</f>
        <v>1131.6423335221818</v>
      </c>
      <c r="AP79" s="799">
        <f>IF(AP$69=$F79+1,IF(Monthly!AL$4=TRUE,0,Monthly!AL$17),IF(AP$69&gt;$F79+1,AO79*(1-IF(AP$69-$F79&lt;=12,SUMIFS('Attrition Modeling'!$D:$D,'Attrition Modeling'!$B:$B,$E79,'Attrition Modeling'!$C:$C,AP$68),VLOOKUP(AP$69-$F79-1,$A$7:$C$161,2,FALSE)*VLOOKUP(AP$1,'Attrition Modeling'!$L$15:$N$27,IF(AP$2-$F12&lt;=24,2,3),FALSE))*(1+Projection!AR$16)*(1+IF(AP144&gt;0,'Attrition Modeling'!$N$9,0))),0))</f>
        <v>1088.1777469615922</v>
      </c>
      <c r="AQ79" s="799">
        <f>IF(AQ$69=$F79+1,IF(Monthly!AM$4=TRUE,0,Monthly!AM$17),IF(AQ$69&gt;$F79+1,AP79*(1-IF(AQ$69-$F79&lt;=12,SUMIFS('Attrition Modeling'!$D:$D,'Attrition Modeling'!$B:$B,$E79,'Attrition Modeling'!$C:$C,AQ$68),VLOOKUP(AQ$69-$F79-1,$A$7:$C$161,2,FALSE)*VLOOKUP(AQ$1,'Attrition Modeling'!$L$15:$N$27,IF(AQ$2-$F12&lt;=24,2,3),FALSE))*(1+Projection!AS$16)*(1+IF(AQ144&gt;0,'Attrition Modeling'!$N$9,0))),0))</f>
        <v>1054.2020393625021</v>
      </c>
      <c r="AR79" s="799">
        <f>IF(AR$69=$F79+1,IF(Monthly!AN$4=TRUE,0,Monthly!AN$17),IF(AR$69&gt;$F79+1,AQ79*(1-IF(AR$69-$F79&lt;=12,SUMIFS('Attrition Modeling'!$D:$D,'Attrition Modeling'!$B:$B,$E79,'Attrition Modeling'!$C:$C,AR$68),VLOOKUP(AR$69-$F79-1,$A$7:$C$161,2,FALSE)*VLOOKUP(AR$1,'Attrition Modeling'!$L$15:$N$27,IF(AR$2-$F12&lt;=24,2,3),FALSE))*(1+Projection!AT$16)*(1+IF(AR144&gt;0,'Attrition Modeling'!$N$9,0))),0))</f>
        <v>1018.2422275098475</v>
      </c>
      <c r="AS79" s="799">
        <f>IF(AS$69=$F79+1,IF(Monthly!AO$4=TRUE,0,Monthly!AO$17),IF(AS$69&gt;$F79+1,AR79*(1-IF(AS$69-$F79&lt;=12,SUMIFS('Attrition Modeling'!$D:$D,'Attrition Modeling'!$B:$B,$E79,'Attrition Modeling'!$C:$C,AS$68),VLOOKUP(AS$69-$F79-1,$A$7:$C$161,2,FALSE)*VLOOKUP(AS$1,'Attrition Modeling'!$L$15:$N$27,IF(AS$2-$F12&lt;=24,2,3),FALSE))*(1+Projection!AU$16)*(1+IF(AS144&gt;0,'Attrition Modeling'!$N$9,0))),0))</f>
        <v>985.03102121468703</v>
      </c>
      <c r="AT79" s="799">
        <f>IF(AT$69=$F79+1,IF(Monthly!AP$4=TRUE,0,Monthly!AP$17),IF(AT$69&gt;$F79+1,AS79*(1-IF(AT$69-$F79&lt;=12,SUMIFS('Attrition Modeling'!$D:$D,'Attrition Modeling'!$B:$B,$E79,'Attrition Modeling'!$C:$C,AT$68),VLOOKUP(AT$69-$F79-1,$A$7:$C$161,2,FALSE)*VLOOKUP(AT$1,'Attrition Modeling'!$L$15:$N$27,IF(AT$2-$F12&lt;=24,2,3),FALSE))*(1+Projection!AV$16)*(1+IF(AT144&gt;0,'Attrition Modeling'!$N$9,0))),0))</f>
        <v>948.56111758653003</v>
      </c>
      <c r="AU79" s="799">
        <f>IF(AU$69=$F79+1,IF(Monthly!AQ$4=TRUE,0,Monthly!AQ$17),IF(AU$69&gt;$F79+1,AT79*(1-IF(AU$69-$F79&lt;=12,SUMIFS('Attrition Modeling'!$D:$D,'Attrition Modeling'!$B:$B,$E79,'Attrition Modeling'!$C:$C,AU$68),VLOOKUP(AU$69-$F79-1,$A$7:$C$161,2,FALSE)*VLOOKUP(AU$1,'Attrition Modeling'!$L$15:$N$27,IF(AU$2-$F12&lt;=24,2,3),FALSE))*(1+Projection!AW$16)*(1+IF(AU144&gt;0,'Attrition Modeling'!$N$9,0))),0))</f>
        <v>925.57165252456218</v>
      </c>
      <c r="AV79" s="799">
        <f>IF(AV$69=$F79+1,IF(Monthly!AR$4=TRUE,0,Monthly!AR$17),IF(AV$69&gt;$F79+1,AU79*(1-IF(AV$69-$F79&lt;=12,SUMIFS('Attrition Modeling'!$D:$D,'Attrition Modeling'!$B:$B,$E79,'Attrition Modeling'!$C:$C,AV$68),VLOOKUP(AV$69-$F79-1,$A$7:$C$161,2,FALSE)*VLOOKUP(AV$1,'Attrition Modeling'!$L$15:$N$27,IF(AV$2-$F12&lt;=24,2,3),FALSE))*(1+Projection!AX$16)*(1+IF(AV144&gt;0,'Attrition Modeling'!$N$9,0))),0))</f>
        <v>898.81423387092548</v>
      </c>
      <c r="AW79" s="799">
        <f>IF(AW$69=$F79+1,IF(Monthly!AS$4=TRUE,0,Monthly!AS$17),IF(AW$69&gt;$F79+1,AV79*(1-IF(AW$69-$F79&lt;=12,SUMIFS('Attrition Modeling'!$D:$D,'Attrition Modeling'!$B:$B,$E79,'Attrition Modeling'!$C:$C,AW$68),VLOOKUP(AW$69-$F79-1,$A$7:$C$161,2,FALSE)*VLOOKUP(AW$1,'Attrition Modeling'!$L$15:$N$27,IF(AW$2-$F12&lt;=24,2,3),FALSE))*(1+Projection!AY$16)*(1+IF(AW144&gt;0,'Attrition Modeling'!$N$9,0))),0))</f>
        <v>869.50638162859832</v>
      </c>
      <c r="AX79" s="799">
        <f>IF(AX$69=$F79+1,IF(Monthly!AT$4=TRUE,0,Monthly!AT$17),IF(AX$69&gt;$F79+1,AW79*(1-IF(AX$69-$F79&lt;=12,SUMIFS('Attrition Modeling'!$D:$D,'Attrition Modeling'!$B:$B,$E79,'Attrition Modeling'!$C:$C,AX$68),VLOOKUP(AX$69-$F79-1,$A$7:$C$161,2,FALSE)*VLOOKUP(AX$1,'Attrition Modeling'!$L$15:$N$27,IF(AX$2-$F12&lt;=24,2,3),FALSE))*(1+Projection!AZ$16)*(1+IF(AX144&gt;0,'Attrition Modeling'!$N$9,0))),0))</f>
        <v>838.9702520516181</v>
      </c>
      <c r="AY79" s="799">
        <f>IF(AY$69=$F79+1,IF(Monthly!AU$4=TRUE,0,Monthly!AU$17),IF(AY$69&gt;$F79+1,AX79*(1-IF(AY$69-$F79&lt;=12,SUMIFS('Attrition Modeling'!$D:$D,'Attrition Modeling'!$B:$B,$E79,'Attrition Modeling'!$C:$C,AY$68),VLOOKUP(AY$69-$F79-1,$A$7:$C$161,2,FALSE)*VLOOKUP(AY$1,'Attrition Modeling'!$L$15:$N$27,IF(AY$2-$F12&lt;=24,2,3),FALSE))*(1+Projection!BA$16)*(1+IF(AY144&gt;0,'Attrition Modeling'!$N$9,0))),0))</f>
        <v>807.68597816017063</v>
      </c>
      <c r="AZ79" s="799">
        <f>IF(AZ$69=$F79+1,IF(Monthly!AV$4=TRUE,0,Monthly!AV$17),IF(AZ$69&gt;$F79+1,AY79*(1-IF(AZ$69-$F79&lt;=12,SUMIFS('Attrition Modeling'!$D:$D,'Attrition Modeling'!$B:$B,$E79,'Attrition Modeling'!$C:$C,AZ$68),VLOOKUP(AZ$69-$F79-1,$A$7:$C$161,2,FALSE)*VLOOKUP(AZ$1,'Attrition Modeling'!$L$15:$N$27,IF(AZ$2-$F12&lt;=24,2,3),FALSE))*(1+Projection!BB$16)*(1+IF(AZ144&gt;0,'Attrition Modeling'!$N$9,0))),0))</f>
        <v>779.71428363946552</v>
      </c>
      <c r="BA79" s="799">
        <f>IF(BA$69=$F79+1,IF(Monthly!AW$4=TRUE,0,Monthly!AW$17),IF(BA$69&gt;$F79+1,AZ79*(1-IF(BA$69-$F79&lt;=12,SUMIFS('Attrition Modeling'!$D:$D,'Attrition Modeling'!$B:$B,$E79,'Attrition Modeling'!$C:$C,BA$68),VLOOKUP(BA$69-$F79-1,$A$7:$C$161,2,FALSE)*VLOOKUP(BA$1,'Attrition Modeling'!$L$15:$N$27,IF(BA$2-$F12&lt;=24,2,3),FALSE))*(1+Projection!BC$16)*(1+IF(BA144&gt;0,'Attrition Modeling'!$N$9,0))),0))</f>
        <v>753.92338662466204</v>
      </c>
      <c r="BB79" s="799">
        <f>IF(BB$69=$F79+1,IF(Monthly!AX$4=TRUE,0,Monthly!AX$17),IF(BB$69&gt;$F79+1,BA79*(1-IF(BB$69-$F79&lt;=12,SUMIFS('Attrition Modeling'!$D:$D,'Attrition Modeling'!$B:$B,$E79,'Attrition Modeling'!$C:$C,BB$68),VLOOKUP(BB$69-$F79-1,$A$7:$C$161,2,FALSE)*VLOOKUP(BB$1,'Attrition Modeling'!$L$15:$N$27,IF(BB$2-$F12&lt;=24,2,3),FALSE))*(1+Projection!BD$16)*(1+IF(BB144&gt;0,'Attrition Modeling'!$N$9,0))),0))</f>
        <v>729.80868146944033</v>
      </c>
      <c r="BC79" s="799">
        <f>IF(BC$69=$F79+1,IF(Monthly!AY$4=TRUE,0,Monthly!AY$17),IF(BC$69&gt;$F79+1,BB79*(1-IF(BC$69-$F79&lt;=12,SUMIFS('Attrition Modeling'!$D:$D,'Attrition Modeling'!$B:$B,$E79,'Attrition Modeling'!$C:$C,BC$68),VLOOKUP(BC$69-$F79-1,$A$7:$C$161,2,FALSE)*VLOOKUP(BC$1,'Attrition Modeling'!$L$15:$N$27,IF(BC$2-$F12&lt;=24,2,3),FALSE))*(1+Projection!BE$16)*(1+IF(BC144&gt;0,'Attrition Modeling'!$N$9,0))),0))</f>
        <v>710.77337232006494</v>
      </c>
      <c r="BD79" s="799">
        <f>IF(BD$69=$F79+1,IF(Monthly!AZ$4=TRUE,0,Monthly!AZ$17),IF(BD$69&gt;$F79+1,BC79*(1-IF(BD$69-$F79&lt;=12,SUMIFS('Attrition Modeling'!$D:$D,'Attrition Modeling'!$B:$B,$E79,'Attrition Modeling'!$C:$C,BD$68),VLOOKUP(BD$69-$F79-1,$A$7:$C$161,2,FALSE)*VLOOKUP(BD$1,'Attrition Modeling'!$L$15:$N$27,IF(BD$2-$F12&lt;=24,2,3),FALSE))*(1+Projection!BF$16)*(1+IF(BD144&gt;0,'Attrition Modeling'!$N$9,0))),0))</f>
        <v>690.4601877152046</v>
      </c>
      <c r="BE79" s="799">
        <f>IF(BE$69=$F79+1,IF(Monthly!BA$4=TRUE,0,Monthly!BA$17),IF(BE$69&gt;$F79+1,BD79*(1-IF(BE$69-$F79&lt;=12,SUMIFS('Attrition Modeling'!$D:$D,'Attrition Modeling'!$B:$B,$E79,'Attrition Modeling'!$C:$C,BE$68),VLOOKUP(BE$69-$F79-1,$A$7:$C$161,2,FALSE)*VLOOKUP(BE$1,'Attrition Modeling'!$L$15:$N$27,IF(BE$2-$F12&lt;=24,2,3),FALSE))*(1+Projection!BG$16)*(1+IF(BE144&gt;0,'Attrition Modeling'!$N$9,0))),0))</f>
        <v>671.54020141347962</v>
      </c>
      <c r="BF79" s="799">
        <f>IF(BF$69=$F79+1,IF(Monthly!BB$4=TRUE,0,Monthly!BB$17),IF(BF$69&gt;$F79+1,BE79*(1-IF(BF$69-$F79&lt;=12,SUMIFS('Attrition Modeling'!$D:$D,'Attrition Modeling'!$B:$B,$E79,'Attrition Modeling'!$C:$C,BF$68),VLOOKUP(BF$69-$F79-1,$A$7:$C$161,2,FALSE)*VLOOKUP(BF$1,'Attrition Modeling'!$L$15:$N$27,IF(BF$2-$F12&lt;=24,2,3),FALSE))*(1+Projection!BH$16)*(1+IF(BF144&gt;0,'Attrition Modeling'!$N$9,0))),0))</f>
        <v>650.59757379993698</v>
      </c>
      <c r="BG79" s="799">
        <f>IF(BG$69=$F79+1,IF(Monthly!BC$4=TRUE,0,Monthly!BC$17),IF(BG$69&gt;$F79+1,BF79*(1-IF(BG$69-$F79&lt;=12,SUMIFS('Attrition Modeling'!$D:$D,'Attrition Modeling'!$B:$B,$E79,'Attrition Modeling'!$C:$C,BG$68),VLOOKUP(BG$69-$F79-1,$A$7:$C$161,2,FALSE)*VLOOKUP(BG$1,'Attrition Modeling'!$L$15:$N$27,IF(BG$2-$F12&lt;=24,2,3),FALSE))*(1+Projection!BI$16)*(1+IF(BG144&gt;0,'Attrition Modeling'!$N$9,0))),0))</f>
        <v>637.2834592242167</v>
      </c>
      <c r="BH79" s="799">
        <f>IF(BH$69=$F79+1,IF(Monthly!BD$4=TRUE,0,Monthly!BD$17),IF(BH$69&gt;$F79+1,BG79*(1-IF(BH$69-$F79&lt;=12,SUMIFS('Attrition Modeling'!$D:$D,'Attrition Modeling'!$B:$B,$E79,'Attrition Modeling'!$C:$C,BH$68),VLOOKUP(BH$69-$F79-1,$A$7:$C$161,2,FALSE)*VLOOKUP(BH$1,'Attrition Modeling'!$L$15:$N$27,IF(BH$2-$F12&lt;=24,2,3),FALSE))*(1+Projection!BJ$16)*(1+IF(BH144&gt;0,'Attrition Modeling'!$N$9,0))),0))</f>
        <v>621.69131075550479</v>
      </c>
      <c r="BI79" s="799">
        <f>IF(BI$69=$F79+1,IF(Monthly!BE$4=TRUE,0,Monthly!BE$17),IF(BI$69&gt;$F79+1,BH79*(1-IF(BI$69-$F79&lt;=12,SUMIFS('Attrition Modeling'!$D:$D,'Attrition Modeling'!$B:$B,$E79,'Attrition Modeling'!$C:$C,BI$68),VLOOKUP(BI$69-$F79-1,$A$7:$C$161,2,FALSE)*VLOOKUP(BI$1,'Attrition Modeling'!$L$15:$N$27,IF(BI$2-$F12&lt;=24,2,3),FALSE))*(1+Projection!BK$16)*(1+IF(BI144&gt;0,'Attrition Modeling'!$N$9,0))),0))</f>
        <v>604.49733738564521</v>
      </c>
      <c r="BJ79" s="799">
        <f>IF(BJ$69=$F79+1,IF(Monthly!BF$4=TRUE,0,Monthly!BF$17),IF(BJ$69&gt;$F79+1,BI79*(1-IF(BJ$69-$F79&lt;=12,SUMIFS('Attrition Modeling'!$D:$D,'Attrition Modeling'!$B:$B,$E79,'Attrition Modeling'!$C:$C,BJ$68),VLOOKUP(BJ$69-$F79-1,$A$7:$C$161,2,FALSE)*VLOOKUP(BJ$1,'Attrition Modeling'!$L$15:$N$27,IF(BJ$2-$F12&lt;=24,2,3),FALSE))*(1+Projection!BL$16)*(1+IF(BJ144&gt;0,'Attrition Modeling'!$N$9,0))),0))</f>
        <v>586.45384305801781</v>
      </c>
      <c r="BK79" s="799">
        <f>IF(BK$69=$F79+1,IF(Monthly!BG$4=TRUE,0,Monthly!BG$17),IF(BK$69&gt;$F79+1,BJ79*(1-IF(BK$69-$F79&lt;=12,SUMIFS('Attrition Modeling'!$D:$D,'Attrition Modeling'!$B:$B,$E79,'Attrition Modeling'!$C:$C,BK$68),VLOOKUP(BK$69-$F79-1,$A$7:$C$161,2,FALSE)*VLOOKUP(BK$1,'Attrition Modeling'!$L$15:$N$27,IF(BK$2-$F12&lt;=24,2,3),FALSE))*(1+Projection!BM$16)*(1+IF(BK144&gt;0,'Attrition Modeling'!$N$9,0))),0))</f>
        <v>567.83087088931688</v>
      </c>
      <c r="BL79" s="799">
        <f>IF(BL$69=$F79+1,IF(Monthly!BH$4=TRUE,0,Monthly!BH$17),IF(BL$69&gt;$F79+1,BK79*(1-IF(BL$69-$F79&lt;=12,SUMIFS('Attrition Modeling'!$D:$D,'Attrition Modeling'!$B:$B,$E79,'Attrition Modeling'!$C:$C,BL$68),VLOOKUP(BL$69-$F79-1,$A$7:$C$161,2,FALSE)*VLOOKUP(BL$1,'Attrition Modeling'!$L$15:$N$27,IF(BL$2-$F12&lt;=24,2,3),FALSE))*(1+Projection!BN$16)*(1+IF(BL144&gt;0,'Attrition Modeling'!$N$9,0))),0))</f>
        <v>551.05296831192516</v>
      </c>
      <c r="BM79" s="799">
        <f>IF(BM$69=$F79+1,IF(Monthly!BI$4=TRUE,0,Monthly!BI$17),IF(BM$69&gt;$F79+1,BL79*(1-IF(BM$69-$F79&lt;=12,SUMIFS('Attrition Modeling'!$D:$D,'Attrition Modeling'!$B:$B,$E79,'Attrition Modeling'!$C:$C,BM$68),VLOOKUP(BM$69-$F79-1,$A$7:$C$161,2,FALSE)*VLOOKUP(BM$1,'Attrition Modeling'!$L$15:$N$27,IF(BM$2-$F12&lt;=24,2,3),FALSE))*(1+Projection!BO$16)*(1+IF(BM144&gt;0,'Attrition Modeling'!$N$9,0))),0))</f>
        <v>535.57889170856026</v>
      </c>
      <c r="BN79" s="799">
        <f>IF(BN$69=$F79+1,IF(Monthly!BJ$4=TRUE,0,Monthly!BJ$17),IF(BN$69&gt;$F79+1,BM79*(1-IF(BN$69-$F79&lt;=12,SUMIFS('Attrition Modeling'!$D:$D,'Attrition Modeling'!$B:$B,$E79,'Attrition Modeling'!$C:$C,BN$68),VLOOKUP(BN$69-$F79-1,$A$7:$C$161,2,FALSE)*VLOOKUP(BN$1,'Attrition Modeling'!$L$15:$N$27,IF(BN$2-$F12&lt;=24,2,3),FALSE))*(1+Projection!BP$16)*(1+IF(BN144&gt;0,'Attrition Modeling'!$N$9,0))),0))</f>
        <v>521.01370837810703</v>
      </c>
      <c r="BO79" s="799">
        <f>IF(BO$69=$F79+1,IF(Monthly!BK$4=TRUE,0,Monthly!BK$17),IF(BO$69&gt;$F79+1,BN79*(1-IF(BO$69-$F79&lt;=12,SUMIFS('Attrition Modeling'!$D:$D,'Attrition Modeling'!$B:$B,$E79,'Attrition Modeling'!$C:$C,BO$68),VLOOKUP(BO$69-$F79-1,$A$7:$C$161,2,FALSE)*VLOOKUP(BO$1,'Attrition Modeling'!$L$15:$N$27,IF(BO$2-$F12&lt;=24,2,3),FALSE))*(1+Projection!BV$16)*(1+IF(BO144&gt;0,'Attrition Modeling'!$N$9,0))),0))</f>
        <v>509.44302407331287</v>
      </c>
      <c r="BP79" s="799">
        <f>IF(BP$69=$F79+1,IF(Monthly!BL$4=TRUE,0,Monthly!BL$17),IF(BP$69&gt;$F79+1,BO79*(1-IF(BP$69-$F79&lt;=12,SUMIFS('Attrition Modeling'!$D:$D,'Attrition Modeling'!$B:$B,$E79,'Attrition Modeling'!$C:$C,BP$68),VLOOKUP(BP$69-$F79-1,$A$7:$C$161,2,FALSE)*VLOOKUP(BP$1,'Attrition Modeling'!$L$15:$N$27,IF(BP$2-$F12&lt;=24,2,3),FALSE))*(1+Projection!BW$16)*(1+IF(BP144&gt;0,'Attrition Modeling'!$N$9,0))),0))</f>
        <v>497.02968032784804</v>
      </c>
      <c r="BQ79" s="799">
        <f>IF(BQ$69=$F79+1,IF(Monthly!BM$4=TRUE,0,Monthly!BM$17),IF(BQ$69&gt;$F79+1,BP79*(1-IF(BQ$69-$F79&lt;=12,SUMIFS('Attrition Modeling'!$D:$D,'Attrition Modeling'!$B:$B,$E79,'Attrition Modeling'!$C:$C,BQ$68),VLOOKUP(BQ$69-$F79-1,$A$7:$C$161,2,FALSE)*VLOOKUP(BQ$1,'Attrition Modeling'!$L$15:$N$27,IF(BQ$2-$F12&lt;=24,2,3),FALSE))*(1+Projection!BX$16)*(1+IF(BQ144&gt;0,'Attrition Modeling'!$N$9,0))),0))</f>
        <v>485.40271988825043</v>
      </c>
      <c r="BR79" s="799">
        <f>IF(BR$69=$F79+1,IF(Monthly!BN$4=TRUE,0,Monthly!BN$17),IF(BR$69&gt;$F79+1,BQ79*(1-IF(BR$69-$F79&lt;=12,SUMIFS('Attrition Modeling'!$D:$D,'Attrition Modeling'!$B:$B,$E79,'Attrition Modeling'!$C:$C,BR$68),VLOOKUP(BR$69-$F79-1,$A$7:$C$161,2,FALSE)*VLOOKUP(BR$1,'Attrition Modeling'!$L$15:$N$27,IF(BR$2-$F12&lt;=24,2,3),FALSE))*(1+Projection!BY$16)*(1+IF(BR144&gt;0,'Attrition Modeling'!$N$9,0))),0))</f>
        <v>474.62052625942835</v>
      </c>
      <c r="BS79" s="799">
        <f>IF(BS$69=$F79+1,IF(Monthly!BO$4=TRUE,0,Monthly!BO$17),IF(BS$69&gt;$F79+1,BR79*(1-IF(BS$69-$F79&lt;=12,SUMIFS('Attrition Modeling'!$D:$D,'Attrition Modeling'!$B:$B,$E79,'Attrition Modeling'!$C:$C,BS$68),VLOOKUP(BS$69-$F79-1,$A$7:$C$161,2,FALSE)*VLOOKUP(BS$1,'Attrition Modeling'!$L$15:$N$27,IF(BS$2-$F12&lt;=24,2,3),FALSE))*(1+Projection!BZ$16)*(1+IF(BS144&gt;0,'Attrition Modeling'!$N$9,0))),0))</f>
        <v>466.30920067589045</v>
      </c>
      <c r="BT79" s="799">
        <f>IF(BT$69=$F79+1,IF(Monthly!#REF!=TRUE,0,Monthly!#REF!),IF(BT$69&gt;$F79+1,BS79*(1-IF(BT$69-$F79&lt;=12,SUMIFS('Attrition Modeling'!$D:$D,'Attrition Modeling'!$B:$B,$E79,'Attrition Modeling'!$C:$C,BT$68),VLOOKUP(BT$69-$F79-1,$A$7:$C$161,2,FALSE)*VLOOKUP(BT$1,'Attrition Modeling'!$L$15:$N$27,IF(BT$2-$F12&lt;=24,2,3),FALSE))*(1+Projection!CA$16)*(1+IF(BT144&gt;0,'Attrition Modeling'!$N$9,0))),0))</f>
        <v>456.53589949612348</v>
      </c>
      <c r="BU79" s="799">
        <f>IF(BU$69=$F79+1,IF(Monthly!#REF!=TRUE,0,Monthly!#REF!),IF(BU$69&gt;$F79+1,BT79*(1-IF(BU$69-$F79&lt;=12,SUMIFS('Attrition Modeling'!$D:$D,'Attrition Modeling'!$B:$B,$E79,'Attrition Modeling'!$C:$C,BU$68),VLOOKUP(BU$69-$F79-1,$A$7:$C$161,2,FALSE)*VLOOKUP(BU$1,'Attrition Modeling'!$L$15:$N$27,IF(BU$2-$F12&lt;=24,2,3),FALSE))*(1+Projection!CB$16)*(1+IF(BU144&gt;0,'Attrition Modeling'!$N$9,0))),0))</f>
        <v>445.708728825067</v>
      </c>
    </row>
    <row r="80" spans="1:73" ht="14.25" customHeight="1" x14ac:dyDescent="0.2">
      <c r="A80" s="9">
        <v>73</v>
      </c>
      <c r="B80" s="25">
        <f>MAX('Attrition Modeling'!H77,$C$3)*(1-Summary!$C$20)</f>
        <v>2.0975974119330047E-2</v>
      </c>
      <c r="C80" s="24" t="e">
        <f t="shared" si="4"/>
        <v>#DIV/0!</v>
      </c>
      <c r="E80" s="11">
        <f t="shared" si="9"/>
        <v>10</v>
      </c>
      <c r="F80" s="11">
        <f t="shared" si="10"/>
        <v>10</v>
      </c>
      <c r="G80" s="799"/>
      <c r="H80" s="799">
        <f>IF(H$69=$F80+1,IF(Monthly!D$4=TRUE,0,Monthly!D$17),IF(H$69&gt;$F80+1,G80*(1-IF(H$69-$F80&lt;=12,SUMIFS('Attrition Modeling'!$D:$D,'Attrition Modeling'!$B:$B,$E80,'Attrition Modeling'!$C:$C,H$68),VLOOKUP(H$69-$F80-1,$A$7:$C$161,2,FALSE)*VLOOKUP(H$1,'Attrition Modeling'!$L$15:$N$27,IF(H$2-$F13&lt;=24,2,3),FALSE))*(1+Projection!J$16)*(1+IF(H145&gt;0,'Attrition Modeling'!$N$9,0))),0))</f>
        <v>0</v>
      </c>
      <c r="I80" s="799">
        <f>IF(I$69=$F80+1,IF(Monthly!E$4=TRUE,0,Monthly!E$17),IF(I$69&gt;$F80+1,H80*(1-IF(I$69-$F80&lt;=12,SUMIFS('Attrition Modeling'!$D:$D,'Attrition Modeling'!$B:$B,$E80,'Attrition Modeling'!$C:$C,I$68),VLOOKUP(I$69-$F80-1,$A$7:$C$161,2,FALSE)*VLOOKUP(I$1,'Attrition Modeling'!$L$15:$N$27,IF(I$2-$F13&lt;=24,2,3),FALSE))*(1+Projection!K$16)*(1+IF(I145&gt;0,'Attrition Modeling'!$N$9,0))),0))</f>
        <v>0</v>
      </c>
      <c r="J80" s="799">
        <f>IF(J$69=$F80+1,IF(Monthly!F$4=TRUE,0,Monthly!F$17),IF(J$69&gt;$F80+1,I80*(1-IF(J$69-$F80&lt;=12,SUMIFS('Attrition Modeling'!$D:$D,'Attrition Modeling'!$B:$B,$E80,'Attrition Modeling'!$C:$C,J$68),VLOOKUP(J$69-$F80-1,$A$7:$C$161,2,FALSE)*VLOOKUP(J$1,'Attrition Modeling'!$L$15:$N$27,IF(J$2-$F13&lt;=24,2,3),FALSE))*(1+Projection!L$16)*(1+IF(J145&gt;0,'Attrition Modeling'!$N$9,0))),0))</f>
        <v>0</v>
      </c>
      <c r="K80" s="799">
        <f>IF(K$69=$F80+1,IF(Monthly!G$4=TRUE,0,Monthly!G$17),IF(K$69&gt;$F80+1,J80*(1-IF(K$69-$F80&lt;=12,SUMIFS('Attrition Modeling'!$D:$D,'Attrition Modeling'!$B:$B,$E80,'Attrition Modeling'!$C:$C,K$68),VLOOKUP(K$69-$F80-1,$A$7:$C$161,2,FALSE)*VLOOKUP(K$1,'Attrition Modeling'!$L$15:$N$27,IF(K$2-$F13&lt;=24,2,3),FALSE))*(1+Projection!M$16)*(1+IF(K145&gt;0,'Attrition Modeling'!$N$9,0))),0))</f>
        <v>0</v>
      </c>
      <c r="L80" s="799">
        <f>IF(L$69=$F80+1,IF(Monthly!H$4=TRUE,0,Monthly!H$17),IF(L$69&gt;$F80+1,K80*(1-IF(L$69-$F80&lt;=12,SUMIFS('Attrition Modeling'!$D:$D,'Attrition Modeling'!$B:$B,$E80,'Attrition Modeling'!$C:$C,L$68),VLOOKUP(L$69-$F80-1,$A$7:$C$161,2,FALSE)*VLOOKUP(L$1,'Attrition Modeling'!$L$15:$N$27,IF(L$2-$F13&lt;=24,2,3),FALSE))*(1+Projection!N$16)*(1+IF(L145&gt;0,'Attrition Modeling'!$N$9,0))),0))</f>
        <v>0</v>
      </c>
      <c r="M80" s="799">
        <f>IF(M$69=$F80+1,IF(Monthly!I$4=TRUE,0,Monthly!I$17),IF(M$69&gt;$F80+1,L80*(1-IF(M$69-$F80&lt;=12,SUMIFS('Attrition Modeling'!$D:$D,'Attrition Modeling'!$B:$B,$E80,'Attrition Modeling'!$C:$C,M$68),VLOOKUP(M$69-$F80-1,$A$7:$C$161,2,FALSE)*VLOOKUP(M$1,'Attrition Modeling'!$L$15:$N$27,IF(M$2-$F13&lt;=24,2,3),FALSE))*(1+Projection!O$16)*(1+IF(M145&gt;0,'Attrition Modeling'!$N$9,0))),0))</f>
        <v>0</v>
      </c>
      <c r="N80" s="799">
        <f>IF(N$69=$F80+1,IF(Monthly!J$4=TRUE,0,Monthly!J$17),IF(N$69&gt;$F80+1,M80*(1-IF(N$69-$F80&lt;=12,SUMIFS('Attrition Modeling'!$D:$D,'Attrition Modeling'!$B:$B,$E80,'Attrition Modeling'!$C:$C,N$68),VLOOKUP(N$69-$F80-1,$A$7:$C$161,2,FALSE)*VLOOKUP(N$1,'Attrition Modeling'!$L$15:$N$27,IF(N$2-$F13&lt;=24,2,3),FALSE))*(1+Projection!P$16)*(1+IF(N145&gt;0,'Attrition Modeling'!$N$9,0))),0))</f>
        <v>0</v>
      </c>
      <c r="O80" s="799">
        <f>IF(O$69=$F80+1,IF(Monthly!K$4=TRUE,0,Monthly!K$17),IF(O$69&gt;$F80+1,N80*(1-IF(O$69-$F80&lt;=12,SUMIFS('Attrition Modeling'!$D:$D,'Attrition Modeling'!$B:$B,$E80,'Attrition Modeling'!$C:$C,O$68),VLOOKUP(O$69-$F80-1,$A$7:$C$161,2,FALSE)*VLOOKUP(O$1,'Attrition Modeling'!$L$15:$N$27,IF(O$2-$F13&lt;=24,2,3),FALSE))*(1+Projection!Q$16)*(1+IF(O145&gt;0,'Attrition Modeling'!$N$9,0))),0))</f>
        <v>0</v>
      </c>
      <c r="P80" s="799">
        <f>IF(P$69=$F80+1,IF(Monthly!L$4=TRUE,0,Monthly!L$17),IF(P$69&gt;$F80+1,O80*(1-IF(P$69-$F80&lt;=12,SUMIFS('Attrition Modeling'!$D:$D,'Attrition Modeling'!$B:$B,$E80,'Attrition Modeling'!$C:$C,P$68),VLOOKUP(P$69-$F80-1,$A$7:$C$161,2,FALSE)*VLOOKUP(P$1,'Attrition Modeling'!$L$15:$N$27,IF(P$2-$F13&lt;=24,2,3),FALSE))*(1+Projection!R$16)*(1+IF(P145&gt;0,'Attrition Modeling'!$N$9,0))),0))</f>
        <v>0</v>
      </c>
      <c r="Q80" s="799">
        <f>IF(Q$69=$F80+1,IF(Monthly!M$4=TRUE,0,Monthly!M$17),IF(Q$69&gt;$F80+1,P80*(1-IF(Q$69-$F80&lt;=12,SUMIFS('Attrition Modeling'!$D:$D,'Attrition Modeling'!$B:$B,$E80,'Attrition Modeling'!$C:$C,Q$68),VLOOKUP(Q$69-$F80-1,$A$7:$C$161,2,FALSE)*VLOOKUP(Q$1,'Attrition Modeling'!$L$15:$N$27,IF(Q$2-$F13&lt;=24,2,3),FALSE))*(1+Projection!S$16)*(1+IF(Q145&gt;0,'Attrition Modeling'!$N$9,0))),0))</f>
        <v>0</v>
      </c>
      <c r="R80" s="799">
        <f>IF(R$69=$F80+1,IF(Monthly!N$4=TRUE,0,Monthly!N$17),IF(R$69&gt;$F80+1,Q80*(1-IF(R$69-$F80&lt;=12,SUMIFS('Attrition Modeling'!$D:$D,'Attrition Modeling'!$B:$B,$E80,'Attrition Modeling'!$C:$C,R$68),VLOOKUP(R$69-$F80-1,$A$7:$C$161,2,FALSE)*VLOOKUP(R$1,'Attrition Modeling'!$L$15:$N$27,IF(R$2-$F13&lt;=24,2,3),FALSE))*(1+Projection!T$16)*(1+IF(R145&gt;0,'Attrition Modeling'!$N$9,0))),0))</f>
        <v>4754.1047710350431</v>
      </c>
      <c r="S80" s="799">
        <f>IF(S$69=$F80+1,IF(Monthly!O$4=TRUE,0,Monthly!O$17),IF(S$69&gt;$F80+1,R80*(1-IF(S$69-$F80&lt;=12,SUMIFS('Attrition Modeling'!$D:$D,'Attrition Modeling'!$B:$B,$E80,'Attrition Modeling'!$C:$C,S$68),VLOOKUP(S$69-$F80-1,$A$7:$C$161,2,FALSE)*VLOOKUP(S$1,'Attrition Modeling'!$L$15:$N$27,IF(S$2-$F13&lt;=24,2,3),FALSE))*(1+Projection!U$16)*(1+IF(S145&gt;0,'Attrition Modeling'!$N$9,0))),0))</f>
        <v>4272.1597769237505</v>
      </c>
      <c r="T80" s="799">
        <f>IF(T$69=$F80+1,IF(Monthly!P$4=TRUE,0,Monthly!P$17),IF(T$69&gt;$F80+1,S80*(1-IF(T$69-$F80&lt;=12,SUMIFS('Attrition Modeling'!$D:$D,'Attrition Modeling'!$B:$B,$E80,'Attrition Modeling'!$C:$C,T$68),VLOOKUP(T$69-$F80-1,$A$7:$C$161,2,FALSE)*VLOOKUP(T$1,'Attrition Modeling'!$L$15:$N$27,IF(T$2-$F13&lt;=24,2,3),FALSE))*(1+Projection!V$16)*(1+IF(T145&gt;0,'Attrition Modeling'!$N$9,0))),0))</f>
        <v>3934.1483324022474</v>
      </c>
      <c r="U80" s="799">
        <f>IF(U$69=$F80+1,IF(Monthly!Q$4=TRUE,0,Monthly!Q$17),IF(U$69&gt;$F80+1,T80*(1-IF(U$69-$F80&lt;=12,SUMIFS('Attrition Modeling'!$D:$D,'Attrition Modeling'!$B:$B,$E80,'Attrition Modeling'!$C:$C,U$68),VLOOKUP(U$69-$F80-1,$A$7:$C$161,2,FALSE)*VLOOKUP(U$1,'Attrition Modeling'!$L$15:$N$27,IF(U$2-$F13&lt;=24,2,3),FALSE))*(1+Projection!W$16)*(1+IF(U145&gt;0,'Attrition Modeling'!$N$9,0))),0))</f>
        <v>3617.8301385194763</v>
      </c>
      <c r="V80" s="799">
        <f>IF(V$69=$F80+1,IF(Monthly!R$4=TRUE,0,Monthly!R$17),IF(V$69&gt;$F80+1,U80*(1-IF(V$69-$F80&lt;=12,SUMIFS('Attrition Modeling'!$D:$D,'Attrition Modeling'!$B:$B,$E80,'Attrition Modeling'!$C:$C,V$68),VLOOKUP(V$69-$F80-1,$A$7:$C$161,2,FALSE)*VLOOKUP(V$1,'Attrition Modeling'!$L$15:$N$27,IF(V$2-$F13&lt;=24,2,3),FALSE))*(1+Projection!X$16)*(1+IF(V145&gt;0,'Attrition Modeling'!$N$9,0))),0))</f>
        <v>3316.2384841707358</v>
      </c>
      <c r="W80" s="799">
        <f>IF(W$69=$F80+1,IF(Monthly!S$4=TRUE,0,Monthly!S$17),IF(W$69&gt;$F80+1,V80*(1-IF(W$69-$F80&lt;=12,SUMIFS('Attrition Modeling'!$D:$D,'Attrition Modeling'!$B:$B,$E80,'Attrition Modeling'!$C:$C,W$68),VLOOKUP(W$69-$F80-1,$A$7:$C$161,2,FALSE)*VLOOKUP(W$1,'Attrition Modeling'!$L$15:$N$27,IF(W$2-$F13&lt;=24,2,3),FALSE))*(1+Projection!Y$16)*(1+IF(W145&gt;0,'Attrition Modeling'!$N$9,0))),0))</f>
        <v>2958.7972946758673</v>
      </c>
      <c r="X80" s="799">
        <f>IF(X$69=$F80+1,IF(Monthly!T$4=TRUE,0,Monthly!T$17),IF(X$69&gt;$F80+1,W80*(1-IF(X$69-$F80&lt;=12,SUMIFS('Attrition Modeling'!$D:$D,'Attrition Modeling'!$B:$B,$E80,'Attrition Modeling'!$C:$C,X$68),VLOOKUP(X$69-$F80-1,$A$7:$C$161,2,FALSE)*VLOOKUP(X$1,'Attrition Modeling'!$L$15:$N$27,IF(X$2-$F13&lt;=24,2,3),FALSE))*(1+Projection!Z$16)*(1+IF(X145&gt;0,'Attrition Modeling'!$N$9,0))),0))</f>
        <v>2729.4017995955933</v>
      </c>
      <c r="Y80" s="799">
        <f>IF(Y$69=$F80+1,IF(Monthly!U$4=TRUE,0,Monthly!U$17),IF(Y$69&gt;$F80+1,X80*(1-IF(Y$69-$F80&lt;=12,SUMIFS('Attrition Modeling'!$D:$D,'Attrition Modeling'!$B:$B,$E80,'Attrition Modeling'!$C:$C,Y$68),VLOOKUP(Y$69-$F80-1,$A$7:$C$161,2,FALSE)*VLOOKUP(Y$1,'Attrition Modeling'!$L$15:$N$27,IF(Y$2-$F13&lt;=24,2,3),FALSE))*(1+Projection!AA$16)*(1+IF(Y145&gt;0,'Attrition Modeling'!$N$9,0))),0))</f>
        <v>2543.7239796273366</v>
      </c>
      <c r="Z80" s="799">
        <f>IF(Z$69=$F80+1,IF(Monthly!V$4=TRUE,0,Monthly!V$17),IF(Z$69&gt;$F80+1,Y80*(1-IF(Z$69-$F80&lt;=12,SUMIFS('Attrition Modeling'!$D:$D,'Attrition Modeling'!$B:$B,$E80,'Attrition Modeling'!$C:$C,Z$68),VLOOKUP(Z$69-$F80-1,$A$7:$C$161,2,FALSE)*VLOOKUP(Z$1,'Attrition Modeling'!$L$15:$N$27,IF(Z$2-$F13&lt;=24,2,3),FALSE))*(1+Projection!AB$16)*(1+IF(Z145&gt;0,'Attrition Modeling'!$N$9,0))),0))</f>
        <v>2381.3320811486519</v>
      </c>
      <c r="AA80" s="799">
        <f>IF(AA$69=$F80+1,IF(Monthly!W$4=TRUE,0,Monthly!W$17),IF(AA$69&gt;$F80+1,Z80*(1-IF(AA$69-$F80&lt;=12,SUMIFS('Attrition Modeling'!$D:$D,'Attrition Modeling'!$B:$B,$E80,'Attrition Modeling'!$C:$C,AA$68),VLOOKUP(AA$69-$F80-1,$A$7:$C$161,2,FALSE)*VLOOKUP(AA$1,'Attrition Modeling'!$L$15:$N$27,IF(AA$2-$F13&lt;=24,2,3),FALSE))*(1+Projection!AC$16)*(1+IF(AA145&gt;0,'Attrition Modeling'!$N$9,0))),0))</f>
        <v>2224.304019425967</v>
      </c>
      <c r="AB80" s="799">
        <f>IF(AB$69=$F80+1,IF(Monthly!X$4=TRUE,0,Monthly!X$17),IF(AB$69&gt;$F80+1,AA80*(1-IF(AB$69-$F80&lt;=12,SUMIFS('Attrition Modeling'!$D:$D,'Attrition Modeling'!$B:$B,$E80,'Attrition Modeling'!$C:$C,AB$68),VLOOKUP(AB$69-$F80-1,$A$7:$C$161,2,FALSE)*VLOOKUP(AB$1,'Attrition Modeling'!$L$15:$N$27,IF(AB$2-$F13&lt;=24,2,3),FALSE))*(1+Projection!AD$16)*(1+IF(AB145&gt;0,'Attrition Modeling'!$N$9,0))),0))</f>
        <v>2080.9245148552013</v>
      </c>
      <c r="AC80" s="799">
        <f>IF(AC$69=$F80+1,IF(Monthly!Y$4=TRUE,0,Monthly!Y$17),IF(AC$69&gt;$F80+1,AB80*(1-IF(AC$69-$F80&lt;=12,SUMIFS('Attrition Modeling'!$D:$D,'Attrition Modeling'!$B:$B,$E80,'Attrition Modeling'!$C:$C,AC$68),VLOOKUP(AC$69-$F80-1,$A$7:$C$161,2,FALSE)*VLOOKUP(AC$1,'Attrition Modeling'!$L$15:$N$27,IF(AC$2-$F13&lt;=24,2,3),FALSE))*(1+Projection!AE$16)*(1+IF(AC145&gt;0,'Attrition Modeling'!$N$9,0))),0))</f>
        <v>2009.0238283590602</v>
      </c>
      <c r="AD80" s="799">
        <f>IF(AD$69=$F80+1,IF(Monthly!Z$4=TRUE,0,Monthly!Z$17),IF(AD$69&gt;$F80+1,AC80*(1-IF(AD$69-$F80&lt;=12,SUMIFS('Attrition Modeling'!$D:$D,'Attrition Modeling'!$B:$B,$E80,'Attrition Modeling'!$C:$C,AD$68),VLOOKUP(AD$69-$F80-1,$A$7:$C$161,2,FALSE)*VLOOKUP(AD$1,'Attrition Modeling'!$L$15:$N$27,IF(AD$2-$F13&lt;=24,2,3),FALSE))*(1+Projection!AF$16)*(1+IF(AD145&gt;0,'Attrition Modeling'!$N$9,0))),0))</f>
        <v>1899.8163931867923</v>
      </c>
      <c r="AE80" s="799">
        <f>IF(AE$69=$F80+1,IF(Monthly!AA$4=TRUE,0,Monthly!AA$17),IF(AE$69&gt;$F80+1,AD80*(1-IF(AE$69-$F80&lt;=12,SUMIFS('Attrition Modeling'!$D:$D,'Attrition Modeling'!$B:$B,$E80,'Attrition Modeling'!$C:$C,AE$68),VLOOKUP(AE$69-$F80-1,$A$7:$C$161,2,FALSE)*VLOOKUP(AE$1,'Attrition Modeling'!$L$15:$N$27,IF(AE$2-$F13&lt;=24,2,3),FALSE))*(1+Projection!AG$16)*(1+IF(AE145&gt;0,'Attrition Modeling'!$N$9,0))),0))</f>
        <v>1805.5231066874085</v>
      </c>
      <c r="AF80" s="799">
        <f>IF(AF$69=$F80+1,IF(Monthly!AB$4=TRUE,0,Monthly!AB$17),IF(AF$69&gt;$F80+1,AE80*(1-IF(AF$69-$F80&lt;=12,SUMIFS('Attrition Modeling'!$D:$D,'Attrition Modeling'!$B:$B,$E80,'Attrition Modeling'!$C:$C,AF$68),VLOOKUP(AF$69-$F80-1,$A$7:$C$161,2,FALSE)*VLOOKUP(AF$1,'Attrition Modeling'!$L$15:$N$27,IF(AF$2-$F13&lt;=24,2,3),FALSE))*(1+Projection!AH$16)*(1+IF(AF145&gt;0,'Attrition Modeling'!$N$9,0))),0))</f>
        <v>1720.2208433675098</v>
      </c>
      <c r="AG80" s="799">
        <f>IF(AG$69=$F80+1,IF(Monthly!AC$4=TRUE,0,Monthly!AC$17),IF(AG$69&gt;$F80+1,AF80*(1-IF(AG$69-$F80&lt;=12,SUMIFS('Attrition Modeling'!$D:$D,'Attrition Modeling'!$B:$B,$E80,'Attrition Modeling'!$C:$C,AG$68),VLOOKUP(AG$69-$F80-1,$A$7:$C$161,2,FALSE)*VLOOKUP(AG$1,'Attrition Modeling'!$L$15:$N$27,IF(AG$2-$F13&lt;=24,2,3),FALSE))*(1+Projection!AI$16)*(1+IF(AG145&gt;0,'Attrition Modeling'!$N$9,0))),0))</f>
        <v>1649.5830066245717</v>
      </c>
      <c r="AH80" s="799">
        <f>IF(AH$69=$F80+1,IF(Monthly!AD$4=TRUE,0,Monthly!AD$17),IF(AH$69&gt;$F80+1,AG80*(1-IF(AH$69-$F80&lt;=12,SUMIFS('Attrition Modeling'!$D:$D,'Attrition Modeling'!$B:$B,$E80,'Attrition Modeling'!$C:$C,AH$68),VLOOKUP(AH$69-$F80-1,$A$7:$C$161,2,FALSE)*VLOOKUP(AH$1,'Attrition Modeling'!$L$15:$N$27,IF(AH$2-$F13&lt;=24,2,3),FALSE))*(1+Projection!AJ$16)*(1+IF(AH145&gt;0,'Attrition Modeling'!$N$9,0))),0))</f>
        <v>1578.0154222464864</v>
      </c>
      <c r="AI80" s="799">
        <f>IF(AI$69=$F80+1,IF(Monthly!AE$4=TRUE,0,Monthly!AE$17),IF(AI$69&gt;$F80+1,AH80*(1-IF(AI$69-$F80&lt;=12,SUMIFS('Attrition Modeling'!$D:$D,'Attrition Modeling'!$B:$B,$E80,'Attrition Modeling'!$C:$C,AI$68),VLOOKUP(AI$69-$F80-1,$A$7:$C$161,2,FALSE)*VLOOKUP(AI$1,'Attrition Modeling'!$L$15:$N$27,IF(AI$2-$F13&lt;=24,2,3),FALSE))*(1+Projection!AK$16)*(1+IF(AI145&gt;0,'Attrition Modeling'!$N$9,0))),0))</f>
        <v>1499.238116875928</v>
      </c>
      <c r="AJ80" s="799">
        <f>IF(AJ$69=$F80+1,IF(Monthly!AF$4=TRUE,0,Monthly!AF$17),IF(AJ$69&gt;$F80+1,AI80*(1-IF(AJ$69-$F80&lt;=12,SUMIFS('Attrition Modeling'!$D:$D,'Attrition Modeling'!$B:$B,$E80,'Attrition Modeling'!$C:$C,AJ$68),VLOOKUP(AJ$69-$F80-1,$A$7:$C$161,2,FALSE)*VLOOKUP(AJ$1,'Attrition Modeling'!$L$15:$N$27,IF(AJ$2-$F13&lt;=24,2,3),FALSE))*(1+Projection!AL$16)*(1+IF(AJ145&gt;0,'Attrition Modeling'!$N$9,0))),0))</f>
        <v>1438.6421499036207</v>
      </c>
      <c r="AK80" s="799">
        <f>IF(AK$69=$F80+1,IF(Monthly!AG$4=TRUE,0,Monthly!AG$17),IF(AK$69&gt;$F80+1,AJ80*(1-IF(AK$69-$F80&lt;=12,SUMIFS('Attrition Modeling'!$D:$D,'Attrition Modeling'!$B:$B,$E80,'Attrition Modeling'!$C:$C,AK$68),VLOOKUP(AK$69-$F80-1,$A$7:$C$161,2,FALSE)*VLOOKUP(AK$1,'Attrition Modeling'!$L$15:$N$27,IF(AK$2-$F13&lt;=24,2,3),FALSE))*(1+Projection!AM$16)*(1+IF(AK145&gt;0,'Attrition Modeling'!$N$9,0))),0))</f>
        <v>1376.0172545466655</v>
      </c>
      <c r="AL80" s="799">
        <f>IF(AL$69=$F80+1,IF(Monthly!AH$4=TRUE,0,Monthly!AH$17),IF(AL$69&gt;$F80+1,AK80*(1-IF(AL$69-$F80&lt;=12,SUMIFS('Attrition Modeling'!$D:$D,'Attrition Modeling'!$B:$B,$E80,'Attrition Modeling'!$C:$C,AL$68),VLOOKUP(AL$69-$F80-1,$A$7:$C$161,2,FALSE)*VLOOKUP(AL$1,'Attrition Modeling'!$L$15:$N$27,IF(AL$2-$F13&lt;=24,2,3),FALSE))*(1+Projection!AN$16)*(1+IF(AL145&gt;0,'Attrition Modeling'!$N$9,0))),0))</f>
        <v>1315.7481256029971</v>
      </c>
      <c r="AM80" s="799">
        <f>IF(AM$69=$F80+1,IF(Monthly!AI$4=TRUE,0,Monthly!AI$17),IF(AM$69&gt;$F80+1,AL80*(1-IF(AM$69-$F80&lt;=12,SUMIFS('Attrition Modeling'!$D:$D,'Attrition Modeling'!$B:$B,$E80,'Attrition Modeling'!$C:$C,AM$68),VLOOKUP(AM$69-$F80-1,$A$7:$C$161,2,FALSE)*VLOOKUP(AM$1,'Attrition Modeling'!$L$15:$N$27,IF(AM$2-$F13&lt;=24,2,3),FALSE))*(1+Projection!AO$16)*(1+IF(AM145&gt;0,'Attrition Modeling'!$N$9,0))),0))</f>
        <v>1256.5055886192147</v>
      </c>
      <c r="AN80" s="799">
        <f>IF(AN$69=$F80+1,IF(Monthly!AJ$4=TRUE,0,Monthly!AJ$17),IF(AN$69&gt;$F80+1,AM80*(1-IF(AN$69-$F80&lt;=12,SUMIFS('Attrition Modeling'!$D:$D,'Attrition Modeling'!$B:$B,$E80,'Attrition Modeling'!$C:$C,AN$68),VLOOKUP(AN$69-$F80-1,$A$7:$C$161,2,FALSE)*VLOOKUP(AN$1,'Attrition Modeling'!$L$15:$N$27,IF(AN$2-$F13&lt;=24,2,3),FALSE))*(1+Projection!AP$16)*(1+IF(AN145&gt;0,'Attrition Modeling'!$N$9,0))),0))</f>
        <v>1205.6534927149166</v>
      </c>
      <c r="AO80" s="799">
        <f>IF(AO$69=$F80+1,IF(Monthly!AK$4=TRUE,0,Monthly!AK$17),IF(AO$69&gt;$F80+1,AN80*(1-IF(AO$69-$F80&lt;=12,SUMIFS('Attrition Modeling'!$D:$D,'Attrition Modeling'!$B:$B,$E80,'Attrition Modeling'!$C:$C,AO$68),VLOOKUP(AO$69-$F80-1,$A$7:$C$161,2,FALSE)*VLOOKUP(AO$1,'Attrition Modeling'!$L$15:$N$27,IF(AO$2-$F13&lt;=24,2,3),FALSE))*(1+Projection!AQ$16)*(1+IF(AO145&gt;0,'Attrition Modeling'!$N$9,0))),0))</f>
        <v>1156.3910810507562</v>
      </c>
      <c r="AP80" s="799">
        <f>IF(AP$69=$F80+1,IF(Monthly!AL$4=TRUE,0,Monthly!AL$17),IF(AP$69&gt;$F80+1,AO80*(1-IF(AP$69-$F80&lt;=12,SUMIFS('Attrition Modeling'!$D:$D,'Attrition Modeling'!$B:$B,$E80,'Attrition Modeling'!$C:$C,AP$68),VLOOKUP(AP$69-$F80-1,$A$7:$C$161,2,FALSE)*VLOOKUP(AP$1,'Attrition Modeling'!$L$15:$N$27,IF(AP$2-$F13&lt;=24,2,3),FALSE))*(1+Projection!AR$16)*(1+IF(AP145&gt;0,'Attrition Modeling'!$N$9,0))),0))</f>
        <v>1111.2025589287152</v>
      </c>
      <c r="AQ80" s="799">
        <f>IF(AQ$69=$F80+1,IF(Monthly!AM$4=TRUE,0,Monthly!AM$17),IF(AQ$69&gt;$F80+1,AP80*(1-IF(AQ$69-$F80&lt;=12,SUMIFS('Attrition Modeling'!$D:$D,'Attrition Modeling'!$B:$B,$E80,'Attrition Modeling'!$C:$C,AQ$68),VLOOKUP(AQ$69-$F80-1,$A$7:$C$161,2,FALSE)*VLOOKUP(AQ$1,'Attrition Modeling'!$L$15:$N$27,IF(AQ$2-$F13&lt;=24,2,3),FALSE))*(1+Projection!AS$16)*(1+IF(AQ145&gt;0,'Attrition Modeling'!$N$9,0))),0))</f>
        <v>1075.9176621008173</v>
      </c>
      <c r="AR80" s="799">
        <f>IF(AR$69=$F80+1,IF(Monthly!AN$4=TRUE,0,Monthly!AN$17),IF(AR$69&gt;$F80+1,AQ80*(1-IF(AR$69-$F80&lt;=12,SUMIFS('Attrition Modeling'!$D:$D,'Attrition Modeling'!$B:$B,$E80,'Attrition Modeling'!$C:$C,AR$68),VLOOKUP(AR$69-$F80-1,$A$7:$C$161,2,FALSE)*VLOOKUP(AR$1,'Attrition Modeling'!$L$15:$N$27,IF(AR$2-$F13&lt;=24,2,3),FALSE))*(1+Projection!AT$16)*(1+IF(AR145&gt;0,'Attrition Modeling'!$N$9,0))),0))</f>
        <v>1038.6062534982123</v>
      </c>
      <c r="AS80" s="799">
        <f>IF(AS$69=$F80+1,IF(Monthly!AO$4=TRUE,0,Monthly!AO$17),IF(AS$69&gt;$F80+1,AR80*(1-IF(AS$69-$F80&lt;=12,SUMIFS('Attrition Modeling'!$D:$D,'Attrition Modeling'!$B:$B,$E80,'Attrition Modeling'!$C:$C,AS$68),VLOOKUP(AS$69-$F80-1,$A$7:$C$161,2,FALSE)*VLOOKUP(AS$1,'Attrition Modeling'!$L$15:$N$27,IF(AS$2-$F13&lt;=24,2,3),FALSE))*(1+Projection!AU$16)*(1+IF(AS145&gt;0,'Attrition Modeling'!$N$9,0))),0))</f>
        <v>1004.1786670734773</v>
      </c>
      <c r="AT80" s="799">
        <f>IF(AT$69=$F80+1,IF(Monthly!AP$4=TRUE,0,Monthly!AP$17),IF(AT$69&gt;$F80+1,AS80*(1-IF(AT$69-$F80&lt;=12,SUMIFS('Attrition Modeling'!$D:$D,'Attrition Modeling'!$B:$B,$E80,'Attrition Modeling'!$C:$C,AT$68),VLOOKUP(AT$69-$F80-1,$A$7:$C$161,2,FALSE)*VLOOKUP(AT$1,'Attrition Modeling'!$L$15:$N$27,IF(AT$2-$F13&lt;=24,2,3),FALSE))*(1+Projection!AV$16)*(1+IF(AT145&gt;0,'Attrition Modeling'!$N$9,0))),0))</f>
        <v>972.70122223997487</v>
      </c>
      <c r="AU80" s="799">
        <f>IF(AU$69=$F80+1,IF(Monthly!AQ$4=TRUE,0,Monthly!AQ$17),IF(AU$69&gt;$F80+1,AT80*(1-IF(AU$69-$F80&lt;=12,SUMIFS('Attrition Modeling'!$D:$D,'Attrition Modeling'!$B:$B,$E80,'Attrition Modeling'!$C:$C,AU$68),VLOOKUP(AU$69-$F80-1,$A$7:$C$161,2,FALSE)*VLOOKUP(AU$1,'Attrition Modeling'!$L$15:$N$27,IF(AU$2-$F13&lt;=24,2,3),FALSE))*(1+Projection!AW$16)*(1+IF(AU145&gt;0,'Attrition Modeling'!$N$9,0))),0))</f>
        <v>943.96821161038679</v>
      </c>
      <c r="AV80" s="799">
        <f>IF(AV$69=$F80+1,IF(Monthly!AR$4=TRUE,0,Monthly!AR$17),IF(AV$69&gt;$F80+1,AU80*(1-IF(AV$69-$F80&lt;=12,SUMIFS('Attrition Modeling'!$D:$D,'Attrition Modeling'!$B:$B,$E80,'Attrition Modeling'!$C:$C,AV$68),VLOOKUP(AV$69-$F80-1,$A$7:$C$161,2,FALSE)*VLOOKUP(AV$1,'Attrition Modeling'!$L$15:$N$27,IF(AV$2-$F13&lt;=24,2,3),FALSE))*(1+Projection!AX$16)*(1+IF(AV145&gt;0,'Attrition Modeling'!$N$9,0))),0))</f>
        <v>916.25873019971232</v>
      </c>
      <c r="AW80" s="799">
        <f>IF(AW$69=$F80+1,IF(Monthly!AS$4=TRUE,0,Monthly!AS$17),IF(AW$69&gt;$F80+1,AV80*(1-IF(AW$69-$F80&lt;=12,SUMIFS('Attrition Modeling'!$D:$D,'Attrition Modeling'!$B:$B,$E80,'Attrition Modeling'!$C:$C,AW$68),VLOOKUP(AW$69-$F80-1,$A$7:$C$161,2,FALSE)*VLOOKUP(AW$1,'Attrition Modeling'!$L$15:$N$27,IF(AW$2-$F13&lt;=24,2,3),FALSE))*(1+Projection!AY$16)*(1+IF(AW145&gt;0,'Attrition Modeling'!$N$9,0))),0))</f>
        <v>885.92984680559846</v>
      </c>
      <c r="AX80" s="799">
        <f>IF(AX$69=$F80+1,IF(Monthly!AT$4=TRUE,0,Monthly!AT$17),IF(AX$69&gt;$F80+1,AW80*(1-IF(AX$69-$F80&lt;=12,SUMIFS('Attrition Modeling'!$D:$D,'Attrition Modeling'!$B:$B,$E80,'Attrition Modeling'!$C:$C,AX$68),VLOOKUP(AX$69-$F80-1,$A$7:$C$161,2,FALSE)*VLOOKUP(AX$1,'Attrition Modeling'!$L$15:$N$27,IF(AX$2-$F13&lt;=24,2,3),FALSE))*(1+Projection!AZ$16)*(1+IF(AX145&gt;0,'Attrition Modeling'!$N$9,0))),0))</f>
        <v>854.35371350372338</v>
      </c>
      <c r="AY80" s="799">
        <f>IF(AY$69=$F80+1,IF(Monthly!AU$4=TRUE,0,Monthly!AU$17),IF(AY$69&gt;$F80+1,AX80*(1-IF(AY$69-$F80&lt;=12,SUMIFS('Attrition Modeling'!$D:$D,'Attrition Modeling'!$B:$B,$E80,'Attrition Modeling'!$C:$C,AY$68),VLOOKUP(AY$69-$F80-1,$A$7:$C$161,2,FALSE)*VLOOKUP(AY$1,'Attrition Modeling'!$L$15:$N$27,IF(AY$2-$F13&lt;=24,2,3),FALSE))*(1+Projection!BA$16)*(1+IF(AY145&gt;0,'Attrition Modeling'!$N$9,0))),0))</f>
        <v>822.02890291390668</v>
      </c>
      <c r="AZ80" s="799">
        <f>IF(AZ$69=$F80+1,IF(Monthly!AV$4=TRUE,0,Monthly!AV$17),IF(AZ$69&gt;$F80+1,AY80*(1-IF(AZ$69-$F80&lt;=12,SUMIFS('Attrition Modeling'!$D:$D,'Attrition Modeling'!$B:$B,$E80,'Attrition Modeling'!$C:$C,AZ$68),VLOOKUP(AZ$69-$F80-1,$A$7:$C$161,2,FALSE)*VLOOKUP(AZ$1,'Attrition Modeling'!$L$15:$N$27,IF(AZ$2-$F13&lt;=24,2,3),FALSE))*(1+Projection!BB$16)*(1+IF(AZ145&gt;0,'Attrition Modeling'!$N$9,0))),0))</f>
        <v>793.14950378116168</v>
      </c>
      <c r="BA80" s="799">
        <f>IF(BA$69=$F80+1,IF(Monthly!AW$4=TRUE,0,Monthly!AW$17),IF(BA$69&gt;$F80+1,AZ80*(1-IF(BA$69-$F80&lt;=12,SUMIFS('Attrition Modeling'!$D:$D,'Attrition Modeling'!$B:$B,$E80,'Attrition Modeling'!$C:$C,BA$68),VLOOKUP(BA$69-$F80-1,$A$7:$C$161,2,FALSE)*VLOOKUP(BA$1,'Attrition Modeling'!$L$15:$N$27,IF(BA$2-$F13&lt;=24,2,3),FALSE))*(1+Projection!BC$16)*(1+IF(BA145&gt;0,'Attrition Modeling'!$N$9,0))),0))</f>
        <v>766.54089411813118</v>
      </c>
      <c r="BB80" s="799">
        <f>IF(BB$69=$F80+1,IF(Monthly!AX$4=TRUE,0,Monthly!AX$17),IF(BB$69&gt;$F80+1,BA80*(1-IF(BB$69-$F80&lt;=12,SUMIFS('Attrition Modeling'!$D:$D,'Attrition Modeling'!$B:$B,$E80,'Attrition Modeling'!$C:$C,BB$68),VLOOKUP(BB$69-$F80-1,$A$7:$C$161,2,FALSE)*VLOOKUP(BB$1,'Attrition Modeling'!$L$15:$N$27,IF(BB$2-$F13&lt;=24,2,3),FALSE))*(1+Projection!BD$16)*(1+IF(BB145&gt;0,'Attrition Modeling'!$N$9,0))),0))</f>
        <v>741.67852890738129</v>
      </c>
      <c r="BC80" s="799">
        <f>IF(BC$69=$F80+1,IF(Monthly!AY$4=TRUE,0,Monthly!AY$17),IF(BC$69&gt;$F80+1,BB80*(1-IF(BC$69-$F80&lt;=12,SUMIFS('Attrition Modeling'!$D:$D,'Attrition Modeling'!$B:$B,$E80,'Attrition Modeling'!$C:$C,BC$68),VLOOKUP(BC$69-$F80-1,$A$7:$C$161,2,FALSE)*VLOOKUP(BC$1,'Attrition Modeling'!$L$15:$N$27,IF(BC$2-$F13&lt;=24,2,3),FALSE))*(1+Projection!BE$16)*(1+IF(BC145&gt;0,'Attrition Modeling'!$N$9,0))),0))</f>
        <v>722.0657244055817</v>
      </c>
      <c r="BD80" s="799">
        <f>IF(BD$69=$F80+1,IF(Monthly!AZ$4=TRUE,0,Monthly!AZ$17),IF(BD$69&gt;$F80+1,BC80*(1-IF(BD$69-$F80&lt;=12,SUMIFS('Attrition Modeling'!$D:$D,'Attrition Modeling'!$B:$B,$E80,'Attrition Modeling'!$C:$C,BD$68),VLOOKUP(BD$69-$F80-1,$A$7:$C$161,2,FALSE)*VLOOKUP(BD$1,'Attrition Modeling'!$L$15:$N$27,IF(BD$2-$F13&lt;=24,2,3),FALSE))*(1+Projection!BF$16)*(1+IF(BD145&gt;0,'Attrition Modeling'!$N$9,0))),0))</f>
        <v>701.14765606279798</v>
      </c>
      <c r="BE80" s="799">
        <f>IF(BE$69=$F80+1,IF(Monthly!BA$4=TRUE,0,Monthly!BA$17),IF(BE$69&gt;$F80+1,BD80*(1-IF(BE$69-$F80&lt;=12,SUMIFS('Attrition Modeling'!$D:$D,'Attrition Modeling'!$B:$B,$E80,'Attrition Modeling'!$C:$C,BE$68),VLOOKUP(BE$69-$F80-1,$A$7:$C$161,2,FALSE)*VLOOKUP(BE$1,'Attrition Modeling'!$L$15:$N$27,IF(BE$2-$F13&lt;=24,2,3),FALSE))*(1+Projection!BG$16)*(1+IF(BE145&gt;0,'Attrition Modeling'!$N$9,0))),0))</f>
        <v>681.67530289566957</v>
      </c>
      <c r="BF80" s="799">
        <f>IF(BF$69=$F80+1,IF(Monthly!BB$4=TRUE,0,Monthly!BB$17),IF(BF$69&gt;$F80+1,BE80*(1-IF(BF$69-$F80&lt;=12,SUMIFS('Attrition Modeling'!$D:$D,'Attrition Modeling'!$B:$B,$E80,'Attrition Modeling'!$C:$C,BF$68),VLOOKUP(BF$69-$F80-1,$A$7:$C$161,2,FALSE)*VLOOKUP(BF$1,'Attrition Modeling'!$L$15:$N$27,IF(BF$2-$F13&lt;=24,2,3),FALSE))*(1+Projection!BH$16)*(1+IF(BF145&gt;0,'Attrition Modeling'!$N$9,0))),0))</f>
        <v>663.72322725892639</v>
      </c>
      <c r="BG80" s="799">
        <f>IF(BG$69=$F80+1,IF(Monthly!BC$4=TRUE,0,Monthly!BC$17),IF(BG$69&gt;$F80+1,BF80*(1-IF(BG$69-$F80&lt;=12,SUMIFS('Attrition Modeling'!$D:$D,'Attrition Modeling'!$B:$B,$E80,'Attrition Modeling'!$C:$C,BG$68),VLOOKUP(BG$69-$F80-1,$A$7:$C$161,2,FALSE)*VLOOKUP(BG$1,'Attrition Modeling'!$L$15:$N$27,IF(BG$2-$F13&lt;=24,2,3),FALSE))*(1+Projection!BI$16)*(1+IF(BG145&gt;0,'Attrition Modeling'!$N$9,0))),0))</f>
        <v>647.20881453632967</v>
      </c>
      <c r="BH80" s="799">
        <f>IF(BH$69=$F80+1,IF(Monthly!BD$4=TRUE,0,Monthly!BD$17),IF(BH$69&gt;$F80+1,BG80*(1-IF(BH$69-$F80&lt;=12,SUMIFS('Attrition Modeling'!$D:$D,'Attrition Modeling'!$B:$B,$E80,'Attrition Modeling'!$C:$C,BH$68),VLOOKUP(BH$69-$F80-1,$A$7:$C$161,2,FALSE)*VLOOKUP(BH$1,'Attrition Modeling'!$L$15:$N$27,IF(BH$2-$F13&lt;=24,2,3),FALSE))*(1+Projection!BJ$16)*(1+IF(BH145&gt;0,'Attrition Modeling'!$N$9,0))),0))</f>
        <v>631.16706412140161</v>
      </c>
      <c r="BI80" s="799">
        <f>IF(BI$69=$F80+1,IF(Monthly!BE$4=TRUE,0,Monthly!BE$17),IF(BI$69&gt;$F80+1,BH80*(1-IF(BI$69-$F80&lt;=12,SUMIFS('Attrition Modeling'!$D:$D,'Attrition Modeling'!$B:$B,$E80,'Attrition Modeling'!$C:$C,BI$68),VLOOKUP(BI$69-$F80-1,$A$7:$C$161,2,FALSE)*VLOOKUP(BI$1,'Attrition Modeling'!$L$15:$N$27,IF(BI$2-$F13&lt;=24,2,3),FALSE))*(1+Projection!BK$16)*(1+IF(BI145&gt;0,'Attrition Modeling'!$N$9,0))),0))</f>
        <v>613.48545562805577</v>
      </c>
      <c r="BJ80" s="799">
        <f>IF(BJ$69=$F80+1,IF(Monthly!BF$4=TRUE,0,Monthly!BF$17),IF(BJ$69&gt;$F80+1,BI80*(1-IF(BJ$69-$F80&lt;=12,SUMIFS('Attrition Modeling'!$D:$D,'Attrition Modeling'!$B:$B,$E80,'Attrition Modeling'!$C:$C,BJ$68),VLOOKUP(BJ$69-$F80-1,$A$7:$C$161,2,FALSE)*VLOOKUP(BJ$1,'Attrition Modeling'!$L$15:$N$27,IF(BJ$2-$F13&lt;=24,2,3),FALSE))*(1+Projection!BL$16)*(1+IF(BJ145&gt;0,'Attrition Modeling'!$N$9,0))),0))</f>
        <v>594.93941165922456</v>
      </c>
      <c r="BK80" s="799">
        <f>IF(BK$69=$F80+1,IF(Monthly!BG$4=TRUE,0,Monthly!BG$17),IF(BK$69&gt;$F80+1,BJ80*(1-IF(BK$69-$F80&lt;=12,SUMIFS('Attrition Modeling'!$D:$D,'Attrition Modeling'!$B:$B,$E80,'Attrition Modeling'!$C:$C,BK$68),VLOOKUP(BK$69-$F80-1,$A$7:$C$161,2,FALSE)*VLOOKUP(BK$1,'Attrition Modeling'!$L$15:$N$27,IF(BK$2-$F13&lt;=24,2,3),FALSE))*(1+Projection!BM$16)*(1+IF(BK145&gt;0,'Attrition Modeling'!$N$9,0))),0))</f>
        <v>575.80760179760512</v>
      </c>
      <c r="BL80" s="799">
        <f>IF(BL$69=$F80+1,IF(Monthly!BH$4=TRUE,0,Monthly!BH$17),IF(BL$69&gt;$F80+1,BK80*(1-IF(BL$69-$F80&lt;=12,SUMIFS('Attrition Modeling'!$D:$D,'Attrition Modeling'!$B:$B,$E80,'Attrition Modeling'!$C:$C,BL$68),VLOOKUP(BL$69-$F80-1,$A$7:$C$161,2,FALSE)*VLOOKUP(BL$1,'Attrition Modeling'!$L$15:$N$27,IF(BL$2-$F13&lt;=24,2,3),FALSE))*(1+Projection!BN$16)*(1+IF(BL145&gt;0,'Attrition Modeling'!$N$9,0))),0))</f>
        <v>558.58042544465229</v>
      </c>
      <c r="BM80" s="799">
        <f>IF(BM$69=$F80+1,IF(Monthly!BI$4=TRUE,0,Monthly!BI$17),IF(BM$69&gt;$F80+1,BL80*(1-IF(BM$69-$F80&lt;=12,SUMIFS('Attrition Modeling'!$D:$D,'Attrition Modeling'!$B:$B,$E80,'Attrition Modeling'!$C:$C,BM$68),VLOOKUP(BM$69-$F80-1,$A$7:$C$161,2,FALSE)*VLOOKUP(BM$1,'Attrition Modeling'!$L$15:$N$27,IF(BM$2-$F13&lt;=24,2,3),FALSE))*(1+Projection!BO$16)*(1+IF(BM145&gt;0,'Attrition Modeling'!$N$9,0))),0))</f>
        <v>542.59238370320145</v>
      </c>
      <c r="BN80" s="799">
        <f>IF(BN$69=$F80+1,IF(Monthly!BJ$4=TRUE,0,Monthly!BJ$17),IF(BN$69&gt;$F80+1,BM80*(1-IF(BN$69-$F80&lt;=12,SUMIFS('Attrition Modeling'!$D:$D,'Attrition Modeling'!$B:$B,$E80,'Attrition Modeling'!$C:$C,BN$68),VLOOKUP(BN$69-$F80-1,$A$7:$C$161,2,FALSE)*VLOOKUP(BN$1,'Attrition Modeling'!$L$15:$N$27,IF(BN$2-$F13&lt;=24,2,3),FALSE))*(1+Projection!BP$16)*(1+IF(BN145&gt;0,'Attrition Modeling'!$N$9,0))),0))</f>
        <v>527.65201740790167</v>
      </c>
      <c r="BO80" s="799">
        <f>IF(BO$69=$F80+1,IF(Monthly!BK$4=TRUE,0,Monthly!BK$17),IF(BO$69&gt;$F80+1,BN80*(1-IF(BO$69-$F80&lt;=12,SUMIFS('Attrition Modeling'!$D:$D,'Attrition Modeling'!$B:$B,$E80,'Attrition Modeling'!$C:$C,BO$68),VLOOKUP(BO$69-$F80-1,$A$7:$C$161,2,FALSE)*VLOOKUP(BO$1,'Attrition Modeling'!$L$15:$N$27,IF(BO$2-$F13&lt;=24,2,3),FALSE))*(1+Projection!BV$16)*(1+IF(BO145&gt;0,'Attrition Modeling'!$N$9,0))),0))</f>
        <v>515.78861238061836</v>
      </c>
      <c r="BP80" s="799">
        <f>IF(BP$69=$F80+1,IF(Monthly!BL$4=TRUE,0,Monthly!BL$17),IF(BP$69&gt;$F80+1,BO80*(1-IF(BP$69-$F80&lt;=12,SUMIFS('Attrition Modeling'!$D:$D,'Attrition Modeling'!$B:$B,$E80,'Attrition Modeling'!$C:$C,BP$68),VLOOKUP(BP$69-$F80-1,$A$7:$C$161,2,FALSE)*VLOOKUP(BP$1,'Attrition Modeling'!$L$15:$N$27,IF(BP$2-$F13&lt;=24,2,3),FALSE))*(1+Projection!BW$16)*(1+IF(BP145&gt;0,'Attrition Modeling'!$N$9,0))),0))</f>
        <v>503.06602090803113</v>
      </c>
      <c r="BQ80" s="799">
        <f>IF(BQ$69=$F80+1,IF(Monthly!BM$4=TRUE,0,Monthly!BM$17),IF(BQ$69&gt;$F80+1,BP80*(1-IF(BQ$69-$F80&lt;=12,SUMIFS('Attrition Modeling'!$D:$D,'Attrition Modeling'!$B:$B,$E80,'Attrition Modeling'!$C:$C,BQ$68),VLOOKUP(BQ$69-$F80-1,$A$7:$C$161,2,FALSE)*VLOOKUP(BQ$1,'Attrition Modeling'!$L$15:$N$27,IF(BQ$2-$F13&lt;=24,2,3),FALSE))*(1+Projection!BX$16)*(1+IF(BQ145&gt;0,'Attrition Modeling'!$N$9,0))),0))</f>
        <v>491.15414304591019</v>
      </c>
      <c r="BR80" s="799">
        <f>IF(BR$69=$F80+1,IF(Monthly!BN$4=TRUE,0,Monthly!BN$17),IF(BR$69&gt;$F80+1,BQ80*(1-IF(BR$69-$F80&lt;=12,SUMIFS('Attrition Modeling'!$D:$D,'Attrition Modeling'!$B:$B,$E80,'Attrition Modeling'!$C:$C,BR$68),VLOOKUP(BR$69-$F80-1,$A$7:$C$161,2,FALSE)*VLOOKUP(BR$1,'Attrition Modeling'!$L$15:$N$27,IF(BR$2-$F13&lt;=24,2,3),FALSE))*(1+Projection!BY$16)*(1+IF(BR145&gt;0,'Attrition Modeling'!$N$9,0))),0))</f>
        <v>480.11191741639578</v>
      </c>
      <c r="BS80" s="799">
        <f>IF(BS$69=$F80+1,IF(Monthly!BO$4=TRUE,0,Monthly!BO$17),IF(BS$69&gt;$F80+1,BR80*(1-IF(BS$69-$F80&lt;=12,SUMIFS('Attrition Modeling'!$D:$D,'Attrition Modeling'!$B:$B,$E80,'Attrition Modeling'!$C:$C,BS$68),VLOOKUP(BS$69-$F80-1,$A$7:$C$161,2,FALSE)*VLOOKUP(BS$1,'Attrition Modeling'!$L$15:$N$27,IF(BS$2-$F13&lt;=24,2,3),FALSE))*(1+Projection!BZ$16)*(1+IF(BS145&gt;0,'Attrition Modeling'!$N$9,0))),0))</f>
        <v>471.60319469153006</v>
      </c>
      <c r="BT80" s="799">
        <f>IF(BT$69=$F80+1,IF(Monthly!#REF!=TRUE,0,Monthly!#REF!),IF(BT$69&gt;$F80+1,BS80*(1-IF(BT$69-$F80&lt;=12,SUMIFS('Attrition Modeling'!$D:$D,'Attrition Modeling'!$B:$B,$E80,'Attrition Modeling'!$C:$C,BT$68),VLOOKUP(BT$69-$F80-1,$A$7:$C$161,2,FALSE)*VLOOKUP(BT$1,'Attrition Modeling'!$L$15:$N$27,IF(BT$2-$F13&lt;=24,2,3),FALSE))*(1+Projection!CA$16)*(1+IF(BT145&gt;0,'Attrition Modeling'!$N$9,0))),0))</f>
        <v>461.60070762764906</v>
      </c>
      <c r="BU80" s="799">
        <f>IF(BU$69=$F80+1,IF(Monthly!#REF!=TRUE,0,Monthly!#REF!),IF(BU$69&gt;$F80+1,BT80*(1-IF(BU$69-$F80&lt;=12,SUMIFS('Attrition Modeling'!$D:$D,'Attrition Modeling'!$B:$B,$E80,'Attrition Modeling'!$C:$C,BU$68),VLOOKUP(BU$69-$F80-1,$A$7:$C$161,2,FALSE)*VLOOKUP(BU$1,'Attrition Modeling'!$L$15:$N$27,IF(BU$2-$F13&lt;=24,2,3),FALSE))*(1+Projection!CB$16)*(1+IF(BU145&gt;0,'Attrition Modeling'!$N$9,0))),0))</f>
        <v>450.52330628651208</v>
      </c>
    </row>
    <row r="81" spans="1:73" ht="14.25" customHeight="1" x14ac:dyDescent="0.2">
      <c r="A81" s="9">
        <v>74</v>
      </c>
      <c r="B81" s="25">
        <f>MAX('Attrition Modeling'!H78,$C$3)*(1-Summary!$C$20)</f>
        <v>2.079894825930189E-2</v>
      </c>
      <c r="C81" s="24" t="e">
        <f t="shared" si="4"/>
        <v>#DIV/0!</v>
      </c>
      <c r="E81" s="11">
        <f t="shared" si="9"/>
        <v>11</v>
      </c>
      <c r="F81" s="11">
        <f t="shared" si="10"/>
        <v>11</v>
      </c>
      <c r="G81" s="799"/>
      <c r="H81" s="799">
        <f>IF(H$69=$F81+1,IF(Monthly!D$4=TRUE,0,Monthly!D$17),IF(H$69&gt;$F81+1,G81*(1-IF(H$69-$F81&lt;=12,SUMIFS('Attrition Modeling'!$D:$D,'Attrition Modeling'!$B:$B,$E81,'Attrition Modeling'!$C:$C,H$68),VLOOKUP(H$69-$F81-1,$A$7:$C$161,2,FALSE)*VLOOKUP(H$1,'Attrition Modeling'!$L$15:$N$27,IF(H$2-$F14&lt;=24,2,3),FALSE))*(1+Projection!J$16)*(1+IF(H146&gt;0,'Attrition Modeling'!$N$9,0))),0))</f>
        <v>0</v>
      </c>
      <c r="I81" s="799">
        <f>IF(I$69=$F81+1,IF(Monthly!E$4=TRUE,0,Monthly!E$17),IF(I$69&gt;$F81+1,H81*(1-IF(I$69-$F81&lt;=12,SUMIFS('Attrition Modeling'!$D:$D,'Attrition Modeling'!$B:$B,$E81,'Attrition Modeling'!$C:$C,I$68),VLOOKUP(I$69-$F81-1,$A$7:$C$161,2,FALSE)*VLOOKUP(I$1,'Attrition Modeling'!$L$15:$N$27,IF(I$2-$F14&lt;=24,2,3),FALSE))*(1+Projection!K$16)*(1+IF(I146&gt;0,'Attrition Modeling'!$N$9,0))),0))</f>
        <v>0</v>
      </c>
      <c r="J81" s="799">
        <f>IF(J$69=$F81+1,IF(Monthly!F$4=TRUE,0,Monthly!F$17),IF(J$69&gt;$F81+1,I81*(1-IF(J$69-$F81&lt;=12,SUMIFS('Attrition Modeling'!$D:$D,'Attrition Modeling'!$B:$B,$E81,'Attrition Modeling'!$C:$C,J$68),VLOOKUP(J$69-$F81-1,$A$7:$C$161,2,FALSE)*VLOOKUP(J$1,'Attrition Modeling'!$L$15:$N$27,IF(J$2-$F14&lt;=24,2,3),FALSE))*(1+Projection!L$16)*(1+IF(J146&gt;0,'Attrition Modeling'!$N$9,0))),0))</f>
        <v>0</v>
      </c>
      <c r="K81" s="799">
        <f>IF(K$69=$F81+1,IF(Monthly!G$4=TRUE,0,Monthly!G$17),IF(K$69&gt;$F81+1,J81*(1-IF(K$69-$F81&lt;=12,SUMIFS('Attrition Modeling'!$D:$D,'Attrition Modeling'!$B:$B,$E81,'Attrition Modeling'!$C:$C,K$68),VLOOKUP(K$69-$F81-1,$A$7:$C$161,2,FALSE)*VLOOKUP(K$1,'Attrition Modeling'!$L$15:$N$27,IF(K$2-$F14&lt;=24,2,3),FALSE))*(1+Projection!M$16)*(1+IF(K146&gt;0,'Attrition Modeling'!$N$9,0))),0))</f>
        <v>0</v>
      </c>
      <c r="L81" s="799">
        <f>IF(L$69=$F81+1,IF(Monthly!H$4=TRUE,0,Monthly!H$17),IF(L$69&gt;$F81+1,K81*(1-IF(L$69-$F81&lt;=12,SUMIFS('Attrition Modeling'!$D:$D,'Attrition Modeling'!$B:$B,$E81,'Attrition Modeling'!$C:$C,L$68),VLOOKUP(L$69-$F81-1,$A$7:$C$161,2,FALSE)*VLOOKUP(L$1,'Attrition Modeling'!$L$15:$N$27,IF(L$2-$F14&lt;=24,2,3),FALSE))*(1+Projection!N$16)*(1+IF(L146&gt;0,'Attrition Modeling'!$N$9,0))),0))</f>
        <v>0</v>
      </c>
      <c r="M81" s="799">
        <f>IF(M$69=$F81+1,IF(Monthly!I$4=TRUE,0,Monthly!I$17),IF(M$69&gt;$F81+1,L81*(1-IF(M$69-$F81&lt;=12,SUMIFS('Attrition Modeling'!$D:$D,'Attrition Modeling'!$B:$B,$E81,'Attrition Modeling'!$C:$C,M$68),VLOOKUP(M$69-$F81-1,$A$7:$C$161,2,FALSE)*VLOOKUP(M$1,'Attrition Modeling'!$L$15:$N$27,IF(M$2-$F14&lt;=24,2,3),FALSE))*(1+Projection!O$16)*(1+IF(M146&gt;0,'Attrition Modeling'!$N$9,0))),0))</f>
        <v>0</v>
      </c>
      <c r="N81" s="799">
        <f>IF(N$69=$F81+1,IF(Monthly!J$4=TRUE,0,Monthly!J$17),IF(N$69&gt;$F81+1,M81*(1-IF(N$69-$F81&lt;=12,SUMIFS('Attrition Modeling'!$D:$D,'Attrition Modeling'!$B:$B,$E81,'Attrition Modeling'!$C:$C,N$68),VLOOKUP(N$69-$F81-1,$A$7:$C$161,2,FALSE)*VLOOKUP(N$1,'Attrition Modeling'!$L$15:$N$27,IF(N$2-$F14&lt;=24,2,3),FALSE))*(1+Projection!P$16)*(1+IF(N146&gt;0,'Attrition Modeling'!$N$9,0))),0))</f>
        <v>0</v>
      </c>
      <c r="O81" s="799">
        <f>IF(O$69=$F81+1,IF(Monthly!K$4=TRUE,0,Monthly!K$17),IF(O$69&gt;$F81+1,N81*(1-IF(O$69-$F81&lt;=12,SUMIFS('Attrition Modeling'!$D:$D,'Attrition Modeling'!$B:$B,$E81,'Attrition Modeling'!$C:$C,O$68),VLOOKUP(O$69-$F81-1,$A$7:$C$161,2,FALSE)*VLOOKUP(O$1,'Attrition Modeling'!$L$15:$N$27,IF(O$2-$F14&lt;=24,2,3),FALSE))*(1+Projection!Q$16)*(1+IF(O146&gt;0,'Attrition Modeling'!$N$9,0))),0))</f>
        <v>0</v>
      </c>
      <c r="P81" s="799">
        <f>IF(P$69=$F81+1,IF(Monthly!L$4=TRUE,0,Monthly!L$17),IF(P$69&gt;$F81+1,O81*(1-IF(P$69-$F81&lt;=12,SUMIFS('Attrition Modeling'!$D:$D,'Attrition Modeling'!$B:$B,$E81,'Attrition Modeling'!$C:$C,P$68),VLOOKUP(P$69-$F81-1,$A$7:$C$161,2,FALSE)*VLOOKUP(P$1,'Attrition Modeling'!$L$15:$N$27,IF(P$2-$F14&lt;=24,2,3),FALSE))*(1+Projection!R$16)*(1+IF(P146&gt;0,'Attrition Modeling'!$N$9,0))),0))</f>
        <v>0</v>
      </c>
      <c r="Q81" s="799">
        <f>IF(Q$69=$F81+1,IF(Monthly!M$4=TRUE,0,Monthly!M$17),IF(Q$69&gt;$F81+1,P81*(1-IF(Q$69-$F81&lt;=12,SUMIFS('Attrition Modeling'!$D:$D,'Attrition Modeling'!$B:$B,$E81,'Attrition Modeling'!$C:$C,Q$68),VLOOKUP(Q$69-$F81-1,$A$7:$C$161,2,FALSE)*VLOOKUP(Q$1,'Attrition Modeling'!$L$15:$N$27,IF(Q$2-$F14&lt;=24,2,3),FALSE))*(1+Projection!S$16)*(1+IF(Q146&gt;0,'Attrition Modeling'!$N$9,0))),0))</f>
        <v>0</v>
      </c>
      <c r="R81" s="799">
        <f>IF(R$69=$F81+1,IF(Monthly!N$4=TRUE,0,Monthly!N$17),IF(R$69&gt;$F81+1,Q81*(1-IF(R$69-$F81&lt;=12,SUMIFS('Attrition Modeling'!$D:$D,'Attrition Modeling'!$B:$B,$E81,'Attrition Modeling'!$C:$C,R$68),VLOOKUP(R$69-$F81-1,$A$7:$C$161,2,FALSE)*VLOOKUP(R$1,'Attrition Modeling'!$L$15:$N$27,IF(R$2-$F14&lt;=24,2,3),FALSE))*(1+Projection!T$16)*(1+IF(R146&gt;0,'Attrition Modeling'!$N$9,0))),0))</f>
        <v>0</v>
      </c>
      <c r="S81" s="799">
        <f>IF(S$69=$F81+1,IF(Monthly!O$4=TRUE,0,Monthly!O$17),IF(S$69&gt;$F81+1,R81*(1-IF(S$69-$F81&lt;=12,SUMIFS('Attrition Modeling'!$D:$D,'Attrition Modeling'!$B:$B,$E81,'Attrition Modeling'!$C:$C,S$68),VLOOKUP(S$69-$F81-1,$A$7:$C$161,2,FALSE)*VLOOKUP(S$1,'Attrition Modeling'!$L$15:$N$27,IF(S$2-$F14&lt;=24,2,3),FALSE))*(1+Projection!U$16)*(1+IF(S146&gt;0,'Attrition Modeling'!$N$9,0))),0))</f>
        <v>4448.5893553228962</v>
      </c>
      <c r="T81" s="799">
        <f>IF(T$69=$F81+1,IF(Monthly!P$4=TRUE,0,Monthly!P$17),IF(T$69&gt;$F81+1,S81*(1-IF(T$69-$F81&lt;=12,SUMIFS('Attrition Modeling'!$D:$D,'Attrition Modeling'!$B:$B,$E81,'Attrition Modeling'!$C:$C,T$68),VLOOKUP(T$69-$F81-1,$A$7:$C$161,2,FALSE)*VLOOKUP(T$1,'Attrition Modeling'!$L$15:$N$27,IF(T$2-$F14&lt;=24,2,3),FALSE))*(1+Projection!V$16)*(1+IF(T146&gt;0,'Attrition Modeling'!$N$9,0))),0))</f>
        <v>4044.680574524225</v>
      </c>
      <c r="U81" s="799">
        <f>IF(U$69=$F81+1,IF(Monthly!Q$4=TRUE,0,Monthly!Q$17),IF(U$69&gt;$F81+1,T81*(1-IF(U$69-$F81&lt;=12,SUMIFS('Attrition Modeling'!$D:$D,'Attrition Modeling'!$B:$B,$E81,'Attrition Modeling'!$C:$C,U$68),VLOOKUP(U$69-$F81-1,$A$7:$C$161,2,FALSE)*VLOOKUP(U$1,'Attrition Modeling'!$L$15:$N$27,IF(U$2-$F14&lt;=24,2,3),FALSE))*(1+Projection!W$16)*(1+IF(U146&gt;0,'Attrition Modeling'!$N$9,0))),0))</f>
        <v>3731.1418708974079</v>
      </c>
      <c r="V81" s="799">
        <f>IF(V$69=$F81+1,IF(Monthly!R$4=TRUE,0,Monthly!R$17),IF(V$69&gt;$F81+1,U81*(1-IF(V$69-$F81&lt;=12,SUMIFS('Attrition Modeling'!$D:$D,'Attrition Modeling'!$B:$B,$E81,'Attrition Modeling'!$C:$C,V$68),VLOOKUP(V$69-$F81-1,$A$7:$C$161,2,FALSE)*VLOOKUP(V$1,'Attrition Modeling'!$L$15:$N$27,IF(V$2-$F14&lt;=24,2,3),FALSE))*(1+Projection!X$16)*(1+IF(V146&gt;0,'Attrition Modeling'!$N$9,0))),0))</f>
        <v>3398.8850305050669</v>
      </c>
      <c r="W81" s="799">
        <f>IF(W$69=$F81+1,IF(Monthly!S$4=TRUE,0,Monthly!S$17),IF(W$69&gt;$F81+1,V81*(1-IF(W$69-$F81&lt;=12,SUMIFS('Attrition Modeling'!$D:$D,'Attrition Modeling'!$B:$B,$E81,'Attrition Modeling'!$C:$C,W$68),VLOOKUP(W$69-$F81-1,$A$7:$C$161,2,FALSE)*VLOOKUP(W$1,'Attrition Modeling'!$L$15:$N$27,IF(W$2-$F14&lt;=24,2,3),FALSE))*(1+Projection!Y$16)*(1+IF(W146&gt;0,'Attrition Modeling'!$N$9,0))),0))</f>
        <v>3131.361474873187</v>
      </c>
      <c r="X81" s="799">
        <f>IF(X$69=$F81+1,IF(Monthly!T$4=TRUE,0,Monthly!T$17),IF(X$69&gt;$F81+1,W81*(1-IF(X$69-$F81&lt;=12,SUMIFS('Attrition Modeling'!$D:$D,'Attrition Modeling'!$B:$B,$E81,'Attrition Modeling'!$C:$C,X$68),VLOOKUP(X$69-$F81-1,$A$7:$C$161,2,FALSE)*VLOOKUP(X$1,'Attrition Modeling'!$L$15:$N$27,IF(X$2-$F14&lt;=24,2,3),FALSE))*(1+Projection!Z$16)*(1+IF(X146&gt;0,'Attrition Modeling'!$N$9,0))),0))</f>
        <v>2817.6035266750796</v>
      </c>
      <c r="Y81" s="799">
        <f>IF(Y$69=$F81+1,IF(Monthly!U$4=TRUE,0,Monthly!U$17),IF(Y$69&gt;$F81+1,X81*(1-IF(Y$69-$F81&lt;=12,SUMIFS('Attrition Modeling'!$D:$D,'Attrition Modeling'!$B:$B,$E81,'Attrition Modeling'!$C:$C,Y$68),VLOOKUP(Y$69-$F81-1,$A$7:$C$161,2,FALSE)*VLOOKUP(Y$1,'Attrition Modeling'!$L$15:$N$27,IF(Y$2-$F14&lt;=24,2,3),FALSE))*(1+Projection!AA$16)*(1+IF(Y146&gt;0,'Attrition Modeling'!$N$9,0))),0))</f>
        <v>2617.9596647733074</v>
      </c>
      <c r="Z81" s="799">
        <f>IF(Z$69=$F81+1,IF(Monthly!V$4=TRUE,0,Monthly!V$17),IF(Z$69&gt;$F81+1,Y81*(1-IF(Z$69-$F81&lt;=12,SUMIFS('Attrition Modeling'!$D:$D,'Attrition Modeling'!$B:$B,$E81,'Attrition Modeling'!$C:$C,Z$68),VLOOKUP(Z$69-$F81-1,$A$7:$C$161,2,FALSE)*VLOOKUP(Z$1,'Attrition Modeling'!$L$15:$N$27,IF(Z$2-$F14&lt;=24,2,3),FALSE))*(1+Projection!AB$16)*(1+IF(Z146&gt;0,'Attrition Modeling'!$N$9,0))),0))</f>
        <v>2437.7267290643254</v>
      </c>
      <c r="AA81" s="799">
        <f>IF(AA$69=$F81+1,IF(Monthly!W$4=TRUE,0,Monthly!W$17),IF(AA$69&gt;$F81+1,Z81*(1-IF(AA$69-$F81&lt;=12,SUMIFS('Attrition Modeling'!$D:$D,'Attrition Modeling'!$B:$B,$E81,'Attrition Modeling'!$C:$C,AA$68),VLOOKUP(AA$69-$F81-1,$A$7:$C$161,2,FALSE)*VLOOKUP(AA$1,'Attrition Modeling'!$L$15:$N$27,IF(AA$2-$F14&lt;=24,2,3),FALSE))*(1+Projection!AC$16)*(1+IF(AA146&gt;0,'Attrition Modeling'!$N$9,0))),0))</f>
        <v>2271.8450075457076</v>
      </c>
      <c r="AB81" s="799">
        <f>IF(AB$69=$F81+1,IF(Monthly!X$4=TRUE,0,Monthly!X$17),IF(AB$69&gt;$F81+1,AA81*(1-IF(AB$69-$F81&lt;=12,SUMIFS('Attrition Modeling'!$D:$D,'Attrition Modeling'!$B:$B,$E81,'Attrition Modeling'!$C:$C,AB$68),VLOOKUP(AB$69-$F81-1,$A$7:$C$161,2,FALSE)*VLOOKUP(AB$1,'Attrition Modeling'!$L$15:$N$27,IF(AB$2-$F14&lt;=24,2,3),FALSE))*(1+Projection!AD$16)*(1+IF(AB146&gt;0,'Attrition Modeling'!$N$9,0))),0))</f>
        <v>2143.7177199946454</v>
      </c>
      <c r="AC81" s="799">
        <f>IF(AC$69=$F81+1,IF(Monthly!Y$4=TRUE,0,Monthly!Y$17),IF(AC$69&gt;$F81+1,AB81*(1-IF(AC$69-$F81&lt;=12,SUMIFS('Attrition Modeling'!$D:$D,'Attrition Modeling'!$B:$B,$E81,'Attrition Modeling'!$C:$C,AC$68),VLOOKUP(AC$69-$F81-1,$A$7:$C$161,2,FALSE)*VLOOKUP(AC$1,'Attrition Modeling'!$L$15:$N$27,IF(AC$2-$F14&lt;=24,2,3),FALSE))*(1+Projection!AE$16)*(1+IF(AC146&gt;0,'Attrition Modeling'!$N$9,0))),0))</f>
        <v>2021.4402113063913</v>
      </c>
      <c r="AD81" s="799">
        <f>IF(AD$69=$F81+1,IF(Monthly!Z$4=TRUE,0,Monthly!Z$17),IF(AD$69&gt;$F81+1,AC81*(1-IF(AD$69-$F81&lt;=12,SUMIFS('Attrition Modeling'!$D:$D,'Attrition Modeling'!$B:$B,$E81,'Attrition Modeling'!$C:$C,AD$68),VLOOKUP(AD$69-$F81-1,$A$7:$C$161,2,FALSE)*VLOOKUP(AD$1,'Attrition Modeling'!$L$15:$N$27,IF(AD$2-$F14&lt;=24,2,3),FALSE))*(1+Projection!AF$16)*(1+IF(AD146&gt;0,'Attrition Modeling'!$N$9,0))),0))</f>
        <v>1967.115966424537</v>
      </c>
      <c r="AE81" s="799">
        <f>IF(AE$69=$F81+1,IF(Monthly!AA$4=TRUE,0,Monthly!AA$17),IF(AE$69&gt;$F81+1,AD81*(1-IF(AE$69-$F81&lt;=12,SUMIFS('Attrition Modeling'!$D:$D,'Attrition Modeling'!$B:$B,$E81,'Attrition Modeling'!$C:$C,AE$68),VLOOKUP(AE$69-$F81-1,$A$7:$C$161,2,FALSE)*VLOOKUP(AE$1,'Attrition Modeling'!$L$15:$N$27,IF(AE$2-$F14&lt;=24,2,3),FALSE))*(1+Projection!AG$16)*(1+IF(AE146&gt;0,'Attrition Modeling'!$N$9,0))),0))</f>
        <v>1861.3099630798397</v>
      </c>
      <c r="AF81" s="799">
        <f>IF(AF$69=$F81+1,IF(Monthly!AB$4=TRUE,0,Monthly!AB$17),IF(AF$69&gt;$F81+1,AE81*(1-IF(AF$69-$F81&lt;=12,SUMIFS('Attrition Modeling'!$D:$D,'Attrition Modeling'!$B:$B,$E81,'Attrition Modeling'!$C:$C,AF$68),VLOOKUP(AF$69-$F81-1,$A$7:$C$161,2,FALSE)*VLOOKUP(AF$1,'Attrition Modeling'!$L$15:$N$27,IF(AF$2-$F14&lt;=24,2,3),FALSE))*(1+Projection!AH$16)*(1+IF(AF146&gt;0,'Attrition Modeling'!$N$9,0))),0))</f>
        <v>1768.8445180301148</v>
      </c>
      <c r="AG81" s="799">
        <f>IF(AG$69=$F81+1,IF(Monthly!AC$4=TRUE,0,Monthly!AC$17),IF(AG$69&gt;$F81+1,AF81*(1-IF(AG$69-$F81&lt;=12,SUMIFS('Attrition Modeling'!$D:$D,'Attrition Modeling'!$B:$B,$E81,'Attrition Modeling'!$C:$C,AG$68),VLOOKUP(AG$69-$F81-1,$A$7:$C$161,2,FALSE)*VLOOKUP(AG$1,'Attrition Modeling'!$L$15:$N$27,IF(AG$2-$F14&lt;=24,2,3),FALSE))*(1+Projection!AI$16)*(1+IF(AG146&gt;0,'Attrition Modeling'!$N$9,0))),0))</f>
        <v>1693.4561364365343</v>
      </c>
      <c r="AH81" s="799">
        <f>IF(AH$69=$F81+1,IF(Monthly!AD$4=TRUE,0,Monthly!AD$17),IF(AH$69&gt;$F81+1,AG81*(1-IF(AH$69-$F81&lt;=12,SUMIFS('Attrition Modeling'!$D:$D,'Attrition Modeling'!$B:$B,$E81,'Attrition Modeling'!$C:$C,AH$68),VLOOKUP(AH$69-$F81-1,$A$7:$C$161,2,FALSE)*VLOOKUP(AH$1,'Attrition Modeling'!$L$15:$N$27,IF(AH$2-$F14&lt;=24,2,3),FALSE))*(1+Projection!AJ$16)*(1+IF(AH146&gt;0,'Attrition Modeling'!$N$9,0))),0))</f>
        <v>1617.7589441932948</v>
      </c>
      <c r="AI81" s="799">
        <f>IF(AI$69=$F81+1,IF(Monthly!AE$4=TRUE,0,Monthly!AE$17),IF(AI$69&gt;$F81+1,AH81*(1-IF(AI$69-$F81&lt;=12,SUMIFS('Attrition Modeling'!$D:$D,'Attrition Modeling'!$B:$B,$E81,'Attrition Modeling'!$C:$C,AI$68),VLOOKUP(AI$69-$F81-1,$A$7:$C$161,2,FALSE)*VLOOKUP(AI$1,'Attrition Modeling'!$L$15:$N$27,IF(AI$2-$F14&lt;=24,2,3),FALSE))*(1+Projection!AK$16)*(1+IF(AI146&gt;0,'Attrition Modeling'!$N$9,0))),0))</f>
        <v>1548.749345828805</v>
      </c>
      <c r="AJ81" s="799">
        <f>IF(AJ$69=$F81+1,IF(Monthly!AF$4=TRUE,0,Monthly!AF$17),IF(AJ$69&gt;$F81+1,AI81*(1-IF(AJ$69-$F81&lt;=12,SUMIFS('Attrition Modeling'!$D:$D,'Attrition Modeling'!$B:$B,$E81,'Attrition Modeling'!$C:$C,AJ$68),VLOOKUP(AJ$69-$F81-1,$A$7:$C$161,2,FALSE)*VLOOKUP(AJ$1,'Attrition Modeling'!$L$15:$N$27,IF(AJ$2-$F14&lt;=24,2,3),FALSE))*(1+Projection!AL$16)*(1+IF(AJ146&gt;0,'Attrition Modeling'!$N$9,0))),0))</f>
        <v>1471.9852402073122</v>
      </c>
      <c r="AK81" s="799">
        <f>IF(AK$69=$F81+1,IF(Monthly!AG$4=TRUE,0,Monthly!AG$17),IF(AK$69&gt;$F81+1,AJ81*(1-IF(AK$69-$F81&lt;=12,SUMIFS('Attrition Modeling'!$D:$D,'Attrition Modeling'!$B:$B,$E81,'Attrition Modeling'!$C:$C,AK$68),VLOOKUP(AK$69-$F81-1,$A$7:$C$161,2,FALSE)*VLOOKUP(AK$1,'Attrition Modeling'!$L$15:$N$27,IF(AK$2-$F14&lt;=24,2,3),FALSE))*(1+Projection!AM$16)*(1+IF(AK146&gt;0,'Attrition Modeling'!$N$9,0))),0))</f>
        <v>1406.667884345344</v>
      </c>
      <c r="AL81" s="799">
        <f>IF(AL$69=$F81+1,IF(Monthly!AH$4=TRUE,0,Monthly!AH$17),IF(AL$69&gt;$F81+1,AK81*(1-IF(AL$69-$F81&lt;=12,SUMIFS('Attrition Modeling'!$D:$D,'Attrition Modeling'!$B:$B,$E81,'Attrition Modeling'!$C:$C,AL$68),VLOOKUP(AL$69-$F81-1,$A$7:$C$161,2,FALSE)*VLOOKUP(AL$1,'Attrition Modeling'!$L$15:$N$27,IF(AL$2-$F14&lt;=24,2,3),FALSE))*(1+Projection!AN$16)*(1+IF(AL146&gt;0,'Attrition Modeling'!$N$9,0))),0))</f>
        <v>1343.9854250716132</v>
      </c>
      <c r="AM81" s="799">
        <f>IF(AM$69=$F81+1,IF(Monthly!AI$4=TRUE,0,Monthly!AI$17),IF(AM$69&gt;$F81+1,AL81*(1-IF(AM$69-$F81&lt;=12,SUMIFS('Attrition Modeling'!$D:$D,'Attrition Modeling'!$B:$B,$E81,'Attrition Modeling'!$C:$C,AM$68),VLOOKUP(AM$69-$F81-1,$A$7:$C$161,2,FALSE)*VLOOKUP(AM$1,'Attrition Modeling'!$L$15:$N$27,IF(AM$2-$F14&lt;=24,2,3),FALSE))*(1+Projection!AO$16)*(1+IF(AM146&gt;0,'Attrition Modeling'!$N$9,0))),0))</f>
        <v>1282.5157891001045</v>
      </c>
      <c r="AN81" s="799">
        <f>IF(AN$69=$F81+1,IF(Monthly!AJ$4=TRUE,0,Monthly!AJ$17),IF(AN$69&gt;$F81+1,AM81*(1-IF(AN$69-$F81&lt;=12,SUMIFS('Attrition Modeling'!$D:$D,'Attrition Modeling'!$B:$B,$E81,'Attrition Modeling'!$C:$C,AN$68),VLOOKUP(AN$69-$F81-1,$A$7:$C$161,2,FALSE)*VLOOKUP(AN$1,'Attrition Modeling'!$L$15:$N$27,IF(AN$2-$F14&lt;=24,2,3),FALSE))*(1+Projection!AP$16)*(1+IF(AN146&gt;0,'Attrition Modeling'!$N$9,0))),0))</f>
        <v>1229.858750488685</v>
      </c>
      <c r="AO81" s="799">
        <f>IF(AO$69=$F81+1,IF(Monthly!AK$4=TRUE,0,Monthly!AK$17),IF(AO$69&gt;$F81+1,AN81*(1-IF(AO$69-$F81&lt;=12,SUMIFS('Attrition Modeling'!$D:$D,'Attrition Modeling'!$B:$B,$E81,'Attrition Modeling'!$C:$C,AO$68),VLOOKUP(AO$69-$F81-1,$A$7:$C$161,2,FALSE)*VLOOKUP(AO$1,'Attrition Modeling'!$L$15:$N$27,IF(AO$2-$F14&lt;=24,2,3),FALSE))*(1+Projection!AQ$16)*(1+IF(AO146&gt;0,'Attrition Modeling'!$N$9,0))),0))</f>
        <v>1178.9335039869368</v>
      </c>
      <c r="AP81" s="799">
        <f>IF(AP$69=$F81+1,IF(Monthly!AL$4=TRUE,0,Monthly!AL$17),IF(AP$69&gt;$F81+1,AO81*(1-IF(AP$69-$F81&lt;=12,SUMIFS('Attrition Modeling'!$D:$D,'Attrition Modeling'!$B:$B,$E81,'Attrition Modeling'!$C:$C,AP$68),VLOOKUP(AP$69-$F81-1,$A$7:$C$161,2,FALSE)*VLOOKUP(AP$1,'Attrition Modeling'!$L$15:$N$27,IF(AP$2-$F14&lt;=24,2,3),FALSE))*(1+Projection!AR$16)*(1+IF(AP146&gt;0,'Attrition Modeling'!$N$9,0))),0))</f>
        <v>1132.5937793394974</v>
      </c>
      <c r="AQ81" s="799">
        <f>IF(AQ$69=$F81+1,IF(Monthly!AM$4=TRUE,0,Monthly!AM$17),IF(AQ$69&gt;$F81+1,AP81*(1-IF(AQ$69-$F81&lt;=12,SUMIFS('Attrition Modeling'!$D:$D,'Attrition Modeling'!$B:$B,$E81,'Attrition Modeling'!$C:$C,AQ$68),VLOOKUP(AQ$69-$F81-1,$A$7:$C$161,2,FALSE)*VLOOKUP(AQ$1,'Attrition Modeling'!$L$15:$N$27,IF(AQ$2-$F14&lt;=24,2,3),FALSE))*(1+Projection!AS$16)*(1+IF(AQ146&gt;0,'Attrition Modeling'!$N$9,0))),0))</f>
        <v>1096.003407040208</v>
      </c>
      <c r="AR81" s="799">
        <f>IF(AR$69=$F81+1,IF(Monthly!AN$4=TRUE,0,Monthly!AN$17),IF(AR$69&gt;$F81+1,AQ81*(1-IF(AR$69-$F81&lt;=12,SUMIFS('Attrition Modeling'!$D:$D,'Attrition Modeling'!$B:$B,$E81,'Attrition Modeling'!$C:$C,AR$68),VLOOKUP(AR$69-$F81-1,$A$7:$C$161,2,FALSE)*VLOOKUP(AR$1,'Attrition Modeling'!$L$15:$N$27,IF(AR$2-$F14&lt;=24,2,3),FALSE))*(1+Projection!AT$16)*(1+IF(AR146&gt;0,'Attrition Modeling'!$N$9,0))),0))</f>
        <v>1057.34878229847</v>
      </c>
      <c r="AS81" s="799">
        <f>IF(AS$69=$F81+1,IF(Monthly!AO$4=TRUE,0,Monthly!AO$17),IF(AS$69&gt;$F81+1,AR81*(1-IF(AS$69-$F81&lt;=12,SUMIFS('Attrition Modeling'!$D:$D,'Attrition Modeling'!$B:$B,$E81,'Attrition Modeling'!$C:$C,AS$68),VLOOKUP(AS$69-$F81-1,$A$7:$C$161,2,FALSE)*VLOOKUP(AS$1,'Attrition Modeling'!$L$15:$N$27,IF(AS$2-$F14&lt;=24,2,3),FALSE))*(1+Projection!AU$16)*(1+IF(AS146&gt;0,'Attrition Modeling'!$N$9,0))),0))</f>
        <v>1021.7165555845563</v>
      </c>
      <c r="AT81" s="799">
        <f>IF(AT$69=$F81+1,IF(Monthly!AP$4=TRUE,0,Monthly!AP$17),IF(AT$69&gt;$F81+1,AS81*(1-IF(AT$69-$F81&lt;=12,SUMIFS('Attrition Modeling'!$D:$D,'Attrition Modeling'!$B:$B,$E81,'Attrition Modeling'!$C:$C,AT$68),VLOOKUP(AT$69-$F81-1,$A$7:$C$161,2,FALSE)*VLOOKUP(AT$1,'Attrition Modeling'!$L$15:$N$27,IF(AT$2-$F14&lt;=24,2,3),FALSE))*(1+Projection!AV$16)*(1+IF(AT146&gt;0,'Attrition Modeling'!$N$9,0))),0))</f>
        <v>989.16730389277723</v>
      </c>
      <c r="AU81" s="799">
        <f>IF(AU$69=$F81+1,IF(Monthly!AQ$4=TRUE,0,Monthly!AQ$17),IF(AU$69&gt;$F81+1,AT81*(1-IF(AU$69-$F81&lt;=12,SUMIFS('Attrition Modeling'!$D:$D,'Attrition Modeling'!$B:$B,$E81,'Attrition Modeling'!$C:$C,AU$68),VLOOKUP(AU$69-$F81-1,$A$7:$C$161,2,FALSE)*VLOOKUP(AU$1,'Attrition Modeling'!$L$15:$N$27,IF(AU$2-$F14&lt;=24,2,3),FALSE))*(1+Projection!AW$16)*(1+IF(AU146&gt;0,'Attrition Modeling'!$N$9,0))),0))</f>
        <v>964.42869940680737</v>
      </c>
      <c r="AV81" s="799">
        <f>IF(AV$69=$F81+1,IF(Monthly!AR$4=TRUE,0,Monthly!AR$17),IF(AV$69&gt;$F81+1,AU81*(1-IF(AV$69-$F81&lt;=12,SUMIFS('Attrition Modeling'!$D:$D,'Attrition Modeling'!$B:$B,$E81,'Attrition Modeling'!$C:$C,AV$68),VLOOKUP(AV$69-$F81-1,$A$7:$C$161,2,FALSE)*VLOOKUP(AV$1,'Attrition Modeling'!$L$15:$N$27,IF(AV$2-$F14&lt;=24,2,3),FALSE))*(1+Projection!AX$16)*(1+IF(AV146&gt;0,'Attrition Modeling'!$N$9,0))),0))</f>
        <v>929.92391814517316</v>
      </c>
      <c r="AW81" s="799">
        <f>IF(AW$69=$F81+1,IF(Monthly!AS$4=TRUE,0,Monthly!AS$17),IF(AW$69&gt;$F81+1,AV81*(1-IF(AW$69-$F81&lt;=12,SUMIFS('Attrition Modeling'!$D:$D,'Attrition Modeling'!$B:$B,$E81,'Attrition Modeling'!$C:$C,AW$68),VLOOKUP(AW$69-$F81-1,$A$7:$C$161,2,FALSE)*VLOOKUP(AW$1,'Attrition Modeling'!$L$15:$N$27,IF(AW$2-$F14&lt;=24,2,3),FALSE))*(1+Projection!AY$16)*(1+IF(AW146&gt;0,'Attrition Modeling'!$N$9,0))),0))</f>
        <v>898.66869718950784</v>
      </c>
      <c r="AX81" s="799">
        <f>IF(AX$69=$F81+1,IF(Monthly!AT$4=TRUE,0,Monthly!AT$17),IF(AX$69&gt;$F81+1,AW81*(1-IF(AX$69-$F81&lt;=12,SUMIFS('Attrition Modeling'!$D:$D,'Attrition Modeling'!$B:$B,$E81,'Attrition Modeling'!$C:$C,AX$68),VLOOKUP(AX$69-$F81-1,$A$7:$C$161,2,FALSE)*VLOOKUP(AX$1,'Attrition Modeling'!$L$15:$N$27,IF(AX$2-$F14&lt;=24,2,3),FALSE))*(1+Projection!AZ$16)*(1+IF(AX146&gt;0,'Attrition Modeling'!$N$9,0))),0))</f>
        <v>866.15371864508984</v>
      </c>
      <c r="AY81" s="799">
        <f>IF(AY$69=$F81+1,IF(Monthly!AU$4=TRUE,0,Monthly!AU$17),IF(AY$69&gt;$F81+1,AX81*(1-IF(AY$69-$F81&lt;=12,SUMIFS('Attrition Modeling'!$D:$D,'Attrition Modeling'!$B:$B,$E81,'Attrition Modeling'!$C:$C,AY$68),VLOOKUP(AY$69-$F81-1,$A$7:$C$161,2,FALSE)*VLOOKUP(AY$1,'Attrition Modeling'!$L$15:$N$27,IF(AY$2-$F14&lt;=24,2,3),FALSE))*(1+Projection!BA$16)*(1+IF(AY146&gt;0,'Attrition Modeling'!$N$9,0))),0))</f>
        <v>832.89453009973442</v>
      </c>
      <c r="AZ81" s="799">
        <f>IF(AZ$69=$F81+1,IF(Monthly!AV$4=TRUE,0,Monthly!AV$17),IF(AZ$69&gt;$F81+1,AY81*(1-IF(AZ$69-$F81&lt;=12,SUMIFS('Attrition Modeling'!$D:$D,'Attrition Modeling'!$B:$B,$E81,'Attrition Modeling'!$C:$C,AZ$68),VLOOKUP(AZ$69-$F81-1,$A$7:$C$161,2,FALSE)*VLOOKUP(AZ$1,'Attrition Modeling'!$L$15:$N$27,IF(AZ$2-$F14&lt;=24,2,3),FALSE))*(1+Projection!BB$16)*(1+IF(AZ146&gt;0,'Attrition Modeling'!$N$9,0))),0))</f>
        <v>803.20455488529637</v>
      </c>
      <c r="BA81" s="799">
        <f>IF(BA$69=$F81+1,IF(Monthly!AW$4=TRUE,0,Monthly!AW$17),IF(BA$69&gt;$F81+1,AZ81*(1-IF(BA$69-$F81&lt;=12,SUMIFS('Attrition Modeling'!$D:$D,'Attrition Modeling'!$B:$B,$E81,'Attrition Modeling'!$C:$C,BA$68),VLOOKUP(BA$69-$F81-1,$A$7:$C$161,2,FALSE)*VLOOKUP(BA$1,'Attrition Modeling'!$L$15:$N$27,IF(BA$2-$F14&lt;=24,2,3),FALSE))*(1+Projection!BC$16)*(1+IF(BA146&gt;0,'Attrition Modeling'!$N$9,0))),0))</f>
        <v>775.86961517370821</v>
      </c>
      <c r="BB81" s="799">
        <f>IF(BB$69=$F81+1,IF(Monthly!AX$4=TRUE,0,Monthly!AX$17),IF(BB$69&gt;$F81+1,BA81*(1-IF(BB$69-$F81&lt;=12,SUMIFS('Attrition Modeling'!$D:$D,'Attrition Modeling'!$B:$B,$E81,'Attrition Modeling'!$C:$C,BB$68),VLOOKUP(BB$69-$F81-1,$A$7:$C$161,2,FALSE)*VLOOKUP(BB$1,'Attrition Modeling'!$L$15:$N$27,IF(BB$2-$F14&lt;=24,2,3),FALSE))*(1+Projection!BD$16)*(1+IF(BB146&gt;0,'Attrition Modeling'!$N$9,0))),0))</f>
        <v>750.34659724135224</v>
      </c>
      <c r="BC81" s="799">
        <f>IF(BC$69=$F81+1,IF(Monthly!AY$4=TRUE,0,Monthly!AY$17),IF(BC$69&gt;$F81+1,BB81*(1-IF(BC$69-$F81&lt;=12,SUMIFS('Attrition Modeling'!$D:$D,'Attrition Modeling'!$B:$B,$E81,'Attrition Modeling'!$C:$C,BC$68),VLOOKUP(BC$69-$F81-1,$A$7:$C$161,2,FALSE)*VLOOKUP(BC$1,'Attrition Modeling'!$L$15:$N$27,IF(BC$2-$F14&lt;=24,2,3),FALSE))*(1+Projection!BE$16)*(1+IF(BC146&gt;0,'Attrition Modeling'!$N$9,0))),0))</f>
        <v>730.22611980600936</v>
      </c>
      <c r="BD81" s="799">
        <f>IF(BD$69=$F81+1,IF(Monthly!AZ$4=TRUE,0,Monthly!AZ$17),IF(BD$69&gt;$F81+1,BC81*(1-IF(BD$69-$F81&lt;=12,SUMIFS('Attrition Modeling'!$D:$D,'Attrition Modeling'!$B:$B,$E81,'Attrition Modeling'!$C:$C,BD$68),VLOOKUP(BD$69-$F81-1,$A$7:$C$161,2,FALSE)*VLOOKUP(BD$1,'Attrition Modeling'!$L$15:$N$27,IF(BD$2-$F14&lt;=24,2,3),FALSE))*(1+Projection!BF$16)*(1+IF(BD146&gt;0,'Attrition Modeling'!$N$9,0))),0))</f>
        <v>708.77868806451659</v>
      </c>
      <c r="BE81" s="799">
        <f>IF(BE$69=$F81+1,IF(Monthly!BA$4=TRUE,0,Monthly!BA$17),IF(BE$69&gt;$F81+1,BD81*(1-IF(BE$69-$F81&lt;=12,SUMIFS('Attrition Modeling'!$D:$D,'Attrition Modeling'!$B:$B,$E81,'Attrition Modeling'!$C:$C,BE$68),VLOOKUP(BE$69-$F81-1,$A$7:$C$161,2,FALSE)*VLOOKUP(BE$1,'Attrition Modeling'!$L$15:$N$27,IF(BE$2-$F14&lt;=24,2,3),FALSE))*(1+Projection!BG$16)*(1+IF(BE146&gt;0,'Attrition Modeling'!$N$9,0))),0))</f>
        <v>688.82525707687216</v>
      </c>
      <c r="BF81" s="799">
        <f>IF(BF$69=$F81+1,IF(Monthly!BB$4=TRUE,0,Monthly!BB$17),IF(BF$69&gt;$F81+1,BE81*(1-IF(BF$69-$F81&lt;=12,SUMIFS('Attrition Modeling'!$D:$D,'Attrition Modeling'!$B:$B,$E81,'Attrition Modeling'!$C:$C,BF$68),VLOOKUP(BF$69-$F81-1,$A$7:$C$161,2,FALSE)*VLOOKUP(BF$1,'Attrition Modeling'!$L$15:$N$27,IF(BF$2-$F14&lt;=24,2,3),FALSE))*(1+Projection!BH$16)*(1+IF(BF146&gt;0,'Attrition Modeling'!$N$9,0))),0))</f>
        <v>670.43986278820432</v>
      </c>
      <c r="BG81" s="799">
        <f>IF(BG$69=$F81+1,IF(Monthly!BC$4=TRUE,0,Monthly!BC$17),IF(BG$69&gt;$F81+1,BF81*(1-IF(BG$69-$F81&lt;=12,SUMIFS('Attrition Modeling'!$D:$D,'Attrition Modeling'!$B:$B,$E81,'Attrition Modeling'!$C:$C,BG$68),VLOOKUP(BG$69-$F81-1,$A$7:$C$161,2,FALSE)*VLOOKUP(BG$1,'Attrition Modeling'!$L$15:$N$27,IF(BG$2-$F14&lt;=24,2,3),FALSE))*(1+Projection!BI$16)*(1+IF(BG146&gt;0,'Attrition Modeling'!$N$9,0))),0))</f>
        <v>656.35301239948683</v>
      </c>
      <c r="BH81" s="799">
        <f>IF(BH$69=$F81+1,IF(Monthly!BD$4=TRUE,0,Monthly!BD$17),IF(BH$69&gt;$F81+1,BG81*(1-IF(BH$69-$F81&lt;=12,SUMIFS('Attrition Modeling'!$D:$D,'Attrition Modeling'!$B:$B,$E81,'Attrition Modeling'!$C:$C,BH$68),VLOOKUP(BH$69-$F81-1,$A$7:$C$161,2,FALSE)*VLOOKUP(BH$1,'Attrition Modeling'!$L$15:$N$27,IF(BH$2-$F14&lt;=24,2,3),FALSE))*(1+Projection!BJ$16)*(1+IF(BH146&gt;0,'Attrition Modeling'!$N$9,0))),0))</f>
        <v>636.5732494814348</v>
      </c>
      <c r="BI81" s="799">
        <f>IF(BI$69=$F81+1,IF(Monthly!BE$4=TRUE,0,Monthly!BE$17),IF(BI$69&gt;$F81+1,BH81*(1-IF(BI$69-$F81&lt;=12,SUMIFS('Attrition Modeling'!$D:$D,'Attrition Modeling'!$B:$B,$E81,'Attrition Modeling'!$C:$C,BI$68),VLOOKUP(BI$69-$F81-1,$A$7:$C$161,2,FALSE)*VLOOKUP(BI$1,'Attrition Modeling'!$L$15:$N$27,IF(BI$2-$F14&lt;=24,2,3),FALSE))*(1+Projection!BK$16)*(1+IF(BI146&gt;0,'Attrition Modeling'!$N$9,0))),0))</f>
        <v>618.50733945279421</v>
      </c>
      <c r="BJ81" s="799">
        <f>IF(BJ$69=$F81+1,IF(Monthly!BF$4=TRUE,0,Monthly!BF$17),IF(BJ$69&gt;$F81+1,BI81*(1-IF(BJ$69-$F81&lt;=12,SUMIFS('Attrition Modeling'!$D:$D,'Attrition Modeling'!$B:$B,$E81,'Attrition Modeling'!$C:$C,BJ$68),VLOOKUP(BJ$69-$F81-1,$A$7:$C$161,2,FALSE)*VLOOKUP(BJ$1,'Attrition Modeling'!$L$15:$N$27,IF(BJ$2-$F14&lt;=24,2,3),FALSE))*(1+Projection!BL$16)*(1+IF(BJ146&gt;0,'Attrition Modeling'!$N$9,0))),0))</f>
        <v>599.56786772920134</v>
      </c>
      <c r="BK81" s="799">
        <f>IF(BK$69=$F81+1,IF(Monthly!BG$4=TRUE,0,Monthly!BG$17),IF(BK$69&gt;$F81+1,BJ81*(1-IF(BK$69-$F81&lt;=12,SUMIFS('Attrition Modeling'!$D:$D,'Attrition Modeling'!$B:$B,$E81,'Attrition Modeling'!$C:$C,BK$68),VLOOKUP(BK$69-$F81-1,$A$7:$C$161,2,FALSE)*VLOOKUP(BK$1,'Attrition Modeling'!$L$15:$N$27,IF(BK$2-$F14&lt;=24,2,3),FALSE))*(1+Projection!BM$16)*(1+IF(BK146&gt;0,'Attrition Modeling'!$N$9,0))),0))</f>
        <v>580.04055753077841</v>
      </c>
      <c r="BL81" s="799">
        <f>IF(BL$69=$F81+1,IF(Monthly!BH$4=TRUE,0,Monthly!BH$17),IF(BL$69&gt;$F81+1,BK81*(1-IF(BL$69-$F81&lt;=12,SUMIFS('Attrition Modeling'!$D:$D,'Attrition Modeling'!$B:$B,$E81,'Attrition Modeling'!$C:$C,BL$68),VLOOKUP(BL$69-$F81-1,$A$7:$C$161,2,FALSE)*VLOOKUP(BL$1,'Attrition Modeling'!$L$15:$N$27,IF(BL$2-$F14&lt;=24,2,3),FALSE))*(1+Projection!BN$16)*(1+IF(BL146&gt;0,'Attrition Modeling'!$N$9,0))),0))</f>
        <v>562.46685683389285</v>
      </c>
      <c r="BM81" s="799">
        <f>IF(BM$69=$F81+1,IF(Monthly!BI$4=TRUE,0,Monthly!BI$17),IF(BM$69&gt;$F81+1,BL81*(1-IF(BM$69-$F81&lt;=12,SUMIFS('Attrition Modeling'!$D:$D,'Attrition Modeling'!$B:$B,$E81,'Attrition Modeling'!$C:$C,BM$68),VLOOKUP(BM$69-$F81-1,$A$7:$C$161,2,FALSE)*VLOOKUP(BM$1,'Attrition Modeling'!$L$15:$N$27,IF(BM$2-$F14&lt;=24,2,3),FALSE))*(1+Projection!BO$16)*(1+IF(BM146&gt;0,'Attrition Modeling'!$N$9,0))),0))</f>
        <v>546.16547069686612</v>
      </c>
      <c r="BN81" s="799">
        <f>IF(BN$69=$F81+1,IF(Monthly!BJ$4=TRUE,0,Monthly!BJ$17),IF(BN$69&gt;$F81+1,BM81*(1-IF(BN$69-$F81&lt;=12,SUMIFS('Attrition Modeling'!$D:$D,'Attrition Modeling'!$B:$B,$E81,'Attrition Modeling'!$C:$C,BN$68),VLOOKUP(BN$69-$F81-1,$A$7:$C$161,2,FALSE)*VLOOKUP(BN$1,'Attrition Modeling'!$L$15:$N$27,IF(BN$2-$F14&lt;=24,2,3),FALSE))*(1+Projection!BP$16)*(1+IF(BN146&gt;0,'Attrition Modeling'!$N$9,0))),0))</f>
        <v>530.83660721094668</v>
      </c>
      <c r="BO81" s="799">
        <f>IF(BO$69=$F81+1,IF(Monthly!BK$4=TRUE,0,Monthly!BK$17),IF(BO$69&gt;$F81+1,BN81*(1-IF(BO$69-$F81&lt;=12,SUMIFS('Attrition Modeling'!$D:$D,'Attrition Modeling'!$B:$B,$E81,'Attrition Modeling'!$C:$C,BO$68),VLOOKUP(BO$69-$F81-1,$A$7:$C$161,2,FALSE)*VLOOKUP(BO$1,'Attrition Modeling'!$L$15:$N$27,IF(BO$2-$F14&lt;=24,2,3),FALSE))*(1+Projection!BV$16)*(1+IF(BO146&gt;0,'Attrition Modeling'!$N$9,0))),0))</f>
        <v>518.75241377914847</v>
      </c>
      <c r="BP81" s="799">
        <f>IF(BP$69=$F81+1,IF(Monthly!BL$4=TRUE,0,Monthly!BL$17),IF(BP$69&gt;$F81+1,BO81*(1-IF(BP$69-$F81&lt;=12,SUMIFS('Attrition Modeling'!$D:$D,'Attrition Modeling'!$B:$B,$E81,'Attrition Modeling'!$C:$C,BP$68),VLOOKUP(BP$69-$F81-1,$A$7:$C$161,2,FALSE)*VLOOKUP(BP$1,'Attrition Modeling'!$L$15:$N$27,IF(BP$2-$F14&lt;=24,2,3),FALSE))*(1+Projection!BW$16)*(1+IF(BP146&gt;0,'Attrition Modeling'!$N$9,0))),0))</f>
        <v>505.79805790148561</v>
      </c>
      <c r="BQ81" s="799">
        <f>IF(BQ$69=$F81+1,IF(Monthly!BM$4=TRUE,0,Monthly!BM$17),IF(BQ$69&gt;$F81+1,BP81*(1-IF(BQ$69-$F81&lt;=12,SUMIFS('Attrition Modeling'!$D:$D,'Attrition Modeling'!$B:$B,$E81,'Attrition Modeling'!$C:$C,BQ$68),VLOOKUP(BQ$69-$F81-1,$A$7:$C$161,2,FALSE)*VLOOKUP(BQ$1,'Attrition Modeling'!$L$15:$N$27,IF(BQ$2-$F14&lt;=24,2,3),FALSE))*(1+Projection!BX$16)*(1+IF(BQ146&gt;0,'Attrition Modeling'!$N$9,0))),0))</f>
        <v>493.67413753175049</v>
      </c>
      <c r="BR81" s="799">
        <f>IF(BR$69=$F81+1,IF(Monthly!BN$4=TRUE,0,Monthly!BN$17),IF(BR$69&gt;$F81+1,BQ81*(1-IF(BR$69-$F81&lt;=12,SUMIFS('Attrition Modeling'!$D:$D,'Attrition Modeling'!$B:$B,$E81,'Attrition Modeling'!$C:$C,BR$68),VLOOKUP(BR$69-$F81-1,$A$7:$C$161,2,FALSE)*VLOOKUP(BR$1,'Attrition Modeling'!$L$15:$N$27,IF(BR$2-$F14&lt;=24,2,3),FALSE))*(1+Projection!BY$16)*(1+IF(BR146&gt;0,'Attrition Modeling'!$N$9,0))),0))</f>
        <v>482.43972007995166</v>
      </c>
      <c r="BS81" s="799">
        <f>IF(BS$69=$F81+1,IF(Monthly!BO$4=TRUE,0,Monthly!BO$17),IF(BS$69&gt;$F81+1,BR81*(1-IF(BS$69-$F81&lt;=12,SUMIFS('Attrition Modeling'!$D:$D,'Attrition Modeling'!$B:$B,$E81,'Attrition Modeling'!$C:$C,BS$68),VLOOKUP(BS$69-$F81-1,$A$7:$C$161,2,FALSE)*VLOOKUP(BS$1,'Attrition Modeling'!$L$15:$N$27,IF(BS$2-$F14&lt;=24,2,3),FALSE))*(1+Projection!BZ$16)*(1+IF(BS146&gt;0,'Attrition Modeling'!$N$9,0))),0))</f>
        <v>473.78608004317272</v>
      </c>
      <c r="BT81" s="799">
        <f>IF(BT$69=$F81+1,IF(Monthly!#REF!=TRUE,0,Monthly!#REF!),IF(BT$69&gt;$F81+1,BS81*(1-IF(BT$69-$F81&lt;=12,SUMIFS('Attrition Modeling'!$D:$D,'Attrition Modeling'!$B:$B,$E81,'Attrition Modeling'!$C:$C,BT$68),VLOOKUP(BT$69-$F81-1,$A$7:$C$161,2,FALSE)*VLOOKUP(BT$1,'Attrition Modeling'!$L$15:$N$27,IF(BT$2-$F14&lt;=24,2,3),FALSE))*(1+Projection!CA$16)*(1+IF(BT146&gt;0,'Attrition Modeling'!$N$9,0))),0))</f>
        <v>461.58234108908943</v>
      </c>
      <c r="BU81" s="799">
        <f>IF(BU$69=$F81+1,IF(Monthly!#REF!=TRUE,0,Monthly!#REF!),IF(BU$69&gt;$F81+1,BT81*(1-IF(BU$69-$F81&lt;=12,SUMIFS('Attrition Modeling'!$D:$D,'Attrition Modeling'!$B:$B,$E81,'Attrition Modeling'!$C:$C,BU$68),VLOOKUP(BU$69-$F81-1,$A$7:$C$161,2,FALSE)*VLOOKUP(BU$1,'Attrition Modeling'!$L$15:$N$27,IF(BU$2-$F14&lt;=24,2,3),FALSE))*(1+Projection!CB$16)*(1+IF(BU146&gt;0,'Attrition Modeling'!$N$9,0))),0))</f>
        <v>450.37288416410109</v>
      </c>
    </row>
    <row r="82" spans="1:73" ht="14.25" customHeight="1" x14ac:dyDescent="0.2">
      <c r="A82" s="9">
        <v>75</v>
      </c>
      <c r="B82" s="25">
        <f>MAX('Attrition Modeling'!H79,$C$3)*(1-Summary!$C$20)</f>
        <v>2.0624298657156349E-2</v>
      </c>
      <c r="C82" s="24" t="e">
        <f t="shared" si="4"/>
        <v>#DIV/0!</v>
      </c>
      <c r="E82" s="11">
        <f t="shared" si="9"/>
        <v>12</v>
      </c>
      <c r="F82" s="11">
        <f t="shared" si="10"/>
        <v>12</v>
      </c>
      <c r="G82" s="799"/>
      <c r="H82" s="799">
        <f>IF(H$69=$F82+1,IF(Monthly!D$4=TRUE,0,Monthly!D$17),IF(H$69&gt;$F82+1,G82*(1-IF(H$69-$F82&lt;=12,SUMIFS('Attrition Modeling'!$D:$D,'Attrition Modeling'!$B:$B,$E82,'Attrition Modeling'!$C:$C,H$68),VLOOKUP(H$69-$F82-1,$A$7:$C$161,2,FALSE)*VLOOKUP(H$1,'Attrition Modeling'!$L$15:$N$27,IF(H$2-$F15&lt;=24,2,3),FALSE))*(1+Projection!J$16)*(1+IF(H147&gt;0,'Attrition Modeling'!$N$9,0))),0))</f>
        <v>0</v>
      </c>
      <c r="I82" s="799">
        <f>IF(I$69=$F82+1,IF(Monthly!E$4=TRUE,0,Monthly!E$17),IF(I$69&gt;$F82+1,H82*(1-IF(I$69-$F82&lt;=12,SUMIFS('Attrition Modeling'!$D:$D,'Attrition Modeling'!$B:$B,$E82,'Attrition Modeling'!$C:$C,I$68),VLOOKUP(I$69-$F82-1,$A$7:$C$161,2,FALSE)*VLOOKUP(I$1,'Attrition Modeling'!$L$15:$N$27,IF(I$2-$F15&lt;=24,2,3),FALSE))*(1+Projection!K$16)*(1+IF(I147&gt;0,'Attrition Modeling'!$N$9,0))),0))</f>
        <v>0</v>
      </c>
      <c r="J82" s="799">
        <f>IF(J$69=$F82+1,IF(Monthly!F$4=TRUE,0,Monthly!F$17),IF(J$69&gt;$F82+1,I82*(1-IF(J$69-$F82&lt;=12,SUMIFS('Attrition Modeling'!$D:$D,'Attrition Modeling'!$B:$B,$E82,'Attrition Modeling'!$C:$C,J$68),VLOOKUP(J$69-$F82-1,$A$7:$C$161,2,FALSE)*VLOOKUP(J$1,'Attrition Modeling'!$L$15:$N$27,IF(J$2-$F15&lt;=24,2,3),FALSE))*(1+Projection!L$16)*(1+IF(J147&gt;0,'Attrition Modeling'!$N$9,0))),0))</f>
        <v>0</v>
      </c>
      <c r="K82" s="799">
        <f>IF(K$69=$F82+1,IF(Monthly!G$4=TRUE,0,Monthly!G$17),IF(K$69&gt;$F82+1,J82*(1-IF(K$69-$F82&lt;=12,SUMIFS('Attrition Modeling'!$D:$D,'Attrition Modeling'!$B:$B,$E82,'Attrition Modeling'!$C:$C,K$68),VLOOKUP(K$69-$F82-1,$A$7:$C$161,2,FALSE)*VLOOKUP(K$1,'Attrition Modeling'!$L$15:$N$27,IF(K$2-$F15&lt;=24,2,3),FALSE))*(1+Projection!M$16)*(1+IF(K147&gt;0,'Attrition Modeling'!$N$9,0))),0))</f>
        <v>0</v>
      </c>
      <c r="L82" s="799">
        <f>IF(L$69=$F82+1,IF(Monthly!H$4=TRUE,0,Monthly!H$17),IF(L$69&gt;$F82+1,K82*(1-IF(L$69-$F82&lt;=12,SUMIFS('Attrition Modeling'!$D:$D,'Attrition Modeling'!$B:$B,$E82,'Attrition Modeling'!$C:$C,L$68),VLOOKUP(L$69-$F82-1,$A$7:$C$161,2,FALSE)*VLOOKUP(L$1,'Attrition Modeling'!$L$15:$N$27,IF(L$2-$F15&lt;=24,2,3),FALSE))*(1+Projection!N$16)*(1+IF(L147&gt;0,'Attrition Modeling'!$N$9,0))),0))</f>
        <v>0</v>
      </c>
      <c r="M82" s="799">
        <f>IF(M$69=$F82+1,IF(Monthly!I$4=TRUE,0,Monthly!I$17),IF(M$69&gt;$F82+1,L82*(1-IF(M$69-$F82&lt;=12,SUMIFS('Attrition Modeling'!$D:$D,'Attrition Modeling'!$B:$B,$E82,'Attrition Modeling'!$C:$C,M$68),VLOOKUP(M$69-$F82-1,$A$7:$C$161,2,FALSE)*VLOOKUP(M$1,'Attrition Modeling'!$L$15:$N$27,IF(M$2-$F15&lt;=24,2,3),FALSE))*(1+Projection!O$16)*(1+IF(M147&gt;0,'Attrition Modeling'!$N$9,0))),0))</f>
        <v>0</v>
      </c>
      <c r="N82" s="799">
        <f>IF(N$69=$F82+1,IF(Monthly!J$4=TRUE,0,Monthly!J$17),IF(N$69&gt;$F82+1,M82*(1-IF(N$69-$F82&lt;=12,SUMIFS('Attrition Modeling'!$D:$D,'Attrition Modeling'!$B:$B,$E82,'Attrition Modeling'!$C:$C,N$68),VLOOKUP(N$69-$F82-1,$A$7:$C$161,2,FALSE)*VLOOKUP(N$1,'Attrition Modeling'!$L$15:$N$27,IF(N$2-$F15&lt;=24,2,3),FALSE))*(1+Projection!P$16)*(1+IF(N147&gt;0,'Attrition Modeling'!$N$9,0))),0))</f>
        <v>0</v>
      </c>
      <c r="O82" s="799">
        <f>IF(O$69=$F82+1,IF(Monthly!K$4=TRUE,0,Monthly!K$17),IF(O$69&gt;$F82+1,N82*(1-IF(O$69-$F82&lt;=12,SUMIFS('Attrition Modeling'!$D:$D,'Attrition Modeling'!$B:$B,$E82,'Attrition Modeling'!$C:$C,O$68),VLOOKUP(O$69-$F82-1,$A$7:$C$161,2,FALSE)*VLOOKUP(O$1,'Attrition Modeling'!$L$15:$N$27,IF(O$2-$F15&lt;=24,2,3),FALSE))*(1+Projection!Q$16)*(1+IF(O147&gt;0,'Attrition Modeling'!$N$9,0))),0))</f>
        <v>0</v>
      </c>
      <c r="P82" s="799">
        <f>IF(P$69=$F82+1,IF(Monthly!L$4=TRUE,0,Monthly!L$17),IF(P$69&gt;$F82+1,O82*(1-IF(P$69-$F82&lt;=12,SUMIFS('Attrition Modeling'!$D:$D,'Attrition Modeling'!$B:$B,$E82,'Attrition Modeling'!$C:$C,P$68),VLOOKUP(P$69-$F82-1,$A$7:$C$161,2,FALSE)*VLOOKUP(P$1,'Attrition Modeling'!$L$15:$N$27,IF(P$2-$F15&lt;=24,2,3),FALSE))*(1+Projection!R$16)*(1+IF(P147&gt;0,'Attrition Modeling'!$N$9,0))),0))</f>
        <v>0</v>
      </c>
      <c r="Q82" s="799">
        <f>IF(Q$69=$F82+1,IF(Monthly!M$4=TRUE,0,Monthly!M$17),IF(Q$69&gt;$F82+1,P82*(1-IF(Q$69-$F82&lt;=12,SUMIFS('Attrition Modeling'!$D:$D,'Attrition Modeling'!$B:$B,$E82,'Attrition Modeling'!$C:$C,Q$68),VLOOKUP(Q$69-$F82-1,$A$7:$C$161,2,FALSE)*VLOOKUP(Q$1,'Attrition Modeling'!$L$15:$N$27,IF(Q$2-$F15&lt;=24,2,3),FALSE))*(1+Projection!S$16)*(1+IF(Q147&gt;0,'Attrition Modeling'!$N$9,0))),0))</f>
        <v>0</v>
      </c>
      <c r="R82" s="799">
        <f>IF(R$69=$F82+1,IF(Monthly!N$4=TRUE,0,Monthly!N$17),IF(R$69&gt;$F82+1,Q82*(1-IF(R$69-$F82&lt;=12,SUMIFS('Attrition Modeling'!$D:$D,'Attrition Modeling'!$B:$B,$E82,'Attrition Modeling'!$C:$C,R$68),VLOOKUP(R$69-$F82-1,$A$7:$C$161,2,FALSE)*VLOOKUP(R$1,'Attrition Modeling'!$L$15:$N$27,IF(R$2-$F15&lt;=24,2,3),FALSE))*(1+Projection!T$16)*(1+IF(R147&gt;0,'Attrition Modeling'!$N$9,0))),0))</f>
        <v>0</v>
      </c>
      <c r="S82" s="799">
        <f>IF(S$69=$F82+1,IF(Monthly!O$4=TRUE,0,Monthly!O$17),IF(S$69&gt;$F82+1,R82*(1-IF(S$69-$F82&lt;=12,SUMIFS('Attrition Modeling'!$D:$D,'Attrition Modeling'!$B:$B,$E82,'Attrition Modeling'!$C:$C,S$68),VLOOKUP(S$69-$F82-1,$A$7:$C$161,2,FALSE)*VLOOKUP(S$1,'Attrition Modeling'!$L$15:$N$27,IF(S$2-$F15&lt;=24,2,3),FALSE))*(1+Projection!U$16)*(1+IF(S147&gt;0,'Attrition Modeling'!$N$9,0))),0))</f>
        <v>0</v>
      </c>
      <c r="T82" s="799">
        <f>IF(T$69=$F82+1,IF(Monthly!P$4=TRUE,0,Monthly!P$17),IF(T$69&gt;$F82+1,S82*(1-IF(T$69-$F82&lt;=12,SUMIFS('Attrition Modeling'!$D:$D,'Attrition Modeling'!$B:$B,$E82,'Attrition Modeling'!$C:$C,T$68),VLOOKUP(T$69-$F82-1,$A$7:$C$161,2,FALSE)*VLOOKUP(T$1,'Attrition Modeling'!$L$15:$N$27,IF(T$2-$F15&lt;=24,2,3),FALSE))*(1+Projection!V$16)*(1+IF(T147&gt;0,'Attrition Modeling'!$N$9,0))),0))</f>
        <v>5006.7510743401399</v>
      </c>
      <c r="U82" s="799">
        <f>IF(U$69=$F82+1,IF(Monthly!Q$4=TRUE,0,Monthly!Q$17),IF(U$69&gt;$F82+1,T82*(1-IF(U$69-$F82&lt;=12,SUMIFS('Attrition Modeling'!$D:$D,'Attrition Modeling'!$B:$B,$E82,'Attrition Modeling'!$C:$C,U$68),VLOOKUP(U$69-$F82-1,$A$7:$C$161,2,FALSE)*VLOOKUP(U$1,'Attrition Modeling'!$L$15:$N$27,IF(U$2-$F15&lt;=24,2,3),FALSE))*(1+Projection!W$16)*(1+IF(U147&gt;0,'Attrition Modeling'!$N$9,0))),0))</f>
        <v>4531.3513480846741</v>
      </c>
      <c r="V82" s="799">
        <f>IF(V$69=$F82+1,IF(Monthly!R$4=TRUE,0,Monthly!R$17),IF(V$69&gt;$F82+1,U82*(1-IF(V$69-$F82&lt;=12,SUMIFS('Attrition Modeling'!$D:$D,'Attrition Modeling'!$B:$B,$E82,'Attrition Modeling'!$C:$C,V$68),VLOOKUP(V$69-$F82-1,$A$7:$C$161,2,FALSE)*VLOOKUP(V$1,'Attrition Modeling'!$L$15:$N$27,IF(V$2-$F15&lt;=24,2,3),FALSE))*(1+Projection!X$16)*(1+IF(V147&gt;0,'Attrition Modeling'!$N$9,0))),0))</f>
        <v>4138.6665246812763</v>
      </c>
      <c r="W82" s="799">
        <f>IF(W$69=$F82+1,IF(Monthly!S$4=TRUE,0,Monthly!S$17),IF(W$69&gt;$F82+1,V82*(1-IF(W$69-$F82&lt;=12,SUMIFS('Attrition Modeling'!$D:$D,'Attrition Modeling'!$B:$B,$E82,'Attrition Modeling'!$C:$C,W$68),VLOOKUP(W$69-$F82-1,$A$7:$C$161,2,FALSE)*VLOOKUP(W$1,'Attrition Modeling'!$L$15:$N$27,IF(W$2-$F15&lt;=24,2,3),FALSE))*(1+Projection!Y$16)*(1+IF(W147&gt;0,'Attrition Modeling'!$N$9,0))),0))</f>
        <v>3768.7298721993739</v>
      </c>
      <c r="X82" s="799">
        <f>IF(X$69=$F82+1,IF(Monthly!T$4=TRUE,0,Monthly!T$17),IF(X$69&gt;$F82+1,W82*(1-IF(X$69-$F82&lt;=12,SUMIFS('Attrition Modeling'!$D:$D,'Attrition Modeling'!$B:$B,$E82,'Attrition Modeling'!$C:$C,X$68),VLOOKUP(X$69-$F82-1,$A$7:$C$161,2,FALSE)*VLOOKUP(X$1,'Attrition Modeling'!$L$15:$N$27,IF(X$2-$F15&lt;=24,2,3),FALSE))*(1+Projection!Z$16)*(1+IF(X147&gt;0,'Attrition Modeling'!$N$9,0))),0))</f>
        <v>3447.4635520612701</v>
      </c>
      <c r="Y82" s="799">
        <f>IF(Y$69=$F82+1,IF(Monthly!U$4=TRUE,0,Monthly!U$17),IF(Y$69&gt;$F82+1,X82*(1-IF(Y$69-$F82&lt;=12,SUMIFS('Attrition Modeling'!$D:$D,'Attrition Modeling'!$B:$B,$E82,'Attrition Modeling'!$C:$C,Y$68),VLOOKUP(Y$69-$F82-1,$A$7:$C$161,2,FALSE)*VLOOKUP(Y$1,'Attrition Modeling'!$L$15:$N$27,IF(Y$2-$F15&lt;=24,2,3),FALSE))*(1+Projection!AA$16)*(1+IF(Y147&gt;0,'Attrition Modeling'!$N$9,0))),0))</f>
        <v>3135.3248240145012</v>
      </c>
      <c r="Z82" s="799">
        <f>IF(Z$69=$F82+1,IF(Monthly!V$4=TRUE,0,Monthly!V$17),IF(Z$69&gt;$F82+1,Y82*(1-IF(Z$69-$F82&lt;=12,SUMIFS('Attrition Modeling'!$D:$D,'Attrition Modeling'!$B:$B,$E82,'Attrition Modeling'!$C:$C,Z$68),VLOOKUP(Z$69-$F82-1,$A$7:$C$161,2,FALSE)*VLOOKUP(Z$1,'Attrition Modeling'!$L$15:$N$27,IF(Z$2-$F15&lt;=24,2,3),FALSE))*(1+Projection!AB$16)*(1+IF(Z147&gt;0,'Attrition Modeling'!$N$9,0))),0))</f>
        <v>2898.779678308259</v>
      </c>
      <c r="AA82" s="799">
        <f>IF(AA$69=$F82+1,IF(Monthly!W$4=TRUE,0,Monthly!W$17),IF(AA$69&gt;$F82+1,Z82*(1-IF(AA$69-$F82&lt;=12,SUMIFS('Attrition Modeling'!$D:$D,'Attrition Modeling'!$B:$B,$E82,'Attrition Modeling'!$C:$C,AA$68),VLOOKUP(AA$69-$F82-1,$A$7:$C$161,2,FALSE)*VLOOKUP(AA$1,'Attrition Modeling'!$L$15:$N$27,IF(AA$2-$F15&lt;=24,2,3),FALSE))*(1+Projection!AC$16)*(1+IF(AA147&gt;0,'Attrition Modeling'!$N$9,0))),0))</f>
        <v>2688.7870345349684</v>
      </c>
      <c r="AB82" s="799">
        <f>IF(AB$69=$F82+1,IF(Monthly!X$4=TRUE,0,Monthly!X$17),IF(AB$69&gt;$F82+1,AA82*(1-IF(AB$69-$F82&lt;=12,SUMIFS('Attrition Modeling'!$D:$D,'Attrition Modeling'!$B:$B,$E82,'Attrition Modeling'!$C:$C,AB$68),VLOOKUP(AB$69-$F82-1,$A$7:$C$161,2,FALSE)*VLOOKUP(AB$1,'Attrition Modeling'!$L$15:$N$27,IF(AB$2-$F15&lt;=24,2,3),FALSE))*(1+Projection!AD$16)*(1+IF(AB147&gt;0,'Attrition Modeling'!$N$9,0))),0))</f>
        <v>2518.3029868895396</v>
      </c>
      <c r="AC82" s="799">
        <f>IF(AC$69=$F82+1,IF(Monthly!Y$4=TRUE,0,Monthly!Y$17),IF(AC$69&gt;$F82+1,AB82*(1-IF(AC$69-$F82&lt;=12,SUMIFS('Attrition Modeling'!$D:$D,'Attrition Modeling'!$B:$B,$E82,'Attrition Modeling'!$C:$C,AC$68),VLOOKUP(AC$69-$F82-1,$A$7:$C$161,2,FALSE)*VLOOKUP(AC$1,'Attrition Modeling'!$L$15:$N$27,IF(AC$2-$F15&lt;=24,2,3),FALSE))*(1+Projection!AE$16)*(1+IF(AC147&gt;0,'Attrition Modeling'!$N$9,0))),0))</f>
        <v>2363.4570439880481</v>
      </c>
      <c r="AD82" s="799">
        <f>IF(AD$69=$F82+1,IF(Monthly!Z$4=TRUE,0,Monthly!Z$17),IF(AD$69&gt;$F82+1,AC82*(1-IF(AD$69-$F82&lt;=12,SUMIFS('Attrition Modeling'!$D:$D,'Attrition Modeling'!$B:$B,$E82,'Attrition Modeling'!$C:$C,AD$68),VLOOKUP(AD$69-$F82-1,$A$7:$C$161,2,FALSE)*VLOOKUP(AD$1,'Attrition Modeling'!$L$15:$N$27,IF(AD$2-$F15&lt;=24,2,3),FALSE))*(1+Projection!AF$16)*(1+IF(AD147&gt;0,'Attrition Modeling'!$N$9,0))),0))</f>
        <v>2233.3683504099713</v>
      </c>
      <c r="AE82" s="799">
        <f>IF(AE$69=$F82+1,IF(Monthly!AA$4=TRUE,0,Monthly!AA$17),IF(AE$69&gt;$F82+1,AD82*(1-IF(AE$69-$F82&lt;=12,SUMIFS('Attrition Modeling'!$D:$D,'Attrition Modeling'!$B:$B,$E82,'Attrition Modeling'!$C:$C,AE$68),VLOOKUP(AE$69-$F82-1,$A$7:$C$161,2,FALSE)*VLOOKUP(AE$1,'Attrition Modeling'!$L$15:$N$27,IF(AE$2-$F15&lt;=24,2,3),FALSE))*(1+Projection!AG$16)*(1+IF(AE147&gt;0,'Attrition Modeling'!$N$9,0))),0))</f>
        <v>2163.8074130944324</v>
      </c>
      <c r="AF82" s="799">
        <f>IF(AF$69=$F82+1,IF(Monthly!AB$4=TRUE,0,Monthly!AB$17),IF(AF$69&gt;$F82+1,AE82*(1-IF(AF$69-$F82&lt;=12,SUMIFS('Attrition Modeling'!$D:$D,'Attrition Modeling'!$B:$B,$E82,'Attrition Modeling'!$C:$C,AF$68),VLOOKUP(AF$69-$F82-1,$A$7:$C$161,2,FALSE)*VLOOKUP(AF$1,'Attrition Modeling'!$L$15:$N$27,IF(AF$2-$F15&lt;=24,2,3),FALSE))*(1+Projection!AH$16)*(1+IF(AF147&gt;0,'Attrition Modeling'!$N$9,0))),0))</f>
        <v>2047.3168965490472</v>
      </c>
      <c r="AG82" s="799">
        <f>IF(AG$69=$F82+1,IF(Monthly!AC$4=TRUE,0,Monthly!AC$17),IF(AG$69&gt;$F82+1,AF82*(1-IF(AG$69-$F82&lt;=12,SUMIFS('Attrition Modeling'!$D:$D,'Attrition Modeling'!$B:$B,$E82,'Attrition Modeling'!$C:$C,AG$68),VLOOKUP(AG$69-$F82-1,$A$7:$C$161,2,FALSE)*VLOOKUP(AG$1,'Attrition Modeling'!$L$15:$N$27,IF(AG$2-$F15&lt;=24,2,3),FALSE))*(1+Projection!AI$16)*(1+IF(AG147&gt;0,'Attrition Modeling'!$N$9,0))),0))</f>
        <v>1955.5675268170974</v>
      </c>
      <c r="AH82" s="799">
        <f>IF(AH$69=$F82+1,IF(Monthly!AD$4=TRUE,0,Monthly!AD$17),IF(AH$69&gt;$F82+1,AG82*(1-IF(AH$69-$F82&lt;=12,SUMIFS('Attrition Modeling'!$D:$D,'Attrition Modeling'!$B:$B,$E82,'Attrition Modeling'!$C:$C,AH$68),VLOOKUP(AH$69-$F82-1,$A$7:$C$161,2,FALSE)*VLOOKUP(AH$1,'Attrition Modeling'!$L$15:$N$27,IF(AH$2-$F15&lt;=24,2,3),FALSE))*(1+Projection!AJ$16)*(1+IF(AH147&gt;0,'Attrition Modeling'!$N$9,0))),0))</f>
        <v>1864.8397621569511</v>
      </c>
      <c r="AI82" s="799">
        <f>IF(AI$69=$F82+1,IF(Monthly!AE$4=TRUE,0,Monthly!AE$17),IF(AI$69&gt;$F82+1,AH82*(1-IF(AI$69-$F82&lt;=12,SUMIFS('Attrition Modeling'!$D:$D,'Attrition Modeling'!$B:$B,$E82,'Attrition Modeling'!$C:$C,AI$68),VLOOKUP(AI$69-$F82-1,$A$7:$C$161,2,FALSE)*VLOOKUP(AI$1,'Attrition Modeling'!$L$15:$N$27,IF(AI$2-$F15&lt;=24,2,3),FALSE))*(1+Projection!AK$16)*(1+IF(AI147&gt;0,'Attrition Modeling'!$N$9,0))),0))</f>
        <v>1782.8799706361117</v>
      </c>
      <c r="AJ82" s="799">
        <f>IF(AJ$69=$F82+1,IF(Monthly!AF$4=TRUE,0,Monthly!AF$17),IF(AJ$69&gt;$F82+1,AI82*(1-IF(AJ$69-$F82&lt;=12,SUMIFS('Attrition Modeling'!$D:$D,'Attrition Modeling'!$B:$B,$E82,'Attrition Modeling'!$C:$C,AJ$68),VLOOKUP(AJ$69-$F82-1,$A$7:$C$161,2,FALSE)*VLOOKUP(AJ$1,'Attrition Modeling'!$L$15:$N$27,IF(AJ$2-$F15&lt;=24,2,3),FALSE))*(1+Projection!AL$16)*(1+IF(AJ147&gt;0,'Attrition Modeling'!$N$9,0))),0))</f>
        <v>1707.3698826097675</v>
      </c>
      <c r="AK82" s="799">
        <f>IF(AK$69=$F82+1,IF(Monthly!AG$4=TRUE,0,Monthly!AG$17),IF(AK$69&gt;$F82+1,AJ82*(1-IF(AK$69-$F82&lt;=12,SUMIFS('Attrition Modeling'!$D:$D,'Attrition Modeling'!$B:$B,$E82,'Attrition Modeling'!$C:$C,AK$68),VLOOKUP(AK$69-$F82-1,$A$7:$C$161,2,FALSE)*VLOOKUP(AK$1,'Attrition Modeling'!$L$15:$N$27,IF(AK$2-$F15&lt;=24,2,3),FALSE))*(1+Projection!AM$16)*(1+IF(AK147&gt;0,'Attrition Modeling'!$N$9,0))),0))</f>
        <v>1614.4611127206965</v>
      </c>
      <c r="AL82" s="799">
        <f>IF(AL$69=$F82+1,IF(Monthly!AH$4=TRUE,0,Monthly!AH$17),IF(AL$69&gt;$F82+1,AK82*(1-IF(AL$69-$F82&lt;=12,SUMIFS('Attrition Modeling'!$D:$D,'Attrition Modeling'!$B:$B,$E82,'Attrition Modeling'!$C:$C,AL$68),VLOOKUP(AL$69-$F82-1,$A$7:$C$161,2,FALSE)*VLOOKUP(AL$1,'Attrition Modeling'!$L$15:$N$27,IF(AL$2-$F15&lt;=24,2,3),FALSE))*(1+Projection!AN$16)*(1+IF(AL147&gt;0,'Attrition Modeling'!$N$9,0))),0))</f>
        <v>1541.1258333030639</v>
      </c>
      <c r="AM82" s="799">
        <f>IF(AM$69=$F82+1,IF(Monthly!AI$4=TRUE,0,Monthly!AI$17),IF(AM$69&gt;$F82+1,AL82*(1-IF(AM$69-$F82&lt;=12,SUMIFS('Attrition Modeling'!$D:$D,'Attrition Modeling'!$B:$B,$E82,'Attrition Modeling'!$C:$C,AM$68),VLOOKUP(AM$69-$F82-1,$A$7:$C$161,2,FALSE)*VLOOKUP(AM$1,'Attrition Modeling'!$L$15:$N$27,IF(AM$2-$F15&lt;=24,2,3),FALSE))*(1+Projection!AO$16)*(1+IF(AM147&gt;0,'Attrition Modeling'!$N$9,0))),0))</f>
        <v>1469.4145321422691</v>
      </c>
      <c r="AN82" s="799">
        <f>IF(AN$69=$F82+1,IF(Monthly!AJ$4=TRUE,0,Monthly!AJ$17),IF(AN$69&gt;$F82+1,AM82*(1-IF(AN$69-$F82&lt;=12,SUMIFS('Attrition Modeling'!$D:$D,'Attrition Modeling'!$B:$B,$E82,'Attrition Modeling'!$C:$C,AN$68),VLOOKUP(AN$69-$F82-1,$A$7:$C$161,2,FALSE)*VLOOKUP(AN$1,'Attrition Modeling'!$L$15:$N$27,IF(AN$2-$F15&lt;=24,2,3),FALSE))*(1+Projection!AP$16)*(1+IF(AN147&gt;0,'Attrition Modeling'!$N$9,0))),0))</f>
        <v>1408.1310780725867</v>
      </c>
      <c r="AO82" s="799">
        <f>IF(AO$69=$F82+1,IF(Monthly!AK$4=TRUE,0,Monthly!AK$17),IF(AO$69&gt;$F82+1,AN82*(1-IF(AO$69-$F82&lt;=12,SUMIFS('Attrition Modeling'!$D:$D,'Attrition Modeling'!$B:$B,$E82,'Attrition Modeling'!$C:$C,AO$68),VLOOKUP(AO$69-$F82-1,$A$7:$C$161,2,FALSE)*VLOOKUP(AO$1,'Attrition Modeling'!$L$15:$N$27,IF(AO$2-$F15&lt;=24,2,3),FALSE))*(1+Projection!AQ$16)*(1+IF(AO147&gt;0,'Attrition Modeling'!$N$9,0))),0))</f>
        <v>1348.9789646634918</v>
      </c>
      <c r="AP82" s="799">
        <f>IF(AP$69=$F82+1,IF(Monthly!AL$4=TRUE,0,Monthly!AL$17),IF(AP$69&gt;$F82+1,AO82*(1-IF(AP$69-$F82&lt;=12,SUMIFS('Attrition Modeling'!$D:$D,'Attrition Modeling'!$B:$B,$E82,'Attrition Modeling'!$C:$C,AP$68),VLOOKUP(AP$69-$F82-1,$A$7:$C$161,2,FALSE)*VLOOKUP(AP$1,'Attrition Modeling'!$L$15:$N$27,IF(AP$2-$F15&lt;=24,2,3),FALSE))*(1+Projection!AR$16)*(1+IF(AP147&gt;0,'Attrition Modeling'!$N$9,0))),0))</f>
        <v>1295.2443597277925</v>
      </c>
      <c r="AQ82" s="799">
        <f>IF(AQ$69=$F82+1,IF(Monthly!AM$4=TRUE,0,Monthly!AM$17),IF(AQ$69&gt;$F82+1,AP82*(1-IF(AQ$69-$F82&lt;=12,SUMIFS('Attrition Modeling'!$D:$D,'Attrition Modeling'!$B:$B,$E82,'Attrition Modeling'!$C:$C,AQ$68),VLOOKUP(AQ$69-$F82-1,$A$7:$C$161,2,FALSE)*VLOOKUP(AQ$1,'Attrition Modeling'!$L$15:$N$27,IF(AQ$2-$F15&lt;=24,2,3),FALSE))*(1+Projection!AS$16)*(1+IF(AQ147&gt;0,'Attrition Modeling'!$N$9,0))),0))</f>
        <v>1244.8677339146377</v>
      </c>
      <c r="AR82" s="799">
        <f>IF(AR$69=$F82+1,IF(Monthly!AN$4=TRUE,0,Monthly!AN$17),IF(AR$69&gt;$F82+1,AQ82*(1-IF(AR$69-$F82&lt;=12,SUMIFS('Attrition Modeling'!$D:$D,'Attrition Modeling'!$B:$B,$E82,'Attrition Modeling'!$C:$C,AR$68),VLOOKUP(AR$69-$F82-1,$A$7:$C$161,2,FALSE)*VLOOKUP(AR$1,'Attrition Modeling'!$L$15:$N$27,IF(AR$2-$F15&lt;=24,2,3),FALSE))*(1+Projection!AT$16)*(1+IF(AR147&gt;0,'Attrition Modeling'!$N$9,0))),0))</f>
        <v>1200.1983662059615</v>
      </c>
      <c r="AS82" s="799">
        <f>IF(AS$69=$F82+1,IF(Monthly!AO$4=TRUE,0,Monthly!AO$17),IF(AS$69&gt;$F82+1,AR82*(1-IF(AS$69-$F82&lt;=12,SUMIFS('Attrition Modeling'!$D:$D,'Attrition Modeling'!$B:$B,$E82,'Attrition Modeling'!$C:$C,AS$68),VLOOKUP(AS$69-$F82-1,$A$7:$C$161,2,FALSE)*VLOOKUP(AS$1,'Attrition Modeling'!$L$15:$N$27,IF(AS$2-$F15&lt;=24,2,3),FALSE))*(1+Projection!AU$16)*(1+IF(AS147&gt;0,'Attrition Modeling'!$N$9,0))),0))</f>
        <v>1159.0640129113658</v>
      </c>
      <c r="AT82" s="799">
        <f>IF(AT$69=$F82+1,IF(Monthly!AP$4=TRUE,0,Monthly!AP$17),IF(AT$69&gt;$F82+1,AS82*(1-IF(AT$69-$F82&lt;=12,SUMIFS('Attrition Modeling'!$D:$D,'Attrition Modeling'!$B:$B,$E82,'Attrition Modeling'!$C:$C,AT$68),VLOOKUP(AT$69-$F82-1,$A$7:$C$161,2,FALSE)*VLOOKUP(AT$1,'Attrition Modeling'!$L$15:$N$27,IF(AT$2-$F15&lt;=24,2,3),FALSE))*(1+Projection!AV$16)*(1+IF(AT147&gt;0,'Attrition Modeling'!$N$9,0))),0))</f>
        <v>1121.5246369069353</v>
      </c>
      <c r="AU82" s="799">
        <f>IF(AU$69=$F82+1,IF(Monthly!AQ$4=TRUE,0,Monthly!AQ$17),IF(AU$69&gt;$F82+1,AT82*(1-IF(AU$69-$F82&lt;=12,SUMIFS('Attrition Modeling'!$D:$D,'Attrition Modeling'!$B:$B,$E82,'Attrition Modeling'!$C:$C,AU$68),VLOOKUP(AU$69-$F82-1,$A$7:$C$161,2,FALSE)*VLOOKUP(AU$1,'Attrition Modeling'!$L$15:$N$27,IF(AU$2-$F15&lt;=24,2,3),FALSE))*(1+Projection!AW$16)*(1+IF(AU147&gt;0,'Attrition Modeling'!$N$9,0))),0))</f>
        <v>1093.0186316882034</v>
      </c>
      <c r="AV82" s="799">
        <f>IF(AV$69=$F82+1,IF(Monthly!AR$4=TRUE,0,Monthly!AR$17),IF(AV$69&gt;$F82+1,AU82*(1-IF(AV$69-$F82&lt;=12,SUMIFS('Attrition Modeling'!$D:$D,'Attrition Modeling'!$B:$B,$E82,'Attrition Modeling'!$C:$C,AV$68),VLOOKUP(AV$69-$F82-1,$A$7:$C$161,2,FALSE)*VLOOKUP(AV$1,'Attrition Modeling'!$L$15:$N$27,IF(AV$2-$F15&lt;=24,2,3),FALSE))*(1+Projection!AX$16)*(1+IF(AV147&gt;0,'Attrition Modeling'!$N$9,0))),0))</f>
        <v>1059.9100565624028</v>
      </c>
      <c r="AW82" s="799">
        <f>IF(AW$69=$F82+1,IF(Monthly!AS$4=TRUE,0,Monthly!AS$17),IF(AW$69&gt;$F82+1,AV82*(1-IF(AW$69-$F82&lt;=12,SUMIFS('Attrition Modeling'!$D:$D,'Attrition Modeling'!$B:$B,$E82,'Attrition Modeling'!$C:$C,AW$68),VLOOKUP(AW$69-$F82-1,$A$7:$C$161,2,FALSE)*VLOOKUP(AW$1,'Attrition Modeling'!$L$15:$N$27,IF(AW$2-$F15&lt;=24,2,3),FALSE))*(1+Projection!AY$16)*(1+IF(AW147&gt;0,'Attrition Modeling'!$N$9,0))),0))</f>
        <v>1016.4908090300709</v>
      </c>
      <c r="AX82" s="799">
        <f>IF(AX$69=$F82+1,IF(Monthly!AT$4=TRUE,0,Monthly!AT$17),IF(AX$69&gt;$F82+1,AW82*(1-IF(AX$69-$F82&lt;=12,SUMIFS('Attrition Modeling'!$D:$D,'Attrition Modeling'!$B:$B,$E82,'Attrition Modeling'!$C:$C,AX$68),VLOOKUP(AX$69-$F82-1,$A$7:$C$161,2,FALSE)*VLOOKUP(AX$1,'Attrition Modeling'!$L$15:$N$27,IF(AX$2-$F15&lt;=24,2,3),FALSE))*(1+Projection!AZ$16)*(1+IF(AX147&gt;0,'Attrition Modeling'!$N$9,0))),0))</f>
        <v>979.14652193755978</v>
      </c>
      <c r="AY82" s="799">
        <f>IF(AY$69=$F82+1,IF(Monthly!AU$4=TRUE,0,Monthly!AU$17),IF(AY$69&gt;$F82+1,AX82*(1-IF(AY$69-$F82&lt;=12,SUMIFS('Attrition Modeling'!$D:$D,'Attrition Modeling'!$B:$B,$E82,'Attrition Modeling'!$C:$C,AY$68),VLOOKUP(AY$69-$F82-1,$A$7:$C$161,2,FALSE)*VLOOKUP(AY$1,'Attrition Modeling'!$L$15:$N$27,IF(AY$2-$F15&lt;=24,2,3),FALSE))*(1+Projection!BA$16)*(1+IF(AY147&gt;0,'Attrition Modeling'!$N$9,0))),0))</f>
        <v>940.97947102720775</v>
      </c>
      <c r="AZ82" s="799">
        <f>IF(AZ$69=$F82+1,IF(Monthly!AV$4=TRUE,0,Monthly!AV$17),IF(AZ$69&gt;$F82+1,AY82*(1-IF(AZ$69-$F82&lt;=12,SUMIFS('Attrition Modeling'!$D:$D,'Attrition Modeling'!$B:$B,$E82,'Attrition Modeling'!$C:$C,AZ$68),VLOOKUP(AZ$69-$F82-1,$A$7:$C$161,2,FALSE)*VLOOKUP(AZ$1,'Attrition Modeling'!$L$15:$N$27,IF(AZ$2-$F15&lt;=24,2,3),FALSE))*(1+Projection!BB$16)*(1+IF(AZ147&gt;0,'Attrition Modeling'!$N$9,0))),0))</f>
        <v>906.93721204504789</v>
      </c>
      <c r="BA82" s="799">
        <f>IF(BA$69=$F82+1,IF(Monthly!AW$4=TRUE,0,Monthly!AW$17),IF(BA$69&gt;$F82+1,AZ82*(1-IF(BA$69-$F82&lt;=12,SUMIFS('Attrition Modeling'!$D:$D,'Attrition Modeling'!$B:$B,$E82,'Attrition Modeling'!$C:$C,BA$68),VLOOKUP(BA$69-$F82-1,$A$7:$C$161,2,FALSE)*VLOOKUP(BA$1,'Attrition Modeling'!$L$15:$N$27,IF(BA$2-$F15&lt;=24,2,3),FALSE))*(1+Projection!BC$16)*(1+IF(BA147&gt;0,'Attrition Modeling'!$N$9,0))),0))</f>
        <v>875.61965052829794</v>
      </c>
      <c r="BB82" s="799">
        <f>IF(BB$69=$F82+1,IF(Monthly!AX$4=TRUE,0,Monthly!AX$17),IF(BB$69&gt;$F82+1,BA82*(1-IF(BB$69-$F82&lt;=12,SUMIFS('Attrition Modeling'!$D:$D,'Attrition Modeling'!$B:$B,$E82,'Attrition Modeling'!$C:$C,BB$68),VLOOKUP(BB$69-$F82-1,$A$7:$C$161,2,FALSE)*VLOOKUP(BB$1,'Attrition Modeling'!$L$15:$N$27,IF(BB$2-$F15&lt;=24,2,3),FALSE))*(1+Projection!BD$16)*(1+IF(BB147&gt;0,'Attrition Modeling'!$N$9,0))),0))</f>
        <v>846.39942169691835</v>
      </c>
      <c r="BC82" s="799">
        <f>IF(BC$69=$F82+1,IF(Monthly!AY$4=TRUE,0,Monthly!AY$17),IF(BC$69&gt;$F82+1,BB82*(1-IF(BC$69-$F82&lt;=12,SUMIFS('Attrition Modeling'!$D:$D,'Attrition Modeling'!$B:$B,$E82,'Attrition Modeling'!$C:$C,BC$68),VLOOKUP(BC$69-$F82-1,$A$7:$C$161,2,FALSE)*VLOOKUP(BC$1,'Attrition Modeling'!$L$15:$N$27,IF(BC$2-$F15&lt;=24,2,3),FALSE))*(1+Projection!BE$16)*(1+IF(BC147&gt;0,'Attrition Modeling'!$N$9,0))),0))</f>
        <v>823.38034547174561</v>
      </c>
      <c r="BD82" s="799">
        <f>IF(BD$69=$F82+1,IF(Monthly!AZ$4=TRUE,0,Monthly!AZ$17),IF(BD$69&gt;$F82+1,BC82*(1-IF(BD$69-$F82&lt;=12,SUMIFS('Attrition Modeling'!$D:$D,'Attrition Modeling'!$B:$B,$E82,'Attrition Modeling'!$C:$C,BD$68),VLOOKUP(BD$69-$F82-1,$A$7:$C$161,2,FALSE)*VLOOKUP(BD$1,'Attrition Modeling'!$L$15:$N$27,IF(BD$2-$F15&lt;=24,2,3),FALSE))*(1+Projection!BF$16)*(1+IF(BD147&gt;0,'Attrition Modeling'!$N$9,0))),0))</f>
        <v>798.85750355054472</v>
      </c>
      <c r="BE82" s="799">
        <f>IF(BE$69=$F82+1,IF(Monthly!BA$4=TRUE,0,Monthly!BA$17),IF(BE$69&gt;$F82+1,BD82*(1-IF(BE$69-$F82&lt;=12,SUMIFS('Attrition Modeling'!$D:$D,'Attrition Modeling'!$B:$B,$E82,'Attrition Modeling'!$C:$C,BE$68),VLOOKUP(BE$69-$F82-1,$A$7:$C$161,2,FALSE)*VLOOKUP(BE$1,'Attrition Modeling'!$L$15:$N$27,IF(BE$2-$F15&lt;=24,2,3),FALSE))*(1+Projection!BG$16)*(1+IF(BE147&gt;0,'Attrition Modeling'!$N$9,0))),0))</f>
        <v>776.05674293223308</v>
      </c>
      <c r="BF82" s="799">
        <f>IF(BF$69=$F82+1,IF(Monthly!BB$4=TRUE,0,Monthly!BB$17),IF(BF$69&gt;$F82+1,BE82*(1-IF(BF$69-$F82&lt;=12,SUMIFS('Attrition Modeling'!$D:$D,'Attrition Modeling'!$B:$B,$E82,'Attrition Modeling'!$C:$C,BF$68),VLOOKUP(BF$69-$F82-1,$A$7:$C$161,2,FALSE)*VLOOKUP(BF$1,'Attrition Modeling'!$L$15:$N$27,IF(BF$2-$F15&lt;=24,2,3),FALSE))*(1+Projection!BH$16)*(1+IF(BF147&gt;0,'Attrition Modeling'!$N$9,0))),0))</f>
        <v>755.05983502223444</v>
      </c>
      <c r="BG82" s="799">
        <f>IF(BG$69=$F82+1,IF(Monthly!BC$4=TRUE,0,Monthly!BC$17),IF(BG$69&gt;$F82+1,BF82*(1-IF(BG$69-$F82&lt;=12,SUMIFS('Attrition Modeling'!$D:$D,'Attrition Modeling'!$B:$B,$E82,'Attrition Modeling'!$C:$C,BG$68),VLOOKUP(BG$69-$F82-1,$A$7:$C$161,2,FALSE)*VLOOKUP(BG$1,'Attrition Modeling'!$L$15:$N$27,IF(BG$2-$F15&lt;=24,2,3),FALSE))*(1+Projection!BI$16)*(1+IF(BG147&gt;0,'Attrition Modeling'!$N$9,0))),0))</f>
        <v>738.98071718516826</v>
      </c>
      <c r="BH82" s="799">
        <f>IF(BH$69=$F82+1,IF(Monthly!BD$4=TRUE,0,Monthly!BD$17),IF(BH$69&gt;$F82+1,BG82*(1-IF(BH$69-$F82&lt;=12,SUMIFS('Attrition Modeling'!$D:$D,'Attrition Modeling'!$B:$B,$E82,'Attrition Modeling'!$C:$C,BH$68),VLOOKUP(BH$69-$F82-1,$A$7:$C$161,2,FALSE)*VLOOKUP(BH$1,'Attrition Modeling'!$L$15:$N$27,IF(BH$2-$F15&lt;=24,2,3),FALSE))*(1+Projection!BJ$16)*(1+IF(BH147&gt;0,'Attrition Modeling'!$N$9,0))),0))</f>
        <v>720.17479387123308</v>
      </c>
      <c r="BI82" s="799">
        <f>IF(BI$69=$F82+1,IF(Monthly!BE$4=TRUE,0,Monthly!BE$17),IF(BI$69&gt;$F82+1,BH82*(1-IF(BI$69-$F82&lt;=12,SUMIFS('Attrition Modeling'!$D:$D,'Attrition Modeling'!$B:$B,$E82,'Attrition Modeling'!$C:$C,BI$68),VLOOKUP(BI$69-$F82-1,$A$7:$C$161,2,FALSE)*VLOOKUP(BI$1,'Attrition Modeling'!$L$15:$N$27,IF(BI$2-$F15&lt;=24,2,3),FALSE))*(1+Projection!BK$16)*(1+IF(BI147&gt;0,'Attrition Modeling'!$N$9,0))),0))</f>
        <v>695.3248367956387</v>
      </c>
      <c r="BJ82" s="799">
        <f>IF(BJ$69=$F82+1,IF(Monthly!BF$4=TRUE,0,Monthly!BF$17),IF(BJ$69&gt;$F82+1,BI82*(1-IF(BJ$69-$F82&lt;=12,SUMIFS('Attrition Modeling'!$D:$D,'Attrition Modeling'!$B:$B,$E82,'Attrition Modeling'!$C:$C,BJ$68),VLOOKUP(BJ$69-$F82-1,$A$7:$C$161,2,FALSE)*VLOOKUP(BJ$1,'Attrition Modeling'!$L$15:$N$27,IF(BJ$2-$F15&lt;=24,2,3),FALSE))*(1+Projection!BL$16)*(1+IF(BJ147&gt;0,'Attrition Modeling'!$N$9,0))),0))</f>
        <v>673.75510411699872</v>
      </c>
      <c r="BK82" s="799">
        <f>IF(BK$69=$F82+1,IF(Monthly!BG$4=TRUE,0,Monthly!BG$17),IF(BK$69&gt;$F82+1,BJ82*(1-IF(BK$69-$F82&lt;=12,SUMIFS('Attrition Modeling'!$D:$D,'Attrition Modeling'!$B:$B,$E82,'Attrition Modeling'!$C:$C,BK$68),VLOOKUP(BK$69-$F82-1,$A$7:$C$161,2,FALSE)*VLOOKUP(BK$1,'Attrition Modeling'!$L$15:$N$27,IF(BK$2-$F15&lt;=24,2,3),FALSE))*(1+Projection!BM$16)*(1+IF(BK147&gt;0,'Attrition Modeling'!$N$9,0))),0))</f>
        <v>651.52803842057119</v>
      </c>
      <c r="BL82" s="799">
        <f>IF(BL$69=$F82+1,IF(Monthly!BH$4=TRUE,0,Monthly!BH$17),IF(BL$69&gt;$F82+1,BK82*(1-IF(BL$69-$F82&lt;=12,SUMIFS('Attrition Modeling'!$D:$D,'Attrition Modeling'!$B:$B,$E82,'Attrition Modeling'!$C:$C,BL$68),VLOOKUP(BL$69-$F82-1,$A$7:$C$161,2,FALSE)*VLOOKUP(BL$1,'Attrition Modeling'!$L$15:$N$27,IF(BL$2-$F15&lt;=24,2,3),FALSE))*(1+Projection!BN$16)*(1+IF(BL147&gt;0,'Attrition Modeling'!$N$9,0))),0))</f>
        <v>631.53592378585552</v>
      </c>
      <c r="BM82" s="799">
        <f>IF(BM$69=$F82+1,IF(Monthly!BI$4=TRUE,0,Monthly!BI$17),IF(BM$69&gt;$F82+1,BL82*(1-IF(BM$69-$F82&lt;=12,SUMIFS('Attrition Modeling'!$D:$D,'Attrition Modeling'!$B:$B,$E82,'Attrition Modeling'!$C:$C,BM$68),VLOOKUP(BM$69-$F82-1,$A$7:$C$161,2,FALSE)*VLOOKUP(BM$1,'Attrition Modeling'!$L$15:$N$27,IF(BM$2-$F15&lt;=24,2,3),FALSE))*(1+Projection!BO$16)*(1+IF(BM147&gt;0,'Attrition Modeling'!$N$9,0))),0))</f>
        <v>613.0008714617486</v>
      </c>
      <c r="BN82" s="799">
        <f>IF(BN$69=$F82+1,IF(Monthly!BJ$4=TRUE,0,Monthly!BJ$17),IF(BN$69&gt;$F82+1,BM82*(1-IF(BN$69-$F82&lt;=12,SUMIFS('Attrition Modeling'!$D:$D,'Attrition Modeling'!$B:$B,$E82,'Attrition Modeling'!$C:$C,BN$68),VLOOKUP(BN$69-$F82-1,$A$7:$C$161,2,FALSE)*VLOOKUP(BN$1,'Attrition Modeling'!$L$15:$N$27,IF(BN$2-$F15&lt;=24,2,3),FALSE))*(1+Projection!BP$16)*(1+IF(BN147&gt;0,'Attrition Modeling'!$N$9,0))),0))</f>
        <v>595.58020180372148</v>
      </c>
      <c r="BO82" s="799">
        <f>IF(BO$69=$F82+1,IF(Monthly!BK$4=TRUE,0,Monthly!BK$17),IF(BO$69&gt;$F82+1,BN82*(1-IF(BO$69-$F82&lt;=12,SUMIFS('Attrition Modeling'!$D:$D,'Attrition Modeling'!$B:$B,$E82,'Attrition Modeling'!$C:$C,BO$68),VLOOKUP(BO$69-$F82-1,$A$7:$C$161,2,FALSE)*VLOOKUP(BO$1,'Attrition Modeling'!$L$15:$N$27,IF(BO$2-$F15&lt;=24,2,3),FALSE))*(1+Projection!BV$16)*(1+IF(BO147&gt;0,'Attrition Modeling'!$N$9,0))),0))</f>
        <v>581.76060982289619</v>
      </c>
      <c r="BP82" s="799">
        <f>IF(BP$69=$F82+1,IF(Monthly!BL$4=TRUE,0,Monthly!BL$17),IF(BP$69&gt;$F82+1,BO82*(1-IF(BP$69-$F82&lt;=12,SUMIFS('Attrition Modeling'!$D:$D,'Attrition Modeling'!$B:$B,$E82,'Attrition Modeling'!$C:$C,BP$68),VLOOKUP(BP$69-$F82-1,$A$7:$C$161,2,FALSE)*VLOOKUP(BP$1,'Attrition Modeling'!$L$15:$N$27,IF(BP$2-$F15&lt;=24,2,3),FALSE))*(1+Projection!BW$16)*(1+IF(BP147&gt;0,'Attrition Modeling'!$N$9,0))),0))</f>
        <v>567.05120656348709</v>
      </c>
      <c r="BQ82" s="799">
        <f>IF(BQ$69=$F82+1,IF(Monthly!BM$4=TRUE,0,Monthly!BM$17),IF(BQ$69&gt;$F82+1,BP82*(1-IF(BQ$69-$F82&lt;=12,SUMIFS('Attrition Modeling'!$D:$D,'Attrition Modeling'!$B:$B,$E82,'Attrition Modeling'!$C:$C,BQ$68),VLOOKUP(BQ$69-$F82-1,$A$7:$C$161,2,FALSE)*VLOOKUP(BQ$1,'Attrition Modeling'!$L$15:$N$27,IF(BQ$2-$F15&lt;=24,2,3),FALSE))*(1+Projection!BX$16)*(1+IF(BQ147&gt;0,'Attrition Modeling'!$N$9,0))),0))</f>
        <v>553.29052144029811</v>
      </c>
      <c r="BR82" s="799">
        <f>IF(BR$69=$F82+1,IF(Monthly!BN$4=TRUE,0,Monthly!BN$17),IF(BR$69&gt;$F82+1,BQ82*(1-IF(BR$69-$F82&lt;=12,SUMIFS('Attrition Modeling'!$D:$D,'Attrition Modeling'!$B:$B,$E82,'Attrition Modeling'!$C:$C,BR$68),VLOOKUP(BR$69-$F82-1,$A$7:$C$161,2,FALSE)*VLOOKUP(BR$1,'Attrition Modeling'!$L$15:$N$27,IF(BR$2-$F15&lt;=24,2,3),FALSE))*(1+Projection!BY$16)*(1+IF(BR147&gt;0,'Attrition Modeling'!$N$9,0))),0))</f>
        <v>540.54451651386148</v>
      </c>
      <c r="BS82" s="799">
        <f>IF(BS$69=$F82+1,IF(Monthly!BO$4=TRUE,0,Monthly!BO$17),IF(BS$69&gt;$F82+1,BR82*(1-IF(BS$69-$F82&lt;=12,SUMIFS('Attrition Modeling'!$D:$D,'Attrition Modeling'!$B:$B,$E82,'Attrition Modeling'!$C:$C,BS$68),VLOOKUP(BS$69-$F82-1,$A$7:$C$161,2,FALSE)*VLOOKUP(BS$1,'Attrition Modeling'!$L$15:$N$27,IF(BS$2-$F15&lt;=24,2,3),FALSE))*(1+Projection!BZ$16)*(1+IF(BS147&gt;0,'Attrition Modeling'!$N$9,0))),0))</f>
        <v>530.73023273359104</v>
      </c>
      <c r="BT82" s="799">
        <f>IF(BT$69=$F82+1,IF(Monthly!#REF!=TRUE,0,Monthly!#REF!),IF(BT$69&gt;$F82+1,BS82*(1-IF(BT$69-$F82&lt;=12,SUMIFS('Attrition Modeling'!$D:$D,'Attrition Modeling'!$B:$B,$E82,'Attrition Modeling'!$C:$C,BT$68),VLOOKUP(BT$69-$F82-1,$A$7:$C$161,2,FALSE)*VLOOKUP(BT$1,'Attrition Modeling'!$L$15:$N$27,IF(BT$2-$F15&lt;=24,2,3),FALSE))*(1+Projection!CA$16)*(1+IF(BT147&gt;0,'Attrition Modeling'!$N$9,0))),0))</f>
        <v>519.20002643092857</v>
      </c>
      <c r="BU82" s="799">
        <f>IF(BU$69=$F82+1,IF(Monthly!#REF!=TRUE,0,Monthly!#REF!),IF(BU$69&gt;$F82+1,BT82*(1-IF(BU$69-$F82&lt;=12,SUMIFS('Attrition Modeling'!$D:$D,'Attrition Modeling'!$B:$B,$E82,'Attrition Modeling'!$C:$C,BU$68),VLOOKUP(BU$69-$F82-1,$A$7:$C$161,2,FALSE)*VLOOKUP(BU$1,'Attrition Modeling'!$L$15:$N$27,IF(BU$2-$F15&lt;=24,2,3),FALSE))*(1+Projection!CB$16)*(1+IF(BU147&gt;0,'Attrition Modeling'!$N$9,0))),0))</f>
        <v>503.88740854571222</v>
      </c>
    </row>
    <row r="83" spans="1:73" ht="14.25" customHeight="1" x14ac:dyDescent="0.2">
      <c r="A83" s="9">
        <v>76</v>
      </c>
      <c r="B83" s="25">
        <f>MAX('Attrition Modeling'!H80,$C$3)*(1-Summary!$C$20)</f>
        <v>2.0451962362866477E-2</v>
      </c>
      <c r="C83" s="24" t="e">
        <f t="shared" si="4"/>
        <v>#DIV/0!</v>
      </c>
      <c r="E83" s="11">
        <f t="shared" si="9"/>
        <v>1</v>
      </c>
      <c r="F83" s="11">
        <f t="shared" si="10"/>
        <v>13</v>
      </c>
      <c r="G83" s="799"/>
      <c r="H83" s="799">
        <f>IF(H$69=$F83+1,IF(Monthly!D$4=TRUE,0,Monthly!D$17),IF(H$69&gt;$F83+1,G83*(1-IF(H$69-$F83&lt;=12,SUMIFS('Attrition Modeling'!$D:$D,'Attrition Modeling'!$B:$B,$E83,'Attrition Modeling'!$C:$C,H$68),VLOOKUP(H$69-$F83-1,$A$7:$C$161,2,FALSE)*VLOOKUP(H$1,'Attrition Modeling'!$L$15:$N$27,IF(H$2-$F16&lt;=24,2,3),FALSE))*(1+Projection!J$16)*(1+IF(H148&gt;0,'Attrition Modeling'!$N$9,0))),0))</f>
        <v>0</v>
      </c>
      <c r="I83" s="799">
        <f>IF(I$69=$F83+1,IF(Monthly!E$4=TRUE,0,Monthly!E$17),IF(I$69&gt;$F83+1,H83*(1-IF(I$69-$F83&lt;=12,SUMIFS('Attrition Modeling'!$D:$D,'Attrition Modeling'!$B:$B,$E83,'Attrition Modeling'!$C:$C,I$68),VLOOKUP(I$69-$F83-1,$A$7:$C$161,2,FALSE)*VLOOKUP(I$1,'Attrition Modeling'!$L$15:$N$27,IF(I$2-$F16&lt;=24,2,3),FALSE))*(1+Projection!K$16)*(1+IF(I148&gt;0,'Attrition Modeling'!$N$9,0))),0))</f>
        <v>0</v>
      </c>
      <c r="J83" s="799">
        <f>IF(J$69=$F83+1,IF(Monthly!F$4=TRUE,0,Monthly!F$17),IF(J$69&gt;$F83+1,I83*(1-IF(J$69-$F83&lt;=12,SUMIFS('Attrition Modeling'!$D:$D,'Attrition Modeling'!$B:$B,$E83,'Attrition Modeling'!$C:$C,J$68),VLOOKUP(J$69-$F83-1,$A$7:$C$161,2,FALSE)*VLOOKUP(J$1,'Attrition Modeling'!$L$15:$N$27,IF(J$2-$F16&lt;=24,2,3),FALSE))*(1+Projection!L$16)*(1+IF(J148&gt;0,'Attrition Modeling'!$N$9,0))),0))</f>
        <v>0</v>
      </c>
      <c r="K83" s="799">
        <f>IF(K$69=$F83+1,IF(Monthly!G$4=TRUE,0,Monthly!G$17),IF(K$69&gt;$F83+1,J83*(1-IF(K$69-$F83&lt;=12,SUMIFS('Attrition Modeling'!$D:$D,'Attrition Modeling'!$B:$B,$E83,'Attrition Modeling'!$C:$C,K$68),VLOOKUP(K$69-$F83-1,$A$7:$C$161,2,FALSE)*VLOOKUP(K$1,'Attrition Modeling'!$L$15:$N$27,IF(K$2-$F16&lt;=24,2,3),FALSE))*(1+Projection!M$16)*(1+IF(K148&gt;0,'Attrition Modeling'!$N$9,0))),0))</f>
        <v>0</v>
      </c>
      <c r="L83" s="799">
        <f>IF(L$69=$F83+1,IF(Monthly!H$4=TRUE,0,Monthly!H$17),IF(L$69&gt;$F83+1,K83*(1-IF(L$69-$F83&lt;=12,SUMIFS('Attrition Modeling'!$D:$D,'Attrition Modeling'!$B:$B,$E83,'Attrition Modeling'!$C:$C,L$68),VLOOKUP(L$69-$F83-1,$A$7:$C$161,2,FALSE)*VLOOKUP(L$1,'Attrition Modeling'!$L$15:$N$27,IF(L$2-$F16&lt;=24,2,3),FALSE))*(1+Projection!N$16)*(1+IF(L148&gt;0,'Attrition Modeling'!$N$9,0))),0))</f>
        <v>0</v>
      </c>
      <c r="M83" s="799">
        <f>IF(M$69=$F83+1,IF(Monthly!I$4=TRUE,0,Monthly!I$17),IF(M$69&gt;$F83+1,L83*(1-IF(M$69-$F83&lt;=12,SUMIFS('Attrition Modeling'!$D:$D,'Attrition Modeling'!$B:$B,$E83,'Attrition Modeling'!$C:$C,M$68),VLOOKUP(M$69-$F83-1,$A$7:$C$161,2,FALSE)*VLOOKUP(M$1,'Attrition Modeling'!$L$15:$N$27,IF(M$2-$F16&lt;=24,2,3),FALSE))*(1+Projection!O$16)*(1+IF(M148&gt;0,'Attrition Modeling'!$N$9,0))),0))</f>
        <v>0</v>
      </c>
      <c r="N83" s="799">
        <f>IF(N$69=$F83+1,IF(Monthly!J$4=TRUE,0,Monthly!J$17),IF(N$69&gt;$F83+1,M83*(1-IF(N$69-$F83&lt;=12,SUMIFS('Attrition Modeling'!$D:$D,'Attrition Modeling'!$B:$B,$E83,'Attrition Modeling'!$C:$C,N$68),VLOOKUP(N$69-$F83-1,$A$7:$C$161,2,FALSE)*VLOOKUP(N$1,'Attrition Modeling'!$L$15:$N$27,IF(N$2-$F16&lt;=24,2,3),FALSE))*(1+Projection!P$16)*(1+IF(N148&gt;0,'Attrition Modeling'!$N$9,0))),0))</f>
        <v>0</v>
      </c>
      <c r="O83" s="799">
        <f>IF(O$69=$F83+1,IF(Monthly!K$4=TRUE,0,Monthly!K$17),IF(O$69&gt;$F83+1,N83*(1-IF(O$69-$F83&lt;=12,SUMIFS('Attrition Modeling'!$D:$D,'Attrition Modeling'!$B:$B,$E83,'Attrition Modeling'!$C:$C,O$68),VLOOKUP(O$69-$F83-1,$A$7:$C$161,2,FALSE)*VLOOKUP(O$1,'Attrition Modeling'!$L$15:$N$27,IF(O$2-$F16&lt;=24,2,3),FALSE))*(1+Projection!Q$16)*(1+IF(O148&gt;0,'Attrition Modeling'!$N$9,0))),0))</f>
        <v>0</v>
      </c>
      <c r="P83" s="799">
        <f>IF(P$69=$F83+1,IF(Monthly!L$4=TRUE,0,Monthly!L$17),IF(P$69&gt;$F83+1,O83*(1-IF(P$69-$F83&lt;=12,SUMIFS('Attrition Modeling'!$D:$D,'Attrition Modeling'!$B:$B,$E83,'Attrition Modeling'!$C:$C,P$68),VLOOKUP(P$69-$F83-1,$A$7:$C$161,2,FALSE)*VLOOKUP(P$1,'Attrition Modeling'!$L$15:$N$27,IF(P$2-$F16&lt;=24,2,3),FALSE))*(1+Projection!R$16)*(1+IF(P148&gt;0,'Attrition Modeling'!$N$9,0))),0))</f>
        <v>0</v>
      </c>
      <c r="Q83" s="799">
        <f>IF(Q$69=$F83+1,IF(Monthly!M$4=TRUE,0,Monthly!M$17),IF(Q$69&gt;$F83+1,P83*(1-IF(Q$69-$F83&lt;=12,SUMIFS('Attrition Modeling'!$D:$D,'Attrition Modeling'!$B:$B,$E83,'Attrition Modeling'!$C:$C,Q$68),VLOOKUP(Q$69-$F83-1,$A$7:$C$161,2,FALSE)*VLOOKUP(Q$1,'Attrition Modeling'!$L$15:$N$27,IF(Q$2-$F16&lt;=24,2,3),FALSE))*(1+Projection!S$16)*(1+IF(Q148&gt;0,'Attrition Modeling'!$N$9,0))),0))</f>
        <v>0</v>
      </c>
      <c r="R83" s="799">
        <f>IF(R$69=$F83+1,IF(Monthly!N$4=TRUE,0,Monthly!N$17),IF(R$69&gt;$F83+1,Q83*(1-IF(R$69-$F83&lt;=12,SUMIFS('Attrition Modeling'!$D:$D,'Attrition Modeling'!$B:$B,$E83,'Attrition Modeling'!$C:$C,R$68),VLOOKUP(R$69-$F83-1,$A$7:$C$161,2,FALSE)*VLOOKUP(R$1,'Attrition Modeling'!$L$15:$N$27,IF(R$2-$F16&lt;=24,2,3),FALSE))*(1+Projection!T$16)*(1+IF(R148&gt;0,'Attrition Modeling'!$N$9,0))),0))</f>
        <v>0</v>
      </c>
      <c r="S83" s="799">
        <f>IF(S$69=$F83+1,IF(Monthly!O$4=TRUE,0,Monthly!O$17),IF(S$69&gt;$F83+1,R83*(1-IF(S$69-$F83&lt;=12,SUMIFS('Attrition Modeling'!$D:$D,'Attrition Modeling'!$B:$B,$E83,'Attrition Modeling'!$C:$C,S$68),VLOOKUP(S$69-$F83-1,$A$7:$C$161,2,FALSE)*VLOOKUP(S$1,'Attrition Modeling'!$L$15:$N$27,IF(S$2-$F16&lt;=24,2,3),FALSE))*(1+Projection!U$16)*(1+IF(S148&gt;0,'Attrition Modeling'!$N$9,0))),0))</f>
        <v>0</v>
      </c>
      <c r="T83" s="799">
        <f>IF(T$69=$F83+1,IF(Monthly!P$4=TRUE,0,Monthly!P$17),IF(T$69&gt;$F83+1,S83*(1-IF(T$69-$F83&lt;=12,SUMIFS('Attrition Modeling'!$D:$D,'Attrition Modeling'!$B:$B,$E83,'Attrition Modeling'!$C:$C,T$68),VLOOKUP(T$69-$F83-1,$A$7:$C$161,2,FALSE)*VLOOKUP(T$1,'Attrition Modeling'!$L$15:$N$27,IF(T$2-$F16&lt;=24,2,3),FALSE))*(1+Projection!V$16)*(1+IF(T148&gt;0,'Attrition Modeling'!$N$9,0))),0))</f>
        <v>0</v>
      </c>
      <c r="U83" s="799">
        <f>IF(U$69=$F83+1,IF(Monthly!Q$4=TRUE,0,Monthly!Q$17),IF(U$69&gt;$F83+1,T83*(1-IF(U$69-$F83&lt;=12,SUMIFS('Attrition Modeling'!$D:$D,'Attrition Modeling'!$B:$B,$E83,'Attrition Modeling'!$C:$C,U$68),VLOOKUP(U$69-$F83-1,$A$7:$C$161,2,FALSE)*VLOOKUP(U$1,'Attrition Modeling'!$L$15:$N$27,IF(U$2-$F16&lt;=24,2,3),FALSE))*(1+Projection!W$16)*(1+IF(U148&gt;0,'Attrition Modeling'!$N$9,0))),0))</f>
        <v>5012.5851375140992</v>
      </c>
      <c r="V83" s="799">
        <f>IF(V$69=$F83+1,IF(Monthly!R$4=TRUE,0,Monthly!R$17),IF(V$69&gt;$F83+1,U83*(1-IF(V$69-$F83&lt;=12,SUMIFS('Attrition Modeling'!$D:$D,'Attrition Modeling'!$B:$B,$E83,'Attrition Modeling'!$C:$C,V$68),VLOOKUP(V$69-$F83-1,$A$7:$C$161,2,FALSE)*VLOOKUP(V$1,'Attrition Modeling'!$L$15:$N$27,IF(V$2-$F16&lt;=24,2,3),FALSE))*(1+Projection!X$16)*(1+IF(V148&gt;0,'Attrition Modeling'!$N$9,0))),0))</f>
        <v>4507.548638344545</v>
      </c>
      <c r="W83" s="799">
        <f>IF(W$69=$F83+1,IF(Monthly!S$4=TRUE,0,Monthly!S$17),IF(W$69&gt;$F83+1,V83*(1-IF(W$69-$F83&lt;=12,SUMIFS('Attrition Modeling'!$D:$D,'Attrition Modeling'!$B:$B,$E83,'Attrition Modeling'!$C:$C,W$68),VLOOKUP(W$69-$F83-1,$A$7:$C$161,2,FALSE)*VLOOKUP(W$1,'Attrition Modeling'!$L$15:$N$27,IF(W$2-$F16&lt;=24,2,3),FALSE))*(1+Projection!Y$16)*(1+IF(W148&gt;0,'Attrition Modeling'!$N$9,0))),0))</f>
        <v>4131.1159944030842</v>
      </c>
      <c r="X83" s="799">
        <f>IF(X$69=$F83+1,IF(Monthly!T$4=TRUE,0,Monthly!T$17),IF(X$69&gt;$F83+1,W83*(1-IF(X$69-$F83&lt;=12,SUMIFS('Attrition Modeling'!$D:$D,'Attrition Modeling'!$B:$B,$E83,'Attrition Modeling'!$C:$C,X$68),VLOOKUP(X$69-$F83-1,$A$7:$C$161,2,FALSE)*VLOOKUP(X$1,'Attrition Modeling'!$L$15:$N$27,IF(X$2-$F16&lt;=24,2,3),FALSE))*(1+Projection!Z$16)*(1+IF(X148&gt;0,'Attrition Modeling'!$N$9,0))),0))</f>
        <v>3751.1405307766422</v>
      </c>
      <c r="Y83" s="799">
        <f>IF(Y$69=$F83+1,IF(Monthly!U$4=TRUE,0,Monthly!U$17),IF(Y$69&gt;$F83+1,X83*(1-IF(Y$69-$F83&lt;=12,SUMIFS('Attrition Modeling'!$D:$D,'Attrition Modeling'!$B:$B,$E83,'Attrition Modeling'!$C:$C,Y$68),VLOOKUP(Y$69-$F83-1,$A$7:$C$161,2,FALSE)*VLOOKUP(Y$1,'Attrition Modeling'!$L$15:$N$27,IF(Y$2-$F16&lt;=24,2,3),FALSE))*(1+Projection!AA$16)*(1+IF(Y148&gt;0,'Attrition Modeling'!$N$9,0))),0))</f>
        <v>3447.2931587668281</v>
      </c>
      <c r="Z83" s="799">
        <f>IF(Z$69=$F83+1,IF(Monthly!V$4=TRUE,0,Monthly!V$17),IF(Z$69&gt;$F83+1,Y83*(1-IF(Z$69-$F83&lt;=12,SUMIFS('Attrition Modeling'!$D:$D,'Attrition Modeling'!$B:$B,$E83,'Attrition Modeling'!$C:$C,Z$68),VLOOKUP(Z$69-$F83-1,$A$7:$C$161,2,FALSE)*VLOOKUP(Z$1,'Attrition Modeling'!$L$15:$N$27,IF(Z$2-$F16&lt;=24,2,3),FALSE))*(1+Projection!AB$16)*(1+IF(Z148&gt;0,'Attrition Modeling'!$N$9,0))),0))</f>
        <v>3092.236621304356</v>
      </c>
      <c r="AA83" s="799">
        <f>IF(AA$69=$F83+1,IF(Monthly!W$4=TRUE,0,Monthly!W$17),IF(AA$69&gt;$F83+1,Z83*(1-IF(AA$69-$F83&lt;=12,SUMIFS('Attrition Modeling'!$D:$D,'Attrition Modeling'!$B:$B,$E83,'Attrition Modeling'!$C:$C,AA$68),VLOOKUP(AA$69-$F83-1,$A$7:$C$161,2,FALSE)*VLOOKUP(AA$1,'Attrition Modeling'!$L$15:$N$27,IF(AA$2-$F16&lt;=24,2,3),FALSE))*(1+Projection!AC$16)*(1+IF(AA148&gt;0,'Attrition Modeling'!$N$9,0))),0))</f>
        <v>2856.3939915302062</v>
      </c>
      <c r="AB83" s="799">
        <f>IF(AB$69=$F83+1,IF(Monthly!X$4=TRUE,0,Monthly!X$17),IF(AB$69&gt;$F83+1,AA83*(1-IF(AB$69-$F83&lt;=12,SUMIFS('Attrition Modeling'!$D:$D,'Attrition Modeling'!$B:$B,$E83,'Attrition Modeling'!$C:$C,AB$68),VLOOKUP(AB$69-$F83-1,$A$7:$C$161,2,FALSE)*VLOOKUP(AB$1,'Attrition Modeling'!$L$15:$N$27,IF(AB$2-$F16&lt;=24,2,3),FALSE))*(1+Projection!AD$16)*(1+IF(AB148&gt;0,'Attrition Modeling'!$N$9,0))),0))</f>
        <v>2681.2104054196416</v>
      </c>
      <c r="AC83" s="799">
        <f>IF(AC$69=$F83+1,IF(Monthly!Y$4=TRUE,0,Monthly!Y$17),IF(AC$69&gt;$F83+1,AB83*(1-IF(AC$69-$F83&lt;=12,SUMIFS('Attrition Modeling'!$D:$D,'Attrition Modeling'!$B:$B,$E83,'Attrition Modeling'!$C:$C,AC$68),VLOOKUP(AC$69-$F83-1,$A$7:$C$161,2,FALSE)*VLOOKUP(AC$1,'Attrition Modeling'!$L$15:$N$27,IF(AC$2-$F16&lt;=24,2,3),FALSE))*(1+Projection!AE$16)*(1+IF(AC148&gt;0,'Attrition Modeling'!$N$9,0))),0))</f>
        <v>2509.1524147735495</v>
      </c>
      <c r="AD83" s="799">
        <f>IF(AD$69=$F83+1,IF(Monthly!Z$4=TRUE,0,Monthly!Z$17),IF(AD$69&gt;$F83+1,AC83*(1-IF(AD$69-$F83&lt;=12,SUMIFS('Attrition Modeling'!$D:$D,'Attrition Modeling'!$B:$B,$E83,'Attrition Modeling'!$C:$C,AD$68),VLOOKUP(AD$69-$F83-1,$A$7:$C$161,2,FALSE)*VLOOKUP(AD$1,'Attrition Modeling'!$L$15:$N$27,IF(AD$2-$F16&lt;=24,2,3),FALSE))*(1+Projection!AF$16)*(1+IF(AD148&gt;0,'Attrition Modeling'!$N$9,0))),0))</f>
        <v>2359.2608685520004</v>
      </c>
      <c r="AE83" s="799">
        <f>IF(AE$69=$F83+1,IF(Monthly!AA$4=TRUE,0,Monthly!AA$17),IF(AE$69&gt;$F83+1,AD83*(1-IF(AE$69-$F83&lt;=12,SUMIFS('Attrition Modeling'!$D:$D,'Attrition Modeling'!$B:$B,$E83,'Attrition Modeling'!$C:$C,AE$68),VLOOKUP(AE$69-$F83-1,$A$7:$C$161,2,FALSE)*VLOOKUP(AE$1,'Attrition Modeling'!$L$15:$N$27,IF(AE$2-$F16&lt;=24,2,3),FALSE))*(1+Projection!AG$16)*(1+IF(AE148&gt;0,'Attrition Modeling'!$N$9,0))),0))</f>
        <v>2221.2961766290773</v>
      </c>
      <c r="AF83" s="799">
        <f>IF(AF$69=$F83+1,IF(Monthly!AB$4=TRUE,0,Monthly!AB$17),IF(AF$69&gt;$F83+1,AE83*(1-IF(AF$69-$F83&lt;=12,SUMIFS('Attrition Modeling'!$D:$D,'Attrition Modeling'!$B:$B,$E83,'Attrition Modeling'!$C:$C,AF$68),VLOOKUP(AF$69-$F83-1,$A$7:$C$161,2,FALSE)*VLOOKUP(AF$1,'Attrition Modeling'!$L$15:$N$27,IF(AF$2-$F16&lt;=24,2,3),FALSE))*(1+Projection!AH$16)*(1+IF(AF148&gt;0,'Attrition Modeling'!$N$9,0))),0))</f>
        <v>2164.3433199472815</v>
      </c>
      <c r="AG83" s="799">
        <f>IF(AG$69=$F83+1,IF(Monthly!AC$4=TRUE,0,Monthly!AC$17),IF(AG$69&gt;$F83+1,AF83*(1-IF(AG$69-$F83&lt;=12,SUMIFS('Attrition Modeling'!$D:$D,'Attrition Modeling'!$B:$B,$E83,'Attrition Modeling'!$C:$C,AG$68),VLOOKUP(AG$69-$F83-1,$A$7:$C$161,2,FALSE)*VLOOKUP(AG$1,'Attrition Modeling'!$L$15:$N$27,IF(AG$2-$F16&lt;=24,2,3),FALSE))*(1+Projection!AI$16)*(1+IF(AG148&gt;0,'Attrition Modeling'!$N$9,0))),0))</f>
        <v>2059.2305755367124</v>
      </c>
      <c r="AH83" s="799">
        <f>IF(AH$69=$F83+1,IF(Monthly!AD$4=TRUE,0,Monthly!AD$17),IF(AH$69&gt;$F83+1,AG83*(1-IF(AH$69-$F83&lt;=12,SUMIFS('Attrition Modeling'!$D:$D,'Attrition Modeling'!$B:$B,$E83,'Attrition Modeling'!$C:$C,AH$68),VLOOKUP(AH$69-$F83-1,$A$7:$C$161,2,FALSE)*VLOOKUP(AH$1,'Attrition Modeling'!$L$15:$N$27,IF(AH$2-$F16&lt;=24,2,3),FALSE))*(1+Projection!AJ$16)*(1+IF(AH148&gt;0,'Attrition Modeling'!$N$9,0))),0))</f>
        <v>1958.7746334987637</v>
      </c>
      <c r="AI83" s="799">
        <f>IF(AI$69=$F83+1,IF(Monthly!AE$4=TRUE,0,Monthly!AE$17),IF(AI$69&gt;$F83+1,AH83*(1-IF(AI$69-$F83&lt;=12,SUMIFS('Attrition Modeling'!$D:$D,'Attrition Modeling'!$B:$B,$E83,'Attrition Modeling'!$C:$C,AI$68),VLOOKUP(AI$69-$F83-1,$A$7:$C$161,2,FALSE)*VLOOKUP(AI$1,'Attrition Modeling'!$L$15:$N$27,IF(AI$2-$F16&lt;=24,2,3),FALSE))*(1+Projection!AK$16)*(1+IF(AI148&gt;0,'Attrition Modeling'!$N$9,0))),0))</f>
        <v>1869.4224086807606</v>
      </c>
      <c r="AJ83" s="799">
        <f>IF(AJ$69=$F83+1,IF(Monthly!AF$4=TRUE,0,Monthly!AF$17),IF(AJ$69&gt;$F83+1,AI83*(1-IF(AJ$69-$F83&lt;=12,SUMIFS('Attrition Modeling'!$D:$D,'Attrition Modeling'!$B:$B,$E83,'Attrition Modeling'!$C:$C,AJ$68),VLOOKUP(AJ$69-$F83-1,$A$7:$C$161,2,FALSE)*VLOOKUP(AJ$1,'Attrition Modeling'!$L$15:$N$27,IF(AJ$2-$F16&lt;=24,2,3),FALSE))*(1+Projection!AL$16)*(1+IF(AJ148&gt;0,'Attrition Modeling'!$N$9,0))),0))</f>
        <v>1787.8479972571558</v>
      </c>
      <c r="AK83" s="799">
        <f>IF(AK$69=$F83+1,IF(Monthly!AG$4=TRUE,0,Monthly!AG$17),IF(AK$69&gt;$F83+1,AJ83*(1-IF(AK$69-$F83&lt;=12,SUMIFS('Attrition Modeling'!$D:$D,'Attrition Modeling'!$B:$B,$E83,'Attrition Modeling'!$C:$C,AK$68),VLOOKUP(AK$69-$F83-1,$A$7:$C$161,2,FALSE)*VLOOKUP(AK$1,'Attrition Modeling'!$L$15:$N$27,IF(AK$2-$F16&lt;=24,2,3),FALSE))*(1+Projection!AM$16)*(1+IF(AK148&gt;0,'Attrition Modeling'!$N$9,0))),0))</f>
        <v>1704.7165199708109</v>
      </c>
      <c r="AL83" s="799">
        <f>IF(AL$69=$F83+1,IF(Monthly!AH$4=TRUE,0,Monthly!AH$17),IF(AL$69&gt;$F83+1,AK83*(1-IF(AL$69-$F83&lt;=12,SUMIFS('Attrition Modeling'!$D:$D,'Attrition Modeling'!$B:$B,$E83,'Attrition Modeling'!$C:$C,AL$68),VLOOKUP(AL$69-$F83-1,$A$7:$C$161,2,FALSE)*VLOOKUP(AL$1,'Attrition Modeling'!$L$15:$N$27,IF(AL$2-$F16&lt;=24,2,3),FALSE))*(1+Projection!AN$16)*(1+IF(AL148&gt;0,'Attrition Modeling'!$N$9,0))),0))</f>
        <v>1609.7563494987478</v>
      </c>
      <c r="AM83" s="799">
        <f>IF(AM$69=$F83+1,IF(Monthly!AI$4=TRUE,0,Monthly!AI$17),IF(AM$69&gt;$F83+1,AL83*(1-IF(AM$69-$F83&lt;=12,SUMIFS('Attrition Modeling'!$D:$D,'Attrition Modeling'!$B:$B,$E83,'Attrition Modeling'!$C:$C,AM$68),VLOOKUP(AM$69-$F83-1,$A$7:$C$161,2,FALSE)*VLOOKUP(AM$1,'Attrition Modeling'!$L$15:$N$27,IF(AM$2-$F16&lt;=24,2,3),FALSE))*(1+Projection!AO$16)*(1+IF(AM148&gt;0,'Attrition Modeling'!$N$9,0))),0))</f>
        <v>1533.4008088948899</v>
      </c>
      <c r="AN83" s="799">
        <f>IF(AN$69=$F83+1,IF(Monthly!AJ$4=TRUE,0,Monthly!AJ$17),IF(AN$69&gt;$F83+1,AM83*(1-IF(AN$69-$F83&lt;=12,SUMIFS('Attrition Modeling'!$D:$D,'Attrition Modeling'!$B:$B,$E83,'Attrition Modeling'!$C:$C,AN$68),VLOOKUP(AN$69-$F83-1,$A$7:$C$161,2,FALSE)*VLOOKUP(AN$1,'Attrition Modeling'!$L$15:$N$27,IF(AN$2-$F16&lt;=24,2,3),FALSE))*(1+Projection!AP$16)*(1+IF(AN148&gt;0,'Attrition Modeling'!$N$9,0))),0))</f>
        <v>1468.3372204020657</v>
      </c>
      <c r="AO83" s="799">
        <f>IF(AO$69=$F83+1,IF(Monthly!AK$4=TRUE,0,Monthly!AK$17),IF(AO$69&gt;$F83+1,AN83*(1-IF(AO$69-$F83&lt;=12,SUMIFS('Attrition Modeling'!$D:$D,'Attrition Modeling'!$B:$B,$E83,'Attrition Modeling'!$C:$C,AO$68),VLOOKUP(AO$69-$F83-1,$A$7:$C$161,2,FALSE)*VLOOKUP(AO$1,'Attrition Modeling'!$L$15:$N$27,IF(AO$2-$F16&lt;=24,2,3),FALSE))*(1+Projection!AQ$16)*(1+IF(AO148&gt;0,'Attrition Modeling'!$N$9,0))),0))</f>
        <v>1405.6818670209609</v>
      </c>
      <c r="AP83" s="799">
        <f>IF(AP$69=$F83+1,IF(Monthly!AL$4=TRUE,0,Monthly!AL$17),IF(AP$69&gt;$F83+1,AO83*(1-IF(AP$69-$F83&lt;=12,SUMIFS('Attrition Modeling'!$D:$D,'Attrition Modeling'!$B:$B,$E83,'Attrition Modeling'!$C:$C,AP$68),VLOOKUP(AP$69-$F83-1,$A$7:$C$161,2,FALSE)*VLOOKUP(AP$1,'Attrition Modeling'!$L$15:$N$27,IF(AP$2-$F16&lt;=24,2,3),FALSE))*(1+Projection!AR$16)*(1+IF(AP148&gt;0,'Attrition Modeling'!$N$9,0))),0))</f>
        <v>1348.8770450464831</v>
      </c>
      <c r="AQ83" s="799">
        <f>IF(AQ$69=$F83+1,IF(Monthly!AM$4=TRUE,0,Monthly!AM$17),IF(AQ$69&gt;$F83+1,AP83*(1-IF(AQ$69-$F83&lt;=12,SUMIFS('Attrition Modeling'!$D:$D,'Attrition Modeling'!$B:$B,$E83,'Attrition Modeling'!$C:$C,AQ$68),VLOOKUP(AQ$69-$F83-1,$A$7:$C$161,2,FALSE)*VLOOKUP(AQ$1,'Attrition Modeling'!$L$15:$N$27,IF(AQ$2-$F16&lt;=24,2,3),FALSE))*(1+Projection!AS$16)*(1+IF(AQ148&gt;0,'Attrition Modeling'!$N$9,0))),0))</f>
        <v>1295.7109854822827</v>
      </c>
      <c r="AR83" s="799">
        <f>IF(AR$69=$F83+1,IF(Monthly!AN$4=TRUE,0,Monthly!AN$17),IF(AR$69&gt;$F83+1,AQ83*(1-IF(AR$69-$F83&lt;=12,SUMIFS('Attrition Modeling'!$D:$D,'Attrition Modeling'!$B:$B,$E83,'Attrition Modeling'!$C:$C,AR$68),VLOOKUP(AR$69-$F83-1,$A$7:$C$161,2,FALSE)*VLOOKUP(AR$1,'Attrition Modeling'!$L$15:$N$27,IF(AR$2-$F16&lt;=24,2,3),FALSE))*(1+Projection!AT$16)*(1+IF(AR148&gt;0,'Attrition Modeling'!$N$9,0))),0))</f>
        <v>1245.2707475239399</v>
      </c>
      <c r="AS83" s="799">
        <f>IF(AS$69=$F83+1,IF(Monthly!AO$4=TRUE,0,Monthly!AO$17),IF(AS$69&gt;$F83+1,AR83*(1-IF(AS$69-$F83&lt;=12,SUMIFS('Attrition Modeling'!$D:$D,'Attrition Modeling'!$B:$B,$E83,'Attrition Modeling'!$C:$C,AS$68),VLOOKUP(AS$69-$F83-1,$A$7:$C$161,2,FALSE)*VLOOKUP(AS$1,'Attrition Modeling'!$L$15:$N$27,IF(AS$2-$F16&lt;=24,2,3),FALSE))*(1+Projection!AU$16)*(1+IF(AS148&gt;0,'Attrition Modeling'!$N$9,0))),0))</f>
        <v>1201.8484832527972</v>
      </c>
      <c r="AT83" s="799">
        <f>IF(AT$69=$F83+1,IF(Monthly!AP$4=TRUE,0,Monthly!AP$17),IF(AT$69&gt;$F83+1,AS83*(1-IF(AT$69-$F83&lt;=12,SUMIFS('Attrition Modeling'!$D:$D,'Attrition Modeling'!$B:$B,$E83,'Attrition Modeling'!$C:$C,AT$68),VLOOKUP(AT$69-$F83-1,$A$7:$C$161,2,FALSE)*VLOOKUP(AT$1,'Attrition Modeling'!$L$15:$N$27,IF(AT$2-$F16&lt;=24,2,3),FALSE))*(1+Projection!AV$16)*(1+IF(AT148&gt;0,'Attrition Modeling'!$N$9,0))),0))</f>
        <v>1162.2611455184922</v>
      </c>
      <c r="AU83" s="799">
        <f>IF(AU$69=$F83+1,IF(Monthly!AQ$4=TRUE,0,Monthly!AQ$17),IF(AU$69&gt;$F83+1,AT83*(1-IF(AU$69-$F83&lt;=12,SUMIFS('Attrition Modeling'!$D:$D,'Attrition Modeling'!$B:$B,$E83,'Attrition Modeling'!$C:$C,AU$68),VLOOKUP(AU$69-$F83-1,$A$7:$C$161,2,FALSE)*VLOOKUP(AU$1,'Attrition Modeling'!$L$15:$N$27,IF(AU$2-$F16&lt;=24,2,3),FALSE))*(1+Projection!AW$16)*(1+IF(AU148&gt;0,'Attrition Modeling'!$N$9,0))),0))</f>
        <v>1132.2280352242915</v>
      </c>
      <c r="AV83" s="799">
        <f>IF(AV$69=$F83+1,IF(Monthly!AR$4=TRUE,0,Monthly!AR$17),IF(AV$69&gt;$F83+1,AU83*(1-IF(AV$69-$F83&lt;=12,SUMIFS('Attrition Modeling'!$D:$D,'Attrition Modeling'!$B:$B,$E83,'Attrition Modeling'!$C:$C,AV$68),VLOOKUP(AV$69-$F83-1,$A$7:$C$161,2,FALSE)*VLOOKUP(AV$1,'Attrition Modeling'!$L$15:$N$27,IF(AV$2-$F16&lt;=24,2,3),FALSE))*(1+Projection!AX$16)*(1+IF(AV148&gt;0,'Attrition Modeling'!$N$9,0))),0))</f>
        <v>1097.3727270152997</v>
      </c>
      <c r="AW83" s="799">
        <f>IF(AW$69=$F83+1,IF(Monthly!AS$4=TRUE,0,Monthly!AS$17),IF(AW$69&gt;$F83+1,AV83*(1-IF(AW$69-$F83&lt;=12,SUMIFS('Attrition Modeling'!$D:$D,'Attrition Modeling'!$B:$B,$E83,'Attrition Modeling'!$C:$C,AW$68),VLOOKUP(AW$69-$F83-1,$A$7:$C$161,2,FALSE)*VLOOKUP(AW$1,'Attrition Modeling'!$L$15:$N$27,IF(AW$2-$F16&lt;=24,2,3),FALSE))*(1+Projection!AY$16)*(1+IF(AW148&gt;0,'Attrition Modeling'!$N$9,0))),0))</f>
        <v>1059.3125139615158</v>
      </c>
      <c r="AX83" s="799">
        <f>IF(AX$69=$F83+1,IF(Monthly!AT$4=TRUE,0,Monthly!AT$17),IF(AX$69&gt;$F83+1,AW83*(1-IF(AX$69-$F83&lt;=12,SUMIFS('Attrition Modeling'!$D:$D,'Attrition Modeling'!$B:$B,$E83,'Attrition Modeling'!$C:$C,AX$68),VLOOKUP(AX$69-$F83-1,$A$7:$C$161,2,FALSE)*VLOOKUP(AX$1,'Attrition Modeling'!$L$15:$N$27,IF(AX$2-$F16&lt;=24,2,3),FALSE))*(1+Projection!AZ$16)*(1+IF(AX148&gt;0,'Attrition Modeling'!$N$9,0))),0))</f>
        <v>1011.8792571949905</v>
      </c>
      <c r="AY83" s="799">
        <f>IF(AY$69=$F83+1,IF(Monthly!AU$4=TRUE,0,Monthly!AU$17),IF(AY$69&gt;$F83+1,AX83*(1-IF(AY$69-$F83&lt;=12,SUMIFS('Attrition Modeling'!$D:$D,'Attrition Modeling'!$B:$B,$E83,'Attrition Modeling'!$C:$C,AY$68),VLOOKUP(AY$69-$F83-1,$A$7:$C$161,2,FALSE)*VLOOKUP(AY$1,'Attrition Modeling'!$L$15:$N$27,IF(AY$2-$F16&lt;=24,2,3),FALSE))*(1+Projection!BA$16)*(1+IF(AY148&gt;0,'Attrition Modeling'!$N$9,0))),0))</f>
        <v>971.82889283017153</v>
      </c>
      <c r="AZ83" s="799">
        <f>IF(AZ$69=$F83+1,IF(Monthly!AV$4=TRUE,0,Monthly!AV$17),IF(AZ$69&gt;$F83+1,AY83*(1-IF(AZ$69-$F83&lt;=12,SUMIFS('Attrition Modeling'!$D:$D,'Attrition Modeling'!$B:$B,$E83,'Attrition Modeling'!$C:$C,AZ$68),VLOOKUP(AZ$69-$F83-1,$A$7:$C$161,2,FALSE)*VLOOKUP(AZ$1,'Attrition Modeling'!$L$15:$N$27,IF(AZ$2-$F16&lt;=24,2,3),FALSE))*(1+Projection!BB$16)*(1+IF(AZ148&gt;0,'Attrition Modeling'!$N$9,0))),0))</f>
        <v>936.13842234127196</v>
      </c>
      <c r="BA83" s="799">
        <f>IF(BA$69=$F83+1,IF(Monthly!AW$4=TRUE,0,Monthly!AW$17),IF(BA$69&gt;$F83+1,AZ83*(1-IF(BA$69-$F83&lt;=12,SUMIFS('Attrition Modeling'!$D:$D,'Attrition Modeling'!$B:$B,$E83,'Attrition Modeling'!$C:$C,BA$68),VLOOKUP(BA$69-$F83-1,$A$7:$C$161,2,FALSE)*VLOOKUP(BA$1,'Attrition Modeling'!$L$15:$N$27,IF(BA$2-$F16&lt;=24,2,3),FALSE))*(1+Projection!BC$16)*(1+IF(BA148&gt;0,'Attrition Modeling'!$N$9,0))),0))</f>
        <v>903.33122086619937</v>
      </c>
      <c r="BB83" s="799">
        <f>IF(BB$69=$F83+1,IF(Monthly!AX$4=TRUE,0,Monthly!AX$17),IF(BB$69&gt;$F83+1,BA83*(1-IF(BB$69-$F83&lt;=12,SUMIFS('Attrition Modeling'!$D:$D,'Attrition Modeling'!$B:$B,$E83,'Attrition Modeling'!$C:$C,BB$68),VLOOKUP(BB$69-$F83-1,$A$7:$C$161,2,FALSE)*VLOOKUP(BB$1,'Attrition Modeling'!$L$15:$N$27,IF(BB$2-$F16&lt;=24,2,3),FALSE))*(1+Projection!BD$16)*(1+IF(BB148&gt;0,'Attrition Modeling'!$N$9,0))),0))</f>
        <v>872.74443140276435</v>
      </c>
      <c r="BC83" s="799">
        <f>IF(BC$69=$F83+1,IF(Monthly!AY$4=TRUE,0,Monthly!AY$17),IF(BC$69&gt;$F83+1,BB83*(1-IF(BC$69-$F83&lt;=12,SUMIFS('Attrition Modeling'!$D:$D,'Attrition Modeling'!$B:$B,$E83,'Attrition Modeling'!$C:$C,BC$68),VLOOKUP(BC$69-$F83-1,$A$7:$C$161,2,FALSE)*VLOOKUP(BC$1,'Attrition Modeling'!$L$15:$N$27,IF(BC$2-$F16&lt;=24,2,3),FALSE))*(1+Projection!BE$16)*(1+IF(BC148&gt;0,'Attrition Modeling'!$N$9,0))),0))</f>
        <v>848.66620734230514</v>
      </c>
      <c r="BD83" s="799">
        <f>IF(BD$69=$F83+1,IF(Monthly!AZ$4=TRUE,0,Monthly!AZ$17),IF(BD$69&gt;$F83+1,BC83*(1-IF(BD$69-$F83&lt;=12,SUMIFS('Attrition Modeling'!$D:$D,'Attrition Modeling'!$B:$B,$E83,'Attrition Modeling'!$C:$C,BD$68),VLOOKUP(BD$69-$F83-1,$A$7:$C$161,2,FALSE)*VLOOKUP(BD$1,'Attrition Modeling'!$L$15:$N$27,IF(BD$2-$F16&lt;=24,2,3),FALSE))*(1+Projection!BF$16)*(1+IF(BD148&gt;0,'Attrition Modeling'!$N$9,0))),0))</f>
        <v>823.0306135796053</v>
      </c>
      <c r="BE83" s="799">
        <f>IF(BE$69=$F83+1,IF(Monthly!BA$4=TRUE,0,Monthly!BA$17),IF(BE$69&gt;$F83+1,BD83*(1-IF(BE$69-$F83&lt;=12,SUMIFS('Attrition Modeling'!$D:$D,'Attrition Modeling'!$B:$B,$E83,'Attrition Modeling'!$C:$C,BE$68),VLOOKUP(BE$69-$F83-1,$A$7:$C$161,2,FALSE)*VLOOKUP(BE$1,'Attrition Modeling'!$L$15:$N$27,IF(BE$2-$F16&lt;=24,2,3),FALSE))*(1+Projection!BG$16)*(1+IF(BE148&gt;0,'Attrition Modeling'!$N$9,0))),0))</f>
        <v>799.21025046505588</v>
      </c>
      <c r="BF83" s="799">
        <f>IF(BF$69=$F83+1,IF(Monthly!BB$4=TRUE,0,Monthly!BB$17),IF(BF$69&gt;$F83+1,BE83*(1-IF(BF$69-$F83&lt;=12,SUMIFS('Attrition Modeling'!$D:$D,'Attrition Modeling'!$B:$B,$E83,'Attrition Modeling'!$C:$C,BF$68),VLOOKUP(BF$69-$F83-1,$A$7:$C$161,2,FALSE)*VLOOKUP(BF$1,'Attrition Modeling'!$L$15:$N$27,IF(BF$2-$F16&lt;=24,2,3),FALSE))*(1+Projection!BH$16)*(1+IF(BF148&gt;0,'Attrition Modeling'!$N$9,0))),0))</f>
        <v>777.28745179175451</v>
      </c>
      <c r="BG83" s="799">
        <f>IF(BG$69=$F83+1,IF(Monthly!BC$4=TRUE,0,Monthly!BC$17),IF(BG$69&gt;$F83+1,BF83*(1-IF(BG$69-$F83&lt;=12,SUMIFS('Attrition Modeling'!$D:$D,'Attrition Modeling'!$B:$B,$E83,'Attrition Modeling'!$C:$C,BG$68),VLOOKUP(BG$69-$F83-1,$A$7:$C$161,2,FALSE)*VLOOKUP(BG$1,'Attrition Modeling'!$L$15:$N$27,IF(BG$2-$F16&lt;=24,2,3),FALSE))*(1+Projection!BI$16)*(1+IF(BG148&gt;0,'Attrition Modeling'!$N$9,0))),0))</f>
        <v>760.50866762815906</v>
      </c>
      <c r="BH83" s="799">
        <f>IF(BH$69=$F83+1,IF(Monthly!BD$4=TRUE,0,Monthly!BD$17),IF(BH$69&gt;$F83+1,BG83*(1-IF(BH$69-$F83&lt;=12,SUMIFS('Attrition Modeling'!$D:$D,'Attrition Modeling'!$B:$B,$E83,'Attrition Modeling'!$C:$C,BH$68),VLOOKUP(BH$69-$F83-1,$A$7:$C$161,2,FALSE)*VLOOKUP(BH$1,'Attrition Modeling'!$L$15:$N$27,IF(BH$2-$F16&lt;=24,2,3),FALSE))*(1+Projection!BJ$16)*(1+IF(BH148&gt;0,'Attrition Modeling'!$N$9,0))),0))</f>
        <v>740.89347857132896</v>
      </c>
      <c r="BI83" s="799">
        <f>IF(BI$69=$F83+1,IF(Monthly!BE$4=TRUE,0,Monthly!BE$17),IF(BI$69&gt;$F83+1,BH83*(1-IF(BI$69-$F83&lt;=12,SUMIFS('Attrition Modeling'!$D:$D,'Attrition Modeling'!$B:$B,$E83,'Attrition Modeling'!$C:$C,BI$68),VLOOKUP(BI$69-$F83-1,$A$7:$C$161,2,FALSE)*VLOOKUP(BI$1,'Attrition Modeling'!$L$15:$N$27,IF(BI$2-$F16&lt;=24,2,3),FALSE))*(1+Projection!BK$16)*(1+IF(BI148&gt;0,'Attrition Modeling'!$N$9,0))),0))</f>
        <v>719.30502899059547</v>
      </c>
      <c r="BJ83" s="799">
        <f>IF(BJ$69=$F83+1,IF(Monthly!BF$4=TRUE,0,Monthly!BF$17),IF(BJ$69&gt;$F83+1,BI83*(1-IF(BJ$69-$F83&lt;=12,SUMIFS('Attrition Modeling'!$D:$D,'Attrition Modeling'!$B:$B,$E83,'Attrition Modeling'!$C:$C,BJ$68),VLOOKUP(BJ$69-$F83-1,$A$7:$C$161,2,FALSE)*VLOOKUP(BJ$1,'Attrition Modeling'!$L$15:$N$27,IF(BJ$2-$F16&lt;=24,2,3),FALSE))*(1+Projection!BL$16)*(1+IF(BJ148&gt;0,'Attrition Modeling'!$N$9,0))),0))</f>
        <v>692.17524198119736</v>
      </c>
      <c r="BK83" s="799">
        <f>IF(BK$69=$F83+1,IF(Monthly!BG$4=TRUE,0,Monthly!BG$17),IF(BK$69&gt;$F83+1,BJ83*(1-IF(BK$69-$F83&lt;=12,SUMIFS('Attrition Modeling'!$D:$D,'Attrition Modeling'!$B:$B,$E83,'Attrition Modeling'!$C:$C,BK$68),VLOOKUP(BK$69-$F83-1,$A$7:$C$161,2,FALSE)*VLOOKUP(BK$1,'Attrition Modeling'!$L$15:$N$27,IF(BK$2-$F16&lt;=24,2,3),FALSE))*(1+Projection!BM$16)*(1+IF(BK148&gt;0,'Attrition Modeling'!$N$9,0))),0))</f>
        <v>669.04233866469008</v>
      </c>
      <c r="BL83" s="799">
        <f>IF(BL$69=$F83+1,IF(Monthly!BH$4=TRUE,0,Monthly!BH$17),IF(BL$69&gt;$F83+1,BK83*(1-IF(BL$69-$F83&lt;=12,SUMIFS('Attrition Modeling'!$D:$D,'Attrition Modeling'!$B:$B,$E83,'Attrition Modeling'!$C:$C,BL$68),VLOOKUP(BL$69-$F83-1,$A$7:$C$161,2,FALSE)*VLOOKUP(BL$1,'Attrition Modeling'!$L$15:$N$27,IF(BL$2-$F16&lt;=24,2,3),FALSE))*(1+Projection!BN$16)*(1+IF(BL148&gt;0,'Attrition Modeling'!$N$9,0))),0))</f>
        <v>648.24751631410368</v>
      </c>
      <c r="BM83" s="799">
        <f>IF(BM$69=$F83+1,IF(Monthly!BI$4=TRUE,0,Monthly!BI$17),IF(BM$69&gt;$F83+1,BL83*(1-IF(BM$69-$F83&lt;=12,SUMIFS('Attrition Modeling'!$D:$D,'Attrition Modeling'!$B:$B,$E83,'Attrition Modeling'!$C:$C,BM$68),VLOOKUP(BM$69-$F83-1,$A$7:$C$161,2,FALSE)*VLOOKUP(BM$1,'Attrition Modeling'!$L$15:$N$27,IF(BM$2-$F16&lt;=24,2,3),FALSE))*(1+Projection!BO$16)*(1+IF(BM148&gt;0,'Attrition Modeling'!$N$9,0))),0))</f>
        <v>628.9785961602928</v>
      </c>
      <c r="BN83" s="799">
        <f>IF(BN$69=$F83+1,IF(Monthly!BJ$4=TRUE,0,Monthly!BJ$17),IF(BN$69&gt;$F83+1,BM83*(1-IF(BN$69-$F83&lt;=12,SUMIFS('Attrition Modeling'!$D:$D,'Attrition Modeling'!$B:$B,$E83,'Attrition Modeling'!$C:$C,BN$68),VLOOKUP(BN$69-$F83-1,$A$7:$C$161,2,FALSE)*VLOOKUP(BN$1,'Attrition Modeling'!$L$15:$N$27,IF(BN$2-$F16&lt;=24,2,3),FALSE))*(1+Projection!BP$16)*(1+IF(BN148&gt;0,'Attrition Modeling'!$N$9,0))),0))</f>
        <v>610.87737897820386</v>
      </c>
      <c r="BO83" s="799">
        <f>IF(BO$69=$F83+1,IF(Monthly!BK$4=TRUE,0,Monthly!BK$17),IF(BO$69&gt;$F83+1,BN83*(1-IF(BO$69-$F83&lt;=12,SUMIFS('Attrition Modeling'!$D:$D,'Attrition Modeling'!$B:$B,$E83,'Attrition Modeling'!$C:$C,BO$68),VLOOKUP(BO$69-$F83-1,$A$7:$C$161,2,FALSE)*VLOOKUP(BO$1,'Attrition Modeling'!$L$15:$N$27,IF(BO$2-$F16&lt;=24,2,3),FALSE))*(1+Projection!BV$16)*(1+IF(BO148&gt;0,'Attrition Modeling'!$N$9,0))),0))</f>
        <v>596.52489573197863</v>
      </c>
      <c r="BP83" s="799">
        <f>IF(BP$69=$F83+1,IF(Monthly!BL$4=TRUE,0,Monthly!BL$17),IF(BP$69&gt;$F83+1,BO83*(1-IF(BP$69-$F83&lt;=12,SUMIFS('Attrition Modeling'!$D:$D,'Attrition Modeling'!$B:$B,$E83,'Attrition Modeling'!$C:$C,BP$68),VLOOKUP(BP$69-$F83-1,$A$7:$C$161,2,FALSE)*VLOOKUP(BP$1,'Attrition Modeling'!$L$15:$N$27,IF(BP$2-$F16&lt;=24,2,3),FALSE))*(1+Projection!BW$16)*(1+IF(BP148&gt;0,'Attrition Modeling'!$N$9,0))),0))</f>
        <v>581.15122837245201</v>
      </c>
      <c r="BQ83" s="799">
        <f>IF(BQ$69=$F83+1,IF(Monthly!BM$4=TRUE,0,Monthly!BM$17),IF(BQ$69&gt;$F83+1,BP83*(1-IF(BQ$69-$F83&lt;=12,SUMIFS('Attrition Modeling'!$D:$D,'Attrition Modeling'!$B:$B,$E83,'Attrition Modeling'!$C:$C,BQ$68),VLOOKUP(BQ$69-$F83-1,$A$7:$C$161,2,FALSE)*VLOOKUP(BQ$1,'Attrition Modeling'!$L$15:$N$27,IF(BQ$2-$F16&lt;=24,2,3),FALSE))*(1+Projection!BX$16)*(1+IF(BQ148&gt;0,'Attrition Modeling'!$N$9,0))),0))</f>
        <v>566.8720904897026</v>
      </c>
      <c r="BR83" s="799">
        <f>IF(BR$69=$F83+1,IF(Monthly!BN$4=TRUE,0,Monthly!BN$17),IF(BR$69&gt;$F83+1,BQ83*(1-IF(BR$69-$F83&lt;=12,SUMIFS('Attrition Modeling'!$D:$D,'Attrition Modeling'!$B:$B,$E83,'Attrition Modeling'!$C:$C,BR$68),VLOOKUP(BR$69-$F83-1,$A$7:$C$161,2,FALSE)*VLOOKUP(BR$1,'Attrition Modeling'!$L$15:$N$27,IF(BR$2-$F16&lt;=24,2,3),FALSE))*(1+Projection!BY$16)*(1+IF(BR148&gt;0,'Attrition Modeling'!$N$9,0))),0))</f>
        <v>553.65128889685764</v>
      </c>
      <c r="BS83" s="799">
        <f>IF(BS$69=$F83+1,IF(Monthly!BO$4=TRUE,0,Monthly!BO$17),IF(BS$69&gt;$F83+1,BR83*(1-IF(BS$69-$F83&lt;=12,SUMIFS('Attrition Modeling'!$D:$D,'Attrition Modeling'!$B:$B,$E83,'Attrition Modeling'!$C:$C,BS$68),VLOOKUP(BS$69-$F83-1,$A$7:$C$161,2,FALSE)*VLOOKUP(BS$1,'Attrition Modeling'!$L$15:$N$27,IF(BS$2-$F16&lt;=24,2,3),FALSE))*(1+Projection!BZ$16)*(1+IF(BS148&gt;0,'Attrition Modeling'!$N$9,0))),0))</f>
        <v>543.47535842260163</v>
      </c>
      <c r="BT83" s="799">
        <f>IF(BT$69=$F83+1,IF(Monthly!#REF!=TRUE,0,Monthly!#REF!),IF(BT$69&gt;$F83+1,BS83*(1-IF(BT$69-$F83&lt;=12,SUMIFS('Attrition Modeling'!$D:$D,'Attrition Modeling'!$B:$B,$E83,'Attrition Modeling'!$C:$C,BT$68),VLOOKUP(BT$69-$F83-1,$A$7:$C$161,2,FALSE)*VLOOKUP(BT$1,'Attrition Modeling'!$L$15:$N$27,IF(BT$2-$F16&lt;=24,2,3),FALSE))*(1+Projection!CA$16)*(1+IF(BT148&gt;0,'Attrition Modeling'!$N$9,0))),0))</f>
        <v>531.5240766963467</v>
      </c>
      <c r="BU83" s="799">
        <f>IF(BU$69=$F83+1,IF(Monthly!#REF!=TRUE,0,Monthly!#REF!),IF(BU$69&gt;$F83+1,BT83*(1-IF(BU$69-$F83&lt;=12,SUMIFS('Attrition Modeling'!$D:$D,'Attrition Modeling'!$B:$B,$E83,'Attrition Modeling'!$C:$C,BU$68),VLOOKUP(BU$69-$F83-1,$A$7:$C$161,2,FALSE)*VLOOKUP(BU$1,'Attrition Modeling'!$L$15:$N$27,IF(BU$2-$F16&lt;=24,2,3),FALSE))*(1+Projection!CB$16)*(1+IF(BU148&gt;0,'Attrition Modeling'!$N$9,0))),0))</f>
        <v>518.30228475106958</v>
      </c>
    </row>
    <row r="84" spans="1:73" ht="14.25" customHeight="1" x14ac:dyDescent="0.2">
      <c r="A84" s="9">
        <v>77</v>
      </c>
      <c r="B84" s="25">
        <f>MAX('Attrition Modeling'!H81,$C$3)*(1-Summary!$C$20)</f>
        <v>2.0281878895177338E-2</v>
      </c>
      <c r="C84" s="24" t="e">
        <f t="shared" si="4"/>
        <v>#DIV/0!</v>
      </c>
      <c r="E84" s="11">
        <f t="shared" si="9"/>
        <v>2</v>
      </c>
      <c r="F84" s="11">
        <f t="shared" si="10"/>
        <v>14</v>
      </c>
      <c r="G84" s="799"/>
      <c r="H84" s="799">
        <f>IF(H$69=$F84+1,IF(Monthly!D$4=TRUE,0,Monthly!D$17),IF(H$69&gt;$F84+1,G84*(1-IF(H$69-$F84&lt;=12,SUMIFS('Attrition Modeling'!$D:$D,'Attrition Modeling'!$B:$B,$E84,'Attrition Modeling'!$C:$C,H$68),VLOOKUP(H$69-$F84-1,$A$7:$C$161,2,FALSE)*VLOOKUP(H$1,'Attrition Modeling'!$L$15:$N$27,IF(H$2-$F17&lt;=24,2,3),FALSE))*(1+Projection!J$16)*(1+IF(H149&gt;0,'Attrition Modeling'!$N$9,0))),0))</f>
        <v>0</v>
      </c>
      <c r="I84" s="799">
        <f>IF(I$69=$F84+1,IF(Monthly!E$4=TRUE,0,Monthly!E$17),IF(I$69&gt;$F84+1,H84*(1-IF(I$69-$F84&lt;=12,SUMIFS('Attrition Modeling'!$D:$D,'Attrition Modeling'!$B:$B,$E84,'Attrition Modeling'!$C:$C,I$68),VLOOKUP(I$69-$F84-1,$A$7:$C$161,2,FALSE)*VLOOKUP(I$1,'Attrition Modeling'!$L$15:$N$27,IF(I$2-$F17&lt;=24,2,3),FALSE))*(1+Projection!K$16)*(1+IF(I149&gt;0,'Attrition Modeling'!$N$9,0))),0))</f>
        <v>0</v>
      </c>
      <c r="J84" s="799">
        <f>IF(J$69=$F84+1,IF(Monthly!F$4=TRUE,0,Monthly!F$17),IF(J$69&gt;$F84+1,I84*(1-IF(J$69-$F84&lt;=12,SUMIFS('Attrition Modeling'!$D:$D,'Attrition Modeling'!$B:$B,$E84,'Attrition Modeling'!$C:$C,J$68),VLOOKUP(J$69-$F84-1,$A$7:$C$161,2,FALSE)*VLOOKUP(J$1,'Attrition Modeling'!$L$15:$N$27,IF(J$2-$F17&lt;=24,2,3),FALSE))*(1+Projection!L$16)*(1+IF(J149&gt;0,'Attrition Modeling'!$N$9,0))),0))</f>
        <v>0</v>
      </c>
      <c r="K84" s="799">
        <f>IF(K$69=$F84+1,IF(Monthly!G$4=TRUE,0,Monthly!G$17),IF(K$69&gt;$F84+1,J84*(1-IF(K$69-$F84&lt;=12,SUMIFS('Attrition Modeling'!$D:$D,'Attrition Modeling'!$B:$B,$E84,'Attrition Modeling'!$C:$C,K$68),VLOOKUP(K$69-$F84-1,$A$7:$C$161,2,FALSE)*VLOOKUP(K$1,'Attrition Modeling'!$L$15:$N$27,IF(K$2-$F17&lt;=24,2,3),FALSE))*(1+Projection!M$16)*(1+IF(K149&gt;0,'Attrition Modeling'!$N$9,0))),0))</f>
        <v>0</v>
      </c>
      <c r="L84" s="799">
        <f>IF(L$69=$F84+1,IF(Monthly!H$4=TRUE,0,Monthly!H$17),IF(L$69&gt;$F84+1,K84*(1-IF(L$69-$F84&lt;=12,SUMIFS('Attrition Modeling'!$D:$D,'Attrition Modeling'!$B:$B,$E84,'Attrition Modeling'!$C:$C,L$68),VLOOKUP(L$69-$F84-1,$A$7:$C$161,2,FALSE)*VLOOKUP(L$1,'Attrition Modeling'!$L$15:$N$27,IF(L$2-$F17&lt;=24,2,3),FALSE))*(1+Projection!N$16)*(1+IF(L149&gt;0,'Attrition Modeling'!$N$9,0))),0))</f>
        <v>0</v>
      </c>
      <c r="M84" s="799">
        <f>IF(M$69=$F84+1,IF(Monthly!I$4=TRUE,0,Monthly!I$17),IF(M$69&gt;$F84+1,L84*(1-IF(M$69-$F84&lt;=12,SUMIFS('Attrition Modeling'!$D:$D,'Attrition Modeling'!$B:$B,$E84,'Attrition Modeling'!$C:$C,M$68),VLOOKUP(M$69-$F84-1,$A$7:$C$161,2,FALSE)*VLOOKUP(M$1,'Attrition Modeling'!$L$15:$N$27,IF(M$2-$F17&lt;=24,2,3),FALSE))*(1+Projection!O$16)*(1+IF(M149&gt;0,'Attrition Modeling'!$N$9,0))),0))</f>
        <v>0</v>
      </c>
      <c r="N84" s="799">
        <f>IF(N$69=$F84+1,IF(Monthly!J$4=TRUE,0,Monthly!J$17),IF(N$69&gt;$F84+1,M84*(1-IF(N$69-$F84&lt;=12,SUMIFS('Attrition Modeling'!$D:$D,'Attrition Modeling'!$B:$B,$E84,'Attrition Modeling'!$C:$C,N$68),VLOOKUP(N$69-$F84-1,$A$7:$C$161,2,FALSE)*VLOOKUP(N$1,'Attrition Modeling'!$L$15:$N$27,IF(N$2-$F17&lt;=24,2,3),FALSE))*(1+Projection!P$16)*(1+IF(N149&gt;0,'Attrition Modeling'!$N$9,0))),0))</f>
        <v>0</v>
      </c>
      <c r="O84" s="799">
        <f>IF(O$69=$F84+1,IF(Monthly!K$4=TRUE,0,Monthly!K$17),IF(O$69&gt;$F84+1,N84*(1-IF(O$69-$F84&lt;=12,SUMIFS('Attrition Modeling'!$D:$D,'Attrition Modeling'!$B:$B,$E84,'Attrition Modeling'!$C:$C,O$68),VLOOKUP(O$69-$F84-1,$A$7:$C$161,2,FALSE)*VLOOKUP(O$1,'Attrition Modeling'!$L$15:$N$27,IF(O$2-$F17&lt;=24,2,3),FALSE))*(1+Projection!Q$16)*(1+IF(O149&gt;0,'Attrition Modeling'!$N$9,0))),0))</f>
        <v>0</v>
      </c>
      <c r="P84" s="799">
        <f>IF(P$69=$F84+1,IF(Monthly!L$4=TRUE,0,Monthly!L$17),IF(P$69&gt;$F84+1,O84*(1-IF(P$69-$F84&lt;=12,SUMIFS('Attrition Modeling'!$D:$D,'Attrition Modeling'!$B:$B,$E84,'Attrition Modeling'!$C:$C,P$68),VLOOKUP(P$69-$F84-1,$A$7:$C$161,2,FALSE)*VLOOKUP(P$1,'Attrition Modeling'!$L$15:$N$27,IF(P$2-$F17&lt;=24,2,3),FALSE))*(1+Projection!R$16)*(1+IF(P149&gt;0,'Attrition Modeling'!$N$9,0))),0))</f>
        <v>0</v>
      </c>
      <c r="Q84" s="799">
        <f>IF(Q$69=$F84+1,IF(Monthly!M$4=TRUE,0,Monthly!M$17),IF(Q$69&gt;$F84+1,P84*(1-IF(Q$69-$F84&lt;=12,SUMIFS('Attrition Modeling'!$D:$D,'Attrition Modeling'!$B:$B,$E84,'Attrition Modeling'!$C:$C,Q$68),VLOOKUP(Q$69-$F84-1,$A$7:$C$161,2,FALSE)*VLOOKUP(Q$1,'Attrition Modeling'!$L$15:$N$27,IF(Q$2-$F17&lt;=24,2,3),FALSE))*(1+Projection!S$16)*(1+IF(Q149&gt;0,'Attrition Modeling'!$N$9,0))),0))</f>
        <v>0</v>
      </c>
      <c r="R84" s="799">
        <f>IF(R$69=$F84+1,IF(Monthly!N$4=TRUE,0,Monthly!N$17),IF(R$69&gt;$F84+1,Q84*(1-IF(R$69-$F84&lt;=12,SUMIFS('Attrition Modeling'!$D:$D,'Attrition Modeling'!$B:$B,$E84,'Attrition Modeling'!$C:$C,R$68),VLOOKUP(R$69-$F84-1,$A$7:$C$161,2,FALSE)*VLOOKUP(R$1,'Attrition Modeling'!$L$15:$N$27,IF(R$2-$F17&lt;=24,2,3),FALSE))*(1+Projection!T$16)*(1+IF(R149&gt;0,'Attrition Modeling'!$N$9,0))),0))</f>
        <v>0</v>
      </c>
      <c r="S84" s="799">
        <f>IF(S$69=$F84+1,IF(Monthly!O$4=TRUE,0,Monthly!O$17),IF(S$69&gt;$F84+1,R84*(1-IF(S$69-$F84&lt;=12,SUMIFS('Attrition Modeling'!$D:$D,'Attrition Modeling'!$B:$B,$E84,'Attrition Modeling'!$C:$C,S$68),VLOOKUP(S$69-$F84-1,$A$7:$C$161,2,FALSE)*VLOOKUP(S$1,'Attrition Modeling'!$L$15:$N$27,IF(S$2-$F17&lt;=24,2,3),FALSE))*(1+Projection!U$16)*(1+IF(S149&gt;0,'Attrition Modeling'!$N$9,0))),0))</f>
        <v>0</v>
      </c>
      <c r="T84" s="799">
        <f>IF(T$69=$F84+1,IF(Monthly!P$4=TRUE,0,Monthly!P$17),IF(T$69&gt;$F84+1,S84*(1-IF(T$69-$F84&lt;=12,SUMIFS('Attrition Modeling'!$D:$D,'Attrition Modeling'!$B:$B,$E84,'Attrition Modeling'!$C:$C,T$68),VLOOKUP(T$69-$F84-1,$A$7:$C$161,2,FALSE)*VLOOKUP(T$1,'Attrition Modeling'!$L$15:$N$27,IF(T$2-$F17&lt;=24,2,3),FALSE))*(1+Projection!V$16)*(1+IF(T149&gt;0,'Attrition Modeling'!$N$9,0))),0))</f>
        <v>0</v>
      </c>
      <c r="U84" s="799">
        <f>IF(U$69=$F84+1,IF(Monthly!Q$4=TRUE,0,Monthly!Q$17),IF(U$69&gt;$F84+1,T84*(1-IF(U$69-$F84&lt;=12,SUMIFS('Attrition Modeling'!$D:$D,'Attrition Modeling'!$B:$B,$E84,'Attrition Modeling'!$C:$C,U$68),VLOOKUP(U$69-$F84-1,$A$7:$C$161,2,FALSE)*VLOOKUP(U$1,'Attrition Modeling'!$L$15:$N$27,IF(U$2-$F17&lt;=24,2,3),FALSE))*(1+Projection!W$16)*(1+IF(U149&gt;0,'Attrition Modeling'!$N$9,0))),0))</f>
        <v>0</v>
      </c>
      <c r="V84" s="799">
        <f>IF(V$69=$F84+1,IF(Monthly!R$4=TRUE,0,Monthly!R$17),IF(V$69&gt;$F84+1,U84*(1-IF(V$69-$F84&lt;=12,SUMIFS('Attrition Modeling'!$D:$D,'Attrition Modeling'!$B:$B,$E84,'Attrition Modeling'!$C:$C,V$68),VLOOKUP(V$69-$F84-1,$A$7:$C$161,2,FALSE)*VLOOKUP(V$1,'Attrition Modeling'!$L$15:$N$27,IF(V$2-$F17&lt;=24,2,3),FALSE))*(1+Projection!X$16)*(1+IF(V149&gt;0,'Attrition Modeling'!$N$9,0))),0))</f>
        <v>6333.1503128112963</v>
      </c>
      <c r="W84" s="799">
        <f>IF(W$69=$F84+1,IF(Monthly!S$4=TRUE,0,Monthly!S$17),IF(W$69&gt;$F84+1,V84*(1-IF(W$69-$F84&lt;=12,SUMIFS('Attrition Modeling'!$D:$D,'Attrition Modeling'!$B:$B,$E84,'Attrition Modeling'!$C:$C,W$68),VLOOKUP(W$69-$F84-1,$A$7:$C$161,2,FALSE)*VLOOKUP(W$1,'Attrition Modeling'!$L$15:$N$27,IF(W$2-$F17&lt;=24,2,3),FALSE))*(1+Projection!Y$16)*(1+IF(W149&gt;0,'Attrition Modeling'!$N$9,0))),0))</f>
        <v>5716.3280715747896</v>
      </c>
      <c r="X84" s="799">
        <f>IF(X$69=$F84+1,IF(Monthly!T$4=TRUE,0,Monthly!T$17),IF(X$69&gt;$F84+1,W84*(1-IF(X$69-$F84&lt;=12,SUMIFS('Attrition Modeling'!$D:$D,'Attrition Modeling'!$B:$B,$E84,'Attrition Modeling'!$C:$C,X$68),VLOOKUP(X$69-$F84-1,$A$7:$C$161,2,FALSE)*VLOOKUP(X$1,'Attrition Modeling'!$L$15:$N$27,IF(X$2-$F17&lt;=24,2,3),FALSE))*(1+Projection!Z$16)*(1+IF(X149&gt;0,'Attrition Modeling'!$N$9,0))),0))</f>
        <v>5228.6457157827035</v>
      </c>
      <c r="Y84" s="799">
        <f>IF(Y$69=$F84+1,IF(Monthly!U$4=TRUE,0,Monthly!U$17),IF(Y$69&gt;$F84+1,X84*(1-IF(Y$69-$F84&lt;=12,SUMIFS('Attrition Modeling'!$D:$D,'Attrition Modeling'!$B:$B,$E84,'Attrition Modeling'!$C:$C,Y$68),VLOOKUP(Y$69-$F84-1,$A$7:$C$161,2,FALSE)*VLOOKUP(Y$1,'Attrition Modeling'!$L$15:$N$27,IF(Y$2-$F17&lt;=24,2,3),FALSE))*(1+Projection!AA$16)*(1+IF(Y149&gt;0,'Attrition Modeling'!$N$9,0))),0))</f>
        <v>4742.7647670865081</v>
      </c>
      <c r="Z84" s="799">
        <f>IF(Z$69=$F84+1,IF(Monthly!V$4=TRUE,0,Monthly!V$17),IF(Z$69&gt;$F84+1,Y84*(1-IF(Z$69-$F84&lt;=12,SUMIFS('Attrition Modeling'!$D:$D,'Attrition Modeling'!$B:$B,$E84,'Attrition Modeling'!$C:$C,Z$68),VLOOKUP(Z$69-$F84-1,$A$7:$C$161,2,FALSE)*VLOOKUP(Z$1,'Attrition Modeling'!$L$15:$N$27,IF(Z$2-$F17&lt;=24,2,3),FALSE))*(1+Projection!AB$16)*(1+IF(Z149&gt;0,'Attrition Modeling'!$N$9,0))),0))</f>
        <v>4357.4981281441533</v>
      </c>
      <c r="AA84" s="799">
        <f>IF(AA$69=$F84+1,IF(Monthly!W$4=TRUE,0,Monthly!W$17),IF(AA$69&gt;$F84+1,Z84*(1-IF(AA$69-$F84&lt;=12,SUMIFS('Attrition Modeling'!$D:$D,'Attrition Modeling'!$B:$B,$E84,'Attrition Modeling'!$C:$C,AA$68),VLOOKUP(AA$69-$F84-1,$A$7:$C$161,2,FALSE)*VLOOKUP(AA$1,'Attrition Modeling'!$L$15:$N$27,IF(AA$2-$F17&lt;=24,2,3),FALSE))*(1+Projection!AC$16)*(1+IF(AA149&gt;0,'Attrition Modeling'!$N$9,0))),0))</f>
        <v>3917.7107098541774</v>
      </c>
      <c r="AB84" s="799">
        <f>IF(AB$69=$F84+1,IF(Monthly!X$4=TRUE,0,Monthly!X$17),IF(AB$69&gt;$F84+1,AA84*(1-IF(AB$69-$F84&lt;=12,SUMIFS('Attrition Modeling'!$D:$D,'Attrition Modeling'!$B:$B,$E84,'Attrition Modeling'!$C:$C,AB$68),VLOOKUP(AB$69-$F84-1,$A$7:$C$161,2,FALSE)*VLOOKUP(AB$1,'Attrition Modeling'!$L$15:$N$27,IF(AB$2-$F17&lt;=24,2,3),FALSE))*(1+Projection!AD$16)*(1+IF(AB149&gt;0,'Attrition Modeling'!$N$9,0))),0))</f>
        <v>3622.0591432278552</v>
      </c>
      <c r="AC84" s="799">
        <f>IF(AC$69=$F84+1,IF(Monthly!Y$4=TRUE,0,Monthly!Y$17),IF(AC$69&gt;$F84+1,AB84*(1-IF(AC$69-$F84&lt;=12,SUMIFS('Attrition Modeling'!$D:$D,'Attrition Modeling'!$B:$B,$E84,'Attrition Modeling'!$C:$C,AC$68),VLOOKUP(AC$69-$F84-1,$A$7:$C$161,2,FALSE)*VLOOKUP(AC$1,'Attrition Modeling'!$L$15:$N$27,IF(AC$2-$F17&lt;=24,2,3),FALSE))*(1+Projection!AE$16)*(1+IF(AC149&gt;0,'Attrition Modeling'!$N$9,0))),0))</f>
        <v>3368.270405547963</v>
      </c>
      <c r="AD84" s="799">
        <f>IF(AD$69=$F84+1,IF(Monthly!Z$4=TRUE,0,Monthly!Z$17),IF(AD$69&gt;$F84+1,AC84*(1-IF(AD$69-$F84&lt;=12,SUMIFS('Attrition Modeling'!$D:$D,'Attrition Modeling'!$B:$B,$E84,'Attrition Modeling'!$C:$C,AD$68),VLOOKUP(AD$69-$F84-1,$A$7:$C$161,2,FALSE)*VLOOKUP(AD$1,'Attrition Modeling'!$L$15:$N$27,IF(AD$2-$F17&lt;=24,2,3),FALSE))*(1+Projection!AF$16)*(1+IF(AD149&gt;0,'Attrition Modeling'!$N$9,0))),0))</f>
        <v>3144.5637624855381</v>
      </c>
      <c r="AE84" s="799">
        <f>IF(AE$69=$F84+1,IF(Monthly!AA$4=TRUE,0,Monthly!AA$17),IF(AE$69&gt;$F84+1,AD84*(1-IF(AE$69-$F84&lt;=12,SUMIFS('Attrition Modeling'!$D:$D,'Attrition Modeling'!$B:$B,$E84,'Attrition Modeling'!$C:$C,AE$68),VLOOKUP(AE$69-$F84-1,$A$7:$C$161,2,FALSE)*VLOOKUP(AE$1,'Attrition Modeling'!$L$15:$N$27,IF(AE$2-$F17&lt;=24,2,3),FALSE))*(1+Projection!AG$16)*(1+IF(AE149&gt;0,'Attrition Modeling'!$N$9,0))),0))</f>
        <v>2949.0400391556709</v>
      </c>
      <c r="AF84" s="799">
        <f>IF(AF$69=$F84+1,IF(Monthly!AB$4=TRUE,0,Monthly!AB$17),IF(AF$69&gt;$F84+1,AE84*(1-IF(AF$69-$F84&lt;=12,SUMIFS('Attrition Modeling'!$D:$D,'Attrition Modeling'!$B:$B,$E84,'Attrition Modeling'!$C:$C,AF$68),VLOOKUP(AF$69-$F84-1,$A$7:$C$161,2,FALSE)*VLOOKUP(AF$1,'Attrition Modeling'!$L$15:$N$27,IF(AF$2-$F17&lt;=24,2,3),FALSE))*(1+Projection!AH$16)*(1+IF(AF149&gt;0,'Attrition Modeling'!$N$9,0))),0))</f>
        <v>2781.8737930073326</v>
      </c>
      <c r="AG84" s="799">
        <f>IF(AG$69=$F84+1,IF(Monthly!AC$4=TRUE,0,Monthly!AC$17),IF(AG$69&gt;$F84+1,AF84*(1-IF(AG$69-$F84&lt;=12,SUMIFS('Attrition Modeling'!$D:$D,'Attrition Modeling'!$B:$B,$E84,'Attrition Modeling'!$C:$C,AG$68),VLOOKUP(AG$69-$F84-1,$A$7:$C$161,2,FALSE)*VLOOKUP(AG$1,'Attrition Modeling'!$L$15:$N$27,IF(AG$2-$F17&lt;=24,2,3),FALSE))*(1+Projection!AI$16)*(1+IF(AG149&gt;0,'Attrition Modeling'!$N$9,0))),0))</f>
        <v>2713.3272821793771</v>
      </c>
      <c r="AH84" s="799">
        <f>IF(AH$69=$F84+1,IF(Monthly!AD$4=TRUE,0,Monthly!AD$17),IF(AH$69&gt;$F84+1,AG84*(1-IF(AH$69-$F84&lt;=12,SUMIFS('Attrition Modeling'!$D:$D,'Attrition Modeling'!$B:$B,$E84,'Attrition Modeling'!$C:$C,AH$68),VLOOKUP(AH$69-$F84-1,$A$7:$C$161,2,FALSE)*VLOOKUP(AH$1,'Attrition Modeling'!$L$15:$N$27,IF(AH$2-$F17&lt;=24,2,3),FALSE))*(1+Projection!AJ$16)*(1+IF(AH149&gt;0,'Attrition Modeling'!$N$9,0))),0))</f>
        <v>2569.8827367278559</v>
      </c>
      <c r="AI84" s="799">
        <f>IF(AI$69=$F84+1,IF(Monthly!AE$4=TRUE,0,Monthly!AE$17),IF(AI$69&gt;$F84+1,AH84*(1-IF(AI$69-$F84&lt;=12,SUMIFS('Attrition Modeling'!$D:$D,'Attrition Modeling'!$B:$B,$E84,'Attrition Modeling'!$C:$C,AI$68),VLOOKUP(AI$69-$F84-1,$A$7:$C$161,2,FALSE)*VLOOKUP(AI$1,'Attrition Modeling'!$L$15:$N$27,IF(AI$2-$F17&lt;=24,2,3),FALSE))*(1+Projection!AK$16)*(1+IF(AI149&gt;0,'Attrition Modeling'!$N$9,0))),0))</f>
        <v>2446.6183937543478</v>
      </c>
      <c r="AJ84" s="799">
        <f>IF(AJ$69=$F84+1,IF(Monthly!AF$4=TRUE,0,Monthly!AF$17),IF(AJ$69&gt;$F84+1,AI84*(1-IF(AJ$69-$F84&lt;=12,SUMIFS('Attrition Modeling'!$D:$D,'Attrition Modeling'!$B:$B,$E84,'Attrition Modeling'!$C:$C,AJ$68),VLOOKUP(AJ$69-$F84-1,$A$7:$C$161,2,FALSE)*VLOOKUP(AJ$1,'Attrition Modeling'!$L$15:$N$27,IF(AJ$2-$F17&lt;=24,2,3),FALSE))*(1+Projection!AL$16)*(1+IF(AJ149&gt;0,'Attrition Modeling'!$N$9,0))),0))</f>
        <v>2335.8095772955799</v>
      </c>
      <c r="AK84" s="799">
        <f>IF(AK$69=$F84+1,IF(Monthly!AG$4=TRUE,0,Monthly!AG$17),IF(AK$69&gt;$F84+1,AJ84*(1-IF(AK$69-$F84&lt;=12,SUMIFS('Attrition Modeling'!$D:$D,'Attrition Modeling'!$B:$B,$E84,'Attrition Modeling'!$C:$C,AK$68),VLOOKUP(AK$69-$F84-1,$A$7:$C$161,2,FALSE)*VLOOKUP(AK$1,'Attrition Modeling'!$L$15:$N$27,IF(AK$2-$F17&lt;=24,2,3),FALSE))*(1+Projection!AM$16)*(1+IF(AK149&gt;0,'Attrition Modeling'!$N$9,0))),0))</f>
        <v>2223.9080601115293</v>
      </c>
      <c r="AL84" s="799">
        <f>IF(AL$69=$F84+1,IF(Monthly!AH$4=TRUE,0,Monthly!AH$17),IF(AL$69&gt;$F84+1,AK84*(1-IF(AL$69-$F84&lt;=12,SUMIFS('Attrition Modeling'!$D:$D,'Attrition Modeling'!$B:$B,$E84,'Attrition Modeling'!$C:$C,AL$68),VLOOKUP(AL$69-$F84-1,$A$7:$C$161,2,FALSE)*VLOOKUP(AL$1,'Attrition Modeling'!$L$15:$N$27,IF(AL$2-$F17&lt;=24,2,3),FALSE))*(1+Projection!AN$16)*(1+IF(AL149&gt;0,'Attrition Modeling'!$N$9,0))),0))</f>
        <v>2118.0529186692347</v>
      </c>
      <c r="AM84" s="799">
        <f>IF(AM$69=$F84+1,IF(Monthly!AI$4=TRUE,0,Monthly!AI$17),IF(AM$69&gt;$F84+1,AL84*(1-IF(AM$69-$F84&lt;=12,SUMIFS('Attrition Modeling'!$D:$D,'Attrition Modeling'!$B:$B,$E84,'Attrition Modeling'!$C:$C,AM$68),VLOOKUP(AM$69-$F84-1,$A$7:$C$161,2,FALSE)*VLOOKUP(AM$1,'Attrition Modeling'!$L$15:$N$27,IF(AM$2-$F17&lt;=24,2,3),FALSE))*(1+Projection!AO$16)*(1+IF(AM149&gt;0,'Attrition Modeling'!$N$9,0))),0))</f>
        <v>1994.8499508675411</v>
      </c>
      <c r="AN84" s="799">
        <f>IF(AN$69=$F84+1,IF(Monthly!AJ$4=TRUE,0,Monthly!AJ$17),IF(AN$69&gt;$F84+1,AM84*(1-IF(AN$69-$F84&lt;=12,SUMIFS('Attrition Modeling'!$D:$D,'Attrition Modeling'!$B:$B,$E84,'Attrition Modeling'!$C:$C,AN$68),VLOOKUP(AN$69-$F84-1,$A$7:$C$161,2,FALSE)*VLOOKUP(AN$1,'Attrition Modeling'!$L$15:$N$27,IF(AN$2-$F17&lt;=24,2,3),FALSE))*(1+Projection!AP$16)*(1+IF(AN149&gt;0,'Attrition Modeling'!$N$9,0))),0))</f>
        <v>1908.5673026312513</v>
      </c>
      <c r="AO84" s="799">
        <f>IF(AO$69=$F84+1,IF(Monthly!AK$4=TRUE,0,Monthly!AK$17),IF(AO$69&gt;$F84+1,AN84*(1-IF(AO$69-$F84&lt;=12,SUMIFS('Attrition Modeling'!$D:$D,'Attrition Modeling'!$B:$B,$E84,'Attrition Modeling'!$C:$C,AO$68),VLOOKUP(AO$69-$F84-1,$A$7:$C$161,2,FALSE)*VLOOKUP(AO$1,'Attrition Modeling'!$L$15:$N$27,IF(AO$2-$F17&lt;=24,2,3),FALSE))*(1+Projection!AQ$16)*(1+IF(AO149&gt;0,'Attrition Modeling'!$N$9,0))),0))</f>
        <v>1825.7114338731458</v>
      </c>
      <c r="AP84" s="799">
        <f>IF(AP$69=$F84+1,IF(Monthly!AL$4=TRUE,0,Monthly!AL$17),IF(AP$69&gt;$F84+1,AO84*(1-IF(AP$69-$F84&lt;=12,SUMIFS('Attrition Modeling'!$D:$D,'Attrition Modeling'!$B:$B,$E84,'Attrition Modeling'!$C:$C,AP$68),VLOOKUP(AP$69-$F84-1,$A$7:$C$161,2,FALSE)*VLOOKUP(AP$1,'Attrition Modeling'!$L$15:$N$27,IF(AP$2-$F17&lt;=24,2,3),FALSE))*(1+Projection!AR$16)*(1+IF(AP149&gt;0,'Attrition Modeling'!$N$9,0))),0))</f>
        <v>1750.7676718825153</v>
      </c>
      <c r="AQ84" s="799">
        <f>IF(AQ$69=$F84+1,IF(Monthly!AM$4=TRUE,0,Monthly!AM$17),IF(AQ$69&gt;$F84+1,AP84*(1-IF(AQ$69-$F84&lt;=12,SUMIFS('Attrition Modeling'!$D:$D,'Attrition Modeling'!$B:$B,$E84,'Attrition Modeling'!$C:$C,AQ$68),VLOOKUP(AQ$69-$F84-1,$A$7:$C$161,2,FALSE)*VLOOKUP(AQ$1,'Attrition Modeling'!$L$15:$N$27,IF(AQ$2-$F17&lt;=24,2,3),FALSE))*(1+Projection!AS$16)*(1+IF(AQ149&gt;0,'Attrition Modeling'!$N$9,0))),0))</f>
        <v>1680.7609235441475</v>
      </c>
      <c r="AR84" s="799">
        <f>IF(AR$69=$F84+1,IF(Monthly!AN$4=TRUE,0,Monthly!AN$17),IF(AR$69&gt;$F84+1,AQ84*(1-IF(AR$69-$F84&lt;=12,SUMIFS('Attrition Modeling'!$D:$D,'Attrition Modeling'!$B:$B,$E84,'Attrition Modeling'!$C:$C,AR$68),VLOOKUP(AR$69-$F84-1,$A$7:$C$161,2,FALSE)*VLOOKUP(AR$1,'Attrition Modeling'!$L$15:$N$27,IF(AR$2-$F17&lt;=24,2,3),FALSE))*(1+Projection!AT$16)*(1+IF(AR149&gt;0,'Attrition Modeling'!$N$9,0))),0))</f>
        <v>1614.4538787909478</v>
      </c>
      <c r="AS84" s="799">
        <f>IF(AS$69=$F84+1,IF(Monthly!AO$4=TRUE,0,Monthly!AO$17),IF(AS$69&gt;$F84+1,AR84*(1-IF(AS$69-$F84&lt;=12,SUMIFS('Attrition Modeling'!$D:$D,'Attrition Modeling'!$B:$B,$E84,'Attrition Modeling'!$C:$C,AS$68),VLOOKUP(AS$69-$F84-1,$A$7:$C$161,2,FALSE)*VLOOKUP(AS$1,'Attrition Modeling'!$L$15:$N$27,IF(AS$2-$F17&lt;=24,2,3),FALSE))*(1+Projection!AU$16)*(1+IF(AS149&gt;0,'Attrition Modeling'!$N$9,0))),0))</f>
        <v>1557.7579485793251</v>
      </c>
      <c r="AT84" s="799">
        <f>IF(AT$69=$F84+1,IF(Monthly!AP$4=TRUE,0,Monthly!AP$17),IF(AT$69&gt;$F84+1,AS84*(1-IF(AT$69-$F84&lt;=12,SUMIFS('Attrition Modeling'!$D:$D,'Attrition Modeling'!$B:$B,$E84,'Attrition Modeling'!$C:$C,AT$68),VLOOKUP(AT$69-$F84-1,$A$7:$C$161,2,FALSE)*VLOOKUP(AT$1,'Attrition Modeling'!$L$15:$N$27,IF(AT$2-$F17&lt;=24,2,3),FALSE))*(1+Projection!AV$16)*(1+IF(AT149&gt;0,'Attrition Modeling'!$N$9,0))),0))</f>
        <v>1505.5539715619666</v>
      </c>
      <c r="AU84" s="799">
        <f>IF(AU$69=$F84+1,IF(Monthly!AQ$4=TRUE,0,Monthly!AQ$17),IF(AU$69&gt;$F84+1,AT84*(1-IF(AU$69-$F84&lt;=12,SUMIFS('Attrition Modeling'!$D:$D,'Attrition Modeling'!$B:$B,$E84,'Attrition Modeling'!$C:$C,AU$68),VLOOKUP(AU$69-$F84-1,$A$7:$C$161,2,FALSE)*VLOOKUP(AU$1,'Attrition Modeling'!$L$15:$N$27,IF(AU$2-$F17&lt;=24,2,3),FALSE))*(1+Projection!AW$16)*(1+IF(AU149&gt;0,'Attrition Modeling'!$N$9,0))),0))</f>
        <v>1465.988179028416</v>
      </c>
      <c r="AV84" s="799">
        <f>IF(AV$69=$F84+1,IF(Monthly!AR$4=TRUE,0,Monthly!AR$17),IF(AV$69&gt;$F84+1,AU84*(1-IF(AV$69-$F84&lt;=12,SUMIFS('Attrition Modeling'!$D:$D,'Attrition Modeling'!$B:$B,$E84,'Attrition Modeling'!$C:$C,AV$68),VLOOKUP(AV$69-$F84-1,$A$7:$C$161,2,FALSE)*VLOOKUP(AV$1,'Attrition Modeling'!$L$15:$N$27,IF(AV$2-$F17&lt;=24,2,3),FALSE))*(1+Projection!AX$16)*(1+IF(AV149&gt;0,'Attrition Modeling'!$N$9,0))),0))</f>
        <v>1420.1070030332789</v>
      </c>
      <c r="AW84" s="799">
        <f>IF(AW$69=$F84+1,IF(Monthly!AS$4=TRUE,0,Monthly!AS$17),IF(AW$69&gt;$F84+1,AV84*(1-IF(AW$69-$F84&lt;=12,SUMIFS('Attrition Modeling'!$D:$D,'Attrition Modeling'!$B:$B,$E84,'Attrition Modeling'!$C:$C,AW$68),VLOOKUP(AW$69-$F84-1,$A$7:$C$161,2,FALSE)*VLOOKUP(AW$1,'Attrition Modeling'!$L$15:$N$27,IF(AW$2-$F17&lt;=24,2,3),FALSE))*(1+Projection!AY$16)*(1+IF(AW149&gt;0,'Attrition Modeling'!$N$9,0))),0))</f>
        <v>1370.050533112139</v>
      </c>
      <c r="AX84" s="799">
        <f>IF(AX$69=$F84+1,IF(Monthly!AT$4=TRUE,0,Monthly!AT$17),IF(AX$69&gt;$F84+1,AW84*(1-IF(AX$69-$F84&lt;=12,SUMIFS('Attrition Modeling'!$D:$D,'Attrition Modeling'!$B:$B,$E84,'Attrition Modeling'!$C:$C,AX$68),VLOOKUP(AX$69-$F84-1,$A$7:$C$161,2,FALSE)*VLOOKUP(AX$1,'Attrition Modeling'!$L$15:$N$27,IF(AX$2-$F17&lt;=24,2,3),FALSE))*(1+Projection!AZ$16)*(1+IF(AX149&gt;0,'Attrition Modeling'!$N$9,0))),0))</f>
        <v>1318.1108614089851</v>
      </c>
      <c r="AY84" s="799">
        <f>IF(AY$69=$F84+1,IF(Monthly!AU$4=TRUE,0,Monthly!AU$17),IF(AY$69&gt;$F84+1,AX84*(1-IF(AY$69-$F84&lt;=12,SUMIFS('Attrition Modeling'!$D:$D,'Attrition Modeling'!$B:$B,$E84,'Attrition Modeling'!$C:$C,AY$68),VLOOKUP(AY$69-$F84-1,$A$7:$C$161,2,FALSE)*VLOOKUP(AY$1,'Attrition Modeling'!$L$15:$N$27,IF(AY$2-$F17&lt;=24,2,3),FALSE))*(1+Projection!BA$16)*(1+IF(AY149&gt;0,'Attrition Modeling'!$N$9,0))),0))</f>
        <v>1254.5239337599344</v>
      </c>
      <c r="AZ84" s="799">
        <f>IF(AZ$69=$F84+1,IF(Monthly!AV$4=TRUE,0,Monthly!AV$17),IF(AZ$69&gt;$F84+1,AY84*(1-IF(AZ$69-$F84&lt;=12,SUMIFS('Attrition Modeling'!$D:$D,'Attrition Modeling'!$B:$B,$E84,'Attrition Modeling'!$C:$C,AZ$68),VLOOKUP(AZ$69-$F84-1,$A$7:$C$161,2,FALSE)*VLOOKUP(AZ$1,'Attrition Modeling'!$L$15:$N$27,IF(AZ$2-$F17&lt;=24,2,3),FALSE))*(1+Projection!BB$16)*(1+IF(AZ149&gt;0,'Attrition Modeling'!$N$9,0))),0))</f>
        <v>1207.7419884161079</v>
      </c>
      <c r="BA84" s="799">
        <f>IF(BA$69=$F84+1,IF(Monthly!AW$4=TRUE,0,Monthly!AW$17),IF(BA$69&gt;$F84+1,AZ84*(1-IF(BA$69-$F84&lt;=12,SUMIFS('Attrition Modeling'!$D:$D,'Attrition Modeling'!$B:$B,$E84,'Attrition Modeling'!$C:$C,BA$68),VLOOKUP(BA$69-$F84-1,$A$7:$C$161,2,FALSE)*VLOOKUP(BA$1,'Attrition Modeling'!$L$15:$N$27,IF(BA$2-$F17&lt;=24,2,3),FALSE))*(1+Projection!BC$16)*(1+IF(BA149&gt;0,'Attrition Modeling'!$N$9,0))),0))</f>
        <v>1164.7757311818577</v>
      </c>
      <c r="BB84" s="799">
        <f>IF(BB$69=$F84+1,IF(Monthly!AX$4=TRUE,0,Monthly!AX$17),IF(BB$69&gt;$F84+1,BA84*(1-IF(BB$69-$F84&lt;=12,SUMIFS('Attrition Modeling'!$D:$D,'Attrition Modeling'!$B:$B,$E84,'Attrition Modeling'!$C:$C,BB$68),VLOOKUP(BB$69-$F84-1,$A$7:$C$161,2,FALSE)*VLOOKUP(BB$1,'Attrition Modeling'!$L$15:$N$27,IF(BB$2-$F17&lt;=24,2,3),FALSE))*(1+Projection!BD$16)*(1+IF(BB149&gt;0,'Attrition Modeling'!$N$9,0))),0))</f>
        <v>1124.7492341442812</v>
      </c>
      <c r="BC84" s="799">
        <f>IF(BC$69=$F84+1,IF(Monthly!AY$4=TRUE,0,Monthly!AY$17),IF(BC$69&gt;$F84+1,BB84*(1-IF(BC$69-$F84&lt;=12,SUMIFS('Attrition Modeling'!$D:$D,'Attrition Modeling'!$B:$B,$E84,'Attrition Modeling'!$C:$C,BC$68),VLOOKUP(BC$69-$F84-1,$A$7:$C$161,2,FALSE)*VLOOKUP(BC$1,'Attrition Modeling'!$L$15:$N$27,IF(BC$2-$F17&lt;=24,2,3),FALSE))*(1+Projection!BE$16)*(1+IF(BC149&gt;0,'Attrition Modeling'!$N$9,0))),0))</f>
        <v>1093.263644493406</v>
      </c>
      <c r="BD84" s="799">
        <f>IF(BD$69=$F84+1,IF(Monthly!AZ$4=TRUE,0,Monthly!AZ$17),IF(BD$69&gt;$F84+1,BC84*(1-IF(BD$69-$F84&lt;=12,SUMIFS('Attrition Modeling'!$D:$D,'Attrition Modeling'!$B:$B,$E84,'Attrition Modeling'!$C:$C,BD$68),VLOOKUP(BD$69-$F84-1,$A$7:$C$161,2,FALSE)*VLOOKUP(BD$1,'Attrition Modeling'!$L$15:$N$27,IF(BD$2-$F17&lt;=24,2,3),FALSE))*(1+Projection!BF$16)*(1+IF(BD149&gt;0,'Attrition Modeling'!$N$9,0))),0))</f>
        <v>1059.7627649320787</v>
      </c>
      <c r="BE84" s="799">
        <f>IF(BE$69=$F84+1,IF(Monthly!BA$4=TRUE,0,Monthly!BA$17),IF(BE$69&gt;$F84+1,BD84*(1-IF(BE$69-$F84&lt;=12,SUMIFS('Attrition Modeling'!$D:$D,'Attrition Modeling'!$B:$B,$E84,'Attrition Modeling'!$C:$C,BE$68),VLOOKUP(BE$69-$F84-1,$A$7:$C$161,2,FALSE)*VLOOKUP(BE$1,'Attrition Modeling'!$L$15:$N$27,IF(BE$2-$F17&lt;=24,2,3),FALSE))*(1+Projection!BG$16)*(1+IF(BE149&gt;0,'Attrition Modeling'!$N$9,0))),0))</f>
        <v>1028.6543979972362</v>
      </c>
      <c r="BF84" s="799">
        <f>IF(BF$69=$F84+1,IF(Monthly!BB$4=TRUE,0,Monthly!BB$17),IF(BF$69&gt;$F84+1,BE84*(1-IF(BF$69-$F84&lt;=12,SUMIFS('Attrition Modeling'!$D:$D,'Attrition Modeling'!$B:$B,$E84,'Attrition Modeling'!$C:$C,BF$68),VLOOKUP(BF$69-$F84-1,$A$7:$C$161,2,FALSE)*VLOOKUP(BF$1,'Attrition Modeling'!$L$15:$N$27,IF(BF$2-$F17&lt;=24,2,3),FALSE))*(1+Projection!BH$16)*(1+IF(BF149&gt;0,'Attrition Modeling'!$N$9,0))),0))</f>
        <v>1000.0418318877851</v>
      </c>
      <c r="BG84" s="799">
        <f>IF(BG$69=$F84+1,IF(Monthly!BC$4=TRUE,0,Monthly!BC$17),IF(BG$69&gt;$F84+1,BF84*(1-IF(BG$69-$F84&lt;=12,SUMIFS('Attrition Modeling'!$D:$D,'Attrition Modeling'!$B:$B,$E84,'Attrition Modeling'!$C:$C,BG$68),VLOOKUP(BG$69-$F84-1,$A$7:$C$161,2,FALSE)*VLOOKUP(BG$1,'Attrition Modeling'!$L$15:$N$27,IF(BG$2-$F17&lt;=24,2,3),FALSE))*(1+Projection!BI$16)*(1+IF(BG149&gt;0,'Attrition Modeling'!$N$9,0))),0))</f>
        <v>978.15564611913567</v>
      </c>
      <c r="BH84" s="799">
        <f>IF(BH$69=$F84+1,IF(Monthly!BD$4=TRUE,0,Monthly!BD$17),IF(BH$69&gt;$F84+1,BG84*(1-IF(BH$69-$F84&lt;=12,SUMIFS('Attrition Modeling'!$D:$D,'Attrition Modeling'!$B:$B,$E84,'Attrition Modeling'!$C:$C,BH$68),VLOOKUP(BH$69-$F84-1,$A$7:$C$161,2,FALSE)*VLOOKUP(BH$1,'Attrition Modeling'!$L$15:$N$27,IF(BH$2-$F17&lt;=24,2,3),FALSE))*(1+Projection!BJ$16)*(1+IF(BH149&gt;0,'Attrition Modeling'!$N$9,0))),0))</f>
        <v>952.58190421017241</v>
      </c>
      <c r="BI84" s="799">
        <f>IF(BI$69=$F84+1,IF(Monthly!BE$4=TRUE,0,Monthly!BE$17),IF(BI$69&gt;$F84+1,BH84*(1-IF(BI$69-$F84&lt;=12,SUMIFS('Attrition Modeling'!$D:$D,'Attrition Modeling'!$B:$B,$E84,'Attrition Modeling'!$C:$C,BI$68),VLOOKUP(BI$69-$F84-1,$A$7:$C$161,2,FALSE)*VLOOKUP(BI$1,'Attrition Modeling'!$L$15:$N$27,IF(BI$2-$F17&lt;=24,2,3),FALSE))*(1+Projection!BK$16)*(1+IF(BI149&gt;0,'Attrition Modeling'!$N$9,0))),0))</f>
        <v>924.45028149469636</v>
      </c>
      <c r="BJ84" s="799">
        <f>IF(BJ$69=$F84+1,IF(Monthly!BF$4=TRUE,0,Monthly!BF$17),IF(BJ$69&gt;$F84+1,BI84*(1-IF(BJ$69-$F84&lt;=12,SUMIFS('Attrition Modeling'!$D:$D,'Attrition Modeling'!$B:$B,$E84,'Attrition Modeling'!$C:$C,BJ$68),VLOOKUP(BJ$69-$F84-1,$A$7:$C$161,2,FALSE)*VLOOKUP(BJ$1,'Attrition Modeling'!$L$15:$N$27,IF(BJ$2-$F17&lt;=24,2,3),FALSE))*(1+Projection!BL$16)*(1+IF(BJ149&gt;0,'Attrition Modeling'!$N$9,0))),0))</f>
        <v>895.00641754866115</v>
      </c>
      <c r="BK84" s="799">
        <f>IF(BK$69=$F84+1,IF(Monthly!BG$4=TRUE,0,Monthly!BG$17),IF(BK$69&gt;$F84+1,BJ84*(1-IF(BK$69-$F84&lt;=12,SUMIFS('Attrition Modeling'!$D:$D,'Attrition Modeling'!$B:$B,$E84,'Attrition Modeling'!$C:$C,BK$68),VLOOKUP(BK$69-$F84-1,$A$7:$C$161,2,FALSE)*VLOOKUP(BK$1,'Attrition Modeling'!$L$15:$N$27,IF(BK$2-$F17&lt;=24,2,3),FALSE))*(1+Projection!BM$16)*(1+IF(BK149&gt;0,'Attrition Modeling'!$N$9,0))),0))</f>
        <v>858.63866208324555</v>
      </c>
      <c r="BL84" s="799">
        <f>IF(BL$69=$F84+1,IF(Monthly!BH$4=TRUE,0,Monthly!BH$17),IF(BL$69&gt;$F84+1,BK84*(1-IF(BL$69-$F84&lt;=12,SUMIFS('Attrition Modeling'!$D:$D,'Attrition Modeling'!$B:$B,$E84,'Attrition Modeling'!$C:$C,BL$68),VLOOKUP(BL$69-$F84-1,$A$7:$C$161,2,FALSE)*VLOOKUP(BL$1,'Attrition Modeling'!$L$15:$N$27,IF(BL$2-$F17&lt;=24,2,3),FALSE))*(1+Projection!BN$16)*(1+IF(BL149&gt;0,'Attrition Modeling'!$N$9,0))),0))</f>
        <v>831.60243603133597</v>
      </c>
      <c r="BM84" s="799">
        <f>IF(BM$69=$F84+1,IF(Monthly!BI$4=TRUE,0,Monthly!BI$17),IF(BM$69&gt;$F84+1,BL84*(1-IF(BM$69-$F84&lt;=12,SUMIFS('Attrition Modeling'!$D:$D,'Attrition Modeling'!$B:$B,$E84,'Attrition Modeling'!$C:$C,BM$68),VLOOKUP(BM$69-$F84-1,$A$7:$C$161,2,FALSE)*VLOOKUP(BM$1,'Attrition Modeling'!$L$15:$N$27,IF(BM$2-$F17&lt;=24,2,3),FALSE))*(1+Projection!BO$16)*(1+IF(BM149&gt;0,'Attrition Modeling'!$N$9,0))),0))</f>
        <v>806.56393889541221</v>
      </c>
      <c r="BN84" s="799">
        <f>IF(BN$69=$F84+1,IF(Monthly!BJ$4=TRUE,0,Monthly!BJ$17),IF(BN$69&gt;$F84+1,BM84*(1-IF(BN$69-$F84&lt;=12,SUMIFS('Attrition Modeling'!$D:$D,'Attrition Modeling'!$B:$B,$E84,'Attrition Modeling'!$C:$C,BN$68),VLOOKUP(BN$69-$F84-1,$A$7:$C$161,2,FALSE)*VLOOKUP(BN$1,'Attrition Modeling'!$L$15:$N$27,IF(BN$2-$F17&lt;=24,2,3),FALSE))*(1+Projection!BP$16)*(1+IF(BN149&gt;0,'Attrition Modeling'!$N$9,0))),0))</f>
        <v>783.05508417178794</v>
      </c>
      <c r="BO84" s="799">
        <f>IF(BO$69=$F84+1,IF(Monthly!BK$4=TRUE,0,Monthly!BK$17),IF(BO$69&gt;$F84+1,BN84*(1-IF(BO$69-$F84&lt;=12,SUMIFS('Attrition Modeling'!$D:$D,'Attrition Modeling'!$B:$B,$E84,'Attrition Modeling'!$C:$C,BO$68),VLOOKUP(BO$69-$F84-1,$A$7:$C$161,2,FALSE)*VLOOKUP(BO$1,'Attrition Modeling'!$L$15:$N$27,IF(BO$2-$F17&lt;=24,2,3),FALSE))*(1+Projection!BV$16)*(1+IF(BO149&gt;0,'Attrition Modeling'!$N$9,0))),0))</f>
        <v>764.42419949207124</v>
      </c>
      <c r="BP84" s="799">
        <f>IF(BP$69=$F84+1,IF(Monthly!BL$4=TRUE,0,Monthly!BL$17),IF(BP$69&gt;$F84+1,BO84*(1-IF(BP$69-$F84&lt;=12,SUMIFS('Attrition Modeling'!$D:$D,'Attrition Modeling'!$B:$B,$E84,'Attrition Modeling'!$C:$C,BP$68),VLOOKUP(BP$69-$F84-1,$A$7:$C$161,2,FALSE)*VLOOKUP(BP$1,'Attrition Modeling'!$L$15:$N$27,IF(BP$2-$F17&lt;=24,2,3),FALSE))*(1+Projection!BW$16)*(1+IF(BP149&gt;0,'Attrition Modeling'!$N$9,0))),0))</f>
        <v>744.47610711954496</v>
      </c>
      <c r="BQ84" s="799">
        <f>IF(BQ$69=$F84+1,IF(Monthly!BM$4=TRUE,0,Monthly!BM$17),IF(BQ$69&gt;$F84+1,BP84*(1-IF(BQ$69-$F84&lt;=12,SUMIFS('Attrition Modeling'!$D:$D,'Attrition Modeling'!$B:$B,$E84,'Attrition Modeling'!$C:$C,BQ$68),VLOOKUP(BQ$69-$F84-1,$A$7:$C$161,2,FALSE)*VLOOKUP(BQ$1,'Attrition Modeling'!$L$15:$N$27,IF(BQ$2-$F17&lt;=24,2,3),FALSE))*(1+Projection!BX$16)*(1+IF(BQ149&gt;0,'Attrition Modeling'!$N$9,0))),0))</f>
        <v>725.83113423818997</v>
      </c>
      <c r="BR84" s="799">
        <f>IF(BR$69=$F84+1,IF(Monthly!BN$4=TRUE,0,Monthly!BN$17),IF(BR$69&gt;$F84+1,BQ84*(1-IF(BR$69-$F84&lt;=12,SUMIFS('Attrition Modeling'!$D:$D,'Attrition Modeling'!$B:$B,$E84,'Attrition Modeling'!$C:$C,BR$68),VLOOKUP(BR$69-$F84-1,$A$7:$C$161,2,FALSE)*VLOOKUP(BR$1,'Attrition Modeling'!$L$15:$N$27,IF(BR$2-$F17&lt;=24,2,3),FALSE))*(1+Projection!BY$16)*(1+IF(BR149&gt;0,'Attrition Modeling'!$N$9,0))),0))</f>
        <v>708.69142878535035</v>
      </c>
      <c r="BS84" s="799">
        <f>IF(BS$69=$F84+1,IF(Monthly!BO$4=TRUE,0,Monthly!BO$17),IF(BS$69&gt;$F84+1,BR84*(1-IF(BS$69-$F84&lt;=12,SUMIFS('Attrition Modeling'!$D:$D,'Attrition Modeling'!$B:$B,$E84,'Attrition Modeling'!$C:$C,BS$68),VLOOKUP(BS$69-$F84-1,$A$7:$C$161,2,FALSE)*VLOOKUP(BS$1,'Attrition Modeling'!$L$15:$N$27,IF(BS$2-$F17&lt;=24,2,3),FALSE))*(1+Projection!BZ$16)*(1+IF(BS149&gt;0,'Attrition Modeling'!$N$9,0))),0))</f>
        <v>695.50440296152158</v>
      </c>
      <c r="BT84" s="799">
        <f>IF(BT$69=$F84+1,IF(Monthly!#REF!=TRUE,0,Monthly!#REF!),IF(BT$69&gt;$F84+1,BS84*(1-IF(BT$69-$F84&lt;=12,SUMIFS('Attrition Modeling'!$D:$D,'Attrition Modeling'!$B:$B,$E84,'Attrition Modeling'!$C:$C,BT$68),VLOOKUP(BT$69-$F84-1,$A$7:$C$161,2,FALSE)*VLOOKUP(BT$1,'Attrition Modeling'!$L$15:$N$27,IF(BT$2-$F17&lt;=24,2,3),FALSE))*(1+Projection!CA$16)*(1+IF(BT149&gt;0,'Attrition Modeling'!$N$9,0))),0))</f>
        <v>680.02175708819084</v>
      </c>
      <c r="BU84" s="799">
        <f>IF(BU$69=$F84+1,IF(Monthly!#REF!=TRUE,0,Monthly!#REF!),IF(BU$69&gt;$F84+1,BT84*(1-IF(BU$69-$F84&lt;=12,SUMIFS('Attrition Modeling'!$D:$D,'Attrition Modeling'!$B:$B,$E84,'Attrition Modeling'!$C:$C,BU$68),VLOOKUP(BU$69-$F84-1,$A$7:$C$161,2,FALSE)*VLOOKUP(BU$1,'Attrition Modeling'!$L$15:$N$27,IF(BU$2-$F17&lt;=24,2,3),FALSE))*(1+Projection!CB$16)*(1+IF(BU149&gt;0,'Attrition Modeling'!$N$9,0))),0))</f>
        <v>662.89947840250034</v>
      </c>
    </row>
    <row r="85" spans="1:73" ht="14.25" customHeight="1" x14ac:dyDescent="0.2">
      <c r="A85" s="9">
        <v>78</v>
      </c>
      <c r="B85" s="25">
        <f>MAX('Attrition Modeling'!H82,$C$3)*(1-Summary!$C$20)</f>
        <v>2.0113990114176375E-2</v>
      </c>
      <c r="C85" s="24" t="e">
        <f t="shared" si="4"/>
        <v>#DIV/0!</v>
      </c>
      <c r="E85" s="11">
        <f t="shared" si="9"/>
        <v>3</v>
      </c>
      <c r="F85" s="11">
        <f t="shared" si="10"/>
        <v>15</v>
      </c>
      <c r="G85" s="799"/>
      <c r="H85" s="799">
        <f>IF(H$69=$F85+1,IF(Monthly!D$4=TRUE,0,Monthly!D$17),IF(H$69&gt;$F85+1,G85*(1-IF(H$69-$F85&lt;=12,SUMIFS('Attrition Modeling'!$D:$D,'Attrition Modeling'!$B:$B,$E85,'Attrition Modeling'!$C:$C,H$68),VLOOKUP(H$69-$F85-1,$A$7:$C$161,2,FALSE)*VLOOKUP(H$1,'Attrition Modeling'!$L$15:$N$27,IF(H$2-$F18&lt;=24,2,3),FALSE))*(1+Projection!J$16)*(1+IF(H150&gt;0,'Attrition Modeling'!$N$9,0))),0))</f>
        <v>0</v>
      </c>
      <c r="I85" s="799">
        <f>IF(I$69=$F85+1,IF(Monthly!E$4=TRUE,0,Monthly!E$17),IF(I$69&gt;$F85+1,H85*(1-IF(I$69-$F85&lt;=12,SUMIFS('Attrition Modeling'!$D:$D,'Attrition Modeling'!$B:$B,$E85,'Attrition Modeling'!$C:$C,I$68),VLOOKUP(I$69-$F85-1,$A$7:$C$161,2,FALSE)*VLOOKUP(I$1,'Attrition Modeling'!$L$15:$N$27,IF(I$2-$F18&lt;=24,2,3),FALSE))*(1+Projection!K$16)*(1+IF(I150&gt;0,'Attrition Modeling'!$N$9,0))),0))</f>
        <v>0</v>
      </c>
      <c r="J85" s="799">
        <f>IF(J$69=$F85+1,IF(Monthly!F$4=TRUE,0,Monthly!F$17),IF(J$69&gt;$F85+1,I85*(1-IF(J$69-$F85&lt;=12,SUMIFS('Attrition Modeling'!$D:$D,'Attrition Modeling'!$B:$B,$E85,'Attrition Modeling'!$C:$C,J$68),VLOOKUP(J$69-$F85-1,$A$7:$C$161,2,FALSE)*VLOOKUP(J$1,'Attrition Modeling'!$L$15:$N$27,IF(J$2-$F18&lt;=24,2,3),FALSE))*(1+Projection!L$16)*(1+IF(J150&gt;0,'Attrition Modeling'!$N$9,0))),0))</f>
        <v>0</v>
      </c>
      <c r="K85" s="799">
        <f>IF(K$69=$F85+1,IF(Monthly!G$4=TRUE,0,Monthly!G$17),IF(K$69&gt;$F85+1,J85*(1-IF(K$69-$F85&lt;=12,SUMIFS('Attrition Modeling'!$D:$D,'Attrition Modeling'!$B:$B,$E85,'Attrition Modeling'!$C:$C,K$68),VLOOKUP(K$69-$F85-1,$A$7:$C$161,2,FALSE)*VLOOKUP(K$1,'Attrition Modeling'!$L$15:$N$27,IF(K$2-$F18&lt;=24,2,3),FALSE))*(1+Projection!M$16)*(1+IF(K150&gt;0,'Attrition Modeling'!$N$9,0))),0))</f>
        <v>0</v>
      </c>
      <c r="L85" s="799">
        <f>IF(L$69=$F85+1,IF(Monthly!H$4=TRUE,0,Monthly!H$17),IF(L$69&gt;$F85+1,K85*(1-IF(L$69-$F85&lt;=12,SUMIFS('Attrition Modeling'!$D:$D,'Attrition Modeling'!$B:$B,$E85,'Attrition Modeling'!$C:$C,L$68),VLOOKUP(L$69-$F85-1,$A$7:$C$161,2,FALSE)*VLOOKUP(L$1,'Attrition Modeling'!$L$15:$N$27,IF(L$2-$F18&lt;=24,2,3),FALSE))*(1+Projection!N$16)*(1+IF(L150&gt;0,'Attrition Modeling'!$N$9,0))),0))</f>
        <v>0</v>
      </c>
      <c r="M85" s="799">
        <f>IF(M$69=$F85+1,IF(Monthly!I$4=TRUE,0,Monthly!I$17),IF(M$69&gt;$F85+1,L85*(1-IF(M$69-$F85&lt;=12,SUMIFS('Attrition Modeling'!$D:$D,'Attrition Modeling'!$B:$B,$E85,'Attrition Modeling'!$C:$C,M$68),VLOOKUP(M$69-$F85-1,$A$7:$C$161,2,FALSE)*VLOOKUP(M$1,'Attrition Modeling'!$L$15:$N$27,IF(M$2-$F18&lt;=24,2,3),FALSE))*(1+Projection!O$16)*(1+IF(M150&gt;0,'Attrition Modeling'!$N$9,0))),0))</f>
        <v>0</v>
      </c>
      <c r="N85" s="799">
        <f>IF(N$69=$F85+1,IF(Monthly!J$4=TRUE,0,Monthly!J$17),IF(N$69&gt;$F85+1,M85*(1-IF(N$69-$F85&lt;=12,SUMIFS('Attrition Modeling'!$D:$D,'Attrition Modeling'!$B:$B,$E85,'Attrition Modeling'!$C:$C,N$68),VLOOKUP(N$69-$F85-1,$A$7:$C$161,2,FALSE)*VLOOKUP(N$1,'Attrition Modeling'!$L$15:$N$27,IF(N$2-$F18&lt;=24,2,3),FALSE))*(1+Projection!P$16)*(1+IF(N150&gt;0,'Attrition Modeling'!$N$9,0))),0))</f>
        <v>0</v>
      </c>
      <c r="O85" s="799">
        <f>IF(O$69=$F85+1,IF(Monthly!K$4=TRUE,0,Monthly!K$17),IF(O$69&gt;$F85+1,N85*(1-IF(O$69-$F85&lt;=12,SUMIFS('Attrition Modeling'!$D:$D,'Attrition Modeling'!$B:$B,$E85,'Attrition Modeling'!$C:$C,O$68),VLOOKUP(O$69-$F85-1,$A$7:$C$161,2,FALSE)*VLOOKUP(O$1,'Attrition Modeling'!$L$15:$N$27,IF(O$2-$F18&lt;=24,2,3),FALSE))*(1+Projection!Q$16)*(1+IF(O150&gt;0,'Attrition Modeling'!$N$9,0))),0))</f>
        <v>0</v>
      </c>
      <c r="P85" s="799">
        <f>IF(P$69=$F85+1,IF(Monthly!L$4=TRUE,0,Monthly!L$17),IF(P$69&gt;$F85+1,O85*(1-IF(P$69-$F85&lt;=12,SUMIFS('Attrition Modeling'!$D:$D,'Attrition Modeling'!$B:$B,$E85,'Attrition Modeling'!$C:$C,P$68),VLOOKUP(P$69-$F85-1,$A$7:$C$161,2,FALSE)*VLOOKUP(P$1,'Attrition Modeling'!$L$15:$N$27,IF(P$2-$F18&lt;=24,2,3),FALSE))*(1+Projection!R$16)*(1+IF(P150&gt;0,'Attrition Modeling'!$N$9,0))),0))</f>
        <v>0</v>
      </c>
      <c r="Q85" s="799">
        <f>IF(Q$69=$F85+1,IF(Monthly!M$4=TRUE,0,Monthly!M$17),IF(Q$69&gt;$F85+1,P85*(1-IF(Q$69-$F85&lt;=12,SUMIFS('Attrition Modeling'!$D:$D,'Attrition Modeling'!$B:$B,$E85,'Attrition Modeling'!$C:$C,Q$68),VLOOKUP(Q$69-$F85-1,$A$7:$C$161,2,FALSE)*VLOOKUP(Q$1,'Attrition Modeling'!$L$15:$N$27,IF(Q$2-$F18&lt;=24,2,3),FALSE))*(1+Projection!S$16)*(1+IF(Q150&gt;0,'Attrition Modeling'!$N$9,0))),0))</f>
        <v>0</v>
      </c>
      <c r="R85" s="799">
        <f>IF(R$69=$F85+1,IF(Monthly!N$4=TRUE,0,Monthly!N$17),IF(R$69&gt;$F85+1,Q85*(1-IF(R$69-$F85&lt;=12,SUMIFS('Attrition Modeling'!$D:$D,'Attrition Modeling'!$B:$B,$E85,'Attrition Modeling'!$C:$C,R$68),VLOOKUP(R$69-$F85-1,$A$7:$C$161,2,FALSE)*VLOOKUP(R$1,'Attrition Modeling'!$L$15:$N$27,IF(R$2-$F18&lt;=24,2,3),FALSE))*(1+Projection!T$16)*(1+IF(R150&gt;0,'Attrition Modeling'!$N$9,0))),0))</f>
        <v>0</v>
      </c>
      <c r="S85" s="799">
        <f>IF(S$69=$F85+1,IF(Monthly!O$4=TRUE,0,Monthly!O$17),IF(S$69&gt;$F85+1,R85*(1-IF(S$69-$F85&lt;=12,SUMIFS('Attrition Modeling'!$D:$D,'Attrition Modeling'!$B:$B,$E85,'Attrition Modeling'!$C:$C,S$68),VLOOKUP(S$69-$F85-1,$A$7:$C$161,2,FALSE)*VLOOKUP(S$1,'Attrition Modeling'!$L$15:$N$27,IF(S$2-$F18&lt;=24,2,3),FALSE))*(1+Projection!U$16)*(1+IF(S150&gt;0,'Attrition Modeling'!$N$9,0))),0))</f>
        <v>0</v>
      </c>
      <c r="T85" s="799">
        <f>IF(T$69=$F85+1,IF(Monthly!P$4=TRUE,0,Monthly!P$17),IF(T$69&gt;$F85+1,S85*(1-IF(T$69-$F85&lt;=12,SUMIFS('Attrition Modeling'!$D:$D,'Attrition Modeling'!$B:$B,$E85,'Attrition Modeling'!$C:$C,T$68),VLOOKUP(T$69-$F85-1,$A$7:$C$161,2,FALSE)*VLOOKUP(T$1,'Attrition Modeling'!$L$15:$N$27,IF(T$2-$F18&lt;=24,2,3),FALSE))*(1+Projection!V$16)*(1+IF(T150&gt;0,'Attrition Modeling'!$N$9,0))),0))</f>
        <v>0</v>
      </c>
      <c r="U85" s="799">
        <f>IF(U$69=$F85+1,IF(Monthly!Q$4=TRUE,0,Monthly!Q$17),IF(U$69&gt;$F85+1,T85*(1-IF(U$69-$F85&lt;=12,SUMIFS('Attrition Modeling'!$D:$D,'Attrition Modeling'!$B:$B,$E85,'Attrition Modeling'!$C:$C,U$68),VLOOKUP(U$69-$F85-1,$A$7:$C$161,2,FALSE)*VLOOKUP(U$1,'Attrition Modeling'!$L$15:$N$27,IF(U$2-$F18&lt;=24,2,3),FALSE))*(1+Projection!W$16)*(1+IF(U150&gt;0,'Attrition Modeling'!$N$9,0))),0))</f>
        <v>0</v>
      </c>
      <c r="V85" s="799">
        <f>IF(V$69=$F85+1,IF(Monthly!R$4=TRUE,0,Monthly!R$17),IF(V$69&gt;$F85+1,U85*(1-IF(V$69-$F85&lt;=12,SUMIFS('Attrition Modeling'!$D:$D,'Attrition Modeling'!$B:$B,$E85,'Attrition Modeling'!$C:$C,V$68),VLOOKUP(V$69-$F85-1,$A$7:$C$161,2,FALSE)*VLOOKUP(V$1,'Attrition Modeling'!$L$15:$N$27,IF(V$2-$F18&lt;=24,2,3),FALSE))*(1+Projection!X$16)*(1+IF(V150&gt;0,'Attrition Modeling'!$N$9,0))),0))</f>
        <v>0</v>
      </c>
      <c r="W85" s="799">
        <f>IF(W$69=$F85+1,IF(Monthly!S$4=TRUE,0,Monthly!S$17),IF(W$69&gt;$F85+1,V85*(1-IF(W$69-$F85&lt;=12,SUMIFS('Attrition Modeling'!$D:$D,'Attrition Modeling'!$B:$B,$E85,'Attrition Modeling'!$C:$C,W$68),VLOOKUP(W$69-$F85-1,$A$7:$C$161,2,FALSE)*VLOOKUP(W$1,'Attrition Modeling'!$L$15:$N$27,IF(W$2-$F18&lt;=24,2,3),FALSE))*(1+Projection!Y$16)*(1+IF(W150&gt;0,'Attrition Modeling'!$N$9,0))),0))</f>
        <v>6522.2930485913312</v>
      </c>
      <c r="X85" s="799">
        <f>IF(X$69=$F85+1,IF(Monthly!T$4=TRUE,0,Monthly!T$17),IF(X$69&gt;$F85+1,W85*(1-IF(X$69-$F85&lt;=12,SUMIFS('Attrition Modeling'!$D:$D,'Attrition Modeling'!$B:$B,$E85,'Attrition Modeling'!$C:$C,X$68),VLOOKUP(X$69-$F85-1,$A$7:$C$161,2,FALSE)*VLOOKUP(X$1,'Attrition Modeling'!$L$15:$N$27,IF(X$2-$F18&lt;=24,2,3),FALSE))*(1+Projection!Z$16)*(1+IF(X150&gt;0,'Attrition Modeling'!$N$9,0))),0))</f>
        <v>5909.7312212639117</v>
      </c>
      <c r="Y85" s="799">
        <f>IF(Y$69=$F85+1,IF(Monthly!U$4=TRUE,0,Monthly!U$17),IF(Y$69&gt;$F85+1,X85*(1-IF(Y$69-$F85&lt;=12,SUMIFS('Attrition Modeling'!$D:$D,'Attrition Modeling'!$B:$B,$E85,'Attrition Modeling'!$C:$C,Y$68),VLOOKUP(Y$69-$F85-1,$A$7:$C$161,2,FALSE)*VLOOKUP(Y$1,'Attrition Modeling'!$L$15:$N$27,IF(Y$2-$F18&lt;=24,2,3),FALSE))*(1+Projection!AA$16)*(1+IF(Y150&gt;0,'Attrition Modeling'!$N$9,0))),0))</f>
        <v>5379.1770636404835</v>
      </c>
      <c r="Z85" s="799">
        <f>IF(Z$69=$F85+1,IF(Monthly!V$4=TRUE,0,Monthly!V$17),IF(Z$69&gt;$F85+1,Y85*(1-IF(Z$69-$F85&lt;=12,SUMIFS('Attrition Modeling'!$D:$D,'Attrition Modeling'!$B:$B,$E85,'Attrition Modeling'!$C:$C,Z$68),VLOOKUP(Z$69-$F85-1,$A$7:$C$161,2,FALSE)*VLOOKUP(Z$1,'Attrition Modeling'!$L$15:$N$27,IF(Z$2-$F18&lt;=24,2,3),FALSE))*(1+Projection!AB$16)*(1+IF(Z150&gt;0,'Attrition Modeling'!$N$9,0))),0))</f>
        <v>4898.1984844127765</v>
      </c>
      <c r="AA85" s="799">
        <f>IF(AA$69=$F85+1,IF(Monthly!W$4=TRUE,0,Monthly!W$17),IF(AA$69&gt;$F85+1,Z85*(1-IF(AA$69-$F85&lt;=12,SUMIFS('Attrition Modeling'!$D:$D,'Attrition Modeling'!$B:$B,$E85,'Attrition Modeling'!$C:$C,AA$68),VLOOKUP(AA$69-$F85-1,$A$7:$C$161,2,FALSE)*VLOOKUP(AA$1,'Attrition Modeling'!$L$15:$N$27,IF(AA$2-$F18&lt;=24,2,3),FALSE))*(1+Projection!AC$16)*(1+IF(AA150&gt;0,'Attrition Modeling'!$N$9,0))),0))</f>
        <v>4470.8388466392307</v>
      </c>
      <c r="AB85" s="799">
        <f>IF(AB$69=$F85+1,IF(Monthly!X$4=TRUE,0,Monthly!X$17),IF(AB$69&gt;$F85+1,AA85*(1-IF(AB$69-$F85&lt;=12,SUMIFS('Attrition Modeling'!$D:$D,'Attrition Modeling'!$B:$B,$E85,'Attrition Modeling'!$C:$C,AB$68),VLOOKUP(AB$69-$F85-1,$A$7:$C$161,2,FALSE)*VLOOKUP(AB$1,'Attrition Modeling'!$L$15:$N$27,IF(AB$2-$F18&lt;=24,2,3),FALSE))*(1+Projection!AD$16)*(1+IF(AB150&gt;0,'Attrition Modeling'!$N$9,0))),0))</f>
        <v>4029.2940272892524</v>
      </c>
      <c r="AC85" s="799">
        <f>IF(AC$69=$F85+1,IF(Monthly!Y$4=TRUE,0,Monthly!Y$17),IF(AC$69&gt;$F85+1,AB85*(1-IF(AC$69-$F85&lt;=12,SUMIFS('Attrition Modeling'!$D:$D,'Attrition Modeling'!$B:$B,$E85,'Attrition Modeling'!$C:$C,AC$68),VLOOKUP(AC$69-$F85-1,$A$7:$C$161,2,FALSE)*VLOOKUP(AC$1,'Attrition Modeling'!$L$15:$N$27,IF(AC$2-$F18&lt;=24,2,3),FALSE))*(1+Projection!AE$16)*(1+IF(AC150&gt;0,'Attrition Modeling'!$N$9,0))),0))</f>
        <v>3709.9342779192007</v>
      </c>
      <c r="AD85" s="799">
        <f>IF(AD$69=$F85+1,IF(Monthly!Z$4=TRUE,0,Monthly!Z$17),IF(AD$69&gt;$F85+1,AC85*(1-IF(AD$69-$F85&lt;=12,SUMIFS('Attrition Modeling'!$D:$D,'Attrition Modeling'!$B:$B,$E85,'Attrition Modeling'!$C:$C,AD$68),VLOOKUP(AD$69-$F85-1,$A$7:$C$161,2,FALSE)*VLOOKUP(AD$1,'Attrition Modeling'!$L$15:$N$27,IF(AD$2-$F18&lt;=24,2,3),FALSE))*(1+Projection!AF$16)*(1+IF(AD150&gt;0,'Attrition Modeling'!$N$9,0))),0))</f>
        <v>3433.2361754704675</v>
      </c>
      <c r="AE85" s="799">
        <f>IF(AE$69=$F85+1,IF(Monthly!AA$4=TRUE,0,Monthly!AA$17),IF(AE$69&gt;$F85+1,AD85*(1-IF(AE$69-$F85&lt;=12,SUMIFS('Attrition Modeling'!$D:$D,'Attrition Modeling'!$B:$B,$E85,'Attrition Modeling'!$C:$C,AE$68),VLOOKUP(AE$69-$F85-1,$A$7:$C$161,2,FALSE)*VLOOKUP(AE$1,'Attrition Modeling'!$L$15:$N$27,IF(AE$2-$F18&lt;=24,2,3),FALSE))*(1+Projection!AG$16)*(1+IF(AE150&gt;0,'Attrition Modeling'!$N$9,0))),0))</f>
        <v>3228.5752335462598</v>
      </c>
      <c r="AF85" s="799">
        <f>IF(AF$69=$F85+1,IF(Monthly!AB$4=TRUE,0,Monthly!AB$17),IF(AF$69&gt;$F85+1,AE85*(1-IF(AF$69-$F85&lt;=12,SUMIFS('Attrition Modeling'!$D:$D,'Attrition Modeling'!$B:$B,$E85,'Attrition Modeling'!$C:$C,AF$68),VLOOKUP(AF$69-$F85-1,$A$7:$C$161,2,FALSE)*VLOOKUP(AF$1,'Attrition Modeling'!$L$15:$N$27,IF(AF$2-$F18&lt;=24,2,3),FALSE))*(1+Projection!AH$16)*(1+IF(AF150&gt;0,'Attrition Modeling'!$N$9,0))),0))</f>
        <v>3047.5045950061071</v>
      </c>
      <c r="AG85" s="799">
        <f>IF(AG$69=$F85+1,IF(Monthly!AC$4=TRUE,0,Monthly!AC$17),IF(AG$69&gt;$F85+1,AF85*(1-IF(AG$69-$F85&lt;=12,SUMIFS('Attrition Modeling'!$D:$D,'Attrition Modeling'!$B:$B,$E85,'Attrition Modeling'!$C:$C,AG$68),VLOOKUP(AG$69-$F85-1,$A$7:$C$161,2,FALSE)*VLOOKUP(AG$1,'Attrition Modeling'!$L$15:$N$27,IF(AG$2-$F18&lt;=24,2,3),FALSE))*(1+Projection!AI$16)*(1+IF(AG150&gt;0,'Attrition Modeling'!$N$9,0))),0))</f>
        <v>2890.3846444017449</v>
      </c>
      <c r="AH85" s="799">
        <f>IF(AH$69=$F85+1,IF(Monthly!AD$4=TRUE,0,Monthly!AD$17),IF(AH$69&gt;$F85+1,AG85*(1-IF(AH$69-$F85&lt;=12,SUMIFS('Attrition Modeling'!$D:$D,'Attrition Modeling'!$B:$B,$E85,'Attrition Modeling'!$C:$C,AH$68),VLOOKUP(AH$69-$F85-1,$A$7:$C$161,2,FALSE)*VLOOKUP(AH$1,'Attrition Modeling'!$L$15:$N$27,IF(AH$2-$F18&lt;=24,2,3),FALSE))*(1+Projection!AJ$16)*(1+IF(AH150&gt;0,'Attrition Modeling'!$N$9,0))),0))</f>
        <v>2797.8287473187124</v>
      </c>
      <c r="AI85" s="799">
        <f>IF(AI$69=$F85+1,IF(Monthly!AE$4=TRUE,0,Monthly!AE$17),IF(AI$69&gt;$F85+1,AH85*(1-IF(AI$69-$F85&lt;=12,SUMIFS('Attrition Modeling'!$D:$D,'Attrition Modeling'!$B:$B,$E85,'Attrition Modeling'!$C:$C,AI$68),VLOOKUP(AI$69-$F85-1,$A$7:$C$161,2,FALSE)*VLOOKUP(AI$1,'Attrition Modeling'!$L$15:$N$27,IF(AI$2-$F18&lt;=24,2,3),FALSE))*(1+Projection!AK$16)*(1+IF(AI150&gt;0,'Attrition Modeling'!$N$9,0))),0))</f>
        <v>2652.397914641268</v>
      </c>
      <c r="AJ85" s="799">
        <f>IF(AJ$69=$F85+1,IF(Monthly!AF$4=TRUE,0,Monthly!AF$17),IF(AJ$69&gt;$F85+1,AI85*(1-IF(AJ$69-$F85&lt;=12,SUMIFS('Attrition Modeling'!$D:$D,'Attrition Modeling'!$B:$B,$E85,'Attrition Modeling'!$C:$C,AJ$68),VLOOKUP(AJ$69-$F85-1,$A$7:$C$161,2,FALSE)*VLOOKUP(AJ$1,'Attrition Modeling'!$L$15:$N$27,IF(AJ$2-$F18&lt;=24,2,3),FALSE))*(1+Projection!AL$16)*(1+IF(AJ150&gt;0,'Attrition Modeling'!$N$9,0))),0))</f>
        <v>2526.084342754189</v>
      </c>
      <c r="AK85" s="799">
        <f>IF(AK$69=$F85+1,IF(Monthly!AG$4=TRUE,0,Monthly!AG$17),IF(AK$69&gt;$F85+1,AJ85*(1-IF(AK$69-$F85&lt;=12,SUMIFS('Attrition Modeling'!$D:$D,'Attrition Modeling'!$B:$B,$E85,'Attrition Modeling'!$C:$C,AK$68),VLOOKUP(AK$69-$F85-1,$A$7:$C$161,2,FALSE)*VLOOKUP(AK$1,'Attrition Modeling'!$L$15:$N$27,IF(AK$2-$F18&lt;=24,2,3),FALSE))*(1+Projection!AM$16)*(1+IF(AK150&gt;0,'Attrition Modeling'!$N$9,0))),0))</f>
        <v>2400.4790436277212</v>
      </c>
      <c r="AL85" s="799">
        <f>IF(AL$69=$F85+1,IF(Monthly!AH$4=TRUE,0,Monthly!AH$17),IF(AL$69&gt;$F85+1,AK85*(1-IF(AL$69-$F85&lt;=12,SUMIFS('Attrition Modeling'!$D:$D,'Attrition Modeling'!$B:$B,$E85,'Attrition Modeling'!$C:$C,AL$68),VLOOKUP(AL$69-$F85-1,$A$7:$C$161,2,FALSE)*VLOOKUP(AL$1,'Attrition Modeling'!$L$15:$N$27,IF(AL$2-$F18&lt;=24,2,3),FALSE))*(1+Projection!AN$16)*(1+IF(AL150&gt;0,'Attrition Modeling'!$N$9,0))),0))</f>
        <v>2282.7573013571036</v>
      </c>
      <c r="AM85" s="799">
        <f>IF(AM$69=$F85+1,IF(Monthly!AI$4=TRUE,0,Monthly!AI$17),IF(AM$69&gt;$F85+1,AL85*(1-IF(AM$69-$F85&lt;=12,SUMIFS('Attrition Modeling'!$D:$D,'Attrition Modeling'!$B:$B,$E85,'Attrition Modeling'!$C:$C,AM$68),VLOOKUP(AM$69-$F85-1,$A$7:$C$161,2,FALSE)*VLOOKUP(AM$1,'Attrition Modeling'!$L$15:$N$27,IF(AM$2-$F18&lt;=24,2,3),FALSE))*(1+Projection!AO$16)*(1+IF(AM150&gt;0,'Attrition Modeling'!$N$9,0))),0))</f>
        <v>2169.2954369379163</v>
      </c>
      <c r="AN85" s="799">
        <f>IF(AN$69=$F85+1,IF(Monthly!AJ$4=TRUE,0,Monthly!AJ$17),IF(AN$69&gt;$F85+1,AM85*(1-IF(AN$69-$F85&lt;=12,SUMIFS('Attrition Modeling'!$D:$D,'Attrition Modeling'!$B:$B,$E85,'Attrition Modeling'!$C:$C,AN$68),VLOOKUP(AN$69-$F85-1,$A$7:$C$161,2,FALSE)*VLOOKUP(AN$1,'Attrition Modeling'!$L$15:$N$27,IF(AN$2-$F18&lt;=24,2,3),FALSE))*(1+Projection!AP$16)*(1+IF(AN150&gt;0,'Attrition Modeling'!$N$9,0))),0))</f>
        <v>2054.2323852817885</v>
      </c>
      <c r="AO85" s="799">
        <f>IF(AO$69=$F85+1,IF(Monthly!AK$4=TRUE,0,Monthly!AK$17),IF(AO$69&gt;$F85+1,AN85*(1-IF(AO$69-$F85&lt;=12,SUMIFS('Attrition Modeling'!$D:$D,'Attrition Modeling'!$B:$B,$E85,'Attrition Modeling'!$C:$C,AO$68),VLOOKUP(AO$69-$F85-1,$A$7:$C$161,2,FALSE)*VLOOKUP(AO$1,'Attrition Modeling'!$L$15:$N$27,IF(AO$2-$F18&lt;=24,2,3),FALSE))*(1+Projection!AQ$16)*(1+IF(AO150&gt;0,'Attrition Modeling'!$N$9,0))),0))</f>
        <v>1963.325605251629</v>
      </c>
      <c r="AP85" s="799">
        <f>IF(AP$69=$F85+1,IF(Monthly!AL$4=TRUE,0,Monthly!AL$17),IF(AP$69&gt;$F85+1,AO85*(1-IF(AP$69-$F85&lt;=12,SUMIFS('Attrition Modeling'!$D:$D,'Attrition Modeling'!$B:$B,$E85,'Attrition Modeling'!$C:$C,AP$68),VLOOKUP(AP$69-$F85-1,$A$7:$C$161,2,FALSE)*VLOOKUP(AP$1,'Attrition Modeling'!$L$15:$N$27,IF(AP$2-$F18&lt;=24,2,3),FALSE))*(1+Projection!AR$16)*(1+IF(AP150&gt;0,'Attrition Modeling'!$N$9,0))),0))</f>
        <v>1881.3321657163131</v>
      </c>
      <c r="AQ85" s="799">
        <f>IF(AQ$69=$F85+1,IF(Monthly!AM$4=TRUE,0,Monthly!AM$17),IF(AQ$69&gt;$F85+1,AP85*(1-IF(AQ$69-$F85&lt;=12,SUMIFS('Attrition Modeling'!$D:$D,'Attrition Modeling'!$B:$B,$E85,'Attrition Modeling'!$C:$C,AQ$68),VLOOKUP(AQ$69-$F85-1,$A$7:$C$161,2,FALSE)*VLOOKUP(AQ$1,'Attrition Modeling'!$L$15:$N$27,IF(AQ$2-$F18&lt;=24,2,3),FALSE))*(1+Projection!AS$16)*(1+IF(AQ150&gt;0,'Attrition Modeling'!$N$9,0))),0))</f>
        <v>1804.9165596310968</v>
      </c>
      <c r="AR85" s="799">
        <f>IF(AR$69=$F85+1,IF(Monthly!AN$4=TRUE,0,Monthly!AN$17),IF(AR$69&gt;$F85+1,AQ85*(1-IF(AR$69-$F85&lt;=12,SUMIFS('Attrition Modeling'!$D:$D,'Attrition Modeling'!$B:$B,$E85,'Attrition Modeling'!$C:$C,AR$68),VLOOKUP(AR$69-$F85-1,$A$7:$C$161,2,FALSE)*VLOOKUP(AR$1,'Attrition Modeling'!$L$15:$N$27,IF(AR$2-$F18&lt;=24,2,3),FALSE))*(1+Projection!AT$16)*(1+IF(AR150&gt;0,'Attrition Modeling'!$N$9,0))),0))</f>
        <v>1732.6794871720379</v>
      </c>
      <c r="AS85" s="799">
        <f>IF(AS$69=$F85+1,IF(Monthly!AO$4=TRUE,0,Monthly!AO$17),IF(AS$69&gt;$F85+1,AR85*(1-IF(AS$69-$F85&lt;=12,SUMIFS('Attrition Modeling'!$D:$D,'Attrition Modeling'!$B:$B,$E85,'Attrition Modeling'!$C:$C,AS$68),VLOOKUP(AS$69-$F85-1,$A$7:$C$161,2,FALSE)*VLOOKUP(AS$1,'Attrition Modeling'!$L$15:$N$27,IF(AS$2-$F18&lt;=24,2,3),FALSE))*(1+Projection!AU$16)*(1+IF(AS150&gt;0,'Attrition Modeling'!$N$9,0))),0))</f>
        <v>1671.0158382722809</v>
      </c>
      <c r="AT85" s="799">
        <f>IF(AT$69=$F85+1,IF(Monthly!AP$4=TRUE,0,Monthly!AP$17),IF(AT$69&gt;$F85+1,AS85*(1-IF(AT$69-$F85&lt;=12,SUMIFS('Attrition Modeling'!$D:$D,'Attrition Modeling'!$B:$B,$E85,'Attrition Modeling'!$C:$C,AT$68),VLOOKUP(AT$69-$F85-1,$A$7:$C$161,2,FALSE)*VLOOKUP(AT$1,'Attrition Modeling'!$L$15:$N$27,IF(AT$2-$F18&lt;=24,2,3),FALSE))*(1+Projection!AV$16)*(1+IF(AT150&gt;0,'Attrition Modeling'!$N$9,0))),0))</f>
        <v>1607.1366421139301</v>
      </c>
      <c r="AU85" s="799">
        <f>IF(AU$69=$F85+1,IF(Monthly!AQ$4=TRUE,0,Monthly!AQ$17),IF(AU$69&gt;$F85+1,AT85*(1-IF(AU$69-$F85&lt;=12,SUMIFS('Attrition Modeling'!$D:$D,'Attrition Modeling'!$B:$B,$E85,'Attrition Modeling'!$C:$C,AU$68),VLOOKUP(AU$69-$F85-1,$A$7:$C$161,2,FALSE)*VLOOKUP(AU$1,'Attrition Modeling'!$L$15:$N$27,IF(AU$2-$F18&lt;=24,2,3),FALSE))*(1+Projection!AW$16)*(1+IF(AU150&gt;0,'Attrition Modeling'!$N$9,0))),0))</f>
        <v>1564.1658478833115</v>
      </c>
      <c r="AV85" s="799">
        <f>IF(AV$69=$F85+1,IF(Monthly!AR$4=TRUE,0,Monthly!AR$17),IF(AV$69&gt;$F85+1,AU85*(1-IF(AV$69-$F85&lt;=12,SUMIFS('Attrition Modeling'!$D:$D,'Attrition Modeling'!$B:$B,$E85,'Attrition Modeling'!$C:$C,AV$68),VLOOKUP(AV$69-$F85-1,$A$7:$C$161,2,FALSE)*VLOOKUP(AV$1,'Attrition Modeling'!$L$15:$N$27,IF(AV$2-$F18&lt;=24,2,3),FALSE))*(1+Projection!AX$16)*(1+IF(AV150&gt;0,'Attrition Modeling'!$N$9,0))),0))</f>
        <v>1514.3790928729818</v>
      </c>
      <c r="AW85" s="799">
        <f>IF(AW$69=$F85+1,IF(Monthly!AS$4=TRUE,0,Monthly!AS$17),IF(AW$69&gt;$F85+1,AV85*(1-IF(AW$69-$F85&lt;=12,SUMIFS('Attrition Modeling'!$D:$D,'Attrition Modeling'!$B:$B,$E85,'Attrition Modeling'!$C:$C,AW$68),VLOOKUP(AW$69-$F85-1,$A$7:$C$161,2,FALSE)*VLOOKUP(AW$1,'Attrition Modeling'!$L$15:$N$27,IF(AW$2-$F18&lt;=24,2,3),FALSE))*(1+Projection!AY$16)*(1+IF(AW150&gt;0,'Attrition Modeling'!$N$9,0))),0))</f>
        <v>1460.1112192840815</v>
      </c>
      <c r="AX85" s="799">
        <f>IF(AX$69=$F85+1,IF(Monthly!AT$4=TRUE,0,Monthly!AT$17),IF(AX$69&gt;$F85+1,AW85*(1-IF(AX$69-$F85&lt;=12,SUMIFS('Attrition Modeling'!$D:$D,'Attrition Modeling'!$B:$B,$E85,'Attrition Modeling'!$C:$C,AX$68),VLOOKUP(AX$69-$F85-1,$A$7:$C$161,2,FALSE)*VLOOKUP(AX$1,'Attrition Modeling'!$L$15:$N$27,IF(AX$2-$F18&lt;=24,2,3),FALSE))*(1+Projection!AZ$16)*(1+IF(AX150&gt;0,'Attrition Modeling'!$N$9,0))),0))</f>
        <v>1403.8549860439578</v>
      </c>
      <c r="AY85" s="799">
        <f>IF(AY$69=$F85+1,IF(Monthly!AU$4=TRUE,0,Monthly!AU$17),IF(AY$69&gt;$F85+1,AX85*(1-IF(AY$69-$F85&lt;=12,SUMIFS('Attrition Modeling'!$D:$D,'Attrition Modeling'!$B:$B,$E85,'Attrition Modeling'!$C:$C,AY$68),VLOOKUP(AY$69-$F85-1,$A$7:$C$161,2,FALSE)*VLOOKUP(AY$1,'Attrition Modeling'!$L$15:$N$27,IF(AY$2-$F18&lt;=24,2,3),FALSE))*(1+Projection!BA$16)*(1+IF(AY150&gt;0,'Attrition Modeling'!$N$9,0))),0))</f>
        <v>1346.5170673705957</v>
      </c>
      <c r="AZ85" s="799">
        <f>IF(AZ$69=$F85+1,IF(Monthly!AV$4=TRUE,0,Monthly!AV$17),IF(AZ$69&gt;$F85+1,AY85*(1-IF(AZ$69-$F85&lt;=12,SUMIFS('Attrition Modeling'!$D:$D,'Attrition Modeling'!$B:$B,$E85,'Attrition Modeling'!$C:$C,AZ$68),VLOOKUP(AZ$69-$F85-1,$A$7:$C$161,2,FALSE)*VLOOKUP(AZ$1,'Attrition Modeling'!$L$15:$N$27,IF(AZ$2-$F18&lt;=24,2,3),FALSE))*(1+Projection!BB$16)*(1+IF(AZ150&gt;0,'Attrition Modeling'!$N$9,0))),0))</f>
        <v>1285.3173645594738</v>
      </c>
      <c r="BA85" s="799">
        <f>IF(BA$69=$F85+1,IF(Monthly!AW$4=TRUE,0,Monthly!AW$17),IF(BA$69&gt;$F85+1,AZ85*(1-IF(BA$69-$F85&lt;=12,SUMIFS('Attrition Modeling'!$D:$D,'Attrition Modeling'!$B:$B,$E85,'Attrition Modeling'!$C:$C,BA$68),VLOOKUP(BA$69-$F85-1,$A$7:$C$161,2,FALSE)*VLOOKUP(BA$1,'Attrition Modeling'!$L$15:$N$27,IF(BA$2-$F18&lt;=24,2,3),FALSE))*(1+Projection!BC$16)*(1+IF(BA150&gt;0,'Attrition Modeling'!$N$9,0))),0))</f>
        <v>1238.8871603904192</v>
      </c>
      <c r="BB85" s="799">
        <f>IF(BB$69=$F85+1,IF(Monthly!AX$4=TRUE,0,Monthly!AX$17),IF(BB$69&gt;$F85+1,BA85*(1-IF(BB$69-$F85&lt;=12,SUMIFS('Attrition Modeling'!$D:$D,'Attrition Modeling'!$B:$B,$E85,'Attrition Modeling'!$C:$C,BB$68),VLOOKUP(BB$69-$F85-1,$A$7:$C$161,2,FALSE)*VLOOKUP(BB$1,'Attrition Modeling'!$L$15:$N$27,IF(BB$2-$F18&lt;=24,2,3),FALSE))*(1+Projection!BD$16)*(1+IF(BB150&gt;0,'Attrition Modeling'!$N$9,0))),0))</f>
        <v>1195.6694985982297</v>
      </c>
      <c r="BC85" s="799">
        <f>IF(BC$69=$F85+1,IF(Monthly!AY$4=TRUE,0,Monthly!AY$17),IF(BC$69&gt;$F85+1,BB85*(1-IF(BC$69-$F85&lt;=12,SUMIFS('Attrition Modeling'!$D:$D,'Attrition Modeling'!$B:$B,$E85,'Attrition Modeling'!$C:$C,BC$68),VLOOKUP(BC$69-$F85-1,$A$7:$C$161,2,FALSE)*VLOOKUP(BC$1,'Attrition Modeling'!$L$15:$N$27,IF(BC$2-$F18&lt;=24,2,3),FALSE))*(1+Projection!BE$16)*(1+IF(BC150&gt;0,'Attrition Modeling'!$N$9,0))),0))</f>
        <v>1161.700270909171</v>
      </c>
      <c r="BD85" s="799">
        <f>IF(BD$69=$F85+1,IF(Monthly!AZ$4=TRUE,0,Monthly!AZ$17),IF(BD$69&gt;$F85+1,BC85*(1-IF(BD$69-$F85&lt;=12,SUMIFS('Attrition Modeling'!$D:$D,'Attrition Modeling'!$B:$B,$E85,'Attrition Modeling'!$C:$C,BD$68),VLOOKUP(BD$69-$F85-1,$A$7:$C$161,2,FALSE)*VLOOKUP(BD$1,'Attrition Modeling'!$L$15:$N$27,IF(BD$2-$F18&lt;=24,2,3),FALSE))*(1+Projection!BF$16)*(1+IF(BD150&gt;0,'Attrition Modeling'!$N$9,0))),0))</f>
        <v>1125.5805693078573</v>
      </c>
      <c r="BE85" s="799">
        <f>IF(BE$69=$F85+1,IF(Monthly!BA$4=TRUE,0,Monthly!BA$17),IF(BE$69&gt;$F85+1,BD85*(1-IF(BE$69-$F85&lt;=12,SUMIFS('Attrition Modeling'!$D:$D,'Attrition Modeling'!$B:$B,$E85,'Attrition Modeling'!$C:$C,BE$68),VLOOKUP(BE$69-$F85-1,$A$7:$C$161,2,FALSE)*VLOOKUP(BE$1,'Attrition Modeling'!$L$15:$N$27,IF(BE$2-$F18&lt;=24,2,3),FALSE))*(1+Projection!BG$16)*(1+IF(BE150&gt;0,'Attrition Modeling'!$N$9,0))),0))</f>
        <v>1092.0631960456628</v>
      </c>
      <c r="BF85" s="799">
        <f>IF(BF$69=$F85+1,IF(Monthly!BB$4=TRUE,0,Monthly!BB$17),IF(BF$69&gt;$F85+1,BE85*(1-IF(BF$69-$F85&lt;=12,SUMIFS('Attrition Modeling'!$D:$D,'Attrition Modeling'!$B:$B,$E85,'Attrition Modeling'!$C:$C,BF$68),VLOOKUP(BF$69-$F85-1,$A$7:$C$161,2,FALSE)*VLOOKUP(BF$1,'Attrition Modeling'!$L$15:$N$27,IF(BF$2-$F18&lt;=24,2,3),FALSE))*(1+Projection!BH$16)*(1+IF(BF150&gt;0,'Attrition Modeling'!$N$9,0))),0))</f>
        <v>1061.2546458459917</v>
      </c>
      <c r="BG85" s="799">
        <f>IF(BG$69=$F85+1,IF(Monthly!BC$4=TRUE,0,Monthly!BC$17),IF(BG$69&gt;$F85+1,BF85*(1-IF(BG$69-$F85&lt;=12,SUMIFS('Attrition Modeling'!$D:$D,'Attrition Modeling'!$B:$B,$E85,'Attrition Modeling'!$C:$C,BG$68),VLOOKUP(BG$69-$F85-1,$A$7:$C$161,2,FALSE)*VLOOKUP(BG$1,'Attrition Modeling'!$L$15:$N$27,IF(BG$2-$F18&lt;=24,2,3),FALSE))*(1+Projection!BI$16)*(1+IF(BG150&gt;0,'Attrition Modeling'!$N$9,0))),0))</f>
        <v>1037.7028574678425</v>
      </c>
      <c r="BH85" s="799">
        <f>IF(BH$69=$F85+1,IF(Monthly!BD$4=TRUE,0,Monthly!BD$17),IF(BH$69&gt;$F85+1,BG85*(1-IF(BH$69-$F85&lt;=12,SUMIFS('Attrition Modeling'!$D:$D,'Attrition Modeling'!$B:$B,$E85,'Attrition Modeling'!$C:$C,BH$68),VLOOKUP(BH$69-$F85-1,$A$7:$C$161,2,FALSE)*VLOOKUP(BH$1,'Attrition Modeling'!$L$15:$N$27,IF(BH$2-$F18&lt;=24,2,3),FALSE))*(1+Projection!BJ$16)*(1+IF(BH150&gt;0,'Attrition Modeling'!$N$9,0))),0))</f>
        <v>1010.1965427407315</v>
      </c>
      <c r="BI85" s="799">
        <f>IF(BI$69=$F85+1,IF(Monthly!BE$4=TRUE,0,Monthly!BE$17),IF(BI$69&gt;$F85+1,BH85*(1-IF(BI$69-$F85&lt;=12,SUMIFS('Attrition Modeling'!$D:$D,'Attrition Modeling'!$B:$B,$E85,'Attrition Modeling'!$C:$C,BI$68),VLOOKUP(BI$69-$F85-1,$A$7:$C$161,2,FALSE)*VLOOKUP(BI$1,'Attrition Modeling'!$L$15:$N$27,IF(BI$2-$F18&lt;=24,2,3),FALSE))*(1+Projection!BK$16)*(1+IF(BI150&gt;0,'Attrition Modeling'!$N$9,0))),0))</f>
        <v>979.95553101101268</v>
      </c>
      <c r="BJ85" s="799">
        <f>IF(BJ$69=$F85+1,IF(Monthly!BF$4=TRUE,0,Monthly!BF$17),IF(BJ$69&gt;$F85+1,BI85*(1-IF(BJ$69-$F85&lt;=12,SUMIFS('Attrition Modeling'!$D:$D,'Attrition Modeling'!$B:$B,$E85,'Attrition Modeling'!$C:$C,BJ$68),VLOOKUP(BJ$69-$F85-1,$A$7:$C$161,2,FALSE)*VLOOKUP(BJ$1,'Attrition Modeling'!$L$15:$N$27,IF(BJ$2-$F18&lt;=24,2,3),FALSE))*(1+Projection!BL$16)*(1+IF(BJ150&gt;0,'Attrition Modeling'!$N$9,0))),0))</f>
        <v>948.32223922868207</v>
      </c>
      <c r="BK85" s="799">
        <f>IF(BK$69=$F85+1,IF(Monthly!BG$4=TRUE,0,Monthly!BG$17),IF(BK$69&gt;$F85+1,BJ85*(1-IF(BK$69-$F85&lt;=12,SUMIFS('Attrition Modeling'!$D:$D,'Attrition Modeling'!$B:$B,$E85,'Attrition Modeling'!$C:$C,BK$68),VLOOKUP(BK$69-$F85-1,$A$7:$C$161,2,FALSE)*VLOOKUP(BK$1,'Attrition Modeling'!$L$15:$N$27,IF(BK$2-$F18&lt;=24,2,3),FALSE))*(1+Projection!BM$16)*(1+IF(BK150&gt;0,'Attrition Modeling'!$N$9,0))),0))</f>
        <v>915.78173787131652</v>
      </c>
      <c r="BL85" s="799">
        <f>IF(BL$69=$F85+1,IF(Monthly!BH$4=TRUE,0,Monthly!BH$17),IF(BL$69&gt;$F85+1,BK85*(1-IF(BL$69-$F85&lt;=12,SUMIFS('Attrition Modeling'!$D:$D,'Attrition Modeling'!$B:$B,$E85,'Attrition Modeling'!$C:$C,BL$68),VLOOKUP(BL$69-$F85-1,$A$7:$C$161,2,FALSE)*VLOOKUP(BL$1,'Attrition Modeling'!$L$15:$N$27,IF(BL$2-$F18&lt;=24,2,3),FALSE))*(1+Projection!BN$16)*(1+IF(BL150&gt;0,'Attrition Modeling'!$N$9,0))),0))</f>
        <v>880.72238663034477</v>
      </c>
      <c r="BM85" s="799">
        <f>IF(BM$69=$F85+1,IF(Monthly!BI$4=TRUE,0,Monthly!BI$17),IF(BM$69&gt;$F85+1,BL85*(1-IF(BM$69-$F85&lt;=12,SUMIFS('Attrition Modeling'!$D:$D,'Attrition Modeling'!$B:$B,$E85,'Attrition Modeling'!$C:$C,BM$68),VLOOKUP(BM$69-$F85-1,$A$7:$C$161,2,FALSE)*VLOOKUP(BM$1,'Attrition Modeling'!$L$15:$N$27,IF(BM$2-$F18&lt;=24,2,3),FALSE))*(1+Projection!BO$16)*(1+IF(BM150&gt;0,'Attrition Modeling'!$N$9,0))),0))</f>
        <v>853.85870341997429</v>
      </c>
      <c r="BN85" s="799">
        <f>IF(BN$69=$F85+1,IF(Monthly!BJ$4=TRUE,0,Monthly!BJ$17),IF(BN$69&gt;$F85+1,BM85*(1-IF(BN$69-$F85&lt;=12,SUMIFS('Attrition Modeling'!$D:$D,'Attrition Modeling'!$B:$B,$E85,'Attrition Modeling'!$C:$C,BN$68),VLOOKUP(BN$69-$F85-1,$A$7:$C$161,2,FALSE)*VLOOKUP(BN$1,'Attrition Modeling'!$L$15:$N$27,IF(BN$2-$F18&lt;=24,2,3),FALSE))*(1+Projection!BP$16)*(1+IF(BN150&gt;0,'Attrition Modeling'!$N$9,0))),0))</f>
        <v>828.64975844343746</v>
      </c>
      <c r="BO85" s="799">
        <f>IF(BO$69=$F85+1,IF(Monthly!BK$4=TRUE,0,Monthly!BK$17),IF(BO$69&gt;$F85+1,BN85*(1-IF(BO$69-$F85&lt;=12,SUMIFS('Attrition Modeling'!$D:$D,'Attrition Modeling'!$B:$B,$E85,'Attrition Modeling'!$C:$C,BO$68),VLOOKUP(BO$69-$F85-1,$A$7:$C$161,2,FALSE)*VLOOKUP(BO$1,'Attrition Modeling'!$L$15:$N$27,IF(BO$2-$F18&lt;=24,2,3),FALSE))*(1+Projection!BV$16)*(1+IF(BO150&gt;0,'Attrition Modeling'!$N$9,0))),0))</f>
        <v>808.6818337091255</v>
      </c>
      <c r="BP85" s="799">
        <f>IF(BP$69=$F85+1,IF(Monthly!BL$4=TRUE,0,Monthly!BL$17),IF(BP$69&gt;$F85+1,BO85*(1-IF(BP$69-$F85&lt;=12,SUMIFS('Attrition Modeling'!$D:$D,'Attrition Modeling'!$B:$B,$E85,'Attrition Modeling'!$C:$C,BP$68),VLOOKUP(BP$69-$F85-1,$A$7:$C$161,2,FALSE)*VLOOKUP(BP$1,'Attrition Modeling'!$L$15:$N$27,IF(BP$2-$F18&lt;=24,2,3),FALSE))*(1+Projection!BW$16)*(1+IF(BP150&gt;0,'Attrition Modeling'!$N$9,0))),0))</f>
        <v>787.31142690327351</v>
      </c>
      <c r="BQ85" s="799">
        <f>IF(BQ$69=$F85+1,IF(Monthly!BM$4=TRUE,0,Monthly!BM$17),IF(BQ$69&gt;$F85+1,BP85*(1-IF(BQ$69-$F85&lt;=12,SUMIFS('Attrition Modeling'!$D:$D,'Attrition Modeling'!$B:$B,$E85,'Attrition Modeling'!$C:$C,BQ$68),VLOOKUP(BQ$69-$F85-1,$A$7:$C$161,2,FALSE)*VLOOKUP(BQ$1,'Attrition Modeling'!$L$15:$N$27,IF(BQ$2-$F18&lt;=24,2,3),FALSE))*(1+Projection!BX$16)*(1+IF(BQ150&gt;0,'Attrition Modeling'!$N$9,0))),0))</f>
        <v>767.3461387088056</v>
      </c>
      <c r="BR85" s="799">
        <f>IF(BR$69=$F85+1,IF(Monthly!BN$4=TRUE,0,Monthly!BN$17),IF(BR$69&gt;$F85+1,BQ85*(1-IF(BR$69-$F85&lt;=12,SUMIFS('Attrition Modeling'!$D:$D,'Attrition Modeling'!$B:$B,$E85,'Attrition Modeling'!$C:$C,BR$68),VLOOKUP(BR$69-$F85-1,$A$7:$C$161,2,FALSE)*VLOOKUP(BR$1,'Attrition Modeling'!$L$15:$N$27,IF(BR$2-$F18&lt;=24,2,3),FALSE))*(1+Projection!BY$16)*(1+IF(BR150&gt;0,'Attrition Modeling'!$N$9,0))),0))</f>
        <v>748.87654943144571</v>
      </c>
      <c r="BS85" s="799">
        <f>IF(BS$69=$F85+1,IF(Monthly!BO$4=TRUE,0,Monthly!BO$17),IF(BS$69&gt;$F85+1,BR85*(1-IF(BS$69-$F85&lt;=12,SUMIFS('Attrition Modeling'!$D:$D,'Attrition Modeling'!$B:$B,$E85,'Attrition Modeling'!$C:$C,BS$68),VLOOKUP(BS$69-$F85-1,$A$7:$C$161,2,FALSE)*VLOOKUP(BS$1,'Attrition Modeling'!$L$15:$N$27,IF(BS$2-$F18&lt;=24,2,3),FALSE))*(1+Projection!BZ$16)*(1+IF(BS150&gt;0,'Attrition Modeling'!$N$9,0))),0))</f>
        <v>734.76759092274665</v>
      </c>
      <c r="BT85" s="799">
        <f>IF(BT$69=$F85+1,IF(Monthly!#REF!=TRUE,0,Monthly!#REF!),IF(BT$69&gt;$F85+1,BS85*(1-IF(BT$69-$F85&lt;=12,SUMIFS('Attrition Modeling'!$D:$D,'Attrition Modeling'!$B:$B,$E85,'Attrition Modeling'!$C:$C,BT$68),VLOOKUP(BT$69-$F85-1,$A$7:$C$161,2,FALSE)*VLOOKUP(BT$1,'Attrition Modeling'!$L$15:$N$27,IF(BT$2-$F18&lt;=24,2,3),FALSE))*(1+Projection!CA$16)*(1+IF(BT150&gt;0,'Attrition Modeling'!$N$9,0))),0))</f>
        <v>718.20809358436725</v>
      </c>
      <c r="BU85" s="799">
        <f>IF(BU$69=$F85+1,IF(Monthly!#REF!=TRUE,0,Monthly!#REF!),IF(BU$69&gt;$F85+1,BT85*(1-IF(BU$69-$F85&lt;=12,SUMIFS('Attrition Modeling'!$D:$D,'Attrition Modeling'!$B:$B,$E85,'Attrition Modeling'!$C:$C,BU$68),VLOOKUP(BU$69-$F85-1,$A$7:$C$161,2,FALSE)*VLOOKUP(BU$1,'Attrition Modeling'!$L$15:$N$27,IF(BU$2-$F18&lt;=24,2,3),FALSE))*(1+Projection!CB$16)*(1+IF(BU150&gt;0,'Attrition Modeling'!$N$9,0))),0))</f>
        <v>699.90182968828947</v>
      </c>
    </row>
    <row r="86" spans="1:73" ht="14.25" customHeight="1" x14ac:dyDescent="0.2">
      <c r="A86" s="9">
        <v>79</v>
      </c>
      <c r="B86" s="25">
        <f>MAX('Attrition Modeling'!H83,$C$3)*(1-Summary!$C$20)</f>
        <v>0.02</v>
      </c>
      <c r="C86" s="24" t="e">
        <f t="shared" si="4"/>
        <v>#DIV/0!</v>
      </c>
      <c r="E86" s="11">
        <f t="shared" si="9"/>
        <v>4</v>
      </c>
      <c r="F86" s="11">
        <f t="shared" si="10"/>
        <v>16</v>
      </c>
      <c r="G86" s="799"/>
      <c r="H86" s="799">
        <f>IF(H$69=$F86+1,IF(Monthly!D$4=TRUE,0,Monthly!D$17),IF(H$69&gt;$F86+1,G86*(1-IF(H$69-$F86&lt;=12,SUMIFS('Attrition Modeling'!$D:$D,'Attrition Modeling'!$B:$B,$E86,'Attrition Modeling'!$C:$C,H$68),VLOOKUP(H$69-$F86-1,$A$7:$C$161,2,FALSE)*VLOOKUP(H$1,'Attrition Modeling'!$L$15:$N$27,IF(H$2-$F19&lt;=24,2,3),FALSE))*(1+Projection!J$16)*(1+IF(H151&gt;0,'Attrition Modeling'!$N$9,0))),0))</f>
        <v>0</v>
      </c>
      <c r="I86" s="799">
        <f>IF(I$69=$F86+1,IF(Monthly!E$4=TRUE,0,Monthly!E$17),IF(I$69&gt;$F86+1,H86*(1-IF(I$69-$F86&lt;=12,SUMIFS('Attrition Modeling'!$D:$D,'Attrition Modeling'!$B:$B,$E86,'Attrition Modeling'!$C:$C,I$68),VLOOKUP(I$69-$F86-1,$A$7:$C$161,2,FALSE)*VLOOKUP(I$1,'Attrition Modeling'!$L$15:$N$27,IF(I$2-$F19&lt;=24,2,3),FALSE))*(1+Projection!K$16)*(1+IF(I151&gt;0,'Attrition Modeling'!$N$9,0))),0))</f>
        <v>0</v>
      </c>
      <c r="J86" s="799">
        <f>IF(J$69=$F86+1,IF(Monthly!F$4=TRUE,0,Monthly!F$17),IF(J$69&gt;$F86+1,I86*(1-IF(J$69-$F86&lt;=12,SUMIFS('Attrition Modeling'!$D:$D,'Attrition Modeling'!$B:$B,$E86,'Attrition Modeling'!$C:$C,J$68),VLOOKUP(J$69-$F86-1,$A$7:$C$161,2,FALSE)*VLOOKUP(J$1,'Attrition Modeling'!$L$15:$N$27,IF(J$2-$F19&lt;=24,2,3),FALSE))*(1+Projection!L$16)*(1+IF(J151&gt;0,'Attrition Modeling'!$N$9,0))),0))</f>
        <v>0</v>
      </c>
      <c r="K86" s="799">
        <f>IF(K$69=$F86+1,IF(Monthly!G$4=TRUE,0,Monthly!G$17),IF(K$69&gt;$F86+1,J86*(1-IF(K$69-$F86&lt;=12,SUMIFS('Attrition Modeling'!$D:$D,'Attrition Modeling'!$B:$B,$E86,'Attrition Modeling'!$C:$C,K$68),VLOOKUP(K$69-$F86-1,$A$7:$C$161,2,FALSE)*VLOOKUP(K$1,'Attrition Modeling'!$L$15:$N$27,IF(K$2-$F19&lt;=24,2,3),FALSE))*(1+Projection!M$16)*(1+IF(K151&gt;0,'Attrition Modeling'!$N$9,0))),0))</f>
        <v>0</v>
      </c>
      <c r="L86" s="799">
        <f>IF(L$69=$F86+1,IF(Monthly!H$4=TRUE,0,Monthly!H$17),IF(L$69&gt;$F86+1,K86*(1-IF(L$69-$F86&lt;=12,SUMIFS('Attrition Modeling'!$D:$D,'Attrition Modeling'!$B:$B,$E86,'Attrition Modeling'!$C:$C,L$68),VLOOKUP(L$69-$F86-1,$A$7:$C$161,2,FALSE)*VLOOKUP(L$1,'Attrition Modeling'!$L$15:$N$27,IF(L$2-$F19&lt;=24,2,3),FALSE))*(1+Projection!N$16)*(1+IF(L151&gt;0,'Attrition Modeling'!$N$9,0))),0))</f>
        <v>0</v>
      </c>
      <c r="M86" s="799">
        <f>IF(M$69=$F86+1,IF(Monthly!I$4=TRUE,0,Monthly!I$17),IF(M$69&gt;$F86+1,L86*(1-IF(M$69-$F86&lt;=12,SUMIFS('Attrition Modeling'!$D:$D,'Attrition Modeling'!$B:$B,$E86,'Attrition Modeling'!$C:$C,M$68),VLOOKUP(M$69-$F86-1,$A$7:$C$161,2,FALSE)*VLOOKUP(M$1,'Attrition Modeling'!$L$15:$N$27,IF(M$2-$F19&lt;=24,2,3),FALSE))*(1+Projection!O$16)*(1+IF(M151&gt;0,'Attrition Modeling'!$N$9,0))),0))</f>
        <v>0</v>
      </c>
      <c r="N86" s="799">
        <f>IF(N$69=$F86+1,IF(Monthly!J$4=TRUE,0,Monthly!J$17),IF(N$69&gt;$F86+1,M86*(1-IF(N$69-$F86&lt;=12,SUMIFS('Attrition Modeling'!$D:$D,'Attrition Modeling'!$B:$B,$E86,'Attrition Modeling'!$C:$C,N$68),VLOOKUP(N$69-$F86-1,$A$7:$C$161,2,FALSE)*VLOOKUP(N$1,'Attrition Modeling'!$L$15:$N$27,IF(N$2-$F19&lt;=24,2,3),FALSE))*(1+Projection!P$16)*(1+IF(N151&gt;0,'Attrition Modeling'!$N$9,0))),0))</f>
        <v>0</v>
      </c>
      <c r="O86" s="799">
        <f>IF(O$69=$F86+1,IF(Monthly!K$4=TRUE,0,Monthly!K$17),IF(O$69&gt;$F86+1,N86*(1-IF(O$69-$F86&lt;=12,SUMIFS('Attrition Modeling'!$D:$D,'Attrition Modeling'!$B:$B,$E86,'Attrition Modeling'!$C:$C,O$68),VLOOKUP(O$69-$F86-1,$A$7:$C$161,2,FALSE)*VLOOKUP(O$1,'Attrition Modeling'!$L$15:$N$27,IF(O$2-$F19&lt;=24,2,3),FALSE))*(1+Projection!Q$16)*(1+IF(O151&gt;0,'Attrition Modeling'!$N$9,0))),0))</f>
        <v>0</v>
      </c>
      <c r="P86" s="799">
        <f>IF(P$69=$F86+1,IF(Monthly!L$4=TRUE,0,Monthly!L$17),IF(P$69&gt;$F86+1,O86*(1-IF(P$69-$F86&lt;=12,SUMIFS('Attrition Modeling'!$D:$D,'Attrition Modeling'!$B:$B,$E86,'Attrition Modeling'!$C:$C,P$68),VLOOKUP(P$69-$F86-1,$A$7:$C$161,2,FALSE)*VLOOKUP(P$1,'Attrition Modeling'!$L$15:$N$27,IF(P$2-$F19&lt;=24,2,3),FALSE))*(1+Projection!R$16)*(1+IF(P151&gt;0,'Attrition Modeling'!$N$9,0))),0))</f>
        <v>0</v>
      </c>
      <c r="Q86" s="799">
        <f>IF(Q$69=$F86+1,IF(Monthly!M$4=TRUE,0,Monthly!M$17),IF(Q$69&gt;$F86+1,P86*(1-IF(Q$69-$F86&lt;=12,SUMIFS('Attrition Modeling'!$D:$D,'Attrition Modeling'!$B:$B,$E86,'Attrition Modeling'!$C:$C,Q$68),VLOOKUP(Q$69-$F86-1,$A$7:$C$161,2,FALSE)*VLOOKUP(Q$1,'Attrition Modeling'!$L$15:$N$27,IF(Q$2-$F19&lt;=24,2,3),FALSE))*(1+Projection!S$16)*(1+IF(Q151&gt;0,'Attrition Modeling'!$N$9,0))),0))</f>
        <v>0</v>
      </c>
      <c r="R86" s="799">
        <f>IF(R$69=$F86+1,IF(Monthly!N$4=TRUE,0,Monthly!N$17),IF(R$69&gt;$F86+1,Q86*(1-IF(R$69-$F86&lt;=12,SUMIFS('Attrition Modeling'!$D:$D,'Attrition Modeling'!$B:$B,$E86,'Attrition Modeling'!$C:$C,R$68),VLOOKUP(R$69-$F86-1,$A$7:$C$161,2,FALSE)*VLOOKUP(R$1,'Attrition Modeling'!$L$15:$N$27,IF(R$2-$F19&lt;=24,2,3),FALSE))*(1+Projection!T$16)*(1+IF(R151&gt;0,'Attrition Modeling'!$N$9,0))),0))</f>
        <v>0</v>
      </c>
      <c r="S86" s="799">
        <f>IF(S$69=$F86+1,IF(Monthly!O$4=TRUE,0,Monthly!O$17),IF(S$69&gt;$F86+1,R86*(1-IF(S$69-$F86&lt;=12,SUMIFS('Attrition Modeling'!$D:$D,'Attrition Modeling'!$B:$B,$E86,'Attrition Modeling'!$C:$C,S$68),VLOOKUP(S$69-$F86-1,$A$7:$C$161,2,FALSE)*VLOOKUP(S$1,'Attrition Modeling'!$L$15:$N$27,IF(S$2-$F19&lt;=24,2,3),FALSE))*(1+Projection!U$16)*(1+IF(S151&gt;0,'Attrition Modeling'!$N$9,0))),0))</f>
        <v>0</v>
      </c>
      <c r="T86" s="799">
        <f>IF(T$69=$F86+1,IF(Monthly!P$4=TRUE,0,Monthly!P$17),IF(T$69&gt;$F86+1,S86*(1-IF(T$69-$F86&lt;=12,SUMIFS('Attrition Modeling'!$D:$D,'Attrition Modeling'!$B:$B,$E86,'Attrition Modeling'!$C:$C,T$68),VLOOKUP(T$69-$F86-1,$A$7:$C$161,2,FALSE)*VLOOKUP(T$1,'Attrition Modeling'!$L$15:$N$27,IF(T$2-$F19&lt;=24,2,3),FALSE))*(1+Projection!V$16)*(1+IF(T151&gt;0,'Attrition Modeling'!$N$9,0))),0))</f>
        <v>0</v>
      </c>
      <c r="U86" s="799">
        <f>IF(U$69=$F86+1,IF(Monthly!Q$4=TRUE,0,Monthly!Q$17),IF(U$69&gt;$F86+1,T86*(1-IF(U$69-$F86&lt;=12,SUMIFS('Attrition Modeling'!$D:$D,'Attrition Modeling'!$B:$B,$E86,'Attrition Modeling'!$C:$C,U$68),VLOOKUP(U$69-$F86-1,$A$7:$C$161,2,FALSE)*VLOOKUP(U$1,'Attrition Modeling'!$L$15:$N$27,IF(U$2-$F19&lt;=24,2,3),FALSE))*(1+Projection!W$16)*(1+IF(U151&gt;0,'Attrition Modeling'!$N$9,0))),0))</f>
        <v>0</v>
      </c>
      <c r="V86" s="799">
        <f>IF(V$69=$F86+1,IF(Monthly!R$4=TRUE,0,Monthly!R$17),IF(V$69&gt;$F86+1,U86*(1-IF(V$69-$F86&lt;=12,SUMIFS('Attrition Modeling'!$D:$D,'Attrition Modeling'!$B:$B,$E86,'Attrition Modeling'!$C:$C,V$68),VLOOKUP(V$69-$F86-1,$A$7:$C$161,2,FALSE)*VLOOKUP(V$1,'Attrition Modeling'!$L$15:$N$27,IF(V$2-$F19&lt;=24,2,3),FALSE))*(1+Projection!X$16)*(1+IF(V151&gt;0,'Attrition Modeling'!$N$9,0))),0))</f>
        <v>0</v>
      </c>
      <c r="W86" s="799">
        <f>IF(W$69=$F86+1,IF(Monthly!S$4=TRUE,0,Monthly!S$17),IF(W$69&gt;$F86+1,V86*(1-IF(W$69-$F86&lt;=12,SUMIFS('Attrition Modeling'!$D:$D,'Attrition Modeling'!$B:$B,$E86,'Attrition Modeling'!$C:$C,W$68),VLOOKUP(W$69-$F86-1,$A$7:$C$161,2,FALSE)*VLOOKUP(W$1,'Attrition Modeling'!$L$15:$N$27,IF(W$2-$F19&lt;=24,2,3),FALSE))*(1+Projection!Y$16)*(1+IF(W151&gt;0,'Attrition Modeling'!$N$9,0))),0))</f>
        <v>0</v>
      </c>
      <c r="X86" s="799">
        <f>IF(X$69=$F86+1,IF(Monthly!T$4=TRUE,0,Monthly!T$17),IF(X$69&gt;$F86+1,W86*(1-IF(X$69-$F86&lt;=12,SUMIFS('Attrition Modeling'!$D:$D,'Attrition Modeling'!$B:$B,$E86,'Attrition Modeling'!$C:$C,X$68),VLOOKUP(X$69-$F86-1,$A$7:$C$161,2,FALSE)*VLOOKUP(X$1,'Attrition Modeling'!$L$15:$N$27,IF(X$2-$F19&lt;=24,2,3),FALSE))*(1+Projection!Z$16)*(1+IF(X151&gt;0,'Attrition Modeling'!$N$9,0))),0))</f>
        <v>8588.3486065996985</v>
      </c>
      <c r="Y86" s="799">
        <f>IF(Y$69=$F86+1,IF(Monthly!U$4=TRUE,0,Monthly!U$17),IF(Y$69&gt;$F86+1,X86*(1-IF(Y$69-$F86&lt;=12,SUMIFS('Attrition Modeling'!$D:$D,'Attrition Modeling'!$B:$B,$E86,'Attrition Modeling'!$C:$C,Y$68),VLOOKUP(Y$69-$F86-1,$A$7:$C$161,2,FALSE)*VLOOKUP(Y$1,'Attrition Modeling'!$L$15:$N$27,IF(Y$2-$F19&lt;=24,2,3),FALSE))*(1+Projection!AA$16)*(1+IF(Y151&gt;0,'Attrition Modeling'!$N$9,0))),0))</f>
        <v>7736.9690337146594</v>
      </c>
      <c r="Z86" s="799">
        <f>IF(Z$69=$F86+1,IF(Monthly!V$4=TRUE,0,Monthly!V$17),IF(Z$69&gt;$F86+1,Y86*(1-IF(Z$69-$F86&lt;=12,SUMIFS('Attrition Modeling'!$D:$D,'Attrition Modeling'!$B:$B,$E86,'Attrition Modeling'!$C:$C,Z$68),VLOOKUP(Z$69-$F86-1,$A$7:$C$161,2,FALSE)*VLOOKUP(Z$1,'Attrition Modeling'!$L$15:$N$27,IF(Z$2-$F19&lt;=24,2,3),FALSE))*(1+Projection!AB$16)*(1+IF(Z151&gt;0,'Attrition Modeling'!$N$9,0))),0))</f>
        <v>7020.0341715499699</v>
      </c>
      <c r="AA86" s="799">
        <f>IF(AA$69=$F86+1,IF(Monthly!W$4=TRUE,0,Monthly!W$17),IF(AA$69&gt;$F86+1,Z86*(1-IF(AA$69-$F86&lt;=12,SUMIFS('Attrition Modeling'!$D:$D,'Attrition Modeling'!$B:$B,$E86,'Attrition Modeling'!$C:$C,AA$68),VLOOKUP(AA$69-$F86-1,$A$7:$C$161,2,FALSE)*VLOOKUP(AA$1,'Attrition Modeling'!$L$15:$N$27,IF(AA$2-$F19&lt;=24,2,3),FALSE))*(1+Projection!AC$16)*(1+IF(AA151&gt;0,'Attrition Modeling'!$N$9,0))),0))</f>
        <v>6296.9306376855457</v>
      </c>
      <c r="AB86" s="799">
        <f>IF(AB$69=$F86+1,IF(Monthly!X$4=TRUE,0,Monthly!X$17),IF(AB$69&gt;$F86+1,AA86*(1-IF(AB$69-$F86&lt;=12,SUMIFS('Attrition Modeling'!$D:$D,'Attrition Modeling'!$B:$B,$E86,'Attrition Modeling'!$C:$C,AB$68),VLOOKUP(AB$69-$F86-1,$A$7:$C$161,2,FALSE)*VLOOKUP(AB$1,'Attrition Modeling'!$L$15:$N$27,IF(AB$2-$F19&lt;=24,2,3),FALSE))*(1+Projection!AD$16)*(1+IF(AB151&gt;0,'Attrition Modeling'!$N$9,0))),0))</f>
        <v>5784.8201597144935</v>
      </c>
      <c r="AC86" s="799">
        <f>IF(AC$69=$F86+1,IF(Monthly!Y$4=TRUE,0,Monthly!Y$17),IF(AC$69&gt;$F86+1,AB86*(1-IF(AC$69-$F86&lt;=12,SUMIFS('Attrition Modeling'!$D:$D,'Attrition Modeling'!$B:$B,$E86,'Attrition Modeling'!$C:$C,AC$68),VLOOKUP(AC$69-$F86-1,$A$7:$C$161,2,FALSE)*VLOOKUP(AC$1,'Attrition Modeling'!$L$15:$N$27,IF(AC$2-$F19&lt;=24,2,3),FALSE))*(1+Projection!AE$16)*(1+IF(AC151&gt;0,'Attrition Modeling'!$N$9,0))),0))</f>
        <v>5206.9457812526207</v>
      </c>
      <c r="AD86" s="799">
        <f>IF(AD$69=$F86+1,IF(Monthly!Z$4=TRUE,0,Monthly!Z$17),IF(AD$69&gt;$F86+1,AC86*(1-IF(AD$69-$F86&lt;=12,SUMIFS('Attrition Modeling'!$D:$D,'Attrition Modeling'!$B:$B,$E86,'Attrition Modeling'!$C:$C,AD$68),VLOOKUP(AD$69-$F86-1,$A$7:$C$161,2,FALSE)*VLOOKUP(AD$1,'Attrition Modeling'!$L$15:$N$27,IF(AD$2-$F19&lt;=24,2,3),FALSE))*(1+Projection!AF$16)*(1+IF(AD151&gt;0,'Attrition Modeling'!$N$9,0))),0))</f>
        <v>4798.9091506756604</v>
      </c>
      <c r="AE86" s="799">
        <f>IF(AE$69=$F86+1,IF(Monthly!AA$4=TRUE,0,Monthly!AA$17),IF(AE$69&gt;$F86+1,AD86*(1-IF(AE$69-$F86&lt;=12,SUMIFS('Attrition Modeling'!$D:$D,'Attrition Modeling'!$B:$B,$E86,'Attrition Modeling'!$C:$C,AE$68),VLOOKUP(AE$69-$F86-1,$A$7:$C$161,2,FALSE)*VLOOKUP(AE$1,'Attrition Modeling'!$L$15:$N$27,IF(AE$2-$F19&lt;=24,2,3),FALSE))*(1+Projection!AG$16)*(1+IF(AE151&gt;0,'Attrition Modeling'!$N$9,0))),0))</f>
        <v>4477.6870163005506</v>
      </c>
      <c r="AF86" s="799">
        <f>IF(AF$69=$F86+1,IF(Monthly!AB$4=TRUE,0,Monthly!AB$17),IF(AF$69&gt;$F86+1,AE86*(1-IF(AF$69-$F86&lt;=12,SUMIFS('Attrition Modeling'!$D:$D,'Attrition Modeling'!$B:$B,$E86,'Attrition Modeling'!$C:$C,AF$68),VLOOKUP(AF$69-$F86-1,$A$7:$C$161,2,FALSE)*VLOOKUP(AF$1,'Attrition Modeling'!$L$15:$N$27,IF(AF$2-$F19&lt;=24,2,3),FALSE))*(1+Projection!AH$16)*(1+IF(AF151&gt;0,'Attrition Modeling'!$N$9,0))),0))</f>
        <v>4195.2521166222859</v>
      </c>
      <c r="AG86" s="799">
        <f>IF(AG$69=$F86+1,IF(Monthly!AC$4=TRUE,0,Monthly!AC$17),IF(AG$69&gt;$F86+1,AF86*(1-IF(AG$69-$F86&lt;=12,SUMIFS('Attrition Modeling'!$D:$D,'Attrition Modeling'!$B:$B,$E86,'Attrition Modeling'!$C:$C,AG$68),VLOOKUP(AG$69-$F86-1,$A$7:$C$161,2,FALSE)*VLOOKUP(AG$1,'Attrition Modeling'!$L$15:$N$27,IF(AG$2-$F19&lt;=24,2,3),FALSE))*(1+Projection!AI$16)*(1+IF(AG151&gt;0,'Attrition Modeling'!$N$9,0))),0))</f>
        <v>3976.5681813076108</v>
      </c>
      <c r="AH86" s="799">
        <f>IF(AH$69=$F86+1,IF(Monthly!AD$4=TRUE,0,Monthly!AD$17),IF(AH$69&gt;$F86+1,AG86*(1-IF(AH$69-$F86&lt;=12,SUMIFS('Attrition Modeling'!$D:$D,'Attrition Modeling'!$B:$B,$E86,'Attrition Modeling'!$C:$C,AH$68),VLOOKUP(AH$69-$F86-1,$A$7:$C$161,2,FALSE)*VLOOKUP(AH$1,'Attrition Modeling'!$L$15:$N$27,IF(AH$2-$F19&lt;=24,2,3),FALSE))*(1+Projection!AJ$16)*(1+IF(AH151&gt;0,'Attrition Modeling'!$N$9,0))),0))</f>
        <v>3767.5383239955854</v>
      </c>
      <c r="AI86" s="799">
        <f>IF(AI$69=$F86+1,IF(Monthly!AE$4=TRUE,0,Monthly!AE$17),IF(AI$69&gt;$F86+1,AH86*(1-IF(AI$69-$F86&lt;=12,SUMIFS('Attrition Modeling'!$D:$D,'Attrition Modeling'!$B:$B,$E86,'Attrition Modeling'!$C:$C,AI$68),VLOOKUP(AI$69-$F86-1,$A$7:$C$161,2,FALSE)*VLOOKUP(AI$1,'Attrition Modeling'!$L$15:$N$27,IF(AI$2-$F19&lt;=24,2,3),FALSE))*(1+Projection!AK$16)*(1+IF(AI151&gt;0,'Attrition Modeling'!$N$9,0))),0))</f>
        <v>3682.0089122518843</v>
      </c>
      <c r="AJ86" s="799">
        <f>IF(AJ$69=$F86+1,IF(Monthly!AF$4=TRUE,0,Monthly!AF$17),IF(AJ$69&gt;$F86+1,AI86*(1-IF(AJ$69-$F86&lt;=12,SUMIFS('Attrition Modeling'!$D:$D,'Attrition Modeling'!$B:$B,$E86,'Attrition Modeling'!$C:$C,AJ$68),VLOOKUP(AJ$69-$F86-1,$A$7:$C$161,2,FALSE)*VLOOKUP(AJ$1,'Attrition Modeling'!$L$15:$N$27,IF(AJ$2-$F19&lt;=24,2,3),FALSE))*(1+Projection!AL$16)*(1+IF(AJ151&gt;0,'Attrition Modeling'!$N$9,0))),0))</f>
        <v>3491.9853837121263</v>
      </c>
      <c r="AK86" s="799">
        <f>IF(AK$69=$F86+1,IF(Monthly!AG$4=TRUE,0,Monthly!AG$17),IF(AK$69&gt;$F86+1,AJ86*(1-IF(AK$69-$F86&lt;=12,SUMIFS('Attrition Modeling'!$D:$D,'Attrition Modeling'!$B:$B,$E86,'Attrition Modeling'!$C:$C,AK$68),VLOOKUP(AK$69-$F86-1,$A$7:$C$161,2,FALSE)*VLOOKUP(AK$1,'Attrition Modeling'!$L$15:$N$27,IF(AK$2-$F19&lt;=24,2,3),FALSE))*(1+Projection!AM$16)*(1+IF(AK151&gt;0,'Attrition Modeling'!$N$9,0))),0))</f>
        <v>3309.412703554352</v>
      </c>
      <c r="AL86" s="799">
        <f>IF(AL$69=$F86+1,IF(Monthly!AH$4=TRUE,0,Monthly!AH$17),IF(AL$69&gt;$F86+1,AK86*(1-IF(AL$69-$F86&lt;=12,SUMIFS('Attrition Modeling'!$D:$D,'Attrition Modeling'!$B:$B,$E86,'Attrition Modeling'!$C:$C,AL$68),VLOOKUP(AL$69-$F86-1,$A$7:$C$161,2,FALSE)*VLOOKUP(AL$1,'Attrition Modeling'!$L$15:$N$27,IF(AL$2-$F19&lt;=24,2,3),FALSE))*(1+Projection!AN$16)*(1+IF(AL151&gt;0,'Attrition Modeling'!$N$9,0))),0))</f>
        <v>3140.9626059955503</v>
      </c>
      <c r="AM86" s="799">
        <f>IF(AM$69=$F86+1,IF(Monthly!AI$4=TRUE,0,Monthly!AI$17),IF(AM$69&gt;$F86+1,AL86*(1-IF(AM$69-$F86&lt;=12,SUMIFS('Attrition Modeling'!$D:$D,'Attrition Modeling'!$B:$B,$E86,'Attrition Modeling'!$C:$C,AM$68),VLOOKUP(AM$69-$F86-1,$A$7:$C$161,2,FALSE)*VLOOKUP(AM$1,'Attrition Modeling'!$L$15:$N$27,IF(AM$2-$F19&lt;=24,2,3),FALSE))*(1+Projection!AO$16)*(1+IF(AM151&gt;0,'Attrition Modeling'!$N$9,0))),0))</f>
        <v>2980.1142689174972</v>
      </c>
      <c r="AN86" s="799">
        <f>IF(AN$69=$F86+1,IF(Monthly!AJ$4=TRUE,0,Monthly!AJ$17),IF(AN$69&gt;$F86+1,AM86*(1-IF(AN$69-$F86&lt;=12,SUMIFS('Attrition Modeling'!$D:$D,'Attrition Modeling'!$B:$B,$E86,'Attrition Modeling'!$C:$C,AN$68),VLOOKUP(AN$69-$F86-1,$A$7:$C$161,2,FALSE)*VLOOKUP(AN$1,'Attrition Modeling'!$L$15:$N$27,IF(AN$2-$F19&lt;=24,2,3),FALSE))*(1+Projection!AP$16)*(1+IF(AN151&gt;0,'Attrition Modeling'!$N$9,0))),0))</f>
        <v>2845.0451974398766</v>
      </c>
      <c r="AO86" s="799">
        <f>IF(AO$69=$F86+1,IF(Monthly!AK$4=TRUE,0,Monthly!AK$17),IF(AO$69&gt;$F86+1,AN86*(1-IF(AO$69-$F86&lt;=12,SUMIFS('Attrition Modeling'!$D:$D,'Attrition Modeling'!$B:$B,$E86,'Attrition Modeling'!$C:$C,AO$68),VLOOKUP(AO$69-$F86-1,$A$7:$C$161,2,FALSE)*VLOOKUP(AO$1,'Attrition Modeling'!$L$15:$N$27,IF(AO$2-$F19&lt;=24,2,3),FALSE))*(1+Projection!AQ$16)*(1+IF(AO151&gt;0,'Attrition Modeling'!$N$9,0))),0))</f>
        <v>2690.6478527885206</v>
      </c>
      <c r="AP86" s="799">
        <f>IF(AP$69=$F86+1,IF(Monthly!AL$4=TRUE,0,Monthly!AL$17),IF(AP$69&gt;$F86+1,AO86*(1-IF(AP$69-$F86&lt;=12,SUMIFS('Attrition Modeling'!$D:$D,'Attrition Modeling'!$B:$B,$E86,'Attrition Modeling'!$C:$C,AP$68),VLOOKUP(AP$69-$F86-1,$A$7:$C$161,2,FALSE)*VLOOKUP(AP$1,'Attrition Modeling'!$L$15:$N$27,IF(AP$2-$F19&lt;=24,2,3),FALSE))*(1+Projection!AR$16)*(1+IF(AP151&gt;0,'Attrition Modeling'!$N$9,0))),0))</f>
        <v>2576.1032729470421</v>
      </c>
      <c r="AQ86" s="799">
        <f>IF(AQ$69=$F86+1,IF(Monthly!AM$4=TRUE,0,Monthly!AM$17),IF(AQ$69&gt;$F86+1,AP86*(1-IF(AQ$69-$F86&lt;=12,SUMIFS('Attrition Modeling'!$D:$D,'Attrition Modeling'!$B:$B,$E86,'Attrition Modeling'!$C:$C,AQ$68),VLOOKUP(AQ$69-$F86-1,$A$7:$C$161,2,FALSE)*VLOOKUP(AQ$1,'Attrition Modeling'!$L$15:$N$27,IF(AQ$2-$F19&lt;=24,2,3),FALSE))*(1+Projection!AS$16)*(1+IF(AQ151&gt;0,'Attrition Modeling'!$N$9,0))),0))</f>
        <v>2469.6489577377124</v>
      </c>
      <c r="AR86" s="799">
        <f>IF(AR$69=$F86+1,IF(Monthly!AN$4=TRUE,0,Monthly!AN$17),IF(AR$69&gt;$F86+1,AQ86*(1-IF(AR$69-$F86&lt;=12,SUMIFS('Attrition Modeling'!$D:$D,'Attrition Modeling'!$B:$B,$E86,'Attrition Modeling'!$C:$C,AR$68),VLOOKUP(AR$69-$F86-1,$A$7:$C$161,2,FALSE)*VLOOKUP(AR$1,'Attrition Modeling'!$L$15:$N$27,IF(AR$2-$F19&lt;=24,2,3),FALSE))*(1+Projection!AT$16)*(1+IF(AR151&gt;0,'Attrition Modeling'!$N$9,0))),0))</f>
        <v>2369.2467119114908</v>
      </c>
      <c r="AS86" s="799">
        <f>IF(AS$69=$F86+1,IF(Monthly!AO$4=TRUE,0,Monthly!AO$17),IF(AS$69&gt;$F86+1,AR86*(1-IF(AS$69-$F86&lt;=12,SUMIFS('Attrition Modeling'!$D:$D,'Attrition Modeling'!$B:$B,$E86,'Attrition Modeling'!$C:$C,AS$68),VLOOKUP(AS$69-$F86-1,$A$7:$C$161,2,FALSE)*VLOOKUP(AS$1,'Attrition Modeling'!$L$15:$N$27,IF(AS$2-$F19&lt;=24,2,3),FALSE))*(1+Projection!AU$16)*(1+IF(AS151&gt;0,'Attrition Modeling'!$N$9,0))),0))</f>
        <v>2283.7064549142724</v>
      </c>
      <c r="AT86" s="799">
        <f>IF(AT$69=$F86+1,IF(Monthly!AP$4=TRUE,0,Monthly!AP$17),IF(AT$69&gt;$F86+1,AS86*(1-IF(AT$69-$F86&lt;=12,SUMIFS('Attrition Modeling'!$D:$D,'Attrition Modeling'!$B:$B,$E86,'Attrition Modeling'!$C:$C,AT$68),VLOOKUP(AT$69-$F86-1,$A$7:$C$161,2,FALSE)*VLOOKUP(AT$1,'Attrition Modeling'!$L$15:$N$27,IF(AT$2-$F19&lt;=24,2,3),FALSE))*(1+Projection!AV$16)*(1+IF(AT151&gt;0,'Attrition Modeling'!$N$9,0))),0))</f>
        <v>2195.2348512550584</v>
      </c>
      <c r="AU86" s="799">
        <f>IF(AU$69=$F86+1,IF(Monthly!AQ$4=TRUE,0,Monthly!AQ$17),IF(AU$69&gt;$F86+1,AT86*(1-IF(AU$69-$F86&lt;=12,SUMIFS('Attrition Modeling'!$D:$D,'Attrition Modeling'!$B:$B,$E86,'Attrition Modeling'!$C:$C,AU$68),VLOOKUP(AU$69-$F86-1,$A$7:$C$161,2,FALSE)*VLOOKUP(AU$1,'Attrition Modeling'!$L$15:$N$27,IF(AU$2-$F19&lt;=24,2,3),FALSE))*(1+Projection!AW$16)*(1+IF(AU151&gt;0,'Attrition Modeling'!$N$9,0))),0))</f>
        <v>2112.7235624779255</v>
      </c>
      <c r="AV86" s="799">
        <f>IF(AV$69=$F86+1,IF(Monthly!AR$4=TRUE,0,Monthly!AR$17),IF(AV$69&gt;$F86+1,AU86*(1-IF(AV$69-$F86&lt;=12,SUMIFS('Attrition Modeling'!$D:$D,'Attrition Modeling'!$B:$B,$E86,'Attrition Modeling'!$C:$C,AV$68),VLOOKUP(AV$69-$F86-1,$A$7:$C$161,2,FALSE)*VLOOKUP(AV$1,'Attrition Modeling'!$L$15:$N$27,IF(AV$2-$F19&lt;=24,2,3),FALSE))*(1+Projection!AX$16)*(1+IF(AV151&gt;0,'Attrition Modeling'!$N$9,0))),0))</f>
        <v>2044.3055057468546</v>
      </c>
      <c r="AW86" s="799">
        <f>IF(AW$69=$F86+1,IF(Monthly!AS$4=TRUE,0,Monthly!AS$17),IF(AW$69&gt;$F86+1,AV86*(1-IF(AW$69-$F86&lt;=12,SUMIFS('Attrition Modeling'!$D:$D,'Attrition Modeling'!$B:$B,$E86,'Attrition Modeling'!$C:$C,AW$68),VLOOKUP(AW$69-$F86-1,$A$7:$C$161,2,FALSE)*VLOOKUP(AW$1,'Attrition Modeling'!$L$15:$N$27,IF(AW$2-$F19&lt;=24,2,3),FALSE))*(1+Projection!AY$16)*(1+IF(AW151&gt;0,'Attrition Modeling'!$N$9,0))),0))</f>
        <v>1969.8012729709144</v>
      </c>
      <c r="AX86" s="799">
        <f>IF(AX$69=$F86+1,IF(Monthly!AT$4=TRUE,0,Monthly!AT$17),IF(AX$69&gt;$F86+1,AW86*(1-IF(AX$69-$F86&lt;=12,SUMIFS('Attrition Modeling'!$D:$D,'Attrition Modeling'!$B:$B,$E86,'Attrition Modeling'!$C:$C,AX$68),VLOOKUP(AX$69-$F86-1,$A$7:$C$161,2,FALSE)*VLOOKUP(AX$1,'Attrition Modeling'!$L$15:$N$27,IF(AX$2-$F19&lt;=24,2,3),FALSE))*(1+Projection!AZ$16)*(1+IF(AX151&gt;0,'Attrition Modeling'!$N$9,0))),0))</f>
        <v>1892.6441234337558</v>
      </c>
      <c r="AY86" s="799">
        <f>IF(AY$69=$F86+1,IF(Monthly!AU$4=TRUE,0,Monthly!AU$17),IF(AY$69&gt;$F86+1,AX86*(1-IF(AY$69-$F86&lt;=12,SUMIFS('Attrition Modeling'!$D:$D,'Attrition Modeling'!$B:$B,$E86,'Attrition Modeling'!$C:$C,AY$68),VLOOKUP(AY$69-$F86-1,$A$7:$C$161,2,FALSE)*VLOOKUP(AY$1,'Attrition Modeling'!$L$15:$N$27,IF(AY$2-$F19&lt;=24,2,3),FALSE))*(1+Projection!BA$16)*(1+IF(AY151&gt;0,'Attrition Modeling'!$N$9,0))),0))</f>
        <v>1814.0824485888393</v>
      </c>
      <c r="AZ86" s="799">
        <f>IF(AZ$69=$F86+1,IF(Monthly!AV$4=TRUE,0,Monthly!AV$17),IF(AZ$69&gt;$F86+1,AY86*(1-IF(AZ$69-$F86&lt;=12,SUMIFS('Attrition Modeling'!$D:$D,'Attrition Modeling'!$B:$B,$E86,'Attrition Modeling'!$C:$C,AZ$68),VLOOKUP(AZ$69-$F86-1,$A$7:$C$161,2,FALSE)*VLOOKUP(AZ$1,'Attrition Modeling'!$L$15:$N$27,IF(AZ$2-$F19&lt;=24,2,3),FALSE))*(1+Projection!BB$16)*(1+IF(AZ151&gt;0,'Attrition Modeling'!$N$9,0))),0))</f>
        <v>1744.2755658501608</v>
      </c>
      <c r="BA86" s="799">
        <f>IF(BA$69=$F86+1,IF(Monthly!AW$4=TRUE,0,Monthly!AW$17),IF(BA$69&gt;$F86+1,AZ86*(1-IF(BA$69-$F86&lt;=12,SUMIFS('Attrition Modeling'!$D:$D,'Attrition Modeling'!$B:$B,$E86,'Attrition Modeling'!$C:$C,BA$68),VLOOKUP(BA$69-$F86-1,$A$7:$C$161,2,FALSE)*VLOOKUP(BA$1,'Attrition Modeling'!$L$15:$N$27,IF(BA$2-$F19&lt;=24,2,3),FALSE))*(1+Projection!BC$16)*(1+IF(BA151&gt;0,'Attrition Modeling'!$N$9,0))),0))</f>
        <v>1667.4787099268458</v>
      </c>
      <c r="BB86" s="799">
        <f>IF(BB$69=$F86+1,IF(Monthly!AX$4=TRUE,0,Monthly!AX$17),IF(BB$69&gt;$F86+1,BA86*(1-IF(BB$69-$F86&lt;=12,SUMIFS('Attrition Modeling'!$D:$D,'Attrition Modeling'!$B:$B,$E86,'Attrition Modeling'!$C:$C,BB$68),VLOOKUP(BB$69-$F86-1,$A$7:$C$161,2,FALSE)*VLOOKUP(BB$1,'Attrition Modeling'!$L$15:$N$27,IF(BB$2-$F19&lt;=24,2,3),FALSE))*(1+Projection!BD$16)*(1+IF(BB151&gt;0,'Attrition Modeling'!$N$9,0))),0))</f>
        <v>1608.4141909042453</v>
      </c>
      <c r="BC86" s="799">
        <f>IF(BC$69=$F86+1,IF(Monthly!AY$4=TRUE,0,Monthly!AY$17),IF(BC$69&gt;$F86+1,BB86*(1-IF(BC$69-$F86&lt;=12,SUMIFS('Attrition Modeling'!$D:$D,'Attrition Modeling'!$B:$B,$E86,'Attrition Modeling'!$C:$C,BC$68),VLOOKUP(BC$69-$F86-1,$A$7:$C$161,2,FALSE)*VLOOKUP(BC$1,'Attrition Modeling'!$L$15:$N$27,IF(BC$2-$F19&lt;=24,2,3),FALSE))*(1+Projection!BE$16)*(1+IF(BC151&gt;0,'Attrition Modeling'!$N$9,0))),0))</f>
        <v>1562.027150718533</v>
      </c>
      <c r="BD86" s="799">
        <f>IF(BD$69=$F86+1,IF(Monthly!AZ$4=TRUE,0,Monthly!AZ$17),IF(BD$69&gt;$F86+1,BC86*(1-IF(BD$69-$F86&lt;=12,SUMIFS('Attrition Modeling'!$D:$D,'Attrition Modeling'!$B:$B,$E86,'Attrition Modeling'!$C:$C,BD$68),VLOOKUP(BD$69-$F86-1,$A$7:$C$161,2,FALSE)*VLOOKUP(BD$1,'Attrition Modeling'!$L$15:$N$27,IF(BD$2-$F19&lt;=24,2,3),FALSE))*(1+Projection!BF$16)*(1+IF(BD151&gt;0,'Attrition Modeling'!$N$9,0))),0))</f>
        <v>1512.7373526320246</v>
      </c>
      <c r="BE86" s="799">
        <f>IF(BE$69=$F86+1,IF(Monthly!BA$4=TRUE,0,Monthly!BA$17),IF(BE$69&gt;$F86+1,BD86*(1-IF(BE$69-$F86&lt;=12,SUMIFS('Attrition Modeling'!$D:$D,'Attrition Modeling'!$B:$B,$E86,'Attrition Modeling'!$C:$C,BE$68),VLOOKUP(BE$69-$F86-1,$A$7:$C$161,2,FALSE)*VLOOKUP(BE$1,'Attrition Modeling'!$L$15:$N$27,IF(BE$2-$F19&lt;=24,2,3),FALSE))*(1+Projection!BG$16)*(1+IF(BE151&gt;0,'Attrition Modeling'!$N$9,0))),0))</f>
        <v>1467.0310933378505</v>
      </c>
      <c r="BF86" s="799">
        <f>IF(BF$69=$F86+1,IF(Monthly!BB$4=TRUE,0,Monthly!BB$17),IF(BF$69&gt;$F86+1,BE86*(1-IF(BF$69-$F86&lt;=12,SUMIFS('Attrition Modeling'!$D:$D,'Attrition Modeling'!$B:$B,$E86,'Attrition Modeling'!$C:$C,BF$68),VLOOKUP(BF$69-$F86-1,$A$7:$C$161,2,FALSE)*VLOOKUP(BF$1,'Attrition Modeling'!$L$15:$N$27,IF(BF$2-$F19&lt;=24,2,3),FALSE))*(1+Projection!BH$16)*(1+IF(BF151&gt;0,'Attrition Modeling'!$N$9,0))),0))</f>
        <v>1425.0467232942451</v>
      </c>
      <c r="BG86" s="799">
        <f>IF(BG$69=$F86+1,IF(Monthly!BC$4=TRUE,0,Monthly!BC$17),IF(BG$69&gt;$F86+1,BF86*(1-IF(BG$69-$F86&lt;=12,SUMIFS('Attrition Modeling'!$D:$D,'Attrition Modeling'!$B:$B,$E86,'Attrition Modeling'!$C:$C,BG$68),VLOOKUP(BG$69-$F86-1,$A$7:$C$161,2,FALSE)*VLOOKUP(BG$1,'Attrition Modeling'!$L$15:$N$27,IF(BG$2-$F19&lt;=24,2,3),FALSE))*(1+Projection!BI$16)*(1+IF(BG151&gt;0,'Attrition Modeling'!$N$9,0))),0))</f>
        <v>1392.9715095996462</v>
      </c>
      <c r="BH86" s="799">
        <f>IF(BH$69=$F86+1,IF(Monthly!BD$4=TRUE,0,Monthly!BD$17),IF(BH$69&gt;$F86+1,BG86*(1-IF(BH$69-$F86&lt;=12,SUMIFS('Attrition Modeling'!$D:$D,'Attrition Modeling'!$B:$B,$E86,'Attrition Modeling'!$C:$C,BH$68),VLOOKUP(BH$69-$F86-1,$A$7:$C$161,2,FALSE)*VLOOKUP(BH$1,'Attrition Modeling'!$L$15:$N$27,IF(BH$2-$F19&lt;=24,2,3),FALSE))*(1+Projection!BJ$16)*(1+IF(BH151&gt;0,'Attrition Modeling'!$N$9,0))),0))</f>
        <v>1355.5299439458838</v>
      </c>
      <c r="BI86" s="799">
        <f>IF(BI$69=$F86+1,IF(Monthly!BE$4=TRUE,0,Monthly!BE$17),IF(BI$69&gt;$F86+1,BH86*(1-IF(BI$69-$F86&lt;=12,SUMIFS('Attrition Modeling'!$D:$D,'Attrition Modeling'!$B:$B,$E86,'Attrition Modeling'!$C:$C,BI$68),VLOOKUP(BI$69-$F86-1,$A$7:$C$161,2,FALSE)*VLOOKUP(BI$1,'Attrition Modeling'!$L$15:$N$27,IF(BI$2-$F19&lt;=24,2,3),FALSE))*(1+Projection!BK$16)*(1+IF(BI151&gt;0,'Attrition Modeling'!$N$9,0))),0))</f>
        <v>1314.389152909336</v>
      </c>
      <c r="BJ86" s="799">
        <f>IF(BJ$69=$F86+1,IF(Monthly!BF$4=TRUE,0,Monthly!BF$17),IF(BJ$69&gt;$F86+1,BI86*(1-IF(BJ$69-$F86&lt;=12,SUMIFS('Attrition Modeling'!$D:$D,'Attrition Modeling'!$B:$B,$E86,'Attrition Modeling'!$C:$C,BJ$68),VLOOKUP(BJ$69-$F86-1,$A$7:$C$161,2,FALSE)*VLOOKUP(BJ$1,'Attrition Modeling'!$L$15:$N$27,IF(BJ$2-$F19&lt;=24,2,3),FALSE))*(1+Projection!BL$16)*(1+IF(BJ151&gt;0,'Attrition Modeling'!$N$9,0))),0))</f>
        <v>1271.380091321809</v>
      </c>
      <c r="BK86" s="799">
        <f>IF(BK$69=$F86+1,IF(Monthly!BG$4=TRUE,0,Monthly!BG$17),IF(BK$69&gt;$F86+1,BJ86*(1-IF(BK$69-$F86&lt;=12,SUMIFS('Attrition Modeling'!$D:$D,'Attrition Modeling'!$B:$B,$E86,'Attrition Modeling'!$C:$C,BK$68),VLOOKUP(BK$69-$F86-1,$A$7:$C$161,2,FALSE)*VLOOKUP(BK$1,'Attrition Modeling'!$L$15:$N$27,IF(BK$2-$F19&lt;=24,2,3),FALSE))*(1+Projection!BM$16)*(1+IF(BK151&gt;0,'Attrition Modeling'!$N$9,0))),0))</f>
        <v>1227.165004052107</v>
      </c>
      <c r="BL86" s="799">
        <f>IF(BL$69=$F86+1,IF(Monthly!BH$4=TRUE,0,Monthly!BH$17),IF(BL$69&gt;$F86+1,BK86*(1-IF(BL$69-$F86&lt;=12,SUMIFS('Attrition Modeling'!$D:$D,'Attrition Modeling'!$B:$B,$E86,'Attrition Modeling'!$C:$C,BL$68),VLOOKUP(BL$69-$F86-1,$A$7:$C$161,2,FALSE)*VLOOKUP(BL$1,'Attrition Modeling'!$L$15:$N$27,IF(BL$2-$F19&lt;=24,2,3),FALSE))*(1+Projection!BN$16)*(1+IF(BL151&gt;0,'Attrition Modeling'!$N$9,0))),0))</f>
        <v>1187.4922076036707</v>
      </c>
      <c r="BM86" s="799">
        <f>IF(BM$69=$F86+1,IF(Monthly!BI$4=TRUE,0,Monthly!BI$17),IF(BM$69&gt;$F86+1,BL86*(1-IF(BM$69-$F86&lt;=12,SUMIFS('Attrition Modeling'!$D:$D,'Attrition Modeling'!$B:$B,$E86,'Attrition Modeling'!$C:$C,BM$68),VLOOKUP(BM$69-$F86-1,$A$7:$C$161,2,FALSE)*VLOOKUP(BM$1,'Attrition Modeling'!$L$15:$N$27,IF(BM$2-$F19&lt;=24,2,3),FALSE))*(1+Projection!BO$16)*(1+IF(BM151&gt;0,'Attrition Modeling'!$N$9,0))),0))</f>
        <v>1143.4536021884696</v>
      </c>
      <c r="BN86" s="799">
        <f>IF(BN$69=$F86+1,IF(Monthly!BJ$4=TRUE,0,Monthly!BJ$17),IF(BN$69&gt;$F86+1,BM86*(1-IF(BN$69-$F86&lt;=12,SUMIFS('Attrition Modeling'!$D:$D,'Attrition Modeling'!$B:$B,$E86,'Attrition Modeling'!$C:$C,BN$68),VLOOKUP(BN$69-$F86-1,$A$7:$C$161,2,FALSE)*VLOOKUP(BN$1,'Attrition Modeling'!$L$15:$N$27,IF(BN$2-$F19&lt;=24,2,3),FALSE))*(1+Projection!BP$16)*(1+IF(BN151&gt;0,'Attrition Modeling'!$N$9,0))),0))</f>
        <v>1109.2539866110762</v>
      </c>
      <c r="BO86" s="799">
        <f>IF(BO$69=$F86+1,IF(Monthly!BK$4=TRUE,0,Monthly!BK$17),IF(BO$69&gt;$F86+1,BN86*(1-IF(BO$69-$F86&lt;=12,SUMIFS('Attrition Modeling'!$D:$D,'Attrition Modeling'!$B:$B,$E86,'Attrition Modeling'!$C:$C,BO$68),VLOOKUP(BO$69-$F86-1,$A$7:$C$161,2,FALSE)*VLOOKUP(BO$1,'Attrition Modeling'!$L$15:$N$27,IF(BO$2-$F19&lt;=24,2,3),FALSE))*(1+Projection!BV$16)*(1+IF(BO151&gt;0,'Attrition Modeling'!$N$9,0))),0))</f>
        <v>1082.1789588431159</v>
      </c>
      <c r="BP86" s="799">
        <f>IF(BP$69=$F86+1,IF(Monthly!BL$4=TRUE,0,Monthly!BL$17),IF(BP$69&gt;$F86+1,BO86*(1-IF(BP$69-$F86&lt;=12,SUMIFS('Attrition Modeling'!$D:$D,'Attrition Modeling'!$B:$B,$E86,'Attrition Modeling'!$C:$C,BP$68),VLOOKUP(BP$69-$F86-1,$A$7:$C$161,2,FALSE)*VLOOKUP(BP$1,'Attrition Modeling'!$L$15:$N$27,IF(BP$2-$F19&lt;=24,2,3),FALSE))*(1+Projection!BW$16)*(1+IF(BP151&gt;0,'Attrition Modeling'!$N$9,0))),0))</f>
        <v>1053.2151984069083</v>
      </c>
      <c r="BQ86" s="799">
        <f>IF(BQ$69=$F86+1,IF(Monthly!BM$4=TRUE,0,Monthly!BM$17),IF(BQ$69&gt;$F86+1,BP86*(1-IF(BQ$69-$F86&lt;=12,SUMIFS('Attrition Modeling'!$D:$D,'Attrition Modeling'!$B:$B,$E86,'Attrition Modeling'!$C:$C,BQ$68),VLOOKUP(BQ$69-$F86-1,$A$7:$C$161,2,FALSE)*VLOOKUP(BQ$1,'Attrition Modeling'!$L$15:$N$27,IF(BQ$2-$F19&lt;=24,2,3),FALSE))*(1+Projection!BX$16)*(1+IF(BQ151&gt;0,'Attrition Modeling'!$N$9,0))),0))</f>
        <v>1026.1684970872213</v>
      </c>
      <c r="BR86" s="799">
        <f>IF(BR$69=$F86+1,IF(Monthly!BN$4=TRUE,0,Monthly!BN$17),IF(BR$69&gt;$F86+1,BQ86*(1-IF(BR$69-$F86&lt;=12,SUMIFS('Attrition Modeling'!$D:$D,'Attrition Modeling'!$B:$B,$E86,'Attrition Modeling'!$C:$C,BR$68),VLOOKUP(BR$69-$F86-1,$A$7:$C$161,2,FALSE)*VLOOKUP(BR$1,'Attrition Modeling'!$L$15:$N$27,IF(BR$2-$F19&lt;=24,2,3),FALSE))*(1+Projection!BY$16)*(1+IF(BR151&gt;0,'Attrition Modeling'!$N$9,0))),0))</f>
        <v>1001.1591334887119</v>
      </c>
      <c r="BS86" s="799">
        <f>IF(BS$69=$F86+1,IF(Monthly!BO$4=TRUE,0,Monthly!BO$17),IF(BS$69&gt;$F86+1,BR86*(1-IF(BS$69-$F86&lt;=12,SUMIFS('Attrition Modeling'!$D:$D,'Attrition Modeling'!$B:$B,$E86,'Attrition Modeling'!$C:$C,BS$68),VLOOKUP(BS$69-$F86-1,$A$7:$C$161,2,FALSE)*VLOOKUP(BS$1,'Attrition Modeling'!$L$15:$N$27,IF(BS$2-$F19&lt;=24,2,3),FALSE))*(1+Projection!BZ$16)*(1+IF(BS151&gt;0,'Attrition Modeling'!$N$9,0))),0))</f>
        <v>981.9332633962498</v>
      </c>
      <c r="BT86" s="799">
        <f>IF(BT$69=$F86+1,IF(Monthly!#REF!=TRUE,0,Monthly!#REF!),IF(BT$69&gt;$F86+1,BS86*(1-IF(BT$69-$F86&lt;=12,SUMIFS('Attrition Modeling'!$D:$D,'Attrition Modeling'!$B:$B,$E86,'Attrition Modeling'!$C:$C,BT$68),VLOOKUP(BT$69-$F86-1,$A$7:$C$161,2,FALSE)*VLOOKUP(BT$1,'Attrition Modeling'!$L$15:$N$27,IF(BT$2-$F19&lt;=24,2,3),FALSE))*(1+Projection!CA$16)*(1+IF(BT151&gt;0,'Attrition Modeling'!$N$9,0))),0))</f>
        <v>959.52675537962386</v>
      </c>
      <c r="BU86" s="799">
        <f>IF(BU$69=$F86+1,IF(Monthly!#REF!=TRUE,0,Monthly!#REF!),IF(BU$69&gt;$F86+1,BT86*(1-IF(BU$69-$F86&lt;=12,SUMIFS('Attrition Modeling'!$D:$D,'Attrition Modeling'!$B:$B,$E86,'Attrition Modeling'!$C:$C,BU$68),VLOOKUP(BU$69-$F86-1,$A$7:$C$161,2,FALSE)*VLOOKUP(BU$1,'Attrition Modeling'!$L$15:$N$27,IF(BU$2-$F19&lt;=24,2,3),FALSE))*(1+Projection!CB$16)*(1+IF(BU151&gt;0,'Attrition Modeling'!$N$9,0))),0))</f>
        <v>934.76631449482386</v>
      </c>
    </row>
    <row r="87" spans="1:73" ht="14.25" customHeight="1" x14ac:dyDescent="0.2">
      <c r="A87" s="9">
        <v>80</v>
      </c>
      <c r="B87" s="25">
        <f>MAX('Attrition Modeling'!H84,$C$3)*(1-Summary!$C$20)</f>
        <v>0.02</v>
      </c>
      <c r="C87" s="24" t="e">
        <f t="shared" si="4"/>
        <v>#DIV/0!</v>
      </c>
      <c r="E87" s="11">
        <f t="shared" si="9"/>
        <v>5</v>
      </c>
      <c r="F87" s="11">
        <f t="shared" si="10"/>
        <v>17</v>
      </c>
      <c r="G87" s="799"/>
      <c r="H87" s="799">
        <f>IF(H$69=$F87+1,IF(Monthly!D$4=TRUE,0,Monthly!D$17),IF(H$69&gt;$F87+1,G87*(1-IF(H$69-$F87&lt;=12,SUMIFS('Attrition Modeling'!$D:$D,'Attrition Modeling'!$B:$B,$E87,'Attrition Modeling'!$C:$C,H$68),VLOOKUP(H$69-$F87-1,$A$7:$C$161,2,FALSE)*VLOOKUP(H$1,'Attrition Modeling'!$L$15:$N$27,IF(H$2-$F20&lt;=24,2,3),FALSE))*(1+Projection!J$16)*(1+IF(H152&gt;0,'Attrition Modeling'!$N$9,0))),0))</f>
        <v>0</v>
      </c>
      <c r="I87" s="799">
        <f>IF(I$69=$F87+1,IF(Monthly!E$4=TRUE,0,Monthly!E$17),IF(I$69&gt;$F87+1,H87*(1-IF(I$69-$F87&lt;=12,SUMIFS('Attrition Modeling'!$D:$D,'Attrition Modeling'!$B:$B,$E87,'Attrition Modeling'!$C:$C,I$68),VLOOKUP(I$69-$F87-1,$A$7:$C$161,2,FALSE)*VLOOKUP(I$1,'Attrition Modeling'!$L$15:$N$27,IF(I$2-$F20&lt;=24,2,3),FALSE))*(1+Projection!K$16)*(1+IF(I152&gt;0,'Attrition Modeling'!$N$9,0))),0))</f>
        <v>0</v>
      </c>
      <c r="J87" s="799">
        <f>IF(J$69=$F87+1,IF(Monthly!F$4=TRUE,0,Monthly!F$17),IF(J$69&gt;$F87+1,I87*(1-IF(J$69-$F87&lt;=12,SUMIFS('Attrition Modeling'!$D:$D,'Attrition Modeling'!$B:$B,$E87,'Attrition Modeling'!$C:$C,J$68),VLOOKUP(J$69-$F87-1,$A$7:$C$161,2,FALSE)*VLOOKUP(J$1,'Attrition Modeling'!$L$15:$N$27,IF(J$2-$F20&lt;=24,2,3),FALSE))*(1+Projection!L$16)*(1+IF(J152&gt;0,'Attrition Modeling'!$N$9,0))),0))</f>
        <v>0</v>
      </c>
      <c r="K87" s="799">
        <f>IF(K$69=$F87+1,IF(Monthly!G$4=TRUE,0,Monthly!G$17),IF(K$69&gt;$F87+1,J87*(1-IF(K$69-$F87&lt;=12,SUMIFS('Attrition Modeling'!$D:$D,'Attrition Modeling'!$B:$B,$E87,'Attrition Modeling'!$C:$C,K$68),VLOOKUP(K$69-$F87-1,$A$7:$C$161,2,FALSE)*VLOOKUP(K$1,'Attrition Modeling'!$L$15:$N$27,IF(K$2-$F20&lt;=24,2,3),FALSE))*(1+Projection!M$16)*(1+IF(K152&gt;0,'Attrition Modeling'!$N$9,0))),0))</f>
        <v>0</v>
      </c>
      <c r="L87" s="799">
        <f>IF(L$69=$F87+1,IF(Monthly!H$4=TRUE,0,Monthly!H$17),IF(L$69&gt;$F87+1,K87*(1-IF(L$69-$F87&lt;=12,SUMIFS('Attrition Modeling'!$D:$D,'Attrition Modeling'!$B:$B,$E87,'Attrition Modeling'!$C:$C,L$68),VLOOKUP(L$69-$F87-1,$A$7:$C$161,2,FALSE)*VLOOKUP(L$1,'Attrition Modeling'!$L$15:$N$27,IF(L$2-$F20&lt;=24,2,3),FALSE))*(1+Projection!N$16)*(1+IF(L152&gt;0,'Attrition Modeling'!$N$9,0))),0))</f>
        <v>0</v>
      </c>
      <c r="M87" s="799">
        <f>IF(M$69=$F87+1,IF(Monthly!I$4=TRUE,0,Monthly!I$17),IF(M$69&gt;$F87+1,L87*(1-IF(M$69-$F87&lt;=12,SUMIFS('Attrition Modeling'!$D:$D,'Attrition Modeling'!$B:$B,$E87,'Attrition Modeling'!$C:$C,M$68),VLOOKUP(M$69-$F87-1,$A$7:$C$161,2,FALSE)*VLOOKUP(M$1,'Attrition Modeling'!$L$15:$N$27,IF(M$2-$F20&lt;=24,2,3),FALSE))*(1+Projection!O$16)*(1+IF(M152&gt;0,'Attrition Modeling'!$N$9,0))),0))</f>
        <v>0</v>
      </c>
      <c r="N87" s="799">
        <f>IF(N$69=$F87+1,IF(Monthly!J$4=TRUE,0,Monthly!J$17),IF(N$69&gt;$F87+1,M87*(1-IF(N$69-$F87&lt;=12,SUMIFS('Attrition Modeling'!$D:$D,'Attrition Modeling'!$B:$B,$E87,'Attrition Modeling'!$C:$C,N$68),VLOOKUP(N$69-$F87-1,$A$7:$C$161,2,FALSE)*VLOOKUP(N$1,'Attrition Modeling'!$L$15:$N$27,IF(N$2-$F20&lt;=24,2,3),FALSE))*(1+Projection!P$16)*(1+IF(N152&gt;0,'Attrition Modeling'!$N$9,0))),0))</f>
        <v>0</v>
      </c>
      <c r="O87" s="799">
        <f>IF(O$69=$F87+1,IF(Monthly!K$4=TRUE,0,Monthly!K$17),IF(O$69&gt;$F87+1,N87*(1-IF(O$69-$F87&lt;=12,SUMIFS('Attrition Modeling'!$D:$D,'Attrition Modeling'!$B:$B,$E87,'Attrition Modeling'!$C:$C,O$68),VLOOKUP(O$69-$F87-1,$A$7:$C$161,2,FALSE)*VLOOKUP(O$1,'Attrition Modeling'!$L$15:$N$27,IF(O$2-$F20&lt;=24,2,3),FALSE))*(1+Projection!Q$16)*(1+IF(O152&gt;0,'Attrition Modeling'!$N$9,0))),0))</f>
        <v>0</v>
      </c>
      <c r="P87" s="799">
        <f>IF(P$69=$F87+1,IF(Monthly!L$4=TRUE,0,Monthly!L$17),IF(P$69&gt;$F87+1,O87*(1-IF(P$69-$F87&lt;=12,SUMIFS('Attrition Modeling'!$D:$D,'Attrition Modeling'!$B:$B,$E87,'Attrition Modeling'!$C:$C,P$68),VLOOKUP(P$69-$F87-1,$A$7:$C$161,2,FALSE)*VLOOKUP(P$1,'Attrition Modeling'!$L$15:$N$27,IF(P$2-$F20&lt;=24,2,3),FALSE))*(1+Projection!R$16)*(1+IF(P152&gt;0,'Attrition Modeling'!$N$9,0))),0))</f>
        <v>0</v>
      </c>
      <c r="Q87" s="799">
        <f>IF(Q$69=$F87+1,IF(Monthly!M$4=TRUE,0,Monthly!M$17),IF(Q$69&gt;$F87+1,P87*(1-IF(Q$69-$F87&lt;=12,SUMIFS('Attrition Modeling'!$D:$D,'Attrition Modeling'!$B:$B,$E87,'Attrition Modeling'!$C:$C,Q$68),VLOOKUP(Q$69-$F87-1,$A$7:$C$161,2,FALSE)*VLOOKUP(Q$1,'Attrition Modeling'!$L$15:$N$27,IF(Q$2-$F20&lt;=24,2,3),FALSE))*(1+Projection!S$16)*(1+IF(Q152&gt;0,'Attrition Modeling'!$N$9,0))),0))</f>
        <v>0</v>
      </c>
      <c r="R87" s="799">
        <f>IF(R$69=$F87+1,IF(Monthly!N$4=TRUE,0,Monthly!N$17),IF(R$69&gt;$F87+1,Q87*(1-IF(R$69-$F87&lt;=12,SUMIFS('Attrition Modeling'!$D:$D,'Attrition Modeling'!$B:$B,$E87,'Attrition Modeling'!$C:$C,R$68),VLOOKUP(R$69-$F87-1,$A$7:$C$161,2,FALSE)*VLOOKUP(R$1,'Attrition Modeling'!$L$15:$N$27,IF(R$2-$F20&lt;=24,2,3),FALSE))*(1+Projection!T$16)*(1+IF(R152&gt;0,'Attrition Modeling'!$N$9,0))),0))</f>
        <v>0</v>
      </c>
      <c r="S87" s="799">
        <f>IF(S$69=$F87+1,IF(Monthly!O$4=TRUE,0,Monthly!O$17),IF(S$69&gt;$F87+1,R87*(1-IF(S$69-$F87&lt;=12,SUMIFS('Attrition Modeling'!$D:$D,'Attrition Modeling'!$B:$B,$E87,'Attrition Modeling'!$C:$C,S$68),VLOOKUP(S$69-$F87-1,$A$7:$C$161,2,FALSE)*VLOOKUP(S$1,'Attrition Modeling'!$L$15:$N$27,IF(S$2-$F20&lt;=24,2,3),FALSE))*(1+Projection!U$16)*(1+IF(S152&gt;0,'Attrition Modeling'!$N$9,0))),0))</f>
        <v>0</v>
      </c>
      <c r="T87" s="799">
        <f>IF(T$69=$F87+1,IF(Monthly!P$4=TRUE,0,Monthly!P$17),IF(T$69&gt;$F87+1,S87*(1-IF(T$69-$F87&lt;=12,SUMIFS('Attrition Modeling'!$D:$D,'Attrition Modeling'!$B:$B,$E87,'Attrition Modeling'!$C:$C,T$68),VLOOKUP(T$69-$F87-1,$A$7:$C$161,2,FALSE)*VLOOKUP(T$1,'Attrition Modeling'!$L$15:$N$27,IF(T$2-$F20&lt;=24,2,3),FALSE))*(1+Projection!V$16)*(1+IF(T152&gt;0,'Attrition Modeling'!$N$9,0))),0))</f>
        <v>0</v>
      </c>
      <c r="U87" s="799">
        <f>IF(U$69=$F87+1,IF(Monthly!Q$4=TRUE,0,Monthly!Q$17),IF(U$69&gt;$F87+1,T87*(1-IF(U$69-$F87&lt;=12,SUMIFS('Attrition Modeling'!$D:$D,'Attrition Modeling'!$B:$B,$E87,'Attrition Modeling'!$C:$C,U$68),VLOOKUP(U$69-$F87-1,$A$7:$C$161,2,FALSE)*VLOOKUP(U$1,'Attrition Modeling'!$L$15:$N$27,IF(U$2-$F20&lt;=24,2,3),FALSE))*(1+Projection!W$16)*(1+IF(U152&gt;0,'Attrition Modeling'!$N$9,0))),0))</f>
        <v>0</v>
      </c>
      <c r="V87" s="799">
        <f>IF(V$69=$F87+1,IF(Monthly!R$4=TRUE,0,Monthly!R$17),IF(V$69&gt;$F87+1,U87*(1-IF(V$69-$F87&lt;=12,SUMIFS('Attrition Modeling'!$D:$D,'Attrition Modeling'!$B:$B,$E87,'Attrition Modeling'!$C:$C,V$68),VLOOKUP(V$69-$F87-1,$A$7:$C$161,2,FALSE)*VLOOKUP(V$1,'Attrition Modeling'!$L$15:$N$27,IF(V$2-$F20&lt;=24,2,3),FALSE))*(1+Projection!X$16)*(1+IF(V152&gt;0,'Attrition Modeling'!$N$9,0))),0))</f>
        <v>0</v>
      </c>
      <c r="W87" s="799">
        <f>IF(W$69=$F87+1,IF(Monthly!S$4=TRUE,0,Monthly!S$17),IF(W$69&gt;$F87+1,V87*(1-IF(W$69-$F87&lt;=12,SUMIFS('Attrition Modeling'!$D:$D,'Attrition Modeling'!$B:$B,$E87,'Attrition Modeling'!$C:$C,W$68),VLOOKUP(W$69-$F87-1,$A$7:$C$161,2,FALSE)*VLOOKUP(W$1,'Attrition Modeling'!$L$15:$N$27,IF(W$2-$F20&lt;=24,2,3),FALSE))*(1+Projection!Y$16)*(1+IF(W152&gt;0,'Attrition Modeling'!$N$9,0))),0))</f>
        <v>0</v>
      </c>
      <c r="X87" s="799">
        <f>IF(X$69=$F87+1,IF(Monthly!T$4=TRUE,0,Monthly!T$17),IF(X$69&gt;$F87+1,W87*(1-IF(X$69-$F87&lt;=12,SUMIFS('Attrition Modeling'!$D:$D,'Attrition Modeling'!$B:$B,$E87,'Attrition Modeling'!$C:$C,X$68),VLOOKUP(X$69-$F87-1,$A$7:$C$161,2,FALSE)*VLOOKUP(X$1,'Attrition Modeling'!$L$15:$N$27,IF(X$2-$F20&lt;=24,2,3),FALSE))*(1+Projection!Z$16)*(1+IF(X152&gt;0,'Attrition Modeling'!$N$9,0))),0))</f>
        <v>0</v>
      </c>
      <c r="Y87" s="799">
        <f>IF(Y$69=$F87+1,IF(Monthly!U$4=TRUE,0,Monthly!U$17),IF(Y$69&gt;$F87+1,X87*(1-IF(Y$69-$F87&lt;=12,SUMIFS('Attrition Modeling'!$D:$D,'Attrition Modeling'!$B:$B,$E87,'Attrition Modeling'!$C:$C,Y$68),VLOOKUP(Y$69-$F87-1,$A$7:$C$161,2,FALSE)*VLOOKUP(Y$1,'Attrition Modeling'!$L$15:$N$27,IF(Y$2-$F20&lt;=24,2,3),FALSE))*(1+Projection!AA$16)*(1+IF(Y152&gt;0,'Attrition Modeling'!$N$9,0))),0))</f>
        <v>8192.6762870081293</v>
      </c>
      <c r="Z87" s="799">
        <f>IF(Z$69=$F87+1,IF(Monthly!V$4=TRUE,0,Monthly!V$17),IF(Z$69&gt;$F87+1,Y87*(1-IF(Z$69-$F87&lt;=12,SUMIFS('Attrition Modeling'!$D:$D,'Attrition Modeling'!$B:$B,$E87,'Attrition Modeling'!$C:$C,Z$68),VLOOKUP(Z$69-$F87-1,$A$7:$C$161,2,FALSE)*VLOOKUP(Z$1,'Attrition Modeling'!$L$15:$N$27,IF(Z$2-$F20&lt;=24,2,3),FALSE))*(1+Projection!AB$16)*(1+IF(Z152&gt;0,'Attrition Modeling'!$N$9,0))),0))</f>
        <v>7289.6541093576034</v>
      </c>
      <c r="AA87" s="799">
        <f>IF(AA$69=$F87+1,IF(Monthly!W$4=TRUE,0,Monthly!W$17),IF(AA$69&gt;$F87+1,Z87*(1-IF(AA$69-$F87&lt;=12,SUMIFS('Attrition Modeling'!$D:$D,'Attrition Modeling'!$B:$B,$E87,'Attrition Modeling'!$C:$C,AA$68),VLOOKUP(AA$69-$F87-1,$A$7:$C$161,2,FALSE)*VLOOKUP(AA$1,'Attrition Modeling'!$L$15:$N$27,IF(AA$2-$F20&lt;=24,2,3),FALSE))*(1+Projection!AC$16)*(1+IF(AA152&gt;0,'Attrition Modeling'!$N$9,0))),0))</f>
        <v>6317.2448677165585</v>
      </c>
      <c r="AB87" s="799">
        <f>IF(AB$69=$F87+1,IF(Monthly!X$4=TRUE,0,Monthly!X$17),IF(AB$69&gt;$F87+1,AA87*(1-IF(AB$69-$F87&lt;=12,SUMIFS('Attrition Modeling'!$D:$D,'Attrition Modeling'!$B:$B,$E87,'Attrition Modeling'!$C:$C,AB$68),VLOOKUP(AB$69-$F87-1,$A$7:$C$161,2,FALSE)*VLOOKUP(AB$1,'Attrition Modeling'!$L$15:$N$27,IF(AB$2-$F20&lt;=24,2,3),FALSE))*(1+Projection!AD$16)*(1+IF(AB152&gt;0,'Attrition Modeling'!$N$9,0))),0))</f>
        <v>5624.7807032662949</v>
      </c>
      <c r="AC87" s="799">
        <f>IF(AC$69=$F87+1,IF(Monthly!Y$4=TRUE,0,Monthly!Y$17),IF(AC$69&gt;$F87+1,AB87*(1-IF(AC$69-$F87&lt;=12,SUMIFS('Attrition Modeling'!$D:$D,'Attrition Modeling'!$B:$B,$E87,'Attrition Modeling'!$C:$C,AC$68),VLOOKUP(AC$69-$F87-1,$A$7:$C$161,2,FALSE)*VLOOKUP(AC$1,'Attrition Modeling'!$L$15:$N$27,IF(AC$2-$F20&lt;=24,2,3),FALSE))*(1+Projection!AE$16)*(1+IF(AC152&gt;0,'Attrition Modeling'!$N$9,0))),0))</f>
        <v>5105.6618174688638</v>
      </c>
      <c r="AD87" s="799">
        <f>IF(AD$69=$F87+1,IF(Monthly!Z$4=TRUE,0,Monthly!Z$17),IF(AD$69&gt;$F87+1,AC87*(1-IF(AD$69-$F87&lt;=12,SUMIFS('Attrition Modeling'!$D:$D,'Attrition Modeling'!$B:$B,$E87,'Attrition Modeling'!$C:$C,AD$68),VLOOKUP(AD$69-$F87-1,$A$7:$C$161,2,FALSE)*VLOOKUP(AD$1,'Attrition Modeling'!$L$15:$N$27,IF(AD$2-$F20&lt;=24,2,3),FALSE))*(1+Projection!AF$16)*(1+IF(AD152&gt;0,'Attrition Modeling'!$N$9,0))),0))</f>
        <v>4546.0346777932064</v>
      </c>
      <c r="AE87" s="799">
        <f>IF(AE$69=$F87+1,IF(Monthly!AA$4=TRUE,0,Monthly!AA$17),IF(AE$69&gt;$F87+1,AD87*(1-IF(AE$69-$F87&lt;=12,SUMIFS('Attrition Modeling'!$D:$D,'Attrition Modeling'!$B:$B,$E87,'Attrition Modeling'!$C:$C,AE$68),VLOOKUP(AE$69-$F87-1,$A$7:$C$161,2,FALSE)*VLOOKUP(AE$1,'Attrition Modeling'!$L$15:$N$27,IF(AE$2-$F20&lt;=24,2,3),FALSE))*(1+Projection!AG$16)*(1+IF(AE152&gt;0,'Attrition Modeling'!$N$9,0))),0))</f>
        <v>4196.5002999957114</v>
      </c>
      <c r="AF87" s="799">
        <f>IF(AF$69=$F87+1,IF(Monthly!AB$4=TRUE,0,Monthly!AB$17),IF(AF$69&gt;$F87+1,AE87*(1-IF(AF$69-$F87&lt;=12,SUMIFS('Attrition Modeling'!$D:$D,'Attrition Modeling'!$B:$B,$E87,'Attrition Modeling'!$C:$C,AF$68),VLOOKUP(AF$69-$F87-1,$A$7:$C$161,2,FALSE)*VLOOKUP(AF$1,'Attrition Modeling'!$L$15:$N$27,IF(AF$2-$F20&lt;=24,2,3),FALSE))*(1+Projection!AH$16)*(1+IF(AF152&gt;0,'Attrition Modeling'!$N$9,0))),0))</f>
        <v>3924.8024622578159</v>
      </c>
      <c r="AG87" s="799">
        <f>IF(AG$69=$F87+1,IF(Monthly!AC$4=TRUE,0,Monthly!AC$17),IF(AG$69&gt;$F87+1,AF87*(1-IF(AG$69-$F87&lt;=12,SUMIFS('Attrition Modeling'!$D:$D,'Attrition Modeling'!$B:$B,$E87,'Attrition Modeling'!$C:$C,AG$68),VLOOKUP(AG$69-$F87-1,$A$7:$C$161,2,FALSE)*VLOOKUP(AG$1,'Attrition Modeling'!$L$15:$N$27,IF(AG$2-$F20&lt;=24,2,3),FALSE))*(1+Projection!AI$16)*(1+IF(AG152&gt;0,'Attrition Modeling'!$N$9,0))),0))</f>
        <v>3704.2564299764085</v>
      </c>
      <c r="AH87" s="799">
        <f>IF(AH$69=$F87+1,IF(Monthly!AD$4=TRUE,0,Monthly!AD$17),IF(AH$69&gt;$F87+1,AG87*(1-IF(AH$69-$F87&lt;=12,SUMIFS('Attrition Modeling'!$D:$D,'Attrition Modeling'!$B:$B,$E87,'Attrition Modeling'!$C:$C,AH$68),VLOOKUP(AH$69-$F87-1,$A$7:$C$161,2,FALSE)*VLOOKUP(AH$1,'Attrition Modeling'!$L$15:$N$27,IF(AH$2-$F20&lt;=24,2,3),FALSE))*(1+Projection!AJ$16)*(1+IF(AH152&gt;0,'Attrition Modeling'!$N$9,0))),0))</f>
        <v>3493.0268004842133</v>
      </c>
      <c r="AI87" s="799">
        <f>IF(AI$69=$F87+1,IF(Monthly!AE$4=TRUE,0,Monthly!AE$17),IF(AI$69&gt;$F87+1,AH87*(1-IF(AI$69-$F87&lt;=12,SUMIFS('Attrition Modeling'!$D:$D,'Attrition Modeling'!$B:$B,$E87,'Attrition Modeling'!$C:$C,AI$68),VLOOKUP(AI$69-$F87-1,$A$7:$C$161,2,FALSE)*VLOOKUP(AI$1,'Attrition Modeling'!$L$15:$N$27,IF(AI$2-$F20&lt;=24,2,3),FALSE))*(1+Projection!AK$16)*(1+IF(AI152&gt;0,'Attrition Modeling'!$N$9,0))),0))</f>
        <v>3305.9227849860081</v>
      </c>
      <c r="AJ87" s="799">
        <f>IF(AJ$69=$F87+1,IF(Monthly!AF$4=TRUE,0,Monthly!AF$17),IF(AJ$69&gt;$F87+1,AI87*(1-IF(AJ$69-$F87&lt;=12,SUMIFS('Attrition Modeling'!$D:$D,'Attrition Modeling'!$B:$B,$E87,'Attrition Modeling'!$C:$C,AJ$68),VLOOKUP(AJ$69-$F87-1,$A$7:$C$161,2,FALSE)*VLOOKUP(AJ$1,'Attrition Modeling'!$L$15:$N$27,IF(AJ$2-$F20&lt;=24,2,3),FALSE))*(1+Projection!AL$16)*(1+IF(AJ152&gt;0,'Attrition Modeling'!$N$9,0))),0))</f>
        <v>3224.2221928315348</v>
      </c>
      <c r="AK87" s="799">
        <f>IF(AK$69=$F87+1,IF(Monthly!AG$4=TRUE,0,Monthly!AG$17),IF(AK$69&gt;$F87+1,AJ87*(1-IF(AK$69-$F87&lt;=12,SUMIFS('Attrition Modeling'!$D:$D,'Attrition Modeling'!$B:$B,$E87,'Attrition Modeling'!$C:$C,AK$68),VLOOKUP(AK$69-$F87-1,$A$7:$C$161,2,FALSE)*VLOOKUP(AK$1,'Attrition Modeling'!$L$15:$N$27,IF(AK$2-$F20&lt;=24,2,3),FALSE))*(1+Projection!AM$16)*(1+IF(AK152&gt;0,'Attrition Modeling'!$N$9,0))),0))</f>
        <v>3041.5386013116313</v>
      </c>
      <c r="AL87" s="799">
        <f>IF(AL$69=$F87+1,IF(Monthly!AH$4=TRUE,0,Monthly!AH$17),IF(AL$69&gt;$F87+1,AK87*(1-IF(AL$69-$F87&lt;=12,SUMIFS('Attrition Modeling'!$D:$D,'Attrition Modeling'!$B:$B,$E87,'Attrition Modeling'!$C:$C,AL$68),VLOOKUP(AL$69-$F87-1,$A$7:$C$161,2,FALSE)*VLOOKUP(AL$1,'Attrition Modeling'!$L$15:$N$27,IF(AL$2-$F20&lt;=24,2,3),FALSE))*(1+Projection!AN$16)*(1+IF(AL152&gt;0,'Attrition Modeling'!$N$9,0))),0))</f>
        <v>2878.7526475096647</v>
      </c>
      <c r="AM87" s="799">
        <f>IF(AM$69=$F87+1,IF(Monthly!AI$4=TRUE,0,Monthly!AI$17),IF(AM$69&gt;$F87+1,AL87*(1-IF(AM$69-$F87&lt;=12,SUMIFS('Attrition Modeling'!$D:$D,'Attrition Modeling'!$B:$B,$E87,'Attrition Modeling'!$C:$C,AM$68),VLOOKUP(AM$69-$F87-1,$A$7:$C$161,2,FALSE)*VLOOKUP(AM$1,'Attrition Modeling'!$L$15:$N$27,IF(AM$2-$F20&lt;=24,2,3),FALSE))*(1+Projection!AO$16)*(1+IF(AM152&gt;0,'Attrition Modeling'!$N$9,0))),0))</f>
        <v>2725.7426758309725</v>
      </c>
      <c r="AN87" s="799">
        <f>IF(AN$69=$F87+1,IF(Monthly!AJ$4=TRUE,0,Monthly!AJ$17),IF(AN$69&gt;$F87+1,AM87*(1-IF(AN$69-$F87&lt;=12,SUMIFS('Attrition Modeling'!$D:$D,'Attrition Modeling'!$B:$B,$E87,'Attrition Modeling'!$C:$C,AN$68),VLOOKUP(AN$69-$F87-1,$A$7:$C$161,2,FALSE)*VLOOKUP(AN$1,'Attrition Modeling'!$L$15:$N$27,IF(AN$2-$F20&lt;=24,2,3),FALSE))*(1+Projection!AP$16)*(1+IF(AN152&gt;0,'Attrition Modeling'!$N$9,0))),0))</f>
        <v>2598.4593585610373</v>
      </c>
      <c r="AO87" s="799">
        <f>IF(AO$69=$F87+1,IF(Monthly!AK$4=TRUE,0,Monthly!AK$17),IF(AO$69&gt;$F87+1,AN87*(1-IF(AO$69-$F87&lt;=12,SUMIFS('Attrition Modeling'!$D:$D,'Attrition Modeling'!$B:$B,$E87,'Attrition Modeling'!$C:$C,AO$68),VLOOKUP(AO$69-$F87-1,$A$7:$C$161,2,FALSE)*VLOOKUP(AO$1,'Attrition Modeling'!$L$15:$N$27,IF(AO$2-$F20&lt;=24,2,3),FALSE))*(1+Projection!AQ$16)*(1+IF(AO152&gt;0,'Attrition Modeling'!$N$9,0))),0))</f>
        <v>2477.9634231138762</v>
      </c>
      <c r="AP87" s="799">
        <f>IF(AP$69=$F87+1,IF(Monthly!AL$4=TRUE,0,Monthly!AL$17),IF(AP$69&gt;$F87+1,AO87*(1-IF(AP$69-$F87&lt;=12,SUMIFS('Attrition Modeling'!$D:$D,'Attrition Modeling'!$B:$B,$E87,'Attrition Modeling'!$C:$C,AP$68),VLOOKUP(AP$69-$F87-1,$A$7:$C$161,2,FALSE)*VLOOKUP(AP$1,'Attrition Modeling'!$L$15:$N$27,IF(AP$2-$F20&lt;=24,2,3),FALSE))*(1+Projection!AR$16)*(1+IF(AP152&gt;0,'Attrition Modeling'!$N$9,0))),0))</f>
        <v>2348.5985023915359</v>
      </c>
      <c r="AQ87" s="799">
        <f>IF(AQ$69=$F87+1,IF(Monthly!AM$4=TRUE,0,Monthly!AM$17),IF(AQ$69&gt;$F87+1,AP87*(1-IF(AQ$69-$F87&lt;=12,SUMIFS('Attrition Modeling'!$D:$D,'Attrition Modeling'!$B:$B,$E87,'Attrition Modeling'!$C:$C,AQ$68),VLOOKUP(AQ$69-$F87-1,$A$7:$C$161,2,FALSE)*VLOOKUP(AQ$1,'Attrition Modeling'!$L$15:$N$27,IF(AQ$2-$F20&lt;=24,2,3),FALSE))*(1+Projection!AS$16)*(1+IF(AQ152&gt;0,'Attrition Modeling'!$N$9,0))),0))</f>
        <v>2249.6658419156629</v>
      </c>
      <c r="AR87" s="799">
        <f>IF(AR$69=$F87+1,IF(Monthly!AN$4=TRUE,0,Monthly!AN$17),IF(AR$69&gt;$F87+1,AQ87*(1-IF(AR$69-$F87&lt;=12,SUMIFS('Attrition Modeling'!$D:$D,'Attrition Modeling'!$B:$B,$E87,'Attrition Modeling'!$C:$C,AR$68),VLOOKUP(AR$69-$F87-1,$A$7:$C$161,2,FALSE)*VLOOKUP(AR$1,'Attrition Modeling'!$L$15:$N$27,IF(AR$2-$F20&lt;=24,2,3),FALSE))*(1+Projection!AT$16)*(1+IF(AR152&gt;0,'Attrition Modeling'!$N$9,0))),0))</f>
        <v>2156.6172863803176</v>
      </c>
      <c r="AS87" s="799">
        <f>IF(AS$69=$F87+1,IF(Monthly!AO$4=TRUE,0,Monthly!AO$17),IF(AS$69&gt;$F87+1,AR87*(1-IF(AS$69-$F87&lt;=12,SUMIFS('Attrition Modeling'!$D:$D,'Attrition Modeling'!$B:$B,$E87,'Attrition Modeling'!$C:$C,AS$68),VLOOKUP(AS$69-$F87-1,$A$7:$C$161,2,FALSE)*VLOOKUP(AS$1,'Attrition Modeling'!$L$15:$N$27,IF(AS$2-$F20&lt;=24,2,3),FALSE))*(1+Projection!AU$16)*(1+IF(AS152&gt;0,'Attrition Modeling'!$N$9,0))),0))</f>
        <v>2077.5241969031308</v>
      </c>
      <c r="AT87" s="799">
        <f>IF(AT$69=$F87+1,IF(Monthly!AP$4=TRUE,0,Monthly!AP$17),IF(AT$69&gt;$F87+1,AS87*(1-IF(AT$69-$F87&lt;=12,SUMIFS('Attrition Modeling'!$D:$D,'Attrition Modeling'!$B:$B,$E87,'Attrition Modeling'!$C:$C,AT$68),VLOOKUP(AT$69-$F87-1,$A$7:$C$161,2,FALSE)*VLOOKUP(AT$1,'Attrition Modeling'!$L$15:$N$27,IF(AT$2-$F20&lt;=24,2,3),FALSE))*(1+Projection!AV$16)*(1+IF(AT152&gt;0,'Attrition Modeling'!$N$9,0))),0))</f>
        <v>1995.873670572611</v>
      </c>
      <c r="AU87" s="799">
        <f>IF(AU$69=$F87+1,IF(Monthly!AQ$4=TRUE,0,Monthly!AQ$17),IF(AU$69&gt;$F87+1,AT87*(1-IF(AU$69-$F87&lt;=12,SUMIFS('Attrition Modeling'!$D:$D,'Attrition Modeling'!$B:$B,$E87,'Attrition Modeling'!$C:$C,AU$68),VLOOKUP(AU$69-$F87-1,$A$7:$C$161,2,FALSE)*VLOOKUP(AU$1,'Attrition Modeling'!$L$15:$N$27,IF(AU$2-$F20&lt;=24,2,3),FALSE))*(1+Projection!AW$16)*(1+IF(AU152&gt;0,'Attrition Modeling'!$N$9,0))),0))</f>
        <v>1919.8497653917279</v>
      </c>
      <c r="AV87" s="799">
        <f>IF(AV$69=$F87+1,IF(Monthly!AR$4=TRUE,0,Monthly!AR$17),IF(AV$69&gt;$F87+1,AU87*(1-IF(AV$69-$F87&lt;=12,SUMIFS('Attrition Modeling'!$D:$D,'Attrition Modeling'!$B:$B,$E87,'Attrition Modeling'!$C:$C,AV$68),VLOOKUP(AV$69-$F87-1,$A$7:$C$161,2,FALSE)*VLOOKUP(AV$1,'Attrition Modeling'!$L$15:$N$27,IF(AV$2-$F20&lt;=24,2,3),FALSE))*(1+Projection!AX$16)*(1+IF(AV152&gt;0,'Attrition Modeling'!$N$9,0))),0))</f>
        <v>1848.2046136105816</v>
      </c>
      <c r="AW87" s="799">
        <f>IF(AW$69=$F87+1,IF(Monthly!AS$4=TRUE,0,Monthly!AS$17),IF(AW$69&gt;$F87+1,AV87*(1-IF(AW$69-$F87&lt;=12,SUMIFS('Attrition Modeling'!$D:$D,'Attrition Modeling'!$B:$B,$E87,'Attrition Modeling'!$C:$C,AW$68),VLOOKUP(AW$69-$F87-1,$A$7:$C$161,2,FALSE)*VLOOKUP(AW$1,'Attrition Modeling'!$L$15:$N$27,IF(AW$2-$F20&lt;=24,2,3),FALSE))*(1+Projection!AY$16)*(1+IF(AW152&gt;0,'Attrition Modeling'!$N$9,0))),0))</f>
        <v>1779.6743762730016</v>
      </c>
      <c r="AX87" s="799">
        <f>IF(AX$69=$F87+1,IF(Monthly!AT$4=TRUE,0,Monthly!AT$17),IF(AX$69&gt;$F87+1,AW87*(1-IF(AX$69-$F87&lt;=12,SUMIFS('Attrition Modeling'!$D:$D,'Attrition Modeling'!$B:$B,$E87,'Attrition Modeling'!$C:$C,AX$68),VLOOKUP(AX$69-$F87-1,$A$7:$C$161,2,FALSE)*VLOOKUP(AX$1,'Attrition Modeling'!$L$15:$N$27,IF(AX$2-$F20&lt;=24,2,3),FALSE))*(1+Projection!AZ$16)*(1+IF(AX152&gt;0,'Attrition Modeling'!$N$9,0))),0))</f>
        <v>1708.7784538104102</v>
      </c>
      <c r="AY87" s="799">
        <f>IF(AY$69=$F87+1,IF(Monthly!AU$4=TRUE,0,Monthly!AU$17),IF(AY$69&gt;$F87+1,AX87*(1-IF(AY$69-$F87&lt;=12,SUMIFS('Attrition Modeling'!$D:$D,'Attrition Modeling'!$B:$B,$E87,'Attrition Modeling'!$C:$C,AY$68),VLOOKUP(AY$69-$F87-1,$A$7:$C$161,2,FALSE)*VLOOKUP(AY$1,'Attrition Modeling'!$L$15:$N$27,IF(AY$2-$F20&lt;=24,2,3),FALSE))*(1+Projection!BA$16)*(1+IF(AY152&gt;0,'Attrition Modeling'!$N$9,0))),0))</f>
        <v>1636.6682734706706</v>
      </c>
      <c r="AZ87" s="799">
        <f>IF(AZ$69=$F87+1,IF(Monthly!AV$4=TRUE,0,Monthly!AV$17),IF(AZ$69&gt;$F87+1,AY87*(1-IF(AZ$69-$F87&lt;=12,SUMIFS('Attrition Modeling'!$D:$D,'Attrition Modeling'!$B:$B,$E87,'Attrition Modeling'!$C:$C,AZ$68),VLOOKUP(AZ$69-$F87-1,$A$7:$C$161,2,FALSE)*VLOOKUP(AZ$1,'Attrition Modeling'!$L$15:$N$27,IF(AZ$2-$F20&lt;=24,2,3),FALSE))*(1+Projection!BB$16)*(1+IF(AZ152&gt;0,'Attrition Modeling'!$N$9,0))),0))</f>
        <v>1572.6617875162242</v>
      </c>
      <c r="BA87" s="799">
        <f>IF(BA$69=$F87+1,IF(Monthly!AW$4=TRUE,0,Monthly!AW$17),IF(BA$69&gt;$F87+1,AZ87*(1-IF(BA$69-$F87&lt;=12,SUMIFS('Attrition Modeling'!$D:$D,'Attrition Modeling'!$B:$B,$E87,'Attrition Modeling'!$C:$C,BA$68),VLOOKUP(BA$69-$F87-1,$A$7:$C$161,2,FALSE)*VLOOKUP(BA$1,'Attrition Modeling'!$L$15:$N$27,IF(BA$2-$F20&lt;=24,2,3),FALSE))*(1+Projection!BC$16)*(1+IF(BA152&gt;0,'Attrition Modeling'!$N$9,0))),0))</f>
        <v>1514.0388670503946</v>
      </c>
      <c r="BB87" s="799">
        <f>IF(BB$69=$F87+1,IF(Monthly!AX$4=TRUE,0,Monthly!AX$17),IF(BB$69&gt;$F87+1,BA87*(1-IF(BB$69-$F87&lt;=12,SUMIFS('Attrition Modeling'!$D:$D,'Attrition Modeling'!$B:$B,$E87,'Attrition Modeling'!$C:$C,BB$68),VLOOKUP(BB$69-$F87-1,$A$7:$C$161,2,FALSE)*VLOOKUP(BB$1,'Attrition Modeling'!$L$15:$N$27,IF(BB$2-$F20&lt;=24,2,3),FALSE))*(1+Projection!BD$16)*(1+IF(BB152&gt;0,'Attrition Modeling'!$N$9,0))),0))</f>
        <v>1448.6744303498187</v>
      </c>
      <c r="BC87" s="799">
        <f>IF(BC$69=$F87+1,IF(Monthly!AY$4=TRUE,0,Monthly!AY$17),IF(BC$69&gt;$F87+1,BB87*(1-IF(BC$69-$F87&lt;=12,SUMIFS('Attrition Modeling'!$D:$D,'Attrition Modeling'!$B:$B,$E87,'Attrition Modeling'!$C:$C,BC$68),VLOOKUP(BC$69-$F87-1,$A$7:$C$161,2,FALSE)*VLOOKUP(BC$1,'Attrition Modeling'!$L$15:$N$27,IF(BC$2-$F20&lt;=24,2,3),FALSE))*(1+Projection!BE$16)*(1+IF(BC152&gt;0,'Attrition Modeling'!$N$9,0))),0))</f>
        <v>1406.250937678856</v>
      </c>
      <c r="BD87" s="799">
        <f>IF(BD$69=$F87+1,IF(Monthly!AZ$4=TRUE,0,Monthly!AZ$17),IF(BD$69&gt;$F87+1,BC87*(1-IF(BD$69-$F87&lt;=12,SUMIFS('Attrition Modeling'!$D:$D,'Attrition Modeling'!$B:$B,$E87,'Attrition Modeling'!$C:$C,BD$68),VLOOKUP(BD$69-$F87-1,$A$7:$C$161,2,FALSE)*VLOOKUP(BD$1,'Attrition Modeling'!$L$15:$N$27,IF(BD$2-$F20&lt;=24,2,3),FALSE))*(1+Projection!BF$16)*(1+IF(BD152&gt;0,'Attrition Modeling'!$N$9,0))),0))</f>
        <v>1361.20501059497</v>
      </c>
      <c r="BE87" s="799">
        <f>IF(BE$69=$F87+1,IF(Monthly!BA$4=TRUE,0,Monthly!BA$17),IF(BE$69&gt;$F87+1,BD87*(1-IF(BE$69-$F87&lt;=12,SUMIFS('Attrition Modeling'!$D:$D,'Attrition Modeling'!$B:$B,$E87,'Attrition Modeling'!$C:$C,BE$68),VLOOKUP(BE$69-$F87-1,$A$7:$C$161,2,FALSE)*VLOOKUP(BE$1,'Attrition Modeling'!$L$15:$N$27,IF(BE$2-$F20&lt;=24,2,3),FALSE))*(1+Projection!BG$16)*(1+IF(BE152&gt;0,'Attrition Modeling'!$N$9,0))),0))</f>
        <v>1319.4648529455017</v>
      </c>
      <c r="BF87" s="799">
        <f>IF(BF$69=$F87+1,IF(Monthly!BB$4=TRUE,0,Monthly!BB$17),IF(BF$69&gt;$F87+1,BE87*(1-IF(BF$69-$F87&lt;=12,SUMIFS('Attrition Modeling'!$D:$D,'Attrition Modeling'!$B:$B,$E87,'Attrition Modeling'!$C:$C,BF$68),VLOOKUP(BF$69-$F87-1,$A$7:$C$161,2,FALSE)*VLOOKUP(BF$1,'Attrition Modeling'!$L$15:$N$27,IF(BF$2-$F20&lt;=24,2,3),FALSE))*(1+Projection!BH$16)*(1+IF(BF152&gt;0,'Attrition Modeling'!$N$9,0))),0))</f>
        <v>1281.1501988925313</v>
      </c>
      <c r="BG87" s="799">
        <f>IF(BG$69=$F87+1,IF(Monthly!BC$4=TRUE,0,Monthly!BC$17),IF(BG$69&gt;$F87+1,BF87*(1-IF(BG$69-$F87&lt;=12,SUMIFS('Attrition Modeling'!$D:$D,'Attrition Modeling'!$B:$B,$E87,'Attrition Modeling'!$C:$C,BG$68),VLOOKUP(BG$69-$F87-1,$A$7:$C$161,2,FALSE)*VLOOKUP(BG$1,'Attrition Modeling'!$L$15:$N$27,IF(BG$2-$F20&lt;=24,2,3),FALSE))*(1+Projection!BI$16)*(1+IF(BG152&gt;0,'Attrition Modeling'!$N$9,0))),0))</f>
        <v>1251.8975408174858</v>
      </c>
      <c r="BH87" s="799">
        <f>IF(BH$69=$F87+1,IF(Monthly!BD$4=TRUE,0,Monthly!BD$17),IF(BH$69&gt;$F87+1,BG87*(1-IF(BH$69-$F87&lt;=12,SUMIFS('Attrition Modeling'!$D:$D,'Attrition Modeling'!$B:$B,$E87,'Attrition Modeling'!$C:$C,BH$68),VLOOKUP(BH$69-$F87-1,$A$7:$C$161,2,FALSE)*VLOOKUP(BH$1,'Attrition Modeling'!$L$15:$N$27,IF(BH$2-$F20&lt;=24,2,3),FALSE))*(1+Projection!BJ$16)*(1+IF(BH152&gt;0,'Attrition Modeling'!$N$9,0))),0))</f>
        <v>1217.7690784459674</v>
      </c>
      <c r="BI87" s="799">
        <f>IF(BI$69=$F87+1,IF(Monthly!BE$4=TRUE,0,Monthly!BE$17),IF(BI$69&gt;$F87+1,BH87*(1-IF(BI$69-$F87&lt;=12,SUMIFS('Attrition Modeling'!$D:$D,'Attrition Modeling'!$B:$B,$E87,'Attrition Modeling'!$C:$C,BI$68),VLOOKUP(BI$69-$F87-1,$A$7:$C$161,2,FALSE)*VLOOKUP(BI$1,'Attrition Modeling'!$L$15:$N$27,IF(BI$2-$F20&lt;=24,2,3),FALSE))*(1+Projection!BK$16)*(1+IF(BI152&gt;0,'Attrition Modeling'!$N$9,0))),0))</f>
        <v>1180.2906962120894</v>
      </c>
      <c r="BJ87" s="799">
        <f>IF(BJ$69=$F87+1,IF(Monthly!BF$4=TRUE,0,Monthly!BF$17),IF(BJ$69&gt;$F87+1,BI87*(1-IF(BJ$69-$F87&lt;=12,SUMIFS('Attrition Modeling'!$D:$D,'Attrition Modeling'!$B:$B,$E87,'Attrition Modeling'!$C:$C,BJ$68),VLOOKUP(BJ$69-$F87-1,$A$7:$C$161,2,FALSE)*VLOOKUP(BJ$1,'Attrition Modeling'!$L$15:$N$27,IF(BJ$2-$F20&lt;=24,2,3),FALSE))*(1+Projection!BL$16)*(1+IF(BJ152&gt;0,'Attrition Modeling'!$N$9,0))),0))</f>
        <v>1141.134718955476</v>
      </c>
      <c r="BK87" s="799">
        <f>IF(BK$69=$F87+1,IF(Monthly!BG$4=TRUE,0,Monthly!BG$17),IF(BK$69&gt;$F87+1,BJ87*(1-IF(BK$69-$F87&lt;=12,SUMIFS('Attrition Modeling'!$D:$D,'Attrition Modeling'!$B:$B,$E87,'Attrition Modeling'!$C:$C,BK$68),VLOOKUP(BK$69-$F87-1,$A$7:$C$161,2,FALSE)*VLOOKUP(BK$1,'Attrition Modeling'!$L$15:$N$27,IF(BK$2-$F20&lt;=24,2,3),FALSE))*(1+Projection!BM$16)*(1+IF(BK152&gt;0,'Attrition Modeling'!$N$9,0))),0))</f>
        <v>1100.9065763824951</v>
      </c>
      <c r="BL87" s="799">
        <f>IF(BL$69=$F87+1,IF(Monthly!BH$4=TRUE,0,Monthly!BH$17),IF(BL$69&gt;$F87+1,BK87*(1-IF(BL$69-$F87&lt;=12,SUMIFS('Attrition Modeling'!$D:$D,'Attrition Modeling'!$B:$B,$E87,'Attrition Modeling'!$C:$C,BL$68),VLOOKUP(BL$69-$F87-1,$A$7:$C$161,2,FALSE)*VLOOKUP(BL$1,'Attrition Modeling'!$L$15:$N$27,IF(BL$2-$F20&lt;=24,2,3),FALSE))*(1+Projection!BN$16)*(1+IF(BL152&gt;0,'Attrition Modeling'!$N$9,0))),0))</f>
        <v>1064.8348362236011</v>
      </c>
      <c r="BM87" s="799">
        <f>IF(BM$69=$F87+1,IF(Monthly!BI$4=TRUE,0,Monthly!BI$17),IF(BM$69&gt;$F87+1,BL87*(1-IF(BM$69-$F87&lt;=12,SUMIFS('Attrition Modeling'!$D:$D,'Attrition Modeling'!$B:$B,$E87,'Attrition Modeling'!$C:$C,BM$68),VLOOKUP(BM$69-$F87-1,$A$7:$C$161,2,FALSE)*VLOOKUP(BM$1,'Attrition Modeling'!$L$15:$N$27,IF(BM$2-$F20&lt;=24,2,3),FALSE))*(1+Projection!BO$16)*(1+IF(BM152&gt;0,'Attrition Modeling'!$N$9,0))),0))</f>
        <v>1031.4873581601262</v>
      </c>
      <c r="BN87" s="799">
        <f>IF(BN$69=$F87+1,IF(Monthly!BJ$4=TRUE,0,Monthly!BJ$17),IF(BN$69&gt;$F87+1,BM87*(1-IF(BN$69-$F87&lt;=12,SUMIFS('Attrition Modeling'!$D:$D,'Attrition Modeling'!$B:$B,$E87,'Attrition Modeling'!$C:$C,BN$68),VLOOKUP(BN$69-$F87-1,$A$7:$C$161,2,FALSE)*VLOOKUP(BN$1,'Attrition Modeling'!$L$15:$N$27,IF(BN$2-$F20&lt;=24,2,3),FALSE))*(1+Projection!BP$16)*(1+IF(BN152&gt;0,'Attrition Modeling'!$N$9,0))),0))</f>
        <v>993.9777217568427</v>
      </c>
      <c r="BO87" s="799">
        <f>IF(BO$69=$F87+1,IF(Monthly!BK$4=TRUE,0,Monthly!BK$17),IF(BO$69&gt;$F87+1,BN87*(1-IF(BO$69-$F87&lt;=12,SUMIFS('Attrition Modeling'!$D:$D,'Attrition Modeling'!$B:$B,$E87,'Attrition Modeling'!$C:$C,BO$68),VLOOKUP(BO$69-$F87-1,$A$7:$C$161,2,FALSE)*VLOOKUP(BO$1,'Attrition Modeling'!$L$15:$N$27,IF(BO$2-$F20&lt;=24,2,3),FALSE))*(1+Projection!BV$16)*(1+IF(BO152&gt;0,'Attrition Modeling'!$N$9,0))),0))</f>
        <v>969.39960631883605</v>
      </c>
      <c r="BP87" s="799">
        <f>IF(BP$69=$F87+1,IF(Monthly!BL$4=TRUE,0,Monthly!BL$17),IF(BP$69&gt;$F87+1,BO87*(1-IF(BP$69-$F87&lt;=12,SUMIFS('Attrition Modeling'!$D:$D,'Attrition Modeling'!$B:$B,$E87,'Attrition Modeling'!$C:$C,BP$68),VLOOKUP(BP$69-$F87-1,$A$7:$C$161,2,FALSE)*VLOOKUP(BP$1,'Attrition Modeling'!$L$15:$N$27,IF(BP$2-$F20&lt;=24,2,3),FALSE))*(1+Projection!BW$16)*(1+IF(BP152&gt;0,'Attrition Modeling'!$N$9,0))),0))</f>
        <v>943.11904180588681</v>
      </c>
      <c r="BQ87" s="799">
        <f>IF(BQ$69=$F87+1,IF(Monthly!BM$4=TRUE,0,Monthly!BM$17),IF(BQ$69&gt;$F87+1,BP87*(1-IF(BQ$69-$F87&lt;=12,SUMIFS('Attrition Modeling'!$D:$D,'Attrition Modeling'!$B:$B,$E87,'Attrition Modeling'!$C:$C,BQ$68),VLOOKUP(BQ$69-$F87-1,$A$7:$C$161,2,FALSE)*VLOOKUP(BQ$1,'Attrition Modeling'!$L$15:$N$27,IF(BQ$2-$F20&lt;=24,2,3),FALSE))*(1+Projection!BX$16)*(1+IF(BQ152&gt;0,'Attrition Modeling'!$N$9,0))),0))</f>
        <v>918.58978105508959</v>
      </c>
      <c r="BR87" s="799">
        <f>IF(BR$69=$F87+1,IF(Monthly!BN$4=TRUE,0,Monthly!BN$17),IF(BR$69&gt;$F87+1,BQ87*(1-IF(BR$69-$F87&lt;=12,SUMIFS('Attrition Modeling'!$D:$D,'Attrition Modeling'!$B:$B,$E87,'Attrition Modeling'!$C:$C,BR$68),VLOOKUP(BR$69-$F87-1,$A$7:$C$161,2,FALSE)*VLOOKUP(BR$1,'Attrition Modeling'!$L$15:$N$27,IF(BR$2-$F20&lt;=24,2,3),FALSE))*(1+Projection!BY$16)*(1+IF(BR152&gt;0,'Attrition Modeling'!$N$9,0))),0))</f>
        <v>895.91862161483073</v>
      </c>
      <c r="BS87" s="799">
        <f>IF(BS$69=$F87+1,IF(Monthly!BO$4=TRUE,0,Monthly!BO$17),IF(BS$69&gt;$F87+1,BR87*(1-IF(BS$69-$F87&lt;=12,SUMIFS('Attrition Modeling'!$D:$D,'Attrition Modeling'!$B:$B,$E87,'Attrition Modeling'!$C:$C,BS$68),VLOOKUP(BS$69-$F87-1,$A$7:$C$161,2,FALSE)*VLOOKUP(BS$1,'Attrition Modeling'!$L$15:$N$27,IF(BS$2-$F20&lt;=24,2,3),FALSE))*(1+Projection!BZ$16)*(1+IF(BS152&gt;0,'Attrition Modeling'!$N$9,0))),0))</f>
        <v>878.49776564297133</v>
      </c>
      <c r="BT87" s="799">
        <f>IF(BT$69=$F87+1,IF(Monthly!#REF!=TRUE,0,Monthly!#REF!),IF(BT$69&gt;$F87+1,BS87*(1-IF(BT$69-$F87&lt;=12,SUMIFS('Attrition Modeling'!$D:$D,'Attrition Modeling'!$B:$B,$E87,'Attrition Modeling'!$C:$C,BT$68),VLOOKUP(BT$69-$F87-1,$A$7:$C$161,2,FALSE)*VLOOKUP(BT$1,'Attrition Modeling'!$L$15:$N$27,IF(BT$2-$F20&lt;=24,2,3),FALSE))*(1+Projection!CA$16)*(1+IF(BT152&gt;0,'Attrition Modeling'!$N$9,0))),0))</f>
        <v>858.06481753475066</v>
      </c>
      <c r="BU87" s="799">
        <f>IF(BU$69=$F87+1,IF(Monthly!#REF!=TRUE,0,Monthly!#REF!),IF(BU$69&gt;$F87+1,BT87*(1-IF(BU$69-$F87&lt;=12,SUMIFS('Attrition Modeling'!$D:$D,'Attrition Modeling'!$B:$B,$E87,'Attrition Modeling'!$C:$C,BU$68),VLOOKUP(BU$69-$F87-1,$A$7:$C$161,2,FALSE)*VLOOKUP(BU$1,'Attrition Modeling'!$L$15:$N$27,IF(BU$2-$F20&lt;=24,2,3),FALSE))*(1+Projection!CB$16)*(1+IF(BU152&gt;0,'Attrition Modeling'!$N$9,0))),0))</f>
        <v>835.64580764889843</v>
      </c>
    </row>
    <row r="88" spans="1:73" ht="14.25" customHeight="1" x14ac:dyDescent="0.2">
      <c r="A88" s="9">
        <v>81</v>
      </c>
      <c r="B88" s="25">
        <f>MAX('Attrition Modeling'!H85,$C$3)*(1-Summary!$C$20)</f>
        <v>0.02</v>
      </c>
      <c r="C88" s="24" t="e">
        <f t="shared" si="4"/>
        <v>#DIV/0!</v>
      </c>
      <c r="E88" s="11">
        <f t="shared" si="9"/>
        <v>6</v>
      </c>
      <c r="F88" s="11">
        <f t="shared" si="10"/>
        <v>18</v>
      </c>
      <c r="G88" s="799"/>
      <c r="H88" s="799">
        <f>IF(H$69=$F88+1,IF(Monthly!D$4=TRUE,0,Monthly!D$17),IF(H$69&gt;$F88+1,G88*(1-IF(H$69-$F88&lt;=12,SUMIFS('Attrition Modeling'!$D:$D,'Attrition Modeling'!$B:$B,$E88,'Attrition Modeling'!$C:$C,H$68),VLOOKUP(H$69-$F88-1,$A$7:$C$161,2,FALSE)*VLOOKUP(H$1,'Attrition Modeling'!$L$15:$N$27,IF(H$2-$F21&lt;=24,2,3),FALSE))*(1+Projection!J$16)*(1+IF(H153&gt;0,'Attrition Modeling'!$N$9,0))),0))</f>
        <v>0</v>
      </c>
      <c r="I88" s="799">
        <f>IF(I$69=$F88+1,IF(Monthly!E$4=TRUE,0,Monthly!E$17),IF(I$69&gt;$F88+1,H88*(1-IF(I$69-$F88&lt;=12,SUMIFS('Attrition Modeling'!$D:$D,'Attrition Modeling'!$B:$B,$E88,'Attrition Modeling'!$C:$C,I$68),VLOOKUP(I$69-$F88-1,$A$7:$C$161,2,FALSE)*VLOOKUP(I$1,'Attrition Modeling'!$L$15:$N$27,IF(I$2-$F21&lt;=24,2,3),FALSE))*(1+Projection!K$16)*(1+IF(I153&gt;0,'Attrition Modeling'!$N$9,0))),0))</f>
        <v>0</v>
      </c>
      <c r="J88" s="799">
        <f>IF(J$69=$F88+1,IF(Monthly!F$4=TRUE,0,Monthly!F$17),IF(J$69&gt;$F88+1,I88*(1-IF(J$69-$F88&lt;=12,SUMIFS('Attrition Modeling'!$D:$D,'Attrition Modeling'!$B:$B,$E88,'Attrition Modeling'!$C:$C,J$68),VLOOKUP(J$69-$F88-1,$A$7:$C$161,2,FALSE)*VLOOKUP(J$1,'Attrition Modeling'!$L$15:$N$27,IF(J$2-$F21&lt;=24,2,3),FALSE))*(1+Projection!L$16)*(1+IF(J153&gt;0,'Attrition Modeling'!$N$9,0))),0))</f>
        <v>0</v>
      </c>
      <c r="K88" s="799">
        <f>IF(K$69=$F88+1,IF(Monthly!G$4=TRUE,0,Monthly!G$17),IF(K$69&gt;$F88+1,J88*(1-IF(K$69-$F88&lt;=12,SUMIFS('Attrition Modeling'!$D:$D,'Attrition Modeling'!$B:$B,$E88,'Attrition Modeling'!$C:$C,K$68),VLOOKUP(K$69-$F88-1,$A$7:$C$161,2,FALSE)*VLOOKUP(K$1,'Attrition Modeling'!$L$15:$N$27,IF(K$2-$F21&lt;=24,2,3),FALSE))*(1+Projection!M$16)*(1+IF(K153&gt;0,'Attrition Modeling'!$N$9,0))),0))</f>
        <v>0</v>
      </c>
      <c r="L88" s="799">
        <f>IF(L$69=$F88+1,IF(Monthly!H$4=TRUE,0,Monthly!H$17),IF(L$69&gt;$F88+1,K88*(1-IF(L$69-$F88&lt;=12,SUMIFS('Attrition Modeling'!$D:$D,'Attrition Modeling'!$B:$B,$E88,'Attrition Modeling'!$C:$C,L$68),VLOOKUP(L$69-$F88-1,$A$7:$C$161,2,FALSE)*VLOOKUP(L$1,'Attrition Modeling'!$L$15:$N$27,IF(L$2-$F21&lt;=24,2,3),FALSE))*(1+Projection!N$16)*(1+IF(L153&gt;0,'Attrition Modeling'!$N$9,0))),0))</f>
        <v>0</v>
      </c>
      <c r="M88" s="799">
        <f>IF(M$69=$F88+1,IF(Monthly!I$4=TRUE,0,Monthly!I$17),IF(M$69&gt;$F88+1,L88*(1-IF(M$69-$F88&lt;=12,SUMIFS('Attrition Modeling'!$D:$D,'Attrition Modeling'!$B:$B,$E88,'Attrition Modeling'!$C:$C,M$68),VLOOKUP(M$69-$F88-1,$A$7:$C$161,2,FALSE)*VLOOKUP(M$1,'Attrition Modeling'!$L$15:$N$27,IF(M$2-$F21&lt;=24,2,3),FALSE))*(1+Projection!O$16)*(1+IF(M153&gt;0,'Attrition Modeling'!$N$9,0))),0))</f>
        <v>0</v>
      </c>
      <c r="N88" s="799">
        <f>IF(N$69=$F88+1,IF(Monthly!J$4=TRUE,0,Monthly!J$17),IF(N$69&gt;$F88+1,M88*(1-IF(N$69-$F88&lt;=12,SUMIFS('Attrition Modeling'!$D:$D,'Attrition Modeling'!$B:$B,$E88,'Attrition Modeling'!$C:$C,N$68),VLOOKUP(N$69-$F88-1,$A$7:$C$161,2,FALSE)*VLOOKUP(N$1,'Attrition Modeling'!$L$15:$N$27,IF(N$2-$F21&lt;=24,2,3),FALSE))*(1+Projection!P$16)*(1+IF(N153&gt;0,'Attrition Modeling'!$N$9,0))),0))</f>
        <v>0</v>
      </c>
      <c r="O88" s="799">
        <f>IF(O$69=$F88+1,IF(Monthly!K$4=TRUE,0,Monthly!K$17),IF(O$69&gt;$F88+1,N88*(1-IF(O$69-$F88&lt;=12,SUMIFS('Attrition Modeling'!$D:$D,'Attrition Modeling'!$B:$B,$E88,'Attrition Modeling'!$C:$C,O$68),VLOOKUP(O$69-$F88-1,$A$7:$C$161,2,FALSE)*VLOOKUP(O$1,'Attrition Modeling'!$L$15:$N$27,IF(O$2-$F21&lt;=24,2,3),FALSE))*(1+Projection!Q$16)*(1+IF(O153&gt;0,'Attrition Modeling'!$N$9,0))),0))</f>
        <v>0</v>
      </c>
      <c r="P88" s="799">
        <f>IF(P$69=$F88+1,IF(Monthly!L$4=TRUE,0,Monthly!L$17),IF(P$69&gt;$F88+1,O88*(1-IF(P$69-$F88&lt;=12,SUMIFS('Attrition Modeling'!$D:$D,'Attrition Modeling'!$B:$B,$E88,'Attrition Modeling'!$C:$C,P$68),VLOOKUP(P$69-$F88-1,$A$7:$C$161,2,FALSE)*VLOOKUP(P$1,'Attrition Modeling'!$L$15:$N$27,IF(P$2-$F21&lt;=24,2,3),FALSE))*(1+Projection!R$16)*(1+IF(P153&gt;0,'Attrition Modeling'!$N$9,0))),0))</f>
        <v>0</v>
      </c>
      <c r="Q88" s="799">
        <f>IF(Q$69=$F88+1,IF(Monthly!M$4=TRUE,0,Monthly!M$17),IF(Q$69&gt;$F88+1,P88*(1-IF(Q$69-$F88&lt;=12,SUMIFS('Attrition Modeling'!$D:$D,'Attrition Modeling'!$B:$B,$E88,'Attrition Modeling'!$C:$C,Q$68),VLOOKUP(Q$69-$F88-1,$A$7:$C$161,2,FALSE)*VLOOKUP(Q$1,'Attrition Modeling'!$L$15:$N$27,IF(Q$2-$F21&lt;=24,2,3),FALSE))*(1+Projection!S$16)*(1+IF(Q153&gt;0,'Attrition Modeling'!$N$9,0))),0))</f>
        <v>0</v>
      </c>
      <c r="R88" s="799">
        <f>IF(R$69=$F88+1,IF(Monthly!N$4=TRUE,0,Monthly!N$17),IF(R$69&gt;$F88+1,Q88*(1-IF(R$69-$F88&lt;=12,SUMIFS('Attrition Modeling'!$D:$D,'Attrition Modeling'!$B:$B,$E88,'Attrition Modeling'!$C:$C,R$68),VLOOKUP(R$69-$F88-1,$A$7:$C$161,2,FALSE)*VLOOKUP(R$1,'Attrition Modeling'!$L$15:$N$27,IF(R$2-$F21&lt;=24,2,3),FALSE))*(1+Projection!T$16)*(1+IF(R153&gt;0,'Attrition Modeling'!$N$9,0))),0))</f>
        <v>0</v>
      </c>
      <c r="S88" s="799">
        <f>IF(S$69=$F88+1,IF(Monthly!O$4=TRUE,0,Monthly!O$17),IF(S$69&gt;$F88+1,R88*(1-IF(S$69-$F88&lt;=12,SUMIFS('Attrition Modeling'!$D:$D,'Attrition Modeling'!$B:$B,$E88,'Attrition Modeling'!$C:$C,S$68),VLOOKUP(S$69-$F88-1,$A$7:$C$161,2,FALSE)*VLOOKUP(S$1,'Attrition Modeling'!$L$15:$N$27,IF(S$2-$F21&lt;=24,2,3),FALSE))*(1+Projection!U$16)*(1+IF(S153&gt;0,'Attrition Modeling'!$N$9,0))),0))</f>
        <v>0</v>
      </c>
      <c r="T88" s="799">
        <f>IF(T$69=$F88+1,IF(Monthly!P$4=TRUE,0,Monthly!P$17),IF(T$69&gt;$F88+1,S88*(1-IF(T$69-$F88&lt;=12,SUMIFS('Attrition Modeling'!$D:$D,'Attrition Modeling'!$B:$B,$E88,'Attrition Modeling'!$C:$C,T$68),VLOOKUP(T$69-$F88-1,$A$7:$C$161,2,FALSE)*VLOOKUP(T$1,'Attrition Modeling'!$L$15:$N$27,IF(T$2-$F21&lt;=24,2,3),FALSE))*(1+Projection!V$16)*(1+IF(T153&gt;0,'Attrition Modeling'!$N$9,0))),0))</f>
        <v>0</v>
      </c>
      <c r="U88" s="799">
        <f>IF(U$69=$F88+1,IF(Monthly!Q$4=TRUE,0,Monthly!Q$17),IF(U$69&gt;$F88+1,T88*(1-IF(U$69-$F88&lt;=12,SUMIFS('Attrition Modeling'!$D:$D,'Attrition Modeling'!$B:$B,$E88,'Attrition Modeling'!$C:$C,U$68),VLOOKUP(U$69-$F88-1,$A$7:$C$161,2,FALSE)*VLOOKUP(U$1,'Attrition Modeling'!$L$15:$N$27,IF(U$2-$F21&lt;=24,2,3),FALSE))*(1+Projection!W$16)*(1+IF(U153&gt;0,'Attrition Modeling'!$N$9,0))),0))</f>
        <v>0</v>
      </c>
      <c r="V88" s="799">
        <f>IF(V$69=$F88+1,IF(Monthly!R$4=TRUE,0,Monthly!R$17),IF(V$69&gt;$F88+1,U88*(1-IF(V$69-$F88&lt;=12,SUMIFS('Attrition Modeling'!$D:$D,'Attrition Modeling'!$B:$B,$E88,'Attrition Modeling'!$C:$C,V$68),VLOOKUP(V$69-$F88-1,$A$7:$C$161,2,FALSE)*VLOOKUP(V$1,'Attrition Modeling'!$L$15:$N$27,IF(V$2-$F21&lt;=24,2,3),FALSE))*(1+Projection!X$16)*(1+IF(V153&gt;0,'Attrition Modeling'!$N$9,0))),0))</f>
        <v>0</v>
      </c>
      <c r="W88" s="799">
        <f>IF(W$69=$F88+1,IF(Monthly!S$4=TRUE,0,Monthly!S$17),IF(W$69&gt;$F88+1,V88*(1-IF(W$69-$F88&lt;=12,SUMIFS('Attrition Modeling'!$D:$D,'Attrition Modeling'!$B:$B,$E88,'Attrition Modeling'!$C:$C,W$68),VLOOKUP(W$69-$F88-1,$A$7:$C$161,2,FALSE)*VLOOKUP(W$1,'Attrition Modeling'!$L$15:$N$27,IF(W$2-$F21&lt;=24,2,3),FALSE))*(1+Projection!Y$16)*(1+IF(W153&gt;0,'Attrition Modeling'!$N$9,0))),0))</f>
        <v>0</v>
      </c>
      <c r="X88" s="799">
        <f>IF(X$69=$F88+1,IF(Monthly!T$4=TRUE,0,Monthly!T$17),IF(X$69&gt;$F88+1,W88*(1-IF(X$69-$F88&lt;=12,SUMIFS('Attrition Modeling'!$D:$D,'Attrition Modeling'!$B:$B,$E88,'Attrition Modeling'!$C:$C,X$68),VLOOKUP(X$69-$F88-1,$A$7:$C$161,2,FALSE)*VLOOKUP(X$1,'Attrition Modeling'!$L$15:$N$27,IF(X$2-$F21&lt;=24,2,3),FALSE))*(1+Projection!Z$16)*(1+IF(X153&gt;0,'Attrition Modeling'!$N$9,0))),0))</f>
        <v>0</v>
      </c>
      <c r="Y88" s="799">
        <f>IF(Y$69=$F88+1,IF(Monthly!U$4=TRUE,0,Monthly!U$17),IF(Y$69&gt;$F88+1,X88*(1-IF(Y$69-$F88&lt;=12,SUMIFS('Attrition Modeling'!$D:$D,'Attrition Modeling'!$B:$B,$E88,'Attrition Modeling'!$C:$C,Y$68),VLOOKUP(Y$69-$F88-1,$A$7:$C$161,2,FALSE)*VLOOKUP(Y$1,'Attrition Modeling'!$L$15:$N$27,IF(Y$2-$F21&lt;=24,2,3),FALSE))*(1+Projection!AA$16)*(1+IF(Y153&gt;0,'Attrition Modeling'!$N$9,0))),0))</f>
        <v>0</v>
      </c>
      <c r="Z88" s="799">
        <f>IF(Z$69=$F88+1,IF(Monthly!V$4=TRUE,0,Monthly!V$17),IF(Z$69&gt;$F88+1,Y88*(1-IF(Z$69-$F88&lt;=12,SUMIFS('Attrition Modeling'!$D:$D,'Attrition Modeling'!$B:$B,$E88,'Attrition Modeling'!$C:$C,Z$68),VLOOKUP(Z$69-$F88-1,$A$7:$C$161,2,FALSE)*VLOOKUP(Z$1,'Attrition Modeling'!$L$15:$N$27,IF(Z$2-$F21&lt;=24,2,3),FALSE))*(1+Projection!AB$16)*(1+IF(Z153&gt;0,'Attrition Modeling'!$N$9,0))),0))</f>
        <v>8109.8809438584722</v>
      </c>
      <c r="AA88" s="799">
        <f>IF(AA$69=$F88+1,IF(Monthly!W$4=TRUE,0,Monthly!W$17),IF(AA$69&gt;$F88+1,Z88*(1-IF(AA$69-$F88&lt;=12,SUMIFS('Attrition Modeling'!$D:$D,'Attrition Modeling'!$B:$B,$E88,'Attrition Modeling'!$C:$C,AA$68),VLOOKUP(AA$69-$F88-1,$A$7:$C$161,2,FALSE)*VLOOKUP(AA$1,'Attrition Modeling'!$L$15:$N$27,IF(AA$2-$F21&lt;=24,2,3),FALSE))*(1+Projection!AC$16)*(1+IF(AA153&gt;0,'Attrition Modeling'!$N$9,0))),0))</f>
        <v>7140.6236569246612</v>
      </c>
      <c r="AB88" s="799">
        <f>IF(AB$69=$F88+1,IF(Monthly!X$4=TRUE,0,Monthly!X$17),IF(AB$69&gt;$F88+1,AA88*(1-IF(AB$69-$F88&lt;=12,SUMIFS('Attrition Modeling'!$D:$D,'Attrition Modeling'!$B:$B,$E88,'Attrition Modeling'!$C:$C,AB$68),VLOOKUP(AB$69-$F88-1,$A$7:$C$161,2,FALSE)*VLOOKUP(AB$1,'Attrition Modeling'!$L$15:$N$27,IF(AB$2-$F21&lt;=24,2,3),FALSE))*(1+Projection!AD$16)*(1+IF(AB153&gt;0,'Attrition Modeling'!$N$9,0))),0))</f>
        <v>6349.9359728321024</v>
      </c>
      <c r="AC88" s="799">
        <f>IF(AC$69=$F88+1,IF(Monthly!Y$4=TRUE,0,Monthly!Y$17),IF(AC$69&gt;$F88+1,AB88*(1-IF(AC$69-$F88&lt;=12,SUMIFS('Attrition Modeling'!$D:$D,'Attrition Modeling'!$B:$B,$E88,'Attrition Modeling'!$C:$C,AC$68),VLOOKUP(AC$69-$F88-1,$A$7:$C$161,2,FALSE)*VLOOKUP(AC$1,'Attrition Modeling'!$L$15:$N$27,IF(AC$2-$F21&lt;=24,2,3),FALSE))*(1+Projection!AE$16)*(1+IF(AC153&gt;0,'Attrition Modeling'!$N$9,0))),0))</f>
        <v>5758.4265465927674</v>
      </c>
      <c r="AD88" s="799">
        <f>IF(AD$69=$F88+1,IF(Monthly!Z$4=TRUE,0,Monthly!Z$17),IF(AD$69&gt;$F88+1,AC88*(1-IF(AD$69-$F88&lt;=12,SUMIFS('Attrition Modeling'!$D:$D,'Attrition Modeling'!$B:$B,$E88,'Attrition Modeling'!$C:$C,AD$68),VLOOKUP(AD$69-$F88-1,$A$7:$C$161,2,FALSE)*VLOOKUP(AD$1,'Attrition Modeling'!$L$15:$N$27,IF(AD$2-$F21&lt;=24,2,3),FALSE))*(1+Projection!AF$16)*(1+IF(AD153&gt;0,'Attrition Modeling'!$N$9,0))),0))</f>
        <v>5253.1451747120236</v>
      </c>
      <c r="AE88" s="799">
        <f>IF(AE$69=$F88+1,IF(Monthly!AA$4=TRUE,0,Monthly!AA$17),IF(AE$69&gt;$F88+1,AD88*(1-IF(AE$69-$F88&lt;=12,SUMIFS('Attrition Modeling'!$D:$D,'Attrition Modeling'!$B:$B,$E88,'Attrition Modeling'!$C:$C,AE$68),VLOOKUP(AE$69-$F88-1,$A$7:$C$161,2,FALSE)*VLOOKUP(AE$1,'Attrition Modeling'!$L$15:$N$27,IF(AE$2-$F21&lt;=24,2,3),FALSE))*(1+Projection!AG$16)*(1+IF(AE153&gt;0,'Attrition Modeling'!$N$9,0))),0))</f>
        <v>4700.4357362930859</v>
      </c>
      <c r="AF88" s="799">
        <f>IF(AF$69=$F88+1,IF(Monthly!AB$4=TRUE,0,Monthly!AB$17),IF(AF$69&gt;$F88+1,AE88*(1-IF(AF$69-$F88&lt;=12,SUMIFS('Attrition Modeling'!$D:$D,'Attrition Modeling'!$B:$B,$E88,'Attrition Modeling'!$C:$C,AF$68),VLOOKUP(AF$69-$F88-1,$A$7:$C$161,2,FALSE)*VLOOKUP(AF$1,'Attrition Modeling'!$L$15:$N$27,IF(AF$2-$F21&lt;=24,2,3),FALSE))*(1+Projection!AH$16)*(1+IF(AF153&gt;0,'Attrition Modeling'!$N$9,0))),0))</f>
        <v>4376.8692562742235</v>
      </c>
      <c r="AG88" s="799">
        <f>IF(AG$69=$F88+1,IF(Monthly!AC$4=TRUE,0,Monthly!AC$17),IF(AG$69&gt;$F88+1,AF88*(1-IF(AG$69-$F88&lt;=12,SUMIFS('Attrition Modeling'!$D:$D,'Attrition Modeling'!$B:$B,$E88,'Attrition Modeling'!$C:$C,AG$68),VLOOKUP(AG$69-$F88-1,$A$7:$C$161,2,FALSE)*VLOOKUP(AG$1,'Attrition Modeling'!$L$15:$N$27,IF(AG$2-$F21&lt;=24,2,3),FALSE))*(1+Projection!AI$16)*(1+IF(AG153&gt;0,'Attrition Modeling'!$N$9,0))),0))</f>
        <v>4106.5357783053914</v>
      </c>
      <c r="AH88" s="799">
        <f>IF(AH$69=$F88+1,IF(Monthly!AD$4=TRUE,0,Monthly!AD$17),IF(AH$69&gt;$F88+1,AG88*(1-IF(AH$69-$F88&lt;=12,SUMIFS('Attrition Modeling'!$D:$D,'Attrition Modeling'!$B:$B,$E88,'Attrition Modeling'!$C:$C,AH$68),VLOOKUP(AH$69-$F88-1,$A$7:$C$161,2,FALSE)*VLOOKUP(AH$1,'Attrition Modeling'!$L$15:$N$27,IF(AH$2-$F21&lt;=24,2,3),FALSE))*(1+Projection!AJ$16)*(1+IF(AH153&gt;0,'Attrition Modeling'!$N$9,0))),0))</f>
        <v>3841.385920674998</v>
      </c>
      <c r="AI88" s="799">
        <f>IF(AI$69=$F88+1,IF(Monthly!AE$4=TRUE,0,Monthly!AE$17),IF(AI$69&gt;$F88+1,AH88*(1-IF(AI$69-$F88&lt;=12,SUMIFS('Attrition Modeling'!$D:$D,'Attrition Modeling'!$B:$B,$E88,'Attrition Modeling'!$C:$C,AI$68),VLOOKUP(AI$69-$F88-1,$A$7:$C$161,2,FALSE)*VLOOKUP(AI$1,'Attrition Modeling'!$L$15:$N$27,IF(AI$2-$F21&lt;=24,2,3),FALSE))*(1+Projection!AK$16)*(1+IF(AI153&gt;0,'Attrition Modeling'!$N$9,0))),0))</f>
        <v>3629.0941862558834</v>
      </c>
      <c r="AJ88" s="799">
        <f>IF(AJ$69=$F88+1,IF(Monthly!AF$4=TRUE,0,Monthly!AF$17),IF(AJ$69&gt;$F88+1,AI88*(1-IF(AJ$69-$F88&lt;=12,SUMIFS('Attrition Modeling'!$D:$D,'Attrition Modeling'!$B:$B,$E88,'Attrition Modeling'!$C:$C,AJ$68),VLOOKUP(AJ$69-$F88-1,$A$7:$C$161,2,FALSE)*VLOOKUP(AJ$1,'Attrition Modeling'!$L$15:$N$27,IF(AJ$2-$F21&lt;=24,2,3),FALSE))*(1+Projection!AL$16)*(1+IF(AJ153&gt;0,'Attrition Modeling'!$N$9,0))),0))</f>
        <v>3421.1407747595372</v>
      </c>
      <c r="AK88" s="799">
        <f>IF(AK$69=$F88+1,IF(Monthly!AG$4=TRUE,0,Monthly!AG$17),IF(AK$69&gt;$F88+1,AJ88*(1-IF(AK$69-$F88&lt;=12,SUMIFS('Attrition Modeling'!$D:$D,'Attrition Modeling'!$B:$B,$E88,'Attrition Modeling'!$C:$C,AK$68),VLOOKUP(AK$69-$F88-1,$A$7:$C$161,2,FALSE)*VLOOKUP(AK$1,'Attrition Modeling'!$L$15:$N$27,IF(AK$2-$F21&lt;=24,2,3),FALSE))*(1+Projection!AM$16)*(1+IF(AK153&gt;0,'Attrition Modeling'!$N$9,0))),0))</f>
        <v>3322.8194810572672</v>
      </c>
      <c r="AL88" s="799">
        <f>IF(AL$69=$F88+1,IF(Monthly!AH$4=TRUE,0,Monthly!AH$17),IF(AL$69&gt;$F88+1,AK88*(1-IF(AL$69-$F88&lt;=12,SUMIFS('Attrition Modeling'!$D:$D,'Attrition Modeling'!$B:$B,$E88,'Attrition Modeling'!$C:$C,AL$68),VLOOKUP(AL$69-$F88-1,$A$7:$C$161,2,FALSE)*VLOOKUP(AL$1,'Attrition Modeling'!$L$15:$N$27,IF(AL$2-$F21&lt;=24,2,3),FALSE))*(1+Projection!AN$16)*(1+IF(AL153&gt;0,'Attrition Modeling'!$N$9,0))),0))</f>
        <v>3130.0929305774089</v>
      </c>
      <c r="AM88" s="799">
        <f>IF(AM$69=$F88+1,IF(Monthly!AI$4=TRUE,0,Monthly!AI$17),IF(AM$69&gt;$F88+1,AL88*(1-IF(AM$69-$F88&lt;=12,SUMIFS('Attrition Modeling'!$D:$D,'Attrition Modeling'!$B:$B,$E88,'Attrition Modeling'!$C:$C,AM$68),VLOOKUP(AM$69-$F88-1,$A$7:$C$161,2,FALSE)*VLOOKUP(AM$1,'Attrition Modeling'!$L$15:$N$27,IF(AM$2-$F21&lt;=24,2,3),FALSE))*(1+Projection!AO$16)*(1+IF(AM153&gt;0,'Attrition Modeling'!$N$9,0))),0))</f>
        <v>2955.1582667513853</v>
      </c>
      <c r="AN88" s="799">
        <f>IF(AN$69=$F88+1,IF(Monthly!AJ$4=TRUE,0,Monthly!AJ$17),IF(AN$69&gt;$F88+1,AM88*(1-IF(AN$69-$F88&lt;=12,SUMIFS('Attrition Modeling'!$D:$D,'Attrition Modeling'!$B:$B,$E88,'Attrition Modeling'!$C:$C,AN$68),VLOOKUP(AN$69-$F88-1,$A$7:$C$161,2,FALSE)*VLOOKUP(AN$1,'Attrition Modeling'!$L$15:$N$27,IF(AN$2-$F21&lt;=24,2,3),FALSE))*(1+Projection!AP$16)*(1+IF(AN153&gt;0,'Attrition Modeling'!$N$9,0))),0))</f>
        <v>2811.9299290156869</v>
      </c>
      <c r="AO88" s="799">
        <f>IF(AO$69=$F88+1,IF(Monthly!AK$4=TRUE,0,Monthly!AK$17),IF(AO$69&gt;$F88+1,AN88*(1-IF(AO$69-$F88&lt;=12,SUMIFS('Attrition Modeling'!$D:$D,'Attrition Modeling'!$B:$B,$E88,'Attrition Modeling'!$C:$C,AO$68),VLOOKUP(AO$69-$F88-1,$A$7:$C$161,2,FALSE)*VLOOKUP(AO$1,'Attrition Modeling'!$L$15:$N$27,IF(AO$2-$F21&lt;=24,2,3),FALSE))*(1+Projection!AQ$16)*(1+IF(AO153&gt;0,'Attrition Modeling'!$N$9,0))),0))</f>
        <v>2677.5839732347567</v>
      </c>
      <c r="AP88" s="799">
        <f>IF(AP$69=$F88+1,IF(Monthly!AL$4=TRUE,0,Monthly!AL$17),IF(AP$69&gt;$F88+1,AO88*(1-IF(AP$69-$F88&lt;=12,SUMIFS('Attrition Modeling'!$D:$D,'Attrition Modeling'!$B:$B,$E88,'Attrition Modeling'!$C:$C,AP$68),VLOOKUP(AP$69-$F88-1,$A$7:$C$161,2,FALSE)*VLOOKUP(AP$1,'Attrition Modeling'!$L$15:$N$27,IF(AP$2-$F21&lt;=24,2,3),FALSE))*(1+Projection!AR$16)*(1+IF(AP153&gt;0,'Attrition Modeling'!$N$9,0))),0))</f>
        <v>2558.1382657339032</v>
      </c>
      <c r="AQ88" s="799">
        <f>IF(AQ$69=$F88+1,IF(Monthly!AM$4=TRUE,0,Monthly!AM$17),IF(AQ$69&gt;$F88+1,AP88*(1-IF(AQ$69-$F88&lt;=12,SUMIFS('Attrition Modeling'!$D:$D,'Attrition Modeling'!$B:$B,$E88,'Attrition Modeling'!$C:$C,AQ$68),VLOOKUP(AQ$69-$F88-1,$A$7:$C$161,2,FALSE)*VLOOKUP(AQ$1,'Attrition Modeling'!$L$15:$N$27,IF(AQ$2-$F21&lt;=24,2,3),FALSE))*(1+Projection!AS$16)*(1+IF(AQ153&gt;0,'Attrition Modeling'!$N$9,0))),0))</f>
        <v>2425.9907886560504</v>
      </c>
      <c r="AR88" s="799">
        <f>IF(AR$69=$F88+1,IF(Monthly!AN$4=TRUE,0,Monthly!AN$17),IF(AR$69&gt;$F88+1,AQ88*(1-IF(AR$69-$F88&lt;=12,SUMIFS('Attrition Modeling'!$D:$D,'Attrition Modeling'!$B:$B,$E88,'Attrition Modeling'!$C:$C,AR$68),VLOOKUP(AR$69-$F88-1,$A$7:$C$161,2,FALSE)*VLOOKUP(AR$1,'Attrition Modeling'!$L$15:$N$27,IF(AR$2-$F21&lt;=24,2,3),FALSE))*(1+Projection!AT$16)*(1+IF(AR153&gt;0,'Attrition Modeling'!$N$9,0))),0))</f>
        <v>2323.7058529917504</v>
      </c>
      <c r="AS88" s="799">
        <f>IF(AS$69=$F88+1,IF(Monthly!AO$4=TRUE,0,Monthly!AO$17),IF(AS$69&gt;$F88+1,AR88*(1-IF(AS$69-$F88&lt;=12,SUMIFS('Attrition Modeling'!$D:$D,'Attrition Modeling'!$B:$B,$E88,'Attrition Modeling'!$C:$C,AS$68),VLOOKUP(AS$69-$F88-1,$A$7:$C$161,2,FALSE)*VLOOKUP(AS$1,'Attrition Modeling'!$L$15:$N$27,IF(AS$2-$F21&lt;=24,2,3),FALSE))*(1+Projection!AU$16)*(1+IF(AS153&gt;0,'Attrition Modeling'!$N$9,0))),0))</f>
        <v>2237.0036704821305</v>
      </c>
      <c r="AT88" s="799">
        <f>IF(AT$69=$F88+1,IF(Monthly!AP$4=TRUE,0,Monthly!AP$17),IF(AT$69&gt;$F88+1,AS88*(1-IF(AT$69-$F88&lt;=12,SUMIFS('Attrition Modeling'!$D:$D,'Attrition Modeling'!$B:$B,$E88,'Attrition Modeling'!$C:$C,AT$68),VLOOKUP(AT$69-$F88-1,$A$7:$C$161,2,FALSE)*VLOOKUP(AT$1,'Attrition Modeling'!$L$15:$N$27,IF(AT$2-$F21&lt;=24,2,3),FALSE))*(1+Projection!AV$16)*(1+IF(AT153&gt;0,'Attrition Modeling'!$N$9,0))),0))</f>
        <v>2147.6968169699289</v>
      </c>
      <c r="AU88" s="799">
        <f>IF(AU$69=$F88+1,IF(Monthly!AQ$4=TRUE,0,Monthly!AQ$17),IF(AU$69&gt;$F88+1,AT88*(1-IF(AU$69-$F88&lt;=12,SUMIFS('Attrition Modeling'!$D:$D,'Attrition Modeling'!$B:$B,$E88,'Attrition Modeling'!$C:$C,AU$68),VLOOKUP(AU$69-$F88-1,$A$7:$C$161,2,FALSE)*VLOOKUP(AU$1,'Attrition Modeling'!$L$15:$N$27,IF(AU$2-$F21&lt;=24,2,3),FALSE))*(1+Projection!AW$16)*(1+IF(AU153&gt;0,'Attrition Modeling'!$N$9,0))),0))</f>
        <v>2064.7042157302353</v>
      </c>
      <c r="AV88" s="799">
        <f>IF(AV$69=$F88+1,IF(Monthly!AR$4=TRUE,0,Monthly!AR$17),IF(AV$69&gt;$F88+1,AU88*(1-IF(AV$69-$F88&lt;=12,SUMIFS('Attrition Modeling'!$D:$D,'Attrition Modeling'!$B:$B,$E88,'Attrition Modeling'!$C:$C,AV$68),VLOOKUP(AV$69-$F88-1,$A$7:$C$161,2,FALSE)*VLOOKUP(AV$1,'Attrition Modeling'!$L$15:$N$27,IF(AV$2-$F21&lt;=24,2,3),FALSE))*(1+Projection!AX$16)*(1+IF(AV153&gt;0,'Attrition Modeling'!$N$9,0))),0))</f>
        <v>1986.6201981764013</v>
      </c>
      <c r="AW88" s="799">
        <f>IF(AW$69=$F88+1,IF(Monthly!AS$4=TRUE,0,Monthly!AS$17),IF(AW$69&gt;$F88+1,AV88*(1-IF(AW$69-$F88&lt;=12,SUMIFS('Attrition Modeling'!$D:$D,'Attrition Modeling'!$B:$B,$E88,'Attrition Modeling'!$C:$C,AW$68),VLOOKUP(AW$69-$F88-1,$A$7:$C$161,2,FALSE)*VLOOKUP(AW$1,'Attrition Modeling'!$L$15:$N$27,IF(AW$2-$F21&lt;=24,2,3),FALSE))*(1+Projection!AY$16)*(1+IF(AW153&gt;0,'Attrition Modeling'!$N$9,0))),0))</f>
        <v>1905.2273128861759</v>
      </c>
      <c r="AX88" s="799">
        <f>IF(AX$69=$F88+1,IF(Monthly!AT$4=TRUE,0,Monthly!AT$17),IF(AX$69&gt;$F88+1,AW88*(1-IF(AX$69-$F88&lt;=12,SUMIFS('Attrition Modeling'!$D:$D,'Attrition Modeling'!$B:$B,$E88,'Attrition Modeling'!$C:$C,AX$68),VLOOKUP(AX$69-$F88-1,$A$7:$C$161,2,FALSE)*VLOOKUP(AX$1,'Attrition Modeling'!$L$15:$N$27,IF(AX$2-$F21&lt;=24,2,3),FALSE))*(1+Projection!AZ$16)*(1+IF(AX153&gt;0,'Attrition Modeling'!$N$9,0))),0))</f>
        <v>1828.0082465286575</v>
      </c>
      <c r="AY88" s="799">
        <f>IF(AY$69=$F88+1,IF(Monthly!AU$4=TRUE,0,Monthly!AU$17),IF(AY$69&gt;$F88+1,AX88*(1-IF(AY$69-$F88&lt;=12,SUMIFS('Attrition Modeling'!$D:$D,'Attrition Modeling'!$B:$B,$E88,'Attrition Modeling'!$C:$C,AY$68),VLOOKUP(AY$69-$F88-1,$A$7:$C$161,2,FALSE)*VLOOKUP(AY$1,'Attrition Modeling'!$L$15:$N$27,IF(AY$2-$F21&lt;=24,2,3),FALSE))*(1+Projection!BA$16)*(1+IF(AY153&gt;0,'Attrition Modeling'!$N$9,0))),0))</f>
        <v>1749.5540964205607</v>
      </c>
      <c r="AZ88" s="799">
        <f>IF(AZ$69=$F88+1,IF(Monthly!AV$4=TRUE,0,Monthly!AV$17),IF(AZ$69&gt;$F88+1,AY88*(1-IF(AZ$69-$F88&lt;=12,SUMIFS('Attrition Modeling'!$D:$D,'Attrition Modeling'!$B:$B,$E88,'Attrition Modeling'!$C:$C,AZ$68),VLOOKUP(AZ$69-$F88-1,$A$7:$C$161,2,FALSE)*VLOOKUP(AZ$1,'Attrition Modeling'!$L$15:$N$27,IF(AZ$2-$F21&lt;=24,2,3),FALSE))*(1+Projection!BB$16)*(1+IF(AZ153&gt;0,'Attrition Modeling'!$N$9,0))),0))</f>
        <v>1679.9940688234133</v>
      </c>
      <c r="BA88" s="799">
        <f>IF(BA$69=$F88+1,IF(Monthly!AW$4=TRUE,0,Monthly!AW$17),IF(BA$69&gt;$F88+1,AZ88*(1-IF(BA$69-$F88&lt;=12,SUMIFS('Attrition Modeling'!$D:$D,'Attrition Modeling'!$B:$B,$E88,'Attrition Modeling'!$C:$C,BA$68),VLOOKUP(BA$69-$F88-1,$A$7:$C$161,2,FALSE)*VLOOKUP(BA$1,'Attrition Modeling'!$L$15:$N$27,IF(BA$2-$F21&lt;=24,2,3),FALSE))*(1+Projection!BC$16)*(1+IF(BA153&gt;0,'Attrition Modeling'!$N$9,0))),0))</f>
        <v>1616.3494101547656</v>
      </c>
      <c r="BB88" s="799">
        <f>IF(BB$69=$F88+1,IF(Monthly!AX$4=TRUE,0,Monthly!AX$17),IF(BB$69&gt;$F88+1,BA88*(1-IF(BB$69-$F88&lt;=12,SUMIFS('Attrition Modeling'!$D:$D,'Attrition Modeling'!$B:$B,$E88,'Attrition Modeling'!$C:$C,BB$68),VLOOKUP(BB$69-$F88-1,$A$7:$C$161,2,FALSE)*VLOOKUP(BB$1,'Attrition Modeling'!$L$15:$N$27,IF(BB$2-$F21&lt;=24,2,3),FALSE))*(1+Projection!BD$16)*(1+IF(BB153&gt;0,'Attrition Modeling'!$N$9,0))),0))</f>
        <v>1557.2689974429845</v>
      </c>
      <c r="BC88" s="799">
        <f>IF(BC$69=$F88+1,IF(Monthly!AY$4=TRUE,0,Monthly!AY$17),IF(BC$69&gt;$F88+1,BB88*(1-IF(BC$69-$F88&lt;=12,SUMIFS('Attrition Modeling'!$D:$D,'Attrition Modeling'!$B:$B,$E88,'Attrition Modeling'!$C:$C,BC$68),VLOOKUP(BC$69-$F88-1,$A$7:$C$161,2,FALSE)*VLOOKUP(BC$1,'Attrition Modeling'!$L$15:$N$27,IF(BC$2-$F21&lt;=24,2,3),FALSE))*(1+Projection!BE$16)*(1+IF(BC153&gt;0,'Attrition Modeling'!$N$9,0))),0))</f>
        <v>1501.6865855711201</v>
      </c>
      <c r="BD88" s="799">
        <f>IF(BD$69=$F88+1,IF(Monthly!AZ$4=TRUE,0,Monthly!AZ$17),IF(BD$69&gt;$F88+1,BC88*(1-IF(BD$69-$F88&lt;=12,SUMIFS('Attrition Modeling'!$D:$D,'Attrition Modeling'!$B:$B,$E88,'Attrition Modeling'!$C:$C,BD$68),VLOOKUP(BD$69-$F88-1,$A$7:$C$161,2,FALSE)*VLOOKUP(BD$1,'Attrition Modeling'!$L$15:$N$27,IF(BD$2-$F21&lt;=24,2,3),FALSE))*(1+Projection!BF$16)*(1+IF(BD153&gt;0,'Attrition Modeling'!$N$9,0))),0))</f>
        <v>1452.8428506821642</v>
      </c>
      <c r="BE88" s="799">
        <f>IF(BE$69=$F88+1,IF(Monthly!BA$4=TRUE,0,Monthly!BA$17),IF(BE$69&gt;$F88+1,BD88*(1-IF(BE$69-$F88&lt;=12,SUMIFS('Attrition Modeling'!$D:$D,'Attrition Modeling'!$B:$B,$E88,'Attrition Modeling'!$C:$C,BE$68),VLOOKUP(BE$69-$F88-1,$A$7:$C$161,2,FALSE)*VLOOKUP(BE$1,'Attrition Modeling'!$L$15:$N$27,IF(BE$2-$F21&lt;=24,2,3),FALSE))*(1+Projection!BG$16)*(1+IF(BE153&gt;0,'Attrition Modeling'!$N$9,0))),0))</f>
        <v>1407.6183864710151</v>
      </c>
      <c r="BF88" s="799">
        <f>IF(BF$69=$F88+1,IF(Monthly!BB$4=TRUE,0,Monthly!BB$17),IF(BF$69&gt;$F88+1,BE88*(1-IF(BF$69-$F88&lt;=12,SUMIFS('Attrition Modeling'!$D:$D,'Attrition Modeling'!$B:$B,$E88,'Attrition Modeling'!$C:$C,BF$68),VLOOKUP(BF$69-$F88-1,$A$7:$C$161,2,FALSE)*VLOOKUP(BF$1,'Attrition Modeling'!$L$15:$N$27,IF(BF$2-$F21&lt;=24,2,3),FALSE))*(1+Projection!BH$16)*(1+IF(BF153&gt;0,'Attrition Modeling'!$N$9,0))),0))</f>
        <v>1366.1353621693024</v>
      </c>
      <c r="BG88" s="799">
        <f>IF(BG$69=$F88+1,IF(Monthly!BC$4=TRUE,0,Monthly!BC$17),IF(BG$69&gt;$F88+1,BF88*(1-IF(BG$69-$F88&lt;=12,SUMIFS('Attrition Modeling'!$D:$D,'Attrition Modeling'!$B:$B,$E88,'Attrition Modeling'!$C:$C,BG$68),VLOOKUP(BG$69-$F88-1,$A$7:$C$161,2,FALSE)*VLOOKUP(BG$1,'Attrition Modeling'!$L$15:$N$27,IF(BG$2-$F21&lt;=24,2,3),FALSE))*(1+Projection!BI$16)*(1+IF(BG153&gt;0,'Attrition Modeling'!$N$9,0))),0))</f>
        <v>1334.485065911862</v>
      </c>
      <c r="BH88" s="799">
        <f>IF(BH$69=$F88+1,IF(Monthly!BD$4=TRUE,0,Monthly!BD$17),IF(BH$69&gt;$F88+1,BG88*(1-IF(BH$69-$F88&lt;=12,SUMIFS('Attrition Modeling'!$D:$D,'Attrition Modeling'!$B:$B,$E88,'Attrition Modeling'!$C:$C,BH$68),VLOOKUP(BH$69-$F88-1,$A$7:$C$161,2,FALSE)*VLOOKUP(BH$1,'Attrition Modeling'!$L$15:$N$27,IF(BH$2-$F21&lt;=24,2,3),FALSE))*(1+Projection!BJ$16)*(1+IF(BH153&gt;0,'Attrition Modeling'!$N$9,0))),0))</f>
        <v>1297.5799574884293</v>
      </c>
      <c r="BI88" s="799">
        <f>IF(BI$69=$F88+1,IF(Monthly!BE$4=TRUE,0,Monthly!BE$17),IF(BI$69&gt;$F88+1,BH88*(1-IF(BI$69-$F88&lt;=12,SUMIFS('Attrition Modeling'!$D:$D,'Attrition Modeling'!$B:$B,$E88,'Attrition Modeling'!$C:$C,BI$68),VLOOKUP(BI$69-$F88-1,$A$7:$C$161,2,FALSE)*VLOOKUP(BI$1,'Attrition Modeling'!$L$15:$N$27,IF(BI$2-$F21&lt;=24,2,3),FALSE))*(1+Projection!BK$16)*(1+IF(BI153&gt;0,'Attrition Modeling'!$N$9,0))),0))</f>
        <v>1257.077050810097</v>
      </c>
      <c r="BJ88" s="799">
        <f>IF(BJ$69=$F88+1,IF(Monthly!BF$4=TRUE,0,Monthly!BF$17),IF(BJ$69&gt;$F88+1,BI88*(1-IF(BJ$69-$F88&lt;=12,SUMIFS('Attrition Modeling'!$D:$D,'Attrition Modeling'!$B:$B,$E88,'Attrition Modeling'!$C:$C,BJ$68),VLOOKUP(BJ$69-$F88-1,$A$7:$C$161,2,FALSE)*VLOOKUP(BJ$1,'Attrition Modeling'!$L$15:$N$27,IF(BJ$2-$F21&lt;=24,2,3),FALSE))*(1+Projection!BL$16)*(1+IF(BJ153&gt;0,'Attrition Modeling'!$N$9,0))),0))</f>
        <v>1214.7884463475682</v>
      </c>
      <c r="BK88" s="799">
        <f>IF(BK$69=$F88+1,IF(Monthly!BG$4=TRUE,0,Monthly!BG$17),IF(BK$69&gt;$F88+1,BJ88*(1-IF(BK$69-$F88&lt;=12,SUMIFS('Attrition Modeling'!$D:$D,'Attrition Modeling'!$B:$B,$E88,'Attrition Modeling'!$C:$C,BK$68),VLOOKUP(BK$69-$F88-1,$A$7:$C$161,2,FALSE)*VLOOKUP(BK$1,'Attrition Modeling'!$L$15:$N$27,IF(BK$2-$F21&lt;=24,2,3),FALSE))*(1+Projection!BM$16)*(1+IF(BK153&gt;0,'Attrition Modeling'!$N$9,0))),0))</f>
        <v>1171.3707479111467</v>
      </c>
      <c r="BL88" s="799">
        <f>IF(BL$69=$F88+1,IF(Monthly!BH$4=TRUE,0,Monthly!BH$17),IF(BL$69&gt;$F88+1,BK88*(1-IF(BL$69-$F88&lt;=12,SUMIFS('Attrition Modeling'!$D:$D,'Attrition Modeling'!$B:$B,$E88,'Attrition Modeling'!$C:$C,BL$68),VLOOKUP(BL$69-$F88-1,$A$7:$C$161,2,FALSE)*VLOOKUP(BL$1,'Attrition Modeling'!$L$15:$N$27,IF(BL$2-$F21&lt;=24,2,3),FALSE))*(1+Projection!BN$16)*(1+IF(BL153&gt;0,'Attrition Modeling'!$N$9,0))),0))</f>
        <v>1132.4654286184518</v>
      </c>
      <c r="BM88" s="799">
        <f>IF(BM$69=$F88+1,IF(Monthly!BI$4=TRUE,0,Monthly!BI$17),IF(BM$69&gt;$F88+1,BL88*(1-IF(BM$69-$F88&lt;=12,SUMIFS('Attrition Modeling'!$D:$D,'Attrition Modeling'!$B:$B,$E88,'Attrition Modeling'!$C:$C,BM$68),VLOOKUP(BM$69-$F88-1,$A$7:$C$161,2,FALSE)*VLOOKUP(BM$1,'Attrition Modeling'!$L$15:$N$27,IF(BM$2-$F21&lt;=24,2,3),FALSE))*(1+Projection!BO$16)*(1+IF(BM153&gt;0,'Attrition Modeling'!$N$9,0))),0))</f>
        <v>1096.5209264252408</v>
      </c>
      <c r="BN88" s="799">
        <f>IF(BN$69=$F88+1,IF(Monthly!BJ$4=TRUE,0,Monthly!BJ$17),IF(BN$69&gt;$F88+1,BM88*(1-IF(BN$69-$F88&lt;=12,SUMIFS('Attrition Modeling'!$D:$D,'Attrition Modeling'!$B:$B,$E88,'Attrition Modeling'!$C:$C,BN$68),VLOOKUP(BN$69-$F88-1,$A$7:$C$161,2,FALSE)*VLOOKUP(BN$1,'Attrition Modeling'!$L$15:$N$27,IF(BN$2-$F21&lt;=24,2,3),FALSE))*(1+Projection!BP$16)*(1+IF(BN153&gt;0,'Attrition Modeling'!$N$9,0))),0))</f>
        <v>1062.8485455821226</v>
      </c>
      <c r="BO88" s="799">
        <f>IF(BO$69=$F88+1,IF(Monthly!BK$4=TRUE,0,Monthly!BK$17),IF(BO$69&gt;$F88+1,BN88*(1-IF(BO$69-$F88&lt;=12,SUMIFS('Attrition Modeling'!$D:$D,'Attrition Modeling'!$B:$B,$E88,'Attrition Modeling'!$C:$C,BO$68),VLOOKUP(BO$69-$F88-1,$A$7:$C$161,2,FALSE)*VLOOKUP(BO$1,'Attrition Modeling'!$L$15:$N$27,IF(BO$2-$F21&lt;=24,2,3),FALSE))*(1+Projection!BV$16)*(1+IF(BO153&gt;0,'Attrition Modeling'!$N$9,0))),0))</f>
        <v>1030.8949614245212</v>
      </c>
      <c r="BP88" s="799">
        <f>IF(BP$69=$F88+1,IF(Monthly!BL$4=TRUE,0,Monthly!BL$17),IF(BP$69&gt;$F88+1,BO88*(1-IF(BP$69-$F88&lt;=12,SUMIFS('Attrition Modeling'!$D:$D,'Attrition Modeling'!$B:$B,$E88,'Attrition Modeling'!$C:$C,BP$68),VLOOKUP(BP$69-$F88-1,$A$7:$C$161,2,FALSE)*VLOOKUP(BP$1,'Attrition Modeling'!$L$15:$N$27,IF(BP$2-$F21&lt;=24,2,3),FALSE))*(1+Projection!BW$16)*(1+IF(BP153&gt;0,'Attrition Modeling'!$N$9,0))),0))</f>
        <v>1002.5823268040705</v>
      </c>
      <c r="BQ88" s="799">
        <f>IF(BQ$69=$F88+1,IF(Monthly!BM$4=TRUE,0,Monthly!BM$17),IF(BQ$69&gt;$F88+1,BP88*(1-IF(BQ$69-$F88&lt;=12,SUMIFS('Attrition Modeling'!$D:$D,'Attrition Modeling'!$B:$B,$E88,'Attrition Modeling'!$C:$C,BQ$68),VLOOKUP(BQ$69-$F88-1,$A$7:$C$161,2,FALSE)*VLOOKUP(BQ$1,'Attrition Modeling'!$L$15:$N$27,IF(BQ$2-$F21&lt;=24,2,3),FALSE))*(1+Projection!BX$16)*(1+IF(BQ153&gt;0,'Attrition Modeling'!$N$9,0))),0))</f>
        <v>976.16955490961595</v>
      </c>
      <c r="BR88" s="799">
        <f>IF(BR$69=$F88+1,IF(Monthly!BN$4=TRUE,0,Monthly!BN$17),IF(BR$69&gt;$F88+1,BQ88*(1-IF(BR$69-$F88&lt;=12,SUMIFS('Attrition Modeling'!$D:$D,'Attrition Modeling'!$B:$B,$E88,'Attrition Modeling'!$C:$C,BR$68),VLOOKUP(BR$69-$F88-1,$A$7:$C$161,2,FALSE)*VLOOKUP(BR$1,'Attrition Modeling'!$L$15:$N$27,IF(BR$2-$F21&lt;=24,2,3),FALSE))*(1+Projection!BY$16)*(1+IF(BR153&gt;0,'Attrition Modeling'!$N$9,0))),0))</f>
        <v>951.76908787486082</v>
      </c>
      <c r="BS88" s="799">
        <f>IF(BS$69=$F88+1,IF(Monthly!BO$4=TRUE,0,Monthly!BO$17),IF(BS$69&gt;$F88+1,BR88*(1-IF(BS$69-$F88&lt;=12,SUMIFS('Attrition Modeling'!$D:$D,'Attrition Modeling'!$B:$B,$E88,'Attrition Modeling'!$C:$C,BS$68),VLOOKUP(BS$69-$F88-1,$A$7:$C$161,2,FALSE)*VLOOKUP(BS$1,'Attrition Modeling'!$L$15:$N$27,IF(BS$2-$F21&lt;=24,2,3),FALSE))*(1+Projection!BZ$16)*(1+IF(BS153&gt;0,'Attrition Modeling'!$N$9,0))),0))</f>
        <v>933.02774609105313</v>
      </c>
      <c r="BT88" s="799">
        <f>IF(BT$69=$F88+1,IF(Monthly!#REF!=TRUE,0,Monthly!#REF!),IF(BT$69&gt;$F88+1,BS88*(1-IF(BT$69-$F88&lt;=12,SUMIFS('Attrition Modeling'!$D:$D,'Attrition Modeling'!$B:$B,$E88,'Attrition Modeling'!$C:$C,BT$68),VLOOKUP(BT$69-$F88-1,$A$7:$C$161,2,FALSE)*VLOOKUP(BT$1,'Attrition Modeling'!$L$15:$N$27,IF(BT$2-$F21&lt;=24,2,3),FALSE))*(1+Projection!CA$16)*(1+IF(BT153&gt;0,'Attrition Modeling'!$N$9,0))),0))</f>
        <v>911.05405743895312</v>
      </c>
      <c r="BU88" s="799">
        <f>IF(BU$69=$F88+1,IF(Monthly!#REF!=TRUE,0,Monthly!#REF!),IF(BU$69&gt;$F88+1,BT88*(1-IF(BU$69-$F88&lt;=12,SUMIFS('Attrition Modeling'!$D:$D,'Attrition Modeling'!$B:$B,$E88,'Attrition Modeling'!$C:$C,BU$68),VLOOKUP(BU$69-$F88-1,$A$7:$C$161,2,FALSE)*VLOOKUP(BU$1,'Attrition Modeling'!$L$15:$N$27,IF(BU$2-$F21&lt;=24,2,3),FALSE))*(1+Projection!CB$16)*(1+IF(BU153&gt;0,'Attrition Modeling'!$N$9,0))),0))</f>
        <v>886.79138447779906</v>
      </c>
    </row>
    <row r="89" spans="1:73" ht="14.25" customHeight="1" x14ac:dyDescent="0.2">
      <c r="A89" s="9">
        <v>82</v>
      </c>
      <c r="B89" s="25">
        <f>MAX('Attrition Modeling'!H86,$C$3)*(1-Summary!$C$20)</f>
        <v>0.02</v>
      </c>
      <c r="C89" s="24" t="e">
        <f t="shared" si="4"/>
        <v>#DIV/0!</v>
      </c>
      <c r="E89" s="11">
        <f t="shared" si="9"/>
        <v>7</v>
      </c>
      <c r="F89" s="11">
        <f t="shared" si="10"/>
        <v>19</v>
      </c>
      <c r="G89" s="799"/>
      <c r="H89" s="799">
        <f>IF(H$69=$F89+1,IF(Monthly!D$4=TRUE,0,Monthly!D$17),IF(H$69&gt;$F89+1,G89*(1-IF(H$69-$F89&lt;=12,SUMIFS('Attrition Modeling'!$D:$D,'Attrition Modeling'!$B:$B,$E89,'Attrition Modeling'!$C:$C,H$68),VLOOKUP(H$69-$F89-1,$A$7:$C$161,2,FALSE)*VLOOKUP(H$1,'Attrition Modeling'!$L$15:$N$27,IF(H$2-$F22&lt;=24,2,3),FALSE))*(1+Projection!J$16)*(1+IF(H154&gt;0,'Attrition Modeling'!$N$9,0))),0))</f>
        <v>0</v>
      </c>
      <c r="I89" s="799">
        <f>IF(I$69=$F89+1,IF(Monthly!E$4=TRUE,0,Monthly!E$17),IF(I$69&gt;$F89+1,H89*(1-IF(I$69-$F89&lt;=12,SUMIFS('Attrition Modeling'!$D:$D,'Attrition Modeling'!$B:$B,$E89,'Attrition Modeling'!$C:$C,I$68),VLOOKUP(I$69-$F89-1,$A$7:$C$161,2,FALSE)*VLOOKUP(I$1,'Attrition Modeling'!$L$15:$N$27,IF(I$2-$F22&lt;=24,2,3),FALSE))*(1+Projection!K$16)*(1+IF(I154&gt;0,'Attrition Modeling'!$N$9,0))),0))</f>
        <v>0</v>
      </c>
      <c r="J89" s="799">
        <f>IF(J$69=$F89+1,IF(Monthly!F$4=TRUE,0,Monthly!F$17),IF(J$69&gt;$F89+1,I89*(1-IF(J$69-$F89&lt;=12,SUMIFS('Attrition Modeling'!$D:$D,'Attrition Modeling'!$B:$B,$E89,'Attrition Modeling'!$C:$C,J$68),VLOOKUP(J$69-$F89-1,$A$7:$C$161,2,FALSE)*VLOOKUP(J$1,'Attrition Modeling'!$L$15:$N$27,IF(J$2-$F22&lt;=24,2,3),FALSE))*(1+Projection!L$16)*(1+IF(J154&gt;0,'Attrition Modeling'!$N$9,0))),0))</f>
        <v>0</v>
      </c>
      <c r="K89" s="799">
        <f>IF(K$69=$F89+1,IF(Monthly!G$4=TRUE,0,Monthly!G$17),IF(K$69&gt;$F89+1,J89*(1-IF(K$69-$F89&lt;=12,SUMIFS('Attrition Modeling'!$D:$D,'Attrition Modeling'!$B:$B,$E89,'Attrition Modeling'!$C:$C,K$68),VLOOKUP(K$69-$F89-1,$A$7:$C$161,2,FALSE)*VLOOKUP(K$1,'Attrition Modeling'!$L$15:$N$27,IF(K$2-$F22&lt;=24,2,3),FALSE))*(1+Projection!M$16)*(1+IF(K154&gt;0,'Attrition Modeling'!$N$9,0))),0))</f>
        <v>0</v>
      </c>
      <c r="L89" s="799">
        <f>IF(L$69=$F89+1,IF(Monthly!H$4=TRUE,0,Monthly!H$17),IF(L$69&gt;$F89+1,K89*(1-IF(L$69-$F89&lt;=12,SUMIFS('Attrition Modeling'!$D:$D,'Attrition Modeling'!$B:$B,$E89,'Attrition Modeling'!$C:$C,L$68),VLOOKUP(L$69-$F89-1,$A$7:$C$161,2,FALSE)*VLOOKUP(L$1,'Attrition Modeling'!$L$15:$N$27,IF(L$2-$F22&lt;=24,2,3),FALSE))*(1+Projection!N$16)*(1+IF(L154&gt;0,'Attrition Modeling'!$N$9,0))),0))</f>
        <v>0</v>
      </c>
      <c r="M89" s="799">
        <f>IF(M$69=$F89+1,IF(Monthly!I$4=TRUE,0,Monthly!I$17),IF(M$69&gt;$F89+1,L89*(1-IF(M$69-$F89&lt;=12,SUMIFS('Attrition Modeling'!$D:$D,'Attrition Modeling'!$B:$B,$E89,'Attrition Modeling'!$C:$C,M$68),VLOOKUP(M$69-$F89-1,$A$7:$C$161,2,FALSE)*VLOOKUP(M$1,'Attrition Modeling'!$L$15:$N$27,IF(M$2-$F22&lt;=24,2,3),FALSE))*(1+Projection!O$16)*(1+IF(M154&gt;0,'Attrition Modeling'!$N$9,0))),0))</f>
        <v>0</v>
      </c>
      <c r="N89" s="799">
        <f>IF(N$69=$F89+1,IF(Monthly!J$4=TRUE,0,Monthly!J$17),IF(N$69&gt;$F89+1,M89*(1-IF(N$69-$F89&lt;=12,SUMIFS('Attrition Modeling'!$D:$D,'Attrition Modeling'!$B:$B,$E89,'Attrition Modeling'!$C:$C,N$68),VLOOKUP(N$69-$F89-1,$A$7:$C$161,2,FALSE)*VLOOKUP(N$1,'Attrition Modeling'!$L$15:$N$27,IF(N$2-$F22&lt;=24,2,3),FALSE))*(1+Projection!P$16)*(1+IF(N154&gt;0,'Attrition Modeling'!$N$9,0))),0))</f>
        <v>0</v>
      </c>
      <c r="O89" s="799">
        <f>IF(O$69=$F89+1,IF(Monthly!K$4=TRUE,0,Monthly!K$17),IF(O$69&gt;$F89+1,N89*(1-IF(O$69-$F89&lt;=12,SUMIFS('Attrition Modeling'!$D:$D,'Attrition Modeling'!$B:$B,$E89,'Attrition Modeling'!$C:$C,O$68),VLOOKUP(O$69-$F89-1,$A$7:$C$161,2,FALSE)*VLOOKUP(O$1,'Attrition Modeling'!$L$15:$N$27,IF(O$2-$F22&lt;=24,2,3),FALSE))*(1+Projection!Q$16)*(1+IF(O154&gt;0,'Attrition Modeling'!$N$9,0))),0))</f>
        <v>0</v>
      </c>
      <c r="P89" s="799">
        <f>IF(P$69=$F89+1,IF(Monthly!L$4=TRUE,0,Monthly!L$17),IF(P$69&gt;$F89+1,O89*(1-IF(P$69-$F89&lt;=12,SUMIFS('Attrition Modeling'!$D:$D,'Attrition Modeling'!$B:$B,$E89,'Attrition Modeling'!$C:$C,P$68),VLOOKUP(P$69-$F89-1,$A$7:$C$161,2,FALSE)*VLOOKUP(P$1,'Attrition Modeling'!$L$15:$N$27,IF(P$2-$F22&lt;=24,2,3),FALSE))*(1+Projection!R$16)*(1+IF(P154&gt;0,'Attrition Modeling'!$N$9,0))),0))</f>
        <v>0</v>
      </c>
      <c r="Q89" s="799">
        <f>IF(Q$69=$F89+1,IF(Monthly!M$4=TRUE,0,Monthly!M$17),IF(Q$69&gt;$F89+1,P89*(1-IF(Q$69-$F89&lt;=12,SUMIFS('Attrition Modeling'!$D:$D,'Attrition Modeling'!$B:$B,$E89,'Attrition Modeling'!$C:$C,Q$68),VLOOKUP(Q$69-$F89-1,$A$7:$C$161,2,FALSE)*VLOOKUP(Q$1,'Attrition Modeling'!$L$15:$N$27,IF(Q$2-$F22&lt;=24,2,3),FALSE))*(1+Projection!S$16)*(1+IF(Q154&gt;0,'Attrition Modeling'!$N$9,0))),0))</f>
        <v>0</v>
      </c>
      <c r="R89" s="799">
        <f>IF(R$69=$F89+1,IF(Monthly!N$4=TRUE,0,Monthly!N$17),IF(R$69&gt;$F89+1,Q89*(1-IF(R$69-$F89&lt;=12,SUMIFS('Attrition Modeling'!$D:$D,'Attrition Modeling'!$B:$B,$E89,'Attrition Modeling'!$C:$C,R$68),VLOOKUP(R$69-$F89-1,$A$7:$C$161,2,FALSE)*VLOOKUP(R$1,'Attrition Modeling'!$L$15:$N$27,IF(R$2-$F22&lt;=24,2,3),FALSE))*(1+Projection!T$16)*(1+IF(R154&gt;0,'Attrition Modeling'!$N$9,0))),0))</f>
        <v>0</v>
      </c>
      <c r="S89" s="799">
        <f>IF(S$69=$F89+1,IF(Monthly!O$4=TRUE,0,Monthly!O$17),IF(S$69&gt;$F89+1,R89*(1-IF(S$69-$F89&lt;=12,SUMIFS('Attrition Modeling'!$D:$D,'Attrition Modeling'!$B:$B,$E89,'Attrition Modeling'!$C:$C,S$68),VLOOKUP(S$69-$F89-1,$A$7:$C$161,2,FALSE)*VLOOKUP(S$1,'Attrition Modeling'!$L$15:$N$27,IF(S$2-$F22&lt;=24,2,3),FALSE))*(1+Projection!U$16)*(1+IF(S154&gt;0,'Attrition Modeling'!$N$9,0))),0))</f>
        <v>0</v>
      </c>
      <c r="T89" s="799">
        <f>IF(T$69=$F89+1,IF(Monthly!P$4=TRUE,0,Monthly!P$17),IF(T$69&gt;$F89+1,S89*(1-IF(T$69-$F89&lt;=12,SUMIFS('Attrition Modeling'!$D:$D,'Attrition Modeling'!$B:$B,$E89,'Attrition Modeling'!$C:$C,T$68),VLOOKUP(T$69-$F89-1,$A$7:$C$161,2,FALSE)*VLOOKUP(T$1,'Attrition Modeling'!$L$15:$N$27,IF(T$2-$F22&lt;=24,2,3),FALSE))*(1+Projection!V$16)*(1+IF(T154&gt;0,'Attrition Modeling'!$N$9,0))),0))</f>
        <v>0</v>
      </c>
      <c r="U89" s="799">
        <f>IF(U$69=$F89+1,IF(Monthly!Q$4=TRUE,0,Monthly!Q$17),IF(U$69&gt;$F89+1,T89*(1-IF(U$69-$F89&lt;=12,SUMIFS('Attrition Modeling'!$D:$D,'Attrition Modeling'!$B:$B,$E89,'Attrition Modeling'!$C:$C,U$68),VLOOKUP(U$69-$F89-1,$A$7:$C$161,2,FALSE)*VLOOKUP(U$1,'Attrition Modeling'!$L$15:$N$27,IF(U$2-$F22&lt;=24,2,3),FALSE))*(1+Projection!W$16)*(1+IF(U154&gt;0,'Attrition Modeling'!$N$9,0))),0))</f>
        <v>0</v>
      </c>
      <c r="V89" s="799">
        <f>IF(V$69=$F89+1,IF(Monthly!R$4=TRUE,0,Monthly!R$17),IF(V$69&gt;$F89+1,U89*(1-IF(V$69-$F89&lt;=12,SUMIFS('Attrition Modeling'!$D:$D,'Attrition Modeling'!$B:$B,$E89,'Attrition Modeling'!$C:$C,V$68),VLOOKUP(V$69-$F89-1,$A$7:$C$161,2,FALSE)*VLOOKUP(V$1,'Attrition Modeling'!$L$15:$N$27,IF(V$2-$F22&lt;=24,2,3),FALSE))*(1+Projection!X$16)*(1+IF(V154&gt;0,'Attrition Modeling'!$N$9,0))),0))</f>
        <v>0</v>
      </c>
      <c r="W89" s="799">
        <f>IF(W$69=$F89+1,IF(Monthly!S$4=TRUE,0,Monthly!S$17),IF(W$69&gt;$F89+1,V89*(1-IF(W$69-$F89&lt;=12,SUMIFS('Attrition Modeling'!$D:$D,'Attrition Modeling'!$B:$B,$E89,'Attrition Modeling'!$C:$C,W$68),VLOOKUP(W$69-$F89-1,$A$7:$C$161,2,FALSE)*VLOOKUP(W$1,'Attrition Modeling'!$L$15:$N$27,IF(W$2-$F22&lt;=24,2,3),FALSE))*(1+Projection!Y$16)*(1+IF(W154&gt;0,'Attrition Modeling'!$N$9,0))),0))</f>
        <v>0</v>
      </c>
      <c r="X89" s="799">
        <f>IF(X$69=$F89+1,IF(Monthly!T$4=TRUE,0,Monthly!T$17),IF(X$69&gt;$F89+1,W89*(1-IF(X$69-$F89&lt;=12,SUMIFS('Attrition Modeling'!$D:$D,'Attrition Modeling'!$B:$B,$E89,'Attrition Modeling'!$C:$C,X$68),VLOOKUP(X$69-$F89-1,$A$7:$C$161,2,FALSE)*VLOOKUP(X$1,'Attrition Modeling'!$L$15:$N$27,IF(X$2-$F22&lt;=24,2,3),FALSE))*(1+Projection!Z$16)*(1+IF(X154&gt;0,'Attrition Modeling'!$N$9,0))),0))</f>
        <v>0</v>
      </c>
      <c r="Y89" s="799">
        <f>IF(Y$69=$F89+1,IF(Monthly!U$4=TRUE,0,Monthly!U$17),IF(Y$69&gt;$F89+1,X89*(1-IF(Y$69-$F89&lt;=12,SUMIFS('Attrition Modeling'!$D:$D,'Attrition Modeling'!$B:$B,$E89,'Attrition Modeling'!$C:$C,Y$68),VLOOKUP(Y$69-$F89-1,$A$7:$C$161,2,FALSE)*VLOOKUP(Y$1,'Attrition Modeling'!$L$15:$N$27,IF(Y$2-$F22&lt;=24,2,3),FALSE))*(1+Projection!AA$16)*(1+IF(Y154&gt;0,'Attrition Modeling'!$N$9,0))),0))</f>
        <v>0</v>
      </c>
      <c r="Z89" s="799">
        <f>IF(Z$69=$F89+1,IF(Monthly!V$4=TRUE,0,Monthly!V$17),IF(Z$69&gt;$F89+1,Y89*(1-IF(Z$69-$F89&lt;=12,SUMIFS('Attrition Modeling'!$D:$D,'Attrition Modeling'!$B:$B,$E89,'Attrition Modeling'!$C:$C,Z$68),VLOOKUP(Z$69-$F89-1,$A$7:$C$161,2,FALSE)*VLOOKUP(Z$1,'Attrition Modeling'!$L$15:$N$27,IF(Z$2-$F22&lt;=24,2,3),FALSE))*(1+Projection!AB$16)*(1+IF(Z154&gt;0,'Attrition Modeling'!$N$9,0))),0))</f>
        <v>0</v>
      </c>
      <c r="AA89" s="799">
        <f>IF(AA$69=$F89+1,IF(Monthly!W$4=TRUE,0,Monthly!W$17),IF(AA$69&gt;$F89+1,Z89*(1-IF(AA$69-$F89&lt;=12,SUMIFS('Attrition Modeling'!$D:$D,'Attrition Modeling'!$B:$B,$E89,'Attrition Modeling'!$C:$C,AA$68),VLOOKUP(AA$69-$F89-1,$A$7:$C$161,2,FALSE)*VLOOKUP(AA$1,'Attrition Modeling'!$L$15:$N$27,IF(AA$2-$F22&lt;=24,2,3),FALSE))*(1+Projection!AC$16)*(1+IF(AA154&gt;0,'Attrition Modeling'!$N$9,0))),0))</f>
        <v>8024.7840809836634</v>
      </c>
      <c r="AB89" s="799">
        <f>IF(AB$69=$F89+1,IF(Monthly!X$4=TRUE,0,Monthly!X$17),IF(AB$69&gt;$F89+1,AA89*(1-IF(AB$69-$F89&lt;=12,SUMIFS('Attrition Modeling'!$D:$D,'Attrition Modeling'!$B:$B,$E89,'Attrition Modeling'!$C:$C,AB$68),VLOOKUP(AB$69-$F89-1,$A$7:$C$161,2,FALSE)*VLOOKUP(AB$1,'Attrition Modeling'!$L$15:$N$27,IF(AB$2-$F22&lt;=24,2,3),FALSE))*(1+Projection!AD$16)*(1+IF(AB154&gt;0,'Attrition Modeling'!$N$9,0))),0))</f>
        <v>7106.853906790594</v>
      </c>
      <c r="AC89" s="799">
        <f>IF(AC$69=$F89+1,IF(Monthly!Y$4=TRUE,0,Monthly!Y$17),IF(AC$69&gt;$F89+1,AB89*(1-IF(AC$69-$F89&lt;=12,SUMIFS('Attrition Modeling'!$D:$D,'Attrition Modeling'!$B:$B,$E89,'Attrition Modeling'!$C:$C,AC$68),VLOOKUP(AC$69-$F89-1,$A$7:$C$161,2,FALSE)*VLOOKUP(AC$1,'Attrition Modeling'!$L$15:$N$27,IF(AC$2-$F22&lt;=24,2,3),FALSE))*(1+Projection!AE$16)*(1+IF(AC154&gt;0,'Attrition Modeling'!$N$9,0))),0))</f>
        <v>6418.3847546297793</v>
      </c>
      <c r="AD89" s="799">
        <f>IF(AD$69=$F89+1,IF(Monthly!Z$4=TRUE,0,Monthly!Z$17),IF(AD$69&gt;$F89+1,AC89*(1-IF(AD$69-$F89&lt;=12,SUMIFS('Attrition Modeling'!$D:$D,'Attrition Modeling'!$B:$B,$E89,'Attrition Modeling'!$C:$C,AD$68),VLOOKUP(AD$69-$F89-1,$A$7:$C$161,2,FALSE)*VLOOKUP(AD$1,'Attrition Modeling'!$L$15:$N$27,IF(AD$2-$F22&lt;=24,2,3),FALSE))*(1+Projection!AF$16)*(1+IF(AD154&gt;0,'Attrition Modeling'!$N$9,0))),0))</f>
        <v>5832.2138287175712</v>
      </c>
      <c r="AE89" s="799">
        <f>IF(AE$69=$F89+1,IF(Monthly!AA$4=TRUE,0,Monthly!AA$17),IF(AE$69&gt;$F89+1,AD89*(1-IF(AE$69-$F89&lt;=12,SUMIFS('Attrition Modeling'!$D:$D,'Attrition Modeling'!$B:$B,$E89,'Attrition Modeling'!$C:$C,AE$68),VLOOKUP(AE$69-$F89-1,$A$7:$C$161,2,FALSE)*VLOOKUP(AE$1,'Attrition Modeling'!$L$15:$N$27,IF(AE$2-$F22&lt;=24,2,3),FALSE))*(1+Projection!AG$16)*(1+IF(AE154&gt;0,'Attrition Modeling'!$N$9,0))),0))</f>
        <v>5358.6479805892131</v>
      </c>
      <c r="AF89" s="799">
        <f>IF(AF$69=$F89+1,IF(Monthly!AB$4=TRUE,0,Monthly!AB$17),IF(AF$69&gt;$F89+1,AE89*(1-IF(AF$69-$F89&lt;=12,SUMIFS('Attrition Modeling'!$D:$D,'Attrition Modeling'!$B:$B,$E89,'Attrition Modeling'!$C:$C,AF$68),VLOOKUP(AF$69-$F89-1,$A$7:$C$161,2,FALSE)*VLOOKUP(AF$1,'Attrition Modeling'!$L$15:$N$27,IF(AF$2-$F22&lt;=24,2,3),FALSE))*(1+Projection!AH$16)*(1+IF(AF154&gt;0,'Attrition Modeling'!$N$9,0))),0))</f>
        <v>4860.9424791881302</v>
      </c>
      <c r="AG89" s="799">
        <f>IF(AG$69=$F89+1,IF(Monthly!AC$4=TRUE,0,Monthly!AC$17),IF(AG$69&gt;$F89+1,AF89*(1-IF(AG$69-$F89&lt;=12,SUMIFS('Attrition Modeling'!$D:$D,'Attrition Modeling'!$B:$B,$E89,'Attrition Modeling'!$C:$C,AG$68),VLOOKUP(AG$69-$F89-1,$A$7:$C$161,2,FALSE)*VLOOKUP(AG$1,'Attrition Modeling'!$L$15:$N$27,IF(AG$2-$F22&lt;=24,2,3),FALSE))*(1+Projection!AI$16)*(1+IF(AG154&gt;0,'Attrition Modeling'!$N$9,0))),0))</f>
        <v>4554.4048355687555</v>
      </c>
      <c r="AH89" s="799">
        <f>IF(AH$69=$F89+1,IF(Monthly!AD$4=TRUE,0,Monthly!AD$17),IF(AH$69&gt;$F89+1,AG89*(1-IF(AH$69-$F89&lt;=12,SUMIFS('Attrition Modeling'!$D:$D,'Attrition Modeling'!$B:$B,$E89,'Attrition Modeling'!$C:$C,AH$68),VLOOKUP(AH$69-$F89-1,$A$7:$C$161,2,FALSE)*VLOOKUP(AH$1,'Attrition Modeling'!$L$15:$N$27,IF(AH$2-$F22&lt;=24,2,3),FALSE))*(1+Projection!AJ$16)*(1+IF(AH154&gt;0,'Attrition Modeling'!$N$9,0))),0))</f>
        <v>4258.2994309354308</v>
      </c>
      <c r="AI89" s="799">
        <f>IF(AI$69=$F89+1,IF(Monthly!AE$4=TRUE,0,Monthly!AE$17),IF(AI$69&gt;$F89+1,AH89*(1-IF(AI$69-$F89&lt;=12,SUMIFS('Attrition Modeling'!$D:$D,'Attrition Modeling'!$B:$B,$E89,'Attrition Modeling'!$C:$C,AI$68),VLOOKUP(AI$69-$F89-1,$A$7:$C$161,2,FALSE)*VLOOKUP(AI$1,'Attrition Modeling'!$L$15:$N$27,IF(AI$2-$F22&lt;=24,2,3),FALSE))*(1+Projection!AK$16)*(1+IF(AI154&gt;0,'Attrition Modeling'!$N$9,0))),0))</f>
        <v>4003.1152591643704</v>
      </c>
      <c r="AJ89" s="799">
        <f>IF(AJ$69=$F89+1,IF(Monthly!AF$4=TRUE,0,Monthly!AF$17),IF(AJ$69&gt;$F89+1,AI89*(1-IF(AJ$69-$F89&lt;=12,SUMIFS('Attrition Modeling'!$D:$D,'Attrition Modeling'!$B:$B,$E89,'Attrition Modeling'!$C:$C,AJ$68),VLOOKUP(AJ$69-$F89-1,$A$7:$C$161,2,FALSE)*VLOOKUP(AJ$1,'Attrition Modeling'!$L$15:$N$27,IF(AJ$2-$F22&lt;=24,2,3),FALSE))*(1+Projection!AL$16)*(1+IF(AJ154&gt;0,'Attrition Modeling'!$N$9,0))),0))</f>
        <v>3780.3356101009163</v>
      </c>
      <c r="AK89" s="799">
        <f>IF(AK$69=$F89+1,IF(Monthly!AG$4=TRUE,0,Monthly!AG$17),IF(AK$69&gt;$F89+1,AJ89*(1-IF(AK$69-$F89&lt;=12,SUMIFS('Attrition Modeling'!$D:$D,'Attrition Modeling'!$B:$B,$E89,'Attrition Modeling'!$C:$C,AK$68),VLOOKUP(AK$69-$F89-1,$A$7:$C$161,2,FALSE)*VLOOKUP(AK$1,'Attrition Modeling'!$L$15:$N$27,IF(AK$2-$F22&lt;=24,2,3),FALSE))*(1+Projection!AM$16)*(1+IF(AK154&gt;0,'Attrition Modeling'!$N$9,0))),0))</f>
        <v>3545.3629907348982</v>
      </c>
      <c r="AL89" s="799">
        <f>IF(AL$69=$F89+1,IF(Monthly!AH$4=TRUE,0,Monthly!AH$17),IF(AL$69&gt;$F89+1,AK89*(1-IF(AL$69-$F89&lt;=12,SUMIFS('Attrition Modeling'!$D:$D,'Attrition Modeling'!$B:$B,$E89,'Attrition Modeling'!$C:$C,AL$68),VLOOKUP(AL$69-$F89-1,$A$7:$C$161,2,FALSE)*VLOOKUP(AL$1,'Attrition Modeling'!$L$15:$N$27,IF(AL$2-$F22&lt;=24,2,3),FALSE))*(1+Projection!AN$16)*(1+IF(AL154&gt;0,'Attrition Modeling'!$N$9,0))),0))</f>
        <v>3427.6767580216178</v>
      </c>
      <c r="AM89" s="799">
        <f>IF(AM$69=$F89+1,IF(Monthly!AI$4=TRUE,0,Monthly!AI$17),IF(AM$69&gt;$F89+1,AL89*(1-IF(AM$69-$F89&lt;=12,SUMIFS('Attrition Modeling'!$D:$D,'Attrition Modeling'!$B:$B,$E89,'Attrition Modeling'!$C:$C,AM$68),VLOOKUP(AM$69-$F89-1,$A$7:$C$161,2,FALSE)*VLOOKUP(AM$1,'Attrition Modeling'!$L$15:$N$27,IF(AM$2-$F22&lt;=24,2,3),FALSE))*(1+Projection!AO$16)*(1+IF(AM154&gt;0,'Attrition Modeling'!$N$9,0))),0))</f>
        <v>3220.075630872218</v>
      </c>
      <c r="AN89" s="799">
        <f>IF(AN$69=$F89+1,IF(Monthly!AJ$4=TRUE,0,Monthly!AJ$17),IF(AN$69&gt;$F89+1,AM89*(1-IF(AN$69-$F89&lt;=12,SUMIFS('Attrition Modeling'!$D:$D,'Attrition Modeling'!$B:$B,$E89,'Attrition Modeling'!$C:$C,AN$68),VLOOKUP(AN$69-$F89-1,$A$7:$C$161,2,FALSE)*VLOOKUP(AN$1,'Attrition Modeling'!$L$15:$N$27,IF(AN$2-$F22&lt;=24,2,3),FALSE))*(1+Projection!AP$16)*(1+IF(AN154&gt;0,'Attrition Modeling'!$N$9,0))),0))</f>
        <v>3055.972246562636</v>
      </c>
      <c r="AO89" s="799">
        <f>IF(AO$69=$F89+1,IF(Monthly!AK$4=TRUE,0,Monthly!AK$17),IF(AO$69&gt;$F89+1,AN89*(1-IF(AO$69-$F89&lt;=12,SUMIFS('Attrition Modeling'!$D:$D,'Attrition Modeling'!$B:$B,$E89,'Attrition Modeling'!$C:$C,AO$68),VLOOKUP(AO$69-$F89-1,$A$7:$C$161,2,FALSE)*VLOOKUP(AO$1,'Attrition Modeling'!$L$15:$N$27,IF(AO$2-$F22&lt;=24,2,3),FALSE))*(1+Projection!AQ$16)*(1+IF(AO154&gt;0,'Attrition Modeling'!$N$9,0))),0))</f>
        <v>2904.4309202133513</v>
      </c>
      <c r="AP89" s="799">
        <f>IF(AP$69=$F89+1,IF(Monthly!AL$4=TRUE,0,Monthly!AL$17),IF(AP$69&gt;$F89+1,AO89*(1-IF(AP$69-$F89&lt;=12,SUMIFS('Attrition Modeling'!$D:$D,'Attrition Modeling'!$B:$B,$E89,'Attrition Modeling'!$C:$C,AP$68),VLOOKUP(AP$69-$F89-1,$A$7:$C$161,2,FALSE)*VLOOKUP(AP$1,'Attrition Modeling'!$L$15:$N$27,IF(AP$2-$F22&lt;=24,2,3),FALSE))*(1+Projection!AR$16)*(1+IF(AP154&gt;0,'Attrition Modeling'!$N$9,0))),0))</f>
        <v>2770.939875147631</v>
      </c>
      <c r="AQ89" s="799">
        <f>IF(AQ$69=$F89+1,IF(Monthly!AM$4=TRUE,0,Monthly!AM$17),IF(AQ$69&gt;$F89+1,AP89*(1-IF(AQ$69-$F89&lt;=12,SUMIFS('Attrition Modeling'!$D:$D,'Attrition Modeling'!$B:$B,$E89,'Attrition Modeling'!$C:$C,AQ$68),VLOOKUP(AQ$69-$F89-1,$A$7:$C$161,2,FALSE)*VLOOKUP(AQ$1,'Attrition Modeling'!$L$15:$N$27,IF(AQ$2-$F22&lt;=24,2,3),FALSE))*(1+Projection!AS$16)*(1+IF(AQ154&gt;0,'Attrition Modeling'!$N$9,0))),0))</f>
        <v>2648.6282387614406</v>
      </c>
      <c r="AR89" s="799">
        <f>IF(AR$69=$F89+1,IF(Monthly!AN$4=TRUE,0,Monthly!AN$17),IF(AR$69&gt;$F89+1,AQ89*(1-IF(AR$69-$F89&lt;=12,SUMIFS('Attrition Modeling'!$D:$D,'Attrition Modeling'!$B:$B,$E89,'Attrition Modeling'!$C:$C,AR$68),VLOOKUP(AR$69-$F89-1,$A$7:$C$161,2,FALSE)*VLOOKUP(AR$1,'Attrition Modeling'!$L$15:$N$27,IF(AR$2-$F22&lt;=24,2,3),FALSE))*(1+Projection!AT$16)*(1+IF(AR154&gt;0,'Attrition Modeling'!$N$9,0))),0))</f>
        <v>2511.6828266564362</v>
      </c>
      <c r="AS89" s="799">
        <f>IF(AS$69=$F89+1,IF(Monthly!AO$4=TRUE,0,Monthly!AO$17),IF(AS$69&gt;$F89+1,AR89*(1-IF(AS$69-$F89&lt;=12,SUMIFS('Attrition Modeling'!$D:$D,'Attrition Modeling'!$B:$B,$E89,'Attrition Modeling'!$C:$C,AS$68),VLOOKUP(AS$69-$F89-1,$A$7:$C$161,2,FALSE)*VLOOKUP(AS$1,'Attrition Modeling'!$L$15:$N$27,IF(AS$2-$F22&lt;=24,2,3),FALSE))*(1+Projection!AU$16)*(1+IF(AS154&gt;0,'Attrition Modeling'!$N$9,0))),0))</f>
        <v>2416.1517699850633</v>
      </c>
      <c r="AT89" s="799">
        <f>IF(AT$69=$F89+1,IF(Monthly!AP$4=TRUE,0,Monthly!AP$17),IF(AT$69&gt;$F89+1,AS89*(1-IF(AT$69-$F89&lt;=12,SUMIFS('Attrition Modeling'!$D:$D,'Attrition Modeling'!$B:$B,$E89,'Attrition Modeling'!$C:$C,AT$68),VLOOKUP(AT$69-$F89-1,$A$7:$C$161,2,FALSE)*VLOOKUP(AT$1,'Attrition Modeling'!$L$15:$N$27,IF(AT$2-$F22&lt;=24,2,3),FALSE))*(1+Projection!AV$16)*(1+IF(AT154&gt;0,'Attrition Modeling'!$N$9,0))),0))</f>
        <v>2318.0163641890354</v>
      </c>
      <c r="AU89" s="799">
        <f>IF(AU$69=$F89+1,IF(Monthly!AQ$4=TRUE,0,Monthly!AQ$17),IF(AU$69&gt;$F89+1,AT89*(1-IF(AU$69-$F89&lt;=12,SUMIFS('Attrition Modeling'!$D:$D,'Attrition Modeling'!$B:$B,$E89,'Attrition Modeling'!$C:$C,AU$68),VLOOKUP(AU$69-$F89-1,$A$7:$C$161,2,FALSE)*VLOOKUP(AU$1,'Attrition Modeling'!$L$15:$N$27,IF(AU$2-$F22&lt;=24,2,3),FALSE))*(1+Projection!AW$16)*(1+IF(AU154&gt;0,'Attrition Modeling'!$N$9,0))),0))</f>
        <v>2227.0275312044782</v>
      </c>
      <c r="AV89" s="799">
        <f>IF(AV$69=$F89+1,IF(Monthly!AR$4=TRUE,0,Monthly!AR$17),IF(AV$69&gt;$F89+1,AU89*(1-IF(AV$69-$F89&lt;=12,SUMIFS('Attrition Modeling'!$D:$D,'Attrition Modeling'!$B:$B,$E89,'Attrition Modeling'!$C:$C,AV$68),VLOOKUP(AV$69-$F89-1,$A$7:$C$161,2,FALSE)*VLOOKUP(AV$1,'Attrition Modeling'!$L$15:$N$27,IF(AV$2-$F22&lt;=24,2,3),FALSE))*(1+Projection!AX$16)*(1+IF(AV154&gt;0,'Attrition Modeling'!$N$9,0))),0))</f>
        <v>2141.5840037107891</v>
      </c>
      <c r="AW89" s="799">
        <f>IF(AW$69=$F89+1,IF(Monthly!AS$4=TRUE,0,Monthly!AS$17),IF(AW$69&gt;$F89+1,AV89*(1-IF(AW$69-$F89&lt;=12,SUMIFS('Attrition Modeling'!$D:$D,'Attrition Modeling'!$B:$B,$E89,'Attrition Modeling'!$C:$C,AW$68),VLOOKUP(AW$69-$F89-1,$A$7:$C$161,2,FALSE)*VLOOKUP(AW$1,'Attrition Modeling'!$L$15:$N$27,IF(AW$2-$F22&lt;=24,2,3),FALSE))*(1+Projection!AY$16)*(1+IF(AW154&gt;0,'Attrition Modeling'!$N$9,0))),0))</f>
        <v>2052.6656413610749</v>
      </c>
      <c r="AX89" s="799">
        <f>IF(AX$69=$F89+1,IF(Monthly!AT$4=TRUE,0,Monthly!AT$17),IF(AX$69&gt;$F89+1,AW89*(1-IF(AX$69-$F89&lt;=12,SUMIFS('Attrition Modeling'!$D:$D,'Attrition Modeling'!$B:$B,$E89,'Attrition Modeling'!$C:$C,AX$68),VLOOKUP(AX$69-$F89-1,$A$7:$C$161,2,FALSE)*VLOOKUP(AX$1,'Attrition Modeling'!$L$15:$N$27,IF(AX$2-$F22&lt;=24,2,3),FALSE))*(1+Projection!AZ$16)*(1+IF(AX154&gt;0,'Attrition Modeling'!$N$9,0))),0))</f>
        <v>1966.5761717177886</v>
      </c>
      <c r="AY89" s="799">
        <f>IF(AY$69=$F89+1,IF(Monthly!AU$4=TRUE,0,Monthly!AU$17),IF(AY$69&gt;$F89+1,AX89*(1-IF(AY$69-$F89&lt;=12,SUMIFS('Attrition Modeling'!$D:$D,'Attrition Modeling'!$B:$B,$E89,'Attrition Modeling'!$C:$C,AY$68),VLOOKUP(AY$69-$F89-1,$A$7:$C$161,2,FALSE)*VLOOKUP(AY$1,'Attrition Modeling'!$L$15:$N$27,IF(AY$2-$F22&lt;=24,2,3),FALSE))*(1+Projection!BA$16)*(1+IF(AY154&gt;0,'Attrition Modeling'!$N$9,0))),0))</f>
        <v>1880.7053573790288</v>
      </c>
      <c r="AZ89" s="799">
        <f>IF(AZ$69=$F89+1,IF(Monthly!AV$4=TRUE,0,Monthly!AV$17),IF(AZ$69&gt;$F89+1,AY89*(1-IF(AZ$69-$F89&lt;=12,SUMIFS('Attrition Modeling'!$D:$D,'Attrition Modeling'!$B:$B,$E89,'Attrition Modeling'!$C:$C,AZ$68),VLOOKUP(AZ$69-$F89-1,$A$7:$C$161,2,FALSE)*VLOOKUP(AZ$1,'Attrition Modeling'!$L$15:$N$27,IF(AZ$2-$F22&lt;=24,2,3),FALSE))*(1+Projection!BB$16)*(1+IF(AZ154&gt;0,'Attrition Modeling'!$N$9,0))),0))</f>
        <v>1804.6587084916712</v>
      </c>
      <c r="BA89" s="799">
        <f>IF(BA$69=$F89+1,IF(Monthly!AW$4=TRUE,0,Monthly!AW$17),IF(BA$69&gt;$F89+1,AZ89*(1-IF(BA$69-$F89&lt;=12,SUMIFS('Attrition Modeling'!$D:$D,'Attrition Modeling'!$B:$B,$E89,'Attrition Modeling'!$C:$C,BA$68),VLOOKUP(BA$69-$F89-1,$A$7:$C$161,2,FALSE)*VLOOKUP(BA$1,'Attrition Modeling'!$L$15:$N$27,IF(BA$2-$F22&lt;=24,2,3),FALSE))*(1+Projection!BC$16)*(1+IF(BA154&gt;0,'Attrition Modeling'!$N$9,0))),0))</f>
        <v>1735.1533409446813</v>
      </c>
      <c r="BB89" s="799">
        <f>IF(BB$69=$F89+1,IF(Monthly!AX$4=TRUE,0,Monthly!AX$17),IF(BB$69&gt;$F89+1,BA89*(1-IF(BB$69-$F89&lt;=12,SUMIFS('Attrition Modeling'!$D:$D,'Attrition Modeling'!$B:$B,$E89,'Attrition Modeling'!$C:$C,BB$68),VLOOKUP(BB$69-$F89-1,$A$7:$C$161,2,FALSE)*VLOOKUP(BB$1,'Attrition Modeling'!$L$15:$N$27,IF(BB$2-$F22&lt;=24,2,3),FALSE))*(1+Projection!BD$16)*(1+IF(BB154&gt;0,'Attrition Modeling'!$N$9,0))),0))</f>
        <v>1670.6966168302574</v>
      </c>
      <c r="BC89" s="799">
        <f>IF(BC$69=$F89+1,IF(Monthly!AY$4=TRUE,0,Monthly!AY$17),IF(BC$69&gt;$F89+1,BB89*(1-IF(BC$69-$F89&lt;=12,SUMIFS('Attrition Modeling'!$D:$D,'Attrition Modeling'!$B:$B,$E89,'Attrition Modeling'!$C:$C,BC$68),VLOOKUP(BC$69-$F89-1,$A$7:$C$161,2,FALSE)*VLOOKUP(BC$1,'Attrition Modeling'!$L$15:$N$27,IF(BC$2-$F22&lt;=24,2,3),FALSE))*(1+Projection!BE$16)*(1+IF(BC154&gt;0,'Attrition Modeling'!$N$9,0))),0))</f>
        <v>1620.2101340140991</v>
      </c>
      <c r="BD89" s="799">
        <f>IF(BD$69=$F89+1,IF(Monthly!AZ$4=TRUE,0,Monthly!AZ$17),IF(BD$69&gt;$F89+1,BC89*(1-IF(BD$69-$F89&lt;=12,SUMIFS('Attrition Modeling'!$D:$D,'Attrition Modeling'!$B:$B,$E89,'Attrition Modeling'!$C:$C,BD$68),VLOOKUP(BD$69-$F89-1,$A$7:$C$161,2,FALSE)*VLOOKUP(BD$1,'Attrition Modeling'!$L$15:$N$27,IF(BD$2-$F22&lt;=24,2,3),FALSE))*(1+Projection!BF$16)*(1+IF(BD154&gt;0,'Attrition Modeling'!$N$9,0))),0))</f>
        <v>1555.9799697142564</v>
      </c>
      <c r="BE89" s="799">
        <f>IF(BE$69=$F89+1,IF(Monthly!BA$4=TRUE,0,Monthly!BA$17),IF(BE$69&gt;$F89+1,BD89*(1-IF(BE$69-$F89&lt;=12,SUMIFS('Attrition Modeling'!$D:$D,'Attrition Modeling'!$B:$B,$E89,'Attrition Modeling'!$C:$C,BE$68),VLOOKUP(BE$69-$F89-1,$A$7:$C$161,2,FALSE)*VLOOKUP(BE$1,'Attrition Modeling'!$L$15:$N$27,IF(BE$2-$F22&lt;=24,2,3),FALSE))*(1+Projection!BG$16)*(1+IF(BE154&gt;0,'Attrition Modeling'!$N$9,0))),0))</f>
        <v>1506.7991626484998</v>
      </c>
      <c r="BF89" s="799">
        <f>IF(BF$69=$F89+1,IF(Monthly!BB$4=TRUE,0,Monthly!BB$17),IF(BF$69&gt;$F89+1,BE89*(1-IF(BF$69-$F89&lt;=12,SUMIFS('Attrition Modeling'!$D:$D,'Attrition Modeling'!$B:$B,$E89,'Attrition Modeling'!$C:$C,BF$68),VLOOKUP(BF$69-$F89-1,$A$7:$C$161,2,FALSE)*VLOOKUP(BF$1,'Attrition Modeling'!$L$15:$N$27,IF(BF$2-$F22&lt;=24,2,3),FALSE))*(1+Projection!BH$16)*(1+IF(BF154&gt;0,'Attrition Modeling'!$N$9,0))),0))</f>
        <v>1461.7211154585061</v>
      </c>
      <c r="BG89" s="799">
        <f>IF(BG$69=$F89+1,IF(Monthly!BC$4=TRUE,0,Monthly!BC$17),IF(BG$69&gt;$F89+1,BF89*(1-IF(BG$69-$F89&lt;=12,SUMIFS('Attrition Modeling'!$D:$D,'Attrition Modeling'!$B:$B,$E89,'Attrition Modeling'!$C:$C,BG$68),VLOOKUP(BG$69-$F89-1,$A$7:$C$161,2,FALSE)*VLOOKUP(BG$1,'Attrition Modeling'!$L$15:$N$27,IF(BG$2-$F22&lt;=24,2,3),FALSE))*(1+Projection!BI$16)*(1+IF(BG154&gt;0,'Attrition Modeling'!$N$9,0))),0))</f>
        <v>1427.3521100365733</v>
      </c>
      <c r="BH89" s="799">
        <f>IF(BH$69=$F89+1,IF(Monthly!BD$4=TRUE,0,Monthly!BD$17),IF(BH$69&gt;$F89+1,BG89*(1-IF(BH$69-$F89&lt;=12,SUMIFS('Attrition Modeling'!$D:$D,'Attrition Modeling'!$B:$B,$E89,'Attrition Modeling'!$C:$C,BH$68),VLOOKUP(BH$69-$F89-1,$A$7:$C$161,2,FALSE)*VLOOKUP(BH$1,'Attrition Modeling'!$L$15:$N$27,IF(BH$2-$F22&lt;=24,2,3),FALSE))*(1+Projection!BJ$16)*(1+IF(BH154&gt;0,'Attrition Modeling'!$N$9,0))),0))</f>
        <v>1387.3002537798757</v>
      </c>
      <c r="BI89" s="799">
        <f>IF(BI$69=$F89+1,IF(Monthly!BE$4=TRUE,0,Monthly!BE$17),IF(BI$69&gt;$F89+1,BH89*(1-IF(BI$69-$F89&lt;=12,SUMIFS('Attrition Modeling'!$D:$D,'Attrition Modeling'!$B:$B,$E89,'Attrition Modeling'!$C:$C,BI$68),VLOOKUP(BI$69-$F89-1,$A$7:$C$161,2,FALSE)*VLOOKUP(BI$1,'Attrition Modeling'!$L$15:$N$27,IF(BI$2-$F22&lt;=24,2,3),FALSE))*(1+Projection!BK$16)*(1+IF(BI154&gt;0,'Attrition Modeling'!$N$9,0))),0))</f>
        <v>1343.3716540167575</v>
      </c>
      <c r="BJ89" s="799">
        <f>IF(BJ$69=$F89+1,IF(Monthly!BF$4=TRUE,0,Monthly!BF$17),IF(BJ$69&gt;$F89+1,BI89*(1-IF(BJ$69-$F89&lt;=12,SUMIFS('Attrition Modeling'!$D:$D,'Attrition Modeling'!$B:$B,$E89,'Attrition Modeling'!$C:$C,BJ$68),VLOOKUP(BJ$69-$F89-1,$A$7:$C$161,2,FALSE)*VLOOKUP(BJ$1,'Attrition Modeling'!$L$15:$N$27,IF(BJ$2-$F22&lt;=24,2,3),FALSE))*(1+Projection!BL$16)*(1+IF(BJ154&gt;0,'Attrition Modeling'!$N$9,0))),0))</f>
        <v>1297.5370161515718</v>
      </c>
      <c r="BK89" s="799">
        <f>IF(BK$69=$F89+1,IF(Monthly!BG$4=TRUE,0,Monthly!BG$17),IF(BK$69&gt;$F89+1,BJ89*(1-IF(BK$69-$F89&lt;=12,SUMIFS('Attrition Modeling'!$D:$D,'Attrition Modeling'!$B:$B,$E89,'Attrition Modeling'!$C:$C,BK$68),VLOOKUP(BK$69-$F89-1,$A$7:$C$161,2,FALSE)*VLOOKUP(BK$1,'Attrition Modeling'!$L$15:$N$27,IF(BK$2-$F22&lt;=24,2,3),FALSE))*(1+Projection!BM$16)*(1+IF(BK154&gt;0,'Attrition Modeling'!$N$9,0))),0))</f>
        <v>1250.5109908617658</v>
      </c>
      <c r="BL89" s="799">
        <f>IF(BL$69=$F89+1,IF(Monthly!BH$4=TRUE,0,Monthly!BH$17),IF(BL$69&gt;$F89+1,BK89*(1-IF(BL$69-$F89&lt;=12,SUMIFS('Attrition Modeling'!$D:$D,'Attrition Modeling'!$B:$B,$E89,'Attrition Modeling'!$C:$C,BL$68),VLOOKUP(BL$69-$F89-1,$A$7:$C$161,2,FALSE)*VLOOKUP(BL$1,'Attrition Modeling'!$L$15:$N$27,IF(BL$2-$F22&lt;=24,2,3),FALSE))*(1+Projection!BN$16)*(1+IF(BL154&gt;0,'Attrition Modeling'!$N$9,0))),0))</f>
        <v>1208.4019638999971</v>
      </c>
      <c r="BM89" s="799">
        <f>IF(BM$69=$F89+1,IF(Monthly!BI$4=TRUE,0,Monthly!BI$17),IF(BM$69&gt;$F89+1,BL89*(1-IF(BM$69-$F89&lt;=12,SUMIFS('Attrition Modeling'!$D:$D,'Attrition Modeling'!$B:$B,$E89,'Attrition Modeling'!$C:$C,BM$68),VLOOKUP(BM$69-$F89-1,$A$7:$C$161,2,FALSE)*VLOOKUP(BM$1,'Attrition Modeling'!$L$15:$N$27,IF(BM$2-$F22&lt;=24,2,3),FALSE))*(1+Projection!BO$16)*(1+IF(BM154&gt;0,'Attrition Modeling'!$N$9,0))),0))</f>
        <v>1169.5227993193951</v>
      </c>
      <c r="BN89" s="799">
        <f>IF(BN$69=$F89+1,IF(Monthly!BJ$4=TRUE,0,Monthly!BJ$17),IF(BN$69&gt;$F89+1,BM89*(1-IF(BN$69-$F89&lt;=12,SUMIFS('Attrition Modeling'!$D:$D,'Attrition Modeling'!$B:$B,$E89,'Attrition Modeling'!$C:$C,BN$68),VLOOKUP(BN$69-$F89-1,$A$7:$C$161,2,FALSE)*VLOOKUP(BN$1,'Attrition Modeling'!$L$15:$N$27,IF(BN$2-$F22&lt;=24,2,3),FALSE))*(1+Projection!BP$16)*(1+IF(BN154&gt;0,'Attrition Modeling'!$N$9,0))),0))</f>
        <v>1133.1235549044229</v>
      </c>
      <c r="BO89" s="799">
        <f>IF(BO$69=$F89+1,IF(Monthly!BK$4=TRUE,0,Monthly!BK$17),IF(BO$69&gt;$F89+1,BN89*(1-IF(BO$69-$F89&lt;=12,SUMIFS('Attrition Modeling'!$D:$D,'Attrition Modeling'!$B:$B,$E89,'Attrition Modeling'!$C:$C,BO$68),VLOOKUP(BO$69-$F89-1,$A$7:$C$161,2,FALSE)*VLOOKUP(BO$1,'Attrition Modeling'!$L$15:$N$27,IF(BO$2-$F22&lt;=24,2,3),FALSE))*(1+Projection!BV$16)*(1+IF(BO154&gt;0,'Attrition Modeling'!$N$9,0))),0))</f>
        <v>1104.3559689296562</v>
      </c>
      <c r="BP89" s="799">
        <f>IF(BP$69=$F89+1,IF(Monthly!BL$4=TRUE,0,Monthly!BL$17),IF(BP$69&gt;$F89+1,BO89*(1-IF(BP$69-$F89&lt;=12,SUMIFS('Attrition Modeling'!$D:$D,'Attrition Modeling'!$B:$B,$E89,'Attrition Modeling'!$C:$C,BP$68),VLOOKUP(BP$69-$F89-1,$A$7:$C$161,2,FALSE)*VLOOKUP(BP$1,'Attrition Modeling'!$L$15:$N$27,IF(BP$2-$F22&lt;=24,2,3),FALSE))*(1+Projection!BW$16)*(1+IF(BP154&gt;0,'Attrition Modeling'!$N$9,0))),0))</f>
        <v>1073.6254445202594</v>
      </c>
      <c r="BQ89" s="799">
        <f>IF(BQ$69=$F89+1,IF(Monthly!BM$4=TRUE,0,Monthly!BM$17),IF(BQ$69&gt;$F89+1,BP89*(1-IF(BQ$69-$F89&lt;=12,SUMIFS('Attrition Modeling'!$D:$D,'Attrition Modeling'!$B:$B,$E89,'Attrition Modeling'!$C:$C,BQ$68),VLOOKUP(BQ$69-$F89-1,$A$7:$C$161,2,FALSE)*VLOOKUP(BQ$1,'Attrition Modeling'!$L$15:$N$27,IF(BQ$2-$F22&lt;=24,2,3),FALSE))*(1+Projection!BX$16)*(1+IF(BQ154&gt;0,'Attrition Modeling'!$N$9,0))),0))</f>
        <v>1044.9717419730348</v>
      </c>
      <c r="BR89" s="799">
        <f>IF(BR$69=$F89+1,IF(Monthly!BN$4=TRUE,0,Monthly!BN$17),IF(BR$69&gt;$F89+1,BQ89*(1-IF(BR$69-$F89&lt;=12,SUMIFS('Attrition Modeling'!$D:$D,'Attrition Modeling'!$B:$B,$E89,'Attrition Modeling'!$C:$C,BR$68),VLOOKUP(BR$69-$F89-1,$A$7:$C$161,2,FALSE)*VLOOKUP(BR$1,'Attrition Modeling'!$L$15:$N$27,IF(BR$2-$F22&lt;=24,2,3),FALSE))*(1+Projection!BY$16)*(1+IF(BR154&gt;0,'Attrition Modeling'!$N$9,0))),0))</f>
        <v>1018.5139610299971</v>
      </c>
      <c r="BS89" s="799">
        <f>IF(BS$69=$F89+1,IF(Monthly!BO$4=TRUE,0,Monthly!BO$17),IF(BS$69&gt;$F89+1,BR89*(1-IF(BS$69-$F89&lt;=12,SUMIFS('Attrition Modeling'!$D:$D,'Attrition Modeling'!$B:$B,$E89,'Attrition Modeling'!$C:$C,BS$68),VLOOKUP(BS$69-$F89-1,$A$7:$C$161,2,FALSE)*VLOOKUP(BS$1,'Attrition Modeling'!$L$15:$N$27,IF(BS$2-$F22&lt;=24,2,3),FALSE))*(1+Projection!BZ$16)*(1+IF(BS154&gt;0,'Attrition Modeling'!$N$9,0))),0))</f>
        <v>998.20176726506588</v>
      </c>
      <c r="BT89" s="799">
        <f>IF(BT$69=$F89+1,IF(Monthly!#REF!=TRUE,0,Monthly!#REF!),IF(BT$69&gt;$F89+1,BS89*(1-IF(BT$69-$F89&lt;=12,SUMIFS('Attrition Modeling'!$D:$D,'Attrition Modeling'!$B:$B,$E89,'Attrition Modeling'!$C:$C,BT$68),VLOOKUP(BT$69-$F89-1,$A$7:$C$161,2,FALSE)*VLOOKUP(BT$1,'Attrition Modeling'!$L$15:$N$27,IF(BT$2-$F22&lt;=24,2,3),FALSE))*(1+Projection!CA$16)*(1+IF(BT154&gt;0,'Attrition Modeling'!$N$9,0))),0))</f>
        <v>974.39530287993432</v>
      </c>
      <c r="BU89" s="799">
        <f>IF(BU$69=$F89+1,IF(Monthly!#REF!=TRUE,0,Monthly!#REF!),IF(BU$69&gt;$F89+1,BT89*(1-IF(BU$69-$F89&lt;=12,SUMIFS('Attrition Modeling'!$D:$D,'Attrition Modeling'!$B:$B,$E89,'Attrition Modeling'!$C:$C,BU$68),VLOOKUP(BU$69-$F89-1,$A$7:$C$161,2,FALSE)*VLOOKUP(BU$1,'Attrition Modeling'!$L$15:$N$27,IF(BU$2-$F22&lt;=24,2,3),FALSE))*(1+Projection!CB$16)*(1+IF(BU154&gt;0,'Attrition Modeling'!$N$9,0))),0))</f>
        <v>948.12000087329375</v>
      </c>
    </row>
    <row r="90" spans="1:73" ht="14.25" customHeight="1" x14ac:dyDescent="0.2">
      <c r="A90" s="9">
        <v>83</v>
      </c>
      <c r="B90" s="25">
        <f>MAX('Attrition Modeling'!H87,$C$3)*(1-Summary!$C$20)</f>
        <v>0.02</v>
      </c>
      <c r="C90" s="24" t="e">
        <f t="shared" si="4"/>
        <v>#DIV/0!</v>
      </c>
      <c r="E90" s="11">
        <f t="shared" si="9"/>
        <v>8</v>
      </c>
      <c r="F90" s="11">
        <f t="shared" si="10"/>
        <v>20</v>
      </c>
      <c r="G90" s="799"/>
      <c r="H90" s="799">
        <f>IF(H$69=$F90+1,IF(Monthly!D$4=TRUE,0,Monthly!D$17),IF(H$69&gt;$F90+1,G90*(1-IF(H$69-$F90&lt;=12,SUMIFS('Attrition Modeling'!$D:$D,'Attrition Modeling'!$B:$B,$E90,'Attrition Modeling'!$C:$C,H$68),VLOOKUP(H$69-$F90-1,$A$7:$C$161,2,FALSE)*VLOOKUP(H$1,'Attrition Modeling'!$L$15:$N$27,IF(H$2-$F23&lt;=24,2,3),FALSE))*(1+Projection!J$16)*(1+IF(H155&gt;0,'Attrition Modeling'!$N$9,0))),0))</f>
        <v>0</v>
      </c>
      <c r="I90" s="799">
        <f>IF(I$69=$F90+1,IF(Monthly!E$4=TRUE,0,Monthly!E$17),IF(I$69&gt;$F90+1,H90*(1-IF(I$69-$F90&lt;=12,SUMIFS('Attrition Modeling'!$D:$D,'Attrition Modeling'!$B:$B,$E90,'Attrition Modeling'!$C:$C,I$68),VLOOKUP(I$69-$F90-1,$A$7:$C$161,2,FALSE)*VLOOKUP(I$1,'Attrition Modeling'!$L$15:$N$27,IF(I$2-$F23&lt;=24,2,3),FALSE))*(1+Projection!K$16)*(1+IF(I155&gt;0,'Attrition Modeling'!$N$9,0))),0))</f>
        <v>0</v>
      </c>
      <c r="J90" s="799">
        <f>IF(J$69=$F90+1,IF(Monthly!F$4=TRUE,0,Monthly!F$17),IF(J$69&gt;$F90+1,I90*(1-IF(J$69-$F90&lt;=12,SUMIFS('Attrition Modeling'!$D:$D,'Attrition Modeling'!$B:$B,$E90,'Attrition Modeling'!$C:$C,J$68),VLOOKUP(J$69-$F90-1,$A$7:$C$161,2,FALSE)*VLOOKUP(J$1,'Attrition Modeling'!$L$15:$N$27,IF(J$2-$F23&lt;=24,2,3),FALSE))*(1+Projection!L$16)*(1+IF(J155&gt;0,'Attrition Modeling'!$N$9,0))),0))</f>
        <v>0</v>
      </c>
      <c r="K90" s="799">
        <f>IF(K$69=$F90+1,IF(Monthly!G$4=TRUE,0,Monthly!G$17),IF(K$69&gt;$F90+1,J90*(1-IF(K$69-$F90&lt;=12,SUMIFS('Attrition Modeling'!$D:$D,'Attrition Modeling'!$B:$B,$E90,'Attrition Modeling'!$C:$C,K$68),VLOOKUP(K$69-$F90-1,$A$7:$C$161,2,FALSE)*VLOOKUP(K$1,'Attrition Modeling'!$L$15:$N$27,IF(K$2-$F23&lt;=24,2,3),FALSE))*(1+Projection!M$16)*(1+IF(K155&gt;0,'Attrition Modeling'!$N$9,0))),0))</f>
        <v>0</v>
      </c>
      <c r="L90" s="799">
        <f>IF(L$69=$F90+1,IF(Monthly!H$4=TRUE,0,Monthly!H$17),IF(L$69&gt;$F90+1,K90*(1-IF(L$69-$F90&lt;=12,SUMIFS('Attrition Modeling'!$D:$D,'Attrition Modeling'!$B:$B,$E90,'Attrition Modeling'!$C:$C,L$68),VLOOKUP(L$69-$F90-1,$A$7:$C$161,2,FALSE)*VLOOKUP(L$1,'Attrition Modeling'!$L$15:$N$27,IF(L$2-$F23&lt;=24,2,3),FALSE))*(1+Projection!N$16)*(1+IF(L155&gt;0,'Attrition Modeling'!$N$9,0))),0))</f>
        <v>0</v>
      </c>
      <c r="M90" s="799">
        <f>IF(M$69=$F90+1,IF(Monthly!I$4=TRUE,0,Monthly!I$17),IF(M$69&gt;$F90+1,L90*(1-IF(M$69-$F90&lt;=12,SUMIFS('Attrition Modeling'!$D:$D,'Attrition Modeling'!$B:$B,$E90,'Attrition Modeling'!$C:$C,M$68),VLOOKUP(M$69-$F90-1,$A$7:$C$161,2,FALSE)*VLOOKUP(M$1,'Attrition Modeling'!$L$15:$N$27,IF(M$2-$F23&lt;=24,2,3),FALSE))*(1+Projection!O$16)*(1+IF(M155&gt;0,'Attrition Modeling'!$N$9,0))),0))</f>
        <v>0</v>
      </c>
      <c r="N90" s="799">
        <f>IF(N$69=$F90+1,IF(Monthly!J$4=TRUE,0,Monthly!J$17),IF(N$69&gt;$F90+1,M90*(1-IF(N$69-$F90&lt;=12,SUMIFS('Attrition Modeling'!$D:$D,'Attrition Modeling'!$B:$B,$E90,'Attrition Modeling'!$C:$C,N$68),VLOOKUP(N$69-$F90-1,$A$7:$C$161,2,FALSE)*VLOOKUP(N$1,'Attrition Modeling'!$L$15:$N$27,IF(N$2-$F23&lt;=24,2,3),FALSE))*(1+Projection!P$16)*(1+IF(N155&gt;0,'Attrition Modeling'!$N$9,0))),0))</f>
        <v>0</v>
      </c>
      <c r="O90" s="799">
        <f>IF(O$69=$F90+1,IF(Monthly!K$4=TRUE,0,Monthly!K$17),IF(O$69&gt;$F90+1,N90*(1-IF(O$69-$F90&lt;=12,SUMIFS('Attrition Modeling'!$D:$D,'Attrition Modeling'!$B:$B,$E90,'Attrition Modeling'!$C:$C,O$68),VLOOKUP(O$69-$F90-1,$A$7:$C$161,2,FALSE)*VLOOKUP(O$1,'Attrition Modeling'!$L$15:$N$27,IF(O$2-$F23&lt;=24,2,3),FALSE))*(1+Projection!Q$16)*(1+IF(O155&gt;0,'Attrition Modeling'!$N$9,0))),0))</f>
        <v>0</v>
      </c>
      <c r="P90" s="799">
        <f>IF(P$69=$F90+1,IF(Monthly!L$4=TRUE,0,Monthly!L$17),IF(P$69&gt;$F90+1,O90*(1-IF(P$69-$F90&lt;=12,SUMIFS('Attrition Modeling'!$D:$D,'Attrition Modeling'!$B:$B,$E90,'Attrition Modeling'!$C:$C,P$68),VLOOKUP(P$69-$F90-1,$A$7:$C$161,2,FALSE)*VLOOKUP(P$1,'Attrition Modeling'!$L$15:$N$27,IF(P$2-$F23&lt;=24,2,3),FALSE))*(1+Projection!R$16)*(1+IF(P155&gt;0,'Attrition Modeling'!$N$9,0))),0))</f>
        <v>0</v>
      </c>
      <c r="Q90" s="799">
        <f>IF(Q$69=$F90+1,IF(Monthly!M$4=TRUE,0,Monthly!M$17),IF(Q$69&gt;$F90+1,P90*(1-IF(Q$69-$F90&lt;=12,SUMIFS('Attrition Modeling'!$D:$D,'Attrition Modeling'!$B:$B,$E90,'Attrition Modeling'!$C:$C,Q$68),VLOOKUP(Q$69-$F90-1,$A$7:$C$161,2,FALSE)*VLOOKUP(Q$1,'Attrition Modeling'!$L$15:$N$27,IF(Q$2-$F23&lt;=24,2,3),FALSE))*(1+Projection!S$16)*(1+IF(Q155&gt;0,'Attrition Modeling'!$N$9,0))),0))</f>
        <v>0</v>
      </c>
      <c r="R90" s="799">
        <f>IF(R$69=$F90+1,IF(Monthly!N$4=TRUE,0,Monthly!N$17),IF(R$69&gt;$F90+1,Q90*(1-IF(R$69-$F90&lt;=12,SUMIFS('Attrition Modeling'!$D:$D,'Attrition Modeling'!$B:$B,$E90,'Attrition Modeling'!$C:$C,R$68),VLOOKUP(R$69-$F90-1,$A$7:$C$161,2,FALSE)*VLOOKUP(R$1,'Attrition Modeling'!$L$15:$N$27,IF(R$2-$F23&lt;=24,2,3),FALSE))*(1+Projection!T$16)*(1+IF(R155&gt;0,'Attrition Modeling'!$N$9,0))),0))</f>
        <v>0</v>
      </c>
      <c r="S90" s="799">
        <f>IF(S$69=$F90+1,IF(Monthly!O$4=TRUE,0,Monthly!O$17),IF(S$69&gt;$F90+1,R90*(1-IF(S$69-$F90&lt;=12,SUMIFS('Attrition Modeling'!$D:$D,'Attrition Modeling'!$B:$B,$E90,'Attrition Modeling'!$C:$C,S$68),VLOOKUP(S$69-$F90-1,$A$7:$C$161,2,FALSE)*VLOOKUP(S$1,'Attrition Modeling'!$L$15:$N$27,IF(S$2-$F23&lt;=24,2,3),FALSE))*(1+Projection!U$16)*(1+IF(S155&gt;0,'Attrition Modeling'!$N$9,0))),0))</f>
        <v>0</v>
      </c>
      <c r="T90" s="799">
        <f>IF(T$69=$F90+1,IF(Monthly!P$4=TRUE,0,Monthly!P$17),IF(T$69&gt;$F90+1,S90*(1-IF(T$69-$F90&lt;=12,SUMIFS('Attrition Modeling'!$D:$D,'Attrition Modeling'!$B:$B,$E90,'Attrition Modeling'!$C:$C,T$68),VLOOKUP(T$69-$F90-1,$A$7:$C$161,2,FALSE)*VLOOKUP(T$1,'Attrition Modeling'!$L$15:$N$27,IF(T$2-$F23&lt;=24,2,3),FALSE))*(1+Projection!V$16)*(1+IF(T155&gt;0,'Attrition Modeling'!$N$9,0))),0))</f>
        <v>0</v>
      </c>
      <c r="U90" s="799">
        <f>IF(U$69=$F90+1,IF(Monthly!Q$4=TRUE,0,Monthly!Q$17),IF(U$69&gt;$F90+1,T90*(1-IF(U$69-$F90&lt;=12,SUMIFS('Attrition Modeling'!$D:$D,'Attrition Modeling'!$B:$B,$E90,'Attrition Modeling'!$C:$C,U$68),VLOOKUP(U$69-$F90-1,$A$7:$C$161,2,FALSE)*VLOOKUP(U$1,'Attrition Modeling'!$L$15:$N$27,IF(U$2-$F23&lt;=24,2,3),FALSE))*(1+Projection!W$16)*(1+IF(U155&gt;0,'Attrition Modeling'!$N$9,0))),0))</f>
        <v>0</v>
      </c>
      <c r="V90" s="799">
        <f>IF(V$69=$F90+1,IF(Monthly!R$4=TRUE,0,Monthly!R$17),IF(V$69&gt;$F90+1,U90*(1-IF(V$69-$F90&lt;=12,SUMIFS('Attrition Modeling'!$D:$D,'Attrition Modeling'!$B:$B,$E90,'Attrition Modeling'!$C:$C,V$68),VLOOKUP(V$69-$F90-1,$A$7:$C$161,2,FALSE)*VLOOKUP(V$1,'Attrition Modeling'!$L$15:$N$27,IF(V$2-$F23&lt;=24,2,3),FALSE))*(1+Projection!X$16)*(1+IF(V155&gt;0,'Attrition Modeling'!$N$9,0))),0))</f>
        <v>0</v>
      </c>
      <c r="W90" s="799">
        <f>IF(W$69=$F90+1,IF(Monthly!S$4=TRUE,0,Monthly!S$17),IF(W$69&gt;$F90+1,V90*(1-IF(W$69-$F90&lt;=12,SUMIFS('Attrition Modeling'!$D:$D,'Attrition Modeling'!$B:$B,$E90,'Attrition Modeling'!$C:$C,W$68),VLOOKUP(W$69-$F90-1,$A$7:$C$161,2,FALSE)*VLOOKUP(W$1,'Attrition Modeling'!$L$15:$N$27,IF(W$2-$F23&lt;=24,2,3),FALSE))*(1+Projection!Y$16)*(1+IF(W155&gt;0,'Attrition Modeling'!$N$9,0))),0))</f>
        <v>0</v>
      </c>
      <c r="X90" s="799">
        <f>IF(X$69=$F90+1,IF(Monthly!T$4=TRUE,0,Monthly!T$17),IF(X$69&gt;$F90+1,W90*(1-IF(X$69-$F90&lt;=12,SUMIFS('Attrition Modeling'!$D:$D,'Attrition Modeling'!$B:$B,$E90,'Attrition Modeling'!$C:$C,X$68),VLOOKUP(X$69-$F90-1,$A$7:$C$161,2,FALSE)*VLOOKUP(X$1,'Attrition Modeling'!$L$15:$N$27,IF(X$2-$F23&lt;=24,2,3),FALSE))*(1+Projection!Z$16)*(1+IF(X155&gt;0,'Attrition Modeling'!$N$9,0))),0))</f>
        <v>0</v>
      </c>
      <c r="Y90" s="799">
        <f>IF(Y$69=$F90+1,IF(Monthly!U$4=TRUE,0,Monthly!U$17),IF(Y$69&gt;$F90+1,X90*(1-IF(Y$69-$F90&lt;=12,SUMIFS('Attrition Modeling'!$D:$D,'Attrition Modeling'!$B:$B,$E90,'Attrition Modeling'!$C:$C,Y$68),VLOOKUP(Y$69-$F90-1,$A$7:$C$161,2,FALSE)*VLOOKUP(Y$1,'Attrition Modeling'!$L$15:$N$27,IF(Y$2-$F23&lt;=24,2,3),FALSE))*(1+Projection!AA$16)*(1+IF(Y155&gt;0,'Attrition Modeling'!$N$9,0))),0))</f>
        <v>0</v>
      </c>
      <c r="Z90" s="799">
        <f>IF(Z$69=$F90+1,IF(Monthly!V$4=TRUE,0,Monthly!V$17),IF(Z$69&gt;$F90+1,Y90*(1-IF(Z$69-$F90&lt;=12,SUMIFS('Attrition Modeling'!$D:$D,'Attrition Modeling'!$B:$B,$E90,'Attrition Modeling'!$C:$C,Z$68),VLOOKUP(Z$69-$F90-1,$A$7:$C$161,2,FALSE)*VLOOKUP(Z$1,'Attrition Modeling'!$L$15:$N$27,IF(Z$2-$F23&lt;=24,2,3),FALSE))*(1+Projection!AB$16)*(1+IF(Z155&gt;0,'Attrition Modeling'!$N$9,0))),0))</f>
        <v>0</v>
      </c>
      <c r="AA90" s="799">
        <f>IF(AA$69=$F90+1,IF(Monthly!W$4=TRUE,0,Monthly!W$17),IF(AA$69&gt;$F90+1,Z90*(1-IF(AA$69-$F90&lt;=12,SUMIFS('Attrition Modeling'!$D:$D,'Attrition Modeling'!$B:$B,$E90,'Attrition Modeling'!$C:$C,AA$68),VLOOKUP(AA$69-$F90-1,$A$7:$C$161,2,FALSE)*VLOOKUP(AA$1,'Attrition Modeling'!$L$15:$N$27,IF(AA$2-$F23&lt;=24,2,3),FALSE))*(1+Projection!AC$16)*(1+IF(AA155&gt;0,'Attrition Modeling'!$N$9,0))),0))</f>
        <v>0</v>
      </c>
      <c r="AB90" s="799">
        <f>IF(AB$69=$F90+1,IF(Monthly!X$4=TRUE,0,Monthly!X$17),IF(AB$69&gt;$F90+1,AA90*(1-IF(AB$69-$F90&lt;=12,SUMIFS('Attrition Modeling'!$D:$D,'Attrition Modeling'!$B:$B,$E90,'Attrition Modeling'!$C:$C,AB$68),VLOOKUP(AB$69-$F90-1,$A$7:$C$161,2,FALSE)*VLOOKUP(AB$1,'Attrition Modeling'!$L$15:$N$27,IF(AB$2-$F23&lt;=24,2,3),FALSE))*(1+Projection!AD$16)*(1+IF(AB155&gt;0,'Attrition Modeling'!$N$9,0))),0))</f>
        <v>7542.9971571765718</v>
      </c>
      <c r="AC90" s="799">
        <f>IF(AC$69=$F90+1,IF(Monthly!Y$4=TRUE,0,Monthly!Y$17),IF(AC$69&gt;$F90+1,AB90*(1-IF(AC$69-$F90&lt;=12,SUMIFS('Attrition Modeling'!$D:$D,'Attrition Modeling'!$B:$B,$E90,'Attrition Modeling'!$C:$C,AC$68),VLOOKUP(AC$69-$F90-1,$A$7:$C$161,2,FALSE)*VLOOKUP(AC$1,'Attrition Modeling'!$L$15:$N$27,IF(AC$2-$F23&lt;=24,2,3),FALSE))*(1+Projection!AE$16)*(1+IF(AC155&gt;0,'Attrition Modeling'!$N$9,0))),0))</f>
        <v>6718.9088774610018</v>
      </c>
      <c r="AD90" s="799">
        <f>IF(AD$69=$F90+1,IF(Monthly!Z$4=TRUE,0,Monthly!Z$17),IF(AD$69&gt;$F90+1,AC90*(1-IF(AD$69-$F90&lt;=12,SUMIFS('Attrition Modeling'!$D:$D,'Attrition Modeling'!$B:$B,$E90,'Attrition Modeling'!$C:$C,AD$68),VLOOKUP(AD$69-$F90-1,$A$7:$C$161,2,FALSE)*VLOOKUP(AD$1,'Attrition Modeling'!$L$15:$N$27,IF(AD$2-$F23&lt;=24,2,3),FALSE))*(1+Projection!AF$16)*(1+IF(AD155&gt;0,'Attrition Modeling'!$N$9,0))),0))</f>
        <v>6114.7709293225089</v>
      </c>
      <c r="AE90" s="799">
        <f>IF(AE$69=$F90+1,IF(Monthly!AA$4=TRUE,0,Monthly!AA$17),IF(AE$69&gt;$F90+1,AD90*(1-IF(AE$69-$F90&lt;=12,SUMIFS('Attrition Modeling'!$D:$D,'Attrition Modeling'!$B:$B,$E90,'Attrition Modeling'!$C:$C,AE$68),VLOOKUP(AE$69-$F90-1,$A$7:$C$161,2,FALSE)*VLOOKUP(AE$1,'Attrition Modeling'!$L$15:$N$27,IF(AE$2-$F23&lt;=24,2,3),FALSE))*(1+Projection!AG$16)*(1+IF(AE155&gt;0,'Attrition Modeling'!$N$9,0))),0))</f>
        <v>5563.9269265620715</v>
      </c>
      <c r="AF90" s="799">
        <f>IF(AF$69=$F90+1,IF(Monthly!AB$4=TRUE,0,Monthly!AB$17),IF(AF$69&gt;$F90+1,AE90*(1-IF(AF$69-$F90&lt;=12,SUMIFS('Attrition Modeling'!$D:$D,'Attrition Modeling'!$B:$B,$E90,'Attrition Modeling'!$C:$C,AF$68),VLOOKUP(AF$69-$F90-1,$A$7:$C$161,2,FALSE)*VLOOKUP(AF$1,'Attrition Modeling'!$L$15:$N$27,IF(AF$2-$F23&lt;=24,2,3),FALSE))*(1+Projection!AH$16)*(1+IF(AF155&gt;0,'Attrition Modeling'!$N$9,0))),0))</f>
        <v>5132.5557275849833</v>
      </c>
      <c r="AG90" s="799">
        <f>IF(AG$69=$F90+1,IF(Monthly!AC$4=TRUE,0,Monthly!AC$17),IF(AG$69&gt;$F90+1,AF90*(1-IF(AG$69-$F90&lt;=12,SUMIFS('Attrition Modeling'!$D:$D,'Attrition Modeling'!$B:$B,$E90,'Attrition Modeling'!$C:$C,AG$68),VLOOKUP(AG$69-$F90-1,$A$7:$C$161,2,FALSE)*VLOOKUP(AG$1,'Attrition Modeling'!$L$15:$N$27,IF(AG$2-$F23&lt;=24,2,3),FALSE))*(1+Projection!AI$16)*(1+IF(AG155&gt;0,'Attrition Modeling'!$N$9,0))),0))</f>
        <v>4658.2021967219316</v>
      </c>
      <c r="AH90" s="799">
        <f>IF(AH$69=$F90+1,IF(Monthly!AD$4=TRUE,0,Monthly!AD$17),IF(AH$69&gt;$F90+1,AG90*(1-IF(AH$69-$F90&lt;=12,SUMIFS('Attrition Modeling'!$D:$D,'Attrition Modeling'!$B:$B,$E90,'Attrition Modeling'!$C:$C,AH$68),VLOOKUP(AH$69-$F90-1,$A$7:$C$161,2,FALSE)*VLOOKUP(AH$1,'Attrition Modeling'!$L$15:$N$27,IF(AH$2-$F23&lt;=24,2,3),FALSE))*(1+Projection!AJ$16)*(1+IF(AH155&gt;0,'Attrition Modeling'!$N$9,0))),0))</f>
        <v>4304.9401197560755</v>
      </c>
      <c r="AI90" s="799">
        <f>IF(AI$69=$F90+1,IF(Monthly!AE$4=TRUE,0,Monthly!AE$17),IF(AI$69&gt;$F90+1,AH90*(1-IF(AI$69-$F90&lt;=12,SUMIFS('Attrition Modeling'!$D:$D,'Attrition Modeling'!$B:$B,$E90,'Attrition Modeling'!$C:$C,AI$68),VLOOKUP(AI$69-$F90-1,$A$7:$C$161,2,FALSE)*VLOOKUP(AI$1,'Attrition Modeling'!$L$15:$N$27,IF(AI$2-$F23&lt;=24,2,3),FALSE))*(1+Projection!AK$16)*(1+IF(AI155&gt;0,'Attrition Modeling'!$N$9,0))),0))</f>
        <v>4021.9179015482814</v>
      </c>
      <c r="AJ90" s="799">
        <f>IF(AJ$69=$F90+1,IF(Monthly!AF$4=TRUE,0,Monthly!AF$17),IF(AJ$69&gt;$F90+1,AI90*(1-IF(AJ$69-$F90&lt;=12,SUMIFS('Attrition Modeling'!$D:$D,'Attrition Modeling'!$B:$B,$E90,'Attrition Modeling'!$C:$C,AJ$68),VLOOKUP(AJ$69-$F90-1,$A$7:$C$161,2,FALSE)*VLOOKUP(AJ$1,'Attrition Modeling'!$L$15:$N$27,IF(AJ$2-$F23&lt;=24,2,3),FALSE))*(1+Projection!AL$16)*(1+IF(AJ155&gt;0,'Attrition Modeling'!$N$9,0))),0))</f>
        <v>3783.2808617093092</v>
      </c>
      <c r="AK90" s="799">
        <f>IF(AK$69=$F90+1,IF(Monthly!AG$4=TRUE,0,Monthly!AG$17),IF(AK$69&gt;$F90+1,AJ90*(1-IF(AK$69-$F90&lt;=12,SUMIFS('Attrition Modeling'!$D:$D,'Attrition Modeling'!$B:$B,$E90,'Attrition Modeling'!$C:$C,AK$68),VLOOKUP(AK$69-$F90-1,$A$7:$C$161,2,FALSE)*VLOOKUP(AK$1,'Attrition Modeling'!$L$15:$N$27,IF(AK$2-$F23&lt;=24,2,3),FALSE))*(1+Projection!AM$16)*(1+IF(AK155&gt;0,'Attrition Modeling'!$N$9,0))),0))</f>
        <v>3560.9169779171912</v>
      </c>
      <c r="AL90" s="799">
        <f>IF(AL$69=$F90+1,IF(Monthly!AH$4=TRUE,0,Monthly!AH$17),IF(AL$69&gt;$F90+1,AK90*(1-IF(AL$69-$F90&lt;=12,SUMIFS('Attrition Modeling'!$D:$D,'Attrition Modeling'!$B:$B,$E90,'Attrition Modeling'!$C:$C,AL$68),VLOOKUP(AL$69-$F90-1,$A$7:$C$161,2,FALSE)*VLOOKUP(AL$1,'Attrition Modeling'!$L$15:$N$27,IF(AL$2-$F23&lt;=24,2,3),FALSE))*(1+Projection!AN$16)*(1+IF(AL155&gt;0,'Attrition Modeling'!$N$9,0))),0))</f>
        <v>3349.7061726558022</v>
      </c>
      <c r="AM90" s="799">
        <f>IF(AM$69=$F90+1,IF(Monthly!AI$4=TRUE,0,Monthly!AI$17),IF(AM$69&gt;$F90+1,AL90*(1-IF(AM$69-$F90&lt;=12,SUMIFS('Attrition Modeling'!$D:$D,'Attrition Modeling'!$B:$B,$E90,'Attrition Modeling'!$C:$C,AM$68),VLOOKUP(AM$69-$F90-1,$A$7:$C$161,2,FALSE)*VLOOKUP(AM$1,'Attrition Modeling'!$L$15:$N$27,IF(AM$2-$F23&lt;=24,2,3),FALSE))*(1+Projection!AO$16)*(1+IF(AM155&gt;0,'Attrition Modeling'!$N$9,0))),0))</f>
        <v>3236.7081560422212</v>
      </c>
      <c r="AN90" s="799">
        <f>IF(AN$69=$F90+1,IF(Monthly!AJ$4=TRUE,0,Monthly!AJ$17),IF(AN$69&gt;$F90+1,AM90*(1-IF(AN$69-$F90&lt;=12,SUMIFS('Attrition Modeling'!$D:$D,'Attrition Modeling'!$B:$B,$E90,'Attrition Modeling'!$C:$C,AN$68),VLOOKUP(AN$69-$F90-1,$A$7:$C$161,2,FALSE)*VLOOKUP(AN$1,'Attrition Modeling'!$L$15:$N$27,IF(AN$2-$F23&lt;=24,2,3),FALSE))*(1+Projection!AP$16)*(1+IF(AN155&gt;0,'Attrition Modeling'!$N$9,0))),0))</f>
        <v>3057.9498576434444</v>
      </c>
      <c r="AO90" s="799">
        <f>IF(AO$69=$F90+1,IF(Monthly!AK$4=TRUE,0,Monthly!AK$17),IF(AO$69&gt;$F90+1,AN90*(1-IF(AO$69-$F90&lt;=12,SUMIFS('Attrition Modeling'!$D:$D,'Attrition Modeling'!$B:$B,$E90,'Attrition Modeling'!$C:$C,AO$68),VLOOKUP(AO$69-$F90-1,$A$7:$C$161,2,FALSE)*VLOOKUP(AO$1,'Attrition Modeling'!$L$15:$N$27,IF(AO$2-$F23&lt;=24,2,3),FALSE))*(1+Projection!AQ$16)*(1+IF(AO155&gt;0,'Attrition Modeling'!$N$9,0))),0))</f>
        <v>2898.503245195629</v>
      </c>
      <c r="AP90" s="799">
        <f>IF(AP$69=$F90+1,IF(Monthly!AL$4=TRUE,0,Monthly!AL$17),IF(AP$69&gt;$F90+1,AO90*(1-IF(AP$69-$F90&lt;=12,SUMIFS('Attrition Modeling'!$D:$D,'Attrition Modeling'!$B:$B,$E90,'Attrition Modeling'!$C:$C,AP$68),VLOOKUP(AP$69-$F90-1,$A$7:$C$161,2,FALSE)*VLOOKUP(AP$1,'Attrition Modeling'!$L$15:$N$27,IF(AP$2-$F23&lt;=24,2,3),FALSE))*(1+Projection!AR$16)*(1+IF(AP155&gt;0,'Attrition Modeling'!$N$9,0))),0))</f>
        <v>2760.2337276378289</v>
      </c>
      <c r="AQ90" s="799">
        <f>IF(AQ$69=$F90+1,IF(Monthly!AM$4=TRUE,0,Monthly!AM$17),IF(AQ$69&gt;$F90+1,AP90*(1-IF(AQ$69-$F90&lt;=12,SUMIFS('Attrition Modeling'!$D:$D,'Attrition Modeling'!$B:$B,$E90,'Attrition Modeling'!$C:$C,AQ$68),VLOOKUP(AQ$69-$F90-1,$A$7:$C$161,2,FALSE)*VLOOKUP(AQ$1,'Attrition Modeling'!$L$15:$N$27,IF(AQ$2-$F23&lt;=24,2,3),FALSE))*(1+Projection!AS$16)*(1+IF(AQ155&gt;0,'Attrition Modeling'!$N$9,0))),0))</f>
        <v>2634.7029652065876</v>
      </c>
      <c r="AR90" s="799">
        <f>IF(AR$69=$F90+1,IF(Monthly!AN$4=TRUE,0,Monthly!AN$17),IF(AR$69&gt;$F90+1,AQ90*(1-IF(AR$69-$F90&lt;=12,SUMIFS('Attrition Modeling'!$D:$D,'Attrition Modeling'!$B:$B,$E90,'Attrition Modeling'!$C:$C,AR$68),VLOOKUP(AR$69-$F90-1,$A$7:$C$161,2,FALSE)*VLOOKUP(AR$1,'Attrition Modeling'!$L$15:$N$27,IF(AR$2-$F23&lt;=24,2,3),FALSE))*(1+Projection!AT$16)*(1+IF(AR155&gt;0,'Attrition Modeling'!$N$9,0))),0))</f>
        <v>2518.3000238346558</v>
      </c>
      <c r="AS90" s="799">
        <f>IF(AS$69=$F90+1,IF(Monthly!AO$4=TRUE,0,Monthly!AO$17),IF(AS$69&gt;$F90+1,AR90*(1-IF(AS$69-$F90&lt;=12,SUMIFS('Attrition Modeling'!$D:$D,'Attrition Modeling'!$B:$B,$E90,'Attrition Modeling'!$C:$C,AS$68),VLOOKUP(AS$69-$F90-1,$A$7:$C$161,2,FALSE)*VLOOKUP(AS$1,'Attrition Modeling'!$L$15:$N$27,IF(AS$2-$F23&lt;=24,2,3),FALSE))*(1+Projection!AU$16)*(1+IF(AS155&gt;0,'Attrition Modeling'!$N$9,0))),0))</f>
        <v>2400.8396960708392</v>
      </c>
      <c r="AT90" s="799">
        <f>IF(AT$69=$F90+1,IF(Monthly!AP$4=TRUE,0,Monthly!AP$17),IF(AT$69&gt;$F90+1,AS90*(1-IF(AT$69-$F90&lt;=12,SUMIFS('Attrition Modeling'!$D:$D,'Attrition Modeling'!$B:$B,$E90,'Attrition Modeling'!$C:$C,AT$68),VLOOKUP(AT$69-$F90-1,$A$7:$C$161,2,FALSE)*VLOOKUP(AT$1,'Attrition Modeling'!$L$15:$N$27,IF(AT$2-$F23&lt;=24,2,3),FALSE))*(1+Projection!AV$16)*(1+IF(AT155&gt;0,'Attrition Modeling'!$N$9,0))),0))</f>
        <v>2301.4375908574716</v>
      </c>
      <c r="AU90" s="799">
        <f>IF(AU$69=$F90+1,IF(Monthly!AQ$4=TRUE,0,Monthly!AQ$17),IF(AU$69&gt;$F90+1,AT90*(1-IF(AU$69-$F90&lt;=12,SUMIFS('Attrition Modeling'!$D:$D,'Attrition Modeling'!$B:$B,$E90,'Attrition Modeling'!$C:$C,AU$68),VLOOKUP(AU$69-$F90-1,$A$7:$C$161,2,FALSE)*VLOOKUP(AU$1,'Attrition Modeling'!$L$15:$N$27,IF(AU$2-$F23&lt;=24,2,3),FALSE))*(1+Projection!AW$16)*(1+IF(AU155&gt;0,'Attrition Modeling'!$N$9,0))),0))</f>
        <v>2209.5293995218394</v>
      </c>
      <c r="AV90" s="799">
        <f>IF(AV$69=$F90+1,IF(Monthly!AR$4=TRUE,0,Monthly!AR$17),IF(AV$69&gt;$F90+1,AU90*(1-IF(AV$69-$F90&lt;=12,SUMIFS('Attrition Modeling'!$D:$D,'Attrition Modeling'!$B:$B,$E90,'Attrition Modeling'!$C:$C,AV$68),VLOOKUP(AV$69-$F90-1,$A$7:$C$161,2,FALSE)*VLOOKUP(AV$1,'Attrition Modeling'!$L$15:$N$27,IF(AV$2-$F23&lt;=24,2,3),FALSE))*(1+Projection!AX$16)*(1+IF(AV155&gt;0,'Attrition Modeling'!$N$9,0))),0))</f>
        <v>2123.4184135073278</v>
      </c>
      <c r="AW90" s="799">
        <f>IF(AW$69=$F90+1,IF(Monthly!AS$4=TRUE,0,Monthly!AS$17),IF(AW$69&gt;$F90+1,AV90*(1-IF(AW$69-$F90&lt;=12,SUMIFS('Attrition Modeling'!$D:$D,'Attrition Modeling'!$B:$B,$E90,'Attrition Modeling'!$C:$C,AW$68),VLOOKUP(AW$69-$F90-1,$A$7:$C$161,2,FALSE)*VLOOKUP(AW$1,'Attrition Modeling'!$L$15:$N$27,IF(AW$2-$F23&lt;=24,2,3),FALSE))*(1+Projection!AY$16)*(1+IF(AW155&gt;0,'Attrition Modeling'!$N$9,0))),0))</f>
        <v>2033.9764760542441</v>
      </c>
      <c r="AX90" s="799">
        <f>IF(AX$69=$F90+1,IF(Monthly!AT$4=TRUE,0,Monthly!AT$17),IF(AX$69&gt;$F90+1,AW90*(1-IF(AX$69-$F90&lt;=12,SUMIFS('Attrition Modeling'!$D:$D,'Attrition Modeling'!$B:$B,$E90,'Attrition Modeling'!$C:$C,AX$68),VLOOKUP(AX$69-$F90-1,$A$7:$C$161,2,FALSE)*VLOOKUP(AX$1,'Attrition Modeling'!$L$15:$N$27,IF(AX$2-$F23&lt;=24,2,3),FALSE))*(1+Projection!AZ$16)*(1+IF(AX155&gt;0,'Attrition Modeling'!$N$9,0))),0))</f>
        <v>1947.5269753979426</v>
      </c>
      <c r="AY90" s="799">
        <f>IF(AY$69=$F90+1,IF(Monthly!AU$4=TRUE,0,Monthly!AU$17),IF(AY$69&gt;$F90+1,AX90*(1-IF(AY$69-$F90&lt;=12,SUMIFS('Attrition Modeling'!$D:$D,'Attrition Modeling'!$B:$B,$E90,'Attrition Modeling'!$C:$C,AY$68),VLOOKUP(AY$69-$F90-1,$A$7:$C$161,2,FALSE)*VLOOKUP(AY$1,'Attrition Modeling'!$L$15:$N$27,IF(AY$2-$F23&lt;=24,2,3),FALSE))*(1+Projection!BA$16)*(1+IF(AY155&gt;0,'Attrition Modeling'!$N$9,0))),0))</f>
        <v>1862.2345727484603</v>
      </c>
      <c r="AZ90" s="799">
        <f>IF(AZ$69=$F90+1,IF(Monthly!AV$4=TRUE,0,Monthly!AV$17),IF(AZ$69&gt;$F90+1,AY90*(1-IF(AZ$69-$F90&lt;=12,SUMIFS('Attrition Modeling'!$D:$D,'Attrition Modeling'!$B:$B,$E90,'Attrition Modeling'!$C:$C,AZ$68),VLOOKUP(AZ$69-$F90-1,$A$7:$C$161,2,FALSE)*VLOOKUP(AZ$1,'Attrition Modeling'!$L$15:$N$27,IF(AZ$2-$F23&lt;=24,2,3),FALSE))*(1+Projection!BB$16)*(1+IF(AZ155&gt;0,'Attrition Modeling'!$N$9,0))),0))</f>
        <v>1785.6236414516347</v>
      </c>
      <c r="BA90" s="799">
        <f>IF(BA$69=$F90+1,IF(Monthly!AW$4=TRUE,0,Monthly!AW$17),IF(BA$69&gt;$F90+1,AZ90*(1-IF(BA$69-$F90&lt;=12,SUMIFS('Attrition Modeling'!$D:$D,'Attrition Modeling'!$B:$B,$E90,'Attrition Modeling'!$C:$C,BA$68),VLOOKUP(BA$69-$F90-1,$A$7:$C$161,2,FALSE)*VLOOKUP(BA$1,'Attrition Modeling'!$L$15:$N$27,IF(BA$2-$F23&lt;=24,2,3),FALSE))*(1+Projection!BC$16)*(1+IF(BA155&gt;0,'Attrition Modeling'!$N$9,0))),0))</f>
        <v>1715.6813045040276</v>
      </c>
      <c r="BB90" s="799">
        <f>IF(BB$69=$F90+1,IF(Monthly!AX$4=TRUE,0,Monthly!AX$17),IF(BB$69&gt;$F90+1,BA90*(1-IF(BB$69-$F90&lt;=12,SUMIFS('Attrition Modeling'!$D:$D,'Attrition Modeling'!$B:$B,$E90,'Attrition Modeling'!$C:$C,BB$68),VLOOKUP(BB$69-$F90-1,$A$7:$C$161,2,FALSE)*VLOOKUP(BB$1,'Attrition Modeling'!$L$15:$N$27,IF(BB$2-$F23&lt;=24,2,3),FALSE))*(1+Projection!BD$16)*(1+IF(BB155&gt;0,'Attrition Modeling'!$N$9,0))),0))</f>
        <v>1650.8871186746774</v>
      </c>
      <c r="BC90" s="799">
        <f>IF(BC$69=$F90+1,IF(Monthly!AY$4=TRUE,0,Monthly!AY$17),IF(BC$69&gt;$F90+1,BB90*(1-IF(BC$69-$F90&lt;=12,SUMIFS('Attrition Modeling'!$D:$D,'Attrition Modeling'!$B:$B,$E90,'Attrition Modeling'!$C:$C,BC$68),VLOOKUP(BC$69-$F90-1,$A$7:$C$161,2,FALSE)*VLOOKUP(BC$1,'Attrition Modeling'!$L$15:$N$27,IF(BC$2-$F23&lt;=24,2,3),FALSE))*(1+Projection!BE$16)*(1+IF(BC155&gt;0,'Attrition Modeling'!$N$9,0))),0))</f>
        <v>1600.1860633179401</v>
      </c>
      <c r="BD90" s="799">
        <f>IF(BD$69=$F90+1,IF(Monthly!AZ$4=TRUE,0,Monthly!AZ$17),IF(BD$69&gt;$F90+1,BC90*(1-IF(BD$69-$F90&lt;=12,SUMIFS('Attrition Modeling'!$D:$D,'Attrition Modeling'!$B:$B,$E90,'Attrition Modeling'!$C:$C,BD$68),VLOOKUP(BD$69-$F90-1,$A$7:$C$161,2,FALSE)*VLOOKUP(BD$1,'Attrition Modeling'!$L$15:$N$27,IF(BD$2-$F23&lt;=24,2,3),FALSE))*(1+Projection!BF$16)*(1+IF(BD155&gt;0,'Attrition Modeling'!$N$9,0))),0))</f>
        <v>1546.477696676598</v>
      </c>
      <c r="BE90" s="799">
        <f>IF(BE$69=$F90+1,IF(Monthly!BA$4=TRUE,0,Monthly!BA$17),IF(BE$69&gt;$F90+1,BD90*(1-IF(BE$69-$F90&lt;=12,SUMIFS('Attrition Modeling'!$D:$D,'Attrition Modeling'!$B:$B,$E90,'Attrition Modeling'!$C:$C,BE$68),VLOOKUP(BE$69-$F90-1,$A$7:$C$161,2,FALSE)*VLOOKUP(BE$1,'Attrition Modeling'!$L$15:$N$27,IF(BE$2-$F23&lt;=24,2,3),FALSE))*(1+Projection!BG$16)*(1+IF(BE155&gt;0,'Attrition Modeling'!$N$9,0))),0))</f>
        <v>1486.9014094096042</v>
      </c>
      <c r="BF90" s="799">
        <f>IF(BF$69=$F90+1,IF(Monthly!BB$4=TRUE,0,Monthly!BB$17),IF(BF$69&gt;$F90+1,BE90*(1-IF(BF$69-$F90&lt;=12,SUMIFS('Attrition Modeling'!$D:$D,'Attrition Modeling'!$B:$B,$E90,'Attrition Modeling'!$C:$C,BF$68),VLOOKUP(BF$69-$F90-1,$A$7:$C$161,2,FALSE)*VLOOKUP(BF$1,'Attrition Modeling'!$L$15:$N$27,IF(BF$2-$F23&lt;=24,2,3),FALSE))*(1+Projection!BH$16)*(1+IF(BF155&gt;0,'Attrition Modeling'!$N$9,0))),0))</f>
        <v>1441.7336282732895</v>
      </c>
      <c r="BG90" s="799">
        <f>IF(BG$69=$F90+1,IF(Monthly!BC$4=TRUE,0,Monthly!BC$17),IF(BG$69&gt;$F90+1,BF90*(1-IF(BG$69-$F90&lt;=12,SUMIFS('Attrition Modeling'!$D:$D,'Attrition Modeling'!$B:$B,$E90,'Attrition Modeling'!$C:$C,BG$68),VLOOKUP(BG$69-$F90-1,$A$7:$C$161,2,FALSE)*VLOOKUP(BG$1,'Attrition Modeling'!$L$15:$N$27,IF(BG$2-$F23&lt;=24,2,3),FALSE))*(1+Projection!BI$16)*(1+IF(BG155&gt;0,'Attrition Modeling'!$N$9,0))),0))</f>
        <v>1407.3214854946095</v>
      </c>
      <c r="BH90" s="799">
        <f>IF(BH$69=$F90+1,IF(Monthly!BD$4=TRUE,0,Monthly!BD$17),IF(BH$69&gt;$F90+1,BG90*(1-IF(BH$69-$F90&lt;=12,SUMIFS('Attrition Modeling'!$D:$D,'Attrition Modeling'!$B:$B,$E90,'Attrition Modeling'!$C:$C,BH$68),VLOOKUP(BH$69-$F90-1,$A$7:$C$161,2,FALSE)*VLOOKUP(BH$1,'Attrition Modeling'!$L$15:$N$27,IF(BH$2-$F23&lt;=24,2,3),FALSE))*(1+Projection!BJ$16)*(1+IF(BH155&gt;0,'Attrition Modeling'!$N$9,0))),0))</f>
        <v>1367.2437436890266</v>
      </c>
      <c r="BI90" s="799">
        <f>IF(BI$69=$F90+1,IF(Monthly!BE$4=TRUE,0,Monthly!BE$17),IF(BI$69&gt;$F90+1,BH90*(1-IF(BI$69-$F90&lt;=12,SUMIFS('Attrition Modeling'!$D:$D,'Attrition Modeling'!$B:$B,$E90,'Attrition Modeling'!$C:$C,BI$68),VLOOKUP(BI$69-$F90-1,$A$7:$C$161,2,FALSE)*VLOOKUP(BI$1,'Attrition Modeling'!$L$15:$N$27,IF(BI$2-$F23&lt;=24,2,3),FALSE))*(1+Projection!BK$16)*(1+IF(BI155&gt;0,'Attrition Modeling'!$N$9,0))),0))</f>
        <v>1323.3157266489268</v>
      </c>
      <c r="BJ90" s="799">
        <f>IF(BJ$69=$F90+1,IF(Monthly!BF$4=TRUE,0,Monthly!BF$17),IF(BJ$69&gt;$F90+1,BI90*(1-IF(BJ$69-$F90&lt;=12,SUMIFS('Attrition Modeling'!$D:$D,'Attrition Modeling'!$B:$B,$E90,'Attrition Modeling'!$C:$C,BJ$68),VLOOKUP(BJ$69-$F90-1,$A$7:$C$161,2,FALSE)*VLOOKUP(BJ$1,'Attrition Modeling'!$L$15:$N$27,IF(BJ$2-$F23&lt;=24,2,3),FALSE))*(1+Projection!BL$16)*(1+IF(BJ155&gt;0,'Attrition Modeling'!$N$9,0))),0))</f>
        <v>1277.5135697686146</v>
      </c>
      <c r="BK90" s="799">
        <f>IF(BK$69=$F90+1,IF(Monthly!BG$4=TRUE,0,Monthly!BG$17),IF(BK$69&gt;$F90+1,BJ90*(1-IF(BK$69-$F90&lt;=12,SUMIFS('Attrition Modeling'!$D:$D,'Attrition Modeling'!$B:$B,$E90,'Attrition Modeling'!$C:$C,BK$68),VLOOKUP(BK$69-$F90-1,$A$7:$C$161,2,FALSE)*VLOOKUP(BK$1,'Attrition Modeling'!$L$15:$N$27,IF(BK$2-$F23&lt;=24,2,3),FALSE))*(1+Projection!BM$16)*(1+IF(BK155&gt;0,'Attrition Modeling'!$N$9,0))),0))</f>
        <v>1230.5544219110252</v>
      </c>
      <c r="BL90" s="799">
        <f>IF(BL$69=$F90+1,IF(Monthly!BH$4=TRUE,0,Monthly!BH$17),IF(BL$69&gt;$F90+1,BK90*(1-IF(BL$69-$F90&lt;=12,SUMIFS('Attrition Modeling'!$D:$D,'Attrition Modeling'!$B:$B,$E90,'Attrition Modeling'!$C:$C,BL$68),VLOOKUP(BL$69-$F90-1,$A$7:$C$161,2,FALSE)*VLOOKUP(BL$1,'Attrition Modeling'!$L$15:$N$27,IF(BL$2-$F23&lt;=24,2,3),FALSE))*(1+Projection!BN$16)*(1+IF(BL155&gt;0,'Attrition Modeling'!$N$9,0))),0))</f>
        <v>1188.5358885007752</v>
      </c>
      <c r="BM90" s="799">
        <f>IF(BM$69=$F90+1,IF(Monthly!BI$4=TRUE,0,Monthly!BI$17),IF(BM$69&gt;$F90+1,BL90*(1-IF(BM$69-$F90&lt;=12,SUMIFS('Attrition Modeling'!$D:$D,'Attrition Modeling'!$B:$B,$E90,'Attrition Modeling'!$C:$C,BM$68),VLOOKUP(BM$69-$F90-1,$A$7:$C$161,2,FALSE)*VLOOKUP(BM$1,'Attrition Modeling'!$L$15:$N$27,IF(BM$2-$F23&lt;=24,2,3),FALSE))*(1+Projection!BO$16)*(1+IF(BM155&gt;0,'Attrition Modeling'!$N$9,0))),0))</f>
        <v>1149.7663273179528</v>
      </c>
      <c r="BN90" s="799">
        <f>IF(BN$69=$F90+1,IF(Monthly!BJ$4=TRUE,0,Monthly!BJ$17),IF(BN$69&gt;$F90+1,BM90*(1-IF(BN$69-$F90&lt;=12,SUMIFS('Attrition Modeling'!$D:$D,'Attrition Modeling'!$B:$B,$E90,'Attrition Modeling'!$C:$C,BN$68),VLOOKUP(BN$69-$F90-1,$A$7:$C$161,2,FALSE)*VLOOKUP(BN$1,'Attrition Modeling'!$L$15:$N$27,IF(BN$2-$F23&lt;=24,2,3),FALSE))*(1+Projection!BP$16)*(1+IF(BN155&gt;0,'Attrition Modeling'!$N$9,0))),0))</f>
        <v>1113.4926785827406</v>
      </c>
      <c r="BO90" s="799">
        <f>IF(BO$69=$F90+1,IF(Monthly!BK$4=TRUE,0,Monthly!BK$17),IF(BO$69&gt;$F90+1,BN90*(1-IF(BO$69-$F90&lt;=12,SUMIFS('Attrition Modeling'!$D:$D,'Attrition Modeling'!$B:$B,$E90,'Attrition Modeling'!$C:$C,BO$68),VLOOKUP(BO$69-$F90-1,$A$7:$C$161,2,FALSE)*VLOOKUP(BO$1,'Attrition Modeling'!$L$15:$N$27,IF(BO$2-$F23&lt;=24,2,3),FALSE))*(1+Projection!BV$16)*(1+IF(BO155&gt;0,'Attrition Modeling'!$N$9,0))),0))</f>
        <v>1084.8416450159978</v>
      </c>
      <c r="BP90" s="799">
        <f>IF(BP$69=$F90+1,IF(Monthly!BL$4=TRUE,0,Monthly!BL$17),IF(BP$69&gt;$F90+1,BO90*(1-IF(BP$69-$F90&lt;=12,SUMIFS('Attrition Modeling'!$D:$D,'Attrition Modeling'!$B:$B,$E90,'Attrition Modeling'!$C:$C,BP$68),VLOOKUP(BP$69-$F90-1,$A$7:$C$161,2,FALSE)*VLOOKUP(BP$1,'Attrition Modeling'!$L$15:$N$27,IF(BP$2-$F23&lt;=24,2,3),FALSE))*(1+Projection!BW$16)*(1+IF(BP155&gt;0,'Attrition Modeling'!$N$9,0))),0))</f>
        <v>1054.2511546382984</v>
      </c>
      <c r="BQ90" s="799">
        <f>IF(BQ$69=$F90+1,IF(Monthly!BM$4=TRUE,0,Monthly!BM$17),IF(BQ$69&gt;$F90+1,BP90*(1-IF(BQ$69-$F90&lt;=12,SUMIFS('Attrition Modeling'!$D:$D,'Attrition Modeling'!$B:$B,$E90,'Attrition Modeling'!$C:$C,BQ$68),VLOOKUP(BQ$69-$F90-1,$A$7:$C$161,2,FALSE)*VLOOKUP(BQ$1,'Attrition Modeling'!$L$15:$N$27,IF(BQ$2-$F23&lt;=24,2,3),FALSE))*(1+Projection!BX$16)*(1+IF(BQ155&gt;0,'Attrition Modeling'!$N$9,0))),0))</f>
        <v>1025.7431343483413</v>
      </c>
      <c r="BR90" s="799">
        <f>IF(BR$69=$F90+1,IF(Monthly!BN$4=TRUE,0,Monthly!BN$17),IF(BR$69&gt;$F90+1,BQ90*(1-IF(BR$69-$F90&lt;=12,SUMIFS('Attrition Modeling'!$D:$D,'Attrition Modeling'!$B:$B,$E90,'Attrition Modeling'!$C:$C,BR$68),VLOOKUP(BR$69-$F90-1,$A$7:$C$161,2,FALSE)*VLOOKUP(BR$1,'Attrition Modeling'!$L$15:$N$27,IF(BR$2-$F23&lt;=24,2,3),FALSE))*(1+Projection!BY$16)*(1+IF(BR155&gt;0,'Attrition Modeling'!$N$9,0))),0))</f>
        <v>999.43309453122549</v>
      </c>
      <c r="BS90" s="799">
        <f>IF(BS$69=$F90+1,IF(Monthly!BO$4=TRUE,0,Monthly!BO$17),IF(BS$69&gt;$F90+1,BR90*(1-IF(BS$69-$F90&lt;=12,SUMIFS('Attrition Modeling'!$D:$D,'Attrition Modeling'!$B:$B,$E90,'Attrition Modeling'!$C:$C,BS$68),VLOOKUP(BS$69-$F90-1,$A$7:$C$161,2,FALSE)*VLOOKUP(BS$1,'Attrition Modeling'!$L$15:$N$27,IF(BS$2-$F23&lt;=24,2,3),FALSE))*(1+Projection!BZ$16)*(1+IF(BS155&gt;0,'Attrition Modeling'!$N$9,0))),0))</f>
        <v>979.24387361463687</v>
      </c>
      <c r="BT90" s="799">
        <f>IF(BT$69=$F90+1,IF(Monthly!#REF!=TRUE,0,Monthly!#REF!),IF(BT$69&gt;$F90+1,BS90*(1-IF(BT$69-$F90&lt;=12,SUMIFS('Attrition Modeling'!$D:$D,'Attrition Modeling'!$B:$B,$E90,'Attrition Modeling'!$C:$C,BT$68),VLOOKUP(BT$69-$F90-1,$A$7:$C$161,2,FALSE)*VLOOKUP(BT$1,'Attrition Modeling'!$L$15:$N$27,IF(BT$2-$F23&lt;=24,2,3),FALSE))*(1+Projection!CA$16)*(1+IF(BT155&gt;0,'Attrition Modeling'!$N$9,0))),0))</f>
        <v>955.59076703817334</v>
      </c>
      <c r="BU90" s="799">
        <f>IF(BU$69=$F90+1,IF(Monthly!#REF!=TRUE,0,Monthly!#REF!),IF(BU$69&gt;$F90+1,BT90*(1-IF(BU$69-$F90&lt;=12,SUMIFS('Attrition Modeling'!$D:$D,'Attrition Modeling'!$B:$B,$E90,'Attrition Modeling'!$C:$C,BU$68),VLOOKUP(BU$69-$F90-1,$A$7:$C$161,2,FALSE)*VLOOKUP(BU$1,'Attrition Modeling'!$L$15:$N$27,IF(BU$2-$F23&lt;=24,2,3),FALSE))*(1+Projection!CB$16)*(1+IF(BU155&gt;0,'Attrition Modeling'!$N$9,0))),0))</f>
        <v>929.49604720405273</v>
      </c>
    </row>
    <row r="91" spans="1:73" ht="14.25" customHeight="1" x14ac:dyDescent="0.2">
      <c r="A91" s="9">
        <v>84</v>
      </c>
      <c r="B91" s="25">
        <f>MAX('Attrition Modeling'!H88,$C$3)*(1-Summary!$C$20)</f>
        <v>0.02</v>
      </c>
      <c r="C91" s="24" t="e">
        <f t="shared" si="4"/>
        <v>#DIV/0!</v>
      </c>
      <c r="E91" s="11">
        <f t="shared" si="9"/>
        <v>9</v>
      </c>
      <c r="F91" s="11">
        <f t="shared" si="10"/>
        <v>21</v>
      </c>
      <c r="G91" s="799"/>
      <c r="H91" s="799">
        <f>IF(H$69=$F91+1,IF(Monthly!D$4=TRUE,0,Monthly!D$17),IF(H$69&gt;$F91+1,G91*(1-IF(H$69-$F91&lt;=12,SUMIFS('Attrition Modeling'!$D:$D,'Attrition Modeling'!$B:$B,$E91,'Attrition Modeling'!$C:$C,H$68),VLOOKUP(H$69-$F91-1,$A$7:$C$161,2,FALSE)*VLOOKUP(H$1,'Attrition Modeling'!$L$15:$N$27,IF(H$2-$F24&lt;=24,2,3),FALSE))*(1+Projection!J$16)*(1+IF(H156&gt;0,'Attrition Modeling'!$N$9,0))),0))</f>
        <v>0</v>
      </c>
      <c r="I91" s="799">
        <f>IF(I$69=$F91+1,IF(Monthly!E$4=TRUE,0,Monthly!E$17),IF(I$69&gt;$F91+1,H91*(1-IF(I$69-$F91&lt;=12,SUMIFS('Attrition Modeling'!$D:$D,'Attrition Modeling'!$B:$B,$E91,'Attrition Modeling'!$C:$C,I$68),VLOOKUP(I$69-$F91-1,$A$7:$C$161,2,FALSE)*VLOOKUP(I$1,'Attrition Modeling'!$L$15:$N$27,IF(I$2-$F24&lt;=24,2,3),FALSE))*(1+Projection!K$16)*(1+IF(I156&gt;0,'Attrition Modeling'!$N$9,0))),0))</f>
        <v>0</v>
      </c>
      <c r="J91" s="799">
        <f>IF(J$69=$F91+1,IF(Monthly!F$4=TRUE,0,Monthly!F$17),IF(J$69&gt;$F91+1,I91*(1-IF(J$69-$F91&lt;=12,SUMIFS('Attrition Modeling'!$D:$D,'Attrition Modeling'!$B:$B,$E91,'Attrition Modeling'!$C:$C,J$68),VLOOKUP(J$69-$F91-1,$A$7:$C$161,2,FALSE)*VLOOKUP(J$1,'Attrition Modeling'!$L$15:$N$27,IF(J$2-$F24&lt;=24,2,3),FALSE))*(1+Projection!L$16)*(1+IF(J156&gt;0,'Attrition Modeling'!$N$9,0))),0))</f>
        <v>0</v>
      </c>
      <c r="K91" s="799">
        <f>IF(K$69=$F91+1,IF(Monthly!G$4=TRUE,0,Monthly!G$17),IF(K$69&gt;$F91+1,J91*(1-IF(K$69-$F91&lt;=12,SUMIFS('Attrition Modeling'!$D:$D,'Attrition Modeling'!$B:$B,$E91,'Attrition Modeling'!$C:$C,K$68),VLOOKUP(K$69-$F91-1,$A$7:$C$161,2,FALSE)*VLOOKUP(K$1,'Attrition Modeling'!$L$15:$N$27,IF(K$2-$F24&lt;=24,2,3),FALSE))*(1+Projection!M$16)*(1+IF(K156&gt;0,'Attrition Modeling'!$N$9,0))),0))</f>
        <v>0</v>
      </c>
      <c r="L91" s="799">
        <f>IF(L$69=$F91+1,IF(Monthly!H$4=TRUE,0,Monthly!H$17),IF(L$69&gt;$F91+1,K91*(1-IF(L$69-$F91&lt;=12,SUMIFS('Attrition Modeling'!$D:$D,'Attrition Modeling'!$B:$B,$E91,'Attrition Modeling'!$C:$C,L$68),VLOOKUP(L$69-$F91-1,$A$7:$C$161,2,FALSE)*VLOOKUP(L$1,'Attrition Modeling'!$L$15:$N$27,IF(L$2-$F24&lt;=24,2,3),FALSE))*(1+Projection!N$16)*(1+IF(L156&gt;0,'Attrition Modeling'!$N$9,0))),0))</f>
        <v>0</v>
      </c>
      <c r="M91" s="799">
        <f>IF(M$69=$F91+1,IF(Monthly!I$4=TRUE,0,Monthly!I$17),IF(M$69&gt;$F91+1,L91*(1-IF(M$69-$F91&lt;=12,SUMIFS('Attrition Modeling'!$D:$D,'Attrition Modeling'!$B:$B,$E91,'Attrition Modeling'!$C:$C,M$68),VLOOKUP(M$69-$F91-1,$A$7:$C$161,2,FALSE)*VLOOKUP(M$1,'Attrition Modeling'!$L$15:$N$27,IF(M$2-$F24&lt;=24,2,3),FALSE))*(1+Projection!O$16)*(1+IF(M156&gt;0,'Attrition Modeling'!$N$9,0))),0))</f>
        <v>0</v>
      </c>
      <c r="N91" s="799">
        <f>IF(N$69=$F91+1,IF(Monthly!J$4=TRUE,0,Monthly!J$17),IF(N$69&gt;$F91+1,M91*(1-IF(N$69-$F91&lt;=12,SUMIFS('Attrition Modeling'!$D:$D,'Attrition Modeling'!$B:$B,$E91,'Attrition Modeling'!$C:$C,N$68),VLOOKUP(N$69-$F91-1,$A$7:$C$161,2,FALSE)*VLOOKUP(N$1,'Attrition Modeling'!$L$15:$N$27,IF(N$2-$F24&lt;=24,2,3),FALSE))*(1+Projection!P$16)*(1+IF(N156&gt;0,'Attrition Modeling'!$N$9,0))),0))</f>
        <v>0</v>
      </c>
      <c r="O91" s="799">
        <f>IF(O$69=$F91+1,IF(Monthly!K$4=TRUE,0,Monthly!K$17),IF(O$69&gt;$F91+1,N91*(1-IF(O$69-$F91&lt;=12,SUMIFS('Attrition Modeling'!$D:$D,'Attrition Modeling'!$B:$B,$E91,'Attrition Modeling'!$C:$C,O$68),VLOOKUP(O$69-$F91-1,$A$7:$C$161,2,FALSE)*VLOOKUP(O$1,'Attrition Modeling'!$L$15:$N$27,IF(O$2-$F24&lt;=24,2,3),FALSE))*(1+Projection!Q$16)*(1+IF(O156&gt;0,'Attrition Modeling'!$N$9,0))),0))</f>
        <v>0</v>
      </c>
      <c r="P91" s="799">
        <f>IF(P$69=$F91+1,IF(Monthly!L$4=TRUE,0,Monthly!L$17),IF(P$69&gt;$F91+1,O91*(1-IF(P$69-$F91&lt;=12,SUMIFS('Attrition Modeling'!$D:$D,'Attrition Modeling'!$B:$B,$E91,'Attrition Modeling'!$C:$C,P$68),VLOOKUP(P$69-$F91-1,$A$7:$C$161,2,FALSE)*VLOOKUP(P$1,'Attrition Modeling'!$L$15:$N$27,IF(P$2-$F24&lt;=24,2,3),FALSE))*(1+Projection!R$16)*(1+IF(P156&gt;0,'Attrition Modeling'!$N$9,0))),0))</f>
        <v>0</v>
      </c>
      <c r="Q91" s="799">
        <f>IF(Q$69=$F91+1,IF(Monthly!M$4=TRUE,0,Monthly!M$17),IF(Q$69&gt;$F91+1,P91*(1-IF(Q$69-$F91&lt;=12,SUMIFS('Attrition Modeling'!$D:$D,'Attrition Modeling'!$B:$B,$E91,'Attrition Modeling'!$C:$C,Q$68),VLOOKUP(Q$69-$F91-1,$A$7:$C$161,2,FALSE)*VLOOKUP(Q$1,'Attrition Modeling'!$L$15:$N$27,IF(Q$2-$F24&lt;=24,2,3),FALSE))*(1+Projection!S$16)*(1+IF(Q156&gt;0,'Attrition Modeling'!$N$9,0))),0))</f>
        <v>0</v>
      </c>
      <c r="R91" s="799">
        <f>IF(R$69=$F91+1,IF(Monthly!N$4=TRUE,0,Monthly!N$17),IF(R$69&gt;$F91+1,Q91*(1-IF(R$69-$F91&lt;=12,SUMIFS('Attrition Modeling'!$D:$D,'Attrition Modeling'!$B:$B,$E91,'Attrition Modeling'!$C:$C,R$68),VLOOKUP(R$69-$F91-1,$A$7:$C$161,2,FALSE)*VLOOKUP(R$1,'Attrition Modeling'!$L$15:$N$27,IF(R$2-$F24&lt;=24,2,3),FALSE))*(1+Projection!T$16)*(1+IF(R156&gt;0,'Attrition Modeling'!$N$9,0))),0))</f>
        <v>0</v>
      </c>
      <c r="S91" s="799">
        <f>IF(S$69=$F91+1,IF(Monthly!O$4=TRUE,0,Monthly!O$17),IF(S$69&gt;$F91+1,R91*(1-IF(S$69-$F91&lt;=12,SUMIFS('Attrition Modeling'!$D:$D,'Attrition Modeling'!$B:$B,$E91,'Attrition Modeling'!$C:$C,S$68),VLOOKUP(S$69-$F91-1,$A$7:$C$161,2,FALSE)*VLOOKUP(S$1,'Attrition Modeling'!$L$15:$N$27,IF(S$2-$F24&lt;=24,2,3),FALSE))*(1+Projection!U$16)*(1+IF(S156&gt;0,'Attrition Modeling'!$N$9,0))),0))</f>
        <v>0</v>
      </c>
      <c r="T91" s="799">
        <f>IF(T$69=$F91+1,IF(Monthly!P$4=TRUE,0,Monthly!P$17),IF(T$69&gt;$F91+1,S91*(1-IF(T$69-$F91&lt;=12,SUMIFS('Attrition Modeling'!$D:$D,'Attrition Modeling'!$B:$B,$E91,'Attrition Modeling'!$C:$C,T$68),VLOOKUP(T$69-$F91-1,$A$7:$C$161,2,FALSE)*VLOOKUP(T$1,'Attrition Modeling'!$L$15:$N$27,IF(T$2-$F24&lt;=24,2,3),FALSE))*(1+Projection!V$16)*(1+IF(T156&gt;0,'Attrition Modeling'!$N$9,0))),0))</f>
        <v>0</v>
      </c>
      <c r="U91" s="799">
        <f>IF(U$69=$F91+1,IF(Monthly!Q$4=TRUE,0,Monthly!Q$17),IF(U$69&gt;$F91+1,T91*(1-IF(U$69-$F91&lt;=12,SUMIFS('Attrition Modeling'!$D:$D,'Attrition Modeling'!$B:$B,$E91,'Attrition Modeling'!$C:$C,U$68),VLOOKUP(U$69-$F91-1,$A$7:$C$161,2,FALSE)*VLOOKUP(U$1,'Attrition Modeling'!$L$15:$N$27,IF(U$2-$F24&lt;=24,2,3),FALSE))*(1+Projection!W$16)*(1+IF(U156&gt;0,'Attrition Modeling'!$N$9,0))),0))</f>
        <v>0</v>
      </c>
      <c r="V91" s="799">
        <f>IF(V$69=$F91+1,IF(Monthly!R$4=TRUE,0,Monthly!R$17),IF(V$69&gt;$F91+1,U91*(1-IF(V$69-$F91&lt;=12,SUMIFS('Attrition Modeling'!$D:$D,'Attrition Modeling'!$B:$B,$E91,'Attrition Modeling'!$C:$C,V$68),VLOOKUP(V$69-$F91-1,$A$7:$C$161,2,FALSE)*VLOOKUP(V$1,'Attrition Modeling'!$L$15:$N$27,IF(V$2-$F24&lt;=24,2,3),FALSE))*(1+Projection!X$16)*(1+IF(V156&gt;0,'Attrition Modeling'!$N$9,0))),0))</f>
        <v>0</v>
      </c>
      <c r="W91" s="799">
        <f>IF(W$69=$F91+1,IF(Monthly!S$4=TRUE,0,Monthly!S$17),IF(W$69&gt;$F91+1,V91*(1-IF(W$69-$F91&lt;=12,SUMIFS('Attrition Modeling'!$D:$D,'Attrition Modeling'!$B:$B,$E91,'Attrition Modeling'!$C:$C,W$68),VLOOKUP(W$69-$F91-1,$A$7:$C$161,2,FALSE)*VLOOKUP(W$1,'Attrition Modeling'!$L$15:$N$27,IF(W$2-$F24&lt;=24,2,3),FALSE))*(1+Projection!Y$16)*(1+IF(W156&gt;0,'Attrition Modeling'!$N$9,0))),0))</f>
        <v>0</v>
      </c>
      <c r="X91" s="799">
        <f>IF(X$69=$F91+1,IF(Monthly!T$4=TRUE,0,Monthly!T$17),IF(X$69&gt;$F91+1,W91*(1-IF(X$69-$F91&lt;=12,SUMIFS('Attrition Modeling'!$D:$D,'Attrition Modeling'!$B:$B,$E91,'Attrition Modeling'!$C:$C,X$68),VLOOKUP(X$69-$F91-1,$A$7:$C$161,2,FALSE)*VLOOKUP(X$1,'Attrition Modeling'!$L$15:$N$27,IF(X$2-$F24&lt;=24,2,3),FALSE))*(1+Projection!Z$16)*(1+IF(X156&gt;0,'Attrition Modeling'!$N$9,0))),0))</f>
        <v>0</v>
      </c>
      <c r="Y91" s="799">
        <f>IF(Y$69=$F91+1,IF(Monthly!U$4=TRUE,0,Monthly!U$17),IF(Y$69&gt;$F91+1,X91*(1-IF(Y$69-$F91&lt;=12,SUMIFS('Attrition Modeling'!$D:$D,'Attrition Modeling'!$B:$B,$E91,'Attrition Modeling'!$C:$C,Y$68),VLOOKUP(Y$69-$F91-1,$A$7:$C$161,2,FALSE)*VLOOKUP(Y$1,'Attrition Modeling'!$L$15:$N$27,IF(Y$2-$F24&lt;=24,2,3),FALSE))*(1+Projection!AA$16)*(1+IF(Y156&gt;0,'Attrition Modeling'!$N$9,0))),0))</f>
        <v>0</v>
      </c>
      <c r="Z91" s="799">
        <f>IF(Z$69=$F91+1,IF(Monthly!V$4=TRUE,0,Monthly!V$17),IF(Z$69&gt;$F91+1,Y91*(1-IF(Z$69-$F91&lt;=12,SUMIFS('Attrition Modeling'!$D:$D,'Attrition Modeling'!$B:$B,$E91,'Attrition Modeling'!$C:$C,Z$68),VLOOKUP(Z$69-$F91-1,$A$7:$C$161,2,FALSE)*VLOOKUP(Z$1,'Attrition Modeling'!$L$15:$N$27,IF(Z$2-$F24&lt;=24,2,3),FALSE))*(1+Projection!AB$16)*(1+IF(Z156&gt;0,'Attrition Modeling'!$N$9,0))),0))</f>
        <v>0</v>
      </c>
      <c r="AA91" s="799">
        <f>IF(AA$69=$F91+1,IF(Monthly!W$4=TRUE,0,Monthly!W$17),IF(AA$69&gt;$F91+1,Z91*(1-IF(AA$69-$F91&lt;=12,SUMIFS('Attrition Modeling'!$D:$D,'Attrition Modeling'!$B:$B,$E91,'Attrition Modeling'!$C:$C,AA$68),VLOOKUP(AA$69-$F91-1,$A$7:$C$161,2,FALSE)*VLOOKUP(AA$1,'Attrition Modeling'!$L$15:$N$27,IF(AA$2-$F24&lt;=24,2,3),FALSE))*(1+Projection!AC$16)*(1+IF(AA156&gt;0,'Attrition Modeling'!$N$9,0))),0))</f>
        <v>0</v>
      </c>
      <c r="AB91" s="799">
        <f>IF(AB$69=$F91+1,IF(Monthly!X$4=TRUE,0,Monthly!X$17),IF(AB$69&gt;$F91+1,AA91*(1-IF(AB$69-$F91&lt;=12,SUMIFS('Attrition Modeling'!$D:$D,'Attrition Modeling'!$B:$B,$E91,'Attrition Modeling'!$C:$C,AB$68),VLOOKUP(AB$69-$F91-1,$A$7:$C$161,2,FALSE)*VLOOKUP(AB$1,'Attrition Modeling'!$L$15:$N$27,IF(AB$2-$F24&lt;=24,2,3),FALSE))*(1+Projection!AD$16)*(1+IF(AB156&gt;0,'Attrition Modeling'!$N$9,0))),0))</f>
        <v>0</v>
      </c>
      <c r="AC91" s="799">
        <f>IF(AC$69=$F91+1,IF(Monthly!Y$4=TRUE,0,Monthly!Y$17),IF(AC$69&gt;$F91+1,AB91*(1-IF(AC$69-$F91&lt;=12,SUMIFS('Attrition Modeling'!$D:$D,'Attrition Modeling'!$B:$B,$E91,'Attrition Modeling'!$C:$C,AC$68),VLOOKUP(AC$69-$F91-1,$A$7:$C$161,2,FALSE)*VLOOKUP(AC$1,'Attrition Modeling'!$L$15:$N$27,IF(AC$2-$F24&lt;=24,2,3),FALSE))*(1+Projection!AE$16)*(1+IF(AC156&gt;0,'Attrition Modeling'!$N$9,0))),0))</f>
        <v>7590.7358032820339</v>
      </c>
      <c r="AD91" s="799">
        <f>IF(AD$69=$F91+1,IF(Monthly!Z$4=TRUE,0,Monthly!Z$17),IF(AD$69&gt;$F91+1,AC91*(1-IF(AD$69-$F91&lt;=12,SUMIFS('Attrition Modeling'!$D:$D,'Attrition Modeling'!$B:$B,$E91,'Attrition Modeling'!$C:$C,AD$68),VLOOKUP(AD$69-$F91-1,$A$7:$C$161,2,FALSE)*VLOOKUP(AD$1,'Attrition Modeling'!$L$15:$N$27,IF(AD$2-$F24&lt;=24,2,3),FALSE))*(1+Projection!AF$16)*(1+IF(AD156&gt;0,'Attrition Modeling'!$N$9,0))),0))</f>
        <v>6830.3087947601052</v>
      </c>
      <c r="AE91" s="799">
        <f>IF(AE$69=$F91+1,IF(Monthly!AA$4=TRUE,0,Monthly!AA$17),IF(AE$69&gt;$F91+1,AD91*(1-IF(AE$69-$F91&lt;=12,SUMIFS('Attrition Modeling'!$D:$D,'Attrition Modeling'!$B:$B,$E91,'Attrition Modeling'!$C:$C,AE$68),VLOOKUP(AE$69-$F91-1,$A$7:$C$161,2,FALSE)*VLOOKUP(AE$1,'Attrition Modeling'!$L$15:$N$27,IF(AE$2-$F24&lt;=24,2,3),FALSE))*(1+Projection!AG$16)*(1+IF(AE156&gt;0,'Attrition Modeling'!$N$9,0))),0))</f>
        <v>6230.6911489536396</v>
      </c>
      <c r="AF91" s="799">
        <f>IF(AF$69=$F91+1,IF(Monthly!AB$4=TRUE,0,Monthly!AB$17),IF(AF$69&gt;$F91+1,AE91*(1-IF(AF$69-$F91&lt;=12,SUMIFS('Attrition Modeling'!$D:$D,'Attrition Modeling'!$B:$B,$E91,'Attrition Modeling'!$C:$C,AF$68),VLOOKUP(AF$69-$F91-1,$A$7:$C$161,2,FALSE)*VLOOKUP(AF$1,'Attrition Modeling'!$L$15:$N$27,IF(AF$2-$F24&lt;=24,2,3),FALSE))*(1+Projection!AH$16)*(1+IF(AF156&gt;0,'Attrition Modeling'!$N$9,0))),0))</f>
        <v>5720.837555263276</v>
      </c>
      <c r="AG91" s="799">
        <f>IF(AG$69=$F91+1,IF(Monthly!AC$4=TRUE,0,Monthly!AC$17),IF(AG$69&gt;$F91+1,AF91*(1-IF(AG$69-$F91&lt;=12,SUMIFS('Attrition Modeling'!$D:$D,'Attrition Modeling'!$B:$B,$E91,'Attrition Modeling'!$C:$C,AG$68),VLOOKUP(AG$69-$F91-1,$A$7:$C$161,2,FALSE)*VLOOKUP(AG$1,'Attrition Modeling'!$L$15:$N$27,IF(AG$2-$F24&lt;=24,2,3),FALSE))*(1+Projection!AI$16)*(1+IF(AG156&gt;0,'Attrition Modeling'!$N$9,0))),0))</f>
        <v>5298.812226937137</v>
      </c>
      <c r="AH91" s="799">
        <f>IF(AH$69=$F91+1,IF(Monthly!AD$4=TRUE,0,Monthly!AD$17),IF(AH$69&gt;$F91+1,AG91*(1-IF(AH$69-$F91&lt;=12,SUMIFS('Attrition Modeling'!$D:$D,'Attrition Modeling'!$B:$B,$E91,'Attrition Modeling'!$C:$C,AH$68),VLOOKUP(AH$69-$F91-1,$A$7:$C$161,2,FALSE)*VLOOKUP(AH$1,'Attrition Modeling'!$L$15:$N$27,IF(AH$2-$F24&lt;=24,2,3),FALSE))*(1+Projection!AJ$16)*(1+IF(AH156&gt;0,'Attrition Modeling'!$N$9,0))),0))</f>
        <v>4756.026997584403</v>
      </c>
      <c r="AI91" s="799">
        <f>IF(AI$69=$F91+1,IF(Monthly!AE$4=TRUE,0,Monthly!AE$17),IF(AI$69&gt;$F91+1,AH91*(1-IF(AI$69-$F91&lt;=12,SUMIFS('Attrition Modeling'!$D:$D,'Attrition Modeling'!$B:$B,$E91,'Attrition Modeling'!$C:$C,AI$68),VLOOKUP(AI$69-$F91-1,$A$7:$C$161,2,FALSE)*VLOOKUP(AI$1,'Attrition Modeling'!$L$15:$N$27,IF(AI$2-$F24&lt;=24,2,3),FALSE))*(1+Projection!AK$16)*(1+IF(AI156&gt;0,'Attrition Modeling'!$N$9,0))),0))</f>
        <v>4410.4333396622105</v>
      </c>
      <c r="AJ91" s="799">
        <f>IF(AJ$69=$F91+1,IF(Monthly!AF$4=TRUE,0,Monthly!AF$17),IF(AJ$69&gt;$F91+1,AI91*(1-IF(AJ$69-$F91&lt;=12,SUMIFS('Attrition Modeling'!$D:$D,'Attrition Modeling'!$B:$B,$E91,'Attrition Modeling'!$C:$C,AJ$68),VLOOKUP(AJ$69-$F91-1,$A$7:$C$161,2,FALSE)*VLOOKUP(AJ$1,'Attrition Modeling'!$L$15:$N$27,IF(AJ$2-$F24&lt;=24,2,3),FALSE))*(1+Projection!AL$16)*(1+IF(AJ156&gt;0,'Attrition Modeling'!$N$9,0))),0))</f>
        <v>4096.6739651659727</v>
      </c>
      <c r="AK91" s="799">
        <f>IF(AK$69=$F91+1,IF(Monthly!AG$4=TRUE,0,Monthly!AG$17),IF(AK$69&gt;$F91+1,AJ91*(1-IF(AK$69-$F91&lt;=12,SUMIFS('Attrition Modeling'!$D:$D,'Attrition Modeling'!$B:$B,$E91,'Attrition Modeling'!$C:$C,AK$68),VLOOKUP(AK$69-$F91-1,$A$7:$C$161,2,FALSE)*VLOOKUP(AK$1,'Attrition Modeling'!$L$15:$N$27,IF(AK$2-$F24&lt;=24,2,3),FALSE))*(1+Projection!AM$16)*(1+IF(AK156&gt;0,'Attrition Modeling'!$N$9,0))),0))</f>
        <v>3814.5743330865666</v>
      </c>
      <c r="AL91" s="799">
        <f>IF(AL$69=$F91+1,IF(Monthly!AH$4=TRUE,0,Monthly!AH$17),IF(AL$69&gt;$F91+1,AK91*(1-IF(AL$69-$F91&lt;=12,SUMIFS('Attrition Modeling'!$D:$D,'Attrition Modeling'!$B:$B,$E91,'Attrition Modeling'!$C:$C,AL$68),VLOOKUP(AL$69-$F91-1,$A$7:$C$161,2,FALSE)*VLOOKUP(AL$1,'Attrition Modeling'!$L$15:$N$27,IF(AL$2-$F24&lt;=24,2,3),FALSE))*(1+Projection!AN$16)*(1+IF(AL156&gt;0,'Attrition Modeling'!$N$9,0))),0))</f>
        <v>3580.4282458102771</v>
      </c>
      <c r="AM91" s="799">
        <f>IF(AM$69=$F91+1,IF(Monthly!AI$4=TRUE,0,Monthly!AI$17),IF(AM$69&gt;$F91+1,AL91*(1-IF(AM$69-$F91&lt;=12,SUMIFS('Attrition Modeling'!$D:$D,'Attrition Modeling'!$B:$B,$E91,'Attrition Modeling'!$C:$C,AM$68),VLOOKUP(AM$69-$F91-1,$A$7:$C$161,2,FALSE)*VLOOKUP(AM$1,'Attrition Modeling'!$L$15:$N$27,IF(AM$2-$F24&lt;=24,2,3),FALSE))*(1+Projection!AO$16)*(1+IF(AM156&gt;0,'Attrition Modeling'!$N$9,0))),0))</f>
        <v>3369.4737458853128</v>
      </c>
      <c r="AN91" s="799">
        <f>IF(AN$69=$F91+1,IF(Monthly!AJ$4=TRUE,0,Monthly!AJ$17),IF(AN$69&gt;$F91+1,AM91*(1-IF(AN$69-$F91&lt;=12,SUMIFS('Attrition Modeling'!$D:$D,'Attrition Modeling'!$B:$B,$E91,'Attrition Modeling'!$C:$C,AN$68),VLOOKUP(AN$69-$F91-1,$A$7:$C$161,2,FALSE)*VLOOKUP(AN$1,'Attrition Modeling'!$L$15:$N$27,IF(AN$2-$F24&lt;=24,2,3),FALSE))*(1+Projection!AP$16)*(1+IF(AN156&gt;0,'Attrition Modeling'!$N$9,0))),0))</f>
        <v>3225.1585788437706</v>
      </c>
      <c r="AO91" s="799">
        <f>IF(AO$69=$F91+1,IF(Monthly!AK$4=TRUE,0,Monthly!AK$17),IF(AO$69&gt;$F91+1,AN91*(1-IF(AO$69-$F91&lt;=12,SUMIFS('Attrition Modeling'!$D:$D,'Attrition Modeling'!$B:$B,$E91,'Attrition Modeling'!$C:$C,AO$68),VLOOKUP(AO$69-$F91-1,$A$7:$C$161,2,FALSE)*VLOOKUP(AO$1,'Attrition Modeling'!$L$15:$N$27,IF(AO$2-$F24&lt;=24,2,3),FALSE))*(1+Projection!AQ$16)*(1+IF(AO156&gt;0,'Attrition Modeling'!$N$9,0))),0))</f>
        <v>3042.9171067765105</v>
      </c>
      <c r="AP91" s="799">
        <f>IF(AP$69=$F91+1,IF(Monthly!AL$4=TRUE,0,Monthly!AL$17),IF(AP$69&gt;$F91+1,AO91*(1-IF(AP$69-$F91&lt;=12,SUMIFS('Attrition Modeling'!$D:$D,'Attrition Modeling'!$B:$B,$E91,'Attrition Modeling'!$C:$C,AP$68),VLOOKUP(AP$69-$F91-1,$A$7:$C$161,2,FALSE)*VLOOKUP(AP$1,'Attrition Modeling'!$L$15:$N$27,IF(AP$2-$F24&lt;=24,2,3),FALSE))*(1+Projection!AR$16)*(1+IF(AP156&gt;0,'Attrition Modeling'!$N$9,0))),0))</f>
        <v>2890.2849514294667</v>
      </c>
      <c r="AQ91" s="799">
        <f>IF(AQ$69=$F91+1,IF(Monthly!AM$4=TRUE,0,Monthly!AM$17),IF(AQ$69&gt;$F91+1,AP91*(1-IF(AQ$69-$F91&lt;=12,SUMIFS('Attrition Modeling'!$D:$D,'Attrition Modeling'!$B:$B,$E91,'Attrition Modeling'!$C:$C,AQ$68),VLOOKUP(AQ$69-$F91-1,$A$7:$C$161,2,FALSE)*VLOOKUP(AQ$1,'Attrition Modeling'!$L$15:$N$27,IF(AQ$2-$F24&lt;=24,2,3),FALSE))*(1+Projection!AS$16)*(1+IF(AQ156&gt;0,'Attrition Modeling'!$N$9,0))),0))</f>
        <v>2753.8559987823946</v>
      </c>
      <c r="AR91" s="799">
        <f>IF(AR$69=$F91+1,IF(Monthly!AN$4=TRUE,0,Monthly!AN$17),IF(AR$69&gt;$F91+1,AQ91*(1-IF(AR$69-$F91&lt;=12,SUMIFS('Attrition Modeling'!$D:$D,'Attrition Modeling'!$B:$B,$E91,'Attrition Modeling'!$C:$C,AR$68),VLOOKUP(AR$69-$F91-1,$A$7:$C$161,2,FALSE)*VLOOKUP(AR$1,'Attrition Modeling'!$L$15:$N$27,IF(AR$2-$F24&lt;=24,2,3),FALSE))*(1+Projection!AT$16)*(1+IF(AR156&gt;0,'Attrition Modeling'!$N$9,0))),0))</f>
        <v>2628.5022993203479</v>
      </c>
      <c r="AS91" s="799">
        <f>IF(AS$69=$F91+1,IF(Monthly!AO$4=TRUE,0,Monthly!AO$17),IF(AS$69&gt;$F91+1,AR91*(1-IF(AS$69-$F91&lt;=12,SUMIFS('Attrition Modeling'!$D:$D,'Attrition Modeling'!$B:$B,$E91,'Attrition Modeling'!$C:$C,AS$68),VLOOKUP(AS$69-$F91-1,$A$7:$C$161,2,FALSE)*VLOOKUP(AS$1,'Attrition Modeling'!$L$15:$N$27,IF(AS$2-$F24&lt;=24,2,3),FALSE))*(1+Projection!AU$16)*(1+IF(AS156&gt;0,'Attrition Modeling'!$N$9,0))),0))</f>
        <v>2523.7417149803996</v>
      </c>
      <c r="AT91" s="799">
        <f>IF(AT$69=$F91+1,IF(Monthly!AP$4=TRUE,0,Monthly!AP$17),IF(AT$69&gt;$F91+1,AS91*(1-IF(AT$69-$F91&lt;=12,SUMIFS('Attrition Modeling'!$D:$D,'Attrition Modeling'!$B:$B,$E91,'Attrition Modeling'!$C:$C,AT$68),VLOOKUP(AT$69-$F91-1,$A$7:$C$161,2,FALSE)*VLOOKUP(AT$1,'Attrition Modeling'!$L$15:$N$27,IF(AT$2-$F24&lt;=24,2,3),FALSE))*(1+Projection!AV$16)*(1+IF(AT156&gt;0,'Attrition Modeling'!$N$9,0))),0))</f>
        <v>2395.6027302199136</v>
      </c>
      <c r="AU91" s="799">
        <f>IF(AU$69=$F91+1,IF(Monthly!AQ$4=TRUE,0,Monthly!AQ$17),IF(AU$69&gt;$F91+1,AT91*(1-IF(AU$69-$F91&lt;=12,SUMIFS('Attrition Modeling'!$D:$D,'Attrition Modeling'!$B:$B,$E91,'Attrition Modeling'!$C:$C,AU$68),VLOOKUP(AU$69-$F91-1,$A$7:$C$161,2,FALSE)*VLOOKUP(AU$1,'Attrition Modeling'!$L$15:$N$27,IF(AU$2-$F24&lt;=24,2,3),FALSE))*(1+Projection!AW$16)*(1+IF(AU156&gt;0,'Attrition Modeling'!$N$9,0))),0))</f>
        <v>2298.0811513214608</v>
      </c>
      <c r="AV91" s="799">
        <f>IF(AV$69=$F91+1,IF(Monthly!AR$4=TRUE,0,Monthly!AR$17),IF(AV$69&gt;$F91+1,AU91*(1-IF(AV$69-$F91&lt;=12,SUMIFS('Attrition Modeling'!$D:$D,'Attrition Modeling'!$B:$B,$E91,'Attrition Modeling'!$C:$C,AV$68),VLOOKUP(AV$69-$F91-1,$A$7:$C$161,2,FALSE)*VLOOKUP(AV$1,'Attrition Modeling'!$L$15:$N$27,IF(AV$2-$F24&lt;=24,2,3),FALSE))*(1+Projection!AX$16)*(1+IF(AV156&gt;0,'Attrition Modeling'!$N$9,0))),0))</f>
        <v>2206.9624422367415</v>
      </c>
      <c r="AW91" s="799">
        <f>IF(AW$69=$F91+1,IF(Monthly!AS$4=TRUE,0,Monthly!AS$17),IF(AW$69&gt;$F91+1,AV91*(1-IF(AW$69-$F91&lt;=12,SUMIFS('Attrition Modeling'!$D:$D,'Attrition Modeling'!$B:$B,$E91,'Attrition Modeling'!$C:$C,AW$68),VLOOKUP(AW$69-$F91-1,$A$7:$C$161,2,FALSE)*VLOOKUP(AW$1,'Attrition Modeling'!$L$15:$N$27,IF(AW$2-$F24&lt;=24,2,3),FALSE))*(1+Projection!AY$16)*(1+IF(AW156&gt;0,'Attrition Modeling'!$N$9,0))),0))</f>
        <v>2112.5333629106294</v>
      </c>
      <c r="AX91" s="799">
        <f>IF(AX$69=$F91+1,IF(Monthly!AT$4=TRUE,0,Monthly!AT$17),IF(AX$69&gt;$F91+1,AW91*(1-IF(AX$69-$F91&lt;=12,SUMIFS('Attrition Modeling'!$D:$D,'Attrition Modeling'!$B:$B,$E91,'Attrition Modeling'!$C:$C,AX$68),VLOOKUP(AX$69-$F91-1,$A$7:$C$161,2,FALSE)*VLOOKUP(AX$1,'Attrition Modeling'!$L$15:$N$27,IF(AX$2-$F24&lt;=24,2,3),FALSE))*(1+Projection!AZ$16)*(1+IF(AX156&gt;0,'Attrition Modeling'!$N$9,0))),0))</f>
        <v>2021.4436323274585</v>
      </c>
      <c r="AY91" s="799">
        <f>IF(AY$69=$F91+1,IF(Monthly!AU$4=TRUE,0,Monthly!AU$17),IF(AY$69&gt;$F91+1,AX91*(1-IF(AY$69-$F91&lt;=12,SUMIFS('Attrition Modeling'!$D:$D,'Attrition Modeling'!$B:$B,$E91,'Attrition Modeling'!$C:$C,AY$68),VLOOKUP(AY$69-$F91-1,$A$7:$C$161,2,FALSE)*VLOOKUP(AY$1,'Attrition Modeling'!$L$15:$N$27,IF(AY$2-$F24&lt;=24,2,3),FALSE))*(1+Projection!BA$16)*(1+IF(AY156&gt;0,'Attrition Modeling'!$N$9,0))),0))</f>
        <v>1931.7269415623168</v>
      </c>
      <c r="AZ91" s="799">
        <f>IF(AZ$69=$F91+1,IF(Monthly!AV$4=TRUE,0,Monthly!AV$17),IF(AZ$69&gt;$F91+1,AY91*(1-IF(AZ$69-$F91&lt;=12,SUMIFS('Attrition Modeling'!$D:$D,'Attrition Modeling'!$B:$B,$E91,'Attrition Modeling'!$C:$C,AZ$68),VLOOKUP(AZ$69-$F91-1,$A$7:$C$161,2,FALSE)*VLOOKUP(AZ$1,'Attrition Modeling'!$L$15:$N$27,IF(AZ$2-$F24&lt;=24,2,3),FALSE))*(1+Projection!BB$16)*(1+IF(AZ156&gt;0,'Attrition Modeling'!$N$9,0))),0))</f>
        <v>1854.5823603353649</v>
      </c>
      <c r="BA91" s="799">
        <f>IF(BA$69=$F91+1,IF(Monthly!AW$4=TRUE,0,Monthly!AW$17),IF(BA$69&gt;$F91+1,AZ91*(1-IF(BA$69-$F91&lt;=12,SUMIFS('Attrition Modeling'!$D:$D,'Attrition Modeling'!$B:$B,$E91,'Attrition Modeling'!$C:$C,BA$68),VLOOKUP(BA$69-$F91-1,$A$7:$C$161,2,FALSE)*VLOOKUP(BA$1,'Attrition Modeling'!$L$15:$N$27,IF(BA$2-$F24&lt;=24,2,3),FALSE))*(1+Projection!BC$16)*(1+IF(BA156&gt;0,'Attrition Modeling'!$N$9,0))),0))</f>
        <v>1780.6740329642346</v>
      </c>
      <c r="BB91" s="799">
        <f>IF(BB$69=$F91+1,IF(Monthly!AX$4=TRUE,0,Monthly!AX$17),IF(BB$69&gt;$F91+1,BA91*(1-IF(BB$69-$F91&lt;=12,SUMIFS('Attrition Modeling'!$D:$D,'Attrition Modeling'!$B:$B,$E91,'Attrition Modeling'!$C:$C,BB$68),VLOOKUP(BB$69-$F91-1,$A$7:$C$161,2,FALSE)*VLOOKUP(BB$1,'Attrition Modeling'!$L$15:$N$27,IF(BB$2-$F24&lt;=24,2,3),FALSE))*(1+Projection!BD$16)*(1+IF(BB156&gt;0,'Attrition Modeling'!$N$9,0))),0))</f>
        <v>1712.2811685853667</v>
      </c>
      <c r="BC91" s="799">
        <f>IF(BC$69=$F91+1,IF(Monthly!AY$4=TRUE,0,Monthly!AY$17),IF(BC$69&gt;$F91+1,BB91*(1-IF(BC$69-$F91&lt;=12,SUMIFS('Attrition Modeling'!$D:$D,'Attrition Modeling'!$B:$B,$E91,'Attrition Modeling'!$C:$C,BC$68),VLOOKUP(BC$69-$F91-1,$A$7:$C$161,2,FALSE)*VLOOKUP(BC$1,'Attrition Modeling'!$L$15:$N$27,IF(BC$2-$F24&lt;=24,2,3),FALSE))*(1+Projection!BE$16)*(1+IF(BC156&gt;0,'Attrition Modeling'!$N$9,0))),0))</f>
        <v>1658.8193472296889</v>
      </c>
      <c r="BD91" s="799">
        <f>IF(BD$69=$F91+1,IF(Monthly!AZ$4=TRUE,0,Monthly!AZ$17),IF(BD$69&gt;$F91+1,BC91*(1-IF(BD$69-$F91&lt;=12,SUMIFS('Attrition Modeling'!$D:$D,'Attrition Modeling'!$B:$B,$E91,'Attrition Modeling'!$C:$C,BD$68),VLOOKUP(BD$69-$F91-1,$A$7:$C$161,2,FALSE)*VLOOKUP(BD$1,'Attrition Modeling'!$L$15:$N$27,IF(BD$2-$F24&lt;=24,2,3),FALSE))*(1+Projection!BF$16)*(1+IF(BD156&gt;0,'Attrition Modeling'!$N$9,0))),0))</f>
        <v>1602.2354767792058</v>
      </c>
      <c r="BE91" s="799">
        <f>IF(BE$69=$F91+1,IF(Monthly!BA$4=TRUE,0,Monthly!BA$17),IF(BE$69&gt;$F91+1,BD91*(1-IF(BE$69-$F91&lt;=12,SUMIFS('Attrition Modeling'!$D:$D,'Attrition Modeling'!$B:$B,$E91,'Attrition Modeling'!$C:$C,BE$68),VLOOKUP(BE$69-$F91-1,$A$7:$C$161,2,FALSE)*VLOOKUP(BE$1,'Attrition Modeling'!$L$15:$N$27,IF(BE$2-$F24&lt;=24,2,3),FALSE))*(1+Projection!BG$16)*(1+IF(BE156&gt;0,'Attrition Modeling'!$N$9,0))),0))</f>
        <v>1549.9766217493261</v>
      </c>
      <c r="BF91" s="799">
        <f>IF(BF$69=$F91+1,IF(Monthly!BB$4=TRUE,0,Monthly!BB$17),IF(BF$69&gt;$F91+1,BE91*(1-IF(BF$69-$F91&lt;=12,SUMIFS('Attrition Modeling'!$D:$D,'Attrition Modeling'!$B:$B,$E91,'Attrition Modeling'!$C:$C,BF$68),VLOOKUP(BF$69-$F91-1,$A$7:$C$161,2,FALSE)*VLOOKUP(BF$1,'Attrition Modeling'!$L$15:$N$27,IF(BF$2-$F24&lt;=24,2,3),FALSE))*(1+Projection!BH$16)*(1+IF(BF156&gt;0,'Attrition Modeling'!$N$9,0))),0))</f>
        <v>1492.5901061943259</v>
      </c>
      <c r="BG91" s="799">
        <f>IF(BG$69=$F91+1,IF(Monthly!BC$4=TRUE,0,Monthly!BC$17),IF(BG$69&gt;$F91+1,BF91*(1-IF(BG$69-$F91&lt;=12,SUMIFS('Attrition Modeling'!$D:$D,'Attrition Modeling'!$B:$B,$E91,'Attrition Modeling'!$C:$C,BG$68),VLOOKUP(BG$69-$F91-1,$A$7:$C$161,2,FALSE)*VLOOKUP(BG$1,'Attrition Modeling'!$L$15:$N$27,IF(BG$2-$F24&lt;=24,2,3),FALSE))*(1+Projection!BI$16)*(1+IF(BG156&gt;0,'Attrition Modeling'!$N$9,0))),0))</f>
        <v>1456.4154755226623</v>
      </c>
      <c r="BH91" s="799">
        <f>IF(BH$69=$F91+1,IF(Monthly!BD$4=TRUE,0,Monthly!BD$17),IF(BH$69&gt;$F91+1,BG91*(1-IF(BH$69-$F91&lt;=12,SUMIFS('Attrition Modeling'!$D:$D,'Attrition Modeling'!$B:$B,$E91,'Attrition Modeling'!$C:$C,BH$68),VLOOKUP(BH$69-$F91-1,$A$7:$C$161,2,FALSE)*VLOOKUP(BH$1,'Attrition Modeling'!$L$15:$N$27,IF(BH$2-$F24&lt;=24,2,3),FALSE))*(1+Projection!BJ$16)*(1+IF(BH156&gt;0,'Attrition Modeling'!$N$9,0))),0))</f>
        <v>1414.3118539328027</v>
      </c>
      <c r="BI91" s="799">
        <f>IF(BI$69=$F91+1,IF(Monthly!BE$4=TRUE,0,Monthly!BE$17),IF(BI$69&gt;$F91+1,BH91*(1-IF(BI$69-$F91&lt;=12,SUMIFS('Attrition Modeling'!$D:$D,'Attrition Modeling'!$B:$B,$E91,'Attrition Modeling'!$C:$C,BI$68),VLOOKUP(BI$69-$F91-1,$A$7:$C$161,2,FALSE)*VLOOKUP(BI$1,'Attrition Modeling'!$L$15:$N$27,IF(BI$2-$F24&lt;=24,2,3),FALSE))*(1+Projection!BK$16)*(1+IF(BI156&gt;0,'Attrition Modeling'!$N$9,0))),0))</f>
        <v>1368.195046613097</v>
      </c>
      <c r="BJ91" s="799">
        <f>IF(BJ$69=$F91+1,IF(Monthly!BF$4=TRUE,0,Monthly!BF$17),IF(BJ$69&gt;$F91+1,BI91*(1-IF(BJ$69-$F91&lt;=12,SUMIFS('Attrition Modeling'!$D:$D,'Attrition Modeling'!$B:$B,$E91,'Attrition Modeling'!$C:$C,BJ$68),VLOOKUP(BJ$69-$F91-1,$A$7:$C$161,2,FALSE)*VLOOKUP(BJ$1,'Attrition Modeling'!$L$15:$N$27,IF(BJ$2-$F24&lt;=24,2,3),FALSE))*(1+Projection!BL$16)*(1+IF(BJ156&gt;0,'Attrition Modeling'!$N$9,0))),0))</f>
        <v>1320.1455071126431</v>
      </c>
      <c r="BK91" s="799">
        <f>IF(BK$69=$F91+1,IF(Monthly!BG$4=TRUE,0,Monthly!BG$17),IF(BK$69&gt;$F91+1,BJ91*(1-IF(BK$69-$F91&lt;=12,SUMIFS('Attrition Modeling'!$D:$D,'Attrition Modeling'!$B:$B,$E91,'Attrition Modeling'!$C:$C,BK$68),VLOOKUP(BK$69-$F91-1,$A$7:$C$161,2,FALSE)*VLOOKUP(BK$1,'Attrition Modeling'!$L$15:$N$27,IF(BK$2-$F24&lt;=24,2,3),FALSE))*(1+Projection!BM$16)*(1+IF(BK156&gt;0,'Attrition Modeling'!$N$9,0))),0))</f>
        <v>1270.9187395126226</v>
      </c>
      <c r="BL91" s="799">
        <f>IF(BL$69=$F91+1,IF(Monthly!BH$4=TRUE,0,Monthly!BH$17),IF(BL$69&gt;$F91+1,BK91*(1-IF(BL$69-$F91&lt;=12,SUMIFS('Attrition Modeling'!$D:$D,'Attrition Modeling'!$B:$B,$E91,'Attrition Modeling'!$C:$C,BL$68),VLOOKUP(BL$69-$F91-1,$A$7:$C$161,2,FALSE)*VLOOKUP(BL$1,'Attrition Modeling'!$L$15:$N$27,IF(BL$2-$F24&lt;=24,2,3),FALSE))*(1+Projection!BN$16)*(1+IF(BL156&gt;0,'Attrition Modeling'!$N$9,0))),0))</f>
        <v>1226.904417482091</v>
      </c>
      <c r="BM91" s="799">
        <f>IF(BM$69=$F91+1,IF(Monthly!BI$4=TRUE,0,Monthly!BI$17),IF(BM$69&gt;$F91+1,BL91*(1-IF(BM$69-$F91&lt;=12,SUMIFS('Attrition Modeling'!$D:$D,'Attrition Modeling'!$B:$B,$E91,'Attrition Modeling'!$C:$C,BM$68),VLOOKUP(BM$69-$F91-1,$A$7:$C$161,2,FALSE)*VLOOKUP(BM$1,'Attrition Modeling'!$L$15:$N$27,IF(BM$2-$F24&lt;=24,2,3),FALSE))*(1+Projection!BO$16)*(1+IF(BM156&gt;0,'Attrition Modeling'!$N$9,0))),0))</f>
        <v>1186.321647431261</v>
      </c>
      <c r="BN91" s="799">
        <f>IF(BN$69=$F91+1,IF(Monthly!BJ$4=TRUE,0,Monthly!BJ$17),IF(BN$69&gt;$F91+1,BM91*(1-IF(BN$69-$F91&lt;=12,SUMIFS('Attrition Modeling'!$D:$D,'Attrition Modeling'!$B:$B,$E91,'Attrition Modeling'!$C:$C,BN$68),VLOOKUP(BN$69-$F91-1,$A$7:$C$161,2,FALSE)*VLOOKUP(BN$1,'Attrition Modeling'!$L$15:$N$27,IF(BN$2-$F24&lt;=24,2,3),FALSE))*(1+Projection!BP$16)*(1+IF(BN156&gt;0,'Attrition Modeling'!$N$9,0))),0))</f>
        <v>1148.376416848695</v>
      </c>
      <c r="BO91" s="799">
        <f>IF(BO$69=$F91+1,IF(Monthly!BK$4=TRUE,0,Monthly!BK$17),IF(BO$69&gt;$F91+1,BN91*(1-IF(BO$69-$F91&lt;=12,SUMIFS('Attrition Modeling'!$D:$D,'Attrition Modeling'!$B:$B,$E91,'Attrition Modeling'!$C:$C,BO$68),VLOOKUP(BO$69-$F91-1,$A$7:$C$161,2,FALSE)*VLOOKUP(BO$1,'Attrition Modeling'!$L$15:$N$27,IF(BO$2-$F24&lt;=24,2,3),FALSE))*(1+Projection!BV$16)*(1+IF(BO156&gt;0,'Attrition Modeling'!$N$9,0))),0))</f>
        <v>1118.4237721767336</v>
      </c>
      <c r="BP91" s="799">
        <f>IF(BP$69=$F91+1,IF(Monthly!BL$4=TRUE,0,Monthly!BL$17),IF(BP$69&gt;$F91+1,BO91*(1-IF(BP$69-$F91&lt;=12,SUMIFS('Attrition Modeling'!$D:$D,'Attrition Modeling'!$B:$B,$E91,'Attrition Modeling'!$C:$C,BP$68),VLOOKUP(BP$69-$F91-1,$A$7:$C$161,2,FALSE)*VLOOKUP(BP$1,'Attrition Modeling'!$L$15:$N$27,IF(BP$2-$F24&lt;=24,2,3),FALSE))*(1+Projection!BW$16)*(1+IF(BP156&gt;0,'Attrition Modeling'!$N$9,0))),0))</f>
        <v>1086.4603511547375</v>
      </c>
      <c r="BQ91" s="799">
        <f>IF(BQ$69=$F91+1,IF(Monthly!BM$4=TRUE,0,Monthly!BM$17),IF(BQ$69&gt;$F91+1,BP91*(1-IF(BQ$69-$F91&lt;=12,SUMIFS('Attrition Modeling'!$D:$D,'Attrition Modeling'!$B:$B,$E91,'Attrition Modeling'!$C:$C,BQ$68),VLOOKUP(BQ$69-$F91-1,$A$7:$C$161,2,FALSE)*VLOOKUP(BQ$1,'Attrition Modeling'!$L$15:$N$27,IF(BQ$2-$F24&lt;=24,2,3),FALSE))*(1+Projection!BX$16)*(1+IF(BQ156&gt;0,'Attrition Modeling'!$N$9,0))),0))</f>
        <v>1056.6891705320922</v>
      </c>
      <c r="BR91" s="799">
        <f>IF(BR$69=$F91+1,IF(Monthly!BN$4=TRUE,0,Monthly!BN$17),IF(BR$69&gt;$F91+1,BQ91*(1-IF(BR$69-$F91&lt;=12,SUMIFS('Attrition Modeling'!$D:$D,'Attrition Modeling'!$B:$B,$E91,'Attrition Modeling'!$C:$C,BR$68),VLOOKUP(BR$69-$F91-1,$A$7:$C$161,2,FALSE)*VLOOKUP(BR$1,'Attrition Modeling'!$L$15:$N$27,IF(BR$2-$F24&lt;=24,2,3),FALSE))*(1+Projection!BY$16)*(1+IF(BR156&gt;0,'Attrition Modeling'!$N$9,0))),0))</f>
        <v>1023.735301567677</v>
      </c>
      <c r="BS91" s="799">
        <f>IF(BS$69=$F91+1,IF(Monthly!BO$4=TRUE,0,Monthly!BO$17),IF(BS$69&gt;$F91+1,BR91*(1-IF(BS$69-$F91&lt;=12,SUMIFS('Attrition Modeling'!$D:$D,'Attrition Modeling'!$B:$B,$E91,'Attrition Modeling'!$C:$C,BS$68),VLOOKUP(BS$69-$F91-1,$A$7:$C$161,2,FALSE)*VLOOKUP(BS$1,'Attrition Modeling'!$L$15:$N$27,IF(BS$2-$F24&lt;=24,2,3),FALSE))*(1+Projection!BZ$16)*(1+IF(BS156&gt;0,'Attrition Modeling'!$N$9,0))),0))</f>
        <v>1002.7851326012108</v>
      </c>
      <c r="BT91" s="799">
        <f>IF(BT$69=$F91+1,IF(Monthly!#REF!=TRUE,0,Monthly!#REF!),IF(BT$69&gt;$F91+1,BS91*(1-IF(BT$69-$F91&lt;=12,SUMIFS('Attrition Modeling'!$D:$D,'Attrition Modeling'!$B:$B,$E91,'Attrition Modeling'!$C:$C,BT$68),VLOOKUP(BT$69-$F91-1,$A$7:$C$161,2,FALSE)*VLOOKUP(BT$1,'Attrition Modeling'!$L$15:$N$27,IF(BT$2-$F24&lt;=24,2,3),FALSE))*(1+Projection!CA$16)*(1+IF(BT156&gt;0,'Attrition Modeling'!$N$9,0))),0))</f>
        <v>978.25040720794755</v>
      </c>
      <c r="BU91" s="799">
        <f>IF(BU$69=$F91+1,IF(Monthly!#REF!=TRUE,0,Monthly!#REF!),IF(BU$69&gt;$F91+1,BT91*(1-IF(BU$69-$F91&lt;=12,SUMIFS('Attrition Modeling'!$D:$D,'Attrition Modeling'!$B:$B,$E91,'Attrition Modeling'!$C:$C,BU$68),VLOOKUP(BU$69-$F91-1,$A$7:$C$161,2,FALSE)*VLOOKUP(BU$1,'Attrition Modeling'!$L$15:$N$27,IF(BU$2-$F24&lt;=24,2,3),FALSE))*(1+Projection!CB$16)*(1+IF(BU156&gt;0,'Attrition Modeling'!$N$9,0))),0))</f>
        <v>951.19516104382251</v>
      </c>
    </row>
    <row r="92" spans="1:73" ht="14.25" customHeight="1" x14ac:dyDescent="0.2">
      <c r="A92" s="9">
        <v>85</v>
      </c>
      <c r="B92" s="25">
        <f>MAX('Attrition Modeling'!H89,$C$3)*(1-Summary!$C$20)</f>
        <v>0.02</v>
      </c>
      <c r="C92" s="24" t="e">
        <f t="shared" si="4"/>
        <v>#DIV/0!</v>
      </c>
      <c r="E92" s="11">
        <f t="shared" si="9"/>
        <v>10</v>
      </c>
      <c r="F92" s="11">
        <f t="shared" si="10"/>
        <v>22</v>
      </c>
      <c r="G92" s="799"/>
      <c r="H92" s="799">
        <f>IF(H$69=$F92+1,IF(Monthly!D$4=TRUE,0,Monthly!D$17),IF(H$69&gt;$F92+1,G92*(1-IF(H$69-$F92&lt;=12,SUMIFS('Attrition Modeling'!$D:$D,'Attrition Modeling'!$B:$B,$E92,'Attrition Modeling'!$C:$C,H$68),VLOOKUP(H$69-$F92-1,$A$7:$C$161,2,FALSE)*VLOOKUP(H$1,'Attrition Modeling'!$L$15:$N$27,IF(H$2-$F25&lt;=24,2,3),FALSE))*(1+Projection!J$16)*(1+IF(H157&gt;0,'Attrition Modeling'!$N$9,0))),0))</f>
        <v>0</v>
      </c>
      <c r="I92" s="799">
        <f>IF(I$69=$F92+1,IF(Monthly!E$4=TRUE,0,Monthly!E$17),IF(I$69&gt;$F92+1,H92*(1-IF(I$69-$F92&lt;=12,SUMIFS('Attrition Modeling'!$D:$D,'Attrition Modeling'!$B:$B,$E92,'Attrition Modeling'!$C:$C,I$68),VLOOKUP(I$69-$F92-1,$A$7:$C$161,2,FALSE)*VLOOKUP(I$1,'Attrition Modeling'!$L$15:$N$27,IF(I$2-$F25&lt;=24,2,3),FALSE))*(1+Projection!K$16)*(1+IF(I157&gt;0,'Attrition Modeling'!$N$9,0))),0))</f>
        <v>0</v>
      </c>
      <c r="J92" s="799">
        <f>IF(J$69=$F92+1,IF(Monthly!F$4=TRUE,0,Monthly!F$17),IF(J$69&gt;$F92+1,I92*(1-IF(J$69-$F92&lt;=12,SUMIFS('Attrition Modeling'!$D:$D,'Attrition Modeling'!$B:$B,$E92,'Attrition Modeling'!$C:$C,J$68),VLOOKUP(J$69-$F92-1,$A$7:$C$161,2,FALSE)*VLOOKUP(J$1,'Attrition Modeling'!$L$15:$N$27,IF(J$2-$F25&lt;=24,2,3),FALSE))*(1+Projection!L$16)*(1+IF(J157&gt;0,'Attrition Modeling'!$N$9,0))),0))</f>
        <v>0</v>
      </c>
      <c r="K92" s="799">
        <f>IF(K$69=$F92+1,IF(Monthly!G$4=TRUE,0,Monthly!G$17),IF(K$69&gt;$F92+1,J92*(1-IF(K$69-$F92&lt;=12,SUMIFS('Attrition Modeling'!$D:$D,'Attrition Modeling'!$B:$B,$E92,'Attrition Modeling'!$C:$C,K$68),VLOOKUP(K$69-$F92-1,$A$7:$C$161,2,FALSE)*VLOOKUP(K$1,'Attrition Modeling'!$L$15:$N$27,IF(K$2-$F25&lt;=24,2,3),FALSE))*(1+Projection!M$16)*(1+IF(K157&gt;0,'Attrition Modeling'!$N$9,0))),0))</f>
        <v>0</v>
      </c>
      <c r="L92" s="799">
        <f>IF(L$69=$F92+1,IF(Monthly!H$4=TRUE,0,Monthly!H$17),IF(L$69&gt;$F92+1,K92*(1-IF(L$69-$F92&lt;=12,SUMIFS('Attrition Modeling'!$D:$D,'Attrition Modeling'!$B:$B,$E92,'Attrition Modeling'!$C:$C,L$68),VLOOKUP(L$69-$F92-1,$A$7:$C$161,2,FALSE)*VLOOKUP(L$1,'Attrition Modeling'!$L$15:$N$27,IF(L$2-$F25&lt;=24,2,3),FALSE))*(1+Projection!N$16)*(1+IF(L157&gt;0,'Attrition Modeling'!$N$9,0))),0))</f>
        <v>0</v>
      </c>
      <c r="M92" s="799">
        <f>IF(M$69=$F92+1,IF(Monthly!I$4=TRUE,0,Monthly!I$17),IF(M$69&gt;$F92+1,L92*(1-IF(M$69-$F92&lt;=12,SUMIFS('Attrition Modeling'!$D:$D,'Attrition Modeling'!$B:$B,$E92,'Attrition Modeling'!$C:$C,M$68),VLOOKUP(M$69-$F92-1,$A$7:$C$161,2,FALSE)*VLOOKUP(M$1,'Attrition Modeling'!$L$15:$N$27,IF(M$2-$F25&lt;=24,2,3),FALSE))*(1+Projection!O$16)*(1+IF(M157&gt;0,'Attrition Modeling'!$N$9,0))),0))</f>
        <v>0</v>
      </c>
      <c r="N92" s="799">
        <f>IF(N$69=$F92+1,IF(Monthly!J$4=TRUE,0,Monthly!J$17),IF(N$69&gt;$F92+1,M92*(1-IF(N$69-$F92&lt;=12,SUMIFS('Attrition Modeling'!$D:$D,'Attrition Modeling'!$B:$B,$E92,'Attrition Modeling'!$C:$C,N$68),VLOOKUP(N$69-$F92-1,$A$7:$C$161,2,FALSE)*VLOOKUP(N$1,'Attrition Modeling'!$L$15:$N$27,IF(N$2-$F25&lt;=24,2,3),FALSE))*(1+Projection!P$16)*(1+IF(N157&gt;0,'Attrition Modeling'!$N$9,0))),0))</f>
        <v>0</v>
      </c>
      <c r="O92" s="799">
        <f>IF(O$69=$F92+1,IF(Monthly!K$4=TRUE,0,Monthly!K$17),IF(O$69&gt;$F92+1,N92*(1-IF(O$69-$F92&lt;=12,SUMIFS('Attrition Modeling'!$D:$D,'Attrition Modeling'!$B:$B,$E92,'Attrition Modeling'!$C:$C,O$68),VLOOKUP(O$69-$F92-1,$A$7:$C$161,2,FALSE)*VLOOKUP(O$1,'Attrition Modeling'!$L$15:$N$27,IF(O$2-$F25&lt;=24,2,3),FALSE))*(1+Projection!Q$16)*(1+IF(O157&gt;0,'Attrition Modeling'!$N$9,0))),0))</f>
        <v>0</v>
      </c>
      <c r="P92" s="799">
        <f>IF(P$69=$F92+1,IF(Monthly!L$4=TRUE,0,Monthly!L$17),IF(P$69&gt;$F92+1,O92*(1-IF(P$69-$F92&lt;=12,SUMIFS('Attrition Modeling'!$D:$D,'Attrition Modeling'!$B:$B,$E92,'Attrition Modeling'!$C:$C,P$68),VLOOKUP(P$69-$F92-1,$A$7:$C$161,2,FALSE)*VLOOKUP(P$1,'Attrition Modeling'!$L$15:$N$27,IF(P$2-$F25&lt;=24,2,3),FALSE))*(1+Projection!R$16)*(1+IF(P157&gt;0,'Attrition Modeling'!$N$9,0))),0))</f>
        <v>0</v>
      </c>
      <c r="Q92" s="799">
        <f>IF(Q$69=$F92+1,IF(Monthly!M$4=TRUE,0,Monthly!M$17),IF(Q$69&gt;$F92+1,P92*(1-IF(Q$69-$F92&lt;=12,SUMIFS('Attrition Modeling'!$D:$D,'Attrition Modeling'!$B:$B,$E92,'Attrition Modeling'!$C:$C,Q$68),VLOOKUP(Q$69-$F92-1,$A$7:$C$161,2,FALSE)*VLOOKUP(Q$1,'Attrition Modeling'!$L$15:$N$27,IF(Q$2-$F25&lt;=24,2,3),FALSE))*(1+Projection!S$16)*(1+IF(Q157&gt;0,'Attrition Modeling'!$N$9,0))),0))</f>
        <v>0</v>
      </c>
      <c r="R92" s="799">
        <f>IF(R$69=$F92+1,IF(Monthly!N$4=TRUE,0,Monthly!N$17),IF(R$69&gt;$F92+1,Q92*(1-IF(R$69-$F92&lt;=12,SUMIFS('Attrition Modeling'!$D:$D,'Attrition Modeling'!$B:$B,$E92,'Attrition Modeling'!$C:$C,R$68),VLOOKUP(R$69-$F92-1,$A$7:$C$161,2,FALSE)*VLOOKUP(R$1,'Attrition Modeling'!$L$15:$N$27,IF(R$2-$F25&lt;=24,2,3),FALSE))*(1+Projection!T$16)*(1+IF(R157&gt;0,'Attrition Modeling'!$N$9,0))),0))</f>
        <v>0</v>
      </c>
      <c r="S92" s="799">
        <f>IF(S$69=$F92+1,IF(Monthly!O$4=TRUE,0,Monthly!O$17),IF(S$69&gt;$F92+1,R92*(1-IF(S$69-$F92&lt;=12,SUMIFS('Attrition Modeling'!$D:$D,'Attrition Modeling'!$B:$B,$E92,'Attrition Modeling'!$C:$C,S$68),VLOOKUP(S$69-$F92-1,$A$7:$C$161,2,FALSE)*VLOOKUP(S$1,'Attrition Modeling'!$L$15:$N$27,IF(S$2-$F25&lt;=24,2,3),FALSE))*(1+Projection!U$16)*(1+IF(S157&gt;0,'Attrition Modeling'!$N$9,0))),0))</f>
        <v>0</v>
      </c>
      <c r="T92" s="799">
        <f>IF(T$69=$F92+1,IF(Monthly!P$4=TRUE,0,Monthly!P$17),IF(T$69&gt;$F92+1,S92*(1-IF(T$69-$F92&lt;=12,SUMIFS('Attrition Modeling'!$D:$D,'Attrition Modeling'!$B:$B,$E92,'Attrition Modeling'!$C:$C,T$68),VLOOKUP(T$69-$F92-1,$A$7:$C$161,2,FALSE)*VLOOKUP(T$1,'Attrition Modeling'!$L$15:$N$27,IF(T$2-$F25&lt;=24,2,3),FALSE))*(1+Projection!V$16)*(1+IF(T157&gt;0,'Attrition Modeling'!$N$9,0))),0))</f>
        <v>0</v>
      </c>
      <c r="U92" s="799">
        <f>IF(U$69=$F92+1,IF(Monthly!Q$4=TRUE,0,Monthly!Q$17),IF(U$69&gt;$F92+1,T92*(1-IF(U$69-$F92&lt;=12,SUMIFS('Attrition Modeling'!$D:$D,'Attrition Modeling'!$B:$B,$E92,'Attrition Modeling'!$C:$C,U$68),VLOOKUP(U$69-$F92-1,$A$7:$C$161,2,FALSE)*VLOOKUP(U$1,'Attrition Modeling'!$L$15:$N$27,IF(U$2-$F25&lt;=24,2,3),FALSE))*(1+Projection!W$16)*(1+IF(U157&gt;0,'Attrition Modeling'!$N$9,0))),0))</f>
        <v>0</v>
      </c>
      <c r="V92" s="799">
        <f>IF(V$69=$F92+1,IF(Monthly!R$4=TRUE,0,Monthly!R$17),IF(V$69&gt;$F92+1,U92*(1-IF(V$69-$F92&lt;=12,SUMIFS('Attrition Modeling'!$D:$D,'Attrition Modeling'!$B:$B,$E92,'Attrition Modeling'!$C:$C,V$68),VLOOKUP(V$69-$F92-1,$A$7:$C$161,2,FALSE)*VLOOKUP(V$1,'Attrition Modeling'!$L$15:$N$27,IF(V$2-$F25&lt;=24,2,3),FALSE))*(1+Projection!X$16)*(1+IF(V157&gt;0,'Attrition Modeling'!$N$9,0))),0))</f>
        <v>0</v>
      </c>
      <c r="W92" s="799">
        <f>IF(W$69=$F92+1,IF(Monthly!S$4=TRUE,0,Monthly!S$17),IF(W$69&gt;$F92+1,V92*(1-IF(W$69-$F92&lt;=12,SUMIFS('Attrition Modeling'!$D:$D,'Attrition Modeling'!$B:$B,$E92,'Attrition Modeling'!$C:$C,W$68),VLOOKUP(W$69-$F92-1,$A$7:$C$161,2,FALSE)*VLOOKUP(W$1,'Attrition Modeling'!$L$15:$N$27,IF(W$2-$F25&lt;=24,2,3),FALSE))*(1+Projection!Y$16)*(1+IF(W157&gt;0,'Attrition Modeling'!$N$9,0))),0))</f>
        <v>0</v>
      </c>
      <c r="X92" s="799">
        <f>IF(X$69=$F92+1,IF(Monthly!T$4=TRUE,0,Monthly!T$17),IF(X$69&gt;$F92+1,W92*(1-IF(X$69-$F92&lt;=12,SUMIFS('Attrition Modeling'!$D:$D,'Attrition Modeling'!$B:$B,$E92,'Attrition Modeling'!$C:$C,X$68),VLOOKUP(X$69-$F92-1,$A$7:$C$161,2,FALSE)*VLOOKUP(X$1,'Attrition Modeling'!$L$15:$N$27,IF(X$2-$F25&lt;=24,2,3),FALSE))*(1+Projection!Z$16)*(1+IF(X157&gt;0,'Attrition Modeling'!$N$9,0))),0))</f>
        <v>0</v>
      </c>
      <c r="Y92" s="799">
        <f>IF(Y$69=$F92+1,IF(Monthly!U$4=TRUE,0,Monthly!U$17),IF(Y$69&gt;$F92+1,X92*(1-IF(Y$69-$F92&lt;=12,SUMIFS('Attrition Modeling'!$D:$D,'Attrition Modeling'!$B:$B,$E92,'Attrition Modeling'!$C:$C,Y$68),VLOOKUP(Y$69-$F92-1,$A$7:$C$161,2,FALSE)*VLOOKUP(Y$1,'Attrition Modeling'!$L$15:$N$27,IF(Y$2-$F25&lt;=24,2,3),FALSE))*(1+Projection!AA$16)*(1+IF(Y157&gt;0,'Attrition Modeling'!$N$9,0))),0))</f>
        <v>0</v>
      </c>
      <c r="Z92" s="799">
        <f>IF(Z$69=$F92+1,IF(Monthly!V$4=TRUE,0,Monthly!V$17),IF(Z$69&gt;$F92+1,Y92*(1-IF(Z$69-$F92&lt;=12,SUMIFS('Attrition Modeling'!$D:$D,'Attrition Modeling'!$B:$B,$E92,'Attrition Modeling'!$C:$C,Z$68),VLOOKUP(Z$69-$F92-1,$A$7:$C$161,2,FALSE)*VLOOKUP(Z$1,'Attrition Modeling'!$L$15:$N$27,IF(Z$2-$F25&lt;=24,2,3),FALSE))*(1+Projection!AB$16)*(1+IF(Z157&gt;0,'Attrition Modeling'!$N$9,0))),0))</f>
        <v>0</v>
      </c>
      <c r="AA92" s="799">
        <f>IF(AA$69=$F92+1,IF(Monthly!W$4=TRUE,0,Monthly!W$17),IF(AA$69&gt;$F92+1,Z92*(1-IF(AA$69-$F92&lt;=12,SUMIFS('Attrition Modeling'!$D:$D,'Attrition Modeling'!$B:$B,$E92,'Attrition Modeling'!$C:$C,AA$68),VLOOKUP(AA$69-$F92-1,$A$7:$C$161,2,FALSE)*VLOOKUP(AA$1,'Attrition Modeling'!$L$15:$N$27,IF(AA$2-$F25&lt;=24,2,3),FALSE))*(1+Projection!AC$16)*(1+IF(AA157&gt;0,'Attrition Modeling'!$N$9,0))),0))</f>
        <v>0</v>
      </c>
      <c r="AB92" s="799">
        <f>IF(AB$69=$F92+1,IF(Monthly!X$4=TRUE,0,Monthly!X$17),IF(AB$69&gt;$F92+1,AA92*(1-IF(AB$69-$F92&lt;=12,SUMIFS('Attrition Modeling'!$D:$D,'Attrition Modeling'!$B:$B,$E92,'Attrition Modeling'!$C:$C,AB$68),VLOOKUP(AB$69-$F92-1,$A$7:$C$161,2,FALSE)*VLOOKUP(AB$1,'Attrition Modeling'!$L$15:$N$27,IF(AB$2-$F25&lt;=24,2,3),FALSE))*(1+Projection!AD$16)*(1+IF(AB157&gt;0,'Attrition Modeling'!$N$9,0))),0))</f>
        <v>0</v>
      </c>
      <c r="AC92" s="799">
        <f>IF(AC$69=$F92+1,IF(Monthly!Y$4=TRUE,0,Monthly!Y$17),IF(AC$69&gt;$F92+1,AB92*(1-IF(AC$69-$F92&lt;=12,SUMIFS('Attrition Modeling'!$D:$D,'Attrition Modeling'!$B:$B,$E92,'Attrition Modeling'!$C:$C,AC$68),VLOOKUP(AC$69-$F92-1,$A$7:$C$161,2,FALSE)*VLOOKUP(AC$1,'Attrition Modeling'!$L$15:$N$27,IF(AC$2-$F25&lt;=24,2,3),FALSE))*(1+Projection!AE$16)*(1+IF(AC157&gt;0,'Attrition Modeling'!$N$9,0))),0))</f>
        <v>0</v>
      </c>
      <c r="AD92" s="799">
        <f>IF(AD$69=$F92+1,IF(Monthly!Z$4=TRUE,0,Monthly!Z$17),IF(AD$69&gt;$F92+1,AC92*(1-IF(AD$69-$F92&lt;=12,SUMIFS('Attrition Modeling'!$D:$D,'Attrition Modeling'!$B:$B,$E92,'Attrition Modeling'!$C:$C,AD$68),VLOOKUP(AD$69-$F92-1,$A$7:$C$161,2,FALSE)*VLOOKUP(AD$1,'Attrition Modeling'!$L$15:$N$27,IF(AD$2-$F25&lt;=24,2,3),FALSE))*(1+Projection!AF$16)*(1+IF(AD157&gt;0,'Attrition Modeling'!$N$9,0))),0))</f>
        <v>7401.918928222789</v>
      </c>
      <c r="AE92" s="799">
        <f>IF(AE$69=$F92+1,IF(Monthly!AA$4=TRUE,0,Monthly!AA$17),IF(AE$69&gt;$F92+1,AD92*(1-IF(AE$69-$F92&lt;=12,SUMIFS('Attrition Modeling'!$D:$D,'Attrition Modeling'!$B:$B,$E92,'Attrition Modeling'!$C:$C,AE$68),VLOOKUP(AE$69-$F92-1,$A$7:$C$161,2,FALSE)*VLOOKUP(AE$1,'Attrition Modeling'!$L$15:$N$27,IF(AE$2-$F25&lt;=24,2,3),FALSE))*(1+Projection!AG$16)*(1+IF(AE157&gt;0,'Attrition Modeling'!$N$9,0))),0))</f>
        <v>6651.5530978336674</v>
      </c>
      <c r="AF92" s="799">
        <f>IF(AF$69=$F92+1,IF(Monthly!AB$4=TRUE,0,Monthly!AB$17),IF(AF$69&gt;$F92+1,AE92*(1-IF(AF$69-$F92&lt;=12,SUMIFS('Attrition Modeling'!$D:$D,'Attrition Modeling'!$B:$B,$E92,'Attrition Modeling'!$C:$C,AF$68),VLOOKUP(AF$69-$F92-1,$A$7:$C$161,2,FALSE)*VLOOKUP(AF$1,'Attrition Modeling'!$L$15:$N$27,IF(AF$2-$F25&lt;=24,2,3),FALSE))*(1+Projection!AH$16)*(1+IF(AF157&gt;0,'Attrition Modeling'!$N$9,0))),0))</f>
        <v>6125.2850769008992</v>
      </c>
      <c r="AG92" s="799">
        <f>IF(AG$69=$F92+1,IF(Monthly!AC$4=TRUE,0,Monthly!AC$17),IF(AG$69&gt;$F92+1,AF92*(1-IF(AG$69-$F92&lt;=12,SUMIFS('Attrition Modeling'!$D:$D,'Attrition Modeling'!$B:$B,$E92,'Attrition Modeling'!$C:$C,AG$68),VLOOKUP(AG$69-$F92-1,$A$7:$C$161,2,FALSE)*VLOOKUP(AG$1,'Attrition Modeling'!$L$15:$N$27,IF(AG$2-$F25&lt;=24,2,3),FALSE))*(1+Projection!AI$16)*(1+IF(AG157&gt;0,'Attrition Modeling'!$N$9,0))),0))</f>
        <v>5632.7924333001192</v>
      </c>
      <c r="AH92" s="799">
        <f>IF(AH$69=$F92+1,IF(Monthly!AD$4=TRUE,0,Monthly!AD$17),IF(AH$69&gt;$F92+1,AG92*(1-IF(AH$69-$F92&lt;=12,SUMIFS('Attrition Modeling'!$D:$D,'Attrition Modeling'!$B:$B,$E92,'Attrition Modeling'!$C:$C,AH$68),VLOOKUP(AH$69-$F92-1,$A$7:$C$161,2,FALSE)*VLOOKUP(AH$1,'Attrition Modeling'!$L$15:$N$27,IF(AH$2-$F25&lt;=24,2,3),FALSE))*(1+Projection!AJ$16)*(1+IF(AH157&gt;0,'Attrition Modeling'!$N$9,0))),0))</f>
        <v>5163.2283234557435</v>
      </c>
      <c r="AI92" s="799">
        <f>IF(AI$69=$F92+1,IF(Monthly!AE$4=TRUE,0,Monthly!AE$17),IF(AI$69&gt;$F92+1,AH92*(1-IF(AI$69-$F92&lt;=12,SUMIFS('Attrition Modeling'!$D:$D,'Attrition Modeling'!$B:$B,$E92,'Attrition Modeling'!$C:$C,AI$68),VLOOKUP(AI$69-$F92-1,$A$7:$C$161,2,FALSE)*VLOOKUP(AI$1,'Attrition Modeling'!$L$15:$N$27,IF(AI$2-$F25&lt;=24,2,3),FALSE))*(1+Projection!AK$16)*(1+IF(AI157&gt;0,'Attrition Modeling'!$N$9,0))),0))</f>
        <v>4606.7090977188409</v>
      </c>
      <c r="AJ92" s="799">
        <f>IF(AJ$69=$F92+1,IF(Monthly!AF$4=TRUE,0,Monthly!AF$17),IF(AJ$69&gt;$F92+1,AI92*(1-IF(AJ$69-$F92&lt;=12,SUMIFS('Attrition Modeling'!$D:$D,'Attrition Modeling'!$B:$B,$E92,'Attrition Modeling'!$C:$C,AJ$68),VLOOKUP(AJ$69-$F92-1,$A$7:$C$161,2,FALSE)*VLOOKUP(AJ$1,'Attrition Modeling'!$L$15:$N$27,IF(AJ$2-$F25&lt;=24,2,3),FALSE))*(1+Projection!AL$16)*(1+IF(AJ157&gt;0,'Attrition Modeling'!$N$9,0))),0))</f>
        <v>4249.5510335068811</v>
      </c>
      <c r="AK92" s="799">
        <f>IF(AK$69=$F92+1,IF(Monthly!AG$4=TRUE,0,Monthly!AG$17),IF(AK$69&gt;$F92+1,AJ92*(1-IF(AK$69-$F92&lt;=12,SUMIFS('Attrition Modeling'!$D:$D,'Attrition Modeling'!$B:$B,$E92,'Attrition Modeling'!$C:$C,AK$68),VLOOKUP(AK$69-$F92-1,$A$7:$C$161,2,FALSE)*VLOOKUP(AK$1,'Attrition Modeling'!$L$15:$N$27,IF(AK$2-$F25&lt;=24,2,3),FALSE))*(1+Projection!AM$16)*(1+IF(AK157&gt;0,'Attrition Modeling'!$N$9,0))),0))</f>
        <v>3960.4593461406894</v>
      </c>
      <c r="AL92" s="799">
        <f>IF(AL$69=$F92+1,IF(Monthly!AH$4=TRUE,0,Monthly!AH$17),IF(AL$69&gt;$F92+1,AK92*(1-IF(AL$69-$F92&lt;=12,SUMIFS('Attrition Modeling'!$D:$D,'Attrition Modeling'!$B:$B,$E92,'Attrition Modeling'!$C:$C,AL$68),VLOOKUP(AL$69-$F92-1,$A$7:$C$161,2,FALSE)*VLOOKUP(AL$1,'Attrition Modeling'!$L$15:$N$27,IF(AL$2-$F25&lt;=24,2,3),FALSE))*(1+Projection!AN$16)*(1+IF(AL157&gt;0,'Attrition Modeling'!$N$9,0))),0))</f>
        <v>3707.6227501820117</v>
      </c>
      <c r="AM92" s="799">
        <f>IF(AM$69=$F92+1,IF(Monthly!AI$4=TRUE,0,Monthly!AI$17),IF(AM$69&gt;$F92+1,AL92*(1-IF(AM$69-$F92&lt;=12,SUMIFS('Attrition Modeling'!$D:$D,'Attrition Modeling'!$B:$B,$E92,'Attrition Modeling'!$C:$C,AM$68),VLOOKUP(AM$69-$F92-1,$A$7:$C$161,2,FALSE)*VLOOKUP(AM$1,'Attrition Modeling'!$L$15:$N$27,IF(AM$2-$F25&lt;=24,2,3),FALSE))*(1+Projection!AO$16)*(1+IF(AM157&gt;0,'Attrition Modeling'!$N$9,0))),0))</f>
        <v>3463.1373973541172</v>
      </c>
      <c r="AN92" s="799">
        <f>IF(AN$69=$F92+1,IF(Monthly!AJ$4=TRUE,0,Monthly!AJ$17),IF(AN$69&gt;$F92+1,AM92*(1-IF(AN$69-$F92&lt;=12,SUMIFS('Attrition Modeling'!$D:$D,'Attrition Modeling'!$B:$B,$E92,'Attrition Modeling'!$C:$C,AN$68),VLOOKUP(AN$69-$F92-1,$A$7:$C$161,2,FALSE)*VLOOKUP(AN$1,'Attrition Modeling'!$L$15:$N$27,IF(AN$2-$F25&lt;=24,2,3),FALSE))*(1+Projection!AP$16)*(1+IF(AN157&gt;0,'Attrition Modeling'!$N$9,0))),0))</f>
        <v>3239.9022100970856</v>
      </c>
      <c r="AO92" s="799">
        <f>IF(AO$69=$F92+1,IF(Monthly!AK$4=TRUE,0,Monthly!AK$17),IF(AO$69&gt;$F92+1,AN92*(1-IF(AO$69-$F92&lt;=12,SUMIFS('Attrition Modeling'!$D:$D,'Attrition Modeling'!$B:$B,$E92,'Attrition Modeling'!$C:$C,AO$68),VLOOKUP(AO$69-$F92-1,$A$7:$C$161,2,FALSE)*VLOOKUP(AO$1,'Attrition Modeling'!$L$15:$N$27,IF(AO$2-$F25&lt;=24,2,3),FALSE))*(1+Projection!AQ$16)*(1+IF(AO157&gt;0,'Attrition Modeling'!$N$9,0))),0))</f>
        <v>3127.9562017611925</v>
      </c>
      <c r="AP92" s="799">
        <f>IF(AP$69=$F92+1,IF(Monthly!AL$4=TRUE,0,Monthly!AL$17),IF(AP$69&gt;$F92+1,AO92*(1-IF(AP$69-$F92&lt;=12,SUMIFS('Attrition Modeling'!$D:$D,'Attrition Modeling'!$B:$B,$E92,'Attrition Modeling'!$C:$C,AP$68),VLOOKUP(AP$69-$F92-1,$A$7:$C$161,2,FALSE)*VLOOKUP(AP$1,'Attrition Modeling'!$L$15:$N$27,IF(AP$2-$F25&lt;=24,2,3),FALSE))*(1+Projection!AR$16)*(1+IF(AP157&gt;0,'Attrition Modeling'!$N$9,0))),0))</f>
        <v>2957.9253294023815</v>
      </c>
      <c r="AQ92" s="799">
        <f>IF(AQ$69=$F92+1,IF(Monthly!AM$4=TRUE,0,Monthly!AM$17),IF(AQ$69&gt;$F92+1,AP92*(1-IF(AQ$69-$F92&lt;=12,SUMIFS('Attrition Modeling'!$D:$D,'Attrition Modeling'!$B:$B,$E92,'Attrition Modeling'!$C:$C,AQ$68),VLOOKUP(AQ$69-$F92-1,$A$7:$C$161,2,FALSE)*VLOOKUP(AQ$1,'Attrition Modeling'!$L$15:$N$27,IF(AQ$2-$F25&lt;=24,2,3),FALSE))*(1+Projection!AS$16)*(1+IF(AQ157&gt;0,'Attrition Modeling'!$N$9,0))),0))</f>
        <v>2811.1150894605789</v>
      </c>
      <c r="AR92" s="799">
        <f>IF(AR$69=$F92+1,IF(Monthly!AN$4=TRUE,0,Monthly!AN$17),IF(AR$69&gt;$F92+1,AQ92*(1-IF(AR$69-$F92&lt;=12,SUMIFS('Attrition Modeling'!$D:$D,'Attrition Modeling'!$B:$B,$E92,'Attrition Modeling'!$C:$C,AR$68),VLOOKUP(AR$69-$F92-1,$A$7:$C$161,2,FALSE)*VLOOKUP(AR$1,'Attrition Modeling'!$L$15:$N$27,IF(AR$2-$F25&lt;=24,2,3),FALSE))*(1+Projection!AT$16)*(1+IF(AR157&gt;0,'Attrition Modeling'!$N$9,0))),0))</f>
        <v>2678.3034523812521</v>
      </c>
      <c r="AS92" s="799">
        <f>IF(AS$69=$F92+1,IF(Monthly!AO$4=TRUE,0,Monthly!AO$17),IF(AS$69&gt;$F92+1,AR92*(1-IF(AS$69-$F92&lt;=12,SUMIFS('Attrition Modeling'!$D:$D,'Attrition Modeling'!$B:$B,$E92,'Attrition Modeling'!$C:$C,AS$68),VLOOKUP(AS$69-$F92-1,$A$7:$C$161,2,FALSE)*VLOOKUP(AS$1,'Attrition Modeling'!$L$15:$N$27,IF(AS$2-$F25&lt;=24,2,3),FALSE))*(1+Projection!AU$16)*(1+IF(AS157&gt;0,'Attrition Modeling'!$N$9,0))),0))</f>
        <v>2568.3236420872454</v>
      </c>
      <c r="AT92" s="799">
        <f>IF(AT$69=$F92+1,IF(Monthly!AP$4=TRUE,0,Monthly!AP$17),IF(AT$69&gt;$F92+1,AS92*(1-IF(AT$69-$F92&lt;=12,SUMIFS('Attrition Modeling'!$D:$D,'Attrition Modeling'!$B:$B,$E92,'Attrition Modeling'!$C:$C,AT$68),VLOOKUP(AT$69-$F92-1,$A$7:$C$161,2,FALSE)*VLOOKUP(AT$1,'Attrition Modeling'!$L$15:$N$27,IF(AT$2-$F25&lt;=24,2,3),FALSE))*(1+Projection!AV$16)*(1+IF(AT157&gt;0,'Attrition Modeling'!$N$9,0))),0))</f>
        <v>2456.8962581804331</v>
      </c>
      <c r="AU92" s="799">
        <f>IF(AU$69=$F92+1,IF(Monthly!AQ$4=TRUE,0,Monthly!AQ$17),IF(AU$69&gt;$F92+1,AT92*(1-IF(AU$69-$F92&lt;=12,SUMIFS('Attrition Modeling'!$D:$D,'Attrition Modeling'!$B:$B,$E92,'Attrition Modeling'!$C:$C,AU$68),VLOOKUP(AU$69-$F92-1,$A$7:$C$161,2,FALSE)*VLOOKUP(AU$1,'Attrition Modeling'!$L$15:$N$27,IF(AU$2-$F25&lt;=24,2,3),FALSE))*(1+Projection!AW$16)*(1+IF(AU157&gt;0,'Attrition Modeling'!$N$9,0))),0))</f>
        <v>2334.2436756607231</v>
      </c>
      <c r="AV92" s="799">
        <f>IF(AV$69=$F92+1,IF(Monthly!AR$4=TRUE,0,Monthly!AR$17),IF(AV$69&gt;$F92+1,AU92*(1-IF(AV$69-$F92&lt;=12,SUMIFS('Attrition Modeling'!$D:$D,'Attrition Modeling'!$B:$B,$E92,'Attrition Modeling'!$C:$C,AV$68),VLOOKUP(AV$69-$F92-1,$A$7:$C$161,2,FALSE)*VLOOKUP(AV$1,'Attrition Modeling'!$L$15:$N$27,IF(AV$2-$F25&lt;=24,2,3),FALSE))*(1+Projection!AX$16)*(1+IF(AV157&gt;0,'Attrition Modeling'!$N$9,0))),0))</f>
        <v>2239.8985872564908</v>
      </c>
      <c r="AW92" s="799">
        <f>IF(AW$69=$F92+1,IF(Monthly!AS$4=TRUE,0,Monthly!AS$17),IF(AW$69&gt;$F92+1,AV92*(1-IF(AW$69-$F92&lt;=12,SUMIFS('Attrition Modeling'!$D:$D,'Attrition Modeling'!$B:$B,$E92,'Attrition Modeling'!$C:$C,AW$68),VLOOKUP(AW$69-$F92-1,$A$7:$C$161,2,FALSE)*VLOOKUP(AW$1,'Attrition Modeling'!$L$15:$N$27,IF(AW$2-$F25&lt;=24,2,3),FALSE))*(1+Projection!AY$16)*(1+IF(AW157&gt;0,'Attrition Modeling'!$N$9,0))),0))</f>
        <v>2142.3945521866667</v>
      </c>
      <c r="AX92" s="799">
        <f>IF(AX$69=$F92+1,IF(Monthly!AT$4=TRUE,0,Monthly!AT$17),IF(AX$69&gt;$F92+1,AW92*(1-IF(AX$69-$F92&lt;=12,SUMIFS('Attrition Modeling'!$D:$D,'Attrition Modeling'!$B:$B,$E92,'Attrition Modeling'!$C:$C,AX$68),VLOOKUP(AX$69-$F92-1,$A$7:$C$161,2,FALSE)*VLOOKUP(AX$1,'Attrition Modeling'!$L$15:$N$27,IF(AX$2-$F25&lt;=24,2,3),FALSE))*(1+Projection!AZ$16)*(1+IF(AX157&gt;0,'Attrition Modeling'!$N$9,0))),0))</f>
        <v>2048.5583353170678</v>
      </c>
      <c r="AY92" s="799">
        <f>IF(AY$69=$F92+1,IF(Monthly!AU$4=TRUE,0,Monthly!AU$17),IF(AY$69&gt;$F92+1,AX92*(1-IF(AY$69-$F92&lt;=12,SUMIFS('Attrition Modeling'!$D:$D,'Attrition Modeling'!$B:$B,$E92,'Attrition Modeling'!$C:$C,AY$68),VLOOKUP(AY$69-$F92-1,$A$7:$C$161,2,FALSE)*VLOOKUP(AY$1,'Attrition Modeling'!$L$15:$N$27,IF(AY$2-$F25&lt;=24,2,3),FALSE))*(1+Projection!BA$16)*(1+IF(AY157&gt;0,'Attrition Modeling'!$N$9,0))),0))</f>
        <v>1956.3204741475236</v>
      </c>
      <c r="AZ92" s="799">
        <f>IF(AZ$69=$F92+1,IF(Monthly!AV$4=TRUE,0,Monthly!AV$17),IF(AZ$69&gt;$F92+1,AY92*(1-IF(AZ$69-$F92&lt;=12,SUMIFS('Attrition Modeling'!$D:$D,'Attrition Modeling'!$B:$B,$E92,'Attrition Modeling'!$C:$C,AZ$68),VLOOKUP(AZ$69-$F92-1,$A$7:$C$161,2,FALSE)*VLOOKUP(AZ$1,'Attrition Modeling'!$L$15:$N$27,IF(AZ$2-$F25&lt;=24,2,3),FALSE))*(1+Projection!BB$16)*(1+IF(AZ157&gt;0,'Attrition Modeling'!$N$9,0))),0))</f>
        <v>1877.1461375811302</v>
      </c>
      <c r="BA92" s="799">
        <f>IF(BA$69=$F92+1,IF(Monthly!AW$4=TRUE,0,Monthly!AW$17),IF(BA$69&gt;$F92+1,AZ92*(1-IF(BA$69-$F92&lt;=12,SUMIFS('Attrition Modeling'!$D:$D,'Attrition Modeling'!$B:$B,$E92,'Attrition Modeling'!$C:$C,BA$68),VLOOKUP(BA$69-$F92-1,$A$7:$C$161,2,FALSE)*VLOOKUP(BA$1,'Attrition Modeling'!$L$15:$N$27,IF(BA$2-$F25&lt;=24,2,3),FALSE))*(1+Projection!BC$16)*(1+IF(BA157&gt;0,'Attrition Modeling'!$N$9,0))),0))</f>
        <v>1800.4468650769895</v>
      </c>
      <c r="BB92" s="799">
        <f>IF(BB$69=$F92+1,IF(Monthly!AX$4=TRUE,0,Monthly!AX$17),IF(BB$69&gt;$F92+1,BA92*(1-IF(BB$69-$F92&lt;=12,SUMIFS('Attrition Modeling'!$D:$D,'Attrition Modeling'!$B:$B,$E92,'Attrition Modeling'!$C:$C,BB$68),VLOOKUP(BB$69-$F92-1,$A$7:$C$161,2,FALSE)*VLOOKUP(BB$1,'Attrition Modeling'!$L$15:$N$27,IF(BB$2-$F25&lt;=24,2,3),FALSE))*(1+Projection!BD$16)*(1+IF(BB157&gt;0,'Attrition Modeling'!$N$9,0))),0))</f>
        <v>1730.0904481819689</v>
      </c>
      <c r="BC92" s="799">
        <f>IF(BC$69=$F92+1,IF(Monthly!AY$4=TRUE,0,Monthly!AY$17),IF(BC$69&gt;$F92+1,BB92*(1-IF(BC$69-$F92&lt;=12,SUMIFS('Attrition Modeling'!$D:$D,'Attrition Modeling'!$B:$B,$E92,'Attrition Modeling'!$C:$C,BC$68),VLOOKUP(BC$69-$F92-1,$A$7:$C$161,2,FALSE)*VLOOKUP(BC$1,'Attrition Modeling'!$L$15:$N$27,IF(BC$2-$F25&lt;=24,2,3),FALSE))*(1+Projection!BE$16)*(1+IF(BC157&gt;0,'Attrition Modeling'!$N$9,0))),0))</f>
        <v>1675.1535129881863</v>
      </c>
      <c r="BD92" s="799">
        <f>IF(BD$69=$F92+1,IF(Monthly!AZ$4=TRUE,0,Monthly!AZ$17),IF(BD$69&gt;$F92+1,BC92*(1-IF(BD$69-$F92&lt;=12,SUMIFS('Attrition Modeling'!$D:$D,'Attrition Modeling'!$B:$B,$E92,'Attrition Modeling'!$C:$C,BD$68),VLOOKUP(BD$69-$F92-1,$A$7:$C$161,2,FALSE)*VLOOKUP(BD$1,'Attrition Modeling'!$L$15:$N$27,IF(BD$2-$F25&lt;=24,2,3),FALSE))*(1+Projection!BF$16)*(1+IF(BD157&gt;0,'Attrition Modeling'!$N$9,0))),0))</f>
        <v>1617.0613936775405</v>
      </c>
      <c r="BE92" s="799">
        <f>IF(BE$69=$F92+1,IF(Monthly!BA$4=TRUE,0,Monthly!BA$17),IF(BE$69&gt;$F92+1,BD92*(1-IF(BE$69-$F92&lt;=12,SUMIFS('Attrition Modeling'!$D:$D,'Attrition Modeling'!$B:$B,$E92,'Attrition Modeling'!$C:$C,BE$68),VLOOKUP(BE$69-$F92-1,$A$7:$C$161,2,FALSE)*VLOOKUP(BE$1,'Attrition Modeling'!$L$15:$N$27,IF(BE$2-$F25&lt;=24,2,3),FALSE))*(1+Projection!BG$16)*(1+IF(BE157&gt;0,'Attrition Modeling'!$N$9,0))),0))</f>
        <v>1563.4592507119805</v>
      </c>
      <c r="BF92" s="799">
        <f>IF(BF$69=$F92+1,IF(Monthly!BB$4=TRUE,0,Monthly!BB$17),IF(BF$69&gt;$F92+1,BE92*(1-IF(BF$69-$F92&lt;=12,SUMIFS('Attrition Modeling'!$D:$D,'Attrition Modeling'!$B:$B,$E92,'Attrition Modeling'!$C:$C,BF$68),VLOOKUP(BF$69-$F92-1,$A$7:$C$161,2,FALSE)*VLOOKUP(BF$1,'Attrition Modeling'!$L$15:$N$27,IF(BF$2-$F25&lt;=24,2,3),FALSE))*(1+Projection!BH$16)*(1+IF(BF157&gt;0,'Attrition Modeling'!$N$9,0))),0))</f>
        <v>1514.4503403184337</v>
      </c>
      <c r="BG92" s="799">
        <f>IF(BG$69=$F92+1,IF(Monthly!BC$4=TRUE,0,Monthly!BC$17),IF(BG$69&gt;$F92+1,BF92*(1-IF(BG$69-$F92&lt;=12,SUMIFS('Attrition Modeling'!$D:$D,'Attrition Modeling'!$B:$B,$E92,'Attrition Modeling'!$C:$C,BG$68),VLOOKUP(BG$69-$F92-1,$A$7:$C$161,2,FALSE)*VLOOKUP(BG$1,'Attrition Modeling'!$L$15:$N$27,IF(BG$2-$F25&lt;=24,2,3),FALSE))*(1+Projection!BI$16)*(1+IF(BG157&gt;0,'Attrition Modeling'!$N$9,0))),0))</f>
        <v>1469.7143857093242</v>
      </c>
      <c r="BH92" s="799">
        <f>IF(BH$69=$F92+1,IF(Monthly!BD$4=TRUE,0,Monthly!BD$17),IF(BH$69&gt;$F92+1,BG92*(1-IF(BH$69-$F92&lt;=12,SUMIFS('Attrition Modeling'!$D:$D,'Attrition Modeling'!$B:$B,$E92,'Attrition Modeling'!$C:$C,BH$68),VLOOKUP(BH$69-$F92-1,$A$7:$C$161,2,FALSE)*VLOOKUP(BH$1,'Attrition Modeling'!$L$15:$N$27,IF(BH$2-$F25&lt;=24,2,3),FALSE))*(1+Projection!BJ$16)*(1+IF(BH157&gt;0,'Attrition Modeling'!$N$9,0))),0))</f>
        <v>1426.5720182557238</v>
      </c>
      <c r="BI92" s="799">
        <f>IF(BI$69=$F92+1,IF(Monthly!BE$4=TRUE,0,Monthly!BE$17),IF(BI$69&gt;$F92+1,BH92*(1-IF(BI$69-$F92&lt;=12,SUMIFS('Attrition Modeling'!$D:$D,'Attrition Modeling'!$B:$B,$E92,'Attrition Modeling'!$C:$C,BI$68),VLOOKUP(BI$69-$F92-1,$A$7:$C$161,2,FALSE)*VLOOKUP(BI$1,'Attrition Modeling'!$L$15:$N$27,IF(BI$2-$F25&lt;=24,2,3),FALSE))*(1+Projection!BK$16)*(1+IF(BI157&gt;0,'Attrition Modeling'!$N$9,0))),0))</f>
        <v>1379.3513643411325</v>
      </c>
      <c r="BJ92" s="799">
        <f>IF(BJ$69=$F92+1,IF(Monthly!BF$4=TRUE,0,Monthly!BF$17),IF(BJ$69&gt;$F92+1,BI92*(1-IF(BJ$69-$F92&lt;=12,SUMIFS('Attrition Modeling'!$D:$D,'Attrition Modeling'!$B:$B,$E92,'Attrition Modeling'!$C:$C,BJ$68),VLOOKUP(BJ$69-$F92-1,$A$7:$C$161,2,FALSE)*VLOOKUP(BJ$1,'Attrition Modeling'!$L$15:$N$27,IF(BJ$2-$F25&lt;=24,2,3),FALSE))*(1+Projection!BL$16)*(1+IF(BJ157&gt;0,'Attrition Modeling'!$N$9,0))),0))</f>
        <v>1330.188800614892</v>
      </c>
      <c r="BK92" s="799">
        <f>IF(BK$69=$F92+1,IF(Monthly!BG$4=TRUE,0,Monthly!BG$17),IF(BK$69&gt;$F92+1,BJ92*(1-IF(BK$69-$F92&lt;=12,SUMIFS('Attrition Modeling'!$D:$D,'Attrition Modeling'!$B:$B,$E92,'Attrition Modeling'!$C:$C,BK$68),VLOOKUP(BK$69-$F92-1,$A$7:$C$161,2,FALSE)*VLOOKUP(BK$1,'Attrition Modeling'!$L$15:$N$27,IF(BK$2-$F25&lt;=24,2,3),FALSE))*(1+Projection!BM$16)*(1+IF(BK157&gt;0,'Attrition Modeling'!$N$9,0))),0))</f>
        <v>1279.8605813434667</v>
      </c>
      <c r="BL92" s="799">
        <f>IF(BL$69=$F92+1,IF(Monthly!BH$4=TRUE,0,Monthly!BH$17),IF(BL$69&gt;$F92+1,BK92*(1-IF(BL$69-$F92&lt;=12,SUMIFS('Attrition Modeling'!$D:$D,'Attrition Modeling'!$B:$B,$E92,'Attrition Modeling'!$C:$C,BL$68),VLOOKUP(BL$69-$F92-1,$A$7:$C$161,2,FALSE)*VLOOKUP(BL$1,'Attrition Modeling'!$L$15:$N$27,IF(BL$2-$F25&lt;=24,2,3),FALSE))*(1+Projection!BN$16)*(1+IF(BL157&gt;0,'Attrition Modeling'!$N$9,0))),0))</f>
        <v>1234.896706676938</v>
      </c>
      <c r="BM92" s="799">
        <f>IF(BM$69=$F92+1,IF(Monthly!BI$4=TRUE,0,Monthly!BI$17),IF(BM$69&gt;$F92+1,BL92*(1-IF(BM$69-$F92&lt;=12,SUMIFS('Attrition Modeling'!$D:$D,'Attrition Modeling'!$B:$B,$E92,'Attrition Modeling'!$C:$C,BM$68),VLOOKUP(BM$69-$F92-1,$A$7:$C$161,2,FALSE)*VLOOKUP(BM$1,'Attrition Modeling'!$L$15:$N$27,IF(BM$2-$F25&lt;=24,2,3),FALSE))*(1+Projection!BO$16)*(1+IF(BM157&gt;0,'Attrition Modeling'!$N$9,0))),0))</f>
        <v>1193.4683450811972</v>
      </c>
      <c r="BN92" s="799">
        <f>IF(BN$69=$F92+1,IF(Monthly!BJ$4=TRUE,0,Monthly!BJ$17),IF(BN$69&gt;$F92+1,BM92*(1-IF(BN$69-$F92&lt;=12,SUMIFS('Attrition Modeling'!$D:$D,'Attrition Modeling'!$B:$B,$E92,'Attrition Modeling'!$C:$C,BN$68),VLOOKUP(BN$69-$F92-1,$A$7:$C$161,2,FALSE)*VLOOKUP(BN$1,'Attrition Modeling'!$L$15:$N$27,IF(BN$2-$F25&lt;=24,2,3),FALSE))*(1+Projection!BP$16)*(1+IF(BN157&gt;0,'Attrition Modeling'!$N$9,0))),0))</f>
        <v>1154.7588044806078</v>
      </c>
      <c r="BO92" s="799">
        <f>IF(BO$69=$F92+1,IF(Monthly!BK$4=TRUE,0,Monthly!BK$17),IF(BO$69&gt;$F92+1,BN92*(1-IF(BO$69-$F92&lt;=12,SUMIFS('Attrition Modeling'!$D:$D,'Attrition Modeling'!$B:$B,$E92,'Attrition Modeling'!$C:$C,BO$68),VLOOKUP(BO$69-$F92-1,$A$7:$C$161,2,FALSE)*VLOOKUP(BO$1,'Attrition Modeling'!$L$15:$N$27,IF(BO$2-$F25&lt;=24,2,3),FALSE))*(1+Projection!BV$16)*(1+IF(BO157&gt;0,'Attrition Modeling'!$N$9,0))),0))</f>
        <v>1124.2225845466501</v>
      </c>
      <c r="BP92" s="799">
        <f>IF(BP$69=$F92+1,IF(Monthly!BL$4=TRUE,0,Monthly!BL$17),IF(BP$69&gt;$F92+1,BO92*(1-IF(BP$69-$F92&lt;=12,SUMIFS('Attrition Modeling'!$D:$D,'Attrition Modeling'!$B:$B,$E92,'Attrition Modeling'!$C:$C,BP$68),VLOOKUP(BP$69-$F92-1,$A$7:$C$161,2,FALSE)*VLOOKUP(BP$1,'Attrition Modeling'!$L$15:$N$27,IF(BP$2-$F25&lt;=24,2,3),FALSE))*(1+Projection!BW$16)*(1+IF(BP157&gt;0,'Attrition Modeling'!$N$9,0))),0))</f>
        <v>1091.6541298185059</v>
      </c>
      <c r="BQ92" s="799">
        <f>IF(BQ$69=$F92+1,IF(Monthly!BM$4=TRUE,0,Monthly!BM$17),IF(BQ$69&gt;$F92+1,BP92*(1-IF(BQ$69-$F92&lt;=12,SUMIFS('Attrition Modeling'!$D:$D,'Attrition Modeling'!$B:$B,$E92,'Attrition Modeling'!$C:$C,BQ$68),VLOOKUP(BQ$69-$F92-1,$A$7:$C$161,2,FALSE)*VLOOKUP(BQ$1,'Attrition Modeling'!$L$15:$N$27,IF(BQ$2-$F25&lt;=24,2,3),FALSE))*(1+Projection!BX$16)*(1+IF(BQ157&gt;0,'Attrition Modeling'!$N$9,0))),0))</f>
        <v>1061.3365860481301</v>
      </c>
      <c r="BR92" s="799">
        <f>IF(BR$69=$F92+1,IF(Monthly!BN$4=TRUE,0,Monthly!BN$17),IF(BR$69&gt;$F92+1,BQ92*(1-IF(BR$69-$F92&lt;=12,SUMIFS('Attrition Modeling'!$D:$D,'Attrition Modeling'!$B:$B,$E92,'Attrition Modeling'!$C:$C,BR$68),VLOOKUP(BR$69-$F92-1,$A$7:$C$161,2,FALSE)*VLOOKUP(BR$1,'Attrition Modeling'!$L$15:$N$27,IF(BR$2-$F25&lt;=24,2,3),FALSE))*(1+Projection!BY$16)*(1+IF(BR157&gt;0,'Attrition Modeling'!$N$9,0))),0))</f>
        <v>1033.3860433368959</v>
      </c>
      <c r="BS92" s="799">
        <f>IF(BS$69=$F92+1,IF(Monthly!BO$4=TRUE,0,Monthly!BO$17),IF(BS$69&gt;$F92+1,BR92*(1-IF(BS$69-$F92&lt;=12,SUMIFS('Attrition Modeling'!$D:$D,'Attrition Modeling'!$B:$B,$E92,'Attrition Modeling'!$C:$C,BS$68),VLOOKUP(BS$69-$F92-1,$A$7:$C$161,2,FALSE)*VLOOKUP(BS$1,'Attrition Modeling'!$L$15:$N$27,IF(BS$2-$F25&lt;=24,2,3),FALSE))*(1+Projection!BZ$16)*(1+IF(BS157&gt;0,'Attrition Modeling'!$N$9,0))),0))</f>
        <v>1007.6738745886125</v>
      </c>
      <c r="BT92" s="799">
        <f>IF(BT$69=$F92+1,IF(Monthly!#REF!=TRUE,0,Monthly!#REF!),IF(BT$69&gt;$F92+1,BS92*(1-IF(BT$69-$F92&lt;=12,SUMIFS('Attrition Modeling'!$D:$D,'Attrition Modeling'!$B:$B,$E92,'Attrition Modeling'!$C:$C,BT$68),VLOOKUP(BT$69-$F92-1,$A$7:$C$161,2,FALSE)*VLOOKUP(BT$1,'Attrition Modeling'!$L$15:$N$27,IF(BT$2-$F25&lt;=24,2,3),FALSE))*(1+Projection!CA$16)*(1+IF(BT157&gt;0,'Attrition Modeling'!$N$9,0))),0))</f>
        <v>982.69761896178704</v>
      </c>
      <c r="BU92" s="799">
        <f>IF(BU$69=$F92+1,IF(Monthly!#REF!=TRUE,0,Monthly!#REF!),IF(BU$69&gt;$F92+1,BT92*(1-IF(BU$69-$F92&lt;=12,SUMIFS('Attrition Modeling'!$D:$D,'Attrition Modeling'!$B:$B,$E92,'Attrition Modeling'!$C:$C,BU$68),VLOOKUP(BU$69-$F92-1,$A$7:$C$161,2,FALSE)*VLOOKUP(BU$1,'Attrition Modeling'!$L$15:$N$27,IF(BU$2-$F25&lt;=24,2,3),FALSE))*(1+Projection!CB$16)*(1+IF(BU157&gt;0,'Attrition Modeling'!$N$9,0))),0))</f>
        <v>955.16818095156259</v>
      </c>
    </row>
    <row r="93" spans="1:73" ht="14.25" customHeight="1" x14ac:dyDescent="0.2">
      <c r="A93" s="9">
        <v>86</v>
      </c>
      <c r="B93" s="25">
        <f>MAX('Attrition Modeling'!H90,$C$3)*(1-Summary!$C$20)</f>
        <v>0.02</v>
      </c>
      <c r="C93" s="24" t="e">
        <f t="shared" si="4"/>
        <v>#DIV/0!</v>
      </c>
      <c r="E93" s="11">
        <f t="shared" si="9"/>
        <v>11</v>
      </c>
      <c r="F93" s="11">
        <f t="shared" si="10"/>
        <v>23</v>
      </c>
      <c r="G93" s="799"/>
      <c r="H93" s="799">
        <f>IF(H$69=$F93+1,IF(Monthly!D$4=TRUE,0,Monthly!D$17),IF(H$69&gt;$F93+1,G93*(1-IF(H$69-$F93&lt;=12,SUMIFS('Attrition Modeling'!$D:$D,'Attrition Modeling'!$B:$B,$E93,'Attrition Modeling'!$C:$C,H$68),VLOOKUP(H$69-$F93-1,$A$7:$C$161,2,FALSE)*VLOOKUP(H$1,'Attrition Modeling'!$L$15:$N$27,IF(H$2-$F26&lt;=24,2,3),FALSE))*(1+Projection!J$16)*(1+IF(H158&gt;0,'Attrition Modeling'!$N$9,0))),0))</f>
        <v>0</v>
      </c>
      <c r="I93" s="799">
        <f>IF(I$69=$F93+1,IF(Monthly!E$4=TRUE,0,Monthly!E$17),IF(I$69&gt;$F93+1,H93*(1-IF(I$69-$F93&lt;=12,SUMIFS('Attrition Modeling'!$D:$D,'Attrition Modeling'!$B:$B,$E93,'Attrition Modeling'!$C:$C,I$68),VLOOKUP(I$69-$F93-1,$A$7:$C$161,2,FALSE)*VLOOKUP(I$1,'Attrition Modeling'!$L$15:$N$27,IF(I$2-$F26&lt;=24,2,3),FALSE))*(1+Projection!K$16)*(1+IF(I158&gt;0,'Attrition Modeling'!$N$9,0))),0))</f>
        <v>0</v>
      </c>
      <c r="J93" s="799">
        <f>IF(J$69=$F93+1,IF(Monthly!F$4=TRUE,0,Monthly!F$17),IF(J$69&gt;$F93+1,I93*(1-IF(J$69-$F93&lt;=12,SUMIFS('Attrition Modeling'!$D:$D,'Attrition Modeling'!$B:$B,$E93,'Attrition Modeling'!$C:$C,J$68),VLOOKUP(J$69-$F93-1,$A$7:$C$161,2,FALSE)*VLOOKUP(J$1,'Attrition Modeling'!$L$15:$N$27,IF(J$2-$F26&lt;=24,2,3),FALSE))*(1+Projection!L$16)*(1+IF(J158&gt;0,'Attrition Modeling'!$N$9,0))),0))</f>
        <v>0</v>
      </c>
      <c r="K93" s="799">
        <f>IF(K$69=$F93+1,IF(Monthly!G$4=TRUE,0,Monthly!G$17),IF(K$69&gt;$F93+1,J93*(1-IF(K$69-$F93&lt;=12,SUMIFS('Attrition Modeling'!$D:$D,'Attrition Modeling'!$B:$B,$E93,'Attrition Modeling'!$C:$C,K$68),VLOOKUP(K$69-$F93-1,$A$7:$C$161,2,FALSE)*VLOOKUP(K$1,'Attrition Modeling'!$L$15:$N$27,IF(K$2-$F26&lt;=24,2,3),FALSE))*(1+Projection!M$16)*(1+IF(K158&gt;0,'Attrition Modeling'!$N$9,0))),0))</f>
        <v>0</v>
      </c>
      <c r="L93" s="799">
        <f>IF(L$69=$F93+1,IF(Monthly!H$4=TRUE,0,Monthly!H$17),IF(L$69&gt;$F93+1,K93*(1-IF(L$69-$F93&lt;=12,SUMIFS('Attrition Modeling'!$D:$D,'Attrition Modeling'!$B:$B,$E93,'Attrition Modeling'!$C:$C,L$68),VLOOKUP(L$69-$F93-1,$A$7:$C$161,2,FALSE)*VLOOKUP(L$1,'Attrition Modeling'!$L$15:$N$27,IF(L$2-$F26&lt;=24,2,3),FALSE))*(1+Projection!N$16)*(1+IF(L158&gt;0,'Attrition Modeling'!$N$9,0))),0))</f>
        <v>0</v>
      </c>
      <c r="M93" s="799">
        <f>IF(M$69=$F93+1,IF(Monthly!I$4=TRUE,0,Monthly!I$17),IF(M$69&gt;$F93+1,L93*(1-IF(M$69-$F93&lt;=12,SUMIFS('Attrition Modeling'!$D:$D,'Attrition Modeling'!$B:$B,$E93,'Attrition Modeling'!$C:$C,M$68),VLOOKUP(M$69-$F93-1,$A$7:$C$161,2,FALSE)*VLOOKUP(M$1,'Attrition Modeling'!$L$15:$N$27,IF(M$2-$F26&lt;=24,2,3),FALSE))*(1+Projection!O$16)*(1+IF(M158&gt;0,'Attrition Modeling'!$N$9,0))),0))</f>
        <v>0</v>
      </c>
      <c r="N93" s="799">
        <f>IF(N$69=$F93+1,IF(Monthly!J$4=TRUE,0,Monthly!J$17),IF(N$69&gt;$F93+1,M93*(1-IF(N$69-$F93&lt;=12,SUMIFS('Attrition Modeling'!$D:$D,'Attrition Modeling'!$B:$B,$E93,'Attrition Modeling'!$C:$C,N$68),VLOOKUP(N$69-$F93-1,$A$7:$C$161,2,FALSE)*VLOOKUP(N$1,'Attrition Modeling'!$L$15:$N$27,IF(N$2-$F26&lt;=24,2,3),FALSE))*(1+Projection!P$16)*(1+IF(N158&gt;0,'Attrition Modeling'!$N$9,0))),0))</f>
        <v>0</v>
      </c>
      <c r="O93" s="799">
        <f>IF(O$69=$F93+1,IF(Monthly!K$4=TRUE,0,Monthly!K$17),IF(O$69&gt;$F93+1,N93*(1-IF(O$69-$F93&lt;=12,SUMIFS('Attrition Modeling'!$D:$D,'Attrition Modeling'!$B:$B,$E93,'Attrition Modeling'!$C:$C,O$68),VLOOKUP(O$69-$F93-1,$A$7:$C$161,2,FALSE)*VLOOKUP(O$1,'Attrition Modeling'!$L$15:$N$27,IF(O$2-$F26&lt;=24,2,3),FALSE))*(1+Projection!Q$16)*(1+IF(O158&gt;0,'Attrition Modeling'!$N$9,0))),0))</f>
        <v>0</v>
      </c>
      <c r="P93" s="799">
        <f>IF(P$69=$F93+1,IF(Monthly!L$4=TRUE,0,Monthly!L$17),IF(P$69&gt;$F93+1,O93*(1-IF(P$69-$F93&lt;=12,SUMIFS('Attrition Modeling'!$D:$D,'Attrition Modeling'!$B:$B,$E93,'Attrition Modeling'!$C:$C,P$68),VLOOKUP(P$69-$F93-1,$A$7:$C$161,2,FALSE)*VLOOKUP(P$1,'Attrition Modeling'!$L$15:$N$27,IF(P$2-$F26&lt;=24,2,3),FALSE))*(1+Projection!R$16)*(1+IF(P158&gt;0,'Attrition Modeling'!$N$9,0))),0))</f>
        <v>0</v>
      </c>
      <c r="Q93" s="799">
        <f>IF(Q$69=$F93+1,IF(Monthly!M$4=TRUE,0,Monthly!M$17),IF(Q$69&gt;$F93+1,P93*(1-IF(Q$69-$F93&lt;=12,SUMIFS('Attrition Modeling'!$D:$D,'Attrition Modeling'!$B:$B,$E93,'Attrition Modeling'!$C:$C,Q$68),VLOOKUP(Q$69-$F93-1,$A$7:$C$161,2,FALSE)*VLOOKUP(Q$1,'Attrition Modeling'!$L$15:$N$27,IF(Q$2-$F26&lt;=24,2,3),FALSE))*(1+Projection!S$16)*(1+IF(Q158&gt;0,'Attrition Modeling'!$N$9,0))),0))</f>
        <v>0</v>
      </c>
      <c r="R93" s="799">
        <f>IF(R$69=$F93+1,IF(Monthly!N$4=TRUE,0,Monthly!N$17),IF(R$69&gt;$F93+1,Q93*(1-IF(R$69-$F93&lt;=12,SUMIFS('Attrition Modeling'!$D:$D,'Attrition Modeling'!$B:$B,$E93,'Attrition Modeling'!$C:$C,R$68),VLOOKUP(R$69-$F93-1,$A$7:$C$161,2,FALSE)*VLOOKUP(R$1,'Attrition Modeling'!$L$15:$N$27,IF(R$2-$F26&lt;=24,2,3),FALSE))*(1+Projection!T$16)*(1+IF(R158&gt;0,'Attrition Modeling'!$N$9,0))),0))</f>
        <v>0</v>
      </c>
      <c r="S93" s="799">
        <f>IF(S$69=$F93+1,IF(Monthly!O$4=TRUE,0,Monthly!O$17),IF(S$69&gt;$F93+1,R93*(1-IF(S$69-$F93&lt;=12,SUMIFS('Attrition Modeling'!$D:$D,'Attrition Modeling'!$B:$B,$E93,'Attrition Modeling'!$C:$C,S$68),VLOOKUP(S$69-$F93-1,$A$7:$C$161,2,FALSE)*VLOOKUP(S$1,'Attrition Modeling'!$L$15:$N$27,IF(S$2-$F26&lt;=24,2,3),FALSE))*(1+Projection!U$16)*(1+IF(S158&gt;0,'Attrition Modeling'!$N$9,0))),0))</f>
        <v>0</v>
      </c>
      <c r="T93" s="799">
        <f>IF(T$69=$F93+1,IF(Monthly!P$4=TRUE,0,Monthly!P$17),IF(T$69&gt;$F93+1,S93*(1-IF(T$69-$F93&lt;=12,SUMIFS('Attrition Modeling'!$D:$D,'Attrition Modeling'!$B:$B,$E93,'Attrition Modeling'!$C:$C,T$68),VLOOKUP(T$69-$F93-1,$A$7:$C$161,2,FALSE)*VLOOKUP(T$1,'Attrition Modeling'!$L$15:$N$27,IF(T$2-$F26&lt;=24,2,3),FALSE))*(1+Projection!V$16)*(1+IF(T158&gt;0,'Attrition Modeling'!$N$9,0))),0))</f>
        <v>0</v>
      </c>
      <c r="U93" s="799">
        <f>IF(U$69=$F93+1,IF(Monthly!Q$4=TRUE,0,Monthly!Q$17),IF(U$69&gt;$F93+1,T93*(1-IF(U$69-$F93&lt;=12,SUMIFS('Attrition Modeling'!$D:$D,'Attrition Modeling'!$B:$B,$E93,'Attrition Modeling'!$C:$C,U$68),VLOOKUP(U$69-$F93-1,$A$7:$C$161,2,FALSE)*VLOOKUP(U$1,'Attrition Modeling'!$L$15:$N$27,IF(U$2-$F26&lt;=24,2,3),FALSE))*(1+Projection!W$16)*(1+IF(U158&gt;0,'Attrition Modeling'!$N$9,0))),0))</f>
        <v>0</v>
      </c>
      <c r="V93" s="799">
        <f>IF(V$69=$F93+1,IF(Monthly!R$4=TRUE,0,Monthly!R$17),IF(V$69&gt;$F93+1,U93*(1-IF(V$69-$F93&lt;=12,SUMIFS('Attrition Modeling'!$D:$D,'Attrition Modeling'!$B:$B,$E93,'Attrition Modeling'!$C:$C,V$68),VLOOKUP(V$69-$F93-1,$A$7:$C$161,2,FALSE)*VLOOKUP(V$1,'Attrition Modeling'!$L$15:$N$27,IF(V$2-$F26&lt;=24,2,3),FALSE))*(1+Projection!X$16)*(1+IF(V158&gt;0,'Attrition Modeling'!$N$9,0))),0))</f>
        <v>0</v>
      </c>
      <c r="W93" s="799">
        <f>IF(W$69=$F93+1,IF(Monthly!S$4=TRUE,0,Monthly!S$17),IF(W$69&gt;$F93+1,V93*(1-IF(W$69-$F93&lt;=12,SUMIFS('Attrition Modeling'!$D:$D,'Attrition Modeling'!$B:$B,$E93,'Attrition Modeling'!$C:$C,W$68),VLOOKUP(W$69-$F93-1,$A$7:$C$161,2,FALSE)*VLOOKUP(W$1,'Attrition Modeling'!$L$15:$N$27,IF(W$2-$F26&lt;=24,2,3),FALSE))*(1+Projection!Y$16)*(1+IF(W158&gt;0,'Attrition Modeling'!$N$9,0))),0))</f>
        <v>0</v>
      </c>
      <c r="X93" s="799">
        <f>IF(X$69=$F93+1,IF(Monthly!T$4=TRUE,0,Monthly!T$17),IF(X$69&gt;$F93+1,W93*(1-IF(X$69-$F93&lt;=12,SUMIFS('Attrition Modeling'!$D:$D,'Attrition Modeling'!$B:$B,$E93,'Attrition Modeling'!$C:$C,X$68),VLOOKUP(X$69-$F93-1,$A$7:$C$161,2,FALSE)*VLOOKUP(X$1,'Attrition Modeling'!$L$15:$N$27,IF(X$2-$F26&lt;=24,2,3),FALSE))*(1+Projection!Z$16)*(1+IF(X158&gt;0,'Attrition Modeling'!$N$9,0))),0))</f>
        <v>0</v>
      </c>
      <c r="Y93" s="799">
        <f>IF(Y$69=$F93+1,IF(Monthly!U$4=TRUE,0,Monthly!U$17),IF(Y$69&gt;$F93+1,X93*(1-IF(Y$69-$F93&lt;=12,SUMIFS('Attrition Modeling'!$D:$D,'Attrition Modeling'!$B:$B,$E93,'Attrition Modeling'!$C:$C,Y$68),VLOOKUP(Y$69-$F93-1,$A$7:$C$161,2,FALSE)*VLOOKUP(Y$1,'Attrition Modeling'!$L$15:$N$27,IF(Y$2-$F26&lt;=24,2,3),FALSE))*(1+Projection!AA$16)*(1+IF(Y158&gt;0,'Attrition Modeling'!$N$9,0))),0))</f>
        <v>0</v>
      </c>
      <c r="Z93" s="799">
        <f>IF(Z$69=$F93+1,IF(Monthly!V$4=TRUE,0,Monthly!V$17),IF(Z$69&gt;$F93+1,Y93*(1-IF(Z$69-$F93&lt;=12,SUMIFS('Attrition Modeling'!$D:$D,'Attrition Modeling'!$B:$B,$E93,'Attrition Modeling'!$C:$C,Z$68),VLOOKUP(Z$69-$F93-1,$A$7:$C$161,2,FALSE)*VLOOKUP(Z$1,'Attrition Modeling'!$L$15:$N$27,IF(Z$2-$F26&lt;=24,2,3),FALSE))*(1+Projection!AB$16)*(1+IF(Z158&gt;0,'Attrition Modeling'!$N$9,0))),0))</f>
        <v>0</v>
      </c>
      <c r="AA93" s="799">
        <f>IF(AA$69=$F93+1,IF(Monthly!W$4=TRUE,0,Monthly!W$17),IF(AA$69&gt;$F93+1,Z93*(1-IF(AA$69-$F93&lt;=12,SUMIFS('Attrition Modeling'!$D:$D,'Attrition Modeling'!$B:$B,$E93,'Attrition Modeling'!$C:$C,AA$68),VLOOKUP(AA$69-$F93-1,$A$7:$C$161,2,FALSE)*VLOOKUP(AA$1,'Attrition Modeling'!$L$15:$N$27,IF(AA$2-$F26&lt;=24,2,3),FALSE))*(1+Projection!AC$16)*(1+IF(AA158&gt;0,'Attrition Modeling'!$N$9,0))),0))</f>
        <v>0</v>
      </c>
      <c r="AB93" s="799">
        <f>IF(AB$69=$F93+1,IF(Monthly!X$4=TRUE,0,Monthly!X$17),IF(AB$69&gt;$F93+1,AA93*(1-IF(AB$69-$F93&lt;=12,SUMIFS('Attrition Modeling'!$D:$D,'Attrition Modeling'!$B:$B,$E93,'Attrition Modeling'!$C:$C,AB$68),VLOOKUP(AB$69-$F93-1,$A$7:$C$161,2,FALSE)*VLOOKUP(AB$1,'Attrition Modeling'!$L$15:$N$27,IF(AB$2-$F26&lt;=24,2,3),FALSE))*(1+Projection!AD$16)*(1+IF(AB158&gt;0,'Attrition Modeling'!$N$9,0))),0))</f>
        <v>0</v>
      </c>
      <c r="AC93" s="799">
        <f>IF(AC$69=$F93+1,IF(Monthly!Y$4=TRUE,0,Monthly!Y$17),IF(AC$69&gt;$F93+1,AB93*(1-IF(AC$69-$F93&lt;=12,SUMIFS('Attrition Modeling'!$D:$D,'Attrition Modeling'!$B:$B,$E93,'Attrition Modeling'!$C:$C,AC$68),VLOOKUP(AC$69-$F93-1,$A$7:$C$161,2,FALSE)*VLOOKUP(AC$1,'Attrition Modeling'!$L$15:$N$27,IF(AC$2-$F26&lt;=24,2,3),FALSE))*(1+Projection!AE$16)*(1+IF(AC158&gt;0,'Attrition Modeling'!$N$9,0))),0))</f>
        <v>0</v>
      </c>
      <c r="AD93" s="799">
        <f>IF(AD$69=$F93+1,IF(Monthly!Z$4=TRUE,0,Monthly!Z$17),IF(AD$69&gt;$F93+1,AC93*(1-IF(AD$69-$F93&lt;=12,SUMIFS('Attrition Modeling'!$D:$D,'Attrition Modeling'!$B:$B,$E93,'Attrition Modeling'!$C:$C,AD$68),VLOOKUP(AD$69-$F93-1,$A$7:$C$161,2,FALSE)*VLOOKUP(AD$1,'Attrition Modeling'!$L$15:$N$27,IF(AD$2-$F26&lt;=24,2,3),FALSE))*(1+Projection!AF$16)*(1+IF(AD158&gt;0,'Attrition Modeling'!$N$9,0))),0))</f>
        <v>0</v>
      </c>
      <c r="AE93" s="799">
        <f>IF(AE$69=$F93+1,IF(Monthly!AA$4=TRUE,0,Monthly!AA$17),IF(AE$69&gt;$F93+1,AD93*(1-IF(AE$69-$F93&lt;=12,SUMIFS('Attrition Modeling'!$D:$D,'Attrition Modeling'!$B:$B,$E93,'Attrition Modeling'!$C:$C,AE$68),VLOOKUP(AE$69-$F93-1,$A$7:$C$161,2,FALSE)*VLOOKUP(AE$1,'Attrition Modeling'!$L$15:$N$27,IF(AE$2-$F26&lt;=24,2,3),FALSE))*(1+Projection!AG$16)*(1+IF(AE158&gt;0,'Attrition Modeling'!$N$9,0))),0))</f>
        <v>7007.2779563034201</v>
      </c>
      <c r="AF93" s="799">
        <f>IF(AF$69=$F93+1,IF(Monthly!AB$4=TRUE,0,Monthly!AB$17),IF(AF$69&gt;$F93+1,AE93*(1-IF(AF$69-$F93&lt;=12,SUMIFS('Attrition Modeling'!$D:$D,'Attrition Modeling'!$B:$B,$E93,'Attrition Modeling'!$C:$C,AF$68),VLOOKUP(AF$69-$F93-1,$A$7:$C$161,2,FALSE)*VLOOKUP(AF$1,'Attrition Modeling'!$L$15:$N$27,IF(AF$2-$F26&lt;=24,2,3),FALSE))*(1+Projection!AH$16)*(1+IF(AF158&gt;0,'Attrition Modeling'!$N$9,0))),0))</f>
        <v>6371.053555716443</v>
      </c>
      <c r="AG93" s="799">
        <f>IF(AG$69=$F93+1,IF(Monthly!AC$4=TRUE,0,Monthly!AC$17),IF(AG$69&gt;$F93+1,AF93*(1-IF(AG$69-$F93&lt;=12,SUMIFS('Attrition Modeling'!$D:$D,'Attrition Modeling'!$B:$B,$E93,'Attrition Modeling'!$C:$C,AG$68),VLOOKUP(AG$69-$F93-1,$A$7:$C$161,2,FALSE)*VLOOKUP(AG$1,'Attrition Modeling'!$L$15:$N$27,IF(AG$2-$F26&lt;=24,2,3),FALSE))*(1+Projection!AI$16)*(1+IF(AG158&gt;0,'Attrition Modeling'!$N$9,0))),0))</f>
        <v>5877.1772567626422</v>
      </c>
      <c r="AH93" s="799">
        <f>IF(AH$69=$F93+1,IF(Monthly!AD$4=TRUE,0,Monthly!AD$17),IF(AH$69&gt;$F93+1,AG93*(1-IF(AH$69-$F93&lt;=12,SUMIFS('Attrition Modeling'!$D:$D,'Attrition Modeling'!$B:$B,$E93,'Attrition Modeling'!$C:$C,AH$68),VLOOKUP(AH$69-$F93-1,$A$7:$C$161,2,FALSE)*VLOOKUP(AH$1,'Attrition Modeling'!$L$15:$N$27,IF(AH$2-$F26&lt;=24,2,3),FALSE))*(1+Projection!AJ$16)*(1+IF(AH158&gt;0,'Attrition Modeling'!$N$9,0))),0))</f>
        <v>5353.8167378317412</v>
      </c>
      <c r="AI93" s="799">
        <f>IF(AI$69=$F93+1,IF(Monthly!AE$4=TRUE,0,Monthly!AE$17),IF(AI$69&gt;$F93+1,AH93*(1-IF(AI$69-$F93&lt;=12,SUMIFS('Attrition Modeling'!$D:$D,'Attrition Modeling'!$B:$B,$E93,'Attrition Modeling'!$C:$C,AI$68),VLOOKUP(AI$69-$F93-1,$A$7:$C$161,2,FALSE)*VLOOKUP(AI$1,'Attrition Modeling'!$L$15:$N$27,IF(AI$2-$F26&lt;=24,2,3),FALSE))*(1+Projection!AK$16)*(1+IF(AI158&gt;0,'Attrition Modeling'!$N$9,0))),0))</f>
        <v>4932.4220519122282</v>
      </c>
      <c r="AJ93" s="799">
        <f>IF(AJ$69=$F93+1,IF(Monthly!AF$4=TRUE,0,Monthly!AF$17),IF(AJ$69&gt;$F93+1,AI93*(1-IF(AJ$69-$F93&lt;=12,SUMIFS('Attrition Modeling'!$D:$D,'Attrition Modeling'!$B:$B,$E93,'Attrition Modeling'!$C:$C,AJ$68),VLOOKUP(AJ$69-$F93-1,$A$7:$C$161,2,FALSE)*VLOOKUP(AJ$1,'Attrition Modeling'!$L$15:$N$27,IF(AJ$2-$F26&lt;=24,2,3),FALSE))*(1+Projection!AL$16)*(1+IF(AJ158&gt;0,'Attrition Modeling'!$N$9,0))),0))</f>
        <v>4438.2004058093125</v>
      </c>
      <c r="AK93" s="799">
        <f>IF(AK$69=$F93+1,IF(Monthly!AG$4=TRUE,0,Monthly!AG$17),IF(AK$69&gt;$F93+1,AJ93*(1-IF(AK$69-$F93&lt;=12,SUMIFS('Attrition Modeling'!$D:$D,'Attrition Modeling'!$B:$B,$E93,'Attrition Modeling'!$C:$C,AK$68),VLOOKUP(AK$69-$F93-1,$A$7:$C$161,2,FALSE)*VLOOKUP(AK$1,'Attrition Modeling'!$L$15:$N$27,IF(AK$2-$F26&lt;=24,2,3),FALSE))*(1+Projection!AM$16)*(1+IF(AK158&gt;0,'Attrition Modeling'!$N$9,0))),0))</f>
        <v>4123.7276772933246</v>
      </c>
      <c r="AL93" s="799">
        <f>IF(AL$69=$F93+1,IF(Monthly!AH$4=TRUE,0,Monthly!AH$17),IF(AL$69&gt;$F93+1,AK93*(1-IF(AL$69-$F93&lt;=12,SUMIFS('Attrition Modeling'!$D:$D,'Attrition Modeling'!$B:$B,$E93,'Attrition Modeling'!$C:$C,AL$68),VLOOKUP(AL$69-$F93-1,$A$7:$C$161,2,FALSE)*VLOOKUP(AL$1,'Attrition Modeling'!$L$15:$N$27,IF(AL$2-$F26&lt;=24,2,3),FALSE))*(1+Projection!AN$16)*(1+IF(AL158&gt;0,'Attrition Modeling'!$N$9,0))),0))</f>
        <v>3839.8304288583245</v>
      </c>
      <c r="AM93" s="799">
        <f>IF(AM$69=$F93+1,IF(Monthly!AI$4=TRUE,0,Monthly!AI$17),IF(AM$69&gt;$F93+1,AL93*(1-IF(AM$69-$F93&lt;=12,SUMIFS('Attrition Modeling'!$D:$D,'Attrition Modeling'!$B:$B,$E93,'Attrition Modeling'!$C:$C,AM$68),VLOOKUP(AM$69-$F93-1,$A$7:$C$161,2,FALSE)*VLOOKUP(AM$1,'Attrition Modeling'!$L$15:$N$27,IF(AM$2-$F26&lt;=24,2,3),FALSE))*(1+Projection!AO$16)*(1+IF(AM158&gt;0,'Attrition Modeling'!$N$9,0))),0))</f>
        <v>3578.5387613861976</v>
      </c>
      <c r="AN93" s="799">
        <f>IF(AN$69=$F93+1,IF(Monthly!AJ$4=TRUE,0,Monthly!AJ$17),IF(AN$69&gt;$F93+1,AM93*(1-IF(AN$69-$F93&lt;=12,SUMIFS('Attrition Modeling'!$D:$D,'Attrition Modeling'!$B:$B,$E93,'Attrition Modeling'!$C:$C,AN$68),VLOOKUP(AN$69-$F93-1,$A$7:$C$161,2,FALSE)*VLOOKUP(AN$1,'Attrition Modeling'!$L$15:$N$27,IF(AN$2-$F26&lt;=24,2,3),FALSE))*(1+Projection!AP$16)*(1+IF(AN158&gt;0,'Attrition Modeling'!$N$9,0))),0))</f>
        <v>3376.7166901754149</v>
      </c>
      <c r="AO93" s="799">
        <f>IF(AO$69=$F93+1,IF(Monthly!AK$4=TRUE,0,Monthly!AK$17),IF(AO$69&gt;$F93+1,AN93*(1-IF(AO$69-$F93&lt;=12,SUMIFS('Attrition Modeling'!$D:$D,'Attrition Modeling'!$B:$B,$E93,'Attrition Modeling'!$C:$C,AO$68),VLOOKUP(AO$69-$F93-1,$A$7:$C$161,2,FALSE)*VLOOKUP(AO$1,'Attrition Modeling'!$L$15:$N$27,IF(AO$2-$F26&lt;=24,2,3),FALSE))*(1+Projection!AQ$16)*(1+IF(AO158&gt;0,'Attrition Modeling'!$N$9,0))),0))</f>
        <v>3184.1090065379776</v>
      </c>
      <c r="AP93" s="799">
        <f>IF(AP$69=$F93+1,IF(Monthly!AL$4=TRUE,0,Monthly!AL$17),IF(AP$69&gt;$F93+1,AO93*(1-IF(AP$69-$F93&lt;=12,SUMIFS('Attrition Modeling'!$D:$D,'Attrition Modeling'!$B:$B,$E93,'Attrition Modeling'!$C:$C,AP$68),VLOOKUP(AP$69-$F93-1,$A$7:$C$161,2,FALSE)*VLOOKUP(AP$1,'Attrition Modeling'!$L$15:$N$27,IF(AP$2-$F26&lt;=24,2,3),FALSE))*(1+Projection!AR$16)*(1+IF(AP158&gt;0,'Attrition Modeling'!$N$9,0))),0))</f>
        <v>3098.5391655730059</v>
      </c>
      <c r="AQ93" s="799">
        <f>IF(AQ$69=$F93+1,IF(Monthly!AM$4=TRUE,0,Monthly!AM$17),IF(AQ$69&gt;$F93+1,AP93*(1-IF(AQ$69-$F93&lt;=12,SUMIFS('Attrition Modeling'!$D:$D,'Attrition Modeling'!$B:$B,$E93,'Attrition Modeling'!$C:$C,AQ$68),VLOOKUP(AQ$69-$F93-1,$A$7:$C$161,2,FALSE)*VLOOKUP(AQ$1,'Attrition Modeling'!$L$15:$N$27,IF(AQ$2-$F26&lt;=24,2,3),FALSE))*(1+Projection!AS$16)*(1+IF(AQ158&gt;0,'Attrition Modeling'!$N$9,0))),0))</f>
        <v>2931.8768787978202</v>
      </c>
      <c r="AR93" s="799">
        <f>IF(AR$69=$F93+1,IF(Monthly!AN$4=TRUE,0,Monthly!AN$17),IF(AR$69&gt;$F93+1,AQ93*(1-IF(AR$69-$F93&lt;=12,SUMIFS('Attrition Modeling'!$D:$D,'Attrition Modeling'!$B:$B,$E93,'Attrition Modeling'!$C:$C,AR$68),VLOOKUP(AR$69-$F93-1,$A$7:$C$161,2,FALSE)*VLOOKUP(AR$1,'Attrition Modeling'!$L$15:$N$27,IF(AR$2-$F26&lt;=24,2,3),FALSE))*(1+Projection!AT$16)*(1+IF(AR158&gt;0,'Attrition Modeling'!$N$9,0))),0))</f>
        <v>2786.2282196242218</v>
      </c>
      <c r="AS93" s="799">
        <f>IF(AS$69=$F93+1,IF(Monthly!AO$4=TRUE,0,Monthly!AO$17),IF(AS$69&gt;$F93+1,AR93*(1-IF(AS$69-$F93&lt;=12,SUMIFS('Attrition Modeling'!$D:$D,'Attrition Modeling'!$B:$B,$E93,'Attrition Modeling'!$C:$C,AS$68),VLOOKUP(AS$69-$F93-1,$A$7:$C$161,2,FALSE)*VLOOKUP(AS$1,'Attrition Modeling'!$L$15:$N$27,IF(AS$2-$F26&lt;=24,2,3),FALSE))*(1+Projection!AU$16)*(1+IF(AS158&gt;0,'Attrition Modeling'!$N$9,0))),0))</f>
        <v>2667.4788133950319</v>
      </c>
      <c r="AT93" s="799">
        <f>IF(AT$69=$F93+1,IF(Monthly!AP$4=TRUE,0,Monthly!AP$17),IF(AT$69&gt;$F93+1,AS93*(1-IF(AT$69-$F93&lt;=12,SUMIFS('Attrition Modeling'!$D:$D,'Attrition Modeling'!$B:$B,$E93,'Attrition Modeling'!$C:$C,AT$68),VLOOKUP(AT$69-$F93-1,$A$7:$C$161,2,FALSE)*VLOOKUP(AT$1,'Attrition Modeling'!$L$15:$N$27,IF(AT$2-$F26&lt;=24,2,3),FALSE))*(1+Projection!AV$16)*(1+IF(AT158&gt;0,'Attrition Modeling'!$N$9,0))),0))</f>
        <v>2548.2429783487078</v>
      </c>
      <c r="AU93" s="799">
        <f>IF(AU$69=$F93+1,IF(Monthly!AQ$4=TRUE,0,Monthly!AQ$17),IF(AU$69&gt;$F93+1,AT93*(1-IF(AU$69-$F93&lt;=12,SUMIFS('Attrition Modeling'!$D:$D,'Attrition Modeling'!$B:$B,$E93,'Attrition Modeling'!$C:$C,AU$68),VLOOKUP(AU$69-$F93-1,$A$7:$C$161,2,FALSE)*VLOOKUP(AU$1,'Attrition Modeling'!$L$15:$N$27,IF(AU$2-$F26&lt;=24,2,3),FALSE))*(1+Projection!AW$16)*(1+IF(AU158&gt;0,'Attrition Modeling'!$N$9,0))),0))</f>
        <v>2439.5412307229722</v>
      </c>
      <c r="AV93" s="799">
        <f>IF(AV$69=$F93+1,IF(Monthly!AR$4=TRUE,0,Monthly!AR$17),IF(AV$69&gt;$F93+1,AU93*(1-IF(AV$69-$F93&lt;=12,SUMIFS('Attrition Modeling'!$D:$D,'Attrition Modeling'!$B:$B,$E93,'Attrition Modeling'!$C:$C,AV$68),VLOOKUP(AV$69-$F93-1,$A$7:$C$161,2,FALSE)*VLOOKUP(AV$1,'Attrition Modeling'!$L$15:$N$27,IF(AV$2-$F26&lt;=24,2,3),FALSE))*(1+Projection!AX$16)*(1+IF(AV158&gt;0,'Attrition Modeling'!$N$9,0))),0))</f>
        <v>2318.62482729877</v>
      </c>
      <c r="AW93" s="799">
        <f>IF(AW$69=$F93+1,IF(Monthly!AS$4=TRUE,0,Monthly!AS$17),IF(AW$69&gt;$F93+1,AV93*(1-IF(AW$69-$F93&lt;=12,SUMIFS('Attrition Modeling'!$D:$D,'Attrition Modeling'!$B:$B,$E93,'Attrition Modeling'!$C:$C,AW$68),VLOOKUP(AW$69-$F93-1,$A$7:$C$161,2,FALSE)*VLOOKUP(AW$1,'Attrition Modeling'!$L$15:$N$27,IF(AW$2-$F26&lt;=24,2,3),FALSE))*(1+Projection!AY$16)*(1+IF(AW158&gt;0,'Attrition Modeling'!$N$9,0))),0))</f>
        <v>2215.7389838688869</v>
      </c>
      <c r="AX93" s="799">
        <f>IF(AX$69=$F93+1,IF(Monthly!AT$4=TRUE,0,Monthly!AT$17),IF(AX$69&gt;$F93+1,AW93*(1-IF(AX$69-$F93&lt;=12,SUMIFS('Attrition Modeling'!$D:$D,'Attrition Modeling'!$B:$B,$E93,'Attrition Modeling'!$C:$C,AX$68),VLOOKUP(AX$69-$F93-1,$A$7:$C$161,2,FALSE)*VLOOKUP(AX$1,'Attrition Modeling'!$L$15:$N$27,IF(AX$2-$F26&lt;=24,2,3),FALSE))*(1+Projection!AZ$16)*(1+IF(AX158&gt;0,'Attrition Modeling'!$N$9,0))),0))</f>
        <v>2117.0035466251366</v>
      </c>
      <c r="AY93" s="799">
        <f>IF(AY$69=$F93+1,IF(Monthly!AU$4=TRUE,0,Monthly!AU$17),IF(AY$69&gt;$F93+1,AX93*(1-IF(AY$69-$F93&lt;=12,SUMIFS('Attrition Modeling'!$D:$D,'Attrition Modeling'!$B:$B,$E93,'Attrition Modeling'!$C:$C,AY$68),VLOOKUP(AY$69-$F93-1,$A$7:$C$161,2,FALSE)*VLOOKUP(AY$1,'Attrition Modeling'!$L$15:$N$27,IF(AY$2-$F26&lt;=24,2,3),FALSE))*(1+Projection!BA$16)*(1+IF(AY158&gt;0,'Attrition Modeling'!$N$9,0))),0))</f>
        <v>2020.1785104797436</v>
      </c>
      <c r="AZ93" s="799">
        <f>IF(AZ$69=$F93+1,IF(Monthly!AV$4=TRUE,0,Monthly!AV$17),IF(AZ$69&gt;$F93+1,AY93*(1-IF(AZ$69-$F93&lt;=12,SUMIFS('Attrition Modeling'!$D:$D,'Attrition Modeling'!$B:$B,$E93,'Attrition Modeling'!$C:$C,AZ$68),VLOOKUP(AZ$69-$F93-1,$A$7:$C$161,2,FALSE)*VLOOKUP(AZ$1,'Attrition Modeling'!$L$15:$N$27,IF(AZ$2-$F26&lt;=24,2,3),FALSE))*(1+Projection!BB$16)*(1+IF(AZ158&gt;0,'Attrition Modeling'!$N$9,0))),0))</f>
        <v>1937.2348003653192</v>
      </c>
      <c r="BA93" s="799">
        <f>IF(BA$69=$F93+1,IF(Monthly!AW$4=TRUE,0,Monthly!AW$17),IF(BA$69&gt;$F93+1,AZ93*(1-IF(BA$69-$F93&lt;=12,SUMIFS('Attrition Modeling'!$D:$D,'Attrition Modeling'!$B:$B,$E93,'Attrition Modeling'!$C:$C,BA$68),VLOOKUP(BA$69-$F93-1,$A$7:$C$161,2,FALSE)*VLOOKUP(BA$1,'Attrition Modeling'!$L$15:$N$27,IF(BA$2-$F26&lt;=24,2,3),FALSE))*(1+Projection!BC$16)*(1+IF(BA158&gt;0,'Attrition Modeling'!$N$9,0))),0))</f>
        <v>1857.0189546829035</v>
      </c>
      <c r="BB93" s="799">
        <f>IF(BB$69=$F93+1,IF(Monthly!AX$4=TRUE,0,Monthly!AX$17),IF(BB$69&gt;$F93+1,BA93*(1-IF(BB$69-$F93&lt;=12,SUMIFS('Attrition Modeling'!$D:$D,'Attrition Modeling'!$B:$B,$E93,'Attrition Modeling'!$C:$C,BB$68),VLOOKUP(BB$69-$F93-1,$A$7:$C$161,2,FALSE)*VLOOKUP(BB$1,'Attrition Modeling'!$L$15:$N$27,IF(BB$2-$F26&lt;=24,2,3),FALSE))*(1+Projection!BD$16)*(1+IF(BB158&gt;0,'Attrition Modeling'!$N$9,0))),0))</f>
        <v>1784.0260787199561</v>
      </c>
      <c r="BC93" s="799">
        <f>IF(BC$69=$F93+1,IF(Monthly!AY$4=TRUE,0,Monthly!AY$17),IF(BC$69&gt;$F93+1,BB93*(1-IF(BC$69-$F93&lt;=12,SUMIFS('Attrition Modeling'!$D:$D,'Attrition Modeling'!$B:$B,$E93,'Attrition Modeling'!$C:$C,BC$68),VLOOKUP(BC$69-$F93-1,$A$7:$C$161,2,FALSE)*VLOOKUP(BC$1,'Attrition Modeling'!$L$15:$N$27,IF(BC$2-$F26&lt;=24,2,3),FALSE))*(1+Projection!BE$16)*(1+IF(BC158&gt;0,'Attrition Modeling'!$N$9,0))),0))</f>
        <v>1726.3900757656816</v>
      </c>
      <c r="BD93" s="799">
        <f>IF(BD$69=$F93+1,IF(Monthly!AZ$4=TRUE,0,Monthly!AZ$17),IF(BD$69&gt;$F93+1,BC93*(1-IF(BD$69-$F93&lt;=12,SUMIFS('Attrition Modeling'!$D:$D,'Attrition Modeling'!$B:$B,$E93,'Attrition Modeling'!$C:$C,BD$68),VLOOKUP(BD$69-$F93-1,$A$7:$C$161,2,FALSE)*VLOOKUP(BD$1,'Attrition Modeling'!$L$15:$N$27,IF(BD$2-$F26&lt;=24,2,3),FALSE))*(1+Projection!BF$16)*(1+IF(BD158&gt;0,'Attrition Modeling'!$N$9,0))),0))</f>
        <v>1665.5025273256656</v>
      </c>
      <c r="BE93" s="799">
        <f>IF(BE$69=$F93+1,IF(Monthly!BA$4=TRUE,0,Monthly!BA$17),IF(BE$69&gt;$F93+1,BD93*(1-IF(BE$69-$F93&lt;=12,SUMIFS('Attrition Modeling'!$D:$D,'Attrition Modeling'!$B:$B,$E93,'Attrition Modeling'!$C:$C,BE$68),VLOOKUP(BE$69-$F93-1,$A$7:$C$161,2,FALSE)*VLOOKUP(BE$1,'Attrition Modeling'!$L$15:$N$27,IF(BE$2-$F26&lt;=24,2,3),FALSE))*(1+Projection!BG$16)*(1+IF(BE158&gt;0,'Attrition Modeling'!$N$9,0))),0))</f>
        <v>1609.3757651448279</v>
      </c>
      <c r="BF93" s="799">
        <f>IF(BF$69=$F93+1,IF(Monthly!BB$4=TRUE,0,Monthly!BB$17),IF(BF$69&gt;$F93+1,BE93*(1-IF(BF$69-$F93&lt;=12,SUMIFS('Attrition Modeling'!$D:$D,'Attrition Modeling'!$B:$B,$E93,'Attrition Modeling'!$C:$C,BF$68),VLOOKUP(BF$69-$F93-1,$A$7:$C$161,2,FALSE)*VLOOKUP(BF$1,'Attrition Modeling'!$L$15:$N$27,IF(BF$2-$F26&lt;=24,2,3),FALSE))*(1+Projection!BH$16)*(1+IF(BF158&gt;0,'Attrition Modeling'!$N$9,0))),0))</f>
        <v>1558.1052081982607</v>
      </c>
      <c r="BG93" s="799">
        <f>IF(BG$69=$F93+1,IF(Monthly!BC$4=TRUE,0,Monthly!BC$17),IF(BG$69&gt;$F93+1,BF93*(1-IF(BG$69-$F93&lt;=12,SUMIFS('Attrition Modeling'!$D:$D,'Attrition Modeling'!$B:$B,$E93,'Attrition Modeling'!$C:$C,BG$68),VLOOKUP(BG$69-$F93-1,$A$7:$C$161,2,FALSE)*VLOOKUP(BG$1,'Attrition Modeling'!$L$15:$N$27,IF(BG$2-$F26&lt;=24,2,3),FALSE))*(1+Projection!BI$16)*(1+IF(BG158&gt;0,'Attrition Modeling'!$N$9,0))),0))</f>
        <v>1519.137736930807</v>
      </c>
      <c r="BH93" s="799">
        <f>IF(BH$69=$F93+1,IF(Monthly!BD$4=TRUE,0,Monthly!BD$17),IF(BH$69&gt;$F93+1,BG93*(1-IF(BH$69-$F93&lt;=12,SUMIFS('Attrition Modeling'!$D:$D,'Attrition Modeling'!$B:$B,$E93,'Attrition Modeling'!$C:$C,BH$68),VLOOKUP(BH$69-$F93-1,$A$7:$C$161,2,FALSE)*VLOOKUP(BH$1,'Attrition Modeling'!$L$15:$N$27,IF(BH$2-$F26&lt;=24,2,3),FALSE))*(1+Projection!BJ$16)*(1+IF(BH158&gt;0,'Attrition Modeling'!$N$9,0))),0))</f>
        <v>1464.7868913459215</v>
      </c>
      <c r="BI93" s="799">
        <f>IF(BI$69=$F93+1,IF(Monthly!BE$4=TRUE,0,Monthly!BE$17),IF(BI$69&gt;$F93+1,BH93*(1-IF(BI$69-$F93&lt;=12,SUMIFS('Attrition Modeling'!$D:$D,'Attrition Modeling'!$B:$B,$E93,'Attrition Modeling'!$C:$C,BI$68),VLOOKUP(BI$69-$F93-1,$A$7:$C$161,2,FALSE)*VLOOKUP(BI$1,'Attrition Modeling'!$L$15:$N$27,IF(BI$2-$F26&lt;=24,2,3),FALSE))*(1+Projection!BK$16)*(1+IF(BI158&gt;0,'Attrition Modeling'!$N$9,0))),0))</f>
        <v>1415.554650891997</v>
      </c>
      <c r="BJ93" s="799">
        <f>IF(BJ$69=$F93+1,IF(Monthly!BF$4=TRUE,0,Monthly!BF$17),IF(BJ$69&gt;$F93+1,BI93*(1-IF(BJ$69-$F93&lt;=12,SUMIFS('Attrition Modeling'!$D:$D,'Attrition Modeling'!$B:$B,$E93,'Attrition Modeling'!$C:$C,BJ$68),VLOOKUP(BJ$69-$F93-1,$A$7:$C$161,2,FALSE)*VLOOKUP(BJ$1,'Attrition Modeling'!$L$15:$N$27,IF(BJ$2-$F26&lt;=24,2,3),FALSE))*(1+Projection!BL$16)*(1+IF(BJ158&gt;0,'Attrition Modeling'!$N$9,0))),0))</f>
        <v>1364.338079928584</v>
      </c>
      <c r="BK93" s="799">
        <f>IF(BK$69=$F93+1,IF(Monthly!BG$4=TRUE,0,Monthly!BG$17),IF(BK$69&gt;$F93+1,BJ93*(1-IF(BK$69-$F93&lt;=12,SUMIFS('Attrition Modeling'!$D:$D,'Attrition Modeling'!$B:$B,$E93,'Attrition Modeling'!$C:$C,BK$68),VLOOKUP(BK$69-$F93-1,$A$7:$C$161,2,FALSE)*VLOOKUP(BK$1,'Attrition Modeling'!$L$15:$N$27,IF(BK$2-$F26&lt;=24,2,3),FALSE))*(1+Projection!BM$16)*(1+IF(BK158&gt;0,'Attrition Modeling'!$N$9,0))),0))</f>
        <v>1311.9492527918314</v>
      </c>
      <c r="BL93" s="799">
        <f>IF(BL$69=$F93+1,IF(Monthly!BH$4=TRUE,0,Monthly!BH$17),IF(BL$69&gt;$F93+1,BK93*(1-IF(BL$69-$F93&lt;=12,SUMIFS('Attrition Modeling'!$D:$D,'Attrition Modeling'!$B:$B,$E93,'Attrition Modeling'!$C:$C,BL$68),VLOOKUP(BL$69-$F93-1,$A$7:$C$161,2,FALSE)*VLOOKUP(BL$1,'Attrition Modeling'!$L$15:$N$27,IF(BL$2-$F26&lt;=24,2,3),FALSE))*(1+Projection!BN$16)*(1+IF(BL158&gt;0,'Attrition Modeling'!$N$9,0))),0))</f>
        <v>1265.1825381715232</v>
      </c>
      <c r="BM93" s="799">
        <f>IF(BM$69=$F93+1,IF(Monthly!BI$4=TRUE,0,Monthly!BI$17),IF(BM$69&gt;$F93+1,BL93*(1-IF(BM$69-$F93&lt;=12,SUMIFS('Attrition Modeling'!$D:$D,'Attrition Modeling'!$B:$B,$E93,'Attrition Modeling'!$C:$C,BM$68),VLOOKUP(BM$69-$F93-1,$A$7:$C$161,2,FALSE)*VLOOKUP(BM$1,'Attrition Modeling'!$L$15:$N$27,IF(BM$2-$F26&lt;=24,2,3),FALSE))*(1+Projection!BO$16)*(1+IF(BM158&gt;0,'Attrition Modeling'!$N$9,0))),0))</f>
        <v>1222.1254013628163</v>
      </c>
      <c r="BN93" s="799">
        <f>IF(BN$69=$F93+1,IF(Monthly!BJ$4=TRUE,0,Monthly!BJ$17),IF(BN$69&gt;$F93+1,BM93*(1-IF(BN$69-$F93&lt;=12,SUMIFS('Attrition Modeling'!$D:$D,'Attrition Modeling'!$B:$B,$E93,'Attrition Modeling'!$C:$C,BN$68),VLOOKUP(BN$69-$F93-1,$A$7:$C$161,2,FALSE)*VLOOKUP(BN$1,'Attrition Modeling'!$L$15:$N$27,IF(BN$2-$F26&lt;=24,2,3),FALSE))*(1+Projection!BP$16)*(1+IF(BN158&gt;0,'Attrition Modeling'!$N$9,0))),0))</f>
        <v>1181.9223467199465</v>
      </c>
      <c r="BO93" s="799">
        <f>IF(BO$69=$F93+1,IF(Monthly!BK$4=TRUE,0,Monthly!BK$17),IF(BO$69&gt;$F93+1,BN93*(1-IF(BO$69-$F93&lt;=12,SUMIFS('Attrition Modeling'!$D:$D,'Attrition Modeling'!$B:$B,$E93,'Attrition Modeling'!$C:$C,BO$68),VLOOKUP(BO$69-$F93-1,$A$7:$C$161,2,FALSE)*VLOOKUP(BO$1,'Attrition Modeling'!$L$15:$N$27,IF(BO$2-$F26&lt;=24,2,3),FALSE))*(1+Projection!BV$16)*(1+IF(BO158&gt;0,'Attrition Modeling'!$N$9,0))),0))</f>
        <v>1150.2292038511225</v>
      </c>
      <c r="BP93" s="799">
        <f>IF(BP$69=$F93+1,IF(Monthly!BL$4=TRUE,0,Monthly!BL$17),IF(BP$69&gt;$F93+1,BO93*(1-IF(BP$69-$F93&lt;=12,SUMIFS('Attrition Modeling'!$D:$D,'Attrition Modeling'!$B:$B,$E93,'Attrition Modeling'!$C:$C,BP$68),VLOOKUP(BP$69-$F93-1,$A$7:$C$161,2,FALSE)*VLOOKUP(BP$1,'Attrition Modeling'!$L$15:$N$27,IF(BP$2-$F26&lt;=24,2,3),FALSE))*(1+Projection!BW$16)*(1+IF(BP158&gt;0,'Attrition Modeling'!$N$9,0))),0))</f>
        <v>1116.4458843182329</v>
      </c>
      <c r="BQ93" s="799">
        <f>IF(BQ$69=$F93+1,IF(Monthly!BM$4=TRUE,0,Monthly!BM$17),IF(BQ$69&gt;$F93+1,BP93*(1-IF(BQ$69-$F93&lt;=12,SUMIFS('Attrition Modeling'!$D:$D,'Attrition Modeling'!$B:$B,$E93,'Attrition Modeling'!$C:$C,BQ$68),VLOOKUP(BQ$69-$F93-1,$A$7:$C$161,2,FALSE)*VLOOKUP(BQ$1,'Attrition Modeling'!$L$15:$N$27,IF(BQ$2-$F26&lt;=24,2,3),FALSE))*(1+Projection!BX$16)*(1+IF(BQ158&gt;0,'Attrition Modeling'!$N$9,0))),0))</f>
        <v>1085.0158677569057</v>
      </c>
      <c r="BR93" s="799">
        <f>IF(BR$69=$F93+1,IF(Monthly!BN$4=TRUE,0,Monthly!BN$17),IF(BR$69&gt;$F93+1,BQ93*(1-IF(BR$69-$F93&lt;=12,SUMIFS('Attrition Modeling'!$D:$D,'Attrition Modeling'!$B:$B,$E93,'Attrition Modeling'!$C:$C,BR$68),VLOOKUP(BR$69-$F93-1,$A$7:$C$161,2,FALSE)*VLOOKUP(BR$1,'Attrition Modeling'!$L$15:$N$27,IF(BR$2-$F26&lt;=24,2,3),FALSE))*(1+Projection!BY$16)*(1+IF(BR158&gt;0,'Attrition Modeling'!$N$9,0))),0))</f>
        <v>1056.0557732580107</v>
      </c>
      <c r="BS93" s="799">
        <f>IF(BS$69=$F93+1,IF(Monthly!BO$4=TRUE,0,Monthly!BO$17),IF(BS$69&gt;$F93+1,BR93*(1-IF(BS$69-$F93&lt;=12,SUMIFS('Attrition Modeling'!$D:$D,'Attrition Modeling'!$B:$B,$E93,'Attrition Modeling'!$C:$C,BS$68),VLOOKUP(BS$69-$F93-1,$A$7:$C$161,2,FALSE)*VLOOKUP(BS$1,'Attrition Modeling'!$L$15:$N$27,IF(BS$2-$F26&lt;=24,2,3),FALSE))*(1+Projection!BZ$16)*(1+IF(BS158&gt;0,'Attrition Modeling'!$N$9,0))),0))</f>
        <v>1033.8666098360163</v>
      </c>
      <c r="BT93" s="799">
        <f>IF(BT$69=$F93+1,IF(Monthly!#REF!=TRUE,0,Monthly!#REF!),IF(BT$69&gt;$F93+1,BS93*(1-IF(BT$69-$F93&lt;=12,SUMIFS('Attrition Modeling'!$D:$D,'Attrition Modeling'!$B:$B,$E93,'Attrition Modeling'!$C:$C,BT$68),VLOOKUP(BT$69-$F93-1,$A$7:$C$161,2,FALSE)*VLOOKUP(BT$1,'Attrition Modeling'!$L$15:$N$27,IF(BT$2-$F26&lt;=24,2,3),FALSE))*(1+Projection!CA$16)*(1+IF(BT158&gt;0,'Attrition Modeling'!$N$9,0))),0))</f>
        <v>1002.7101497526123</v>
      </c>
      <c r="BU93" s="799">
        <f>IF(BU$69=$F93+1,IF(Monthly!#REF!=TRUE,0,Monthly!#REF!),IF(BU$69&gt;$F93+1,BT93*(1-IF(BU$69-$F93&lt;=12,SUMIFS('Attrition Modeling'!$D:$D,'Attrition Modeling'!$B:$B,$E93,'Attrition Modeling'!$C:$C,BU$68),VLOOKUP(BU$69-$F93-1,$A$7:$C$161,2,FALSE)*VLOOKUP(BU$1,'Attrition Modeling'!$L$15:$N$27,IF(BU$2-$F26&lt;=24,2,3),FALSE))*(1+Projection!CB$16)*(1+IF(BU158&gt;0,'Attrition Modeling'!$N$9,0))),0))</f>
        <v>974.25329680600771</v>
      </c>
    </row>
    <row r="94" spans="1:73" ht="14.25" customHeight="1" x14ac:dyDescent="0.2">
      <c r="A94" s="9">
        <v>87</v>
      </c>
      <c r="B94" s="25">
        <f>MAX('Attrition Modeling'!H91,$C$3)*(1-Summary!$C$20)</f>
        <v>0.02</v>
      </c>
      <c r="C94" s="24" t="e">
        <f t="shared" si="4"/>
        <v>#DIV/0!</v>
      </c>
      <c r="E94" s="11">
        <f t="shared" si="9"/>
        <v>12</v>
      </c>
      <c r="F94" s="11">
        <f t="shared" si="10"/>
        <v>24</v>
      </c>
      <c r="G94" s="799"/>
      <c r="H94" s="799">
        <f>IF(H$69=$F94+1,IF(Monthly!D$4=TRUE,0,Monthly!D$17),IF(H$69&gt;$F94+1,G94*(1-IF(H$69-$F94&lt;=12,SUMIFS('Attrition Modeling'!$D:$D,'Attrition Modeling'!$B:$B,$E94,'Attrition Modeling'!$C:$C,H$68),VLOOKUP(H$69-$F94-1,$A$7:$C$161,2,FALSE)*VLOOKUP(H$1,'Attrition Modeling'!$L$15:$N$27,IF(H$2-$F27&lt;=24,2,3),FALSE))*(1+Projection!J$16)*(1+IF(H159&gt;0,'Attrition Modeling'!$N$9,0))),0))</f>
        <v>0</v>
      </c>
      <c r="I94" s="799">
        <f>IF(I$69=$F94+1,IF(Monthly!E$4=TRUE,0,Monthly!E$17),IF(I$69&gt;$F94+1,H94*(1-IF(I$69-$F94&lt;=12,SUMIFS('Attrition Modeling'!$D:$D,'Attrition Modeling'!$B:$B,$E94,'Attrition Modeling'!$C:$C,I$68),VLOOKUP(I$69-$F94-1,$A$7:$C$161,2,FALSE)*VLOOKUP(I$1,'Attrition Modeling'!$L$15:$N$27,IF(I$2-$F27&lt;=24,2,3),FALSE))*(1+Projection!K$16)*(1+IF(I159&gt;0,'Attrition Modeling'!$N$9,0))),0))</f>
        <v>0</v>
      </c>
      <c r="J94" s="799">
        <f>IF(J$69=$F94+1,IF(Monthly!F$4=TRUE,0,Monthly!F$17),IF(J$69&gt;$F94+1,I94*(1-IF(J$69-$F94&lt;=12,SUMIFS('Attrition Modeling'!$D:$D,'Attrition Modeling'!$B:$B,$E94,'Attrition Modeling'!$C:$C,J$68),VLOOKUP(J$69-$F94-1,$A$7:$C$161,2,FALSE)*VLOOKUP(J$1,'Attrition Modeling'!$L$15:$N$27,IF(J$2-$F27&lt;=24,2,3),FALSE))*(1+Projection!L$16)*(1+IF(J159&gt;0,'Attrition Modeling'!$N$9,0))),0))</f>
        <v>0</v>
      </c>
      <c r="K94" s="799">
        <f>IF(K$69=$F94+1,IF(Monthly!G$4=TRUE,0,Monthly!G$17),IF(K$69&gt;$F94+1,J94*(1-IF(K$69-$F94&lt;=12,SUMIFS('Attrition Modeling'!$D:$D,'Attrition Modeling'!$B:$B,$E94,'Attrition Modeling'!$C:$C,K$68),VLOOKUP(K$69-$F94-1,$A$7:$C$161,2,FALSE)*VLOOKUP(K$1,'Attrition Modeling'!$L$15:$N$27,IF(K$2-$F27&lt;=24,2,3),FALSE))*(1+Projection!M$16)*(1+IF(K159&gt;0,'Attrition Modeling'!$N$9,0))),0))</f>
        <v>0</v>
      </c>
      <c r="L94" s="799">
        <f>IF(L$69=$F94+1,IF(Monthly!H$4=TRUE,0,Monthly!H$17),IF(L$69&gt;$F94+1,K94*(1-IF(L$69-$F94&lt;=12,SUMIFS('Attrition Modeling'!$D:$D,'Attrition Modeling'!$B:$B,$E94,'Attrition Modeling'!$C:$C,L$68),VLOOKUP(L$69-$F94-1,$A$7:$C$161,2,FALSE)*VLOOKUP(L$1,'Attrition Modeling'!$L$15:$N$27,IF(L$2-$F27&lt;=24,2,3),FALSE))*(1+Projection!N$16)*(1+IF(L159&gt;0,'Attrition Modeling'!$N$9,0))),0))</f>
        <v>0</v>
      </c>
      <c r="M94" s="799">
        <f>IF(M$69=$F94+1,IF(Monthly!I$4=TRUE,0,Monthly!I$17),IF(M$69&gt;$F94+1,L94*(1-IF(M$69-$F94&lt;=12,SUMIFS('Attrition Modeling'!$D:$D,'Attrition Modeling'!$B:$B,$E94,'Attrition Modeling'!$C:$C,M$68),VLOOKUP(M$69-$F94-1,$A$7:$C$161,2,FALSE)*VLOOKUP(M$1,'Attrition Modeling'!$L$15:$N$27,IF(M$2-$F27&lt;=24,2,3),FALSE))*(1+Projection!O$16)*(1+IF(M159&gt;0,'Attrition Modeling'!$N$9,0))),0))</f>
        <v>0</v>
      </c>
      <c r="N94" s="799">
        <f>IF(N$69=$F94+1,IF(Monthly!J$4=TRUE,0,Monthly!J$17),IF(N$69&gt;$F94+1,M94*(1-IF(N$69-$F94&lt;=12,SUMIFS('Attrition Modeling'!$D:$D,'Attrition Modeling'!$B:$B,$E94,'Attrition Modeling'!$C:$C,N$68),VLOOKUP(N$69-$F94-1,$A$7:$C$161,2,FALSE)*VLOOKUP(N$1,'Attrition Modeling'!$L$15:$N$27,IF(N$2-$F27&lt;=24,2,3),FALSE))*(1+Projection!P$16)*(1+IF(N159&gt;0,'Attrition Modeling'!$N$9,0))),0))</f>
        <v>0</v>
      </c>
      <c r="O94" s="799">
        <f>IF(O$69=$F94+1,IF(Monthly!K$4=TRUE,0,Monthly!K$17),IF(O$69&gt;$F94+1,N94*(1-IF(O$69-$F94&lt;=12,SUMIFS('Attrition Modeling'!$D:$D,'Attrition Modeling'!$B:$B,$E94,'Attrition Modeling'!$C:$C,O$68),VLOOKUP(O$69-$F94-1,$A$7:$C$161,2,FALSE)*VLOOKUP(O$1,'Attrition Modeling'!$L$15:$N$27,IF(O$2-$F27&lt;=24,2,3),FALSE))*(1+Projection!Q$16)*(1+IF(O159&gt;0,'Attrition Modeling'!$N$9,0))),0))</f>
        <v>0</v>
      </c>
      <c r="P94" s="799">
        <f>IF(P$69=$F94+1,IF(Monthly!L$4=TRUE,0,Monthly!L$17),IF(P$69&gt;$F94+1,O94*(1-IF(P$69-$F94&lt;=12,SUMIFS('Attrition Modeling'!$D:$D,'Attrition Modeling'!$B:$B,$E94,'Attrition Modeling'!$C:$C,P$68),VLOOKUP(P$69-$F94-1,$A$7:$C$161,2,FALSE)*VLOOKUP(P$1,'Attrition Modeling'!$L$15:$N$27,IF(P$2-$F27&lt;=24,2,3),FALSE))*(1+Projection!R$16)*(1+IF(P159&gt;0,'Attrition Modeling'!$N$9,0))),0))</f>
        <v>0</v>
      </c>
      <c r="Q94" s="799">
        <f>IF(Q$69=$F94+1,IF(Monthly!M$4=TRUE,0,Monthly!M$17),IF(Q$69&gt;$F94+1,P94*(1-IF(Q$69-$F94&lt;=12,SUMIFS('Attrition Modeling'!$D:$D,'Attrition Modeling'!$B:$B,$E94,'Attrition Modeling'!$C:$C,Q$68),VLOOKUP(Q$69-$F94-1,$A$7:$C$161,2,FALSE)*VLOOKUP(Q$1,'Attrition Modeling'!$L$15:$N$27,IF(Q$2-$F27&lt;=24,2,3),FALSE))*(1+Projection!S$16)*(1+IF(Q159&gt;0,'Attrition Modeling'!$N$9,0))),0))</f>
        <v>0</v>
      </c>
      <c r="R94" s="799">
        <f>IF(R$69=$F94+1,IF(Monthly!N$4=TRUE,0,Monthly!N$17),IF(R$69&gt;$F94+1,Q94*(1-IF(R$69-$F94&lt;=12,SUMIFS('Attrition Modeling'!$D:$D,'Attrition Modeling'!$B:$B,$E94,'Attrition Modeling'!$C:$C,R$68),VLOOKUP(R$69-$F94-1,$A$7:$C$161,2,FALSE)*VLOOKUP(R$1,'Attrition Modeling'!$L$15:$N$27,IF(R$2-$F27&lt;=24,2,3),FALSE))*(1+Projection!T$16)*(1+IF(R159&gt;0,'Attrition Modeling'!$N$9,0))),0))</f>
        <v>0</v>
      </c>
      <c r="S94" s="799">
        <f>IF(S$69=$F94+1,IF(Monthly!O$4=TRUE,0,Monthly!O$17),IF(S$69&gt;$F94+1,R94*(1-IF(S$69-$F94&lt;=12,SUMIFS('Attrition Modeling'!$D:$D,'Attrition Modeling'!$B:$B,$E94,'Attrition Modeling'!$C:$C,S$68),VLOOKUP(S$69-$F94-1,$A$7:$C$161,2,FALSE)*VLOOKUP(S$1,'Attrition Modeling'!$L$15:$N$27,IF(S$2-$F27&lt;=24,2,3),FALSE))*(1+Projection!U$16)*(1+IF(S159&gt;0,'Attrition Modeling'!$N$9,0))),0))</f>
        <v>0</v>
      </c>
      <c r="T94" s="799">
        <f>IF(T$69=$F94+1,IF(Monthly!P$4=TRUE,0,Monthly!P$17),IF(T$69&gt;$F94+1,S94*(1-IF(T$69-$F94&lt;=12,SUMIFS('Attrition Modeling'!$D:$D,'Attrition Modeling'!$B:$B,$E94,'Attrition Modeling'!$C:$C,T$68),VLOOKUP(T$69-$F94-1,$A$7:$C$161,2,FALSE)*VLOOKUP(T$1,'Attrition Modeling'!$L$15:$N$27,IF(T$2-$F27&lt;=24,2,3),FALSE))*(1+Projection!V$16)*(1+IF(T159&gt;0,'Attrition Modeling'!$N$9,0))),0))</f>
        <v>0</v>
      </c>
      <c r="U94" s="799">
        <f>IF(U$69=$F94+1,IF(Monthly!Q$4=TRUE,0,Monthly!Q$17),IF(U$69&gt;$F94+1,T94*(1-IF(U$69-$F94&lt;=12,SUMIFS('Attrition Modeling'!$D:$D,'Attrition Modeling'!$B:$B,$E94,'Attrition Modeling'!$C:$C,U$68),VLOOKUP(U$69-$F94-1,$A$7:$C$161,2,FALSE)*VLOOKUP(U$1,'Attrition Modeling'!$L$15:$N$27,IF(U$2-$F27&lt;=24,2,3),FALSE))*(1+Projection!W$16)*(1+IF(U159&gt;0,'Attrition Modeling'!$N$9,0))),0))</f>
        <v>0</v>
      </c>
      <c r="V94" s="799">
        <f>IF(V$69=$F94+1,IF(Monthly!R$4=TRUE,0,Monthly!R$17),IF(V$69&gt;$F94+1,U94*(1-IF(V$69-$F94&lt;=12,SUMIFS('Attrition Modeling'!$D:$D,'Attrition Modeling'!$B:$B,$E94,'Attrition Modeling'!$C:$C,V$68),VLOOKUP(V$69-$F94-1,$A$7:$C$161,2,FALSE)*VLOOKUP(V$1,'Attrition Modeling'!$L$15:$N$27,IF(V$2-$F27&lt;=24,2,3),FALSE))*(1+Projection!X$16)*(1+IF(V159&gt;0,'Attrition Modeling'!$N$9,0))),0))</f>
        <v>0</v>
      </c>
      <c r="W94" s="799">
        <f>IF(W$69=$F94+1,IF(Monthly!S$4=TRUE,0,Monthly!S$17),IF(W$69&gt;$F94+1,V94*(1-IF(W$69-$F94&lt;=12,SUMIFS('Attrition Modeling'!$D:$D,'Attrition Modeling'!$B:$B,$E94,'Attrition Modeling'!$C:$C,W$68),VLOOKUP(W$69-$F94-1,$A$7:$C$161,2,FALSE)*VLOOKUP(W$1,'Attrition Modeling'!$L$15:$N$27,IF(W$2-$F27&lt;=24,2,3),FALSE))*(1+Projection!Y$16)*(1+IF(W159&gt;0,'Attrition Modeling'!$N$9,0))),0))</f>
        <v>0</v>
      </c>
      <c r="X94" s="799">
        <f>IF(X$69=$F94+1,IF(Monthly!T$4=TRUE,0,Monthly!T$17),IF(X$69&gt;$F94+1,W94*(1-IF(X$69-$F94&lt;=12,SUMIFS('Attrition Modeling'!$D:$D,'Attrition Modeling'!$B:$B,$E94,'Attrition Modeling'!$C:$C,X$68),VLOOKUP(X$69-$F94-1,$A$7:$C$161,2,FALSE)*VLOOKUP(X$1,'Attrition Modeling'!$L$15:$N$27,IF(X$2-$F27&lt;=24,2,3),FALSE))*(1+Projection!Z$16)*(1+IF(X159&gt;0,'Attrition Modeling'!$N$9,0))),0))</f>
        <v>0</v>
      </c>
      <c r="Y94" s="799">
        <f>IF(Y$69=$F94+1,IF(Monthly!U$4=TRUE,0,Monthly!U$17),IF(Y$69&gt;$F94+1,X94*(1-IF(Y$69-$F94&lt;=12,SUMIFS('Attrition Modeling'!$D:$D,'Attrition Modeling'!$B:$B,$E94,'Attrition Modeling'!$C:$C,Y$68),VLOOKUP(Y$69-$F94-1,$A$7:$C$161,2,FALSE)*VLOOKUP(Y$1,'Attrition Modeling'!$L$15:$N$27,IF(Y$2-$F27&lt;=24,2,3),FALSE))*(1+Projection!AA$16)*(1+IF(Y159&gt;0,'Attrition Modeling'!$N$9,0))),0))</f>
        <v>0</v>
      </c>
      <c r="Z94" s="799">
        <f>IF(Z$69=$F94+1,IF(Monthly!V$4=TRUE,0,Monthly!V$17),IF(Z$69&gt;$F94+1,Y94*(1-IF(Z$69-$F94&lt;=12,SUMIFS('Attrition Modeling'!$D:$D,'Attrition Modeling'!$B:$B,$E94,'Attrition Modeling'!$C:$C,Z$68),VLOOKUP(Z$69-$F94-1,$A$7:$C$161,2,FALSE)*VLOOKUP(Z$1,'Attrition Modeling'!$L$15:$N$27,IF(Z$2-$F27&lt;=24,2,3),FALSE))*(1+Projection!AB$16)*(1+IF(Z159&gt;0,'Attrition Modeling'!$N$9,0))),0))</f>
        <v>0</v>
      </c>
      <c r="AA94" s="799">
        <f>IF(AA$69=$F94+1,IF(Monthly!W$4=TRUE,0,Monthly!W$17),IF(AA$69&gt;$F94+1,Z94*(1-IF(AA$69-$F94&lt;=12,SUMIFS('Attrition Modeling'!$D:$D,'Attrition Modeling'!$B:$B,$E94,'Attrition Modeling'!$C:$C,AA$68),VLOOKUP(AA$69-$F94-1,$A$7:$C$161,2,FALSE)*VLOOKUP(AA$1,'Attrition Modeling'!$L$15:$N$27,IF(AA$2-$F27&lt;=24,2,3),FALSE))*(1+Projection!AC$16)*(1+IF(AA159&gt;0,'Attrition Modeling'!$N$9,0))),0))</f>
        <v>0</v>
      </c>
      <c r="AB94" s="799">
        <f>IF(AB$69=$F94+1,IF(Monthly!X$4=TRUE,0,Monthly!X$17),IF(AB$69&gt;$F94+1,AA94*(1-IF(AB$69-$F94&lt;=12,SUMIFS('Attrition Modeling'!$D:$D,'Attrition Modeling'!$B:$B,$E94,'Attrition Modeling'!$C:$C,AB$68),VLOOKUP(AB$69-$F94-1,$A$7:$C$161,2,FALSE)*VLOOKUP(AB$1,'Attrition Modeling'!$L$15:$N$27,IF(AB$2-$F27&lt;=24,2,3),FALSE))*(1+Projection!AD$16)*(1+IF(AB159&gt;0,'Attrition Modeling'!$N$9,0))),0))</f>
        <v>0</v>
      </c>
      <c r="AC94" s="799">
        <f>IF(AC$69=$F94+1,IF(Monthly!Y$4=TRUE,0,Monthly!Y$17),IF(AC$69&gt;$F94+1,AB94*(1-IF(AC$69-$F94&lt;=12,SUMIFS('Attrition Modeling'!$D:$D,'Attrition Modeling'!$B:$B,$E94,'Attrition Modeling'!$C:$C,AC$68),VLOOKUP(AC$69-$F94-1,$A$7:$C$161,2,FALSE)*VLOOKUP(AC$1,'Attrition Modeling'!$L$15:$N$27,IF(AC$2-$F27&lt;=24,2,3),FALSE))*(1+Projection!AE$16)*(1+IF(AC159&gt;0,'Attrition Modeling'!$N$9,0))),0))</f>
        <v>0</v>
      </c>
      <c r="AD94" s="799">
        <f>IF(AD$69=$F94+1,IF(Monthly!Z$4=TRUE,0,Monthly!Z$17),IF(AD$69&gt;$F94+1,AC94*(1-IF(AD$69-$F94&lt;=12,SUMIFS('Attrition Modeling'!$D:$D,'Attrition Modeling'!$B:$B,$E94,'Attrition Modeling'!$C:$C,AD$68),VLOOKUP(AD$69-$F94-1,$A$7:$C$161,2,FALSE)*VLOOKUP(AD$1,'Attrition Modeling'!$L$15:$N$27,IF(AD$2-$F27&lt;=24,2,3),FALSE))*(1+Projection!AF$16)*(1+IF(AD159&gt;0,'Attrition Modeling'!$N$9,0))),0))</f>
        <v>0</v>
      </c>
      <c r="AE94" s="799">
        <f>IF(AE$69=$F94+1,IF(Monthly!AA$4=TRUE,0,Monthly!AA$17),IF(AE$69&gt;$F94+1,AD94*(1-IF(AE$69-$F94&lt;=12,SUMIFS('Attrition Modeling'!$D:$D,'Attrition Modeling'!$B:$B,$E94,'Attrition Modeling'!$C:$C,AE$68),VLOOKUP(AE$69-$F94-1,$A$7:$C$161,2,FALSE)*VLOOKUP(AE$1,'Attrition Modeling'!$L$15:$N$27,IF(AE$2-$F27&lt;=24,2,3),FALSE))*(1+Projection!AG$16)*(1+IF(AE159&gt;0,'Attrition Modeling'!$N$9,0))),0))</f>
        <v>0</v>
      </c>
      <c r="AF94" s="799">
        <f>IF(AF$69=$F94+1,IF(Monthly!AB$4=TRUE,0,Monthly!AB$17),IF(AF$69&gt;$F94+1,AE94*(1-IF(AF$69-$F94&lt;=12,SUMIFS('Attrition Modeling'!$D:$D,'Attrition Modeling'!$B:$B,$E94,'Attrition Modeling'!$C:$C,AF$68),VLOOKUP(AF$69-$F94-1,$A$7:$C$161,2,FALSE)*VLOOKUP(AF$1,'Attrition Modeling'!$L$15:$N$27,IF(AF$2-$F27&lt;=24,2,3),FALSE))*(1+Projection!AH$16)*(1+IF(AF159&gt;0,'Attrition Modeling'!$N$9,0))),0))</f>
        <v>6434.7078332590754</v>
      </c>
      <c r="AG94" s="799">
        <f>IF(AG$69=$F94+1,IF(Monthly!AC$4=TRUE,0,Monthly!AC$17),IF(AG$69&gt;$F94+1,AF94*(1-IF(AG$69-$F94&lt;=12,SUMIFS('Attrition Modeling'!$D:$D,'Attrition Modeling'!$B:$B,$E94,'Attrition Modeling'!$C:$C,AG$68),VLOOKUP(AG$69-$F94-1,$A$7:$C$161,2,FALSE)*VLOOKUP(AG$1,'Attrition Modeling'!$L$15:$N$27,IF(AG$2-$F27&lt;=24,2,3),FALSE))*(1+Projection!AI$16)*(1+IF(AG159&gt;0,'Attrition Modeling'!$N$9,0))),0))</f>
        <v>5823.721128099497</v>
      </c>
      <c r="AH94" s="799">
        <f>IF(AH$69=$F94+1,IF(Monthly!AD$4=TRUE,0,Monthly!AD$17),IF(AH$69&gt;$F94+1,AG94*(1-IF(AH$69-$F94&lt;=12,SUMIFS('Attrition Modeling'!$D:$D,'Attrition Modeling'!$B:$B,$E94,'Attrition Modeling'!$C:$C,AH$68),VLOOKUP(AH$69-$F94-1,$A$7:$C$161,2,FALSE)*VLOOKUP(AH$1,'Attrition Modeling'!$L$15:$N$27,IF(AH$2-$F27&lt;=24,2,3),FALSE))*(1+Projection!AJ$16)*(1+IF(AH159&gt;0,'Attrition Modeling'!$N$9,0))),0))</f>
        <v>5319.0401340501139</v>
      </c>
      <c r="AI94" s="799">
        <f>IF(AI$69=$F94+1,IF(Monthly!AE$4=TRUE,0,Monthly!AE$17),IF(AI$69&gt;$F94+1,AH94*(1-IF(AI$69-$F94&lt;=12,SUMIFS('Attrition Modeling'!$D:$D,'Attrition Modeling'!$B:$B,$E94,'Attrition Modeling'!$C:$C,AI$68),VLOOKUP(AI$69-$F94-1,$A$7:$C$161,2,FALSE)*VLOOKUP(AI$1,'Attrition Modeling'!$L$15:$N$27,IF(AI$2-$F27&lt;=24,2,3),FALSE))*(1+Projection!AK$16)*(1+IF(AI159&gt;0,'Attrition Modeling'!$N$9,0))),0))</f>
        <v>4843.5952317191814</v>
      </c>
      <c r="AJ94" s="799">
        <f>IF(AJ$69=$F94+1,IF(Monthly!AF$4=TRUE,0,Monthly!AF$17),IF(AJ$69&gt;$F94+1,AI94*(1-IF(AJ$69-$F94&lt;=12,SUMIFS('Attrition Modeling'!$D:$D,'Attrition Modeling'!$B:$B,$E94,'Attrition Modeling'!$C:$C,AJ$68),VLOOKUP(AJ$69-$F94-1,$A$7:$C$161,2,FALSE)*VLOOKUP(AJ$1,'Attrition Modeling'!$L$15:$N$27,IF(AJ$2-$F27&lt;=24,2,3),FALSE))*(1+Projection!AL$16)*(1+IF(AJ159&gt;0,'Attrition Modeling'!$N$9,0))),0))</f>
        <v>4430.701745292472</v>
      </c>
      <c r="AK94" s="799">
        <f>IF(AK$69=$F94+1,IF(Monthly!AG$4=TRUE,0,Monthly!AG$17),IF(AK$69&gt;$F94+1,AJ94*(1-IF(AK$69-$F94&lt;=12,SUMIFS('Attrition Modeling'!$D:$D,'Attrition Modeling'!$B:$B,$E94,'Attrition Modeling'!$C:$C,AK$68),VLOOKUP(AK$69-$F94-1,$A$7:$C$161,2,FALSE)*VLOOKUP(AK$1,'Attrition Modeling'!$L$15:$N$27,IF(AK$2-$F27&lt;=24,2,3),FALSE))*(1+Projection!AM$16)*(1+IF(AK159&gt;0,'Attrition Modeling'!$N$9,0))),0))</f>
        <v>4029.539097378969</v>
      </c>
      <c r="AL94" s="799">
        <f>IF(AL$69=$F94+1,IF(Monthly!AH$4=TRUE,0,Monthly!AH$17),IF(AL$69&gt;$F94+1,AK94*(1-IF(AL$69-$F94&lt;=12,SUMIFS('Attrition Modeling'!$D:$D,'Attrition Modeling'!$B:$B,$E94,'Attrition Modeling'!$C:$C,AL$68),VLOOKUP(AL$69-$F94-1,$A$7:$C$161,2,FALSE)*VLOOKUP(AL$1,'Attrition Modeling'!$L$15:$N$27,IF(AL$2-$F27&lt;=24,2,3),FALSE))*(1+Projection!AN$16)*(1+IF(AL159&gt;0,'Attrition Modeling'!$N$9,0))),0))</f>
        <v>3725.5297948601751</v>
      </c>
      <c r="AM94" s="799">
        <f>IF(AM$69=$F94+1,IF(Monthly!AI$4=TRUE,0,Monthly!AI$17),IF(AM$69&gt;$F94+1,AL94*(1-IF(AM$69-$F94&lt;=12,SUMIFS('Attrition Modeling'!$D:$D,'Attrition Modeling'!$B:$B,$E94,'Attrition Modeling'!$C:$C,AM$68),VLOOKUP(AM$69-$F94-1,$A$7:$C$161,2,FALSE)*VLOOKUP(AM$1,'Attrition Modeling'!$L$15:$N$27,IF(AM$2-$F27&lt;=24,2,3),FALSE))*(1+Projection!AO$16)*(1+IF(AM159&gt;0,'Attrition Modeling'!$N$9,0))),0))</f>
        <v>3455.6459340986607</v>
      </c>
      <c r="AN94" s="799">
        <f>IF(AN$69=$F94+1,IF(Monthly!AJ$4=TRUE,0,Monthly!AJ$17),IF(AN$69&gt;$F94+1,AM94*(1-IF(AN$69-$F94&lt;=12,SUMIFS('Attrition Modeling'!$D:$D,'Attrition Modeling'!$B:$B,$E94,'Attrition Modeling'!$C:$C,AN$68),VLOOKUP(AN$69-$F94-1,$A$7:$C$161,2,FALSE)*VLOOKUP(AN$1,'Attrition Modeling'!$L$15:$N$27,IF(AN$2-$F27&lt;=24,2,3),FALSE))*(1+Projection!AP$16)*(1+IF(AN159&gt;0,'Attrition Modeling'!$N$9,0))),0))</f>
        <v>3236.5387684854122</v>
      </c>
      <c r="AO94" s="799">
        <f>IF(AO$69=$F94+1,IF(Monthly!AK$4=TRUE,0,Monthly!AK$17),IF(AO$69&gt;$F94+1,AN94*(1-IF(AO$69-$F94&lt;=12,SUMIFS('Attrition Modeling'!$D:$D,'Attrition Modeling'!$B:$B,$E94,'Attrition Modeling'!$C:$C,AO$68),VLOOKUP(AO$69-$F94-1,$A$7:$C$161,2,FALSE)*VLOOKUP(AO$1,'Attrition Modeling'!$L$15:$N$27,IF(AO$2-$F27&lt;=24,2,3),FALSE))*(1+Projection!AQ$16)*(1+IF(AO159&gt;0,'Attrition Modeling'!$N$9,0))),0))</f>
        <v>3037.5297930156398</v>
      </c>
      <c r="AP94" s="799">
        <f>IF(AP$69=$F94+1,IF(Monthly!AL$4=TRUE,0,Monthly!AL$17),IF(AP$69&gt;$F94+1,AO94*(1-IF(AP$69-$F94&lt;=12,SUMIFS('Attrition Modeling'!$D:$D,'Attrition Modeling'!$B:$B,$E94,'Attrition Modeling'!$C:$C,AP$68),VLOOKUP(AP$69-$F94-1,$A$7:$C$161,2,FALSE)*VLOOKUP(AP$1,'Attrition Modeling'!$L$15:$N$27,IF(AP$2-$F27&lt;=24,2,3),FALSE))*(1+Projection!AR$16)*(1+IF(AP159&gt;0,'Attrition Modeling'!$N$9,0))),0))</f>
        <v>2870.3389894074112</v>
      </c>
      <c r="AQ94" s="799">
        <f>IF(AQ$69=$F94+1,IF(Monthly!AM$4=TRUE,0,Monthly!AM$17),IF(AQ$69&gt;$F94+1,AP94*(1-IF(AQ$69-$F94&lt;=12,SUMIFS('Attrition Modeling'!$D:$D,'Attrition Modeling'!$B:$B,$E94,'Attrition Modeling'!$C:$C,AQ$68),VLOOKUP(AQ$69-$F94-1,$A$7:$C$161,2,FALSE)*VLOOKUP(AQ$1,'Attrition Modeling'!$L$15:$N$27,IF(AQ$2-$F27&lt;=24,2,3),FALSE))*(1+Projection!AS$16)*(1+IF(AQ159&gt;0,'Attrition Modeling'!$N$9,0))),0))</f>
        <v>2780.9388371755299</v>
      </c>
      <c r="AR94" s="799">
        <f>IF(AR$69=$F94+1,IF(Monthly!AN$4=TRUE,0,Monthly!AN$17),IF(AR$69&gt;$F94+1,AQ94*(1-IF(AR$69-$F94&lt;=12,SUMIFS('Attrition Modeling'!$D:$D,'Attrition Modeling'!$B:$B,$E94,'Attrition Modeling'!$C:$C,AR$68),VLOOKUP(AR$69-$F94-1,$A$7:$C$161,2,FALSE)*VLOOKUP(AR$1,'Attrition Modeling'!$L$15:$N$27,IF(AR$2-$F27&lt;=24,2,3),FALSE))*(1+Projection!AT$16)*(1+IF(AR159&gt;0,'Attrition Modeling'!$N$9,0))),0))</f>
        <v>2631.2244958421579</v>
      </c>
      <c r="AS94" s="799">
        <f>IF(AS$69=$F94+1,IF(Monthly!AO$4=TRUE,0,Monthly!AO$17),IF(AS$69&gt;$F94+1,AR94*(1-IF(AS$69-$F94&lt;=12,SUMIFS('Attrition Modeling'!$D:$D,'Attrition Modeling'!$B:$B,$E94,'Attrition Modeling'!$C:$C,AS$68),VLOOKUP(AS$69-$F94-1,$A$7:$C$161,2,FALSE)*VLOOKUP(AS$1,'Attrition Modeling'!$L$15:$N$27,IF(AS$2-$F27&lt;=24,2,3),FALSE))*(1+Projection!AU$16)*(1+IF(AS159&gt;0,'Attrition Modeling'!$N$9,0))),0))</f>
        <v>2513.3076313236697</v>
      </c>
      <c r="AT94" s="799">
        <f>IF(AT$69=$F94+1,IF(Monthly!AP$4=TRUE,0,Monthly!AP$17),IF(AT$69&gt;$F94+1,AS94*(1-IF(AT$69-$F94&lt;=12,SUMIFS('Attrition Modeling'!$D:$D,'Attrition Modeling'!$B:$B,$E94,'Attrition Modeling'!$C:$C,AT$68),VLOOKUP(AT$69-$F94-1,$A$7:$C$161,2,FALSE)*VLOOKUP(AT$1,'Attrition Modeling'!$L$15:$N$27,IF(AT$2-$F27&lt;=24,2,3),FALSE))*(1+Projection!AV$16)*(1+IF(AT159&gt;0,'Attrition Modeling'!$N$9,0))),0))</f>
        <v>2396.703740040804</v>
      </c>
      <c r="AU94" s="799">
        <f>IF(AU$69=$F94+1,IF(Monthly!AQ$4=TRUE,0,Monthly!AQ$17),IF(AU$69&gt;$F94+1,AT94*(1-IF(AU$69-$F94&lt;=12,SUMIFS('Attrition Modeling'!$D:$D,'Attrition Modeling'!$B:$B,$E94,'Attrition Modeling'!$C:$C,AU$68),VLOOKUP(AU$69-$F94-1,$A$7:$C$161,2,FALSE)*VLOOKUP(AU$1,'Attrition Modeling'!$L$15:$N$27,IF(AU$2-$F27&lt;=24,2,3),FALSE))*(1+Projection!AW$16)*(1+IF(AU159&gt;0,'Attrition Modeling'!$N$9,0))),0))</f>
        <v>2291.3685027420465</v>
      </c>
      <c r="AV94" s="799">
        <f>IF(AV$69=$F94+1,IF(Monthly!AR$4=TRUE,0,Monthly!AR$17),IF(AV$69&gt;$F94+1,AU94*(1-IF(AV$69-$F94&lt;=12,SUMIFS('Attrition Modeling'!$D:$D,'Attrition Modeling'!$B:$B,$E94,'Attrition Modeling'!$C:$C,AV$68),VLOOKUP(AV$69-$F94-1,$A$7:$C$161,2,FALSE)*VLOOKUP(AV$1,'Attrition Modeling'!$L$15:$N$27,IF(AV$2-$F27&lt;=24,2,3),FALSE))*(1+Projection!AX$16)*(1+IF(AV159&gt;0,'Attrition Modeling'!$N$9,0))),0))</f>
        <v>2194.3224647627694</v>
      </c>
      <c r="AW94" s="799">
        <f>IF(AW$69=$F94+1,IF(Monthly!AS$4=TRUE,0,Monthly!AS$17),IF(AW$69&gt;$F94+1,AV94*(1-IF(AW$69-$F94&lt;=12,SUMIFS('Attrition Modeling'!$D:$D,'Attrition Modeling'!$B:$B,$E94,'Attrition Modeling'!$C:$C,AW$68),VLOOKUP(AW$69-$F94-1,$A$7:$C$161,2,FALSE)*VLOOKUP(AW$1,'Attrition Modeling'!$L$15:$N$27,IF(AW$2-$F27&lt;=24,2,3),FALSE))*(1+Projection!AY$16)*(1+IF(AW159&gt;0,'Attrition Modeling'!$N$9,0))),0))</f>
        <v>2074.9155319021293</v>
      </c>
      <c r="AX94" s="799">
        <f>IF(AX$69=$F94+1,IF(Monthly!AT$4=TRUE,0,Monthly!AT$17),IF(AX$69&gt;$F94+1,AW94*(1-IF(AX$69-$F94&lt;=12,SUMIFS('Attrition Modeling'!$D:$D,'Attrition Modeling'!$B:$B,$E94,'Attrition Modeling'!$C:$C,AX$68),VLOOKUP(AX$69-$F94-1,$A$7:$C$161,2,FALSE)*VLOOKUP(AX$1,'Attrition Modeling'!$L$15:$N$27,IF(AX$2-$F27&lt;=24,2,3),FALSE))*(1+Projection!AZ$16)*(1+IF(AX159&gt;0,'Attrition Modeling'!$N$9,0))),0))</f>
        <v>1980.664571565525</v>
      </c>
      <c r="AY94" s="799">
        <f>IF(AY$69=$F94+1,IF(Monthly!AU$4=TRUE,0,Monthly!AU$17),IF(AY$69&gt;$F94+1,AX94*(1-IF(AY$69-$F94&lt;=12,SUMIFS('Attrition Modeling'!$D:$D,'Attrition Modeling'!$B:$B,$E94,'Attrition Modeling'!$C:$C,AY$68),VLOOKUP(AY$69-$F94-1,$A$7:$C$161,2,FALSE)*VLOOKUP(AY$1,'Attrition Modeling'!$L$15:$N$27,IF(AY$2-$F27&lt;=24,2,3),FALSE))*(1+Projection!BA$16)*(1+IF(AY159&gt;0,'Attrition Modeling'!$N$9,0))),0))</f>
        <v>1888.5007582540388</v>
      </c>
      <c r="AZ94" s="799">
        <f>IF(AZ$69=$F94+1,IF(Monthly!AV$4=TRUE,0,Monthly!AV$17),IF(AZ$69&gt;$F94+1,AY94*(1-IF(AZ$69-$F94&lt;=12,SUMIFS('Attrition Modeling'!$D:$D,'Attrition Modeling'!$B:$B,$E94,'Attrition Modeling'!$C:$C,AZ$68),VLOOKUP(AZ$69-$F94-1,$A$7:$C$161,2,FALSE)*VLOOKUP(AZ$1,'Attrition Modeling'!$L$15:$N$27,IF(AZ$2-$F27&lt;=24,2,3),FALSE))*(1+Projection!BB$16)*(1+IF(AZ159&gt;0,'Attrition Modeling'!$N$9,0))),0))</f>
        <v>1809.7388793237326</v>
      </c>
      <c r="BA94" s="799">
        <f>IF(BA$69=$F94+1,IF(Monthly!AW$4=TRUE,0,Monthly!AW$17),IF(BA$69&gt;$F94+1,AZ94*(1-IF(BA$69-$F94&lt;=12,SUMIFS('Attrition Modeling'!$D:$D,'Attrition Modeling'!$B:$B,$E94,'Attrition Modeling'!$C:$C,BA$68),VLOOKUP(BA$69-$F94-1,$A$7:$C$161,2,FALSE)*VLOOKUP(BA$1,'Attrition Modeling'!$L$15:$N$27,IF(BA$2-$F27&lt;=24,2,3),FALSE))*(1+Projection!BC$16)*(1+IF(BA159&gt;0,'Attrition Modeling'!$N$9,0))),0))</f>
        <v>1733.7162127569718</v>
      </c>
      <c r="BB94" s="799">
        <f>IF(BB$69=$F94+1,IF(Monthly!AX$4=TRUE,0,Monthly!AX$17),IF(BB$69&gt;$F94+1,BA94*(1-IF(BB$69-$F94&lt;=12,SUMIFS('Attrition Modeling'!$D:$D,'Attrition Modeling'!$B:$B,$E94,'Attrition Modeling'!$C:$C,BB$68),VLOOKUP(BB$69-$F94-1,$A$7:$C$161,2,FALSE)*VLOOKUP(BB$1,'Attrition Modeling'!$L$15:$N$27,IF(BB$2-$F27&lt;=24,2,3),FALSE))*(1+Projection!BD$16)*(1+IF(BB159&gt;0,'Attrition Modeling'!$N$9,0))),0))</f>
        <v>1664.6561620049188</v>
      </c>
      <c r="BC94" s="799">
        <f>IF(BC$69=$F94+1,IF(Monthly!AY$4=TRUE,0,Monthly!AY$17),IF(BC$69&gt;$F94+1,BB94*(1-IF(BC$69-$F94&lt;=12,SUMIFS('Attrition Modeling'!$D:$D,'Attrition Modeling'!$B:$B,$E94,'Attrition Modeling'!$C:$C,BC$68),VLOOKUP(BC$69-$F94-1,$A$7:$C$161,2,FALSE)*VLOOKUP(BC$1,'Attrition Modeling'!$L$15:$N$27,IF(BC$2-$F27&lt;=24,2,3),FALSE))*(1+Projection!BE$16)*(1+IF(BC159&gt;0,'Attrition Modeling'!$N$9,0))),0))</f>
        <v>1599.9118070489876</v>
      </c>
      <c r="BD94" s="799">
        <f>IF(BD$69=$F94+1,IF(Monthly!AZ$4=TRUE,0,Monthly!AZ$17),IF(BD$69&gt;$F94+1,BC94*(1-IF(BD$69-$F94&lt;=12,SUMIFS('Attrition Modeling'!$D:$D,'Attrition Modeling'!$B:$B,$E94,'Attrition Modeling'!$C:$C,BD$68),VLOOKUP(BD$69-$F94-1,$A$7:$C$161,2,FALSE)*VLOOKUP(BD$1,'Attrition Modeling'!$L$15:$N$27,IF(BD$2-$F27&lt;=24,2,3),FALSE))*(1+Projection!BF$16)*(1+IF(BD159&gt;0,'Attrition Modeling'!$N$9,0))),0))</f>
        <v>1542.502455948058</v>
      </c>
      <c r="BE94" s="799">
        <f>IF(BE$69=$F94+1,IF(Monthly!BA$4=TRUE,0,Monthly!BA$17),IF(BE$69&gt;$F94+1,BD94*(1-IF(BE$69-$F94&lt;=12,SUMIFS('Attrition Modeling'!$D:$D,'Attrition Modeling'!$B:$B,$E94,'Attrition Modeling'!$C:$C,BE$68),VLOOKUP(BE$69-$F94-1,$A$7:$C$161,2,FALSE)*VLOOKUP(BE$1,'Attrition Modeling'!$L$15:$N$27,IF(BE$2-$F27&lt;=24,2,3),FALSE))*(1+Projection!BG$16)*(1+IF(BE159&gt;0,'Attrition Modeling'!$N$9,0))),0))</f>
        <v>1489.6363275085359</v>
      </c>
      <c r="BF94" s="799">
        <f>IF(BF$69=$F94+1,IF(Monthly!BB$4=TRUE,0,Monthly!BB$17),IF(BF$69&gt;$F94+1,BE94*(1-IF(BF$69-$F94&lt;=12,SUMIFS('Attrition Modeling'!$D:$D,'Attrition Modeling'!$B:$B,$E94,'Attrition Modeling'!$C:$C,BF$68),VLOOKUP(BF$69-$F94-1,$A$7:$C$161,2,FALSE)*VLOOKUP(BF$1,'Attrition Modeling'!$L$15:$N$27,IF(BF$2-$F27&lt;=24,2,3),FALSE))*(1+Projection!BH$16)*(1+IF(BF159&gt;0,'Attrition Modeling'!$N$9,0))),0))</f>
        <v>1441.3904863942555</v>
      </c>
      <c r="BG94" s="799">
        <f>IF(BG$69=$F94+1,IF(Monthly!BC$4=TRUE,0,Monthly!BC$17),IF(BG$69&gt;$F94+1,BF94*(1-IF(BG$69-$F94&lt;=12,SUMIFS('Attrition Modeling'!$D:$D,'Attrition Modeling'!$B:$B,$E94,'Attrition Modeling'!$C:$C,BG$68),VLOOKUP(BG$69-$F94-1,$A$7:$C$161,2,FALSE)*VLOOKUP(BG$1,'Attrition Modeling'!$L$15:$N$27,IF(BG$2-$F27&lt;=24,2,3),FALSE))*(1+Projection!BI$16)*(1+IF(BG159&gt;0,'Attrition Modeling'!$N$9,0))),0))</f>
        <v>1404.7543899811592</v>
      </c>
      <c r="BH94" s="799">
        <f>IF(BH$69=$F94+1,IF(Monthly!BD$4=TRUE,0,Monthly!BD$17),IF(BH$69&gt;$F94+1,BG94*(1-IF(BH$69-$F94&lt;=12,SUMIFS('Attrition Modeling'!$D:$D,'Attrition Modeling'!$B:$B,$E94,'Attrition Modeling'!$C:$C,BH$68),VLOOKUP(BH$69-$F94-1,$A$7:$C$161,2,FALSE)*VLOOKUP(BH$1,'Attrition Modeling'!$L$15:$N$27,IF(BH$2-$F27&lt;=24,2,3),FALSE))*(1+Projection!BJ$16)*(1+IF(BH159&gt;0,'Attrition Modeling'!$N$9,0))),0))</f>
        <v>1362.2030419019832</v>
      </c>
      <c r="BI94" s="799">
        <f>IF(BI$69=$F94+1,IF(Monthly!BE$4=TRUE,0,Monthly!BE$17),IF(BI$69&gt;$F94+1,BH94*(1-IF(BI$69-$F94&lt;=12,SUMIFS('Attrition Modeling'!$D:$D,'Attrition Modeling'!$B:$B,$E94,'Attrition Modeling'!$C:$C,BI$68),VLOOKUP(BI$69-$F94-1,$A$7:$C$161,2,FALSE)*VLOOKUP(BI$1,'Attrition Modeling'!$L$15:$N$27,IF(BI$2-$F27&lt;=24,2,3),FALSE))*(1+Projection!BK$16)*(1+IF(BI159&gt;0,'Attrition Modeling'!$N$9,0))),0))</f>
        <v>1306.4003530800044</v>
      </c>
      <c r="BJ94" s="799">
        <f>IF(BJ$69=$F94+1,IF(Monthly!BF$4=TRUE,0,Monthly!BF$17),IF(BJ$69&gt;$F94+1,BI94*(1-IF(BJ$69-$F94&lt;=12,SUMIFS('Attrition Modeling'!$D:$D,'Attrition Modeling'!$B:$B,$E94,'Attrition Modeling'!$C:$C,BJ$68),VLOOKUP(BJ$69-$F94-1,$A$7:$C$161,2,FALSE)*VLOOKUP(BJ$1,'Attrition Modeling'!$L$15:$N$27,IF(BJ$2-$F27&lt;=24,2,3),FALSE))*(1+Projection!BL$16)*(1+IF(BJ159&gt;0,'Attrition Modeling'!$N$9,0))),0))</f>
        <v>1258.4052414569792</v>
      </c>
      <c r="BK94" s="799">
        <f>IF(BK$69=$F94+1,IF(Monthly!BG$4=TRUE,0,Monthly!BG$17),IF(BK$69&gt;$F94+1,BJ94*(1-IF(BK$69-$F94&lt;=12,SUMIFS('Attrition Modeling'!$D:$D,'Attrition Modeling'!$B:$B,$E94,'Attrition Modeling'!$C:$C,BK$68),VLOOKUP(BK$69-$F94-1,$A$7:$C$161,2,FALSE)*VLOOKUP(BK$1,'Attrition Modeling'!$L$15:$N$27,IF(BK$2-$F27&lt;=24,2,3),FALSE))*(1+Projection!BM$16)*(1+IF(BK159&gt;0,'Attrition Modeling'!$N$9,0))),0))</f>
        <v>1209.3527086230779</v>
      </c>
      <c r="BL94" s="799">
        <f>IF(BL$69=$F94+1,IF(Monthly!BH$4=TRUE,0,Monthly!BH$17),IF(BL$69&gt;$F94+1,BK94*(1-IF(BL$69-$F94&lt;=12,SUMIFS('Attrition Modeling'!$D:$D,'Attrition Modeling'!$B:$B,$E94,'Attrition Modeling'!$C:$C,BL$68),VLOOKUP(BL$69-$F94-1,$A$7:$C$161,2,FALSE)*VLOOKUP(BL$1,'Attrition Modeling'!$L$15:$N$27,IF(BL$2-$F27&lt;=24,2,3),FALSE))*(1+Projection!BN$16)*(1+IF(BL159&gt;0,'Attrition Modeling'!$N$9,0))),0))</f>
        <v>1165.6013842049356</v>
      </c>
      <c r="BM94" s="799">
        <f>IF(BM$69=$F94+1,IF(Monthly!BI$4=TRUE,0,Monthly!BI$17),IF(BM$69&gt;$F94+1,BL94*(1-IF(BM$69-$F94&lt;=12,SUMIFS('Attrition Modeling'!$D:$D,'Attrition Modeling'!$B:$B,$E94,'Attrition Modeling'!$C:$C,BM$68),VLOOKUP(BM$69-$F94-1,$A$7:$C$161,2,FALSE)*VLOOKUP(BM$1,'Attrition Modeling'!$L$15:$N$27,IF(BM$2-$F27&lt;=24,2,3),FALSE))*(1+Projection!BO$16)*(1+IF(BM159&gt;0,'Attrition Modeling'!$N$9,0))),0))</f>
        <v>1125.3518580315254</v>
      </c>
      <c r="BN94" s="799">
        <f>IF(BN$69=$F94+1,IF(Monthly!BJ$4=TRUE,0,Monthly!BJ$17),IF(BN$69&gt;$F94+1,BM94*(1-IF(BN$69-$F94&lt;=12,SUMIFS('Attrition Modeling'!$D:$D,'Attrition Modeling'!$B:$B,$E94,'Attrition Modeling'!$C:$C,BN$68),VLOOKUP(BN$69-$F94-1,$A$7:$C$161,2,FALSE)*VLOOKUP(BN$1,'Attrition Modeling'!$L$15:$N$27,IF(BN$2-$F27&lt;=24,2,3),FALSE))*(1+Projection!BP$16)*(1+IF(BN159&gt;0,'Attrition Modeling'!$N$9,0))),0))</f>
        <v>1087.7978369589516</v>
      </c>
      <c r="BO94" s="799">
        <f>IF(BO$69=$F94+1,IF(Monthly!BK$4=TRUE,0,Monthly!BK$17),IF(BO$69&gt;$F94+1,BN94*(1-IF(BO$69-$F94&lt;=12,SUMIFS('Attrition Modeling'!$D:$D,'Attrition Modeling'!$B:$B,$E94,'Attrition Modeling'!$C:$C,BO$68),VLOOKUP(BO$69-$F94-1,$A$7:$C$161,2,FALSE)*VLOOKUP(BO$1,'Attrition Modeling'!$L$15:$N$27,IF(BO$2-$F27&lt;=24,2,3),FALSE))*(1+Projection!BV$16)*(1+IF(BO159&gt;0,'Attrition Modeling'!$N$9,0))),0))</f>
        <v>1058.2135760477922</v>
      </c>
      <c r="BP94" s="799">
        <f>IF(BP$69=$F94+1,IF(Monthly!BL$4=TRUE,0,Monthly!BL$17),IF(BP$69&gt;$F94+1,BO94*(1-IF(BP$69-$F94&lt;=12,SUMIFS('Attrition Modeling'!$D:$D,'Attrition Modeling'!$B:$B,$E94,'Attrition Modeling'!$C:$C,BP$68),VLOOKUP(BP$69-$F94-1,$A$7:$C$161,2,FALSE)*VLOOKUP(BP$1,'Attrition Modeling'!$L$15:$N$27,IF(BP$2-$F27&lt;=24,2,3),FALSE))*(1+Projection!BW$16)*(1+IF(BP159&gt;0,'Attrition Modeling'!$N$9,0))),0))</f>
        <v>1026.6966660474438</v>
      </c>
      <c r="BQ94" s="799">
        <f>IF(BQ$69=$F94+1,IF(Monthly!BM$4=TRUE,0,Monthly!BM$17),IF(BQ$69&gt;$F94+1,BP94*(1-IF(BQ$69-$F94&lt;=12,SUMIFS('Attrition Modeling'!$D:$D,'Attrition Modeling'!$B:$B,$E94,'Attrition Modeling'!$C:$C,BQ$68),VLOOKUP(BQ$69-$F94-1,$A$7:$C$161,2,FALSE)*VLOOKUP(BQ$1,'Attrition Modeling'!$L$15:$N$27,IF(BQ$2-$F27&lt;=24,2,3),FALSE))*(1+Projection!BX$16)*(1+IF(BQ159&gt;0,'Attrition Modeling'!$N$9,0))),0))</f>
        <v>997.39298572132509</v>
      </c>
      <c r="BR94" s="799">
        <f>IF(BR$69=$F94+1,IF(Monthly!BN$4=TRUE,0,Monthly!BN$17),IF(BR$69&gt;$F94+1,BQ94*(1-IF(BR$69-$F94&lt;=12,SUMIFS('Attrition Modeling'!$D:$D,'Attrition Modeling'!$B:$B,$E94,'Attrition Modeling'!$C:$C,BR$68),VLOOKUP(BR$69-$F94-1,$A$7:$C$161,2,FALSE)*VLOOKUP(BR$1,'Attrition Modeling'!$L$15:$N$27,IF(BR$2-$F27&lt;=24,2,3),FALSE))*(1+Projection!BY$16)*(1+IF(BR159&gt;0,'Attrition Modeling'!$N$9,0))),0))</f>
        <v>970.40762819174313</v>
      </c>
      <c r="BS94" s="799">
        <f>IF(BS$69=$F94+1,IF(Monthly!BO$4=TRUE,0,Monthly!BO$17),IF(BS$69&gt;$F94+1,BR94*(1-IF(BS$69-$F94&lt;=12,SUMIFS('Attrition Modeling'!$D:$D,'Attrition Modeling'!$B:$B,$E94,'Attrition Modeling'!$C:$C,BS$68),VLOOKUP(BS$69-$F94-1,$A$7:$C$161,2,FALSE)*VLOOKUP(BS$1,'Attrition Modeling'!$L$15:$N$27,IF(BS$2-$F27&lt;=24,2,3),FALSE))*(1+Projection!BZ$16)*(1+IF(BS159&gt;0,'Attrition Modeling'!$N$9,0))),0))</f>
        <v>949.7426452593329</v>
      </c>
      <c r="BT94" s="799">
        <f>IF(BT$69=$F94+1,IF(Monthly!#REF!=TRUE,0,Monthly!#REF!),IF(BT$69&gt;$F94+1,BS94*(1-IF(BT$69-$F94&lt;=12,SUMIFS('Attrition Modeling'!$D:$D,'Attrition Modeling'!$B:$B,$E94,'Attrition Modeling'!$C:$C,BT$68),VLOOKUP(BT$69-$F94-1,$A$7:$C$161,2,FALSE)*VLOOKUP(BT$1,'Attrition Modeling'!$L$15:$N$27,IF(BT$2-$F27&lt;=24,2,3),FALSE))*(1+Projection!CA$16)*(1+IF(BT159&gt;0,'Attrition Modeling'!$N$9,0))),0))</f>
        <v>925.57315485266304</v>
      </c>
      <c r="BU94" s="799">
        <f>IF(BU$69=$F94+1,IF(Monthly!#REF!=TRUE,0,Monthly!#REF!),IF(BU$69&gt;$F94+1,BT94*(1-IF(BU$69-$F94&lt;=12,SUMIFS('Attrition Modeling'!$D:$D,'Attrition Modeling'!$B:$B,$E94,'Attrition Modeling'!$C:$C,BU$68),VLOOKUP(BU$69-$F94-1,$A$7:$C$161,2,FALSE)*VLOOKUP(BU$1,'Attrition Modeling'!$L$15:$N$27,IF(BU$2-$F27&lt;=24,2,3),FALSE))*(1+Projection!CB$16)*(1+IF(BU159&gt;0,'Attrition Modeling'!$N$9,0))),0))</f>
        <v>893.63583440747732</v>
      </c>
    </row>
    <row r="95" spans="1:73" ht="14.25" customHeight="1" x14ac:dyDescent="0.2">
      <c r="A95" s="9">
        <v>88</v>
      </c>
      <c r="B95" s="25">
        <f>MAX('Attrition Modeling'!H92,$C$3)*(1-Summary!$C$20)</f>
        <v>0.02</v>
      </c>
      <c r="C95" s="24" t="e">
        <f t="shared" si="4"/>
        <v>#DIV/0!</v>
      </c>
      <c r="E95" s="11">
        <f t="shared" si="9"/>
        <v>1</v>
      </c>
      <c r="F95" s="11">
        <f t="shared" si="10"/>
        <v>25</v>
      </c>
      <c r="G95" s="799"/>
      <c r="H95" s="799">
        <f>IF(H$69=$F95+1,IF(Monthly!D$4=TRUE,0,Monthly!D$17),IF(H$69&gt;$F95+1,G95*(1-IF(H$69-$F95&lt;=12,SUMIFS('Attrition Modeling'!$D:$D,'Attrition Modeling'!$B:$B,$E95,'Attrition Modeling'!$C:$C,H$68),VLOOKUP(H$69-$F95-1,$A$7:$C$161,2,FALSE)*VLOOKUP(H$1,'Attrition Modeling'!$L$15:$N$27,IF(H$2-$F28&lt;=24,2,3),FALSE))*(1+Projection!J$16)*(1+IF(H160&gt;0,'Attrition Modeling'!$N$9,0))),0))</f>
        <v>0</v>
      </c>
      <c r="I95" s="799">
        <f>IF(I$69=$F95+1,IF(Monthly!E$4=TRUE,0,Monthly!E$17),IF(I$69&gt;$F95+1,H95*(1-IF(I$69-$F95&lt;=12,SUMIFS('Attrition Modeling'!$D:$D,'Attrition Modeling'!$B:$B,$E95,'Attrition Modeling'!$C:$C,I$68),VLOOKUP(I$69-$F95-1,$A$7:$C$161,2,FALSE)*VLOOKUP(I$1,'Attrition Modeling'!$L$15:$N$27,IF(I$2-$F28&lt;=24,2,3),FALSE))*(1+Projection!K$16)*(1+IF(I160&gt;0,'Attrition Modeling'!$N$9,0))),0))</f>
        <v>0</v>
      </c>
      <c r="J95" s="799">
        <f>IF(J$69=$F95+1,IF(Monthly!F$4=TRUE,0,Monthly!F$17),IF(J$69&gt;$F95+1,I95*(1-IF(J$69-$F95&lt;=12,SUMIFS('Attrition Modeling'!$D:$D,'Attrition Modeling'!$B:$B,$E95,'Attrition Modeling'!$C:$C,J$68),VLOOKUP(J$69-$F95-1,$A$7:$C$161,2,FALSE)*VLOOKUP(J$1,'Attrition Modeling'!$L$15:$N$27,IF(J$2-$F28&lt;=24,2,3),FALSE))*(1+Projection!L$16)*(1+IF(J160&gt;0,'Attrition Modeling'!$N$9,0))),0))</f>
        <v>0</v>
      </c>
      <c r="K95" s="799">
        <f>IF(K$69=$F95+1,IF(Monthly!G$4=TRUE,0,Monthly!G$17),IF(K$69&gt;$F95+1,J95*(1-IF(K$69-$F95&lt;=12,SUMIFS('Attrition Modeling'!$D:$D,'Attrition Modeling'!$B:$B,$E95,'Attrition Modeling'!$C:$C,K$68),VLOOKUP(K$69-$F95-1,$A$7:$C$161,2,FALSE)*VLOOKUP(K$1,'Attrition Modeling'!$L$15:$N$27,IF(K$2-$F28&lt;=24,2,3),FALSE))*(1+Projection!M$16)*(1+IF(K160&gt;0,'Attrition Modeling'!$N$9,0))),0))</f>
        <v>0</v>
      </c>
      <c r="L95" s="799">
        <f>IF(L$69=$F95+1,IF(Monthly!H$4=TRUE,0,Monthly!H$17),IF(L$69&gt;$F95+1,K95*(1-IF(L$69-$F95&lt;=12,SUMIFS('Attrition Modeling'!$D:$D,'Attrition Modeling'!$B:$B,$E95,'Attrition Modeling'!$C:$C,L$68),VLOOKUP(L$69-$F95-1,$A$7:$C$161,2,FALSE)*VLOOKUP(L$1,'Attrition Modeling'!$L$15:$N$27,IF(L$2-$F28&lt;=24,2,3),FALSE))*(1+Projection!N$16)*(1+IF(L160&gt;0,'Attrition Modeling'!$N$9,0))),0))</f>
        <v>0</v>
      </c>
      <c r="M95" s="799">
        <f>IF(M$69=$F95+1,IF(Monthly!I$4=TRUE,0,Monthly!I$17),IF(M$69&gt;$F95+1,L95*(1-IF(M$69-$F95&lt;=12,SUMIFS('Attrition Modeling'!$D:$D,'Attrition Modeling'!$B:$B,$E95,'Attrition Modeling'!$C:$C,M$68),VLOOKUP(M$69-$F95-1,$A$7:$C$161,2,FALSE)*VLOOKUP(M$1,'Attrition Modeling'!$L$15:$N$27,IF(M$2-$F28&lt;=24,2,3),FALSE))*(1+Projection!O$16)*(1+IF(M160&gt;0,'Attrition Modeling'!$N$9,0))),0))</f>
        <v>0</v>
      </c>
      <c r="N95" s="799">
        <f>IF(N$69=$F95+1,IF(Monthly!J$4=TRUE,0,Monthly!J$17),IF(N$69&gt;$F95+1,M95*(1-IF(N$69-$F95&lt;=12,SUMIFS('Attrition Modeling'!$D:$D,'Attrition Modeling'!$B:$B,$E95,'Attrition Modeling'!$C:$C,N$68),VLOOKUP(N$69-$F95-1,$A$7:$C$161,2,FALSE)*VLOOKUP(N$1,'Attrition Modeling'!$L$15:$N$27,IF(N$2-$F28&lt;=24,2,3),FALSE))*(1+Projection!P$16)*(1+IF(N160&gt;0,'Attrition Modeling'!$N$9,0))),0))</f>
        <v>0</v>
      </c>
      <c r="O95" s="799">
        <f>IF(O$69=$F95+1,IF(Monthly!K$4=TRUE,0,Monthly!K$17),IF(O$69&gt;$F95+1,N95*(1-IF(O$69-$F95&lt;=12,SUMIFS('Attrition Modeling'!$D:$D,'Attrition Modeling'!$B:$B,$E95,'Attrition Modeling'!$C:$C,O$68),VLOOKUP(O$69-$F95-1,$A$7:$C$161,2,FALSE)*VLOOKUP(O$1,'Attrition Modeling'!$L$15:$N$27,IF(O$2-$F28&lt;=24,2,3),FALSE))*(1+Projection!Q$16)*(1+IF(O160&gt;0,'Attrition Modeling'!$N$9,0))),0))</f>
        <v>0</v>
      </c>
      <c r="P95" s="799">
        <f>IF(P$69=$F95+1,IF(Monthly!L$4=TRUE,0,Monthly!L$17),IF(P$69&gt;$F95+1,O95*(1-IF(P$69-$F95&lt;=12,SUMIFS('Attrition Modeling'!$D:$D,'Attrition Modeling'!$B:$B,$E95,'Attrition Modeling'!$C:$C,P$68),VLOOKUP(P$69-$F95-1,$A$7:$C$161,2,FALSE)*VLOOKUP(P$1,'Attrition Modeling'!$L$15:$N$27,IF(P$2-$F28&lt;=24,2,3),FALSE))*(1+Projection!R$16)*(1+IF(P160&gt;0,'Attrition Modeling'!$N$9,0))),0))</f>
        <v>0</v>
      </c>
      <c r="Q95" s="799">
        <f>IF(Q$69=$F95+1,IF(Monthly!M$4=TRUE,0,Monthly!M$17),IF(Q$69&gt;$F95+1,P95*(1-IF(Q$69-$F95&lt;=12,SUMIFS('Attrition Modeling'!$D:$D,'Attrition Modeling'!$B:$B,$E95,'Attrition Modeling'!$C:$C,Q$68),VLOOKUP(Q$69-$F95-1,$A$7:$C$161,2,FALSE)*VLOOKUP(Q$1,'Attrition Modeling'!$L$15:$N$27,IF(Q$2-$F28&lt;=24,2,3),FALSE))*(1+Projection!S$16)*(1+IF(Q160&gt;0,'Attrition Modeling'!$N$9,0))),0))</f>
        <v>0</v>
      </c>
      <c r="R95" s="799">
        <f>IF(R$69=$F95+1,IF(Monthly!N$4=TRUE,0,Monthly!N$17),IF(R$69&gt;$F95+1,Q95*(1-IF(R$69-$F95&lt;=12,SUMIFS('Attrition Modeling'!$D:$D,'Attrition Modeling'!$B:$B,$E95,'Attrition Modeling'!$C:$C,R$68),VLOOKUP(R$69-$F95-1,$A$7:$C$161,2,FALSE)*VLOOKUP(R$1,'Attrition Modeling'!$L$15:$N$27,IF(R$2-$F28&lt;=24,2,3),FALSE))*(1+Projection!T$16)*(1+IF(R160&gt;0,'Attrition Modeling'!$N$9,0))),0))</f>
        <v>0</v>
      </c>
      <c r="S95" s="799">
        <f>IF(S$69=$F95+1,IF(Monthly!O$4=TRUE,0,Monthly!O$17),IF(S$69&gt;$F95+1,R95*(1-IF(S$69-$F95&lt;=12,SUMIFS('Attrition Modeling'!$D:$D,'Attrition Modeling'!$B:$B,$E95,'Attrition Modeling'!$C:$C,S$68),VLOOKUP(S$69-$F95-1,$A$7:$C$161,2,FALSE)*VLOOKUP(S$1,'Attrition Modeling'!$L$15:$N$27,IF(S$2-$F28&lt;=24,2,3),FALSE))*(1+Projection!U$16)*(1+IF(S160&gt;0,'Attrition Modeling'!$N$9,0))),0))</f>
        <v>0</v>
      </c>
      <c r="T95" s="799">
        <f>IF(T$69=$F95+1,IF(Monthly!P$4=TRUE,0,Monthly!P$17),IF(T$69&gt;$F95+1,S95*(1-IF(T$69-$F95&lt;=12,SUMIFS('Attrition Modeling'!$D:$D,'Attrition Modeling'!$B:$B,$E95,'Attrition Modeling'!$C:$C,T$68),VLOOKUP(T$69-$F95-1,$A$7:$C$161,2,FALSE)*VLOOKUP(T$1,'Attrition Modeling'!$L$15:$N$27,IF(T$2-$F28&lt;=24,2,3),FALSE))*(1+Projection!V$16)*(1+IF(T160&gt;0,'Attrition Modeling'!$N$9,0))),0))</f>
        <v>0</v>
      </c>
      <c r="U95" s="799">
        <f>IF(U$69=$F95+1,IF(Monthly!Q$4=TRUE,0,Monthly!Q$17),IF(U$69&gt;$F95+1,T95*(1-IF(U$69-$F95&lt;=12,SUMIFS('Attrition Modeling'!$D:$D,'Attrition Modeling'!$B:$B,$E95,'Attrition Modeling'!$C:$C,U$68),VLOOKUP(U$69-$F95-1,$A$7:$C$161,2,FALSE)*VLOOKUP(U$1,'Attrition Modeling'!$L$15:$N$27,IF(U$2-$F28&lt;=24,2,3),FALSE))*(1+Projection!W$16)*(1+IF(U160&gt;0,'Attrition Modeling'!$N$9,0))),0))</f>
        <v>0</v>
      </c>
      <c r="V95" s="799">
        <f>IF(V$69=$F95+1,IF(Monthly!R$4=TRUE,0,Monthly!R$17),IF(V$69&gt;$F95+1,U95*(1-IF(V$69-$F95&lt;=12,SUMIFS('Attrition Modeling'!$D:$D,'Attrition Modeling'!$B:$B,$E95,'Attrition Modeling'!$C:$C,V$68),VLOOKUP(V$69-$F95-1,$A$7:$C$161,2,FALSE)*VLOOKUP(V$1,'Attrition Modeling'!$L$15:$N$27,IF(V$2-$F28&lt;=24,2,3),FALSE))*(1+Projection!X$16)*(1+IF(V160&gt;0,'Attrition Modeling'!$N$9,0))),0))</f>
        <v>0</v>
      </c>
      <c r="W95" s="799">
        <f>IF(W$69=$F95+1,IF(Monthly!S$4=TRUE,0,Monthly!S$17),IF(W$69&gt;$F95+1,V95*(1-IF(W$69-$F95&lt;=12,SUMIFS('Attrition Modeling'!$D:$D,'Attrition Modeling'!$B:$B,$E95,'Attrition Modeling'!$C:$C,W$68),VLOOKUP(W$69-$F95-1,$A$7:$C$161,2,FALSE)*VLOOKUP(W$1,'Attrition Modeling'!$L$15:$N$27,IF(W$2-$F28&lt;=24,2,3),FALSE))*(1+Projection!Y$16)*(1+IF(W160&gt;0,'Attrition Modeling'!$N$9,0))),0))</f>
        <v>0</v>
      </c>
      <c r="X95" s="799">
        <f>IF(X$69=$F95+1,IF(Monthly!T$4=TRUE,0,Monthly!T$17),IF(X$69&gt;$F95+1,W95*(1-IF(X$69-$F95&lt;=12,SUMIFS('Attrition Modeling'!$D:$D,'Attrition Modeling'!$B:$B,$E95,'Attrition Modeling'!$C:$C,X$68),VLOOKUP(X$69-$F95-1,$A$7:$C$161,2,FALSE)*VLOOKUP(X$1,'Attrition Modeling'!$L$15:$N$27,IF(X$2-$F28&lt;=24,2,3),FALSE))*(1+Projection!Z$16)*(1+IF(X160&gt;0,'Attrition Modeling'!$N$9,0))),0))</f>
        <v>0</v>
      </c>
      <c r="Y95" s="799">
        <f>IF(Y$69=$F95+1,IF(Monthly!U$4=TRUE,0,Monthly!U$17),IF(Y$69&gt;$F95+1,X95*(1-IF(Y$69-$F95&lt;=12,SUMIFS('Attrition Modeling'!$D:$D,'Attrition Modeling'!$B:$B,$E95,'Attrition Modeling'!$C:$C,Y$68),VLOOKUP(Y$69-$F95-1,$A$7:$C$161,2,FALSE)*VLOOKUP(Y$1,'Attrition Modeling'!$L$15:$N$27,IF(Y$2-$F28&lt;=24,2,3),FALSE))*(1+Projection!AA$16)*(1+IF(Y160&gt;0,'Attrition Modeling'!$N$9,0))),0))</f>
        <v>0</v>
      </c>
      <c r="Z95" s="799">
        <f>IF(Z$69=$F95+1,IF(Monthly!V$4=TRUE,0,Monthly!V$17),IF(Z$69&gt;$F95+1,Y95*(1-IF(Z$69-$F95&lt;=12,SUMIFS('Attrition Modeling'!$D:$D,'Attrition Modeling'!$B:$B,$E95,'Attrition Modeling'!$C:$C,Z$68),VLOOKUP(Z$69-$F95-1,$A$7:$C$161,2,FALSE)*VLOOKUP(Z$1,'Attrition Modeling'!$L$15:$N$27,IF(Z$2-$F28&lt;=24,2,3),FALSE))*(1+Projection!AB$16)*(1+IF(Z160&gt;0,'Attrition Modeling'!$N$9,0))),0))</f>
        <v>0</v>
      </c>
      <c r="AA95" s="799">
        <f>IF(AA$69=$F95+1,IF(Monthly!W$4=TRUE,0,Monthly!W$17),IF(AA$69&gt;$F95+1,Z95*(1-IF(AA$69-$F95&lt;=12,SUMIFS('Attrition Modeling'!$D:$D,'Attrition Modeling'!$B:$B,$E95,'Attrition Modeling'!$C:$C,AA$68),VLOOKUP(AA$69-$F95-1,$A$7:$C$161,2,FALSE)*VLOOKUP(AA$1,'Attrition Modeling'!$L$15:$N$27,IF(AA$2-$F28&lt;=24,2,3),FALSE))*(1+Projection!AC$16)*(1+IF(AA160&gt;0,'Attrition Modeling'!$N$9,0))),0))</f>
        <v>0</v>
      </c>
      <c r="AB95" s="799">
        <f>IF(AB$69=$F95+1,IF(Monthly!X$4=TRUE,0,Monthly!X$17),IF(AB$69&gt;$F95+1,AA95*(1-IF(AB$69-$F95&lt;=12,SUMIFS('Attrition Modeling'!$D:$D,'Attrition Modeling'!$B:$B,$E95,'Attrition Modeling'!$C:$C,AB$68),VLOOKUP(AB$69-$F95-1,$A$7:$C$161,2,FALSE)*VLOOKUP(AB$1,'Attrition Modeling'!$L$15:$N$27,IF(AB$2-$F28&lt;=24,2,3),FALSE))*(1+Projection!AD$16)*(1+IF(AB160&gt;0,'Attrition Modeling'!$N$9,0))),0))</f>
        <v>0</v>
      </c>
      <c r="AC95" s="799">
        <f>IF(AC$69=$F95+1,IF(Monthly!Y$4=TRUE,0,Monthly!Y$17),IF(AC$69&gt;$F95+1,AB95*(1-IF(AC$69-$F95&lt;=12,SUMIFS('Attrition Modeling'!$D:$D,'Attrition Modeling'!$B:$B,$E95,'Attrition Modeling'!$C:$C,AC$68),VLOOKUP(AC$69-$F95-1,$A$7:$C$161,2,FALSE)*VLOOKUP(AC$1,'Attrition Modeling'!$L$15:$N$27,IF(AC$2-$F28&lt;=24,2,3),FALSE))*(1+Projection!AE$16)*(1+IF(AC160&gt;0,'Attrition Modeling'!$N$9,0))),0))</f>
        <v>0</v>
      </c>
      <c r="AD95" s="799">
        <f>IF(AD$69=$F95+1,IF(Monthly!Z$4=TRUE,0,Monthly!Z$17),IF(AD$69&gt;$F95+1,AC95*(1-IF(AD$69-$F95&lt;=12,SUMIFS('Attrition Modeling'!$D:$D,'Attrition Modeling'!$B:$B,$E95,'Attrition Modeling'!$C:$C,AD$68),VLOOKUP(AD$69-$F95-1,$A$7:$C$161,2,FALSE)*VLOOKUP(AD$1,'Attrition Modeling'!$L$15:$N$27,IF(AD$2-$F28&lt;=24,2,3),FALSE))*(1+Projection!AF$16)*(1+IF(AD160&gt;0,'Attrition Modeling'!$N$9,0))),0))</f>
        <v>0</v>
      </c>
      <c r="AE95" s="799">
        <f>IF(AE$69=$F95+1,IF(Monthly!AA$4=TRUE,0,Monthly!AA$17),IF(AE$69&gt;$F95+1,AD95*(1-IF(AE$69-$F95&lt;=12,SUMIFS('Attrition Modeling'!$D:$D,'Attrition Modeling'!$B:$B,$E95,'Attrition Modeling'!$C:$C,AE$68),VLOOKUP(AE$69-$F95-1,$A$7:$C$161,2,FALSE)*VLOOKUP(AE$1,'Attrition Modeling'!$L$15:$N$27,IF(AE$2-$F28&lt;=24,2,3),FALSE))*(1+Projection!AG$16)*(1+IF(AE160&gt;0,'Attrition Modeling'!$N$9,0))),0))</f>
        <v>0</v>
      </c>
      <c r="AF95" s="799">
        <f>IF(AF$69=$F95+1,IF(Monthly!AB$4=TRUE,0,Monthly!AB$17),IF(AF$69&gt;$F95+1,AE95*(1-IF(AF$69-$F95&lt;=12,SUMIFS('Attrition Modeling'!$D:$D,'Attrition Modeling'!$B:$B,$E95,'Attrition Modeling'!$C:$C,AF$68),VLOOKUP(AF$69-$F95-1,$A$7:$C$161,2,FALSE)*VLOOKUP(AF$1,'Attrition Modeling'!$L$15:$N$27,IF(AF$2-$F28&lt;=24,2,3),FALSE))*(1+Projection!AH$16)*(1+IF(AF160&gt;0,'Attrition Modeling'!$N$9,0))),0))</f>
        <v>0</v>
      </c>
      <c r="AG95" s="799">
        <f>IF(AG$69=$F95+1,IF(Monthly!AC$4=TRUE,0,Monthly!AC$17),IF(AG$69&gt;$F95+1,AF95*(1-IF(AG$69-$F95&lt;=12,SUMIFS('Attrition Modeling'!$D:$D,'Attrition Modeling'!$B:$B,$E95,'Attrition Modeling'!$C:$C,AG$68),VLOOKUP(AG$69-$F95-1,$A$7:$C$161,2,FALSE)*VLOOKUP(AG$1,'Attrition Modeling'!$L$15:$N$27,IF(AG$2-$F28&lt;=24,2,3),FALSE))*(1+Projection!AI$16)*(1+IF(AG160&gt;0,'Attrition Modeling'!$N$9,0))),0))</f>
        <v>6229.1181348774999</v>
      </c>
      <c r="AH95" s="799">
        <f>IF(AH$69=$F95+1,IF(Monthly!AD$4=TRUE,0,Monthly!AD$17),IF(AH$69&gt;$F95+1,AG95*(1-IF(AH$69-$F95&lt;=12,SUMIFS('Attrition Modeling'!$D:$D,'Attrition Modeling'!$B:$B,$E95,'Attrition Modeling'!$C:$C,AH$68),VLOOKUP(AH$69-$F95-1,$A$7:$C$161,2,FALSE)*VLOOKUP(AH$1,'Attrition Modeling'!$L$15:$N$27,IF(AH$2-$F28&lt;=24,2,3),FALSE))*(1+Projection!AJ$16)*(1+IF(AH160&gt;0,'Attrition Modeling'!$N$9,0))),0))</f>
        <v>5601.5114350514923</v>
      </c>
      <c r="AI95" s="799">
        <f>IF(AI$69=$F95+1,IF(Monthly!AE$4=TRUE,0,Monthly!AE$17),IF(AI$69&gt;$F95+1,AH95*(1-IF(AI$69-$F95&lt;=12,SUMIFS('Attrition Modeling'!$D:$D,'Attrition Modeling'!$B:$B,$E95,'Attrition Modeling'!$C:$C,AI$68),VLOOKUP(AI$69-$F95-1,$A$7:$C$161,2,FALSE)*VLOOKUP(AI$1,'Attrition Modeling'!$L$15:$N$27,IF(AI$2-$F28&lt;=24,2,3),FALSE))*(1+Projection!AK$16)*(1+IF(AI160&gt;0,'Attrition Modeling'!$N$9,0))),0))</f>
        <v>5133.7201966769317</v>
      </c>
      <c r="AJ95" s="799">
        <f>IF(AJ$69=$F95+1,IF(Monthly!AF$4=TRUE,0,Monthly!AF$17),IF(AJ$69&gt;$F95+1,AI95*(1-IF(AJ$69-$F95&lt;=12,SUMIFS('Attrition Modeling'!$D:$D,'Attrition Modeling'!$B:$B,$E95,'Attrition Modeling'!$C:$C,AJ$68),VLOOKUP(AJ$69-$F95-1,$A$7:$C$161,2,FALSE)*VLOOKUP(AJ$1,'Attrition Modeling'!$L$15:$N$27,IF(AJ$2-$F28&lt;=24,2,3),FALSE))*(1+Projection!AL$16)*(1+IF(AJ160&gt;0,'Attrition Modeling'!$N$9,0))),0))</f>
        <v>4661.5263114160052</v>
      </c>
      <c r="AK95" s="799">
        <f>IF(AK$69=$F95+1,IF(Monthly!AG$4=TRUE,0,Monthly!AG$17),IF(AK$69&gt;$F95+1,AJ95*(1-IF(AK$69-$F95&lt;=12,SUMIFS('Attrition Modeling'!$D:$D,'Attrition Modeling'!$B:$B,$E95,'Attrition Modeling'!$C:$C,AK$68),VLOOKUP(AK$69-$F95-1,$A$7:$C$161,2,FALSE)*VLOOKUP(AK$1,'Attrition Modeling'!$L$15:$N$27,IF(AK$2-$F28&lt;=24,2,3),FALSE))*(1+Projection!AM$16)*(1+IF(AK160&gt;0,'Attrition Modeling'!$N$9,0))),0))</f>
        <v>4283.9364803613144</v>
      </c>
      <c r="AL95" s="799">
        <f>IF(AL$69=$F95+1,IF(Monthly!AH$4=TRUE,0,Monthly!AH$17),IF(AL$69&gt;$F95+1,AK95*(1-IF(AL$69-$F95&lt;=12,SUMIFS('Attrition Modeling'!$D:$D,'Attrition Modeling'!$B:$B,$E95,'Attrition Modeling'!$C:$C,AL$68),VLOOKUP(AL$69-$F95-1,$A$7:$C$161,2,FALSE)*VLOOKUP(AL$1,'Attrition Modeling'!$L$15:$N$27,IF(AL$2-$F28&lt;=24,2,3),FALSE))*(1+Projection!AN$16)*(1+IF(AL160&gt;0,'Attrition Modeling'!$N$9,0))),0))</f>
        <v>3842.7092381820135</v>
      </c>
      <c r="AM95" s="799">
        <f>IF(AM$69=$F95+1,IF(Monthly!AI$4=TRUE,0,Monthly!AI$17),IF(AM$69&gt;$F95+1,AL95*(1-IF(AM$69-$F95&lt;=12,SUMIFS('Attrition Modeling'!$D:$D,'Attrition Modeling'!$B:$B,$E95,'Attrition Modeling'!$C:$C,AM$68),VLOOKUP(AM$69-$F95-1,$A$7:$C$161,2,FALSE)*VLOOKUP(AM$1,'Attrition Modeling'!$L$15:$N$27,IF(AM$2-$F28&lt;=24,2,3),FALSE))*(1+Projection!AO$16)*(1+IF(AM160&gt;0,'Attrition Modeling'!$N$9,0))),0))</f>
        <v>3549.6286097636148</v>
      </c>
      <c r="AN95" s="799">
        <f>IF(AN$69=$F95+1,IF(Monthly!AJ$4=TRUE,0,Monthly!AJ$17),IF(AN$69&gt;$F95+1,AM95*(1-IF(AN$69-$F95&lt;=12,SUMIFS('Attrition Modeling'!$D:$D,'Attrition Modeling'!$B:$B,$E95,'Attrition Modeling'!$C:$C,AN$68),VLOOKUP(AN$69-$F95-1,$A$7:$C$161,2,FALSE)*VLOOKUP(AN$1,'Attrition Modeling'!$L$15:$N$27,IF(AN$2-$F28&lt;=24,2,3),FALSE))*(1+Projection!AP$16)*(1+IF(AN160&gt;0,'Attrition Modeling'!$N$9,0))),0))</f>
        <v>3331.9287157493713</v>
      </c>
      <c r="AO95" s="799">
        <f>IF(AO$69=$F95+1,IF(Monthly!AK$4=TRUE,0,Monthly!AK$17),IF(AO$69&gt;$F95+1,AN95*(1-IF(AO$69-$F95&lt;=12,SUMIFS('Attrition Modeling'!$D:$D,'Attrition Modeling'!$B:$B,$E95,'Attrition Modeling'!$C:$C,AO$68),VLOOKUP(AO$69-$F95-1,$A$7:$C$161,2,FALSE)*VLOOKUP(AO$1,'Attrition Modeling'!$L$15:$N$27,IF(AO$2-$F28&lt;=24,2,3),FALSE))*(1+Projection!AQ$16)*(1+IF(AO160&gt;0,'Attrition Modeling'!$N$9,0))),0))</f>
        <v>3118.1129858651943</v>
      </c>
      <c r="AP95" s="799">
        <f>IF(AP$69=$F95+1,IF(Monthly!AL$4=TRUE,0,Monthly!AL$17),IF(AP$69&gt;$F95+1,AO95*(1-IF(AP$69-$F95&lt;=12,SUMIFS('Attrition Modeling'!$D:$D,'Attrition Modeling'!$B:$B,$E95,'Attrition Modeling'!$C:$C,AP$68),VLOOKUP(AP$69-$F95-1,$A$7:$C$161,2,FALSE)*VLOOKUP(AP$1,'Attrition Modeling'!$L$15:$N$27,IF(AP$2-$F28&lt;=24,2,3),FALSE))*(1+Projection!AR$16)*(1+IF(AP160&gt;0,'Attrition Modeling'!$N$9,0))),0))</f>
        <v>2931.8434017646182</v>
      </c>
      <c r="AQ95" s="799">
        <f>IF(AQ$69=$F95+1,IF(Monthly!AM$4=TRUE,0,Monthly!AM$17),IF(AQ$69&gt;$F95+1,AP95*(1-IF(AQ$69-$F95&lt;=12,SUMIFS('Attrition Modeling'!$D:$D,'Attrition Modeling'!$B:$B,$E95,'Attrition Modeling'!$C:$C,AQ$68),VLOOKUP(AQ$69-$F95-1,$A$7:$C$161,2,FALSE)*VLOOKUP(AQ$1,'Attrition Modeling'!$L$15:$N$27,IF(AQ$2-$F28&lt;=24,2,3),FALSE))*(1+Projection!AS$16)*(1+IF(AQ160&gt;0,'Attrition Modeling'!$N$9,0))),0))</f>
        <v>2760.395268545265</v>
      </c>
      <c r="AR95" s="799">
        <f>IF(AR$69=$F95+1,IF(Monthly!AN$4=TRUE,0,Monthly!AN$17),IF(AR$69&gt;$F95+1,AQ95*(1-IF(AR$69-$F95&lt;=12,SUMIFS('Attrition Modeling'!$D:$D,'Attrition Modeling'!$B:$B,$E95,'Attrition Modeling'!$C:$C,AR$68),VLOOKUP(AR$69-$F95-1,$A$7:$C$161,2,FALSE)*VLOOKUP(AR$1,'Attrition Modeling'!$L$15:$N$27,IF(AR$2-$F28&lt;=24,2,3),FALSE))*(1+Projection!AT$16)*(1+IF(AR160&gt;0,'Attrition Modeling'!$N$9,0))),0))</f>
        <v>2689.6201968692567</v>
      </c>
      <c r="AS95" s="799">
        <f>IF(AS$69=$F95+1,IF(Monthly!AO$4=TRUE,0,Monthly!AO$17),IF(AS$69&gt;$F95+1,AR95*(1-IF(AS$69-$F95&lt;=12,SUMIFS('Attrition Modeling'!$D:$D,'Attrition Modeling'!$B:$B,$E95,'Attrition Modeling'!$C:$C,AS$68),VLOOKUP(AS$69-$F95-1,$A$7:$C$161,2,FALSE)*VLOOKUP(AS$1,'Attrition Modeling'!$L$15:$N$27,IF(AS$2-$F28&lt;=24,2,3),FALSE))*(1+Projection!AU$16)*(1+IF(AS160&gt;0,'Attrition Modeling'!$N$9,0))),0))</f>
        <v>2558.997038468533</v>
      </c>
      <c r="AT95" s="799">
        <f>IF(AT$69=$F95+1,IF(Monthly!AP$4=TRUE,0,Monthly!AP$17),IF(AT$69&gt;$F95+1,AS95*(1-IF(AT$69-$F95&lt;=12,SUMIFS('Attrition Modeling'!$D:$D,'Attrition Modeling'!$B:$B,$E95,'Attrition Modeling'!$C:$C,AT$68),VLOOKUP(AT$69-$F95-1,$A$7:$C$161,2,FALSE)*VLOOKUP(AT$1,'Attrition Modeling'!$L$15:$N$27,IF(AT$2-$F28&lt;=24,2,3),FALSE))*(1+Projection!AV$16)*(1+IF(AT160&gt;0,'Attrition Modeling'!$N$9,0))),0))</f>
        <v>2434.1608684807811</v>
      </c>
      <c r="AU95" s="799">
        <f>IF(AU$69=$F95+1,IF(Monthly!AQ$4=TRUE,0,Monthly!AQ$17),IF(AU$69&gt;$F95+1,AT95*(1-IF(AU$69-$F95&lt;=12,SUMIFS('Attrition Modeling'!$D:$D,'Attrition Modeling'!$B:$B,$E95,'Attrition Modeling'!$C:$C,AU$68),VLOOKUP(AU$69-$F95-1,$A$7:$C$161,2,FALSE)*VLOOKUP(AU$1,'Attrition Modeling'!$L$15:$N$27,IF(AU$2-$F28&lt;=24,2,3),FALSE))*(1+Projection!AW$16)*(1+IF(AU160&gt;0,'Attrition Modeling'!$N$9,0))),0))</f>
        <v>2323.1232404433044</v>
      </c>
      <c r="AV95" s="799">
        <f>IF(AV$69=$F95+1,IF(Monthly!AR$4=TRUE,0,Monthly!AR$17),IF(AV$69&gt;$F95+1,AU95*(1-IF(AV$69-$F95&lt;=12,SUMIFS('Attrition Modeling'!$D:$D,'Attrition Modeling'!$B:$B,$E95,'Attrition Modeling'!$C:$C,AV$68),VLOOKUP(AV$69-$F95-1,$A$7:$C$161,2,FALSE)*VLOOKUP(AV$1,'Attrition Modeling'!$L$15:$N$27,IF(AV$2-$F28&lt;=24,2,3),FALSE))*(1+Projection!AX$16)*(1+IF(AV160&gt;0,'Attrition Modeling'!$N$9,0))),0))</f>
        <v>2221.7510678815161</v>
      </c>
      <c r="AW95" s="799">
        <f>IF(AW$69=$F95+1,IF(Monthly!AS$4=TRUE,0,Monthly!AS$17),IF(AW$69&gt;$F95+1,AV95*(1-IF(AW$69-$F95&lt;=12,SUMIFS('Attrition Modeling'!$D:$D,'Attrition Modeling'!$B:$B,$E95,'Attrition Modeling'!$C:$C,AW$68),VLOOKUP(AW$69-$F95-1,$A$7:$C$161,2,FALSE)*VLOOKUP(AW$1,'Attrition Modeling'!$L$15:$N$27,IF(AW$2-$F28&lt;=24,2,3),FALSE))*(1+Projection!AY$16)*(1+IF(AW160&gt;0,'Attrition Modeling'!$N$9,0))),0))</f>
        <v>2118.4439362244289</v>
      </c>
      <c r="AX95" s="799">
        <f>IF(AX$69=$F95+1,IF(Monthly!AT$4=TRUE,0,Monthly!AT$17),IF(AX$69&gt;$F95+1,AW95*(1-IF(AX$69-$F95&lt;=12,SUMIFS('Attrition Modeling'!$D:$D,'Attrition Modeling'!$B:$B,$E95,'Attrition Modeling'!$C:$C,AX$68),VLOOKUP(AX$69-$F95-1,$A$7:$C$161,2,FALSE)*VLOOKUP(AX$1,'Attrition Modeling'!$L$15:$N$27,IF(AX$2-$F28&lt;=24,2,3),FALSE))*(1+Projection!AZ$16)*(1+IF(AX160&gt;0,'Attrition Modeling'!$N$9,0))),0))</f>
        <v>2000.437338081751</v>
      </c>
      <c r="AY95" s="799">
        <f>IF(AY$69=$F95+1,IF(Monthly!AU$4=TRUE,0,Monthly!AU$17),IF(AY$69&gt;$F95+1,AX95*(1-IF(AY$69-$F95&lt;=12,SUMIFS('Attrition Modeling'!$D:$D,'Attrition Modeling'!$B:$B,$E95,'Attrition Modeling'!$C:$C,AY$68),VLOOKUP(AY$69-$F95-1,$A$7:$C$161,2,FALSE)*VLOOKUP(AY$1,'Attrition Modeling'!$L$15:$N$27,IF(AY$2-$F28&lt;=24,2,3),FALSE))*(1+Projection!BA$16)*(1+IF(AY160&gt;0,'Attrition Modeling'!$N$9,0))),0))</f>
        <v>1905.5506339908266</v>
      </c>
      <c r="AZ95" s="799">
        <f>IF(AZ$69=$F95+1,IF(Monthly!AV$4=TRUE,0,Monthly!AV$17),IF(AZ$69&gt;$F95+1,AY95*(1-IF(AZ$69-$F95&lt;=12,SUMIFS('Attrition Modeling'!$D:$D,'Attrition Modeling'!$B:$B,$E95,'Attrition Modeling'!$C:$C,AZ$68),VLOOKUP(AZ$69-$F95-1,$A$7:$C$161,2,FALSE)*VLOOKUP(AZ$1,'Attrition Modeling'!$L$15:$N$27,IF(AZ$2-$F28&lt;=24,2,3),FALSE))*(1+Projection!BB$16)*(1+IF(AZ160&gt;0,'Attrition Modeling'!$N$9,0))),0))</f>
        <v>1824.6963905451273</v>
      </c>
      <c r="BA95" s="799">
        <f>IF(BA$69=$F95+1,IF(Monthly!AW$4=TRUE,0,Monthly!AW$17),IF(BA$69&gt;$F95+1,AZ95*(1-IF(BA$69-$F95&lt;=12,SUMIFS('Attrition Modeling'!$D:$D,'Attrition Modeling'!$B:$B,$E95,'Attrition Modeling'!$C:$C,BA$68),VLOOKUP(BA$69-$F95-1,$A$7:$C$161,2,FALSE)*VLOOKUP(BA$1,'Attrition Modeling'!$L$15:$N$27,IF(BA$2-$F28&lt;=24,2,3),FALSE))*(1+Projection!BC$16)*(1+IF(BA160&gt;0,'Attrition Modeling'!$N$9,0))),0))</f>
        <v>1746.8348505839419</v>
      </c>
      <c r="BB95" s="799">
        <f>IF(BB$69=$F95+1,IF(Monthly!AX$4=TRUE,0,Monthly!AX$17),IF(BB$69&gt;$F95+1,BA95*(1-IF(BB$69-$F95&lt;=12,SUMIFS('Attrition Modeling'!$D:$D,'Attrition Modeling'!$B:$B,$E95,'Attrition Modeling'!$C:$C,BB$68),VLOOKUP(BB$69-$F95-1,$A$7:$C$161,2,FALSE)*VLOOKUP(BB$1,'Attrition Modeling'!$L$15:$N$27,IF(BB$2-$F28&lt;=24,2,3),FALSE))*(1+Projection!BD$16)*(1+IF(BB160&gt;0,'Attrition Modeling'!$N$9,0))),0))</f>
        <v>1676.2437410062621</v>
      </c>
      <c r="BC95" s="799">
        <f>IF(BC$69=$F95+1,IF(Monthly!AY$4=TRUE,0,Monthly!AY$17),IF(BC$69&gt;$F95+1,BB95*(1-IF(BC$69-$F95&lt;=12,SUMIFS('Attrition Modeling'!$D:$D,'Attrition Modeling'!$B:$B,$E95,'Attrition Modeling'!$C:$C,BC$68),VLOOKUP(BC$69-$F95-1,$A$7:$C$161,2,FALSE)*VLOOKUP(BC$1,'Attrition Modeling'!$L$15:$N$27,IF(BC$2-$F28&lt;=24,2,3),FALSE))*(1+Projection!BE$16)*(1+IF(BC160&gt;0,'Attrition Modeling'!$N$9,0))),0))</f>
        <v>1610.1745059297723</v>
      </c>
      <c r="BD95" s="799">
        <f>IF(BD$69=$F95+1,IF(Monthly!AZ$4=TRUE,0,Monthly!AZ$17),IF(BD$69&gt;$F95+1,BC95*(1-IF(BD$69-$F95&lt;=12,SUMIFS('Attrition Modeling'!$D:$D,'Attrition Modeling'!$B:$B,$E95,'Attrition Modeling'!$C:$C,BD$68),VLOOKUP(BD$69-$F95-1,$A$7:$C$161,2,FALSE)*VLOOKUP(BD$1,'Attrition Modeling'!$L$15:$N$27,IF(BD$2-$F28&lt;=24,2,3),FALSE))*(1+Projection!BF$16)*(1+IF(BD160&gt;0,'Attrition Modeling'!$N$9,0))),0))</f>
        <v>1547.4926377172217</v>
      </c>
      <c r="BE95" s="799">
        <f>IF(BE$69=$F95+1,IF(Monthly!BA$4=TRUE,0,Monthly!BA$17),IF(BE$69&gt;$F95+1,BD95*(1-IF(BE$69-$F95&lt;=12,SUMIFS('Attrition Modeling'!$D:$D,'Attrition Modeling'!$B:$B,$E95,'Attrition Modeling'!$C:$C,BE$68),VLOOKUP(BE$69-$F95-1,$A$7:$C$161,2,FALSE)*VLOOKUP(BE$1,'Attrition Modeling'!$L$15:$N$27,IF(BE$2-$F28&lt;=24,2,3),FALSE))*(1+Projection!BG$16)*(1+IF(BE160&gt;0,'Attrition Modeling'!$N$9,0))),0))</f>
        <v>1493.5319754225243</v>
      </c>
      <c r="BF95" s="799">
        <f>IF(BF$69=$F95+1,IF(Monthly!BB$4=TRUE,0,Monthly!BB$17),IF(BF$69&gt;$F95+1,BE95*(1-IF(BF$69-$F95&lt;=12,SUMIFS('Attrition Modeling'!$D:$D,'Attrition Modeling'!$B:$B,$E95,'Attrition Modeling'!$C:$C,BF$68),VLOOKUP(BF$69-$F95-1,$A$7:$C$161,2,FALSE)*VLOOKUP(BF$1,'Attrition Modeling'!$L$15:$N$27,IF(BF$2-$F28&lt;=24,2,3),FALSE))*(1+Projection!BH$16)*(1+IF(BF160&gt;0,'Attrition Modeling'!$N$9,0))),0))</f>
        <v>1444.3369599510117</v>
      </c>
      <c r="BG95" s="799">
        <f>IF(BG$69=$F95+1,IF(Monthly!BC$4=TRUE,0,Monthly!BC$17),IF(BG$69&gt;$F95+1,BF95*(1-IF(BG$69-$F95&lt;=12,SUMIFS('Attrition Modeling'!$D:$D,'Attrition Modeling'!$B:$B,$E95,'Attrition Modeling'!$C:$C,BG$68),VLOOKUP(BG$69-$F95-1,$A$7:$C$161,2,FALSE)*VLOOKUP(BG$1,'Attrition Modeling'!$L$15:$N$27,IF(BG$2-$F28&lt;=24,2,3),FALSE))*(1+Projection!BI$16)*(1+IF(BG160&gt;0,'Attrition Modeling'!$N$9,0))),0))</f>
        <v>1407.0149421003264</v>
      </c>
      <c r="BH95" s="799">
        <f>IF(BH$69=$F95+1,IF(Monthly!BD$4=TRUE,0,Monthly!BD$17),IF(BH$69&gt;$F95+1,BG95*(1-IF(BH$69-$F95&lt;=12,SUMIFS('Attrition Modeling'!$D:$D,'Attrition Modeling'!$B:$B,$E95,'Attrition Modeling'!$C:$C,BH$68),VLOOKUP(BH$69-$F95-1,$A$7:$C$161,2,FALSE)*VLOOKUP(BH$1,'Attrition Modeling'!$L$15:$N$27,IF(BH$2-$F28&lt;=24,2,3),FALSE))*(1+Projection!BJ$16)*(1+IF(BH160&gt;0,'Attrition Modeling'!$N$9,0))),0))</f>
        <v>1363.7003995030407</v>
      </c>
      <c r="BI95" s="799">
        <f>IF(BI$69=$F95+1,IF(Monthly!BE$4=TRUE,0,Monthly!BE$17),IF(BI$69&gt;$F95+1,BH95*(1-IF(BI$69-$F95&lt;=12,SUMIFS('Attrition Modeling'!$D:$D,'Attrition Modeling'!$B:$B,$E95,'Attrition Modeling'!$C:$C,BI$68),VLOOKUP(BI$69-$F95-1,$A$7:$C$161,2,FALSE)*VLOOKUP(BI$1,'Attrition Modeling'!$L$15:$N$27,IF(BI$2-$F28&lt;=24,2,3),FALSE))*(1+Projection!BK$16)*(1+IF(BI160&gt;0,'Attrition Modeling'!$N$9,0))),0))</f>
        <v>1316.4031353476028</v>
      </c>
      <c r="BJ95" s="799">
        <f>IF(BJ$69=$F95+1,IF(Monthly!BF$4=TRUE,0,Monthly!BF$17),IF(BJ$69&gt;$F95+1,BI95*(1-IF(BJ$69-$F95&lt;=12,SUMIFS('Attrition Modeling'!$D:$D,'Attrition Modeling'!$B:$B,$E95,'Attrition Modeling'!$C:$C,BJ$68),VLOOKUP(BJ$69-$F95-1,$A$7:$C$161,2,FALSE)*VLOOKUP(BJ$1,'Attrition Modeling'!$L$15:$N$27,IF(BJ$2-$F28&lt;=24,2,3),FALSE))*(1+Projection!BL$16)*(1+IF(BJ160&gt;0,'Attrition Modeling'!$N$9,0))),0))</f>
        <v>1257.4580298152516</v>
      </c>
      <c r="BK95" s="799">
        <f>IF(BK$69=$F95+1,IF(Monthly!BG$4=TRUE,0,Monthly!BG$17),IF(BK$69&gt;$F95+1,BJ95*(1-IF(BK$69-$F95&lt;=12,SUMIFS('Attrition Modeling'!$D:$D,'Attrition Modeling'!$B:$B,$E95,'Attrition Modeling'!$C:$C,BK$68),VLOOKUP(BK$69-$F95-1,$A$7:$C$161,2,FALSE)*VLOOKUP(BK$1,'Attrition Modeling'!$L$15:$N$27,IF(BK$2-$F28&lt;=24,2,3),FALSE))*(1+Projection!BM$16)*(1+IF(BK160&gt;0,'Attrition Modeling'!$N$9,0))),0))</f>
        <v>1207.6876131282106</v>
      </c>
      <c r="BL95" s="799">
        <f>IF(BL$69=$F95+1,IF(Monthly!BH$4=TRUE,0,Monthly!BH$17),IF(BL$69&gt;$F95+1,BK95*(1-IF(BL$69-$F95&lt;=12,SUMIFS('Attrition Modeling'!$D:$D,'Attrition Modeling'!$B:$B,$E95,'Attrition Modeling'!$C:$C,BL$68),VLOOKUP(BL$69-$F95-1,$A$7:$C$161,2,FALSE)*VLOOKUP(BL$1,'Attrition Modeling'!$L$15:$N$27,IF(BL$2-$F28&lt;=24,2,3),FALSE))*(1+Projection!BN$16)*(1+IF(BL160&gt;0,'Attrition Modeling'!$N$9,0))),0))</f>
        <v>1163.335217933788</v>
      </c>
      <c r="BM95" s="799">
        <f>IF(BM$69=$F95+1,IF(Monthly!BI$4=TRUE,0,Monthly!BI$17),IF(BM$69&gt;$F95+1,BL95*(1-IF(BM$69-$F95&lt;=12,SUMIFS('Attrition Modeling'!$D:$D,'Attrition Modeling'!$B:$B,$E95,'Attrition Modeling'!$C:$C,BM$68),VLOOKUP(BM$69-$F95-1,$A$7:$C$161,2,FALSE)*VLOOKUP(BM$1,'Attrition Modeling'!$L$15:$N$27,IF(BM$2-$F28&lt;=24,2,3),FALSE))*(1+Projection!BO$16)*(1+IF(BM160&gt;0,'Attrition Modeling'!$N$9,0))),0))</f>
        <v>1122.5658488245178</v>
      </c>
      <c r="BN95" s="799">
        <f>IF(BN$69=$F95+1,IF(Monthly!BJ$4=TRUE,0,Monthly!BJ$17),IF(BN$69&gt;$F95+1,BM95*(1-IF(BN$69-$F95&lt;=12,SUMIFS('Attrition Modeling'!$D:$D,'Attrition Modeling'!$B:$B,$E95,'Attrition Modeling'!$C:$C,BN$68),VLOOKUP(BN$69-$F95-1,$A$7:$C$161,2,FALSE)*VLOOKUP(BN$1,'Attrition Modeling'!$L$15:$N$27,IF(BN$2-$F28&lt;=24,2,3),FALSE))*(1+Projection!BP$16)*(1+IF(BN160&gt;0,'Attrition Modeling'!$N$9,0))),0))</f>
        <v>1084.5557762357355</v>
      </c>
      <c r="BO95" s="799">
        <f>IF(BO$69=$F95+1,IF(Monthly!BK$4=TRUE,0,Monthly!BK$17),IF(BO$69&gt;$F95+1,BN95*(1-IF(BO$69-$F95&lt;=12,SUMIFS('Attrition Modeling'!$D:$D,'Attrition Modeling'!$B:$B,$E95,'Attrition Modeling'!$C:$C,BO$68),VLOOKUP(BO$69-$F95-1,$A$7:$C$161,2,FALSE)*VLOOKUP(BO$1,'Attrition Modeling'!$L$15:$N$27,IF(BO$2-$F28&lt;=24,2,3),FALSE))*(1+Projection!BV$16)*(1+IF(BO160&gt;0,'Attrition Modeling'!$N$9,0))),0))</f>
        <v>1054.6338700663705</v>
      </c>
      <c r="BP95" s="799">
        <f>IF(BP$69=$F95+1,IF(Monthly!BL$4=TRUE,0,Monthly!BL$17),IF(BP$69&gt;$F95+1,BO95*(1-IF(BP$69-$F95&lt;=12,SUMIFS('Attrition Modeling'!$D:$D,'Attrition Modeling'!$B:$B,$E95,'Attrition Modeling'!$C:$C,BP$68),VLOOKUP(BP$69-$F95-1,$A$7:$C$161,2,FALSE)*VLOOKUP(BP$1,'Attrition Modeling'!$L$15:$N$27,IF(BP$2-$F28&lt;=24,2,3),FALSE))*(1+Projection!BW$16)*(1+IF(BP160&gt;0,'Attrition Modeling'!$N$9,0))),0))</f>
        <v>1022.7766272216573</v>
      </c>
      <c r="BQ95" s="799">
        <f>IF(BQ$69=$F95+1,IF(Monthly!BM$4=TRUE,0,Monthly!BM$17),IF(BQ$69&gt;$F95+1,BP95*(1-IF(BQ$69-$F95&lt;=12,SUMIFS('Attrition Modeling'!$D:$D,'Attrition Modeling'!$B:$B,$E95,'Attrition Modeling'!$C:$C,BQ$68),VLOOKUP(BQ$69-$F95-1,$A$7:$C$161,2,FALSE)*VLOOKUP(BQ$1,'Attrition Modeling'!$L$15:$N$27,IF(BQ$2-$F28&lt;=24,2,3),FALSE))*(1+Projection!BX$16)*(1+IF(BQ160&gt;0,'Attrition Modeling'!$N$9,0))),0))</f>
        <v>993.17516374810259</v>
      </c>
      <c r="BR95" s="799">
        <f>IF(BR$69=$F95+1,IF(Monthly!BN$4=TRUE,0,Monthly!BN$17),IF(BR$69&gt;$F95+1,BQ95*(1-IF(BR$69-$F95&lt;=12,SUMIFS('Attrition Modeling'!$D:$D,'Attrition Modeling'!$B:$B,$E95,'Attrition Modeling'!$C:$C,BR$68),VLOOKUP(BR$69-$F95-1,$A$7:$C$161,2,FALSE)*VLOOKUP(BR$1,'Attrition Modeling'!$L$15:$N$27,IF(BR$2-$F28&lt;=24,2,3),FALSE))*(1+Projection!BY$16)*(1+IF(BR160&gt;0,'Attrition Modeling'!$N$9,0))),0))</f>
        <v>965.93179549862987</v>
      </c>
      <c r="BS95" s="799">
        <f>IF(BS$69=$F95+1,IF(Monthly!BO$4=TRUE,0,Monthly!BO$17),IF(BS$69&gt;$F95+1,BR95*(1-IF(BS$69-$F95&lt;=12,SUMIFS('Attrition Modeling'!$D:$D,'Attrition Modeling'!$B:$B,$E95,'Attrition Modeling'!$C:$C,BS$68),VLOOKUP(BS$69-$F95-1,$A$7:$C$161,2,FALSE)*VLOOKUP(BS$1,'Attrition Modeling'!$L$15:$N$27,IF(BS$2-$F28&lt;=24,2,3),FALSE))*(1+Projection!BZ$16)*(1+IF(BS160&gt;0,'Attrition Modeling'!$N$9,0))),0))</f>
        <v>945.08087210334543</v>
      </c>
      <c r="BT95" s="799">
        <f>IF(BT$69=$F95+1,IF(Monthly!#REF!=TRUE,0,Monthly!#REF!),IF(BT$69&gt;$F95+1,BS95*(1-IF(BT$69-$F95&lt;=12,SUMIFS('Attrition Modeling'!$D:$D,'Attrition Modeling'!$B:$B,$E95,'Attrition Modeling'!$C:$C,BT$68),VLOOKUP(BT$69-$F95-1,$A$7:$C$161,2,FALSE)*VLOOKUP(BT$1,'Attrition Modeling'!$L$15:$N$27,IF(BT$2-$F28&lt;=24,2,3),FALSE))*(1+Projection!CA$16)*(1+IF(BT160&gt;0,'Attrition Modeling'!$N$9,0))),0))</f>
        <v>920.70516046534885</v>
      </c>
      <c r="BU95" s="799">
        <f>IF(BU$69=$F95+1,IF(Monthly!#REF!=TRUE,0,Monthly!#REF!),IF(BU$69&gt;$F95+1,BT95*(1-IF(BU$69-$F95&lt;=12,SUMIFS('Attrition Modeling'!$D:$D,'Attrition Modeling'!$B:$B,$E95,'Attrition Modeling'!$C:$C,BU$68),VLOOKUP(BU$69-$F95-1,$A$7:$C$161,2,FALSE)*VLOOKUP(BU$1,'Attrition Modeling'!$L$15:$N$27,IF(BU$2-$F28&lt;=24,2,3),FALSE))*(1+Projection!CB$16)*(1+IF(BU160&gt;0,'Attrition Modeling'!$N$9,0))),0))</f>
        <v>893.87728640475439</v>
      </c>
    </row>
    <row r="96" spans="1:73" ht="14.25" customHeight="1" x14ac:dyDescent="0.2">
      <c r="A96" s="9">
        <v>89</v>
      </c>
      <c r="B96" s="25">
        <f>MAX('Attrition Modeling'!H93,$C$3)*(1-Summary!$C$20)</f>
        <v>0.02</v>
      </c>
      <c r="C96" s="24" t="e">
        <f t="shared" si="4"/>
        <v>#DIV/0!</v>
      </c>
      <c r="E96" s="11">
        <f t="shared" si="9"/>
        <v>2</v>
      </c>
      <c r="F96" s="11">
        <f t="shared" si="10"/>
        <v>26</v>
      </c>
      <c r="G96" s="799"/>
      <c r="H96" s="799">
        <f>IF(H$69=$F96+1,IF(Monthly!D$4=TRUE,0,Monthly!D$17),IF(H$69&gt;$F96+1,G96*(1-IF(H$69-$F96&lt;=12,SUMIFS('Attrition Modeling'!$D:$D,'Attrition Modeling'!$B:$B,$E96,'Attrition Modeling'!$C:$C,H$68),VLOOKUP(H$69-$F96-1,$A$7:$C$161,2,FALSE)*VLOOKUP(H$1,'Attrition Modeling'!$L$15:$N$27,IF(H$2-$F29&lt;=24,2,3),FALSE))*(1+Projection!J$16)*(1+IF(H161&gt;0,'Attrition Modeling'!$N$9,0))),0))</f>
        <v>0</v>
      </c>
      <c r="I96" s="799">
        <f>IF(I$69=$F96+1,IF(Monthly!E$4=TRUE,0,Monthly!E$17),IF(I$69&gt;$F96+1,H96*(1-IF(I$69-$F96&lt;=12,SUMIFS('Attrition Modeling'!$D:$D,'Attrition Modeling'!$B:$B,$E96,'Attrition Modeling'!$C:$C,I$68),VLOOKUP(I$69-$F96-1,$A$7:$C$161,2,FALSE)*VLOOKUP(I$1,'Attrition Modeling'!$L$15:$N$27,IF(I$2-$F29&lt;=24,2,3),FALSE))*(1+Projection!K$16)*(1+IF(I161&gt;0,'Attrition Modeling'!$N$9,0))),0))</f>
        <v>0</v>
      </c>
      <c r="J96" s="799">
        <f>IF(J$69=$F96+1,IF(Monthly!F$4=TRUE,0,Monthly!F$17),IF(J$69&gt;$F96+1,I96*(1-IF(J$69-$F96&lt;=12,SUMIFS('Attrition Modeling'!$D:$D,'Attrition Modeling'!$B:$B,$E96,'Attrition Modeling'!$C:$C,J$68),VLOOKUP(J$69-$F96-1,$A$7:$C$161,2,FALSE)*VLOOKUP(J$1,'Attrition Modeling'!$L$15:$N$27,IF(J$2-$F29&lt;=24,2,3),FALSE))*(1+Projection!L$16)*(1+IF(J161&gt;0,'Attrition Modeling'!$N$9,0))),0))</f>
        <v>0</v>
      </c>
      <c r="K96" s="799">
        <f>IF(K$69=$F96+1,IF(Monthly!G$4=TRUE,0,Monthly!G$17),IF(K$69&gt;$F96+1,J96*(1-IF(K$69-$F96&lt;=12,SUMIFS('Attrition Modeling'!$D:$D,'Attrition Modeling'!$B:$B,$E96,'Attrition Modeling'!$C:$C,K$68),VLOOKUP(K$69-$F96-1,$A$7:$C$161,2,FALSE)*VLOOKUP(K$1,'Attrition Modeling'!$L$15:$N$27,IF(K$2-$F29&lt;=24,2,3),FALSE))*(1+Projection!M$16)*(1+IF(K161&gt;0,'Attrition Modeling'!$N$9,0))),0))</f>
        <v>0</v>
      </c>
      <c r="L96" s="799">
        <f>IF(L$69=$F96+1,IF(Monthly!H$4=TRUE,0,Monthly!H$17),IF(L$69&gt;$F96+1,K96*(1-IF(L$69-$F96&lt;=12,SUMIFS('Attrition Modeling'!$D:$D,'Attrition Modeling'!$B:$B,$E96,'Attrition Modeling'!$C:$C,L$68),VLOOKUP(L$69-$F96-1,$A$7:$C$161,2,FALSE)*VLOOKUP(L$1,'Attrition Modeling'!$L$15:$N$27,IF(L$2-$F29&lt;=24,2,3),FALSE))*(1+Projection!N$16)*(1+IF(L161&gt;0,'Attrition Modeling'!$N$9,0))),0))</f>
        <v>0</v>
      </c>
      <c r="M96" s="799">
        <f>IF(M$69=$F96+1,IF(Monthly!I$4=TRUE,0,Monthly!I$17),IF(M$69&gt;$F96+1,L96*(1-IF(M$69-$F96&lt;=12,SUMIFS('Attrition Modeling'!$D:$D,'Attrition Modeling'!$B:$B,$E96,'Attrition Modeling'!$C:$C,M$68),VLOOKUP(M$69-$F96-1,$A$7:$C$161,2,FALSE)*VLOOKUP(M$1,'Attrition Modeling'!$L$15:$N$27,IF(M$2-$F29&lt;=24,2,3),FALSE))*(1+Projection!O$16)*(1+IF(M161&gt;0,'Attrition Modeling'!$N$9,0))),0))</f>
        <v>0</v>
      </c>
      <c r="N96" s="799">
        <f>IF(N$69=$F96+1,IF(Monthly!J$4=TRUE,0,Monthly!J$17),IF(N$69&gt;$F96+1,M96*(1-IF(N$69-$F96&lt;=12,SUMIFS('Attrition Modeling'!$D:$D,'Attrition Modeling'!$B:$B,$E96,'Attrition Modeling'!$C:$C,N$68),VLOOKUP(N$69-$F96-1,$A$7:$C$161,2,FALSE)*VLOOKUP(N$1,'Attrition Modeling'!$L$15:$N$27,IF(N$2-$F29&lt;=24,2,3),FALSE))*(1+Projection!P$16)*(1+IF(N161&gt;0,'Attrition Modeling'!$N$9,0))),0))</f>
        <v>0</v>
      </c>
      <c r="O96" s="799">
        <f>IF(O$69=$F96+1,IF(Monthly!K$4=TRUE,0,Monthly!K$17),IF(O$69&gt;$F96+1,N96*(1-IF(O$69-$F96&lt;=12,SUMIFS('Attrition Modeling'!$D:$D,'Attrition Modeling'!$B:$B,$E96,'Attrition Modeling'!$C:$C,O$68),VLOOKUP(O$69-$F96-1,$A$7:$C$161,2,FALSE)*VLOOKUP(O$1,'Attrition Modeling'!$L$15:$N$27,IF(O$2-$F29&lt;=24,2,3),FALSE))*(1+Projection!Q$16)*(1+IF(O161&gt;0,'Attrition Modeling'!$N$9,0))),0))</f>
        <v>0</v>
      </c>
      <c r="P96" s="799">
        <f>IF(P$69=$F96+1,IF(Monthly!L$4=TRUE,0,Monthly!L$17),IF(P$69&gt;$F96+1,O96*(1-IF(P$69-$F96&lt;=12,SUMIFS('Attrition Modeling'!$D:$D,'Attrition Modeling'!$B:$B,$E96,'Attrition Modeling'!$C:$C,P$68),VLOOKUP(P$69-$F96-1,$A$7:$C$161,2,FALSE)*VLOOKUP(P$1,'Attrition Modeling'!$L$15:$N$27,IF(P$2-$F29&lt;=24,2,3),FALSE))*(1+Projection!R$16)*(1+IF(P161&gt;0,'Attrition Modeling'!$N$9,0))),0))</f>
        <v>0</v>
      </c>
      <c r="Q96" s="799">
        <f>IF(Q$69=$F96+1,IF(Monthly!M$4=TRUE,0,Monthly!M$17),IF(Q$69&gt;$F96+1,P96*(1-IF(Q$69-$F96&lt;=12,SUMIFS('Attrition Modeling'!$D:$D,'Attrition Modeling'!$B:$B,$E96,'Attrition Modeling'!$C:$C,Q$68),VLOOKUP(Q$69-$F96-1,$A$7:$C$161,2,FALSE)*VLOOKUP(Q$1,'Attrition Modeling'!$L$15:$N$27,IF(Q$2-$F29&lt;=24,2,3),FALSE))*(1+Projection!S$16)*(1+IF(Q161&gt;0,'Attrition Modeling'!$N$9,0))),0))</f>
        <v>0</v>
      </c>
      <c r="R96" s="799">
        <f>IF(R$69=$F96+1,IF(Monthly!N$4=TRUE,0,Monthly!N$17),IF(R$69&gt;$F96+1,Q96*(1-IF(R$69-$F96&lt;=12,SUMIFS('Attrition Modeling'!$D:$D,'Attrition Modeling'!$B:$B,$E96,'Attrition Modeling'!$C:$C,R$68),VLOOKUP(R$69-$F96-1,$A$7:$C$161,2,FALSE)*VLOOKUP(R$1,'Attrition Modeling'!$L$15:$N$27,IF(R$2-$F29&lt;=24,2,3),FALSE))*(1+Projection!T$16)*(1+IF(R161&gt;0,'Attrition Modeling'!$N$9,0))),0))</f>
        <v>0</v>
      </c>
      <c r="S96" s="799">
        <f>IF(S$69=$F96+1,IF(Monthly!O$4=TRUE,0,Monthly!O$17),IF(S$69&gt;$F96+1,R96*(1-IF(S$69-$F96&lt;=12,SUMIFS('Attrition Modeling'!$D:$D,'Attrition Modeling'!$B:$B,$E96,'Attrition Modeling'!$C:$C,S$68),VLOOKUP(S$69-$F96-1,$A$7:$C$161,2,FALSE)*VLOOKUP(S$1,'Attrition Modeling'!$L$15:$N$27,IF(S$2-$F29&lt;=24,2,3),FALSE))*(1+Projection!U$16)*(1+IF(S161&gt;0,'Attrition Modeling'!$N$9,0))),0))</f>
        <v>0</v>
      </c>
      <c r="T96" s="799">
        <f>IF(T$69=$F96+1,IF(Monthly!P$4=TRUE,0,Monthly!P$17),IF(T$69&gt;$F96+1,S96*(1-IF(T$69-$F96&lt;=12,SUMIFS('Attrition Modeling'!$D:$D,'Attrition Modeling'!$B:$B,$E96,'Attrition Modeling'!$C:$C,T$68),VLOOKUP(T$69-$F96-1,$A$7:$C$161,2,FALSE)*VLOOKUP(T$1,'Attrition Modeling'!$L$15:$N$27,IF(T$2-$F29&lt;=24,2,3),FALSE))*(1+Projection!V$16)*(1+IF(T161&gt;0,'Attrition Modeling'!$N$9,0))),0))</f>
        <v>0</v>
      </c>
      <c r="U96" s="799">
        <f>IF(U$69=$F96+1,IF(Monthly!Q$4=TRUE,0,Monthly!Q$17),IF(U$69&gt;$F96+1,T96*(1-IF(U$69-$F96&lt;=12,SUMIFS('Attrition Modeling'!$D:$D,'Attrition Modeling'!$B:$B,$E96,'Attrition Modeling'!$C:$C,U$68),VLOOKUP(U$69-$F96-1,$A$7:$C$161,2,FALSE)*VLOOKUP(U$1,'Attrition Modeling'!$L$15:$N$27,IF(U$2-$F29&lt;=24,2,3),FALSE))*(1+Projection!W$16)*(1+IF(U161&gt;0,'Attrition Modeling'!$N$9,0))),0))</f>
        <v>0</v>
      </c>
      <c r="V96" s="799">
        <f>IF(V$69=$F96+1,IF(Monthly!R$4=TRUE,0,Monthly!R$17),IF(V$69&gt;$F96+1,U96*(1-IF(V$69-$F96&lt;=12,SUMIFS('Attrition Modeling'!$D:$D,'Attrition Modeling'!$B:$B,$E96,'Attrition Modeling'!$C:$C,V$68),VLOOKUP(V$69-$F96-1,$A$7:$C$161,2,FALSE)*VLOOKUP(V$1,'Attrition Modeling'!$L$15:$N$27,IF(V$2-$F29&lt;=24,2,3),FALSE))*(1+Projection!X$16)*(1+IF(V161&gt;0,'Attrition Modeling'!$N$9,0))),0))</f>
        <v>0</v>
      </c>
      <c r="W96" s="799">
        <f>IF(W$69=$F96+1,IF(Monthly!S$4=TRUE,0,Monthly!S$17),IF(W$69&gt;$F96+1,V96*(1-IF(W$69-$F96&lt;=12,SUMIFS('Attrition Modeling'!$D:$D,'Attrition Modeling'!$B:$B,$E96,'Attrition Modeling'!$C:$C,W$68),VLOOKUP(W$69-$F96-1,$A$7:$C$161,2,FALSE)*VLOOKUP(W$1,'Attrition Modeling'!$L$15:$N$27,IF(W$2-$F29&lt;=24,2,3),FALSE))*(1+Projection!Y$16)*(1+IF(W161&gt;0,'Attrition Modeling'!$N$9,0))),0))</f>
        <v>0</v>
      </c>
      <c r="X96" s="799">
        <f>IF(X$69=$F96+1,IF(Monthly!T$4=TRUE,0,Monthly!T$17),IF(X$69&gt;$F96+1,W96*(1-IF(X$69-$F96&lt;=12,SUMIFS('Attrition Modeling'!$D:$D,'Attrition Modeling'!$B:$B,$E96,'Attrition Modeling'!$C:$C,X$68),VLOOKUP(X$69-$F96-1,$A$7:$C$161,2,FALSE)*VLOOKUP(X$1,'Attrition Modeling'!$L$15:$N$27,IF(X$2-$F29&lt;=24,2,3),FALSE))*(1+Projection!Z$16)*(1+IF(X161&gt;0,'Attrition Modeling'!$N$9,0))),0))</f>
        <v>0</v>
      </c>
      <c r="Y96" s="799">
        <f>IF(Y$69=$F96+1,IF(Monthly!U$4=TRUE,0,Monthly!U$17),IF(Y$69&gt;$F96+1,X96*(1-IF(Y$69-$F96&lt;=12,SUMIFS('Attrition Modeling'!$D:$D,'Attrition Modeling'!$B:$B,$E96,'Attrition Modeling'!$C:$C,Y$68),VLOOKUP(Y$69-$F96-1,$A$7:$C$161,2,FALSE)*VLOOKUP(Y$1,'Attrition Modeling'!$L$15:$N$27,IF(Y$2-$F29&lt;=24,2,3),FALSE))*(1+Projection!AA$16)*(1+IF(Y161&gt;0,'Attrition Modeling'!$N$9,0))),0))</f>
        <v>0</v>
      </c>
      <c r="Z96" s="799">
        <f>IF(Z$69=$F96+1,IF(Monthly!V$4=TRUE,0,Monthly!V$17),IF(Z$69&gt;$F96+1,Y96*(1-IF(Z$69-$F96&lt;=12,SUMIFS('Attrition Modeling'!$D:$D,'Attrition Modeling'!$B:$B,$E96,'Attrition Modeling'!$C:$C,Z$68),VLOOKUP(Z$69-$F96-1,$A$7:$C$161,2,FALSE)*VLOOKUP(Z$1,'Attrition Modeling'!$L$15:$N$27,IF(Z$2-$F29&lt;=24,2,3),FALSE))*(1+Projection!AB$16)*(1+IF(Z161&gt;0,'Attrition Modeling'!$N$9,0))),0))</f>
        <v>0</v>
      </c>
      <c r="AA96" s="799">
        <f>IF(AA$69=$F96+1,IF(Monthly!W$4=TRUE,0,Monthly!W$17),IF(AA$69&gt;$F96+1,Z96*(1-IF(AA$69-$F96&lt;=12,SUMIFS('Attrition Modeling'!$D:$D,'Attrition Modeling'!$B:$B,$E96,'Attrition Modeling'!$C:$C,AA$68),VLOOKUP(AA$69-$F96-1,$A$7:$C$161,2,FALSE)*VLOOKUP(AA$1,'Attrition Modeling'!$L$15:$N$27,IF(AA$2-$F29&lt;=24,2,3),FALSE))*(1+Projection!AC$16)*(1+IF(AA161&gt;0,'Attrition Modeling'!$N$9,0))),0))</f>
        <v>0</v>
      </c>
      <c r="AB96" s="799">
        <f>IF(AB$69=$F96+1,IF(Monthly!X$4=TRUE,0,Monthly!X$17),IF(AB$69&gt;$F96+1,AA96*(1-IF(AB$69-$F96&lt;=12,SUMIFS('Attrition Modeling'!$D:$D,'Attrition Modeling'!$B:$B,$E96,'Attrition Modeling'!$C:$C,AB$68),VLOOKUP(AB$69-$F96-1,$A$7:$C$161,2,FALSE)*VLOOKUP(AB$1,'Attrition Modeling'!$L$15:$N$27,IF(AB$2-$F29&lt;=24,2,3),FALSE))*(1+Projection!AD$16)*(1+IF(AB161&gt;0,'Attrition Modeling'!$N$9,0))),0))</f>
        <v>0</v>
      </c>
      <c r="AC96" s="799">
        <f>IF(AC$69=$F96+1,IF(Monthly!Y$4=TRUE,0,Monthly!Y$17),IF(AC$69&gt;$F96+1,AB96*(1-IF(AC$69-$F96&lt;=12,SUMIFS('Attrition Modeling'!$D:$D,'Attrition Modeling'!$B:$B,$E96,'Attrition Modeling'!$C:$C,AC$68),VLOOKUP(AC$69-$F96-1,$A$7:$C$161,2,FALSE)*VLOOKUP(AC$1,'Attrition Modeling'!$L$15:$N$27,IF(AC$2-$F29&lt;=24,2,3),FALSE))*(1+Projection!AE$16)*(1+IF(AC161&gt;0,'Attrition Modeling'!$N$9,0))),0))</f>
        <v>0</v>
      </c>
      <c r="AD96" s="799">
        <f>IF(AD$69=$F96+1,IF(Monthly!Z$4=TRUE,0,Monthly!Z$17),IF(AD$69&gt;$F96+1,AC96*(1-IF(AD$69-$F96&lt;=12,SUMIFS('Attrition Modeling'!$D:$D,'Attrition Modeling'!$B:$B,$E96,'Attrition Modeling'!$C:$C,AD$68),VLOOKUP(AD$69-$F96-1,$A$7:$C$161,2,FALSE)*VLOOKUP(AD$1,'Attrition Modeling'!$L$15:$N$27,IF(AD$2-$F29&lt;=24,2,3),FALSE))*(1+Projection!AF$16)*(1+IF(AD161&gt;0,'Attrition Modeling'!$N$9,0))),0))</f>
        <v>0</v>
      </c>
      <c r="AE96" s="799">
        <f>IF(AE$69=$F96+1,IF(Monthly!AA$4=TRUE,0,Monthly!AA$17),IF(AE$69&gt;$F96+1,AD96*(1-IF(AE$69-$F96&lt;=12,SUMIFS('Attrition Modeling'!$D:$D,'Attrition Modeling'!$B:$B,$E96,'Attrition Modeling'!$C:$C,AE$68),VLOOKUP(AE$69-$F96-1,$A$7:$C$161,2,FALSE)*VLOOKUP(AE$1,'Attrition Modeling'!$L$15:$N$27,IF(AE$2-$F29&lt;=24,2,3),FALSE))*(1+Projection!AG$16)*(1+IF(AE161&gt;0,'Attrition Modeling'!$N$9,0))),0))</f>
        <v>0</v>
      </c>
      <c r="AF96" s="799">
        <f>IF(AF$69=$F96+1,IF(Monthly!AB$4=TRUE,0,Monthly!AB$17),IF(AF$69&gt;$F96+1,AE96*(1-IF(AF$69-$F96&lt;=12,SUMIFS('Attrition Modeling'!$D:$D,'Attrition Modeling'!$B:$B,$E96,'Attrition Modeling'!$C:$C,AF$68),VLOOKUP(AF$69-$F96-1,$A$7:$C$161,2,FALSE)*VLOOKUP(AF$1,'Attrition Modeling'!$L$15:$N$27,IF(AF$2-$F29&lt;=24,2,3),FALSE))*(1+Projection!AH$16)*(1+IF(AF161&gt;0,'Attrition Modeling'!$N$9,0))),0))</f>
        <v>0</v>
      </c>
      <c r="AG96" s="799">
        <f>IF(AG$69=$F96+1,IF(Monthly!AC$4=TRUE,0,Monthly!AC$17),IF(AG$69&gt;$F96+1,AF96*(1-IF(AG$69-$F96&lt;=12,SUMIFS('Attrition Modeling'!$D:$D,'Attrition Modeling'!$B:$B,$E96,'Attrition Modeling'!$C:$C,AG$68),VLOOKUP(AG$69-$F96-1,$A$7:$C$161,2,FALSE)*VLOOKUP(AG$1,'Attrition Modeling'!$L$15:$N$27,IF(AG$2-$F29&lt;=24,2,3),FALSE))*(1+Projection!AI$16)*(1+IF(AG161&gt;0,'Attrition Modeling'!$N$9,0))),0))</f>
        <v>0</v>
      </c>
      <c r="AH96" s="799">
        <f>IF(AH$69=$F96+1,IF(Monthly!AD$4=TRUE,0,Monthly!AD$17),IF(AH$69&gt;$F96+1,AG96*(1-IF(AH$69-$F96&lt;=12,SUMIFS('Attrition Modeling'!$D:$D,'Attrition Modeling'!$B:$B,$E96,'Attrition Modeling'!$C:$C,AH$68),VLOOKUP(AH$69-$F96-1,$A$7:$C$161,2,FALSE)*VLOOKUP(AH$1,'Attrition Modeling'!$L$15:$N$27,IF(AH$2-$F29&lt;=24,2,3),FALSE))*(1+Projection!AJ$16)*(1+IF(AH161&gt;0,'Attrition Modeling'!$N$9,0))),0))</f>
        <v>7359.3185759933986</v>
      </c>
      <c r="AI96" s="799">
        <f>IF(AI$69=$F96+1,IF(Monthly!AE$4=TRUE,0,Monthly!AE$17),IF(AI$69&gt;$F96+1,AH96*(1-IF(AI$69-$F96&lt;=12,SUMIFS('Attrition Modeling'!$D:$D,'Attrition Modeling'!$B:$B,$E96,'Attrition Modeling'!$C:$C,AI$68),VLOOKUP(AI$69-$F96-1,$A$7:$C$161,2,FALSE)*VLOOKUP(AI$1,'Attrition Modeling'!$L$15:$N$27,IF(AI$2-$F29&lt;=24,2,3),FALSE))*(1+Projection!AK$16)*(1+IF(AI161&gt;0,'Attrition Modeling'!$N$9,0))),0))</f>
        <v>6642.5518558296608</v>
      </c>
      <c r="AJ96" s="799">
        <f>IF(AJ$69=$F96+1,IF(Monthly!AF$4=TRUE,0,Monthly!AF$17),IF(AJ$69&gt;$F96+1,AI96*(1-IF(AJ$69-$F96&lt;=12,SUMIFS('Attrition Modeling'!$D:$D,'Attrition Modeling'!$B:$B,$E96,'Attrition Modeling'!$C:$C,AJ$68),VLOOKUP(AJ$69-$F96-1,$A$7:$C$161,2,FALSE)*VLOOKUP(AJ$1,'Attrition Modeling'!$L$15:$N$27,IF(AJ$2-$F29&lt;=24,2,3),FALSE))*(1+Projection!AL$16)*(1+IF(AJ161&gt;0,'Attrition Modeling'!$N$9,0))),0))</f>
        <v>6075.8497182055571</v>
      </c>
      <c r="AK96" s="799">
        <f>IF(AK$69=$F96+1,IF(Monthly!AG$4=TRUE,0,Monthly!AG$17),IF(AK$69&gt;$F96+1,AJ96*(1-IF(AK$69-$F96&lt;=12,SUMIFS('Attrition Modeling'!$D:$D,'Attrition Modeling'!$B:$B,$E96,'Attrition Modeling'!$C:$C,AK$68),VLOOKUP(AK$69-$F96-1,$A$7:$C$161,2,FALSE)*VLOOKUP(AK$1,'Attrition Modeling'!$L$15:$N$27,IF(AK$2-$F29&lt;=24,2,3),FALSE))*(1+Projection!AM$16)*(1+IF(AK161&gt;0,'Attrition Modeling'!$N$9,0))),0))</f>
        <v>5511.2408719212935</v>
      </c>
      <c r="AL96" s="799">
        <f>IF(AL$69=$F96+1,IF(Monthly!AH$4=TRUE,0,Monthly!AH$17),IF(AL$69&gt;$F96+1,AK96*(1-IF(AL$69-$F96&lt;=12,SUMIFS('Attrition Modeling'!$D:$D,'Attrition Modeling'!$B:$B,$E96,'Attrition Modeling'!$C:$C,AL$68),VLOOKUP(AL$69-$F96-1,$A$7:$C$161,2,FALSE)*VLOOKUP(AL$1,'Attrition Modeling'!$L$15:$N$27,IF(AL$2-$F29&lt;=24,2,3),FALSE))*(1+Projection!AN$16)*(1+IF(AL161&gt;0,'Attrition Modeling'!$N$9,0))),0))</f>
        <v>5063.5489977929465</v>
      </c>
      <c r="AM96" s="799">
        <f>IF(AM$69=$F96+1,IF(Monthly!AI$4=TRUE,0,Monthly!AI$17),IF(AM$69&gt;$F96+1,AL96*(1-IF(AM$69-$F96&lt;=12,SUMIFS('Attrition Modeling'!$D:$D,'Attrition Modeling'!$B:$B,$E96,'Attrition Modeling'!$C:$C,AM$68),VLOOKUP(AM$69-$F96-1,$A$7:$C$161,2,FALSE)*VLOOKUP(AM$1,'Attrition Modeling'!$L$15:$N$27,IF(AM$2-$F29&lt;=24,2,3),FALSE))*(1+Projection!AO$16)*(1+IF(AM161&gt;0,'Attrition Modeling'!$N$9,0))),0))</f>
        <v>4552.5022742748852</v>
      </c>
      <c r="AN96" s="799">
        <f>IF(AN$69=$F96+1,IF(Monthly!AJ$4=TRUE,0,Monthly!AJ$17),IF(AN$69&gt;$F96+1,AM96*(1-IF(AN$69-$F96&lt;=12,SUMIFS('Attrition Modeling'!$D:$D,'Attrition Modeling'!$B:$B,$E96,'Attrition Modeling'!$C:$C,AN$68),VLOOKUP(AN$69-$F96-1,$A$7:$C$161,2,FALSE)*VLOOKUP(AN$1,'Attrition Modeling'!$L$15:$N$27,IF(AN$2-$F29&lt;=24,2,3),FALSE))*(1+Projection!AP$16)*(1+IF(AN161&gt;0,'Attrition Modeling'!$N$9,0))),0))</f>
        <v>4208.9459146708441</v>
      </c>
      <c r="AO96" s="799">
        <f>IF(AO$69=$F96+1,IF(Monthly!AK$4=TRUE,0,Monthly!AK$17),IF(AO$69&gt;$F96+1,AN96*(1-IF(AO$69-$F96&lt;=12,SUMIFS('Attrition Modeling'!$D:$D,'Attrition Modeling'!$B:$B,$E96,'Attrition Modeling'!$C:$C,AO$68),VLOOKUP(AO$69-$F96-1,$A$7:$C$161,2,FALSE)*VLOOKUP(AO$1,'Attrition Modeling'!$L$15:$N$27,IF(AO$2-$F29&lt;=24,2,3),FALSE))*(1+Projection!AQ$16)*(1+IF(AO161&gt;0,'Attrition Modeling'!$N$9,0))),0))</f>
        <v>3914.0354705262675</v>
      </c>
      <c r="AP96" s="799">
        <f>IF(AP$69=$F96+1,IF(Monthly!AL$4=TRUE,0,Monthly!AL$17),IF(AP$69&gt;$F96+1,AO96*(1-IF(AP$69-$F96&lt;=12,SUMIFS('Attrition Modeling'!$D:$D,'Attrition Modeling'!$B:$B,$E96,'Attrition Modeling'!$C:$C,AP$68),VLOOKUP(AP$69-$F96-1,$A$7:$C$161,2,FALSE)*VLOOKUP(AP$1,'Attrition Modeling'!$L$15:$N$27,IF(AP$2-$F29&lt;=24,2,3),FALSE))*(1+Projection!AR$16)*(1+IF(AP161&gt;0,'Attrition Modeling'!$N$9,0))),0))</f>
        <v>3654.0813604000514</v>
      </c>
      <c r="AQ96" s="799">
        <f>IF(AQ$69=$F96+1,IF(Monthly!AM$4=TRUE,0,Monthly!AM$17),IF(AQ$69&gt;$F96+1,AP96*(1-IF(AQ$69-$F96&lt;=12,SUMIFS('Attrition Modeling'!$D:$D,'Attrition Modeling'!$B:$B,$E96,'Attrition Modeling'!$C:$C,AQ$68),VLOOKUP(AQ$69-$F96-1,$A$7:$C$161,2,FALSE)*VLOOKUP(AQ$1,'Attrition Modeling'!$L$15:$N$27,IF(AQ$2-$F29&lt;=24,2,3),FALSE))*(1+Projection!AS$16)*(1+IF(AQ161&gt;0,'Attrition Modeling'!$N$9,0))),0))</f>
        <v>3426.8766837262483</v>
      </c>
      <c r="AR96" s="799">
        <f>IF(AR$69=$F96+1,IF(Monthly!AN$4=TRUE,0,Monthly!AN$17),IF(AR$69&gt;$F96+1,AQ96*(1-IF(AR$69-$F96&lt;=12,SUMIFS('Attrition Modeling'!$D:$D,'Attrition Modeling'!$B:$B,$E96,'Attrition Modeling'!$C:$C,AR$68),VLOOKUP(AR$69-$F96-1,$A$7:$C$161,2,FALSE)*VLOOKUP(AR$1,'Attrition Modeling'!$L$15:$N$27,IF(AR$2-$F29&lt;=24,2,3),FALSE))*(1+Projection!AT$16)*(1+IF(AR161&gt;0,'Attrition Modeling'!$N$9,0))),0))</f>
        <v>3232.6242817155262</v>
      </c>
      <c r="AS96" s="799">
        <f>IF(AS$69=$F96+1,IF(Monthly!AO$4=TRUE,0,Monthly!AO$17),IF(AS$69&gt;$F96+1,AR96*(1-IF(AS$69-$F96&lt;=12,SUMIFS('Attrition Modeling'!$D:$D,'Attrition Modeling'!$B:$B,$E96,'Attrition Modeling'!$C:$C,AS$68),VLOOKUP(AS$69-$F96-1,$A$7:$C$161,2,FALSE)*VLOOKUP(AS$1,'Attrition Modeling'!$L$15:$N$27,IF(AS$2-$F29&lt;=24,2,3),FALSE))*(1+Projection!AU$16)*(1+IF(AS161&gt;0,'Attrition Modeling'!$N$9,0))),0))</f>
        <v>3152.9710940381001</v>
      </c>
      <c r="AT96" s="799">
        <f>IF(AT$69=$F96+1,IF(Monthly!AP$4=TRUE,0,Monthly!AP$17),IF(AT$69&gt;$F96+1,AS96*(1-IF(AT$69-$F96&lt;=12,SUMIFS('Attrition Modeling'!$D:$D,'Attrition Modeling'!$B:$B,$E96,'Attrition Modeling'!$C:$C,AT$68),VLOOKUP(AT$69-$F96-1,$A$7:$C$161,2,FALSE)*VLOOKUP(AT$1,'Attrition Modeling'!$L$15:$N$27,IF(AT$2-$F29&lt;=24,2,3),FALSE))*(1+Projection!AV$16)*(1+IF(AT161&gt;0,'Attrition Modeling'!$N$9,0))),0))</f>
        <v>2986.2840495460673</v>
      </c>
      <c r="AU96" s="799">
        <f>IF(AU$69=$F96+1,IF(Monthly!AQ$4=TRUE,0,Monthly!AQ$17),IF(AU$69&gt;$F96+1,AT96*(1-IF(AU$69-$F96&lt;=12,SUMIFS('Attrition Modeling'!$D:$D,'Attrition Modeling'!$B:$B,$E96,'Attrition Modeling'!$C:$C,AU$68),VLOOKUP(AU$69-$F96-1,$A$7:$C$161,2,FALSE)*VLOOKUP(AU$1,'Attrition Modeling'!$L$15:$N$27,IF(AU$2-$F29&lt;=24,2,3),FALSE))*(1+Projection!AW$16)*(1+IF(AU161&gt;0,'Attrition Modeling'!$N$9,0))),0))</f>
        <v>2843.0470309697816</v>
      </c>
      <c r="AV96" s="799">
        <f>IF(AV$69=$F96+1,IF(Monthly!AR$4=TRUE,0,Monthly!AR$17),IF(AV$69&gt;$F96+1,AU96*(1-IF(AV$69-$F96&lt;=12,SUMIFS('Attrition Modeling'!$D:$D,'Attrition Modeling'!$B:$B,$E96,'Attrition Modeling'!$C:$C,AV$68),VLOOKUP(AV$69-$F96-1,$A$7:$C$161,2,FALSE)*VLOOKUP(AV$1,'Attrition Modeling'!$L$15:$N$27,IF(AV$2-$F29&lt;=24,2,3),FALSE))*(1+Projection!AX$16)*(1+IF(AV161&gt;0,'Attrition Modeling'!$N$9,0))),0))</f>
        <v>2714.2837234418948</v>
      </c>
      <c r="AW96" s="799">
        <f>IF(AW$69=$F96+1,IF(Monthly!AS$4=TRUE,0,Monthly!AS$17),IF(AW$69&gt;$F96+1,AV96*(1-IF(AW$69-$F96&lt;=12,SUMIFS('Attrition Modeling'!$D:$D,'Attrition Modeling'!$B:$B,$E96,'Attrition Modeling'!$C:$C,AW$68),VLOOKUP(AW$69-$F96-1,$A$7:$C$161,2,FALSE)*VLOOKUP(AW$1,'Attrition Modeling'!$L$15:$N$27,IF(AW$2-$F29&lt;=24,2,3),FALSE))*(1+Projection!AY$16)*(1+IF(AW161&gt;0,'Attrition Modeling'!$N$9,0))),0))</f>
        <v>2584.2506635240629</v>
      </c>
      <c r="AX96" s="799">
        <f>IF(AX$69=$F96+1,IF(Monthly!AT$4=TRUE,0,Monthly!AT$17),IF(AX$69&gt;$F96+1,AW96*(1-IF(AX$69-$F96&lt;=12,SUMIFS('Attrition Modeling'!$D:$D,'Attrition Modeling'!$B:$B,$E96,'Attrition Modeling'!$C:$C,AX$68),VLOOKUP(AX$69-$F96-1,$A$7:$C$161,2,FALSE)*VLOOKUP(AX$1,'Attrition Modeling'!$L$15:$N$27,IF(AX$2-$F29&lt;=24,2,3),FALSE))*(1+Projection!AZ$16)*(1+IF(AX161&gt;0,'Attrition Modeling'!$N$9,0))),0))</f>
        <v>2461.2436811688822</v>
      </c>
      <c r="AY96" s="799">
        <f>IF(AY$69=$F96+1,IF(Monthly!AU$4=TRUE,0,Monthly!AU$17),IF(AY$69&gt;$F96+1,AX96*(1-IF(AY$69-$F96&lt;=12,SUMIFS('Attrition Modeling'!$D:$D,'Attrition Modeling'!$B:$B,$E96,'Attrition Modeling'!$C:$C,AY$68),VLOOKUP(AY$69-$F96-1,$A$7:$C$161,2,FALSE)*VLOOKUP(AY$1,'Attrition Modeling'!$L$15:$N$27,IF(AY$2-$F29&lt;=24,2,3),FALSE))*(1+Projection!BA$16)*(1+IF(AY161&gt;0,'Attrition Modeling'!$N$9,0))),0))</f>
        <v>2318.0779824602346</v>
      </c>
      <c r="AZ96" s="799">
        <f>IF(AZ$69=$F96+1,IF(Monthly!AV$4=TRUE,0,Monthly!AV$17),IF(AZ$69&gt;$F96+1,AY96*(1-IF(AZ$69-$F96&lt;=12,SUMIFS('Attrition Modeling'!$D:$D,'Attrition Modeling'!$B:$B,$E96,'Attrition Modeling'!$C:$C,AZ$68),VLOOKUP(AZ$69-$F96-1,$A$7:$C$161,2,FALSE)*VLOOKUP(AZ$1,'Attrition Modeling'!$L$15:$N$27,IF(AZ$2-$F29&lt;=24,2,3),FALSE))*(1+Projection!BB$16)*(1+IF(AZ161&gt;0,'Attrition Modeling'!$N$9,0))),0))</f>
        <v>2217.8148488556631</v>
      </c>
      <c r="BA96" s="799">
        <f>IF(BA$69=$F96+1,IF(Monthly!AW$4=TRUE,0,Monthly!AW$17),IF(BA$69&gt;$F96+1,AZ96*(1-IF(BA$69-$F96&lt;=12,SUMIFS('Attrition Modeling'!$D:$D,'Attrition Modeling'!$B:$B,$E96,'Attrition Modeling'!$C:$C,BA$68),VLOOKUP(BA$69-$F96-1,$A$7:$C$161,2,FALSE)*VLOOKUP(BA$1,'Attrition Modeling'!$L$15:$N$27,IF(BA$2-$F29&lt;=24,2,3),FALSE))*(1+Projection!BC$16)*(1+IF(BA161&gt;0,'Attrition Modeling'!$N$9,0))),0))</f>
        <v>2121.5337400924441</v>
      </c>
      <c r="BB96" s="799">
        <f>IF(BB$69=$F96+1,IF(Monthly!AX$4=TRUE,0,Monthly!AX$17),IF(BB$69&gt;$F96+1,BA96*(1-IF(BB$69-$F96&lt;=12,SUMIFS('Attrition Modeling'!$D:$D,'Attrition Modeling'!$B:$B,$E96,'Attrition Modeling'!$C:$C,BB$68),VLOOKUP(BB$69-$F96-1,$A$7:$C$161,2,FALSE)*VLOOKUP(BB$1,'Attrition Modeling'!$L$15:$N$27,IF(BB$2-$F29&lt;=24,2,3),FALSE))*(1+Projection!BD$16)*(1+IF(BB161&gt;0,'Attrition Modeling'!$N$9,0))),0))</f>
        <v>2034.4467466483161</v>
      </c>
      <c r="BC96" s="799">
        <f>IF(BC$69=$F96+1,IF(Monthly!AY$4=TRUE,0,Monthly!AY$17),IF(BC$69&gt;$F96+1,BB96*(1-IF(BC$69-$F96&lt;=12,SUMIFS('Attrition Modeling'!$D:$D,'Attrition Modeling'!$B:$B,$E96,'Attrition Modeling'!$C:$C,BC$68),VLOOKUP(BC$69-$F96-1,$A$7:$C$161,2,FALSE)*VLOOKUP(BC$1,'Attrition Modeling'!$L$15:$N$27,IF(BC$2-$F29&lt;=24,2,3),FALSE))*(1+Projection!BE$16)*(1+IF(BC161&gt;0,'Attrition Modeling'!$N$9,0))),0))</f>
        <v>1953.0967173510096</v>
      </c>
      <c r="BD96" s="799">
        <f>IF(BD$69=$F96+1,IF(Monthly!AZ$4=TRUE,0,Monthly!AZ$17),IF(BD$69&gt;$F96+1,BC96*(1-IF(BD$69-$F96&lt;=12,SUMIFS('Attrition Modeling'!$D:$D,'Attrition Modeling'!$B:$B,$E96,'Attrition Modeling'!$C:$C,BD$68),VLOOKUP(BD$69-$F96-1,$A$7:$C$161,2,FALSE)*VLOOKUP(BD$1,'Attrition Modeling'!$L$15:$N$27,IF(BD$2-$F29&lt;=24,2,3),FALSE))*(1+Projection!BF$16)*(1+IF(BD161&gt;0,'Attrition Modeling'!$N$9,0))),0))</f>
        <v>1876.0458592363163</v>
      </c>
      <c r="BE96" s="799">
        <f>IF(BE$69=$F96+1,IF(Monthly!BA$4=TRUE,0,Monthly!BA$17),IF(BE$69&gt;$F96+1,BD96*(1-IF(BE$69-$F96&lt;=12,SUMIFS('Attrition Modeling'!$D:$D,'Attrition Modeling'!$B:$B,$E96,'Attrition Modeling'!$C:$C,BE$68),VLOOKUP(BE$69-$F96-1,$A$7:$C$161,2,FALSE)*VLOOKUP(BE$1,'Attrition Modeling'!$L$15:$N$27,IF(BE$2-$F29&lt;=24,2,3),FALSE))*(1+Projection!BG$16)*(1+IF(BE161&gt;0,'Attrition Modeling'!$N$9,0))),0))</f>
        <v>1810.1634165686316</v>
      </c>
      <c r="BF96" s="799">
        <f>IF(BF$69=$F96+1,IF(Monthly!BB$4=TRUE,0,Monthly!BB$17),IF(BF$69&gt;$F96+1,BE96*(1-IF(BF$69-$F96&lt;=12,SUMIFS('Attrition Modeling'!$D:$D,'Attrition Modeling'!$B:$B,$E96,'Attrition Modeling'!$C:$C,BF$68),VLOOKUP(BF$69-$F96-1,$A$7:$C$161,2,FALSE)*VLOOKUP(BF$1,'Attrition Modeling'!$L$15:$N$27,IF(BF$2-$F29&lt;=24,2,3),FALSE))*(1+Projection!BH$16)*(1+IF(BF161&gt;0,'Attrition Modeling'!$N$9,0))),0))</f>
        <v>1749.5007638873251</v>
      </c>
      <c r="BG96" s="799">
        <f>IF(BG$69=$F96+1,IF(Monthly!BC$4=TRUE,0,Monthly!BC$17),IF(BG$69&gt;$F96+1,BF96*(1-IF(BG$69-$F96&lt;=12,SUMIFS('Attrition Modeling'!$D:$D,'Attrition Modeling'!$B:$B,$E96,'Attrition Modeling'!$C:$C,BG$68),VLOOKUP(BG$69-$F96-1,$A$7:$C$161,2,FALSE)*VLOOKUP(BG$1,'Attrition Modeling'!$L$15:$N$27,IF(BG$2-$F29&lt;=24,2,3),FALSE))*(1+Projection!BI$16)*(1+IF(BG161&gt;0,'Attrition Modeling'!$N$9,0))),0))</f>
        <v>1703.5240765225806</v>
      </c>
      <c r="BH96" s="799">
        <f>IF(BH$69=$F96+1,IF(Monthly!BD$4=TRUE,0,Monthly!BD$17),IF(BH$69&gt;$F96+1,BG96*(1-IF(BH$69-$F96&lt;=12,SUMIFS('Attrition Modeling'!$D:$D,'Attrition Modeling'!$B:$B,$E96,'Attrition Modeling'!$C:$C,BH$68),VLOOKUP(BH$69-$F96-1,$A$7:$C$161,2,FALSE)*VLOOKUP(BH$1,'Attrition Modeling'!$L$15:$N$27,IF(BH$2-$F29&lt;=24,2,3),FALSE))*(1+Projection!BJ$16)*(1+IF(BH161&gt;0,'Attrition Modeling'!$N$9,0))),0))</f>
        <v>1650.2087162181842</v>
      </c>
      <c r="BI96" s="799">
        <f>IF(BI$69=$F96+1,IF(Monthly!BE$4=TRUE,0,Monthly!BE$17),IF(BI$69&gt;$F96+1,BH96*(1-IF(BI$69-$F96&lt;=12,SUMIFS('Attrition Modeling'!$D:$D,'Attrition Modeling'!$B:$B,$E96,'Attrition Modeling'!$C:$C,BI$68),VLOOKUP(BI$69-$F96-1,$A$7:$C$161,2,FALSE)*VLOOKUP(BI$1,'Attrition Modeling'!$L$15:$N$27,IF(BI$2-$F29&lt;=24,2,3),FALSE))*(1+Projection!BK$16)*(1+IF(BI161&gt;0,'Attrition Modeling'!$N$9,0))),0))</f>
        <v>1592.0415338928094</v>
      </c>
      <c r="BJ96" s="799">
        <f>IF(BJ$69=$F96+1,IF(Monthly!BF$4=TRUE,0,Monthly!BF$17),IF(BJ$69&gt;$F96+1,BI96*(1-IF(BJ$69-$F96&lt;=12,SUMIFS('Attrition Modeling'!$D:$D,'Attrition Modeling'!$B:$B,$E96,'Attrition Modeling'!$C:$C,BJ$68),VLOOKUP(BJ$69-$F96-1,$A$7:$C$161,2,FALSE)*VLOOKUP(BJ$1,'Attrition Modeling'!$L$15:$N$27,IF(BJ$2-$F29&lt;=24,2,3),FALSE))*(1+Projection!BL$16)*(1+IF(BJ161&gt;0,'Attrition Modeling'!$N$9,0))),0))</f>
        <v>1531.6860122462149</v>
      </c>
      <c r="BK96" s="799">
        <f>IF(BK$69=$F96+1,IF(Monthly!BG$4=TRUE,0,Monthly!BG$17),IF(BK$69&gt;$F96+1,BJ96*(1-IF(BK$69-$F96&lt;=12,SUMIFS('Attrition Modeling'!$D:$D,'Attrition Modeling'!$B:$B,$E96,'Attrition Modeling'!$C:$C,BK$68),VLOOKUP(BK$69-$F96-1,$A$7:$C$161,2,FALSE)*VLOOKUP(BK$1,'Attrition Modeling'!$L$15:$N$27,IF(BK$2-$F29&lt;=24,2,3),FALSE))*(1+Projection!BM$16)*(1+IF(BK161&gt;0,'Attrition Modeling'!$N$9,0))),0))</f>
        <v>1457.7960152108719</v>
      </c>
      <c r="BL96" s="799">
        <f>IF(BL$69=$F96+1,IF(Monthly!BH$4=TRUE,0,Monthly!BH$17),IF(BL$69&gt;$F96+1,BK96*(1-IF(BL$69-$F96&lt;=12,SUMIFS('Attrition Modeling'!$D:$D,'Attrition Modeling'!$B:$B,$E96,'Attrition Modeling'!$C:$C,BL$68),VLOOKUP(BL$69-$F96-1,$A$7:$C$161,2,FALSE)*VLOOKUP(BL$1,'Attrition Modeling'!$L$15:$N$27,IF(BL$2-$F29&lt;=24,2,3),FALSE))*(1+Projection!BN$16)*(1+IF(BL161&gt;0,'Attrition Modeling'!$N$9,0))),0))</f>
        <v>1403.4339327740345</v>
      </c>
      <c r="BM96" s="799">
        <f>IF(BM$69=$F96+1,IF(Monthly!BI$4=TRUE,0,Monthly!BI$17),IF(BM$69&gt;$F96+1,BL96*(1-IF(BM$69-$F96&lt;=12,SUMIFS('Attrition Modeling'!$D:$D,'Attrition Modeling'!$B:$B,$E96,'Attrition Modeling'!$C:$C,BM$68),VLOOKUP(BM$69-$F96-1,$A$7:$C$161,2,FALSE)*VLOOKUP(BM$1,'Attrition Modeling'!$L$15:$N$27,IF(BM$2-$F29&lt;=24,2,3),FALSE))*(1+Projection!BO$16)*(1+IF(BM161&gt;0,'Attrition Modeling'!$N$9,0))),0))</f>
        <v>1353.5057991617177</v>
      </c>
      <c r="BN96" s="799">
        <f>IF(BN$69=$F96+1,IF(Monthly!BJ$4=TRUE,0,Monthly!BJ$17),IF(BN$69&gt;$F96+1,BM96*(1-IF(BN$69-$F96&lt;=12,SUMIFS('Attrition Modeling'!$D:$D,'Attrition Modeling'!$B:$B,$E96,'Attrition Modeling'!$C:$C,BN$68),VLOOKUP(BN$69-$F96-1,$A$7:$C$161,2,FALSE)*VLOOKUP(BN$1,'Attrition Modeling'!$L$15:$N$27,IF(BN$2-$F29&lt;=24,2,3),FALSE))*(1+Projection!BP$16)*(1+IF(BN161&gt;0,'Attrition Modeling'!$N$9,0))),0))</f>
        <v>1306.9937587661657</v>
      </c>
      <c r="BO96" s="799">
        <f>IF(BO$69=$F96+1,IF(Monthly!BK$4=TRUE,0,Monthly!BK$17),IF(BO$69&gt;$F96+1,BN96*(1-IF(BO$69-$F96&lt;=12,SUMIFS('Attrition Modeling'!$D:$D,'Attrition Modeling'!$B:$B,$E96,'Attrition Modeling'!$C:$C,BO$68),VLOOKUP(BO$69-$F96-1,$A$7:$C$161,2,FALSE)*VLOOKUP(BO$1,'Attrition Modeling'!$L$15:$N$27,IF(BO$2-$F29&lt;=24,2,3),FALSE))*(1+Projection!BV$16)*(1+IF(BO161&gt;0,'Attrition Modeling'!$N$9,0))),0))</f>
        <v>1270.4065196594195</v>
      </c>
      <c r="BP96" s="799">
        <f>IF(BP$69=$F96+1,IF(Monthly!BL$4=TRUE,0,Monthly!BL$17),IF(BP$69&gt;$F96+1,BO96*(1-IF(BP$69-$F96&lt;=12,SUMIFS('Attrition Modeling'!$D:$D,'Attrition Modeling'!$B:$B,$E96,'Attrition Modeling'!$C:$C,BP$68),VLOOKUP(BP$69-$F96-1,$A$7:$C$161,2,FALSE)*VLOOKUP(BP$1,'Attrition Modeling'!$L$15:$N$27,IF(BP$2-$F29&lt;=24,2,3),FALSE))*(1+Projection!BW$16)*(1+IF(BP161&gt;0,'Attrition Modeling'!$N$9,0))),0))</f>
        <v>1231.477450698422</v>
      </c>
      <c r="BQ96" s="799">
        <f>IF(BQ$69=$F96+1,IF(Monthly!BM$4=TRUE,0,Monthly!BM$17),IF(BQ$69&gt;$F96+1,BP96*(1-IF(BQ$69-$F96&lt;=12,SUMIFS('Attrition Modeling'!$D:$D,'Attrition Modeling'!$B:$B,$E96,'Attrition Modeling'!$C:$C,BQ$68),VLOOKUP(BQ$69-$F96-1,$A$7:$C$161,2,FALSE)*VLOOKUP(BQ$1,'Attrition Modeling'!$L$15:$N$27,IF(BQ$2-$F29&lt;=24,2,3),FALSE))*(1+Projection!BX$16)*(1+IF(BQ161&gt;0,'Attrition Modeling'!$N$9,0))),0))</f>
        <v>1195.3285561760088</v>
      </c>
      <c r="BR96" s="799">
        <f>IF(BR$69=$F96+1,IF(Monthly!BN$4=TRUE,0,Monthly!BN$17),IF(BR$69&gt;$F96+1,BQ96*(1-IF(BR$69-$F96&lt;=12,SUMIFS('Attrition Modeling'!$D:$D,'Attrition Modeling'!$B:$B,$E96,'Attrition Modeling'!$C:$C,BR$68),VLOOKUP(BR$69-$F96-1,$A$7:$C$161,2,FALSE)*VLOOKUP(BR$1,'Attrition Modeling'!$L$15:$N$27,IF(BR$2-$F29&lt;=24,2,3),FALSE))*(1+Projection!BY$16)*(1+IF(BR161&gt;0,'Attrition Modeling'!$N$9,0))),0))</f>
        <v>1162.0798602070904</v>
      </c>
      <c r="BS96" s="799">
        <f>IF(BS$69=$F96+1,IF(Monthly!BO$4=TRUE,0,Monthly!BO$17),IF(BS$69&gt;$F96+1,BR96*(1-IF(BS$69-$F96&lt;=12,SUMIFS('Attrition Modeling'!$D:$D,'Attrition Modeling'!$B:$B,$E96,'Attrition Modeling'!$C:$C,BS$68),VLOOKUP(BS$69-$F96-1,$A$7:$C$161,2,FALSE)*VLOOKUP(BS$1,'Attrition Modeling'!$L$15:$N$27,IF(BS$2-$F29&lt;=24,2,3),FALSE))*(1+Projection!BZ$16)*(1+IF(BS161&gt;0,'Attrition Modeling'!$N$9,0))),0))</f>
        <v>1136.6474283952255</v>
      </c>
      <c r="BT96" s="799">
        <f>IF(BT$69=$F96+1,IF(Monthly!#REF!=TRUE,0,Monthly!#REF!),IF(BT$69&gt;$F96+1,BS96*(1-IF(BT$69-$F96&lt;=12,SUMIFS('Attrition Modeling'!$D:$D,'Attrition Modeling'!$B:$B,$E96,'Attrition Modeling'!$C:$C,BT$68),VLOOKUP(BT$69-$F96-1,$A$7:$C$161,2,FALSE)*VLOOKUP(BT$1,'Attrition Modeling'!$L$15:$N$27,IF(BT$2-$F29&lt;=24,2,3),FALSE))*(1+Projection!CA$16)*(1+IF(BT161&gt;0,'Attrition Modeling'!$N$9,0))),0))</f>
        <v>1106.9299411112786</v>
      </c>
      <c r="BU96" s="799">
        <f>IF(BU$69=$F96+1,IF(Monthly!#REF!=TRUE,0,Monthly!#REF!),IF(BU$69&gt;$F96+1,BT96*(1-IF(BU$69-$F96&lt;=12,SUMIFS('Attrition Modeling'!$D:$D,'Attrition Modeling'!$B:$B,$E96,'Attrition Modeling'!$C:$C,BU$68),VLOOKUP(BU$69-$F96-1,$A$7:$C$161,2,FALSE)*VLOOKUP(BU$1,'Attrition Modeling'!$L$15:$N$27,IF(BU$2-$F29&lt;=24,2,3),FALSE))*(1+Projection!CB$16)*(1+IF(BU161&gt;0,'Attrition Modeling'!$N$9,0))),0))</f>
        <v>1074.2401163957588</v>
      </c>
    </row>
    <row r="97" spans="1:73" ht="14.25" customHeight="1" x14ac:dyDescent="0.2">
      <c r="A97" s="9">
        <v>90</v>
      </c>
      <c r="B97" s="25">
        <f>MAX('Attrition Modeling'!H94,$C$3)*(1-Summary!$C$20)</f>
        <v>0.02</v>
      </c>
      <c r="C97" s="24" t="e">
        <f t="shared" si="4"/>
        <v>#DIV/0!</v>
      </c>
      <c r="E97" s="11">
        <f t="shared" si="9"/>
        <v>3</v>
      </c>
      <c r="F97" s="11">
        <f t="shared" si="10"/>
        <v>27</v>
      </c>
      <c r="G97" s="799"/>
      <c r="H97" s="799">
        <f>IF(H$69=$F97+1,IF(Monthly!D$4=TRUE,0,Monthly!D$17),IF(H$69&gt;$F97+1,G97*(1-IF(H$69-$F97&lt;=12,SUMIFS('Attrition Modeling'!$D:$D,'Attrition Modeling'!$B:$B,$E97,'Attrition Modeling'!$C:$C,H$68),VLOOKUP(H$69-$F97-1,$A$7:$C$161,2,FALSE)*VLOOKUP(H$1,'Attrition Modeling'!$L$15:$N$27,IF(H$2-$F30&lt;=24,2,3),FALSE))*(1+Projection!J$16)*(1+IF(H162&gt;0,'Attrition Modeling'!$N$9,0))),0))</f>
        <v>0</v>
      </c>
      <c r="I97" s="799">
        <f>IF(I$69=$F97+1,IF(Monthly!E$4=TRUE,0,Monthly!E$17),IF(I$69&gt;$F97+1,H97*(1-IF(I$69-$F97&lt;=12,SUMIFS('Attrition Modeling'!$D:$D,'Attrition Modeling'!$B:$B,$E97,'Attrition Modeling'!$C:$C,I$68),VLOOKUP(I$69-$F97-1,$A$7:$C$161,2,FALSE)*VLOOKUP(I$1,'Attrition Modeling'!$L$15:$N$27,IF(I$2-$F30&lt;=24,2,3),FALSE))*(1+Projection!K$16)*(1+IF(I162&gt;0,'Attrition Modeling'!$N$9,0))),0))</f>
        <v>0</v>
      </c>
      <c r="J97" s="799">
        <f>IF(J$69=$F97+1,IF(Monthly!F$4=TRUE,0,Monthly!F$17),IF(J$69&gt;$F97+1,I97*(1-IF(J$69-$F97&lt;=12,SUMIFS('Attrition Modeling'!$D:$D,'Attrition Modeling'!$B:$B,$E97,'Attrition Modeling'!$C:$C,J$68),VLOOKUP(J$69-$F97-1,$A$7:$C$161,2,FALSE)*VLOOKUP(J$1,'Attrition Modeling'!$L$15:$N$27,IF(J$2-$F30&lt;=24,2,3),FALSE))*(1+Projection!L$16)*(1+IF(J162&gt;0,'Attrition Modeling'!$N$9,0))),0))</f>
        <v>0</v>
      </c>
      <c r="K97" s="799">
        <f>IF(K$69=$F97+1,IF(Monthly!G$4=TRUE,0,Monthly!G$17),IF(K$69&gt;$F97+1,J97*(1-IF(K$69-$F97&lt;=12,SUMIFS('Attrition Modeling'!$D:$D,'Attrition Modeling'!$B:$B,$E97,'Attrition Modeling'!$C:$C,K$68),VLOOKUP(K$69-$F97-1,$A$7:$C$161,2,FALSE)*VLOOKUP(K$1,'Attrition Modeling'!$L$15:$N$27,IF(K$2-$F30&lt;=24,2,3),FALSE))*(1+Projection!M$16)*(1+IF(K162&gt;0,'Attrition Modeling'!$N$9,0))),0))</f>
        <v>0</v>
      </c>
      <c r="L97" s="799">
        <f>IF(L$69=$F97+1,IF(Monthly!H$4=TRUE,0,Monthly!H$17),IF(L$69&gt;$F97+1,K97*(1-IF(L$69-$F97&lt;=12,SUMIFS('Attrition Modeling'!$D:$D,'Attrition Modeling'!$B:$B,$E97,'Attrition Modeling'!$C:$C,L$68),VLOOKUP(L$69-$F97-1,$A$7:$C$161,2,FALSE)*VLOOKUP(L$1,'Attrition Modeling'!$L$15:$N$27,IF(L$2-$F30&lt;=24,2,3),FALSE))*(1+Projection!N$16)*(1+IF(L162&gt;0,'Attrition Modeling'!$N$9,0))),0))</f>
        <v>0</v>
      </c>
      <c r="M97" s="799">
        <f>IF(M$69=$F97+1,IF(Monthly!I$4=TRUE,0,Monthly!I$17),IF(M$69&gt;$F97+1,L97*(1-IF(M$69-$F97&lt;=12,SUMIFS('Attrition Modeling'!$D:$D,'Attrition Modeling'!$B:$B,$E97,'Attrition Modeling'!$C:$C,M$68),VLOOKUP(M$69-$F97-1,$A$7:$C$161,2,FALSE)*VLOOKUP(M$1,'Attrition Modeling'!$L$15:$N$27,IF(M$2-$F30&lt;=24,2,3),FALSE))*(1+Projection!O$16)*(1+IF(M162&gt;0,'Attrition Modeling'!$N$9,0))),0))</f>
        <v>0</v>
      </c>
      <c r="N97" s="799">
        <f>IF(N$69=$F97+1,IF(Monthly!J$4=TRUE,0,Monthly!J$17),IF(N$69&gt;$F97+1,M97*(1-IF(N$69-$F97&lt;=12,SUMIFS('Attrition Modeling'!$D:$D,'Attrition Modeling'!$B:$B,$E97,'Attrition Modeling'!$C:$C,N$68),VLOOKUP(N$69-$F97-1,$A$7:$C$161,2,FALSE)*VLOOKUP(N$1,'Attrition Modeling'!$L$15:$N$27,IF(N$2-$F30&lt;=24,2,3),FALSE))*(1+Projection!P$16)*(1+IF(N162&gt;0,'Attrition Modeling'!$N$9,0))),0))</f>
        <v>0</v>
      </c>
      <c r="O97" s="799">
        <f>IF(O$69=$F97+1,IF(Monthly!K$4=TRUE,0,Monthly!K$17),IF(O$69&gt;$F97+1,N97*(1-IF(O$69-$F97&lt;=12,SUMIFS('Attrition Modeling'!$D:$D,'Attrition Modeling'!$B:$B,$E97,'Attrition Modeling'!$C:$C,O$68),VLOOKUP(O$69-$F97-1,$A$7:$C$161,2,FALSE)*VLOOKUP(O$1,'Attrition Modeling'!$L$15:$N$27,IF(O$2-$F30&lt;=24,2,3),FALSE))*(1+Projection!Q$16)*(1+IF(O162&gt;0,'Attrition Modeling'!$N$9,0))),0))</f>
        <v>0</v>
      </c>
      <c r="P97" s="799">
        <f>IF(P$69=$F97+1,IF(Monthly!L$4=TRUE,0,Monthly!L$17),IF(P$69&gt;$F97+1,O97*(1-IF(P$69-$F97&lt;=12,SUMIFS('Attrition Modeling'!$D:$D,'Attrition Modeling'!$B:$B,$E97,'Attrition Modeling'!$C:$C,P$68),VLOOKUP(P$69-$F97-1,$A$7:$C$161,2,FALSE)*VLOOKUP(P$1,'Attrition Modeling'!$L$15:$N$27,IF(P$2-$F30&lt;=24,2,3),FALSE))*(1+Projection!R$16)*(1+IF(P162&gt;0,'Attrition Modeling'!$N$9,0))),0))</f>
        <v>0</v>
      </c>
      <c r="Q97" s="799">
        <f>IF(Q$69=$F97+1,IF(Monthly!M$4=TRUE,0,Monthly!M$17),IF(Q$69&gt;$F97+1,P97*(1-IF(Q$69-$F97&lt;=12,SUMIFS('Attrition Modeling'!$D:$D,'Attrition Modeling'!$B:$B,$E97,'Attrition Modeling'!$C:$C,Q$68),VLOOKUP(Q$69-$F97-1,$A$7:$C$161,2,FALSE)*VLOOKUP(Q$1,'Attrition Modeling'!$L$15:$N$27,IF(Q$2-$F30&lt;=24,2,3),FALSE))*(1+Projection!S$16)*(1+IF(Q162&gt;0,'Attrition Modeling'!$N$9,0))),0))</f>
        <v>0</v>
      </c>
      <c r="R97" s="799">
        <f>IF(R$69=$F97+1,IF(Monthly!N$4=TRUE,0,Monthly!N$17),IF(R$69&gt;$F97+1,Q97*(1-IF(R$69-$F97&lt;=12,SUMIFS('Attrition Modeling'!$D:$D,'Attrition Modeling'!$B:$B,$E97,'Attrition Modeling'!$C:$C,R$68),VLOOKUP(R$69-$F97-1,$A$7:$C$161,2,FALSE)*VLOOKUP(R$1,'Attrition Modeling'!$L$15:$N$27,IF(R$2-$F30&lt;=24,2,3),FALSE))*(1+Projection!T$16)*(1+IF(R162&gt;0,'Attrition Modeling'!$N$9,0))),0))</f>
        <v>0</v>
      </c>
      <c r="S97" s="799">
        <f>IF(S$69=$F97+1,IF(Monthly!O$4=TRUE,0,Monthly!O$17),IF(S$69&gt;$F97+1,R97*(1-IF(S$69-$F97&lt;=12,SUMIFS('Attrition Modeling'!$D:$D,'Attrition Modeling'!$B:$B,$E97,'Attrition Modeling'!$C:$C,S$68),VLOOKUP(S$69-$F97-1,$A$7:$C$161,2,FALSE)*VLOOKUP(S$1,'Attrition Modeling'!$L$15:$N$27,IF(S$2-$F30&lt;=24,2,3),FALSE))*(1+Projection!U$16)*(1+IF(S162&gt;0,'Attrition Modeling'!$N$9,0))),0))</f>
        <v>0</v>
      </c>
      <c r="T97" s="799">
        <f>IF(T$69=$F97+1,IF(Monthly!P$4=TRUE,0,Monthly!P$17),IF(T$69&gt;$F97+1,S97*(1-IF(T$69-$F97&lt;=12,SUMIFS('Attrition Modeling'!$D:$D,'Attrition Modeling'!$B:$B,$E97,'Attrition Modeling'!$C:$C,T$68),VLOOKUP(T$69-$F97-1,$A$7:$C$161,2,FALSE)*VLOOKUP(T$1,'Attrition Modeling'!$L$15:$N$27,IF(T$2-$F30&lt;=24,2,3),FALSE))*(1+Projection!V$16)*(1+IF(T162&gt;0,'Attrition Modeling'!$N$9,0))),0))</f>
        <v>0</v>
      </c>
      <c r="U97" s="799">
        <f>IF(U$69=$F97+1,IF(Monthly!Q$4=TRUE,0,Monthly!Q$17),IF(U$69&gt;$F97+1,T97*(1-IF(U$69-$F97&lt;=12,SUMIFS('Attrition Modeling'!$D:$D,'Attrition Modeling'!$B:$B,$E97,'Attrition Modeling'!$C:$C,U$68),VLOOKUP(U$69-$F97-1,$A$7:$C$161,2,FALSE)*VLOOKUP(U$1,'Attrition Modeling'!$L$15:$N$27,IF(U$2-$F30&lt;=24,2,3),FALSE))*(1+Projection!W$16)*(1+IF(U162&gt;0,'Attrition Modeling'!$N$9,0))),0))</f>
        <v>0</v>
      </c>
      <c r="V97" s="799">
        <f>IF(V$69=$F97+1,IF(Monthly!R$4=TRUE,0,Monthly!R$17),IF(V$69&gt;$F97+1,U97*(1-IF(V$69-$F97&lt;=12,SUMIFS('Attrition Modeling'!$D:$D,'Attrition Modeling'!$B:$B,$E97,'Attrition Modeling'!$C:$C,V$68),VLOOKUP(V$69-$F97-1,$A$7:$C$161,2,FALSE)*VLOOKUP(V$1,'Attrition Modeling'!$L$15:$N$27,IF(V$2-$F30&lt;=24,2,3),FALSE))*(1+Projection!X$16)*(1+IF(V162&gt;0,'Attrition Modeling'!$N$9,0))),0))</f>
        <v>0</v>
      </c>
      <c r="W97" s="799">
        <f>IF(W$69=$F97+1,IF(Monthly!S$4=TRUE,0,Monthly!S$17),IF(W$69&gt;$F97+1,V97*(1-IF(W$69-$F97&lt;=12,SUMIFS('Attrition Modeling'!$D:$D,'Attrition Modeling'!$B:$B,$E97,'Attrition Modeling'!$C:$C,W$68),VLOOKUP(W$69-$F97-1,$A$7:$C$161,2,FALSE)*VLOOKUP(W$1,'Attrition Modeling'!$L$15:$N$27,IF(W$2-$F30&lt;=24,2,3),FALSE))*(1+Projection!Y$16)*(1+IF(W162&gt;0,'Attrition Modeling'!$N$9,0))),0))</f>
        <v>0</v>
      </c>
      <c r="X97" s="799">
        <f>IF(X$69=$F97+1,IF(Monthly!T$4=TRUE,0,Monthly!T$17),IF(X$69&gt;$F97+1,W97*(1-IF(X$69-$F97&lt;=12,SUMIFS('Attrition Modeling'!$D:$D,'Attrition Modeling'!$B:$B,$E97,'Attrition Modeling'!$C:$C,X$68),VLOOKUP(X$69-$F97-1,$A$7:$C$161,2,FALSE)*VLOOKUP(X$1,'Attrition Modeling'!$L$15:$N$27,IF(X$2-$F30&lt;=24,2,3),FALSE))*(1+Projection!Z$16)*(1+IF(X162&gt;0,'Attrition Modeling'!$N$9,0))),0))</f>
        <v>0</v>
      </c>
      <c r="Y97" s="799">
        <f>IF(Y$69=$F97+1,IF(Monthly!U$4=TRUE,0,Monthly!U$17),IF(Y$69&gt;$F97+1,X97*(1-IF(Y$69-$F97&lt;=12,SUMIFS('Attrition Modeling'!$D:$D,'Attrition Modeling'!$B:$B,$E97,'Attrition Modeling'!$C:$C,Y$68),VLOOKUP(Y$69-$F97-1,$A$7:$C$161,2,FALSE)*VLOOKUP(Y$1,'Attrition Modeling'!$L$15:$N$27,IF(Y$2-$F30&lt;=24,2,3),FALSE))*(1+Projection!AA$16)*(1+IF(Y162&gt;0,'Attrition Modeling'!$N$9,0))),0))</f>
        <v>0</v>
      </c>
      <c r="Z97" s="799">
        <f>IF(Z$69=$F97+1,IF(Monthly!V$4=TRUE,0,Monthly!V$17),IF(Z$69&gt;$F97+1,Y97*(1-IF(Z$69-$F97&lt;=12,SUMIFS('Attrition Modeling'!$D:$D,'Attrition Modeling'!$B:$B,$E97,'Attrition Modeling'!$C:$C,Z$68),VLOOKUP(Z$69-$F97-1,$A$7:$C$161,2,FALSE)*VLOOKUP(Z$1,'Attrition Modeling'!$L$15:$N$27,IF(Z$2-$F30&lt;=24,2,3),FALSE))*(1+Projection!AB$16)*(1+IF(Z162&gt;0,'Attrition Modeling'!$N$9,0))),0))</f>
        <v>0</v>
      </c>
      <c r="AA97" s="799">
        <f>IF(AA$69=$F97+1,IF(Monthly!W$4=TRUE,0,Monthly!W$17),IF(AA$69&gt;$F97+1,Z97*(1-IF(AA$69-$F97&lt;=12,SUMIFS('Attrition Modeling'!$D:$D,'Attrition Modeling'!$B:$B,$E97,'Attrition Modeling'!$C:$C,AA$68),VLOOKUP(AA$69-$F97-1,$A$7:$C$161,2,FALSE)*VLOOKUP(AA$1,'Attrition Modeling'!$L$15:$N$27,IF(AA$2-$F30&lt;=24,2,3),FALSE))*(1+Projection!AC$16)*(1+IF(AA162&gt;0,'Attrition Modeling'!$N$9,0))),0))</f>
        <v>0</v>
      </c>
      <c r="AB97" s="799">
        <f>IF(AB$69=$F97+1,IF(Monthly!X$4=TRUE,0,Monthly!X$17),IF(AB$69&gt;$F97+1,AA97*(1-IF(AB$69-$F97&lt;=12,SUMIFS('Attrition Modeling'!$D:$D,'Attrition Modeling'!$B:$B,$E97,'Attrition Modeling'!$C:$C,AB$68),VLOOKUP(AB$69-$F97-1,$A$7:$C$161,2,FALSE)*VLOOKUP(AB$1,'Attrition Modeling'!$L$15:$N$27,IF(AB$2-$F30&lt;=24,2,3),FALSE))*(1+Projection!AD$16)*(1+IF(AB162&gt;0,'Attrition Modeling'!$N$9,0))),0))</f>
        <v>0</v>
      </c>
      <c r="AC97" s="799">
        <f>IF(AC$69=$F97+1,IF(Monthly!Y$4=TRUE,0,Monthly!Y$17),IF(AC$69&gt;$F97+1,AB97*(1-IF(AC$69-$F97&lt;=12,SUMIFS('Attrition Modeling'!$D:$D,'Attrition Modeling'!$B:$B,$E97,'Attrition Modeling'!$C:$C,AC$68),VLOOKUP(AC$69-$F97-1,$A$7:$C$161,2,FALSE)*VLOOKUP(AC$1,'Attrition Modeling'!$L$15:$N$27,IF(AC$2-$F30&lt;=24,2,3),FALSE))*(1+Projection!AE$16)*(1+IF(AC162&gt;0,'Attrition Modeling'!$N$9,0))),0))</f>
        <v>0</v>
      </c>
      <c r="AD97" s="799">
        <f>IF(AD$69=$F97+1,IF(Monthly!Z$4=TRUE,0,Monthly!Z$17),IF(AD$69&gt;$F97+1,AC97*(1-IF(AD$69-$F97&lt;=12,SUMIFS('Attrition Modeling'!$D:$D,'Attrition Modeling'!$B:$B,$E97,'Attrition Modeling'!$C:$C,AD$68),VLOOKUP(AD$69-$F97-1,$A$7:$C$161,2,FALSE)*VLOOKUP(AD$1,'Attrition Modeling'!$L$15:$N$27,IF(AD$2-$F30&lt;=24,2,3),FALSE))*(1+Projection!AF$16)*(1+IF(AD162&gt;0,'Attrition Modeling'!$N$9,0))),0))</f>
        <v>0</v>
      </c>
      <c r="AE97" s="799">
        <f>IF(AE$69=$F97+1,IF(Monthly!AA$4=TRUE,0,Monthly!AA$17),IF(AE$69&gt;$F97+1,AD97*(1-IF(AE$69-$F97&lt;=12,SUMIFS('Attrition Modeling'!$D:$D,'Attrition Modeling'!$B:$B,$E97,'Attrition Modeling'!$C:$C,AE$68),VLOOKUP(AE$69-$F97-1,$A$7:$C$161,2,FALSE)*VLOOKUP(AE$1,'Attrition Modeling'!$L$15:$N$27,IF(AE$2-$F30&lt;=24,2,3),FALSE))*(1+Projection!AG$16)*(1+IF(AE162&gt;0,'Attrition Modeling'!$N$9,0))),0))</f>
        <v>0</v>
      </c>
      <c r="AF97" s="799">
        <f>IF(AF$69=$F97+1,IF(Monthly!AB$4=TRUE,0,Monthly!AB$17),IF(AF$69&gt;$F97+1,AE97*(1-IF(AF$69-$F97&lt;=12,SUMIFS('Attrition Modeling'!$D:$D,'Attrition Modeling'!$B:$B,$E97,'Attrition Modeling'!$C:$C,AF$68),VLOOKUP(AF$69-$F97-1,$A$7:$C$161,2,FALSE)*VLOOKUP(AF$1,'Attrition Modeling'!$L$15:$N$27,IF(AF$2-$F30&lt;=24,2,3),FALSE))*(1+Projection!AH$16)*(1+IF(AF162&gt;0,'Attrition Modeling'!$N$9,0))),0))</f>
        <v>0</v>
      </c>
      <c r="AG97" s="799">
        <f>IF(AG$69=$F97+1,IF(Monthly!AC$4=TRUE,0,Monthly!AC$17),IF(AG$69&gt;$F97+1,AF97*(1-IF(AG$69-$F97&lt;=12,SUMIFS('Attrition Modeling'!$D:$D,'Attrition Modeling'!$B:$B,$E97,'Attrition Modeling'!$C:$C,AG$68),VLOOKUP(AG$69-$F97-1,$A$7:$C$161,2,FALSE)*VLOOKUP(AG$1,'Attrition Modeling'!$L$15:$N$27,IF(AG$2-$F30&lt;=24,2,3),FALSE))*(1+Projection!AI$16)*(1+IF(AG162&gt;0,'Attrition Modeling'!$N$9,0))),0))</f>
        <v>0</v>
      </c>
      <c r="AH97" s="799">
        <f>IF(AH$69=$F97+1,IF(Monthly!AD$4=TRUE,0,Monthly!AD$17),IF(AH$69&gt;$F97+1,AG97*(1-IF(AH$69-$F97&lt;=12,SUMIFS('Attrition Modeling'!$D:$D,'Attrition Modeling'!$B:$B,$E97,'Attrition Modeling'!$C:$C,AH$68),VLOOKUP(AH$69-$F97-1,$A$7:$C$161,2,FALSE)*VLOOKUP(AH$1,'Attrition Modeling'!$L$15:$N$27,IF(AH$2-$F30&lt;=24,2,3),FALSE))*(1+Projection!AJ$16)*(1+IF(AH162&gt;0,'Attrition Modeling'!$N$9,0))),0))</f>
        <v>0</v>
      </c>
      <c r="AI97" s="799">
        <f>IF(AI$69=$F97+1,IF(Monthly!AE$4=TRUE,0,Monthly!AE$17),IF(AI$69&gt;$F97+1,AH97*(1-IF(AI$69-$F97&lt;=12,SUMIFS('Attrition Modeling'!$D:$D,'Attrition Modeling'!$B:$B,$E97,'Attrition Modeling'!$C:$C,AI$68),VLOOKUP(AI$69-$F97-1,$A$7:$C$161,2,FALSE)*VLOOKUP(AI$1,'Attrition Modeling'!$L$15:$N$27,IF(AI$2-$F30&lt;=24,2,3),FALSE))*(1+Projection!AK$16)*(1+IF(AI162&gt;0,'Attrition Modeling'!$N$9,0))),0))</f>
        <v>7340.6045134883607</v>
      </c>
      <c r="AJ97" s="799">
        <f>IF(AJ$69=$F97+1,IF(Monthly!AF$4=TRUE,0,Monthly!AF$17),IF(AJ$69&gt;$F97+1,AI97*(1-IF(AJ$69-$F97&lt;=12,SUMIFS('Attrition Modeling'!$D:$D,'Attrition Modeling'!$B:$B,$E97,'Attrition Modeling'!$C:$C,AJ$68),VLOOKUP(AJ$69-$F97-1,$A$7:$C$161,2,FALSE)*VLOOKUP(AJ$1,'Attrition Modeling'!$L$15:$N$27,IF(AJ$2-$F30&lt;=24,2,3),FALSE))*(1+Projection!AL$16)*(1+IF(AJ162&gt;0,'Attrition Modeling'!$N$9,0))),0))</f>
        <v>6651.1883708877931</v>
      </c>
      <c r="AK97" s="799">
        <f>IF(AK$69=$F97+1,IF(Monthly!AG$4=TRUE,0,Monthly!AG$17),IF(AK$69&gt;$F97+1,AJ97*(1-IF(AK$69-$F97&lt;=12,SUMIFS('Attrition Modeling'!$D:$D,'Attrition Modeling'!$B:$B,$E97,'Attrition Modeling'!$C:$C,AK$68),VLOOKUP(AK$69-$F97-1,$A$7:$C$161,2,FALSE)*VLOOKUP(AK$1,'Attrition Modeling'!$L$15:$N$27,IF(AK$2-$F30&lt;=24,2,3),FALSE))*(1+Projection!AM$16)*(1+IF(AK162&gt;0,'Attrition Modeling'!$N$9,0))),0))</f>
        <v>6054.0688892751568</v>
      </c>
      <c r="AL97" s="799">
        <f>IF(AL$69=$F97+1,IF(Monthly!AH$4=TRUE,0,Monthly!AH$17),IF(AL$69&gt;$F97+1,AK97*(1-IF(AL$69-$F97&lt;=12,SUMIFS('Attrition Modeling'!$D:$D,'Attrition Modeling'!$B:$B,$E97,'Attrition Modeling'!$C:$C,AL$68),VLOOKUP(AL$69-$F97-1,$A$7:$C$161,2,FALSE)*VLOOKUP(AL$1,'Attrition Modeling'!$L$15:$N$27,IF(AL$2-$F30&lt;=24,2,3),FALSE))*(1+Projection!AN$16)*(1+IF(AL162&gt;0,'Attrition Modeling'!$N$9,0))),0))</f>
        <v>5512.7449249475076</v>
      </c>
      <c r="AM97" s="799">
        <f>IF(AM$69=$F97+1,IF(Monthly!AI$4=TRUE,0,Monthly!AI$17),IF(AM$69&gt;$F97+1,AL97*(1-IF(AM$69-$F97&lt;=12,SUMIFS('Attrition Modeling'!$D:$D,'Attrition Modeling'!$B:$B,$E97,'Attrition Modeling'!$C:$C,AM$68),VLOOKUP(AM$69-$F97-1,$A$7:$C$161,2,FALSE)*VLOOKUP(AM$1,'Attrition Modeling'!$L$15:$N$27,IF(AM$2-$F30&lt;=24,2,3),FALSE))*(1+Projection!AO$16)*(1+IF(AM162&gt;0,'Attrition Modeling'!$N$9,0))),0))</f>
        <v>5031.767136529862</v>
      </c>
      <c r="AN97" s="799">
        <f>IF(AN$69=$F97+1,IF(Monthly!AJ$4=TRUE,0,Monthly!AJ$17),IF(AN$69&gt;$F97+1,AM97*(1-IF(AN$69-$F97&lt;=12,SUMIFS('Attrition Modeling'!$D:$D,'Attrition Modeling'!$B:$B,$E97,'Attrition Modeling'!$C:$C,AN$68),VLOOKUP(AN$69-$F97-1,$A$7:$C$161,2,FALSE)*VLOOKUP(AN$1,'Attrition Modeling'!$L$15:$N$27,IF(AN$2-$F30&lt;=24,2,3),FALSE))*(1+Projection!AP$16)*(1+IF(AN162&gt;0,'Attrition Modeling'!$N$9,0))),0))</f>
        <v>4534.8244401988713</v>
      </c>
      <c r="AO97" s="799">
        <f>IF(AO$69=$F97+1,IF(Monthly!AK$4=TRUE,0,Monthly!AK$17),IF(AO$69&gt;$F97+1,AN97*(1-IF(AO$69-$F97&lt;=12,SUMIFS('Attrition Modeling'!$D:$D,'Attrition Modeling'!$B:$B,$E97,'Attrition Modeling'!$C:$C,AO$68),VLOOKUP(AO$69-$F97-1,$A$7:$C$161,2,FALSE)*VLOOKUP(AO$1,'Attrition Modeling'!$L$15:$N$27,IF(AO$2-$F30&lt;=24,2,3),FALSE))*(1+Projection!AQ$16)*(1+IF(AO162&gt;0,'Attrition Modeling'!$N$9,0))),0))</f>
        <v>4175.3966131774177</v>
      </c>
      <c r="AP97" s="799">
        <f>IF(AP$69=$F97+1,IF(Monthly!AL$4=TRUE,0,Monthly!AL$17),IF(AP$69&gt;$F97+1,AO97*(1-IF(AP$69-$F97&lt;=12,SUMIFS('Attrition Modeling'!$D:$D,'Attrition Modeling'!$B:$B,$E97,'Attrition Modeling'!$C:$C,AP$68),VLOOKUP(AP$69-$F97-1,$A$7:$C$161,2,FALSE)*VLOOKUP(AP$1,'Attrition Modeling'!$L$15:$N$27,IF(AP$2-$F30&lt;=24,2,3),FALSE))*(1+Projection!AR$16)*(1+IF(AP162&gt;0,'Attrition Modeling'!$N$9,0))),0))</f>
        <v>3863.9829240688746</v>
      </c>
      <c r="AQ97" s="799">
        <f>IF(AQ$69=$F97+1,IF(Monthly!AM$4=TRUE,0,Monthly!AM$17),IF(AQ$69&gt;$F97+1,AP97*(1-IF(AQ$69-$F97&lt;=12,SUMIFS('Attrition Modeling'!$D:$D,'Attrition Modeling'!$B:$B,$E97,'Attrition Modeling'!$C:$C,AQ$68),VLOOKUP(AQ$69-$F97-1,$A$7:$C$161,2,FALSE)*VLOOKUP(AQ$1,'Attrition Modeling'!$L$15:$N$27,IF(AQ$2-$F30&lt;=24,2,3),FALSE))*(1+Projection!AS$16)*(1+IF(AQ162&gt;0,'Attrition Modeling'!$N$9,0))),0))</f>
        <v>3633.6444491136458</v>
      </c>
      <c r="AR97" s="799">
        <f>IF(AR$69=$F97+1,IF(Monthly!AN$4=TRUE,0,Monthly!AN$17),IF(AR$69&gt;$F97+1,AQ97*(1-IF(AR$69-$F97&lt;=12,SUMIFS('Attrition Modeling'!$D:$D,'Attrition Modeling'!$B:$B,$E97,'Attrition Modeling'!$C:$C,AR$68),VLOOKUP(AR$69-$F97-1,$A$7:$C$161,2,FALSE)*VLOOKUP(AR$1,'Attrition Modeling'!$L$15:$N$27,IF(AR$2-$F30&lt;=24,2,3),FALSE))*(1+Projection!AT$16)*(1+IF(AR162&gt;0,'Attrition Modeling'!$N$9,0))),0))</f>
        <v>3429.8560059042238</v>
      </c>
      <c r="AS97" s="799">
        <f>IF(AS$69=$F97+1,IF(Monthly!AO$4=TRUE,0,Monthly!AO$17),IF(AS$69&gt;$F97+1,AR97*(1-IF(AS$69-$F97&lt;=12,SUMIFS('Attrition Modeling'!$D:$D,'Attrition Modeling'!$B:$B,$E97,'Attrition Modeling'!$C:$C,AS$68),VLOOKUP(AS$69-$F97-1,$A$7:$C$161,2,FALSE)*VLOOKUP(AS$1,'Attrition Modeling'!$L$15:$N$27,IF(AS$2-$F30&lt;=24,2,3),FALSE))*(1+Projection!AU$16)*(1+IF(AS162&gt;0,'Attrition Modeling'!$N$9,0))),0))</f>
        <v>3253.0231941963002</v>
      </c>
      <c r="AT97" s="799">
        <f>IF(AT$69=$F97+1,IF(Monthly!AP$4=TRUE,0,Monthly!AP$17),IF(AT$69&gt;$F97+1,AS97*(1-IF(AT$69-$F97&lt;=12,SUMIFS('Attrition Modeling'!$D:$D,'Attrition Modeling'!$B:$B,$E97,'Attrition Modeling'!$C:$C,AT$68),VLOOKUP(AT$69-$F97-1,$A$7:$C$161,2,FALSE)*VLOOKUP(AT$1,'Attrition Modeling'!$L$15:$N$27,IF(AT$2-$F30&lt;=24,2,3),FALSE))*(1+Projection!AV$16)*(1+IF(AT162&gt;0,'Attrition Modeling'!$N$9,0))),0))</f>
        <v>3148.8548854717465</v>
      </c>
      <c r="AU97" s="799">
        <f>IF(AU$69=$F97+1,IF(Monthly!AQ$4=TRUE,0,Monthly!AQ$17),IF(AU$69&gt;$F97+1,AT97*(1-IF(AU$69-$F97&lt;=12,SUMIFS('Attrition Modeling'!$D:$D,'Attrition Modeling'!$B:$B,$E97,'Attrition Modeling'!$C:$C,AU$68),VLOOKUP(AU$69-$F97-1,$A$7:$C$161,2,FALSE)*VLOOKUP(AU$1,'Attrition Modeling'!$L$15:$N$27,IF(AU$2-$F30&lt;=24,2,3),FALSE))*(1+Projection!AW$16)*(1+IF(AU162&gt;0,'Attrition Modeling'!$N$9,0))),0))</f>
        <v>2985.1777524758613</v>
      </c>
      <c r="AV97" s="799">
        <f>IF(AV$69=$F97+1,IF(Monthly!AR$4=TRUE,0,Monthly!AR$17),IF(AV$69&gt;$F97+1,AU97*(1-IF(AV$69-$F97&lt;=12,SUMIFS('Attrition Modeling'!$D:$D,'Attrition Modeling'!$B:$B,$E97,'Attrition Modeling'!$C:$C,AV$68),VLOOKUP(AV$69-$F97-1,$A$7:$C$161,2,FALSE)*VLOOKUP(AV$1,'Attrition Modeling'!$L$15:$N$27,IF(AV$2-$F30&lt;=24,2,3),FALSE))*(1+Projection!AX$16)*(1+IF(AV162&gt;0,'Attrition Modeling'!$N$9,0))),0))</f>
        <v>2843.0164038517933</v>
      </c>
      <c r="AW97" s="799">
        <f>IF(AW$69=$F97+1,IF(Monthly!AS$4=TRUE,0,Monthly!AS$17),IF(AW$69&gt;$F97+1,AV97*(1-IF(AW$69-$F97&lt;=12,SUMIFS('Attrition Modeling'!$D:$D,'Attrition Modeling'!$B:$B,$E97,'Attrition Modeling'!$C:$C,AW$68),VLOOKUP(AW$69-$F97-1,$A$7:$C$161,2,FALSE)*VLOOKUP(AW$1,'Attrition Modeling'!$L$15:$N$27,IF(AW$2-$F30&lt;=24,2,3),FALSE))*(1+Projection!AY$16)*(1+IF(AW162&gt;0,'Attrition Modeling'!$N$9,0))),0))</f>
        <v>2701.6521905579821</v>
      </c>
      <c r="AX97" s="799">
        <f>IF(AX$69=$F97+1,IF(Monthly!AT$4=TRUE,0,Monthly!AT$17),IF(AX$69&gt;$F97+1,AW97*(1-IF(AX$69-$F97&lt;=12,SUMIFS('Attrition Modeling'!$D:$D,'Attrition Modeling'!$B:$B,$E97,'Attrition Modeling'!$C:$C,AX$68),VLOOKUP(AX$69-$F97-1,$A$7:$C$161,2,FALSE)*VLOOKUP(AX$1,'Attrition Modeling'!$L$15:$N$27,IF(AX$2-$F30&lt;=24,2,3),FALSE))*(1+Projection!AZ$16)*(1+IF(AX162&gt;0,'Attrition Modeling'!$N$9,0))),0))</f>
        <v>2569.1606348720497</v>
      </c>
      <c r="AY97" s="799">
        <f>IF(AY$69=$F97+1,IF(Monthly!AU$4=TRUE,0,Monthly!AU$17),IF(AY$69&gt;$F97+1,AX97*(1-IF(AY$69-$F97&lt;=12,SUMIFS('Attrition Modeling'!$D:$D,'Attrition Modeling'!$B:$B,$E97,'Attrition Modeling'!$C:$C,AY$68),VLOOKUP(AY$69-$F97-1,$A$7:$C$161,2,FALSE)*VLOOKUP(AY$1,'Attrition Modeling'!$L$15:$N$27,IF(AY$2-$F30&lt;=24,2,3),FALSE))*(1+Projection!BA$16)*(1+IF(AY162&gt;0,'Attrition Modeling'!$N$9,0))),0))</f>
        <v>2441.4634173659806</v>
      </c>
      <c r="AZ97" s="799">
        <f>IF(AZ$69=$F97+1,IF(Monthly!AV$4=TRUE,0,Monthly!AV$17),IF(AZ$69&gt;$F97+1,AY97*(1-IF(AZ$69-$F97&lt;=12,SUMIFS('Attrition Modeling'!$D:$D,'Attrition Modeling'!$B:$B,$E97,'Attrition Modeling'!$C:$C,AZ$68),VLOOKUP(AZ$69-$F97-1,$A$7:$C$161,2,FALSE)*VLOOKUP(AZ$1,'Attrition Modeling'!$L$15:$N$27,IF(AZ$2-$F30&lt;=24,2,3),FALSE))*(1+Projection!BB$16)*(1+IF(AZ162&gt;0,'Attrition Modeling'!$N$9,0))),0))</f>
        <v>2311.9641216382092</v>
      </c>
      <c r="BA97" s="799">
        <f>IF(BA$69=$F97+1,IF(Monthly!AW$4=TRUE,0,Monthly!AW$17),IF(BA$69&gt;$F97+1,AZ97*(1-IF(BA$69-$F97&lt;=12,SUMIFS('Attrition Modeling'!$D:$D,'Attrition Modeling'!$B:$B,$E97,'Attrition Modeling'!$C:$C,BA$68),VLOOKUP(BA$69-$F97-1,$A$7:$C$161,2,FALSE)*VLOOKUP(BA$1,'Attrition Modeling'!$L$15:$N$27,IF(BA$2-$F30&lt;=24,2,3),FALSE))*(1+Projection!BC$16)*(1+IF(BA162&gt;0,'Attrition Modeling'!$N$9,0))),0))</f>
        <v>2209.6518344066185</v>
      </c>
      <c r="BB97" s="799">
        <f>IF(BB$69=$F97+1,IF(Monthly!AX$4=TRUE,0,Monthly!AX$17),IF(BB$69&gt;$F97+1,BA97*(1-IF(BB$69-$F97&lt;=12,SUMIFS('Attrition Modeling'!$D:$D,'Attrition Modeling'!$B:$B,$E97,'Attrition Modeling'!$C:$C,BB$68),VLOOKUP(BB$69-$F97-1,$A$7:$C$161,2,FALSE)*VLOOKUP(BB$1,'Attrition Modeling'!$L$15:$N$27,IF(BB$2-$F30&lt;=24,2,3),FALSE))*(1+Projection!BD$16)*(1+IF(BB162&gt;0,'Attrition Modeling'!$N$9,0))),0))</f>
        <v>2117.3711889579495</v>
      </c>
      <c r="BC97" s="799">
        <f>IF(BC$69=$F97+1,IF(Monthly!AY$4=TRUE,0,Monthly!AY$17),IF(BC$69&gt;$F97+1,BB97*(1-IF(BC$69-$F97&lt;=12,SUMIFS('Attrition Modeling'!$D:$D,'Attrition Modeling'!$B:$B,$E97,'Attrition Modeling'!$C:$C,BC$68),VLOOKUP(BC$69-$F97-1,$A$7:$C$161,2,FALSE)*VLOOKUP(BC$1,'Attrition Modeling'!$L$15:$N$27,IF(BC$2-$F30&lt;=24,2,3),FALSE))*(1+Projection!BE$16)*(1+IF(BC162&gt;0,'Attrition Modeling'!$N$9,0))),0))</f>
        <v>2031.3681929638892</v>
      </c>
      <c r="BD97" s="799">
        <f>IF(BD$69=$F97+1,IF(Monthly!AZ$4=TRUE,0,Monthly!AZ$17),IF(BD$69&gt;$F97+1,BC97*(1-IF(BD$69-$F97&lt;=12,SUMIFS('Attrition Modeling'!$D:$D,'Attrition Modeling'!$B:$B,$E97,'Attrition Modeling'!$C:$C,BD$68),VLOOKUP(BD$69-$F97-1,$A$7:$C$161,2,FALSE)*VLOOKUP(BD$1,'Attrition Modeling'!$L$15:$N$27,IF(BD$2-$F30&lt;=24,2,3),FALSE))*(1+Projection!BF$16)*(1+IF(BD162&gt;0,'Attrition Modeling'!$N$9,0))),0))</f>
        <v>1950.0679851713739</v>
      </c>
      <c r="BE97" s="799">
        <f>IF(BE$69=$F97+1,IF(Monthly!BA$4=TRUE,0,Monthly!BA$17),IF(BE$69&gt;$F97+1,BD97*(1-IF(BE$69-$F97&lt;=12,SUMIFS('Attrition Modeling'!$D:$D,'Attrition Modeling'!$B:$B,$E97,'Attrition Modeling'!$C:$C,BE$68),VLOOKUP(BE$69-$F97-1,$A$7:$C$161,2,FALSE)*VLOOKUP(BE$1,'Attrition Modeling'!$L$15:$N$27,IF(BE$2-$F30&lt;=24,2,3),FALSE))*(1+Projection!BG$16)*(1+IF(BE162&gt;0,'Attrition Modeling'!$N$9,0))),0))</f>
        <v>1880.6677825034674</v>
      </c>
      <c r="BF97" s="799">
        <f>IF(BF$69=$F97+1,IF(Monthly!BB$4=TRUE,0,Monthly!BB$17),IF(BF$69&gt;$F97+1,BE97*(1-IF(BF$69-$F97&lt;=12,SUMIFS('Attrition Modeling'!$D:$D,'Attrition Modeling'!$B:$B,$E97,'Attrition Modeling'!$C:$C,BF$68),VLOOKUP(BF$69-$F97-1,$A$7:$C$161,2,FALSE)*VLOOKUP(BF$1,'Attrition Modeling'!$L$15:$N$27,IF(BF$2-$F30&lt;=24,2,3),FALSE))*(1+Projection!BH$16)*(1+IF(BF162&gt;0,'Attrition Modeling'!$N$9,0))),0))</f>
        <v>1808.7740616686954</v>
      </c>
      <c r="BG97" s="799">
        <f>IF(BG$69=$F97+1,IF(Monthly!BC$4=TRUE,0,Monthly!BC$17),IF(BG$69&gt;$F97+1,BF97*(1-IF(BG$69-$F97&lt;=12,SUMIFS('Attrition Modeling'!$D:$D,'Attrition Modeling'!$B:$B,$E97,'Attrition Modeling'!$C:$C,BG$68),VLOOKUP(BG$69-$F97-1,$A$7:$C$161,2,FALSE)*VLOOKUP(BG$1,'Attrition Modeling'!$L$15:$N$27,IF(BG$2-$F30&lt;=24,2,3),FALSE))*(1+Projection!BI$16)*(1+IF(BG162&gt;0,'Attrition Modeling'!$N$9,0))),0))</f>
        <v>1760.4119896600503</v>
      </c>
      <c r="BH97" s="799">
        <f>IF(BH$69=$F97+1,IF(Monthly!BD$4=TRUE,0,Monthly!BD$17),IF(BH$69&gt;$F97+1,BG97*(1-IF(BH$69-$F97&lt;=12,SUMIFS('Attrition Modeling'!$D:$D,'Attrition Modeling'!$B:$B,$E97,'Attrition Modeling'!$C:$C,BH$68),VLOOKUP(BH$69-$F97-1,$A$7:$C$161,2,FALSE)*VLOOKUP(BH$1,'Attrition Modeling'!$L$15:$N$27,IF(BH$2-$F30&lt;=24,2,3),FALSE))*(1+Projection!BJ$16)*(1+IF(BH162&gt;0,'Attrition Modeling'!$N$9,0))),0))</f>
        <v>1704.3788007465748</v>
      </c>
      <c r="BI97" s="799">
        <f>IF(BI$69=$F97+1,IF(Monthly!BE$4=TRUE,0,Monthly!BE$17),IF(BI$69&gt;$F97+1,BH97*(1-IF(BI$69-$F97&lt;=12,SUMIFS('Attrition Modeling'!$D:$D,'Attrition Modeling'!$B:$B,$E97,'Attrition Modeling'!$C:$C,BI$68),VLOOKUP(BI$69-$F97-1,$A$7:$C$161,2,FALSE)*VLOOKUP(BI$1,'Attrition Modeling'!$L$15:$N$27,IF(BI$2-$F30&lt;=24,2,3),FALSE))*(1+Projection!BK$16)*(1+IF(BI162&gt;0,'Attrition Modeling'!$N$9,0))),0))</f>
        <v>1643.3022752307313</v>
      </c>
      <c r="BJ97" s="799">
        <f>IF(BJ$69=$F97+1,IF(Monthly!BF$4=TRUE,0,Monthly!BF$17),IF(BJ$69&gt;$F97+1,BI97*(1-IF(BJ$69-$F97&lt;=12,SUMIFS('Attrition Modeling'!$D:$D,'Attrition Modeling'!$B:$B,$E97,'Attrition Modeling'!$C:$C,BJ$68),VLOOKUP(BJ$69-$F97-1,$A$7:$C$161,2,FALSE)*VLOOKUP(BJ$1,'Attrition Modeling'!$L$15:$N$27,IF(BJ$2-$F30&lt;=24,2,3),FALSE))*(1+Projection!BL$16)*(1+IF(BJ162&gt;0,'Attrition Modeling'!$N$9,0))),0))</f>
        <v>1579.9879229687619</v>
      </c>
      <c r="BK97" s="799">
        <f>IF(BK$69=$F97+1,IF(Monthly!BG$4=TRUE,0,Monthly!BG$17),IF(BK$69&gt;$F97+1,BJ97*(1-IF(BK$69-$F97&lt;=12,SUMIFS('Attrition Modeling'!$D:$D,'Attrition Modeling'!$B:$B,$E97,'Attrition Modeling'!$C:$C,BK$68),VLOOKUP(BK$69-$F97-1,$A$7:$C$161,2,FALSE)*VLOOKUP(BK$1,'Attrition Modeling'!$L$15:$N$27,IF(BK$2-$F30&lt;=24,2,3),FALSE))*(1+Projection!BM$16)*(1+IF(BK162&gt;0,'Attrition Modeling'!$N$9,0))),0))</f>
        <v>1515.4561729428083</v>
      </c>
      <c r="BL97" s="799">
        <f>IF(BL$69=$F97+1,IF(Monthly!BH$4=TRUE,0,Monthly!BH$17),IF(BL$69&gt;$F97+1,BK97*(1-IF(BL$69-$F97&lt;=12,SUMIFS('Attrition Modeling'!$D:$D,'Attrition Modeling'!$B:$B,$E97,'Attrition Modeling'!$C:$C,BL$68),VLOOKUP(BL$69-$F97-1,$A$7:$C$161,2,FALSE)*VLOOKUP(BL$1,'Attrition Modeling'!$L$15:$N$27,IF(BL$2-$F30&lt;=24,2,3),FALSE))*(1+Projection!BN$16)*(1+IF(BL162&gt;0,'Attrition Modeling'!$N$9,0))),0))</f>
        <v>1446.5781247881805</v>
      </c>
      <c r="BM97" s="799">
        <f>IF(BM$69=$F97+1,IF(Monthly!BI$4=TRUE,0,Monthly!BI$17),IF(BM$69&gt;$F97+1,BL97*(1-IF(BM$69-$F97&lt;=12,SUMIFS('Attrition Modeling'!$D:$D,'Attrition Modeling'!$B:$B,$E97,'Attrition Modeling'!$C:$C,BM$68),VLOOKUP(BM$69-$F97-1,$A$7:$C$161,2,FALSE)*VLOOKUP(BM$1,'Attrition Modeling'!$L$15:$N$27,IF(BM$2-$F30&lt;=24,2,3),FALSE))*(1+Projection!BO$16)*(1+IF(BM162&gt;0,'Attrition Modeling'!$N$9,0))),0))</f>
        <v>1394.3226122335645</v>
      </c>
      <c r="BN97" s="799">
        <f>IF(BN$69=$F97+1,IF(Monthly!BJ$4=TRUE,0,Monthly!BJ$17),IF(BN$69&gt;$F97+1,BM97*(1-IF(BN$69-$F97&lt;=12,SUMIFS('Attrition Modeling'!$D:$D,'Attrition Modeling'!$B:$B,$E97,'Attrition Modeling'!$C:$C,BN$68),VLOOKUP(BN$69-$F97-1,$A$7:$C$161,2,FALSE)*VLOOKUP(BN$1,'Attrition Modeling'!$L$15:$N$27,IF(BN$2-$F30&lt;=24,2,3),FALSE))*(1+Projection!BP$16)*(1+IF(BN162&gt;0,'Attrition Modeling'!$N$9,0))),0))</f>
        <v>1345.6826997287626</v>
      </c>
      <c r="BO97" s="799">
        <f>IF(BO$69=$F97+1,IF(Monthly!BK$4=TRUE,0,Monthly!BK$17),IF(BO$69&gt;$F97+1,BN97*(1-IF(BO$69-$F97&lt;=12,SUMIFS('Attrition Modeling'!$D:$D,'Attrition Modeling'!$B:$B,$E97,'Attrition Modeling'!$C:$C,BO$68),VLOOKUP(BO$69-$F97-1,$A$7:$C$161,2,FALSE)*VLOOKUP(BO$1,'Attrition Modeling'!$L$15:$N$27,IF(BO$2-$F30&lt;=24,2,3),FALSE))*(1+Projection!BV$16)*(1+IF(BO162&gt;0,'Attrition Modeling'!$N$9,0))),0))</f>
        <v>1307.451564722053</v>
      </c>
      <c r="BP97" s="799">
        <f>IF(BP$69=$F97+1,IF(Monthly!BL$4=TRUE,0,Monthly!BL$17),IF(BP$69&gt;$F97+1,BO97*(1-IF(BP$69-$F97&lt;=12,SUMIFS('Attrition Modeling'!$D:$D,'Attrition Modeling'!$B:$B,$E97,'Attrition Modeling'!$C:$C,BP$68),VLOOKUP(BP$69-$F97-1,$A$7:$C$161,2,FALSE)*VLOOKUP(BP$1,'Attrition Modeling'!$L$15:$N$27,IF(BP$2-$F30&lt;=24,2,3),FALSE))*(1+Projection!BW$16)*(1+IF(BP162&gt;0,'Attrition Modeling'!$N$9,0))),0))</f>
        <v>1266.8001492420756</v>
      </c>
      <c r="BQ97" s="799">
        <f>IF(BQ$69=$F97+1,IF(Monthly!BM$4=TRUE,0,Monthly!BM$17),IF(BQ$69&gt;$F97+1,BP97*(1-IF(BQ$69-$F97&lt;=12,SUMIFS('Attrition Modeling'!$D:$D,'Attrition Modeling'!$B:$B,$E97,'Attrition Modeling'!$C:$C,BQ$68),VLOOKUP(BQ$69-$F97-1,$A$7:$C$161,2,FALSE)*VLOOKUP(BQ$1,'Attrition Modeling'!$L$15:$N$27,IF(BQ$2-$F30&lt;=24,2,3),FALSE))*(1+Projection!BX$16)*(1+IF(BQ162&gt;0,'Attrition Modeling'!$N$9,0))),0))</f>
        <v>1229.0775600214213</v>
      </c>
      <c r="BR97" s="799">
        <f>IF(BR$69=$F97+1,IF(Monthly!BN$4=TRUE,0,Monthly!BN$17),IF(BR$69&gt;$F97+1,BQ97*(1-IF(BR$69-$F97&lt;=12,SUMIFS('Attrition Modeling'!$D:$D,'Attrition Modeling'!$B:$B,$E97,'Attrition Modeling'!$C:$C,BR$68),VLOOKUP(BR$69-$F97-1,$A$7:$C$161,2,FALSE)*VLOOKUP(BR$1,'Attrition Modeling'!$L$15:$N$27,IF(BR$2-$F30&lt;=24,2,3),FALSE))*(1+Projection!BY$16)*(1+IF(BR162&gt;0,'Attrition Modeling'!$N$9,0))),0))</f>
        <v>1194.4036530128144</v>
      </c>
      <c r="BS97" s="799">
        <f>IF(BS$69=$F97+1,IF(Monthly!BO$4=TRUE,0,Monthly!BO$17),IF(BS$69&gt;$F97+1,BR97*(1-IF(BS$69-$F97&lt;=12,SUMIFS('Attrition Modeling'!$D:$D,'Attrition Modeling'!$B:$B,$E97,'Attrition Modeling'!$C:$C,BS$68),VLOOKUP(BS$69-$F97-1,$A$7:$C$161,2,FALSE)*VLOOKUP(BS$1,'Attrition Modeling'!$L$15:$N$27,IF(BS$2-$F30&lt;=24,2,3),FALSE))*(1+Projection!BZ$16)*(1+IF(BS162&gt;0,'Attrition Modeling'!$N$9,0))),0))</f>
        <v>1167.896968510697</v>
      </c>
      <c r="BT97" s="799">
        <f>IF(BT$69=$F97+1,IF(Monthly!#REF!=TRUE,0,Monthly!#REF!),IF(BT$69&gt;$F97+1,BS97*(1-IF(BT$69-$F97&lt;=12,SUMIFS('Attrition Modeling'!$D:$D,'Attrition Modeling'!$B:$B,$E97,'Attrition Modeling'!$C:$C,BT$68),VLOOKUP(BT$69-$F97-1,$A$7:$C$161,2,FALSE)*VLOOKUP(BT$1,'Attrition Modeling'!$L$15:$N$27,IF(BT$2-$F30&lt;=24,2,3),FALSE))*(1+Projection!CA$16)*(1+IF(BT162&gt;0,'Attrition Modeling'!$N$9,0))),0))</f>
        <v>1136.9396078813902</v>
      </c>
      <c r="BU97" s="799">
        <f>IF(BU$69=$F97+1,IF(Monthly!#REF!=TRUE,0,Monthly!#REF!),IF(BU$69&gt;$F97+1,BT97*(1-IF(BU$69-$F97&lt;=12,SUMIFS('Attrition Modeling'!$D:$D,'Attrition Modeling'!$B:$B,$E97,'Attrition Modeling'!$C:$C,BU$68),VLOOKUP(BU$69-$F97-1,$A$7:$C$161,2,FALSE)*VLOOKUP(BU$1,'Attrition Modeling'!$L$15:$N$27,IF(BU$2-$F30&lt;=24,2,3),FALSE))*(1+Projection!CB$16)*(1+IF(BU162&gt;0,'Attrition Modeling'!$N$9,0))),0))</f>
        <v>1102.9044448579236</v>
      </c>
    </row>
    <row r="98" spans="1:73" ht="14.25" customHeight="1" x14ac:dyDescent="0.2">
      <c r="A98" s="9">
        <v>91</v>
      </c>
      <c r="B98" s="25">
        <f>MAX('Attrition Modeling'!H95,$C$3)*(1-Summary!$C$20)</f>
        <v>0.02</v>
      </c>
      <c r="C98" s="24" t="e">
        <f t="shared" si="4"/>
        <v>#DIV/0!</v>
      </c>
      <c r="E98" s="11">
        <f t="shared" si="9"/>
        <v>4</v>
      </c>
      <c r="F98" s="11">
        <f t="shared" si="10"/>
        <v>28</v>
      </c>
      <c r="G98" s="799"/>
      <c r="H98" s="799">
        <f>IF(H$69=$F98+1,IF(Monthly!D$4=TRUE,0,Monthly!D$17),IF(H$69&gt;$F98+1,G98*(1-IF(H$69-$F98&lt;=12,SUMIFS('Attrition Modeling'!$D:$D,'Attrition Modeling'!$B:$B,$E98,'Attrition Modeling'!$C:$C,H$68),VLOOKUP(H$69-$F98-1,$A$7:$C$161,2,FALSE)*VLOOKUP(H$1,'Attrition Modeling'!$L$15:$N$27,IF(H$2-$F31&lt;=24,2,3),FALSE))*(1+Projection!J$16)*(1+IF(H163&gt;0,'Attrition Modeling'!$N$9,0))),0))</f>
        <v>0</v>
      </c>
      <c r="I98" s="799">
        <f>IF(I$69=$F98+1,IF(Monthly!E$4=TRUE,0,Monthly!E$17),IF(I$69&gt;$F98+1,H98*(1-IF(I$69-$F98&lt;=12,SUMIFS('Attrition Modeling'!$D:$D,'Attrition Modeling'!$B:$B,$E98,'Attrition Modeling'!$C:$C,I$68),VLOOKUP(I$69-$F98-1,$A$7:$C$161,2,FALSE)*VLOOKUP(I$1,'Attrition Modeling'!$L$15:$N$27,IF(I$2-$F31&lt;=24,2,3),FALSE))*(1+Projection!K$16)*(1+IF(I163&gt;0,'Attrition Modeling'!$N$9,0))),0))</f>
        <v>0</v>
      </c>
      <c r="J98" s="799">
        <f>IF(J$69=$F98+1,IF(Monthly!F$4=TRUE,0,Monthly!F$17),IF(J$69&gt;$F98+1,I98*(1-IF(J$69-$F98&lt;=12,SUMIFS('Attrition Modeling'!$D:$D,'Attrition Modeling'!$B:$B,$E98,'Attrition Modeling'!$C:$C,J$68),VLOOKUP(J$69-$F98-1,$A$7:$C$161,2,FALSE)*VLOOKUP(J$1,'Attrition Modeling'!$L$15:$N$27,IF(J$2-$F31&lt;=24,2,3),FALSE))*(1+Projection!L$16)*(1+IF(J163&gt;0,'Attrition Modeling'!$N$9,0))),0))</f>
        <v>0</v>
      </c>
      <c r="K98" s="799">
        <f>IF(K$69=$F98+1,IF(Monthly!G$4=TRUE,0,Monthly!G$17),IF(K$69&gt;$F98+1,J98*(1-IF(K$69-$F98&lt;=12,SUMIFS('Attrition Modeling'!$D:$D,'Attrition Modeling'!$B:$B,$E98,'Attrition Modeling'!$C:$C,K$68),VLOOKUP(K$69-$F98-1,$A$7:$C$161,2,FALSE)*VLOOKUP(K$1,'Attrition Modeling'!$L$15:$N$27,IF(K$2-$F31&lt;=24,2,3),FALSE))*(1+Projection!M$16)*(1+IF(K163&gt;0,'Attrition Modeling'!$N$9,0))),0))</f>
        <v>0</v>
      </c>
      <c r="L98" s="799">
        <f>IF(L$69=$F98+1,IF(Monthly!H$4=TRUE,0,Monthly!H$17),IF(L$69&gt;$F98+1,K98*(1-IF(L$69-$F98&lt;=12,SUMIFS('Attrition Modeling'!$D:$D,'Attrition Modeling'!$B:$B,$E98,'Attrition Modeling'!$C:$C,L$68),VLOOKUP(L$69-$F98-1,$A$7:$C$161,2,FALSE)*VLOOKUP(L$1,'Attrition Modeling'!$L$15:$N$27,IF(L$2-$F31&lt;=24,2,3),FALSE))*(1+Projection!N$16)*(1+IF(L163&gt;0,'Attrition Modeling'!$N$9,0))),0))</f>
        <v>0</v>
      </c>
      <c r="M98" s="799">
        <f>IF(M$69=$F98+1,IF(Monthly!I$4=TRUE,0,Monthly!I$17),IF(M$69&gt;$F98+1,L98*(1-IF(M$69-$F98&lt;=12,SUMIFS('Attrition Modeling'!$D:$D,'Attrition Modeling'!$B:$B,$E98,'Attrition Modeling'!$C:$C,M$68),VLOOKUP(M$69-$F98-1,$A$7:$C$161,2,FALSE)*VLOOKUP(M$1,'Attrition Modeling'!$L$15:$N$27,IF(M$2-$F31&lt;=24,2,3),FALSE))*(1+Projection!O$16)*(1+IF(M163&gt;0,'Attrition Modeling'!$N$9,0))),0))</f>
        <v>0</v>
      </c>
      <c r="N98" s="799">
        <f>IF(N$69=$F98+1,IF(Monthly!J$4=TRUE,0,Monthly!J$17),IF(N$69&gt;$F98+1,M98*(1-IF(N$69-$F98&lt;=12,SUMIFS('Attrition Modeling'!$D:$D,'Attrition Modeling'!$B:$B,$E98,'Attrition Modeling'!$C:$C,N$68),VLOOKUP(N$69-$F98-1,$A$7:$C$161,2,FALSE)*VLOOKUP(N$1,'Attrition Modeling'!$L$15:$N$27,IF(N$2-$F31&lt;=24,2,3),FALSE))*(1+Projection!P$16)*(1+IF(N163&gt;0,'Attrition Modeling'!$N$9,0))),0))</f>
        <v>0</v>
      </c>
      <c r="O98" s="799">
        <f>IF(O$69=$F98+1,IF(Monthly!K$4=TRUE,0,Monthly!K$17),IF(O$69&gt;$F98+1,N98*(1-IF(O$69-$F98&lt;=12,SUMIFS('Attrition Modeling'!$D:$D,'Attrition Modeling'!$B:$B,$E98,'Attrition Modeling'!$C:$C,O$68),VLOOKUP(O$69-$F98-1,$A$7:$C$161,2,FALSE)*VLOOKUP(O$1,'Attrition Modeling'!$L$15:$N$27,IF(O$2-$F31&lt;=24,2,3),FALSE))*(1+Projection!Q$16)*(1+IF(O163&gt;0,'Attrition Modeling'!$N$9,0))),0))</f>
        <v>0</v>
      </c>
      <c r="P98" s="799">
        <f>IF(P$69=$F98+1,IF(Monthly!L$4=TRUE,0,Monthly!L$17),IF(P$69&gt;$F98+1,O98*(1-IF(P$69-$F98&lt;=12,SUMIFS('Attrition Modeling'!$D:$D,'Attrition Modeling'!$B:$B,$E98,'Attrition Modeling'!$C:$C,P$68),VLOOKUP(P$69-$F98-1,$A$7:$C$161,2,FALSE)*VLOOKUP(P$1,'Attrition Modeling'!$L$15:$N$27,IF(P$2-$F31&lt;=24,2,3),FALSE))*(1+Projection!R$16)*(1+IF(P163&gt;0,'Attrition Modeling'!$N$9,0))),0))</f>
        <v>0</v>
      </c>
      <c r="Q98" s="799">
        <f>IF(Q$69=$F98+1,IF(Monthly!M$4=TRUE,0,Monthly!M$17),IF(Q$69&gt;$F98+1,P98*(1-IF(Q$69-$F98&lt;=12,SUMIFS('Attrition Modeling'!$D:$D,'Attrition Modeling'!$B:$B,$E98,'Attrition Modeling'!$C:$C,Q$68),VLOOKUP(Q$69-$F98-1,$A$7:$C$161,2,FALSE)*VLOOKUP(Q$1,'Attrition Modeling'!$L$15:$N$27,IF(Q$2-$F31&lt;=24,2,3),FALSE))*(1+Projection!S$16)*(1+IF(Q163&gt;0,'Attrition Modeling'!$N$9,0))),0))</f>
        <v>0</v>
      </c>
      <c r="R98" s="799">
        <f>IF(R$69=$F98+1,IF(Monthly!N$4=TRUE,0,Monthly!N$17),IF(R$69&gt;$F98+1,Q98*(1-IF(R$69-$F98&lt;=12,SUMIFS('Attrition Modeling'!$D:$D,'Attrition Modeling'!$B:$B,$E98,'Attrition Modeling'!$C:$C,R$68),VLOOKUP(R$69-$F98-1,$A$7:$C$161,2,FALSE)*VLOOKUP(R$1,'Attrition Modeling'!$L$15:$N$27,IF(R$2-$F31&lt;=24,2,3),FALSE))*(1+Projection!T$16)*(1+IF(R163&gt;0,'Attrition Modeling'!$N$9,0))),0))</f>
        <v>0</v>
      </c>
      <c r="S98" s="799">
        <f>IF(S$69=$F98+1,IF(Monthly!O$4=TRUE,0,Monthly!O$17),IF(S$69&gt;$F98+1,R98*(1-IF(S$69-$F98&lt;=12,SUMIFS('Attrition Modeling'!$D:$D,'Attrition Modeling'!$B:$B,$E98,'Attrition Modeling'!$C:$C,S$68),VLOOKUP(S$69-$F98-1,$A$7:$C$161,2,FALSE)*VLOOKUP(S$1,'Attrition Modeling'!$L$15:$N$27,IF(S$2-$F31&lt;=24,2,3),FALSE))*(1+Projection!U$16)*(1+IF(S163&gt;0,'Attrition Modeling'!$N$9,0))),0))</f>
        <v>0</v>
      </c>
      <c r="T98" s="799">
        <f>IF(T$69=$F98+1,IF(Monthly!P$4=TRUE,0,Monthly!P$17),IF(T$69&gt;$F98+1,S98*(1-IF(T$69-$F98&lt;=12,SUMIFS('Attrition Modeling'!$D:$D,'Attrition Modeling'!$B:$B,$E98,'Attrition Modeling'!$C:$C,T$68),VLOOKUP(T$69-$F98-1,$A$7:$C$161,2,FALSE)*VLOOKUP(T$1,'Attrition Modeling'!$L$15:$N$27,IF(T$2-$F31&lt;=24,2,3),FALSE))*(1+Projection!V$16)*(1+IF(T163&gt;0,'Attrition Modeling'!$N$9,0))),0))</f>
        <v>0</v>
      </c>
      <c r="U98" s="799">
        <f>IF(U$69=$F98+1,IF(Monthly!Q$4=TRUE,0,Monthly!Q$17),IF(U$69&gt;$F98+1,T98*(1-IF(U$69-$F98&lt;=12,SUMIFS('Attrition Modeling'!$D:$D,'Attrition Modeling'!$B:$B,$E98,'Attrition Modeling'!$C:$C,U$68),VLOOKUP(U$69-$F98-1,$A$7:$C$161,2,FALSE)*VLOOKUP(U$1,'Attrition Modeling'!$L$15:$N$27,IF(U$2-$F31&lt;=24,2,3),FALSE))*(1+Projection!W$16)*(1+IF(U163&gt;0,'Attrition Modeling'!$N$9,0))),0))</f>
        <v>0</v>
      </c>
      <c r="V98" s="799">
        <f>IF(V$69=$F98+1,IF(Monthly!R$4=TRUE,0,Monthly!R$17),IF(V$69&gt;$F98+1,U98*(1-IF(V$69-$F98&lt;=12,SUMIFS('Attrition Modeling'!$D:$D,'Attrition Modeling'!$B:$B,$E98,'Attrition Modeling'!$C:$C,V$68),VLOOKUP(V$69-$F98-1,$A$7:$C$161,2,FALSE)*VLOOKUP(V$1,'Attrition Modeling'!$L$15:$N$27,IF(V$2-$F31&lt;=24,2,3),FALSE))*(1+Projection!X$16)*(1+IF(V163&gt;0,'Attrition Modeling'!$N$9,0))),0))</f>
        <v>0</v>
      </c>
      <c r="W98" s="799">
        <f>IF(W$69=$F98+1,IF(Monthly!S$4=TRUE,0,Monthly!S$17),IF(W$69&gt;$F98+1,V98*(1-IF(W$69-$F98&lt;=12,SUMIFS('Attrition Modeling'!$D:$D,'Attrition Modeling'!$B:$B,$E98,'Attrition Modeling'!$C:$C,W$68),VLOOKUP(W$69-$F98-1,$A$7:$C$161,2,FALSE)*VLOOKUP(W$1,'Attrition Modeling'!$L$15:$N$27,IF(W$2-$F31&lt;=24,2,3),FALSE))*(1+Projection!Y$16)*(1+IF(W163&gt;0,'Attrition Modeling'!$N$9,0))),0))</f>
        <v>0</v>
      </c>
      <c r="X98" s="799">
        <f>IF(X$69=$F98+1,IF(Monthly!T$4=TRUE,0,Monthly!T$17),IF(X$69&gt;$F98+1,W98*(1-IF(X$69-$F98&lt;=12,SUMIFS('Attrition Modeling'!$D:$D,'Attrition Modeling'!$B:$B,$E98,'Attrition Modeling'!$C:$C,X$68),VLOOKUP(X$69-$F98-1,$A$7:$C$161,2,FALSE)*VLOOKUP(X$1,'Attrition Modeling'!$L$15:$N$27,IF(X$2-$F31&lt;=24,2,3),FALSE))*(1+Projection!Z$16)*(1+IF(X163&gt;0,'Attrition Modeling'!$N$9,0))),0))</f>
        <v>0</v>
      </c>
      <c r="Y98" s="799">
        <f>IF(Y$69=$F98+1,IF(Monthly!U$4=TRUE,0,Monthly!U$17),IF(Y$69&gt;$F98+1,X98*(1-IF(Y$69-$F98&lt;=12,SUMIFS('Attrition Modeling'!$D:$D,'Attrition Modeling'!$B:$B,$E98,'Attrition Modeling'!$C:$C,Y$68),VLOOKUP(Y$69-$F98-1,$A$7:$C$161,2,FALSE)*VLOOKUP(Y$1,'Attrition Modeling'!$L$15:$N$27,IF(Y$2-$F31&lt;=24,2,3),FALSE))*(1+Projection!AA$16)*(1+IF(Y163&gt;0,'Attrition Modeling'!$N$9,0))),0))</f>
        <v>0</v>
      </c>
      <c r="Z98" s="799">
        <f>IF(Z$69=$F98+1,IF(Monthly!V$4=TRUE,0,Monthly!V$17),IF(Z$69&gt;$F98+1,Y98*(1-IF(Z$69-$F98&lt;=12,SUMIFS('Attrition Modeling'!$D:$D,'Attrition Modeling'!$B:$B,$E98,'Attrition Modeling'!$C:$C,Z$68),VLOOKUP(Z$69-$F98-1,$A$7:$C$161,2,FALSE)*VLOOKUP(Z$1,'Attrition Modeling'!$L$15:$N$27,IF(Z$2-$F31&lt;=24,2,3),FALSE))*(1+Projection!AB$16)*(1+IF(Z163&gt;0,'Attrition Modeling'!$N$9,0))),0))</f>
        <v>0</v>
      </c>
      <c r="AA98" s="799">
        <f>IF(AA$69=$F98+1,IF(Monthly!W$4=TRUE,0,Monthly!W$17),IF(AA$69&gt;$F98+1,Z98*(1-IF(AA$69-$F98&lt;=12,SUMIFS('Attrition Modeling'!$D:$D,'Attrition Modeling'!$B:$B,$E98,'Attrition Modeling'!$C:$C,AA$68),VLOOKUP(AA$69-$F98-1,$A$7:$C$161,2,FALSE)*VLOOKUP(AA$1,'Attrition Modeling'!$L$15:$N$27,IF(AA$2-$F31&lt;=24,2,3),FALSE))*(1+Projection!AC$16)*(1+IF(AA163&gt;0,'Attrition Modeling'!$N$9,0))),0))</f>
        <v>0</v>
      </c>
      <c r="AB98" s="799">
        <f>IF(AB$69=$F98+1,IF(Monthly!X$4=TRUE,0,Monthly!X$17),IF(AB$69&gt;$F98+1,AA98*(1-IF(AB$69-$F98&lt;=12,SUMIFS('Attrition Modeling'!$D:$D,'Attrition Modeling'!$B:$B,$E98,'Attrition Modeling'!$C:$C,AB$68),VLOOKUP(AB$69-$F98-1,$A$7:$C$161,2,FALSE)*VLOOKUP(AB$1,'Attrition Modeling'!$L$15:$N$27,IF(AB$2-$F31&lt;=24,2,3),FALSE))*(1+Projection!AD$16)*(1+IF(AB163&gt;0,'Attrition Modeling'!$N$9,0))),0))</f>
        <v>0</v>
      </c>
      <c r="AC98" s="799">
        <f>IF(AC$69=$F98+1,IF(Monthly!Y$4=TRUE,0,Monthly!Y$17),IF(AC$69&gt;$F98+1,AB98*(1-IF(AC$69-$F98&lt;=12,SUMIFS('Attrition Modeling'!$D:$D,'Attrition Modeling'!$B:$B,$E98,'Attrition Modeling'!$C:$C,AC$68),VLOOKUP(AC$69-$F98-1,$A$7:$C$161,2,FALSE)*VLOOKUP(AC$1,'Attrition Modeling'!$L$15:$N$27,IF(AC$2-$F31&lt;=24,2,3),FALSE))*(1+Projection!AE$16)*(1+IF(AC163&gt;0,'Attrition Modeling'!$N$9,0))),0))</f>
        <v>0</v>
      </c>
      <c r="AD98" s="799">
        <f>IF(AD$69=$F98+1,IF(Monthly!Z$4=TRUE,0,Monthly!Z$17),IF(AD$69&gt;$F98+1,AC98*(1-IF(AD$69-$F98&lt;=12,SUMIFS('Attrition Modeling'!$D:$D,'Attrition Modeling'!$B:$B,$E98,'Attrition Modeling'!$C:$C,AD$68),VLOOKUP(AD$69-$F98-1,$A$7:$C$161,2,FALSE)*VLOOKUP(AD$1,'Attrition Modeling'!$L$15:$N$27,IF(AD$2-$F31&lt;=24,2,3),FALSE))*(1+Projection!AF$16)*(1+IF(AD163&gt;0,'Attrition Modeling'!$N$9,0))),0))</f>
        <v>0</v>
      </c>
      <c r="AE98" s="799">
        <f>IF(AE$69=$F98+1,IF(Monthly!AA$4=TRUE,0,Monthly!AA$17),IF(AE$69&gt;$F98+1,AD98*(1-IF(AE$69-$F98&lt;=12,SUMIFS('Attrition Modeling'!$D:$D,'Attrition Modeling'!$B:$B,$E98,'Attrition Modeling'!$C:$C,AE$68),VLOOKUP(AE$69-$F98-1,$A$7:$C$161,2,FALSE)*VLOOKUP(AE$1,'Attrition Modeling'!$L$15:$N$27,IF(AE$2-$F31&lt;=24,2,3),FALSE))*(1+Projection!AG$16)*(1+IF(AE163&gt;0,'Attrition Modeling'!$N$9,0))),0))</f>
        <v>0</v>
      </c>
      <c r="AF98" s="799">
        <f>IF(AF$69=$F98+1,IF(Monthly!AB$4=TRUE,0,Monthly!AB$17),IF(AF$69&gt;$F98+1,AE98*(1-IF(AF$69-$F98&lt;=12,SUMIFS('Attrition Modeling'!$D:$D,'Attrition Modeling'!$B:$B,$E98,'Attrition Modeling'!$C:$C,AF$68),VLOOKUP(AF$69-$F98-1,$A$7:$C$161,2,FALSE)*VLOOKUP(AF$1,'Attrition Modeling'!$L$15:$N$27,IF(AF$2-$F31&lt;=24,2,3),FALSE))*(1+Projection!AH$16)*(1+IF(AF163&gt;0,'Attrition Modeling'!$N$9,0))),0))</f>
        <v>0</v>
      </c>
      <c r="AG98" s="799">
        <f>IF(AG$69=$F98+1,IF(Monthly!AC$4=TRUE,0,Monthly!AC$17),IF(AG$69&gt;$F98+1,AF98*(1-IF(AG$69-$F98&lt;=12,SUMIFS('Attrition Modeling'!$D:$D,'Attrition Modeling'!$B:$B,$E98,'Attrition Modeling'!$C:$C,AG$68),VLOOKUP(AG$69-$F98-1,$A$7:$C$161,2,FALSE)*VLOOKUP(AG$1,'Attrition Modeling'!$L$15:$N$27,IF(AG$2-$F31&lt;=24,2,3),FALSE))*(1+Projection!AI$16)*(1+IF(AG163&gt;0,'Attrition Modeling'!$N$9,0))),0))</f>
        <v>0</v>
      </c>
      <c r="AH98" s="799">
        <f>IF(AH$69=$F98+1,IF(Monthly!AD$4=TRUE,0,Monthly!AD$17),IF(AH$69&gt;$F98+1,AG98*(1-IF(AH$69-$F98&lt;=12,SUMIFS('Attrition Modeling'!$D:$D,'Attrition Modeling'!$B:$B,$E98,'Attrition Modeling'!$C:$C,AH$68),VLOOKUP(AH$69-$F98-1,$A$7:$C$161,2,FALSE)*VLOOKUP(AH$1,'Attrition Modeling'!$L$15:$N$27,IF(AH$2-$F31&lt;=24,2,3),FALSE))*(1+Projection!AJ$16)*(1+IF(AH163&gt;0,'Attrition Modeling'!$N$9,0))),0))</f>
        <v>0</v>
      </c>
      <c r="AI98" s="799">
        <f>IF(AI$69=$F98+1,IF(Monthly!AE$4=TRUE,0,Monthly!AE$17),IF(AI$69&gt;$F98+1,AH98*(1-IF(AI$69-$F98&lt;=12,SUMIFS('Attrition Modeling'!$D:$D,'Attrition Modeling'!$B:$B,$E98,'Attrition Modeling'!$C:$C,AI$68),VLOOKUP(AI$69-$F98-1,$A$7:$C$161,2,FALSE)*VLOOKUP(AI$1,'Attrition Modeling'!$L$15:$N$27,IF(AI$2-$F31&lt;=24,2,3),FALSE))*(1+Projection!AK$16)*(1+IF(AI163&gt;0,'Attrition Modeling'!$N$9,0))),0))</f>
        <v>0</v>
      </c>
      <c r="AJ98" s="799">
        <f>IF(AJ$69=$F98+1,IF(Monthly!AF$4=TRUE,0,Monthly!AF$17),IF(AJ$69&gt;$F98+1,AI98*(1-IF(AJ$69-$F98&lt;=12,SUMIFS('Attrition Modeling'!$D:$D,'Attrition Modeling'!$B:$B,$E98,'Attrition Modeling'!$C:$C,AJ$68),VLOOKUP(AJ$69-$F98-1,$A$7:$C$161,2,FALSE)*VLOOKUP(AJ$1,'Attrition Modeling'!$L$15:$N$27,IF(AJ$2-$F31&lt;=24,2,3),FALSE))*(1+Projection!AL$16)*(1+IF(AJ163&gt;0,'Attrition Modeling'!$N$9,0))),0))</f>
        <v>8752.4801805153693</v>
      </c>
      <c r="AK98" s="799">
        <f>IF(AK$69=$F98+1,IF(Monthly!AG$4=TRUE,0,Monthly!AG$17),IF(AK$69&gt;$F98+1,AJ98*(1-IF(AK$69-$F98&lt;=12,SUMIFS('Attrition Modeling'!$D:$D,'Attrition Modeling'!$B:$B,$E98,'Attrition Modeling'!$C:$C,AK$68),VLOOKUP(AK$69-$F98-1,$A$7:$C$161,2,FALSE)*VLOOKUP(AK$1,'Attrition Modeling'!$L$15:$N$27,IF(AK$2-$F31&lt;=24,2,3),FALSE))*(1+Projection!AM$16)*(1+IF(AK163&gt;0,'Attrition Modeling'!$N$9,0))),0))</f>
        <v>7884.8299279341327</v>
      </c>
      <c r="AL98" s="799">
        <f>IF(AL$69=$F98+1,IF(Monthly!AH$4=TRUE,0,Monthly!AH$17),IF(AL$69&gt;$F98+1,AK98*(1-IF(AL$69-$F98&lt;=12,SUMIFS('Attrition Modeling'!$D:$D,'Attrition Modeling'!$B:$B,$E98,'Attrition Modeling'!$C:$C,AL$68),VLOOKUP(AL$69-$F98-1,$A$7:$C$161,2,FALSE)*VLOOKUP(AL$1,'Attrition Modeling'!$L$15:$N$27,IF(AL$2-$F31&lt;=24,2,3),FALSE))*(1+Projection!AN$16)*(1+IF(AL163&gt;0,'Attrition Modeling'!$N$9,0))),0))</f>
        <v>7154.1937533621103</v>
      </c>
      <c r="AM98" s="799">
        <f>IF(AM$69=$F98+1,IF(Monthly!AI$4=TRUE,0,Monthly!AI$17),IF(AM$69&gt;$F98+1,AL98*(1-IF(AM$69-$F98&lt;=12,SUMIFS('Attrition Modeling'!$D:$D,'Attrition Modeling'!$B:$B,$E98,'Attrition Modeling'!$C:$C,AM$68),VLOOKUP(AM$69-$F98-1,$A$7:$C$161,2,FALSE)*VLOOKUP(AM$1,'Attrition Modeling'!$L$15:$N$27,IF(AM$2-$F31&lt;=24,2,3),FALSE))*(1+Projection!AO$16)*(1+IF(AM163&gt;0,'Attrition Modeling'!$N$9,0))),0))</f>
        <v>6417.2710178614188</v>
      </c>
      <c r="AN98" s="799">
        <f>IF(AN$69=$F98+1,IF(Monthly!AJ$4=TRUE,0,Monthly!AJ$17),IF(AN$69&gt;$F98+1,AM98*(1-IF(AN$69-$F98&lt;=12,SUMIFS('Attrition Modeling'!$D:$D,'Attrition Modeling'!$B:$B,$E98,'Attrition Modeling'!$C:$C,AN$68),VLOOKUP(AN$69-$F98-1,$A$7:$C$161,2,FALSE)*VLOOKUP(AN$1,'Attrition Modeling'!$L$15:$N$27,IF(AN$2-$F31&lt;=24,2,3),FALSE))*(1+Projection!AP$16)*(1+IF(AN163&gt;0,'Attrition Modeling'!$N$9,0))),0))</f>
        <v>5895.3736177918026</v>
      </c>
      <c r="AO98" s="799">
        <f>IF(AO$69=$F98+1,IF(Monthly!AK$4=TRUE,0,Monthly!AK$17),IF(AO$69&gt;$F98+1,AN98*(1-IF(AO$69-$F98&lt;=12,SUMIFS('Attrition Modeling'!$D:$D,'Attrition Modeling'!$B:$B,$E98,'Attrition Modeling'!$C:$C,AO$68),VLOOKUP(AO$69-$F98-1,$A$7:$C$161,2,FALSE)*VLOOKUP(AO$1,'Attrition Modeling'!$L$15:$N$27,IF(AO$2-$F31&lt;=24,2,3),FALSE))*(1+Projection!AQ$16)*(1+IF(AO163&gt;0,'Attrition Modeling'!$N$9,0))),0))</f>
        <v>5306.4555060574357</v>
      </c>
      <c r="AP98" s="799">
        <f>IF(AP$69=$F98+1,IF(Monthly!AL$4=TRUE,0,Monthly!AL$17),IF(AP$69&gt;$F98+1,AO98*(1-IF(AP$69-$F98&lt;=12,SUMIFS('Attrition Modeling'!$D:$D,'Attrition Modeling'!$B:$B,$E98,'Attrition Modeling'!$C:$C,AP$68),VLOOKUP(AP$69-$F98-1,$A$7:$C$161,2,FALSE)*VLOOKUP(AP$1,'Attrition Modeling'!$L$15:$N$27,IF(AP$2-$F31&lt;=24,2,3),FALSE))*(1+Projection!AR$16)*(1+IF(AP163&gt;0,'Attrition Modeling'!$N$9,0))),0))</f>
        <v>4890.6209043617464</v>
      </c>
      <c r="AQ98" s="799">
        <f>IF(AQ$69=$F98+1,IF(Monthly!AM$4=TRUE,0,Monthly!AM$17),IF(AQ$69&gt;$F98+1,AP98*(1-IF(AQ$69-$F98&lt;=12,SUMIFS('Attrition Modeling'!$D:$D,'Attrition Modeling'!$B:$B,$E98,'Attrition Modeling'!$C:$C,AQ$68),VLOOKUP(AQ$69-$F98-1,$A$7:$C$161,2,FALSE)*VLOOKUP(AQ$1,'Attrition Modeling'!$L$15:$N$27,IF(AQ$2-$F31&lt;=24,2,3),FALSE))*(1+Projection!AS$16)*(1+IF(AQ163&gt;0,'Attrition Modeling'!$N$9,0))),0))</f>
        <v>4563.2599071031455</v>
      </c>
      <c r="AR98" s="799">
        <f>IF(AR$69=$F98+1,IF(Monthly!AN$4=TRUE,0,Monthly!AN$17),IF(AR$69&gt;$F98+1,AQ98*(1-IF(AR$69-$F98&lt;=12,SUMIFS('Attrition Modeling'!$D:$D,'Attrition Modeling'!$B:$B,$E98,'Attrition Modeling'!$C:$C,AR$68),VLOOKUP(AR$69-$F98-1,$A$7:$C$161,2,FALSE)*VLOOKUP(AR$1,'Attrition Modeling'!$L$15:$N$27,IF(AR$2-$F31&lt;=24,2,3),FALSE))*(1+Projection!AT$16)*(1+IF(AR163&gt;0,'Attrition Modeling'!$N$9,0))),0))</f>
        <v>4275.4274057745133</v>
      </c>
      <c r="AS98" s="799">
        <f>IF(AS$69=$F98+1,IF(Monthly!AO$4=TRUE,0,Monthly!AO$17),IF(AS$69&gt;$F98+1,AR98*(1-IF(AS$69-$F98&lt;=12,SUMIFS('Attrition Modeling'!$D:$D,'Attrition Modeling'!$B:$B,$E98,'Attrition Modeling'!$C:$C,AS$68),VLOOKUP(AS$69-$F98-1,$A$7:$C$161,2,FALSE)*VLOOKUP(AS$1,'Attrition Modeling'!$L$15:$N$27,IF(AS$2-$F31&lt;=24,2,3),FALSE))*(1+Projection!AU$16)*(1+IF(AS163&gt;0,'Attrition Modeling'!$N$9,0))),0))</f>
        <v>4052.5642108445859</v>
      </c>
      <c r="AT98" s="799">
        <f>IF(AT$69=$F98+1,IF(Monthly!AP$4=TRUE,0,Monthly!AP$17),IF(AT$69&gt;$F98+1,AS98*(1-IF(AT$69-$F98&lt;=12,SUMIFS('Attrition Modeling'!$D:$D,'Attrition Modeling'!$B:$B,$E98,'Attrition Modeling'!$C:$C,AT$68),VLOOKUP(AT$69-$F98-1,$A$7:$C$161,2,FALSE)*VLOOKUP(AT$1,'Attrition Modeling'!$L$15:$N$27,IF(AT$2-$F31&lt;=24,2,3),FALSE))*(1+Projection!AV$16)*(1+IF(AT163&gt;0,'Attrition Modeling'!$N$9,0))),0))</f>
        <v>3839.539592601498</v>
      </c>
      <c r="AU98" s="799">
        <f>IF(AU$69=$F98+1,IF(Monthly!AQ$4=TRUE,0,Monthly!AQ$17),IF(AU$69&gt;$F98+1,AT98*(1-IF(AU$69-$F98&lt;=12,SUMIFS('Attrition Modeling'!$D:$D,'Attrition Modeling'!$B:$B,$E98,'Attrition Modeling'!$C:$C,AU$68),VLOOKUP(AU$69-$F98-1,$A$7:$C$161,2,FALSE)*VLOOKUP(AU$1,'Attrition Modeling'!$L$15:$N$27,IF(AU$2-$F31&lt;=24,2,3),FALSE))*(1+Projection!AW$16)*(1+IF(AU163&gt;0,'Attrition Modeling'!$N$9,0))),0))</f>
        <v>3752.3756318183246</v>
      </c>
      <c r="AV98" s="799">
        <f>IF(AV$69=$F98+1,IF(Monthly!AR$4=TRUE,0,Monthly!AR$17),IF(AV$69&gt;$F98+1,AU98*(1-IF(AV$69-$F98&lt;=12,SUMIFS('Attrition Modeling'!$D:$D,'Attrition Modeling'!$B:$B,$E98,'Attrition Modeling'!$C:$C,AV$68),VLOOKUP(AV$69-$F98-1,$A$7:$C$161,2,FALSE)*VLOOKUP(AV$1,'Attrition Modeling'!$L$15:$N$27,IF(AV$2-$F31&lt;=24,2,3),FALSE))*(1+Projection!AX$16)*(1+IF(AV163&gt;0,'Attrition Modeling'!$N$9,0))),0))</f>
        <v>3558.7205715081545</v>
      </c>
      <c r="AW98" s="799">
        <f>IF(AW$69=$F98+1,IF(Monthly!AS$4=TRUE,0,Monthly!AS$17),IF(AW$69&gt;$F98+1,AV98*(1-IF(AW$69-$F98&lt;=12,SUMIFS('Attrition Modeling'!$D:$D,'Attrition Modeling'!$B:$B,$E98,'Attrition Modeling'!$C:$C,AW$68),VLOOKUP(AW$69-$F98-1,$A$7:$C$161,2,FALSE)*VLOOKUP(AW$1,'Attrition Modeling'!$L$15:$N$27,IF(AW$2-$F31&lt;=24,2,3),FALSE))*(1+Projection!AY$16)*(1+IF(AW163&gt;0,'Attrition Modeling'!$N$9,0))),0))</f>
        <v>3372.6587524342826</v>
      </c>
      <c r="AX98" s="799">
        <f>IF(AX$69=$F98+1,IF(Monthly!AT$4=TRUE,0,Monthly!AT$17),IF(AX$69&gt;$F98+1,AW98*(1-IF(AX$69-$F98&lt;=12,SUMIFS('Attrition Modeling'!$D:$D,'Attrition Modeling'!$B:$B,$E98,'Attrition Modeling'!$C:$C,AX$68),VLOOKUP(AX$69-$F98-1,$A$7:$C$161,2,FALSE)*VLOOKUP(AX$1,'Attrition Modeling'!$L$15:$N$27,IF(AX$2-$F31&lt;=24,2,3),FALSE))*(1+Projection!AZ$16)*(1+IF(AX163&gt;0,'Attrition Modeling'!$N$9,0))),0))</f>
        <v>3200.9894120495287</v>
      </c>
      <c r="AY98" s="799">
        <f>IF(AY$69=$F98+1,IF(Monthly!AU$4=TRUE,0,Monthly!AU$17),IF(AY$69&gt;$F98+1,AX98*(1-IF(AY$69-$F98&lt;=12,SUMIFS('Attrition Modeling'!$D:$D,'Attrition Modeling'!$B:$B,$E98,'Attrition Modeling'!$C:$C,AY$68),VLOOKUP(AY$69-$F98-1,$A$7:$C$161,2,FALSE)*VLOOKUP(AY$1,'Attrition Modeling'!$L$15:$N$27,IF(AY$2-$F31&lt;=24,2,3),FALSE))*(1+Projection!BA$16)*(1+IF(AY163&gt;0,'Attrition Modeling'!$N$9,0))),0))</f>
        <v>3037.0671090746964</v>
      </c>
      <c r="AZ98" s="799">
        <f>IF(AZ$69=$F98+1,IF(Monthly!AV$4=TRUE,0,Monthly!AV$17),IF(AZ$69&gt;$F98+1,AY98*(1-IF(AZ$69-$F98&lt;=12,SUMIFS('Attrition Modeling'!$D:$D,'Attrition Modeling'!$B:$B,$E98,'Attrition Modeling'!$C:$C,AZ$68),VLOOKUP(AZ$69-$F98-1,$A$7:$C$161,2,FALSE)*VLOOKUP(AZ$1,'Attrition Modeling'!$L$15:$N$27,IF(AZ$2-$F31&lt;=24,2,3),FALSE))*(1+Projection!BB$16)*(1+IF(AZ163&gt;0,'Attrition Modeling'!$N$9,0))),0))</f>
        <v>2899.4167381756815</v>
      </c>
      <c r="BA98" s="799">
        <f>IF(BA$69=$F98+1,IF(Monthly!AW$4=TRUE,0,Monthly!AW$17),IF(BA$69&gt;$F98+1,AZ98*(1-IF(BA$69-$F98&lt;=12,SUMIFS('Attrition Modeling'!$D:$D,'Attrition Modeling'!$B:$B,$E98,'Attrition Modeling'!$C:$C,BA$68),VLOOKUP(BA$69-$F98-1,$A$7:$C$161,2,FALSE)*VLOOKUP(BA$1,'Attrition Modeling'!$L$15:$N$27,IF(BA$2-$F31&lt;=24,2,3),FALSE))*(1+Projection!BC$16)*(1+IF(BA163&gt;0,'Attrition Modeling'!$N$9,0))),0))</f>
        <v>2742.0687122761806</v>
      </c>
      <c r="BB98" s="799">
        <f>IF(BB$69=$F98+1,IF(Monthly!AX$4=TRUE,0,Monthly!AX$17),IF(BB$69&gt;$F98+1,BA98*(1-IF(BB$69-$F98&lt;=12,SUMIFS('Attrition Modeling'!$D:$D,'Attrition Modeling'!$B:$B,$E98,'Attrition Modeling'!$C:$C,BB$68),VLOOKUP(BB$69-$F98-1,$A$7:$C$161,2,FALSE)*VLOOKUP(BB$1,'Attrition Modeling'!$L$15:$N$27,IF(BB$2-$F31&lt;=24,2,3),FALSE))*(1+Projection!BD$16)*(1+IF(BB163&gt;0,'Attrition Modeling'!$N$9,0))),0))</f>
        <v>2625.3350757214657</v>
      </c>
      <c r="BC98" s="799">
        <f>IF(BC$69=$F98+1,IF(Monthly!AY$4=TRUE,0,Monthly!AY$17),IF(BC$69&gt;$F98+1,BB98*(1-IF(BC$69-$F98&lt;=12,SUMIFS('Attrition Modeling'!$D:$D,'Attrition Modeling'!$B:$B,$E98,'Attrition Modeling'!$C:$C,BC$68),VLOOKUP(BC$69-$F98-1,$A$7:$C$161,2,FALSE)*VLOOKUP(BC$1,'Attrition Modeling'!$L$15:$N$27,IF(BC$2-$F31&lt;=24,2,3),FALSE))*(1+Projection!BE$16)*(1+IF(BC163&gt;0,'Attrition Modeling'!$N$9,0))),0))</f>
        <v>2516.8463165106436</v>
      </c>
      <c r="BD98" s="799">
        <f>IF(BD$69=$F98+1,IF(Monthly!AZ$4=TRUE,0,Monthly!AZ$17),IF(BD$69&gt;$F98+1,BC98*(1-IF(BD$69-$F98&lt;=12,SUMIFS('Attrition Modeling'!$D:$D,'Attrition Modeling'!$B:$B,$E98,'Attrition Modeling'!$C:$C,BD$68),VLOOKUP(BD$69-$F98-1,$A$7:$C$161,2,FALSE)*VLOOKUP(BD$1,'Attrition Modeling'!$L$15:$N$27,IF(BD$2-$F31&lt;=24,2,3),FALSE))*(1+Projection!BF$16)*(1+IF(BD163&gt;0,'Attrition Modeling'!$N$9,0))),0))</f>
        <v>2414.5252875298274</v>
      </c>
      <c r="BE98" s="799">
        <f>IF(BE$69=$F98+1,IF(Monthly!BA$4=TRUE,0,Monthly!BA$17),IF(BE$69&gt;$F98+1,BD98*(1-IF(BE$69-$F98&lt;=12,SUMIFS('Attrition Modeling'!$D:$D,'Attrition Modeling'!$B:$B,$E98,'Attrition Modeling'!$C:$C,BE$68),VLOOKUP(BE$69-$F98-1,$A$7:$C$161,2,FALSE)*VLOOKUP(BE$1,'Attrition Modeling'!$L$15:$N$27,IF(BE$2-$F31&lt;=24,2,3),FALSE))*(1+Projection!BG$16)*(1+IF(BE163&gt;0,'Attrition Modeling'!$N$9,0))),0))</f>
        <v>2327.3502742299461</v>
      </c>
      <c r="BF98" s="799">
        <f>IF(BF$69=$F98+1,IF(Monthly!BB$4=TRUE,0,Monthly!BB$17),IF(BF$69&gt;$F98+1,BE98*(1-IF(BF$69-$F98&lt;=12,SUMIFS('Attrition Modeling'!$D:$D,'Attrition Modeling'!$B:$B,$E98,'Attrition Modeling'!$C:$C,BF$68),VLOOKUP(BF$69-$F98-1,$A$7:$C$161,2,FALSE)*VLOOKUP(BF$1,'Attrition Modeling'!$L$15:$N$27,IF(BF$2-$F31&lt;=24,2,3),FALSE))*(1+Projection!BH$16)*(1+IF(BF163&gt;0,'Attrition Modeling'!$N$9,0))),0))</f>
        <v>2237.1878934236247</v>
      </c>
      <c r="BG98" s="799">
        <f>IF(BG$69=$F98+1,IF(Monthly!BC$4=TRUE,0,Monthly!BC$17),IF(BG$69&gt;$F98+1,BF98*(1-IF(BG$69-$F98&lt;=12,SUMIFS('Attrition Modeling'!$D:$D,'Attrition Modeling'!$B:$B,$E98,'Attrition Modeling'!$C:$C,BG$68),VLOOKUP(BG$69-$F98-1,$A$7:$C$161,2,FALSE)*VLOOKUP(BG$1,'Attrition Modeling'!$L$15:$N$27,IF(BG$2-$F31&lt;=24,2,3),FALSE))*(1+Projection!BI$16)*(1+IF(BG163&gt;0,'Attrition Modeling'!$N$9,0))),0))</f>
        <v>2153.0997348298201</v>
      </c>
      <c r="BH98" s="799">
        <f>IF(BH$69=$F98+1,IF(Monthly!BD$4=TRUE,0,Monthly!BD$17),IF(BH$69&gt;$F98+1,BG98*(1-IF(BH$69-$F98&lt;=12,SUMIFS('Attrition Modeling'!$D:$D,'Attrition Modeling'!$B:$B,$E98,'Attrition Modeling'!$C:$C,BH$68),VLOOKUP(BH$69-$F98-1,$A$7:$C$161,2,FALSE)*VLOOKUP(BH$1,'Attrition Modeling'!$L$15:$N$27,IF(BH$2-$F31&lt;=24,2,3),FALSE))*(1+Projection!BJ$16)*(1+IF(BH163&gt;0,'Attrition Modeling'!$N$9,0))),0))</f>
        <v>2083.3741434550234</v>
      </c>
      <c r="BI98" s="799">
        <f>IF(BI$69=$F98+1,IF(Monthly!BE$4=TRUE,0,Monthly!BE$17),IF(BI$69&gt;$F98+1,BH98*(1-IF(BI$69-$F98&lt;=12,SUMIFS('Attrition Modeling'!$D:$D,'Attrition Modeling'!$B:$B,$E98,'Attrition Modeling'!$C:$C,BI$68),VLOOKUP(BI$69-$F98-1,$A$7:$C$161,2,FALSE)*VLOOKUP(BI$1,'Attrition Modeling'!$L$15:$N$27,IF(BI$2-$F31&lt;=24,2,3),FALSE))*(1+Projection!BK$16)*(1+IF(BI163&gt;0,'Attrition Modeling'!$N$9,0))),0))</f>
        <v>2007.4460633774613</v>
      </c>
      <c r="BJ98" s="799">
        <f>IF(BJ$69=$F98+1,IF(Monthly!BF$4=TRUE,0,Monthly!BF$17),IF(BJ$69&gt;$F98+1,BI98*(1-IF(BJ$69-$F98&lt;=12,SUMIFS('Attrition Modeling'!$D:$D,'Attrition Modeling'!$B:$B,$E98,'Attrition Modeling'!$C:$C,BJ$68),VLOOKUP(BJ$69-$F98-1,$A$7:$C$161,2,FALSE)*VLOOKUP(BJ$1,'Attrition Modeling'!$L$15:$N$27,IF(BJ$2-$F31&lt;=24,2,3),FALSE))*(1+Projection!BL$16)*(1+IF(BJ163&gt;0,'Attrition Modeling'!$N$9,0))),0))</f>
        <v>1928.8143667565189</v>
      </c>
      <c r="BK98" s="799">
        <f>IF(BK$69=$F98+1,IF(Monthly!BG$4=TRUE,0,Monthly!BG$17),IF(BK$69&gt;$F98+1,BJ98*(1-IF(BK$69-$F98&lt;=12,SUMIFS('Attrition Modeling'!$D:$D,'Attrition Modeling'!$B:$B,$E98,'Attrition Modeling'!$C:$C,BK$68),VLOOKUP(BK$69-$F98-1,$A$7:$C$161,2,FALSE)*VLOOKUP(BK$1,'Attrition Modeling'!$L$15:$N$27,IF(BK$2-$F31&lt;=24,2,3),FALSE))*(1+Projection!BM$16)*(1+IF(BK163&gt;0,'Attrition Modeling'!$N$9,0))),0))</f>
        <v>1848.7513030029315</v>
      </c>
      <c r="BL98" s="799">
        <f>IF(BL$69=$F98+1,IF(Monthly!BH$4=TRUE,0,Monthly!BH$17),IF(BL$69&gt;$F98+1,BK98*(1-IF(BL$69-$F98&lt;=12,SUMIFS('Attrition Modeling'!$D:$D,'Attrition Modeling'!$B:$B,$E98,'Attrition Modeling'!$C:$C,BL$68),VLOOKUP(BL$69-$F98-1,$A$7:$C$161,2,FALSE)*VLOOKUP(BL$1,'Attrition Modeling'!$L$15:$N$27,IF(BL$2-$F31&lt;=24,2,3),FALSE))*(1+Projection!BN$16)*(1+IF(BL163&gt;0,'Attrition Modeling'!$N$9,0))),0))</f>
        <v>1777.6103438243142</v>
      </c>
      <c r="BM98" s="799">
        <f>IF(BM$69=$F98+1,IF(Monthly!BI$4=TRUE,0,Monthly!BI$17),IF(BM$69&gt;$F98+1,BL98*(1-IF(BM$69-$F98&lt;=12,SUMIFS('Attrition Modeling'!$D:$D,'Attrition Modeling'!$B:$B,$E98,'Attrition Modeling'!$C:$C,BM$68),VLOOKUP(BM$69-$F98-1,$A$7:$C$161,2,FALSE)*VLOOKUP(BM$1,'Attrition Modeling'!$L$15:$N$27,IF(BM$2-$F31&lt;=24,2,3),FALSE))*(1+Projection!BO$16)*(1+IF(BM163&gt;0,'Attrition Modeling'!$N$9,0))),0))</f>
        <v>1699.345826373522</v>
      </c>
      <c r="BN98" s="799">
        <f>IF(BN$69=$F98+1,IF(Monthly!BJ$4=TRUE,0,Monthly!BJ$17),IF(BN$69&gt;$F98+1,BM98*(1-IF(BN$69-$F98&lt;=12,SUMIFS('Attrition Modeling'!$D:$D,'Attrition Modeling'!$B:$B,$E98,'Attrition Modeling'!$C:$C,BN$68),VLOOKUP(BN$69-$F98-1,$A$7:$C$161,2,FALSE)*VLOOKUP(BN$1,'Attrition Modeling'!$L$15:$N$27,IF(BN$2-$F31&lt;=24,2,3),FALSE))*(1+Projection!BP$16)*(1+IF(BN163&gt;0,'Attrition Modeling'!$N$9,0))),0))</f>
        <v>1639.1525277782919</v>
      </c>
      <c r="BO98" s="799">
        <f>IF(BO$69=$F98+1,IF(Monthly!BK$4=TRUE,0,Monthly!BK$17),IF(BO$69&gt;$F98+1,BN98*(1-IF(BO$69-$F98&lt;=12,SUMIFS('Attrition Modeling'!$D:$D,'Attrition Modeling'!$B:$B,$E98,'Attrition Modeling'!$C:$C,BO$68),VLOOKUP(BO$69-$F98-1,$A$7:$C$161,2,FALSE)*VLOOKUP(BO$1,'Attrition Modeling'!$L$15:$N$27,IF(BO$2-$F31&lt;=24,2,3),FALSE))*(1+Projection!BV$16)*(1+IF(BO163&gt;0,'Attrition Modeling'!$N$9,0))),0))</f>
        <v>1591.8789867920509</v>
      </c>
      <c r="BP98" s="799">
        <f>IF(BP$69=$F98+1,IF(Monthly!BL$4=TRUE,0,Monthly!BL$17),IF(BP$69&gt;$F98+1,BO98*(1-IF(BP$69-$F98&lt;=12,SUMIFS('Attrition Modeling'!$D:$D,'Attrition Modeling'!$B:$B,$E98,'Attrition Modeling'!$C:$C,BP$68),VLOOKUP(BP$69-$F98-1,$A$7:$C$161,2,FALSE)*VLOOKUP(BP$1,'Attrition Modeling'!$L$15:$N$27,IF(BP$2-$F31&lt;=24,2,3),FALSE))*(1+Projection!BW$16)*(1+IF(BP163&gt;0,'Attrition Modeling'!$N$9,0))),0))</f>
        <v>1541.6472134191984</v>
      </c>
      <c r="BQ98" s="799">
        <f>IF(BQ$69=$F98+1,IF(Monthly!BM$4=TRUE,0,Monthly!BM$17),IF(BQ$69&gt;$F98+1,BP98*(1-IF(BQ$69-$F98&lt;=12,SUMIFS('Attrition Modeling'!$D:$D,'Attrition Modeling'!$B:$B,$E98,'Attrition Modeling'!$C:$C,BQ$68),VLOOKUP(BQ$69-$F98-1,$A$7:$C$161,2,FALSE)*VLOOKUP(BQ$1,'Attrition Modeling'!$L$15:$N$27,IF(BQ$2-$F31&lt;=24,2,3),FALSE))*(1+Projection!BX$16)*(1+IF(BQ163&gt;0,'Attrition Modeling'!$N$9,0))),0))</f>
        <v>1495.0674636998701</v>
      </c>
      <c r="BR98" s="799">
        <f>IF(BR$69=$F98+1,IF(Monthly!BN$4=TRUE,0,Monthly!BN$17),IF(BR$69&gt;$F98+1,BQ98*(1-IF(BR$69-$F98&lt;=12,SUMIFS('Attrition Modeling'!$D:$D,'Attrition Modeling'!$B:$B,$E98,'Attrition Modeling'!$C:$C,BR$68),VLOOKUP(BR$69-$F98-1,$A$7:$C$161,2,FALSE)*VLOOKUP(BR$1,'Attrition Modeling'!$L$15:$N$27,IF(BR$2-$F31&lt;=24,2,3),FALSE))*(1+Projection!BY$16)*(1+IF(BR163&gt;0,'Attrition Modeling'!$N$9,0))),0))</f>
        <v>1452.2807321021683</v>
      </c>
      <c r="BS98" s="799">
        <f>IF(BS$69=$F98+1,IF(Monthly!BO$4=TRUE,0,Monthly!BO$17),IF(BS$69&gt;$F98+1,BR98*(1-IF(BS$69-$F98&lt;=12,SUMIFS('Attrition Modeling'!$D:$D,'Attrition Modeling'!$B:$B,$E98,'Attrition Modeling'!$C:$C,BS$68),VLOOKUP(BS$69-$F98-1,$A$7:$C$161,2,FALSE)*VLOOKUP(BS$1,'Attrition Modeling'!$L$15:$N$27,IF(BS$2-$F31&lt;=24,2,3),FALSE))*(1+Projection!BZ$16)*(1+IF(BS163&gt;0,'Attrition Modeling'!$N$9,0))),0))</f>
        <v>1419.5925303293573</v>
      </c>
      <c r="BT98" s="799">
        <f>IF(BT$69=$F98+1,IF(Monthly!#REF!=TRUE,0,Monthly!#REF!),IF(BT$69&gt;$F98+1,BS98*(1-IF(BT$69-$F98&lt;=12,SUMIFS('Attrition Modeling'!$D:$D,'Attrition Modeling'!$B:$B,$E98,'Attrition Modeling'!$C:$C,BT$68),VLOOKUP(BT$69-$F98-1,$A$7:$C$161,2,FALSE)*VLOOKUP(BT$1,'Attrition Modeling'!$L$15:$N$27,IF(BT$2-$F31&lt;=24,2,3),FALSE))*(1+Projection!CA$16)*(1+IF(BT163&gt;0,'Attrition Modeling'!$N$9,0))),0))</f>
        <v>1381.4354204677252</v>
      </c>
      <c r="BU98" s="799">
        <f>IF(BU$69=$F98+1,IF(Monthly!#REF!=TRUE,0,Monthly!#REF!),IF(BU$69&gt;$F98+1,BT98*(1-IF(BU$69-$F98&lt;=12,SUMIFS('Attrition Modeling'!$D:$D,'Attrition Modeling'!$B:$B,$E98,'Attrition Modeling'!$C:$C,BU$68),VLOOKUP(BU$69-$F98-1,$A$7:$C$161,2,FALSE)*VLOOKUP(BU$1,'Attrition Modeling'!$L$15:$N$27,IF(BU$2-$F31&lt;=24,2,3),FALSE))*(1+Projection!CB$16)*(1+IF(BU163&gt;0,'Attrition Modeling'!$N$9,0))),0))</f>
        <v>1339.5083894804868</v>
      </c>
    </row>
    <row r="99" spans="1:73" ht="14.25" customHeight="1" x14ac:dyDescent="0.2">
      <c r="A99" s="9">
        <v>92</v>
      </c>
      <c r="B99" s="25">
        <f>MAX('Attrition Modeling'!H96,$C$3)*(1-Summary!$C$20)</f>
        <v>0.02</v>
      </c>
      <c r="C99" s="24" t="e">
        <f t="shared" si="4"/>
        <v>#DIV/0!</v>
      </c>
      <c r="E99" s="11">
        <f t="shared" si="9"/>
        <v>5</v>
      </c>
      <c r="F99" s="11">
        <f t="shared" si="10"/>
        <v>29</v>
      </c>
      <c r="G99" s="799"/>
      <c r="H99" s="799">
        <f>IF(H$69=$F99+1,IF(Monthly!D$4=TRUE,0,Monthly!D$17),IF(H$69&gt;$F99+1,G99*(1-IF(H$69-$F99&lt;=12,SUMIFS('Attrition Modeling'!$D:$D,'Attrition Modeling'!$B:$B,$E99,'Attrition Modeling'!$C:$C,H$68),VLOOKUP(H$69-$F99-1,$A$7:$C$161,2,FALSE)*VLOOKUP(H$1,'Attrition Modeling'!$L$15:$N$27,IF(H$2-$F32&lt;=24,2,3),FALSE))*(1+Projection!J$16)*(1+IF(H164&gt;0,'Attrition Modeling'!$N$9,0))),0))</f>
        <v>0</v>
      </c>
      <c r="I99" s="799">
        <f>IF(I$69=$F99+1,IF(Monthly!E$4=TRUE,0,Monthly!E$17),IF(I$69&gt;$F99+1,H99*(1-IF(I$69-$F99&lt;=12,SUMIFS('Attrition Modeling'!$D:$D,'Attrition Modeling'!$B:$B,$E99,'Attrition Modeling'!$C:$C,I$68),VLOOKUP(I$69-$F99-1,$A$7:$C$161,2,FALSE)*VLOOKUP(I$1,'Attrition Modeling'!$L$15:$N$27,IF(I$2-$F32&lt;=24,2,3),FALSE))*(1+Projection!K$16)*(1+IF(I164&gt;0,'Attrition Modeling'!$N$9,0))),0))</f>
        <v>0</v>
      </c>
      <c r="J99" s="799">
        <f>IF(J$69=$F99+1,IF(Monthly!F$4=TRUE,0,Monthly!F$17),IF(J$69&gt;$F99+1,I99*(1-IF(J$69-$F99&lt;=12,SUMIFS('Attrition Modeling'!$D:$D,'Attrition Modeling'!$B:$B,$E99,'Attrition Modeling'!$C:$C,J$68),VLOOKUP(J$69-$F99-1,$A$7:$C$161,2,FALSE)*VLOOKUP(J$1,'Attrition Modeling'!$L$15:$N$27,IF(J$2-$F32&lt;=24,2,3),FALSE))*(1+Projection!L$16)*(1+IF(J164&gt;0,'Attrition Modeling'!$N$9,0))),0))</f>
        <v>0</v>
      </c>
      <c r="K99" s="799">
        <f>IF(K$69=$F99+1,IF(Monthly!G$4=TRUE,0,Monthly!G$17),IF(K$69&gt;$F99+1,J99*(1-IF(K$69-$F99&lt;=12,SUMIFS('Attrition Modeling'!$D:$D,'Attrition Modeling'!$B:$B,$E99,'Attrition Modeling'!$C:$C,K$68),VLOOKUP(K$69-$F99-1,$A$7:$C$161,2,FALSE)*VLOOKUP(K$1,'Attrition Modeling'!$L$15:$N$27,IF(K$2-$F32&lt;=24,2,3),FALSE))*(1+Projection!M$16)*(1+IF(K164&gt;0,'Attrition Modeling'!$N$9,0))),0))</f>
        <v>0</v>
      </c>
      <c r="L99" s="799">
        <f>IF(L$69=$F99+1,IF(Monthly!H$4=TRUE,0,Monthly!H$17),IF(L$69&gt;$F99+1,K99*(1-IF(L$69-$F99&lt;=12,SUMIFS('Attrition Modeling'!$D:$D,'Attrition Modeling'!$B:$B,$E99,'Attrition Modeling'!$C:$C,L$68),VLOOKUP(L$69-$F99-1,$A$7:$C$161,2,FALSE)*VLOOKUP(L$1,'Attrition Modeling'!$L$15:$N$27,IF(L$2-$F32&lt;=24,2,3),FALSE))*(1+Projection!N$16)*(1+IF(L164&gt;0,'Attrition Modeling'!$N$9,0))),0))</f>
        <v>0</v>
      </c>
      <c r="M99" s="799">
        <f>IF(M$69=$F99+1,IF(Monthly!I$4=TRUE,0,Monthly!I$17),IF(M$69&gt;$F99+1,L99*(1-IF(M$69-$F99&lt;=12,SUMIFS('Attrition Modeling'!$D:$D,'Attrition Modeling'!$B:$B,$E99,'Attrition Modeling'!$C:$C,M$68),VLOOKUP(M$69-$F99-1,$A$7:$C$161,2,FALSE)*VLOOKUP(M$1,'Attrition Modeling'!$L$15:$N$27,IF(M$2-$F32&lt;=24,2,3),FALSE))*(1+Projection!O$16)*(1+IF(M164&gt;0,'Attrition Modeling'!$N$9,0))),0))</f>
        <v>0</v>
      </c>
      <c r="N99" s="799">
        <f>IF(N$69=$F99+1,IF(Monthly!J$4=TRUE,0,Monthly!J$17),IF(N$69&gt;$F99+1,M99*(1-IF(N$69-$F99&lt;=12,SUMIFS('Attrition Modeling'!$D:$D,'Attrition Modeling'!$B:$B,$E99,'Attrition Modeling'!$C:$C,N$68),VLOOKUP(N$69-$F99-1,$A$7:$C$161,2,FALSE)*VLOOKUP(N$1,'Attrition Modeling'!$L$15:$N$27,IF(N$2-$F32&lt;=24,2,3),FALSE))*(1+Projection!P$16)*(1+IF(N164&gt;0,'Attrition Modeling'!$N$9,0))),0))</f>
        <v>0</v>
      </c>
      <c r="O99" s="799">
        <f>IF(O$69=$F99+1,IF(Monthly!K$4=TRUE,0,Monthly!K$17),IF(O$69&gt;$F99+1,N99*(1-IF(O$69-$F99&lt;=12,SUMIFS('Attrition Modeling'!$D:$D,'Attrition Modeling'!$B:$B,$E99,'Attrition Modeling'!$C:$C,O$68),VLOOKUP(O$69-$F99-1,$A$7:$C$161,2,FALSE)*VLOOKUP(O$1,'Attrition Modeling'!$L$15:$N$27,IF(O$2-$F32&lt;=24,2,3),FALSE))*(1+Projection!Q$16)*(1+IF(O164&gt;0,'Attrition Modeling'!$N$9,0))),0))</f>
        <v>0</v>
      </c>
      <c r="P99" s="799">
        <f>IF(P$69=$F99+1,IF(Monthly!L$4=TRUE,0,Monthly!L$17),IF(P$69&gt;$F99+1,O99*(1-IF(P$69-$F99&lt;=12,SUMIFS('Attrition Modeling'!$D:$D,'Attrition Modeling'!$B:$B,$E99,'Attrition Modeling'!$C:$C,P$68),VLOOKUP(P$69-$F99-1,$A$7:$C$161,2,FALSE)*VLOOKUP(P$1,'Attrition Modeling'!$L$15:$N$27,IF(P$2-$F32&lt;=24,2,3),FALSE))*(1+Projection!R$16)*(1+IF(P164&gt;0,'Attrition Modeling'!$N$9,0))),0))</f>
        <v>0</v>
      </c>
      <c r="Q99" s="799">
        <f>IF(Q$69=$F99+1,IF(Monthly!M$4=TRUE,0,Monthly!M$17),IF(Q$69&gt;$F99+1,P99*(1-IF(Q$69-$F99&lt;=12,SUMIFS('Attrition Modeling'!$D:$D,'Attrition Modeling'!$B:$B,$E99,'Attrition Modeling'!$C:$C,Q$68),VLOOKUP(Q$69-$F99-1,$A$7:$C$161,2,FALSE)*VLOOKUP(Q$1,'Attrition Modeling'!$L$15:$N$27,IF(Q$2-$F32&lt;=24,2,3),FALSE))*(1+Projection!S$16)*(1+IF(Q164&gt;0,'Attrition Modeling'!$N$9,0))),0))</f>
        <v>0</v>
      </c>
      <c r="R99" s="799">
        <f>IF(R$69=$F99+1,IF(Monthly!N$4=TRUE,0,Monthly!N$17),IF(R$69&gt;$F99+1,Q99*(1-IF(R$69-$F99&lt;=12,SUMIFS('Attrition Modeling'!$D:$D,'Attrition Modeling'!$B:$B,$E99,'Attrition Modeling'!$C:$C,R$68),VLOOKUP(R$69-$F99-1,$A$7:$C$161,2,FALSE)*VLOOKUP(R$1,'Attrition Modeling'!$L$15:$N$27,IF(R$2-$F32&lt;=24,2,3),FALSE))*(1+Projection!T$16)*(1+IF(R164&gt;0,'Attrition Modeling'!$N$9,0))),0))</f>
        <v>0</v>
      </c>
      <c r="S99" s="799">
        <f>IF(S$69=$F99+1,IF(Monthly!O$4=TRUE,0,Monthly!O$17),IF(S$69&gt;$F99+1,R99*(1-IF(S$69-$F99&lt;=12,SUMIFS('Attrition Modeling'!$D:$D,'Attrition Modeling'!$B:$B,$E99,'Attrition Modeling'!$C:$C,S$68),VLOOKUP(S$69-$F99-1,$A$7:$C$161,2,FALSE)*VLOOKUP(S$1,'Attrition Modeling'!$L$15:$N$27,IF(S$2-$F32&lt;=24,2,3),FALSE))*(1+Projection!U$16)*(1+IF(S164&gt;0,'Attrition Modeling'!$N$9,0))),0))</f>
        <v>0</v>
      </c>
      <c r="T99" s="799">
        <f>IF(T$69=$F99+1,IF(Monthly!P$4=TRUE,0,Monthly!P$17),IF(T$69&gt;$F99+1,S99*(1-IF(T$69-$F99&lt;=12,SUMIFS('Attrition Modeling'!$D:$D,'Attrition Modeling'!$B:$B,$E99,'Attrition Modeling'!$C:$C,T$68),VLOOKUP(T$69-$F99-1,$A$7:$C$161,2,FALSE)*VLOOKUP(T$1,'Attrition Modeling'!$L$15:$N$27,IF(T$2-$F32&lt;=24,2,3),FALSE))*(1+Projection!V$16)*(1+IF(T164&gt;0,'Attrition Modeling'!$N$9,0))),0))</f>
        <v>0</v>
      </c>
      <c r="U99" s="799">
        <f>IF(U$69=$F99+1,IF(Monthly!Q$4=TRUE,0,Monthly!Q$17),IF(U$69&gt;$F99+1,T99*(1-IF(U$69-$F99&lt;=12,SUMIFS('Attrition Modeling'!$D:$D,'Attrition Modeling'!$B:$B,$E99,'Attrition Modeling'!$C:$C,U$68),VLOOKUP(U$69-$F99-1,$A$7:$C$161,2,FALSE)*VLOOKUP(U$1,'Attrition Modeling'!$L$15:$N$27,IF(U$2-$F32&lt;=24,2,3),FALSE))*(1+Projection!W$16)*(1+IF(U164&gt;0,'Attrition Modeling'!$N$9,0))),0))</f>
        <v>0</v>
      </c>
      <c r="V99" s="799">
        <f>IF(V$69=$F99+1,IF(Monthly!R$4=TRUE,0,Monthly!R$17),IF(V$69&gt;$F99+1,U99*(1-IF(V$69-$F99&lt;=12,SUMIFS('Attrition Modeling'!$D:$D,'Attrition Modeling'!$B:$B,$E99,'Attrition Modeling'!$C:$C,V$68),VLOOKUP(V$69-$F99-1,$A$7:$C$161,2,FALSE)*VLOOKUP(V$1,'Attrition Modeling'!$L$15:$N$27,IF(V$2-$F32&lt;=24,2,3),FALSE))*(1+Projection!X$16)*(1+IF(V164&gt;0,'Attrition Modeling'!$N$9,0))),0))</f>
        <v>0</v>
      </c>
      <c r="W99" s="799">
        <f>IF(W$69=$F99+1,IF(Monthly!S$4=TRUE,0,Monthly!S$17),IF(W$69&gt;$F99+1,V99*(1-IF(W$69-$F99&lt;=12,SUMIFS('Attrition Modeling'!$D:$D,'Attrition Modeling'!$B:$B,$E99,'Attrition Modeling'!$C:$C,W$68),VLOOKUP(W$69-$F99-1,$A$7:$C$161,2,FALSE)*VLOOKUP(W$1,'Attrition Modeling'!$L$15:$N$27,IF(W$2-$F32&lt;=24,2,3),FALSE))*(1+Projection!Y$16)*(1+IF(W164&gt;0,'Attrition Modeling'!$N$9,0))),0))</f>
        <v>0</v>
      </c>
      <c r="X99" s="799">
        <f>IF(X$69=$F99+1,IF(Monthly!T$4=TRUE,0,Monthly!T$17),IF(X$69&gt;$F99+1,W99*(1-IF(X$69-$F99&lt;=12,SUMIFS('Attrition Modeling'!$D:$D,'Attrition Modeling'!$B:$B,$E99,'Attrition Modeling'!$C:$C,X$68),VLOOKUP(X$69-$F99-1,$A$7:$C$161,2,FALSE)*VLOOKUP(X$1,'Attrition Modeling'!$L$15:$N$27,IF(X$2-$F32&lt;=24,2,3),FALSE))*(1+Projection!Z$16)*(1+IF(X164&gt;0,'Attrition Modeling'!$N$9,0))),0))</f>
        <v>0</v>
      </c>
      <c r="Y99" s="799">
        <f>IF(Y$69=$F99+1,IF(Monthly!U$4=TRUE,0,Monthly!U$17),IF(Y$69&gt;$F99+1,X99*(1-IF(Y$69-$F99&lt;=12,SUMIFS('Attrition Modeling'!$D:$D,'Attrition Modeling'!$B:$B,$E99,'Attrition Modeling'!$C:$C,Y$68),VLOOKUP(Y$69-$F99-1,$A$7:$C$161,2,FALSE)*VLOOKUP(Y$1,'Attrition Modeling'!$L$15:$N$27,IF(Y$2-$F32&lt;=24,2,3),FALSE))*(1+Projection!AA$16)*(1+IF(Y164&gt;0,'Attrition Modeling'!$N$9,0))),0))</f>
        <v>0</v>
      </c>
      <c r="Z99" s="799">
        <f>IF(Z$69=$F99+1,IF(Monthly!V$4=TRUE,0,Monthly!V$17),IF(Z$69&gt;$F99+1,Y99*(1-IF(Z$69-$F99&lt;=12,SUMIFS('Attrition Modeling'!$D:$D,'Attrition Modeling'!$B:$B,$E99,'Attrition Modeling'!$C:$C,Z$68),VLOOKUP(Z$69-$F99-1,$A$7:$C$161,2,FALSE)*VLOOKUP(Z$1,'Attrition Modeling'!$L$15:$N$27,IF(Z$2-$F32&lt;=24,2,3),FALSE))*(1+Projection!AB$16)*(1+IF(Z164&gt;0,'Attrition Modeling'!$N$9,0))),0))</f>
        <v>0</v>
      </c>
      <c r="AA99" s="799">
        <f>IF(AA$69=$F99+1,IF(Monthly!W$4=TRUE,0,Monthly!W$17),IF(AA$69&gt;$F99+1,Z99*(1-IF(AA$69-$F99&lt;=12,SUMIFS('Attrition Modeling'!$D:$D,'Attrition Modeling'!$B:$B,$E99,'Attrition Modeling'!$C:$C,AA$68),VLOOKUP(AA$69-$F99-1,$A$7:$C$161,2,FALSE)*VLOOKUP(AA$1,'Attrition Modeling'!$L$15:$N$27,IF(AA$2-$F32&lt;=24,2,3),FALSE))*(1+Projection!AC$16)*(1+IF(AA164&gt;0,'Attrition Modeling'!$N$9,0))),0))</f>
        <v>0</v>
      </c>
      <c r="AB99" s="799">
        <f>IF(AB$69=$F99+1,IF(Monthly!X$4=TRUE,0,Monthly!X$17),IF(AB$69&gt;$F99+1,AA99*(1-IF(AB$69-$F99&lt;=12,SUMIFS('Attrition Modeling'!$D:$D,'Attrition Modeling'!$B:$B,$E99,'Attrition Modeling'!$C:$C,AB$68),VLOOKUP(AB$69-$F99-1,$A$7:$C$161,2,FALSE)*VLOOKUP(AB$1,'Attrition Modeling'!$L$15:$N$27,IF(AB$2-$F32&lt;=24,2,3),FALSE))*(1+Projection!AD$16)*(1+IF(AB164&gt;0,'Attrition Modeling'!$N$9,0))),0))</f>
        <v>0</v>
      </c>
      <c r="AC99" s="799">
        <f>IF(AC$69=$F99+1,IF(Monthly!Y$4=TRUE,0,Monthly!Y$17),IF(AC$69&gt;$F99+1,AB99*(1-IF(AC$69-$F99&lt;=12,SUMIFS('Attrition Modeling'!$D:$D,'Attrition Modeling'!$B:$B,$E99,'Attrition Modeling'!$C:$C,AC$68),VLOOKUP(AC$69-$F99-1,$A$7:$C$161,2,FALSE)*VLOOKUP(AC$1,'Attrition Modeling'!$L$15:$N$27,IF(AC$2-$F32&lt;=24,2,3),FALSE))*(1+Projection!AE$16)*(1+IF(AC164&gt;0,'Attrition Modeling'!$N$9,0))),0))</f>
        <v>0</v>
      </c>
      <c r="AD99" s="799">
        <f>IF(AD$69=$F99+1,IF(Monthly!Z$4=TRUE,0,Monthly!Z$17),IF(AD$69&gt;$F99+1,AC99*(1-IF(AD$69-$F99&lt;=12,SUMIFS('Attrition Modeling'!$D:$D,'Attrition Modeling'!$B:$B,$E99,'Attrition Modeling'!$C:$C,AD$68),VLOOKUP(AD$69-$F99-1,$A$7:$C$161,2,FALSE)*VLOOKUP(AD$1,'Attrition Modeling'!$L$15:$N$27,IF(AD$2-$F32&lt;=24,2,3),FALSE))*(1+Projection!AF$16)*(1+IF(AD164&gt;0,'Attrition Modeling'!$N$9,0))),0))</f>
        <v>0</v>
      </c>
      <c r="AE99" s="799">
        <f>IF(AE$69=$F99+1,IF(Monthly!AA$4=TRUE,0,Monthly!AA$17),IF(AE$69&gt;$F99+1,AD99*(1-IF(AE$69-$F99&lt;=12,SUMIFS('Attrition Modeling'!$D:$D,'Attrition Modeling'!$B:$B,$E99,'Attrition Modeling'!$C:$C,AE$68),VLOOKUP(AE$69-$F99-1,$A$7:$C$161,2,FALSE)*VLOOKUP(AE$1,'Attrition Modeling'!$L$15:$N$27,IF(AE$2-$F32&lt;=24,2,3),FALSE))*(1+Projection!AG$16)*(1+IF(AE164&gt;0,'Attrition Modeling'!$N$9,0))),0))</f>
        <v>0</v>
      </c>
      <c r="AF99" s="799">
        <f>IF(AF$69=$F99+1,IF(Monthly!AB$4=TRUE,0,Monthly!AB$17),IF(AF$69&gt;$F99+1,AE99*(1-IF(AF$69-$F99&lt;=12,SUMIFS('Attrition Modeling'!$D:$D,'Attrition Modeling'!$B:$B,$E99,'Attrition Modeling'!$C:$C,AF$68),VLOOKUP(AF$69-$F99-1,$A$7:$C$161,2,FALSE)*VLOOKUP(AF$1,'Attrition Modeling'!$L$15:$N$27,IF(AF$2-$F32&lt;=24,2,3),FALSE))*(1+Projection!AH$16)*(1+IF(AF164&gt;0,'Attrition Modeling'!$N$9,0))),0))</f>
        <v>0</v>
      </c>
      <c r="AG99" s="799">
        <f>IF(AG$69=$F99+1,IF(Monthly!AC$4=TRUE,0,Monthly!AC$17),IF(AG$69&gt;$F99+1,AF99*(1-IF(AG$69-$F99&lt;=12,SUMIFS('Attrition Modeling'!$D:$D,'Attrition Modeling'!$B:$B,$E99,'Attrition Modeling'!$C:$C,AG$68),VLOOKUP(AG$69-$F99-1,$A$7:$C$161,2,FALSE)*VLOOKUP(AG$1,'Attrition Modeling'!$L$15:$N$27,IF(AG$2-$F32&lt;=24,2,3),FALSE))*(1+Projection!AI$16)*(1+IF(AG164&gt;0,'Attrition Modeling'!$N$9,0))),0))</f>
        <v>0</v>
      </c>
      <c r="AH99" s="799">
        <f>IF(AH$69=$F99+1,IF(Monthly!AD$4=TRUE,0,Monthly!AD$17),IF(AH$69&gt;$F99+1,AG99*(1-IF(AH$69-$F99&lt;=12,SUMIFS('Attrition Modeling'!$D:$D,'Attrition Modeling'!$B:$B,$E99,'Attrition Modeling'!$C:$C,AH$68),VLOOKUP(AH$69-$F99-1,$A$7:$C$161,2,FALSE)*VLOOKUP(AH$1,'Attrition Modeling'!$L$15:$N$27,IF(AH$2-$F32&lt;=24,2,3),FALSE))*(1+Projection!AJ$16)*(1+IF(AH164&gt;0,'Attrition Modeling'!$N$9,0))),0))</f>
        <v>0</v>
      </c>
      <c r="AI99" s="799">
        <f>IF(AI$69=$F99+1,IF(Monthly!AE$4=TRUE,0,Monthly!AE$17),IF(AI$69&gt;$F99+1,AH99*(1-IF(AI$69-$F99&lt;=12,SUMIFS('Attrition Modeling'!$D:$D,'Attrition Modeling'!$B:$B,$E99,'Attrition Modeling'!$C:$C,AI$68),VLOOKUP(AI$69-$F99-1,$A$7:$C$161,2,FALSE)*VLOOKUP(AI$1,'Attrition Modeling'!$L$15:$N$27,IF(AI$2-$F32&lt;=24,2,3),FALSE))*(1+Projection!AK$16)*(1+IF(AI164&gt;0,'Attrition Modeling'!$N$9,0))),0))</f>
        <v>0</v>
      </c>
      <c r="AJ99" s="799">
        <f>IF(AJ$69=$F99+1,IF(Monthly!AF$4=TRUE,0,Monthly!AF$17),IF(AJ$69&gt;$F99+1,AI99*(1-IF(AJ$69-$F99&lt;=12,SUMIFS('Attrition Modeling'!$D:$D,'Attrition Modeling'!$B:$B,$E99,'Attrition Modeling'!$C:$C,AJ$68),VLOOKUP(AJ$69-$F99-1,$A$7:$C$161,2,FALSE)*VLOOKUP(AJ$1,'Attrition Modeling'!$L$15:$N$27,IF(AJ$2-$F32&lt;=24,2,3),FALSE))*(1+Projection!AL$16)*(1+IF(AJ164&gt;0,'Attrition Modeling'!$N$9,0))),0))</f>
        <v>0</v>
      </c>
      <c r="AK99" s="799">
        <f>IF(AK$69=$F99+1,IF(Monthly!AG$4=TRUE,0,Monthly!AG$17),IF(AK$69&gt;$F99+1,AJ99*(1-IF(AK$69-$F99&lt;=12,SUMIFS('Attrition Modeling'!$D:$D,'Attrition Modeling'!$B:$B,$E99,'Attrition Modeling'!$C:$C,AK$68),VLOOKUP(AK$69-$F99-1,$A$7:$C$161,2,FALSE)*VLOOKUP(AK$1,'Attrition Modeling'!$L$15:$N$27,IF(AK$2-$F32&lt;=24,2,3),FALSE))*(1+Projection!AM$16)*(1+IF(AK164&gt;0,'Attrition Modeling'!$N$9,0))),0))</f>
        <v>8535.7067386350245</v>
      </c>
      <c r="AL99" s="799">
        <f>IF(AL$69=$F99+1,IF(Monthly!AH$4=TRUE,0,Monthly!AH$17),IF(AL$69&gt;$F99+1,AK99*(1-IF(AL$69-$F99&lt;=12,SUMIFS('Attrition Modeling'!$D:$D,'Attrition Modeling'!$B:$B,$E99,'Attrition Modeling'!$C:$C,AL$68),VLOOKUP(AL$69-$F99-1,$A$7:$C$161,2,FALSE)*VLOOKUP(AL$1,'Attrition Modeling'!$L$15:$N$27,IF(AL$2-$F32&lt;=24,2,3),FALSE))*(1+Projection!AN$16)*(1+IF(AL164&gt;0,'Attrition Modeling'!$N$9,0))),0))</f>
        <v>7594.8746812117824</v>
      </c>
      <c r="AM99" s="799">
        <f>IF(AM$69=$F99+1,IF(Monthly!AI$4=TRUE,0,Monthly!AI$17),IF(AM$69&gt;$F99+1,AL99*(1-IF(AM$69-$F99&lt;=12,SUMIFS('Attrition Modeling'!$D:$D,'Attrition Modeling'!$B:$B,$E99,'Attrition Modeling'!$C:$C,AM$68),VLOOKUP(AM$69-$F99-1,$A$7:$C$161,2,FALSE)*VLOOKUP(AM$1,'Attrition Modeling'!$L$15:$N$27,IF(AM$2-$F32&lt;=24,2,3),FALSE))*(1+Projection!AO$16)*(1+IF(AM164&gt;0,'Attrition Modeling'!$N$9,0))),0))</f>
        <v>6581.7502972117918</v>
      </c>
      <c r="AN99" s="799">
        <f>IF(AN$69=$F99+1,IF(Monthly!AJ$4=TRUE,0,Monthly!AJ$17),IF(AN$69&gt;$F99+1,AM99*(1-IF(AN$69-$F99&lt;=12,SUMIFS('Attrition Modeling'!$D:$D,'Attrition Modeling'!$B:$B,$E99,'Attrition Modeling'!$C:$C,AN$68),VLOOKUP(AN$69-$F99-1,$A$7:$C$161,2,FALSE)*VLOOKUP(AN$1,'Attrition Modeling'!$L$15:$N$27,IF(AN$2-$F32&lt;=24,2,3),FALSE))*(1+Projection!AP$16)*(1+IF(AN164&gt;0,'Attrition Modeling'!$N$9,0))),0))</f>
        <v>5860.2923965579512</v>
      </c>
      <c r="AO99" s="799">
        <f>IF(AO$69=$F99+1,IF(Monthly!AK$4=TRUE,0,Monthly!AK$17),IF(AO$69&gt;$F99+1,AN99*(1-IF(AO$69-$F99&lt;=12,SUMIFS('Attrition Modeling'!$D:$D,'Attrition Modeling'!$B:$B,$E99,'Attrition Modeling'!$C:$C,AO$68),VLOOKUP(AO$69-$F99-1,$A$7:$C$161,2,FALSE)*VLOOKUP(AO$1,'Attrition Modeling'!$L$15:$N$27,IF(AO$2-$F32&lt;=24,2,3),FALSE))*(1+Projection!AQ$16)*(1+IF(AO164&gt;0,'Attrition Modeling'!$N$9,0))),0))</f>
        <v>5319.4378068702626</v>
      </c>
      <c r="AP99" s="799">
        <f>IF(AP$69=$F99+1,IF(Monthly!AL$4=TRUE,0,Monthly!AL$17),IF(AP$69&gt;$F99+1,AO99*(1-IF(AP$69-$F99&lt;=12,SUMIFS('Attrition Modeling'!$D:$D,'Attrition Modeling'!$B:$B,$E99,'Attrition Modeling'!$C:$C,AP$68),VLOOKUP(AP$69-$F99-1,$A$7:$C$161,2,FALSE)*VLOOKUP(AP$1,'Attrition Modeling'!$L$15:$N$27,IF(AP$2-$F32&lt;=24,2,3),FALSE))*(1+Projection!AR$16)*(1+IF(AP164&gt;0,'Attrition Modeling'!$N$9,0))),0))</f>
        <v>4736.378867408981</v>
      </c>
      <c r="AQ99" s="799">
        <f>IF(AQ$69=$F99+1,IF(Monthly!AM$4=TRUE,0,Monthly!AM$17),IF(AQ$69&gt;$F99+1,AP99*(1-IF(AQ$69-$F99&lt;=12,SUMIFS('Attrition Modeling'!$D:$D,'Attrition Modeling'!$B:$B,$E99,'Attrition Modeling'!$C:$C,AQ$68),VLOOKUP(AQ$69-$F99-1,$A$7:$C$161,2,FALSE)*VLOOKUP(AQ$1,'Attrition Modeling'!$L$15:$N$27,IF(AQ$2-$F32&lt;=24,2,3),FALSE))*(1+Projection!AS$16)*(1+IF(AQ164&gt;0,'Attrition Modeling'!$N$9,0))),0))</f>
        <v>4372.2093531463561</v>
      </c>
      <c r="AR99" s="799">
        <f>IF(AR$69=$F99+1,IF(Monthly!AN$4=TRUE,0,Monthly!AN$17),IF(AR$69&gt;$F99+1,AQ99*(1-IF(AR$69-$F99&lt;=12,SUMIFS('Attrition Modeling'!$D:$D,'Attrition Modeling'!$B:$B,$E99,'Attrition Modeling'!$C:$C,AR$68),VLOOKUP(AR$69-$F99-1,$A$7:$C$161,2,FALSE)*VLOOKUP(AR$1,'Attrition Modeling'!$L$15:$N$27,IF(AR$2-$F32&lt;=24,2,3),FALSE))*(1+Projection!AT$16)*(1+IF(AR164&gt;0,'Attrition Modeling'!$N$9,0))),0))</f>
        <v>4089.1354242850903</v>
      </c>
      <c r="AS99" s="799">
        <f>IF(AS$69=$F99+1,IF(Monthly!AO$4=TRUE,0,Monthly!AO$17),IF(AS$69&gt;$F99+1,AR99*(1-IF(AS$69-$F99&lt;=12,SUMIFS('Attrition Modeling'!$D:$D,'Attrition Modeling'!$B:$B,$E99,'Attrition Modeling'!$C:$C,AS$68),VLOOKUP(AS$69-$F99-1,$A$7:$C$161,2,FALSE)*VLOOKUP(AS$1,'Attrition Modeling'!$L$15:$N$27,IF(AS$2-$F32&lt;=24,2,3),FALSE))*(1+Projection!AU$16)*(1+IF(AS164&gt;0,'Attrition Modeling'!$N$9,0))),0))</f>
        <v>3859.3550463017805</v>
      </c>
      <c r="AT99" s="799">
        <f>IF(AT$69=$F99+1,IF(Monthly!AP$4=TRUE,0,Monthly!AP$17),IF(AT$69&gt;$F99+1,AS99*(1-IF(AT$69-$F99&lt;=12,SUMIFS('Attrition Modeling'!$D:$D,'Attrition Modeling'!$B:$B,$E99,'Attrition Modeling'!$C:$C,AT$68),VLOOKUP(AT$69-$F99-1,$A$7:$C$161,2,FALSE)*VLOOKUP(AT$1,'Attrition Modeling'!$L$15:$N$27,IF(AT$2-$F32&lt;=24,2,3),FALSE))*(1+Projection!AV$16)*(1+IF(AT164&gt;0,'Attrition Modeling'!$N$9,0))),0))</f>
        <v>3639.2811524125414</v>
      </c>
      <c r="AU99" s="799">
        <f>IF(AU$69=$F99+1,IF(Monthly!AQ$4=TRUE,0,Monthly!AQ$17),IF(AU$69&gt;$F99+1,AT99*(1-IF(AU$69-$F99&lt;=12,SUMIFS('Attrition Modeling'!$D:$D,'Attrition Modeling'!$B:$B,$E99,'Attrition Modeling'!$C:$C,AU$68),VLOOKUP(AU$69-$F99-1,$A$7:$C$161,2,FALSE)*VLOOKUP(AU$1,'Attrition Modeling'!$L$15:$N$27,IF(AU$2-$F32&lt;=24,2,3),FALSE))*(1+Projection!AW$16)*(1+IF(AU164&gt;0,'Attrition Modeling'!$N$9,0))),0))</f>
        <v>3444.3430210907518</v>
      </c>
      <c r="AV99" s="799">
        <f>IF(AV$69=$F99+1,IF(Monthly!AR$4=TRUE,0,Monthly!AR$17),IF(AV$69&gt;$F99+1,AU99*(1-IF(AV$69-$F99&lt;=12,SUMIFS('Attrition Modeling'!$D:$D,'Attrition Modeling'!$B:$B,$E99,'Attrition Modeling'!$C:$C,AV$68),VLOOKUP(AV$69-$F99-1,$A$7:$C$161,2,FALSE)*VLOOKUP(AV$1,'Attrition Modeling'!$L$15:$N$27,IF(AV$2-$F32&lt;=24,2,3),FALSE))*(1+Projection!AX$16)*(1+IF(AV164&gt;0,'Attrition Modeling'!$N$9,0))),0))</f>
        <v>3359.2215942733278</v>
      </c>
      <c r="AW99" s="799">
        <f>IF(AW$69=$F99+1,IF(Monthly!AS$4=TRUE,0,Monthly!AS$17),IF(AW$69&gt;$F99+1,AV99*(1-IF(AW$69-$F99&lt;=12,SUMIFS('Attrition Modeling'!$D:$D,'Attrition Modeling'!$B:$B,$E99,'Attrition Modeling'!$C:$C,AW$68),VLOOKUP(AW$69-$F99-1,$A$7:$C$161,2,FALSE)*VLOOKUP(AW$1,'Attrition Modeling'!$L$15:$N$27,IF(AW$2-$F32&lt;=24,2,3),FALSE))*(1+Projection!AY$16)*(1+IF(AW164&gt;0,'Attrition Modeling'!$N$9,0))),0))</f>
        <v>3168.8889717520078</v>
      </c>
      <c r="AX99" s="799">
        <f>IF(AX$69=$F99+1,IF(Monthly!AT$4=TRUE,0,Monthly!AT$17),IF(AX$69&gt;$F99+1,AW99*(1-IF(AX$69-$F99&lt;=12,SUMIFS('Attrition Modeling'!$D:$D,'Attrition Modeling'!$B:$B,$E99,'Attrition Modeling'!$C:$C,AX$68),VLOOKUP(AX$69-$F99-1,$A$7:$C$161,2,FALSE)*VLOOKUP(AX$1,'Attrition Modeling'!$L$15:$N$27,IF(AX$2-$F32&lt;=24,2,3),FALSE))*(1+Projection!AZ$16)*(1+IF(AX164&gt;0,'Attrition Modeling'!$N$9,0))),0))</f>
        <v>2999.2871085579227</v>
      </c>
      <c r="AY99" s="799">
        <f>IF(AY$69=$F99+1,IF(Monthly!AU$4=TRUE,0,Monthly!AU$17),IF(AY$69&gt;$F99+1,AX99*(1-IF(AY$69-$F99&lt;=12,SUMIFS('Attrition Modeling'!$D:$D,'Attrition Modeling'!$B:$B,$E99,'Attrition Modeling'!$C:$C,AY$68),VLOOKUP(AY$69-$F99-1,$A$7:$C$161,2,FALSE)*VLOOKUP(AY$1,'Attrition Modeling'!$L$15:$N$27,IF(AY$2-$F32&lt;=24,2,3),FALSE))*(1+Projection!BA$16)*(1+IF(AY164&gt;0,'Attrition Modeling'!$N$9,0))),0))</f>
        <v>2839.8705515523338</v>
      </c>
      <c r="AZ99" s="799">
        <f>IF(AZ$69=$F99+1,IF(Monthly!AV$4=TRUE,0,Monthly!AV$17),IF(AZ$69&gt;$F99+1,AY99*(1-IF(AZ$69-$F99&lt;=12,SUMIFS('Attrition Modeling'!$D:$D,'Attrition Modeling'!$B:$B,$E99,'Attrition Modeling'!$C:$C,AZ$68),VLOOKUP(AZ$69-$F99-1,$A$7:$C$161,2,FALSE)*VLOOKUP(AZ$1,'Attrition Modeling'!$L$15:$N$27,IF(AZ$2-$F32&lt;=24,2,3),FALSE))*(1+Projection!BB$16)*(1+IF(AZ164&gt;0,'Attrition Modeling'!$N$9,0))),0))</f>
        <v>2707.2578336960587</v>
      </c>
      <c r="BA99" s="799">
        <f>IF(BA$69=$F99+1,IF(Monthly!AW$4=TRUE,0,Monthly!AW$17),IF(BA$69&gt;$F99+1,AZ99*(1-IF(BA$69-$F99&lt;=12,SUMIFS('Attrition Modeling'!$D:$D,'Attrition Modeling'!$B:$B,$E99,'Attrition Modeling'!$C:$C,BA$68),VLOOKUP(BA$69-$F99-1,$A$7:$C$161,2,FALSE)*VLOOKUP(BA$1,'Attrition Modeling'!$L$15:$N$27,IF(BA$2-$F32&lt;=24,2,3),FALSE))*(1+Projection!BC$16)*(1+IF(BA164&gt;0,'Attrition Modeling'!$N$9,0))),0))</f>
        <v>2581.716687903996</v>
      </c>
      <c r="BB99" s="799">
        <f>IF(BB$69=$F99+1,IF(Monthly!AX$4=TRUE,0,Monthly!AX$17),IF(BB$69&gt;$F99+1,BA99*(1-IF(BB$69-$F99&lt;=12,SUMIFS('Attrition Modeling'!$D:$D,'Attrition Modeling'!$B:$B,$E99,'Attrition Modeling'!$C:$C,BB$68),VLOOKUP(BB$69-$F99-1,$A$7:$C$161,2,FALSE)*VLOOKUP(BB$1,'Attrition Modeling'!$L$15:$N$27,IF(BB$2-$F32&lt;=24,2,3),FALSE))*(1+Projection!BD$16)*(1+IF(BB164&gt;0,'Attrition Modeling'!$N$9,0))),0))</f>
        <v>2446.9352090722582</v>
      </c>
      <c r="BC99" s="799">
        <f>IF(BC$69=$F99+1,IF(Monthly!AY$4=TRUE,0,Monthly!AY$17),IF(BC$69&gt;$F99+1,BB99*(1-IF(BC$69-$F99&lt;=12,SUMIFS('Attrition Modeling'!$D:$D,'Attrition Modeling'!$B:$B,$E99,'Attrition Modeling'!$C:$C,BC$68),VLOOKUP(BC$69-$F99-1,$A$7:$C$161,2,FALSE)*VLOOKUP(BC$1,'Attrition Modeling'!$L$15:$N$27,IF(BC$2-$F32&lt;=24,2,3),FALSE))*(1+Projection!BE$16)*(1+IF(BC164&gt;0,'Attrition Modeling'!$N$9,0))),0))</f>
        <v>2343.8602007219174</v>
      </c>
      <c r="BD99" s="799">
        <f>IF(BD$69=$F99+1,IF(Monthly!AZ$4=TRUE,0,Monthly!AZ$17),IF(BD$69&gt;$F99+1,BC99*(1-IF(BD$69-$F99&lt;=12,SUMIFS('Attrition Modeling'!$D:$D,'Attrition Modeling'!$B:$B,$E99,'Attrition Modeling'!$C:$C,BD$68),VLOOKUP(BD$69-$F99-1,$A$7:$C$161,2,FALSE)*VLOOKUP(BD$1,'Attrition Modeling'!$L$15:$N$27,IF(BD$2-$F32&lt;=24,2,3),FALSE))*(1+Projection!BF$16)*(1+IF(BD164&gt;0,'Attrition Modeling'!$N$9,0))),0))</f>
        <v>2246.9156670091925</v>
      </c>
      <c r="BE99" s="799">
        <f>IF(BE$69=$F99+1,IF(Monthly!BA$4=TRUE,0,Monthly!BA$17),IF(BE$69&gt;$F99+1,BD99*(1-IF(BE$69-$F99&lt;=12,SUMIFS('Attrition Modeling'!$D:$D,'Attrition Modeling'!$B:$B,$E99,'Attrition Modeling'!$C:$C,BE$68),VLOOKUP(BE$69-$F99-1,$A$7:$C$161,2,FALSE)*VLOOKUP(BE$1,'Attrition Modeling'!$L$15:$N$27,IF(BE$2-$F32&lt;=24,2,3),FALSE))*(1+Projection!BG$16)*(1+IF(BE164&gt;0,'Attrition Modeling'!$N$9,0))),0))</f>
        <v>2164.5109199913618</v>
      </c>
      <c r="BF99" s="799">
        <f>IF(BF$69=$F99+1,IF(Monthly!BB$4=TRUE,0,Monthly!BB$17),IF(BF$69&gt;$F99+1,BE99*(1-IF(BF$69-$F99&lt;=12,SUMIFS('Attrition Modeling'!$D:$D,'Attrition Modeling'!$B:$B,$E99,'Attrition Modeling'!$C:$C,BF$68),VLOOKUP(BF$69-$F99-1,$A$7:$C$161,2,FALSE)*VLOOKUP(BF$1,'Attrition Modeling'!$L$15:$N$27,IF(BF$2-$F32&lt;=24,2,3),FALSE))*(1+Projection!BH$16)*(1+IF(BF164&gt;0,'Attrition Modeling'!$N$9,0))),0))</f>
        <v>2079.4416552728567</v>
      </c>
      <c r="BG99" s="799">
        <f>IF(BG$69=$F99+1,IF(Monthly!BC$4=TRUE,0,Monthly!BC$17),IF(BG$69&gt;$F99+1,BF99*(1-IF(BG$69-$F99&lt;=12,SUMIFS('Attrition Modeling'!$D:$D,'Attrition Modeling'!$B:$B,$E99,'Attrition Modeling'!$C:$C,BG$68),VLOOKUP(BG$69-$F99-1,$A$7:$C$161,2,FALSE)*VLOOKUP(BG$1,'Attrition Modeling'!$L$15:$N$27,IF(BG$2-$F32&lt;=24,2,3),FALSE))*(1+Projection!BI$16)*(1+IF(BG164&gt;0,'Attrition Modeling'!$N$9,0))),0))</f>
        <v>2000.2346004574647</v>
      </c>
      <c r="BH99" s="799">
        <f>IF(BH$69=$F99+1,IF(Monthly!BD$4=TRUE,0,Monthly!BD$17),IF(BH$69&gt;$F99+1,BG99*(1-IF(BH$69-$F99&lt;=12,SUMIFS('Attrition Modeling'!$D:$D,'Attrition Modeling'!$B:$B,$E99,'Attrition Modeling'!$C:$C,BH$68),VLOOKUP(BH$69-$F99-1,$A$7:$C$161,2,FALSE)*VLOOKUP(BH$1,'Attrition Modeling'!$L$15:$N$27,IF(BH$2-$F32&lt;=24,2,3),FALSE))*(1+Projection!BJ$16)*(1+IF(BH164&gt;0,'Attrition Modeling'!$N$9,0))),0))</f>
        <v>1925.5896391011083</v>
      </c>
      <c r="BI99" s="799">
        <f>IF(BI$69=$F99+1,IF(Monthly!BE$4=TRUE,0,Monthly!BE$17),IF(BI$69&gt;$F99+1,BH99*(1-IF(BI$69-$F99&lt;=12,SUMIFS('Attrition Modeling'!$D:$D,'Attrition Modeling'!$B:$B,$E99,'Attrition Modeling'!$C:$C,BI$68),VLOOKUP(BI$69-$F99-1,$A$7:$C$161,2,FALSE)*VLOOKUP(BI$1,'Attrition Modeling'!$L$15:$N$27,IF(BI$2-$F32&lt;=24,2,3),FALSE))*(1+Projection!BK$16)*(1+IF(BI164&gt;0,'Attrition Modeling'!$N$9,0))),0))</f>
        <v>1854.1900148329978</v>
      </c>
      <c r="BJ99" s="799">
        <f>IF(BJ$69=$F99+1,IF(Monthly!BF$4=TRUE,0,Monthly!BF$17),IF(BJ$69&gt;$F99+1,BI99*(1-IF(BJ$69-$F99&lt;=12,SUMIFS('Attrition Modeling'!$D:$D,'Attrition Modeling'!$B:$B,$E99,'Attrition Modeling'!$C:$C,BJ$68),VLOOKUP(BJ$69-$F99-1,$A$7:$C$161,2,FALSE)*VLOOKUP(BJ$1,'Attrition Modeling'!$L$15:$N$27,IF(BJ$2-$F32&lt;=24,2,3),FALSE))*(1+Projection!BL$16)*(1+IF(BJ164&gt;0,'Attrition Modeling'!$N$9,0))),0))</f>
        <v>1780.3256533098499</v>
      </c>
      <c r="BK99" s="799">
        <f>IF(BK$69=$F99+1,IF(Monthly!BG$4=TRUE,0,Monthly!BG$17),IF(BK$69&gt;$F99+1,BJ99*(1-IF(BK$69-$F99&lt;=12,SUMIFS('Attrition Modeling'!$D:$D,'Attrition Modeling'!$B:$B,$E99,'Attrition Modeling'!$C:$C,BK$68),VLOOKUP(BK$69-$F99-1,$A$7:$C$161,2,FALSE)*VLOOKUP(BK$1,'Attrition Modeling'!$L$15:$N$27,IF(BK$2-$F32&lt;=24,2,3),FALSE))*(1+Projection!BM$16)*(1+IF(BK164&gt;0,'Attrition Modeling'!$N$9,0))),0))</f>
        <v>1705.1961924734471</v>
      </c>
      <c r="BL99" s="799">
        <f>IF(BL$69=$F99+1,IF(Monthly!BH$4=TRUE,0,Monthly!BH$17),IF(BL$69&gt;$F99+1,BK99*(1-IF(BL$69-$F99&lt;=12,SUMIFS('Attrition Modeling'!$D:$D,'Attrition Modeling'!$B:$B,$E99,'Attrition Modeling'!$C:$C,BL$68),VLOOKUP(BL$69-$F99-1,$A$7:$C$161,2,FALSE)*VLOOKUP(BL$1,'Attrition Modeling'!$L$15:$N$27,IF(BL$2-$F32&lt;=24,2,3),FALSE))*(1+Projection!BN$16)*(1+IF(BL164&gt;0,'Attrition Modeling'!$N$9,0))),0))</f>
        <v>1638.5097307681192</v>
      </c>
      <c r="BM99" s="799">
        <f>IF(BM$69=$F99+1,IF(Monthly!BI$4=TRUE,0,Monthly!BI$17),IF(BM$69&gt;$F99+1,BL99*(1-IF(BM$69-$F99&lt;=12,SUMIFS('Attrition Modeling'!$D:$D,'Attrition Modeling'!$B:$B,$E99,'Attrition Modeling'!$C:$C,BM$68),VLOOKUP(BM$69-$F99-1,$A$7:$C$161,2,FALSE)*VLOOKUP(BM$1,'Attrition Modeling'!$L$15:$N$27,IF(BM$2-$F32&lt;=24,2,3),FALSE))*(1+Projection!BO$16)*(1+IF(BM164&gt;0,'Attrition Modeling'!$N$9,0))),0))</f>
        <v>1577.4322464725226</v>
      </c>
      <c r="BN99" s="799">
        <f>IF(BN$69=$F99+1,IF(Monthly!BJ$4=TRUE,0,Monthly!BJ$17),IF(BN$69&gt;$F99+1,BM99*(1-IF(BN$69-$F99&lt;=12,SUMIFS('Attrition Modeling'!$D:$D,'Attrition Modeling'!$B:$B,$E99,'Attrition Modeling'!$C:$C,BN$68),VLOOKUP(BN$69-$F99-1,$A$7:$C$161,2,FALSE)*VLOOKUP(BN$1,'Attrition Modeling'!$L$15:$N$27,IF(BN$2-$F32&lt;=24,2,3),FALSE))*(1+Projection!BP$16)*(1+IF(BN164&gt;0,'Attrition Modeling'!$N$9,0))),0))</f>
        <v>1509.3309761102419</v>
      </c>
      <c r="BO99" s="799">
        <f>IF(BO$69=$F99+1,IF(Monthly!BK$4=TRUE,0,Monthly!BK$17),IF(BO$69&gt;$F99+1,BN99*(1-IF(BO$69-$F99&lt;=12,SUMIFS('Attrition Modeling'!$D:$D,'Attrition Modeling'!$B:$B,$E99,'Attrition Modeling'!$C:$C,BO$68),VLOOKUP(BO$69-$F99-1,$A$7:$C$161,2,FALSE)*VLOOKUP(BO$1,'Attrition Modeling'!$L$15:$N$27,IF(BO$2-$F32&lt;=24,2,3),FALSE))*(1+Projection!BV$16)*(1+IF(BO164&gt;0,'Attrition Modeling'!$N$9,0))),0))</f>
        <v>1465.1311957720136</v>
      </c>
      <c r="BP99" s="799">
        <f>IF(BP$69=$F99+1,IF(Monthly!BL$4=TRUE,0,Monthly!BL$17),IF(BP$69&gt;$F99+1,BO99*(1-IF(BP$69-$F99&lt;=12,SUMIFS('Attrition Modeling'!$D:$D,'Attrition Modeling'!$B:$B,$E99,'Attrition Modeling'!$C:$C,BP$68),VLOOKUP(BP$69-$F99-1,$A$7:$C$161,2,FALSE)*VLOOKUP(BP$1,'Attrition Modeling'!$L$15:$N$27,IF(BP$2-$F32&lt;=24,2,3),FALSE))*(1+Projection!BW$16)*(1+IF(BP164&gt;0,'Attrition Modeling'!$N$9,0))),0))</f>
        <v>1418.1991787011423</v>
      </c>
      <c r="BQ99" s="799">
        <f>IF(BQ$69=$F99+1,IF(Monthly!BM$4=TRUE,0,Monthly!BM$17),IF(BQ$69&gt;$F99+1,BP99*(1-IF(BQ$69-$F99&lt;=12,SUMIFS('Attrition Modeling'!$D:$D,'Attrition Modeling'!$B:$B,$E99,'Attrition Modeling'!$C:$C,BQ$68),VLOOKUP(BQ$69-$F99-1,$A$7:$C$161,2,FALSE)*VLOOKUP(BQ$1,'Attrition Modeling'!$L$15:$N$27,IF(BQ$2-$F32&lt;=24,2,3),FALSE))*(1+Projection!BX$16)*(1+IF(BQ164&gt;0,'Attrition Modeling'!$N$9,0))),0))</f>
        <v>1374.7113448799473</v>
      </c>
      <c r="BR99" s="799">
        <f>IF(BR$69=$F99+1,IF(Monthly!BN$4=TRUE,0,Monthly!BN$17),IF(BR$69&gt;$F99+1,BQ99*(1-IF(BR$69-$F99&lt;=12,SUMIFS('Attrition Modeling'!$D:$D,'Attrition Modeling'!$B:$B,$E99,'Attrition Modeling'!$C:$C,BR$68),VLOOKUP(BR$69-$F99-1,$A$7:$C$161,2,FALSE)*VLOOKUP(BR$1,'Attrition Modeling'!$L$15:$N$27,IF(BR$2-$F32&lt;=24,2,3),FALSE))*(1+Projection!BY$16)*(1+IF(BR164&gt;0,'Attrition Modeling'!$N$9,0))),0))</f>
        <v>1334.792441785115</v>
      </c>
      <c r="BS99" s="799">
        <f>IF(BS$69=$F99+1,IF(Monthly!BO$4=TRUE,0,Monthly!BO$17),IF(BS$69&gt;$F99+1,BR99*(1-IF(BS$69-$F99&lt;=12,SUMIFS('Attrition Modeling'!$D:$D,'Attrition Modeling'!$B:$B,$E99,'Attrition Modeling'!$C:$C,BS$68),VLOOKUP(BS$69-$F99-1,$A$7:$C$161,2,FALSE)*VLOOKUP(BS$1,'Attrition Modeling'!$L$15:$N$27,IF(BS$2-$F32&lt;=24,2,3),FALSE))*(1+Projection!BZ$16)*(1+IF(BS164&gt;0,'Attrition Modeling'!$N$9,0))),0))</f>
        <v>1304.3149638637535</v>
      </c>
      <c r="BT99" s="799">
        <f>IF(BT$69=$F99+1,IF(Monthly!#REF!=TRUE,0,Monthly!#REF!),IF(BT$69&gt;$F99+1,BS99*(1-IF(BT$69-$F99&lt;=12,SUMIFS('Attrition Modeling'!$D:$D,'Attrition Modeling'!$B:$B,$E99,'Attrition Modeling'!$C:$C,BT$68),VLOOKUP(BT$69-$F99-1,$A$7:$C$161,2,FALSE)*VLOOKUP(BT$1,'Attrition Modeling'!$L$15:$N$27,IF(BT$2-$F32&lt;=24,2,3),FALSE))*(1+Projection!CA$16)*(1+IF(BT164&gt;0,'Attrition Modeling'!$N$9,0))),0))</f>
        <v>1268.7575298777701</v>
      </c>
      <c r="BU99" s="799">
        <f>IF(BU$69=$F99+1,IF(Monthly!#REF!=TRUE,0,Monthly!#REF!),IF(BU$69&gt;$F99+1,BT99*(1-IF(BU$69-$F99&lt;=12,SUMIFS('Attrition Modeling'!$D:$D,'Attrition Modeling'!$B:$B,$E99,'Attrition Modeling'!$C:$C,BU$68),VLOOKUP(BU$69-$F99-1,$A$7:$C$161,2,FALSE)*VLOOKUP(BU$1,'Attrition Modeling'!$L$15:$N$27,IF(BU$2-$F32&lt;=24,2,3),FALSE))*(1+Projection!CB$16)*(1+IF(BU164&gt;0,'Attrition Modeling'!$N$9,0))),0))</f>
        <v>1229.7099136190693</v>
      </c>
    </row>
    <row r="100" spans="1:73" ht="14.25" customHeight="1" x14ac:dyDescent="0.2">
      <c r="A100" s="9">
        <v>93</v>
      </c>
      <c r="B100" s="25">
        <f>MAX('Attrition Modeling'!H97,$C$3)*(1-Summary!$C$20)</f>
        <v>0.02</v>
      </c>
      <c r="C100" s="24" t="e">
        <f t="shared" si="4"/>
        <v>#DIV/0!</v>
      </c>
      <c r="E100" s="11">
        <f t="shared" si="9"/>
        <v>6</v>
      </c>
      <c r="F100" s="11">
        <f t="shared" si="10"/>
        <v>30</v>
      </c>
      <c r="G100" s="799"/>
      <c r="H100" s="799">
        <f>IF(H$69=$F100+1,IF(Monthly!D$4=TRUE,0,Monthly!D$17),IF(H$69&gt;$F100+1,G100*(1-IF(H$69-$F100&lt;=12,SUMIFS('Attrition Modeling'!$D:$D,'Attrition Modeling'!$B:$B,$E100,'Attrition Modeling'!$C:$C,H$68),VLOOKUP(H$69-$F100-1,$A$7:$C$161,2,FALSE)*VLOOKUP(H$1,'Attrition Modeling'!$L$15:$N$27,IF(H$2-$F33&lt;=24,2,3),FALSE))*(1+Projection!J$16)*(1+IF(H165&gt;0,'Attrition Modeling'!$N$9,0))),0))</f>
        <v>0</v>
      </c>
      <c r="I100" s="799">
        <f>IF(I$69=$F100+1,IF(Monthly!E$4=TRUE,0,Monthly!E$17),IF(I$69&gt;$F100+1,H100*(1-IF(I$69-$F100&lt;=12,SUMIFS('Attrition Modeling'!$D:$D,'Attrition Modeling'!$B:$B,$E100,'Attrition Modeling'!$C:$C,I$68),VLOOKUP(I$69-$F100-1,$A$7:$C$161,2,FALSE)*VLOOKUP(I$1,'Attrition Modeling'!$L$15:$N$27,IF(I$2-$F33&lt;=24,2,3),FALSE))*(1+Projection!K$16)*(1+IF(I165&gt;0,'Attrition Modeling'!$N$9,0))),0))</f>
        <v>0</v>
      </c>
      <c r="J100" s="799">
        <f>IF(J$69=$F100+1,IF(Monthly!F$4=TRUE,0,Monthly!F$17),IF(J$69&gt;$F100+1,I100*(1-IF(J$69-$F100&lt;=12,SUMIFS('Attrition Modeling'!$D:$D,'Attrition Modeling'!$B:$B,$E100,'Attrition Modeling'!$C:$C,J$68),VLOOKUP(J$69-$F100-1,$A$7:$C$161,2,FALSE)*VLOOKUP(J$1,'Attrition Modeling'!$L$15:$N$27,IF(J$2-$F33&lt;=24,2,3),FALSE))*(1+Projection!L$16)*(1+IF(J165&gt;0,'Attrition Modeling'!$N$9,0))),0))</f>
        <v>0</v>
      </c>
      <c r="K100" s="799">
        <f>IF(K$69=$F100+1,IF(Monthly!G$4=TRUE,0,Monthly!G$17),IF(K$69&gt;$F100+1,J100*(1-IF(K$69-$F100&lt;=12,SUMIFS('Attrition Modeling'!$D:$D,'Attrition Modeling'!$B:$B,$E100,'Attrition Modeling'!$C:$C,K$68),VLOOKUP(K$69-$F100-1,$A$7:$C$161,2,FALSE)*VLOOKUP(K$1,'Attrition Modeling'!$L$15:$N$27,IF(K$2-$F33&lt;=24,2,3),FALSE))*(1+Projection!M$16)*(1+IF(K165&gt;0,'Attrition Modeling'!$N$9,0))),0))</f>
        <v>0</v>
      </c>
      <c r="L100" s="799">
        <f>IF(L$69=$F100+1,IF(Monthly!H$4=TRUE,0,Monthly!H$17),IF(L$69&gt;$F100+1,K100*(1-IF(L$69-$F100&lt;=12,SUMIFS('Attrition Modeling'!$D:$D,'Attrition Modeling'!$B:$B,$E100,'Attrition Modeling'!$C:$C,L$68),VLOOKUP(L$69-$F100-1,$A$7:$C$161,2,FALSE)*VLOOKUP(L$1,'Attrition Modeling'!$L$15:$N$27,IF(L$2-$F33&lt;=24,2,3),FALSE))*(1+Projection!N$16)*(1+IF(L165&gt;0,'Attrition Modeling'!$N$9,0))),0))</f>
        <v>0</v>
      </c>
      <c r="M100" s="799">
        <f>IF(M$69=$F100+1,IF(Monthly!I$4=TRUE,0,Monthly!I$17),IF(M$69&gt;$F100+1,L100*(1-IF(M$69-$F100&lt;=12,SUMIFS('Attrition Modeling'!$D:$D,'Attrition Modeling'!$B:$B,$E100,'Attrition Modeling'!$C:$C,M$68),VLOOKUP(M$69-$F100-1,$A$7:$C$161,2,FALSE)*VLOOKUP(M$1,'Attrition Modeling'!$L$15:$N$27,IF(M$2-$F33&lt;=24,2,3),FALSE))*(1+Projection!O$16)*(1+IF(M165&gt;0,'Attrition Modeling'!$N$9,0))),0))</f>
        <v>0</v>
      </c>
      <c r="N100" s="799">
        <f>IF(N$69=$F100+1,IF(Monthly!J$4=TRUE,0,Monthly!J$17),IF(N$69&gt;$F100+1,M100*(1-IF(N$69-$F100&lt;=12,SUMIFS('Attrition Modeling'!$D:$D,'Attrition Modeling'!$B:$B,$E100,'Attrition Modeling'!$C:$C,N$68),VLOOKUP(N$69-$F100-1,$A$7:$C$161,2,FALSE)*VLOOKUP(N$1,'Attrition Modeling'!$L$15:$N$27,IF(N$2-$F33&lt;=24,2,3),FALSE))*(1+Projection!P$16)*(1+IF(N165&gt;0,'Attrition Modeling'!$N$9,0))),0))</f>
        <v>0</v>
      </c>
      <c r="O100" s="799">
        <f>IF(O$69=$F100+1,IF(Monthly!K$4=TRUE,0,Monthly!K$17),IF(O$69&gt;$F100+1,N100*(1-IF(O$69-$F100&lt;=12,SUMIFS('Attrition Modeling'!$D:$D,'Attrition Modeling'!$B:$B,$E100,'Attrition Modeling'!$C:$C,O$68),VLOOKUP(O$69-$F100-1,$A$7:$C$161,2,FALSE)*VLOOKUP(O$1,'Attrition Modeling'!$L$15:$N$27,IF(O$2-$F33&lt;=24,2,3),FALSE))*(1+Projection!Q$16)*(1+IF(O165&gt;0,'Attrition Modeling'!$N$9,0))),0))</f>
        <v>0</v>
      </c>
      <c r="P100" s="799">
        <f>IF(P$69=$F100+1,IF(Monthly!L$4=TRUE,0,Monthly!L$17),IF(P$69&gt;$F100+1,O100*(1-IF(P$69-$F100&lt;=12,SUMIFS('Attrition Modeling'!$D:$D,'Attrition Modeling'!$B:$B,$E100,'Attrition Modeling'!$C:$C,P$68),VLOOKUP(P$69-$F100-1,$A$7:$C$161,2,FALSE)*VLOOKUP(P$1,'Attrition Modeling'!$L$15:$N$27,IF(P$2-$F33&lt;=24,2,3),FALSE))*(1+Projection!R$16)*(1+IF(P165&gt;0,'Attrition Modeling'!$N$9,0))),0))</f>
        <v>0</v>
      </c>
      <c r="Q100" s="799">
        <f>IF(Q$69=$F100+1,IF(Monthly!M$4=TRUE,0,Monthly!M$17),IF(Q$69&gt;$F100+1,P100*(1-IF(Q$69-$F100&lt;=12,SUMIFS('Attrition Modeling'!$D:$D,'Attrition Modeling'!$B:$B,$E100,'Attrition Modeling'!$C:$C,Q$68),VLOOKUP(Q$69-$F100-1,$A$7:$C$161,2,FALSE)*VLOOKUP(Q$1,'Attrition Modeling'!$L$15:$N$27,IF(Q$2-$F33&lt;=24,2,3),FALSE))*(1+Projection!S$16)*(1+IF(Q165&gt;0,'Attrition Modeling'!$N$9,0))),0))</f>
        <v>0</v>
      </c>
      <c r="R100" s="799">
        <f>IF(R$69=$F100+1,IF(Monthly!N$4=TRUE,0,Monthly!N$17),IF(R$69&gt;$F100+1,Q100*(1-IF(R$69-$F100&lt;=12,SUMIFS('Attrition Modeling'!$D:$D,'Attrition Modeling'!$B:$B,$E100,'Attrition Modeling'!$C:$C,R$68),VLOOKUP(R$69-$F100-1,$A$7:$C$161,2,FALSE)*VLOOKUP(R$1,'Attrition Modeling'!$L$15:$N$27,IF(R$2-$F33&lt;=24,2,3),FALSE))*(1+Projection!T$16)*(1+IF(R165&gt;0,'Attrition Modeling'!$N$9,0))),0))</f>
        <v>0</v>
      </c>
      <c r="S100" s="799">
        <f>IF(S$69=$F100+1,IF(Monthly!O$4=TRUE,0,Monthly!O$17),IF(S$69&gt;$F100+1,R100*(1-IF(S$69-$F100&lt;=12,SUMIFS('Attrition Modeling'!$D:$D,'Attrition Modeling'!$B:$B,$E100,'Attrition Modeling'!$C:$C,S$68),VLOOKUP(S$69-$F100-1,$A$7:$C$161,2,FALSE)*VLOOKUP(S$1,'Attrition Modeling'!$L$15:$N$27,IF(S$2-$F33&lt;=24,2,3),FALSE))*(1+Projection!U$16)*(1+IF(S165&gt;0,'Attrition Modeling'!$N$9,0))),0))</f>
        <v>0</v>
      </c>
      <c r="T100" s="799">
        <f>IF(T$69=$F100+1,IF(Monthly!P$4=TRUE,0,Monthly!P$17),IF(T$69&gt;$F100+1,S100*(1-IF(T$69-$F100&lt;=12,SUMIFS('Attrition Modeling'!$D:$D,'Attrition Modeling'!$B:$B,$E100,'Attrition Modeling'!$C:$C,T$68),VLOOKUP(T$69-$F100-1,$A$7:$C$161,2,FALSE)*VLOOKUP(T$1,'Attrition Modeling'!$L$15:$N$27,IF(T$2-$F33&lt;=24,2,3),FALSE))*(1+Projection!V$16)*(1+IF(T165&gt;0,'Attrition Modeling'!$N$9,0))),0))</f>
        <v>0</v>
      </c>
      <c r="U100" s="799">
        <f>IF(U$69=$F100+1,IF(Monthly!Q$4=TRUE,0,Monthly!Q$17),IF(U$69&gt;$F100+1,T100*(1-IF(U$69-$F100&lt;=12,SUMIFS('Attrition Modeling'!$D:$D,'Attrition Modeling'!$B:$B,$E100,'Attrition Modeling'!$C:$C,U$68),VLOOKUP(U$69-$F100-1,$A$7:$C$161,2,FALSE)*VLOOKUP(U$1,'Attrition Modeling'!$L$15:$N$27,IF(U$2-$F33&lt;=24,2,3),FALSE))*(1+Projection!W$16)*(1+IF(U165&gt;0,'Attrition Modeling'!$N$9,0))),0))</f>
        <v>0</v>
      </c>
      <c r="V100" s="799">
        <f>IF(V$69=$F100+1,IF(Monthly!R$4=TRUE,0,Monthly!R$17),IF(V$69&gt;$F100+1,U100*(1-IF(V$69-$F100&lt;=12,SUMIFS('Attrition Modeling'!$D:$D,'Attrition Modeling'!$B:$B,$E100,'Attrition Modeling'!$C:$C,V$68),VLOOKUP(V$69-$F100-1,$A$7:$C$161,2,FALSE)*VLOOKUP(V$1,'Attrition Modeling'!$L$15:$N$27,IF(V$2-$F33&lt;=24,2,3),FALSE))*(1+Projection!X$16)*(1+IF(V165&gt;0,'Attrition Modeling'!$N$9,0))),0))</f>
        <v>0</v>
      </c>
      <c r="W100" s="799">
        <f>IF(W$69=$F100+1,IF(Monthly!S$4=TRUE,0,Monthly!S$17),IF(W$69&gt;$F100+1,V100*(1-IF(W$69-$F100&lt;=12,SUMIFS('Attrition Modeling'!$D:$D,'Attrition Modeling'!$B:$B,$E100,'Attrition Modeling'!$C:$C,W$68),VLOOKUP(W$69-$F100-1,$A$7:$C$161,2,FALSE)*VLOOKUP(W$1,'Attrition Modeling'!$L$15:$N$27,IF(W$2-$F33&lt;=24,2,3),FALSE))*(1+Projection!Y$16)*(1+IF(W165&gt;0,'Attrition Modeling'!$N$9,0))),0))</f>
        <v>0</v>
      </c>
      <c r="X100" s="799">
        <f>IF(X$69=$F100+1,IF(Monthly!T$4=TRUE,0,Monthly!T$17),IF(X$69&gt;$F100+1,W100*(1-IF(X$69-$F100&lt;=12,SUMIFS('Attrition Modeling'!$D:$D,'Attrition Modeling'!$B:$B,$E100,'Attrition Modeling'!$C:$C,X$68),VLOOKUP(X$69-$F100-1,$A$7:$C$161,2,FALSE)*VLOOKUP(X$1,'Attrition Modeling'!$L$15:$N$27,IF(X$2-$F33&lt;=24,2,3),FALSE))*(1+Projection!Z$16)*(1+IF(X165&gt;0,'Attrition Modeling'!$N$9,0))),0))</f>
        <v>0</v>
      </c>
      <c r="Y100" s="799">
        <f>IF(Y$69=$F100+1,IF(Monthly!U$4=TRUE,0,Monthly!U$17),IF(Y$69&gt;$F100+1,X100*(1-IF(Y$69-$F100&lt;=12,SUMIFS('Attrition Modeling'!$D:$D,'Attrition Modeling'!$B:$B,$E100,'Attrition Modeling'!$C:$C,Y$68),VLOOKUP(Y$69-$F100-1,$A$7:$C$161,2,FALSE)*VLOOKUP(Y$1,'Attrition Modeling'!$L$15:$N$27,IF(Y$2-$F33&lt;=24,2,3),FALSE))*(1+Projection!AA$16)*(1+IF(Y165&gt;0,'Attrition Modeling'!$N$9,0))),0))</f>
        <v>0</v>
      </c>
      <c r="Z100" s="799">
        <f>IF(Z$69=$F100+1,IF(Monthly!V$4=TRUE,0,Monthly!V$17),IF(Z$69&gt;$F100+1,Y100*(1-IF(Z$69-$F100&lt;=12,SUMIFS('Attrition Modeling'!$D:$D,'Attrition Modeling'!$B:$B,$E100,'Attrition Modeling'!$C:$C,Z$68),VLOOKUP(Z$69-$F100-1,$A$7:$C$161,2,FALSE)*VLOOKUP(Z$1,'Attrition Modeling'!$L$15:$N$27,IF(Z$2-$F33&lt;=24,2,3),FALSE))*(1+Projection!AB$16)*(1+IF(Z165&gt;0,'Attrition Modeling'!$N$9,0))),0))</f>
        <v>0</v>
      </c>
      <c r="AA100" s="799">
        <f>IF(AA$69=$F100+1,IF(Monthly!W$4=TRUE,0,Monthly!W$17),IF(AA$69&gt;$F100+1,Z100*(1-IF(AA$69-$F100&lt;=12,SUMIFS('Attrition Modeling'!$D:$D,'Attrition Modeling'!$B:$B,$E100,'Attrition Modeling'!$C:$C,AA$68),VLOOKUP(AA$69-$F100-1,$A$7:$C$161,2,FALSE)*VLOOKUP(AA$1,'Attrition Modeling'!$L$15:$N$27,IF(AA$2-$F33&lt;=24,2,3),FALSE))*(1+Projection!AC$16)*(1+IF(AA165&gt;0,'Attrition Modeling'!$N$9,0))),0))</f>
        <v>0</v>
      </c>
      <c r="AB100" s="799">
        <f>IF(AB$69=$F100+1,IF(Monthly!X$4=TRUE,0,Monthly!X$17),IF(AB$69&gt;$F100+1,AA100*(1-IF(AB$69-$F100&lt;=12,SUMIFS('Attrition Modeling'!$D:$D,'Attrition Modeling'!$B:$B,$E100,'Attrition Modeling'!$C:$C,AB$68),VLOOKUP(AB$69-$F100-1,$A$7:$C$161,2,FALSE)*VLOOKUP(AB$1,'Attrition Modeling'!$L$15:$N$27,IF(AB$2-$F33&lt;=24,2,3),FALSE))*(1+Projection!AD$16)*(1+IF(AB165&gt;0,'Attrition Modeling'!$N$9,0))),0))</f>
        <v>0</v>
      </c>
      <c r="AC100" s="799">
        <f>IF(AC$69=$F100+1,IF(Monthly!Y$4=TRUE,0,Monthly!Y$17),IF(AC$69&gt;$F100+1,AB100*(1-IF(AC$69-$F100&lt;=12,SUMIFS('Attrition Modeling'!$D:$D,'Attrition Modeling'!$B:$B,$E100,'Attrition Modeling'!$C:$C,AC$68),VLOOKUP(AC$69-$F100-1,$A$7:$C$161,2,FALSE)*VLOOKUP(AC$1,'Attrition Modeling'!$L$15:$N$27,IF(AC$2-$F33&lt;=24,2,3),FALSE))*(1+Projection!AE$16)*(1+IF(AC165&gt;0,'Attrition Modeling'!$N$9,0))),0))</f>
        <v>0</v>
      </c>
      <c r="AD100" s="799">
        <f>IF(AD$69=$F100+1,IF(Monthly!Z$4=TRUE,0,Monthly!Z$17),IF(AD$69&gt;$F100+1,AC100*(1-IF(AD$69-$F100&lt;=12,SUMIFS('Attrition Modeling'!$D:$D,'Attrition Modeling'!$B:$B,$E100,'Attrition Modeling'!$C:$C,AD$68),VLOOKUP(AD$69-$F100-1,$A$7:$C$161,2,FALSE)*VLOOKUP(AD$1,'Attrition Modeling'!$L$15:$N$27,IF(AD$2-$F33&lt;=24,2,3),FALSE))*(1+Projection!AF$16)*(1+IF(AD165&gt;0,'Attrition Modeling'!$N$9,0))),0))</f>
        <v>0</v>
      </c>
      <c r="AE100" s="799">
        <f>IF(AE$69=$F100+1,IF(Monthly!AA$4=TRUE,0,Monthly!AA$17),IF(AE$69&gt;$F100+1,AD100*(1-IF(AE$69-$F100&lt;=12,SUMIFS('Attrition Modeling'!$D:$D,'Attrition Modeling'!$B:$B,$E100,'Attrition Modeling'!$C:$C,AE$68),VLOOKUP(AE$69-$F100-1,$A$7:$C$161,2,FALSE)*VLOOKUP(AE$1,'Attrition Modeling'!$L$15:$N$27,IF(AE$2-$F33&lt;=24,2,3),FALSE))*(1+Projection!AG$16)*(1+IF(AE165&gt;0,'Attrition Modeling'!$N$9,0))),0))</f>
        <v>0</v>
      </c>
      <c r="AF100" s="799">
        <f>IF(AF$69=$F100+1,IF(Monthly!AB$4=TRUE,0,Monthly!AB$17),IF(AF$69&gt;$F100+1,AE100*(1-IF(AF$69-$F100&lt;=12,SUMIFS('Attrition Modeling'!$D:$D,'Attrition Modeling'!$B:$B,$E100,'Attrition Modeling'!$C:$C,AF$68),VLOOKUP(AF$69-$F100-1,$A$7:$C$161,2,FALSE)*VLOOKUP(AF$1,'Attrition Modeling'!$L$15:$N$27,IF(AF$2-$F33&lt;=24,2,3),FALSE))*(1+Projection!AH$16)*(1+IF(AF165&gt;0,'Attrition Modeling'!$N$9,0))),0))</f>
        <v>0</v>
      </c>
      <c r="AG100" s="799">
        <f>IF(AG$69=$F100+1,IF(Monthly!AC$4=TRUE,0,Monthly!AC$17),IF(AG$69&gt;$F100+1,AF100*(1-IF(AG$69-$F100&lt;=12,SUMIFS('Attrition Modeling'!$D:$D,'Attrition Modeling'!$B:$B,$E100,'Attrition Modeling'!$C:$C,AG$68),VLOOKUP(AG$69-$F100-1,$A$7:$C$161,2,FALSE)*VLOOKUP(AG$1,'Attrition Modeling'!$L$15:$N$27,IF(AG$2-$F33&lt;=24,2,3),FALSE))*(1+Projection!AI$16)*(1+IF(AG165&gt;0,'Attrition Modeling'!$N$9,0))),0))</f>
        <v>0</v>
      </c>
      <c r="AH100" s="799">
        <f>IF(AH$69=$F100+1,IF(Monthly!AD$4=TRUE,0,Monthly!AD$17),IF(AH$69&gt;$F100+1,AG100*(1-IF(AH$69-$F100&lt;=12,SUMIFS('Attrition Modeling'!$D:$D,'Attrition Modeling'!$B:$B,$E100,'Attrition Modeling'!$C:$C,AH$68),VLOOKUP(AH$69-$F100-1,$A$7:$C$161,2,FALSE)*VLOOKUP(AH$1,'Attrition Modeling'!$L$15:$N$27,IF(AH$2-$F33&lt;=24,2,3),FALSE))*(1+Projection!AJ$16)*(1+IF(AH165&gt;0,'Attrition Modeling'!$N$9,0))),0))</f>
        <v>0</v>
      </c>
      <c r="AI100" s="799">
        <f>IF(AI$69=$F100+1,IF(Monthly!AE$4=TRUE,0,Monthly!AE$17),IF(AI$69&gt;$F100+1,AH100*(1-IF(AI$69-$F100&lt;=12,SUMIFS('Attrition Modeling'!$D:$D,'Attrition Modeling'!$B:$B,$E100,'Attrition Modeling'!$C:$C,AI$68),VLOOKUP(AI$69-$F100-1,$A$7:$C$161,2,FALSE)*VLOOKUP(AI$1,'Attrition Modeling'!$L$15:$N$27,IF(AI$2-$F33&lt;=24,2,3),FALSE))*(1+Projection!AK$16)*(1+IF(AI165&gt;0,'Attrition Modeling'!$N$9,0))),0))</f>
        <v>0</v>
      </c>
      <c r="AJ100" s="799">
        <f>IF(AJ$69=$F100+1,IF(Monthly!AF$4=TRUE,0,Monthly!AF$17),IF(AJ$69&gt;$F100+1,AI100*(1-IF(AJ$69-$F100&lt;=12,SUMIFS('Attrition Modeling'!$D:$D,'Attrition Modeling'!$B:$B,$E100,'Attrition Modeling'!$C:$C,AJ$68),VLOOKUP(AJ$69-$F100-1,$A$7:$C$161,2,FALSE)*VLOOKUP(AJ$1,'Attrition Modeling'!$L$15:$N$27,IF(AJ$2-$F33&lt;=24,2,3),FALSE))*(1+Projection!AL$16)*(1+IF(AJ165&gt;0,'Attrition Modeling'!$N$9,0))),0))</f>
        <v>0</v>
      </c>
      <c r="AK100" s="799">
        <f>IF(AK$69=$F100+1,IF(Monthly!AG$4=TRUE,0,Monthly!AG$17),IF(AK$69&gt;$F100+1,AJ100*(1-IF(AK$69-$F100&lt;=12,SUMIFS('Attrition Modeling'!$D:$D,'Attrition Modeling'!$B:$B,$E100,'Attrition Modeling'!$C:$C,AK$68),VLOOKUP(AK$69-$F100-1,$A$7:$C$161,2,FALSE)*VLOOKUP(AK$1,'Attrition Modeling'!$L$15:$N$27,IF(AK$2-$F33&lt;=24,2,3),FALSE))*(1+Projection!AM$16)*(1+IF(AK165&gt;0,'Attrition Modeling'!$N$9,0))),0))</f>
        <v>0</v>
      </c>
      <c r="AL100" s="799">
        <f>IF(AL$69=$F100+1,IF(Monthly!AH$4=TRUE,0,Monthly!AH$17),IF(AL$69&gt;$F100+1,AK100*(1-IF(AL$69-$F100&lt;=12,SUMIFS('Attrition Modeling'!$D:$D,'Attrition Modeling'!$B:$B,$E100,'Attrition Modeling'!$C:$C,AL$68),VLOOKUP(AL$69-$F100-1,$A$7:$C$161,2,FALSE)*VLOOKUP(AL$1,'Attrition Modeling'!$L$15:$N$27,IF(AL$2-$F33&lt;=24,2,3),FALSE))*(1+Projection!AN$16)*(1+IF(AL165&gt;0,'Attrition Modeling'!$N$9,0))),0))</f>
        <v>8548.7445478691952</v>
      </c>
      <c r="AM100" s="799">
        <f>IF(AM$69=$F100+1,IF(Monthly!AI$4=TRUE,0,Monthly!AI$17),IF(AM$69&gt;$F100+1,AL100*(1-IF(AM$69-$F100&lt;=12,SUMIFS('Attrition Modeling'!$D:$D,'Attrition Modeling'!$B:$B,$E100,'Attrition Modeling'!$C:$C,AM$68),VLOOKUP(AM$69-$F100-1,$A$7:$C$161,2,FALSE)*VLOOKUP(AM$1,'Attrition Modeling'!$L$15:$N$27,IF(AM$2-$F33&lt;=24,2,3),FALSE))*(1+Projection!AO$16)*(1+IF(AM165&gt;0,'Attrition Modeling'!$N$9,0))),0))</f>
        <v>7527.0362139838799</v>
      </c>
      <c r="AN100" s="799">
        <f>IF(AN$69=$F100+1,IF(Monthly!AJ$4=TRUE,0,Monthly!AJ$17),IF(AN$69&gt;$F100+1,AM100*(1-IF(AN$69-$F100&lt;=12,SUMIFS('Attrition Modeling'!$D:$D,'Attrition Modeling'!$B:$B,$E100,'Attrition Modeling'!$C:$C,AN$68),VLOOKUP(AN$69-$F100-1,$A$7:$C$161,2,FALSE)*VLOOKUP(AN$1,'Attrition Modeling'!$L$15:$N$27,IF(AN$2-$F33&lt;=24,2,3),FALSE))*(1+Projection!AP$16)*(1+IF(AN165&gt;0,'Attrition Modeling'!$N$9,0))),0))</f>
        <v>6693.5607196768524</v>
      </c>
      <c r="AO100" s="799">
        <f>IF(AO$69=$F100+1,IF(Monthly!AK$4=TRUE,0,Monthly!AK$17),IF(AO$69&gt;$F100+1,AN100*(1-IF(AO$69-$F100&lt;=12,SUMIFS('Attrition Modeling'!$D:$D,'Attrition Modeling'!$B:$B,$E100,'Attrition Modeling'!$C:$C,AO$68),VLOOKUP(AO$69-$F100-1,$A$7:$C$161,2,FALSE)*VLOOKUP(AO$1,'Attrition Modeling'!$L$15:$N$27,IF(AO$2-$F33&lt;=24,2,3),FALSE))*(1+Projection!AQ$16)*(1+IF(AO165&gt;0,'Attrition Modeling'!$N$9,0))),0))</f>
        <v>6070.0419507106926</v>
      </c>
      <c r="AP100" s="799">
        <f>IF(AP$69=$F100+1,IF(Monthly!AL$4=TRUE,0,Monthly!AL$17),IF(AP$69&gt;$F100+1,AO100*(1-IF(AP$69-$F100&lt;=12,SUMIFS('Attrition Modeling'!$D:$D,'Attrition Modeling'!$B:$B,$E100,'Attrition Modeling'!$C:$C,AP$68),VLOOKUP(AP$69-$F100-1,$A$7:$C$161,2,FALSE)*VLOOKUP(AP$1,'Attrition Modeling'!$L$15:$N$27,IF(AP$2-$F33&lt;=24,2,3),FALSE))*(1+Projection!AR$16)*(1+IF(AP165&gt;0,'Attrition Modeling'!$N$9,0))),0))</f>
        <v>5537.4174395855935</v>
      </c>
      <c r="AQ100" s="799">
        <f>IF(AQ$69=$F100+1,IF(Monthly!AM$4=TRUE,0,Monthly!AM$17),IF(AQ$69&gt;$F100+1,AP100*(1-IF(AQ$69-$F100&lt;=12,SUMIFS('Attrition Modeling'!$D:$D,'Attrition Modeling'!$B:$B,$E100,'Attrition Modeling'!$C:$C,AQ$68),VLOOKUP(AQ$69-$F100-1,$A$7:$C$161,2,FALSE)*VLOOKUP(AQ$1,'Attrition Modeling'!$L$15:$N$27,IF(AQ$2-$F33&lt;=24,2,3),FALSE))*(1+Projection!AS$16)*(1+IF(AQ165&gt;0,'Attrition Modeling'!$N$9,0))),0))</f>
        <v>4954.7983073259629</v>
      </c>
      <c r="AR100" s="799">
        <f>IF(AR$69=$F100+1,IF(Monthly!AN$4=TRUE,0,Monthly!AN$17),IF(AR$69&gt;$F100+1,AQ100*(1-IF(AR$69-$F100&lt;=12,SUMIFS('Attrition Modeling'!$D:$D,'Attrition Modeling'!$B:$B,$E100,'Attrition Modeling'!$C:$C,AR$68),VLOOKUP(AR$69-$F100-1,$A$7:$C$161,2,FALSE)*VLOOKUP(AR$1,'Attrition Modeling'!$L$15:$N$27,IF(AR$2-$F33&lt;=24,2,3),FALSE))*(1+Projection!AT$16)*(1+IF(AR165&gt;0,'Attrition Modeling'!$N$9,0))),0))</f>
        <v>4613.7221311054964</v>
      </c>
      <c r="AS100" s="799">
        <f>IF(AS$69=$F100+1,IF(Monthly!AO$4=TRUE,0,Monthly!AO$17),IF(AS$69&gt;$F100+1,AR100*(1-IF(AS$69-$F100&lt;=12,SUMIFS('Attrition Modeling'!$D:$D,'Attrition Modeling'!$B:$B,$E100,'Attrition Modeling'!$C:$C,AS$68),VLOOKUP(AS$69-$F100-1,$A$7:$C$161,2,FALSE)*VLOOKUP(AS$1,'Attrition Modeling'!$L$15:$N$27,IF(AS$2-$F33&lt;=24,2,3),FALSE))*(1+Projection!AU$16)*(1+IF(AS165&gt;0,'Attrition Modeling'!$N$9,0))),0))</f>
        <v>4328.7596437532411</v>
      </c>
      <c r="AT100" s="799">
        <f>IF(AT$69=$F100+1,IF(Monthly!AP$4=TRUE,0,Monthly!AP$17),IF(AT$69&gt;$F100+1,AS100*(1-IF(AT$69-$F100&lt;=12,SUMIFS('Attrition Modeling'!$D:$D,'Attrition Modeling'!$B:$B,$E100,'Attrition Modeling'!$C:$C,AT$68),VLOOKUP(AT$69-$F100-1,$A$7:$C$161,2,FALSE)*VLOOKUP(AT$1,'Attrition Modeling'!$L$15:$N$27,IF(AT$2-$F33&lt;=24,2,3),FALSE))*(1+Projection!AV$16)*(1+IF(AT165&gt;0,'Attrition Modeling'!$N$9,0))),0))</f>
        <v>4049.2612866901</v>
      </c>
      <c r="AU100" s="799">
        <f>IF(AU$69=$F100+1,IF(Monthly!AQ$4=TRUE,0,Monthly!AQ$17),IF(AU$69&gt;$F100+1,AT100*(1-IF(AU$69-$F100&lt;=12,SUMIFS('Attrition Modeling'!$D:$D,'Attrition Modeling'!$B:$B,$E100,'Attrition Modeling'!$C:$C,AU$68),VLOOKUP(AU$69-$F100-1,$A$7:$C$161,2,FALSE)*VLOOKUP(AU$1,'Attrition Modeling'!$L$15:$N$27,IF(AU$2-$F33&lt;=24,2,3),FALSE))*(1+Projection!AW$16)*(1+IF(AU165&gt;0,'Attrition Modeling'!$N$9,0))),0))</f>
        <v>3825.4814532083951</v>
      </c>
      <c r="AV100" s="799">
        <f>IF(AV$69=$F100+1,IF(Monthly!AR$4=TRUE,0,Monthly!AR$17),IF(AV$69&gt;$F100+1,AU100*(1-IF(AV$69-$F100&lt;=12,SUMIFS('Attrition Modeling'!$D:$D,'Attrition Modeling'!$B:$B,$E100,'Attrition Modeling'!$C:$C,AV$68),VLOOKUP(AV$69-$F100-1,$A$7:$C$161,2,FALSE)*VLOOKUP(AV$1,'Attrition Modeling'!$L$15:$N$27,IF(AV$2-$F33&lt;=24,2,3),FALSE))*(1+Projection!AX$16)*(1+IF(AV165&gt;0,'Attrition Modeling'!$N$9,0))),0))</f>
        <v>3606.2747096018256</v>
      </c>
      <c r="AW100" s="799">
        <f>IF(AW$69=$F100+1,IF(Monthly!AS$4=TRUE,0,Monthly!AS$17),IF(AW$69&gt;$F100+1,AV100*(1-IF(AW$69-$F100&lt;=12,SUMIFS('Attrition Modeling'!$D:$D,'Attrition Modeling'!$B:$B,$E100,'Attrition Modeling'!$C:$C,AW$68),VLOOKUP(AW$69-$F100-1,$A$7:$C$161,2,FALSE)*VLOOKUP(AW$1,'Attrition Modeling'!$L$15:$N$27,IF(AW$2-$F33&lt;=24,2,3),FALSE))*(1+Projection!AY$16)*(1+IF(AW165&gt;0,'Attrition Modeling'!$N$9,0))),0))</f>
        <v>3502.6327906519246</v>
      </c>
      <c r="AX100" s="799">
        <f>IF(AX$69=$F100+1,IF(Monthly!AT$4=TRUE,0,Monthly!AT$17),IF(AX$69&gt;$F100+1,AW100*(1-IF(AX$69-$F100&lt;=12,SUMIFS('Attrition Modeling'!$D:$D,'Attrition Modeling'!$B:$B,$E100,'Attrition Modeling'!$C:$C,AX$68),VLOOKUP(AX$69-$F100-1,$A$7:$C$161,2,FALSE)*VLOOKUP(AX$1,'Attrition Modeling'!$L$15:$N$27,IF(AX$2-$F33&lt;=24,2,3),FALSE))*(1+Projection!AZ$16)*(1+IF(AX165&gt;0,'Attrition Modeling'!$N$9,0))),0))</f>
        <v>3299.476904757938</v>
      </c>
      <c r="AY100" s="799">
        <f>IF(AY$69=$F100+1,IF(Monthly!AU$4=TRUE,0,Monthly!AU$17),IF(AY$69&gt;$F100+1,AX100*(1-IF(AY$69-$F100&lt;=12,SUMIFS('Attrition Modeling'!$D:$D,'Attrition Modeling'!$B:$B,$E100,'Attrition Modeling'!$C:$C,AY$68),VLOOKUP(AY$69-$F100-1,$A$7:$C$161,2,FALSE)*VLOOKUP(AY$1,'Attrition Modeling'!$L$15:$N$27,IF(AY$2-$F33&lt;=24,2,3),FALSE))*(1+Projection!BA$16)*(1+IF(AY165&gt;0,'Attrition Modeling'!$N$9,0))),0))</f>
        <v>3115.0757077528756</v>
      </c>
      <c r="AZ100" s="799">
        <f>IF(AZ$69=$F100+1,IF(Monthly!AV$4=TRUE,0,Monthly!AV$17),IF(AZ$69&gt;$F100+1,AY100*(1-IF(AZ$69-$F100&lt;=12,SUMIFS('Attrition Modeling'!$D:$D,'Attrition Modeling'!$B:$B,$E100,'Attrition Modeling'!$C:$C,AZ$68),VLOOKUP(AZ$69-$F100-1,$A$7:$C$161,2,FALSE)*VLOOKUP(AZ$1,'Attrition Modeling'!$L$15:$N$27,IF(AZ$2-$F33&lt;=24,2,3),FALSE))*(1+Projection!BB$16)*(1+IF(AZ165&gt;0,'Attrition Modeling'!$N$9,0))),0))</f>
        <v>2964.0966144968074</v>
      </c>
      <c r="BA100" s="799">
        <f>IF(BA$69=$F100+1,IF(Monthly!AW$4=TRUE,0,Monthly!AW$17),IF(BA$69&gt;$F100+1,AZ100*(1-IF(BA$69-$F100&lt;=12,SUMIFS('Attrition Modeling'!$D:$D,'Attrition Modeling'!$B:$B,$E100,'Attrition Modeling'!$C:$C,BA$68),VLOOKUP(BA$69-$F100-1,$A$7:$C$161,2,FALSE)*VLOOKUP(BA$1,'Attrition Modeling'!$L$15:$N$27,IF(BA$2-$F33&lt;=24,2,3),FALSE))*(1+Projection!BC$16)*(1+IF(BA165&gt;0,'Attrition Modeling'!$N$9,0))),0))</f>
        <v>2822.4805704437508</v>
      </c>
      <c r="BB100" s="799">
        <f>IF(BB$69=$F100+1,IF(Monthly!AX$4=TRUE,0,Monthly!AX$17),IF(BB$69&gt;$F100+1,BA100*(1-IF(BB$69-$F100&lt;=12,SUMIFS('Attrition Modeling'!$D:$D,'Attrition Modeling'!$B:$B,$E100,'Attrition Modeling'!$C:$C,BB$68),VLOOKUP(BB$69-$F100-1,$A$7:$C$161,2,FALSE)*VLOOKUP(BB$1,'Attrition Modeling'!$L$15:$N$27,IF(BB$2-$F33&lt;=24,2,3),FALSE))*(1+Projection!BD$16)*(1+IF(BB165&gt;0,'Attrition Modeling'!$N$9,0))),0))</f>
        <v>2696.571096823478</v>
      </c>
      <c r="BC100" s="799">
        <f>IF(BC$69=$F100+1,IF(Monthly!AY$4=TRUE,0,Monthly!AY$17),IF(BC$69&gt;$F100+1,BB100*(1-IF(BC$69-$F100&lt;=12,SUMIFS('Attrition Modeling'!$D:$D,'Attrition Modeling'!$B:$B,$E100,'Attrition Modeling'!$C:$C,BC$68),VLOOKUP(BC$69-$F100-1,$A$7:$C$161,2,FALSE)*VLOOKUP(BC$1,'Attrition Modeling'!$L$15:$N$27,IF(BC$2-$F33&lt;=24,2,3),FALSE))*(1+Projection!BE$16)*(1+IF(BC165&gt;0,'Attrition Modeling'!$N$9,0))),0))</f>
        <v>2557.2725014428061</v>
      </c>
      <c r="BD100" s="799">
        <f>IF(BD$69=$F100+1,IF(Monthly!AZ$4=TRUE,0,Monthly!AZ$17),IF(BD$69&gt;$F100+1,BC100*(1-IF(BD$69-$F100&lt;=12,SUMIFS('Attrition Modeling'!$D:$D,'Attrition Modeling'!$B:$B,$E100,'Attrition Modeling'!$C:$C,BD$68),VLOOKUP(BD$69-$F100-1,$A$7:$C$161,2,FALSE)*VLOOKUP(BD$1,'Attrition Modeling'!$L$15:$N$27,IF(BD$2-$F33&lt;=24,2,3),FALSE))*(1+Projection!BF$16)*(1+IF(BD165&gt;0,'Attrition Modeling'!$N$9,0))),0))</f>
        <v>2449.4524493184263</v>
      </c>
      <c r="BE100" s="799">
        <f>IF(BE$69=$F100+1,IF(Monthly!BA$4=TRUE,0,Monthly!BA$17),IF(BE$69&gt;$F100+1,BD100*(1-IF(BE$69-$F100&lt;=12,SUMIFS('Attrition Modeling'!$D:$D,'Attrition Modeling'!$B:$B,$E100,'Attrition Modeling'!$C:$C,BE$68),VLOOKUP(BE$69-$F100-1,$A$7:$C$161,2,FALSE)*VLOOKUP(BE$1,'Attrition Modeling'!$L$15:$N$27,IF(BE$2-$F33&lt;=24,2,3),FALSE))*(1+Projection!BG$16)*(1+IF(BE165&gt;0,'Attrition Modeling'!$N$9,0))),0))</f>
        <v>2358.0584060336387</v>
      </c>
      <c r="BF100" s="799">
        <f>IF(BF$69=$F100+1,IF(Monthly!BB$4=TRUE,0,Monthly!BB$17),IF(BF$69&gt;$F100+1,BE100*(1-IF(BF$69-$F100&lt;=12,SUMIFS('Attrition Modeling'!$D:$D,'Attrition Modeling'!$B:$B,$E100,'Attrition Modeling'!$C:$C,BF$68),VLOOKUP(BF$69-$F100-1,$A$7:$C$161,2,FALSE)*VLOOKUP(BF$1,'Attrition Modeling'!$L$15:$N$27,IF(BF$2-$F33&lt;=24,2,3),FALSE))*(1+Projection!BH$16)*(1+IF(BF165&gt;0,'Attrition Modeling'!$N$9,0))),0))</f>
        <v>2263.9187408110624</v>
      </c>
      <c r="BG100" s="799">
        <f>IF(BG$69=$F100+1,IF(Monthly!BC$4=TRUE,0,Monthly!BC$17),IF(BG$69&gt;$F100+1,BF100*(1-IF(BG$69-$F100&lt;=12,SUMIFS('Attrition Modeling'!$D:$D,'Attrition Modeling'!$B:$B,$E100,'Attrition Modeling'!$C:$C,BG$68),VLOOKUP(BG$69-$F100-1,$A$7:$C$161,2,FALSE)*VLOOKUP(BG$1,'Attrition Modeling'!$L$15:$N$27,IF(BG$2-$F33&lt;=24,2,3),FALSE))*(1+Projection!BI$16)*(1+IF(BG165&gt;0,'Attrition Modeling'!$N$9,0))),0))</f>
        <v>2176.4350215958507</v>
      </c>
      <c r="BH100" s="799">
        <f>IF(BH$69=$F100+1,IF(Monthly!BD$4=TRUE,0,Monthly!BD$17),IF(BH$69&gt;$F100+1,BG100*(1-IF(BH$69-$F100&lt;=12,SUMIFS('Attrition Modeling'!$D:$D,'Attrition Modeling'!$B:$B,$E100,'Attrition Modeling'!$C:$C,BH$68),VLOOKUP(BH$69-$F100-1,$A$7:$C$161,2,FALSE)*VLOOKUP(BH$1,'Attrition Modeling'!$L$15:$N$27,IF(BH$2-$F33&lt;=24,2,3),FALSE))*(1+Projection!BJ$16)*(1+IF(BH165&gt;0,'Attrition Modeling'!$N$9,0))),0))</f>
        <v>2094.1255124970066</v>
      </c>
      <c r="BI100" s="799">
        <f>IF(BI$69=$F100+1,IF(Monthly!BE$4=TRUE,0,Monthly!BE$17),IF(BI$69&gt;$F100+1,BH100*(1-IF(BI$69-$F100&lt;=12,SUMIFS('Attrition Modeling'!$D:$D,'Attrition Modeling'!$B:$B,$E100,'Attrition Modeling'!$C:$C,BI$68),VLOOKUP(BI$69-$F100-1,$A$7:$C$161,2,FALSE)*VLOOKUP(BI$1,'Attrition Modeling'!$L$15:$N$27,IF(BI$2-$F33&lt;=24,2,3),FALSE))*(1+Projection!BK$16)*(1+IF(BI165&gt;0,'Attrition Modeling'!$N$9,0))),0))</f>
        <v>2008.3280773463605</v>
      </c>
      <c r="BJ100" s="799">
        <f>IF(BJ$69=$F100+1,IF(Monthly!BF$4=TRUE,0,Monthly!BF$17),IF(BJ$69&gt;$F100+1,BI100*(1-IF(BJ$69-$F100&lt;=12,SUMIFS('Attrition Modeling'!$D:$D,'Attrition Modeling'!$B:$B,$E100,'Attrition Modeling'!$C:$C,BJ$68),VLOOKUP(BJ$69-$F100-1,$A$7:$C$161,2,FALSE)*VLOOKUP(BJ$1,'Attrition Modeling'!$L$15:$N$27,IF(BJ$2-$F33&lt;=24,2,3),FALSE))*(1+Projection!BL$16)*(1+IF(BJ165&gt;0,'Attrition Modeling'!$N$9,0))),0))</f>
        <v>1926.9303260001718</v>
      </c>
      <c r="BK100" s="799">
        <f>IF(BK$69=$F100+1,IF(Monthly!BG$4=TRUE,0,Monthly!BG$17),IF(BK$69&gt;$F100+1,BJ100*(1-IF(BK$69-$F100&lt;=12,SUMIFS('Attrition Modeling'!$D:$D,'Attrition Modeling'!$B:$B,$E100,'Attrition Modeling'!$C:$C,BK$68),VLOOKUP(BK$69-$F100-1,$A$7:$C$161,2,FALSE)*VLOOKUP(BK$1,'Attrition Modeling'!$L$15:$N$27,IF(BK$2-$F33&lt;=24,2,3),FALSE))*(1+Projection!BM$16)*(1+IF(BK165&gt;0,'Attrition Modeling'!$N$9,0))),0))</f>
        <v>1844.2306547427033</v>
      </c>
      <c r="BL100" s="799">
        <f>IF(BL$69=$F100+1,IF(Monthly!BH$4=TRUE,0,Monthly!BH$17),IF(BL$69&gt;$F100+1,BK100*(1-IF(BL$69-$F100&lt;=12,SUMIFS('Attrition Modeling'!$D:$D,'Attrition Modeling'!$B:$B,$E100,'Attrition Modeling'!$C:$C,BL$68),VLOOKUP(BL$69-$F100-1,$A$7:$C$161,2,FALSE)*VLOOKUP(BL$1,'Attrition Modeling'!$L$15:$N$27,IF(BL$2-$F33&lt;=24,2,3),FALSE))*(1+Projection!BN$16)*(1+IF(BL165&gt;0,'Attrition Modeling'!$N$9,0))),0))</f>
        <v>1770.9064085808573</v>
      </c>
      <c r="BM100" s="799">
        <f>IF(BM$69=$F100+1,IF(Monthly!BI$4=TRUE,0,Monthly!BI$17),IF(BM$69&gt;$F100+1,BL100*(1-IF(BM$69-$F100&lt;=12,SUMIFS('Attrition Modeling'!$D:$D,'Attrition Modeling'!$B:$B,$E100,'Attrition Modeling'!$C:$C,BM$68),VLOOKUP(BM$69-$F100-1,$A$7:$C$161,2,FALSE)*VLOOKUP(BM$1,'Attrition Modeling'!$L$15:$N$27,IF(BM$2-$F33&lt;=24,2,3),FALSE))*(1+Projection!BO$16)*(1+IF(BM165&gt;0,'Attrition Modeling'!$N$9,0))),0))</f>
        <v>1703.8176396382471</v>
      </c>
      <c r="BN100" s="799">
        <f>IF(BN$69=$F100+1,IF(Monthly!BJ$4=TRUE,0,Monthly!BJ$17),IF(BN$69&gt;$F100+1,BM100*(1-IF(BN$69-$F100&lt;=12,SUMIFS('Attrition Modeling'!$D:$D,'Attrition Modeling'!$B:$B,$E100,'Attrition Modeling'!$C:$C,BN$68),VLOOKUP(BN$69-$F100-1,$A$7:$C$161,2,FALSE)*VLOOKUP(BN$1,'Attrition Modeling'!$L$15:$N$27,IF(BN$2-$F33&lt;=24,2,3),FALSE))*(1+Projection!BP$16)*(1+IF(BN165&gt;0,'Attrition Modeling'!$N$9,0))),0))</f>
        <v>1641.5401093573398</v>
      </c>
      <c r="BO100" s="799">
        <f>IF(BO$69=$F100+1,IF(Monthly!BK$4=TRUE,0,Monthly!BK$17),IF(BO$69&gt;$F100+1,BN100*(1-IF(BO$69-$F100&lt;=12,SUMIFS('Attrition Modeling'!$D:$D,'Attrition Modeling'!$B:$B,$E100,'Attrition Modeling'!$C:$C,BO$68),VLOOKUP(BO$69-$F100-1,$A$7:$C$161,2,FALSE)*VLOOKUP(BO$1,'Attrition Modeling'!$L$15:$N$27,IF(BO$2-$F33&lt;=24,2,3),FALSE))*(1+Projection!BV$16)*(1+IF(BO165&gt;0,'Attrition Modeling'!$N$9,0))),0))</f>
        <v>1582.9498731089452</v>
      </c>
      <c r="BP100" s="799">
        <f>IF(BP$69=$F100+1,IF(Monthly!BL$4=TRUE,0,Monthly!BL$17),IF(BP$69&gt;$F100+1,BO100*(1-IF(BP$69-$F100&lt;=12,SUMIFS('Attrition Modeling'!$D:$D,'Attrition Modeling'!$B:$B,$E100,'Attrition Modeling'!$C:$C,BP$68),VLOOKUP(BP$69-$F100-1,$A$7:$C$161,2,FALSE)*VLOOKUP(BP$1,'Attrition Modeling'!$L$15:$N$27,IF(BP$2-$F33&lt;=24,2,3),FALSE))*(1+Projection!BW$16)*(1+IF(BP165&gt;0,'Attrition Modeling'!$N$9,0))),0))</f>
        <v>1531.4629751852788</v>
      </c>
      <c r="BQ100" s="799">
        <f>IF(BQ$69=$F100+1,IF(Monthly!BM$4=TRUE,0,Monthly!BM$17),IF(BQ$69&gt;$F100+1,BP100*(1-IF(BQ$69-$F100&lt;=12,SUMIFS('Attrition Modeling'!$D:$D,'Attrition Modeling'!$B:$B,$E100,'Attrition Modeling'!$C:$C,BQ$68),VLOOKUP(BQ$69-$F100-1,$A$7:$C$161,2,FALSE)*VLOOKUP(BQ$1,'Attrition Modeling'!$L$15:$N$27,IF(BQ$2-$F33&lt;=24,2,3),FALSE))*(1+Projection!BX$16)*(1+IF(BQ165&gt;0,'Attrition Modeling'!$N$9,0))),0))</f>
        <v>1483.7912036103651</v>
      </c>
      <c r="BR100" s="799">
        <f>IF(BR$69=$F100+1,IF(Monthly!BN$4=TRUE,0,Monthly!BN$17),IF(BR$69&gt;$F100+1,BQ100*(1-IF(BR$69-$F100&lt;=12,SUMIFS('Attrition Modeling'!$D:$D,'Attrition Modeling'!$B:$B,$E100,'Attrition Modeling'!$C:$C,BR$68),VLOOKUP(BR$69-$F100-1,$A$7:$C$161,2,FALSE)*VLOOKUP(BR$1,'Attrition Modeling'!$L$15:$N$27,IF(BR$2-$F33&lt;=24,2,3),FALSE))*(1+Projection!BY$16)*(1+IF(BR165&gt;0,'Attrition Modeling'!$N$9,0))),0))</f>
        <v>1440.0633387645873</v>
      </c>
      <c r="BS100" s="799">
        <f>IF(BS$69=$F100+1,IF(Monthly!BO$4=TRUE,0,Monthly!BO$17),IF(BS$69&gt;$F100+1,BR100*(1-IF(BS$69-$F100&lt;=12,SUMIFS('Attrition Modeling'!$D:$D,'Attrition Modeling'!$B:$B,$E100,'Attrition Modeling'!$C:$C,BS$68),VLOOKUP(BS$69-$F100-1,$A$7:$C$161,2,FALSE)*VLOOKUP(BS$1,'Attrition Modeling'!$L$15:$N$27,IF(BS$2-$F33&lt;=24,2,3),FALSE))*(1+Projection!BZ$16)*(1+IF(BS165&gt;0,'Attrition Modeling'!$N$9,0))),0))</f>
        <v>1406.7002968848988</v>
      </c>
      <c r="BT100" s="799">
        <f>IF(BT$69=$F100+1,IF(Monthly!#REF!=TRUE,0,Monthly!#REF!),IF(BT$69&gt;$F100+1,BS100*(1-IF(BT$69-$F100&lt;=12,SUMIFS('Attrition Modeling'!$D:$D,'Attrition Modeling'!$B:$B,$E100,'Attrition Modeling'!$C:$C,BT$68),VLOOKUP(BT$69-$F100-1,$A$7:$C$161,2,FALSE)*VLOOKUP(BT$1,'Attrition Modeling'!$L$15:$N$27,IF(BT$2-$F33&lt;=24,2,3),FALSE))*(1+Projection!CA$16)*(1+IF(BT165&gt;0,'Attrition Modeling'!$N$9,0))),0))</f>
        <v>1367.7980803656465</v>
      </c>
      <c r="BU100" s="799">
        <f>IF(BU$69=$F100+1,IF(Monthly!#REF!=TRUE,0,Monthly!#REF!),IF(BU$69&gt;$F100+1,BT100*(1-IF(BU$69-$F100&lt;=12,SUMIFS('Attrition Modeling'!$D:$D,'Attrition Modeling'!$B:$B,$E100,'Attrition Modeling'!$C:$C,BU$68),VLOOKUP(BU$69-$F100-1,$A$7:$C$161,2,FALSE)*VLOOKUP(BU$1,'Attrition Modeling'!$L$15:$N$27,IF(BU$2-$F33&lt;=24,2,3),FALSE))*(1+Projection!CB$16)*(1+IF(BU165&gt;0,'Attrition Modeling'!$N$9,0))),0))</f>
        <v>1325.1033718938213</v>
      </c>
    </row>
    <row r="101" spans="1:73" ht="14.25" customHeight="1" x14ac:dyDescent="0.2">
      <c r="A101" s="9">
        <v>94</v>
      </c>
      <c r="B101" s="25">
        <f>MAX('Attrition Modeling'!H98,$C$3)*(1-Summary!$C$20)</f>
        <v>0.02</v>
      </c>
      <c r="C101" s="24" t="e">
        <f t="shared" si="4"/>
        <v>#DIV/0!</v>
      </c>
      <c r="E101" s="11">
        <f t="shared" si="9"/>
        <v>7</v>
      </c>
      <c r="F101" s="11">
        <f t="shared" si="10"/>
        <v>31</v>
      </c>
      <c r="G101" s="799"/>
      <c r="H101" s="799">
        <f>IF(H$69=$F101+1,IF(Monthly!D$4=TRUE,0,Monthly!D$17),IF(H$69&gt;$F101+1,G101*(1-IF(H$69-$F101&lt;=12,SUMIFS('Attrition Modeling'!$D:$D,'Attrition Modeling'!$B:$B,$E101,'Attrition Modeling'!$C:$C,H$68),VLOOKUP(H$69-$F101-1,$A$7:$C$161,2,FALSE)*VLOOKUP(H$1,'Attrition Modeling'!$L$15:$N$27,IF(H$2-$F34&lt;=24,2,3),FALSE))*(1+Projection!J$16)*(1+IF(H166&gt;0,'Attrition Modeling'!$N$9,0))),0))</f>
        <v>0</v>
      </c>
      <c r="I101" s="799">
        <f>IF(I$69=$F101+1,IF(Monthly!E$4=TRUE,0,Monthly!E$17),IF(I$69&gt;$F101+1,H101*(1-IF(I$69-$F101&lt;=12,SUMIFS('Attrition Modeling'!$D:$D,'Attrition Modeling'!$B:$B,$E101,'Attrition Modeling'!$C:$C,I$68),VLOOKUP(I$69-$F101-1,$A$7:$C$161,2,FALSE)*VLOOKUP(I$1,'Attrition Modeling'!$L$15:$N$27,IF(I$2-$F34&lt;=24,2,3),FALSE))*(1+Projection!K$16)*(1+IF(I166&gt;0,'Attrition Modeling'!$N$9,0))),0))</f>
        <v>0</v>
      </c>
      <c r="J101" s="799">
        <f>IF(J$69=$F101+1,IF(Monthly!F$4=TRUE,0,Monthly!F$17),IF(J$69&gt;$F101+1,I101*(1-IF(J$69-$F101&lt;=12,SUMIFS('Attrition Modeling'!$D:$D,'Attrition Modeling'!$B:$B,$E101,'Attrition Modeling'!$C:$C,J$68),VLOOKUP(J$69-$F101-1,$A$7:$C$161,2,FALSE)*VLOOKUP(J$1,'Attrition Modeling'!$L$15:$N$27,IF(J$2-$F34&lt;=24,2,3),FALSE))*(1+Projection!L$16)*(1+IF(J166&gt;0,'Attrition Modeling'!$N$9,0))),0))</f>
        <v>0</v>
      </c>
      <c r="K101" s="799">
        <f>IF(K$69=$F101+1,IF(Monthly!G$4=TRUE,0,Monthly!G$17),IF(K$69&gt;$F101+1,J101*(1-IF(K$69-$F101&lt;=12,SUMIFS('Attrition Modeling'!$D:$D,'Attrition Modeling'!$B:$B,$E101,'Attrition Modeling'!$C:$C,K$68),VLOOKUP(K$69-$F101-1,$A$7:$C$161,2,FALSE)*VLOOKUP(K$1,'Attrition Modeling'!$L$15:$N$27,IF(K$2-$F34&lt;=24,2,3),FALSE))*(1+Projection!M$16)*(1+IF(K166&gt;0,'Attrition Modeling'!$N$9,0))),0))</f>
        <v>0</v>
      </c>
      <c r="L101" s="799">
        <f>IF(L$69=$F101+1,IF(Monthly!H$4=TRUE,0,Monthly!H$17),IF(L$69&gt;$F101+1,K101*(1-IF(L$69-$F101&lt;=12,SUMIFS('Attrition Modeling'!$D:$D,'Attrition Modeling'!$B:$B,$E101,'Attrition Modeling'!$C:$C,L$68),VLOOKUP(L$69-$F101-1,$A$7:$C$161,2,FALSE)*VLOOKUP(L$1,'Attrition Modeling'!$L$15:$N$27,IF(L$2-$F34&lt;=24,2,3),FALSE))*(1+Projection!N$16)*(1+IF(L166&gt;0,'Attrition Modeling'!$N$9,0))),0))</f>
        <v>0</v>
      </c>
      <c r="M101" s="799">
        <f>IF(M$69=$F101+1,IF(Monthly!I$4=TRUE,0,Monthly!I$17),IF(M$69&gt;$F101+1,L101*(1-IF(M$69-$F101&lt;=12,SUMIFS('Attrition Modeling'!$D:$D,'Attrition Modeling'!$B:$B,$E101,'Attrition Modeling'!$C:$C,M$68),VLOOKUP(M$69-$F101-1,$A$7:$C$161,2,FALSE)*VLOOKUP(M$1,'Attrition Modeling'!$L$15:$N$27,IF(M$2-$F34&lt;=24,2,3),FALSE))*(1+Projection!O$16)*(1+IF(M166&gt;0,'Attrition Modeling'!$N$9,0))),0))</f>
        <v>0</v>
      </c>
      <c r="N101" s="799">
        <f>IF(N$69=$F101+1,IF(Monthly!J$4=TRUE,0,Monthly!J$17),IF(N$69&gt;$F101+1,M101*(1-IF(N$69-$F101&lt;=12,SUMIFS('Attrition Modeling'!$D:$D,'Attrition Modeling'!$B:$B,$E101,'Attrition Modeling'!$C:$C,N$68),VLOOKUP(N$69-$F101-1,$A$7:$C$161,2,FALSE)*VLOOKUP(N$1,'Attrition Modeling'!$L$15:$N$27,IF(N$2-$F34&lt;=24,2,3),FALSE))*(1+Projection!P$16)*(1+IF(N166&gt;0,'Attrition Modeling'!$N$9,0))),0))</f>
        <v>0</v>
      </c>
      <c r="O101" s="799">
        <f>IF(O$69=$F101+1,IF(Monthly!K$4=TRUE,0,Monthly!K$17),IF(O$69&gt;$F101+1,N101*(1-IF(O$69-$F101&lt;=12,SUMIFS('Attrition Modeling'!$D:$D,'Attrition Modeling'!$B:$B,$E101,'Attrition Modeling'!$C:$C,O$68),VLOOKUP(O$69-$F101-1,$A$7:$C$161,2,FALSE)*VLOOKUP(O$1,'Attrition Modeling'!$L$15:$N$27,IF(O$2-$F34&lt;=24,2,3),FALSE))*(1+Projection!Q$16)*(1+IF(O166&gt;0,'Attrition Modeling'!$N$9,0))),0))</f>
        <v>0</v>
      </c>
      <c r="P101" s="799">
        <f>IF(P$69=$F101+1,IF(Monthly!L$4=TRUE,0,Monthly!L$17),IF(P$69&gt;$F101+1,O101*(1-IF(P$69-$F101&lt;=12,SUMIFS('Attrition Modeling'!$D:$D,'Attrition Modeling'!$B:$B,$E101,'Attrition Modeling'!$C:$C,P$68),VLOOKUP(P$69-$F101-1,$A$7:$C$161,2,FALSE)*VLOOKUP(P$1,'Attrition Modeling'!$L$15:$N$27,IF(P$2-$F34&lt;=24,2,3),FALSE))*(1+Projection!R$16)*(1+IF(P166&gt;0,'Attrition Modeling'!$N$9,0))),0))</f>
        <v>0</v>
      </c>
      <c r="Q101" s="799">
        <f>IF(Q$69=$F101+1,IF(Monthly!M$4=TRUE,0,Monthly!M$17),IF(Q$69&gt;$F101+1,P101*(1-IF(Q$69-$F101&lt;=12,SUMIFS('Attrition Modeling'!$D:$D,'Attrition Modeling'!$B:$B,$E101,'Attrition Modeling'!$C:$C,Q$68),VLOOKUP(Q$69-$F101-1,$A$7:$C$161,2,FALSE)*VLOOKUP(Q$1,'Attrition Modeling'!$L$15:$N$27,IF(Q$2-$F34&lt;=24,2,3),FALSE))*(1+Projection!S$16)*(1+IF(Q166&gt;0,'Attrition Modeling'!$N$9,0))),0))</f>
        <v>0</v>
      </c>
      <c r="R101" s="799">
        <f>IF(R$69=$F101+1,IF(Monthly!N$4=TRUE,0,Monthly!N$17),IF(R$69&gt;$F101+1,Q101*(1-IF(R$69-$F101&lt;=12,SUMIFS('Attrition Modeling'!$D:$D,'Attrition Modeling'!$B:$B,$E101,'Attrition Modeling'!$C:$C,R$68),VLOOKUP(R$69-$F101-1,$A$7:$C$161,2,FALSE)*VLOOKUP(R$1,'Attrition Modeling'!$L$15:$N$27,IF(R$2-$F34&lt;=24,2,3),FALSE))*(1+Projection!T$16)*(1+IF(R166&gt;0,'Attrition Modeling'!$N$9,0))),0))</f>
        <v>0</v>
      </c>
      <c r="S101" s="799">
        <f>IF(S$69=$F101+1,IF(Monthly!O$4=TRUE,0,Monthly!O$17),IF(S$69&gt;$F101+1,R101*(1-IF(S$69-$F101&lt;=12,SUMIFS('Attrition Modeling'!$D:$D,'Attrition Modeling'!$B:$B,$E101,'Attrition Modeling'!$C:$C,S$68),VLOOKUP(S$69-$F101-1,$A$7:$C$161,2,FALSE)*VLOOKUP(S$1,'Attrition Modeling'!$L$15:$N$27,IF(S$2-$F34&lt;=24,2,3),FALSE))*(1+Projection!U$16)*(1+IF(S166&gt;0,'Attrition Modeling'!$N$9,0))),0))</f>
        <v>0</v>
      </c>
      <c r="T101" s="799">
        <f>IF(T$69=$F101+1,IF(Monthly!P$4=TRUE,0,Monthly!P$17),IF(T$69&gt;$F101+1,S101*(1-IF(T$69-$F101&lt;=12,SUMIFS('Attrition Modeling'!$D:$D,'Attrition Modeling'!$B:$B,$E101,'Attrition Modeling'!$C:$C,T$68),VLOOKUP(T$69-$F101-1,$A$7:$C$161,2,FALSE)*VLOOKUP(T$1,'Attrition Modeling'!$L$15:$N$27,IF(T$2-$F34&lt;=24,2,3),FALSE))*(1+Projection!V$16)*(1+IF(T166&gt;0,'Attrition Modeling'!$N$9,0))),0))</f>
        <v>0</v>
      </c>
      <c r="U101" s="799">
        <f>IF(U$69=$F101+1,IF(Monthly!Q$4=TRUE,0,Monthly!Q$17),IF(U$69&gt;$F101+1,T101*(1-IF(U$69-$F101&lt;=12,SUMIFS('Attrition Modeling'!$D:$D,'Attrition Modeling'!$B:$B,$E101,'Attrition Modeling'!$C:$C,U$68),VLOOKUP(U$69-$F101-1,$A$7:$C$161,2,FALSE)*VLOOKUP(U$1,'Attrition Modeling'!$L$15:$N$27,IF(U$2-$F34&lt;=24,2,3),FALSE))*(1+Projection!W$16)*(1+IF(U166&gt;0,'Attrition Modeling'!$N$9,0))),0))</f>
        <v>0</v>
      </c>
      <c r="V101" s="799">
        <f>IF(V$69=$F101+1,IF(Monthly!R$4=TRUE,0,Monthly!R$17),IF(V$69&gt;$F101+1,U101*(1-IF(V$69-$F101&lt;=12,SUMIFS('Attrition Modeling'!$D:$D,'Attrition Modeling'!$B:$B,$E101,'Attrition Modeling'!$C:$C,V$68),VLOOKUP(V$69-$F101-1,$A$7:$C$161,2,FALSE)*VLOOKUP(V$1,'Attrition Modeling'!$L$15:$N$27,IF(V$2-$F34&lt;=24,2,3),FALSE))*(1+Projection!X$16)*(1+IF(V166&gt;0,'Attrition Modeling'!$N$9,0))),0))</f>
        <v>0</v>
      </c>
      <c r="W101" s="799">
        <f>IF(W$69=$F101+1,IF(Monthly!S$4=TRUE,0,Monthly!S$17),IF(W$69&gt;$F101+1,V101*(1-IF(W$69-$F101&lt;=12,SUMIFS('Attrition Modeling'!$D:$D,'Attrition Modeling'!$B:$B,$E101,'Attrition Modeling'!$C:$C,W$68),VLOOKUP(W$69-$F101-1,$A$7:$C$161,2,FALSE)*VLOOKUP(W$1,'Attrition Modeling'!$L$15:$N$27,IF(W$2-$F34&lt;=24,2,3),FALSE))*(1+Projection!Y$16)*(1+IF(W166&gt;0,'Attrition Modeling'!$N$9,0))),0))</f>
        <v>0</v>
      </c>
      <c r="X101" s="799">
        <f>IF(X$69=$F101+1,IF(Monthly!T$4=TRUE,0,Monthly!T$17),IF(X$69&gt;$F101+1,W101*(1-IF(X$69-$F101&lt;=12,SUMIFS('Attrition Modeling'!$D:$D,'Attrition Modeling'!$B:$B,$E101,'Attrition Modeling'!$C:$C,X$68),VLOOKUP(X$69-$F101-1,$A$7:$C$161,2,FALSE)*VLOOKUP(X$1,'Attrition Modeling'!$L$15:$N$27,IF(X$2-$F34&lt;=24,2,3),FALSE))*(1+Projection!Z$16)*(1+IF(X166&gt;0,'Attrition Modeling'!$N$9,0))),0))</f>
        <v>0</v>
      </c>
      <c r="Y101" s="799">
        <f>IF(Y$69=$F101+1,IF(Monthly!U$4=TRUE,0,Monthly!U$17),IF(Y$69&gt;$F101+1,X101*(1-IF(Y$69-$F101&lt;=12,SUMIFS('Attrition Modeling'!$D:$D,'Attrition Modeling'!$B:$B,$E101,'Attrition Modeling'!$C:$C,Y$68),VLOOKUP(Y$69-$F101-1,$A$7:$C$161,2,FALSE)*VLOOKUP(Y$1,'Attrition Modeling'!$L$15:$N$27,IF(Y$2-$F34&lt;=24,2,3),FALSE))*(1+Projection!AA$16)*(1+IF(Y166&gt;0,'Attrition Modeling'!$N$9,0))),0))</f>
        <v>0</v>
      </c>
      <c r="Z101" s="799">
        <f>IF(Z$69=$F101+1,IF(Monthly!V$4=TRUE,0,Monthly!V$17),IF(Z$69&gt;$F101+1,Y101*(1-IF(Z$69-$F101&lt;=12,SUMIFS('Attrition Modeling'!$D:$D,'Attrition Modeling'!$B:$B,$E101,'Attrition Modeling'!$C:$C,Z$68),VLOOKUP(Z$69-$F101-1,$A$7:$C$161,2,FALSE)*VLOOKUP(Z$1,'Attrition Modeling'!$L$15:$N$27,IF(Z$2-$F34&lt;=24,2,3),FALSE))*(1+Projection!AB$16)*(1+IF(Z166&gt;0,'Attrition Modeling'!$N$9,0))),0))</f>
        <v>0</v>
      </c>
      <c r="AA101" s="799">
        <f>IF(AA$69=$F101+1,IF(Monthly!W$4=TRUE,0,Monthly!W$17),IF(AA$69&gt;$F101+1,Z101*(1-IF(AA$69-$F101&lt;=12,SUMIFS('Attrition Modeling'!$D:$D,'Attrition Modeling'!$B:$B,$E101,'Attrition Modeling'!$C:$C,AA$68),VLOOKUP(AA$69-$F101-1,$A$7:$C$161,2,FALSE)*VLOOKUP(AA$1,'Attrition Modeling'!$L$15:$N$27,IF(AA$2-$F34&lt;=24,2,3),FALSE))*(1+Projection!AC$16)*(1+IF(AA166&gt;0,'Attrition Modeling'!$N$9,0))),0))</f>
        <v>0</v>
      </c>
      <c r="AB101" s="799">
        <f>IF(AB$69=$F101+1,IF(Monthly!X$4=TRUE,0,Monthly!X$17),IF(AB$69&gt;$F101+1,AA101*(1-IF(AB$69-$F101&lt;=12,SUMIFS('Attrition Modeling'!$D:$D,'Attrition Modeling'!$B:$B,$E101,'Attrition Modeling'!$C:$C,AB$68),VLOOKUP(AB$69-$F101-1,$A$7:$C$161,2,FALSE)*VLOOKUP(AB$1,'Attrition Modeling'!$L$15:$N$27,IF(AB$2-$F34&lt;=24,2,3),FALSE))*(1+Projection!AD$16)*(1+IF(AB166&gt;0,'Attrition Modeling'!$N$9,0))),0))</f>
        <v>0</v>
      </c>
      <c r="AC101" s="799">
        <f>IF(AC$69=$F101+1,IF(Monthly!Y$4=TRUE,0,Monthly!Y$17),IF(AC$69&gt;$F101+1,AB101*(1-IF(AC$69-$F101&lt;=12,SUMIFS('Attrition Modeling'!$D:$D,'Attrition Modeling'!$B:$B,$E101,'Attrition Modeling'!$C:$C,AC$68),VLOOKUP(AC$69-$F101-1,$A$7:$C$161,2,FALSE)*VLOOKUP(AC$1,'Attrition Modeling'!$L$15:$N$27,IF(AC$2-$F34&lt;=24,2,3),FALSE))*(1+Projection!AE$16)*(1+IF(AC166&gt;0,'Attrition Modeling'!$N$9,0))),0))</f>
        <v>0</v>
      </c>
      <c r="AD101" s="799">
        <f>IF(AD$69=$F101+1,IF(Monthly!Z$4=TRUE,0,Monthly!Z$17),IF(AD$69&gt;$F101+1,AC101*(1-IF(AD$69-$F101&lt;=12,SUMIFS('Attrition Modeling'!$D:$D,'Attrition Modeling'!$B:$B,$E101,'Attrition Modeling'!$C:$C,AD$68),VLOOKUP(AD$69-$F101-1,$A$7:$C$161,2,FALSE)*VLOOKUP(AD$1,'Attrition Modeling'!$L$15:$N$27,IF(AD$2-$F34&lt;=24,2,3),FALSE))*(1+Projection!AF$16)*(1+IF(AD166&gt;0,'Attrition Modeling'!$N$9,0))),0))</f>
        <v>0</v>
      </c>
      <c r="AE101" s="799">
        <f>IF(AE$69=$F101+1,IF(Monthly!AA$4=TRUE,0,Monthly!AA$17),IF(AE$69&gt;$F101+1,AD101*(1-IF(AE$69-$F101&lt;=12,SUMIFS('Attrition Modeling'!$D:$D,'Attrition Modeling'!$B:$B,$E101,'Attrition Modeling'!$C:$C,AE$68),VLOOKUP(AE$69-$F101-1,$A$7:$C$161,2,FALSE)*VLOOKUP(AE$1,'Attrition Modeling'!$L$15:$N$27,IF(AE$2-$F34&lt;=24,2,3),FALSE))*(1+Projection!AG$16)*(1+IF(AE166&gt;0,'Attrition Modeling'!$N$9,0))),0))</f>
        <v>0</v>
      </c>
      <c r="AF101" s="799">
        <f>IF(AF$69=$F101+1,IF(Monthly!AB$4=TRUE,0,Monthly!AB$17),IF(AF$69&gt;$F101+1,AE101*(1-IF(AF$69-$F101&lt;=12,SUMIFS('Attrition Modeling'!$D:$D,'Attrition Modeling'!$B:$B,$E101,'Attrition Modeling'!$C:$C,AF$68),VLOOKUP(AF$69-$F101-1,$A$7:$C$161,2,FALSE)*VLOOKUP(AF$1,'Attrition Modeling'!$L$15:$N$27,IF(AF$2-$F34&lt;=24,2,3),FALSE))*(1+Projection!AH$16)*(1+IF(AF166&gt;0,'Attrition Modeling'!$N$9,0))),0))</f>
        <v>0</v>
      </c>
      <c r="AG101" s="799">
        <f>IF(AG$69=$F101+1,IF(Monthly!AC$4=TRUE,0,Monthly!AC$17),IF(AG$69&gt;$F101+1,AF101*(1-IF(AG$69-$F101&lt;=12,SUMIFS('Attrition Modeling'!$D:$D,'Attrition Modeling'!$B:$B,$E101,'Attrition Modeling'!$C:$C,AG$68),VLOOKUP(AG$69-$F101-1,$A$7:$C$161,2,FALSE)*VLOOKUP(AG$1,'Attrition Modeling'!$L$15:$N$27,IF(AG$2-$F34&lt;=24,2,3),FALSE))*(1+Projection!AI$16)*(1+IF(AG166&gt;0,'Attrition Modeling'!$N$9,0))),0))</f>
        <v>0</v>
      </c>
      <c r="AH101" s="799">
        <f>IF(AH$69=$F101+1,IF(Monthly!AD$4=TRUE,0,Monthly!AD$17),IF(AH$69&gt;$F101+1,AG101*(1-IF(AH$69-$F101&lt;=12,SUMIFS('Attrition Modeling'!$D:$D,'Attrition Modeling'!$B:$B,$E101,'Attrition Modeling'!$C:$C,AH$68),VLOOKUP(AH$69-$F101-1,$A$7:$C$161,2,FALSE)*VLOOKUP(AH$1,'Attrition Modeling'!$L$15:$N$27,IF(AH$2-$F34&lt;=24,2,3),FALSE))*(1+Projection!AJ$16)*(1+IF(AH166&gt;0,'Attrition Modeling'!$N$9,0))),0))</f>
        <v>0</v>
      </c>
      <c r="AI101" s="799">
        <f>IF(AI$69=$F101+1,IF(Monthly!AE$4=TRUE,0,Monthly!AE$17),IF(AI$69&gt;$F101+1,AH101*(1-IF(AI$69-$F101&lt;=12,SUMIFS('Attrition Modeling'!$D:$D,'Attrition Modeling'!$B:$B,$E101,'Attrition Modeling'!$C:$C,AI$68),VLOOKUP(AI$69-$F101-1,$A$7:$C$161,2,FALSE)*VLOOKUP(AI$1,'Attrition Modeling'!$L$15:$N$27,IF(AI$2-$F34&lt;=24,2,3),FALSE))*(1+Projection!AK$16)*(1+IF(AI166&gt;0,'Attrition Modeling'!$N$9,0))),0))</f>
        <v>0</v>
      </c>
      <c r="AJ101" s="799">
        <f>IF(AJ$69=$F101+1,IF(Monthly!AF$4=TRUE,0,Monthly!AF$17),IF(AJ$69&gt;$F101+1,AI101*(1-IF(AJ$69-$F101&lt;=12,SUMIFS('Attrition Modeling'!$D:$D,'Attrition Modeling'!$B:$B,$E101,'Attrition Modeling'!$C:$C,AJ$68),VLOOKUP(AJ$69-$F101-1,$A$7:$C$161,2,FALSE)*VLOOKUP(AJ$1,'Attrition Modeling'!$L$15:$N$27,IF(AJ$2-$F34&lt;=24,2,3),FALSE))*(1+Projection!AL$16)*(1+IF(AJ166&gt;0,'Attrition Modeling'!$N$9,0))),0))</f>
        <v>0</v>
      </c>
      <c r="AK101" s="799">
        <f>IF(AK$69=$F101+1,IF(Monthly!AG$4=TRUE,0,Monthly!AG$17),IF(AK$69&gt;$F101+1,AJ101*(1-IF(AK$69-$F101&lt;=12,SUMIFS('Attrition Modeling'!$D:$D,'Attrition Modeling'!$B:$B,$E101,'Attrition Modeling'!$C:$C,AK$68),VLOOKUP(AK$69-$F101-1,$A$7:$C$161,2,FALSE)*VLOOKUP(AK$1,'Attrition Modeling'!$L$15:$N$27,IF(AK$2-$F34&lt;=24,2,3),FALSE))*(1+Projection!AM$16)*(1+IF(AK166&gt;0,'Attrition Modeling'!$N$9,0))),0))</f>
        <v>0</v>
      </c>
      <c r="AL101" s="799">
        <f>IF(AL$69=$F101+1,IF(Monthly!AH$4=TRUE,0,Monthly!AH$17),IF(AL$69&gt;$F101+1,AK101*(1-IF(AL$69-$F101&lt;=12,SUMIFS('Attrition Modeling'!$D:$D,'Attrition Modeling'!$B:$B,$E101,'Attrition Modeling'!$C:$C,AL$68),VLOOKUP(AL$69-$F101-1,$A$7:$C$161,2,FALSE)*VLOOKUP(AL$1,'Attrition Modeling'!$L$15:$N$27,IF(AL$2-$F34&lt;=24,2,3),FALSE))*(1+Projection!AN$16)*(1+IF(AL166&gt;0,'Attrition Modeling'!$N$9,0))),0))</f>
        <v>0</v>
      </c>
      <c r="AM101" s="799">
        <f>IF(AM$69=$F101+1,IF(Monthly!AI$4=TRUE,0,Monthly!AI$17),IF(AM$69&gt;$F101+1,AL101*(1-IF(AM$69-$F101&lt;=12,SUMIFS('Attrition Modeling'!$D:$D,'Attrition Modeling'!$B:$B,$E101,'Attrition Modeling'!$C:$C,AM$68),VLOOKUP(AM$69-$F101-1,$A$7:$C$161,2,FALSE)*VLOOKUP(AM$1,'Attrition Modeling'!$L$15:$N$27,IF(AM$2-$F34&lt;=24,2,3),FALSE))*(1+Projection!AO$16)*(1+IF(AM166&gt;0,'Attrition Modeling'!$N$9,0))),0))</f>
        <v>8737.785224895837</v>
      </c>
      <c r="AN101" s="799">
        <f>IF(AN$69=$F101+1,IF(Monthly!AJ$4=TRUE,0,Monthly!AJ$17),IF(AN$69&gt;$F101+1,AM101*(1-IF(AN$69-$F101&lt;=12,SUMIFS('Attrition Modeling'!$D:$D,'Attrition Modeling'!$B:$B,$E101,'Attrition Modeling'!$C:$C,AN$68),VLOOKUP(AN$69-$F101-1,$A$7:$C$161,2,FALSE)*VLOOKUP(AN$1,'Attrition Modeling'!$L$15:$N$27,IF(AN$2-$F34&lt;=24,2,3),FALSE))*(1+Projection!AP$16)*(1+IF(AN166&gt;0,'Attrition Modeling'!$N$9,0))),0))</f>
        <v>7738.2970601542002</v>
      </c>
      <c r="AO101" s="799">
        <f>IF(AO$69=$F101+1,IF(Monthly!AK$4=TRUE,0,Monthly!AK$17),IF(AO$69&gt;$F101+1,AN101*(1-IF(AO$69-$F101&lt;=12,SUMIFS('Attrition Modeling'!$D:$D,'Attrition Modeling'!$B:$B,$E101,'Attrition Modeling'!$C:$C,AO$68),VLOOKUP(AO$69-$F101-1,$A$7:$C$161,2,FALSE)*VLOOKUP(AO$1,'Attrition Modeling'!$L$15:$N$27,IF(AO$2-$F34&lt;=24,2,3),FALSE))*(1+Projection!AQ$16)*(1+IF(AO166&gt;0,'Attrition Modeling'!$N$9,0))),0))</f>
        <v>6988.657502897734</v>
      </c>
      <c r="AP101" s="799">
        <f>IF(AP$69=$F101+1,IF(Monthly!AL$4=TRUE,0,Monthly!AL$17),IF(AP$69&gt;$F101+1,AO101*(1-IF(AP$69-$F101&lt;=12,SUMIFS('Attrition Modeling'!$D:$D,'Attrition Modeling'!$B:$B,$E101,'Attrition Modeling'!$C:$C,AP$68),VLOOKUP(AP$69-$F101-1,$A$7:$C$161,2,FALSE)*VLOOKUP(AP$1,'Attrition Modeling'!$L$15:$N$27,IF(AP$2-$F34&lt;=24,2,3),FALSE))*(1+Projection!AR$16)*(1+IF(AP166&gt;0,'Attrition Modeling'!$N$9,0))),0))</f>
        <v>6350.4053575426433</v>
      </c>
      <c r="AQ101" s="799">
        <f>IF(AQ$69=$F101+1,IF(Monthly!AM$4=TRUE,0,Monthly!AM$17),IF(AQ$69&gt;$F101+1,AP101*(1-IF(AQ$69-$F101&lt;=12,SUMIFS('Attrition Modeling'!$D:$D,'Attrition Modeling'!$B:$B,$E101,'Attrition Modeling'!$C:$C,AQ$68),VLOOKUP(AQ$69-$F101-1,$A$7:$C$161,2,FALSE)*VLOOKUP(AQ$1,'Attrition Modeling'!$L$15:$N$27,IF(AQ$2-$F34&lt;=24,2,3),FALSE))*(1+Projection!AS$16)*(1+IF(AQ166&gt;0,'Attrition Modeling'!$N$9,0))),0))</f>
        <v>5834.763238199288</v>
      </c>
      <c r="AR101" s="799">
        <f>IF(AR$69=$F101+1,IF(Monthly!AN$4=TRUE,0,Monthly!AN$17),IF(AR$69&gt;$F101+1,AQ101*(1-IF(AR$69-$F101&lt;=12,SUMIFS('Attrition Modeling'!$D:$D,'Attrition Modeling'!$B:$B,$E101,'Attrition Modeling'!$C:$C,AR$68),VLOOKUP(AR$69-$F101-1,$A$7:$C$161,2,FALSE)*VLOOKUP(AR$1,'Attrition Modeling'!$L$15:$N$27,IF(AR$2-$F34&lt;=24,2,3),FALSE))*(1+Projection!AT$16)*(1+IF(AR166&gt;0,'Attrition Modeling'!$N$9,0))),0))</f>
        <v>5292.8366601624766</v>
      </c>
      <c r="AS101" s="799">
        <f>IF(AS$69=$F101+1,IF(Monthly!AO$4=TRUE,0,Monthly!AO$17),IF(AS$69&gt;$F101+1,AR101*(1-IF(AS$69-$F101&lt;=12,SUMIFS('Attrition Modeling'!$D:$D,'Attrition Modeling'!$B:$B,$E101,'Attrition Modeling'!$C:$C,AS$68),VLOOKUP(AS$69-$F101-1,$A$7:$C$161,2,FALSE)*VLOOKUP(AS$1,'Attrition Modeling'!$L$15:$N$27,IF(AS$2-$F34&lt;=24,2,3),FALSE))*(1+Projection!AU$16)*(1+IF(AS166&gt;0,'Attrition Modeling'!$N$9,0))),0))</f>
        <v>4959.0631821147736</v>
      </c>
      <c r="AT101" s="799">
        <f>IF(AT$69=$F101+1,IF(Monthly!AP$4=TRUE,0,Monthly!AP$17),IF(AT$69&gt;$F101+1,AS101*(1-IF(AT$69-$F101&lt;=12,SUMIFS('Attrition Modeling'!$D:$D,'Attrition Modeling'!$B:$B,$E101,'Attrition Modeling'!$C:$C,AT$68),VLOOKUP(AT$69-$F101-1,$A$7:$C$161,2,FALSE)*VLOOKUP(AT$1,'Attrition Modeling'!$L$15:$N$27,IF(AT$2-$F34&lt;=24,2,3),FALSE))*(1+Projection!AV$16)*(1+IF(AT166&gt;0,'Attrition Modeling'!$N$9,0))),0))</f>
        <v>4636.6488462888401</v>
      </c>
      <c r="AU101" s="799">
        <f>IF(AU$69=$F101+1,IF(Monthly!AQ$4=TRUE,0,Monthly!AQ$17),IF(AU$69&gt;$F101+1,AT101*(1-IF(AU$69-$F101&lt;=12,SUMIFS('Attrition Modeling'!$D:$D,'Attrition Modeling'!$B:$B,$E101,'Attrition Modeling'!$C:$C,AU$68),VLOOKUP(AU$69-$F101-1,$A$7:$C$161,2,FALSE)*VLOOKUP(AU$1,'Attrition Modeling'!$L$15:$N$27,IF(AU$2-$F34&lt;=24,2,3),FALSE))*(1+Projection!AW$16)*(1+IF(AU166&gt;0,'Attrition Modeling'!$N$9,0))),0))</f>
        <v>4358.7915901649922</v>
      </c>
      <c r="AV101" s="799">
        <f>IF(AV$69=$F101+1,IF(Monthly!AR$4=TRUE,0,Monthly!AR$17),IF(AV$69&gt;$F101+1,AU101*(1-IF(AV$69-$F101&lt;=12,SUMIFS('Attrition Modeling'!$D:$D,'Attrition Modeling'!$B:$B,$E101,'Attrition Modeling'!$C:$C,AV$68),VLOOKUP(AV$69-$F101-1,$A$7:$C$161,2,FALSE)*VLOOKUP(AV$1,'Attrition Modeling'!$L$15:$N$27,IF(AV$2-$F34&lt;=24,2,3),FALSE))*(1+Projection!AX$16)*(1+IF(AV166&gt;0,'Attrition Modeling'!$N$9,0))),0))</f>
        <v>4116.2179948695139</v>
      </c>
      <c r="AW101" s="799">
        <f>IF(AW$69=$F101+1,IF(Monthly!AS$4=TRUE,0,Monthly!AS$17),IF(AW$69&gt;$F101+1,AV101*(1-IF(AW$69-$F101&lt;=12,SUMIFS('Attrition Modeling'!$D:$D,'Attrition Modeling'!$B:$B,$E101,'Attrition Modeling'!$C:$C,AW$68),VLOOKUP(AW$69-$F101-1,$A$7:$C$161,2,FALSE)*VLOOKUP(AW$1,'Attrition Modeling'!$L$15:$N$27,IF(AW$2-$F34&lt;=24,2,3),FALSE))*(1+Projection!AY$16)*(1+IF(AW166&gt;0,'Attrition Modeling'!$N$9,0))),0))</f>
        <v>3860.3680852605071</v>
      </c>
      <c r="AX101" s="799">
        <f>IF(AX$69=$F101+1,IF(Monthly!AT$4=TRUE,0,Monthly!AT$17),IF(AX$69&gt;$F101+1,AW101*(1-IF(AX$69-$F101&lt;=12,SUMIFS('Attrition Modeling'!$D:$D,'Attrition Modeling'!$B:$B,$E101,'Attrition Modeling'!$C:$C,AX$68),VLOOKUP(AX$69-$F101-1,$A$7:$C$161,2,FALSE)*VLOOKUP(AX$1,'Attrition Modeling'!$L$15:$N$27,IF(AX$2-$F34&lt;=24,2,3),FALSE))*(1+Projection!AZ$16)*(1+IF(AX166&gt;0,'Attrition Modeling'!$N$9,0))),0))</f>
        <v>3732.225444287455</v>
      </c>
      <c r="AY101" s="799">
        <f>IF(AY$69=$F101+1,IF(Monthly!AU$4=TRUE,0,Monthly!AU$17),IF(AY$69&gt;$F101+1,AX101*(1-IF(AY$69-$F101&lt;=12,SUMIFS('Attrition Modeling'!$D:$D,'Attrition Modeling'!$B:$B,$E101,'Attrition Modeling'!$C:$C,AY$68),VLOOKUP(AY$69-$F101-1,$A$7:$C$161,2,FALSE)*VLOOKUP(AY$1,'Attrition Modeling'!$L$15:$N$27,IF(AY$2-$F34&lt;=24,2,3),FALSE))*(1+Projection!BA$16)*(1+IF(AY166&gt;0,'Attrition Modeling'!$N$9,0))),0))</f>
        <v>3506.1789808347717</v>
      </c>
      <c r="AZ101" s="799">
        <f>IF(AZ$69=$F101+1,IF(Monthly!AV$4=TRUE,0,Monthly!AV$17),IF(AZ$69&gt;$F101+1,AY101*(1-IF(AZ$69-$F101&lt;=12,SUMIFS('Attrition Modeling'!$D:$D,'Attrition Modeling'!$B:$B,$E101,'Attrition Modeling'!$C:$C,AZ$68),VLOOKUP(AZ$69-$F101-1,$A$7:$C$161,2,FALSE)*VLOOKUP(AZ$1,'Attrition Modeling'!$L$15:$N$27,IF(AZ$2-$F34&lt;=24,2,3),FALSE))*(1+Projection!BB$16)*(1+IF(AZ166&gt;0,'Attrition Modeling'!$N$9,0))),0))</f>
        <v>3327.495029677309</v>
      </c>
      <c r="BA101" s="799">
        <f>IF(BA$69=$F101+1,IF(Monthly!AW$4=TRUE,0,Monthly!AW$17),IF(BA$69&gt;$F101+1,AZ101*(1-IF(BA$69-$F101&lt;=12,SUMIFS('Attrition Modeling'!$D:$D,'Attrition Modeling'!$B:$B,$E101,'Attrition Modeling'!$C:$C,BA$68),VLOOKUP(BA$69-$F101-1,$A$7:$C$161,2,FALSE)*VLOOKUP(BA$1,'Attrition Modeling'!$L$15:$N$27,IF(BA$2-$F34&lt;=24,2,3),FALSE))*(1+Projection!BC$16)*(1+IF(BA166&gt;0,'Attrition Modeling'!$N$9,0))),0))</f>
        <v>3162.4892738871063</v>
      </c>
      <c r="BB101" s="799">
        <f>IF(BB$69=$F101+1,IF(Monthly!AX$4=TRUE,0,Monthly!AX$17),IF(BB$69&gt;$F101+1,BA101*(1-IF(BB$69-$F101&lt;=12,SUMIFS('Attrition Modeling'!$D:$D,'Attrition Modeling'!$B:$B,$E101,'Attrition Modeling'!$C:$C,BB$68),VLOOKUP(BB$69-$F101-1,$A$7:$C$161,2,FALSE)*VLOOKUP(BB$1,'Attrition Modeling'!$L$15:$N$27,IF(BB$2-$F34&lt;=24,2,3),FALSE))*(1+Projection!BD$16)*(1+IF(BB166&gt;0,'Attrition Modeling'!$N$9,0))),0))</f>
        <v>3017.137564799355</v>
      </c>
      <c r="BC101" s="799">
        <f>IF(BC$69=$F101+1,IF(Monthly!AY$4=TRUE,0,Monthly!AY$17),IF(BC$69&gt;$F101+1,BB101*(1-IF(BC$69-$F101&lt;=12,SUMIFS('Attrition Modeling'!$D:$D,'Attrition Modeling'!$B:$B,$E101,'Attrition Modeling'!$C:$C,BC$68),VLOOKUP(BC$69-$F101-1,$A$7:$C$161,2,FALSE)*VLOOKUP(BC$1,'Attrition Modeling'!$L$15:$N$27,IF(BC$2-$F34&lt;=24,2,3),FALSE))*(1+Projection!BE$16)*(1+IF(BC166&gt;0,'Attrition Modeling'!$N$9,0))),0))</f>
        <v>2883.9585535683032</v>
      </c>
      <c r="BD101" s="799">
        <f>IF(BD$69=$F101+1,IF(Monthly!AZ$4=TRUE,0,Monthly!AZ$17),IF(BD$69&gt;$F101+1,BC101*(1-IF(BD$69-$F101&lt;=12,SUMIFS('Attrition Modeling'!$D:$D,'Attrition Modeling'!$B:$B,$E101,'Attrition Modeling'!$C:$C,BD$68),VLOOKUP(BD$69-$F101-1,$A$7:$C$161,2,FALSE)*VLOOKUP(BD$1,'Attrition Modeling'!$L$15:$N$27,IF(BD$2-$F34&lt;=24,2,3),FALSE))*(1+Projection!BF$16)*(1+IF(BD166&gt;0,'Attrition Modeling'!$N$9,0))),0))</f>
        <v>2734.8455573265774</v>
      </c>
      <c r="BE101" s="799">
        <f>IF(BE$69=$F101+1,IF(Monthly!BA$4=TRUE,0,Monthly!BA$17),IF(BE$69&gt;$F101+1,BD101*(1-IF(BE$69-$F101&lt;=12,SUMIFS('Attrition Modeling'!$D:$D,'Attrition Modeling'!$B:$B,$E101,'Attrition Modeling'!$C:$C,BE$68),VLOOKUP(BE$69-$F101-1,$A$7:$C$161,2,FALSE)*VLOOKUP(BE$1,'Attrition Modeling'!$L$15:$N$27,IF(BE$2-$F34&lt;=24,2,3),FALSE))*(1+Projection!BG$16)*(1+IF(BE166&gt;0,'Attrition Modeling'!$N$9,0))),0))</f>
        <v>2630.8265772421328</v>
      </c>
      <c r="BF101" s="799">
        <f>IF(BF$69=$F101+1,IF(Monthly!BB$4=TRUE,0,Monthly!BB$17),IF(BF$69&gt;$F101+1,BE101*(1-IF(BF$69-$F101&lt;=12,SUMIFS('Attrition Modeling'!$D:$D,'Attrition Modeling'!$B:$B,$E101,'Attrition Modeling'!$C:$C,BF$68),VLOOKUP(BF$69-$F101-1,$A$7:$C$161,2,FALSE)*VLOOKUP(BF$1,'Attrition Modeling'!$L$15:$N$27,IF(BF$2-$F34&lt;=24,2,3),FALSE))*(1+Projection!BH$16)*(1+IF(BF166&gt;0,'Attrition Modeling'!$N$9,0))),0))</f>
        <v>2523.9718519124285</v>
      </c>
      <c r="BG101" s="799">
        <f>IF(BG$69=$F101+1,IF(Monthly!BC$4=TRUE,0,Monthly!BC$17),IF(BG$69&gt;$F101+1,BF101*(1-IF(BG$69-$F101&lt;=12,SUMIFS('Attrition Modeling'!$D:$D,'Attrition Modeling'!$B:$B,$E101,'Attrition Modeling'!$C:$C,BG$68),VLOOKUP(BG$69-$F101-1,$A$7:$C$161,2,FALSE)*VLOOKUP(BG$1,'Attrition Modeling'!$L$15:$N$27,IF(BG$2-$F34&lt;=24,2,3),FALSE))*(1+Projection!BI$16)*(1+IF(BG166&gt;0,'Attrition Modeling'!$N$9,0))),0))</f>
        <v>2424.8986715676783</v>
      </c>
      <c r="BH101" s="799">
        <f>IF(BH$69=$F101+1,IF(Monthly!BD$4=TRUE,0,Monthly!BD$17),IF(BH$69&gt;$F101+1,BG101*(1-IF(BH$69-$F101&lt;=12,SUMIFS('Attrition Modeling'!$D:$D,'Attrition Modeling'!$B:$B,$E101,'Attrition Modeling'!$C:$C,BH$68),VLOOKUP(BH$69-$F101-1,$A$7:$C$161,2,FALSE)*VLOOKUP(BH$1,'Attrition Modeling'!$L$15:$N$27,IF(BH$2-$F34&lt;=24,2,3),FALSE))*(1+Projection!BJ$16)*(1+IF(BH166&gt;0,'Attrition Modeling'!$N$9,0))),0))</f>
        <v>2331.8634964697558</v>
      </c>
      <c r="BI101" s="799">
        <f>IF(BI$69=$F101+1,IF(Monthly!BE$4=TRUE,0,Monthly!BE$17),IF(BI$69&gt;$F101+1,BH101*(1-IF(BI$69-$F101&lt;=12,SUMIFS('Attrition Modeling'!$D:$D,'Attrition Modeling'!$B:$B,$E101,'Attrition Modeling'!$C:$C,BI$68),VLOOKUP(BI$69-$F101-1,$A$7:$C$161,2,FALSE)*VLOOKUP(BI$1,'Attrition Modeling'!$L$15:$N$27,IF(BI$2-$F34&lt;=24,2,3),FALSE))*(1+Projection!BK$16)*(1+IF(BI166&gt;0,'Attrition Modeling'!$N$9,0))),0))</f>
        <v>2235.0447478379506</v>
      </c>
      <c r="BJ101" s="799">
        <f>IF(BJ$69=$F101+1,IF(Monthly!BF$4=TRUE,0,Monthly!BF$17),IF(BJ$69&gt;$F101+1,BI101*(1-IF(BJ$69-$F101&lt;=12,SUMIFS('Attrition Modeling'!$D:$D,'Attrition Modeling'!$B:$B,$E101,'Attrition Modeling'!$C:$C,BJ$68),VLOOKUP(BJ$69-$F101-1,$A$7:$C$161,2,FALSE)*VLOOKUP(BJ$1,'Attrition Modeling'!$L$15:$N$27,IF(BJ$2-$F34&lt;=24,2,3),FALSE))*(1+Projection!BL$16)*(1+IF(BJ166&gt;0,'Attrition Modeling'!$N$9,0))),0))</f>
        <v>2141.3062387046284</v>
      </c>
      <c r="BK101" s="799">
        <f>IF(BK$69=$F101+1,IF(Monthly!BG$4=TRUE,0,Monthly!BG$17),IF(BK$69&gt;$F101+1,BJ101*(1-IF(BK$69-$F101&lt;=12,SUMIFS('Attrition Modeling'!$D:$D,'Attrition Modeling'!$B:$B,$E101,'Attrition Modeling'!$C:$C,BK$68),VLOOKUP(BK$69-$F101-1,$A$7:$C$161,2,FALSE)*VLOOKUP(BK$1,'Attrition Modeling'!$L$15:$N$27,IF(BK$2-$F34&lt;=24,2,3),FALSE))*(1+Projection!BM$16)*(1+IF(BK166&gt;0,'Attrition Modeling'!$N$9,0))),0))</f>
        <v>2047.8058123745263</v>
      </c>
      <c r="BL101" s="799">
        <f>IF(BL$69=$F101+1,IF(Monthly!BH$4=TRUE,0,Monthly!BH$17),IF(BL$69&gt;$F101+1,BK101*(1-IF(BL$69-$F101&lt;=12,SUMIFS('Attrition Modeling'!$D:$D,'Attrition Modeling'!$B:$B,$E101,'Attrition Modeling'!$C:$C,BL$68),VLOOKUP(BL$69-$F101-1,$A$7:$C$161,2,FALSE)*VLOOKUP(BL$1,'Attrition Modeling'!$L$15:$N$27,IF(BL$2-$F34&lt;=24,2,3),FALSE))*(1+Projection!BN$16)*(1+IF(BL166&gt;0,'Attrition Modeling'!$N$9,0))),0))</f>
        <v>1965.0024274678331</v>
      </c>
      <c r="BM101" s="799">
        <f>IF(BM$69=$F101+1,IF(Monthly!BI$4=TRUE,0,Monthly!BI$17),IF(BM$69&gt;$F101+1,BL101*(1-IF(BM$69-$F101&lt;=12,SUMIFS('Attrition Modeling'!$D:$D,'Attrition Modeling'!$B:$B,$E101,'Attrition Modeling'!$C:$C,BM$68),VLOOKUP(BM$69-$F101-1,$A$7:$C$161,2,FALSE)*VLOOKUP(BM$1,'Attrition Modeling'!$L$15:$N$27,IF(BM$2-$F34&lt;=24,2,3),FALSE))*(1+Projection!BO$16)*(1+IF(BM166&gt;0,'Attrition Modeling'!$N$9,0))),0))</f>
        <v>1889.3215159973031</v>
      </c>
      <c r="BN101" s="799">
        <f>IF(BN$69=$F101+1,IF(Monthly!BJ$4=TRUE,0,Monthly!BJ$17),IF(BN$69&gt;$F101+1,BM101*(1-IF(BN$69-$F101&lt;=12,SUMIFS('Attrition Modeling'!$D:$D,'Attrition Modeling'!$B:$B,$E101,'Attrition Modeling'!$C:$C,BN$68),VLOOKUP(BN$69-$F101-1,$A$7:$C$161,2,FALSE)*VLOOKUP(BN$1,'Attrition Modeling'!$L$15:$N$27,IF(BN$2-$F34&lt;=24,2,3),FALSE))*(1+Projection!BP$16)*(1+IF(BN166&gt;0,'Attrition Modeling'!$N$9,0))),0))</f>
        <v>1819.1378193484629</v>
      </c>
      <c r="BO101" s="799">
        <f>IF(BO$69=$F101+1,IF(Monthly!BK$4=TRUE,0,Monthly!BK$17),IF(BO$69&gt;$F101+1,BN101*(1-IF(BO$69-$F101&lt;=12,SUMIFS('Attrition Modeling'!$D:$D,'Attrition Modeling'!$B:$B,$E101,'Attrition Modeling'!$C:$C,BO$68),VLOOKUP(BO$69-$F101-1,$A$7:$C$161,2,FALSE)*VLOOKUP(BO$1,'Attrition Modeling'!$L$15:$N$27,IF(BO$2-$F34&lt;=24,2,3),FALSE))*(1+Projection!BV$16)*(1+IF(BO166&gt;0,'Attrition Modeling'!$N$9,0))),0))</f>
        <v>1764.1656183326929</v>
      </c>
      <c r="BP101" s="799">
        <f>IF(BP$69=$F101+1,IF(Monthly!BL$4=TRUE,0,Monthly!BL$17),IF(BP$69&gt;$F101+1,BO101*(1-IF(BP$69-$F101&lt;=12,SUMIFS('Attrition Modeling'!$D:$D,'Attrition Modeling'!$B:$B,$E101,'Attrition Modeling'!$C:$C,BP$68),VLOOKUP(BP$69-$F101-1,$A$7:$C$161,2,FALSE)*VLOOKUP(BP$1,'Attrition Modeling'!$L$15:$N$27,IF(BP$2-$F34&lt;=24,2,3),FALSE))*(1+Projection!BW$16)*(1+IF(BP166&gt;0,'Attrition Modeling'!$N$9,0))),0))</f>
        <v>1705.8847791487303</v>
      </c>
      <c r="BQ101" s="799">
        <f>IF(BQ$69=$F101+1,IF(Monthly!BM$4=TRUE,0,Monthly!BM$17),IF(BQ$69&gt;$F101+1,BP101*(1-IF(BQ$69-$F101&lt;=12,SUMIFS('Attrition Modeling'!$D:$D,'Attrition Modeling'!$B:$B,$E101,'Attrition Modeling'!$C:$C,BQ$68),VLOOKUP(BQ$69-$F101-1,$A$7:$C$161,2,FALSE)*VLOOKUP(BQ$1,'Attrition Modeling'!$L$15:$N$27,IF(BQ$2-$F34&lt;=24,2,3),FALSE))*(1+Projection!BX$16)*(1+IF(BQ166&gt;0,'Attrition Modeling'!$N$9,0))),0))</f>
        <v>1651.9658394241194</v>
      </c>
      <c r="BR101" s="799">
        <f>IF(BR$69=$F101+1,IF(Monthly!BN$4=TRUE,0,Monthly!BN$17),IF(BR$69&gt;$F101+1,BQ101*(1-IF(BR$69-$F101&lt;=12,SUMIFS('Attrition Modeling'!$D:$D,'Attrition Modeling'!$B:$B,$E101,'Attrition Modeling'!$C:$C,BR$68),VLOOKUP(BR$69-$F101-1,$A$7:$C$161,2,FALSE)*VLOOKUP(BR$1,'Attrition Modeling'!$L$15:$N$27,IF(BR$2-$F34&lt;=24,2,3),FALSE))*(1+Projection!BY$16)*(1+IF(BR166&gt;0,'Attrition Modeling'!$N$9,0))),0))</f>
        <v>1602.5449239419747</v>
      </c>
      <c r="BS101" s="799">
        <f>IF(BS$69=$F101+1,IF(Monthly!BO$4=TRUE,0,Monthly!BO$17),IF(BS$69&gt;$F101+1,BR101*(1-IF(BS$69-$F101&lt;=12,SUMIFS('Attrition Modeling'!$D:$D,'Attrition Modeling'!$B:$B,$E101,'Attrition Modeling'!$C:$C,BS$68),VLOOKUP(BS$69-$F101-1,$A$7:$C$161,2,FALSE)*VLOOKUP(BS$1,'Attrition Modeling'!$L$15:$N$27,IF(BS$2-$F34&lt;=24,2,3),FALSE))*(1+Projection!BZ$16)*(1+IF(BS166&gt;0,'Attrition Modeling'!$N$9,0))),0))</f>
        <v>1564.8647710062514</v>
      </c>
      <c r="BT101" s="799">
        <f>IF(BT$69=$F101+1,IF(Monthly!#REF!=TRUE,0,Monthly!#REF!),IF(BT$69&gt;$F101+1,BS101*(1-IF(BT$69-$F101&lt;=12,SUMIFS('Attrition Modeling'!$D:$D,'Attrition Modeling'!$B:$B,$E101,'Attrition Modeling'!$C:$C,BT$68),VLOOKUP(BT$69-$F101-1,$A$7:$C$161,2,FALSE)*VLOOKUP(BT$1,'Attrition Modeling'!$L$15:$N$27,IF(BT$2-$F34&lt;=24,2,3),FALSE))*(1+Projection!CA$16)*(1+IF(BT166&gt;0,'Attrition Modeling'!$N$9,0))),0))</f>
        <v>1520.9542751805882</v>
      </c>
      <c r="BU101" s="799">
        <f>IF(BU$69=$F101+1,IF(Monthly!#REF!=TRUE,0,Monthly!#REF!),IF(BU$69&gt;$F101+1,BT101*(1-IF(BU$69-$F101&lt;=12,SUMIFS('Attrition Modeling'!$D:$D,'Attrition Modeling'!$B:$B,$E101,'Attrition Modeling'!$C:$C,BU$68),VLOOKUP(BU$69-$F101-1,$A$7:$C$161,2,FALSE)*VLOOKUP(BU$1,'Attrition Modeling'!$L$15:$N$27,IF(BU$2-$F34&lt;=24,2,3),FALSE))*(1+Projection!CB$16)*(1+IF(BU166&gt;0,'Attrition Modeling'!$N$9,0))),0))</f>
        <v>1472.793546145637</v>
      </c>
    </row>
    <row r="102" spans="1:73" ht="14.25" customHeight="1" x14ac:dyDescent="0.2">
      <c r="A102" s="9">
        <v>95</v>
      </c>
      <c r="B102" s="25">
        <f>MAX('Attrition Modeling'!H99,$C$3)*(1-Summary!$C$20)</f>
        <v>0.02</v>
      </c>
      <c r="C102" s="24" t="e">
        <f t="shared" si="4"/>
        <v>#DIV/0!</v>
      </c>
      <c r="E102" s="11">
        <f t="shared" si="9"/>
        <v>8</v>
      </c>
      <c r="F102" s="11">
        <f t="shared" si="10"/>
        <v>32</v>
      </c>
      <c r="G102" s="799"/>
      <c r="H102" s="799">
        <f>IF(H$69=$F102+1,IF(Monthly!D$4=TRUE,0,Monthly!D$17),IF(H$69&gt;$F102+1,G102*(1-IF(H$69-$F102&lt;=12,SUMIFS('Attrition Modeling'!$D:$D,'Attrition Modeling'!$B:$B,$E102,'Attrition Modeling'!$C:$C,H$68),VLOOKUP(H$69-$F102-1,$A$7:$C$161,2,FALSE)*VLOOKUP(H$1,'Attrition Modeling'!$L$15:$N$27,IF(H$2-$F35&lt;=24,2,3),FALSE))*(1+Projection!J$16)*(1+IF(H167&gt;0,'Attrition Modeling'!$N$9,0))),0))</f>
        <v>0</v>
      </c>
      <c r="I102" s="799">
        <f>IF(I$69=$F102+1,IF(Monthly!E$4=TRUE,0,Monthly!E$17),IF(I$69&gt;$F102+1,H102*(1-IF(I$69-$F102&lt;=12,SUMIFS('Attrition Modeling'!$D:$D,'Attrition Modeling'!$B:$B,$E102,'Attrition Modeling'!$C:$C,I$68),VLOOKUP(I$69-$F102-1,$A$7:$C$161,2,FALSE)*VLOOKUP(I$1,'Attrition Modeling'!$L$15:$N$27,IF(I$2-$F35&lt;=24,2,3),FALSE))*(1+Projection!K$16)*(1+IF(I167&gt;0,'Attrition Modeling'!$N$9,0))),0))</f>
        <v>0</v>
      </c>
      <c r="J102" s="799">
        <f>IF(J$69=$F102+1,IF(Monthly!F$4=TRUE,0,Monthly!F$17),IF(J$69&gt;$F102+1,I102*(1-IF(J$69-$F102&lt;=12,SUMIFS('Attrition Modeling'!$D:$D,'Attrition Modeling'!$B:$B,$E102,'Attrition Modeling'!$C:$C,J$68),VLOOKUP(J$69-$F102-1,$A$7:$C$161,2,FALSE)*VLOOKUP(J$1,'Attrition Modeling'!$L$15:$N$27,IF(J$2-$F35&lt;=24,2,3),FALSE))*(1+Projection!L$16)*(1+IF(J167&gt;0,'Attrition Modeling'!$N$9,0))),0))</f>
        <v>0</v>
      </c>
      <c r="K102" s="799">
        <f>IF(K$69=$F102+1,IF(Monthly!G$4=TRUE,0,Monthly!G$17),IF(K$69&gt;$F102+1,J102*(1-IF(K$69-$F102&lt;=12,SUMIFS('Attrition Modeling'!$D:$D,'Attrition Modeling'!$B:$B,$E102,'Attrition Modeling'!$C:$C,K$68),VLOOKUP(K$69-$F102-1,$A$7:$C$161,2,FALSE)*VLOOKUP(K$1,'Attrition Modeling'!$L$15:$N$27,IF(K$2-$F35&lt;=24,2,3),FALSE))*(1+Projection!M$16)*(1+IF(K167&gt;0,'Attrition Modeling'!$N$9,0))),0))</f>
        <v>0</v>
      </c>
      <c r="L102" s="799">
        <f>IF(L$69=$F102+1,IF(Monthly!H$4=TRUE,0,Monthly!H$17),IF(L$69&gt;$F102+1,K102*(1-IF(L$69-$F102&lt;=12,SUMIFS('Attrition Modeling'!$D:$D,'Attrition Modeling'!$B:$B,$E102,'Attrition Modeling'!$C:$C,L$68),VLOOKUP(L$69-$F102-1,$A$7:$C$161,2,FALSE)*VLOOKUP(L$1,'Attrition Modeling'!$L$15:$N$27,IF(L$2-$F35&lt;=24,2,3),FALSE))*(1+Projection!N$16)*(1+IF(L167&gt;0,'Attrition Modeling'!$N$9,0))),0))</f>
        <v>0</v>
      </c>
      <c r="M102" s="799">
        <f>IF(M$69=$F102+1,IF(Monthly!I$4=TRUE,0,Monthly!I$17),IF(M$69&gt;$F102+1,L102*(1-IF(M$69-$F102&lt;=12,SUMIFS('Attrition Modeling'!$D:$D,'Attrition Modeling'!$B:$B,$E102,'Attrition Modeling'!$C:$C,M$68),VLOOKUP(M$69-$F102-1,$A$7:$C$161,2,FALSE)*VLOOKUP(M$1,'Attrition Modeling'!$L$15:$N$27,IF(M$2-$F35&lt;=24,2,3),FALSE))*(1+Projection!O$16)*(1+IF(M167&gt;0,'Attrition Modeling'!$N$9,0))),0))</f>
        <v>0</v>
      </c>
      <c r="N102" s="799">
        <f>IF(N$69=$F102+1,IF(Monthly!J$4=TRUE,0,Monthly!J$17),IF(N$69&gt;$F102+1,M102*(1-IF(N$69-$F102&lt;=12,SUMIFS('Attrition Modeling'!$D:$D,'Attrition Modeling'!$B:$B,$E102,'Attrition Modeling'!$C:$C,N$68),VLOOKUP(N$69-$F102-1,$A$7:$C$161,2,FALSE)*VLOOKUP(N$1,'Attrition Modeling'!$L$15:$N$27,IF(N$2-$F35&lt;=24,2,3),FALSE))*(1+Projection!P$16)*(1+IF(N167&gt;0,'Attrition Modeling'!$N$9,0))),0))</f>
        <v>0</v>
      </c>
      <c r="O102" s="799">
        <f>IF(O$69=$F102+1,IF(Monthly!K$4=TRUE,0,Monthly!K$17),IF(O$69&gt;$F102+1,N102*(1-IF(O$69-$F102&lt;=12,SUMIFS('Attrition Modeling'!$D:$D,'Attrition Modeling'!$B:$B,$E102,'Attrition Modeling'!$C:$C,O$68),VLOOKUP(O$69-$F102-1,$A$7:$C$161,2,FALSE)*VLOOKUP(O$1,'Attrition Modeling'!$L$15:$N$27,IF(O$2-$F35&lt;=24,2,3),FALSE))*(1+Projection!Q$16)*(1+IF(O167&gt;0,'Attrition Modeling'!$N$9,0))),0))</f>
        <v>0</v>
      </c>
      <c r="P102" s="799">
        <f>IF(P$69=$F102+1,IF(Monthly!L$4=TRUE,0,Monthly!L$17),IF(P$69&gt;$F102+1,O102*(1-IF(P$69-$F102&lt;=12,SUMIFS('Attrition Modeling'!$D:$D,'Attrition Modeling'!$B:$B,$E102,'Attrition Modeling'!$C:$C,P$68),VLOOKUP(P$69-$F102-1,$A$7:$C$161,2,FALSE)*VLOOKUP(P$1,'Attrition Modeling'!$L$15:$N$27,IF(P$2-$F35&lt;=24,2,3),FALSE))*(1+Projection!R$16)*(1+IF(P167&gt;0,'Attrition Modeling'!$N$9,0))),0))</f>
        <v>0</v>
      </c>
      <c r="Q102" s="799">
        <f>IF(Q$69=$F102+1,IF(Monthly!M$4=TRUE,0,Monthly!M$17),IF(Q$69&gt;$F102+1,P102*(1-IF(Q$69-$F102&lt;=12,SUMIFS('Attrition Modeling'!$D:$D,'Attrition Modeling'!$B:$B,$E102,'Attrition Modeling'!$C:$C,Q$68),VLOOKUP(Q$69-$F102-1,$A$7:$C$161,2,FALSE)*VLOOKUP(Q$1,'Attrition Modeling'!$L$15:$N$27,IF(Q$2-$F35&lt;=24,2,3),FALSE))*(1+Projection!S$16)*(1+IF(Q167&gt;0,'Attrition Modeling'!$N$9,0))),0))</f>
        <v>0</v>
      </c>
      <c r="R102" s="799">
        <f>IF(R$69=$F102+1,IF(Monthly!N$4=TRUE,0,Monthly!N$17),IF(R$69&gt;$F102+1,Q102*(1-IF(R$69-$F102&lt;=12,SUMIFS('Attrition Modeling'!$D:$D,'Attrition Modeling'!$B:$B,$E102,'Attrition Modeling'!$C:$C,R$68),VLOOKUP(R$69-$F102-1,$A$7:$C$161,2,FALSE)*VLOOKUP(R$1,'Attrition Modeling'!$L$15:$N$27,IF(R$2-$F35&lt;=24,2,3),FALSE))*(1+Projection!T$16)*(1+IF(R167&gt;0,'Attrition Modeling'!$N$9,0))),0))</f>
        <v>0</v>
      </c>
      <c r="S102" s="799">
        <f>IF(S$69=$F102+1,IF(Monthly!O$4=TRUE,0,Monthly!O$17),IF(S$69&gt;$F102+1,R102*(1-IF(S$69-$F102&lt;=12,SUMIFS('Attrition Modeling'!$D:$D,'Attrition Modeling'!$B:$B,$E102,'Attrition Modeling'!$C:$C,S$68),VLOOKUP(S$69-$F102-1,$A$7:$C$161,2,FALSE)*VLOOKUP(S$1,'Attrition Modeling'!$L$15:$N$27,IF(S$2-$F35&lt;=24,2,3),FALSE))*(1+Projection!U$16)*(1+IF(S167&gt;0,'Attrition Modeling'!$N$9,0))),0))</f>
        <v>0</v>
      </c>
      <c r="T102" s="799">
        <f>IF(T$69=$F102+1,IF(Monthly!P$4=TRUE,0,Monthly!P$17),IF(T$69&gt;$F102+1,S102*(1-IF(T$69-$F102&lt;=12,SUMIFS('Attrition Modeling'!$D:$D,'Attrition Modeling'!$B:$B,$E102,'Attrition Modeling'!$C:$C,T$68),VLOOKUP(T$69-$F102-1,$A$7:$C$161,2,FALSE)*VLOOKUP(T$1,'Attrition Modeling'!$L$15:$N$27,IF(T$2-$F35&lt;=24,2,3),FALSE))*(1+Projection!V$16)*(1+IF(T167&gt;0,'Attrition Modeling'!$N$9,0))),0))</f>
        <v>0</v>
      </c>
      <c r="U102" s="799">
        <f>IF(U$69=$F102+1,IF(Monthly!Q$4=TRUE,0,Monthly!Q$17),IF(U$69&gt;$F102+1,T102*(1-IF(U$69-$F102&lt;=12,SUMIFS('Attrition Modeling'!$D:$D,'Attrition Modeling'!$B:$B,$E102,'Attrition Modeling'!$C:$C,U$68),VLOOKUP(U$69-$F102-1,$A$7:$C$161,2,FALSE)*VLOOKUP(U$1,'Attrition Modeling'!$L$15:$N$27,IF(U$2-$F35&lt;=24,2,3),FALSE))*(1+Projection!W$16)*(1+IF(U167&gt;0,'Attrition Modeling'!$N$9,0))),0))</f>
        <v>0</v>
      </c>
      <c r="V102" s="799">
        <f>IF(V$69=$F102+1,IF(Monthly!R$4=TRUE,0,Monthly!R$17),IF(V$69&gt;$F102+1,U102*(1-IF(V$69-$F102&lt;=12,SUMIFS('Attrition Modeling'!$D:$D,'Attrition Modeling'!$B:$B,$E102,'Attrition Modeling'!$C:$C,V$68),VLOOKUP(V$69-$F102-1,$A$7:$C$161,2,FALSE)*VLOOKUP(V$1,'Attrition Modeling'!$L$15:$N$27,IF(V$2-$F35&lt;=24,2,3),FALSE))*(1+Projection!X$16)*(1+IF(V167&gt;0,'Attrition Modeling'!$N$9,0))),0))</f>
        <v>0</v>
      </c>
      <c r="W102" s="799">
        <f>IF(W$69=$F102+1,IF(Monthly!S$4=TRUE,0,Monthly!S$17),IF(W$69&gt;$F102+1,V102*(1-IF(W$69-$F102&lt;=12,SUMIFS('Attrition Modeling'!$D:$D,'Attrition Modeling'!$B:$B,$E102,'Attrition Modeling'!$C:$C,W$68),VLOOKUP(W$69-$F102-1,$A$7:$C$161,2,FALSE)*VLOOKUP(W$1,'Attrition Modeling'!$L$15:$N$27,IF(W$2-$F35&lt;=24,2,3),FALSE))*(1+Projection!Y$16)*(1+IF(W167&gt;0,'Attrition Modeling'!$N$9,0))),0))</f>
        <v>0</v>
      </c>
      <c r="X102" s="799">
        <f>IF(X$69=$F102+1,IF(Monthly!T$4=TRUE,0,Monthly!T$17),IF(X$69&gt;$F102+1,W102*(1-IF(X$69-$F102&lt;=12,SUMIFS('Attrition Modeling'!$D:$D,'Attrition Modeling'!$B:$B,$E102,'Attrition Modeling'!$C:$C,X$68),VLOOKUP(X$69-$F102-1,$A$7:$C$161,2,FALSE)*VLOOKUP(X$1,'Attrition Modeling'!$L$15:$N$27,IF(X$2-$F35&lt;=24,2,3),FALSE))*(1+Projection!Z$16)*(1+IF(X167&gt;0,'Attrition Modeling'!$N$9,0))),0))</f>
        <v>0</v>
      </c>
      <c r="Y102" s="799">
        <f>IF(Y$69=$F102+1,IF(Monthly!U$4=TRUE,0,Monthly!U$17),IF(Y$69&gt;$F102+1,X102*(1-IF(Y$69-$F102&lt;=12,SUMIFS('Attrition Modeling'!$D:$D,'Attrition Modeling'!$B:$B,$E102,'Attrition Modeling'!$C:$C,Y$68),VLOOKUP(Y$69-$F102-1,$A$7:$C$161,2,FALSE)*VLOOKUP(Y$1,'Attrition Modeling'!$L$15:$N$27,IF(Y$2-$F35&lt;=24,2,3),FALSE))*(1+Projection!AA$16)*(1+IF(Y167&gt;0,'Attrition Modeling'!$N$9,0))),0))</f>
        <v>0</v>
      </c>
      <c r="Z102" s="799">
        <f>IF(Z$69=$F102+1,IF(Monthly!V$4=TRUE,0,Monthly!V$17),IF(Z$69&gt;$F102+1,Y102*(1-IF(Z$69-$F102&lt;=12,SUMIFS('Attrition Modeling'!$D:$D,'Attrition Modeling'!$B:$B,$E102,'Attrition Modeling'!$C:$C,Z$68),VLOOKUP(Z$69-$F102-1,$A$7:$C$161,2,FALSE)*VLOOKUP(Z$1,'Attrition Modeling'!$L$15:$N$27,IF(Z$2-$F35&lt;=24,2,3),FALSE))*(1+Projection!AB$16)*(1+IF(Z167&gt;0,'Attrition Modeling'!$N$9,0))),0))</f>
        <v>0</v>
      </c>
      <c r="AA102" s="799">
        <f>IF(AA$69=$F102+1,IF(Monthly!W$4=TRUE,0,Monthly!W$17),IF(AA$69&gt;$F102+1,Z102*(1-IF(AA$69-$F102&lt;=12,SUMIFS('Attrition Modeling'!$D:$D,'Attrition Modeling'!$B:$B,$E102,'Attrition Modeling'!$C:$C,AA$68),VLOOKUP(AA$69-$F102-1,$A$7:$C$161,2,FALSE)*VLOOKUP(AA$1,'Attrition Modeling'!$L$15:$N$27,IF(AA$2-$F35&lt;=24,2,3),FALSE))*(1+Projection!AC$16)*(1+IF(AA167&gt;0,'Attrition Modeling'!$N$9,0))),0))</f>
        <v>0</v>
      </c>
      <c r="AB102" s="799">
        <f>IF(AB$69=$F102+1,IF(Monthly!X$4=TRUE,0,Monthly!X$17),IF(AB$69&gt;$F102+1,AA102*(1-IF(AB$69-$F102&lt;=12,SUMIFS('Attrition Modeling'!$D:$D,'Attrition Modeling'!$B:$B,$E102,'Attrition Modeling'!$C:$C,AB$68),VLOOKUP(AB$69-$F102-1,$A$7:$C$161,2,FALSE)*VLOOKUP(AB$1,'Attrition Modeling'!$L$15:$N$27,IF(AB$2-$F35&lt;=24,2,3),FALSE))*(1+Projection!AD$16)*(1+IF(AB167&gt;0,'Attrition Modeling'!$N$9,0))),0))</f>
        <v>0</v>
      </c>
      <c r="AC102" s="799">
        <f>IF(AC$69=$F102+1,IF(Monthly!Y$4=TRUE,0,Monthly!Y$17),IF(AC$69&gt;$F102+1,AB102*(1-IF(AC$69-$F102&lt;=12,SUMIFS('Attrition Modeling'!$D:$D,'Attrition Modeling'!$B:$B,$E102,'Attrition Modeling'!$C:$C,AC$68),VLOOKUP(AC$69-$F102-1,$A$7:$C$161,2,FALSE)*VLOOKUP(AC$1,'Attrition Modeling'!$L$15:$N$27,IF(AC$2-$F35&lt;=24,2,3),FALSE))*(1+Projection!AE$16)*(1+IF(AC167&gt;0,'Attrition Modeling'!$N$9,0))),0))</f>
        <v>0</v>
      </c>
      <c r="AD102" s="799">
        <f>IF(AD$69=$F102+1,IF(Monthly!Z$4=TRUE,0,Monthly!Z$17),IF(AD$69&gt;$F102+1,AC102*(1-IF(AD$69-$F102&lt;=12,SUMIFS('Attrition Modeling'!$D:$D,'Attrition Modeling'!$B:$B,$E102,'Attrition Modeling'!$C:$C,AD$68),VLOOKUP(AD$69-$F102-1,$A$7:$C$161,2,FALSE)*VLOOKUP(AD$1,'Attrition Modeling'!$L$15:$N$27,IF(AD$2-$F35&lt;=24,2,3),FALSE))*(1+Projection!AF$16)*(1+IF(AD167&gt;0,'Attrition Modeling'!$N$9,0))),0))</f>
        <v>0</v>
      </c>
      <c r="AE102" s="799">
        <f>IF(AE$69=$F102+1,IF(Monthly!AA$4=TRUE,0,Monthly!AA$17),IF(AE$69&gt;$F102+1,AD102*(1-IF(AE$69-$F102&lt;=12,SUMIFS('Attrition Modeling'!$D:$D,'Attrition Modeling'!$B:$B,$E102,'Attrition Modeling'!$C:$C,AE$68),VLOOKUP(AE$69-$F102-1,$A$7:$C$161,2,FALSE)*VLOOKUP(AE$1,'Attrition Modeling'!$L$15:$N$27,IF(AE$2-$F35&lt;=24,2,3),FALSE))*(1+Projection!AG$16)*(1+IF(AE167&gt;0,'Attrition Modeling'!$N$9,0))),0))</f>
        <v>0</v>
      </c>
      <c r="AF102" s="799">
        <f>IF(AF$69=$F102+1,IF(Monthly!AB$4=TRUE,0,Monthly!AB$17),IF(AF$69&gt;$F102+1,AE102*(1-IF(AF$69-$F102&lt;=12,SUMIFS('Attrition Modeling'!$D:$D,'Attrition Modeling'!$B:$B,$E102,'Attrition Modeling'!$C:$C,AF$68),VLOOKUP(AF$69-$F102-1,$A$7:$C$161,2,FALSE)*VLOOKUP(AF$1,'Attrition Modeling'!$L$15:$N$27,IF(AF$2-$F35&lt;=24,2,3),FALSE))*(1+Projection!AH$16)*(1+IF(AF167&gt;0,'Attrition Modeling'!$N$9,0))),0))</f>
        <v>0</v>
      </c>
      <c r="AG102" s="799">
        <f>IF(AG$69=$F102+1,IF(Monthly!AC$4=TRUE,0,Monthly!AC$17),IF(AG$69&gt;$F102+1,AF102*(1-IF(AG$69-$F102&lt;=12,SUMIFS('Attrition Modeling'!$D:$D,'Attrition Modeling'!$B:$B,$E102,'Attrition Modeling'!$C:$C,AG$68),VLOOKUP(AG$69-$F102-1,$A$7:$C$161,2,FALSE)*VLOOKUP(AG$1,'Attrition Modeling'!$L$15:$N$27,IF(AG$2-$F35&lt;=24,2,3),FALSE))*(1+Projection!AI$16)*(1+IF(AG167&gt;0,'Attrition Modeling'!$N$9,0))),0))</f>
        <v>0</v>
      </c>
      <c r="AH102" s="799">
        <f>IF(AH$69=$F102+1,IF(Monthly!AD$4=TRUE,0,Monthly!AD$17),IF(AH$69&gt;$F102+1,AG102*(1-IF(AH$69-$F102&lt;=12,SUMIFS('Attrition Modeling'!$D:$D,'Attrition Modeling'!$B:$B,$E102,'Attrition Modeling'!$C:$C,AH$68),VLOOKUP(AH$69-$F102-1,$A$7:$C$161,2,FALSE)*VLOOKUP(AH$1,'Attrition Modeling'!$L$15:$N$27,IF(AH$2-$F35&lt;=24,2,3),FALSE))*(1+Projection!AJ$16)*(1+IF(AH167&gt;0,'Attrition Modeling'!$N$9,0))),0))</f>
        <v>0</v>
      </c>
      <c r="AI102" s="799">
        <f>IF(AI$69=$F102+1,IF(Monthly!AE$4=TRUE,0,Monthly!AE$17),IF(AI$69&gt;$F102+1,AH102*(1-IF(AI$69-$F102&lt;=12,SUMIFS('Attrition Modeling'!$D:$D,'Attrition Modeling'!$B:$B,$E102,'Attrition Modeling'!$C:$C,AI$68),VLOOKUP(AI$69-$F102-1,$A$7:$C$161,2,FALSE)*VLOOKUP(AI$1,'Attrition Modeling'!$L$15:$N$27,IF(AI$2-$F35&lt;=24,2,3),FALSE))*(1+Projection!AK$16)*(1+IF(AI167&gt;0,'Attrition Modeling'!$N$9,0))),0))</f>
        <v>0</v>
      </c>
      <c r="AJ102" s="799">
        <f>IF(AJ$69=$F102+1,IF(Monthly!AF$4=TRUE,0,Monthly!AF$17),IF(AJ$69&gt;$F102+1,AI102*(1-IF(AJ$69-$F102&lt;=12,SUMIFS('Attrition Modeling'!$D:$D,'Attrition Modeling'!$B:$B,$E102,'Attrition Modeling'!$C:$C,AJ$68),VLOOKUP(AJ$69-$F102-1,$A$7:$C$161,2,FALSE)*VLOOKUP(AJ$1,'Attrition Modeling'!$L$15:$N$27,IF(AJ$2-$F35&lt;=24,2,3),FALSE))*(1+Projection!AL$16)*(1+IF(AJ167&gt;0,'Attrition Modeling'!$N$9,0))),0))</f>
        <v>0</v>
      </c>
      <c r="AK102" s="799">
        <f>IF(AK$69=$F102+1,IF(Monthly!AG$4=TRUE,0,Monthly!AG$17),IF(AK$69&gt;$F102+1,AJ102*(1-IF(AK$69-$F102&lt;=12,SUMIFS('Attrition Modeling'!$D:$D,'Attrition Modeling'!$B:$B,$E102,'Attrition Modeling'!$C:$C,AK$68),VLOOKUP(AK$69-$F102-1,$A$7:$C$161,2,FALSE)*VLOOKUP(AK$1,'Attrition Modeling'!$L$15:$N$27,IF(AK$2-$F35&lt;=24,2,3),FALSE))*(1+Projection!AM$16)*(1+IF(AK167&gt;0,'Attrition Modeling'!$N$9,0))),0))</f>
        <v>0</v>
      </c>
      <c r="AL102" s="799">
        <f>IF(AL$69=$F102+1,IF(Monthly!AH$4=TRUE,0,Monthly!AH$17),IF(AL$69&gt;$F102+1,AK102*(1-IF(AL$69-$F102&lt;=12,SUMIFS('Attrition Modeling'!$D:$D,'Attrition Modeling'!$B:$B,$E102,'Attrition Modeling'!$C:$C,AL$68),VLOOKUP(AL$69-$F102-1,$A$7:$C$161,2,FALSE)*VLOOKUP(AL$1,'Attrition Modeling'!$L$15:$N$27,IF(AL$2-$F35&lt;=24,2,3),FALSE))*(1+Projection!AN$16)*(1+IF(AL167&gt;0,'Attrition Modeling'!$N$9,0))),0))</f>
        <v>0</v>
      </c>
      <c r="AM102" s="799">
        <f>IF(AM$69=$F102+1,IF(Monthly!AI$4=TRUE,0,Monthly!AI$17),IF(AM$69&gt;$F102+1,AL102*(1-IF(AM$69-$F102&lt;=12,SUMIFS('Attrition Modeling'!$D:$D,'Attrition Modeling'!$B:$B,$E102,'Attrition Modeling'!$C:$C,AM$68),VLOOKUP(AM$69-$F102-1,$A$7:$C$161,2,FALSE)*VLOOKUP(AM$1,'Attrition Modeling'!$L$15:$N$27,IF(AM$2-$F35&lt;=24,2,3),FALSE))*(1+Projection!AO$16)*(1+IF(AM167&gt;0,'Attrition Modeling'!$N$9,0))),0))</f>
        <v>0</v>
      </c>
      <c r="AN102" s="799">
        <f>IF(AN$69=$F102+1,IF(Monthly!AJ$4=TRUE,0,Monthly!AJ$17),IF(AN$69&gt;$F102+1,AM102*(1-IF(AN$69-$F102&lt;=12,SUMIFS('Attrition Modeling'!$D:$D,'Attrition Modeling'!$B:$B,$E102,'Attrition Modeling'!$C:$C,AN$68),VLOOKUP(AN$69-$F102-1,$A$7:$C$161,2,FALSE)*VLOOKUP(AN$1,'Attrition Modeling'!$L$15:$N$27,IF(AN$2-$F35&lt;=24,2,3),FALSE))*(1+Projection!AP$16)*(1+IF(AN167&gt;0,'Attrition Modeling'!$N$9,0))),0))</f>
        <v>8205.5651171075442</v>
      </c>
      <c r="AO102" s="799">
        <f>IF(AO$69=$F102+1,IF(Monthly!AK$4=TRUE,0,Monthly!AK$17),IF(AO$69&gt;$F102+1,AN102*(1-IF(AO$69-$F102&lt;=12,SUMIFS('Attrition Modeling'!$D:$D,'Attrition Modeling'!$B:$B,$E102,'Attrition Modeling'!$C:$C,AO$68),VLOOKUP(AO$69-$F102-1,$A$7:$C$161,2,FALSE)*VLOOKUP(AO$1,'Attrition Modeling'!$L$15:$N$27,IF(AO$2-$F35&lt;=24,2,3),FALSE))*(1+Projection!AQ$16)*(1+IF(AO167&gt;0,'Attrition Modeling'!$N$9,0))),0))</f>
        <v>7309.0898963767995</v>
      </c>
      <c r="AP102" s="799">
        <f>IF(AP$69=$F102+1,IF(Monthly!AL$4=TRUE,0,Monthly!AL$17),IF(AP$69&gt;$F102+1,AO102*(1-IF(AP$69-$F102&lt;=12,SUMIFS('Attrition Modeling'!$D:$D,'Attrition Modeling'!$B:$B,$E102,'Attrition Modeling'!$C:$C,AP$68),VLOOKUP(AP$69-$F102-1,$A$7:$C$161,2,FALSE)*VLOOKUP(AP$1,'Attrition Modeling'!$L$15:$N$27,IF(AP$2-$F35&lt;=24,2,3),FALSE))*(1+Projection!AR$16)*(1+IF(AP167&gt;0,'Attrition Modeling'!$N$9,0))),0))</f>
        <v>6651.8851845269919</v>
      </c>
      <c r="AQ102" s="799">
        <f>IF(AQ$69=$F102+1,IF(Monthly!AM$4=TRUE,0,Monthly!AM$17),IF(AQ$69&gt;$F102+1,AP102*(1-IF(AQ$69-$F102&lt;=12,SUMIFS('Attrition Modeling'!$D:$D,'Attrition Modeling'!$B:$B,$E102,'Attrition Modeling'!$C:$C,AQ$68),VLOOKUP(AQ$69-$F102-1,$A$7:$C$161,2,FALSE)*VLOOKUP(AQ$1,'Attrition Modeling'!$L$15:$N$27,IF(AQ$2-$F35&lt;=24,2,3),FALSE))*(1+Projection!AS$16)*(1+IF(AQ167&gt;0,'Attrition Modeling'!$N$9,0))),0))</f>
        <v>6052.6556952624333</v>
      </c>
      <c r="AR102" s="799">
        <f>IF(AR$69=$F102+1,IF(Monthly!AN$4=TRUE,0,Monthly!AN$17),IF(AR$69&gt;$F102+1,AQ102*(1-IF(AR$69-$F102&lt;=12,SUMIFS('Attrition Modeling'!$D:$D,'Attrition Modeling'!$B:$B,$E102,'Attrition Modeling'!$C:$C,AR$68),VLOOKUP(AR$69-$F102-1,$A$7:$C$161,2,FALSE)*VLOOKUP(AR$1,'Attrition Modeling'!$L$15:$N$27,IF(AR$2-$F35&lt;=24,2,3),FALSE))*(1+Projection!AT$16)*(1+IF(AR167&gt;0,'Attrition Modeling'!$N$9,0))),0))</f>
        <v>5583.3933597352943</v>
      </c>
      <c r="AS102" s="799">
        <f>IF(AS$69=$F102+1,IF(Monthly!AO$4=TRUE,0,Monthly!AO$17),IF(AS$69&gt;$F102+1,AR102*(1-IF(AS$69-$F102&lt;=12,SUMIFS('Attrition Modeling'!$D:$D,'Attrition Modeling'!$B:$B,$E102,'Attrition Modeling'!$C:$C,AS$68),VLOOKUP(AS$69-$F102-1,$A$7:$C$161,2,FALSE)*VLOOKUP(AS$1,'Attrition Modeling'!$L$15:$N$27,IF(AS$2-$F35&lt;=24,2,3),FALSE))*(1+Projection!AU$16)*(1+IF(AS167&gt;0,'Attrition Modeling'!$N$9,0))),0))</f>
        <v>5067.3731750632915</v>
      </c>
      <c r="AT102" s="799">
        <f>IF(AT$69=$F102+1,IF(Monthly!AP$4=TRUE,0,Monthly!AP$17),IF(AT$69&gt;$F102+1,AS102*(1-IF(AT$69-$F102&lt;=12,SUMIFS('Attrition Modeling'!$D:$D,'Attrition Modeling'!$B:$B,$E102,'Attrition Modeling'!$C:$C,AT$68),VLOOKUP(AT$69-$F102-1,$A$7:$C$161,2,FALSE)*VLOOKUP(AT$1,'Attrition Modeling'!$L$15:$N$27,IF(AT$2-$F35&lt;=24,2,3),FALSE))*(1+Projection!AV$16)*(1+IF(AT167&gt;0,'Attrition Modeling'!$N$9,0))),0))</f>
        <v>4683.080974556482</v>
      </c>
      <c r="AU102" s="799">
        <f>IF(AU$69=$F102+1,IF(Monthly!AQ$4=TRUE,0,Monthly!AQ$17),IF(AU$69&gt;$F102+1,AT102*(1-IF(AU$69-$F102&lt;=12,SUMIFS('Attrition Modeling'!$D:$D,'Attrition Modeling'!$B:$B,$E102,'Attrition Modeling'!$C:$C,AU$68),VLOOKUP(AU$69-$F102-1,$A$7:$C$161,2,FALSE)*VLOOKUP(AU$1,'Attrition Modeling'!$L$15:$N$27,IF(AU$2-$F35&lt;=24,2,3),FALSE))*(1+Projection!AW$16)*(1+IF(AU167&gt;0,'Attrition Modeling'!$N$9,0))),0))</f>
        <v>4375.1984190284402</v>
      </c>
      <c r="AV102" s="799">
        <f>IF(AV$69=$F102+1,IF(Monthly!AR$4=TRUE,0,Monthly!AR$17),IF(AV$69&gt;$F102+1,AU102*(1-IF(AV$69-$F102&lt;=12,SUMIFS('Attrition Modeling'!$D:$D,'Attrition Modeling'!$B:$B,$E102,'Attrition Modeling'!$C:$C,AV$68),VLOOKUP(AV$69-$F102-1,$A$7:$C$161,2,FALSE)*VLOOKUP(AV$1,'Attrition Modeling'!$L$15:$N$27,IF(AV$2-$F35&lt;=24,2,3),FALSE))*(1+Projection!AX$16)*(1+IF(AV167&gt;0,'Attrition Modeling'!$N$9,0))),0))</f>
        <v>4115.599783506028</v>
      </c>
      <c r="AW102" s="799">
        <f>IF(AW$69=$F102+1,IF(Monthly!AS$4=TRUE,0,Monthly!AS$17),IF(AW$69&gt;$F102+1,AV102*(1-IF(AW$69-$F102&lt;=12,SUMIFS('Attrition Modeling'!$D:$D,'Attrition Modeling'!$B:$B,$E102,'Attrition Modeling'!$C:$C,AW$68),VLOOKUP(AW$69-$F102-1,$A$7:$C$161,2,FALSE)*VLOOKUP(AW$1,'Attrition Modeling'!$L$15:$N$27,IF(AW$2-$F35&lt;=24,2,3),FALSE))*(1+Projection!AY$16)*(1+IF(AW167&gt;0,'Attrition Modeling'!$N$9,0))),0))</f>
        <v>3873.7037188345498</v>
      </c>
      <c r="AX102" s="799">
        <f>IF(AX$69=$F102+1,IF(Monthly!AT$4=TRUE,0,Monthly!AT$17),IF(AX$69&gt;$F102+1,AW102*(1-IF(AX$69-$F102&lt;=12,SUMIFS('Attrition Modeling'!$D:$D,'Attrition Modeling'!$B:$B,$E102,'Attrition Modeling'!$C:$C,AX$68),VLOOKUP(AX$69-$F102-1,$A$7:$C$161,2,FALSE)*VLOOKUP(AX$1,'Attrition Modeling'!$L$15:$N$27,IF(AX$2-$F35&lt;=24,2,3),FALSE))*(1+Projection!AZ$16)*(1+IF(AX167&gt;0,'Attrition Modeling'!$N$9,0))),0))</f>
        <v>3643.940405937085</v>
      </c>
      <c r="AY102" s="799">
        <f>IF(AY$69=$F102+1,IF(Monthly!AU$4=TRUE,0,Monthly!AU$17),IF(AY$69&gt;$F102+1,AX102*(1-IF(AY$69-$F102&lt;=12,SUMIFS('Attrition Modeling'!$D:$D,'Attrition Modeling'!$B:$B,$E102,'Attrition Modeling'!$C:$C,AY$68),VLOOKUP(AY$69-$F102-1,$A$7:$C$161,2,FALSE)*VLOOKUP(AY$1,'Attrition Modeling'!$L$15:$N$27,IF(AY$2-$F35&lt;=24,2,3),FALSE))*(1+Projection!BA$16)*(1+IF(AY167&gt;0,'Attrition Modeling'!$N$9,0))),0))</f>
        <v>3521.0167770259209</v>
      </c>
      <c r="AZ102" s="799">
        <f>IF(AZ$69=$F102+1,IF(Monthly!AV$4=TRUE,0,Monthly!AV$17),IF(AZ$69&gt;$F102+1,AY102*(1-IF(AZ$69-$F102&lt;=12,SUMIFS('Attrition Modeling'!$D:$D,'Attrition Modeling'!$B:$B,$E102,'Attrition Modeling'!$C:$C,AZ$68),VLOOKUP(AZ$69-$F102-1,$A$7:$C$161,2,FALSE)*VLOOKUP(AZ$1,'Attrition Modeling'!$L$15:$N$27,IF(AZ$2-$F35&lt;=24,2,3),FALSE))*(1+Projection!BB$16)*(1+IF(AZ167&gt;0,'Attrition Modeling'!$N$9,0))),0))</f>
        <v>3326.5565608585389</v>
      </c>
      <c r="BA102" s="799">
        <f>IF(BA$69=$F102+1,IF(Monthly!AW$4=TRUE,0,Monthly!AW$17),IF(BA$69&gt;$F102+1,AZ102*(1-IF(BA$69-$F102&lt;=12,SUMIFS('Attrition Modeling'!$D:$D,'Attrition Modeling'!$B:$B,$E102,'Attrition Modeling'!$C:$C,BA$68),VLOOKUP(BA$69-$F102-1,$A$7:$C$161,2,FALSE)*VLOOKUP(BA$1,'Attrition Modeling'!$L$15:$N$27,IF(BA$2-$F35&lt;=24,2,3),FALSE))*(1+Projection!BC$16)*(1+IF(BA167&gt;0,'Attrition Modeling'!$N$9,0))),0))</f>
        <v>3153.1043463236351</v>
      </c>
      <c r="BB102" s="799">
        <f>IF(BB$69=$F102+1,IF(Monthly!AX$4=TRUE,0,Monthly!AX$17),IF(BB$69&gt;$F102+1,BA102*(1-IF(BB$69-$F102&lt;=12,SUMIFS('Attrition Modeling'!$D:$D,'Attrition Modeling'!$B:$B,$E102,'Attrition Modeling'!$C:$C,BB$68),VLOOKUP(BB$69-$F102-1,$A$7:$C$161,2,FALSE)*VLOOKUP(BB$1,'Attrition Modeling'!$L$15:$N$27,IF(BB$2-$F35&lt;=24,2,3),FALSE))*(1+Projection!BD$16)*(1+IF(BB167&gt;0,'Attrition Modeling'!$N$9,0))),0))</f>
        <v>3002.6893976779088</v>
      </c>
      <c r="BC102" s="799">
        <f>IF(BC$69=$F102+1,IF(Monthly!AY$4=TRUE,0,Monthly!AY$17),IF(BC$69&gt;$F102+1,BB102*(1-IF(BC$69-$F102&lt;=12,SUMIFS('Attrition Modeling'!$D:$D,'Attrition Modeling'!$B:$B,$E102,'Attrition Modeling'!$C:$C,BC$68),VLOOKUP(BC$69-$F102-1,$A$7:$C$161,2,FALSE)*VLOOKUP(BC$1,'Attrition Modeling'!$L$15:$N$27,IF(BC$2-$F35&lt;=24,2,3),FALSE))*(1+Projection!BE$16)*(1+IF(BC167&gt;0,'Attrition Modeling'!$N$9,0))),0))</f>
        <v>2866.132161361083</v>
      </c>
      <c r="BD102" s="799">
        <f>IF(BD$69=$F102+1,IF(Monthly!AZ$4=TRUE,0,Monthly!AZ$17),IF(BD$69&gt;$F102+1,BC102*(1-IF(BD$69-$F102&lt;=12,SUMIFS('Attrition Modeling'!$D:$D,'Attrition Modeling'!$B:$B,$E102,'Attrition Modeling'!$C:$C,BD$68),VLOOKUP(BD$69-$F102-1,$A$7:$C$161,2,FALSE)*VLOOKUP(BD$1,'Attrition Modeling'!$L$15:$N$27,IF(BD$2-$F35&lt;=24,2,3),FALSE))*(1+Projection!BF$16)*(1+IF(BD167&gt;0,'Attrition Modeling'!$N$9,0))),0))</f>
        <v>2739.5045231229478</v>
      </c>
      <c r="BE102" s="799">
        <f>IF(BE$69=$F102+1,IF(Monthly!BA$4=TRUE,0,Monthly!BA$17),IF(BE$69&gt;$F102+1,BD102*(1-IF(BE$69-$F102&lt;=12,SUMIFS('Attrition Modeling'!$D:$D,'Attrition Modeling'!$B:$B,$E102,'Attrition Modeling'!$C:$C,BE$68),VLOOKUP(BE$69-$F102-1,$A$7:$C$161,2,FALSE)*VLOOKUP(BE$1,'Attrition Modeling'!$L$15:$N$27,IF(BE$2-$F35&lt;=24,2,3),FALSE))*(1+Projection!BG$16)*(1+IF(BE167&gt;0,'Attrition Modeling'!$N$9,0))),0))</f>
        <v>2611.7266189213287</v>
      </c>
      <c r="BF102" s="799">
        <f>IF(BF$69=$F102+1,IF(Monthly!BB$4=TRUE,0,Monthly!BB$17),IF(BF$69&gt;$F102+1,BE102*(1-IF(BF$69-$F102&lt;=12,SUMIFS('Attrition Modeling'!$D:$D,'Attrition Modeling'!$B:$B,$E102,'Attrition Modeling'!$C:$C,BF$68),VLOOKUP(BF$69-$F102-1,$A$7:$C$161,2,FALSE)*VLOOKUP(BF$1,'Attrition Modeling'!$L$15:$N$27,IF(BF$2-$F35&lt;=24,2,3),FALSE))*(1+Projection!BH$16)*(1+IF(BF167&gt;0,'Attrition Modeling'!$N$9,0))),0))</f>
        <v>2503.5931502072599</v>
      </c>
      <c r="BG102" s="799">
        <f>IF(BG$69=$F102+1,IF(Monthly!BC$4=TRUE,0,Monthly!BC$17),IF(BG$69&gt;$F102+1,BF102*(1-IF(BG$69-$F102&lt;=12,SUMIFS('Attrition Modeling'!$D:$D,'Attrition Modeling'!$B:$B,$E102,'Attrition Modeling'!$C:$C,BG$68),VLOOKUP(BG$69-$F102-1,$A$7:$C$161,2,FALSE)*VLOOKUP(BG$1,'Attrition Modeling'!$L$15:$N$27,IF(BG$2-$F35&lt;=24,2,3),FALSE))*(1+Projection!BI$16)*(1+IF(BG167&gt;0,'Attrition Modeling'!$N$9,0))),0))</f>
        <v>2403.6118519135721</v>
      </c>
      <c r="BH102" s="799">
        <f>IF(BH$69=$F102+1,IF(Monthly!BD$4=TRUE,0,Monthly!BD$17),IF(BH$69&gt;$F102+1,BG102*(1-IF(BH$69-$F102&lt;=12,SUMIFS('Attrition Modeling'!$D:$D,'Attrition Modeling'!$B:$B,$E102,'Attrition Modeling'!$C:$C,BH$68),VLOOKUP(BH$69-$F102-1,$A$7:$C$161,2,FALSE)*VLOOKUP(BH$1,'Attrition Modeling'!$L$15:$N$27,IF(BH$2-$F35&lt;=24,2,3),FALSE))*(1+Projection!BJ$16)*(1+IF(BH167&gt;0,'Attrition Modeling'!$N$9,0))),0))</f>
        <v>2309.9369786083175</v>
      </c>
      <c r="BI102" s="799">
        <f>IF(BI$69=$F102+1,IF(Monthly!BE$4=TRUE,0,Monthly!BE$17),IF(BI$69&gt;$F102+1,BH102*(1-IF(BI$69-$F102&lt;=12,SUMIFS('Attrition Modeling'!$D:$D,'Attrition Modeling'!$B:$B,$E102,'Attrition Modeling'!$C:$C,BI$68),VLOOKUP(BI$69-$F102-1,$A$7:$C$161,2,FALSE)*VLOOKUP(BI$1,'Attrition Modeling'!$L$15:$N$27,IF(BI$2-$F35&lt;=24,2,3),FALSE))*(1+Projection!BK$16)*(1+IF(BI167&gt;0,'Attrition Modeling'!$N$9,0))),0))</f>
        <v>2212.6385670248969</v>
      </c>
      <c r="BJ102" s="799">
        <f>IF(BJ$69=$F102+1,IF(Monthly!BF$4=TRUE,0,Monthly!BF$17),IF(BJ$69&gt;$F102+1,BI102*(1-IF(BJ$69-$F102&lt;=12,SUMIFS('Attrition Modeling'!$D:$D,'Attrition Modeling'!$B:$B,$E102,'Attrition Modeling'!$C:$C,BJ$68),VLOOKUP(BJ$69-$F102-1,$A$7:$C$161,2,FALSE)*VLOOKUP(BJ$1,'Attrition Modeling'!$L$15:$N$27,IF(BJ$2-$F35&lt;=24,2,3),FALSE))*(1+Projection!BL$16)*(1+IF(BJ167&gt;0,'Attrition Modeling'!$N$9,0))),0))</f>
        <v>2118.5954443515966</v>
      </c>
      <c r="BK102" s="799">
        <f>IF(BK$69=$F102+1,IF(Monthly!BG$4=TRUE,0,Monthly!BG$17),IF(BK$69&gt;$F102+1,BJ102*(1-IF(BK$69-$F102&lt;=12,SUMIFS('Attrition Modeling'!$D:$D,'Attrition Modeling'!$B:$B,$E102,'Attrition Modeling'!$C:$C,BK$68),VLOOKUP(BK$69-$F102-1,$A$7:$C$161,2,FALSE)*VLOOKUP(BK$1,'Attrition Modeling'!$L$15:$N$27,IF(BK$2-$F35&lt;=24,2,3),FALSE))*(1+Projection!BM$16)*(1+IF(BK167&gt;0,'Attrition Modeling'!$N$9,0))),0))</f>
        <v>2025.811057807183</v>
      </c>
      <c r="BL102" s="799">
        <f>IF(BL$69=$F102+1,IF(Monthly!BH$4=TRUE,0,Monthly!BH$17),IF(BL$69&gt;$F102+1,BK102*(1-IF(BL$69-$F102&lt;=12,SUMIFS('Attrition Modeling'!$D:$D,'Attrition Modeling'!$B:$B,$E102,'Attrition Modeling'!$C:$C,BL$68),VLOOKUP(BL$69-$F102-1,$A$7:$C$161,2,FALSE)*VLOOKUP(BL$1,'Attrition Modeling'!$L$15:$N$27,IF(BL$2-$F35&lt;=24,2,3),FALSE))*(1+Projection!BN$16)*(1+IF(BL167&gt;0,'Attrition Modeling'!$N$9,0))),0))</f>
        <v>1942.4707128038367</v>
      </c>
      <c r="BM102" s="799">
        <f>IF(BM$69=$F102+1,IF(Monthly!BI$4=TRUE,0,Monthly!BI$17),IF(BM$69&gt;$F102+1,BL102*(1-IF(BM$69-$F102&lt;=12,SUMIFS('Attrition Modeling'!$D:$D,'Attrition Modeling'!$B:$B,$E102,'Attrition Modeling'!$C:$C,BM$68),VLOOKUP(BM$69-$F102-1,$A$7:$C$161,2,FALSE)*VLOOKUP(BM$1,'Attrition Modeling'!$L$15:$N$27,IF(BM$2-$F35&lt;=24,2,3),FALSE))*(1+Projection!BO$16)*(1+IF(BM167&gt;0,'Attrition Modeling'!$N$9,0))),0))</f>
        <v>1866.3847235998992</v>
      </c>
      <c r="BN102" s="799">
        <f>IF(BN$69=$F102+1,IF(Monthly!BJ$4=TRUE,0,Monthly!BJ$17),IF(BN$69&gt;$F102+1,BM102*(1-IF(BN$69-$F102&lt;=12,SUMIFS('Attrition Modeling'!$D:$D,'Attrition Modeling'!$B:$B,$E102,'Attrition Modeling'!$C:$C,BN$68),VLOOKUP(BN$69-$F102-1,$A$7:$C$161,2,FALSE)*VLOOKUP(BN$1,'Attrition Modeling'!$L$15:$N$27,IF(BN$2-$F35&lt;=24,2,3),FALSE))*(1+Projection!BP$16)*(1+IF(BN167&gt;0,'Attrition Modeling'!$N$9,0))),0))</f>
        <v>1795.8990930270631</v>
      </c>
      <c r="BO102" s="799">
        <f>IF(BO$69=$F102+1,IF(Monthly!BK$4=TRUE,0,Monthly!BK$17),IF(BO$69&gt;$F102+1,BN102*(1-IF(BO$69-$F102&lt;=12,SUMIFS('Attrition Modeling'!$D:$D,'Attrition Modeling'!$B:$B,$E102,'Attrition Modeling'!$C:$C,BO$68),VLOOKUP(BO$69-$F102-1,$A$7:$C$161,2,FALSE)*VLOOKUP(BO$1,'Attrition Modeling'!$L$15:$N$27,IF(BO$2-$F35&lt;=24,2,3),FALSE))*(1+Projection!BV$16)*(1+IF(BO167&gt;0,'Attrition Modeling'!$N$9,0))),0))</f>
        <v>1740.7445168596889</v>
      </c>
      <c r="BP102" s="799">
        <f>IF(BP$69=$F102+1,IF(Monthly!BL$4=TRUE,0,Monthly!BL$17),IF(BP$69&gt;$F102+1,BO102*(1-IF(BP$69-$F102&lt;=12,SUMIFS('Attrition Modeling'!$D:$D,'Attrition Modeling'!$B:$B,$E102,'Attrition Modeling'!$C:$C,BP$68),VLOOKUP(BP$69-$F102-1,$A$7:$C$161,2,FALSE)*VLOOKUP(BP$1,'Attrition Modeling'!$L$15:$N$27,IF(BP$2-$F35&lt;=24,2,3),FALSE))*(1+Projection!BW$16)*(1+IF(BP167&gt;0,'Attrition Modeling'!$N$9,0))),0))</f>
        <v>1682.3184707369323</v>
      </c>
      <c r="BQ102" s="799">
        <f>IF(BQ$69=$F102+1,IF(Monthly!BM$4=TRUE,0,Monthly!BM$17),IF(BQ$69&gt;$F102+1,BP102*(1-IF(BQ$69-$F102&lt;=12,SUMIFS('Attrition Modeling'!$D:$D,'Attrition Modeling'!$B:$B,$E102,'Attrition Modeling'!$C:$C,BQ$68),VLOOKUP(BQ$69-$F102-1,$A$7:$C$161,2,FALSE)*VLOOKUP(BQ$1,'Attrition Modeling'!$L$15:$N$27,IF(BQ$2-$F35&lt;=24,2,3),FALSE))*(1+Projection!BX$16)*(1+IF(BQ167&gt;0,'Attrition Modeling'!$N$9,0))),0))</f>
        <v>1617.5090727723957</v>
      </c>
      <c r="BR102" s="799">
        <f>IF(BR$69=$F102+1,IF(Monthly!BN$4=TRUE,0,Monthly!BN$17),IF(BR$69&gt;$F102+1,BQ102*(1-IF(BR$69-$F102&lt;=12,SUMIFS('Attrition Modeling'!$D:$D,'Attrition Modeling'!$B:$B,$E102,'Attrition Modeling'!$C:$C,BR$68),VLOOKUP(BR$69-$F102-1,$A$7:$C$161,2,FALSE)*VLOOKUP(BR$1,'Attrition Modeling'!$L$15:$N$27,IF(BR$2-$F35&lt;=24,2,3),FALSE))*(1+Projection!BY$16)*(1+IF(BR167&gt;0,'Attrition Modeling'!$N$9,0))),0))</f>
        <v>1568.3738070966463</v>
      </c>
      <c r="BS102" s="799">
        <f>IF(BS$69=$F102+1,IF(Monthly!BO$4=TRUE,0,Monthly!BO$17),IF(BS$69&gt;$F102+1,BR102*(1-IF(BS$69-$F102&lt;=12,SUMIFS('Attrition Modeling'!$D:$D,'Attrition Modeling'!$B:$B,$E102,'Attrition Modeling'!$C:$C,BS$68),VLOOKUP(BS$69-$F102-1,$A$7:$C$161,2,FALSE)*VLOOKUP(BS$1,'Attrition Modeling'!$L$15:$N$27,IF(BS$2-$F35&lt;=24,2,3),FALSE))*(1+Projection!BZ$16)*(1+IF(BS167&gt;0,'Attrition Modeling'!$N$9,0))),0))</f>
        <v>1530.9389423464975</v>
      </c>
      <c r="BT102" s="799">
        <f>IF(BT$69=$F102+1,IF(Monthly!#REF!=TRUE,0,Monthly!#REF!),IF(BT$69&gt;$F102+1,BS102*(1-IF(BT$69-$F102&lt;=12,SUMIFS('Attrition Modeling'!$D:$D,'Attrition Modeling'!$B:$B,$E102,'Attrition Modeling'!$C:$C,BT$68),VLOOKUP(BT$69-$F102-1,$A$7:$C$161,2,FALSE)*VLOOKUP(BT$1,'Attrition Modeling'!$L$15:$N$27,IF(BT$2-$F35&lt;=24,2,3),FALSE))*(1+Projection!CA$16)*(1+IF(BT167&gt;0,'Attrition Modeling'!$N$9,0))),0))</f>
        <v>1487.3408190435541</v>
      </c>
      <c r="BU102" s="799">
        <f>IF(BU$69=$F102+1,IF(Monthly!#REF!=TRUE,0,Monthly!#REF!),IF(BU$69&gt;$F102+1,BT102*(1-IF(BU$69-$F102&lt;=12,SUMIFS('Attrition Modeling'!$D:$D,'Attrition Modeling'!$B:$B,$E102,'Attrition Modeling'!$C:$C,BU$68),VLOOKUP(BU$69-$F102-1,$A$7:$C$161,2,FALSE)*VLOOKUP(BU$1,'Attrition Modeling'!$L$15:$N$27,IF(BU$2-$F35&lt;=24,2,3),FALSE))*(1+Projection!CB$16)*(1+IF(BU167&gt;0,'Attrition Modeling'!$N$9,0))),0))</f>
        <v>1439.5542168777288</v>
      </c>
    </row>
    <row r="103" spans="1:73" ht="14.25" customHeight="1" x14ac:dyDescent="0.2">
      <c r="A103" s="9">
        <v>96</v>
      </c>
      <c r="B103" s="25">
        <f>MAX('Attrition Modeling'!H100,$C$3)*(1-Summary!$C$20)</f>
        <v>0.02</v>
      </c>
      <c r="C103" s="24" t="e">
        <f t="shared" si="4"/>
        <v>#DIV/0!</v>
      </c>
      <c r="E103" s="11">
        <f t="shared" si="9"/>
        <v>9</v>
      </c>
      <c r="F103" s="11">
        <f t="shared" si="10"/>
        <v>33</v>
      </c>
      <c r="G103" s="799"/>
      <c r="H103" s="799">
        <f>IF(H$69=$F103+1,IF(Monthly!D$4=TRUE,0,Monthly!D$17),IF(H$69&gt;$F103+1,G103*(1-IF(H$69-$F103&lt;=12,SUMIFS('Attrition Modeling'!$D:$D,'Attrition Modeling'!$B:$B,$E103,'Attrition Modeling'!$C:$C,H$68),VLOOKUP(H$69-$F103-1,$A$7:$C$161,2,FALSE)*VLOOKUP(H$1,'Attrition Modeling'!$L$15:$N$27,IF(H$2-$F36&lt;=24,2,3),FALSE))*(1+Projection!J$16)*(1+IF(H168&gt;0,'Attrition Modeling'!$N$9,0))),0))</f>
        <v>0</v>
      </c>
      <c r="I103" s="799">
        <f>IF(I$69=$F103+1,IF(Monthly!E$4=TRUE,0,Monthly!E$17),IF(I$69&gt;$F103+1,H103*(1-IF(I$69-$F103&lt;=12,SUMIFS('Attrition Modeling'!$D:$D,'Attrition Modeling'!$B:$B,$E103,'Attrition Modeling'!$C:$C,I$68),VLOOKUP(I$69-$F103-1,$A$7:$C$161,2,FALSE)*VLOOKUP(I$1,'Attrition Modeling'!$L$15:$N$27,IF(I$2-$F36&lt;=24,2,3),FALSE))*(1+Projection!K$16)*(1+IF(I168&gt;0,'Attrition Modeling'!$N$9,0))),0))</f>
        <v>0</v>
      </c>
      <c r="J103" s="799">
        <f>IF(J$69=$F103+1,IF(Monthly!F$4=TRUE,0,Monthly!F$17),IF(J$69&gt;$F103+1,I103*(1-IF(J$69-$F103&lt;=12,SUMIFS('Attrition Modeling'!$D:$D,'Attrition Modeling'!$B:$B,$E103,'Attrition Modeling'!$C:$C,J$68),VLOOKUP(J$69-$F103-1,$A$7:$C$161,2,FALSE)*VLOOKUP(J$1,'Attrition Modeling'!$L$15:$N$27,IF(J$2-$F36&lt;=24,2,3),FALSE))*(1+Projection!L$16)*(1+IF(J168&gt;0,'Attrition Modeling'!$N$9,0))),0))</f>
        <v>0</v>
      </c>
      <c r="K103" s="799">
        <f>IF(K$69=$F103+1,IF(Monthly!G$4=TRUE,0,Monthly!G$17),IF(K$69&gt;$F103+1,J103*(1-IF(K$69-$F103&lt;=12,SUMIFS('Attrition Modeling'!$D:$D,'Attrition Modeling'!$B:$B,$E103,'Attrition Modeling'!$C:$C,K$68),VLOOKUP(K$69-$F103-1,$A$7:$C$161,2,FALSE)*VLOOKUP(K$1,'Attrition Modeling'!$L$15:$N$27,IF(K$2-$F36&lt;=24,2,3),FALSE))*(1+Projection!M$16)*(1+IF(K168&gt;0,'Attrition Modeling'!$N$9,0))),0))</f>
        <v>0</v>
      </c>
      <c r="L103" s="799">
        <f>IF(L$69=$F103+1,IF(Monthly!H$4=TRUE,0,Monthly!H$17),IF(L$69&gt;$F103+1,K103*(1-IF(L$69-$F103&lt;=12,SUMIFS('Attrition Modeling'!$D:$D,'Attrition Modeling'!$B:$B,$E103,'Attrition Modeling'!$C:$C,L$68),VLOOKUP(L$69-$F103-1,$A$7:$C$161,2,FALSE)*VLOOKUP(L$1,'Attrition Modeling'!$L$15:$N$27,IF(L$2-$F36&lt;=24,2,3),FALSE))*(1+Projection!N$16)*(1+IF(L168&gt;0,'Attrition Modeling'!$N$9,0))),0))</f>
        <v>0</v>
      </c>
      <c r="M103" s="799">
        <f>IF(M$69=$F103+1,IF(Monthly!I$4=TRUE,0,Monthly!I$17),IF(M$69&gt;$F103+1,L103*(1-IF(M$69-$F103&lt;=12,SUMIFS('Attrition Modeling'!$D:$D,'Attrition Modeling'!$B:$B,$E103,'Attrition Modeling'!$C:$C,M$68),VLOOKUP(M$69-$F103-1,$A$7:$C$161,2,FALSE)*VLOOKUP(M$1,'Attrition Modeling'!$L$15:$N$27,IF(M$2-$F36&lt;=24,2,3),FALSE))*(1+Projection!O$16)*(1+IF(M168&gt;0,'Attrition Modeling'!$N$9,0))),0))</f>
        <v>0</v>
      </c>
      <c r="N103" s="799">
        <f>IF(N$69=$F103+1,IF(Monthly!J$4=TRUE,0,Monthly!J$17),IF(N$69&gt;$F103+1,M103*(1-IF(N$69-$F103&lt;=12,SUMIFS('Attrition Modeling'!$D:$D,'Attrition Modeling'!$B:$B,$E103,'Attrition Modeling'!$C:$C,N$68),VLOOKUP(N$69-$F103-1,$A$7:$C$161,2,FALSE)*VLOOKUP(N$1,'Attrition Modeling'!$L$15:$N$27,IF(N$2-$F36&lt;=24,2,3),FALSE))*(1+Projection!P$16)*(1+IF(N168&gt;0,'Attrition Modeling'!$N$9,0))),0))</f>
        <v>0</v>
      </c>
      <c r="O103" s="799">
        <f>IF(O$69=$F103+1,IF(Monthly!K$4=TRUE,0,Monthly!K$17),IF(O$69&gt;$F103+1,N103*(1-IF(O$69-$F103&lt;=12,SUMIFS('Attrition Modeling'!$D:$D,'Attrition Modeling'!$B:$B,$E103,'Attrition Modeling'!$C:$C,O$68),VLOOKUP(O$69-$F103-1,$A$7:$C$161,2,FALSE)*VLOOKUP(O$1,'Attrition Modeling'!$L$15:$N$27,IF(O$2-$F36&lt;=24,2,3),FALSE))*(1+Projection!Q$16)*(1+IF(O168&gt;0,'Attrition Modeling'!$N$9,0))),0))</f>
        <v>0</v>
      </c>
      <c r="P103" s="799">
        <f>IF(P$69=$F103+1,IF(Monthly!L$4=TRUE,0,Monthly!L$17),IF(P$69&gt;$F103+1,O103*(1-IF(P$69-$F103&lt;=12,SUMIFS('Attrition Modeling'!$D:$D,'Attrition Modeling'!$B:$B,$E103,'Attrition Modeling'!$C:$C,P$68),VLOOKUP(P$69-$F103-1,$A$7:$C$161,2,FALSE)*VLOOKUP(P$1,'Attrition Modeling'!$L$15:$N$27,IF(P$2-$F36&lt;=24,2,3),FALSE))*(1+Projection!R$16)*(1+IF(P168&gt;0,'Attrition Modeling'!$N$9,0))),0))</f>
        <v>0</v>
      </c>
      <c r="Q103" s="799">
        <f>IF(Q$69=$F103+1,IF(Monthly!M$4=TRUE,0,Monthly!M$17),IF(Q$69&gt;$F103+1,P103*(1-IF(Q$69-$F103&lt;=12,SUMIFS('Attrition Modeling'!$D:$D,'Attrition Modeling'!$B:$B,$E103,'Attrition Modeling'!$C:$C,Q$68),VLOOKUP(Q$69-$F103-1,$A$7:$C$161,2,FALSE)*VLOOKUP(Q$1,'Attrition Modeling'!$L$15:$N$27,IF(Q$2-$F36&lt;=24,2,3),FALSE))*(1+Projection!S$16)*(1+IF(Q168&gt;0,'Attrition Modeling'!$N$9,0))),0))</f>
        <v>0</v>
      </c>
      <c r="R103" s="799">
        <f>IF(R$69=$F103+1,IF(Monthly!N$4=TRUE,0,Monthly!N$17),IF(R$69&gt;$F103+1,Q103*(1-IF(R$69-$F103&lt;=12,SUMIFS('Attrition Modeling'!$D:$D,'Attrition Modeling'!$B:$B,$E103,'Attrition Modeling'!$C:$C,R$68),VLOOKUP(R$69-$F103-1,$A$7:$C$161,2,FALSE)*VLOOKUP(R$1,'Attrition Modeling'!$L$15:$N$27,IF(R$2-$F36&lt;=24,2,3),FALSE))*(1+Projection!T$16)*(1+IF(R168&gt;0,'Attrition Modeling'!$N$9,0))),0))</f>
        <v>0</v>
      </c>
      <c r="S103" s="799">
        <f>IF(S$69=$F103+1,IF(Monthly!O$4=TRUE,0,Monthly!O$17),IF(S$69&gt;$F103+1,R103*(1-IF(S$69-$F103&lt;=12,SUMIFS('Attrition Modeling'!$D:$D,'Attrition Modeling'!$B:$B,$E103,'Attrition Modeling'!$C:$C,S$68),VLOOKUP(S$69-$F103-1,$A$7:$C$161,2,FALSE)*VLOOKUP(S$1,'Attrition Modeling'!$L$15:$N$27,IF(S$2-$F36&lt;=24,2,3),FALSE))*(1+Projection!U$16)*(1+IF(S168&gt;0,'Attrition Modeling'!$N$9,0))),0))</f>
        <v>0</v>
      </c>
      <c r="T103" s="799">
        <f>IF(T$69=$F103+1,IF(Monthly!P$4=TRUE,0,Monthly!P$17),IF(T$69&gt;$F103+1,S103*(1-IF(T$69-$F103&lt;=12,SUMIFS('Attrition Modeling'!$D:$D,'Attrition Modeling'!$B:$B,$E103,'Attrition Modeling'!$C:$C,T$68),VLOOKUP(T$69-$F103-1,$A$7:$C$161,2,FALSE)*VLOOKUP(T$1,'Attrition Modeling'!$L$15:$N$27,IF(T$2-$F36&lt;=24,2,3),FALSE))*(1+Projection!V$16)*(1+IF(T168&gt;0,'Attrition Modeling'!$N$9,0))),0))</f>
        <v>0</v>
      </c>
      <c r="U103" s="799">
        <f>IF(U$69=$F103+1,IF(Monthly!Q$4=TRUE,0,Monthly!Q$17),IF(U$69&gt;$F103+1,T103*(1-IF(U$69-$F103&lt;=12,SUMIFS('Attrition Modeling'!$D:$D,'Attrition Modeling'!$B:$B,$E103,'Attrition Modeling'!$C:$C,U$68),VLOOKUP(U$69-$F103-1,$A$7:$C$161,2,FALSE)*VLOOKUP(U$1,'Attrition Modeling'!$L$15:$N$27,IF(U$2-$F36&lt;=24,2,3),FALSE))*(1+Projection!W$16)*(1+IF(U168&gt;0,'Attrition Modeling'!$N$9,0))),0))</f>
        <v>0</v>
      </c>
      <c r="V103" s="799">
        <f>IF(V$69=$F103+1,IF(Monthly!R$4=TRUE,0,Monthly!R$17),IF(V$69&gt;$F103+1,U103*(1-IF(V$69-$F103&lt;=12,SUMIFS('Attrition Modeling'!$D:$D,'Attrition Modeling'!$B:$B,$E103,'Attrition Modeling'!$C:$C,V$68),VLOOKUP(V$69-$F103-1,$A$7:$C$161,2,FALSE)*VLOOKUP(V$1,'Attrition Modeling'!$L$15:$N$27,IF(V$2-$F36&lt;=24,2,3),FALSE))*(1+Projection!X$16)*(1+IF(V168&gt;0,'Attrition Modeling'!$N$9,0))),0))</f>
        <v>0</v>
      </c>
      <c r="W103" s="799">
        <f>IF(W$69=$F103+1,IF(Monthly!S$4=TRUE,0,Monthly!S$17),IF(W$69&gt;$F103+1,V103*(1-IF(W$69-$F103&lt;=12,SUMIFS('Attrition Modeling'!$D:$D,'Attrition Modeling'!$B:$B,$E103,'Attrition Modeling'!$C:$C,W$68),VLOOKUP(W$69-$F103-1,$A$7:$C$161,2,FALSE)*VLOOKUP(W$1,'Attrition Modeling'!$L$15:$N$27,IF(W$2-$F36&lt;=24,2,3),FALSE))*(1+Projection!Y$16)*(1+IF(W168&gt;0,'Attrition Modeling'!$N$9,0))),0))</f>
        <v>0</v>
      </c>
      <c r="X103" s="799">
        <f>IF(X$69=$F103+1,IF(Monthly!T$4=TRUE,0,Monthly!T$17),IF(X$69&gt;$F103+1,W103*(1-IF(X$69-$F103&lt;=12,SUMIFS('Attrition Modeling'!$D:$D,'Attrition Modeling'!$B:$B,$E103,'Attrition Modeling'!$C:$C,X$68),VLOOKUP(X$69-$F103-1,$A$7:$C$161,2,FALSE)*VLOOKUP(X$1,'Attrition Modeling'!$L$15:$N$27,IF(X$2-$F36&lt;=24,2,3),FALSE))*(1+Projection!Z$16)*(1+IF(X168&gt;0,'Attrition Modeling'!$N$9,0))),0))</f>
        <v>0</v>
      </c>
      <c r="Y103" s="799">
        <f>IF(Y$69=$F103+1,IF(Monthly!U$4=TRUE,0,Monthly!U$17),IF(Y$69&gt;$F103+1,X103*(1-IF(Y$69-$F103&lt;=12,SUMIFS('Attrition Modeling'!$D:$D,'Attrition Modeling'!$B:$B,$E103,'Attrition Modeling'!$C:$C,Y$68),VLOOKUP(Y$69-$F103-1,$A$7:$C$161,2,FALSE)*VLOOKUP(Y$1,'Attrition Modeling'!$L$15:$N$27,IF(Y$2-$F36&lt;=24,2,3),FALSE))*(1+Projection!AA$16)*(1+IF(Y168&gt;0,'Attrition Modeling'!$N$9,0))),0))</f>
        <v>0</v>
      </c>
      <c r="Z103" s="799">
        <f>IF(Z$69=$F103+1,IF(Monthly!V$4=TRUE,0,Monthly!V$17),IF(Z$69&gt;$F103+1,Y103*(1-IF(Z$69-$F103&lt;=12,SUMIFS('Attrition Modeling'!$D:$D,'Attrition Modeling'!$B:$B,$E103,'Attrition Modeling'!$C:$C,Z$68),VLOOKUP(Z$69-$F103-1,$A$7:$C$161,2,FALSE)*VLOOKUP(Z$1,'Attrition Modeling'!$L$15:$N$27,IF(Z$2-$F36&lt;=24,2,3),FALSE))*(1+Projection!AB$16)*(1+IF(Z168&gt;0,'Attrition Modeling'!$N$9,0))),0))</f>
        <v>0</v>
      </c>
      <c r="AA103" s="799">
        <f>IF(AA$69=$F103+1,IF(Monthly!W$4=TRUE,0,Monthly!W$17),IF(AA$69&gt;$F103+1,Z103*(1-IF(AA$69-$F103&lt;=12,SUMIFS('Attrition Modeling'!$D:$D,'Attrition Modeling'!$B:$B,$E103,'Attrition Modeling'!$C:$C,AA$68),VLOOKUP(AA$69-$F103-1,$A$7:$C$161,2,FALSE)*VLOOKUP(AA$1,'Attrition Modeling'!$L$15:$N$27,IF(AA$2-$F36&lt;=24,2,3),FALSE))*(1+Projection!AC$16)*(1+IF(AA168&gt;0,'Attrition Modeling'!$N$9,0))),0))</f>
        <v>0</v>
      </c>
      <c r="AB103" s="799">
        <f>IF(AB$69=$F103+1,IF(Monthly!X$4=TRUE,0,Monthly!X$17),IF(AB$69&gt;$F103+1,AA103*(1-IF(AB$69-$F103&lt;=12,SUMIFS('Attrition Modeling'!$D:$D,'Attrition Modeling'!$B:$B,$E103,'Attrition Modeling'!$C:$C,AB$68),VLOOKUP(AB$69-$F103-1,$A$7:$C$161,2,FALSE)*VLOOKUP(AB$1,'Attrition Modeling'!$L$15:$N$27,IF(AB$2-$F36&lt;=24,2,3),FALSE))*(1+Projection!AD$16)*(1+IF(AB168&gt;0,'Attrition Modeling'!$N$9,0))),0))</f>
        <v>0</v>
      </c>
      <c r="AC103" s="799">
        <f>IF(AC$69=$F103+1,IF(Monthly!Y$4=TRUE,0,Monthly!Y$17),IF(AC$69&gt;$F103+1,AB103*(1-IF(AC$69-$F103&lt;=12,SUMIFS('Attrition Modeling'!$D:$D,'Attrition Modeling'!$B:$B,$E103,'Attrition Modeling'!$C:$C,AC$68),VLOOKUP(AC$69-$F103-1,$A$7:$C$161,2,FALSE)*VLOOKUP(AC$1,'Attrition Modeling'!$L$15:$N$27,IF(AC$2-$F36&lt;=24,2,3),FALSE))*(1+Projection!AE$16)*(1+IF(AC168&gt;0,'Attrition Modeling'!$N$9,0))),0))</f>
        <v>0</v>
      </c>
      <c r="AD103" s="799">
        <f>IF(AD$69=$F103+1,IF(Monthly!Z$4=TRUE,0,Monthly!Z$17),IF(AD$69&gt;$F103+1,AC103*(1-IF(AD$69-$F103&lt;=12,SUMIFS('Attrition Modeling'!$D:$D,'Attrition Modeling'!$B:$B,$E103,'Attrition Modeling'!$C:$C,AD$68),VLOOKUP(AD$69-$F103-1,$A$7:$C$161,2,FALSE)*VLOOKUP(AD$1,'Attrition Modeling'!$L$15:$N$27,IF(AD$2-$F36&lt;=24,2,3),FALSE))*(1+Projection!AF$16)*(1+IF(AD168&gt;0,'Attrition Modeling'!$N$9,0))),0))</f>
        <v>0</v>
      </c>
      <c r="AE103" s="799">
        <f>IF(AE$69=$F103+1,IF(Monthly!AA$4=TRUE,0,Monthly!AA$17),IF(AE$69&gt;$F103+1,AD103*(1-IF(AE$69-$F103&lt;=12,SUMIFS('Attrition Modeling'!$D:$D,'Attrition Modeling'!$B:$B,$E103,'Attrition Modeling'!$C:$C,AE$68),VLOOKUP(AE$69-$F103-1,$A$7:$C$161,2,FALSE)*VLOOKUP(AE$1,'Attrition Modeling'!$L$15:$N$27,IF(AE$2-$F36&lt;=24,2,3),FALSE))*(1+Projection!AG$16)*(1+IF(AE168&gt;0,'Attrition Modeling'!$N$9,0))),0))</f>
        <v>0</v>
      </c>
      <c r="AF103" s="799">
        <f>IF(AF$69=$F103+1,IF(Monthly!AB$4=TRUE,0,Monthly!AB$17),IF(AF$69&gt;$F103+1,AE103*(1-IF(AF$69-$F103&lt;=12,SUMIFS('Attrition Modeling'!$D:$D,'Attrition Modeling'!$B:$B,$E103,'Attrition Modeling'!$C:$C,AF$68),VLOOKUP(AF$69-$F103-1,$A$7:$C$161,2,FALSE)*VLOOKUP(AF$1,'Attrition Modeling'!$L$15:$N$27,IF(AF$2-$F36&lt;=24,2,3),FALSE))*(1+Projection!AH$16)*(1+IF(AF168&gt;0,'Attrition Modeling'!$N$9,0))),0))</f>
        <v>0</v>
      </c>
      <c r="AG103" s="799">
        <f>IF(AG$69=$F103+1,IF(Monthly!AC$4=TRUE,0,Monthly!AC$17),IF(AG$69&gt;$F103+1,AF103*(1-IF(AG$69-$F103&lt;=12,SUMIFS('Attrition Modeling'!$D:$D,'Attrition Modeling'!$B:$B,$E103,'Attrition Modeling'!$C:$C,AG$68),VLOOKUP(AG$69-$F103-1,$A$7:$C$161,2,FALSE)*VLOOKUP(AG$1,'Attrition Modeling'!$L$15:$N$27,IF(AG$2-$F36&lt;=24,2,3),FALSE))*(1+Projection!AI$16)*(1+IF(AG168&gt;0,'Attrition Modeling'!$N$9,0))),0))</f>
        <v>0</v>
      </c>
      <c r="AH103" s="799">
        <f>IF(AH$69=$F103+1,IF(Monthly!AD$4=TRUE,0,Monthly!AD$17),IF(AH$69&gt;$F103+1,AG103*(1-IF(AH$69-$F103&lt;=12,SUMIFS('Attrition Modeling'!$D:$D,'Attrition Modeling'!$B:$B,$E103,'Attrition Modeling'!$C:$C,AH$68),VLOOKUP(AH$69-$F103-1,$A$7:$C$161,2,FALSE)*VLOOKUP(AH$1,'Attrition Modeling'!$L$15:$N$27,IF(AH$2-$F36&lt;=24,2,3),FALSE))*(1+Projection!AJ$16)*(1+IF(AH168&gt;0,'Attrition Modeling'!$N$9,0))),0))</f>
        <v>0</v>
      </c>
      <c r="AI103" s="799">
        <f>IF(AI$69=$F103+1,IF(Monthly!AE$4=TRUE,0,Monthly!AE$17),IF(AI$69&gt;$F103+1,AH103*(1-IF(AI$69-$F103&lt;=12,SUMIFS('Attrition Modeling'!$D:$D,'Attrition Modeling'!$B:$B,$E103,'Attrition Modeling'!$C:$C,AI$68),VLOOKUP(AI$69-$F103-1,$A$7:$C$161,2,FALSE)*VLOOKUP(AI$1,'Attrition Modeling'!$L$15:$N$27,IF(AI$2-$F36&lt;=24,2,3),FALSE))*(1+Projection!AK$16)*(1+IF(AI168&gt;0,'Attrition Modeling'!$N$9,0))),0))</f>
        <v>0</v>
      </c>
      <c r="AJ103" s="799">
        <f>IF(AJ$69=$F103+1,IF(Monthly!AF$4=TRUE,0,Monthly!AF$17),IF(AJ$69&gt;$F103+1,AI103*(1-IF(AJ$69-$F103&lt;=12,SUMIFS('Attrition Modeling'!$D:$D,'Attrition Modeling'!$B:$B,$E103,'Attrition Modeling'!$C:$C,AJ$68),VLOOKUP(AJ$69-$F103-1,$A$7:$C$161,2,FALSE)*VLOOKUP(AJ$1,'Attrition Modeling'!$L$15:$N$27,IF(AJ$2-$F36&lt;=24,2,3),FALSE))*(1+Projection!AL$16)*(1+IF(AJ168&gt;0,'Attrition Modeling'!$N$9,0))),0))</f>
        <v>0</v>
      </c>
      <c r="AK103" s="799">
        <f>IF(AK$69=$F103+1,IF(Monthly!AG$4=TRUE,0,Monthly!AG$17),IF(AK$69&gt;$F103+1,AJ103*(1-IF(AK$69-$F103&lt;=12,SUMIFS('Attrition Modeling'!$D:$D,'Attrition Modeling'!$B:$B,$E103,'Attrition Modeling'!$C:$C,AK$68),VLOOKUP(AK$69-$F103-1,$A$7:$C$161,2,FALSE)*VLOOKUP(AK$1,'Attrition Modeling'!$L$15:$N$27,IF(AK$2-$F36&lt;=24,2,3),FALSE))*(1+Projection!AM$16)*(1+IF(AK168&gt;0,'Attrition Modeling'!$N$9,0))),0))</f>
        <v>0</v>
      </c>
      <c r="AL103" s="799">
        <f>IF(AL$69=$F103+1,IF(Monthly!AH$4=TRUE,0,Monthly!AH$17),IF(AL$69&gt;$F103+1,AK103*(1-IF(AL$69-$F103&lt;=12,SUMIFS('Attrition Modeling'!$D:$D,'Attrition Modeling'!$B:$B,$E103,'Attrition Modeling'!$C:$C,AL$68),VLOOKUP(AL$69-$F103-1,$A$7:$C$161,2,FALSE)*VLOOKUP(AL$1,'Attrition Modeling'!$L$15:$N$27,IF(AL$2-$F36&lt;=24,2,3),FALSE))*(1+Projection!AN$16)*(1+IF(AL168&gt;0,'Attrition Modeling'!$N$9,0))),0))</f>
        <v>0</v>
      </c>
      <c r="AM103" s="799">
        <f>IF(AM$69=$F103+1,IF(Monthly!AI$4=TRUE,0,Monthly!AI$17),IF(AM$69&gt;$F103+1,AL103*(1-IF(AM$69-$F103&lt;=12,SUMIFS('Attrition Modeling'!$D:$D,'Attrition Modeling'!$B:$B,$E103,'Attrition Modeling'!$C:$C,AM$68),VLOOKUP(AM$69-$F103-1,$A$7:$C$161,2,FALSE)*VLOOKUP(AM$1,'Attrition Modeling'!$L$15:$N$27,IF(AM$2-$F36&lt;=24,2,3),FALSE))*(1+Projection!AO$16)*(1+IF(AM168&gt;0,'Attrition Modeling'!$N$9,0))),0))</f>
        <v>0</v>
      </c>
      <c r="AN103" s="799">
        <f>IF(AN$69=$F103+1,IF(Monthly!AJ$4=TRUE,0,Monthly!AJ$17),IF(AN$69&gt;$F103+1,AM103*(1-IF(AN$69-$F103&lt;=12,SUMIFS('Attrition Modeling'!$D:$D,'Attrition Modeling'!$B:$B,$E103,'Attrition Modeling'!$C:$C,AN$68),VLOOKUP(AN$69-$F103-1,$A$7:$C$161,2,FALSE)*VLOOKUP(AN$1,'Attrition Modeling'!$L$15:$N$27,IF(AN$2-$F36&lt;=24,2,3),FALSE))*(1+Projection!AP$16)*(1+IF(AN168&gt;0,'Attrition Modeling'!$N$9,0))),0))</f>
        <v>0</v>
      </c>
      <c r="AO103" s="799">
        <f>IF(AO$69=$F103+1,IF(Monthly!AK$4=TRUE,0,Monthly!AK$17),IF(AO$69&gt;$F103+1,AN103*(1-IF(AO$69-$F103&lt;=12,SUMIFS('Attrition Modeling'!$D:$D,'Attrition Modeling'!$B:$B,$E103,'Attrition Modeling'!$C:$C,AO$68),VLOOKUP(AO$69-$F103-1,$A$7:$C$161,2,FALSE)*VLOOKUP(AO$1,'Attrition Modeling'!$L$15:$N$27,IF(AO$2-$F36&lt;=24,2,3),FALSE))*(1+Projection!AQ$16)*(1+IF(AO168&gt;0,'Attrition Modeling'!$N$9,0))),0))</f>
        <v>8166.6313360117347</v>
      </c>
      <c r="AP103" s="799">
        <f>IF(AP$69=$F103+1,IF(Monthly!AL$4=TRUE,0,Monthly!AL$17),IF(AP$69&gt;$F103+1,AO103*(1-IF(AP$69-$F103&lt;=12,SUMIFS('Attrition Modeling'!$D:$D,'Attrition Modeling'!$B:$B,$E103,'Attrition Modeling'!$C:$C,AP$68),VLOOKUP(AP$69-$F103-1,$A$7:$C$161,2,FALSE)*VLOOKUP(AP$1,'Attrition Modeling'!$L$15:$N$27,IF(AP$2-$F36&lt;=24,2,3),FALSE))*(1+Projection!AR$16)*(1+IF(AP168&gt;0,'Attrition Modeling'!$N$9,0))),0))</f>
        <v>7348.5120920433501</v>
      </c>
      <c r="AQ103" s="799">
        <f>IF(AQ$69=$F103+1,IF(Monthly!AM$4=TRUE,0,Monthly!AM$17),IF(AQ$69&gt;$F103+1,AP103*(1-IF(AQ$69-$F103&lt;=12,SUMIFS('Attrition Modeling'!$D:$D,'Attrition Modeling'!$B:$B,$E103,'Attrition Modeling'!$C:$C,AQ$68),VLOOKUP(AQ$69-$F103-1,$A$7:$C$161,2,FALSE)*VLOOKUP(AQ$1,'Attrition Modeling'!$L$15:$N$27,IF(AQ$2-$F36&lt;=24,2,3),FALSE))*(1+Projection!AS$16)*(1+IF(AQ168&gt;0,'Attrition Modeling'!$N$9,0))),0))</f>
        <v>6703.4025291797088</v>
      </c>
      <c r="AR103" s="799">
        <f>IF(AR$69=$F103+1,IF(Monthly!AN$4=TRUE,0,Monthly!AN$17),IF(AR$69&gt;$F103+1,AQ103*(1-IF(AR$69-$F103&lt;=12,SUMIFS('Attrition Modeling'!$D:$D,'Attrition Modeling'!$B:$B,$E103,'Attrition Modeling'!$C:$C,AR$68),VLOOKUP(AR$69-$F103-1,$A$7:$C$161,2,FALSE)*VLOOKUP(AR$1,'Attrition Modeling'!$L$15:$N$27,IF(AR$2-$F36&lt;=24,2,3),FALSE))*(1+Projection!AT$16)*(1+IF(AR168&gt;0,'Attrition Modeling'!$N$9,0))),0))</f>
        <v>6154.8672563265018</v>
      </c>
      <c r="AS103" s="799">
        <f>IF(AS$69=$F103+1,IF(Monthly!AO$4=TRUE,0,Monthly!AO$17),IF(AS$69&gt;$F103+1,AR103*(1-IF(AS$69-$F103&lt;=12,SUMIFS('Attrition Modeling'!$D:$D,'Attrition Modeling'!$B:$B,$E103,'Attrition Modeling'!$C:$C,AS$68),VLOOKUP(AS$69-$F103-1,$A$7:$C$161,2,FALSE)*VLOOKUP(AS$1,'Attrition Modeling'!$L$15:$N$27,IF(AS$2-$F36&lt;=24,2,3),FALSE))*(1+Projection!AU$16)*(1+IF(AS168&gt;0,'Attrition Modeling'!$N$9,0))),0))</f>
        <v>5700.8236220573845</v>
      </c>
      <c r="AT103" s="799">
        <f>IF(AT$69=$F103+1,IF(Monthly!AP$4=TRUE,0,Monthly!AP$17),IF(AT$69&gt;$F103+1,AS103*(1-IF(AT$69-$F103&lt;=12,SUMIFS('Attrition Modeling'!$D:$D,'Attrition Modeling'!$B:$B,$E103,'Attrition Modeling'!$C:$C,AT$68),VLOOKUP(AT$69-$F103-1,$A$7:$C$161,2,FALSE)*VLOOKUP(AT$1,'Attrition Modeling'!$L$15:$N$27,IF(AT$2-$F36&lt;=24,2,3),FALSE))*(1+Projection!AV$16)*(1+IF(AT168&gt;0,'Attrition Modeling'!$N$9,0))),0))</f>
        <v>5116.8582493144995</v>
      </c>
      <c r="AU103" s="799">
        <f>IF(AU$69=$F103+1,IF(Monthly!AQ$4=TRUE,0,Monthly!AQ$17),IF(AU$69&gt;$F103+1,AT103*(1-IF(AU$69-$F103&lt;=12,SUMIFS('Attrition Modeling'!$D:$D,'Attrition Modeling'!$B:$B,$E103,'Attrition Modeling'!$C:$C,AU$68),VLOOKUP(AU$69-$F103-1,$A$7:$C$161,2,FALSE)*VLOOKUP(AU$1,'Attrition Modeling'!$L$15:$N$27,IF(AU$2-$F36&lt;=24,2,3),FALSE))*(1+Projection!AW$16)*(1+IF(AU168&gt;0,'Attrition Modeling'!$N$9,0))),0))</f>
        <v>4745.0450194173409</v>
      </c>
      <c r="AV103" s="799">
        <f>IF(AV$69=$F103+1,IF(Monthly!AR$4=TRUE,0,Monthly!AR$17),IF(AV$69&gt;$F103+1,AU103*(1-IF(AV$69-$F103&lt;=12,SUMIFS('Attrition Modeling'!$D:$D,'Attrition Modeling'!$B:$B,$E103,'Attrition Modeling'!$C:$C,AV$68),VLOOKUP(AV$69-$F103-1,$A$7:$C$161,2,FALSE)*VLOOKUP(AV$1,'Attrition Modeling'!$L$15:$N$27,IF(AV$2-$F36&lt;=24,2,3),FALSE))*(1+Projection!AX$16)*(1+IF(AV168&gt;0,'Attrition Modeling'!$N$9,0))),0))</f>
        <v>4407.4812830242863</v>
      </c>
      <c r="AW103" s="799">
        <f>IF(AW$69=$F103+1,IF(Monthly!AS$4=TRUE,0,Monthly!AS$17),IF(AW$69&gt;$F103+1,AV103*(1-IF(AW$69-$F103&lt;=12,SUMIFS('Attrition Modeling'!$D:$D,'Attrition Modeling'!$B:$B,$E103,'Attrition Modeling'!$C:$C,AW$68),VLOOKUP(AW$69-$F103-1,$A$7:$C$161,2,FALSE)*VLOOKUP(AW$1,'Attrition Modeling'!$L$15:$N$27,IF(AW$2-$F36&lt;=24,2,3),FALSE))*(1+Projection!AY$16)*(1+IF(AW168&gt;0,'Attrition Modeling'!$N$9,0))),0))</f>
        <v>4103.9792570124</v>
      </c>
      <c r="AX103" s="799">
        <f>IF(AX$69=$F103+1,IF(Monthly!AT$4=TRUE,0,Monthly!AT$17),IF(AX$69&gt;$F103+1,AW103*(1-IF(AX$69-$F103&lt;=12,SUMIFS('Attrition Modeling'!$D:$D,'Attrition Modeling'!$B:$B,$E103,'Attrition Modeling'!$C:$C,AX$68),VLOOKUP(AX$69-$F103-1,$A$7:$C$161,2,FALSE)*VLOOKUP(AX$1,'Attrition Modeling'!$L$15:$N$27,IF(AX$2-$F36&lt;=24,2,3),FALSE))*(1+Projection!AZ$16)*(1+IF(AX168&gt;0,'Attrition Modeling'!$N$9,0))),0))</f>
        <v>3852.0689253778423</v>
      </c>
      <c r="AY103" s="799">
        <f>IF(AY$69=$F103+1,IF(Monthly!AU$4=TRUE,0,Monthly!AU$17),IF(AY$69&gt;$F103+1,AX103*(1-IF(AY$69-$F103&lt;=12,SUMIFS('Attrition Modeling'!$D:$D,'Attrition Modeling'!$B:$B,$E103,'Attrition Modeling'!$C:$C,AY$68),VLOOKUP(AY$69-$F103-1,$A$7:$C$161,2,FALSE)*VLOOKUP(AY$1,'Attrition Modeling'!$L$15:$N$27,IF(AY$2-$F36&lt;=24,2,3),FALSE))*(1+Projection!BA$16)*(1+IF(AY168&gt;0,'Attrition Modeling'!$N$9,0))),0))</f>
        <v>3625.1096852979795</v>
      </c>
      <c r="AZ103" s="799">
        <f>IF(AZ$69=$F103+1,IF(Monthly!AV$4=TRUE,0,Monthly!AV$17),IF(AZ$69&gt;$F103+1,AY103*(1-IF(AZ$69-$F103&lt;=12,SUMIFS('Attrition Modeling'!$D:$D,'Attrition Modeling'!$B:$B,$E103,'Attrition Modeling'!$C:$C,AZ$68),VLOOKUP(AZ$69-$F103-1,$A$7:$C$161,2,FALSE)*VLOOKUP(AZ$1,'Attrition Modeling'!$L$15:$N$27,IF(AZ$2-$F36&lt;=24,2,3),FALSE))*(1+Projection!BB$16)*(1+IF(AZ168&gt;0,'Attrition Modeling'!$N$9,0))),0))</f>
        <v>3469.8455849569236</v>
      </c>
      <c r="BA103" s="799">
        <f>IF(BA$69=$F103+1,IF(Monthly!AW$4=TRUE,0,Monthly!AW$17),IF(BA$69&gt;$F103+1,AZ103*(1-IF(BA$69-$F103&lt;=12,SUMIFS('Attrition Modeling'!$D:$D,'Attrition Modeling'!$B:$B,$E103,'Attrition Modeling'!$C:$C,BA$68),VLOOKUP(BA$69-$F103-1,$A$7:$C$161,2,FALSE)*VLOOKUP(BA$1,'Attrition Modeling'!$L$15:$N$27,IF(BA$2-$F36&lt;=24,2,3),FALSE))*(1+Projection!BC$16)*(1+IF(BA168&gt;0,'Attrition Modeling'!$N$9,0))),0))</f>
        <v>3273.7777787421569</v>
      </c>
      <c r="BB103" s="799">
        <f>IF(BB$69=$F103+1,IF(Monthly!AX$4=TRUE,0,Monthly!AX$17),IF(BB$69&gt;$F103+1,BA103*(1-IF(BB$69-$F103&lt;=12,SUMIFS('Attrition Modeling'!$D:$D,'Attrition Modeling'!$B:$B,$E103,'Attrition Modeling'!$C:$C,BB$68),VLOOKUP(BB$69-$F103-1,$A$7:$C$161,2,FALSE)*VLOOKUP(BB$1,'Attrition Modeling'!$L$15:$N$27,IF(BB$2-$F36&lt;=24,2,3),FALSE))*(1+Projection!BD$16)*(1+IF(BB168&gt;0,'Attrition Modeling'!$N$9,0))),0))</f>
        <v>3109.5656950860207</v>
      </c>
      <c r="BC103" s="799">
        <f>IF(BC$69=$F103+1,IF(Monthly!AY$4=TRUE,0,Monthly!AY$17),IF(BC$69&gt;$F103+1,BB103*(1-IF(BC$69-$F103&lt;=12,SUMIFS('Attrition Modeling'!$D:$D,'Attrition Modeling'!$B:$B,$E103,'Attrition Modeling'!$C:$C,BC$68),VLOOKUP(BC$69-$F103-1,$A$7:$C$161,2,FALSE)*VLOOKUP(BC$1,'Attrition Modeling'!$L$15:$N$27,IF(BC$2-$F36&lt;=24,2,3),FALSE))*(1+Projection!BE$16)*(1+IF(BC168&gt;0,'Attrition Modeling'!$N$9,0))),0))</f>
        <v>2962.786122103767</v>
      </c>
      <c r="BD103" s="799">
        <f>IF(BD$69=$F103+1,IF(Monthly!AZ$4=TRUE,0,Monthly!AZ$17),IF(BD$69&gt;$F103+1,BC103*(1-IF(BD$69-$F103&lt;=12,SUMIFS('Attrition Modeling'!$D:$D,'Attrition Modeling'!$B:$B,$E103,'Attrition Modeling'!$C:$C,BD$68),VLOOKUP(BD$69-$F103-1,$A$7:$C$161,2,FALSE)*VLOOKUP(BD$1,'Attrition Modeling'!$L$15:$N$27,IF(BD$2-$F36&lt;=24,2,3),FALSE))*(1+Projection!BF$16)*(1+IF(BD168&gt;0,'Attrition Modeling'!$N$9,0))),0))</f>
        <v>2827.9220619333259</v>
      </c>
      <c r="BE103" s="799">
        <f>IF(BE$69=$F103+1,IF(Monthly!BA$4=TRUE,0,Monthly!BA$17),IF(BE$69&gt;$F103+1,BD103*(1-IF(BE$69-$F103&lt;=12,SUMIFS('Attrition Modeling'!$D:$D,'Attrition Modeling'!$B:$B,$E103,'Attrition Modeling'!$C:$C,BE$68),VLOOKUP(BE$69-$F103-1,$A$7:$C$161,2,FALSE)*VLOOKUP(BE$1,'Attrition Modeling'!$L$15:$N$27,IF(BE$2-$F36&lt;=24,2,3),FALSE))*(1+Projection!BG$16)*(1+IF(BE168&gt;0,'Attrition Modeling'!$N$9,0))),0))</f>
        <v>2715.2134796533833</v>
      </c>
      <c r="BF103" s="799">
        <f>IF(BF$69=$F103+1,IF(Monthly!BB$4=TRUE,0,Monthly!BB$17),IF(BF$69&gt;$F103+1,BE103*(1-IF(BF$69-$F103&lt;=12,SUMIFS('Attrition Modeling'!$D:$D,'Attrition Modeling'!$B:$B,$E103,'Attrition Modeling'!$C:$C,BF$68),VLOOKUP(BF$69-$F103-1,$A$7:$C$161,2,FALSE)*VLOOKUP(BF$1,'Attrition Modeling'!$L$15:$N$27,IF(BF$2-$F36&lt;=24,2,3),FALSE))*(1+Projection!BH$16)*(1+IF(BF168&gt;0,'Attrition Modeling'!$N$9,0))),0))</f>
        <v>2577.352819576497</v>
      </c>
      <c r="BG103" s="799">
        <f>IF(BG$69=$F103+1,IF(Monthly!BC$4=TRUE,0,Monthly!BC$17),IF(BG$69&gt;$F103+1,BF103*(1-IF(BG$69-$F103&lt;=12,SUMIFS('Attrition Modeling'!$D:$D,'Attrition Modeling'!$B:$B,$E103,'Attrition Modeling'!$C:$C,BG$68),VLOOKUP(BG$69-$F103-1,$A$7:$C$161,2,FALSE)*VLOOKUP(BG$1,'Attrition Modeling'!$L$15:$N$27,IF(BG$2-$F36&lt;=24,2,3),FALSE))*(1+Projection!BI$16)*(1+IF(BG168&gt;0,'Attrition Modeling'!$N$9,0))),0))</f>
        <v>2472.432453118071</v>
      </c>
      <c r="BH103" s="799">
        <f>IF(BH$69=$F103+1,IF(Monthly!BD$4=TRUE,0,Monthly!BD$17),IF(BH$69&gt;$F103+1,BG103*(1-IF(BH$69-$F103&lt;=12,SUMIFS('Attrition Modeling'!$D:$D,'Attrition Modeling'!$B:$B,$E103,'Attrition Modeling'!$C:$C,BH$68),VLOOKUP(BH$69-$F103-1,$A$7:$C$161,2,FALSE)*VLOOKUP(BH$1,'Attrition Modeling'!$L$15:$N$27,IF(BH$2-$F36&lt;=24,2,3),FALSE))*(1+Projection!BJ$16)*(1+IF(BH168&gt;0,'Attrition Modeling'!$N$9,0))),0))</f>
        <v>2374.4007307405827</v>
      </c>
      <c r="BI103" s="799">
        <f>IF(BI$69=$F103+1,IF(Monthly!BE$4=TRUE,0,Monthly!BE$17),IF(BI$69&gt;$F103+1,BH103*(1-IF(BI$69-$F103&lt;=12,SUMIFS('Attrition Modeling'!$D:$D,'Attrition Modeling'!$B:$B,$E103,'Attrition Modeling'!$C:$C,BI$68),VLOOKUP(BI$69-$F103-1,$A$7:$C$161,2,FALSE)*VLOOKUP(BI$1,'Attrition Modeling'!$L$15:$N$27,IF(BI$2-$F36&lt;=24,2,3),FALSE))*(1+Projection!BK$16)*(1+IF(BI168&gt;0,'Attrition Modeling'!$N$9,0))),0))</f>
        <v>2272.8074862593389</v>
      </c>
      <c r="BJ103" s="799">
        <f>IF(BJ$69=$F103+1,IF(Monthly!BF$4=TRUE,0,Monthly!BF$17),IF(BJ$69&gt;$F103+1,BI103*(1-IF(BJ$69-$F103&lt;=12,SUMIFS('Attrition Modeling'!$D:$D,'Attrition Modeling'!$B:$B,$E103,'Attrition Modeling'!$C:$C,BJ$68),VLOOKUP(BJ$69-$F103-1,$A$7:$C$161,2,FALSE)*VLOOKUP(BJ$1,'Attrition Modeling'!$L$15:$N$27,IF(BJ$2-$F36&lt;=24,2,3),FALSE))*(1+Projection!BL$16)*(1+IF(BJ168&gt;0,'Attrition Modeling'!$N$9,0))),0))</f>
        <v>2174.8069409304198</v>
      </c>
      <c r="BK103" s="799">
        <f>IF(BK$69=$F103+1,IF(Monthly!BG$4=TRUE,0,Monthly!BG$17),IF(BK$69&gt;$F103+1,BJ103*(1-IF(BK$69-$F103&lt;=12,SUMIFS('Attrition Modeling'!$D:$D,'Attrition Modeling'!$B:$B,$E103,'Attrition Modeling'!$C:$C,BK$68),VLOOKUP(BK$69-$F103-1,$A$7:$C$161,2,FALSE)*VLOOKUP(BK$1,'Attrition Modeling'!$L$15:$N$27,IF(BK$2-$F36&lt;=24,2,3),FALSE))*(1+Projection!BM$16)*(1+IF(BK168&gt;0,'Attrition Modeling'!$N$9,0))),0))</f>
        <v>2078.283605491833</v>
      </c>
      <c r="BL103" s="799">
        <f>IF(BL$69=$F103+1,IF(Monthly!BH$4=TRUE,0,Monthly!BH$17),IF(BL$69&gt;$F103+1,BK103*(1-IF(BL$69-$F103&lt;=12,SUMIFS('Attrition Modeling'!$D:$D,'Attrition Modeling'!$B:$B,$E103,'Attrition Modeling'!$C:$C,BL$68),VLOOKUP(BL$69-$F103-1,$A$7:$C$161,2,FALSE)*VLOOKUP(BL$1,'Attrition Modeling'!$L$15:$N$27,IF(BL$2-$F36&lt;=24,2,3),FALSE))*(1+Projection!BN$16)*(1+IF(BL168&gt;0,'Attrition Modeling'!$N$9,0))),0))</f>
        <v>1995.2862030293304</v>
      </c>
      <c r="BM103" s="799">
        <f>IF(BM$69=$F103+1,IF(Monthly!BI$4=TRUE,0,Monthly!BI$17),IF(BM$69&gt;$F103+1,BL103*(1-IF(BM$69-$F103&lt;=12,SUMIFS('Attrition Modeling'!$D:$D,'Attrition Modeling'!$B:$B,$E103,'Attrition Modeling'!$C:$C,BM$68),VLOOKUP(BM$69-$F103-1,$A$7:$C$161,2,FALSE)*VLOOKUP(BM$1,'Attrition Modeling'!$L$15:$N$27,IF(BM$2-$F36&lt;=24,2,3),FALSE))*(1+Projection!BO$16)*(1+IF(BM168&gt;0,'Attrition Modeling'!$N$9,0))),0))</f>
        <v>1915.7705832075585</v>
      </c>
      <c r="BN103" s="799">
        <f>IF(BN$69=$F103+1,IF(Monthly!BJ$4=TRUE,0,Monthly!BJ$17),IF(BN$69&gt;$F103+1,BM103*(1-IF(BN$69-$F103&lt;=12,SUMIFS('Attrition Modeling'!$D:$D,'Attrition Modeling'!$B:$B,$E103,'Attrition Modeling'!$C:$C,BN$68),VLOOKUP(BN$69-$F103-1,$A$7:$C$161,2,FALSE)*VLOOKUP(BN$1,'Attrition Modeling'!$L$15:$N$27,IF(BN$2-$F36&lt;=24,2,3),FALSE))*(1+Projection!BP$16)*(1+IF(BN168&gt;0,'Attrition Modeling'!$N$9,0))),0))</f>
        <v>1842.1888746787799</v>
      </c>
      <c r="BO103" s="799">
        <f>IF(BO$69=$F103+1,IF(Monthly!BK$4=TRUE,0,Monthly!BK$17),IF(BO$69&gt;$F103+1,BN103*(1-IF(BO$69-$F103&lt;=12,SUMIFS('Attrition Modeling'!$D:$D,'Attrition Modeling'!$B:$B,$E103,'Attrition Modeling'!$C:$C,BO$68),VLOOKUP(BO$69-$F103-1,$A$7:$C$161,2,FALSE)*VLOOKUP(BO$1,'Attrition Modeling'!$L$15:$N$27,IF(BO$2-$F36&lt;=24,2,3),FALSE))*(1+Projection!BV$16)*(1+IF(BO168&gt;0,'Attrition Modeling'!$N$9,0))),0))</f>
        <v>1784.6710006704704</v>
      </c>
      <c r="BP103" s="799">
        <f>IF(BP$69=$F103+1,IF(Monthly!BL$4=TRUE,0,Monthly!BL$17),IF(BP$69&gt;$F103+1,BO103*(1-IF(BP$69-$F103&lt;=12,SUMIFS('Attrition Modeling'!$D:$D,'Attrition Modeling'!$B:$B,$E103,'Attrition Modeling'!$C:$C,BP$68),VLOOKUP(BP$69-$F103-1,$A$7:$C$161,2,FALSE)*VLOOKUP(BP$1,'Attrition Modeling'!$L$15:$N$27,IF(BP$2-$F36&lt;=24,2,3),FALSE))*(1+Projection!BW$16)*(1+IF(BP168&gt;0,'Attrition Modeling'!$N$9,0))),0))</f>
        <v>1723.7942132931591</v>
      </c>
      <c r="BQ103" s="799">
        <f>IF(BQ$69=$F103+1,IF(Monthly!BM$4=TRUE,0,Monthly!BM$17),IF(BQ$69&gt;$F103+1,BP103*(1-IF(BQ$69-$F103&lt;=12,SUMIFS('Attrition Modeling'!$D:$D,'Attrition Modeling'!$B:$B,$E103,'Attrition Modeling'!$C:$C,BQ$68),VLOOKUP(BQ$69-$F103-1,$A$7:$C$161,2,FALSE)*VLOOKUP(BQ$1,'Attrition Modeling'!$L$15:$N$27,IF(BQ$2-$F36&lt;=24,2,3),FALSE))*(1+Projection!BX$16)*(1+IF(BQ168&gt;0,'Attrition Modeling'!$N$9,0))),0))</f>
        <v>1667.5705725116445</v>
      </c>
      <c r="BR103" s="799">
        <f>IF(BR$69=$F103+1,IF(Monthly!BN$4=TRUE,0,Monthly!BN$17),IF(BR$69&gt;$F103+1,BQ103*(1-IF(BR$69-$F103&lt;=12,SUMIFS('Attrition Modeling'!$D:$D,'Attrition Modeling'!$B:$B,$E103,'Attrition Modeling'!$C:$C,BR$68),VLOOKUP(BR$69-$F103-1,$A$7:$C$161,2,FALSE)*VLOOKUP(BR$1,'Attrition Modeling'!$L$15:$N$27,IF(BR$2-$F36&lt;=24,2,3),FALSE))*(1+Projection!BY$16)*(1+IF(BR168&gt;0,'Attrition Modeling'!$N$9,0))),0))</f>
        <v>1605.8302447830263</v>
      </c>
      <c r="BS103" s="799">
        <f>IF(BS$69=$F103+1,IF(Monthly!BO$4=TRUE,0,Monthly!BO$17),IF(BS$69&gt;$F103+1,BR103*(1-IF(BS$69-$F103&lt;=12,SUMIFS('Attrition Modeling'!$D:$D,'Attrition Modeling'!$B:$B,$E103,'Attrition Modeling'!$C:$C,BS$68),VLOOKUP(BS$69-$F103-1,$A$7:$C$161,2,FALSE)*VLOOKUP(BS$1,'Attrition Modeling'!$L$15:$N$27,IF(BS$2-$F36&lt;=24,2,3),FALSE))*(1+Projection!BZ$16)*(1+IF(BS168&gt;0,'Attrition Modeling'!$N$9,0))),0))</f>
        <v>1566.9111096599033</v>
      </c>
      <c r="BT103" s="799">
        <f>IF(BT$69=$F103+1,IF(Monthly!#REF!=TRUE,0,Monthly!#REF!),IF(BT$69&gt;$F103+1,BS103*(1-IF(BT$69-$F103&lt;=12,SUMIFS('Attrition Modeling'!$D:$D,'Attrition Modeling'!$B:$B,$E103,'Attrition Modeling'!$C:$C,BT$68),VLOOKUP(BT$69-$F103-1,$A$7:$C$161,2,FALSE)*VLOOKUP(BT$1,'Attrition Modeling'!$L$15:$N$27,IF(BT$2-$F36&lt;=24,2,3),FALSE))*(1+Projection!CA$16)*(1+IF(BT168&gt;0,'Attrition Modeling'!$N$9,0))),0))</f>
        <v>1521.6131616946141</v>
      </c>
      <c r="BU103" s="799">
        <f>IF(BU$69=$F103+1,IF(Monthly!#REF!=TRUE,0,Monthly!#REF!),IF(BU$69&gt;$F103+1,BT103*(1-IF(BU$69-$F103&lt;=12,SUMIFS('Attrition Modeling'!$D:$D,'Attrition Modeling'!$B:$B,$E103,'Attrition Modeling'!$C:$C,BU$68),VLOOKUP(BU$69-$F103-1,$A$7:$C$161,2,FALSE)*VLOOKUP(BU$1,'Attrition Modeling'!$L$15:$N$27,IF(BU$2-$F36&lt;=24,2,3),FALSE))*(1+Projection!CB$16)*(1+IF(BU168&gt;0,'Attrition Modeling'!$N$9,0))),0))</f>
        <v>1471.9975547845324</v>
      </c>
    </row>
    <row r="104" spans="1:73" ht="14.25" customHeight="1" x14ac:dyDescent="0.2">
      <c r="A104" s="9">
        <v>97</v>
      </c>
      <c r="B104" s="25">
        <f>MAX('Attrition Modeling'!H101,$C$3)*(1-Summary!$C$20)</f>
        <v>0.02</v>
      </c>
      <c r="C104" s="24" t="e">
        <f t="shared" si="4"/>
        <v>#DIV/0!</v>
      </c>
      <c r="E104" s="11">
        <f t="shared" si="9"/>
        <v>10</v>
      </c>
      <c r="F104" s="11">
        <f t="shared" si="10"/>
        <v>34</v>
      </c>
      <c r="G104" s="799"/>
      <c r="H104" s="799">
        <f>IF(H$69=$F104+1,IF(Monthly!D$4=TRUE,0,Monthly!D$17),IF(H$69&gt;$F104+1,G104*(1-IF(H$69-$F104&lt;=12,SUMIFS('Attrition Modeling'!$D:$D,'Attrition Modeling'!$B:$B,$E104,'Attrition Modeling'!$C:$C,H$68),VLOOKUP(H$69-$F104-1,$A$7:$C$161,2,FALSE)*VLOOKUP(H$1,'Attrition Modeling'!$L$15:$N$27,IF(H$2-$F37&lt;=24,2,3),FALSE))*(1+Projection!J$16)*(1+IF(H169&gt;0,'Attrition Modeling'!$N$9,0))),0))</f>
        <v>0</v>
      </c>
      <c r="I104" s="799">
        <f>IF(I$69=$F104+1,IF(Monthly!E$4=TRUE,0,Monthly!E$17),IF(I$69&gt;$F104+1,H104*(1-IF(I$69-$F104&lt;=12,SUMIFS('Attrition Modeling'!$D:$D,'Attrition Modeling'!$B:$B,$E104,'Attrition Modeling'!$C:$C,I$68),VLOOKUP(I$69-$F104-1,$A$7:$C$161,2,FALSE)*VLOOKUP(I$1,'Attrition Modeling'!$L$15:$N$27,IF(I$2-$F37&lt;=24,2,3),FALSE))*(1+Projection!K$16)*(1+IF(I169&gt;0,'Attrition Modeling'!$N$9,0))),0))</f>
        <v>0</v>
      </c>
      <c r="J104" s="799">
        <f>IF(J$69=$F104+1,IF(Monthly!F$4=TRUE,0,Monthly!F$17),IF(J$69&gt;$F104+1,I104*(1-IF(J$69-$F104&lt;=12,SUMIFS('Attrition Modeling'!$D:$D,'Attrition Modeling'!$B:$B,$E104,'Attrition Modeling'!$C:$C,J$68),VLOOKUP(J$69-$F104-1,$A$7:$C$161,2,FALSE)*VLOOKUP(J$1,'Attrition Modeling'!$L$15:$N$27,IF(J$2-$F37&lt;=24,2,3),FALSE))*(1+Projection!L$16)*(1+IF(J169&gt;0,'Attrition Modeling'!$N$9,0))),0))</f>
        <v>0</v>
      </c>
      <c r="K104" s="799">
        <f>IF(K$69=$F104+1,IF(Monthly!G$4=TRUE,0,Monthly!G$17),IF(K$69&gt;$F104+1,J104*(1-IF(K$69-$F104&lt;=12,SUMIFS('Attrition Modeling'!$D:$D,'Attrition Modeling'!$B:$B,$E104,'Attrition Modeling'!$C:$C,K$68),VLOOKUP(K$69-$F104-1,$A$7:$C$161,2,FALSE)*VLOOKUP(K$1,'Attrition Modeling'!$L$15:$N$27,IF(K$2-$F37&lt;=24,2,3),FALSE))*(1+Projection!M$16)*(1+IF(K169&gt;0,'Attrition Modeling'!$N$9,0))),0))</f>
        <v>0</v>
      </c>
      <c r="L104" s="799">
        <f>IF(L$69=$F104+1,IF(Monthly!H$4=TRUE,0,Monthly!H$17),IF(L$69&gt;$F104+1,K104*(1-IF(L$69-$F104&lt;=12,SUMIFS('Attrition Modeling'!$D:$D,'Attrition Modeling'!$B:$B,$E104,'Attrition Modeling'!$C:$C,L$68),VLOOKUP(L$69-$F104-1,$A$7:$C$161,2,FALSE)*VLOOKUP(L$1,'Attrition Modeling'!$L$15:$N$27,IF(L$2-$F37&lt;=24,2,3),FALSE))*(1+Projection!N$16)*(1+IF(L169&gt;0,'Attrition Modeling'!$N$9,0))),0))</f>
        <v>0</v>
      </c>
      <c r="M104" s="799">
        <f>IF(M$69=$F104+1,IF(Monthly!I$4=TRUE,0,Monthly!I$17),IF(M$69&gt;$F104+1,L104*(1-IF(M$69-$F104&lt;=12,SUMIFS('Attrition Modeling'!$D:$D,'Attrition Modeling'!$B:$B,$E104,'Attrition Modeling'!$C:$C,M$68),VLOOKUP(M$69-$F104-1,$A$7:$C$161,2,FALSE)*VLOOKUP(M$1,'Attrition Modeling'!$L$15:$N$27,IF(M$2-$F37&lt;=24,2,3),FALSE))*(1+Projection!O$16)*(1+IF(M169&gt;0,'Attrition Modeling'!$N$9,0))),0))</f>
        <v>0</v>
      </c>
      <c r="N104" s="799">
        <f>IF(N$69=$F104+1,IF(Monthly!J$4=TRUE,0,Monthly!J$17),IF(N$69&gt;$F104+1,M104*(1-IF(N$69-$F104&lt;=12,SUMIFS('Attrition Modeling'!$D:$D,'Attrition Modeling'!$B:$B,$E104,'Attrition Modeling'!$C:$C,N$68),VLOOKUP(N$69-$F104-1,$A$7:$C$161,2,FALSE)*VLOOKUP(N$1,'Attrition Modeling'!$L$15:$N$27,IF(N$2-$F37&lt;=24,2,3),FALSE))*(1+Projection!P$16)*(1+IF(N169&gt;0,'Attrition Modeling'!$N$9,0))),0))</f>
        <v>0</v>
      </c>
      <c r="O104" s="799">
        <f>IF(O$69=$F104+1,IF(Monthly!K$4=TRUE,0,Monthly!K$17),IF(O$69&gt;$F104+1,N104*(1-IF(O$69-$F104&lt;=12,SUMIFS('Attrition Modeling'!$D:$D,'Attrition Modeling'!$B:$B,$E104,'Attrition Modeling'!$C:$C,O$68),VLOOKUP(O$69-$F104-1,$A$7:$C$161,2,FALSE)*VLOOKUP(O$1,'Attrition Modeling'!$L$15:$N$27,IF(O$2-$F37&lt;=24,2,3),FALSE))*(1+Projection!Q$16)*(1+IF(O169&gt;0,'Attrition Modeling'!$N$9,0))),0))</f>
        <v>0</v>
      </c>
      <c r="P104" s="799">
        <f>IF(P$69=$F104+1,IF(Monthly!L$4=TRUE,0,Monthly!L$17),IF(P$69&gt;$F104+1,O104*(1-IF(P$69-$F104&lt;=12,SUMIFS('Attrition Modeling'!$D:$D,'Attrition Modeling'!$B:$B,$E104,'Attrition Modeling'!$C:$C,P$68),VLOOKUP(P$69-$F104-1,$A$7:$C$161,2,FALSE)*VLOOKUP(P$1,'Attrition Modeling'!$L$15:$N$27,IF(P$2-$F37&lt;=24,2,3),FALSE))*(1+Projection!R$16)*(1+IF(P169&gt;0,'Attrition Modeling'!$N$9,0))),0))</f>
        <v>0</v>
      </c>
      <c r="Q104" s="799">
        <f>IF(Q$69=$F104+1,IF(Monthly!M$4=TRUE,0,Monthly!M$17),IF(Q$69&gt;$F104+1,P104*(1-IF(Q$69-$F104&lt;=12,SUMIFS('Attrition Modeling'!$D:$D,'Attrition Modeling'!$B:$B,$E104,'Attrition Modeling'!$C:$C,Q$68),VLOOKUP(Q$69-$F104-1,$A$7:$C$161,2,FALSE)*VLOOKUP(Q$1,'Attrition Modeling'!$L$15:$N$27,IF(Q$2-$F37&lt;=24,2,3),FALSE))*(1+Projection!S$16)*(1+IF(Q169&gt;0,'Attrition Modeling'!$N$9,0))),0))</f>
        <v>0</v>
      </c>
      <c r="R104" s="799">
        <f>IF(R$69=$F104+1,IF(Monthly!N$4=TRUE,0,Monthly!N$17),IF(R$69&gt;$F104+1,Q104*(1-IF(R$69-$F104&lt;=12,SUMIFS('Attrition Modeling'!$D:$D,'Attrition Modeling'!$B:$B,$E104,'Attrition Modeling'!$C:$C,R$68),VLOOKUP(R$69-$F104-1,$A$7:$C$161,2,FALSE)*VLOOKUP(R$1,'Attrition Modeling'!$L$15:$N$27,IF(R$2-$F37&lt;=24,2,3),FALSE))*(1+Projection!T$16)*(1+IF(R169&gt;0,'Attrition Modeling'!$N$9,0))),0))</f>
        <v>0</v>
      </c>
      <c r="S104" s="799">
        <f>IF(S$69=$F104+1,IF(Monthly!O$4=TRUE,0,Monthly!O$17),IF(S$69&gt;$F104+1,R104*(1-IF(S$69-$F104&lt;=12,SUMIFS('Attrition Modeling'!$D:$D,'Attrition Modeling'!$B:$B,$E104,'Attrition Modeling'!$C:$C,S$68),VLOOKUP(S$69-$F104-1,$A$7:$C$161,2,FALSE)*VLOOKUP(S$1,'Attrition Modeling'!$L$15:$N$27,IF(S$2-$F37&lt;=24,2,3),FALSE))*(1+Projection!U$16)*(1+IF(S169&gt;0,'Attrition Modeling'!$N$9,0))),0))</f>
        <v>0</v>
      </c>
      <c r="T104" s="799">
        <f>IF(T$69=$F104+1,IF(Monthly!P$4=TRUE,0,Monthly!P$17),IF(T$69&gt;$F104+1,S104*(1-IF(T$69-$F104&lt;=12,SUMIFS('Attrition Modeling'!$D:$D,'Attrition Modeling'!$B:$B,$E104,'Attrition Modeling'!$C:$C,T$68),VLOOKUP(T$69-$F104-1,$A$7:$C$161,2,FALSE)*VLOOKUP(T$1,'Attrition Modeling'!$L$15:$N$27,IF(T$2-$F37&lt;=24,2,3),FALSE))*(1+Projection!V$16)*(1+IF(T169&gt;0,'Attrition Modeling'!$N$9,0))),0))</f>
        <v>0</v>
      </c>
      <c r="U104" s="799">
        <f>IF(U$69=$F104+1,IF(Monthly!Q$4=TRUE,0,Monthly!Q$17),IF(U$69&gt;$F104+1,T104*(1-IF(U$69-$F104&lt;=12,SUMIFS('Attrition Modeling'!$D:$D,'Attrition Modeling'!$B:$B,$E104,'Attrition Modeling'!$C:$C,U$68),VLOOKUP(U$69-$F104-1,$A$7:$C$161,2,FALSE)*VLOOKUP(U$1,'Attrition Modeling'!$L$15:$N$27,IF(U$2-$F37&lt;=24,2,3),FALSE))*(1+Projection!W$16)*(1+IF(U169&gt;0,'Attrition Modeling'!$N$9,0))),0))</f>
        <v>0</v>
      </c>
      <c r="V104" s="799">
        <f>IF(V$69=$F104+1,IF(Monthly!R$4=TRUE,0,Monthly!R$17),IF(V$69&gt;$F104+1,U104*(1-IF(V$69-$F104&lt;=12,SUMIFS('Attrition Modeling'!$D:$D,'Attrition Modeling'!$B:$B,$E104,'Attrition Modeling'!$C:$C,V$68),VLOOKUP(V$69-$F104-1,$A$7:$C$161,2,FALSE)*VLOOKUP(V$1,'Attrition Modeling'!$L$15:$N$27,IF(V$2-$F37&lt;=24,2,3),FALSE))*(1+Projection!X$16)*(1+IF(V169&gt;0,'Attrition Modeling'!$N$9,0))),0))</f>
        <v>0</v>
      </c>
      <c r="W104" s="799">
        <f>IF(W$69=$F104+1,IF(Monthly!S$4=TRUE,0,Monthly!S$17),IF(W$69&gt;$F104+1,V104*(1-IF(W$69-$F104&lt;=12,SUMIFS('Attrition Modeling'!$D:$D,'Attrition Modeling'!$B:$B,$E104,'Attrition Modeling'!$C:$C,W$68),VLOOKUP(W$69-$F104-1,$A$7:$C$161,2,FALSE)*VLOOKUP(W$1,'Attrition Modeling'!$L$15:$N$27,IF(W$2-$F37&lt;=24,2,3),FALSE))*(1+Projection!Y$16)*(1+IF(W169&gt;0,'Attrition Modeling'!$N$9,0))),0))</f>
        <v>0</v>
      </c>
      <c r="X104" s="799">
        <f>IF(X$69=$F104+1,IF(Monthly!T$4=TRUE,0,Monthly!T$17),IF(X$69&gt;$F104+1,W104*(1-IF(X$69-$F104&lt;=12,SUMIFS('Attrition Modeling'!$D:$D,'Attrition Modeling'!$B:$B,$E104,'Attrition Modeling'!$C:$C,X$68),VLOOKUP(X$69-$F104-1,$A$7:$C$161,2,FALSE)*VLOOKUP(X$1,'Attrition Modeling'!$L$15:$N$27,IF(X$2-$F37&lt;=24,2,3),FALSE))*(1+Projection!Z$16)*(1+IF(X169&gt;0,'Attrition Modeling'!$N$9,0))),0))</f>
        <v>0</v>
      </c>
      <c r="Y104" s="799">
        <f>IF(Y$69=$F104+1,IF(Monthly!U$4=TRUE,0,Monthly!U$17),IF(Y$69&gt;$F104+1,X104*(1-IF(Y$69-$F104&lt;=12,SUMIFS('Attrition Modeling'!$D:$D,'Attrition Modeling'!$B:$B,$E104,'Attrition Modeling'!$C:$C,Y$68),VLOOKUP(Y$69-$F104-1,$A$7:$C$161,2,FALSE)*VLOOKUP(Y$1,'Attrition Modeling'!$L$15:$N$27,IF(Y$2-$F37&lt;=24,2,3),FALSE))*(1+Projection!AA$16)*(1+IF(Y169&gt;0,'Attrition Modeling'!$N$9,0))),0))</f>
        <v>0</v>
      </c>
      <c r="Z104" s="799">
        <f>IF(Z$69=$F104+1,IF(Monthly!V$4=TRUE,0,Monthly!V$17),IF(Z$69&gt;$F104+1,Y104*(1-IF(Z$69-$F104&lt;=12,SUMIFS('Attrition Modeling'!$D:$D,'Attrition Modeling'!$B:$B,$E104,'Attrition Modeling'!$C:$C,Z$68),VLOOKUP(Z$69-$F104-1,$A$7:$C$161,2,FALSE)*VLOOKUP(Z$1,'Attrition Modeling'!$L$15:$N$27,IF(Z$2-$F37&lt;=24,2,3),FALSE))*(1+Projection!AB$16)*(1+IF(Z169&gt;0,'Attrition Modeling'!$N$9,0))),0))</f>
        <v>0</v>
      </c>
      <c r="AA104" s="799">
        <f>IF(AA$69=$F104+1,IF(Monthly!W$4=TRUE,0,Monthly!W$17),IF(AA$69&gt;$F104+1,Z104*(1-IF(AA$69-$F104&lt;=12,SUMIFS('Attrition Modeling'!$D:$D,'Attrition Modeling'!$B:$B,$E104,'Attrition Modeling'!$C:$C,AA$68),VLOOKUP(AA$69-$F104-1,$A$7:$C$161,2,FALSE)*VLOOKUP(AA$1,'Attrition Modeling'!$L$15:$N$27,IF(AA$2-$F37&lt;=24,2,3),FALSE))*(1+Projection!AC$16)*(1+IF(AA169&gt;0,'Attrition Modeling'!$N$9,0))),0))</f>
        <v>0</v>
      </c>
      <c r="AB104" s="799">
        <f>IF(AB$69=$F104+1,IF(Monthly!X$4=TRUE,0,Monthly!X$17),IF(AB$69&gt;$F104+1,AA104*(1-IF(AB$69-$F104&lt;=12,SUMIFS('Attrition Modeling'!$D:$D,'Attrition Modeling'!$B:$B,$E104,'Attrition Modeling'!$C:$C,AB$68),VLOOKUP(AB$69-$F104-1,$A$7:$C$161,2,FALSE)*VLOOKUP(AB$1,'Attrition Modeling'!$L$15:$N$27,IF(AB$2-$F37&lt;=24,2,3),FALSE))*(1+Projection!AD$16)*(1+IF(AB169&gt;0,'Attrition Modeling'!$N$9,0))),0))</f>
        <v>0</v>
      </c>
      <c r="AC104" s="799">
        <f>IF(AC$69=$F104+1,IF(Monthly!Y$4=TRUE,0,Monthly!Y$17),IF(AC$69&gt;$F104+1,AB104*(1-IF(AC$69-$F104&lt;=12,SUMIFS('Attrition Modeling'!$D:$D,'Attrition Modeling'!$B:$B,$E104,'Attrition Modeling'!$C:$C,AC$68),VLOOKUP(AC$69-$F104-1,$A$7:$C$161,2,FALSE)*VLOOKUP(AC$1,'Attrition Modeling'!$L$15:$N$27,IF(AC$2-$F37&lt;=24,2,3),FALSE))*(1+Projection!AE$16)*(1+IF(AC169&gt;0,'Attrition Modeling'!$N$9,0))),0))</f>
        <v>0</v>
      </c>
      <c r="AD104" s="799">
        <f>IF(AD$69=$F104+1,IF(Monthly!Z$4=TRUE,0,Monthly!Z$17),IF(AD$69&gt;$F104+1,AC104*(1-IF(AD$69-$F104&lt;=12,SUMIFS('Attrition Modeling'!$D:$D,'Attrition Modeling'!$B:$B,$E104,'Attrition Modeling'!$C:$C,AD$68),VLOOKUP(AD$69-$F104-1,$A$7:$C$161,2,FALSE)*VLOOKUP(AD$1,'Attrition Modeling'!$L$15:$N$27,IF(AD$2-$F37&lt;=24,2,3),FALSE))*(1+Projection!AF$16)*(1+IF(AD169&gt;0,'Attrition Modeling'!$N$9,0))),0))</f>
        <v>0</v>
      </c>
      <c r="AE104" s="799">
        <f>IF(AE$69=$F104+1,IF(Monthly!AA$4=TRUE,0,Monthly!AA$17),IF(AE$69&gt;$F104+1,AD104*(1-IF(AE$69-$F104&lt;=12,SUMIFS('Attrition Modeling'!$D:$D,'Attrition Modeling'!$B:$B,$E104,'Attrition Modeling'!$C:$C,AE$68),VLOOKUP(AE$69-$F104-1,$A$7:$C$161,2,FALSE)*VLOOKUP(AE$1,'Attrition Modeling'!$L$15:$N$27,IF(AE$2-$F37&lt;=24,2,3),FALSE))*(1+Projection!AG$16)*(1+IF(AE169&gt;0,'Attrition Modeling'!$N$9,0))),0))</f>
        <v>0</v>
      </c>
      <c r="AF104" s="799">
        <f>IF(AF$69=$F104+1,IF(Monthly!AB$4=TRUE,0,Monthly!AB$17),IF(AF$69&gt;$F104+1,AE104*(1-IF(AF$69-$F104&lt;=12,SUMIFS('Attrition Modeling'!$D:$D,'Attrition Modeling'!$B:$B,$E104,'Attrition Modeling'!$C:$C,AF$68),VLOOKUP(AF$69-$F104-1,$A$7:$C$161,2,FALSE)*VLOOKUP(AF$1,'Attrition Modeling'!$L$15:$N$27,IF(AF$2-$F37&lt;=24,2,3),FALSE))*(1+Projection!AH$16)*(1+IF(AF169&gt;0,'Attrition Modeling'!$N$9,0))),0))</f>
        <v>0</v>
      </c>
      <c r="AG104" s="799">
        <f>IF(AG$69=$F104+1,IF(Monthly!AC$4=TRUE,0,Monthly!AC$17),IF(AG$69&gt;$F104+1,AF104*(1-IF(AG$69-$F104&lt;=12,SUMIFS('Attrition Modeling'!$D:$D,'Attrition Modeling'!$B:$B,$E104,'Attrition Modeling'!$C:$C,AG$68),VLOOKUP(AG$69-$F104-1,$A$7:$C$161,2,FALSE)*VLOOKUP(AG$1,'Attrition Modeling'!$L$15:$N$27,IF(AG$2-$F37&lt;=24,2,3),FALSE))*(1+Projection!AI$16)*(1+IF(AG169&gt;0,'Attrition Modeling'!$N$9,0))),0))</f>
        <v>0</v>
      </c>
      <c r="AH104" s="799">
        <f>IF(AH$69=$F104+1,IF(Monthly!AD$4=TRUE,0,Monthly!AD$17),IF(AH$69&gt;$F104+1,AG104*(1-IF(AH$69-$F104&lt;=12,SUMIFS('Attrition Modeling'!$D:$D,'Attrition Modeling'!$B:$B,$E104,'Attrition Modeling'!$C:$C,AH$68),VLOOKUP(AH$69-$F104-1,$A$7:$C$161,2,FALSE)*VLOOKUP(AH$1,'Attrition Modeling'!$L$15:$N$27,IF(AH$2-$F37&lt;=24,2,3),FALSE))*(1+Projection!AJ$16)*(1+IF(AH169&gt;0,'Attrition Modeling'!$N$9,0))),0))</f>
        <v>0</v>
      </c>
      <c r="AI104" s="799">
        <f>IF(AI$69=$F104+1,IF(Monthly!AE$4=TRUE,0,Monthly!AE$17),IF(AI$69&gt;$F104+1,AH104*(1-IF(AI$69-$F104&lt;=12,SUMIFS('Attrition Modeling'!$D:$D,'Attrition Modeling'!$B:$B,$E104,'Attrition Modeling'!$C:$C,AI$68),VLOOKUP(AI$69-$F104-1,$A$7:$C$161,2,FALSE)*VLOOKUP(AI$1,'Attrition Modeling'!$L$15:$N$27,IF(AI$2-$F37&lt;=24,2,3),FALSE))*(1+Projection!AK$16)*(1+IF(AI169&gt;0,'Attrition Modeling'!$N$9,0))),0))</f>
        <v>0</v>
      </c>
      <c r="AJ104" s="799">
        <f>IF(AJ$69=$F104+1,IF(Monthly!AF$4=TRUE,0,Monthly!AF$17),IF(AJ$69&gt;$F104+1,AI104*(1-IF(AJ$69-$F104&lt;=12,SUMIFS('Attrition Modeling'!$D:$D,'Attrition Modeling'!$B:$B,$E104,'Attrition Modeling'!$C:$C,AJ$68),VLOOKUP(AJ$69-$F104-1,$A$7:$C$161,2,FALSE)*VLOOKUP(AJ$1,'Attrition Modeling'!$L$15:$N$27,IF(AJ$2-$F37&lt;=24,2,3),FALSE))*(1+Projection!AL$16)*(1+IF(AJ169&gt;0,'Attrition Modeling'!$N$9,0))),0))</f>
        <v>0</v>
      </c>
      <c r="AK104" s="799">
        <f>IF(AK$69=$F104+1,IF(Monthly!AG$4=TRUE,0,Monthly!AG$17),IF(AK$69&gt;$F104+1,AJ104*(1-IF(AK$69-$F104&lt;=12,SUMIFS('Attrition Modeling'!$D:$D,'Attrition Modeling'!$B:$B,$E104,'Attrition Modeling'!$C:$C,AK$68),VLOOKUP(AK$69-$F104-1,$A$7:$C$161,2,FALSE)*VLOOKUP(AK$1,'Attrition Modeling'!$L$15:$N$27,IF(AK$2-$F37&lt;=24,2,3),FALSE))*(1+Projection!AM$16)*(1+IF(AK169&gt;0,'Attrition Modeling'!$N$9,0))),0))</f>
        <v>0</v>
      </c>
      <c r="AL104" s="799">
        <f>IF(AL$69=$F104+1,IF(Monthly!AH$4=TRUE,0,Monthly!AH$17),IF(AL$69&gt;$F104+1,AK104*(1-IF(AL$69-$F104&lt;=12,SUMIFS('Attrition Modeling'!$D:$D,'Attrition Modeling'!$B:$B,$E104,'Attrition Modeling'!$C:$C,AL$68),VLOOKUP(AL$69-$F104-1,$A$7:$C$161,2,FALSE)*VLOOKUP(AL$1,'Attrition Modeling'!$L$15:$N$27,IF(AL$2-$F37&lt;=24,2,3),FALSE))*(1+Projection!AN$16)*(1+IF(AL169&gt;0,'Attrition Modeling'!$N$9,0))),0))</f>
        <v>0</v>
      </c>
      <c r="AM104" s="799">
        <f>IF(AM$69=$F104+1,IF(Monthly!AI$4=TRUE,0,Monthly!AI$17),IF(AM$69&gt;$F104+1,AL104*(1-IF(AM$69-$F104&lt;=12,SUMIFS('Attrition Modeling'!$D:$D,'Attrition Modeling'!$B:$B,$E104,'Attrition Modeling'!$C:$C,AM$68),VLOOKUP(AM$69-$F104-1,$A$7:$C$161,2,FALSE)*VLOOKUP(AM$1,'Attrition Modeling'!$L$15:$N$27,IF(AM$2-$F37&lt;=24,2,3),FALSE))*(1+Projection!AO$16)*(1+IF(AM169&gt;0,'Attrition Modeling'!$N$9,0))),0))</f>
        <v>0</v>
      </c>
      <c r="AN104" s="799">
        <f>IF(AN$69=$F104+1,IF(Monthly!AJ$4=TRUE,0,Monthly!AJ$17),IF(AN$69&gt;$F104+1,AM104*(1-IF(AN$69-$F104&lt;=12,SUMIFS('Attrition Modeling'!$D:$D,'Attrition Modeling'!$B:$B,$E104,'Attrition Modeling'!$C:$C,AN$68),VLOOKUP(AN$69-$F104-1,$A$7:$C$161,2,FALSE)*VLOOKUP(AN$1,'Attrition Modeling'!$L$15:$N$27,IF(AN$2-$F37&lt;=24,2,3),FALSE))*(1+Projection!AP$16)*(1+IF(AN169&gt;0,'Attrition Modeling'!$N$9,0))),0))</f>
        <v>0</v>
      </c>
      <c r="AO104" s="799">
        <f>IF(AO$69=$F104+1,IF(Monthly!AK$4=TRUE,0,Monthly!AK$17),IF(AO$69&gt;$F104+1,AN104*(1-IF(AO$69-$F104&lt;=12,SUMIFS('Attrition Modeling'!$D:$D,'Attrition Modeling'!$B:$B,$E104,'Attrition Modeling'!$C:$C,AO$68),VLOOKUP(AO$69-$F104-1,$A$7:$C$161,2,FALSE)*VLOOKUP(AO$1,'Attrition Modeling'!$L$15:$N$27,IF(AO$2-$F37&lt;=24,2,3),FALSE))*(1+Projection!AQ$16)*(1+IF(AO169&gt;0,'Attrition Modeling'!$N$9,0))),0))</f>
        <v>0</v>
      </c>
      <c r="AP104" s="799">
        <f>IF(AP$69=$F104+1,IF(Monthly!AL$4=TRUE,0,Monthly!AL$17),IF(AP$69&gt;$F104+1,AO104*(1-IF(AP$69-$F104&lt;=12,SUMIFS('Attrition Modeling'!$D:$D,'Attrition Modeling'!$B:$B,$E104,'Attrition Modeling'!$C:$C,AP$68),VLOOKUP(AP$69-$F104-1,$A$7:$C$161,2,FALSE)*VLOOKUP(AP$1,'Attrition Modeling'!$L$15:$N$27,IF(AP$2-$F37&lt;=24,2,3),FALSE))*(1+Projection!AR$16)*(1+IF(AP169&gt;0,'Attrition Modeling'!$N$9,0))),0))</f>
        <v>7926.2358732950806</v>
      </c>
      <c r="AQ104" s="799">
        <f>IF(AQ$69=$F104+1,IF(Monthly!AM$4=TRUE,0,Monthly!AM$17),IF(AQ$69&gt;$F104+1,AP104*(1-IF(AQ$69-$F104&lt;=12,SUMIFS('Attrition Modeling'!$D:$D,'Attrition Modeling'!$B:$B,$E104,'Attrition Modeling'!$C:$C,AQ$68),VLOOKUP(AQ$69-$F104-1,$A$7:$C$161,2,FALSE)*VLOOKUP(AQ$1,'Attrition Modeling'!$L$15:$N$27,IF(AQ$2-$F37&lt;=24,2,3),FALSE))*(1+Projection!AS$16)*(1+IF(AQ169&gt;0,'Attrition Modeling'!$N$9,0))),0))</f>
        <v>7122.7176747577278</v>
      </c>
      <c r="AR104" s="799">
        <f>IF(AR$69=$F104+1,IF(Monthly!AN$4=TRUE,0,Monthly!AN$17),IF(AR$69&gt;$F104+1,AQ104*(1-IF(AR$69-$F104&lt;=12,SUMIFS('Attrition Modeling'!$D:$D,'Attrition Modeling'!$B:$B,$E104,'Attrition Modeling'!$C:$C,AR$68),VLOOKUP(AR$69-$F104-1,$A$7:$C$161,2,FALSE)*VLOOKUP(AR$1,'Attrition Modeling'!$L$15:$N$27,IF(AR$2-$F37&lt;=24,2,3),FALSE))*(1+Projection!AT$16)*(1+IF(AR169&gt;0,'Attrition Modeling'!$N$9,0))),0))</f>
        <v>6559.1713150994965</v>
      </c>
      <c r="AS104" s="799">
        <f>IF(AS$69=$F104+1,IF(Monthly!AO$4=TRUE,0,Monthly!AO$17),IF(AS$69&gt;$F104+1,AR104*(1-IF(AS$69-$F104&lt;=12,SUMIFS('Attrition Modeling'!$D:$D,'Attrition Modeling'!$B:$B,$E104,'Attrition Modeling'!$C:$C,AS$68),VLOOKUP(AS$69-$F104-1,$A$7:$C$161,2,FALSE)*VLOOKUP(AS$1,'Attrition Modeling'!$L$15:$N$27,IF(AS$2-$F37&lt;=24,2,3),FALSE))*(1+Projection!AU$16)*(1+IF(AS169&gt;0,'Attrition Modeling'!$N$9,0))),0))</f>
        <v>6031.7928208338626</v>
      </c>
      <c r="AT104" s="799">
        <f>IF(AT$69=$F104+1,IF(Monthly!AP$4=TRUE,0,Monthly!AP$17),IF(AT$69&gt;$F104+1,AS104*(1-IF(AT$69-$F104&lt;=12,SUMIFS('Attrition Modeling'!$D:$D,'Attrition Modeling'!$B:$B,$E104,'Attrition Modeling'!$C:$C,AT$68),VLOOKUP(AT$69-$F104-1,$A$7:$C$161,2,FALSE)*VLOOKUP(AT$1,'Attrition Modeling'!$L$15:$N$27,IF(AT$2-$F37&lt;=24,2,3),FALSE))*(1+Projection!AV$16)*(1+IF(AT169&gt;0,'Attrition Modeling'!$N$9,0))),0))</f>
        <v>5528.9670092636743</v>
      </c>
      <c r="AU104" s="799">
        <f>IF(AU$69=$F104+1,IF(Monthly!AQ$4=TRUE,0,Monthly!AQ$17),IF(AU$69&gt;$F104+1,AT104*(1-IF(AU$69-$F104&lt;=12,SUMIFS('Attrition Modeling'!$D:$D,'Attrition Modeling'!$B:$B,$E104,'Attrition Modeling'!$C:$C,AU$68),VLOOKUP(AU$69-$F104-1,$A$7:$C$161,2,FALSE)*VLOOKUP(AU$1,'Attrition Modeling'!$L$15:$N$27,IF(AU$2-$F37&lt;=24,2,3),FALSE))*(1+Projection!AW$16)*(1+IF(AU169&gt;0,'Attrition Modeling'!$N$9,0))),0))</f>
        <v>4933.0265924624118</v>
      </c>
      <c r="AV104" s="799">
        <f>IF(AV$69=$F104+1,IF(Monthly!AR$4=TRUE,0,Monthly!AR$17),IF(AV$69&gt;$F104+1,AU104*(1-IF(AV$69-$F104&lt;=12,SUMIFS('Attrition Modeling'!$D:$D,'Attrition Modeling'!$B:$B,$E104,'Attrition Modeling'!$C:$C,AV$68),VLOOKUP(AV$69-$F104-1,$A$7:$C$161,2,FALSE)*VLOOKUP(AV$1,'Attrition Modeling'!$L$15:$N$27,IF(AV$2-$F37&lt;=24,2,3),FALSE))*(1+Projection!AX$16)*(1+IF(AV169&gt;0,'Attrition Modeling'!$N$9,0))),0))</f>
        <v>4550.5691394093328</v>
      </c>
      <c r="AW104" s="799">
        <f>IF(AW$69=$F104+1,IF(Monthly!AS$4=TRUE,0,Monthly!AS$17),IF(AW$69&gt;$F104+1,AV104*(1-IF(AW$69-$F104&lt;=12,SUMIFS('Attrition Modeling'!$D:$D,'Attrition Modeling'!$B:$B,$E104,'Attrition Modeling'!$C:$C,AW$68),VLOOKUP(AW$69-$F104-1,$A$7:$C$161,2,FALSE)*VLOOKUP(AW$1,'Attrition Modeling'!$L$15:$N$27,IF(AW$2-$F37&lt;=24,2,3),FALSE))*(1+Projection!AY$16)*(1+IF(AW169&gt;0,'Attrition Modeling'!$N$9,0))),0))</f>
        <v>4240.9995635610485</v>
      </c>
      <c r="AX104" s="799">
        <f>IF(AX$69=$F104+1,IF(Monthly!AT$4=TRUE,0,Monthly!AT$17),IF(AX$69&gt;$F104+1,AW104*(1-IF(AX$69-$F104&lt;=12,SUMIFS('Attrition Modeling'!$D:$D,'Attrition Modeling'!$B:$B,$E104,'Attrition Modeling'!$C:$C,AX$68),VLOOKUP(AX$69-$F104-1,$A$7:$C$161,2,FALSE)*VLOOKUP(AX$1,'Attrition Modeling'!$L$15:$N$27,IF(AX$2-$F37&lt;=24,2,3),FALSE))*(1+Projection!AZ$16)*(1+IF(AX169&gt;0,'Attrition Modeling'!$N$9,0))),0))</f>
        <v>3970.2532184034071</v>
      </c>
      <c r="AY104" s="799">
        <f>IF(AY$69=$F104+1,IF(Monthly!AU$4=TRUE,0,Monthly!AU$17),IF(AY$69&gt;$F104+1,AX104*(1-IF(AY$69-$F104&lt;=12,SUMIFS('Attrition Modeling'!$D:$D,'Attrition Modeling'!$B:$B,$E104,'Attrition Modeling'!$C:$C,AY$68),VLOOKUP(AY$69-$F104-1,$A$7:$C$161,2,FALSE)*VLOOKUP(AY$1,'Attrition Modeling'!$L$15:$N$27,IF(AY$2-$F37&lt;=24,2,3),FALSE))*(1+Projection!BA$16)*(1+IF(AY169&gt;0,'Attrition Modeling'!$N$9,0))),0))</f>
        <v>3708.4496789602995</v>
      </c>
      <c r="AZ104" s="799">
        <f>IF(AZ$69=$F104+1,IF(Monthly!AV$4=TRUE,0,Monthly!AV$17),IF(AZ$69&gt;$F104+1,AY104*(1-IF(AZ$69-$F104&lt;=12,SUMIFS('Attrition Modeling'!$D:$D,'Attrition Modeling'!$B:$B,$E104,'Attrition Modeling'!$C:$C,AZ$68),VLOOKUP(AZ$69-$F104-1,$A$7:$C$161,2,FALSE)*VLOOKUP(AZ$1,'Attrition Modeling'!$L$15:$N$27,IF(AZ$2-$F37&lt;=24,2,3),FALSE))*(1+Projection!BB$16)*(1+IF(AZ169&gt;0,'Attrition Modeling'!$N$9,0))),0))</f>
        <v>3469.4015663591435</v>
      </c>
      <c r="BA104" s="799">
        <f>IF(BA$69=$F104+1,IF(Monthly!AW$4=TRUE,0,Monthly!AW$17),IF(BA$69&gt;$F104+1,AZ104*(1-IF(BA$69-$F104&lt;=12,SUMIFS('Attrition Modeling'!$D:$D,'Attrition Modeling'!$B:$B,$E104,'Attrition Modeling'!$C:$C,BA$68),VLOOKUP(BA$69-$F104-1,$A$7:$C$161,2,FALSE)*VLOOKUP(BA$1,'Attrition Modeling'!$L$15:$N$27,IF(BA$2-$F37&lt;=24,2,3),FALSE))*(1+Projection!BC$16)*(1+IF(BA169&gt;0,'Attrition Modeling'!$N$9,0))),0))</f>
        <v>3349.5258320058638</v>
      </c>
      <c r="BB104" s="799">
        <f>IF(BB$69=$F104+1,IF(Monthly!AX$4=TRUE,0,Monthly!AX$17),IF(BB$69&gt;$F104+1,BA104*(1-IF(BB$69-$F104&lt;=12,SUMIFS('Attrition Modeling'!$D:$D,'Attrition Modeling'!$B:$B,$E104,'Attrition Modeling'!$C:$C,BB$68),VLOOKUP(BB$69-$F104-1,$A$7:$C$161,2,FALSE)*VLOOKUP(BB$1,'Attrition Modeling'!$L$15:$N$27,IF(BB$2-$F37&lt;=24,2,3),FALSE))*(1+Projection!BD$16)*(1+IF(BB169&gt;0,'Attrition Modeling'!$N$9,0))),0))</f>
        <v>3167.4507764524456</v>
      </c>
      <c r="BC104" s="799">
        <f>IF(BC$69=$F104+1,IF(Monthly!AY$4=TRUE,0,Monthly!AY$17),IF(BC$69&gt;$F104+1,BB104*(1-IF(BC$69-$F104&lt;=12,SUMIFS('Attrition Modeling'!$D:$D,'Attrition Modeling'!$B:$B,$E104,'Attrition Modeling'!$C:$C,BC$68),VLOOKUP(BC$69-$F104-1,$A$7:$C$161,2,FALSE)*VLOOKUP(BC$1,'Attrition Modeling'!$L$15:$N$27,IF(BC$2-$F37&lt;=24,2,3),FALSE))*(1+Projection!BE$16)*(1+IF(BC169&gt;0,'Attrition Modeling'!$N$9,0))),0))</f>
        <v>3010.241193143328</v>
      </c>
      <c r="BD104" s="799">
        <f>IF(BD$69=$F104+1,IF(Monthly!AZ$4=TRUE,0,Monthly!AZ$17),IF(BD$69&gt;$F104+1,BC104*(1-IF(BD$69-$F104&lt;=12,SUMIFS('Attrition Modeling'!$D:$D,'Attrition Modeling'!$B:$B,$E104,'Attrition Modeling'!$C:$C,BD$68),VLOOKUP(BD$69-$F104-1,$A$7:$C$161,2,FALSE)*VLOOKUP(BD$1,'Attrition Modeling'!$L$15:$N$27,IF(BD$2-$F37&lt;=24,2,3),FALSE))*(1+Projection!BF$16)*(1+IF(BD169&gt;0,'Attrition Modeling'!$N$9,0))),0))</f>
        <v>2868.0218075465232</v>
      </c>
      <c r="BE104" s="799">
        <f>IF(BE$69=$F104+1,IF(Monthly!BA$4=TRUE,0,Monthly!BA$17),IF(BE$69&gt;$F104+1,BD104*(1-IF(BE$69-$F104&lt;=12,SUMIFS('Attrition Modeling'!$D:$D,'Attrition Modeling'!$B:$B,$E104,'Attrition Modeling'!$C:$C,BE$68),VLOOKUP(BE$69-$F104-1,$A$7:$C$161,2,FALSE)*VLOOKUP(BE$1,'Attrition Modeling'!$L$15:$N$27,IF(BE$2-$F37&lt;=24,2,3),FALSE))*(1+Projection!BG$16)*(1+IF(BE169&gt;0,'Attrition Modeling'!$N$9,0))),0))</f>
        <v>2750.2515474094207</v>
      </c>
      <c r="BF104" s="799">
        <f>IF(BF$69=$F104+1,IF(Monthly!BB$4=TRUE,0,Monthly!BB$17),IF(BF$69&gt;$F104+1,BE104*(1-IF(BF$69-$F104&lt;=12,SUMIFS('Attrition Modeling'!$D:$D,'Attrition Modeling'!$B:$B,$E104,'Attrition Modeling'!$C:$C,BF$68),VLOOKUP(BF$69-$F104-1,$A$7:$C$161,2,FALSE)*VLOOKUP(BF$1,'Attrition Modeling'!$L$15:$N$27,IF(BF$2-$F37&lt;=24,2,3),FALSE))*(1+Projection!BH$16)*(1+IF(BF169&gt;0,'Attrition Modeling'!$N$9,0))),0))</f>
        <v>2630.9311743880348</v>
      </c>
      <c r="BG104" s="799">
        <f>IF(BG$69=$F104+1,IF(Monthly!BC$4=TRUE,0,Monthly!BC$17),IF(BG$69&gt;$F104+1,BF104*(1-IF(BG$69-$F104&lt;=12,SUMIFS('Attrition Modeling'!$D:$D,'Attrition Modeling'!$B:$B,$E104,'Attrition Modeling'!$C:$C,BG$68),VLOOKUP(BG$69-$F104-1,$A$7:$C$161,2,FALSE)*VLOOKUP(BG$1,'Attrition Modeling'!$L$15:$N$27,IF(BG$2-$F37&lt;=24,2,3),FALSE))*(1+Projection!BI$16)*(1+IF(BG169&gt;0,'Attrition Modeling'!$N$9,0))),0))</f>
        <v>2499.5904627499744</v>
      </c>
      <c r="BH104" s="799">
        <f>IF(BH$69=$F104+1,IF(Monthly!BD$4=TRUE,0,Monthly!BD$17),IF(BH$69&gt;$F104+1,BG104*(1-IF(BH$69-$F104&lt;=12,SUMIFS('Attrition Modeling'!$D:$D,'Attrition Modeling'!$B:$B,$E104,'Attrition Modeling'!$C:$C,BH$68),VLOOKUP(BH$69-$F104-1,$A$7:$C$161,2,FALSE)*VLOOKUP(BH$1,'Attrition Modeling'!$L$15:$N$27,IF(BH$2-$F37&lt;=24,2,3),FALSE))*(1+Projection!BJ$16)*(1+IF(BH169&gt;0,'Attrition Modeling'!$N$9,0))),0))</f>
        <v>2398.5624142897937</v>
      </c>
      <c r="BI104" s="799">
        <f>IF(BI$69=$F104+1,IF(Monthly!BE$4=TRUE,0,Monthly!BE$17),IF(BI$69&gt;$F104+1,BH104*(1-IF(BI$69-$F104&lt;=12,SUMIFS('Attrition Modeling'!$D:$D,'Attrition Modeling'!$B:$B,$E104,'Attrition Modeling'!$C:$C,BI$68),VLOOKUP(BI$69-$F104-1,$A$7:$C$161,2,FALSE)*VLOOKUP(BI$1,'Attrition Modeling'!$L$15:$N$27,IF(BI$2-$F37&lt;=24,2,3),FALSE))*(1+Projection!BK$16)*(1+IF(BI169&gt;0,'Attrition Modeling'!$N$9,0))),0))</f>
        <v>2294.1516543158227</v>
      </c>
      <c r="BJ104" s="799">
        <f>IF(BJ$69=$F104+1,IF(Monthly!BF$4=TRUE,0,Monthly!BF$17),IF(BJ$69&gt;$F104+1,BI104*(1-IF(BJ$69-$F104&lt;=12,SUMIFS('Attrition Modeling'!$D:$D,'Attrition Modeling'!$B:$B,$E104,'Attrition Modeling'!$C:$C,BJ$68),VLOOKUP(BJ$69-$F104-1,$A$7:$C$161,2,FALSE)*VLOOKUP(BJ$1,'Attrition Modeling'!$L$15:$N$27,IF(BJ$2-$F37&lt;=24,2,3),FALSE))*(1+Projection!BL$16)*(1+IF(BJ169&gt;0,'Attrition Modeling'!$N$9,0))),0))</f>
        <v>2193.6685234441516</v>
      </c>
      <c r="BK104" s="799">
        <f>IF(BK$69=$F104+1,IF(Monthly!BG$4=TRUE,0,Monthly!BG$17),IF(BK$69&gt;$F104+1,BJ104*(1-IF(BK$69-$F104&lt;=12,SUMIFS('Attrition Modeling'!$D:$D,'Attrition Modeling'!$B:$B,$E104,'Attrition Modeling'!$C:$C,BK$68),VLOOKUP(BK$69-$F104-1,$A$7:$C$161,2,FALSE)*VLOOKUP(BK$1,'Attrition Modeling'!$L$15:$N$27,IF(BK$2-$F37&lt;=24,2,3),FALSE))*(1+Projection!BM$16)*(1+IF(BK169&gt;0,'Attrition Modeling'!$N$9,0))),0))</f>
        <v>2094.8969682342663</v>
      </c>
      <c r="BL104" s="799">
        <f>IF(BL$69=$F104+1,IF(Monthly!BH$4=TRUE,0,Monthly!BH$17),IF(BL$69&gt;$F104+1,BK104*(1-IF(BL$69-$F104&lt;=12,SUMIFS('Attrition Modeling'!$D:$D,'Attrition Modeling'!$B:$B,$E104,'Attrition Modeling'!$C:$C,BL$68),VLOOKUP(BL$69-$F104-1,$A$7:$C$161,2,FALSE)*VLOOKUP(BL$1,'Attrition Modeling'!$L$15:$N$27,IF(BL$2-$F37&lt;=24,2,3),FALSE))*(1+Projection!BN$16)*(1+IF(BL169&gt;0,'Attrition Modeling'!$N$9,0))),0))</f>
        <v>2010.1142959539632</v>
      </c>
      <c r="BM104" s="799">
        <f>IF(BM$69=$F104+1,IF(Monthly!BI$4=TRUE,0,Monthly!BI$17),IF(BM$69&gt;$F104+1,BL104*(1-IF(BM$69-$F104&lt;=12,SUMIFS('Attrition Modeling'!$D:$D,'Attrition Modeling'!$B:$B,$E104,'Attrition Modeling'!$C:$C,BM$68),VLOOKUP(BM$69-$F104-1,$A$7:$C$161,2,FALSE)*VLOOKUP(BM$1,'Attrition Modeling'!$L$15:$N$27,IF(BM$2-$F37&lt;=24,2,3),FALSE))*(1+Projection!BO$16)*(1+IF(BM169&gt;0,'Attrition Modeling'!$N$9,0))),0))</f>
        <v>1927.9820095734744</v>
      </c>
      <c r="BN104" s="799">
        <f>IF(BN$69=$F104+1,IF(Monthly!BJ$4=TRUE,0,Monthly!BJ$17),IF(BN$69&gt;$F104+1,BM104*(1-IF(BN$69-$F104&lt;=12,SUMIFS('Attrition Modeling'!$D:$D,'Attrition Modeling'!$B:$B,$E104,'Attrition Modeling'!$C:$C,BN$68),VLOOKUP(BN$69-$F104-1,$A$7:$C$161,2,FALSE)*VLOOKUP(BN$1,'Attrition Modeling'!$L$15:$N$27,IF(BN$2-$F37&lt;=24,2,3),FALSE))*(1+Projection!BP$16)*(1+IF(BN169&gt;0,'Attrition Modeling'!$N$9,0))),0))</f>
        <v>1852.6418767082646</v>
      </c>
      <c r="BO104" s="799">
        <f>IF(BO$69=$F104+1,IF(Monthly!BK$4=TRUE,0,Monthly!BK$17),IF(BO$69&gt;$F104+1,BN104*(1-IF(BO$69-$F104&lt;=12,SUMIFS('Attrition Modeling'!$D:$D,'Attrition Modeling'!$B:$B,$E104,'Attrition Modeling'!$C:$C,BO$68),VLOOKUP(BO$69-$F104-1,$A$7:$C$161,2,FALSE)*VLOOKUP(BO$1,'Attrition Modeling'!$L$15:$N$27,IF(BO$2-$F37&lt;=24,2,3),FALSE))*(1+Projection!BV$16)*(1+IF(BO169&gt;0,'Attrition Modeling'!$N$9,0))),0))</f>
        <v>1793.81346873401</v>
      </c>
      <c r="BP104" s="799">
        <f>IF(BP$69=$F104+1,IF(Monthly!BL$4=TRUE,0,Monthly!BL$17),IF(BP$69&gt;$F104+1,BO104*(1-IF(BP$69-$F104&lt;=12,SUMIFS('Attrition Modeling'!$D:$D,'Attrition Modeling'!$B:$B,$E104,'Attrition Modeling'!$C:$C,BP$68),VLOOKUP(BP$69-$F104-1,$A$7:$C$161,2,FALSE)*VLOOKUP(BP$1,'Attrition Modeling'!$L$15:$N$27,IF(BP$2-$F37&lt;=24,2,3),FALSE))*(1+Projection!BW$16)*(1+IF(BP169&gt;0,'Attrition Modeling'!$N$9,0))),0))</f>
        <v>1731.606378315859</v>
      </c>
      <c r="BQ104" s="799">
        <f>IF(BQ$69=$F104+1,IF(Monthly!BM$4=TRUE,0,Monthly!BM$17),IF(BQ$69&gt;$F104+1,BP104*(1-IF(BQ$69-$F104&lt;=12,SUMIFS('Attrition Modeling'!$D:$D,'Attrition Modeling'!$B:$B,$E104,'Attrition Modeling'!$C:$C,BQ$68),VLOOKUP(BQ$69-$F104-1,$A$7:$C$161,2,FALSE)*VLOOKUP(BQ$1,'Attrition Modeling'!$L$15:$N$27,IF(BQ$2-$F37&lt;=24,2,3),FALSE))*(1+Projection!BX$16)*(1+IF(BQ169&gt;0,'Attrition Modeling'!$N$9,0))),0))</f>
        <v>1674.2073129411826</v>
      </c>
      <c r="BR104" s="799">
        <f>IF(BR$69=$F104+1,IF(Monthly!BN$4=TRUE,0,Monthly!BN$17),IF(BR$69&gt;$F104+1,BQ104*(1-IF(BR$69-$F104&lt;=12,SUMIFS('Attrition Modeling'!$D:$D,'Attrition Modeling'!$B:$B,$E104,'Attrition Modeling'!$C:$C,BR$68),VLOOKUP(BR$69-$F104-1,$A$7:$C$161,2,FALSE)*VLOOKUP(BR$1,'Attrition Modeling'!$L$15:$N$27,IF(BR$2-$F37&lt;=24,2,3),FALSE))*(1+Projection!BY$16)*(1+IF(BR169&gt;0,'Attrition Modeling'!$N$9,0))),0))</f>
        <v>1621.726843019891</v>
      </c>
      <c r="BS104" s="799">
        <f>IF(BS$69=$F104+1,IF(Monthly!BO$4=TRUE,0,Monthly!BO$17),IF(BS$69&gt;$F104+1,BR104*(1-IF(BS$69-$F104&lt;=12,SUMIFS('Attrition Modeling'!$D:$D,'Attrition Modeling'!$B:$B,$E104,'Attrition Modeling'!$C:$C,BS$68),VLOOKUP(BS$69-$F104-1,$A$7:$C$161,2,FALSE)*VLOOKUP(BS$1,'Attrition Modeling'!$L$15:$N$27,IF(BS$2-$F37&lt;=24,2,3),FALSE))*(1+Projection!BZ$16)*(1+IF(BS169&gt;0,'Attrition Modeling'!$N$9,0))),0))</f>
        <v>1573.8220048708515</v>
      </c>
      <c r="BT104" s="799">
        <f>IF(BT$69=$F104+1,IF(Monthly!#REF!=TRUE,0,Monthly!#REF!),IF(BT$69&gt;$F104+1,BS104*(1-IF(BT$69-$F104&lt;=12,SUMIFS('Attrition Modeling'!$D:$D,'Attrition Modeling'!$B:$B,$E104,'Attrition Modeling'!$C:$C,BT$68),VLOOKUP(BT$69-$F104-1,$A$7:$C$161,2,FALSE)*VLOOKUP(BT$1,'Attrition Modeling'!$L$15:$N$27,IF(BT$2-$F37&lt;=24,2,3),FALSE))*(1+Projection!CA$16)*(1+IF(BT169&gt;0,'Attrition Modeling'!$N$9,0))),0))</f>
        <v>1527.6236360578996</v>
      </c>
      <c r="BU104" s="799">
        <f>IF(BU$69=$F104+1,IF(Monthly!#REF!=TRUE,0,Monthly!#REF!),IF(BU$69&gt;$F104+1,BT104*(1-IF(BU$69-$F104&lt;=12,SUMIFS('Attrition Modeling'!$D:$D,'Attrition Modeling'!$B:$B,$E104,'Attrition Modeling'!$C:$C,BU$68),VLOOKUP(BU$69-$F104-1,$A$7:$C$161,2,FALSE)*VLOOKUP(BU$1,'Attrition Modeling'!$L$15:$N$27,IF(BU$2-$F37&lt;=24,2,3),FALSE))*(1+Projection!CB$16)*(1+IF(BU169&gt;0,'Attrition Modeling'!$N$9,0))),0))</f>
        <v>1477.0580942507358</v>
      </c>
    </row>
    <row r="105" spans="1:73" ht="14.25" customHeight="1" x14ac:dyDescent="0.2">
      <c r="A105" s="9">
        <v>98</v>
      </c>
      <c r="B105" s="25">
        <f>MAX('Attrition Modeling'!H102,$C$3)*(1-Summary!$C$20)</f>
        <v>0.02</v>
      </c>
      <c r="C105" s="24" t="e">
        <f t="shared" si="4"/>
        <v>#DIV/0!</v>
      </c>
      <c r="E105" s="11">
        <f t="shared" si="9"/>
        <v>11</v>
      </c>
      <c r="F105" s="11">
        <f t="shared" si="10"/>
        <v>35</v>
      </c>
      <c r="G105" s="799"/>
      <c r="H105" s="799">
        <f>IF(H$69=$F105+1,IF(Monthly!D$4=TRUE,0,Monthly!D$17),IF(H$69&gt;$F105+1,G105*(1-IF(H$69-$F105&lt;=12,SUMIFS('Attrition Modeling'!$D:$D,'Attrition Modeling'!$B:$B,$E105,'Attrition Modeling'!$C:$C,H$68),VLOOKUP(H$69-$F105-1,$A$7:$C$161,2,FALSE)*VLOOKUP(H$1,'Attrition Modeling'!$L$15:$N$27,IF(H$2-$F38&lt;=24,2,3),FALSE))*(1+Projection!J$16)*(1+IF(H170&gt;0,'Attrition Modeling'!$N$9,0))),0))</f>
        <v>0</v>
      </c>
      <c r="I105" s="799">
        <f>IF(I$69=$F105+1,IF(Monthly!E$4=TRUE,0,Monthly!E$17),IF(I$69&gt;$F105+1,H105*(1-IF(I$69-$F105&lt;=12,SUMIFS('Attrition Modeling'!$D:$D,'Attrition Modeling'!$B:$B,$E105,'Attrition Modeling'!$C:$C,I$68),VLOOKUP(I$69-$F105-1,$A$7:$C$161,2,FALSE)*VLOOKUP(I$1,'Attrition Modeling'!$L$15:$N$27,IF(I$2-$F38&lt;=24,2,3),FALSE))*(1+Projection!K$16)*(1+IF(I170&gt;0,'Attrition Modeling'!$N$9,0))),0))</f>
        <v>0</v>
      </c>
      <c r="J105" s="799">
        <f>IF(J$69=$F105+1,IF(Monthly!F$4=TRUE,0,Monthly!F$17),IF(J$69&gt;$F105+1,I105*(1-IF(J$69-$F105&lt;=12,SUMIFS('Attrition Modeling'!$D:$D,'Attrition Modeling'!$B:$B,$E105,'Attrition Modeling'!$C:$C,J$68),VLOOKUP(J$69-$F105-1,$A$7:$C$161,2,FALSE)*VLOOKUP(J$1,'Attrition Modeling'!$L$15:$N$27,IF(J$2-$F38&lt;=24,2,3),FALSE))*(1+Projection!L$16)*(1+IF(J170&gt;0,'Attrition Modeling'!$N$9,0))),0))</f>
        <v>0</v>
      </c>
      <c r="K105" s="799">
        <f>IF(K$69=$F105+1,IF(Monthly!G$4=TRUE,0,Monthly!G$17),IF(K$69&gt;$F105+1,J105*(1-IF(K$69-$F105&lt;=12,SUMIFS('Attrition Modeling'!$D:$D,'Attrition Modeling'!$B:$B,$E105,'Attrition Modeling'!$C:$C,K$68),VLOOKUP(K$69-$F105-1,$A$7:$C$161,2,FALSE)*VLOOKUP(K$1,'Attrition Modeling'!$L$15:$N$27,IF(K$2-$F38&lt;=24,2,3),FALSE))*(1+Projection!M$16)*(1+IF(K170&gt;0,'Attrition Modeling'!$N$9,0))),0))</f>
        <v>0</v>
      </c>
      <c r="L105" s="799">
        <f>IF(L$69=$F105+1,IF(Monthly!H$4=TRUE,0,Monthly!H$17),IF(L$69&gt;$F105+1,K105*(1-IF(L$69-$F105&lt;=12,SUMIFS('Attrition Modeling'!$D:$D,'Attrition Modeling'!$B:$B,$E105,'Attrition Modeling'!$C:$C,L$68),VLOOKUP(L$69-$F105-1,$A$7:$C$161,2,FALSE)*VLOOKUP(L$1,'Attrition Modeling'!$L$15:$N$27,IF(L$2-$F38&lt;=24,2,3),FALSE))*(1+Projection!N$16)*(1+IF(L170&gt;0,'Attrition Modeling'!$N$9,0))),0))</f>
        <v>0</v>
      </c>
      <c r="M105" s="799">
        <f>IF(M$69=$F105+1,IF(Monthly!I$4=TRUE,0,Monthly!I$17),IF(M$69&gt;$F105+1,L105*(1-IF(M$69-$F105&lt;=12,SUMIFS('Attrition Modeling'!$D:$D,'Attrition Modeling'!$B:$B,$E105,'Attrition Modeling'!$C:$C,M$68),VLOOKUP(M$69-$F105-1,$A$7:$C$161,2,FALSE)*VLOOKUP(M$1,'Attrition Modeling'!$L$15:$N$27,IF(M$2-$F38&lt;=24,2,3),FALSE))*(1+Projection!O$16)*(1+IF(M170&gt;0,'Attrition Modeling'!$N$9,0))),0))</f>
        <v>0</v>
      </c>
      <c r="N105" s="799">
        <f>IF(N$69=$F105+1,IF(Monthly!J$4=TRUE,0,Monthly!J$17),IF(N$69&gt;$F105+1,M105*(1-IF(N$69-$F105&lt;=12,SUMIFS('Attrition Modeling'!$D:$D,'Attrition Modeling'!$B:$B,$E105,'Attrition Modeling'!$C:$C,N$68),VLOOKUP(N$69-$F105-1,$A$7:$C$161,2,FALSE)*VLOOKUP(N$1,'Attrition Modeling'!$L$15:$N$27,IF(N$2-$F38&lt;=24,2,3),FALSE))*(1+Projection!P$16)*(1+IF(N170&gt;0,'Attrition Modeling'!$N$9,0))),0))</f>
        <v>0</v>
      </c>
      <c r="O105" s="799">
        <f>IF(O$69=$F105+1,IF(Monthly!K$4=TRUE,0,Monthly!K$17),IF(O$69&gt;$F105+1,N105*(1-IF(O$69-$F105&lt;=12,SUMIFS('Attrition Modeling'!$D:$D,'Attrition Modeling'!$B:$B,$E105,'Attrition Modeling'!$C:$C,O$68),VLOOKUP(O$69-$F105-1,$A$7:$C$161,2,FALSE)*VLOOKUP(O$1,'Attrition Modeling'!$L$15:$N$27,IF(O$2-$F38&lt;=24,2,3),FALSE))*(1+Projection!Q$16)*(1+IF(O170&gt;0,'Attrition Modeling'!$N$9,0))),0))</f>
        <v>0</v>
      </c>
      <c r="P105" s="799">
        <f>IF(P$69=$F105+1,IF(Monthly!L$4=TRUE,0,Monthly!L$17),IF(P$69&gt;$F105+1,O105*(1-IF(P$69-$F105&lt;=12,SUMIFS('Attrition Modeling'!$D:$D,'Attrition Modeling'!$B:$B,$E105,'Attrition Modeling'!$C:$C,P$68),VLOOKUP(P$69-$F105-1,$A$7:$C$161,2,FALSE)*VLOOKUP(P$1,'Attrition Modeling'!$L$15:$N$27,IF(P$2-$F38&lt;=24,2,3),FALSE))*(1+Projection!R$16)*(1+IF(P170&gt;0,'Attrition Modeling'!$N$9,0))),0))</f>
        <v>0</v>
      </c>
      <c r="Q105" s="799">
        <f>IF(Q$69=$F105+1,IF(Monthly!M$4=TRUE,0,Monthly!M$17),IF(Q$69&gt;$F105+1,P105*(1-IF(Q$69-$F105&lt;=12,SUMIFS('Attrition Modeling'!$D:$D,'Attrition Modeling'!$B:$B,$E105,'Attrition Modeling'!$C:$C,Q$68),VLOOKUP(Q$69-$F105-1,$A$7:$C$161,2,FALSE)*VLOOKUP(Q$1,'Attrition Modeling'!$L$15:$N$27,IF(Q$2-$F38&lt;=24,2,3),FALSE))*(1+Projection!S$16)*(1+IF(Q170&gt;0,'Attrition Modeling'!$N$9,0))),0))</f>
        <v>0</v>
      </c>
      <c r="R105" s="799">
        <f>IF(R$69=$F105+1,IF(Monthly!N$4=TRUE,0,Monthly!N$17),IF(R$69&gt;$F105+1,Q105*(1-IF(R$69-$F105&lt;=12,SUMIFS('Attrition Modeling'!$D:$D,'Attrition Modeling'!$B:$B,$E105,'Attrition Modeling'!$C:$C,R$68),VLOOKUP(R$69-$F105-1,$A$7:$C$161,2,FALSE)*VLOOKUP(R$1,'Attrition Modeling'!$L$15:$N$27,IF(R$2-$F38&lt;=24,2,3),FALSE))*(1+Projection!T$16)*(1+IF(R170&gt;0,'Attrition Modeling'!$N$9,0))),0))</f>
        <v>0</v>
      </c>
      <c r="S105" s="799">
        <f>IF(S$69=$F105+1,IF(Monthly!O$4=TRUE,0,Monthly!O$17),IF(S$69&gt;$F105+1,R105*(1-IF(S$69-$F105&lt;=12,SUMIFS('Attrition Modeling'!$D:$D,'Attrition Modeling'!$B:$B,$E105,'Attrition Modeling'!$C:$C,S$68),VLOOKUP(S$69-$F105-1,$A$7:$C$161,2,FALSE)*VLOOKUP(S$1,'Attrition Modeling'!$L$15:$N$27,IF(S$2-$F38&lt;=24,2,3),FALSE))*(1+Projection!U$16)*(1+IF(S170&gt;0,'Attrition Modeling'!$N$9,0))),0))</f>
        <v>0</v>
      </c>
      <c r="T105" s="799">
        <f>IF(T$69=$F105+1,IF(Monthly!P$4=TRUE,0,Monthly!P$17),IF(T$69&gt;$F105+1,S105*(1-IF(T$69-$F105&lt;=12,SUMIFS('Attrition Modeling'!$D:$D,'Attrition Modeling'!$B:$B,$E105,'Attrition Modeling'!$C:$C,T$68),VLOOKUP(T$69-$F105-1,$A$7:$C$161,2,FALSE)*VLOOKUP(T$1,'Attrition Modeling'!$L$15:$N$27,IF(T$2-$F38&lt;=24,2,3),FALSE))*(1+Projection!V$16)*(1+IF(T170&gt;0,'Attrition Modeling'!$N$9,0))),0))</f>
        <v>0</v>
      </c>
      <c r="U105" s="799">
        <f>IF(U$69=$F105+1,IF(Monthly!Q$4=TRUE,0,Monthly!Q$17),IF(U$69&gt;$F105+1,T105*(1-IF(U$69-$F105&lt;=12,SUMIFS('Attrition Modeling'!$D:$D,'Attrition Modeling'!$B:$B,$E105,'Attrition Modeling'!$C:$C,U$68),VLOOKUP(U$69-$F105-1,$A$7:$C$161,2,FALSE)*VLOOKUP(U$1,'Attrition Modeling'!$L$15:$N$27,IF(U$2-$F38&lt;=24,2,3),FALSE))*(1+Projection!W$16)*(1+IF(U170&gt;0,'Attrition Modeling'!$N$9,0))),0))</f>
        <v>0</v>
      </c>
      <c r="V105" s="799">
        <f>IF(V$69=$F105+1,IF(Monthly!R$4=TRUE,0,Monthly!R$17),IF(V$69&gt;$F105+1,U105*(1-IF(V$69-$F105&lt;=12,SUMIFS('Attrition Modeling'!$D:$D,'Attrition Modeling'!$B:$B,$E105,'Attrition Modeling'!$C:$C,V$68),VLOOKUP(V$69-$F105-1,$A$7:$C$161,2,FALSE)*VLOOKUP(V$1,'Attrition Modeling'!$L$15:$N$27,IF(V$2-$F38&lt;=24,2,3),FALSE))*(1+Projection!X$16)*(1+IF(V170&gt;0,'Attrition Modeling'!$N$9,0))),0))</f>
        <v>0</v>
      </c>
      <c r="W105" s="799">
        <f>IF(W$69=$F105+1,IF(Monthly!S$4=TRUE,0,Monthly!S$17),IF(W$69&gt;$F105+1,V105*(1-IF(W$69-$F105&lt;=12,SUMIFS('Attrition Modeling'!$D:$D,'Attrition Modeling'!$B:$B,$E105,'Attrition Modeling'!$C:$C,W$68),VLOOKUP(W$69-$F105-1,$A$7:$C$161,2,FALSE)*VLOOKUP(W$1,'Attrition Modeling'!$L$15:$N$27,IF(W$2-$F38&lt;=24,2,3),FALSE))*(1+Projection!Y$16)*(1+IF(W170&gt;0,'Attrition Modeling'!$N$9,0))),0))</f>
        <v>0</v>
      </c>
      <c r="X105" s="799">
        <f>IF(X$69=$F105+1,IF(Monthly!T$4=TRUE,0,Monthly!T$17),IF(X$69&gt;$F105+1,W105*(1-IF(X$69-$F105&lt;=12,SUMIFS('Attrition Modeling'!$D:$D,'Attrition Modeling'!$B:$B,$E105,'Attrition Modeling'!$C:$C,X$68),VLOOKUP(X$69-$F105-1,$A$7:$C$161,2,FALSE)*VLOOKUP(X$1,'Attrition Modeling'!$L$15:$N$27,IF(X$2-$F38&lt;=24,2,3),FALSE))*(1+Projection!Z$16)*(1+IF(X170&gt;0,'Attrition Modeling'!$N$9,0))),0))</f>
        <v>0</v>
      </c>
      <c r="Y105" s="799">
        <f>IF(Y$69=$F105+1,IF(Monthly!U$4=TRUE,0,Monthly!U$17),IF(Y$69&gt;$F105+1,X105*(1-IF(Y$69-$F105&lt;=12,SUMIFS('Attrition Modeling'!$D:$D,'Attrition Modeling'!$B:$B,$E105,'Attrition Modeling'!$C:$C,Y$68),VLOOKUP(Y$69-$F105-1,$A$7:$C$161,2,FALSE)*VLOOKUP(Y$1,'Attrition Modeling'!$L$15:$N$27,IF(Y$2-$F38&lt;=24,2,3),FALSE))*(1+Projection!AA$16)*(1+IF(Y170&gt;0,'Attrition Modeling'!$N$9,0))),0))</f>
        <v>0</v>
      </c>
      <c r="Z105" s="799">
        <f>IF(Z$69=$F105+1,IF(Monthly!V$4=TRUE,0,Monthly!V$17),IF(Z$69&gt;$F105+1,Y105*(1-IF(Z$69-$F105&lt;=12,SUMIFS('Attrition Modeling'!$D:$D,'Attrition Modeling'!$B:$B,$E105,'Attrition Modeling'!$C:$C,Z$68),VLOOKUP(Z$69-$F105-1,$A$7:$C$161,2,FALSE)*VLOOKUP(Z$1,'Attrition Modeling'!$L$15:$N$27,IF(Z$2-$F38&lt;=24,2,3),FALSE))*(1+Projection!AB$16)*(1+IF(Z170&gt;0,'Attrition Modeling'!$N$9,0))),0))</f>
        <v>0</v>
      </c>
      <c r="AA105" s="799">
        <f>IF(AA$69=$F105+1,IF(Monthly!W$4=TRUE,0,Monthly!W$17),IF(AA$69&gt;$F105+1,Z105*(1-IF(AA$69-$F105&lt;=12,SUMIFS('Attrition Modeling'!$D:$D,'Attrition Modeling'!$B:$B,$E105,'Attrition Modeling'!$C:$C,AA$68),VLOOKUP(AA$69-$F105-1,$A$7:$C$161,2,FALSE)*VLOOKUP(AA$1,'Attrition Modeling'!$L$15:$N$27,IF(AA$2-$F38&lt;=24,2,3),FALSE))*(1+Projection!AC$16)*(1+IF(AA170&gt;0,'Attrition Modeling'!$N$9,0))),0))</f>
        <v>0</v>
      </c>
      <c r="AB105" s="799">
        <f>IF(AB$69=$F105+1,IF(Monthly!X$4=TRUE,0,Monthly!X$17),IF(AB$69&gt;$F105+1,AA105*(1-IF(AB$69-$F105&lt;=12,SUMIFS('Attrition Modeling'!$D:$D,'Attrition Modeling'!$B:$B,$E105,'Attrition Modeling'!$C:$C,AB$68),VLOOKUP(AB$69-$F105-1,$A$7:$C$161,2,FALSE)*VLOOKUP(AB$1,'Attrition Modeling'!$L$15:$N$27,IF(AB$2-$F38&lt;=24,2,3),FALSE))*(1+Projection!AD$16)*(1+IF(AB170&gt;0,'Attrition Modeling'!$N$9,0))),0))</f>
        <v>0</v>
      </c>
      <c r="AC105" s="799">
        <f>IF(AC$69=$F105+1,IF(Monthly!Y$4=TRUE,0,Monthly!Y$17),IF(AC$69&gt;$F105+1,AB105*(1-IF(AC$69-$F105&lt;=12,SUMIFS('Attrition Modeling'!$D:$D,'Attrition Modeling'!$B:$B,$E105,'Attrition Modeling'!$C:$C,AC$68),VLOOKUP(AC$69-$F105-1,$A$7:$C$161,2,FALSE)*VLOOKUP(AC$1,'Attrition Modeling'!$L$15:$N$27,IF(AC$2-$F38&lt;=24,2,3),FALSE))*(1+Projection!AE$16)*(1+IF(AC170&gt;0,'Attrition Modeling'!$N$9,0))),0))</f>
        <v>0</v>
      </c>
      <c r="AD105" s="799">
        <f>IF(AD$69=$F105+1,IF(Monthly!Z$4=TRUE,0,Monthly!Z$17),IF(AD$69&gt;$F105+1,AC105*(1-IF(AD$69-$F105&lt;=12,SUMIFS('Attrition Modeling'!$D:$D,'Attrition Modeling'!$B:$B,$E105,'Attrition Modeling'!$C:$C,AD$68),VLOOKUP(AD$69-$F105-1,$A$7:$C$161,2,FALSE)*VLOOKUP(AD$1,'Attrition Modeling'!$L$15:$N$27,IF(AD$2-$F38&lt;=24,2,3),FALSE))*(1+Projection!AF$16)*(1+IF(AD170&gt;0,'Attrition Modeling'!$N$9,0))),0))</f>
        <v>0</v>
      </c>
      <c r="AE105" s="799">
        <f>IF(AE$69=$F105+1,IF(Monthly!AA$4=TRUE,0,Monthly!AA$17),IF(AE$69&gt;$F105+1,AD105*(1-IF(AE$69-$F105&lt;=12,SUMIFS('Attrition Modeling'!$D:$D,'Attrition Modeling'!$B:$B,$E105,'Attrition Modeling'!$C:$C,AE$68),VLOOKUP(AE$69-$F105-1,$A$7:$C$161,2,FALSE)*VLOOKUP(AE$1,'Attrition Modeling'!$L$15:$N$27,IF(AE$2-$F38&lt;=24,2,3),FALSE))*(1+Projection!AG$16)*(1+IF(AE170&gt;0,'Attrition Modeling'!$N$9,0))),0))</f>
        <v>0</v>
      </c>
      <c r="AF105" s="799">
        <f>IF(AF$69=$F105+1,IF(Monthly!AB$4=TRUE,0,Monthly!AB$17),IF(AF$69&gt;$F105+1,AE105*(1-IF(AF$69-$F105&lt;=12,SUMIFS('Attrition Modeling'!$D:$D,'Attrition Modeling'!$B:$B,$E105,'Attrition Modeling'!$C:$C,AF$68),VLOOKUP(AF$69-$F105-1,$A$7:$C$161,2,FALSE)*VLOOKUP(AF$1,'Attrition Modeling'!$L$15:$N$27,IF(AF$2-$F38&lt;=24,2,3),FALSE))*(1+Projection!AH$16)*(1+IF(AF170&gt;0,'Attrition Modeling'!$N$9,0))),0))</f>
        <v>0</v>
      </c>
      <c r="AG105" s="799">
        <f>IF(AG$69=$F105+1,IF(Monthly!AC$4=TRUE,0,Monthly!AC$17),IF(AG$69&gt;$F105+1,AF105*(1-IF(AG$69-$F105&lt;=12,SUMIFS('Attrition Modeling'!$D:$D,'Attrition Modeling'!$B:$B,$E105,'Attrition Modeling'!$C:$C,AG$68),VLOOKUP(AG$69-$F105-1,$A$7:$C$161,2,FALSE)*VLOOKUP(AG$1,'Attrition Modeling'!$L$15:$N$27,IF(AG$2-$F38&lt;=24,2,3),FALSE))*(1+Projection!AI$16)*(1+IF(AG170&gt;0,'Attrition Modeling'!$N$9,0))),0))</f>
        <v>0</v>
      </c>
      <c r="AH105" s="799">
        <f>IF(AH$69=$F105+1,IF(Monthly!AD$4=TRUE,0,Monthly!AD$17),IF(AH$69&gt;$F105+1,AG105*(1-IF(AH$69-$F105&lt;=12,SUMIFS('Attrition Modeling'!$D:$D,'Attrition Modeling'!$B:$B,$E105,'Attrition Modeling'!$C:$C,AH$68),VLOOKUP(AH$69-$F105-1,$A$7:$C$161,2,FALSE)*VLOOKUP(AH$1,'Attrition Modeling'!$L$15:$N$27,IF(AH$2-$F38&lt;=24,2,3),FALSE))*(1+Projection!AJ$16)*(1+IF(AH170&gt;0,'Attrition Modeling'!$N$9,0))),0))</f>
        <v>0</v>
      </c>
      <c r="AI105" s="799">
        <f>IF(AI$69=$F105+1,IF(Monthly!AE$4=TRUE,0,Monthly!AE$17),IF(AI$69&gt;$F105+1,AH105*(1-IF(AI$69-$F105&lt;=12,SUMIFS('Attrition Modeling'!$D:$D,'Attrition Modeling'!$B:$B,$E105,'Attrition Modeling'!$C:$C,AI$68),VLOOKUP(AI$69-$F105-1,$A$7:$C$161,2,FALSE)*VLOOKUP(AI$1,'Attrition Modeling'!$L$15:$N$27,IF(AI$2-$F38&lt;=24,2,3),FALSE))*(1+Projection!AK$16)*(1+IF(AI170&gt;0,'Attrition Modeling'!$N$9,0))),0))</f>
        <v>0</v>
      </c>
      <c r="AJ105" s="799">
        <f>IF(AJ$69=$F105+1,IF(Monthly!AF$4=TRUE,0,Monthly!AF$17),IF(AJ$69&gt;$F105+1,AI105*(1-IF(AJ$69-$F105&lt;=12,SUMIFS('Attrition Modeling'!$D:$D,'Attrition Modeling'!$B:$B,$E105,'Attrition Modeling'!$C:$C,AJ$68),VLOOKUP(AJ$69-$F105-1,$A$7:$C$161,2,FALSE)*VLOOKUP(AJ$1,'Attrition Modeling'!$L$15:$N$27,IF(AJ$2-$F38&lt;=24,2,3),FALSE))*(1+Projection!AL$16)*(1+IF(AJ170&gt;0,'Attrition Modeling'!$N$9,0))),0))</f>
        <v>0</v>
      </c>
      <c r="AK105" s="799">
        <f>IF(AK$69=$F105+1,IF(Monthly!AG$4=TRUE,0,Monthly!AG$17),IF(AK$69&gt;$F105+1,AJ105*(1-IF(AK$69-$F105&lt;=12,SUMIFS('Attrition Modeling'!$D:$D,'Attrition Modeling'!$B:$B,$E105,'Attrition Modeling'!$C:$C,AK$68),VLOOKUP(AK$69-$F105-1,$A$7:$C$161,2,FALSE)*VLOOKUP(AK$1,'Attrition Modeling'!$L$15:$N$27,IF(AK$2-$F38&lt;=24,2,3),FALSE))*(1+Projection!AM$16)*(1+IF(AK170&gt;0,'Attrition Modeling'!$N$9,0))),0))</f>
        <v>0</v>
      </c>
      <c r="AL105" s="799">
        <f>IF(AL$69=$F105+1,IF(Monthly!AH$4=TRUE,0,Monthly!AH$17),IF(AL$69&gt;$F105+1,AK105*(1-IF(AL$69-$F105&lt;=12,SUMIFS('Attrition Modeling'!$D:$D,'Attrition Modeling'!$B:$B,$E105,'Attrition Modeling'!$C:$C,AL$68),VLOOKUP(AL$69-$F105-1,$A$7:$C$161,2,FALSE)*VLOOKUP(AL$1,'Attrition Modeling'!$L$15:$N$27,IF(AL$2-$F38&lt;=24,2,3),FALSE))*(1+Projection!AN$16)*(1+IF(AL170&gt;0,'Attrition Modeling'!$N$9,0))),0))</f>
        <v>0</v>
      </c>
      <c r="AM105" s="799">
        <f>IF(AM$69=$F105+1,IF(Monthly!AI$4=TRUE,0,Monthly!AI$17),IF(AM$69&gt;$F105+1,AL105*(1-IF(AM$69-$F105&lt;=12,SUMIFS('Attrition Modeling'!$D:$D,'Attrition Modeling'!$B:$B,$E105,'Attrition Modeling'!$C:$C,AM$68),VLOOKUP(AM$69-$F105-1,$A$7:$C$161,2,FALSE)*VLOOKUP(AM$1,'Attrition Modeling'!$L$15:$N$27,IF(AM$2-$F38&lt;=24,2,3),FALSE))*(1+Projection!AO$16)*(1+IF(AM170&gt;0,'Attrition Modeling'!$N$9,0))),0))</f>
        <v>0</v>
      </c>
      <c r="AN105" s="799">
        <f>IF(AN$69=$F105+1,IF(Monthly!AJ$4=TRUE,0,Monthly!AJ$17),IF(AN$69&gt;$F105+1,AM105*(1-IF(AN$69-$F105&lt;=12,SUMIFS('Attrition Modeling'!$D:$D,'Attrition Modeling'!$B:$B,$E105,'Attrition Modeling'!$C:$C,AN$68),VLOOKUP(AN$69-$F105-1,$A$7:$C$161,2,FALSE)*VLOOKUP(AN$1,'Attrition Modeling'!$L$15:$N$27,IF(AN$2-$F38&lt;=24,2,3),FALSE))*(1+Projection!AP$16)*(1+IF(AN170&gt;0,'Attrition Modeling'!$N$9,0))),0))</f>
        <v>0</v>
      </c>
      <c r="AO105" s="799">
        <f>IF(AO$69=$F105+1,IF(Monthly!AK$4=TRUE,0,Monthly!AK$17),IF(AO$69&gt;$F105+1,AN105*(1-IF(AO$69-$F105&lt;=12,SUMIFS('Attrition Modeling'!$D:$D,'Attrition Modeling'!$B:$B,$E105,'Attrition Modeling'!$C:$C,AO$68),VLOOKUP(AO$69-$F105-1,$A$7:$C$161,2,FALSE)*VLOOKUP(AO$1,'Attrition Modeling'!$L$15:$N$27,IF(AO$2-$F38&lt;=24,2,3),FALSE))*(1+Projection!AQ$16)*(1+IF(AO170&gt;0,'Attrition Modeling'!$N$9,0))),0))</f>
        <v>0</v>
      </c>
      <c r="AP105" s="799">
        <f>IF(AP$69=$F105+1,IF(Monthly!AL$4=TRUE,0,Monthly!AL$17),IF(AP$69&gt;$F105+1,AO105*(1-IF(AP$69-$F105&lt;=12,SUMIFS('Attrition Modeling'!$D:$D,'Attrition Modeling'!$B:$B,$E105,'Attrition Modeling'!$C:$C,AP$68),VLOOKUP(AP$69-$F105-1,$A$7:$C$161,2,FALSE)*VLOOKUP(AP$1,'Attrition Modeling'!$L$15:$N$27,IF(AP$2-$F38&lt;=24,2,3),FALSE))*(1+Projection!AR$16)*(1+IF(AP170&gt;0,'Attrition Modeling'!$N$9,0))),0))</f>
        <v>0</v>
      </c>
      <c r="AQ105" s="799">
        <f>IF(AQ$69=$F105+1,IF(Monthly!AM$4=TRUE,0,Monthly!AM$17),IF(AQ$69&gt;$F105+1,AP105*(1-IF(AQ$69-$F105&lt;=12,SUMIFS('Attrition Modeling'!$D:$D,'Attrition Modeling'!$B:$B,$E105,'Attrition Modeling'!$C:$C,AQ$68),VLOOKUP(AQ$69-$F105-1,$A$7:$C$161,2,FALSE)*VLOOKUP(AQ$1,'Attrition Modeling'!$L$15:$N$27,IF(AQ$2-$F38&lt;=24,2,3),FALSE))*(1+Projection!AS$16)*(1+IF(AQ170&gt;0,'Attrition Modeling'!$N$9,0))),0))</f>
        <v>7534.9706468860677</v>
      </c>
      <c r="AR105" s="799">
        <f>IF(AR$69=$F105+1,IF(Monthly!AN$4=TRUE,0,Monthly!AN$17),IF(AR$69&gt;$F105+1,AQ105*(1-IF(AR$69-$F105&lt;=12,SUMIFS('Attrition Modeling'!$D:$D,'Attrition Modeling'!$B:$B,$E105,'Attrition Modeling'!$C:$C,AR$68),VLOOKUP(AR$69-$F105-1,$A$7:$C$161,2,FALSE)*VLOOKUP(AR$1,'Attrition Modeling'!$L$15:$N$27,IF(AR$2-$F38&lt;=24,2,3),FALSE))*(1+Projection!AT$16)*(1+IF(AR170&gt;0,'Attrition Modeling'!$N$9,0))),0))</f>
        <v>6850.8344939961771</v>
      </c>
      <c r="AS105" s="799">
        <f>IF(AS$69=$F105+1,IF(Monthly!AO$4=TRUE,0,Monthly!AO$17),IF(AS$69&gt;$F105+1,AR105*(1-IF(AS$69-$F105&lt;=12,SUMIFS('Attrition Modeling'!$D:$D,'Attrition Modeling'!$B:$B,$E105,'Attrition Modeling'!$C:$C,AS$68),VLOOKUP(AS$69-$F105-1,$A$7:$C$161,2,FALSE)*VLOOKUP(AS$1,'Attrition Modeling'!$L$15:$N$27,IF(AS$2-$F38&lt;=24,2,3),FALSE))*(1+Projection!AU$16)*(1+IF(AS170&gt;0,'Attrition Modeling'!$N$9,0))),0))</f>
        <v>6319.7661620396757</v>
      </c>
      <c r="AT105" s="799">
        <f>IF(AT$69=$F105+1,IF(Monthly!AP$4=TRUE,0,Monthly!AP$17),IF(AT$69&gt;$F105+1,AS105*(1-IF(AT$69-$F105&lt;=12,SUMIFS('Attrition Modeling'!$D:$D,'Attrition Modeling'!$B:$B,$E105,'Attrition Modeling'!$C:$C,AT$68),VLOOKUP(AT$69-$F105-1,$A$7:$C$161,2,FALSE)*VLOOKUP(AT$1,'Attrition Modeling'!$L$15:$N$27,IF(AT$2-$F38&lt;=24,2,3),FALSE))*(1+Projection!AV$16)*(1+IF(AT170&gt;0,'Attrition Modeling'!$N$9,0))),0))</f>
        <v>5756.9932604258611</v>
      </c>
      <c r="AU105" s="799">
        <f>IF(AU$69=$F105+1,IF(Monthly!AQ$4=TRUE,0,Monthly!AQ$17),IF(AU$69&gt;$F105+1,AT105*(1-IF(AU$69-$F105&lt;=12,SUMIFS('Attrition Modeling'!$D:$D,'Attrition Modeling'!$B:$B,$E105,'Attrition Modeling'!$C:$C,AU$68),VLOOKUP(AU$69-$F105-1,$A$7:$C$161,2,FALSE)*VLOOKUP(AU$1,'Attrition Modeling'!$L$15:$N$27,IF(AU$2-$F38&lt;=24,2,3),FALSE))*(1+Projection!AW$16)*(1+IF(AU170&gt;0,'Attrition Modeling'!$N$9,0))),0))</f>
        <v>5303.8648689224174</v>
      </c>
      <c r="AV105" s="799">
        <f>IF(AV$69=$F105+1,IF(Monthly!AR$4=TRUE,0,Monthly!AR$17),IF(AV$69&gt;$F105+1,AU105*(1-IF(AV$69-$F105&lt;=12,SUMIFS('Attrition Modeling'!$D:$D,'Attrition Modeling'!$B:$B,$E105,'Attrition Modeling'!$C:$C,AV$68),VLOOKUP(AV$69-$F105-1,$A$7:$C$161,2,FALSE)*VLOOKUP(AV$1,'Attrition Modeling'!$L$15:$N$27,IF(AV$2-$F38&lt;=24,2,3),FALSE))*(1+Projection!AX$16)*(1+IF(AV170&gt;0,'Attrition Modeling'!$N$9,0))),0))</f>
        <v>4772.4251829754239</v>
      </c>
      <c r="AW105" s="799">
        <f>IF(AW$69=$F105+1,IF(Monthly!AS$4=TRUE,0,Monthly!AS$17),IF(AW$69&gt;$F105+1,AV105*(1-IF(AW$69-$F105&lt;=12,SUMIFS('Attrition Modeling'!$D:$D,'Attrition Modeling'!$B:$B,$E105,'Attrition Modeling'!$C:$C,AW$68),VLOOKUP(AW$69-$F105-1,$A$7:$C$161,2,FALSE)*VLOOKUP(AW$1,'Attrition Modeling'!$L$15:$N$27,IF(AW$2-$F38&lt;=24,2,3),FALSE))*(1+Projection!AY$16)*(1+IF(AW170&gt;0,'Attrition Modeling'!$N$9,0))),0))</f>
        <v>4434.2706537287841</v>
      </c>
      <c r="AX105" s="799">
        <f>IF(AX$69=$F105+1,IF(Monthly!AT$4=TRUE,0,Monthly!AT$17),IF(AX$69&gt;$F105+1,AW105*(1-IF(AX$69-$F105&lt;=12,SUMIFS('Attrition Modeling'!$D:$D,'Attrition Modeling'!$B:$B,$E105,'Attrition Modeling'!$C:$C,AX$68),VLOOKUP(AX$69-$F105-1,$A$7:$C$161,2,FALSE)*VLOOKUP(AX$1,'Attrition Modeling'!$L$15:$N$27,IF(AX$2-$F38&lt;=24,2,3),FALSE))*(1+Projection!AZ$16)*(1+IF(AX170&gt;0,'Attrition Modeling'!$N$9,0))),0))</f>
        <v>4128.9941330842503</v>
      </c>
      <c r="AY105" s="799">
        <f>IF(AY$69=$F105+1,IF(Monthly!AU$4=TRUE,0,Monthly!AU$17),IF(AY$69&gt;$F105+1,AX105*(1-IF(AY$69-$F105&lt;=12,SUMIFS('Attrition Modeling'!$D:$D,'Attrition Modeling'!$B:$B,$E105,'Attrition Modeling'!$C:$C,AY$68),VLOOKUP(AY$69-$F105-1,$A$7:$C$161,2,FALSE)*VLOOKUP(AY$1,'Attrition Modeling'!$L$15:$N$27,IF(AY$2-$F38&lt;=24,2,3),FALSE))*(1+Projection!BA$16)*(1+IF(AY170&gt;0,'Attrition Modeling'!$N$9,0))),0))</f>
        <v>3848.0255377244321</v>
      </c>
      <c r="AZ105" s="799">
        <f>IF(AZ$69=$F105+1,IF(Monthly!AV$4=TRUE,0,Monthly!AV$17),IF(AZ$69&gt;$F105+1,AY105*(1-IF(AZ$69-$F105&lt;=12,SUMIFS('Attrition Modeling'!$D:$D,'Attrition Modeling'!$B:$B,$E105,'Attrition Modeling'!$C:$C,AZ$68),VLOOKUP(AZ$69-$F105-1,$A$7:$C$161,2,FALSE)*VLOOKUP(AZ$1,'Attrition Modeling'!$L$15:$N$27,IF(AZ$2-$F38&lt;=24,2,3),FALSE))*(1+Projection!BB$16)*(1+IF(AZ170&gt;0,'Attrition Modeling'!$N$9,0))),0))</f>
        <v>3631.0049782504034</v>
      </c>
      <c r="BA105" s="799">
        <f>IF(BA$69=$F105+1,IF(Monthly!AW$4=TRUE,0,Monthly!AW$17),IF(BA$69&gt;$F105+1,AZ105*(1-IF(BA$69-$F105&lt;=12,SUMIFS('Attrition Modeling'!$D:$D,'Attrition Modeling'!$B:$B,$E105,'Attrition Modeling'!$C:$C,BA$68),VLOOKUP(BA$69-$F105-1,$A$7:$C$161,2,FALSE)*VLOOKUP(BA$1,'Attrition Modeling'!$L$15:$N$27,IF(BA$2-$F38&lt;=24,2,3),FALSE))*(1+Projection!BC$16)*(1+IF(BA170&gt;0,'Attrition Modeling'!$N$9,0))),0))</f>
        <v>3423.8927084613488</v>
      </c>
      <c r="BB105" s="799">
        <f>IF(BB$69=$F105+1,IF(Monthly!AX$4=TRUE,0,Monthly!AX$17),IF(BB$69&gt;$F105+1,BA105*(1-IF(BB$69-$F105&lt;=12,SUMIFS('Attrition Modeling'!$D:$D,'Attrition Modeling'!$B:$B,$E105,'Attrition Modeling'!$C:$C,BB$68),VLOOKUP(BB$69-$F105-1,$A$7:$C$161,2,FALSE)*VLOOKUP(BB$1,'Attrition Modeling'!$L$15:$N$27,IF(BB$2-$F38&lt;=24,2,3),FALSE))*(1+Projection!BD$16)*(1+IF(BB170&gt;0,'Attrition Modeling'!$N$9,0))),0))</f>
        <v>3331.8789130973773</v>
      </c>
      <c r="BC105" s="799">
        <f>IF(BC$69=$F105+1,IF(Monthly!AY$4=TRUE,0,Monthly!AY$17),IF(BC$69&gt;$F105+1,BB105*(1-IF(BC$69-$F105&lt;=12,SUMIFS('Attrition Modeling'!$D:$D,'Attrition Modeling'!$B:$B,$E105,'Attrition Modeling'!$C:$C,BC$68),VLOOKUP(BC$69-$F105-1,$A$7:$C$161,2,FALSE)*VLOOKUP(BC$1,'Attrition Modeling'!$L$15:$N$27,IF(BC$2-$F38&lt;=24,2,3),FALSE))*(1+Projection!BE$16)*(1+IF(BC170&gt;0,'Attrition Modeling'!$N$9,0))),0))</f>
        <v>3152.6658939157596</v>
      </c>
      <c r="BD105" s="799">
        <f>IF(BD$69=$F105+1,IF(Monthly!AZ$4=TRUE,0,Monthly!AZ$17),IF(BD$69&gt;$F105+1,BC105*(1-IF(BD$69-$F105&lt;=12,SUMIFS('Attrition Modeling'!$D:$D,'Attrition Modeling'!$B:$B,$E105,'Attrition Modeling'!$C:$C,BD$68),VLOOKUP(BD$69-$F105-1,$A$7:$C$161,2,FALSE)*VLOOKUP(BD$1,'Attrition Modeling'!$L$15:$N$27,IF(BD$2-$F38&lt;=24,2,3),FALSE))*(1+Projection!BF$16)*(1+IF(BD170&gt;0,'Attrition Modeling'!$N$9,0))),0))</f>
        <v>2996.0489624232455</v>
      </c>
      <c r="BE105" s="799">
        <f>IF(BE$69=$F105+1,IF(Monthly!BA$4=TRUE,0,Monthly!BA$17),IF(BE$69&gt;$F105+1,BD105*(1-IF(BE$69-$F105&lt;=12,SUMIFS('Attrition Modeling'!$D:$D,'Attrition Modeling'!$B:$B,$E105,'Attrition Modeling'!$C:$C,BE$68),VLOOKUP(BE$69-$F105-1,$A$7:$C$161,2,FALSE)*VLOOKUP(BE$1,'Attrition Modeling'!$L$15:$N$27,IF(BE$2-$F38&lt;=24,2,3),FALSE))*(1+Projection!BG$16)*(1+IF(BE170&gt;0,'Attrition Modeling'!$N$9,0))),0))</f>
        <v>2868.3569690626568</v>
      </c>
      <c r="BF105" s="799">
        <f>IF(BF$69=$F105+1,IF(Monthly!BB$4=TRUE,0,Monthly!BB$17),IF(BF$69&gt;$F105+1,BE105*(1-IF(BF$69-$F105&lt;=12,SUMIFS('Attrition Modeling'!$D:$D,'Attrition Modeling'!$B:$B,$E105,'Attrition Modeling'!$C:$C,BF$68),VLOOKUP(BF$69-$F105-1,$A$7:$C$161,2,FALSE)*VLOOKUP(BF$1,'Attrition Modeling'!$L$15:$N$27,IF(BF$2-$F38&lt;=24,2,3),FALSE))*(1+Projection!BH$16)*(1+IF(BF170&gt;0,'Attrition Modeling'!$N$9,0))),0))</f>
        <v>2740.1419156947786</v>
      </c>
      <c r="BG105" s="799">
        <f>IF(BG$69=$F105+1,IF(Monthly!BC$4=TRUE,0,Monthly!BC$17),IF(BG$69&gt;$F105+1,BF105*(1-IF(BG$69-$F105&lt;=12,SUMIFS('Attrition Modeling'!$D:$D,'Attrition Modeling'!$B:$B,$E105,'Attrition Modeling'!$C:$C,BG$68),VLOOKUP(BG$69-$F105-1,$A$7:$C$161,2,FALSE)*VLOOKUP(BG$1,'Attrition Modeling'!$L$15:$N$27,IF(BG$2-$F38&lt;=24,2,3),FALSE))*(1+Projection!BI$16)*(1+IF(BG170&gt;0,'Attrition Modeling'!$N$9,0))),0))</f>
        <v>2623.2542336686442</v>
      </c>
      <c r="BH105" s="799">
        <f>IF(BH$69=$F105+1,IF(Monthly!BD$4=TRUE,0,Monthly!BD$17),IF(BH$69&gt;$F105+1,BG105*(1-IF(BH$69-$F105&lt;=12,SUMIFS('Attrition Modeling'!$D:$D,'Attrition Modeling'!$B:$B,$E105,'Attrition Modeling'!$C:$C,BH$68),VLOOKUP(BH$69-$F105-1,$A$7:$C$161,2,FALSE)*VLOOKUP(BH$1,'Attrition Modeling'!$L$15:$N$27,IF(BH$2-$F38&lt;=24,2,3),FALSE))*(1+Projection!BJ$16)*(1+IF(BH170&gt;0,'Attrition Modeling'!$N$9,0))),0))</f>
        <v>2493.2320544130303</v>
      </c>
      <c r="BI105" s="799">
        <f>IF(BI$69=$F105+1,IF(Monthly!BE$4=TRUE,0,Monthly!BE$17),IF(BI$69&gt;$F105+1,BH105*(1-IF(BI$69-$F105&lt;=12,SUMIFS('Attrition Modeling'!$D:$D,'Attrition Modeling'!$B:$B,$E105,'Attrition Modeling'!$C:$C,BI$68),VLOOKUP(BI$69-$F105-1,$A$7:$C$161,2,FALSE)*VLOOKUP(BI$1,'Attrition Modeling'!$L$15:$N$27,IF(BI$2-$F38&lt;=24,2,3),FALSE))*(1+Projection!BK$16)*(1+IF(BI170&gt;0,'Attrition Modeling'!$N$9,0))),0))</f>
        <v>2382.5982512360183</v>
      </c>
      <c r="BJ105" s="799">
        <f>IF(BJ$69=$F105+1,IF(Monthly!BF$4=TRUE,0,Monthly!BF$17),IF(BJ$69&gt;$F105+1,BI105*(1-IF(BJ$69-$F105&lt;=12,SUMIFS('Attrition Modeling'!$D:$D,'Attrition Modeling'!$B:$B,$E105,'Attrition Modeling'!$C:$C,BJ$68),VLOOKUP(BJ$69-$F105-1,$A$7:$C$161,2,FALSE)*VLOOKUP(BJ$1,'Attrition Modeling'!$L$15:$N$27,IF(BJ$2-$F38&lt;=24,2,3),FALSE))*(1+Projection!BL$16)*(1+IF(BJ170&gt;0,'Attrition Modeling'!$N$9,0))),0))</f>
        <v>2276.4274062833242</v>
      </c>
      <c r="BK105" s="799">
        <f>IF(BK$69=$F105+1,IF(Monthly!BG$4=TRUE,0,Monthly!BG$17),IF(BK$69&gt;$F105+1,BJ105*(1-IF(BK$69-$F105&lt;=12,SUMIFS('Attrition Modeling'!$D:$D,'Attrition Modeling'!$B:$B,$E105,'Attrition Modeling'!$C:$C,BK$68),VLOOKUP(BK$69-$F105-1,$A$7:$C$161,2,FALSE)*VLOOKUP(BK$1,'Attrition Modeling'!$L$15:$N$27,IF(BK$2-$F38&lt;=24,2,3),FALSE))*(1+Projection!BM$16)*(1+IF(BK170&gt;0,'Attrition Modeling'!$N$9,0))),0))</f>
        <v>2172.3108278075229</v>
      </c>
      <c r="BL105" s="799">
        <f>IF(BL$69=$F105+1,IF(Monthly!BH$4=TRUE,0,Monthly!BH$17),IF(BL$69&gt;$F105+1,BK105*(1-IF(BL$69-$F105&lt;=12,SUMIFS('Attrition Modeling'!$D:$D,'Attrition Modeling'!$B:$B,$E105,'Attrition Modeling'!$C:$C,BL$68),VLOOKUP(BL$69-$F105-1,$A$7:$C$161,2,FALSE)*VLOOKUP(BL$1,'Attrition Modeling'!$L$15:$N$27,IF(BL$2-$F38&lt;=24,2,3),FALSE))*(1+Projection!BN$16)*(1+IF(BL170&gt;0,'Attrition Modeling'!$N$9,0))),0))</f>
        <v>2083.1209276846348</v>
      </c>
      <c r="BM105" s="799">
        <f>IF(BM$69=$F105+1,IF(Monthly!BI$4=TRUE,0,Monthly!BI$17),IF(BM$69&gt;$F105+1,BL105*(1-IF(BM$69-$F105&lt;=12,SUMIFS('Attrition Modeling'!$D:$D,'Attrition Modeling'!$B:$B,$E105,'Attrition Modeling'!$C:$C,BM$68),VLOOKUP(BM$69-$F105-1,$A$7:$C$161,2,FALSE)*VLOOKUP(BM$1,'Attrition Modeling'!$L$15:$N$27,IF(BM$2-$F38&lt;=24,2,3),FALSE))*(1+Projection!BO$16)*(1+IF(BM170&gt;0,'Attrition Modeling'!$N$9,0))),0))</f>
        <v>1996.8643175713694</v>
      </c>
      <c r="BN105" s="799">
        <f>IF(BN$69=$F105+1,IF(Monthly!BJ$4=TRUE,0,Monthly!BJ$17),IF(BN$69&gt;$F105+1,BM105*(1-IF(BN$69-$F105&lt;=12,SUMIFS('Attrition Modeling'!$D:$D,'Attrition Modeling'!$B:$B,$E105,'Attrition Modeling'!$C:$C,BN$68),VLOOKUP(BN$69-$F105-1,$A$7:$C$161,2,FALSE)*VLOOKUP(BN$1,'Attrition Modeling'!$L$15:$N$27,IF(BN$2-$F38&lt;=24,2,3),FALSE))*(1+Projection!BP$16)*(1+IF(BN170&gt;0,'Attrition Modeling'!$N$9,0))),0))</f>
        <v>1918.3746128326197</v>
      </c>
      <c r="BO105" s="799">
        <f>IF(BO$69=$F105+1,IF(Monthly!BK$4=TRUE,0,Monthly!BK$17),IF(BO$69&gt;$F105+1,BN105*(1-IF(BO$69-$F105&lt;=12,SUMIFS('Attrition Modeling'!$D:$D,'Attrition Modeling'!$B:$B,$E105,'Attrition Modeling'!$C:$C,BO$68),VLOOKUP(BO$69-$F105-1,$A$7:$C$161,2,FALSE)*VLOOKUP(BO$1,'Attrition Modeling'!$L$15:$N$27,IF(BO$2-$F38&lt;=24,2,3),FALSE))*(1+Projection!BV$16)*(1+IF(BO170&gt;0,'Attrition Modeling'!$N$9,0))),0))</f>
        <v>1856.3982515162209</v>
      </c>
      <c r="BP105" s="799">
        <f>IF(BP$69=$F105+1,IF(Monthly!BL$4=TRUE,0,Monthly!BL$17),IF(BP$69&gt;$F105+1,BO105*(1-IF(BP$69-$F105&lt;=12,SUMIFS('Attrition Modeling'!$D:$D,'Attrition Modeling'!$B:$B,$E105,'Attrition Modeling'!$C:$C,BP$68),VLOOKUP(BP$69-$F105-1,$A$7:$C$161,2,FALSE)*VLOOKUP(BP$1,'Attrition Modeling'!$L$15:$N$27,IF(BP$2-$F38&lt;=24,2,3),FALSE))*(1+Projection!BW$16)*(1+IF(BP170&gt;0,'Attrition Modeling'!$N$9,0))),0))</f>
        <v>1790.9254826154709</v>
      </c>
      <c r="BQ105" s="799">
        <f>IF(BQ$69=$F105+1,IF(Monthly!BM$4=TRUE,0,Monthly!BM$17),IF(BQ$69&gt;$F105+1,BP105*(1-IF(BQ$69-$F105&lt;=12,SUMIFS('Attrition Modeling'!$D:$D,'Attrition Modeling'!$B:$B,$E105,'Attrition Modeling'!$C:$C,BQ$68),VLOOKUP(BQ$69-$F105-1,$A$7:$C$161,2,FALSE)*VLOOKUP(BQ$1,'Attrition Modeling'!$L$15:$N$27,IF(BQ$2-$F38&lt;=24,2,3),FALSE))*(1+Projection!BX$16)*(1+IF(BQ170&gt;0,'Attrition Modeling'!$N$9,0))),0))</f>
        <v>1730.5720175218059</v>
      </c>
      <c r="BR105" s="799">
        <f>IF(BR$69=$F105+1,IF(Monthly!BN$4=TRUE,0,Monthly!BN$17),IF(BR$69&gt;$F105+1,BQ105*(1-IF(BR$69-$F105&lt;=12,SUMIFS('Attrition Modeling'!$D:$D,'Attrition Modeling'!$B:$B,$E105,'Attrition Modeling'!$C:$C,BR$68),VLOOKUP(BR$69-$F105-1,$A$7:$C$161,2,FALSE)*VLOOKUP(BR$1,'Attrition Modeling'!$L$15:$N$27,IF(BR$2-$F38&lt;=24,2,3),FALSE))*(1+Projection!BY$16)*(1+IF(BR170&gt;0,'Attrition Modeling'!$N$9,0))),0))</f>
        <v>1675.4404608672899</v>
      </c>
      <c r="BS105" s="799">
        <f>IF(BS$69=$F105+1,IF(Monthly!BO$4=TRUE,0,Monthly!BO$17),IF(BS$69&gt;$F105+1,BR105*(1-IF(BS$69-$F105&lt;=12,SUMIFS('Attrition Modeling'!$D:$D,'Attrition Modeling'!$B:$B,$E105,'Attrition Modeling'!$C:$C,BS$68),VLOOKUP(BS$69-$F105-1,$A$7:$C$161,2,FALSE)*VLOOKUP(BS$1,'Attrition Modeling'!$L$15:$N$27,IF(BS$2-$F38&lt;=24,2,3),FALSE))*(1+Projection!BZ$16)*(1+IF(BS170&gt;0,'Attrition Modeling'!$N$9,0))),0))</f>
        <v>1633.5384906565157</v>
      </c>
      <c r="BT105" s="799">
        <f>IF(BT$69=$F105+1,IF(Monthly!#REF!=TRUE,0,Monthly!#REF!),IF(BT$69&gt;$F105+1,BS105*(1-IF(BT$69-$F105&lt;=12,SUMIFS('Attrition Modeling'!$D:$D,'Attrition Modeling'!$B:$B,$E105,'Attrition Modeling'!$C:$C,BT$68),VLOOKUP(BT$69-$F105-1,$A$7:$C$161,2,FALSE)*VLOOKUP(BT$1,'Attrition Modeling'!$L$15:$N$27,IF(BT$2-$F38&lt;=24,2,3),FALSE))*(1+Projection!CA$16)*(1+IF(BT170&gt;0,'Attrition Modeling'!$N$9,0))),0))</f>
        <v>1575.0946799971778</v>
      </c>
      <c r="BU105" s="799">
        <f>IF(BU$69=$F105+1,IF(Monthly!#REF!=TRUE,0,Monthly!#REF!),IF(BU$69&gt;$F105+1,BT105*(1-IF(BU$69-$F105&lt;=12,SUMIFS('Attrition Modeling'!$D:$D,'Attrition Modeling'!$B:$B,$E105,'Attrition Modeling'!$C:$C,BU$68),VLOOKUP(BU$69-$F105-1,$A$7:$C$161,2,FALSE)*VLOOKUP(BU$1,'Attrition Modeling'!$L$15:$N$27,IF(BU$2-$F38&lt;=24,2,3),FALSE))*(1+Projection!CB$16)*(1+IF(BU170&gt;0,'Attrition Modeling'!$N$9,0))),0))</f>
        <v>1522.1549380582901</v>
      </c>
    </row>
    <row r="106" spans="1:73" ht="14.25" customHeight="1" x14ac:dyDescent="0.2">
      <c r="A106" s="9">
        <v>99</v>
      </c>
      <c r="B106" s="25">
        <f>MAX('Attrition Modeling'!H103,$C$3)*(1-Summary!$C$20)</f>
        <v>0.02</v>
      </c>
      <c r="C106" s="24" t="e">
        <f t="shared" si="4"/>
        <v>#DIV/0!</v>
      </c>
      <c r="E106" s="11">
        <f t="shared" si="9"/>
        <v>12</v>
      </c>
      <c r="F106" s="11">
        <f t="shared" si="10"/>
        <v>36</v>
      </c>
      <c r="G106" s="799"/>
      <c r="H106" s="799">
        <f>IF(H$69=$F106+1,IF(Monthly!D$4=TRUE,0,Monthly!D$17),IF(H$69&gt;$F106+1,G106*(1-IF(H$69-$F106&lt;=12,SUMIFS('Attrition Modeling'!$D:$D,'Attrition Modeling'!$B:$B,$E106,'Attrition Modeling'!$C:$C,H$68),VLOOKUP(H$69-$F106-1,$A$7:$C$161,2,FALSE)*VLOOKUP(H$1,'Attrition Modeling'!$L$15:$N$27,IF(H$2-$F39&lt;=24,2,3),FALSE))*(1+Projection!J$16)*(1+IF(H171&gt;0,'Attrition Modeling'!$N$9,0))),0))</f>
        <v>0</v>
      </c>
      <c r="I106" s="799">
        <f>IF(I$69=$F106+1,IF(Monthly!E$4=TRUE,0,Monthly!E$17),IF(I$69&gt;$F106+1,H106*(1-IF(I$69-$F106&lt;=12,SUMIFS('Attrition Modeling'!$D:$D,'Attrition Modeling'!$B:$B,$E106,'Attrition Modeling'!$C:$C,I$68),VLOOKUP(I$69-$F106-1,$A$7:$C$161,2,FALSE)*VLOOKUP(I$1,'Attrition Modeling'!$L$15:$N$27,IF(I$2-$F39&lt;=24,2,3),FALSE))*(1+Projection!K$16)*(1+IF(I171&gt;0,'Attrition Modeling'!$N$9,0))),0))</f>
        <v>0</v>
      </c>
      <c r="J106" s="799">
        <f>IF(J$69=$F106+1,IF(Monthly!F$4=TRUE,0,Monthly!F$17),IF(J$69&gt;$F106+1,I106*(1-IF(J$69-$F106&lt;=12,SUMIFS('Attrition Modeling'!$D:$D,'Attrition Modeling'!$B:$B,$E106,'Attrition Modeling'!$C:$C,J$68),VLOOKUP(J$69-$F106-1,$A$7:$C$161,2,FALSE)*VLOOKUP(J$1,'Attrition Modeling'!$L$15:$N$27,IF(J$2-$F39&lt;=24,2,3),FALSE))*(1+Projection!L$16)*(1+IF(J171&gt;0,'Attrition Modeling'!$N$9,0))),0))</f>
        <v>0</v>
      </c>
      <c r="K106" s="799">
        <f>IF(K$69=$F106+1,IF(Monthly!G$4=TRUE,0,Monthly!G$17),IF(K$69&gt;$F106+1,J106*(1-IF(K$69-$F106&lt;=12,SUMIFS('Attrition Modeling'!$D:$D,'Attrition Modeling'!$B:$B,$E106,'Attrition Modeling'!$C:$C,K$68),VLOOKUP(K$69-$F106-1,$A$7:$C$161,2,FALSE)*VLOOKUP(K$1,'Attrition Modeling'!$L$15:$N$27,IF(K$2-$F39&lt;=24,2,3),FALSE))*(1+Projection!M$16)*(1+IF(K171&gt;0,'Attrition Modeling'!$N$9,0))),0))</f>
        <v>0</v>
      </c>
      <c r="L106" s="799">
        <f>IF(L$69=$F106+1,IF(Monthly!H$4=TRUE,0,Monthly!H$17),IF(L$69&gt;$F106+1,K106*(1-IF(L$69-$F106&lt;=12,SUMIFS('Attrition Modeling'!$D:$D,'Attrition Modeling'!$B:$B,$E106,'Attrition Modeling'!$C:$C,L$68),VLOOKUP(L$69-$F106-1,$A$7:$C$161,2,FALSE)*VLOOKUP(L$1,'Attrition Modeling'!$L$15:$N$27,IF(L$2-$F39&lt;=24,2,3),FALSE))*(1+Projection!N$16)*(1+IF(L171&gt;0,'Attrition Modeling'!$N$9,0))),0))</f>
        <v>0</v>
      </c>
      <c r="M106" s="799">
        <f>IF(M$69=$F106+1,IF(Monthly!I$4=TRUE,0,Monthly!I$17),IF(M$69&gt;$F106+1,L106*(1-IF(M$69-$F106&lt;=12,SUMIFS('Attrition Modeling'!$D:$D,'Attrition Modeling'!$B:$B,$E106,'Attrition Modeling'!$C:$C,M$68),VLOOKUP(M$69-$F106-1,$A$7:$C$161,2,FALSE)*VLOOKUP(M$1,'Attrition Modeling'!$L$15:$N$27,IF(M$2-$F39&lt;=24,2,3),FALSE))*(1+Projection!O$16)*(1+IF(M171&gt;0,'Attrition Modeling'!$N$9,0))),0))</f>
        <v>0</v>
      </c>
      <c r="N106" s="799">
        <f>IF(N$69=$F106+1,IF(Monthly!J$4=TRUE,0,Monthly!J$17),IF(N$69&gt;$F106+1,M106*(1-IF(N$69-$F106&lt;=12,SUMIFS('Attrition Modeling'!$D:$D,'Attrition Modeling'!$B:$B,$E106,'Attrition Modeling'!$C:$C,N$68),VLOOKUP(N$69-$F106-1,$A$7:$C$161,2,FALSE)*VLOOKUP(N$1,'Attrition Modeling'!$L$15:$N$27,IF(N$2-$F39&lt;=24,2,3),FALSE))*(1+Projection!P$16)*(1+IF(N171&gt;0,'Attrition Modeling'!$N$9,0))),0))</f>
        <v>0</v>
      </c>
      <c r="O106" s="799">
        <f>IF(O$69=$F106+1,IF(Monthly!K$4=TRUE,0,Monthly!K$17),IF(O$69&gt;$F106+1,N106*(1-IF(O$69-$F106&lt;=12,SUMIFS('Attrition Modeling'!$D:$D,'Attrition Modeling'!$B:$B,$E106,'Attrition Modeling'!$C:$C,O$68),VLOOKUP(O$69-$F106-1,$A$7:$C$161,2,FALSE)*VLOOKUP(O$1,'Attrition Modeling'!$L$15:$N$27,IF(O$2-$F39&lt;=24,2,3),FALSE))*(1+Projection!Q$16)*(1+IF(O171&gt;0,'Attrition Modeling'!$N$9,0))),0))</f>
        <v>0</v>
      </c>
      <c r="P106" s="799">
        <f>IF(P$69=$F106+1,IF(Monthly!L$4=TRUE,0,Monthly!L$17),IF(P$69&gt;$F106+1,O106*(1-IF(P$69-$F106&lt;=12,SUMIFS('Attrition Modeling'!$D:$D,'Attrition Modeling'!$B:$B,$E106,'Attrition Modeling'!$C:$C,P$68),VLOOKUP(P$69-$F106-1,$A$7:$C$161,2,FALSE)*VLOOKUP(P$1,'Attrition Modeling'!$L$15:$N$27,IF(P$2-$F39&lt;=24,2,3),FALSE))*(1+Projection!R$16)*(1+IF(P171&gt;0,'Attrition Modeling'!$N$9,0))),0))</f>
        <v>0</v>
      </c>
      <c r="Q106" s="799">
        <f>IF(Q$69=$F106+1,IF(Monthly!M$4=TRUE,0,Monthly!M$17),IF(Q$69&gt;$F106+1,P106*(1-IF(Q$69-$F106&lt;=12,SUMIFS('Attrition Modeling'!$D:$D,'Attrition Modeling'!$B:$B,$E106,'Attrition Modeling'!$C:$C,Q$68),VLOOKUP(Q$69-$F106-1,$A$7:$C$161,2,FALSE)*VLOOKUP(Q$1,'Attrition Modeling'!$L$15:$N$27,IF(Q$2-$F39&lt;=24,2,3),FALSE))*(1+Projection!S$16)*(1+IF(Q171&gt;0,'Attrition Modeling'!$N$9,0))),0))</f>
        <v>0</v>
      </c>
      <c r="R106" s="799">
        <f>IF(R$69=$F106+1,IF(Monthly!N$4=TRUE,0,Monthly!N$17),IF(R$69&gt;$F106+1,Q106*(1-IF(R$69-$F106&lt;=12,SUMIFS('Attrition Modeling'!$D:$D,'Attrition Modeling'!$B:$B,$E106,'Attrition Modeling'!$C:$C,R$68),VLOOKUP(R$69-$F106-1,$A$7:$C$161,2,FALSE)*VLOOKUP(R$1,'Attrition Modeling'!$L$15:$N$27,IF(R$2-$F39&lt;=24,2,3),FALSE))*(1+Projection!T$16)*(1+IF(R171&gt;0,'Attrition Modeling'!$N$9,0))),0))</f>
        <v>0</v>
      </c>
      <c r="S106" s="799">
        <f>IF(S$69=$F106+1,IF(Monthly!O$4=TRUE,0,Monthly!O$17),IF(S$69&gt;$F106+1,R106*(1-IF(S$69-$F106&lt;=12,SUMIFS('Attrition Modeling'!$D:$D,'Attrition Modeling'!$B:$B,$E106,'Attrition Modeling'!$C:$C,S$68),VLOOKUP(S$69-$F106-1,$A$7:$C$161,2,FALSE)*VLOOKUP(S$1,'Attrition Modeling'!$L$15:$N$27,IF(S$2-$F39&lt;=24,2,3),FALSE))*(1+Projection!U$16)*(1+IF(S171&gt;0,'Attrition Modeling'!$N$9,0))),0))</f>
        <v>0</v>
      </c>
      <c r="T106" s="799">
        <f>IF(T$69=$F106+1,IF(Monthly!P$4=TRUE,0,Monthly!P$17),IF(T$69&gt;$F106+1,S106*(1-IF(T$69-$F106&lt;=12,SUMIFS('Attrition Modeling'!$D:$D,'Attrition Modeling'!$B:$B,$E106,'Attrition Modeling'!$C:$C,T$68),VLOOKUP(T$69-$F106-1,$A$7:$C$161,2,FALSE)*VLOOKUP(T$1,'Attrition Modeling'!$L$15:$N$27,IF(T$2-$F39&lt;=24,2,3),FALSE))*(1+Projection!V$16)*(1+IF(T171&gt;0,'Attrition Modeling'!$N$9,0))),0))</f>
        <v>0</v>
      </c>
      <c r="U106" s="799">
        <f>IF(U$69=$F106+1,IF(Monthly!Q$4=TRUE,0,Monthly!Q$17),IF(U$69&gt;$F106+1,T106*(1-IF(U$69-$F106&lt;=12,SUMIFS('Attrition Modeling'!$D:$D,'Attrition Modeling'!$B:$B,$E106,'Attrition Modeling'!$C:$C,U$68),VLOOKUP(U$69-$F106-1,$A$7:$C$161,2,FALSE)*VLOOKUP(U$1,'Attrition Modeling'!$L$15:$N$27,IF(U$2-$F39&lt;=24,2,3),FALSE))*(1+Projection!W$16)*(1+IF(U171&gt;0,'Attrition Modeling'!$N$9,0))),0))</f>
        <v>0</v>
      </c>
      <c r="V106" s="799">
        <f>IF(V$69=$F106+1,IF(Monthly!R$4=TRUE,0,Monthly!R$17),IF(V$69&gt;$F106+1,U106*(1-IF(V$69-$F106&lt;=12,SUMIFS('Attrition Modeling'!$D:$D,'Attrition Modeling'!$B:$B,$E106,'Attrition Modeling'!$C:$C,V$68),VLOOKUP(V$69-$F106-1,$A$7:$C$161,2,FALSE)*VLOOKUP(V$1,'Attrition Modeling'!$L$15:$N$27,IF(V$2-$F39&lt;=24,2,3),FALSE))*(1+Projection!X$16)*(1+IF(V171&gt;0,'Attrition Modeling'!$N$9,0))),0))</f>
        <v>0</v>
      </c>
      <c r="W106" s="799">
        <f>IF(W$69=$F106+1,IF(Monthly!S$4=TRUE,0,Monthly!S$17),IF(W$69&gt;$F106+1,V106*(1-IF(W$69-$F106&lt;=12,SUMIFS('Attrition Modeling'!$D:$D,'Attrition Modeling'!$B:$B,$E106,'Attrition Modeling'!$C:$C,W$68),VLOOKUP(W$69-$F106-1,$A$7:$C$161,2,FALSE)*VLOOKUP(W$1,'Attrition Modeling'!$L$15:$N$27,IF(W$2-$F39&lt;=24,2,3),FALSE))*(1+Projection!Y$16)*(1+IF(W171&gt;0,'Attrition Modeling'!$N$9,0))),0))</f>
        <v>0</v>
      </c>
      <c r="X106" s="799">
        <f>IF(X$69=$F106+1,IF(Monthly!T$4=TRUE,0,Monthly!T$17),IF(X$69&gt;$F106+1,W106*(1-IF(X$69-$F106&lt;=12,SUMIFS('Attrition Modeling'!$D:$D,'Attrition Modeling'!$B:$B,$E106,'Attrition Modeling'!$C:$C,X$68),VLOOKUP(X$69-$F106-1,$A$7:$C$161,2,FALSE)*VLOOKUP(X$1,'Attrition Modeling'!$L$15:$N$27,IF(X$2-$F39&lt;=24,2,3),FALSE))*(1+Projection!Z$16)*(1+IF(X171&gt;0,'Attrition Modeling'!$N$9,0))),0))</f>
        <v>0</v>
      </c>
      <c r="Y106" s="799">
        <f>IF(Y$69=$F106+1,IF(Monthly!U$4=TRUE,0,Monthly!U$17),IF(Y$69&gt;$F106+1,X106*(1-IF(Y$69-$F106&lt;=12,SUMIFS('Attrition Modeling'!$D:$D,'Attrition Modeling'!$B:$B,$E106,'Attrition Modeling'!$C:$C,Y$68),VLOOKUP(Y$69-$F106-1,$A$7:$C$161,2,FALSE)*VLOOKUP(Y$1,'Attrition Modeling'!$L$15:$N$27,IF(Y$2-$F39&lt;=24,2,3),FALSE))*(1+Projection!AA$16)*(1+IF(Y171&gt;0,'Attrition Modeling'!$N$9,0))),0))</f>
        <v>0</v>
      </c>
      <c r="Z106" s="799">
        <f>IF(Z$69=$F106+1,IF(Monthly!V$4=TRUE,0,Monthly!V$17),IF(Z$69&gt;$F106+1,Y106*(1-IF(Z$69-$F106&lt;=12,SUMIFS('Attrition Modeling'!$D:$D,'Attrition Modeling'!$B:$B,$E106,'Attrition Modeling'!$C:$C,Z$68),VLOOKUP(Z$69-$F106-1,$A$7:$C$161,2,FALSE)*VLOOKUP(Z$1,'Attrition Modeling'!$L$15:$N$27,IF(Z$2-$F39&lt;=24,2,3),FALSE))*(1+Projection!AB$16)*(1+IF(Z171&gt;0,'Attrition Modeling'!$N$9,0))),0))</f>
        <v>0</v>
      </c>
      <c r="AA106" s="799">
        <f>IF(AA$69=$F106+1,IF(Monthly!W$4=TRUE,0,Monthly!W$17),IF(AA$69&gt;$F106+1,Z106*(1-IF(AA$69-$F106&lt;=12,SUMIFS('Attrition Modeling'!$D:$D,'Attrition Modeling'!$B:$B,$E106,'Attrition Modeling'!$C:$C,AA$68),VLOOKUP(AA$69-$F106-1,$A$7:$C$161,2,FALSE)*VLOOKUP(AA$1,'Attrition Modeling'!$L$15:$N$27,IF(AA$2-$F39&lt;=24,2,3),FALSE))*(1+Projection!AC$16)*(1+IF(AA171&gt;0,'Attrition Modeling'!$N$9,0))),0))</f>
        <v>0</v>
      </c>
      <c r="AB106" s="799">
        <f>IF(AB$69=$F106+1,IF(Monthly!X$4=TRUE,0,Monthly!X$17),IF(AB$69&gt;$F106+1,AA106*(1-IF(AB$69-$F106&lt;=12,SUMIFS('Attrition Modeling'!$D:$D,'Attrition Modeling'!$B:$B,$E106,'Attrition Modeling'!$C:$C,AB$68),VLOOKUP(AB$69-$F106-1,$A$7:$C$161,2,FALSE)*VLOOKUP(AB$1,'Attrition Modeling'!$L$15:$N$27,IF(AB$2-$F39&lt;=24,2,3),FALSE))*(1+Projection!AD$16)*(1+IF(AB171&gt;0,'Attrition Modeling'!$N$9,0))),0))</f>
        <v>0</v>
      </c>
      <c r="AC106" s="799">
        <f>IF(AC$69=$F106+1,IF(Monthly!Y$4=TRUE,0,Monthly!Y$17),IF(AC$69&gt;$F106+1,AB106*(1-IF(AC$69-$F106&lt;=12,SUMIFS('Attrition Modeling'!$D:$D,'Attrition Modeling'!$B:$B,$E106,'Attrition Modeling'!$C:$C,AC$68),VLOOKUP(AC$69-$F106-1,$A$7:$C$161,2,FALSE)*VLOOKUP(AC$1,'Attrition Modeling'!$L$15:$N$27,IF(AC$2-$F39&lt;=24,2,3),FALSE))*(1+Projection!AE$16)*(1+IF(AC171&gt;0,'Attrition Modeling'!$N$9,0))),0))</f>
        <v>0</v>
      </c>
      <c r="AD106" s="799">
        <f>IF(AD$69=$F106+1,IF(Monthly!Z$4=TRUE,0,Monthly!Z$17),IF(AD$69&gt;$F106+1,AC106*(1-IF(AD$69-$F106&lt;=12,SUMIFS('Attrition Modeling'!$D:$D,'Attrition Modeling'!$B:$B,$E106,'Attrition Modeling'!$C:$C,AD$68),VLOOKUP(AD$69-$F106-1,$A$7:$C$161,2,FALSE)*VLOOKUP(AD$1,'Attrition Modeling'!$L$15:$N$27,IF(AD$2-$F39&lt;=24,2,3),FALSE))*(1+Projection!AF$16)*(1+IF(AD171&gt;0,'Attrition Modeling'!$N$9,0))),0))</f>
        <v>0</v>
      </c>
      <c r="AE106" s="799">
        <f>IF(AE$69=$F106+1,IF(Monthly!AA$4=TRUE,0,Monthly!AA$17),IF(AE$69&gt;$F106+1,AD106*(1-IF(AE$69-$F106&lt;=12,SUMIFS('Attrition Modeling'!$D:$D,'Attrition Modeling'!$B:$B,$E106,'Attrition Modeling'!$C:$C,AE$68),VLOOKUP(AE$69-$F106-1,$A$7:$C$161,2,FALSE)*VLOOKUP(AE$1,'Attrition Modeling'!$L$15:$N$27,IF(AE$2-$F39&lt;=24,2,3),FALSE))*(1+Projection!AG$16)*(1+IF(AE171&gt;0,'Attrition Modeling'!$N$9,0))),0))</f>
        <v>0</v>
      </c>
      <c r="AF106" s="799">
        <f>IF(AF$69=$F106+1,IF(Monthly!AB$4=TRUE,0,Monthly!AB$17),IF(AF$69&gt;$F106+1,AE106*(1-IF(AF$69-$F106&lt;=12,SUMIFS('Attrition Modeling'!$D:$D,'Attrition Modeling'!$B:$B,$E106,'Attrition Modeling'!$C:$C,AF$68),VLOOKUP(AF$69-$F106-1,$A$7:$C$161,2,FALSE)*VLOOKUP(AF$1,'Attrition Modeling'!$L$15:$N$27,IF(AF$2-$F39&lt;=24,2,3),FALSE))*(1+Projection!AH$16)*(1+IF(AF171&gt;0,'Attrition Modeling'!$N$9,0))),0))</f>
        <v>0</v>
      </c>
      <c r="AG106" s="799">
        <f>IF(AG$69=$F106+1,IF(Monthly!AC$4=TRUE,0,Monthly!AC$17),IF(AG$69&gt;$F106+1,AF106*(1-IF(AG$69-$F106&lt;=12,SUMIFS('Attrition Modeling'!$D:$D,'Attrition Modeling'!$B:$B,$E106,'Attrition Modeling'!$C:$C,AG$68),VLOOKUP(AG$69-$F106-1,$A$7:$C$161,2,FALSE)*VLOOKUP(AG$1,'Attrition Modeling'!$L$15:$N$27,IF(AG$2-$F39&lt;=24,2,3),FALSE))*(1+Projection!AI$16)*(1+IF(AG171&gt;0,'Attrition Modeling'!$N$9,0))),0))</f>
        <v>0</v>
      </c>
      <c r="AH106" s="799">
        <f>IF(AH$69=$F106+1,IF(Monthly!AD$4=TRUE,0,Monthly!AD$17),IF(AH$69&gt;$F106+1,AG106*(1-IF(AH$69-$F106&lt;=12,SUMIFS('Attrition Modeling'!$D:$D,'Attrition Modeling'!$B:$B,$E106,'Attrition Modeling'!$C:$C,AH$68),VLOOKUP(AH$69-$F106-1,$A$7:$C$161,2,FALSE)*VLOOKUP(AH$1,'Attrition Modeling'!$L$15:$N$27,IF(AH$2-$F39&lt;=24,2,3),FALSE))*(1+Projection!AJ$16)*(1+IF(AH171&gt;0,'Attrition Modeling'!$N$9,0))),0))</f>
        <v>0</v>
      </c>
      <c r="AI106" s="799">
        <f>IF(AI$69=$F106+1,IF(Monthly!AE$4=TRUE,0,Monthly!AE$17),IF(AI$69&gt;$F106+1,AH106*(1-IF(AI$69-$F106&lt;=12,SUMIFS('Attrition Modeling'!$D:$D,'Attrition Modeling'!$B:$B,$E106,'Attrition Modeling'!$C:$C,AI$68),VLOOKUP(AI$69-$F106-1,$A$7:$C$161,2,FALSE)*VLOOKUP(AI$1,'Attrition Modeling'!$L$15:$N$27,IF(AI$2-$F39&lt;=24,2,3),FALSE))*(1+Projection!AK$16)*(1+IF(AI171&gt;0,'Attrition Modeling'!$N$9,0))),0))</f>
        <v>0</v>
      </c>
      <c r="AJ106" s="799">
        <f>IF(AJ$69=$F106+1,IF(Monthly!AF$4=TRUE,0,Monthly!AF$17),IF(AJ$69&gt;$F106+1,AI106*(1-IF(AJ$69-$F106&lt;=12,SUMIFS('Attrition Modeling'!$D:$D,'Attrition Modeling'!$B:$B,$E106,'Attrition Modeling'!$C:$C,AJ$68),VLOOKUP(AJ$69-$F106-1,$A$7:$C$161,2,FALSE)*VLOOKUP(AJ$1,'Attrition Modeling'!$L$15:$N$27,IF(AJ$2-$F39&lt;=24,2,3),FALSE))*(1+Projection!AL$16)*(1+IF(AJ171&gt;0,'Attrition Modeling'!$N$9,0))),0))</f>
        <v>0</v>
      </c>
      <c r="AK106" s="799">
        <f>IF(AK$69=$F106+1,IF(Monthly!AG$4=TRUE,0,Monthly!AG$17),IF(AK$69&gt;$F106+1,AJ106*(1-IF(AK$69-$F106&lt;=12,SUMIFS('Attrition Modeling'!$D:$D,'Attrition Modeling'!$B:$B,$E106,'Attrition Modeling'!$C:$C,AK$68),VLOOKUP(AK$69-$F106-1,$A$7:$C$161,2,FALSE)*VLOOKUP(AK$1,'Attrition Modeling'!$L$15:$N$27,IF(AK$2-$F39&lt;=24,2,3),FALSE))*(1+Projection!AM$16)*(1+IF(AK171&gt;0,'Attrition Modeling'!$N$9,0))),0))</f>
        <v>0</v>
      </c>
      <c r="AL106" s="799">
        <f>IF(AL$69=$F106+1,IF(Monthly!AH$4=TRUE,0,Monthly!AH$17),IF(AL$69&gt;$F106+1,AK106*(1-IF(AL$69-$F106&lt;=12,SUMIFS('Attrition Modeling'!$D:$D,'Attrition Modeling'!$B:$B,$E106,'Attrition Modeling'!$C:$C,AL$68),VLOOKUP(AL$69-$F106-1,$A$7:$C$161,2,FALSE)*VLOOKUP(AL$1,'Attrition Modeling'!$L$15:$N$27,IF(AL$2-$F39&lt;=24,2,3),FALSE))*(1+Projection!AN$16)*(1+IF(AL171&gt;0,'Attrition Modeling'!$N$9,0))),0))</f>
        <v>0</v>
      </c>
      <c r="AM106" s="799">
        <f>IF(AM$69=$F106+1,IF(Monthly!AI$4=TRUE,0,Monthly!AI$17),IF(AM$69&gt;$F106+1,AL106*(1-IF(AM$69-$F106&lt;=12,SUMIFS('Attrition Modeling'!$D:$D,'Attrition Modeling'!$B:$B,$E106,'Attrition Modeling'!$C:$C,AM$68),VLOOKUP(AM$69-$F106-1,$A$7:$C$161,2,FALSE)*VLOOKUP(AM$1,'Attrition Modeling'!$L$15:$N$27,IF(AM$2-$F39&lt;=24,2,3),FALSE))*(1+Projection!AO$16)*(1+IF(AM171&gt;0,'Attrition Modeling'!$N$9,0))),0))</f>
        <v>0</v>
      </c>
      <c r="AN106" s="799">
        <f>IF(AN$69=$F106+1,IF(Monthly!AJ$4=TRUE,0,Monthly!AJ$17),IF(AN$69&gt;$F106+1,AM106*(1-IF(AN$69-$F106&lt;=12,SUMIFS('Attrition Modeling'!$D:$D,'Attrition Modeling'!$B:$B,$E106,'Attrition Modeling'!$C:$C,AN$68),VLOOKUP(AN$69-$F106-1,$A$7:$C$161,2,FALSE)*VLOOKUP(AN$1,'Attrition Modeling'!$L$15:$N$27,IF(AN$2-$F39&lt;=24,2,3),FALSE))*(1+Projection!AP$16)*(1+IF(AN171&gt;0,'Attrition Modeling'!$N$9,0))),0))</f>
        <v>0</v>
      </c>
      <c r="AO106" s="799">
        <f>IF(AO$69=$F106+1,IF(Monthly!AK$4=TRUE,0,Monthly!AK$17),IF(AO$69&gt;$F106+1,AN106*(1-IF(AO$69-$F106&lt;=12,SUMIFS('Attrition Modeling'!$D:$D,'Attrition Modeling'!$B:$B,$E106,'Attrition Modeling'!$C:$C,AO$68),VLOOKUP(AO$69-$F106-1,$A$7:$C$161,2,FALSE)*VLOOKUP(AO$1,'Attrition Modeling'!$L$15:$N$27,IF(AO$2-$F39&lt;=24,2,3),FALSE))*(1+Projection!AQ$16)*(1+IF(AO171&gt;0,'Attrition Modeling'!$N$9,0))),0))</f>
        <v>0</v>
      </c>
      <c r="AP106" s="799">
        <f>IF(AP$69=$F106+1,IF(Monthly!AL$4=TRUE,0,Monthly!AL$17),IF(AP$69&gt;$F106+1,AO106*(1-IF(AP$69-$F106&lt;=12,SUMIFS('Attrition Modeling'!$D:$D,'Attrition Modeling'!$B:$B,$E106,'Attrition Modeling'!$C:$C,AP$68),VLOOKUP(AP$69-$F106-1,$A$7:$C$161,2,FALSE)*VLOOKUP(AP$1,'Attrition Modeling'!$L$15:$N$27,IF(AP$2-$F39&lt;=24,2,3),FALSE))*(1+Projection!AR$16)*(1+IF(AP171&gt;0,'Attrition Modeling'!$N$9,0))),0))</f>
        <v>0</v>
      </c>
      <c r="AQ106" s="799">
        <f>IF(AQ$69=$F106+1,IF(Monthly!AM$4=TRUE,0,Monthly!AM$17),IF(AQ$69&gt;$F106+1,AP106*(1-IF(AQ$69-$F106&lt;=12,SUMIFS('Attrition Modeling'!$D:$D,'Attrition Modeling'!$B:$B,$E106,'Attrition Modeling'!$C:$C,AQ$68),VLOOKUP(AQ$69-$F106-1,$A$7:$C$161,2,FALSE)*VLOOKUP(AQ$1,'Attrition Modeling'!$L$15:$N$27,IF(AQ$2-$F39&lt;=24,2,3),FALSE))*(1+Projection!AS$16)*(1+IF(AQ171&gt;0,'Attrition Modeling'!$N$9,0))),0))</f>
        <v>0</v>
      </c>
      <c r="AR106" s="799">
        <f>IF(AR$69=$F106+1,IF(Monthly!AN$4=TRUE,0,Monthly!AN$17),IF(AR$69&gt;$F106+1,AQ106*(1-IF(AR$69-$F106&lt;=12,SUMIFS('Attrition Modeling'!$D:$D,'Attrition Modeling'!$B:$B,$E106,'Attrition Modeling'!$C:$C,AR$68),VLOOKUP(AR$69-$F106-1,$A$7:$C$161,2,FALSE)*VLOOKUP(AR$1,'Attrition Modeling'!$L$15:$N$27,IF(AR$2-$F39&lt;=24,2,3),FALSE))*(1+Projection!AT$16)*(1+IF(AR171&gt;0,'Attrition Modeling'!$N$9,0))),0))</f>
        <v>4574.3198259837809</v>
      </c>
      <c r="AS106" s="799">
        <f>IF(AS$69=$F106+1,IF(Monthly!AO$4=TRUE,0,Monthly!AO$17),IF(AS$69&gt;$F106+1,AR106*(1-IF(AS$69-$F106&lt;=12,SUMIFS('Attrition Modeling'!$D:$D,'Attrition Modeling'!$B:$B,$E106,'Attrition Modeling'!$C:$C,AS$68),VLOOKUP(AS$69-$F106-1,$A$7:$C$161,2,FALSE)*VLOOKUP(AS$1,'Attrition Modeling'!$L$15:$N$27,IF(AS$2-$F39&lt;=24,2,3),FALSE))*(1+Projection!AU$16)*(1+IF(AS171&gt;0,'Attrition Modeling'!$N$9,0))),0))</f>
        <v>4139.980199190124</v>
      </c>
      <c r="AT106" s="799">
        <f>IF(AT$69=$F106+1,IF(Monthly!AP$4=TRUE,0,Monthly!AP$17),IF(AT$69&gt;$F106+1,AS106*(1-IF(AT$69-$F106&lt;=12,SUMIFS('Attrition Modeling'!$D:$D,'Attrition Modeling'!$B:$B,$E106,'Attrition Modeling'!$C:$C,AT$68),VLOOKUP(AT$69-$F106-1,$A$7:$C$161,2,FALSE)*VLOOKUP(AT$1,'Attrition Modeling'!$L$15:$N$27,IF(AT$2-$F39&lt;=24,2,3),FALSE))*(1+Projection!AV$16)*(1+IF(AT171&gt;0,'Attrition Modeling'!$N$9,0))),0))</f>
        <v>3781.2114195191998</v>
      </c>
      <c r="AU106" s="799">
        <f>IF(AU$69=$F106+1,IF(Monthly!AQ$4=TRUE,0,Monthly!AQ$17),IF(AU$69&gt;$F106+1,AT106*(1-IF(AU$69-$F106&lt;=12,SUMIFS('Attrition Modeling'!$D:$D,'Attrition Modeling'!$B:$B,$E106,'Attrition Modeling'!$C:$C,AU$68),VLOOKUP(AU$69-$F106-1,$A$7:$C$161,2,FALSE)*VLOOKUP(AU$1,'Attrition Modeling'!$L$15:$N$27,IF(AU$2-$F39&lt;=24,2,3),FALSE))*(1+Projection!AW$16)*(1+IF(AU171&gt;0,'Attrition Modeling'!$N$9,0))),0))</f>
        <v>3443.2260596161091</v>
      </c>
      <c r="AV106" s="799">
        <f>IF(AV$69=$F106+1,IF(Monthly!AR$4=TRUE,0,Monthly!AR$17),IF(AV$69&gt;$F106+1,AU106*(1-IF(AV$69-$F106&lt;=12,SUMIFS('Attrition Modeling'!$D:$D,'Attrition Modeling'!$B:$B,$E106,'Attrition Modeling'!$C:$C,AV$68),VLOOKUP(AV$69-$F106-1,$A$7:$C$161,2,FALSE)*VLOOKUP(AV$1,'Attrition Modeling'!$L$15:$N$27,IF(AV$2-$F39&lt;=24,2,3),FALSE))*(1+Projection!AX$16)*(1+IF(AV171&gt;0,'Attrition Modeling'!$N$9,0))),0))</f>
        <v>3149.7073933576189</v>
      </c>
      <c r="AW106" s="799">
        <f>IF(AW$69=$F106+1,IF(Monthly!AS$4=TRUE,0,Monthly!AS$17),IF(AW$69&gt;$F106+1,AV106*(1-IF(AW$69-$F106&lt;=12,SUMIFS('Attrition Modeling'!$D:$D,'Attrition Modeling'!$B:$B,$E106,'Attrition Modeling'!$C:$C,AW$68),VLOOKUP(AW$69-$F106-1,$A$7:$C$161,2,FALSE)*VLOOKUP(AW$1,'Attrition Modeling'!$L$15:$N$27,IF(AW$2-$F39&lt;=24,2,3),FALSE))*(1+Projection!AY$16)*(1+IF(AW171&gt;0,'Attrition Modeling'!$N$9,0))),0))</f>
        <v>2864.5279724194866</v>
      </c>
      <c r="AX106" s="799">
        <f>IF(AX$69=$F106+1,IF(Monthly!AT$4=TRUE,0,Monthly!AT$17),IF(AX$69&gt;$F106+1,AW106*(1-IF(AX$69-$F106&lt;=12,SUMIFS('Attrition Modeling'!$D:$D,'Attrition Modeling'!$B:$B,$E106,'Attrition Modeling'!$C:$C,AX$68),VLOOKUP(AX$69-$F106-1,$A$7:$C$161,2,FALSE)*VLOOKUP(AX$1,'Attrition Modeling'!$L$15:$N$27,IF(AX$2-$F39&lt;=24,2,3),FALSE))*(1+Projection!AZ$16)*(1+IF(AX171&gt;0,'Attrition Modeling'!$N$9,0))),0))</f>
        <v>2648.4131439252633</v>
      </c>
      <c r="AY106" s="799">
        <f>IF(AY$69=$F106+1,IF(Monthly!AU$4=TRUE,0,Monthly!AU$17),IF(AY$69&gt;$F106+1,AX106*(1-IF(AY$69-$F106&lt;=12,SUMIFS('Attrition Modeling'!$D:$D,'Attrition Modeling'!$B:$B,$E106,'Attrition Modeling'!$C:$C,AY$68),VLOOKUP(AY$69-$F106-1,$A$7:$C$161,2,FALSE)*VLOOKUP(AY$1,'Attrition Modeling'!$L$15:$N$27,IF(AY$2-$F39&lt;=24,2,3),FALSE))*(1+Projection!BA$16)*(1+IF(AY171&gt;0,'Attrition Modeling'!$N$9,0))),0))</f>
        <v>2456.5574875404468</v>
      </c>
      <c r="AZ106" s="799">
        <f>IF(AZ$69=$F106+1,IF(Monthly!AV$4=TRUE,0,Monthly!AV$17),IF(AZ$69&gt;$F106+1,AY106*(1-IF(AZ$69-$F106&lt;=12,SUMIFS('Attrition Modeling'!$D:$D,'Attrition Modeling'!$B:$B,$E106,'Attrition Modeling'!$C:$C,AZ$68),VLOOKUP(AZ$69-$F106-1,$A$7:$C$161,2,FALSE)*VLOOKUP(AZ$1,'Attrition Modeling'!$L$15:$N$27,IF(AZ$2-$F39&lt;=24,2,3),FALSE))*(1+Projection!BB$16)*(1+IF(AZ171&gt;0,'Attrition Modeling'!$N$9,0))),0))</f>
        <v>2300.7980843707519</v>
      </c>
      <c r="BA106" s="799">
        <f>IF(BA$69=$F106+1,IF(Monthly!AW$4=TRUE,0,Monthly!AW$17),IF(BA$69&gt;$F106+1,AZ106*(1-IF(BA$69-$F106&lt;=12,SUMIFS('Attrition Modeling'!$D:$D,'Attrition Modeling'!$B:$B,$E106,'Attrition Modeling'!$C:$C,BA$68),VLOOKUP(BA$69-$F106-1,$A$7:$C$161,2,FALSE)*VLOOKUP(BA$1,'Attrition Modeling'!$L$15:$N$27,IF(BA$2-$F39&lt;=24,2,3),FALSE))*(1+Projection!BC$16)*(1+IF(BA171&gt;0,'Attrition Modeling'!$N$9,0))),0))</f>
        <v>2159.3261285913654</v>
      </c>
      <c r="BB106" s="799">
        <f>IF(BB$69=$F106+1,IF(Monthly!AX$4=TRUE,0,Monthly!AX$17),IF(BB$69&gt;$F106+1,BA106*(1-IF(BB$69-$F106&lt;=12,SUMIFS('Attrition Modeling'!$D:$D,'Attrition Modeling'!$B:$B,$E106,'Attrition Modeling'!$C:$C,BB$68),VLOOKUP(BB$69-$F106-1,$A$7:$C$161,2,FALSE)*VLOOKUP(BB$1,'Attrition Modeling'!$L$15:$N$27,IF(BB$2-$F39&lt;=24,2,3),FALSE))*(1+Projection!BD$16)*(1+IF(BB171&gt;0,'Attrition Modeling'!$N$9,0))),0))</f>
        <v>2040.4731476192781</v>
      </c>
      <c r="BC106" s="799">
        <f>IF(BC$69=$F106+1,IF(Monthly!AY$4=TRUE,0,Monthly!AY$17),IF(BC$69&gt;$F106+1,BB106*(1-IF(BC$69-$F106&lt;=12,SUMIFS('Attrition Modeling'!$D:$D,'Attrition Modeling'!$B:$B,$E106,'Attrition Modeling'!$C:$C,BC$68),VLOOKUP(BC$69-$F106-1,$A$7:$C$161,2,FALSE)*VLOOKUP(BC$1,'Attrition Modeling'!$L$15:$N$27,IF(BC$2-$F39&lt;=24,2,3),FALSE))*(1+Projection!BE$16)*(1+IF(BC171&gt;0,'Attrition Modeling'!$N$9,0))),0))</f>
        <v>1976.9201628688984</v>
      </c>
      <c r="BD106" s="799">
        <f>IF(BD$69=$F106+1,IF(Monthly!AZ$4=TRUE,0,Monthly!AZ$17),IF(BD$69&gt;$F106+1,BC106*(1-IF(BD$69-$F106&lt;=12,SUMIFS('Attrition Modeling'!$D:$D,'Attrition Modeling'!$B:$B,$E106,'Attrition Modeling'!$C:$C,BD$68),VLOOKUP(BD$69-$F106-1,$A$7:$C$161,2,FALSE)*VLOOKUP(BD$1,'Attrition Modeling'!$L$15:$N$27,IF(BD$2-$F39&lt;=24,2,3),FALSE))*(1+Projection!BF$16)*(1+IF(BD171&gt;0,'Attrition Modeling'!$N$9,0))),0))</f>
        <v>1870.4908893818247</v>
      </c>
      <c r="BE106" s="799">
        <f>IF(BE$69=$F106+1,IF(Monthly!BA$4=TRUE,0,Monthly!BA$17),IF(BE$69&gt;$F106+1,BD106*(1-IF(BE$69-$F106&lt;=12,SUMIFS('Attrition Modeling'!$D:$D,'Attrition Modeling'!$B:$B,$E106,'Attrition Modeling'!$C:$C,BE$68),VLOOKUP(BE$69-$F106-1,$A$7:$C$161,2,FALSE)*VLOOKUP(BE$1,'Attrition Modeling'!$L$15:$N$27,IF(BE$2-$F39&lt;=24,2,3),FALSE))*(1+Projection!BG$16)*(1+IF(BE171&gt;0,'Attrition Modeling'!$N$9,0))),0))</f>
        <v>1786.6658789599342</v>
      </c>
      <c r="BF106" s="799">
        <f>IF(BF$69=$F106+1,IF(Monthly!BB$4=TRUE,0,Monthly!BB$17),IF(BF$69&gt;$F106+1,BE106*(1-IF(BF$69-$F106&lt;=12,SUMIFS('Attrition Modeling'!$D:$D,'Attrition Modeling'!$B:$B,$E106,'Attrition Modeling'!$C:$C,BF$68),VLOOKUP(BF$69-$F106-1,$A$7:$C$161,2,FALSE)*VLOOKUP(BF$1,'Attrition Modeling'!$L$15:$N$27,IF(BF$2-$F39&lt;=24,2,3),FALSE))*(1+Projection!BH$16)*(1+IF(BF171&gt;0,'Attrition Modeling'!$N$9,0))),0))</f>
        <v>1703.7742379556337</v>
      </c>
      <c r="BG106" s="799">
        <f>IF(BG$69=$F106+1,IF(Monthly!BC$4=TRUE,0,Monthly!BC$17),IF(BG$69&gt;$F106+1,BF106*(1-IF(BG$69-$F106&lt;=12,SUMIFS('Attrition Modeling'!$D:$D,'Attrition Modeling'!$B:$B,$E106,'Attrition Modeling'!$C:$C,BG$68),VLOOKUP(BG$69-$F106-1,$A$7:$C$161,2,FALSE)*VLOOKUP(BG$1,'Attrition Modeling'!$L$15:$N$27,IF(BG$2-$F39&lt;=24,2,3),FALSE))*(1+Projection!BI$16)*(1+IF(BG171&gt;0,'Attrition Modeling'!$N$9,0))),0))</f>
        <v>1628.8932834762491</v>
      </c>
      <c r="BH106" s="799">
        <f>IF(BH$69=$F106+1,IF(Monthly!BD$4=TRUE,0,Monthly!BD$17),IF(BH$69&gt;$F106+1,BG106*(1-IF(BH$69-$F106&lt;=12,SUMIFS('Attrition Modeling'!$D:$D,'Attrition Modeling'!$B:$B,$E106,'Attrition Modeling'!$C:$C,BH$68),VLOOKUP(BH$69-$F106-1,$A$7:$C$161,2,FALSE)*VLOOKUP(BH$1,'Attrition Modeling'!$L$15:$N$27,IF(BH$2-$F39&lt;=24,2,3),FALSE))*(1+Projection!BJ$16)*(1+IF(BH171&gt;0,'Attrition Modeling'!$N$9,0))),0))</f>
        <v>1559.9049739733225</v>
      </c>
      <c r="BI106" s="799">
        <f>IF(BI$69=$F106+1,IF(Monthly!BE$4=TRUE,0,Monthly!BE$17),IF(BI$69&gt;$F106+1,BH106*(1-IF(BI$69-$F106&lt;=12,SUMIFS('Attrition Modeling'!$D:$D,'Attrition Modeling'!$B:$B,$E106,'Attrition Modeling'!$C:$C,BI$68),VLOOKUP(BI$69-$F106-1,$A$7:$C$161,2,FALSE)*VLOOKUP(BI$1,'Attrition Modeling'!$L$15:$N$27,IF(BI$2-$F39&lt;=24,2,3),FALSE))*(1+Projection!BK$16)*(1+IF(BI171&gt;0,'Attrition Modeling'!$N$9,0))),0))</f>
        <v>1475.0207003593493</v>
      </c>
      <c r="BJ106" s="799">
        <f>IF(BJ$69=$F106+1,IF(Monthly!BF$4=TRUE,0,Monthly!BF$17),IF(BJ$69&gt;$F106+1,BI106*(1-IF(BJ$69-$F106&lt;=12,SUMIFS('Attrition Modeling'!$D:$D,'Attrition Modeling'!$B:$B,$E106,'Attrition Modeling'!$C:$C,BJ$68),VLOOKUP(BJ$69-$F106-1,$A$7:$C$161,2,FALSE)*VLOOKUP(BJ$1,'Attrition Modeling'!$L$15:$N$27,IF(BJ$2-$F39&lt;=24,2,3),FALSE))*(1+Projection!BL$16)*(1+IF(BJ171&gt;0,'Attrition Modeling'!$N$9,0))),0))</f>
        <v>1408.0193620456907</v>
      </c>
      <c r="BK106" s="799">
        <f>IF(BK$69=$F106+1,IF(Monthly!BG$4=TRUE,0,Monthly!BG$17),IF(BK$69&gt;$F106+1,BJ106*(1-IF(BK$69-$F106&lt;=12,SUMIFS('Attrition Modeling'!$D:$D,'Attrition Modeling'!$B:$B,$E106,'Attrition Modeling'!$C:$C,BK$68),VLOOKUP(BK$69-$F106-1,$A$7:$C$161,2,FALSE)*VLOOKUP(BK$1,'Attrition Modeling'!$L$15:$N$27,IF(BK$2-$F39&lt;=24,2,3),FALSE))*(1+Projection!BM$16)*(1+IF(BK171&gt;0,'Attrition Modeling'!$N$9,0))),0))</f>
        <v>1342.5017395842726</v>
      </c>
      <c r="BL106" s="799">
        <f>IF(BL$69=$F106+1,IF(Monthly!BH$4=TRUE,0,Monthly!BH$17),IF(BL$69&gt;$F106+1,BK106*(1-IF(BL$69-$F106&lt;=12,SUMIFS('Attrition Modeling'!$D:$D,'Attrition Modeling'!$B:$B,$E106,'Attrition Modeling'!$C:$C,BL$68),VLOOKUP(BL$69-$F106-1,$A$7:$C$161,2,FALSE)*VLOOKUP(BL$1,'Attrition Modeling'!$L$15:$N$27,IF(BL$2-$F39&lt;=24,2,3),FALSE))*(1+Projection!BN$16)*(1+IF(BL171&gt;0,'Attrition Modeling'!$N$9,0))),0))</f>
        <v>1286.5113148970095</v>
      </c>
      <c r="BM106" s="799">
        <f>IF(BM$69=$F106+1,IF(Monthly!BI$4=TRUE,0,Monthly!BI$17),IF(BM$69&gt;$F106+1,BL106*(1-IF(BM$69-$F106&lt;=12,SUMIFS('Attrition Modeling'!$D:$D,'Attrition Modeling'!$B:$B,$E106,'Attrition Modeling'!$C:$C,BM$68),VLOOKUP(BM$69-$F106-1,$A$7:$C$161,2,FALSE)*VLOOKUP(BM$1,'Attrition Modeling'!$L$15:$N$27,IF(BM$2-$F39&lt;=24,2,3),FALSE))*(1+Projection!BO$16)*(1+IF(BM171&gt;0,'Attrition Modeling'!$N$9,0))),0))</f>
        <v>1232.4681477615784</v>
      </c>
      <c r="BN106" s="799">
        <f>IF(BN$69=$F106+1,IF(Monthly!BJ$4=TRUE,0,Monthly!BJ$17),IF(BN$69&gt;$F106+1,BM106*(1-IF(BN$69-$F106&lt;=12,SUMIFS('Attrition Modeling'!$D:$D,'Attrition Modeling'!$B:$B,$E106,'Attrition Modeling'!$C:$C,BN$68),VLOOKUP(BN$69-$F106-1,$A$7:$C$161,2,FALSE)*VLOOKUP(BN$1,'Attrition Modeling'!$L$15:$N$27,IF(BN$2-$F39&lt;=24,2,3),FALSE))*(1+Projection!BP$16)*(1+IF(BN171&gt;0,'Attrition Modeling'!$N$9,0))),0))</f>
        <v>1183.3745808857436</v>
      </c>
      <c r="BO106" s="799">
        <f>IF(BO$69=$F106+1,IF(Monthly!BK$4=TRUE,0,Monthly!BK$17),IF(BO$69&gt;$F106+1,BN106*(1-IF(BO$69-$F106&lt;=12,SUMIFS('Attrition Modeling'!$D:$D,'Attrition Modeling'!$B:$B,$E106,'Attrition Modeling'!$C:$C,BO$68),VLOOKUP(BO$69-$F106-1,$A$7:$C$161,2,FALSE)*VLOOKUP(BO$1,'Attrition Modeling'!$L$15:$N$27,IF(BO$2-$F39&lt;=24,2,3),FALSE))*(1+Projection!BV$16)*(1+IF(BO171&gt;0,'Attrition Modeling'!$N$9,0))),0))</f>
        <v>1137.3489657110067</v>
      </c>
      <c r="BP106" s="799">
        <f>IF(BP$69=$F106+1,IF(Monthly!BL$4=TRUE,0,Monthly!BL$17),IF(BP$69&gt;$F106+1,BO106*(1-IF(BP$69-$F106&lt;=12,SUMIFS('Attrition Modeling'!$D:$D,'Attrition Modeling'!$B:$B,$E106,'Attrition Modeling'!$C:$C,BP$68),VLOOKUP(BP$69-$F106-1,$A$7:$C$161,2,FALSE)*VLOOKUP(BP$1,'Attrition Modeling'!$L$15:$N$27,IF(BP$2-$F39&lt;=24,2,3),FALSE))*(1+Projection!BW$16)*(1+IF(BP171&gt;0,'Attrition Modeling'!$N$9,0))),0))</f>
        <v>1096.5376748579085</v>
      </c>
      <c r="BQ106" s="799">
        <f>IF(BQ$69=$F106+1,IF(Monthly!BM$4=TRUE,0,Monthly!BM$17),IF(BQ$69&gt;$F106+1,BP106*(1-IF(BQ$69-$F106&lt;=12,SUMIFS('Attrition Modeling'!$D:$D,'Attrition Modeling'!$B:$B,$E106,'Attrition Modeling'!$C:$C,BQ$68),VLOOKUP(BQ$69-$F106-1,$A$7:$C$161,2,FALSE)*VLOOKUP(BQ$1,'Attrition Modeling'!$L$15:$N$27,IF(BQ$2-$F39&lt;=24,2,3),FALSE))*(1+Projection!BX$16)*(1+IF(BQ171&gt;0,'Attrition Modeling'!$N$9,0))),0))</f>
        <v>1058.9560805244437</v>
      </c>
      <c r="BR106" s="799">
        <f>IF(BR$69=$F106+1,IF(Monthly!BN$4=TRUE,0,Monthly!BN$17),IF(BR$69&gt;$F106+1,BQ106*(1-IF(BR$69-$F106&lt;=12,SUMIFS('Attrition Modeling'!$D:$D,'Attrition Modeling'!$B:$B,$E106,'Attrition Modeling'!$C:$C,BR$68),VLOOKUP(BR$69-$F106-1,$A$7:$C$161,2,FALSE)*VLOOKUP(BR$1,'Attrition Modeling'!$L$15:$N$27,IF(BR$2-$F39&lt;=24,2,3),FALSE))*(1+Projection!BY$16)*(1+IF(BR171&gt;0,'Attrition Modeling'!$N$9,0))),0))</f>
        <v>1024.658966615149</v>
      </c>
      <c r="BS106" s="799">
        <f>IF(BS$69=$F106+1,IF(Monthly!BO$4=TRUE,0,Monthly!BO$17),IF(BS$69&gt;$F106+1,BR106*(1-IF(BS$69-$F106&lt;=12,SUMIFS('Attrition Modeling'!$D:$D,'Attrition Modeling'!$B:$B,$E106,'Attrition Modeling'!$C:$C,BS$68),VLOOKUP(BS$69-$F106-1,$A$7:$C$161,2,FALSE)*VLOOKUP(BS$1,'Attrition Modeling'!$L$15:$N$27,IF(BS$2-$F39&lt;=24,2,3),FALSE))*(1+Projection!BZ$16)*(1+IF(BS171&gt;0,'Attrition Modeling'!$N$9,0))),0))</f>
        <v>998.61501458008047</v>
      </c>
      <c r="BT106" s="799">
        <f>IF(BT$69=$F106+1,IF(Monthly!#REF!=TRUE,0,Monthly!#REF!),IF(BT$69&gt;$F106+1,BS106*(1-IF(BT$69-$F106&lt;=12,SUMIFS('Attrition Modeling'!$D:$D,'Attrition Modeling'!$B:$B,$E106,'Attrition Modeling'!$C:$C,BT$68),VLOOKUP(BT$69-$F106-1,$A$7:$C$161,2,FALSE)*VLOOKUP(BT$1,'Attrition Modeling'!$L$15:$N$27,IF(BT$2-$F39&lt;=24,2,3),FALSE))*(1+Projection!CA$16)*(1+IF(BT171&gt;0,'Attrition Modeling'!$N$9,0))),0))</f>
        <v>968.36601490757664</v>
      </c>
      <c r="BU106" s="799">
        <f>IF(BU$69=$F106+1,IF(Monthly!#REF!=TRUE,0,Monthly!#REF!),IF(BU$69&gt;$F106+1,BT106*(1-IF(BU$69-$F106&lt;=12,SUMIFS('Attrition Modeling'!$D:$D,'Attrition Modeling'!$B:$B,$E106,'Attrition Modeling'!$C:$C,BU$68),VLOOKUP(BU$69-$F106-1,$A$7:$C$161,2,FALSE)*VLOOKUP(BU$1,'Attrition Modeling'!$L$15:$N$27,IF(BU$2-$F39&lt;=24,2,3),FALSE))*(1+Projection!CB$16)*(1+IF(BU171&gt;0,'Attrition Modeling'!$N$9,0))),0))</f>
        <v>928.69687181109873</v>
      </c>
    </row>
    <row r="107" spans="1:73" ht="14.25" customHeight="1" x14ac:dyDescent="0.2">
      <c r="A107" s="9">
        <v>100</v>
      </c>
      <c r="B107" s="25">
        <f>MAX('Attrition Modeling'!H104,$C$3)*(1-Summary!$C$20)</f>
        <v>0.02</v>
      </c>
      <c r="C107" s="24" t="e">
        <f t="shared" si="4"/>
        <v>#DIV/0!</v>
      </c>
      <c r="E107" s="11">
        <f t="shared" si="9"/>
        <v>1</v>
      </c>
      <c r="F107" s="11">
        <f t="shared" si="10"/>
        <v>37</v>
      </c>
      <c r="G107" s="799"/>
      <c r="H107" s="799">
        <f>IF(H$69=$F107+1,IF(Monthly!D$4=TRUE,0,Monthly!D$17),IF(H$69&gt;$F107+1,G107*(1-IF(H$69-$F107&lt;=12,SUMIFS('Attrition Modeling'!$D:$D,'Attrition Modeling'!$B:$B,$E107,'Attrition Modeling'!$C:$C,H$68),VLOOKUP(H$69-$F107-1,$A$7:$C$161,2,FALSE)*VLOOKUP(H$1,'Attrition Modeling'!$L$15:$N$27,IF(H$2-$F40&lt;=24,2,3),FALSE))*(1+Projection!J$16)*(1+IF(H172&gt;0,'Attrition Modeling'!$N$9,0))),0))</f>
        <v>0</v>
      </c>
      <c r="I107" s="799">
        <f>IF(I$69=$F107+1,IF(Monthly!E$4=TRUE,0,Monthly!E$17),IF(I$69&gt;$F107+1,H107*(1-IF(I$69-$F107&lt;=12,SUMIFS('Attrition Modeling'!$D:$D,'Attrition Modeling'!$B:$B,$E107,'Attrition Modeling'!$C:$C,I$68),VLOOKUP(I$69-$F107-1,$A$7:$C$161,2,FALSE)*VLOOKUP(I$1,'Attrition Modeling'!$L$15:$N$27,IF(I$2-$F40&lt;=24,2,3),FALSE))*(1+Projection!K$16)*(1+IF(I172&gt;0,'Attrition Modeling'!$N$9,0))),0))</f>
        <v>0</v>
      </c>
      <c r="J107" s="799">
        <f>IF(J$69=$F107+1,IF(Monthly!F$4=TRUE,0,Monthly!F$17),IF(J$69&gt;$F107+1,I107*(1-IF(J$69-$F107&lt;=12,SUMIFS('Attrition Modeling'!$D:$D,'Attrition Modeling'!$B:$B,$E107,'Attrition Modeling'!$C:$C,J$68),VLOOKUP(J$69-$F107-1,$A$7:$C$161,2,FALSE)*VLOOKUP(J$1,'Attrition Modeling'!$L$15:$N$27,IF(J$2-$F40&lt;=24,2,3),FALSE))*(1+Projection!L$16)*(1+IF(J172&gt;0,'Attrition Modeling'!$N$9,0))),0))</f>
        <v>0</v>
      </c>
      <c r="K107" s="799">
        <f>IF(K$69=$F107+1,IF(Monthly!G$4=TRUE,0,Monthly!G$17),IF(K$69&gt;$F107+1,J107*(1-IF(K$69-$F107&lt;=12,SUMIFS('Attrition Modeling'!$D:$D,'Attrition Modeling'!$B:$B,$E107,'Attrition Modeling'!$C:$C,K$68),VLOOKUP(K$69-$F107-1,$A$7:$C$161,2,FALSE)*VLOOKUP(K$1,'Attrition Modeling'!$L$15:$N$27,IF(K$2-$F40&lt;=24,2,3),FALSE))*(1+Projection!M$16)*(1+IF(K172&gt;0,'Attrition Modeling'!$N$9,0))),0))</f>
        <v>0</v>
      </c>
      <c r="L107" s="799">
        <f>IF(L$69=$F107+1,IF(Monthly!H$4=TRUE,0,Monthly!H$17),IF(L$69&gt;$F107+1,K107*(1-IF(L$69-$F107&lt;=12,SUMIFS('Attrition Modeling'!$D:$D,'Attrition Modeling'!$B:$B,$E107,'Attrition Modeling'!$C:$C,L$68),VLOOKUP(L$69-$F107-1,$A$7:$C$161,2,FALSE)*VLOOKUP(L$1,'Attrition Modeling'!$L$15:$N$27,IF(L$2-$F40&lt;=24,2,3),FALSE))*(1+Projection!N$16)*(1+IF(L172&gt;0,'Attrition Modeling'!$N$9,0))),0))</f>
        <v>0</v>
      </c>
      <c r="M107" s="799">
        <f>IF(M$69=$F107+1,IF(Monthly!I$4=TRUE,0,Monthly!I$17),IF(M$69&gt;$F107+1,L107*(1-IF(M$69-$F107&lt;=12,SUMIFS('Attrition Modeling'!$D:$D,'Attrition Modeling'!$B:$B,$E107,'Attrition Modeling'!$C:$C,M$68),VLOOKUP(M$69-$F107-1,$A$7:$C$161,2,FALSE)*VLOOKUP(M$1,'Attrition Modeling'!$L$15:$N$27,IF(M$2-$F40&lt;=24,2,3),FALSE))*(1+Projection!O$16)*(1+IF(M172&gt;0,'Attrition Modeling'!$N$9,0))),0))</f>
        <v>0</v>
      </c>
      <c r="N107" s="799">
        <f>IF(N$69=$F107+1,IF(Monthly!J$4=TRUE,0,Monthly!J$17),IF(N$69&gt;$F107+1,M107*(1-IF(N$69-$F107&lt;=12,SUMIFS('Attrition Modeling'!$D:$D,'Attrition Modeling'!$B:$B,$E107,'Attrition Modeling'!$C:$C,N$68),VLOOKUP(N$69-$F107-1,$A$7:$C$161,2,FALSE)*VLOOKUP(N$1,'Attrition Modeling'!$L$15:$N$27,IF(N$2-$F40&lt;=24,2,3),FALSE))*(1+Projection!P$16)*(1+IF(N172&gt;0,'Attrition Modeling'!$N$9,0))),0))</f>
        <v>0</v>
      </c>
      <c r="O107" s="799">
        <f>IF(O$69=$F107+1,IF(Monthly!K$4=TRUE,0,Monthly!K$17),IF(O$69&gt;$F107+1,N107*(1-IF(O$69-$F107&lt;=12,SUMIFS('Attrition Modeling'!$D:$D,'Attrition Modeling'!$B:$B,$E107,'Attrition Modeling'!$C:$C,O$68),VLOOKUP(O$69-$F107-1,$A$7:$C$161,2,FALSE)*VLOOKUP(O$1,'Attrition Modeling'!$L$15:$N$27,IF(O$2-$F40&lt;=24,2,3),FALSE))*(1+Projection!Q$16)*(1+IF(O172&gt;0,'Attrition Modeling'!$N$9,0))),0))</f>
        <v>0</v>
      </c>
      <c r="P107" s="799">
        <f>IF(P$69=$F107+1,IF(Monthly!L$4=TRUE,0,Monthly!L$17),IF(P$69&gt;$F107+1,O107*(1-IF(P$69-$F107&lt;=12,SUMIFS('Attrition Modeling'!$D:$D,'Attrition Modeling'!$B:$B,$E107,'Attrition Modeling'!$C:$C,P$68),VLOOKUP(P$69-$F107-1,$A$7:$C$161,2,FALSE)*VLOOKUP(P$1,'Attrition Modeling'!$L$15:$N$27,IF(P$2-$F40&lt;=24,2,3),FALSE))*(1+Projection!R$16)*(1+IF(P172&gt;0,'Attrition Modeling'!$N$9,0))),0))</f>
        <v>0</v>
      </c>
      <c r="Q107" s="799">
        <f>IF(Q$69=$F107+1,IF(Monthly!M$4=TRUE,0,Monthly!M$17),IF(Q$69&gt;$F107+1,P107*(1-IF(Q$69-$F107&lt;=12,SUMIFS('Attrition Modeling'!$D:$D,'Attrition Modeling'!$B:$B,$E107,'Attrition Modeling'!$C:$C,Q$68),VLOOKUP(Q$69-$F107-1,$A$7:$C$161,2,FALSE)*VLOOKUP(Q$1,'Attrition Modeling'!$L$15:$N$27,IF(Q$2-$F40&lt;=24,2,3),FALSE))*(1+Projection!S$16)*(1+IF(Q172&gt;0,'Attrition Modeling'!$N$9,0))),0))</f>
        <v>0</v>
      </c>
      <c r="R107" s="799">
        <f>IF(R$69=$F107+1,IF(Monthly!N$4=TRUE,0,Monthly!N$17),IF(R$69&gt;$F107+1,Q107*(1-IF(R$69-$F107&lt;=12,SUMIFS('Attrition Modeling'!$D:$D,'Attrition Modeling'!$B:$B,$E107,'Attrition Modeling'!$C:$C,R$68),VLOOKUP(R$69-$F107-1,$A$7:$C$161,2,FALSE)*VLOOKUP(R$1,'Attrition Modeling'!$L$15:$N$27,IF(R$2-$F40&lt;=24,2,3),FALSE))*(1+Projection!T$16)*(1+IF(R172&gt;0,'Attrition Modeling'!$N$9,0))),0))</f>
        <v>0</v>
      </c>
      <c r="S107" s="799">
        <f>IF(S$69=$F107+1,IF(Monthly!O$4=TRUE,0,Monthly!O$17),IF(S$69&gt;$F107+1,R107*(1-IF(S$69-$F107&lt;=12,SUMIFS('Attrition Modeling'!$D:$D,'Attrition Modeling'!$B:$B,$E107,'Attrition Modeling'!$C:$C,S$68),VLOOKUP(S$69-$F107-1,$A$7:$C$161,2,FALSE)*VLOOKUP(S$1,'Attrition Modeling'!$L$15:$N$27,IF(S$2-$F40&lt;=24,2,3),FALSE))*(1+Projection!U$16)*(1+IF(S172&gt;0,'Attrition Modeling'!$N$9,0))),0))</f>
        <v>0</v>
      </c>
      <c r="T107" s="799">
        <f>IF(T$69=$F107+1,IF(Monthly!P$4=TRUE,0,Monthly!P$17),IF(T$69&gt;$F107+1,S107*(1-IF(T$69-$F107&lt;=12,SUMIFS('Attrition Modeling'!$D:$D,'Attrition Modeling'!$B:$B,$E107,'Attrition Modeling'!$C:$C,T$68),VLOOKUP(T$69-$F107-1,$A$7:$C$161,2,FALSE)*VLOOKUP(T$1,'Attrition Modeling'!$L$15:$N$27,IF(T$2-$F40&lt;=24,2,3),FALSE))*(1+Projection!V$16)*(1+IF(T172&gt;0,'Attrition Modeling'!$N$9,0))),0))</f>
        <v>0</v>
      </c>
      <c r="U107" s="799">
        <f>IF(U$69=$F107+1,IF(Monthly!Q$4=TRUE,0,Monthly!Q$17),IF(U$69&gt;$F107+1,T107*(1-IF(U$69-$F107&lt;=12,SUMIFS('Attrition Modeling'!$D:$D,'Attrition Modeling'!$B:$B,$E107,'Attrition Modeling'!$C:$C,U$68),VLOOKUP(U$69-$F107-1,$A$7:$C$161,2,FALSE)*VLOOKUP(U$1,'Attrition Modeling'!$L$15:$N$27,IF(U$2-$F40&lt;=24,2,3),FALSE))*(1+Projection!W$16)*(1+IF(U172&gt;0,'Attrition Modeling'!$N$9,0))),0))</f>
        <v>0</v>
      </c>
      <c r="V107" s="799">
        <f>IF(V$69=$F107+1,IF(Monthly!R$4=TRUE,0,Monthly!R$17),IF(V$69&gt;$F107+1,U107*(1-IF(V$69-$F107&lt;=12,SUMIFS('Attrition Modeling'!$D:$D,'Attrition Modeling'!$B:$B,$E107,'Attrition Modeling'!$C:$C,V$68),VLOOKUP(V$69-$F107-1,$A$7:$C$161,2,FALSE)*VLOOKUP(V$1,'Attrition Modeling'!$L$15:$N$27,IF(V$2-$F40&lt;=24,2,3),FALSE))*(1+Projection!X$16)*(1+IF(V172&gt;0,'Attrition Modeling'!$N$9,0))),0))</f>
        <v>0</v>
      </c>
      <c r="W107" s="799">
        <f>IF(W$69=$F107+1,IF(Monthly!S$4=TRUE,0,Monthly!S$17),IF(W$69&gt;$F107+1,V107*(1-IF(W$69-$F107&lt;=12,SUMIFS('Attrition Modeling'!$D:$D,'Attrition Modeling'!$B:$B,$E107,'Attrition Modeling'!$C:$C,W$68),VLOOKUP(W$69-$F107-1,$A$7:$C$161,2,FALSE)*VLOOKUP(W$1,'Attrition Modeling'!$L$15:$N$27,IF(W$2-$F40&lt;=24,2,3),FALSE))*(1+Projection!Y$16)*(1+IF(W172&gt;0,'Attrition Modeling'!$N$9,0))),0))</f>
        <v>0</v>
      </c>
      <c r="X107" s="799">
        <f>IF(X$69=$F107+1,IF(Monthly!T$4=TRUE,0,Monthly!T$17),IF(X$69&gt;$F107+1,W107*(1-IF(X$69-$F107&lt;=12,SUMIFS('Attrition Modeling'!$D:$D,'Attrition Modeling'!$B:$B,$E107,'Attrition Modeling'!$C:$C,X$68),VLOOKUP(X$69-$F107-1,$A$7:$C$161,2,FALSE)*VLOOKUP(X$1,'Attrition Modeling'!$L$15:$N$27,IF(X$2-$F40&lt;=24,2,3),FALSE))*(1+Projection!Z$16)*(1+IF(X172&gt;0,'Attrition Modeling'!$N$9,0))),0))</f>
        <v>0</v>
      </c>
      <c r="Y107" s="799">
        <f>IF(Y$69=$F107+1,IF(Monthly!U$4=TRUE,0,Monthly!U$17),IF(Y$69&gt;$F107+1,X107*(1-IF(Y$69-$F107&lt;=12,SUMIFS('Attrition Modeling'!$D:$D,'Attrition Modeling'!$B:$B,$E107,'Attrition Modeling'!$C:$C,Y$68),VLOOKUP(Y$69-$F107-1,$A$7:$C$161,2,FALSE)*VLOOKUP(Y$1,'Attrition Modeling'!$L$15:$N$27,IF(Y$2-$F40&lt;=24,2,3),FALSE))*(1+Projection!AA$16)*(1+IF(Y172&gt;0,'Attrition Modeling'!$N$9,0))),0))</f>
        <v>0</v>
      </c>
      <c r="Z107" s="799">
        <f>IF(Z$69=$F107+1,IF(Monthly!V$4=TRUE,0,Monthly!V$17),IF(Z$69&gt;$F107+1,Y107*(1-IF(Z$69-$F107&lt;=12,SUMIFS('Attrition Modeling'!$D:$D,'Attrition Modeling'!$B:$B,$E107,'Attrition Modeling'!$C:$C,Z$68),VLOOKUP(Z$69-$F107-1,$A$7:$C$161,2,FALSE)*VLOOKUP(Z$1,'Attrition Modeling'!$L$15:$N$27,IF(Z$2-$F40&lt;=24,2,3),FALSE))*(1+Projection!AB$16)*(1+IF(Z172&gt;0,'Attrition Modeling'!$N$9,0))),0))</f>
        <v>0</v>
      </c>
      <c r="AA107" s="799">
        <f>IF(AA$69=$F107+1,IF(Monthly!W$4=TRUE,0,Monthly!W$17),IF(AA$69&gt;$F107+1,Z107*(1-IF(AA$69-$F107&lt;=12,SUMIFS('Attrition Modeling'!$D:$D,'Attrition Modeling'!$B:$B,$E107,'Attrition Modeling'!$C:$C,AA$68),VLOOKUP(AA$69-$F107-1,$A$7:$C$161,2,FALSE)*VLOOKUP(AA$1,'Attrition Modeling'!$L$15:$N$27,IF(AA$2-$F40&lt;=24,2,3),FALSE))*(1+Projection!AC$16)*(1+IF(AA172&gt;0,'Attrition Modeling'!$N$9,0))),0))</f>
        <v>0</v>
      </c>
      <c r="AB107" s="799">
        <f>IF(AB$69=$F107+1,IF(Monthly!X$4=TRUE,0,Monthly!X$17),IF(AB$69&gt;$F107+1,AA107*(1-IF(AB$69-$F107&lt;=12,SUMIFS('Attrition Modeling'!$D:$D,'Attrition Modeling'!$B:$B,$E107,'Attrition Modeling'!$C:$C,AB$68),VLOOKUP(AB$69-$F107-1,$A$7:$C$161,2,FALSE)*VLOOKUP(AB$1,'Attrition Modeling'!$L$15:$N$27,IF(AB$2-$F40&lt;=24,2,3),FALSE))*(1+Projection!AD$16)*(1+IF(AB172&gt;0,'Attrition Modeling'!$N$9,0))),0))</f>
        <v>0</v>
      </c>
      <c r="AC107" s="799">
        <f>IF(AC$69=$F107+1,IF(Monthly!Y$4=TRUE,0,Monthly!Y$17),IF(AC$69&gt;$F107+1,AB107*(1-IF(AC$69-$F107&lt;=12,SUMIFS('Attrition Modeling'!$D:$D,'Attrition Modeling'!$B:$B,$E107,'Attrition Modeling'!$C:$C,AC$68),VLOOKUP(AC$69-$F107-1,$A$7:$C$161,2,FALSE)*VLOOKUP(AC$1,'Attrition Modeling'!$L$15:$N$27,IF(AC$2-$F40&lt;=24,2,3),FALSE))*(1+Projection!AE$16)*(1+IF(AC172&gt;0,'Attrition Modeling'!$N$9,0))),0))</f>
        <v>0</v>
      </c>
      <c r="AD107" s="799">
        <f>IF(AD$69=$F107+1,IF(Monthly!Z$4=TRUE,0,Monthly!Z$17),IF(AD$69&gt;$F107+1,AC107*(1-IF(AD$69-$F107&lt;=12,SUMIFS('Attrition Modeling'!$D:$D,'Attrition Modeling'!$B:$B,$E107,'Attrition Modeling'!$C:$C,AD$68),VLOOKUP(AD$69-$F107-1,$A$7:$C$161,2,FALSE)*VLOOKUP(AD$1,'Attrition Modeling'!$L$15:$N$27,IF(AD$2-$F40&lt;=24,2,3),FALSE))*(1+Projection!AF$16)*(1+IF(AD172&gt;0,'Attrition Modeling'!$N$9,0))),0))</f>
        <v>0</v>
      </c>
      <c r="AE107" s="799">
        <f>IF(AE$69=$F107+1,IF(Monthly!AA$4=TRUE,0,Monthly!AA$17),IF(AE$69&gt;$F107+1,AD107*(1-IF(AE$69-$F107&lt;=12,SUMIFS('Attrition Modeling'!$D:$D,'Attrition Modeling'!$B:$B,$E107,'Attrition Modeling'!$C:$C,AE$68),VLOOKUP(AE$69-$F107-1,$A$7:$C$161,2,FALSE)*VLOOKUP(AE$1,'Attrition Modeling'!$L$15:$N$27,IF(AE$2-$F40&lt;=24,2,3),FALSE))*(1+Projection!AG$16)*(1+IF(AE172&gt;0,'Attrition Modeling'!$N$9,0))),0))</f>
        <v>0</v>
      </c>
      <c r="AF107" s="799">
        <f>IF(AF$69=$F107+1,IF(Monthly!AB$4=TRUE,0,Monthly!AB$17),IF(AF$69&gt;$F107+1,AE107*(1-IF(AF$69-$F107&lt;=12,SUMIFS('Attrition Modeling'!$D:$D,'Attrition Modeling'!$B:$B,$E107,'Attrition Modeling'!$C:$C,AF$68),VLOOKUP(AF$69-$F107-1,$A$7:$C$161,2,FALSE)*VLOOKUP(AF$1,'Attrition Modeling'!$L$15:$N$27,IF(AF$2-$F40&lt;=24,2,3),FALSE))*(1+Projection!AH$16)*(1+IF(AF172&gt;0,'Attrition Modeling'!$N$9,0))),0))</f>
        <v>0</v>
      </c>
      <c r="AG107" s="799">
        <f>IF(AG$69=$F107+1,IF(Monthly!AC$4=TRUE,0,Monthly!AC$17),IF(AG$69&gt;$F107+1,AF107*(1-IF(AG$69-$F107&lt;=12,SUMIFS('Attrition Modeling'!$D:$D,'Attrition Modeling'!$B:$B,$E107,'Attrition Modeling'!$C:$C,AG$68),VLOOKUP(AG$69-$F107-1,$A$7:$C$161,2,FALSE)*VLOOKUP(AG$1,'Attrition Modeling'!$L$15:$N$27,IF(AG$2-$F40&lt;=24,2,3),FALSE))*(1+Projection!AI$16)*(1+IF(AG172&gt;0,'Attrition Modeling'!$N$9,0))),0))</f>
        <v>0</v>
      </c>
      <c r="AH107" s="799">
        <f>IF(AH$69=$F107+1,IF(Monthly!AD$4=TRUE,0,Monthly!AD$17),IF(AH$69&gt;$F107+1,AG107*(1-IF(AH$69-$F107&lt;=12,SUMIFS('Attrition Modeling'!$D:$D,'Attrition Modeling'!$B:$B,$E107,'Attrition Modeling'!$C:$C,AH$68),VLOOKUP(AH$69-$F107-1,$A$7:$C$161,2,FALSE)*VLOOKUP(AH$1,'Attrition Modeling'!$L$15:$N$27,IF(AH$2-$F40&lt;=24,2,3),FALSE))*(1+Projection!AJ$16)*(1+IF(AH172&gt;0,'Attrition Modeling'!$N$9,0))),0))</f>
        <v>0</v>
      </c>
      <c r="AI107" s="799">
        <f>IF(AI$69=$F107+1,IF(Monthly!AE$4=TRUE,0,Monthly!AE$17),IF(AI$69&gt;$F107+1,AH107*(1-IF(AI$69-$F107&lt;=12,SUMIFS('Attrition Modeling'!$D:$D,'Attrition Modeling'!$B:$B,$E107,'Attrition Modeling'!$C:$C,AI$68),VLOOKUP(AI$69-$F107-1,$A$7:$C$161,2,FALSE)*VLOOKUP(AI$1,'Attrition Modeling'!$L$15:$N$27,IF(AI$2-$F40&lt;=24,2,3),FALSE))*(1+Projection!AK$16)*(1+IF(AI172&gt;0,'Attrition Modeling'!$N$9,0))),0))</f>
        <v>0</v>
      </c>
      <c r="AJ107" s="799">
        <f>IF(AJ$69=$F107+1,IF(Monthly!AF$4=TRUE,0,Monthly!AF$17),IF(AJ$69&gt;$F107+1,AI107*(1-IF(AJ$69-$F107&lt;=12,SUMIFS('Attrition Modeling'!$D:$D,'Attrition Modeling'!$B:$B,$E107,'Attrition Modeling'!$C:$C,AJ$68),VLOOKUP(AJ$69-$F107-1,$A$7:$C$161,2,FALSE)*VLOOKUP(AJ$1,'Attrition Modeling'!$L$15:$N$27,IF(AJ$2-$F40&lt;=24,2,3),FALSE))*(1+Projection!AL$16)*(1+IF(AJ172&gt;0,'Attrition Modeling'!$N$9,0))),0))</f>
        <v>0</v>
      </c>
      <c r="AK107" s="799">
        <f>IF(AK$69=$F107+1,IF(Monthly!AG$4=TRUE,0,Monthly!AG$17),IF(AK$69&gt;$F107+1,AJ107*(1-IF(AK$69-$F107&lt;=12,SUMIFS('Attrition Modeling'!$D:$D,'Attrition Modeling'!$B:$B,$E107,'Attrition Modeling'!$C:$C,AK$68),VLOOKUP(AK$69-$F107-1,$A$7:$C$161,2,FALSE)*VLOOKUP(AK$1,'Attrition Modeling'!$L$15:$N$27,IF(AK$2-$F40&lt;=24,2,3),FALSE))*(1+Projection!AM$16)*(1+IF(AK172&gt;0,'Attrition Modeling'!$N$9,0))),0))</f>
        <v>0</v>
      </c>
      <c r="AL107" s="799">
        <f>IF(AL$69=$F107+1,IF(Monthly!AH$4=TRUE,0,Monthly!AH$17),IF(AL$69&gt;$F107+1,AK107*(1-IF(AL$69-$F107&lt;=12,SUMIFS('Attrition Modeling'!$D:$D,'Attrition Modeling'!$B:$B,$E107,'Attrition Modeling'!$C:$C,AL$68),VLOOKUP(AL$69-$F107-1,$A$7:$C$161,2,FALSE)*VLOOKUP(AL$1,'Attrition Modeling'!$L$15:$N$27,IF(AL$2-$F40&lt;=24,2,3),FALSE))*(1+Projection!AN$16)*(1+IF(AL172&gt;0,'Attrition Modeling'!$N$9,0))),0))</f>
        <v>0</v>
      </c>
      <c r="AM107" s="799">
        <f>IF(AM$69=$F107+1,IF(Monthly!AI$4=TRUE,0,Monthly!AI$17),IF(AM$69&gt;$F107+1,AL107*(1-IF(AM$69-$F107&lt;=12,SUMIFS('Attrition Modeling'!$D:$D,'Attrition Modeling'!$B:$B,$E107,'Attrition Modeling'!$C:$C,AM$68),VLOOKUP(AM$69-$F107-1,$A$7:$C$161,2,FALSE)*VLOOKUP(AM$1,'Attrition Modeling'!$L$15:$N$27,IF(AM$2-$F40&lt;=24,2,3),FALSE))*(1+Projection!AO$16)*(1+IF(AM172&gt;0,'Attrition Modeling'!$N$9,0))),0))</f>
        <v>0</v>
      </c>
      <c r="AN107" s="799">
        <f>IF(AN$69=$F107+1,IF(Monthly!AJ$4=TRUE,0,Monthly!AJ$17),IF(AN$69&gt;$F107+1,AM107*(1-IF(AN$69-$F107&lt;=12,SUMIFS('Attrition Modeling'!$D:$D,'Attrition Modeling'!$B:$B,$E107,'Attrition Modeling'!$C:$C,AN$68),VLOOKUP(AN$69-$F107-1,$A$7:$C$161,2,FALSE)*VLOOKUP(AN$1,'Attrition Modeling'!$L$15:$N$27,IF(AN$2-$F40&lt;=24,2,3),FALSE))*(1+Projection!AP$16)*(1+IF(AN172&gt;0,'Attrition Modeling'!$N$9,0))),0))</f>
        <v>0</v>
      </c>
      <c r="AO107" s="799">
        <f>IF(AO$69=$F107+1,IF(Monthly!AK$4=TRUE,0,Monthly!AK$17),IF(AO$69&gt;$F107+1,AN107*(1-IF(AO$69-$F107&lt;=12,SUMIFS('Attrition Modeling'!$D:$D,'Attrition Modeling'!$B:$B,$E107,'Attrition Modeling'!$C:$C,AO$68),VLOOKUP(AO$69-$F107-1,$A$7:$C$161,2,FALSE)*VLOOKUP(AO$1,'Attrition Modeling'!$L$15:$N$27,IF(AO$2-$F40&lt;=24,2,3),FALSE))*(1+Projection!AQ$16)*(1+IF(AO172&gt;0,'Attrition Modeling'!$N$9,0))),0))</f>
        <v>0</v>
      </c>
      <c r="AP107" s="799">
        <f>IF(AP$69=$F107+1,IF(Monthly!AL$4=TRUE,0,Monthly!AL$17),IF(AP$69&gt;$F107+1,AO107*(1-IF(AP$69-$F107&lt;=12,SUMIFS('Attrition Modeling'!$D:$D,'Attrition Modeling'!$B:$B,$E107,'Attrition Modeling'!$C:$C,AP$68),VLOOKUP(AP$69-$F107-1,$A$7:$C$161,2,FALSE)*VLOOKUP(AP$1,'Attrition Modeling'!$L$15:$N$27,IF(AP$2-$F40&lt;=24,2,3),FALSE))*(1+Projection!AR$16)*(1+IF(AP172&gt;0,'Attrition Modeling'!$N$9,0))),0))</f>
        <v>0</v>
      </c>
      <c r="AQ107" s="799">
        <f>IF(AQ$69=$F107+1,IF(Monthly!AM$4=TRUE,0,Monthly!AM$17),IF(AQ$69&gt;$F107+1,AP107*(1-IF(AQ$69-$F107&lt;=12,SUMIFS('Attrition Modeling'!$D:$D,'Attrition Modeling'!$B:$B,$E107,'Attrition Modeling'!$C:$C,AQ$68),VLOOKUP(AQ$69-$F107-1,$A$7:$C$161,2,FALSE)*VLOOKUP(AQ$1,'Attrition Modeling'!$L$15:$N$27,IF(AQ$2-$F40&lt;=24,2,3),FALSE))*(1+Projection!AS$16)*(1+IF(AQ172&gt;0,'Attrition Modeling'!$N$9,0))),0))</f>
        <v>0</v>
      </c>
      <c r="AR107" s="799">
        <f>IF(AR$69=$F107+1,IF(Monthly!AN$4=TRUE,0,Monthly!AN$17),IF(AR$69&gt;$F107+1,AQ107*(1-IF(AR$69-$F107&lt;=12,SUMIFS('Attrition Modeling'!$D:$D,'Attrition Modeling'!$B:$B,$E107,'Attrition Modeling'!$C:$C,AR$68),VLOOKUP(AR$69-$F107-1,$A$7:$C$161,2,FALSE)*VLOOKUP(AR$1,'Attrition Modeling'!$L$15:$N$27,IF(AR$2-$F40&lt;=24,2,3),FALSE))*(1+Projection!AT$16)*(1+IF(AR172&gt;0,'Attrition Modeling'!$N$9,0))),0))</f>
        <v>0</v>
      </c>
      <c r="AS107" s="799">
        <f>IF(AS$69=$F107+1,IF(Monthly!AO$4=TRUE,0,Monthly!AO$17),IF(AS$69&gt;$F107+1,AR107*(1-IF(AS$69-$F107&lt;=12,SUMIFS('Attrition Modeling'!$D:$D,'Attrition Modeling'!$B:$B,$E107,'Attrition Modeling'!$C:$C,AS$68),VLOOKUP(AS$69-$F107-1,$A$7:$C$161,2,FALSE)*VLOOKUP(AS$1,'Attrition Modeling'!$L$15:$N$27,IF(AS$2-$F40&lt;=24,2,3),FALSE))*(1+Projection!AU$16)*(1+IF(AS172&gt;0,'Attrition Modeling'!$N$9,0))),0))</f>
        <v>5368.1923375965989</v>
      </c>
      <c r="AT107" s="799">
        <f>IF(AT$69=$F107+1,IF(Monthly!AP$4=TRUE,0,Monthly!AP$17),IF(AT$69&gt;$F107+1,AS107*(1-IF(AT$69-$F107&lt;=12,SUMIFS('Attrition Modeling'!$D:$D,'Attrition Modeling'!$B:$B,$E107,'Attrition Modeling'!$C:$C,AT$68),VLOOKUP(AT$69-$F107-1,$A$7:$C$161,2,FALSE)*VLOOKUP(AT$1,'Attrition Modeling'!$L$15:$N$27,IF(AT$2-$F40&lt;=24,2,3),FALSE))*(1+Projection!AV$16)*(1+IF(AT172&gt;0,'Attrition Modeling'!$N$9,0))),0))</f>
        <v>4827.327097272092</v>
      </c>
      <c r="AU107" s="799">
        <f>IF(AU$69=$F107+1,IF(Monthly!AQ$4=TRUE,0,Monthly!AQ$17),IF(AU$69&gt;$F107+1,AT107*(1-IF(AU$69-$F107&lt;=12,SUMIFS('Attrition Modeling'!$D:$D,'Attrition Modeling'!$B:$B,$E107,'Attrition Modeling'!$C:$C,AU$68),VLOOKUP(AU$69-$F107-1,$A$7:$C$161,2,FALSE)*VLOOKUP(AU$1,'Attrition Modeling'!$L$15:$N$27,IF(AU$2-$F40&lt;=24,2,3),FALSE))*(1+Projection!AW$16)*(1+IF(AU172&gt;0,'Attrition Modeling'!$N$9,0))),0))</f>
        <v>4424.1892393822736</v>
      </c>
      <c r="AV107" s="799">
        <f>IF(AV$69=$F107+1,IF(Monthly!AR$4=TRUE,0,Monthly!AR$17),IF(AV$69&gt;$F107+1,AU107*(1-IF(AV$69-$F107&lt;=12,SUMIFS('Attrition Modeling'!$D:$D,'Attrition Modeling'!$B:$B,$E107,'Attrition Modeling'!$C:$C,AV$68),VLOOKUP(AV$69-$F107-1,$A$7:$C$161,2,FALSE)*VLOOKUP(AV$1,'Attrition Modeling'!$L$15:$N$27,IF(AV$2-$F40&lt;=24,2,3),FALSE))*(1+Projection!AX$16)*(1+IF(AV172&gt;0,'Attrition Modeling'!$N$9,0))),0))</f>
        <v>4017.2572239939477</v>
      </c>
      <c r="AW107" s="799">
        <f>IF(AW$69=$F107+1,IF(Monthly!AS$4=TRUE,0,Monthly!AS$17),IF(AW$69&gt;$F107+1,AV107*(1-IF(AW$69-$F107&lt;=12,SUMIFS('Attrition Modeling'!$D:$D,'Attrition Modeling'!$B:$B,$E107,'Attrition Modeling'!$C:$C,AW$68),VLOOKUP(AW$69-$F107-1,$A$7:$C$161,2,FALSE)*VLOOKUP(AW$1,'Attrition Modeling'!$L$15:$N$27,IF(AW$2-$F40&lt;=24,2,3),FALSE))*(1+Projection!AY$16)*(1+IF(AW172&gt;0,'Attrition Modeling'!$N$9,0))),0))</f>
        <v>3691.8540458983302</v>
      </c>
      <c r="AX107" s="799">
        <f>IF(AX$69=$F107+1,IF(Monthly!AT$4=TRUE,0,Monthly!AT$17),IF(AX$69&gt;$F107+1,AW107*(1-IF(AX$69-$F107&lt;=12,SUMIFS('Attrition Modeling'!$D:$D,'Attrition Modeling'!$B:$B,$E107,'Attrition Modeling'!$C:$C,AX$68),VLOOKUP(AX$69-$F107-1,$A$7:$C$161,2,FALSE)*VLOOKUP(AX$1,'Attrition Modeling'!$L$15:$N$27,IF(AX$2-$F40&lt;=24,2,3),FALSE))*(1+Projection!AZ$16)*(1+IF(AX172&gt;0,'Attrition Modeling'!$N$9,0))),0))</f>
        <v>3311.6087769342053</v>
      </c>
      <c r="AY107" s="799">
        <f>IF(AY$69=$F107+1,IF(Monthly!AU$4=TRUE,0,Monthly!AU$17),IF(AY$69&gt;$F107+1,AX107*(1-IF(AY$69-$F107&lt;=12,SUMIFS('Attrition Modeling'!$D:$D,'Attrition Modeling'!$B:$B,$E107,'Attrition Modeling'!$C:$C,AY$68),VLOOKUP(AY$69-$F107-1,$A$7:$C$161,2,FALSE)*VLOOKUP(AY$1,'Attrition Modeling'!$L$15:$N$27,IF(AY$2-$F40&lt;=24,2,3),FALSE))*(1+Projection!BA$16)*(1+IF(AY172&gt;0,'Attrition Modeling'!$N$9,0))),0))</f>
        <v>3059.0347929918403</v>
      </c>
      <c r="AZ107" s="799">
        <f>IF(AZ$69=$F107+1,IF(Monthly!AV$4=TRUE,0,Monthly!AV$17),IF(AZ$69&gt;$F107+1,AY107*(1-IF(AZ$69-$F107&lt;=12,SUMIFS('Attrition Modeling'!$D:$D,'Attrition Modeling'!$B:$B,$E107,'Attrition Modeling'!$C:$C,AZ$68),VLOOKUP(AZ$69-$F107-1,$A$7:$C$161,2,FALSE)*VLOOKUP(AZ$1,'Attrition Modeling'!$L$15:$N$27,IF(AZ$2-$F40&lt;=24,2,3),FALSE))*(1+Projection!BB$16)*(1+IF(AZ172&gt;0,'Attrition Modeling'!$N$9,0))),0))</f>
        <v>2871.4231796561689</v>
      </c>
      <c r="BA107" s="799">
        <f>IF(BA$69=$F107+1,IF(Monthly!AW$4=TRUE,0,Monthly!AW$17),IF(BA$69&gt;$F107+1,AZ107*(1-IF(BA$69-$F107&lt;=12,SUMIFS('Attrition Modeling'!$D:$D,'Attrition Modeling'!$B:$B,$E107,'Attrition Modeling'!$C:$C,BA$68),VLOOKUP(BA$69-$F107-1,$A$7:$C$161,2,FALSE)*VLOOKUP(BA$1,'Attrition Modeling'!$L$15:$N$27,IF(BA$2-$F40&lt;=24,2,3),FALSE))*(1+Projection!BC$16)*(1+IF(BA172&gt;0,'Attrition Modeling'!$N$9,0))),0))</f>
        <v>2687.1589005128362</v>
      </c>
      <c r="BB107" s="799">
        <f>IF(BB$69=$F107+1,IF(Monthly!AX$4=TRUE,0,Monthly!AX$17),IF(BB$69&gt;$F107+1,BA107*(1-IF(BB$69-$F107&lt;=12,SUMIFS('Attrition Modeling'!$D:$D,'Attrition Modeling'!$B:$B,$E107,'Attrition Modeling'!$C:$C,BB$68),VLOOKUP(BB$69-$F107-1,$A$7:$C$161,2,FALSE)*VLOOKUP(BB$1,'Attrition Modeling'!$L$15:$N$27,IF(BB$2-$F40&lt;=24,2,3),FALSE))*(1+Projection!BD$16)*(1+IF(BB172&gt;0,'Attrition Modeling'!$N$9,0))),0))</f>
        <v>2526.6336170867125</v>
      </c>
      <c r="BC107" s="799">
        <f>IF(BC$69=$F107+1,IF(Monthly!AY$4=TRUE,0,Monthly!AY$17),IF(BC$69&gt;$F107+1,BB107*(1-IF(BC$69-$F107&lt;=12,SUMIFS('Attrition Modeling'!$D:$D,'Attrition Modeling'!$B:$B,$E107,'Attrition Modeling'!$C:$C,BC$68),VLOOKUP(BC$69-$F107-1,$A$7:$C$161,2,FALSE)*VLOOKUP(BC$1,'Attrition Modeling'!$L$15:$N$27,IF(BC$2-$F40&lt;=24,2,3),FALSE))*(1+Projection!BE$16)*(1+IF(BC172&gt;0,'Attrition Modeling'!$N$9,0))),0))</f>
        <v>2378.8813132910691</v>
      </c>
      <c r="BD107" s="799">
        <f>IF(BD$69=$F107+1,IF(Monthly!AZ$4=TRUE,0,Monthly!AZ$17),IF(BD$69&gt;$F107+1,BC107*(1-IF(BD$69-$F107&lt;=12,SUMIFS('Attrition Modeling'!$D:$D,'Attrition Modeling'!$B:$B,$E107,'Attrition Modeling'!$C:$C,BD$68),VLOOKUP(BD$69-$F107-1,$A$7:$C$161,2,FALSE)*VLOOKUP(BD$1,'Attrition Modeling'!$L$15:$N$27,IF(BD$2-$F40&lt;=24,2,3),FALSE))*(1+Projection!BF$16)*(1+IF(BD172&gt;0,'Attrition Modeling'!$N$9,0))),0))</f>
        <v>2317.888057225382</v>
      </c>
      <c r="BE107" s="799">
        <f>IF(BE$69=$F107+1,IF(Monthly!BA$4=TRUE,0,Monthly!BA$17),IF(BE$69&gt;$F107+1,BD107*(1-IF(BE$69-$F107&lt;=12,SUMIFS('Attrition Modeling'!$D:$D,'Attrition Modeling'!$B:$B,$E107,'Attrition Modeling'!$C:$C,BE$68),VLOOKUP(BE$69-$F107-1,$A$7:$C$161,2,FALSE)*VLOOKUP(BE$1,'Attrition Modeling'!$L$15:$N$27,IF(BE$2-$F40&lt;=24,2,3),FALSE))*(1+Projection!BG$16)*(1+IF(BE172&gt;0,'Attrition Modeling'!$N$9,0))),0))</f>
        <v>2205.3183125430196</v>
      </c>
      <c r="BF107" s="799">
        <f>IF(BF$69=$F107+1,IF(Monthly!BB$4=TRUE,0,Monthly!BB$17),IF(BF$69&gt;$F107+1,BE107*(1-IF(BF$69-$F107&lt;=12,SUMIFS('Attrition Modeling'!$D:$D,'Attrition Modeling'!$B:$B,$E107,'Attrition Modeling'!$C:$C,BF$68),VLOOKUP(BF$69-$F107-1,$A$7:$C$161,2,FALSE)*VLOOKUP(BF$1,'Attrition Modeling'!$L$15:$N$27,IF(BF$2-$F40&lt;=24,2,3),FALSE))*(1+Projection!BH$16)*(1+IF(BF172&gt;0,'Attrition Modeling'!$N$9,0))),0))</f>
        <v>2097.7357371811968</v>
      </c>
      <c r="BG107" s="799">
        <f>IF(BG$69=$F107+1,IF(Monthly!BC$4=TRUE,0,Monthly!BC$17),IF(BG$69&gt;$F107+1,BF107*(1-IF(BG$69-$F107&lt;=12,SUMIFS('Attrition Modeling'!$D:$D,'Attrition Modeling'!$B:$B,$E107,'Attrition Modeling'!$C:$C,BG$68),VLOOKUP(BG$69-$F107-1,$A$7:$C$161,2,FALSE)*VLOOKUP(BG$1,'Attrition Modeling'!$L$15:$N$27,IF(BG$2-$F40&lt;=24,2,3),FALSE))*(1+Projection!BI$16)*(1+IF(BG172&gt;0,'Attrition Modeling'!$N$9,0))),0))</f>
        <v>2002.0446086604168</v>
      </c>
      <c r="BH107" s="799">
        <f>IF(BH$69=$F107+1,IF(Monthly!BD$4=TRUE,0,Monthly!BD$17),IF(BH$69&gt;$F107+1,BG107*(1-IF(BH$69-$F107&lt;=12,SUMIFS('Attrition Modeling'!$D:$D,'Attrition Modeling'!$B:$B,$E107,'Attrition Modeling'!$C:$C,BH$68),VLOOKUP(BH$69-$F107-1,$A$7:$C$161,2,FALSE)*VLOOKUP(BH$1,'Attrition Modeling'!$L$15:$N$27,IF(BH$2-$F40&lt;=24,2,3),FALSE))*(1+Projection!BJ$16)*(1+IF(BH172&gt;0,'Attrition Modeling'!$N$9,0))),0))</f>
        <v>1914.6830739762759</v>
      </c>
      <c r="BI107" s="799">
        <f>IF(BI$69=$F107+1,IF(Monthly!BE$4=TRUE,0,Monthly!BE$17),IF(BI$69&gt;$F107+1,BH107*(1-IF(BI$69-$F107&lt;=12,SUMIFS('Attrition Modeling'!$D:$D,'Attrition Modeling'!$B:$B,$E107,'Attrition Modeling'!$C:$C,BI$68),VLOOKUP(BI$69-$F107-1,$A$7:$C$161,2,FALSE)*VLOOKUP(BI$1,'Attrition Modeling'!$L$15:$N$27,IF(BI$2-$F40&lt;=24,2,3),FALSE))*(1+Projection!BK$16)*(1+IF(BI172&gt;0,'Attrition Modeling'!$N$9,0))),0))</f>
        <v>1825.6540107007622</v>
      </c>
      <c r="BJ107" s="799">
        <f>IF(BJ$69=$F107+1,IF(Monthly!BF$4=TRUE,0,Monthly!BF$17),IF(BJ$69&gt;$F107+1,BI107*(1-IF(BJ$69-$F107&lt;=12,SUMIFS('Attrition Modeling'!$D:$D,'Attrition Modeling'!$B:$B,$E107,'Attrition Modeling'!$C:$C,BJ$68),VLOOKUP(BJ$69-$F107-1,$A$7:$C$161,2,FALSE)*VLOOKUP(BJ$1,'Attrition Modeling'!$L$15:$N$27,IF(BJ$2-$F40&lt;=24,2,3),FALSE))*(1+Projection!BL$16)*(1+IF(BJ172&gt;0,'Attrition Modeling'!$N$9,0))),0))</f>
        <v>1723.9570927392244</v>
      </c>
      <c r="BK107" s="799">
        <f>IF(BK$69=$F107+1,IF(Monthly!BG$4=TRUE,0,Monthly!BG$17),IF(BK$69&gt;$F107+1,BJ107*(1-IF(BK$69-$F107&lt;=12,SUMIFS('Attrition Modeling'!$D:$D,'Attrition Modeling'!$B:$B,$E107,'Attrition Modeling'!$C:$C,BK$68),VLOOKUP(BK$69-$F107-1,$A$7:$C$161,2,FALSE)*VLOOKUP(BK$1,'Attrition Modeling'!$L$15:$N$27,IF(BK$2-$F40&lt;=24,2,3),FALSE))*(1+Projection!BM$16)*(1+IF(BK172&gt;0,'Attrition Modeling'!$N$9,0))),0))</f>
        <v>1642.1846705742507</v>
      </c>
      <c r="BL107" s="799">
        <f>IF(BL$69=$F107+1,IF(Monthly!BH$4=TRUE,0,Monthly!BH$17),IF(BL$69&gt;$F107+1,BK107*(1-IF(BL$69-$F107&lt;=12,SUMIFS('Attrition Modeling'!$D:$D,'Attrition Modeling'!$B:$B,$E107,'Attrition Modeling'!$C:$C,BL$68),VLOOKUP(BL$69-$F107-1,$A$7:$C$161,2,FALSE)*VLOOKUP(BL$1,'Attrition Modeling'!$L$15:$N$27,IF(BL$2-$F40&lt;=24,2,3),FALSE))*(1+Projection!BN$16)*(1+IF(BL172&gt;0,'Attrition Modeling'!$N$9,0))),0))</f>
        <v>1572.5052840657288</v>
      </c>
      <c r="BM107" s="799">
        <f>IF(BM$69=$F107+1,IF(Monthly!BI$4=TRUE,0,Monthly!BI$17),IF(BM$69&gt;$F107+1,BL107*(1-IF(BM$69-$F107&lt;=12,SUMIFS('Attrition Modeling'!$D:$D,'Attrition Modeling'!$B:$B,$E107,'Attrition Modeling'!$C:$C,BM$68),VLOOKUP(BM$69-$F107-1,$A$7:$C$161,2,FALSE)*VLOOKUP(BM$1,'Attrition Modeling'!$L$15:$N$27,IF(BM$2-$F40&lt;=24,2,3),FALSE))*(1+Projection!BO$16)*(1+IF(BM172&gt;0,'Attrition Modeling'!$N$9,0))),0))</f>
        <v>1505.404979791065</v>
      </c>
      <c r="BN107" s="799">
        <f>IF(BN$69=$F107+1,IF(Monthly!BJ$4=TRUE,0,Monthly!BJ$17),IF(BN$69&gt;$F107+1,BM107*(1-IF(BN$69-$F107&lt;=12,SUMIFS('Attrition Modeling'!$D:$D,'Attrition Modeling'!$B:$B,$E107,'Attrition Modeling'!$C:$C,BN$68),VLOOKUP(BN$69-$F107-1,$A$7:$C$161,2,FALSE)*VLOOKUP(BN$1,'Attrition Modeling'!$L$15:$N$27,IF(BN$2-$F40&lt;=24,2,3),FALSE))*(1+Projection!BP$16)*(1+IF(BN172&gt;0,'Attrition Modeling'!$N$9,0))),0))</f>
        <v>1444.5702604404109</v>
      </c>
      <c r="BO107" s="799">
        <f>IF(BO$69=$F107+1,IF(Monthly!BK$4=TRUE,0,Monthly!BK$17),IF(BO$69&gt;$F107+1,BN107*(1-IF(BO$69-$F107&lt;=12,SUMIFS('Attrition Modeling'!$D:$D,'Attrition Modeling'!$B:$B,$E107,'Attrition Modeling'!$C:$C,BO$68),VLOOKUP(BO$69-$F107-1,$A$7:$C$161,2,FALSE)*VLOOKUP(BO$1,'Attrition Modeling'!$L$15:$N$27,IF(BO$2-$F40&lt;=24,2,3),FALSE))*(1+Projection!BV$16)*(1+IF(BO172&gt;0,'Attrition Modeling'!$N$9,0))),0))</f>
        <v>1387.6324477663131</v>
      </c>
      <c r="BP107" s="799">
        <f>IF(BP$69=$F107+1,IF(Monthly!BL$4=TRUE,0,Monthly!BL$17),IF(BP$69&gt;$F107+1,BO107*(1-IF(BP$69-$F107&lt;=12,SUMIFS('Attrition Modeling'!$D:$D,'Attrition Modeling'!$B:$B,$E107,'Attrition Modeling'!$C:$C,BP$68),VLOOKUP(BP$69-$F107-1,$A$7:$C$161,2,FALSE)*VLOOKUP(BP$1,'Attrition Modeling'!$L$15:$N$27,IF(BP$2-$F40&lt;=24,2,3),FALSE))*(1+Projection!BW$16)*(1+IF(BP172&gt;0,'Attrition Modeling'!$N$9,0))),0))</f>
        <v>1333.613834319119</v>
      </c>
      <c r="BQ107" s="799">
        <f>IF(BQ$69=$F107+1,IF(Monthly!BM$4=TRUE,0,Monthly!BM$17),IF(BQ$69&gt;$F107+1,BP107*(1-IF(BQ$69-$F107&lt;=12,SUMIFS('Attrition Modeling'!$D:$D,'Attrition Modeling'!$B:$B,$E107,'Attrition Modeling'!$C:$C,BQ$68),VLOOKUP(BQ$69-$F107-1,$A$7:$C$161,2,FALSE)*VLOOKUP(BQ$1,'Attrition Modeling'!$L$15:$N$27,IF(BQ$2-$F40&lt;=24,2,3),FALSE))*(1+Projection!BX$16)*(1+IF(BQ172&gt;0,'Attrition Modeling'!$N$9,0))),0))</f>
        <v>1287.1110697881122</v>
      </c>
      <c r="BR107" s="799">
        <f>IF(BR$69=$F107+1,IF(Monthly!BN$4=TRUE,0,Monthly!BN$17),IF(BR$69&gt;$F107+1,BQ107*(1-IF(BR$69-$F107&lt;=12,SUMIFS('Attrition Modeling'!$D:$D,'Attrition Modeling'!$B:$B,$E107,'Attrition Modeling'!$C:$C,BR$68),VLOOKUP(BR$69-$F107-1,$A$7:$C$161,2,FALSE)*VLOOKUP(BR$1,'Attrition Modeling'!$L$15:$N$27,IF(BR$2-$F40&lt;=24,2,3),FALSE))*(1+Projection!BY$16)*(1+IF(BR172&gt;0,'Attrition Modeling'!$N$9,0))),0))</f>
        <v>1244.7152925073024</v>
      </c>
      <c r="BS107" s="799">
        <f>IF(BS$69=$F107+1,IF(Monthly!BO$4=TRUE,0,Monthly!BO$17),IF(BS$69&gt;$F107+1,BR107*(1-IF(BS$69-$F107&lt;=12,SUMIFS('Attrition Modeling'!$D:$D,'Attrition Modeling'!$B:$B,$E107,'Attrition Modeling'!$C:$C,BS$68),VLOOKUP(BS$69-$F107-1,$A$7:$C$161,2,FALSE)*VLOOKUP(BS$1,'Attrition Modeling'!$L$15:$N$27,IF(BS$2-$F40&lt;=24,2,3),FALSE))*(1+Projection!BZ$16)*(1+IF(BS172&gt;0,'Attrition Modeling'!$N$9,0))),0))</f>
        <v>1212.5515470281628</v>
      </c>
      <c r="BT107" s="799">
        <f>IF(BT$69=$F107+1,IF(Monthly!#REF!=TRUE,0,Monthly!#REF!),IF(BT$69&gt;$F107+1,BS107*(1-IF(BT$69-$F107&lt;=12,SUMIFS('Attrition Modeling'!$D:$D,'Attrition Modeling'!$B:$B,$E107,'Attrition Modeling'!$C:$C,BT$68),VLOOKUP(BT$69-$F107-1,$A$7:$C$161,2,FALSE)*VLOOKUP(BT$1,'Attrition Modeling'!$L$15:$N$27,IF(BT$2-$F40&lt;=24,2,3),FALSE))*(1+Projection!CA$16)*(1+IF(BT172&gt;0,'Attrition Modeling'!$N$9,0))),0))</f>
        <v>1175.223503051064</v>
      </c>
      <c r="BU107" s="799">
        <f>IF(BU$69=$F107+1,IF(Monthly!#REF!=TRUE,0,Monthly!#REF!),IF(BU$69&gt;$F107+1,BT107*(1-IF(BU$69-$F107&lt;=12,SUMIFS('Attrition Modeling'!$D:$D,'Attrition Modeling'!$B:$B,$E107,'Attrition Modeling'!$C:$C,BU$68),VLOOKUP(BU$69-$F107-1,$A$7:$C$161,2,FALSE)*VLOOKUP(BU$1,'Attrition Modeling'!$L$15:$N$27,IF(BU$2-$F40&lt;=24,2,3),FALSE))*(1+Projection!CB$16)*(1+IF(BU172&gt;0,'Attrition Modeling'!$N$9,0))),0))</f>
        <v>1134.463189065865</v>
      </c>
    </row>
    <row r="108" spans="1:73" ht="14.25" customHeight="1" x14ac:dyDescent="0.2">
      <c r="A108" s="9">
        <v>101</v>
      </c>
      <c r="B108" s="25">
        <f>MAX('Attrition Modeling'!H105,$C$3)*(1-Summary!$C$20)</f>
        <v>0.02</v>
      </c>
      <c r="C108" s="24" t="e">
        <f t="shared" si="4"/>
        <v>#DIV/0!</v>
      </c>
      <c r="E108" s="11">
        <f t="shared" si="9"/>
        <v>2</v>
      </c>
      <c r="F108" s="11">
        <f t="shared" si="10"/>
        <v>38</v>
      </c>
      <c r="G108" s="799"/>
      <c r="H108" s="799">
        <f>IF(H$69=$F108+1,IF(Monthly!D$4=TRUE,0,Monthly!D$17),IF(H$69&gt;$F108+1,G108*(1-IF(H$69-$F108&lt;=12,SUMIFS('Attrition Modeling'!$D:$D,'Attrition Modeling'!$B:$B,$E108,'Attrition Modeling'!$C:$C,H$68),VLOOKUP(H$69-$F108-1,$A$7:$C$161,2,FALSE)*VLOOKUP(H$1,'Attrition Modeling'!$L$15:$N$27,IF(H$2-$F41&lt;=24,2,3),FALSE))*(1+Projection!J$16)*(1+IF(H173&gt;0,'Attrition Modeling'!$N$9,0))),0))</f>
        <v>0</v>
      </c>
      <c r="I108" s="799">
        <f>IF(I$69=$F108+1,IF(Monthly!E$4=TRUE,0,Monthly!E$17),IF(I$69&gt;$F108+1,H108*(1-IF(I$69-$F108&lt;=12,SUMIFS('Attrition Modeling'!$D:$D,'Attrition Modeling'!$B:$B,$E108,'Attrition Modeling'!$C:$C,I$68),VLOOKUP(I$69-$F108-1,$A$7:$C$161,2,FALSE)*VLOOKUP(I$1,'Attrition Modeling'!$L$15:$N$27,IF(I$2-$F41&lt;=24,2,3),FALSE))*(1+Projection!K$16)*(1+IF(I173&gt;0,'Attrition Modeling'!$N$9,0))),0))</f>
        <v>0</v>
      </c>
      <c r="J108" s="799">
        <f>IF(J$69=$F108+1,IF(Monthly!F$4=TRUE,0,Monthly!F$17),IF(J$69&gt;$F108+1,I108*(1-IF(J$69-$F108&lt;=12,SUMIFS('Attrition Modeling'!$D:$D,'Attrition Modeling'!$B:$B,$E108,'Attrition Modeling'!$C:$C,J$68),VLOOKUP(J$69-$F108-1,$A$7:$C$161,2,FALSE)*VLOOKUP(J$1,'Attrition Modeling'!$L$15:$N$27,IF(J$2-$F41&lt;=24,2,3),FALSE))*(1+Projection!L$16)*(1+IF(J173&gt;0,'Attrition Modeling'!$N$9,0))),0))</f>
        <v>0</v>
      </c>
      <c r="K108" s="799">
        <f>IF(K$69=$F108+1,IF(Monthly!G$4=TRUE,0,Monthly!G$17),IF(K$69&gt;$F108+1,J108*(1-IF(K$69-$F108&lt;=12,SUMIFS('Attrition Modeling'!$D:$D,'Attrition Modeling'!$B:$B,$E108,'Attrition Modeling'!$C:$C,K$68),VLOOKUP(K$69-$F108-1,$A$7:$C$161,2,FALSE)*VLOOKUP(K$1,'Attrition Modeling'!$L$15:$N$27,IF(K$2-$F41&lt;=24,2,3),FALSE))*(1+Projection!M$16)*(1+IF(K173&gt;0,'Attrition Modeling'!$N$9,0))),0))</f>
        <v>0</v>
      </c>
      <c r="L108" s="799">
        <f>IF(L$69=$F108+1,IF(Monthly!H$4=TRUE,0,Monthly!H$17),IF(L$69&gt;$F108+1,K108*(1-IF(L$69-$F108&lt;=12,SUMIFS('Attrition Modeling'!$D:$D,'Attrition Modeling'!$B:$B,$E108,'Attrition Modeling'!$C:$C,L$68),VLOOKUP(L$69-$F108-1,$A$7:$C$161,2,FALSE)*VLOOKUP(L$1,'Attrition Modeling'!$L$15:$N$27,IF(L$2-$F41&lt;=24,2,3),FALSE))*(1+Projection!N$16)*(1+IF(L173&gt;0,'Attrition Modeling'!$N$9,0))),0))</f>
        <v>0</v>
      </c>
      <c r="M108" s="799">
        <f>IF(M$69=$F108+1,IF(Monthly!I$4=TRUE,0,Monthly!I$17),IF(M$69&gt;$F108+1,L108*(1-IF(M$69-$F108&lt;=12,SUMIFS('Attrition Modeling'!$D:$D,'Attrition Modeling'!$B:$B,$E108,'Attrition Modeling'!$C:$C,M$68),VLOOKUP(M$69-$F108-1,$A$7:$C$161,2,FALSE)*VLOOKUP(M$1,'Attrition Modeling'!$L$15:$N$27,IF(M$2-$F41&lt;=24,2,3),FALSE))*(1+Projection!O$16)*(1+IF(M173&gt;0,'Attrition Modeling'!$N$9,0))),0))</f>
        <v>0</v>
      </c>
      <c r="N108" s="799">
        <f>IF(N$69=$F108+1,IF(Monthly!J$4=TRUE,0,Monthly!J$17),IF(N$69&gt;$F108+1,M108*(1-IF(N$69-$F108&lt;=12,SUMIFS('Attrition Modeling'!$D:$D,'Attrition Modeling'!$B:$B,$E108,'Attrition Modeling'!$C:$C,N$68),VLOOKUP(N$69-$F108-1,$A$7:$C$161,2,FALSE)*VLOOKUP(N$1,'Attrition Modeling'!$L$15:$N$27,IF(N$2-$F41&lt;=24,2,3),FALSE))*(1+Projection!P$16)*(1+IF(N173&gt;0,'Attrition Modeling'!$N$9,0))),0))</f>
        <v>0</v>
      </c>
      <c r="O108" s="799">
        <f>IF(O$69=$F108+1,IF(Monthly!K$4=TRUE,0,Monthly!K$17),IF(O$69&gt;$F108+1,N108*(1-IF(O$69-$F108&lt;=12,SUMIFS('Attrition Modeling'!$D:$D,'Attrition Modeling'!$B:$B,$E108,'Attrition Modeling'!$C:$C,O$68),VLOOKUP(O$69-$F108-1,$A$7:$C$161,2,FALSE)*VLOOKUP(O$1,'Attrition Modeling'!$L$15:$N$27,IF(O$2-$F41&lt;=24,2,3),FALSE))*(1+Projection!Q$16)*(1+IF(O173&gt;0,'Attrition Modeling'!$N$9,0))),0))</f>
        <v>0</v>
      </c>
      <c r="P108" s="799">
        <f>IF(P$69=$F108+1,IF(Monthly!L$4=TRUE,0,Monthly!L$17),IF(P$69&gt;$F108+1,O108*(1-IF(P$69-$F108&lt;=12,SUMIFS('Attrition Modeling'!$D:$D,'Attrition Modeling'!$B:$B,$E108,'Attrition Modeling'!$C:$C,P$68),VLOOKUP(P$69-$F108-1,$A$7:$C$161,2,FALSE)*VLOOKUP(P$1,'Attrition Modeling'!$L$15:$N$27,IF(P$2-$F41&lt;=24,2,3),FALSE))*(1+Projection!R$16)*(1+IF(P173&gt;0,'Attrition Modeling'!$N$9,0))),0))</f>
        <v>0</v>
      </c>
      <c r="Q108" s="799">
        <f>IF(Q$69=$F108+1,IF(Monthly!M$4=TRUE,0,Monthly!M$17),IF(Q$69&gt;$F108+1,P108*(1-IF(Q$69-$F108&lt;=12,SUMIFS('Attrition Modeling'!$D:$D,'Attrition Modeling'!$B:$B,$E108,'Attrition Modeling'!$C:$C,Q$68),VLOOKUP(Q$69-$F108-1,$A$7:$C$161,2,FALSE)*VLOOKUP(Q$1,'Attrition Modeling'!$L$15:$N$27,IF(Q$2-$F41&lt;=24,2,3),FALSE))*(1+Projection!S$16)*(1+IF(Q173&gt;0,'Attrition Modeling'!$N$9,0))),0))</f>
        <v>0</v>
      </c>
      <c r="R108" s="799">
        <f>IF(R$69=$F108+1,IF(Monthly!N$4=TRUE,0,Monthly!N$17),IF(R$69&gt;$F108+1,Q108*(1-IF(R$69-$F108&lt;=12,SUMIFS('Attrition Modeling'!$D:$D,'Attrition Modeling'!$B:$B,$E108,'Attrition Modeling'!$C:$C,R$68),VLOOKUP(R$69-$F108-1,$A$7:$C$161,2,FALSE)*VLOOKUP(R$1,'Attrition Modeling'!$L$15:$N$27,IF(R$2-$F41&lt;=24,2,3),FALSE))*(1+Projection!T$16)*(1+IF(R173&gt;0,'Attrition Modeling'!$N$9,0))),0))</f>
        <v>0</v>
      </c>
      <c r="S108" s="799">
        <f>IF(S$69=$F108+1,IF(Monthly!O$4=TRUE,0,Monthly!O$17),IF(S$69&gt;$F108+1,R108*(1-IF(S$69-$F108&lt;=12,SUMIFS('Attrition Modeling'!$D:$D,'Attrition Modeling'!$B:$B,$E108,'Attrition Modeling'!$C:$C,S$68),VLOOKUP(S$69-$F108-1,$A$7:$C$161,2,FALSE)*VLOOKUP(S$1,'Attrition Modeling'!$L$15:$N$27,IF(S$2-$F41&lt;=24,2,3),FALSE))*(1+Projection!U$16)*(1+IF(S173&gt;0,'Attrition Modeling'!$N$9,0))),0))</f>
        <v>0</v>
      </c>
      <c r="T108" s="799">
        <f>IF(T$69=$F108+1,IF(Monthly!P$4=TRUE,0,Monthly!P$17),IF(T$69&gt;$F108+1,S108*(1-IF(T$69-$F108&lt;=12,SUMIFS('Attrition Modeling'!$D:$D,'Attrition Modeling'!$B:$B,$E108,'Attrition Modeling'!$C:$C,T$68),VLOOKUP(T$69-$F108-1,$A$7:$C$161,2,FALSE)*VLOOKUP(T$1,'Attrition Modeling'!$L$15:$N$27,IF(T$2-$F41&lt;=24,2,3),FALSE))*(1+Projection!V$16)*(1+IF(T173&gt;0,'Attrition Modeling'!$N$9,0))),0))</f>
        <v>0</v>
      </c>
      <c r="U108" s="799">
        <f>IF(U$69=$F108+1,IF(Monthly!Q$4=TRUE,0,Monthly!Q$17),IF(U$69&gt;$F108+1,T108*(1-IF(U$69-$F108&lt;=12,SUMIFS('Attrition Modeling'!$D:$D,'Attrition Modeling'!$B:$B,$E108,'Attrition Modeling'!$C:$C,U$68),VLOOKUP(U$69-$F108-1,$A$7:$C$161,2,FALSE)*VLOOKUP(U$1,'Attrition Modeling'!$L$15:$N$27,IF(U$2-$F41&lt;=24,2,3),FALSE))*(1+Projection!W$16)*(1+IF(U173&gt;0,'Attrition Modeling'!$N$9,0))),0))</f>
        <v>0</v>
      </c>
      <c r="V108" s="799">
        <f>IF(V$69=$F108+1,IF(Monthly!R$4=TRUE,0,Monthly!R$17),IF(V$69&gt;$F108+1,U108*(1-IF(V$69-$F108&lt;=12,SUMIFS('Attrition Modeling'!$D:$D,'Attrition Modeling'!$B:$B,$E108,'Attrition Modeling'!$C:$C,V$68),VLOOKUP(V$69-$F108-1,$A$7:$C$161,2,FALSE)*VLOOKUP(V$1,'Attrition Modeling'!$L$15:$N$27,IF(V$2-$F41&lt;=24,2,3),FALSE))*(1+Projection!X$16)*(1+IF(V173&gt;0,'Attrition Modeling'!$N$9,0))),0))</f>
        <v>0</v>
      </c>
      <c r="W108" s="799">
        <f>IF(W$69=$F108+1,IF(Monthly!S$4=TRUE,0,Monthly!S$17),IF(W$69&gt;$F108+1,V108*(1-IF(W$69-$F108&lt;=12,SUMIFS('Attrition Modeling'!$D:$D,'Attrition Modeling'!$B:$B,$E108,'Attrition Modeling'!$C:$C,W$68),VLOOKUP(W$69-$F108-1,$A$7:$C$161,2,FALSE)*VLOOKUP(W$1,'Attrition Modeling'!$L$15:$N$27,IF(W$2-$F41&lt;=24,2,3),FALSE))*(1+Projection!Y$16)*(1+IF(W173&gt;0,'Attrition Modeling'!$N$9,0))),0))</f>
        <v>0</v>
      </c>
      <c r="X108" s="799">
        <f>IF(X$69=$F108+1,IF(Monthly!T$4=TRUE,0,Monthly!T$17),IF(X$69&gt;$F108+1,W108*(1-IF(X$69-$F108&lt;=12,SUMIFS('Attrition Modeling'!$D:$D,'Attrition Modeling'!$B:$B,$E108,'Attrition Modeling'!$C:$C,X$68),VLOOKUP(X$69-$F108-1,$A$7:$C$161,2,FALSE)*VLOOKUP(X$1,'Attrition Modeling'!$L$15:$N$27,IF(X$2-$F41&lt;=24,2,3),FALSE))*(1+Projection!Z$16)*(1+IF(X173&gt;0,'Attrition Modeling'!$N$9,0))),0))</f>
        <v>0</v>
      </c>
      <c r="Y108" s="799">
        <f>IF(Y$69=$F108+1,IF(Monthly!U$4=TRUE,0,Monthly!U$17),IF(Y$69&gt;$F108+1,X108*(1-IF(Y$69-$F108&lt;=12,SUMIFS('Attrition Modeling'!$D:$D,'Attrition Modeling'!$B:$B,$E108,'Attrition Modeling'!$C:$C,Y$68),VLOOKUP(Y$69-$F108-1,$A$7:$C$161,2,FALSE)*VLOOKUP(Y$1,'Attrition Modeling'!$L$15:$N$27,IF(Y$2-$F41&lt;=24,2,3),FALSE))*(1+Projection!AA$16)*(1+IF(Y173&gt;0,'Attrition Modeling'!$N$9,0))),0))</f>
        <v>0</v>
      </c>
      <c r="Z108" s="799">
        <f>IF(Z$69=$F108+1,IF(Monthly!V$4=TRUE,0,Monthly!V$17),IF(Z$69&gt;$F108+1,Y108*(1-IF(Z$69-$F108&lt;=12,SUMIFS('Attrition Modeling'!$D:$D,'Attrition Modeling'!$B:$B,$E108,'Attrition Modeling'!$C:$C,Z$68),VLOOKUP(Z$69-$F108-1,$A$7:$C$161,2,FALSE)*VLOOKUP(Z$1,'Attrition Modeling'!$L$15:$N$27,IF(Z$2-$F41&lt;=24,2,3),FALSE))*(1+Projection!AB$16)*(1+IF(Z173&gt;0,'Attrition Modeling'!$N$9,0))),0))</f>
        <v>0</v>
      </c>
      <c r="AA108" s="799">
        <f>IF(AA$69=$F108+1,IF(Monthly!W$4=TRUE,0,Monthly!W$17),IF(AA$69&gt;$F108+1,Z108*(1-IF(AA$69-$F108&lt;=12,SUMIFS('Attrition Modeling'!$D:$D,'Attrition Modeling'!$B:$B,$E108,'Attrition Modeling'!$C:$C,AA$68),VLOOKUP(AA$69-$F108-1,$A$7:$C$161,2,FALSE)*VLOOKUP(AA$1,'Attrition Modeling'!$L$15:$N$27,IF(AA$2-$F41&lt;=24,2,3),FALSE))*(1+Projection!AC$16)*(1+IF(AA173&gt;0,'Attrition Modeling'!$N$9,0))),0))</f>
        <v>0</v>
      </c>
      <c r="AB108" s="799">
        <f>IF(AB$69=$F108+1,IF(Monthly!X$4=TRUE,0,Monthly!X$17),IF(AB$69&gt;$F108+1,AA108*(1-IF(AB$69-$F108&lt;=12,SUMIFS('Attrition Modeling'!$D:$D,'Attrition Modeling'!$B:$B,$E108,'Attrition Modeling'!$C:$C,AB$68),VLOOKUP(AB$69-$F108-1,$A$7:$C$161,2,FALSE)*VLOOKUP(AB$1,'Attrition Modeling'!$L$15:$N$27,IF(AB$2-$F41&lt;=24,2,3),FALSE))*(1+Projection!AD$16)*(1+IF(AB173&gt;0,'Attrition Modeling'!$N$9,0))),0))</f>
        <v>0</v>
      </c>
      <c r="AC108" s="799">
        <f>IF(AC$69=$F108+1,IF(Monthly!Y$4=TRUE,0,Monthly!Y$17),IF(AC$69&gt;$F108+1,AB108*(1-IF(AC$69-$F108&lt;=12,SUMIFS('Attrition Modeling'!$D:$D,'Attrition Modeling'!$B:$B,$E108,'Attrition Modeling'!$C:$C,AC$68),VLOOKUP(AC$69-$F108-1,$A$7:$C$161,2,FALSE)*VLOOKUP(AC$1,'Attrition Modeling'!$L$15:$N$27,IF(AC$2-$F41&lt;=24,2,3),FALSE))*(1+Projection!AE$16)*(1+IF(AC173&gt;0,'Attrition Modeling'!$N$9,0))),0))</f>
        <v>0</v>
      </c>
      <c r="AD108" s="799">
        <f>IF(AD$69=$F108+1,IF(Monthly!Z$4=TRUE,0,Monthly!Z$17),IF(AD$69&gt;$F108+1,AC108*(1-IF(AD$69-$F108&lt;=12,SUMIFS('Attrition Modeling'!$D:$D,'Attrition Modeling'!$B:$B,$E108,'Attrition Modeling'!$C:$C,AD$68),VLOOKUP(AD$69-$F108-1,$A$7:$C$161,2,FALSE)*VLOOKUP(AD$1,'Attrition Modeling'!$L$15:$N$27,IF(AD$2-$F41&lt;=24,2,3),FALSE))*(1+Projection!AF$16)*(1+IF(AD173&gt;0,'Attrition Modeling'!$N$9,0))),0))</f>
        <v>0</v>
      </c>
      <c r="AE108" s="799">
        <f>IF(AE$69=$F108+1,IF(Monthly!AA$4=TRUE,0,Monthly!AA$17),IF(AE$69&gt;$F108+1,AD108*(1-IF(AE$69-$F108&lt;=12,SUMIFS('Attrition Modeling'!$D:$D,'Attrition Modeling'!$B:$B,$E108,'Attrition Modeling'!$C:$C,AE$68),VLOOKUP(AE$69-$F108-1,$A$7:$C$161,2,FALSE)*VLOOKUP(AE$1,'Attrition Modeling'!$L$15:$N$27,IF(AE$2-$F41&lt;=24,2,3),FALSE))*(1+Projection!AG$16)*(1+IF(AE173&gt;0,'Attrition Modeling'!$N$9,0))),0))</f>
        <v>0</v>
      </c>
      <c r="AF108" s="799">
        <f>IF(AF$69=$F108+1,IF(Monthly!AB$4=TRUE,0,Monthly!AB$17),IF(AF$69&gt;$F108+1,AE108*(1-IF(AF$69-$F108&lt;=12,SUMIFS('Attrition Modeling'!$D:$D,'Attrition Modeling'!$B:$B,$E108,'Attrition Modeling'!$C:$C,AF$68),VLOOKUP(AF$69-$F108-1,$A$7:$C$161,2,FALSE)*VLOOKUP(AF$1,'Attrition Modeling'!$L$15:$N$27,IF(AF$2-$F41&lt;=24,2,3),FALSE))*(1+Projection!AH$16)*(1+IF(AF173&gt;0,'Attrition Modeling'!$N$9,0))),0))</f>
        <v>0</v>
      </c>
      <c r="AG108" s="799">
        <f>IF(AG$69=$F108+1,IF(Monthly!AC$4=TRUE,0,Monthly!AC$17),IF(AG$69&gt;$F108+1,AF108*(1-IF(AG$69-$F108&lt;=12,SUMIFS('Attrition Modeling'!$D:$D,'Attrition Modeling'!$B:$B,$E108,'Attrition Modeling'!$C:$C,AG$68),VLOOKUP(AG$69-$F108-1,$A$7:$C$161,2,FALSE)*VLOOKUP(AG$1,'Attrition Modeling'!$L$15:$N$27,IF(AG$2-$F41&lt;=24,2,3),FALSE))*(1+Projection!AI$16)*(1+IF(AG173&gt;0,'Attrition Modeling'!$N$9,0))),0))</f>
        <v>0</v>
      </c>
      <c r="AH108" s="799">
        <f>IF(AH$69=$F108+1,IF(Monthly!AD$4=TRUE,0,Monthly!AD$17),IF(AH$69&gt;$F108+1,AG108*(1-IF(AH$69-$F108&lt;=12,SUMIFS('Attrition Modeling'!$D:$D,'Attrition Modeling'!$B:$B,$E108,'Attrition Modeling'!$C:$C,AH$68),VLOOKUP(AH$69-$F108-1,$A$7:$C$161,2,FALSE)*VLOOKUP(AH$1,'Attrition Modeling'!$L$15:$N$27,IF(AH$2-$F41&lt;=24,2,3),FALSE))*(1+Projection!AJ$16)*(1+IF(AH173&gt;0,'Attrition Modeling'!$N$9,0))),0))</f>
        <v>0</v>
      </c>
      <c r="AI108" s="799">
        <f>IF(AI$69=$F108+1,IF(Monthly!AE$4=TRUE,0,Monthly!AE$17),IF(AI$69&gt;$F108+1,AH108*(1-IF(AI$69-$F108&lt;=12,SUMIFS('Attrition Modeling'!$D:$D,'Attrition Modeling'!$B:$B,$E108,'Attrition Modeling'!$C:$C,AI$68),VLOOKUP(AI$69-$F108-1,$A$7:$C$161,2,FALSE)*VLOOKUP(AI$1,'Attrition Modeling'!$L$15:$N$27,IF(AI$2-$F41&lt;=24,2,3),FALSE))*(1+Projection!AK$16)*(1+IF(AI173&gt;0,'Attrition Modeling'!$N$9,0))),0))</f>
        <v>0</v>
      </c>
      <c r="AJ108" s="799">
        <f>IF(AJ$69=$F108+1,IF(Monthly!AF$4=TRUE,0,Monthly!AF$17),IF(AJ$69&gt;$F108+1,AI108*(1-IF(AJ$69-$F108&lt;=12,SUMIFS('Attrition Modeling'!$D:$D,'Attrition Modeling'!$B:$B,$E108,'Attrition Modeling'!$C:$C,AJ$68),VLOOKUP(AJ$69-$F108-1,$A$7:$C$161,2,FALSE)*VLOOKUP(AJ$1,'Attrition Modeling'!$L$15:$N$27,IF(AJ$2-$F41&lt;=24,2,3),FALSE))*(1+Projection!AL$16)*(1+IF(AJ173&gt;0,'Attrition Modeling'!$N$9,0))),0))</f>
        <v>0</v>
      </c>
      <c r="AK108" s="799">
        <f>IF(AK$69=$F108+1,IF(Monthly!AG$4=TRUE,0,Monthly!AG$17),IF(AK$69&gt;$F108+1,AJ108*(1-IF(AK$69-$F108&lt;=12,SUMIFS('Attrition Modeling'!$D:$D,'Attrition Modeling'!$B:$B,$E108,'Attrition Modeling'!$C:$C,AK$68),VLOOKUP(AK$69-$F108-1,$A$7:$C$161,2,FALSE)*VLOOKUP(AK$1,'Attrition Modeling'!$L$15:$N$27,IF(AK$2-$F41&lt;=24,2,3),FALSE))*(1+Projection!AM$16)*(1+IF(AK173&gt;0,'Attrition Modeling'!$N$9,0))),0))</f>
        <v>0</v>
      </c>
      <c r="AL108" s="799">
        <f>IF(AL$69=$F108+1,IF(Monthly!AH$4=TRUE,0,Monthly!AH$17),IF(AL$69&gt;$F108+1,AK108*(1-IF(AL$69-$F108&lt;=12,SUMIFS('Attrition Modeling'!$D:$D,'Attrition Modeling'!$B:$B,$E108,'Attrition Modeling'!$C:$C,AL$68),VLOOKUP(AL$69-$F108-1,$A$7:$C$161,2,FALSE)*VLOOKUP(AL$1,'Attrition Modeling'!$L$15:$N$27,IF(AL$2-$F41&lt;=24,2,3),FALSE))*(1+Projection!AN$16)*(1+IF(AL173&gt;0,'Attrition Modeling'!$N$9,0))),0))</f>
        <v>0</v>
      </c>
      <c r="AM108" s="799">
        <f>IF(AM$69=$F108+1,IF(Monthly!AI$4=TRUE,0,Monthly!AI$17),IF(AM$69&gt;$F108+1,AL108*(1-IF(AM$69-$F108&lt;=12,SUMIFS('Attrition Modeling'!$D:$D,'Attrition Modeling'!$B:$B,$E108,'Attrition Modeling'!$C:$C,AM$68),VLOOKUP(AM$69-$F108-1,$A$7:$C$161,2,FALSE)*VLOOKUP(AM$1,'Attrition Modeling'!$L$15:$N$27,IF(AM$2-$F41&lt;=24,2,3),FALSE))*(1+Projection!AO$16)*(1+IF(AM173&gt;0,'Attrition Modeling'!$N$9,0))),0))</f>
        <v>0</v>
      </c>
      <c r="AN108" s="799">
        <f>IF(AN$69=$F108+1,IF(Monthly!AJ$4=TRUE,0,Monthly!AJ$17),IF(AN$69&gt;$F108+1,AM108*(1-IF(AN$69-$F108&lt;=12,SUMIFS('Attrition Modeling'!$D:$D,'Attrition Modeling'!$B:$B,$E108,'Attrition Modeling'!$C:$C,AN$68),VLOOKUP(AN$69-$F108-1,$A$7:$C$161,2,FALSE)*VLOOKUP(AN$1,'Attrition Modeling'!$L$15:$N$27,IF(AN$2-$F41&lt;=24,2,3),FALSE))*(1+Projection!AP$16)*(1+IF(AN173&gt;0,'Attrition Modeling'!$N$9,0))),0))</f>
        <v>0</v>
      </c>
      <c r="AO108" s="799">
        <f>IF(AO$69=$F108+1,IF(Monthly!AK$4=TRUE,0,Monthly!AK$17),IF(AO$69&gt;$F108+1,AN108*(1-IF(AO$69-$F108&lt;=12,SUMIFS('Attrition Modeling'!$D:$D,'Attrition Modeling'!$B:$B,$E108,'Attrition Modeling'!$C:$C,AO$68),VLOOKUP(AO$69-$F108-1,$A$7:$C$161,2,FALSE)*VLOOKUP(AO$1,'Attrition Modeling'!$L$15:$N$27,IF(AO$2-$F41&lt;=24,2,3),FALSE))*(1+Projection!AQ$16)*(1+IF(AO173&gt;0,'Attrition Modeling'!$N$9,0))),0))</f>
        <v>0</v>
      </c>
      <c r="AP108" s="799">
        <f>IF(AP$69=$F108+1,IF(Monthly!AL$4=TRUE,0,Monthly!AL$17),IF(AP$69&gt;$F108+1,AO108*(1-IF(AP$69-$F108&lt;=12,SUMIFS('Attrition Modeling'!$D:$D,'Attrition Modeling'!$B:$B,$E108,'Attrition Modeling'!$C:$C,AP$68),VLOOKUP(AP$69-$F108-1,$A$7:$C$161,2,FALSE)*VLOOKUP(AP$1,'Attrition Modeling'!$L$15:$N$27,IF(AP$2-$F41&lt;=24,2,3),FALSE))*(1+Projection!AR$16)*(1+IF(AP173&gt;0,'Attrition Modeling'!$N$9,0))),0))</f>
        <v>0</v>
      </c>
      <c r="AQ108" s="799">
        <f>IF(AQ$69=$F108+1,IF(Monthly!AM$4=TRUE,0,Monthly!AM$17),IF(AQ$69&gt;$F108+1,AP108*(1-IF(AQ$69-$F108&lt;=12,SUMIFS('Attrition Modeling'!$D:$D,'Attrition Modeling'!$B:$B,$E108,'Attrition Modeling'!$C:$C,AQ$68),VLOOKUP(AQ$69-$F108-1,$A$7:$C$161,2,FALSE)*VLOOKUP(AQ$1,'Attrition Modeling'!$L$15:$N$27,IF(AQ$2-$F41&lt;=24,2,3),FALSE))*(1+Projection!AS$16)*(1+IF(AQ173&gt;0,'Attrition Modeling'!$N$9,0))),0))</f>
        <v>0</v>
      </c>
      <c r="AR108" s="799">
        <f>IF(AR$69=$F108+1,IF(Monthly!AN$4=TRUE,0,Monthly!AN$17),IF(AR$69&gt;$F108+1,AQ108*(1-IF(AR$69-$F108&lt;=12,SUMIFS('Attrition Modeling'!$D:$D,'Attrition Modeling'!$B:$B,$E108,'Attrition Modeling'!$C:$C,AR$68),VLOOKUP(AR$69-$F108-1,$A$7:$C$161,2,FALSE)*VLOOKUP(AR$1,'Attrition Modeling'!$L$15:$N$27,IF(AR$2-$F41&lt;=24,2,3),FALSE))*(1+Projection!AT$16)*(1+IF(AR173&gt;0,'Attrition Modeling'!$N$9,0))),0))</f>
        <v>0</v>
      </c>
      <c r="AS108" s="799">
        <f>IF(AS$69=$F108+1,IF(Monthly!AO$4=TRUE,0,Monthly!AO$17),IF(AS$69&gt;$F108+1,AR108*(1-IF(AS$69-$F108&lt;=12,SUMIFS('Attrition Modeling'!$D:$D,'Attrition Modeling'!$B:$B,$E108,'Attrition Modeling'!$C:$C,AS$68),VLOOKUP(AS$69-$F108-1,$A$7:$C$161,2,FALSE)*VLOOKUP(AS$1,'Attrition Modeling'!$L$15:$N$27,IF(AS$2-$F41&lt;=24,2,3),FALSE))*(1+Projection!AU$16)*(1+IF(AS173&gt;0,'Attrition Modeling'!$N$9,0))),0))</f>
        <v>0</v>
      </c>
      <c r="AT108" s="799">
        <f>IF(AT$69=$F108+1,IF(Monthly!AP$4=TRUE,0,Monthly!AP$17),IF(AT$69&gt;$F108+1,AS108*(1-IF(AT$69-$F108&lt;=12,SUMIFS('Attrition Modeling'!$D:$D,'Attrition Modeling'!$B:$B,$E108,'Attrition Modeling'!$C:$C,AT$68),VLOOKUP(AT$69-$F108-1,$A$7:$C$161,2,FALSE)*VLOOKUP(AT$1,'Attrition Modeling'!$L$15:$N$27,IF(AT$2-$F41&lt;=24,2,3),FALSE))*(1+Projection!AV$16)*(1+IF(AT173&gt;0,'Attrition Modeling'!$N$9,0))),0))</f>
        <v>6108.3303171303851</v>
      </c>
      <c r="AU108" s="799">
        <f>IF(AU$69=$F108+1,IF(Monthly!AQ$4=TRUE,0,Monthly!AQ$17),IF(AU$69&gt;$F108+1,AT108*(1-IF(AU$69-$F108&lt;=12,SUMIFS('Attrition Modeling'!$D:$D,'Attrition Modeling'!$B:$B,$E108,'Attrition Modeling'!$C:$C,AU$68),VLOOKUP(AU$69-$F108-1,$A$7:$C$161,2,FALSE)*VLOOKUP(AU$1,'Attrition Modeling'!$L$15:$N$27,IF(AU$2-$F41&lt;=24,2,3),FALSE))*(1+Projection!AW$16)*(1+IF(AU173&gt;0,'Attrition Modeling'!$N$9,0))),0))</f>
        <v>5513.4045992292176</v>
      </c>
      <c r="AV108" s="799">
        <f>IF(AV$69=$F108+1,IF(Monthly!AR$4=TRUE,0,Monthly!AR$17),IF(AV$69&gt;$F108+1,AU108*(1-IF(AV$69-$F108&lt;=12,SUMIFS('Attrition Modeling'!$D:$D,'Attrition Modeling'!$B:$B,$E108,'Attrition Modeling'!$C:$C,AV$68),VLOOKUP(AV$69-$F108-1,$A$7:$C$161,2,FALSE)*VLOOKUP(AV$1,'Attrition Modeling'!$L$15:$N$27,IF(AV$2-$F41&lt;=24,2,3),FALSE))*(1+Projection!AX$16)*(1+IF(AV173&gt;0,'Attrition Modeling'!$N$9,0))),0))</f>
        <v>5043.0344403229437</v>
      </c>
      <c r="AW108" s="799">
        <f>IF(AW$69=$F108+1,IF(Monthly!AS$4=TRUE,0,Monthly!AS$17),IF(AW$69&gt;$F108+1,AV108*(1-IF(AW$69-$F108&lt;=12,SUMIFS('Attrition Modeling'!$D:$D,'Attrition Modeling'!$B:$B,$E108,'Attrition Modeling'!$C:$C,AW$68),VLOOKUP(AW$69-$F108-1,$A$7:$C$161,2,FALSE)*VLOOKUP(AW$1,'Attrition Modeling'!$L$15:$N$27,IF(AW$2-$F41&lt;=24,2,3),FALSE))*(1+Projection!AY$16)*(1+IF(AW173&gt;0,'Attrition Modeling'!$N$9,0))),0))</f>
        <v>4574.4017405063523</v>
      </c>
      <c r="AX108" s="799">
        <f>IF(AX$69=$F108+1,IF(Monthly!AT$4=TRUE,0,Monthly!AT$17),IF(AX$69&gt;$F108+1,AW108*(1-IF(AX$69-$F108&lt;=12,SUMIFS('Attrition Modeling'!$D:$D,'Attrition Modeling'!$B:$B,$E108,'Attrition Modeling'!$C:$C,AX$68),VLOOKUP(AX$69-$F108-1,$A$7:$C$161,2,FALSE)*VLOOKUP(AX$1,'Attrition Modeling'!$L$15:$N$27,IF(AX$2-$F41&lt;=24,2,3),FALSE))*(1+Projection!AZ$16)*(1+IF(AX173&gt;0,'Attrition Modeling'!$N$9,0))),0))</f>
        <v>4202.8116511206699</v>
      </c>
      <c r="AY108" s="799">
        <f>IF(AY$69=$F108+1,IF(Monthly!AU$4=TRUE,0,Monthly!AU$17),IF(AY$69&gt;$F108+1,AX108*(1-IF(AY$69-$F108&lt;=12,SUMIFS('Attrition Modeling'!$D:$D,'Attrition Modeling'!$B:$B,$E108,'Attrition Modeling'!$C:$C,AY$68),VLOOKUP(AY$69-$F108-1,$A$7:$C$161,2,FALSE)*VLOOKUP(AY$1,'Attrition Modeling'!$L$15:$N$27,IF(AY$2-$F41&lt;=24,2,3),FALSE))*(1+Projection!BA$16)*(1+IF(AY173&gt;0,'Attrition Modeling'!$N$9,0))),0))</f>
        <v>3778.6362111664143</v>
      </c>
      <c r="AZ108" s="799">
        <f>IF(AZ$69=$F108+1,IF(Monthly!AV$4=TRUE,0,Monthly!AV$17),IF(AZ$69&gt;$F108+1,AY108*(1-IF(AZ$69-$F108&lt;=12,SUMIFS('Attrition Modeling'!$D:$D,'Attrition Modeling'!$B:$B,$E108,'Attrition Modeling'!$C:$C,AZ$68),VLOOKUP(AZ$69-$F108-1,$A$7:$C$161,2,FALSE)*VLOOKUP(AZ$1,'Attrition Modeling'!$L$15:$N$27,IF(AZ$2-$F41&lt;=24,2,3),FALSE))*(1+Projection!BB$16)*(1+IF(AZ173&gt;0,'Attrition Modeling'!$N$9,0))),0))</f>
        <v>3493.4799558226186</v>
      </c>
      <c r="BA108" s="799">
        <f>IF(BA$69=$F108+1,IF(Monthly!AW$4=TRUE,0,Monthly!AW$17),IF(BA$69&gt;$F108+1,AZ108*(1-IF(BA$69-$F108&lt;=12,SUMIFS('Attrition Modeling'!$D:$D,'Attrition Modeling'!$B:$B,$E108,'Attrition Modeling'!$C:$C,BA$68),VLOOKUP(BA$69-$F108-1,$A$7:$C$161,2,FALSE)*VLOOKUP(BA$1,'Attrition Modeling'!$L$15:$N$27,IF(BA$2-$F41&lt;=24,2,3),FALSE))*(1+Projection!BC$16)*(1+IF(BA173&gt;0,'Attrition Modeling'!$N$9,0))),0))</f>
        <v>3248.7004442136185</v>
      </c>
      <c r="BB108" s="799">
        <f>IF(BB$69=$F108+1,IF(Monthly!AX$4=TRUE,0,Monthly!AX$17),IF(BB$69&gt;$F108+1,BA108*(1-IF(BB$69-$F108&lt;=12,SUMIFS('Attrition Modeling'!$D:$D,'Attrition Modeling'!$B:$B,$E108,'Attrition Modeling'!$C:$C,BB$68),VLOOKUP(BB$69-$F108-1,$A$7:$C$161,2,FALSE)*VLOOKUP(BB$1,'Attrition Modeling'!$L$15:$N$27,IF(BB$2-$F41&lt;=24,2,3),FALSE))*(1+Projection!BD$16)*(1+IF(BB173&gt;0,'Attrition Modeling'!$N$9,0))),0))</f>
        <v>3032.9351453547802</v>
      </c>
      <c r="BC108" s="799">
        <f>IF(BC$69=$F108+1,IF(Monthly!AY$4=TRUE,0,Monthly!AY$17),IF(BC$69&gt;$F108+1,BB108*(1-IF(BC$69-$F108&lt;=12,SUMIFS('Attrition Modeling'!$D:$D,'Attrition Modeling'!$B:$B,$E108,'Attrition Modeling'!$C:$C,BC$68),VLOOKUP(BC$69-$F108-1,$A$7:$C$161,2,FALSE)*VLOOKUP(BC$1,'Attrition Modeling'!$L$15:$N$27,IF(BC$2-$F41&lt;=24,2,3),FALSE))*(1+Projection!BE$16)*(1+IF(BC173&gt;0,'Attrition Modeling'!$N$9,0))),0))</f>
        <v>2844.3523030183128</v>
      </c>
      <c r="BD108" s="799">
        <f>IF(BD$69=$F108+1,IF(Monthly!AZ$4=TRUE,0,Monthly!AZ$17),IF(BD$69&gt;$F108+1,BC108*(1-IF(BD$69-$F108&lt;=12,SUMIFS('Attrition Modeling'!$D:$D,'Attrition Modeling'!$B:$B,$E108,'Attrition Modeling'!$C:$C,BD$68),VLOOKUP(BD$69-$F108-1,$A$7:$C$161,2,FALSE)*VLOOKUP(BD$1,'Attrition Modeling'!$L$15:$N$27,IF(BD$2-$F41&lt;=24,2,3),FALSE))*(1+Projection!BF$16)*(1+IF(BD173&gt;0,'Attrition Modeling'!$N$9,0))),0))</f>
        <v>2683.1202780522885</v>
      </c>
      <c r="BE108" s="799">
        <f>IF(BE$69=$F108+1,IF(Monthly!BA$4=TRUE,0,Monthly!BA$17),IF(BE$69&gt;$F108+1,BD108*(1-IF(BE$69-$F108&lt;=12,SUMIFS('Attrition Modeling'!$D:$D,'Attrition Modeling'!$B:$B,$E108,'Attrition Modeling'!$C:$C,BE$68),VLOOKUP(BE$69-$F108-1,$A$7:$C$161,2,FALSE)*VLOOKUP(BE$1,'Attrition Modeling'!$L$15:$N$27,IF(BE$2-$F41&lt;=24,2,3),FALSE))*(1+Projection!BG$16)*(1+IF(BE173&gt;0,'Attrition Modeling'!$N$9,0))),0))</f>
        <v>2617.0070943217661</v>
      </c>
      <c r="BF108" s="799">
        <f>IF(BF$69=$F108+1,IF(Monthly!BB$4=TRUE,0,Monthly!BB$17),IF(BF$69&gt;$F108+1,BE108*(1-IF(BF$69-$F108&lt;=12,SUMIFS('Attrition Modeling'!$D:$D,'Attrition Modeling'!$B:$B,$E108,'Attrition Modeling'!$C:$C,BF$68),VLOOKUP(BF$69-$F108-1,$A$7:$C$161,2,FALSE)*VLOOKUP(BF$1,'Attrition Modeling'!$L$15:$N$27,IF(BF$2-$F41&lt;=24,2,3),FALSE))*(1+Projection!BH$16)*(1+IF(BF173&gt;0,'Attrition Modeling'!$N$9,0))),0))</f>
        <v>2478.6546752995869</v>
      </c>
      <c r="BG108" s="799">
        <f>IF(BG$69=$F108+1,IF(Monthly!BC$4=TRUE,0,Monthly!BC$17),IF(BG$69&gt;$F108+1,BF108*(1-IF(BG$69-$F108&lt;=12,SUMIFS('Attrition Modeling'!$D:$D,'Attrition Modeling'!$B:$B,$E108,'Attrition Modeling'!$C:$C,BG$68),VLOOKUP(BG$69-$F108-1,$A$7:$C$161,2,FALSE)*VLOOKUP(BG$1,'Attrition Modeling'!$L$15:$N$27,IF(BG$2-$F41&lt;=24,2,3),FALSE))*(1+Projection!BI$16)*(1+IF(BG173&gt;0,'Attrition Modeling'!$N$9,0))),0))</f>
        <v>2359.7660833640502</v>
      </c>
      <c r="BH108" s="799">
        <f>IF(BH$69=$F108+1,IF(Monthly!BD$4=TRUE,0,Monthly!BD$17),IF(BH$69&gt;$F108+1,BG108*(1-IF(BH$69-$F108&lt;=12,SUMIFS('Attrition Modeling'!$D:$D,'Attrition Modeling'!$B:$B,$E108,'Attrition Modeling'!$C:$C,BH$68),VLOOKUP(BH$69-$F108-1,$A$7:$C$161,2,FALSE)*VLOOKUP(BH$1,'Attrition Modeling'!$L$15:$N$27,IF(BH$2-$F41&lt;=24,2,3),FALSE))*(1+Projection!BJ$16)*(1+IF(BH173&gt;0,'Attrition Modeling'!$N$9,0))),0))</f>
        <v>2252.8908602051715</v>
      </c>
      <c r="BI108" s="799">
        <f>IF(BI$69=$F108+1,IF(Monthly!BE$4=TRUE,0,Monthly!BE$17),IF(BI$69&gt;$F108+1,BH108*(1-IF(BI$69-$F108&lt;=12,SUMIFS('Attrition Modeling'!$D:$D,'Attrition Modeling'!$B:$B,$E108,'Attrition Modeling'!$C:$C,BI$68),VLOOKUP(BI$69-$F108-1,$A$7:$C$161,2,FALSE)*VLOOKUP(BI$1,'Attrition Modeling'!$L$15:$N$27,IF(BI$2-$F41&lt;=24,2,3),FALSE))*(1+Projection!BK$16)*(1+IF(BI173&gt;0,'Attrition Modeling'!$N$9,0))),0))</f>
        <v>2144.9617260165342</v>
      </c>
      <c r="BJ108" s="799">
        <f>IF(BJ$69=$F108+1,IF(Monthly!BF$4=TRUE,0,Monthly!BF$17),IF(BJ$69&gt;$F108+1,BI108*(1-IF(BJ$69-$F108&lt;=12,SUMIFS('Attrition Modeling'!$D:$D,'Attrition Modeling'!$B:$B,$E108,'Attrition Modeling'!$C:$C,BJ$68),VLOOKUP(BJ$69-$F108-1,$A$7:$C$161,2,FALSE)*VLOOKUP(BJ$1,'Attrition Modeling'!$L$15:$N$27,IF(BJ$2-$F41&lt;=24,2,3),FALSE))*(1+Projection!BL$16)*(1+IF(BJ173&gt;0,'Attrition Modeling'!$N$9,0))),0))</f>
        <v>2042.8643277614995</v>
      </c>
      <c r="BK108" s="799">
        <f>IF(BK$69=$F108+1,IF(Monthly!BG$4=TRUE,0,Monthly!BG$17),IF(BK$69&gt;$F108+1,BJ108*(1-IF(BK$69-$F108&lt;=12,SUMIFS('Attrition Modeling'!$D:$D,'Attrition Modeling'!$B:$B,$E108,'Attrition Modeling'!$C:$C,BK$68),VLOOKUP(BK$69-$F108-1,$A$7:$C$161,2,FALSE)*VLOOKUP(BK$1,'Attrition Modeling'!$L$15:$N$27,IF(BK$2-$F41&lt;=24,2,3),FALSE))*(1+Projection!BM$16)*(1+IF(BK173&gt;0,'Attrition Modeling'!$N$9,0))),0))</f>
        <v>1924.0349322454695</v>
      </c>
      <c r="BL108" s="799">
        <f>IF(BL$69=$F108+1,IF(Monthly!BH$4=TRUE,0,Monthly!BH$17),IF(BL$69&gt;$F108+1,BK108*(1-IF(BL$69-$F108&lt;=12,SUMIFS('Attrition Modeling'!$D:$D,'Attrition Modeling'!$B:$B,$E108,'Attrition Modeling'!$C:$C,BL$68),VLOOKUP(BL$69-$F108-1,$A$7:$C$161,2,FALSE)*VLOOKUP(BL$1,'Attrition Modeling'!$L$15:$N$27,IF(BL$2-$F41&lt;=24,2,3),FALSE))*(1+Projection!BN$16)*(1+IF(BL173&gt;0,'Attrition Modeling'!$N$9,0))),0))</f>
        <v>1840.8152248278398</v>
      </c>
      <c r="BM108" s="799">
        <f>IF(BM$69=$F108+1,IF(Monthly!BI$4=TRUE,0,Monthly!BI$17),IF(BM$69&gt;$F108+1,BL108*(1-IF(BM$69-$F108&lt;=12,SUMIFS('Attrition Modeling'!$D:$D,'Attrition Modeling'!$B:$B,$E108,'Attrition Modeling'!$C:$C,BM$68),VLOOKUP(BM$69-$F108-1,$A$7:$C$161,2,FALSE)*VLOOKUP(BM$1,'Attrition Modeling'!$L$15:$N$27,IF(BM$2-$F41&lt;=24,2,3),FALSE))*(1+Projection!BO$16)*(1+IF(BM173&gt;0,'Attrition Modeling'!$N$9,0))),0))</f>
        <v>1760.9006499181769</v>
      </c>
      <c r="BN108" s="799">
        <f>IF(BN$69=$F108+1,IF(Monthly!BJ$4=TRUE,0,Monthly!BJ$17),IF(BN$69&gt;$F108+1,BM108*(1-IF(BN$69-$F108&lt;=12,SUMIFS('Attrition Modeling'!$D:$D,'Attrition Modeling'!$B:$B,$E108,'Attrition Modeling'!$C:$C,BN$68),VLOOKUP(BN$69-$F108-1,$A$7:$C$161,2,FALSE)*VLOOKUP(BN$1,'Attrition Modeling'!$L$15:$N$27,IF(BN$2-$F41&lt;=24,2,3),FALSE))*(1+Projection!BP$16)*(1+IF(BN173&gt;0,'Attrition Modeling'!$N$9,0))),0))</f>
        <v>1688.6173105315956</v>
      </c>
      <c r="BO108" s="799">
        <f>IF(BO$69=$F108+1,IF(Monthly!BK$4=TRUE,0,Monthly!BK$17),IF(BO$69&gt;$F108+1,BN108*(1-IF(BO$69-$F108&lt;=12,SUMIFS('Attrition Modeling'!$D:$D,'Attrition Modeling'!$B:$B,$E108,'Attrition Modeling'!$C:$C,BO$68),VLOOKUP(BO$69-$F108-1,$A$7:$C$161,2,FALSE)*VLOOKUP(BO$1,'Attrition Modeling'!$L$15:$N$27,IF(BO$2-$F41&lt;=24,2,3),FALSE))*(1+Projection!BV$16)*(1+IF(BO173&gt;0,'Attrition Modeling'!$N$9,0))),0))</f>
        <v>1621.095726145081</v>
      </c>
      <c r="BP108" s="799">
        <f>IF(BP$69=$F108+1,IF(Monthly!BL$4=TRUE,0,Monthly!BL$17),IF(BP$69&gt;$F108+1,BO108*(1-IF(BP$69-$F108&lt;=12,SUMIFS('Attrition Modeling'!$D:$D,'Attrition Modeling'!$B:$B,$E108,'Attrition Modeling'!$C:$C,BP$68),VLOOKUP(BP$69-$F108-1,$A$7:$C$161,2,FALSE)*VLOOKUP(BP$1,'Attrition Modeling'!$L$15:$N$27,IF(BP$2-$F41&lt;=24,2,3),FALSE))*(1+Projection!BW$16)*(1+IF(BP173&gt;0,'Attrition Modeling'!$N$9,0))),0))</f>
        <v>1557.1425098625041</v>
      </c>
      <c r="BQ108" s="799">
        <f>IF(BQ$69=$F108+1,IF(Monthly!BM$4=TRUE,0,Monthly!BM$17),IF(BQ$69&gt;$F108+1,BP108*(1-IF(BQ$69-$F108&lt;=12,SUMIFS('Attrition Modeling'!$D:$D,'Attrition Modeling'!$B:$B,$E108,'Attrition Modeling'!$C:$C,BQ$68),VLOOKUP(BQ$69-$F108-1,$A$7:$C$161,2,FALSE)*VLOOKUP(BQ$1,'Attrition Modeling'!$L$15:$N$27,IF(BQ$2-$F41&lt;=24,2,3),FALSE))*(1+Projection!BX$16)*(1+IF(BQ173&gt;0,'Attrition Modeling'!$N$9,0))),0))</f>
        <v>1502.4592239362253</v>
      </c>
      <c r="BR108" s="799">
        <f>IF(BR$69=$F108+1,IF(Monthly!BN$4=TRUE,0,Monthly!BN$17),IF(BR$69&gt;$F108+1,BQ108*(1-IF(BR$69-$F108&lt;=12,SUMIFS('Attrition Modeling'!$D:$D,'Attrition Modeling'!$B:$B,$E108,'Attrition Modeling'!$C:$C,BR$68),VLOOKUP(BR$69-$F108-1,$A$7:$C$161,2,FALSE)*VLOOKUP(BR$1,'Attrition Modeling'!$L$15:$N$27,IF(BR$2-$F41&lt;=24,2,3),FALSE))*(1+Projection!BY$16)*(1+IF(BR173&gt;0,'Attrition Modeling'!$N$9,0))),0))</f>
        <v>1452.1084317175644</v>
      </c>
      <c r="BS108" s="799">
        <f>IF(BS$69=$F108+1,IF(Monthly!BO$4=TRUE,0,Monthly!BO$17),IF(BS$69&gt;$F108+1,BR108*(1-IF(BS$69-$F108&lt;=12,SUMIFS('Attrition Modeling'!$D:$D,'Attrition Modeling'!$B:$B,$E108,'Attrition Modeling'!$C:$C,BS$68),VLOOKUP(BS$69-$F108-1,$A$7:$C$161,2,FALSE)*VLOOKUP(BS$1,'Attrition Modeling'!$L$15:$N$27,IF(BS$2-$F41&lt;=24,2,3),FALSE))*(1+Projection!BZ$16)*(1+IF(BS173&gt;0,'Attrition Modeling'!$N$9,0))),0))</f>
        <v>1413.9471820840158</v>
      </c>
      <c r="BT108" s="799">
        <f>IF(BT$69=$F108+1,IF(Monthly!#REF!=TRUE,0,Monthly!#REF!),IF(BT$69&gt;$F108+1,BS108*(1-IF(BT$69-$F108&lt;=12,SUMIFS('Attrition Modeling'!$D:$D,'Attrition Modeling'!$B:$B,$E108,'Attrition Modeling'!$C:$C,BT$68),VLOOKUP(BT$69-$F108-1,$A$7:$C$161,2,FALSE)*VLOOKUP(BT$1,'Attrition Modeling'!$L$15:$N$27,IF(BT$2-$F41&lt;=24,2,3),FALSE))*(1+Projection!CA$16)*(1+IF(BT173&gt;0,'Attrition Modeling'!$N$9,0))),0))</f>
        <v>1369.6947382805331</v>
      </c>
      <c r="BU108" s="799">
        <f>IF(BU$69=$F108+1,IF(Monthly!#REF!=TRUE,0,Monthly!#REF!),IF(BU$69&gt;$F108+1,BT108*(1-IF(BU$69-$F108&lt;=12,SUMIFS('Attrition Modeling'!$D:$D,'Attrition Modeling'!$B:$B,$E108,'Attrition Modeling'!$C:$C,BU$68),VLOOKUP(BU$69-$F108-1,$A$7:$C$161,2,FALSE)*VLOOKUP(BU$1,'Attrition Modeling'!$L$15:$N$27,IF(BU$2-$F41&lt;=24,2,3),FALSE))*(1+Projection!CB$16)*(1+IF(BU173&gt;0,'Attrition Modeling'!$N$9,0))),0))</f>
        <v>1321.4152189756935</v>
      </c>
    </row>
    <row r="109" spans="1:73" ht="14.25" customHeight="1" x14ac:dyDescent="0.2">
      <c r="A109" s="9">
        <v>102</v>
      </c>
      <c r="B109" s="25">
        <f>MAX('Attrition Modeling'!H106,$C$3)*(1-Summary!$C$20)</f>
        <v>0.02</v>
      </c>
      <c r="C109" s="24" t="e">
        <f t="shared" si="4"/>
        <v>#DIV/0!</v>
      </c>
      <c r="E109" s="11">
        <f t="shared" si="9"/>
        <v>3</v>
      </c>
      <c r="F109" s="11">
        <f t="shared" si="10"/>
        <v>39</v>
      </c>
      <c r="G109" s="799"/>
      <c r="H109" s="799">
        <f>IF(H$69=$F109+1,IF(Monthly!D$4=TRUE,0,Monthly!D$17),IF(H$69&gt;$F109+1,G109*(1-IF(H$69-$F109&lt;=12,SUMIFS('Attrition Modeling'!$D:$D,'Attrition Modeling'!$B:$B,$E109,'Attrition Modeling'!$C:$C,H$68),VLOOKUP(H$69-$F109-1,$A$7:$C$161,2,FALSE)*VLOOKUP(H$1,'Attrition Modeling'!$L$15:$N$27,IF(H$2-$F42&lt;=24,2,3),FALSE))*(1+Projection!J$16)*(1+IF(H174&gt;0,'Attrition Modeling'!$N$9,0))),0))</f>
        <v>0</v>
      </c>
      <c r="I109" s="799">
        <f>IF(I$69=$F109+1,IF(Monthly!E$4=TRUE,0,Monthly!E$17),IF(I$69&gt;$F109+1,H109*(1-IF(I$69-$F109&lt;=12,SUMIFS('Attrition Modeling'!$D:$D,'Attrition Modeling'!$B:$B,$E109,'Attrition Modeling'!$C:$C,I$68),VLOOKUP(I$69-$F109-1,$A$7:$C$161,2,FALSE)*VLOOKUP(I$1,'Attrition Modeling'!$L$15:$N$27,IF(I$2-$F42&lt;=24,2,3),FALSE))*(1+Projection!K$16)*(1+IF(I174&gt;0,'Attrition Modeling'!$N$9,0))),0))</f>
        <v>0</v>
      </c>
      <c r="J109" s="799">
        <f>IF(J$69=$F109+1,IF(Monthly!F$4=TRUE,0,Monthly!F$17),IF(J$69&gt;$F109+1,I109*(1-IF(J$69-$F109&lt;=12,SUMIFS('Attrition Modeling'!$D:$D,'Attrition Modeling'!$B:$B,$E109,'Attrition Modeling'!$C:$C,J$68),VLOOKUP(J$69-$F109-1,$A$7:$C$161,2,FALSE)*VLOOKUP(J$1,'Attrition Modeling'!$L$15:$N$27,IF(J$2-$F42&lt;=24,2,3),FALSE))*(1+Projection!L$16)*(1+IF(J174&gt;0,'Attrition Modeling'!$N$9,0))),0))</f>
        <v>0</v>
      </c>
      <c r="K109" s="799">
        <f>IF(K$69=$F109+1,IF(Monthly!G$4=TRUE,0,Monthly!G$17),IF(K$69&gt;$F109+1,J109*(1-IF(K$69-$F109&lt;=12,SUMIFS('Attrition Modeling'!$D:$D,'Attrition Modeling'!$B:$B,$E109,'Attrition Modeling'!$C:$C,K$68),VLOOKUP(K$69-$F109-1,$A$7:$C$161,2,FALSE)*VLOOKUP(K$1,'Attrition Modeling'!$L$15:$N$27,IF(K$2-$F42&lt;=24,2,3),FALSE))*(1+Projection!M$16)*(1+IF(K174&gt;0,'Attrition Modeling'!$N$9,0))),0))</f>
        <v>0</v>
      </c>
      <c r="L109" s="799">
        <f>IF(L$69=$F109+1,IF(Monthly!H$4=TRUE,0,Monthly!H$17),IF(L$69&gt;$F109+1,K109*(1-IF(L$69-$F109&lt;=12,SUMIFS('Attrition Modeling'!$D:$D,'Attrition Modeling'!$B:$B,$E109,'Attrition Modeling'!$C:$C,L$68),VLOOKUP(L$69-$F109-1,$A$7:$C$161,2,FALSE)*VLOOKUP(L$1,'Attrition Modeling'!$L$15:$N$27,IF(L$2-$F42&lt;=24,2,3),FALSE))*(1+Projection!N$16)*(1+IF(L174&gt;0,'Attrition Modeling'!$N$9,0))),0))</f>
        <v>0</v>
      </c>
      <c r="M109" s="799">
        <f>IF(M$69=$F109+1,IF(Monthly!I$4=TRUE,0,Monthly!I$17),IF(M$69&gt;$F109+1,L109*(1-IF(M$69-$F109&lt;=12,SUMIFS('Attrition Modeling'!$D:$D,'Attrition Modeling'!$B:$B,$E109,'Attrition Modeling'!$C:$C,M$68),VLOOKUP(M$69-$F109-1,$A$7:$C$161,2,FALSE)*VLOOKUP(M$1,'Attrition Modeling'!$L$15:$N$27,IF(M$2-$F42&lt;=24,2,3),FALSE))*(1+Projection!O$16)*(1+IF(M174&gt;0,'Attrition Modeling'!$N$9,0))),0))</f>
        <v>0</v>
      </c>
      <c r="N109" s="799">
        <f>IF(N$69=$F109+1,IF(Monthly!J$4=TRUE,0,Monthly!J$17),IF(N$69&gt;$F109+1,M109*(1-IF(N$69-$F109&lt;=12,SUMIFS('Attrition Modeling'!$D:$D,'Attrition Modeling'!$B:$B,$E109,'Attrition Modeling'!$C:$C,N$68),VLOOKUP(N$69-$F109-1,$A$7:$C$161,2,FALSE)*VLOOKUP(N$1,'Attrition Modeling'!$L$15:$N$27,IF(N$2-$F42&lt;=24,2,3),FALSE))*(1+Projection!P$16)*(1+IF(N174&gt;0,'Attrition Modeling'!$N$9,0))),0))</f>
        <v>0</v>
      </c>
      <c r="O109" s="799">
        <f>IF(O$69=$F109+1,IF(Monthly!K$4=TRUE,0,Monthly!K$17),IF(O$69&gt;$F109+1,N109*(1-IF(O$69-$F109&lt;=12,SUMIFS('Attrition Modeling'!$D:$D,'Attrition Modeling'!$B:$B,$E109,'Attrition Modeling'!$C:$C,O$68),VLOOKUP(O$69-$F109-1,$A$7:$C$161,2,FALSE)*VLOOKUP(O$1,'Attrition Modeling'!$L$15:$N$27,IF(O$2-$F42&lt;=24,2,3),FALSE))*(1+Projection!Q$16)*(1+IF(O174&gt;0,'Attrition Modeling'!$N$9,0))),0))</f>
        <v>0</v>
      </c>
      <c r="P109" s="799">
        <f>IF(P$69=$F109+1,IF(Monthly!L$4=TRUE,0,Monthly!L$17),IF(P$69&gt;$F109+1,O109*(1-IF(P$69-$F109&lt;=12,SUMIFS('Attrition Modeling'!$D:$D,'Attrition Modeling'!$B:$B,$E109,'Attrition Modeling'!$C:$C,P$68),VLOOKUP(P$69-$F109-1,$A$7:$C$161,2,FALSE)*VLOOKUP(P$1,'Attrition Modeling'!$L$15:$N$27,IF(P$2-$F42&lt;=24,2,3),FALSE))*(1+Projection!R$16)*(1+IF(P174&gt;0,'Attrition Modeling'!$N$9,0))),0))</f>
        <v>0</v>
      </c>
      <c r="Q109" s="799">
        <f>IF(Q$69=$F109+1,IF(Monthly!M$4=TRUE,0,Monthly!M$17),IF(Q$69&gt;$F109+1,P109*(1-IF(Q$69-$F109&lt;=12,SUMIFS('Attrition Modeling'!$D:$D,'Attrition Modeling'!$B:$B,$E109,'Attrition Modeling'!$C:$C,Q$68),VLOOKUP(Q$69-$F109-1,$A$7:$C$161,2,FALSE)*VLOOKUP(Q$1,'Attrition Modeling'!$L$15:$N$27,IF(Q$2-$F42&lt;=24,2,3),FALSE))*(1+Projection!S$16)*(1+IF(Q174&gt;0,'Attrition Modeling'!$N$9,0))),0))</f>
        <v>0</v>
      </c>
      <c r="R109" s="799">
        <f>IF(R$69=$F109+1,IF(Monthly!N$4=TRUE,0,Monthly!N$17),IF(R$69&gt;$F109+1,Q109*(1-IF(R$69-$F109&lt;=12,SUMIFS('Attrition Modeling'!$D:$D,'Attrition Modeling'!$B:$B,$E109,'Attrition Modeling'!$C:$C,R$68),VLOOKUP(R$69-$F109-1,$A$7:$C$161,2,FALSE)*VLOOKUP(R$1,'Attrition Modeling'!$L$15:$N$27,IF(R$2-$F42&lt;=24,2,3),FALSE))*(1+Projection!T$16)*(1+IF(R174&gt;0,'Attrition Modeling'!$N$9,0))),0))</f>
        <v>0</v>
      </c>
      <c r="S109" s="799">
        <f>IF(S$69=$F109+1,IF(Monthly!O$4=TRUE,0,Monthly!O$17),IF(S$69&gt;$F109+1,R109*(1-IF(S$69-$F109&lt;=12,SUMIFS('Attrition Modeling'!$D:$D,'Attrition Modeling'!$B:$B,$E109,'Attrition Modeling'!$C:$C,S$68),VLOOKUP(S$69-$F109-1,$A$7:$C$161,2,FALSE)*VLOOKUP(S$1,'Attrition Modeling'!$L$15:$N$27,IF(S$2-$F42&lt;=24,2,3),FALSE))*(1+Projection!U$16)*(1+IF(S174&gt;0,'Attrition Modeling'!$N$9,0))),0))</f>
        <v>0</v>
      </c>
      <c r="T109" s="799">
        <f>IF(T$69=$F109+1,IF(Monthly!P$4=TRUE,0,Monthly!P$17),IF(T$69&gt;$F109+1,S109*(1-IF(T$69-$F109&lt;=12,SUMIFS('Attrition Modeling'!$D:$D,'Attrition Modeling'!$B:$B,$E109,'Attrition Modeling'!$C:$C,T$68),VLOOKUP(T$69-$F109-1,$A$7:$C$161,2,FALSE)*VLOOKUP(T$1,'Attrition Modeling'!$L$15:$N$27,IF(T$2-$F42&lt;=24,2,3),FALSE))*(1+Projection!V$16)*(1+IF(T174&gt;0,'Attrition Modeling'!$N$9,0))),0))</f>
        <v>0</v>
      </c>
      <c r="U109" s="799">
        <f>IF(U$69=$F109+1,IF(Monthly!Q$4=TRUE,0,Monthly!Q$17),IF(U$69&gt;$F109+1,T109*(1-IF(U$69-$F109&lt;=12,SUMIFS('Attrition Modeling'!$D:$D,'Attrition Modeling'!$B:$B,$E109,'Attrition Modeling'!$C:$C,U$68),VLOOKUP(U$69-$F109-1,$A$7:$C$161,2,FALSE)*VLOOKUP(U$1,'Attrition Modeling'!$L$15:$N$27,IF(U$2-$F42&lt;=24,2,3),FALSE))*(1+Projection!W$16)*(1+IF(U174&gt;0,'Attrition Modeling'!$N$9,0))),0))</f>
        <v>0</v>
      </c>
      <c r="V109" s="799">
        <f>IF(V$69=$F109+1,IF(Monthly!R$4=TRUE,0,Monthly!R$17),IF(V$69&gt;$F109+1,U109*(1-IF(V$69-$F109&lt;=12,SUMIFS('Attrition Modeling'!$D:$D,'Attrition Modeling'!$B:$B,$E109,'Attrition Modeling'!$C:$C,V$68),VLOOKUP(V$69-$F109-1,$A$7:$C$161,2,FALSE)*VLOOKUP(V$1,'Attrition Modeling'!$L$15:$N$27,IF(V$2-$F42&lt;=24,2,3),FALSE))*(1+Projection!X$16)*(1+IF(V174&gt;0,'Attrition Modeling'!$N$9,0))),0))</f>
        <v>0</v>
      </c>
      <c r="W109" s="799">
        <f>IF(W$69=$F109+1,IF(Monthly!S$4=TRUE,0,Monthly!S$17),IF(W$69&gt;$F109+1,V109*(1-IF(W$69-$F109&lt;=12,SUMIFS('Attrition Modeling'!$D:$D,'Attrition Modeling'!$B:$B,$E109,'Attrition Modeling'!$C:$C,W$68),VLOOKUP(W$69-$F109-1,$A$7:$C$161,2,FALSE)*VLOOKUP(W$1,'Attrition Modeling'!$L$15:$N$27,IF(W$2-$F42&lt;=24,2,3),FALSE))*(1+Projection!Y$16)*(1+IF(W174&gt;0,'Attrition Modeling'!$N$9,0))),0))</f>
        <v>0</v>
      </c>
      <c r="X109" s="799">
        <f>IF(X$69=$F109+1,IF(Monthly!T$4=TRUE,0,Monthly!T$17),IF(X$69&gt;$F109+1,W109*(1-IF(X$69-$F109&lt;=12,SUMIFS('Attrition Modeling'!$D:$D,'Attrition Modeling'!$B:$B,$E109,'Attrition Modeling'!$C:$C,X$68),VLOOKUP(X$69-$F109-1,$A$7:$C$161,2,FALSE)*VLOOKUP(X$1,'Attrition Modeling'!$L$15:$N$27,IF(X$2-$F42&lt;=24,2,3),FALSE))*(1+Projection!Z$16)*(1+IF(X174&gt;0,'Attrition Modeling'!$N$9,0))),0))</f>
        <v>0</v>
      </c>
      <c r="Y109" s="799">
        <f>IF(Y$69=$F109+1,IF(Monthly!U$4=TRUE,0,Monthly!U$17),IF(Y$69&gt;$F109+1,X109*(1-IF(Y$69-$F109&lt;=12,SUMIFS('Attrition Modeling'!$D:$D,'Attrition Modeling'!$B:$B,$E109,'Attrition Modeling'!$C:$C,Y$68),VLOOKUP(Y$69-$F109-1,$A$7:$C$161,2,FALSE)*VLOOKUP(Y$1,'Attrition Modeling'!$L$15:$N$27,IF(Y$2-$F42&lt;=24,2,3),FALSE))*(1+Projection!AA$16)*(1+IF(Y174&gt;0,'Attrition Modeling'!$N$9,0))),0))</f>
        <v>0</v>
      </c>
      <c r="Z109" s="799">
        <f>IF(Z$69=$F109+1,IF(Monthly!V$4=TRUE,0,Monthly!V$17),IF(Z$69&gt;$F109+1,Y109*(1-IF(Z$69-$F109&lt;=12,SUMIFS('Attrition Modeling'!$D:$D,'Attrition Modeling'!$B:$B,$E109,'Attrition Modeling'!$C:$C,Z$68),VLOOKUP(Z$69-$F109-1,$A$7:$C$161,2,FALSE)*VLOOKUP(Z$1,'Attrition Modeling'!$L$15:$N$27,IF(Z$2-$F42&lt;=24,2,3),FALSE))*(1+Projection!AB$16)*(1+IF(Z174&gt;0,'Attrition Modeling'!$N$9,0))),0))</f>
        <v>0</v>
      </c>
      <c r="AA109" s="799">
        <f>IF(AA$69=$F109+1,IF(Monthly!W$4=TRUE,0,Monthly!W$17),IF(AA$69&gt;$F109+1,Z109*(1-IF(AA$69-$F109&lt;=12,SUMIFS('Attrition Modeling'!$D:$D,'Attrition Modeling'!$B:$B,$E109,'Attrition Modeling'!$C:$C,AA$68),VLOOKUP(AA$69-$F109-1,$A$7:$C$161,2,FALSE)*VLOOKUP(AA$1,'Attrition Modeling'!$L$15:$N$27,IF(AA$2-$F42&lt;=24,2,3),FALSE))*(1+Projection!AC$16)*(1+IF(AA174&gt;0,'Attrition Modeling'!$N$9,0))),0))</f>
        <v>0</v>
      </c>
      <c r="AB109" s="799">
        <f>IF(AB$69=$F109+1,IF(Monthly!X$4=TRUE,0,Monthly!X$17),IF(AB$69&gt;$F109+1,AA109*(1-IF(AB$69-$F109&lt;=12,SUMIFS('Attrition Modeling'!$D:$D,'Attrition Modeling'!$B:$B,$E109,'Attrition Modeling'!$C:$C,AB$68),VLOOKUP(AB$69-$F109-1,$A$7:$C$161,2,FALSE)*VLOOKUP(AB$1,'Attrition Modeling'!$L$15:$N$27,IF(AB$2-$F42&lt;=24,2,3),FALSE))*(1+Projection!AD$16)*(1+IF(AB174&gt;0,'Attrition Modeling'!$N$9,0))),0))</f>
        <v>0</v>
      </c>
      <c r="AC109" s="799">
        <f>IF(AC$69=$F109+1,IF(Monthly!Y$4=TRUE,0,Monthly!Y$17),IF(AC$69&gt;$F109+1,AB109*(1-IF(AC$69-$F109&lt;=12,SUMIFS('Attrition Modeling'!$D:$D,'Attrition Modeling'!$B:$B,$E109,'Attrition Modeling'!$C:$C,AC$68),VLOOKUP(AC$69-$F109-1,$A$7:$C$161,2,FALSE)*VLOOKUP(AC$1,'Attrition Modeling'!$L$15:$N$27,IF(AC$2-$F42&lt;=24,2,3),FALSE))*(1+Projection!AE$16)*(1+IF(AC174&gt;0,'Attrition Modeling'!$N$9,0))),0))</f>
        <v>0</v>
      </c>
      <c r="AD109" s="799">
        <f>IF(AD$69=$F109+1,IF(Monthly!Z$4=TRUE,0,Monthly!Z$17),IF(AD$69&gt;$F109+1,AC109*(1-IF(AD$69-$F109&lt;=12,SUMIFS('Attrition Modeling'!$D:$D,'Attrition Modeling'!$B:$B,$E109,'Attrition Modeling'!$C:$C,AD$68),VLOOKUP(AD$69-$F109-1,$A$7:$C$161,2,FALSE)*VLOOKUP(AD$1,'Attrition Modeling'!$L$15:$N$27,IF(AD$2-$F42&lt;=24,2,3),FALSE))*(1+Projection!AF$16)*(1+IF(AD174&gt;0,'Attrition Modeling'!$N$9,0))),0))</f>
        <v>0</v>
      </c>
      <c r="AE109" s="799">
        <f>IF(AE$69=$F109+1,IF(Monthly!AA$4=TRUE,0,Monthly!AA$17),IF(AE$69&gt;$F109+1,AD109*(1-IF(AE$69-$F109&lt;=12,SUMIFS('Attrition Modeling'!$D:$D,'Attrition Modeling'!$B:$B,$E109,'Attrition Modeling'!$C:$C,AE$68),VLOOKUP(AE$69-$F109-1,$A$7:$C$161,2,FALSE)*VLOOKUP(AE$1,'Attrition Modeling'!$L$15:$N$27,IF(AE$2-$F42&lt;=24,2,3),FALSE))*(1+Projection!AG$16)*(1+IF(AE174&gt;0,'Attrition Modeling'!$N$9,0))),0))</f>
        <v>0</v>
      </c>
      <c r="AF109" s="799">
        <f>IF(AF$69=$F109+1,IF(Monthly!AB$4=TRUE,0,Monthly!AB$17),IF(AF$69&gt;$F109+1,AE109*(1-IF(AF$69-$F109&lt;=12,SUMIFS('Attrition Modeling'!$D:$D,'Attrition Modeling'!$B:$B,$E109,'Attrition Modeling'!$C:$C,AF$68),VLOOKUP(AF$69-$F109-1,$A$7:$C$161,2,FALSE)*VLOOKUP(AF$1,'Attrition Modeling'!$L$15:$N$27,IF(AF$2-$F42&lt;=24,2,3),FALSE))*(1+Projection!AH$16)*(1+IF(AF174&gt;0,'Attrition Modeling'!$N$9,0))),0))</f>
        <v>0</v>
      </c>
      <c r="AG109" s="799">
        <f>IF(AG$69=$F109+1,IF(Monthly!AC$4=TRUE,0,Monthly!AC$17),IF(AG$69&gt;$F109+1,AF109*(1-IF(AG$69-$F109&lt;=12,SUMIFS('Attrition Modeling'!$D:$D,'Attrition Modeling'!$B:$B,$E109,'Attrition Modeling'!$C:$C,AG$68),VLOOKUP(AG$69-$F109-1,$A$7:$C$161,2,FALSE)*VLOOKUP(AG$1,'Attrition Modeling'!$L$15:$N$27,IF(AG$2-$F42&lt;=24,2,3),FALSE))*(1+Projection!AI$16)*(1+IF(AG174&gt;0,'Attrition Modeling'!$N$9,0))),0))</f>
        <v>0</v>
      </c>
      <c r="AH109" s="799">
        <f>IF(AH$69=$F109+1,IF(Monthly!AD$4=TRUE,0,Monthly!AD$17),IF(AH$69&gt;$F109+1,AG109*(1-IF(AH$69-$F109&lt;=12,SUMIFS('Attrition Modeling'!$D:$D,'Attrition Modeling'!$B:$B,$E109,'Attrition Modeling'!$C:$C,AH$68),VLOOKUP(AH$69-$F109-1,$A$7:$C$161,2,FALSE)*VLOOKUP(AH$1,'Attrition Modeling'!$L$15:$N$27,IF(AH$2-$F42&lt;=24,2,3),FALSE))*(1+Projection!AJ$16)*(1+IF(AH174&gt;0,'Attrition Modeling'!$N$9,0))),0))</f>
        <v>0</v>
      </c>
      <c r="AI109" s="799">
        <f>IF(AI$69=$F109+1,IF(Monthly!AE$4=TRUE,0,Monthly!AE$17),IF(AI$69&gt;$F109+1,AH109*(1-IF(AI$69-$F109&lt;=12,SUMIFS('Attrition Modeling'!$D:$D,'Attrition Modeling'!$B:$B,$E109,'Attrition Modeling'!$C:$C,AI$68),VLOOKUP(AI$69-$F109-1,$A$7:$C$161,2,FALSE)*VLOOKUP(AI$1,'Attrition Modeling'!$L$15:$N$27,IF(AI$2-$F42&lt;=24,2,3),FALSE))*(1+Projection!AK$16)*(1+IF(AI174&gt;0,'Attrition Modeling'!$N$9,0))),0))</f>
        <v>0</v>
      </c>
      <c r="AJ109" s="799">
        <f>IF(AJ$69=$F109+1,IF(Monthly!AF$4=TRUE,0,Monthly!AF$17),IF(AJ$69&gt;$F109+1,AI109*(1-IF(AJ$69-$F109&lt;=12,SUMIFS('Attrition Modeling'!$D:$D,'Attrition Modeling'!$B:$B,$E109,'Attrition Modeling'!$C:$C,AJ$68),VLOOKUP(AJ$69-$F109-1,$A$7:$C$161,2,FALSE)*VLOOKUP(AJ$1,'Attrition Modeling'!$L$15:$N$27,IF(AJ$2-$F42&lt;=24,2,3),FALSE))*(1+Projection!AL$16)*(1+IF(AJ174&gt;0,'Attrition Modeling'!$N$9,0))),0))</f>
        <v>0</v>
      </c>
      <c r="AK109" s="799">
        <f>IF(AK$69=$F109+1,IF(Monthly!AG$4=TRUE,0,Monthly!AG$17),IF(AK$69&gt;$F109+1,AJ109*(1-IF(AK$69-$F109&lt;=12,SUMIFS('Attrition Modeling'!$D:$D,'Attrition Modeling'!$B:$B,$E109,'Attrition Modeling'!$C:$C,AK$68),VLOOKUP(AK$69-$F109-1,$A$7:$C$161,2,FALSE)*VLOOKUP(AK$1,'Attrition Modeling'!$L$15:$N$27,IF(AK$2-$F42&lt;=24,2,3),FALSE))*(1+Projection!AM$16)*(1+IF(AK174&gt;0,'Attrition Modeling'!$N$9,0))),0))</f>
        <v>0</v>
      </c>
      <c r="AL109" s="799">
        <f>IF(AL$69=$F109+1,IF(Monthly!AH$4=TRUE,0,Monthly!AH$17),IF(AL$69&gt;$F109+1,AK109*(1-IF(AL$69-$F109&lt;=12,SUMIFS('Attrition Modeling'!$D:$D,'Attrition Modeling'!$B:$B,$E109,'Attrition Modeling'!$C:$C,AL$68),VLOOKUP(AL$69-$F109-1,$A$7:$C$161,2,FALSE)*VLOOKUP(AL$1,'Attrition Modeling'!$L$15:$N$27,IF(AL$2-$F42&lt;=24,2,3),FALSE))*(1+Projection!AN$16)*(1+IF(AL174&gt;0,'Attrition Modeling'!$N$9,0))),0))</f>
        <v>0</v>
      </c>
      <c r="AM109" s="799">
        <f>IF(AM$69=$F109+1,IF(Monthly!AI$4=TRUE,0,Monthly!AI$17),IF(AM$69&gt;$F109+1,AL109*(1-IF(AM$69-$F109&lt;=12,SUMIFS('Attrition Modeling'!$D:$D,'Attrition Modeling'!$B:$B,$E109,'Attrition Modeling'!$C:$C,AM$68),VLOOKUP(AM$69-$F109-1,$A$7:$C$161,2,FALSE)*VLOOKUP(AM$1,'Attrition Modeling'!$L$15:$N$27,IF(AM$2-$F42&lt;=24,2,3),FALSE))*(1+Projection!AO$16)*(1+IF(AM174&gt;0,'Attrition Modeling'!$N$9,0))),0))</f>
        <v>0</v>
      </c>
      <c r="AN109" s="799">
        <f>IF(AN$69=$F109+1,IF(Monthly!AJ$4=TRUE,0,Monthly!AJ$17),IF(AN$69&gt;$F109+1,AM109*(1-IF(AN$69-$F109&lt;=12,SUMIFS('Attrition Modeling'!$D:$D,'Attrition Modeling'!$B:$B,$E109,'Attrition Modeling'!$C:$C,AN$68),VLOOKUP(AN$69-$F109-1,$A$7:$C$161,2,FALSE)*VLOOKUP(AN$1,'Attrition Modeling'!$L$15:$N$27,IF(AN$2-$F42&lt;=24,2,3),FALSE))*(1+Projection!AP$16)*(1+IF(AN174&gt;0,'Attrition Modeling'!$N$9,0))),0))</f>
        <v>0</v>
      </c>
      <c r="AO109" s="799">
        <f>IF(AO$69=$F109+1,IF(Monthly!AK$4=TRUE,0,Monthly!AK$17),IF(AO$69&gt;$F109+1,AN109*(1-IF(AO$69-$F109&lt;=12,SUMIFS('Attrition Modeling'!$D:$D,'Attrition Modeling'!$B:$B,$E109,'Attrition Modeling'!$C:$C,AO$68),VLOOKUP(AO$69-$F109-1,$A$7:$C$161,2,FALSE)*VLOOKUP(AO$1,'Attrition Modeling'!$L$15:$N$27,IF(AO$2-$F42&lt;=24,2,3),FALSE))*(1+Projection!AQ$16)*(1+IF(AO174&gt;0,'Attrition Modeling'!$N$9,0))),0))</f>
        <v>0</v>
      </c>
      <c r="AP109" s="799">
        <f>IF(AP$69=$F109+1,IF(Monthly!AL$4=TRUE,0,Monthly!AL$17),IF(AP$69&gt;$F109+1,AO109*(1-IF(AP$69-$F109&lt;=12,SUMIFS('Attrition Modeling'!$D:$D,'Attrition Modeling'!$B:$B,$E109,'Attrition Modeling'!$C:$C,AP$68),VLOOKUP(AP$69-$F109-1,$A$7:$C$161,2,FALSE)*VLOOKUP(AP$1,'Attrition Modeling'!$L$15:$N$27,IF(AP$2-$F42&lt;=24,2,3),FALSE))*(1+Projection!AR$16)*(1+IF(AP174&gt;0,'Attrition Modeling'!$N$9,0))),0))</f>
        <v>0</v>
      </c>
      <c r="AQ109" s="799">
        <f>IF(AQ$69=$F109+1,IF(Monthly!AM$4=TRUE,0,Monthly!AM$17),IF(AQ$69&gt;$F109+1,AP109*(1-IF(AQ$69-$F109&lt;=12,SUMIFS('Attrition Modeling'!$D:$D,'Attrition Modeling'!$B:$B,$E109,'Attrition Modeling'!$C:$C,AQ$68),VLOOKUP(AQ$69-$F109-1,$A$7:$C$161,2,FALSE)*VLOOKUP(AQ$1,'Attrition Modeling'!$L$15:$N$27,IF(AQ$2-$F42&lt;=24,2,3),FALSE))*(1+Projection!AS$16)*(1+IF(AQ174&gt;0,'Attrition Modeling'!$N$9,0))),0))</f>
        <v>0</v>
      </c>
      <c r="AR109" s="799">
        <f>IF(AR$69=$F109+1,IF(Monthly!AN$4=TRUE,0,Monthly!AN$17),IF(AR$69&gt;$F109+1,AQ109*(1-IF(AR$69-$F109&lt;=12,SUMIFS('Attrition Modeling'!$D:$D,'Attrition Modeling'!$B:$B,$E109,'Attrition Modeling'!$C:$C,AR$68),VLOOKUP(AR$69-$F109-1,$A$7:$C$161,2,FALSE)*VLOOKUP(AR$1,'Attrition Modeling'!$L$15:$N$27,IF(AR$2-$F42&lt;=24,2,3),FALSE))*(1+Projection!AT$16)*(1+IF(AR174&gt;0,'Attrition Modeling'!$N$9,0))),0))</f>
        <v>0</v>
      </c>
      <c r="AS109" s="799">
        <f>IF(AS$69=$F109+1,IF(Monthly!AO$4=TRUE,0,Monthly!AO$17),IF(AS$69&gt;$F109+1,AR109*(1-IF(AS$69-$F109&lt;=12,SUMIFS('Attrition Modeling'!$D:$D,'Attrition Modeling'!$B:$B,$E109,'Attrition Modeling'!$C:$C,AS$68),VLOOKUP(AS$69-$F109-1,$A$7:$C$161,2,FALSE)*VLOOKUP(AS$1,'Attrition Modeling'!$L$15:$N$27,IF(AS$2-$F42&lt;=24,2,3),FALSE))*(1+Projection!AU$16)*(1+IF(AS174&gt;0,'Attrition Modeling'!$N$9,0))),0))</f>
        <v>0</v>
      </c>
      <c r="AT109" s="799">
        <f>IF(AT$69=$F109+1,IF(Monthly!AP$4=TRUE,0,Monthly!AP$17),IF(AT$69&gt;$F109+1,AS109*(1-IF(AT$69-$F109&lt;=12,SUMIFS('Attrition Modeling'!$D:$D,'Attrition Modeling'!$B:$B,$E109,'Attrition Modeling'!$C:$C,AT$68),VLOOKUP(AT$69-$F109-1,$A$7:$C$161,2,FALSE)*VLOOKUP(AT$1,'Attrition Modeling'!$L$15:$N$27,IF(AT$2-$F42&lt;=24,2,3),FALSE))*(1+Projection!AV$16)*(1+IF(AT174&gt;0,'Attrition Modeling'!$N$9,0))),0))</f>
        <v>0</v>
      </c>
      <c r="AU109" s="799">
        <f>IF(AU$69=$F109+1,IF(Monthly!AQ$4=TRUE,0,Monthly!AQ$17),IF(AU$69&gt;$F109+1,AT109*(1-IF(AU$69-$F109&lt;=12,SUMIFS('Attrition Modeling'!$D:$D,'Attrition Modeling'!$B:$B,$E109,'Attrition Modeling'!$C:$C,AU$68),VLOOKUP(AU$69-$F109-1,$A$7:$C$161,2,FALSE)*VLOOKUP(AU$1,'Attrition Modeling'!$L$15:$N$27,IF(AU$2-$F42&lt;=24,2,3),FALSE))*(1+Projection!AW$16)*(1+IF(AU174&gt;0,'Attrition Modeling'!$N$9,0))),0))</f>
        <v>6024.9297218818247</v>
      </c>
      <c r="AV109" s="799">
        <f>IF(AV$69=$F109+1,IF(Monthly!AR$4=TRUE,0,Monthly!AR$17),IF(AV$69&gt;$F109+1,AU109*(1-IF(AV$69-$F109&lt;=12,SUMIFS('Attrition Modeling'!$D:$D,'Attrition Modeling'!$B:$B,$E109,'Attrition Modeling'!$C:$C,AV$68),VLOOKUP(AV$69-$F109-1,$A$7:$C$161,2,FALSE)*VLOOKUP(AV$1,'Attrition Modeling'!$L$15:$N$27,IF(AV$2-$F42&lt;=24,2,3),FALSE))*(1+Projection!AX$16)*(1+IF(AV174&gt;0,'Attrition Modeling'!$N$9,0))),0))</f>
        <v>5459.0793480240745</v>
      </c>
      <c r="AW109" s="799">
        <f>IF(AW$69=$F109+1,IF(Monthly!AS$4=TRUE,0,Monthly!AS$17),IF(AW$69&gt;$F109+1,AV109*(1-IF(AW$69-$F109&lt;=12,SUMIFS('Attrition Modeling'!$D:$D,'Attrition Modeling'!$B:$B,$E109,'Attrition Modeling'!$C:$C,AW$68),VLOOKUP(AW$69-$F109-1,$A$7:$C$161,2,FALSE)*VLOOKUP(AW$1,'Attrition Modeling'!$L$15:$N$27,IF(AW$2-$F42&lt;=24,2,3),FALSE))*(1+Projection!AY$16)*(1+IF(AW174&gt;0,'Attrition Modeling'!$N$9,0))),0))</f>
        <v>4968.9830752073003</v>
      </c>
      <c r="AX109" s="799">
        <f>IF(AX$69=$F109+1,IF(Monthly!AT$4=TRUE,0,Monthly!AT$17),IF(AX$69&gt;$F109+1,AW109*(1-IF(AX$69-$F109&lt;=12,SUMIFS('Attrition Modeling'!$D:$D,'Attrition Modeling'!$B:$B,$E109,'Attrition Modeling'!$C:$C,AX$68),VLOOKUP(AX$69-$F109-1,$A$7:$C$161,2,FALSE)*VLOOKUP(AX$1,'Attrition Modeling'!$L$15:$N$27,IF(AX$2-$F42&lt;=24,2,3),FALSE))*(1+Projection!AZ$16)*(1+IF(AX174&gt;0,'Attrition Modeling'!$N$9,0))),0))</f>
        <v>4524.6819504359473</v>
      </c>
      <c r="AY109" s="799">
        <f>IF(AY$69=$F109+1,IF(Monthly!AU$4=TRUE,0,Monthly!AU$17),IF(AY$69&gt;$F109+1,AX109*(1-IF(AY$69-$F109&lt;=12,SUMIFS('Attrition Modeling'!$D:$D,'Attrition Modeling'!$B:$B,$E109,'Attrition Modeling'!$C:$C,AY$68),VLOOKUP(AY$69-$F109-1,$A$7:$C$161,2,FALSE)*VLOOKUP(AY$1,'Attrition Modeling'!$L$15:$N$27,IF(AY$2-$F42&lt;=24,2,3),FALSE))*(1+Projection!BA$16)*(1+IF(AY174&gt;0,'Attrition Modeling'!$N$9,0))),0))</f>
        <v>4129.9110064792685</v>
      </c>
      <c r="AZ109" s="799">
        <f>IF(AZ$69=$F109+1,IF(Monthly!AV$4=TRUE,0,Monthly!AV$17),IF(AZ$69&gt;$F109+1,AY109*(1-IF(AZ$69-$F109&lt;=12,SUMIFS('Attrition Modeling'!$D:$D,'Attrition Modeling'!$B:$B,$E109,'Attrition Modeling'!$C:$C,AZ$68),VLOOKUP(AZ$69-$F109-1,$A$7:$C$161,2,FALSE)*VLOOKUP(AZ$1,'Attrition Modeling'!$L$15:$N$27,IF(AZ$2-$F42&lt;=24,2,3),FALSE))*(1+Projection!BB$16)*(1+IF(AZ174&gt;0,'Attrition Modeling'!$N$9,0))),0))</f>
        <v>3722.036584734421</v>
      </c>
      <c r="BA109" s="799">
        <f>IF(BA$69=$F109+1,IF(Monthly!AW$4=TRUE,0,Monthly!AW$17),IF(BA$69&gt;$F109+1,AZ109*(1-IF(BA$69-$F109&lt;=12,SUMIFS('Attrition Modeling'!$D:$D,'Attrition Modeling'!$B:$B,$E109,'Attrition Modeling'!$C:$C,BA$68),VLOOKUP(BA$69-$F109-1,$A$7:$C$161,2,FALSE)*VLOOKUP(BA$1,'Attrition Modeling'!$L$15:$N$27,IF(BA$2-$F42&lt;=24,2,3),FALSE))*(1+Projection!BC$16)*(1+IF(BA174&gt;0,'Attrition Modeling'!$N$9,0))),0))</f>
        <v>3427.029900487395</v>
      </c>
      <c r="BB109" s="799">
        <f>IF(BB$69=$F109+1,IF(Monthly!AX$4=TRUE,0,Monthly!AX$17),IF(BB$69&gt;$F109+1,BA109*(1-IF(BB$69-$F109&lt;=12,SUMIFS('Attrition Modeling'!$D:$D,'Attrition Modeling'!$B:$B,$E109,'Attrition Modeling'!$C:$C,BB$68),VLOOKUP(BB$69-$F109-1,$A$7:$C$161,2,FALSE)*VLOOKUP(BB$1,'Attrition Modeling'!$L$15:$N$27,IF(BB$2-$F42&lt;=24,2,3),FALSE))*(1+Projection!BD$16)*(1+IF(BB174&gt;0,'Attrition Modeling'!$N$9,0))),0))</f>
        <v>3171.4316608787458</v>
      </c>
      <c r="BC109" s="799">
        <f>IF(BC$69=$F109+1,IF(Monthly!AY$4=TRUE,0,Monthly!AY$17),IF(BC$69&gt;$F109+1,BB109*(1-IF(BC$69-$F109&lt;=12,SUMIFS('Attrition Modeling'!$D:$D,'Attrition Modeling'!$B:$B,$E109,'Attrition Modeling'!$C:$C,BC$68),VLOOKUP(BC$69-$F109-1,$A$7:$C$161,2,FALSE)*VLOOKUP(BC$1,'Attrition Modeling'!$L$15:$N$27,IF(BC$2-$F42&lt;=24,2,3),FALSE))*(1+Projection!BE$16)*(1+IF(BC174&gt;0,'Attrition Modeling'!$N$9,0))),0))</f>
        <v>2982.3773232828898</v>
      </c>
      <c r="BD109" s="799">
        <f>IF(BD$69=$F109+1,IF(Monthly!AZ$4=TRUE,0,Monthly!AZ$17),IF(BD$69&gt;$F109+1,BC109*(1-IF(BD$69-$F109&lt;=12,SUMIFS('Attrition Modeling'!$D:$D,'Attrition Modeling'!$B:$B,$E109,'Attrition Modeling'!$C:$C,BD$68),VLOOKUP(BD$69-$F109-1,$A$7:$C$161,2,FALSE)*VLOOKUP(BD$1,'Attrition Modeling'!$L$15:$N$27,IF(BD$2-$F42&lt;=24,2,3),FALSE))*(1+Projection!BF$16)*(1+IF(BD174&gt;0,'Attrition Modeling'!$N$9,0))),0))</f>
        <v>2815.1143892544496</v>
      </c>
      <c r="BE109" s="799">
        <f>IF(BE$69=$F109+1,IF(Monthly!BA$4=TRUE,0,Monthly!BA$17),IF(BE$69&gt;$F109+1,BD109*(1-IF(BE$69-$F109&lt;=12,SUMIFS('Attrition Modeling'!$D:$D,'Attrition Modeling'!$B:$B,$E109,'Attrition Modeling'!$C:$C,BE$68),VLOOKUP(BE$69-$F109-1,$A$7:$C$161,2,FALSE)*VLOOKUP(BE$1,'Attrition Modeling'!$L$15:$N$27,IF(BE$2-$F42&lt;=24,2,3),FALSE))*(1+Projection!BG$16)*(1+IF(BE174&gt;0,'Attrition Modeling'!$N$9,0))),0))</f>
        <v>2669.9757618968092</v>
      </c>
      <c r="BF109" s="799">
        <f>IF(BF$69=$F109+1,IF(Monthly!BB$4=TRUE,0,Monthly!BB$17),IF(BF$69&gt;$F109+1,BE109*(1-IF(BF$69-$F109&lt;=12,SUMIFS('Attrition Modeling'!$D:$D,'Attrition Modeling'!$B:$B,$E109,'Attrition Modeling'!$C:$C,BF$68),VLOOKUP(BF$69-$F109-1,$A$7:$C$161,2,FALSE)*VLOOKUP(BF$1,'Attrition Modeling'!$L$15:$N$27,IF(BF$2-$F42&lt;=24,2,3),FALSE))*(1+Projection!BH$16)*(1+IF(BF174&gt;0,'Attrition Modeling'!$N$9,0))),0))</f>
        <v>2584.4777980493495</v>
      </c>
      <c r="BG109" s="799">
        <f>IF(BG$69=$F109+1,IF(Monthly!BC$4=TRUE,0,Monthly!BC$17),IF(BG$69&gt;$F109+1,BF109*(1-IF(BG$69-$F109&lt;=12,SUMIFS('Attrition Modeling'!$D:$D,'Attrition Modeling'!$B:$B,$E109,'Attrition Modeling'!$C:$C,BG$68),VLOOKUP(BG$69-$F109-1,$A$7:$C$161,2,FALSE)*VLOOKUP(BG$1,'Attrition Modeling'!$L$15:$N$27,IF(BG$2-$F42&lt;=24,2,3),FALSE))*(1+Projection!BI$16)*(1+IF(BG174&gt;0,'Attrition Modeling'!$N$9,0))),0))</f>
        <v>2450.1369244104994</v>
      </c>
      <c r="BH109" s="799">
        <f>IF(BH$69=$F109+1,IF(Monthly!BD$4=TRUE,0,Monthly!BD$17),IF(BH$69&gt;$F109+1,BG109*(1-IF(BH$69-$F109&lt;=12,SUMIFS('Attrition Modeling'!$D:$D,'Attrition Modeling'!$B:$B,$E109,'Attrition Modeling'!$C:$C,BH$68),VLOOKUP(BH$69-$F109-1,$A$7:$C$161,2,FALSE)*VLOOKUP(BH$1,'Attrition Modeling'!$L$15:$N$27,IF(BH$2-$F42&lt;=24,2,3),FALSE))*(1+Projection!BJ$16)*(1+IF(BH174&gt;0,'Attrition Modeling'!$N$9,0))),0))</f>
        <v>2333.4555076342504</v>
      </c>
      <c r="BI109" s="799">
        <f>IF(BI$69=$F109+1,IF(Monthly!BE$4=TRUE,0,Monthly!BE$17),IF(BI$69&gt;$F109+1,BH109*(1-IF(BI$69-$F109&lt;=12,SUMIFS('Attrition Modeling'!$D:$D,'Attrition Modeling'!$B:$B,$E109,'Attrition Modeling'!$C:$C,BI$68),VLOOKUP(BI$69-$F109-1,$A$7:$C$161,2,FALSE)*VLOOKUP(BI$1,'Attrition Modeling'!$L$15:$N$27,IF(BI$2-$F42&lt;=24,2,3),FALSE))*(1+Projection!BK$16)*(1+IF(BI174&gt;0,'Attrition Modeling'!$N$9,0))),0))</f>
        <v>2217.4283536417815</v>
      </c>
      <c r="BJ109" s="799">
        <f>IF(BJ$69=$F109+1,IF(Monthly!BF$4=TRUE,0,Monthly!BF$17),IF(BJ$69&gt;$F109+1,BI109*(1-IF(BJ$69-$F109&lt;=12,SUMIFS('Attrition Modeling'!$D:$D,'Attrition Modeling'!$B:$B,$E109,'Attrition Modeling'!$C:$C,BJ$68),VLOOKUP(BJ$69-$F109-1,$A$7:$C$161,2,FALSE)*VLOOKUP(BJ$1,'Attrition Modeling'!$L$15:$N$27,IF(BJ$2-$F42&lt;=24,2,3),FALSE))*(1+Projection!BL$16)*(1+IF(BJ174&gt;0,'Attrition Modeling'!$N$9,0))),0))</f>
        <v>2108.6835887816469</v>
      </c>
      <c r="BK109" s="799">
        <f>IF(BK$69=$F109+1,IF(Monthly!BG$4=TRUE,0,Monthly!BG$17),IF(BK$69&gt;$F109+1,BJ109*(1-IF(BK$69-$F109&lt;=12,SUMIFS('Attrition Modeling'!$D:$D,'Attrition Modeling'!$B:$B,$E109,'Attrition Modeling'!$C:$C,BK$68),VLOOKUP(BK$69-$F109-1,$A$7:$C$161,2,FALSE)*VLOOKUP(BK$1,'Attrition Modeling'!$L$15:$N$27,IF(BK$2-$F42&lt;=24,2,3),FALSE))*(1+Projection!BM$16)*(1+IF(BK174&gt;0,'Attrition Modeling'!$N$9,0))),0))</f>
        <v>2003.8738609533443</v>
      </c>
      <c r="BL109" s="799">
        <f>IF(BL$69=$F109+1,IF(Monthly!BH$4=TRUE,0,Monthly!BH$17),IF(BL$69&gt;$F109+1,BK109*(1-IF(BL$69-$F109&lt;=12,SUMIFS('Attrition Modeling'!$D:$D,'Attrition Modeling'!$B:$B,$E109,'Attrition Modeling'!$C:$C,BL$68),VLOOKUP(BL$69-$F109-1,$A$7:$C$161,2,FALSE)*VLOOKUP(BL$1,'Attrition Modeling'!$L$15:$N$27,IF(BL$2-$F42&lt;=24,2,3),FALSE))*(1+Projection!BN$16)*(1+IF(BL174&gt;0,'Attrition Modeling'!$N$9,0))),0))</f>
        <v>1897.585045861978</v>
      </c>
      <c r="BM109" s="799">
        <f>IF(BM$69=$F109+1,IF(Monthly!BI$4=TRUE,0,Monthly!BI$17),IF(BM$69&gt;$F109+1,BL109*(1-IF(BM$69-$F109&lt;=12,SUMIFS('Attrition Modeling'!$D:$D,'Attrition Modeling'!$B:$B,$E109,'Attrition Modeling'!$C:$C,BM$68),VLOOKUP(BM$69-$F109-1,$A$7:$C$161,2,FALSE)*VLOOKUP(BM$1,'Attrition Modeling'!$L$15:$N$27,IF(BM$2-$F42&lt;=24,2,3),FALSE))*(1+Projection!BO$16)*(1+IF(BM174&gt;0,'Attrition Modeling'!$N$9,0))),0))</f>
        <v>1813.6104441622622</v>
      </c>
      <c r="BN109" s="799">
        <f>IF(BN$69=$F109+1,IF(Monthly!BJ$4=TRUE,0,Monthly!BJ$17),IF(BN$69&gt;$F109+1,BM109*(1-IF(BN$69-$F109&lt;=12,SUMIFS('Attrition Modeling'!$D:$D,'Attrition Modeling'!$B:$B,$E109,'Attrition Modeling'!$C:$C,BN$68),VLOOKUP(BN$69-$F109-1,$A$7:$C$161,2,FALSE)*VLOOKUP(BN$1,'Attrition Modeling'!$L$15:$N$27,IF(BN$2-$F42&lt;=24,2,3),FALSE))*(1+Projection!BP$16)*(1+IF(BN174&gt;0,'Attrition Modeling'!$N$9,0))),0))</f>
        <v>1737.8694881556414</v>
      </c>
      <c r="BO109" s="799">
        <f>IF(BO$69=$F109+1,IF(Monthly!BK$4=TRUE,0,Monthly!BK$17),IF(BO$69&gt;$F109+1,BN109*(1-IF(BO$69-$F109&lt;=12,SUMIFS('Attrition Modeling'!$D:$D,'Attrition Modeling'!$B:$B,$E109,'Attrition Modeling'!$C:$C,BO$68),VLOOKUP(BO$69-$F109-1,$A$7:$C$161,2,FALSE)*VLOOKUP(BO$1,'Attrition Modeling'!$L$15:$N$27,IF(BO$2-$F42&lt;=24,2,3),FALSE))*(1+Projection!BV$16)*(1+IF(BO174&gt;0,'Attrition Modeling'!$N$9,0))),0))</f>
        <v>1667.2810228891401</v>
      </c>
      <c r="BP109" s="799">
        <f>IF(BP$69=$F109+1,IF(Monthly!BL$4=TRUE,0,Monthly!BL$17),IF(BP$69&gt;$F109+1,BO109*(1-IF(BP$69-$F109&lt;=12,SUMIFS('Attrition Modeling'!$D:$D,'Attrition Modeling'!$B:$B,$E109,'Attrition Modeling'!$C:$C,BP$68),VLOOKUP(BP$69-$F109-1,$A$7:$C$161,2,FALSE)*VLOOKUP(BP$1,'Attrition Modeling'!$L$15:$N$27,IF(BP$2-$F42&lt;=24,2,3),FALSE))*(1+Projection!BW$16)*(1+IF(BP174&gt;0,'Attrition Modeling'!$N$9,0))),0))</f>
        <v>1600.5524534063086</v>
      </c>
      <c r="BQ109" s="799">
        <f>IF(BQ$69=$F109+1,IF(Monthly!BM$4=TRUE,0,Monthly!BM$17),IF(BQ$69&gt;$F109+1,BP109*(1-IF(BQ$69-$F109&lt;=12,SUMIFS('Attrition Modeling'!$D:$D,'Attrition Modeling'!$B:$B,$E109,'Attrition Modeling'!$C:$C,BQ$68),VLOOKUP(BQ$69-$F109-1,$A$7:$C$161,2,FALSE)*VLOOKUP(BQ$1,'Attrition Modeling'!$L$15:$N$27,IF(BQ$2-$F42&lt;=24,2,3),FALSE))*(1+Projection!BX$16)*(1+IF(BQ174&gt;0,'Attrition Modeling'!$N$9,0))),0))</f>
        <v>1543.5910215528179</v>
      </c>
      <c r="BR109" s="799">
        <f>IF(BR$69=$F109+1,IF(Monthly!BN$4=TRUE,0,Monthly!BN$17),IF(BR$69&gt;$F109+1,BQ109*(1-IF(BR$69-$F109&lt;=12,SUMIFS('Attrition Modeling'!$D:$D,'Attrition Modeling'!$B:$B,$E109,'Attrition Modeling'!$C:$C,BR$68),VLOOKUP(BR$69-$F109-1,$A$7:$C$161,2,FALSE)*VLOOKUP(BR$1,'Attrition Modeling'!$L$15:$N$27,IF(BR$2-$F42&lt;=24,2,3),FALSE))*(1+Projection!BY$16)*(1+IF(BR174&gt;0,'Attrition Modeling'!$N$9,0))),0))</f>
        <v>1484.5829909910065</v>
      </c>
      <c r="BS109" s="799">
        <f>IF(BS$69=$F109+1,IF(Monthly!BO$4=TRUE,0,Monthly!BO$17),IF(BS$69&gt;$F109+1,BR109*(1-IF(BS$69-$F109&lt;=12,SUMIFS('Attrition Modeling'!$D:$D,'Attrition Modeling'!$B:$B,$E109,'Attrition Modeling'!$C:$C,BS$68),VLOOKUP(BS$69-$F109-1,$A$7:$C$161,2,FALSE)*VLOOKUP(BS$1,'Attrition Modeling'!$L$15:$N$27,IF(BS$2-$F42&lt;=24,2,3),FALSE))*(1+Projection!BZ$16)*(1+IF(BS174&gt;0,'Attrition Modeling'!$N$9,0))),0))</f>
        <v>1444.8889733496437</v>
      </c>
      <c r="BT109" s="799">
        <f>IF(BT$69=$F109+1,IF(Monthly!#REF!=TRUE,0,Monthly!#REF!),IF(BT$69&gt;$F109+1,BS109*(1-IF(BT$69-$F109&lt;=12,SUMIFS('Attrition Modeling'!$D:$D,'Attrition Modeling'!$B:$B,$E109,'Attrition Modeling'!$C:$C,BT$68),VLOOKUP(BT$69-$F109-1,$A$7:$C$161,2,FALSE)*VLOOKUP(BT$1,'Attrition Modeling'!$L$15:$N$27,IF(BT$2-$F42&lt;=24,2,3),FALSE))*(1+Projection!CA$16)*(1+IF(BT174&gt;0,'Attrition Modeling'!$N$9,0))),0))</f>
        <v>1398.8987521524271</v>
      </c>
      <c r="BU109" s="799">
        <f>IF(BU$69=$F109+1,IF(Monthly!#REF!=TRUE,0,Monthly!#REF!),IF(BU$69&gt;$F109+1,BT109*(1-IF(BU$69-$F109&lt;=12,SUMIFS('Attrition Modeling'!$D:$D,'Attrition Modeling'!$B:$B,$E109,'Attrition Modeling'!$C:$C,BU$68),VLOOKUP(BU$69-$F109-1,$A$7:$C$161,2,FALSE)*VLOOKUP(BU$1,'Attrition Modeling'!$L$15:$N$27,IF(BU$2-$F42&lt;=24,2,3),FALSE))*(1+Projection!CB$16)*(1+IF(BU174&gt;0,'Attrition Modeling'!$N$9,0))),0))</f>
        <v>1348.7691241070102</v>
      </c>
    </row>
    <row r="110" spans="1:73" ht="14.25" customHeight="1" x14ac:dyDescent="0.2">
      <c r="A110" s="9">
        <v>103</v>
      </c>
      <c r="B110" s="25">
        <f>MAX('Attrition Modeling'!H107,$C$3)*(1-Summary!$C$20)</f>
        <v>0.02</v>
      </c>
      <c r="C110" s="24" t="e">
        <f t="shared" si="4"/>
        <v>#DIV/0!</v>
      </c>
      <c r="E110" s="11">
        <f t="shared" si="9"/>
        <v>4</v>
      </c>
      <c r="F110" s="11">
        <f t="shared" si="10"/>
        <v>40</v>
      </c>
      <c r="G110" s="799"/>
      <c r="H110" s="799">
        <f>IF(H$69=$F110+1,IF(Monthly!D$4=TRUE,0,Monthly!D$17),IF(H$69&gt;$F110+1,G110*(1-IF(H$69-$F110&lt;=12,SUMIFS('Attrition Modeling'!$D:$D,'Attrition Modeling'!$B:$B,$E110,'Attrition Modeling'!$C:$C,H$68),VLOOKUP(H$69-$F110-1,$A$7:$C$161,2,FALSE)*VLOOKUP(H$1,'Attrition Modeling'!$L$15:$N$27,IF(H$2-$F43&lt;=24,2,3),FALSE))*(1+Projection!J$16)*(1+IF(H175&gt;0,'Attrition Modeling'!$N$9,0))),0))</f>
        <v>0</v>
      </c>
      <c r="I110" s="799">
        <f>IF(I$69=$F110+1,IF(Monthly!E$4=TRUE,0,Monthly!E$17),IF(I$69&gt;$F110+1,H110*(1-IF(I$69-$F110&lt;=12,SUMIFS('Attrition Modeling'!$D:$D,'Attrition Modeling'!$B:$B,$E110,'Attrition Modeling'!$C:$C,I$68),VLOOKUP(I$69-$F110-1,$A$7:$C$161,2,FALSE)*VLOOKUP(I$1,'Attrition Modeling'!$L$15:$N$27,IF(I$2-$F43&lt;=24,2,3),FALSE))*(1+Projection!K$16)*(1+IF(I175&gt;0,'Attrition Modeling'!$N$9,0))),0))</f>
        <v>0</v>
      </c>
      <c r="J110" s="799">
        <f>IF(J$69=$F110+1,IF(Monthly!F$4=TRUE,0,Monthly!F$17),IF(J$69&gt;$F110+1,I110*(1-IF(J$69-$F110&lt;=12,SUMIFS('Attrition Modeling'!$D:$D,'Attrition Modeling'!$B:$B,$E110,'Attrition Modeling'!$C:$C,J$68),VLOOKUP(J$69-$F110-1,$A$7:$C$161,2,FALSE)*VLOOKUP(J$1,'Attrition Modeling'!$L$15:$N$27,IF(J$2-$F43&lt;=24,2,3),FALSE))*(1+Projection!L$16)*(1+IF(J175&gt;0,'Attrition Modeling'!$N$9,0))),0))</f>
        <v>0</v>
      </c>
      <c r="K110" s="799">
        <f>IF(K$69=$F110+1,IF(Monthly!G$4=TRUE,0,Monthly!G$17),IF(K$69&gt;$F110+1,J110*(1-IF(K$69-$F110&lt;=12,SUMIFS('Attrition Modeling'!$D:$D,'Attrition Modeling'!$B:$B,$E110,'Attrition Modeling'!$C:$C,K$68),VLOOKUP(K$69-$F110-1,$A$7:$C$161,2,FALSE)*VLOOKUP(K$1,'Attrition Modeling'!$L$15:$N$27,IF(K$2-$F43&lt;=24,2,3),FALSE))*(1+Projection!M$16)*(1+IF(K175&gt;0,'Attrition Modeling'!$N$9,0))),0))</f>
        <v>0</v>
      </c>
      <c r="L110" s="799">
        <f>IF(L$69=$F110+1,IF(Monthly!H$4=TRUE,0,Monthly!H$17),IF(L$69&gt;$F110+1,K110*(1-IF(L$69-$F110&lt;=12,SUMIFS('Attrition Modeling'!$D:$D,'Attrition Modeling'!$B:$B,$E110,'Attrition Modeling'!$C:$C,L$68),VLOOKUP(L$69-$F110-1,$A$7:$C$161,2,FALSE)*VLOOKUP(L$1,'Attrition Modeling'!$L$15:$N$27,IF(L$2-$F43&lt;=24,2,3),FALSE))*(1+Projection!N$16)*(1+IF(L175&gt;0,'Attrition Modeling'!$N$9,0))),0))</f>
        <v>0</v>
      </c>
      <c r="M110" s="799">
        <f>IF(M$69=$F110+1,IF(Monthly!I$4=TRUE,0,Monthly!I$17),IF(M$69&gt;$F110+1,L110*(1-IF(M$69-$F110&lt;=12,SUMIFS('Attrition Modeling'!$D:$D,'Attrition Modeling'!$B:$B,$E110,'Attrition Modeling'!$C:$C,M$68),VLOOKUP(M$69-$F110-1,$A$7:$C$161,2,FALSE)*VLOOKUP(M$1,'Attrition Modeling'!$L$15:$N$27,IF(M$2-$F43&lt;=24,2,3),FALSE))*(1+Projection!O$16)*(1+IF(M175&gt;0,'Attrition Modeling'!$N$9,0))),0))</f>
        <v>0</v>
      </c>
      <c r="N110" s="799">
        <f>IF(N$69=$F110+1,IF(Monthly!J$4=TRUE,0,Monthly!J$17),IF(N$69&gt;$F110+1,M110*(1-IF(N$69-$F110&lt;=12,SUMIFS('Attrition Modeling'!$D:$D,'Attrition Modeling'!$B:$B,$E110,'Attrition Modeling'!$C:$C,N$68),VLOOKUP(N$69-$F110-1,$A$7:$C$161,2,FALSE)*VLOOKUP(N$1,'Attrition Modeling'!$L$15:$N$27,IF(N$2-$F43&lt;=24,2,3),FALSE))*(1+Projection!P$16)*(1+IF(N175&gt;0,'Attrition Modeling'!$N$9,0))),0))</f>
        <v>0</v>
      </c>
      <c r="O110" s="799">
        <f>IF(O$69=$F110+1,IF(Monthly!K$4=TRUE,0,Monthly!K$17),IF(O$69&gt;$F110+1,N110*(1-IF(O$69-$F110&lt;=12,SUMIFS('Attrition Modeling'!$D:$D,'Attrition Modeling'!$B:$B,$E110,'Attrition Modeling'!$C:$C,O$68),VLOOKUP(O$69-$F110-1,$A$7:$C$161,2,FALSE)*VLOOKUP(O$1,'Attrition Modeling'!$L$15:$N$27,IF(O$2-$F43&lt;=24,2,3),FALSE))*(1+Projection!Q$16)*(1+IF(O175&gt;0,'Attrition Modeling'!$N$9,0))),0))</f>
        <v>0</v>
      </c>
      <c r="P110" s="799">
        <f>IF(P$69=$F110+1,IF(Monthly!L$4=TRUE,0,Monthly!L$17),IF(P$69&gt;$F110+1,O110*(1-IF(P$69-$F110&lt;=12,SUMIFS('Attrition Modeling'!$D:$D,'Attrition Modeling'!$B:$B,$E110,'Attrition Modeling'!$C:$C,P$68),VLOOKUP(P$69-$F110-1,$A$7:$C$161,2,FALSE)*VLOOKUP(P$1,'Attrition Modeling'!$L$15:$N$27,IF(P$2-$F43&lt;=24,2,3),FALSE))*(1+Projection!R$16)*(1+IF(P175&gt;0,'Attrition Modeling'!$N$9,0))),0))</f>
        <v>0</v>
      </c>
      <c r="Q110" s="799">
        <f>IF(Q$69=$F110+1,IF(Monthly!M$4=TRUE,0,Monthly!M$17),IF(Q$69&gt;$F110+1,P110*(1-IF(Q$69-$F110&lt;=12,SUMIFS('Attrition Modeling'!$D:$D,'Attrition Modeling'!$B:$B,$E110,'Attrition Modeling'!$C:$C,Q$68),VLOOKUP(Q$69-$F110-1,$A$7:$C$161,2,FALSE)*VLOOKUP(Q$1,'Attrition Modeling'!$L$15:$N$27,IF(Q$2-$F43&lt;=24,2,3),FALSE))*(1+Projection!S$16)*(1+IF(Q175&gt;0,'Attrition Modeling'!$N$9,0))),0))</f>
        <v>0</v>
      </c>
      <c r="R110" s="799">
        <f>IF(R$69=$F110+1,IF(Monthly!N$4=TRUE,0,Monthly!N$17),IF(R$69&gt;$F110+1,Q110*(1-IF(R$69-$F110&lt;=12,SUMIFS('Attrition Modeling'!$D:$D,'Attrition Modeling'!$B:$B,$E110,'Attrition Modeling'!$C:$C,R$68),VLOOKUP(R$69-$F110-1,$A$7:$C$161,2,FALSE)*VLOOKUP(R$1,'Attrition Modeling'!$L$15:$N$27,IF(R$2-$F43&lt;=24,2,3),FALSE))*(1+Projection!T$16)*(1+IF(R175&gt;0,'Attrition Modeling'!$N$9,0))),0))</f>
        <v>0</v>
      </c>
      <c r="S110" s="799">
        <f>IF(S$69=$F110+1,IF(Monthly!O$4=TRUE,0,Monthly!O$17),IF(S$69&gt;$F110+1,R110*(1-IF(S$69-$F110&lt;=12,SUMIFS('Attrition Modeling'!$D:$D,'Attrition Modeling'!$B:$B,$E110,'Attrition Modeling'!$C:$C,S$68),VLOOKUP(S$69-$F110-1,$A$7:$C$161,2,FALSE)*VLOOKUP(S$1,'Attrition Modeling'!$L$15:$N$27,IF(S$2-$F43&lt;=24,2,3),FALSE))*(1+Projection!U$16)*(1+IF(S175&gt;0,'Attrition Modeling'!$N$9,0))),0))</f>
        <v>0</v>
      </c>
      <c r="T110" s="799">
        <f>IF(T$69=$F110+1,IF(Monthly!P$4=TRUE,0,Monthly!P$17),IF(T$69&gt;$F110+1,S110*(1-IF(T$69-$F110&lt;=12,SUMIFS('Attrition Modeling'!$D:$D,'Attrition Modeling'!$B:$B,$E110,'Attrition Modeling'!$C:$C,T$68),VLOOKUP(T$69-$F110-1,$A$7:$C$161,2,FALSE)*VLOOKUP(T$1,'Attrition Modeling'!$L$15:$N$27,IF(T$2-$F43&lt;=24,2,3),FALSE))*(1+Projection!V$16)*(1+IF(T175&gt;0,'Attrition Modeling'!$N$9,0))),0))</f>
        <v>0</v>
      </c>
      <c r="U110" s="799">
        <f>IF(U$69=$F110+1,IF(Monthly!Q$4=TRUE,0,Monthly!Q$17),IF(U$69&gt;$F110+1,T110*(1-IF(U$69-$F110&lt;=12,SUMIFS('Attrition Modeling'!$D:$D,'Attrition Modeling'!$B:$B,$E110,'Attrition Modeling'!$C:$C,U$68),VLOOKUP(U$69-$F110-1,$A$7:$C$161,2,FALSE)*VLOOKUP(U$1,'Attrition Modeling'!$L$15:$N$27,IF(U$2-$F43&lt;=24,2,3),FALSE))*(1+Projection!W$16)*(1+IF(U175&gt;0,'Attrition Modeling'!$N$9,0))),0))</f>
        <v>0</v>
      </c>
      <c r="V110" s="799">
        <f>IF(V$69=$F110+1,IF(Monthly!R$4=TRUE,0,Monthly!R$17),IF(V$69&gt;$F110+1,U110*(1-IF(V$69-$F110&lt;=12,SUMIFS('Attrition Modeling'!$D:$D,'Attrition Modeling'!$B:$B,$E110,'Attrition Modeling'!$C:$C,V$68),VLOOKUP(V$69-$F110-1,$A$7:$C$161,2,FALSE)*VLOOKUP(V$1,'Attrition Modeling'!$L$15:$N$27,IF(V$2-$F43&lt;=24,2,3),FALSE))*(1+Projection!X$16)*(1+IF(V175&gt;0,'Attrition Modeling'!$N$9,0))),0))</f>
        <v>0</v>
      </c>
      <c r="W110" s="799">
        <f>IF(W$69=$F110+1,IF(Monthly!S$4=TRUE,0,Monthly!S$17),IF(W$69&gt;$F110+1,V110*(1-IF(W$69-$F110&lt;=12,SUMIFS('Attrition Modeling'!$D:$D,'Attrition Modeling'!$B:$B,$E110,'Attrition Modeling'!$C:$C,W$68),VLOOKUP(W$69-$F110-1,$A$7:$C$161,2,FALSE)*VLOOKUP(W$1,'Attrition Modeling'!$L$15:$N$27,IF(W$2-$F43&lt;=24,2,3),FALSE))*(1+Projection!Y$16)*(1+IF(W175&gt;0,'Attrition Modeling'!$N$9,0))),0))</f>
        <v>0</v>
      </c>
      <c r="X110" s="799">
        <f>IF(X$69=$F110+1,IF(Monthly!T$4=TRUE,0,Monthly!T$17),IF(X$69&gt;$F110+1,W110*(1-IF(X$69-$F110&lt;=12,SUMIFS('Attrition Modeling'!$D:$D,'Attrition Modeling'!$B:$B,$E110,'Attrition Modeling'!$C:$C,X$68),VLOOKUP(X$69-$F110-1,$A$7:$C$161,2,FALSE)*VLOOKUP(X$1,'Attrition Modeling'!$L$15:$N$27,IF(X$2-$F43&lt;=24,2,3),FALSE))*(1+Projection!Z$16)*(1+IF(X175&gt;0,'Attrition Modeling'!$N$9,0))),0))</f>
        <v>0</v>
      </c>
      <c r="Y110" s="799">
        <f>IF(Y$69=$F110+1,IF(Monthly!U$4=TRUE,0,Monthly!U$17),IF(Y$69&gt;$F110+1,X110*(1-IF(Y$69-$F110&lt;=12,SUMIFS('Attrition Modeling'!$D:$D,'Attrition Modeling'!$B:$B,$E110,'Attrition Modeling'!$C:$C,Y$68),VLOOKUP(Y$69-$F110-1,$A$7:$C$161,2,FALSE)*VLOOKUP(Y$1,'Attrition Modeling'!$L$15:$N$27,IF(Y$2-$F43&lt;=24,2,3),FALSE))*(1+Projection!AA$16)*(1+IF(Y175&gt;0,'Attrition Modeling'!$N$9,0))),0))</f>
        <v>0</v>
      </c>
      <c r="Z110" s="799">
        <f>IF(Z$69=$F110+1,IF(Monthly!V$4=TRUE,0,Monthly!V$17),IF(Z$69&gt;$F110+1,Y110*(1-IF(Z$69-$F110&lt;=12,SUMIFS('Attrition Modeling'!$D:$D,'Attrition Modeling'!$B:$B,$E110,'Attrition Modeling'!$C:$C,Z$68),VLOOKUP(Z$69-$F110-1,$A$7:$C$161,2,FALSE)*VLOOKUP(Z$1,'Attrition Modeling'!$L$15:$N$27,IF(Z$2-$F43&lt;=24,2,3),FALSE))*(1+Projection!AB$16)*(1+IF(Z175&gt;0,'Attrition Modeling'!$N$9,0))),0))</f>
        <v>0</v>
      </c>
      <c r="AA110" s="799">
        <f>IF(AA$69=$F110+1,IF(Monthly!W$4=TRUE,0,Monthly!W$17),IF(AA$69&gt;$F110+1,Z110*(1-IF(AA$69-$F110&lt;=12,SUMIFS('Attrition Modeling'!$D:$D,'Attrition Modeling'!$B:$B,$E110,'Attrition Modeling'!$C:$C,AA$68),VLOOKUP(AA$69-$F110-1,$A$7:$C$161,2,FALSE)*VLOOKUP(AA$1,'Attrition Modeling'!$L$15:$N$27,IF(AA$2-$F43&lt;=24,2,3),FALSE))*(1+Projection!AC$16)*(1+IF(AA175&gt;0,'Attrition Modeling'!$N$9,0))),0))</f>
        <v>0</v>
      </c>
      <c r="AB110" s="799">
        <f>IF(AB$69=$F110+1,IF(Monthly!X$4=TRUE,0,Monthly!X$17),IF(AB$69&gt;$F110+1,AA110*(1-IF(AB$69-$F110&lt;=12,SUMIFS('Attrition Modeling'!$D:$D,'Attrition Modeling'!$B:$B,$E110,'Attrition Modeling'!$C:$C,AB$68),VLOOKUP(AB$69-$F110-1,$A$7:$C$161,2,FALSE)*VLOOKUP(AB$1,'Attrition Modeling'!$L$15:$N$27,IF(AB$2-$F43&lt;=24,2,3),FALSE))*(1+Projection!AD$16)*(1+IF(AB175&gt;0,'Attrition Modeling'!$N$9,0))),0))</f>
        <v>0</v>
      </c>
      <c r="AC110" s="799">
        <f>IF(AC$69=$F110+1,IF(Monthly!Y$4=TRUE,0,Monthly!Y$17),IF(AC$69&gt;$F110+1,AB110*(1-IF(AC$69-$F110&lt;=12,SUMIFS('Attrition Modeling'!$D:$D,'Attrition Modeling'!$B:$B,$E110,'Attrition Modeling'!$C:$C,AC$68),VLOOKUP(AC$69-$F110-1,$A$7:$C$161,2,FALSE)*VLOOKUP(AC$1,'Attrition Modeling'!$L$15:$N$27,IF(AC$2-$F43&lt;=24,2,3),FALSE))*(1+Projection!AE$16)*(1+IF(AC175&gt;0,'Attrition Modeling'!$N$9,0))),0))</f>
        <v>0</v>
      </c>
      <c r="AD110" s="799">
        <f>IF(AD$69=$F110+1,IF(Monthly!Z$4=TRUE,0,Monthly!Z$17),IF(AD$69&gt;$F110+1,AC110*(1-IF(AD$69-$F110&lt;=12,SUMIFS('Attrition Modeling'!$D:$D,'Attrition Modeling'!$B:$B,$E110,'Attrition Modeling'!$C:$C,AD$68),VLOOKUP(AD$69-$F110-1,$A$7:$C$161,2,FALSE)*VLOOKUP(AD$1,'Attrition Modeling'!$L$15:$N$27,IF(AD$2-$F43&lt;=24,2,3),FALSE))*(1+Projection!AF$16)*(1+IF(AD175&gt;0,'Attrition Modeling'!$N$9,0))),0))</f>
        <v>0</v>
      </c>
      <c r="AE110" s="799">
        <f>IF(AE$69=$F110+1,IF(Monthly!AA$4=TRUE,0,Monthly!AA$17),IF(AE$69&gt;$F110+1,AD110*(1-IF(AE$69-$F110&lt;=12,SUMIFS('Attrition Modeling'!$D:$D,'Attrition Modeling'!$B:$B,$E110,'Attrition Modeling'!$C:$C,AE$68),VLOOKUP(AE$69-$F110-1,$A$7:$C$161,2,FALSE)*VLOOKUP(AE$1,'Attrition Modeling'!$L$15:$N$27,IF(AE$2-$F43&lt;=24,2,3),FALSE))*(1+Projection!AG$16)*(1+IF(AE175&gt;0,'Attrition Modeling'!$N$9,0))),0))</f>
        <v>0</v>
      </c>
      <c r="AF110" s="799">
        <f>IF(AF$69=$F110+1,IF(Monthly!AB$4=TRUE,0,Monthly!AB$17),IF(AF$69&gt;$F110+1,AE110*(1-IF(AF$69-$F110&lt;=12,SUMIFS('Attrition Modeling'!$D:$D,'Attrition Modeling'!$B:$B,$E110,'Attrition Modeling'!$C:$C,AF$68),VLOOKUP(AF$69-$F110-1,$A$7:$C$161,2,FALSE)*VLOOKUP(AF$1,'Attrition Modeling'!$L$15:$N$27,IF(AF$2-$F43&lt;=24,2,3),FALSE))*(1+Projection!AH$16)*(1+IF(AF175&gt;0,'Attrition Modeling'!$N$9,0))),0))</f>
        <v>0</v>
      </c>
      <c r="AG110" s="799">
        <f>IF(AG$69=$F110+1,IF(Monthly!AC$4=TRUE,0,Monthly!AC$17),IF(AG$69&gt;$F110+1,AF110*(1-IF(AG$69-$F110&lt;=12,SUMIFS('Attrition Modeling'!$D:$D,'Attrition Modeling'!$B:$B,$E110,'Attrition Modeling'!$C:$C,AG$68),VLOOKUP(AG$69-$F110-1,$A$7:$C$161,2,FALSE)*VLOOKUP(AG$1,'Attrition Modeling'!$L$15:$N$27,IF(AG$2-$F43&lt;=24,2,3),FALSE))*(1+Projection!AI$16)*(1+IF(AG175&gt;0,'Attrition Modeling'!$N$9,0))),0))</f>
        <v>0</v>
      </c>
      <c r="AH110" s="799">
        <f>IF(AH$69=$F110+1,IF(Monthly!AD$4=TRUE,0,Monthly!AD$17),IF(AH$69&gt;$F110+1,AG110*(1-IF(AH$69-$F110&lt;=12,SUMIFS('Attrition Modeling'!$D:$D,'Attrition Modeling'!$B:$B,$E110,'Attrition Modeling'!$C:$C,AH$68),VLOOKUP(AH$69-$F110-1,$A$7:$C$161,2,FALSE)*VLOOKUP(AH$1,'Attrition Modeling'!$L$15:$N$27,IF(AH$2-$F43&lt;=24,2,3),FALSE))*(1+Projection!AJ$16)*(1+IF(AH175&gt;0,'Attrition Modeling'!$N$9,0))),0))</f>
        <v>0</v>
      </c>
      <c r="AI110" s="799">
        <f>IF(AI$69=$F110+1,IF(Monthly!AE$4=TRUE,0,Monthly!AE$17),IF(AI$69&gt;$F110+1,AH110*(1-IF(AI$69-$F110&lt;=12,SUMIFS('Attrition Modeling'!$D:$D,'Attrition Modeling'!$B:$B,$E110,'Attrition Modeling'!$C:$C,AI$68),VLOOKUP(AI$69-$F110-1,$A$7:$C$161,2,FALSE)*VLOOKUP(AI$1,'Attrition Modeling'!$L$15:$N$27,IF(AI$2-$F43&lt;=24,2,3),FALSE))*(1+Projection!AK$16)*(1+IF(AI175&gt;0,'Attrition Modeling'!$N$9,0))),0))</f>
        <v>0</v>
      </c>
      <c r="AJ110" s="799">
        <f>IF(AJ$69=$F110+1,IF(Monthly!AF$4=TRUE,0,Monthly!AF$17),IF(AJ$69&gt;$F110+1,AI110*(1-IF(AJ$69-$F110&lt;=12,SUMIFS('Attrition Modeling'!$D:$D,'Attrition Modeling'!$B:$B,$E110,'Attrition Modeling'!$C:$C,AJ$68),VLOOKUP(AJ$69-$F110-1,$A$7:$C$161,2,FALSE)*VLOOKUP(AJ$1,'Attrition Modeling'!$L$15:$N$27,IF(AJ$2-$F43&lt;=24,2,3),FALSE))*(1+Projection!AL$16)*(1+IF(AJ175&gt;0,'Attrition Modeling'!$N$9,0))),0))</f>
        <v>0</v>
      </c>
      <c r="AK110" s="799">
        <f>IF(AK$69=$F110+1,IF(Monthly!AG$4=TRUE,0,Monthly!AG$17),IF(AK$69&gt;$F110+1,AJ110*(1-IF(AK$69-$F110&lt;=12,SUMIFS('Attrition Modeling'!$D:$D,'Attrition Modeling'!$B:$B,$E110,'Attrition Modeling'!$C:$C,AK$68),VLOOKUP(AK$69-$F110-1,$A$7:$C$161,2,FALSE)*VLOOKUP(AK$1,'Attrition Modeling'!$L$15:$N$27,IF(AK$2-$F43&lt;=24,2,3),FALSE))*(1+Projection!AM$16)*(1+IF(AK175&gt;0,'Attrition Modeling'!$N$9,0))),0))</f>
        <v>0</v>
      </c>
      <c r="AL110" s="799">
        <f>IF(AL$69=$F110+1,IF(Monthly!AH$4=TRUE,0,Monthly!AH$17),IF(AL$69&gt;$F110+1,AK110*(1-IF(AL$69-$F110&lt;=12,SUMIFS('Attrition Modeling'!$D:$D,'Attrition Modeling'!$B:$B,$E110,'Attrition Modeling'!$C:$C,AL$68),VLOOKUP(AL$69-$F110-1,$A$7:$C$161,2,FALSE)*VLOOKUP(AL$1,'Attrition Modeling'!$L$15:$N$27,IF(AL$2-$F43&lt;=24,2,3),FALSE))*(1+Projection!AN$16)*(1+IF(AL175&gt;0,'Attrition Modeling'!$N$9,0))),0))</f>
        <v>0</v>
      </c>
      <c r="AM110" s="799">
        <f>IF(AM$69=$F110+1,IF(Monthly!AI$4=TRUE,0,Monthly!AI$17),IF(AM$69&gt;$F110+1,AL110*(1-IF(AM$69-$F110&lt;=12,SUMIFS('Attrition Modeling'!$D:$D,'Attrition Modeling'!$B:$B,$E110,'Attrition Modeling'!$C:$C,AM$68),VLOOKUP(AM$69-$F110-1,$A$7:$C$161,2,FALSE)*VLOOKUP(AM$1,'Attrition Modeling'!$L$15:$N$27,IF(AM$2-$F43&lt;=24,2,3),FALSE))*(1+Projection!AO$16)*(1+IF(AM175&gt;0,'Attrition Modeling'!$N$9,0))),0))</f>
        <v>0</v>
      </c>
      <c r="AN110" s="799">
        <f>IF(AN$69=$F110+1,IF(Monthly!AJ$4=TRUE,0,Monthly!AJ$17),IF(AN$69&gt;$F110+1,AM110*(1-IF(AN$69-$F110&lt;=12,SUMIFS('Attrition Modeling'!$D:$D,'Attrition Modeling'!$B:$B,$E110,'Attrition Modeling'!$C:$C,AN$68),VLOOKUP(AN$69-$F110-1,$A$7:$C$161,2,FALSE)*VLOOKUP(AN$1,'Attrition Modeling'!$L$15:$N$27,IF(AN$2-$F43&lt;=24,2,3),FALSE))*(1+Projection!AP$16)*(1+IF(AN175&gt;0,'Attrition Modeling'!$N$9,0))),0))</f>
        <v>0</v>
      </c>
      <c r="AO110" s="799">
        <f>IF(AO$69=$F110+1,IF(Monthly!AK$4=TRUE,0,Monthly!AK$17),IF(AO$69&gt;$F110+1,AN110*(1-IF(AO$69-$F110&lt;=12,SUMIFS('Attrition Modeling'!$D:$D,'Attrition Modeling'!$B:$B,$E110,'Attrition Modeling'!$C:$C,AO$68),VLOOKUP(AO$69-$F110-1,$A$7:$C$161,2,FALSE)*VLOOKUP(AO$1,'Attrition Modeling'!$L$15:$N$27,IF(AO$2-$F43&lt;=24,2,3),FALSE))*(1+Projection!AQ$16)*(1+IF(AO175&gt;0,'Attrition Modeling'!$N$9,0))),0))</f>
        <v>0</v>
      </c>
      <c r="AP110" s="799">
        <f>IF(AP$69=$F110+1,IF(Monthly!AL$4=TRUE,0,Monthly!AL$17),IF(AP$69&gt;$F110+1,AO110*(1-IF(AP$69-$F110&lt;=12,SUMIFS('Attrition Modeling'!$D:$D,'Attrition Modeling'!$B:$B,$E110,'Attrition Modeling'!$C:$C,AP$68),VLOOKUP(AP$69-$F110-1,$A$7:$C$161,2,FALSE)*VLOOKUP(AP$1,'Attrition Modeling'!$L$15:$N$27,IF(AP$2-$F43&lt;=24,2,3),FALSE))*(1+Projection!AR$16)*(1+IF(AP175&gt;0,'Attrition Modeling'!$N$9,0))),0))</f>
        <v>0</v>
      </c>
      <c r="AQ110" s="799">
        <f>IF(AQ$69=$F110+1,IF(Monthly!AM$4=TRUE,0,Monthly!AM$17),IF(AQ$69&gt;$F110+1,AP110*(1-IF(AQ$69-$F110&lt;=12,SUMIFS('Attrition Modeling'!$D:$D,'Attrition Modeling'!$B:$B,$E110,'Attrition Modeling'!$C:$C,AQ$68),VLOOKUP(AQ$69-$F110-1,$A$7:$C$161,2,FALSE)*VLOOKUP(AQ$1,'Attrition Modeling'!$L$15:$N$27,IF(AQ$2-$F43&lt;=24,2,3),FALSE))*(1+Projection!AS$16)*(1+IF(AQ175&gt;0,'Attrition Modeling'!$N$9,0))),0))</f>
        <v>0</v>
      </c>
      <c r="AR110" s="799">
        <f>IF(AR$69=$F110+1,IF(Monthly!AN$4=TRUE,0,Monthly!AN$17),IF(AR$69&gt;$F110+1,AQ110*(1-IF(AR$69-$F110&lt;=12,SUMIFS('Attrition Modeling'!$D:$D,'Attrition Modeling'!$B:$B,$E110,'Attrition Modeling'!$C:$C,AR$68),VLOOKUP(AR$69-$F110-1,$A$7:$C$161,2,FALSE)*VLOOKUP(AR$1,'Attrition Modeling'!$L$15:$N$27,IF(AR$2-$F43&lt;=24,2,3),FALSE))*(1+Projection!AT$16)*(1+IF(AR175&gt;0,'Attrition Modeling'!$N$9,0))),0))</f>
        <v>0</v>
      </c>
      <c r="AS110" s="799">
        <f>IF(AS$69=$F110+1,IF(Monthly!AO$4=TRUE,0,Monthly!AO$17),IF(AS$69&gt;$F110+1,AR110*(1-IF(AS$69-$F110&lt;=12,SUMIFS('Attrition Modeling'!$D:$D,'Attrition Modeling'!$B:$B,$E110,'Attrition Modeling'!$C:$C,AS$68),VLOOKUP(AS$69-$F110-1,$A$7:$C$161,2,FALSE)*VLOOKUP(AS$1,'Attrition Modeling'!$L$15:$N$27,IF(AS$2-$F43&lt;=24,2,3),FALSE))*(1+Projection!AU$16)*(1+IF(AS175&gt;0,'Attrition Modeling'!$N$9,0))),0))</f>
        <v>0</v>
      </c>
      <c r="AT110" s="799">
        <f>IF(AT$69=$F110+1,IF(Monthly!AP$4=TRUE,0,Monthly!AP$17),IF(AT$69&gt;$F110+1,AS110*(1-IF(AT$69-$F110&lt;=12,SUMIFS('Attrition Modeling'!$D:$D,'Attrition Modeling'!$B:$B,$E110,'Attrition Modeling'!$C:$C,AT$68),VLOOKUP(AT$69-$F110-1,$A$7:$C$161,2,FALSE)*VLOOKUP(AT$1,'Attrition Modeling'!$L$15:$N$27,IF(AT$2-$F43&lt;=24,2,3),FALSE))*(1+Projection!AV$16)*(1+IF(AT175&gt;0,'Attrition Modeling'!$N$9,0))),0))</f>
        <v>0</v>
      </c>
      <c r="AU110" s="799">
        <f>IF(AU$69=$F110+1,IF(Monthly!AQ$4=TRUE,0,Monthly!AQ$17),IF(AU$69&gt;$F110+1,AT110*(1-IF(AU$69-$F110&lt;=12,SUMIFS('Attrition Modeling'!$D:$D,'Attrition Modeling'!$B:$B,$E110,'Attrition Modeling'!$C:$C,AU$68),VLOOKUP(AU$69-$F110-1,$A$7:$C$161,2,FALSE)*VLOOKUP(AU$1,'Attrition Modeling'!$L$15:$N$27,IF(AU$2-$F43&lt;=24,2,3),FALSE))*(1+Projection!AW$16)*(1+IF(AU175&gt;0,'Attrition Modeling'!$N$9,0))),0))</f>
        <v>0</v>
      </c>
      <c r="AV110" s="799">
        <f>IF(AV$69=$F110+1,IF(Monthly!AR$4=TRUE,0,Monthly!AR$17),IF(AV$69&gt;$F110+1,AU110*(1-IF(AV$69-$F110&lt;=12,SUMIFS('Attrition Modeling'!$D:$D,'Attrition Modeling'!$B:$B,$E110,'Attrition Modeling'!$C:$C,AV$68),VLOOKUP(AV$69-$F110-1,$A$7:$C$161,2,FALSE)*VLOOKUP(AV$1,'Attrition Modeling'!$L$15:$N$27,IF(AV$2-$F43&lt;=24,2,3),FALSE))*(1+Projection!AX$16)*(1+IF(AV175&gt;0,'Attrition Modeling'!$N$9,0))),0))</f>
        <v>6960.5956339102122</v>
      </c>
      <c r="AW110" s="799">
        <f>IF(AW$69=$F110+1,IF(Monthly!AS$4=TRUE,0,Monthly!AS$17),IF(AW$69&gt;$F110+1,AV110*(1-IF(AW$69-$F110&lt;=12,SUMIFS('Attrition Modeling'!$D:$D,'Attrition Modeling'!$B:$B,$E110,'Attrition Modeling'!$C:$C,AW$68),VLOOKUP(AW$69-$F110-1,$A$7:$C$161,2,FALSE)*VLOOKUP(AW$1,'Attrition Modeling'!$L$15:$N$27,IF(AW$2-$F43&lt;=24,2,3),FALSE))*(1+Projection!AY$16)*(1+IF(AW175&gt;0,'Attrition Modeling'!$N$9,0))),0))</f>
        <v>6270.5783547711198</v>
      </c>
      <c r="AX110" s="799">
        <f>IF(AX$69=$F110+1,IF(Monthly!AT$4=TRUE,0,Monthly!AT$17),IF(AX$69&gt;$F110+1,AW110*(1-IF(AX$69-$F110&lt;=12,SUMIFS('Attrition Modeling'!$D:$D,'Attrition Modeling'!$B:$B,$E110,'Attrition Modeling'!$C:$C,AX$68),VLOOKUP(AX$69-$F110-1,$A$7:$C$161,2,FALSE)*VLOOKUP(AX$1,'Attrition Modeling'!$L$15:$N$27,IF(AX$2-$F43&lt;=24,2,3),FALSE))*(1+Projection!AZ$16)*(1+IF(AX175&gt;0,'Attrition Modeling'!$N$9,0))),0))</f>
        <v>5689.5244292764355</v>
      </c>
      <c r="AY110" s="799">
        <f>IF(AY$69=$F110+1,IF(Monthly!AU$4=TRUE,0,Monthly!AU$17),IF(AY$69&gt;$F110+1,AX110*(1-IF(AY$69-$F110&lt;=12,SUMIFS('Attrition Modeling'!$D:$D,'Attrition Modeling'!$B:$B,$E110,'Attrition Modeling'!$C:$C,AY$68),VLOOKUP(AY$69-$F110-1,$A$7:$C$161,2,FALSE)*VLOOKUP(AY$1,'Attrition Modeling'!$L$15:$N$27,IF(AY$2-$F43&lt;=24,2,3),FALSE))*(1+Projection!BA$16)*(1+IF(AY175&gt;0,'Attrition Modeling'!$N$9,0))),0))</f>
        <v>5103.4709827717161</v>
      </c>
      <c r="AZ110" s="799">
        <f>IF(AZ$69=$F110+1,IF(Monthly!AV$4=TRUE,0,Monthly!AV$17),IF(AZ$69&gt;$F110+1,AY110*(1-IF(AZ$69-$F110&lt;=12,SUMIFS('Attrition Modeling'!$D:$D,'Attrition Modeling'!$B:$B,$E110,'Attrition Modeling'!$C:$C,AZ$68),VLOOKUP(AZ$69-$F110-1,$A$7:$C$161,2,FALSE)*VLOOKUP(AZ$1,'Attrition Modeling'!$L$15:$N$27,IF(AZ$2-$F43&lt;=24,2,3),FALSE))*(1+Projection!BB$16)*(1+IF(AZ175&gt;0,'Attrition Modeling'!$N$9,0))),0))</f>
        <v>4688.4209981558406</v>
      </c>
      <c r="BA110" s="799">
        <f>IF(BA$69=$F110+1,IF(Monthly!AW$4=TRUE,0,Monthly!AW$17),IF(BA$69&gt;$F110+1,AZ110*(1-IF(BA$69-$F110&lt;=12,SUMIFS('Attrition Modeling'!$D:$D,'Attrition Modeling'!$B:$B,$E110,'Attrition Modeling'!$C:$C,BA$68),VLOOKUP(BA$69-$F110-1,$A$7:$C$161,2,FALSE)*VLOOKUP(BA$1,'Attrition Modeling'!$L$15:$N$27,IF(BA$2-$F43&lt;=24,2,3),FALSE))*(1+Projection!BC$16)*(1+IF(BA175&gt;0,'Attrition Modeling'!$N$9,0))),0))</f>
        <v>4220.0713700819033</v>
      </c>
      <c r="BB110" s="799">
        <f>IF(BB$69=$F110+1,IF(Monthly!AX$4=TRUE,0,Monthly!AX$17),IF(BB$69&gt;$F110+1,BA110*(1-IF(BB$69-$F110&lt;=12,SUMIFS('Attrition Modeling'!$D:$D,'Attrition Modeling'!$B:$B,$E110,'Attrition Modeling'!$C:$C,BB$68),VLOOKUP(BB$69-$F110-1,$A$7:$C$161,2,FALSE)*VLOOKUP(BB$1,'Attrition Modeling'!$L$15:$N$27,IF(BB$2-$F43&lt;=24,2,3),FALSE))*(1+Projection!BD$16)*(1+IF(BB175&gt;0,'Attrition Modeling'!$N$9,0))),0))</f>
        <v>3889.3700770432283</v>
      </c>
      <c r="BC110" s="799">
        <f>IF(BC$69=$F110+1,IF(Monthly!AY$4=TRUE,0,Monthly!AY$17),IF(BC$69&gt;$F110+1,BB110*(1-IF(BC$69-$F110&lt;=12,SUMIFS('Attrition Modeling'!$D:$D,'Attrition Modeling'!$B:$B,$E110,'Attrition Modeling'!$C:$C,BC$68),VLOOKUP(BC$69-$F110-1,$A$7:$C$161,2,FALSE)*VLOOKUP(BC$1,'Attrition Modeling'!$L$15:$N$27,IF(BC$2-$F43&lt;=24,2,3),FALSE))*(1+Projection!BE$16)*(1+IF(BC175&gt;0,'Attrition Modeling'!$N$9,0))),0))</f>
        <v>3629.0292957749248</v>
      </c>
      <c r="BD110" s="799">
        <f>IF(BD$69=$F110+1,IF(Monthly!AZ$4=TRUE,0,Monthly!AZ$17),IF(BD$69&gt;$F110+1,BC110*(1-IF(BD$69-$F110&lt;=12,SUMIFS('Attrition Modeling'!$D:$D,'Attrition Modeling'!$B:$B,$E110,'Attrition Modeling'!$C:$C,BD$68),VLOOKUP(BD$69-$F110-1,$A$7:$C$161,2,FALSE)*VLOOKUP(BD$1,'Attrition Modeling'!$L$15:$N$27,IF(BD$2-$F43&lt;=24,2,3),FALSE))*(1+Projection!BF$16)*(1+IF(BD175&gt;0,'Attrition Modeling'!$N$9,0))),0))</f>
        <v>3400.1243898825746</v>
      </c>
      <c r="BE110" s="799">
        <f>IF(BE$69=$F110+1,IF(Monthly!BA$4=TRUE,0,Monthly!BA$17),IF(BE$69&gt;$F110+1,BD110*(1-IF(BE$69-$F110&lt;=12,SUMIFS('Attrition Modeling'!$D:$D,'Attrition Modeling'!$B:$B,$E110,'Attrition Modeling'!$C:$C,BE$68),VLOOKUP(BE$69-$F110-1,$A$7:$C$161,2,FALSE)*VLOOKUP(BE$1,'Attrition Modeling'!$L$15:$N$27,IF(BE$2-$F43&lt;=24,2,3),FALSE))*(1+Projection!BG$16)*(1+IF(BE175&gt;0,'Attrition Modeling'!$N$9,0))),0))</f>
        <v>3222.8877038696287</v>
      </c>
      <c r="BF110" s="799">
        <f>IF(BF$69=$F110+1,IF(Monthly!BB$4=TRUE,0,Monthly!BB$17),IF(BF$69&gt;$F110+1,BE110*(1-IF(BF$69-$F110&lt;=12,SUMIFS('Attrition Modeling'!$D:$D,'Attrition Modeling'!$B:$B,$E110,'Attrition Modeling'!$C:$C,BF$68),VLOOKUP(BF$69-$F110-1,$A$7:$C$161,2,FALSE)*VLOOKUP(BF$1,'Attrition Modeling'!$L$15:$N$27,IF(BF$2-$F43&lt;=24,2,3),FALSE))*(1+Projection!BH$16)*(1+IF(BF175&gt;0,'Attrition Modeling'!$N$9,0))),0))</f>
        <v>3053.475354789517</v>
      </c>
      <c r="BG110" s="799">
        <f>IF(BG$69=$F110+1,IF(Monthly!BC$4=TRUE,0,Monthly!BC$17),IF(BG$69&gt;$F110+1,BF110*(1-IF(BG$69-$F110&lt;=12,SUMIFS('Attrition Modeling'!$D:$D,'Attrition Modeling'!$B:$B,$E110,'Attrition Modeling'!$C:$C,BG$68),VLOOKUP(BG$69-$F110-1,$A$7:$C$161,2,FALSE)*VLOOKUP(BG$1,'Attrition Modeling'!$L$15:$N$27,IF(BG$2-$F43&lt;=24,2,3),FALSE))*(1+Projection!BI$16)*(1+IF(BG175&gt;0,'Attrition Modeling'!$N$9,0))),0))</f>
        <v>2984.1563649319523</v>
      </c>
      <c r="BH110" s="799">
        <f>IF(BH$69=$F110+1,IF(Monthly!BD$4=TRUE,0,Monthly!BD$17),IF(BH$69&gt;$F110+1,BG110*(1-IF(BH$69-$F110&lt;=12,SUMIFS('Attrition Modeling'!$D:$D,'Attrition Modeling'!$B:$B,$E110,'Attrition Modeling'!$C:$C,BH$68),VLOOKUP(BH$69-$F110-1,$A$7:$C$161,2,FALSE)*VLOOKUP(BH$1,'Attrition Modeling'!$L$15:$N$27,IF(BH$2-$F43&lt;=24,2,3),FALSE))*(1+Projection!BJ$16)*(1+IF(BH175&gt;0,'Attrition Modeling'!$N$9,0))),0))</f>
        <v>2830.148067914567</v>
      </c>
      <c r="BI110" s="799">
        <f>IF(BI$69=$F110+1,IF(Monthly!BE$4=TRUE,0,Monthly!BE$17),IF(BI$69&gt;$F110+1,BH110*(1-IF(BI$69-$F110&lt;=12,SUMIFS('Attrition Modeling'!$D:$D,'Attrition Modeling'!$B:$B,$E110,'Attrition Modeling'!$C:$C,BI$68),VLOOKUP(BI$69-$F110-1,$A$7:$C$161,2,FALSE)*VLOOKUP(BI$1,'Attrition Modeling'!$L$15:$N$27,IF(BI$2-$F43&lt;=24,2,3),FALSE))*(1+Projection!BK$16)*(1+IF(BI175&gt;0,'Attrition Modeling'!$N$9,0))),0))</f>
        <v>2682.1784571559942</v>
      </c>
      <c r="BJ110" s="799">
        <f>IF(BJ$69=$F110+1,IF(Monthly!BF$4=TRUE,0,Monthly!BF$17),IF(BJ$69&gt;$F110+1,BI110*(1-IF(BJ$69-$F110&lt;=12,SUMIFS('Attrition Modeling'!$D:$D,'Attrition Modeling'!$B:$B,$E110,'Attrition Modeling'!$C:$C,BJ$68),VLOOKUP(BJ$69-$F110-1,$A$7:$C$161,2,FALSE)*VLOOKUP(BJ$1,'Attrition Modeling'!$L$15:$N$27,IF(BJ$2-$F43&lt;=24,2,3),FALSE))*(1+Projection!BL$16)*(1+IF(BJ175&gt;0,'Attrition Modeling'!$N$9,0))),0))</f>
        <v>2545.6547705535982</v>
      </c>
      <c r="BK110" s="799">
        <f>IF(BK$69=$F110+1,IF(Monthly!BG$4=TRUE,0,Monthly!BG$17),IF(BK$69&gt;$F110+1,BJ110*(1-IF(BK$69-$F110&lt;=12,SUMIFS('Attrition Modeling'!$D:$D,'Attrition Modeling'!$B:$B,$E110,'Attrition Modeling'!$C:$C,BK$68),VLOOKUP(BK$69-$F110-1,$A$7:$C$161,2,FALSE)*VLOOKUP(BK$1,'Attrition Modeling'!$L$15:$N$27,IF(BK$2-$F43&lt;=24,2,3),FALSE))*(1+Projection!BM$16)*(1+IF(BK175&gt;0,'Attrition Modeling'!$N$9,0))),0))</f>
        <v>2415.2920798813934</v>
      </c>
      <c r="BL110" s="799">
        <f>IF(BL$69=$F110+1,IF(Monthly!BH$4=TRUE,0,Monthly!BH$17),IF(BL$69&gt;$F110+1,BK110*(1-IF(BL$69-$F110&lt;=12,SUMIFS('Attrition Modeling'!$D:$D,'Attrition Modeling'!$B:$B,$E110,'Attrition Modeling'!$C:$C,BL$68),VLOOKUP(BL$69-$F110-1,$A$7:$C$161,2,FALSE)*VLOOKUP(BL$1,'Attrition Modeling'!$L$15:$N$27,IF(BL$2-$F43&lt;=24,2,3),FALSE))*(1+Projection!BN$16)*(1+IF(BL175&gt;0,'Attrition Modeling'!$N$9,0))),0))</f>
        <v>2305.8227008111298</v>
      </c>
      <c r="BM110" s="799">
        <f>IF(BM$69=$F110+1,IF(Monthly!BI$4=TRUE,0,Monthly!BI$17),IF(BM$69&gt;$F110+1,BL110*(1-IF(BM$69-$F110&lt;=12,SUMIFS('Attrition Modeling'!$D:$D,'Attrition Modeling'!$B:$B,$E110,'Attrition Modeling'!$C:$C,BM$68),VLOOKUP(BM$69-$F110-1,$A$7:$C$161,2,FALSE)*VLOOKUP(BM$1,'Attrition Modeling'!$L$15:$N$27,IF(BM$2-$F43&lt;=24,2,3),FALSE))*(1+Projection!BO$16)*(1+IF(BM175&gt;0,'Attrition Modeling'!$N$9,0))),0))</f>
        <v>2180.6883435213349</v>
      </c>
      <c r="BN110" s="799">
        <f>IF(BN$69=$F110+1,IF(Monthly!BJ$4=TRUE,0,Monthly!BJ$17),IF(BN$69&gt;$F110+1,BM110*(1-IF(BN$69-$F110&lt;=12,SUMIFS('Attrition Modeling'!$D:$D,'Attrition Modeling'!$B:$B,$E110,'Attrition Modeling'!$C:$C,BN$68),VLOOKUP(BN$69-$F110-1,$A$7:$C$161,2,FALSE)*VLOOKUP(BN$1,'Attrition Modeling'!$L$15:$N$27,IF(BN$2-$F43&lt;=24,2,3),FALSE))*(1+Projection!BP$16)*(1+IF(BN175&gt;0,'Attrition Modeling'!$N$9,0))),0))</f>
        <v>2087.8534413935854</v>
      </c>
      <c r="BO110" s="799">
        <f>IF(BO$69=$F110+1,IF(Monthly!BK$4=TRUE,0,Monthly!BK$17),IF(BO$69&gt;$F110+1,BN110*(1-IF(BO$69-$F110&lt;=12,SUMIFS('Attrition Modeling'!$D:$D,'Attrition Modeling'!$B:$B,$E110,'Attrition Modeling'!$C:$C,BO$68),VLOOKUP(BO$69-$F110-1,$A$7:$C$161,2,FALSE)*VLOOKUP(BO$1,'Attrition Modeling'!$L$15:$N$27,IF(BO$2-$F43&lt;=24,2,3),FALSE))*(1+Projection!BV$16)*(1+IF(BO175&gt;0,'Attrition Modeling'!$N$9,0))),0))</f>
        <v>2001.5754529701121</v>
      </c>
      <c r="BP110" s="799">
        <f>IF(BP$69=$F110+1,IF(Monthly!BL$4=TRUE,0,Monthly!BL$17),IF(BP$69&gt;$F110+1,BO110*(1-IF(BP$69-$F110&lt;=12,SUMIFS('Attrition Modeling'!$D:$D,'Attrition Modeling'!$B:$B,$E110,'Attrition Modeling'!$C:$C,BP$68),VLOOKUP(BP$69-$F110-1,$A$7:$C$161,2,FALSE)*VLOOKUP(BP$1,'Attrition Modeling'!$L$15:$N$27,IF(BP$2-$F43&lt;=24,2,3),FALSE))*(1+Projection!BW$16)*(1+IF(BP175&gt;0,'Attrition Modeling'!$N$9,0))),0))</f>
        <v>1920.2024829213949</v>
      </c>
      <c r="BQ110" s="799">
        <f>IF(BQ$69=$F110+1,IF(Monthly!BM$4=TRUE,0,Monthly!BM$17),IF(BQ$69&gt;$F110+1,BP110*(1-IF(BQ$69-$F110&lt;=12,SUMIFS('Attrition Modeling'!$D:$D,'Attrition Modeling'!$B:$B,$E110,'Attrition Modeling'!$C:$C,BQ$68),VLOOKUP(BQ$69-$F110-1,$A$7:$C$161,2,FALSE)*VLOOKUP(BQ$1,'Attrition Modeling'!$L$15:$N$27,IF(BQ$2-$F43&lt;=24,2,3),FALSE))*(1+Projection!BX$16)*(1+IF(BQ175&gt;0,'Attrition Modeling'!$N$9,0))),0))</f>
        <v>1850.8747033153302</v>
      </c>
      <c r="BR110" s="799">
        <f>IF(BR$69=$F110+1,IF(Monthly!BN$4=TRUE,0,Monthly!BN$17),IF(BR$69&gt;$F110+1,BQ110*(1-IF(BR$69-$F110&lt;=12,SUMIFS('Attrition Modeling'!$D:$D,'Attrition Modeling'!$B:$B,$E110,'Attrition Modeling'!$C:$C,BR$68),VLOOKUP(BR$69-$F110-1,$A$7:$C$161,2,FALSE)*VLOOKUP(BR$1,'Attrition Modeling'!$L$15:$N$27,IF(BR$2-$F43&lt;=24,2,3),FALSE))*(1+Projection!BY$16)*(1+IF(BR175&gt;0,'Attrition Modeling'!$N$9,0))),0))</f>
        <v>1779.1711562932476</v>
      </c>
      <c r="BS110" s="799">
        <f>IF(BS$69=$F110+1,IF(Monthly!BO$4=TRUE,0,Monthly!BO$17),IF(BS$69&gt;$F110+1,BR110*(1-IF(BS$69-$F110&lt;=12,SUMIFS('Attrition Modeling'!$D:$D,'Attrition Modeling'!$B:$B,$E110,'Attrition Modeling'!$C:$C,BS$68),VLOOKUP(BS$69-$F110-1,$A$7:$C$161,2,FALSE)*VLOOKUP(BS$1,'Attrition Modeling'!$L$15:$N$27,IF(BS$2-$F43&lt;=24,2,3),FALSE))*(1+Projection!BZ$16)*(1+IF(BS175&gt;0,'Attrition Modeling'!$N$9,0))),0))</f>
        <v>1712.2982634103159</v>
      </c>
      <c r="BT110" s="799">
        <f>IF(BT$69=$F110+1,IF(Monthly!#REF!=TRUE,0,Monthly!#REF!),IF(BT$69&gt;$F110+1,BS110*(1-IF(BT$69-$F110&lt;=12,SUMIFS('Attrition Modeling'!$D:$D,'Attrition Modeling'!$B:$B,$E110,'Attrition Modeling'!$C:$C,BT$68),VLOOKUP(BT$69-$F110-1,$A$7:$C$161,2,FALSE)*VLOOKUP(BT$1,'Attrition Modeling'!$L$15:$N$27,IF(BT$2-$F43&lt;=24,2,3),FALSE))*(1+Projection!CA$16)*(1+IF(BT175&gt;0,'Attrition Modeling'!$N$9,0))),0))</f>
        <v>1656.8475069520889</v>
      </c>
      <c r="BU110" s="799">
        <f>IF(BU$69=$F110+1,IF(Monthly!#REF!=TRUE,0,Monthly!#REF!),IF(BU$69&gt;$F110+1,BT110*(1-IF(BU$69-$F110&lt;=12,SUMIFS('Attrition Modeling'!$D:$D,'Attrition Modeling'!$B:$B,$E110,'Attrition Modeling'!$C:$C,BU$68),VLOOKUP(BU$69-$F110-1,$A$7:$C$161,2,FALSE)*VLOOKUP(BU$1,'Attrition Modeling'!$L$15:$N$27,IF(BU$2-$F43&lt;=24,2,3),FALSE))*(1+Projection!CB$16)*(1+IF(BU175&gt;0,'Attrition Modeling'!$N$9,0))),0))</f>
        <v>1596.4640897058996</v>
      </c>
    </row>
    <row r="111" spans="1:73" ht="14.25" customHeight="1" x14ac:dyDescent="0.2">
      <c r="A111" s="9">
        <v>104</v>
      </c>
      <c r="B111" s="25">
        <f>MAX('Attrition Modeling'!H108,$C$3)*(1-Summary!$C$20)</f>
        <v>0.02</v>
      </c>
      <c r="C111" s="24" t="e">
        <f t="shared" si="4"/>
        <v>#DIV/0!</v>
      </c>
      <c r="E111" s="11">
        <f t="shared" si="9"/>
        <v>5</v>
      </c>
      <c r="F111" s="11">
        <f t="shared" si="10"/>
        <v>41</v>
      </c>
      <c r="G111" s="799"/>
      <c r="H111" s="799">
        <f>IF(H$69=$F111+1,IF(Monthly!D$4=TRUE,0,Monthly!D$17),IF(H$69&gt;$F111+1,G111*(1-IF(H$69-$F111&lt;=12,SUMIFS('Attrition Modeling'!$D:$D,'Attrition Modeling'!$B:$B,$E111,'Attrition Modeling'!$C:$C,H$68),VLOOKUP(H$69-$F111-1,$A$7:$C$161,2,FALSE)*VLOOKUP(H$1,'Attrition Modeling'!$L$15:$N$27,IF(H$2-$F44&lt;=24,2,3),FALSE))*(1+Projection!J$16)*(1+IF(H176&gt;0,'Attrition Modeling'!$N$9,0))),0))</f>
        <v>0</v>
      </c>
      <c r="I111" s="799">
        <f>IF(I$69=$F111+1,IF(Monthly!E$4=TRUE,0,Monthly!E$17),IF(I$69&gt;$F111+1,H111*(1-IF(I$69-$F111&lt;=12,SUMIFS('Attrition Modeling'!$D:$D,'Attrition Modeling'!$B:$B,$E111,'Attrition Modeling'!$C:$C,I$68),VLOOKUP(I$69-$F111-1,$A$7:$C$161,2,FALSE)*VLOOKUP(I$1,'Attrition Modeling'!$L$15:$N$27,IF(I$2-$F44&lt;=24,2,3),FALSE))*(1+Projection!K$16)*(1+IF(I176&gt;0,'Attrition Modeling'!$N$9,0))),0))</f>
        <v>0</v>
      </c>
      <c r="J111" s="799">
        <f>IF(J$69=$F111+1,IF(Monthly!F$4=TRUE,0,Monthly!F$17),IF(J$69&gt;$F111+1,I111*(1-IF(J$69-$F111&lt;=12,SUMIFS('Attrition Modeling'!$D:$D,'Attrition Modeling'!$B:$B,$E111,'Attrition Modeling'!$C:$C,J$68),VLOOKUP(J$69-$F111-1,$A$7:$C$161,2,FALSE)*VLOOKUP(J$1,'Attrition Modeling'!$L$15:$N$27,IF(J$2-$F44&lt;=24,2,3),FALSE))*(1+Projection!L$16)*(1+IF(J176&gt;0,'Attrition Modeling'!$N$9,0))),0))</f>
        <v>0</v>
      </c>
      <c r="K111" s="799">
        <f>IF(K$69=$F111+1,IF(Monthly!G$4=TRUE,0,Monthly!G$17),IF(K$69&gt;$F111+1,J111*(1-IF(K$69-$F111&lt;=12,SUMIFS('Attrition Modeling'!$D:$D,'Attrition Modeling'!$B:$B,$E111,'Attrition Modeling'!$C:$C,K$68),VLOOKUP(K$69-$F111-1,$A$7:$C$161,2,FALSE)*VLOOKUP(K$1,'Attrition Modeling'!$L$15:$N$27,IF(K$2-$F44&lt;=24,2,3),FALSE))*(1+Projection!M$16)*(1+IF(K176&gt;0,'Attrition Modeling'!$N$9,0))),0))</f>
        <v>0</v>
      </c>
      <c r="L111" s="799">
        <f>IF(L$69=$F111+1,IF(Monthly!H$4=TRUE,0,Monthly!H$17),IF(L$69&gt;$F111+1,K111*(1-IF(L$69-$F111&lt;=12,SUMIFS('Attrition Modeling'!$D:$D,'Attrition Modeling'!$B:$B,$E111,'Attrition Modeling'!$C:$C,L$68),VLOOKUP(L$69-$F111-1,$A$7:$C$161,2,FALSE)*VLOOKUP(L$1,'Attrition Modeling'!$L$15:$N$27,IF(L$2-$F44&lt;=24,2,3),FALSE))*(1+Projection!N$16)*(1+IF(L176&gt;0,'Attrition Modeling'!$N$9,0))),0))</f>
        <v>0</v>
      </c>
      <c r="M111" s="799">
        <f>IF(M$69=$F111+1,IF(Monthly!I$4=TRUE,0,Monthly!I$17),IF(M$69&gt;$F111+1,L111*(1-IF(M$69-$F111&lt;=12,SUMIFS('Attrition Modeling'!$D:$D,'Attrition Modeling'!$B:$B,$E111,'Attrition Modeling'!$C:$C,M$68),VLOOKUP(M$69-$F111-1,$A$7:$C$161,2,FALSE)*VLOOKUP(M$1,'Attrition Modeling'!$L$15:$N$27,IF(M$2-$F44&lt;=24,2,3),FALSE))*(1+Projection!O$16)*(1+IF(M176&gt;0,'Attrition Modeling'!$N$9,0))),0))</f>
        <v>0</v>
      </c>
      <c r="N111" s="799">
        <f>IF(N$69=$F111+1,IF(Monthly!J$4=TRUE,0,Monthly!J$17),IF(N$69&gt;$F111+1,M111*(1-IF(N$69-$F111&lt;=12,SUMIFS('Attrition Modeling'!$D:$D,'Attrition Modeling'!$B:$B,$E111,'Attrition Modeling'!$C:$C,N$68),VLOOKUP(N$69-$F111-1,$A$7:$C$161,2,FALSE)*VLOOKUP(N$1,'Attrition Modeling'!$L$15:$N$27,IF(N$2-$F44&lt;=24,2,3),FALSE))*(1+Projection!P$16)*(1+IF(N176&gt;0,'Attrition Modeling'!$N$9,0))),0))</f>
        <v>0</v>
      </c>
      <c r="O111" s="799">
        <f>IF(O$69=$F111+1,IF(Monthly!K$4=TRUE,0,Monthly!K$17),IF(O$69&gt;$F111+1,N111*(1-IF(O$69-$F111&lt;=12,SUMIFS('Attrition Modeling'!$D:$D,'Attrition Modeling'!$B:$B,$E111,'Attrition Modeling'!$C:$C,O$68),VLOOKUP(O$69-$F111-1,$A$7:$C$161,2,FALSE)*VLOOKUP(O$1,'Attrition Modeling'!$L$15:$N$27,IF(O$2-$F44&lt;=24,2,3),FALSE))*(1+Projection!Q$16)*(1+IF(O176&gt;0,'Attrition Modeling'!$N$9,0))),0))</f>
        <v>0</v>
      </c>
      <c r="P111" s="799">
        <f>IF(P$69=$F111+1,IF(Monthly!L$4=TRUE,0,Monthly!L$17),IF(P$69&gt;$F111+1,O111*(1-IF(P$69-$F111&lt;=12,SUMIFS('Attrition Modeling'!$D:$D,'Attrition Modeling'!$B:$B,$E111,'Attrition Modeling'!$C:$C,P$68),VLOOKUP(P$69-$F111-1,$A$7:$C$161,2,FALSE)*VLOOKUP(P$1,'Attrition Modeling'!$L$15:$N$27,IF(P$2-$F44&lt;=24,2,3),FALSE))*(1+Projection!R$16)*(1+IF(P176&gt;0,'Attrition Modeling'!$N$9,0))),0))</f>
        <v>0</v>
      </c>
      <c r="Q111" s="799">
        <f>IF(Q$69=$F111+1,IF(Monthly!M$4=TRUE,0,Monthly!M$17),IF(Q$69&gt;$F111+1,P111*(1-IF(Q$69-$F111&lt;=12,SUMIFS('Attrition Modeling'!$D:$D,'Attrition Modeling'!$B:$B,$E111,'Attrition Modeling'!$C:$C,Q$68),VLOOKUP(Q$69-$F111-1,$A$7:$C$161,2,FALSE)*VLOOKUP(Q$1,'Attrition Modeling'!$L$15:$N$27,IF(Q$2-$F44&lt;=24,2,3),FALSE))*(1+Projection!S$16)*(1+IF(Q176&gt;0,'Attrition Modeling'!$N$9,0))),0))</f>
        <v>0</v>
      </c>
      <c r="R111" s="799">
        <f>IF(R$69=$F111+1,IF(Monthly!N$4=TRUE,0,Monthly!N$17),IF(R$69&gt;$F111+1,Q111*(1-IF(R$69-$F111&lt;=12,SUMIFS('Attrition Modeling'!$D:$D,'Attrition Modeling'!$B:$B,$E111,'Attrition Modeling'!$C:$C,R$68),VLOOKUP(R$69-$F111-1,$A$7:$C$161,2,FALSE)*VLOOKUP(R$1,'Attrition Modeling'!$L$15:$N$27,IF(R$2-$F44&lt;=24,2,3),FALSE))*(1+Projection!T$16)*(1+IF(R176&gt;0,'Attrition Modeling'!$N$9,0))),0))</f>
        <v>0</v>
      </c>
      <c r="S111" s="799">
        <f>IF(S$69=$F111+1,IF(Monthly!O$4=TRUE,0,Monthly!O$17),IF(S$69&gt;$F111+1,R111*(1-IF(S$69-$F111&lt;=12,SUMIFS('Attrition Modeling'!$D:$D,'Attrition Modeling'!$B:$B,$E111,'Attrition Modeling'!$C:$C,S$68),VLOOKUP(S$69-$F111-1,$A$7:$C$161,2,FALSE)*VLOOKUP(S$1,'Attrition Modeling'!$L$15:$N$27,IF(S$2-$F44&lt;=24,2,3),FALSE))*(1+Projection!U$16)*(1+IF(S176&gt;0,'Attrition Modeling'!$N$9,0))),0))</f>
        <v>0</v>
      </c>
      <c r="T111" s="799">
        <f>IF(T$69=$F111+1,IF(Monthly!P$4=TRUE,0,Monthly!P$17),IF(T$69&gt;$F111+1,S111*(1-IF(T$69-$F111&lt;=12,SUMIFS('Attrition Modeling'!$D:$D,'Attrition Modeling'!$B:$B,$E111,'Attrition Modeling'!$C:$C,T$68),VLOOKUP(T$69-$F111-1,$A$7:$C$161,2,FALSE)*VLOOKUP(T$1,'Attrition Modeling'!$L$15:$N$27,IF(T$2-$F44&lt;=24,2,3),FALSE))*(1+Projection!V$16)*(1+IF(T176&gt;0,'Attrition Modeling'!$N$9,0))),0))</f>
        <v>0</v>
      </c>
      <c r="U111" s="799">
        <f>IF(U$69=$F111+1,IF(Monthly!Q$4=TRUE,0,Monthly!Q$17),IF(U$69&gt;$F111+1,T111*(1-IF(U$69-$F111&lt;=12,SUMIFS('Attrition Modeling'!$D:$D,'Attrition Modeling'!$B:$B,$E111,'Attrition Modeling'!$C:$C,U$68),VLOOKUP(U$69-$F111-1,$A$7:$C$161,2,FALSE)*VLOOKUP(U$1,'Attrition Modeling'!$L$15:$N$27,IF(U$2-$F44&lt;=24,2,3),FALSE))*(1+Projection!W$16)*(1+IF(U176&gt;0,'Attrition Modeling'!$N$9,0))),0))</f>
        <v>0</v>
      </c>
      <c r="V111" s="799">
        <f>IF(V$69=$F111+1,IF(Monthly!R$4=TRUE,0,Monthly!R$17),IF(V$69&gt;$F111+1,U111*(1-IF(V$69-$F111&lt;=12,SUMIFS('Attrition Modeling'!$D:$D,'Attrition Modeling'!$B:$B,$E111,'Attrition Modeling'!$C:$C,V$68),VLOOKUP(V$69-$F111-1,$A$7:$C$161,2,FALSE)*VLOOKUP(V$1,'Attrition Modeling'!$L$15:$N$27,IF(V$2-$F44&lt;=24,2,3),FALSE))*(1+Projection!X$16)*(1+IF(V176&gt;0,'Attrition Modeling'!$N$9,0))),0))</f>
        <v>0</v>
      </c>
      <c r="W111" s="799">
        <f>IF(W$69=$F111+1,IF(Monthly!S$4=TRUE,0,Monthly!S$17),IF(W$69&gt;$F111+1,V111*(1-IF(W$69-$F111&lt;=12,SUMIFS('Attrition Modeling'!$D:$D,'Attrition Modeling'!$B:$B,$E111,'Attrition Modeling'!$C:$C,W$68),VLOOKUP(W$69-$F111-1,$A$7:$C$161,2,FALSE)*VLOOKUP(W$1,'Attrition Modeling'!$L$15:$N$27,IF(W$2-$F44&lt;=24,2,3),FALSE))*(1+Projection!Y$16)*(1+IF(W176&gt;0,'Attrition Modeling'!$N$9,0))),0))</f>
        <v>0</v>
      </c>
      <c r="X111" s="799">
        <f>IF(X$69=$F111+1,IF(Monthly!T$4=TRUE,0,Monthly!T$17),IF(X$69&gt;$F111+1,W111*(1-IF(X$69-$F111&lt;=12,SUMIFS('Attrition Modeling'!$D:$D,'Attrition Modeling'!$B:$B,$E111,'Attrition Modeling'!$C:$C,X$68),VLOOKUP(X$69-$F111-1,$A$7:$C$161,2,FALSE)*VLOOKUP(X$1,'Attrition Modeling'!$L$15:$N$27,IF(X$2-$F44&lt;=24,2,3),FALSE))*(1+Projection!Z$16)*(1+IF(X176&gt;0,'Attrition Modeling'!$N$9,0))),0))</f>
        <v>0</v>
      </c>
      <c r="Y111" s="799">
        <f>IF(Y$69=$F111+1,IF(Monthly!U$4=TRUE,0,Monthly!U$17),IF(Y$69&gt;$F111+1,X111*(1-IF(Y$69-$F111&lt;=12,SUMIFS('Attrition Modeling'!$D:$D,'Attrition Modeling'!$B:$B,$E111,'Attrition Modeling'!$C:$C,Y$68),VLOOKUP(Y$69-$F111-1,$A$7:$C$161,2,FALSE)*VLOOKUP(Y$1,'Attrition Modeling'!$L$15:$N$27,IF(Y$2-$F44&lt;=24,2,3),FALSE))*(1+Projection!AA$16)*(1+IF(Y176&gt;0,'Attrition Modeling'!$N$9,0))),0))</f>
        <v>0</v>
      </c>
      <c r="Z111" s="799">
        <f>IF(Z$69=$F111+1,IF(Monthly!V$4=TRUE,0,Monthly!V$17),IF(Z$69&gt;$F111+1,Y111*(1-IF(Z$69-$F111&lt;=12,SUMIFS('Attrition Modeling'!$D:$D,'Attrition Modeling'!$B:$B,$E111,'Attrition Modeling'!$C:$C,Z$68),VLOOKUP(Z$69-$F111-1,$A$7:$C$161,2,FALSE)*VLOOKUP(Z$1,'Attrition Modeling'!$L$15:$N$27,IF(Z$2-$F44&lt;=24,2,3),FALSE))*(1+Projection!AB$16)*(1+IF(Z176&gt;0,'Attrition Modeling'!$N$9,0))),0))</f>
        <v>0</v>
      </c>
      <c r="AA111" s="799">
        <f>IF(AA$69=$F111+1,IF(Monthly!W$4=TRUE,0,Monthly!W$17),IF(AA$69&gt;$F111+1,Z111*(1-IF(AA$69-$F111&lt;=12,SUMIFS('Attrition Modeling'!$D:$D,'Attrition Modeling'!$B:$B,$E111,'Attrition Modeling'!$C:$C,AA$68),VLOOKUP(AA$69-$F111-1,$A$7:$C$161,2,FALSE)*VLOOKUP(AA$1,'Attrition Modeling'!$L$15:$N$27,IF(AA$2-$F44&lt;=24,2,3),FALSE))*(1+Projection!AC$16)*(1+IF(AA176&gt;0,'Attrition Modeling'!$N$9,0))),0))</f>
        <v>0</v>
      </c>
      <c r="AB111" s="799">
        <f>IF(AB$69=$F111+1,IF(Monthly!X$4=TRUE,0,Monthly!X$17),IF(AB$69&gt;$F111+1,AA111*(1-IF(AB$69-$F111&lt;=12,SUMIFS('Attrition Modeling'!$D:$D,'Attrition Modeling'!$B:$B,$E111,'Attrition Modeling'!$C:$C,AB$68),VLOOKUP(AB$69-$F111-1,$A$7:$C$161,2,FALSE)*VLOOKUP(AB$1,'Attrition Modeling'!$L$15:$N$27,IF(AB$2-$F44&lt;=24,2,3),FALSE))*(1+Projection!AD$16)*(1+IF(AB176&gt;0,'Attrition Modeling'!$N$9,0))),0))</f>
        <v>0</v>
      </c>
      <c r="AC111" s="799">
        <f>IF(AC$69=$F111+1,IF(Monthly!Y$4=TRUE,0,Monthly!Y$17),IF(AC$69&gt;$F111+1,AB111*(1-IF(AC$69-$F111&lt;=12,SUMIFS('Attrition Modeling'!$D:$D,'Attrition Modeling'!$B:$B,$E111,'Attrition Modeling'!$C:$C,AC$68),VLOOKUP(AC$69-$F111-1,$A$7:$C$161,2,FALSE)*VLOOKUP(AC$1,'Attrition Modeling'!$L$15:$N$27,IF(AC$2-$F44&lt;=24,2,3),FALSE))*(1+Projection!AE$16)*(1+IF(AC176&gt;0,'Attrition Modeling'!$N$9,0))),0))</f>
        <v>0</v>
      </c>
      <c r="AD111" s="799">
        <f>IF(AD$69=$F111+1,IF(Monthly!Z$4=TRUE,0,Monthly!Z$17),IF(AD$69&gt;$F111+1,AC111*(1-IF(AD$69-$F111&lt;=12,SUMIFS('Attrition Modeling'!$D:$D,'Attrition Modeling'!$B:$B,$E111,'Attrition Modeling'!$C:$C,AD$68),VLOOKUP(AD$69-$F111-1,$A$7:$C$161,2,FALSE)*VLOOKUP(AD$1,'Attrition Modeling'!$L$15:$N$27,IF(AD$2-$F44&lt;=24,2,3),FALSE))*(1+Projection!AF$16)*(1+IF(AD176&gt;0,'Attrition Modeling'!$N$9,0))),0))</f>
        <v>0</v>
      </c>
      <c r="AE111" s="799">
        <f>IF(AE$69=$F111+1,IF(Monthly!AA$4=TRUE,0,Monthly!AA$17),IF(AE$69&gt;$F111+1,AD111*(1-IF(AE$69-$F111&lt;=12,SUMIFS('Attrition Modeling'!$D:$D,'Attrition Modeling'!$B:$B,$E111,'Attrition Modeling'!$C:$C,AE$68),VLOOKUP(AE$69-$F111-1,$A$7:$C$161,2,FALSE)*VLOOKUP(AE$1,'Attrition Modeling'!$L$15:$N$27,IF(AE$2-$F44&lt;=24,2,3),FALSE))*(1+Projection!AG$16)*(1+IF(AE176&gt;0,'Attrition Modeling'!$N$9,0))),0))</f>
        <v>0</v>
      </c>
      <c r="AF111" s="799">
        <f>IF(AF$69=$F111+1,IF(Monthly!AB$4=TRUE,0,Monthly!AB$17),IF(AF$69&gt;$F111+1,AE111*(1-IF(AF$69-$F111&lt;=12,SUMIFS('Attrition Modeling'!$D:$D,'Attrition Modeling'!$B:$B,$E111,'Attrition Modeling'!$C:$C,AF$68),VLOOKUP(AF$69-$F111-1,$A$7:$C$161,2,FALSE)*VLOOKUP(AF$1,'Attrition Modeling'!$L$15:$N$27,IF(AF$2-$F44&lt;=24,2,3),FALSE))*(1+Projection!AH$16)*(1+IF(AF176&gt;0,'Attrition Modeling'!$N$9,0))),0))</f>
        <v>0</v>
      </c>
      <c r="AG111" s="799">
        <f>IF(AG$69=$F111+1,IF(Monthly!AC$4=TRUE,0,Monthly!AC$17),IF(AG$69&gt;$F111+1,AF111*(1-IF(AG$69-$F111&lt;=12,SUMIFS('Attrition Modeling'!$D:$D,'Attrition Modeling'!$B:$B,$E111,'Attrition Modeling'!$C:$C,AG$68),VLOOKUP(AG$69-$F111-1,$A$7:$C$161,2,FALSE)*VLOOKUP(AG$1,'Attrition Modeling'!$L$15:$N$27,IF(AG$2-$F44&lt;=24,2,3),FALSE))*(1+Projection!AI$16)*(1+IF(AG176&gt;0,'Attrition Modeling'!$N$9,0))),0))</f>
        <v>0</v>
      </c>
      <c r="AH111" s="799">
        <f>IF(AH$69=$F111+1,IF(Monthly!AD$4=TRUE,0,Monthly!AD$17),IF(AH$69&gt;$F111+1,AG111*(1-IF(AH$69-$F111&lt;=12,SUMIFS('Attrition Modeling'!$D:$D,'Attrition Modeling'!$B:$B,$E111,'Attrition Modeling'!$C:$C,AH$68),VLOOKUP(AH$69-$F111-1,$A$7:$C$161,2,FALSE)*VLOOKUP(AH$1,'Attrition Modeling'!$L$15:$N$27,IF(AH$2-$F44&lt;=24,2,3),FALSE))*(1+Projection!AJ$16)*(1+IF(AH176&gt;0,'Attrition Modeling'!$N$9,0))),0))</f>
        <v>0</v>
      </c>
      <c r="AI111" s="799">
        <f>IF(AI$69=$F111+1,IF(Monthly!AE$4=TRUE,0,Monthly!AE$17),IF(AI$69&gt;$F111+1,AH111*(1-IF(AI$69-$F111&lt;=12,SUMIFS('Attrition Modeling'!$D:$D,'Attrition Modeling'!$B:$B,$E111,'Attrition Modeling'!$C:$C,AI$68),VLOOKUP(AI$69-$F111-1,$A$7:$C$161,2,FALSE)*VLOOKUP(AI$1,'Attrition Modeling'!$L$15:$N$27,IF(AI$2-$F44&lt;=24,2,3),FALSE))*(1+Projection!AK$16)*(1+IF(AI176&gt;0,'Attrition Modeling'!$N$9,0))),0))</f>
        <v>0</v>
      </c>
      <c r="AJ111" s="799">
        <f>IF(AJ$69=$F111+1,IF(Monthly!AF$4=TRUE,0,Monthly!AF$17),IF(AJ$69&gt;$F111+1,AI111*(1-IF(AJ$69-$F111&lt;=12,SUMIFS('Attrition Modeling'!$D:$D,'Attrition Modeling'!$B:$B,$E111,'Attrition Modeling'!$C:$C,AJ$68),VLOOKUP(AJ$69-$F111-1,$A$7:$C$161,2,FALSE)*VLOOKUP(AJ$1,'Attrition Modeling'!$L$15:$N$27,IF(AJ$2-$F44&lt;=24,2,3),FALSE))*(1+Projection!AL$16)*(1+IF(AJ176&gt;0,'Attrition Modeling'!$N$9,0))),0))</f>
        <v>0</v>
      </c>
      <c r="AK111" s="799">
        <f>IF(AK$69=$F111+1,IF(Monthly!AG$4=TRUE,0,Monthly!AG$17),IF(AK$69&gt;$F111+1,AJ111*(1-IF(AK$69-$F111&lt;=12,SUMIFS('Attrition Modeling'!$D:$D,'Attrition Modeling'!$B:$B,$E111,'Attrition Modeling'!$C:$C,AK$68),VLOOKUP(AK$69-$F111-1,$A$7:$C$161,2,FALSE)*VLOOKUP(AK$1,'Attrition Modeling'!$L$15:$N$27,IF(AK$2-$F44&lt;=24,2,3),FALSE))*(1+Projection!AM$16)*(1+IF(AK176&gt;0,'Attrition Modeling'!$N$9,0))),0))</f>
        <v>0</v>
      </c>
      <c r="AL111" s="799">
        <f>IF(AL$69=$F111+1,IF(Monthly!AH$4=TRUE,0,Monthly!AH$17),IF(AL$69&gt;$F111+1,AK111*(1-IF(AL$69-$F111&lt;=12,SUMIFS('Attrition Modeling'!$D:$D,'Attrition Modeling'!$B:$B,$E111,'Attrition Modeling'!$C:$C,AL$68),VLOOKUP(AL$69-$F111-1,$A$7:$C$161,2,FALSE)*VLOOKUP(AL$1,'Attrition Modeling'!$L$15:$N$27,IF(AL$2-$F44&lt;=24,2,3),FALSE))*(1+Projection!AN$16)*(1+IF(AL176&gt;0,'Attrition Modeling'!$N$9,0))),0))</f>
        <v>0</v>
      </c>
      <c r="AM111" s="799">
        <f>IF(AM$69=$F111+1,IF(Monthly!AI$4=TRUE,0,Monthly!AI$17),IF(AM$69&gt;$F111+1,AL111*(1-IF(AM$69-$F111&lt;=12,SUMIFS('Attrition Modeling'!$D:$D,'Attrition Modeling'!$B:$B,$E111,'Attrition Modeling'!$C:$C,AM$68),VLOOKUP(AM$69-$F111-1,$A$7:$C$161,2,FALSE)*VLOOKUP(AM$1,'Attrition Modeling'!$L$15:$N$27,IF(AM$2-$F44&lt;=24,2,3),FALSE))*(1+Projection!AO$16)*(1+IF(AM176&gt;0,'Attrition Modeling'!$N$9,0))),0))</f>
        <v>0</v>
      </c>
      <c r="AN111" s="799">
        <f>IF(AN$69=$F111+1,IF(Monthly!AJ$4=TRUE,0,Monthly!AJ$17),IF(AN$69&gt;$F111+1,AM111*(1-IF(AN$69-$F111&lt;=12,SUMIFS('Attrition Modeling'!$D:$D,'Attrition Modeling'!$B:$B,$E111,'Attrition Modeling'!$C:$C,AN$68),VLOOKUP(AN$69-$F111-1,$A$7:$C$161,2,FALSE)*VLOOKUP(AN$1,'Attrition Modeling'!$L$15:$N$27,IF(AN$2-$F44&lt;=24,2,3),FALSE))*(1+Projection!AP$16)*(1+IF(AN176&gt;0,'Attrition Modeling'!$N$9,0))),0))</f>
        <v>0</v>
      </c>
      <c r="AO111" s="799">
        <f>IF(AO$69=$F111+1,IF(Monthly!AK$4=TRUE,0,Monthly!AK$17),IF(AO$69&gt;$F111+1,AN111*(1-IF(AO$69-$F111&lt;=12,SUMIFS('Attrition Modeling'!$D:$D,'Attrition Modeling'!$B:$B,$E111,'Attrition Modeling'!$C:$C,AO$68),VLOOKUP(AO$69-$F111-1,$A$7:$C$161,2,FALSE)*VLOOKUP(AO$1,'Attrition Modeling'!$L$15:$N$27,IF(AO$2-$F44&lt;=24,2,3),FALSE))*(1+Projection!AQ$16)*(1+IF(AO176&gt;0,'Attrition Modeling'!$N$9,0))),0))</f>
        <v>0</v>
      </c>
      <c r="AP111" s="799">
        <f>IF(AP$69=$F111+1,IF(Monthly!AL$4=TRUE,0,Monthly!AL$17),IF(AP$69&gt;$F111+1,AO111*(1-IF(AP$69-$F111&lt;=12,SUMIFS('Attrition Modeling'!$D:$D,'Attrition Modeling'!$B:$B,$E111,'Attrition Modeling'!$C:$C,AP$68),VLOOKUP(AP$69-$F111-1,$A$7:$C$161,2,FALSE)*VLOOKUP(AP$1,'Attrition Modeling'!$L$15:$N$27,IF(AP$2-$F44&lt;=24,2,3),FALSE))*(1+Projection!AR$16)*(1+IF(AP176&gt;0,'Attrition Modeling'!$N$9,0))),0))</f>
        <v>0</v>
      </c>
      <c r="AQ111" s="799">
        <f>IF(AQ$69=$F111+1,IF(Monthly!AM$4=TRUE,0,Monthly!AM$17),IF(AQ$69&gt;$F111+1,AP111*(1-IF(AQ$69-$F111&lt;=12,SUMIFS('Attrition Modeling'!$D:$D,'Attrition Modeling'!$B:$B,$E111,'Attrition Modeling'!$C:$C,AQ$68),VLOOKUP(AQ$69-$F111-1,$A$7:$C$161,2,FALSE)*VLOOKUP(AQ$1,'Attrition Modeling'!$L$15:$N$27,IF(AQ$2-$F44&lt;=24,2,3),FALSE))*(1+Projection!AS$16)*(1+IF(AQ176&gt;0,'Attrition Modeling'!$N$9,0))),0))</f>
        <v>0</v>
      </c>
      <c r="AR111" s="799">
        <f>IF(AR$69=$F111+1,IF(Monthly!AN$4=TRUE,0,Monthly!AN$17),IF(AR$69&gt;$F111+1,AQ111*(1-IF(AR$69-$F111&lt;=12,SUMIFS('Attrition Modeling'!$D:$D,'Attrition Modeling'!$B:$B,$E111,'Attrition Modeling'!$C:$C,AR$68),VLOOKUP(AR$69-$F111-1,$A$7:$C$161,2,FALSE)*VLOOKUP(AR$1,'Attrition Modeling'!$L$15:$N$27,IF(AR$2-$F44&lt;=24,2,3),FALSE))*(1+Projection!AT$16)*(1+IF(AR176&gt;0,'Attrition Modeling'!$N$9,0))),0))</f>
        <v>0</v>
      </c>
      <c r="AS111" s="799">
        <f>IF(AS$69=$F111+1,IF(Monthly!AO$4=TRUE,0,Monthly!AO$17),IF(AS$69&gt;$F111+1,AR111*(1-IF(AS$69-$F111&lt;=12,SUMIFS('Attrition Modeling'!$D:$D,'Attrition Modeling'!$B:$B,$E111,'Attrition Modeling'!$C:$C,AS$68),VLOOKUP(AS$69-$F111-1,$A$7:$C$161,2,FALSE)*VLOOKUP(AS$1,'Attrition Modeling'!$L$15:$N$27,IF(AS$2-$F44&lt;=24,2,3),FALSE))*(1+Projection!AU$16)*(1+IF(AS176&gt;0,'Attrition Modeling'!$N$9,0))),0))</f>
        <v>0</v>
      </c>
      <c r="AT111" s="799">
        <f>IF(AT$69=$F111+1,IF(Monthly!AP$4=TRUE,0,Monthly!AP$17),IF(AT$69&gt;$F111+1,AS111*(1-IF(AT$69-$F111&lt;=12,SUMIFS('Attrition Modeling'!$D:$D,'Attrition Modeling'!$B:$B,$E111,'Attrition Modeling'!$C:$C,AT$68),VLOOKUP(AT$69-$F111-1,$A$7:$C$161,2,FALSE)*VLOOKUP(AT$1,'Attrition Modeling'!$L$15:$N$27,IF(AT$2-$F44&lt;=24,2,3),FALSE))*(1+Projection!AV$16)*(1+IF(AT176&gt;0,'Attrition Modeling'!$N$9,0))),0))</f>
        <v>0</v>
      </c>
      <c r="AU111" s="799">
        <f>IF(AU$69=$F111+1,IF(Monthly!AQ$4=TRUE,0,Monthly!AQ$17),IF(AU$69&gt;$F111+1,AT111*(1-IF(AU$69-$F111&lt;=12,SUMIFS('Attrition Modeling'!$D:$D,'Attrition Modeling'!$B:$B,$E111,'Attrition Modeling'!$C:$C,AU$68),VLOOKUP(AU$69-$F111-1,$A$7:$C$161,2,FALSE)*VLOOKUP(AU$1,'Attrition Modeling'!$L$15:$N$27,IF(AU$2-$F44&lt;=24,2,3),FALSE))*(1+Projection!AW$16)*(1+IF(AU176&gt;0,'Attrition Modeling'!$N$9,0))),0))</f>
        <v>0</v>
      </c>
      <c r="AV111" s="799">
        <f>IF(AV$69=$F111+1,IF(Monthly!AR$4=TRUE,0,Monthly!AR$17),IF(AV$69&gt;$F111+1,AU111*(1-IF(AV$69-$F111&lt;=12,SUMIFS('Attrition Modeling'!$D:$D,'Attrition Modeling'!$B:$B,$E111,'Attrition Modeling'!$C:$C,AV$68),VLOOKUP(AV$69-$F111-1,$A$7:$C$161,2,FALSE)*VLOOKUP(AV$1,'Attrition Modeling'!$L$15:$N$27,IF(AV$2-$F44&lt;=24,2,3),FALSE))*(1+Projection!AX$16)*(1+IF(AV176&gt;0,'Attrition Modeling'!$N$9,0))),0))</f>
        <v>0</v>
      </c>
      <c r="AW111" s="799">
        <f>IF(AW$69=$F111+1,IF(Monthly!AS$4=TRUE,0,Monthly!AS$17),IF(AW$69&gt;$F111+1,AV111*(1-IF(AW$69-$F111&lt;=12,SUMIFS('Attrition Modeling'!$D:$D,'Attrition Modeling'!$B:$B,$E111,'Attrition Modeling'!$C:$C,AW$68),VLOOKUP(AW$69-$F111-1,$A$7:$C$161,2,FALSE)*VLOOKUP(AW$1,'Attrition Modeling'!$L$15:$N$27,IF(AW$2-$F44&lt;=24,2,3),FALSE))*(1+Projection!AY$16)*(1+IF(AW176&gt;0,'Attrition Modeling'!$N$9,0))),0))</f>
        <v>6704.0053368326335</v>
      </c>
      <c r="AX111" s="799">
        <f>IF(AX$69=$F111+1,IF(Monthly!AT$4=TRUE,0,Monthly!AT$17),IF(AX$69&gt;$F111+1,AW111*(1-IF(AX$69-$F111&lt;=12,SUMIFS('Attrition Modeling'!$D:$D,'Attrition Modeling'!$B:$B,$E111,'Attrition Modeling'!$C:$C,AX$68),VLOOKUP(AX$69-$F111-1,$A$7:$C$161,2,FALSE)*VLOOKUP(AX$1,'Attrition Modeling'!$L$15:$N$27,IF(AX$2-$F44&lt;=24,2,3),FALSE))*(1+Projection!AZ$16)*(1+IF(AX176&gt;0,'Attrition Modeling'!$N$9,0))),0))</f>
        <v>5965.0690861903959</v>
      </c>
      <c r="AY111" s="799">
        <f>IF(AY$69=$F111+1,IF(Monthly!AU$4=TRUE,0,Monthly!AU$17),IF(AY$69&gt;$F111+1,AX111*(1-IF(AY$69-$F111&lt;=12,SUMIFS('Attrition Modeling'!$D:$D,'Attrition Modeling'!$B:$B,$E111,'Attrition Modeling'!$C:$C,AY$68),VLOOKUP(AY$69-$F111-1,$A$7:$C$161,2,FALSE)*VLOOKUP(AY$1,'Attrition Modeling'!$L$15:$N$27,IF(AY$2-$F44&lt;=24,2,3),FALSE))*(1+Projection!BA$16)*(1+IF(AY176&gt;0,'Attrition Modeling'!$N$9,0))),0))</f>
        <v>5169.3539233827596</v>
      </c>
      <c r="AZ111" s="799">
        <f>IF(AZ$69=$F111+1,IF(Monthly!AV$4=TRUE,0,Monthly!AV$17),IF(AZ$69&gt;$F111+1,AY111*(1-IF(AZ$69-$F111&lt;=12,SUMIFS('Attrition Modeling'!$D:$D,'Attrition Modeling'!$B:$B,$E111,'Attrition Modeling'!$C:$C,AZ$68),VLOOKUP(AZ$69-$F111-1,$A$7:$C$161,2,FALSE)*VLOOKUP(AZ$1,'Attrition Modeling'!$L$15:$N$27,IF(AZ$2-$F44&lt;=24,2,3),FALSE))*(1+Projection!BB$16)*(1+IF(AZ176&gt;0,'Attrition Modeling'!$N$9,0))),0))</f>
        <v>4602.7157100065506</v>
      </c>
      <c r="BA111" s="799">
        <f>IF(BA$69=$F111+1,IF(Monthly!AW$4=TRUE,0,Monthly!AW$17),IF(BA$69&gt;$F111+1,AZ111*(1-IF(BA$69-$F111&lt;=12,SUMIFS('Attrition Modeling'!$D:$D,'Attrition Modeling'!$B:$B,$E111,'Attrition Modeling'!$C:$C,BA$68),VLOOKUP(BA$69-$F111-1,$A$7:$C$161,2,FALSE)*VLOOKUP(BA$1,'Attrition Modeling'!$L$15:$N$27,IF(BA$2-$F44&lt;=24,2,3),FALSE))*(1+Projection!BC$16)*(1+IF(BA176&gt;0,'Attrition Modeling'!$N$9,0))),0))</f>
        <v>4177.9246333280516</v>
      </c>
      <c r="BB111" s="799">
        <f>IF(BB$69=$F111+1,IF(Monthly!AX$4=TRUE,0,Monthly!AX$17),IF(BB$69&gt;$F111+1,BA111*(1-IF(BB$69-$F111&lt;=12,SUMIFS('Attrition Modeling'!$D:$D,'Attrition Modeling'!$B:$B,$E111,'Attrition Modeling'!$C:$C,BB$68),VLOOKUP(BB$69-$F111-1,$A$7:$C$161,2,FALSE)*VLOOKUP(BB$1,'Attrition Modeling'!$L$15:$N$27,IF(BB$2-$F44&lt;=24,2,3),FALSE))*(1+Projection!BD$16)*(1+IF(BB176&gt;0,'Attrition Modeling'!$N$9,0))),0))</f>
        <v>3719.9859574192442</v>
      </c>
      <c r="BC111" s="799">
        <f>IF(BC$69=$F111+1,IF(Monthly!AY$4=TRUE,0,Monthly!AY$17),IF(BC$69&gt;$F111+1,BB111*(1-IF(BC$69-$F111&lt;=12,SUMIFS('Attrition Modeling'!$D:$D,'Attrition Modeling'!$B:$B,$E111,'Attrition Modeling'!$C:$C,BC$68),VLOOKUP(BC$69-$F111-1,$A$7:$C$161,2,FALSE)*VLOOKUP(BC$1,'Attrition Modeling'!$L$15:$N$27,IF(BC$2-$F44&lt;=24,2,3),FALSE))*(1+Projection!BE$16)*(1+IF(BC176&gt;0,'Attrition Modeling'!$N$9,0))),0))</f>
        <v>3433.9646071216825</v>
      </c>
      <c r="BD111" s="799">
        <f>IF(BD$69=$F111+1,IF(Monthly!AZ$4=TRUE,0,Monthly!AZ$17),IF(BD$69&gt;$F111+1,BC111*(1-IF(BD$69-$F111&lt;=12,SUMIFS('Attrition Modeling'!$D:$D,'Attrition Modeling'!$B:$B,$E111,'Attrition Modeling'!$C:$C,BD$68),VLOOKUP(BD$69-$F111-1,$A$7:$C$161,2,FALSE)*VLOOKUP(BD$1,'Attrition Modeling'!$L$15:$N$27,IF(BD$2-$F44&lt;=24,2,3),FALSE))*(1+Projection!BF$16)*(1+IF(BD176&gt;0,'Attrition Modeling'!$N$9,0))),0))</f>
        <v>3211.636311655011</v>
      </c>
      <c r="BE111" s="799">
        <f>IF(BE$69=$F111+1,IF(Monthly!BA$4=TRUE,0,Monthly!BA$17),IF(BE$69&gt;$F111+1,BD111*(1-IF(BE$69-$F111&lt;=12,SUMIFS('Attrition Modeling'!$D:$D,'Attrition Modeling'!$B:$B,$E111,'Attrition Modeling'!$C:$C,BE$68),VLOOKUP(BE$69-$F111-1,$A$7:$C$161,2,FALSE)*VLOOKUP(BE$1,'Attrition Modeling'!$L$15:$N$27,IF(BE$2-$F44&lt;=24,2,3),FALSE))*(1+Projection!BG$16)*(1+IF(BE176&gt;0,'Attrition Modeling'!$N$9,0))),0))</f>
        <v>3031.1651535578121</v>
      </c>
      <c r="BF111" s="799">
        <f>IF(BF$69=$F111+1,IF(Monthly!BB$4=TRUE,0,Monthly!BB$17),IF(BF$69&gt;$F111+1,BE111*(1-IF(BF$69-$F111&lt;=12,SUMIFS('Attrition Modeling'!$D:$D,'Attrition Modeling'!$B:$B,$E111,'Attrition Modeling'!$C:$C,BF$68),VLOOKUP(BF$69-$F111-1,$A$7:$C$161,2,FALSE)*VLOOKUP(BF$1,'Attrition Modeling'!$L$15:$N$27,IF(BF$2-$F44&lt;=24,2,3),FALSE))*(1+Projection!BH$16)*(1+IF(BF176&gt;0,'Attrition Modeling'!$N$9,0))),0))</f>
        <v>2858.3175377355601</v>
      </c>
      <c r="BG111" s="799">
        <f>IF(BG$69=$F111+1,IF(Monthly!BC$4=TRUE,0,Monthly!BC$17),IF(BG$69&gt;$F111+1,BF111*(1-IF(BG$69-$F111&lt;=12,SUMIFS('Attrition Modeling'!$D:$D,'Attrition Modeling'!$B:$B,$E111,'Attrition Modeling'!$C:$C,BG$68),VLOOKUP(BG$69-$F111-1,$A$7:$C$161,2,FALSE)*VLOOKUP(BG$1,'Attrition Modeling'!$L$15:$N$27,IF(BG$2-$F44&lt;=24,2,3),FALSE))*(1+Projection!BI$16)*(1+IF(BG176&gt;0,'Attrition Modeling'!$N$9,0))),0))</f>
        <v>2705.2117302435795</v>
      </c>
      <c r="BH111" s="799">
        <f>IF(BH$69=$F111+1,IF(Monthly!BD$4=TRUE,0,Monthly!BD$17),IF(BH$69&gt;$F111+1,BG111*(1-IF(BH$69-$F111&lt;=12,SUMIFS('Attrition Modeling'!$D:$D,'Attrition Modeling'!$B:$B,$E111,'Attrition Modeling'!$C:$C,BH$68),VLOOKUP(BH$69-$F111-1,$A$7:$C$161,2,FALSE)*VLOOKUP(BH$1,'Attrition Modeling'!$L$15:$N$27,IF(BH$2-$F44&lt;=24,2,3),FALSE))*(1+Projection!BJ$16)*(1+IF(BH176&gt;0,'Attrition Modeling'!$N$9,0))),0))</f>
        <v>2638.356750669378</v>
      </c>
      <c r="BI111" s="799">
        <f>IF(BI$69=$F111+1,IF(Monthly!BE$4=TRUE,0,Monthly!BE$17),IF(BI$69&gt;$F111+1,BH111*(1-IF(BI$69-$F111&lt;=12,SUMIFS('Attrition Modeling'!$D:$D,'Attrition Modeling'!$B:$B,$E111,'Attrition Modeling'!$C:$C,BI$68),VLOOKUP(BI$69-$F111-1,$A$7:$C$161,2,FALSE)*VLOOKUP(BI$1,'Attrition Modeling'!$L$15:$N$27,IF(BI$2-$F44&lt;=24,2,3),FALSE))*(1+Projection!BK$16)*(1+IF(BI176&gt;0,'Attrition Modeling'!$N$9,0))),0))</f>
        <v>2488.8681428449331</v>
      </c>
      <c r="BJ111" s="799">
        <f>IF(BJ$69=$F111+1,IF(Monthly!BF$4=TRUE,0,Monthly!BF$17),IF(BJ$69&gt;$F111+1,BI111*(1-IF(BJ$69-$F111&lt;=12,SUMIFS('Attrition Modeling'!$D:$D,'Attrition Modeling'!$B:$B,$E111,'Attrition Modeling'!$C:$C,BJ$68),VLOOKUP(BJ$69-$F111-1,$A$7:$C$161,2,FALSE)*VLOOKUP(BJ$1,'Attrition Modeling'!$L$15:$N$27,IF(BJ$2-$F44&lt;=24,2,3),FALSE))*(1+Projection!BL$16)*(1+IF(BJ176&gt;0,'Attrition Modeling'!$N$9,0))),0))</f>
        <v>2355.6616221893596</v>
      </c>
      <c r="BK111" s="799">
        <f>IF(BK$69=$F111+1,IF(Monthly!BG$4=TRUE,0,Monthly!BG$17),IF(BK$69&gt;$F111+1,BJ111*(1-IF(BK$69-$F111&lt;=12,SUMIFS('Attrition Modeling'!$D:$D,'Attrition Modeling'!$B:$B,$E111,'Attrition Modeling'!$C:$C,BK$68),VLOOKUP(BK$69-$F111-1,$A$7:$C$161,2,FALSE)*VLOOKUP(BK$1,'Attrition Modeling'!$L$15:$N$27,IF(BK$2-$F44&lt;=24,2,3),FALSE))*(1+Projection!BM$16)*(1+IF(BK176&gt;0,'Attrition Modeling'!$N$9,0))),0))</f>
        <v>2230.4547141183994</v>
      </c>
      <c r="BL111" s="799">
        <f>IF(BL$69=$F111+1,IF(Monthly!BH$4=TRUE,0,Monthly!BH$17),IF(BL$69&gt;$F111+1,BK111*(1-IF(BL$69-$F111&lt;=12,SUMIFS('Attrition Modeling'!$D:$D,'Attrition Modeling'!$B:$B,$E111,'Attrition Modeling'!$C:$C,BL$68),VLOOKUP(BL$69-$F111-1,$A$7:$C$161,2,FALSE)*VLOOKUP(BL$1,'Attrition Modeling'!$L$15:$N$27,IF(BL$2-$F44&lt;=24,2,3),FALSE))*(1+Projection!BN$16)*(1+IF(BL176&gt;0,'Attrition Modeling'!$N$9,0))),0))</f>
        <v>2126.2997336975845</v>
      </c>
      <c r="BM111" s="799">
        <f>IF(BM$69=$F111+1,IF(Monthly!BI$4=TRUE,0,Monthly!BI$17),IF(BM$69&gt;$F111+1,BL111*(1-IF(BM$69-$F111&lt;=12,SUMIFS('Attrition Modeling'!$D:$D,'Attrition Modeling'!$B:$B,$E111,'Attrition Modeling'!$C:$C,BM$68),VLOOKUP(BM$69-$F111-1,$A$7:$C$161,2,FALSE)*VLOOKUP(BM$1,'Attrition Modeling'!$L$15:$N$27,IF(BM$2-$F44&lt;=24,2,3),FALSE))*(1+Projection!BO$16)*(1+IF(BM176&gt;0,'Attrition Modeling'!$N$9,0))),0))</f>
        <v>2027.6988167316088</v>
      </c>
      <c r="BN111" s="799">
        <f>IF(BN$69=$F111+1,IF(Monthly!BJ$4=TRUE,0,Monthly!BJ$17),IF(BN$69&gt;$F111+1,BM111*(1-IF(BN$69-$F111&lt;=12,SUMIFS('Attrition Modeling'!$D:$D,'Attrition Modeling'!$B:$B,$E111,'Attrition Modeling'!$C:$C,BN$68),VLOOKUP(BN$69-$F111-1,$A$7:$C$161,2,FALSE)*VLOOKUP(BN$1,'Attrition Modeling'!$L$15:$N$27,IF(BN$2-$F44&lt;=24,2,3),FALSE))*(1+Projection!BP$16)*(1+IF(BN176&gt;0,'Attrition Modeling'!$N$9,0))),0))</f>
        <v>1921.8404758745683</v>
      </c>
      <c r="BO111" s="799">
        <f>IF(BO$69=$F111+1,IF(Monthly!BK$4=TRUE,0,Monthly!BK$17),IF(BO$69&gt;$F111+1,BN111*(1-IF(BO$69-$F111&lt;=12,SUMIFS('Attrition Modeling'!$D:$D,'Attrition Modeling'!$B:$B,$E111,'Attrition Modeling'!$C:$C,BO$68),VLOOKUP(BO$69-$F111-1,$A$7:$C$161,2,FALSE)*VLOOKUP(BO$1,'Attrition Modeling'!$L$15:$N$27,IF(BO$2-$F44&lt;=24,2,3),FALSE))*(1+Projection!BV$16)*(1+IF(BO176&gt;0,'Attrition Modeling'!$N$9,0))),0))</f>
        <v>1840.8846245041102</v>
      </c>
      <c r="BP111" s="799">
        <f>IF(BP$69=$F111+1,IF(Monthly!BL$4=TRUE,0,Monthly!BL$17),IF(BP$69&gt;$F111+1,BO111*(1-IF(BP$69-$F111&lt;=12,SUMIFS('Attrition Modeling'!$D:$D,'Attrition Modeling'!$B:$B,$E111,'Attrition Modeling'!$C:$C,BP$68),VLOOKUP(BP$69-$F111-1,$A$7:$C$161,2,FALSE)*VLOOKUP(BP$1,'Attrition Modeling'!$L$15:$N$27,IF(BP$2-$F44&lt;=24,2,3),FALSE))*(1+Projection!BW$16)*(1+IF(BP176&gt;0,'Attrition Modeling'!$N$9,0))),0))</f>
        <v>1764.7436919149957</v>
      </c>
      <c r="BQ111" s="799">
        <f>IF(BQ$69=$F111+1,IF(Monthly!BM$4=TRUE,0,Monthly!BM$17),IF(BQ$69&gt;$F111+1,BP111*(1-IF(BQ$69-$F111&lt;=12,SUMIFS('Attrition Modeling'!$D:$D,'Attrition Modeling'!$B:$B,$E111,'Attrition Modeling'!$C:$C,BQ$68),VLOOKUP(BQ$69-$F111-1,$A$7:$C$161,2,FALSE)*VLOOKUP(BQ$1,'Attrition Modeling'!$L$15:$N$27,IF(BQ$2-$F44&lt;=24,2,3),FALSE))*(1+Projection!BX$16)*(1+IF(BQ176&gt;0,'Attrition Modeling'!$N$9,0))),0))</f>
        <v>1700.0224121541328</v>
      </c>
      <c r="BR111" s="799">
        <f>IF(BR$69=$F111+1,IF(Monthly!BN$4=TRUE,0,Monthly!BN$17),IF(BR$69&gt;$F111+1,BQ111*(1-IF(BR$69-$F111&lt;=12,SUMIFS('Attrition Modeling'!$D:$D,'Attrition Modeling'!$B:$B,$E111,'Attrition Modeling'!$C:$C,BR$68),VLOOKUP(BR$69-$F111-1,$A$7:$C$161,2,FALSE)*VLOOKUP(BR$1,'Attrition Modeling'!$L$15:$N$27,IF(BR$2-$F44&lt;=24,2,3),FALSE))*(1+Projection!BY$16)*(1+IF(BR176&gt;0,'Attrition Modeling'!$N$9,0))),0))</f>
        <v>1633.2084010668111</v>
      </c>
      <c r="BS111" s="799">
        <f>IF(BS$69=$F111+1,IF(Monthly!BO$4=TRUE,0,Monthly!BO$17),IF(BS$69&gt;$F111+1,BR111*(1-IF(BS$69-$F111&lt;=12,SUMIFS('Attrition Modeling'!$D:$D,'Attrition Modeling'!$B:$B,$E111,'Attrition Modeling'!$C:$C,BS$68),VLOOKUP(BS$69-$F111-1,$A$7:$C$161,2,FALSE)*VLOOKUP(BS$1,'Attrition Modeling'!$L$15:$N$27,IF(BS$2-$F44&lt;=24,2,3),FALSE))*(1+Projection!BZ$16)*(1+IF(BS176&gt;0,'Attrition Modeling'!$N$9,0))),0))</f>
        <v>1570.9986117129072</v>
      </c>
      <c r="BT111" s="799">
        <f>IF(BT$69=$F111+1,IF(Monthly!#REF!=TRUE,0,Monthly!#REF!),IF(BT$69&gt;$F111+1,BS111*(1-IF(BT$69-$F111&lt;=12,SUMIFS('Attrition Modeling'!$D:$D,'Attrition Modeling'!$B:$B,$E111,'Attrition Modeling'!$C:$C,BT$68),VLOOKUP(BT$69-$F111-1,$A$7:$C$161,2,FALSE)*VLOOKUP(BT$1,'Attrition Modeling'!$L$15:$N$27,IF(BT$2-$F44&lt;=24,2,3),FALSE))*(1+Projection!CA$16)*(1+IF(BT176&gt;0,'Attrition Modeling'!$N$9,0))),0))</f>
        <v>1512.3719233057675</v>
      </c>
      <c r="BU111" s="799">
        <f>IF(BU$69=$F111+1,IF(Monthly!#REF!=TRUE,0,Monthly!#REF!),IF(BU$69&gt;$F111+1,BT111*(1-IF(BU$69-$F111&lt;=12,SUMIFS('Attrition Modeling'!$D:$D,'Attrition Modeling'!$B:$B,$E111,'Attrition Modeling'!$C:$C,BU$68),VLOOKUP(BU$69-$F111-1,$A$7:$C$161,2,FALSE)*VLOOKUP(BU$1,'Attrition Modeling'!$L$15:$N$27,IF(BU$2-$F44&lt;=24,2,3),FALSE))*(1+Projection!CB$16)*(1+IF(BU176&gt;0,'Attrition Modeling'!$N$9,0))),0))</f>
        <v>1456.2941459408667</v>
      </c>
    </row>
    <row r="112" spans="1:73" ht="14.25" customHeight="1" x14ac:dyDescent="0.2">
      <c r="A112" s="9">
        <v>105</v>
      </c>
      <c r="B112" s="25">
        <f>MAX('Attrition Modeling'!H109,$C$3)*(1-Summary!$C$20)</f>
        <v>0.02</v>
      </c>
      <c r="C112" s="24" t="e">
        <f t="shared" si="4"/>
        <v>#DIV/0!</v>
      </c>
      <c r="E112" s="11">
        <f t="shared" si="9"/>
        <v>6</v>
      </c>
      <c r="F112" s="11">
        <f t="shared" si="10"/>
        <v>42</v>
      </c>
      <c r="G112" s="799"/>
      <c r="H112" s="799">
        <f>IF(H$69=$F112+1,IF(Monthly!D$4=TRUE,0,Monthly!D$17),IF(H$69&gt;$F112+1,G112*(1-IF(H$69-$F112&lt;=12,SUMIFS('Attrition Modeling'!$D:$D,'Attrition Modeling'!$B:$B,$E112,'Attrition Modeling'!$C:$C,H$68),VLOOKUP(H$69-$F112-1,$A$7:$C$161,2,FALSE)*VLOOKUP(H$1,'Attrition Modeling'!$L$15:$N$27,IF(H$2-$F45&lt;=24,2,3),FALSE))*(1+Projection!J$16)*(1+IF(H177&gt;0,'Attrition Modeling'!$N$9,0))),0))</f>
        <v>0</v>
      </c>
      <c r="I112" s="799">
        <f>IF(I$69=$F112+1,IF(Monthly!E$4=TRUE,0,Monthly!E$17),IF(I$69&gt;$F112+1,H112*(1-IF(I$69-$F112&lt;=12,SUMIFS('Attrition Modeling'!$D:$D,'Attrition Modeling'!$B:$B,$E112,'Attrition Modeling'!$C:$C,I$68),VLOOKUP(I$69-$F112-1,$A$7:$C$161,2,FALSE)*VLOOKUP(I$1,'Attrition Modeling'!$L$15:$N$27,IF(I$2-$F45&lt;=24,2,3),FALSE))*(1+Projection!K$16)*(1+IF(I177&gt;0,'Attrition Modeling'!$N$9,0))),0))</f>
        <v>0</v>
      </c>
      <c r="J112" s="799">
        <f>IF(J$69=$F112+1,IF(Monthly!F$4=TRUE,0,Monthly!F$17),IF(J$69&gt;$F112+1,I112*(1-IF(J$69-$F112&lt;=12,SUMIFS('Attrition Modeling'!$D:$D,'Attrition Modeling'!$B:$B,$E112,'Attrition Modeling'!$C:$C,J$68),VLOOKUP(J$69-$F112-1,$A$7:$C$161,2,FALSE)*VLOOKUP(J$1,'Attrition Modeling'!$L$15:$N$27,IF(J$2-$F45&lt;=24,2,3),FALSE))*(1+Projection!L$16)*(1+IF(J177&gt;0,'Attrition Modeling'!$N$9,0))),0))</f>
        <v>0</v>
      </c>
      <c r="K112" s="799">
        <f>IF(K$69=$F112+1,IF(Monthly!G$4=TRUE,0,Monthly!G$17),IF(K$69&gt;$F112+1,J112*(1-IF(K$69-$F112&lt;=12,SUMIFS('Attrition Modeling'!$D:$D,'Attrition Modeling'!$B:$B,$E112,'Attrition Modeling'!$C:$C,K$68),VLOOKUP(K$69-$F112-1,$A$7:$C$161,2,FALSE)*VLOOKUP(K$1,'Attrition Modeling'!$L$15:$N$27,IF(K$2-$F45&lt;=24,2,3),FALSE))*(1+Projection!M$16)*(1+IF(K177&gt;0,'Attrition Modeling'!$N$9,0))),0))</f>
        <v>0</v>
      </c>
      <c r="L112" s="799">
        <f>IF(L$69=$F112+1,IF(Monthly!H$4=TRUE,0,Monthly!H$17),IF(L$69&gt;$F112+1,K112*(1-IF(L$69-$F112&lt;=12,SUMIFS('Attrition Modeling'!$D:$D,'Attrition Modeling'!$B:$B,$E112,'Attrition Modeling'!$C:$C,L$68),VLOOKUP(L$69-$F112-1,$A$7:$C$161,2,FALSE)*VLOOKUP(L$1,'Attrition Modeling'!$L$15:$N$27,IF(L$2-$F45&lt;=24,2,3),FALSE))*(1+Projection!N$16)*(1+IF(L177&gt;0,'Attrition Modeling'!$N$9,0))),0))</f>
        <v>0</v>
      </c>
      <c r="M112" s="799">
        <f>IF(M$69=$F112+1,IF(Monthly!I$4=TRUE,0,Monthly!I$17),IF(M$69&gt;$F112+1,L112*(1-IF(M$69-$F112&lt;=12,SUMIFS('Attrition Modeling'!$D:$D,'Attrition Modeling'!$B:$B,$E112,'Attrition Modeling'!$C:$C,M$68),VLOOKUP(M$69-$F112-1,$A$7:$C$161,2,FALSE)*VLOOKUP(M$1,'Attrition Modeling'!$L$15:$N$27,IF(M$2-$F45&lt;=24,2,3),FALSE))*(1+Projection!O$16)*(1+IF(M177&gt;0,'Attrition Modeling'!$N$9,0))),0))</f>
        <v>0</v>
      </c>
      <c r="N112" s="799">
        <f>IF(N$69=$F112+1,IF(Monthly!J$4=TRUE,0,Monthly!J$17),IF(N$69&gt;$F112+1,M112*(1-IF(N$69-$F112&lt;=12,SUMIFS('Attrition Modeling'!$D:$D,'Attrition Modeling'!$B:$B,$E112,'Attrition Modeling'!$C:$C,N$68),VLOOKUP(N$69-$F112-1,$A$7:$C$161,2,FALSE)*VLOOKUP(N$1,'Attrition Modeling'!$L$15:$N$27,IF(N$2-$F45&lt;=24,2,3),FALSE))*(1+Projection!P$16)*(1+IF(N177&gt;0,'Attrition Modeling'!$N$9,0))),0))</f>
        <v>0</v>
      </c>
      <c r="O112" s="799">
        <f>IF(O$69=$F112+1,IF(Monthly!K$4=TRUE,0,Monthly!K$17),IF(O$69&gt;$F112+1,N112*(1-IF(O$69-$F112&lt;=12,SUMIFS('Attrition Modeling'!$D:$D,'Attrition Modeling'!$B:$B,$E112,'Attrition Modeling'!$C:$C,O$68),VLOOKUP(O$69-$F112-1,$A$7:$C$161,2,FALSE)*VLOOKUP(O$1,'Attrition Modeling'!$L$15:$N$27,IF(O$2-$F45&lt;=24,2,3),FALSE))*(1+Projection!Q$16)*(1+IF(O177&gt;0,'Attrition Modeling'!$N$9,0))),0))</f>
        <v>0</v>
      </c>
      <c r="P112" s="799">
        <f>IF(P$69=$F112+1,IF(Monthly!L$4=TRUE,0,Monthly!L$17),IF(P$69&gt;$F112+1,O112*(1-IF(P$69-$F112&lt;=12,SUMIFS('Attrition Modeling'!$D:$D,'Attrition Modeling'!$B:$B,$E112,'Attrition Modeling'!$C:$C,P$68),VLOOKUP(P$69-$F112-1,$A$7:$C$161,2,FALSE)*VLOOKUP(P$1,'Attrition Modeling'!$L$15:$N$27,IF(P$2-$F45&lt;=24,2,3),FALSE))*(1+Projection!R$16)*(1+IF(P177&gt;0,'Attrition Modeling'!$N$9,0))),0))</f>
        <v>0</v>
      </c>
      <c r="Q112" s="799">
        <f>IF(Q$69=$F112+1,IF(Monthly!M$4=TRUE,0,Monthly!M$17),IF(Q$69&gt;$F112+1,P112*(1-IF(Q$69-$F112&lt;=12,SUMIFS('Attrition Modeling'!$D:$D,'Attrition Modeling'!$B:$B,$E112,'Attrition Modeling'!$C:$C,Q$68),VLOOKUP(Q$69-$F112-1,$A$7:$C$161,2,FALSE)*VLOOKUP(Q$1,'Attrition Modeling'!$L$15:$N$27,IF(Q$2-$F45&lt;=24,2,3),FALSE))*(1+Projection!S$16)*(1+IF(Q177&gt;0,'Attrition Modeling'!$N$9,0))),0))</f>
        <v>0</v>
      </c>
      <c r="R112" s="799">
        <f>IF(R$69=$F112+1,IF(Monthly!N$4=TRUE,0,Monthly!N$17),IF(R$69&gt;$F112+1,Q112*(1-IF(R$69-$F112&lt;=12,SUMIFS('Attrition Modeling'!$D:$D,'Attrition Modeling'!$B:$B,$E112,'Attrition Modeling'!$C:$C,R$68),VLOOKUP(R$69-$F112-1,$A$7:$C$161,2,FALSE)*VLOOKUP(R$1,'Attrition Modeling'!$L$15:$N$27,IF(R$2-$F45&lt;=24,2,3),FALSE))*(1+Projection!T$16)*(1+IF(R177&gt;0,'Attrition Modeling'!$N$9,0))),0))</f>
        <v>0</v>
      </c>
      <c r="S112" s="799">
        <f>IF(S$69=$F112+1,IF(Monthly!O$4=TRUE,0,Monthly!O$17),IF(S$69&gt;$F112+1,R112*(1-IF(S$69-$F112&lt;=12,SUMIFS('Attrition Modeling'!$D:$D,'Attrition Modeling'!$B:$B,$E112,'Attrition Modeling'!$C:$C,S$68),VLOOKUP(S$69-$F112-1,$A$7:$C$161,2,FALSE)*VLOOKUP(S$1,'Attrition Modeling'!$L$15:$N$27,IF(S$2-$F45&lt;=24,2,3),FALSE))*(1+Projection!U$16)*(1+IF(S177&gt;0,'Attrition Modeling'!$N$9,0))),0))</f>
        <v>0</v>
      </c>
      <c r="T112" s="799">
        <f>IF(T$69=$F112+1,IF(Monthly!P$4=TRUE,0,Monthly!P$17),IF(T$69&gt;$F112+1,S112*(1-IF(T$69-$F112&lt;=12,SUMIFS('Attrition Modeling'!$D:$D,'Attrition Modeling'!$B:$B,$E112,'Attrition Modeling'!$C:$C,T$68),VLOOKUP(T$69-$F112-1,$A$7:$C$161,2,FALSE)*VLOOKUP(T$1,'Attrition Modeling'!$L$15:$N$27,IF(T$2-$F45&lt;=24,2,3),FALSE))*(1+Projection!V$16)*(1+IF(T177&gt;0,'Attrition Modeling'!$N$9,0))),0))</f>
        <v>0</v>
      </c>
      <c r="U112" s="799">
        <f>IF(U$69=$F112+1,IF(Monthly!Q$4=TRUE,0,Monthly!Q$17),IF(U$69&gt;$F112+1,T112*(1-IF(U$69-$F112&lt;=12,SUMIFS('Attrition Modeling'!$D:$D,'Attrition Modeling'!$B:$B,$E112,'Attrition Modeling'!$C:$C,U$68),VLOOKUP(U$69-$F112-1,$A$7:$C$161,2,FALSE)*VLOOKUP(U$1,'Attrition Modeling'!$L$15:$N$27,IF(U$2-$F45&lt;=24,2,3),FALSE))*(1+Projection!W$16)*(1+IF(U177&gt;0,'Attrition Modeling'!$N$9,0))),0))</f>
        <v>0</v>
      </c>
      <c r="V112" s="799">
        <f>IF(V$69=$F112+1,IF(Monthly!R$4=TRUE,0,Monthly!R$17),IF(V$69&gt;$F112+1,U112*(1-IF(V$69-$F112&lt;=12,SUMIFS('Attrition Modeling'!$D:$D,'Attrition Modeling'!$B:$B,$E112,'Attrition Modeling'!$C:$C,V$68),VLOOKUP(V$69-$F112-1,$A$7:$C$161,2,FALSE)*VLOOKUP(V$1,'Attrition Modeling'!$L$15:$N$27,IF(V$2-$F45&lt;=24,2,3),FALSE))*(1+Projection!X$16)*(1+IF(V177&gt;0,'Attrition Modeling'!$N$9,0))),0))</f>
        <v>0</v>
      </c>
      <c r="W112" s="799">
        <f>IF(W$69=$F112+1,IF(Monthly!S$4=TRUE,0,Monthly!S$17),IF(W$69&gt;$F112+1,V112*(1-IF(W$69-$F112&lt;=12,SUMIFS('Attrition Modeling'!$D:$D,'Attrition Modeling'!$B:$B,$E112,'Attrition Modeling'!$C:$C,W$68),VLOOKUP(W$69-$F112-1,$A$7:$C$161,2,FALSE)*VLOOKUP(W$1,'Attrition Modeling'!$L$15:$N$27,IF(W$2-$F45&lt;=24,2,3),FALSE))*(1+Projection!Y$16)*(1+IF(W177&gt;0,'Attrition Modeling'!$N$9,0))),0))</f>
        <v>0</v>
      </c>
      <c r="X112" s="799">
        <f>IF(X$69=$F112+1,IF(Monthly!T$4=TRUE,0,Monthly!T$17),IF(X$69&gt;$F112+1,W112*(1-IF(X$69-$F112&lt;=12,SUMIFS('Attrition Modeling'!$D:$D,'Attrition Modeling'!$B:$B,$E112,'Attrition Modeling'!$C:$C,X$68),VLOOKUP(X$69-$F112-1,$A$7:$C$161,2,FALSE)*VLOOKUP(X$1,'Attrition Modeling'!$L$15:$N$27,IF(X$2-$F45&lt;=24,2,3),FALSE))*(1+Projection!Z$16)*(1+IF(X177&gt;0,'Attrition Modeling'!$N$9,0))),0))</f>
        <v>0</v>
      </c>
      <c r="Y112" s="799">
        <f>IF(Y$69=$F112+1,IF(Monthly!U$4=TRUE,0,Monthly!U$17),IF(Y$69&gt;$F112+1,X112*(1-IF(Y$69-$F112&lt;=12,SUMIFS('Attrition Modeling'!$D:$D,'Attrition Modeling'!$B:$B,$E112,'Attrition Modeling'!$C:$C,Y$68),VLOOKUP(Y$69-$F112-1,$A$7:$C$161,2,FALSE)*VLOOKUP(Y$1,'Attrition Modeling'!$L$15:$N$27,IF(Y$2-$F45&lt;=24,2,3),FALSE))*(1+Projection!AA$16)*(1+IF(Y177&gt;0,'Attrition Modeling'!$N$9,0))),0))</f>
        <v>0</v>
      </c>
      <c r="Z112" s="799">
        <f>IF(Z$69=$F112+1,IF(Monthly!V$4=TRUE,0,Monthly!V$17),IF(Z$69&gt;$F112+1,Y112*(1-IF(Z$69-$F112&lt;=12,SUMIFS('Attrition Modeling'!$D:$D,'Attrition Modeling'!$B:$B,$E112,'Attrition Modeling'!$C:$C,Z$68),VLOOKUP(Z$69-$F112-1,$A$7:$C$161,2,FALSE)*VLOOKUP(Z$1,'Attrition Modeling'!$L$15:$N$27,IF(Z$2-$F45&lt;=24,2,3),FALSE))*(1+Projection!AB$16)*(1+IF(Z177&gt;0,'Attrition Modeling'!$N$9,0))),0))</f>
        <v>0</v>
      </c>
      <c r="AA112" s="799">
        <f>IF(AA$69=$F112+1,IF(Monthly!W$4=TRUE,0,Monthly!W$17),IF(AA$69&gt;$F112+1,Z112*(1-IF(AA$69-$F112&lt;=12,SUMIFS('Attrition Modeling'!$D:$D,'Attrition Modeling'!$B:$B,$E112,'Attrition Modeling'!$C:$C,AA$68),VLOOKUP(AA$69-$F112-1,$A$7:$C$161,2,FALSE)*VLOOKUP(AA$1,'Attrition Modeling'!$L$15:$N$27,IF(AA$2-$F45&lt;=24,2,3),FALSE))*(1+Projection!AC$16)*(1+IF(AA177&gt;0,'Attrition Modeling'!$N$9,0))),0))</f>
        <v>0</v>
      </c>
      <c r="AB112" s="799">
        <f>IF(AB$69=$F112+1,IF(Monthly!X$4=TRUE,0,Monthly!X$17),IF(AB$69&gt;$F112+1,AA112*(1-IF(AB$69-$F112&lt;=12,SUMIFS('Attrition Modeling'!$D:$D,'Attrition Modeling'!$B:$B,$E112,'Attrition Modeling'!$C:$C,AB$68),VLOOKUP(AB$69-$F112-1,$A$7:$C$161,2,FALSE)*VLOOKUP(AB$1,'Attrition Modeling'!$L$15:$N$27,IF(AB$2-$F45&lt;=24,2,3),FALSE))*(1+Projection!AD$16)*(1+IF(AB177&gt;0,'Attrition Modeling'!$N$9,0))),0))</f>
        <v>0</v>
      </c>
      <c r="AC112" s="799">
        <f>IF(AC$69=$F112+1,IF(Monthly!Y$4=TRUE,0,Monthly!Y$17),IF(AC$69&gt;$F112+1,AB112*(1-IF(AC$69-$F112&lt;=12,SUMIFS('Attrition Modeling'!$D:$D,'Attrition Modeling'!$B:$B,$E112,'Attrition Modeling'!$C:$C,AC$68),VLOOKUP(AC$69-$F112-1,$A$7:$C$161,2,FALSE)*VLOOKUP(AC$1,'Attrition Modeling'!$L$15:$N$27,IF(AC$2-$F45&lt;=24,2,3),FALSE))*(1+Projection!AE$16)*(1+IF(AC177&gt;0,'Attrition Modeling'!$N$9,0))),0))</f>
        <v>0</v>
      </c>
      <c r="AD112" s="799">
        <f>IF(AD$69=$F112+1,IF(Monthly!Z$4=TRUE,0,Monthly!Z$17),IF(AD$69&gt;$F112+1,AC112*(1-IF(AD$69-$F112&lt;=12,SUMIFS('Attrition Modeling'!$D:$D,'Attrition Modeling'!$B:$B,$E112,'Attrition Modeling'!$C:$C,AD$68),VLOOKUP(AD$69-$F112-1,$A$7:$C$161,2,FALSE)*VLOOKUP(AD$1,'Attrition Modeling'!$L$15:$N$27,IF(AD$2-$F45&lt;=24,2,3),FALSE))*(1+Projection!AF$16)*(1+IF(AD177&gt;0,'Attrition Modeling'!$N$9,0))),0))</f>
        <v>0</v>
      </c>
      <c r="AE112" s="799">
        <f>IF(AE$69=$F112+1,IF(Monthly!AA$4=TRUE,0,Monthly!AA$17),IF(AE$69&gt;$F112+1,AD112*(1-IF(AE$69-$F112&lt;=12,SUMIFS('Attrition Modeling'!$D:$D,'Attrition Modeling'!$B:$B,$E112,'Attrition Modeling'!$C:$C,AE$68),VLOOKUP(AE$69-$F112-1,$A$7:$C$161,2,FALSE)*VLOOKUP(AE$1,'Attrition Modeling'!$L$15:$N$27,IF(AE$2-$F45&lt;=24,2,3),FALSE))*(1+Projection!AG$16)*(1+IF(AE177&gt;0,'Attrition Modeling'!$N$9,0))),0))</f>
        <v>0</v>
      </c>
      <c r="AF112" s="799">
        <f>IF(AF$69=$F112+1,IF(Monthly!AB$4=TRUE,0,Monthly!AB$17),IF(AF$69&gt;$F112+1,AE112*(1-IF(AF$69-$F112&lt;=12,SUMIFS('Attrition Modeling'!$D:$D,'Attrition Modeling'!$B:$B,$E112,'Attrition Modeling'!$C:$C,AF$68),VLOOKUP(AF$69-$F112-1,$A$7:$C$161,2,FALSE)*VLOOKUP(AF$1,'Attrition Modeling'!$L$15:$N$27,IF(AF$2-$F45&lt;=24,2,3),FALSE))*(1+Projection!AH$16)*(1+IF(AF177&gt;0,'Attrition Modeling'!$N$9,0))),0))</f>
        <v>0</v>
      </c>
      <c r="AG112" s="799">
        <f>IF(AG$69=$F112+1,IF(Monthly!AC$4=TRUE,0,Monthly!AC$17),IF(AG$69&gt;$F112+1,AF112*(1-IF(AG$69-$F112&lt;=12,SUMIFS('Attrition Modeling'!$D:$D,'Attrition Modeling'!$B:$B,$E112,'Attrition Modeling'!$C:$C,AG$68),VLOOKUP(AG$69-$F112-1,$A$7:$C$161,2,FALSE)*VLOOKUP(AG$1,'Attrition Modeling'!$L$15:$N$27,IF(AG$2-$F45&lt;=24,2,3),FALSE))*(1+Projection!AI$16)*(1+IF(AG177&gt;0,'Attrition Modeling'!$N$9,0))),0))</f>
        <v>0</v>
      </c>
      <c r="AH112" s="799">
        <f>IF(AH$69=$F112+1,IF(Monthly!AD$4=TRUE,0,Monthly!AD$17),IF(AH$69&gt;$F112+1,AG112*(1-IF(AH$69-$F112&lt;=12,SUMIFS('Attrition Modeling'!$D:$D,'Attrition Modeling'!$B:$B,$E112,'Attrition Modeling'!$C:$C,AH$68),VLOOKUP(AH$69-$F112-1,$A$7:$C$161,2,FALSE)*VLOOKUP(AH$1,'Attrition Modeling'!$L$15:$N$27,IF(AH$2-$F45&lt;=24,2,3),FALSE))*(1+Projection!AJ$16)*(1+IF(AH177&gt;0,'Attrition Modeling'!$N$9,0))),0))</f>
        <v>0</v>
      </c>
      <c r="AI112" s="799">
        <f>IF(AI$69=$F112+1,IF(Monthly!AE$4=TRUE,0,Monthly!AE$17),IF(AI$69&gt;$F112+1,AH112*(1-IF(AI$69-$F112&lt;=12,SUMIFS('Attrition Modeling'!$D:$D,'Attrition Modeling'!$B:$B,$E112,'Attrition Modeling'!$C:$C,AI$68),VLOOKUP(AI$69-$F112-1,$A$7:$C$161,2,FALSE)*VLOOKUP(AI$1,'Attrition Modeling'!$L$15:$N$27,IF(AI$2-$F45&lt;=24,2,3),FALSE))*(1+Projection!AK$16)*(1+IF(AI177&gt;0,'Attrition Modeling'!$N$9,0))),0))</f>
        <v>0</v>
      </c>
      <c r="AJ112" s="799">
        <f>IF(AJ$69=$F112+1,IF(Monthly!AF$4=TRUE,0,Monthly!AF$17),IF(AJ$69&gt;$F112+1,AI112*(1-IF(AJ$69-$F112&lt;=12,SUMIFS('Attrition Modeling'!$D:$D,'Attrition Modeling'!$B:$B,$E112,'Attrition Modeling'!$C:$C,AJ$68),VLOOKUP(AJ$69-$F112-1,$A$7:$C$161,2,FALSE)*VLOOKUP(AJ$1,'Attrition Modeling'!$L$15:$N$27,IF(AJ$2-$F45&lt;=24,2,3),FALSE))*(1+Projection!AL$16)*(1+IF(AJ177&gt;0,'Attrition Modeling'!$N$9,0))),0))</f>
        <v>0</v>
      </c>
      <c r="AK112" s="799">
        <f>IF(AK$69=$F112+1,IF(Monthly!AG$4=TRUE,0,Monthly!AG$17),IF(AK$69&gt;$F112+1,AJ112*(1-IF(AK$69-$F112&lt;=12,SUMIFS('Attrition Modeling'!$D:$D,'Attrition Modeling'!$B:$B,$E112,'Attrition Modeling'!$C:$C,AK$68),VLOOKUP(AK$69-$F112-1,$A$7:$C$161,2,FALSE)*VLOOKUP(AK$1,'Attrition Modeling'!$L$15:$N$27,IF(AK$2-$F45&lt;=24,2,3),FALSE))*(1+Projection!AM$16)*(1+IF(AK177&gt;0,'Attrition Modeling'!$N$9,0))),0))</f>
        <v>0</v>
      </c>
      <c r="AL112" s="799">
        <f>IF(AL$69=$F112+1,IF(Monthly!AH$4=TRUE,0,Monthly!AH$17),IF(AL$69&gt;$F112+1,AK112*(1-IF(AL$69-$F112&lt;=12,SUMIFS('Attrition Modeling'!$D:$D,'Attrition Modeling'!$B:$B,$E112,'Attrition Modeling'!$C:$C,AL$68),VLOOKUP(AL$69-$F112-1,$A$7:$C$161,2,FALSE)*VLOOKUP(AL$1,'Attrition Modeling'!$L$15:$N$27,IF(AL$2-$F45&lt;=24,2,3),FALSE))*(1+Projection!AN$16)*(1+IF(AL177&gt;0,'Attrition Modeling'!$N$9,0))),0))</f>
        <v>0</v>
      </c>
      <c r="AM112" s="799">
        <f>IF(AM$69=$F112+1,IF(Monthly!AI$4=TRUE,0,Monthly!AI$17),IF(AM$69&gt;$F112+1,AL112*(1-IF(AM$69-$F112&lt;=12,SUMIFS('Attrition Modeling'!$D:$D,'Attrition Modeling'!$B:$B,$E112,'Attrition Modeling'!$C:$C,AM$68),VLOOKUP(AM$69-$F112-1,$A$7:$C$161,2,FALSE)*VLOOKUP(AM$1,'Attrition Modeling'!$L$15:$N$27,IF(AM$2-$F45&lt;=24,2,3),FALSE))*(1+Projection!AO$16)*(1+IF(AM177&gt;0,'Attrition Modeling'!$N$9,0))),0))</f>
        <v>0</v>
      </c>
      <c r="AN112" s="799">
        <f>IF(AN$69=$F112+1,IF(Monthly!AJ$4=TRUE,0,Monthly!AJ$17),IF(AN$69&gt;$F112+1,AM112*(1-IF(AN$69-$F112&lt;=12,SUMIFS('Attrition Modeling'!$D:$D,'Attrition Modeling'!$B:$B,$E112,'Attrition Modeling'!$C:$C,AN$68),VLOOKUP(AN$69-$F112-1,$A$7:$C$161,2,FALSE)*VLOOKUP(AN$1,'Attrition Modeling'!$L$15:$N$27,IF(AN$2-$F45&lt;=24,2,3),FALSE))*(1+Projection!AP$16)*(1+IF(AN177&gt;0,'Attrition Modeling'!$N$9,0))),0))</f>
        <v>0</v>
      </c>
      <c r="AO112" s="799">
        <f>IF(AO$69=$F112+1,IF(Monthly!AK$4=TRUE,0,Monthly!AK$17),IF(AO$69&gt;$F112+1,AN112*(1-IF(AO$69-$F112&lt;=12,SUMIFS('Attrition Modeling'!$D:$D,'Attrition Modeling'!$B:$B,$E112,'Attrition Modeling'!$C:$C,AO$68),VLOOKUP(AO$69-$F112-1,$A$7:$C$161,2,FALSE)*VLOOKUP(AO$1,'Attrition Modeling'!$L$15:$N$27,IF(AO$2-$F45&lt;=24,2,3),FALSE))*(1+Projection!AQ$16)*(1+IF(AO177&gt;0,'Attrition Modeling'!$N$9,0))),0))</f>
        <v>0</v>
      </c>
      <c r="AP112" s="799">
        <f>IF(AP$69=$F112+1,IF(Monthly!AL$4=TRUE,0,Monthly!AL$17),IF(AP$69&gt;$F112+1,AO112*(1-IF(AP$69-$F112&lt;=12,SUMIFS('Attrition Modeling'!$D:$D,'Attrition Modeling'!$B:$B,$E112,'Attrition Modeling'!$C:$C,AP$68),VLOOKUP(AP$69-$F112-1,$A$7:$C$161,2,FALSE)*VLOOKUP(AP$1,'Attrition Modeling'!$L$15:$N$27,IF(AP$2-$F45&lt;=24,2,3),FALSE))*(1+Projection!AR$16)*(1+IF(AP177&gt;0,'Attrition Modeling'!$N$9,0))),0))</f>
        <v>0</v>
      </c>
      <c r="AQ112" s="799">
        <f>IF(AQ$69=$F112+1,IF(Monthly!AM$4=TRUE,0,Monthly!AM$17),IF(AQ$69&gt;$F112+1,AP112*(1-IF(AQ$69-$F112&lt;=12,SUMIFS('Attrition Modeling'!$D:$D,'Attrition Modeling'!$B:$B,$E112,'Attrition Modeling'!$C:$C,AQ$68),VLOOKUP(AQ$69-$F112-1,$A$7:$C$161,2,FALSE)*VLOOKUP(AQ$1,'Attrition Modeling'!$L$15:$N$27,IF(AQ$2-$F45&lt;=24,2,3),FALSE))*(1+Projection!AS$16)*(1+IF(AQ177&gt;0,'Attrition Modeling'!$N$9,0))),0))</f>
        <v>0</v>
      </c>
      <c r="AR112" s="799">
        <f>IF(AR$69=$F112+1,IF(Monthly!AN$4=TRUE,0,Monthly!AN$17),IF(AR$69&gt;$F112+1,AQ112*(1-IF(AR$69-$F112&lt;=12,SUMIFS('Attrition Modeling'!$D:$D,'Attrition Modeling'!$B:$B,$E112,'Attrition Modeling'!$C:$C,AR$68),VLOOKUP(AR$69-$F112-1,$A$7:$C$161,2,FALSE)*VLOOKUP(AR$1,'Attrition Modeling'!$L$15:$N$27,IF(AR$2-$F45&lt;=24,2,3),FALSE))*(1+Projection!AT$16)*(1+IF(AR177&gt;0,'Attrition Modeling'!$N$9,0))),0))</f>
        <v>0</v>
      </c>
      <c r="AS112" s="799">
        <f>IF(AS$69=$F112+1,IF(Monthly!AO$4=TRUE,0,Monthly!AO$17),IF(AS$69&gt;$F112+1,AR112*(1-IF(AS$69-$F112&lt;=12,SUMIFS('Attrition Modeling'!$D:$D,'Attrition Modeling'!$B:$B,$E112,'Attrition Modeling'!$C:$C,AS$68),VLOOKUP(AS$69-$F112-1,$A$7:$C$161,2,FALSE)*VLOOKUP(AS$1,'Attrition Modeling'!$L$15:$N$27,IF(AS$2-$F45&lt;=24,2,3),FALSE))*(1+Projection!AU$16)*(1+IF(AS177&gt;0,'Attrition Modeling'!$N$9,0))),0))</f>
        <v>0</v>
      </c>
      <c r="AT112" s="799">
        <f>IF(AT$69=$F112+1,IF(Monthly!AP$4=TRUE,0,Monthly!AP$17),IF(AT$69&gt;$F112+1,AS112*(1-IF(AT$69-$F112&lt;=12,SUMIFS('Attrition Modeling'!$D:$D,'Attrition Modeling'!$B:$B,$E112,'Attrition Modeling'!$C:$C,AT$68),VLOOKUP(AT$69-$F112-1,$A$7:$C$161,2,FALSE)*VLOOKUP(AT$1,'Attrition Modeling'!$L$15:$N$27,IF(AT$2-$F45&lt;=24,2,3),FALSE))*(1+Projection!AV$16)*(1+IF(AT177&gt;0,'Attrition Modeling'!$N$9,0))),0))</f>
        <v>0</v>
      </c>
      <c r="AU112" s="799">
        <f>IF(AU$69=$F112+1,IF(Monthly!AQ$4=TRUE,0,Monthly!AQ$17),IF(AU$69&gt;$F112+1,AT112*(1-IF(AU$69-$F112&lt;=12,SUMIFS('Attrition Modeling'!$D:$D,'Attrition Modeling'!$B:$B,$E112,'Attrition Modeling'!$C:$C,AU$68),VLOOKUP(AU$69-$F112-1,$A$7:$C$161,2,FALSE)*VLOOKUP(AU$1,'Attrition Modeling'!$L$15:$N$27,IF(AU$2-$F45&lt;=24,2,3),FALSE))*(1+Projection!AW$16)*(1+IF(AU177&gt;0,'Attrition Modeling'!$N$9,0))),0))</f>
        <v>0</v>
      </c>
      <c r="AV112" s="799">
        <f>IF(AV$69=$F112+1,IF(Monthly!AR$4=TRUE,0,Monthly!AR$17),IF(AV$69&gt;$F112+1,AU112*(1-IF(AV$69-$F112&lt;=12,SUMIFS('Attrition Modeling'!$D:$D,'Attrition Modeling'!$B:$B,$E112,'Attrition Modeling'!$C:$C,AV$68),VLOOKUP(AV$69-$F112-1,$A$7:$C$161,2,FALSE)*VLOOKUP(AV$1,'Attrition Modeling'!$L$15:$N$27,IF(AV$2-$F45&lt;=24,2,3),FALSE))*(1+Projection!AX$16)*(1+IF(AV177&gt;0,'Attrition Modeling'!$N$9,0))),0))</f>
        <v>0</v>
      </c>
      <c r="AW112" s="799">
        <f>IF(AW$69=$F112+1,IF(Monthly!AS$4=TRUE,0,Monthly!AS$17),IF(AW$69&gt;$F112+1,AV112*(1-IF(AW$69-$F112&lt;=12,SUMIFS('Attrition Modeling'!$D:$D,'Attrition Modeling'!$B:$B,$E112,'Attrition Modeling'!$C:$C,AW$68),VLOOKUP(AW$69-$F112-1,$A$7:$C$161,2,FALSE)*VLOOKUP(AW$1,'Attrition Modeling'!$L$15:$N$27,IF(AW$2-$F45&lt;=24,2,3),FALSE))*(1+Projection!AY$16)*(1+IF(AW177&gt;0,'Attrition Modeling'!$N$9,0))),0))</f>
        <v>0</v>
      </c>
      <c r="AX112" s="799">
        <f>IF(AX$69=$F112+1,IF(Monthly!AT$4=TRUE,0,Monthly!AT$17),IF(AX$69&gt;$F112+1,AW112*(1-IF(AX$69-$F112&lt;=12,SUMIFS('Attrition Modeling'!$D:$D,'Attrition Modeling'!$B:$B,$E112,'Attrition Modeling'!$C:$C,AX$68),VLOOKUP(AX$69-$F112-1,$A$7:$C$161,2,FALSE)*VLOOKUP(AX$1,'Attrition Modeling'!$L$15:$N$27,IF(AX$2-$F45&lt;=24,2,3),FALSE))*(1+Projection!AZ$16)*(1+IF(AX177&gt;0,'Attrition Modeling'!$N$9,0))),0))</f>
        <v>6318.0874525792751</v>
      </c>
      <c r="AY112" s="799">
        <f>IF(AY$69=$F112+1,IF(Monthly!AU$4=TRUE,0,Monthly!AU$17),IF(AY$69&gt;$F112+1,AX112*(1-IF(AY$69-$F112&lt;=12,SUMIFS('Attrition Modeling'!$D:$D,'Attrition Modeling'!$B:$B,$E112,'Attrition Modeling'!$C:$C,AY$68),VLOOKUP(AY$69-$F112-1,$A$7:$C$161,2,FALSE)*VLOOKUP(AY$1,'Attrition Modeling'!$L$15:$N$27,IF(AY$2-$F45&lt;=24,2,3),FALSE))*(1+Projection!BA$16)*(1+IF(AY177&gt;0,'Attrition Modeling'!$N$9,0))),0))</f>
        <v>5562.9774398317923</v>
      </c>
      <c r="AZ112" s="799">
        <f>IF(AZ$69=$F112+1,IF(Monthly!AV$4=TRUE,0,Monthly!AV$17),IF(AZ$69&gt;$F112+1,AY112*(1-IF(AZ$69-$F112&lt;=12,SUMIFS('Attrition Modeling'!$D:$D,'Attrition Modeling'!$B:$B,$E112,'Attrition Modeling'!$C:$C,AZ$68),VLOOKUP(AZ$69-$F112-1,$A$7:$C$161,2,FALSE)*VLOOKUP(AZ$1,'Attrition Modeling'!$L$15:$N$27,IF(AZ$2-$F45&lt;=24,2,3),FALSE))*(1+Projection!BB$16)*(1+IF(AZ177&gt;0,'Attrition Modeling'!$N$9,0))),0))</f>
        <v>4946.9839412395222</v>
      </c>
      <c r="BA112" s="799">
        <f>IF(BA$69=$F112+1,IF(Monthly!AW$4=TRUE,0,Monthly!AW$17),IF(BA$69&gt;$F112+1,AZ112*(1-IF(BA$69-$F112&lt;=12,SUMIFS('Attrition Modeling'!$D:$D,'Attrition Modeling'!$B:$B,$E112,'Attrition Modeling'!$C:$C,BA$68),VLOOKUP(BA$69-$F112-1,$A$7:$C$161,2,FALSE)*VLOOKUP(BA$1,'Attrition Modeling'!$L$15:$N$27,IF(BA$2-$F45&lt;=24,2,3),FALSE))*(1+Projection!BC$16)*(1+IF(BA177&gt;0,'Attrition Modeling'!$N$9,0))),0))</f>
        <v>4486.1623447356606</v>
      </c>
      <c r="BB112" s="799">
        <f>IF(BB$69=$F112+1,IF(Monthly!AX$4=TRUE,0,Monthly!AX$17),IF(BB$69&gt;$F112+1,BA112*(1-IF(BB$69-$F112&lt;=12,SUMIFS('Attrition Modeling'!$D:$D,'Attrition Modeling'!$B:$B,$E112,'Attrition Modeling'!$C:$C,BB$68),VLOOKUP(BB$69-$F112-1,$A$7:$C$161,2,FALSE)*VLOOKUP(BB$1,'Attrition Modeling'!$L$15:$N$27,IF(BB$2-$F45&lt;=24,2,3),FALSE))*(1+Projection!BD$16)*(1+IF(BB177&gt;0,'Attrition Modeling'!$N$9,0))),0))</f>
        <v>4092.5176145846767</v>
      </c>
      <c r="BC112" s="799">
        <f>IF(BC$69=$F112+1,IF(Monthly!AY$4=TRUE,0,Monthly!AY$17),IF(BC$69&gt;$F112+1,BB112*(1-IF(BC$69-$F112&lt;=12,SUMIFS('Attrition Modeling'!$D:$D,'Attrition Modeling'!$B:$B,$E112,'Attrition Modeling'!$C:$C,BC$68),VLOOKUP(BC$69-$F112-1,$A$7:$C$161,2,FALSE)*VLOOKUP(BC$1,'Attrition Modeling'!$L$15:$N$27,IF(BC$2-$F45&lt;=24,2,3),FALSE))*(1+Projection!BE$16)*(1+IF(BC177&gt;0,'Attrition Modeling'!$N$9,0))),0))</f>
        <v>3661.9235538369253</v>
      </c>
      <c r="BD112" s="799">
        <f>IF(BD$69=$F112+1,IF(Monthly!AZ$4=TRUE,0,Monthly!AZ$17),IF(BD$69&gt;$F112+1,BC112*(1-IF(BD$69-$F112&lt;=12,SUMIFS('Attrition Modeling'!$D:$D,'Attrition Modeling'!$B:$B,$E112,'Attrition Modeling'!$C:$C,BD$68),VLOOKUP(BD$69-$F112-1,$A$7:$C$161,2,FALSE)*VLOOKUP(BD$1,'Attrition Modeling'!$L$15:$N$27,IF(BD$2-$F45&lt;=24,2,3),FALSE))*(1+Projection!BF$16)*(1+IF(BD177&gt;0,'Attrition Modeling'!$N$9,0))),0))</f>
        <v>3409.8457081034981</v>
      </c>
      <c r="BE112" s="799">
        <f>IF(BE$69=$F112+1,IF(Monthly!BA$4=TRUE,0,Monthly!BA$17),IF(BE$69&gt;$F112+1,BD112*(1-IF(BE$69-$F112&lt;=12,SUMIFS('Attrition Modeling'!$D:$D,'Attrition Modeling'!$B:$B,$E112,'Attrition Modeling'!$C:$C,BE$68),VLOOKUP(BE$69-$F112-1,$A$7:$C$161,2,FALSE)*VLOOKUP(BE$1,'Attrition Modeling'!$L$15:$N$27,IF(BE$2-$F45&lt;=24,2,3),FALSE))*(1+Projection!BG$16)*(1+IF(BE177&gt;0,'Attrition Modeling'!$N$9,0))),0))</f>
        <v>3199.2395886067088</v>
      </c>
      <c r="BF112" s="799">
        <f>IF(BF$69=$F112+1,IF(Monthly!BB$4=TRUE,0,Monthly!BB$17),IF(BF$69&gt;$F112+1,BE112*(1-IF(BF$69-$F112&lt;=12,SUMIFS('Attrition Modeling'!$D:$D,'Attrition Modeling'!$B:$B,$E112,'Attrition Modeling'!$C:$C,BF$68),VLOOKUP(BF$69-$F112-1,$A$7:$C$161,2,FALSE)*VLOOKUP(BF$1,'Attrition Modeling'!$L$15:$N$27,IF(BF$2-$F45&lt;=24,2,3),FALSE))*(1+Projection!BH$16)*(1+IF(BF177&gt;0,'Attrition Modeling'!$N$9,0))),0))</f>
        <v>2992.6718226746561</v>
      </c>
      <c r="BG112" s="799">
        <f>IF(BG$69=$F112+1,IF(Monthly!BC$4=TRUE,0,Monthly!BC$17),IF(BG$69&gt;$F112+1,BF112*(1-IF(BG$69-$F112&lt;=12,SUMIFS('Attrition Modeling'!$D:$D,'Attrition Modeling'!$B:$B,$E112,'Attrition Modeling'!$C:$C,BG$68),VLOOKUP(BG$69-$F112-1,$A$7:$C$161,2,FALSE)*VLOOKUP(BG$1,'Attrition Modeling'!$L$15:$N$27,IF(BG$2-$F45&lt;=24,2,3),FALSE))*(1+Projection!BI$16)*(1+IF(BG177&gt;0,'Attrition Modeling'!$N$9,0))),0))</f>
        <v>2827.2837297045076</v>
      </c>
      <c r="BH112" s="799">
        <f>IF(BH$69=$F112+1,IF(Monthly!BD$4=TRUE,0,Monthly!BD$17),IF(BH$69&gt;$F112+1,BG112*(1-IF(BH$69-$F112&lt;=12,SUMIFS('Attrition Modeling'!$D:$D,'Attrition Modeling'!$B:$B,$E112,'Attrition Modeling'!$C:$C,BH$68),VLOOKUP(BH$69-$F112-1,$A$7:$C$161,2,FALSE)*VLOOKUP(BH$1,'Attrition Modeling'!$L$15:$N$27,IF(BH$2-$F45&lt;=24,2,3),FALSE))*(1+Projection!BJ$16)*(1+IF(BH177&gt;0,'Attrition Modeling'!$N$9,0))),0))</f>
        <v>2665.2754525187497</v>
      </c>
      <c r="BI112" s="799">
        <f>IF(BI$69=$F112+1,IF(Monthly!BE$4=TRUE,0,Monthly!BE$17),IF(BI$69&gt;$F112+1,BH112*(1-IF(BI$69-$F112&lt;=12,SUMIFS('Attrition Modeling'!$D:$D,'Attrition Modeling'!$B:$B,$E112,'Attrition Modeling'!$C:$C,BI$68),VLOOKUP(BI$69-$F112-1,$A$7:$C$161,2,FALSE)*VLOOKUP(BI$1,'Attrition Modeling'!$L$15:$N$27,IF(BI$2-$F45&lt;=24,2,3),FALSE))*(1+Projection!BK$16)*(1+IF(BI177&gt;0,'Attrition Modeling'!$N$9,0))),0))</f>
        <v>2588.6772217479142</v>
      </c>
      <c r="BJ112" s="799">
        <f>IF(BJ$69=$F112+1,IF(Monthly!BF$4=TRUE,0,Monthly!BF$17),IF(BJ$69&gt;$F112+1,BI112*(1-IF(BJ$69-$F112&lt;=12,SUMIFS('Attrition Modeling'!$D:$D,'Attrition Modeling'!$B:$B,$E112,'Attrition Modeling'!$C:$C,BJ$68),VLOOKUP(BJ$69-$F112-1,$A$7:$C$161,2,FALSE)*VLOOKUP(BJ$1,'Attrition Modeling'!$L$15:$N$27,IF(BJ$2-$F45&lt;=24,2,3),FALSE))*(1+Projection!BL$16)*(1+IF(BJ177&gt;0,'Attrition Modeling'!$N$9,0))),0))</f>
        <v>2438.5315896732777</v>
      </c>
      <c r="BK112" s="799">
        <f>IF(BK$69=$F112+1,IF(Monthly!BG$4=TRUE,0,Monthly!BG$17),IF(BK$69&gt;$F112+1,BJ112*(1-IF(BK$69-$F112&lt;=12,SUMIFS('Attrition Modeling'!$D:$D,'Attrition Modeling'!$B:$B,$E112,'Attrition Modeling'!$C:$C,BK$68),VLOOKUP(BK$69-$F112-1,$A$7:$C$161,2,FALSE)*VLOOKUP(BK$1,'Attrition Modeling'!$L$15:$N$27,IF(BK$2-$F45&lt;=24,2,3),FALSE))*(1+Projection!BM$16)*(1+IF(BK177&gt;0,'Attrition Modeling'!$N$9,0))),0))</f>
        <v>2302.2469127228264</v>
      </c>
      <c r="BL112" s="799">
        <f>IF(BL$69=$F112+1,IF(Monthly!BH$4=TRUE,0,Monthly!BH$17),IF(BL$69&gt;$F112+1,BK112*(1-IF(BL$69-$F112&lt;=12,SUMIFS('Attrition Modeling'!$D:$D,'Attrition Modeling'!$B:$B,$E112,'Attrition Modeling'!$C:$C,BL$68),VLOOKUP(BL$69-$F112-1,$A$7:$C$161,2,FALSE)*VLOOKUP(BL$1,'Attrition Modeling'!$L$15:$N$27,IF(BL$2-$F45&lt;=24,2,3),FALSE))*(1+Projection!BN$16)*(1+IF(BL177&gt;0,'Attrition Modeling'!$N$9,0))),0))</f>
        <v>2190.66338026826</v>
      </c>
      <c r="BM112" s="799">
        <f>IF(BM$69=$F112+1,IF(Monthly!BI$4=TRUE,0,Monthly!BI$17),IF(BM$69&gt;$F112+1,BL112*(1-IF(BM$69-$F112&lt;=12,SUMIFS('Attrition Modeling'!$D:$D,'Attrition Modeling'!$B:$B,$E112,'Attrition Modeling'!$C:$C,BM$68),VLOOKUP(BM$69-$F112-1,$A$7:$C$161,2,FALSE)*VLOOKUP(BM$1,'Attrition Modeling'!$L$15:$N$27,IF(BM$2-$F45&lt;=24,2,3),FALSE))*(1+Projection!BO$16)*(1+IF(BM177&gt;0,'Attrition Modeling'!$N$9,0))),0))</f>
        <v>2085.9997602471717</v>
      </c>
      <c r="BN112" s="799">
        <f>IF(BN$69=$F112+1,IF(Monthly!BJ$4=TRUE,0,Monthly!BJ$17),IF(BN$69&gt;$F112+1,BM112*(1-IF(BN$69-$F112&lt;=12,SUMIFS('Attrition Modeling'!$D:$D,'Attrition Modeling'!$B:$B,$E112,'Attrition Modeling'!$C:$C,BN$68),VLOOKUP(BN$69-$F112-1,$A$7:$C$161,2,FALSE)*VLOOKUP(BN$1,'Attrition Modeling'!$L$15:$N$27,IF(BN$2-$F45&lt;=24,2,3),FALSE))*(1+Projection!BP$16)*(1+IF(BN177&gt;0,'Attrition Modeling'!$N$9,0))),0))</f>
        <v>1992.9443342736126</v>
      </c>
      <c r="BO112" s="799">
        <f>IF(BO$69=$F112+1,IF(Monthly!BK$4=TRUE,0,Monthly!BK$17),IF(BO$69&gt;$F112+1,BN112*(1-IF(BO$69-$F112&lt;=12,SUMIFS('Attrition Modeling'!$D:$D,'Attrition Modeling'!$B:$B,$E112,'Attrition Modeling'!$C:$C,BO$68),VLOOKUP(BO$69-$F112-1,$A$7:$C$161,2,FALSE)*VLOOKUP(BO$1,'Attrition Modeling'!$L$15:$N$27,IF(BO$2-$F45&lt;=24,2,3),FALSE))*(1+Projection!BV$16)*(1+IF(BO177&gt;0,'Attrition Modeling'!$N$9,0))),0))</f>
        <v>1889.9934620480635</v>
      </c>
      <c r="BP112" s="799">
        <f>IF(BP$69=$F112+1,IF(Monthly!BL$4=TRUE,0,Monthly!BL$17),IF(BP$69&gt;$F112+1,BO112*(1-IF(BP$69-$F112&lt;=12,SUMIFS('Attrition Modeling'!$D:$D,'Attrition Modeling'!$B:$B,$E112,'Attrition Modeling'!$C:$C,BP$68),VLOOKUP(BP$69-$F112-1,$A$7:$C$161,2,FALSE)*VLOOKUP(BP$1,'Attrition Modeling'!$L$15:$N$27,IF(BP$2-$F45&lt;=24,2,3),FALSE))*(1+Projection!BW$16)*(1+IF(BP177&gt;0,'Attrition Modeling'!$N$9,0))),0))</f>
        <v>1810.3073146086381</v>
      </c>
      <c r="BQ112" s="799">
        <f>IF(BQ$69=$F112+1,IF(Monthly!BM$4=TRUE,0,Monthly!BM$17),IF(BQ$69&gt;$F112+1,BP112*(1-IF(BQ$69-$F112&lt;=12,SUMIFS('Attrition Modeling'!$D:$D,'Attrition Modeling'!$B:$B,$E112,'Attrition Modeling'!$C:$C,BQ$68),VLOOKUP(BQ$69-$F112-1,$A$7:$C$161,2,FALSE)*VLOOKUP(BQ$1,'Attrition Modeling'!$L$15:$N$27,IF(BQ$2-$F45&lt;=24,2,3),FALSE))*(1+Projection!BX$16)*(1+IF(BQ177&gt;0,'Attrition Modeling'!$N$9,0))),0))</f>
        <v>1742.7610737676914</v>
      </c>
      <c r="BR112" s="799">
        <f>IF(BR$69=$F112+1,IF(Monthly!BN$4=TRUE,0,Monthly!BN$17),IF(BR$69&gt;$F112+1,BQ112*(1-IF(BR$69-$F112&lt;=12,SUMIFS('Attrition Modeling'!$D:$D,'Attrition Modeling'!$B:$B,$E112,'Attrition Modeling'!$C:$C,BR$68),VLOOKUP(BR$69-$F112-1,$A$7:$C$161,2,FALSE)*VLOOKUP(BR$1,'Attrition Modeling'!$L$15:$N$27,IF(BR$2-$F45&lt;=24,2,3),FALSE))*(1+Projection!BY$16)*(1+IF(BR177&gt;0,'Attrition Modeling'!$N$9,0))),0))</f>
        <v>1673.1856367778209</v>
      </c>
      <c r="BS112" s="799">
        <f>IF(BS$69=$F112+1,IF(Monthly!BO$4=TRUE,0,Monthly!BO$17),IF(BS$69&gt;$F112+1,BR112*(1-IF(BS$69-$F112&lt;=12,SUMIFS('Attrition Modeling'!$D:$D,'Attrition Modeling'!$B:$B,$E112,'Attrition Modeling'!$C:$C,BS$68),VLOOKUP(BS$69-$F112-1,$A$7:$C$161,2,FALSE)*VLOOKUP(BS$1,'Attrition Modeling'!$L$15:$N$27,IF(BS$2-$F45&lt;=24,2,3),FALSE))*(1+Projection!BZ$16)*(1+IF(BS177&gt;0,'Attrition Modeling'!$N$9,0))),0))</f>
        <v>1608.5293839697558</v>
      </c>
      <c r="BT112" s="799">
        <f>IF(BT$69=$F112+1,IF(Monthly!#REF!=TRUE,0,Monthly!#REF!),IF(BT$69&gt;$F112+1,BS112*(1-IF(BT$69-$F112&lt;=12,SUMIFS('Attrition Modeling'!$D:$D,'Attrition Modeling'!$B:$B,$E112,'Attrition Modeling'!$C:$C,BT$68),VLOOKUP(BT$69-$F112-1,$A$7:$C$161,2,FALSE)*VLOOKUP(BT$1,'Attrition Modeling'!$L$15:$N$27,IF(BT$2-$F45&lt;=24,2,3),FALSE))*(1+Projection!CA$16)*(1+IF(BT177&gt;0,'Attrition Modeling'!$N$9,0))),0))</f>
        <v>1547.6972145496288</v>
      </c>
      <c r="BU112" s="799">
        <f>IF(BU$69=$F112+1,IF(Monthly!#REF!=TRUE,0,Monthly!#REF!),IF(BU$69&gt;$F112+1,BT112*(1-IF(BU$69-$F112&lt;=12,SUMIFS('Attrition Modeling'!$D:$D,'Attrition Modeling'!$B:$B,$E112,'Attrition Modeling'!$C:$C,BU$68),VLOOKUP(BU$69-$F112-1,$A$7:$C$161,2,FALSE)*VLOOKUP(BU$1,'Attrition Modeling'!$L$15:$N$27,IF(BU$2-$F45&lt;=24,2,3),FALSE))*(1+Projection!CB$16)*(1+IF(BU177&gt;0,'Attrition Modeling'!$N$9,0))),0))</f>
        <v>1484.2872371601541</v>
      </c>
    </row>
    <row r="113" spans="1:73" ht="14.25" customHeight="1" x14ac:dyDescent="0.2">
      <c r="A113" s="9">
        <v>106</v>
      </c>
      <c r="B113" s="25">
        <f>MAX('Attrition Modeling'!H110,$C$3)*(1-Summary!$C$20)</f>
        <v>0.02</v>
      </c>
      <c r="C113" s="24" t="e">
        <f t="shared" si="4"/>
        <v>#DIV/0!</v>
      </c>
      <c r="E113" s="11">
        <f t="shared" si="9"/>
        <v>7</v>
      </c>
      <c r="F113" s="11">
        <f t="shared" si="10"/>
        <v>43</v>
      </c>
      <c r="G113" s="799"/>
      <c r="H113" s="799">
        <f>IF(H$69=$F113+1,IF(Monthly!D$4=TRUE,0,Monthly!D$17),IF(H$69&gt;$F113+1,G113*(1-IF(H$69-$F113&lt;=12,SUMIFS('Attrition Modeling'!$D:$D,'Attrition Modeling'!$B:$B,$E113,'Attrition Modeling'!$C:$C,H$68),VLOOKUP(H$69-$F113-1,$A$7:$C$161,2,FALSE)*VLOOKUP(H$1,'Attrition Modeling'!$L$15:$N$27,IF(H$2-$F46&lt;=24,2,3),FALSE))*(1+Projection!J$16)*(1+IF(H178&gt;0,'Attrition Modeling'!$N$9,0))),0))</f>
        <v>0</v>
      </c>
      <c r="I113" s="799">
        <f>IF(I$69=$F113+1,IF(Monthly!E$4=TRUE,0,Monthly!E$17),IF(I$69&gt;$F113+1,H113*(1-IF(I$69-$F113&lt;=12,SUMIFS('Attrition Modeling'!$D:$D,'Attrition Modeling'!$B:$B,$E113,'Attrition Modeling'!$C:$C,I$68),VLOOKUP(I$69-$F113-1,$A$7:$C$161,2,FALSE)*VLOOKUP(I$1,'Attrition Modeling'!$L$15:$N$27,IF(I$2-$F46&lt;=24,2,3),FALSE))*(1+Projection!K$16)*(1+IF(I178&gt;0,'Attrition Modeling'!$N$9,0))),0))</f>
        <v>0</v>
      </c>
      <c r="J113" s="799">
        <f>IF(J$69=$F113+1,IF(Monthly!F$4=TRUE,0,Monthly!F$17),IF(J$69&gt;$F113+1,I113*(1-IF(J$69-$F113&lt;=12,SUMIFS('Attrition Modeling'!$D:$D,'Attrition Modeling'!$B:$B,$E113,'Attrition Modeling'!$C:$C,J$68),VLOOKUP(J$69-$F113-1,$A$7:$C$161,2,FALSE)*VLOOKUP(J$1,'Attrition Modeling'!$L$15:$N$27,IF(J$2-$F46&lt;=24,2,3),FALSE))*(1+Projection!L$16)*(1+IF(J178&gt;0,'Attrition Modeling'!$N$9,0))),0))</f>
        <v>0</v>
      </c>
      <c r="K113" s="799">
        <f>IF(K$69=$F113+1,IF(Monthly!G$4=TRUE,0,Monthly!G$17),IF(K$69&gt;$F113+1,J113*(1-IF(K$69-$F113&lt;=12,SUMIFS('Attrition Modeling'!$D:$D,'Attrition Modeling'!$B:$B,$E113,'Attrition Modeling'!$C:$C,K$68),VLOOKUP(K$69-$F113-1,$A$7:$C$161,2,FALSE)*VLOOKUP(K$1,'Attrition Modeling'!$L$15:$N$27,IF(K$2-$F46&lt;=24,2,3),FALSE))*(1+Projection!M$16)*(1+IF(K178&gt;0,'Attrition Modeling'!$N$9,0))),0))</f>
        <v>0</v>
      </c>
      <c r="L113" s="799">
        <f>IF(L$69=$F113+1,IF(Monthly!H$4=TRUE,0,Monthly!H$17),IF(L$69&gt;$F113+1,K113*(1-IF(L$69-$F113&lt;=12,SUMIFS('Attrition Modeling'!$D:$D,'Attrition Modeling'!$B:$B,$E113,'Attrition Modeling'!$C:$C,L$68),VLOOKUP(L$69-$F113-1,$A$7:$C$161,2,FALSE)*VLOOKUP(L$1,'Attrition Modeling'!$L$15:$N$27,IF(L$2-$F46&lt;=24,2,3),FALSE))*(1+Projection!N$16)*(1+IF(L178&gt;0,'Attrition Modeling'!$N$9,0))),0))</f>
        <v>0</v>
      </c>
      <c r="M113" s="799">
        <f>IF(M$69=$F113+1,IF(Monthly!I$4=TRUE,0,Monthly!I$17),IF(M$69&gt;$F113+1,L113*(1-IF(M$69-$F113&lt;=12,SUMIFS('Attrition Modeling'!$D:$D,'Attrition Modeling'!$B:$B,$E113,'Attrition Modeling'!$C:$C,M$68),VLOOKUP(M$69-$F113-1,$A$7:$C$161,2,FALSE)*VLOOKUP(M$1,'Attrition Modeling'!$L$15:$N$27,IF(M$2-$F46&lt;=24,2,3),FALSE))*(1+Projection!O$16)*(1+IF(M178&gt;0,'Attrition Modeling'!$N$9,0))),0))</f>
        <v>0</v>
      </c>
      <c r="N113" s="799">
        <f>IF(N$69=$F113+1,IF(Monthly!J$4=TRUE,0,Monthly!J$17),IF(N$69&gt;$F113+1,M113*(1-IF(N$69-$F113&lt;=12,SUMIFS('Attrition Modeling'!$D:$D,'Attrition Modeling'!$B:$B,$E113,'Attrition Modeling'!$C:$C,N$68),VLOOKUP(N$69-$F113-1,$A$7:$C$161,2,FALSE)*VLOOKUP(N$1,'Attrition Modeling'!$L$15:$N$27,IF(N$2-$F46&lt;=24,2,3),FALSE))*(1+Projection!P$16)*(1+IF(N178&gt;0,'Attrition Modeling'!$N$9,0))),0))</f>
        <v>0</v>
      </c>
      <c r="O113" s="799">
        <f>IF(O$69=$F113+1,IF(Monthly!K$4=TRUE,0,Monthly!K$17),IF(O$69&gt;$F113+1,N113*(1-IF(O$69-$F113&lt;=12,SUMIFS('Attrition Modeling'!$D:$D,'Attrition Modeling'!$B:$B,$E113,'Attrition Modeling'!$C:$C,O$68),VLOOKUP(O$69-$F113-1,$A$7:$C$161,2,FALSE)*VLOOKUP(O$1,'Attrition Modeling'!$L$15:$N$27,IF(O$2-$F46&lt;=24,2,3),FALSE))*(1+Projection!Q$16)*(1+IF(O178&gt;0,'Attrition Modeling'!$N$9,0))),0))</f>
        <v>0</v>
      </c>
      <c r="P113" s="799">
        <f>IF(P$69=$F113+1,IF(Monthly!L$4=TRUE,0,Monthly!L$17),IF(P$69&gt;$F113+1,O113*(1-IF(P$69-$F113&lt;=12,SUMIFS('Attrition Modeling'!$D:$D,'Attrition Modeling'!$B:$B,$E113,'Attrition Modeling'!$C:$C,P$68),VLOOKUP(P$69-$F113-1,$A$7:$C$161,2,FALSE)*VLOOKUP(P$1,'Attrition Modeling'!$L$15:$N$27,IF(P$2-$F46&lt;=24,2,3),FALSE))*(1+Projection!R$16)*(1+IF(P178&gt;0,'Attrition Modeling'!$N$9,0))),0))</f>
        <v>0</v>
      </c>
      <c r="Q113" s="799">
        <f>IF(Q$69=$F113+1,IF(Monthly!M$4=TRUE,0,Monthly!M$17),IF(Q$69&gt;$F113+1,P113*(1-IF(Q$69-$F113&lt;=12,SUMIFS('Attrition Modeling'!$D:$D,'Attrition Modeling'!$B:$B,$E113,'Attrition Modeling'!$C:$C,Q$68),VLOOKUP(Q$69-$F113-1,$A$7:$C$161,2,FALSE)*VLOOKUP(Q$1,'Attrition Modeling'!$L$15:$N$27,IF(Q$2-$F46&lt;=24,2,3),FALSE))*(1+Projection!S$16)*(1+IF(Q178&gt;0,'Attrition Modeling'!$N$9,0))),0))</f>
        <v>0</v>
      </c>
      <c r="R113" s="799">
        <f>IF(R$69=$F113+1,IF(Monthly!N$4=TRUE,0,Monthly!N$17),IF(R$69&gt;$F113+1,Q113*(1-IF(R$69-$F113&lt;=12,SUMIFS('Attrition Modeling'!$D:$D,'Attrition Modeling'!$B:$B,$E113,'Attrition Modeling'!$C:$C,R$68),VLOOKUP(R$69-$F113-1,$A$7:$C$161,2,FALSE)*VLOOKUP(R$1,'Attrition Modeling'!$L$15:$N$27,IF(R$2-$F46&lt;=24,2,3),FALSE))*(1+Projection!T$16)*(1+IF(R178&gt;0,'Attrition Modeling'!$N$9,0))),0))</f>
        <v>0</v>
      </c>
      <c r="S113" s="799">
        <f>IF(S$69=$F113+1,IF(Monthly!O$4=TRUE,0,Monthly!O$17),IF(S$69&gt;$F113+1,R113*(1-IF(S$69-$F113&lt;=12,SUMIFS('Attrition Modeling'!$D:$D,'Attrition Modeling'!$B:$B,$E113,'Attrition Modeling'!$C:$C,S$68),VLOOKUP(S$69-$F113-1,$A$7:$C$161,2,FALSE)*VLOOKUP(S$1,'Attrition Modeling'!$L$15:$N$27,IF(S$2-$F46&lt;=24,2,3),FALSE))*(1+Projection!U$16)*(1+IF(S178&gt;0,'Attrition Modeling'!$N$9,0))),0))</f>
        <v>0</v>
      </c>
      <c r="T113" s="799">
        <f>IF(T$69=$F113+1,IF(Monthly!P$4=TRUE,0,Monthly!P$17),IF(T$69&gt;$F113+1,S113*(1-IF(T$69-$F113&lt;=12,SUMIFS('Attrition Modeling'!$D:$D,'Attrition Modeling'!$B:$B,$E113,'Attrition Modeling'!$C:$C,T$68),VLOOKUP(T$69-$F113-1,$A$7:$C$161,2,FALSE)*VLOOKUP(T$1,'Attrition Modeling'!$L$15:$N$27,IF(T$2-$F46&lt;=24,2,3),FALSE))*(1+Projection!V$16)*(1+IF(T178&gt;0,'Attrition Modeling'!$N$9,0))),0))</f>
        <v>0</v>
      </c>
      <c r="U113" s="799">
        <f>IF(U$69=$F113+1,IF(Monthly!Q$4=TRUE,0,Monthly!Q$17),IF(U$69&gt;$F113+1,T113*(1-IF(U$69-$F113&lt;=12,SUMIFS('Attrition Modeling'!$D:$D,'Attrition Modeling'!$B:$B,$E113,'Attrition Modeling'!$C:$C,U$68),VLOOKUP(U$69-$F113-1,$A$7:$C$161,2,FALSE)*VLOOKUP(U$1,'Attrition Modeling'!$L$15:$N$27,IF(U$2-$F46&lt;=24,2,3),FALSE))*(1+Projection!W$16)*(1+IF(U178&gt;0,'Attrition Modeling'!$N$9,0))),0))</f>
        <v>0</v>
      </c>
      <c r="V113" s="799">
        <f>IF(V$69=$F113+1,IF(Monthly!R$4=TRUE,0,Monthly!R$17),IF(V$69&gt;$F113+1,U113*(1-IF(V$69-$F113&lt;=12,SUMIFS('Attrition Modeling'!$D:$D,'Attrition Modeling'!$B:$B,$E113,'Attrition Modeling'!$C:$C,V$68),VLOOKUP(V$69-$F113-1,$A$7:$C$161,2,FALSE)*VLOOKUP(V$1,'Attrition Modeling'!$L$15:$N$27,IF(V$2-$F46&lt;=24,2,3),FALSE))*(1+Projection!X$16)*(1+IF(V178&gt;0,'Attrition Modeling'!$N$9,0))),0))</f>
        <v>0</v>
      </c>
      <c r="W113" s="799">
        <f>IF(W$69=$F113+1,IF(Monthly!S$4=TRUE,0,Monthly!S$17),IF(W$69&gt;$F113+1,V113*(1-IF(W$69-$F113&lt;=12,SUMIFS('Attrition Modeling'!$D:$D,'Attrition Modeling'!$B:$B,$E113,'Attrition Modeling'!$C:$C,W$68),VLOOKUP(W$69-$F113-1,$A$7:$C$161,2,FALSE)*VLOOKUP(W$1,'Attrition Modeling'!$L$15:$N$27,IF(W$2-$F46&lt;=24,2,3),FALSE))*(1+Projection!Y$16)*(1+IF(W178&gt;0,'Attrition Modeling'!$N$9,0))),0))</f>
        <v>0</v>
      </c>
      <c r="X113" s="799">
        <f>IF(X$69=$F113+1,IF(Monthly!T$4=TRUE,0,Monthly!T$17),IF(X$69&gt;$F113+1,W113*(1-IF(X$69-$F113&lt;=12,SUMIFS('Attrition Modeling'!$D:$D,'Attrition Modeling'!$B:$B,$E113,'Attrition Modeling'!$C:$C,X$68),VLOOKUP(X$69-$F113-1,$A$7:$C$161,2,FALSE)*VLOOKUP(X$1,'Attrition Modeling'!$L$15:$N$27,IF(X$2-$F46&lt;=24,2,3),FALSE))*(1+Projection!Z$16)*(1+IF(X178&gt;0,'Attrition Modeling'!$N$9,0))),0))</f>
        <v>0</v>
      </c>
      <c r="Y113" s="799">
        <f>IF(Y$69=$F113+1,IF(Monthly!U$4=TRUE,0,Monthly!U$17),IF(Y$69&gt;$F113+1,X113*(1-IF(Y$69-$F113&lt;=12,SUMIFS('Attrition Modeling'!$D:$D,'Attrition Modeling'!$B:$B,$E113,'Attrition Modeling'!$C:$C,Y$68),VLOOKUP(Y$69-$F113-1,$A$7:$C$161,2,FALSE)*VLOOKUP(Y$1,'Attrition Modeling'!$L$15:$N$27,IF(Y$2-$F46&lt;=24,2,3),FALSE))*(1+Projection!AA$16)*(1+IF(Y178&gt;0,'Attrition Modeling'!$N$9,0))),0))</f>
        <v>0</v>
      </c>
      <c r="Z113" s="799">
        <f>IF(Z$69=$F113+1,IF(Monthly!V$4=TRUE,0,Monthly!V$17),IF(Z$69&gt;$F113+1,Y113*(1-IF(Z$69-$F113&lt;=12,SUMIFS('Attrition Modeling'!$D:$D,'Attrition Modeling'!$B:$B,$E113,'Attrition Modeling'!$C:$C,Z$68),VLOOKUP(Z$69-$F113-1,$A$7:$C$161,2,FALSE)*VLOOKUP(Z$1,'Attrition Modeling'!$L$15:$N$27,IF(Z$2-$F46&lt;=24,2,3),FALSE))*(1+Projection!AB$16)*(1+IF(Z178&gt;0,'Attrition Modeling'!$N$9,0))),0))</f>
        <v>0</v>
      </c>
      <c r="AA113" s="799">
        <f>IF(AA$69=$F113+1,IF(Monthly!W$4=TRUE,0,Monthly!W$17),IF(AA$69&gt;$F113+1,Z113*(1-IF(AA$69-$F113&lt;=12,SUMIFS('Attrition Modeling'!$D:$D,'Attrition Modeling'!$B:$B,$E113,'Attrition Modeling'!$C:$C,AA$68),VLOOKUP(AA$69-$F113-1,$A$7:$C$161,2,FALSE)*VLOOKUP(AA$1,'Attrition Modeling'!$L$15:$N$27,IF(AA$2-$F46&lt;=24,2,3),FALSE))*(1+Projection!AC$16)*(1+IF(AA178&gt;0,'Attrition Modeling'!$N$9,0))),0))</f>
        <v>0</v>
      </c>
      <c r="AB113" s="799">
        <f>IF(AB$69=$F113+1,IF(Monthly!X$4=TRUE,0,Monthly!X$17),IF(AB$69&gt;$F113+1,AA113*(1-IF(AB$69-$F113&lt;=12,SUMIFS('Attrition Modeling'!$D:$D,'Attrition Modeling'!$B:$B,$E113,'Attrition Modeling'!$C:$C,AB$68),VLOOKUP(AB$69-$F113-1,$A$7:$C$161,2,FALSE)*VLOOKUP(AB$1,'Attrition Modeling'!$L$15:$N$27,IF(AB$2-$F46&lt;=24,2,3),FALSE))*(1+Projection!AD$16)*(1+IF(AB178&gt;0,'Attrition Modeling'!$N$9,0))),0))</f>
        <v>0</v>
      </c>
      <c r="AC113" s="799">
        <f>IF(AC$69=$F113+1,IF(Monthly!Y$4=TRUE,0,Monthly!Y$17),IF(AC$69&gt;$F113+1,AB113*(1-IF(AC$69-$F113&lt;=12,SUMIFS('Attrition Modeling'!$D:$D,'Attrition Modeling'!$B:$B,$E113,'Attrition Modeling'!$C:$C,AC$68),VLOOKUP(AC$69-$F113-1,$A$7:$C$161,2,FALSE)*VLOOKUP(AC$1,'Attrition Modeling'!$L$15:$N$27,IF(AC$2-$F46&lt;=24,2,3),FALSE))*(1+Projection!AE$16)*(1+IF(AC178&gt;0,'Attrition Modeling'!$N$9,0))),0))</f>
        <v>0</v>
      </c>
      <c r="AD113" s="799">
        <f>IF(AD$69=$F113+1,IF(Monthly!Z$4=TRUE,0,Monthly!Z$17),IF(AD$69&gt;$F113+1,AC113*(1-IF(AD$69-$F113&lt;=12,SUMIFS('Attrition Modeling'!$D:$D,'Attrition Modeling'!$B:$B,$E113,'Attrition Modeling'!$C:$C,AD$68),VLOOKUP(AD$69-$F113-1,$A$7:$C$161,2,FALSE)*VLOOKUP(AD$1,'Attrition Modeling'!$L$15:$N$27,IF(AD$2-$F46&lt;=24,2,3),FALSE))*(1+Projection!AF$16)*(1+IF(AD178&gt;0,'Attrition Modeling'!$N$9,0))),0))</f>
        <v>0</v>
      </c>
      <c r="AE113" s="799">
        <f>IF(AE$69=$F113+1,IF(Monthly!AA$4=TRUE,0,Monthly!AA$17),IF(AE$69&gt;$F113+1,AD113*(1-IF(AE$69-$F113&lt;=12,SUMIFS('Attrition Modeling'!$D:$D,'Attrition Modeling'!$B:$B,$E113,'Attrition Modeling'!$C:$C,AE$68),VLOOKUP(AE$69-$F113-1,$A$7:$C$161,2,FALSE)*VLOOKUP(AE$1,'Attrition Modeling'!$L$15:$N$27,IF(AE$2-$F46&lt;=24,2,3),FALSE))*(1+Projection!AG$16)*(1+IF(AE178&gt;0,'Attrition Modeling'!$N$9,0))),0))</f>
        <v>0</v>
      </c>
      <c r="AF113" s="799">
        <f>IF(AF$69=$F113+1,IF(Monthly!AB$4=TRUE,0,Monthly!AB$17),IF(AF$69&gt;$F113+1,AE113*(1-IF(AF$69-$F113&lt;=12,SUMIFS('Attrition Modeling'!$D:$D,'Attrition Modeling'!$B:$B,$E113,'Attrition Modeling'!$C:$C,AF$68),VLOOKUP(AF$69-$F113-1,$A$7:$C$161,2,FALSE)*VLOOKUP(AF$1,'Attrition Modeling'!$L$15:$N$27,IF(AF$2-$F46&lt;=24,2,3),FALSE))*(1+Projection!AH$16)*(1+IF(AF178&gt;0,'Attrition Modeling'!$N$9,0))),0))</f>
        <v>0</v>
      </c>
      <c r="AG113" s="799">
        <f>IF(AG$69=$F113+1,IF(Monthly!AC$4=TRUE,0,Monthly!AC$17),IF(AG$69&gt;$F113+1,AF113*(1-IF(AG$69-$F113&lt;=12,SUMIFS('Attrition Modeling'!$D:$D,'Attrition Modeling'!$B:$B,$E113,'Attrition Modeling'!$C:$C,AG$68),VLOOKUP(AG$69-$F113-1,$A$7:$C$161,2,FALSE)*VLOOKUP(AG$1,'Attrition Modeling'!$L$15:$N$27,IF(AG$2-$F46&lt;=24,2,3),FALSE))*(1+Projection!AI$16)*(1+IF(AG178&gt;0,'Attrition Modeling'!$N$9,0))),0))</f>
        <v>0</v>
      </c>
      <c r="AH113" s="799">
        <f>IF(AH$69=$F113+1,IF(Monthly!AD$4=TRUE,0,Monthly!AD$17),IF(AH$69&gt;$F113+1,AG113*(1-IF(AH$69-$F113&lt;=12,SUMIFS('Attrition Modeling'!$D:$D,'Attrition Modeling'!$B:$B,$E113,'Attrition Modeling'!$C:$C,AH$68),VLOOKUP(AH$69-$F113-1,$A$7:$C$161,2,FALSE)*VLOOKUP(AH$1,'Attrition Modeling'!$L$15:$N$27,IF(AH$2-$F46&lt;=24,2,3),FALSE))*(1+Projection!AJ$16)*(1+IF(AH178&gt;0,'Attrition Modeling'!$N$9,0))),0))</f>
        <v>0</v>
      </c>
      <c r="AI113" s="799">
        <f>IF(AI$69=$F113+1,IF(Monthly!AE$4=TRUE,0,Monthly!AE$17),IF(AI$69&gt;$F113+1,AH113*(1-IF(AI$69-$F113&lt;=12,SUMIFS('Attrition Modeling'!$D:$D,'Attrition Modeling'!$B:$B,$E113,'Attrition Modeling'!$C:$C,AI$68),VLOOKUP(AI$69-$F113-1,$A$7:$C$161,2,FALSE)*VLOOKUP(AI$1,'Attrition Modeling'!$L$15:$N$27,IF(AI$2-$F46&lt;=24,2,3),FALSE))*(1+Projection!AK$16)*(1+IF(AI178&gt;0,'Attrition Modeling'!$N$9,0))),0))</f>
        <v>0</v>
      </c>
      <c r="AJ113" s="799">
        <f>IF(AJ$69=$F113+1,IF(Monthly!AF$4=TRUE,0,Monthly!AF$17),IF(AJ$69&gt;$F113+1,AI113*(1-IF(AJ$69-$F113&lt;=12,SUMIFS('Attrition Modeling'!$D:$D,'Attrition Modeling'!$B:$B,$E113,'Attrition Modeling'!$C:$C,AJ$68),VLOOKUP(AJ$69-$F113-1,$A$7:$C$161,2,FALSE)*VLOOKUP(AJ$1,'Attrition Modeling'!$L$15:$N$27,IF(AJ$2-$F46&lt;=24,2,3),FALSE))*(1+Projection!AL$16)*(1+IF(AJ178&gt;0,'Attrition Modeling'!$N$9,0))),0))</f>
        <v>0</v>
      </c>
      <c r="AK113" s="799">
        <f>IF(AK$69=$F113+1,IF(Monthly!AG$4=TRUE,0,Monthly!AG$17),IF(AK$69&gt;$F113+1,AJ113*(1-IF(AK$69-$F113&lt;=12,SUMIFS('Attrition Modeling'!$D:$D,'Attrition Modeling'!$B:$B,$E113,'Attrition Modeling'!$C:$C,AK$68),VLOOKUP(AK$69-$F113-1,$A$7:$C$161,2,FALSE)*VLOOKUP(AK$1,'Attrition Modeling'!$L$15:$N$27,IF(AK$2-$F46&lt;=24,2,3),FALSE))*(1+Projection!AM$16)*(1+IF(AK178&gt;0,'Attrition Modeling'!$N$9,0))),0))</f>
        <v>0</v>
      </c>
      <c r="AL113" s="799">
        <f>IF(AL$69=$F113+1,IF(Monthly!AH$4=TRUE,0,Monthly!AH$17),IF(AL$69&gt;$F113+1,AK113*(1-IF(AL$69-$F113&lt;=12,SUMIFS('Attrition Modeling'!$D:$D,'Attrition Modeling'!$B:$B,$E113,'Attrition Modeling'!$C:$C,AL$68),VLOOKUP(AL$69-$F113-1,$A$7:$C$161,2,FALSE)*VLOOKUP(AL$1,'Attrition Modeling'!$L$15:$N$27,IF(AL$2-$F46&lt;=24,2,3),FALSE))*(1+Projection!AN$16)*(1+IF(AL178&gt;0,'Attrition Modeling'!$N$9,0))),0))</f>
        <v>0</v>
      </c>
      <c r="AM113" s="799">
        <f>IF(AM$69=$F113+1,IF(Monthly!AI$4=TRUE,0,Monthly!AI$17),IF(AM$69&gt;$F113+1,AL113*(1-IF(AM$69-$F113&lt;=12,SUMIFS('Attrition Modeling'!$D:$D,'Attrition Modeling'!$B:$B,$E113,'Attrition Modeling'!$C:$C,AM$68),VLOOKUP(AM$69-$F113-1,$A$7:$C$161,2,FALSE)*VLOOKUP(AM$1,'Attrition Modeling'!$L$15:$N$27,IF(AM$2-$F46&lt;=24,2,3),FALSE))*(1+Projection!AO$16)*(1+IF(AM178&gt;0,'Attrition Modeling'!$N$9,0))),0))</f>
        <v>0</v>
      </c>
      <c r="AN113" s="799">
        <f>IF(AN$69=$F113+1,IF(Monthly!AJ$4=TRUE,0,Monthly!AJ$17),IF(AN$69&gt;$F113+1,AM113*(1-IF(AN$69-$F113&lt;=12,SUMIFS('Attrition Modeling'!$D:$D,'Attrition Modeling'!$B:$B,$E113,'Attrition Modeling'!$C:$C,AN$68),VLOOKUP(AN$69-$F113-1,$A$7:$C$161,2,FALSE)*VLOOKUP(AN$1,'Attrition Modeling'!$L$15:$N$27,IF(AN$2-$F46&lt;=24,2,3),FALSE))*(1+Projection!AP$16)*(1+IF(AN178&gt;0,'Attrition Modeling'!$N$9,0))),0))</f>
        <v>0</v>
      </c>
      <c r="AO113" s="799">
        <f>IF(AO$69=$F113+1,IF(Monthly!AK$4=TRUE,0,Monthly!AK$17),IF(AO$69&gt;$F113+1,AN113*(1-IF(AO$69-$F113&lt;=12,SUMIFS('Attrition Modeling'!$D:$D,'Attrition Modeling'!$B:$B,$E113,'Attrition Modeling'!$C:$C,AO$68),VLOOKUP(AO$69-$F113-1,$A$7:$C$161,2,FALSE)*VLOOKUP(AO$1,'Attrition Modeling'!$L$15:$N$27,IF(AO$2-$F46&lt;=24,2,3),FALSE))*(1+Projection!AQ$16)*(1+IF(AO178&gt;0,'Attrition Modeling'!$N$9,0))),0))</f>
        <v>0</v>
      </c>
      <c r="AP113" s="799">
        <f>IF(AP$69=$F113+1,IF(Monthly!AL$4=TRUE,0,Monthly!AL$17),IF(AP$69&gt;$F113+1,AO113*(1-IF(AP$69-$F113&lt;=12,SUMIFS('Attrition Modeling'!$D:$D,'Attrition Modeling'!$B:$B,$E113,'Attrition Modeling'!$C:$C,AP$68),VLOOKUP(AP$69-$F113-1,$A$7:$C$161,2,FALSE)*VLOOKUP(AP$1,'Attrition Modeling'!$L$15:$N$27,IF(AP$2-$F46&lt;=24,2,3),FALSE))*(1+Projection!AR$16)*(1+IF(AP178&gt;0,'Attrition Modeling'!$N$9,0))),0))</f>
        <v>0</v>
      </c>
      <c r="AQ113" s="799">
        <f>IF(AQ$69=$F113+1,IF(Monthly!AM$4=TRUE,0,Monthly!AM$17),IF(AQ$69&gt;$F113+1,AP113*(1-IF(AQ$69-$F113&lt;=12,SUMIFS('Attrition Modeling'!$D:$D,'Attrition Modeling'!$B:$B,$E113,'Attrition Modeling'!$C:$C,AQ$68),VLOOKUP(AQ$69-$F113-1,$A$7:$C$161,2,FALSE)*VLOOKUP(AQ$1,'Attrition Modeling'!$L$15:$N$27,IF(AQ$2-$F46&lt;=24,2,3),FALSE))*(1+Projection!AS$16)*(1+IF(AQ178&gt;0,'Attrition Modeling'!$N$9,0))),0))</f>
        <v>0</v>
      </c>
      <c r="AR113" s="799">
        <f>IF(AR$69=$F113+1,IF(Monthly!AN$4=TRUE,0,Monthly!AN$17),IF(AR$69&gt;$F113+1,AQ113*(1-IF(AR$69-$F113&lt;=12,SUMIFS('Attrition Modeling'!$D:$D,'Attrition Modeling'!$B:$B,$E113,'Attrition Modeling'!$C:$C,AR$68),VLOOKUP(AR$69-$F113-1,$A$7:$C$161,2,FALSE)*VLOOKUP(AR$1,'Attrition Modeling'!$L$15:$N$27,IF(AR$2-$F46&lt;=24,2,3),FALSE))*(1+Projection!AT$16)*(1+IF(AR178&gt;0,'Attrition Modeling'!$N$9,0))),0))</f>
        <v>0</v>
      </c>
      <c r="AS113" s="799">
        <f>IF(AS$69=$F113+1,IF(Monthly!AO$4=TRUE,0,Monthly!AO$17),IF(AS$69&gt;$F113+1,AR113*(1-IF(AS$69-$F113&lt;=12,SUMIFS('Attrition Modeling'!$D:$D,'Attrition Modeling'!$B:$B,$E113,'Attrition Modeling'!$C:$C,AS$68),VLOOKUP(AS$69-$F113-1,$A$7:$C$161,2,FALSE)*VLOOKUP(AS$1,'Attrition Modeling'!$L$15:$N$27,IF(AS$2-$F46&lt;=24,2,3),FALSE))*(1+Projection!AU$16)*(1+IF(AS178&gt;0,'Attrition Modeling'!$N$9,0))),0))</f>
        <v>0</v>
      </c>
      <c r="AT113" s="799">
        <f>IF(AT$69=$F113+1,IF(Monthly!AP$4=TRUE,0,Monthly!AP$17),IF(AT$69&gt;$F113+1,AS113*(1-IF(AT$69-$F113&lt;=12,SUMIFS('Attrition Modeling'!$D:$D,'Attrition Modeling'!$B:$B,$E113,'Attrition Modeling'!$C:$C,AT$68),VLOOKUP(AT$69-$F113-1,$A$7:$C$161,2,FALSE)*VLOOKUP(AT$1,'Attrition Modeling'!$L$15:$N$27,IF(AT$2-$F46&lt;=24,2,3),FALSE))*(1+Projection!AV$16)*(1+IF(AT178&gt;0,'Attrition Modeling'!$N$9,0))),0))</f>
        <v>0</v>
      </c>
      <c r="AU113" s="799">
        <f>IF(AU$69=$F113+1,IF(Monthly!AQ$4=TRUE,0,Monthly!AQ$17),IF(AU$69&gt;$F113+1,AT113*(1-IF(AU$69-$F113&lt;=12,SUMIFS('Attrition Modeling'!$D:$D,'Attrition Modeling'!$B:$B,$E113,'Attrition Modeling'!$C:$C,AU$68),VLOOKUP(AU$69-$F113-1,$A$7:$C$161,2,FALSE)*VLOOKUP(AU$1,'Attrition Modeling'!$L$15:$N$27,IF(AU$2-$F46&lt;=24,2,3),FALSE))*(1+Projection!AW$16)*(1+IF(AU178&gt;0,'Attrition Modeling'!$N$9,0))),0))</f>
        <v>0</v>
      </c>
      <c r="AV113" s="799">
        <f>IF(AV$69=$F113+1,IF(Monthly!AR$4=TRUE,0,Monthly!AR$17),IF(AV$69&gt;$F113+1,AU113*(1-IF(AV$69-$F113&lt;=12,SUMIFS('Attrition Modeling'!$D:$D,'Attrition Modeling'!$B:$B,$E113,'Attrition Modeling'!$C:$C,AV$68),VLOOKUP(AV$69-$F113-1,$A$7:$C$161,2,FALSE)*VLOOKUP(AV$1,'Attrition Modeling'!$L$15:$N$27,IF(AV$2-$F46&lt;=24,2,3),FALSE))*(1+Projection!AX$16)*(1+IF(AV178&gt;0,'Attrition Modeling'!$N$9,0))),0))</f>
        <v>0</v>
      </c>
      <c r="AW113" s="799">
        <f>IF(AW$69=$F113+1,IF(Monthly!AS$4=TRUE,0,Monthly!AS$17),IF(AW$69&gt;$F113+1,AV113*(1-IF(AW$69-$F113&lt;=12,SUMIFS('Attrition Modeling'!$D:$D,'Attrition Modeling'!$B:$B,$E113,'Attrition Modeling'!$C:$C,AW$68),VLOOKUP(AW$69-$F113-1,$A$7:$C$161,2,FALSE)*VLOOKUP(AW$1,'Attrition Modeling'!$L$15:$N$27,IF(AW$2-$F46&lt;=24,2,3),FALSE))*(1+Projection!AY$16)*(1+IF(AW178&gt;0,'Attrition Modeling'!$N$9,0))),0))</f>
        <v>0</v>
      </c>
      <c r="AX113" s="799">
        <f>IF(AX$69=$F113+1,IF(Monthly!AT$4=TRUE,0,Monthly!AT$17),IF(AX$69&gt;$F113+1,AW113*(1-IF(AX$69-$F113&lt;=12,SUMIFS('Attrition Modeling'!$D:$D,'Attrition Modeling'!$B:$B,$E113,'Attrition Modeling'!$C:$C,AX$68),VLOOKUP(AX$69-$F113-1,$A$7:$C$161,2,FALSE)*VLOOKUP(AX$1,'Attrition Modeling'!$L$15:$N$27,IF(AX$2-$F46&lt;=24,2,3),FALSE))*(1+Projection!AZ$16)*(1+IF(AX178&gt;0,'Attrition Modeling'!$N$9,0))),0))</f>
        <v>0</v>
      </c>
      <c r="AY113" s="799">
        <f>IF(AY$69=$F113+1,IF(Monthly!AU$4=TRUE,0,Monthly!AU$17),IF(AY$69&gt;$F113+1,AX113*(1-IF(AY$69-$F113&lt;=12,SUMIFS('Attrition Modeling'!$D:$D,'Attrition Modeling'!$B:$B,$E113,'Attrition Modeling'!$C:$C,AY$68),VLOOKUP(AY$69-$F113-1,$A$7:$C$161,2,FALSE)*VLOOKUP(AY$1,'Attrition Modeling'!$L$15:$N$27,IF(AY$2-$F46&lt;=24,2,3),FALSE))*(1+Projection!BA$16)*(1+IF(AY178&gt;0,'Attrition Modeling'!$N$9,0))),0))</f>
        <v>5827.1376524010848</v>
      </c>
      <c r="AZ113" s="799">
        <f>IF(AZ$69=$F113+1,IF(Monthly!AV$4=TRUE,0,Monthly!AV$17),IF(AZ$69&gt;$F113+1,AY113*(1-IF(AZ$69-$F113&lt;=12,SUMIFS('Attrition Modeling'!$D:$D,'Attrition Modeling'!$B:$B,$E113,'Attrition Modeling'!$C:$C,AZ$68),VLOOKUP(AZ$69-$F113-1,$A$7:$C$161,2,FALSE)*VLOOKUP(AZ$1,'Attrition Modeling'!$L$15:$N$27,IF(AZ$2-$F46&lt;=24,2,3),FALSE))*(1+Projection!BB$16)*(1+IF(AZ178&gt;0,'Attrition Modeling'!$N$9,0))),0))</f>
        <v>5160.5894404696473</v>
      </c>
      <c r="BA113" s="799">
        <f>IF(BA$69=$F113+1,IF(Monthly!AW$4=TRUE,0,Monthly!AW$17),IF(BA$69&gt;$F113+1,AZ113*(1-IF(BA$69-$F113&lt;=12,SUMIFS('Attrition Modeling'!$D:$D,'Attrition Modeling'!$B:$B,$E113,'Attrition Modeling'!$C:$C,BA$68),VLOOKUP(BA$69-$F113-1,$A$7:$C$161,2,FALSE)*VLOOKUP(BA$1,'Attrition Modeling'!$L$15:$N$27,IF(BA$2-$F46&lt;=24,2,3),FALSE))*(1+Projection!BC$16)*(1+IF(BA178&gt;0,'Attrition Modeling'!$N$9,0))),0))</f>
        <v>4660.6626538312739</v>
      </c>
      <c r="BB113" s="799">
        <f>IF(BB$69=$F113+1,IF(Monthly!AX$4=TRUE,0,Monthly!AX$17),IF(BB$69&gt;$F113+1,BA113*(1-IF(BB$69-$F113&lt;=12,SUMIFS('Attrition Modeling'!$D:$D,'Attrition Modeling'!$B:$B,$E113,'Attrition Modeling'!$C:$C,BB$68),VLOOKUP(BB$69-$F113-1,$A$7:$C$161,2,FALSE)*VLOOKUP(BB$1,'Attrition Modeling'!$L$15:$N$27,IF(BB$2-$F46&lt;=24,2,3),FALSE))*(1+Projection!BD$16)*(1+IF(BB178&gt;0,'Attrition Modeling'!$N$9,0))),0))</f>
        <v>4235.0189681375969</v>
      </c>
      <c r="BC113" s="799">
        <f>IF(BC$69=$F113+1,IF(Monthly!AY$4=TRUE,0,Monthly!AY$17),IF(BC$69&gt;$F113+1,BB113*(1-IF(BC$69-$F113&lt;=12,SUMIFS('Attrition Modeling'!$D:$D,'Attrition Modeling'!$B:$B,$E113,'Attrition Modeling'!$C:$C,BC$68),VLOOKUP(BC$69-$F113-1,$A$7:$C$161,2,FALSE)*VLOOKUP(BC$1,'Attrition Modeling'!$L$15:$N$27,IF(BC$2-$F46&lt;=24,2,3),FALSE))*(1+Projection!BE$16)*(1+IF(BC178&gt;0,'Attrition Modeling'!$N$9,0))),0))</f>
        <v>3891.1426274570695</v>
      </c>
      <c r="BD113" s="799">
        <f>IF(BD$69=$F113+1,IF(Monthly!AZ$4=TRUE,0,Monthly!AZ$17),IF(BD$69&gt;$F113+1,BC113*(1-IF(BD$69-$F113&lt;=12,SUMIFS('Attrition Modeling'!$D:$D,'Attrition Modeling'!$B:$B,$E113,'Attrition Modeling'!$C:$C,BD$68),VLOOKUP(BD$69-$F113-1,$A$7:$C$161,2,FALSE)*VLOOKUP(BD$1,'Attrition Modeling'!$L$15:$N$27,IF(BD$2-$F46&lt;=24,2,3),FALSE))*(1+Projection!BF$16)*(1+IF(BD178&gt;0,'Attrition Modeling'!$N$9,0))),0))</f>
        <v>3529.7374559591831</v>
      </c>
      <c r="BE113" s="799">
        <f>IF(BE$69=$F113+1,IF(Monthly!BA$4=TRUE,0,Monthly!BA$17),IF(BE$69&gt;$F113+1,BD113*(1-IF(BE$69-$F113&lt;=12,SUMIFS('Attrition Modeling'!$D:$D,'Attrition Modeling'!$B:$B,$E113,'Attrition Modeling'!$C:$C,BE$68),VLOOKUP(BE$69-$F113-1,$A$7:$C$161,2,FALSE)*VLOOKUP(BE$1,'Attrition Modeling'!$L$15:$N$27,IF(BE$2-$F46&lt;=24,2,3),FALSE))*(1+Projection!BG$16)*(1+IF(BE178&gt;0,'Attrition Modeling'!$N$9,0))),0))</f>
        <v>3307.1474115434571</v>
      </c>
      <c r="BF113" s="799">
        <f>IF(BF$69=$F113+1,IF(Monthly!BB$4=TRUE,0,Monthly!BB$17),IF(BF$69&gt;$F113+1,BE113*(1-IF(BF$69-$F113&lt;=12,SUMIFS('Attrition Modeling'!$D:$D,'Attrition Modeling'!$B:$B,$E113,'Attrition Modeling'!$C:$C,BF$68),VLOOKUP(BF$69-$F113-1,$A$7:$C$161,2,FALSE)*VLOOKUP(BF$1,'Attrition Modeling'!$L$15:$N$27,IF(BF$2-$F46&lt;=24,2,3),FALSE))*(1+Projection!BH$16)*(1+IF(BF178&gt;0,'Attrition Modeling'!$N$9,0))),0))</f>
        <v>3092.1326603668995</v>
      </c>
      <c r="BG113" s="799">
        <f>IF(BG$69=$F113+1,IF(Monthly!BC$4=TRUE,0,Monthly!BC$17),IF(BG$69&gt;$F113+1,BF113*(1-IF(BG$69-$F113&lt;=12,SUMIFS('Attrition Modeling'!$D:$D,'Attrition Modeling'!$B:$B,$E113,'Attrition Modeling'!$C:$C,BG$68),VLOOKUP(BG$69-$F113-1,$A$7:$C$161,2,FALSE)*VLOOKUP(BG$1,'Attrition Modeling'!$L$15:$N$27,IF(BG$2-$F46&lt;=24,2,3),FALSE))*(1+Projection!BI$16)*(1+IF(BG178&gt;0,'Attrition Modeling'!$N$9,0))),0))</f>
        <v>2906.8325600006278</v>
      </c>
      <c r="BH113" s="799">
        <f>IF(BH$69=$F113+1,IF(Monthly!BD$4=TRUE,0,Monthly!BD$17),IF(BH$69&gt;$F113+1,BG113*(1-IF(BH$69-$F113&lt;=12,SUMIFS('Attrition Modeling'!$D:$D,'Attrition Modeling'!$B:$B,$E113,'Attrition Modeling'!$C:$C,BH$68),VLOOKUP(BH$69-$F113-1,$A$7:$C$161,2,FALSE)*VLOOKUP(BH$1,'Attrition Modeling'!$L$15:$N$27,IF(BH$2-$F46&lt;=24,2,3),FALSE))*(1+Projection!BJ$16)*(1+IF(BH178&gt;0,'Attrition Modeling'!$N$9,0))),0))</f>
        <v>2745.0627643094736</v>
      </c>
      <c r="BI113" s="799">
        <f>IF(BI$69=$F113+1,IF(Monthly!BE$4=TRUE,0,Monthly!BE$17),IF(BI$69&gt;$F113+1,BH113*(1-IF(BI$69-$F113&lt;=12,SUMIFS('Attrition Modeling'!$D:$D,'Attrition Modeling'!$B:$B,$E113,'Attrition Modeling'!$C:$C,BI$68),VLOOKUP(BI$69-$F113-1,$A$7:$C$161,2,FALSE)*VLOOKUP(BI$1,'Attrition Modeling'!$L$15:$N$27,IF(BI$2-$F46&lt;=24,2,3),FALSE))*(1+Projection!BK$16)*(1+IF(BI178&gt;0,'Attrition Modeling'!$N$9,0))),0))</f>
        <v>2574.4391333465337</v>
      </c>
      <c r="BJ113" s="799">
        <f>IF(BJ$69=$F113+1,IF(Monthly!BF$4=TRUE,0,Monthly!BF$17),IF(BJ$69&gt;$F113+1,BI113*(1-IF(BJ$69-$F113&lt;=12,SUMIFS('Attrition Modeling'!$D:$D,'Attrition Modeling'!$B:$B,$E113,'Attrition Modeling'!$C:$C,BJ$68),VLOOKUP(BJ$69-$F113-1,$A$7:$C$161,2,FALSE)*VLOOKUP(BJ$1,'Attrition Modeling'!$L$15:$N$27,IF(BJ$2-$F46&lt;=24,2,3),FALSE))*(1+Projection!BL$16)*(1+IF(BJ178&gt;0,'Attrition Modeling'!$N$9,0))),0))</f>
        <v>2488.9821452341844</v>
      </c>
      <c r="BK113" s="799">
        <f>IF(BK$69=$F113+1,IF(Monthly!BG$4=TRUE,0,Monthly!BG$17),IF(BK$69&gt;$F113+1,BJ113*(1-IF(BK$69-$F113&lt;=12,SUMIFS('Attrition Modeling'!$D:$D,'Attrition Modeling'!$B:$B,$E113,'Attrition Modeling'!$C:$C,BK$68),VLOOKUP(BK$69-$F113-1,$A$7:$C$161,2,FALSE)*VLOOKUP(BK$1,'Attrition Modeling'!$L$15:$N$27,IF(BK$2-$F46&lt;=24,2,3),FALSE))*(1+Projection!BM$16)*(1+IF(BK178&gt;0,'Attrition Modeling'!$N$9,0))),0))</f>
        <v>2338.2341210524687</v>
      </c>
      <c r="BL113" s="799">
        <f>IF(BL$69=$F113+1,IF(Monthly!BH$4=TRUE,0,Monthly!BH$17),IF(BL$69&gt;$F113+1,BK113*(1-IF(BL$69-$F113&lt;=12,SUMIFS('Attrition Modeling'!$D:$D,'Attrition Modeling'!$B:$B,$E113,'Attrition Modeling'!$C:$C,BL$68),VLOOKUP(BL$69-$F113-1,$A$7:$C$161,2,FALSE)*VLOOKUP(BL$1,'Attrition Modeling'!$L$15:$N$27,IF(BL$2-$F46&lt;=24,2,3),FALSE))*(1+Projection!BN$16)*(1+IF(BL178&gt;0,'Attrition Modeling'!$N$9,0))),0))</f>
        <v>2219.0716613592735</v>
      </c>
      <c r="BM113" s="799">
        <f>IF(BM$69=$F113+1,IF(Monthly!BI$4=TRUE,0,Monthly!BI$17),IF(BM$69&gt;$F113+1,BL113*(1-IF(BM$69-$F113&lt;=12,SUMIFS('Attrition Modeling'!$D:$D,'Attrition Modeling'!$B:$B,$E113,'Attrition Modeling'!$C:$C,BM$68),VLOOKUP(BM$69-$F113-1,$A$7:$C$161,2,FALSE)*VLOOKUP(BM$1,'Attrition Modeling'!$L$15:$N$27,IF(BM$2-$F46&lt;=24,2,3),FALSE))*(1+Projection!BO$16)*(1+IF(BM178&gt;0,'Attrition Modeling'!$N$9,0))),0))</f>
        <v>2109.0310472127462</v>
      </c>
      <c r="BN113" s="799">
        <f>IF(BN$69=$F113+1,IF(Monthly!BJ$4=TRUE,0,Monthly!BJ$17),IF(BN$69&gt;$F113+1,BM113*(1-IF(BN$69-$F113&lt;=12,SUMIFS('Attrition Modeling'!$D:$D,'Attrition Modeling'!$B:$B,$E113,'Attrition Modeling'!$C:$C,BN$68),VLOOKUP(BN$69-$F113-1,$A$7:$C$161,2,FALSE)*VLOOKUP(BN$1,'Attrition Modeling'!$L$15:$N$27,IF(BN$2-$F46&lt;=24,2,3),FALSE))*(1+Projection!BP$16)*(1+IF(BN178&gt;0,'Attrition Modeling'!$N$9,0))),0))</f>
        <v>2012.0975114177895</v>
      </c>
      <c r="BO113" s="799">
        <f>IF(BO$69=$F113+1,IF(Monthly!BK$4=TRUE,0,Monthly!BK$17),IF(BO$69&gt;$F113+1,BN113*(1-IF(BO$69-$F113&lt;=12,SUMIFS('Attrition Modeling'!$D:$D,'Attrition Modeling'!$B:$B,$E113,'Attrition Modeling'!$C:$C,BO$68),VLOOKUP(BO$69-$F113-1,$A$7:$C$161,2,FALSE)*VLOOKUP(BO$1,'Attrition Modeling'!$L$15:$N$27,IF(BO$2-$F46&lt;=24,2,3),FALSE))*(1+Projection!BV$16)*(1+IF(BO178&gt;0,'Attrition Modeling'!$N$9,0))),0))</f>
        <v>1923.2818206128854</v>
      </c>
      <c r="BP113" s="799">
        <f>IF(BP$69=$F113+1,IF(Monthly!BL$4=TRUE,0,Monthly!BL$17),IF(BP$69&gt;$F113+1,BO113*(1-IF(BP$69-$F113&lt;=12,SUMIFS('Attrition Modeling'!$D:$D,'Attrition Modeling'!$B:$B,$E113,'Attrition Modeling'!$C:$C,BP$68),VLOOKUP(BP$69-$F113-1,$A$7:$C$161,2,FALSE)*VLOOKUP(BP$1,'Attrition Modeling'!$L$15:$N$27,IF(BP$2-$F46&lt;=24,2,3),FALSE))*(1+Projection!BW$16)*(1+IF(BP178&gt;0,'Attrition Modeling'!$N$9,0))),0))</f>
        <v>1840.4135715373252</v>
      </c>
      <c r="BQ113" s="799">
        <f>IF(BQ$69=$F113+1,IF(Monthly!BM$4=TRUE,0,Monthly!BM$17),IF(BQ$69&gt;$F113+1,BP113*(1-IF(BQ$69-$F113&lt;=12,SUMIFS('Attrition Modeling'!$D:$D,'Attrition Modeling'!$B:$B,$E113,'Attrition Modeling'!$C:$C,BQ$68),VLOOKUP(BQ$69-$F113-1,$A$7:$C$161,2,FALSE)*VLOOKUP(BQ$1,'Attrition Modeling'!$L$15:$N$27,IF(BQ$2-$F46&lt;=24,2,3),FALSE))*(1+Projection!BX$16)*(1+IF(BQ178&gt;0,'Attrition Modeling'!$N$9,0))),0))</f>
        <v>1770.4140272734726</v>
      </c>
      <c r="BR113" s="799">
        <f>IF(BR$69=$F113+1,IF(Monthly!BN$4=TRUE,0,Monthly!BN$17),IF(BR$69&gt;$F113+1,BQ113*(1-IF(BR$69-$F113&lt;=12,SUMIFS('Attrition Modeling'!$D:$D,'Attrition Modeling'!$B:$B,$E113,'Attrition Modeling'!$C:$C,BR$68),VLOOKUP(BR$69-$F113-1,$A$7:$C$161,2,FALSE)*VLOOKUP(BR$1,'Attrition Modeling'!$L$15:$N$27,IF(BR$2-$F46&lt;=24,2,3),FALSE))*(1+Projection!BY$16)*(1+IF(BR178&gt;0,'Attrition Modeling'!$N$9,0))),0))</f>
        <v>1698.506169020621</v>
      </c>
      <c r="BS113" s="799">
        <f>IF(BS$69=$F113+1,IF(Monthly!BO$4=TRUE,0,Monthly!BO$17),IF(BS$69&gt;$F113+1,BR113*(1-IF(BS$69-$F113&lt;=12,SUMIFS('Attrition Modeling'!$D:$D,'Attrition Modeling'!$B:$B,$E113,'Attrition Modeling'!$C:$C,BS$68),VLOOKUP(BS$69-$F113-1,$A$7:$C$161,2,FALSE)*VLOOKUP(BS$1,'Attrition Modeling'!$L$15:$N$27,IF(BS$2-$F46&lt;=24,2,3),FALSE))*(1+Projection!BZ$16)*(1+IF(BS178&gt;0,'Attrition Modeling'!$N$9,0))),0))</f>
        <v>1631.8348993420202</v>
      </c>
      <c r="BT113" s="799">
        <f>IF(BT$69=$F113+1,IF(Monthly!#REF!=TRUE,0,Monthly!#REF!),IF(BT$69&gt;$F113+1,BS113*(1-IF(BT$69-$F113&lt;=12,SUMIFS('Attrition Modeling'!$D:$D,'Attrition Modeling'!$B:$B,$E113,'Attrition Modeling'!$C:$C,BT$68),VLOOKUP(BT$69-$F113-1,$A$7:$C$161,2,FALSE)*VLOOKUP(BT$1,'Attrition Modeling'!$L$15:$N$27,IF(BT$2-$F46&lt;=24,2,3),FALSE))*(1+Projection!CA$16)*(1+IF(BT178&gt;0,'Attrition Modeling'!$N$9,0))),0))</f>
        <v>1569.2269036466632</v>
      </c>
      <c r="BU113" s="799">
        <f>IF(BU$69=$F113+1,IF(Monthly!#REF!=TRUE,0,Monthly!#REF!),IF(BU$69&gt;$F113+1,BT113*(1-IF(BU$69-$F113&lt;=12,SUMIFS('Attrition Modeling'!$D:$D,'Attrition Modeling'!$B:$B,$E113,'Attrition Modeling'!$C:$C,BU$68),VLOOKUP(BU$69-$F113-1,$A$7:$C$161,2,FALSE)*VLOOKUP(BU$1,'Attrition Modeling'!$L$15:$N$27,IF(BU$2-$F46&lt;=24,2,3),FALSE))*(1+Projection!CB$16)*(1+IF(BU178&gt;0,'Attrition Modeling'!$N$9,0))),0))</f>
        <v>1504.0727531741154</v>
      </c>
    </row>
    <row r="114" spans="1:73" ht="14.25" customHeight="1" x14ac:dyDescent="0.2">
      <c r="A114" s="9">
        <v>107</v>
      </c>
      <c r="B114" s="25">
        <f>MAX('Attrition Modeling'!H111,$C$3)*(1-Summary!$C$20)</f>
        <v>0.02</v>
      </c>
      <c r="C114" s="24" t="e">
        <f t="shared" si="4"/>
        <v>#DIV/0!</v>
      </c>
      <c r="E114" s="11">
        <f t="shared" si="9"/>
        <v>8</v>
      </c>
      <c r="F114" s="11">
        <f t="shared" si="10"/>
        <v>44</v>
      </c>
      <c r="G114" s="799"/>
      <c r="H114" s="799">
        <f>IF(H$69=$F114+1,IF(Monthly!D$4=TRUE,0,Monthly!D$17),IF(H$69&gt;$F114+1,G114*(1-IF(H$69-$F114&lt;=12,SUMIFS('Attrition Modeling'!$D:$D,'Attrition Modeling'!$B:$B,$E114,'Attrition Modeling'!$C:$C,H$68),VLOOKUP(H$69-$F114-1,$A$7:$C$161,2,FALSE)*VLOOKUP(H$1,'Attrition Modeling'!$L$15:$N$27,IF(H$2-$F47&lt;=24,2,3),FALSE))*(1+Projection!J$16)*(1+IF(H179&gt;0,'Attrition Modeling'!$N$9,0))),0))</f>
        <v>0</v>
      </c>
      <c r="I114" s="799">
        <f>IF(I$69=$F114+1,IF(Monthly!E$4=TRUE,0,Monthly!E$17),IF(I$69&gt;$F114+1,H114*(1-IF(I$69-$F114&lt;=12,SUMIFS('Attrition Modeling'!$D:$D,'Attrition Modeling'!$B:$B,$E114,'Attrition Modeling'!$C:$C,I$68),VLOOKUP(I$69-$F114-1,$A$7:$C$161,2,FALSE)*VLOOKUP(I$1,'Attrition Modeling'!$L$15:$N$27,IF(I$2-$F47&lt;=24,2,3),FALSE))*(1+Projection!K$16)*(1+IF(I179&gt;0,'Attrition Modeling'!$N$9,0))),0))</f>
        <v>0</v>
      </c>
      <c r="J114" s="799">
        <f>IF(J$69=$F114+1,IF(Monthly!F$4=TRUE,0,Monthly!F$17),IF(J$69&gt;$F114+1,I114*(1-IF(J$69-$F114&lt;=12,SUMIFS('Attrition Modeling'!$D:$D,'Attrition Modeling'!$B:$B,$E114,'Attrition Modeling'!$C:$C,J$68),VLOOKUP(J$69-$F114-1,$A$7:$C$161,2,FALSE)*VLOOKUP(J$1,'Attrition Modeling'!$L$15:$N$27,IF(J$2-$F47&lt;=24,2,3),FALSE))*(1+Projection!L$16)*(1+IF(J179&gt;0,'Attrition Modeling'!$N$9,0))),0))</f>
        <v>0</v>
      </c>
      <c r="K114" s="799">
        <f>IF(K$69=$F114+1,IF(Monthly!G$4=TRUE,0,Monthly!G$17),IF(K$69&gt;$F114+1,J114*(1-IF(K$69-$F114&lt;=12,SUMIFS('Attrition Modeling'!$D:$D,'Attrition Modeling'!$B:$B,$E114,'Attrition Modeling'!$C:$C,K$68),VLOOKUP(K$69-$F114-1,$A$7:$C$161,2,FALSE)*VLOOKUP(K$1,'Attrition Modeling'!$L$15:$N$27,IF(K$2-$F47&lt;=24,2,3),FALSE))*(1+Projection!M$16)*(1+IF(K179&gt;0,'Attrition Modeling'!$N$9,0))),0))</f>
        <v>0</v>
      </c>
      <c r="L114" s="799">
        <f>IF(L$69=$F114+1,IF(Monthly!H$4=TRUE,0,Monthly!H$17),IF(L$69&gt;$F114+1,K114*(1-IF(L$69-$F114&lt;=12,SUMIFS('Attrition Modeling'!$D:$D,'Attrition Modeling'!$B:$B,$E114,'Attrition Modeling'!$C:$C,L$68),VLOOKUP(L$69-$F114-1,$A$7:$C$161,2,FALSE)*VLOOKUP(L$1,'Attrition Modeling'!$L$15:$N$27,IF(L$2-$F47&lt;=24,2,3),FALSE))*(1+Projection!N$16)*(1+IF(L179&gt;0,'Attrition Modeling'!$N$9,0))),0))</f>
        <v>0</v>
      </c>
      <c r="M114" s="799">
        <f>IF(M$69=$F114+1,IF(Monthly!I$4=TRUE,0,Monthly!I$17),IF(M$69&gt;$F114+1,L114*(1-IF(M$69-$F114&lt;=12,SUMIFS('Attrition Modeling'!$D:$D,'Attrition Modeling'!$B:$B,$E114,'Attrition Modeling'!$C:$C,M$68),VLOOKUP(M$69-$F114-1,$A$7:$C$161,2,FALSE)*VLOOKUP(M$1,'Attrition Modeling'!$L$15:$N$27,IF(M$2-$F47&lt;=24,2,3),FALSE))*(1+Projection!O$16)*(1+IF(M179&gt;0,'Attrition Modeling'!$N$9,0))),0))</f>
        <v>0</v>
      </c>
      <c r="N114" s="799">
        <f>IF(N$69=$F114+1,IF(Monthly!J$4=TRUE,0,Monthly!J$17),IF(N$69&gt;$F114+1,M114*(1-IF(N$69-$F114&lt;=12,SUMIFS('Attrition Modeling'!$D:$D,'Attrition Modeling'!$B:$B,$E114,'Attrition Modeling'!$C:$C,N$68),VLOOKUP(N$69-$F114-1,$A$7:$C$161,2,FALSE)*VLOOKUP(N$1,'Attrition Modeling'!$L$15:$N$27,IF(N$2-$F47&lt;=24,2,3),FALSE))*(1+Projection!P$16)*(1+IF(N179&gt;0,'Attrition Modeling'!$N$9,0))),0))</f>
        <v>0</v>
      </c>
      <c r="O114" s="799">
        <f>IF(O$69=$F114+1,IF(Monthly!K$4=TRUE,0,Monthly!K$17),IF(O$69&gt;$F114+1,N114*(1-IF(O$69-$F114&lt;=12,SUMIFS('Attrition Modeling'!$D:$D,'Attrition Modeling'!$B:$B,$E114,'Attrition Modeling'!$C:$C,O$68),VLOOKUP(O$69-$F114-1,$A$7:$C$161,2,FALSE)*VLOOKUP(O$1,'Attrition Modeling'!$L$15:$N$27,IF(O$2-$F47&lt;=24,2,3),FALSE))*(1+Projection!Q$16)*(1+IF(O179&gt;0,'Attrition Modeling'!$N$9,0))),0))</f>
        <v>0</v>
      </c>
      <c r="P114" s="799">
        <f>IF(P$69=$F114+1,IF(Monthly!L$4=TRUE,0,Monthly!L$17),IF(P$69&gt;$F114+1,O114*(1-IF(P$69-$F114&lt;=12,SUMIFS('Attrition Modeling'!$D:$D,'Attrition Modeling'!$B:$B,$E114,'Attrition Modeling'!$C:$C,P$68),VLOOKUP(P$69-$F114-1,$A$7:$C$161,2,FALSE)*VLOOKUP(P$1,'Attrition Modeling'!$L$15:$N$27,IF(P$2-$F47&lt;=24,2,3),FALSE))*(1+Projection!R$16)*(1+IF(P179&gt;0,'Attrition Modeling'!$N$9,0))),0))</f>
        <v>0</v>
      </c>
      <c r="Q114" s="799">
        <f>IF(Q$69=$F114+1,IF(Monthly!M$4=TRUE,0,Monthly!M$17),IF(Q$69&gt;$F114+1,P114*(1-IF(Q$69-$F114&lt;=12,SUMIFS('Attrition Modeling'!$D:$D,'Attrition Modeling'!$B:$B,$E114,'Attrition Modeling'!$C:$C,Q$68),VLOOKUP(Q$69-$F114-1,$A$7:$C$161,2,FALSE)*VLOOKUP(Q$1,'Attrition Modeling'!$L$15:$N$27,IF(Q$2-$F47&lt;=24,2,3),FALSE))*(1+Projection!S$16)*(1+IF(Q179&gt;0,'Attrition Modeling'!$N$9,0))),0))</f>
        <v>0</v>
      </c>
      <c r="R114" s="799">
        <f>IF(R$69=$F114+1,IF(Monthly!N$4=TRUE,0,Monthly!N$17),IF(R$69&gt;$F114+1,Q114*(1-IF(R$69-$F114&lt;=12,SUMIFS('Attrition Modeling'!$D:$D,'Attrition Modeling'!$B:$B,$E114,'Attrition Modeling'!$C:$C,R$68),VLOOKUP(R$69-$F114-1,$A$7:$C$161,2,FALSE)*VLOOKUP(R$1,'Attrition Modeling'!$L$15:$N$27,IF(R$2-$F47&lt;=24,2,3),FALSE))*(1+Projection!T$16)*(1+IF(R179&gt;0,'Attrition Modeling'!$N$9,0))),0))</f>
        <v>0</v>
      </c>
      <c r="S114" s="799">
        <f>IF(S$69=$F114+1,IF(Monthly!O$4=TRUE,0,Monthly!O$17),IF(S$69&gt;$F114+1,R114*(1-IF(S$69-$F114&lt;=12,SUMIFS('Attrition Modeling'!$D:$D,'Attrition Modeling'!$B:$B,$E114,'Attrition Modeling'!$C:$C,S$68),VLOOKUP(S$69-$F114-1,$A$7:$C$161,2,FALSE)*VLOOKUP(S$1,'Attrition Modeling'!$L$15:$N$27,IF(S$2-$F47&lt;=24,2,3),FALSE))*(1+Projection!U$16)*(1+IF(S179&gt;0,'Attrition Modeling'!$N$9,0))),0))</f>
        <v>0</v>
      </c>
      <c r="T114" s="799">
        <f>IF(T$69=$F114+1,IF(Monthly!P$4=TRUE,0,Monthly!P$17),IF(T$69&gt;$F114+1,S114*(1-IF(T$69-$F114&lt;=12,SUMIFS('Attrition Modeling'!$D:$D,'Attrition Modeling'!$B:$B,$E114,'Attrition Modeling'!$C:$C,T$68),VLOOKUP(T$69-$F114-1,$A$7:$C$161,2,FALSE)*VLOOKUP(T$1,'Attrition Modeling'!$L$15:$N$27,IF(T$2-$F47&lt;=24,2,3),FALSE))*(1+Projection!V$16)*(1+IF(T179&gt;0,'Attrition Modeling'!$N$9,0))),0))</f>
        <v>0</v>
      </c>
      <c r="U114" s="799">
        <f>IF(U$69=$F114+1,IF(Monthly!Q$4=TRUE,0,Monthly!Q$17),IF(U$69&gt;$F114+1,T114*(1-IF(U$69-$F114&lt;=12,SUMIFS('Attrition Modeling'!$D:$D,'Attrition Modeling'!$B:$B,$E114,'Attrition Modeling'!$C:$C,U$68),VLOOKUP(U$69-$F114-1,$A$7:$C$161,2,FALSE)*VLOOKUP(U$1,'Attrition Modeling'!$L$15:$N$27,IF(U$2-$F47&lt;=24,2,3),FALSE))*(1+Projection!W$16)*(1+IF(U179&gt;0,'Attrition Modeling'!$N$9,0))),0))</f>
        <v>0</v>
      </c>
      <c r="V114" s="799">
        <f>IF(V$69=$F114+1,IF(Monthly!R$4=TRUE,0,Monthly!R$17),IF(V$69&gt;$F114+1,U114*(1-IF(V$69-$F114&lt;=12,SUMIFS('Attrition Modeling'!$D:$D,'Attrition Modeling'!$B:$B,$E114,'Attrition Modeling'!$C:$C,V$68),VLOOKUP(V$69-$F114-1,$A$7:$C$161,2,FALSE)*VLOOKUP(V$1,'Attrition Modeling'!$L$15:$N$27,IF(V$2-$F47&lt;=24,2,3),FALSE))*(1+Projection!X$16)*(1+IF(V179&gt;0,'Attrition Modeling'!$N$9,0))),0))</f>
        <v>0</v>
      </c>
      <c r="W114" s="799">
        <f>IF(W$69=$F114+1,IF(Monthly!S$4=TRUE,0,Monthly!S$17),IF(W$69&gt;$F114+1,V114*(1-IF(W$69-$F114&lt;=12,SUMIFS('Attrition Modeling'!$D:$D,'Attrition Modeling'!$B:$B,$E114,'Attrition Modeling'!$C:$C,W$68),VLOOKUP(W$69-$F114-1,$A$7:$C$161,2,FALSE)*VLOOKUP(W$1,'Attrition Modeling'!$L$15:$N$27,IF(W$2-$F47&lt;=24,2,3),FALSE))*(1+Projection!Y$16)*(1+IF(W179&gt;0,'Attrition Modeling'!$N$9,0))),0))</f>
        <v>0</v>
      </c>
      <c r="X114" s="799">
        <f>IF(X$69=$F114+1,IF(Monthly!T$4=TRUE,0,Monthly!T$17),IF(X$69&gt;$F114+1,W114*(1-IF(X$69-$F114&lt;=12,SUMIFS('Attrition Modeling'!$D:$D,'Attrition Modeling'!$B:$B,$E114,'Attrition Modeling'!$C:$C,X$68),VLOOKUP(X$69-$F114-1,$A$7:$C$161,2,FALSE)*VLOOKUP(X$1,'Attrition Modeling'!$L$15:$N$27,IF(X$2-$F47&lt;=24,2,3),FALSE))*(1+Projection!Z$16)*(1+IF(X179&gt;0,'Attrition Modeling'!$N$9,0))),0))</f>
        <v>0</v>
      </c>
      <c r="Y114" s="799">
        <f>IF(Y$69=$F114+1,IF(Monthly!U$4=TRUE,0,Monthly!U$17),IF(Y$69&gt;$F114+1,X114*(1-IF(Y$69-$F114&lt;=12,SUMIFS('Attrition Modeling'!$D:$D,'Attrition Modeling'!$B:$B,$E114,'Attrition Modeling'!$C:$C,Y$68),VLOOKUP(Y$69-$F114-1,$A$7:$C$161,2,FALSE)*VLOOKUP(Y$1,'Attrition Modeling'!$L$15:$N$27,IF(Y$2-$F47&lt;=24,2,3),FALSE))*(1+Projection!AA$16)*(1+IF(Y179&gt;0,'Attrition Modeling'!$N$9,0))),0))</f>
        <v>0</v>
      </c>
      <c r="Z114" s="799">
        <f>IF(Z$69=$F114+1,IF(Monthly!V$4=TRUE,0,Monthly!V$17),IF(Z$69&gt;$F114+1,Y114*(1-IF(Z$69-$F114&lt;=12,SUMIFS('Attrition Modeling'!$D:$D,'Attrition Modeling'!$B:$B,$E114,'Attrition Modeling'!$C:$C,Z$68),VLOOKUP(Z$69-$F114-1,$A$7:$C$161,2,FALSE)*VLOOKUP(Z$1,'Attrition Modeling'!$L$15:$N$27,IF(Z$2-$F47&lt;=24,2,3),FALSE))*(1+Projection!AB$16)*(1+IF(Z179&gt;0,'Attrition Modeling'!$N$9,0))),0))</f>
        <v>0</v>
      </c>
      <c r="AA114" s="799">
        <f>IF(AA$69=$F114+1,IF(Monthly!W$4=TRUE,0,Monthly!W$17),IF(AA$69&gt;$F114+1,Z114*(1-IF(AA$69-$F114&lt;=12,SUMIFS('Attrition Modeling'!$D:$D,'Attrition Modeling'!$B:$B,$E114,'Attrition Modeling'!$C:$C,AA$68),VLOOKUP(AA$69-$F114-1,$A$7:$C$161,2,FALSE)*VLOOKUP(AA$1,'Attrition Modeling'!$L$15:$N$27,IF(AA$2-$F47&lt;=24,2,3),FALSE))*(1+Projection!AC$16)*(1+IF(AA179&gt;0,'Attrition Modeling'!$N$9,0))),0))</f>
        <v>0</v>
      </c>
      <c r="AB114" s="799">
        <f>IF(AB$69=$F114+1,IF(Monthly!X$4=TRUE,0,Monthly!X$17),IF(AB$69&gt;$F114+1,AA114*(1-IF(AB$69-$F114&lt;=12,SUMIFS('Attrition Modeling'!$D:$D,'Attrition Modeling'!$B:$B,$E114,'Attrition Modeling'!$C:$C,AB$68),VLOOKUP(AB$69-$F114-1,$A$7:$C$161,2,FALSE)*VLOOKUP(AB$1,'Attrition Modeling'!$L$15:$N$27,IF(AB$2-$F47&lt;=24,2,3),FALSE))*(1+Projection!AD$16)*(1+IF(AB179&gt;0,'Attrition Modeling'!$N$9,0))),0))</f>
        <v>0</v>
      </c>
      <c r="AC114" s="799">
        <f>IF(AC$69=$F114+1,IF(Monthly!Y$4=TRUE,0,Monthly!Y$17),IF(AC$69&gt;$F114+1,AB114*(1-IF(AC$69-$F114&lt;=12,SUMIFS('Attrition Modeling'!$D:$D,'Attrition Modeling'!$B:$B,$E114,'Attrition Modeling'!$C:$C,AC$68),VLOOKUP(AC$69-$F114-1,$A$7:$C$161,2,FALSE)*VLOOKUP(AC$1,'Attrition Modeling'!$L$15:$N$27,IF(AC$2-$F47&lt;=24,2,3),FALSE))*(1+Projection!AE$16)*(1+IF(AC179&gt;0,'Attrition Modeling'!$N$9,0))),0))</f>
        <v>0</v>
      </c>
      <c r="AD114" s="799">
        <f>IF(AD$69=$F114+1,IF(Monthly!Z$4=TRUE,0,Monthly!Z$17),IF(AD$69&gt;$F114+1,AC114*(1-IF(AD$69-$F114&lt;=12,SUMIFS('Attrition Modeling'!$D:$D,'Attrition Modeling'!$B:$B,$E114,'Attrition Modeling'!$C:$C,AD$68),VLOOKUP(AD$69-$F114-1,$A$7:$C$161,2,FALSE)*VLOOKUP(AD$1,'Attrition Modeling'!$L$15:$N$27,IF(AD$2-$F47&lt;=24,2,3),FALSE))*(1+Projection!AF$16)*(1+IF(AD179&gt;0,'Attrition Modeling'!$N$9,0))),0))</f>
        <v>0</v>
      </c>
      <c r="AE114" s="799">
        <f>IF(AE$69=$F114+1,IF(Monthly!AA$4=TRUE,0,Monthly!AA$17),IF(AE$69&gt;$F114+1,AD114*(1-IF(AE$69-$F114&lt;=12,SUMIFS('Attrition Modeling'!$D:$D,'Attrition Modeling'!$B:$B,$E114,'Attrition Modeling'!$C:$C,AE$68),VLOOKUP(AE$69-$F114-1,$A$7:$C$161,2,FALSE)*VLOOKUP(AE$1,'Attrition Modeling'!$L$15:$N$27,IF(AE$2-$F47&lt;=24,2,3),FALSE))*(1+Projection!AG$16)*(1+IF(AE179&gt;0,'Attrition Modeling'!$N$9,0))),0))</f>
        <v>0</v>
      </c>
      <c r="AF114" s="799">
        <f>IF(AF$69=$F114+1,IF(Monthly!AB$4=TRUE,0,Monthly!AB$17),IF(AF$69&gt;$F114+1,AE114*(1-IF(AF$69-$F114&lt;=12,SUMIFS('Attrition Modeling'!$D:$D,'Attrition Modeling'!$B:$B,$E114,'Attrition Modeling'!$C:$C,AF$68),VLOOKUP(AF$69-$F114-1,$A$7:$C$161,2,FALSE)*VLOOKUP(AF$1,'Attrition Modeling'!$L$15:$N$27,IF(AF$2-$F47&lt;=24,2,3),FALSE))*(1+Projection!AH$16)*(1+IF(AF179&gt;0,'Attrition Modeling'!$N$9,0))),0))</f>
        <v>0</v>
      </c>
      <c r="AG114" s="799">
        <f>IF(AG$69=$F114+1,IF(Monthly!AC$4=TRUE,0,Monthly!AC$17),IF(AG$69&gt;$F114+1,AF114*(1-IF(AG$69-$F114&lt;=12,SUMIFS('Attrition Modeling'!$D:$D,'Attrition Modeling'!$B:$B,$E114,'Attrition Modeling'!$C:$C,AG$68),VLOOKUP(AG$69-$F114-1,$A$7:$C$161,2,FALSE)*VLOOKUP(AG$1,'Attrition Modeling'!$L$15:$N$27,IF(AG$2-$F47&lt;=24,2,3),FALSE))*(1+Projection!AI$16)*(1+IF(AG179&gt;0,'Attrition Modeling'!$N$9,0))),0))</f>
        <v>0</v>
      </c>
      <c r="AH114" s="799">
        <f>IF(AH$69=$F114+1,IF(Monthly!AD$4=TRUE,0,Monthly!AD$17),IF(AH$69&gt;$F114+1,AG114*(1-IF(AH$69-$F114&lt;=12,SUMIFS('Attrition Modeling'!$D:$D,'Attrition Modeling'!$B:$B,$E114,'Attrition Modeling'!$C:$C,AH$68),VLOOKUP(AH$69-$F114-1,$A$7:$C$161,2,FALSE)*VLOOKUP(AH$1,'Attrition Modeling'!$L$15:$N$27,IF(AH$2-$F47&lt;=24,2,3),FALSE))*(1+Projection!AJ$16)*(1+IF(AH179&gt;0,'Attrition Modeling'!$N$9,0))),0))</f>
        <v>0</v>
      </c>
      <c r="AI114" s="799">
        <f>IF(AI$69=$F114+1,IF(Monthly!AE$4=TRUE,0,Monthly!AE$17),IF(AI$69&gt;$F114+1,AH114*(1-IF(AI$69-$F114&lt;=12,SUMIFS('Attrition Modeling'!$D:$D,'Attrition Modeling'!$B:$B,$E114,'Attrition Modeling'!$C:$C,AI$68),VLOOKUP(AI$69-$F114-1,$A$7:$C$161,2,FALSE)*VLOOKUP(AI$1,'Attrition Modeling'!$L$15:$N$27,IF(AI$2-$F47&lt;=24,2,3),FALSE))*(1+Projection!AK$16)*(1+IF(AI179&gt;0,'Attrition Modeling'!$N$9,0))),0))</f>
        <v>0</v>
      </c>
      <c r="AJ114" s="799">
        <f>IF(AJ$69=$F114+1,IF(Monthly!AF$4=TRUE,0,Monthly!AF$17),IF(AJ$69&gt;$F114+1,AI114*(1-IF(AJ$69-$F114&lt;=12,SUMIFS('Attrition Modeling'!$D:$D,'Attrition Modeling'!$B:$B,$E114,'Attrition Modeling'!$C:$C,AJ$68),VLOOKUP(AJ$69-$F114-1,$A$7:$C$161,2,FALSE)*VLOOKUP(AJ$1,'Attrition Modeling'!$L$15:$N$27,IF(AJ$2-$F47&lt;=24,2,3),FALSE))*(1+Projection!AL$16)*(1+IF(AJ179&gt;0,'Attrition Modeling'!$N$9,0))),0))</f>
        <v>0</v>
      </c>
      <c r="AK114" s="799">
        <f>IF(AK$69=$F114+1,IF(Monthly!AG$4=TRUE,0,Monthly!AG$17),IF(AK$69&gt;$F114+1,AJ114*(1-IF(AK$69-$F114&lt;=12,SUMIFS('Attrition Modeling'!$D:$D,'Attrition Modeling'!$B:$B,$E114,'Attrition Modeling'!$C:$C,AK$68),VLOOKUP(AK$69-$F114-1,$A$7:$C$161,2,FALSE)*VLOOKUP(AK$1,'Attrition Modeling'!$L$15:$N$27,IF(AK$2-$F47&lt;=24,2,3),FALSE))*(1+Projection!AM$16)*(1+IF(AK179&gt;0,'Attrition Modeling'!$N$9,0))),0))</f>
        <v>0</v>
      </c>
      <c r="AL114" s="799">
        <f>IF(AL$69=$F114+1,IF(Monthly!AH$4=TRUE,0,Monthly!AH$17),IF(AL$69&gt;$F114+1,AK114*(1-IF(AL$69-$F114&lt;=12,SUMIFS('Attrition Modeling'!$D:$D,'Attrition Modeling'!$B:$B,$E114,'Attrition Modeling'!$C:$C,AL$68),VLOOKUP(AL$69-$F114-1,$A$7:$C$161,2,FALSE)*VLOOKUP(AL$1,'Attrition Modeling'!$L$15:$N$27,IF(AL$2-$F47&lt;=24,2,3),FALSE))*(1+Projection!AN$16)*(1+IF(AL179&gt;0,'Attrition Modeling'!$N$9,0))),0))</f>
        <v>0</v>
      </c>
      <c r="AM114" s="799">
        <f>IF(AM$69=$F114+1,IF(Monthly!AI$4=TRUE,0,Monthly!AI$17),IF(AM$69&gt;$F114+1,AL114*(1-IF(AM$69-$F114&lt;=12,SUMIFS('Attrition Modeling'!$D:$D,'Attrition Modeling'!$B:$B,$E114,'Attrition Modeling'!$C:$C,AM$68),VLOOKUP(AM$69-$F114-1,$A$7:$C$161,2,FALSE)*VLOOKUP(AM$1,'Attrition Modeling'!$L$15:$N$27,IF(AM$2-$F47&lt;=24,2,3),FALSE))*(1+Projection!AO$16)*(1+IF(AM179&gt;0,'Attrition Modeling'!$N$9,0))),0))</f>
        <v>0</v>
      </c>
      <c r="AN114" s="799">
        <f>IF(AN$69=$F114+1,IF(Monthly!AJ$4=TRUE,0,Monthly!AJ$17),IF(AN$69&gt;$F114+1,AM114*(1-IF(AN$69-$F114&lt;=12,SUMIFS('Attrition Modeling'!$D:$D,'Attrition Modeling'!$B:$B,$E114,'Attrition Modeling'!$C:$C,AN$68),VLOOKUP(AN$69-$F114-1,$A$7:$C$161,2,FALSE)*VLOOKUP(AN$1,'Attrition Modeling'!$L$15:$N$27,IF(AN$2-$F47&lt;=24,2,3),FALSE))*(1+Projection!AP$16)*(1+IF(AN179&gt;0,'Attrition Modeling'!$N$9,0))),0))</f>
        <v>0</v>
      </c>
      <c r="AO114" s="799">
        <f>IF(AO$69=$F114+1,IF(Monthly!AK$4=TRUE,0,Monthly!AK$17),IF(AO$69&gt;$F114+1,AN114*(1-IF(AO$69-$F114&lt;=12,SUMIFS('Attrition Modeling'!$D:$D,'Attrition Modeling'!$B:$B,$E114,'Attrition Modeling'!$C:$C,AO$68),VLOOKUP(AO$69-$F114-1,$A$7:$C$161,2,FALSE)*VLOOKUP(AO$1,'Attrition Modeling'!$L$15:$N$27,IF(AO$2-$F47&lt;=24,2,3),FALSE))*(1+Projection!AQ$16)*(1+IF(AO179&gt;0,'Attrition Modeling'!$N$9,0))),0))</f>
        <v>0</v>
      </c>
      <c r="AP114" s="799">
        <f>IF(AP$69=$F114+1,IF(Monthly!AL$4=TRUE,0,Monthly!AL$17),IF(AP$69&gt;$F114+1,AO114*(1-IF(AP$69-$F114&lt;=12,SUMIFS('Attrition Modeling'!$D:$D,'Attrition Modeling'!$B:$B,$E114,'Attrition Modeling'!$C:$C,AP$68),VLOOKUP(AP$69-$F114-1,$A$7:$C$161,2,FALSE)*VLOOKUP(AP$1,'Attrition Modeling'!$L$15:$N$27,IF(AP$2-$F47&lt;=24,2,3),FALSE))*(1+Projection!AR$16)*(1+IF(AP179&gt;0,'Attrition Modeling'!$N$9,0))),0))</f>
        <v>0</v>
      </c>
      <c r="AQ114" s="799">
        <f>IF(AQ$69=$F114+1,IF(Monthly!AM$4=TRUE,0,Monthly!AM$17),IF(AQ$69&gt;$F114+1,AP114*(1-IF(AQ$69-$F114&lt;=12,SUMIFS('Attrition Modeling'!$D:$D,'Attrition Modeling'!$B:$B,$E114,'Attrition Modeling'!$C:$C,AQ$68),VLOOKUP(AQ$69-$F114-1,$A$7:$C$161,2,FALSE)*VLOOKUP(AQ$1,'Attrition Modeling'!$L$15:$N$27,IF(AQ$2-$F47&lt;=24,2,3),FALSE))*(1+Projection!AS$16)*(1+IF(AQ179&gt;0,'Attrition Modeling'!$N$9,0))),0))</f>
        <v>0</v>
      </c>
      <c r="AR114" s="799">
        <f>IF(AR$69=$F114+1,IF(Monthly!AN$4=TRUE,0,Monthly!AN$17),IF(AR$69&gt;$F114+1,AQ114*(1-IF(AR$69-$F114&lt;=12,SUMIFS('Attrition Modeling'!$D:$D,'Attrition Modeling'!$B:$B,$E114,'Attrition Modeling'!$C:$C,AR$68),VLOOKUP(AR$69-$F114-1,$A$7:$C$161,2,FALSE)*VLOOKUP(AR$1,'Attrition Modeling'!$L$15:$N$27,IF(AR$2-$F47&lt;=24,2,3),FALSE))*(1+Projection!AT$16)*(1+IF(AR179&gt;0,'Attrition Modeling'!$N$9,0))),0))</f>
        <v>0</v>
      </c>
      <c r="AS114" s="799">
        <f>IF(AS$69=$F114+1,IF(Monthly!AO$4=TRUE,0,Monthly!AO$17),IF(AS$69&gt;$F114+1,AR114*(1-IF(AS$69-$F114&lt;=12,SUMIFS('Attrition Modeling'!$D:$D,'Attrition Modeling'!$B:$B,$E114,'Attrition Modeling'!$C:$C,AS$68),VLOOKUP(AS$69-$F114-1,$A$7:$C$161,2,FALSE)*VLOOKUP(AS$1,'Attrition Modeling'!$L$15:$N$27,IF(AS$2-$F47&lt;=24,2,3),FALSE))*(1+Projection!AU$16)*(1+IF(AS179&gt;0,'Attrition Modeling'!$N$9,0))),0))</f>
        <v>0</v>
      </c>
      <c r="AT114" s="799">
        <f>IF(AT$69=$F114+1,IF(Monthly!AP$4=TRUE,0,Monthly!AP$17),IF(AT$69&gt;$F114+1,AS114*(1-IF(AT$69-$F114&lt;=12,SUMIFS('Attrition Modeling'!$D:$D,'Attrition Modeling'!$B:$B,$E114,'Attrition Modeling'!$C:$C,AT$68),VLOOKUP(AT$69-$F114-1,$A$7:$C$161,2,FALSE)*VLOOKUP(AT$1,'Attrition Modeling'!$L$15:$N$27,IF(AT$2-$F47&lt;=24,2,3),FALSE))*(1+Projection!AV$16)*(1+IF(AT179&gt;0,'Attrition Modeling'!$N$9,0))),0))</f>
        <v>0</v>
      </c>
      <c r="AU114" s="799">
        <f>IF(AU$69=$F114+1,IF(Monthly!AQ$4=TRUE,0,Monthly!AQ$17),IF(AU$69&gt;$F114+1,AT114*(1-IF(AU$69-$F114&lt;=12,SUMIFS('Attrition Modeling'!$D:$D,'Attrition Modeling'!$B:$B,$E114,'Attrition Modeling'!$C:$C,AU$68),VLOOKUP(AU$69-$F114-1,$A$7:$C$161,2,FALSE)*VLOOKUP(AU$1,'Attrition Modeling'!$L$15:$N$27,IF(AU$2-$F47&lt;=24,2,3),FALSE))*(1+Projection!AW$16)*(1+IF(AU179&gt;0,'Attrition Modeling'!$N$9,0))),0))</f>
        <v>0</v>
      </c>
      <c r="AV114" s="799">
        <f>IF(AV$69=$F114+1,IF(Monthly!AR$4=TRUE,0,Monthly!AR$17),IF(AV$69&gt;$F114+1,AU114*(1-IF(AV$69-$F114&lt;=12,SUMIFS('Attrition Modeling'!$D:$D,'Attrition Modeling'!$B:$B,$E114,'Attrition Modeling'!$C:$C,AV$68),VLOOKUP(AV$69-$F114-1,$A$7:$C$161,2,FALSE)*VLOOKUP(AV$1,'Attrition Modeling'!$L$15:$N$27,IF(AV$2-$F47&lt;=24,2,3),FALSE))*(1+Projection!AX$16)*(1+IF(AV179&gt;0,'Attrition Modeling'!$N$9,0))),0))</f>
        <v>0</v>
      </c>
      <c r="AW114" s="799">
        <f>IF(AW$69=$F114+1,IF(Monthly!AS$4=TRUE,0,Monthly!AS$17),IF(AW$69&gt;$F114+1,AV114*(1-IF(AW$69-$F114&lt;=12,SUMIFS('Attrition Modeling'!$D:$D,'Attrition Modeling'!$B:$B,$E114,'Attrition Modeling'!$C:$C,AW$68),VLOOKUP(AW$69-$F114-1,$A$7:$C$161,2,FALSE)*VLOOKUP(AW$1,'Attrition Modeling'!$L$15:$N$27,IF(AW$2-$F47&lt;=24,2,3),FALSE))*(1+Projection!AY$16)*(1+IF(AW179&gt;0,'Attrition Modeling'!$N$9,0))),0))</f>
        <v>0</v>
      </c>
      <c r="AX114" s="799">
        <f>IF(AX$69=$F114+1,IF(Monthly!AT$4=TRUE,0,Monthly!AT$17),IF(AX$69&gt;$F114+1,AW114*(1-IF(AX$69-$F114&lt;=12,SUMIFS('Attrition Modeling'!$D:$D,'Attrition Modeling'!$B:$B,$E114,'Attrition Modeling'!$C:$C,AX$68),VLOOKUP(AX$69-$F114-1,$A$7:$C$161,2,FALSE)*VLOOKUP(AX$1,'Attrition Modeling'!$L$15:$N$27,IF(AX$2-$F47&lt;=24,2,3),FALSE))*(1+Projection!AZ$16)*(1+IF(AX179&gt;0,'Attrition Modeling'!$N$9,0))),0))</f>
        <v>0</v>
      </c>
      <c r="AY114" s="799">
        <f>IF(AY$69=$F114+1,IF(Monthly!AU$4=TRUE,0,Monthly!AU$17),IF(AY$69&gt;$F114+1,AX114*(1-IF(AY$69-$F114&lt;=12,SUMIFS('Attrition Modeling'!$D:$D,'Attrition Modeling'!$B:$B,$E114,'Attrition Modeling'!$C:$C,AY$68),VLOOKUP(AY$69-$F114-1,$A$7:$C$161,2,FALSE)*VLOOKUP(AY$1,'Attrition Modeling'!$L$15:$N$27,IF(AY$2-$F47&lt;=24,2,3),FALSE))*(1+Projection!BA$16)*(1+IF(AY179&gt;0,'Attrition Modeling'!$N$9,0))),0))</f>
        <v>0</v>
      </c>
      <c r="AZ114" s="799">
        <f>IF(AZ$69=$F114+1,IF(Monthly!AV$4=TRUE,0,Monthly!AV$17),IF(AZ$69&gt;$F114+1,AY114*(1-IF(AZ$69-$F114&lt;=12,SUMIFS('Attrition Modeling'!$D:$D,'Attrition Modeling'!$B:$B,$E114,'Attrition Modeling'!$C:$C,AZ$68),VLOOKUP(AZ$69-$F114-1,$A$7:$C$161,2,FALSE)*VLOOKUP(AZ$1,'Attrition Modeling'!$L$15:$N$27,IF(AZ$2-$F47&lt;=24,2,3),FALSE))*(1+Projection!BB$16)*(1+IF(AZ179&gt;0,'Attrition Modeling'!$N$9,0))),0))</f>
        <v>5512.600050539505</v>
      </c>
      <c r="BA114" s="799">
        <f>IF(BA$69=$F114+1,IF(Monthly!AW$4=TRUE,0,Monthly!AW$17),IF(BA$69&gt;$F114+1,AZ114*(1-IF(BA$69-$F114&lt;=12,SUMIFS('Attrition Modeling'!$D:$D,'Attrition Modeling'!$B:$B,$E114,'Attrition Modeling'!$C:$C,BA$68),VLOOKUP(BA$69-$F114-1,$A$7:$C$161,2,FALSE)*VLOOKUP(BA$1,'Attrition Modeling'!$L$15:$N$27,IF(BA$2-$F47&lt;=24,2,3),FALSE))*(1+Projection!BC$16)*(1+IF(BA179&gt;0,'Attrition Modeling'!$N$9,0))),0))</f>
        <v>4910.3369185579577</v>
      </c>
      <c r="BB114" s="799">
        <f>IF(BB$69=$F114+1,IF(Monthly!AX$4=TRUE,0,Monthly!AX$17),IF(BB$69&gt;$F114+1,BA114*(1-IF(BB$69-$F114&lt;=12,SUMIFS('Attrition Modeling'!$D:$D,'Attrition Modeling'!$B:$B,$E114,'Attrition Modeling'!$C:$C,BB$68),VLOOKUP(BB$69-$F114-1,$A$7:$C$161,2,FALSE)*VLOOKUP(BB$1,'Attrition Modeling'!$L$15:$N$27,IF(BB$2-$F47&lt;=24,2,3),FALSE))*(1+Projection!BD$16)*(1+IF(BB179&gt;0,'Attrition Modeling'!$N$9,0))),0))</f>
        <v>4468.8186713619471</v>
      </c>
      <c r="BC114" s="799">
        <f>IF(BC$69=$F114+1,IF(Monthly!AY$4=TRUE,0,Monthly!AY$17),IF(BC$69&gt;$F114+1,BB114*(1-IF(BC$69-$F114&lt;=12,SUMIFS('Attrition Modeling'!$D:$D,'Attrition Modeling'!$B:$B,$E114,'Attrition Modeling'!$C:$C,BC$68),VLOOKUP(BC$69-$F114-1,$A$7:$C$161,2,FALSE)*VLOOKUP(BC$1,'Attrition Modeling'!$L$15:$N$27,IF(BC$2-$F47&lt;=24,2,3),FALSE))*(1+Projection!BE$16)*(1+IF(BC179&gt;0,'Attrition Modeling'!$N$9,0))),0))</f>
        <v>4066.2488951599903</v>
      </c>
      <c r="BD114" s="799">
        <f>IF(BD$69=$F114+1,IF(Monthly!AZ$4=TRUE,0,Monthly!AZ$17),IF(BD$69&gt;$F114+1,BC114*(1-IF(BD$69-$F114&lt;=12,SUMIFS('Attrition Modeling'!$D:$D,'Attrition Modeling'!$B:$B,$E114,'Attrition Modeling'!$C:$C,BD$68),VLOOKUP(BD$69-$F114-1,$A$7:$C$161,2,FALSE)*VLOOKUP(BD$1,'Attrition Modeling'!$L$15:$N$27,IF(BD$2-$F47&lt;=24,2,3),FALSE))*(1+Projection!BF$16)*(1+IF(BD179&gt;0,'Attrition Modeling'!$N$9,0))),0))</f>
        <v>3750.9926589807255</v>
      </c>
      <c r="BE114" s="799">
        <f>IF(BE$69=$F114+1,IF(Monthly!BA$4=TRUE,0,Monthly!BA$17),IF(BE$69&gt;$F114+1,BD114*(1-IF(BE$69-$F114&lt;=12,SUMIFS('Attrition Modeling'!$D:$D,'Attrition Modeling'!$B:$B,$E114,'Attrition Modeling'!$C:$C,BE$68),VLOOKUP(BE$69-$F114-1,$A$7:$C$161,2,FALSE)*VLOOKUP(BE$1,'Attrition Modeling'!$L$15:$N$27,IF(BE$2-$F47&lt;=24,2,3),FALSE))*(1+Projection!BG$16)*(1+IF(BE179&gt;0,'Attrition Modeling'!$N$9,0))),0))</f>
        <v>3404.3239219096322</v>
      </c>
      <c r="BF114" s="799">
        <f>IF(BF$69=$F114+1,IF(Monthly!BB$4=TRUE,0,Monthly!BB$17),IF(BF$69&gt;$F114+1,BE114*(1-IF(BF$69-$F114&lt;=12,SUMIFS('Attrition Modeling'!$D:$D,'Attrition Modeling'!$B:$B,$E114,'Attrition Modeling'!$C:$C,BF$68),VLOOKUP(BF$69-$F114-1,$A$7:$C$161,2,FALSE)*VLOOKUP(BF$1,'Attrition Modeling'!$L$15:$N$27,IF(BF$2-$F47&lt;=24,2,3),FALSE))*(1+Projection!BH$16)*(1+IF(BF179&gt;0,'Attrition Modeling'!$N$9,0))),0))</f>
        <v>3146.1516725030579</v>
      </c>
      <c r="BG114" s="799">
        <f>IF(BG$69=$F114+1,IF(Monthly!BC$4=TRUE,0,Monthly!BC$17),IF(BG$69&gt;$F114+1,BF114*(1-IF(BG$69-$F114&lt;=12,SUMIFS('Attrition Modeling'!$D:$D,'Attrition Modeling'!$B:$B,$E114,'Attrition Modeling'!$C:$C,BG$68),VLOOKUP(BG$69-$F114-1,$A$7:$C$161,2,FALSE)*VLOOKUP(BG$1,'Attrition Modeling'!$L$15:$N$27,IF(BG$2-$F47&lt;=24,2,3),FALSE))*(1+Projection!BI$16)*(1+IF(BG179&gt;0,'Attrition Modeling'!$N$9,0))),0))</f>
        <v>2939.3123668682028</v>
      </c>
      <c r="BH114" s="799">
        <f>IF(BH$69=$F114+1,IF(Monthly!BD$4=TRUE,0,Monthly!BD$17),IF(BH$69&gt;$F114+1,BG114*(1-IF(BH$69-$F114&lt;=12,SUMIFS('Attrition Modeling'!$D:$D,'Attrition Modeling'!$B:$B,$E114,'Attrition Modeling'!$C:$C,BH$68),VLOOKUP(BH$69-$F114-1,$A$7:$C$161,2,FALSE)*VLOOKUP(BH$1,'Attrition Modeling'!$L$15:$N$27,IF(BH$2-$F47&lt;=24,2,3),FALSE))*(1+Projection!BJ$16)*(1+IF(BH179&gt;0,'Attrition Modeling'!$N$9,0))),0))</f>
        <v>2764.9107953887133</v>
      </c>
      <c r="BI114" s="799">
        <f>IF(BI$69=$F114+1,IF(Monthly!BE$4=TRUE,0,Monthly!BE$17),IF(BI$69&gt;$F114+1,BH114*(1-IF(BI$69-$F114&lt;=12,SUMIFS('Attrition Modeling'!$D:$D,'Attrition Modeling'!$B:$B,$E114,'Attrition Modeling'!$C:$C,BI$68),VLOOKUP(BI$69-$F114-1,$A$7:$C$161,2,FALSE)*VLOOKUP(BI$1,'Attrition Modeling'!$L$15:$N$27,IF(BI$2-$F47&lt;=24,2,3),FALSE))*(1+Projection!BK$16)*(1+IF(BI179&gt;0,'Attrition Modeling'!$N$9,0))),0))</f>
        <v>2602.4020297763154</v>
      </c>
      <c r="BJ114" s="799">
        <f>IF(BJ$69=$F114+1,IF(Monthly!BF$4=TRUE,0,Monthly!BF$17),IF(BJ$69&gt;$F114+1,BI114*(1-IF(BJ$69-$F114&lt;=12,SUMIFS('Attrition Modeling'!$D:$D,'Attrition Modeling'!$B:$B,$E114,'Attrition Modeling'!$C:$C,BJ$68),VLOOKUP(BJ$69-$F114-1,$A$7:$C$161,2,FALSE)*VLOOKUP(BJ$1,'Attrition Modeling'!$L$15:$N$27,IF(BJ$2-$F47&lt;=24,2,3),FALSE))*(1+Projection!BL$16)*(1+IF(BJ179&gt;0,'Attrition Modeling'!$N$9,0))),0))</f>
        <v>2448.0441967429751</v>
      </c>
      <c r="BK114" s="799">
        <f>IF(BK$69=$F114+1,IF(Monthly!BG$4=TRUE,0,Monthly!BG$17),IF(BK$69&gt;$F114+1,BJ114*(1-IF(BK$69-$F114&lt;=12,SUMIFS('Attrition Modeling'!$D:$D,'Attrition Modeling'!$B:$B,$E114,'Attrition Modeling'!$C:$C,BK$68),VLOOKUP(BK$69-$F114-1,$A$7:$C$161,2,FALSE)*VLOOKUP(BK$1,'Attrition Modeling'!$L$15:$N$27,IF(BK$2-$F47&lt;=24,2,3),FALSE))*(1+Projection!BM$16)*(1+IF(BK179&gt;0,'Attrition Modeling'!$N$9,0))),0))</f>
        <v>2365.4625837428648</v>
      </c>
      <c r="BL114" s="799">
        <f>IF(BL$69=$F114+1,IF(Monthly!BH$4=TRUE,0,Monthly!BH$17),IF(BL$69&gt;$F114+1,BK114*(1-IF(BL$69-$F114&lt;=12,SUMIFS('Attrition Modeling'!$D:$D,'Attrition Modeling'!$B:$B,$E114,'Attrition Modeling'!$C:$C,BL$68),VLOOKUP(BL$69-$F114-1,$A$7:$C$161,2,FALSE)*VLOOKUP(BL$1,'Attrition Modeling'!$L$15:$N$27,IF(BL$2-$F47&lt;=24,2,3),FALSE))*(1+Projection!BN$16)*(1+IF(BL179&gt;0,'Attrition Modeling'!$N$9,0))),0))</f>
        <v>2234.8218073705843</v>
      </c>
      <c r="BM114" s="799">
        <f>IF(BM$69=$F114+1,IF(Monthly!BI$4=TRUE,0,Monthly!BI$17),IF(BM$69&gt;$F114+1,BL114*(1-IF(BM$69-$F114&lt;=12,SUMIFS('Attrition Modeling'!$D:$D,'Attrition Modeling'!$B:$B,$E114,'Attrition Modeling'!$C:$C,BM$68),VLOOKUP(BM$69-$F114-1,$A$7:$C$161,2,FALSE)*VLOOKUP(BM$1,'Attrition Modeling'!$L$15:$N$27,IF(BM$2-$F47&lt;=24,2,3),FALSE))*(1+Projection!BO$16)*(1+IF(BM179&gt;0,'Attrition Modeling'!$N$9,0))),0))</f>
        <v>2118.2944661131487</v>
      </c>
      <c r="BN114" s="799">
        <f>IF(BN$69=$F114+1,IF(Monthly!BJ$4=TRUE,0,Monthly!BJ$17),IF(BN$69&gt;$F114+1,BM114*(1-IF(BN$69-$F114&lt;=12,SUMIFS('Attrition Modeling'!$D:$D,'Attrition Modeling'!$B:$B,$E114,'Attrition Modeling'!$C:$C,BN$68),VLOOKUP(BN$69-$F114-1,$A$7:$C$161,2,FALSE)*VLOOKUP(BN$1,'Attrition Modeling'!$L$15:$N$27,IF(BN$2-$F47&lt;=24,2,3),FALSE))*(1+Projection!BP$16)*(1+IF(BN179&gt;0,'Attrition Modeling'!$N$9,0))),0))</f>
        <v>2017.2438447759785</v>
      </c>
      <c r="BO114" s="799">
        <f>IF(BO$69=$F114+1,IF(Monthly!BK$4=TRUE,0,Monthly!BK$17),IF(BO$69&gt;$F114+1,BN114*(1-IF(BO$69-$F114&lt;=12,SUMIFS('Attrition Modeling'!$D:$D,'Attrition Modeling'!$B:$B,$E114,'Attrition Modeling'!$C:$C,BO$68),VLOOKUP(BO$69-$F114-1,$A$7:$C$161,2,FALSE)*VLOOKUP(BO$1,'Attrition Modeling'!$L$15:$N$27,IF(BO$2-$F47&lt;=24,2,3),FALSE))*(1+Projection!BV$16)*(1+IF(BO179&gt;0,'Attrition Modeling'!$N$9,0))),0))</f>
        <v>1925.503005835805</v>
      </c>
      <c r="BP114" s="799">
        <f>IF(BP$69=$F114+1,IF(Monthly!BL$4=TRUE,0,Monthly!BL$17),IF(BP$69&gt;$F114+1,BO114*(1-IF(BP$69-$F114&lt;=12,SUMIFS('Attrition Modeling'!$D:$D,'Attrition Modeling'!$B:$B,$E114,'Attrition Modeling'!$C:$C,BP$68),VLOOKUP(BP$69-$F114-1,$A$7:$C$161,2,FALSE)*VLOOKUP(BP$1,'Attrition Modeling'!$L$15:$N$27,IF(BP$2-$F47&lt;=24,2,3),FALSE))*(1+Projection!BW$16)*(1+IF(BP179&gt;0,'Attrition Modeling'!$N$9,0))),0))</f>
        <v>1840.4329935954652</v>
      </c>
      <c r="BQ114" s="799">
        <f>IF(BQ$69=$F114+1,IF(Monthly!BM$4=TRUE,0,Monthly!BM$17),IF(BQ$69&gt;$F114+1,BP114*(1-IF(BQ$69-$F114&lt;=12,SUMIFS('Attrition Modeling'!$D:$D,'Attrition Modeling'!$B:$B,$E114,'Attrition Modeling'!$C:$C,BQ$68),VLOOKUP(BQ$69-$F114-1,$A$7:$C$161,2,FALSE)*VLOOKUP(BQ$1,'Attrition Modeling'!$L$15:$N$27,IF(BQ$2-$F47&lt;=24,2,3),FALSE))*(1+Projection!BX$16)*(1+IF(BQ179&gt;0,'Attrition Modeling'!$N$9,0))),0))</f>
        <v>1754.5902184658012</v>
      </c>
      <c r="BR114" s="799">
        <f>IF(BR$69=$F114+1,IF(Monthly!BN$4=TRUE,0,Monthly!BN$17),IF(BR$69&gt;$F114+1,BQ114*(1-IF(BR$69-$F114&lt;=12,SUMIFS('Attrition Modeling'!$D:$D,'Attrition Modeling'!$B:$B,$E114,'Attrition Modeling'!$C:$C,BR$68),VLOOKUP(BR$69-$F114-1,$A$7:$C$161,2,FALSE)*VLOOKUP(BR$1,'Attrition Modeling'!$L$15:$N$27,IF(BR$2-$F47&lt;=24,2,3),FALSE))*(1+Projection!BY$16)*(1+IF(BR179&gt;0,'Attrition Modeling'!$N$9,0))),0))</f>
        <v>1681.9448178637874</v>
      </c>
      <c r="BS114" s="799">
        <f>IF(BS$69=$F114+1,IF(Monthly!BO$4=TRUE,0,Monthly!BO$17),IF(BS$69&gt;$F114+1,BR114*(1-IF(BS$69-$F114&lt;=12,SUMIFS('Attrition Modeling'!$D:$D,'Attrition Modeling'!$B:$B,$E114,'Attrition Modeling'!$C:$C,BS$68),VLOOKUP(BS$69-$F114-1,$A$7:$C$161,2,FALSE)*VLOOKUP(BS$1,'Attrition Modeling'!$L$15:$N$27,IF(BS$2-$F47&lt;=24,2,3),FALSE))*(1+Projection!BZ$16)*(1+IF(BS179&gt;0,'Attrition Modeling'!$N$9,0))),0))</f>
        <v>1614.7761460951974</v>
      </c>
      <c r="BT114" s="799">
        <f>IF(BT$69=$F114+1,IF(Monthly!#REF!=TRUE,0,Monthly!#REF!),IF(BT$69&gt;$F114+1,BS114*(1-IF(BT$69-$F114&lt;=12,SUMIFS('Attrition Modeling'!$D:$D,'Attrition Modeling'!$B:$B,$E114,'Attrition Modeling'!$C:$C,BT$68),VLOOKUP(BT$69-$F114-1,$A$7:$C$161,2,FALSE)*VLOOKUP(BT$1,'Attrition Modeling'!$L$15:$N$27,IF(BT$2-$F47&lt;=24,2,3),FALSE))*(1+Projection!CA$16)*(1+IF(BT179&gt;0,'Attrition Modeling'!$N$9,0))),0))</f>
        <v>1551.8442085690158</v>
      </c>
      <c r="BU114" s="799">
        <f>IF(BU$69=$F114+1,IF(Monthly!#REF!=TRUE,0,Monthly!#REF!),IF(BU$69&gt;$F114+1,BT114*(1-IF(BU$69-$F114&lt;=12,SUMIFS('Attrition Modeling'!$D:$D,'Attrition Modeling'!$B:$B,$E114,'Attrition Modeling'!$C:$C,BU$68),VLOOKUP(BU$69-$F114-1,$A$7:$C$161,2,FALSE)*VLOOKUP(BU$1,'Attrition Modeling'!$L$15:$N$27,IF(BU$2-$F47&lt;=24,2,3),FALSE))*(1+Projection!CB$16)*(1+IF(BU179&gt;0,'Attrition Modeling'!$N$9,0))),0))</f>
        <v>1486.4779332476583</v>
      </c>
    </row>
    <row r="115" spans="1:73" ht="14.25" customHeight="1" x14ac:dyDescent="0.2">
      <c r="A115" s="9">
        <v>108</v>
      </c>
      <c r="B115" s="25">
        <f>MAX('Attrition Modeling'!H112,$C$3)*(1-Summary!$C$20)</f>
        <v>0.02</v>
      </c>
      <c r="C115" s="24" t="e">
        <f t="shared" si="4"/>
        <v>#DIV/0!</v>
      </c>
      <c r="E115" s="11">
        <f t="shared" si="9"/>
        <v>9</v>
      </c>
      <c r="F115" s="11">
        <f t="shared" si="10"/>
        <v>45</v>
      </c>
      <c r="G115" s="799"/>
      <c r="H115" s="799">
        <f>IF(H$69=$F115+1,IF(Monthly!D$4=TRUE,0,Monthly!D$17),IF(H$69&gt;$F115+1,G115*(1-IF(H$69-$F115&lt;=12,SUMIFS('Attrition Modeling'!$D:$D,'Attrition Modeling'!$B:$B,$E115,'Attrition Modeling'!$C:$C,H$68),VLOOKUP(H$69-$F115-1,$A$7:$C$161,2,FALSE)*VLOOKUP(H$1,'Attrition Modeling'!$L$15:$N$27,IF(H$2-$F48&lt;=24,2,3),FALSE))*(1+Projection!J$16)*(1+IF(H180&gt;0,'Attrition Modeling'!$N$9,0))),0))</f>
        <v>0</v>
      </c>
      <c r="I115" s="799">
        <f>IF(I$69=$F115+1,IF(Monthly!E$4=TRUE,0,Monthly!E$17),IF(I$69&gt;$F115+1,H115*(1-IF(I$69-$F115&lt;=12,SUMIFS('Attrition Modeling'!$D:$D,'Attrition Modeling'!$B:$B,$E115,'Attrition Modeling'!$C:$C,I$68),VLOOKUP(I$69-$F115-1,$A$7:$C$161,2,FALSE)*VLOOKUP(I$1,'Attrition Modeling'!$L$15:$N$27,IF(I$2-$F48&lt;=24,2,3),FALSE))*(1+Projection!K$16)*(1+IF(I180&gt;0,'Attrition Modeling'!$N$9,0))),0))</f>
        <v>0</v>
      </c>
      <c r="J115" s="799">
        <f>IF(J$69=$F115+1,IF(Monthly!F$4=TRUE,0,Monthly!F$17),IF(J$69&gt;$F115+1,I115*(1-IF(J$69-$F115&lt;=12,SUMIFS('Attrition Modeling'!$D:$D,'Attrition Modeling'!$B:$B,$E115,'Attrition Modeling'!$C:$C,J$68),VLOOKUP(J$69-$F115-1,$A$7:$C$161,2,FALSE)*VLOOKUP(J$1,'Attrition Modeling'!$L$15:$N$27,IF(J$2-$F48&lt;=24,2,3),FALSE))*(1+Projection!L$16)*(1+IF(J180&gt;0,'Attrition Modeling'!$N$9,0))),0))</f>
        <v>0</v>
      </c>
      <c r="K115" s="799">
        <f>IF(K$69=$F115+1,IF(Monthly!G$4=TRUE,0,Monthly!G$17),IF(K$69&gt;$F115+1,J115*(1-IF(K$69-$F115&lt;=12,SUMIFS('Attrition Modeling'!$D:$D,'Attrition Modeling'!$B:$B,$E115,'Attrition Modeling'!$C:$C,K$68),VLOOKUP(K$69-$F115-1,$A$7:$C$161,2,FALSE)*VLOOKUP(K$1,'Attrition Modeling'!$L$15:$N$27,IF(K$2-$F48&lt;=24,2,3),FALSE))*(1+Projection!M$16)*(1+IF(K180&gt;0,'Attrition Modeling'!$N$9,0))),0))</f>
        <v>0</v>
      </c>
      <c r="L115" s="799">
        <f>IF(L$69=$F115+1,IF(Monthly!H$4=TRUE,0,Monthly!H$17),IF(L$69&gt;$F115+1,K115*(1-IF(L$69-$F115&lt;=12,SUMIFS('Attrition Modeling'!$D:$D,'Attrition Modeling'!$B:$B,$E115,'Attrition Modeling'!$C:$C,L$68),VLOOKUP(L$69-$F115-1,$A$7:$C$161,2,FALSE)*VLOOKUP(L$1,'Attrition Modeling'!$L$15:$N$27,IF(L$2-$F48&lt;=24,2,3),FALSE))*(1+Projection!N$16)*(1+IF(L180&gt;0,'Attrition Modeling'!$N$9,0))),0))</f>
        <v>0</v>
      </c>
      <c r="M115" s="799">
        <f>IF(M$69=$F115+1,IF(Monthly!I$4=TRUE,0,Monthly!I$17),IF(M$69&gt;$F115+1,L115*(1-IF(M$69-$F115&lt;=12,SUMIFS('Attrition Modeling'!$D:$D,'Attrition Modeling'!$B:$B,$E115,'Attrition Modeling'!$C:$C,M$68),VLOOKUP(M$69-$F115-1,$A$7:$C$161,2,FALSE)*VLOOKUP(M$1,'Attrition Modeling'!$L$15:$N$27,IF(M$2-$F48&lt;=24,2,3),FALSE))*(1+Projection!O$16)*(1+IF(M180&gt;0,'Attrition Modeling'!$N$9,0))),0))</f>
        <v>0</v>
      </c>
      <c r="N115" s="799">
        <f>IF(N$69=$F115+1,IF(Monthly!J$4=TRUE,0,Monthly!J$17),IF(N$69&gt;$F115+1,M115*(1-IF(N$69-$F115&lt;=12,SUMIFS('Attrition Modeling'!$D:$D,'Attrition Modeling'!$B:$B,$E115,'Attrition Modeling'!$C:$C,N$68),VLOOKUP(N$69-$F115-1,$A$7:$C$161,2,FALSE)*VLOOKUP(N$1,'Attrition Modeling'!$L$15:$N$27,IF(N$2-$F48&lt;=24,2,3),FALSE))*(1+Projection!P$16)*(1+IF(N180&gt;0,'Attrition Modeling'!$N$9,0))),0))</f>
        <v>0</v>
      </c>
      <c r="O115" s="799">
        <f>IF(O$69=$F115+1,IF(Monthly!K$4=TRUE,0,Monthly!K$17),IF(O$69&gt;$F115+1,N115*(1-IF(O$69-$F115&lt;=12,SUMIFS('Attrition Modeling'!$D:$D,'Attrition Modeling'!$B:$B,$E115,'Attrition Modeling'!$C:$C,O$68),VLOOKUP(O$69-$F115-1,$A$7:$C$161,2,FALSE)*VLOOKUP(O$1,'Attrition Modeling'!$L$15:$N$27,IF(O$2-$F48&lt;=24,2,3),FALSE))*(1+Projection!Q$16)*(1+IF(O180&gt;0,'Attrition Modeling'!$N$9,0))),0))</f>
        <v>0</v>
      </c>
      <c r="P115" s="799">
        <f>IF(P$69=$F115+1,IF(Monthly!L$4=TRUE,0,Monthly!L$17),IF(P$69&gt;$F115+1,O115*(1-IF(P$69-$F115&lt;=12,SUMIFS('Attrition Modeling'!$D:$D,'Attrition Modeling'!$B:$B,$E115,'Attrition Modeling'!$C:$C,P$68),VLOOKUP(P$69-$F115-1,$A$7:$C$161,2,FALSE)*VLOOKUP(P$1,'Attrition Modeling'!$L$15:$N$27,IF(P$2-$F48&lt;=24,2,3),FALSE))*(1+Projection!R$16)*(1+IF(P180&gt;0,'Attrition Modeling'!$N$9,0))),0))</f>
        <v>0</v>
      </c>
      <c r="Q115" s="799">
        <f>IF(Q$69=$F115+1,IF(Monthly!M$4=TRUE,0,Monthly!M$17),IF(Q$69&gt;$F115+1,P115*(1-IF(Q$69-$F115&lt;=12,SUMIFS('Attrition Modeling'!$D:$D,'Attrition Modeling'!$B:$B,$E115,'Attrition Modeling'!$C:$C,Q$68),VLOOKUP(Q$69-$F115-1,$A$7:$C$161,2,FALSE)*VLOOKUP(Q$1,'Attrition Modeling'!$L$15:$N$27,IF(Q$2-$F48&lt;=24,2,3),FALSE))*(1+Projection!S$16)*(1+IF(Q180&gt;0,'Attrition Modeling'!$N$9,0))),0))</f>
        <v>0</v>
      </c>
      <c r="R115" s="799">
        <f>IF(R$69=$F115+1,IF(Monthly!N$4=TRUE,0,Monthly!N$17),IF(R$69&gt;$F115+1,Q115*(1-IF(R$69-$F115&lt;=12,SUMIFS('Attrition Modeling'!$D:$D,'Attrition Modeling'!$B:$B,$E115,'Attrition Modeling'!$C:$C,R$68),VLOOKUP(R$69-$F115-1,$A$7:$C$161,2,FALSE)*VLOOKUP(R$1,'Attrition Modeling'!$L$15:$N$27,IF(R$2-$F48&lt;=24,2,3),FALSE))*(1+Projection!T$16)*(1+IF(R180&gt;0,'Attrition Modeling'!$N$9,0))),0))</f>
        <v>0</v>
      </c>
      <c r="S115" s="799">
        <f>IF(S$69=$F115+1,IF(Monthly!O$4=TRUE,0,Monthly!O$17),IF(S$69&gt;$F115+1,R115*(1-IF(S$69-$F115&lt;=12,SUMIFS('Attrition Modeling'!$D:$D,'Attrition Modeling'!$B:$B,$E115,'Attrition Modeling'!$C:$C,S$68),VLOOKUP(S$69-$F115-1,$A$7:$C$161,2,FALSE)*VLOOKUP(S$1,'Attrition Modeling'!$L$15:$N$27,IF(S$2-$F48&lt;=24,2,3),FALSE))*(1+Projection!U$16)*(1+IF(S180&gt;0,'Attrition Modeling'!$N$9,0))),0))</f>
        <v>0</v>
      </c>
      <c r="T115" s="799">
        <f>IF(T$69=$F115+1,IF(Monthly!P$4=TRUE,0,Monthly!P$17),IF(T$69&gt;$F115+1,S115*(1-IF(T$69-$F115&lt;=12,SUMIFS('Attrition Modeling'!$D:$D,'Attrition Modeling'!$B:$B,$E115,'Attrition Modeling'!$C:$C,T$68),VLOOKUP(T$69-$F115-1,$A$7:$C$161,2,FALSE)*VLOOKUP(T$1,'Attrition Modeling'!$L$15:$N$27,IF(T$2-$F48&lt;=24,2,3),FALSE))*(1+Projection!V$16)*(1+IF(T180&gt;0,'Attrition Modeling'!$N$9,0))),0))</f>
        <v>0</v>
      </c>
      <c r="U115" s="799">
        <f>IF(U$69=$F115+1,IF(Monthly!Q$4=TRUE,0,Monthly!Q$17),IF(U$69&gt;$F115+1,T115*(1-IF(U$69-$F115&lt;=12,SUMIFS('Attrition Modeling'!$D:$D,'Attrition Modeling'!$B:$B,$E115,'Attrition Modeling'!$C:$C,U$68),VLOOKUP(U$69-$F115-1,$A$7:$C$161,2,FALSE)*VLOOKUP(U$1,'Attrition Modeling'!$L$15:$N$27,IF(U$2-$F48&lt;=24,2,3),FALSE))*(1+Projection!W$16)*(1+IF(U180&gt;0,'Attrition Modeling'!$N$9,0))),0))</f>
        <v>0</v>
      </c>
      <c r="V115" s="799">
        <f>IF(V$69=$F115+1,IF(Monthly!R$4=TRUE,0,Monthly!R$17),IF(V$69&gt;$F115+1,U115*(1-IF(V$69-$F115&lt;=12,SUMIFS('Attrition Modeling'!$D:$D,'Attrition Modeling'!$B:$B,$E115,'Attrition Modeling'!$C:$C,V$68),VLOOKUP(V$69-$F115-1,$A$7:$C$161,2,FALSE)*VLOOKUP(V$1,'Attrition Modeling'!$L$15:$N$27,IF(V$2-$F48&lt;=24,2,3),FALSE))*(1+Projection!X$16)*(1+IF(V180&gt;0,'Attrition Modeling'!$N$9,0))),0))</f>
        <v>0</v>
      </c>
      <c r="W115" s="799">
        <f>IF(W$69=$F115+1,IF(Monthly!S$4=TRUE,0,Monthly!S$17),IF(W$69&gt;$F115+1,V115*(1-IF(W$69-$F115&lt;=12,SUMIFS('Attrition Modeling'!$D:$D,'Attrition Modeling'!$B:$B,$E115,'Attrition Modeling'!$C:$C,W$68),VLOOKUP(W$69-$F115-1,$A$7:$C$161,2,FALSE)*VLOOKUP(W$1,'Attrition Modeling'!$L$15:$N$27,IF(W$2-$F48&lt;=24,2,3),FALSE))*(1+Projection!Y$16)*(1+IF(W180&gt;0,'Attrition Modeling'!$N$9,0))),0))</f>
        <v>0</v>
      </c>
      <c r="X115" s="799">
        <f>IF(X$69=$F115+1,IF(Monthly!T$4=TRUE,0,Monthly!T$17),IF(X$69&gt;$F115+1,W115*(1-IF(X$69-$F115&lt;=12,SUMIFS('Attrition Modeling'!$D:$D,'Attrition Modeling'!$B:$B,$E115,'Attrition Modeling'!$C:$C,X$68),VLOOKUP(X$69-$F115-1,$A$7:$C$161,2,FALSE)*VLOOKUP(X$1,'Attrition Modeling'!$L$15:$N$27,IF(X$2-$F48&lt;=24,2,3),FALSE))*(1+Projection!Z$16)*(1+IF(X180&gt;0,'Attrition Modeling'!$N$9,0))),0))</f>
        <v>0</v>
      </c>
      <c r="Y115" s="799">
        <f>IF(Y$69=$F115+1,IF(Monthly!U$4=TRUE,0,Monthly!U$17),IF(Y$69&gt;$F115+1,X115*(1-IF(Y$69-$F115&lt;=12,SUMIFS('Attrition Modeling'!$D:$D,'Attrition Modeling'!$B:$B,$E115,'Attrition Modeling'!$C:$C,Y$68),VLOOKUP(Y$69-$F115-1,$A$7:$C$161,2,FALSE)*VLOOKUP(Y$1,'Attrition Modeling'!$L$15:$N$27,IF(Y$2-$F48&lt;=24,2,3),FALSE))*(1+Projection!AA$16)*(1+IF(Y180&gt;0,'Attrition Modeling'!$N$9,0))),0))</f>
        <v>0</v>
      </c>
      <c r="Z115" s="799">
        <f>IF(Z$69=$F115+1,IF(Monthly!V$4=TRUE,0,Monthly!V$17),IF(Z$69&gt;$F115+1,Y115*(1-IF(Z$69-$F115&lt;=12,SUMIFS('Attrition Modeling'!$D:$D,'Attrition Modeling'!$B:$B,$E115,'Attrition Modeling'!$C:$C,Z$68),VLOOKUP(Z$69-$F115-1,$A$7:$C$161,2,FALSE)*VLOOKUP(Z$1,'Attrition Modeling'!$L$15:$N$27,IF(Z$2-$F48&lt;=24,2,3),FALSE))*(1+Projection!AB$16)*(1+IF(Z180&gt;0,'Attrition Modeling'!$N$9,0))),0))</f>
        <v>0</v>
      </c>
      <c r="AA115" s="799">
        <f>IF(AA$69=$F115+1,IF(Monthly!W$4=TRUE,0,Monthly!W$17),IF(AA$69&gt;$F115+1,Z115*(1-IF(AA$69-$F115&lt;=12,SUMIFS('Attrition Modeling'!$D:$D,'Attrition Modeling'!$B:$B,$E115,'Attrition Modeling'!$C:$C,AA$68),VLOOKUP(AA$69-$F115-1,$A$7:$C$161,2,FALSE)*VLOOKUP(AA$1,'Attrition Modeling'!$L$15:$N$27,IF(AA$2-$F48&lt;=24,2,3),FALSE))*(1+Projection!AC$16)*(1+IF(AA180&gt;0,'Attrition Modeling'!$N$9,0))),0))</f>
        <v>0</v>
      </c>
      <c r="AB115" s="799">
        <f>IF(AB$69=$F115+1,IF(Monthly!X$4=TRUE,0,Monthly!X$17),IF(AB$69&gt;$F115+1,AA115*(1-IF(AB$69-$F115&lt;=12,SUMIFS('Attrition Modeling'!$D:$D,'Attrition Modeling'!$B:$B,$E115,'Attrition Modeling'!$C:$C,AB$68),VLOOKUP(AB$69-$F115-1,$A$7:$C$161,2,FALSE)*VLOOKUP(AB$1,'Attrition Modeling'!$L$15:$N$27,IF(AB$2-$F48&lt;=24,2,3),FALSE))*(1+Projection!AD$16)*(1+IF(AB180&gt;0,'Attrition Modeling'!$N$9,0))),0))</f>
        <v>0</v>
      </c>
      <c r="AC115" s="799">
        <f>IF(AC$69=$F115+1,IF(Monthly!Y$4=TRUE,0,Monthly!Y$17),IF(AC$69&gt;$F115+1,AB115*(1-IF(AC$69-$F115&lt;=12,SUMIFS('Attrition Modeling'!$D:$D,'Attrition Modeling'!$B:$B,$E115,'Attrition Modeling'!$C:$C,AC$68),VLOOKUP(AC$69-$F115-1,$A$7:$C$161,2,FALSE)*VLOOKUP(AC$1,'Attrition Modeling'!$L$15:$N$27,IF(AC$2-$F48&lt;=24,2,3),FALSE))*(1+Projection!AE$16)*(1+IF(AC180&gt;0,'Attrition Modeling'!$N$9,0))),0))</f>
        <v>0</v>
      </c>
      <c r="AD115" s="799">
        <f>IF(AD$69=$F115+1,IF(Monthly!Z$4=TRUE,0,Monthly!Z$17),IF(AD$69&gt;$F115+1,AC115*(1-IF(AD$69-$F115&lt;=12,SUMIFS('Attrition Modeling'!$D:$D,'Attrition Modeling'!$B:$B,$E115,'Attrition Modeling'!$C:$C,AD$68),VLOOKUP(AD$69-$F115-1,$A$7:$C$161,2,FALSE)*VLOOKUP(AD$1,'Attrition Modeling'!$L$15:$N$27,IF(AD$2-$F48&lt;=24,2,3),FALSE))*(1+Projection!AF$16)*(1+IF(AD180&gt;0,'Attrition Modeling'!$N$9,0))),0))</f>
        <v>0</v>
      </c>
      <c r="AE115" s="799">
        <f>IF(AE$69=$F115+1,IF(Monthly!AA$4=TRUE,0,Monthly!AA$17),IF(AE$69&gt;$F115+1,AD115*(1-IF(AE$69-$F115&lt;=12,SUMIFS('Attrition Modeling'!$D:$D,'Attrition Modeling'!$B:$B,$E115,'Attrition Modeling'!$C:$C,AE$68),VLOOKUP(AE$69-$F115-1,$A$7:$C$161,2,FALSE)*VLOOKUP(AE$1,'Attrition Modeling'!$L$15:$N$27,IF(AE$2-$F48&lt;=24,2,3),FALSE))*(1+Projection!AG$16)*(1+IF(AE180&gt;0,'Attrition Modeling'!$N$9,0))),0))</f>
        <v>0</v>
      </c>
      <c r="AF115" s="799">
        <f>IF(AF$69=$F115+1,IF(Monthly!AB$4=TRUE,0,Monthly!AB$17),IF(AF$69&gt;$F115+1,AE115*(1-IF(AF$69-$F115&lt;=12,SUMIFS('Attrition Modeling'!$D:$D,'Attrition Modeling'!$B:$B,$E115,'Attrition Modeling'!$C:$C,AF$68),VLOOKUP(AF$69-$F115-1,$A$7:$C$161,2,FALSE)*VLOOKUP(AF$1,'Attrition Modeling'!$L$15:$N$27,IF(AF$2-$F48&lt;=24,2,3),FALSE))*(1+Projection!AH$16)*(1+IF(AF180&gt;0,'Attrition Modeling'!$N$9,0))),0))</f>
        <v>0</v>
      </c>
      <c r="AG115" s="799">
        <f>IF(AG$69=$F115+1,IF(Monthly!AC$4=TRUE,0,Monthly!AC$17),IF(AG$69&gt;$F115+1,AF115*(1-IF(AG$69-$F115&lt;=12,SUMIFS('Attrition Modeling'!$D:$D,'Attrition Modeling'!$B:$B,$E115,'Attrition Modeling'!$C:$C,AG$68),VLOOKUP(AG$69-$F115-1,$A$7:$C$161,2,FALSE)*VLOOKUP(AG$1,'Attrition Modeling'!$L$15:$N$27,IF(AG$2-$F48&lt;=24,2,3),FALSE))*(1+Projection!AI$16)*(1+IF(AG180&gt;0,'Attrition Modeling'!$N$9,0))),0))</f>
        <v>0</v>
      </c>
      <c r="AH115" s="799">
        <f>IF(AH$69=$F115+1,IF(Monthly!AD$4=TRUE,0,Monthly!AD$17),IF(AH$69&gt;$F115+1,AG115*(1-IF(AH$69-$F115&lt;=12,SUMIFS('Attrition Modeling'!$D:$D,'Attrition Modeling'!$B:$B,$E115,'Attrition Modeling'!$C:$C,AH$68),VLOOKUP(AH$69-$F115-1,$A$7:$C$161,2,FALSE)*VLOOKUP(AH$1,'Attrition Modeling'!$L$15:$N$27,IF(AH$2-$F48&lt;=24,2,3),FALSE))*(1+Projection!AJ$16)*(1+IF(AH180&gt;0,'Attrition Modeling'!$N$9,0))),0))</f>
        <v>0</v>
      </c>
      <c r="AI115" s="799">
        <f>IF(AI$69=$F115+1,IF(Monthly!AE$4=TRUE,0,Monthly!AE$17),IF(AI$69&gt;$F115+1,AH115*(1-IF(AI$69-$F115&lt;=12,SUMIFS('Attrition Modeling'!$D:$D,'Attrition Modeling'!$B:$B,$E115,'Attrition Modeling'!$C:$C,AI$68),VLOOKUP(AI$69-$F115-1,$A$7:$C$161,2,FALSE)*VLOOKUP(AI$1,'Attrition Modeling'!$L$15:$N$27,IF(AI$2-$F48&lt;=24,2,3),FALSE))*(1+Projection!AK$16)*(1+IF(AI180&gt;0,'Attrition Modeling'!$N$9,0))),0))</f>
        <v>0</v>
      </c>
      <c r="AJ115" s="799">
        <f>IF(AJ$69=$F115+1,IF(Monthly!AF$4=TRUE,0,Monthly!AF$17),IF(AJ$69&gt;$F115+1,AI115*(1-IF(AJ$69-$F115&lt;=12,SUMIFS('Attrition Modeling'!$D:$D,'Attrition Modeling'!$B:$B,$E115,'Attrition Modeling'!$C:$C,AJ$68),VLOOKUP(AJ$69-$F115-1,$A$7:$C$161,2,FALSE)*VLOOKUP(AJ$1,'Attrition Modeling'!$L$15:$N$27,IF(AJ$2-$F48&lt;=24,2,3),FALSE))*(1+Projection!AL$16)*(1+IF(AJ180&gt;0,'Attrition Modeling'!$N$9,0))),0))</f>
        <v>0</v>
      </c>
      <c r="AK115" s="799">
        <f>IF(AK$69=$F115+1,IF(Monthly!AG$4=TRUE,0,Monthly!AG$17),IF(AK$69&gt;$F115+1,AJ115*(1-IF(AK$69-$F115&lt;=12,SUMIFS('Attrition Modeling'!$D:$D,'Attrition Modeling'!$B:$B,$E115,'Attrition Modeling'!$C:$C,AK$68),VLOOKUP(AK$69-$F115-1,$A$7:$C$161,2,FALSE)*VLOOKUP(AK$1,'Attrition Modeling'!$L$15:$N$27,IF(AK$2-$F48&lt;=24,2,3),FALSE))*(1+Projection!AM$16)*(1+IF(AK180&gt;0,'Attrition Modeling'!$N$9,0))),0))</f>
        <v>0</v>
      </c>
      <c r="AL115" s="799">
        <f>IF(AL$69=$F115+1,IF(Monthly!AH$4=TRUE,0,Monthly!AH$17),IF(AL$69&gt;$F115+1,AK115*(1-IF(AL$69-$F115&lt;=12,SUMIFS('Attrition Modeling'!$D:$D,'Attrition Modeling'!$B:$B,$E115,'Attrition Modeling'!$C:$C,AL$68),VLOOKUP(AL$69-$F115-1,$A$7:$C$161,2,FALSE)*VLOOKUP(AL$1,'Attrition Modeling'!$L$15:$N$27,IF(AL$2-$F48&lt;=24,2,3),FALSE))*(1+Projection!AN$16)*(1+IF(AL180&gt;0,'Attrition Modeling'!$N$9,0))),0))</f>
        <v>0</v>
      </c>
      <c r="AM115" s="799">
        <f>IF(AM$69=$F115+1,IF(Monthly!AI$4=TRUE,0,Monthly!AI$17),IF(AM$69&gt;$F115+1,AL115*(1-IF(AM$69-$F115&lt;=12,SUMIFS('Attrition Modeling'!$D:$D,'Attrition Modeling'!$B:$B,$E115,'Attrition Modeling'!$C:$C,AM$68),VLOOKUP(AM$69-$F115-1,$A$7:$C$161,2,FALSE)*VLOOKUP(AM$1,'Attrition Modeling'!$L$15:$N$27,IF(AM$2-$F48&lt;=24,2,3),FALSE))*(1+Projection!AO$16)*(1+IF(AM180&gt;0,'Attrition Modeling'!$N$9,0))),0))</f>
        <v>0</v>
      </c>
      <c r="AN115" s="799">
        <f>IF(AN$69=$F115+1,IF(Monthly!AJ$4=TRUE,0,Monthly!AJ$17),IF(AN$69&gt;$F115+1,AM115*(1-IF(AN$69-$F115&lt;=12,SUMIFS('Attrition Modeling'!$D:$D,'Attrition Modeling'!$B:$B,$E115,'Attrition Modeling'!$C:$C,AN$68),VLOOKUP(AN$69-$F115-1,$A$7:$C$161,2,FALSE)*VLOOKUP(AN$1,'Attrition Modeling'!$L$15:$N$27,IF(AN$2-$F48&lt;=24,2,3),FALSE))*(1+Projection!AP$16)*(1+IF(AN180&gt;0,'Attrition Modeling'!$N$9,0))),0))</f>
        <v>0</v>
      </c>
      <c r="AO115" s="799">
        <f>IF(AO$69=$F115+1,IF(Monthly!AK$4=TRUE,0,Monthly!AK$17),IF(AO$69&gt;$F115+1,AN115*(1-IF(AO$69-$F115&lt;=12,SUMIFS('Attrition Modeling'!$D:$D,'Attrition Modeling'!$B:$B,$E115,'Attrition Modeling'!$C:$C,AO$68),VLOOKUP(AO$69-$F115-1,$A$7:$C$161,2,FALSE)*VLOOKUP(AO$1,'Attrition Modeling'!$L$15:$N$27,IF(AO$2-$F48&lt;=24,2,3),FALSE))*(1+Projection!AQ$16)*(1+IF(AO180&gt;0,'Attrition Modeling'!$N$9,0))),0))</f>
        <v>0</v>
      </c>
      <c r="AP115" s="799">
        <f>IF(AP$69=$F115+1,IF(Monthly!AL$4=TRUE,0,Monthly!AL$17),IF(AP$69&gt;$F115+1,AO115*(1-IF(AP$69-$F115&lt;=12,SUMIFS('Attrition Modeling'!$D:$D,'Attrition Modeling'!$B:$B,$E115,'Attrition Modeling'!$C:$C,AP$68),VLOOKUP(AP$69-$F115-1,$A$7:$C$161,2,FALSE)*VLOOKUP(AP$1,'Attrition Modeling'!$L$15:$N$27,IF(AP$2-$F48&lt;=24,2,3),FALSE))*(1+Projection!AR$16)*(1+IF(AP180&gt;0,'Attrition Modeling'!$N$9,0))),0))</f>
        <v>0</v>
      </c>
      <c r="AQ115" s="799">
        <f>IF(AQ$69=$F115+1,IF(Monthly!AM$4=TRUE,0,Monthly!AM$17),IF(AQ$69&gt;$F115+1,AP115*(1-IF(AQ$69-$F115&lt;=12,SUMIFS('Attrition Modeling'!$D:$D,'Attrition Modeling'!$B:$B,$E115,'Attrition Modeling'!$C:$C,AQ$68),VLOOKUP(AQ$69-$F115-1,$A$7:$C$161,2,FALSE)*VLOOKUP(AQ$1,'Attrition Modeling'!$L$15:$N$27,IF(AQ$2-$F48&lt;=24,2,3),FALSE))*(1+Projection!AS$16)*(1+IF(AQ180&gt;0,'Attrition Modeling'!$N$9,0))),0))</f>
        <v>0</v>
      </c>
      <c r="AR115" s="799">
        <f>IF(AR$69=$F115+1,IF(Monthly!AN$4=TRUE,0,Monthly!AN$17),IF(AR$69&gt;$F115+1,AQ115*(1-IF(AR$69-$F115&lt;=12,SUMIFS('Attrition Modeling'!$D:$D,'Attrition Modeling'!$B:$B,$E115,'Attrition Modeling'!$C:$C,AR$68),VLOOKUP(AR$69-$F115-1,$A$7:$C$161,2,FALSE)*VLOOKUP(AR$1,'Attrition Modeling'!$L$15:$N$27,IF(AR$2-$F48&lt;=24,2,3),FALSE))*(1+Projection!AT$16)*(1+IF(AR180&gt;0,'Attrition Modeling'!$N$9,0))),0))</f>
        <v>0</v>
      </c>
      <c r="AS115" s="799">
        <f>IF(AS$69=$F115+1,IF(Monthly!AO$4=TRUE,0,Monthly!AO$17),IF(AS$69&gt;$F115+1,AR115*(1-IF(AS$69-$F115&lt;=12,SUMIFS('Attrition Modeling'!$D:$D,'Attrition Modeling'!$B:$B,$E115,'Attrition Modeling'!$C:$C,AS$68),VLOOKUP(AS$69-$F115-1,$A$7:$C$161,2,FALSE)*VLOOKUP(AS$1,'Attrition Modeling'!$L$15:$N$27,IF(AS$2-$F48&lt;=24,2,3),FALSE))*(1+Projection!AU$16)*(1+IF(AS180&gt;0,'Attrition Modeling'!$N$9,0))),0))</f>
        <v>0</v>
      </c>
      <c r="AT115" s="799">
        <f>IF(AT$69=$F115+1,IF(Monthly!AP$4=TRUE,0,Monthly!AP$17),IF(AT$69&gt;$F115+1,AS115*(1-IF(AT$69-$F115&lt;=12,SUMIFS('Attrition Modeling'!$D:$D,'Attrition Modeling'!$B:$B,$E115,'Attrition Modeling'!$C:$C,AT$68),VLOOKUP(AT$69-$F115-1,$A$7:$C$161,2,FALSE)*VLOOKUP(AT$1,'Attrition Modeling'!$L$15:$N$27,IF(AT$2-$F48&lt;=24,2,3),FALSE))*(1+Projection!AV$16)*(1+IF(AT180&gt;0,'Attrition Modeling'!$N$9,0))),0))</f>
        <v>0</v>
      </c>
      <c r="AU115" s="799">
        <f>IF(AU$69=$F115+1,IF(Monthly!AQ$4=TRUE,0,Monthly!AQ$17),IF(AU$69&gt;$F115+1,AT115*(1-IF(AU$69-$F115&lt;=12,SUMIFS('Attrition Modeling'!$D:$D,'Attrition Modeling'!$B:$B,$E115,'Attrition Modeling'!$C:$C,AU$68),VLOOKUP(AU$69-$F115-1,$A$7:$C$161,2,FALSE)*VLOOKUP(AU$1,'Attrition Modeling'!$L$15:$N$27,IF(AU$2-$F48&lt;=24,2,3),FALSE))*(1+Projection!AW$16)*(1+IF(AU180&gt;0,'Attrition Modeling'!$N$9,0))),0))</f>
        <v>0</v>
      </c>
      <c r="AV115" s="799">
        <f>IF(AV$69=$F115+1,IF(Monthly!AR$4=TRUE,0,Monthly!AR$17),IF(AV$69&gt;$F115+1,AU115*(1-IF(AV$69-$F115&lt;=12,SUMIFS('Attrition Modeling'!$D:$D,'Attrition Modeling'!$B:$B,$E115,'Attrition Modeling'!$C:$C,AV$68),VLOOKUP(AV$69-$F115-1,$A$7:$C$161,2,FALSE)*VLOOKUP(AV$1,'Attrition Modeling'!$L$15:$N$27,IF(AV$2-$F48&lt;=24,2,3),FALSE))*(1+Projection!AX$16)*(1+IF(AV180&gt;0,'Attrition Modeling'!$N$9,0))),0))</f>
        <v>0</v>
      </c>
      <c r="AW115" s="799">
        <f>IF(AW$69=$F115+1,IF(Monthly!AS$4=TRUE,0,Monthly!AS$17),IF(AW$69&gt;$F115+1,AV115*(1-IF(AW$69-$F115&lt;=12,SUMIFS('Attrition Modeling'!$D:$D,'Attrition Modeling'!$B:$B,$E115,'Attrition Modeling'!$C:$C,AW$68),VLOOKUP(AW$69-$F115-1,$A$7:$C$161,2,FALSE)*VLOOKUP(AW$1,'Attrition Modeling'!$L$15:$N$27,IF(AW$2-$F48&lt;=24,2,3),FALSE))*(1+Projection!AY$16)*(1+IF(AW180&gt;0,'Attrition Modeling'!$N$9,0))),0))</f>
        <v>0</v>
      </c>
      <c r="AX115" s="799">
        <f>IF(AX$69=$F115+1,IF(Monthly!AT$4=TRUE,0,Monthly!AT$17),IF(AX$69&gt;$F115+1,AW115*(1-IF(AX$69-$F115&lt;=12,SUMIFS('Attrition Modeling'!$D:$D,'Attrition Modeling'!$B:$B,$E115,'Attrition Modeling'!$C:$C,AX$68),VLOOKUP(AX$69-$F115-1,$A$7:$C$161,2,FALSE)*VLOOKUP(AX$1,'Attrition Modeling'!$L$15:$N$27,IF(AX$2-$F48&lt;=24,2,3),FALSE))*(1+Projection!AZ$16)*(1+IF(AX180&gt;0,'Attrition Modeling'!$N$9,0))),0))</f>
        <v>0</v>
      </c>
      <c r="AY115" s="799">
        <f>IF(AY$69=$F115+1,IF(Monthly!AU$4=TRUE,0,Monthly!AU$17),IF(AY$69&gt;$F115+1,AX115*(1-IF(AY$69-$F115&lt;=12,SUMIFS('Attrition Modeling'!$D:$D,'Attrition Modeling'!$B:$B,$E115,'Attrition Modeling'!$C:$C,AY$68),VLOOKUP(AY$69-$F115-1,$A$7:$C$161,2,FALSE)*VLOOKUP(AY$1,'Attrition Modeling'!$L$15:$N$27,IF(AY$2-$F48&lt;=24,2,3),FALSE))*(1+Projection!BA$16)*(1+IF(AY180&gt;0,'Attrition Modeling'!$N$9,0))),0))</f>
        <v>0</v>
      </c>
      <c r="AZ115" s="799">
        <f>IF(AZ$69=$F115+1,IF(Monthly!AV$4=TRUE,0,Monthly!AV$17),IF(AZ$69&gt;$F115+1,AY115*(1-IF(AZ$69-$F115&lt;=12,SUMIFS('Attrition Modeling'!$D:$D,'Attrition Modeling'!$B:$B,$E115,'Attrition Modeling'!$C:$C,AZ$68),VLOOKUP(AZ$69-$F115-1,$A$7:$C$161,2,FALSE)*VLOOKUP(AZ$1,'Attrition Modeling'!$L$15:$N$27,IF(AZ$2-$F48&lt;=24,2,3),FALSE))*(1+Projection!BB$16)*(1+IF(AZ180&gt;0,'Attrition Modeling'!$N$9,0))),0))</f>
        <v>0</v>
      </c>
      <c r="BA115" s="799">
        <f>IF(BA$69=$F115+1,IF(Monthly!AW$4=TRUE,0,Monthly!AW$17),IF(BA$69&gt;$F115+1,AZ115*(1-IF(BA$69-$F115&lt;=12,SUMIFS('Attrition Modeling'!$D:$D,'Attrition Modeling'!$B:$B,$E115,'Attrition Modeling'!$C:$C,BA$68),VLOOKUP(BA$69-$F115-1,$A$7:$C$161,2,FALSE)*VLOOKUP(BA$1,'Attrition Modeling'!$L$15:$N$27,IF(BA$2-$F48&lt;=24,2,3),FALSE))*(1+Projection!BC$16)*(1+IF(BA180&gt;0,'Attrition Modeling'!$N$9,0))),0))</f>
        <v>5307.3040599062078</v>
      </c>
      <c r="BB115" s="799">
        <f>IF(BB$69=$F115+1,IF(Monthly!AX$4=TRUE,0,Monthly!AX$17),IF(BB$69&gt;$F115+1,BA115*(1-IF(BB$69-$F115&lt;=12,SUMIFS('Attrition Modeling'!$D:$D,'Attrition Modeling'!$B:$B,$E115,'Attrition Modeling'!$C:$C,BB$68),VLOOKUP(BB$69-$F115-1,$A$7:$C$161,2,FALSE)*VLOOKUP(BB$1,'Attrition Modeling'!$L$15:$N$27,IF(BB$2-$F48&lt;=24,2,3),FALSE))*(1+Projection!BD$16)*(1+IF(BB180&gt;0,'Attrition Modeling'!$N$9,0))),0))</f>
        <v>4775.6273616017052</v>
      </c>
      <c r="BC115" s="799">
        <f>IF(BC$69=$F115+1,IF(Monthly!AY$4=TRUE,0,Monthly!AY$17),IF(BC$69&gt;$F115+1,BB115*(1-IF(BC$69-$F115&lt;=12,SUMIFS('Attrition Modeling'!$D:$D,'Attrition Modeling'!$B:$B,$E115,'Attrition Modeling'!$C:$C,BC$68),VLOOKUP(BC$69-$F115-1,$A$7:$C$161,2,FALSE)*VLOOKUP(BC$1,'Attrition Modeling'!$L$15:$N$27,IF(BC$2-$F48&lt;=24,2,3),FALSE))*(1+Projection!BE$16)*(1+IF(BC180&gt;0,'Attrition Modeling'!$N$9,0))),0))</f>
        <v>4356.3856374194347</v>
      </c>
      <c r="BD115" s="799">
        <f>IF(BD$69=$F115+1,IF(Monthly!AZ$4=TRUE,0,Monthly!AZ$17),IF(BD$69&gt;$F115+1,BC115*(1-IF(BD$69-$F115&lt;=12,SUMIFS('Attrition Modeling'!$D:$D,'Attrition Modeling'!$B:$B,$E115,'Attrition Modeling'!$C:$C,BD$68),VLOOKUP(BD$69-$F115-1,$A$7:$C$161,2,FALSE)*VLOOKUP(BD$1,'Attrition Modeling'!$L$15:$N$27,IF(BD$2-$F48&lt;=24,2,3),FALSE))*(1+Projection!BF$16)*(1+IF(BD180&gt;0,'Attrition Modeling'!$N$9,0))),0))</f>
        <v>3999.9053016684979</v>
      </c>
      <c r="BE115" s="799">
        <f>IF(BE$69=$F115+1,IF(Monthly!BA$4=TRUE,0,Monthly!BA$17),IF(BE$69&gt;$F115+1,BD115*(1-IF(BE$69-$F115&lt;=12,SUMIFS('Attrition Modeling'!$D:$D,'Attrition Modeling'!$B:$B,$E115,'Attrition Modeling'!$C:$C,BE$68),VLOOKUP(BE$69-$F115-1,$A$7:$C$161,2,FALSE)*VLOOKUP(BE$1,'Attrition Modeling'!$L$15:$N$27,IF(BE$2-$F48&lt;=24,2,3),FALSE))*(1+Projection!BG$16)*(1+IF(BE180&gt;0,'Attrition Modeling'!$N$9,0))),0))</f>
        <v>3704.8328875502079</v>
      </c>
      <c r="BF115" s="799">
        <f>IF(BF$69=$F115+1,IF(Monthly!BB$4=TRUE,0,Monthly!BB$17),IF(BF$69&gt;$F115+1,BE115*(1-IF(BF$69-$F115&lt;=12,SUMIFS('Attrition Modeling'!$D:$D,'Attrition Modeling'!$B:$B,$E115,'Attrition Modeling'!$C:$C,BF$68),VLOOKUP(BF$69-$F115-1,$A$7:$C$161,2,FALSE)*VLOOKUP(BF$1,'Attrition Modeling'!$L$15:$N$27,IF(BF$2-$F48&lt;=24,2,3),FALSE))*(1+Projection!BH$16)*(1+IF(BF180&gt;0,'Attrition Modeling'!$N$9,0))),0))</f>
        <v>3325.3273526381199</v>
      </c>
      <c r="BG115" s="799">
        <f>IF(BG$69=$F115+1,IF(Monthly!BC$4=TRUE,0,Monthly!BC$17),IF(BG$69&gt;$F115+1,BF115*(1-IF(BG$69-$F115&lt;=12,SUMIFS('Attrition Modeling'!$D:$D,'Attrition Modeling'!$B:$B,$E115,'Attrition Modeling'!$C:$C,BG$68),VLOOKUP(BG$69-$F115-1,$A$7:$C$161,2,FALSE)*VLOOKUP(BG$1,'Attrition Modeling'!$L$15:$N$27,IF(BG$2-$F48&lt;=24,2,3),FALSE))*(1+Projection!BI$16)*(1+IF(BG180&gt;0,'Attrition Modeling'!$N$9,0))),0))</f>
        <v>3083.6945687681769</v>
      </c>
      <c r="BH115" s="799">
        <f>IF(BH$69=$F115+1,IF(Monthly!BD$4=TRUE,0,Monthly!BD$17),IF(BH$69&gt;$F115+1,BG115*(1-IF(BH$69-$F115&lt;=12,SUMIFS('Attrition Modeling'!$D:$D,'Attrition Modeling'!$B:$B,$E115,'Attrition Modeling'!$C:$C,BH$68),VLOOKUP(BH$69-$F115-1,$A$7:$C$161,2,FALSE)*VLOOKUP(BH$1,'Attrition Modeling'!$L$15:$N$27,IF(BH$2-$F48&lt;=24,2,3),FALSE))*(1+Projection!BJ$16)*(1+IF(BH180&gt;0,'Attrition Modeling'!$N$9,0))),0))</f>
        <v>2864.3197353854212</v>
      </c>
      <c r="BI115" s="799">
        <f>IF(BI$69=$F115+1,IF(Monthly!BE$4=TRUE,0,Monthly!BE$17),IF(BI$69&gt;$F115+1,BH115*(1-IF(BI$69-$F115&lt;=12,SUMIFS('Attrition Modeling'!$D:$D,'Attrition Modeling'!$B:$B,$E115,'Attrition Modeling'!$C:$C,BI$68),VLOOKUP(BI$69-$F115-1,$A$7:$C$161,2,FALSE)*VLOOKUP(BI$1,'Attrition Modeling'!$L$15:$N$27,IF(BI$2-$F48&lt;=24,2,3),FALSE))*(1+Projection!BK$16)*(1+IF(BI180&gt;0,'Attrition Modeling'!$N$9,0))),0))</f>
        <v>2667.0808165989533</v>
      </c>
      <c r="BJ115" s="799">
        <f>IF(BJ$69=$F115+1,IF(Monthly!BF$4=TRUE,0,Monthly!BF$17),IF(BJ$69&gt;$F115+1,BI115*(1-IF(BJ$69-$F115&lt;=12,SUMIFS('Attrition Modeling'!$D:$D,'Attrition Modeling'!$B:$B,$E115,'Attrition Modeling'!$C:$C,BJ$68),VLOOKUP(BJ$69-$F115-1,$A$7:$C$161,2,FALSE)*VLOOKUP(BJ$1,'Attrition Modeling'!$L$15:$N$27,IF(BJ$2-$F48&lt;=24,2,3),FALSE))*(1+Projection!BL$16)*(1+IF(BJ180&gt;0,'Attrition Modeling'!$N$9,0))),0))</f>
        <v>2503.3701419269009</v>
      </c>
      <c r="BK115" s="799">
        <f>IF(BK$69=$F115+1,IF(Monthly!BG$4=TRUE,0,Monthly!BG$17),IF(BK$69&gt;$F115+1,BJ115*(1-IF(BK$69-$F115&lt;=12,SUMIFS('Attrition Modeling'!$D:$D,'Attrition Modeling'!$B:$B,$E115,'Attrition Modeling'!$C:$C,BK$68),VLOOKUP(BK$69-$F115-1,$A$7:$C$161,2,FALSE)*VLOOKUP(BK$1,'Attrition Modeling'!$L$15:$N$27,IF(BK$2-$F48&lt;=24,2,3),FALSE))*(1+Projection!BM$16)*(1+IF(BK180&gt;0,'Attrition Modeling'!$N$9,0))),0))</f>
        <v>2355.8746022424398</v>
      </c>
      <c r="BL115" s="799">
        <f>IF(BL$69=$F115+1,IF(Monthly!BH$4=TRUE,0,Monthly!BH$17),IF(BL$69&gt;$F115+1,BK115*(1-IF(BL$69-$F115&lt;=12,SUMIFS('Attrition Modeling'!$D:$D,'Attrition Modeling'!$B:$B,$E115,'Attrition Modeling'!$C:$C,BL$68),VLOOKUP(BL$69-$F115-1,$A$7:$C$161,2,FALSE)*VLOOKUP(BL$1,'Attrition Modeling'!$L$15:$N$27,IF(BL$2-$F48&lt;=24,2,3),FALSE))*(1+Projection!BN$16)*(1+IF(BL180&gt;0,'Attrition Modeling'!$N$9,0))),0))</f>
        <v>2254.9720689709675</v>
      </c>
      <c r="BM115" s="799">
        <f>IF(BM$69=$F115+1,IF(Monthly!BI$4=TRUE,0,Monthly!BI$17),IF(BM$69&gt;$F115+1,BL115*(1-IF(BM$69-$F115&lt;=12,SUMIFS('Attrition Modeling'!$D:$D,'Attrition Modeling'!$B:$B,$E115,'Attrition Modeling'!$C:$C,BM$68),VLOOKUP(BM$69-$F115-1,$A$7:$C$161,2,FALSE)*VLOOKUP(BM$1,'Attrition Modeling'!$L$15:$N$27,IF(BM$2-$F48&lt;=24,2,3),FALSE))*(1+Projection!BO$16)*(1+IF(BM180&gt;0,'Attrition Modeling'!$N$9,0))),0))</f>
        <v>2127.5521547951034</v>
      </c>
      <c r="BN115" s="799">
        <f>IF(BN$69=$F115+1,IF(Monthly!BJ$4=TRUE,0,Monthly!BJ$17),IF(BN$69&gt;$F115+1,BM115*(1-IF(BN$69-$F115&lt;=12,SUMIFS('Attrition Modeling'!$D:$D,'Attrition Modeling'!$B:$B,$E115,'Attrition Modeling'!$C:$C,BN$68),VLOOKUP(BN$69-$F115-1,$A$7:$C$161,2,FALSE)*VLOOKUP(BN$1,'Attrition Modeling'!$L$15:$N$27,IF(BN$2-$F48&lt;=24,2,3),FALSE))*(1+Projection!BP$16)*(1+IF(BN180&gt;0,'Attrition Modeling'!$N$9,0))),0))</f>
        <v>2020.8345349570702</v>
      </c>
      <c r="BO115" s="799">
        <f>IF(BO$69=$F115+1,IF(Monthly!BK$4=TRUE,0,Monthly!BK$17),IF(BO$69&gt;$F115+1,BN115*(1-IF(BO$69-$F115&lt;=12,SUMIFS('Attrition Modeling'!$D:$D,'Attrition Modeling'!$B:$B,$E115,'Attrition Modeling'!$C:$C,BO$68),VLOOKUP(BO$69-$F115-1,$A$7:$C$161,2,FALSE)*VLOOKUP(BO$1,'Attrition Modeling'!$L$15:$N$27,IF(BO$2-$F48&lt;=24,2,3),FALSE))*(1+Projection!BV$16)*(1+IF(BO180&gt;0,'Attrition Modeling'!$N$9,0))),0))</f>
        <v>1925.44589898854</v>
      </c>
      <c r="BP115" s="799">
        <f>IF(BP$69=$F115+1,IF(Monthly!BL$4=TRUE,0,Monthly!BL$17),IF(BP$69&gt;$F115+1,BO115*(1-IF(BP$69-$F115&lt;=12,SUMIFS('Attrition Modeling'!$D:$D,'Attrition Modeling'!$B:$B,$E115,'Attrition Modeling'!$C:$C,BP$68),VLOOKUP(BP$69-$F115-1,$A$7:$C$161,2,FALSE)*VLOOKUP(BP$1,'Attrition Modeling'!$L$15:$N$27,IF(BP$2-$F48&lt;=24,2,3),FALSE))*(1+Projection!BW$16)*(1+IF(BP180&gt;0,'Attrition Modeling'!$N$9,0))),0))</f>
        <v>1837.80087809458</v>
      </c>
      <c r="BQ115" s="799">
        <f>IF(BQ$69=$F115+1,IF(Monthly!BM$4=TRUE,0,Monthly!BM$17),IF(BQ$69&gt;$F115+1,BP115*(1-IF(BQ$69-$F115&lt;=12,SUMIFS('Attrition Modeling'!$D:$D,'Attrition Modeling'!$B:$B,$E115,'Attrition Modeling'!$C:$C,BQ$68),VLOOKUP(BQ$69-$F115-1,$A$7:$C$161,2,FALSE)*VLOOKUP(BQ$1,'Attrition Modeling'!$L$15:$N$27,IF(BQ$2-$F48&lt;=24,2,3),FALSE))*(1+Projection!BX$16)*(1+IF(BQ180&gt;0,'Attrition Modeling'!$N$9,0))),0))</f>
        <v>1764.5541877875407</v>
      </c>
      <c r="BR115" s="799">
        <f>IF(BR$69=$F115+1,IF(Monthly!BN$4=TRUE,0,Monthly!BN$17),IF(BR$69&gt;$F115+1,BQ115*(1-IF(BR$69-$F115&lt;=12,SUMIFS('Attrition Modeling'!$D:$D,'Attrition Modeling'!$B:$B,$E115,'Attrition Modeling'!$C:$C,BR$68),VLOOKUP(BR$69-$F115-1,$A$7:$C$161,2,FALSE)*VLOOKUP(BR$1,'Attrition Modeling'!$L$15:$N$27,IF(BR$2-$F48&lt;=24,2,3),FALSE))*(1+Projection!BY$16)*(1+IF(BR180&gt;0,'Attrition Modeling'!$N$9,0))),0))</f>
        <v>1674.9617462013719</v>
      </c>
      <c r="BS115" s="799">
        <f>IF(BS$69=$F115+1,IF(Monthly!BO$4=TRUE,0,Monthly!BO$17),IF(BS$69&gt;$F115+1,BR115*(1-IF(BS$69-$F115&lt;=12,SUMIFS('Attrition Modeling'!$D:$D,'Attrition Modeling'!$B:$B,$E115,'Attrition Modeling'!$C:$C,BS$68),VLOOKUP(BS$69-$F115-1,$A$7:$C$161,2,FALSE)*VLOOKUP(BS$1,'Attrition Modeling'!$L$15:$N$27,IF(BS$2-$F48&lt;=24,2,3),FALSE))*(1+Projection!BZ$16)*(1+IF(BS180&gt;0,'Attrition Modeling'!$N$9,0))),0))</f>
        <v>1606.7764364989271</v>
      </c>
      <c r="BT115" s="799">
        <f>IF(BT$69=$F115+1,IF(Monthly!#REF!=TRUE,0,Monthly!#REF!),IF(BT$69&gt;$F115+1,BS115*(1-IF(BT$69-$F115&lt;=12,SUMIFS('Attrition Modeling'!$D:$D,'Attrition Modeling'!$B:$B,$E115,'Attrition Modeling'!$C:$C,BT$68),VLOOKUP(BT$69-$F115-1,$A$7:$C$161,2,FALSE)*VLOOKUP(BT$1,'Attrition Modeling'!$L$15:$N$27,IF(BT$2-$F48&lt;=24,2,3),FALSE))*(1+Projection!CA$16)*(1+IF(BT180&gt;0,'Attrition Modeling'!$N$9,0))),0))</f>
        <v>1543.0678966167131</v>
      </c>
      <c r="BU115" s="799">
        <f>IF(BU$69=$F115+1,IF(Monthly!#REF!=TRUE,0,Monthly!#REF!),IF(BU$69&gt;$F115+1,BT115*(1-IF(BU$69-$F115&lt;=12,SUMIFS('Attrition Modeling'!$D:$D,'Attrition Modeling'!$B:$B,$E115,'Attrition Modeling'!$C:$C,BU$68),VLOOKUP(BU$69-$F115-1,$A$7:$C$161,2,FALSE)*VLOOKUP(BU$1,'Attrition Modeling'!$L$15:$N$27,IF(BU$2-$F48&lt;=24,2,3),FALSE))*(1+Projection!CB$16)*(1+IF(BU180&gt;0,'Attrition Modeling'!$N$9,0))),0))</f>
        <v>1477.0448062248715</v>
      </c>
    </row>
    <row r="116" spans="1:73" ht="14.25" customHeight="1" x14ac:dyDescent="0.2">
      <c r="A116" s="9">
        <v>109</v>
      </c>
      <c r="B116" s="25">
        <f>MAX('Attrition Modeling'!H113,$C$3)*(1-Summary!$C$20)</f>
        <v>0.02</v>
      </c>
      <c r="C116" s="24" t="e">
        <f t="shared" si="4"/>
        <v>#DIV/0!</v>
      </c>
      <c r="E116" s="11">
        <f t="shared" si="9"/>
        <v>10</v>
      </c>
      <c r="F116" s="11">
        <f t="shared" si="10"/>
        <v>46</v>
      </c>
      <c r="G116" s="799"/>
      <c r="H116" s="799">
        <f>IF(H$69=$F116+1,IF(Monthly!D$4=TRUE,0,Monthly!D$17),IF(H$69&gt;$F116+1,G116*(1-IF(H$69-$F116&lt;=12,SUMIFS('Attrition Modeling'!$D:$D,'Attrition Modeling'!$B:$B,$E116,'Attrition Modeling'!$C:$C,H$68),VLOOKUP(H$69-$F116-1,$A$7:$C$161,2,FALSE)*VLOOKUP(H$1,'Attrition Modeling'!$L$15:$N$27,IF(H$2-$F49&lt;=24,2,3),FALSE))*(1+Projection!J$16)*(1+IF(H181&gt;0,'Attrition Modeling'!$N$9,0))),0))</f>
        <v>0</v>
      </c>
      <c r="I116" s="799">
        <f>IF(I$69=$F116+1,IF(Monthly!E$4=TRUE,0,Monthly!E$17),IF(I$69&gt;$F116+1,H116*(1-IF(I$69-$F116&lt;=12,SUMIFS('Attrition Modeling'!$D:$D,'Attrition Modeling'!$B:$B,$E116,'Attrition Modeling'!$C:$C,I$68),VLOOKUP(I$69-$F116-1,$A$7:$C$161,2,FALSE)*VLOOKUP(I$1,'Attrition Modeling'!$L$15:$N$27,IF(I$2-$F49&lt;=24,2,3),FALSE))*(1+Projection!K$16)*(1+IF(I181&gt;0,'Attrition Modeling'!$N$9,0))),0))</f>
        <v>0</v>
      </c>
      <c r="J116" s="799">
        <f>IF(J$69=$F116+1,IF(Monthly!F$4=TRUE,0,Monthly!F$17),IF(J$69&gt;$F116+1,I116*(1-IF(J$69-$F116&lt;=12,SUMIFS('Attrition Modeling'!$D:$D,'Attrition Modeling'!$B:$B,$E116,'Attrition Modeling'!$C:$C,J$68),VLOOKUP(J$69-$F116-1,$A$7:$C$161,2,FALSE)*VLOOKUP(J$1,'Attrition Modeling'!$L$15:$N$27,IF(J$2-$F49&lt;=24,2,3),FALSE))*(1+Projection!L$16)*(1+IF(J181&gt;0,'Attrition Modeling'!$N$9,0))),0))</f>
        <v>0</v>
      </c>
      <c r="K116" s="799">
        <f>IF(K$69=$F116+1,IF(Monthly!G$4=TRUE,0,Monthly!G$17),IF(K$69&gt;$F116+1,J116*(1-IF(K$69-$F116&lt;=12,SUMIFS('Attrition Modeling'!$D:$D,'Attrition Modeling'!$B:$B,$E116,'Attrition Modeling'!$C:$C,K$68),VLOOKUP(K$69-$F116-1,$A$7:$C$161,2,FALSE)*VLOOKUP(K$1,'Attrition Modeling'!$L$15:$N$27,IF(K$2-$F49&lt;=24,2,3),FALSE))*(1+Projection!M$16)*(1+IF(K181&gt;0,'Attrition Modeling'!$N$9,0))),0))</f>
        <v>0</v>
      </c>
      <c r="L116" s="799">
        <f>IF(L$69=$F116+1,IF(Monthly!H$4=TRUE,0,Monthly!H$17),IF(L$69&gt;$F116+1,K116*(1-IF(L$69-$F116&lt;=12,SUMIFS('Attrition Modeling'!$D:$D,'Attrition Modeling'!$B:$B,$E116,'Attrition Modeling'!$C:$C,L$68),VLOOKUP(L$69-$F116-1,$A$7:$C$161,2,FALSE)*VLOOKUP(L$1,'Attrition Modeling'!$L$15:$N$27,IF(L$2-$F49&lt;=24,2,3),FALSE))*(1+Projection!N$16)*(1+IF(L181&gt;0,'Attrition Modeling'!$N$9,0))),0))</f>
        <v>0</v>
      </c>
      <c r="M116" s="799">
        <f>IF(M$69=$F116+1,IF(Monthly!I$4=TRUE,0,Monthly!I$17),IF(M$69&gt;$F116+1,L116*(1-IF(M$69-$F116&lt;=12,SUMIFS('Attrition Modeling'!$D:$D,'Attrition Modeling'!$B:$B,$E116,'Attrition Modeling'!$C:$C,M$68),VLOOKUP(M$69-$F116-1,$A$7:$C$161,2,FALSE)*VLOOKUP(M$1,'Attrition Modeling'!$L$15:$N$27,IF(M$2-$F49&lt;=24,2,3),FALSE))*(1+Projection!O$16)*(1+IF(M181&gt;0,'Attrition Modeling'!$N$9,0))),0))</f>
        <v>0</v>
      </c>
      <c r="N116" s="799">
        <f>IF(N$69=$F116+1,IF(Monthly!J$4=TRUE,0,Monthly!J$17),IF(N$69&gt;$F116+1,M116*(1-IF(N$69-$F116&lt;=12,SUMIFS('Attrition Modeling'!$D:$D,'Attrition Modeling'!$B:$B,$E116,'Attrition Modeling'!$C:$C,N$68),VLOOKUP(N$69-$F116-1,$A$7:$C$161,2,FALSE)*VLOOKUP(N$1,'Attrition Modeling'!$L$15:$N$27,IF(N$2-$F49&lt;=24,2,3),FALSE))*(1+Projection!P$16)*(1+IF(N181&gt;0,'Attrition Modeling'!$N$9,0))),0))</f>
        <v>0</v>
      </c>
      <c r="O116" s="799">
        <f>IF(O$69=$F116+1,IF(Monthly!K$4=TRUE,0,Monthly!K$17),IF(O$69&gt;$F116+1,N116*(1-IF(O$69-$F116&lt;=12,SUMIFS('Attrition Modeling'!$D:$D,'Attrition Modeling'!$B:$B,$E116,'Attrition Modeling'!$C:$C,O$68),VLOOKUP(O$69-$F116-1,$A$7:$C$161,2,FALSE)*VLOOKUP(O$1,'Attrition Modeling'!$L$15:$N$27,IF(O$2-$F49&lt;=24,2,3),FALSE))*(1+Projection!Q$16)*(1+IF(O181&gt;0,'Attrition Modeling'!$N$9,0))),0))</f>
        <v>0</v>
      </c>
      <c r="P116" s="799">
        <f>IF(P$69=$F116+1,IF(Monthly!L$4=TRUE,0,Monthly!L$17),IF(P$69&gt;$F116+1,O116*(1-IF(P$69-$F116&lt;=12,SUMIFS('Attrition Modeling'!$D:$D,'Attrition Modeling'!$B:$B,$E116,'Attrition Modeling'!$C:$C,P$68),VLOOKUP(P$69-$F116-1,$A$7:$C$161,2,FALSE)*VLOOKUP(P$1,'Attrition Modeling'!$L$15:$N$27,IF(P$2-$F49&lt;=24,2,3),FALSE))*(1+Projection!R$16)*(1+IF(P181&gt;0,'Attrition Modeling'!$N$9,0))),0))</f>
        <v>0</v>
      </c>
      <c r="Q116" s="799">
        <f>IF(Q$69=$F116+1,IF(Monthly!M$4=TRUE,0,Monthly!M$17),IF(Q$69&gt;$F116+1,P116*(1-IF(Q$69-$F116&lt;=12,SUMIFS('Attrition Modeling'!$D:$D,'Attrition Modeling'!$B:$B,$E116,'Attrition Modeling'!$C:$C,Q$68),VLOOKUP(Q$69-$F116-1,$A$7:$C$161,2,FALSE)*VLOOKUP(Q$1,'Attrition Modeling'!$L$15:$N$27,IF(Q$2-$F49&lt;=24,2,3),FALSE))*(1+Projection!S$16)*(1+IF(Q181&gt;0,'Attrition Modeling'!$N$9,0))),0))</f>
        <v>0</v>
      </c>
      <c r="R116" s="799">
        <f>IF(R$69=$F116+1,IF(Monthly!N$4=TRUE,0,Monthly!N$17),IF(R$69&gt;$F116+1,Q116*(1-IF(R$69-$F116&lt;=12,SUMIFS('Attrition Modeling'!$D:$D,'Attrition Modeling'!$B:$B,$E116,'Attrition Modeling'!$C:$C,R$68),VLOOKUP(R$69-$F116-1,$A$7:$C$161,2,FALSE)*VLOOKUP(R$1,'Attrition Modeling'!$L$15:$N$27,IF(R$2-$F49&lt;=24,2,3),FALSE))*(1+Projection!T$16)*(1+IF(R181&gt;0,'Attrition Modeling'!$N$9,0))),0))</f>
        <v>0</v>
      </c>
      <c r="S116" s="799">
        <f>IF(S$69=$F116+1,IF(Monthly!O$4=TRUE,0,Monthly!O$17),IF(S$69&gt;$F116+1,R116*(1-IF(S$69-$F116&lt;=12,SUMIFS('Attrition Modeling'!$D:$D,'Attrition Modeling'!$B:$B,$E116,'Attrition Modeling'!$C:$C,S$68),VLOOKUP(S$69-$F116-1,$A$7:$C$161,2,FALSE)*VLOOKUP(S$1,'Attrition Modeling'!$L$15:$N$27,IF(S$2-$F49&lt;=24,2,3),FALSE))*(1+Projection!U$16)*(1+IF(S181&gt;0,'Attrition Modeling'!$N$9,0))),0))</f>
        <v>0</v>
      </c>
      <c r="T116" s="799">
        <f>IF(T$69=$F116+1,IF(Monthly!P$4=TRUE,0,Monthly!P$17),IF(T$69&gt;$F116+1,S116*(1-IF(T$69-$F116&lt;=12,SUMIFS('Attrition Modeling'!$D:$D,'Attrition Modeling'!$B:$B,$E116,'Attrition Modeling'!$C:$C,T$68),VLOOKUP(T$69-$F116-1,$A$7:$C$161,2,FALSE)*VLOOKUP(T$1,'Attrition Modeling'!$L$15:$N$27,IF(T$2-$F49&lt;=24,2,3),FALSE))*(1+Projection!V$16)*(1+IF(T181&gt;0,'Attrition Modeling'!$N$9,0))),0))</f>
        <v>0</v>
      </c>
      <c r="U116" s="799">
        <f>IF(U$69=$F116+1,IF(Monthly!Q$4=TRUE,0,Monthly!Q$17),IF(U$69&gt;$F116+1,T116*(1-IF(U$69-$F116&lt;=12,SUMIFS('Attrition Modeling'!$D:$D,'Attrition Modeling'!$B:$B,$E116,'Attrition Modeling'!$C:$C,U$68),VLOOKUP(U$69-$F116-1,$A$7:$C$161,2,FALSE)*VLOOKUP(U$1,'Attrition Modeling'!$L$15:$N$27,IF(U$2-$F49&lt;=24,2,3),FALSE))*(1+Projection!W$16)*(1+IF(U181&gt;0,'Attrition Modeling'!$N$9,0))),0))</f>
        <v>0</v>
      </c>
      <c r="V116" s="799">
        <f>IF(V$69=$F116+1,IF(Monthly!R$4=TRUE,0,Monthly!R$17),IF(V$69&gt;$F116+1,U116*(1-IF(V$69-$F116&lt;=12,SUMIFS('Attrition Modeling'!$D:$D,'Attrition Modeling'!$B:$B,$E116,'Attrition Modeling'!$C:$C,V$68),VLOOKUP(V$69-$F116-1,$A$7:$C$161,2,FALSE)*VLOOKUP(V$1,'Attrition Modeling'!$L$15:$N$27,IF(V$2-$F49&lt;=24,2,3),FALSE))*(1+Projection!X$16)*(1+IF(V181&gt;0,'Attrition Modeling'!$N$9,0))),0))</f>
        <v>0</v>
      </c>
      <c r="W116" s="799">
        <f>IF(W$69=$F116+1,IF(Monthly!S$4=TRUE,0,Monthly!S$17),IF(W$69&gt;$F116+1,V116*(1-IF(W$69-$F116&lt;=12,SUMIFS('Attrition Modeling'!$D:$D,'Attrition Modeling'!$B:$B,$E116,'Attrition Modeling'!$C:$C,W$68),VLOOKUP(W$69-$F116-1,$A$7:$C$161,2,FALSE)*VLOOKUP(W$1,'Attrition Modeling'!$L$15:$N$27,IF(W$2-$F49&lt;=24,2,3),FALSE))*(1+Projection!Y$16)*(1+IF(W181&gt;0,'Attrition Modeling'!$N$9,0))),0))</f>
        <v>0</v>
      </c>
      <c r="X116" s="799">
        <f>IF(X$69=$F116+1,IF(Monthly!T$4=TRUE,0,Monthly!T$17),IF(X$69&gt;$F116+1,W116*(1-IF(X$69-$F116&lt;=12,SUMIFS('Attrition Modeling'!$D:$D,'Attrition Modeling'!$B:$B,$E116,'Attrition Modeling'!$C:$C,X$68),VLOOKUP(X$69-$F116-1,$A$7:$C$161,2,FALSE)*VLOOKUP(X$1,'Attrition Modeling'!$L$15:$N$27,IF(X$2-$F49&lt;=24,2,3),FALSE))*(1+Projection!Z$16)*(1+IF(X181&gt;0,'Attrition Modeling'!$N$9,0))),0))</f>
        <v>0</v>
      </c>
      <c r="Y116" s="799">
        <f>IF(Y$69=$F116+1,IF(Monthly!U$4=TRUE,0,Monthly!U$17),IF(Y$69&gt;$F116+1,X116*(1-IF(Y$69-$F116&lt;=12,SUMIFS('Attrition Modeling'!$D:$D,'Attrition Modeling'!$B:$B,$E116,'Attrition Modeling'!$C:$C,Y$68),VLOOKUP(Y$69-$F116-1,$A$7:$C$161,2,FALSE)*VLOOKUP(Y$1,'Attrition Modeling'!$L$15:$N$27,IF(Y$2-$F49&lt;=24,2,3),FALSE))*(1+Projection!AA$16)*(1+IF(Y181&gt;0,'Attrition Modeling'!$N$9,0))),0))</f>
        <v>0</v>
      </c>
      <c r="Z116" s="799">
        <f>IF(Z$69=$F116+1,IF(Monthly!V$4=TRUE,0,Monthly!V$17),IF(Z$69&gt;$F116+1,Y116*(1-IF(Z$69-$F116&lt;=12,SUMIFS('Attrition Modeling'!$D:$D,'Attrition Modeling'!$B:$B,$E116,'Attrition Modeling'!$C:$C,Z$68),VLOOKUP(Z$69-$F116-1,$A$7:$C$161,2,FALSE)*VLOOKUP(Z$1,'Attrition Modeling'!$L$15:$N$27,IF(Z$2-$F49&lt;=24,2,3),FALSE))*(1+Projection!AB$16)*(1+IF(Z181&gt;0,'Attrition Modeling'!$N$9,0))),0))</f>
        <v>0</v>
      </c>
      <c r="AA116" s="799">
        <f>IF(AA$69=$F116+1,IF(Monthly!W$4=TRUE,0,Monthly!W$17),IF(AA$69&gt;$F116+1,Z116*(1-IF(AA$69-$F116&lt;=12,SUMIFS('Attrition Modeling'!$D:$D,'Attrition Modeling'!$B:$B,$E116,'Attrition Modeling'!$C:$C,AA$68),VLOOKUP(AA$69-$F116-1,$A$7:$C$161,2,FALSE)*VLOOKUP(AA$1,'Attrition Modeling'!$L$15:$N$27,IF(AA$2-$F49&lt;=24,2,3),FALSE))*(1+Projection!AC$16)*(1+IF(AA181&gt;0,'Attrition Modeling'!$N$9,0))),0))</f>
        <v>0</v>
      </c>
      <c r="AB116" s="799">
        <f>IF(AB$69=$F116+1,IF(Monthly!X$4=TRUE,0,Monthly!X$17),IF(AB$69&gt;$F116+1,AA116*(1-IF(AB$69-$F116&lt;=12,SUMIFS('Attrition Modeling'!$D:$D,'Attrition Modeling'!$B:$B,$E116,'Attrition Modeling'!$C:$C,AB$68),VLOOKUP(AB$69-$F116-1,$A$7:$C$161,2,FALSE)*VLOOKUP(AB$1,'Attrition Modeling'!$L$15:$N$27,IF(AB$2-$F49&lt;=24,2,3),FALSE))*(1+Projection!AD$16)*(1+IF(AB181&gt;0,'Attrition Modeling'!$N$9,0))),0))</f>
        <v>0</v>
      </c>
      <c r="AC116" s="799">
        <f>IF(AC$69=$F116+1,IF(Monthly!Y$4=TRUE,0,Monthly!Y$17),IF(AC$69&gt;$F116+1,AB116*(1-IF(AC$69-$F116&lt;=12,SUMIFS('Attrition Modeling'!$D:$D,'Attrition Modeling'!$B:$B,$E116,'Attrition Modeling'!$C:$C,AC$68),VLOOKUP(AC$69-$F116-1,$A$7:$C$161,2,FALSE)*VLOOKUP(AC$1,'Attrition Modeling'!$L$15:$N$27,IF(AC$2-$F49&lt;=24,2,3),FALSE))*(1+Projection!AE$16)*(1+IF(AC181&gt;0,'Attrition Modeling'!$N$9,0))),0))</f>
        <v>0</v>
      </c>
      <c r="AD116" s="799">
        <f>IF(AD$69=$F116+1,IF(Monthly!Z$4=TRUE,0,Monthly!Z$17),IF(AD$69&gt;$F116+1,AC116*(1-IF(AD$69-$F116&lt;=12,SUMIFS('Attrition Modeling'!$D:$D,'Attrition Modeling'!$B:$B,$E116,'Attrition Modeling'!$C:$C,AD$68),VLOOKUP(AD$69-$F116-1,$A$7:$C$161,2,FALSE)*VLOOKUP(AD$1,'Attrition Modeling'!$L$15:$N$27,IF(AD$2-$F49&lt;=24,2,3),FALSE))*(1+Projection!AF$16)*(1+IF(AD181&gt;0,'Attrition Modeling'!$N$9,0))),0))</f>
        <v>0</v>
      </c>
      <c r="AE116" s="799">
        <f>IF(AE$69=$F116+1,IF(Monthly!AA$4=TRUE,0,Monthly!AA$17),IF(AE$69&gt;$F116+1,AD116*(1-IF(AE$69-$F116&lt;=12,SUMIFS('Attrition Modeling'!$D:$D,'Attrition Modeling'!$B:$B,$E116,'Attrition Modeling'!$C:$C,AE$68),VLOOKUP(AE$69-$F116-1,$A$7:$C$161,2,FALSE)*VLOOKUP(AE$1,'Attrition Modeling'!$L$15:$N$27,IF(AE$2-$F49&lt;=24,2,3),FALSE))*(1+Projection!AG$16)*(1+IF(AE181&gt;0,'Attrition Modeling'!$N$9,0))),0))</f>
        <v>0</v>
      </c>
      <c r="AF116" s="799">
        <f>IF(AF$69=$F116+1,IF(Monthly!AB$4=TRUE,0,Monthly!AB$17),IF(AF$69&gt;$F116+1,AE116*(1-IF(AF$69-$F116&lt;=12,SUMIFS('Attrition Modeling'!$D:$D,'Attrition Modeling'!$B:$B,$E116,'Attrition Modeling'!$C:$C,AF$68),VLOOKUP(AF$69-$F116-1,$A$7:$C$161,2,FALSE)*VLOOKUP(AF$1,'Attrition Modeling'!$L$15:$N$27,IF(AF$2-$F49&lt;=24,2,3),FALSE))*(1+Projection!AH$16)*(1+IF(AF181&gt;0,'Attrition Modeling'!$N$9,0))),0))</f>
        <v>0</v>
      </c>
      <c r="AG116" s="799">
        <f>IF(AG$69=$F116+1,IF(Monthly!AC$4=TRUE,0,Monthly!AC$17),IF(AG$69&gt;$F116+1,AF116*(1-IF(AG$69-$F116&lt;=12,SUMIFS('Attrition Modeling'!$D:$D,'Attrition Modeling'!$B:$B,$E116,'Attrition Modeling'!$C:$C,AG$68),VLOOKUP(AG$69-$F116-1,$A$7:$C$161,2,FALSE)*VLOOKUP(AG$1,'Attrition Modeling'!$L$15:$N$27,IF(AG$2-$F49&lt;=24,2,3),FALSE))*(1+Projection!AI$16)*(1+IF(AG181&gt;0,'Attrition Modeling'!$N$9,0))),0))</f>
        <v>0</v>
      </c>
      <c r="AH116" s="799">
        <f>IF(AH$69=$F116+1,IF(Monthly!AD$4=TRUE,0,Monthly!AD$17),IF(AH$69&gt;$F116+1,AG116*(1-IF(AH$69-$F116&lt;=12,SUMIFS('Attrition Modeling'!$D:$D,'Attrition Modeling'!$B:$B,$E116,'Attrition Modeling'!$C:$C,AH$68),VLOOKUP(AH$69-$F116-1,$A$7:$C$161,2,FALSE)*VLOOKUP(AH$1,'Attrition Modeling'!$L$15:$N$27,IF(AH$2-$F49&lt;=24,2,3),FALSE))*(1+Projection!AJ$16)*(1+IF(AH181&gt;0,'Attrition Modeling'!$N$9,0))),0))</f>
        <v>0</v>
      </c>
      <c r="AI116" s="799">
        <f>IF(AI$69=$F116+1,IF(Monthly!AE$4=TRUE,0,Monthly!AE$17),IF(AI$69&gt;$F116+1,AH116*(1-IF(AI$69-$F116&lt;=12,SUMIFS('Attrition Modeling'!$D:$D,'Attrition Modeling'!$B:$B,$E116,'Attrition Modeling'!$C:$C,AI$68),VLOOKUP(AI$69-$F116-1,$A$7:$C$161,2,FALSE)*VLOOKUP(AI$1,'Attrition Modeling'!$L$15:$N$27,IF(AI$2-$F49&lt;=24,2,3),FALSE))*(1+Projection!AK$16)*(1+IF(AI181&gt;0,'Attrition Modeling'!$N$9,0))),0))</f>
        <v>0</v>
      </c>
      <c r="AJ116" s="799">
        <f>IF(AJ$69=$F116+1,IF(Monthly!AF$4=TRUE,0,Monthly!AF$17),IF(AJ$69&gt;$F116+1,AI116*(1-IF(AJ$69-$F116&lt;=12,SUMIFS('Attrition Modeling'!$D:$D,'Attrition Modeling'!$B:$B,$E116,'Attrition Modeling'!$C:$C,AJ$68),VLOOKUP(AJ$69-$F116-1,$A$7:$C$161,2,FALSE)*VLOOKUP(AJ$1,'Attrition Modeling'!$L$15:$N$27,IF(AJ$2-$F49&lt;=24,2,3),FALSE))*(1+Projection!AL$16)*(1+IF(AJ181&gt;0,'Attrition Modeling'!$N$9,0))),0))</f>
        <v>0</v>
      </c>
      <c r="AK116" s="799">
        <f>IF(AK$69=$F116+1,IF(Monthly!AG$4=TRUE,0,Monthly!AG$17),IF(AK$69&gt;$F116+1,AJ116*(1-IF(AK$69-$F116&lt;=12,SUMIFS('Attrition Modeling'!$D:$D,'Attrition Modeling'!$B:$B,$E116,'Attrition Modeling'!$C:$C,AK$68),VLOOKUP(AK$69-$F116-1,$A$7:$C$161,2,FALSE)*VLOOKUP(AK$1,'Attrition Modeling'!$L$15:$N$27,IF(AK$2-$F49&lt;=24,2,3),FALSE))*(1+Projection!AM$16)*(1+IF(AK181&gt;0,'Attrition Modeling'!$N$9,0))),0))</f>
        <v>0</v>
      </c>
      <c r="AL116" s="799">
        <f>IF(AL$69=$F116+1,IF(Monthly!AH$4=TRUE,0,Monthly!AH$17),IF(AL$69&gt;$F116+1,AK116*(1-IF(AL$69-$F116&lt;=12,SUMIFS('Attrition Modeling'!$D:$D,'Attrition Modeling'!$B:$B,$E116,'Attrition Modeling'!$C:$C,AL$68),VLOOKUP(AL$69-$F116-1,$A$7:$C$161,2,FALSE)*VLOOKUP(AL$1,'Attrition Modeling'!$L$15:$N$27,IF(AL$2-$F49&lt;=24,2,3),FALSE))*(1+Projection!AN$16)*(1+IF(AL181&gt;0,'Attrition Modeling'!$N$9,0))),0))</f>
        <v>0</v>
      </c>
      <c r="AM116" s="799">
        <f>IF(AM$69=$F116+1,IF(Monthly!AI$4=TRUE,0,Monthly!AI$17),IF(AM$69&gt;$F116+1,AL116*(1-IF(AM$69-$F116&lt;=12,SUMIFS('Attrition Modeling'!$D:$D,'Attrition Modeling'!$B:$B,$E116,'Attrition Modeling'!$C:$C,AM$68),VLOOKUP(AM$69-$F116-1,$A$7:$C$161,2,FALSE)*VLOOKUP(AM$1,'Attrition Modeling'!$L$15:$N$27,IF(AM$2-$F49&lt;=24,2,3),FALSE))*(1+Projection!AO$16)*(1+IF(AM181&gt;0,'Attrition Modeling'!$N$9,0))),0))</f>
        <v>0</v>
      </c>
      <c r="AN116" s="799">
        <f>IF(AN$69=$F116+1,IF(Monthly!AJ$4=TRUE,0,Monthly!AJ$17),IF(AN$69&gt;$F116+1,AM116*(1-IF(AN$69-$F116&lt;=12,SUMIFS('Attrition Modeling'!$D:$D,'Attrition Modeling'!$B:$B,$E116,'Attrition Modeling'!$C:$C,AN$68),VLOOKUP(AN$69-$F116-1,$A$7:$C$161,2,FALSE)*VLOOKUP(AN$1,'Attrition Modeling'!$L$15:$N$27,IF(AN$2-$F49&lt;=24,2,3),FALSE))*(1+Projection!AP$16)*(1+IF(AN181&gt;0,'Attrition Modeling'!$N$9,0))),0))</f>
        <v>0</v>
      </c>
      <c r="AO116" s="799">
        <f>IF(AO$69=$F116+1,IF(Monthly!AK$4=TRUE,0,Monthly!AK$17),IF(AO$69&gt;$F116+1,AN116*(1-IF(AO$69-$F116&lt;=12,SUMIFS('Attrition Modeling'!$D:$D,'Attrition Modeling'!$B:$B,$E116,'Attrition Modeling'!$C:$C,AO$68),VLOOKUP(AO$69-$F116-1,$A$7:$C$161,2,FALSE)*VLOOKUP(AO$1,'Attrition Modeling'!$L$15:$N$27,IF(AO$2-$F49&lt;=24,2,3),FALSE))*(1+Projection!AQ$16)*(1+IF(AO181&gt;0,'Attrition Modeling'!$N$9,0))),0))</f>
        <v>0</v>
      </c>
      <c r="AP116" s="799">
        <f>IF(AP$69=$F116+1,IF(Monthly!AL$4=TRUE,0,Monthly!AL$17),IF(AP$69&gt;$F116+1,AO116*(1-IF(AP$69-$F116&lt;=12,SUMIFS('Attrition Modeling'!$D:$D,'Attrition Modeling'!$B:$B,$E116,'Attrition Modeling'!$C:$C,AP$68),VLOOKUP(AP$69-$F116-1,$A$7:$C$161,2,FALSE)*VLOOKUP(AP$1,'Attrition Modeling'!$L$15:$N$27,IF(AP$2-$F49&lt;=24,2,3),FALSE))*(1+Projection!AR$16)*(1+IF(AP181&gt;0,'Attrition Modeling'!$N$9,0))),0))</f>
        <v>0</v>
      </c>
      <c r="AQ116" s="799">
        <f>IF(AQ$69=$F116+1,IF(Monthly!AM$4=TRUE,0,Monthly!AM$17),IF(AQ$69&gt;$F116+1,AP116*(1-IF(AQ$69-$F116&lt;=12,SUMIFS('Attrition Modeling'!$D:$D,'Attrition Modeling'!$B:$B,$E116,'Attrition Modeling'!$C:$C,AQ$68),VLOOKUP(AQ$69-$F116-1,$A$7:$C$161,2,FALSE)*VLOOKUP(AQ$1,'Attrition Modeling'!$L$15:$N$27,IF(AQ$2-$F49&lt;=24,2,3),FALSE))*(1+Projection!AS$16)*(1+IF(AQ181&gt;0,'Attrition Modeling'!$N$9,0))),0))</f>
        <v>0</v>
      </c>
      <c r="AR116" s="799">
        <f>IF(AR$69=$F116+1,IF(Monthly!AN$4=TRUE,0,Monthly!AN$17),IF(AR$69&gt;$F116+1,AQ116*(1-IF(AR$69-$F116&lt;=12,SUMIFS('Attrition Modeling'!$D:$D,'Attrition Modeling'!$B:$B,$E116,'Attrition Modeling'!$C:$C,AR$68),VLOOKUP(AR$69-$F116-1,$A$7:$C$161,2,FALSE)*VLOOKUP(AR$1,'Attrition Modeling'!$L$15:$N$27,IF(AR$2-$F49&lt;=24,2,3),FALSE))*(1+Projection!AT$16)*(1+IF(AR181&gt;0,'Attrition Modeling'!$N$9,0))),0))</f>
        <v>0</v>
      </c>
      <c r="AS116" s="799">
        <f>IF(AS$69=$F116+1,IF(Monthly!AO$4=TRUE,0,Monthly!AO$17),IF(AS$69&gt;$F116+1,AR116*(1-IF(AS$69-$F116&lt;=12,SUMIFS('Attrition Modeling'!$D:$D,'Attrition Modeling'!$B:$B,$E116,'Attrition Modeling'!$C:$C,AS$68),VLOOKUP(AS$69-$F116-1,$A$7:$C$161,2,FALSE)*VLOOKUP(AS$1,'Attrition Modeling'!$L$15:$N$27,IF(AS$2-$F49&lt;=24,2,3),FALSE))*(1+Projection!AU$16)*(1+IF(AS181&gt;0,'Attrition Modeling'!$N$9,0))),0))</f>
        <v>0</v>
      </c>
      <c r="AT116" s="799">
        <f>IF(AT$69=$F116+1,IF(Monthly!AP$4=TRUE,0,Monthly!AP$17),IF(AT$69&gt;$F116+1,AS116*(1-IF(AT$69-$F116&lt;=12,SUMIFS('Attrition Modeling'!$D:$D,'Attrition Modeling'!$B:$B,$E116,'Attrition Modeling'!$C:$C,AT$68),VLOOKUP(AT$69-$F116-1,$A$7:$C$161,2,FALSE)*VLOOKUP(AT$1,'Attrition Modeling'!$L$15:$N$27,IF(AT$2-$F49&lt;=24,2,3),FALSE))*(1+Projection!AV$16)*(1+IF(AT181&gt;0,'Attrition Modeling'!$N$9,0))),0))</f>
        <v>0</v>
      </c>
      <c r="AU116" s="799">
        <f>IF(AU$69=$F116+1,IF(Monthly!AQ$4=TRUE,0,Monthly!AQ$17),IF(AU$69&gt;$F116+1,AT116*(1-IF(AU$69-$F116&lt;=12,SUMIFS('Attrition Modeling'!$D:$D,'Attrition Modeling'!$B:$B,$E116,'Attrition Modeling'!$C:$C,AU$68),VLOOKUP(AU$69-$F116-1,$A$7:$C$161,2,FALSE)*VLOOKUP(AU$1,'Attrition Modeling'!$L$15:$N$27,IF(AU$2-$F49&lt;=24,2,3),FALSE))*(1+Projection!AW$16)*(1+IF(AU181&gt;0,'Attrition Modeling'!$N$9,0))),0))</f>
        <v>0</v>
      </c>
      <c r="AV116" s="799">
        <f>IF(AV$69=$F116+1,IF(Monthly!AR$4=TRUE,0,Monthly!AR$17),IF(AV$69&gt;$F116+1,AU116*(1-IF(AV$69-$F116&lt;=12,SUMIFS('Attrition Modeling'!$D:$D,'Attrition Modeling'!$B:$B,$E116,'Attrition Modeling'!$C:$C,AV$68),VLOOKUP(AV$69-$F116-1,$A$7:$C$161,2,FALSE)*VLOOKUP(AV$1,'Attrition Modeling'!$L$15:$N$27,IF(AV$2-$F49&lt;=24,2,3),FALSE))*(1+Projection!AX$16)*(1+IF(AV181&gt;0,'Attrition Modeling'!$N$9,0))),0))</f>
        <v>0</v>
      </c>
      <c r="AW116" s="799">
        <f>IF(AW$69=$F116+1,IF(Monthly!AS$4=TRUE,0,Monthly!AS$17),IF(AW$69&gt;$F116+1,AV116*(1-IF(AW$69-$F116&lt;=12,SUMIFS('Attrition Modeling'!$D:$D,'Attrition Modeling'!$B:$B,$E116,'Attrition Modeling'!$C:$C,AW$68),VLOOKUP(AW$69-$F116-1,$A$7:$C$161,2,FALSE)*VLOOKUP(AW$1,'Attrition Modeling'!$L$15:$N$27,IF(AW$2-$F49&lt;=24,2,3),FALSE))*(1+Projection!AY$16)*(1+IF(AW181&gt;0,'Attrition Modeling'!$N$9,0))),0))</f>
        <v>0</v>
      </c>
      <c r="AX116" s="799">
        <f>IF(AX$69=$F116+1,IF(Monthly!AT$4=TRUE,0,Monthly!AT$17),IF(AX$69&gt;$F116+1,AW116*(1-IF(AX$69-$F116&lt;=12,SUMIFS('Attrition Modeling'!$D:$D,'Attrition Modeling'!$B:$B,$E116,'Attrition Modeling'!$C:$C,AX$68),VLOOKUP(AX$69-$F116-1,$A$7:$C$161,2,FALSE)*VLOOKUP(AX$1,'Attrition Modeling'!$L$15:$N$27,IF(AX$2-$F49&lt;=24,2,3),FALSE))*(1+Projection!AZ$16)*(1+IF(AX181&gt;0,'Attrition Modeling'!$N$9,0))),0))</f>
        <v>0</v>
      </c>
      <c r="AY116" s="799">
        <f>IF(AY$69=$F116+1,IF(Monthly!AU$4=TRUE,0,Monthly!AU$17),IF(AY$69&gt;$F116+1,AX116*(1-IF(AY$69-$F116&lt;=12,SUMIFS('Attrition Modeling'!$D:$D,'Attrition Modeling'!$B:$B,$E116,'Attrition Modeling'!$C:$C,AY$68),VLOOKUP(AY$69-$F116-1,$A$7:$C$161,2,FALSE)*VLOOKUP(AY$1,'Attrition Modeling'!$L$15:$N$27,IF(AY$2-$F49&lt;=24,2,3),FALSE))*(1+Projection!BA$16)*(1+IF(AY181&gt;0,'Attrition Modeling'!$N$9,0))),0))</f>
        <v>0</v>
      </c>
      <c r="AZ116" s="799">
        <f>IF(AZ$69=$F116+1,IF(Monthly!AV$4=TRUE,0,Monthly!AV$17),IF(AZ$69&gt;$F116+1,AY116*(1-IF(AZ$69-$F116&lt;=12,SUMIFS('Attrition Modeling'!$D:$D,'Attrition Modeling'!$B:$B,$E116,'Attrition Modeling'!$C:$C,AZ$68),VLOOKUP(AZ$69-$F116-1,$A$7:$C$161,2,FALSE)*VLOOKUP(AZ$1,'Attrition Modeling'!$L$15:$N$27,IF(AZ$2-$F49&lt;=24,2,3),FALSE))*(1+Projection!BB$16)*(1+IF(AZ181&gt;0,'Attrition Modeling'!$N$9,0))),0))</f>
        <v>0</v>
      </c>
      <c r="BA116" s="799">
        <f>IF(BA$69=$F116+1,IF(Monthly!AW$4=TRUE,0,Monthly!AW$17),IF(BA$69&gt;$F116+1,AZ116*(1-IF(BA$69-$F116&lt;=12,SUMIFS('Attrition Modeling'!$D:$D,'Attrition Modeling'!$B:$B,$E116,'Attrition Modeling'!$C:$C,BA$68),VLOOKUP(BA$69-$F116-1,$A$7:$C$161,2,FALSE)*VLOOKUP(BA$1,'Attrition Modeling'!$L$15:$N$27,IF(BA$2-$F49&lt;=24,2,3),FALSE))*(1+Projection!BC$16)*(1+IF(BA181&gt;0,'Attrition Modeling'!$N$9,0))),0))</f>
        <v>0</v>
      </c>
      <c r="BB116" s="799">
        <f>IF(BB$69=$F116+1,IF(Monthly!AX$4=TRUE,0,Monthly!AX$17),IF(BB$69&gt;$F116+1,BA116*(1-IF(BB$69-$F116&lt;=12,SUMIFS('Attrition Modeling'!$D:$D,'Attrition Modeling'!$B:$B,$E116,'Attrition Modeling'!$C:$C,BB$68),VLOOKUP(BB$69-$F116-1,$A$7:$C$161,2,FALSE)*VLOOKUP(BB$1,'Attrition Modeling'!$L$15:$N$27,IF(BB$2-$F49&lt;=24,2,3),FALSE))*(1+Projection!BD$16)*(1+IF(BB181&gt;0,'Attrition Modeling'!$N$9,0))),0))</f>
        <v>5037.1218650718074</v>
      </c>
      <c r="BC116" s="799">
        <f>IF(BC$69=$F116+1,IF(Monthly!AY$4=TRUE,0,Monthly!AY$17),IF(BC$69&gt;$F116+1,BB116*(1-IF(BC$69-$F116&lt;=12,SUMIFS('Attrition Modeling'!$D:$D,'Attrition Modeling'!$B:$B,$E116,'Attrition Modeling'!$C:$C,BC$68),VLOOKUP(BC$69-$F116-1,$A$7:$C$161,2,FALSE)*VLOOKUP(BC$1,'Attrition Modeling'!$L$15:$N$27,IF(BC$2-$F49&lt;=24,2,3),FALSE))*(1+Projection!BE$16)*(1+IF(BC181&gt;0,'Attrition Modeling'!$N$9,0))),0))</f>
        <v>4526.4861545610856</v>
      </c>
      <c r="BD116" s="799">
        <f>IF(BD$69=$F116+1,IF(Monthly!AZ$4=TRUE,0,Monthly!AZ$17),IF(BD$69&gt;$F116+1,BC116*(1-IF(BD$69-$F116&lt;=12,SUMIFS('Attrition Modeling'!$D:$D,'Attrition Modeling'!$B:$B,$E116,'Attrition Modeling'!$C:$C,BD$68),VLOOKUP(BD$69-$F116-1,$A$7:$C$161,2,FALSE)*VLOOKUP(BD$1,'Attrition Modeling'!$L$15:$N$27,IF(BD$2-$F49&lt;=24,2,3),FALSE))*(1+Projection!BF$16)*(1+IF(BD181&gt;0,'Attrition Modeling'!$N$9,0))),0))</f>
        <v>4168.352516401259</v>
      </c>
      <c r="BE116" s="799">
        <f>IF(BE$69=$F116+1,IF(Monthly!BA$4=TRUE,0,Monthly!BA$17),IF(BE$69&gt;$F116+1,BD116*(1-IF(BE$69-$F116&lt;=12,SUMIFS('Attrition Modeling'!$D:$D,'Attrition Modeling'!$B:$B,$E116,'Attrition Modeling'!$C:$C,BE$68),VLOOKUP(BE$69-$F116-1,$A$7:$C$161,2,FALSE)*VLOOKUP(BE$1,'Attrition Modeling'!$L$15:$N$27,IF(BE$2-$F49&lt;=24,2,3),FALSE))*(1+Projection!BG$16)*(1+IF(BE181&gt;0,'Attrition Modeling'!$N$9,0))),0))</f>
        <v>3833.2035519874948</v>
      </c>
      <c r="BF116" s="799">
        <f>IF(BF$69=$F116+1,IF(Monthly!BB$4=TRUE,0,Monthly!BB$17),IF(BF$69&gt;$F116+1,BE116*(1-IF(BF$69-$F116&lt;=12,SUMIFS('Attrition Modeling'!$D:$D,'Attrition Modeling'!$B:$B,$E116,'Attrition Modeling'!$C:$C,BF$68),VLOOKUP(BF$69-$F116-1,$A$7:$C$161,2,FALSE)*VLOOKUP(BF$1,'Attrition Modeling'!$L$15:$N$27,IF(BF$2-$F49&lt;=24,2,3),FALSE))*(1+Projection!BH$16)*(1+IF(BF181&gt;0,'Attrition Modeling'!$N$9,0))),0))</f>
        <v>3513.6578142286535</v>
      </c>
      <c r="BG116" s="799">
        <f>IF(BG$69=$F116+1,IF(Monthly!BC$4=TRUE,0,Monthly!BC$17),IF(BG$69&gt;$F116+1,BF116*(1-IF(BG$69-$F116&lt;=12,SUMIFS('Attrition Modeling'!$D:$D,'Attrition Modeling'!$B:$B,$E116,'Attrition Modeling'!$C:$C,BG$68),VLOOKUP(BG$69-$F116-1,$A$7:$C$161,2,FALSE)*VLOOKUP(BG$1,'Attrition Modeling'!$L$15:$N$27,IF(BG$2-$F49&lt;=24,2,3),FALSE))*(1+Projection!BI$16)*(1+IF(BG181&gt;0,'Attrition Modeling'!$N$9,0))),0))</f>
        <v>3134.9377569738181</v>
      </c>
      <c r="BH116" s="799">
        <f>IF(BH$69=$F116+1,IF(Monthly!BD$4=TRUE,0,Monthly!BD$17),IF(BH$69&gt;$F116+1,BG116*(1-IF(BH$69-$F116&lt;=12,SUMIFS('Attrition Modeling'!$D:$D,'Attrition Modeling'!$B:$B,$E116,'Attrition Modeling'!$C:$C,BH$68),VLOOKUP(BH$69-$F116-1,$A$7:$C$161,2,FALSE)*VLOOKUP(BH$1,'Attrition Modeling'!$L$15:$N$27,IF(BH$2-$F49&lt;=24,2,3),FALSE))*(1+Projection!BJ$16)*(1+IF(BH181&gt;0,'Attrition Modeling'!$N$9,0))),0))</f>
        <v>2891.8860953743929</v>
      </c>
      <c r="BI116" s="799">
        <f>IF(BI$69=$F116+1,IF(Monthly!BE$4=TRUE,0,Monthly!BE$17),IF(BI$69&gt;$F116+1,BH116*(1-IF(BI$69-$F116&lt;=12,SUMIFS('Attrition Modeling'!$D:$D,'Attrition Modeling'!$B:$B,$E116,'Attrition Modeling'!$C:$C,BI$68),VLOOKUP(BI$69-$F116-1,$A$7:$C$161,2,FALSE)*VLOOKUP(BI$1,'Attrition Modeling'!$L$15:$N$27,IF(BI$2-$F49&lt;=24,2,3),FALSE))*(1+Projection!BK$16)*(1+IF(BI181&gt;0,'Attrition Modeling'!$N$9,0))),0))</f>
        <v>2695.1546702448313</v>
      </c>
      <c r="BJ116" s="799">
        <f>IF(BJ$69=$F116+1,IF(Monthly!BF$4=TRUE,0,Monthly!BF$17),IF(BJ$69&gt;$F116+1,BI116*(1-IF(BJ$69-$F116&lt;=12,SUMIFS('Attrition Modeling'!$D:$D,'Attrition Modeling'!$B:$B,$E116,'Attrition Modeling'!$C:$C,BJ$68),VLOOKUP(BJ$69-$F116-1,$A$7:$C$161,2,FALSE)*VLOOKUP(BJ$1,'Attrition Modeling'!$L$15:$N$27,IF(BJ$2-$F49&lt;=24,2,3),FALSE))*(1+Projection!BL$16)*(1+IF(BJ181&gt;0,'Attrition Modeling'!$N$9,0))),0))</f>
        <v>2523.0954031623737</v>
      </c>
      <c r="BK116" s="799">
        <f>IF(BK$69=$F116+1,IF(Monthly!BG$4=TRUE,0,Monthly!BG$17),IF(BK$69&gt;$F116+1,BJ116*(1-IF(BK$69-$F116&lt;=12,SUMIFS('Attrition Modeling'!$D:$D,'Attrition Modeling'!$B:$B,$E116,'Attrition Modeling'!$C:$C,BK$68),VLOOKUP(BK$69-$F116-1,$A$7:$C$161,2,FALSE)*VLOOKUP(BK$1,'Attrition Modeling'!$L$15:$N$27,IF(BK$2-$F49&lt;=24,2,3),FALSE))*(1+Projection!BM$16)*(1+IF(BK181&gt;0,'Attrition Modeling'!$N$9,0))),0))</f>
        <v>2356.7192879466847</v>
      </c>
      <c r="BL116" s="799">
        <f>IF(BL$69=$F116+1,IF(Monthly!BH$4=TRUE,0,Monthly!BH$17),IF(BL$69&gt;$F116+1,BK116*(1-IF(BL$69-$F116&lt;=12,SUMIFS('Attrition Modeling'!$D:$D,'Attrition Modeling'!$B:$B,$E116,'Attrition Modeling'!$C:$C,BL$68),VLOOKUP(BL$69-$F116-1,$A$7:$C$161,2,FALSE)*VLOOKUP(BL$1,'Attrition Modeling'!$L$15:$N$27,IF(BL$2-$F49&lt;=24,2,3),FALSE))*(1+Projection!BN$16)*(1+IF(BL181&gt;0,'Attrition Modeling'!$N$9,0))),0))</f>
        <v>2204.8042435251191</v>
      </c>
      <c r="BM116" s="799">
        <f>IF(BM$69=$F116+1,IF(Monthly!BI$4=TRUE,0,Monthly!BI$17),IF(BM$69&gt;$F116+1,BL116*(1-IF(BM$69-$F116&lt;=12,SUMIFS('Attrition Modeling'!$D:$D,'Attrition Modeling'!$B:$B,$E116,'Attrition Modeling'!$C:$C,BM$68),VLOOKUP(BM$69-$F116-1,$A$7:$C$161,2,FALSE)*VLOOKUP(BM$1,'Attrition Modeling'!$L$15:$N$27,IF(BM$2-$F49&lt;=24,2,3),FALSE))*(1+Projection!BO$16)*(1+IF(BM181&gt;0,'Attrition Modeling'!$N$9,0))),0))</f>
        <v>2128.6232299576509</v>
      </c>
      <c r="BN116" s="799">
        <f>IF(BN$69=$F116+1,IF(Monthly!BJ$4=TRUE,0,Monthly!BJ$17),IF(BN$69&gt;$F116+1,BM116*(1-IF(BN$69-$F116&lt;=12,SUMIFS('Attrition Modeling'!$D:$D,'Attrition Modeling'!$B:$B,$E116,'Attrition Modeling'!$C:$C,BN$68),VLOOKUP(BN$69-$F116-1,$A$7:$C$161,2,FALSE)*VLOOKUP(BN$1,'Attrition Modeling'!$L$15:$N$27,IF(BN$2-$F49&lt;=24,2,3),FALSE))*(1+Projection!BP$16)*(1+IF(BN181&gt;0,'Attrition Modeling'!$N$9,0))),0))</f>
        <v>2012.9145558690739</v>
      </c>
      <c r="BO116" s="799">
        <f>IF(BO$69=$F116+1,IF(Monthly!BK$4=TRUE,0,Monthly!BK$17),IF(BO$69&gt;$F116+1,BN116*(1-IF(BO$69-$F116&lt;=12,SUMIFS('Attrition Modeling'!$D:$D,'Attrition Modeling'!$B:$B,$E116,'Attrition Modeling'!$C:$C,BO$68),VLOOKUP(BO$69-$F116-1,$A$7:$C$161,2,FALSE)*VLOOKUP(BO$1,'Attrition Modeling'!$L$15:$N$27,IF(BO$2-$F49&lt;=24,2,3),FALSE))*(1+Projection!BV$16)*(1+IF(BO181&gt;0,'Attrition Modeling'!$N$9,0))),0))</f>
        <v>1913.0078861529753</v>
      </c>
      <c r="BP116" s="799">
        <f>IF(BP$69=$F116+1,IF(Monthly!BL$4=TRUE,0,Monthly!BL$17),IF(BP$69&gt;$F116+1,BO116*(1-IF(BP$69-$F116&lt;=12,SUMIFS('Attrition Modeling'!$D:$D,'Attrition Modeling'!$B:$B,$E116,'Attrition Modeling'!$C:$C,BP$68),VLOOKUP(BP$69-$F116-1,$A$7:$C$161,2,FALSE)*VLOOKUP(BP$1,'Attrition Modeling'!$L$15:$N$27,IF(BP$2-$F49&lt;=24,2,3),FALSE))*(1+Projection!BW$16)*(1+IF(BP181&gt;0,'Attrition Modeling'!$N$9,0))),0))</f>
        <v>1822.6274851305498</v>
      </c>
      <c r="BQ116" s="799">
        <f>IF(BQ$69=$F116+1,IF(Monthly!BM$4=TRUE,0,Monthly!BM$17),IF(BQ$69&gt;$F116+1,BP116*(1-IF(BQ$69-$F116&lt;=12,SUMIFS('Attrition Modeling'!$D:$D,'Attrition Modeling'!$B:$B,$E116,'Attrition Modeling'!$C:$C,BQ$68),VLOOKUP(BQ$69-$F116-1,$A$7:$C$161,2,FALSE)*VLOOKUP(BQ$1,'Attrition Modeling'!$L$15:$N$27,IF(BQ$2-$F49&lt;=24,2,3),FALSE))*(1+Projection!BX$16)*(1+IF(BQ181&gt;0,'Attrition Modeling'!$N$9,0))),0))</f>
        <v>1747.7845001532201</v>
      </c>
      <c r="BR116" s="799">
        <f>IF(BR$69=$F116+1,IF(Monthly!BN$4=TRUE,0,Monthly!BN$17),IF(BR$69&gt;$F116+1,BQ116*(1-IF(BR$69-$F116&lt;=12,SUMIFS('Attrition Modeling'!$D:$D,'Attrition Modeling'!$B:$B,$E116,'Attrition Modeling'!$C:$C,BR$68),VLOOKUP(BR$69-$F116-1,$A$7:$C$161,2,FALSE)*VLOOKUP(BR$1,'Attrition Modeling'!$L$15:$N$27,IF(BR$2-$F49&lt;=24,2,3),FALSE))*(1+Projection!BY$16)*(1+IF(BR181&gt;0,'Attrition Modeling'!$N$9,0))),0))</f>
        <v>1671.9564186398336</v>
      </c>
      <c r="BS116" s="799">
        <f>IF(BS$69=$F116+1,IF(Monthly!BO$4=TRUE,0,Monthly!BO$17),IF(BS$69&gt;$F116+1,BR116*(1-IF(BS$69-$F116&lt;=12,SUMIFS('Attrition Modeling'!$D:$D,'Attrition Modeling'!$B:$B,$E116,'Attrition Modeling'!$C:$C,BS$68),VLOOKUP(BS$69-$F116-1,$A$7:$C$161,2,FALSE)*VLOOKUP(BS$1,'Attrition Modeling'!$L$15:$N$27,IF(BS$2-$F49&lt;=24,2,3),FALSE))*(1+Projection!BZ$16)*(1+IF(BS181&gt;0,'Attrition Modeling'!$N$9,0))),0))</f>
        <v>1588.4894135012223</v>
      </c>
      <c r="BT116" s="799">
        <f>IF(BT$69=$F116+1,IF(Monthly!#REF!=TRUE,0,Monthly!#REF!),IF(BT$69&gt;$F116+1,BS116*(1-IF(BT$69-$F116&lt;=12,SUMIFS('Attrition Modeling'!$D:$D,'Attrition Modeling'!$B:$B,$E116,'Attrition Modeling'!$C:$C,BT$68),VLOOKUP(BT$69-$F116-1,$A$7:$C$161,2,FALSE)*VLOOKUP(BT$1,'Attrition Modeling'!$L$15:$N$27,IF(BT$2-$F49&lt;=24,2,3),FALSE))*(1+Projection!CA$16)*(1+IF(BT181&gt;0,'Attrition Modeling'!$N$9,0))),0))</f>
        <v>1524.2861018638719</v>
      </c>
      <c r="BU116" s="799">
        <f>IF(BU$69=$F116+1,IF(Monthly!#REF!=TRUE,0,Monthly!#REF!),IF(BU$69&gt;$F116+1,BT116*(1-IF(BU$69-$F116&lt;=12,SUMIFS('Attrition Modeling'!$D:$D,'Attrition Modeling'!$B:$B,$E116,'Attrition Modeling'!$C:$C,BU$68),VLOOKUP(BU$69-$F116-1,$A$7:$C$161,2,FALSE)*VLOOKUP(BU$1,'Attrition Modeling'!$L$15:$N$27,IF(BU$2-$F49&lt;=24,2,3),FALSE))*(1+Projection!CB$16)*(1+IF(BU181&gt;0,'Attrition Modeling'!$N$9,0))),0))</f>
        <v>1457.9330775001124</v>
      </c>
    </row>
    <row r="117" spans="1:73" ht="14.25" customHeight="1" x14ac:dyDescent="0.2">
      <c r="A117" s="9">
        <v>110</v>
      </c>
      <c r="B117" s="25">
        <f>MAX('Attrition Modeling'!H114,$C$3)*(1-Summary!$C$20)</f>
        <v>0.02</v>
      </c>
      <c r="C117" s="24" t="e">
        <f t="shared" si="4"/>
        <v>#DIV/0!</v>
      </c>
      <c r="E117" s="11">
        <f t="shared" si="9"/>
        <v>11</v>
      </c>
      <c r="F117" s="11">
        <f t="shared" si="10"/>
        <v>47</v>
      </c>
      <c r="G117" s="799"/>
      <c r="H117" s="799">
        <f>IF(H$69=$F117+1,IF(Monthly!D$4=TRUE,0,Monthly!D$17),IF(H$69&gt;$F117+1,G117*(1-IF(H$69-$F117&lt;=12,SUMIFS('Attrition Modeling'!$D:$D,'Attrition Modeling'!$B:$B,$E117,'Attrition Modeling'!$C:$C,H$68),VLOOKUP(H$69-$F117-1,$A$7:$C$161,2,FALSE)*VLOOKUP(H$1,'Attrition Modeling'!$L$15:$N$27,IF(H$2-$F50&lt;=24,2,3),FALSE))*(1+Projection!J$16)*(1+IF(H182&gt;0,'Attrition Modeling'!$N$9,0))),0))</f>
        <v>0</v>
      </c>
      <c r="I117" s="799">
        <f>IF(I$69=$F117+1,IF(Monthly!E$4=TRUE,0,Monthly!E$17),IF(I$69&gt;$F117+1,H117*(1-IF(I$69-$F117&lt;=12,SUMIFS('Attrition Modeling'!$D:$D,'Attrition Modeling'!$B:$B,$E117,'Attrition Modeling'!$C:$C,I$68),VLOOKUP(I$69-$F117-1,$A$7:$C$161,2,FALSE)*VLOOKUP(I$1,'Attrition Modeling'!$L$15:$N$27,IF(I$2-$F50&lt;=24,2,3),FALSE))*(1+Projection!K$16)*(1+IF(I182&gt;0,'Attrition Modeling'!$N$9,0))),0))</f>
        <v>0</v>
      </c>
      <c r="J117" s="799">
        <f>IF(J$69=$F117+1,IF(Monthly!F$4=TRUE,0,Monthly!F$17),IF(J$69&gt;$F117+1,I117*(1-IF(J$69-$F117&lt;=12,SUMIFS('Attrition Modeling'!$D:$D,'Attrition Modeling'!$B:$B,$E117,'Attrition Modeling'!$C:$C,J$68),VLOOKUP(J$69-$F117-1,$A$7:$C$161,2,FALSE)*VLOOKUP(J$1,'Attrition Modeling'!$L$15:$N$27,IF(J$2-$F50&lt;=24,2,3),FALSE))*(1+Projection!L$16)*(1+IF(J182&gt;0,'Attrition Modeling'!$N$9,0))),0))</f>
        <v>0</v>
      </c>
      <c r="K117" s="799">
        <f>IF(K$69=$F117+1,IF(Monthly!G$4=TRUE,0,Monthly!G$17),IF(K$69&gt;$F117+1,J117*(1-IF(K$69-$F117&lt;=12,SUMIFS('Attrition Modeling'!$D:$D,'Attrition Modeling'!$B:$B,$E117,'Attrition Modeling'!$C:$C,K$68),VLOOKUP(K$69-$F117-1,$A$7:$C$161,2,FALSE)*VLOOKUP(K$1,'Attrition Modeling'!$L$15:$N$27,IF(K$2-$F50&lt;=24,2,3),FALSE))*(1+Projection!M$16)*(1+IF(K182&gt;0,'Attrition Modeling'!$N$9,0))),0))</f>
        <v>0</v>
      </c>
      <c r="L117" s="799">
        <f>IF(L$69=$F117+1,IF(Monthly!H$4=TRUE,0,Monthly!H$17),IF(L$69&gt;$F117+1,K117*(1-IF(L$69-$F117&lt;=12,SUMIFS('Attrition Modeling'!$D:$D,'Attrition Modeling'!$B:$B,$E117,'Attrition Modeling'!$C:$C,L$68),VLOOKUP(L$69-$F117-1,$A$7:$C$161,2,FALSE)*VLOOKUP(L$1,'Attrition Modeling'!$L$15:$N$27,IF(L$2-$F50&lt;=24,2,3),FALSE))*(1+Projection!N$16)*(1+IF(L182&gt;0,'Attrition Modeling'!$N$9,0))),0))</f>
        <v>0</v>
      </c>
      <c r="M117" s="799">
        <f>IF(M$69=$F117+1,IF(Monthly!I$4=TRUE,0,Monthly!I$17),IF(M$69&gt;$F117+1,L117*(1-IF(M$69-$F117&lt;=12,SUMIFS('Attrition Modeling'!$D:$D,'Attrition Modeling'!$B:$B,$E117,'Attrition Modeling'!$C:$C,M$68),VLOOKUP(M$69-$F117-1,$A$7:$C$161,2,FALSE)*VLOOKUP(M$1,'Attrition Modeling'!$L$15:$N$27,IF(M$2-$F50&lt;=24,2,3),FALSE))*(1+Projection!O$16)*(1+IF(M182&gt;0,'Attrition Modeling'!$N$9,0))),0))</f>
        <v>0</v>
      </c>
      <c r="N117" s="799">
        <f>IF(N$69=$F117+1,IF(Monthly!J$4=TRUE,0,Monthly!J$17),IF(N$69&gt;$F117+1,M117*(1-IF(N$69-$F117&lt;=12,SUMIFS('Attrition Modeling'!$D:$D,'Attrition Modeling'!$B:$B,$E117,'Attrition Modeling'!$C:$C,N$68),VLOOKUP(N$69-$F117-1,$A$7:$C$161,2,FALSE)*VLOOKUP(N$1,'Attrition Modeling'!$L$15:$N$27,IF(N$2-$F50&lt;=24,2,3),FALSE))*(1+Projection!P$16)*(1+IF(N182&gt;0,'Attrition Modeling'!$N$9,0))),0))</f>
        <v>0</v>
      </c>
      <c r="O117" s="799">
        <f>IF(O$69=$F117+1,IF(Monthly!K$4=TRUE,0,Monthly!K$17),IF(O$69&gt;$F117+1,N117*(1-IF(O$69-$F117&lt;=12,SUMIFS('Attrition Modeling'!$D:$D,'Attrition Modeling'!$B:$B,$E117,'Attrition Modeling'!$C:$C,O$68),VLOOKUP(O$69-$F117-1,$A$7:$C$161,2,FALSE)*VLOOKUP(O$1,'Attrition Modeling'!$L$15:$N$27,IF(O$2-$F50&lt;=24,2,3),FALSE))*(1+Projection!Q$16)*(1+IF(O182&gt;0,'Attrition Modeling'!$N$9,0))),0))</f>
        <v>0</v>
      </c>
      <c r="P117" s="799">
        <f>IF(P$69=$F117+1,IF(Monthly!L$4=TRUE,0,Monthly!L$17),IF(P$69&gt;$F117+1,O117*(1-IF(P$69-$F117&lt;=12,SUMIFS('Attrition Modeling'!$D:$D,'Attrition Modeling'!$B:$B,$E117,'Attrition Modeling'!$C:$C,P$68),VLOOKUP(P$69-$F117-1,$A$7:$C$161,2,FALSE)*VLOOKUP(P$1,'Attrition Modeling'!$L$15:$N$27,IF(P$2-$F50&lt;=24,2,3),FALSE))*(1+Projection!R$16)*(1+IF(P182&gt;0,'Attrition Modeling'!$N$9,0))),0))</f>
        <v>0</v>
      </c>
      <c r="Q117" s="799">
        <f>IF(Q$69=$F117+1,IF(Monthly!M$4=TRUE,0,Monthly!M$17),IF(Q$69&gt;$F117+1,P117*(1-IF(Q$69-$F117&lt;=12,SUMIFS('Attrition Modeling'!$D:$D,'Attrition Modeling'!$B:$B,$E117,'Attrition Modeling'!$C:$C,Q$68),VLOOKUP(Q$69-$F117-1,$A$7:$C$161,2,FALSE)*VLOOKUP(Q$1,'Attrition Modeling'!$L$15:$N$27,IF(Q$2-$F50&lt;=24,2,3),FALSE))*(1+Projection!S$16)*(1+IF(Q182&gt;0,'Attrition Modeling'!$N$9,0))),0))</f>
        <v>0</v>
      </c>
      <c r="R117" s="799">
        <f>IF(R$69=$F117+1,IF(Monthly!N$4=TRUE,0,Monthly!N$17),IF(R$69&gt;$F117+1,Q117*(1-IF(R$69-$F117&lt;=12,SUMIFS('Attrition Modeling'!$D:$D,'Attrition Modeling'!$B:$B,$E117,'Attrition Modeling'!$C:$C,R$68),VLOOKUP(R$69-$F117-1,$A$7:$C$161,2,FALSE)*VLOOKUP(R$1,'Attrition Modeling'!$L$15:$N$27,IF(R$2-$F50&lt;=24,2,3),FALSE))*(1+Projection!T$16)*(1+IF(R182&gt;0,'Attrition Modeling'!$N$9,0))),0))</f>
        <v>0</v>
      </c>
      <c r="S117" s="799">
        <f>IF(S$69=$F117+1,IF(Monthly!O$4=TRUE,0,Monthly!O$17),IF(S$69&gt;$F117+1,R117*(1-IF(S$69-$F117&lt;=12,SUMIFS('Attrition Modeling'!$D:$D,'Attrition Modeling'!$B:$B,$E117,'Attrition Modeling'!$C:$C,S$68),VLOOKUP(S$69-$F117-1,$A$7:$C$161,2,FALSE)*VLOOKUP(S$1,'Attrition Modeling'!$L$15:$N$27,IF(S$2-$F50&lt;=24,2,3),FALSE))*(1+Projection!U$16)*(1+IF(S182&gt;0,'Attrition Modeling'!$N$9,0))),0))</f>
        <v>0</v>
      </c>
      <c r="T117" s="799">
        <f>IF(T$69=$F117+1,IF(Monthly!P$4=TRUE,0,Monthly!P$17),IF(T$69&gt;$F117+1,S117*(1-IF(T$69-$F117&lt;=12,SUMIFS('Attrition Modeling'!$D:$D,'Attrition Modeling'!$B:$B,$E117,'Attrition Modeling'!$C:$C,T$68),VLOOKUP(T$69-$F117-1,$A$7:$C$161,2,FALSE)*VLOOKUP(T$1,'Attrition Modeling'!$L$15:$N$27,IF(T$2-$F50&lt;=24,2,3),FALSE))*(1+Projection!V$16)*(1+IF(T182&gt;0,'Attrition Modeling'!$N$9,0))),0))</f>
        <v>0</v>
      </c>
      <c r="U117" s="799">
        <f>IF(U$69=$F117+1,IF(Monthly!Q$4=TRUE,0,Monthly!Q$17),IF(U$69&gt;$F117+1,T117*(1-IF(U$69-$F117&lt;=12,SUMIFS('Attrition Modeling'!$D:$D,'Attrition Modeling'!$B:$B,$E117,'Attrition Modeling'!$C:$C,U$68),VLOOKUP(U$69-$F117-1,$A$7:$C$161,2,FALSE)*VLOOKUP(U$1,'Attrition Modeling'!$L$15:$N$27,IF(U$2-$F50&lt;=24,2,3),FALSE))*(1+Projection!W$16)*(1+IF(U182&gt;0,'Attrition Modeling'!$N$9,0))),0))</f>
        <v>0</v>
      </c>
      <c r="V117" s="799">
        <f>IF(V$69=$F117+1,IF(Monthly!R$4=TRUE,0,Monthly!R$17),IF(V$69&gt;$F117+1,U117*(1-IF(V$69-$F117&lt;=12,SUMIFS('Attrition Modeling'!$D:$D,'Attrition Modeling'!$B:$B,$E117,'Attrition Modeling'!$C:$C,V$68),VLOOKUP(V$69-$F117-1,$A$7:$C$161,2,FALSE)*VLOOKUP(V$1,'Attrition Modeling'!$L$15:$N$27,IF(V$2-$F50&lt;=24,2,3),FALSE))*(1+Projection!X$16)*(1+IF(V182&gt;0,'Attrition Modeling'!$N$9,0))),0))</f>
        <v>0</v>
      </c>
      <c r="W117" s="799">
        <f>IF(W$69=$F117+1,IF(Monthly!S$4=TRUE,0,Monthly!S$17),IF(W$69&gt;$F117+1,V117*(1-IF(W$69-$F117&lt;=12,SUMIFS('Attrition Modeling'!$D:$D,'Attrition Modeling'!$B:$B,$E117,'Attrition Modeling'!$C:$C,W$68),VLOOKUP(W$69-$F117-1,$A$7:$C$161,2,FALSE)*VLOOKUP(W$1,'Attrition Modeling'!$L$15:$N$27,IF(W$2-$F50&lt;=24,2,3),FALSE))*(1+Projection!Y$16)*(1+IF(W182&gt;0,'Attrition Modeling'!$N$9,0))),0))</f>
        <v>0</v>
      </c>
      <c r="X117" s="799">
        <f>IF(X$69=$F117+1,IF(Monthly!T$4=TRUE,0,Monthly!T$17),IF(X$69&gt;$F117+1,W117*(1-IF(X$69-$F117&lt;=12,SUMIFS('Attrition Modeling'!$D:$D,'Attrition Modeling'!$B:$B,$E117,'Attrition Modeling'!$C:$C,X$68),VLOOKUP(X$69-$F117-1,$A$7:$C$161,2,FALSE)*VLOOKUP(X$1,'Attrition Modeling'!$L$15:$N$27,IF(X$2-$F50&lt;=24,2,3),FALSE))*(1+Projection!Z$16)*(1+IF(X182&gt;0,'Attrition Modeling'!$N$9,0))),0))</f>
        <v>0</v>
      </c>
      <c r="Y117" s="799">
        <f>IF(Y$69=$F117+1,IF(Monthly!U$4=TRUE,0,Monthly!U$17),IF(Y$69&gt;$F117+1,X117*(1-IF(Y$69-$F117&lt;=12,SUMIFS('Attrition Modeling'!$D:$D,'Attrition Modeling'!$B:$B,$E117,'Attrition Modeling'!$C:$C,Y$68),VLOOKUP(Y$69-$F117-1,$A$7:$C$161,2,FALSE)*VLOOKUP(Y$1,'Attrition Modeling'!$L$15:$N$27,IF(Y$2-$F50&lt;=24,2,3),FALSE))*(1+Projection!AA$16)*(1+IF(Y182&gt;0,'Attrition Modeling'!$N$9,0))),0))</f>
        <v>0</v>
      </c>
      <c r="Z117" s="799">
        <f>IF(Z$69=$F117+1,IF(Monthly!V$4=TRUE,0,Monthly!V$17),IF(Z$69&gt;$F117+1,Y117*(1-IF(Z$69-$F117&lt;=12,SUMIFS('Attrition Modeling'!$D:$D,'Attrition Modeling'!$B:$B,$E117,'Attrition Modeling'!$C:$C,Z$68),VLOOKUP(Z$69-$F117-1,$A$7:$C$161,2,FALSE)*VLOOKUP(Z$1,'Attrition Modeling'!$L$15:$N$27,IF(Z$2-$F50&lt;=24,2,3),FALSE))*(1+Projection!AB$16)*(1+IF(Z182&gt;0,'Attrition Modeling'!$N$9,0))),0))</f>
        <v>0</v>
      </c>
      <c r="AA117" s="799">
        <f>IF(AA$69=$F117+1,IF(Monthly!W$4=TRUE,0,Monthly!W$17),IF(AA$69&gt;$F117+1,Z117*(1-IF(AA$69-$F117&lt;=12,SUMIFS('Attrition Modeling'!$D:$D,'Attrition Modeling'!$B:$B,$E117,'Attrition Modeling'!$C:$C,AA$68),VLOOKUP(AA$69-$F117-1,$A$7:$C$161,2,FALSE)*VLOOKUP(AA$1,'Attrition Modeling'!$L$15:$N$27,IF(AA$2-$F50&lt;=24,2,3),FALSE))*(1+Projection!AC$16)*(1+IF(AA182&gt;0,'Attrition Modeling'!$N$9,0))),0))</f>
        <v>0</v>
      </c>
      <c r="AB117" s="799">
        <f>IF(AB$69=$F117+1,IF(Monthly!X$4=TRUE,0,Monthly!X$17),IF(AB$69&gt;$F117+1,AA117*(1-IF(AB$69-$F117&lt;=12,SUMIFS('Attrition Modeling'!$D:$D,'Attrition Modeling'!$B:$B,$E117,'Attrition Modeling'!$C:$C,AB$68),VLOOKUP(AB$69-$F117-1,$A$7:$C$161,2,FALSE)*VLOOKUP(AB$1,'Attrition Modeling'!$L$15:$N$27,IF(AB$2-$F50&lt;=24,2,3),FALSE))*(1+Projection!AD$16)*(1+IF(AB182&gt;0,'Attrition Modeling'!$N$9,0))),0))</f>
        <v>0</v>
      </c>
      <c r="AC117" s="799">
        <f>IF(AC$69=$F117+1,IF(Monthly!Y$4=TRUE,0,Monthly!Y$17),IF(AC$69&gt;$F117+1,AB117*(1-IF(AC$69-$F117&lt;=12,SUMIFS('Attrition Modeling'!$D:$D,'Attrition Modeling'!$B:$B,$E117,'Attrition Modeling'!$C:$C,AC$68),VLOOKUP(AC$69-$F117-1,$A$7:$C$161,2,FALSE)*VLOOKUP(AC$1,'Attrition Modeling'!$L$15:$N$27,IF(AC$2-$F50&lt;=24,2,3),FALSE))*(1+Projection!AE$16)*(1+IF(AC182&gt;0,'Attrition Modeling'!$N$9,0))),0))</f>
        <v>0</v>
      </c>
      <c r="AD117" s="799">
        <f>IF(AD$69=$F117+1,IF(Monthly!Z$4=TRUE,0,Monthly!Z$17),IF(AD$69&gt;$F117+1,AC117*(1-IF(AD$69-$F117&lt;=12,SUMIFS('Attrition Modeling'!$D:$D,'Attrition Modeling'!$B:$B,$E117,'Attrition Modeling'!$C:$C,AD$68),VLOOKUP(AD$69-$F117-1,$A$7:$C$161,2,FALSE)*VLOOKUP(AD$1,'Attrition Modeling'!$L$15:$N$27,IF(AD$2-$F50&lt;=24,2,3),FALSE))*(1+Projection!AF$16)*(1+IF(AD182&gt;0,'Attrition Modeling'!$N$9,0))),0))</f>
        <v>0</v>
      </c>
      <c r="AE117" s="799">
        <f>IF(AE$69=$F117+1,IF(Monthly!AA$4=TRUE,0,Monthly!AA$17),IF(AE$69&gt;$F117+1,AD117*(1-IF(AE$69-$F117&lt;=12,SUMIFS('Attrition Modeling'!$D:$D,'Attrition Modeling'!$B:$B,$E117,'Attrition Modeling'!$C:$C,AE$68),VLOOKUP(AE$69-$F117-1,$A$7:$C$161,2,FALSE)*VLOOKUP(AE$1,'Attrition Modeling'!$L$15:$N$27,IF(AE$2-$F50&lt;=24,2,3),FALSE))*(1+Projection!AG$16)*(1+IF(AE182&gt;0,'Attrition Modeling'!$N$9,0))),0))</f>
        <v>0</v>
      </c>
      <c r="AF117" s="799">
        <f>IF(AF$69=$F117+1,IF(Monthly!AB$4=TRUE,0,Monthly!AB$17),IF(AF$69&gt;$F117+1,AE117*(1-IF(AF$69-$F117&lt;=12,SUMIFS('Attrition Modeling'!$D:$D,'Attrition Modeling'!$B:$B,$E117,'Attrition Modeling'!$C:$C,AF$68),VLOOKUP(AF$69-$F117-1,$A$7:$C$161,2,FALSE)*VLOOKUP(AF$1,'Attrition Modeling'!$L$15:$N$27,IF(AF$2-$F50&lt;=24,2,3),FALSE))*(1+Projection!AH$16)*(1+IF(AF182&gt;0,'Attrition Modeling'!$N$9,0))),0))</f>
        <v>0</v>
      </c>
      <c r="AG117" s="799">
        <f>IF(AG$69=$F117+1,IF(Monthly!AC$4=TRUE,0,Monthly!AC$17),IF(AG$69&gt;$F117+1,AF117*(1-IF(AG$69-$F117&lt;=12,SUMIFS('Attrition Modeling'!$D:$D,'Attrition Modeling'!$B:$B,$E117,'Attrition Modeling'!$C:$C,AG$68),VLOOKUP(AG$69-$F117-1,$A$7:$C$161,2,FALSE)*VLOOKUP(AG$1,'Attrition Modeling'!$L$15:$N$27,IF(AG$2-$F50&lt;=24,2,3),FALSE))*(1+Projection!AI$16)*(1+IF(AG182&gt;0,'Attrition Modeling'!$N$9,0))),0))</f>
        <v>0</v>
      </c>
      <c r="AH117" s="799">
        <f>IF(AH$69=$F117+1,IF(Monthly!AD$4=TRUE,0,Monthly!AD$17),IF(AH$69&gt;$F117+1,AG117*(1-IF(AH$69-$F117&lt;=12,SUMIFS('Attrition Modeling'!$D:$D,'Attrition Modeling'!$B:$B,$E117,'Attrition Modeling'!$C:$C,AH$68),VLOOKUP(AH$69-$F117-1,$A$7:$C$161,2,FALSE)*VLOOKUP(AH$1,'Attrition Modeling'!$L$15:$N$27,IF(AH$2-$F50&lt;=24,2,3),FALSE))*(1+Projection!AJ$16)*(1+IF(AH182&gt;0,'Attrition Modeling'!$N$9,0))),0))</f>
        <v>0</v>
      </c>
      <c r="AI117" s="799">
        <f>IF(AI$69=$F117+1,IF(Monthly!AE$4=TRUE,0,Monthly!AE$17),IF(AI$69&gt;$F117+1,AH117*(1-IF(AI$69-$F117&lt;=12,SUMIFS('Attrition Modeling'!$D:$D,'Attrition Modeling'!$B:$B,$E117,'Attrition Modeling'!$C:$C,AI$68),VLOOKUP(AI$69-$F117-1,$A$7:$C$161,2,FALSE)*VLOOKUP(AI$1,'Attrition Modeling'!$L$15:$N$27,IF(AI$2-$F50&lt;=24,2,3),FALSE))*(1+Projection!AK$16)*(1+IF(AI182&gt;0,'Attrition Modeling'!$N$9,0))),0))</f>
        <v>0</v>
      </c>
      <c r="AJ117" s="799">
        <f>IF(AJ$69=$F117+1,IF(Monthly!AF$4=TRUE,0,Monthly!AF$17),IF(AJ$69&gt;$F117+1,AI117*(1-IF(AJ$69-$F117&lt;=12,SUMIFS('Attrition Modeling'!$D:$D,'Attrition Modeling'!$B:$B,$E117,'Attrition Modeling'!$C:$C,AJ$68),VLOOKUP(AJ$69-$F117-1,$A$7:$C$161,2,FALSE)*VLOOKUP(AJ$1,'Attrition Modeling'!$L$15:$N$27,IF(AJ$2-$F50&lt;=24,2,3),FALSE))*(1+Projection!AL$16)*(1+IF(AJ182&gt;0,'Attrition Modeling'!$N$9,0))),0))</f>
        <v>0</v>
      </c>
      <c r="AK117" s="799">
        <f>IF(AK$69=$F117+1,IF(Monthly!AG$4=TRUE,0,Monthly!AG$17),IF(AK$69&gt;$F117+1,AJ117*(1-IF(AK$69-$F117&lt;=12,SUMIFS('Attrition Modeling'!$D:$D,'Attrition Modeling'!$B:$B,$E117,'Attrition Modeling'!$C:$C,AK$68),VLOOKUP(AK$69-$F117-1,$A$7:$C$161,2,FALSE)*VLOOKUP(AK$1,'Attrition Modeling'!$L$15:$N$27,IF(AK$2-$F50&lt;=24,2,3),FALSE))*(1+Projection!AM$16)*(1+IF(AK182&gt;0,'Attrition Modeling'!$N$9,0))),0))</f>
        <v>0</v>
      </c>
      <c r="AL117" s="799">
        <f>IF(AL$69=$F117+1,IF(Monthly!AH$4=TRUE,0,Monthly!AH$17),IF(AL$69&gt;$F117+1,AK117*(1-IF(AL$69-$F117&lt;=12,SUMIFS('Attrition Modeling'!$D:$D,'Attrition Modeling'!$B:$B,$E117,'Attrition Modeling'!$C:$C,AL$68),VLOOKUP(AL$69-$F117-1,$A$7:$C$161,2,FALSE)*VLOOKUP(AL$1,'Attrition Modeling'!$L$15:$N$27,IF(AL$2-$F50&lt;=24,2,3),FALSE))*(1+Projection!AN$16)*(1+IF(AL182&gt;0,'Attrition Modeling'!$N$9,0))),0))</f>
        <v>0</v>
      </c>
      <c r="AM117" s="799">
        <f>IF(AM$69=$F117+1,IF(Monthly!AI$4=TRUE,0,Monthly!AI$17),IF(AM$69&gt;$F117+1,AL117*(1-IF(AM$69-$F117&lt;=12,SUMIFS('Attrition Modeling'!$D:$D,'Attrition Modeling'!$B:$B,$E117,'Attrition Modeling'!$C:$C,AM$68),VLOOKUP(AM$69-$F117-1,$A$7:$C$161,2,FALSE)*VLOOKUP(AM$1,'Attrition Modeling'!$L$15:$N$27,IF(AM$2-$F50&lt;=24,2,3),FALSE))*(1+Projection!AO$16)*(1+IF(AM182&gt;0,'Attrition Modeling'!$N$9,0))),0))</f>
        <v>0</v>
      </c>
      <c r="AN117" s="799">
        <f>IF(AN$69=$F117+1,IF(Monthly!AJ$4=TRUE,0,Monthly!AJ$17),IF(AN$69&gt;$F117+1,AM117*(1-IF(AN$69-$F117&lt;=12,SUMIFS('Attrition Modeling'!$D:$D,'Attrition Modeling'!$B:$B,$E117,'Attrition Modeling'!$C:$C,AN$68),VLOOKUP(AN$69-$F117-1,$A$7:$C$161,2,FALSE)*VLOOKUP(AN$1,'Attrition Modeling'!$L$15:$N$27,IF(AN$2-$F50&lt;=24,2,3),FALSE))*(1+Projection!AP$16)*(1+IF(AN182&gt;0,'Attrition Modeling'!$N$9,0))),0))</f>
        <v>0</v>
      </c>
      <c r="AO117" s="799">
        <f>IF(AO$69=$F117+1,IF(Monthly!AK$4=TRUE,0,Monthly!AK$17),IF(AO$69&gt;$F117+1,AN117*(1-IF(AO$69-$F117&lt;=12,SUMIFS('Attrition Modeling'!$D:$D,'Attrition Modeling'!$B:$B,$E117,'Attrition Modeling'!$C:$C,AO$68),VLOOKUP(AO$69-$F117-1,$A$7:$C$161,2,FALSE)*VLOOKUP(AO$1,'Attrition Modeling'!$L$15:$N$27,IF(AO$2-$F50&lt;=24,2,3),FALSE))*(1+Projection!AQ$16)*(1+IF(AO182&gt;0,'Attrition Modeling'!$N$9,0))),0))</f>
        <v>0</v>
      </c>
      <c r="AP117" s="799">
        <f>IF(AP$69=$F117+1,IF(Monthly!AL$4=TRUE,0,Monthly!AL$17),IF(AP$69&gt;$F117+1,AO117*(1-IF(AP$69-$F117&lt;=12,SUMIFS('Attrition Modeling'!$D:$D,'Attrition Modeling'!$B:$B,$E117,'Attrition Modeling'!$C:$C,AP$68),VLOOKUP(AP$69-$F117-1,$A$7:$C$161,2,FALSE)*VLOOKUP(AP$1,'Attrition Modeling'!$L$15:$N$27,IF(AP$2-$F50&lt;=24,2,3),FALSE))*(1+Projection!AR$16)*(1+IF(AP182&gt;0,'Attrition Modeling'!$N$9,0))),0))</f>
        <v>0</v>
      </c>
      <c r="AQ117" s="799">
        <f>IF(AQ$69=$F117+1,IF(Monthly!AM$4=TRUE,0,Monthly!AM$17),IF(AQ$69&gt;$F117+1,AP117*(1-IF(AQ$69-$F117&lt;=12,SUMIFS('Attrition Modeling'!$D:$D,'Attrition Modeling'!$B:$B,$E117,'Attrition Modeling'!$C:$C,AQ$68),VLOOKUP(AQ$69-$F117-1,$A$7:$C$161,2,FALSE)*VLOOKUP(AQ$1,'Attrition Modeling'!$L$15:$N$27,IF(AQ$2-$F50&lt;=24,2,3),FALSE))*(1+Projection!AS$16)*(1+IF(AQ182&gt;0,'Attrition Modeling'!$N$9,0))),0))</f>
        <v>0</v>
      </c>
      <c r="AR117" s="799">
        <f>IF(AR$69=$F117+1,IF(Monthly!AN$4=TRUE,0,Monthly!AN$17),IF(AR$69&gt;$F117+1,AQ117*(1-IF(AR$69-$F117&lt;=12,SUMIFS('Attrition Modeling'!$D:$D,'Attrition Modeling'!$B:$B,$E117,'Attrition Modeling'!$C:$C,AR$68),VLOOKUP(AR$69-$F117-1,$A$7:$C$161,2,FALSE)*VLOOKUP(AR$1,'Attrition Modeling'!$L$15:$N$27,IF(AR$2-$F50&lt;=24,2,3),FALSE))*(1+Projection!AT$16)*(1+IF(AR182&gt;0,'Attrition Modeling'!$N$9,0))),0))</f>
        <v>0</v>
      </c>
      <c r="AS117" s="799">
        <f>IF(AS$69=$F117+1,IF(Monthly!AO$4=TRUE,0,Monthly!AO$17),IF(AS$69&gt;$F117+1,AR117*(1-IF(AS$69-$F117&lt;=12,SUMIFS('Attrition Modeling'!$D:$D,'Attrition Modeling'!$B:$B,$E117,'Attrition Modeling'!$C:$C,AS$68),VLOOKUP(AS$69-$F117-1,$A$7:$C$161,2,FALSE)*VLOOKUP(AS$1,'Attrition Modeling'!$L$15:$N$27,IF(AS$2-$F50&lt;=24,2,3),FALSE))*(1+Projection!AU$16)*(1+IF(AS182&gt;0,'Attrition Modeling'!$N$9,0))),0))</f>
        <v>0</v>
      </c>
      <c r="AT117" s="799">
        <f>IF(AT$69=$F117+1,IF(Monthly!AP$4=TRUE,0,Monthly!AP$17),IF(AT$69&gt;$F117+1,AS117*(1-IF(AT$69-$F117&lt;=12,SUMIFS('Attrition Modeling'!$D:$D,'Attrition Modeling'!$B:$B,$E117,'Attrition Modeling'!$C:$C,AT$68),VLOOKUP(AT$69-$F117-1,$A$7:$C$161,2,FALSE)*VLOOKUP(AT$1,'Attrition Modeling'!$L$15:$N$27,IF(AT$2-$F50&lt;=24,2,3),FALSE))*(1+Projection!AV$16)*(1+IF(AT182&gt;0,'Attrition Modeling'!$N$9,0))),0))</f>
        <v>0</v>
      </c>
      <c r="AU117" s="799">
        <f>IF(AU$69=$F117+1,IF(Monthly!AQ$4=TRUE,0,Monthly!AQ$17),IF(AU$69&gt;$F117+1,AT117*(1-IF(AU$69-$F117&lt;=12,SUMIFS('Attrition Modeling'!$D:$D,'Attrition Modeling'!$B:$B,$E117,'Attrition Modeling'!$C:$C,AU$68),VLOOKUP(AU$69-$F117-1,$A$7:$C$161,2,FALSE)*VLOOKUP(AU$1,'Attrition Modeling'!$L$15:$N$27,IF(AU$2-$F50&lt;=24,2,3),FALSE))*(1+Projection!AW$16)*(1+IF(AU182&gt;0,'Attrition Modeling'!$N$9,0))),0))</f>
        <v>0</v>
      </c>
      <c r="AV117" s="799">
        <f>IF(AV$69=$F117+1,IF(Monthly!AR$4=TRUE,0,Monthly!AR$17),IF(AV$69&gt;$F117+1,AU117*(1-IF(AV$69-$F117&lt;=12,SUMIFS('Attrition Modeling'!$D:$D,'Attrition Modeling'!$B:$B,$E117,'Attrition Modeling'!$C:$C,AV$68),VLOOKUP(AV$69-$F117-1,$A$7:$C$161,2,FALSE)*VLOOKUP(AV$1,'Attrition Modeling'!$L$15:$N$27,IF(AV$2-$F50&lt;=24,2,3),FALSE))*(1+Projection!AX$16)*(1+IF(AV182&gt;0,'Attrition Modeling'!$N$9,0))),0))</f>
        <v>0</v>
      </c>
      <c r="AW117" s="799">
        <f>IF(AW$69=$F117+1,IF(Monthly!AS$4=TRUE,0,Monthly!AS$17),IF(AW$69&gt;$F117+1,AV117*(1-IF(AW$69-$F117&lt;=12,SUMIFS('Attrition Modeling'!$D:$D,'Attrition Modeling'!$B:$B,$E117,'Attrition Modeling'!$C:$C,AW$68),VLOOKUP(AW$69-$F117-1,$A$7:$C$161,2,FALSE)*VLOOKUP(AW$1,'Attrition Modeling'!$L$15:$N$27,IF(AW$2-$F50&lt;=24,2,3),FALSE))*(1+Projection!AY$16)*(1+IF(AW182&gt;0,'Attrition Modeling'!$N$9,0))),0))</f>
        <v>0</v>
      </c>
      <c r="AX117" s="799">
        <f>IF(AX$69=$F117+1,IF(Monthly!AT$4=TRUE,0,Monthly!AT$17),IF(AX$69&gt;$F117+1,AW117*(1-IF(AX$69-$F117&lt;=12,SUMIFS('Attrition Modeling'!$D:$D,'Attrition Modeling'!$B:$B,$E117,'Attrition Modeling'!$C:$C,AX$68),VLOOKUP(AX$69-$F117-1,$A$7:$C$161,2,FALSE)*VLOOKUP(AX$1,'Attrition Modeling'!$L$15:$N$27,IF(AX$2-$F50&lt;=24,2,3),FALSE))*(1+Projection!AZ$16)*(1+IF(AX182&gt;0,'Attrition Modeling'!$N$9,0))),0))</f>
        <v>0</v>
      </c>
      <c r="AY117" s="799">
        <f>IF(AY$69=$F117+1,IF(Monthly!AU$4=TRUE,0,Monthly!AU$17),IF(AY$69&gt;$F117+1,AX117*(1-IF(AY$69-$F117&lt;=12,SUMIFS('Attrition Modeling'!$D:$D,'Attrition Modeling'!$B:$B,$E117,'Attrition Modeling'!$C:$C,AY$68),VLOOKUP(AY$69-$F117-1,$A$7:$C$161,2,FALSE)*VLOOKUP(AY$1,'Attrition Modeling'!$L$15:$N$27,IF(AY$2-$F50&lt;=24,2,3),FALSE))*(1+Projection!BA$16)*(1+IF(AY182&gt;0,'Attrition Modeling'!$N$9,0))),0))</f>
        <v>0</v>
      </c>
      <c r="AZ117" s="799">
        <f>IF(AZ$69=$F117+1,IF(Monthly!AV$4=TRUE,0,Monthly!AV$17),IF(AZ$69&gt;$F117+1,AY117*(1-IF(AZ$69-$F117&lt;=12,SUMIFS('Attrition Modeling'!$D:$D,'Attrition Modeling'!$B:$B,$E117,'Attrition Modeling'!$C:$C,AZ$68),VLOOKUP(AZ$69-$F117-1,$A$7:$C$161,2,FALSE)*VLOOKUP(AZ$1,'Attrition Modeling'!$L$15:$N$27,IF(AZ$2-$F50&lt;=24,2,3),FALSE))*(1+Projection!BB$16)*(1+IF(AZ182&gt;0,'Attrition Modeling'!$N$9,0))),0))</f>
        <v>0</v>
      </c>
      <c r="BA117" s="799">
        <f>IF(BA$69=$F117+1,IF(Monthly!AW$4=TRUE,0,Monthly!AW$17),IF(BA$69&gt;$F117+1,AZ117*(1-IF(BA$69-$F117&lt;=12,SUMIFS('Attrition Modeling'!$D:$D,'Attrition Modeling'!$B:$B,$E117,'Attrition Modeling'!$C:$C,BA$68),VLOOKUP(BA$69-$F117-1,$A$7:$C$161,2,FALSE)*VLOOKUP(BA$1,'Attrition Modeling'!$L$15:$N$27,IF(BA$2-$F50&lt;=24,2,3),FALSE))*(1+Projection!BC$16)*(1+IF(BA182&gt;0,'Attrition Modeling'!$N$9,0))),0))</f>
        <v>0</v>
      </c>
      <c r="BB117" s="799">
        <f>IF(BB$69=$F117+1,IF(Monthly!AX$4=TRUE,0,Monthly!AX$17),IF(BB$69&gt;$F117+1,BA117*(1-IF(BB$69-$F117&lt;=12,SUMIFS('Attrition Modeling'!$D:$D,'Attrition Modeling'!$B:$B,$E117,'Attrition Modeling'!$C:$C,BB$68),VLOOKUP(BB$69-$F117-1,$A$7:$C$161,2,FALSE)*VLOOKUP(BB$1,'Attrition Modeling'!$L$15:$N$27,IF(BB$2-$F50&lt;=24,2,3),FALSE))*(1+Projection!BD$16)*(1+IF(BB182&gt;0,'Attrition Modeling'!$N$9,0))),0))</f>
        <v>0</v>
      </c>
      <c r="BC117" s="799">
        <f>IF(BC$69=$F117+1,IF(Monthly!AY$4=TRUE,0,Monthly!AY$17),IF(BC$69&gt;$F117+1,BB117*(1-IF(BC$69-$F117&lt;=12,SUMIFS('Attrition Modeling'!$D:$D,'Attrition Modeling'!$B:$B,$E117,'Attrition Modeling'!$C:$C,BC$68),VLOOKUP(BC$69-$F117-1,$A$7:$C$161,2,FALSE)*VLOOKUP(BC$1,'Attrition Modeling'!$L$15:$N$27,IF(BC$2-$F50&lt;=24,2,3),FALSE))*(1+Projection!BE$16)*(1+IF(BC182&gt;0,'Attrition Modeling'!$N$9,0))),0))</f>
        <v>4830.8124164826004</v>
      </c>
      <c r="BD117" s="799">
        <f>IF(BD$69=$F117+1,IF(Monthly!AZ$4=TRUE,0,Monthly!AZ$17),IF(BD$69&gt;$F117+1,BC117*(1-IF(BD$69-$F117&lt;=12,SUMIFS('Attrition Modeling'!$D:$D,'Attrition Modeling'!$B:$B,$E117,'Attrition Modeling'!$C:$C,BD$68),VLOOKUP(BD$69-$F117-1,$A$7:$C$161,2,FALSE)*VLOOKUP(BD$1,'Attrition Modeling'!$L$15:$N$27,IF(BD$2-$F50&lt;=24,2,3),FALSE))*(1+Projection!BF$16)*(1+IF(BD182&gt;0,'Attrition Modeling'!$N$9,0))),0))</f>
        <v>4392.1997692905461</v>
      </c>
      <c r="BE117" s="799">
        <f>IF(BE$69=$F117+1,IF(Monthly!BA$4=TRUE,0,Monthly!BA$17),IF(BE$69&gt;$F117+1,BD117*(1-IF(BE$69-$F117&lt;=12,SUMIFS('Attrition Modeling'!$D:$D,'Attrition Modeling'!$B:$B,$E117,'Attrition Modeling'!$C:$C,BE$68),VLOOKUP(BE$69-$F117-1,$A$7:$C$161,2,FALSE)*VLOOKUP(BE$1,'Attrition Modeling'!$L$15:$N$27,IF(BE$2-$F50&lt;=24,2,3),FALSE))*(1+Projection!BG$16)*(1+IF(BE182&gt;0,'Attrition Modeling'!$N$9,0))),0))</f>
        <v>4051.7218016588613</v>
      </c>
      <c r="BF117" s="799">
        <f>IF(BF$69=$F117+1,IF(Monthly!BB$4=TRUE,0,Monthly!BB$17),IF(BF$69&gt;$F117+1,BE117*(1-IF(BF$69-$F117&lt;=12,SUMIFS('Attrition Modeling'!$D:$D,'Attrition Modeling'!$B:$B,$E117,'Attrition Modeling'!$C:$C,BF$68),VLOOKUP(BF$69-$F117-1,$A$7:$C$161,2,FALSE)*VLOOKUP(BF$1,'Attrition Modeling'!$L$15:$N$27,IF(BF$2-$F50&lt;=24,2,3),FALSE))*(1+Projection!BH$16)*(1+IF(BF182&gt;0,'Attrition Modeling'!$N$9,0))),0))</f>
        <v>3690.917433840988</v>
      </c>
      <c r="BG117" s="799">
        <f>IF(BG$69=$F117+1,IF(Monthly!BC$4=TRUE,0,Monthly!BC$17),IF(BG$69&gt;$F117+1,BF117*(1-IF(BG$69-$F117&lt;=12,SUMIFS('Attrition Modeling'!$D:$D,'Attrition Modeling'!$B:$B,$E117,'Attrition Modeling'!$C:$C,BG$68),VLOOKUP(BG$69-$F117-1,$A$7:$C$161,2,FALSE)*VLOOKUP(BG$1,'Attrition Modeling'!$L$15:$N$27,IF(BG$2-$F50&lt;=24,2,3),FALSE))*(1+Projection!BI$16)*(1+IF(BG182&gt;0,'Attrition Modeling'!$N$9,0))),0))</f>
        <v>3400.4082384481367</v>
      </c>
      <c r="BH117" s="799">
        <f>IF(BH$69=$F117+1,IF(Monthly!BD$4=TRUE,0,Monthly!BD$17),IF(BH$69&gt;$F117+1,BG117*(1-IF(BH$69-$F117&lt;=12,SUMIFS('Attrition Modeling'!$D:$D,'Attrition Modeling'!$B:$B,$E117,'Attrition Modeling'!$C:$C,BH$68),VLOOKUP(BH$69-$F117-1,$A$7:$C$161,2,FALSE)*VLOOKUP(BH$1,'Attrition Modeling'!$L$15:$N$27,IF(BH$2-$F50&lt;=24,2,3),FALSE))*(1+Projection!BJ$16)*(1+IF(BH182&gt;0,'Attrition Modeling'!$N$9,0))),0))</f>
        <v>3059.6921887385979</v>
      </c>
      <c r="BI117" s="799">
        <f>IF(BI$69=$F117+1,IF(Monthly!BE$4=TRUE,0,Monthly!BE$17),IF(BI$69&gt;$F117+1,BH117*(1-IF(BI$69-$F117&lt;=12,SUMIFS('Attrition Modeling'!$D:$D,'Attrition Modeling'!$B:$B,$E117,'Attrition Modeling'!$C:$C,BI$68),VLOOKUP(BI$69-$F117-1,$A$7:$C$161,2,FALSE)*VLOOKUP(BI$1,'Attrition Modeling'!$L$15:$N$27,IF(BI$2-$F50&lt;=24,2,3),FALSE))*(1+Projection!BK$16)*(1+IF(BI182&gt;0,'Attrition Modeling'!$N$9,0))),0))</f>
        <v>2842.8949143856325</v>
      </c>
      <c r="BJ117" s="799">
        <f>IF(BJ$69=$F117+1,IF(Monthly!BF$4=TRUE,0,Monthly!BF$17),IF(BJ$69&gt;$F117+1,BI117*(1-IF(BJ$69-$F117&lt;=12,SUMIFS('Attrition Modeling'!$D:$D,'Attrition Modeling'!$B:$B,$E117,'Attrition Modeling'!$C:$C,BJ$68),VLOOKUP(BJ$69-$F117-1,$A$7:$C$161,2,FALSE)*VLOOKUP(BJ$1,'Attrition Modeling'!$L$15:$N$27,IF(BJ$2-$F50&lt;=24,2,3),FALSE))*(1+Projection!BL$16)*(1+IF(BJ182&gt;0,'Attrition Modeling'!$N$9,0))),0))</f>
        <v>2647.1763541547875</v>
      </c>
      <c r="BK117" s="799">
        <f>IF(BK$69=$F117+1,IF(Monthly!BG$4=TRUE,0,Monthly!BG$17),IF(BK$69&gt;$F117+1,BJ117*(1-IF(BK$69-$F117&lt;=12,SUMIFS('Attrition Modeling'!$D:$D,'Attrition Modeling'!$B:$B,$E117,'Attrition Modeling'!$C:$C,BK$68),VLOOKUP(BK$69-$F117-1,$A$7:$C$161,2,FALSE)*VLOOKUP(BK$1,'Attrition Modeling'!$L$15:$N$27,IF(BK$2-$F50&lt;=24,2,3),FALSE))*(1+Projection!BM$16)*(1+IF(BK182&gt;0,'Attrition Modeling'!$N$9,0))),0))</f>
        <v>2467.0420652884054</v>
      </c>
      <c r="BL117" s="799">
        <f>IF(BL$69=$F117+1,IF(Monthly!BH$4=TRUE,0,Monthly!BH$17),IF(BL$69&gt;$F117+1,BK117*(1-IF(BL$69-$F117&lt;=12,SUMIFS('Attrition Modeling'!$D:$D,'Attrition Modeling'!$B:$B,$E117,'Attrition Modeling'!$C:$C,BL$68),VLOOKUP(BL$69-$F117-1,$A$7:$C$161,2,FALSE)*VLOOKUP(BL$1,'Attrition Modeling'!$L$15:$N$27,IF(BL$2-$F50&lt;=24,2,3),FALSE))*(1+Projection!BN$16)*(1+IF(BL182&gt;0,'Attrition Modeling'!$N$9,0))),0))</f>
        <v>2327.9060735944763</v>
      </c>
      <c r="BM117" s="799">
        <f>IF(BM$69=$F117+1,IF(Monthly!BI$4=TRUE,0,Monthly!BI$17),IF(BM$69&gt;$F117+1,BL117*(1-IF(BM$69-$F117&lt;=12,SUMIFS('Attrition Modeling'!$D:$D,'Attrition Modeling'!$B:$B,$E117,'Attrition Modeling'!$C:$C,BM$68),VLOOKUP(BM$69-$F117-1,$A$7:$C$161,2,FALSE)*VLOOKUP(BM$1,'Attrition Modeling'!$L$15:$N$27,IF(BM$2-$F50&lt;=24,2,3),FALSE))*(1+Projection!BO$16)*(1+IF(BM182&gt;0,'Attrition Modeling'!$N$9,0))),0))</f>
        <v>2195.1224741100727</v>
      </c>
      <c r="BN117" s="799">
        <f>IF(BN$69=$F117+1,IF(Monthly!BJ$4=TRUE,0,Monthly!BJ$17),IF(BN$69&gt;$F117+1,BM117*(1-IF(BN$69-$F117&lt;=12,SUMIFS('Attrition Modeling'!$D:$D,'Attrition Modeling'!$B:$B,$E117,'Attrition Modeling'!$C:$C,BN$68),VLOOKUP(BN$69-$F117-1,$A$7:$C$161,2,FALSE)*VLOOKUP(BN$1,'Attrition Modeling'!$L$15:$N$27,IF(BN$2-$F50&lt;=24,2,3),FALSE))*(1+Projection!BP$16)*(1+IF(BN182&gt;0,'Attrition Modeling'!$N$9,0))),0))</f>
        <v>2136.1306868871643</v>
      </c>
      <c r="BO117" s="799">
        <f>IF(BO$69=$F117+1,IF(Monthly!BK$4=TRUE,0,Monthly!BK$17),IF(BO$69&gt;$F117+1,BN117*(1-IF(BO$69-$F117&lt;=12,SUMIFS('Attrition Modeling'!$D:$D,'Attrition Modeling'!$B:$B,$E117,'Attrition Modeling'!$C:$C,BO$68),VLOOKUP(BO$69-$F117-1,$A$7:$C$161,2,FALSE)*VLOOKUP(BO$1,'Attrition Modeling'!$L$15:$N$27,IF(BO$2-$F50&lt;=24,2,3),FALSE))*(1+Projection!BV$16)*(1+IF(BO182&gt;0,'Attrition Modeling'!$N$9,0))),0))</f>
        <v>2021.2338254620074</v>
      </c>
      <c r="BP117" s="799">
        <f>IF(BP$69=$F117+1,IF(Monthly!BL$4=TRUE,0,Monthly!BL$17),IF(BP$69&gt;$F117+1,BO117*(1-IF(BP$69-$F117&lt;=12,SUMIFS('Attrition Modeling'!$D:$D,'Attrition Modeling'!$B:$B,$E117,'Attrition Modeling'!$C:$C,BP$68),VLOOKUP(BP$69-$F117-1,$A$7:$C$161,2,FALSE)*VLOOKUP(BP$1,'Attrition Modeling'!$L$15:$N$27,IF(BP$2-$F50&lt;=24,2,3),FALSE))*(1+Projection!BW$16)*(1+IF(BP182&gt;0,'Attrition Modeling'!$N$9,0))),0))</f>
        <v>1920.8237438914691</v>
      </c>
      <c r="BQ117" s="799">
        <f>IF(BQ$69=$F117+1,IF(Monthly!BM$4=TRUE,0,Monthly!BM$17),IF(BQ$69&gt;$F117+1,BP117*(1-IF(BQ$69-$F117&lt;=12,SUMIFS('Attrition Modeling'!$D:$D,'Attrition Modeling'!$B:$B,$E117,'Attrition Modeling'!$C:$C,BQ$68),VLOOKUP(BQ$69-$F117-1,$A$7:$C$161,2,FALSE)*VLOOKUP(BQ$1,'Attrition Modeling'!$L$15:$N$27,IF(BQ$2-$F50&lt;=24,2,3),FALSE))*(1+Projection!BX$16)*(1+IF(BQ182&gt;0,'Attrition Modeling'!$N$9,0))),0))</f>
        <v>1838.9579880817009</v>
      </c>
      <c r="BR117" s="799">
        <f>IF(BR$69=$F117+1,IF(Monthly!BN$4=TRUE,0,Monthly!BN$17),IF(BR$69&gt;$F117+1,BQ117*(1-IF(BR$69-$F117&lt;=12,SUMIFS('Attrition Modeling'!$D:$D,'Attrition Modeling'!$B:$B,$E117,'Attrition Modeling'!$C:$C,BR$68),VLOOKUP(BR$69-$F117-1,$A$7:$C$161,2,FALSE)*VLOOKUP(BR$1,'Attrition Modeling'!$L$15:$N$27,IF(BR$2-$F50&lt;=24,2,3),FALSE))*(1+Projection!BY$16)*(1+IF(BR182&gt;0,'Attrition Modeling'!$N$9,0))),0))</f>
        <v>1756.7568885929466</v>
      </c>
      <c r="BS117" s="799">
        <f>IF(BS$69=$F117+1,IF(Monthly!BO$4=TRUE,0,Monthly!BO$17),IF(BS$69&gt;$F117+1,BR117*(1-IF(BS$69-$F117&lt;=12,SUMIFS('Attrition Modeling'!$D:$D,'Attrition Modeling'!$B:$B,$E117,'Attrition Modeling'!$C:$C,BS$68),VLOOKUP(BS$69-$F117-1,$A$7:$C$161,2,FALSE)*VLOOKUP(BS$1,'Attrition Modeling'!$L$15:$N$27,IF(BS$2-$F50&lt;=24,2,3),FALSE))*(1+Projection!BZ$16)*(1+IF(BS182&gt;0,'Attrition Modeling'!$N$9,0))),0))</f>
        <v>1681.8179814455016</v>
      </c>
      <c r="BT117" s="799">
        <f>IF(BT$69=$F117+1,IF(Monthly!#REF!=TRUE,0,Monthly!#REF!),IF(BT$69&gt;$F117+1,BS117*(1-IF(BT$69-$F117&lt;=12,SUMIFS('Attrition Modeling'!$D:$D,'Attrition Modeling'!$B:$B,$E117,'Attrition Modeling'!$C:$C,BT$68),VLOOKUP(BT$69-$F117-1,$A$7:$C$161,2,FALSE)*VLOOKUP(BT$1,'Attrition Modeling'!$L$15:$N$27,IF(BT$2-$F50&lt;=24,2,3),FALSE))*(1+Projection!CA$16)*(1+IF(BT182&gt;0,'Attrition Modeling'!$N$9,0))),0))</f>
        <v>1598.4582993177785</v>
      </c>
      <c r="BU117" s="799">
        <f>IF(BU$69=$F117+1,IF(Monthly!#REF!=TRUE,0,Monthly!#REF!),IF(BU$69&gt;$F117+1,BT117*(1-IF(BU$69-$F117&lt;=12,SUMIFS('Attrition Modeling'!$D:$D,'Attrition Modeling'!$B:$B,$E117,'Attrition Modeling'!$C:$C,BU$68),VLOOKUP(BU$69-$F117-1,$A$7:$C$161,2,FALSE)*VLOOKUP(BU$1,'Attrition Modeling'!$L$15:$N$27,IF(BU$2-$F50&lt;=24,2,3),FALSE))*(1+Projection!CB$16)*(1+IF(BU182&gt;0,'Attrition Modeling'!$N$9,0))),0))</f>
        <v>1527.5288723675792</v>
      </c>
    </row>
    <row r="118" spans="1:73" ht="14.25" customHeight="1" x14ac:dyDescent="0.2">
      <c r="A118" s="9">
        <v>111</v>
      </c>
      <c r="B118" s="25">
        <f>MAX('Attrition Modeling'!H115,$C$3)*(1-Summary!$C$20)</f>
        <v>0.02</v>
      </c>
      <c r="C118" s="24" t="e">
        <f t="shared" si="4"/>
        <v>#DIV/0!</v>
      </c>
      <c r="E118" s="11">
        <f t="shared" si="9"/>
        <v>12</v>
      </c>
      <c r="F118" s="11">
        <f t="shared" si="10"/>
        <v>48</v>
      </c>
      <c r="G118" s="799"/>
      <c r="H118" s="799">
        <f>IF(H$69=$F118+1,IF(Monthly!D$4=TRUE,0,Monthly!D$17),IF(H$69&gt;$F118+1,G118*(1-IF(H$69-$F118&lt;=12,SUMIFS('Attrition Modeling'!$D:$D,'Attrition Modeling'!$B:$B,$E118,'Attrition Modeling'!$C:$C,H$68),VLOOKUP(H$69-$F118-1,$A$7:$C$161,2,FALSE)*VLOOKUP(H$1,'Attrition Modeling'!$L$15:$N$27,IF(H$2-$F51&lt;=24,2,3),FALSE))*(1+Projection!J$16)*(1+IF(H183&gt;0,'Attrition Modeling'!$N$9,0))),0))</f>
        <v>0</v>
      </c>
      <c r="I118" s="799">
        <f>IF(I$69=$F118+1,IF(Monthly!E$4=TRUE,0,Monthly!E$17),IF(I$69&gt;$F118+1,H118*(1-IF(I$69-$F118&lt;=12,SUMIFS('Attrition Modeling'!$D:$D,'Attrition Modeling'!$B:$B,$E118,'Attrition Modeling'!$C:$C,I$68),VLOOKUP(I$69-$F118-1,$A$7:$C$161,2,FALSE)*VLOOKUP(I$1,'Attrition Modeling'!$L$15:$N$27,IF(I$2-$F51&lt;=24,2,3),FALSE))*(1+Projection!K$16)*(1+IF(I183&gt;0,'Attrition Modeling'!$N$9,0))),0))</f>
        <v>0</v>
      </c>
      <c r="J118" s="799">
        <f>IF(J$69=$F118+1,IF(Monthly!F$4=TRUE,0,Monthly!F$17),IF(J$69&gt;$F118+1,I118*(1-IF(J$69-$F118&lt;=12,SUMIFS('Attrition Modeling'!$D:$D,'Attrition Modeling'!$B:$B,$E118,'Attrition Modeling'!$C:$C,J$68),VLOOKUP(J$69-$F118-1,$A$7:$C$161,2,FALSE)*VLOOKUP(J$1,'Attrition Modeling'!$L$15:$N$27,IF(J$2-$F51&lt;=24,2,3),FALSE))*(1+Projection!L$16)*(1+IF(J183&gt;0,'Attrition Modeling'!$N$9,0))),0))</f>
        <v>0</v>
      </c>
      <c r="K118" s="799">
        <f>IF(K$69=$F118+1,IF(Monthly!G$4=TRUE,0,Monthly!G$17),IF(K$69&gt;$F118+1,J118*(1-IF(K$69-$F118&lt;=12,SUMIFS('Attrition Modeling'!$D:$D,'Attrition Modeling'!$B:$B,$E118,'Attrition Modeling'!$C:$C,K$68),VLOOKUP(K$69-$F118-1,$A$7:$C$161,2,FALSE)*VLOOKUP(K$1,'Attrition Modeling'!$L$15:$N$27,IF(K$2-$F51&lt;=24,2,3),FALSE))*(1+Projection!M$16)*(1+IF(K183&gt;0,'Attrition Modeling'!$N$9,0))),0))</f>
        <v>0</v>
      </c>
      <c r="L118" s="799">
        <f>IF(L$69=$F118+1,IF(Monthly!H$4=TRUE,0,Monthly!H$17),IF(L$69&gt;$F118+1,K118*(1-IF(L$69-$F118&lt;=12,SUMIFS('Attrition Modeling'!$D:$D,'Attrition Modeling'!$B:$B,$E118,'Attrition Modeling'!$C:$C,L$68),VLOOKUP(L$69-$F118-1,$A$7:$C$161,2,FALSE)*VLOOKUP(L$1,'Attrition Modeling'!$L$15:$N$27,IF(L$2-$F51&lt;=24,2,3),FALSE))*(1+Projection!N$16)*(1+IF(L183&gt;0,'Attrition Modeling'!$N$9,0))),0))</f>
        <v>0</v>
      </c>
      <c r="M118" s="799">
        <f>IF(M$69=$F118+1,IF(Monthly!I$4=TRUE,0,Monthly!I$17),IF(M$69&gt;$F118+1,L118*(1-IF(M$69-$F118&lt;=12,SUMIFS('Attrition Modeling'!$D:$D,'Attrition Modeling'!$B:$B,$E118,'Attrition Modeling'!$C:$C,M$68),VLOOKUP(M$69-$F118-1,$A$7:$C$161,2,FALSE)*VLOOKUP(M$1,'Attrition Modeling'!$L$15:$N$27,IF(M$2-$F51&lt;=24,2,3),FALSE))*(1+Projection!O$16)*(1+IF(M183&gt;0,'Attrition Modeling'!$N$9,0))),0))</f>
        <v>0</v>
      </c>
      <c r="N118" s="799">
        <f>IF(N$69=$F118+1,IF(Monthly!J$4=TRUE,0,Monthly!J$17),IF(N$69&gt;$F118+1,M118*(1-IF(N$69-$F118&lt;=12,SUMIFS('Attrition Modeling'!$D:$D,'Attrition Modeling'!$B:$B,$E118,'Attrition Modeling'!$C:$C,N$68),VLOOKUP(N$69-$F118-1,$A$7:$C$161,2,FALSE)*VLOOKUP(N$1,'Attrition Modeling'!$L$15:$N$27,IF(N$2-$F51&lt;=24,2,3),FALSE))*(1+Projection!P$16)*(1+IF(N183&gt;0,'Attrition Modeling'!$N$9,0))),0))</f>
        <v>0</v>
      </c>
      <c r="O118" s="799">
        <f>IF(O$69=$F118+1,IF(Monthly!K$4=TRUE,0,Monthly!K$17),IF(O$69&gt;$F118+1,N118*(1-IF(O$69-$F118&lt;=12,SUMIFS('Attrition Modeling'!$D:$D,'Attrition Modeling'!$B:$B,$E118,'Attrition Modeling'!$C:$C,O$68),VLOOKUP(O$69-$F118-1,$A$7:$C$161,2,FALSE)*VLOOKUP(O$1,'Attrition Modeling'!$L$15:$N$27,IF(O$2-$F51&lt;=24,2,3),FALSE))*(1+Projection!Q$16)*(1+IF(O183&gt;0,'Attrition Modeling'!$N$9,0))),0))</f>
        <v>0</v>
      </c>
      <c r="P118" s="799">
        <f>IF(P$69=$F118+1,IF(Monthly!L$4=TRUE,0,Monthly!L$17),IF(P$69&gt;$F118+1,O118*(1-IF(P$69-$F118&lt;=12,SUMIFS('Attrition Modeling'!$D:$D,'Attrition Modeling'!$B:$B,$E118,'Attrition Modeling'!$C:$C,P$68),VLOOKUP(P$69-$F118-1,$A$7:$C$161,2,FALSE)*VLOOKUP(P$1,'Attrition Modeling'!$L$15:$N$27,IF(P$2-$F51&lt;=24,2,3),FALSE))*(1+Projection!R$16)*(1+IF(P183&gt;0,'Attrition Modeling'!$N$9,0))),0))</f>
        <v>0</v>
      </c>
      <c r="Q118" s="799">
        <f>IF(Q$69=$F118+1,IF(Monthly!M$4=TRUE,0,Monthly!M$17),IF(Q$69&gt;$F118+1,P118*(1-IF(Q$69-$F118&lt;=12,SUMIFS('Attrition Modeling'!$D:$D,'Attrition Modeling'!$B:$B,$E118,'Attrition Modeling'!$C:$C,Q$68),VLOOKUP(Q$69-$F118-1,$A$7:$C$161,2,FALSE)*VLOOKUP(Q$1,'Attrition Modeling'!$L$15:$N$27,IF(Q$2-$F51&lt;=24,2,3),FALSE))*(1+Projection!S$16)*(1+IF(Q183&gt;0,'Attrition Modeling'!$N$9,0))),0))</f>
        <v>0</v>
      </c>
      <c r="R118" s="799">
        <f>IF(R$69=$F118+1,IF(Monthly!N$4=TRUE,0,Monthly!N$17),IF(R$69&gt;$F118+1,Q118*(1-IF(R$69-$F118&lt;=12,SUMIFS('Attrition Modeling'!$D:$D,'Attrition Modeling'!$B:$B,$E118,'Attrition Modeling'!$C:$C,R$68),VLOOKUP(R$69-$F118-1,$A$7:$C$161,2,FALSE)*VLOOKUP(R$1,'Attrition Modeling'!$L$15:$N$27,IF(R$2-$F51&lt;=24,2,3),FALSE))*(1+Projection!T$16)*(1+IF(R183&gt;0,'Attrition Modeling'!$N$9,0))),0))</f>
        <v>0</v>
      </c>
      <c r="S118" s="799">
        <f>IF(S$69=$F118+1,IF(Monthly!O$4=TRUE,0,Monthly!O$17),IF(S$69&gt;$F118+1,R118*(1-IF(S$69-$F118&lt;=12,SUMIFS('Attrition Modeling'!$D:$D,'Attrition Modeling'!$B:$B,$E118,'Attrition Modeling'!$C:$C,S$68),VLOOKUP(S$69-$F118-1,$A$7:$C$161,2,FALSE)*VLOOKUP(S$1,'Attrition Modeling'!$L$15:$N$27,IF(S$2-$F51&lt;=24,2,3),FALSE))*(1+Projection!U$16)*(1+IF(S183&gt;0,'Attrition Modeling'!$N$9,0))),0))</f>
        <v>0</v>
      </c>
      <c r="T118" s="799">
        <f>IF(T$69=$F118+1,IF(Monthly!P$4=TRUE,0,Monthly!P$17),IF(T$69&gt;$F118+1,S118*(1-IF(T$69-$F118&lt;=12,SUMIFS('Attrition Modeling'!$D:$D,'Attrition Modeling'!$B:$B,$E118,'Attrition Modeling'!$C:$C,T$68),VLOOKUP(T$69-$F118-1,$A$7:$C$161,2,FALSE)*VLOOKUP(T$1,'Attrition Modeling'!$L$15:$N$27,IF(T$2-$F51&lt;=24,2,3),FALSE))*(1+Projection!V$16)*(1+IF(T183&gt;0,'Attrition Modeling'!$N$9,0))),0))</f>
        <v>0</v>
      </c>
      <c r="U118" s="799">
        <f>IF(U$69=$F118+1,IF(Monthly!Q$4=TRUE,0,Monthly!Q$17),IF(U$69&gt;$F118+1,T118*(1-IF(U$69-$F118&lt;=12,SUMIFS('Attrition Modeling'!$D:$D,'Attrition Modeling'!$B:$B,$E118,'Attrition Modeling'!$C:$C,U$68),VLOOKUP(U$69-$F118-1,$A$7:$C$161,2,FALSE)*VLOOKUP(U$1,'Attrition Modeling'!$L$15:$N$27,IF(U$2-$F51&lt;=24,2,3),FALSE))*(1+Projection!W$16)*(1+IF(U183&gt;0,'Attrition Modeling'!$N$9,0))),0))</f>
        <v>0</v>
      </c>
      <c r="V118" s="799">
        <f>IF(V$69=$F118+1,IF(Monthly!R$4=TRUE,0,Monthly!R$17),IF(V$69&gt;$F118+1,U118*(1-IF(V$69-$F118&lt;=12,SUMIFS('Attrition Modeling'!$D:$D,'Attrition Modeling'!$B:$B,$E118,'Attrition Modeling'!$C:$C,V$68),VLOOKUP(V$69-$F118-1,$A$7:$C$161,2,FALSE)*VLOOKUP(V$1,'Attrition Modeling'!$L$15:$N$27,IF(V$2-$F51&lt;=24,2,3),FALSE))*(1+Projection!X$16)*(1+IF(V183&gt;0,'Attrition Modeling'!$N$9,0))),0))</f>
        <v>0</v>
      </c>
      <c r="W118" s="799">
        <f>IF(W$69=$F118+1,IF(Monthly!S$4=TRUE,0,Monthly!S$17),IF(W$69&gt;$F118+1,V118*(1-IF(W$69-$F118&lt;=12,SUMIFS('Attrition Modeling'!$D:$D,'Attrition Modeling'!$B:$B,$E118,'Attrition Modeling'!$C:$C,W$68),VLOOKUP(W$69-$F118-1,$A$7:$C$161,2,FALSE)*VLOOKUP(W$1,'Attrition Modeling'!$L$15:$N$27,IF(W$2-$F51&lt;=24,2,3),FALSE))*(1+Projection!Y$16)*(1+IF(W183&gt;0,'Attrition Modeling'!$N$9,0))),0))</f>
        <v>0</v>
      </c>
      <c r="X118" s="799">
        <f>IF(X$69=$F118+1,IF(Monthly!T$4=TRUE,0,Monthly!T$17),IF(X$69&gt;$F118+1,W118*(1-IF(X$69-$F118&lt;=12,SUMIFS('Attrition Modeling'!$D:$D,'Attrition Modeling'!$B:$B,$E118,'Attrition Modeling'!$C:$C,X$68),VLOOKUP(X$69-$F118-1,$A$7:$C$161,2,FALSE)*VLOOKUP(X$1,'Attrition Modeling'!$L$15:$N$27,IF(X$2-$F51&lt;=24,2,3),FALSE))*(1+Projection!Z$16)*(1+IF(X183&gt;0,'Attrition Modeling'!$N$9,0))),0))</f>
        <v>0</v>
      </c>
      <c r="Y118" s="799">
        <f>IF(Y$69=$F118+1,IF(Monthly!U$4=TRUE,0,Monthly!U$17),IF(Y$69&gt;$F118+1,X118*(1-IF(Y$69-$F118&lt;=12,SUMIFS('Attrition Modeling'!$D:$D,'Attrition Modeling'!$B:$B,$E118,'Attrition Modeling'!$C:$C,Y$68),VLOOKUP(Y$69-$F118-1,$A$7:$C$161,2,FALSE)*VLOOKUP(Y$1,'Attrition Modeling'!$L$15:$N$27,IF(Y$2-$F51&lt;=24,2,3),FALSE))*(1+Projection!AA$16)*(1+IF(Y183&gt;0,'Attrition Modeling'!$N$9,0))),0))</f>
        <v>0</v>
      </c>
      <c r="Z118" s="799">
        <f>IF(Z$69=$F118+1,IF(Monthly!V$4=TRUE,0,Monthly!V$17),IF(Z$69&gt;$F118+1,Y118*(1-IF(Z$69-$F118&lt;=12,SUMIFS('Attrition Modeling'!$D:$D,'Attrition Modeling'!$B:$B,$E118,'Attrition Modeling'!$C:$C,Z$68),VLOOKUP(Z$69-$F118-1,$A$7:$C$161,2,FALSE)*VLOOKUP(Z$1,'Attrition Modeling'!$L$15:$N$27,IF(Z$2-$F51&lt;=24,2,3),FALSE))*(1+Projection!AB$16)*(1+IF(Z183&gt;0,'Attrition Modeling'!$N$9,0))),0))</f>
        <v>0</v>
      </c>
      <c r="AA118" s="799">
        <f>IF(AA$69=$F118+1,IF(Monthly!W$4=TRUE,0,Monthly!W$17),IF(AA$69&gt;$F118+1,Z118*(1-IF(AA$69-$F118&lt;=12,SUMIFS('Attrition Modeling'!$D:$D,'Attrition Modeling'!$B:$B,$E118,'Attrition Modeling'!$C:$C,AA$68),VLOOKUP(AA$69-$F118-1,$A$7:$C$161,2,FALSE)*VLOOKUP(AA$1,'Attrition Modeling'!$L$15:$N$27,IF(AA$2-$F51&lt;=24,2,3),FALSE))*(1+Projection!AC$16)*(1+IF(AA183&gt;0,'Attrition Modeling'!$N$9,0))),0))</f>
        <v>0</v>
      </c>
      <c r="AB118" s="799">
        <f>IF(AB$69=$F118+1,IF(Monthly!X$4=TRUE,0,Monthly!X$17),IF(AB$69&gt;$F118+1,AA118*(1-IF(AB$69-$F118&lt;=12,SUMIFS('Attrition Modeling'!$D:$D,'Attrition Modeling'!$B:$B,$E118,'Attrition Modeling'!$C:$C,AB$68),VLOOKUP(AB$69-$F118-1,$A$7:$C$161,2,FALSE)*VLOOKUP(AB$1,'Attrition Modeling'!$L$15:$N$27,IF(AB$2-$F51&lt;=24,2,3),FALSE))*(1+Projection!AD$16)*(1+IF(AB183&gt;0,'Attrition Modeling'!$N$9,0))),0))</f>
        <v>0</v>
      </c>
      <c r="AC118" s="799">
        <f>IF(AC$69=$F118+1,IF(Monthly!Y$4=TRUE,0,Monthly!Y$17),IF(AC$69&gt;$F118+1,AB118*(1-IF(AC$69-$F118&lt;=12,SUMIFS('Attrition Modeling'!$D:$D,'Attrition Modeling'!$B:$B,$E118,'Attrition Modeling'!$C:$C,AC$68),VLOOKUP(AC$69-$F118-1,$A$7:$C$161,2,FALSE)*VLOOKUP(AC$1,'Attrition Modeling'!$L$15:$N$27,IF(AC$2-$F51&lt;=24,2,3),FALSE))*(1+Projection!AE$16)*(1+IF(AC183&gt;0,'Attrition Modeling'!$N$9,0))),0))</f>
        <v>0</v>
      </c>
      <c r="AD118" s="799">
        <f>IF(AD$69=$F118+1,IF(Monthly!Z$4=TRUE,0,Monthly!Z$17),IF(AD$69&gt;$F118+1,AC118*(1-IF(AD$69-$F118&lt;=12,SUMIFS('Attrition Modeling'!$D:$D,'Attrition Modeling'!$B:$B,$E118,'Attrition Modeling'!$C:$C,AD$68),VLOOKUP(AD$69-$F118-1,$A$7:$C$161,2,FALSE)*VLOOKUP(AD$1,'Attrition Modeling'!$L$15:$N$27,IF(AD$2-$F51&lt;=24,2,3),FALSE))*(1+Projection!AF$16)*(1+IF(AD183&gt;0,'Attrition Modeling'!$N$9,0))),0))</f>
        <v>0</v>
      </c>
      <c r="AE118" s="799">
        <f>IF(AE$69=$F118+1,IF(Monthly!AA$4=TRUE,0,Monthly!AA$17),IF(AE$69&gt;$F118+1,AD118*(1-IF(AE$69-$F118&lt;=12,SUMIFS('Attrition Modeling'!$D:$D,'Attrition Modeling'!$B:$B,$E118,'Attrition Modeling'!$C:$C,AE$68),VLOOKUP(AE$69-$F118-1,$A$7:$C$161,2,FALSE)*VLOOKUP(AE$1,'Attrition Modeling'!$L$15:$N$27,IF(AE$2-$F51&lt;=24,2,3),FALSE))*(1+Projection!AG$16)*(1+IF(AE183&gt;0,'Attrition Modeling'!$N$9,0))),0))</f>
        <v>0</v>
      </c>
      <c r="AF118" s="799">
        <f>IF(AF$69=$F118+1,IF(Monthly!AB$4=TRUE,0,Monthly!AB$17),IF(AF$69&gt;$F118+1,AE118*(1-IF(AF$69-$F118&lt;=12,SUMIFS('Attrition Modeling'!$D:$D,'Attrition Modeling'!$B:$B,$E118,'Attrition Modeling'!$C:$C,AF$68),VLOOKUP(AF$69-$F118-1,$A$7:$C$161,2,FALSE)*VLOOKUP(AF$1,'Attrition Modeling'!$L$15:$N$27,IF(AF$2-$F51&lt;=24,2,3),FALSE))*(1+Projection!AH$16)*(1+IF(AF183&gt;0,'Attrition Modeling'!$N$9,0))),0))</f>
        <v>0</v>
      </c>
      <c r="AG118" s="799">
        <f>IF(AG$69=$F118+1,IF(Monthly!AC$4=TRUE,0,Monthly!AC$17),IF(AG$69&gt;$F118+1,AF118*(1-IF(AG$69-$F118&lt;=12,SUMIFS('Attrition Modeling'!$D:$D,'Attrition Modeling'!$B:$B,$E118,'Attrition Modeling'!$C:$C,AG$68),VLOOKUP(AG$69-$F118-1,$A$7:$C$161,2,FALSE)*VLOOKUP(AG$1,'Attrition Modeling'!$L$15:$N$27,IF(AG$2-$F51&lt;=24,2,3),FALSE))*(1+Projection!AI$16)*(1+IF(AG183&gt;0,'Attrition Modeling'!$N$9,0))),0))</f>
        <v>0</v>
      </c>
      <c r="AH118" s="799">
        <f>IF(AH$69=$F118+1,IF(Monthly!AD$4=TRUE,0,Monthly!AD$17),IF(AH$69&gt;$F118+1,AG118*(1-IF(AH$69-$F118&lt;=12,SUMIFS('Attrition Modeling'!$D:$D,'Attrition Modeling'!$B:$B,$E118,'Attrition Modeling'!$C:$C,AH$68),VLOOKUP(AH$69-$F118-1,$A$7:$C$161,2,FALSE)*VLOOKUP(AH$1,'Attrition Modeling'!$L$15:$N$27,IF(AH$2-$F51&lt;=24,2,3),FALSE))*(1+Projection!AJ$16)*(1+IF(AH183&gt;0,'Attrition Modeling'!$N$9,0))),0))</f>
        <v>0</v>
      </c>
      <c r="AI118" s="799">
        <f>IF(AI$69=$F118+1,IF(Monthly!AE$4=TRUE,0,Monthly!AE$17),IF(AI$69&gt;$F118+1,AH118*(1-IF(AI$69-$F118&lt;=12,SUMIFS('Attrition Modeling'!$D:$D,'Attrition Modeling'!$B:$B,$E118,'Attrition Modeling'!$C:$C,AI$68),VLOOKUP(AI$69-$F118-1,$A$7:$C$161,2,FALSE)*VLOOKUP(AI$1,'Attrition Modeling'!$L$15:$N$27,IF(AI$2-$F51&lt;=24,2,3),FALSE))*(1+Projection!AK$16)*(1+IF(AI183&gt;0,'Attrition Modeling'!$N$9,0))),0))</f>
        <v>0</v>
      </c>
      <c r="AJ118" s="799">
        <f>IF(AJ$69=$F118+1,IF(Monthly!AF$4=TRUE,0,Monthly!AF$17),IF(AJ$69&gt;$F118+1,AI118*(1-IF(AJ$69-$F118&lt;=12,SUMIFS('Attrition Modeling'!$D:$D,'Attrition Modeling'!$B:$B,$E118,'Attrition Modeling'!$C:$C,AJ$68),VLOOKUP(AJ$69-$F118-1,$A$7:$C$161,2,FALSE)*VLOOKUP(AJ$1,'Attrition Modeling'!$L$15:$N$27,IF(AJ$2-$F51&lt;=24,2,3),FALSE))*(1+Projection!AL$16)*(1+IF(AJ183&gt;0,'Attrition Modeling'!$N$9,0))),0))</f>
        <v>0</v>
      </c>
      <c r="AK118" s="799">
        <f>IF(AK$69=$F118+1,IF(Monthly!AG$4=TRUE,0,Monthly!AG$17),IF(AK$69&gt;$F118+1,AJ118*(1-IF(AK$69-$F118&lt;=12,SUMIFS('Attrition Modeling'!$D:$D,'Attrition Modeling'!$B:$B,$E118,'Attrition Modeling'!$C:$C,AK$68),VLOOKUP(AK$69-$F118-1,$A$7:$C$161,2,FALSE)*VLOOKUP(AK$1,'Attrition Modeling'!$L$15:$N$27,IF(AK$2-$F51&lt;=24,2,3),FALSE))*(1+Projection!AM$16)*(1+IF(AK183&gt;0,'Attrition Modeling'!$N$9,0))),0))</f>
        <v>0</v>
      </c>
      <c r="AL118" s="799">
        <f>IF(AL$69=$F118+1,IF(Monthly!AH$4=TRUE,0,Monthly!AH$17),IF(AL$69&gt;$F118+1,AK118*(1-IF(AL$69-$F118&lt;=12,SUMIFS('Attrition Modeling'!$D:$D,'Attrition Modeling'!$B:$B,$E118,'Attrition Modeling'!$C:$C,AL$68),VLOOKUP(AL$69-$F118-1,$A$7:$C$161,2,FALSE)*VLOOKUP(AL$1,'Attrition Modeling'!$L$15:$N$27,IF(AL$2-$F51&lt;=24,2,3),FALSE))*(1+Projection!AN$16)*(1+IF(AL183&gt;0,'Attrition Modeling'!$N$9,0))),0))</f>
        <v>0</v>
      </c>
      <c r="AM118" s="799">
        <f>IF(AM$69=$F118+1,IF(Monthly!AI$4=TRUE,0,Monthly!AI$17),IF(AM$69&gt;$F118+1,AL118*(1-IF(AM$69-$F118&lt;=12,SUMIFS('Attrition Modeling'!$D:$D,'Attrition Modeling'!$B:$B,$E118,'Attrition Modeling'!$C:$C,AM$68),VLOOKUP(AM$69-$F118-1,$A$7:$C$161,2,FALSE)*VLOOKUP(AM$1,'Attrition Modeling'!$L$15:$N$27,IF(AM$2-$F51&lt;=24,2,3),FALSE))*(1+Projection!AO$16)*(1+IF(AM183&gt;0,'Attrition Modeling'!$N$9,0))),0))</f>
        <v>0</v>
      </c>
      <c r="AN118" s="799">
        <f>IF(AN$69=$F118+1,IF(Monthly!AJ$4=TRUE,0,Monthly!AJ$17),IF(AN$69&gt;$F118+1,AM118*(1-IF(AN$69-$F118&lt;=12,SUMIFS('Attrition Modeling'!$D:$D,'Attrition Modeling'!$B:$B,$E118,'Attrition Modeling'!$C:$C,AN$68),VLOOKUP(AN$69-$F118-1,$A$7:$C$161,2,FALSE)*VLOOKUP(AN$1,'Attrition Modeling'!$L$15:$N$27,IF(AN$2-$F51&lt;=24,2,3),FALSE))*(1+Projection!AP$16)*(1+IF(AN183&gt;0,'Attrition Modeling'!$N$9,0))),0))</f>
        <v>0</v>
      </c>
      <c r="AO118" s="799">
        <f>IF(AO$69=$F118+1,IF(Monthly!AK$4=TRUE,0,Monthly!AK$17),IF(AO$69&gt;$F118+1,AN118*(1-IF(AO$69-$F118&lt;=12,SUMIFS('Attrition Modeling'!$D:$D,'Attrition Modeling'!$B:$B,$E118,'Attrition Modeling'!$C:$C,AO$68),VLOOKUP(AO$69-$F118-1,$A$7:$C$161,2,FALSE)*VLOOKUP(AO$1,'Attrition Modeling'!$L$15:$N$27,IF(AO$2-$F51&lt;=24,2,3),FALSE))*(1+Projection!AQ$16)*(1+IF(AO183&gt;0,'Attrition Modeling'!$N$9,0))),0))</f>
        <v>0</v>
      </c>
      <c r="AP118" s="799">
        <f>IF(AP$69=$F118+1,IF(Monthly!AL$4=TRUE,0,Monthly!AL$17),IF(AP$69&gt;$F118+1,AO118*(1-IF(AP$69-$F118&lt;=12,SUMIFS('Attrition Modeling'!$D:$D,'Attrition Modeling'!$B:$B,$E118,'Attrition Modeling'!$C:$C,AP$68),VLOOKUP(AP$69-$F118-1,$A$7:$C$161,2,FALSE)*VLOOKUP(AP$1,'Attrition Modeling'!$L$15:$N$27,IF(AP$2-$F51&lt;=24,2,3),FALSE))*(1+Projection!AR$16)*(1+IF(AP183&gt;0,'Attrition Modeling'!$N$9,0))),0))</f>
        <v>0</v>
      </c>
      <c r="AQ118" s="799">
        <f>IF(AQ$69=$F118+1,IF(Monthly!AM$4=TRUE,0,Monthly!AM$17),IF(AQ$69&gt;$F118+1,AP118*(1-IF(AQ$69-$F118&lt;=12,SUMIFS('Attrition Modeling'!$D:$D,'Attrition Modeling'!$B:$B,$E118,'Attrition Modeling'!$C:$C,AQ$68),VLOOKUP(AQ$69-$F118-1,$A$7:$C$161,2,FALSE)*VLOOKUP(AQ$1,'Attrition Modeling'!$L$15:$N$27,IF(AQ$2-$F51&lt;=24,2,3),FALSE))*(1+Projection!AS$16)*(1+IF(AQ183&gt;0,'Attrition Modeling'!$N$9,0))),0))</f>
        <v>0</v>
      </c>
      <c r="AR118" s="799">
        <f>IF(AR$69=$F118+1,IF(Monthly!AN$4=TRUE,0,Monthly!AN$17),IF(AR$69&gt;$F118+1,AQ118*(1-IF(AR$69-$F118&lt;=12,SUMIFS('Attrition Modeling'!$D:$D,'Attrition Modeling'!$B:$B,$E118,'Attrition Modeling'!$C:$C,AR$68),VLOOKUP(AR$69-$F118-1,$A$7:$C$161,2,FALSE)*VLOOKUP(AR$1,'Attrition Modeling'!$L$15:$N$27,IF(AR$2-$F51&lt;=24,2,3),FALSE))*(1+Projection!AT$16)*(1+IF(AR183&gt;0,'Attrition Modeling'!$N$9,0))),0))</f>
        <v>0</v>
      </c>
      <c r="AS118" s="799">
        <f>IF(AS$69=$F118+1,IF(Monthly!AO$4=TRUE,0,Monthly!AO$17),IF(AS$69&gt;$F118+1,AR118*(1-IF(AS$69-$F118&lt;=12,SUMIFS('Attrition Modeling'!$D:$D,'Attrition Modeling'!$B:$B,$E118,'Attrition Modeling'!$C:$C,AS$68),VLOOKUP(AS$69-$F118-1,$A$7:$C$161,2,FALSE)*VLOOKUP(AS$1,'Attrition Modeling'!$L$15:$N$27,IF(AS$2-$F51&lt;=24,2,3),FALSE))*(1+Projection!AU$16)*(1+IF(AS183&gt;0,'Attrition Modeling'!$N$9,0))),0))</f>
        <v>0</v>
      </c>
      <c r="AT118" s="799">
        <f>IF(AT$69=$F118+1,IF(Monthly!AP$4=TRUE,0,Monthly!AP$17),IF(AT$69&gt;$F118+1,AS118*(1-IF(AT$69-$F118&lt;=12,SUMIFS('Attrition Modeling'!$D:$D,'Attrition Modeling'!$B:$B,$E118,'Attrition Modeling'!$C:$C,AT$68),VLOOKUP(AT$69-$F118-1,$A$7:$C$161,2,FALSE)*VLOOKUP(AT$1,'Attrition Modeling'!$L$15:$N$27,IF(AT$2-$F51&lt;=24,2,3),FALSE))*(1+Projection!AV$16)*(1+IF(AT183&gt;0,'Attrition Modeling'!$N$9,0))),0))</f>
        <v>0</v>
      </c>
      <c r="AU118" s="799">
        <f>IF(AU$69=$F118+1,IF(Monthly!AQ$4=TRUE,0,Monthly!AQ$17),IF(AU$69&gt;$F118+1,AT118*(1-IF(AU$69-$F118&lt;=12,SUMIFS('Attrition Modeling'!$D:$D,'Attrition Modeling'!$B:$B,$E118,'Attrition Modeling'!$C:$C,AU$68),VLOOKUP(AU$69-$F118-1,$A$7:$C$161,2,FALSE)*VLOOKUP(AU$1,'Attrition Modeling'!$L$15:$N$27,IF(AU$2-$F51&lt;=24,2,3),FALSE))*(1+Projection!AW$16)*(1+IF(AU183&gt;0,'Attrition Modeling'!$N$9,0))),0))</f>
        <v>0</v>
      </c>
      <c r="AV118" s="799">
        <f>IF(AV$69=$F118+1,IF(Monthly!AR$4=TRUE,0,Monthly!AR$17),IF(AV$69&gt;$F118+1,AU118*(1-IF(AV$69-$F118&lt;=12,SUMIFS('Attrition Modeling'!$D:$D,'Attrition Modeling'!$B:$B,$E118,'Attrition Modeling'!$C:$C,AV$68),VLOOKUP(AV$69-$F118-1,$A$7:$C$161,2,FALSE)*VLOOKUP(AV$1,'Attrition Modeling'!$L$15:$N$27,IF(AV$2-$F51&lt;=24,2,3),FALSE))*(1+Projection!AX$16)*(1+IF(AV183&gt;0,'Attrition Modeling'!$N$9,0))),0))</f>
        <v>0</v>
      </c>
      <c r="AW118" s="799">
        <f>IF(AW$69=$F118+1,IF(Monthly!AS$4=TRUE,0,Monthly!AS$17),IF(AW$69&gt;$F118+1,AV118*(1-IF(AW$69-$F118&lt;=12,SUMIFS('Attrition Modeling'!$D:$D,'Attrition Modeling'!$B:$B,$E118,'Attrition Modeling'!$C:$C,AW$68),VLOOKUP(AW$69-$F118-1,$A$7:$C$161,2,FALSE)*VLOOKUP(AW$1,'Attrition Modeling'!$L$15:$N$27,IF(AW$2-$F51&lt;=24,2,3),FALSE))*(1+Projection!AY$16)*(1+IF(AW183&gt;0,'Attrition Modeling'!$N$9,0))),0))</f>
        <v>0</v>
      </c>
      <c r="AX118" s="799">
        <f>IF(AX$69=$F118+1,IF(Monthly!AT$4=TRUE,0,Monthly!AT$17),IF(AX$69&gt;$F118+1,AW118*(1-IF(AX$69-$F118&lt;=12,SUMIFS('Attrition Modeling'!$D:$D,'Attrition Modeling'!$B:$B,$E118,'Attrition Modeling'!$C:$C,AX$68),VLOOKUP(AX$69-$F118-1,$A$7:$C$161,2,FALSE)*VLOOKUP(AX$1,'Attrition Modeling'!$L$15:$N$27,IF(AX$2-$F51&lt;=24,2,3),FALSE))*(1+Projection!AZ$16)*(1+IF(AX183&gt;0,'Attrition Modeling'!$N$9,0))),0))</f>
        <v>0</v>
      </c>
      <c r="AY118" s="799">
        <f>IF(AY$69=$F118+1,IF(Monthly!AU$4=TRUE,0,Monthly!AU$17),IF(AY$69&gt;$F118+1,AX118*(1-IF(AY$69-$F118&lt;=12,SUMIFS('Attrition Modeling'!$D:$D,'Attrition Modeling'!$B:$B,$E118,'Attrition Modeling'!$C:$C,AY$68),VLOOKUP(AY$69-$F118-1,$A$7:$C$161,2,FALSE)*VLOOKUP(AY$1,'Attrition Modeling'!$L$15:$N$27,IF(AY$2-$F51&lt;=24,2,3),FALSE))*(1+Projection!BA$16)*(1+IF(AY183&gt;0,'Attrition Modeling'!$N$9,0))),0))</f>
        <v>0</v>
      </c>
      <c r="AZ118" s="799">
        <f>IF(AZ$69=$F118+1,IF(Monthly!AV$4=TRUE,0,Monthly!AV$17),IF(AZ$69&gt;$F118+1,AY118*(1-IF(AZ$69-$F118&lt;=12,SUMIFS('Attrition Modeling'!$D:$D,'Attrition Modeling'!$B:$B,$E118,'Attrition Modeling'!$C:$C,AZ$68),VLOOKUP(AZ$69-$F118-1,$A$7:$C$161,2,FALSE)*VLOOKUP(AZ$1,'Attrition Modeling'!$L$15:$N$27,IF(AZ$2-$F51&lt;=24,2,3),FALSE))*(1+Projection!BB$16)*(1+IF(AZ183&gt;0,'Attrition Modeling'!$N$9,0))),0))</f>
        <v>0</v>
      </c>
      <c r="BA118" s="799">
        <f>IF(BA$69=$F118+1,IF(Monthly!AW$4=TRUE,0,Monthly!AW$17),IF(BA$69&gt;$F118+1,AZ118*(1-IF(BA$69-$F118&lt;=12,SUMIFS('Attrition Modeling'!$D:$D,'Attrition Modeling'!$B:$B,$E118,'Attrition Modeling'!$C:$C,BA$68),VLOOKUP(BA$69-$F118-1,$A$7:$C$161,2,FALSE)*VLOOKUP(BA$1,'Attrition Modeling'!$L$15:$N$27,IF(BA$2-$F51&lt;=24,2,3),FALSE))*(1+Projection!BC$16)*(1+IF(BA183&gt;0,'Attrition Modeling'!$N$9,0))),0))</f>
        <v>0</v>
      </c>
      <c r="BB118" s="799">
        <f>IF(BB$69=$F118+1,IF(Monthly!AX$4=TRUE,0,Monthly!AX$17),IF(BB$69&gt;$F118+1,BA118*(1-IF(BB$69-$F118&lt;=12,SUMIFS('Attrition Modeling'!$D:$D,'Attrition Modeling'!$B:$B,$E118,'Attrition Modeling'!$C:$C,BB$68),VLOOKUP(BB$69-$F118-1,$A$7:$C$161,2,FALSE)*VLOOKUP(BB$1,'Attrition Modeling'!$L$15:$N$27,IF(BB$2-$F51&lt;=24,2,3),FALSE))*(1+Projection!BD$16)*(1+IF(BB183&gt;0,'Attrition Modeling'!$N$9,0))),0))</f>
        <v>0</v>
      </c>
      <c r="BC118" s="799">
        <f>IF(BC$69=$F118+1,IF(Monthly!AY$4=TRUE,0,Monthly!AY$17),IF(BC$69&gt;$F118+1,BB118*(1-IF(BC$69-$F118&lt;=12,SUMIFS('Attrition Modeling'!$D:$D,'Attrition Modeling'!$B:$B,$E118,'Attrition Modeling'!$C:$C,BC$68),VLOOKUP(BC$69-$F118-1,$A$7:$C$161,2,FALSE)*VLOOKUP(BC$1,'Attrition Modeling'!$L$15:$N$27,IF(BC$2-$F51&lt;=24,2,3),FALSE))*(1+Projection!BE$16)*(1+IF(BC183&gt;0,'Attrition Modeling'!$N$9,0))),0))</f>
        <v>0</v>
      </c>
      <c r="BD118" s="799">
        <f>IF(BD$69=$F118+1,IF(Monthly!AZ$4=TRUE,0,Monthly!AZ$17),IF(BD$69&gt;$F118+1,BC118*(1-IF(BD$69-$F118&lt;=12,SUMIFS('Attrition Modeling'!$D:$D,'Attrition Modeling'!$B:$B,$E118,'Attrition Modeling'!$C:$C,BD$68),VLOOKUP(BD$69-$F118-1,$A$7:$C$161,2,FALSE)*VLOOKUP(BD$1,'Attrition Modeling'!$L$15:$N$27,IF(BD$2-$F51&lt;=24,2,3),FALSE))*(1+Projection!BF$16)*(1+IF(BD183&gt;0,'Attrition Modeling'!$N$9,0))),0))</f>
        <v>5085.1083718086447</v>
      </c>
      <c r="BE118" s="799">
        <f>IF(BE$69=$F118+1,IF(Monthly!BA$4=TRUE,0,Monthly!BA$17),IF(BE$69&gt;$F118+1,BD118*(1-IF(BE$69-$F118&lt;=12,SUMIFS('Attrition Modeling'!$D:$D,'Attrition Modeling'!$B:$B,$E118,'Attrition Modeling'!$C:$C,BE$68),VLOOKUP(BE$69-$F118-1,$A$7:$C$161,2,FALSE)*VLOOKUP(BE$1,'Attrition Modeling'!$L$15:$N$27,IF(BE$2-$F51&lt;=24,2,3),FALSE))*(1+Projection!BG$16)*(1+IF(BE183&gt;0,'Attrition Modeling'!$N$9,0))),0))</f>
        <v>4602.268483816847</v>
      </c>
      <c r="BF118" s="799">
        <f>IF(BF$69=$F118+1,IF(Monthly!BB$4=TRUE,0,Monthly!BB$17),IF(BF$69&gt;$F118+1,BE118*(1-IF(BF$69-$F118&lt;=12,SUMIFS('Attrition Modeling'!$D:$D,'Attrition Modeling'!$B:$B,$E118,'Attrition Modeling'!$C:$C,BF$68),VLOOKUP(BF$69-$F118-1,$A$7:$C$161,2,FALSE)*VLOOKUP(BF$1,'Attrition Modeling'!$L$15:$N$27,IF(BF$2-$F51&lt;=24,2,3),FALSE))*(1+Projection!BH$16)*(1+IF(BF183&gt;0,'Attrition Modeling'!$N$9,0))),0))</f>
        <v>4203.4380140527819</v>
      </c>
      <c r="BG118" s="799">
        <f>IF(BG$69=$F118+1,IF(Monthly!BC$4=TRUE,0,Monthly!BC$17),IF(BG$69&gt;$F118+1,BF118*(1-IF(BG$69-$F118&lt;=12,SUMIFS('Attrition Modeling'!$D:$D,'Attrition Modeling'!$B:$B,$E118,'Attrition Modeling'!$C:$C,BG$68),VLOOKUP(BG$69-$F118-1,$A$7:$C$161,2,FALSE)*VLOOKUP(BG$1,'Attrition Modeling'!$L$15:$N$27,IF(BG$2-$F51&lt;=24,2,3),FALSE))*(1+Projection!BI$16)*(1+IF(BG183&gt;0,'Attrition Modeling'!$N$9,0))),0))</f>
        <v>3827.7117315508076</v>
      </c>
      <c r="BH118" s="799">
        <f>IF(BH$69=$F118+1,IF(Monthly!BD$4=TRUE,0,Monthly!BD$17),IF(BH$69&gt;$F118+1,BG118*(1-IF(BH$69-$F118&lt;=12,SUMIFS('Attrition Modeling'!$D:$D,'Attrition Modeling'!$B:$B,$E118,'Attrition Modeling'!$C:$C,BH$68),VLOOKUP(BH$69-$F118-1,$A$7:$C$161,2,FALSE)*VLOOKUP(BH$1,'Attrition Modeling'!$L$15:$N$27,IF(BH$2-$F51&lt;=24,2,3),FALSE))*(1+Projection!BJ$16)*(1+IF(BH183&gt;0,'Attrition Modeling'!$N$9,0))),0))</f>
        <v>3501.4174880668261</v>
      </c>
      <c r="BI118" s="799">
        <f>IF(BI$69=$F118+1,IF(Monthly!BE$4=TRUE,0,Monthly!BE$17),IF(BI$69&gt;$F118+1,BH118*(1-IF(BI$69-$F118&lt;=12,SUMIFS('Attrition Modeling'!$D:$D,'Attrition Modeling'!$B:$B,$E118,'Attrition Modeling'!$C:$C,BI$68),VLOOKUP(BI$69-$F118-1,$A$7:$C$161,2,FALSE)*VLOOKUP(BI$1,'Attrition Modeling'!$L$15:$N$27,IF(BI$2-$F51&lt;=24,2,3),FALSE))*(1+Projection!BK$16)*(1+IF(BI183&gt;0,'Attrition Modeling'!$N$9,0))),0))</f>
        <v>3184.3936864859743</v>
      </c>
      <c r="BJ118" s="799">
        <f>IF(BJ$69=$F118+1,IF(Monthly!BF$4=TRUE,0,Monthly!BF$17),IF(BJ$69&gt;$F118+1,BI118*(1-IF(BJ$69-$F118&lt;=12,SUMIFS('Attrition Modeling'!$D:$D,'Attrition Modeling'!$B:$B,$E118,'Attrition Modeling'!$C:$C,BJ$68),VLOOKUP(BJ$69-$F118-1,$A$7:$C$161,2,FALSE)*VLOOKUP(BJ$1,'Attrition Modeling'!$L$15:$N$27,IF(BJ$2-$F51&lt;=24,2,3),FALSE))*(1+Projection!BL$16)*(1+IF(BJ183&gt;0,'Attrition Modeling'!$N$9,0))),0))</f>
        <v>2944.1465316181766</v>
      </c>
      <c r="BK118" s="799">
        <f>IF(BK$69=$F118+1,IF(Monthly!BG$4=TRUE,0,Monthly!BG$17),IF(BK$69&gt;$F118+1,BJ118*(1-IF(BK$69-$F118&lt;=12,SUMIFS('Attrition Modeling'!$D:$D,'Attrition Modeling'!$B:$B,$E118,'Attrition Modeling'!$C:$C,BK$68),VLOOKUP(BK$69-$F118-1,$A$7:$C$161,2,FALSE)*VLOOKUP(BK$1,'Attrition Modeling'!$L$15:$N$27,IF(BK$2-$F51&lt;=24,2,3),FALSE))*(1+Projection!BM$16)*(1+IF(BK183&gt;0,'Attrition Modeling'!$N$9,0))),0))</f>
        <v>2730.8674340527909</v>
      </c>
      <c r="BL118" s="799">
        <f>IF(BL$69=$F118+1,IF(Monthly!BH$4=TRUE,0,Monthly!BH$17),IF(BL$69&gt;$F118+1,BK118*(1-IF(BL$69-$F118&lt;=12,SUMIFS('Attrition Modeling'!$D:$D,'Attrition Modeling'!$B:$B,$E118,'Attrition Modeling'!$C:$C,BL$68),VLOOKUP(BL$69-$F118-1,$A$7:$C$161,2,FALSE)*VLOOKUP(BL$1,'Attrition Modeling'!$L$15:$N$27,IF(BL$2-$F51&lt;=24,2,3),FALSE))*(1+Projection!BN$16)*(1+IF(BL183&gt;0,'Attrition Modeling'!$N$9,0))),0))</f>
        <v>2557.7152551109107</v>
      </c>
      <c r="BM118" s="799">
        <f>IF(BM$69=$F118+1,IF(Monthly!BI$4=TRUE,0,Monthly!BI$17),IF(BM$69&gt;$F118+1,BL118*(1-IF(BM$69-$F118&lt;=12,SUMIFS('Attrition Modeling'!$D:$D,'Attrition Modeling'!$B:$B,$E118,'Attrition Modeling'!$C:$C,BM$68),VLOOKUP(BM$69-$F118-1,$A$7:$C$161,2,FALSE)*VLOOKUP(BM$1,'Attrition Modeling'!$L$15:$N$27,IF(BM$2-$F51&lt;=24,2,3),FALSE))*(1+Projection!BO$16)*(1+IF(BM183&gt;0,'Attrition Modeling'!$N$9,0))),0))</f>
        <v>2400.4459223844474</v>
      </c>
      <c r="BN118" s="799">
        <f>IF(BN$69=$F118+1,IF(Monthly!BJ$4=TRUE,0,Monthly!BJ$17),IF(BN$69&gt;$F118+1,BM118*(1-IF(BN$69-$F118&lt;=12,SUMIFS('Attrition Modeling'!$D:$D,'Attrition Modeling'!$B:$B,$E118,'Attrition Modeling'!$C:$C,BN$68),VLOOKUP(BN$69-$F118-1,$A$7:$C$161,2,FALSE)*VLOOKUP(BN$1,'Attrition Modeling'!$L$15:$N$27,IF(BN$2-$F51&lt;=24,2,3),FALSE))*(1+Projection!BP$16)*(1+IF(BN183&gt;0,'Attrition Modeling'!$N$9,0))),0))</f>
        <v>2268.3212980583394</v>
      </c>
      <c r="BO118" s="799">
        <f>IF(BO$69=$F118+1,IF(Monthly!BK$4=TRUE,0,Monthly!BK$17),IF(BO$69&gt;$F118+1,BN118*(1-IF(BO$69-$F118&lt;=12,SUMIFS('Attrition Modeling'!$D:$D,'Attrition Modeling'!$B:$B,$E118,'Attrition Modeling'!$C:$C,BO$68),VLOOKUP(BO$69-$F118-1,$A$7:$C$161,2,FALSE)*VLOOKUP(BO$1,'Attrition Modeling'!$L$15:$N$27,IF(BO$2-$F51&lt;=24,2,3),FALSE))*(1+Projection!BV$16)*(1+IF(BO183&gt;0,'Attrition Modeling'!$N$9,0))),0))</f>
        <v>2197.6717092447548</v>
      </c>
      <c r="BP118" s="799">
        <f>IF(BP$69=$F118+1,IF(Monthly!BL$4=TRUE,0,Monthly!BL$17),IF(BP$69&gt;$F118+1,BO118*(1-IF(BP$69-$F118&lt;=12,SUMIFS('Attrition Modeling'!$D:$D,'Attrition Modeling'!$B:$B,$E118,'Attrition Modeling'!$C:$C,BP$68),VLOOKUP(BP$69-$F118-1,$A$7:$C$161,2,FALSE)*VLOOKUP(BP$1,'Attrition Modeling'!$L$15:$N$27,IF(BP$2-$F51&lt;=24,2,3),FALSE))*(1+Projection!BW$16)*(1+IF(BP183&gt;0,'Attrition Modeling'!$N$9,0))),0))</f>
        <v>2079.3580778846572</v>
      </c>
      <c r="BQ118" s="799">
        <f>IF(BQ$69=$F118+1,IF(Monthly!BM$4=TRUE,0,Monthly!BM$17),IF(BQ$69&gt;$F118+1,BP118*(1-IF(BQ$69-$F118&lt;=12,SUMIFS('Attrition Modeling'!$D:$D,'Attrition Modeling'!$B:$B,$E118,'Attrition Modeling'!$C:$C,BQ$68),VLOOKUP(BQ$69-$F118-1,$A$7:$C$161,2,FALSE)*VLOOKUP(BQ$1,'Attrition Modeling'!$L$15:$N$27,IF(BQ$2-$F51&lt;=24,2,3),FALSE))*(1+Projection!BX$16)*(1+IF(BQ183&gt;0,'Attrition Modeling'!$N$9,0))),0))</f>
        <v>1986.17280040537</v>
      </c>
      <c r="BR118" s="799">
        <f>IF(BR$69=$F118+1,IF(Monthly!BN$4=TRUE,0,Monthly!BN$17),IF(BR$69&gt;$F118+1,BQ118*(1-IF(BR$69-$F118&lt;=12,SUMIFS('Attrition Modeling'!$D:$D,'Attrition Modeling'!$B:$B,$E118,'Attrition Modeling'!$C:$C,BR$68),VLOOKUP(BR$69-$F118-1,$A$7:$C$161,2,FALSE)*VLOOKUP(BR$1,'Attrition Modeling'!$L$15:$N$27,IF(BR$2-$F51&lt;=24,2,3),FALSE))*(1+Projection!BY$16)*(1+IF(BR183&gt;0,'Attrition Modeling'!$N$9,0))),0))</f>
        <v>1894.0251164525384</v>
      </c>
      <c r="BS118" s="799">
        <f>IF(BS$69=$F118+1,IF(Monthly!BO$4=TRUE,0,Monthly!BO$17),IF(BS$69&gt;$F118+1,BR118*(1-IF(BS$69-$F118&lt;=12,SUMIFS('Attrition Modeling'!$D:$D,'Attrition Modeling'!$B:$B,$E118,'Attrition Modeling'!$C:$C,BS$68),VLOOKUP(BS$69-$F118-1,$A$7:$C$161,2,FALSE)*VLOOKUP(BS$1,'Attrition Modeling'!$L$15:$N$27,IF(BS$2-$F51&lt;=24,2,3),FALSE))*(1+Projection!BZ$16)*(1+IF(BS183&gt;0,'Attrition Modeling'!$N$9,0))),0))</f>
        <v>1810.7826272961865</v>
      </c>
      <c r="BT118" s="799">
        <f>IF(BT$69=$F118+1,IF(Monthly!#REF!=TRUE,0,Monthly!#REF!),IF(BT$69&gt;$F118+1,BS118*(1-IF(BT$69-$F118&lt;=12,SUMIFS('Attrition Modeling'!$D:$D,'Attrition Modeling'!$B:$B,$E118,'Attrition Modeling'!$C:$C,BT$68),VLOOKUP(BT$69-$F118-1,$A$7:$C$161,2,FALSE)*VLOOKUP(BT$1,'Attrition Modeling'!$L$15:$N$27,IF(BT$2-$F51&lt;=24,2,3),FALSE))*(1+Projection!CA$16)*(1+IF(BT183&gt;0,'Attrition Modeling'!$N$9,0))),0))</f>
        <v>1734.0907816107333</v>
      </c>
      <c r="BU118" s="799">
        <f>IF(BU$69=$F118+1,IF(Monthly!#REF!=TRUE,0,Monthly!#REF!),IF(BU$69&gt;$F118+1,BT118*(1-IF(BU$69-$F118&lt;=12,SUMIFS('Attrition Modeling'!$D:$D,'Attrition Modeling'!$B:$B,$E118,'Attrition Modeling'!$C:$C,BU$68),VLOOKUP(BU$69-$F118-1,$A$7:$C$161,2,FALSE)*VLOOKUP(BU$1,'Attrition Modeling'!$L$15:$N$27,IF(BU$2-$F51&lt;=24,2,3),FALSE))*(1+Projection!CB$16)*(1+IF(BU183&gt;0,'Attrition Modeling'!$N$9,0))),0))</f>
        <v>1639.727958981365</v>
      </c>
    </row>
    <row r="119" spans="1:73" ht="14.25" customHeight="1" x14ac:dyDescent="0.2">
      <c r="A119" s="9">
        <v>112</v>
      </c>
      <c r="B119" s="25">
        <f>MAX('Attrition Modeling'!H116,$C$3)*(1-Summary!$C$20)</f>
        <v>0.02</v>
      </c>
      <c r="C119" s="24" t="e">
        <f t="shared" si="4"/>
        <v>#DIV/0!</v>
      </c>
      <c r="E119" s="11">
        <f t="shared" si="9"/>
        <v>1</v>
      </c>
      <c r="F119" s="11">
        <f t="shared" si="10"/>
        <v>49</v>
      </c>
      <c r="G119" s="799"/>
      <c r="H119" s="799">
        <f>IF(H$69=$F119+1,IF(Monthly!D$4=TRUE,0,Monthly!D$17),IF(H$69&gt;$F119+1,G119*(1-IF(H$69-$F119&lt;=12,SUMIFS('Attrition Modeling'!$D:$D,'Attrition Modeling'!$B:$B,$E119,'Attrition Modeling'!$C:$C,H$68),VLOOKUP(H$69-$F119-1,$A$7:$C$161,2,FALSE)*VLOOKUP(H$1,'Attrition Modeling'!$L$15:$N$27,IF(H$2-$F52&lt;=24,2,3),FALSE))*(1+Projection!J$16)*(1+IF(H184&gt;0,'Attrition Modeling'!$N$9,0))),0))</f>
        <v>0</v>
      </c>
      <c r="I119" s="799">
        <f>IF(I$69=$F119+1,IF(Monthly!E$4=TRUE,0,Monthly!E$17),IF(I$69&gt;$F119+1,H119*(1-IF(I$69-$F119&lt;=12,SUMIFS('Attrition Modeling'!$D:$D,'Attrition Modeling'!$B:$B,$E119,'Attrition Modeling'!$C:$C,I$68),VLOOKUP(I$69-$F119-1,$A$7:$C$161,2,FALSE)*VLOOKUP(I$1,'Attrition Modeling'!$L$15:$N$27,IF(I$2-$F52&lt;=24,2,3),FALSE))*(1+Projection!K$16)*(1+IF(I184&gt;0,'Attrition Modeling'!$N$9,0))),0))</f>
        <v>0</v>
      </c>
      <c r="J119" s="799">
        <f>IF(J$69=$F119+1,IF(Monthly!F$4=TRUE,0,Monthly!F$17),IF(J$69&gt;$F119+1,I119*(1-IF(J$69-$F119&lt;=12,SUMIFS('Attrition Modeling'!$D:$D,'Attrition Modeling'!$B:$B,$E119,'Attrition Modeling'!$C:$C,J$68),VLOOKUP(J$69-$F119-1,$A$7:$C$161,2,FALSE)*VLOOKUP(J$1,'Attrition Modeling'!$L$15:$N$27,IF(J$2-$F52&lt;=24,2,3),FALSE))*(1+Projection!L$16)*(1+IF(J184&gt;0,'Attrition Modeling'!$N$9,0))),0))</f>
        <v>0</v>
      </c>
      <c r="K119" s="799">
        <f>IF(K$69=$F119+1,IF(Monthly!G$4=TRUE,0,Monthly!G$17),IF(K$69&gt;$F119+1,J119*(1-IF(K$69-$F119&lt;=12,SUMIFS('Attrition Modeling'!$D:$D,'Attrition Modeling'!$B:$B,$E119,'Attrition Modeling'!$C:$C,K$68),VLOOKUP(K$69-$F119-1,$A$7:$C$161,2,FALSE)*VLOOKUP(K$1,'Attrition Modeling'!$L$15:$N$27,IF(K$2-$F52&lt;=24,2,3),FALSE))*(1+Projection!M$16)*(1+IF(K184&gt;0,'Attrition Modeling'!$N$9,0))),0))</f>
        <v>0</v>
      </c>
      <c r="L119" s="799">
        <f>IF(L$69=$F119+1,IF(Monthly!H$4=TRUE,0,Monthly!H$17),IF(L$69&gt;$F119+1,K119*(1-IF(L$69-$F119&lt;=12,SUMIFS('Attrition Modeling'!$D:$D,'Attrition Modeling'!$B:$B,$E119,'Attrition Modeling'!$C:$C,L$68),VLOOKUP(L$69-$F119-1,$A$7:$C$161,2,FALSE)*VLOOKUP(L$1,'Attrition Modeling'!$L$15:$N$27,IF(L$2-$F52&lt;=24,2,3),FALSE))*(1+Projection!N$16)*(1+IF(L184&gt;0,'Attrition Modeling'!$N$9,0))),0))</f>
        <v>0</v>
      </c>
      <c r="M119" s="799">
        <f>IF(M$69=$F119+1,IF(Monthly!I$4=TRUE,0,Monthly!I$17),IF(M$69&gt;$F119+1,L119*(1-IF(M$69-$F119&lt;=12,SUMIFS('Attrition Modeling'!$D:$D,'Attrition Modeling'!$B:$B,$E119,'Attrition Modeling'!$C:$C,M$68),VLOOKUP(M$69-$F119-1,$A$7:$C$161,2,FALSE)*VLOOKUP(M$1,'Attrition Modeling'!$L$15:$N$27,IF(M$2-$F52&lt;=24,2,3),FALSE))*(1+Projection!O$16)*(1+IF(M184&gt;0,'Attrition Modeling'!$N$9,0))),0))</f>
        <v>0</v>
      </c>
      <c r="N119" s="799">
        <f>IF(N$69=$F119+1,IF(Monthly!J$4=TRUE,0,Monthly!J$17),IF(N$69&gt;$F119+1,M119*(1-IF(N$69-$F119&lt;=12,SUMIFS('Attrition Modeling'!$D:$D,'Attrition Modeling'!$B:$B,$E119,'Attrition Modeling'!$C:$C,N$68),VLOOKUP(N$69-$F119-1,$A$7:$C$161,2,FALSE)*VLOOKUP(N$1,'Attrition Modeling'!$L$15:$N$27,IF(N$2-$F52&lt;=24,2,3),FALSE))*(1+Projection!P$16)*(1+IF(N184&gt;0,'Attrition Modeling'!$N$9,0))),0))</f>
        <v>0</v>
      </c>
      <c r="O119" s="799">
        <f>IF(O$69=$F119+1,IF(Monthly!K$4=TRUE,0,Monthly!K$17),IF(O$69&gt;$F119+1,N119*(1-IF(O$69-$F119&lt;=12,SUMIFS('Attrition Modeling'!$D:$D,'Attrition Modeling'!$B:$B,$E119,'Attrition Modeling'!$C:$C,O$68),VLOOKUP(O$69-$F119-1,$A$7:$C$161,2,FALSE)*VLOOKUP(O$1,'Attrition Modeling'!$L$15:$N$27,IF(O$2-$F52&lt;=24,2,3),FALSE))*(1+Projection!Q$16)*(1+IF(O184&gt;0,'Attrition Modeling'!$N$9,0))),0))</f>
        <v>0</v>
      </c>
      <c r="P119" s="799">
        <f>IF(P$69=$F119+1,IF(Monthly!L$4=TRUE,0,Monthly!L$17),IF(P$69&gt;$F119+1,O119*(1-IF(P$69-$F119&lt;=12,SUMIFS('Attrition Modeling'!$D:$D,'Attrition Modeling'!$B:$B,$E119,'Attrition Modeling'!$C:$C,P$68),VLOOKUP(P$69-$F119-1,$A$7:$C$161,2,FALSE)*VLOOKUP(P$1,'Attrition Modeling'!$L$15:$N$27,IF(P$2-$F52&lt;=24,2,3),FALSE))*(1+Projection!R$16)*(1+IF(P184&gt;0,'Attrition Modeling'!$N$9,0))),0))</f>
        <v>0</v>
      </c>
      <c r="Q119" s="799">
        <f>IF(Q$69=$F119+1,IF(Monthly!M$4=TRUE,0,Monthly!M$17),IF(Q$69&gt;$F119+1,P119*(1-IF(Q$69-$F119&lt;=12,SUMIFS('Attrition Modeling'!$D:$D,'Attrition Modeling'!$B:$B,$E119,'Attrition Modeling'!$C:$C,Q$68),VLOOKUP(Q$69-$F119-1,$A$7:$C$161,2,FALSE)*VLOOKUP(Q$1,'Attrition Modeling'!$L$15:$N$27,IF(Q$2-$F52&lt;=24,2,3),FALSE))*(1+Projection!S$16)*(1+IF(Q184&gt;0,'Attrition Modeling'!$N$9,0))),0))</f>
        <v>0</v>
      </c>
      <c r="R119" s="799">
        <f>IF(R$69=$F119+1,IF(Monthly!N$4=TRUE,0,Monthly!N$17),IF(R$69&gt;$F119+1,Q119*(1-IF(R$69-$F119&lt;=12,SUMIFS('Attrition Modeling'!$D:$D,'Attrition Modeling'!$B:$B,$E119,'Attrition Modeling'!$C:$C,R$68),VLOOKUP(R$69-$F119-1,$A$7:$C$161,2,FALSE)*VLOOKUP(R$1,'Attrition Modeling'!$L$15:$N$27,IF(R$2-$F52&lt;=24,2,3),FALSE))*(1+Projection!T$16)*(1+IF(R184&gt;0,'Attrition Modeling'!$N$9,0))),0))</f>
        <v>0</v>
      </c>
      <c r="S119" s="799">
        <f>IF(S$69=$F119+1,IF(Monthly!O$4=TRUE,0,Monthly!O$17),IF(S$69&gt;$F119+1,R119*(1-IF(S$69-$F119&lt;=12,SUMIFS('Attrition Modeling'!$D:$D,'Attrition Modeling'!$B:$B,$E119,'Attrition Modeling'!$C:$C,S$68),VLOOKUP(S$69-$F119-1,$A$7:$C$161,2,FALSE)*VLOOKUP(S$1,'Attrition Modeling'!$L$15:$N$27,IF(S$2-$F52&lt;=24,2,3),FALSE))*(1+Projection!U$16)*(1+IF(S184&gt;0,'Attrition Modeling'!$N$9,0))),0))</f>
        <v>0</v>
      </c>
      <c r="T119" s="799">
        <f>IF(T$69=$F119+1,IF(Monthly!P$4=TRUE,0,Monthly!P$17),IF(T$69&gt;$F119+1,S119*(1-IF(T$69-$F119&lt;=12,SUMIFS('Attrition Modeling'!$D:$D,'Attrition Modeling'!$B:$B,$E119,'Attrition Modeling'!$C:$C,T$68),VLOOKUP(T$69-$F119-1,$A$7:$C$161,2,FALSE)*VLOOKUP(T$1,'Attrition Modeling'!$L$15:$N$27,IF(T$2-$F52&lt;=24,2,3),FALSE))*(1+Projection!V$16)*(1+IF(T184&gt;0,'Attrition Modeling'!$N$9,0))),0))</f>
        <v>0</v>
      </c>
      <c r="U119" s="799">
        <f>IF(U$69=$F119+1,IF(Monthly!Q$4=TRUE,0,Monthly!Q$17),IF(U$69&gt;$F119+1,T119*(1-IF(U$69-$F119&lt;=12,SUMIFS('Attrition Modeling'!$D:$D,'Attrition Modeling'!$B:$B,$E119,'Attrition Modeling'!$C:$C,U$68),VLOOKUP(U$69-$F119-1,$A$7:$C$161,2,FALSE)*VLOOKUP(U$1,'Attrition Modeling'!$L$15:$N$27,IF(U$2-$F52&lt;=24,2,3),FALSE))*(1+Projection!W$16)*(1+IF(U184&gt;0,'Attrition Modeling'!$N$9,0))),0))</f>
        <v>0</v>
      </c>
      <c r="V119" s="799">
        <f>IF(V$69=$F119+1,IF(Monthly!R$4=TRUE,0,Monthly!R$17),IF(V$69&gt;$F119+1,U119*(1-IF(V$69-$F119&lt;=12,SUMIFS('Attrition Modeling'!$D:$D,'Attrition Modeling'!$B:$B,$E119,'Attrition Modeling'!$C:$C,V$68),VLOOKUP(V$69-$F119-1,$A$7:$C$161,2,FALSE)*VLOOKUP(V$1,'Attrition Modeling'!$L$15:$N$27,IF(V$2-$F52&lt;=24,2,3),FALSE))*(1+Projection!X$16)*(1+IF(V184&gt;0,'Attrition Modeling'!$N$9,0))),0))</f>
        <v>0</v>
      </c>
      <c r="W119" s="799">
        <f>IF(W$69=$F119+1,IF(Monthly!S$4=TRUE,0,Monthly!S$17),IF(W$69&gt;$F119+1,V119*(1-IF(W$69-$F119&lt;=12,SUMIFS('Attrition Modeling'!$D:$D,'Attrition Modeling'!$B:$B,$E119,'Attrition Modeling'!$C:$C,W$68),VLOOKUP(W$69-$F119-1,$A$7:$C$161,2,FALSE)*VLOOKUP(W$1,'Attrition Modeling'!$L$15:$N$27,IF(W$2-$F52&lt;=24,2,3),FALSE))*(1+Projection!Y$16)*(1+IF(W184&gt;0,'Attrition Modeling'!$N$9,0))),0))</f>
        <v>0</v>
      </c>
      <c r="X119" s="799">
        <f>IF(X$69=$F119+1,IF(Monthly!T$4=TRUE,0,Monthly!T$17),IF(X$69&gt;$F119+1,W119*(1-IF(X$69-$F119&lt;=12,SUMIFS('Attrition Modeling'!$D:$D,'Attrition Modeling'!$B:$B,$E119,'Attrition Modeling'!$C:$C,X$68),VLOOKUP(X$69-$F119-1,$A$7:$C$161,2,FALSE)*VLOOKUP(X$1,'Attrition Modeling'!$L$15:$N$27,IF(X$2-$F52&lt;=24,2,3),FALSE))*(1+Projection!Z$16)*(1+IF(X184&gt;0,'Attrition Modeling'!$N$9,0))),0))</f>
        <v>0</v>
      </c>
      <c r="Y119" s="799">
        <f>IF(Y$69=$F119+1,IF(Monthly!U$4=TRUE,0,Monthly!U$17),IF(Y$69&gt;$F119+1,X119*(1-IF(Y$69-$F119&lt;=12,SUMIFS('Attrition Modeling'!$D:$D,'Attrition Modeling'!$B:$B,$E119,'Attrition Modeling'!$C:$C,Y$68),VLOOKUP(Y$69-$F119-1,$A$7:$C$161,2,FALSE)*VLOOKUP(Y$1,'Attrition Modeling'!$L$15:$N$27,IF(Y$2-$F52&lt;=24,2,3),FALSE))*(1+Projection!AA$16)*(1+IF(Y184&gt;0,'Attrition Modeling'!$N$9,0))),0))</f>
        <v>0</v>
      </c>
      <c r="Z119" s="799">
        <f>IF(Z$69=$F119+1,IF(Monthly!V$4=TRUE,0,Monthly!V$17),IF(Z$69&gt;$F119+1,Y119*(1-IF(Z$69-$F119&lt;=12,SUMIFS('Attrition Modeling'!$D:$D,'Attrition Modeling'!$B:$B,$E119,'Attrition Modeling'!$C:$C,Z$68),VLOOKUP(Z$69-$F119-1,$A$7:$C$161,2,FALSE)*VLOOKUP(Z$1,'Attrition Modeling'!$L$15:$N$27,IF(Z$2-$F52&lt;=24,2,3),FALSE))*(1+Projection!AB$16)*(1+IF(Z184&gt;0,'Attrition Modeling'!$N$9,0))),0))</f>
        <v>0</v>
      </c>
      <c r="AA119" s="799">
        <f>IF(AA$69=$F119+1,IF(Monthly!W$4=TRUE,0,Monthly!W$17),IF(AA$69&gt;$F119+1,Z119*(1-IF(AA$69-$F119&lt;=12,SUMIFS('Attrition Modeling'!$D:$D,'Attrition Modeling'!$B:$B,$E119,'Attrition Modeling'!$C:$C,AA$68),VLOOKUP(AA$69-$F119-1,$A$7:$C$161,2,FALSE)*VLOOKUP(AA$1,'Attrition Modeling'!$L$15:$N$27,IF(AA$2-$F52&lt;=24,2,3),FALSE))*(1+Projection!AC$16)*(1+IF(AA184&gt;0,'Attrition Modeling'!$N$9,0))),0))</f>
        <v>0</v>
      </c>
      <c r="AB119" s="799">
        <f>IF(AB$69=$F119+1,IF(Monthly!X$4=TRUE,0,Monthly!X$17),IF(AB$69&gt;$F119+1,AA119*(1-IF(AB$69-$F119&lt;=12,SUMIFS('Attrition Modeling'!$D:$D,'Attrition Modeling'!$B:$B,$E119,'Attrition Modeling'!$C:$C,AB$68),VLOOKUP(AB$69-$F119-1,$A$7:$C$161,2,FALSE)*VLOOKUP(AB$1,'Attrition Modeling'!$L$15:$N$27,IF(AB$2-$F52&lt;=24,2,3),FALSE))*(1+Projection!AD$16)*(1+IF(AB184&gt;0,'Attrition Modeling'!$N$9,0))),0))</f>
        <v>0</v>
      </c>
      <c r="AC119" s="799">
        <f>IF(AC$69=$F119+1,IF(Monthly!Y$4=TRUE,0,Monthly!Y$17),IF(AC$69&gt;$F119+1,AB119*(1-IF(AC$69-$F119&lt;=12,SUMIFS('Attrition Modeling'!$D:$D,'Attrition Modeling'!$B:$B,$E119,'Attrition Modeling'!$C:$C,AC$68),VLOOKUP(AC$69-$F119-1,$A$7:$C$161,2,FALSE)*VLOOKUP(AC$1,'Attrition Modeling'!$L$15:$N$27,IF(AC$2-$F52&lt;=24,2,3),FALSE))*(1+Projection!AE$16)*(1+IF(AC184&gt;0,'Attrition Modeling'!$N$9,0))),0))</f>
        <v>0</v>
      </c>
      <c r="AD119" s="799">
        <f>IF(AD$69=$F119+1,IF(Monthly!Z$4=TRUE,0,Monthly!Z$17),IF(AD$69&gt;$F119+1,AC119*(1-IF(AD$69-$F119&lt;=12,SUMIFS('Attrition Modeling'!$D:$D,'Attrition Modeling'!$B:$B,$E119,'Attrition Modeling'!$C:$C,AD$68),VLOOKUP(AD$69-$F119-1,$A$7:$C$161,2,FALSE)*VLOOKUP(AD$1,'Attrition Modeling'!$L$15:$N$27,IF(AD$2-$F52&lt;=24,2,3),FALSE))*(1+Projection!AF$16)*(1+IF(AD184&gt;0,'Attrition Modeling'!$N$9,0))),0))</f>
        <v>0</v>
      </c>
      <c r="AE119" s="799">
        <f>IF(AE$69=$F119+1,IF(Monthly!AA$4=TRUE,0,Monthly!AA$17),IF(AE$69&gt;$F119+1,AD119*(1-IF(AE$69-$F119&lt;=12,SUMIFS('Attrition Modeling'!$D:$D,'Attrition Modeling'!$B:$B,$E119,'Attrition Modeling'!$C:$C,AE$68),VLOOKUP(AE$69-$F119-1,$A$7:$C$161,2,FALSE)*VLOOKUP(AE$1,'Attrition Modeling'!$L$15:$N$27,IF(AE$2-$F52&lt;=24,2,3),FALSE))*(1+Projection!AG$16)*(1+IF(AE184&gt;0,'Attrition Modeling'!$N$9,0))),0))</f>
        <v>0</v>
      </c>
      <c r="AF119" s="799">
        <f>IF(AF$69=$F119+1,IF(Monthly!AB$4=TRUE,0,Monthly!AB$17),IF(AF$69&gt;$F119+1,AE119*(1-IF(AF$69-$F119&lt;=12,SUMIFS('Attrition Modeling'!$D:$D,'Attrition Modeling'!$B:$B,$E119,'Attrition Modeling'!$C:$C,AF$68),VLOOKUP(AF$69-$F119-1,$A$7:$C$161,2,FALSE)*VLOOKUP(AF$1,'Attrition Modeling'!$L$15:$N$27,IF(AF$2-$F52&lt;=24,2,3),FALSE))*(1+Projection!AH$16)*(1+IF(AF184&gt;0,'Attrition Modeling'!$N$9,0))),0))</f>
        <v>0</v>
      </c>
      <c r="AG119" s="799">
        <f>IF(AG$69=$F119+1,IF(Monthly!AC$4=TRUE,0,Monthly!AC$17),IF(AG$69&gt;$F119+1,AF119*(1-IF(AG$69-$F119&lt;=12,SUMIFS('Attrition Modeling'!$D:$D,'Attrition Modeling'!$B:$B,$E119,'Attrition Modeling'!$C:$C,AG$68),VLOOKUP(AG$69-$F119-1,$A$7:$C$161,2,FALSE)*VLOOKUP(AG$1,'Attrition Modeling'!$L$15:$N$27,IF(AG$2-$F52&lt;=24,2,3),FALSE))*(1+Projection!AI$16)*(1+IF(AG184&gt;0,'Attrition Modeling'!$N$9,0))),0))</f>
        <v>0</v>
      </c>
      <c r="AH119" s="799">
        <f>IF(AH$69=$F119+1,IF(Monthly!AD$4=TRUE,0,Monthly!AD$17),IF(AH$69&gt;$F119+1,AG119*(1-IF(AH$69-$F119&lt;=12,SUMIFS('Attrition Modeling'!$D:$D,'Attrition Modeling'!$B:$B,$E119,'Attrition Modeling'!$C:$C,AH$68),VLOOKUP(AH$69-$F119-1,$A$7:$C$161,2,FALSE)*VLOOKUP(AH$1,'Attrition Modeling'!$L$15:$N$27,IF(AH$2-$F52&lt;=24,2,3),FALSE))*(1+Projection!AJ$16)*(1+IF(AH184&gt;0,'Attrition Modeling'!$N$9,0))),0))</f>
        <v>0</v>
      </c>
      <c r="AI119" s="799">
        <f>IF(AI$69=$F119+1,IF(Monthly!AE$4=TRUE,0,Monthly!AE$17),IF(AI$69&gt;$F119+1,AH119*(1-IF(AI$69-$F119&lt;=12,SUMIFS('Attrition Modeling'!$D:$D,'Attrition Modeling'!$B:$B,$E119,'Attrition Modeling'!$C:$C,AI$68),VLOOKUP(AI$69-$F119-1,$A$7:$C$161,2,FALSE)*VLOOKUP(AI$1,'Attrition Modeling'!$L$15:$N$27,IF(AI$2-$F52&lt;=24,2,3),FALSE))*(1+Projection!AK$16)*(1+IF(AI184&gt;0,'Attrition Modeling'!$N$9,0))),0))</f>
        <v>0</v>
      </c>
      <c r="AJ119" s="799">
        <f>IF(AJ$69=$F119+1,IF(Monthly!AF$4=TRUE,0,Monthly!AF$17),IF(AJ$69&gt;$F119+1,AI119*(1-IF(AJ$69-$F119&lt;=12,SUMIFS('Attrition Modeling'!$D:$D,'Attrition Modeling'!$B:$B,$E119,'Attrition Modeling'!$C:$C,AJ$68),VLOOKUP(AJ$69-$F119-1,$A$7:$C$161,2,FALSE)*VLOOKUP(AJ$1,'Attrition Modeling'!$L$15:$N$27,IF(AJ$2-$F52&lt;=24,2,3),FALSE))*(1+Projection!AL$16)*(1+IF(AJ184&gt;0,'Attrition Modeling'!$N$9,0))),0))</f>
        <v>0</v>
      </c>
      <c r="AK119" s="799">
        <f>IF(AK$69=$F119+1,IF(Monthly!AG$4=TRUE,0,Monthly!AG$17),IF(AK$69&gt;$F119+1,AJ119*(1-IF(AK$69-$F119&lt;=12,SUMIFS('Attrition Modeling'!$D:$D,'Attrition Modeling'!$B:$B,$E119,'Attrition Modeling'!$C:$C,AK$68),VLOOKUP(AK$69-$F119-1,$A$7:$C$161,2,FALSE)*VLOOKUP(AK$1,'Attrition Modeling'!$L$15:$N$27,IF(AK$2-$F52&lt;=24,2,3),FALSE))*(1+Projection!AM$16)*(1+IF(AK184&gt;0,'Attrition Modeling'!$N$9,0))),0))</f>
        <v>0</v>
      </c>
      <c r="AL119" s="799">
        <f>IF(AL$69=$F119+1,IF(Monthly!AH$4=TRUE,0,Monthly!AH$17),IF(AL$69&gt;$F119+1,AK119*(1-IF(AL$69-$F119&lt;=12,SUMIFS('Attrition Modeling'!$D:$D,'Attrition Modeling'!$B:$B,$E119,'Attrition Modeling'!$C:$C,AL$68),VLOOKUP(AL$69-$F119-1,$A$7:$C$161,2,FALSE)*VLOOKUP(AL$1,'Attrition Modeling'!$L$15:$N$27,IF(AL$2-$F52&lt;=24,2,3),FALSE))*(1+Projection!AN$16)*(1+IF(AL184&gt;0,'Attrition Modeling'!$N$9,0))),0))</f>
        <v>0</v>
      </c>
      <c r="AM119" s="799">
        <f>IF(AM$69=$F119+1,IF(Monthly!AI$4=TRUE,0,Monthly!AI$17),IF(AM$69&gt;$F119+1,AL119*(1-IF(AM$69-$F119&lt;=12,SUMIFS('Attrition Modeling'!$D:$D,'Attrition Modeling'!$B:$B,$E119,'Attrition Modeling'!$C:$C,AM$68),VLOOKUP(AM$69-$F119-1,$A$7:$C$161,2,FALSE)*VLOOKUP(AM$1,'Attrition Modeling'!$L$15:$N$27,IF(AM$2-$F52&lt;=24,2,3),FALSE))*(1+Projection!AO$16)*(1+IF(AM184&gt;0,'Attrition Modeling'!$N$9,0))),0))</f>
        <v>0</v>
      </c>
      <c r="AN119" s="799">
        <f>IF(AN$69=$F119+1,IF(Monthly!AJ$4=TRUE,0,Monthly!AJ$17),IF(AN$69&gt;$F119+1,AM119*(1-IF(AN$69-$F119&lt;=12,SUMIFS('Attrition Modeling'!$D:$D,'Attrition Modeling'!$B:$B,$E119,'Attrition Modeling'!$C:$C,AN$68),VLOOKUP(AN$69-$F119-1,$A$7:$C$161,2,FALSE)*VLOOKUP(AN$1,'Attrition Modeling'!$L$15:$N$27,IF(AN$2-$F52&lt;=24,2,3),FALSE))*(1+Projection!AP$16)*(1+IF(AN184&gt;0,'Attrition Modeling'!$N$9,0))),0))</f>
        <v>0</v>
      </c>
      <c r="AO119" s="799">
        <f>IF(AO$69=$F119+1,IF(Monthly!AK$4=TRUE,0,Monthly!AK$17),IF(AO$69&gt;$F119+1,AN119*(1-IF(AO$69-$F119&lt;=12,SUMIFS('Attrition Modeling'!$D:$D,'Attrition Modeling'!$B:$B,$E119,'Attrition Modeling'!$C:$C,AO$68),VLOOKUP(AO$69-$F119-1,$A$7:$C$161,2,FALSE)*VLOOKUP(AO$1,'Attrition Modeling'!$L$15:$N$27,IF(AO$2-$F52&lt;=24,2,3),FALSE))*(1+Projection!AQ$16)*(1+IF(AO184&gt;0,'Attrition Modeling'!$N$9,0))),0))</f>
        <v>0</v>
      </c>
      <c r="AP119" s="799">
        <f>IF(AP$69=$F119+1,IF(Monthly!AL$4=TRUE,0,Monthly!AL$17),IF(AP$69&gt;$F119+1,AO119*(1-IF(AP$69-$F119&lt;=12,SUMIFS('Attrition Modeling'!$D:$D,'Attrition Modeling'!$B:$B,$E119,'Attrition Modeling'!$C:$C,AP$68),VLOOKUP(AP$69-$F119-1,$A$7:$C$161,2,FALSE)*VLOOKUP(AP$1,'Attrition Modeling'!$L$15:$N$27,IF(AP$2-$F52&lt;=24,2,3),FALSE))*(1+Projection!AR$16)*(1+IF(AP184&gt;0,'Attrition Modeling'!$N$9,0))),0))</f>
        <v>0</v>
      </c>
      <c r="AQ119" s="799">
        <f>IF(AQ$69=$F119+1,IF(Monthly!AM$4=TRUE,0,Monthly!AM$17),IF(AQ$69&gt;$F119+1,AP119*(1-IF(AQ$69-$F119&lt;=12,SUMIFS('Attrition Modeling'!$D:$D,'Attrition Modeling'!$B:$B,$E119,'Attrition Modeling'!$C:$C,AQ$68),VLOOKUP(AQ$69-$F119-1,$A$7:$C$161,2,FALSE)*VLOOKUP(AQ$1,'Attrition Modeling'!$L$15:$N$27,IF(AQ$2-$F52&lt;=24,2,3),FALSE))*(1+Projection!AS$16)*(1+IF(AQ184&gt;0,'Attrition Modeling'!$N$9,0))),0))</f>
        <v>0</v>
      </c>
      <c r="AR119" s="799">
        <f>IF(AR$69=$F119+1,IF(Monthly!AN$4=TRUE,0,Monthly!AN$17),IF(AR$69&gt;$F119+1,AQ119*(1-IF(AR$69-$F119&lt;=12,SUMIFS('Attrition Modeling'!$D:$D,'Attrition Modeling'!$B:$B,$E119,'Attrition Modeling'!$C:$C,AR$68),VLOOKUP(AR$69-$F119-1,$A$7:$C$161,2,FALSE)*VLOOKUP(AR$1,'Attrition Modeling'!$L$15:$N$27,IF(AR$2-$F52&lt;=24,2,3),FALSE))*(1+Projection!AT$16)*(1+IF(AR184&gt;0,'Attrition Modeling'!$N$9,0))),0))</f>
        <v>0</v>
      </c>
      <c r="AS119" s="799">
        <f>IF(AS$69=$F119+1,IF(Monthly!AO$4=TRUE,0,Monthly!AO$17),IF(AS$69&gt;$F119+1,AR119*(1-IF(AS$69-$F119&lt;=12,SUMIFS('Attrition Modeling'!$D:$D,'Attrition Modeling'!$B:$B,$E119,'Attrition Modeling'!$C:$C,AS$68),VLOOKUP(AS$69-$F119-1,$A$7:$C$161,2,FALSE)*VLOOKUP(AS$1,'Attrition Modeling'!$L$15:$N$27,IF(AS$2-$F52&lt;=24,2,3),FALSE))*(1+Projection!AU$16)*(1+IF(AS184&gt;0,'Attrition Modeling'!$N$9,0))),0))</f>
        <v>0</v>
      </c>
      <c r="AT119" s="799">
        <f>IF(AT$69=$F119+1,IF(Monthly!AP$4=TRUE,0,Monthly!AP$17),IF(AT$69&gt;$F119+1,AS119*(1-IF(AT$69-$F119&lt;=12,SUMIFS('Attrition Modeling'!$D:$D,'Attrition Modeling'!$B:$B,$E119,'Attrition Modeling'!$C:$C,AT$68),VLOOKUP(AT$69-$F119-1,$A$7:$C$161,2,FALSE)*VLOOKUP(AT$1,'Attrition Modeling'!$L$15:$N$27,IF(AT$2-$F52&lt;=24,2,3),FALSE))*(1+Projection!AV$16)*(1+IF(AT184&gt;0,'Attrition Modeling'!$N$9,0))),0))</f>
        <v>0</v>
      </c>
      <c r="AU119" s="799">
        <f>IF(AU$69=$F119+1,IF(Monthly!AQ$4=TRUE,0,Monthly!AQ$17),IF(AU$69&gt;$F119+1,AT119*(1-IF(AU$69-$F119&lt;=12,SUMIFS('Attrition Modeling'!$D:$D,'Attrition Modeling'!$B:$B,$E119,'Attrition Modeling'!$C:$C,AU$68),VLOOKUP(AU$69-$F119-1,$A$7:$C$161,2,FALSE)*VLOOKUP(AU$1,'Attrition Modeling'!$L$15:$N$27,IF(AU$2-$F52&lt;=24,2,3),FALSE))*(1+Projection!AW$16)*(1+IF(AU184&gt;0,'Attrition Modeling'!$N$9,0))),0))</f>
        <v>0</v>
      </c>
      <c r="AV119" s="799">
        <f>IF(AV$69=$F119+1,IF(Monthly!AR$4=TRUE,0,Monthly!AR$17),IF(AV$69&gt;$F119+1,AU119*(1-IF(AV$69-$F119&lt;=12,SUMIFS('Attrition Modeling'!$D:$D,'Attrition Modeling'!$B:$B,$E119,'Attrition Modeling'!$C:$C,AV$68),VLOOKUP(AV$69-$F119-1,$A$7:$C$161,2,FALSE)*VLOOKUP(AV$1,'Attrition Modeling'!$L$15:$N$27,IF(AV$2-$F52&lt;=24,2,3),FALSE))*(1+Projection!AX$16)*(1+IF(AV184&gt;0,'Attrition Modeling'!$N$9,0))),0))</f>
        <v>0</v>
      </c>
      <c r="AW119" s="799">
        <f>IF(AW$69=$F119+1,IF(Monthly!AS$4=TRUE,0,Monthly!AS$17),IF(AW$69&gt;$F119+1,AV119*(1-IF(AW$69-$F119&lt;=12,SUMIFS('Attrition Modeling'!$D:$D,'Attrition Modeling'!$B:$B,$E119,'Attrition Modeling'!$C:$C,AW$68),VLOOKUP(AW$69-$F119-1,$A$7:$C$161,2,FALSE)*VLOOKUP(AW$1,'Attrition Modeling'!$L$15:$N$27,IF(AW$2-$F52&lt;=24,2,3),FALSE))*(1+Projection!AY$16)*(1+IF(AW184&gt;0,'Attrition Modeling'!$N$9,0))),0))</f>
        <v>0</v>
      </c>
      <c r="AX119" s="799">
        <f>IF(AX$69=$F119+1,IF(Monthly!AT$4=TRUE,0,Monthly!AT$17),IF(AX$69&gt;$F119+1,AW119*(1-IF(AX$69-$F119&lt;=12,SUMIFS('Attrition Modeling'!$D:$D,'Attrition Modeling'!$B:$B,$E119,'Attrition Modeling'!$C:$C,AX$68),VLOOKUP(AX$69-$F119-1,$A$7:$C$161,2,FALSE)*VLOOKUP(AX$1,'Attrition Modeling'!$L$15:$N$27,IF(AX$2-$F52&lt;=24,2,3),FALSE))*(1+Projection!AZ$16)*(1+IF(AX184&gt;0,'Attrition Modeling'!$N$9,0))),0))</f>
        <v>0</v>
      </c>
      <c r="AY119" s="799">
        <f>IF(AY$69=$F119+1,IF(Monthly!AU$4=TRUE,0,Monthly!AU$17),IF(AY$69&gt;$F119+1,AX119*(1-IF(AY$69-$F119&lt;=12,SUMIFS('Attrition Modeling'!$D:$D,'Attrition Modeling'!$B:$B,$E119,'Attrition Modeling'!$C:$C,AY$68),VLOOKUP(AY$69-$F119-1,$A$7:$C$161,2,FALSE)*VLOOKUP(AY$1,'Attrition Modeling'!$L$15:$N$27,IF(AY$2-$F52&lt;=24,2,3),FALSE))*(1+Projection!BA$16)*(1+IF(AY184&gt;0,'Attrition Modeling'!$N$9,0))),0))</f>
        <v>0</v>
      </c>
      <c r="AZ119" s="799">
        <f>IF(AZ$69=$F119+1,IF(Monthly!AV$4=TRUE,0,Monthly!AV$17),IF(AZ$69&gt;$F119+1,AY119*(1-IF(AZ$69-$F119&lt;=12,SUMIFS('Attrition Modeling'!$D:$D,'Attrition Modeling'!$B:$B,$E119,'Attrition Modeling'!$C:$C,AZ$68),VLOOKUP(AZ$69-$F119-1,$A$7:$C$161,2,FALSE)*VLOOKUP(AZ$1,'Attrition Modeling'!$L$15:$N$27,IF(AZ$2-$F52&lt;=24,2,3),FALSE))*(1+Projection!BB$16)*(1+IF(AZ184&gt;0,'Attrition Modeling'!$N$9,0))),0))</f>
        <v>0</v>
      </c>
      <c r="BA119" s="799">
        <f>IF(BA$69=$F119+1,IF(Monthly!AW$4=TRUE,0,Monthly!AW$17),IF(BA$69&gt;$F119+1,AZ119*(1-IF(BA$69-$F119&lt;=12,SUMIFS('Attrition Modeling'!$D:$D,'Attrition Modeling'!$B:$B,$E119,'Attrition Modeling'!$C:$C,BA$68),VLOOKUP(BA$69-$F119-1,$A$7:$C$161,2,FALSE)*VLOOKUP(BA$1,'Attrition Modeling'!$L$15:$N$27,IF(BA$2-$F52&lt;=24,2,3),FALSE))*(1+Projection!BC$16)*(1+IF(BA184&gt;0,'Attrition Modeling'!$N$9,0))),0))</f>
        <v>0</v>
      </c>
      <c r="BB119" s="799">
        <f>IF(BB$69=$F119+1,IF(Monthly!AX$4=TRUE,0,Monthly!AX$17),IF(BB$69&gt;$F119+1,BA119*(1-IF(BB$69-$F119&lt;=12,SUMIFS('Attrition Modeling'!$D:$D,'Attrition Modeling'!$B:$B,$E119,'Attrition Modeling'!$C:$C,BB$68),VLOOKUP(BB$69-$F119-1,$A$7:$C$161,2,FALSE)*VLOOKUP(BB$1,'Attrition Modeling'!$L$15:$N$27,IF(BB$2-$F52&lt;=24,2,3),FALSE))*(1+Projection!BD$16)*(1+IF(BB184&gt;0,'Attrition Modeling'!$N$9,0))),0))</f>
        <v>0</v>
      </c>
      <c r="BC119" s="799">
        <f>IF(BC$69=$F119+1,IF(Monthly!AY$4=TRUE,0,Monthly!AY$17),IF(BC$69&gt;$F119+1,BB119*(1-IF(BC$69-$F119&lt;=12,SUMIFS('Attrition Modeling'!$D:$D,'Attrition Modeling'!$B:$B,$E119,'Attrition Modeling'!$C:$C,BC$68),VLOOKUP(BC$69-$F119-1,$A$7:$C$161,2,FALSE)*VLOOKUP(BC$1,'Attrition Modeling'!$L$15:$N$27,IF(BC$2-$F52&lt;=24,2,3),FALSE))*(1+Projection!BE$16)*(1+IF(BC184&gt;0,'Attrition Modeling'!$N$9,0))),0))</f>
        <v>0</v>
      </c>
      <c r="BD119" s="799">
        <f>IF(BD$69=$F119+1,IF(Monthly!AZ$4=TRUE,0,Monthly!AZ$17),IF(BD$69&gt;$F119+1,BC119*(1-IF(BD$69-$F119&lt;=12,SUMIFS('Attrition Modeling'!$D:$D,'Attrition Modeling'!$B:$B,$E119,'Attrition Modeling'!$C:$C,BD$68),VLOOKUP(BD$69-$F119-1,$A$7:$C$161,2,FALSE)*VLOOKUP(BD$1,'Attrition Modeling'!$L$15:$N$27,IF(BD$2-$F52&lt;=24,2,3),FALSE))*(1+Projection!BF$16)*(1+IF(BD184&gt;0,'Attrition Modeling'!$N$9,0))),0))</f>
        <v>0</v>
      </c>
      <c r="BE119" s="799">
        <f>IF(BE$69=$F119+1,IF(Monthly!BA$4=TRUE,0,Monthly!BA$17),IF(BE$69&gt;$F119+1,BD119*(1-IF(BE$69-$F119&lt;=12,SUMIFS('Attrition Modeling'!$D:$D,'Attrition Modeling'!$B:$B,$E119,'Attrition Modeling'!$C:$C,BE$68),VLOOKUP(BE$69-$F119-1,$A$7:$C$161,2,FALSE)*VLOOKUP(BE$1,'Attrition Modeling'!$L$15:$N$27,IF(BE$2-$F52&lt;=24,2,3),FALSE))*(1+Projection!BG$16)*(1+IF(BE184&gt;0,'Attrition Modeling'!$N$9,0))),0))</f>
        <v>4797.1230387622054</v>
      </c>
      <c r="BF119" s="799">
        <f>IF(BF$69=$F119+1,IF(Monthly!BB$4=TRUE,0,Monthly!BB$17),IF(BF$69&gt;$F119+1,BE119*(1-IF(BF$69-$F119&lt;=12,SUMIFS('Attrition Modeling'!$D:$D,'Attrition Modeling'!$B:$B,$E119,'Attrition Modeling'!$C:$C,BF$68),VLOOKUP(BF$69-$F119-1,$A$7:$C$161,2,FALSE)*VLOOKUP(BF$1,'Attrition Modeling'!$L$15:$N$27,IF(BF$2-$F52&lt;=24,2,3),FALSE))*(1+Projection!BH$16)*(1+IF(BF184&gt;0,'Attrition Modeling'!$N$9,0))),0))</f>
        <v>4313.7951432516693</v>
      </c>
      <c r="BG119" s="799">
        <f>IF(BG$69=$F119+1,IF(Monthly!BC$4=TRUE,0,Monthly!BC$17),IF(BG$69&gt;$F119+1,BF119*(1-IF(BG$69-$F119&lt;=12,SUMIFS('Attrition Modeling'!$D:$D,'Attrition Modeling'!$B:$B,$E119,'Attrition Modeling'!$C:$C,BG$68),VLOOKUP(BG$69-$F119-1,$A$7:$C$161,2,FALSE)*VLOOKUP(BG$1,'Attrition Modeling'!$L$15:$N$27,IF(BG$2-$F52&lt;=24,2,3),FALSE))*(1+Projection!BI$16)*(1+IF(BG184&gt;0,'Attrition Modeling'!$N$9,0))),0))</f>
        <v>3953.5431656285418</v>
      </c>
      <c r="BH119" s="799">
        <f>IF(BH$69=$F119+1,IF(Monthly!BD$4=TRUE,0,Monthly!BD$17),IF(BH$69&gt;$F119+1,BG119*(1-IF(BH$69-$F119&lt;=12,SUMIFS('Attrition Modeling'!$D:$D,'Attrition Modeling'!$B:$B,$E119,'Attrition Modeling'!$C:$C,BH$68),VLOOKUP(BH$69-$F119-1,$A$7:$C$161,2,FALSE)*VLOOKUP(BH$1,'Attrition Modeling'!$L$15:$N$27,IF(BH$2-$F52&lt;=24,2,3),FALSE))*(1+Projection!BJ$16)*(1+IF(BH184&gt;0,'Attrition Modeling'!$N$9,0))),0))</f>
        <v>3589.9006536869424</v>
      </c>
      <c r="BI119" s="799">
        <f>IF(BI$69=$F119+1,IF(Monthly!BE$4=TRUE,0,Monthly!BE$17),IF(BI$69&gt;$F119+1,BH119*(1-IF(BI$69-$F119&lt;=12,SUMIFS('Attrition Modeling'!$D:$D,'Attrition Modeling'!$B:$B,$E119,'Attrition Modeling'!$C:$C,BI$68),VLOOKUP(BI$69-$F119-1,$A$7:$C$161,2,FALSE)*VLOOKUP(BI$1,'Attrition Modeling'!$L$15:$N$27,IF(BI$2-$F52&lt;=24,2,3),FALSE))*(1+Projection!BK$16)*(1+IF(BI184&gt;0,'Attrition Modeling'!$N$9,0))),0))</f>
        <v>3299.1139261704307</v>
      </c>
      <c r="BJ119" s="799">
        <f>IF(BJ$69=$F119+1,IF(Monthly!BF$4=TRUE,0,Monthly!BF$17),IF(BJ$69&gt;$F119+1,BI119*(1-IF(BJ$69-$F119&lt;=12,SUMIFS('Attrition Modeling'!$D:$D,'Attrition Modeling'!$B:$B,$E119,'Attrition Modeling'!$C:$C,BJ$68),VLOOKUP(BJ$69-$F119-1,$A$7:$C$161,2,FALSE)*VLOOKUP(BJ$1,'Attrition Modeling'!$L$15:$N$27,IF(BJ$2-$F52&lt;=24,2,3),FALSE))*(1+Projection!BL$16)*(1+IF(BJ184&gt;0,'Attrition Modeling'!$N$9,0))),0))</f>
        <v>2959.3192196072905</v>
      </c>
      <c r="BK119" s="799">
        <f>IF(BK$69=$F119+1,IF(Monthly!BG$4=TRUE,0,Monthly!BG$17),IF(BK$69&gt;$F119+1,BJ119*(1-IF(BK$69-$F119&lt;=12,SUMIFS('Attrition Modeling'!$D:$D,'Attrition Modeling'!$B:$B,$E119,'Attrition Modeling'!$C:$C,BK$68),VLOOKUP(BK$69-$F119-1,$A$7:$C$161,2,FALSE)*VLOOKUP(BK$1,'Attrition Modeling'!$L$15:$N$27,IF(BK$2-$F52&lt;=24,2,3),FALSE))*(1+Projection!BM$16)*(1+IF(BK184&gt;0,'Attrition Modeling'!$N$9,0))),0))</f>
        <v>2733.6141030308727</v>
      </c>
      <c r="BL119" s="799">
        <f>IF(BL$69=$F119+1,IF(Monthly!BH$4=TRUE,0,Monthly!BH$17),IF(BL$69&gt;$F119+1,BK119*(1-IF(BL$69-$F119&lt;=12,SUMIFS('Attrition Modeling'!$D:$D,'Attrition Modeling'!$B:$B,$E119,'Attrition Modeling'!$C:$C,BL$68),VLOOKUP(BL$69-$F119-1,$A$7:$C$161,2,FALSE)*VLOOKUP(BL$1,'Attrition Modeling'!$L$15:$N$27,IF(BL$2-$F52&lt;=24,2,3),FALSE))*(1+Projection!BN$16)*(1+IF(BL184&gt;0,'Attrition Modeling'!$N$9,0))),0))</f>
        <v>2565.9606479993354</v>
      </c>
      <c r="BM119" s="799">
        <f>IF(BM$69=$F119+1,IF(Monthly!BI$4=TRUE,0,Monthly!BI$17),IF(BM$69&gt;$F119+1,BL119*(1-IF(BM$69-$F119&lt;=12,SUMIFS('Attrition Modeling'!$D:$D,'Attrition Modeling'!$B:$B,$E119,'Attrition Modeling'!$C:$C,BM$68),VLOOKUP(BM$69-$F119-1,$A$7:$C$161,2,FALSE)*VLOOKUP(BM$1,'Attrition Modeling'!$L$15:$N$27,IF(BM$2-$F52&lt;=24,2,3),FALSE))*(1+Projection!BO$16)*(1+IF(BM184&gt;0,'Attrition Modeling'!$N$9,0))),0))</f>
        <v>2401.2984371264774</v>
      </c>
      <c r="BN119" s="799">
        <f>IF(BN$69=$F119+1,IF(Monthly!BJ$4=TRUE,0,Monthly!BJ$17),IF(BN$69&gt;$F119+1,BM119*(1-IF(BN$69-$F119&lt;=12,SUMIFS('Attrition Modeling'!$D:$D,'Attrition Modeling'!$B:$B,$E119,'Attrition Modeling'!$C:$C,BN$68),VLOOKUP(BN$69-$F119-1,$A$7:$C$161,2,FALSE)*VLOOKUP(BN$1,'Attrition Modeling'!$L$15:$N$27,IF(BN$2-$F52&lt;=24,2,3),FALSE))*(1+Projection!BP$16)*(1+IF(BN184&gt;0,'Attrition Modeling'!$N$9,0))),0))</f>
        <v>2257.8498631932907</v>
      </c>
      <c r="BO119" s="799">
        <f>IF(BO$69=$F119+1,IF(Monthly!BK$4=TRUE,0,Monthly!BK$17),IF(BO$69&gt;$F119+1,BN119*(1-IF(BO$69-$F119&lt;=12,SUMIFS('Attrition Modeling'!$D:$D,'Attrition Modeling'!$B:$B,$E119,'Attrition Modeling'!$C:$C,BO$68),VLOOKUP(BO$69-$F119-1,$A$7:$C$161,2,FALSE)*VLOOKUP(BO$1,'Attrition Modeling'!$L$15:$N$27,IF(BO$2-$F52&lt;=24,2,3),FALSE))*(1+Projection!BV$16)*(1+IF(BO184&gt;0,'Attrition Modeling'!$N$9,0))),0))</f>
        <v>2125.8154769429639</v>
      </c>
      <c r="BP119" s="799">
        <f>IF(BP$69=$F119+1,IF(Monthly!BL$4=TRUE,0,Monthly!BL$17),IF(BP$69&gt;$F119+1,BO119*(1-IF(BP$69-$F119&lt;=12,SUMIFS('Attrition Modeling'!$D:$D,'Attrition Modeling'!$B:$B,$E119,'Attrition Modeling'!$C:$C,BP$68),VLOOKUP(BP$69-$F119-1,$A$7:$C$161,2,FALSE)*VLOOKUP(BP$1,'Attrition Modeling'!$L$15:$N$27,IF(BP$2-$F52&lt;=24,2,3),FALSE))*(1+Projection!BW$16)*(1+IF(BP184&gt;0,'Attrition Modeling'!$N$9,0))),0))</f>
        <v>2071.3106947963493</v>
      </c>
      <c r="BQ119" s="799">
        <f>IF(BQ$69=$F119+1,IF(Monthly!BM$4=TRUE,0,Monthly!BM$17),IF(BQ$69&gt;$F119+1,BP119*(1-IF(BQ$69-$F119&lt;=12,SUMIFS('Attrition Modeling'!$D:$D,'Attrition Modeling'!$B:$B,$E119,'Attrition Modeling'!$C:$C,BQ$68),VLOOKUP(BQ$69-$F119-1,$A$7:$C$161,2,FALSE)*VLOOKUP(BQ$1,'Attrition Modeling'!$L$15:$N$27,IF(BQ$2-$F52&lt;=24,2,3),FALSE))*(1+Projection!BX$16)*(1+IF(BQ184&gt;0,'Attrition Modeling'!$N$9,0))),0))</f>
        <v>1970.7161404803039</v>
      </c>
      <c r="BR119" s="799">
        <f>IF(BR$69=$F119+1,IF(Monthly!BN$4=TRUE,0,Monthly!BN$17),IF(BR$69&gt;$F119+1,BQ119*(1-IF(BR$69-$F119&lt;=12,SUMIFS('Attrition Modeling'!$D:$D,'Attrition Modeling'!$B:$B,$E119,'Attrition Modeling'!$C:$C,BR$68),VLOOKUP(BR$69-$F119-1,$A$7:$C$161,2,FALSE)*VLOOKUP(BR$1,'Attrition Modeling'!$L$15:$N$27,IF(BR$2-$F52&lt;=24,2,3),FALSE))*(1+Projection!BY$16)*(1+IF(BR184&gt;0,'Attrition Modeling'!$N$9,0))),0))</f>
        <v>1874.5782194853514</v>
      </c>
      <c r="BS119" s="799">
        <f>IF(BS$69=$F119+1,IF(Monthly!BO$4=TRUE,0,Monthly!BO$17),IF(BS$69&gt;$F119+1,BR119*(1-IF(BS$69-$F119&lt;=12,SUMIFS('Attrition Modeling'!$D:$D,'Attrition Modeling'!$B:$B,$E119,'Attrition Modeling'!$C:$C,BS$68),VLOOKUP(BS$69-$F119-1,$A$7:$C$161,2,FALSE)*VLOOKUP(BS$1,'Attrition Modeling'!$L$15:$N$27,IF(BS$2-$F52&lt;=24,2,3),FALSE))*(1+Projection!BZ$16)*(1+IF(BS184&gt;0,'Attrition Modeling'!$N$9,0))),0))</f>
        <v>1789.0667310058409</v>
      </c>
      <c r="BT119" s="799">
        <f>IF(BT$69=$F119+1,IF(Monthly!#REF!=TRUE,0,Monthly!#REF!),IF(BT$69&gt;$F119+1,BS119*(1-IF(BT$69-$F119&lt;=12,SUMIFS('Attrition Modeling'!$D:$D,'Attrition Modeling'!$B:$B,$E119,'Attrition Modeling'!$C:$C,BT$68),VLOOKUP(BT$69-$F119-1,$A$7:$C$161,2,FALSE)*VLOOKUP(BT$1,'Attrition Modeling'!$L$15:$N$27,IF(BT$2-$F52&lt;=24,2,3),FALSE))*(1+Projection!CA$16)*(1+IF(BT184&gt;0,'Attrition Modeling'!$N$9,0))),0))</f>
        <v>1710.9987326221346</v>
      </c>
      <c r="BU119" s="799">
        <f>IF(BU$69=$F119+1,IF(Monthly!#REF!=TRUE,0,Monthly!#REF!),IF(BU$69&gt;$F119+1,BT119*(1-IF(BU$69-$F119&lt;=12,SUMIFS('Attrition Modeling'!$D:$D,'Attrition Modeling'!$B:$B,$E119,'Attrition Modeling'!$C:$C,BU$68),VLOOKUP(BU$69-$F119-1,$A$7:$C$161,2,FALSE)*VLOOKUP(BU$1,'Attrition Modeling'!$L$15:$N$27,IF(BU$2-$F52&lt;=24,2,3),FALSE))*(1+Projection!CB$16)*(1+IF(BU184&gt;0,'Attrition Modeling'!$N$9,0))),0))</f>
        <v>1631.4405976486037</v>
      </c>
    </row>
    <row r="120" spans="1:73" ht="14.25" customHeight="1" x14ac:dyDescent="0.2">
      <c r="A120" s="9">
        <v>113</v>
      </c>
      <c r="B120" s="25">
        <f>MAX('Attrition Modeling'!H117,$C$3)*(1-Summary!$C$20)</f>
        <v>0.02</v>
      </c>
      <c r="C120" s="24" t="e">
        <f t="shared" si="4"/>
        <v>#DIV/0!</v>
      </c>
      <c r="E120" s="11">
        <f t="shared" si="9"/>
        <v>2</v>
      </c>
      <c r="F120" s="11">
        <f t="shared" si="10"/>
        <v>50</v>
      </c>
      <c r="G120" s="799"/>
      <c r="H120" s="799">
        <f>IF(H$69=$F120+1,IF(Monthly!D$4=TRUE,0,Monthly!D$17),IF(H$69&gt;$F120+1,G120*(1-IF(H$69-$F120&lt;=12,SUMIFS('Attrition Modeling'!$D:$D,'Attrition Modeling'!$B:$B,$E120,'Attrition Modeling'!$C:$C,H$68),VLOOKUP(H$69-$F120-1,$A$7:$C$161,2,FALSE)*VLOOKUP(H$1,'Attrition Modeling'!$L$15:$N$27,IF(H$2-$F53&lt;=24,2,3),FALSE))*(1+Projection!J$16)*(1+IF(H185&gt;0,'Attrition Modeling'!$N$9,0))),0))</f>
        <v>0</v>
      </c>
      <c r="I120" s="799">
        <f>IF(I$69=$F120+1,IF(Monthly!E$4=TRUE,0,Monthly!E$17),IF(I$69&gt;$F120+1,H120*(1-IF(I$69-$F120&lt;=12,SUMIFS('Attrition Modeling'!$D:$D,'Attrition Modeling'!$B:$B,$E120,'Attrition Modeling'!$C:$C,I$68),VLOOKUP(I$69-$F120-1,$A$7:$C$161,2,FALSE)*VLOOKUP(I$1,'Attrition Modeling'!$L$15:$N$27,IF(I$2-$F53&lt;=24,2,3),FALSE))*(1+Projection!K$16)*(1+IF(I185&gt;0,'Attrition Modeling'!$N$9,0))),0))</f>
        <v>0</v>
      </c>
      <c r="J120" s="799">
        <f>IF(J$69=$F120+1,IF(Monthly!F$4=TRUE,0,Monthly!F$17),IF(J$69&gt;$F120+1,I120*(1-IF(J$69-$F120&lt;=12,SUMIFS('Attrition Modeling'!$D:$D,'Attrition Modeling'!$B:$B,$E120,'Attrition Modeling'!$C:$C,J$68),VLOOKUP(J$69-$F120-1,$A$7:$C$161,2,FALSE)*VLOOKUP(J$1,'Attrition Modeling'!$L$15:$N$27,IF(J$2-$F53&lt;=24,2,3),FALSE))*(1+Projection!L$16)*(1+IF(J185&gt;0,'Attrition Modeling'!$N$9,0))),0))</f>
        <v>0</v>
      </c>
      <c r="K120" s="799">
        <f>IF(K$69=$F120+1,IF(Monthly!G$4=TRUE,0,Monthly!G$17),IF(K$69&gt;$F120+1,J120*(1-IF(K$69-$F120&lt;=12,SUMIFS('Attrition Modeling'!$D:$D,'Attrition Modeling'!$B:$B,$E120,'Attrition Modeling'!$C:$C,K$68),VLOOKUP(K$69-$F120-1,$A$7:$C$161,2,FALSE)*VLOOKUP(K$1,'Attrition Modeling'!$L$15:$N$27,IF(K$2-$F53&lt;=24,2,3),FALSE))*(1+Projection!M$16)*(1+IF(K185&gt;0,'Attrition Modeling'!$N$9,0))),0))</f>
        <v>0</v>
      </c>
      <c r="L120" s="799">
        <f>IF(L$69=$F120+1,IF(Monthly!H$4=TRUE,0,Monthly!H$17),IF(L$69&gt;$F120+1,K120*(1-IF(L$69-$F120&lt;=12,SUMIFS('Attrition Modeling'!$D:$D,'Attrition Modeling'!$B:$B,$E120,'Attrition Modeling'!$C:$C,L$68),VLOOKUP(L$69-$F120-1,$A$7:$C$161,2,FALSE)*VLOOKUP(L$1,'Attrition Modeling'!$L$15:$N$27,IF(L$2-$F53&lt;=24,2,3),FALSE))*(1+Projection!N$16)*(1+IF(L185&gt;0,'Attrition Modeling'!$N$9,0))),0))</f>
        <v>0</v>
      </c>
      <c r="M120" s="799">
        <f>IF(M$69=$F120+1,IF(Monthly!I$4=TRUE,0,Monthly!I$17),IF(M$69&gt;$F120+1,L120*(1-IF(M$69-$F120&lt;=12,SUMIFS('Attrition Modeling'!$D:$D,'Attrition Modeling'!$B:$B,$E120,'Attrition Modeling'!$C:$C,M$68),VLOOKUP(M$69-$F120-1,$A$7:$C$161,2,FALSE)*VLOOKUP(M$1,'Attrition Modeling'!$L$15:$N$27,IF(M$2-$F53&lt;=24,2,3),FALSE))*(1+Projection!O$16)*(1+IF(M185&gt;0,'Attrition Modeling'!$N$9,0))),0))</f>
        <v>0</v>
      </c>
      <c r="N120" s="799">
        <f>IF(N$69=$F120+1,IF(Monthly!J$4=TRUE,0,Monthly!J$17),IF(N$69&gt;$F120+1,M120*(1-IF(N$69-$F120&lt;=12,SUMIFS('Attrition Modeling'!$D:$D,'Attrition Modeling'!$B:$B,$E120,'Attrition Modeling'!$C:$C,N$68),VLOOKUP(N$69-$F120-1,$A$7:$C$161,2,FALSE)*VLOOKUP(N$1,'Attrition Modeling'!$L$15:$N$27,IF(N$2-$F53&lt;=24,2,3),FALSE))*(1+Projection!P$16)*(1+IF(N185&gt;0,'Attrition Modeling'!$N$9,0))),0))</f>
        <v>0</v>
      </c>
      <c r="O120" s="799">
        <f>IF(O$69=$F120+1,IF(Monthly!K$4=TRUE,0,Monthly!K$17),IF(O$69&gt;$F120+1,N120*(1-IF(O$69-$F120&lt;=12,SUMIFS('Attrition Modeling'!$D:$D,'Attrition Modeling'!$B:$B,$E120,'Attrition Modeling'!$C:$C,O$68),VLOOKUP(O$69-$F120-1,$A$7:$C$161,2,FALSE)*VLOOKUP(O$1,'Attrition Modeling'!$L$15:$N$27,IF(O$2-$F53&lt;=24,2,3),FALSE))*(1+Projection!Q$16)*(1+IF(O185&gt;0,'Attrition Modeling'!$N$9,0))),0))</f>
        <v>0</v>
      </c>
      <c r="P120" s="799">
        <f>IF(P$69=$F120+1,IF(Monthly!L$4=TRUE,0,Monthly!L$17),IF(P$69&gt;$F120+1,O120*(1-IF(P$69-$F120&lt;=12,SUMIFS('Attrition Modeling'!$D:$D,'Attrition Modeling'!$B:$B,$E120,'Attrition Modeling'!$C:$C,P$68),VLOOKUP(P$69-$F120-1,$A$7:$C$161,2,FALSE)*VLOOKUP(P$1,'Attrition Modeling'!$L$15:$N$27,IF(P$2-$F53&lt;=24,2,3),FALSE))*(1+Projection!R$16)*(1+IF(P185&gt;0,'Attrition Modeling'!$N$9,0))),0))</f>
        <v>0</v>
      </c>
      <c r="Q120" s="799">
        <f>IF(Q$69=$F120+1,IF(Monthly!M$4=TRUE,0,Monthly!M$17),IF(Q$69&gt;$F120+1,P120*(1-IF(Q$69-$F120&lt;=12,SUMIFS('Attrition Modeling'!$D:$D,'Attrition Modeling'!$B:$B,$E120,'Attrition Modeling'!$C:$C,Q$68),VLOOKUP(Q$69-$F120-1,$A$7:$C$161,2,FALSE)*VLOOKUP(Q$1,'Attrition Modeling'!$L$15:$N$27,IF(Q$2-$F53&lt;=24,2,3),FALSE))*(1+Projection!S$16)*(1+IF(Q185&gt;0,'Attrition Modeling'!$N$9,0))),0))</f>
        <v>0</v>
      </c>
      <c r="R120" s="799">
        <f>IF(R$69=$F120+1,IF(Monthly!N$4=TRUE,0,Monthly!N$17),IF(R$69&gt;$F120+1,Q120*(1-IF(R$69-$F120&lt;=12,SUMIFS('Attrition Modeling'!$D:$D,'Attrition Modeling'!$B:$B,$E120,'Attrition Modeling'!$C:$C,R$68),VLOOKUP(R$69-$F120-1,$A$7:$C$161,2,FALSE)*VLOOKUP(R$1,'Attrition Modeling'!$L$15:$N$27,IF(R$2-$F53&lt;=24,2,3),FALSE))*(1+Projection!T$16)*(1+IF(R185&gt;0,'Attrition Modeling'!$N$9,0))),0))</f>
        <v>0</v>
      </c>
      <c r="S120" s="799">
        <f>IF(S$69=$F120+1,IF(Monthly!O$4=TRUE,0,Monthly!O$17),IF(S$69&gt;$F120+1,R120*(1-IF(S$69-$F120&lt;=12,SUMIFS('Attrition Modeling'!$D:$D,'Attrition Modeling'!$B:$B,$E120,'Attrition Modeling'!$C:$C,S$68),VLOOKUP(S$69-$F120-1,$A$7:$C$161,2,FALSE)*VLOOKUP(S$1,'Attrition Modeling'!$L$15:$N$27,IF(S$2-$F53&lt;=24,2,3),FALSE))*(1+Projection!U$16)*(1+IF(S185&gt;0,'Attrition Modeling'!$N$9,0))),0))</f>
        <v>0</v>
      </c>
      <c r="T120" s="799">
        <f>IF(T$69=$F120+1,IF(Monthly!P$4=TRUE,0,Monthly!P$17),IF(T$69&gt;$F120+1,S120*(1-IF(T$69-$F120&lt;=12,SUMIFS('Attrition Modeling'!$D:$D,'Attrition Modeling'!$B:$B,$E120,'Attrition Modeling'!$C:$C,T$68),VLOOKUP(T$69-$F120-1,$A$7:$C$161,2,FALSE)*VLOOKUP(T$1,'Attrition Modeling'!$L$15:$N$27,IF(T$2-$F53&lt;=24,2,3),FALSE))*(1+Projection!V$16)*(1+IF(T185&gt;0,'Attrition Modeling'!$N$9,0))),0))</f>
        <v>0</v>
      </c>
      <c r="U120" s="799">
        <f>IF(U$69=$F120+1,IF(Monthly!Q$4=TRUE,0,Monthly!Q$17),IF(U$69&gt;$F120+1,T120*(1-IF(U$69-$F120&lt;=12,SUMIFS('Attrition Modeling'!$D:$D,'Attrition Modeling'!$B:$B,$E120,'Attrition Modeling'!$C:$C,U$68),VLOOKUP(U$69-$F120-1,$A$7:$C$161,2,FALSE)*VLOOKUP(U$1,'Attrition Modeling'!$L$15:$N$27,IF(U$2-$F53&lt;=24,2,3),FALSE))*(1+Projection!W$16)*(1+IF(U185&gt;0,'Attrition Modeling'!$N$9,0))),0))</f>
        <v>0</v>
      </c>
      <c r="V120" s="799">
        <f>IF(V$69=$F120+1,IF(Monthly!R$4=TRUE,0,Monthly!R$17),IF(V$69&gt;$F120+1,U120*(1-IF(V$69-$F120&lt;=12,SUMIFS('Attrition Modeling'!$D:$D,'Attrition Modeling'!$B:$B,$E120,'Attrition Modeling'!$C:$C,V$68),VLOOKUP(V$69-$F120-1,$A$7:$C$161,2,FALSE)*VLOOKUP(V$1,'Attrition Modeling'!$L$15:$N$27,IF(V$2-$F53&lt;=24,2,3),FALSE))*(1+Projection!X$16)*(1+IF(V185&gt;0,'Attrition Modeling'!$N$9,0))),0))</f>
        <v>0</v>
      </c>
      <c r="W120" s="799">
        <f>IF(W$69=$F120+1,IF(Monthly!S$4=TRUE,0,Monthly!S$17),IF(W$69&gt;$F120+1,V120*(1-IF(W$69-$F120&lt;=12,SUMIFS('Attrition Modeling'!$D:$D,'Attrition Modeling'!$B:$B,$E120,'Attrition Modeling'!$C:$C,W$68),VLOOKUP(W$69-$F120-1,$A$7:$C$161,2,FALSE)*VLOOKUP(W$1,'Attrition Modeling'!$L$15:$N$27,IF(W$2-$F53&lt;=24,2,3),FALSE))*(1+Projection!Y$16)*(1+IF(W185&gt;0,'Attrition Modeling'!$N$9,0))),0))</f>
        <v>0</v>
      </c>
      <c r="X120" s="799">
        <f>IF(X$69=$F120+1,IF(Monthly!T$4=TRUE,0,Monthly!T$17),IF(X$69&gt;$F120+1,W120*(1-IF(X$69-$F120&lt;=12,SUMIFS('Attrition Modeling'!$D:$D,'Attrition Modeling'!$B:$B,$E120,'Attrition Modeling'!$C:$C,X$68),VLOOKUP(X$69-$F120-1,$A$7:$C$161,2,FALSE)*VLOOKUP(X$1,'Attrition Modeling'!$L$15:$N$27,IF(X$2-$F53&lt;=24,2,3),FALSE))*(1+Projection!Z$16)*(1+IF(X185&gt;0,'Attrition Modeling'!$N$9,0))),0))</f>
        <v>0</v>
      </c>
      <c r="Y120" s="799">
        <f>IF(Y$69=$F120+1,IF(Monthly!U$4=TRUE,0,Monthly!U$17),IF(Y$69&gt;$F120+1,X120*(1-IF(Y$69-$F120&lt;=12,SUMIFS('Attrition Modeling'!$D:$D,'Attrition Modeling'!$B:$B,$E120,'Attrition Modeling'!$C:$C,Y$68),VLOOKUP(Y$69-$F120-1,$A$7:$C$161,2,FALSE)*VLOOKUP(Y$1,'Attrition Modeling'!$L$15:$N$27,IF(Y$2-$F53&lt;=24,2,3),FALSE))*(1+Projection!AA$16)*(1+IF(Y185&gt;0,'Attrition Modeling'!$N$9,0))),0))</f>
        <v>0</v>
      </c>
      <c r="Z120" s="799">
        <f>IF(Z$69=$F120+1,IF(Monthly!V$4=TRUE,0,Monthly!V$17),IF(Z$69&gt;$F120+1,Y120*(1-IF(Z$69-$F120&lt;=12,SUMIFS('Attrition Modeling'!$D:$D,'Attrition Modeling'!$B:$B,$E120,'Attrition Modeling'!$C:$C,Z$68),VLOOKUP(Z$69-$F120-1,$A$7:$C$161,2,FALSE)*VLOOKUP(Z$1,'Attrition Modeling'!$L$15:$N$27,IF(Z$2-$F53&lt;=24,2,3),FALSE))*(1+Projection!AB$16)*(1+IF(Z185&gt;0,'Attrition Modeling'!$N$9,0))),0))</f>
        <v>0</v>
      </c>
      <c r="AA120" s="799">
        <f>IF(AA$69=$F120+1,IF(Monthly!W$4=TRUE,0,Monthly!W$17),IF(AA$69&gt;$F120+1,Z120*(1-IF(AA$69-$F120&lt;=12,SUMIFS('Attrition Modeling'!$D:$D,'Attrition Modeling'!$B:$B,$E120,'Attrition Modeling'!$C:$C,AA$68),VLOOKUP(AA$69-$F120-1,$A$7:$C$161,2,FALSE)*VLOOKUP(AA$1,'Attrition Modeling'!$L$15:$N$27,IF(AA$2-$F53&lt;=24,2,3),FALSE))*(1+Projection!AC$16)*(1+IF(AA185&gt;0,'Attrition Modeling'!$N$9,0))),0))</f>
        <v>0</v>
      </c>
      <c r="AB120" s="799">
        <f>IF(AB$69=$F120+1,IF(Monthly!X$4=TRUE,0,Monthly!X$17),IF(AB$69&gt;$F120+1,AA120*(1-IF(AB$69-$F120&lt;=12,SUMIFS('Attrition Modeling'!$D:$D,'Attrition Modeling'!$B:$B,$E120,'Attrition Modeling'!$C:$C,AB$68),VLOOKUP(AB$69-$F120-1,$A$7:$C$161,2,FALSE)*VLOOKUP(AB$1,'Attrition Modeling'!$L$15:$N$27,IF(AB$2-$F53&lt;=24,2,3),FALSE))*(1+Projection!AD$16)*(1+IF(AB185&gt;0,'Attrition Modeling'!$N$9,0))),0))</f>
        <v>0</v>
      </c>
      <c r="AC120" s="799">
        <f>IF(AC$69=$F120+1,IF(Monthly!Y$4=TRUE,0,Monthly!Y$17),IF(AC$69&gt;$F120+1,AB120*(1-IF(AC$69-$F120&lt;=12,SUMIFS('Attrition Modeling'!$D:$D,'Attrition Modeling'!$B:$B,$E120,'Attrition Modeling'!$C:$C,AC$68),VLOOKUP(AC$69-$F120-1,$A$7:$C$161,2,FALSE)*VLOOKUP(AC$1,'Attrition Modeling'!$L$15:$N$27,IF(AC$2-$F53&lt;=24,2,3),FALSE))*(1+Projection!AE$16)*(1+IF(AC185&gt;0,'Attrition Modeling'!$N$9,0))),0))</f>
        <v>0</v>
      </c>
      <c r="AD120" s="799">
        <f>IF(AD$69=$F120+1,IF(Monthly!Z$4=TRUE,0,Monthly!Z$17),IF(AD$69&gt;$F120+1,AC120*(1-IF(AD$69-$F120&lt;=12,SUMIFS('Attrition Modeling'!$D:$D,'Attrition Modeling'!$B:$B,$E120,'Attrition Modeling'!$C:$C,AD$68),VLOOKUP(AD$69-$F120-1,$A$7:$C$161,2,FALSE)*VLOOKUP(AD$1,'Attrition Modeling'!$L$15:$N$27,IF(AD$2-$F53&lt;=24,2,3),FALSE))*(1+Projection!AF$16)*(1+IF(AD185&gt;0,'Attrition Modeling'!$N$9,0))),0))</f>
        <v>0</v>
      </c>
      <c r="AE120" s="799">
        <f>IF(AE$69=$F120+1,IF(Monthly!AA$4=TRUE,0,Monthly!AA$17),IF(AE$69&gt;$F120+1,AD120*(1-IF(AE$69-$F120&lt;=12,SUMIFS('Attrition Modeling'!$D:$D,'Attrition Modeling'!$B:$B,$E120,'Attrition Modeling'!$C:$C,AE$68),VLOOKUP(AE$69-$F120-1,$A$7:$C$161,2,FALSE)*VLOOKUP(AE$1,'Attrition Modeling'!$L$15:$N$27,IF(AE$2-$F53&lt;=24,2,3),FALSE))*(1+Projection!AG$16)*(1+IF(AE185&gt;0,'Attrition Modeling'!$N$9,0))),0))</f>
        <v>0</v>
      </c>
      <c r="AF120" s="799">
        <f>IF(AF$69=$F120+1,IF(Monthly!AB$4=TRUE,0,Monthly!AB$17),IF(AF$69&gt;$F120+1,AE120*(1-IF(AF$69-$F120&lt;=12,SUMIFS('Attrition Modeling'!$D:$D,'Attrition Modeling'!$B:$B,$E120,'Attrition Modeling'!$C:$C,AF$68),VLOOKUP(AF$69-$F120-1,$A$7:$C$161,2,FALSE)*VLOOKUP(AF$1,'Attrition Modeling'!$L$15:$N$27,IF(AF$2-$F53&lt;=24,2,3),FALSE))*(1+Projection!AH$16)*(1+IF(AF185&gt;0,'Attrition Modeling'!$N$9,0))),0))</f>
        <v>0</v>
      </c>
      <c r="AG120" s="799">
        <f>IF(AG$69=$F120+1,IF(Monthly!AC$4=TRUE,0,Monthly!AC$17),IF(AG$69&gt;$F120+1,AF120*(1-IF(AG$69-$F120&lt;=12,SUMIFS('Attrition Modeling'!$D:$D,'Attrition Modeling'!$B:$B,$E120,'Attrition Modeling'!$C:$C,AG$68),VLOOKUP(AG$69-$F120-1,$A$7:$C$161,2,FALSE)*VLOOKUP(AG$1,'Attrition Modeling'!$L$15:$N$27,IF(AG$2-$F53&lt;=24,2,3),FALSE))*(1+Projection!AI$16)*(1+IF(AG185&gt;0,'Attrition Modeling'!$N$9,0))),0))</f>
        <v>0</v>
      </c>
      <c r="AH120" s="799">
        <f>IF(AH$69=$F120+1,IF(Monthly!AD$4=TRUE,0,Monthly!AD$17),IF(AH$69&gt;$F120+1,AG120*(1-IF(AH$69-$F120&lt;=12,SUMIFS('Attrition Modeling'!$D:$D,'Attrition Modeling'!$B:$B,$E120,'Attrition Modeling'!$C:$C,AH$68),VLOOKUP(AH$69-$F120-1,$A$7:$C$161,2,FALSE)*VLOOKUP(AH$1,'Attrition Modeling'!$L$15:$N$27,IF(AH$2-$F53&lt;=24,2,3),FALSE))*(1+Projection!AJ$16)*(1+IF(AH185&gt;0,'Attrition Modeling'!$N$9,0))),0))</f>
        <v>0</v>
      </c>
      <c r="AI120" s="799">
        <f>IF(AI$69=$F120+1,IF(Monthly!AE$4=TRUE,0,Monthly!AE$17),IF(AI$69&gt;$F120+1,AH120*(1-IF(AI$69-$F120&lt;=12,SUMIFS('Attrition Modeling'!$D:$D,'Attrition Modeling'!$B:$B,$E120,'Attrition Modeling'!$C:$C,AI$68),VLOOKUP(AI$69-$F120-1,$A$7:$C$161,2,FALSE)*VLOOKUP(AI$1,'Attrition Modeling'!$L$15:$N$27,IF(AI$2-$F53&lt;=24,2,3),FALSE))*(1+Projection!AK$16)*(1+IF(AI185&gt;0,'Attrition Modeling'!$N$9,0))),0))</f>
        <v>0</v>
      </c>
      <c r="AJ120" s="799">
        <f>IF(AJ$69=$F120+1,IF(Monthly!AF$4=TRUE,0,Monthly!AF$17),IF(AJ$69&gt;$F120+1,AI120*(1-IF(AJ$69-$F120&lt;=12,SUMIFS('Attrition Modeling'!$D:$D,'Attrition Modeling'!$B:$B,$E120,'Attrition Modeling'!$C:$C,AJ$68),VLOOKUP(AJ$69-$F120-1,$A$7:$C$161,2,FALSE)*VLOOKUP(AJ$1,'Attrition Modeling'!$L$15:$N$27,IF(AJ$2-$F53&lt;=24,2,3),FALSE))*(1+Projection!AL$16)*(1+IF(AJ185&gt;0,'Attrition Modeling'!$N$9,0))),0))</f>
        <v>0</v>
      </c>
      <c r="AK120" s="799">
        <f>IF(AK$69=$F120+1,IF(Monthly!AG$4=TRUE,0,Monthly!AG$17),IF(AK$69&gt;$F120+1,AJ120*(1-IF(AK$69-$F120&lt;=12,SUMIFS('Attrition Modeling'!$D:$D,'Attrition Modeling'!$B:$B,$E120,'Attrition Modeling'!$C:$C,AK$68),VLOOKUP(AK$69-$F120-1,$A$7:$C$161,2,FALSE)*VLOOKUP(AK$1,'Attrition Modeling'!$L$15:$N$27,IF(AK$2-$F53&lt;=24,2,3),FALSE))*(1+Projection!AM$16)*(1+IF(AK185&gt;0,'Attrition Modeling'!$N$9,0))),0))</f>
        <v>0</v>
      </c>
      <c r="AL120" s="799">
        <f>IF(AL$69=$F120+1,IF(Monthly!AH$4=TRUE,0,Monthly!AH$17),IF(AL$69&gt;$F120+1,AK120*(1-IF(AL$69-$F120&lt;=12,SUMIFS('Attrition Modeling'!$D:$D,'Attrition Modeling'!$B:$B,$E120,'Attrition Modeling'!$C:$C,AL$68),VLOOKUP(AL$69-$F120-1,$A$7:$C$161,2,FALSE)*VLOOKUP(AL$1,'Attrition Modeling'!$L$15:$N$27,IF(AL$2-$F53&lt;=24,2,3),FALSE))*(1+Projection!AN$16)*(1+IF(AL185&gt;0,'Attrition Modeling'!$N$9,0))),0))</f>
        <v>0</v>
      </c>
      <c r="AM120" s="799">
        <f>IF(AM$69=$F120+1,IF(Monthly!AI$4=TRUE,0,Monthly!AI$17),IF(AM$69&gt;$F120+1,AL120*(1-IF(AM$69-$F120&lt;=12,SUMIFS('Attrition Modeling'!$D:$D,'Attrition Modeling'!$B:$B,$E120,'Attrition Modeling'!$C:$C,AM$68),VLOOKUP(AM$69-$F120-1,$A$7:$C$161,2,FALSE)*VLOOKUP(AM$1,'Attrition Modeling'!$L$15:$N$27,IF(AM$2-$F53&lt;=24,2,3),FALSE))*(1+Projection!AO$16)*(1+IF(AM185&gt;0,'Attrition Modeling'!$N$9,0))),0))</f>
        <v>0</v>
      </c>
      <c r="AN120" s="799">
        <f>IF(AN$69=$F120+1,IF(Monthly!AJ$4=TRUE,0,Monthly!AJ$17),IF(AN$69&gt;$F120+1,AM120*(1-IF(AN$69-$F120&lt;=12,SUMIFS('Attrition Modeling'!$D:$D,'Attrition Modeling'!$B:$B,$E120,'Attrition Modeling'!$C:$C,AN$68),VLOOKUP(AN$69-$F120-1,$A$7:$C$161,2,FALSE)*VLOOKUP(AN$1,'Attrition Modeling'!$L$15:$N$27,IF(AN$2-$F53&lt;=24,2,3),FALSE))*(1+Projection!AP$16)*(1+IF(AN185&gt;0,'Attrition Modeling'!$N$9,0))),0))</f>
        <v>0</v>
      </c>
      <c r="AO120" s="799">
        <f>IF(AO$69=$F120+1,IF(Monthly!AK$4=TRUE,0,Monthly!AK$17),IF(AO$69&gt;$F120+1,AN120*(1-IF(AO$69-$F120&lt;=12,SUMIFS('Attrition Modeling'!$D:$D,'Attrition Modeling'!$B:$B,$E120,'Attrition Modeling'!$C:$C,AO$68),VLOOKUP(AO$69-$F120-1,$A$7:$C$161,2,FALSE)*VLOOKUP(AO$1,'Attrition Modeling'!$L$15:$N$27,IF(AO$2-$F53&lt;=24,2,3),FALSE))*(1+Projection!AQ$16)*(1+IF(AO185&gt;0,'Attrition Modeling'!$N$9,0))),0))</f>
        <v>0</v>
      </c>
      <c r="AP120" s="799">
        <f>IF(AP$69=$F120+1,IF(Monthly!AL$4=TRUE,0,Monthly!AL$17),IF(AP$69&gt;$F120+1,AO120*(1-IF(AP$69-$F120&lt;=12,SUMIFS('Attrition Modeling'!$D:$D,'Attrition Modeling'!$B:$B,$E120,'Attrition Modeling'!$C:$C,AP$68),VLOOKUP(AP$69-$F120-1,$A$7:$C$161,2,FALSE)*VLOOKUP(AP$1,'Attrition Modeling'!$L$15:$N$27,IF(AP$2-$F53&lt;=24,2,3),FALSE))*(1+Projection!AR$16)*(1+IF(AP185&gt;0,'Attrition Modeling'!$N$9,0))),0))</f>
        <v>0</v>
      </c>
      <c r="AQ120" s="799">
        <f>IF(AQ$69=$F120+1,IF(Monthly!AM$4=TRUE,0,Monthly!AM$17),IF(AQ$69&gt;$F120+1,AP120*(1-IF(AQ$69-$F120&lt;=12,SUMIFS('Attrition Modeling'!$D:$D,'Attrition Modeling'!$B:$B,$E120,'Attrition Modeling'!$C:$C,AQ$68),VLOOKUP(AQ$69-$F120-1,$A$7:$C$161,2,FALSE)*VLOOKUP(AQ$1,'Attrition Modeling'!$L$15:$N$27,IF(AQ$2-$F53&lt;=24,2,3),FALSE))*(1+Projection!AS$16)*(1+IF(AQ185&gt;0,'Attrition Modeling'!$N$9,0))),0))</f>
        <v>0</v>
      </c>
      <c r="AR120" s="799">
        <f>IF(AR$69=$F120+1,IF(Monthly!AN$4=TRUE,0,Monthly!AN$17),IF(AR$69&gt;$F120+1,AQ120*(1-IF(AR$69-$F120&lt;=12,SUMIFS('Attrition Modeling'!$D:$D,'Attrition Modeling'!$B:$B,$E120,'Attrition Modeling'!$C:$C,AR$68),VLOOKUP(AR$69-$F120-1,$A$7:$C$161,2,FALSE)*VLOOKUP(AR$1,'Attrition Modeling'!$L$15:$N$27,IF(AR$2-$F53&lt;=24,2,3),FALSE))*(1+Projection!AT$16)*(1+IF(AR185&gt;0,'Attrition Modeling'!$N$9,0))),0))</f>
        <v>0</v>
      </c>
      <c r="AS120" s="799">
        <f>IF(AS$69=$F120+1,IF(Monthly!AO$4=TRUE,0,Monthly!AO$17),IF(AS$69&gt;$F120+1,AR120*(1-IF(AS$69-$F120&lt;=12,SUMIFS('Attrition Modeling'!$D:$D,'Attrition Modeling'!$B:$B,$E120,'Attrition Modeling'!$C:$C,AS$68),VLOOKUP(AS$69-$F120-1,$A$7:$C$161,2,FALSE)*VLOOKUP(AS$1,'Attrition Modeling'!$L$15:$N$27,IF(AS$2-$F53&lt;=24,2,3),FALSE))*(1+Projection!AU$16)*(1+IF(AS185&gt;0,'Attrition Modeling'!$N$9,0))),0))</f>
        <v>0</v>
      </c>
      <c r="AT120" s="799">
        <f>IF(AT$69=$F120+1,IF(Monthly!AP$4=TRUE,0,Monthly!AP$17),IF(AT$69&gt;$F120+1,AS120*(1-IF(AT$69-$F120&lt;=12,SUMIFS('Attrition Modeling'!$D:$D,'Attrition Modeling'!$B:$B,$E120,'Attrition Modeling'!$C:$C,AT$68),VLOOKUP(AT$69-$F120-1,$A$7:$C$161,2,FALSE)*VLOOKUP(AT$1,'Attrition Modeling'!$L$15:$N$27,IF(AT$2-$F53&lt;=24,2,3),FALSE))*(1+Projection!AV$16)*(1+IF(AT185&gt;0,'Attrition Modeling'!$N$9,0))),0))</f>
        <v>0</v>
      </c>
      <c r="AU120" s="799">
        <f>IF(AU$69=$F120+1,IF(Monthly!AQ$4=TRUE,0,Monthly!AQ$17),IF(AU$69&gt;$F120+1,AT120*(1-IF(AU$69-$F120&lt;=12,SUMIFS('Attrition Modeling'!$D:$D,'Attrition Modeling'!$B:$B,$E120,'Attrition Modeling'!$C:$C,AU$68),VLOOKUP(AU$69-$F120-1,$A$7:$C$161,2,FALSE)*VLOOKUP(AU$1,'Attrition Modeling'!$L$15:$N$27,IF(AU$2-$F53&lt;=24,2,3),FALSE))*(1+Projection!AW$16)*(1+IF(AU185&gt;0,'Attrition Modeling'!$N$9,0))),0))</f>
        <v>0</v>
      </c>
      <c r="AV120" s="799">
        <f>IF(AV$69=$F120+1,IF(Monthly!AR$4=TRUE,0,Monthly!AR$17),IF(AV$69&gt;$F120+1,AU120*(1-IF(AV$69-$F120&lt;=12,SUMIFS('Attrition Modeling'!$D:$D,'Attrition Modeling'!$B:$B,$E120,'Attrition Modeling'!$C:$C,AV$68),VLOOKUP(AV$69-$F120-1,$A$7:$C$161,2,FALSE)*VLOOKUP(AV$1,'Attrition Modeling'!$L$15:$N$27,IF(AV$2-$F53&lt;=24,2,3),FALSE))*(1+Projection!AX$16)*(1+IF(AV185&gt;0,'Attrition Modeling'!$N$9,0))),0))</f>
        <v>0</v>
      </c>
      <c r="AW120" s="799">
        <f>IF(AW$69=$F120+1,IF(Monthly!AS$4=TRUE,0,Monthly!AS$17),IF(AW$69&gt;$F120+1,AV120*(1-IF(AW$69-$F120&lt;=12,SUMIFS('Attrition Modeling'!$D:$D,'Attrition Modeling'!$B:$B,$E120,'Attrition Modeling'!$C:$C,AW$68),VLOOKUP(AW$69-$F120-1,$A$7:$C$161,2,FALSE)*VLOOKUP(AW$1,'Attrition Modeling'!$L$15:$N$27,IF(AW$2-$F53&lt;=24,2,3),FALSE))*(1+Projection!AY$16)*(1+IF(AW185&gt;0,'Attrition Modeling'!$N$9,0))),0))</f>
        <v>0</v>
      </c>
      <c r="AX120" s="799">
        <f>IF(AX$69=$F120+1,IF(Monthly!AT$4=TRUE,0,Monthly!AT$17),IF(AX$69&gt;$F120+1,AW120*(1-IF(AX$69-$F120&lt;=12,SUMIFS('Attrition Modeling'!$D:$D,'Attrition Modeling'!$B:$B,$E120,'Attrition Modeling'!$C:$C,AX$68),VLOOKUP(AX$69-$F120-1,$A$7:$C$161,2,FALSE)*VLOOKUP(AX$1,'Attrition Modeling'!$L$15:$N$27,IF(AX$2-$F53&lt;=24,2,3),FALSE))*(1+Projection!AZ$16)*(1+IF(AX185&gt;0,'Attrition Modeling'!$N$9,0))),0))</f>
        <v>0</v>
      </c>
      <c r="AY120" s="799">
        <f>IF(AY$69=$F120+1,IF(Monthly!AU$4=TRUE,0,Monthly!AU$17),IF(AY$69&gt;$F120+1,AX120*(1-IF(AY$69-$F120&lt;=12,SUMIFS('Attrition Modeling'!$D:$D,'Attrition Modeling'!$B:$B,$E120,'Attrition Modeling'!$C:$C,AY$68),VLOOKUP(AY$69-$F120-1,$A$7:$C$161,2,FALSE)*VLOOKUP(AY$1,'Attrition Modeling'!$L$15:$N$27,IF(AY$2-$F53&lt;=24,2,3),FALSE))*(1+Projection!BA$16)*(1+IF(AY185&gt;0,'Attrition Modeling'!$N$9,0))),0))</f>
        <v>0</v>
      </c>
      <c r="AZ120" s="799">
        <f>IF(AZ$69=$F120+1,IF(Monthly!AV$4=TRUE,0,Monthly!AV$17),IF(AZ$69&gt;$F120+1,AY120*(1-IF(AZ$69-$F120&lt;=12,SUMIFS('Attrition Modeling'!$D:$D,'Attrition Modeling'!$B:$B,$E120,'Attrition Modeling'!$C:$C,AZ$68),VLOOKUP(AZ$69-$F120-1,$A$7:$C$161,2,FALSE)*VLOOKUP(AZ$1,'Attrition Modeling'!$L$15:$N$27,IF(AZ$2-$F53&lt;=24,2,3),FALSE))*(1+Projection!BB$16)*(1+IF(AZ185&gt;0,'Attrition Modeling'!$N$9,0))),0))</f>
        <v>0</v>
      </c>
      <c r="BA120" s="799">
        <f>IF(BA$69=$F120+1,IF(Monthly!AW$4=TRUE,0,Monthly!AW$17),IF(BA$69&gt;$F120+1,AZ120*(1-IF(BA$69-$F120&lt;=12,SUMIFS('Attrition Modeling'!$D:$D,'Attrition Modeling'!$B:$B,$E120,'Attrition Modeling'!$C:$C,BA$68),VLOOKUP(BA$69-$F120-1,$A$7:$C$161,2,FALSE)*VLOOKUP(BA$1,'Attrition Modeling'!$L$15:$N$27,IF(BA$2-$F53&lt;=24,2,3),FALSE))*(1+Projection!BC$16)*(1+IF(BA185&gt;0,'Attrition Modeling'!$N$9,0))),0))</f>
        <v>0</v>
      </c>
      <c r="BB120" s="799">
        <f>IF(BB$69=$F120+1,IF(Monthly!AX$4=TRUE,0,Monthly!AX$17),IF(BB$69&gt;$F120+1,BA120*(1-IF(BB$69-$F120&lt;=12,SUMIFS('Attrition Modeling'!$D:$D,'Attrition Modeling'!$B:$B,$E120,'Attrition Modeling'!$C:$C,BB$68),VLOOKUP(BB$69-$F120-1,$A$7:$C$161,2,FALSE)*VLOOKUP(BB$1,'Attrition Modeling'!$L$15:$N$27,IF(BB$2-$F53&lt;=24,2,3),FALSE))*(1+Projection!BD$16)*(1+IF(BB185&gt;0,'Attrition Modeling'!$N$9,0))),0))</f>
        <v>0</v>
      </c>
      <c r="BC120" s="799">
        <f>IF(BC$69=$F120+1,IF(Monthly!AY$4=TRUE,0,Monthly!AY$17),IF(BC$69&gt;$F120+1,BB120*(1-IF(BC$69-$F120&lt;=12,SUMIFS('Attrition Modeling'!$D:$D,'Attrition Modeling'!$B:$B,$E120,'Attrition Modeling'!$C:$C,BC$68),VLOOKUP(BC$69-$F120-1,$A$7:$C$161,2,FALSE)*VLOOKUP(BC$1,'Attrition Modeling'!$L$15:$N$27,IF(BC$2-$F53&lt;=24,2,3),FALSE))*(1+Projection!BE$16)*(1+IF(BC185&gt;0,'Attrition Modeling'!$N$9,0))),0))</f>
        <v>0</v>
      </c>
      <c r="BD120" s="799">
        <f>IF(BD$69=$F120+1,IF(Monthly!AZ$4=TRUE,0,Monthly!AZ$17),IF(BD$69&gt;$F120+1,BC120*(1-IF(BD$69-$F120&lt;=12,SUMIFS('Attrition Modeling'!$D:$D,'Attrition Modeling'!$B:$B,$E120,'Attrition Modeling'!$C:$C,BD$68),VLOOKUP(BD$69-$F120-1,$A$7:$C$161,2,FALSE)*VLOOKUP(BD$1,'Attrition Modeling'!$L$15:$N$27,IF(BD$2-$F53&lt;=24,2,3),FALSE))*(1+Projection!BF$16)*(1+IF(BD185&gt;0,'Attrition Modeling'!$N$9,0))),0))</f>
        <v>0</v>
      </c>
      <c r="BE120" s="799">
        <f>IF(BE$69=$F120+1,IF(Monthly!BA$4=TRUE,0,Monthly!BA$17),IF(BE$69&gt;$F120+1,BD120*(1-IF(BE$69-$F120&lt;=12,SUMIFS('Attrition Modeling'!$D:$D,'Attrition Modeling'!$B:$B,$E120,'Attrition Modeling'!$C:$C,BE$68),VLOOKUP(BE$69-$F120-1,$A$7:$C$161,2,FALSE)*VLOOKUP(BE$1,'Attrition Modeling'!$L$15:$N$27,IF(BE$2-$F53&lt;=24,2,3),FALSE))*(1+Projection!BG$16)*(1+IF(BE185&gt;0,'Attrition Modeling'!$N$9,0))),0))</f>
        <v>0</v>
      </c>
      <c r="BF120" s="799">
        <f>IF(BF$69=$F120+1,IF(Monthly!BB$4=TRUE,0,Monthly!BB$17),IF(BF$69&gt;$F120+1,BE120*(1-IF(BF$69-$F120&lt;=12,SUMIFS('Attrition Modeling'!$D:$D,'Attrition Modeling'!$B:$B,$E120,'Attrition Modeling'!$C:$C,BF$68),VLOOKUP(BF$69-$F120-1,$A$7:$C$161,2,FALSE)*VLOOKUP(BF$1,'Attrition Modeling'!$L$15:$N$27,IF(BF$2-$F53&lt;=24,2,3),FALSE))*(1+Projection!BH$16)*(1+IF(BF185&gt;0,'Attrition Modeling'!$N$9,0))),0))</f>
        <v>5443.7022971977422</v>
      </c>
      <c r="BG120" s="799">
        <f>IF(BG$69=$F120+1,IF(Monthly!BC$4=TRUE,0,Monthly!BC$17),IF(BG$69&gt;$F120+1,BF120*(1-IF(BG$69-$F120&lt;=12,SUMIFS('Attrition Modeling'!$D:$D,'Attrition Modeling'!$B:$B,$E120,'Attrition Modeling'!$C:$C,BG$68),VLOOKUP(BG$69-$F120-1,$A$7:$C$161,2,FALSE)*VLOOKUP(BG$1,'Attrition Modeling'!$L$15:$N$27,IF(BG$2-$F53&lt;=24,2,3),FALSE))*(1+Projection!BI$16)*(1+IF(BG185&gt;0,'Attrition Modeling'!$N$9,0))),0))</f>
        <v>4913.5085570003303</v>
      </c>
      <c r="BH120" s="799">
        <f>IF(BH$69=$F120+1,IF(Monthly!BD$4=TRUE,0,Monthly!BD$17),IF(BH$69&gt;$F120+1,BG120*(1-IF(BH$69-$F120&lt;=12,SUMIFS('Attrition Modeling'!$D:$D,'Attrition Modeling'!$B:$B,$E120,'Attrition Modeling'!$C:$C,BH$68),VLOOKUP(BH$69-$F120-1,$A$7:$C$161,2,FALSE)*VLOOKUP(BH$1,'Attrition Modeling'!$L$15:$N$27,IF(BH$2-$F53&lt;=24,2,3),FALSE))*(1+Projection!BJ$16)*(1+IF(BH185&gt;0,'Attrition Modeling'!$N$9,0))),0))</f>
        <v>4494.3178810490881</v>
      </c>
      <c r="BI120" s="799">
        <f>IF(BI$69=$F120+1,IF(Monthly!BE$4=TRUE,0,Monthly!BE$17),IF(BI$69&gt;$F120+1,BH120*(1-IF(BI$69-$F120&lt;=12,SUMIFS('Attrition Modeling'!$D:$D,'Attrition Modeling'!$B:$B,$E120,'Attrition Modeling'!$C:$C,BI$68),VLOOKUP(BI$69-$F120-1,$A$7:$C$161,2,FALSE)*VLOOKUP(BI$1,'Attrition Modeling'!$L$15:$N$27,IF(BI$2-$F53&lt;=24,2,3),FALSE))*(1+Projection!BK$16)*(1+IF(BI185&gt;0,'Attrition Modeling'!$N$9,0))),0))</f>
        <v>4076.6756167826675</v>
      </c>
      <c r="BJ120" s="799">
        <f>IF(BJ$69=$F120+1,IF(Monthly!BF$4=TRUE,0,Monthly!BF$17),IF(BJ$69&gt;$F120+1,BI120*(1-IF(BJ$69-$F120&lt;=12,SUMIFS('Attrition Modeling'!$D:$D,'Attrition Modeling'!$B:$B,$E120,'Attrition Modeling'!$C:$C,BJ$68),VLOOKUP(BJ$69-$F120-1,$A$7:$C$161,2,FALSE)*VLOOKUP(BJ$1,'Attrition Modeling'!$L$15:$N$27,IF(BJ$2-$F53&lt;=24,2,3),FALSE))*(1+Projection!BL$16)*(1+IF(BJ185&gt;0,'Attrition Modeling'!$N$9,0))),0))</f>
        <v>3745.5170647423693</v>
      </c>
      <c r="BK120" s="799">
        <f>IF(BK$69=$F120+1,IF(Monthly!BG$4=TRUE,0,Monthly!BG$17),IF(BK$69&gt;$F120+1,BJ120*(1-IF(BK$69-$F120&lt;=12,SUMIFS('Attrition Modeling'!$D:$D,'Attrition Modeling'!$B:$B,$E120,'Attrition Modeling'!$C:$C,BK$68),VLOOKUP(BK$69-$F120-1,$A$7:$C$161,2,FALSE)*VLOOKUP(BK$1,'Attrition Modeling'!$L$15:$N$27,IF(BK$2-$F53&lt;=24,2,3),FALSE))*(1+Projection!BM$16)*(1+IF(BK185&gt;0,'Attrition Modeling'!$N$9,0))),0))</f>
        <v>3367.4948071021468</v>
      </c>
      <c r="BL120" s="799">
        <f>IF(BL$69=$F120+1,IF(Monthly!BH$4=TRUE,0,Monthly!BH$17),IF(BL$69&gt;$F120+1,BK120*(1-IF(BL$69-$F120&lt;=12,SUMIFS('Attrition Modeling'!$D:$D,'Attrition Modeling'!$B:$B,$E120,'Attrition Modeling'!$C:$C,BL$68),VLOOKUP(BL$69-$F120-1,$A$7:$C$161,2,FALSE)*VLOOKUP(BL$1,'Attrition Modeling'!$L$15:$N$27,IF(BL$2-$F53&lt;=24,2,3),FALSE))*(1+Projection!BN$16)*(1+IF(BL185&gt;0,'Attrition Modeling'!$N$9,0))),0))</f>
        <v>3113.3654981612085</v>
      </c>
      <c r="BM120" s="799">
        <f>IF(BM$69=$F120+1,IF(Monthly!BI$4=TRUE,0,Monthly!BI$17),IF(BM$69&gt;$F120+1,BL120*(1-IF(BM$69-$F120&lt;=12,SUMIFS('Attrition Modeling'!$D:$D,'Attrition Modeling'!$B:$B,$E120,'Attrition Modeling'!$C:$C,BM$68),VLOOKUP(BM$69-$F120-1,$A$7:$C$161,2,FALSE)*VLOOKUP(BM$1,'Attrition Modeling'!$L$15:$N$27,IF(BM$2-$F53&lt;=24,2,3),FALSE))*(1+Projection!BO$16)*(1+IF(BM185&gt;0,'Attrition Modeling'!$N$9,0))),0))</f>
        <v>2895.2196677178331</v>
      </c>
      <c r="BN120" s="799">
        <f>IF(BN$69=$F120+1,IF(Monthly!BJ$4=TRUE,0,Monthly!BJ$17),IF(BN$69&gt;$F120+1,BM120*(1-IF(BN$69-$F120&lt;=12,SUMIFS('Attrition Modeling'!$D:$D,'Attrition Modeling'!$B:$B,$E120,'Attrition Modeling'!$C:$C,BN$68),VLOOKUP(BN$69-$F120-1,$A$7:$C$161,2,FALSE)*VLOOKUP(BN$1,'Attrition Modeling'!$L$15:$N$27,IF(BN$2-$F53&lt;=24,2,3),FALSE))*(1+Projection!BP$16)*(1+IF(BN185&gt;0,'Attrition Modeling'!$N$9,0))),0))</f>
        <v>2702.9311056930455</v>
      </c>
      <c r="BO120" s="799">
        <f>IF(BO$69=$F120+1,IF(Monthly!BK$4=TRUE,0,Monthly!BK$17),IF(BO$69&gt;$F120+1,BN120*(1-IF(BO$69-$F120&lt;=12,SUMIFS('Attrition Modeling'!$D:$D,'Attrition Modeling'!$B:$B,$E120,'Attrition Modeling'!$C:$C,BO$68),VLOOKUP(BO$69-$F120-1,$A$7:$C$161,2,FALSE)*VLOOKUP(BO$1,'Attrition Modeling'!$L$15:$N$27,IF(BO$2-$F53&lt;=24,2,3),FALSE))*(1+Projection!BV$16)*(1+IF(BO185&gt;0,'Attrition Modeling'!$N$9,0))),0))</f>
        <v>2534.8673634359984</v>
      </c>
      <c r="BP120" s="799">
        <f>IF(BP$69=$F120+1,IF(Monthly!BL$4=TRUE,0,Monthly!BL$17),IF(BP$69&gt;$F120+1,BO120*(1-IF(BP$69-$F120&lt;=12,SUMIFS('Attrition Modeling'!$D:$D,'Attrition Modeling'!$B:$B,$E120,'Attrition Modeling'!$C:$C,BP$68),VLOOKUP(BP$69-$F120-1,$A$7:$C$161,2,FALSE)*VLOOKUP(BP$1,'Attrition Modeling'!$L$15:$N$27,IF(BP$2-$F53&lt;=24,2,3),FALSE))*(1+Projection!BW$16)*(1+IF(BP185&gt;0,'Attrition Modeling'!$N$9,0))),0))</f>
        <v>2391.1784829856497</v>
      </c>
      <c r="BQ120" s="799">
        <f>IF(BQ$69=$F120+1,IF(Monthly!BM$4=TRUE,0,Monthly!BM$17),IF(BQ$69&gt;$F120+1,BP120*(1-IF(BQ$69-$F120&lt;=12,SUMIFS('Attrition Modeling'!$D:$D,'Attrition Modeling'!$B:$B,$E120,'Attrition Modeling'!$C:$C,BQ$68),VLOOKUP(BQ$69-$F120-1,$A$7:$C$161,2,FALSE)*VLOOKUP(BQ$1,'Attrition Modeling'!$L$15:$N$27,IF(BQ$2-$F53&lt;=24,2,3),FALSE))*(1+Projection!BX$16)*(1+IF(BQ185&gt;0,'Attrition Modeling'!$N$9,0))),0))</f>
        <v>2332.2588647817056</v>
      </c>
      <c r="BR120" s="799">
        <f>IF(BR$69=$F120+1,IF(Monthly!BN$4=TRUE,0,Monthly!BN$17),IF(BR$69&gt;$F120+1,BQ120*(1-IF(BR$69-$F120&lt;=12,SUMIFS('Attrition Modeling'!$D:$D,'Attrition Modeling'!$B:$B,$E120,'Attrition Modeling'!$C:$C,BR$68),VLOOKUP(BR$69-$F120-1,$A$7:$C$161,2,FALSE)*VLOOKUP(BR$1,'Attrition Modeling'!$L$15:$N$27,IF(BR$2-$F53&lt;=24,2,3),FALSE))*(1+Projection!BY$16)*(1+IF(BR185&gt;0,'Attrition Modeling'!$N$9,0))),0))</f>
        <v>2208.960133024887</v>
      </c>
      <c r="BS120" s="799">
        <f>IF(BS$69=$F120+1,IF(Monthly!BO$4=TRUE,0,Monthly!BO$17),IF(BS$69&gt;$F120+1,BR120*(1-IF(BS$69-$F120&lt;=12,SUMIFS('Attrition Modeling'!$D:$D,'Attrition Modeling'!$B:$B,$E120,'Attrition Modeling'!$C:$C,BS$68),VLOOKUP(BS$69-$F120-1,$A$7:$C$161,2,FALSE)*VLOOKUP(BS$1,'Attrition Modeling'!$L$15:$N$27,IF(BS$2-$F53&lt;=24,2,3),FALSE))*(1+Projection!BZ$16)*(1+IF(BS185&gt;0,'Attrition Modeling'!$N$9,0))),0))</f>
        <v>2103.007431152319</v>
      </c>
      <c r="BT120" s="799">
        <f>IF(BT$69=$F120+1,IF(Monthly!#REF!=TRUE,0,Monthly!#REF!),IF(BT$69&gt;$F120+1,BS120*(1-IF(BT$69-$F120&lt;=12,SUMIFS('Attrition Modeling'!$D:$D,'Attrition Modeling'!$B:$B,$E120,'Attrition Modeling'!$C:$C,BT$68),VLOOKUP(BT$69-$F120-1,$A$7:$C$161,2,FALSE)*VLOOKUP(BT$1,'Attrition Modeling'!$L$15:$N$27,IF(BT$2-$F53&lt;=24,2,3),FALSE))*(1+Projection!CA$16)*(1+IF(BT185&gt;0,'Attrition Modeling'!$N$9,0))),0))</f>
        <v>2007.760961557854</v>
      </c>
      <c r="BU120" s="799">
        <f>IF(BU$69=$F120+1,IF(Monthly!#REF!=TRUE,0,Monthly!#REF!),IF(BU$69&gt;$F120+1,BT120*(1-IF(BU$69-$F120&lt;=12,SUMIFS('Attrition Modeling'!$D:$D,'Attrition Modeling'!$B:$B,$E120,'Attrition Modeling'!$C:$C,BU$68),VLOOKUP(BU$69-$F120-1,$A$7:$C$161,2,FALSE)*VLOOKUP(BU$1,'Attrition Modeling'!$L$15:$N$27,IF(BU$2-$F53&lt;=24,2,3),FALSE))*(1+Projection!CB$16)*(1+IF(BU185&gt;0,'Attrition Modeling'!$N$9,0))),0))</f>
        <v>1911.575253645243</v>
      </c>
    </row>
    <row r="121" spans="1:73" ht="14.25" customHeight="1" x14ac:dyDescent="0.2">
      <c r="A121" s="9">
        <v>114</v>
      </c>
      <c r="B121" s="25">
        <f>MAX('Attrition Modeling'!H118,$C$3)*(1-Summary!$C$20)</f>
        <v>0.02</v>
      </c>
      <c r="C121" s="24" t="e">
        <f t="shared" si="4"/>
        <v>#DIV/0!</v>
      </c>
      <c r="E121" s="11">
        <f t="shared" si="9"/>
        <v>3</v>
      </c>
      <c r="F121" s="11">
        <f t="shared" si="10"/>
        <v>51</v>
      </c>
      <c r="G121" s="799"/>
      <c r="H121" s="799">
        <f>IF(H$69=$F121+1,IF(Monthly!D$4=TRUE,0,Monthly!D$17),IF(H$69&gt;$F121+1,G121*(1-IF(H$69-$F121&lt;=12,SUMIFS('Attrition Modeling'!$D:$D,'Attrition Modeling'!$B:$B,$E121,'Attrition Modeling'!$C:$C,H$68),VLOOKUP(H$69-$F121-1,$A$7:$C$161,2,FALSE)*VLOOKUP(H$1,'Attrition Modeling'!$L$15:$N$27,IF(H$2-$F54&lt;=24,2,3),FALSE))*(1+Projection!J$16)*(1+IF(H186&gt;0,'Attrition Modeling'!$N$9,0))),0))</f>
        <v>0</v>
      </c>
      <c r="I121" s="799">
        <f>IF(I$69=$F121+1,IF(Monthly!E$4=TRUE,0,Monthly!E$17),IF(I$69&gt;$F121+1,H121*(1-IF(I$69-$F121&lt;=12,SUMIFS('Attrition Modeling'!$D:$D,'Attrition Modeling'!$B:$B,$E121,'Attrition Modeling'!$C:$C,I$68),VLOOKUP(I$69-$F121-1,$A$7:$C$161,2,FALSE)*VLOOKUP(I$1,'Attrition Modeling'!$L$15:$N$27,IF(I$2-$F54&lt;=24,2,3),FALSE))*(1+Projection!K$16)*(1+IF(I186&gt;0,'Attrition Modeling'!$N$9,0))),0))</f>
        <v>0</v>
      </c>
      <c r="J121" s="799">
        <f>IF(J$69=$F121+1,IF(Monthly!F$4=TRUE,0,Monthly!F$17),IF(J$69&gt;$F121+1,I121*(1-IF(J$69-$F121&lt;=12,SUMIFS('Attrition Modeling'!$D:$D,'Attrition Modeling'!$B:$B,$E121,'Attrition Modeling'!$C:$C,J$68),VLOOKUP(J$69-$F121-1,$A$7:$C$161,2,FALSE)*VLOOKUP(J$1,'Attrition Modeling'!$L$15:$N$27,IF(J$2-$F54&lt;=24,2,3),FALSE))*(1+Projection!L$16)*(1+IF(J186&gt;0,'Attrition Modeling'!$N$9,0))),0))</f>
        <v>0</v>
      </c>
      <c r="K121" s="799">
        <f>IF(K$69=$F121+1,IF(Monthly!G$4=TRUE,0,Monthly!G$17),IF(K$69&gt;$F121+1,J121*(1-IF(K$69-$F121&lt;=12,SUMIFS('Attrition Modeling'!$D:$D,'Attrition Modeling'!$B:$B,$E121,'Attrition Modeling'!$C:$C,K$68),VLOOKUP(K$69-$F121-1,$A$7:$C$161,2,FALSE)*VLOOKUP(K$1,'Attrition Modeling'!$L$15:$N$27,IF(K$2-$F54&lt;=24,2,3),FALSE))*(1+Projection!M$16)*(1+IF(K186&gt;0,'Attrition Modeling'!$N$9,0))),0))</f>
        <v>0</v>
      </c>
      <c r="L121" s="799">
        <f>IF(L$69=$F121+1,IF(Monthly!H$4=TRUE,0,Monthly!H$17),IF(L$69&gt;$F121+1,K121*(1-IF(L$69-$F121&lt;=12,SUMIFS('Attrition Modeling'!$D:$D,'Attrition Modeling'!$B:$B,$E121,'Attrition Modeling'!$C:$C,L$68),VLOOKUP(L$69-$F121-1,$A$7:$C$161,2,FALSE)*VLOOKUP(L$1,'Attrition Modeling'!$L$15:$N$27,IF(L$2-$F54&lt;=24,2,3),FALSE))*(1+Projection!N$16)*(1+IF(L186&gt;0,'Attrition Modeling'!$N$9,0))),0))</f>
        <v>0</v>
      </c>
      <c r="M121" s="799">
        <f>IF(M$69=$F121+1,IF(Monthly!I$4=TRUE,0,Monthly!I$17),IF(M$69&gt;$F121+1,L121*(1-IF(M$69-$F121&lt;=12,SUMIFS('Attrition Modeling'!$D:$D,'Attrition Modeling'!$B:$B,$E121,'Attrition Modeling'!$C:$C,M$68),VLOOKUP(M$69-$F121-1,$A$7:$C$161,2,FALSE)*VLOOKUP(M$1,'Attrition Modeling'!$L$15:$N$27,IF(M$2-$F54&lt;=24,2,3),FALSE))*(1+Projection!O$16)*(1+IF(M186&gt;0,'Attrition Modeling'!$N$9,0))),0))</f>
        <v>0</v>
      </c>
      <c r="N121" s="799">
        <f>IF(N$69=$F121+1,IF(Monthly!J$4=TRUE,0,Monthly!J$17),IF(N$69&gt;$F121+1,M121*(1-IF(N$69-$F121&lt;=12,SUMIFS('Attrition Modeling'!$D:$D,'Attrition Modeling'!$B:$B,$E121,'Attrition Modeling'!$C:$C,N$68),VLOOKUP(N$69-$F121-1,$A$7:$C$161,2,FALSE)*VLOOKUP(N$1,'Attrition Modeling'!$L$15:$N$27,IF(N$2-$F54&lt;=24,2,3),FALSE))*(1+Projection!P$16)*(1+IF(N186&gt;0,'Attrition Modeling'!$N$9,0))),0))</f>
        <v>0</v>
      </c>
      <c r="O121" s="799">
        <f>IF(O$69=$F121+1,IF(Monthly!K$4=TRUE,0,Monthly!K$17),IF(O$69&gt;$F121+1,N121*(1-IF(O$69-$F121&lt;=12,SUMIFS('Attrition Modeling'!$D:$D,'Attrition Modeling'!$B:$B,$E121,'Attrition Modeling'!$C:$C,O$68),VLOOKUP(O$69-$F121-1,$A$7:$C$161,2,FALSE)*VLOOKUP(O$1,'Attrition Modeling'!$L$15:$N$27,IF(O$2-$F54&lt;=24,2,3),FALSE))*(1+Projection!Q$16)*(1+IF(O186&gt;0,'Attrition Modeling'!$N$9,0))),0))</f>
        <v>0</v>
      </c>
      <c r="P121" s="799">
        <f>IF(P$69=$F121+1,IF(Monthly!L$4=TRUE,0,Monthly!L$17),IF(P$69&gt;$F121+1,O121*(1-IF(P$69-$F121&lt;=12,SUMIFS('Attrition Modeling'!$D:$D,'Attrition Modeling'!$B:$B,$E121,'Attrition Modeling'!$C:$C,P$68),VLOOKUP(P$69-$F121-1,$A$7:$C$161,2,FALSE)*VLOOKUP(P$1,'Attrition Modeling'!$L$15:$N$27,IF(P$2-$F54&lt;=24,2,3),FALSE))*(1+Projection!R$16)*(1+IF(P186&gt;0,'Attrition Modeling'!$N$9,0))),0))</f>
        <v>0</v>
      </c>
      <c r="Q121" s="799">
        <f>IF(Q$69=$F121+1,IF(Monthly!M$4=TRUE,0,Monthly!M$17),IF(Q$69&gt;$F121+1,P121*(1-IF(Q$69-$F121&lt;=12,SUMIFS('Attrition Modeling'!$D:$D,'Attrition Modeling'!$B:$B,$E121,'Attrition Modeling'!$C:$C,Q$68),VLOOKUP(Q$69-$F121-1,$A$7:$C$161,2,FALSE)*VLOOKUP(Q$1,'Attrition Modeling'!$L$15:$N$27,IF(Q$2-$F54&lt;=24,2,3),FALSE))*(1+Projection!S$16)*(1+IF(Q186&gt;0,'Attrition Modeling'!$N$9,0))),0))</f>
        <v>0</v>
      </c>
      <c r="R121" s="799">
        <f>IF(R$69=$F121+1,IF(Monthly!N$4=TRUE,0,Monthly!N$17),IF(R$69&gt;$F121+1,Q121*(1-IF(R$69-$F121&lt;=12,SUMIFS('Attrition Modeling'!$D:$D,'Attrition Modeling'!$B:$B,$E121,'Attrition Modeling'!$C:$C,R$68),VLOOKUP(R$69-$F121-1,$A$7:$C$161,2,FALSE)*VLOOKUP(R$1,'Attrition Modeling'!$L$15:$N$27,IF(R$2-$F54&lt;=24,2,3),FALSE))*(1+Projection!T$16)*(1+IF(R186&gt;0,'Attrition Modeling'!$N$9,0))),0))</f>
        <v>0</v>
      </c>
      <c r="S121" s="799">
        <f>IF(S$69=$F121+1,IF(Monthly!O$4=TRUE,0,Monthly!O$17),IF(S$69&gt;$F121+1,R121*(1-IF(S$69-$F121&lt;=12,SUMIFS('Attrition Modeling'!$D:$D,'Attrition Modeling'!$B:$B,$E121,'Attrition Modeling'!$C:$C,S$68),VLOOKUP(S$69-$F121-1,$A$7:$C$161,2,FALSE)*VLOOKUP(S$1,'Attrition Modeling'!$L$15:$N$27,IF(S$2-$F54&lt;=24,2,3),FALSE))*(1+Projection!U$16)*(1+IF(S186&gt;0,'Attrition Modeling'!$N$9,0))),0))</f>
        <v>0</v>
      </c>
      <c r="T121" s="799">
        <f>IF(T$69=$F121+1,IF(Monthly!P$4=TRUE,0,Monthly!P$17),IF(T$69&gt;$F121+1,S121*(1-IF(T$69-$F121&lt;=12,SUMIFS('Attrition Modeling'!$D:$D,'Attrition Modeling'!$B:$B,$E121,'Attrition Modeling'!$C:$C,T$68),VLOOKUP(T$69-$F121-1,$A$7:$C$161,2,FALSE)*VLOOKUP(T$1,'Attrition Modeling'!$L$15:$N$27,IF(T$2-$F54&lt;=24,2,3),FALSE))*(1+Projection!V$16)*(1+IF(T186&gt;0,'Attrition Modeling'!$N$9,0))),0))</f>
        <v>0</v>
      </c>
      <c r="U121" s="799">
        <f>IF(U$69=$F121+1,IF(Monthly!Q$4=TRUE,0,Monthly!Q$17),IF(U$69&gt;$F121+1,T121*(1-IF(U$69-$F121&lt;=12,SUMIFS('Attrition Modeling'!$D:$D,'Attrition Modeling'!$B:$B,$E121,'Attrition Modeling'!$C:$C,U$68),VLOOKUP(U$69-$F121-1,$A$7:$C$161,2,FALSE)*VLOOKUP(U$1,'Attrition Modeling'!$L$15:$N$27,IF(U$2-$F54&lt;=24,2,3),FALSE))*(1+Projection!W$16)*(1+IF(U186&gt;0,'Attrition Modeling'!$N$9,0))),0))</f>
        <v>0</v>
      </c>
      <c r="V121" s="799">
        <f>IF(V$69=$F121+1,IF(Monthly!R$4=TRUE,0,Monthly!R$17),IF(V$69&gt;$F121+1,U121*(1-IF(V$69-$F121&lt;=12,SUMIFS('Attrition Modeling'!$D:$D,'Attrition Modeling'!$B:$B,$E121,'Attrition Modeling'!$C:$C,V$68),VLOOKUP(V$69-$F121-1,$A$7:$C$161,2,FALSE)*VLOOKUP(V$1,'Attrition Modeling'!$L$15:$N$27,IF(V$2-$F54&lt;=24,2,3),FALSE))*(1+Projection!X$16)*(1+IF(V186&gt;0,'Attrition Modeling'!$N$9,0))),0))</f>
        <v>0</v>
      </c>
      <c r="W121" s="799">
        <f>IF(W$69=$F121+1,IF(Monthly!S$4=TRUE,0,Monthly!S$17),IF(W$69&gt;$F121+1,V121*(1-IF(W$69-$F121&lt;=12,SUMIFS('Attrition Modeling'!$D:$D,'Attrition Modeling'!$B:$B,$E121,'Attrition Modeling'!$C:$C,W$68),VLOOKUP(W$69-$F121-1,$A$7:$C$161,2,FALSE)*VLOOKUP(W$1,'Attrition Modeling'!$L$15:$N$27,IF(W$2-$F54&lt;=24,2,3),FALSE))*(1+Projection!Y$16)*(1+IF(W186&gt;0,'Attrition Modeling'!$N$9,0))),0))</f>
        <v>0</v>
      </c>
      <c r="X121" s="799">
        <f>IF(X$69=$F121+1,IF(Monthly!T$4=TRUE,0,Monthly!T$17),IF(X$69&gt;$F121+1,W121*(1-IF(X$69-$F121&lt;=12,SUMIFS('Attrition Modeling'!$D:$D,'Attrition Modeling'!$B:$B,$E121,'Attrition Modeling'!$C:$C,X$68),VLOOKUP(X$69-$F121-1,$A$7:$C$161,2,FALSE)*VLOOKUP(X$1,'Attrition Modeling'!$L$15:$N$27,IF(X$2-$F54&lt;=24,2,3),FALSE))*(1+Projection!Z$16)*(1+IF(X186&gt;0,'Attrition Modeling'!$N$9,0))),0))</f>
        <v>0</v>
      </c>
      <c r="Y121" s="799">
        <f>IF(Y$69=$F121+1,IF(Monthly!U$4=TRUE,0,Monthly!U$17),IF(Y$69&gt;$F121+1,X121*(1-IF(Y$69-$F121&lt;=12,SUMIFS('Attrition Modeling'!$D:$D,'Attrition Modeling'!$B:$B,$E121,'Attrition Modeling'!$C:$C,Y$68),VLOOKUP(Y$69-$F121-1,$A$7:$C$161,2,FALSE)*VLOOKUP(Y$1,'Attrition Modeling'!$L$15:$N$27,IF(Y$2-$F54&lt;=24,2,3),FALSE))*(1+Projection!AA$16)*(1+IF(Y186&gt;0,'Attrition Modeling'!$N$9,0))),0))</f>
        <v>0</v>
      </c>
      <c r="Z121" s="799">
        <f>IF(Z$69=$F121+1,IF(Monthly!V$4=TRUE,0,Monthly!V$17),IF(Z$69&gt;$F121+1,Y121*(1-IF(Z$69-$F121&lt;=12,SUMIFS('Attrition Modeling'!$D:$D,'Attrition Modeling'!$B:$B,$E121,'Attrition Modeling'!$C:$C,Z$68),VLOOKUP(Z$69-$F121-1,$A$7:$C$161,2,FALSE)*VLOOKUP(Z$1,'Attrition Modeling'!$L$15:$N$27,IF(Z$2-$F54&lt;=24,2,3),FALSE))*(1+Projection!AB$16)*(1+IF(Z186&gt;0,'Attrition Modeling'!$N$9,0))),0))</f>
        <v>0</v>
      </c>
      <c r="AA121" s="799">
        <f>IF(AA$69=$F121+1,IF(Monthly!W$4=TRUE,0,Monthly!W$17),IF(AA$69&gt;$F121+1,Z121*(1-IF(AA$69-$F121&lt;=12,SUMIFS('Attrition Modeling'!$D:$D,'Attrition Modeling'!$B:$B,$E121,'Attrition Modeling'!$C:$C,AA$68),VLOOKUP(AA$69-$F121-1,$A$7:$C$161,2,FALSE)*VLOOKUP(AA$1,'Attrition Modeling'!$L$15:$N$27,IF(AA$2-$F54&lt;=24,2,3),FALSE))*(1+Projection!AC$16)*(1+IF(AA186&gt;0,'Attrition Modeling'!$N$9,0))),0))</f>
        <v>0</v>
      </c>
      <c r="AB121" s="799">
        <f>IF(AB$69=$F121+1,IF(Monthly!X$4=TRUE,0,Monthly!X$17),IF(AB$69&gt;$F121+1,AA121*(1-IF(AB$69-$F121&lt;=12,SUMIFS('Attrition Modeling'!$D:$D,'Attrition Modeling'!$B:$B,$E121,'Attrition Modeling'!$C:$C,AB$68),VLOOKUP(AB$69-$F121-1,$A$7:$C$161,2,FALSE)*VLOOKUP(AB$1,'Attrition Modeling'!$L$15:$N$27,IF(AB$2-$F54&lt;=24,2,3),FALSE))*(1+Projection!AD$16)*(1+IF(AB186&gt;0,'Attrition Modeling'!$N$9,0))),0))</f>
        <v>0</v>
      </c>
      <c r="AC121" s="799">
        <f>IF(AC$69=$F121+1,IF(Monthly!Y$4=TRUE,0,Monthly!Y$17),IF(AC$69&gt;$F121+1,AB121*(1-IF(AC$69-$F121&lt;=12,SUMIFS('Attrition Modeling'!$D:$D,'Attrition Modeling'!$B:$B,$E121,'Attrition Modeling'!$C:$C,AC$68),VLOOKUP(AC$69-$F121-1,$A$7:$C$161,2,FALSE)*VLOOKUP(AC$1,'Attrition Modeling'!$L$15:$N$27,IF(AC$2-$F54&lt;=24,2,3),FALSE))*(1+Projection!AE$16)*(1+IF(AC186&gt;0,'Attrition Modeling'!$N$9,0))),0))</f>
        <v>0</v>
      </c>
      <c r="AD121" s="799">
        <f>IF(AD$69=$F121+1,IF(Monthly!Z$4=TRUE,0,Monthly!Z$17),IF(AD$69&gt;$F121+1,AC121*(1-IF(AD$69-$F121&lt;=12,SUMIFS('Attrition Modeling'!$D:$D,'Attrition Modeling'!$B:$B,$E121,'Attrition Modeling'!$C:$C,AD$68),VLOOKUP(AD$69-$F121-1,$A$7:$C$161,2,FALSE)*VLOOKUP(AD$1,'Attrition Modeling'!$L$15:$N$27,IF(AD$2-$F54&lt;=24,2,3),FALSE))*(1+Projection!AF$16)*(1+IF(AD186&gt;0,'Attrition Modeling'!$N$9,0))),0))</f>
        <v>0</v>
      </c>
      <c r="AE121" s="799">
        <f>IF(AE$69=$F121+1,IF(Monthly!AA$4=TRUE,0,Monthly!AA$17),IF(AE$69&gt;$F121+1,AD121*(1-IF(AE$69-$F121&lt;=12,SUMIFS('Attrition Modeling'!$D:$D,'Attrition Modeling'!$B:$B,$E121,'Attrition Modeling'!$C:$C,AE$68),VLOOKUP(AE$69-$F121-1,$A$7:$C$161,2,FALSE)*VLOOKUP(AE$1,'Attrition Modeling'!$L$15:$N$27,IF(AE$2-$F54&lt;=24,2,3),FALSE))*(1+Projection!AG$16)*(1+IF(AE186&gt;0,'Attrition Modeling'!$N$9,0))),0))</f>
        <v>0</v>
      </c>
      <c r="AF121" s="799">
        <f>IF(AF$69=$F121+1,IF(Monthly!AB$4=TRUE,0,Monthly!AB$17),IF(AF$69&gt;$F121+1,AE121*(1-IF(AF$69-$F121&lt;=12,SUMIFS('Attrition Modeling'!$D:$D,'Attrition Modeling'!$B:$B,$E121,'Attrition Modeling'!$C:$C,AF$68),VLOOKUP(AF$69-$F121-1,$A$7:$C$161,2,FALSE)*VLOOKUP(AF$1,'Attrition Modeling'!$L$15:$N$27,IF(AF$2-$F54&lt;=24,2,3),FALSE))*(1+Projection!AH$16)*(1+IF(AF186&gt;0,'Attrition Modeling'!$N$9,0))),0))</f>
        <v>0</v>
      </c>
      <c r="AG121" s="799">
        <f>IF(AG$69=$F121+1,IF(Monthly!AC$4=TRUE,0,Monthly!AC$17),IF(AG$69&gt;$F121+1,AF121*(1-IF(AG$69-$F121&lt;=12,SUMIFS('Attrition Modeling'!$D:$D,'Attrition Modeling'!$B:$B,$E121,'Attrition Modeling'!$C:$C,AG$68),VLOOKUP(AG$69-$F121-1,$A$7:$C$161,2,FALSE)*VLOOKUP(AG$1,'Attrition Modeling'!$L$15:$N$27,IF(AG$2-$F54&lt;=24,2,3),FALSE))*(1+Projection!AI$16)*(1+IF(AG186&gt;0,'Attrition Modeling'!$N$9,0))),0))</f>
        <v>0</v>
      </c>
      <c r="AH121" s="799">
        <f>IF(AH$69=$F121+1,IF(Monthly!AD$4=TRUE,0,Monthly!AD$17),IF(AH$69&gt;$F121+1,AG121*(1-IF(AH$69-$F121&lt;=12,SUMIFS('Attrition Modeling'!$D:$D,'Attrition Modeling'!$B:$B,$E121,'Attrition Modeling'!$C:$C,AH$68),VLOOKUP(AH$69-$F121-1,$A$7:$C$161,2,FALSE)*VLOOKUP(AH$1,'Attrition Modeling'!$L$15:$N$27,IF(AH$2-$F54&lt;=24,2,3),FALSE))*(1+Projection!AJ$16)*(1+IF(AH186&gt;0,'Attrition Modeling'!$N$9,0))),0))</f>
        <v>0</v>
      </c>
      <c r="AI121" s="799">
        <f>IF(AI$69=$F121+1,IF(Monthly!AE$4=TRUE,0,Monthly!AE$17),IF(AI$69&gt;$F121+1,AH121*(1-IF(AI$69-$F121&lt;=12,SUMIFS('Attrition Modeling'!$D:$D,'Attrition Modeling'!$B:$B,$E121,'Attrition Modeling'!$C:$C,AI$68),VLOOKUP(AI$69-$F121-1,$A$7:$C$161,2,FALSE)*VLOOKUP(AI$1,'Attrition Modeling'!$L$15:$N$27,IF(AI$2-$F54&lt;=24,2,3),FALSE))*(1+Projection!AK$16)*(1+IF(AI186&gt;0,'Attrition Modeling'!$N$9,0))),0))</f>
        <v>0</v>
      </c>
      <c r="AJ121" s="799">
        <f>IF(AJ$69=$F121+1,IF(Monthly!AF$4=TRUE,0,Monthly!AF$17),IF(AJ$69&gt;$F121+1,AI121*(1-IF(AJ$69-$F121&lt;=12,SUMIFS('Attrition Modeling'!$D:$D,'Attrition Modeling'!$B:$B,$E121,'Attrition Modeling'!$C:$C,AJ$68),VLOOKUP(AJ$69-$F121-1,$A$7:$C$161,2,FALSE)*VLOOKUP(AJ$1,'Attrition Modeling'!$L$15:$N$27,IF(AJ$2-$F54&lt;=24,2,3),FALSE))*(1+Projection!AL$16)*(1+IF(AJ186&gt;0,'Attrition Modeling'!$N$9,0))),0))</f>
        <v>0</v>
      </c>
      <c r="AK121" s="799">
        <f>IF(AK$69=$F121+1,IF(Monthly!AG$4=TRUE,0,Monthly!AG$17),IF(AK$69&gt;$F121+1,AJ121*(1-IF(AK$69-$F121&lt;=12,SUMIFS('Attrition Modeling'!$D:$D,'Attrition Modeling'!$B:$B,$E121,'Attrition Modeling'!$C:$C,AK$68),VLOOKUP(AK$69-$F121-1,$A$7:$C$161,2,FALSE)*VLOOKUP(AK$1,'Attrition Modeling'!$L$15:$N$27,IF(AK$2-$F54&lt;=24,2,3),FALSE))*(1+Projection!AM$16)*(1+IF(AK186&gt;0,'Attrition Modeling'!$N$9,0))),0))</f>
        <v>0</v>
      </c>
      <c r="AL121" s="799">
        <f>IF(AL$69=$F121+1,IF(Monthly!AH$4=TRUE,0,Monthly!AH$17),IF(AL$69&gt;$F121+1,AK121*(1-IF(AL$69-$F121&lt;=12,SUMIFS('Attrition Modeling'!$D:$D,'Attrition Modeling'!$B:$B,$E121,'Attrition Modeling'!$C:$C,AL$68),VLOOKUP(AL$69-$F121-1,$A$7:$C$161,2,FALSE)*VLOOKUP(AL$1,'Attrition Modeling'!$L$15:$N$27,IF(AL$2-$F54&lt;=24,2,3),FALSE))*(1+Projection!AN$16)*(1+IF(AL186&gt;0,'Attrition Modeling'!$N$9,0))),0))</f>
        <v>0</v>
      </c>
      <c r="AM121" s="799">
        <f>IF(AM$69=$F121+1,IF(Monthly!AI$4=TRUE,0,Monthly!AI$17),IF(AM$69&gt;$F121+1,AL121*(1-IF(AM$69-$F121&lt;=12,SUMIFS('Attrition Modeling'!$D:$D,'Attrition Modeling'!$B:$B,$E121,'Attrition Modeling'!$C:$C,AM$68),VLOOKUP(AM$69-$F121-1,$A$7:$C$161,2,FALSE)*VLOOKUP(AM$1,'Attrition Modeling'!$L$15:$N$27,IF(AM$2-$F54&lt;=24,2,3),FALSE))*(1+Projection!AO$16)*(1+IF(AM186&gt;0,'Attrition Modeling'!$N$9,0))),0))</f>
        <v>0</v>
      </c>
      <c r="AN121" s="799">
        <f>IF(AN$69=$F121+1,IF(Monthly!AJ$4=TRUE,0,Monthly!AJ$17),IF(AN$69&gt;$F121+1,AM121*(1-IF(AN$69-$F121&lt;=12,SUMIFS('Attrition Modeling'!$D:$D,'Attrition Modeling'!$B:$B,$E121,'Attrition Modeling'!$C:$C,AN$68),VLOOKUP(AN$69-$F121-1,$A$7:$C$161,2,FALSE)*VLOOKUP(AN$1,'Attrition Modeling'!$L$15:$N$27,IF(AN$2-$F54&lt;=24,2,3),FALSE))*(1+Projection!AP$16)*(1+IF(AN186&gt;0,'Attrition Modeling'!$N$9,0))),0))</f>
        <v>0</v>
      </c>
      <c r="AO121" s="799">
        <f>IF(AO$69=$F121+1,IF(Monthly!AK$4=TRUE,0,Monthly!AK$17),IF(AO$69&gt;$F121+1,AN121*(1-IF(AO$69-$F121&lt;=12,SUMIFS('Attrition Modeling'!$D:$D,'Attrition Modeling'!$B:$B,$E121,'Attrition Modeling'!$C:$C,AO$68),VLOOKUP(AO$69-$F121-1,$A$7:$C$161,2,FALSE)*VLOOKUP(AO$1,'Attrition Modeling'!$L$15:$N$27,IF(AO$2-$F54&lt;=24,2,3),FALSE))*(1+Projection!AQ$16)*(1+IF(AO186&gt;0,'Attrition Modeling'!$N$9,0))),0))</f>
        <v>0</v>
      </c>
      <c r="AP121" s="799">
        <f>IF(AP$69=$F121+1,IF(Monthly!AL$4=TRUE,0,Monthly!AL$17),IF(AP$69&gt;$F121+1,AO121*(1-IF(AP$69-$F121&lt;=12,SUMIFS('Attrition Modeling'!$D:$D,'Attrition Modeling'!$B:$B,$E121,'Attrition Modeling'!$C:$C,AP$68),VLOOKUP(AP$69-$F121-1,$A$7:$C$161,2,FALSE)*VLOOKUP(AP$1,'Attrition Modeling'!$L$15:$N$27,IF(AP$2-$F54&lt;=24,2,3),FALSE))*(1+Projection!AR$16)*(1+IF(AP186&gt;0,'Attrition Modeling'!$N$9,0))),0))</f>
        <v>0</v>
      </c>
      <c r="AQ121" s="799">
        <f>IF(AQ$69=$F121+1,IF(Monthly!AM$4=TRUE,0,Monthly!AM$17),IF(AQ$69&gt;$F121+1,AP121*(1-IF(AQ$69-$F121&lt;=12,SUMIFS('Attrition Modeling'!$D:$D,'Attrition Modeling'!$B:$B,$E121,'Attrition Modeling'!$C:$C,AQ$68),VLOOKUP(AQ$69-$F121-1,$A$7:$C$161,2,FALSE)*VLOOKUP(AQ$1,'Attrition Modeling'!$L$15:$N$27,IF(AQ$2-$F54&lt;=24,2,3),FALSE))*(1+Projection!AS$16)*(1+IF(AQ186&gt;0,'Attrition Modeling'!$N$9,0))),0))</f>
        <v>0</v>
      </c>
      <c r="AR121" s="799">
        <f>IF(AR$69=$F121+1,IF(Monthly!AN$4=TRUE,0,Monthly!AN$17),IF(AR$69&gt;$F121+1,AQ121*(1-IF(AR$69-$F121&lt;=12,SUMIFS('Attrition Modeling'!$D:$D,'Attrition Modeling'!$B:$B,$E121,'Attrition Modeling'!$C:$C,AR$68),VLOOKUP(AR$69-$F121-1,$A$7:$C$161,2,FALSE)*VLOOKUP(AR$1,'Attrition Modeling'!$L$15:$N$27,IF(AR$2-$F54&lt;=24,2,3),FALSE))*(1+Projection!AT$16)*(1+IF(AR186&gt;0,'Attrition Modeling'!$N$9,0))),0))</f>
        <v>0</v>
      </c>
      <c r="AS121" s="799">
        <f>IF(AS$69=$F121+1,IF(Monthly!AO$4=TRUE,0,Monthly!AO$17),IF(AS$69&gt;$F121+1,AR121*(1-IF(AS$69-$F121&lt;=12,SUMIFS('Attrition Modeling'!$D:$D,'Attrition Modeling'!$B:$B,$E121,'Attrition Modeling'!$C:$C,AS$68),VLOOKUP(AS$69-$F121-1,$A$7:$C$161,2,FALSE)*VLOOKUP(AS$1,'Attrition Modeling'!$L$15:$N$27,IF(AS$2-$F54&lt;=24,2,3),FALSE))*(1+Projection!AU$16)*(1+IF(AS186&gt;0,'Attrition Modeling'!$N$9,0))),0))</f>
        <v>0</v>
      </c>
      <c r="AT121" s="799">
        <f>IF(AT$69=$F121+1,IF(Monthly!AP$4=TRUE,0,Monthly!AP$17),IF(AT$69&gt;$F121+1,AS121*(1-IF(AT$69-$F121&lt;=12,SUMIFS('Attrition Modeling'!$D:$D,'Attrition Modeling'!$B:$B,$E121,'Attrition Modeling'!$C:$C,AT$68),VLOOKUP(AT$69-$F121-1,$A$7:$C$161,2,FALSE)*VLOOKUP(AT$1,'Attrition Modeling'!$L$15:$N$27,IF(AT$2-$F54&lt;=24,2,3),FALSE))*(1+Projection!AV$16)*(1+IF(AT186&gt;0,'Attrition Modeling'!$N$9,0))),0))</f>
        <v>0</v>
      </c>
      <c r="AU121" s="799">
        <f>IF(AU$69=$F121+1,IF(Monthly!AQ$4=TRUE,0,Monthly!AQ$17),IF(AU$69&gt;$F121+1,AT121*(1-IF(AU$69-$F121&lt;=12,SUMIFS('Attrition Modeling'!$D:$D,'Attrition Modeling'!$B:$B,$E121,'Attrition Modeling'!$C:$C,AU$68),VLOOKUP(AU$69-$F121-1,$A$7:$C$161,2,FALSE)*VLOOKUP(AU$1,'Attrition Modeling'!$L$15:$N$27,IF(AU$2-$F54&lt;=24,2,3),FALSE))*(1+Projection!AW$16)*(1+IF(AU186&gt;0,'Attrition Modeling'!$N$9,0))),0))</f>
        <v>0</v>
      </c>
      <c r="AV121" s="799">
        <f>IF(AV$69=$F121+1,IF(Monthly!AR$4=TRUE,0,Monthly!AR$17),IF(AV$69&gt;$F121+1,AU121*(1-IF(AV$69-$F121&lt;=12,SUMIFS('Attrition Modeling'!$D:$D,'Attrition Modeling'!$B:$B,$E121,'Attrition Modeling'!$C:$C,AV$68),VLOOKUP(AV$69-$F121-1,$A$7:$C$161,2,FALSE)*VLOOKUP(AV$1,'Attrition Modeling'!$L$15:$N$27,IF(AV$2-$F54&lt;=24,2,3),FALSE))*(1+Projection!AX$16)*(1+IF(AV186&gt;0,'Attrition Modeling'!$N$9,0))),0))</f>
        <v>0</v>
      </c>
      <c r="AW121" s="799">
        <f>IF(AW$69=$F121+1,IF(Monthly!AS$4=TRUE,0,Monthly!AS$17),IF(AW$69&gt;$F121+1,AV121*(1-IF(AW$69-$F121&lt;=12,SUMIFS('Attrition Modeling'!$D:$D,'Attrition Modeling'!$B:$B,$E121,'Attrition Modeling'!$C:$C,AW$68),VLOOKUP(AW$69-$F121-1,$A$7:$C$161,2,FALSE)*VLOOKUP(AW$1,'Attrition Modeling'!$L$15:$N$27,IF(AW$2-$F54&lt;=24,2,3),FALSE))*(1+Projection!AY$16)*(1+IF(AW186&gt;0,'Attrition Modeling'!$N$9,0))),0))</f>
        <v>0</v>
      </c>
      <c r="AX121" s="799">
        <f>IF(AX$69=$F121+1,IF(Monthly!AT$4=TRUE,0,Monthly!AT$17),IF(AX$69&gt;$F121+1,AW121*(1-IF(AX$69-$F121&lt;=12,SUMIFS('Attrition Modeling'!$D:$D,'Attrition Modeling'!$B:$B,$E121,'Attrition Modeling'!$C:$C,AX$68),VLOOKUP(AX$69-$F121-1,$A$7:$C$161,2,FALSE)*VLOOKUP(AX$1,'Attrition Modeling'!$L$15:$N$27,IF(AX$2-$F54&lt;=24,2,3),FALSE))*(1+Projection!AZ$16)*(1+IF(AX186&gt;0,'Attrition Modeling'!$N$9,0))),0))</f>
        <v>0</v>
      </c>
      <c r="AY121" s="799">
        <f>IF(AY$69=$F121+1,IF(Monthly!AU$4=TRUE,0,Monthly!AU$17),IF(AY$69&gt;$F121+1,AX121*(1-IF(AY$69-$F121&lt;=12,SUMIFS('Attrition Modeling'!$D:$D,'Attrition Modeling'!$B:$B,$E121,'Attrition Modeling'!$C:$C,AY$68),VLOOKUP(AY$69-$F121-1,$A$7:$C$161,2,FALSE)*VLOOKUP(AY$1,'Attrition Modeling'!$L$15:$N$27,IF(AY$2-$F54&lt;=24,2,3),FALSE))*(1+Projection!BA$16)*(1+IF(AY186&gt;0,'Attrition Modeling'!$N$9,0))),0))</f>
        <v>0</v>
      </c>
      <c r="AZ121" s="799">
        <f>IF(AZ$69=$F121+1,IF(Monthly!AV$4=TRUE,0,Monthly!AV$17),IF(AZ$69&gt;$F121+1,AY121*(1-IF(AZ$69-$F121&lt;=12,SUMIFS('Attrition Modeling'!$D:$D,'Attrition Modeling'!$B:$B,$E121,'Attrition Modeling'!$C:$C,AZ$68),VLOOKUP(AZ$69-$F121-1,$A$7:$C$161,2,FALSE)*VLOOKUP(AZ$1,'Attrition Modeling'!$L$15:$N$27,IF(AZ$2-$F54&lt;=24,2,3),FALSE))*(1+Projection!BB$16)*(1+IF(AZ186&gt;0,'Attrition Modeling'!$N$9,0))),0))</f>
        <v>0</v>
      </c>
      <c r="BA121" s="799">
        <f>IF(BA$69=$F121+1,IF(Monthly!AW$4=TRUE,0,Monthly!AW$17),IF(BA$69&gt;$F121+1,AZ121*(1-IF(BA$69-$F121&lt;=12,SUMIFS('Attrition Modeling'!$D:$D,'Attrition Modeling'!$B:$B,$E121,'Attrition Modeling'!$C:$C,BA$68),VLOOKUP(BA$69-$F121-1,$A$7:$C$161,2,FALSE)*VLOOKUP(BA$1,'Attrition Modeling'!$L$15:$N$27,IF(BA$2-$F54&lt;=24,2,3),FALSE))*(1+Projection!BC$16)*(1+IF(BA186&gt;0,'Attrition Modeling'!$N$9,0))),0))</f>
        <v>0</v>
      </c>
      <c r="BB121" s="799">
        <f>IF(BB$69=$F121+1,IF(Monthly!AX$4=TRUE,0,Monthly!AX$17),IF(BB$69&gt;$F121+1,BA121*(1-IF(BB$69-$F121&lt;=12,SUMIFS('Attrition Modeling'!$D:$D,'Attrition Modeling'!$B:$B,$E121,'Attrition Modeling'!$C:$C,BB$68),VLOOKUP(BB$69-$F121-1,$A$7:$C$161,2,FALSE)*VLOOKUP(BB$1,'Attrition Modeling'!$L$15:$N$27,IF(BB$2-$F54&lt;=24,2,3),FALSE))*(1+Projection!BD$16)*(1+IF(BB186&gt;0,'Attrition Modeling'!$N$9,0))),0))</f>
        <v>0</v>
      </c>
      <c r="BC121" s="799">
        <f>IF(BC$69=$F121+1,IF(Monthly!AY$4=TRUE,0,Monthly!AY$17),IF(BC$69&gt;$F121+1,BB121*(1-IF(BC$69-$F121&lt;=12,SUMIFS('Attrition Modeling'!$D:$D,'Attrition Modeling'!$B:$B,$E121,'Attrition Modeling'!$C:$C,BC$68),VLOOKUP(BC$69-$F121-1,$A$7:$C$161,2,FALSE)*VLOOKUP(BC$1,'Attrition Modeling'!$L$15:$N$27,IF(BC$2-$F54&lt;=24,2,3),FALSE))*(1+Projection!BE$16)*(1+IF(BC186&gt;0,'Attrition Modeling'!$N$9,0))),0))</f>
        <v>0</v>
      </c>
      <c r="BD121" s="799">
        <f>IF(BD$69=$F121+1,IF(Monthly!AZ$4=TRUE,0,Monthly!AZ$17),IF(BD$69&gt;$F121+1,BC121*(1-IF(BD$69-$F121&lt;=12,SUMIFS('Attrition Modeling'!$D:$D,'Attrition Modeling'!$B:$B,$E121,'Attrition Modeling'!$C:$C,BD$68),VLOOKUP(BD$69-$F121-1,$A$7:$C$161,2,FALSE)*VLOOKUP(BD$1,'Attrition Modeling'!$L$15:$N$27,IF(BD$2-$F54&lt;=24,2,3),FALSE))*(1+Projection!BF$16)*(1+IF(BD186&gt;0,'Attrition Modeling'!$N$9,0))),0))</f>
        <v>0</v>
      </c>
      <c r="BE121" s="799">
        <f>IF(BE$69=$F121+1,IF(Monthly!BA$4=TRUE,0,Monthly!BA$17),IF(BE$69&gt;$F121+1,BD121*(1-IF(BE$69-$F121&lt;=12,SUMIFS('Attrition Modeling'!$D:$D,'Attrition Modeling'!$B:$B,$E121,'Attrition Modeling'!$C:$C,BE$68),VLOOKUP(BE$69-$F121-1,$A$7:$C$161,2,FALSE)*VLOOKUP(BE$1,'Attrition Modeling'!$L$15:$N$27,IF(BE$2-$F54&lt;=24,2,3),FALSE))*(1+Projection!BG$16)*(1+IF(BE186&gt;0,'Attrition Modeling'!$N$9,0))),0))</f>
        <v>0</v>
      </c>
      <c r="BF121" s="799">
        <f>IF(BF$69=$F121+1,IF(Monthly!BB$4=TRUE,0,Monthly!BB$17),IF(BF$69&gt;$F121+1,BE121*(1-IF(BF$69-$F121&lt;=12,SUMIFS('Attrition Modeling'!$D:$D,'Attrition Modeling'!$B:$B,$E121,'Attrition Modeling'!$C:$C,BF$68),VLOOKUP(BF$69-$F121-1,$A$7:$C$161,2,FALSE)*VLOOKUP(BF$1,'Attrition Modeling'!$L$15:$N$27,IF(BF$2-$F54&lt;=24,2,3),FALSE))*(1+Projection!BH$16)*(1+IF(BF186&gt;0,'Attrition Modeling'!$N$9,0))),0))</f>
        <v>0</v>
      </c>
      <c r="BG121" s="799">
        <f>IF(BG$69=$F121+1,IF(Monthly!BC$4=TRUE,0,Monthly!BC$17),IF(BG$69&gt;$F121+1,BF121*(1-IF(BG$69-$F121&lt;=12,SUMIFS('Attrition Modeling'!$D:$D,'Attrition Modeling'!$B:$B,$E121,'Attrition Modeling'!$C:$C,BG$68),VLOOKUP(BG$69-$F121-1,$A$7:$C$161,2,FALSE)*VLOOKUP(BG$1,'Attrition Modeling'!$L$15:$N$27,IF(BG$2-$F54&lt;=24,2,3),FALSE))*(1+Projection!BI$16)*(1+IF(BG186&gt;0,'Attrition Modeling'!$N$9,0))),0))</f>
        <v>5376.246842304171</v>
      </c>
      <c r="BH121" s="799">
        <f>IF(BH$69=$F121+1,IF(Monthly!BD$4=TRUE,0,Monthly!BD$17),IF(BH$69&gt;$F121+1,BG121*(1-IF(BH$69-$F121&lt;=12,SUMIFS('Attrition Modeling'!$D:$D,'Attrition Modeling'!$B:$B,$E121,'Attrition Modeling'!$C:$C,BH$68),VLOOKUP(BH$69-$F121-1,$A$7:$C$161,2,FALSE)*VLOOKUP(BH$1,'Attrition Modeling'!$L$15:$N$27,IF(BH$2-$F54&lt;=24,2,3),FALSE))*(1+Projection!BJ$16)*(1+IF(BH186&gt;0,'Attrition Modeling'!$N$9,0))),0))</f>
        <v>4871.3195774066844</v>
      </c>
      <c r="BI121" s="799">
        <f>IF(BI$69=$F121+1,IF(Monthly!BE$4=TRUE,0,Monthly!BE$17),IF(BI$69&gt;$F121+1,BH121*(1-IF(BI$69-$F121&lt;=12,SUMIFS('Attrition Modeling'!$D:$D,'Attrition Modeling'!$B:$B,$E121,'Attrition Modeling'!$C:$C,BI$68),VLOOKUP(BI$69-$F121-1,$A$7:$C$161,2,FALSE)*VLOOKUP(BI$1,'Attrition Modeling'!$L$15:$N$27,IF(BI$2-$F54&lt;=24,2,3),FALSE))*(1+Projection!BK$16)*(1+IF(BI186&gt;0,'Attrition Modeling'!$N$9,0))),0))</f>
        <v>4433.9902373503737</v>
      </c>
      <c r="BJ121" s="799">
        <f>IF(BJ$69=$F121+1,IF(Monthly!BF$4=TRUE,0,Monthly!BF$17),IF(BJ$69&gt;$F121+1,BI121*(1-IF(BJ$69-$F121&lt;=12,SUMIFS('Attrition Modeling'!$D:$D,'Attrition Modeling'!$B:$B,$E121,'Attrition Modeling'!$C:$C,BJ$68),VLOOKUP(BJ$69-$F121-1,$A$7:$C$161,2,FALSE)*VLOOKUP(BJ$1,'Attrition Modeling'!$L$15:$N$27,IF(BJ$2-$F54&lt;=24,2,3),FALSE))*(1+Projection!BL$16)*(1+IF(BJ186&gt;0,'Attrition Modeling'!$N$9,0))),0))</f>
        <v>4037.5254436767141</v>
      </c>
      <c r="BK121" s="799">
        <f>IF(BK$69=$F121+1,IF(Monthly!BG$4=TRUE,0,Monthly!BG$17),IF(BK$69&gt;$F121+1,BJ121*(1-IF(BK$69-$F121&lt;=12,SUMIFS('Attrition Modeling'!$D:$D,'Attrition Modeling'!$B:$B,$E121,'Attrition Modeling'!$C:$C,BK$68),VLOOKUP(BK$69-$F121-1,$A$7:$C$161,2,FALSE)*VLOOKUP(BK$1,'Attrition Modeling'!$L$15:$N$27,IF(BK$2-$F54&lt;=24,2,3),FALSE))*(1+Projection!BM$16)*(1+IF(BK186&gt;0,'Attrition Modeling'!$N$9,0))),0))</f>
        <v>3685.2580913834117</v>
      </c>
      <c r="BL121" s="799">
        <f>IF(BL$69=$F121+1,IF(Monthly!BH$4=TRUE,0,Monthly!BH$17),IF(BL$69&gt;$F121+1,BK121*(1-IF(BL$69-$F121&lt;=12,SUMIFS('Attrition Modeling'!$D:$D,'Attrition Modeling'!$B:$B,$E121,'Attrition Modeling'!$C:$C,BL$68),VLOOKUP(BL$69-$F121-1,$A$7:$C$161,2,FALSE)*VLOOKUP(BL$1,'Attrition Modeling'!$L$15:$N$27,IF(BL$2-$F54&lt;=24,2,3),FALSE))*(1+Projection!BN$16)*(1+IF(BL186&gt;0,'Attrition Modeling'!$N$9,0))),0))</f>
        <v>3321.2980664227448</v>
      </c>
      <c r="BM121" s="799">
        <f>IF(BM$69=$F121+1,IF(Monthly!BI$4=TRUE,0,Monthly!BI$17),IF(BM$69&gt;$F121+1,BL121*(1-IF(BM$69-$F121&lt;=12,SUMIFS('Attrition Modeling'!$D:$D,'Attrition Modeling'!$B:$B,$E121,'Attrition Modeling'!$C:$C,BM$68),VLOOKUP(BM$69-$F121-1,$A$7:$C$161,2,FALSE)*VLOOKUP(BM$1,'Attrition Modeling'!$L$15:$N$27,IF(BM$2-$F54&lt;=24,2,3),FALSE))*(1+Projection!BO$16)*(1+IF(BM186&gt;0,'Attrition Modeling'!$N$9,0))),0))</f>
        <v>3058.0537087530729</v>
      </c>
      <c r="BN121" s="799">
        <f>IF(BN$69=$F121+1,IF(Monthly!BJ$4=TRUE,0,Monthly!BJ$17),IF(BN$69&gt;$F121+1,BM121*(1-IF(BN$69-$F121&lt;=12,SUMIFS('Attrition Modeling'!$D:$D,'Attrition Modeling'!$B:$B,$E121,'Attrition Modeling'!$C:$C,BN$68),VLOOKUP(BN$69-$F121-1,$A$7:$C$161,2,FALSE)*VLOOKUP(BN$1,'Attrition Modeling'!$L$15:$N$27,IF(BN$2-$F54&lt;=24,2,3),FALSE))*(1+Projection!BP$16)*(1+IF(BN186&gt;0,'Attrition Modeling'!$N$9,0))),0))</f>
        <v>2829.9748278320685</v>
      </c>
      <c r="BO121" s="799">
        <f>IF(BO$69=$F121+1,IF(Monthly!BK$4=TRUE,0,Monthly!BK$17),IF(BO$69&gt;$F121+1,BN121*(1-IF(BO$69-$F121&lt;=12,SUMIFS('Attrition Modeling'!$D:$D,'Attrition Modeling'!$B:$B,$E121,'Attrition Modeling'!$C:$C,BO$68),VLOOKUP(BO$69-$F121-1,$A$7:$C$161,2,FALSE)*VLOOKUP(BO$1,'Attrition Modeling'!$L$15:$N$27,IF(BO$2-$F54&lt;=24,2,3),FALSE))*(1+Projection!BV$16)*(1+IF(BO186&gt;0,'Attrition Modeling'!$N$9,0))),0))</f>
        <v>2661.2753022870365</v>
      </c>
      <c r="BP121" s="799">
        <f>IF(BP$69=$F121+1,IF(Monthly!BL$4=TRUE,0,Monthly!BL$17),IF(BP$69&gt;$F121+1,BO121*(1-IF(BP$69-$F121&lt;=12,SUMIFS('Attrition Modeling'!$D:$D,'Attrition Modeling'!$B:$B,$E121,'Attrition Modeling'!$C:$C,BP$68),VLOOKUP(BP$69-$F121-1,$A$7:$C$161,2,FALSE)*VLOOKUP(BP$1,'Attrition Modeling'!$L$15:$N$27,IF(BP$2-$F54&lt;=24,2,3),FALSE))*(1+Projection!BW$16)*(1+IF(BP186&gt;0,'Attrition Modeling'!$N$9,0))),0))</f>
        <v>2512.0209769396429</v>
      </c>
      <c r="BQ121" s="799">
        <f>IF(BQ$69=$F121+1,IF(Monthly!BM$4=TRUE,0,Monthly!BM$17),IF(BQ$69&gt;$F121+1,BP121*(1-IF(BQ$69-$F121&lt;=12,SUMIFS('Attrition Modeling'!$D:$D,'Attrition Modeling'!$B:$B,$E121,'Attrition Modeling'!$C:$C,BQ$68),VLOOKUP(BQ$69-$F121-1,$A$7:$C$161,2,FALSE)*VLOOKUP(BQ$1,'Attrition Modeling'!$L$15:$N$27,IF(BQ$2-$F54&lt;=24,2,3),FALSE))*(1+Projection!BX$16)*(1+IF(BQ186&gt;0,'Attrition Modeling'!$N$9,0))),0))</f>
        <v>2382.5089123932439</v>
      </c>
      <c r="BR121" s="799">
        <f>IF(BR$69=$F121+1,IF(Monthly!BN$4=TRUE,0,Monthly!BN$17),IF(BR$69&gt;$F121+1,BQ121*(1-IF(BR$69-$F121&lt;=12,SUMIFS('Attrition Modeling'!$D:$D,'Attrition Modeling'!$B:$B,$E121,'Attrition Modeling'!$C:$C,BR$68),VLOOKUP(BR$69-$F121-1,$A$7:$C$161,2,FALSE)*VLOOKUP(BR$1,'Attrition Modeling'!$L$15:$N$27,IF(BR$2-$F54&lt;=24,2,3),FALSE))*(1+Projection!BY$16)*(1+IF(BR186&gt;0,'Attrition Modeling'!$N$9,0))),0))</f>
        <v>2306.2162120005873</v>
      </c>
      <c r="BS121" s="799">
        <f>IF(BS$69=$F121+1,IF(Monthly!BO$4=TRUE,0,Monthly!BO$17),IF(BS$69&gt;$F121+1,BR121*(1-IF(BS$69-$F121&lt;=12,SUMIFS('Attrition Modeling'!$D:$D,'Attrition Modeling'!$B:$B,$E121,'Attrition Modeling'!$C:$C,BS$68),VLOOKUP(BS$69-$F121-1,$A$7:$C$161,2,FALSE)*VLOOKUP(BS$1,'Attrition Modeling'!$L$15:$N$27,IF(BS$2-$F54&lt;=24,2,3),FALSE))*(1+Projection!BZ$16)*(1+IF(BS186&gt;0,'Attrition Modeling'!$N$9,0))),0))</f>
        <v>2186.3393452099049</v>
      </c>
      <c r="BT121" s="799">
        <f>IF(BT$69=$F121+1,IF(Monthly!#REF!=TRUE,0,Monthly!#REF!),IF(BT$69&gt;$F121+1,BS121*(1-IF(BT$69-$F121&lt;=12,SUMIFS('Attrition Modeling'!$D:$D,'Attrition Modeling'!$B:$B,$E121,'Attrition Modeling'!$C:$C,BT$68),VLOOKUP(BT$69-$F121-1,$A$7:$C$161,2,FALSE)*VLOOKUP(BT$1,'Attrition Modeling'!$L$15:$N$27,IF(BT$2-$F54&lt;=24,2,3),FALSE))*(1+Projection!CA$16)*(1+IF(BT186&gt;0,'Attrition Modeling'!$N$9,0))),0))</f>
        <v>2082.220604003584</v>
      </c>
      <c r="BU121" s="799">
        <f>IF(BU$69=$F121+1,IF(Monthly!#REF!=TRUE,0,Monthly!#REF!),IF(BU$69&gt;$F121+1,BT121*(1-IF(BU$69-$F121&lt;=12,SUMIFS('Attrition Modeling'!$D:$D,'Attrition Modeling'!$B:$B,$E121,'Attrition Modeling'!$C:$C,BU$68),VLOOKUP(BU$69-$F121-1,$A$7:$C$161,2,FALSE)*VLOOKUP(BU$1,'Attrition Modeling'!$L$15:$N$27,IF(BU$2-$F54&lt;=24,2,3),FALSE))*(1+Projection!CB$16)*(1+IF(BU186&gt;0,'Attrition Modeling'!$N$9,0))),0))</f>
        <v>1978.6856834205246</v>
      </c>
    </row>
    <row r="122" spans="1:73" ht="14.25" customHeight="1" x14ac:dyDescent="0.2">
      <c r="A122" s="9">
        <v>115</v>
      </c>
      <c r="B122" s="25">
        <f>MAX('Attrition Modeling'!H119,$C$3)*(1-Summary!$C$20)</f>
        <v>0.02</v>
      </c>
      <c r="C122" s="24" t="e">
        <f t="shared" si="4"/>
        <v>#DIV/0!</v>
      </c>
      <c r="E122" s="11">
        <f t="shared" si="9"/>
        <v>4</v>
      </c>
      <c r="F122" s="11">
        <f t="shared" si="10"/>
        <v>52</v>
      </c>
      <c r="G122" s="799"/>
      <c r="H122" s="799">
        <f>IF(H$69=$F122+1,IF(Monthly!D$4=TRUE,0,Monthly!D$17),IF(H$69&gt;$F122+1,G122*(1-IF(H$69-$F122&lt;=12,SUMIFS('Attrition Modeling'!$D:$D,'Attrition Modeling'!$B:$B,$E122,'Attrition Modeling'!$C:$C,H$68),VLOOKUP(H$69-$F122-1,$A$7:$C$161,2,FALSE)*VLOOKUP(H$1,'Attrition Modeling'!$L$15:$N$27,IF(H$2-$F55&lt;=24,2,3),FALSE))*(1+Projection!J$16)*(1+IF(H187&gt;0,'Attrition Modeling'!$N$9,0))),0))</f>
        <v>0</v>
      </c>
      <c r="I122" s="799">
        <f>IF(I$69=$F122+1,IF(Monthly!E$4=TRUE,0,Monthly!E$17),IF(I$69&gt;$F122+1,H122*(1-IF(I$69-$F122&lt;=12,SUMIFS('Attrition Modeling'!$D:$D,'Attrition Modeling'!$B:$B,$E122,'Attrition Modeling'!$C:$C,I$68),VLOOKUP(I$69-$F122-1,$A$7:$C$161,2,FALSE)*VLOOKUP(I$1,'Attrition Modeling'!$L$15:$N$27,IF(I$2-$F55&lt;=24,2,3),FALSE))*(1+Projection!K$16)*(1+IF(I187&gt;0,'Attrition Modeling'!$N$9,0))),0))</f>
        <v>0</v>
      </c>
      <c r="J122" s="799">
        <f>IF(J$69=$F122+1,IF(Monthly!F$4=TRUE,0,Monthly!F$17),IF(J$69&gt;$F122+1,I122*(1-IF(J$69-$F122&lt;=12,SUMIFS('Attrition Modeling'!$D:$D,'Attrition Modeling'!$B:$B,$E122,'Attrition Modeling'!$C:$C,J$68),VLOOKUP(J$69-$F122-1,$A$7:$C$161,2,FALSE)*VLOOKUP(J$1,'Attrition Modeling'!$L$15:$N$27,IF(J$2-$F55&lt;=24,2,3),FALSE))*(1+Projection!L$16)*(1+IF(J187&gt;0,'Attrition Modeling'!$N$9,0))),0))</f>
        <v>0</v>
      </c>
      <c r="K122" s="799">
        <f>IF(K$69=$F122+1,IF(Monthly!G$4=TRUE,0,Monthly!G$17),IF(K$69&gt;$F122+1,J122*(1-IF(K$69-$F122&lt;=12,SUMIFS('Attrition Modeling'!$D:$D,'Attrition Modeling'!$B:$B,$E122,'Attrition Modeling'!$C:$C,K$68),VLOOKUP(K$69-$F122-1,$A$7:$C$161,2,FALSE)*VLOOKUP(K$1,'Attrition Modeling'!$L$15:$N$27,IF(K$2-$F55&lt;=24,2,3),FALSE))*(1+Projection!M$16)*(1+IF(K187&gt;0,'Attrition Modeling'!$N$9,0))),0))</f>
        <v>0</v>
      </c>
      <c r="L122" s="799">
        <f>IF(L$69=$F122+1,IF(Monthly!H$4=TRUE,0,Monthly!H$17),IF(L$69&gt;$F122+1,K122*(1-IF(L$69-$F122&lt;=12,SUMIFS('Attrition Modeling'!$D:$D,'Attrition Modeling'!$B:$B,$E122,'Attrition Modeling'!$C:$C,L$68),VLOOKUP(L$69-$F122-1,$A$7:$C$161,2,FALSE)*VLOOKUP(L$1,'Attrition Modeling'!$L$15:$N$27,IF(L$2-$F55&lt;=24,2,3),FALSE))*(1+Projection!N$16)*(1+IF(L187&gt;0,'Attrition Modeling'!$N$9,0))),0))</f>
        <v>0</v>
      </c>
      <c r="M122" s="799">
        <f>IF(M$69=$F122+1,IF(Monthly!I$4=TRUE,0,Monthly!I$17),IF(M$69&gt;$F122+1,L122*(1-IF(M$69-$F122&lt;=12,SUMIFS('Attrition Modeling'!$D:$D,'Attrition Modeling'!$B:$B,$E122,'Attrition Modeling'!$C:$C,M$68),VLOOKUP(M$69-$F122-1,$A$7:$C$161,2,FALSE)*VLOOKUP(M$1,'Attrition Modeling'!$L$15:$N$27,IF(M$2-$F55&lt;=24,2,3),FALSE))*(1+Projection!O$16)*(1+IF(M187&gt;0,'Attrition Modeling'!$N$9,0))),0))</f>
        <v>0</v>
      </c>
      <c r="N122" s="799">
        <f>IF(N$69=$F122+1,IF(Monthly!J$4=TRUE,0,Monthly!J$17),IF(N$69&gt;$F122+1,M122*(1-IF(N$69-$F122&lt;=12,SUMIFS('Attrition Modeling'!$D:$D,'Attrition Modeling'!$B:$B,$E122,'Attrition Modeling'!$C:$C,N$68),VLOOKUP(N$69-$F122-1,$A$7:$C$161,2,FALSE)*VLOOKUP(N$1,'Attrition Modeling'!$L$15:$N$27,IF(N$2-$F55&lt;=24,2,3),FALSE))*(1+Projection!P$16)*(1+IF(N187&gt;0,'Attrition Modeling'!$N$9,0))),0))</f>
        <v>0</v>
      </c>
      <c r="O122" s="799">
        <f>IF(O$69=$F122+1,IF(Monthly!K$4=TRUE,0,Monthly!K$17),IF(O$69&gt;$F122+1,N122*(1-IF(O$69-$F122&lt;=12,SUMIFS('Attrition Modeling'!$D:$D,'Attrition Modeling'!$B:$B,$E122,'Attrition Modeling'!$C:$C,O$68),VLOOKUP(O$69-$F122-1,$A$7:$C$161,2,FALSE)*VLOOKUP(O$1,'Attrition Modeling'!$L$15:$N$27,IF(O$2-$F55&lt;=24,2,3),FALSE))*(1+Projection!Q$16)*(1+IF(O187&gt;0,'Attrition Modeling'!$N$9,0))),0))</f>
        <v>0</v>
      </c>
      <c r="P122" s="799">
        <f>IF(P$69=$F122+1,IF(Monthly!L$4=TRUE,0,Monthly!L$17),IF(P$69&gt;$F122+1,O122*(1-IF(P$69-$F122&lt;=12,SUMIFS('Attrition Modeling'!$D:$D,'Attrition Modeling'!$B:$B,$E122,'Attrition Modeling'!$C:$C,P$68),VLOOKUP(P$69-$F122-1,$A$7:$C$161,2,FALSE)*VLOOKUP(P$1,'Attrition Modeling'!$L$15:$N$27,IF(P$2-$F55&lt;=24,2,3),FALSE))*(1+Projection!R$16)*(1+IF(P187&gt;0,'Attrition Modeling'!$N$9,0))),0))</f>
        <v>0</v>
      </c>
      <c r="Q122" s="799">
        <f>IF(Q$69=$F122+1,IF(Monthly!M$4=TRUE,0,Monthly!M$17),IF(Q$69&gt;$F122+1,P122*(1-IF(Q$69-$F122&lt;=12,SUMIFS('Attrition Modeling'!$D:$D,'Attrition Modeling'!$B:$B,$E122,'Attrition Modeling'!$C:$C,Q$68),VLOOKUP(Q$69-$F122-1,$A$7:$C$161,2,FALSE)*VLOOKUP(Q$1,'Attrition Modeling'!$L$15:$N$27,IF(Q$2-$F55&lt;=24,2,3),FALSE))*(1+Projection!S$16)*(1+IF(Q187&gt;0,'Attrition Modeling'!$N$9,0))),0))</f>
        <v>0</v>
      </c>
      <c r="R122" s="799">
        <f>IF(R$69=$F122+1,IF(Monthly!N$4=TRUE,0,Monthly!N$17),IF(R$69&gt;$F122+1,Q122*(1-IF(R$69-$F122&lt;=12,SUMIFS('Attrition Modeling'!$D:$D,'Attrition Modeling'!$B:$B,$E122,'Attrition Modeling'!$C:$C,R$68),VLOOKUP(R$69-$F122-1,$A$7:$C$161,2,FALSE)*VLOOKUP(R$1,'Attrition Modeling'!$L$15:$N$27,IF(R$2-$F55&lt;=24,2,3),FALSE))*(1+Projection!T$16)*(1+IF(R187&gt;0,'Attrition Modeling'!$N$9,0))),0))</f>
        <v>0</v>
      </c>
      <c r="S122" s="799">
        <f>IF(S$69=$F122+1,IF(Monthly!O$4=TRUE,0,Monthly!O$17),IF(S$69&gt;$F122+1,R122*(1-IF(S$69-$F122&lt;=12,SUMIFS('Attrition Modeling'!$D:$D,'Attrition Modeling'!$B:$B,$E122,'Attrition Modeling'!$C:$C,S$68),VLOOKUP(S$69-$F122-1,$A$7:$C$161,2,FALSE)*VLOOKUP(S$1,'Attrition Modeling'!$L$15:$N$27,IF(S$2-$F55&lt;=24,2,3),FALSE))*(1+Projection!U$16)*(1+IF(S187&gt;0,'Attrition Modeling'!$N$9,0))),0))</f>
        <v>0</v>
      </c>
      <c r="T122" s="799">
        <f>IF(T$69=$F122+1,IF(Monthly!P$4=TRUE,0,Monthly!P$17),IF(T$69&gt;$F122+1,S122*(1-IF(T$69-$F122&lt;=12,SUMIFS('Attrition Modeling'!$D:$D,'Attrition Modeling'!$B:$B,$E122,'Attrition Modeling'!$C:$C,T$68),VLOOKUP(T$69-$F122-1,$A$7:$C$161,2,FALSE)*VLOOKUP(T$1,'Attrition Modeling'!$L$15:$N$27,IF(T$2-$F55&lt;=24,2,3),FALSE))*(1+Projection!V$16)*(1+IF(T187&gt;0,'Attrition Modeling'!$N$9,0))),0))</f>
        <v>0</v>
      </c>
      <c r="U122" s="799">
        <f>IF(U$69=$F122+1,IF(Monthly!Q$4=TRUE,0,Monthly!Q$17),IF(U$69&gt;$F122+1,T122*(1-IF(U$69-$F122&lt;=12,SUMIFS('Attrition Modeling'!$D:$D,'Attrition Modeling'!$B:$B,$E122,'Attrition Modeling'!$C:$C,U$68),VLOOKUP(U$69-$F122-1,$A$7:$C$161,2,FALSE)*VLOOKUP(U$1,'Attrition Modeling'!$L$15:$N$27,IF(U$2-$F55&lt;=24,2,3),FALSE))*(1+Projection!W$16)*(1+IF(U187&gt;0,'Attrition Modeling'!$N$9,0))),0))</f>
        <v>0</v>
      </c>
      <c r="V122" s="799">
        <f>IF(V$69=$F122+1,IF(Monthly!R$4=TRUE,0,Monthly!R$17),IF(V$69&gt;$F122+1,U122*(1-IF(V$69-$F122&lt;=12,SUMIFS('Attrition Modeling'!$D:$D,'Attrition Modeling'!$B:$B,$E122,'Attrition Modeling'!$C:$C,V$68),VLOOKUP(V$69-$F122-1,$A$7:$C$161,2,FALSE)*VLOOKUP(V$1,'Attrition Modeling'!$L$15:$N$27,IF(V$2-$F55&lt;=24,2,3),FALSE))*(1+Projection!X$16)*(1+IF(V187&gt;0,'Attrition Modeling'!$N$9,0))),0))</f>
        <v>0</v>
      </c>
      <c r="W122" s="799">
        <f>IF(W$69=$F122+1,IF(Monthly!S$4=TRUE,0,Monthly!S$17),IF(W$69&gt;$F122+1,V122*(1-IF(W$69-$F122&lt;=12,SUMIFS('Attrition Modeling'!$D:$D,'Attrition Modeling'!$B:$B,$E122,'Attrition Modeling'!$C:$C,W$68),VLOOKUP(W$69-$F122-1,$A$7:$C$161,2,FALSE)*VLOOKUP(W$1,'Attrition Modeling'!$L$15:$N$27,IF(W$2-$F55&lt;=24,2,3),FALSE))*(1+Projection!Y$16)*(1+IF(W187&gt;0,'Attrition Modeling'!$N$9,0))),0))</f>
        <v>0</v>
      </c>
      <c r="X122" s="799">
        <f>IF(X$69=$F122+1,IF(Monthly!T$4=TRUE,0,Monthly!T$17),IF(X$69&gt;$F122+1,W122*(1-IF(X$69-$F122&lt;=12,SUMIFS('Attrition Modeling'!$D:$D,'Attrition Modeling'!$B:$B,$E122,'Attrition Modeling'!$C:$C,X$68),VLOOKUP(X$69-$F122-1,$A$7:$C$161,2,FALSE)*VLOOKUP(X$1,'Attrition Modeling'!$L$15:$N$27,IF(X$2-$F55&lt;=24,2,3),FALSE))*(1+Projection!Z$16)*(1+IF(X187&gt;0,'Attrition Modeling'!$N$9,0))),0))</f>
        <v>0</v>
      </c>
      <c r="Y122" s="799">
        <f>IF(Y$69=$F122+1,IF(Monthly!U$4=TRUE,0,Monthly!U$17),IF(Y$69&gt;$F122+1,X122*(1-IF(Y$69-$F122&lt;=12,SUMIFS('Attrition Modeling'!$D:$D,'Attrition Modeling'!$B:$B,$E122,'Attrition Modeling'!$C:$C,Y$68),VLOOKUP(Y$69-$F122-1,$A$7:$C$161,2,FALSE)*VLOOKUP(Y$1,'Attrition Modeling'!$L$15:$N$27,IF(Y$2-$F55&lt;=24,2,3),FALSE))*(1+Projection!AA$16)*(1+IF(Y187&gt;0,'Attrition Modeling'!$N$9,0))),0))</f>
        <v>0</v>
      </c>
      <c r="Z122" s="799">
        <f>IF(Z$69=$F122+1,IF(Monthly!V$4=TRUE,0,Monthly!V$17),IF(Z$69&gt;$F122+1,Y122*(1-IF(Z$69-$F122&lt;=12,SUMIFS('Attrition Modeling'!$D:$D,'Attrition Modeling'!$B:$B,$E122,'Attrition Modeling'!$C:$C,Z$68),VLOOKUP(Z$69-$F122-1,$A$7:$C$161,2,FALSE)*VLOOKUP(Z$1,'Attrition Modeling'!$L$15:$N$27,IF(Z$2-$F55&lt;=24,2,3),FALSE))*(1+Projection!AB$16)*(1+IF(Z187&gt;0,'Attrition Modeling'!$N$9,0))),0))</f>
        <v>0</v>
      </c>
      <c r="AA122" s="799">
        <f>IF(AA$69=$F122+1,IF(Monthly!W$4=TRUE,0,Monthly!W$17),IF(AA$69&gt;$F122+1,Z122*(1-IF(AA$69-$F122&lt;=12,SUMIFS('Attrition Modeling'!$D:$D,'Attrition Modeling'!$B:$B,$E122,'Attrition Modeling'!$C:$C,AA$68),VLOOKUP(AA$69-$F122-1,$A$7:$C$161,2,FALSE)*VLOOKUP(AA$1,'Attrition Modeling'!$L$15:$N$27,IF(AA$2-$F55&lt;=24,2,3),FALSE))*(1+Projection!AC$16)*(1+IF(AA187&gt;0,'Attrition Modeling'!$N$9,0))),0))</f>
        <v>0</v>
      </c>
      <c r="AB122" s="799">
        <f>IF(AB$69=$F122+1,IF(Monthly!X$4=TRUE,0,Monthly!X$17),IF(AB$69&gt;$F122+1,AA122*(1-IF(AB$69-$F122&lt;=12,SUMIFS('Attrition Modeling'!$D:$D,'Attrition Modeling'!$B:$B,$E122,'Attrition Modeling'!$C:$C,AB$68),VLOOKUP(AB$69-$F122-1,$A$7:$C$161,2,FALSE)*VLOOKUP(AB$1,'Attrition Modeling'!$L$15:$N$27,IF(AB$2-$F55&lt;=24,2,3),FALSE))*(1+Projection!AD$16)*(1+IF(AB187&gt;0,'Attrition Modeling'!$N$9,0))),0))</f>
        <v>0</v>
      </c>
      <c r="AC122" s="799">
        <f>IF(AC$69=$F122+1,IF(Monthly!Y$4=TRUE,0,Monthly!Y$17),IF(AC$69&gt;$F122+1,AB122*(1-IF(AC$69-$F122&lt;=12,SUMIFS('Attrition Modeling'!$D:$D,'Attrition Modeling'!$B:$B,$E122,'Attrition Modeling'!$C:$C,AC$68),VLOOKUP(AC$69-$F122-1,$A$7:$C$161,2,FALSE)*VLOOKUP(AC$1,'Attrition Modeling'!$L$15:$N$27,IF(AC$2-$F55&lt;=24,2,3),FALSE))*(1+Projection!AE$16)*(1+IF(AC187&gt;0,'Attrition Modeling'!$N$9,0))),0))</f>
        <v>0</v>
      </c>
      <c r="AD122" s="799">
        <f>IF(AD$69=$F122+1,IF(Monthly!Z$4=TRUE,0,Monthly!Z$17),IF(AD$69&gt;$F122+1,AC122*(1-IF(AD$69-$F122&lt;=12,SUMIFS('Attrition Modeling'!$D:$D,'Attrition Modeling'!$B:$B,$E122,'Attrition Modeling'!$C:$C,AD$68),VLOOKUP(AD$69-$F122-1,$A$7:$C$161,2,FALSE)*VLOOKUP(AD$1,'Attrition Modeling'!$L$15:$N$27,IF(AD$2-$F55&lt;=24,2,3),FALSE))*(1+Projection!AF$16)*(1+IF(AD187&gt;0,'Attrition Modeling'!$N$9,0))),0))</f>
        <v>0</v>
      </c>
      <c r="AE122" s="799">
        <f>IF(AE$69=$F122+1,IF(Monthly!AA$4=TRUE,0,Monthly!AA$17),IF(AE$69&gt;$F122+1,AD122*(1-IF(AE$69-$F122&lt;=12,SUMIFS('Attrition Modeling'!$D:$D,'Attrition Modeling'!$B:$B,$E122,'Attrition Modeling'!$C:$C,AE$68),VLOOKUP(AE$69-$F122-1,$A$7:$C$161,2,FALSE)*VLOOKUP(AE$1,'Attrition Modeling'!$L$15:$N$27,IF(AE$2-$F55&lt;=24,2,3),FALSE))*(1+Projection!AG$16)*(1+IF(AE187&gt;0,'Attrition Modeling'!$N$9,0))),0))</f>
        <v>0</v>
      </c>
      <c r="AF122" s="799">
        <f>IF(AF$69=$F122+1,IF(Monthly!AB$4=TRUE,0,Monthly!AB$17),IF(AF$69&gt;$F122+1,AE122*(1-IF(AF$69-$F122&lt;=12,SUMIFS('Attrition Modeling'!$D:$D,'Attrition Modeling'!$B:$B,$E122,'Attrition Modeling'!$C:$C,AF$68),VLOOKUP(AF$69-$F122-1,$A$7:$C$161,2,FALSE)*VLOOKUP(AF$1,'Attrition Modeling'!$L$15:$N$27,IF(AF$2-$F55&lt;=24,2,3),FALSE))*(1+Projection!AH$16)*(1+IF(AF187&gt;0,'Attrition Modeling'!$N$9,0))),0))</f>
        <v>0</v>
      </c>
      <c r="AG122" s="799">
        <f>IF(AG$69=$F122+1,IF(Monthly!AC$4=TRUE,0,Monthly!AC$17),IF(AG$69&gt;$F122+1,AF122*(1-IF(AG$69-$F122&lt;=12,SUMIFS('Attrition Modeling'!$D:$D,'Attrition Modeling'!$B:$B,$E122,'Attrition Modeling'!$C:$C,AG$68),VLOOKUP(AG$69-$F122-1,$A$7:$C$161,2,FALSE)*VLOOKUP(AG$1,'Attrition Modeling'!$L$15:$N$27,IF(AG$2-$F55&lt;=24,2,3),FALSE))*(1+Projection!AI$16)*(1+IF(AG187&gt;0,'Attrition Modeling'!$N$9,0))),0))</f>
        <v>0</v>
      </c>
      <c r="AH122" s="799">
        <f>IF(AH$69=$F122+1,IF(Monthly!AD$4=TRUE,0,Monthly!AD$17),IF(AH$69&gt;$F122+1,AG122*(1-IF(AH$69-$F122&lt;=12,SUMIFS('Attrition Modeling'!$D:$D,'Attrition Modeling'!$B:$B,$E122,'Attrition Modeling'!$C:$C,AH$68),VLOOKUP(AH$69-$F122-1,$A$7:$C$161,2,FALSE)*VLOOKUP(AH$1,'Attrition Modeling'!$L$15:$N$27,IF(AH$2-$F55&lt;=24,2,3),FALSE))*(1+Projection!AJ$16)*(1+IF(AH187&gt;0,'Attrition Modeling'!$N$9,0))),0))</f>
        <v>0</v>
      </c>
      <c r="AI122" s="799">
        <f>IF(AI$69=$F122+1,IF(Monthly!AE$4=TRUE,0,Monthly!AE$17),IF(AI$69&gt;$F122+1,AH122*(1-IF(AI$69-$F122&lt;=12,SUMIFS('Attrition Modeling'!$D:$D,'Attrition Modeling'!$B:$B,$E122,'Attrition Modeling'!$C:$C,AI$68),VLOOKUP(AI$69-$F122-1,$A$7:$C$161,2,FALSE)*VLOOKUP(AI$1,'Attrition Modeling'!$L$15:$N$27,IF(AI$2-$F55&lt;=24,2,3),FALSE))*(1+Projection!AK$16)*(1+IF(AI187&gt;0,'Attrition Modeling'!$N$9,0))),0))</f>
        <v>0</v>
      </c>
      <c r="AJ122" s="799">
        <f>IF(AJ$69=$F122+1,IF(Monthly!AF$4=TRUE,0,Monthly!AF$17),IF(AJ$69&gt;$F122+1,AI122*(1-IF(AJ$69-$F122&lt;=12,SUMIFS('Attrition Modeling'!$D:$D,'Attrition Modeling'!$B:$B,$E122,'Attrition Modeling'!$C:$C,AJ$68),VLOOKUP(AJ$69-$F122-1,$A$7:$C$161,2,FALSE)*VLOOKUP(AJ$1,'Attrition Modeling'!$L$15:$N$27,IF(AJ$2-$F55&lt;=24,2,3),FALSE))*(1+Projection!AL$16)*(1+IF(AJ187&gt;0,'Attrition Modeling'!$N$9,0))),0))</f>
        <v>0</v>
      </c>
      <c r="AK122" s="799">
        <f>IF(AK$69=$F122+1,IF(Monthly!AG$4=TRUE,0,Monthly!AG$17),IF(AK$69&gt;$F122+1,AJ122*(1-IF(AK$69-$F122&lt;=12,SUMIFS('Attrition Modeling'!$D:$D,'Attrition Modeling'!$B:$B,$E122,'Attrition Modeling'!$C:$C,AK$68),VLOOKUP(AK$69-$F122-1,$A$7:$C$161,2,FALSE)*VLOOKUP(AK$1,'Attrition Modeling'!$L$15:$N$27,IF(AK$2-$F55&lt;=24,2,3),FALSE))*(1+Projection!AM$16)*(1+IF(AK187&gt;0,'Attrition Modeling'!$N$9,0))),0))</f>
        <v>0</v>
      </c>
      <c r="AL122" s="799">
        <f>IF(AL$69=$F122+1,IF(Monthly!AH$4=TRUE,0,Monthly!AH$17),IF(AL$69&gt;$F122+1,AK122*(1-IF(AL$69-$F122&lt;=12,SUMIFS('Attrition Modeling'!$D:$D,'Attrition Modeling'!$B:$B,$E122,'Attrition Modeling'!$C:$C,AL$68),VLOOKUP(AL$69-$F122-1,$A$7:$C$161,2,FALSE)*VLOOKUP(AL$1,'Attrition Modeling'!$L$15:$N$27,IF(AL$2-$F55&lt;=24,2,3),FALSE))*(1+Projection!AN$16)*(1+IF(AL187&gt;0,'Attrition Modeling'!$N$9,0))),0))</f>
        <v>0</v>
      </c>
      <c r="AM122" s="799">
        <f>IF(AM$69=$F122+1,IF(Monthly!AI$4=TRUE,0,Monthly!AI$17),IF(AM$69&gt;$F122+1,AL122*(1-IF(AM$69-$F122&lt;=12,SUMIFS('Attrition Modeling'!$D:$D,'Attrition Modeling'!$B:$B,$E122,'Attrition Modeling'!$C:$C,AM$68),VLOOKUP(AM$69-$F122-1,$A$7:$C$161,2,FALSE)*VLOOKUP(AM$1,'Attrition Modeling'!$L$15:$N$27,IF(AM$2-$F55&lt;=24,2,3),FALSE))*(1+Projection!AO$16)*(1+IF(AM187&gt;0,'Attrition Modeling'!$N$9,0))),0))</f>
        <v>0</v>
      </c>
      <c r="AN122" s="799">
        <f>IF(AN$69=$F122+1,IF(Monthly!AJ$4=TRUE,0,Monthly!AJ$17),IF(AN$69&gt;$F122+1,AM122*(1-IF(AN$69-$F122&lt;=12,SUMIFS('Attrition Modeling'!$D:$D,'Attrition Modeling'!$B:$B,$E122,'Attrition Modeling'!$C:$C,AN$68),VLOOKUP(AN$69-$F122-1,$A$7:$C$161,2,FALSE)*VLOOKUP(AN$1,'Attrition Modeling'!$L$15:$N$27,IF(AN$2-$F55&lt;=24,2,3),FALSE))*(1+Projection!AP$16)*(1+IF(AN187&gt;0,'Attrition Modeling'!$N$9,0))),0))</f>
        <v>0</v>
      </c>
      <c r="AO122" s="799">
        <f>IF(AO$69=$F122+1,IF(Monthly!AK$4=TRUE,0,Monthly!AK$17),IF(AO$69&gt;$F122+1,AN122*(1-IF(AO$69-$F122&lt;=12,SUMIFS('Attrition Modeling'!$D:$D,'Attrition Modeling'!$B:$B,$E122,'Attrition Modeling'!$C:$C,AO$68),VLOOKUP(AO$69-$F122-1,$A$7:$C$161,2,FALSE)*VLOOKUP(AO$1,'Attrition Modeling'!$L$15:$N$27,IF(AO$2-$F55&lt;=24,2,3),FALSE))*(1+Projection!AQ$16)*(1+IF(AO187&gt;0,'Attrition Modeling'!$N$9,0))),0))</f>
        <v>0</v>
      </c>
      <c r="AP122" s="799">
        <f>IF(AP$69=$F122+1,IF(Monthly!AL$4=TRUE,0,Monthly!AL$17),IF(AP$69&gt;$F122+1,AO122*(1-IF(AP$69-$F122&lt;=12,SUMIFS('Attrition Modeling'!$D:$D,'Attrition Modeling'!$B:$B,$E122,'Attrition Modeling'!$C:$C,AP$68),VLOOKUP(AP$69-$F122-1,$A$7:$C$161,2,FALSE)*VLOOKUP(AP$1,'Attrition Modeling'!$L$15:$N$27,IF(AP$2-$F55&lt;=24,2,3),FALSE))*(1+Projection!AR$16)*(1+IF(AP187&gt;0,'Attrition Modeling'!$N$9,0))),0))</f>
        <v>0</v>
      </c>
      <c r="AQ122" s="799">
        <f>IF(AQ$69=$F122+1,IF(Monthly!AM$4=TRUE,0,Monthly!AM$17),IF(AQ$69&gt;$F122+1,AP122*(1-IF(AQ$69-$F122&lt;=12,SUMIFS('Attrition Modeling'!$D:$D,'Attrition Modeling'!$B:$B,$E122,'Attrition Modeling'!$C:$C,AQ$68),VLOOKUP(AQ$69-$F122-1,$A$7:$C$161,2,FALSE)*VLOOKUP(AQ$1,'Attrition Modeling'!$L$15:$N$27,IF(AQ$2-$F55&lt;=24,2,3),FALSE))*(1+Projection!AS$16)*(1+IF(AQ187&gt;0,'Attrition Modeling'!$N$9,0))),0))</f>
        <v>0</v>
      </c>
      <c r="AR122" s="799">
        <f>IF(AR$69=$F122+1,IF(Monthly!AN$4=TRUE,0,Monthly!AN$17),IF(AR$69&gt;$F122+1,AQ122*(1-IF(AR$69-$F122&lt;=12,SUMIFS('Attrition Modeling'!$D:$D,'Attrition Modeling'!$B:$B,$E122,'Attrition Modeling'!$C:$C,AR$68),VLOOKUP(AR$69-$F122-1,$A$7:$C$161,2,FALSE)*VLOOKUP(AR$1,'Attrition Modeling'!$L$15:$N$27,IF(AR$2-$F55&lt;=24,2,3),FALSE))*(1+Projection!AT$16)*(1+IF(AR187&gt;0,'Attrition Modeling'!$N$9,0))),0))</f>
        <v>0</v>
      </c>
      <c r="AS122" s="799">
        <f>IF(AS$69=$F122+1,IF(Monthly!AO$4=TRUE,0,Monthly!AO$17),IF(AS$69&gt;$F122+1,AR122*(1-IF(AS$69-$F122&lt;=12,SUMIFS('Attrition Modeling'!$D:$D,'Attrition Modeling'!$B:$B,$E122,'Attrition Modeling'!$C:$C,AS$68),VLOOKUP(AS$69-$F122-1,$A$7:$C$161,2,FALSE)*VLOOKUP(AS$1,'Attrition Modeling'!$L$15:$N$27,IF(AS$2-$F55&lt;=24,2,3),FALSE))*(1+Projection!AU$16)*(1+IF(AS187&gt;0,'Attrition Modeling'!$N$9,0))),0))</f>
        <v>0</v>
      </c>
      <c r="AT122" s="799">
        <f>IF(AT$69=$F122+1,IF(Monthly!AP$4=TRUE,0,Monthly!AP$17),IF(AT$69&gt;$F122+1,AS122*(1-IF(AT$69-$F122&lt;=12,SUMIFS('Attrition Modeling'!$D:$D,'Attrition Modeling'!$B:$B,$E122,'Attrition Modeling'!$C:$C,AT$68),VLOOKUP(AT$69-$F122-1,$A$7:$C$161,2,FALSE)*VLOOKUP(AT$1,'Attrition Modeling'!$L$15:$N$27,IF(AT$2-$F55&lt;=24,2,3),FALSE))*(1+Projection!AV$16)*(1+IF(AT187&gt;0,'Attrition Modeling'!$N$9,0))),0))</f>
        <v>0</v>
      </c>
      <c r="AU122" s="799">
        <f>IF(AU$69=$F122+1,IF(Monthly!AQ$4=TRUE,0,Monthly!AQ$17),IF(AU$69&gt;$F122+1,AT122*(1-IF(AU$69-$F122&lt;=12,SUMIFS('Attrition Modeling'!$D:$D,'Attrition Modeling'!$B:$B,$E122,'Attrition Modeling'!$C:$C,AU$68),VLOOKUP(AU$69-$F122-1,$A$7:$C$161,2,FALSE)*VLOOKUP(AU$1,'Attrition Modeling'!$L$15:$N$27,IF(AU$2-$F55&lt;=24,2,3),FALSE))*(1+Projection!AW$16)*(1+IF(AU187&gt;0,'Attrition Modeling'!$N$9,0))),0))</f>
        <v>0</v>
      </c>
      <c r="AV122" s="799">
        <f>IF(AV$69=$F122+1,IF(Monthly!AR$4=TRUE,0,Monthly!AR$17),IF(AV$69&gt;$F122+1,AU122*(1-IF(AV$69-$F122&lt;=12,SUMIFS('Attrition Modeling'!$D:$D,'Attrition Modeling'!$B:$B,$E122,'Attrition Modeling'!$C:$C,AV$68),VLOOKUP(AV$69-$F122-1,$A$7:$C$161,2,FALSE)*VLOOKUP(AV$1,'Attrition Modeling'!$L$15:$N$27,IF(AV$2-$F55&lt;=24,2,3),FALSE))*(1+Projection!AX$16)*(1+IF(AV187&gt;0,'Attrition Modeling'!$N$9,0))),0))</f>
        <v>0</v>
      </c>
      <c r="AW122" s="799">
        <f>IF(AW$69=$F122+1,IF(Monthly!AS$4=TRUE,0,Monthly!AS$17),IF(AW$69&gt;$F122+1,AV122*(1-IF(AW$69-$F122&lt;=12,SUMIFS('Attrition Modeling'!$D:$D,'Attrition Modeling'!$B:$B,$E122,'Attrition Modeling'!$C:$C,AW$68),VLOOKUP(AW$69-$F122-1,$A$7:$C$161,2,FALSE)*VLOOKUP(AW$1,'Attrition Modeling'!$L$15:$N$27,IF(AW$2-$F55&lt;=24,2,3),FALSE))*(1+Projection!AY$16)*(1+IF(AW187&gt;0,'Attrition Modeling'!$N$9,0))),0))</f>
        <v>0</v>
      </c>
      <c r="AX122" s="799">
        <f>IF(AX$69=$F122+1,IF(Monthly!AT$4=TRUE,0,Monthly!AT$17),IF(AX$69&gt;$F122+1,AW122*(1-IF(AX$69-$F122&lt;=12,SUMIFS('Attrition Modeling'!$D:$D,'Attrition Modeling'!$B:$B,$E122,'Attrition Modeling'!$C:$C,AX$68),VLOOKUP(AX$69-$F122-1,$A$7:$C$161,2,FALSE)*VLOOKUP(AX$1,'Attrition Modeling'!$L$15:$N$27,IF(AX$2-$F55&lt;=24,2,3),FALSE))*(1+Projection!AZ$16)*(1+IF(AX187&gt;0,'Attrition Modeling'!$N$9,0))),0))</f>
        <v>0</v>
      </c>
      <c r="AY122" s="799">
        <f>IF(AY$69=$F122+1,IF(Monthly!AU$4=TRUE,0,Monthly!AU$17),IF(AY$69&gt;$F122+1,AX122*(1-IF(AY$69-$F122&lt;=12,SUMIFS('Attrition Modeling'!$D:$D,'Attrition Modeling'!$B:$B,$E122,'Attrition Modeling'!$C:$C,AY$68),VLOOKUP(AY$69-$F122-1,$A$7:$C$161,2,FALSE)*VLOOKUP(AY$1,'Attrition Modeling'!$L$15:$N$27,IF(AY$2-$F55&lt;=24,2,3),FALSE))*(1+Projection!BA$16)*(1+IF(AY187&gt;0,'Attrition Modeling'!$N$9,0))),0))</f>
        <v>0</v>
      </c>
      <c r="AZ122" s="799">
        <f>IF(AZ$69=$F122+1,IF(Monthly!AV$4=TRUE,0,Monthly!AV$17),IF(AZ$69&gt;$F122+1,AY122*(1-IF(AZ$69-$F122&lt;=12,SUMIFS('Attrition Modeling'!$D:$D,'Attrition Modeling'!$B:$B,$E122,'Attrition Modeling'!$C:$C,AZ$68),VLOOKUP(AZ$69-$F122-1,$A$7:$C$161,2,FALSE)*VLOOKUP(AZ$1,'Attrition Modeling'!$L$15:$N$27,IF(AZ$2-$F55&lt;=24,2,3),FALSE))*(1+Projection!BB$16)*(1+IF(AZ187&gt;0,'Attrition Modeling'!$N$9,0))),0))</f>
        <v>0</v>
      </c>
      <c r="BA122" s="799">
        <f>IF(BA$69=$F122+1,IF(Monthly!AW$4=TRUE,0,Monthly!AW$17),IF(BA$69&gt;$F122+1,AZ122*(1-IF(BA$69-$F122&lt;=12,SUMIFS('Attrition Modeling'!$D:$D,'Attrition Modeling'!$B:$B,$E122,'Attrition Modeling'!$C:$C,BA$68),VLOOKUP(BA$69-$F122-1,$A$7:$C$161,2,FALSE)*VLOOKUP(BA$1,'Attrition Modeling'!$L$15:$N$27,IF(BA$2-$F55&lt;=24,2,3),FALSE))*(1+Projection!BC$16)*(1+IF(BA187&gt;0,'Attrition Modeling'!$N$9,0))),0))</f>
        <v>0</v>
      </c>
      <c r="BB122" s="799">
        <f>IF(BB$69=$F122+1,IF(Monthly!AX$4=TRUE,0,Monthly!AX$17),IF(BB$69&gt;$F122+1,BA122*(1-IF(BB$69-$F122&lt;=12,SUMIFS('Attrition Modeling'!$D:$D,'Attrition Modeling'!$B:$B,$E122,'Attrition Modeling'!$C:$C,BB$68),VLOOKUP(BB$69-$F122-1,$A$7:$C$161,2,FALSE)*VLOOKUP(BB$1,'Attrition Modeling'!$L$15:$N$27,IF(BB$2-$F55&lt;=24,2,3),FALSE))*(1+Projection!BD$16)*(1+IF(BB187&gt;0,'Attrition Modeling'!$N$9,0))),0))</f>
        <v>0</v>
      </c>
      <c r="BC122" s="799">
        <f>IF(BC$69=$F122+1,IF(Monthly!AY$4=TRUE,0,Monthly!AY$17),IF(BC$69&gt;$F122+1,BB122*(1-IF(BC$69-$F122&lt;=12,SUMIFS('Attrition Modeling'!$D:$D,'Attrition Modeling'!$B:$B,$E122,'Attrition Modeling'!$C:$C,BC$68),VLOOKUP(BC$69-$F122-1,$A$7:$C$161,2,FALSE)*VLOOKUP(BC$1,'Attrition Modeling'!$L$15:$N$27,IF(BC$2-$F55&lt;=24,2,3),FALSE))*(1+Projection!BE$16)*(1+IF(BC187&gt;0,'Attrition Modeling'!$N$9,0))),0))</f>
        <v>0</v>
      </c>
      <c r="BD122" s="799">
        <f>IF(BD$69=$F122+1,IF(Monthly!AZ$4=TRUE,0,Monthly!AZ$17),IF(BD$69&gt;$F122+1,BC122*(1-IF(BD$69-$F122&lt;=12,SUMIFS('Attrition Modeling'!$D:$D,'Attrition Modeling'!$B:$B,$E122,'Attrition Modeling'!$C:$C,BD$68),VLOOKUP(BD$69-$F122-1,$A$7:$C$161,2,FALSE)*VLOOKUP(BD$1,'Attrition Modeling'!$L$15:$N$27,IF(BD$2-$F55&lt;=24,2,3),FALSE))*(1+Projection!BF$16)*(1+IF(BD187&gt;0,'Attrition Modeling'!$N$9,0))),0))</f>
        <v>0</v>
      </c>
      <c r="BE122" s="799">
        <f>IF(BE$69=$F122+1,IF(Monthly!BA$4=TRUE,0,Monthly!BA$17),IF(BE$69&gt;$F122+1,BD122*(1-IF(BE$69-$F122&lt;=12,SUMIFS('Attrition Modeling'!$D:$D,'Attrition Modeling'!$B:$B,$E122,'Attrition Modeling'!$C:$C,BE$68),VLOOKUP(BE$69-$F122-1,$A$7:$C$161,2,FALSE)*VLOOKUP(BE$1,'Attrition Modeling'!$L$15:$N$27,IF(BE$2-$F55&lt;=24,2,3),FALSE))*(1+Projection!BG$16)*(1+IF(BE187&gt;0,'Attrition Modeling'!$N$9,0))),0))</f>
        <v>0</v>
      </c>
      <c r="BF122" s="799">
        <f>IF(BF$69=$F122+1,IF(Monthly!BB$4=TRUE,0,Monthly!BB$17),IF(BF$69&gt;$F122+1,BE122*(1-IF(BF$69-$F122&lt;=12,SUMIFS('Attrition Modeling'!$D:$D,'Attrition Modeling'!$B:$B,$E122,'Attrition Modeling'!$C:$C,BF$68),VLOOKUP(BF$69-$F122-1,$A$7:$C$161,2,FALSE)*VLOOKUP(BF$1,'Attrition Modeling'!$L$15:$N$27,IF(BF$2-$F55&lt;=24,2,3),FALSE))*(1+Projection!BH$16)*(1+IF(BF187&gt;0,'Attrition Modeling'!$N$9,0))),0))</f>
        <v>0</v>
      </c>
      <c r="BG122" s="799">
        <f>IF(BG$69=$F122+1,IF(Monthly!BC$4=TRUE,0,Monthly!BC$17),IF(BG$69&gt;$F122+1,BF122*(1-IF(BG$69-$F122&lt;=12,SUMIFS('Attrition Modeling'!$D:$D,'Attrition Modeling'!$B:$B,$E122,'Attrition Modeling'!$C:$C,BG$68),VLOOKUP(BG$69-$F122-1,$A$7:$C$161,2,FALSE)*VLOOKUP(BG$1,'Attrition Modeling'!$L$15:$N$27,IF(BG$2-$F55&lt;=24,2,3),FALSE))*(1+Projection!BI$16)*(1+IF(BG187&gt;0,'Attrition Modeling'!$N$9,0))),0))</f>
        <v>0</v>
      </c>
      <c r="BH122" s="799">
        <f>IF(BH$69=$F122+1,IF(Monthly!BD$4=TRUE,0,Monthly!BD$17),IF(BH$69&gt;$F122+1,BG122*(1-IF(BH$69-$F122&lt;=12,SUMIFS('Attrition Modeling'!$D:$D,'Attrition Modeling'!$B:$B,$E122,'Attrition Modeling'!$C:$C,BH$68),VLOOKUP(BH$69-$F122-1,$A$7:$C$161,2,FALSE)*VLOOKUP(BH$1,'Attrition Modeling'!$L$15:$N$27,IF(BH$2-$F55&lt;=24,2,3),FALSE))*(1+Projection!BJ$16)*(1+IF(BH187&gt;0,'Attrition Modeling'!$N$9,0))),0))</f>
        <v>6407.4364474159675</v>
      </c>
      <c r="BI122" s="799">
        <f>IF(BI$69=$F122+1,IF(Monthly!BE$4=TRUE,0,Monthly!BE$17),IF(BI$69&gt;$F122+1,BH122*(1-IF(BI$69-$F122&lt;=12,SUMIFS('Attrition Modeling'!$D:$D,'Attrition Modeling'!$B:$B,$E122,'Attrition Modeling'!$C:$C,BI$68),VLOOKUP(BI$69-$F122-1,$A$7:$C$161,2,FALSE)*VLOOKUP(BI$1,'Attrition Modeling'!$L$15:$N$27,IF(BI$2-$F55&lt;=24,2,3),FALSE))*(1+Projection!BK$16)*(1+IF(BI187&gt;0,'Attrition Modeling'!$N$9,0))),0))</f>
        <v>5772.2549060312795</v>
      </c>
      <c r="BJ122" s="799">
        <f>IF(BJ$69=$F122+1,IF(Monthly!BF$4=TRUE,0,Monthly!BF$17),IF(BJ$69&gt;$F122+1,BI122*(1-IF(BJ$69-$F122&lt;=12,SUMIFS('Attrition Modeling'!$D:$D,'Attrition Modeling'!$B:$B,$E122,'Attrition Modeling'!$C:$C,BJ$68),VLOOKUP(BJ$69-$F122-1,$A$7:$C$161,2,FALSE)*VLOOKUP(BJ$1,'Attrition Modeling'!$L$15:$N$27,IF(BJ$2-$F55&lt;=24,2,3),FALSE))*(1+Projection!BL$16)*(1+IF(BJ187&gt;0,'Attrition Modeling'!$N$9,0))),0))</f>
        <v>5237.3773903786023</v>
      </c>
      <c r="BK122" s="799">
        <f>IF(BK$69=$F122+1,IF(Monthly!BG$4=TRUE,0,Monthly!BG$17),IF(BK$69&gt;$F122+1,BJ122*(1-IF(BK$69-$F122&lt;=12,SUMIFS('Attrition Modeling'!$D:$D,'Attrition Modeling'!$B:$B,$E122,'Attrition Modeling'!$C:$C,BK$68),VLOOKUP(BK$69-$F122-1,$A$7:$C$161,2,FALSE)*VLOOKUP(BK$1,'Attrition Modeling'!$L$15:$N$27,IF(BK$2-$F55&lt;=24,2,3),FALSE))*(1+Projection!BM$16)*(1+IF(BK187&gt;0,'Attrition Modeling'!$N$9,0))),0))</f>
        <v>4697.8976661184815</v>
      </c>
      <c r="BL122" s="799">
        <f>IF(BL$69=$F122+1,IF(Monthly!BH$4=TRUE,0,Monthly!BH$17),IF(BL$69&gt;$F122+1,BK122*(1-IF(BL$69-$F122&lt;=12,SUMIFS('Attrition Modeling'!$D:$D,'Attrition Modeling'!$B:$B,$E122,'Attrition Modeling'!$C:$C,BL$68),VLOOKUP(BL$69-$F122-1,$A$7:$C$161,2,FALSE)*VLOOKUP(BL$1,'Attrition Modeling'!$L$15:$N$27,IF(BL$2-$F55&lt;=24,2,3),FALSE))*(1+Projection!BN$16)*(1+IF(BL187&gt;0,'Attrition Modeling'!$N$9,0))),0))</f>
        <v>4315.8317426260637</v>
      </c>
      <c r="BM122" s="799">
        <f>IF(BM$69=$F122+1,IF(Monthly!BI$4=TRUE,0,Monthly!BI$17),IF(BM$69&gt;$F122+1,BL122*(1-IF(BM$69-$F122&lt;=12,SUMIFS('Attrition Modeling'!$D:$D,'Attrition Modeling'!$B:$B,$E122,'Attrition Modeling'!$C:$C,BM$68),VLOOKUP(BM$69-$F122-1,$A$7:$C$161,2,FALSE)*VLOOKUP(BM$1,'Attrition Modeling'!$L$15:$N$27,IF(BM$2-$F55&lt;=24,2,3),FALSE))*(1+Projection!BO$16)*(1+IF(BM187&gt;0,'Attrition Modeling'!$N$9,0))),0))</f>
        <v>3884.7019033297029</v>
      </c>
      <c r="BN122" s="799">
        <f>IF(BN$69=$F122+1,IF(Monthly!BJ$4=TRUE,0,Monthly!BJ$17),IF(BN$69&gt;$F122+1,BM122*(1-IF(BN$69-$F122&lt;=12,SUMIFS('Attrition Modeling'!$D:$D,'Attrition Modeling'!$B:$B,$E122,'Attrition Modeling'!$C:$C,BN$68),VLOOKUP(BN$69-$F122-1,$A$7:$C$161,2,FALSE)*VLOOKUP(BN$1,'Attrition Modeling'!$L$15:$N$27,IF(BN$2-$F55&lt;=24,2,3),FALSE))*(1+Projection!BP$16)*(1+IF(BN187&gt;0,'Attrition Modeling'!$N$9,0))),0))</f>
        <v>3580.2814730003456</v>
      </c>
      <c r="BO122" s="799">
        <f>IF(BO$69=$F122+1,IF(Monthly!BK$4=TRUE,0,Monthly!BK$17),IF(BO$69&gt;$F122+1,BN122*(1-IF(BO$69-$F122&lt;=12,SUMIFS('Attrition Modeling'!$D:$D,'Attrition Modeling'!$B:$B,$E122,'Attrition Modeling'!$C:$C,BO$68),VLOOKUP(BO$69-$F122-1,$A$7:$C$161,2,FALSE)*VLOOKUP(BO$1,'Attrition Modeling'!$L$15:$N$27,IF(BO$2-$F55&lt;=24,2,3),FALSE))*(1+Projection!BV$16)*(1+IF(BO187&gt;0,'Attrition Modeling'!$N$9,0))),0))</f>
        <v>3340.6299979856726</v>
      </c>
      <c r="BP122" s="799">
        <f>IF(BP$69=$F122+1,IF(Monthly!BL$4=TRUE,0,Monthly!BL$17),IF(BP$69&gt;$F122+1,BO122*(1-IF(BP$69-$F122&lt;=12,SUMIFS('Attrition Modeling'!$D:$D,'Attrition Modeling'!$B:$B,$E122,'Attrition Modeling'!$C:$C,BP$68),VLOOKUP(BP$69-$F122-1,$A$7:$C$161,2,FALSE)*VLOOKUP(BP$1,'Attrition Modeling'!$L$15:$N$27,IF(BP$2-$F55&lt;=24,2,3),FALSE))*(1+Projection!BW$16)*(1+IF(BP187&gt;0,'Attrition Modeling'!$N$9,0))),0))</f>
        <v>3129.9161863886284</v>
      </c>
      <c r="BQ122" s="799">
        <f>IF(BQ$69=$F122+1,IF(Monthly!BM$4=TRUE,0,Monthly!BM$17),IF(BQ$69&gt;$F122+1,BP122*(1-IF(BQ$69-$F122&lt;=12,SUMIFS('Attrition Modeling'!$D:$D,'Attrition Modeling'!$B:$B,$E122,'Attrition Modeling'!$C:$C,BQ$68),VLOOKUP(BQ$69-$F122-1,$A$7:$C$161,2,FALSE)*VLOOKUP(BQ$1,'Attrition Modeling'!$L$15:$N$27,IF(BQ$2-$F55&lt;=24,2,3),FALSE))*(1+Projection!BX$16)*(1+IF(BQ187&gt;0,'Attrition Modeling'!$N$9,0))),0))</f>
        <v>2966.7645164013561</v>
      </c>
      <c r="BR122" s="799">
        <f>IF(BR$69=$F122+1,IF(Monthly!BN$4=TRUE,0,Monthly!BN$17),IF(BR$69&gt;$F122+1,BQ122*(1-IF(BR$69-$F122&lt;=12,SUMIFS('Attrition Modeling'!$D:$D,'Attrition Modeling'!$B:$B,$E122,'Attrition Modeling'!$C:$C,BR$68),VLOOKUP(BR$69-$F122-1,$A$7:$C$161,2,FALSE)*VLOOKUP(BR$1,'Attrition Modeling'!$L$15:$N$27,IF(BR$2-$F55&lt;=24,2,3),FALSE))*(1+Projection!BY$16)*(1+IF(BR187&gt;0,'Attrition Modeling'!$N$9,0))),0))</f>
        <v>2810.8153825585573</v>
      </c>
      <c r="BS122" s="799">
        <f>IF(BS$69=$F122+1,IF(Monthly!BO$4=TRUE,0,Monthly!BO$17),IF(BS$69&gt;$F122+1,BR122*(1-IF(BS$69-$F122&lt;=12,SUMIFS('Attrition Modeling'!$D:$D,'Attrition Modeling'!$B:$B,$E122,'Attrition Modeling'!$C:$C,BS$68),VLOOKUP(BS$69-$F122-1,$A$7:$C$161,2,FALSE)*VLOOKUP(BS$1,'Attrition Modeling'!$L$15:$N$27,IF(BS$2-$F55&lt;=24,2,3),FALSE))*(1+Projection!BZ$16)*(1+IF(BS187&gt;0,'Attrition Modeling'!$N$9,0))),0))</f>
        <v>2747.0051793127891</v>
      </c>
      <c r="BT122" s="799">
        <f>IF(BT$69=$F122+1,IF(Monthly!#REF!=TRUE,0,Monthly!#REF!),IF(BT$69&gt;$F122+1,BS122*(1-IF(BT$69-$F122&lt;=12,SUMIFS('Attrition Modeling'!$D:$D,'Attrition Modeling'!$B:$B,$E122,'Attrition Modeling'!$C:$C,BT$68),VLOOKUP(BT$69-$F122-1,$A$7:$C$161,2,FALSE)*VLOOKUP(BT$1,'Attrition Modeling'!$L$15:$N$27,IF(BT$2-$F55&lt;=24,2,3),FALSE))*(1+Projection!CA$16)*(1+IF(BT187&gt;0,'Attrition Modeling'!$N$9,0))),0))</f>
        <v>2605.2359360735709</v>
      </c>
      <c r="BU122" s="799">
        <f>IF(BU$69=$F122+1,IF(Monthly!#REF!=TRUE,0,Monthly!#REF!),IF(BU$69&gt;$F122+1,BT122*(1-IF(BU$69-$F122&lt;=12,SUMIFS('Attrition Modeling'!$D:$D,'Attrition Modeling'!$B:$B,$E122,'Attrition Modeling'!$C:$C,BU$68),VLOOKUP(BU$69-$F122-1,$A$7:$C$161,2,FALSE)*VLOOKUP(BU$1,'Attrition Modeling'!$L$15:$N$27,IF(BU$2-$F55&lt;=24,2,3),FALSE))*(1+Projection!CB$16)*(1+IF(BU187&gt;0,'Attrition Modeling'!$N$9,0))),0))</f>
        <v>2469.0254841309943</v>
      </c>
    </row>
    <row r="123" spans="1:73" ht="14.25" customHeight="1" x14ac:dyDescent="0.2">
      <c r="A123" s="9">
        <v>116</v>
      </c>
      <c r="B123" s="25">
        <f>MAX('Attrition Modeling'!H120,$C$3)*(1-Summary!$C$20)</f>
        <v>0.02</v>
      </c>
      <c r="C123" s="24" t="e">
        <f t="shared" si="4"/>
        <v>#DIV/0!</v>
      </c>
      <c r="E123" s="11">
        <f t="shared" si="9"/>
        <v>5</v>
      </c>
      <c r="F123" s="11">
        <f t="shared" si="10"/>
        <v>53</v>
      </c>
      <c r="G123" s="799"/>
      <c r="H123" s="799">
        <f>IF(H$69=$F123+1,IF(Monthly!D$4=TRUE,0,Monthly!D$17),IF(H$69&gt;$F123+1,G123*(1-IF(H$69-$F123&lt;=12,SUMIFS('Attrition Modeling'!$D:$D,'Attrition Modeling'!$B:$B,$E123,'Attrition Modeling'!$C:$C,H$68),VLOOKUP(H$69-$F123-1,$A$7:$C$161,2,FALSE)*VLOOKUP(H$1,'Attrition Modeling'!$L$15:$N$27,IF(H$2-$F56&lt;=24,2,3),FALSE))*(1+Projection!J$16)*(1+IF(H188&gt;0,'Attrition Modeling'!$N$9,0))),0))</f>
        <v>0</v>
      </c>
      <c r="I123" s="799">
        <f>IF(I$69=$F123+1,IF(Monthly!E$4=TRUE,0,Monthly!E$17),IF(I$69&gt;$F123+1,H123*(1-IF(I$69-$F123&lt;=12,SUMIFS('Attrition Modeling'!$D:$D,'Attrition Modeling'!$B:$B,$E123,'Attrition Modeling'!$C:$C,I$68),VLOOKUP(I$69-$F123-1,$A$7:$C$161,2,FALSE)*VLOOKUP(I$1,'Attrition Modeling'!$L$15:$N$27,IF(I$2-$F56&lt;=24,2,3),FALSE))*(1+Projection!K$16)*(1+IF(I188&gt;0,'Attrition Modeling'!$N$9,0))),0))</f>
        <v>0</v>
      </c>
      <c r="J123" s="799">
        <f>IF(J$69=$F123+1,IF(Monthly!F$4=TRUE,0,Monthly!F$17),IF(J$69&gt;$F123+1,I123*(1-IF(J$69-$F123&lt;=12,SUMIFS('Attrition Modeling'!$D:$D,'Attrition Modeling'!$B:$B,$E123,'Attrition Modeling'!$C:$C,J$68),VLOOKUP(J$69-$F123-1,$A$7:$C$161,2,FALSE)*VLOOKUP(J$1,'Attrition Modeling'!$L$15:$N$27,IF(J$2-$F56&lt;=24,2,3),FALSE))*(1+Projection!L$16)*(1+IF(J188&gt;0,'Attrition Modeling'!$N$9,0))),0))</f>
        <v>0</v>
      </c>
      <c r="K123" s="799">
        <f>IF(K$69=$F123+1,IF(Monthly!G$4=TRUE,0,Monthly!G$17),IF(K$69&gt;$F123+1,J123*(1-IF(K$69-$F123&lt;=12,SUMIFS('Attrition Modeling'!$D:$D,'Attrition Modeling'!$B:$B,$E123,'Attrition Modeling'!$C:$C,K$68),VLOOKUP(K$69-$F123-1,$A$7:$C$161,2,FALSE)*VLOOKUP(K$1,'Attrition Modeling'!$L$15:$N$27,IF(K$2-$F56&lt;=24,2,3),FALSE))*(1+Projection!M$16)*(1+IF(K188&gt;0,'Attrition Modeling'!$N$9,0))),0))</f>
        <v>0</v>
      </c>
      <c r="L123" s="799">
        <f>IF(L$69=$F123+1,IF(Monthly!H$4=TRUE,0,Monthly!H$17),IF(L$69&gt;$F123+1,K123*(1-IF(L$69-$F123&lt;=12,SUMIFS('Attrition Modeling'!$D:$D,'Attrition Modeling'!$B:$B,$E123,'Attrition Modeling'!$C:$C,L$68),VLOOKUP(L$69-$F123-1,$A$7:$C$161,2,FALSE)*VLOOKUP(L$1,'Attrition Modeling'!$L$15:$N$27,IF(L$2-$F56&lt;=24,2,3),FALSE))*(1+Projection!N$16)*(1+IF(L188&gt;0,'Attrition Modeling'!$N$9,0))),0))</f>
        <v>0</v>
      </c>
      <c r="M123" s="799">
        <f>IF(M$69=$F123+1,IF(Monthly!I$4=TRUE,0,Monthly!I$17),IF(M$69&gt;$F123+1,L123*(1-IF(M$69-$F123&lt;=12,SUMIFS('Attrition Modeling'!$D:$D,'Attrition Modeling'!$B:$B,$E123,'Attrition Modeling'!$C:$C,M$68),VLOOKUP(M$69-$F123-1,$A$7:$C$161,2,FALSE)*VLOOKUP(M$1,'Attrition Modeling'!$L$15:$N$27,IF(M$2-$F56&lt;=24,2,3),FALSE))*(1+Projection!O$16)*(1+IF(M188&gt;0,'Attrition Modeling'!$N$9,0))),0))</f>
        <v>0</v>
      </c>
      <c r="N123" s="799">
        <f>IF(N$69=$F123+1,IF(Monthly!J$4=TRUE,0,Monthly!J$17),IF(N$69&gt;$F123+1,M123*(1-IF(N$69-$F123&lt;=12,SUMIFS('Attrition Modeling'!$D:$D,'Attrition Modeling'!$B:$B,$E123,'Attrition Modeling'!$C:$C,N$68),VLOOKUP(N$69-$F123-1,$A$7:$C$161,2,FALSE)*VLOOKUP(N$1,'Attrition Modeling'!$L$15:$N$27,IF(N$2-$F56&lt;=24,2,3),FALSE))*(1+Projection!P$16)*(1+IF(N188&gt;0,'Attrition Modeling'!$N$9,0))),0))</f>
        <v>0</v>
      </c>
      <c r="O123" s="799">
        <f>IF(O$69=$F123+1,IF(Monthly!K$4=TRUE,0,Monthly!K$17),IF(O$69&gt;$F123+1,N123*(1-IF(O$69-$F123&lt;=12,SUMIFS('Attrition Modeling'!$D:$D,'Attrition Modeling'!$B:$B,$E123,'Attrition Modeling'!$C:$C,O$68),VLOOKUP(O$69-$F123-1,$A$7:$C$161,2,FALSE)*VLOOKUP(O$1,'Attrition Modeling'!$L$15:$N$27,IF(O$2-$F56&lt;=24,2,3),FALSE))*(1+Projection!Q$16)*(1+IF(O188&gt;0,'Attrition Modeling'!$N$9,0))),0))</f>
        <v>0</v>
      </c>
      <c r="P123" s="799">
        <f>IF(P$69=$F123+1,IF(Monthly!L$4=TRUE,0,Monthly!L$17),IF(P$69&gt;$F123+1,O123*(1-IF(P$69-$F123&lt;=12,SUMIFS('Attrition Modeling'!$D:$D,'Attrition Modeling'!$B:$B,$E123,'Attrition Modeling'!$C:$C,P$68),VLOOKUP(P$69-$F123-1,$A$7:$C$161,2,FALSE)*VLOOKUP(P$1,'Attrition Modeling'!$L$15:$N$27,IF(P$2-$F56&lt;=24,2,3),FALSE))*(1+Projection!R$16)*(1+IF(P188&gt;0,'Attrition Modeling'!$N$9,0))),0))</f>
        <v>0</v>
      </c>
      <c r="Q123" s="799">
        <f>IF(Q$69=$F123+1,IF(Monthly!M$4=TRUE,0,Monthly!M$17),IF(Q$69&gt;$F123+1,P123*(1-IF(Q$69-$F123&lt;=12,SUMIFS('Attrition Modeling'!$D:$D,'Attrition Modeling'!$B:$B,$E123,'Attrition Modeling'!$C:$C,Q$68),VLOOKUP(Q$69-$F123-1,$A$7:$C$161,2,FALSE)*VLOOKUP(Q$1,'Attrition Modeling'!$L$15:$N$27,IF(Q$2-$F56&lt;=24,2,3),FALSE))*(1+Projection!S$16)*(1+IF(Q188&gt;0,'Attrition Modeling'!$N$9,0))),0))</f>
        <v>0</v>
      </c>
      <c r="R123" s="799">
        <f>IF(R$69=$F123+1,IF(Monthly!N$4=TRUE,0,Monthly!N$17),IF(R$69&gt;$F123+1,Q123*(1-IF(R$69-$F123&lt;=12,SUMIFS('Attrition Modeling'!$D:$D,'Attrition Modeling'!$B:$B,$E123,'Attrition Modeling'!$C:$C,R$68),VLOOKUP(R$69-$F123-1,$A$7:$C$161,2,FALSE)*VLOOKUP(R$1,'Attrition Modeling'!$L$15:$N$27,IF(R$2-$F56&lt;=24,2,3),FALSE))*(1+Projection!T$16)*(1+IF(R188&gt;0,'Attrition Modeling'!$N$9,0))),0))</f>
        <v>0</v>
      </c>
      <c r="S123" s="799">
        <f>IF(S$69=$F123+1,IF(Monthly!O$4=TRUE,0,Monthly!O$17),IF(S$69&gt;$F123+1,R123*(1-IF(S$69-$F123&lt;=12,SUMIFS('Attrition Modeling'!$D:$D,'Attrition Modeling'!$B:$B,$E123,'Attrition Modeling'!$C:$C,S$68),VLOOKUP(S$69-$F123-1,$A$7:$C$161,2,FALSE)*VLOOKUP(S$1,'Attrition Modeling'!$L$15:$N$27,IF(S$2-$F56&lt;=24,2,3),FALSE))*(1+Projection!U$16)*(1+IF(S188&gt;0,'Attrition Modeling'!$N$9,0))),0))</f>
        <v>0</v>
      </c>
      <c r="T123" s="799">
        <f>IF(T$69=$F123+1,IF(Monthly!P$4=TRUE,0,Monthly!P$17),IF(T$69&gt;$F123+1,S123*(1-IF(T$69-$F123&lt;=12,SUMIFS('Attrition Modeling'!$D:$D,'Attrition Modeling'!$B:$B,$E123,'Attrition Modeling'!$C:$C,T$68),VLOOKUP(T$69-$F123-1,$A$7:$C$161,2,FALSE)*VLOOKUP(T$1,'Attrition Modeling'!$L$15:$N$27,IF(T$2-$F56&lt;=24,2,3),FALSE))*(1+Projection!V$16)*(1+IF(T188&gt;0,'Attrition Modeling'!$N$9,0))),0))</f>
        <v>0</v>
      </c>
      <c r="U123" s="799">
        <f>IF(U$69=$F123+1,IF(Monthly!Q$4=TRUE,0,Monthly!Q$17),IF(U$69&gt;$F123+1,T123*(1-IF(U$69-$F123&lt;=12,SUMIFS('Attrition Modeling'!$D:$D,'Attrition Modeling'!$B:$B,$E123,'Attrition Modeling'!$C:$C,U$68),VLOOKUP(U$69-$F123-1,$A$7:$C$161,2,FALSE)*VLOOKUP(U$1,'Attrition Modeling'!$L$15:$N$27,IF(U$2-$F56&lt;=24,2,3),FALSE))*(1+Projection!W$16)*(1+IF(U188&gt;0,'Attrition Modeling'!$N$9,0))),0))</f>
        <v>0</v>
      </c>
      <c r="V123" s="799">
        <f>IF(V$69=$F123+1,IF(Monthly!R$4=TRUE,0,Monthly!R$17),IF(V$69&gt;$F123+1,U123*(1-IF(V$69-$F123&lt;=12,SUMIFS('Attrition Modeling'!$D:$D,'Attrition Modeling'!$B:$B,$E123,'Attrition Modeling'!$C:$C,V$68),VLOOKUP(V$69-$F123-1,$A$7:$C$161,2,FALSE)*VLOOKUP(V$1,'Attrition Modeling'!$L$15:$N$27,IF(V$2-$F56&lt;=24,2,3),FALSE))*(1+Projection!X$16)*(1+IF(V188&gt;0,'Attrition Modeling'!$N$9,0))),0))</f>
        <v>0</v>
      </c>
      <c r="W123" s="799">
        <f>IF(W$69=$F123+1,IF(Monthly!S$4=TRUE,0,Monthly!S$17),IF(W$69&gt;$F123+1,V123*(1-IF(W$69-$F123&lt;=12,SUMIFS('Attrition Modeling'!$D:$D,'Attrition Modeling'!$B:$B,$E123,'Attrition Modeling'!$C:$C,W$68),VLOOKUP(W$69-$F123-1,$A$7:$C$161,2,FALSE)*VLOOKUP(W$1,'Attrition Modeling'!$L$15:$N$27,IF(W$2-$F56&lt;=24,2,3),FALSE))*(1+Projection!Y$16)*(1+IF(W188&gt;0,'Attrition Modeling'!$N$9,0))),0))</f>
        <v>0</v>
      </c>
      <c r="X123" s="799">
        <f>IF(X$69=$F123+1,IF(Monthly!T$4=TRUE,0,Monthly!T$17),IF(X$69&gt;$F123+1,W123*(1-IF(X$69-$F123&lt;=12,SUMIFS('Attrition Modeling'!$D:$D,'Attrition Modeling'!$B:$B,$E123,'Attrition Modeling'!$C:$C,X$68),VLOOKUP(X$69-$F123-1,$A$7:$C$161,2,FALSE)*VLOOKUP(X$1,'Attrition Modeling'!$L$15:$N$27,IF(X$2-$F56&lt;=24,2,3),FALSE))*(1+Projection!Z$16)*(1+IF(X188&gt;0,'Attrition Modeling'!$N$9,0))),0))</f>
        <v>0</v>
      </c>
      <c r="Y123" s="799">
        <f>IF(Y$69=$F123+1,IF(Monthly!U$4=TRUE,0,Monthly!U$17),IF(Y$69&gt;$F123+1,X123*(1-IF(Y$69-$F123&lt;=12,SUMIFS('Attrition Modeling'!$D:$D,'Attrition Modeling'!$B:$B,$E123,'Attrition Modeling'!$C:$C,Y$68),VLOOKUP(Y$69-$F123-1,$A$7:$C$161,2,FALSE)*VLOOKUP(Y$1,'Attrition Modeling'!$L$15:$N$27,IF(Y$2-$F56&lt;=24,2,3),FALSE))*(1+Projection!AA$16)*(1+IF(Y188&gt;0,'Attrition Modeling'!$N$9,0))),0))</f>
        <v>0</v>
      </c>
      <c r="Z123" s="799">
        <f>IF(Z$69=$F123+1,IF(Monthly!V$4=TRUE,0,Monthly!V$17),IF(Z$69&gt;$F123+1,Y123*(1-IF(Z$69-$F123&lt;=12,SUMIFS('Attrition Modeling'!$D:$D,'Attrition Modeling'!$B:$B,$E123,'Attrition Modeling'!$C:$C,Z$68),VLOOKUP(Z$69-$F123-1,$A$7:$C$161,2,FALSE)*VLOOKUP(Z$1,'Attrition Modeling'!$L$15:$N$27,IF(Z$2-$F56&lt;=24,2,3),FALSE))*(1+Projection!AB$16)*(1+IF(Z188&gt;0,'Attrition Modeling'!$N$9,0))),0))</f>
        <v>0</v>
      </c>
      <c r="AA123" s="799">
        <f>IF(AA$69=$F123+1,IF(Monthly!W$4=TRUE,0,Monthly!W$17),IF(AA$69&gt;$F123+1,Z123*(1-IF(AA$69-$F123&lt;=12,SUMIFS('Attrition Modeling'!$D:$D,'Attrition Modeling'!$B:$B,$E123,'Attrition Modeling'!$C:$C,AA$68),VLOOKUP(AA$69-$F123-1,$A$7:$C$161,2,FALSE)*VLOOKUP(AA$1,'Attrition Modeling'!$L$15:$N$27,IF(AA$2-$F56&lt;=24,2,3),FALSE))*(1+Projection!AC$16)*(1+IF(AA188&gt;0,'Attrition Modeling'!$N$9,0))),0))</f>
        <v>0</v>
      </c>
      <c r="AB123" s="799">
        <f>IF(AB$69=$F123+1,IF(Monthly!X$4=TRUE,0,Monthly!X$17),IF(AB$69&gt;$F123+1,AA123*(1-IF(AB$69-$F123&lt;=12,SUMIFS('Attrition Modeling'!$D:$D,'Attrition Modeling'!$B:$B,$E123,'Attrition Modeling'!$C:$C,AB$68),VLOOKUP(AB$69-$F123-1,$A$7:$C$161,2,FALSE)*VLOOKUP(AB$1,'Attrition Modeling'!$L$15:$N$27,IF(AB$2-$F56&lt;=24,2,3),FALSE))*(1+Projection!AD$16)*(1+IF(AB188&gt;0,'Attrition Modeling'!$N$9,0))),0))</f>
        <v>0</v>
      </c>
      <c r="AC123" s="799">
        <f>IF(AC$69=$F123+1,IF(Monthly!Y$4=TRUE,0,Monthly!Y$17),IF(AC$69&gt;$F123+1,AB123*(1-IF(AC$69-$F123&lt;=12,SUMIFS('Attrition Modeling'!$D:$D,'Attrition Modeling'!$B:$B,$E123,'Attrition Modeling'!$C:$C,AC$68),VLOOKUP(AC$69-$F123-1,$A$7:$C$161,2,FALSE)*VLOOKUP(AC$1,'Attrition Modeling'!$L$15:$N$27,IF(AC$2-$F56&lt;=24,2,3),FALSE))*(1+Projection!AE$16)*(1+IF(AC188&gt;0,'Attrition Modeling'!$N$9,0))),0))</f>
        <v>0</v>
      </c>
      <c r="AD123" s="799">
        <f>IF(AD$69=$F123+1,IF(Monthly!Z$4=TRUE,0,Monthly!Z$17),IF(AD$69&gt;$F123+1,AC123*(1-IF(AD$69-$F123&lt;=12,SUMIFS('Attrition Modeling'!$D:$D,'Attrition Modeling'!$B:$B,$E123,'Attrition Modeling'!$C:$C,AD$68),VLOOKUP(AD$69-$F123-1,$A$7:$C$161,2,FALSE)*VLOOKUP(AD$1,'Attrition Modeling'!$L$15:$N$27,IF(AD$2-$F56&lt;=24,2,3),FALSE))*(1+Projection!AF$16)*(1+IF(AD188&gt;0,'Attrition Modeling'!$N$9,0))),0))</f>
        <v>0</v>
      </c>
      <c r="AE123" s="799">
        <f>IF(AE$69=$F123+1,IF(Monthly!AA$4=TRUE,0,Monthly!AA$17),IF(AE$69&gt;$F123+1,AD123*(1-IF(AE$69-$F123&lt;=12,SUMIFS('Attrition Modeling'!$D:$D,'Attrition Modeling'!$B:$B,$E123,'Attrition Modeling'!$C:$C,AE$68),VLOOKUP(AE$69-$F123-1,$A$7:$C$161,2,FALSE)*VLOOKUP(AE$1,'Attrition Modeling'!$L$15:$N$27,IF(AE$2-$F56&lt;=24,2,3),FALSE))*(1+Projection!AG$16)*(1+IF(AE188&gt;0,'Attrition Modeling'!$N$9,0))),0))</f>
        <v>0</v>
      </c>
      <c r="AF123" s="799">
        <f>IF(AF$69=$F123+1,IF(Monthly!AB$4=TRUE,0,Monthly!AB$17),IF(AF$69&gt;$F123+1,AE123*(1-IF(AF$69-$F123&lt;=12,SUMIFS('Attrition Modeling'!$D:$D,'Attrition Modeling'!$B:$B,$E123,'Attrition Modeling'!$C:$C,AF$68),VLOOKUP(AF$69-$F123-1,$A$7:$C$161,2,FALSE)*VLOOKUP(AF$1,'Attrition Modeling'!$L$15:$N$27,IF(AF$2-$F56&lt;=24,2,3),FALSE))*(1+Projection!AH$16)*(1+IF(AF188&gt;0,'Attrition Modeling'!$N$9,0))),0))</f>
        <v>0</v>
      </c>
      <c r="AG123" s="799">
        <f>IF(AG$69=$F123+1,IF(Monthly!AC$4=TRUE,0,Monthly!AC$17),IF(AG$69&gt;$F123+1,AF123*(1-IF(AG$69-$F123&lt;=12,SUMIFS('Attrition Modeling'!$D:$D,'Attrition Modeling'!$B:$B,$E123,'Attrition Modeling'!$C:$C,AG$68),VLOOKUP(AG$69-$F123-1,$A$7:$C$161,2,FALSE)*VLOOKUP(AG$1,'Attrition Modeling'!$L$15:$N$27,IF(AG$2-$F56&lt;=24,2,3),FALSE))*(1+Projection!AI$16)*(1+IF(AG188&gt;0,'Attrition Modeling'!$N$9,0))),0))</f>
        <v>0</v>
      </c>
      <c r="AH123" s="799">
        <f>IF(AH$69=$F123+1,IF(Monthly!AD$4=TRUE,0,Monthly!AD$17),IF(AH$69&gt;$F123+1,AG123*(1-IF(AH$69-$F123&lt;=12,SUMIFS('Attrition Modeling'!$D:$D,'Attrition Modeling'!$B:$B,$E123,'Attrition Modeling'!$C:$C,AH$68),VLOOKUP(AH$69-$F123-1,$A$7:$C$161,2,FALSE)*VLOOKUP(AH$1,'Attrition Modeling'!$L$15:$N$27,IF(AH$2-$F56&lt;=24,2,3),FALSE))*(1+Projection!AJ$16)*(1+IF(AH188&gt;0,'Attrition Modeling'!$N$9,0))),0))</f>
        <v>0</v>
      </c>
      <c r="AI123" s="799">
        <f>IF(AI$69=$F123+1,IF(Monthly!AE$4=TRUE,0,Monthly!AE$17),IF(AI$69&gt;$F123+1,AH123*(1-IF(AI$69-$F123&lt;=12,SUMIFS('Attrition Modeling'!$D:$D,'Attrition Modeling'!$B:$B,$E123,'Attrition Modeling'!$C:$C,AI$68),VLOOKUP(AI$69-$F123-1,$A$7:$C$161,2,FALSE)*VLOOKUP(AI$1,'Attrition Modeling'!$L$15:$N$27,IF(AI$2-$F56&lt;=24,2,3),FALSE))*(1+Projection!AK$16)*(1+IF(AI188&gt;0,'Attrition Modeling'!$N$9,0))),0))</f>
        <v>0</v>
      </c>
      <c r="AJ123" s="799">
        <f>IF(AJ$69=$F123+1,IF(Monthly!AF$4=TRUE,0,Monthly!AF$17),IF(AJ$69&gt;$F123+1,AI123*(1-IF(AJ$69-$F123&lt;=12,SUMIFS('Attrition Modeling'!$D:$D,'Attrition Modeling'!$B:$B,$E123,'Attrition Modeling'!$C:$C,AJ$68),VLOOKUP(AJ$69-$F123-1,$A$7:$C$161,2,FALSE)*VLOOKUP(AJ$1,'Attrition Modeling'!$L$15:$N$27,IF(AJ$2-$F56&lt;=24,2,3),FALSE))*(1+Projection!AL$16)*(1+IF(AJ188&gt;0,'Attrition Modeling'!$N$9,0))),0))</f>
        <v>0</v>
      </c>
      <c r="AK123" s="799">
        <f>IF(AK$69=$F123+1,IF(Monthly!AG$4=TRUE,0,Monthly!AG$17),IF(AK$69&gt;$F123+1,AJ123*(1-IF(AK$69-$F123&lt;=12,SUMIFS('Attrition Modeling'!$D:$D,'Attrition Modeling'!$B:$B,$E123,'Attrition Modeling'!$C:$C,AK$68),VLOOKUP(AK$69-$F123-1,$A$7:$C$161,2,FALSE)*VLOOKUP(AK$1,'Attrition Modeling'!$L$15:$N$27,IF(AK$2-$F56&lt;=24,2,3),FALSE))*(1+Projection!AM$16)*(1+IF(AK188&gt;0,'Attrition Modeling'!$N$9,0))),0))</f>
        <v>0</v>
      </c>
      <c r="AL123" s="799">
        <f>IF(AL$69=$F123+1,IF(Monthly!AH$4=TRUE,0,Monthly!AH$17),IF(AL$69&gt;$F123+1,AK123*(1-IF(AL$69-$F123&lt;=12,SUMIFS('Attrition Modeling'!$D:$D,'Attrition Modeling'!$B:$B,$E123,'Attrition Modeling'!$C:$C,AL$68),VLOOKUP(AL$69-$F123-1,$A$7:$C$161,2,FALSE)*VLOOKUP(AL$1,'Attrition Modeling'!$L$15:$N$27,IF(AL$2-$F56&lt;=24,2,3),FALSE))*(1+Projection!AN$16)*(1+IF(AL188&gt;0,'Attrition Modeling'!$N$9,0))),0))</f>
        <v>0</v>
      </c>
      <c r="AM123" s="799">
        <f>IF(AM$69=$F123+1,IF(Monthly!AI$4=TRUE,0,Monthly!AI$17),IF(AM$69&gt;$F123+1,AL123*(1-IF(AM$69-$F123&lt;=12,SUMIFS('Attrition Modeling'!$D:$D,'Attrition Modeling'!$B:$B,$E123,'Attrition Modeling'!$C:$C,AM$68),VLOOKUP(AM$69-$F123-1,$A$7:$C$161,2,FALSE)*VLOOKUP(AM$1,'Attrition Modeling'!$L$15:$N$27,IF(AM$2-$F56&lt;=24,2,3),FALSE))*(1+Projection!AO$16)*(1+IF(AM188&gt;0,'Attrition Modeling'!$N$9,0))),0))</f>
        <v>0</v>
      </c>
      <c r="AN123" s="799">
        <f>IF(AN$69=$F123+1,IF(Monthly!AJ$4=TRUE,0,Monthly!AJ$17),IF(AN$69&gt;$F123+1,AM123*(1-IF(AN$69-$F123&lt;=12,SUMIFS('Attrition Modeling'!$D:$D,'Attrition Modeling'!$B:$B,$E123,'Attrition Modeling'!$C:$C,AN$68),VLOOKUP(AN$69-$F123-1,$A$7:$C$161,2,FALSE)*VLOOKUP(AN$1,'Attrition Modeling'!$L$15:$N$27,IF(AN$2-$F56&lt;=24,2,3),FALSE))*(1+Projection!AP$16)*(1+IF(AN188&gt;0,'Attrition Modeling'!$N$9,0))),0))</f>
        <v>0</v>
      </c>
      <c r="AO123" s="799">
        <f>IF(AO$69=$F123+1,IF(Monthly!AK$4=TRUE,0,Monthly!AK$17),IF(AO$69&gt;$F123+1,AN123*(1-IF(AO$69-$F123&lt;=12,SUMIFS('Attrition Modeling'!$D:$D,'Attrition Modeling'!$B:$B,$E123,'Attrition Modeling'!$C:$C,AO$68),VLOOKUP(AO$69-$F123-1,$A$7:$C$161,2,FALSE)*VLOOKUP(AO$1,'Attrition Modeling'!$L$15:$N$27,IF(AO$2-$F56&lt;=24,2,3),FALSE))*(1+Projection!AQ$16)*(1+IF(AO188&gt;0,'Attrition Modeling'!$N$9,0))),0))</f>
        <v>0</v>
      </c>
      <c r="AP123" s="799">
        <f>IF(AP$69=$F123+1,IF(Monthly!AL$4=TRUE,0,Monthly!AL$17),IF(AP$69&gt;$F123+1,AO123*(1-IF(AP$69-$F123&lt;=12,SUMIFS('Attrition Modeling'!$D:$D,'Attrition Modeling'!$B:$B,$E123,'Attrition Modeling'!$C:$C,AP$68),VLOOKUP(AP$69-$F123-1,$A$7:$C$161,2,FALSE)*VLOOKUP(AP$1,'Attrition Modeling'!$L$15:$N$27,IF(AP$2-$F56&lt;=24,2,3),FALSE))*(1+Projection!AR$16)*(1+IF(AP188&gt;0,'Attrition Modeling'!$N$9,0))),0))</f>
        <v>0</v>
      </c>
      <c r="AQ123" s="799">
        <f>IF(AQ$69=$F123+1,IF(Monthly!AM$4=TRUE,0,Monthly!AM$17),IF(AQ$69&gt;$F123+1,AP123*(1-IF(AQ$69-$F123&lt;=12,SUMIFS('Attrition Modeling'!$D:$D,'Attrition Modeling'!$B:$B,$E123,'Attrition Modeling'!$C:$C,AQ$68),VLOOKUP(AQ$69-$F123-1,$A$7:$C$161,2,FALSE)*VLOOKUP(AQ$1,'Attrition Modeling'!$L$15:$N$27,IF(AQ$2-$F56&lt;=24,2,3),FALSE))*(1+Projection!AS$16)*(1+IF(AQ188&gt;0,'Attrition Modeling'!$N$9,0))),0))</f>
        <v>0</v>
      </c>
      <c r="AR123" s="799">
        <f>IF(AR$69=$F123+1,IF(Monthly!AN$4=TRUE,0,Monthly!AN$17),IF(AR$69&gt;$F123+1,AQ123*(1-IF(AR$69-$F123&lt;=12,SUMIFS('Attrition Modeling'!$D:$D,'Attrition Modeling'!$B:$B,$E123,'Attrition Modeling'!$C:$C,AR$68),VLOOKUP(AR$69-$F123-1,$A$7:$C$161,2,FALSE)*VLOOKUP(AR$1,'Attrition Modeling'!$L$15:$N$27,IF(AR$2-$F56&lt;=24,2,3),FALSE))*(1+Projection!AT$16)*(1+IF(AR188&gt;0,'Attrition Modeling'!$N$9,0))),0))</f>
        <v>0</v>
      </c>
      <c r="AS123" s="799">
        <f>IF(AS$69=$F123+1,IF(Monthly!AO$4=TRUE,0,Monthly!AO$17),IF(AS$69&gt;$F123+1,AR123*(1-IF(AS$69-$F123&lt;=12,SUMIFS('Attrition Modeling'!$D:$D,'Attrition Modeling'!$B:$B,$E123,'Attrition Modeling'!$C:$C,AS$68),VLOOKUP(AS$69-$F123-1,$A$7:$C$161,2,FALSE)*VLOOKUP(AS$1,'Attrition Modeling'!$L$15:$N$27,IF(AS$2-$F56&lt;=24,2,3),FALSE))*(1+Projection!AU$16)*(1+IF(AS188&gt;0,'Attrition Modeling'!$N$9,0))),0))</f>
        <v>0</v>
      </c>
      <c r="AT123" s="799">
        <f>IF(AT$69=$F123+1,IF(Monthly!AP$4=TRUE,0,Monthly!AP$17),IF(AT$69&gt;$F123+1,AS123*(1-IF(AT$69-$F123&lt;=12,SUMIFS('Attrition Modeling'!$D:$D,'Attrition Modeling'!$B:$B,$E123,'Attrition Modeling'!$C:$C,AT$68),VLOOKUP(AT$69-$F123-1,$A$7:$C$161,2,FALSE)*VLOOKUP(AT$1,'Attrition Modeling'!$L$15:$N$27,IF(AT$2-$F56&lt;=24,2,3),FALSE))*(1+Projection!AV$16)*(1+IF(AT188&gt;0,'Attrition Modeling'!$N$9,0))),0))</f>
        <v>0</v>
      </c>
      <c r="AU123" s="799">
        <f>IF(AU$69=$F123+1,IF(Monthly!AQ$4=TRUE,0,Monthly!AQ$17),IF(AU$69&gt;$F123+1,AT123*(1-IF(AU$69-$F123&lt;=12,SUMIFS('Attrition Modeling'!$D:$D,'Attrition Modeling'!$B:$B,$E123,'Attrition Modeling'!$C:$C,AU$68),VLOOKUP(AU$69-$F123-1,$A$7:$C$161,2,FALSE)*VLOOKUP(AU$1,'Attrition Modeling'!$L$15:$N$27,IF(AU$2-$F56&lt;=24,2,3),FALSE))*(1+Projection!AW$16)*(1+IF(AU188&gt;0,'Attrition Modeling'!$N$9,0))),0))</f>
        <v>0</v>
      </c>
      <c r="AV123" s="799">
        <f>IF(AV$69=$F123+1,IF(Monthly!AR$4=TRUE,0,Monthly!AR$17),IF(AV$69&gt;$F123+1,AU123*(1-IF(AV$69-$F123&lt;=12,SUMIFS('Attrition Modeling'!$D:$D,'Attrition Modeling'!$B:$B,$E123,'Attrition Modeling'!$C:$C,AV$68),VLOOKUP(AV$69-$F123-1,$A$7:$C$161,2,FALSE)*VLOOKUP(AV$1,'Attrition Modeling'!$L$15:$N$27,IF(AV$2-$F56&lt;=24,2,3),FALSE))*(1+Projection!AX$16)*(1+IF(AV188&gt;0,'Attrition Modeling'!$N$9,0))),0))</f>
        <v>0</v>
      </c>
      <c r="AW123" s="799">
        <f>IF(AW$69=$F123+1,IF(Monthly!AS$4=TRUE,0,Monthly!AS$17),IF(AW$69&gt;$F123+1,AV123*(1-IF(AW$69-$F123&lt;=12,SUMIFS('Attrition Modeling'!$D:$D,'Attrition Modeling'!$B:$B,$E123,'Attrition Modeling'!$C:$C,AW$68),VLOOKUP(AW$69-$F123-1,$A$7:$C$161,2,FALSE)*VLOOKUP(AW$1,'Attrition Modeling'!$L$15:$N$27,IF(AW$2-$F56&lt;=24,2,3),FALSE))*(1+Projection!AY$16)*(1+IF(AW188&gt;0,'Attrition Modeling'!$N$9,0))),0))</f>
        <v>0</v>
      </c>
      <c r="AX123" s="799">
        <f>IF(AX$69=$F123+1,IF(Monthly!AT$4=TRUE,0,Monthly!AT$17),IF(AX$69&gt;$F123+1,AW123*(1-IF(AX$69-$F123&lt;=12,SUMIFS('Attrition Modeling'!$D:$D,'Attrition Modeling'!$B:$B,$E123,'Attrition Modeling'!$C:$C,AX$68),VLOOKUP(AX$69-$F123-1,$A$7:$C$161,2,FALSE)*VLOOKUP(AX$1,'Attrition Modeling'!$L$15:$N$27,IF(AX$2-$F56&lt;=24,2,3),FALSE))*(1+Projection!AZ$16)*(1+IF(AX188&gt;0,'Attrition Modeling'!$N$9,0))),0))</f>
        <v>0</v>
      </c>
      <c r="AY123" s="799">
        <f>IF(AY$69=$F123+1,IF(Monthly!AU$4=TRUE,0,Monthly!AU$17),IF(AY$69&gt;$F123+1,AX123*(1-IF(AY$69-$F123&lt;=12,SUMIFS('Attrition Modeling'!$D:$D,'Attrition Modeling'!$B:$B,$E123,'Attrition Modeling'!$C:$C,AY$68),VLOOKUP(AY$69-$F123-1,$A$7:$C$161,2,FALSE)*VLOOKUP(AY$1,'Attrition Modeling'!$L$15:$N$27,IF(AY$2-$F56&lt;=24,2,3),FALSE))*(1+Projection!BA$16)*(1+IF(AY188&gt;0,'Attrition Modeling'!$N$9,0))),0))</f>
        <v>0</v>
      </c>
      <c r="AZ123" s="799">
        <f>IF(AZ$69=$F123+1,IF(Monthly!AV$4=TRUE,0,Monthly!AV$17),IF(AZ$69&gt;$F123+1,AY123*(1-IF(AZ$69-$F123&lt;=12,SUMIFS('Attrition Modeling'!$D:$D,'Attrition Modeling'!$B:$B,$E123,'Attrition Modeling'!$C:$C,AZ$68),VLOOKUP(AZ$69-$F123-1,$A$7:$C$161,2,FALSE)*VLOOKUP(AZ$1,'Attrition Modeling'!$L$15:$N$27,IF(AZ$2-$F56&lt;=24,2,3),FALSE))*(1+Projection!BB$16)*(1+IF(AZ188&gt;0,'Attrition Modeling'!$N$9,0))),0))</f>
        <v>0</v>
      </c>
      <c r="BA123" s="799">
        <f>IF(BA$69=$F123+1,IF(Monthly!AW$4=TRUE,0,Monthly!AW$17),IF(BA$69&gt;$F123+1,AZ123*(1-IF(BA$69-$F123&lt;=12,SUMIFS('Attrition Modeling'!$D:$D,'Attrition Modeling'!$B:$B,$E123,'Attrition Modeling'!$C:$C,BA$68),VLOOKUP(BA$69-$F123-1,$A$7:$C$161,2,FALSE)*VLOOKUP(BA$1,'Attrition Modeling'!$L$15:$N$27,IF(BA$2-$F56&lt;=24,2,3),FALSE))*(1+Projection!BC$16)*(1+IF(BA188&gt;0,'Attrition Modeling'!$N$9,0))),0))</f>
        <v>0</v>
      </c>
      <c r="BB123" s="799">
        <f>IF(BB$69=$F123+1,IF(Monthly!AX$4=TRUE,0,Monthly!AX$17),IF(BB$69&gt;$F123+1,BA123*(1-IF(BB$69-$F123&lt;=12,SUMIFS('Attrition Modeling'!$D:$D,'Attrition Modeling'!$B:$B,$E123,'Attrition Modeling'!$C:$C,BB$68),VLOOKUP(BB$69-$F123-1,$A$7:$C$161,2,FALSE)*VLOOKUP(BB$1,'Attrition Modeling'!$L$15:$N$27,IF(BB$2-$F56&lt;=24,2,3),FALSE))*(1+Projection!BD$16)*(1+IF(BB188&gt;0,'Attrition Modeling'!$N$9,0))),0))</f>
        <v>0</v>
      </c>
      <c r="BC123" s="799">
        <f>IF(BC$69=$F123+1,IF(Monthly!AY$4=TRUE,0,Monthly!AY$17),IF(BC$69&gt;$F123+1,BB123*(1-IF(BC$69-$F123&lt;=12,SUMIFS('Attrition Modeling'!$D:$D,'Attrition Modeling'!$B:$B,$E123,'Attrition Modeling'!$C:$C,BC$68),VLOOKUP(BC$69-$F123-1,$A$7:$C$161,2,FALSE)*VLOOKUP(BC$1,'Attrition Modeling'!$L$15:$N$27,IF(BC$2-$F56&lt;=24,2,3),FALSE))*(1+Projection!BE$16)*(1+IF(BC188&gt;0,'Attrition Modeling'!$N$9,0))),0))</f>
        <v>0</v>
      </c>
      <c r="BD123" s="799">
        <f>IF(BD$69=$F123+1,IF(Monthly!AZ$4=TRUE,0,Monthly!AZ$17),IF(BD$69&gt;$F123+1,BC123*(1-IF(BD$69-$F123&lt;=12,SUMIFS('Attrition Modeling'!$D:$D,'Attrition Modeling'!$B:$B,$E123,'Attrition Modeling'!$C:$C,BD$68),VLOOKUP(BD$69-$F123-1,$A$7:$C$161,2,FALSE)*VLOOKUP(BD$1,'Attrition Modeling'!$L$15:$N$27,IF(BD$2-$F56&lt;=24,2,3),FALSE))*(1+Projection!BF$16)*(1+IF(BD188&gt;0,'Attrition Modeling'!$N$9,0))),0))</f>
        <v>0</v>
      </c>
      <c r="BE123" s="799">
        <f>IF(BE$69=$F123+1,IF(Monthly!BA$4=TRUE,0,Monthly!BA$17),IF(BE$69&gt;$F123+1,BD123*(1-IF(BE$69-$F123&lt;=12,SUMIFS('Attrition Modeling'!$D:$D,'Attrition Modeling'!$B:$B,$E123,'Attrition Modeling'!$C:$C,BE$68),VLOOKUP(BE$69-$F123-1,$A$7:$C$161,2,FALSE)*VLOOKUP(BE$1,'Attrition Modeling'!$L$15:$N$27,IF(BE$2-$F56&lt;=24,2,3),FALSE))*(1+Projection!BG$16)*(1+IF(BE188&gt;0,'Attrition Modeling'!$N$9,0))),0))</f>
        <v>0</v>
      </c>
      <c r="BF123" s="799">
        <f>IF(BF$69=$F123+1,IF(Monthly!BB$4=TRUE,0,Monthly!BB$17),IF(BF$69&gt;$F123+1,BE123*(1-IF(BF$69-$F123&lt;=12,SUMIFS('Attrition Modeling'!$D:$D,'Attrition Modeling'!$B:$B,$E123,'Attrition Modeling'!$C:$C,BF$68),VLOOKUP(BF$69-$F123-1,$A$7:$C$161,2,FALSE)*VLOOKUP(BF$1,'Attrition Modeling'!$L$15:$N$27,IF(BF$2-$F56&lt;=24,2,3),FALSE))*(1+Projection!BH$16)*(1+IF(BF188&gt;0,'Attrition Modeling'!$N$9,0))),0))</f>
        <v>0</v>
      </c>
      <c r="BG123" s="799">
        <f>IF(BG$69=$F123+1,IF(Monthly!BC$4=TRUE,0,Monthly!BC$17),IF(BG$69&gt;$F123+1,BF123*(1-IF(BG$69-$F123&lt;=12,SUMIFS('Attrition Modeling'!$D:$D,'Attrition Modeling'!$B:$B,$E123,'Attrition Modeling'!$C:$C,BG$68),VLOOKUP(BG$69-$F123-1,$A$7:$C$161,2,FALSE)*VLOOKUP(BG$1,'Attrition Modeling'!$L$15:$N$27,IF(BG$2-$F56&lt;=24,2,3),FALSE))*(1+Projection!BI$16)*(1+IF(BG188&gt;0,'Attrition Modeling'!$N$9,0))),0))</f>
        <v>0</v>
      </c>
      <c r="BH123" s="799">
        <f>IF(BH$69=$F123+1,IF(Monthly!BD$4=TRUE,0,Monthly!BD$17),IF(BH$69&gt;$F123+1,BG123*(1-IF(BH$69-$F123&lt;=12,SUMIFS('Attrition Modeling'!$D:$D,'Attrition Modeling'!$B:$B,$E123,'Attrition Modeling'!$C:$C,BH$68),VLOOKUP(BH$69-$F123-1,$A$7:$C$161,2,FALSE)*VLOOKUP(BH$1,'Attrition Modeling'!$L$15:$N$27,IF(BH$2-$F56&lt;=24,2,3),FALSE))*(1+Projection!BJ$16)*(1+IF(BH188&gt;0,'Attrition Modeling'!$N$9,0))),0))</f>
        <v>0</v>
      </c>
      <c r="BI123" s="799">
        <f>IF(BI$69=$F123+1,IF(Monthly!BE$4=TRUE,0,Monthly!BE$17),IF(BI$69&gt;$F123+1,BH123*(1-IF(BI$69-$F123&lt;=12,SUMIFS('Attrition Modeling'!$D:$D,'Attrition Modeling'!$B:$B,$E123,'Attrition Modeling'!$C:$C,BI$68),VLOOKUP(BI$69-$F123-1,$A$7:$C$161,2,FALSE)*VLOOKUP(BI$1,'Attrition Modeling'!$L$15:$N$27,IF(BI$2-$F56&lt;=24,2,3),FALSE))*(1+Projection!BK$16)*(1+IF(BI188&gt;0,'Attrition Modeling'!$N$9,0))),0))</f>
        <v>6254.6048769361514</v>
      </c>
      <c r="BJ123" s="799">
        <f>IF(BJ$69=$F123+1,IF(Monthly!BF$4=TRUE,0,Monthly!BF$17),IF(BJ$69&gt;$F123+1,BI123*(1-IF(BJ$69-$F123&lt;=12,SUMIFS('Attrition Modeling'!$D:$D,'Attrition Modeling'!$B:$B,$E123,'Attrition Modeling'!$C:$C,BJ$68),VLOOKUP(BJ$69-$F123-1,$A$7:$C$161,2,FALSE)*VLOOKUP(BJ$1,'Attrition Modeling'!$L$15:$N$27,IF(BJ$2-$F56&lt;=24,2,3),FALSE))*(1+Projection!BL$16)*(1+IF(BJ188&gt;0,'Attrition Modeling'!$N$9,0))),0))</f>
        <v>5565.2029381251305</v>
      </c>
      <c r="BK123" s="799">
        <f>IF(BK$69=$F123+1,IF(Monthly!BG$4=TRUE,0,Monthly!BG$17),IF(BK$69&gt;$F123+1,BJ123*(1-IF(BK$69-$F123&lt;=12,SUMIFS('Attrition Modeling'!$D:$D,'Attrition Modeling'!$B:$B,$E123,'Attrition Modeling'!$C:$C,BK$68),VLOOKUP(BK$69-$F123-1,$A$7:$C$161,2,FALSE)*VLOOKUP(BK$1,'Attrition Modeling'!$L$15:$N$27,IF(BK$2-$F56&lt;=24,2,3),FALSE))*(1+Projection!BM$16)*(1+IF(BK188&gt;0,'Attrition Modeling'!$N$9,0))),0))</f>
        <v>4822.8282400315784</v>
      </c>
      <c r="BL123" s="799">
        <f>IF(BL$69=$F123+1,IF(Monthly!BH$4=TRUE,0,Monthly!BH$17),IF(BL$69&gt;$F123+1,BK123*(1-IF(BL$69-$F123&lt;=12,SUMIFS('Attrition Modeling'!$D:$D,'Attrition Modeling'!$B:$B,$E123,'Attrition Modeling'!$C:$C,BL$68),VLOOKUP(BL$69-$F123-1,$A$7:$C$161,2,FALSE)*VLOOKUP(BL$1,'Attrition Modeling'!$L$15:$N$27,IF(BL$2-$F56&lt;=24,2,3),FALSE))*(1+Projection!BN$16)*(1+IF(BL188&gt;0,'Attrition Modeling'!$N$9,0))),0))</f>
        <v>4294.1744047833408</v>
      </c>
      <c r="BM123" s="799">
        <f>IF(BM$69=$F123+1,IF(Monthly!BI$4=TRUE,0,Monthly!BI$17),IF(BM$69&gt;$F123+1,BL123*(1-IF(BM$69-$F123&lt;=12,SUMIFS('Attrition Modeling'!$D:$D,'Attrition Modeling'!$B:$B,$E123,'Attrition Modeling'!$C:$C,BM$68),VLOOKUP(BM$69-$F123-1,$A$7:$C$161,2,FALSE)*VLOOKUP(BM$1,'Attrition Modeling'!$L$15:$N$27,IF(BM$2-$F56&lt;=24,2,3),FALSE))*(1+Projection!BO$16)*(1+IF(BM188&gt;0,'Attrition Modeling'!$N$9,0))),0))</f>
        <v>3897.8590371217197</v>
      </c>
      <c r="BN123" s="799">
        <f>IF(BN$69=$F123+1,IF(Monthly!BJ$4=TRUE,0,Monthly!BJ$17),IF(BN$69&gt;$F123+1,BM123*(1-IF(BN$69-$F123&lt;=12,SUMIFS('Attrition Modeling'!$D:$D,'Attrition Modeling'!$B:$B,$E123,'Attrition Modeling'!$C:$C,BN$68),VLOOKUP(BN$69-$F123-1,$A$7:$C$161,2,FALSE)*VLOOKUP(BN$1,'Attrition Modeling'!$L$15:$N$27,IF(BN$2-$F56&lt;=24,2,3),FALSE))*(1+Projection!BP$16)*(1+IF(BN188&gt;0,'Attrition Modeling'!$N$9,0))),0))</f>
        <v>3470.6181069958884</v>
      </c>
      <c r="BO123" s="799">
        <f>IF(BO$69=$F123+1,IF(Monthly!BK$4=TRUE,0,Monthly!BK$17),IF(BO$69&gt;$F123+1,BN123*(1-IF(BO$69-$F123&lt;=12,SUMIFS('Attrition Modeling'!$D:$D,'Attrition Modeling'!$B:$B,$E123,'Attrition Modeling'!$C:$C,BO$68),VLOOKUP(BO$69-$F123-1,$A$7:$C$161,2,FALSE)*VLOOKUP(BO$1,'Attrition Modeling'!$L$15:$N$27,IF(BO$2-$F56&lt;=24,2,3),FALSE))*(1+Projection!BV$16)*(1+IF(BO188&gt;0,'Attrition Modeling'!$N$9,0))),0))</f>
        <v>3203.770089639715</v>
      </c>
      <c r="BP123" s="799">
        <f>IF(BP$69=$F123+1,IF(Monthly!BL$4=TRUE,0,Monthly!BL$17),IF(BP$69&gt;$F123+1,BO123*(1-IF(BP$69-$F123&lt;=12,SUMIFS('Attrition Modeling'!$D:$D,'Attrition Modeling'!$B:$B,$E123,'Attrition Modeling'!$C:$C,BP$68),VLOOKUP(BP$69-$F123-1,$A$7:$C$161,2,FALSE)*VLOOKUP(BP$1,'Attrition Modeling'!$L$15:$N$27,IF(BP$2-$F56&lt;=24,2,3),FALSE))*(1+Projection!BW$16)*(1+IF(BP188&gt;0,'Attrition Modeling'!$N$9,0))),0))</f>
        <v>2996.3454872953894</v>
      </c>
      <c r="BQ123" s="799">
        <f>IF(BQ$69=$F123+1,IF(Monthly!BM$4=TRUE,0,Monthly!BM$17),IF(BQ$69&gt;$F123+1,BP123*(1-IF(BQ$69-$F123&lt;=12,SUMIFS('Attrition Modeling'!$D:$D,'Attrition Modeling'!$B:$B,$E123,'Attrition Modeling'!$C:$C,BQ$68),VLOOKUP(BQ$69-$F123-1,$A$7:$C$161,2,FALSE)*VLOOKUP(BQ$1,'Attrition Modeling'!$L$15:$N$27,IF(BQ$2-$F56&lt;=24,2,3),FALSE))*(1+Projection!BX$16)*(1+IF(BQ188&gt;0,'Attrition Modeling'!$N$9,0))),0))</f>
        <v>2827.9721449623485</v>
      </c>
      <c r="BR123" s="799">
        <f>IF(BR$69=$F123+1,IF(Monthly!BN$4=TRUE,0,Monthly!BN$17),IF(BR$69&gt;$F123+1,BQ123*(1-IF(BR$69-$F123&lt;=12,SUMIFS('Attrition Modeling'!$D:$D,'Attrition Modeling'!$B:$B,$E123,'Attrition Modeling'!$C:$C,BR$68),VLOOKUP(BR$69-$F123-1,$A$7:$C$161,2,FALSE)*VLOOKUP(BR$1,'Attrition Modeling'!$L$15:$N$27,IF(BR$2-$F56&lt;=24,2,3),FALSE))*(1+Projection!BY$16)*(1+IF(BR188&gt;0,'Attrition Modeling'!$N$9,0))),0))</f>
        <v>2666.7113036338096</v>
      </c>
      <c r="BS123" s="799">
        <f>IF(BS$69=$F123+1,IF(Monthly!BO$4=TRUE,0,Monthly!BO$17),IF(BS$69&gt;$F123+1,BR123*(1-IF(BS$69-$F123&lt;=12,SUMIFS('Attrition Modeling'!$D:$D,'Attrition Modeling'!$B:$B,$E123,'Attrition Modeling'!$C:$C,BS$68),VLOOKUP(BS$69-$F123-1,$A$7:$C$161,2,FALSE)*VLOOKUP(BS$1,'Attrition Modeling'!$L$15:$N$27,IF(BS$2-$F56&lt;=24,2,3),FALSE))*(1+Projection!BZ$16)*(1+IF(BS188&gt;0,'Attrition Modeling'!$N$9,0))),0))</f>
        <v>2523.8688859875515</v>
      </c>
      <c r="BT123" s="799">
        <f>IF(BT$69=$F123+1,IF(Monthly!#REF!=TRUE,0,Monthly!#REF!),IF(BT$69&gt;$F123+1,BS123*(1-IF(BT$69-$F123&lt;=12,SUMIFS('Attrition Modeling'!$D:$D,'Attrition Modeling'!$B:$B,$E123,'Attrition Modeling'!$C:$C,BT$68),VLOOKUP(BT$69-$F123-1,$A$7:$C$161,2,FALSE)*VLOOKUP(BT$1,'Attrition Modeling'!$L$15:$N$27,IF(BT$2-$F56&lt;=24,2,3),FALSE))*(1+Projection!CA$16)*(1+IF(BT188&gt;0,'Attrition Modeling'!$N$9,0))),0))</f>
        <v>2461.4955046605869</v>
      </c>
      <c r="BU123" s="799">
        <f>IF(BU$69=$F123+1,IF(Monthly!#REF!=TRUE,0,Monthly!#REF!),IF(BU$69&gt;$F123+1,BT123*(1-IF(BU$69-$F123&lt;=12,SUMIFS('Attrition Modeling'!$D:$D,'Attrition Modeling'!$B:$B,$E123,'Attrition Modeling'!$C:$C,BU$68),VLOOKUP(BU$69-$F123-1,$A$7:$C$161,2,FALSE)*VLOOKUP(BU$1,'Attrition Modeling'!$L$15:$N$27,IF(BU$2-$F56&lt;=24,2,3),FALSE))*(1+Projection!CB$16)*(1+IF(BU188&gt;0,'Attrition Modeling'!$N$9,0))),0))</f>
        <v>2322.0278090714733</v>
      </c>
    </row>
    <row r="124" spans="1:73" ht="14.25" customHeight="1" x14ac:dyDescent="0.2">
      <c r="A124" s="9">
        <v>117</v>
      </c>
      <c r="B124" s="25">
        <f>MAX('Attrition Modeling'!H121,$C$3)*(1-Summary!$C$20)</f>
        <v>0.02</v>
      </c>
      <c r="C124" s="24" t="e">
        <f t="shared" si="4"/>
        <v>#DIV/0!</v>
      </c>
      <c r="E124" s="11">
        <f t="shared" si="9"/>
        <v>6</v>
      </c>
      <c r="F124" s="11">
        <f t="shared" si="10"/>
        <v>54</v>
      </c>
      <c r="G124" s="799"/>
      <c r="H124" s="799">
        <f>IF(H$69=$F124+1,IF(Monthly!D$4=TRUE,0,Monthly!D$17),IF(H$69&gt;$F124+1,G124*(1-IF(H$69-$F124&lt;=12,SUMIFS('Attrition Modeling'!$D:$D,'Attrition Modeling'!$B:$B,$E124,'Attrition Modeling'!$C:$C,H$68),VLOOKUP(H$69-$F124-1,$A$7:$C$161,2,FALSE)*VLOOKUP(H$1,'Attrition Modeling'!$L$15:$N$27,IF(H$2-$F57&lt;=24,2,3),FALSE))*(1+Projection!J$16)*(1+IF(H189&gt;0,'Attrition Modeling'!$N$9,0))),0))</f>
        <v>0</v>
      </c>
      <c r="I124" s="799">
        <f>IF(I$69=$F124+1,IF(Monthly!E$4=TRUE,0,Monthly!E$17),IF(I$69&gt;$F124+1,H124*(1-IF(I$69-$F124&lt;=12,SUMIFS('Attrition Modeling'!$D:$D,'Attrition Modeling'!$B:$B,$E124,'Attrition Modeling'!$C:$C,I$68),VLOOKUP(I$69-$F124-1,$A$7:$C$161,2,FALSE)*VLOOKUP(I$1,'Attrition Modeling'!$L$15:$N$27,IF(I$2-$F57&lt;=24,2,3),FALSE))*(1+Projection!K$16)*(1+IF(I189&gt;0,'Attrition Modeling'!$N$9,0))),0))</f>
        <v>0</v>
      </c>
      <c r="J124" s="799">
        <f>IF(J$69=$F124+1,IF(Monthly!F$4=TRUE,0,Monthly!F$17),IF(J$69&gt;$F124+1,I124*(1-IF(J$69-$F124&lt;=12,SUMIFS('Attrition Modeling'!$D:$D,'Attrition Modeling'!$B:$B,$E124,'Attrition Modeling'!$C:$C,J$68),VLOOKUP(J$69-$F124-1,$A$7:$C$161,2,FALSE)*VLOOKUP(J$1,'Attrition Modeling'!$L$15:$N$27,IF(J$2-$F57&lt;=24,2,3),FALSE))*(1+Projection!L$16)*(1+IF(J189&gt;0,'Attrition Modeling'!$N$9,0))),0))</f>
        <v>0</v>
      </c>
      <c r="K124" s="799">
        <f>IF(K$69=$F124+1,IF(Monthly!G$4=TRUE,0,Monthly!G$17),IF(K$69&gt;$F124+1,J124*(1-IF(K$69-$F124&lt;=12,SUMIFS('Attrition Modeling'!$D:$D,'Attrition Modeling'!$B:$B,$E124,'Attrition Modeling'!$C:$C,K$68),VLOOKUP(K$69-$F124-1,$A$7:$C$161,2,FALSE)*VLOOKUP(K$1,'Attrition Modeling'!$L$15:$N$27,IF(K$2-$F57&lt;=24,2,3),FALSE))*(1+Projection!M$16)*(1+IF(K189&gt;0,'Attrition Modeling'!$N$9,0))),0))</f>
        <v>0</v>
      </c>
      <c r="L124" s="799">
        <f>IF(L$69=$F124+1,IF(Monthly!H$4=TRUE,0,Monthly!H$17),IF(L$69&gt;$F124+1,K124*(1-IF(L$69-$F124&lt;=12,SUMIFS('Attrition Modeling'!$D:$D,'Attrition Modeling'!$B:$B,$E124,'Attrition Modeling'!$C:$C,L$68),VLOOKUP(L$69-$F124-1,$A$7:$C$161,2,FALSE)*VLOOKUP(L$1,'Attrition Modeling'!$L$15:$N$27,IF(L$2-$F57&lt;=24,2,3),FALSE))*(1+Projection!N$16)*(1+IF(L189&gt;0,'Attrition Modeling'!$N$9,0))),0))</f>
        <v>0</v>
      </c>
      <c r="M124" s="799">
        <f>IF(M$69=$F124+1,IF(Monthly!I$4=TRUE,0,Monthly!I$17),IF(M$69&gt;$F124+1,L124*(1-IF(M$69-$F124&lt;=12,SUMIFS('Attrition Modeling'!$D:$D,'Attrition Modeling'!$B:$B,$E124,'Attrition Modeling'!$C:$C,M$68),VLOOKUP(M$69-$F124-1,$A$7:$C$161,2,FALSE)*VLOOKUP(M$1,'Attrition Modeling'!$L$15:$N$27,IF(M$2-$F57&lt;=24,2,3),FALSE))*(1+Projection!O$16)*(1+IF(M189&gt;0,'Attrition Modeling'!$N$9,0))),0))</f>
        <v>0</v>
      </c>
      <c r="N124" s="799">
        <f>IF(N$69=$F124+1,IF(Monthly!J$4=TRUE,0,Monthly!J$17),IF(N$69&gt;$F124+1,M124*(1-IF(N$69-$F124&lt;=12,SUMIFS('Attrition Modeling'!$D:$D,'Attrition Modeling'!$B:$B,$E124,'Attrition Modeling'!$C:$C,N$68),VLOOKUP(N$69-$F124-1,$A$7:$C$161,2,FALSE)*VLOOKUP(N$1,'Attrition Modeling'!$L$15:$N$27,IF(N$2-$F57&lt;=24,2,3),FALSE))*(1+Projection!P$16)*(1+IF(N189&gt;0,'Attrition Modeling'!$N$9,0))),0))</f>
        <v>0</v>
      </c>
      <c r="O124" s="799">
        <f>IF(O$69=$F124+1,IF(Monthly!K$4=TRUE,0,Monthly!K$17),IF(O$69&gt;$F124+1,N124*(1-IF(O$69-$F124&lt;=12,SUMIFS('Attrition Modeling'!$D:$D,'Attrition Modeling'!$B:$B,$E124,'Attrition Modeling'!$C:$C,O$68),VLOOKUP(O$69-$F124-1,$A$7:$C$161,2,FALSE)*VLOOKUP(O$1,'Attrition Modeling'!$L$15:$N$27,IF(O$2-$F57&lt;=24,2,3),FALSE))*(1+Projection!Q$16)*(1+IF(O189&gt;0,'Attrition Modeling'!$N$9,0))),0))</f>
        <v>0</v>
      </c>
      <c r="P124" s="799">
        <f>IF(P$69=$F124+1,IF(Monthly!L$4=TRUE,0,Monthly!L$17),IF(P$69&gt;$F124+1,O124*(1-IF(P$69-$F124&lt;=12,SUMIFS('Attrition Modeling'!$D:$D,'Attrition Modeling'!$B:$B,$E124,'Attrition Modeling'!$C:$C,P$68),VLOOKUP(P$69-$F124-1,$A$7:$C$161,2,FALSE)*VLOOKUP(P$1,'Attrition Modeling'!$L$15:$N$27,IF(P$2-$F57&lt;=24,2,3),FALSE))*(1+Projection!R$16)*(1+IF(P189&gt;0,'Attrition Modeling'!$N$9,0))),0))</f>
        <v>0</v>
      </c>
      <c r="Q124" s="799">
        <f>IF(Q$69=$F124+1,IF(Monthly!M$4=TRUE,0,Monthly!M$17),IF(Q$69&gt;$F124+1,P124*(1-IF(Q$69-$F124&lt;=12,SUMIFS('Attrition Modeling'!$D:$D,'Attrition Modeling'!$B:$B,$E124,'Attrition Modeling'!$C:$C,Q$68),VLOOKUP(Q$69-$F124-1,$A$7:$C$161,2,FALSE)*VLOOKUP(Q$1,'Attrition Modeling'!$L$15:$N$27,IF(Q$2-$F57&lt;=24,2,3),FALSE))*(1+Projection!S$16)*(1+IF(Q189&gt;0,'Attrition Modeling'!$N$9,0))),0))</f>
        <v>0</v>
      </c>
      <c r="R124" s="799">
        <f>IF(R$69=$F124+1,IF(Monthly!N$4=TRUE,0,Monthly!N$17),IF(R$69&gt;$F124+1,Q124*(1-IF(R$69-$F124&lt;=12,SUMIFS('Attrition Modeling'!$D:$D,'Attrition Modeling'!$B:$B,$E124,'Attrition Modeling'!$C:$C,R$68),VLOOKUP(R$69-$F124-1,$A$7:$C$161,2,FALSE)*VLOOKUP(R$1,'Attrition Modeling'!$L$15:$N$27,IF(R$2-$F57&lt;=24,2,3),FALSE))*(1+Projection!T$16)*(1+IF(R189&gt;0,'Attrition Modeling'!$N$9,0))),0))</f>
        <v>0</v>
      </c>
      <c r="S124" s="799">
        <f>IF(S$69=$F124+1,IF(Monthly!O$4=TRUE,0,Monthly!O$17),IF(S$69&gt;$F124+1,R124*(1-IF(S$69-$F124&lt;=12,SUMIFS('Attrition Modeling'!$D:$D,'Attrition Modeling'!$B:$B,$E124,'Attrition Modeling'!$C:$C,S$68),VLOOKUP(S$69-$F124-1,$A$7:$C$161,2,FALSE)*VLOOKUP(S$1,'Attrition Modeling'!$L$15:$N$27,IF(S$2-$F57&lt;=24,2,3),FALSE))*(1+Projection!U$16)*(1+IF(S189&gt;0,'Attrition Modeling'!$N$9,0))),0))</f>
        <v>0</v>
      </c>
      <c r="T124" s="799">
        <f>IF(T$69=$F124+1,IF(Monthly!P$4=TRUE,0,Monthly!P$17),IF(T$69&gt;$F124+1,S124*(1-IF(T$69-$F124&lt;=12,SUMIFS('Attrition Modeling'!$D:$D,'Attrition Modeling'!$B:$B,$E124,'Attrition Modeling'!$C:$C,T$68),VLOOKUP(T$69-$F124-1,$A$7:$C$161,2,FALSE)*VLOOKUP(T$1,'Attrition Modeling'!$L$15:$N$27,IF(T$2-$F57&lt;=24,2,3),FALSE))*(1+Projection!V$16)*(1+IF(T189&gt;0,'Attrition Modeling'!$N$9,0))),0))</f>
        <v>0</v>
      </c>
      <c r="U124" s="799">
        <f>IF(U$69=$F124+1,IF(Monthly!Q$4=TRUE,0,Monthly!Q$17),IF(U$69&gt;$F124+1,T124*(1-IF(U$69-$F124&lt;=12,SUMIFS('Attrition Modeling'!$D:$D,'Attrition Modeling'!$B:$B,$E124,'Attrition Modeling'!$C:$C,U$68),VLOOKUP(U$69-$F124-1,$A$7:$C$161,2,FALSE)*VLOOKUP(U$1,'Attrition Modeling'!$L$15:$N$27,IF(U$2-$F57&lt;=24,2,3),FALSE))*(1+Projection!W$16)*(1+IF(U189&gt;0,'Attrition Modeling'!$N$9,0))),0))</f>
        <v>0</v>
      </c>
      <c r="V124" s="799">
        <f>IF(V$69=$F124+1,IF(Monthly!R$4=TRUE,0,Monthly!R$17),IF(V$69&gt;$F124+1,U124*(1-IF(V$69-$F124&lt;=12,SUMIFS('Attrition Modeling'!$D:$D,'Attrition Modeling'!$B:$B,$E124,'Attrition Modeling'!$C:$C,V$68),VLOOKUP(V$69-$F124-1,$A$7:$C$161,2,FALSE)*VLOOKUP(V$1,'Attrition Modeling'!$L$15:$N$27,IF(V$2-$F57&lt;=24,2,3),FALSE))*(1+Projection!X$16)*(1+IF(V189&gt;0,'Attrition Modeling'!$N$9,0))),0))</f>
        <v>0</v>
      </c>
      <c r="W124" s="799">
        <f>IF(W$69=$F124+1,IF(Monthly!S$4=TRUE,0,Monthly!S$17),IF(W$69&gt;$F124+1,V124*(1-IF(W$69-$F124&lt;=12,SUMIFS('Attrition Modeling'!$D:$D,'Attrition Modeling'!$B:$B,$E124,'Attrition Modeling'!$C:$C,W$68),VLOOKUP(W$69-$F124-1,$A$7:$C$161,2,FALSE)*VLOOKUP(W$1,'Attrition Modeling'!$L$15:$N$27,IF(W$2-$F57&lt;=24,2,3),FALSE))*(1+Projection!Y$16)*(1+IF(W189&gt;0,'Attrition Modeling'!$N$9,0))),0))</f>
        <v>0</v>
      </c>
      <c r="X124" s="799">
        <f>IF(X$69=$F124+1,IF(Monthly!T$4=TRUE,0,Monthly!T$17),IF(X$69&gt;$F124+1,W124*(1-IF(X$69-$F124&lt;=12,SUMIFS('Attrition Modeling'!$D:$D,'Attrition Modeling'!$B:$B,$E124,'Attrition Modeling'!$C:$C,X$68),VLOOKUP(X$69-$F124-1,$A$7:$C$161,2,FALSE)*VLOOKUP(X$1,'Attrition Modeling'!$L$15:$N$27,IF(X$2-$F57&lt;=24,2,3),FALSE))*(1+Projection!Z$16)*(1+IF(X189&gt;0,'Attrition Modeling'!$N$9,0))),0))</f>
        <v>0</v>
      </c>
      <c r="Y124" s="799">
        <f>IF(Y$69=$F124+1,IF(Monthly!U$4=TRUE,0,Monthly!U$17),IF(Y$69&gt;$F124+1,X124*(1-IF(Y$69-$F124&lt;=12,SUMIFS('Attrition Modeling'!$D:$D,'Attrition Modeling'!$B:$B,$E124,'Attrition Modeling'!$C:$C,Y$68),VLOOKUP(Y$69-$F124-1,$A$7:$C$161,2,FALSE)*VLOOKUP(Y$1,'Attrition Modeling'!$L$15:$N$27,IF(Y$2-$F57&lt;=24,2,3),FALSE))*(1+Projection!AA$16)*(1+IF(Y189&gt;0,'Attrition Modeling'!$N$9,0))),0))</f>
        <v>0</v>
      </c>
      <c r="Z124" s="799">
        <f>IF(Z$69=$F124+1,IF(Monthly!V$4=TRUE,0,Monthly!V$17),IF(Z$69&gt;$F124+1,Y124*(1-IF(Z$69-$F124&lt;=12,SUMIFS('Attrition Modeling'!$D:$D,'Attrition Modeling'!$B:$B,$E124,'Attrition Modeling'!$C:$C,Z$68),VLOOKUP(Z$69-$F124-1,$A$7:$C$161,2,FALSE)*VLOOKUP(Z$1,'Attrition Modeling'!$L$15:$N$27,IF(Z$2-$F57&lt;=24,2,3),FALSE))*(1+Projection!AB$16)*(1+IF(Z189&gt;0,'Attrition Modeling'!$N$9,0))),0))</f>
        <v>0</v>
      </c>
      <c r="AA124" s="799">
        <f>IF(AA$69=$F124+1,IF(Monthly!W$4=TRUE,0,Monthly!W$17),IF(AA$69&gt;$F124+1,Z124*(1-IF(AA$69-$F124&lt;=12,SUMIFS('Attrition Modeling'!$D:$D,'Attrition Modeling'!$B:$B,$E124,'Attrition Modeling'!$C:$C,AA$68),VLOOKUP(AA$69-$F124-1,$A$7:$C$161,2,FALSE)*VLOOKUP(AA$1,'Attrition Modeling'!$L$15:$N$27,IF(AA$2-$F57&lt;=24,2,3),FALSE))*(1+Projection!AC$16)*(1+IF(AA189&gt;0,'Attrition Modeling'!$N$9,0))),0))</f>
        <v>0</v>
      </c>
      <c r="AB124" s="799">
        <f>IF(AB$69=$F124+1,IF(Monthly!X$4=TRUE,0,Monthly!X$17),IF(AB$69&gt;$F124+1,AA124*(1-IF(AB$69-$F124&lt;=12,SUMIFS('Attrition Modeling'!$D:$D,'Attrition Modeling'!$B:$B,$E124,'Attrition Modeling'!$C:$C,AB$68),VLOOKUP(AB$69-$F124-1,$A$7:$C$161,2,FALSE)*VLOOKUP(AB$1,'Attrition Modeling'!$L$15:$N$27,IF(AB$2-$F57&lt;=24,2,3),FALSE))*(1+Projection!AD$16)*(1+IF(AB189&gt;0,'Attrition Modeling'!$N$9,0))),0))</f>
        <v>0</v>
      </c>
      <c r="AC124" s="799">
        <f>IF(AC$69=$F124+1,IF(Monthly!Y$4=TRUE,0,Monthly!Y$17),IF(AC$69&gt;$F124+1,AB124*(1-IF(AC$69-$F124&lt;=12,SUMIFS('Attrition Modeling'!$D:$D,'Attrition Modeling'!$B:$B,$E124,'Attrition Modeling'!$C:$C,AC$68),VLOOKUP(AC$69-$F124-1,$A$7:$C$161,2,FALSE)*VLOOKUP(AC$1,'Attrition Modeling'!$L$15:$N$27,IF(AC$2-$F57&lt;=24,2,3),FALSE))*(1+Projection!AE$16)*(1+IF(AC189&gt;0,'Attrition Modeling'!$N$9,0))),0))</f>
        <v>0</v>
      </c>
      <c r="AD124" s="799">
        <f>IF(AD$69=$F124+1,IF(Monthly!Z$4=TRUE,0,Monthly!Z$17),IF(AD$69&gt;$F124+1,AC124*(1-IF(AD$69-$F124&lt;=12,SUMIFS('Attrition Modeling'!$D:$D,'Attrition Modeling'!$B:$B,$E124,'Attrition Modeling'!$C:$C,AD$68),VLOOKUP(AD$69-$F124-1,$A$7:$C$161,2,FALSE)*VLOOKUP(AD$1,'Attrition Modeling'!$L$15:$N$27,IF(AD$2-$F57&lt;=24,2,3),FALSE))*(1+Projection!AF$16)*(1+IF(AD189&gt;0,'Attrition Modeling'!$N$9,0))),0))</f>
        <v>0</v>
      </c>
      <c r="AE124" s="799">
        <f>IF(AE$69=$F124+1,IF(Monthly!AA$4=TRUE,0,Monthly!AA$17),IF(AE$69&gt;$F124+1,AD124*(1-IF(AE$69-$F124&lt;=12,SUMIFS('Attrition Modeling'!$D:$D,'Attrition Modeling'!$B:$B,$E124,'Attrition Modeling'!$C:$C,AE$68),VLOOKUP(AE$69-$F124-1,$A$7:$C$161,2,FALSE)*VLOOKUP(AE$1,'Attrition Modeling'!$L$15:$N$27,IF(AE$2-$F57&lt;=24,2,3),FALSE))*(1+Projection!AG$16)*(1+IF(AE189&gt;0,'Attrition Modeling'!$N$9,0))),0))</f>
        <v>0</v>
      </c>
      <c r="AF124" s="799">
        <f>IF(AF$69=$F124+1,IF(Monthly!AB$4=TRUE,0,Monthly!AB$17),IF(AF$69&gt;$F124+1,AE124*(1-IF(AF$69-$F124&lt;=12,SUMIFS('Attrition Modeling'!$D:$D,'Attrition Modeling'!$B:$B,$E124,'Attrition Modeling'!$C:$C,AF$68),VLOOKUP(AF$69-$F124-1,$A$7:$C$161,2,FALSE)*VLOOKUP(AF$1,'Attrition Modeling'!$L$15:$N$27,IF(AF$2-$F57&lt;=24,2,3),FALSE))*(1+Projection!AH$16)*(1+IF(AF189&gt;0,'Attrition Modeling'!$N$9,0))),0))</f>
        <v>0</v>
      </c>
      <c r="AG124" s="799">
        <f>IF(AG$69=$F124+1,IF(Monthly!AC$4=TRUE,0,Monthly!AC$17),IF(AG$69&gt;$F124+1,AF124*(1-IF(AG$69-$F124&lt;=12,SUMIFS('Attrition Modeling'!$D:$D,'Attrition Modeling'!$B:$B,$E124,'Attrition Modeling'!$C:$C,AG$68),VLOOKUP(AG$69-$F124-1,$A$7:$C$161,2,FALSE)*VLOOKUP(AG$1,'Attrition Modeling'!$L$15:$N$27,IF(AG$2-$F57&lt;=24,2,3),FALSE))*(1+Projection!AI$16)*(1+IF(AG189&gt;0,'Attrition Modeling'!$N$9,0))),0))</f>
        <v>0</v>
      </c>
      <c r="AH124" s="799">
        <f>IF(AH$69=$F124+1,IF(Monthly!AD$4=TRUE,0,Monthly!AD$17),IF(AH$69&gt;$F124+1,AG124*(1-IF(AH$69-$F124&lt;=12,SUMIFS('Attrition Modeling'!$D:$D,'Attrition Modeling'!$B:$B,$E124,'Attrition Modeling'!$C:$C,AH$68),VLOOKUP(AH$69-$F124-1,$A$7:$C$161,2,FALSE)*VLOOKUP(AH$1,'Attrition Modeling'!$L$15:$N$27,IF(AH$2-$F57&lt;=24,2,3),FALSE))*(1+Projection!AJ$16)*(1+IF(AH189&gt;0,'Attrition Modeling'!$N$9,0))),0))</f>
        <v>0</v>
      </c>
      <c r="AI124" s="799">
        <f>IF(AI$69=$F124+1,IF(Monthly!AE$4=TRUE,0,Monthly!AE$17),IF(AI$69&gt;$F124+1,AH124*(1-IF(AI$69-$F124&lt;=12,SUMIFS('Attrition Modeling'!$D:$D,'Attrition Modeling'!$B:$B,$E124,'Attrition Modeling'!$C:$C,AI$68),VLOOKUP(AI$69-$F124-1,$A$7:$C$161,2,FALSE)*VLOOKUP(AI$1,'Attrition Modeling'!$L$15:$N$27,IF(AI$2-$F57&lt;=24,2,3),FALSE))*(1+Projection!AK$16)*(1+IF(AI189&gt;0,'Attrition Modeling'!$N$9,0))),0))</f>
        <v>0</v>
      </c>
      <c r="AJ124" s="799">
        <f>IF(AJ$69=$F124+1,IF(Monthly!AF$4=TRUE,0,Monthly!AF$17),IF(AJ$69&gt;$F124+1,AI124*(1-IF(AJ$69-$F124&lt;=12,SUMIFS('Attrition Modeling'!$D:$D,'Attrition Modeling'!$B:$B,$E124,'Attrition Modeling'!$C:$C,AJ$68),VLOOKUP(AJ$69-$F124-1,$A$7:$C$161,2,FALSE)*VLOOKUP(AJ$1,'Attrition Modeling'!$L$15:$N$27,IF(AJ$2-$F57&lt;=24,2,3),FALSE))*(1+Projection!AL$16)*(1+IF(AJ189&gt;0,'Attrition Modeling'!$N$9,0))),0))</f>
        <v>0</v>
      </c>
      <c r="AK124" s="799">
        <f>IF(AK$69=$F124+1,IF(Monthly!AG$4=TRUE,0,Monthly!AG$17),IF(AK$69&gt;$F124+1,AJ124*(1-IF(AK$69-$F124&lt;=12,SUMIFS('Attrition Modeling'!$D:$D,'Attrition Modeling'!$B:$B,$E124,'Attrition Modeling'!$C:$C,AK$68),VLOOKUP(AK$69-$F124-1,$A$7:$C$161,2,FALSE)*VLOOKUP(AK$1,'Attrition Modeling'!$L$15:$N$27,IF(AK$2-$F57&lt;=24,2,3),FALSE))*(1+Projection!AM$16)*(1+IF(AK189&gt;0,'Attrition Modeling'!$N$9,0))),0))</f>
        <v>0</v>
      </c>
      <c r="AL124" s="799">
        <f>IF(AL$69=$F124+1,IF(Monthly!AH$4=TRUE,0,Monthly!AH$17),IF(AL$69&gt;$F124+1,AK124*(1-IF(AL$69-$F124&lt;=12,SUMIFS('Attrition Modeling'!$D:$D,'Attrition Modeling'!$B:$B,$E124,'Attrition Modeling'!$C:$C,AL$68),VLOOKUP(AL$69-$F124-1,$A$7:$C$161,2,FALSE)*VLOOKUP(AL$1,'Attrition Modeling'!$L$15:$N$27,IF(AL$2-$F57&lt;=24,2,3),FALSE))*(1+Projection!AN$16)*(1+IF(AL189&gt;0,'Attrition Modeling'!$N$9,0))),0))</f>
        <v>0</v>
      </c>
      <c r="AM124" s="799">
        <f>IF(AM$69=$F124+1,IF(Monthly!AI$4=TRUE,0,Monthly!AI$17),IF(AM$69&gt;$F124+1,AL124*(1-IF(AM$69-$F124&lt;=12,SUMIFS('Attrition Modeling'!$D:$D,'Attrition Modeling'!$B:$B,$E124,'Attrition Modeling'!$C:$C,AM$68),VLOOKUP(AM$69-$F124-1,$A$7:$C$161,2,FALSE)*VLOOKUP(AM$1,'Attrition Modeling'!$L$15:$N$27,IF(AM$2-$F57&lt;=24,2,3),FALSE))*(1+Projection!AO$16)*(1+IF(AM189&gt;0,'Attrition Modeling'!$N$9,0))),0))</f>
        <v>0</v>
      </c>
      <c r="AN124" s="799">
        <f>IF(AN$69=$F124+1,IF(Monthly!AJ$4=TRUE,0,Monthly!AJ$17),IF(AN$69&gt;$F124+1,AM124*(1-IF(AN$69-$F124&lt;=12,SUMIFS('Attrition Modeling'!$D:$D,'Attrition Modeling'!$B:$B,$E124,'Attrition Modeling'!$C:$C,AN$68),VLOOKUP(AN$69-$F124-1,$A$7:$C$161,2,FALSE)*VLOOKUP(AN$1,'Attrition Modeling'!$L$15:$N$27,IF(AN$2-$F57&lt;=24,2,3),FALSE))*(1+Projection!AP$16)*(1+IF(AN189&gt;0,'Attrition Modeling'!$N$9,0))),0))</f>
        <v>0</v>
      </c>
      <c r="AO124" s="799">
        <f>IF(AO$69=$F124+1,IF(Monthly!AK$4=TRUE,0,Monthly!AK$17),IF(AO$69&gt;$F124+1,AN124*(1-IF(AO$69-$F124&lt;=12,SUMIFS('Attrition Modeling'!$D:$D,'Attrition Modeling'!$B:$B,$E124,'Attrition Modeling'!$C:$C,AO$68),VLOOKUP(AO$69-$F124-1,$A$7:$C$161,2,FALSE)*VLOOKUP(AO$1,'Attrition Modeling'!$L$15:$N$27,IF(AO$2-$F57&lt;=24,2,3),FALSE))*(1+Projection!AQ$16)*(1+IF(AO189&gt;0,'Attrition Modeling'!$N$9,0))),0))</f>
        <v>0</v>
      </c>
      <c r="AP124" s="799">
        <f>IF(AP$69=$F124+1,IF(Monthly!AL$4=TRUE,0,Monthly!AL$17),IF(AP$69&gt;$F124+1,AO124*(1-IF(AP$69-$F124&lt;=12,SUMIFS('Attrition Modeling'!$D:$D,'Attrition Modeling'!$B:$B,$E124,'Attrition Modeling'!$C:$C,AP$68),VLOOKUP(AP$69-$F124-1,$A$7:$C$161,2,FALSE)*VLOOKUP(AP$1,'Attrition Modeling'!$L$15:$N$27,IF(AP$2-$F57&lt;=24,2,3),FALSE))*(1+Projection!AR$16)*(1+IF(AP189&gt;0,'Attrition Modeling'!$N$9,0))),0))</f>
        <v>0</v>
      </c>
      <c r="AQ124" s="799">
        <f>IF(AQ$69=$F124+1,IF(Monthly!AM$4=TRUE,0,Monthly!AM$17),IF(AQ$69&gt;$F124+1,AP124*(1-IF(AQ$69-$F124&lt;=12,SUMIFS('Attrition Modeling'!$D:$D,'Attrition Modeling'!$B:$B,$E124,'Attrition Modeling'!$C:$C,AQ$68),VLOOKUP(AQ$69-$F124-1,$A$7:$C$161,2,FALSE)*VLOOKUP(AQ$1,'Attrition Modeling'!$L$15:$N$27,IF(AQ$2-$F57&lt;=24,2,3),FALSE))*(1+Projection!AS$16)*(1+IF(AQ189&gt;0,'Attrition Modeling'!$N$9,0))),0))</f>
        <v>0</v>
      </c>
      <c r="AR124" s="799">
        <f>IF(AR$69=$F124+1,IF(Monthly!AN$4=TRUE,0,Monthly!AN$17),IF(AR$69&gt;$F124+1,AQ124*(1-IF(AR$69-$F124&lt;=12,SUMIFS('Attrition Modeling'!$D:$D,'Attrition Modeling'!$B:$B,$E124,'Attrition Modeling'!$C:$C,AR$68),VLOOKUP(AR$69-$F124-1,$A$7:$C$161,2,FALSE)*VLOOKUP(AR$1,'Attrition Modeling'!$L$15:$N$27,IF(AR$2-$F57&lt;=24,2,3),FALSE))*(1+Projection!AT$16)*(1+IF(AR189&gt;0,'Attrition Modeling'!$N$9,0))),0))</f>
        <v>0</v>
      </c>
      <c r="AS124" s="799">
        <f>IF(AS$69=$F124+1,IF(Monthly!AO$4=TRUE,0,Monthly!AO$17),IF(AS$69&gt;$F124+1,AR124*(1-IF(AS$69-$F124&lt;=12,SUMIFS('Attrition Modeling'!$D:$D,'Attrition Modeling'!$B:$B,$E124,'Attrition Modeling'!$C:$C,AS$68),VLOOKUP(AS$69-$F124-1,$A$7:$C$161,2,FALSE)*VLOOKUP(AS$1,'Attrition Modeling'!$L$15:$N$27,IF(AS$2-$F57&lt;=24,2,3),FALSE))*(1+Projection!AU$16)*(1+IF(AS189&gt;0,'Attrition Modeling'!$N$9,0))),0))</f>
        <v>0</v>
      </c>
      <c r="AT124" s="799">
        <f>IF(AT$69=$F124+1,IF(Monthly!AP$4=TRUE,0,Monthly!AP$17),IF(AT$69&gt;$F124+1,AS124*(1-IF(AT$69-$F124&lt;=12,SUMIFS('Attrition Modeling'!$D:$D,'Attrition Modeling'!$B:$B,$E124,'Attrition Modeling'!$C:$C,AT$68),VLOOKUP(AT$69-$F124-1,$A$7:$C$161,2,FALSE)*VLOOKUP(AT$1,'Attrition Modeling'!$L$15:$N$27,IF(AT$2-$F57&lt;=24,2,3),FALSE))*(1+Projection!AV$16)*(1+IF(AT189&gt;0,'Attrition Modeling'!$N$9,0))),0))</f>
        <v>0</v>
      </c>
      <c r="AU124" s="799">
        <f>IF(AU$69=$F124+1,IF(Monthly!AQ$4=TRUE,0,Monthly!AQ$17),IF(AU$69&gt;$F124+1,AT124*(1-IF(AU$69-$F124&lt;=12,SUMIFS('Attrition Modeling'!$D:$D,'Attrition Modeling'!$B:$B,$E124,'Attrition Modeling'!$C:$C,AU$68),VLOOKUP(AU$69-$F124-1,$A$7:$C$161,2,FALSE)*VLOOKUP(AU$1,'Attrition Modeling'!$L$15:$N$27,IF(AU$2-$F57&lt;=24,2,3),FALSE))*(1+Projection!AW$16)*(1+IF(AU189&gt;0,'Attrition Modeling'!$N$9,0))),0))</f>
        <v>0</v>
      </c>
      <c r="AV124" s="799">
        <f>IF(AV$69=$F124+1,IF(Monthly!AR$4=TRUE,0,Monthly!AR$17),IF(AV$69&gt;$F124+1,AU124*(1-IF(AV$69-$F124&lt;=12,SUMIFS('Attrition Modeling'!$D:$D,'Attrition Modeling'!$B:$B,$E124,'Attrition Modeling'!$C:$C,AV$68),VLOOKUP(AV$69-$F124-1,$A$7:$C$161,2,FALSE)*VLOOKUP(AV$1,'Attrition Modeling'!$L$15:$N$27,IF(AV$2-$F57&lt;=24,2,3),FALSE))*(1+Projection!AX$16)*(1+IF(AV189&gt;0,'Attrition Modeling'!$N$9,0))),0))</f>
        <v>0</v>
      </c>
      <c r="AW124" s="799">
        <f>IF(AW$69=$F124+1,IF(Monthly!AS$4=TRUE,0,Monthly!AS$17),IF(AW$69&gt;$F124+1,AV124*(1-IF(AW$69-$F124&lt;=12,SUMIFS('Attrition Modeling'!$D:$D,'Attrition Modeling'!$B:$B,$E124,'Attrition Modeling'!$C:$C,AW$68),VLOOKUP(AW$69-$F124-1,$A$7:$C$161,2,FALSE)*VLOOKUP(AW$1,'Attrition Modeling'!$L$15:$N$27,IF(AW$2-$F57&lt;=24,2,3),FALSE))*(1+Projection!AY$16)*(1+IF(AW189&gt;0,'Attrition Modeling'!$N$9,0))),0))</f>
        <v>0</v>
      </c>
      <c r="AX124" s="799">
        <f>IF(AX$69=$F124+1,IF(Monthly!AT$4=TRUE,0,Monthly!AT$17),IF(AX$69&gt;$F124+1,AW124*(1-IF(AX$69-$F124&lt;=12,SUMIFS('Attrition Modeling'!$D:$D,'Attrition Modeling'!$B:$B,$E124,'Attrition Modeling'!$C:$C,AX$68),VLOOKUP(AX$69-$F124-1,$A$7:$C$161,2,FALSE)*VLOOKUP(AX$1,'Attrition Modeling'!$L$15:$N$27,IF(AX$2-$F57&lt;=24,2,3),FALSE))*(1+Projection!AZ$16)*(1+IF(AX189&gt;0,'Attrition Modeling'!$N$9,0))),0))</f>
        <v>0</v>
      </c>
      <c r="AY124" s="799">
        <f>IF(AY$69=$F124+1,IF(Monthly!AU$4=TRUE,0,Monthly!AU$17),IF(AY$69&gt;$F124+1,AX124*(1-IF(AY$69-$F124&lt;=12,SUMIFS('Attrition Modeling'!$D:$D,'Attrition Modeling'!$B:$B,$E124,'Attrition Modeling'!$C:$C,AY$68),VLOOKUP(AY$69-$F124-1,$A$7:$C$161,2,FALSE)*VLOOKUP(AY$1,'Attrition Modeling'!$L$15:$N$27,IF(AY$2-$F57&lt;=24,2,3),FALSE))*(1+Projection!BA$16)*(1+IF(AY189&gt;0,'Attrition Modeling'!$N$9,0))),0))</f>
        <v>0</v>
      </c>
      <c r="AZ124" s="799">
        <f>IF(AZ$69=$F124+1,IF(Monthly!AV$4=TRUE,0,Monthly!AV$17),IF(AZ$69&gt;$F124+1,AY124*(1-IF(AZ$69-$F124&lt;=12,SUMIFS('Attrition Modeling'!$D:$D,'Attrition Modeling'!$B:$B,$E124,'Attrition Modeling'!$C:$C,AZ$68),VLOOKUP(AZ$69-$F124-1,$A$7:$C$161,2,FALSE)*VLOOKUP(AZ$1,'Attrition Modeling'!$L$15:$N$27,IF(AZ$2-$F57&lt;=24,2,3),FALSE))*(1+Projection!BB$16)*(1+IF(AZ189&gt;0,'Attrition Modeling'!$N$9,0))),0))</f>
        <v>0</v>
      </c>
      <c r="BA124" s="799">
        <f>IF(BA$69=$F124+1,IF(Monthly!AW$4=TRUE,0,Monthly!AW$17),IF(BA$69&gt;$F124+1,AZ124*(1-IF(BA$69-$F124&lt;=12,SUMIFS('Attrition Modeling'!$D:$D,'Attrition Modeling'!$B:$B,$E124,'Attrition Modeling'!$C:$C,BA$68),VLOOKUP(BA$69-$F124-1,$A$7:$C$161,2,FALSE)*VLOOKUP(BA$1,'Attrition Modeling'!$L$15:$N$27,IF(BA$2-$F57&lt;=24,2,3),FALSE))*(1+Projection!BC$16)*(1+IF(BA189&gt;0,'Attrition Modeling'!$N$9,0))),0))</f>
        <v>0</v>
      </c>
      <c r="BB124" s="799">
        <f>IF(BB$69=$F124+1,IF(Monthly!AX$4=TRUE,0,Monthly!AX$17),IF(BB$69&gt;$F124+1,BA124*(1-IF(BB$69-$F124&lt;=12,SUMIFS('Attrition Modeling'!$D:$D,'Attrition Modeling'!$B:$B,$E124,'Attrition Modeling'!$C:$C,BB$68),VLOOKUP(BB$69-$F124-1,$A$7:$C$161,2,FALSE)*VLOOKUP(BB$1,'Attrition Modeling'!$L$15:$N$27,IF(BB$2-$F57&lt;=24,2,3),FALSE))*(1+Projection!BD$16)*(1+IF(BB189&gt;0,'Attrition Modeling'!$N$9,0))),0))</f>
        <v>0</v>
      </c>
      <c r="BC124" s="799">
        <f>IF(BC$69=$F124+1,IF(Monthly!AY$4=TRUE,0,Monthly!AY$17),IF(BC$69&gt;$F124+1,BB124*(1-IF(BC$69-$F124&lt;=12,SUMIFS('Attrition Modeling'!$D:$D,'Attrition Modeling'!$B:$B,$E124,'Attrition Modeling'!$C:$C,BC$68),VLOOKUP(BC$69-$F124-1,$A$7:$C$161,2,FALSE)*VLOOKUP(BC$1,'Attrition Modeling'!$L$15:$N$27,IF(BC$2-$F57&lt;=24,2,3),FALSE))*(1+Projection!BE$16)*(1+IF(BC189&gt;0,'Attrition Modeling'!$N$9,0))),0))</f>
        <v>0</v>
      </c>
      <c r="BD124" s="799">
        <f>IF(BD$69=$F124+1,IF(Monthly!AZ$4=TRUE,0,Monthly!AZ$17),IF(BD$69&gt;$F124+1,BC124*(1-IF(BD$69-$F124&lt;=12,SUMIFS('Attrition Modeling'!$D:$D,'Attrition Modeling'!$B:$B,$E124,'Attrition Modeling'!$C:$C,BD$68),VLOOKUP(BD$69-$F124-1,$A$7:$C$161,2,FALSE)*VLOOKUP(BD$1,'Attrition Modeling'!$L$15:$N$27,IF(BD$2-$F57&lt;=24,2,3),FALSE))*(1+Projection!BF$16)*(1+IF(BD189&gt;0,'Attrition Modeling'!$N$9,0))),0))</f>
        <v>0</v>
      </c>
      <c r="BE124" s="799">
        <f>IF(BE$69=$F124+1,IF(Monthly!BA$4=TRUE,0,Monthly!BA$17),IF(BE$69&gt;$F124+1,BD124*(1-IF(BE$69-$F124&lt;=12,SUMIFS('Attrition Modeling'!$D:$D,'Attrition Modeling'!$B:$B,$E124,'Attrition Modeling'!$C:$C,BE$68),VLOOKUP(BE$69-$F124-1,$A$7:$C$161,2,FALSE)*VLOOKUP(BE$1,'Attrition Modeling'!$L$15:$N$27,IF(BE$2-$F57&lt;=24,2,3),FALSE))*(1+Projection!BG$16)*(1+IF(BE189&gt;0,'Attrition Modeling'!$N$9,0))),0))</f>
        <v>0</v>
      </c>
      <c r="BF124" s="799">
        <f>IF(BF$69=$F124+1,IF(Monthly!BB$4=TRUE,0,Monthly!BB$17),IF(BF$69&gt;$F124+1,BE124*(1-IF(BF$69-$F124&lt;=12,SUMIFS('Attrition Modeling'!$D:$D,'Attrition Modeling'!$B:$B,$E124,'Attrition Modeling'!$C:$C,BF$68),VLOOKUP(BF$69-$F124-1,$A$7:$C$161,2,FALSE)*VLOOKUP(BF$1,'Attrition Modeling'!$L$15:$N$27,IF(BF$2-$F57&lt;=24,2,3),FALSE))*(1+Projection!BH$16)*(1+IF(BF189&gt;0,'Attrition Modeling'!$N$9,0))),0))</f>
        <v>0</v>
      </c>
      <c r="BG124" s="799">
        <f>IF(BG$69=$F124+1,IF(Monthly!BC$4=TRUE,0,Monthly!BC$17),IF(BG$69&gt;$F124+1,BF124*(1-IF(BG$69-$F124&lt;=12,SUMIFS('Attrition Modeling'!$D:$D,'Attrition Modeling'!$B:$B,$E124,'Attrition Modeling'!$C:$C,BG$68),VLOOKUP(BG$69-$F124-1,$A$7:$C$161,2,FALSE)*VLOOKUP(BG$1,'Attrition Modeling'!$L$15:$N$27,IF(BG$2-$F57&lt;=24,2,3),FALSE))*(1+Projection!BI$16)*(1+IF(BG189&gt;0,'Attrition Modeling'!$N$9,0))),0))</f>
        <v>0</v>
      </c>
      <c r="BH124" s="799">
        <f>IF(BH$69=$F124+1,IF(Monthly!BD$4=TRUE,0,Monthly!BD$17),IF(BH$69&gt;$F124+1,BG124*(1-IF(BH$69-$F124&lt;=12,SUMIFS('Attrition Modeling'!$D:$D,'Attrition Modeling'!$B:$B,$E124,'Attrition Modeling'!$C:$C,BH$68),VLOOKUP(BH$69-$F124-1,$A$7:$C$161,2,FALSE)*VLOOKUP(BH$1,'Attrition Modeling'!$L$15:$N$27,IF(BH$2-$F57&lt;=24,2,3),FALSE))*(1+Projection!BJ$16)*(1+IF(BH189&gt;0,'Attrition Modeling'!$N$9,0))),0))</f>
        <v>0</v>
      </c>
      <c r="BI124" s="799">
        <f>IF(BI$69=$F124+1,IF(Monthly!BE$4=TRUE,0,Monthly!BE$17),IF(BI$69&gt;$F124+1,BH124*(1-IF(BI$69-$F124&lt;=12,SUMIFS('Attrition Modeling'!$D:$D,'Attrition Modeling'!$B:$B,$E124,'Attrition Modeling'!$C:$C,BI$68),VLOOKUP(BI$69-$F124-1,$A$7:$C$161,2,FALSE)*VLOOKUP(BI$1,'Attrition Modeling'!$L$15:$N$27,IF(BI$2-$F57&lt;=24,2,3),FALSE))*(1+Projection!BK$16)*(1+IF(BI189&gt;0,'Attrition Modeling'!$N$9,0))),0))</f>
        <v>0</v>
      </c>
      <c r="BJ124" s="799">
        <f>IF(BJ$69=$F124+1,IF(Monthly!BF$4=TRUE,0,Monthly!BF$17),IF(BJ$69&gt;$F124+1,BI124*(1-IF(BJ$69-$F124&lt;=12,SUMIFS('Attrition Modeling'!$D:$D,'Attrition Modeling'!$B:$B,$E124,'Attrition Modeling'!$C:$C,BJ$68),VLOOKUP(BJ$69-$F124-1,$A$7:$C$161,2,FALSE)*VLOOKUP(BJ$1,'Attrition Modeling'!$L$15:$N$27,IF(BJ$2-$F57&lt;=24,2,3),FALSE))*(1+Projection!BL$16)*(1+IF(BJ189&gt;0,'Attrition Modeling'!$N$9,0))),0))</f>
        <v>5926.3270907434926</v>
      </c>
      <c r="BK124" s="799">
        <f>IF(BK$69=$F124+1,IF(Monthly!BG$4=TRUE,0,Monthly!BG$17),IF(BK$69&gt;$F124+1,BJ124*(1-IF(BK$69-$F124&lt;=12,SUMIFS('Attrition Modeling'!$D:$D,'Attrition Modeling'!$B:$B,$E124,'Attrition Modeling'!$C:$C,BK$68),VLOOKUP(BK$69-$F124-1,$A$7:$C$161,2,FALSE)*VLOOKUP(BK$1,'Attrition Modeling'!$L$15:$N$27,IF(BK$2-$F57&lt;=24,2,3),FALSE))*(1+Projection!BM$16)*(1+IF(BK189&gt;0,'Attrition Modeling'!$N$9,0))),0))</f>
        <v>5218.0385526970304</v>
      </c>
      <c r="BL124" s="799">
        <f>IF(BL$69=$F124+1,IF(Monthly!BH$4=TRUE,0,Monthly!BH$17),IF(BL$69&gt;$F124+1,BK124*(1-IF(BL$69-$F124&lt;=12,SUMIFS('Attrition Modeling'!$D:$D,'Attrition Modeling'!$B:$B,$E124,'Attrition Modeling'!$C:$C,BL$68),VLOOKUP(BL$69-$F124-1,$A$7:$C$161,2,FALSE)*VLOOKUP(BL$1,'Attrition Modeling'!$L$15:$N$27,IF(BL$2-$F57&lt;=24,2,3),FALSE))*(1+Projection!BN$16)*(1+IF(BL189&gt;0,'Attrition Modeling'!$N$9,0))),0))</f>
        <v>4640.2404475221911</v>
      </c>
      <c r="BM124" s="799">
        <f>IF(BM$69=$F124+1,IF(Monthly!BI$4=TRUE,0,Monthly!BI$17),IF(BM$69&gt;$F124+1,BL124*(1-IF(BM$69-$F124&lt;=12,SUMIFS('Attrition Modeling'!$D:$D,'Attrition Modeling'!$B:$B,$E124,'Attrition Modeling'!$C:$C,BM$68),VLOOKUP(BM$69-$F124-1,$A$7:$C$161,2,FALSE)*VLOOKUP(BM$1,'Attrition Modeling'!$L$15:$N$27,IF(BM$2-$F57&lt;=24,2,3),FALSE))*(1+Projection!BO$16)*(1+IF(BM189&gt;0,'Attrition Modeling'!$N$9,0))),0))</f>
        <v>4207.9926301473906</v>
      </c>
      <c r="BN124" s="799">
        <f>IF(BN$69=$F124+1,IF(Monthly!BJ$4=TRUE,0,Monthly!BJ$17),IF(BN$69&gt;$F124+1,BM124*(1-IF(BN$69-$F124&lt;=12,SUMIFS('Attrition Modeling'!$D:$D,'Attrition Modeling'!$B:$B,$E124,'Attrition Modeling'!$C:$C,BN$68),VLOOKUP(BN$69-$F124-1,$A$7:$C$161,2,FALSE)*VLOOKUP(BN$1,'Attrition Modeling'!$L$15:$N$27,IF(BN$2-$F57&lt;=24,2,3),FALSE))*(1+Projection!BP$16)*(1+IF(BN189&gt;0,'Attrition Modeling'!$N$9,0))),0))</f>
        <v>3838.7562993856463</v>
      </c>
      <c r="BO124" s="799">
        <f>IF(BO$69=$F124+1,IF(Monthly!BK$4=TRUE,0,Monthly!BK$17),IF(BO$69&gt;$F124+1,BN124*(1-IF(BO$69-$F124&lt;=12,SUMIFS('Attrition Modeling'!$D:$D,'Attrition Modeling'!$B:$B,$E124,'Attrition Modeling'!$C:$C,BO$68),VLOOKUP(BO$69-$F124-1,$A$7:$C$161,2,FALSE)*VLOOKUP(BO$1,'Attrition Modeling'!$L$15:$N$27,IF(BO$2-$F57&lt;=24,2,3),FALSE))*(1+Projection!BV$16)*(1+IF(BO189&gt;0,'Attrition Modeling'!$N$9,0))),0))</f>
        <v>3434.8617242510627</v>
      </c>
      <c r="BP124" s="799">
        <f>IF(BP$69=$F124+1,IF(Monthly!BL$4=TRUE,0,Monthly!BL$17),IF(BP$69&gt;$F124+1,BO124*(1-IF(BP$69-$F124&lt;=12,SUMIFS('Attrition Modeling'!$D:$D,'Attrition Modeling'!$B:$B,$E124,'Attrition Modeling'!$C:$C,BP$68),VLOOKUP(BP$69-$F124-1,$A$7:$C$161,2,FALSE)*VLOOKUP(BP$1,'Attrition Modeling'!$L$15:$N$27,IF(BP$2-$F57&lt;=24,2,3),FALSE))*(1+Projection!BW$16)*(1+IF(BP189&gt;0,'Attrition Modeling'!$N$9,0))),0))</f>
        <v>3198.4142585648437</v>
      </c>
      <c r="BQ124" s="799">
        <f>IF(BQ$69=$F124+1,IF(Monthly!BM$4=TRUE,0,Monthly!BM$17),IF(BQ$69&gt;$F124+1,BP124*(1-IF(BQ$69-$F124&lt;=12,SUMIFS('Attrition Modeling'!$D:$D,'Attrition Modeling'!$B:$B,$E124,'Attrition Modeling'!$C:$C,BQ$68),VLOOKUP(BQ$69-$F124-1,$A$7:$C$161,2,FALSE)*VLOOKUP(BQ$1,'Attrition Modeling'!$L$15:$N$27,IF(BQ$2-$F57&lt;=24,2,3),FALSE))*(1+Projection!BX$16)*(1+IF(BQ189&gt;0,'Attrition Modeling'!$N$9,0))),0))</f>
        <v>3000.8670164891337</v>
      </c>
      <c r="BR124" s="799">
        <f>IF(BR$69=$F124+1,IF(Monthly!BN$4=TRUE,0,Monthly!BN$17),IF(BR$69&gt;$F124+1,BQ124*(1-IF(BR$69-$F124&lt;=12,SUMIFS('Attrition Modeling'!$D:$D,'Attrition Modeling'!$B:$B,$E124,'Attrition Modeling'!$C:$C,BR$68),VLOOKUP(BR$69-$F124-1,$A$7:$C$161,2,FALSE)*VLOOKUP(BR$1,'Attrition Modeling'!$L$15:$N$27,IF(BR$2-$F57&lt;=24,2,3),FALSE))*(1+Projection!BY$16)*(1+IF(BR189&gt;0,'Attrition Modeling'!$N$9,0))),0))</f>
        <v>2807.1077251678771</v>
      </c>
      <c r="BS124" s="799">
        <f>IF(BS$69=$F124+1,IF(Monthly!BO$4=TRUE,0,Monthly!BO$17),IF(BS$69&gt;$F124+1,BR124*(1-IF(BS$69-$F124&lt;=12,SUMIFS('Attrition Modeling'!$D:$D,'Attrition Modeling'!$B:$B,$E124,'Attrition Modeling'!$C:$C,BS$68),VLOOKUP(BS$69-$F124-1,$A$7:$C$161,2,FALSE)*VLOOKUP(BS$1,'Attrition Modeling'!$L$15:$N$27,IF(BS$2-$F57&lt;=24,2,3),FALSE))*(1+Projection!BZ$16)*(1+IF(BS189&gt;0,'Attrition Modeling'!$N$9,0))),0))</f>
        <v>2651.9747132854186</v>
      </c>
      <c r="BT124" s="799">
        <f>IF(BT$69=$F124+1,IF(Monthly!#REF!=TRUE,0,Monthly!#REF!),IF(BT$69&gt;$F124+1,BS124*(1-IF(BT$69-$F124&lt;=12,SUMIFS('Attrition Modeling'!$D:$D,'Attrition Modeling'!$B:$B,$E124,'Attrition Modeling'!$C:$C,BT$68),VLOOKUP(BT$69-$F124-1,$A$7:$C$161,2,FALSE)*VLOOKUP(BT$1,'Attrition Modeling'!$L$15:$N$27,IF(BT$2-$F57&lt;=24,2,3),FALSE))*(1+Projection!CA$16)*(1+IF(BT189&gt;0,'Attrition Modeling'!$N$9,0))),0))</f>
        <v>2500.0119477781632</v>
      </c>
      <c r="BU124" s="799">
        <f>IF(BU$69=$F124+1,IF(Monthly!#REF!=TRUE,0,Monthly!#REF!),IF(BU$69&gt;$F124+1,BT124*(1-IF(BU$69-$F124&lt;=12,SUMIFS('Attrition Modeling'!$D:$D,'Attrition Modeling'!$B:$B,$E124,'Attrition Modeling'!$C:$C,BU$68),VLOOKUP(BU$69-$F124-1,$A$7:$C$161,2,FALSE)*VLOOKUP(BU$1,'Attrition Modeling'!$L$15:$N$27,IF(BU$2-$F57&lt;=24,2,3),FALSE))*(1+Projection!CB$16)*(1+IF(BU189&gt;0,'Attrition Modeling'!$N$9,0))),0))</f>
        <v>2428.1632794070238</v>
      </c>
    </row>
    <row r="125" spans="1:73" ht="14.25" customHeight="1" x14ac:dyDescent="0.2">
      <c r="A125" s="9">
        <v>118</v>
      </c>
      <c r="B125" s="25">
        <f>MAX('Attrition Modeling'!H122,$C$3)*(1-Summary!$C$20)</f>
        <v>0.02</v>
      </c>
      <c r="C125" s="24" t="e">
        <f t="shared" si="4"/>
        <v>#DIV/0!</v>
      </c>
      <c r="E125" s="11">
        <f t="shared" si="9"/>
        <v>7</v>
      </c>
      <c r="F125" s="11">
        <f t="shared" si="10"/>
        <v>55</v>
      </c>
      <c r="G125" s="799"/>
      <c r="H125" s="799">
        <f>IF(H$69=$F125+1,IF(Monthly!D$4=TRUE,0,Monthly!D$17),IF(H$69&gt;$F125+1,G125*(1-IF(H$69-$F125&lt;=12,SUMIFS('Attrition Modeling'!$D:$D,'Attrition Modeling'!$B:$B,$E125,'Attrition Modeling'!$C:$C,H$68),VLOOKUP(H$69-$F125-1,$A$7:$C$161,2,FALSE)*VLOOKUP(H$1,'Attrition Modeling'!$L$15:$N$27,IF(H$2-$F58&lt;=24,2,3),FALSE))*(1+Projection!J$16)*(1+IF(H190&gt;0,'Attrition Modeling'!$N$9,0))),0))</f>
        <v>0</v>
      </c>
      <c r="I125" s="799">
        <f>IF(I$69=$F125+1,IF(Monthly!E$4=TRUE,0,Monthly!E$17),IF(I$69&gt;$F125+1,H125*(1-IF(I$69-$F125&lt;=12,SUMIFS('Attrition Modeling'!$D:$D,'Attrition Modeling'!$B:$B,$E125,'Attrition Modeling'!$C:$C,I$68),VLOOKUP(I$69-$F125-1,$A$7:$C$161,2,FALSE)*VLOOKUP(I$1,'Attrition Modeling'!$L$15:$N$27,IF(I$2-$F58&lt;=24,2,3),FALSE))*(1+Projection!K$16)*(1+IF(I190&gt;0,'Attrition Modeling'!$N$9,0))),0))</f>
        <v>0</v>
      </c>
      <c r="J125" s="799">
        <f>IF(J$69=$F125+1,IF(Monthly!F$4=TRUE,0,Monthly!F$17),IF(J$69&gt;$F125+1,I125*(1-IF(J$69-$F125&lt;=12,SUMIFS('Attrition Modeling'!$D:$D,'Attrition Modeling'!$B:$B,$E125,'Attrition Modeling'!$C:$C,J$68),VLOOKUP(J$69-$F125-1,$A$7:$C$161,2,FALSE)*VLOOKUP(J$1,'Attrition Modeling'!$L$15:$N$27,IF(J$2-$F58&lt;=24,2,3),FALSE))*(1+Projection!L$16)*(1+IF(J190&gt;0,'Attrition Modeling'!$N$9,0))),0))</f>
        <v>0</v>
      </c>
      <c r="K125" s="799">
        <f>IF(K$69=$F125+1,IF(Monthly!G$4=TRUE,0,Monthly!G$17),IF(K$69&gt;$F125+1,J125*(1-IF(K$69-$F125&lt;=12,SUMIFS('Attrition Modeling'!$D:$D,'Attrition Modeling'!$B:$B,$E125,'Attrition Modeling'!$C:$C,K$68),VLOOKUP(K$69-$F125-1,$A$7:$C$161,2,FALSE)*VLOOKUP(K$1,'Attrition Modeling'!$L$15:$N$27,IF(K$2-$F58&lt;=24,2,3),FALSE))*(1+Projection!M$16)*(1+IF(K190&gt;0,'Attrition Modeling'!$N$9,0))),0))</f>
        <v>0</v>
      </c>
      <c r="L125" s="799">
        <f>IF(L$69=$F125+1,IF(Monthly!H$4=TRUE,0,Monthly!H$17),IF(L$69&gt;$F125+1,K125*(1-IF(L$69-$F125&lt;=12,SUMIFS('Attrition Modeling'!$D:$D,'Attrition Modeling'!$B:$B,$E125,'Attrition Modeling'!$C:$C,L$68),VLOOKUP(L$69-$F125-1,$A$7:$C$161,2,FALSE)*VLOOKUP(L$1,'Attrition Modeling'!$L$15:$N$27,IF(L$2-$F58&lt;=24,2,3),FALSE))*(1+Projection!N$16)*(1+IF(L190&gt;0,'Attrition Modeling'!$N$9,0))),0))</f>
        <v>0</v>
      </c>
      <c r="M125" s="799">
        <f>IF(M$69=$F125+1,IF(Monthly!I$4=TRUE,0,Monthly!I$17),IF(M$69&gt;$F125+1,L125*(1-IF(M$69-$F125&lt;=12,SUMIFS('Attrition Modeling'!$D:$D,'Attrition Modeling'!$B:$B,$E125,'Attrition Modeling'!$C:$C,M$68),VLOOKUP(M$69-$F125-1,$A$7:$C$161,2,FALSE)*VLOOKUP(M$1,'Attrition Modeling'!$L$15:$N$27,IF(M$2-$F58&lt;=24,2,3),FALSE))*(1+Projection!O$16)*(1+IF(M190&gt;0,'Attrition Modeling'!$N$9,0))),0))</f>
        <v>0</v>
      </c>
      <c r="N125" s="799">
        <f>IF(N$69=$F125+1,IF(Monthly!J$4=TRUE,0,Monthly!J$17),IF(N$69&gt;$F125+1,M125*(1-IF(N$69-$F125&lt;=12,SUMIFS('Attrition Modeling'!$D:$D,'Attrition Modeling'!$B:$B,$E125,'Attrition Modeling'!$C:$C,N$68),VLOOKUP(N$69-$F125-1,$A$7:$C$161,2,FALSE)*VLOOKUP(N$1,'Attrition Modeling'!$L$15:$N$27,IF(N$2-$F58&lt;=24,2,3),FALSE))*(1+Projection!P$16)*(1+IF(N190&gt;0,'Attrition Modeling'!$N$9,0))),0))</f>
        <v>0</v>
      </c>
      <c r="O125" s="799">
        <f>IF(O$69=$F125+1,IF(Monthly!K$4=TRUE,0,Monthly!K$17),IF(O$69&gt;$F125+1,N125*(1-IF(O$69-$F125&lt;=12,SUMIFS('Attrition Modeling'!$D:$D,'Attrition Modeling'!$B:$B,$E125,'Attrition Modeling'!$C:$C,O$68),VLOOKUP(O$69-$F125-1,$A$7:$C$161,2,FALSE)*VLOOKUP(O$1,'Attrition Modeling'!$L$15:$N$27,IF(O$2-$F58&lt;=24,2,3),FALSE))*(1+Projection!Q$16)*(1+IF(O190&gt;0,'Attrition Modeling'!$N$9,0))),0))</f>
        <v>0</v>
      </c>
      <c r="P125" s="799">
        <f>IF(P$69=$F125+1,IF(Monthly!L$4=TRUE,0,Monthly!L$17),IF(P$69&gt;$F125+1,O125*(1-IF(P$69-$F125&lt;=12,SUMIFS('Attrition Modeling'!$D:$D,'Attrition Modeling'!$B:$B,$E125,'Attrition Modeling'!$C:$C,P$68),VLOOKUP(P$69-$F125-1,$A$7:$C$161,2,FALSE)*VLOOKUP(P$1,'Attrition Modeling'!$L$15:$N$27,IF(P$2-$F58&lt;=24,2,3),FALSE))*(1+Projection!R$16)*(1+IF(P190&gt;0,'Attrition Modeling'!$N$9,0))),0))</f>
        <v>0</v>
      </c>
      <c r="Q125" s="799">
        <f>IF(Q$69=$F125+1,IF(Monthly!M$4=TRUE,0,Monthly!M$17),IF(Q$69&gt;$F125+1,P125*(1-IF(Q$69-$F125&lt;=12,SUMIFS('Attrition Modeling'!$D:$D,'Attrition Modeling'!$B:$B,$E125,'Attrition Modeling'!$C:$C,Q$68),VLOOKUP(Q$69-$F125-1,$A$7:$C$161,2,FALSE)*VLOOKUP(Q$1,'Attrition Modeling'!$L$15:$N$27,IF(Q$2-$F58&lt;=24,2,3),FALSE))*(1+Projection!S$16)*(1+IF(Q190&gt;0,'Attrition Modeling'!$N$9,0))),0))</f>
        <v>0</v>
      </c>
      <c r="R125" s="799">
        <f>IF(R$69=$F125+1,IF(Monthly!N$4=TRUE,0,Monthly!N$17),IF(R$69&gt;$F125+1,Q125*(1-IF(R$69-$F125&lt;=12,SUMIFS('Attrition Modeling'!$D:$D,'Attrition Modeling'!$B:$B,$E125,'Attrition Modeling'!$C:$C,R$68),VLOOKUP(R$69-$F125-1,$A$7:$C$161,2,FALSE)*VLOOKUP(R$1,'Attrition Modeling'!$L$15:$N$27,IF(R$2-$F58&lt;=24,2,3),FALSE))*(1+Projection!T$16)*(1+IF(R190&gt;0,'Attrition Modeling'!$N$9,0))),0))</f>
        <v>0</v>
      </c>
      <c r="S125" s="799">
        <f>IF(S$69=$F125+1,IF(Monthly!O$4=TRUE,0,Monthly!O$17),IF(S$69&gt;$F125+1,R125*(1-IF(S$69-$F125&lt;=12,SUMIFS('Attrition Modeling'!$D:$D,'Attrition Modeling'!$B:$B,$E125,'Attrition Modeling'!$C:$C,S$68),VLOOKUP(S$69-$F125-1,$A$7:$C$161,2,FALSE)*VLOOKUP(S$1,'Attrition Modeling'!$L$15:$N$27,IF(S$2-$F58&lt;=24,2,3),FALSE))*(1+Projection!U$16)*(1+IF(S190&gt;0,'Attrition Modeling'!$N$9,0))),0))</f>
        <v>0</v>
      </c>
      <c r="T125" s="799">
        <f>IF(T$69=$F125+1,IF(Monthly!P$4=TRUE,0,Monthly!P$17),IF(T$69&gt;$F125+1,S125*(1-IF(T$69-$F125&lt;=12,SUMIFS('Attrition Modeling'!$D:$D,'Attrition Modeling'!$B:$B,$E125,'Attrition Modeling'!$C:$C,T$68),VLOOKUP(T$69-$F125-1,$A$7:$C$161,2,FALSE)*VLOOKUP(T$1,'Attrition Modeling'!$L$15:$N$27,IF(T$2-$F58&lt;=24,2,3),FALSE))*(1+Projection!V$16)*(1+IF(T190&gt;0,'Attrition Modeling'!$N$9,0))),0))</f>
        <v>0</v>
      </c>
      <c r="U125" s="799">
        <f>IF(U$69=$F125+1,IF(Monthly!Q$4=TRUE,0,Monthly!Q$17),IF(U$69&gt;$F125+1,T125*(1-IF(U$69-$F125&lt;=12,SUMIFS('Attrition Modeling'!$D:$D,'Attrition Modeling'!$B:$B,$E125,'Attrition Modeling'!$C:$C,U$68),VLOOKUP(U$69-$F125-1,$A$7:$C$161,2,FALSE)*VLOOKUP(U$1,'Attrition Modeling'!$L$15:$N$27,IF(U$2-$F58&lt;=24,2,3),FALSE))*(1+Projection!W$16)*(1+IF(U190&gt;0,'Attrition Modeling'!$N$9,0))),0))</f>
        <v>0</v>
      </c>
      <c r="V125" s="799">
        <f>IF(V$69=$F125+1,IF(Monthly!R$4=TRUE,0,Monthly!R$17),IF(V$69&gt;$F125+1,U125*(1-IF(V$69-$F125&lt;=12,SUMIFS('Attrition Modeling'!$D:$D,'Attrition Modeling'!$B:$B,$E125,'Attrition Modeling'!$C:$C,V$68),VLOOKUP(V$69-$F125-1,$A$7:$C$161,2,FALSE)*VLOOKUP(V$1,'Attrition Modeling'!$L$15:$N$27,IF(V$2-$F58&lt;=24,2,3),FALSE))*(1+Projection!X$16)*(1+IF(V190&gt;0,'Attrition Modeling'!$N$9,0))),0))</f>
        <v>0</v>
      </c>
      <c r="W125" s="799">
        <f>IF(W$69=$F125+1,IF(Monthly!S$4=TRUE,0,Monthly!S$17),IF(W$69&gt;$F125+1,V125*(1-IF(W$69-$F125&lt;=12,SUMIFS('Attrition Modeling'!$D:$D,'Attrition Modeling'!$B:$B,$E125,'Attrition Modeling'!$C:$C,W$68),VLOOKUP(W$69-$F125-1,$A$7:$C$161,2,FALSE)*VLOOKUP(W$1,'Attrition Modeling'!$L$15:$N$27,IF(W$2-$F58&lt;=24,2,3),FALSE))*(1+Projection!Y$16)*(1+IF(W190&gt;0,'Attrition Modeling'!$N$9,0))),0))</f>
        <v>0</v>
      </c>
      <c r="X125" s="799">
        <f>IF(X$69=$F125+1,IF(Monthly!T$4=TRUE,0,Monthly!T$17),IF(X$69&gt;$F125+1,W125*(1-IF(X$69-$F125&lt;=12,SUMIFS('Attrition Modeling'!$D:$D,'Attrition Modeling'!$B:$B,$E125,'Attrition Modeling'!$C:$C,X$68),VLOOKUP(X$69-$F125-1,$A$7:$C$161,2,FALSE)*VLOOKUP(X$1,'Attrition Modeling'!$L$15:$N$27,IF(X$2-$F58&lt;=24,2,3),FALSE))*(1+Projection!Z$16)*(1+IF(X190&gt;0,'Attrition Modeling'!$N$9,0))),0))</f>
        <v>0</v>
      </c>
      <c r="Y125" s="799">
        <f>IF(Y$69=$F125+1,IF(Monthly!U$4=TRUE,0,Monthly!U$17),IF(Y$69&gt;$F125+1,X125*(1-IF(Y$69-$F125&lt;=12,SUMIFS('Attrition Modeling'!$D:$D,'Attrition Modeling'!$B:$B,$E125,'Attrition Modeling'!$C:$C,Y$68),VLOOKUP(Y$69-$F125-1,$A$7:$C$161,2,FALSE)*VLOOKUP(Y$1,'Attrition Modeling'!$L$15:$N$27,IF(Y$2-$F58&lt;=24,2,3),FALSE))*(1+Projection!AA$16)*(1+IF(Y190&gt;0,'Attrition Modeling'!$N$9,0))),0))</f>
        <v>0</v>
      </c>
      <c r="Z125" s="799">
        <f>IF(Z$69=$F125+1,IF(Monthly!V$4=TRUE,0,Monthly!V$17),IF(Z$69&gt;$F125+1,Y125*(1-IF(Z$69-$F125&lt;=12,SUMIFS('Attrition Modeling'!$D:$D,'Attrition Modeling'!$B:$B,$E125,'Attrition Modeling'!$C:$C,Z$68),VLOOKUP(Z$69-$F125-1,$A$7:$C$161,2,FALSE)*VLOOKUP(Z$1,'Attrition Modeling'!$L$15:$N$27,IF(Z$2-$F58&lt;=24,2,3),FALSE))*(1+Projection!AB$16)*(1+IF(Z190&gt;0,'Attrition Modeling'!$N$9,0))),0))</f>
        <v>0</v>
      </c>
      <c r="AA125" s="799">
        <f>IF(AA$69=$F125+1,IF(Monthly!W$4=TRUE,0,Monthly!W$17),IF(AA$69&gt;$F125+1,Z125*(1-IF(AA$69-$F125&lt;=12,SUMIFS('Attrition Modeling'!$D:$D,'Attrition Modeling'!$B:$B,$E125,'Attrition Modeling'!$C:$C,AA$68),VLOOKUP(AA$69-$F125-1,$A$7:$C$161,2,FALSE)*VLOOKUP(AA$1,'Attrition Modeling'!$L$15:$N$27,IF(AA$2-$F58&lt;=24,2,3),FALSE))*(1+Projection!AC$16)*(1+IF(AA190&gt;0,'Attrition Modeling'!$N$9,0))),0))</f>
        <v>0</v>
      </c>
      <c r="AB125" s="799">
        <f>IF(AB$69=$F125+1,IF(Monthly!X$4=TRUE,0,Monthly!X$17),IF(AB$69&gt;$F125+1,AA125*(1-IF(AB$69-$F125&lt;=12,SUMIFS('Attrition Modeling'!$D:$D,'Attrition Modeling'!$B:$B,$E125,'Attrition Modeling'!$C:$C,AB$68),VLOOKUP(AB$69-$F125-1,$A$7:$C$161,2,FALSE)*VLOOKUP(AB$1,'Attrition Modeling'!$L$15:$N$27,IF(AB$2-$F58&lt;=24,2,3),FALSE))*(1+Projection!AD$16)*(1+IF(AB190&gt;0,'Attrition Modeling'!$N$9,0))),0))</f>
        <v>0</v>
      </c>
      <c r="AC125" s="799">
        <f>IF(AC$69=$F125+1,IF(Monthly!Y$4=TRUE,0,Monthly!Y$17),IF(AC$69&gt;$F125+1,AB125*(1-IF(AC$69-$F125&lt;=12,SUMIFS('Attrition Modeling'!$D:$D,'Attrition Modeling'!$B:$B,$E125,'Attrition Modeling'!$C:$C,AC$68),VLOOKUP(AC$69-$F125-1,$A$7:$C$161,2,FALSE)*VLOOKUP(AC$1,'Attrition Modeling'!$L$15:$N$27,IF(AC$2-$F58&lt;=24,2,3),FALSE))*(1+Projection!AE$16)*(1+IF(AC190&gt;0,'Attrition Modeling'!$N$9,0))),0))</f>
        <v>0</v>
      </c>
      <c r="AD125" s="799">
        <f>IF(AD$69=$F125+1,IF(Monthly!Z$4=TRUE,0,Monthly!Z$17),IF(AD$69&gt;$F125+1,AC125*(1-IF(AD$69-$F125&lt;=12,SUMIFS('Attrition Modeling'!$D:$D,'Attrition Modeling'!$B:$B,$E125,'Attrition Modeling'!$C:$C,AD$68),VLOOKUP(AD$69-$F125-1,$A$7:$C$161,2,FALSE)*VLOOKUP(AD$1,'Attrition Modeling'!$L$15:$N$27,IF(AD$2-$F58&lt;=24,2,3),FALSE))*(1+Projection!AF$16)*(1+IF(AD190&gt;0,'Attrition Modeling'!$N$9,0))),0))</f>
        <v>0</v>
      </c>
      <c r="AE125" s="799">
        <f>IF(AE$69=$F125+1,IF(Monthly!AA$4=TRUE,0,Monthly!AA$17),IF(AE$69&gt;$F125+1,AD125*(1-IF(AE$69-$F125&lt;=12,SUMIFS('Attrition Modeling'!$D:$D,'Attrition Modeling'!$B:$B,$E125,'Attrition Modeling'!$C:$C,AE$68),VLOOKUP(AE$69-$F125-1,$A$7:$C$161,2,FALSE)*VLOOKUP(AE$1,'Attrition Modeling'!$L$15:$N$27,IF(AE$2-$F58&lt;=24,2,3),FALSE))*(1+Projection!AG$16)*(1+IF(AE190&gt;0,'Attrition Modeling'!$N$9,0))),0))</f>
        <v>0</v>
      </c>
      <c r="AF125" s="799">
        <f>IF(AF$69=$F125+1,IF(Monthly!AB$4=TRUE,0,Monthly!AB$17),IF(AF$69&gt;$F125+1,AE125*(1-IF(AF$69-$F125&lt;=12,SUMIFS('Attrition Modeling'!$D:$D,'Attrition Modeling'!$B:$B,$E125,'Attrition Modeling'!$C:$C,AF$68),VLOOKUP(AF$69-$F125-1,$A$7:$C$161,2,FALSE)*VLOOKUP(AF$1,'Attrition Modeling'!$L$15:$N$27,IF(AF$2-$F58&lt;=24,2,3),FALSE))*(1+Projection!AH$16)*(1+IF(AF190&gt;0,'Attrition Modeling'!$N$9,0))),0))</f>
        <v>0</v>
      </c>
      <c r="AG125" s="799">
        <f>IF(AG$69=$F125+1,IF(Monthly!AC$4=TRUE,0,Monthly!AC$17),IF(AG$69&gt;$F125+1,AF125*(1-IF(AG$69-$F125&lt;=12,SUMIFS('Attrition Modeling'!$D:$D,'Attrition Modeling'!$B:$B,$E125,'Attrition Modeling'!$C:$C,AG$68),VLOOKUP(AG$69-$F125-1,$A$7:$C$161,2,FALSE)*VLOOKUP(AG$1,'Attrition Modeling'!$L$15:$N$27,IF(AG$2-$F58&lt;=24,2,3),FALSE))*(1+Projection!AI$16)*(1+IF(AG190&gt;0,'Attrition Modeling'!$N$9,0))),0))</f>
        <v>0</v>
      </c>
      <c r="AH125" s="799">
        <f>IF(AH$69=$F125+1,IF(Monthly!AD$4=TRUE,0,Monthly!AD$17),IF(AH$69&gt;$F125+1,AG125*(1-IF(AH$69-$F125&lt;=12,SUMIFS('Attrition Modeling'!$D:$D,'Attrition Modeling'!$B:$B,$E125,'Attrition Modeling'!$C:$C,AH$68),VLOOKUP(AH$69-$F125-1,$A$7:$C$161,2,FALSE)*VLOOKUP(AH$1,'Attrition Modeling'!$L$15:$N$27,IF(AH$2-$F58&lt;=24,2,3),FALSE))*(1+Projection!AJ$16)*(1+IF(AH190&gt;0,'Attrition Modeling'!$N$9,0))),0))</f>
        <v>0</v>
      </c>
      <c r="AI125" s="799">
        <f>IF(AI$69=$F125+1,IF(Monthly!AE$4=TRUE,0,Monthly!AE$17),IF(AI$69&gt;$F125+1,AH125*(1-IF(AI$69-$F125&lt;=12,SUMIFS('Attrition Modeling'!$D:$D,'Attrition Modeling'!$B:$B,$E125,'Attrition Modeling'!$C:$C,AI$68),VLOOKUP(AI$69-$F125-1,$A$7:$C$161,2,FALSE)*VLOOKUP(AI$1,'Attrition Modeling'!$L$15:$N$27,IF(AI$2-$F58&lt;=24,2,3),FALSE))*(1+Projection!AK$16)*(1+IF(AI190&gt;0,'Attrition Modeling'!$N$9,0))),0))</f>
        <v>0</v>
      </c>
      <c r="AJ125" s="799">
        <f>IF(AJ$69=$F125+1,IF(Monthly!AF$4=TRUE,0,Monthly!AF$17),IF(AJ$69&gt;$F125+1,AI125*(1-IF(AJ$69-$F125&lt;=12,SUMIFS('Attrition Modeling'!$D:$D,'Attrition Modeling'!$B:$B,$E125,'Attrition Modeling'!$C:$C,AJ$68),VLOOKUP(AJ$69-$F125-1,$A$7:$C$161,2,FALSE)*VLOOKUP(AJ$1,'Attrition Modeling'!$L$15:$N$27,IF(AJ$2-$F58&lt;=24,2,3),FALSE))*(1+Projection!AL$16)*(1+IF(AJ190&gt;0,'Attrition Modeling'!$N$9,0))),0))</f>
        <v>0</v>
      </c>
      <c r="AK125" s="799">
        <f>IF(AK$69=$F125+1,IF(Monthly!AG$4=TRUE,0,Monthly!AG$17),IF(AK$69&gt;$F125+1,AJ125*(1-IF(AK$69-$F125&lt;=12,SUMIFS('Attrition Modeling'!$D:$D,'Attrition Modeling'!$B:$B,$E125,'Attrition Modeling'!$C:$C,AK$68),VLOOKUP(AK$69-$F125-1,$A$7:$C$161,2,FALSE)*VLOOKUP(AK$1,'Attrition Modeling'!$L$15:$N$27,IF(AK$2-$F58&lt;=24,2,3),FALSE))*(1+Projection!AM$16)*(1+IF(AK190&gt;0,'Attrition Modeling'!$N$9,0))),0))</f>
        <v>0</v>
      </c>
      <c r="AL125" s="799">
        <f>IF(AL$69=$F125+1,IF(Monthly!AH$4=TRUE,0,Monthly!AH$17),IF(AL$69&gt;$F125+1,AK125*(1-IF(AL$69-$F125&lt;=12,SUMIFS('Attrition Modeling'!$D:$D,'Attrition Modeling'!$B:$B,$E125,'Attrition Modeling'!$C:$C,AL$68),VLOOKUP(AL$69-$F125-1,$A$7:$C$161,2,FALSE)*VLOOKUP(AL$1,'Attrition Modeling'!$L$15:$N$27,IF(AL$2-$F58&lt;=24,2,3),FALSE))*(1+Projection!AN$16)*(1+IF(AL190&gt;0,'Attrition Modeling'!$N$9,0))),0))</f>
        <v>0</v>
      </c>
      <c r="AM125" s="799">
        <f>IF(AM$69=$F125+1,IF(Monthly!AI$4=TRUE,0,Monthly!AI$17),IF(AM$69&gt;$F125+1,AL125*(1-IF(AM$69-$F125&lt;=12,SUMIFS('Attrition Modeling'!$D:$D,'Attrition Modeling'!$B:$B,$E125,'Attrition Modeling'!$C:$C,AM$68),VLOOKUP(AM$69-$F125-1,$A$7:$C$161,2,FALSE)*VLOOKUP(AM$1,'Attrition Modeling'!$L$15:$N$27,IF(AM$2-$F58&lt;=24,2,3),FALSE))*(1+Projection!AO$16)*(1+IF(AM190&gt;0,'Attrition Modeling'!$N$9,0))),0))</f>
        <v>0</v>
      </c>
      <c r="AN125" s="799">
        <f>IF(AN$69=$F125+1,IF(Monthly!AJ$4=TRUE,0,Monthly!AJ$17),IF(AN$69&gt;$F125+1,AM125*(1-IF(AN$69-$F125&lt;=12,SUMIFS('Attrition Modeling'!$D:$D,'Attrition Modeling'!$B:$B,$E125,'Attrition Modeling'!$C:$C,AN$68),VLOOKUP(AN$69-$F125-1,$A$7:$C$161,2,FALSE)*VLOOKUP(AN$1,'Attrition Modeling'!$L$15:$N$27,IF(AN$2-$F58&lt;=24,2,3),FALSE))*(1+Projection!AP$16)*(1+IF(AN190&gt;0,'Attrition Modeling'!$N$9,0))),0))</f>
        <v>0</v>
      </c>
      <c r="AO125" s="799">
        <f>IF(AO$69=$F125+1,IF(Monthly!AK$4=TRUE,0,Monthly!AK$17),IF(AO$69&gt;$F125+1,AN125*(1-IF(AO$69-$F125&lt;=12,SUMIFS('Attrition Modeling'!$D:$D,'Attrition Modeling'!$B:$B,$E125,'Attrition Modeling'!$C:$C,AO$68),VLOOKUP(AO$69-$F125-1,$A$7:$C$161,2,FALSE)*VLOOKUP(AO$1,'Attrition Modeling'!$L$15:$N$27,IF(AO$2-$F58&lt;=24,2,3),FALSE))*(1+Projection!AQ$16)*(1+IF(AO190&gt;0,'Attrition Modeling'!$N$9,0))),0))</f>
        <v>0</v>
      </c>
      <c r="AP125" s="799">
        <f>IF(AP$69=$F125+1,IF(Monthly!AL$4=TRUE,0,Monthly!AL$17),IF(AP$69&gt;$F125+1,AO125*(1-IF(AP$69-$F125&lt;=12,SUMIFS('Attrition Modeling'!$D:$D,'Attrition Modeling'!$B:$B,$E125,'Attrition Modeling'!$C:$C,AP$68),VLOOKUP(AP$69-$F125-1,$A$7:$C$161,2,FALSE)*VLOOKUP(AP$1,'Attrition Modeling'!$L$15:$N$27,IF(AP$2-$F58&lt;=24,2,3),FALSE))*(1+Projection!AR$16)*(1+IF(AP190&gt;0,'Attrition Modeling'!$N$9,0))),0))</f>
        <v>0</v>
      </c>
      <c r="AQ125" s="799">
        <f>IF(AQ$69=$F125+1,IF(Monthly!AM$4=TRUE,0,Monthly!AM$17),IF(AQ$69&gt;$F125+1,AP125*(1-IF(AQ$69-$F125&lt;=12,SUMIFS('Attrition Modeling'!$D:$D,'Attrition Modeling'!$B:$B,$E125,'Attrition Modeling'!$C:$C,AQ$68),VLOOKUP(AQ$69-$F125-1,$A$7:$C$161,2,FALSE)*VLOOKUP(AQ$1,'Attrition Modeling'!$L$15:$N$27,IF(AQ$2-$F58&lt;=24,2,3),FALSE))*(1+Projection!AS$16)*(1+IF(AQ190&gt;0,'Attrition Modeling'!$N$9,0))),0))</f>
        <v>0</v>
      </c>
      <c r="AR125" s="799">
        <f>IF(AR$69=$F125+1,IF(Monthly!AN$4=TRUE,0,Monthly!AN$17),IF(AR$69&gt;$F125+1,AQ125*(1-IF(AR$69-$F125&lt;=12,SUMIFS('Attrition Modeling'!$D:$D,'Attrition Modeling'!$B:$B,$E125,'Attrition Modeling'!$C:$C,AR$68),VLOOKUP(AR$69-$F125-1,$A$7:$C$161,2,FALSE)*VLOOKUP(AR$1,'Attrition Modeling'!$L$15:$N$27,IF(AR$2-$F58&lt;=24,2,3),FALSE))*(1+Projection!AT$16)*(1+IF(AR190&gt;0,'Attrition Modeling'!$N$9,0))),0))</f>
        <v>0</v>
      </c>
      <c r="AS125" s="799">
        <f>IF(AS$69=$F125+1,IF(Monthly!AO$4=TRUE,0,Monthly!AO$17),IF(AS$69&gt;$F125+1,AR125*(1-IF(AS$69-$F125&lt;=12,SUMIFS('Attrition Modeling'!$D:$D,'Attrition Modeling'!$B:$B,$E125,'Attrition Modeling'!$C:$C,AS$68),VLOOKUP(AS$69-$F125-1,$A$7:$C$161,2,FALSE)*VLOOKUP(AS$1,'Attrition Modeling'!$L$15:$N$27,IF(AS$2-$F58&lt;=24,2,3),FALSE))*(1+Projection!AU$16)*(1+IF(AS190&gt;0,'Attrition Modeling'!$N$9,0))),0))</f>
        <v>0</v>
      </c>
      <c r="AT125" s="799">
        <f>IF(AT$69=$F125+1,IF(Monthly!AP$4=TRUE,0,Monthly!AP$17),IF(AT$69&gt;$F125+1,AS125*(1-IF(AT$69-$F125&lt;=12,SUMIFS('Attrition Modeling'!$D:$D,'Attrition Modeling'!$B:$B,$E125,'Attrition Modeling'!$C:$C,AT$68),VLOOKUP(AT$69-$F125-1,$A$7:$C$161,2,FALSE)*VLOOKUP(AT$1,'Attrition Modeling'!$L$15:$N$27,IF(AT$2-$F58&lt;=24,2,3),FALSE))*(1+Projection!AV$16)*(1+IF(AT190&gt;0,'Attrition Modeling'!$N$9,0))),0))</f>
        <v>0</v>
      </c>
      <c r="AU125" s="799">
        <f>IF(AU$69=$F125+1,IF(Monthly!AQ$4=TRUE,0,Monthly!AQ$17),IF(AU$69&gt;$F125+1,AT125*(1-IF(AU$69-$F125&lt;=12,SUMIFS('Attrition Modeling'!$D:$D,'Attrition Modeling'!$B:$B,$E125,'Attrition Modeling'!$C:$C,AU$68),VLOOKUP(AU$69-$F125-1,$A$7:$C$161,2,FALSE)*VLOOKUP(AU$1,'Attrition Modeling'!$L$15:$N$27,IF(AU$2-$F58&lt;=24,2,3),FALSE))*(1+Projection!AW$16)*(1+IF(AU190&gt;0,'Attrition Modeling'!$N$9,0))),0))</f>
        <v>0</v>
      </c>
      <c r="AV125" s="799">
        <f>IF(AV$69=$F125+1,IF(Monthly!AR$4=TRUE,0,Monthly!AR$17),IF(AV$69&gt;$F125+1,AU125*(1-IF(AV$69-$F125&lt;=12,SUMIFS('Attrition Modeling'!$D:$D,'Attrition Modeling'!$B:$B,$E125,'Attrition Modeling'!$C:$C,AV$68),VLOOKUP(AV$69-$F125-1,$A$7:$C$161,2,FALSE)*VLOOKUP(AV$1,'Attrition Modeling'!$L$15:$N$27,IF(AV$2-$F58&lt;=24,2,3),FALSE))*(1+Projection!AX$16)*(1+IF(AV190&gt;0,'Attrition Modeling'!$N$9,0))),0))</f>
        <v>0</v>
      </c>
      <c r="AW125" s="799">
        <f>IF(AW$69=$F125+1,IF(Monthly!AS$4=TRUE,0,Monthly!AS$17),IF(AW$69&gt;$F125+1,AV125*(1-IF(AW$69-$F125&lt;=12,SUMIFS('Attrition Modeling'!$D:$D,'Attrition Modeling'!$B:$B,$E125,'Attrition Modeling'!$C:$C,AW$68),VLOOKUP(AW$69-$F125-1,$A$7:$C$161,2,FALSE)*VLOOKUP(AW$1,'Attrition Modeling'!$L$15:$N$27,IF(AW$2-$F58&lt;=24,2,3),FALSE))*(1+Projection!AY$16)*(1+IF(AW190&gt;0,'Attrition Modeling'!$N$9,0))),0))</f>
        <v>0</v>
      </c>
      <c r="AX125" s="799">
        <f>IF(AX$69=$F125+1,IF(Monthly!AT$4=TRUE,0,Monthly!AT$17),IF(AX$69&gt;$F125+1,AW125*(1-IF(AX$69-$F125&lt;=12,SUMIFS('Attrition Modeling'!$D:$D,'Attrition Modeling'!$B:$B,$E125,'Attrition Modeling'!$C:$C,AX$68),VLOOKUP(AX$69-$F125-1,$A$7:$C$161,2,FALSE)*VLOOKUP(AX$1,'Attrition Modeling'!$L$15:$N$27,IF(AX$2-$F58&lt;=24,2,3),FALSE))*(1+Projection!AZ$16)*(1+IF(AX190&gt;0,'Attrition Modeling'!$N$9,0))),0))</f>
        <v>0</v>
      </c>
      <c r="AY125" s="799">
        <f>IF(AY$69=$F125+1,IF(Monthly!AU$4=TRUE,0,Monthly!AU$17),IF(AY$69&gt;$F125+1,AX125*(1-IF(AY$69-$F125&lt;=12,SUMIFS('Attrition Modeling'!$D:$D,'Attrition Modeling'!$B:$B,$E125,'Attrition Modeling'!$C:$C,AY$68),VLOOKUP(AY$69-$F125-1,$A$7:$C$161,2,FALSE)*VLOOKUP(AY$1,'Attrition Modeling'!$L$15:$N$27,IF(AY$2-$F58&lt;=24,2,3),FALSE))*(1+Projection!BA$16)*(1+IF(AY190&gt;0,'Attrition Modeling'!$N$9,0))),0))</f>
        <v>0</v>
      </c>
      <c r="AZ125" s="799">
        <f>IF(AZ$69=$F125+1,IF(Monthly!AV$4=TRUE,0,Monthly!AV$17),IF(AZ$69&gt;$F125+1,AY125*(1-IF(AZ$69-$F125&lt;=12,SUMIFS('Attrition Modeling'!$D:$D,'Attrition Modeling'!$B:$B,$E125,'Attrition Modeling'!$C:$C,AZ$68),VLOOKUP(AZ$69-$F125-1,$A$7:$C$161,2,FALSE)*VLOOKUP(AZ$1,'Attrition Modeling'!$L$15:$N$27,IF(AZ$2-$F58&lt;=24,2,3),FALSE))*(1+Projection!BB$16)*(1+IF(AZ190&gt;0,'Attrition Modeling'!$N$9,0))),0))</f>
        <v>0</v>
      </c>
      <c r="BA125" s="799">
        <f>IF(BA$69=$F125+1,IF(Monthly!AW$4=TRUE,0,Monthly!AW$17),IF(BA$69&gt;$F125+1,AZ125*(1-IF(BA$69-$F125&lt;=12,SUMIFS('Attrition Modeling'!$D:$D,'Attrition Modeling'!$B:$B,$E125,'Attrition Modeling'!$C:$C,BA$68),VLOOKUP(BA$69-$F125-1,$A$7:$C$161,2,FALSE)*VLOOKUP(BA$1,'Attrition Modeling'!$L$15:$N$27,IF(BA$2-$F58&lt;=24,2,3),FALSE))*(1+Projection!BC$16)*(1+IF(BA190&gt;0,'Attrition Modeling'!$N$9,0))),0))</f>
        <v>0</v>
      </c>
      <c r="BB125" s="799">
        <f>IF(BB$69=$F125+1,IF(Monthly!AX$4=TRUE,0,Monthly!AX$17),IF(BB$69&gt;$F125+1,BA125*(1-IF(BB$69-$F125&lt;=12,SUMIFS('Attrition Modeling'!$D:$D,'Attrition Modeling'!$B:$B,$E125,'Attrition Modeling'!$C:$C,BB$68),VLOOKUP(BB$69-$F125-1,$A$7:$C$161,2,FALSE)*VLOOKUP(BB$1,'Attrition Modeling'!$L$15:$N$27,IF(BB$2-$F58&lt;=24,2,3),FALSE))*(1+Projection!BD$16)*(1+IF(BB190&gt;0,'Attrition Modeling'!$N$9,0))),0))</f>
        <v>0</v>
      </c>
      <c r="BC125" s="799">
        <f>IF(BC$69=$F125+1,IF(Monthly!AY$4=TRUE,0,Monthly!AY$17),IF(BC$69&gt;$F125+1,BB125*(1-IF(BC$69-$F125&lt;=12,SUMIFS('Attrition Modeling'!$D:$D,'Attrition Modeling'!$B:$B,$E125,'Attrition Modeling'!$C:$C,BC$68),VLOOKUP(BC$69-$F125-1,$A$7:$C$161,2,FALSE)*VLOOKUP(BC$1,'Attrition Modeling'!$L$15:$N$27,IF(BC$2-$F58&lt;=24,2,3),FALSE))*(1+Projection!BE$16)*(1+IF(BC190&gt;0,'Attrition Modeling'!$N$9,0))),0))</f>
        <v>0</v>
      </c>
      <c r="BD125" s="799">
        <f>IF(BD$69=$F125+1,IF(Monthly!AZ$4=TRUE,0,Monthly!AZ$17),IF(BD$69&gt;$F125+1,BC125*(1-IF(BD$69-$F125&lt;=12,SUMIFS('Attrition Modeling'!$D:$D,'Attrition Modeling'!$B:$B,$E125,'Attrition Modeling'!$C:$C,BD$68),VLOOKUP(BD$69-$F125-1,$A$7:$C$161,2,FALSE)*VLOOKUP(BD$1,'Attrition Modeling'!$L$15:$N$27,IF(BD$2-$F58&lt;=24,2,3),FALSE))*(1+Projection!BF$16)*(1+IF(BD190&gt;0,'Attrition Modeling'!$N$9,0))),0))</f>
        <v>0</v>
      </c>
      <c r="BE125" s="799">
        <f>IF(BE$69=$F125+1,IF(Monthly!BA$4=TRUE,0,Monthly!BA$17),IF(BE$69&gt;$F125+1,BD125*(1-IF(BE$69-$F125&lt;=12,SUMIFS('Attrition Modeling'!$D:$D,'Attrition Modeling'!$B:$B,$E125,'Attrition Modeling'!$C:$C,BE$68),VLOOKUP(BE$69-$F125-1,$A$7:$C$161,2,FALSE)*VLOOKUP(BE$1,'Attrition Modeling'!$L$15:$N$27,IF(BE$2-$F58&lt;=24,2,3),FALSE))*(1+Projection!BG$16)*(1+IF(BE190&gt;0,'Attrition Modeling'!$N$9,0))),0))</f>
        <v>0</v>
      </c>
      <c r="BF125" s="799">
        <f>IF(BF$69=$F125+1,IF(Monthly!BB$4=TRUE,0,Monthly!BB$17),IF(BF$69&gt;$F125+1,BE125*(1-IF(BF$69-$F125&lt;=12,SUMIFS('Attrition Modeling'!$D:$D,'Attrition Modeling'!$B:$B,$E125,'Attrition Modeling'!$C:$C,BF$68),VLOOKUP(BF$69-$F125-1,$A$7:$C$161,2,FALSE)*VLOOKUP(BF$1,'Attrition Modeling'!$L$15:$N$27,IF(BF$2-$F58&lt;=24,2,3),FALSE))*(1+Projection!BH$16)*(1+IF(BF190&gt;0,'Attrition Modeling'!$N$9,0))),0))</f>
        <v>0</v>
      </c>
      <c r="BG125" s="799">
        <f>IF(BG$69=$F125+1,IF(Monthly!BC$4=TRUE,0,Monthly!BC$17),IF(BG$69&gt;$F125+1,BF125*(1-IF(BG$69-$F125&lt;=12,SUMIFS('Attrition Modeling'!$D:$D,'Attrition Modeling'!$B:$B,$E125,'Attrition Modeling'!$C:$C,BG$68),VLOOKUP(BG$69-$F125-1,$A$7:$C$161,2,FALSE)*VLOOKUP(BG$1,'Attrition Modeling'!$L$15:$N$27,IF(BG$2-$F58&lt;=24,2,3),FALSE))*(1+Projection!BI$16)*(1+IF(BG190&gt;0,'Attrition Modeling'!$N$9,0))),0))</f>
        <v>0</v>
      </c>
      <c r="BH125" s="799">
        <f>IF(BH$69=$F125+1,IF(Monthly!BD$4=TRUE,0,Monthly!BD$17),IF(BH$69&gt;$F125+1,BG125*(1-IF(BH$69-$F125&lt;=12,SUMIFS('Attrition Modeling'!$D:$D,'Attrition Modeling'!$B:$B,$E125,'Attrition Modeling'!$C:$C,BH$68),VLOOKUP(BH$69-$F125-1,$A$7:$C$161,2,FALSE)*VLOOKUP(BH$1,'Attrition Modeling'!$L$15:$N$27,IF(BH$2-$F58&lt;=24,2,3),FALSE))*(1+Projection!BJ$16)*(1+IF(BH190&gt;0,'Attrition Modeling'!$N$9,0))),0))</f>
        <v>0</v>
      </c>
      <c r="BI125" s="799">
        <f>IF(BI$69=$F125+1,IF(Monthly!BE$4=TRUE,0,Monthly!BE$17),IF(BI$69&gt;$F125+1,BH125*(1-IF(BI$69-$F125&lt;=12,SUMIFS('Attrition Modeling'!$D:$D,'Attrition Modeling'!$B:$B,$E125,'Attrition Modeling'!$C:$C,BI$68),VLOOKUP(BI$69-$F125-1,$A$7:$C$161,2,FALSE)*VLOOKUP(BI$1,'Attrition Modeling'!$L$15:$N$27,IF(BI$2-$F58&lt;=24,2,3),FALSE))*(1+Projection!BK$16)*(1+IF(BI190&gt;0,'Attrition Modeling'!$N$9,0))),0))</f>
        <v>0</v>
      </c>
      <c r="BJ125" s="799">
        <f>IF(BJ$69=$F125+1,IF(Monthly!BF$4=TRUE,0,Monthly!BF$17),IF(BJ$69&gt;$F125+1,BI125*(1-IF(BJ$69-$F125&lt;=12,SUMIFS('Attrition Modeling'!$D:$D,'Attrition Modeling'!$B:$B,$E125,'Attrition Modeling'!$C:$C,BJ$68),VLOOKUP(BJ$69-$F125-1,$A$7:$C$161,2,FALSE)*VLOOKUP(BJ$1,'Attrition Modeling'!$L$15:$N$27,IF(BJ$2-$F58&lt;=24,2,3),FALSE))*(1+Projection!BL$16)*(1+IF(BJ190&gt;0,'Attrition Modeling'!$N$9,0))),0))</f>
        <v>0</v>
      </c>
      <c r="BK125" s="799">
        <f>IF(BK$69=$F125+1,IF(Monthly!BG$4=TRUE,0,Monthly!BG$17),IF(BK$69&gt;$F125+1,BJ125*(1-IF(BK$69-$F125&lt;=12,SUMIFS('Attrition Modeling'!$D:$D,'Attrition Modeling'!$B:$B,$E125,'Attrition Modeling'!$C:$C,BK$68),VLOOKUP(BK$69-$F125-1,$A$7:$C$161,2,FALSE)*VLOOKUP(BK$1,'Attrition Modeling'!$L$15:$N$27,IF(BK$2-$F58&lt;=24,2,3),FALSE))*(1+Projection!BM$16)*(1+IF(BK190&gt;0,'Attrition Modeling'!$N$9,0))),0))</f>
        <v>5439.3613877650196</v>
      </c>
      <c r="BL125" s="799">
        <f>IF(BL$69=$F125+1,IF(Monthly!BH$4=TRUE,0,Monthly!BH$17),IF(BL$69&gt;$F125+1,BK125*(1-IF(BL$69-$F125&lt;=12,SUMIFS('Attrition Modeling'!$D:$D,'Attrition Modeling'!$B:$B,$E125,'Attrition Modeling'!$C:$C,BL$68),VLOOKUP(BL$69-$F125-1,$A$7:$C$161,2,FALSE)*VLOOKUP(BL$1,'Attrition Modeling'!$L$15:$N$27,IF(BL$2-$F58&lt;=24,2,3),FALSE))*(1+Projection!BN$16)*(1+IF(BL190&gt;0,'Attrition Modeling'!$N$9,0))),0))</f>
        <v>4817.1697006388813</v>
      </c>
      <c r="BM125" s="799">
        <f>IF(BM$69=$F125+1,IF(Monthly!BI$4=TRUE,0,Monthly!BI$17),IF(BM$69&gt;$F125+1,BL125*(1-IF(BM$69-$F125&lt;=12,SUMIFS('Attrition Modeling'!$D:$D,'Attrition Modeling'!$B:$B,$E125,'Attrition Modeling'!$C:$C,BM$68),VLOOKUP(BM$69-$F125-1,$A$7:$C$161,2,FALSE)*VLOOKUP(BM$1,'Attrition Modeling'!$L$15:$N$27,IF(BM$2-$F58&lt;=24,2,3),FALSE))*(1+Projection!BO$16)*(1+IF(BM190&gt;0,'Attrition Modeling'!$N$9,0))),0))</f>
        <v>4350.511347574281</v>
      </c>
      <c r="BN125" s="799">
        <f>IF(BN$69=$F125+1,IF(Monthly!BJ$4=TRUE,0,Monthly!BJ$17),IF(BN$69&gt;$F125+1,BM125*(1-IF(BN$69-$F125&lt;=12,SUMIFS('Attrition Modeling'!$D:$D,'Attrition Modeling'!$B:$B,$E125,'Attrition Modeling'!$C:$C,BN$68),VLOOKUP(BN$69-$F125-1,$A$7:$C$161,2,FALSE)*VLOOKUP(BN$1,'Attrition Modeling'!$L$15:$N$27,IF(BN$2-$F58&lt;=24,2,3),FALSE))*(1+Projection!BP$16)*(1+IF(BN190&gt;0,'Attrition Modeling'!$N$9,0))),0))</f>
        <v>3953.1928068059533</v>
      </c>
      <c r="BO125" s="799">
        <f>IF(BO$69=$F125+1,IF(Monthly!BK$4=TRUE,0,Monthly!BK$17),IF(BO$69&gt;$F125+1,BN125*(1-IF(BO$69-$F125&lt;=12,SUMIFS('Attrition Modeling'!$D:$D,'Attrition Modeling'!$B:$B,$E125,'Attrition Modeling'!$C:$C,BO$68),VLOOKUP(BO$69-$F125-1,$A$7:$C$161,2,FALSE)*VLOOKUP(BO$1,'Attrition Modeling'!$L$15:$N$27,IF(BO$2-$F58&lt;=24,2,3),FALSE))*(1+Projection!BV$16)*(1+IF(BO190&gt;0,'Attrition Modeling'!$N$9,0))),0))</f>
        <v>3632.2002713210813</v>
      </c>
      <c r="BP125" s="799">
        <f>IF(BP$69=$F125+1,IF(Monthly!BL$4=TRUE,0,Monthly!BL$17),IF(BP$69&gt;$F125+1,BO125*(1-IF(BP$69-$F125&lt;=12,SUMIFS('Attrition Modeling'!$D:$D,'Attrition Modeling'!$B:$B,$E125,'Attrition Modeling'!$C:$C,BP$68),VLOOKUP(BP$69-$F125-1,$A$7:$C$161,2,FALSE)*VLOOKUP(BP$1,'Attrition Modeling'!$L$15:$N$27,IF(BP$2-$F58&lt;=24,2,3),FALSE))*(1+Projection!BW$16)*(1+IF(BP190&gt;0,'Attrition Modeling'!$N$9,0))),0))</f>
        <v>3351.0712029790711</v>
      </c>
      <c r="BQ125" s="799">
        <f>IF(BQ$69=$F125+1,IF(Monthly!BM$4=TRUE,0,Monthly!BM$17),IF(BQ$69&gt;$F125+1,BP125*(1-IF(BQ$69-$F125&lt;=12,SUMIFS('Attrition Modeling'!$D:$D,'Attrition Modeling'!$B:$B,$E125,'Attrition Modeling'!$C:$C,BQ$68),VLOOKUP(BQ$69-$F125-1,$A$7:$C$161,2,FALSE)*VLOOKUP(BQ$1,'Attrition Modeling'!$L$15:$N$27,IF(BQ$2-$F58&lt;=24,2,3),FALSE))*(1+Projection!BX$16)*(1+IF(BQ190&gt;0,'Attrition Modeling'!$N$9,0))),0))</f>
        <v>3139.7480954623752</v>
      </c>
      <c r="BR125" s="799">
        <f>IF(BR$69=$F125+1,IF(Monthly!BN$4=TRUE,0,Monthly!BN$17),IF(BR$69&gt;$F125+1,BQ125*(1-IF(BR$69-$F125&lt;=12,SUMIFS('Attrition Modeling'!$D:$D,'Attrition Modeling'!$B:$B,$E125,'Attrition Modeling'!$C:$C,BR$68),VLOOKUP(BR$69-$F125-1,$A$7:$C$161,2,FALSE)*VLOOKUP(BR$1,'Attrition Modeling'!$L$15:$N$27,IF(BR$2-$F58&lt;=24,2,3),FALSE))*(1+Projection!BY$16)*(1+IF(BR190&gt;0,'Attrition Modeling'!$N$9,0))),0))</f>
        <v>2935.6168392787126</v>
      </c>
      <c r="BS125" s="799">
        <f>IF(BS$69=$F125+1,IF(Monthly!BO$4=TRUE,0,Monthly!BO$17),IF(BS$69&gt;$F125+1,BR125*(1-IF(BS$69-$F125&lt;=12,SUMIFS('Attrition Modeling'!$D:$D,'Attrition Modeling'!$B:$B,$E125,'Attrition Modeling'!$C:$C,BS$68),VLOOKUP(BS$69-$F125-1,$A$7:$C$161,2,FALSE)*VLOOKUP(BS$1,'Attrition Modeling'!$L$15:$N$27,IF(BS$2-$F58&lt;=24,2,3),FALSE))*(1+Projection!BZ$16)*(1+IF(BS190&gt;0,'Attrition Modeling'!$N$9,0))),0))</f>
        <v>2759.6961545268764</v>
      </c>
      <c r="BT125" s="799">
        <f>IF(BT$69=$F125+1,IF(Monthly!#REF!=TRUE,0,Monthly!#REF!),IF(BT$69&gt;$F125+1,BS125*(1-IF(BT$69-$F125&lt;=12,SUMIFS('Attrition Modeling'!$D:$D,'Attrition Modeling'!$B:$B,$E125,'Attrition Modeling'!$C:$C,BT$68),VLOOKUP(BT$69-$F125-1,$A$7:$C$161,2,FALSE)*VLOOKUP(BT$1,'Attrition Modeling'!$L$15:$N$27,IF(BT$2-$F58&lt;=24,2,3),FALSE))*(1+Projection!CA$16)*(1+IF(BT190&gt;0,'Attrition Modeling'!$N$9,0))),0))</f>
        <v>2606.1147308044933</v>
      </c>
      <c r="BU125" s="799">
        <f>IF(BU$69=$F125+1,IF(Monthly!#REF!=TRUE,0,Monthly!#REF!),IF(BU$69&gt;$F125+1,BT125*(1-IF(BU$69-$F125&lt;=12,SUMIFS('Attrition Modeling'!$D:$D,'Attrition Modeling'!$B:$B,$E125,'Attrition Modeling'!$C:$C,BU$68),VLOOKUP(BU$69-$F125-1,$A$7:$C$161,2,FALSE)*VLOOKUP(BU$1,'Attrition Modeling'!$L$15:$N$27,IF(BU$2-$F58&lt;=24,2,3),FALSE))*(1+Projection!CB$16)*(1+IF(BU190&gt;0,'Attrition Modeling'!$N$9,0))),0))</f>
        <v>2444.1276302335073</v>
      </c>
    </row>
    <row r="126" spans="1:73" ht="14.25" customHeight="1" x14ac:dyDescent="0.2">
      <c r="A126" s="9">
        <v>119</v>
      </c>
      <c r="B126" s="25">
        <f>MAX('Attrition Modeling'!H123,$C$3)*(1-Summary!$C$20)</f>
        <v>0.02</v>
      </c>
      <c r="C126" s="24" t="e">
        <f t="shared" si="4"/>
        <v>#DIV/0!</v>
      </c>
      <c r="E126" s="11">
        <f t="shared" si="9"/>
        <v>8</v>
      </c>
      <c r="F126" s="11">
        <f t="shared" si="10"/>
        <v>56</v>
      </c>
      <c r="G126" s="799"/>
      <c r="H126" s="799">
        <f>IF(H$69=$F126+1,IF(Monthly!D$4=TRUE,0,Monthly!D$17),IF(H$69&gt;$F126+1,G126*(1-IF(H$69-$F126&lt;=12,SUMIFS('Attrition Modeling'!$D:$D,'Attrition Modeling'!$B:$B,$E126,'Attrition Modeling'!$C:$C,H$68),VLOOKUP(H$69-$F126-1,$A$7:$C$161,2,FALSE)*VLOOKUP(H$1,'Attrition Modeling'!$L$15:$N$27,IF(H$2-$F59&lt;=24,2,3),FALSE))*(1+Projection!J$16)*(1+IF(H191&gt;0,'Attrition Modeling'!$N$9,0))),0))</f>
        <v>0</v>
      </c>
      <c r="I126" s="799">
        <f>IF(I$69=$F126+1,IF(Monthly!E$4=TRUE,0,Monthly!E$17),IF(I$69&gt;$F126+1,H126*(1-IF(I$69-$F126&lt;=12,SUMIFS('Attrition Modeling'!$D:$D,'Attrition Modeling'!$B:$B,$E126,'Attrition Modeling'!$C:$C,I$68),VLOOKUP(I$69-$F126-1,$A$7:$C$161,2,FALSE)*VLOOKUP(I$1,'Attrition Modeling'!$L$15:$N$27,IF(I$2-$F59&lt;=24,2,3),FALSE))*(1+Projection!K$16)*(1+IF(I191&gt;0,'Attrition Modeling'!$N$9,0))),0))</f>
        <v>0</v>
      </c>
      <c r="J126" s="799">
        <f>IF(J$69=$F126+1,IF(Monthly!F$4=TRUE,0,Monthly!F$17),IF(J$69&gt;$F126+1,I126*(1-IF(J$69-$F126&lt;=12,SUMIFS('Attrition Modeling'!$D:$D,'Attrition Modeling'!$B:$B,$E126,'Attrition Modeling'!$C:$C,J$68),VLOOKUP(J$69-$F126-1,$A$7:$C$161,2,FALSE)*VLOOKUP(J$1,'Attrition Modeling'!$L$15:$N$27,IF(J$2-$F59&lt;=24,2,3),FALSE))*(1+Projection!L$16)*(1+IF(J191&gt;0,'Attrition Modeling'!$N$9,0))),0))</f>
        <v>0</v>
      </c>
      <c r="K126" s="799">
        <f>IF(K$69=$F126+1,IF(Monthly!G$4=TRUE,0,Monthly!G$17),IF(K$69&gt;$F126+1,J126*(1-IF(K$69-$F126&lt;=12,SUMIFS('Attrition Modeling'!$D:$D,'Attrition Modeling'!$B:$B,$E126,'Attrition Modeling'!$C:$C,K$68),VLOOKUP(K$69-$F126-1,$A$7:$C$161,2,FALSE)*VLOOKUP(K$1,'Attrition Modeling'!$L$15:$N$27,IF(K$2-$F59&lt;=24,2,3),FALSE))*(1+Projection!M$16)*(1+IF(K191&gt;0,'Attrition Modeling'!$N$9,0))),0))</f>
        <v>0</v>
      </c>
      <c r="L126" s="799">
        <f>IF(L$69=$F126+1,IF(Monthly!H$4=TRUE,0,Monthly!H$17),IF(L$69&gt;$F126+1,K126*(1-IF(L$69-$F126&lt;=12,SUMIFS('Attrition Modeling'!$D:$D,'Attrition Modeling'!$B:$B,$E126,'Attrition Modeling'!$C:$C,L$68),VLOOKUP(L$69-$F126-1,$A$7:$C$161,2,FALSE)*VLOOKUP(L$1,'Attrition Modeling'!$L$15:$N$27,IF(L$2-$F59&lt;=24,2,3),FALSE))*(1+Projection!N$16)*(1+IF(L191&gt;0,'Attrition Modeling'!$N$9,0))),0))</f>
        <v>0</v>
      </c>
      <c r="M126" s="799">
        <f>IF(M$69=$F126+1,IF(Monthly!I$4=TRUE,0,Monthly!I$17),IF(M$69&gt;$F126+1,L126*(1-IF(M$69-$F126&lt;=12,SUMIFS('Attrition Modeling'!$D:$D,'Attrition Modeling'!$B:$B,$E126,'Attrition Modeling'!$C:$C,M$68),VLOOKUP(M$69-$F126-1,$A$7:$C$161,2,FALSE)*VLOOKUP(M$1,'Attrition Modeling'!$L$15:$N$27,IF(M$2-$F59&lt;=24,2,3),FALSE))*(1+Projection!O$16)*(1+IF(M191&gt;0,'Attrition Modeling'!$N$9,0))),0))</f>
        <v>0</v>
      </c>
      <c r="N126" s="799">
        <f>IF(N$69=$F126+1,IF(Monthly!J$4=TRUE,0,Monthly!J$17),IF(N$69&gt;$F126+1,M126*(1-IF(N$69-$F126&lt;=12,SUMIFS('Attrition Modeling'!$D:$D,'Attrition Modeling'!$B:$B,$E126,'Attrition Modeling'!$C:$C,N$68),VLOOKUP(N$69-$F126-1,$A$7:$C$161,2,FALSE)*VLOOKUP(N$1,'Attrition Modeling'!$L$15:$N$27,IF(N$2-$F59&lt;=24,2,3),FALSE))*(1+Projection!P$16)*(1+IF(N191&gt;0,'Attrition Modeling'!$N$9,0))),0))</f>
        <v>0</v>
      </c>
      <c r="O126" s="799">
        <f>IF(O$69=$F126+1,IF(Monthly!K$4=TRUE,0,Monthly!K$17),IF(O$69&gt;$F126+1,N126*(1-IF(O$69-$F126&lt;=12,SUMIFS('Attrition Modeling'!$D:$D,'Attrition Modeling'!$B:$B,$E126,'Attrition Modeling'!$C:$C,O$68),VLOOKUP(O$69-$F126-1,$A$7:$C$161,2,FALSE)*VLOOKUP(O$1,'Attrition Modeling'!$L$15:$N$27,IF(O$2-$F59&lt;=24,2,3),FALSE))*(1+Projection!Q$16)*(1+IF(O191&gt;0,'Attrition Modeling'!$N$9,0))),0))</f>
        <v>0</v>
      </c>
      <c r="P126" s="799">
        <f>IF(P$69=$F126+1,IF(Monthly!L$4=TRUE,0,Monthly!L$17),IF(P$69&gt;$F126+1,O126*(1-IF(P$69-$F126&lt;=12,SUMIFS('Attrition Modeling'!$D:$D,'Attrition Modeling'!$B:$B,$E126,'Attrition Modeling'!$C:$C,P$68),VLOOKUP(P$69-$F126-1,$A$7:$C$161,2,FALSE)*VLOOKUP(P$1,'Attrition Modeling'!$L$15:$N$27,IF(P$2-$F59&lt;=24,2,3),FALSE))*(1+Projection!R$16)*(1+IF(P191&gt;0,'Attrition Modeling'!$N$9,0))),0))</f>
        <v>0</v>
      </c>
      <c r="Q126" s="799">
        <f>IF(Q$69=$F126+1,IF(Monthly!M$4=TRUE,0,Monthly!M$17),IF(Q$69&gt;$F126+1,P126*(1-IF(Q$69-$F126&lt;=12,SUMIFS('Attrition Modeling'!$D:$D,'Attrition Modeling'!$B:$B,$E126,'Attrition Modeling'!$C:$C,Q$68),VLOOKUP(Q$69-$F126-1,$A$7:$C$161,2,FALSE)*VLOOKUP(Q$1,'Attrition Modeling'!$L$15:$N$27,IF(Q$2-$F59&lt;=24,2,3),FALSE))*(1+Projection!S$16)*(1+IF(Q191&gt;0,'Attrition Modeling'!$N$9,0))),0))</f>
        <v>0</v>
      </c>
      <c r="R126" s="799">
        <f>IF(R$69=$F126+1,IF(Monthly!N$4=TRUE,0,Monthly!N$17),IF(R$69&gt;$F126+1,Q126*(1-IF(R$69-$F126&lt;=12,SUMIFS('Attrition Modeling'!$D:$D,'Attrition Modeling'!$B:$B,$E126,'Attrition Modeling'!$C:$C,R$68),VLOOKUP(R$69-$F126-1,$A$7:$C$161,2,FALSE)*VLOOKUP(R$1,'Attrition Modeling'!$L$15:$N$27,IF(R$2-$F59&lt;=24,2,3),FALSE))*(1+Projection!T$16)*(1+IF(R191&gt;0,'Attrition Modeling'!$N$9,0))),0))</f>
        <v>0</v>
      </c>
      <c r="S126" s="799">
        <f>IF(S$69=$F126+1,IF(Monthly!O$4=TRUE,0,Monthly!O$17),IF(S$69&gt;$F126+1,R126*(1-IF(S$69-$F126&lt;=12,SUMIFS('Attrition Modeling'!$D:$D,'Attrition Modeling'!$B:$B,$E126,'Attrition Modeling'!$C:$C,S$68),VLOOKUP(S$69-$F126-1,$A$7:$C$161,2,FALSE)*VLOOKUP(S$1,'Attrition Modeling'!$L$15:$N$27,IF(S$2-$F59&lt;=24,2,3),FALSE))*(1+Projection!U$16)*(1+IF(S191&gt;0,'Attrition Modeling'!$N$9,0))),0))</f>
        <v>0</v>
      </c>
      <c r="T126" s="799">
        <f>IF(T$69=$F126+1,IF(Monthly!P$4=TRUE,0,Monthly!P$17),IF(T$69&gt;$F126+1,S126*(1-IF(T$69-$F126&lt;=12,SUMIFS('Attrition Modeling'!$D:$D,'Attrition Modeling'!$B:$B,$E126,'Attrition Modeling'!$C:$C,T$68),VLOOKUP(T$69-$F126-1,$A$7:$C$161,2,FALSE)*VLOOKUP(T$1,'Attrition Modeling'!$L$15:$N$27,IF(T$2-$F59&lt;=24,2,3),FALSE))*(1+Projection!V$16)*(1+IF(T191&gt;0,'Attrition Modeling'!$N$9,0))),0))</f>
        <v>0</v>
      </c>
      <c r="U126" s="799">
        <f>IF(U$69=$F126+1,IF(Monthly!Q$4=TRUE,0,Monthly!Q$17),IF(U$69&gt;$F126+1,T126*(1-IF(U$69-$F126&lt;=12,SUMIFS('Attrition Modeling'!$D:$D,'Attrition Modeling'!$B:$B,$E126,'Attrition Modeling'!$C:$C,U$68),VLOOKUP(U$69-$F126-1,$A$7:$C$161,2,FALSE)*VLOOKUP(U$1,'Attrition Modeling'!$L$15:$N$27,IF(U$2-$F59&lt;=24,2,3),FALSE))*(1+Projection!W$16)*(1+IF(U191&gt;0,'Attrition Modeling'!$N$9,0))),0))</f>
        <v>0</v>
      </c>
      <c r="V126" s="799">
        <f>IF(V$69=$F126+1,IF(Monthly!R$4=TRUE,0,Monthly!R$17),IF(V$69&gt;$F126+1,U126*(1-IF(V$69-$F126&lt;=12,SUMIFS('Attrition Modeling'!$D:$D,'Attrition Modeling'!$B:$B,$E126,'Attrition Modeling'!$C:$C,V$68),VLOOKUP(V$69-$F126-1,$A$7:$C$161,2,FALSE)*VLOOKUP(V$1,'Attrition Modeling'!$L$15:$N$27,IF(V$2-$F59&lt;=24,2,3),FALSE))*(1+Projection!X$16)*(1+IF(V191&gt;0,'Attrition Modeling'!$N$9,0))),0))</f>
        <v>0</v>
      </c>
      <c r="W126" s="799">
        <f>IF(W$69=$F126+1,IF(Monthly!S$4=TRUE,0,Monthly!S$17),IF(W$69&gt;$F126+1,V126*(1-IF(W$69-$F126&lt;=12,SUMIFS('Attrition Modeling'!$D:$D,'Attrition Modeling'!$B:$B,$E126,'Attrition Modeling'!$C:$C,W$68),VLOOKUP(W$69-$F126-1,$A$7:$C$161,2,FALSE)*VLOOKUP(W$1,'Attrition Modeling'!$L$15:$N$27,IF(W$2-$F59&lt;=24,2,3),FALSE))*(1+Projection!Y$16)*(1+IF(W191&gt;0,'Attrition Modeling'!$N$9,0))),0))</f>
        <v>0</v>
      </c>
      <c r="X126" s="799">
        <f>IF(X$69=$F126+1,IF(Monthly!T$4=TRUE,0,Monthly!T$17),IF(X$69&gt;$F126+1,W126*(1-IF(X$69-$F126&lt;=12,SUMIFS('Attrition Modeling'!$D:$D,'Attrition Modeling'!$B:$B,$E126,'Attrition Modeling'!$C:$C,X$68),VLOOKUP(X$69-$F126-1,$A$7:$C$161,2,FALSE)*VLOOKUP(X$1,'Attrition Modeling'!$L$15:$N$27,IF(X$2-$F59&lt;=24,2,3),FALSE))*(1+Projection!Z$16)*(1+IF(X191&gt;0,'Attrition Modeling'!$N$9,0))),0))</f>
        <v>0</v>
      </c>
      <c r="Y126" s="799">
        <f>IF(Y$69=$F126+1,IF(Monthly!U$4=TRUE,0,Monthly!U$17),IF(Y$69&gt;$F126+1,X126*(1-IF(Y$69-$F126&lt;=12,SUMIFS('Attrition Modeling'!$D:$D,'Attrition Modeling'!$B:$B,$E126,'Attrition Modeling'!$C:$C,Y$68),VLOOKUP(Y$69-$F126-1,$A$7:$C$161,2,FALSE)*VLOOKUP(Y$1,'Attrition Modeling'!$L$15:$N$27,IF(Y$2-$F59&lt;=24,2,3),FALSE))*(1+Projection!AA$16)*(1+IF(Y191&gt;0,'Attrition Modeling'!$N$9,0))),0))</f>
        <v>0</v>
      </c>
      <c r="Z126" s="799">
        <f>IF(Z$69=$F126+1,IF(Monthly!V$4=TRUE,0,Monthly!V$17),IF(Z$69&gt;$F126+1,Y126*(1-IF(Z$69-$F126&lt;=12,SUMIFS('Attrition Modeling'!$D:$D,'Attrition Modeling'!$B:$B,$E126,'Attrition Modeling'!$C:$C,Z$68),VLOOKUP(Z$69-$F126-1,$A$7:$C$161,2,FALSE)*VLOOKUP(Z$1,'Attrition Modeling'!$L$15:$N$27,IF(Z$2-$F59&lt;=24,2,3),FALSE))*(1+Projection!AB$16)*(1+IF(Z191&gt;0,'Attrition Modeling'!$N$9,0))),0))</f>
        <v>0</v>
      </c>
      <c r="AA126" s="799">
        <f>IF(AA$69=$F126+1,IF(Monthly!W$4=TRUE,0,Monthly!W$17),IF(AA$69&gt;$F126+1,Z126*(1-IF(AA$69-$F126&lt;=12,SUMIFS('Attrition Modeling'!$D:$D,'Attrition Modeling'!$B:$B,$E126,'Attrition Modeling'!$C:$C,AA$68),VLOOKUP(AA$69-$F126-1,$A$7:$C$161,2,FALSE)*VLOOKUP(AA$1,'Attrition Modeling'!$L$15:$N$27,IF(AA$2-$F59&lt;=24,2,3),FALSE))*(1+Projection!AC$16)*(1+IF(AA191&gt;0,'Attrition Modeling'!$N$9,0))),0))</f>
        <v>0</v>
      </c>
      <c r="AB126" s="799">
        <f>IF(AB$69=$F126+1,IF(Monthly!X$4=TRUE,0,Monthly!X$17),IF(AB$69&gt;$F126+1,AA126*(1-IF(AB$69-$F126&lt;=12,SUMIFS('Attrition Modeling'!$D:$D,'Attrition Modeling'!$B:$B,$E126,'Attrition Modeling'!$C:$C,AB$68),VLOOKUP(AB$69-$F126-1,$A$7:$C$161,2,FALSE)*VLOOKUP(AB$1,'Attrition Modeling'!$L$15:$N$27,IF(AB$2-$F59&lt;=24,2,3),FALSE))*(1+Projection!AD$16)*(1+IF(AB191&gt;0,'Attrition Modeling'!$N$9,0))),0))</f>
        <v>0</v>
      </c>
      <c r="AC126" s="799">
        <f>IF(AC$69=$F126+1,IF(Monthly!Y$4=TRUE,0,Monthly!Y$17),IF(AC$69&gt;$F126+1,AB126*(1-IF(AC$69-$F126&lt;=12,SUMIFS('Attrition Modeling'!$D:$D,'Attrition Modeling'!$B:$B,$E126,'Attrition Modeling'!$C:$C,AC$68),VLOOKUP(AC$69-$F126-1,$A$7:$C$161,2,FALSE)*VLOOKUP(AC$1,'Attrition Modeling'!$L$15:$N$27,IF(AC$2-$F59&lt;=24,2,3),FALSE))*(1+Projection!AE$16)*(1+IF(AC191&gt;0,'Attrition Modeling'!$N$9,0))),0))</f>
        <v>0</v>
      </c>
      <c r="AD126" s="799">
        <f>IF(AD$69=$F126+1,IF(Monthly!Z$4=TRUE,0,Monthly!Z$17),IF(AD$69&gt;$F126+1,AC126*(1-IF(AD$69-$F126&lt;=12,SUMIFS('Attrition Modeling'!$D:$D,'Attrition Modeling'!$B:$B,$E126,'Attrition Modeling'!$C:$C,AD$68),VLOOKUP(AD$69-$F126-1,$A$7:$C$161,2,FALSE)*VLOOKUP(AD$1,'Attrition Modeling'!$L$15:$N$27,IF(AD$2-$F59&lt;=24,2,3),FALSE))*(1+Projection!AF$16)*(1+IF(AD191&gt;0,'Attrition Modeling'!$N$9,0))),0))</f>
        <v>0</v>
      </c>
      <c r="AE126" s="799">
        <f>IF(AE$69=$F126+1,IF(Monthly!AA$4=TRUE,0,Monthly!AA$17),IF(AE$69&gt;$F126+1,AD126*(1-IF(AE$69-$F126&lt;=12,SUMIFS('Attrition Modeling'!$D:$D,'Attrition Modeling'!$B:$B,$E126,'Attrition Modeling'!$C:$C,AE$68),VLOOKUP(AE$69-$F126-1,$A$7:$C$161,2,FALSE)*VLOOKUP(AE$1,'Attrition Modeling'!$L$15:$N$27,IF(AE$2-$F59&lt;=24,2,3),FALSE))*(1+Projection!AG$16)*(1+IF(AE191&gt;0,'Attrition Modeling'!$N$9,0))),0))</f>
        <v>0</v>
      </c>
      <c r="AF126" s="799">
        <f>IF(AF$69=$F126+1,IF(Monthly!AB$4=TRUE,0,Monthly!AB$17),IF(AF$69&gt;$F126+1,AE126*(1-IF(AF$69-$F126&lt;=12,SUMIFS('Attrition Modeling'!$D:$D,'Attrition Modeling'!$B:$B,$E126,'Attrition Modeling'!$C:$C,AF$68),VLOOKUP(AF$69-$F126-1,$A$7:$C$161,2,FALSE)*VLOOKUP(AF$1,'Attrition Modeling'!$L$15:$N$27,IF(AF$2-$F59&lt;=24,2,3),FALSE))*(1+Projection!AH$16)*(1+IF(AF191&gt;0,'Attrition Modeling'!$N$9,0))),0))</f>
        <v>0</v>
      </c>
      <c r="AG126" s="799">
        <f>IF(AG$69=$F126+1,IF(Monthly!AC$4=TRUE,0,Monthly!AC$17),IF(AG$69&gt;$F126+1,AF126*(1-IF(AG$69-$F126&lt;=12,SUMIFS('Attrition Modeling'!$D:$D,'Attrition Modeling'!$B:$B,$E126,'Attrition Modeling'!$C:$C,AG$68),VLOOKUP(AG$69-$F126-1,$A$7:$C$161,2,FALSE)*VLOOKUP(AG$1,'Attrition Modeling'!$L$15:$N$27,IF(AG$2-$F59&lt;=24,2,3),FALSE))*(1+Projection!AI$16)*(1+IF(AG191&gt;0,'Attrition Modeling'!$N$9,0))),0))</f>
        <v>0</v>
      </c>
      <c r="AH126" s="799">
        <f>IF(AH$69=$F126+1,IF(Monthly!AD$4=TRUE,0,Monthly!AD$17),IF(AH$69&gt;$F126+1,AG126*(1-IF(AH$69-$F126&lt;=12,SUMIFS('Attrition Modeling'!$D:$D,'Attrition Modeling'!$B:$B,$E126,'Attrition Modeling'!$C:$C,AH$68),VLOOKUP(AH$69-$F126-1,$A$7:$C$161,2,FALSE)*VLOOKUP(AH$1,'Attrition Modeling'!$L$15:$N$27,IF(AH$2-$F59&lt;=24,2,3),FALSE))*(1+Projection!AJ$16)*(1+IF(AH191&gt;0,'Attrition Modeling'!$N$9,0))),0))</f>
        <v>0</v>
      </c>
      <c r="AI126" s="799">
        <f>IF(AI$69=$F126+1,IF(Monthly!AE$4=TRUE,0,Monthly!AE$17),IF(AI$69&gt;$F126+1,AH126*(1-IF(AI$69-$F126&lt;=12,SUMIFS('Attrition Modeling'!$D:$D,'Attrition Modeling'!$B:$B,$E126,'Attrition Modeling'!$C:$C,AI$68),VLOOKUP(AI$69-$F126-1,$A$7:$C$161,2,FALSE)*VLOOKUP(AI$1,'Attrition Modeling'!$L$15:$N$27,IF(AI$2-$F59&lt;=24,2,3),FALSE))*(1+Projection!AK$16)*(1+IF(AI191&gt;0,'Attrition Modeling'!$N$9,0))),0))</f>
        <v>0</v>
      </c>
      <c r="AJ126" s="799">
        <f>IF(AJ$69=$F126+1,IF(Monthly!AF$4=TRUE,0,Monthly!AF$17),IF(AJ$69&gt;$F126+1,AI126*(1-IF(AJ$69-$F126&lt;=12,SUMIFS('Attrition Modeling'!$D:$D,'Attrition Modeling'!$B:$B,$E126,'Attrition Modeling'!$C:$C,AJ$68),VLOOKUP(AJ$69-$F126-1,$A$7:$C$161,2,FALSE)*VLOOKUP(AJ$1,'Attrition Modeling'!$L$15:$N$27,IF(AJ$2-$F59&lt;=24,2,3),FALSE))*(1+Projection!AL$16)*(1+IF(AJ191&gt;0,'Attrition Modeling'!$N$9,0))),0))</f>
        <v>0</v>
      </c>
      <c r="AK126" s="799">
        <f>IF(AK$69=$F126+1,IF(Monthly!AG$4=TRUE,0,Monthly!AG$17),IF(AK$69&gt;$F126+1,AJ126*(1-IF(AK$69-$F126&lt;=12,SUMIFS('Attrition Modeling'!$D:$D,'Attrition Modeling'!$B:$B,$E126,'Attrition Modeling'!$C:$C,AK$68),VLOOKUP(AK$69-$F126-1,$A$7:$C$161,2,FALSE)*VLOOKUP(AK$1,'Attrition Modeling'!$L$15:$N$27,IF(AK$2-$F59&lt;=24,2,3),FALSE))*(1+Projection!AM$16)*(1+IF(AK191&gt;0,'Attrition Modeling'!$N$9,0))),0))</f>
        <v>0</v>
      </c>
      <c r="AL126" s="799">
        <f>IF(AL$69=$F126+1,IF(Monthly!AH$4=TRUE,0,Monthly!AH$17),IF(AL$69&gt;$F126+1,AK126*(1-IF(AL$69-$F126&lt;=12,SUMIFS('Attrition Modeling'!$D:$D,'Attrition Modeling'!$B:$B,$E126,'Attrition Modeling'!$C:$C,AL$68),VLOOKUP(AL$69-$F126-1,$A$7:$C$161,2,FALSE)*VLOOKUP(AL$1,'Attrition Modeling'!$L$15:$N$27,IF(AL$2-$F59&lt;=24,2,3),FALSE))*(1+Projection!AN$16)*(1+IF(AL191&gt;0,'Attrition Modeling'!$N$9,0))),0))</f>
        <v>0</v>
      </c>
      <c r="AM126" s="799">
        <f>IF(AM$69=$F126+1,IF(Monthly!AI$4=TRUE,0,Monthly!AI$17),IF(AM$69&gt;$F126+1,AL126*(1-IF(AM$69-$F126&lt;=12,SUMIFS('Attrition Modeling'!$D:$D,'Attrition Modeling'!$B:$B,$E126,'Attrition Modeling'!$C:$C,AM$68),VLOOKUP(AM$69-$F126-1,$A$7:$C$161,2,FALSE)*VLOOKUP(AM$1,'Attrition Modeling'!$L$15:$N$27,IF(AM$2-$F59&lt;=24,2,3),FALSE))*(1+Projection!AO$16)*(1+IF(AM191&gt;0,'Attrition Modeling'!$N$9,0))),0))</f>
        <v>0</v>
      </c>
      <c r="AN126" s="799">
        <f>IF(AN$69=$F126+1,IF(Monthly!AJ$4=TRUE,0,Monthly!AJ$17),IF(AN$69&gt;$F126+1,AM126*(1-IF(AN$69-$F126&lt;=12,SUMIFS('Attrition Modeling'!$D:$D,'Attrition Modeling'!$B:$B,$E126,'Attrition Modeling'!$C:$C,AN$68),VLOOKUP(AN$69-$F126-1,$A$7:$C$161,2,FALSE)*VLOOKUP(AN$1,'Attrition Modeling'!$L$15:$N$27,IF(AN$2-$F59&lt;=24,2,3),FALSE))*(1+Projection!AP$16)*(1+IF(AN191&gt;0,'Attrition Modeling'!$N$9,0))),0))</f>
        <v>0</v>
      </c>
      <c r="AO126" s="799">
        <f>IF(AO$69=$F126+1,IF(Monthly!AK$4=TRUE,0,Monthly!AK$17),IF(AO$69&gt;$F126+1,AN126*(1-IF(AO$69-$F126&lt;=12,SUMIFS('Attrition Modeling'!$D:$D,'Attrition Modeling'!$B:$B,$E126,'Attrition Modeling'!$C:$C,AO$68),VLOOKUP(AO$69-$F126-1,$A$7:$C$161,2,FALSE)*VLOOKUP(AO$1,'Attrition Modeling'!$L$15:$N$27,IF(AO$2-$F59&lt;=24,2,3),FALSE))*(1+Projection!AQ$16)*(1+IF(AO191&gt;0,'Attrition Modeling'!$N$9,0))),0))</f>
        <v>0</v>
      </c>
      <c r="AP126" s="799">
        <f>IF(AP$69=$F126+1,IF(Monthly!AL$4=TRUE,0,Monthly!AL$17),IF(AP$69&gt;$F126+1,AO126*(1-IF(AP$69-$F126&lt;=12,SUMIFS('Attrition Modeling'!$D:$D,'Attrition Modeling'!$B:$B,$E126,'Attrition Modeling'!$C:$C,AP$68),VLOOKUP(AP$69-$F126-1,$A$7:$C$161,2,FALSE)*VLOOKUP(AP$1,'Attrition Modeling'!$L$15:$N$27,IF(AP$2-$F59&lt;=24,2,3),FALSE))*(1+Projection!AR$16)*(1+IF(AP191&gt;0,'Attrition Modeling'!$N$9,0))),0))</f>
        <v>0</v>
      </c>
      <c r="AQ126" s="799">
        <f>IF(AQ$69=$F126+1,IF(Monthly!AM$4=TRUE,0,Monthly!AM$17),IF(AQ$69&gt;$F126+1,AP126*(1-IF(AQ$69-$F126&lt;=12,SUMIFS('Attrition Modeling'!$D:$D,'Attrition Modeling'!$B:$B,$E126,'Attrition Modeling'!$C:$C,AQ$68),VLOOKUP(AQ$69-$F126-1,$A$7:$C$161,2,FALSE)*VLOOKUP(AQ$1,'Attrition Modeling'!$L$15:$N$27,IF(AQ$2-$F59&lt;=24,2,3),FALSE))*(1+Projection!AS$16)*(1+IF(AQ191&gt;0,'Attrition Modeling'!$N$9,0))),0))</f>
        <v>0</v>
      </c>
      <c r="AR126" s="799">
        <f>IF(AR$69=$F126+1,IF(Monthly!AN$4=TRUE,0,Monthly!AN$17),IF(AR$69&gt;$F126+1,AQ126*(1-IF(AR$69-$F126&lt;=12,SUMIFS('Attrition Modeling'!$D:$D,'Attrition Modeling'!$B:$B,$E126,'Attrition Modeling'!$C:$C,AR$68),VLOOKUP(AR$69-$F126-1,$A$7:$C$161,2,FALSE)*VLOOKUP(AR$1,'Attrition Modeling'!$L$15:$N$27,IF(AR$2-$F59&lt;=24,2,3),FALSE))*(1+Projection!AT$16)*(1+IF(AR191&gt;0,'Attrition Modeling'!$N$9,0))),0))</f>
        <v>0</v>
      </c>
      <c r="AS126" s="799">
        <f>IF(AS$69=$F126+1,IF(Monthly!AO$4=TRUE,0,Monthly!AO$17),IF(AS$69&gt;$F126+1,AR126*(1-IF(AS$69-$F126&lt;=12,SUMIFS('Attrition Modeling'!$D:$D,'Attrition Modeling'!$B:$B,$E126,'Attrition Modeling'!$C:$C,AS$68),VLOOKUP(AS$69-$F126-1,$A$7:$C$161,2,FALSE)*VLOOKUP(AS$1,'Attrition Modeling'!$L$15:$N$27,IF(AS$2-$F59&lt;=24,2,3),FALSE))*(1+Projection!AU$16)*(1+IF(AS191&gt;0,'Attrition Modeling'!$N$9,0))),0))</f>
        <v>0</v>
      </c>
      <c r="AT126" s="799">
        <f>IF(AT$69=$F126+1,IF(Monthly!AP$4=TRUE,0,Monthly!AP$17),IF(AT$69&gt;$F126+1,AS126*(1-IF(AT$69-$F126&lt;=12,SUMIFS('Attrition Modeling'!$D:$D,'Attrition Modeling'!$B:$B,$E126,'Attrition Modeling'!$C:$C,AT$68),VLOOKUP(AT$69-$F126-1,$A$7:$C$161,2,FALSE)*VLOOKUP(AT$1,'Attrition Modeling'!$L$15:$N$27,IF(AT$2-$F59&lt;=24,2,3),FALSE))*(1+Projection!AV$16)*(1+IF(AT191&gt;0,'Attrition Modeling'!$N$9,0))),0))</f>
        <v>0</v>
      </c>
      <c r="AU126" s="799">
        <f>IF(AU$69=$F126+1,IF(Monthly!AQ$4=TRUE,0,Monthly!AQ$17),IF(AU$69&gt;$F126+1,AT126*(1-IF(AU$69-$F126&lt;=12,SUMIFS('Attrition Modeling'!$D:$D,'Attrition Modeling'!$B:$B,$E126,'Attrition Modeling'!$C:$C,AU$68),VLOOKUP(AU$69-$F126-1,$A$7:$C$161,2,FALSE)*VLOOKUP(AU$1,'Attrition Modeling'!$L$15:$N$27,IF(AU$2-$F59&lt;=24,2,3),FALSE))*(1+Projection!AW$16)*(1+IF(AU191&gt;0,'Attrition Modeling'!$N$9,0))),0))</f>
        <v>0</v>
      </c>
      <c r="AV126" s="799">
        <f>IF(AV$69=$F126+1,IF(Monthly!AR$4=TRUE,0,Monthly!AR$17),IF(AV$69&gt;$F126+1,AU126*(1-IF(AV$69-$F126&lt;=12,SUMIFS('Attrition Modeling'!$D:$D,'Attrition Modeling'!$B:$B,$E126,'Attrition Modeling'!$C:$C,AV$68),VLOOKUP(AV$69-$F126-1,$A$7:$C$161,2,FALSE)*VLOOKUP(AV$1,'Attrition Modeling'!$L$15:$N$27,IF(AV$2-$F59&lt;=24,2,3),FALSE))*(1+Projection!AX$16)*(1+IF(AV191&gt;0,'Attrition Modeling'!$N$9,0))),0))</f>
        <v>0</v>
      </c>
      <c r="AW126" s="799">
        <f>IF(AW$69=$F126+1,IF(Monthly!AS$4=TRUE,0,Monthly!AS$17),IF(AW$69&gt;$F126+1,AV126*(1-IF(AW$69-$F126&lt;=12,SUMIFS('Attrition Modeling'!$D:$D,'Attrition Modeling'!$B:$B,$E126,'Attrition Modeling'!$C:$C,AW$68),VLOOKUP(AW$69-$F126-1,$A$7:$C$161,2,FALSE)*VLOOKUP(AW$1,'Attrition Modeling'!$L$15:$N$27,IF(AW$2-$F59&lt;=24,2,3),FALSE))*(1+Projection!AY$16)*(1+IF(AW191&gt;0,'Attrition Modeling'!$N$9,0))),0))</f>
        <v>0</v>
      </c>
      <c r="AX126" s="799">
        <f>IF(AX$69=$F126+1,IF(Monthly!AT$4=TRUE,0,Monthly!AT$17),IF(AX$69&gt;$F126+1,AW126*(1-IF(AX$69-$F126&lt;=12,SUMIFS('Attrition Modeling'!$D:$D,'Attrition Modeling'!$B:$B,$E126,'Attrition Modeling'!$C:$C,AX$68),VLOOKUP(AX$69-$F126-1,$A$7:$C$161,2,FALSE)*VLOOKUP(AX$1,'Attrition Modeling'!$L$15:$N$27,IF(AX$2-$F59&lt;=24,2,3),FALSE))*(1+Projection!AZ$16)*(1+IF(AX191&gt;0,'Attrition Modeling'!$N$9,0))),0))</f>
        <v>0</v>
      </c>
      <c r="AY126" s="799">
        <f>IF(AY$69=$F126+1,IF(Monthly!AU$4=TRUE,0,Monthly!AU$17),IF(AY$69&gt;$F126+1,AX126*(1-IF(AY$69-$F126&lt;=12,SUMIFS('Attrition Modeling'!$D:$D,'Attrition Modeling'!$B:$B,$E126,'Attrition Modeling'!$C:$C,AY$68),VLOOKUP(AY$69-$F126-1,$A$7:$C$161,2,FALSE)*VLOOKUP(AY$1,'Attrition Modeling'!$L$15:$N$27,IF(AY$2-$F59&lt;=24,2,3),FALSE))*(1+Projection!BA$16)*(1+IF(AY191&gt;0,'Attrition Modeling'!$N$9,0))),0))</f>
        <v>0</v>
      </c>
      <c r="AZ126" s="799">
        <f>IF(AZ$69=$F126+1,IF(Monthly!AV$4=TRUE,0,Monthly!AV$17),IF(AZ$69&gt;$F126+1,AY126*(1-IF(AZ$69-$F126&lt;=12,SUMIFS('Attrition Modeling'!$D:$D,'Attrition Modeling'!$B:$B,$E126,'Attrition Modeling'!$C:$C,AZ$68),VLOOKUP(AZ$69-$F126-1,$A$7:$C$161,2,FALSE)*VLOOKUP(AZ$1,'Attrition Modeling'!$L$15:$N$27,IF(AZ$2-$F59&lt;=24,2,3),FALSE))*(1+Projection!BB$16)*(1+IF(AZ191&gt;0,'Attrition Modeling'!$N$9,0))),0))</f>
        <v>0</v>
      </c>
      <c r="BA126" s="799">
        <f>IF(BA$69=$F126+1,IF(Monthly!AW$4=TRUE,0,Monthly!AW$17),IF(BA$69&gt;$F126+1,AZ126*(1-IF(BA$69-$F126&lt;=12,SUMIFS('Attrition Modeling'!$D:$D,'Attrition Modeling'!$B:$B,$E126,'Attrition Modeling'!$C:$C,BA$68),VLOOKUP(BA$69-$F126-1,$A$7:$C$161,2,FALSE)*VLOOKUP(BA$1,'Attrition Modeling'!$L$15:$N$27,IF(BA$2-$F59&lt;=24,2,3),FALSE))*(1+Projection!BC$16)*(1+IF(BA191&gt;0,'Attrition Modeling'!$N$9,0))),0))</f>
        <v>0</v>
      </c>
      <c r="BB126" s="799">
        <f>IF(BB$69=$F126+1,IF(Monthly!AX$4=TRUE,0,Monthly!AX$17),IF(BB$69&gt;$F126+1,BA126*(1-IF(BB$69-$F126&lt;=12,SUMIFS('Attrition Modeling'!$D:$D,'Attrition Modeling'!$B:$B,$E126,'Attrition Modeling'!$C:$C,BB$68),VLOOKUP(BB$69-$F126-1,$A$7:$C$161,2,FALSE)*VLOOKUP(BB$1,'Attrition Modeling'!$L$15:$N$27,IF(BB$2-$F59&lt;=24,2,3),FALSE))*(1+Projection!BD$16)*(1+IF(BB191&gt;0,'Attrition Modeling'!$N$9,0))),0))</f>
        <v>0</v>
      </c>
      <c r="BC126" s="799">
        <f>IF(BC$69=$F126+1,IF(Monthly!AY$4=TRUE,0,Monthly!AY$17),IF(BC$69&gt;$F126+1,BB126*(1-IF(BC$69-$F126&lt;=12,SUMIFS('Attrition Modeling'!$D:$D,'Attrition Modeling'!$B:$B,$E126,'Attrition Modeling'!$C:$C,BC$68),VLOOKUP(BC$69-$F126-1,$A$7:$C$161,2,FALSE)*VLOOKUP(BC$1,'Attrition Modeling'!$L$15:$N$27,IF(BC$2-$F59&lt;=24,2,3),FALSE))*(1+Projection!BE$16)*(1+IF(BC191&gt;0,'Attrition Modeling'!$N$9,0))),0))</f>
        <v>0</v>
      </c>
      <c r="BD126" s="799">
        <f>IF(BD$69=$F126+1,IF(Monthly!AZ$4=TRUE,0,Monthly!AZ$17),IF(BD$69&gt;$F126+1,BC126*(1-IF(BD$69-$F126&lt;=12,SUMIFS('Attrition Modeling'!$D:$D,'Attrition Modeling'!$B:$B,$E126,'Attrition Modeling'!$C:$C,BD$68),VLOOKUP(BD$69-$F126-1,$A$7:$C$161,2,FALSE)*VLOOKUP(BD$1,'Attrition Modeling'!$L$15:$N$27,IF(BD$2-$F59&lt;=24,2,3),FALSE))*(1+Projection!BF$16)*(1+IF(BD191&gt;0,'Attrition Modeling'!$N$9,0))),0))</f>
        <v>0</v>
      </c>
      <c r="BE126" s="799">
        <f>IF(BE$69=$F126+1,IF(Monthly!BA$4=TRUE,0,Monthly!BA$17),IF(BE$69&gt;$F126+1,BD126*(1-IF(BE$69-$F126&lt;=12,SUMIFS('Attrition Modeling'!$D:$D,'Attrition Modeling'!$B:$B,$E126,'Attrition Modeling'!$C:$C,BE$68),VLOOKUP(BE$69-$F126-1,$A$7:$C$161,2,FALSE)*VLOOKUP(BE$1,'Attrition Modeling'!$L$15:$N$27,IF(BE$2-$F59&lt;=24,2,3),FALSE))*(1+Projection!BG$16)*(1+IF(BE191&gt;0,'Attrition Modeling'!$N$9,0))),0))</f>
        <v>0</v>
      </c>
      <c r="BF126" s="799">
        <f>IF(BF$69=$F126+1,IF(Monthly!BB$4=TRUE,0,Monthly!BB$17),IF(BF$69&gt;$F126+1,BE126*(1-IF(BF$69-$F126&lt;=12,SUMIFS('Attrition Modeling'!$D:$D,'Attrition Modeling'!$B:$B,$E126,'Attrition Modeling'!$C:$C,BF$68),VLOOKUP(BF$69-$F126-1,$A$7:$C$161,2,FALSE)*VLOOKUP(BF$1,'Attrition Modeling'!$L$15:$N$27,IF(BF$2-$F59&lt;=24,2,3),FALSE))*(1+Projection!BH$16)*(1+IF(BF191&gt;0,'Attrition Modeling'!$N$9,0))),0))</f>
        <v>0</v>
      </c>
      <c r="BG126" s="799">
        <f>IF(BG$69=$F126+1,IF(Monthly!BC$4=TRUE,0,Monthly!BC$17),IF(BG$69&gt;$F126+1,BF126*(1-IF(BG$69-$F126&lt;=12,SUMIFS('Attrition Modeling'!$D:$D,'Attrition Modeling'!$B:$B,$E126,'Attrition Modeling'!$C:$C,BG$68),VLOOKUP(BG$69-$F126-1,$A$7:$C$161,2,FALSE)*VLOOKUP(BG$1,'Attrition Modeling'!$L$15:$N$27,IF(BG$2-$F59&lt;=24,2,3),FALSE))*(1+Projection!BI$16)*(1+IF(BG191&gt;0,'Attrition Modeling'!$N$9,0))),0))</f>
        <v>0</v>
      </c>
      <c r="BH126" s="799">
        <f>IF(BH$69=$F126+1,IF(Monthly!BD$4=TRUE,0,Monthly!BD$17),IF(BH$69&gt;$F126+1,BG126*(1-IF(BH$69-$F126&lt;=12,SUMIFS('Attrition Modeling'!$D:$D,'Attrition Modeling'!$B:$B,$E126,'Attrition Modeling'!$C:$C,BH$68),VLOOKUP(BH$69-$F126-1,$A$7:$C$161,2,FALSE)*VLOOKUP(BH$1,'Attrition Modeling'!$L$15:$N$27,IF(BH$2-$F59&lt;=24,2,3),FALSE))*(1+Projection!BJ$16)*(1+IF(BH191&gt;0,'Attrition Modeling'!$N$9,0))),0))</f>
        <v>0</v>
      </c>
      <c r="BI126" s="799">
        <f>IF(BI$69=$F126+1,IF(Monthly!BE$4=TRUE,0,Monthly!BE$17),IF(BI$69&gt;$F126+1,BH126*(1-IF(BI$69-$F126&lt;=12,SUMIFS('Attrition Modeling'!$D:$D,'Attrition Modeling'!$B:$B,$E126,'Attrition Modeling'!$C:$C,BI$68),VLOOKUP(BI$69-$F126-1,$A$7:$C$161,2,FALSE)*VLOOKUP(BI$1,'Attrition Modeling'!$L$15:$N$27,IF(BI$2-$F59&lt;=24,2,3),FALSE))*(1+Projection!BK$16)*(1+IF(BI191&gt;0,'Attrition Modeling'!$N$9,0))),0))</f>
        <v>0</v>
      </c>
      <c r="BJ126" s="799">
        <f>IF(BJ$69=$F126+1,IF(Monthly!BF$4=TRUE,0,Monthly!BF$17),IF(BJ$69&gt;$F126+1,BI126*(1-IF(BJ$69-$F126&lt;=12,SUMIFS('Attrition Modeling'!$D:$D,'Attrition Modeling'!$B:$B,$E126,'Attrition Modeling'!$C:$C,BJ$68),VLOOKUP(BJ$69-$F126-1,$A$7:$C$161,2,FALSE)*VLOOKUP(BJ$1,'Attrition Modeling'!$L$15:$N$27,IF(BJ$2-$F59&lt;=24,2,3),FALSE))*(1+Projection!BL$16)*(1+IF(BJ191&gt;0,'Attrition Modeling'!$N$9,0))),0))</f>
        <v>0</v>
      </c>
      <c r="BK126" s="799">
        <f>IF(BK$69=$F126+1,IF(Monthly!BG$4=TRUE,0,Monthly!BG$17),IF(BK$69&gt;$F126+1,BJ126*(1-IF(BK$69-$F126&lt;=12,SUMIFS('Attrition Modeling'!$D:$D,'Attrition Modeling'!$B:$B,$E126,'Attrition Modeling'!$C:$C,BK$68),VLOOKUP(BK$69-$F126-1,$A$7:$C$161,2,FALSE)*VLOOKUP(BK$1,'Attrition Modeling'!$L$15:$N$27,IF(BK$2-$F59&lt;=24,2,3),FALSE))*(1+Projection!BM$16)*(1+IF(BK191&gt;0,'Attrition Modeling'!$N$9,0))),0))</f>
        <v>0</v>
      </c>
      <c r="BL126" s="799">
        <f>IF(BL$69=$F126+1,IF(Monthly!BH$4=TRUE,0,Monthly!BH$17),IF(BL$69&gt;$F126+1,BK126*(1-IF(BL$69-$F126&lt;=12,SUMIFS('Attrition Modeling'!$D:$D,'Attrition Modeling'!$B:$B,$E126,'Attrition Modeling'!$C:$C,BL$68),VLOOKUP(BL$69-$F126-1,$A$7:$C$161,2,FALSE)*VLOOKUP(BL$1,'Attrition Modeling'!$L$15:$N$27,IF(BL$2-$F59&lt;=24,2,3),FALSE))*(1+Projection!BN$16)*(1+IF(BL191&gt;0,'Attrition Modeling'!$N$9,0))),0))</f>
        <v>5169.0642053984775</v>
      </c>
      <c r="BM126" s="799">
        <f>IF(BM$69=$F126+1,IF(Monthly!BI$4=TRUE,0,Monthly!BI$17),IF(BM$69&gt;$F126+1,BL126*(1-IF(BM$69-$F126&lt;=12,SUMIFS('Attrition Modeling'!$D:$D,'Attrition Modeling'!$B:$B,$E126,'Attrition Modeling'!$C:$C,BM$68),VLOOKUP(BM$69-$F126-1,$A$7:$C$161,2,FALSE)*VLOOKUP(BM$1,'Attrition Modeling'!$L$15:$N$27,IF(BM$2-$F59&lt;=24,2,3),FALSE))*(1+Projection!BO$16)*(1+IF(BM191&gt;0,'Attrition Modeling'!$N$9,0))),0))</f>
        <v>4604.3330859238631</v>
      </c>
      <c r="BN126" s="799">
        <f>IF(BN$69=$F126+1,IF(Monthly!BJ$4=TRUE,0,Monthly!BJ$17),IF(BN$69&gt;$F126+1,BM126*(1-IF(BN$69-$F126&lt;=12,SUMIFS('Attrition Modeling'!$D:$D,'Attrition Modeling'!$B:$B,$E126,'Attrition Modeling'!$C:$C,BN$68),VLOOKUP(BN$69-$F126-1,$A$7:$C$161,2,FALSE)*VLOOKUP(BN$1,'Attrition Modeling'!$L$15:$N$27,IF(BN$2-$F59&lt;=24,2,3),FALSE))*(1+Projection!BP$16)*(1+IF(BN191&gt;0,'Attrition Modeling'!$N$9,0))),0))</f>
        <v>4190.3295038232864</v>
      </c>
      <c r="BO126" s="799">
        <f>IF(BO$69=$F126+1,IF(Monthly!BK$4=TRUE,0,Monthly!BK$17),IF(BO$69&gt;$F126+1,BN126*(1-IF(BO$69-$F126&lt;=12,SUMIFS('Attrition Modeling'!$D:$D,'Attrition Modeling'!$B:$B,$E126,'Attrition Modeling'!$C:$C,BO$68),VLOOKUP(BO$69-$F126-1,$A$7:$C$161,2,FALSE)*VLOOKUP(BO$1,'Attrition Modeling'!$L$15:$N$27,IF(BO$2-$F59&lt;=24,2,3),FALSE))*(1+Projection!BV$16)*(1+IF(BO191&gt;0,'Attrition Modeling'!$N$9,0))),0))</f>
        <v>3812.8471903481491</v>
      </c>
      <c r="BP126" s="799">
        <f>IF(BP$69=$F126+1,IF(Monthly!BL$4=TRUE,0,Monthly!BL$17),IF(BP$69&gt;$F126+1,BO126*(1-IF(BP$69-$F126&lt;=12,SUMIFS('Attrition Modeling'!$D:$D,'Attrition Modeling'!$B:$B,$E126,'Attrition Modeling'!$C:$C,BP$68),VLOOKUP(BP$69-$F126-1,$A$7:$C$161,2,FALSE)*VLOOKUP(BP$1,'Attrition Modeling'!$L$15:$N$27,IF(BP$2-$F59&lt;=24,2,3),FALSE))*(1+Projection!BW$16)*(1+IF(BP191&gt;0,'Attrition Modeling'!$N$9,0))),0))</f>
        <v>3517.2371858089291</v>
      </c>
      <c r="BQ126" s="799">
        <f>IF(BQ$69=$F126+1,IF(Monthly!BM$4=TRUE,0,Monthly!BM$17),IF(BQ$69&gt;$F126+1,BP126*(1-IF(BQ$69-$F126&lt;=12,SUMIFS('Attrition Modeling'!$D:$D,'Attrition Modeling'!$B:$B,$E126,'Attrition Modeling'!$C:$C,BQ$68),VLOOKUP(BQ$69-$F126-1,$A$7:$C$161,2,FALSE)*VLOOKUP(BQ$1,'Attrition Modeling'!$L$15:$N$27,IF(BQ$2-$F59&lt;=24,2,3),FALSE))*(1+Projection!BX$16)*(1+IF(BQ191&gt;0,'Attrition Modeling'!$N$9,0))),0))</f>
        <v>3192.1722539262851</v>
      </c>
      <c r="BR126" s="799">
        <f>IF(BR$69=$F126+1,IF(Monthly!BN$4=TRUE,0,Monthly!BN$17),IF(BR$69&gt;$F126+1,BQ126*(1-IF(BR$69-$F126&lt;=12,SUMIFS('Attrition Modeling'!$D:$D,'Attrition Modeling'!$B:$B,$E126,'Attrition Modeling'!$C:$C,BR$68),VLOOKUP(BR$69-$F126-1,$A$7:$C$161,2,FALSE)*VLOOKUP(BR$1,'Attrition Modeling'!$L$15:$N$27,IF(BR$2-$F59&lt;=24,2,3),FALSE))*(1+Projection!BY$16)*(1+IF(BR191&gt;0,'Attrition Modeling'!$N$9,0))),0))</f>
        <v>2950.0888593393465</v>
      </c>
      <c r="BS126" s="799">
        <f>IF(BS$69=$F126+1,IF(Monthly!BO$4=TRUE,0,Monthly!BO$17),IF(BS$69&gt;$F126+1,BR126*(1-IF(BS$69-$F126&lt;=12,SUMIFS('Attrition Modeling'!$D:$D,'Attrition Modeling'!$B:$B,$E126,'Attrition Modeling'!$C:$C,BS$68),VLOOKUP(BS$69-$F126-1,$A$7:$C$161,2,FALSE)*VLOOKUP(BS$1,'Attrition Modeling'!$L$15:$N$27,IF(BS$2-$F59&lt;=24,2,3),FALSE))*(1+Projection!BZ$16)*(1+IF(BS191&gt;0,'Attrition Modeling'!$N$9,0))),0))</f>
        <v>2756.139426907373</v>
      </c>
      <c r="BT126" s="799">
        <f>IF(BT$69=$F126+1,IF(Monthly!#REF!=TRUE,0,Monthly!#REF!),IF(BT$69&gt;$F126+1,BS126*(1-IF(BT$69-$F126&lt;=12,SUMIFS('Attrition Modeling'!$D:$D,'Attrition Modeling'!$B:$B,$E126,'Attrition Modeling'!$C:$C,BT$68),VLOOKUP(BT$69-$F126-1,$A$7:$C$161,2,FALSE)*VLOOKUP(BT$1,'Attrition Modeling'!$L$15:$N$27,IF(BT$2-$F59&lt;=24,2,3),FALSE))*(1+Projection!CA$16)*(1+IF(BT191&gt;0,'Attrition Modeling'!$N$9,0))),0))</f>
        <v>2592.6062642917309</v>
      </c>
      <c r="BU126" s="799">
        <f>IF(BU$69=$F126+1,IF(Monthly!#REF!=TRUE,0,Monthly!#REF!),IF(BU$69&gt;$F126+1,BT126*(1-IF(BU$69-$F126&lt;=12,SUMIFS('Attrition Modeling'!$D:$D,'Attrition Modeling'!$B:$B,$E126,'Attrition Modeling'!$C:$C,BU$68),VLOOKUP(BU$69-$F126-1,$A$7:$C$161,2,FALSE)*VLOOKUP(BU$1,'Attrition Modeling'!$L$15:$N$27,IF(BU$2-$F59&lt;=24,2,3),FALSE))*(1+Projection!CB$16)*(1+IF(BU191&gt;0,'Attrition Modeling'!$N$9,0))),0))</f>
        <v>2440.224768139416</v>
      </c>
    </row>
    <row r="127" spans="1:73" ht="14.25" customHeight="1" x14ac:dyDescent="0.2">
      <c r="A127" s="9">
        <v>120</v>
      </c>
      <c r="B127" s="25">
        <f>MAX('Attrition Modeling'!H124,$C$3)*(1-Summary!$C$20)</f>
        <v>0.02</v>
      </c>
      <c r="C127" s="24" t="e">
        <f t="shared" si="4"/>
        <v>#DIV/0!</v>
      </c>
      <c r="E127" s="11">
        <f t="shared" si="9"/>
        <v>9</v>
      </c>
      <c r="F127" s="11">
        <f t="shared" si="10"/>
        <v>57</v>
      </c>
      <c r="G127" s="799"/>
      <c r="H127" s="799">
        <f>IF(H$69=$F127+1,IF(Monthly!D$4=TRUE,0,Monthly!D$17),IF(H$69&gt;$F127+1,G127*(1-IF(H$69-$F127&lt;=12,SUMIFS('Attrition Modeling'!$D:$D,'Attrition Modeling'!$B:$B,$E127,'Attrition Modeling'!$C:$C,H$68),VLOOKUP(H$69-$F127-1,$A$7:$C$161,2,FALSE)*VLOOKUP(H$1,'Attrition Modeling'!$L$15:$N$27,IF(H$2-$F60&lt;=24,2,3),FALSE))*(1+Projection!J$16)*(1+IF(H192&gt;0,'Attrition Modeling'!$N$9,0))),0))</f>
        <v>0</v>
      </c>
      <c r="I127" s="799">
        <f>IF(I$69=$F127+1,IF(Monthly!E$4=TRUE,0,Monthly!E$17),IF(I$69&gt;$F127+1,H127*(1-IF(I$69-$F127&lt;=12,SUMIFS('Attrition Modeling'!$D:$D,'Attrition Modeling'!$B:$B,$E127,'Attrition Modeling'!$C:$C,I$68),VLOOKUP(I$69-$F127-1,$A$7:$C$161,2,FALSE)*VLOOKUP(I$1,'Attrition Modeling'!$L$15:$N$27,IF(I$2-$F60&lt;=24,2,3),FALSE))*(1+Projection!K$16)*(1+IF(I192&gt;0,'Attrition Modeling'!$N$9,0))),0))</f>
        <v>0</v>
      </c>
      <c r="J127" s="799">
        <f>IF(J$69=$F127+1,IF(Monthly!F$4=TRUE,0,Monthly!F$17),IF(J$69&gt;$F127+1,I127*(1-IF(J$69-$F127&lt;=12,SUMIFS('Attrition Modeling'!$D:$D,'Attrition Modeling'!$B:$B,$E127,'Attrition Modeling'!$C:$C,J$68),VLOOKUP(J$69-$F127-1,$A$7:$C$161,2,FALSE)*VLOOKUP(J$1,'Attrition Modeling'!$L$15:$N$27,IF(J$2-$F60&lt;=24,2,3),FALSE))*(1+Projection!L$16)*(1+IF(J192&gt;0,'Attrition Modeling'!$N$9,0))),0))</f>
        <v>0</v>
      </c>
      <c r="K127" s="799">
        <f>IF(K$69=$F127+1,IF(Monthly!G$4=TRUE,0,Monthly!G$17),IF(K$69&gt;$F127+1,J127*(1-IF(K$69-$F127&lt;=12,SUMIFS('Attrition Modeling'!$D:$D,'Attrition Modeling'!$B:$B,$E127,'Attrition Modeling'!$C:$C,K$68),VLOOKUP(K$69-$F127-1,$A$7:$C$161,2,FALSE)*VLOOKUP(K$1,'Attrition Modeling'!$L$15:$N$27,IF(K$2-$F60&lt;=24,2,3),FALSE))*(1+Projection!M$16)*(1+IF(K192&gt;0,'Attrition Modeling'!$N$9,0))),0))</f>
        <v>0</v>
      </c>
      <c r="L127" s="799">
        <f>IF(L$69=$F127+1,IF(Monthly!H$4=TRUE,0,Monthly!H$17),IF(L$69&gt;$F127+1,K127*(1-IF(L$69-$F127&lt;=12,SUMIFS('Attrition Modeling'!$D:$D,'Attrition Modeling'!$B:$B,$E127,'Attrition Modeling'!$C:$C,L$68),VLOOKUP(L$69-$F127-1,$A$7:$C$161,2,FALSE)*VLOOKUP(L$1,'Attrition Modeling'!$L$15:$N$27,IF(L$2-$F60&lt;=24,2,3),FALSE))*(1+Projection!N$16)*(1+IF(L192&gt;0,'Attrition Modeling'!$N$9,0))),0))</f>
        <v>0</v>
      </c>
      <c r="M127" s="799">
        <f>IF(M$69=$F127+1,IF(Monthly!I$4=TRUE,0,Monthly!I$17),IF(M$69&gt;$F127+1,L127*(1-IF(M$69-$F127&lt;=12,SUMIFS('Attrition Modeling'!$D:$D,'Attrition Modeling'!$B:$B,$E127,'Attrition Modeling'!$C:$C,M$68),VLOOKUP(M$69-$F127-1,$A$7:$C$161,2,FALSE)*VLOOKUP(M$1,'Attrition Modeling'!$L$15:$N$27,IF(M$2-$F60&lt;=24,2,3),FALSE))*(1+Projection!O$16)*(1+IF(M192&gt;0,'Attrition Modeling'!$N$9,0))),0))</f>
        <v>0</v>
      </c>
      <c r="N127" s="799">
        <f>IF(N$69=$F127+1,IF(Monthly!J$4=TRUE,0,Monthly!J$17),IF(N$69&gt;$F127+1,M127*(1-IF(N$69-$F127&lt;=12,SUMIFS('Attrition Modeling'!$D:$D,'Attrition Modeling'!$B:$B,$E127,'Attrition Modeling'!$C:$C,N$68),VLOOKUP(N$69-$F127-1,$A$7:$C$161,2,FALSE)*VLOOKUP(N$1,'Attrition Modeling'!$L$15:$N$27,IF(N$2-$F60&lt;=24,2,3),FALSE))*(1+Projection!P$16)*(1+IF(N192&gt;0,'Attrition Modeling'!$N$9,0))),0))</f>
        <v>0</v>
      </c>
      <c r="O127" s="799">
        <f>IF(O$69=$F127+1,IF(Monthly!K$4=TRUE,0,Monthly!K$17),IF(O$69&gt;$F127+1,N127*(1-IF(O$69-$F127&lt;=12,SUMIFS('Attrition Modeling'!$D:$D,'Attrition Modeling'!$B:$B,$E127,'Attrition Modeling'!$C:$C,O$68),VLOOKUP(O$69-$F127-1,$A$7:$C$161,2,FALSE)*VLOOKUP(O$1,'Attrition Modeling'!$L$15:$N$27,IF(O$2-$F60&lt;=24,2,3),FALSE))*(1+Projection!Q$16)*(1+IF(O192&gt;0,'Attrition Modeling'!$N$9,0))),0))</f>
        <v>0</v>
      </c>
      <c r="P127" s="799">
        <f>IF(P$69=$F127+1,IF(Monthly!L$4=TRUE,0,Monthly!L$17),IF(P$69&gt;$F127+1,O127*(1-IF(P$69-$F127&lt;=12,SUMIFS('Attrition Modeling'!$D:$D,'Attrition Modeling'!$B:$B,$E127,'Attrition Modeling'!$C:$C,P$68),VLOOKUP(P$69-$F127-1,$A$7:$C$161,2,FALSE)*VLOOKUP(P$1,'Attrition Modeling'!$L$15:$N$27,IF(P$2-$F60&lt;=24,2,3),FALSE))*(1+Projection!R$16)*(1+IF(P192&gt;0,'Attrition Modeling'!$N$9,0))),0))</f>
        <v>0</v>
      </c>
      <c r="Q127" s="799">
        <f>IF(Q$69=$F127+1,IF(Monthly!M$4=TRUE,0,Monthly!M$17),IF(Q$69&gt;$F127+1,P127*(1-IF(Q$69-$F127&lt;=12,SUMIFS('Attrition Modeling'!$D:$D,'Attrition Modeling'!$B:$B,$E127,'Attrition Modeling'!$C:$C,Q$68),VLOOKUP(Q$69-$F127-1,$A$7:$C$161,2,FALSE)*VLOOKUP(Q$1,'Attrition Modeling'!$L$15:$N$27,IF(Q$2-$F60&lt;=24,2,3),FALSE))*(1+Projection!S$16)*(1+IF(Q192&gt;0,'Attrition Modeling'!$N$9,0))),0))</f>
        <v>0</v>
      </c>
      <c r="R127" s="799">
        <f>IF(R$69=$F127+1,IF(Monthly!N$4=TRUE,0,Monthly!N$17),IF(R$69&gt;$F127+1,Q127*(1-IF(R$69-$F127&lt;=12,SUMIFS('Attrition Modeling'!$D:$D,'Attrition Modeling'!$B:$B,$E127,'Attrition Modeling'!$C:$C,R$68),VLOOKUP(R$69-$F127-1,$A$7:$C$161,2,FALSE)*VLOOKUP(R$1,'Attrition Modeling'!$L$15:$N$27,IF(R$2-$F60&lt;=24,2,3),FALSE))*(1+Projection!T$16)*(1+IF(R192&gt;0,'Attrition Modeling'!$N$9,0))),0))</f>
        <v>0</v>
      </c>
      <c r="S127" s="799">
        <f>IF(S$69=$F127+1,IF(Monthly!O$4=TRUE,0,Monthly!O$17),IF(S$69&gt;$F127+1,R127*(1-IF(S$69-$F127&lt;=12,SUMIFS('Attrition Modeling'!$D:$D,'Attrition Modeling'!$B:$B,$E127,'Attrition Modeling'!$C:$C,S$68),VLOOKUP(S$69-$F127-1,$A$7:$C$161,2,FALSE)*VLOOKUP(S$1,'Attrition Modeling'!$L$15:$N$27,IF(S$2-$F60&lt;=24,2,3),FALSE))*(1+Projection!U$16)*(1+IF(S192&gt;0,'Attrition Modeling'!$N$9,0))),0))</f>
        <v>0</v>
      </c>
      <c r="T127" s="799">
        <f>IF(T$69=$F127+1,IF(Monthly!P$4=TRUE,0,Monthly!P$17),IF(T$69&gt;$F127+1,S127*(1-IF(T$69-$F127&lt;=12,SUMIFS('Attrition Modeling'!$D:$D,'Attrition Modeling'!$B:$B,$E127,'Attrition Modeling'!$C:$C,T$68),VLOOKUP(T$69-$F127-1,$A$7:$C$161,2,FALSE)*VLOOKUP(T$1,'Attrition Modeling'!$L$15:$N$27,IF(T$2-$F60&lt;=24,2,3),FALSE))*(1+Projection!V$16)*(1+IF(T192&gt;0,'Attrition Modeling'!$N$9,0))),0))</f>
        <v>0</v>
      </c>
      <c r="U127" s="799">
        <f>IF(U$69=$F127+1,IF(Monthly!Q$4=TRUE,0,Monthly!Q$17),IF(U$69&gt;$F127+1,T127*(1-IF(U$69-$F127&lt;=12,SUMIFS('Attrition Modeling'!$D:$D,'Attrition Modeling'!$B:$B,$E127,'Attrition Modeling'!$C:$C,U$68),VLOOKUP(U$69-$F127-1,$A$7:$C$161,2,FALSE)*VLOOKUP(U$1,'Attrition Modeling'!$L$15:$N$27,IF(U$2-$F60&lt;=24,2,3),FALSE))*(1+Projection!W$16)*(1+IF(U192&gt;0,'Attrition Modeling'!$N$9,0))),0))</f>
        <v>0</v>
      </c>
      <c r="V127" s="799">
        <f>IF(V$69=$F127+1,IF(Monthly!R$4=TRUE,0,Monthly!R$17),IF(V$69&gt;$F127+1,U127*(1-IF(V$69-$F127&lt;=12,SUMIFS('Attrition Modeling'!$D:$D,'Attrition Modeling'!$B:$B,$E127,'Attrition Modeling'!$C:$C,V$68),VLOOKUP(V$69-$F127-1,$A$7:$C$161,2,FALSE)*VLOOKUP(V$1,'Attrition Modeling'!$L$15:$N$27,IF(V$2-$F60&lt;=24,2,3),FALSE))*(1+Projection!X$16)*(1+IF(V192&gt;0,'Attrition Modeling'!$N$9,0))),0))</f>
        <v>0</v>
      </c>
      <c r="W127" s="799">
        <f>IF(W$69=$F127+1,IF(Monthly!S$4=TRUE,0,Monthly!S$17),IF(W$69&gt;$F127+1,V127*(1-IF(W$69-$F127&lt;=12,SUMIFS('Attrition Modeling'!$D:$D,'Attrition Modeling'!$B:$B,$E127,'Attrition Modeling'!$C:$C,W$68),VLOOKUP(W$69-$F127-1,$A$7:$C$161,2,FALSE)*VLOOKUP(W$1,'Attrition Modeling'!$L$15:$N$27,IF(W$2-$F60&lt;=24,2,3),FALSE))*(1+Projection!Y$16)*(1+IF(W192&gt;0,'Attrition Modeling'!$N$9,0))),0))</f>
        <v>0</v>
      </c>
      <c r="X127" s="799">
        <f>IF(X$69=$F127+1,IF(Monthly!T$4=TRUE,0,Monthly!T$17),IF(X$69&gt;$F127+1,W127*(1-IF(X$69-$F127&lt;=12,SUMIFS('Attrition Modeling'!$D:$D,'Attrition Modeling'!$B:$B,$E127,'Attrition Modeling'!$C:$C,X$68),VLOOKUP(X$69-$F127-1,$A$7:$C$161,2,FALSE)*VLOOKUP(X$1,'Attrition Modeling'!$L$15:$N$27,IF(X$2-$F60&lt;=24,2,3),FALSE))*(1+Projection!Z$16)*(1+IF(X192&gt;0,'Attrition Modeling'!$N$9,0))),0))</f>
        <v>0</v>
      </c>
      <c r="Y127" s="799">
        <f>IF(Y$69=$F127+1,IF(Monthly!U$4=TRUE,0,Monthly!U$17),IF(Y$69&gt;$F127+1,X127*(1-IF(Y$69-$F127&lt;=12,SUMIFS('Attrition Modeling'!$D:$D,'Attrition Modeling'!$B:$B,$E127,'Attrition Modeling'!$C:$C,Y$68),VLOOKUP(Y$69-$F127-1,$A$7:$C$161,2,FALSE)*VLOOKUP(Y$1,'Attrition Modeling'!$L$15:$N$27,IF(Y$2-$F60&lt;=24,2,3),FALSE))*(1+Projection!AA$16)*(1+IF(Y192&gt;0,'Attrition Modeling'!$N$9,0))),0))</f>
        <v>0</v>
      </c>
      <c r="Z127" s="799">
        <f>IF(Z$69=$F127+1,IF(Monthly!V$4=TRUE,0,Monthly!V$17),IF(Z$69&gt;$F127+1,Y127*(1-IF(Z$69-$F127&lt;=12,SUMIFS('Attrition Modeling'!$D:$D,'Attrition Modeling'!$B:$B,$E127,'Attrition Modeling'!$C:$C,Z$68),VLOOKUP(Z$69-$F127-1,$A$7:$C$161,2,FALSE)*VLOOKUP(Z$1,'Attrition Modeling'!$L$15:$N$27,IF(Z$2-$F60&lt;=24,2,3),FALSE))*(1+Projection!AB$16)*(1+IF(Z192&gt;0,'Attrition Modeling'!$N$9,0))),0))</f>
        <v>0</v>
      </c>
      <c r="AA127" s="799">
        <f>IF(AA$69=$F127+1,IF(Monthly!W$4=TRUE,0,Monthly!W$17),IF(AA$69&gt;$F127+1,Z127*(1-IF(AA$69-$F127&lt;=12,SUMIFS('Attrition Modeling'!$D:$D,'Attrition Modeling'!$B:$B,$E127,'Attrition Modeling'!$C:$C,AA$68),VLOOKUP(AA$69-$F127-1,$A$7:$C$161,2,FALSE)*VLOOKUP(AA$1,'Attrition Modeling'!$L$15:$N$27,IF(AA$2-$F60&lt;=24,2,3),FALSE))*(1+Projection!AC$16)*(1+IF(AA192&gt;0,'Attrition Modeling'!$N$9,0))),0))</f>
        <v>0</v>
      </c>
      <c r="AB127" s="799">
        <f>IF(AB$69=$F127+1,IF(Monthly!X$4=TRUE,0,Monthly!X$17),IF(AB$69&gt;$F127+1,AA127*(1-IF(AB$69-$F127&lt;=12,SUMIFS('Attrition Modeling'!$D:$D,'Attrition Modeling'!$B:$B,$E127,'Attrition Modeling'!$C:$C,AB$68),VLOOKUP(AB$69-$F127-1,$A$7:$C$161,2,FALSE)*VLOOKUP(AB$1,'Attrition Modeling'!$L$15:$N$27,IF(AB$2-$F60&lt;=24,2,3),FALSE))*(1+Projection!AD$16)*(1+IF(AB192&gt;0,'Attrition Modeling'!$N$9,0))),0))</f>
        <v>0</v>
      </c>
      <c r="AC127" s="799">
        <f>IF(AC$69=$F127+1,IF(Monthly!Y$4=TRUE,0,Monthly!Y$17),IF(AC$69&gt;$F127+1,AB127*(1-IF(AC$69-$F127&lt;=12,SUMIFS('Attrition Modeling'!$D:$D,'Attrition Modeling'!$B:$B,$E127,'Attrition Modeling'!$C:$C,AC$68),VLOOKUP(AC$69-$F127-1,$A$7:$C$161,2,FALSE)*VLOOKUP(AC$1,'Attrition Modeling'!$L$15:$N$27,IF(AC$2-$F60&lt;=24,2,3),FALSE))*(1+Projection!AE$16)*(1+IF(AC192&gt;0,'Attrition Modeling'!$N$9,0))),0))</f>
        <v>0</v>
      </c>
      <c r="AD127" s="799">
        <f>IF(AD$69=$F127+1,IF(Monthly!Z$4=TRUE,0,Monthly!Z$17),IF(AD$69&gt;$F127+1,AC127*(1-IF(AD$69-$F127&lt;=12,SUMIFS('Attrition Modeling'!$D:$D,'Attrition Modeling'!$B:$B,$E127,'Attrition Modeling'!$C:$C,AD$68),VLOOKUP(AD$69-$F127-1,$A$7:$C$161,2,FALSE)*VLOOKUP(AD$1,'Attrition Modeling'!$L$15:$N$27,IF(AD$2-$F60&lt;=24,2,3),FALSE))*(1+Projection!AF$16)*(1+IF(AD192&gt;0,'Attrition Modeling'!$N$9,0))),0))</f>
        <v>0</v>
      </c>
      <c r="AE127" s="799">
        <f>IF(AE$69=$F127+1,IF(Monthly!AA$4=TRUE,0,Monthly!AA$17),IF(AE$69&gt;$F127+1,AD127*(1-IF(AE$69-$F127&lt;=12,SUMIFS('Attrition Modeling'!$D:$D,'Attrition Modeling'!$B:$B,$E127,'Attrition Modeling'!$C:$C,AE$68),VLOOKUP(AE$69-$F127-1,$A$7:$C$161,2,FALSE)*VLOOKUP(AE$1,'Attrition Modeling'!$L$15:$N$27,IF(AE$2-$F60&lt;=24,2,3),FALSE))*(1+Projection!AG$16)*(1+IF(AE192&gt;0,'Attrition Modeling'!$N$9,0))),0))</f>
        <v>0</v>
      </c>
      <c r="AF127" s="799">
        <f>IF(AF$69=$F127+1,IF(Monthly!AB$4=TRUE,0,Monthly!AB$17),IF(AF$69&gt;$F127+1,AE127*(1-IF(AF$69-$F127&lt;=12,SUMIFS('Attrition Modeling'!$D:$D,'Attrition Modeling'!$B:$B,$E127,'Attrition Modeling'!$C:$C,AF$68),VLOOKUP(AF$69-$F127-1,$A$7:$C$161,2,FALSE)*VLOOKUP(AF$1,'Attrition Modeling'!$L$15:$N$27,IF(AF$2-$F60&lt;=24,2,3),FALSE))*(1+Projection!AH$16)*(1+IF(AF192&gt;0,'Attrition Modeling'!$N$9,0))),0))</f>
        <v>0</v>
      </c>
      <c r="AG127" s="799">
        <f>IF(AG$69=$F127+1,IF(Monthly!AC$4=TRUE,0,Monthly!AC$17),IF(AG$69&gt;$F127+1,AF127*(1-IF(AG$69-$F127&lt;=12,SUMIFS('Attrition Modeling'!$D:$D,'Attrition Modeling'!$B:$B,$E127,'Attrition Modeling'!$C:$C,AG$68),VLOOKUP(AG$69-$F127-1,$A$7:$C$161,2,FALSE)*VLOOKUP(AG$1,'Attrition Modeling'!$L$15:$N$27,IF(AG$2-$F60&lt;=24,2,3),FALSE))*(1+Projection!AI$16)*(1+IF(AG192&gt;0,'Attrition Modeling'!$N$9,0))),0))</f>
        <v>0</v>
      </c>
      <c r="AH127" s="799">
        <f>IF(AH$69=$F127+1,IF(Monthly!AD$4=TRUE,0,Monthly!AD$17),IF(AH$69&gt;$F127+1,AG127*(1-IF(AH$69-$F127&lt;=12,SUMIFS('Attrition Modeling'!$D:$D,'Attrition Modeling'!$B:$B,$E127,'Attrition Modeling'!$C:$C,AH$68),VLOOKUP(AH$69-$F127-1,$A$7:$C$161,2,FALSE)*VLOOKUP(AH$1,'Attrition Modeling'!$L$15:$N$27,IF(AH$2-$F60&lt;=24,2,3),FALSE))*(1+Projection!AJ$16)*(1+IF(AH192&gt;0,'Attrition Modeling'!$N$9,0))),0))</f>
        <v>0</v>
      </c>
      <c r="AI127" s="799">
        <f>IF(AI$69=$F127+1,IF(Monthly!AE$4=TRUE,0,Monthly!AE$17),IF(AI$69&gt;$F127+1,AH127*(1-IF(AI$69-$F127&lt;=12,SUMIFS('Attrition Modeling'!$D:$D,'Attrition Modeling'!$B:$B,$E127,'Attrition Modeling'!$C:$C,AI$68),VLOOKUP(AI$69-$F127-1,$A$7:$C$161,2,FALSE)*VLOOKUP(AI$1,'Attrition Modeling'!$L$15:$N$27,IF(AI$2-$F60&lt;=24,2,3),FALSE))*(1+Projection!AK$16)*(1+IF(AI192&gt;0,'Attrition Modeling'!$N$9,0))),0))</f>
        <v>0</v>
      </c>
      <c r="AJ127" s="799">
        <f>IF(AJ$69=$F127+1,IF(Monthly!AF$4=TRUE,0,Monthly!AF$17),IF(AJ$69&gt;$F127+1,AI127*(1-IF(AJ$69-$F127&lt;=12,SUMIFS('Attrition Modeling'!$D:$D,'Attrition Modeling'!$B:$B,$E127,'Attrition Modeling'!$C:$C,AJ$68),VLOOKUP(AJ$69-$F127-1,$A$7:$C$161,2,FALSE)*VLOOKUP(AJ$1,'Attrition Modeling'!$L$15:$N$27,IF(AJ$2-$F60&lt;=24,2,3),FALSE))*(1+Projection!AL$16)*(1+IF(AJ192&gt;0,'Attrition Modeling'!$N$9,0))),0))</f>
        <v>0</v>
      </c>
      <c r="AK127" s="799">
        <f>IF(AK$69=$F127+1,IF(Monthly!AG$4=TRUE,0,Monthly!AG$17),IF(AK$69&gt;$F127+1,AJ127*(1-IF(AK$69-$F127&lt;=12,SUMIFS('Attrition Modeling'!$D:$D,'Attrition Modeling'!$B:$B,$E127,'Attrition Modeling'!$C:$C,AK$68),VLOOKUP(AK$69-$F127-1,$A$7:$C$161,2,FALSE)*VLOOKUP(AK$1,'Attrition Modeling'!$L$15:$N$27,IF(AK$2-$F60&lt;=24,2,3),FALSE))*(1+Projection!AM$16)*(1+IF(AK192&gt;0,'Attrition Modeling'!$N$9,0))),0))</f>
        <v>0</v>
      </c>
      <c r="AL127" s="799">
        <f>IF(AL$69=$F127+1,IF(Monthly!AH$4=TRUE,0,Monthly!AH$17),IF(AL$69&gt;$F127+1,AK127*(1-IF(AL$69-$F127&lt;=12,SUMIFS('Attrition Modeling'!$D:$D,'Attrition Modeling'!$B:$B,$E127,'Attrition Modeling'!$C:$C,AL$68),VLOOKUP(AL$69-$F127-1,$A$7:$C$161,2,FALSE)*VLOOKUP(AL$1,'Attrition Modeling'!$L$15:$N$27,IF(AL$2-$F60&lt;=24,2,3),FALSE))*(1+Projection!AN$16)*(1+IF(AL192&gt;0,'Attrition Modeling'!$N$9,0))),0))</f>
        <v>0</v>
      </c>
      <c r="AM127" s="799">
        <f>IF(AM$69=$F127+1,IF(Monthly!AI$4=TRUE,0,Monthly!AI$17),IF(AM$69&gt;$F127+1,AL127*(1-IF(AM$69-$F127&lt;=12,SUMIFS('Attrition Modeling'!$D:$D,'Attrition Modeling'!$B:$B,$E127,'Attrition Modeling'!$C:$C,AM$68),VLOOKUP(AM$69-$F127-1,$A$7:$C$161,2,FALSE)*VLOOKUP(AM$1,'Attrition Modeling'!$L$15:$N$27,IF(AM$2-$F60&lt;=24,2,3),FALSE))*(1+Projection!AO$16)*(1+IF(AM192&gt;0,'Attrition Modeling'!$N$9,0))),0))</f>
        <v>0</v>
      </c>
      <c r="AN127" s="799">
        <f>IF(AN$69=$F127+1,IF(Monthly!AJ$4=TRUE,0,Monthly!AJ$17),IF(AN$69&gt;$F127+1,AM127*(1-IF(AN$69-$F127&lt;=12,SUMIFS('Attrition Modeling'!$D:$D,'Attrition Modeling'!$B:$B,$E127,'Attrition Modeling'!$C:$C,AN$68),VLOOKUP(AN$69-$F127-1,$A$7:$C$161,2,FALSE)*VLOOKUP(AN$1,'Attrition Modeling'!$L$15:$N$27,IF(AN$2-$F60&lt;=24,2,3),FALSE))*(1+Projection!AP$16)*(1+IF(AN192&gt;0,'Attrition Modeling'!$N$9,0))),0))</f>
        <v>0</v>
      </c>
      <c r="AO127" s="799">
        <f>IF(AO$69=$F127+1,IF(Monthly!AK$4=TRUE,0,Monthly!AK$17),IF(AO$69&gt;$F127+1,AN127*(1-IF(AO$69-$F127&lt;=12,SUMIFS('Attrition Modeling'!$D:$D,'Attrition Modeling'!$B:$B,$E127,'Attrition Modeling'!$C:$C,AO$68),VLOOKUP(AO$69-$F127-1,$A$7:$C$161,2,FALSE)*VLOOKUP(AO$1,'Attrition Modeling'!$L$15:$N$27,IF(AO$2-$F60&lt;=24,2,3),FALSE))*(1+Projection!AQ$16)*(1+IF(AO192&gt;0,'Attrition Modeling'!$N$9,0))),0))</f>
        <v>0</v>
      </c>
      <c r="AP127" s="799">
        <f>IF(AP$69=$F127+1,IF(Monthly!AL$4=TRUE,0,Monthly!AL$17),IF(AP$69&gt;$F127+1,AO127*(1-IF(AP$69-$F127&lt;=12,SUMIFS('Attrition Modeling'!$D:$D,'Attrition Modeling'!$B:$B,$E127,'Attrition Modeling'!$C:$C,AP$68),VLOOKUP(AP$69-$F127-1,$A$7:$C$161,2,FALSE)*VLOOKUP(AP$1,'Attrition Modeling'!$L$15:$N$27,IF(AP$2-$F60&lt;=24,2,3),FALSE))*(1+Projection!AR$16)*(1+IF(AP192&gt;0,'Attrition Modeling'!$N$9,0))),0))</f>
        <v>0</v>
      </c>
      <c r="AQ127" s="799">
        <f>IF(AQ$69=$F127+1,IF(Monthly!AM$4=TRUE,0,Monthly!AM$17),IF(AQ$69&gt;$F127+1,AP127*(1-IF(AQ$69-$F127&lt;=12,SUMIFS('Attrition Modeling'!$D:$D,'Attrition Modeling'!$B:$B,$E127,'Attrition Modeling'!$C:$C,AQ$68),VLOOKUP(AQ$69-$F127-1,$A$7:$C$161,2,FALSE)*VLOOKUP(AQ$1,'Attrition Modeling'!$L$15:$N$27,IF(AQ$2-$F60&lt;=24,2,3),FALSE))*(1+Projection!AS$16)*(1+IF(AQ192&gt;0,'Attrition Modeling'!$N$9,0))),0))</f>
        <v>0</v>
      </c>
      <c r="AR127" s="799">
        <f>IF(AR$69=$F127+1,IF(Monthly!AN$4=TRUE,0,Monthly!AN$17),IF(AR$69&gt;$F127+1,AQ127*(1-IF(AR$69-$F127&lt;=12,SUMIFS('Attrition Modeling'!$D:$D,'Attrition Modeling'!$B:$B,$E127,'Attrition Modeling'!$C:$C,AR$68),VLOOKUP(AR$69-$F127-1,$A$7:$C$161,2,FALSE)*VLOOKUP(AR$1,'Attrition Modeling'!$L$15:$N$27,IF(AR$2-$F60&lt;=24,2,3),FALSE))*(1+Projection!AT$16)*(1+IF(AR192&gt;0,'Attrition Modeling'!$N$9,0))),0))</f>
        <v>0</v>
      </c>
      <c r="AS127" s="799">
        <f>IF(AS$69=$F127+1,IF(Monthly!AO$4=TRUE,0,Monthly!AO$17),IF(AS$69&gt;$F127+1,AR127*(1-IF(AS$69-$F127&lt;=12,SUMIFS('Attrition Modeling'!$D:$D,'Attrition Modeling'!$B:$B,$E127,'Attrition Modeling'!$C:$C,AS$68),VLOOKUP(AS$69-$F127-1,$A$7:$C$161,2,FALSE)*VLOOKUP(AS$1,'Attrition Modeling'!$L$15:$N$27,IF(AS$2-$F60&lt;=24,2,3),FALSE))*(1+Projection!AU$16)*(1+IF(AS192&gt;0,'Attrition Modeling'!$N$9,0))),0))</f>
        <v>0</v>
      </c>
      <c r="AT127" s="799">
        <f>IF(AT$69=$F127+1,IF(Monthly!AP$4=TRUE,0,Monthly!AP$17),IF(AT$69&gt;$F127+1,AS127*(1-IF(AT$69-$F127&lt;=12,SUMIFS('Attrition Modeling'!$D:$D,'Attrition Modeling'!$B:$B,$E127,'Attrition Modeling'!$C:$C,AT$68),VLOOKUP(AT$69-$F127-1,$A$7:$C$161,2,FALSE)*VLOOKUP(AT$1,'Attrition Modeling'!$L$15:$N$27,IF(AT$2-$F60&lt;=24,2,3),FALSE))*(1+Projection!AV$16)*(1+IF(AT192&gt;0,'Attrition Modeling'!$N$9,0))),0))</f>
        <v>0</v>
      </c>
      <c r="AU127" s="799">
        <f>IF(AU$69=$F127+1,IF(Monthly!AQ$4=TRUE,0,Monthly!AQ$17),IF(AU$69&gt;$F127+1,AT127*(1-IF(AU$69-$F127&lt;=12,SUMIFS('Attrition Modeling'!$D:$D,'Attrition Modeling'!$B:$B,$E127,'Attrition Modeling'!$C:$C,AU$68),VLOOKUP(AU$69-$F127-1,$A$7:$C$161,2,FALSE)*VLOOKUP(AU$1,'Attrition Modeling'!$L$15:$N$27,IF(AU$2-$F60&lt;=24,2,3),FALSE))*(1+Projection!AW$16)*(1+IF(AU192&gt;0,'Attrition Modeling'!$N$9,0))),0))</f>
        <v>0</v>
      </c>
      <c r="AV127" s="799">
        <f>IF(AV$69=$F127+1,IF(Monthly!AR$4=TRUE,0,Monthly!AR$17),IF(AV$69&gt;$F127+1,AU127*(1-IF(AV$69-$F127&lt;=12,SUMIFS('Attrition Modeling'!$D:$D,'Attrition Modeling'!$B:$B,$E127,'Attrition Modeling'!$C:$C,AV$68),VLOOKUP(AV$69-$F127-1,$A$7:$C$161,2,FALSE)*VLOOKUP(AV$1,'Attrition Modeling'!$L$15:$N$27,IF(AV$2-$F60&lt;=24,2,3),FALSE))*(1+Projection!AX$16)*(1+IF(AV192&gt;0,'Attrition Modeling'!$N$9,0))),0))</f>
        <v>0</v>
      </c>
      <c r="AW127" s="799">
        <f>IF(AW$69=$F127+1,IF(Monthly!AS$4=TRUE,0,Monthly!AS$17),IF(AW$69&gt;$F127+1,AV127*(1-IF(AW$69-$F127&lt;=12,SUMIFS('Attrition Modeling'!$D:$D,'Attrition Modeling'!$B:$B,$E127,'Attrition Modeling'!$C:$C,AW$68),VLOOKUP(AW$69-$F127-1,$A$7:$C$161,2,FALSE)*VLOOKUP(AW$1,'Attrition Modeling'!$L$15:$N$27,IF(AW$2-$F60&lt;=24,2,3),FALSE))*(1+Projection!AY$16)*(1+IF(AW192&gt;0,'Attrition Modeling'!$N$9,0))),0))</f>
        <v>0</v>
      </c>
      <c r="AX127" s="799">
        <f>IF(AX$69=$F127+1,IF(Monthly!AT$4=TRUE,0,Monthly!AT$17),IF(AX$69&gt;$F127+1,AW127*(1-IF(AX$69-$F127&lt;=12,SUMIFS('Attrition Modeling'!$D:$D,'Attrition Modeling'!$B:$B,$E127,'Attrition Modeling'!$C:$C,AX$68),VLOOKUP(AX$69-$F127-1,$A$7:$C$161,2,FALSE)*VLOOKUP(AX$1,'Attrition Modeling'!$L$15:$N$27,IF(AX$2-$F60&lt;=24,2,3),FALSE))*(1+Projection!AZ$16)*(1+IF(AX192&gt;0,'Attrition Modeling'!$N$9,0))),0))</f>
        <v>0</v>
      </c>
      <c r="AY127" s="799">
        <f>IF(AY$69=$F127+1,IF(Monthly!AU$4=TRUE,0,Monthly!AU$17),IF(AY$69&gt;$F127+1,AX127*(1-IF(AY$69-$F127&lt;=12,SUMIFS('Attrition Modeling'!$D:$D,'Attrition Modeling'!$B:$B,$E127,'Attrition Modeling'!$C:$C,AY$68),VLOOKUP(AY$69-$F127-1,$A$7:$C$161,2,FALSE)*VLOOKUP(AY$1,'Attrition Modeling'!$L$15:$N$27,IF(AY$2-$F60&lt;=24,2,3),FALSE))*(1+Projection!BA$16)*(1+IF(AY192&gt;0,'Attrition Modeling'!$N$9,0))),0))</f>
        <v>0</v>
      </c>
      <c r="AZ127" s="799">
        <f>IF(AZ$69=$F127+1,IF(Monthly!AV$4=TRUE,0,Monthly!AV$17),IF(AZ$69&gt;$F127+1,AY127*(1-IF(AZ$69-$F127&lt;=12,SUMIFS('Attrition Modeling'!$D:$D,'Attrition Modeling'!$B:$B,$E127,'Attrition Modeling'!$C:$C,AZ$68),VLOOKUP(AZ$69-$F127-1,$A$7:$C$161,2,FALSE)*VLOOKUP(AZ$1,'Attrition Modeling'!$L$15:$N$27,IF(AZ$2-$F60&lt;=24,2,3),FALSE))*(1+Projection!BB$16)*(1+IF(AZ192&gt;0,'Attrition Modeling'!$N$9,0))),0))</f>
        <v>0</v>
      </c>
      <c r="BA127" s="799">
        <f>IF(BA$69=$F127+1,IF(Monthly!AW$4=TRUE,0,Monthly!AW$17),IF(BA$69&gt;$F127+1,AZ127*(1-IF(BA$69-$F127&lt;=12,SUMIFS('Attrition Modeling'!$D:$D,'Attrition Modeling'!$B:$B,$E127,'Attrition Modeling'!$C:$C,BA$68),VLOOKUP(BA$69-$F127-1,$A$7:$C$161,2,FALSE)*VLOOKUP(BA$1,'Attrition Modeling'!$L$15:$N$27,IF(BA$2-$F60&lt;=24,2,3),FALSE))*(1+Projection!BC$16)*(1+IF(BA192&gt;0,'Attrition Modeling'!$N$9,0))),0))</f>
        <v>0</v>
      </c>
      <c r="BB127" s="799">
        <f>IF(BB$69=$F127+1,IF(Monthly!AX$4=TRUE,0,Monthly!AX$17),IF(BB$69&gt;$F127+1,BA127*(1-IF(BB$69-$F127&lt;=12,SUMIFS('Attrition Modeling'!$D:$D,'Attrition Modeling'!$B:$B,$E127,'Attrition Modeling'!$C:$C,BB$68),VLOOKUP(BB$69-$F127-1,$A$7:$C$161,2,FALSE)*VLOOKUP(BB$1,'Attrition Modeling'!$L$15:$N$27,IF(BB$2-$F60&lt;=24,2,3),FALSE))*(1+Projection!BD$16)*(1+IF(BB192&gt;0,'Attrition Modeling'!$N$9,0))),0))</f>
        <v>0</v>
      </c>
      <c r="BC127" s="799">
        <f>IF(BC$69=$F127+1,IF(Monthly!AY$4=TRUE,0,Monthly!AY$17),IF(BC$69&gt;$F127+1,BB127*(1-IF(BC$69-$F127&lt;=12,SUMIFS('Attrition Modeling'!$D:$D,'Attrition Modeling'!$B:$B,$E127,'Attrition Modeling'!$C:$C,BC$68),VLOOKUP(BC$69-$F127-1,$A$7:$C$161,2,FALSE)*VLOOKUP(BC$1,'Attrition Modeling'!$L$15:$N$27,IF(BC$2-$F60&lt;=24,2,3),FALSE))*(1+Projection!BE$16)*(1+IF(BC192&gt;0,'Attrition Modeling'!$N$9,0))),0))</f>
        <v>0</v>
      </c>
      <c r="BD127" s="799">
        <f>IF(BD$69=$F127+1,IF(Monthly!AZ$4=TRUE,0,Monthly!AZ$17),IF(BD$69&gt;$F127+1,BC127*(1-IF(BD$69-$F127&lt;=12,SUMIFS('Attrition Modeling'!$D:$D,'Attrition Modeling'!$B:$B,$E127,'Attrition Modeling'!$C:$C,BD$68),VLOOKUP(BD$69-$F127-1,$A$7:$C$161,2,FALSE)*VLOOKUP(BD$1,'Attrition Modeling'!$L$15:$N$27,IF(BD$2-$F60&lt;=24,2,3),FALSE))*(1+Projection!BF$16)*(1+IF(BD192&gt;0,'Attrition Modeling'!$N$9,0))),0))</f>
        <v>0</v>
      </c>
      <c r="BE127" s="799">
        <f>IF(BE$69=$F127+1,IF(Monthly!BA$4=TRUE,0,Monthly!BA$17),IF(BE$69&gt;$F127+1,BD127*(1-IF(BE$69-$F127&lt;=12,SUMIFS('Attrition Modeling'!$D:$D,'Attrition Modeling'!$B:$B,$E127,'Attrition Modeling'!$C:$C,BE$68),VLOOKUP(BE$69-$F127-1,$A$7:$C$161,2,FALSE)*VLOOKUP(BE$1,'Attrition Modeling'!$L$15:$N$27,IF(BE$2-$F60&lt;=24,2,3),FALSE))*(1+Projection!BG$16)*(1+IF(BE192&gt;0,'Attrition Modeling'!$N$9,0))),0))</f>
        <v>0</v>
      </c>
      <c r="BF127" s="799">
        <f>IF(BF$69=$F127+1,IF(Monthly!BB$4=TRUE,0,Monthly!BB$17),IF(BF$69&gt;$F127+1,BE127*(1-IF(BF$69-$F127&lt;=12,SUMIFS('Attrition Modeling'!$D:$D,'Attrition Modeling'!$B:$B,$E127,'Attrition Modeling'!$C:$C,BF$68),VLOOKUP(BF$69-$F127-1,$A$7:$C$161,2,FALSE)*VLOOKUP(BF$1,'Attrition Modeling'!$L$15:$N$27,IF(BF$2-$F60&lt;=24,2,3),FALSE))*(1+Projection!BH$16)*(1+IF(BF192&gt;0,'Attrition Modeling'!$N$9,0))),0))</f>
        <v>0</v>
      </c>
      <c r="BG127" s="799">
        <f>IF(BG$69=$F127+1,IF(Monthly!BC$4=TRUE,0,Monthly!BC$17),IF(BG$69&gt;$F127+1,BF127*(1-IF(BG$69-$F127&lt;=12,SUMIFS('Attrition Modeling'!$D:$D,'Attrition Modeling'!$B:$B,$E127,'Attrition Modeling'!$C:$C,BG$68),VLOOKUP(BG$69-$F127-1,$A$7:$C$161,2,FALSE)*VLOOKUP(BG$1,'Attrition Modeling'!$L$15:$N$27,IF(BG$2-$F60&lt;=24,2,3),FALSE))*(1+Projection!BI$16)*(1+IF(BG192&gt;0,'Attrition Modeling'!$N$9,0))),0))</f>
        <v>0</v>
      </c>
      <c r="BH127" s="799">
        <f>IF(BH$69=$F127+1,IF(Monthly!BD$4=TRUE,0,Monthly!BD$17),IF(BH$69&gt;$F127+1,BG127*(1-IF(BH$69-$F127&lt;=12,SUMIFS('Attrition Modeling'!$D:$D,'Attrition Modeling'!$B:$B,$E127,'Attrition Modeling'!$C:$C,BH$68),VLOOKUP(BH$69-$F127-1,$A$7:$C$161,2,FALSE)*VLOOKUP(BH$1,'Attrition Modeling'!$L$15:$N$27,IF(BH$2-$F60&lt;=24,2,3),FALSE))*(1+Projection!BJ$16)*(1+IF(BH192&gt;0,'Attrition Modeling'!$N$9,0))),0))</f>
        <v>0</v>
      </c>
      <c r="BI127" s="799">
        <f>IF(BI$69=$F127+1,IF(Monthly!BE$4=TRUE,0,Monthly!BE$17),IF(BI$69&gt;$F127+1,BH127*(1-IF(BI$69-$F127&lt;=12,SUMIFS('Attrition Modeling'!$D:$D,'Attrition Modeling'!$B:$B,$E127,'Attrition Modeling'!$C:$C,BI$68),VLOOKUP(BI$69-$F127-1,$A$7:$C$161,2,FALSE)*VLOOKUP(BI$1,'Attrition Modeling'!$L$15:$N$27,IF(BI$2-$F60&lt;=24,2,3),FALSE))*(1+Projection!BK$16)*(1+IF(BI192&gt;0,'Attrition Modeling'!$N$9,0))),0))</f>
        <v>0</v>
      </c>
      <c r="BJ127" s="799">
        <f>IF(BJ$69=$F127+1,IF(Monthly!BF$4=TRUE,0,Monthly!BF$17),IF(BJ$69&gt;$F127+1,BI127*(1-IF(BJ$69-$F127&lt;=12,SUMIFS('Attrition Modeling'!$D:$D,'Attrition Modeling'!$B:$B,$E127,'Attrition Modeling'!$C:$C,BJ$68),VLOOKUP(BJ$69-$F127-1,$A$7:$C$161,2,FALSE)*VLOOKUP(BJ$1,'Attrition Modeling'!$L$15:$N$27,IF(BJ$2-$F60&lt;=24,2,3),FALSE))*(1+Projection!BL$16)*(1+IF(BJ192&gt;0,'Attrition Modeling'!$N$9,0))),0))</f>
        <v>0</v>
      </c>
      <c r="BK127" s="799">
        <f>IF(BK$69=$F127+1,IF(Monthly!BG$4=TRUE,0,Monthly!BG$17),IF(BK$69&gt;$F127+1,BJ127*(1-IF(BK$69-$F127&lt;=12,SUMIFS('Attrition Modeling'!$D:$D,'Attrition Modeling'!$B:$B,$E127,'Attrition Modeling'!$C:$C,BK$68),VLOOKUP(BK$69-$F127-1,$A$7:$C$161,2,FALSE)*VLOOKUP(BK$1,'Attrition Modeling'!$L$15:$N$27,IF(BK$2-$F60&lt;=24,2,3),FALSE))*(1+Projection!BM$16)*(1+IF(BK192&gt;0,'Attrition Modeling'!$N$9,0))),0))</f>
        <v>0</v>
      </c>
      <c r="BL127" s="799">
        <f>IF(BL$69=$F127+1,IF(Monthly!BH$4=TRUE,0,Monthly!BH$17),IF(BL$69&gt;$F127+1,BK127*(1-IF(BL$69-$F127&lt;=12,SUMIFS('Attrition Modeling'!$D:$D,'Attrition Modeling'!$B:$B,$E127,'Attrition Modeling'!$C:$C,BL$68),VLOOKUP(BL$69-$F127-1,$A$7:$C$161,2,FALSE)*VLOOKUP(BL$1,'Attrition Modeling'!$L$15:$N$27,IF(BL$2-$F60&lt;=24,2,3),FALSE))*(1+Projection!BN$16)*(1+IF(BL192&gt;0,'Attrition Modeling'!$N$9,0))),0))</f>
        <v>0</v>
      </c>
      <c r="BM127" s="799">
        <f>IF(BM$69=$F127+1,IF(Monthly!BI$4=TRUE,0,Monthly!BI$17),IF(BM$69&gt;$F127+1,BL127*(1-IF(BM$69-$F127&lt;=12,SUMIFS('Attrition Modeling'!$D:$D,'Attrition Modeling'!$B:$B,$E127,'Attrition Modeling'!$C:$C,BM$68),VLOOKUP(BM$69-$F127-1,$A$7:$C$161,2,FALSE)*VLOOKUP(BM$1,'Attrition Modeling'!$L$15:$N$27,IF(BM$2-$F60&lt;=24,2,3),FALSE))*(1+Projection!BO$16)*(1+IF(BM192&gt;0,'Attrition Modeling'!$N$9,0))),0))</f>
        <v>4989.2011331458352</v>
      </c>
      <c r="BN127" s="799">
        <f>IF(BN$69=$F127+1,IF(Monthly!BJ$4=TRUE,0,Monthly!BJ$17),IF(BN$69&gt;$F127+1,BM127*(1-IF(BN$69-$F127&lt;=12,SUMIFS('Attrition Modeling'!$D:$D,'Attrition Modeling'!$B:$B,$E127,'Attrition Modeling'!$C:$C,BN$68),VLOOKUP(BN$69-$F127-1,$A$7:$C$161,2,FALSE)*VLOOKUP(BN$1,'Attrition Modeling'!$L$15:$N$27,IF(BN$2-$F60&lt;=24,2,3),FALSE))*(1+Projection!BP$16)*(1+IF(BN192&gt;0,'Attrition Modeling'!$N$9,0))),0))</f>
        <v>4489.3914452692115</v>
      </c>
      <c r="BO127" s="799">
        <f>IF(BO$69=$F127+1,IF(Monthly!BK$4=TRUE,0,Monthly!BK$17),IF(BO$69&gt;$F127+1,BN127*(1-IF(BO$69-$F127&lt;=12,SUMIFS('Attrition Modeling'!$D:$D,'Attrition Modeling'!$B:$B,$E127,'Attrition Modeling'!$C:$C,BO$68),VLOOKUP(BO$69-$F127-1,$A$7:$C$161,2,FALSE)*VLOOKUP(BO$1,'Attrition Modeling'!$L$15:$N$27,IF(BO$2-$F60&lt;=24,2,3),FALSE))*(1+Projection!BV$16)*(1+IF(BO192&gt;0,'Attrition Modeling'!$N$9,0))),0))</f>
        <v>4095.2777367380359</v>
      </c>
      <c r="BP127" s="799">
        <f>IF(BP$69=$F127+1,IF(Monthly!BL$4=TRUE,0,Monthly!BL$17),IF(BP$69&gt;$F127+1,BO127*(1-IF(BP$69-$F127&lt;=12,SUMIFS('Attrition Modeling'!$D:$D,'Attrition Modeling'!$B:$B,$E127,'Attrition Modeling'!$C:$C,BP$68),VLOOKUP(BP$69-$F127-1,$A$7:$C$161,2,FALSE)*VLOOKUP(BP$1,'Attrition Modeling'!$L$15:$N$27,IF(BP$2-$F60&lt;=24,2,3),FALSE))*(1+Projection!BW$16)*(1+IF(BP192&gt;0,'Attrition Modeling'!$N$9,0))),0))</f>
        <v>3760.1636986129593</v>
      </c>
      <c r="BQ127" s="799">
        <f>IF(BQ$69=$F127+1,IF(Monthly!BM$4=TRUE,0,Monthly!BM$17),IF(BQ$69&gt;$F127+1,BP127*(1-IF(BQ$69-$F127&lt;=12,SUMIFS('Attrition Modeling'!$D:$D,'Attrition Modeling'!$B:$B,$E127,'Attrition Modeling'!$C:$C,BQ$68),VLOOKUP(BQ$69-$F127-1,$A$7:$C$161,2,FALSE)*VLOOKUP(BQ$1,'Attrition Modeling'!$L$15:$N$27,IF(BQ$2-$F60&lt;=24,2,3),FALSE))*(1+Projection!BX$16)*(1+IF(BQ192&gt;0,'Attrition Modeling'!$N$9,0))),0))</f>
        <v>3482.7769865908358</v>
      </c>
      <c r="BR127" s="799">
        <f>IF(BR$69=$F127+1,IF(Monthly!BN$4=TRUE,0,Monthly!BN$17),IF(BR$69&gt;$F127+1,BQ127*(1-IF(BR$69-$F127&lt;=12,SUMIFS('Attrition Modeling'!$D:$D,'Attrition Modeling'!$B:$B,$E127,'Attrition Modeling'!$C:$C,BR$68),VLOOKUP(BR$69-$F127-1,$A$7:$C$161,2,FALSE)*VLOOKUP(BR$1,'Attrition Modeling'!$L$15:$N$27,IF(BR$2-$F60&lt;=24,2,3),FALSE))*(1+Projection!BY$16)*(1+IF(BR192&gt;0,'Attrition Modeling'!$N$9,0))),0))</f>
        <v>3126.0178065162791</v>
      </c>
      <c r="BS127" s="799">
        <f>IF(BS$69=$F127+1,IF(Monthly!BO$4=TRUE,0,Monthly!BO$17),IF(BS$69&gt;$F127+1,BR127*(1-IF(BS$69-$F127&lt;=12,SUMIFS('Attrition Modeling'!$D:$D,'Attrition Modeling'!$B:$B,$E127,'Attrition Modeling'!$C:$C,BS$68),VLOOKUP(BS$69-$F127-1,$A$7:$C$161,2,FALSE)*VLOOKUP(BS$1,'Attrition Modeling'!$L$15:$N$27,IF(BS$2-$F60&lt;=24,2,3),FALSE))*(1+Projection!BZ$16)*(1+IF(BS192&gt;0,'Attrition Modeling'!$N$9,0))),0))</f>
        <v>2898.8677232571699</v>
      </c>
      <c r="BT127" s="799">
        <f>IF(BT$69=$F127+1,IF(Monthly!#REF!=TRUE,0,Monthly!#REF!),IF(BT$69&gt;$F127+1,BS127*(1-IF(BT$69-$F127&lt;=12,SUMIFS('Attrition Modeling'!$D:$D,'Attrition Modeling'!$B:$B,$E127,'Attrition Modeling'!$C:$C,BT$68),VLOOKUP(BT$69-$F127-1,$A$7:$C$161,2,FALSE)*VLOOKUP(BT$1,'Attrition Modeling'!$L$15:$N$27,IF(BT$2-$F60&lt;=24,2,3),FALSE))*(1+Projection!CA$16)*(1+IF(BT192&gt;0,'Attrition Modeling'!$N$9,0))),0))</f>
        <v>2692.6415197190468</v>
      </c>
      <c r="BU127" s="799">
        <f>IF(BU$69=$F127+1,IF(Monthly!#REF!=TRUE,0,Monthly!#REF!),IF(BU$69&gt;$F127+1,BT127*(1-IF(BU$69-$F127&lt;=12,SUMIFS('Attrition Modeling'!$D:$D,'Attrition Modeling'!$B:$B,$E127,'Attrition Modeling'!$C:$C,BU$68),VLOOKUP(BU$69-$F127-1,$A$7:$C$161,2,FALSE)*VLOOKUP(BU$1,'Attrition Modeling'!$L$15:$N$27,IF(BU$2-$F60&lt;=24,2,3),FALSE))*(1+Projection!CB$16)*(1+IF(BU192&gt;0,'Attrition Modeling'!$N$9,0))),0))</f>
        <v>2507.2244744542054</v>
      </c>
    </row>
    <row r="128" spans="1:73" ht="14.25" customHeight="1" x14ac:dyDescent="0.2">
      <c r="A128" s="9">
        <v>121</v>
      </c>
      <c r="B128" s="25">
        <f>MAX('Attrition Modeling'!H125,$C$3)*(1-Summary!$C$20)</f>
        <v>0.02</v>
      </c>
      <c r="C128" s="24" t="e">
        <f t="shared" si="4"/>
        <v>#DIV/0!</v>
      </c>
      <c r="E128" s="11">
        <f t="shared" si="9"/>
        <v>10</v>
      </c>
      <c r="F128" s="11">
        <f t="shared" si="10"/>
        <v>58</v>
      </c>
      <c r="G128" s="799"/>
      <c r="H128" s="799">
        <f>IF(H$69=$F128+1,IF(Monthly!D$4=TRUE,0,Monthly!D$17),IF(H$69&gt;$F128+1,G128*(1-IF(H$69-$F128&lt;=12,SUMIFS('Attrition Modeling'!$D:$D,'Attrition Modeling'!$B:$B,$E128,'Attrition Modeling'!$C:$C,H$68),VLOOKUP(H$69-$F128-1,$A$7:$C$161,2,FALSE)*VLOOKUP(H$1,'Attrition Modeling'!$L$15:$N$27,IF(H$2-$F61&lt;=24,2,3),FALSE))*(1+Projection!J$16)*(1+IF(H193&gt;0,'Attrition Modeling'!$N$9,0))),0))</f>
        <v>0</v>
      </c>
      <c r="I128" s="799">
        <f>IF(I$69=$F128+1,IF(Monthly!E$4=TRUE,0,Monthly!E$17),IF(I$69&gt;$F128+1,H128*(1-IF(I$69-$F128&lt;=12,SUMIFS('Attrition Modeling'!$D:$D,'Attrition Modeling'!$B:$B,$E128,'Attrition Modeling'!$C:$C,I$68),VLOOKUP(I$69-$F128-1,$A$7:$C$161,2,FALSE)*VLOOKUP(I$1,'Attrition Modeling'!$L$15:$N$27,IF(I$2-$F61&lt;=24,2,3),FALSE))*(1+Projection!K$16)*(1+IF(I193&gt;0,'Attrition Modeling'!$N$9,0))),0))</f>
        <v>0</v>
      </c>
      <c r="J128" s="799">
        <f>IF(J$69=$F128+1,IF(Monthly!F$4=TRUE,0,Monthly!F$17),IF(J$69&gt;$F128+1,I128*(1-IF(J$69-$F128&lt;=12,SUMIFS('Attrition Modeling'!$D:$D,'Attrition Modeling'!$B:$B,$E128,'Attrition Modeling'!$C:$C,J$68),VLOOKUP(J$69-$F128-1,$A$7:$C$161,2,FALSE)*VLOOKUP(J$1,'Attrition Modeling'!$L$15:$N$27,IF(J$2-$F61&lt;=24,2,3),FALSE))*(1+Projection!L$16)*(1+IF(J193&gt;0,'Attrition Modeling'!$N$9,0))),0))</f>
        <v>0</v>
      </c>
      <c r="K128" s="799">
        <f>IF(K$69=$F128+1,IF(Monthly!G$4=TRUE,0,Monthly!G$17),IF(K$69&gt;$F128+1,J128*(1-IF(K$69-$F128&lt;=12,SUMIFS('Attrition Modeling'!$D:$D,'Attrition Modeling'!$B:$B,$E128,'Attrition Modeling'!$C:$C,K$68),VLOOKUP(K$69-$F128-1,$A$7:$C$161,2,FALSE)*VLOOKUP(K$1,'Attrition Modeling'!$L$15:$N$27,IF(K$2-$F61&lt;=24,2,3),FALSE))*(1+Projection!M$16)*(1+IF(K193&gt;0,'Attrition Modeling'!$N$9,0))),0))</f>
        <v>0</v>
      </c>
      <c r="L128" s="799">
        <f>IF(L$69=$F128+1,IF(Monthly!H$4=TRUE,0,Monthly!H$17),IF(L$69&gt;$F128+1,K128*(1-IF(L$69-$F128&lt;=12,SUMIFS('Attrition Modeling'!$D:$D,'Attrition Modeling'!$B:$B,$E128,'Attrition Modeling'!$C:$C,L$68),VLOOKUP(L$69-$F128-1,$A$7:$C$161,2,FALSE)*VLOOKUP(L$1,'Attrition Modeling'!$L$15:$N$27,IF(L$2-$F61&lt;=24,2,3),FALSE))*(1+Projection!N$16)*(1+IF(L193&gt;0,'Attrition Modeling'!$N$9,0))),0))</f>
        <v>0</v>
      </c>
      <c r="M128" s="799">
        <f>IF(M$69=$F128+1,IF(Monthly!I$4=TRUE,0,Monthly!I$17),IF(M$69&gt;$F128+1,L128*(1-IF(M$69-$F128&lt;=12,SUMIFS('Attrition Modeling'!$D:$D,'Attrition Modeling'!$B:$B,$E128,'Attrition Modeling'!$C:$C,M$68),VLOOKUP(M$69-$F128-1,$A$7:$C$161,2,FALSE)*VLOOKUP(M$1,'Attrition Modeling'!$L$15:$N$27,IF(M$2-$F61&lt;=24,2,3),FALSE))*(1+Projection!O$16)*(1+IF(M193&gt;0,'Attrition Modeling'!$N$9,0))),0))</f>
        <v>0</v>
      </c>
      <c r="N128" s="799">
        <f>IF(N$69=$F128+1,IF(Monthly!J$4=TRUE,0,Monthly!J$17),IF(N$69&gt;$F128+1,M128*(1-IF(N$69-$F128&lt;=12,SUMIFS('Attrition Modeling'!$D:$D,'Attrition Modeling'!$B:$B,$E128,'Attrition Modeling'!$C:$C,N$68),VLOOKUP(N$69-$F128-1,$A$7:$C$161,2,FALSE)*VLOOKUP(N$1,'Attrition Modeling'!$L$15:$N$27,IF(N$2-$F61&lt;=24,2,3),FALSE))*(1+Projection!P$16)*(1+IF(N193&gt;0,'Attrition Modeling'!$N$9,0))),0))</f>
        <v>0</v>
      </c>
      <c r="O128" s="799">
        <f>IF(O$69=$F128+1,IF(Monthly!K$4=TRUE,0,Monthly!K$17),IF(O$69&gt;$F128+1,N128*(1-IF(O$69-$F128&lt;=12,SUMIFS('Attrition Modeling'!$D:$D,'Attrition Modeling'!$B:$B,$E128,'Attrition Modeling'!$C:$C,O$68),VLOOKUP(O$69-$F128-1,$A$7:$C$161,2,FALSE)*VLOOKUP(O$1,'Attrition Modeling'!$L$15:$N$27,IF(O$2-$F61&lt;=24,2,3),FALSE))*(1+Projection!Q$16)*(1+IF(O193&gt;0,'Attrition Modeling'!$N$9,0))),0))</f>
        <v>0</v>
      </c>
      <c r="P128" s="799">
        <f>IF(P$69=$F128+1,IF(Monthly!L$4=TRUE,0,Monthly!L$17),IF(P$69&gt;$F128+1,O128*(1-IF(P$69-$F128&lt;=12,SUMIFS('Attrition Modeling'!$D:$D,'Attrition Modeling'!$B:$B,$E128,'Attrition Modeling'!$C:$C,P$68),VLOOKUP(P$69-$F128-1,$A$7:$C$161,2,FALSE)*VLOOKUP(P$1,'Attrition Modeling'!$L$15:$N$27,IF(P$2-$F61&lt;=24,2,3),FALSE))*(1+Projection!R$16)*(1+IF(P193&gt;0,'Attrition Modeling'!$N$9,0))),0))</f>
        <v>0</v>
      </c>
      <c r="Q128" s="799">
        <f>IF(Q$69=$F128+1,IF(Monthly!M$4=TRUE,0,Monthly!M$17),IF(Q$69&gt;$F128+1,P128*(1-IF(Q$69-$F128&lt;=12,SUMIFS('Attrition Modeling'!$D:$D,'Attrition Modeling'!$B:$B,$E128,'Attrition Modeling'!$C:$C,Q$68),VLOOKUP(Q$69-$F128-1,$A$7:$C$161,2,FALSE)*VLOOKUP(Q$1,'Attrition Modeling'!$L$15:$N$27,IF(Q$2-$F61&lt;=24,2,3),FALSE))*(1+Projection!S$16)*(1+IF(Q193&gt;0,'Attrition Modeling'!$N$9,0))),0))</f>
        <v>0</v>
      </c>
      <c r="R128" s="799">
        <f>IF(R$69=$F128+1,IF(Monthly!N$4=TRUE,0,Monthly!N$17),IF(R$69&gt;$F128+1,Q128*(1-IF(R$69-$F128&lt;=12,SUMIFS('Attrition Modeling'!$D:$D,'Attrition Modeling'!$B:$B,$E128,'Attrition Modeling'!$C:$C,R$68),VLOOKUP(R$69-$F128-1,$A$7:$C$161,2,FALSE)*VLOOKUP(R$1,'Attrition Modeling'!$L$15:$N$27,IF(R$2-$F61&lt;=24,2,3),FALSE))*(1+Projection!T$16)*(1+IF(R193&gt;0,'Attrition Modeling'!$N$9,0))),0))</f>
        <v>0</v>
      </c>
      <c r="S128" s="799">
        <f>IF(S$69=$F128+1,IF(Monthly!O$4=TRUE,0,Monthly!O$17),IF(S$69&gt;$F128+1,R128*(1-IF(S$69-$F128&lt;=12,SUMIFS('Attrition Modeling'!$D:$D,'Attrition Modeling'!$B:$B,$E128,'Attrition Modeling'!$C:$C,S$68),VLOOKUP(S$69-$F128-1,$A$7:$C$161,2,FALSE)*VLOOKUP(S$1,'Attrition Modeling'!$L$15:$N$27,IF(S$2-$F61&lt;=24,2,3),FALSE))*(1+Projection!U$16)*(1+IF(S193&gt;0,'Attrition Modeling'!$N$9,0))),0))</f>
        <v>0</v>
      </c>
      <c r="T128" s="799">
        <f>IF(T$69=$F128+1,IF(Monthly!P$4=TRUE,0,Monthly!P$17),IF(T$69&gt;$F128+1,S128*(1-IF(T$69-$F128&lt;=12,SUMIFS('Attrition Modeling'!$D:$D,'Attrition Modeling'!$B:$B,$E128,'Attrition Modeling'!$C:$C,T$68),VLOOKUP(T$69-$F128-1,$A$7:$C$161,2,FALSE)*VLOOKUP(T$1,'Attrition Modeling'!$L$15:$N$27,IF(T$2-$F61&lt;=24,2,3),FALSE))*(1+Projection!V$16)*(1+IF(T193&gt;0,'Attrition Modeling'!$N$9,0))),0))</f>
        <v>0</v>
      </c>
      <c r="U128" s="799">
        <f>IF(U$69=$F128+1,IF(Monthly!Q$4=TRUE,0,Monthly!Q$17),IF(U$69&gt;$F128+1,T128*(1-IF(U$69-$F128&lt;=12,SUMIFS('Attrition Modeling'!$D:$D,'Attrition Modeling'!$B:$B,$E128,'Attrition Modeling'!$C:$C,U$68),VLOOKUP(U$69-$F128-1,$A$7:$C$161,2,FALSE)*VLOOKUP(U$1,'Attrition Modeling'!$L$15:$N$27,IF(U$2-$F61&lt;=24,2,3),FALSE))*(1+Projection!W$16)*(1+IF(U193&gt;0,'Attrition Modeling'!$N$9,0))),0))</f>
        <v>0</v>
      </c>
      <c r="V128" s="799">
        <f>IF(V$69=$F128+1,IF(Monthly!R$4=TRUE,0,Monthly!R$17),IF(V$69&gt;$F128+1,U128*(1-IF(V$69-$F128&lt;=12,SUMIFS('Attrition Modeling'!$D:$D,'Attrition Modeling'!$B:$B,$E128,'Attrition Modeling'!$C:$C,V$68),VLOOKUP(V$69-$F128-1,$A$7:$C$161,2,FALSE)*VLOOKUP(V$1,'Attrition Modeling'!$L$15:$N$27,IF(V$2-$F61&lt;=24,2,3),FALSE))*(1+Projection!X$16)*(1+IF(V193&gt;0,'Attrition Modeling'!$N$9,0))),0))</f>
        <v>0</v>
      </c>
      <c r="W128" s="799">
        <f>IF(W$69=$F128+1,IF(Monthly!S$4=TRUE,0,Monthly!S$17),IF(W$69&gt;$F128+1,V128*(1-IF(W$69-$F128&lt;=12,SUMIFS('Attrition Modeling'!$D:$D,'Attrition Modeling'!$B:$B,$E128,'Attrition Modeling'!$C:$C,W$68),VLOOKUP(W$69-$F128-1,$A$7:$C$161,2,FALSE)*VLOOKUP(W$1,'Attrition Modeling'!$L$15:$N$27,IF(W$2-$F61&lt;=24,2,3),FALSE))*(1+Projection!Y$16)*(1+IF(W193&gt;0,'Attrition Modeling'!$N$9,0))),0))</f>
        <v>0</v>
      </c>
      <c r="X128" s="799">
        <f>IF(X$69=$F128+1,IF(Monthly!T$4=TRUE,0,Monthly!T$17),IF(X$69&gt;$F128+1,W128*(1-IF(X$69-$F128&lt;=12,SUMIFS('Attrition Modeling'!$D:$D,'Attrition Modeling'!$B:$B,$E128,'Attrition Modeling'!$C:$C,X$68),VLOOKUP(X$69-$F128-1,$A$7:$C$161,2,FALSE)*VLOOKUP(X$1,'Attrition Modeling'!$L$15:$N$27,IF(X$2-$F61&lt;=24,2,3),FALSE))*(1+Projection!Z$16)*(1+IF(X193&gt;0,'Attrition Modeling'!$N$9,0))),0))</f>
        <v>0</v>
      </c>
      <c r="Y128" s="799">
        <f>IF(Y$69=$F128+1,IF(Monthly!U$4=TRUE,0,Monthly!U$17),IF(Y$69&gt;$F128+1,X128*(1-IF(Y$69-$F128&lt;=12,SUMIFS('Attrition Modeling'!$D:$D,'Attrition Modeling'!$B:$B,$E128,'Attrition Modeling'!$C:$C,Y$68),VLOOKUP(Y$69-$F128-1,$A$7:$C$161,2,FALSE)*VLOOKUP(Y$1,'Attrition Modeling'!$L$15:$N$27,IF(Y$2-$F61&lt;=24,2,3),FALSE))*(1+Projection!AA$16)*(1+IF(Y193&gt;0,'Attrition Modeling'!$N$9,0))),0))</f>
        <v>0</v>
      </c>
      <c r="Z128" s="799">
        <f>IF(Z$69=$F128+1,IF(Monthly!V$4=TRUE,0,Monthly!V$17),IF(Z$69&gt;$F128+1,Y128*(1-IF(Z$69-$F128&lt;=12,SUMIFS('Attrition Modeling'!$D:$D,'Attrition Modeling'!$B:$B,$E128,'Attrition Modeling'!$C:$C,Z$68),VLOOKUP(Z$69-$F128-1,$A$7:$C$161,2,FALSE)*VLOOKUP(Z$1,'Attrition Modeling'!$L$15:$N$27,IF(Z$2-$F61&lt;=24,2,3),FALSE))*(1+Projection!AB$16)*(1+IF(Z193&gt;0,'Attrition Modeling'!$N$9,0))),0))</f>
        <v>0</v>
      </c>
      <c r="AA128" s="799">
        <f>IF(AA$69=$F128+1,IF(Monthly!W$4=TRUE,0,Monthly!W$17),IF(AA$69&gt;$F128+1,Z128*(1-IF(AA$69-$F128&lt;=12,SUMIFS('Attrition Modeling'!$D:$D,'Attrition Modeling'!$B:$B,$E128,'Attrition Modeling'!$C:$C,AA$68),VLOOKUP(AA$69-$F128-1,$A$7:$C$161,2,FALSE)*VLOOKUP(AA$1,'Attrition Modeling'!$L$15:$N$27,IF(AA$2-$F61&lt;=24,2,3),FALSE))*(1+Projection!AC$16)*(1+IF(AA193&gt;0,'Attrition Modeling'!$N$9,0))),0))</f>
        <v>0</v>
      </c>
      <c r="AB128" s="799">
        <f>IF(AB$69=$F128+1,IF(Monthly!X$4=TRUE,0,Monthly!X$17),IF(AB$69&gt;$F128+1,AA128*(1-IF(AB$69-$F128&lt;=12,SUMIFS('Attrition Modeling'!$D:$D,'Attrition Modeling'!$B:$B,$E128,'Attrition Modeling'!$C:$C,AB$68),VLOOKUP(AB$69-$F128-1,$A$7:$C$161,2,FALSE)*VLOOKUP(AB$1,'Attrition Modeling'!$L$15:$N$27,IF(AB$2-$F61&lt;=24,2,3),FALSE))*(1+Projection!AD$16)*(1+IF(AB193&gt;0,'Attrition Modeling'!$N$9,0))),0))</f>
        <v>0</v>
      </c>
      <c r="AC128" s="799">
        <f>IF(AC$69=$F128+1,IF(Monthly!Y$4=TRUE,0,Monthly!Y$17),IF(AC$69&gt;$F128+1,AB128*(1-IF(AC$69-$F128&lt;=12,SUMIFS('Attrition Modeling'!$D:$D,'Attrition Modeling'!$B:$B,$E128,'Attrition Modeling'!$C:$C,AC$68),VLOOKUP(AC$69-$F128-1,$A$7:$C$161,2,FALSE)*VLOOKUP(AC$1,'Attrition Modeling'!$L$15:$N$27,IF(AC$2-$F61&lt;=24,2,3),FALSE))*(1+Projection!AE$16)*(1+IF(AC193&gt;0,'Attrition Modeling'!$N$9,0))),0))</f>
        <v>0</v>
      </c>
      <c r="AD128" s="799">
        <f>IF(AD$69=$F128+1,IF(Monthly!Z$4=TRUE,0,Monthly!Z$17),IF(AD$69&gt;$F128+1,AC128*(1-IF(AD$69-$F128&lt;=12,SUMIFS('Attrition Modeling'!$D:$D,'Attrition Modeling'!$B:$B,$E128,'Attrition Modeling'!$C:$C,AD$68),VLOOKUP(AD$69-$F128-1,$A$7:$C$161,2,FALSE)*VLOOKUP(AD$1,'Attrition Modeling'!$L$15:$N$27,IF(AD$2-$F61&lt;=24,2,3),FALSE))*(1+Projection!AF$16)*(1+IF(AD193&gt;0,'Attrition Modeling'!$N$9,0))),0))</f>
        <v>0</v>
      </c>
      <c r="AE128" s="799">
        <f>IF(AE$69=$F128+1,IF(Monthly!AA$4=TRUE,0,Monthly!AA$17),IF(AE$69&gt;$F128+1,AD128*(1-IF(AE$69-$F128&lt;=12,SUMIFS('Attrition Modeling'!$D:$D,'Attrition Modeling'!$B:$B,$E128,'Attrition Modeling'!$C:$C,AE$68),VLOOKUP(AE$69-$F128-1,$A$7:$C$161,2,FALSE)*VLOOKUP(AE$1,'Attrition Modeling'!$L$15:$N$27,IF(AE$2-$F61&lt;=24,2,3),FALSE))*(1+Projection!AG$16)*(1+IF(AE193&gt;0,'Attrition Modeling'!$N$9,0))),0))</f>
        <v>0</v>
      </c>
      <c r="AF128" s="799">
        <f>IF(AF$69=$F128+1,IF(Monthly!AB$4=TRUE,0,Monthly!AB$17),IF(AF$69&gt;$F128+1,AE128*(1-IF(AF$69-$F128&lt;=12,SUMIFS('Attrition Modeling'!$D:$D,'Attrition Modeling'!$B:$B,$E128,'Attrition Modeling'!$C:$C,AF$68),VLOOKUP(AF$69-$F128-1,$A$7:$C$161,2,FALSE)*VLOOKUP(AF$1,'Attrition Modeling'!$L$15:$N$27,IF(AF$2-$F61&lt;=24,2,3),FALSE))*(1+Projection!AH$16)*(1+IF(AF193&gt;0,'Attrition Modeling'!$N$9,0))),0))</f>
        <v>0</v>
      </c>
      <c r="AG128" s="799">
        <f>IF(AG$69=$F128+1,IF(Monthly!AC$4=TRUE,0,Monthly!AC$17),IF(AG$69&gt;$F128+1,AF128*(1-IF(AG$69-$F128&lt;=12,SUMIFS('Attrition Modeling'!$D:$D,'Attrition Modeling'!$B:$B,$E128,'Attrition Modeling'!$C:$C,AG$68),VLOOKUP(AG$69-$F128-1,$A$7:$C$161,2,FALSE)*VLOOKUP(AG$1,'Attrition Modeling'!$L$15:$N$27,IF(AG$2-$F61&lt;=24,2,3),FALSE))*(1+Projection!AI$16)*(1+IF(AG193&gt;0,'Attrition Modeling'!$N$9,0))),0))</f>
        <v>0</v>
      </c>
      <c r="AH128" s="799">
        <f>IF(AH$69=$F128+1,IF(Monthly!AD$4=TRUE,0,Monthly!AD$17),IF(AH$69&gt;$F128+1,AG128*(1-IF(AH$69-$F128&lt;=12,SUMIFS('Attrition Modeling'!$D:$D,'Attrition Modeling'!$B:$B,$E128,'Attrition Modeling'!$C:$C,AH$68),VLOOKUP(AH$69-$F128-1,$A$7:$C$161,2,FALSE)*VLOOKUP(AH$1,'Attrition Modeling'!$L$15:$N$27,IF(AH$2-$F61&lt;=24,2,3),FALSE))*(1+Projection!AJ$16)*(1+IF(AH193&gt;0,'Attrition Modeling'!$N$9,0))),0))</f>
        <v>0</v>
      </c>
      <c r="AI128" s="799">
        <f>IF(AI$69=$F128+1,IF(Monthly!AE$4=TRUE,0,Monthly!AE$17),IF(AI$69&gt;$F128+1,AH128*(1-IF(AI$69-$F128&lt;=12,SUMIFS('Attrition Modeling'!$D:$D,'Attrition Modeling'!$B:$B,$E128,'Attrition Modeling'!$C:$C,AI$68),VLOOKUP(AI$69-$F128-1,$A$7:$C$161,2,FALSE)*VLOOKUP(AI$1,'Attrition Modeling'!$L$15:$N$27,IF(AI$2-$F61&lt;=24,2,3),FALSE))*(1+Projection!AK$16)*(1+IF(AI193&gt;0,'Attrition Modeling'!$N$9,0))),0))</f>
        <v>0</v>
      </c>
      <c r="AJ128" s="799">
        <f>IF(AJ$69=$F128+1,IF(Monthly!AF$4=TRUE,0,Monthly!AF$17),IF(AJ$69&gt;$F128+1,AI128*(1-IF(AJ$69-$F128&lt;=12,SUMIFS('Attrition Modeling'!$D:$D,'Attrition Modeling'!$B:$B,$E128,'Attrition Modeling'!$C:$C,AJ$68),VLOOKUP(AJ$69-$F128-1,$A$7:$C$161,2,FALSE)*VLOOKUP(AJ$1,'Attrition Modeling'!$L$15:$N$27,IF(AJ$2-$F61&lt;=24,2,3),FALSE))*(1+Projection!AL$16)*(1+IF(AJ193&gt;0,'Attrition Modeling'!$N$9,0))),0))</f>
        <v>0</v>
      </c>
      <c r="AK128" s="799">
        <f>IF(AK$69=$F128+1,IF(Monthly!AG$4=TRUE,0,Monthly!AG$17),IF(AK$69&gt;$F128+1,AJ128*(1-IF(AK$69-$F128&lt;=12,SUMIFS('Attrition Modeling'!$D:$D,'Attrition Modeling'!$B:$B,$E128,'Attrition Modeling'!$C:$C,AK$68),VLOOKUP(AK$69-$F128-1,$A$7:$C$161,2,FALSE)*VLOOKUP(AK$1,'Attrition Modeling'!$L$15:$N$27,IF(AK$2-$F61&lt;=24,2,3),FALSE))*(1+Projection!AM$16)*(1+IF(AK193&gt;0,'Attrition Modeling'!$N$9,0))),0))</f>
        <v>0</v>
      </c>
      <c r="AL128" s="799">
        <f>IF(AL$69=$F128+1,IF(Monthly!AH$4=TRUE,0,Monthly!AH$17),IF(AL$69&gt;$F128+1,AK128*(1-IF(AL$69-$F128&lt;=12,SUMIFS('Attrition Modeling'!$D:$D,'Attrition Modeling'!$B:$B,$E128,'Attrition Modeling'!$C:$C,AL$68),VLOOKUP(AL$69-$F128-1,$A$7:$C$161,2,FALSE)*VLOOKUP(AL$1,'Attrition Modeling'!$L$15:$N$27,IF(AL$2-$F61&lt;=24,2,3),FALSE))*(1+Projection!AN$16)*(1+IF(AL193&gt;0,'Attrition Modeling'!$N$9,0))),0))</f>
        <v>0</v>
      </c>
      <c r="AM128" s="799">
        <f>IF(AM$69=$F128+1,IF(Monthly!AI$4=TRUE,0,Monthly!AI$17),IF(AM$69&gt;$F128+1,AL128*(1-IF(AM$69-$F128&lt;=12,SUMIFS('Attrition Modeling'!$D:$D,'Attrition Modeling'!$B:$B,$E128,'Attrition Modeling'!$C:$C,AM$68),VLOOKUP(AM$69-$F128-1,$A$7:$C$161,2,FALSE)*VLOOKUP(AM$1,'Attrition Modeling'!$L$15:$N$27,IF(AM$2-$F61&lt;=24,2,3),FALSE))*(1+Projection!AO$16)*(1+IF(AM193&gt;0,'Attrition Modeling'!$N$9,0))),0))</f>
        <v>0</v>
      </c>
      <c r="AN128" s="799">
        <f>IF(AN$69=$F128+1,IF(Monthly!AJ$4=TRUE,0,Monthly!AJ$17),IF(AN$69&gt;$F128+1,AM128*(1-IF(AN$69-$F128&lt;=12,SUMIFS('Attrition Modeling'!$D:$D,'Attrition Modeling'!$B:$B,$E128,'Attrition Modeling'!$C:$C,AN$68),VLOOKUP(AN$69-$F128-1,$A$7:$C$161,2,FALSE)*VLOOKUP(AN$1,'Attrition Modeling'!$L$15:$N$27,IF(AN$2-$F61&lt;=24,2,3),FALSE))*(1+Projection!AP$16)*(1+IF(AN193&gt;0,'Attrition Modeling'!$N$9,0))),0))</f>
        <v>0</v>
      </c>
      <c r="AO128" s="799">
        <f>IF(AO$69=$F128+1,IF(Monthly!AK$4=TRUE,0,Monthly!AK$17),IF(AO$69&gt;$F128+1,AN128*(1-IF(AO$69-$F128&lt;=12,SUMIFS('Attrition Modeling'!$D:$D,'Attrition Modeling'!$B:$B,$E128,'Attrition Modeling'!$C:$C,AO$68),VLOOKUP(AO$69-$F128-1,$A$7:$C$161,2,FALSE)*VLOOKUP(AO$1,'Attrition Modeling'!$L$15:$N$27,IF(AO$2-$F61&lt;=24,2,3),FALSE))*(1+Projection!AQ$16)*(1+IF(AO193&gt;0,'Attrition Modeling'!$N$9,0))),0))</f>
        <v>0</v>
      </c>
      <c r="AP128" s="799">
        <f>IF(AP$69=$F128+1,IF(Monthly!AL$4=TRUE,0,Monthly!AL$17),IF(AP$69&gt;$F128+1,AO128*(1-IF(AP$69-$F128&lt;=12,SUMIFS('Attrition Modeling'!$D:$D,'Attrition Modeling'!$B:$B,$E128,'Attrition Modeling'!$C:$C,AP$68),VLOOKUP(AP$69-$F128-1,$A$7:$C$161,2,FALSE)*VLOOKUP(AP$1,'Attrition Modeling'!$L$15:$N$27,IF(AP$2-$F61&lt;=24,2,3),FALSE))*(1+Projection!AR$16)*(1+IF(AP193&gt;0,'Attrition Modeling'!$N$9,0))),0))</f>
        <v>0</v>
      </c>
      <c r="AQ128" s="799">
        <f>IF(AQ$69=$F128+1,IF(Monthly!AM$4=TRUE,0,Monthly!AM$17),IF(AQ$69&gt;$F128+1,AP128*(1-IF(AQ$69-$F128&lt;=12,SUMIFS('Attrition Modeling'!$D:$D,'Attrition Modeling'!$B:$B,$E128,'Attrition Modeling'!$C:$C,AQ$68),VLOOKUP(AQ$69-$F128-1,$A$7:$C$161,2,FALSE)*VLOOKUP(AQ$1,'Attrition Modeling'!$L$15:$N$27,IF(AQ$2-$F61&lt;=24,2,3),FALSE))*(1+Projection!AS$16)*(1+IF(AQ193&gt;0,'Attrition Modeling'!$N$9,0))),0))</f>
        <v>0</v>
      </c>
      <c r="AR128" s="799">
        <f>IF(AR$69=$F128+1,IF(Monthly!AN$4=TRUE,0,Monthly!AN$17),IF(AR$69&gt;$F128+1,AQ128*(1-IF(AR$69-$F128&lt;=12,SUMIFS('Attrition Modeling'!$D:$D,'Attrition Modeling'!$B:$B,$E128,'Attrition Modeling'!$C:$C,AR$68),VLOOKUP(AR$69-$F128-1,$A$7:$C$161,2,FALSE)*VLOOKUP(AR$1,'Attrition Modeling'!$L$15:$N$27,IF(AR$2-$F61&lt;=24,2,3),FALSE))*(1+Projection!AT$16)*(1+IF(AR193&gt;0,'Attrition Modeling'!$N$9,0))),0))</f>
        <v>0</v>
      </c>
      <c r="AS128" s="799">
        <f>IF(AS$69=$F128+1,IF(Monthly!AO$4=TRUE,0,Monthly!AO$17),IF(AS$69&gt;$F128+1,AR128*(1-IF(AS$69-$F128&lt;=12,SUMIFS('Attrition Modeling'!$D:$D,'Attrition Modeling'!$B:$B,$E128,'Attrition Modeling'!$C:$C,AS$68),VLOOKUP(AS$69-$F128-1,$A$7:$C$161,2,FALSE)*VLOOKUP(AS$1,'Attrition Modeling'!$L$15:$N$27,IF(AS$2-$F61&lt;=24,2,3),FALSE))*(1+Projection!AU$16)*(1+IF(AS193&gt;0,'Attrition Modeling'!$N$9,0))),0))</f>
        <v>0</v>
      </c>
      <c r="AT128" s="799">
        <f>IF(AT$69=$F128+1,IF(Monthly!AP$4=TRUE,0,Monthly!AP$17),IF(AT$69&gt;$F128+1,AS128*(1-IF(AT$69-$F128&lt;=12,SUMIFS('Attrition Modeling'!$D:$D,'Attrition Modeling'!$B:$B,$E128,'Attrition Modeling'!$C:$C,AT$68),VLOOKUP(AT$69-$F128-1,$A$7:$C$161,2,FALSE)*VLOOKUP(AT$1,'Attrition Modeling'!$L$15:$N$27,IF(AT$2-$F61&lt;=24,2,3),FALSE))*(1+Projection!AV$16)*(1+IF(AT193&gt;0,'Attrition Modeling'!$N$9,0))),0))</f>
        <v>0</v>
      </c>
      <c r="AU128" s="799">
        <f>IF(AU$69=$F128+1,IF(Monthly!AQ$4=TRUE,0,Monthly!AQ$17),IF(AU$69&gt;$F128+1,AT128*(1-IF(AU$69-$F128&lt;=12,SUMIFS('Attrition Modeling'!$D:$D,'Attrition Modeling'!$B:$B,$E128,'Attrition Modeling'!$C:$C,AU$68),VLOOKUP(AU$69-$F128-1,$A$7:$C$161,2,FALSE)*VLOOKUP(AU$1,'Attrition Modeling'!$L$15:$N$27,IF(AU$2-$F61&lt;=24,2,3),FALSE))*(1+Projection!AW$16)*(1+IF(AU193&gt;0,'Attrition Modeling'!$N$9,0))),0))</f>
        <v>0</v>
      </c>
      <c r="AV128" s="799">
        <f>IF(AV$69=$F128+1,IF(Monthly!AR$4=TRUE,0,Monthly!AR$17),IF(AV$69&gt;$F128+1,AU128*(1-IF(AV$69-$F128&lt;=12,SUMIFS('Attrition Modeling'!$D:$D,'Attrition Modeling'!$B:$B,$E128,'Attrition Modeling'!$C:$C,AV$68),VLOOKUP(AV$69-$F128-1,$A$7:$C$161,2,FALSE)*VLOOKUP(AV$1,'Attrition Modeling'!$L$15:$N$27,IF(AV$2-$F61&lt;=24,2,3),FALSE))*(1+Projection!AX$16)*(1+IF(AV193&gt;0,'Attrition Modeling'!$N$9,0))),0))</f>
        <v>0</v>
      </c>
      <c r="AW128" s="799">
        <f>IF(AW$69=$F128+1,IF(Monthly!AS$4=TRUE,0,Monthly!AS$17),IF(AW$69&gt;$F128+1,AV128*(1-IF(AW$69-$F128&lt;=12,SUMIFS('Attrition Modeling'!$D:$D,'Attrition Modeling'!$B:$B,$E128,'Attrition Modeling'!$C:$C,AW$68),VLOOKUP(AW$69-$F128-1,$A$7:$C$161,2,FALSE)*VLOOKUP(AW$1,'Attrition Modeling'!$L$15:$N$27,IF(AW$2-$F61&lt;=24,2,3),FALSE))*(1+Projection!AY$16)*(1+IF(AW193&gt;0,'Attrition Modeling'!$N$9,0))),0))</f>
        <v>0</v>
      </c>
      <c r="AX128" s="799">
        <f>IF(AX$69=$F128+1,IF(Monthly!AT$4=TRUE,0,Monthly!AT$17),IF(AX$69&gt;$F128+1,AW128*(1-IF(AX$69-$F128&lt;=12,SUMIFS('Attrition Modeling'!$D:$D,'Attrition Modeling'!$B:$B,$E128,'Attrition Modeling'!$C:$C,AX$68),VLOOKUP(AX$69-$F128-1,$A$7:$C$161,2,FALSE)*VLOOKUP(AX$1,'Attrition Modeling'!$L$15:$N$27,IF(AX$2-$F61&lt;=24,2,3),FALSE))*(1+Projection!AZ$16)*(1+IF(AX193&gt;0,'Attrition Modeling'!$N$9,0))),0))</f>
        <v>0</v>
      </c>
      <c r="AY128" s="799">
        <f>IF(AY$69=$F128+1,IF(Monthly!AU$4=TRUE,0,Monthly!AU$17),IF(AY$69&gt;$F128+1,AX128*(1-IF(AY$69-$F128&lt;=12,SUMIFS('Attrition Modeling'!$D:$D,'Attrition Modeling'!$B:$B,$E128,'Attrition Modeling'!$C:$C,AY$68),VLOOKUP(AY$69-$F128-1,$A$7:$C$161,2,FALSE)*VLOOKUP(AY$1,'Attrition Modeling'!$L$15:$N$27,IF(AY$2-$F61&lt;=24,2,3),FALSE))*(1+Projection!BA$16)*(1+IF(AY193&gt;0,'Attrition Modeling'!$N$9,0))),0))</f>
        <v>0</v>
      </c>
      <c r="AZ128" s="799">
        <f>IF(AZ$69=$F128+1,IF(Monthly!AV$4=TRUE,0,Monthly!AV$17),IF(AZ$69&gt;$F128+1,AY128*(1-IF(AZ$69-$F128&lt;=12,SUMIFS('Attrition Modeling'!$D:$D,'Attrition Modeling'!$B:$B,$E128,'Attrition Modeling'!$C:$C,AZ$68),VLOOKUP(AZ$69-$F128-1,$A$7:$C$161,2,FALSE)*VLOOKUP(AZ$1,'Attrition Modeling'!$L$15:$N$27,IF(AZ$2-$F61&lt;=24,2,3),FALSE))*(1+Projection!BB$16)*(1+IF(AZ193&gt;0,'Attrition Modeling'!$N$9,0))),0))</f>
        <v>0</v>
      </c>
      <c r="BA128" s="799">
        <f>IF(BA$69=$F128+1,IF(Monthly!AW$4=TRUE,0,Monthly!AW$17),IF(BA$69&gt;$F128+1,AZ128*(1-IF(BA$69-$F128&lt;=12,SUMIFS('Attrition Modeling'!$D:$D,'Attrition Modeling'!$B:$B,$E128,'Attrition Modeling'!$C:$C,BA$68),VLOOKUP(BA$69-$F128-1,$A$7:$C$161,2,FALSE)*VLOOKUP(BA$1,'Attrition Modeling'!$L$15:$N$27,IF(BA$2-$F61&lt;=24,2,3),FALSE))*(1+Projection!BC$16)*(1+IF(BA193&gt;0,'Attrition Modeling'!$N$9,0))),0))</f>
        <v>0</v>
      </c>
      <c r="BB128" s="799">
        <f>IF(BB$69=$F128+1,IF(Monthly!AX$4=TRUE,0,Monthly!AX$17),IF(BB$69&gt;$F128+1,BA128*(1-IF(BB$69-$F128&lt;=12,SUMIFS('Attrition Modeling'!$D:$D,'Attrition Modeling'!$B:$B,$E128,'Attrition Modeling'!$C:$C,BB$68),VLOOKUP(BB$69-$F128-1,$A$7:$C$161,2,FALSE)*VLOOKUP(BB$1,'Attrition Modeling'!$L$15:$N$27,IF(BB$2-$F61&lt;=24,2,3),FALSE))*(1+Projection!BD$16)*(1+IF(BB193&gt;0,'Attrition Modeling'!$N$9,0))),0))</f>
        <v>0</v>
      </c>
      <c r="BC128" s="799">
        <f>IF(BC$69=$F128+1,IF(Monthly!AY$4=TRUE,0,Monthly!AY$17),IF(BC$69&gt;$F128+1,BB128*(1-IF(BC$69-$F128&lt;=12,SUMIFS('Attrition Modeling'!$D:$D,'Attrition Modeling'!$B:$B,$E128,'Attrition Modeling'!$C:$C,BC$68),VLOOKUP(BC$69-$F128-1,$A$7:$C$161,2,FALSE)*VLOOKUP(BC$1,'Attrition Modeling'!$L$15:$N$27,IF(BC$2-$F61&lt;=24,2,3),FALSE))*(1+Projection!BE$16)*(1+IF(BC193&gt;0,'Attrition Modeling'!$N$9,0))),0))</f>
        <v>0</v>
      </c>
      <c r="BD128" s="799">
        <f>IF(BD$69=$F128+1,IF(Monthly!AZ$4=TRUE,0,Monthly!AZ$17),IF(BD$69&gt;$F128+1,BC128*(1-IF(BD$69-$F128&lt;=12,SUMIFS('Attrition Modeling'!$D:$D,'Attrition Modeling'!$B:$B,$E128,'Attrition Modeling'!$C:$C,BD$68),VLOOKUP(BD$69-$F128-1,$A$7:$C$161,2,FALSE)*VLOOKUP(BD$1,'Attrition Modeling'!$L$15:$N$27,IF(BD$2-$F61&lt;=24,2,3),FALSE))*(1+Projection!BF$16)*(1+IF(BD193&gt;0,'Attrition Modeling'!$N$9,0))),0))</f>
        <v>0</v>
      </c>
      <c r="BE128" s="799">
        <f>IF(BE$69=$F128+1,IF(Monthly!BA$4=TRUE,0,Monthly!BA$17),IF(BE$69&gt;$F128+1,BD128*(1-IF(BE$69-$F128&lt;=12,SUMIFS('Attrition Modeling'!$D:$D,'Attrition Modeling'!$B:$B,$E128,'Attrition Modeling'!$C:$C,BE$68),VLOOKUP(BE$69-$F128-1,$A$7:$C$161,2,FALSE)*VLOOKUP(BE$1,'Attrition Modeling'!$L$15:$N$27,IF(BE$2-$F61&lt;=24,2,3),FALSE))*(1+Projection!BG$16)*(1+IF(BE193&gt;0,'Attrition Modeling'!$N$9,0))),0))</f>
        <v>0</v>
      </c>
      <c r="BF128" s="799">
        <f>IF(BF$69=$F128+1,IF(Monthly!BB$4=TRUE,0,Monthly!BB$17),IF(BF$69&gt;$F128+1,BE128*(1-IF(BF$69-$F128&lt;=12,SUMIFS('Attrition Modeling'!$D:$D,'Attrition Modeling'!$B:$B,$E128,'Attrition Modeling'!$C:$C,BF$68),VLOOKUP(BF$69-$F128-1,$A$7:$C$161,2,FALSE)*VLOOKUP(BF$1,'Attrition Modeling'!$L$15:$N$27,IF(BF$2-$F61&lt;=24,2,3),FALSE))*(1+Projection!BH$16)*(1+IF(BF193&gt;0,'Attrition Modeling'!$N$9,0))),0))</f>
        <v>0</v>
      </c>
      <c r="BG128" s="799">
        <f>IF(BG$69=$F128+1,IF(Monthly!BC$4=TRUE,0,Monthly!BC$17),IF(BG$69&gt;$F128+1,BF128*(1-IF(BG$69-$F128&lt;=12,SUMIFS('Attrition Modeling'!$D:$D,'Attrition Modeling'!$B:$B,$E128,'Attrition Modeling'!$C:$C,BG$68),VLOOKUP(BG$69-$F128-1,$A$7:$C$161,2,FALSE)*VLOOKUP(BG$1,'Attrition Modeling'!$L$15:$N$27,IF(BG$2-$F61&lt;=24,2,3),FALSE))*(1+Projection!BI$16)*(1+IF(BG193&gt;0,'Attrition Modeling'!$N$9,0))),0))</f>
        <v>0</v>
      </c>
      <c r="BH128" s="799">
        <f>IF(BH$69=$F128+1,IF(Monthly!BD$4=TRUE,0,Monthly!BD$17),IF(BH$69&gt;$F128+1,BG128*(1-IF(BH$69-$F128&lt;=12,SUMIFS('Attrition Modeling'!$D:$D,'Attrition Modeling'!$B:$B,$E128,'Attrition Modeling'!$C:$C,BH$68),VLOOKUP(BH$69-$F128-1,$A$7:$C$161,2,FALSE)*VLOOKUP(BH$1,'Attrition Modeling'!$L$15:$N$27,IF(BH$2-$F61&lt;=24,2,3),FALSE))*(1+Projection!BJ$16)*(1+IF(BH193&gt;0,'Attrition Modeling'!$N$9,0))),0))</f>
        <v>0</v>
      </c>
      <c r="BI128" s="799">
        <f>IF(BI$69=$F128+1,IF(Monthly!BE$4=TRUE,0,Monthly!BE$17),IF(BI$69&gt;$F128+1,BH128*(1-IF(BI$69-$F128&lt;=12,SUMIFS('Attrition Modeling'!$D:$D,'Attrition Modeling'!$B:$B,$E128,'Attrition Modeling'!$C:$C,BI$68),VLOOKUP(BI$69-$F128-1,$A$7:$C$161,2,FALSE)*VLOOKUP(BI$1,'Attrition Modeling'!$L$15:$N$27,IF(BI$2-$F61&lt;=24,2,3),FALSE))*(1+Projection!BK$16)*(1+IF(BI193&gt;0,'Attrition Modeling'!$N$9,0))),0))</f>
        <v>0</v>
      </c>
      <c r="BJ128" s="799">
        <f>IF(BJ$69=$F128+1,IF(Monthly!BF$4=TRUE,0,Monthly!BF$17),IF(BJ$69&gt;$F128+1,BI128*(1-IF(BJ$69-$F128&lt;=12,SUMIFS('Attrition Modeling'!$D:$D,'Attrition Modeling'!$B:$B,$E128,'Attrition Modeling'!$C:$C,BJ$68),VLOOKUP(BJ$69-$F128-1,$A$7:$C$161,2,FALSE)*VLOOKUP(BJ$1,'Attrition Modeling'!$L$15:$N$27,IF(BJ$2-$F61&lt;=24,2,3),FALSE))*(1+Projection!BL$16)*(1+IF(BJ193&gt;0,'Attrition Modeling'!$N$9,0))),0))</f>
        <v>0</v>
      </c>
      <c r="BK128" s="799">
        <f>IF(BK$69=$F128+1,IF(Monthly!BG$4=TRUE,0,Monthly!BG$17),IF(BK$69&gt;$F128+1,BJ128*(1-IF(BK$69-$F128&lt;=12,SUMIFS('Attrition Modeling'!$D:$D,'Attrition Modeling'!$B:$B,$E128,'Attrition Modeling'!$C:$C,BK$68),VLOOKUP(BK$69-$F128-1,$A$7:$C$161,2,FALSE)*VLOOKUP(BK$1,'Attrition Modeling'!$L$15:$N$27,IF(BK$2-$F61&lt;=24,2,3),FALSE))*(1+Projection!BM$16)*(1+IF(BK193&gt;0,'Attrition Modeling'!$N$9,0))),0))</f>
        <v>0</v>
      </c>
      <c r="BL128" s="799">
        <f>IF(BL$69=$F128+1,IF(Monthly!BH$4=TRUE,0,Monthly!BH$17),IF(BL$69&gt;$F128+1,BK128*(1-IF(BL$69-$F128&lt;=12,SUMIFS('Attrition Modeling'!$D:$D,'Attrition Modeling'!$B:$B,$E128,'Attrition Modeling'!$C:$C,BL$68),VLOOKUP(BL$69-$F128-1,$A$7:$C$161,2,FALSE)*VLOOKUP(BL$1,'Attrition Modeling'!$L$15:$N$27,IF(BL$2-$F61&lt;=24,2,3),FALSE))*(1+Projection!BN$16)*(1+IF(BL193&gt;0,'Attrition Modeling'!$N$9,0))),0))</f>
        <v>0</v>
      </c>
      <c r="BM128" s="799">
        <f>IF(BM$69=$F128+1,IF(Monthly!BI$4=TRUE,0,Monthly!BI$17),IF(BM$69&gt;$F128+1,BL128*(1-IF(BM$69-$F128&lt;=12,SUMIFS('Attrition Modeling'!$D:$D,'Attrition Modeling'!$B:$B,$E128,'Attrition Modeling'!$C:$C,BM$68),VLOOKUP(BM$69-$F128-1,$A$7:$C$161,2,FALSE)*VLOOKUP(BM$1,'Attrition Modeling'!$L$15:$N$27,IF(BM$2-$F61&lt;=24,2,3),FALSE))*(1+Projection!BO$16)*(1+IF(BM193&gt;0,'Attrition Modeling'!$N$9,0))),0))</f>
        <v>0</v>
      </c>
      <c r="BN128" s="799">
        <f>IF(BN$69=$F128+1,IF(Monthly!BJ$4=TRUE,0,Monthly!BJ$17),IF(BN$69&gt;$F128+1,BM128*(1-IF(BN$69-$F128&lt;=12,SUMIFS('Attrition Modeling'!$D:$D,'Attrition Modeling'!$B:$B,$E128,'Attrition Modeling'!$C:$C,BN$68),VLOOKUP(BN$69-$F128-1,$A$7:$C$161,2,FALSE)*VLOOKUP(BN$1,'Attrition Modeling'!$L$15:$N$27,IF(BN$2-$F61&lt;=24,2,3),FALSE))*(1+Projection!BP$16)*(1+IF(BN193&gt;0,'Attrition Modeling'!$N$9,0))),0))</f>
        <v>4759.3334484920924</v>
      </c>
      <c r="BO128" s="799">
        <f>IF(BO$69=$F128+1,IF(Monthly!BK$4=TRUE,0,Monthly!BK$17),IF(BO$69&gt;$F128+1,BN128*(1-IF(BO$69-$F128&lt;=12,SUMIFS('Attrition Modeling'!$D:$D,'Attrition Modeling'!$B:$B,$E128,'Attrition Modeling'!$C:$C,BO$68),VLOOKUP(BO$69-$F128-1,$A$7:$C$161,2,FALSE)*VLOOKUP(BO$1,'Attrition Modeling'!$L$15:$N$27,IF(BO$2-$F61&lt;=24,2,3),FALSE))*(1+Projection!BV$16)*(1+IF(BO193&gt;0,'Attrition Modeling'!$N$9,0))),0))</f>
        <v>4276.8583998179311</v>
      </c>
      <c r="BP128" s="799">
        <f>IF(BP$69=$F128+1,IF(Monthly!BL$4=TRUE,0,Monthly!BL$17),IF(BP$69&gt;$F128+1,BO128*(1-IF(BP$69-$F128&lt;=12,SUMIFS('Attrition Modeling'!$D:$D,'Attrition Modeling'!$B:$B,$E128,'Attrition Modeling'!$C:$C,BP$68),VLOOKUP(BP$69-$F128-1,$A$7:$C$161,2,FALSE)*VLOOKUP(BP$1,'Attrition Modeling'!$L$15:$N$27,IF(BP$2-$F61&lt;=24,2,3),FALSE))*(1+Projection!BW$16)*(1+IF(BP193&gt;0,'Attrition Modeling'!$N$9,0))),0))</f>
        <v>3938.4752022734483</v>
      </c>
      <c r="BQ128" s="799">
        <f>IF(BQ$69=$F128+1,IF(Monthly!BM$4=TRUE,0,Monthly!BM$17),IF(BQ$69&gt;$F128+1,BP128*(1-IF(BQ$69-$F128&lt;=12,SUMIFS('Attrition Modeling'!$D:$D,'Attrition Modeling'!$B:$B,$E128,'Attrition Modeling'!$C:$C,BQ$68),VLOOKUP(BQ$69-$F128-1,$A$7:$C$161,2,FALSE)*VLOOKUP(BQ$1,'Attrition Modeling'!$L$15:$N$27,IF(BQ$2-$F61&lt;=24,2,3),FALSE))*(1+Projection!BX$16)*(1+IF(BQ193&gt;0,'Attrition Modeling'!$N$9,0))),0))</f>
        <v>3621.8091141205118</v>
      </c>
      <c r="BR128" s="799">
        <f>IF(BR$69=$F128+1,IF(Monthly!BN$4=TRUE,0,Monthly!BN$17),IF(BR$69&gt;$F128+1,BQ128*(1-IF(BR$69-$F128&lt;=12,SUMIFS('Attrition Modeling'!$D:$D,'Attrition Modeling'!$B:$B,$E128,'Attrition Modeling'!$C:$C,BR$68),VLOOKUP(BR$69-$F128-1,$A$7:$C$161,2,FALSE)*VLOOKUP(BR$1,'Attrition Modeling'!$L$15:$N$27,IF(BR$2-$F61&lt;=24,2,3),FALSE))*(1+Projection!BY$16)*(1+IF(BR193&gt;0,'Attrition Modeling'!$N$9,0))),0))</f>
        <v>3319.8857620999115</v>
      </c>
      <c r="BS128" s="799">
        <f>IF(BS$69=$F128+1,IF(Monthly!BO$4=TRUE,0,Monthly!BO$17),IF(BS$69&gt;$F128+1,BR128*(1-IF(BS$69-$F128&lt;=12,SUMIFS('Attrition Modeling'!$D:$D,'Attrition Modeling'!$B:$B,$E128,'Attrition Modeling'!$C:$C,BS$68),VLOOKUP(BS$69-$F128-1,$A$7:$C$161,2,FALSE)*VLOOKUP(BS$1,'Attrition Modeling'!$L$15:$N$27,IF(BS$2-$F61&lt;=24,2,3),FALSE))*(1+Projection!BZ$16)*(1+IF(BS193&gt;0,'Attrition Modeling'!$N$9,0))),0))</f>
        <v>2962.0514502865954</v>
      </c>
      <c r="BT128" s="799">
        <f>IF(BT$69=$F128+1,IF(Monthly!#REF!=TRUE,0,Monthly!#REF!),IF(BT$69&gt;$F128+1,BS128*(1-IF(BT$69-$F128&lt;=12,SUMIFS('Attrition Modeling'!$D:$D,'Attrition Modeling'!$B:$B,$E128,'Attrition Modeling'!$C:$C,BT$68),VLOOKUP(BT$69-$F128-1,$A$7:$C$161,2,FALSE)*VLOOKUP(BT$1,'Attrition Modeling'!$L$15:$N$27,IF(BT$2-$F61&lt;=24,2,3),FALSE))*(1+Projection!CA$16)*(1+IF(BT193&gt;0,'Attrition Modeling'!$N$9,0))),0))</f>
        <v>2732.4036605869046</v>
      </c>
      <c r="BU128" s="799">
        <f>IF(BU$69=$F128+1,IF(Monthly!#REF!=TRUE,0,Monthly!#REF!),IF(BU$69&gt;$F128+1,BT128*(1-IF(BU$69-$F128&lt;=12,SUMIFS('Attrition Modeling'!$D:$D,'Attrition Modeling'!$B:$B,$E128,'Attrition Modeling'!$C:$C,BU$68),VLOOKUP(BU$69-$F128-1,$A$7:$C$161,2,FALSE)*VLOOKUP(BU$1,'Attrition Modeling'!$L$15:$N$27,IF(BU$2-$F61&lt;=24,2,3),FALSE))*(1+Projection!CB$16)*(1+IF(BU193&gt;0,'Attrition Modeling'!$N$9,0))),0))</f>
        <v>2546.5216277377167</v>
      </c>
    </row>
    <row r="129" spans="1:73" ht="14.25" customHeight="1" x14ac:dyDescent="0.2">
      <c r="A129" s="9">
        <v>122</v>
      </c>
      <c r="B129" s="25">
        <f>MAX('Attrition Modeling'!H126,$C$3)*(1-Summary!$C$20)</f>
        <v>0.02</v>
      </c>
      <c r="C129" s="24" t="e">
        <f t="shared" si="4"/>
        <v>#DIV/0!</v>
      </c>
      <c r="E129" s="11">
        <f t="shared" si="9"/>
        <v>11</v>
      </c>
      <c r="F129" s="11">
        <f t="shared" si="10"/>
        <v>59</v>
      </c>
      <c r="G129" s="799"/>
      <c r="H129" s="799">
        <f>IF(H$69=$F129+1,IF(Monthly!D$4=TRUE,0,Monthly!D$17),IF(H$69&gt;$F129+1,G129*(1-IF(H$69-$F129&lt;=12,SUMIFS('Attrition Modeling'!$D:$D,'Attrition Modeling'!$B:$B,$E129,'Attrition Modeling'!$C:$C,H$68),VLOOKUP(H$69-$F129-1,$A$7:$C$161,2,FALSE)*VLOOKUP(H$1,'Attrition Modeling'!$L$15:$N$27,IF(H$2-$F62&lt;=24,2,3),FALSE))*(1+Projection!J$16)*(1+IF(H194&gt;0,'Attrition Modeling'!$N$9,0))),0))</f>
        <v>0</v>
      </c>
      <c r="I129" s="799">
        <f>IF(I$69=$F129+1,IF(Monthly!E$4=TRUE,0,Monthly!E$17),IF(I$69&gt;$F129+1,H129*(1-IF(I$69-$F129&lt;=12,SUMIFS('Attrition Modeling'!$D:$D,'Attrition Modeling'!$B:$B,$E129,'Attrition Modeling'!$C:$C,I$68),VLOOKUP(I$69-$F129-1,$A$7:$C$161,2,FALSE)*VLOOKUP(I$1,'Attrition Modeling'!$L$15:$N$27,IF(I$2-$F62&lt;=24,2,3),FALSE))*(1+Projection!K$16)*(1+IF(I194&gt;0,'Attrition Modeling'!$N$9,0))),0))</f>
        <v>0</v>
      </c>
      <c r="J129" s="799">
        <f>IF(J$69=$F129+1,IF(Monthly!F$4=TRUE,0,Monthly!F$17),IF(J$69&gt;$F129+1,I129*(1-IF(J$69-$F129&lt;=12,SUMIFS('Attrition Modeling'!$D:$D,'Attrition Modeling'!$B:$B,$E129,'Attrition Modeling'!$C:$C,J$68),VLOOKUP(J$69-$F129-1,$A$7:$C$161,2,FALSE)*VLOOKUP(J$1,'Attrition Modeling'!$L$15:$N$27,IF(J$2-$F62&lt;=24,2,3),FALSE))*(1+Projection!L$16)*(1+IF(J194&gt;0,'Attrition Modeling'!$N$9,0))),0))</f>
        <v>0</v>
      </c>
      <c r="K129" s="799">
        <f>IF(K$69=$F129+1,IF(Monthly!G$4=TRUE,0,Monthly!G$17),IF(K$69&gt;$F129+1,J129*(1-IF(K$69-$F129&lt;=12,SUMIFS('Attrition Modeling'!$D:$D,'Attrition Modeling'!$B:$B,$E129,'Attrition Modeling'!$C:$C,K$68),VLOOKUP(K$69-$F129-1,$A$7:$C$161,2,FALSE)*VLOOKUP(K$1,'Attrition Modeling'!$L$15:$N$27,IF(K$2-$F62&lt;=24,2,3),FALSE))*(1+Projection!M$16)*(1+IF(K194&gt;0,'Attrition Modeling'!$N$9,0))),0))</f>
        <v>0</v>
      </c>
      <c r="L129" s="799">
        <f>IF(L$69=$F129+1,IF(Monthly!H$4=TRUE,0,Monthly!H$17),IF(L$69&gt;$F129+1,K129*(1-IF(L$69-$F129&lt;=12,SUMIFS('Attrition Modeling'!$D:$D,'Attrition Modeling'!$B:$B,$E129,'Attrition Modeling'!$C:$C,L$68),VLOOKUP(L$69-$F129-1,$A$7:$C$161,2,FALSE)*VLOOKUP(L$1,'Attrition Modeling'!$L$15:$N$27,IF(L$2-$F62&lt;=24,2,3),FALSE))*(1+Projection!N$16)*(1+IF(L194&gt;0,'Attrition Modeling'!$N$9,0))),0))</f>
        <v>0</v>
      </c>
      <c r="M129" s="799">
        <f>IF(M$69=$F129+1,IF(Monthly!I$4=TRUE,0,Monthly!I$17),IF(M$69&gt;$F129+1,L129*(1-IF(M$69-$F129&lt;=12,SUMIFS('Attrition Modeling'!$D:$D,'Attrition Modeling'!$B:$B,$E129,'Attrition Modeling'!$C:$C,M$68),VLOOKUP(M$69-$F129-1,$A$7:$C$161,2,FALSE)*VLOOKUP(M$1,'Attrition Modeling'!$L$15:$N$27,IF(M$2-$F62&lt;=24,2,3),FALSE))*(1+Projection!O$16)*(1+IF(M194&gt;0,'Attrition Modeling'!$N$9,0))),0))</f>
        <v>0</v>
      </c>
      <c r="N129" s="799">
        <f>IF(N$69=$F129+1,IF(Monthly!J$4=TRUE,0,Monthly!J$17),IF(N$69&gt;$F129+1,M129*(1-IF(N$69-$F129&lt;=12,SUMIFS('Attrition Modeling'!$D:$D,'Attrition Modeling'!$B:$B,$E129,'Attrition Modeling'!$C:$C,N$68),VLOOKUP(N$69-$F129-1,$A$7:$C$161,2,FALSE)*VLOOKUP(N$1,'Attrition Modeling'!$L$15:$N$27,IF(N$2-$F62&lt;=24,2,3),FALSE))*(1+Projection!P$16)*(1+IF(N194&gt;0,'Attrition Modeling'!$N$9,0))),0))</f>
        <v>0</v>
      </c>
      <c r="O129" s="799">
        <f>IF(O$69=$F129+1,IF(Monthly!K$4=TRUE,0,Monthly!K$17),IF(O$69&gt;$F129+1,N129*(1-IF(O$69-$F129&lt;=12,SUMIFS('Attrition Modeling'!$D:$D,'Attrition Modeling'!$B:$B,$E129,'Attrition Modeling'!$C:$C,O$68),VLOOKUP(O$69-$F129-1,$A$7:$C$161,2,FALSE)*VLOOKUP(O$1,'Attrition Modeling'!$L$15:$N$27,IF(O$2-$F62&lt;=24,2,3),FALSE))*(1+Projection!Q$16)*(1+IF(O194&gt;0,'Attrition Modeling'!$N$9,0))),0))</f>
        <v>0</v>
      </c>
      <c r="P129" s="799">
        <f>IF(P$69=$F129+1,IF(Monthly!L$4=TRUE,0,Monthly!L$17),IF(P$69&gt;$F129+1,O129*(1-IF(P$69-$F129&lt;=12,SUMIFS('Attrition Modeling'!$D:$D,'Attrition Modeling'!$B:$B,$E129,'Attrition Modeling'!$C:$C,P$68),VLOOKUP(P$69-$F129-1,$A$7:$C$161,2,FALSE)*VLOOKUP(P$1,'Attrition Modeling'!$L$15:$N$27,IF(P$2-$F62&lt;=24,2,3),FALSE))*(1+Projection!R$16)*(1+IF(P194&gt;0,'Attrition Modeling'!$N$9,0))),0))</f>
        <v>0</v>
      </c>
      <c r="Q129" s="799">
        <f>IF(Q$69=$F129+1,IF(Monthly!M$4=TRUE,0,Monthly!M$17),IF(Q$69&gt;$F129+1,P129*(1-IF(Q$69-$F129&lt;=12,SUMIFS('Attrition Modeling'!$D:$D,'Attrition Modeling'!$B:$B,$E129,'Attrition Modeling'!$C:$C,Q$68),VLOOKUP(Q$69-$F129-1,$A$7:$C$161,2,FALSE)*VLOOKUP(Q$1,'Attrition Modeling'!$L$15:$N$27,IF(Q$2-$F62&lt;=24,2,3),FALSE))*(1+Projection!S$16)*(1+IF(Q194&gt;0,'Attrition Modeling'!$N$9,0))),0))</f>
        <v>0</v>
      </c>
      <c r="R129" s="799">
        <f>IF(R$69=$F129+1,IF(Monthly!N$4=TRUE,0,Monthly!N$17),IF(R$69&gt;$F129+1,Q129*(1-IF(R$69-$F129&lt;=12,SUMIFS('Attrition Modeling'!$D:$D,'Attrition Modeling'!$B:$B,$E129,'Attrition Modeling'!$C:$C,R$68),VLOOKUP(R$69-$F129-1,$A$7:$C$161,2,FALSE)*VLOOKUP(R$1,'Attrition Modeling'!$L$15:$N$27,IF(R$2-$F62&lt;=24,2,3),FALSE))*(1+Projection!T$16)*(1+IF(R194&gt;0,'Attrition Modeling'!$N$9,0))),0))</f>
        <v>0</v>
      </c>
      <c r="S129" s="799">
        <f>IF(S$69=$F129+1,IF(Monthly!O$4=TRUE,0,Monthly!O$17),IF(S$69&gt;$F129+1,R129*(1-IF(S$69-$F129&lt;=12,SUMIFS('Attrition Modeling'!$D:$D,'Attrition Modeling'!$B:$B,$E129,'Attrition Modeling'!$C:$C,S$68),VLOOKUP(S$69-$F129-1,$A$7:$C$161,2,FALSE)*VLOOKUP(S$1,'Attrition Modeling'!$L$15:$N$27,IF(S$2-$F62&lt;=24,2,3),FALSE))*(1+Projection!U$16)*(1+IF(S194&gt;0,'Attrition Modeling'!$N$9,0))),0))</f>
        <v>0</v>
      </c>
      <c r="T129" s="799">
        <f>IF(T$69=$F129+1,IF(Monthly!P$4=TRUE,0,Monthly!P$17),IF(T$69&gt;$F129+1,S129*(1-IF(T$69-$F129&lt;=12,SUMIFS('Attrition Modeling'!$D:$D,'Attrition Modeling'!$B:$B,$E129,'Attrition Modeling'!$C:$C,T$68),VLOOKUP(T$69-$F129-1,$A$7:$C$161,2,FALSE)*VLOOKUP(T$1,'Attrition Modeling'!$L$15:$N$27,IF(T$2-$F62&lt;=24,2,3),FALSE))*(1+Projection!V$16)*(1+IF(T194&gt;0,'Attrition Modeling'!$N$9,0))),0))</f>
        <v>0</v>
      </c>
      <c r="U129" s="799">
        <f>IF(U$69=$F129+1,IF(Monthly!Q$4=TRUE,0,Monthly!Q$17),IF(U$69&gt;$F129+1,T129*(1-IF(U$69-$F129&lt;=12,SUMIFS('Attrition Modeling'!$D:$D,'Attrition Modeling'!$B:$B,$E129,'Attrition Modeling'!$C:$C,U$68),VLOOKUP(U$69-$F129-1,$A$7:$C$161,2,FALSE)*VLOOKUP(U$1,'Attrition Modeling'!$L$15:$N$27,IF(U$2-$F62&lt;=24,2,3),FALSE))*(1+Projection!W$16)*(1+IF(U194&gt;0,'Attrition Modeling'!$N$9,0))),0))</f>
        <v>0</v>
      </c>
      <c r="V129" s="799">
        <f>IF(V$69=$F129+1,IF(Monthly!R$4=TRUE,0,Monthly!R$17),IF(V$69&gt;$F129+1,U129*(1-IF(V$69-$F129&lt;=12,SUMIFS('Attrition Modeling'!$D:$D,'Attrition Modeling'!$B:$B,$E129,'Attrition Modeling'!$C:$C,V$68),VLOOKUP(V$69-$F129-1,$A$7:$C$161,2,FALSE)*VLOOKUP(V$1,'Attrition Modeling'!$L$15:$N$27,IF(V$2-$F62&lt;=24,2,3),FALSE))*(1+Projection!X$16)*(1+IF(V194&gt;0,'Attrition Modeling'!$N$9,0))),0))</f>
        <v>0</v>
      </c>
      <c r="W129" s="799">
        <f>IF(W$69=$F129+1,IF(Monthly!S$4=TRUE,0,Monthly!S$17),IF(W$69&gt;$F129+1,V129*(1-IF(W$69-$F129&lt;=12,SUMIFS('Attrition Modeling'!$D:$D,'Attrition Modeling'!$B:$B,$E129,'Attrition Modeling'!$C:$C,W$68),VLOOKUP(W$69-$F129-1,$A$7:$C$161,2,FALSE)*VLOOKUP(W$1,'Attrition Modeling'!$L$15:$N$27,IF(W$2-$F62&lt;=24,2,3),FALSE))*(1+Projection!Y$16)*(1+IF(W194&gt;0,'Attrition Modeling'!$N$9,0))),0))</f>
        <v>0</v>
      </c>
      <c r="X129" s="799">
        <f>IF(X$69=$F129+1,IF(Monthly!T$4=TRUE,0,Monthly!T$17),IF(X$69&gt;$F129+1,W129*(1-IF(X$69-$F129&lt;=12,SUMIFS('Attrition Modeling'!$D:$D,'Attrition Modeling'!$B:$B,$E129,'Attrition Modeling'!$C:$C,X$68),VLOOKUP(X$69-$F129-1,$A$7:$C$161,2,FALSE)*VLOOKUP(X$1,'Attrition Modeling'!$L$15:$N$27,IF(X$2-$F62&lt;=24,2,3),FALSE))*(1+Projection!Z$16)*(1+IF(X194&gt;0,'Attrition Modeling'!$N$9,0))),0))</f>
        <v>0</v>
      </c>
      <c r="Y129" s="799">
        <f>IF(Y$69=$F129+1,IF(Monthly!U$4=TRUE,0,Monthly!U$17),IF(Y$69&gt;$F129+1,X129*(1-IF(Y$69-$F129&lt;=12,SUMIFS('Attrition Modeling'!$D:$D,'Attrition Modeling'!$B:$B,$E129,'Attrition Modeling'!$C:$C,Y$68),VLOOKUP(Y$69-$F129-1,$A$7:$C$161,2,FALSE)*VLOOKUP(Y$1,'Attrition Modeling'!$L$15:$N$27,IF(Y$2-$F62&lt;=24,2,3),FALSE))*(1+Projection!AA$16)*(1+IF(Y194&gt;0,'Attrition Modeling'!$N$9,0))),0))</f>
        <v>0</v>
      </c>
      <c r="Z129" s="799">
        <f>IF(Z$69=$F129+1,IF(Monthly!V$4=TRUE,0,Monthly!V$17),IF(Z$69&gt;$F129+1,Y129*(1-IF(Z$69-$F129&lt;=12,SUMIFS('Attrition Modeling'!$D:$D,'Attrition Modeling'!$B:$B,$E129,'Attrition Modeling'!$C:$C,Z$68),VLOOKUP(Z$69-$F129-1,$A$7:$C$161,2,FALSE)*VLOOKUP(Z$1,'Attrition Modeling'!$L$15:$N$27,IF(Z$2-$F62&lt;=24,2,3),FALSE))*(1+Projection!AB$16)*(1+IF(Z194&gt;0,'Attrition Modeling'!$N$9,0))),0))</f>
        <v>0</v>
      </c>
      <c r="AA129" s="799">
        <f>IF(AA$69=$F129+1,IF(Monthly!W$4=TRUE,0,Monthly!W$17),IF(AA$69&gt;$F129+1,Z129*(1-IF(AA$69-$F129&lt;=12,SUMIFS('Attrition Modeling'!$D:$D,'Attrition Modeling'!$B:$B,$E129,'Attrition Modeling'!$C:$C,AA$68),VLOOKUP(AA$69-$F129-1,$A$7:$C$161,2,FALSE)*VLOOKUP(AA$1,'Attrition Modeling'!$L$15:$N$27,IF(AA$2-$F62&lt;=24,2,3),FALSE))*(1+Projection!AC$16)*(1+IF(AA194&gt;0,'Attrition Modeling'!$N$9,0))),0))</f>
        <v>0</v>
      </c>
      <c r="AB129" s="799">
        <f>IF(AB$69=$F129+1,IF(Monthly!X$4=TRUE,0,Monthly!X$17),IF(AB$69&gt;$F129+1,AA129*(1-IF(AB$69-$F129&lt;=12,SUMIFS('Attrition Modeling'!$D:$D,'Attrition Modeling'!$B:$B,$E129,'Attrition Modeling'!$C:$C,AB$68),VLOOKUP(AB$69-$F129-1,$A$7:$C$161,2,FALSE)*VLOOKUP(AB$1,'Attrition Modeling'!$L$15:$N$27,IF(AB$2-$F62&lt;=24,2,3),FALSE))*(1+Projection!AD$16)*(1+IF(AB194&gt;0,'Attrition Modeling'!$N$9,0))),0))</f>
        <v>0</v>
      </c>
      <c r="AC129" s="799">
        <f>IF(AC$69=$F129+1,IF(Monthly!Y$4=TRUE,0,Monthly!Y$17),IF(AC$69&gt;$F129+1,AB129*(1-IF(AC$69-$F129&lt;=12,SUMIFS('Attrition Modeling'!$D:$D,'Attrition Modeling'!$B:$B,$E129,'Attrition Modeling'!$C:$C,AC$68),VLOOKUP(AC$69-$F129-1,$A$7:$C$161,2,FALSE)*VLOOKUP(AC$1,'Attrition Modeling'!$L$15:$N$27,IF(AC$2-$F62&lt;=24,2,3),FALSE))*(1+Projection!AE$16)*(1+IF(AC194&gt;0,'Attrition Modeling'!$N$9,0))),0))</f>
        <v>0</v>
      </c>
      <c r="AD129" s="799">
        <f>IF(AD$69=$F129+1,IF(Monthly!Z$4=TRUE,0,Monthly!Z$17),IF(AD$69&gt;$F129+1,AC129*(1-IF(AD$69-$F129&lt;=12,SUMIFS('Attrition Modeling'!$D:$D,'Attrition Modeling'!$B:$B,$E129,'Attrition Modeling'!$C:$C,AD$68),VLOOKUP(AD$69-$F129-1,$A$7:$C$161,2,FALSE)*VLOOKUP(AD$1,'Attrition Modeling'!$L$15:$N$27,IF(AD$2-$F62&lt;=24,2,3),FALSE))*(1+Projection!AF$16)*(1+IF(AD194&gt;0,'Attrition Modeling'!$N$9,0))),0))</f>
        <v>0</v>
      </c>
      <c r="AE129" s="799">
        <f>IF(AE$69=$F129+1,IF(Monthly!AA$4=TRUE,0,Monthly!AA$17),IF(AE$69&gt;$F129+1,AD129*(1-IF(AE$69-$F129&lt;=12,SUMIFS('Attrition Modeling'!$D:$D,'Attrition Modeling'!$B:$B,$E129,'Attrition Modeling'!$C:$C,AE$68),VLOOKUP(AE$69-$F129-1,$A$7:$C$161,2,FALSE)*VLOOKUP(AE$1,'Attrition Modeling'!$L$15:$N$27,IF(AE$2-$F62&lt;=24,2,3),FALSE))*(1+Projection!AG$16)*(1+IF(AE194&gt;0,'Attrition Modeling'!$N$9,0))),0))</f>
        <v>0</v>
      </c>
      <c r="AF129" s="799">
        <f>IF(AF$69=$F129+1,IF(Monthly!AB$4=TRUE,0,Monthly!AB$17),IF(AF$69&gt;$F129+1,AE129*(1-IF(AF$69-$F129&lt;=12,SUMIFS('Attrition Modeling'!$D:$D,'Attrition Modeling'!$B:$B,$E129,'Attrition Modeling'!$C:$C,AF$68),VLOOKUP(AF$69-$F129-1,$A$7:$C$161,2,FALSE)*VLOOKUP(AF$1,'Attrition Modeling'!$L$15:$N$27,IF(AF$2-$F62&lt;=24,2,3),FALSE))*(1+Projection!AH$16)*(1+IF(AF194&gt;0,'Attrition Modeling'!$N$9,0))),0))</f>
        <v>0</v>
      </c>
      <c r="AG129" s="799">
        <f>IF(AG$69=$F129+1,IF(Monthly!AC$4=TRUE,0,Monthly!AC$17),IF(AG$69&gt;$F129+1,AF129*(1-IF(AG$69-$F129&lt;=12,SUMIFS('Attrition Modeling'!$D:$D,'Attrition Modeling'!$B:$B,$E129,'Attrition Modeling'!$C:$C,AG$68),VLOOKUP(AG$69-$F129-1,$A$7:$C$161,2,FALSE)*VLOOKUP(AG$1,'Attrition Modeling'!$L$15:$N$27,IF(AG$2-$F62&lt;=24,2,3),FALSE))*(1+Projection!AI$16)*(1+IF(AG194&gt;0,'Attrition Modeling'!$N$9,0))),0))</f>
        <v>0</v>
      </c>
      <c r="AH129" s="799">
        <f>IF(AH$69=$F129+1,IF(Monthly!AD$4=TRUE,0,Monthly!AD$17),IF(AH$69&gt;$F129+1,AG129*(1-IF(AH$69-$F129&lt;=12,SUMIFS('Attrition Modeling'!$D:$D,'Attrition Modeling'!$B:$B,$E129,'Attrition Modeling'!$C:$C,AH$68),VLOOKUP(AH$69-$F129-1,$A$7:$C$161,2,FALSE)*VLOOKUP(AH$1,'Attrition Modeling'!$L$15:$N$27,IF(AH$2-$F62&lt;=24,2,3),FALSE))*(1+Projection!AJ$16)*(1+IF(AH194&gt;0,'Attrition Modeling'!$N$9,0))),0))</f>
        <v>0</v>
      </c>
      <c r="AI129" s="799">
        <f>IF(AI$69=$F129+1,IF(Monthly!AE$4=TRUE,0,Monthly!AE$17),IF(AI$69&gt;$F129+1,AH129*(1-IF(AI$69-$F129&lt;=12,SUMIFS('Attrition Modeling'!$D:$D,'Attrition Modeling'!$B:$B,$E129,'Attrition Modeling'!$C:$C,AI$68),VLOOKUP(AI$69-$F129-1,$A$7:$C$161,2,FALSE)*VLOOKUP(AI$1,'Attrition Modeling'!$L$15:$N$27,IF(AI$2-$F62&lt;=24,2,3),FALSE))*(1+Projection!AK$16)*(1+IF(AI194&gt;0,'Attrition Modeling'!$N$9,0))),0))</f>
        <v>0</v>
      </c>
      <c r="AJ129" s="799">
        <f>IF(AJ$69=$F129+1,IF(Monthly!AF$4=TRUE,0,Monthly!AF$17),IF(AJ$69&gt;$F129+1,AI129*(1-IF(AJ$69-$F129&lt;=12,SUMIFS('Attrition Modeling'!$D:$D,'Attrition Modeling'!$B:$B,$E129,'Attrition Modeling'!$C:$C,AJ$68),VLOOKUP(AJ$69-$F129-1,$A$7:$C$161,2,FALSE)*VLOOKUP(AJ$1,'Attrition Modeling'!$L$15:$N$27,IF(AJ$2-$F62&lt;=24,2,3),FALSE))*(1+Projection!AL$16)*(1+IF(AJ194&gt;0,'Attrition Modeling'!$N$9,0))),0))</f>
        <v>0</v>
      </c>
      <c r="AK129" s="799">
        <f>IF(AK$69=$F129+1,IF(Monthly!AG$4=TRUE,0,Monthly!AG$17),IF(AK$69&gt;$F129+1,AJ129*(1-IF(AK$69-$F129&lt;=12,SUMIFS('Attrition Modeling'!$D:$D,'Attrition Modeling'!$B:$B,$E129,'Attrition Modeling'!$C:$C,AK$68),VLOOKUP(AK$69-$F129-1,$A$7:$C$161,2,FALSE)*VLOOKUP(AK$1,'Attrition Modeling'!$L$15:$N$27,IF(AK$2-$F62&lt;=24,2,3),FALSE))*(1+Projection!AM$16)*(1+IF(AK194&gt;0,'Attrition Modeling'!$N$9,0))),0))</f>
        <v>0</v>
      </c>
      <c r="AL129" s="799">
        <f>IF(AL$69=$F129+1,IF(Monthly!AH$4=TRUE,0,Monthly!AH$17),IF(AL$69&gt;$F129+1,AK129*(1-IF(AL$69-$F129&lt;=12,SUMIFS('Attrition Modeling'!$D:$D,'Attrition Modeling'!$B:$B,$E129,'Attrition Modeling'!$C:$C,AL$68),VLOOKUP(AL$69-$F129-1,$A$7:$C$161,2,FALSE)*VLOOKUP(AL$1,'Attrition Modeling'!$L$15:$N$27,IF(AL$2-$F62&lt;=24,2,3),FALSE))*(1+Projection!AN$16)*(1+IF(AL194&gt;0,'Attrition Modeling'!$N$9,0))),0))</f>
        <v>0</v>
      </c>
      <c r="AM129" s="799">
        <f>IF(AM$69=$F129+1,IF(Monthly!AI$4=TRUE,0,Monthly!AI$17),IF(AM$69&gt;$F129+1,AL129*(1-IF(AM$69-$F129&lt;=12,SUMIFS('Attrition Modeling'!$D:$D,'Attrition Modeling'!$B:$B,$E129,'Attrition Modeling'!$C:$C,AM$68),VLOOKUP(AM$69-$F129-1,$A$7:$C$161,2,FALSE)*VLOOKUP(AM$1,'Attrition Modeling'!$L$15:$N$27,IF(AM$2-$F62&lt;=24,2,3),FALSE))*(1+Projection!AO$16)*(1+IF(AM194&gt;0,'Attrition Modeling'!$N$9,0))),0))</f>
        <v>0</v>
      </c>
      <c r="AN129" s="799">
        <f>IF(AN$69=$F129+1,IF(Monthly!AJ$4=TRUE,0,Monthly!AJ$17),IF(AN$69&gt;$F129+1,AM129*(1-IF(AN$69-$F129&lt;=12,SUMIFS('Attrition Modeling'!$D:$D,'Attrition Modeling'!$B:$B,$E129,'Attrition Modeling'!$C:$C,AN$68),VLOOKUP(AN$69-$F129-1,$A$7:$C$161,2,FALSE)*VLOOKUP(AN$1,'Attrition Modeling'!$L$15:$N$27,IF(AN$2-$F62&lt;=24,2,3),FALSE))*(1+Projection!AP$16)*(1+IF(AN194&gt;0,'Attrition Modeling'!$N$9,0))),0))</f>
        <v>0</v>
      </c>
      <c r="AO129" s="799">
        <f>IF(AO$69=$F129+1,IF(Monthly!AK$4=TRUE,0,Monthly!AK$17),IF(AO$69&gt;$F129+1,AN129*(1-IF(AO$69-$F129&lt;=12,SUMIFS('Attrition Modeling'!$D:$D,'Attrition Modeling'!$B:$B,$E129,'Attrition Modeling'!$C:$C,AO$68),VLOOKUP(AO$69-$F129-1,$A$7:$C$161,2,FALSE)*VLOOKUP(AO$1,'Attrition Modeling'!$L$15:$N$27,IF(AO$2-$F62&lt;=24,2,3),FALSE))*(1+Projection!AQ$16)*(1+IF(AO194&gt;0,'Attrition Modeling'!$N$9,0))),0))</f>
        <v>0</v>
      </c>
      <c r="AP129" s="799">
        <f>IF(AP$69=$F129+1,IF(Monthly!AL$4=TRUE,0,Monthly!AL$17),IF(AP$69&gt;$F129+1,AO129*(1-IF(AP$69-$F129&lt;=12,SUMIFS('Attrition Modeling'!$D:$D,'Attrition Modeling'!$B:$B,$E129,'Attrition Modeling'!$C:$C,AP$68),VLOOKUP(AP$69-$F129-1,$A$7:$C$161,2,FALSE)*VLOOKUP(AP$1,'Attrition Modeling'!$L$15:$N$27,IF(AP$2-$F62&lt;=24,2,3),FALSE))*(1+Projection!AR$16)*(1+IF(AP194&gt;0,'Attrition Modeling'!$N$9,0))),0))</f>
        <v>0</v>
      </c>
      <c r="AQ129" s="799">
        <f>IF(AQ$69=$F129+1,IF(Monthly!AM$4=TRUE,0,Monthly!AM$17),IF(AQ$69&gt;$F129+1,AP129*(1-IF(AQ$69-$F129&lt;=12,SUMIFS('Attrition Modeling'!$D:$D,'Attrition Modeling'!$B:$B,$E129,'Attrition Modeling'!$C:$C,AQ$68),VLOOKUP(AQ$69-$F129-1,$A$7:$C$161,2,FALSE)*VLOOKUP(AQ$1,'Attrition Modeling'!$L$15:$N$27,IF(AQ$2-$F62&lt;=24,2,3),FALSE))*(1+Projection!AS$16)*(1+IF(AQ194&gt;0,'Attrition Modeling'!$N$9,0))),0))</f>
        <v>0</v>
      </c>
      <c r="AR129" s="799">
        <f>IF(AR$69=$F129+1,IF(Monthly!AN$4=TRUE,0,Monthly!AN$17),IF(AR$69&gt;$F129+1,AQ129*(1-IF(AR$69-$F129&lt;=12,SUMIFS('Attrition Modeling'!$D:$D,'Attrition Modeling'!$B:$B,$E129,'Attrition Modeling'!$C:$C,AR$68),VLOOKUP(AR$69-$F129-1,$A$7:$C$161,2,FALSE)*VLOOKUP(AR$1,'Attrition Modeling'!$L$15:$N$27,IF(AR$2-$F62&lt;=24,2,3),FALSE))*(1+Projection!AT$16)*(1+IF(AR194&gt;0,'Attrition Modeling'!$N$9,0))),0))</f>
        <v>0</v>
      </c>
      <c r="AS129" s="799">
        <f>IF(AS$69=$F129+1,IF(Monthly!AO$4=TRUE,0,Monthly!AO$17),IF(AS$69&gt;$F129+1,AR129*(1-IF(AS$69-$F129&lt;=12,SUMIFS('Attrition Modeling'!$D:$D,'Attrition Modeling'!$B:$B,$E129,'Attrition Modeling'!$C:$C,AS$68),VLOOKUP(AS$69-$F129-1,$A$7:$C$161,2,FALSE)*VLOOKUP(AS$1,'Attrition Modeling'!$L$15:$N$27,IF(AS$2-$F62&lt;=24,2,3),FALSE))*(1+Projection!AU$16)*(1+IF(AS194&gt;0,'Attrition Modeling'!$N$9,0))),0))</f>
        <v>0</v>
      </c>
      <c r="AT129" s="799">
        <f>IF(AT$69=$F129+1,IF(Monthly!AP$4=TRUE,0,Monthly!AP$17),IF(AT$69&gt;$F129+1,AS129*(1-IF(AT$69-$F129&lt;=12,SUMIFS('Attrition Modeling'!$D:$D,'Attrition Modeling'!$B:$B,$E129,'Attrition Modeling'!$C:$C,AT$68),VLOOKUP(AT$69-$F129-1,$A$7:$C$161,2,FALSE)*VLOOKUP(AT$1,'Attrition Modeling'!$L$15:$N$27,IF(AT$2-$F62&lt;=24,2,3),FALSE))*(1+Projection!AV$16)*(1+IF(AT194&gt;0,'Attrition Modeling'!$N$9,0))),0))</f>
        <v>0</v>
      </c>
      <c r="AU129" s="799">
        <f>IF(AU$69=$F129+1,IF(Monthly!AQ$4=TRUE,0,Monthly!AQ$17),IF(AU$69&gt;$F129+1,AT129*(1-IF(AU$69-$F129&lt;=12,SUMIFS('Attrition Modeling'!$D:$D,'Attrition Modeling'!$B:$B,$E129,'Attrition Modeling'!$C:$C,AU$68),VLOOKUP(AU$69-$F129-1,$A$7:$C$161,2,FALSE)*VLOOKUP(AU$1,'Attrition Modeling'!$L$15:$N$27,IF(AU$2-$F62&lt;=24,2,3),FALSE))*(1+Projection!AW$16)*(1+IF(AU194&gt;0,'Attrition Modeling'!$N$9,0))),0))</f>
        <v>0</v>
      </c>
      <c r="AV129" s="799">
        <f>IF(AV$69=$F129+1,IF(Monthly!AR$4=TRUE,0,Monthly!AR$17),IF(AV$69&gt;$F129+1,AU129*(1-IF(AV$69-$F129&lt;=12,SUMIFS('Attrition Modeling'!$D:$D,'Attrition Modeling'!$B:$B,$E129,'Attrition Modeling'!$C:$C,AV$68),VLOOKUP(AV$69-$F129-1,$A$7:$C$161,2,FALSE)*VLOOKUP(AV$1,'Attrition Modeling'!$L$15:$N$27,IF(AV$2-$F62&lt;=24,2,3),FALSE))*(1+Projection!AX$16)*(1+IF(AV194&gt;0,'Attrition Modeling'!$N$9,0))),0))</f>
        <v>0</v>
      </c>
      <c r="AW129" s="799">
        <f>IF(AW$69=$F129+1,IF(Monthly!AS$4=TRUE,0,Monthly!AS$17),IF(AW$69&gt;$F129+1,AV129*(1-IF(AW$69-$F129&lt;=12,SUMIFS('Attrition Modeling'!$D:$D,'Attrition Modeling'!$B:$B,$E129,'Attrition Modeling'!$C:$C,AW$68),VLOOKUP(AW$69-$F129-1,$A$7:$C$161,2,FALSE)*VLOOKUP(AW$1,'Attrition Modeling'!$L$15:$N$27,IF(AW$2-$F62&lt;=24,2,3),FALSE))*(1+Projection!AY$16)*(1+IF(AW194&gt;0,'Attrition Modeling'!$N$9,0))),0))</f>
        <v>0</v>
      </c>
      <c r="AX129" s="799">
        <f>IF(AX$69=$F129+1,IF(Monthly!AT$4=TRUE,0,Monthly!AT$17),IF(AX$69&gt;$F129+1,AW129*(1-IF(AX$69-$F129&lt;=12,SUMIFS('Attrition Modeling'!$D:$D,'Attrition Modeling'!$B:$B,$E129,'Attrition Modeling'!$C:$C,AX$68),VLOOKUP(AX$69-$F129-1,$A$7:$C$161,2,FALSE)*VLOOKUP(AX$1,'Attrition Modeling'!$L$15:$N$27,IF(AX$2-$F62&lt;=24,2,3),FALSE))*(1+Projection!AZ$16)*(1+IF(AX194&gt;0,'Attrition Modeling'!$N$9,0))),0))</f>
        <v>0</v>
      </c>
      <c r="AY129" s="799">
        <f>IF(AY$69=$F129+1,IF(Monthly!AU$4=TRUE,0,Monthly!AU$17),IF(AY$69&gt;$F129+1,AX129*(1-IF(AY$69-$F129&lt;=12,SUMIFS('Attrition Modeling'!$D:$D,'Attrition Modeling'!$B:$B,$E129,'Attrition Modeling'!$C:$C,AY$68),VLOOKUP(AY$69-$F129-1,$A$7:$C$161,2,FALSE)*VLOOKUP(AY$1,'Attrition Modeling'!$L$15:$N$27,IF(AY$2-$F62&lt;=24,2,3),FALSE))*(1+Projection!BA$16)*(1+IF(AY194&gt;0,'Attrition Modeling'!$N$9,0))),0))</f>
        <v>0</v>
      </c>
      <c r="AZ129" s="799">
        <f>IF(AZ$69=$F129+1,IF(Monthly!AV$4=TRUE,0,Monthly!AV$17),IF(AZ$69&gt;$F129+1,AY129*(1-IF(AZ$69-$F129&lt;=12,SUMIFS('Attrition Modeling'!$D:$D,'Attrition Modeling'!$B:$B,$E129,'Attrition Modeling'!$C:$C,AZ$68),VLOOKUP(AZ$69-$F129-1,$A$7:$C$161,2,FALSE)*VLOOKUP(AZ$1,'Attrition Modeling'!$L$15:$N$27,IF(AZ$2-$F62&lt;=24,2,3),FALSE))*(1+Projection!BB$16)*(1+IF(AZ194&gt;0,'Attrition Modeling'!$N$9,0))),0))</f>
        <v>0</v>
      </c>
      <c r="BA129" s="799">
        <f>IF(BA$69=$F129+1,IF(Monthly!AW$4=TRUE,0,Monthly!AW$17),IF(BA$69&gt;$F129+1,AZ129*(1-IF(BA$69-$F129&lt;=12,SUMIFS('Attrition Modeling'!$D:$D,'Attrition Modeling'!$B:$B,$E129,'Attrition Modeling'!$C:$C,BA$68),VLOOKUP(BA$69-$F129-1,$A$7:$C$161,2,FALSE)*VLOOKUP(BA$1,'Attrition Modeling'!$L$15:$N$27,IF(BA$2-$F62&lt;=24,2,3),FALSE))*(1+Projection!BC$16)*(1+IF(BA194&gt;0,'Attrition Modeling'!$N$9,0))),0))</f>
        <v>0</v>
      </c>
      <c r="BB129" s="799">
        <f>IF(BB$69=$F129+1,IF(Monthly!AX$4=TRUE,0,Monthly!AX$17),IF(BB$69&gt;$F129+1,BA129*(1-IF(BB$69-$F129&lt;=12,SUMIFS('Attrition Modeling'!$D:$D,'Attrition Modeling'!$B:$B,$E129,'Attrition Modeling'!$C:$C,BB$68),VLOOKUP(BB$69-$F129-1,$A$7:$C$161,2,FALSE)*VLOOKUP(BB$1,'Attrition Modeling'!$L$15:$N$27,IF(BB$2-$F62&lt;=24,2,3),FALSE))*(1+Projection!BD$16)*(1+IF(BB194&gt;0,'Attrition Modeling'!$N$9,0))),0))</f>
        <v>0</v>
      </c>
      <c r="BC129" s="799">
        <f>IF(BC$69=$F129+1,IF(Monthly!AY$4=TRUE,0,Monthly!AY$17),IF(BC$69&gt;$F129+1,BB129*(1-IF(BC$69-$F129&lt;=12,SUMIFS('Attrition Modeling'!$D:$D,'Attrition Modeling'!$B:$B,$E129,'Attrition Modeling'!$C:$C,BC$68),VLOOKUP(BC$69-$F129-1,$A$7:$C$161,2,FALSE)*VLOOKUP(BC$1,'Attrition Modeling'!$L$15:$N$27,IF(BC$2-$F62&lt;=24,2,3),FALSE))*(1+Projection!BE$16)*(1+IF(BC194&gt;0,'Attrition Modeling'!$N$9,0))),0))</f>
        <v>0</v>
      </c>
      <c r="BD129" s="799">
        <f>IF(BD$69=$F129+1,IF(Monthly!AZ$4=TRUE,0,Monthly!AZ$17),IF(BD$69&gt;$F129+1,BC129*(1-IF(BD$69-$F129&lt;=12,SUMIFS('Attrition Modeling'!$D:$D,'Attrition Modeling'!$B:$B,$E129,'Attrition Modeling'!$C:$C,BD$68),VLOOKUP(BD$69-$F129-1,$A$7:$C$161,2,FALSE)*VLOOKUP(BD$1,'Attrition Modeling'!$L$15:$N$27,IF(BD$2-$F62&lt;=24,2,3),FALSE))*(1+Projection!BF$16)*(1+IF(BD194&gt;0,'Attrition Modeling'!$N$9,0))),0))</f>
        <v>0</v>
      </c>
      <c r="BE129" s="799">
        <f>IF(BE$69=$F129+1,IF(Monthly!BA$4=TRUE,0,Monthly!BA$17),IF(BE$69&gt;$F129+1,BD129*(1-IF(BE$69-$F129&lt;=12,SUMIFS('Attrition Modeling'!$D:$D,'Attrition Modeling'!$B:$B,$E129,'Attrition Modeling'!$C:$C,BE$68),VLOOKUP(BE$69-$F129-1,$A$7:$C$161,2,FALSE)*VLOOKUP(BE$1,'Attrition Modeling'!$L$15:$N$27,IF(BE$2-$F62&lt;=24,2,3),FALSE))*(1+Projection!BG$16)*(1+IF(BE194&gt;0,'Attrition Modeling'!$N$9,0))),0))</f>
        <v>0</v>
      </c>
      <c r="BF129" s="799">
        <f>IF(BF$69=$F129+1,IF(Monthly!BB$4=TRUE,0,Monthly!BB$17),IF(BF$69&gt;$F129+1,BE129*(1-IF(BF$69-$F129&lt;=12,SUMIFS('Attrition Modeling'!$D:$D,'Attrition Modeling'!$B:$B,$E129,'Attrition Modeling'!$C:$C,BF$68),VLOOKUP(BF$69-$F129-1,$A$7:$C$161,2,FALSE)*VLOOKUP(BF$1,'Attrition Modeling'!$L$15:$N$27,IF(BF$2-$F62&lt;=24,2,3),FALSE))*(1+Projection!BH$16)*(1+IF(BF194&gt;0,'Attrition Modeling'!$N$9,0))),0))</f>
        <v>0</v>
      </c>
      <c r="BG129" s="799">
        <f>IF(BG$69=$F129+1,IF(Monthly!BC$4=TRUE,0,Monthly!BC$17),IF(BG$69&gt;$F129+1,BF129*(1-IF(BG$69-$F129&lt;=12,SUMIFS('Attrition Modeling'!$D:$D,'Attrition Modeling'!$B:$B,$E129,'Attrition Modeling'!$C:$C,BG$68),VLOOKUP(BG$69-$F129-1,$A$7:$C$161,2,FALSE)*VLOOKUP(BG$1,'Attrition Modeling'!$L$15:$N$27,IF(BG$2-$F62&lt;=24,2,3),FALSE))*(1+Projection!BI$16)*(1+IF(BG194&gt;0,'Attrition Modeling'!$N$9,0))),0))</f>
        <v>0</v>
      </c>
      <c r="BH129" s="799">
        <f>IF(BH$69=$F129+1,IF(Monthly!BD$4=TRUE,0,Monthly!BD$17),IF(BH$69&gt;$F129+1,BG129*(1-IF(BH$69-$F129&lt;=12,SUMIFS('Attrition Modeling'!$D:$D,'Attrition Modeling'!$B:$B,$E129,'Attrition Modeling'!$C:$C,BH$68),VLOOKUP(BH$69-$F129-1,$A$7:$C$161,2,FALSE)*VLOOKUP(BH$1,'Attrition Modeling'!$L$15:$N$27,IF(BH$2-$F62&lt;=24,2,3),FALSE))*(1+Projection!BJ$16)*(1+IF(BH194&gt;0,'Attrition Modeling'!$N$9,0))),0))</f>
        <v>0</v>
      </c>
      <c r="BI129" s="799">
        <f>IF(BI$69=$F129+1,IF(Monthly!BE$4=TRUE,0,Monthly!BE$17),IF(BI$69&gt;$F129+1,BH129*(1-IF(BI$69-$F129&lt;=12,SUMIFS('Attrition Modeling'!$D:$D,'Attrition Modeling'!$B:$B,$E129,'Attrition Modeling'!$C:$C,BI$68),VLOOKUP(BI$69-$F129-1,$A$7:$C$161,2,FALSE)*VLOOKUP(BI$1,'Attrition Modeling'!$L$15:$N$27,IF(BI$2-$F62&lt;=24,2,3),FALSE))*(1+Projection!BK$16)*(1+IF(BI194&gt;0,'Attrition Modeling'!$N$9,0))),0))</f>
        <v>0</v>
      </c>
      <c r="BJ129" s="799">
        <f>IF(BJ$69=$F129+1,IF(Monthly!BF$4=TRUE,0,Monthly!BF$17),IF(BJ$69&gt;$F129+1,BI129*(1-IF(BJ$69-$F129&lt;=12,SUMIFS('Attrition Modeling'!$D:$D,'Attrition Modeling'!$B:$B,$E129,'Attrition Modeling'!$C:$C,BJ$68),VLOOKUP(BJ$69-$F129-1,$A$7:$C$161,2,FALSE)*VLOOKUP(BJ$1,'Attrition Modeling'!$L$15:$N$27,IF(BJ$2-$F62&lt;=24,2,3),FALSE))*(1+Projection!BL$16)*(1+IF(BJ194&gt;0,'Attrition Modeling'!$N$9,0))),0))</f>
        <v>0</v>
      </c>
      <c r="BK129" s="799">
        <f>IF(BK$69=$F129+1,IF(Monthly!BG$4=TRUE,0,Monthly!BG$17),IF(BK$69&gt;$F129+1,BJ129*(1-IF(BK$69-$F129&lt;=12,SUMIFS('Attrition Modeling'!$D:$D,'Attrition Modeling'!$B:$B,$E129,'Attrition Modeling'!$C:$C,BK$68),VLOOKUP(BK$69-$F129-1,$A$7:$C$161,2,FALSE)*VLOOKUP(BK$1,'Attrition Modeling'!$L$15:$N$27,IF(BK$2-$F62&lt;=24,2,3),FALSE))*(1+Projection!BM$16)*(1+IF(BK194&gt;0,'Attrition Modeling'!$N$9,0))),0))</f>
        <v>0</v>
      </c>
      <c r="BL129" s="799">
        <f>IF(BL$69=$F129+1,IF(Monthly!BH$4=TRUE,0,Monthly!BH$17),IF(BL$69&gt;$F129+1,BK129*(1-IF(BL$69-$F129&lt;=12,SUMIFS('Attrition Modeling'!$D:$D,'Attrition Modeling'!$B:$B,$E129,'Attrition Modeling'!$C:$C,BL$68),VLOOKUP(BL$69-$F129-1,$A$7:$C$161,2,FALSE)*VLOOKUP(BL$1,'Attrition Modeling'!$L$15:$N$27,IF(BL$2-$F62&lt;=24,2,3),FALSE))*(1+Projection!BN$16)*(1+IF(BL194&gt;0,'Attrition Modeling'!$N$9,0))),0))</f>
        <v>0</v>
      </c>
      <c r="BM129" s="799">
        <f>IF(BM$69=$F129+1,IF(Monthly!BI$4=TRUE,0,Monthly!BI$17),IF(BM$69&gt;$F129+1,BL129*(1-IF(BM$69-$F129&lt;=12,SUMIFS('Attrition Modeling'!$D:$D,'Attrition Modeling'!$B:$B,$E129,'Attrition Modeling'!$C:$C,BM$68),VLOOKUP(BM$69-$F129-1,$A$7:$C$161,2,FALSE)*VLOOKUP(BM$1,'Attrition Modeling'!$L$15:$N$27,IF(BM$2-$F62&lt;=24,2,3),FALSE))*(1+Projection!BO$16)*(1+IF(BM194&gt;0,'Attrition Modeling'!$N$9,0))),0))</f>
        <v>0</v>
      </c>
      <c r="BN129" s="799">
        <f>IF(BN$69=$F129+1,IF(Monthly!BJ$4=TRUE,0,Monthly!BJ$17),IF(BN$69&gt;$F129+1,BM129*(1-IF(BN$69-$F129&lt;=12,SUMIFS('Attrition Modeling'!$D:$D,'Attrition Modeling'!$B:$B,$E129,'Attrition Modeling'!$C:$C,BN$68),VLOOKUP(BN$69-$F129-1,$A$7:$C$161,2,FALSE)*VLOOKUP(BN$1,'Attrition Modeling'!$L$15:$N$27,IF(BN$2-$F62&lt;=24,2,3),FALSE))*(1+Projection!BP$16)*(1+IF(BN194&gt;0,'Attrition Modeling'!$N$9,0))),0))</f>
        <v>0</v>
      </c>
      <c r="BO129" s="799">
        <f>IF(BO$69=$F129+1,IF(Monthly!BK$4=TRUE,0,Monthly!BK$17),IF(BO$69&gt;$F129+1,BN129*(1-IF(BO$69-$F129&lt;=12,SUMIFS('Attrition Modeling'!$D:$D,'Attrition Modeling'!$B:$B,$E129,'Attrition Modeling'!$C:$C,BO$68),VLOOKUP(BO$69-$F129-1,$A$7:$C$161,2,FALSE)*VLOOKUP(BO$1,'Attrition Modeling'!$L$15:$N$27,IF(BO$2-$F62&lt;=24,2,3),FALSE))*(1+Projection!BV$16)*(1+IF(BO194&gt;0,'Attrition Modeling'!$N$9,0))),0))</f>
        <v>4488.8641539911914</v>
      </c>
      <c r="BP129" s="799">
        <f>IF(BP$69=$F129+1,IF(Monthly!BL$4=TRUE,0,Monthly!BL$17),IF(BP$69&gt;$F129+1,BO129*(1-IF(BP$69-$F129&lt;=12,SUMIFS('Attrition Modeling'!$D:$D,'Attrition Modeling'!$B:$B,$E129,'Attrition Modeling'!$C:$C,BP$68),VLOOKUP(BP$69-$F129-1,$A$7:$C$161,2,FALSE)*VLOOKUP(BP$1,'Attrition Modeling'!$L$15:$N$27,IF(BP$2-$F62&lt;=24,2,3),FALSE))*(1+Projection!BW$16)*(1+IF(BP194&gt;0,'Attrition Modeling'!$N$9,0))),0))</f>
        <v>4081.2986309023922</v>
      </c>
      <c r="BQ129" s="799">
        <f>IF(BQ$69=$F129+1,IF(Monthly!BM$4=TRUE,0,Monthly!BM$17),IF(BQ$69&gt;$F129+1,BP129*(1-IF(BQ$69-$F129&lt;=12,SUMIFS('Attrition Modeling'!$D:$D,'Attrition Modeling'!$B:$B,$E129,'Attrition Modeling'!$C:$C,BQ$68),VLOOKUP(BQ$69-$F129-1,$A$7:$C$161,2,FALSE)*VLOOKUP(BQ$1,'Attrition Modeling'!$L$15:$N$27,IF(BQ$2-$F62&lt;=24,2,3),FALSE))*(1+Projection!BX$16)*(1+IF(BQ194&gt;0,'Attrition Modeling'!$N$9,0))),0))</f>
        <v>3764.9213402191685</v>
      </c>
      <c r="BR129" s="799">
        <f>IF(BR$69=$F129+1,IF(Monthly!BN$4=TRUE,0,Monthly!BN$17),IF(BR$69&gt;$F129+1,BQ129*(1-IF(BR$69-$F129&lt;=12,SUMIFS('Attrition Modeling'!$D:$D,'Attrition Modeling'!$B:$B,$E129,'Attrition Modeling'!$C:$C,BR$68),VLOOKUP(BR$69-$F129-1,$A$7:$C$161,2,FALSE)*VLOOKUP(BR$1,'Attrition Modeling'!$L$15:$N$27,IF(BR$2-$F62&lt;=24,2,3),FALSE))*(1+Projection!BY$16)*(1+IF(BR194&gt;0,'Attrition Modeling'!$N$9,0))),0))</f>
        <v>3429.6564502443339</v>
      </c>
      <c r="BS129" s="799">
        <f>IF(BS$69=$F129+1,IF(Monthly!BO$4=TRUE,0,Monthly!BO$17),IF(BS$69&gt;$F129+1,BR129*(1-IF(BS$69-$F129&lt;=12,SUMIFS('Attrition Modeling'!$D:$D,'Attrition Modeling'!$B:$B,$E129,'Attrition Modeling'!$C:$C,BS$68),VLOOKUP(BS$69-$F129-1,$A$7:$C$161,2,FALSE)*VLOOKUP(BS$1,'Attrition Modeling'!$L$15:$N$27,IF(BS$2-$F62&lt;=24,2,3),FALSE))*(1+Projection!BZ$16)*(1+IF(BS194&gt;0,'Attrition Modeling'!$N$9,0))),0))</f>
        <v>3159.7109004741983</v>
      </c>
      <c r="BT129" s="799">
        <f>IF(BT$69=$F129+1,IF(Monthly!#REF!=TRUE,0,Monthly!#REF!),IF(BT$69&gt;$F129+1,BS129*(1-IF(BT$69-$F129&lt;=12,SUMIFS('Attrition Modeling'!$D:$D,'Attrition Modeling'!$B:$B,$E129,'Attrition Modeling'!$C:$C,BT$68),VLOOKUP(BT$69-$F129-1,$A$7:$C$161,2,FALSE)*VLOOKUP(BT$1,'Attrition Modeling'!$L$15:$N$27,IF(BT$2-$F62&lt;=24,2,3),FALSE))*(1+Projection!CA$16)*(1+IF(BT194&gt;0,'Attrition Modeling'!$N$9,0))),0))</f>
        <v>2843.1123803138494</v>
      </c>
      <c r="BU129" s="799">
        <f>IF(BU$69=$F129+1,IF(Monthly!#REF!=TRUE,0,Monthly!#REF!),IF(BU$69&gt;$F129+1,BT129*(1-IF(BU$69-$F129&lt;=12,SUMIFS('Attrition Modeling'!$D:$D,'Attrition Modeling'!$B:$B,$E129,'Attrition Modeling'!$C:$C,BU$68),VLOOKUP(BU$69-$F129-1,$A$7:$C$161,2,FALSE)*VLOOKUP(BU$1,'Attrition Modeling'!$L$15:$N$27,IF(BU$2-$F62&lt;=24,2,3),FALSE))*(1+Projection!CB$16)*(1+IF(BU194&gt;0,'Attrition Modeling'!$N$9,0))),0))</f>
        <v>2641.6610653744456</v>
      </c>
    </row>
    <row r="130" spans="1:73" ht="14.25" customHeight="1" x14ac:dyDescent="0.2">
      <c r="A130" s="9">
        <v>123</v>
      </c>
      <c r="B130" s="25">
        <f>MAX('Attrition Modeling'!H127,$C$3)*(1-Summary!$C$20)</f>
        <v>0.02</v>
      </c>
      <c r="C130" s="24" t="e">
        <f t="shared" si="4"/>
        <v>#DIV/0!</v>
      </c>
      <c r="E130" s="11">
        <f t="shared" si="9"/>
        <v>12</v>
      </c>
      <c r="F130" s="11">
        <f t="shared" si="10"/>
        <v>60</v>
      </c>
      <c r="G130" s="801"/>
      <c r="H130" s="799">
        <f>IF(H$69=$F130+1,IF(Monthly!D$4=TRUE,0,Monthly!D$17),IF(H$69&gt;$F130+1,G130*(1-IF(H$69-$F130&lt;=12,SUMIFS('Attrition Modeling'!$D:$D,'Attrition Modeling'!$B:$B,$E130,'Attrition Modeling'!$C:$C,H$68),VLOOKUP(H$69-$F130-1,$A$7:$C$161,2,FALSE)*VLOOKUP(H$1,'Attrition Modeling'!$L$15:$N$27,IF(H$2-$F63&lt;=24,2,3),FALSE))*(1+Projection!J$16)*(1+IF(H195&gt;0,'Attrition Modeling'!$N$9,0))),0))</f>
        <v>0</v>
      </c>
      <c r="I130" s="799">
        <f>IF(I$69=$F130+1,IF(Monthly!E$4=TRUE,0,Monthly!E$17),IF(I$69&gt;$F130+1,H130*(1-IF(I$69-$F130&lt;=12,SUMIFS('Attrition Modeling'!$D:$D,'Attrition Modeling'!$B:$B,$E130,'Attrition Modeling'!$C:$C,I$68),VLOOKUP(I$69-$F130-1,$A$7:$C$161,2,FALSE)*VLOOKUP(I$1,'Attrition Modeling'!$L$15:$N$27,IF(I$2-$F63&lt;=24,2,3),FALSE))*(1+Projection!K$16)*(1+IF(I195&gt;0,'Attrition Modeling'!$N$9,0))),0))</f>
        <v>0</v>
      </c>
      <c r="J130" s="799">
        <f>IF(J$69=$F130+1,IF(Monthly!F$4=TRUE,0,Monthly!F$17),IF(J$69&gt;$F130+1,I130*(1-IF(J$69-$F130&lt;=12,SUMIFS('Attrition Modeling'!$D:$D,'Attrition Modeling'!$B:$B,$E130,'Attrition Modeling'!$C:$C,J$68),VLOOKUP(J$69-$F130-1,$A$7:$C$161,2,FALSE)*VLOOKUP(J$1,'Attrition Modeling'!$L$15:$N$27,IF(J$2-$F63&lt;=24,2,3),FALSE))*(1+Projection!L$16)*(1+IF(J195&gt;0,'Attrition Modeling'!$N$9,0))),0))</f>
        <v>0</v>
      </c>
      <c r="K130" s="799">
        <f>IF(K$69=$F130+1,IF(Monthly!G$4=TRUE,0,Monthly!G$17),IF(K$69&gt;$F130+1,J130*(1-IF(K$69-$F130&lt;=12,SUMIFS('Attrition Modeling'!$D:$D,'Attrition Modeling'!$B:$B,$E130,'Attrition Modeling'!$C:$C,K$68),VLOOKUP(K$69-$F130-1,$A$7:$C$161,2,FALSE)*VLOOKUP(K$1,'Attrition Modeling'!$L$15:$N$27,IF(K$2-$F63&lt;=24,2,3),FALSE))*(1+Projection!M$16)*(1+IF(K195&gt;0,'Attrition Modeling'!$N$9,0))),0))</f>
        <v>0</v>
      </c>
      <c r="L130" s="799">
        <f>IF(L$69=$F130+1,IF(Monthly!H$4=TRUE,0,Monthly!H$17),IF(L$69&gt;$F130+1,K130*(1-IF(L$69-$F130&lt;=12,SUMIFS('Attrition Modeling'!$D:$D,'Attrition Modeling'!$B:$B,$E130,'Attrition Modeling'!$C:$C,L$68),VLOOKUP(L$69-$F130-1,$A$7:$C$161,2,FALSE)*VLOOKUP(L$1,'Attrition Modeling'!$L$15:$N$27,IF(L$2-$F63&lt;=24,2,3),FALSE))*(1+Projection!N$16)*(1+IF(L195&gt;0,'Attrition Modeling'!$N$9,0))),0))</f>
        <v>0</v>
      </c>
      <c r="M130" s="799">
        <f>IF(M$69=$F130+1,IF(Monthly!I$4=TRUE,0,Monthly!I$17),IF(M$69&gt;$F130+1,L130*(1-IF(M$69-$F130&lt;=12,SUMIFS('Attrition Modeling'!$D:$D,'Attrition Modeling'!$B:$B,$E130,'Attrition Modeling'!$C:$C,M$68),VLOOKUP(M$69-$F130-1,$A$7:$C$161,2,FALSE)*VLOOKUP(M$1,'Attrition Modeling'!$L$15:$N$27,IF(M$2-$F63&lt;=24,2,3),FALSE))*(1+Projection!O$16)*(1+IF(M195&gt;0,'Attrition Modeling'!$N$9,0))),0))</f>
        <v>0</v>
      </c>
      <c r="N130" s="799">
        <f>IF(N$69=$F130+1,IF(Monthly!J$4=TRUE,0,Monthly!J$17),IF(N$69&gt;$F130+1,M130*(1-IF(N$69-$F130&lt;=12,SUMIFS('Attrition Modeling'!$D:$D,'Attrition Modeling'!$B:$B,$E130,'Attrition Modeling'!$C:$C,N$68),VLOOKUP(N$69-$F130-1,$A$7:$C$161,2,FALSE)*VLOOKUP(N$1,'Attrition Modeling'!$L$15:$N$27,IF(N$2-$F63&lt;=24,2,3),FALSE))*(1+Projection!P$16)*(1+IF(N195&gt;0,'Attrition Modeling'!$N$9,0))),0))</f>
        <v>0</v>
      </c>
      <c r="O130" s="799">
        <f>IF(O$69=$F130+1,IF(Monthly!K$4=TRUE,0,Monthly!K$17),IF(O$69&gt;$F130+1,N130*(1-IF(O$69-$F130&lt;=12,SUMIFS('Attrition Modeling'!$D:$D,'Attrition Modeling'!$B:$B,$E130,'Attrition Modeling'!$C:$C,O$68),VLOOKUP(O$69-$F130-1,$A$7:$C$161,2,FALSE)*VLOOKUP(O$1,'Attrition Modeling'!$L$15:$N$27,IF(O$2-$F63&lt;=24,2,3),FALSE))*(1+Projection!Q$16)*(1+IF(O195&gt;0,'Attrition Modeling'!$N$9,0))),0))</f>
        <v>0</v>
      </c>
      <c r="P130" s="799">
        <f>IF(P$69=$F130+1,IF(Monthly!L$4=TRUE,0,Monthly!L$17),IF(P$69&gt;$F130+1,O130*(1-IF(P$69-$F130&lt;=12,SUMIFS('Attrition Modeling'!$D:$D,'Attrition Modeling'!$B:$B,$E130,'Attrition Modeling'!$C:$C,P$68),VLOOKUP(P$69-$F130-1,$A$7:$C$161,2,FALSE)*VLOOKUP(P$1,'Attrition Modeling'!$L$15:$N$27,IF(P$2-$F63&lt;=24,2,3),FALSE))*(1+Projection!R$16)*(1+IF(P195&gt;0,'Attrition Modeling'!$N$9,0))),0))</f>
        <v>0</v>
      </c>
      <c r="Q130" s="799">
        <f>IF(Q$69=$F130+1,IF(Monthly!M$4=TRUE,0,Monthly!M$17),IF(Q$69&gt;$F130+1,P130*(1-IF(Q$69-$F130&lt;=12,SUMIFS('Attrition Modeling'!$D:$D,'Attrition Modeling'!$B:$B,$E130,'Attrition Modeling'!$C:$C,Q$68),VLOOKUP(Q$69-$F130-1,$A$7:$C$161,2,FALSE)*VLOOKUP(Q$1,'Attrition Modeling'!$L$15:$N$27,IF(Q$2-$F63&lt;=24,2,3),FALSE))*(1+Projection!S$16)*(1+IF(Q195&gt;0,'Attrition Modeling'!$N$9,0))),0))</f>
        <v>0</v>
      </c>
      <c r="R130" s="799">
        <f>IF(R$69=$F130+1,IF(Monthly!N$4=TRUE,0,Monthly!N$17),IF(R$69&gt;$F130+1,Q130*(1-IF(R$69-$F130&lt;=12,SUMIFS('Attrition Modeling'!$D:$D,'Attrition Modeling'!$B:$B,$E130,'Attrition Modeling'!$C:$C,R$68),VLOOKUP(R$69-$F130-1,$A$7:$C$161,2,FALSE)*VLOOKUP(R$1,'Attrition Modeling'!$L$15:$N$27,IF(R$2-$F63&lt;=24,2,3),FALSE))*(1+Projection!T$16)*(1+IF(R195&gt;0,'Attrition Modeling'!$N$9,0))),0))</f>
        <v>0</v>
      </c>
      <c r="S130" s="799">
        <f>IF(S$69=$F130+1,IF(Monthly!O$4=TRUE,0,Monthly!O$17),IF(S$69&gt;$F130+1,R130*(1-IF(S$69-$F130&lt;=12,SUMIFS('Attrition Modeling'!$D:$D,'Attrition Modeling'!$B:$B,$E130,'Attrition Modeling'!$C:$C,S$68),VLOOKUP(S$69-$F130-1,$A$7:$C$161,2,FALSE)*VLOOKUP(S$1,'Attrition Modeling'!$L$15:$N$27,IF(S$2-$F63&lt;=24,2,3),FALSE))*(1+Projection!U$16)*(1+IF(S195&gt;0,'Attrition Modeling'!$N$9,0))),0))</f>
        <v>0</v>
      </c>
      <c r="T130" s="799">
        <f>IF(T$69=$F130+1,IF(Monthly!P$4=TRUE,0,Monthly!P$17),IF(T$69&gt;$F130+1,S130*(1-IF(T$69-$F130&lt;=12,SUMIFS('Attrition Modeling'!$D:$D,'Attrition Modeling'!$B:$B,$E130,'Attrition Modeling'!$C:$C,T$68),VLOOKUP(T$69-$F130-1,$A$7:$C$161,2,FALSE)*VLOOKUP(T$1,'Attrition Modeling'!$L$15:$N$27,IF(T$2-$F63&lt;=24,2,3),FALSE))*(1+Projection!V$16)*(1+IF(T195&gt;0,'Attrition Modeling'!$N$9,0))),0))</f>
        <v>0</v>
      </c>
      <c r="U130" s="799">
        <f>IF(U$69=$F130+1,IF(Monthly!Q$4=TRUE,0,Monthly!Q$17),IF(U$69&gt;$F130+1,T130*(1-IF(U$69-$F130&lt;=12,SUMIFS('Attrition Modeling'!$D:$D,'Attrition Modeling'!$B:$B,$E130,'Attrition Modeling'!$C:$C,U$68),VLOOKUP(U$69-$F130-1,$A$7:$C$161,2,FALSE)*VLOOKUP(U$1,'Attrition Modeling'!$L$15:$N$27,IF(U$2-$F63&lt;=24,2,3),FALSE))*(1+Projection!W$16)*(1+IF(U195&gt;0,'Attrition Modeling'!$N$9,0))),0))</f>
        <v>0</v>
      </c>
      <c r="V130" s="799">
        <f>IF(V$69=$F130+1,IF(Monthly!R$4=TRUE,0,Monthly!R$17),IF(V$69&gt;$F130+1,U130*(1-IF(V$69-$F130&lt;=12,SUMIFS('Attrition Modeling'!$D:$D,'Attrition Modeling'!$B:$B,$E130,'Attrition Modeling'!$C:$C,V$68),VLOOKUP(V$69-$F130-1,$A$7:$C$161,2,FALSE)*VLOOKUP(V$1,'Attrition Modeling'!$L$15:$N$27,IF(V$2-$F63&lt;=24,2,3),FALSE))*(1+Projection!X$16)*(1+IF(V195&gt;0,'Attrition Modeling'!$N$9,0))),0))</f>
        <v>0</v>
      </c>
      <c r="W130" s="799">
        <f>IF(W$69=$F130+1,IF(Monthly!S$4=TRUE,0,Monthly!S$17),IF(W$69&gt;$F130+1,V130*(1-IF(W$69-$F130&lt;=12,SUMIFS('Attrition Modeling'!$D:$D,'Attrition Modeling'!$B:$B,$E130,'Attrition Modeling'!$C:$C,W$68),VLOOKUP(W$69-$F130-1,$A$7:$C$161,2,FALSE)*VLOOKUP(W$1,'Attrition Modeling'!$L$15:$N$27,IF(W$2-$F63&lt;=24,2,3),FALSE))*(1+Projection!Y$16)*(1+IF(W195&gt;0,'Attrition Modeling'!$N$9,0))),0))</f>
        <v>0</v>
      </c>
      <c r="X130" s="799">
        <f>IF(X$69=$F130+1,IF(Monthly!T$4=TRUE,0,Monthly!T$17),IF(X$69&gt;$F130+1,W130*(1-IF(X$69-$F130&lt;=12,SUMIFS('Attrition Modeling'!$D:$D,'Attrition Modeling'!$B:$B,$E130,'Attrition Modeling'!$C:$C,X$68),VLOOKUP(X$69-$F130-1,$A$7:$C$161,2,FALSE)*VLOOKUP(X$1,'Attrition Modeling'!$L$15:$N$27,IF(X$2-$F63&lt;=24,2,3),FALSE))*(1+Projection!Z$16)*(1+IF(X195&gt;0,'Attrition Modeling'!$N$9,0))),0))</f>
        <v>0</v>
      </c>
      <c r="Y130" s="799">
        <f>IF(Y$69=$F130+1,IF(Monthly!U$4=TRUE,0,Monthly!U$17),IF(Y$69&gt;$F130+1,X130*(1-IF(Y$69-$F130&lt;=12,SUMIFS('Attrition Modeling'!$D:$D,'Attrition Modeling'!$B:$B,$E130,'Attrition Modeling'!$C:$C,Y$68),VLOOKUP(Y$69-$F130-1,$A$7:$C$161,2,FALSE)*VLOOKUP(Y$1,'Attrition Modeling'!$L$15:$N$27,IF(Y$2-$F63&lt;=24,2,3),FALSE))*(1+Projection!AA$16)*(1+IF(Y195&gt;0,'Attrition Modeling'!$N$9,0))),0))</f>
        <v>0</v>
      </c>
      <c r="Z130" s="799">
        <f>IF(Z$69=$F130+1,IF(Monthly!V$4=TRUE,0,Monthly!V$17),IF(Z$69&gt;$F130+1,Y130*(1-IF(Z$69-$F130&lt;=12,SUMIFS('Attrition Modeling'!$D:$D,'Attrition Modeling'!$B:$B,$E130,'Attrition Modeling'!$C:$C,Z$68),VLOOKUP(Z$69-$F130-1,$A$7:$C$161,2,FALSE)*VLOOKUP(Z$1,'Attrition Modeling'!$L$15:$N$27,IF(Z$2-$F63&lt;=24,2,3),FALSE))*(1+Projection!AB$16)*(1+IF(Z195&gt;0,'Attrition Modeling'!$N$9,0))),0))</f>
        <v>0</v>
      </c>
      <c r="AA130" s="799">
        <f>IF(AA$69=$F130+1,IF(Monthly!W$4=TRUE,0,Monthly!W$17),IF(AA$69&gt;$F130+1,Z130*(1-IF(AA$69-$F130&lt;=12,SUMIFS('Attrition Modeling'!$D:$D,'Attrition Modeling'!$B:$B,$E130,'Attrition Modeling'!$C:$C,AA$68),VLOOKUP(AA$69-$F130-1,$A$7:$C$161,2,FALSE)*VLOOKUP(AA$1,'Attrition Modeling'!$L$15:$N$27,IF(AA$2-$F63&lt;=24,2,3),FALSE))*(1+Projection!AC$16)*(1+IF(AA195&gt;0,'Attrition Modeling'!$N$9,0))),0))</f>
        <v>0</v>
      </c>
      <c r="AB130" s="799">
        <f>IF(AB$69=$F130+1,IF(Monthly!X$4=TRUE,0,Monthly!X$17),IF(AB$69&gt;$F130+1,AA130*(1-IF(AB$69-$F130&lt;=12,SUMIFS('Attrition Modeling'!$D:$D,'Attrition Modeling'!$B:$B,$E130,'Attrition Modeling'!$C:$C,AB$68),VLOOKUP(AB$69-$F130-1,$A$7:$C$161,2,FALSE)*VLOOKUP(AB$1,'Attrition Modeling'!$L$15:$N$27,IF(AB$2-$F63&lt;=24,2,3),FALSE))*(1+Projection!AD$16)*(1+IF(AB195&gt;0,'Attrition Modeling'!$N$9,0))),0))</f>
        <v>0</v>
      </c>
      <c r="AC130" s="799">
        <f>IF(AC$69=$F130+1,IF(Monthly!Y$4=TRUE,0,Monthly!Y$17),IF(AC$69&gt;$F130+1,AB130*(1-IF(AC$69-$F130&lt;=12,SUMIFS('Attrition Modeling'!$D:$D,'Attrition Modeling'!$B:$B,$E130,'Attrition Modeling'!$C:$C,AC$68),VLOOKUP(AC$69-$F130-1,$A$7:$C$161,2,FALSE)*VLOOKUP(AC$1,'Attrition Modeling'!$L$15:$N$27,IF(AC$2-$F63&lt;=24,2,3),FALSE))*(1+Projection!AE$16)*(1+IF(AC195&gt;0,'Attrition Modeling'!$N$9,0))),0))</f>
        <v>0</v>
      </c>
      <c r="AD130" s="799">
        <f>IF(AD$69=$F130+1,IF(Monthly!Z$4=TRUE,0,Monthly!Z$17),IF(AD$69&gt;$F130+1,AC130*(1-IF(AD$69-$F130&lt;=12,SUMIFS('Attrition Modeling'!$D:$D,'Attrition Modeling'!$B:$B,$E130,'Attrition Modeling'!$C:$C,AD$68),VLOOKUP(AD$69-$F130-1,$A$7:$C$161,2,FALSE)*VLOOKUP(AD$1,'Attrition Modeling'!$L$15:$N$27,IF(AD$2-$F63&lt;=24,2,3),FALSE))*(1+Projection!AF$16)*(1+IF(AD195&gt;0,'Attrition Modeling'!$N$9,0))),0))</f>
        <v>0</v>
      </c>
      <c r="AE130" s="799">
        <f>IF(AE$69=$F130+1,IF(Monthly!AA$4=TRUE,0,Monthly!AA$17),IF(AE$69&gt;$F130+1,AD130*(1-IF(AE$69-$F130&lt;=12,SUMIFS('Attrition Modeling'!$D:$D,'Attrition Modeling'!$B:$B,$E130,'Attrition Modeling'!$C:$C,AE$68),VLOOKUP(AE$69-$F130-1,$A$7:$C$161,2,FALSE)*VLOOKUP(AE$1,'Attrition Modeling'!$L$15:$N$27,IF(AE$2-$F63&lt;=24,2,3),FALSE))*(1+Projection!AG$16)*(1+IF(AE195&gt;0,'Attrition Modeling'!$N$9,0))),0))</f>
        <v>0</v>
      </c>
      <c r="AF130" s="799">
        <f>IF(AF$69=$F130+1,IF(Monthly!AB$4=TRUE,0,Monthly!AB$17),IF(AF$69&gt;$F130+1,AE130*(1-IF(AF$69-$F130&lt;=12,SUMIFS('Attrition Modeling'!$D:$D,'Attrition Modeling'!$B:$B,$E130,'Attrition Modeling'!$C:$C,AF$68),VLOOKUP(AF$69-$F130-1,$A$7:$C$161,2,FALSE)*VLOOKUP(AF$1,'Attrition Modeling'!$L$15:$N$27,IF(AF$2-$F63&lt;=24,2,3),FALSE))*(1+Projection!AH$16)*(1+IF(AF195&gt;0,'Attrition Modeling'!$N$9,0))),0))</f>
        <v>0</v>
      </c>
      <c r="AG130" s="799">
        <f>IF(AG$69=$F130+1,IF(Monthly!AC$4=TRUE,0,Monthly!AC$17),IF(AG$69&gt;$F130+1,AF130*(1-IF(AG$69-$F130&lt;=12,SUMIFS('Attrition Modeling'!$D:$D,'Attrition Modeling'!$B:$B,$E130,'Attrition Modeling'!$C:$C,AG$68),VLOOKUP(AG$69-$F130-1,$A$7:$C$161,2,FALSE)*VLOOKUP(AG$1,'Attrition Modeling'!$L$15:$N$27,IF(AG$2-$F63&lt;=24,2,3),FALSE))*(1+Projection!AI$16)*(1+IF(AG195&gt;0,'Attrition Modeling'!$N$9,0))),0))</f>
        <v>0</v>
      </c>
      <c r="AH130" s="799">
        <f>IF(AH$69=$F130+1,IF(Monthly!AD$4=TRUE,0,Monthly!AD$17),IF(AH$69&gt;$F130+1,AG130*(1-IF(AH$69-$F130&lt;=12,SUMIFS('Attrition Modeling'!$D:$D,'Attrition Modeling'!$B:$B,$E130,'Attrition Modeling'!$C:$C,AH$68),VLOOKUP(AH$69-$F130-1,$A$7:$C$161,2,FALSE)*VLOOKUP(AH$1,'Attrition Modeling'!$L$15:$N$27,IF(AH$2-$F63&lt;=24,2,3),FALSE))*(1+Projection!AJ$16)*(1+IF(AH195&gt;0,'Attrition Modeling'!$N$9,0))),0))</f>
        <v>0</v>
      </c>
      <c r="AI130" s="799">
        <f>IF(AI$69=$F130+1,IF(Monthly!AE$4=TRUE,0,Monthly!AE$17),IF(AI$69&gt;$F130+1,AH130*(1-IF(AI$69-$F130&lt;=12,SUMIFS('Attrition Modeling'!$D:$D,'Attrition Modeling'!$B:$B,$E130,'Attrition Modeling'!$C:$C,AI$68),VLOOKUP(AI$69-$F130-1,$A$7:$C$161,2,FALSE)*VLOOKUP(AI$1,'Attrition Modeling'!$L$15:$N$27,IF(AI$2-$F63&lt;=24,2,3),FALSE))*(1+Projection!AK$16)*(1+IF(AI195&gt;0,'Attrition Modeling'!$N$9,0))),0))</f>
        <v>0</v>
      </c>
      <c r="AJ130" s="799">
        <f>IF(AJ$69=$F130+1,IF(Monthly!AF$4=TRUE,0,Monthly!AF$17),IF(AJ$69&gt;$F130+1,AI130*(1-IF(AJ$69-$F130&lt;=12,SUMIFS('Attrition Modeling'!$D:$D,'Attrition Modeling'!$B:$B,$E130,'Attrition Modeling'!$C:$C,AJ$68),VLOOKUP(AJ$69-$F130-1,$A$7:$C$161,2,FALSE)*VLOOKUP(AJ$1,'Attrition Modeling'!$L$15:$N$27,IF(AJ$2-$F63&lt;=24,2,3),FALSE))*(1+Projection!AL$16)*(1+IF(AJ195&gt;0,'Attrition Modeling'!$N$9,0))),0))</f>
        <v>0</v>
      </c>
      <c r="AK130" s="799">
        <f>IF(AK$69=$F130+1,IF(Monthly!AG$4=TRUE,0,Monthly!AG$17),IF(AK$69&gt;$F130+1,AJ130*(1-IF(AK$69-$F130&lt;=12,SUMIFS('Attrition Modeling'!$D:$D,'Attrition Modeling'!$B:$B,$E130,'Attrition Modeling'!$C:$C,AK$68),VLOOKUP(AK$69-$F130-1,$A$7:$C$161,2,FALSE)*VLOOKUP(AK$1,'Attrition Modeling'!$L$15:$N$27,IF(AK$2-$F63&lt;=24,2,3),FALSE))*(1+Projection!AM$16)*(1+IF(AK195&gt;0,'Attrition Modeling'!$N$9,0))),0))</f>
        <v>0</v>
      </c>
      <c r="AL130" s="799">
        <f>IF(AL$69=$F130+1,IF(Monthly!AH$4=TRUE,0,Monthly!AH$17),IF(AL$69&gt;$F130+1,AK130*(1-IF(AL$69-$F130&lt;=12,SUMIFS('Attrition Modeling'!$D:$D,'Attrition Modeling'!$B:$B,$E130,'Attrition Modeling'!$C:$C,AL$68),VLOOKUP(AL$69-$F130-1,$A$7:$C$161,2,FALSE)*VLOOKUP(AL$1,'Attrition Modeling'!$L$15:$N$27,IF(AL$2-$F63&lt;=24,2,3),FALSE))*(1+Projection!AN$16)*(1+IF(AL195&gt;0,'Attrition Modeling'!$N$9,0))),0))</f>
        <v>0</v>
      </c>
      <c r="AM130" s="799">
        <f>IF(AM$69=$F130+1,IF(Monthly!AI$4=TRUE,0,Monthly!AI$17),IF(AM$69&gt;$F130+1,AL130*(1-IF(AM$69-$F130&lt;=12,SUMIFS('Attrition Modeling'!$D:$D,'Attrition Modeling'!$B:$B,$E130,'Attrition Modeling'!$C:$C,AM$68),VLOOKUP(AM$69-$F130-1,$A$7:$C$161,2,FALSE)*VLOOKUP(AM$1,'Attrition Modeling'!$L$15:$N$27,IF(AM$2-$F63&lt;=24,2,3),FALSE))*(1+Projection!AO$16)*(1+IF(AM195&gt;0,'Attrition Modeling'!$N$9,0))),0))</f>
        <v>0</v>
      </c>
      <c r="AN130" s="799">
        <f>IF(AN$69=$F130+1,IF(Monthly!AJ$4=TRUE,0,Monthly!AJ$17),IF(AN$69&gt;$F130+1,AM130*(1-IF(AN$69-$F130&lt;=12,SUMIFS('Attrition Modeling'!$D:$D,'Attrition Modeling'!$B:$B,$E130,'Attrition Modeling'!$C:$C,AN$68),VLOOKUP(AN$69-$F130-1,$A$7:$C$161,2,FALSE)*VLOOKUP(AN$1,'Attrition Modeling'!$L$15:$N$27,IF(AN$2-$F63&lt;=24,2,3),FALSE))*(1+Projection!AP$16)*(1+IF(AN195&gt;0,'Attrition Modeling'!$N$9,0))),0))</f>
        <v>0</v>
      </c>
      <c r="AO130" s="799">
        <f>IF(AO$69=$F130+1,IF(Monthly!AK$4=TRUE,0,Monthly!AK$17),IF(AO$69&gt;$F130+1,AN130*(1-IF(AO$69-$F130&lt;=12,SUMIFS('Attrition Modeling'!$D:$D,'Attrition Modeling'!$B:$B,$E130,'Attrition Modeling'!$C:$C,AO$68),VLOOKUP(AO$69-$F130-1,$A$7:$C$161,2,FALSE)*VLOOKUP(AO$1,'Attrition Modeling'!$L$15:$N$27,IF(AO$2-$F63&lt;=24,2,3),FALSE))*(1+Projection!AQ$16)*(1+IF(AO195&gt;0,'Attrition Modeling'!$N$9,0))),0))</f>
        <v>0</v>
      </c>
      <c r="AP130" s="799">
        <f>IF(AP$69=$F130+1,IF(Monthly!AL$4=TRUE,0,Monthly!AL$17),IF(AP$69&gt;$F130+1,AO130*(1-IF(AP$69-$F130&lt;=12,SUMIFS('Attrition Modeling'!$D:$D,'Attrition Modeling'!$B:$B,$E130,'Attrition Modeling'!$C:$C,AP$68),VLOOKUP(AP$69-$F130-1,$A$7:$C$161,2,FALSE)*VLOOKUP(AP$1,'Attrition Modeling'!$L$15:$N$27,IF(AP$2-$F63&lt;=24,2,3),FALSE))*(1+Projection!AR$16)*(1+IF(AP195&gt;0,'Attrition Modeling'!$N$9,0))),0))</f>
        <v>0</v>
      </c>
      <c r="AQ130" s="799">
        <f>IF(AQ$69=$F130+1,IF(Monthly!AM$4=TRUE,0,Monthly!AM$17),IF(AQ$69&gt;$F130+1,AP130*(1-IF(AQ$69-$F130&lt;=12,SUMIFS('Attrition Modeling'!$D:$D,'Attrition Modeling'!$B:$B,$E130,'Attrition Modeling'!$C:$C,AQ$68),VLOOKUP(AQ$69-$F130-1,$A$7:$C$161,2,FALSE)*VLOOKUP(AQ$1,'Attrition Modeling'!$L$15:$N$27,IF(AQ$2-$F63&lt;=24,2,3),FALSE))*(1+Projection!AS$16)*(1+IF(AQ195&gt;0,'Attrition Modeling'!$N$9,0))),0))</f>
        <v>0</v>
      </c>
      <c r="AR130" s="799">
        <f>IF(AR$69=$F130+1,IF(Monthly!AN$4=TRUE,0,Monthly!AN$17),IF(AR$69&gt;$F130+1,AQ130*(1-IF(AR$69-$F130&lt;=12,SUMIFS('Attrition Modeling'!$D:$D,'Attrition Modeling'!$B:$B,$E130,'Attrition Modeling'!$C:$C,AR$68),VLOOKUP(AR$69-$F130-1,$A$7:$C$161,2,FALSE)*VLOOKUP(AR$1,'Attrition Modeling'!$L$15:$N$27,IF(AR$2-$F63&lt;=24,2,3),FALSE))*(1+Projection!AT$16)*(1+IF(AR195&gt;0,'Attrition Modeling'!$N$9,0))),0))</f>
        <v>0</v>
      </c>
      <c r="AS130" s="799">
        <f>IF(AS$69=$F130+1,IF(Monthly!AO$4=TRUE,0,Monthly!AO$17),IF(AS$69&gt;$F130+1,AR130*(1-IF(AS$69-$F130&lt;=12,SUMIFS('Attrition Modeling'!$D:$D,'Attrition Modeling'!$B:$B,$E130,'Attrition Modeling'!$C:$C,AS$68),VLOOKUP(AS$69-$F130-1,$A$7:$C$161,2,FALSE)*VLOOKUP(AS$1,'Attrition Modeling'!$L$15:$N$27,IF(AS$2-$F63&lt;=24,2,3),FALSE))*(1+Projection!AU$16)*(1+IF(AS195&gt;0,'Attrition Modeling'!$N$9,0))),0))</f>
        <v>0</v>
      </c>
      <c r="AT130" s="799">
        <f>IF(AT$69=$F130+1,IF(Monthly!AP$4=TRUE,0,Monthly!AP$17),IF(AT$69&gt;$F130+1,AS130*(1-IF(AT$69-$F130&lt;=12,SUMIFS('Attrition Modeling'!$D:$D,'Attrition Modeling'!$B:$B,$E130,'Attrition Modeling'!$C:$C,AT$68),VLOOKUP(AT$69-$F130-1,$A$7:$C$161,2,FALSE)*VLOOKUP(AT$1,'Attrition Modeling'!$L$15:$N$27,IF(AT$2-$F63&lt;=24,2,3),FALSE))*(1+Projection!AV$16)*(1+IF(AT195&gt;0,'Attrition Modeling'!$N$9,0))),0))</f>
        <v>0</v>
      </c>
      <c r="AU130" s="799">
        <f>IF(AU$69=$F130+1,IF(Monthly!AQ$4=TRUE,0,Monthly!AQ$17),IF(AU$69&gt;$F130+1,AT130*(1-IF(AU$69-$F130&lt;=12,SUMIFS('Attrition Modeling'!$D:$D,'Attrition Modeling'!$B:$B,$E130,'Attrition Modeling'!$C:$C,AU$68),VLOOKUP(AU$69-$F130-1,$A$7:$C$161,2,FALSE)*VLOOKUP(AU$1,'Attrition Modeling'!$L$15:$N$27,IF(AU$2-$F63&lt;=24,2,3),FALSE))*(1+Projection!AW$16)*(1+IF(AU195&gt;0,'Attrition Modeling'!$N$9,0))),0))</f>
        <v>0</v>
      </c>
      <c r="AV130" s="799">
        <f>IF(AV$69=$F130+1,IF(Monthly!AR$4=TRUE,0,Monthly!AR$17),IF(AV$69&gt;$F130+1,AU130*(1-IF(AV$69-$F130&lt;=12,SUMIFS('Attrition Modeling'!$D:$D,'Attrition Modeling'!$B:$B,$E130,'Attrition Modeling'!$C:$C,AV$68),VLOOKUP(AV$69-$F130-1,$A$7:$C$161,2,FALSE)*VLOOKUP(AV$1,'Attrition Modeling'!$L$15:$N$27,IF(AV$2-$F63&lt;=24,2,3),FALSE))*(1+Projection!AX$16)*(1+IF(AV195&gt;0,'Attrition Modeling'!$N$9,0))),0))</f>
        <v>0</v>
      </c>
      <c r="AW130" s="799">
        <f>IF(AW$69=$F130+1,IF(Monthly!AS$4=TRUE,0,Monthly!AS$17),IF(AW$69&gt;$F130+1,AV130*(1-IF(AW$69-$F130&lt;=12,SUMIFS('Attrition Modeling'!$D:$D,'Attrition Modeling'!$B:$B,$E130,'Attrition Modeling'!$C:$C,AW$68),VLOOKUP(AW$69-$F130-1,$A$7:$C$161,2,FALSE)*VLOOKUP(AW$1,'Attrition Modeling'!$L$15:$N$27,IF(AW$2-$F63&lt;=24,2,3),FALSE))*(1+Projection!AY$16)*(1+IF(AW195&gt;0,'Attrition Modeling'!$N$9,0))),0))</f>
        <v>0</v>
      </c>
      <c r="AX130" s="799">
        <f>IF(AX$69=$F130+1,IF(Monthly!AT$4=TRUE,0,Monthly!AT$17),IF(AX$69&gt;$F130+1,AW130*(1-IF(AX$69-$F130&lt;=12,SUMIFS('Attrition Modeling'!$D:$D,'Attrition Modeling'!$B:$B,$E130,'Attrition Modeling'!$C:$C,AX$68),VLOOKUP(AX$69-$F130-1,$A$7:$C$161,2,FALSE)*VLOOKUP(AX$1,'Attrition Modeling'!$L$15:$N$27,IF(AX$2-$F63&lt;=24,2,3),FALSE))*(1+Projection!AZ$16)*(1+IF(AX195&gt;0,'Attrition Modeling'!$N$9,0))),0))</f>
        <v>0</v>
      </c>
      <c r="AY130" s="799">
        <f>IF(AY$69=$F130+1,IF(Monthly!AU$4=TRUE,0,Monthly!AU$17),IF(AY$69&gt;$F130+1,AX130*(1-IF(AY$69-$F130&lt;=12,SUMIFS('Attrition Modeling'!$D:$D,'Attrition Modeling'!$B:$B,$E130,'Attrition Modeling'!$C:$C,AY$68),VLOOKUP(AY$69-$F130-1,$A$7:$C$161,2,FALSE)*VLOOKUP(AY$1,'Attrition Modeling'!$L$15:$N$27,IF(AY$2-$F63&lt;=24,2,3),FALSE))*(1+Projection!BA$16)*(1+IF(AY195&gt;0,'Attrition Modeling'!$N$9,0))),0))</f>
        <v>0</v>
      </c>
      <c r="AZ130" s="799">
        <f>IF(AZ$69=$F130+1,IF(Monthly!AV$4=TRUE,0,Monthly!AV$17),IF(AZ$69&gt;$F130+1,AY130*(1-IF(AZ$69-$F130&lt;=12,SUMIFS('Attrition Modeling'!$D:$D,'Attrition Modeling'!$B:$B,$E130,'Attrition Modeling'!$C:$C,AZ$68),VLOOKUP(AZ$69-$F130-1,$A$7:$C$161,2,FALSE)*VLOOKUP(AZ$1,'Attrition Modeling'!$L$15:$N$27,IF(AZ$2-$F63&lt;=24,2,3),FALSE))*(1+Projection!BB$16)*(1+IF(AZ195&gt;0,'Attrition Modeling'!$N$9,0))),0))</f>
        <v>0</v>
      </c>
      <c r="BA130" s="799">
        <f>IF(BA$69=$F130+1,IF(Monthly!AW$4=TRUE,0,Monthly!AW$17),IF(BA$69&gt;$F130+1,AZ130*(1-IF(BA$69-$F130&lt;=12,SUMIFS('Attrition Modeling'!$D:$D,'Attrition Modeling'!$B:$B,$E130,'Attrition Modeling'!$C:$C,BA$68),VLOOKUP(BA$69-$F130-1,$A$7:$C$161,2,FALSE)*VLOOKUP(BA$1,'Attrition Modeling'!$L$15:$N$27,IF(BA$2-$F63&lt;=24,2,3),FALSE))*(1+Projection!BC$16)*(1+IF(BA195&gt;0,'Attrition Modeling'!$N$9,0))),0))</f>
        <v>0</v>
      </c>
      <c r="BB130" s="799">
        <f>IF(BB$69=$F130+1,IF(Monthly!AX$4=TRUE,0,Monthly!AX$17),IF(BB$69&gt;$F130+1,BA130*(1-IF(BB$69-$F130&lt;=12,SUMIFS('Attrition Modeling'!$D:$D,'Attrition Modeling'!$B:$B,$E130,'Attrition Modeling'!$C:$C,BB$68),VLOOKUP(BB$69-$F130-1,$A$7:$C$161,2,FALSE)*VLOOKUP(BB$1,'Attrition Modeling'!$L$15:$N$27,IF(BB$2-$F63&lt;=24,2,3),FALSE))*(1+Projection!BD$16)*(1+IF(BB195&gt;0,'Attrition Modeling'!$N$9,0))),0))</f>
        <v>0</v>
      </c>
      <c r="BC130" s="799">
        <f>IF(BC$69=$F130+1,IF(Monthly!AY$4=TRUE,0,Monthly!AY$17),IF(BC$69&gt;$F130+1,BB130*(1-IF(BC$69-$F130&lt;=12,SUMIFS('Attrition Modeling'!$D:$D,'Attrition Modeling'!$B:$B,$E130,'Attrition Modeling'!$C:$C,BC$68),VLOOKUP(BC$69-$F130-1,$A$7:$C$161,2,FALSE)*VLOOKUP(BC$1,'Attrition Modeling'!$L$15:$N$27,IF(BC$2-$F63&lt;=24,2,3),FALSE))*(1+Projection!BE$16)*(1+IF(BC195&gt;0,'Attrition Modeling'!$N$9,0))),0))</f>
        <v>0</v>
      </c>
      <c r="BD130" s="799">
        <f>IF(BD$69=$F130+1,IF(Monthly!AZ$4=TRUE,0,Monthly!AZ$17),IF(BD$69&gt;$F130+1,BC130*(1-IF(BD$69-$F130&lt;=12,SUMIFS('Attrition Modeling'!$D:$D,'Attrition Modeling'!$B:$B,$E130,'Attrition Modeling'!$C:$C,BD$68),VLOOKUP(BD$69-$F130-1,$A$7:$C$161,2,FALSE)*VLOOKUP(BD$1,'Attrition Modeling'!$L$15:$N$27,IF(BD$2-$F63&lt;=24,2,3),FALSE))*(1+Projection!BF$16)*(1+IF(BD195&gt;0,'Attrition Modeling'!$N$9,0))),0))</f>
        <v>0</v>
      </c>
      <c r="BE130" s="799">
        <f>IF(BE$69=$F130+1,IF(Monthly!BA$4=TRUE,0,Monthly!BA$17),IF(BE$69&gt;$F130+1,BD130*(1-IF(BE$69-$F130&lt;=12,SUMIFS('Attrition Modeling'!$D:$D,'Attrition Modeling'!$B:$B,$E130,'Attrition Modeling'!$C:$C,BE$68),VLOOKUP(BE$69-$F130-1,$A$7:$C$161,2,FALSE)*VLOOKUP(BE$1,'Attrition Modeling'!$L$15:$N$27,IF(BE$2-$F63&lt;=24,2,3),FALSE))*(1+Projection!BG$16)*(1+IF(BE195&gt;0,'Attrition Modeling'!$N$9,0))),0))</f>
        <v>0</v>
      </c>
      <c r="BF130" s="799">
        <f>IF(BF$69=$F130+1,IF(Monthly!BB$4=TRUE,0,Monthly!BB$17),IF(BF$69&gt;$F130+1,BE130*(1-IF(BF$69-$F130&lt;=12,SUMIFS('Attrition Modeling'!$D:$D,'Attrition Modeling'!$B:$B,$E130,'Attrition Modeling'!$C:$C,BF$68),VLOOKUP(BF$69-$F130-1,$A$7:$C$161,2,FALSE)*VLOOKUP(BF$1,'Attrition Modeling'!$L$15:$N$27,IF(BF$2-$F63&lt;=24,2,3),FALSE))*(1+Projection!BH$16)*(1+IF(BF195&gt;0,'Attrition Modeling'!$N$9,0))),0))</f>
        <v>0</v>
      </c>
      <c r="BG130" s="799">
        <f>IF(BG$69=$F130+1,IF(Monthly!BC$4=TRUE,0,Monthly!BC$17),IF(BG$69&gt;$F130+1,BF130*(1-IF(BG$69-$F130&lt;=12,SUMIFS('Attrition Modeling'!$D:$D,'Attrition Modeling'!$B:$B,$E130,'Attrition Modeling'!$C:$C,BG$68),VLOOKUP(BG$69-$F130-1,$A$7:$C$161,2,FALSE)*VLOOKUP(BG$1,'Attrition Modeling'!$L$15:$N$27,IF(BG$2-$F63&lt;=24,2,3),FALSE))*(1+Projection!BI$16)*(1+IF(BG195&gt;0,'Attrition Modeling'!$N$9,0))),0))</f>
        <v>0</v>
      </c>
      <c r="BH130" s="799">
        <f>IF(BH$69=$F130+1,IF(Monthly!BD$4=TRUE,0,Monthly!BD$17),IF(BH$69&gt;$F130+1,BG130*(1-IF(BH$69-$F130&lt;=12,SUMIFS('Attrition Modeling'!$D:$D,'Attrition Modeling'!$B:$B,$E130,'Attrition Modeling'!$C:$C,BH$68),VLOOKUP(BH$69-$F130-1,$A$7:$C$161,2,FALSE)*VLOOKUP(BH$1,'Attrition Modeling'!$L$15:$N$27,IF(BH$2-$F63&lt;=24,2,3),FALSE))*(1+Projection!BJ$16)*(1+IF(BH195&gt;0,'Attrition Modeling'!$N$9,0))),0))</f>
        <v>0</v>
      </c>
      <c r="BI130" s="799">
        <f>IF(BI$69=$F130+1,IF(Monthly!BE$4=TRUE,0,Monthly!BE$17),IF(BI$69&gt;$F130+1,BH130*(1-IF(BI$69-$F130&lt;=12,SUMIFS('Attrition Modeling'!$D:$D,'Attrition Modeling'!$B:$B,$E130,'Attrition Modeling'!$C:$C,BI$68),VLOOKUP(BI$69-$F130-1,$A$7:$C$161,2,FALSE)*VLOOKUP(BI$1,'Attrition Modeling'!$L$15:$N$27,IF(BI$2-$F63&lt;=24,2,3),FALSE))*(1+Projection!BK$16)*(1+IF(BI195&gt;0,'Attrition Modeling'!$N$9,0))),0))</f>
        <v>0</v>
      </c>
      <c r="BJ130" s="799">
        <f>IF(BJ$69=$F130+1,IF(Monthly!BF$4=TRUE,0,Monthly!BF$17),IF(BJ$69&gt;$F130+1,BI130*(1-IF(BJ$69-$F130&lt;=12,SUMIFS('Attrition Modeling'!$D:$D,'Attrition Modeling'!$B:$B,$E130,'Attrition Modeling'!$C:$C,BJ$68),VLOOKUP(BJ$69-$F130-1,$A$7:$C$161,2,FALSE)*VLOOKUP(BJ$1,'Attrition Modeling'!$L$15:$N$27,IF(BJ$2-$F63&lt;=24,2,3),FALSE))*(1+Projection!BL$16)*(1+IF(BJ195&gt;0,'Attrition Modeling'!$N$9,0))),0))</f>
        <v>0</v>
      </c>
      <c r="BK130" s="799">
        <f>IF(BK$69=$F130+1,IF(Monthly!BG$4=TRUE,0,Monthly!BG$17),IF(BK$69&gt;$F130+1,BJ130*(1-IF(BK$69-$F130&lt;=12,SUMIFS('Attrition Modeling'!$D:$D,'Attrition Modeling'!$B:$B,$E130,'Attrition Modeling'!$C:$C,BK$68),VLOOKUP(BK$69-$F130-1,$A$7:$C$161,2,FALSE)*VLOOKUP(BK$1,'Attrition Modeling'!$L$15:$N$27,IF(BK$2-$F63&lt;=24,2,3),FALSE))*(1+Projection!BM$16)*(1+IF(BK195&gt;0,'Attrition Modeling'!$N$9,0))),0))</f>
        <v>0</v>
      </c>
      <c r="BL130" s="799">
        <f>IF(BL$69=$F130+1,IF(Monthly!BH$4=TRUE,0,Monthly!BH$17),IF(BL$69&gt;$F130+1,BK130*(1-IF(BL$69-$F130&lt;=12,SUMIFS('Attrition Modeling'!$D:$D,'Attrition Modeling'!$B:$B,$E130,'Attrition Modeling'!$C:$C,BL$68),VLOOKUP(BL$69-$F130-1,$A$7:$C$161,2,FALSE)*VLOOKUP(BL$1,'Attrition Modeling'!$L$15:$N$27,IF(BL$2-$F63&lt;=24,2,3),FALSE))*(1+Projection!BN$16)*(1+IF(BL195&gt;0,'Attrition Modeling'!$N$9,0))),0))</f>
        <v>0</v>
      </c>
      <c r="BM130" s="799">
        <f>IF(BM$69=$F130+1,IF(Monthly!BI$4=TRUE,0,Monthly!BI$17),IF(BM$69&gt;$F130+1,BL130*(1-IF(BM$69-$F130&lt;=12,SUMIFS('Attrition Modeling'!$D:$D,'Attrition Modeling'!$B:$B,$E130,'Attrition Modeling'!$C:$C,BM$68),VLOOKUP(BM$69-$F130-1,$A$7:$C$161,2,FALSE)*VLOOKUP(BM$1,'Attrition Modeling'!$L$15:$N$27,IF(BM$2-$F63&lt;=24,2,3),FALSE))*(1+Projection!BO$16)*(1+IF(BM195&gt;0,'Attrition Modeling'!$N$9,0))),0))</f>
        <v>0</v>
      </c>
      <c r="BN130" s="799">
        <f>IF(BN$69=$F130+1,IF(Monthly!BJ$4=TRUE,0,Monthly!BJ$17),IF(BN$69&gt;$F130+1,BM130*(1-IF(BN$69-$F130&lt;=12,SUMIFS('Attrition Modeling'!$D:$D,'Attrition Modeling'!$B:$B,$E130,'Attrition Modeling'!$C:$C,BN$68),VLOOKUP(BN$69-$F130-1,$A$7:$C$161,2,FALSE)*VLOOKUP(BN$1,'Attrition Modeling'!$L$15:$N$27,IF(BN$2-$F63&lt;=24,2,3),FALSE))*(1+Projection!BP$16)*(1+IF(BN195&gt;0,'Attrition Modeling'!$N$9,0))),0))</f>
        <v>0</v>
      </c>
      <c r="BO130" s="799">
        <f>IF(BO$69=$F130+1,IF(Monthly!BK$4=TRUE,0,Monthly!BK$17),IF(BO$69&gt;$F130+1,BN130*(1-IF(BO$69-$F130&lt;=12,SUMIFS('Attrition Modeling'!$D:$D,'Attrition Modeling'!$B:$B,$E130,'Attrition Modeling'!$C:$C,BO$68),VLOOKUP(BO$69-$F130-1,$A$7:$C$161,2,FALSE)*VLOOKUP(BO$1,'Attrition Modeling'!$L$15:$N$27,IF(BO$2-$F63&lt;=24,2,3),FALSE))*(1+Projection!BV$16)*(1+IF(BO195&gt;0,'Attrition Modeling'!$N$9,0))),0))</f>
        <v>0</v>
      </c>
      <c r="BP130" s="799">
        <f>IF(BP$69=$F130+1,IF(Monthly!BL$4=TRUE,0,Monthly!BL$17),IF(BP$69&gt;$F130+1,BO130*(1-IF(BP$69-$F130&lt;=12,SUMIFS('Attrition Modeling'!$D:$D,'Attrition Modeling'!$B:$B,$E130,'Attrition Modeling'!$C:$C,BP$68),VLOOKUP(BP$69-$F130-1,$A$7:$C$161,2,FALSE)*VLOOKUP(BP$1,'Attrition Modeling'!$L$15:$N$27,IF(BP$2-$F63&lt;=24,2,3),FALSE))*(1+Projection!BW$16)*(1+IF(BP195&gt;0,'Attrition Modeling'!$N$9,0))),0))</f>
        <v>4723.2660431435943</v>
      </c>
      <c r="BQ130" s="799">
        <f>IF(BQ$69=$F130+1,IF(Monthly!BM$4=TRUE,0,Monthly!BM$17),IF(BQ$69&gt;$F130+1,BP130*(1-IF(BQ$69-$F130&lt;=12,SUMIFS('Attrition Modeling'!$D:$D,'Attrition Modeling'!$B:$B,$E130,'Attrition Modeling'!$C:$C,BQ$68),VLOOKUP(BQ$69-$F130-1,$A$7:$C$161,2,FALSE)*VLOOKUP(BQ$1,'Attrition Modeling'!$L$15:$N$27,IF(BQ$2-$F63&lt;=24,2,3),FALSE))*(1+Projection!BX$16)*(1+IF(BQ195&gt;0,'Attrition Modeling'!$N$9,0))),0))</f>
        <v>4274.7837138641953</v>
      </c>
      <c r="BR130" s="799">
        <f>IF(BR$69=$F130+1,IF(Monthly!BN$4=TRUE,0,Monthly!BN$17),IF(BR$69&gt;$F130+1,BQ130*(1-IF(BR$69-$F130&lt;=12,SUMIFS('Attrition Modeling'!$D:$D,'Attrition Modeling'!$B:$B,$E130,'Attrition Modeling'!$C:$C,BR$68),VLOOKUP(BR$69-$F130-1,$A$7:$C$161,2,FALSE)*VLOOKUP(BR$1,'Attrition Modeling'!$L$15:$N$27,IF(BR$2-$F63&lt;=24,2,3),FALSE))*(1+Projection!BY$16)*(1+IF(BR195&gt;0,'Attrition Modeling'!$N$9,0))),0))</f>
        <v>3904.3329236212326</v>
      </c>
      <c r="BS130" s="799">
        <f>IF(BS$69=$F130+1,IF(Monthly!BO$4=TRUE,0,Monthly!BO$17),IF(BS$69&gt;$F130+1,BR130*(1-IF(BS$69-$F130&lt;=12,SUMIFS('Attrition Modeling'!$D:$D,'Attrition Modeling'!$B:$B,$E130,'Attrition Modeling'!$C:$C,BS$68),VLOOKUP(BS$69-$F130-1,$A$7:$C$161,2,FALSE)*VLOOKUP(BS$1,'Attrition Modeling'!$L$15:$N$27,IF(BS$2-$F63&lt;=24,2,3),FALSE))*(1+Projection!BZ$16)*(1+IF(BS195&gt;0,'Attrition Modeling'!$N$9,0))),0))</f>
        <v>3555.3422902068746</v>
      </c>
      <c r="BT130" s="799">
        <f>IF(BT$69=$F130+1,IF(Monthly!#REF!=TRUE,0,Monthly!#REF!),IF(BT$69&gt;$F130+1,BS130*(1-IF(BT$69-$F130&lt;=12,SUMIFS('Attrition Modeling'!$D:$D,'Attrition Modeling'!$B:$B,$E130,'Attrition Modeling'!$C:$C,BT$68),VLOOKUP(BT$69-$F130-1,$A$7:$C$161,2,FALSE)*VLOOKUP(BT$1,'Attrition Modeling'!$L$15:$N$27,IF(BT$2-$F63&lt;=24,2,3),FALSE))*(1+Projection!CA$16)*(1+IF(BT195&gt;0,'Attrition Modeling'!$N$9,0))),0))</f>
        <v>3252.2662478426168</v>
      </c>
      <c r="BU130" s="799">
        <f>IF(BU$69=$F130+1,IF(Monthly!#REF!=TRUE,0,Monthly!#REF!),IF(BU$69&gt;$F130+1,BT130*(1-IF(BU$69-$F130&lt;=12,SUMIFS('Attrition Modeling'!$D:$D,'Attrition Modeling'!$B:$B,$E130,'Attrition Modeling'!$C:$C,BU$68),VLOOKUP(BU$69-$F130-1,$A$7:$C$161,2,FALSE)*VLOOKUP(BU$1,'Attrition Modeling'!$L$15:$N$27,IF(BU$2-$F63&lt;=24,2,3),FALSE))*(1+Projection!CB$16)*(1+IF(BU195&gt;0,'Attrition Modeling'!$N$9,0))),0))</f>
        <v>2957.8009882275996</v>
      </c>
    </row>
    <row r="131" spans="1:73" ht="14.25" customHeight="1" x14ac:dyDescent="0.2">
      <c r="A131" s="9">
        <v>124</v>
      </c>
      <c r="B131" s="25">
        <f>MAX('Attrition Modeling'!H128,$C$3)*(1-Summary!$C$20)</f>
        <v>0.02</v>
      </c>
      <c r="C131" s="24" t="e">
        <f t="shared" si="4"/>
        <v>#DIV/0!</v>
      </c>
      <c r="F131" s="802" t="s">
        <v>699</v>
      </c>
      <c r="G131" s="803"/>
      <c r="H131" s="804">
        <f t="shared" ref="H131:BU131" si="11">SUMIF(G70:G130,"&gt;0",H70:H130)-SUM(G70:G130)</f>
        <v>0</v>
      </c>
      <c r="I131" s="804">
        <f t="shared" si="11"/>
        <v>0</v>
      </c>
      <c r="J131" s="804">
        <f t="shared" si="11"/>
        <v>-229.81969934287554</v>
      </c>
      <c r="K131" s="804">
        <f t="shared" si="11"/>
        <v>-499.89148532530271</v>
      </c>
      <c r="L131" s="804">
        <f t="shared" si="11"/>
        <v>-779.69562762186251</v>
      </c>
      <c r="M131" s="804">
        <f t="shared" si="11"/>
        <v>-1260.5700831257163</v>
      </c>
      <c r="N131" s="804">
        <f t="shared" si="11"/>
        <v>-1697.9938486368555</v>
      </c>
      <c r="O131" s="804">
        <f t="shared" si="11"/>
        <v>-2316.920736464861</v>
      </c>
      <c r="P131" s="804">
        <f t="shared" si="11"/>
        <v>-2354.9112203757613</v>
      </c>
      <c r="Q131" s="804">
        <f t="shared" si="11"/>
        <v>-2436.8890723349068</v>
      </c>
      <c r="R131" s="804">
        <f t="shared" si="11"/>
        <v>-2527.2006563102332</v>
      </c>
      <c r="S131" s="804">
        <f t="shared" si="11"/>
        <v>-2579.6179755628327</v>
      </c>
      <c r="T131" s="804">
        <f t="shared" si="11"/>
        <v>-2557.9615545211018</v>
      </c>
      <c r="U131" s="804">
        <f t="shared" si="11"/>
        <v>-2593.3373484034673</v>
      </c>
      <c r="V131" s="804">
        <f t="shared" si="11"/>
        <v>-2998.6285441586733</v>
      </c>
      <c r="W131" s="804">
        <f t="shared" si="11"/>
        <v>-3133.996073737304</v>
      </c>
      <c r="X131" s="804">
        <f t="shared" si="11"/>
        <v>-3392.5460920202313</v>
      </c>
      <c r="Y131" s="804">
        <f t="shared" si="11"/>
        <v>-3903.4832863264601</v>
      </c>
      <c r="Z131" s="804">
        <f t="shared" si="11"/>
        <v>-4359.9847776375755</v>
      </c>
      <c r="AA131" s="804">
        <f t="shared" si="11"/>
        <v>-5193.788973561037</v>
      </c>
      <c r="AB131" s="804">
        <f t="shared" si="11"/>
        <v>-5043.2004384071406</v>
      </c>
      <c r="AC131" s="804">
        <f t="shared" si="11"/>
        <v>-5058.9357363309464</v>
      </c>
      <c r="AD131" s="804">
        <f t="shared" si="11"/>
        <v>-5040.0509277570818</v>
      </c>
      <c r="AE131" s="804">
        <f t="shared" si="11"/>
        <v>-5025.0355838306205</v>
      </c>
      <c r="AF131" s="804">
        <f t="shared" si="11"/>
        <v>-4755.5378768117371</v>
      </c>
      <c r="AG131" s="804">
        <f t="shared" si="11"/>
        <v>-4570.205365201633</v>
      </c>
      <c r="AH131" s="804">
        <f t="shared" si="11"/>
        <v>-5072.7893632030318</v>
      </c>
      <c r="AI131" s="804">
        <f t="shared" si="11"/>
        <v>-5017.2008735884447</v>
      </c>
      <c r="AJ131" s="804">
        <f t="shared" si="11"/>
        <v>-5189.6441705180332</v>
      </c>
      <c r="AK131" s="804">
        <f t="shared" si="11"/>
        <v>-5594.5458238818828</v>
      </c>
      <c r="AL131" s="804">
        <f t="shared" si="11"/>
        <v>-5977.3871767462988</v>
      </c>
      <c r="AM131" s="804">
        <f t="shared" si="11"/>
        <v>-6796.5314369488915</v>
      </c>
      <c r="AN131" s="804">
        <f t="shared" si="11"/>
        <v>-6491.4187956656533</v>
      </c>
      <c r="AO131" s="804">
        <f t="shared" si="11"/>
        <v>-6430.5398615309823</v>
      </c>
      <c r="AP131" s="804">
        <f t="shared" si="11"/>
        <v>-6306.6692444043001</v>
      </c>
      <c r="AQ131" s="804">
        <f t="shared" si="11"/>
        <v>-6175.7187343332916</v>
      </c>
      <c r="AR131" s="804">
        <f t="shared" si="11"/>
        <v>-5879.2728259837459</v>
      </c>
      <c r="AS131" s="804">
        <f t="shared" si="11"/>
        <v>-5368.1923375965998</v>
      </c>
      <c r="AT131" s="804">
        <f t="shared" si="11"/>
        <v>-5790.9093171303975</v>
      </c>
      <c r="AU131" s="804">
        <f t="shared" si="11"/>
        <v>-5495.8947218818212</v>
      </c>
      <c r="AV131" s="804">
        <f t="shared" si="11"/>
        <v>-5585.1046339102177</v>
      </c>
      <c r="AW131" s="804">
        <f t="shared" si="11"/>
        <v>-5857.5493368326279</v>
      </c>
      <c r="AX131" s="804">
        <f t="shared" si="11"/>
        <v>-6106.4734525792883</v>
      </c>
      <c r="AY131" s="804">
        <f t="shared" si="11"/>
        <v>-6673.5936524010758</v>
      </c>
      <c r="AZ131" s="804">
        <f t="shared" si="11"/>
        <v>-6147.4420505395101</v>
      </c>
      <c r="BA131" s="804">
        <f t="shared" si="11"/>
        <v>-5942.146059906212</v>
      </c>
      <c r="BB131" s="804">
        <f t="shared" si="11"/>
        <v>-5671.963865071797</v>
      </c>
      <c r="BC131" s="804">
        <f t="shared" si="11"/>
        <v>-5359.8474164826039</v>
      </c>
      <c r="BD131" s="804">
        <f t="shared" si="11"/>
        <v>-5085.1083718086302</v>
      </c>
      <c r="BE131" s="804">
        <f t="shared" si="11"/>
        <v>-4797.1230387622054</v>
      </c>
      <c r="BF131" s="804">
        <f t="shared" si="11"/>
        <v>-5126.2812971977546</v>
      </c>
      <c r="BG131" s="804">
        <f t="shared" si="11"/>
        <v>-4847.2118423041684</v>
      </c>
      <c r="BH131" s="804">
        <f t="shared" si="11"/>
        <v>-5031.945447415972</v>
      </c>
      <c r="BI131" s="804">
        <f t="shared" si="11"/>
        <v>-5408.1488769361458</v>
      </c>
      <c r="BJ131" s="804">
        <f t="shared" si="11"/>
        <v>-5714.7130907435057</v>
      </c>
      <c r="BK131" s="804">
        <f t="shared" si="11"/>
        <v>-6285.8173877650115</v>
      </c>
      <c r="BL131" s="804">
        <f t="shared" si="11"/>
        <v>-5803.9062053984817</v>
      </c>
      <c r="BM131" s="804">
        <f t="shared" si="11"/>
        <v>-5624.0431331458385</v>
      </c>
      <c r="BN131" s="804">
        <f t="shared" si="11"/>
        <v>-5394.1754484920821</v>
      </c>
      <c r="BO131" s="804">
        <f t="shared" si="11"/>
        <v>-5017.8991539911949</v>
      </c>
      <c r="BP131" s="804">
        <f t="shared" si="11"/>
        <v>-4723.2660431435797</v>
      </c>
      <c r="BQ131" s="804">
        <f t="shared" si="11"/>
        <v>-4563.0418524932174</v>
      </c>
      <c r="BR131" s="804">
        <f t="shared" si="11"/>
        <v>-4396.9772439372755</v>
      </c>
      <c r="BS131" s="804">
        <f t="shared" si="11"/>
        <v>-3709.8931041577307</v>
      </c>
      <c r="BT131" s="804">
        <f t="shared" si="11"/>
        <v>-3560.6542699609563</v>
      </c>
      <c r="BU131" s="804">
        <f t="shared" si="11"/>
        <v>-3473.4283369931363</v>
      </c>
    </row>
    <row r="132" spans="1:73" ht="14.25" customHeight="1" x14ac:dyDescent="0.2">
      <c r="A132" s="9">
        <v>125</v>
      </c>
      <c r="B132" s="25">
        <f>MAX('Attrition Modeling'!H129,$C$3)*(1-Summary!$C$20)</f>
        <v>0.02</v>
      </c>
      <c r="C132" s="24" t="e">
        <f t="shared" si="4"/>
        <v>#DIV/0!</v>
      </c>
    </row>
    <row r="133" spans="1:73" ht="14.25" customHeight="1" x14ac:dyDescent="0.2">
      <c r="A133" s="9">
        <v>126</v>
      </c>
      <c r="B133" s="25">
        <f>MAX('Attrition Modeling'!H130,$C$3)*(1-Summary!$C$20)</f>
        <v>0.02</v>
      </c>
      <c r="C133" s="24" t="e">
        <f t="shared" si="4"/>
        <v>#DIV/0!</v>
      </c>
      <c r="F133" s="795" t="s">
        <v>700</v>
      </c>
      <c r="G133" s="796"/>
      <c r="H133" s="796"/>
      <c r="I133" s="805"/>
      <c r="J133" s="796"/>
      <c r="K133" s="796"/>
      <c r="L133" s="796"/>
      <c r="M133" s="796"/>
      <c r="N133" s="796"/>
      <c r="O133" s="796"/>
      <c r="P133" s="796"/>
      <c r="Q133" s="796"/>
      <c r="R133" s="796"/>
      <c r="S133" s="796"/>
      <c r="T133" s="796"/>
      <c r="U133" s="796"/>
      <c r="V133" s="796"/>
      <c r="W133" s="796"/>
      <c r="X133" s="796"/>
      <c r="Y133" s="796"/>
      <c r="Z133" s="796"/>
      <c r="AA133" s="796"/>
      <c r="AB133" s="796"/>
      <c r="AC133" s="796"/>
      <c r="AD133" s="796"/>
      <c r="AE133" s="796"/>
      <c r="AF133" s="796"/>
      <c r="AG133" s="796"/>
      <c r="AH133" s="796"/>
      <c r="AI133" s="796"/>
      <c r="AJ133" s="796"/>
      <c r="AK133" s="796"/>
      <c r="AL133" s="796"/>
      <c r="AM133" s="796"/>
      <c r="AN133" s="796"/>
      <c r="AO133" s="796"/>
      <c r="AP133" s="796"/>
      <c r="AQ133" s="796"/>
      <c r="AR133" s="796"/>
      <c r="AS133" s="796"/>
      <c r="AT133" s="796"/>
      <c r="AU133" s="796"/>
      <c r="AV133" s="796"/>
      <c r="AW133" s="796"/>
      <c r="AX133" s="796"/>
      <c r="AY133" s="796"/>
      <c r="AZ133" s="796"/>
      <c r="BA133" s="796"/>
      <c r="BB133" s="796"/>
      <c r="BC133" s="796"/>
      <c r="BD133" s="796"/>
      <c r="BE133" s="796"/>
      <c r="BF133" s="796"/>
      <c r="BG133" s="796"/>
      <c r="BH133" s="796"/>
      <c r="BI133" s="796"/>
      <c r="BJ133" s="796"/>
      <c r="BK133" s="796"/>
      <c r="BL133" s="796"/>
      <c r="BM133" s="796"/>
      <c r="BN133" s="796"/>
      <c r="BO133" s="796"/>
      <c r="BP133" s="796"/>
      <c r="BQ133" s="796"/>
      <c r="BR133" s="796"/>
      <c r="BS133" s="796"/>
      <c r="BT133" s="796"/>
      <c r="BU133" s="796"/>
    </row>
    <row r="134" spans="1:73" ht="14.25" customHeight="1" x14ac:dyDescent="0.2">
      <c r="A134" s="9">
        <v>127</v>
      </c>
      <c r="B134" s="25">
        <f>MAX('Attrition Modeling'!H131,$C$3)*(1-Summary!$C$20)</f>
        <v>0.02</v>
      </c>
      <c r="C134" s="24" t="e">
        <f t="shared" si="4"/>
        <v>#DIV/0!</v>
      </c>
      <c r="F134" s="11" t="s">
        <v>679</v>
      </c>
      <c r="G134" s="797">
        <v>0</v>
      </c>
      <c r="H134" s="797">
        <v>1</v>
      </c>
      <c r="I134" s="797">
        <f t="shared" ref="I134:BU134" si="12">H134+1</f>
        <v>2</v>
      </c>
      <c r="J134" s="797">
        <f t="shared" si="12"/>
        <v>3</v>
      </c>
      <c r="K134" s="797">
        <f t="shared" si="12"/>
        <v>4</v>
      </c>
      <c r="L134" s="797">
        <f t="shared" si="12"/>
        <v>5</v>
      </c>
      <c r="M134" s="797">
        <f t="shared" si="12"/>
        <v>6</v>
      </c>
      <c r="N134" s="797">
        <f t="shared" si="12"/>
        <v>7</v>
      </c>
      <c r="O134" s="797">
        <f t="shared" si="12"/>
        <v>8</v>
      </c>
      <c r="P134" s="797">
        <f t="shared" si="12"/>
        <v>9</v>
      </c>
      <c r="Q134" s="797">
        <f t="shared" si="12"/>
        <v>10</v>
      </c>
      <c r="R134" s="797">
        <f t="shared" si="12"/>
        <v>11</v>
      </c>
      <c r="S134" s="797">
        <f t="shared" si="12"/>
        <v>12</v>
      </c>
      <c r="T134" s="797">
        <f t="shared" si="12"/>
        <v>13</v>
      </c>
      <c r="U134" s="797">
        <f t="shared" si="12"/>
        <v>14</v>
      </c>
      <c r="V134" s="797">
        <f t="shared" si="12"/>
        <v>15</v>
      </c>
      <c r="W134" s="797">
        <f t="shared" si="12"/>
        <v>16</v>
      </c>
      <c r="X134" s="797">
        <f t="shared" si="12"/>
        <v>17</v>
      </c>
      <c r="Y134" s="797">
        <f t="shared" si="12"/>
        <v>18</v>
      </c>
      <c r="Z134" s="797">
        <f t="shared" si="12"/>
        <v>19</v>
      </c>
      <c r="AA134" s="797">
        <f t="shared" si="12"/>
        <v>20</v>
      </c>
      <c r="AB134" s="797">
        <f t="shared" si="12"/>
        <v>21</v>
      </c>
      <c r="AC134" s="797">
        <f t="shared" si="12"/>
        <v>22</v>
      </c>
      <c r="AD134" s="797">
        <f t="shared" si="12"/>
        <v>23</v>
      </c>
      <c r="AE134" s="797">
        <f t="shared" si="12"/>
        <v>24</v>
      </c>
      <c r="AF134" s="797">
        <f t="shared" si="12"/>
        <v>25</v>
      </c>
      <c r="AG134" s="797">
        <f t="shared" si="12"/>
        <v>26</v>
      </c>
      <c r="AH134" s="797">
        <f t="shared" si="12"/>
        <v>27</v>
      </c>
      <c r="AI134" s="797">
        <f t="shared" si="12"/>
        <v>28</v>
      </c>
      <c r="AJ134" s="797">
        <f t="shared" si="12"/>
        <v>29</v>
      </c>
      <c r="AK134" s="797">
        <f t="shared" si="12"/>
        <v>30</v>
      </c>
      <c r="AL134" s="797">
        <f t="shared" si="12"/>
        <v>31</v>
      </c>
      <c r="AM134" s="797">
        <f t="shared" si="12"/>
        <v>32</v>
      </c>
      <c r="AN134" s="797">
        <f t="shared" si="12"/>
        <v>33</v>
      </c>
      <c r="AO134" s="797">
        <f t="shared" si="12"/>
        <v>34</v>
      </c>
      <c r="AP134" s="797">
        <f t="shared" si="12"/>
        <v>35</v>
      </c>
      <c r="AQ134" s="797">
        <f t="shared" si="12"/>
        <v>36</v>
      </c>
      <c r="AR134" s="797">
        <f t="shared" si="12"/>
        <v>37</v>
      </c>
      <c r="AS134" s="797">
        <f t="shared" si="12"/>
        <v>38</v>
      </c>
      <c r="AT134" s="797">
        <f t="shared" si="12"/>
        <v>39</v>
      </c>
      <c r="AU134" s="797">
        <f t="shared" si="12"/>
        <v>40</v>
      </c>
      <c r="AV134" s="797">
        <f t="shared" si="12"/>
        <v>41</v>
      </c>
      <c r="AW134" s="797">
        <f t="shared" si="12"/>
        <v>42</v>
      </c>
      <c r="AX134" s="797">
        <f t="shared" si="12"/>
        <v>43</v>
      </c>
      <c r="AY134" s="797">
        <f t="shared" si="12"/>
        <v>44</v>
      </c>
      <c r="AZ134" s="797">
        <f t="shared" si="12"/>
        <v>45</v>
      </c>
      <c r="BA134" s="797">
        <f t="shared" si="12"/>
        <v>46</v>
      </c>
      <c r="BB134" s="797">
        <f t="shared" si="12"/>
        <v>47</v>
      </c>
      <c r="BC134" s="797">
        <f t="shared" si="12"/>
        <v>48</v>
      </c>
      <c r="BD134" s="797">
        <f t="shared" si="12"/>
        <v>49</v>
      </c>
      <c r="BE134" s="797">
        <f t="shared" si="12"/>
        <v>50</v>
      </c>
      <c r="BF134" s="797">
        <f t="shared" si="12"/>
        <v>51</v>
      </c>
      <c r="BG134" s="797">
        <f t="shared" si="12"/>
        <v>52</v>
      </c>
      <c r="BH134" s="797">
        <f t="shared" si="12"/>
        <v>53</v>
      </c>
      <c r="BI134" s="797">
        <f t="shared" si="12"/>
        <v>54</v>
      </c>
      <c r="BJ134" s="797">
        <f t="shared" si="12"/>
        <v>55</v>
      </c>
      <c r="BK134" s="797">
        <f t="shared" si="12"/>
        <v>56</v>
      </c>
      <c r="BL134" s="797">
        <f t="shared" si="12"/>
        <v>57</v>
      </c>
      <c r="BM134" s="797">
        <f t="shared" si="12"/>
        <v>58</v>
      </c>
      <c r="BN134" s="797">
        <f t="shared" si="12"/>
        <v>59</v>
      </c>
      <c r="BO134" s="797">
        <f t="shared" si="12"/>
        <v>60</v>
      </c>
      <c r="BP134" s="797">
        <f t="shared" si="12"/>
        <v>61</v>
      </c>
      <c r="BQ134" s="797">
        <f t="shared" si="12"/>
        <v>62</v>
      </c>
      <c r="BR134" s="797">
        <f t="shared" si="12"/>
        <v>63</v>
      </c>
      <c r="BS134" s="797">
        <f t="shared" si="12"/>
        <v>64</v>
      </c>
      <c r="BT134" s="797">
        <f t="shared" si="12"/>
        <v>65</v>
      </c>
      <c r="BU134" s="797">
        <f t="shared" si="12"/>
        <v>66</v>
      </c>
    </row>
    <row r="135" spans="1:73" ht="14.25" customHeight="1" x14ac:dyDescent="0.2">
      <c r="A135" s="9">
        <v>128</v>
      </c>
      <c r="B135" s="25">
        <f>MAX('Attrition Modeling'!H132,$C$3)*(1-Summary!$C$20)</f>
        <v>0.02</v>
      </c>
      <c r="C135" s="24" t="e">
        <f t="shared" si="4"/>
        <v>#DIV/0!</v>
      </c>
      <c r="E135" s="11">
        <v>6</v>
      </c>
      <c r="F135" s="11">
        <v>0</v>
      </c>
      <c r="G135" s="799"/>
      <c r="H135" s="799">
        <f>MIN(IF(ISERROR(VLOOKUP(H$134-$F135,$E$135:$E$165,1,FALSE)),0,G3*$C$2),MAX((IF(Monthly!D$4=TRUE,Monthly!D$13,Monthly!D$14)*(1+'Attrition Modeling'!$N$8)-IFERROR(G3/G70,0)*12)/12*G70,0))</f>
        <v>0</v>
      </c>
      <c r="I135" s="799">
        <f>MIN(IF(ISERROR(VLOOKUP(I$134-$F135,$E$135:$E$165,1,FALSE)),0,H3*$C$2),MAX((IF(Monthly!E$4=TRUE,Monthly!E$13,Monthly!E$14)*(1+'Attrition Modeling'!$N$8)-IFERROR(H3/H70,0)*12)/12*H70,0))</f>
        <v>0</v>
      </c>
      <c r="J135" s="799">
        <f>MIN(IF(ISERROR(VLOOKUP(J$134-$F135,$E$135:$E$165,1,FALSE)),0,I3*$C$2),MAX((IF(Monthly!F$4=TRUE,Monthly!F$13,Monthly!F$14)*(1+'Attrition Modeling'!$N$8)-IFERROR(I3/I70,0)*12)/12*I70,0))</f>
        <v>0</v>
      </c>
      <c r="K135" s="799">
        <f>MIN(IF(ISERROR(VLOOKUP(K$134-$F135,$E$135:$E$165,1,FALSE)),0,J3*$C$2),MAX((IF(Monthly!G$4=TRUE,Monthly!G$13,Monthly!G$14)*(1+'Attrition Modeling'!$N$8)-IFERROR(J3/J70,0)*12)/12*J70,0))</f>
        <v>0</v>
      </c>
      <c r="L135" s="799">
        <f>MIN(IF(ISERROR(VLOOKUP(L$134-$F135,$E$135:$E$165,1,FALSE)),0,K3*$C$2),MAX((IF(Monthly!H$4=TRUE,Monthly!H$13,Monthly!H$14)*(1+'Attrition Modeling'!$N$8)-IFERROR(K3/K70,0)*12)/12*K70,0))</f>
        <v>0</v>
      </c>
      <c r="M135" s="799">
        <f>MIN(IF(ISERROR(VLOOKUP(M$134-$F135,$E$135:$E$165,1,FALSE)),0,L3*$C$2),MAX((IF(Monthly!I$4=TRUE,Monthly!I$13,Monthly!I$14)*(1+'Attrition Modeling'!$N$8)-IFERROR(L3/L70,0)*12)/12*L70,0))</f>
        <v>335.72307024023621</v>
      </c>
      <c r="N135" s="799">
        <f>MIN(IF(ISERROR(VLOOKUP(N$134-$F135,$E$135:$E$165,1,FALSE)),0,M3*$C$2),MAX((IF(Monthly!J$4=TRUE,Monthly!J$13,Monthly!J$14)*(1+'Attrition Modeling'!$N$8)-IFERROR(M3/M70,0)*12)/12*M70,0))</f>
        <v>0</v>
      </c>
      <c r="O135" s="799">
        <f>MIN(IF(ISERROR(VLOOKUP(O$134-$F135,$E$135:$E$165,1,FALSE)),0,N3*$C$2),MAX((IF(Monthly!K$4=TRUE,Monthly!K$13,Monthly!K$14)*(1+'Attrition Modeling'!$N$8)-IFERROR(N3/N70,0)*12)/12*N70,0))</f>
        <v>0</v>
      </c>
      <c r="P135" s="799">
        <f>MIN(IF(ISERROR(VLOOKUP(P$134-$F135,$E$135:$E$165,1,FALSE)),0,O3*$C$2),MAX((IF(Monthly!L$4=TRUE,Monthly!L$13,Monthly!L$14)*(1+'Attrition Modeling'!$N$8)-IFERROR(O3/O70,0)*12)/12*O70,0))</f>
        <v>0</v>
      </c>
      <c r="Q135" s="799">
        <f>MIN(IF(ISERROR(VLOOKUP(Q$134-$F135,$E$135:$E$165,1,FALSE)),0,P3*$C$2),MAX((IF(Monthly!M$4=TRUE,Monthly!M$13,Monthly!M$14)*(1+'Attrition Modeling'!$N$8)-IFERROR(P3/P70,0)*12)/12*P70,0))</f>
        <v>0</v>
      </c>
      <c r="R135" s="799">
        <f>MIN(IF(ISERROR(VLOOKUP(R$134-$F135,$E$135:$E$165,1,FALSE)),0,Q3*$C$2),MAX((IF(Monthly!N$4=TRUE,Monthly!N$13,Monthly!N$14)*(1+'Attrition Modeling'!$N$8)-IFERROR(Q3/Q70,0)*12)/12*Q70,0))</f>
        <v>0</v>
      </c>
      <c r="S135" s="799">
        <f>MIN(IF(ISERROR(VLOOKUP(S$134-$F135,$E$135:$E$165,1,FALSE)),0,R3*$C$2),MAX((IF(Monthly!O$4=TRUE,Monthly!O$13,Monthly!O$14)*(1+'Attrition Modeling'!$N$8)-IFERROR(R3/R70,0)*12)/12*R70,0))</f>
        <v>0</v>
      </c>
      <c r="T135" s="799">
        <f>MIN(IF(ISERROR(VLOOKUP(T$134-$F135,$E$135:$E$165,1,FALSE)),0,S3*$C$2),MAX((IF(Monthly!P$4=TRUE,Monthly!P$13,Monthly!P$14)*(1+'Attrition Modeling'!$N$8)-IFERROR(S3/S70,0)*12)/12*S70,0))</f>
        <v>0</v>
      </c>
      <c r="U135" s="799">
        <f>MIN(IF(ISERROR(VLOOKUP(U$134-$F135,$E$135:$E$165,1,FALSE)),0,T3*$C$2),MAX((IF(Monthly!Q$4=TRUE,Monthly!Q$13,Monthly!Q$14)*(1+'Attrition Modeling'!$N$8)-IFERROR(T3/T70,0)*12)/12*T70,0))</f>
        <v>0</v>
      </c>
      <c r="V135" s="799">
        <f>MIN(IF(ISERROR(VLOOKUP(V$134-$F135,$E$135:$E$165,1,FALSE)),0,U3*$C$2),MAX((IF(Monthly!R$4=TRUE,Monthly!R$13,Monthly!R$14)*(1+'Attrition Modeling'!$N$8)-IFERROR(U3/U70,0)*12)/12*U70,0))</f>
        <v>0</v>
      </c>
      <c r="W135" s="799">
        <f>MIN(IF(ISERROR(VLOOKUP(W$134-$F135,$E$135:$E$165,1,FALSE)),0,V3*$C$2),MAX((IF(Monthly!S$4=TRUE,Monthly!S$13,Monthly!S$14)*(1+'Attrition Modeling'!$N$8)-IFERROR(V3/V70,0)*12)/12*V70,0))</f>
        <v>0</v>
      </c>
      <c r="X135" s="799">
        <f>MIN(IF(ISERROR(VLOOKUP(X$134-$F135,$E$135:$E$165,1,FALSE)),0,W3*$C$2),MAX((IF(Monthly!T$4=TRUE,Monthly!T$13,Monthly!T$14)*(1+'Attrition Modeling'!$N$8)-IFERROR(W3/W70,0)*12)/12*W70,0))</f>
        <v>0</v>
      </c>
      <c r="Y135" s="799">
        <f>MIN(IF(ISERROR(VLOOKUP(Y$134-$F135,$E$135:$E$165,1,FALSE)),0,X3*$C$2),MAX((IF(Monthly!U$4=TRUE,Monthly!U$13,Monthly!U$14)*(1+'Attrition Modeling'!$N$8)-IFERROR(X3/X70,0)*12)/12*X70,0))</f>
        <v>290.33590849634919</v>
      </c>
      <c r="Z135" s="799">
        <f>MIN(IF(ISERROR(VLOOKUP(Z$134-$F135,$E$135:$E$165,1,FALSE)),0,Y3*$C$2),MAX((IF(Monthly!V$4=TRUE,Monthly!V$13,Monthly!V$14)*(1+'Attrition Modeling'!$N$8)-IFERROR(Y3/Y70,0)*12)/12*Y70,0))</f>
        <v>0</v>
      </c>
      <c r="AA135" s="799">
        <f>MIN(IF(ISERROR(VLOOKUP(AA$134-$F135,$E$135:$E$165,1,FALSE)),0,Z3*$C$2),MAX((IF(Monthly!W$4=TRUE,Monthly!W$13,Monthly!W$14)*(1+'Attrition Modeling'!$N$8)-IFERROR(Z3/Z70,0)*12)/12*Z70,0))</f>
        <v>0</v>
      </c>
      <c r="AB135" s="799">
        <f>MIN(IF(ISERROR(VLOOKUP(AB$134-$F135,$E$135:$E$165,1,FALSE)),0,AA3*$C$2),MAX((IF(Monthly!X$4=TRUE,Monthly!X$13,Monthly!X$14)*(1+'Attrition Modeling'!$N$8)-IFERROR(AA3/AA70,0)*12)/12*AA70,0))</f>
        <v>0</v>
      </c>
      <c r="AC135" s="799">
        <f>MIN(IF(ISERROR(VLOOKUP(AC$134-$F135,$E$135:$E$165,1,FALSE)),0,AB3*$C$2),MAX((IF(Monthly!Y$4=TRUE,Monthly!Y$13,Monthly!Y$14)*(1+'Attrition Modeling'!$N$8)-IFERROR(AB3/AB70,0)*12)/12*AB70,0))</f>
        <v>0</v>
      </c>
      <c r="AD135" s="799">
        <f>MIN(IF(ISERROR(VLOOKUP(AD$134-$F135,$E$135:$E$165,1,FALSE)),0,AC3*$C$2),MAX((IF(Monthly!Z$4=TRUE,Monthly!Z$13,Monthly!Z$14)*(1+'Attrition Modeling'!$N$8)-IFERROR(AC3/AC70,0)*12)/12*AC70,0))</f>
        <v>0</v>
      </c>
      <c r="AE135" s="799">
        <f>MIN(IF(ISERROR(VLOOKUP(AE$134-$F135,$E$135:$E$165,1,FALSE)),0,AD3*$C$2),MAX((IF(Monthly!AA$4=TRUE,Monthly!AA$13,Monthly!AA$14)*(1+'Attrition Modeling'!$N$8)-IFERROR(AD3/AD70,0)*12)/12*AD70,0))</f>
        <v>0</v>
      </c>
      <c r="AF135" s="799">
        <f>MIN(IF(ISERROR(VLOOKUP(AF$134-$F135,$E$135:$E$165,1,FALSE)),0,AE3*$C$2),MAX((IF(Monthly!AB$4=TRUE,Monthly!AB$13,Monthly!AB$14)*(1+'Attrition Modeling'!$N$8)-IFERROR(AE3/AE70,0)*12)/12*AE70,0))</f>
        <v>0</v>
      </c>
      <c r="AG135" s="799">
        <f>MIN(IF(ISERROR(VLOOKUP(AG$134-$F135,$E$135:$E$165,1,FALSE)),0,AF3*$C$2),MAX((IF(Monthly!AC$4=TRUE,Monthly!AC$13,Monthly!AC$14)*(1+'Attrition Modeling'!$N$8)-IFERROR(AF3/AF70,0)*12)/12*AF70,0))</f>
        <v>0</v>
      </c>
      <c r="AH135" s="799">
        <f>MIN(IF(ISERROR(VLOOKUP(AH$134-$F135,$E$135:$E$165,1,FALSE)),0,AG3*$C$2),MAX((IF(Monthly!AD$4=TRUE,Monthly!AD$13,Monthly!AD$14)*(1+'Attrition Modeling'!$N$8)-IFERROR(AG3/AG70,0)*12)/12*AG70,0))</f>
        <v>0</v>
      </c>
      <c r="AI135" s="799">
        <f>MIN(IF(ISERROR(VLOOKUP(AI$134-$F135,$E$135:$E$165,1,FALSE)),0,AH3*$C$2),MAX((IF(Monthly!AE$4=TRUE,Monthly!AE$13,Monthly!AE$14)*(1+'Attrition Modeling'!$N$8)-IFERROR(AH3/AH70,0)*12)/12*AH70,0))</f>
        <v>0</v>
      </c>
      <c r="AJ135" s="799">
        <f>MIN(IF(ISERROR(VLOOKUP(AJ$134-$F135,$E$135:$E$165,1,FALSE)),0,AI3*$C$2),MAX((IF(Monthly!AF$4=TRUE,Monthly!AF$13,Monthly!AF$14)*(1+'Attrition Modeling'!$N$8)-IFERROR(AI3/AI70,0)*12)/12*AI70,0))</f>
        <v>0</v>
      </c>
      <c r="AK135" s="799">
        <f>MIN(IF(ISERROR(VLOOKUP(AK$134-$F135,$E$135:$E$165,1,FALSE)),0,AJ3*$C$2),MAX((IF(Monthly!AG$4=TRUE,Monthly!AG$13,Monthly!AG$14)*(1+'Attrition Modeling'!$N$8)-IFERROR(AJ3/AJ70,0)*12)/12*AJ70,0))</f>
        <v>197.53893269090096</v>
      </c>
      <c r="AL135" s="799">
        <f>MIN(IF(ISERROR(VLOOKUP(AL$134-$F135,$E$135:$E$165,1,FALSE)),0,AK3*$C$2),MAX((IF(Monthly!AH$4=TRUE,Monthly!AH$13,Monthly!AH$14)*(1+'Attrition Modeling'!$N$8)-IFERROR(AK3/AK70,0)*12)/12*AK70,0))</f>
        <v>0</v>
      </c>
      <c r="AM135" s="799">
        <f>MIN(IF(ISERROR(VLOOKUP(AM$134-$F135,$E$135:$E$165,1,FALSE)),0,AL3*$C$2),MAX((IF(Monthly!AI$4=TRUE,Monthly!AI$13,Monthly!AI$14)*(1+'Attrition Modeling'!$N$8)-IFERROR(AL3/AL70,0)*12)/12*AL70,0))</f>
        <v>0</v>
      </c>
      <c r="AN135" s="799">
        <f>MIN(IF(ISERROR(VLOOKUP(AN$134-$F135,$E$135:$E$165,1,FALSE)),0,AM3*$C$2),MAX((IF(Monthly!AJ$4=TRUE,Monthly!AJ$13,Monthly!AJ$14)*(1+'Attrition Modeling'!$N$8)-IFERROR(AM3/AM70,0)*12)/12*AM70,0))</f>
        <v>0</v>
      </c>
      <c r="AO135" s="799">
        <f>MIN(IF(ISERROR(VLOOKUP(AO$134-$F135,$E$135:$E$165,1,FALSE)),0,AN3*$C$2),MAX((IF(Monthly!AK$4=TRUE,Monthly!AK$13,Monthly!AK$14)*(1+'Attrition Modeling'!$N$8)-IFERROR(AN3/AN70,0)*12)/12*AN70,0))</f>
        <v>0</v>
      </c>
      <c r="AP135" s="799">
        <f>MIN(IF(ISERROR(VLOOKUP(AP$134-$F135,$E$135:$E$165,1,FALSE)),0,AO3*$C$2),MAX((IF(Monthly!AL$4=TRUE,Monthly!AL$13,Monthly!AL$14)*(1+'Attrition Modeling'!$N$8)-IFERROR(AO3/AO70,0)*12)/12*AO70,0))</f>
        <v>0</v>
      </c>
      <c r="AQ135" s="799">
        <f>MIN(IF(ISERROR(VLOOKUP(AQ$134-$F135,$E$135:$E$165,1,FALSE)),0,AP3*$C$2),MAX((IF(Monthly!AM$4=TRUE,Monthly!AM$13,Monthly!AM$14)*(1+'Attrition Modeling'!$N$8)-IFERROR(AP3/AP70,0)*12)/12*AP70,0))</f>
        <v>0</v>
      </c>
      <c r="AR135" s="799">
        <f>MIN(IF(ISERROR(VLOOKUP(AR$134-$F135,$E$135:$E$165,1,FALSE)),0,AQ3*$C$2),MAX((IF(Monthly!AN$4=TRUE,Monthly!AN$13,Monthly!AN$14)*(1+'Attrition Modeling'!$N$8)-IFERROR(AQ3/AQ70,0)*12)/12*AQ70,0))</f>
        <v>0</v>
      </c>
      <c r="AS135" s="799">
        <f>MIN(IF(ISERROR(VLOOKUP(AS$134-$F135,$E$135:$E$165,1,FALSE)),0,AR3*$C$2),MAX((IF(Monthly!AO$4=TRUE,Monthly!AO$13,Monthly!AO$14)*(1+'Attrition Modeling'!$N$8)-IFERROR(AR3/AR70,0)*12)/12*AR70,0))</f>
        <v>0</v>
      </c>
      <c r="AT135" s="799">
        <f>MIN(IF(ISERROR(VLOOKUP(AT$134-$F135,$E$135:$E$165,1,FALSE)),0,AS3*$C$2),MAX((IF(Monthly!AP$4=TRUE,Monthly!AP$13,Monthly!AP$14)*(1+'Attrition Modeling'!$N$8)-IFERROR(AS3/AS70,0)*12)/12*AS70,0))</f>
        <v>0</v>
      </c>
      <c r="AU135" s="799">
        <f>MIN(IF(ISERROR(VLOOKUP(AU$134-$F135,$E$135:$E$165,1,FALSE)),0,AT3*$C$2),MAX((IF(Monthly!AQ$4=TRUE,Monthly!AQ$13,Monthly!AQ$14)*(1+'Attrition Modeling'!$N$8)-IFERROR(AT3/AT70,0)*12)/12*AT70,0))</f>
        <v>0</v>
      </c>
      <c r="AV135" s="799">
        <f>MIN(IF(ISERROR(VLOOKUP(AV$134-$F135,$E$135:$E$165,1,FALSE)),0,AU3*$C$2),MAX((IF(Monthly!AR$4=TRUE,Monthly!AR$13,Monthly!AR$14)*(1+'Attrition Modeling'!$N$8)-IFERROR(AU3/AU70,0)*12)/12*AU70,0))</f>
        <v>0</v>
      </c>
      <c r="AW135" s="799">
        <f>MIN(IF(ISERROR(VLOOKUP(AW$134-$F135,$E$135:$E$165,1,FALSE)),0,AV3*$C$2),MAX((IF(Monthly!AS$4=TRUE,Monthly!AS$13,Monthly!AS$14)*(1+'Attrition Modeling'!$N$8)-IFERROR(AV3/AV70,0)*12)/12*AV70,0))</f>
        <v>147.10660111160627</v>
      </c>
      <c r="AX135" s="799">
        <f>MIN(IF(ISERROR(VLOOKUP(AX$134-$F135,$E$135:$E$165,1,FALSE)),0,AW3*$C$2),MAX((IF(Monthly!AT$4=TRUE,Monthly!AT$13,Monthly!AT$14)*(1+'Attrition Modeling'!$N$8)-IFERROR(AW3/AW70,0)*12)/12*AW70,0))</f>
        <v>0</v>
      </c>
      <c r="AY135" s="799">
        <f>MIN(IF(ISERROR(VLOOKUP(AY$134-$F135,$E$135:$E$165,1,FALSE)),0,AX3*$C$2),MAX((IF(Monthly!AU$4=TRUE,Monthly!AU$13,Monthly!AU$14)*(1+'Attrition Modeling'!$N$8)-IFERROR(AX3/AX70,0)*12)/12*AX70,0))</f>
        <v>0</v>
      </c>
      <c r="AZ135" s="799">
        <f>MIN(IF(ISERROR(VLOOKUP(AZ$134-$F135,$E$135:$E$165,1,FALSE)),0,AY3*$C$2),MAX((IF(Monthly!AV$4=TRUE,Monthly!AV$13,Monthly!AV$14)*(1+'Attrition Modeling'!$N$8)-IFERROR(AY3/AY70,0)*12)/12*AY70,0))</f>
        <v>0</v>
      </c>
      <c r="BA135" s="799">
        <f>MIN(IF(ISERROR(VLOOKUP(BA$134-$F135,$E$135:$E$165,1,FALSE)),0,AZ3*$C$2),MAX((IF(Monthly!AW$4=TRUE,Monthly!AW$13,Monthly!AW$14)*(1+'Attrition Modeling'!$N$8)-IFERROR(AZ3/AZ70,0)*12)/12*AZ70,0))</f>
        <v>0</v>
      </c>
      <c r="BB135" s="799">
        <f>MIN(IF(ISERROR(VLOOKUP(BB$134-$F135,$E$135:$E$165,1,FALSE)),0,BA3*$C$2),MAX((IF(Monthly!AX$4=TRUE,Monthly!AX$13,Monthly!AX$14)*(1+'Attrition Modeling'!$N$8)-IFERROR(BA3/BA70,0)*12)/12*BA70,0))</f>
        <v>0</v>
      </c>
      <c r="BC135" s="799">
        <f>MIN(IF(ISERROR(VLOOKUP(BC$134-$F135,$E$135:$E$165,1,FALSE)),0,BB3*$C$2),MAX((IF(Monthly!AY$4=TRUE,Monthly!AY$13,Monthly!AY$14)*(1+'Attrition Modeling'!$N$8)-IFERROR(BB3/BB70,0)*12)/12*BB70,0))</f>
        <v>0</v>
      </c>
      <c r="BD135" s="799">
        <f>MIN(IF(ISERROR(VLOOKUP(BD$134-$F135,$E$135:$E$165,1,FALSE)),0,BC3*$C$2),MAX((IF(Monthly!AZ$4=TRUE,Monthly!AZ$13,Monthly!AZ$14)*(1+'Attrition Modeling'!$N$8)-IFERROR(BC3/BC70,0)*12)/12*BC70,0))</f>
        <v>0</v>
      </c>
      <c r="BE135" s="799">
        <f>MIN(IF(ISERROR(VLOOKUP(BE$134-$F135,$E$135:$E$165,1,FALSE)),0,BD3*$C$2),MAX((IF(Monthly!BA$4=TRUE,Monthly!BA$13,Monthly!BA$14)*(1+'Attrition Modeling'!$N$8)-IFERROR(BD3/BD70,0)*12)/12*BD70,0))</f>
        <v>0</v>
      </c>
      <c r="BF135" s="799">
        <f>MIN(IF(ISERROR(VLOOKUP(BF$134-$F135,$E$135:$E$165,1,FALSE)),0,BE3*$C$2),MAX((IF(Monthly!BB$4=TRUE,Monthly!BB$13,Monthly!BB$14)*(1+'Attrition Modeling'!$N$8)-IFERROR(BE3/BE70,0)*12)/12*BE70,0))</f>
        <v>0</v>
      </c>
      <c r="BG135" s="799">
        <f>MIN(IF(ISERROR(VLOOKUP(BG$134-$F135,$E$135:$E$165,1,FALSE)),0,BF3*$C$2),MAX((IF(Monthly!BC$4=TRUE,Monthly!BC$13,Monthly!BC$14)*(1+'Attrition Modeling'!$N$8)-IFERROR(BF3/BF70,0)*12)/12*BF70,0))</f>
        <v>0</v>
      </c>
      <c r="BH135" s="799">
        <f>MIN(IF(ISERROR(VLOOKUP(BH$134-$F135,$E$135:$E$165,1,FALSE)),0,BG3*$C$2),MAX((IF(Monthly!BD$4=TRUE,Monthly!BD$13,Monthly!BD$14)*(1+'Attrition Modeling'!$N$8)-IFERROR(BG3/BG70,0)*12)/12*BG70,0))</f>
        <v>0</v>
      </c>
      <c r="BI135" s="799">
        <f>MIN(IF(ISERROR(VLOOKUP(BI$134-$F135,$E$135:$E$165,1,FALSE)),0,BH3*$C$2),MAX((IF(Monthly!BE$4=TRUE,Monthly!BE$13,Monthly!BE$14)*(1+'Attrition Modeling'!$N$8)-IFERROR(BH3/BH70,0)*12)/12*BH70,0))</f>
        <v>116.23569168413179</v>
      </c>
      <c r="BJ135" s="799">
        <f>MIN(IF(ISERROR(VLOOKUP(BJ$134-$F135,$E$135:$E$165,1,FALSE)),0,BI3*$C$2),MAX((IF(Monthly!BF$4=TRUE,Monthly!BF$13,Monthly!BF$14)*(1+'Attrition Modeling'!$N$8)-IFERROR(BI3/BI70,0)*12)/12*BI70,0))</f>
        <v>0</v>
      </c>
      <c r="BK135" s="799">
        <f>MIN(IF(ISERROR(VLOOKUP(BK$134-$F135,$E$135:$E$165,1,FALSE)),0,BJ3*$C$2),MAX((IF(Monthly!BG$4=TRUE,Monthly!BG$13,Monthly!BG$14)*(1+'Attrition Modeling'!$N$8)-IFERROR(BJ3/BJ70,0)*12)/12*BJ70,0))</f>
        <v>0</v>
      </c>
      <c r="BL135" s="799">
        <f>MIN(IF(ISERROR(VLOOKUP(BL$134-$F135,$E$135:$E$165,1,FALSE)),0,BK3*$C$2),MAX((IF(Monthly!BH$4=TRUE,Monthly!BH$13,Monthly!BH$14)*(1+'Attrition Modeling'!$N$8)-IFERROR(BK3/BK70,0)*12)/12*BK70,0))</f>
        <v>0</v>
      </c>
      <c r="BM135" s="799">
        <f>MIN(IF(ISERROR(VLOOKUP(BM$134-$F135,$E$135:$E$165,1,FALSE)),0,BL3*$C$2),MAX((IF(Monthly!BI$4=TRUE,Monthly!BI$13,Monthly!BI$14)*(1+'Attrition Modeling'!$N$8)-IFERROR(BL3/BL70,0)*12)/12*BL70,0))</f>
        <v>0</v>
      </c>
      <c r="BN135" s="799">
        <f>MIN(IF(ISERROR(VLOOKUP(BN$134-$F135,$E$135:$E$165,1,FALSE)),0,BM3*$C$2),MAX((IF(Monthly!BJ$4=TRUE,Monthly!BJ$13,Monthly!BJ$14)*(1+'Attrition Modeling'!$N$8)-IFERROR(BM3/BM70,0)*12)/12*BM70,0))</f>
        <v>0</v>
      </c>
      <c r="BO135" s="799">
        <f>MIN(IF(ISERROR(VLOOKUP(BO$134-$F135,$E$135:$E$165,1,FALSE)),0,BN3*$C$2),MAX((IF(Monthly!BK$4=TRUE,Monthly!BK$13,Monthly!BK$14)*(1+'Attrition Modeling'!$N$8)-IFERROR(BN3/BN70,0)*12)/12*BN70,0))</f>
        <v>0</v>
      </c>
      <c r="BP135" s="799">
        <f>MIN(IF(ISERROR(VLOOKUP(BP$134-$F135,$E$135:$E$165,1,FALSE)),0,BO3*$C$2),MAX((IF(Monthly!BP$4=TRUE,Monthly!BP$13,Monthly!BP$14)*(1+'Attrition Modeling'!$N$8)-IFERROR(BO3/BO70,0)*12)/12*BO70,0))</f>
        <v>0</v>
      </c>
      <c r="BQ135" s="799">
        <f>MIN(IF(ISERROR(VLOOKUP(BQ$134-$F135,$E$135:$E$165,1,FALSE)),0,BP3*$C$2),MAX((IF(Monthly!BQ$4=TRUE,Monthly!BQ$13,Monthly!BQ$14)*(1+'Attrition Modeling'!$N$8)-IFERROR(BP3/BP70,0)*12)/12*BP70,0))</f>
        <v>0</v>
      </c>
      <c r="BR135" s="799">
        <f>MIN(IF(ISERROR(VLOOKUP(BR$134-$F135,$E$135:$E$165,1,FALSE)),0,BQ3*$C$2),MAX((IF(Monthly!BR$4=TRUE,Monthly!BR$13,Monthly!BR$14)*(1+'Attrition Modeling'!$N$8)-IFERROR(BQ3/BQ70,0)*12)/12*BQ70,0))</f>
        <v>0</v>
      </c>
      <c r="BS135" s="799">
        <f>MIN(IF(ISERROR(VLOOKUP(BS$134-$F135,$E$135:$E$165,1,FALSE)),0,BR3*$C$2),MAX((IF(Monthly!BS$4=TRUE,Monthly!BS$13,Monthly!BS$14)*(1+'Attrition Modeling'!$N$8)-IFERROR(BR3/BR70,0)*12)/12*BR70,0))</f>
        <v>0</v>
      </c>
      <c r="BT135" s="799">
        <f>MIN(IF(ISERROR(VLOOKUP(BT$134-$F135,$E$135:$E$165,1,FALSE)),0,BS3*$C$2),MAX((IF(Monthly!BT$4=TRUE,Monthly!BT$13,Monthly!BT$14)*(1+'Attrition Modeling'!$N$8)-IFERROR(BS3/BS70,0)*12)/12*BS70,0))</f>
        <v>0</v>
      </c>
      <c r="BU135" s="799">
        <f>MIN(IF(ISERROR(VLOOKUP(BU$134-$F135,$E$135:$E$165,1,FALSE)),0,BT3*$C$2),MAX((IF(Monthly!BU$4=TRUE,Monthly!BU$13,Monthly!BU$14)*(1+'Attrition Modeling'!$N$8)-IFERROR(BT3/BT70,0)*12)/12*BT70,0))</f>
        <v>0</v>
      </c>
    </row>
    <row r="136" spans="1:73" ht="14.25" customHeight="1" x14ac:dyDescent="0.2">
      <c r="A136" s="9">
        <v>129</v>
      </c>
      <c r="B136" s="25">
        <f>MAX('Attrition Modeling'!H133,$C$3)*(1-Summary!$C$20)</f>
        <v>0.02</v>
      </c>
      <c r="C136" s="24" t="e">
        <f t="shared" si="4"/>
        <v>#DIV/0!</v>
      </c>
      <c r="E136" s="11">
        <f t="shared" ref="E136:E165" si="13">E135+12</f>
        <v>18</v>
      </c>
      <c r="F136" s="11">
        <f t="shared" ref="F136:F195" si="14">F135+1</f>
        <v>1</v>
      </c>
      <c r="G136" s="799"/>
      <c r="H136" s="799">
        <f>MIN(IF(ISERROR(VLOOKUP(H$134-$F136,$E$135:$E$165,1,FALSE)),0,G4*$C$2),MAX((IF(Monthly!D$4=TRUE,Monthly!D$13,Monthly!D$14)*(1+'Attrition Modeling'!$N$8)-IFERROR(G4/G71,0)*12)/12*G71,0))</f>
        <v>0</v>
      </c>
      <c r="I136" s="799">
        <f>MIN(IF(ISERROR(VLOOKUP(I$134-$F136,$E$135:$E$165,1,FALSE)),0,H4*$C$2),MAX((IF(Monthly!E$4=TRUE,Monthly!E$13,Monthly!E$14)*(1+'Attrition Modeling'!$N$8)-IFERROR(H4/H71,0)*12)/12*H71,0))</f>
        <v>0</v>
      </c>
      <c r="J136" s="799">
        <f>MIN(IF(ISERROR(VLOOKUP(J$134-$F136,$E$135:$E$165,1,FALSE)),0,I4*$C$2),MAX((IF(Monthly!F$4=TRUE,Monthly!F$13,Monthly!F$14)*(1+'Attrition Modeling'!$N$8)-IFERROR(I4/I71,0)*12)/12*I71,0))</f>
        <v>0</v>
      </c>
      <c r="K136" s="799">
        <f>MIN(IF(ISERROR(VLOOKUP(K$134-$F136,$E$135:$E$165,1,FALSE)),0,J4*$C$2),MAX((IF(Monthly!G$4=TRUE,Monthly!G$13,Monthly!G$14)*(1+'Attrition Modeling'!$N$8)-IFERROR(J4/J71,0)*12)/12*J71,0))</f>
        <v>0</v>
      </c>
      <c r="L136" s="799">
        <f>MIN(IF(ISERROR(VLOOKUP(L$134-$F136,$E$135:$E$165,1,FALSE)),0,K4*$C$2),MAX((IF(Monthly!H$4=TRUE,Monthly!H$13,Monthly!H$14)*(1+'Attrition Modeling'!$N$8)-IFERROR(K4/K71,0)*12)/12*K71,0))</f>
        <v>0</v>
      </c>
      <c r="M136" s="799">
        <f>MIN(IF(ISERROR(VLOOKUP(M$134-$F136,$E$135:$E$165,1,FALSE)),0,L4*$C$2),MAX((IF(Monthly!I$4=TRUE,Monthly!I$13,Monthly!I$14)*(1+'Attrition Modeling'!$N$8)-IFERROR(L4/L71,0)*12)/12*L71,0))</f>
        <v>0</v>
      </c>
      <c r="N136" s="799">
        <f>MIN(IF(ISERROR(VLOOKUP(N$134-$F136,$E$135:$E$165,1,FALSE)),0,M4*$C$2),MAX((IF(Monthly!J$4=TRUE,Monthly!J$13,Monthly!J$14)*(1+'Attrition Modeling'!$N$8)-IFERROR(M4/M71,0)*12)/12*M71,0))</f>
        <v>228.86099268290195</v>
      </c>
      <c r="O136" s="799">
        <f>MIN(IF(ISERROR(VLOOKUP(O$134-$F136,$E$135:$E$165,1,FALSE)),0,N4*$C$2),MAX((IF(Monthly!K$4=TRUE,Monthly!K$13,Monthly!K$14)*(1+'Attrition Modeling'!$N$8)-IFERROR(N4/N71,0)*12)/12*N71,0))</f>
        <v>0</v>
      </c>
      <c r="P136" s="799">
        <f>MIN(IF(ISERROR(VLOOKUP(P$134-$F136,$E$135:$E$165,1,FALSE)),0,O4*$C$2),MAX((IF(Monthly!L$4=TRUE,Monthly!L$13,Monthly!L$14)*(1+'Attrition Modeling'!$N$8)-IFERROR(O4/O71,0)*12)/12*O71,0))</f>
        <v>0</v>
      </c>
      <c r="Q136" s="799">
        <f>MIN(IF(ISERROR(VLOOKUP(Q$134-$F136,$E$135:$E$165,1,FALSE)),0,P4*$C$2),MAX((IF(Monthly!M$4=TRUE,Monthly!M$13,Monthly!M$14)*(1+'Attrition Modeling'!$N$8)-IFERROR(P4/P71,0)*12)/12*P71,0))</f>
        <v>0</v>
      </c>
      <c r="R136" s="799">
        <f>MIN(IF(ISERROR(VLOOKUP(R$134-$F136,$E$135:$E$165,1,FALSE)),0,Q4*$C$2),MAX((IF(Monthly!N$4=TRUE,Monthly!N$13,Monthly!N$14)*(1+'Attrition Modeling'!$N$8)-IFERROR(Q4/Q71,0)*12)/12*Q71,0))</f>
        <v>0</v>
      </c>
      <c r="S136" s="799">
        <f>MIN(IF(ISERROR(VLOOKUP(S$134-$F136,$E$135:$E$165,1,FALSE)),0,R4*$C$2),MAX((IF(Monthly!O$4=TRUE,Monthly!O$13,Monthly!O$14)*(1+'Attrition Modeling'!$N$8)-IFERROR(R4/R71,0)*12)/12*R71,0))</f>
        <v>0</v>
      </c>
      <c r="T136" s="799">
        <f>MIN(IF(ISERROR(VLOOKUP(T$134-$F136,$E$135:$E$165,1,FALSE)),0,S4*$C$2),MAX((IF(Monthly!P$4=TRUE,Monthly!P$13,Monthly!P$14)*(1+'Attrition Modeling'!$N$8)-IFERROR(S4/S71,0)*12)/12*S71,0))</f>
        <v>0</v>
      </c>
      <c r="U136" s="799">
        <f>MIN(IF(ISERROR(VLOOKUP(U$134-$F136,$E$135:$E$165,1,FALSE)),0,T4*$C$2),MAX((IF(Monthly!Q$4=TRUE,Monthly!Q$13,Monthly!Q$14)*(1+'Attrition Modeling'!$N$8)-IFERROR(T4/T71,0)*12)/12*T71,0))</f>
        <v>0</v>
      </c>
      <c r="V136" s="799">
        <f>MIN(IF(ISERROR(VLOOKUP(V$134-$F136,$E$135:$E$165,1,FALSE)),0,U4*$C$2),MAX((IF(Monthly!R$4=TRUE,Monthly!R$13,Monthly!R$14)*(1+'Attrition Modeling'!$N$8)-IFERROR(U4/U71,0)*12)/12*U71,0))</f>
        <v>0</v>
      </c>
      <c r="W136" s="799">
        <f>MIN(IF(ISERROR(VLOOKUP(W$134-$F136,$E$135:$E$165,1,FALSE)),0,V4*$C$2),MAX((IF(Monthly!S$4=TRUE,Monthly!S$13,Monthly!S$14)*(1+'Attrition Modeling'!$N$8)-IFERROR(V4/V71,0)*12)/12*V71,0))</f>
        <v>0</v>
      </c>
      <c r="X136" s="799">
        <f>MIN(IF(ISERROR(VLOOKUP(X$134-$F136,$E$135:$E$165,1,FALSE)),0,W4*$C$2),MAX((IF(Monthly!T$4=TRUE,Monthly!T$13,Monthly!T$14)*(1+'Attrition Modeling'!$N$8)-IFERROR(W4/W71,0)*12)/12*W71,0))</f>
        <v>0</v>
      </c>
      <c r="Y136" s="799">
        <f>MIN(IF(ISERROR(VLOOKUP(Y$134-$F136,$E$135:$E$165,1,FALSE)),0,X4*$C$2),MAX((IF(Monthly!U$4=TRUE,Monthly!U$13,Monthly!U$14)*(1+'Attrition Modeling'!$N$8)-IFERROR(X4/X71,0)*12)/12*X71,0))</f>
        <v>0</v>
      </c>
      <c r="Z136" s="799">
        <f>MIN(IF(ISERROR(VLOOKUP(Z$134-$F136,$E$135:$E$165,1,FALSE)),0,Y4*$C$2),MAX((IF(Monthly!V$4=TRUE,Monthly!V$13,Monthly!V$14)*(1+'Attrition Modeling'!$N$8)-IFERROR(Y4/Y71,0)*12)/12*Y71,0))</f>
        <v>124.03843663727018</v>
      </c>
      <c r="AA136" s="799">
        <f>MIN(IF(ISERROR(VLOOKUP(AA$134-$F136,$E$135:$E$165,1,FALSE)),0,Z4*$C$2),MAX((IF(Monthly!W$4=TRUE,Monthly!W$13,Monthly!W$14)*(1+'Attrition Modeling'!$N$8)-IFERROR(Z4/Z71,0)*12)/12*Z71,0))</f>
        <v>0</v>
      </c>
      <c r="AB136" s="799">
        <f>MIN(IF(ISERROR(VLOOKUP(AB$134-$F136,$E$135:$E$165,1,FALSE)),0,AA4*$C$2),MAX((IF(Monthly!X$4=TRUE,Monthly!X$13,Monthly!X$14)*(1+'Attrition Modeling'!$N$8)-IFERROR(AA4/AA71,0)*12)/12*AA71,0))</f>
        <v>0</v>
      </c>
      <c r="AC136" s="799">
        <f>MIN(IF(ISERROR(VLOOKUP(AC$134-$F136,$E$135:$E$165,1,FALSE)),0,AB4*$C$2),MAX((IF(Monthly!Y$4=TRUE,Monthly!Y$13,Monthly!Y$14)*(1+'Attrition Modeling'!$N$8)-IFERROR(AB4/AB71,0)*12)/12*AB71,0))</f>
        <v>0</v>
      </c>
      <c r="AD136" s="799">
        <f>MIN(IF(ISERROR(VLOOKUP(AD$134-$F136,$E$135:$E$165,1,FALSE)),0,AC4*$C$2),MAX((IF(Monthly!Z$4=TRUE,Monthly!Z$13,Monthly!Z$14)*(1+'Attrition Modeling'!$N$8)-IFERROR(AC4/AC71,0)*12)/12*AC71,0))</f>
        <v>0</v>
      </c>
      <c r="AE136" s="799">
        <f>MIN(IF(ISERROR(VLOOKUP(AE$134-$F136,$E$135:$E$165,1,FALSE)),0,AD4*$C$2),MAX((IF(Monthly!AA$4=TRUE,Monthly!AA$13,Monthly!AA$14)*(1+'Attrition Modeling'!$N$8)-IFERROR(AD4/AD71,0)*12)/12*AD71,0))</f>
        <v>0</v>
      </c>
      <c r="AF136" s="799">
        <f>MIN(IF(ISERROR(VLOOKUP(AF$134-$F136,$E$135:$E$165,1,FALSE)),0,AE4*$C$2),MAX((IF(Monthly!AB$4=TRUE,Monthly!AB$13,Monthly!AB$14)*(1+'Attrition Modeling'!$N$8)-IFERROR(AE4/AE71,0)*12)/12*AE71,0))</f>
        <v>0</v>
      </c>
      <c r="AG136" s="799">
        <f>MIN(IF(ISERROR(VLOOKUP(AG$134-$F136,$E$135:$E$165,1,FALSE)),0,AF4*$C$2),MAX((IF(Monthly!AC$4=TRUE,Monthly!AC$13,Monthly!AC$14)*(1+'Attrition Modeling'!$N$8)-IFERROR(AF4/AF71,0)*12)/12*AF71,0))</f>
        <v>0</v>
      </c>
      <c r="AH136" s="799">
        <f>MIN(IF(ISERROR(VLOOKUP(AH$134-$F136,$E$135:$E$165,1,FALSE)),0,AG4*$C$2),MAX((IF(Monthly!AD$4=TRUE,Monthly!AD$13,Monthly!AD$14)*(1+'Attrition Modeling'!$N$8)-IFERROR(AG4/AG71,0)*12)/12*AG71,0))</f>
        <v>0</v>
      </c>
      <c r="AI136" s="799">
        <f>MIN(IF(ISERROR(VLOOKUP(AI$134-$F136,$E$135:$E$165,1,FALSE)),0,AH4*$C$2),MAX((IF(Monthly!AE$4=TRUE,Monthly!AE$13,Monthly!AE$14)*(1+'Attrition Modeling'!$N$8)-IFERROR(AH4/AH71,0)*12)/12*AH71,0))</f>
        <v>0</v>
      </c>
      <c r="AJ136" s="799">
        <f>MIN(IF(ISERROR(VLOOKUP(AJ$134-$F136,$E$135:$E$165,1,FALSE)),0,AI4*$C$2),MAX((IF(Monthly!AF$4=TRUE,Monthly!AF$13,Monthly!AF$14)*(1+'Attrition Modeling'!$N$8)-IFERROR(AI4/AI71,0)*12)/12*AI71,0))</f>
        <v>0</v>
      </c>
      <c r="AK136" s="799">
        <f>MIN(IF(ISERROR(VLOOKUP(AK$134-$F136,$E$135:$E$165,1,FALSE)),0,AJ4*$C$2),MAX((IF(Monthly!AG$4=TRUE,Monthly!AG$13,Monthly!AG$14)*(1+'Attrition Modeling'!$N$8)-IFERROR(AJ4/AJ71,0)*12)/12*AJ71,0))</f>
        <v>0</v>
      </c>
      <c r="AL136" s="799">
        <f>MIN(IF(ISERROR(VLOOKUP(AL$134-$F136,$E$135:$E$165,1,FALSE)),0,AK4*$C$2),MAX((IF(Monthly!AH$4=TRUE,Monthly!AH$13,Monthly!AH$14)*(1+'Attrition Modeling'!$N$8)-IFERROR(AK4/AK71,0)*12)/12*AK71,0))</f>
        <v>84.47705609504429</v>
      </c>
      <c r="AM136" s="799">
        <f>MIN(IF(ISERROR(VLOOKUP(AM$134-$F136,$E$135:$E$165,1,FALSE)),0,AL4*$C$2),MAX((IF(Monthly!AI$4=TRUE,Monthly!AI$13,Monthly!AI$14)*(1+'Attrition Modeling'!$N$8)-IFERROR(AL4/AL71,0)*12)/12*AL71,0))</f>
        <v>0</v>
      </c>
      <c r="AN136" s="799">
        <f>MIN(IF(ISERROR(VLOOKUP(AN$134-$F136,$E$135:$E$165,1,FALSE)),0,AM4*$C$2),MAX((IF(Monthly!AJ$4=TRUE,Monthly!AJ$13,Monthly!AJ$14)*(1+'Attrition Modeling'!$N$8)-IFERROR(AM4/AM71,0)*12)/12*AM71,0))</f>
        <v>0</v>
      </c>
      <c r="AO136" s="799">
        <f>MIN(IF(ISERROR(VLOOKUP(AO$134-$F136,$E$135:$E$165,1,FALSE)),0,AN4*$C$2),MAX((IF(Monthly!AK$4=TRUE,Monthly!AK$13,Monthly!AK$14)*(1+'Attrition Modeling'!$N$8)-IFERROR(AN4/AN71,0)*12)/12*AN71,0))</f>
        <v>0</v>
      </c>
      <c r="AP136" s="799">
        <f>MIN(IF(ISERROR(VLOOKUP(AP$134-$F136,$E$135:$E$165,1,FALSE)),0,AO4*$C$2),MAX((IF(Monthly!AL$4=TRUE,Monthly!AL$13,Monthly!AL$14)*(1+'Attrition Modeling'!$N$8)-IFERROR(AO4/AO71,0)*12)/12*AO71,0))</f>
        <v>0</v>
      </c>
      <c r="AQ136" s="799">
        <f>MIN(IF(ISERROR(VLOOKUP(AQ$134-$F136,$E$135:$E$165,1,FALSE)),0,AP4*$C$2),MAX((IF(Monthly!AM$4=TRUE,Monthly!AM$13,Monthly!AM$14)*(1+'Attrition Modeling'!$N$8)-IFERROR(AP4/AP71,0)*12)/12*AP71,0))</f>
        <v>0</v>
      </c>
      <c r="AR136" s="799">
        <f>MIN(IF(ISERROR(VLOOKUP(AR$134-$F136,$E$135:$E$165,1,FALSE)),0,AQ4*$C$2),MAX((IF(Monthly!AN$4=TRUE,Monthly!AN$13,Monthly!AN$14)*(1+'Attrition Modeling'!$N$8)-IFERROR(AQ4/AQ71,0)*12)/12*AQ71,0))</f>
        <v>0</v>
      </c>
      <c r="AS136" s="799">
        <f>MIN(IF(ISERROR(VLOOKUP(AS$134-$F136,$E$135:$E$165,1,FALSE)),0,AR4*$C$2),MAX((IF(Monthly!AO$4=TRUE,Monthly!AO$13,Monthly!AO$14)*(1+'Attrition Modeling'!$N$8)-IFERROR(AR4/AR71,0)*12)/12*AR71,0))</f>
        <v>0</v>
      </c>
      <c r="AT136" s="799">
        <f>MIN(IF(ISERROR(VLOOKUP(AT$134-$F136,$E$135:$E$165,1,FALSE)),0,AS4*$C$2),MAX((IF(Monthly!AP$4=TRUE,Monthly!AP$13,Monthly!AP$14)*(1+'Attrition Modeling'!$N$8)-IFERROR(AS4/AS71,0)*12)/12*AS71,0))</f>
        <v>0</v>
      </c>
      <c r="AU136" s="799">
        <f>MIN(IF(ISERROR(VLOOKUP(AU$134-$F136,$E$135:$E$165,1,FALSE)),0,AT4*$C$2),MAX((IF(Monthly!AQ$4=TRUE,Monthly!AQ$13,Monthly!AQ$14)*(1+'Attrition Modeling'!$N$8)-IFERROR(AT4/AT71,0)*12)/12*AT71,0))</f>
        <v>0</v>
      </c>
      <c r="AV136" s="799">
        <f>MIN(IF(ISERROR(VLOOKUP(AV$134-$F136,$E$135:$E$165,1,FALSE)),0,AU4*$C$2),MAX((IF(Monthly!AR$4=TRUE,Monthly!AR$13,Monthly!AR$14)*(1+'Attrition Modeling'!$N$8)-IFERROR(AU4/AU71,0)*12)/12*AU71,0))</f>
        <v>0</v>
      </c>
      <c r="AW136" s="799">
        <f>MIN(IF(ISERROR(VLOOKUP(AW$134-$F136,$E$135:$E$165,1,FALSE)),0,AV4*$C$2),MAX((IF(Monthly!AS$4=TRUE,Monthly!AS$13,Monthly!AS$14)*(1+'Attrition Modeling'!$N$8)-IFERROR(AV4/AV71,0)*12)/12*AV71,0))</f>
        <v>0</v>
      </c>
      <c r="AX136" s="799">
        <f>MIN(IF(ISERROR(VLOOKUP(AX$134-$F136,$E$135:$E$165,1,FALSE)),0,AW4*$C$2),MAX((IF(Monthly!AT$4=TRUE,Monthly!AT$13,Monthly!AT$14)*(1+'Attrition Modeling'!$N$8)-IFERROR(AW4/AW71,0)*12)/12*AW71,0))</f>
        <v>62.869255719110761</v>
      </c>
      <c r="AY136" s="799">
        <f>MIN(IF(ISERROR(VLOOKUP(AY$134-$F136,$E$135:$E$165,1,FALSE)),0,AX4*$C$2),MAX((IF(Monthly!AU$4=TRUE,Monthly!AU$13,Monthly!AU$14)*(1+'Attrition Modeling'!$N$8)-IFERROR(AX4/AX71,0)*12)/12*AX71,0))</f>
        <v>0</v>
      </c>
      <c r="AZ136" s="799">
        <f>MIN(IF(ISERROR(VLOOKUP(AZ$134-$F136,$E$135:$E$165,1,FALSE)),0,AY4*$C$2),MAX((IF(Monthly!AV$4=TRUE,Monthly!AV$13,Monthly!AV$14)*(1+'Attrition Modeling'!$N$8)-IFERROR(AY4/AY71,0)*12)/12*AY71,0))</f>
        <v>0</v>
      </c>
      <c r="BA136" s="799">
        <f>MIN(IF(ISERROR(VLOOKUP(BA$134-$F136,$E$135:$E$165,1,FALSE)),0,AZ4*$C$2),MAX((IF(Monthly!AW$4=TRUE,Monthly!AW$13,Monthly!AW$14)*(1+'Attrition Modeling'!$N$8)-IFERROR(AZ4/AZ71,0)*12)/12*AZ71,0))</f>
        <v>0</v>
      </c>
      <c r="BB136" s="799">
        <f>MIN(IF(ISERROR(VLOOKUP(BB$134-$F136,$E$135:$E$165,1,FALSE)),0,BA4*$C$2),MAX((IF(Monthly!AX$4=TRUE,Monthly!AX$13,Monthly!AX$14)*(1+'Attrition Modeling'!$N$8)-IFERROR(BA4/BA71,0)*12)/12*BA71,0))</f>
        <v>0</v>
      </c>
      <c r="BC136" s="799">
        <f>MIN(IF(ISERROR(VLOOKUP(BC$134-$F136,$E$135:$E$165,1,FALSE)),0,BB4*$C$2),MAX((IF(Monthly!AY$4=TRUE,Monthly!AY$13,Monthly!AY$14)*(1+'Attrition Modeling'!$N$8)-IFERROR(BB4/BB71,0)*12)/12*BB71,0))</f>
        <v>0</v>
      </c>
      <c r="BD136" s="799">
        <f>MIN(IF(ISERROR(VLOOKUP(BD$134-$F136,$E$135:$E$165,1,FALSE)),0,BC4*$C$2),MAX((IF(Monthly!AZ$4=TRUE,Monthly!AZ$13,Monthly!AZ$14)*(1+'Attrition Modeling'!$N$8)-IFERROR(BC4/BC71,0)*12)/12*BC71,0))</f>
        <v>0</v>
      </c>
      <c r="BE136" s="799">
        <f>MIN(IF(ISERROR(VLOOKUP(BE$134-$F136,$E$135:$E$165,1,FALSE)),0,BD4*$C$2),MAX((IF(Monthly!BA$4=TRUE,Monthly!BA$13,Monthly!BA$14)*(1+'Attrition Modeling'!$N$8)-IFERROR(BD4/BD71,0)*12)/12*BD71,0))</f>
        <v>0</v>
      </c>
      <c r="BF136" s="799">
        <f>MIN(IF(ISERROR(VLOOKUP(BF$134-$F136,$E$135:$E$165,1,FALSE)),0,BE4*$C$2),MAX((IF(Monthly!BB$4=TRUE,Monthly!BB$13,Monthly!BB$14)*(1+'Attrition Modeling'!$N$8)-IFERROR(BE4/BE71,0)*12)/12*BE71,0))</f>
        <v>0</v>
      </c>
      <c r="BG136" s="799">
        <f>MIN(IF(ISERROR(VLOOKUP(BG$134-$F136,$E$135:$E$165,1,FALSE)),0,BF4*$C$2),MAX((IF(Monthly!BC$4=TRUE,Monthly!BC$13,Monthly!BC$14)*(1+'Attrition Modeling'!$N$8)-IFERROR(BF4/BF71,0)*12)/12*BF71,0))</f>
        <v>0</v>
      </c>
      <c r="BH136" s="799">
        <f>MIN(IF(ISERROR(VLOOKUP(BH$134-$F136,$E$135:$E$165,1,FALSE)),0,BG4*$C$2),MAX((IF(Monthly!BD$4=TRUE,Monthly!BD$13,Monthly!BD$14)*(1+'Attrition Modeling'!$N$8)-IFERROR(BG4/BG71,0)*12)/12*BG71,0))</f>
        <v>0</v>
      </c>
      <c r="BI136" s="799">
        <f>MIN(IF(ISERROR(VLOOKUP(BI$134-$F136,$E$135:$E$165,1,FALSE)),0,BH4*$C$2),MAX((IF(Monthly!BE$4=TRUE,Monthly!BE$13,Monthly!BE$14)*(1+'Attrition Modeling'!$N$8)-IFERROR(BH4/BH71,0)*12)/12*BH71,0))</f>
        <v>0</v>
      </c>
      <c r="BJ136" s="799">
        <f>MIN(IF(ISERROR(VLOOKUP(BJ$134-$F136,$E$135:$E$165,1,FALSE)),0,BI4*$C$2),MAX((IF(Monthly!BF$4=TRUE,Monthly!BF$13,Monthly!BF$14)*(1+'Attrition Modeling'!$N$8)-IFERROR(BI4/BI71,0)*12)/12*BI71,0))</f>
        <v>49.649959631720442</v>
      </c>
      <c r="BK136" s="799">
        <f>MIN(IF(ISERROR(VLOOKUP(BK$134-$F136,$E$135:$E$165,1,FALSE)),0,BJ4*$C$2),MAX((IF(Monthly!BG$4=TRUE,Monthly!BG$13,Monthly!BG$14)*(1+'Attrition Modeling'!$N$8)-IFERROR(BJ4/BJ71,0)*12)/12*BJ71,0))</f>
        <v>0</v>
      </c>
      <c r="BL136" s="799">
        <f>MIN(IF(ISERROR(VLOOKUP(BL$134-$F136,$E$135:$E$165,1,FALSE)),0,BK4*$C$2),MAX((IF(Monthly!BH$4=TRUE,Monthly!BH$13,Monthly!BH$14)*(1+'Attrition Modeling'!$N$8)-IFERROR(BK4/BK71,0)*12)/12*BK71,0))</f>
        <v>0</v>
      </c>
      <c r="BM136" s="799">
        <f>MIN(IF(ISERROR(VLOOKUP(BM$134-$F136,$E$135:$E$165,1,FALSE)),0,BL4*$C$2),MAX((IF(Monthly!BI$4=TRUE,Monthly!BI$13,Monthly!BI$14)*(1+'Attrition Modeling'!$N$8)-IFERROR(BL4/BL71,0)*12)/12*BL71,0))</f>
        <v>0</v>
      </c>
      <c r="BN136" s="799">
        <f>MIN(IF(ISERROR(VLOOKUP(BN$134-$F136,$E$135:$E$165,1,FALSE)),0,BM4*$C$2),MAX((IF(Monthly!BJ$4=TRUE,Monthly!BJ$13,Monthly!BJ$14)*(1+'Attrition Modeling'!$N$8)-IFERROR(BM4/BM71,0)*12)/12*BM71,0))</f>
        <v>0</v>
      </c>
      <c r="BO136" s="799">
        <f>MIN(IF(ISERROR(VLOOKUP(BO$134-$F136,$E$135:$E$165,1,FALSE)),0,BN4*$C$2),MAX((IF(Monthly!BK$4=TRUE,Monthly!BK$13,Monthly!BK$14)*(1+'Attrition Modeling'!$N$8)-IFERROR(BN4/BN71,0)*12)/12*BN71,0))</f>
        <v>0</v>
      </c>
      <c r="BP136" s="799">
        <f>MIN(IF(ISERROR(VLOOKUP(BP$134-$F136,$E$135:$E$165,1,FALSE)),0,BO4*$C$2),MAX((IF(Monthly!BP$4=TRUE,Monthly!BP$13,Monthly!BP$14)*(1+'Attrition Modeling'!$N$8)-IFERROR(BO4/BO71,0)*12)/12*BO71,0))</f>
        <v>0</v>
      </c>
      <c r="BQ136" s="799">
        <f>MIN(IF(ISERROR(VLOOKUP(BQ$134-$F136,$E$135:$E$165,1,FALSE)),0,BP4*$C$2),MAX((IF(Monthly!BQ$4=TRUE,Monthly!BQ$13,Monthly!BQ$14)*(1+'Attrition Modeling'!$N$8)-IFERROR(BP4/BP71,0)*12)/12*BP71,0))</f>
        <v>0</v>
      </c>
      <c r="BR136" s="799">
        <f>MIN(IF(ISERROR(VLOOKUP(BR$134-$F136,$E$135:$E$165,1,FALSE)),0,BQ4*$C$2),MAX((IF(Monthly!BR$4=TRUE,Monthly!BR$13,Monthly!BR$14)*(1+'Attrition Modeling'!$N$8)-IFERROR(BQ4/BQ71,0)*12)/12*BQ71,0))</f>
        <v>0</v>
      </c>
      <c r="BS136" s="799">
        <f>MIN(IF(ISERROR(VLOOKUP(BS$134-$F136,$E$135:$E$165,1,FALSE)),0,BR4*$C$2),MAX((IF(Monthly!BS$4=TRUE,Monthly!BS$13,Monthly!BS$14)*(1+'Attrition Modeling'!$N$8)-IFERROR(BR4/BR71,0)*12)/12*BR71,0))</f>
        <v>0</v>
      </c>
      <c r="BT136" s="799">
        <f>MIN(IF(ISERROR(VLOOKUP(BT$134-$F136,$E$135:$E$165,1,FALSE)),0,BS4*$C$2),MAX((IF(Monthly!BT$4=TRUE,Monthly!BT$13,Monthly!BT$14)*(1+'Attrition Modeling'!$N$8)-IFERROR(BS4/BS71,0)*12)/12*BS71,0))</f>
        <v>0</v>
      </c>
      <c r="BU136" s="799">
        <f>MIN(IF(ISERROR(VLOOKUP(BU$134-$F136,$E$135:$E$165,1,FALSE)),0,BT4*$C$2),MAX((IF(Monthly!BU$4=TRUE,Monthly!BU$13,Monthly!BU$14)*(1+'Attrition Modeling'!$N$8)-IFERROR(BT4/BT71,0)*12)/12*BT71,0))</f>
        <v>0</v>
      </c>
    </row>
    <row r="137" spans="1:73" ht="14.25" customHeight="1" x14ac:dyDescent="0.2">
      <c r="A137" s="9">
        <v>130</v>
      </c>
      <c r="B137" s="25">
        <f>MAX('Attrition Modeling'!H134,$C$3)*(1-Summary!$C$20)</f>
        <v>0.02</v>
      </c>
      <c r="C137" s="24" t="e">
        <f t="shared" si="4"/>
        <v>#DIV/0!</v>
      </c>
      <c r="E137" s="11">
        <f t="shared" si="13"/>
        <v>30</v>
      </c>
      <c r="F137" s="11">
        <f t="shared" si="14"/>
        <v>2</v>
      </c>
      <c r="G137" s="799"/>
      <c r="H137" s="799">
        <f>MIN(IF(ISERROR(VLOOKUP(H$134-$F137,$E$135:$E$165,1,FALSE)),0,G5*$C$2),MAX((IF(Monthly!D$4=TRUE,Monthly!D$13,Monthly!D$14)*(1+'Attrition Modeling'!$N$8)-IFERROR(G5/G72,0)*12)/12*G72,0))</f>
        <v>0</v>
      </c>
      <c r="I137" s="799">
        <f>MIN(IF(ISERROR(VLOOKUP(I$134-$F137,$E$135:$E$165,1,FALSE)),0,H5*$C$2),MAX((IF(Monthly!E$4=TRUE,Monthly!E$13,Monthly!E$14)*(1+'Attrition Modeling'!$N$8)-IFERROR(H5/H72,0)*12)/12*H72,0))</f>
        <v>0</v>
      </c>
      <c r="J137" s="799">
        <f>MIN(IF(ISERROR(VLOOKUP(J$134-$F137,$E$135:$E$165,1,FALSE)),0,I5*$C$2),MAX((IF(Monthly!F$4=TRUE,Monthly!F$13,Monthly!F$14)*(1+'Attrition Modeling'!$N$8)-IFERROR(I5/I72,0)*12)/12*I72,0))</f>
        <v>0</v>
      </c>
      <c r="K137" s="799">
        <f>MIN(IF(ISERROR(VLOOKUP(K$134-$F137,$E$135:$E$165,1,FALSE)),0,J5*$C$2),MAX((IF(Monthly!G$4=TRUE,Monthly!G$13,Monthly!G$14)*(1+'Attrition Modeling'!$N$8)-IFERROR(J5/J72,0)*12)/12*J72,0))</f>
        <v>0</v>
      </c>
      <c r="L137" s="799">
        <f>MIN(IF(ISERROR(VLOOKUP(L$134-$F137,$E$135:$E$165,1,FALSE)),0,K5*$C$2),MAX((IF(Monthly!H$4=TRUE,Monthly!H$13,Monthly!H$14)*(1+'Attrition Modeling'!$N$8)-IFERROR(K5/K72,0)*12)/12*K72,0))</f>
        <v>0</v>
      </c>
      <c r="M137" s="799">
        <f>MIN(IF(ISERROR(VLOOKUP(M$134-$F137,$E$135:$E$165,1,FALSE)),0,L5*$C$2),MAX((IF(Monthly!I$4=TRUE,Monthly!I$13,Monthly!I$14)*(1+'Attrition Modeling'!$N$8)-IFERROR(L5/L72,0)*12)/12*L72,0))</f>
        <v>0</v>
      </c>
      <c r="N137" s="799">
        <f>MIN(IF(ISERROR(VLOOKUP(N$134-$F137,$E$135:$E$165,1,FALSE)),0,M5*$C$2),MAX((IF(Monthly!J$4=TRUE,Monthly!J$13,Monthly!J$14)*(1+'Attrition Modeling'!$N$8)-IFERROR(M5/M72,0)*12)/12*M72,0))</f>
        <v>0</v>
      </c>
      <c r="O137" s="799">
        <f>MIN(IF(ISERROR(VLOOKUP(O$134-$F137,$E$135:$E$165,1,FALSE)),0,N5*$C$2),MAX((IF(Monthly!K$4=TRUE,Monthly!K$13,Monthly!K$14)*(1+'Attrition Modeling'!$N$8)-IFERROR(N5/N72,0)*12)/12*N72,0))</f>
        <v>343.17671349669251</v>
      </c>
      <c r="P137" s="799">
        <f>MIN(IF(ISERROR(VLOOKUP(P$134-$F137,$E$135:$E$165,1,FALSE)),0,O5*$C$2),MAX((IF(Monthly!L$4=TRUE,Monthly!L$13,Monthly!L$14)*(1+'Attrition Modeling'!$N$8)-IFERROR(O5/O72,0)*12)/12*O72,0))</f>
        <v>0</v>
      </c>
      <c r="Q137" s="799">
        <f>MIN(IF(ISERROR(VLOOKUP(Q$134-$F137,$E$135:$E$165,1,FALSE)),0,P5*$C$2),MAX((IF(Monthly!M$4=TRUE,Monthly!M$13,Monthly!M$14)*(1+'Attrition Modeling'!$N$8)-IFERROR(P5/P72,0)*12)/12*P72,0))</f>
        <v>0</v>
      </c>
      <c r="R137" s="799">
        <f>MIN(IF(ISERROR(VLOOKUP(R$134-$F137,$E$135:$E$165,1,FALSE)),0,Q5*$C$2),MAX((IF(Monthly!N$4=TRUE,Monthly!N$13,Monthly!N$14)*(1+'Attrition Modeling'!$N$8)-IFERROR(Q5/Q72,0)*12)/12*Q72,0))</f>
        <v>0</v>
      </c>
      <c r="S137" s="799">
        <f>MIN(IF(ISERROR(VLOOKUP(S$134-$F137,$E$135:$E$165,1,FALSE)),0,R5*$C$2),MAX((IF(Monthly!O$4=TRUE,Monthly!O$13,Monthly!O$14)*(1+'Attrition Modeling'!$N$8)-IFERROR(R5/R72,0)*12)/12*R72,0))</f>
        <v>0</v>
      </c>
      <c r="T137" s="799">
        <f>MIN(IF(ISERROR(VLOOKUP(T$134-$F137,$E$135:$E$165,1,FALSE)),0,S5*$C$2),MAX((IF(Monthly!P$4=TRUE,Monthly!P$13,Monthly!P$14)*(1+'Attrition Modeling'!$N$8)-IFERROR(S5/S72,0)*12)/12*S72,0))</f>
        <v>0</v>
      </c>
      <c r="U137" s="799">
        <f>MIN(IF(ISERROR(VLOOKUP(U$134-$F137,$E$135:$E$165,1,FALSE)),0,T5*$C$2),MAX((IF(Monthly!Q$4=TRUE,Monthly!Q$13,Monthly!Q$14)*(1+'Attrition Modeling'!$N$8)-IFERROR(T5/T72,0)*12)/12*T72,0))</f>
        <v>0</v>
      </c>
      <c r="V137" s="799">
        <f>MIN(IF(ISERROR(VLOOKUP(V$134-$F137,$E$135:$E$165,1,FALSE)),0,U5*$C$2),MAX((IF(Monthly!R$4=TRUE,Monthly!R$13,Monthly!R$14)*(1+'Attrition Modeling'!$N$8)-IFERROR(U5/U72,0)*12)/12*U72,0))</f>
        <v>0</v>
      </c>
      <c r="W137" s="799">
        <f>MIN(IF(ISERROR(VLOOKUP(W$134-$F137,$E$135:$E$165,1,FALSE)),0,V5*$C$2),MAX((IF(Monthly!S$4=TRUE,Monthly!S$13,Monthly!S$14)*(1+'Attrition Modeling'!$N$8)-IFERROR(V5/V72,0)*12)/12*V72,0))</f>
        <v>0</v>
      </c>
      <c r="X137" s="799">
        <f>MIN(IF(ISERROR(VLOOKUP(X$134-$F137,$E$135:$E$165,1,FALSE)),0,W5*$C$2),MAX((IF(Monthly!T$4=TRUE,Monthly!T$13,Monthly!T$14)*(1+'Attrition Modeling'!$N$8)-IFERROR(W5/W72,0)*12)/12*W72,0))</f>
        <v>0</v>
      </c>
      <c r="Y137" s="799">
        <f>MIN(IF(ISERROR(VLOOKUP(Y$134-$F137,$E$135:$E$165,1,FALSE)),0,X5*$C$2),MAX((IF(Monthly!U$4=TRUE,Monthly!U$13,Monthly!U$14)*(1+'Attrition Modeling'!$N$8)-IFERROR(X5/X72,0)*12)/12*X72,0))</f>
        <v>0</v>
      </c>
      <c r="Z137" s="799">
        <f>MIN(IF(ISERROR(VLOOKUP(Z$134-$F137,$E$135:$E$165,1,FALSE)),0,Y5*$C$2),MAX((IF(Monthly!V$4=TRUE,Monthly!V$13,Monthly!V$14)*(1+'Attrition Modeling'!$N$8)-IFERROR(Y5/Y72,0)*12)/12*Y72,0))</f>
        <v>0</v>
      </c>
      <c r="AA137" s="799">
        <f>MIN(IF(ISERROR(VLOOKUP(AA$134-$F137,$E$135:$E$165,1,FALSE)),0,Z5*$C$2),MAX((IF(Monthly!W$4=TRUE,Monthly!W$13,Monthly!W$14)*(1+'Attrition Modeling'!$N$8)-IFERROR(Z5/Z72,0)*12)/12*Z72,0))</f>
        <v>182.82179232646263</v>
      </c>
      <c r="AB137" s="799">
        <f>MIN(IF(ISERROR(VLOOKUP(AB$134-$F137,$E$135:$E$165,1,FALSE)),0,AA5*$C$2),MAX((IF(Monthly!X$4=TRUE,Monthly!X$13,Monthly!X$14)*(1+'Attrition Modeling'!$N$8)-IFERROR(AA5/AA72,0)*12)/12*AA72,0))</f>
        <v>0</v>
      </c>
      <c r="AC137" s="799">
        <f>MIN(IF(ISERROR(VLOOKUP(AC$134-$F137,$E$135:$E$165,1,FALSE)),0,AB5*$C$2),MAX((IF(Monthly!Y$4=TRUE,Monthly!Y$13,Monthly!Y$14)*(1+'Attrition Modeling'!$N$8)-IFERROR(AB5/AB72,0)*12)/12*AB72,0))</f>
        <v>0</v>
      </c>
      <c r="AD137" s="799">
        <f>MIN(IF(ISERROR(VLOOKUP(AD$134-$F137,$E$135:$E$165,1,FALSE)),0,AC5*$C$2),MAX((IF(Monthly!Z$4=TRUE,Monthly!Z$13,Monthly!Z$14)*(1+'Attrition Modeling'!$N$8)-IFERROR(AC5/AC72,0)*12)/12*AC72,0))</f>
        <v>0</v>
      </c>
      <c r="AE137" s="799">
        <f>MIN(IF(ISERROR(VLOOKUP(AE$134-$F137,$E$135:$E$165,1,FALSE)),0,AD5*$C$2),MAX((IF(Monthly!AA$4=TRUE,Monthly!AA$13,Monthly!AA$14)*(1+'Attrition Modeling'!$N$8)-IFERROR(AD5/AD72,0)*12)/12*AD72,0))</f>
        <v>0</v>
      </c>
      <c r="AF137" s="799">
        <f>MIN(IF(ISERROR(VLOOKUP(AF$134-$F137,$E$135:$E$165,1,FALSE)),0,AE5*$C$2),MAX((IF(Monthly!AB$4=TRUE,Monthly!AB$13,Monthly!AB$14)*(1+'Attrition Modeling'!$N$8)-IFERROR(AE5/AE72,0)*12)/12*AE72,0))</f>
        <v>0</v>
      </c>
      <c r="AG137" s="799">
        <f>MIN(IF(ISERROR(VLOOKUP(AG$134-$F137,$E$135:$E$165,1,FALSE)),0,AF5*$C$2),MAX((IF(Monthly!AC$4=TRUE,Monthly!AC$13,Monthly!AC$14)*(1+'Attrition Modeling'!$N$8)-IFERROR(AF5/AF72,0)*12)/12*AF72,0))</f>
        <v>0</v>
      </c>
      <c r="AH137" s="799">
        <f>MIN(IF(ISERROR(VLOOKUP(AH$134-$F137,$E$135:$E$165,1,FALSE)),0,AG5*$C$2),MAX((IF(Monthly!AD$4=TRUE,Monthly!AD$13,Monthly!AD$14)*(1+'Attrition Modeling'!$N$8)-IFERROR(AG5/AG72,0)*12)/12*AG72,0))</f>
        <v>0</v>
      </c>
      <c r="AI137" s="799">
        <f>MIN(IF(ISERROR(VLOOKUP(AI$134-$F137,$E$135:$E$165,1,FALSE)),0,AH5*$C$2),MAX((IF(Monthly!AE$4=TRUE,Monthly!AE$13,Monthly!AE$14)*(1+'Attrition Modeling'!$N$8)-IFERROR(AH5/AH72,0)*12)/12*AH72,0))</f>
        <v>0</v>
      </c>
      <c r="AJ137" s="799">
        <f>MIN(IF(ISERROR(VLOOKUP(AJ$134-$F137,$E$135:$E$165,1,FALSE)),0,AI5*$C$2),MAX((IF(Monthly!AF$4=TRUE,Monthly!AF$13,Monthly!AF$14)*(1+'Attrition Modeling'!$N$8)-IFERROR(AI5/AI72,0)*12)/12*AI72,0))</f>
        <v>0</v>
      </c>
      <c r="AK137" s="799">
        <f>MIN(IF(ISERROR(VLOOKUP(AK$134-$F137,$E$135:$E$165,1,FALSE)),0,AJ5*$C$2),MAX((IF(Monthly!AG$4=TRUE,Monthly!AG$13,Monthly!AG$14)*(1+'Attrition Modeling'!$N$8)-IFERROR(AJ5/AJ72,0)*12)/12*AJ72,0))</f>
        <v>0</v>
      </c>
      <c r="AL137" s="799">
        <f>MIN(IF(ISERROR(VLOOKUP(AL$134-$F137,$E$135:$E$165,1,FALSE)),0,AK5*$C$2),MAX((IF(Monthly!AH$4=TRUE,Monthly!AH$13,Monthly!AH$14)*(1+'Attrition Modeling'!$N$8)-IFERROR(AK5/AK72,0)*12)/12*AK72,0))</f>
        <v>0</v>
      </c>
      <c r="AM137" s="799">
        <f>MIN(IF(ISERROR(VLOOKUP(AM$134-$F137,$E$135:$E$165,1,FALSE)),0,AL5*$C$2),MAX((IF(Monthly!AI$4=TRUE,Monthly!AI$13,Monthly!AI$14)*(1+'Attrition Modeling'!$N$8)-IFERROR(AL5/AL72,0)*12)/12*AL72,0))</f>
        <v>124.69632335240024</v>
      </c>
      <c r="AN137" s="799">
        <f>MIN(IF(ISERROR(VLOOKUP(AN$134-$F137,$E$135:$E$165,1,FALSE)),0,AM5*$C$2),MAX((IF(Monthly!AJ$4=TRUE,Monthly!AJ$13,Monthly!AJ$14)*(1+'Attrition Modeling'!$N$8)-IFERROR(AM5/AM72,0)*12)/12*AM72,0))</f>
        <v>0</v>
      </c>
      <c r="AO137" s="799">
        <f>MIN(IF(ISERROR(VLOOKUP(AO$134-$F137,$E$135:$E$165,1,FALSE)),0,AN5*$C$2),MAX((IF(Monthly!AK$4=TRUE,Monthly!AK$13,Monthly!AK$14)*(1+'Attrition Modeling'!$N$8)-IFERROR(AN5/AN72,0)*12)/12*AN72,0))</f>
        <v>0</v>
      </c>
      <c r="AP137" s="799">
        <f>MIN(IF(ISERROR(VLOOKUP(AP$134-$F137,$E$135:$E$165,1,FALSE)),0,AO5*$C$2),MAX((IF(Monthly!AL$4=TRUE,Monthly!AL$13,Monthly!AL$14)*(1+'Attrition Modeling'!$N$8)-IFERROR(AO5/AO72,0)*12)/12*AO72,0))</f>
        <v>0</v>
      </c>
      <c r="AQ137" s="799">
        <f>MIN(IF(ISERROR(VLOOKUP(AQ$134-$F137,$E$135:$E$165,1,FALSE)),0,AP5*$C$2),MAX((IF(Monthly!AM$4=TRUE,Monthly!AM$13,Monthly!AM$14)*(1+'Attrition Modeling'!$N$8)-IFERROR(AP5/AP72,0)*12)/12*AP72,0))</f>
        <v>0</v>
      </c>
      <c r="AR137" s="799">
        <f>MIN(IF(ISERROR(VLOOKUP(AR$134-$F137,$E$135:$E$165,1,FALSE)),0,AQ5*$C$2),MAX((IF(Monthly!AN$4=TRUE,Monthly!AN$13,Monthly!AN$14)*(1+'Attrition Modeling'!$N$8)-IFERROR(AQ5/AQ72,0)*12)/12*AQ72,0))</f>
        <v>0</v>
      </c>
      <c r="AS137" s="799">
        <f>MIN(IF(ISERROR(VLOOKUP(AS$134-$F137,$E$135:$E$165,1,FALSE)),0,AR5*$C$2),MAX((IF(Monthly!AO$4=TRUE,Monthly!AO$13,Monthly!AO$14)*(1+'Attrition Modeling'!$N$8)-IFERROR(AR5/AR72,0)*12)/12*AR72,0))</f>
        <v>0</v>
      </c>
      <c r="AT137" s="799">
        <f>MIN(IF(ISERROR(VLOOKUP(AT$134-$F137,$E$135:$E$165,1,FALSE)),0,AS5*$C$2),MAX((IF(Monthly!AP$4=TRUE,Monthly!AP$13,Monthly!AP$14)*(1+'Attrition Modeling'!$N$8)-IFERROR(AS5/AS72,0)*12)/12*AS72,0))</f>
        <v>0</v>
      </c>
      <c r="AU137" s="799">
        <f>MIN(IF(ISERROR(VLOOKUP(AU$134-$F137,$E$135:$E$165,1,FALSE)),0,AT5*$C$2),MAX((IF(Monthly!AQ$4=TRUE,Monthly!AQ$13,Monthly!AQ$14)*(1+'Attrition Modeling'!$N$8)-IFERROR(AT5/AT72,0)*12)/12*AT72,0))</f>
        <v>0</v>
      </c>
      <c r="AV137" s="799">
        <f>MIN(IF(ISERROR(VLOOKUP(AV$134-$F137,$E$135:$E$165,1,FALSE)),0,AU5*$C$2),MAX((IF(Monthly!AR$4=TRUE,Monthly!AR$13,Monthly!AR$14)*(1+'Attrition Modeling'!$N$8)-IFERROR(AU5/AU72,0)*12)/12*AU72,0))</f>
        <v>0</v>
      </c>
      <c r="AW137" s="799">
        <f>MIN(IF(ISERROR(VLOOKUP(AW$134-$F137,$E$135:$E$165,1,FALSE)),0,AV5*$C$2),MAX((IF(Monthly!AS$4=TRUE,Monthly!AS$13,Monthly!AS$14)*(1+'Attrition Modeling'!$N$8)-IFERROR(AV5/AV72,0)*12)/12*AV72,0))</f>
        <v>0</v>
      </c>
      <c r="AX137" s="799">
        <f>MIN(IF(ISERROR(VLOOKUP(AX$134-$F137,$E$135:$E$165,1,FALSE)),0,AW5*$C$2),MAX((IF(Monthly!AT$4=TRUE,Monthly!AT$13,Monthly!AT$14)*(1+'Attrition Modeling'!$N$8)-IFERROR(AW5/AW72,0)*12)/12*AW72,0))</f>
        <v>0</v>
      </c>
      <c r="AY137" s="799">
        <f>MIN(IF(ISERROR(VLOOKUP(AY$134-$F137,$E$135:$E$165,1,FALSE)),0,AX5*$C$2),MAX((IF(Monthly!AU$4=TRUE,Monthly!AU$13,Monthly!AU$14)*(1+'Attrition Modeling'!$N$8)-IFERROR(AX5/AX72,0)*12)/12*AX72,0))</f>
        <v>92.7979566455449</v>
      </c>
      <c r="AZ137" s="799">
        <f>MIN(IF(ISERROR(VLOOKUP(AZ$134-$F137,$E$135:$E$165,1,FALSE)),0,AY5*$C$2),MAX((IF(Monthly!AV$4=TRUE,Monthly!AV$13,Monthly!AV$14)*(1+'Attrition Modeling'!$N$8)-IFERROR(AY5/AY72,0)*12)/12*AY72,0))</f>
        <v>0</v>
      </c>
      <c r="BA137" s="799">
        <f>MIN(IF(ISERROR(VLOOKUP(BA$134-$F137,$E$135:$E$165,1,FALSE)),0,AZ5*$C$2),MAX((IF(Monthly!AW$4=TRUE,Monthly!AW$13,Monthly!AW$14)*(1+'Attrition Modeling'!$N$8)-IFERROR(AZ5/AZ72,0)*12)/12*AZ72,0))</f>
        <v>0</v>
      </c>
      <c r="BB137" s="799">
        <f>MIN(IF(ISERROR(VLOOKUP(BB$134-$F137,$E$135:$E$165,1,FALSE)),0,BA5*$C$2),MAX((IF(Monthly!AX$4=TRUE,Monthly!AX$13,Monthly!AX$14)*(1+'Attrition Modeling'!$N$8)-IFERROR(BA5/BA72,0)*12)/12*BA72,0))</f>
        <v>0</v>
      </c>
      <c r="BC137" s="799">
        <f>MIN(IF(ISERROR(VLOOKUP(BC$134-$F137,$E$135:$E$165,1,FALSE)),0,BB5*$C$2),MAX((IF(Monthly!AY$4=TRUE,Monthly!AY$13,Monthly!AY$14)*(1+'Attrition Modeling'!$N$8)-IFERROR(BB5/BB72,0)*12)/12*BB72,0))</f>
        <v>0</v>
      </c>
      <c r="BD137" s="799">
        <f>MIN(IF(ISERROR(VLOOKUP(BD$134-$F137,$E$135:$E$165,1,FALSE)),0,BC5*$C$2),MAX((IF(Monthly!AZ$4=TRUE,Monthly!AZ$13,Monthly!AZ$14)*(1+'Attrition Modeling'!$N$8)-IFERROR(BC5/BC72,0)*12)/12*BC72,0))</f>
        <v>0</v>
      </c>
      <c r="BE137" s="799">
        <f>MIN(IF(ISERROR(VLOOKUP(BE$134-$F137,$E$135:$E$165,1,FALSE)),0,BD5*$C$2),MAX((IF(Monthly!BA$4=TRUE,Monthly!BA$13,Monthly!BA$14)*(1+'Attrition Modeling'!$N$8)-IFERROR(BD5/BD72,0)*12)/12*BD72,0))</f>
        <v>0</v>
      </c>
      <c r="BF137" s="799">
        <f>MIN(IF(ISERROR(VLOOKUP(BF$134-$F137,$E$135:$E$165,1,FALSE)),0,BE5*$C$2),MAX((IF(Monthly!BB$4=TRUE,Monthly!BB$13,Monthly!BB$14)*(1+'Attrition Modeling'!$N$8)-IFERROR(BE5/BE72,0)*12)/12*BE72,0))</f>
        <v>0</v>
      </c>
      <c r="BG137" s="799">
        <f>MIN(IF(ISERROR(VLOOKUP(BG$134-$F137,$E$135:$E$165,1,FALSE)),0,BF5*$C$2),MAX((IF(Monthly!BC$4=TRUE,Monthly!BC$13,Monthly!BC$14)*(1+'Attrition Modeling'!$N$8)-IFERROR(BF5/BF72,0)*12)/12*BF72,0))</f>
        <v>0</v>
      </c>
      <c r="BH137" s="799">
        <f>MIN(IF(ISERROR(VLOOKUP(BH$134-$F137,$E$135:$E$165,1,FALSE)),0,BG5*$C$2),MAX((IF(Monthly!BD$4=TRUE,Monthly!BD$13,Monthly!BD$14)*(1+'Attrition Modeling'!$N$8)-IFERROR(BG5/BG72,0)*12)/12*BG72,0))</f>
        <v>0</v>
      </c>
      <c r="BI137" s="799">
        <f>MIN(IF(ISERROR(VLOOKUP(BI$134-$F137,$E$135:$E$165,1,FALSE)),0,BH5*$C$2),MAX((IF(Monthly!BE$4=TRUE,Monthly!BE$13,Monthly!BE$14)*(1+'Attrition Modeling'!$N$8)-IFERROR(BH5/BH72,0)*12)/12*BH72,0))</f>
        <v>0</v>
      </c>
      <c r="BJ137" s="799">
        <f>MIN(IF(ISERROR(VLOOKUP(BJ$134-$F137,$E$135:$E$165,1,FALSE)),0,BI5*$C$2),MAX((IF(Monthly!BF$4=TRUE,Monthly!BF$13,Monthly!BF$14)*(1+'Attrition Modeling'!$N$8)-IFERROR(BI5/BI72,0)*12)/12*BI72,0))</f>
        <v>0</v>
      </c>
      <c r="BK137" s="799">
        <f>MIN(IF(ISERROR(VLOOKUP(BK$134-$F137,$E$135:$E$165,1,FALSE)),0,BJ5*$C$2),MAX((IF(Monthly!BG$4=TRUE,Monthly!BG$13,Monthly!BG$14)*(1+'Attrition Modeling'!$N$8)-IFERROR(BJ5/BJ72,0)*12)/12*BJ72,0))</f>
        <v>56.872713107626382</v>
      </c>
      <c r="BL137" s="799">
        <f>MIN(IF(ISERROR(VLOOKUP(BL$134-$F137,$E$135:$E$165,1,FALSE)),0,BK5*$C$2),MAX((IF(Monthly!BH$4=TRUE,Monthly!BH$13,Monthly!BH$14)*(1+'Attrition Modeling'!$N$8)-IFERROR(BK5/BK72,0)*12)/12*BK72,0))</f>
        <v>0</v>
      </c>
      <c r="BM137" s="799">
        <f>MIN(IF(ISERROR(VLOOKUP(BM$134-$F137,$E$135:$E$165,1,FALSE)),0,BL5*$C$2),MAX((IF(Monthly!BI$4=TRUE,Monthly!BI$13,Monthly!BI$14)*(1+'Attrition Modeling'!$N$8)-IFERROR(BL5/BL72,0)*12)/12*BL72,0))</f>
        <v>0</v>
      </c>
      <c r="BN137" s="799">
        <f>MIN(IF(ISERROR(VLOOKUP(BN$134-$F137,$E$135:$E$165,1,FALSE)),0,BM5*$C$2),MAX((IF(Monthly!BJ$4=TRUE,Monthly!BJ$13,Monthly!BJ$14)*(1+'Attrition Modeling'!$N$8)-IFERROR(BM5/BM72,0)*12)/12*BM72,0))</f>
        <v>0</v>
      </c>
      <c r="BO137" s="799">
        <f>MIN(IF(ISERROR(VLOOKUP(BO$134-$F137,$E$135:$E$165,1,FALSE)),0,BN5*$C$2),MAX((IF(Monthly!BK$4=TRUE,Monthly!BK$13,Monthly!BK$14)*(1+'Attrition Modeling'!$N$8)-IFERROR(BN5/BN72,0)*12)/12*BN72,0))</f>
        <v>0</v>
      </c>
      <c r="BP137" s="799">
        <f>MIN(IF(ISERROR(VLOOKUP(BP$134-$F137,$E$135:$E$165,1,FALSE)),0,BO5*$C$2),MAX((IF(Monthly!BP$4=TRUE,Monthly!BP$13,Monthly!BP$14)*(1+'Attrition Modeling'!$N$8)-IFERROR(BO5/BO72,0)*12)/12*BO72,0))</f>
        <v>0</v>
      </c>
      <c r="BQ137" s="799">
        <f>MIN(IF(ISERROR(VLOOKUP(BQ$134-$F137,$E$135:$E$165,1,FALSE)),0,BP5*$C$2),MAX((IF(Monthly!BQ$4=TRUE,Monthly!BQ$13,Monthly!BQ$14)*(1+'Attrition Modeling'!$N$8)-IFERROR(BP5/BP72,0)*12)/12*BP72,0))</f>
        <v>0</v>
      </c>
      <c r="BR137" s="799">
        <f>MIN(IF(ISERROR(VLOOKUP(BR$134-$F137,$E$135:$E$165,1,FALSE)),0,BQ5*$C$2),MAX((IF(Monthly!BR$4=TRUE,Monthly!BR$13,Monthly!BR$14)*(1+'Attrition Modeling'!$N$8)-IFERROR(BQ5/BQ72,0)*12)/12*BQ72,0))</f>
        <v>0</v>
      </c>
      <c r="BS137" s="799">
        <f>MIN(IF(ISERROR(VLOOKUP(BS$134-$F137,$E$135:$E$165,1,FALSE)),0,BR5*$C$2),MAX((IF(Monthly!BS$4=TRUE,Monthly!BS$13,Monthly!BS$14)*(1+'Attrition Modeling'!$N$8)-IFERROR(BR5/BR72,0)*12)/12*BR72,0))</f>
        <v>0</v>
      </c>
      <c r="BT137" s="799">
        <f>MIN(IF(ISERROR(VLOOKUP(BT$134-$F137,$E$135:$E$165,1,FALSE)),0,BS5*$C$2),MAX((IF(Monthly!BT$4=TRUE,Monthly!BT$13,Monthly!BT$14)*(1+'Attrition Modeling'!$N$8)-IFERROR(BS5/BS72,0)*12)/12*BS72,0))</f>
        <v>0</v>
      </c>
      <c r="BU137" s="799">
        <f>MIN(IF(ISERROR(VLOOKUP(BU$134-$F137,$E$135:$E$165,1,FALSE)),0,BT5*$C$2),MAX((IF(Monthly!BU$4=TRUE,Monthly!BU$13,Monthly!BU$14)*(1+'Attrition Modeling'!$N$8)-IFERROR(BT5/BT72,0)*12)/12*BT72,0))</f>
        <v>0</v>
      </c>
    </row>
    <row r="138" spans="1:73" ht="14.25" customHeight="1" x14ac:dyDescent="0.2">
      <c r="A138" s="9">
        <v>131</v>
      </c>
      <c r="B138" s="25">
        <f>MAX('Attrition Modeling'!H135,$C$3)*(1-Summary!$C$20)</f>
        <v>0.02</v>
      </c>
      <c r="C138" s="24" t="e">
        <f t="shared" si="4"/>
        <v>#DIV/0!</v>
      </c>
      <c r="E138" s="11">
        <f t="shared" si="13"/>
        <v>42</v>
      </c>
      <c r="F138" s="11">
        <f t="shared" si="14"/>
        <v>3</v>
      </c>
      <c r="G138" s="799"/>
      <c r="H138" s="799">
        <f>MIN(IF(ISERROR(VLOOKUP(H$134-$F138,$E$135:$E$165,1,FALSE)),0,G6*$C$2),MAX((IF(Monthly!D$4=TRUE,Monthly!D$13,Monthly!D$14)*(1+'Attrition Modeling'!$N$8)-IFERROR(G6/G73,0)*12)/12*G73,0))</f>
        <v>0</v>
      </c>
      <c r="I138" s="799">
        <f>MIN(IF(ISERROR(VLOOKUP(I$134-$F138,$E$135:$E$165,1,FALSE)),0,H6*$C$2),MAX((IF(Monthly!E$4=TRUE,Monthly!E$13,Monthly!E$14)*(1+'Attrition Modeling'!$N$8)-IFERROR(H6/H73,0)*12)/12*H73,0))</f>
        <v>0</v>
      </c>
      <c r="J138" s="799">
        <f>MIN(IF(ISERROR(VLOOKUP(J$134-$F138,$E$135:$E$165,1,FALSE)),0,I6*$C$2),MAX((IF(Monthly!F$4=TRUE,Monthly!F$13,Monthly!F$14)*(1+'Attrition Modeling'!$N$8)-IFERROR(I6/I73,0)*12)/12*I73,0))</f>
        <v>0</v>
      </c>
      <c r="K138" s="799">
        <f>MIN(IF(ISERROR(VLOOKUP(K$134-$F138,$E$135:$E$165,1,FALSE)),0,J6*$C$2),MAX((IF(Monthly!G$4=TRUE,Monthly!G$13,Monthly!G$14)*(1+'Attrition Modeling'!$N$8)-IFERROR(J6/J73,0)*12)/12*J73,0))</f>
        <v>0</v>
      </c>
      <c r="L138" s="799">
        <f>MIN(IF(ISERROR(VLOOKUP(L$134-$F138,$E$135:$E$165,1,FALSE)),0,K6*$C$2),MAX((IF(Monthly!H$4=TRUE,Monthly!H$13,Monthly!H$14)*(1+'Attrition Modeling'!$N$8)-IFERROR(K6/K73,0)*12)/12*K73,0))</f>
        <v>0</v>
      </c>
      <c r="M138" s="799">
        <f>MIN(IF(ISERROR(VLOOKUP(M$134-$F138,$E$135:$E$165,1,FALSE)),0,L6*$C$2),MAX((IF(Monthly!I$4=TRUE,Monthly!I$13,Monthly!I$14)*(1+'Attrition Modeling'!$N$8)-IFERROR(L6/L73,0)*12)/12*L73,0))</f>
        <v>0</v>
      </c>
      <c r="N138" s="799">
        <f>MIN(IF(ISERROR(VLOOKUP(N$134-$F138,$E$135:$E$165,1,FALSE)),0,M6*$C$2),MAX((IF(Monthly!J$4=TRUE,Monthly!J$13,Monthly!J$14)*(1+'Attrition Modeling'!$N$8)-IFERROR(M6/M73,0)*12)/12*M73,0))</f>
        <v>0</v>
      </c>
      <c r="O138" s="799">
        <f>MIN(IF(ISERROR(VLOOKUP(O$134-$F138,$E$135:$E$165,1,FALSE)),0,N6*$C$2),MAX((IF(Monthly!K$4=TRUE,Monthly!K$13,Monthly!K$14)*(1+'Attrition Modeling'!$N$8)-IFERROR(N6/N73,0)*12)/12*N73,0))</f>
        <v>0</v>
      </c>
      <c r="P138" s="799">
        <f>MIN(IF(ISERROR(VLOOKUP(P$134-$F138,$E$135:$E$165,1,FALSE)),0,O6*$C$2),MAX((IF(Monthly!L$4=TRUE,Monthly!L$13,Monthly!L$14)*(1+'Attrition Modeling'!$N$8)-IFERROR(O6/O73,0)*12)/12*O73,0))</f>
        <v>390.62251134839568</v>
      </c>
      <c r="Q138" s="799">
        <f>MIN(IF(ISERROR(VLOOKUP(Q$134-$F138,$E$135:$E$165,1,FALSE)),0,P6*$C$2),MAX((IF(Monthly!M$4=TRUE,Monthly!M$13,Monthly!M$14)*(1+'Attrition Modeling'!$N$8)-IFERROR(P6/P73,0)*12)/12*P73,0))</f>
        <v>0</v>
      </c>
      <c r="R138" s="799">
        <f>MIN(IF(ISERROR(VLOOKUP(R$134-$F138,$E$135:$E$165,1,FALSE)),0,Q6*$C$2),MAX((IF(Monthly!N$4=TRUE,Monthly!N$13,Monthly!N$14)*(1+'Attrition Modeling'!$N$8)-IFERROR(Q6/Q73,0)*12)/12*Q73,0))</f>
        <v>0</v>
      </c>
      <c r="S138" s="799">
        <f>MIN(IF(ISERROR(VLOOKUP(S$134-$F138,$E$135:$E$165,1,FALSE)),0,R6*$C$2),MAX((IF(Monthly!O$4=TRUE,Monthly!O$13,Monthly!O$14)*(1+'Attrition Modeling'!$N$8)-IFERROR(R6/R73,0)*12)/12*R73,0))</f>
        <v>0</v>
      </c>
      <c r="T138" s="799">
        <f>MIN(IF(ISERROR(VLOOKUP(T$134-$F138,$E$135:$E$165,1,FALSE)),0,S6*$C$2),MAX((IF(Monthly!P$4=TRUE,Monthly!P$13,Monthly!P$14)*(1+'Attrition Modeling'!$N$8)-IFERROR(S6/S73,0)*12)/12*S73,0))</f>
        <v>0</v>
      </c>
      <c r="U138" s="799">
        <f>MIN(IF(ISERROR(VLOOKUP(U$134-$F138,$E$135:$E$165,1,FALSE)),0,T6*$C$2),MAX((IF(Monthly!Q$4=TRUE,Monthly!Q$13,Monthly!Q$14)*(1+'Attrition Modeling'!$N$8)-IFERROR(T6/T73,0)*12)/12*T73,0))</f>
        <v>0</v>
      </c>
      <c r="V138" s="799">
        <f>MIN(IF(ISERROR(VLOOKUP(V$134-$F138,$E$135:$E$165,1,FALSE)),0,U6*$C$2),MAX((IF(Monthly!R$4=TRUE,Monthly!R$13,Monthly!R$14)*(1+'Attrition Modeling'!$N$8)-IFERROR(U6/U73,0)*12)/12*U73,0))</f>
        <v>0</v>
      </c>
      <c r="W138" s="799">
        <f>MIN(IF(ISERROR(VLOOKUP(W$134-$F138,$E$135:$E$165,1,FALSE)),0,V6*$C$2),MAX((IF(Monthly!S$4=TRUE,Monthly!S$13,Monthly!S$14)*(1+'Attrition Modeling'!$N$8)-IFERROR(V6/V73,0)*12)/12*V73,0))</f>
        <v>0</v>
      </c>
      <c r="X138" s="799">
        <f>MIN(IF(ISERROR(VLOOKUP(X$134-$F138,$E$135:$E$165,1,FALSE)),0,W6*$C$2),MAX((IF(Monthly!T$4=TRUE,Monthly!T$13,Monthly!T$14)*(1+'Attrition Modeling'!$N$8)-IFERROR(W6/W73,0)*12)/12*W73,0))</f>
        <v>0</v>
      </c>
      <c r="Y138" s="799">
        <f>MIN(IF(ISERROR(VLOOKUP(Y$134-$F138,$E$135:$E$165,1,FALSE)),0,X6*$C$2),MAX((IF(Monthly!U$4=TRUE,Monthly!U$13,Monthly!U$14)*(1+'Attrition Modeling'!$N$8)-IFERROR(X6/X73,0)*12)/12*X73,0))</f>
        <v>0</v>
      </c>
      <c r="Z138" s="799">
        <f>MIN(IF(ISERROR(VLOOKUP(Z$134-$F138,$E$135:$E$165,1,FALSE)),0,Y6*$C$2),MAX((IF(Monthly!V$4=TRUE,Monthly!V$13,Monthly!V$14)*(1+'Attrition Modeling'!$N$8)-IFERROR(Y6/Y73,0)*12)/12*Y73,0))</f>
        <v>0</v>
      </c>
      <c r="AA138" s="799">
        <f>MIN(IF(ISERROR(VLOOKUP(AA$134-$F138,$E$135:$E$165,1,FALSE)),0,Z6*$C$2),MAX((IF(Monthly!W$4=TRUE,Monthly!W$13,Monthly!W$14)*(1+'Attrition Modeling'!$N$8)-IFERROR(Z6/Z73,0)*12)/12*Z73,0))</f>
        <v>0</v>
      </c>
      <c r="AB138" s="799">
        <f>MIN(IF(ISERROR(VLOOKUP(AB$134-$F138,$E$135:$E$165,1,FALSE)),0,AA6*$C$2),MAX((IF(Monthly!X$4=TRUE,Monthly!X$13,Monthly!X$14)*(1+'Attrition Modeling'!$N$8)-IFERROR(AA6/AA73,0)*12)/12*AA73,0))</f>
        <v>207.7291810124249</v>
      </c>
      <c r="AC138" s="799">
        <f>MIN(IF(ISERROR(VLOOKUP(AC$134-$F138,$E$135:$E$165,1,FALSE)),0,AB6*$C$2),MAX((IF(Monthly!Y$4=TRUE,Monthly!Y$13,Monthly!Y$14)*(1+'Attrition Modeling'!$N$8)-IFERROR(AB6/AB73,0)*12)/12*AB73,0))</f>
        <v>0</v>
      </c>
      <c r="AD138" s="799">
        <f>MIN(IF(ISERROR(VLOOKUP(AD$134-$F138,$E$135:$E$165,1,FALSE)),0,AC6*$C$2),MAX((IF(Monthly!Z$4=TRUE,Monthly!Z$13,Monthly!Z$14)*(1+'Attrition Modeling'!$N$8)-IFERROR(AC6/AC73,0)*12)/12*AC73,0))</f>
        <v>0</v>
      </c>
      <c r="AE138" s="799">
        <f>MIN(IF(ISERROR(VLOOKUP(AE$134-$F138,$E$135:$E$165,1,FALSE)),0,AD6*$C$2),MAX((IF(Monthly!AA$4=TRUE,Monthly!AA$13,Monthly!AA$14)*(1+'Attrition Modeling'!$N$8)-IFERROR(AD6/AD73,0)*12)/12*AD73,0))</f>
        <v>0</v>
      </c>
      <c r="AF138" s="799">
        <f>MIN(IF(ISERROR(VLOOKUP(AF$134-$F138,$E$135:$E$165,1,FALSE)),0,AE6*$C$2),MAX((IF(Monthly!AB$4=TRUE,Monthly!AB$13,Monthly!AB$14)*(1+'Attrition Modeling'!$N$8)-IFERROR(AE6/AE73,0)*12)/12*AE73,0))</f>
        <v>0</v>
      </c>
      <c r="AG138" s="799">
        <f>MIN(IF(ISERROR(VLOOKUP(AG$134-$F138,$E$135:$E$165,1,FALSE)),0,AF6*$C$2),MAX((IF(Monthly!AC$4=TRUE,Monthly!AC$13,Monthly!AC$14)*(1+'Attrition Modeling'!$N$8)-IFERROR(AF6/AF73,0)*12)/12*AF73,0))</f>
        <v>0</v>
      </c>
      <c r="AH138" s="799">
        <f>MIN(IF(ISERROR(VLOOKUP(AH$134-$F138,$E$135:$E$165,1,FALSE)),0,AG6*$C$2),MAX((IF(Monthly!AD$4=TRUE,Monthly!AD$13,Monthly!AD$14)*(1+'Attrition Modeling'!$N$8)-IFERROR(AG6/AG73,0)*12)/12*AG73,0))</f>
        <v>0</v>
      </c>
      <c r="AI138" s="799">
        <f>MIN(IF(ISERROR(VLOOKUP(AI$134-$F138,$E$135:$E$165,1,FALSE)),0,AH6*$C$2),MAX((IF(Monthly!AE$4=TRUE,Monthly!AE$13,Monthly!AE$14)*(1+'Attrition Modeling'!$N$8)-IFERROR(AH6/AH73,0)*12)/12*AH73,0))</f>
        <v>0</v>
      </c>
      <c r="AJ138" s="799">
        <f>MIN(IF(ISERROR(VLOOKUP(AJ$134-$F138,$E$135:$E$165,1,FALSE)),0,AI6*$C$2),MAX((IF(Monthly!AF$4=TRUE,Monthly!AF$13,Monthly!AF$14)*(1+'Attrition Modeling'!$N$8)-IFERROR(AI6/AI73,0)*12)/12*AI73,0))</f>
        <v>0</v>
      </c>
      <c r="AK138" s="799">
        <f>MIN(IF(ISERROR(VLOOKUP(AK$134-$F138,$E$135:$E$165,1,FALSE)),0,AJ6*$C$2),MAX((IF(Monthly!AG$4=TRUE,Monthly!AG$13,Monthly!AG$14)*(1+'Attrition Modeling'!$N$8)-IFERROR(AJ6/AJ73,0)*12)/12*AJ73,0))</f>
        <v>0</v>
      </c>
      <c r="AL138" s="799">
        <f>MIN(IF(ISERROR(VLOOKUP(AL$134-$F138,$E$135:$E$165,1,FALSE)),0,AK6*$C$2),MAX((IF(Monthly!AH$4=TRUE,Monthly!AH$13,Monthly!AH$14)*(1+'Attrition Modeling'!$N$8)-IFERROR(AK6/AK73,0)*12)/12*AK73,0))</f>
        <v>0</v>
      </c>
      <c r="AM138" s="799">
        <f>MIN(IF(ISERROR(VLOOKUP(AM$134-$F138,$E$135:$E$165,1,FALSE)),0,AL6*$C$2),MAX((IF(Monthly!AI$4=TRUE,Monthly!AI$13,Monthly!AI$14)*(1+'Attrition Modeling'!$N$8)-IFERROR(AL6/AL73,0)*12)/12*AL73,0))</f>
        <v>0</v>
      </c>
      <c r="AN138" s="799">
        <f>MIN(IF(ISERROR(VLOOKUP(AN$134-$F138,$E$135:$E$165,1,FALSE)),0,AM6*$C$2),MAX((IF(Monthly!AJ$4=TRUE,Monthly!AJ$13,Monthly!AJ$14)*(1+'Attrition Modeling'!$N$8)-IFERROR(AM6/AM73,0)*12)/12*AM73,0))</f>
        <v>141.31921711355054</v>
      </c>
      <c r="AO138" s="799">
        <f>MIN(IF(ISERROR(VLOOKUP(AO$134-$F138,$E$135:$E$165,1,FALSE)),0,AN6*$C$2),MAX((IF(Monthly!AK$4=TRUE,Monthly!AK$13,Monthly!AK$14)*(1+'Attrition Modeling'!$N$8)-IFERROR(AN6/AN73,0)*12)/12*AN73,0))</f>
        <v>0</v>
      </c>
      <c r="AP138" s="799">
        <f>MIN(IF(ISERROR(VLOOKUP(AP$134-$F138,$E$135:$E$165,1,FALSE)),0,AO6*$C$2),MAX((IF(Monthly!AL$4=TRUE,Monthly!AL$13,Monthly!AL$14)*(1+'Attrition Modeling'!$N$8)-IFERROR(AO6/AO73,0)*12)/12*AO73,0))</f>
        <v>0</v>
      </c>
      <c r="AQ138" s="799">
        <f>MIN(IF(ISERROR(VLOOKUP(AQ$134-$F138,$E$135:$E$165,1,FALSE)),0,AP6*$C$2),MAX((IF(Monthly!AM$4=TRUE,Monthly!AM$13,Monthly!AM$14)*(1+'Attrition Modeling'!$N$8)-IFERROR(AP6/AP73,0)*12)/12*AP73,0))</f>
        <v>0</v>
      </c>
      <c r="AR138" s="799">
        <f>MIN(IF(ISERROR(VLOOKUP(AR$134-$F138,$E$135:$E$165,1,FALSE)),0,AQ6*$C$2),MAX((IF(Monthly!AN$4=TRUE,Monthly!AN$13,Monthly!AN$14)*(1+'Attrition Modeling'!$N$8)-IFERROR(AQ6/AQ73,0)*12)/12*AQ73,0))</f>
        <v>0</v>
      </c>
      <c r="AS138" s="799">
        <f>MIN(IF(ISERROR(VLOOKUP(AS$134-$F138,$E$135:$E$165,1,FALSE)),0,AR6*$C$2),MAX((IF(Monthly!AO$4=TRUE,Monthly!AO$13,Monthly!AO$14)*(1+'Attrition Modeling'!$N$8)-IFERROR(AR6/AR73,0)*12)/12*AR73,0))</f>
        <v>0</v>
      </c>
      <c r="AT138" s="799">
        <f>MIN(IF(ISERROR(VLOOKUP(AT$134-$F138,$E$135:$E$165,1,FALSE)),0,AS6*$C$2),MAX((IF(Monthly!AP$4=TRUE,Monthly!AP$13,Monthly!AP$14)*(1+'Attrition Modeling'!$N$8)-IFERROR(AS6/AS73,0)*12)/12*AS73,0))</f>
        <v>0</v>
      </c>
      <c r="AU138" s="799">
        <f>MIN(IF(ISERROR(VLOOKUP(AU$134-$F138,$E$135:$E$165,1,FALSE)),0,AT6*$C$2),MAX((IF(Monthly!AQ$4=TRUE,Monthly!AQ$13,Monthly!AQ$14)*(1+'Attrition Modeling'!$N$8)-IFERROR(AT6/AT73,0)*12)/12*AT73,0))</f>
        <v>0</v>
      </c>
      <c r="AV138" s="799">
        <f>MIN(IF(ISERROR(VLOOKUP(AV$134-$F138,$E$135:$E$165,1,FALSE)),0,AU6*$C$2),MAX((IF(Monthly!AR$4=TRUE,Monthly!AR$13,Monthly!AR$14)*(1+'Attrition Modeling'!$N$8)-IFERROR(AU6/AU73,0)*12)/12*AU73,0))</f>
        <v>0</v>
      </c>
      <c r="AW138" s="799">
        <f>MIN(IF(ISERROR(VLOOKUP(AW$134-$F138,$E$135:$E$165,1,FALSE)),0,AV6*$C$2),MAX((IF(Monthly!AS$4=TRUE,Monthly!AS$13,Monthly!AS$14)*(1+'Attrition Modeling'!$N$8)-IFERROR(AV6/AV73,0)*12)/12*AV73,0))</f>
        <v>0</v>
      </c>
      <c r="AX138" s="799">
        <f>MIN(IF(ISERROR(VLOOKUP(AX$134-$F138,$E$135:$E$165,1,FALSE)),0,AW6*$C$2),MAX((IF(Monthly!AT$4=TRUE,Monthly!AT$13,Monthly!AT$14)*(1+'Attrition Modeling'!$N$8)-IFERROR(AW6/AW73,0)*12)/12*AW73,0))</f>
        <v>0</v>
      </c>
      <c r="AY138" s="799">
        <f>MIN(IF(ISERROR(VLOOKUP(AY$134-$F138,$E$135:$E$165,1,FALSE)),0,AX6*$C$2),MAX((IF(Monthly!AU$4=TRUE,Monthly!AU$13,Monthly!AU$14)*(1+'Attrition Modeling'!$N$8)-IFERROR(AX6/AX73,0)*12)/12*AX73,0))</f>
        <v>0</v>
      </c>
      <c r="AZ138" s="799">
        <f>MIN(IF(ISERROR(VLOOKUP(AZ$134-$F138,$E$135:$E$165,1,FALSE)),0,AY6*$C$2),MAX((IF(Monthly!AV$4=TRUE,Monthly!AV$13,Monthly!AV$14)*(1+'Attrition Modeling'!$N$8)-IFERROR(AY6/AY73,0)*12)/12*AY73,0))</f>
        <v>81.27930450256558</v>
      </c>
      <c r="BA138" s="799">
        <f>MIN(IF(ISERROR(VLOOKUP(BA$134-$F138,$E$135:$E$165,1,FALSE)),0,AZ6*$C$2),MAX((IF(Monthly!AW$4=TRUE,Monthly!AW$13,Monthly!AW$14)*(1+'Attrition Modeling'!$N$8)-IFERROR(AZ6/AZ73,0)*12)/12*AZ73,0))</f>
        <v>0</v>
      </c>
      <c r="BB138" s="799">
        <f>MIN(IF(ISERROR(VLOOKUP(BB$134-$F138,$E$135:$E$165,1,FALSE)),0,BA6*$C$2),MAX((IF(Monthly!AX$4=TRUE,Monthly!AX$13,Monthly!AX$14)*(1+'Attrition Modeling'!$N$8)-IFERROR(BA6/BA73,0)*12)/12*BA73,0))</f>
        <v>0</v>
      </c>
      <c r="BC138" s="799">
        <f>MIN(IF(ISERROR(VLOOKUP(BC$134-$F138,$E$135:$E$165,1,FALSE)),0,BB6*$C$2),MAX((IF(Monthly!AY$4=TRUE,Monthly!AY$13,Monthly!AY$14)*(1+'Attrition Modeling'!$N$8)-IFERROR(BB6/BB73,0)*12)/12*BB73,0))</f>
        <v>0</v>
      </c>
      <c r="BD138" s="799">
        <f>MIN(IF(ISERROR(VLOOKUP(BD$134-$F138,$E$135:$E$165,1,FALSE)),0,BC6*$C$2),MAX((IF(Monthly!AZ$4=TRUE,Monthly!AZ$13,Monthly!AZ$14)*(1+'Attrition Modeling'!$N$8)-IFERROR(BC6/BC73,0)*12)/12*BC73,0))</f>
        <v>0</v>
      </c>
      <c r="BE138" s="799">
        <f>MIN(IF(ISERROR(VLOOKUP(BE$134-$F138,$E$135:$E$165,1,FALSE)),0,BD6*$C$2),MAX((IF(Monthly!BA$4=TRUE,Monthly!BA$13,Monthly!BA$14)*(1+'Attrition Modeling'!$N$8)-IFERROR(BD6/BD73,0)*12)/12*BD73,0))</f>
        <v>0</v>
      </c>
      <c r="BF138" s="799">
        <f>MIN(IF(ISERROR(VLOOKUP(BF$134-$F138,$E$135:$E$165,1,FALSE)),0,BE6*$C$2),MAX((IF(Monthly!BB$4=TRUE,Monthly!BB$13,Monthly!BB$14)*(1+'Attrition Modeling'!$N$8)-IFERROR(BE6/BE73,0)*12)/12*BE73,0))</f>
        <v>0</v>
      </c>
      <c r="BG138" s="799">
        <f>MIN(IF(ISERROR(VLOOKUP(BG$134-$F138,$E$135:$E$165,1,FALSE)),0,BF6*$C$2),MAX((IF(Monthly!BC$4=TRUE,Monthly!BC$13,Monthly!BC$14)*(1+'Attrition Modeling'!$N$8)-IFERROR(BF6/BF73,0)*12)/12*BF73,0))</f>
        <v>0</v>
      </c>
      <c r="BH138" s="799">
        <f>MIN(IF(ISERROR(VLOOKUP(BH$134-$F138,$E$135:$E$165,1,FALSE)),0,BG6*$C$2),MAX((IF(Monthly!BD$4=TRUE,Monthly!BD$13,Monthly!BD$14)*(1+'Attrition Modeling'!$N$8)-IFERROR(BG6/BG73,0)*12)/12*BG73,0))</f>
        <v>0</v>
      </c>
      <c r="BI138" s="799">
        <f>MIN(IF(ISERROR(VLOOKUP(BI$134-$F138,$E$135:$E$165,1,FALSE)),0,BH6*$C$2),MAX((IF(Monthly!BE$4=TRUE,Monthly!BE$13,Monthly!BE$14)*(1+'Attrition Modeling'!$N$8)-IFERROR(BH6/BH73,0)*12)/12*BH73,0))</f>
        <v>0</v>
      </c>
      <c r="BJ138" s="799">
        <f>MIN(IF(ISERROR(VLOOKUP(BJ$134-$F138,$E$135:$E$165,1,FALSE)),0,BI6*$C$2),MAX((IF(Monthly!BF$4=TRUE,Monthly!BF$13,Monthly!BF$14)*(1+'Attrition Modeling'!$N$8)-IFERROR(BI6/BI73,0)*12)/12*BI73,0))</f>
        <v>0</v>
      </c>
      <c r="BK138" s="799">
        <f>MIN(IF(ISERROR(VLOOKUP(BK$134-$F138,$E$135:$E$165,1,FALSE)),0,BJ6*$C$2),MAX((IF(Monthly!BG$4=TRUE,Monthly!BG$13,Monthly!BG$14)*(1+'Attrition Modeling'!$N$8)-IFERROR(BJ6/BJ73,0)*12)/12*BJ73,0))</f>
        <v>0</v>
      </c>
      <c r="BL138" s="799">
        <f>MIN(IF(ISERROR(VLOOKUP(BL$134-$F138,$E$135:$E$165,1,FALSE)),0,BK6*$C$2),MAX((IF(Monthly!BH$4=TRUE,Monthly!BH$13,Monthly!BH$14)*(1+'Attrition Modeling'!$N$8)-IFERROR(BK6/BK73,0)*12)/12*BK73,0))</f>
        <v>30.936540141745855</v>
      </c>
      <c r="BM138" s="799">
        <f>MIN(IF(ISERROR(VLOOKUP(BM$134-$F138,$E$135:$E$165,1,FALSE)),0,BL6*$C$2),MAX((IF(Monthly!BI$4=TRUE,Monthly!BI$13,Monthly!BI$14)*(1+'Attrition Modeling'!$N$8)-IFERROR(BL6/BL73,0)*12)/12*BL73,0))</f>
        <v>0</v>
      </c>
      <c r="BN138" s="799">
        <f>MIN(IF(ISERROR(VLOOKUP(BN$134-$F138,$E$135:$E$165,1,FALSE)),0,BM6*$C$2),MAX((IF(Monthly!BJ$4=TRUE,Monthly!BJ$13,Monthly!BJ$14)*(1+'Attrition Modeling'!$N$8)-IFERROR(BM6/BM73,0)*12)/12*BM73,0))</f>
        <v>0</v>
      </c>
      <c r="BO138" s="799">
        <f>MIN(IF(ISERROR(VLOOKUP(BO$134-$F138,$E$135:$E$165,1,FALSE)),0,BN6*$C$2),MAX((IF(Monthly!BK$4=TRUE,Monthly!BK$13,Monthly!BK$14)*(1+'Attrition Modeling'!$N$8)-IFERROR(BN6/BN73,0)*12)/12*BN73,0))</f>
        <v>0</v>
      </c>
      <c r="BP138" s="799">
        <f>MIN(IF(ISERROR(VLOOKUP(BP$134-$F138,$E$135:$E$165,1,FALSE)),0,BO6*$C$2),MAX((IF(Monthly!BP$4=TRUE,Monthly!BP$13,Monthly!BP$14)*(1+'Attrition Modeling'!$N$8)-IFERROR(BO6/BO73,0)*12)/12*BO73,0))</f>
        <v>0</v>
      </c>
      <c r="BQ138" s="799">
        <f>MIN(IF(ISERROR(VLOOKUP(BQ$134-$F138,$E$135:$E$165,1,FALSE)),0,BP6*$C$2),MAX((IF(Monthly!BQ$4=TRUE,Monthly!BQ$13,Monthly!BQ$14)*(1+'Attrition Modeling'!$N$8)-IFERROR(BP6/BP73,0)*12)/12*BP73,0))</f>
        <v>0</v>
      </c>
      <c r="BR138" s="799">
        <f>MIN(IF(ISERROR(VLOOKUP(BR$134-$F138,$E$135:$E$165,1,FALSE)),0,BQ6*$C$2),MAX((IF(Monthly!BR$4=TRUE,Monthly!BR$13,Monthly!BR$14)*(1+'Attrition Modeling'!$N$8)-IFERROR(BQ6/BQ73,0)*12)/12*BQ73,0))</f>
        <v>0</v>
      </c>
      <c r="BS138" s="799">
        <f>MIN(IF(ISERROR(VLOOKUP(BS$134-$F138,$E$135:$E$165,1,FALSE)),0,BR6*$C$2),MAX((IF(Monthly!BS$4=TRUE,Monthly!BS$13,Monthly!BS$14)*(1+'Attrition Modeling'!$N$8)-IFERROR(BR6/BR73,0)*12)/12*BR73,0))</f>
        <v>0</v>
      </c>
      <c r="BT138" s="799">
        <f>MIN(IF(ISERROR(VLOOKUP(BT$134-$F138,$E$135:$E$165,1,FALSE)),0,BS6*$C$2),MAX((IF(Monthly!BT$4=TRUE,Monthly!BT$13,Monthly!BT$14)*(1+'Attrition Modeling'!$N$8)-IFERROR(BS6/BS73,0)*12)/12*BS73,0))</f>
        <v>0</v>
      </c>
      <c r="BU138" s="799">
        <f>MIN(IF(ISERROR(VLOOKUP(BU$134-$F138,$E$135:$E$165,1,FALSE)),0,BT6*$C$2),MAX((IF(Monthly!BU$4=TRUE,Monthly!BU$13,Monthly!BU$14)*(1+'Attrition Modeling'!$N$8)-IFERROR(BT6/BT73,0)*12)/12*BT73,0))</f>
        <v>0</v>
      </c>
    </row>
    <row r="139" spans="1:73" ht="14.25" customHeight="1" x14ac:dyDescent="0.2">
      <c r="A139" s="9">
        <v>132</v>
      </c>
      <c r="B139" s="25">
        <f>MAX('Attrition Modeling'!H136,$C$3)*(1-Summary!$C$20)</f>
        <v>0.02</v>
      </c>
      <c r="C139" s="24" t="e">
        <f t="shared" si="4"/>
        <v>#DIV/0!</v>
      </c>
      <c r="E139" s="11">
        <f t="shared" si="13"/>
        <v>54</v>
      </c>
      <c r="F139" s="11">
        <f t="shared" si="14"/>
        <v>4</v>
      </c>
      <c r="G139" s="799"/>
      <c r="H139" s="799">
        <f>MIN(IF(ISERROR(VLOOKUP(H$134-$F139,$E$135:$E$165,1,FALSE)),0,G7*$C$2),MAX((IF(Monthly!D$4=TRUE,Monthly!D$13,Monthly!D$14)*(1+'Attrition Modeling'!$N$8)-IFERROR(G7/G74,0)*12)/12*G74,0))</f>
        <v>0</v>
      </c>
      <c r="I139" s="799">
        <f>MIN(IF(ISERROR(VLOOKUP(I$134-$F139,$E$135:$E$165,1,FALSE)),0,H7*$C$2),MAX((IF(Monthly!E$4=TRUE,Monthly!E$13,Monthly!E$14)*(1+'Attrition Modeling'!$N$8)-IFERROR(H7/H74,0)*12)/12*H74,0))</f>
        <v>0</v>
      </c>
      <c r="J139" s="799">
        <f>MIN(IF(ISERROR(VLOOKUP(J$134-$F139,$E$135:$E$165,1,FALSE)),0,I7*$C$2),MAX((IF(Monthly!F$4=TRUE,Monthly!F$13,Monthly!F$14)*(1+'Attrition Modeling'!$N$8)-IFERROR(I7/I74,0)*12)/12*I74,0))</f>
        <v>0</v>
      </c>
      <c r="K139" s="799">
        <f>MIN(IF(ISERROR(VLOOKUP(K$134-$F139,$E$135:$E$165,1,FALSE)),0,J7*$C$2),MAX((IF(Monthly!G$4=TRUE,Monthly!G$13,Monthly!G$14)*(1+'Attrition Modeling'!$N$8)-IFERROR(J7/J74,0)*12)/12*J74,0))</f>
        <v>0</v>
      </c>
      <c r="L139" s="799">
        <f>MIN(IF(ISERROR(VLOOKUP(L$134-$F139,$E$135:$E$165,1,FALSE)),0,K7*$C$2),MAX((IF(Monthly!H$4=TRUE,Monthly!H$13,Monthly!H$14)*(1+'Attrition Modeling'!$N$8)-IFERROR(K7/K74,0)*12)/12*K74,0))</f>
        <v>0</v>
      </c>
      <c r="M139" s="799">
        <f>MIN(IF(ISERROR(VLOOKUP(M$134-$F139,$E$135:$E$165,1,FALSE)),0,L7*$C$2),MAX((IF(Monthly!I$4=TRUE,Monthly!I$13,Monthly!I$14)*(1+'Attrition Modeling'!$N$8)-IFERROR(L7/L74,0)*12)/12*L74,0))</f>
        <v>0</v>
      </c>
      <c r="N139" s="799">
        <f>MIN(IF(ISERROR(VLOOKUP(N$134-$F139,$E$135:$E$165,1,FALSE)),0,M7*$C$2),MAX((IF(Monthly!J$4=TRUE,Monthly!J$13,Monthly!J$14)*(1+'Attrition Modeling'!$N$8)-IFERROR(M7/M74,0)*12)/12*M74,0))</f>
        <v>0</v>
      </c>
      <c r="O139" s="799">
        <f>MIN(IF(ISERROR(VLOOKUP(O$134-$F139,$E$135:$E$165,1,FALSE)),0,N7*$C$2),MAX((IF(Monthly!K$4=TRUE,Monthly!K$13,Monthly!K$14)*(1+'Attrition Modeling'!$N$8)-IFERROR(N7/N74,0)*12)/12*N74,0))</f>
        <v>0</v>
      </c>
      <c r="P139" s="799">
        <f>MIN(IF(ISERROR(VLOOKUP(P$134-$F139,$E$135:$E$165,1,FALSE)),0,O7*$C$2),MAX((IF(Monthly!L$4=TRUE,Monthly!L$13,Monthly!L$14)*(1+'Attrition Modeling'!$N$8)-IFERROR(O7/O74,0)*12)/12*O74,0))</f>
        <v>0</v>
      </c>
      <c r="Q139" s="799">
        <f>MIN(IF(ISERROR(VLOOKUP(Q$134-$F139,$E$135:$E$165,1,FALSE)),0,P7*$C$2),MAX((IF(Monthly!M$4=TRUE,Monthly!M$13,Monthly!M$14)*(1+'Attrition Modeling'!$N$8)-IFERROR(P7/P74,0)*12)/12*P74,0))</f>
        <v>615.52921707055509</v>
      </c>
      <c r="R139" s="799">
        <f>MIN(IF(ISERROR(VLOOKUP(R$134-$F139,$E$135:$E$165,1,FALSE)),0,Q7*$C$2),MAX((IF(Monthly!N$4=TRUE,Monthly!N$13,Monthly!N$14)*(1+'Attrition Modeling'!$N$8)-IFERROR(Q7/Q74,0)*12)/12*Q74,0))</f>
        <v>0</v>
      </c>
      <c r="S139" s="799">
        <f>MIN(IF(ISERROR(VLOOKUP(S$134-$F139,$E$135:$E$165,1,FALSE)),0,R7*$C$2),MAX((IF(Monthly!O$4=TRUE,Monthly!O$13,Monthly!O$14)*(1+'Attrition Modeling'!$N$8)-IFERROR(R7/R74,0)*12)/12*R74,0))</f>
        <v>0</v>
      </c>
      <c r="T139" s="799">
        <f>MIN(IF(ISERROR(VLOOKUP(T$134-$F139,$E$135:$E$165,1,FALSE)),0,S7*$C$2),MAX((IF(Monthly!P$4=TRUE,Monthly!P$13,Monthly!P$14)*(1+'Attrition Modeling'!$N$8)-IFERROR(S7/S74,0)*12)/12*S74,0))</f>
        <v>0</v>
      </c>
      <c r="U139" s="799">
        <f>MIN(IF(ISERROR(VLOOKUP(U$134-$F139,$E$135:$E$165,1,FALSE)),0,T7*$C$2),MAX((IF(Monthly!Q$4=TRUE,Monthly!Q$13,Monthly!Q$14)*(1+'Attrition Modeling'!$N$8)-IFERROR(T7/T74,0)*12)/12*T74,0))</f>
        <v>0</v>
      </c>
      <c r="V139" s="799">
        <f>MIN(IF(ISERROR(VLOOKUP(V$134-$F139,$E$135:$E$165,1,FALSE)),0,U7*$C$2),MAX((IF(Monthly!R$4=TRUE,Monthly!R$13,Monthly!R$14)*(1+'Attrition Modeling'!$N$8)-IFERROR(U7/U74,0)*12)/12*U74,0))</f>
        <v>0</v>
      </c>
      <c r="W139" s="799">
        <f>MIN(IF(ISERROR(VLOOKUP(W$134-$F139,$E$135:$E$165,1,FALSE)),0,V7*$C$2),MAX((IF(Monthly!S$4=TRUE,Monthly!S$13,Monthly!S$14)*(1+'Attrition Modeling'!$N$8)-IFERROR(V7/V74,0)*12)/12*V74,0))</f>
        <v>0</v>
      </c>
      <c r="X139" s="799">
        <f>MIN(IF(ISERROR(VLOOKUP(X$134-$F139,$E$135:$E$165,1,FALSE)),0,W7*$C$2),MAX((IF(Monthly!T$4=TRUE,Monthly!T$13,Monthly!T$14)*(1+'Attrition Modeling'!$N$8)-IFERROR(W7/W74,0)*12)/12*W74,0))</f>
        <v>0</v>
      </c>
      <c r="Y139" s="799">
        <f>MIN(IF(ISERROR(VLOOKUP(Y$134-$F139,$E$135:$E$165,1,FALSE)),0,X7*$C$2),MAX((IF(Monthly!U$4=TRUE,Monthly!U$13,Monthly!U$14)*(1+'Attrition Modeling'!$N$8)-IFERROR(X7/X74,0)*12)/12*X74,0))</f>
        <v>0</v>
      </c>
      <c r="Z139" s="799">
        <f>MIN(IF(ISERROR(VLOOKUP(Z$134-$F139,$E$135:$E$165,1,FALSE)),0,Y7*$C$2),MAX((IF(Monthly!V$4=TRUE,Monthly!V$13,Monthly!V$14)*(1+'Attrition Modeling'!$N$8)-IFERROR(Y7/Y74,0)*12)/12*Y74,0))</f>
        <v>0</v>
      </c>
      <c r="AA139" s="799">
        <f>MIN(IF(ISERROR(VLOOKUP(AA$134-$F139,$E$135:$E$165,1,FALSE)),0,Z7*$C$2),MAX((IF(Monthly!W$4=TRUE,Monthly!W$13,Monthly!W$14)*(1+'Attrition Modeling'!$N$8)-IFERROR(Z7/Z74,0)*12)/12*Z74,0))</f>
        <v>0</v>
      </c>
      <c r="AB139" s="799">
        <f>MIN(IF(ISERROR(VLOOKUP(AB$134-$F139,$E$135:$E$165,1,FALSE)),0,AA7*$C$2),MAX((IF(Monthly!X$4=TRUE,Monthly!X$13,Monthly!X$14)*(1+'Attrition Modeling'!$N$8)-IFERROR(AA7/AA74,0)*12)/12*AA74,0))</f>
        <v>0</v>
      </c>
      <c r="AC139" s="799">
        <f>MIN(IF(ISERROR(VLOOKUP(AC$134-$F139,$E$135:$E$165,1,FALSE)),0,AB7*$C$2),MAX((IF(Monthly!Y$4=TRUE,Monthly!Y$13,Monthly!Y$14)*(1+'Attrition Modeling'!$N$8)-IFERROR(AB7/AB74,0)*12)/12*AB74,0))</f>
        <v>331.78636507943679</v>
      </c>
      <c r="AD139" s="799">
        <f>MIN(IF(ISERROR(VLOOKUP(AD$134-$F139,$E$135:$E$165,1,FALSE)),0,AC7*$C$2),MAX((IF(Monthly!Z$4=TRUE,Monthly!Z$13,Monthly!Z$14)*(1+'Attrition Modeling'!$N$8)-IFERROR(AC7/AC74,0)*12)/12*AC74,0))</f>
        <v>0</v>
      </c>
      <c r="AE139" s="799">
        <f>MIN(IF(ISERROR(VLOOKUP(AE$134-$F139,$E$135:$E$165,1,FALSE)),0,AD7*$C$2),MAX((IF(Monthly!AA$4=TRUE,Monthly!AA$13,Monthly!AA$14)*(1+'Attrition Modeling'!$N$8)-IFERROR(AD7/AD74,0)*12)/12*AD74,0))</f>
        <v>0</v>
      </c>
      <c r="AF139" s="799">
        <f>MIN(IF(ISERROR(VLOOKUP(AF$134-$F139,$E$135:$E$165,1,FALSE)),0,AE7*$C$2),MAX((IF(Monthly!AB$4=TRUE,Monthly!AB$13,Monthly!AB$14)*(1+'Attrition Modeling'!$N$8)-IFERROR(AE7/AE74,0)*12)/12*AE74,0))</f>
        <v>0</v>
      </c>
      <c r="AG139" s="799">
        <f>MIN(IF(ISERROR(VLOOKUP(AG$134-$F139,$E$135:$E$165,1,FALSE)),0,AF7*$C$2),MAX((IF(Monthly!AC$4=TRUE,Monthly!AC$13,Monthly!AC$14)*(1+'Attrition Modeling'!$N$8)-IFERROR(AF7/AF74,0)*12)/12*AF74,0))</f>
        <v>0</v>
      </c>
      <c r="AH139" s="799">
        <f>MIN(IF(ISERROR(VLOOKUP(AH$134-$F139,$E$135:$E$165,1,FALSE)),0,AG7*$C$2),MAX((IF(Monthly!AD$4=TRUE,Monthly!AD$13,Monthly!AD$14)*(1+'Attrition Modeling'!$N$8)-IFERROR(AG7/AG74,0)*12)/12*AG74,0))</f>
        <v>0</v>
      </c>
      <c r="AI139" s="799">
        <f>MIN(IF(ISERROR(VLOOKUP(AI$134-$F139,$E$135:$E$165,1,FALSE)),0,AH7*$C$2),MAX((IF(Monthly!AE$4=TRUE,Monthly!AE$13,Monthly!AE$14)*(1+'Attrition Modeling'!$N$8)-IFERROR(AH7/AH74,0)*12)/12*AH74,0))</f>
        <v>0</v>
      </c>
      <c r="AJ139" s="799">
        <f>MIN(IF(ISERROR(VLOOKUP(AJ$134-$F139,$E$135:$E$165,1,FALSE)),0,AI7*$C$2),MAX((IF(Monthly!AF$4=TRUE,Monthly!AF$13,Monthly!AF$14)*(1+'Attrition Modeling'!$N$8)-IFERROR(AI7/AI74,0)*12)/12*AI74,0))</f>
        <v>0</v>
      </c>
      <c r="AK139" s="799">
        <f>MIN(IF(ISERROR(VLOOKUP(AK$134-$F139,$E$135:$E$165,1,FALSE)),0,AJ7*$C$2),MAX((IF(Monthly!AG$4=TRUE,Monthly!AG$13,Monthly!AG$14)*(1+'Attrition Modeling'!$N$8)-IFERROR(AJ7/AJ74,0)*12)/12*AJ74,0))</f>
        <v>0</v>
      </c>
      <c r="AL139" s="799">
        <f>MIN(IF(ISERROR(VLOOKUP(AL$134-$F139,$E$135:$E$165,1,FALSE)),0,AK7*$C$2),MAX((IF(Monthly!AH$4=TRUE,Monthly!AH$13,Monthly!AH$14)*(1+'Attrition Modeling'!$N$8)-IFERROR(AK7/AK74,0)*12)/12*AK74,0))</f>
        <v>0</v>
      </c>
      <c r="AM139" s="799">
        <f>MIN(IF(ISERROR(VLOOKUP(AM$134-$F139,$E$135:$E$165,1,FALSE)),0,AL7*$C$2),MAX((IF(Monthly!AI$4=TRUE,Monthly!AI$13,Monthly!AI$14)*(1+'Attrition Modeling'!$N$8)-IFERROR(AL7/AL74,0)*12)/12*AL74,0))</f>
        <v>0</v>
      </c>
      <c r="AN139" s="799">
        <f>MIN(IF(ISERROR(VLOOKUP(AN$134-$F139,$E$135:$E$165,1,FALSE)),0,AM7*$C$2),MAX((IF(Monthly!AJ$4=TRUE,Monthly!AJ$13,Monthly!AJ$14)*(1+'Attrition Modeling'!$N$8)-IFERROR(AM7/AM74,0)*12)/12*AM74,0))</f>
        <v>0</v>
      </c>
      <c r="AO139" s="799">
        <f>MIN(IF(ISERROR(VLOOKUP(AO$134-$F139,$E$135:$E$165,1,FALSE)),0,AN7*$C$2),MAX((IF(Monthly!AK$4=TRUE,Monthly!AK$13,Monthly!AK$14)*(1+'Attrition Modeling'!$N$8)-IFERROR(AN7/AN74,0)*12)/12*AN74,0))</f>
        <v>212.53321889102017</v>
      </c>
      <c r="AP139" s="799">
        <f>MIN(IF(ISERROR(VLOOKUP(AP$134-$F139,$E$135:$E$165,1,FALSE)),0,AO7*$C$2),MAX((IF(Monthly!AL$4=TRUE,Monthly!AL$13,Monthly!AL$14)*(1+'Attrition Modeling'!$N$8)-IFERROR(AO7/AO74,0)*12)/12*AO74,0))</f>
        <v>0</v>
      </c>
      <c r="AQ139" s="799">
        <f>MIN(IF(ISERROR(VLOOKUP(AQ$134-$F139,$E$135:$E$165,1,FALSE)),0,AP7*$C$2),MAX((IF(Monthly!AM$4=TRUE,Monthly!AM$13,Monthly!AM$14)*(1+'Attrition Modeling'!$N$8)-IFERROR(AP7/AP74,0)*12)/12*AP74,0))</f>
        <v>0</v>
      </c>
      <c r="AR139" s="799">
        <f>MIN(IF(ISERROR(VLOOKUP(AR$134-$F139,$E$135:$E$165,1,FALSE)),0,AQ7*$C$2),MAX((IF(Monthly!AN$4=TRUE,Monthly!AN$13,Monthly!AN$14)*(1+'Attrition Modeling'!$N$8)-IFERROR(AQ7/AQ74,0)*12)/12*AQ74,0))</f>
        <v>0</v>
      </c>
      <c r="AS139" s="799">
        <f>MIN(IF(ISERROR(VLOOKUP(AS$134-$F139,$E$135:$E$165,1,FALSE)),0,AR7*$C$2),MAX((IF(Monthly!AO$4=TRUE,Monthly!AO$13,Monthly!AO$14)*(1+'Attrition Modeling'!$N$8)-IFERROR(AR7/AR74,0)*12)/12*AR74,0))</f>
        <v>0</v>
      </c>
      <c r="AT139" s="799">
        <f>MIN(IF(ISERROR(VLOOKUP(AT$134-$F139,$E$135:$E$165,1,FALSE)),0,AS7*$C$2),MAX((IF(Monthly!AP$4=TRUE,Monthly!AP$13,Monthly!AP$14)*(1+'Attrition Modeling'!$N$8)-IFERROR(AS7/AS74,0)*12)/12*AS74,0))</f>
        <v>0</v>
      </c>
      <c r="AU139" s="799">
        <f>MIN(IF(ISERROR(VLOOKUP(AU$134-$F139,$E$135:$E$165,1,FALSE)),0,AT7*$C$2),MAX((IF(Monthly!AQ$4=TRUE,Monthly!AQ$13,Monthly!AQ$14)*(1+'Attrition Modeling'!$N$8)-IFERROR(AT7/AT74,0)*12)/12*AT74,0))</f>
        <v>0</v>
      </c>
      <c r="AV139" s="799">
        <f>MIN(IF(ISERROR(VLOOKUP(AV$134-$F139,$E$135:$E$165,1,FALSE)),0,AU7*$C$2),MAX((IF(Monthly!AR$4=TRUE,Monthly!AR$13,Monthly!AR$14)*(1+'Attrition Modeling'!$N$8)-IFERROR(AU7/AU74,0)*12)/12*AU74,0))</f>
        <v>0</v>
      </c>
      <c r="AW139" s="799">
        <f>MIN(IF(ISERROR(VLOOKUP(AW$134-$F139,$E$135:$E$165,1,FALSE)),0,AV7*$C$2),MAX((IF(Monthly!AS$4=TRUE,Monthly!AS$13,Monthly!AS$14)*(1+'Attrition Modeling'!$N$8)-IFERROR(AV7/AV74,0)*12)/12*AV74,0))</f>
        <v>0</v>
      </c>
      <c r="AX139" s="799">
        <f>MIN(IF(ISERROR(VLOOKUP(AX$134-$F139,$E$135:$E$165,1,FALSE)),0,AW7*$C$2),MAX((IF(Monthly!AT$4=TRUE,Monthly!AT$13,Monthly!AT$14)*(1+'Attrition Modeling'!$N$8)-IFERROR(AW7/AW74,0)*12)/12*AW74,0))</f>
        <v>0</v>
      </c>
      <c r="AY139" s="799">
        <f>MIN(IF(ISERROR(VLOOKUP(AY$134-$F139,$E$135:$E$165,1,FALSE)),0,AX7*$C$2),MAX((IF(Monthly!AU$4=TRUE,Monthly!AU$13,Monthly!AU$14)*(1+'Attrition Modeling'!$N$8)-IFERROR(AX7/AX74,0)*12)/12*AX74,0))</f>
        <v>0</v>
      </c>
      <c r="AZ139" s="799">
        <f>MIN(IF(ISERROR(VLOOKUP(AZ$134-$F139,$E$135:$E$165,1,FALSE)),0,AY7*$C$2),MAX((IF(Monthly!AV$4=TRUE,Monthly!AV$13,Monthly!AV$14)*(1+'Attrition Modeling'!$N$8)-IFERROR(AY7/AY74,0)*12)/12*AY74,0))</f>
        <v>0</v>
      </c>
      <c r="BA139" s="799">
        <f>MIN(IF(ISERROR(VLOOKUP(BA$134-$F139,$E$135:$E$165,1,FALSE)),0,AZ7*$C$2),MAX((IF(Monthly!AW$4=TRUE,Monthly!AW$13,Monthly!AW$14)*(1+'Attrition Modeling'!$N$8)-IFERROR(AZ7/AZ74,0)*12)/12*AZ74,0))</f>
        <v>42.278301285161497</v>
      </c>
      <c r="BB139" s="799">
        <f>MIN(IF(ISERROR(VLOOKUP(BB$134-$F139,$E$135:$E$165,1,FALSE)),0,BA7*$C$2),MAX((IF(Monthly!AX$4=TRUE,Monthly!AX$13,Monthly!AX$14)*(1+'Attrition Modeling'!$N$8)-IFERROR(BA7/BA74,0)*12)/12*BA74,0))</f>
        <v>0</v>
      </c>
      <c r="BC139" s="799">
        <f>MIN(IF(ISERROR(VLOOKUP(BC$134-$F139,$E$135:$E$165,1,FALSE)),0,BB7*$C$2),MAX((IF(Monthly!AY$4=TRUE,Monthly!AY$13,Monthly!AY$14)*(1+'Attrition Modeling'!$N$8)-IFERROR(BB7/BB74,0)*12)/12*BB74,0))</f>
        <v>0</v>
      </c>
      <c r="BD139" s="799">
        <f>MIN(IF(ISERROR(VLOOKUP(BD$134-$F139,$E$135:$E$165,1,FALSE)),0,BC7*$C$2),MAX((IF(Monthly!AZ$4=TRUE,Monthly!AZ$13,Monthly!AZ$14)*(1+'Attrition Modeling'!$N$8)-IFERROR(BC7/BC74,0)*12)/12*BC74,0))</f>
        <v>0</v>
      </c>
      <c r="BE139" s="799">
        <f>MIN(IF(ISERROR(VLOOKUP(BE$134-$F139,$E$135:$E$165,1,FALSE)),0,BD7*$C$2),MAX((IF(Monthly!BA$4=TRUE,Monthly!BA$13,Monthly!BA$14)*(1+'Attrition Modeling'!$N$8)-IFERROR(BD7/BD74,0)*12)/12*BD74,0))</f>
        <v>0</v>
      </c>
      <c r="BF139" s="799">
        <f>MIN(IF(ISERROR(VLOOKUP(BF$134-$F139,$E$135:$E$165,1,FALSE)),0,BE7*$C$2),MAX((IF(Monthly!BB$4=TRUE,Monthly!BB$13,Monthly!BB$14)*(1+'Attrition Modeling'!$N$8)-IFERROR(BE7/BE74,0)*12)/12*BE74,0))</f>
        <v>0</v>
      </c>
      <c r="BG139" s="799">
        <f>MIN(IF(ISERROR(VLOOKUP(BG$134-$F139,$E$135:$E$165,1,FALSE)),0,BF7*$C$2),MAX((IF(Monthly!BC$4=TRUE,Monthly!BC$13,Monthly!BC$14)*(1+'Attrition Modeling'!$N$8)-IFERROR(BF7/BF74,0)*12)/12*BF74,0))</f>
        <v>0</v>
      </c>
      <c r="BH139" s="799">
        <f>MIN(IF(ISERROR(VLOOKUP(BH$134-$F139,$E$135:$E$165,1,FALSE)),0,BG7*$C$2),MAX((IF(Monthly!BD$4=TRUE,Monthly!BD$13,Monthly!BD$14)*(1+'Attrition Modeling'!$N$8)-IFERROR(BG7/BG74,0)*12)/12*BG74,0))</f>
        <v>0</v>
      </c>
      <c r="BI139" s="799">
        <f>MIN(IF(ISERROR(VLOOKUP(BI$134-$F139,$E$135:$E$165,1,FALSE)),0,BH7*$C$2),MAX((IF(Monthly!BE$4=TRUE,Monthly!BE$13,Monthly!BE$14)*(1+'Attrition Modeling'!$N$8)-IFERROR(BH7/BH74,0)*12)/12*BH74,0))</f>
        <v>0</v>
      </c>
      <c r="BJ139" s="799">
        <f>MIN(IF(ISERROR(VLOOKUP(BJ$134-$F139,$E$135:$E$165,1,FALSE)),0,BI7*$C$2),MAX((IF(Monthly!BF$4=TRUE,Monthly!BF$13,Monthly!BF$14)*(1+'Attrition Modeling'!$N$8)-IFERROR(BI7/BI74,0)*12)/12*BI74,0))</f>
        <v>0</v>
      </c>
      <c r="BK139" s="799">
        <f>MIN(IF(ISERROR(VLOOKUP(BK$134-$F139,$E$135:$E$165,1,FALSE)),0,BJ7*$C$2),MAX((IF(Monthly!BG$4=TRUE,Monthly!BG$13,Monthly!BG$14)*(1+'Attrition Modeling'!$N$8)-IFERROR(BJ7/BJ74,0)*12)/12*BJ74,0))</f>
        <v>0</v>
      </c>
      <c r="BL139" s="799">
        <f>MIN(IF(ISERROR(VLOOKUP(BL$134-$F139,$E$135:$E$165,1,FALSE)),0,BK7*$C$2),MAX((IF(Monthly!BH$4=TRUE,Monthly!BH$13,Monthly!BH$14)*(1+'Attrition Modeling'!$N$8)-IFERROR(BK7/BK74,0)*12)/12*BK74,0))</f>
        <v>0</v>
      </c>
      <c r="BM139" s="799">
        <f>MIN(IF(ISERROR(VLOOKUP(BM$134-$F139,$E$135:$E$165,1,FALSE)),0,BL7*$C$2),MAX((IF(Monthly!BI$4=TRUE,Monthly!BI$13,Monthly!BI$14)*(1+'Attrition Modeling'!$N$8)-IFERROR(BL7/BL74,0)*12)/12*BL74,0))</f>
        <v>46.447267152980658</v>
      </c>
      <c r="BN139" s="799">
        <f>MIN(IF(ISERROR(VLOOKUP(BN$134-$F139,$E$135:$E$165,1,FALSE)),0,BM7*$C$2),MAX((IF(Monthly!BJ$4=TRUE,Monthly!BJ$13,Monthly!BJ$14)*(1+'Attrition Modeling'!$N$8)-IFERROR(BM7/BM74,0)*12)/12*BM74,0))</f>
        <v>0</v>
      </c>
      <c r="BO139" s="799">
        <f>MIN(IF(ISERROR(VLOOKUP(BO$134-$F139,$E$135:$E$165,1,FALSE)),0,BN7*$C$2),MAX((IF(Monthly!BK$4=TRUE,Monthly!BK$13,Monthly!BK$14)*(1+'Attrition Modeling'!$N$8)-IFERROR(BN7/BN74,0)*12)/12*BN74,0))</f>
        <v>0</v>
      </c>
      <c r="BP139" s="799">
        <f>MIN(IF(ISERROR(VLOOKUP(BP$134-$F139,$E$135:$E$165,1,FALSE)),0,BO7*$C$2),MAX((IF(Monthly!BP$4=TRUE,Monthly!BP$13,Monthly!BP$14)*(1+'Attrition Modeling'!$N$8)-IFERROR(BO7/BO74,0)*12)/12*BO74,0))</f>
        <v>0</v>
      </c>
      <c r="BQ139" s="799">
        <f>MIN(IF(ISERROR(VLOOKUP(BQ$134-$F139,$E$135:$E$165,1,FALSE)),0,BP7*$C$2),MAX((IF(Monthly!BQ$4=TRUE,Monthly!BQ$13,Monthly!BQ$14)*(1+'Attrition Modeling'!$N$8)-IFERROR(BP7/BP74,0)*12)/12*BP74,0))</f>
        <v>0</v>
      </c>
      <c r="BR139" s="799">
        <f>MIN(IF(ISERROR(VLOOKUP(BR$134-$F139,$E$135:$E$165,1,FALSE)),0,BQ7*$C$2),MAX((IF(Monthly!BR$4=TRUE,Monthly!BR$13,Monthly!BR$14)*(1+'Attrition Modeling'!$N$8)-IFERROR(BQ7/BQ74,0)*12)/12*BQ74,0))</f>
        <v>0</v>
      </c>
      <c r="BS139" s="799">
        <f>MIN(IF(ISERROR(VLOOKUP(BS$134-$F139,$E$135:$E$165,1,FALSE)),0,BR7*$C$2),MAX((IF(Monthly!BS$4=TRUE,Monthly!BS$13,Monthly!BS$14)*(1+'Attrition Modeling'!$N$8)-IFERROR(BR7/BR74,0)*12)/12*BR74,0))</f>
        <v>0</v>
      </c>
      <c r="BT139" s="799">
        <f>MIN(IF(ISERROR(VLOOKUP(BT$134-$F139,$E$135:$E$165,1,FALSE)),0,BS7*$C$2),MAX((IF(Monthly!BT$4=TRUE,Monthly!BT$13,Monthly!BT$14)*(1+'Attrition Modeling'!$N$8)-IFERROR(BS7/BS74,0)*12)/12*BS74,0))</f>
        <v>0</v>
      </c>
      <c r="BU139" s="799">
        <f>MIN(IF(ISERROR(VLOOKUP(BU$134-$F139,$E$135:$E$165,1,FALSE)),0,BT7*$C$2),MAX((IF(Monthly!BU$4=TRUE,Monthly!BU$13,Monthly!BU$14)*(1+'Attrition Modeling'!$N$8)-IFERROR(BT7/BT74,0)*12)/12*BT74,0))</f>
        <v>0</v>
      </c>
    </row>
    <row r="140" spans="1:73" ht="14.25" customHeight="1" x14ac:dyDescent="0.2">
      <c r="A140" s="9">
        <v>133</v>
      </c>
      <c r="B140" s="25">
        <f>MAX('Attrition Modeling'!H137,$C$3)*(1-Summary!$C$20)</f>
        <v>0.02</v>
      </c>
      <c r="C140" s="24" t="e">
        <f t="shared" si="4"/>
        <v>#DIV/0!</v>
      </c>
      <c r="E140" s="11">
        <f t="shared" si="13"/>
        <v>66</v>
      </c>
      <c r="F140" s="11">
        <f t="shared" si="14"/>
        <v>5</v>
      </c>
      <c r="G140" s="799"/>
      <c r="H140" s="799">
        <f>MIN(IF(ISERROR(VLOOKUP(H$134-$F140,$E$135:$E$165,1,FALSE)),0,G8*$C$2),MAX((IF(Monthly!D$4=TRUE,Monthly!D$13,Monthly!D$14)*(1+'Attrition Modeling'!$N$8)-IFERROR(G8/G75,0)*12)/12*G75,0))</f>
        <v>0</v>
      </c>
      <c r="I140" s="799">
        <f>MIN(IF(ISERROR(VLOOKUP(I$134-$F140,$E$135:$E$165,1,FALSE)),0,H8*$C$2),MAX((IF(Monthly!E$4=TRUE,Monthly!E$13,Monthly!E$14)*(1+'Attrition Modeling'!$N$8)-IFERROR(H8/H75,0)*12)/12*H75,0))</f>
        <v>0</v>
      </c>
      <c r="J140" s="799">
        <f>MIN(IF(ISERROR(VLOOKUP(J$134-$F140,$E$135:$E$165,1,FALSE)),0,I8*$C$2),MAX((IF(Monthly!F$4=TRUE,Monthly!F$13,Monthly!F$14)*(1+'Attrition Modeling'!$N$8)-IFERROR(I8/I75,0)*12)/12*I75,0))</f>
        <v>0</v>
      </c>
      <c r="K140" s="799">
        <f>MIN(IF(ISERROR(VLOOKUP(K$134-$F140,$E$135:$E$165,1,FALSE)),0,J8*$C$2),MAX((IF(Monthly!G$4=TRUE,Monthly!G$13,Monthly!G$14)*(1+'Attrition Modeling'!$N$8)-IFERROR(J8/J75,0)*12)/12*J75,0))</f>
        <v>0</v>
      </c>
      <c r="L140" s="799">
        <f>MIN(IF(ISERROR(VLOOKUP(L$134-$F140,$E$135:$E$165,1,FALSE)),0,K8*$C$2),MAX((IF(Monthly!H$4=TRUE,Monthly!H$13,Monthly!H$14)*(1+'Attrition Modeling'!$N$8)-IFERROR(K8/K75,0)*12)/12*K75,0))</f>
        <v>0</v>
      </c>
      <c r="M140" s="799">
        <f>MIN(IF(ISERROR(VLOOKUP(M$134-$F140,$E$135:$E$165,1,FALSE)),0,L8*$C$2),MAX((IF(Monthly!I$4=TRUE,Monthly!I$13,Monthly!I$14)*(1+'Attrition Modeling'!$N$8)-IFERROR(L8/L75,0)*12)/12*L75,0))</f>
        <v>0</v>
      </c>
      <c r="N140" s="799">
        <f>MIN(IF(ISERROR(VLOOKUP(N$134-$F140,$E$135:$E$165,1,FALSE)),0,M8*$C$2),MAX((IF(Monthly!J$4=TRUE,Monthly!J$13,Monthly!J$14)*(1+'Attrition Modeling'!$N$8)-IFERROR(M8/M75,0)*12)/12*M75,0))</f>
        <v>0</v>
      </c>
      <c r="O140" s="799">
        <f>MIN(IF(ISERROR(VLOOKUP(O$134-$F140,$E$135:$E$165,1,FALSE)),0,N8*$C$2),MAX((IF(Monthly!K$4=TRUE,Monthly!K$13,Monthly!K$14)*(1+'Attrition Modeling'!$N$8)-IFERROR(N8/N75,0)*12)/12*N75,0))</f>
        <v>0</v>
      </c>
      <c r="P140" s="799">
        <f>MIN(IF(ISERROR(VLOOKUP(P$134-$F140,$E$135:$E$165,1,FALSE)),0,O8*$C$2),MAX((IF(Monthly!L$4=TRUE,Monthly!L$13,Monthly!L$14)*(1+'Attrition Modeling'!$N$8)-IFERROR(O8/O75,0)*12)/12*O75,0))</f>
        <v>0</v>
      </c>
      <c r="Q140" s="799">
        <f>MIN(IF(ISERROR(VLOOKUP(Q$134-$F140,$E$135:$E$165,1,FALSE)),0,P8*$C$2),MAX((IF(Monthly!M$4=TRUE,Monthly!M$13,Monthly!M$14)*(1+'Attrition Modeling'!$N$8)-IFERROR(P8/P75,0)*12)/12*P75,0))</f>
        <v>0</v>
      </c>
      <c r="R140" s="799">
        <f>MIN(IF(ISERROR(VLOOKUP(R$134-$F140,$E$135:$E$165,1,FALSE)),0,Q8*$C$2),MAX((IF(Monthly!N$4=TRUE,Monthly!N$13,Monthly!N$14)*(1+'Attrition Modeling'!$N$8)-IFERROR(Q8/Q75,0)*12)/12*Q75,0))</f>
        <v>547.07365854368572</v>
      </c>
      <c r="S140" s="799">
        <f>MIN(IF(ISERROR(VLOOKUP(S$134-$F140,$E$135:$E$165,1,FALSE)),0,R8*$C$2),MAX((IF(Monthly!O$4=TRUE,Monthly!O$13,Monthly!O$14)*(1+'Attrition Modeling'!$N$8)-IFERROR(R8/R75,0)*12)/12*R75,0))</f>
        <v>0</v>
      </c>
      <c r="T140" s="799">
        <f>MIN(IF(ISERROR(VLOOKUP(T$134-$F140,$E$135:$E$165,1,FALSE)),0,S8*$C$2),MAX((IF(Monthly!P$4=TRUE,Monthly!P$13,Monthly!P$14)*(1+'Attrition Modeling'!$N$8)-IFERROR(S8/S75,0)*12)/12*S75,0))</f>
        <v>0</v>
      </c>
      <c r="U140" s="799">
        <f>MIN(IF(ISERROR(VLOOKUP(U$134-$F140,$E$135:$E$165,1,FALSE)),0,T8*$C$2),MAX((IF(Monthly!Q$4=TRUE,Monthly!Q$13,Monthly!Q$14)*(1+'Attrition Modeling'!$N$8)-IFERROR(T8/T75,0)*12)/12*T75,0))</f>
        <v>0</v>
      </c>
      <c r="V140" s="799">
        <f>MIN(IF(ISERROR(VLOOKUP(V$134-$F140,$E$135:$E$165,1,FALSE)),0,U8*$C$2),MAX((IF(Monthly!R$4=TRUE,Monthly!R$13,Monthly!R$14)*(1+'Attrition Modeling'!$N$8)-IFERROR(U8/U75,0)*12)/12*U75,0))</f>
        <v>0</v>
      </c>
      <c r="W140" s="799">
        <f>MIN(IF(ISERROR(VLOOKUP(W$134-$F140,$E$135:$E$165,1,FALSE)),0,V8*$C$2),MAX((IF(Monthly!S$4=TRUE,Monthly!S$13,Monthly!S$14)*(1+'Attrition Modeling'!$N$8)-IFERROR(V8/V75,0)*12)/12*V75,0))</f>
        <v>0</v>
      </c>
      <c r="X140" s="799">
        <f>MIN(IF(ISERROR(VLOOKUP(X$134-$F140,$E$135:$E$165,1,FALSE)),0,W8*$C$2),MAX((IF(Monthly!T$4=TRUE,Monthly!T$13,Monthly!T$14)*(1+'Attrition Modeling'!$N$8)-IFERROR(W8/W75,0)*12)/12*W75,0))</f>
        <v>0</v>
      </c>
      <c r="Y140" s="799">
        <f>MIN(IF(ISERROR(VLOOKUP(Y$134-$F140,$E$135:$E$165,1,FALSE)),0,X8*$C$2),MAX((IF(Monthly!U$4=TRUE,Monthly!U$13,Monthly!U$14)*(1+'Attrition Modeling'!$N$8)-IFERROR(X8/X75,0)*12)/12*X75,0))</f>
        <v>0</v>
      </c>
      <c r="Z140" s="799">
        <f>MIN(IF(ISERROR(VLOOKUP(Z$134-$F140,$E$135:$E$165,1,FALSE)),0,Y8*$C$2),MAX((IF(Monthly!V$4=TRUE,Monthly!V$13,Monthly!V$14)*(1+'Attrition Modeling'!$N$8)-IFERROR(Y8/Y75,0)*12)/12*Y75,0))</f>
        <v>0</v>
      </c>
      <c r="AA140" s="799">
        <f>MIN(IF(ISERROR(VLOOKUP(AA$134-$F140,$E$135:$E$165,1,FALSE)),0,Z8*$C$2),MAX((IF(Monthly!W$4=TRUE,Monthly!W$13,Monthly!W$14)*(1+'Attrition Modeling'!$N$8)-IFERROR(Z8/Z75,0)*12)/12*Z75,0))</f>
        <v>0</v>
      </c>
      <c r="AB140" s="799">
        <f>MIN(IF(ISERROR(VLOOKUP(AB$134-$F140,$E$135:$E$165,1,FALSE)),0,AA8*$C$2),MAX((IF(Monthly!X$4=TRUE,Monthly!X$13,Monthly!X$14)*(1+'Attrition Modeling'!$N$8)-IFERROR(AA8/AA75,0)*12)/12*AA75,0))</f>
        <v>0</v>
      </c>
      <c r="AC140" s="799">
        <f>MIN(IF(ISERROR(VLOOKUP(AC$134-$F140,$E$135:$E$165,1,FALSE)),0,AB8*$C$2),MAX((IF(Monthly!Y$4=TRUE,Monthly!Y$13,Monthly!Y$14)*(1+'Attrition Modeling'!$N$8)-IFERROR(AB8/AB75,0)*12)/12*AB75,0))</f>
        <v>0</v>
      </c>
      <c r="AD140" s="799">
        <f>MIN(IF(ISERROR(VLOOKUP(AD$134-$F140,$E$135:$E$165,1,FALSE)),0,AC8*$C$2),MAX((IF(Monthly!Z$4=TRUE,Monthly!Z$13,Monthly!Z$14)*(1+'Attrition Modeling'!$N$8)-IFERROR(AC8/AC75,0)*12)/12*AC75,0))</f>
        <v>291.00416483449504</v>
      </c>
      <c r="AE140" s="799">
        <f>MIN(IF(ISERROR(VLOOKUP(AE$134-$F140,$E$135:$E$165,1,FALSE)),0,AD8*$C$2),MAX((IF(Monthly!AA$4=TRUE,Monthly!AA$13,Monthly!AA$14)*(1+'Attrition Modeling'!$N$8)-IFERROR(AD8/AD75,0)*12)/12*AD75,0))</f>
        <v>0</v>
      </c>
      <c r="AF140" s="799">
        <f>MIN(IF(ISERROR(VLOOKUP(AF$134-$F140,$E$135:$E$165,1,FALSE)),0,AE8*$C$2),MAX((IF(Monthly!AB$4=TRUE,Monthly!AB$13,Monthly!AB$14)*(1+'Attrition Modeling'!$N$8)-IFERROR(AE8/AE75,0)*12)/12*AE75,0))</f>
        <v>0</v>
      </c>
      <c r="AG140" s="799">
        <f>MIN(IF(ISERROR(VLOOKUP(AG$134-$F140,$E$135:$E$165,1,FALSE)),0,AF8*$C$2),MAX((IF(Monthly!AC$4=TRUE,Monthly!AC$13,Monthly!AC$14)*(1+'Attrition Modeling'!$N$8)-IFERROR(AF8/AF75,0)*12)/12*AF75,0))</f>
        <v>0</v>
      </c>
      <c r="AH140" s="799">
        <f>MIN(IF(ISERROR(VLOOKUP(AH$134-$F140,$E$135:$E$165,1,FALSE)),0,AG8*$C$2),MAX((IF(Monthly!AD$4=TRUE,Monthly!AD$13,Monthly!AD$14)*(1+'Attrition Modeling'!$N$8)-IFERROR(AG8/AG75,0)*12)/12*AG75,0))</f>
        <v>0</v>
      </c>
      <c r="AI140" s="799">
        <f>MIN(IF(ISERROR(VLOOKUP(AI$134-$F140,$E$135:$E$165,1,FALSE)),0,AH8*$C$2),MAX((IF(Monthly!AE$4=TRUE,Monthly!AE$13,Monthly!AE$14)*(1+'Attrition Modeling'!$N$8)-IFERROR(AH8/AH75,0)*12)/12*AH75,0))</f>
        <v>0</v>
      </c>
      <c r="AJ140" s="799">
        <f>MIN(IF(ISERROR(VLOOKUP(AJ$134-$F140,$E$135:$E$165,1,FALSE)),0,AI8*$C$2),MAX((IF(Monthly!AF$4=TRUE,Monthly!AF$13,Monthly!AF$14)*(1+'Attrition Modeling'!$N$8)-IFERROR(AI8/AI75,0)*12)/12*AI75,0))</f>
        <v>0</v>
      </c>
      <c r="AK140" s="799">
        <f>MIN(IF(ISERROR(VLOOKUP(AK$134-$F140,$E$135:$E$165,1,FALSE)),0,AJ8*$C$2),MAX((IF(Monthly!AG$4=TRUE,Monthly!AG$13,Monthly!AG$14)*(1+'Attrition Modeling'!$N$8)-IFERROR(AJ8/AJ75,0)*12)/12*AJ75,0))</f>
        <v>0</v>
      </c>
      <c r="AL140" s="799">
        <f>MIN(IF(ISERROR(VLOOKUP(AL$134-$F140,$E$135:$E$165,1,FALSE)),0,AK8*$C$2),MAX((IF(Monthly!AH$4=TRUE,Monthly!AH$13,Monthly!AH$14)*(1+'Attrition Modeling'!$N$8)-IFERROR(AK8/AK75,0)*12)/12*AK75,0))</f>
        <v>0</v>
      </c>
      <c r="AM140" s="799">
        <f>MIN(IF(ISERROR(VLOOKUP(AM$134-$F140,$E$135:$E$165,1,FALSE)),0,AL8*$C$2),MAX((IF(Monthly!AI$4=TRUE,Monthly!AI$13,Monthly!AI$14)*(1+'Attrition Modeling'!$N$8)-IFERROR(AL8/AL75,0)*12)/12*AL75,0))</f>
        <v>0</v>
      </c>
      <c r="AN140" s="799">
        <f>MIN(IF(ISERROR(VLOOKUP(AN$134-$F140,$E$135:$E$165,1,FALSE)),0,AM8*$C$2),MAX((IF(Monthly!AJ$4=TRUE,Monthly!AJ$13,Monthly!AJ$14)*(1+'Attrition Modeling'!$N$8)-IFERROR(AM8/AM75,0)*12)/12*AM75,0))</f>
        <v>0</v>
      </c>
      <c r="AO140" s="799">
        <f>MIN(IF(ISERROR(VLOOKUP(AO$134-$F140,$E$135:$E$165,1,FALSE)),0,AN8*$C$2),MAX((IF(Monthly!AK$4=TRUE,Monthly!AK$13,Monthly!AK$14)*(1+'Attrition Modeling'!$N$8)-IFERROR(AN8/AN75,0)*12)/12*AN75,0))</f>
        <v>0</v>
      </c>
      <c r="AP140" s="799">
        <f>MIN(IF(ISERROR(VLOOKUP(AP$134-$F140,$E$135:$E$165,1,FALSE)),0,AO8*$C$2),MAX((IF(Monthly!AL$4=TRUE,Monthly!AL$13,Monthly!AL$14)*(1+'Attrition Modeling'!$N$8)-IFERROR(AO8/AO75,0)*12)/12*AO75,0))</f>
        <v>88.153337825506554</v>
      </c>
      <c r="AQ140" s="799">
        <f>MIN(IF(ISERROR(VLOOKUP(AQ$134-$F140,$E$135:$E$165,1,FALSE)),0,AP8*$C$2),MAX((IF(Monthly!AM$4=TRUE,Monthly!AM$13,Monthly!AM$14)*(1+'Attrition Modeling'!$N$8)-IFERROR(AP8/AP75,0)*12)/12*AP75,0))</f>
        <v>0</v>
      </c>
      <c r="AR140" s="799">
        <f>MIN(IF(ISERROR(VLOOKUP(AR$134-$F140,$E$135:$E$165,1,FALSE)),0,AQ8*$C$2),MAX((IF(Monthly!AN$4=TRUE,Monthly!AN$13,Monthly!AN$14)*(1+'Attrition Modeling'!$N$8)-IFERROR(AQ8/AQ75,0)*12)/12*AQ75,0))</f>
        <v>0</v>
      </c>
      <c r="AS140" s="799">
        <f>MIN(IF(ISERROR(VLOOKUP(AS$134-$F140,$E$135:$E$165,1,FALSE)),0,AR8*$C$2),MAX((IF(Monthly!AO$4=TRUE,Monthly!AO$13,Monthly!AO$14)*(1+'Attrition Modeling'!$N$8)-IFERROR(AR8/AR75,0)*12)/12*AR75,0))</f>
        <v>0</v>
      </c>
      <c r="AT140" s="799">
        <f>MIN(IF(ISERROR(VLOOKUP(AT$134-$F140,$E$135:$E$165,1,FALSE)),0,AS8*$C$2),MAX((IF(Monthly!AP$4=TRUE,Monthly!AP$13,Monthly!AP$14)*(1+'Attrition Modeling'!$N$8)-IFERROR(AS8/AS75,0)*12)/12*AS75,0))</f>
        <v>0</v>
      </c>
      <c r="AU140" s="799">
        <f>MIN(IF(ISERROR(VLOOKUP(AU$134-$F140,$E$135:$E$165,1,FALSE)),0,AT8*$C$2),MAX((IF(Monthly!AQ$4=TRUE,Monthly!AQ$13,Monthly!AQ$14)*(1+'Attrition Modeling'!$N$8)-IFERROR(AT8/AT75,0)*12)/12*AT75,0))</f>
        <v>0</v>
      </c>
      <c r="AV140" s="799">
        <f>MIN(IF(ISERROR(VLOOKUP(AV$134-$F140,$E$135:$E$165,1,FALSE)),0,AU8*$C$2),MAX((IF(Monthly!AR$4=TRUE,Monthly!AR$13,Monthly!AR$14)*(1+'Attrition Modeling'!$N$8)-IFERROR(AU8/AU75,0)*12)/12*AU75,0))</f>
        <v>0</v>
      </c>
      <c r="AW140" s="799">
        <f>MIN(IF(ISERROR(VLOOKUP(AW$134-$F140,$E$135:$E$165,1,FALSE)),0,AV8*$C$2),MAX((IF(Monthly!AS$4=TRUE,Monthly!AS$13,Monthly!AS$14)*(1+'Attrition Modeling'!$N$8)-IFERROR(AV8/AV75,0)*12)/12*AV75,0))</f>
        <v>0</v>
      </c>
      <c r="AX140" s="799">
        <f>MIN(IF(ISERROR(VLOOKUP(AX$134-$F140,$E$135:$E$165,1,FALSE)),0,AW8*$C$2),MAX((IF(Monthly!AT$4=TRUE,Monthly!AT$13,Monthly!AT$14)*(1+'Attrition Modeling'!$N$8)-IFERROR(AW8/AW75,0)*12)/12*AW75,0))</f>
        <v>0</v>
      </c>
      <c r="AY140" s="799">
        <f>MIN(IF(ISERROR(VLOOKUP(AY$134-$F140,$E$135:$E$165,1,FALSE)),0,AX8*$C$2),MAX((IF(Monthly!AU$4=TRUE,Monthly!AU$13,Monthly!AU$14)*(1+'Attrition Modeling'!$N$8)-IFERROR(AX8/AX75,0)*12)/12*AX75,0))</f>
        <v>0</v>
      </c>
      <c r="AZ140" s="799">
        <f>MIN(IF(ISERROR(VLOOKUP(AZ$134-$F140,$E$135:$E$165,1,FALSE)),0,AY8*$C$2),MAX((IF(Monthly!AV$4=TRUE,Monthly!AV$13,Monthly!AV$14)*(1+'Attrition Modeling'!$N$8)-IFERROR(AY8/AY75,0)*12)/12*AY75,0))</f>
        <v>0</v>
      </c>
      <c r="BA140" s="799">
        <f>MIN(IF(ISERROR(VLOOKUP(BA$134-$F140,$E$135:$E$165,1,FALSE)),0,AZ8*$C$2),MAX((IF(Monthly!AW$4=TRUE,Monthly!AW$13,Monthly!AW$14)*(1+'Attrition Modeling'!$N$8)-IFERROR(AZ8/AZ75,0)*12)/12*AZ75,0))</f>
        <v>0</v>
      </c>
      <c r="BB140" s="799">
        <f>MIN(IF(ISERROR(VLOOKUP(BB$134-$F140,$E$135:$E$165,1,FALSE)),0,BA8*$C$2),MAX((IF(Monthly!AX$4=TRUE,Monthly!AX$13,Monthly!AX$14)*(1+'Attrition Modeling'!$N$8)-IFERROR(BA8/BA75,0)*12)/12*BA75,0))</f>
        <v>48.882759797026942</v>
      </c>
      <c r="BC140" s="799">
        <f>MIN(IF(ISERROR(VLOOKUP(BC$134-$F140,$E$135:$E$165,1,FALSE)),0,BB8*$C$2),MAX((IF(Monthly!AY$4=TRUE,Monthly!AY$13,Monthly!AY$14)*(1+'Attrition Modeling'!$N$8)-IFERROR(BB8/BB75,0)*12)/12*BB75,0))</f>
        <v>0</v>
      </c>
      <c r="BD140" s="799">
        <f>MIN(IF(ISERROR(VLOOKUP(BD$134-$F140,$E$135:$E$165,1,FALSE)),0,BC8*$C$2),MAX((IF(Monthly!AZ$4=TRUE,Monthly!AZ$13,Monthly!AZ$14)*(1+'Attrition Modeling'!$N$8)-IFERROR(BC8/BC75,0)*12)/12*BC75,0))</f>
        <v>0</v>
      </c>
      <c r="BE140" s="799">
        <f>MIN(IF(ISERROR(VLOOKUP(BE$134-$F140,$E$135:$E$165,1,FALSE)),0,BD8*$C$2),MAX((IF(Monthly!BA$4=TRUE,Monthly!BA$13,Monthly!BA$14)*(1+'Attrition Modeling'!$N$8)-IFERROR(BD8/BD75,0)*12)/12*BD75,0))</f>
        <v>0</v>
      </c>
      <c r="BF140" s="799">
        <f>MIN(IF(ISERROR(VLOOKUP(BF$134-$F140,$E$135:$E$165,1,FALSE)),0,BE8*$C$2),MAX((IF(Monthly!BB$4=TRUE,Monthly!BB$13,Monthly!BB$14)*(1+'Attrition Modeling'!$N$8)-IFERROR(BE8/BE75,0)*12)/12*BE75,0))</f>
        <v>0</v>
      </c>
      <c r="BG140" s="799">
        <f>MIN(IF(ISERROR(VLOOKUP(BG$134-$F140,$E$135:$E$165,1,FALSE)),0,BF8*$C$2),MAX((IF(Monthly!BC$4=TRUE,Monthly!BC$13,Monthly!BC$14)*(1+'Attrition Modeling'!$N$8)-IFERROR(BF8/BF75,0)*12)/12*BF75,0))</f>
        <v>0</v>
      </c>
      <c r="BH140" s="799">
        <f>MIN(IF(ISERROR(VLOOKUP(BH$134-$F140,$E$135:$E$165,1,FALSE)),0,BG8*$C$2),MAX((IF(Monthly!BD$4=TRUE,Monthly!BD$13,Monthly!BD$14)*(1+'Attrition Modeling'!$N$8)-IFERROR(BG8/BG75,0)*12)/12*BG75,0))</f>
        <v>0</v>
      </c>
      <c r="BI140" s="799">
        <f>MIN(IF(ISERROR(VLOOKUP(BI$134-$F140,$E$135:$E$165,1,FALSE)),0,BH8*$C$2),MAX((IF(Monthly!BE$4=TRUE,Monthly!BE$13,Monthly!BE$14)*(1+'Attrition Modeling'!$N$8)-IFERROR(BH8/BH75,0)*12)/12*BH75,0))</f>
        <v>0</v>
      </c>
      <c r="BJ140" s="799">
        <f>MIN(IF(ISERROR(VLOOKUP(BJ$134-$F140,$E$135:$E$165,1,FALSE)),0,BI8*$C$2),MAX((IF(Monthly!BF$4=TRUE,Monthly!BF$13,Monthly!BF$14)*(1+'Attrition Modeling'!$N$8)-IFERROR(BI8/BI75,0)*12)/12*BI75,0))</f>
        <v>0</v>
      </c>
      <c r="BK140" s="799">
        <f>MIN(IF(ISERROR(VLOOKUP(BK$134-$F140,$E$135:$E$165,1,FALSE)),0,BJ8*$C$2),MAX((IF(Monthly!BG$4=TRUE,Monthly!BG$13,Monthly!BG$14)*(1+'Attrition Modeling'!$N$8)-IFERROR(BJ8/BJ75,0)*12)/12*BJ75,0))</f>
        <v>0</v>
      </c>
      <c r="BL140" s="799">
        <f>MIN(IF(ISERROR(VLOOKUP(BL$134-$F140,$E$135:$E$165,1,FALSE)),0,BK8*$C$2),MAX((IF(Monthly!BH$4=TRUE,Monthly!BH$13,Monthly!BH$14)*(1+'Attrition Modeling'!$N$8)-IFERROR(BK8/BK75,0)*12)/12*BK75,0))</f>
        <v>0</v>
      </c>
      <c r="BM140" s="799">
        <f>MIN(IF(ISERROR(VLOOKUP(BM$134-$F140,$E$135:$E$165,1,FALSE)),0,BL8*$C$2),MAX((IF(Monthly!BI$4=TRUE,Monthly!BI$13,Monthly!BI$14)*(1+'Attrition Modeling'!$N$8)-IFERROR(BL8/BL75,0)*12)/12*BL75,0))</f>
        <v>0</v>
      </c>
      <c r="BN140" s="799">
        <f>MIN(IF(ISERROR(VLOOKUP(BN$134-$F140,$E$135:$E$165,1,FALSE)),0,BM8*$C$2),MAX((IF(Monthly!BJ$4=TRUE,Monthly!BJ$13,Monthly!BJ$14)*(1+'Attrition Modeling'!$N$8)-IFERROR(BM8/BM75,0)*12)/12*BM75,0))</f>
        <v>39.216177504737139</v>
      </c>
      <c r="BO140" s="799">
        <f>MIN(IF(ISERROR(VLOOKUP(BO$134-$F140,$E$135:$E$165,1,FALSE)),0,BN8*$C$2),MAX((IF(Monthly!BK$4=TRUE,Monthly!BK$13,Monthly!BK$14)*(1+'Attrition Modeling'!$N$8)-IFERROR(BN8/BN75,0)*12)/12*BN75,0))</f>
        <v>0</v>
      </c>
      <c r="BP140" s="799">
        <f>MIN(IF(ISERROR(VLOOKUP(BP$134-$F140,$E$135:$E$165,1,FALSE)),0,BO8*$C$2),MAX((IF(Monthly!BP$4=TRUE,Monthly!BP$13,Monthly!BP$14)*(1+'Attrition Modeling'!$N$8)-IFERROR(BO8/BO75,0)*12)/12*BO75,0))</f>
        <v>0</v>
      </c>
      <c r="BQ140" s="799">
        <f>MIN(IF(ISERROR(VLOOKUP(BQ$134-$F140,$E$135:$E$165,1,FALSE)),0,BP8*$C$2),MAX((IF(Monthly!BQ$4=TRUE,Monthly!BQ$13,Monthly!BQ$14)*(1+'Attrition Modeling'!$N$8)-IFERROR(BP8/BP75,0)*12)/12*BP75,0))</f>
        <v>0</v>
      </c>
      <c r="BR140" s="799">
        <f>MIN(IF(ISERROR(VLOOKUP(BR$134-$F140,$E$135:$E$165,1,FALSE)),0,BQ8*$C$2),MAX((IF(Monthly!BR$4=TRUE,Monthly!BR$13,Monthly!BR$14)*(1+'Attrition Modeling'!$N$8)-IFERROR(BQ8/BQ75,0)*12)/12*BQ75,0))</f>
        <v>0</v>
      </c>
      <c r="BS140" s="799">
        <f>MIN(IF(ISERROR(VLOOKUP(BS$134-$F140,$E$135:$E$165,1,FALSE)),0,BR8*$C$2),MAX((IF(Monthly!BS$4=TRUE,Monthly!BS$13,Monthly!BS$14)*(1+'Attrition Modeling'!$N$8)-IFERROR(BR8/BR75,0)*12)/12*BR75,0))</f>
        <v>0</v>
      </c>
      <c r="BT140" s="799">
        <f>MIN(IF(ISERROR(VLOOKUP(BT$134-$F140,$E$135:$E$165,1,FALSE)),0,BS8*$C$2),MAX((IF(Monthly!BT$4=TRUE,Monthly!BT$13,Monthly!BT$14)*(1+'Attrition Modeling'!$N$8)-IFERROR(BS8/BS75,0)*12)/12*BS75,0))</f>
        <v>0</v>
      </c>
      <c r="BU140" s="799">
        <f>MIN(IF(ISERROR(VLOOKUP(BU$134-$F140,$E$135:$E$165,1,FALSE)),0,BT8*$C$2),MAX((IF(Monthly!BU$4=TRUE,Monthly!BU$13,Monthly!BU$14)*(1+'Attrition Modeling'!$N$8)-IFERROR(BT8/BT75,0)*12)/12*BT75,0))</f>
        <v>0</v>
      </c>
    </row>
    <row r="141" spans="1:73" ht="14.25" customHeight="1" x14ac:dyDescent="0.2">
      <c r="A141" s="9">
        <v>134</v>
      </c>
      <c r="B141" s="25">
        <f>MAX('Attrition Modeling'!H138,$C$3)*(1-Summary!$C$20)</f>
        <v>0.02</v>
      </c>
      <c r="C141" s="24" t="e">
        <f t="shared" si="4"/>
        <v>#DIV/0!</v>
      </c>
      <c r="E141" s="11">
        <f t="shared" si="13"/>
        <v>78</v>
      </c>
      <c r="F141" s="11">
        <f t="shared" si="14"/>
        <v>6</v>
      </c>
      <c r="G141" s="799"/>
      <c r="H141" s="799">
        <f>MIN(IF(ISERROR(VLOOKUP(H$134-$F141,$E$135:$E$165,1,FALSE)),0,G9*$C$2),MAX((IF(Monthly!D$4=TRUE,Monthly!D$13,Monthly!D$14)*(1+'Attrition Modeling'!$N$8)-IFERROR(G9/G76,0)*12)/12*G76,0))</f>
        <v>0</v>
      </c>
      <c r="I141" s="799">
        <f>MIN(IF(ISERROR(VLOOKUP(I$134-$F141,$E$135:$E$165,1,FALSE)),0,H9*$C$2),MAX((IF(Monthly!E$4=TRUE,Monthly!E$13,Monthly!E$14)*(1+'Attrition Modeling'!$N$8)-IFERROR(H9/H76,0)*12)/12*H76,0))</f>
        <v>0</v>
      </c>
      <c r="J141" s="799">
        <f>MIN(IF(ISERROR(VLOOKUP(J$134-$F141,$E$135:$E$165,1,FALSE)),0,I9*$C$2),MAX((IF(Monthly!F$4=TRUE,Monthly!F$13,Monthly!F$14)*(1+'Attrition Modeling'!$N$8)-IFERROR(I9/I76,0)*12)/12*I76,0))</f>
        <v>0</v>
      </c>
      <c r="K141" s="799">
        <f>MIN(IF(ISERROR(VLOOKUP(K$134-$F141,$E$135:$E$165,1,FALSE)),0,J9*$C$2),MAX((IF(Monthly!G$4=TRUE,Monthly!G$13,Monthly!G$14)*(1+'Attrition Modeling'!$N$8)-IFERROR(J9/J76,0)*12)/12*J76,0))</f>
        <v>0</v>
      </c>
      <c r="L141" s="799">
        <f>MIN(IF(ISERROR(VLOOKUP(L$134-$F141,$E$135:$E$165,1,FALSE)),0,K9*$C$2),MAX((IF(Monthly!H$4=TRUE,Monthly!H$13,Monthly!H$14)*(1+'Attrition Modeling'!$N$8)-IFERROR(K9/K76,0)*12)/12*K76,0))</f>
        <v>0</v>
      </c>
      <c r="M141" s="799">
        <f>MIN(IF(ISERROR(VLOOKUP(M$134-$F141,$E$135:$E$165,1,FALSE)),0,L9*$C$2),MAX((IF(Monthly!I$4=TRUE,Monthly!I$13,Monthly!I$14)*(1+'Attrition Modeling'!$N$8)-IFERROR(L9/L76,0)*12)/12*L76,0))</f>
        <v>0</v>
      </c>
      <c r="N141" s="799">
        <f>MIN(IF(ISERROR(VLOOKUP(N$134-$F141,$E$135:$E$165,1,FALSE)),0,M9*$C$2),MAX((IF(Monthly!J$4=TRUE,Monthly!J$13,Monthly!J$14)*(1+'Attrition Modeling'!$N$8)-IFERROR(M9/M76,0)*12)/12*M76,0))</f>
        <v>0</v>
      </c>
      <c r="O141" s="799">
        <f>MIN(IF(ISERROR(VLOOKUP(O$134-$F141,$E$135:$E$165,1,FALSE)),0,N9*$C$2),MAX((IF(Monthly!K$4=TRUE,Monthly!K$13,Monthly!K$14)*(1+'Attrition Modeling'!$N$8)-IFERROR(N9/N76,0)*12)/12*N76,0))</f>
        <v>0</v>
      </c>
      <c r="P141" s="799">
        <f>MIN(IF(ISERROR(VLOOKUP(P$134-$F141,$E$135:$E$165,1,FALSE)),0,O9*$C$2),MAX((IF(Monthly!L$4=TRUE,Monthly!L$13,Monthly!L$14)*(1+'Attrition Modeling'!$N$8)-IFERROR(O9/O76,0)*12)/12*O76,0))</f>
        <v>0</v>
      </c>
      <c r="Q141" s="799">
        <f>MIN(IF(ISERROR(VLOOKUP(Q$134-$F141,$E$135:$E$165,1,FALSE)),0,P9*$C$2),MAX((IF(Monthly!M$4=TRUE,Monthly!M$13,Monthly!M$14)*(1+'Attrition Modeling'!$N$8)-IFERROR(P9/P76,0)*12)/12*P76,0))</f>
        <v>0</v>
      </c>
      <c r="R141" s="799">
        <f>MIN(IF(ISERROR(VLOOKUP(R$134-$F141,$E$135:$E$165,1,FALSE)),0,Q9*$C$2),MAX((IF(Monthly!N$4=TRUE,Monthly!N$13,Monthly!N$14)*(1+'Attrition Modeling'!$N$8)-IFERROR(Q9/Q76,0)*12)/12*Q76,0))</f>
        <v>0</v>
      </c>
      <c r="S141" s="799">
        <f>MIN(IF(ISERROR(VLOOKUP(S$134-$F141,$E$135:$E$165,1,FALSE)),0,R9*$C$2),MAX((IF(Monthly!O$4=TRUE,Monthly!O$13,Monthly!O$14)*(1+'Attrition Modeling'!$N$8)-IFERROR(R9/R76,0)*12)/12*R76,0))</f>
        <v>562.87637779961256</v>
      </c>
      <c r="T141" s="799">
        <f>MIN(IF(ISERROR(VLOOKUP(T$134-$F141,$E$135:$E$165,1,FALSE)),0,S9*$C$2),MAX((IF(Monthly!P$4=TRUE,Monthly!P$13,Monthly!P$14)*(1+'Attrition Modeling'!$N$8)-IFERROR(S9/S76,0)*12)/12*S76,0))</f>
        <v>0</v>
      </c>
      <c r="U141" s="799">
        <f>MIN(IF(ISERROR(VLOOKUP(U$134-$F141,$E$135:$E$165,1,FALSE)),0,T9*$C$2),MAX((IF(Monthly!Q$4=TRUE,Monthly!Q$13,Monthly!Q$14)*(1+'Attrition Modeling'!$N$8)-IFERROR(T9/T76,0)*12)/12*T76,0))</f>
        <v>0</v>
      </c>
      <c r="V141" s="799">
        <f>MIN(IF(ISERROR(VLOOKUP(V$134-$F141,$E$135:$E$165,1,FALSE)),0,U9*$C$2),MAX((IF(Monthly!R$4=TRUE,Monthly!R$13,Monthly!R$14)*(1+'Attrition Modeling'!$N$8)-IFERROR(U9/U76,0)*12)/12*U76,0))</f>
        <v>0</v>
      </c>
      <c r="W141" s="799">
        <f>MIN(IF(ISERROR(VLOOKUP(W$134-$F141,$E$135:$E$165,1,FALSE)),0,V9*$C$2),MAX((IF(Monthly!S$4=TRUE,Monthly!S$13,Monthly!S$14)*(1+'Attrition Modeling'!$N$8)-IFERROR(V9/V76,0)*12)/12*V76,0))</f>
        <v>0</v>
      </c>
      <c r="X141" s="799">
        <f>MIN(IF(ISERROR(VLOOKUP(X$134-$F141,$E$135:$E$165,1,FALSE)),0,W9*$C$2),MAX((IF(Monthly!T$4=TRUE,Monthly!T$13,Monthly!T$14)*(1+'Attrition Modeling'!$N$8)-IFERROR(W9/W76,0)*12)/12*W76,0))</f>
        <v>0</v>
      </c>
      <c r="Y141" s="799">
        <f>MIN(IF(ISERROR(VLOOKUP(Y$134-$F141,$E$135:$E$165,1,FALSE)),0,X9*$C$2),MAX((IF(Monthly!U$4=TRUE,Monthly!U$13,Monthly!U$14)*(1+'Attrition Modeling'!$N$8)-IFERROR(X9/X76,0)*12)/12*X76,0))</f>
        <v>0</v>
      </c>
      <c r="Z141" s="799">
        <f>MIN(IF(ISERROR(VLOOKUP(Z$134-$F141,$E$135:$E$165,1,FALSE)),0,Y9*$C$2),MAX((IF(Monthly!V$4=TRUE,Monthly!V$13,Monthly!V$14)*(1+'Attrition Modeling'!$N$8)-IFERROR(Y9/Y76,0)*12)/12*Y76,0))</f>
        <v>0</v>
      </c>
      <c r="AA141" s="799">
        <f>MIN(IF(ISERROR(VLOOKUP(AA$134-$F141,$E$135:$E$165,1,FALSE)),0,Z9*$C$2),MAX((IF(Monthly!W$4=TRUE,Monthly!W$13,Monthly!W$14)*(1+'Attrition Modeling'!$N$8)-IFERROR(Z9/Z76,0)*12)/12*Z76,0))</f>
        <v>0</v>
      </c>
      <c r="AB141" s="799">
        <f>MIN(IF(ISERROR(VLOOKUP(AB$134-$F141,$E$135:$E$165,1,FALSE)),0,AA9*$C$2),MAX((IF(Monthly!X$4=TRUE,Monthly!X$13,Monthly!X$14)*(1+'Attrition Modeling'!$N$8)-IFERROR(AA9/AA76,0)*12)/12*AA76,0))</f>
        <v>0</v>
      </c>
      <c r="AC141" s="799">
        <f>MIN(IF(ISERROR(VLOOKUP(AC$134-$F141,$E$135:$E$165,1,FALSE)),0,AB9*$C$2),MAX((IF(Monthly!Y$4=TRUE,Monthly!Y$13,Monthly!Y$14)*(1+'Attrition Modeling'!$N$8)-IFERROR(AB9/AB76,0)*12)/12*AB76,0))</f>
        <v>0</v>
      </c>
      <c r="AD141" s="799">
        <f>MIN(IF(ISERROR(VLOOKUP(AD$134-$F141,$E$135:$E$165,1,FALSE)),0,AC9*$C$2),MAX((IF(Monthly!Z$4=TRUE,Monthly!Z$13,Monthly!Z$14)*(1+'Attrition Modeling'!$N$8)-IFERROR(AC9/AC76,0)*12)/12*AC76,0))</f>
        <v>0</v>
      </c>
      <c r="AE141" s="799">
        <f>MIN(IF(ISERROR(VLOOKUP(AE$134-$F141,$E$135:$E$165,1,FALSE)),0,AD9*$C$2),MAX((IF(Monthly!AA$4=TRUE,Monthly!AA$13,Monthly!AA$14)*(1+'Attrition Modeling'!$N$8)-IFERROR(AD9/AD76,0)*12)/12*AD76,0))</f>
        <v>300.41954793346764</v>
      </c>
      <c r="AF141" s="799">
        <f>MIN(IF(ISERROR(VLOOKUP(AF$134-$F141,$E$135:$E$165,1,FALSE)),0,AE9*$C$2),MAX((IF(Monthly!AB$4=TRUE,Monthly!AB$13,Monthly!AB$14)*(1+'Attrition Modeling'!$N$8)-IFERROR(AE9/AE76,0)*12)/12*AE76,0))</f>
        <v>0</v>
      </c>
      <c r="AG141" s="799">
        <f>MIN(IF(ISERROR(VLOOKUP(AG$134-$F141,$E$135:$E$165,1,FALSE)),0,AF9*$C$2),MAX((IF(Monthly!AC$4=TRUE,Monthly!AC$13,Monthly!AC$14)*(1+'Attrition Modeling'!$N$8)-IFERROR(AF9/AF76,0)*12)/12*AF76,0))</f>
        <v>0</v>
      </c>
      <c r="AH141" s="799">
        <f>MIN(IF(ISERROR(VLOOKUP(AH$134-$F141,$E$135:$E$165,1,FALSE)),0,AG9*$C$2),MAX((IF(Monthly!AD$4=TRUE,Monthly!AD$13,Monthly!AD$14)*(1+'Attrition Modeling'!$N$8)-IFERROR(AG9/AG76,0)*12)/12*AG76,0))</f>
        <v>0</v>
      </c>
      <c r="AI141" s="799">
        <f>MIN(IF(ISERROR(VLOOKUP(AI$134-$F141,$E$135:$E$165,1,FALSE)),0,AH9*$C$2),MAX((IF(Monthly!AE$4=TRUE,Monthly!AE$13,Monthly!AE$14)*(1+'Attrition Modeling'!$N$8)-IFERROR(AH9/AH76,0)*12)/12*AH76,0))</f>
        <v>0</v>
      </c>
      <c r="AJ141" s="799">
        <f>MIN(IF(ISERROR(VLOOKUP(AJ$134-$F141,$E$135:$E$165,1,FALSE)),0,AI9*$C$2),MAX((IF(Monthly!AF$4=TRUE,Monthly!AF$13,Monthly!AF$14)*(1+'Attrition Modeling'!$N$8)-IFERROR(AI9/AI76,0)*12)/12*AI76,0))</f>
        <v>0</v>
      </c>
      <c r="AK141" s="799">
        <f>MIN(IF(ISERROR(VLOOKUP(AK$134-$F141,$E$135:$E$165,1,FALSE)),0,AJ9*$C$2),MAX((IF(Monthly!AG$4=TRUE,Monthly!AG$13,Monthly!AG$14)*(1+'Attrition Modeling'!$N$8)-IFERROR(AJ9/AJ76,0)*12)/12*AJ76,0))</f>
        <v>0</v>
      </c>
      <c r="AL141" s="799">
        <f>MIN(IF(ISERROR(VLOOKUP(AL$134-$F141,$E$135:$E$165,1,FALSE)),0,AK9*$C$2),MAX((IF(Monthly!AH$4=TRUE,Monthly!AH$13,Monthly!AH$14)*(1+'Attrition Modeling'!$N$8)-IFERROR(AK9/AK76,0)*12)/12*AK76,0))</f>
        <v>0</v>
      </c>
      <c r="AM141" s="799">
        <f>MIN(IF(ISERROR(VLOOKUP(AM$134-$F141,$E$135:$E$165,1,FALSE)),0,AL9*$C$2),MAX((IF(Monthly!AI$4=TRUE,Monthly!AI$13,Monthly!AI$14)*(1+'Attrition Modeling'!$N$8)-IFERROR(AL9/AL76,0)*12)/12*AL76,0))</f>
        <v>0</v>
      </c>
      <c r="AN141" s="799">
        <f>MIN(IF(ISERROR(VLOOKUP(AN$134-$F141,$E$135:$E$165,1,FALSE)),0,AM9*$C$2),MAX((IF(Monthly!AJ$4=TRUE,Monthly!AJ$13,Monthly!AJ$14)*(1+'Attrition Modeling'!$N$8)-IFERROR(AM9/AM76,0)*12)/12*AM76,0))</f>
        <v>0</v>
      </c>
      <c r="AO141" s="799">
        <f>MIN(IF(ISERROR(VLOOKUP(AO$134-$F141,$E$135:$E$165,1,FALSE)),0,AN9*$C$2),MAX((IF(Monthly!AK$4=TRUE,Monthly!AK$13,Monthly!AK$14)*(1+'Attrition Modeling'!$N$8)-IFERROR(AN9/AN76,0)*12)/12*AN76,0))</f>
        <v>0</v>
      </c>
      <c r="AP141" s="799">
        <f>MIN(IF(ISERROR(VLOOKUP(AP$134-$F141,$E$135:$E$165,1,FALSE)),0,AO9*$C$2),MAX((IF(Monthly!AL$4=TRUE,Monthly!AL$13,Monthly!AL$14)*(1+'Attrition Modeling'!$N$8)-IFERROR(AO9/AO76,0)*12)/12*AO76,0))</f>
        <v>0</v>
      </c>
      <c r="AQ141" s="799">
        <f>MIN(IF(ISERROR(VLOOKUP(AQ$134-$F141,$E$135:$E$165,1,FALSE)),0,AP9*$C$2),MAX((IF(Monthly!AM$4=TRUE,Monthly!AM$13,Monthly!AM$14)*(1+'Attrition Modeling'!$N$8)-IFERROR(AP9/AP76,0)*12)/12*AP76,0))</f>
        <v>65.218369286843028</v>
      </c>
      <c r="AR141" s="799">
        <f>MIN(IF(ISERROR(VLOOKUP(AR$134-$F141,$E$135:$E$165,1,FALSE)),0,AQ9*$C$2),MAX((IF(Monthly!AN$4=TRUE,Monthly!AN$13,Monthly!AN$14)*(1+'Attrition Modeling'!$N$8)-IFERROR(AQ9/AQ76,0)*12)/12*AQ76,0))</f>
        <v>0</v>
      </c>
      <c r="AS141" s="799">
        <f>MIN(IF(ISERROR(VLOOKUP(AS$134-$F141,$E$135:$E$165,1,FALSE)),0,AR9*$C$2),MAX((IF(Monthly!AO$4=TRUE,Monthly!AO$13,Monthly!AO$14)*(1+'Attrition Modeling'!$N$8)-IFERROR(AR9/AR76,0)*12)/12*AR76,0))</f>
        <v>0</v>
      </c>
      <c r="AT141" s="799">
        <f>MIN(IF(ISERROR(VLOOKUP(AT$134-$F141,$E$135:$E$165,1,FALSE)),0,AS9*$C$2),MAX((IF(Monthly!AP$4=TRUE,Monthly!AP$13,Monthly!AP$14)*(1+'Attrition Modeling'!$N$8)-IFERROR(AS9/AS76,0)*12)/12*AS76,0))</f>
        <v>0</v>
      </c>
      <c r="AU141" s="799">
        <f>MIN(IF(ISERROR(VLOOKUP(AU$134-$F141,$E$135:$E$165,1,FALSE)),0,AT9*$C$2),MAX((IF(Monthly!AQ$4=TRUE,Monthly!AQ$13,Monthly!AQ$14)*(1+'Attrition Modeling'!$N$8)-IFERROR(AT9/AT76,0)*12)/12*AT76,0))</f>
        <v>0</v>
      </c>
      <c r="AV141" s="799">
        <f>MIN(IF(ISERROR(VLOOKUP(AV$134-$F141,$E$135:$E$165,1,FALSE)),0,AU9*$C$2),MAX((IF(Monthly!AR$4=TRUE,Monthly!AR$13,Monthly!AR$14)*(1+'Attrition Modeling'!$N$8)-IFERROR(AU9/AU76,0)*12)/12*AU76,0))</f>
        <v>0</v>
      </c>
      <c r="AW141" s="799">
        <f>MIN(IF(ISERROR(VLOOKUP(AW$134-$F141,$E$135:$E$165,1,FALSE)),0,AV9*$C$2),MAX((IF(Monthly!AS$4=TRUE,Monthly!AS$13,Monthly!AS$14)*(1+'Attrition Modeling'!$N$8)-IFERROR(AV9/AV76,0)*12)/12*AV76,0))</f>
        <v>0</v>
      </c>
      <c r="AX141" s="799">
        <f>MIN(IF(ISERROR(VLOOKUP(AX$134-$F141,$E$135:$E$165,1,FALSE)),0,AW9*$C$2),MAX((IF(Monthly!AT$4=TRUE,Monthly!AT$13,Monthly!AT$14)*(1+'Attrition Modeling'!$N$8)-IFERROR(AW9/AW76,0)*12)/12*AW76,0))</f>
        <v>0</v>
      </c>
      <c r="AY141" s="799">
        <f>MIN(IF(ISERROR(VLOOKUP(AY$134-$F141,$E$135:$E$165,1,FALSE)),0,AX9*$C$2),MAX((IF(Monthly!AU$4=TRUE,Monthly!AU$13,Monthly!AU$14)*(1+'Attrition Modeling'!$N$8)-IFERROR(AX9/AX76,0)*12)/12*AX76,0))</f>
        <v>0</v>
      </c>
      <c r="AZ141" s="799">
        <f>MIN(IF(ISERROR(VLOOKUP(AZ$134-$F141,$E$135:$E$165,1,FALSE)),0,AY9*$C$2),MAX((IF(Monthly!AV$4=TRUE,Monthly!AV$13,Monthly!AV$14)*(1+'Attrition Modeling'!$N$8)-IFERROR(AY9/AY76,0)*12)/12*AY76,0))</f>
        <v>0</v>
      </c>
      <c r="BA141" s="799">
        <f>MIN(IF(ISERROR(VLOOKUP(BA$134-$F141,$E$135:$E$165,1,FALSE)),0,AZ9*$C$2),MAX((IF(Monthly!AW$4=TRUE,Monthly!AW$13,Monthly!AW$14)*(1+'Attrition Modeling'!$N$8)-IFERROR(AZ9/AZ76,0)*12)/12*AZ76,0))</f>
        <v>0</v>
      </c>
      <c r="BB141" s="799">
        <f>MIN(IF(ISERROR(VLOOKUP(BB$134-$F141,$E$135:$E$165,1,FALSE)),0,BA9*$C$2),MAX((IF(Monthly!AX$4=TRUE,Monthly!AX$13,Monthly!AX$14)*(1+'Attrition Modeling'!$N$8)-IFERROR(BA9/BA76,0)*12)/12*BA76,0))</f>
        <v>0</v>
      </c>
      <c r="BC141" s="799">
        <f>MIN(IF(ISERROR(VLOOKUP(BC$134-$F141,$E$135:$E$165,1,FALSE)),0,BB9*$C$2),MAX((IF(Monthly!AY$4=TRUE,Monthly!AY$13,Monthly!AY$14)*(1+'Attrition Modeling'!$N$8)-IFERROR(BB9/BB76,0)*12)/12*BB76,0))</f>
        <v>61.912923159990477</v>
      </c>
      <c r="BD141" s="799">
        <f>MIN(IF(ISERROR(VLOOKUP(BD$134-$F141,$E$135:$E$165,1,FALSE)),0,BC9*$C$2),MAX((IF(Monthly!AZ$4=TRUE,Monthly!AZ$13,Monthly!AZ$14)*(1+'Attrition Modeling'!$N$8)-IFERROR(BC9/BC76,0)*12)/12*BC76,0))</f>
        <v>0</v>
      </c>
      <c r="BE141" s="799">
        <f>MIN(IF(ISERROR(VLOOKUP(BE$134-$F141,$E$135:$E$165,1,FALSE)),0,BD9*$C$2),MAX((IF(Monthly!BA$4=TRUE,Monthly!BA$13,Monthly!BA$14)*(1+'Attrition Modeling'!$N$8)-IFERROR(BD9/BD76,0)*12)/12*BD76,0))</f>
        <v>0</v>
      </c>
      <c r="BF141" s="799">
        <f>MIN(IF(ISERROR(VLOOKUP(BF$134-$F141,$E$135:$E$165,1,FALSE)),0,BE9*$C$2),MAX((IF(Monthly!BB$4=TRUE,Monthly!BB$13,Monthly!BB$14)*(1+'Attrition Modeling'!$N$8)-IFERROR(BE9/BE76,0)*12)/12*BE76,0))</f>
        <v>0</v>
      </c>
      <c r="BG141" s="799">
        <f>MIN(IF(ISERROR(VLOOKUP(BG$134-$F141,$E$135:$E$165,1,FALSE)),0,BF9*$C$2),MAX((IF(Monthly!BC$4=TRUE,Monthly!BC$13,Monthly!BC$14)*(1+'Attrition Modeling'!$N$8)-IFERROR(BF9/BF76,0)*12)/12*BF76,0))</f>
        <v>0</v>
      </c>
      <c r="BH141" s="799">
        <f>MIN(IF(ISERROR(VLOOKUP(BH$134-$F141,$E$135:$E$165,1,FALSE)),0,BG9*$C$2),MAX((IF(Monthly!BD$4=TRUE,Monthly!BD$13,Monthly!BD$14)*(1+'Attrition Modeling'!$N$8)-IFERROR(BG9/BG76,0)*12)/12*BG76,0))</f>
        <v>0</v>
      </c>
      <c r="BI141" s="799">
        <f>MIN(IF(ISERROR(VLOOKUP(BI$134-$F141,$E$135:$E$165,1,FALSE)),0,BH9*$C$2),MAX((IF(Monthly!BE$4=TRUE,Monthly!BE$13,Monthly!BE$14)*(1+'Attrition Modeling'!$N$8)-IFERROR(BH9/BH76,0)*12)/12*BH76,0))</f>
        <v>0</v>
      </c>
      <c r="BJ141" s="799">
        <f>MIN(IF(ISERROR(VLOOKUP(BJ$134-$F141,$E$135:$E$165,1,FALSE)),0,BI9*$C$2),MAX((IF(Monthly!BF$4=TRUE,Monthly!BF$13,Monthly!BF$14)*(1+'Attrition Modeling'!$N$8)-IFERROR(BI9/BI76,0)*12)/12*BI76,0))</f>
        <v>0</v>
      </c>
      <c r="BK141" s="799">
        <f>MIN(IF(ISERROR(VLOOKUP(BK$134-$F141,$E$135:$E$165,1,FALSE)),0,BJ9*$C$2),MAX((IF(Monthly!BG$4=TRUE,Monthly!BG$13,Monthly!BG$14)*(1+'Attrition Modeling'!$N$8)-IFERROR(BJ9/BJ76,0)*12)/12*BJ76,0))</f>
        <v>0</v>
      </c>
      <c r="BL141" s="799">
        <f>MIN(IF(ISERROR(VLOOKUP(BL$134-$F141,$E$135:$E$165,1,FALSE)),0,BK9*$C$2),MAX((IF(Monthly!BH$4=TRUE,Monthly!BH$13,Monthly!BH$14)*(1+'Attrition Modeling'!$N$8)-IFERROR(BK9/BK76,0)*12)/12*BK76,0))</f>
        <v>0</v>
      </c>
      <c r="BM141" s="799">
        <f>MIN(IF(ISERROR(VLOOKUP(BM$134-$F141,$E$135:$E$165,1,FALSE)),0,BL9*$C$2),MAX((IF(Monthly!BI$4=TRUE,Monthly!BI$13,Monthly!BI$14)*(1+'Attrition Modeling'!$N$8)-IFERROR(BL9/BL76,0)*12)/12*BL76,0))</f>
        <v>0</v>
      </c>
      <c r="BN141" s="799">
        <f>MIN(IF(ISERROR(VLOOKUP(BN$134-$F141,$E$135:$E$165,1,FALSE)),0,BM9*$C$2),MAX((IF(Monthly!BJ$4=TRUE,Monthly!BJ$13,Monthly!BJ$14)*(1+'Attrition Modeling'!$N$8)-IFERROR(BM9/BM76,0)*12)/12*BM76,0))</f>
        <v>0</v>
      </c>
      <c r="BO141" s="799">
        <f>MIN(IF(ISERROR(VLOOKUP(BO$134-$F141,$E$135:$E$165,1,FALSE)),0,BN9*$C$2),MAX((IF(Monthly!BK$4=TRUE,Monthly!BK$13,Monthly!BK$14)*(1+'Attrition Modeling'!$N$8)-IFERROR(BN9/BN76,0)*12)/12*BN76,0))</f>
        <v>40.313846343960954</v>
      </c>
      <c r="BP141" s="799">
        <f>MIN(IF(ISERROR(VLOOKUP(BP$134-$F141,$E$135:$E$165,1,FALSE)),0,BO9*$C$2),MAX((IF(Monthly!BP$4=TRUE,Monthly!BP$13,Monthly!BP$14)*(1+'Attrition Modeling'!$N$8)-IFERROR(BO9/BO76,0)*12)/12*BO76,0))</f>
        <v>0</v>
      </c>
      <c r="BQ141" s="799">
        <f>MIN(IF(ISERROR(VLOOKUP(BQ$134-$F141,$E$135:$E$165,1,FALSE)),0,BP9*$C$2),MAX((IF(Monthly!BQ$4=TRUE,Monthly!BQ$13,Monthly!BQ$14)*(1+'Attrition Modeling'!$N$8)-IFERROR(BP9/BP76,0)*12)/12*BP76,0))</f>
        <v>0</v>
      </c>
      <c r="BR141" s="799">
        <f>MIN(IF(ISERROR(VLOOKUP(BR$134-$F141,$E$135:$E$165,1,FALSE)),0,BQ9*$C$2),MAX((IF(Monthly!BR$4=TRUE,Monthly!BR$13,Monthly!BR$14)*(1+'Attrition Modeling'!$N$8)-IFERROR(BQ9/BQ76,0)*12)/12*BQ76,0))</f>
        <v>0</v>
      </c>
      <c r="BS141" s="799">
        <f>MIN(IF(ISERROR(VLOOKUP(BS$134-$F141,$E$135:$E$165,1,FALSE)),0,BR9*$C$2),MAX((IF(Monthly!BS$4=TRUE,Monthly!BS$13,Monthly!BS$14)*(1+'Attrition Modeling'!$N$8)-IFERROR(BR9/BR76,0)*12)/12*BR76,0))</f>
        <v>0</v>
      </c>
      <c r="BT141" s="799">
        <f>MIN(IF(ISERROR(VLOOKUP(BT$134-$F141,$E$135:$E$165,1,FALSE)),0,BS9*$C$2),MAX((IF(Monthly!BT$4=TRUE,Monthly!BT$13,Monthly!BT$14)*(1+'Attrition Modeling'!$N$8)-IFERROR(BS9/BS76,0)*12)/12*BS76,0))</f>
        <v>0</v>
      </c>
      <c r="BU141" s="799">
        <f>MIN(IF(ISERROR(VLOOKUP(BU$134-$F141,$E$135:$E$165,1,FALSE)),0,BT9*$C$2),MAX((IF(Monthly!BU$4=TRUE,Monthly!BU$13,Monthly!BU$14)*(1+'Attrition Modeling'!$N$8)-IFERROR(BT9/BT76,0)*12)/12*BT76,0))</f>
        <v>0</v>
      </c>
    </row>
    <row r="142" spans="1:73" ht="14.25" customHeight="1" x14ac:dyDescent="0.2">
      <c r="A142" s="9">
        <v>135</v>
      </c>
      <c r="B142" s="25">
        <f>MAX('Attrition Modeling'!H139,$C$3)*(1-Summary!$C$20)</f>
        <v>0.02</v>
      </c>
      <c r="C142" s="24" t="e">
        <f t="shared" si="4"/>
        <v>#DIV/0!</v>
      </c>
      <c r="E142" s="11">
        <f t="shared" si="13"/>
        <v>90</v>
      </c>
      <c r="F142" s="11">
        <f t="shared" si="14"/>
        <v>7</v>
      </c>
      <c r="G142" s="799"/>
      <c r="H142" s="799">
        <f>MIN(IF(ISERROR(VLOOKUP(H$134-$F142,$E$135:$E$165,1,FALSE)),0,G10*$C$2),MAX((IF(Monthly!D$4=TRUE,Monthly!D$13,Monthly!D$14)*(1+'Attrition Modeling'!$N$8)-IFERROR(G10/G77,0)*12)/12*G77,0))</f>
        <v>0</v>
      </c>
      <c r="I142" s="799">
        <f>MIN(IF(ISERROR(VLOOKUP(I$134-$F142,$E$135:$E$165,1,FALSE)),0,H10*$C$2),MAX((IF(Monthly!E$4=TRUE,Monthly!E$13,Monthly!E$14)*(1+'Attrition Modeling'!$N$8)-IFERROR(H10/H77,0)*12)/12*H77,0))</f>
        <v>0</v>
      </c>
      <c r="J142" s="799">
        <f>MIN(IF(ISERROR(VLOOKUP(J$134-$F142,$E$135:$E$165,1,FALSE)),0,I10*$C$2),MAX((IF(Monthly!F$4=TRUE,Monthly!F$13,Monthly!F$14)*(1+'Attrition Modeling'!$N$8)-IFERROR(I10/I77,0)*12)/12*I77,0))</f>
        <v>0</v>
      </c>
      <c r="K142" s="799">
        <f>MIN(IF(ISERROR(VLOOKUP(K$134-$F142,$E$135:$E$165,1,FALSE)),0,J10*$C$2),MAX((IF(Monthly!G$4=TRUE,Monthly!G$13,Monthly!G$14)*(1+'Attrition Modeling'!$N$8)-IFERROR(J10/J77,0)*12)/12*J77,0))</f>
        <v>0</v>
      </c>
      <c r="L142" s="799">
        <f>MIN(IF(ISERROR(VLOOKUP(L$134-$F142,$E$135:$E$165,1,FALSE)),0,K10*$C$2),MAX((IF(Monthly!H$4=TRUE,Monthly!H$13,Monthly!H$14)*(1+'Attrition Modeling'!$N$8)-IFERROR(K10/K77,0)*12)/12*K77,0))</f>
        <v>0</v>
      </c>
      <c r="M142" s="799">
        <f>MIN(IF(ISERROR(VLOOKUP(M$134-$F142,$E$135:$E$165,1,FALSE)),0,L10*$C$2),MAX((IF(Monthly!I$4=TRUE,Monthly!I$13,Monthly!I$14)*(1+'Attrition Modeling'!$N$8)-IFERROR(L10/L77,0)*12)/12*L77,0))</f>
        <v>0</v>
      </c>
      <c r="N142" s="799">
        <f>MIN(IF(ISERROR(VLOOKUP(N$134-$F142,$E$135:$E$165,1,FALSE)),0,M10*$C$2),MAX((IF(Monthly!J$4=TRUE,Monthly!J$13,Monthly!J$14)*(1+'Attrition Modeling'!$N$8)-IFERROR(M10/M77,0)*12)/12*M77,0))</f>
        <v>0</v>
      </c>
      <c r="O142" s="799">
        <f>MIN(IF(ISERROR(VLOOKUP(O$134-$F142,$E$135:$E$165,1,FALSE)),0,N10*$C$2),MAX((IF(Monthly!K$4=TRUE,Monthly!K$13,Monthly!K$14)*(1+'Attrition Modeling'!$N$8)-IFERROR(N10/N77,0)*12)/12*N77,0))</f>
        <v>0</v>
      </c>
      <c r="P142" s="799">
        <f>MIN(IF(ISERROR(VLOOKUP(P$134-$F142,$E$135:$E$165,1,FALSE)),0,O10*$C$2),MAX((IF(Monthly!L$4=TRUE,Monthly!L$13,Monthly!L$14)*(1+'Attrition Modeling'!$N$8)-IFERROR(O10/O77,0)*12)/12*O77,0))</f>
        <v>0</v>
      </c>
      <c r="Q142" s="799">
        <f>MIN(IF(ISERROR(VLOOKUP(Q$134-$F142,$E$135:$E$165,1,FALSE)),0,P10*$C$2),MAX((IF(Monthly!M$4=TRUE,Monthly!M$13,Monthly!M$14)*(1+'Attrition Modeling'!$N$8)-IFERROR(P10/P77,0)*12)/12*P77,0))</f>
        <v>0</v>
      </c>
      <c r="R142" s="799">
        <f>MIN(IF(ISERROR(VLOOKUP(R$134-$F142,$E$135:$E$165,1,FALSE)),0,Q10*$C$2),MAX((IF(Monthly!N$4=TRUE,Monthly!N$13,Monthly!N$14)*(1+'Attrition Modeling'!$N$8)-IFERROR(Q10/Q77,0)*12)/12*Q77,0))</f>
        <v>0</v>
      </c>
      <c r="S142" s="799">
        <f>MIN(IF(ISERROR(VLOOKUP(S$134-$F142,$E$135:$E$165,1,FALSE)),0,R10*$C$2),MAX((IF(Monthly!O$4=TRUE,Monthly!O$13,Monthly!O$14)*(1+'Attrition Modeling'!$N$8)-IFERROR(R10/R77,0)*12)/12*R77,0))</f>
        <v>0</v>
      </c>
      <c r="T142" s="799">
        <f>MIN(IF(ISERROR(VLOOKUP(T$134-$F142,$E$135:$E$165,1,FALSE)),0,S10*$C$2),MAX((IF(Monthly!P$4=TRUE,Monthly!P$13,Monthly!P$14)*(1+'Attrition Modeling'!$N$8)-IFERROR(S10/S77,0)*12)/12*S77,0))</f>
        <v>521.50521208004659</v>
      </c>
      <c r="U142" s="799">
        <f>MIN(IF(ISERROR(VLOOKUP(U$134-$F142,$E$135:$E$165,1,FALSE)),0,T10*$C$2),MAX((IF(Monthly!Q$4=TRUE,Monthly!Q$13,Monthly!Q$14)*(1+'Attrition Modeling'!$N$8)-IFERROR(T10/T77,0)*12)/12*T77,0))</f>
        <v>0</v>
      </c>
      <c r="V142" s="799">
        <f>MIN(IF(ISERROR(VLOOKUP(V$134-$F142,$E$135:$E$165,1,FALSE)),0,U10*$C$2),MAX((IF(Monthly!R$4=TRUE,Monthly!R$13,Monthly!R$14)*(1+'Attrition Modeling'!$N$8)-IFERROR(U10/U77,0)*12)/12*U77,0))</f>
        <v>0</v>
      </c>
      <c r="W142" s="799">
        <f>MIN(IF(ISERROR(VLOOKUP(W$134-$F142,$E$135:$E$165,1,FALSE)),0,V10*$C$2),MAX((IF(Monthly!S$4=TRUE,Monthly!S$13,Monthly!S$14)*(1+'Attrition Modeling'!$N$8)-IFERROR(V10/V77,0)*12)/12*V77,0))</f>
        <v>0</v>
      </c>
      <c r="X142" s="799">
        <f>MIN(IF(ISERROR(VLOOKUP(X$134-$F142,$E$135:$E$165,1,FALSE)),0,W10*$C$2),MAX((IF(Monthly!T$4=TRUE,Monthly!T$13,Monthly!T$14)*(1+'Attrition Modeling'!$N$8)-IFERROR(W10/W77,0)*12)/12*W77,0))</f>
        <v>0</v>
      </c>
      <c r="Y142" s="799">
        <f>MIN(IF(ISERROR(VLOOKUP(Y$134-$F142,$E$135:$E$165,1,FALSE)),0,X10*$C$2),MAX((IF(Monthly!U$4=TRUE,Monthly!U$13,Monthly!U$14)*(1+'Attrition Modeling'!$N$8)-IFERROR(X10/X77,0)*12)/12*X77,0))</f>
        <v>0</v>
      </c>
      <c r="Z142" s="799">
        <f>MIN(IF(ISERROR(VLOOKUP(Z$134-$F142,$E$135:$E$165,1,FALSE)),0,Y10*$C$2),MAX((IF(Monthly!V$4=TRUE,Monthly!V$13,Monthly!V$14)*(1+'Attrition Modeling'!$N$8)-IFERROR(Y10/Y77,0)*12)/12*Y77,0))</f>
        <v>0</v>
      </c>
      <c r="AA142" s="799">
        <f>MIN(IF(ISERROR(VLOOKUP(AA$134-$F142,$E$135:$E$165,1,FALSE)),0,Z10*$C$2),MAX((IF(Monthly!W$4=TRUE,Monthly!W$13,Monthly!W$14)*(1+'Attrition Modeling'!$N$8)-IFERROR(Z10/Z77,0)*12)/12*Z77,0))</f>
        <v>0</v>
      </c>
      <c r="AB142" s="799">
        <f>MIN(IF(ISERROR(VLOOKUP(AB$134-$F142,$E$135:$E$165,1,FALSE)),0,AA10*$C$2),MAX((IF(Monthly!X$4=TRUE,Monthly!X$13,Monthly!X$14)*(1+'Attrition Modeling'!$N$8)-IFERROR(AA10/AA77,0)*12)/12*AA77,0))</f>
        <v>0</v>
      </c>
      <c r="AC142" s="799">
        <f>MIN(IF(ISERROR(VLOOKUP(AC$134-$F142,$E$135:$E$165,1,FALSE)),0,AB10*$C$2),MAX((IF(Monthly!Y$4=TRUE,Monthly!Y$13,Monthly!Y$14)*(1+'Attrition Modeling'!$N$8)-IFERROR(AB10/AB77,0)*12)/12*AB77,0))</f>
        <v>0</v>
      </c>
      <c r="AD142" s="799">
        <f>MIN(IF(ISERROR(VLOOKUP(AD$134-$F142,$E$135:$E$165,1,FALSE)),0,AC10*$C$2),MAX((IF(Monthly!Z$4=TRUE,Monthly!Z$13,Monthly!Z$14)*(1+'Attrition Modeling'!$N$8)-IFERROR(AC10/AC77,0)*12)/12*AC77,0))</f>
        <v>0</v>
      </c>
      <c r="AE142" s="799">
        <f>MIN(IF(ISERROR(VLOOKUP(AE$134-$F142,$E$135:$E$165,1,FALSE)),0,AD10*$C$2),MAX((IF(Monthly!AA$4=TRUE,Monthly!AA$13,Monthly!AA$14)*(1+'Attrition Modeling'!$N$8)-IFERROR(AD10/AD77,0)*12)/12*AD77,0))</f>
        <v>0</v>
      </c>
      <c r="AF142" s="799">
        <f>MIN(IF(ISERROR(VLOOKUP(AF$134-$F142,$E$135:$E$165,1,FALSE)),0,AE10*$C$2),MAX((IF(Monthly!AB$4=TRUE,Monthly!AB$13,Monthly!AB$14)*(1+'Attrition Modeling'!$N$8)-IFERROR(AE10/AE77,0)*12)/12*AE77,0))</f>
        <v>282.5107538827674</v>
      </c>
      <c r="AG142" s="799">
        <f>MIN(IF(ISERROR(VLOOKUP(AG$134-$F142,$E$135:$E$165,1,FALSE)),0,AF10*$C$2),MAX((IF(Monthly!AC$4=TRUE,Monthly!AC$13,Monthly!AC$14)*(1+'Attrition Modeling'!$N$8)-IFERROR(AF10/AF77,0)*12)/12*AF77,0))</f>
        <v>0</v>
      </c>
      <c r="AH142" s="799">
        <f>MIN(IF(ISERROR(VLOOKUP(AH$134-$F142,$E$135:$E$165,1,FALSE)),0,AG10*$C$2),MAX((IF(Monthly!AD$4=TRUE,Monthly!AD$13,Monthly!AD$14)*(1+'Attrition Modeling'!$N$8)-IFERROR(AG10/AG77,0)*12)/12*AG77,0))</f>
        <v>0</v>
      </c>
      <c r="AI142" s="799">
        <f>MIN(IF(ISERROR(VLOOKUP(AI$134-$F142,$E$135:$E$165,1,FALSE)),0,AH10*$C$2),MAX((IF(Monthly!AE$4=TRUE,Monthly!AE$13,Monthly!AE$14)*(1+'Attrition Modeling'!$N$8)-IFERROR(AH10/AH77,0)*12)/12*AH77,0))</f>
        <v>0</v>
      </c>
      <c r="AJ142" s="799">
        <f>MIN(IF(ISERROR(VLOOKUP(AJ$134-$F142,$E$135:$E$165,1,FALSE)),0,AI10*$C$2),MAX((IF(Monthly!AF$4=TRUE,Monthly!AF$13,Monthly!AF$14)*(1+'Attrition Modeling'!$N$8)-IFERROR(AI10/AI77,0)*12)/12*AI77,0))</f>
        <v>0</v>
      </c>
      <c r="AK142" s="799">
        <f>MIN(IF(ISERROR(VLOOKUP(AK$134-$F142,$E$135:$E$165,1,FALSE)),0,AJ10*$C$2),MAX((IF(Monthly!AG$4=TRUE,Monthly!AG$13,Monthly!AG$14)*(1+'Attrition Modeling'!$N$8)-IFERROR(AJ10/AJ77,0)*12)/12*AJ77,0))</f>
        <v>0</v>
      </c>
      <c r="AL142" s="799">
        <f>MIN(IF(ISERROR(VLOOKUP(AL$134-$F142,$E$135:$E$165,1,FALSE)),0,AK10*$C$2),MAX((IF(Monthly!AH$4=TRUE,Monthly!AH$13,Monthly!AH$14)*(1+'Attrition Modeling'!$N$8)-IFERROR(AK10/AK77,0)*12)/12*AK77,0))</f>
        <v>0</v>
      </c>
      <c r="AM142" s="799">
        <f>MIN(IF(ISERROR(VLOOKUP(AM$134-$F142,$E$135:$E$165,1,FALSE)),0,AL10*$C$2),MAX((IF(Monthly!AI$4=TRUE,Monthly!AI$13,Monthly!AI$14)*(1+'Attrition Modeling'!$N$8)-IFERROR(AL10/AL77,0)*12)/12*AL77,0))</f>
        <v>0</v>
      </c>
      <c r="AN142" s="799">
        <f>MIN(IF(ISERROR(VLOOKUP(AN$134-$F142,$E$135:$E$165,1,FALSE)),0,AM10*$C$2),MAX((IF(Monthly!AJ$4=TRUE,Monthly!AJ$13,Monthly!AJ$14)*(1+'Attrition Modeling'!$N$8)-IFERROR(AM10/AM77,0)*12)/12*AM77,0))</f>
        <v>0</v>
      </c>
      <c r="AO142" s="799">
        <f>MIN(IF(ISERROR(VLOOKUP(AO$134-$F142,$E$135:$E$165,1,FALSE)),0,AN10*$C$2),MAX((IF(Monthly!AK$4=TRUE,Monthly!AK$13,Monthly!AK$14)*(1+'Attrition Modeling'!$N$8)-IFERROR(AN10/AN77,0)*12)/12*AN77,0))</f>
        <v>0</v>
      </c>
      <c r="AP142" s="799">
        <f>MIN(IF(ISERROR(VLOOKUP(AP$134-$F142,$E$135:$E$165,1,FALSE)),0,AO10*$C$2),MAX((IF(Monthly!AL$4=TRUE,Monthly!AL$13,Monthly!AL$14)*(1+'Attrition Modeling'!$N$8)-IFERROR(AO10/AO77,0)*12)/12*AO77,0))</f>
        <v>0</v>
      </c>
      <c r="AQ142" s="799">
        <f>MIN(IF(ISERROR(VLOOKUP(AQ$134-$F142,$E$135:$E$165,1,FALSE)),0,AP10*$C$2),MAX((IF(Monthly!AM$4=TRUE,Monthly!AM$13,Monthly!AM$14)*(1+'Attrition Modeling'!$N$8)-IFERROR(AP10/AP77,0)*12)/12*AP77,0))</f>
        <v>0</v>
      </c>
      <c r="AR142" s="799">
        <f>MIN(IF(ISERROR(VLOOKUP(AR$134-$F142,$E$135:$E$165,1,FALSE)),0,AQ10*$C$2),MAX((IF(Monthly!AN$4=TRUE,Monthly!AN$13,Monthly!AN$14)*(1+'Attrition Modeling'!$N$8)-IFERROR(AQ10/AQ77,0)*12)/12*AQ77,0))</f>
        <v>189.40693547036312</v>
      </c>
      <c r="AS142" s="799">
        <f>MIN(IF(ISERROR(VLOOKUP(AS$134-$F142,$E$135:$E$165,1,FALSE)),0,AR10*$C$2),MAX((IF(Monthly!AO$4=TRUE,Monthly!AO$13,Monthly!AO$14)*(1+'Attrition Modeling'!$N$8)-IFERROR(AR10/AR77,0)*12)/12*AR77,0))</f>
        <v>0</v>
      </c>
      <c r="AT142" s="799">
        <f>MIN(IF(ISERROR(VLOOKUP(AT$134-$F142,$E$135:$E$165,1,FALSE)),0,AS10*$C$2),MAX((IF(Monthly!AP$4=TRUE,Monthly!AP$13,Monthly!AP$14)*(1+'Attrition Modeling'!$N$8)-IFERROR(AS10/AS77,0)*12)/12*AS77,0))</f>
        <v>0</v>
      </c>
      <c r="AU142" s="799">
        <f>MIN(IF(ISERROR(VLOOKUP(AU$134-$F142,$E$135:$E$165,1,FALSE)),0,AT10*$C$2),MAX((IF(Monthly!AQ$4=TRUE,Monthly!AQ$13,Monthly!AQ$14)*(1+'Attrition Modeling'!$N$8)-IFERROR(AT10/AT77,0)*12)/12*AT77,0))</f>
        <v>0</v>
      </c>
      <c r="AV142" s="799">
        <f>MIN(IF(ISERROR(VLOOKUP(AV$134-$F142,$E$135:$E$165,1,FALSE)),0,AU10*$C$2),MAX((IF(Monthly!AR$4=TRUE,Monthly!AR$13,Monthly!AR$14)*(1+'Attrition Modeling'!$N$8)-IFERROR(AU10/AU77,0)*12)/12*AU77,0))</f>
        <v>0</v>
      </c>
      <c r="AW142" s="799">
        <f>MIN(IF(ISERROR(VLOOKUP(AW$134-$F142,$E$135:$E$165,1,FALSE)),0,AV10*$C$2),MAX((IF(Monthly!AS$4=TRUE,Monthly!AS$13,Monthly!AS$14)*(1+'Attrition Modeling'!$N$8)-IFERROR(AV10/AV77,0)*12)/12*AV77,0))</f>
        <v>0</v>
      </c>
      <c r="AX142" s="799">
        <f>MIN(IF(ISERROR(VLOOKUP(AX$134-$F142,$E$135:$E$165,1,FALSE)),0,AW10*$C$2),MAX((IF(Monthly!AT$4=TRUE,Monthly!AT$13,Monthly!AT$14)*(1+'Attrition Modeling'!$N$8)-IFERROR(AW10/AW77,0)*12)/12*AW77,0))</f>
        <v>0</v>
      </c>
      <c r="AY142" s="799">
        <f>MIN(IF(ISERROR(VLOOKUP(AY$134-$F142,$E$135:$E$165,1,FALSE)),0,AX10*$C$2),MAX((IF(Monthly!AU$4=TRUE,Monthly!AU$13,Monthly!AU$14)*(1+'Attrition Modeling'!$N$8)-IFERROR(AX10/AX77,0)*12)/12*AX77,0))</f>
        <v>0</v>
      </c>
      <c r="AZ142" s="799">
        <f>MIN(IF(ISERROR(VLOOKUP(AZ$134-$F142,$E$135:$E$165,1,FALSE)),0,AY10*$C$2),MAX((IF(Monthly!AV$4=TRUE,Monthly!AV$13,Monthly!AV$14)*(1+'Attrition Modeling'!$N$8)-IFERROR(AY10/AY77,0)*12)/12*AY77,0))</f>
        <v>0</v>
      </c>
      <c r="BA142" s="799">
        <f>MIN(IF(ISERROR(VLOOKUP(BA$134-$F142,$E$135:$E$165,1,FALSE)),0,AZ10*$C$2),MAX((IF(Monthly!AW$4=TRUE,Monthly!AW$13,Monthly!AW$14)*(1+'Attrition Modeling'!$N$8)-IFERROR(AZ10/AZ77,0)*12)/12*AZ77,0))</f>
        <v>0</v>
      </c>
      <c r="BB142" s="799">
        <f>MIN(IF(ISERROR(VLOOKUP(BB$134-$F142,$E$135:$E$165,1,FALSE)),0,BA10*$C$2),MAX((IF(Monthly!AX$4=TRUE,Monthly!AX$13,Monthly!AX$14)*(1+'Attrition Modeling'!$N$8)-IFERROR(BA10/BA77,0)*12)/12*BA77,0))</f>
        <v>0</v>
      </c>
      <c r="BC142" s="799">
        <f>MIN(IF(ISERROR(VLOOKUP(BC$134-$F142,$E$135:$E$165,1,FALSE)),0,BB10*$C$2),MAX((IF(Monthly!AY$4=TRUE,Monthly!AY$13,Monthly!AY$14)*(1+'Attrition Modeling'!$N$8)-IFERROR(BB10/BB77,0)*12)/12*BB77,0))</f>
        <v>0</v>
      </c>
      <c r="BD142" s="799">
        <f>MIN(IF(ISERROR(VLOOKUP(BD$134-$F142,$E$135:$E$165,1,FALSE)),0,BC10*$C$2),MAX((IF(Monthly!AZ$4=TRUE,Monthly!AZ$13,Monthly!AZ$14)*(1+'Attrition Modeling'!$N$8)-IFERROR(BC10/BC77,0)*12)/12*BC77,0))</f>
        <v>63.25828173756863</v>
      </c>
      <c r="BE142" s="799">
        <f>MIN(IF(ISERROR(VLOOKUP(BE$134-$F142,$E$135:$E$165,1,FALSE)),0,BD10*$C$2),MAX((IF(Monthly!BA$4=TRUE,Monthly!BA$13,Monthly!BA$14)*(1+'Attrition Modeling'!$N$8)-IFERROR(BD10/BD77,0)*12)/12*BD77,0))</f>
        <v>0</v>
      </c>
      <c r="BF142" s="799">
        <f>MIN(IF(ISERROR(VLOOKUP(BF$134-$F142,$E$135:$E$165,1,FALSE)),0,BE10*$C$2),MAX((IF(Monthly!BB$4=TRUE,Monthly!BB$13,Monthly!BB$14)*(1+'Attrition Modeling'!$N$8)-IFERROR(BE10/BE77,0)*12)/12*BE77,0))</f>
        <v>0</v>
      </c>
      <c r="BG142" s="799">
        <f>MIN(IF(ISERROR(VLOOKUP(BG$134-$F142,$E$135:$E$165,1,FALSE)),0,BF10*$C$2),MAX((IF(Monthly!BC$4=TRUE,Monthly!BC$13,Monthly!BC$14)*(1+'Attrition Modeling'!$N$8)-IFERROR(BF10/BF77,0)*12)/12*BF77,0))</f>
        <v>0</v>
      </c>
      <c r="BH142" s="799">
        <f>MIN(IF(ISERROR(VLOOKUP(BH$134-$F142,$E$135:$E$165,1,FALSE)),0,BG10*$C$2),MAX((IF(Monthly!BD$4=TRUE,Monthly!BD$13,Monthly!BD$14)*(1+'Attrition Modeling'!$N$8)-IFERROR(BG10/BG77,0)*12)/12*BG77,0))</f>
        <v>0</v>
      </c>
      <c r="BI142" s="799">
        <f>MIN(IF(ISERROR(VLOOKUP(BI$134-$F142,$E$135:$E$165,1,FALSE)),0,BH10*$C$2),MAX((IF(Monthly!BE$4=TRUE,Monthly!BE$13,Monthly!BE$14)*(1+'Attrition Modeling'!$N$8)-IFERROR(BH10/BH77,0)*12)/12*BH77,0))</f>
        <v>0</v>
      </c>
      <c r="BJ142" s="799">
        <f>MIN(IF(ISERROR(VLOOKUP(BJ$134-$F142,$E$135:$E$165,1,FALSE)),0,BI10*$C$2),MAX((IF(Monthly!BF$4=TRUE,Monthly!BF$13,Monthly!BF$14)*(1+'Attrition Modeling'!$N$8)-IFERROR(BI10/BI77,0)*12)/12*BI77,0))</f>
        <v>0</v>
      </c>
      <c r="BK142" s="799">
        <f>MIN(IF(ISERROR(VLOOKUP(BK$134-$F142,$E$135:$E$165,1,FALSE)),0,BJ10*$C$2),MAX((IF(Monthly!BG$4=TRUE,Monthly!BG$13,Monthly!BG$14)*(1+'Attrition Modeling'!$N$8)-IFERROR(BJ10/BJ77,0)*12)/12*BJ77,0))</f>
        <v>0</v>
      </c>
      <c r="BL142" s="799">
        <f>MIN(IF(ISERROR(VLOOKUP(BL$134-$F142,$E$135:$E$165,1,FALSE)),0,BK10*$C$2),MAX((IF(Monthly!BH$4=TRUE,Monthly!BH$13,Monthly!BH$14)*(1+'Attrition Modeling'!$N$8)-IFERROR(BK10/BK77,0)*12)/12*BK77,0))</f>
        <v>0</v>
      </c>
      <c r="BM142" s="799">
        <f>MIN(IF(ISERROR(VLOOKUP(BM$134-$F142,$E$135:$E$165,1,FALSE)),0,BL10*$C$2),MAX((IF(Monthly!BI$4=TRUE,Monthly!BI$13,Monthly!BI$14)*(1+'Attrition Modeling'!$N$8)-IFERROR(BL10/BL77,0)*12)/12*BL77,0))</f>
        <v>0</v>
      </c>
      <c r="BN142" s="799">
        <f>MIN(IF(ISERROR(VLOOKUP(BN$134-$F142,$E$135:$E$165,1,FALSE)),0,BM10*$C$2),MAX((IF(Monthly!BJ$4=TRUE,Monthly!BJ$13,Monthly!BJ$14)*(1+'Attrition Modeling'!$N$8)-IFERROR(BM10/BM77,0)*12)/12*BM77,0))</f>
        <v>0</v>
      </c>
      <c r="BO142" s="799">
        <f>MIN(IF(ISERROR(VLOOKUP(BO$134-$F142,$E$135:$E$165,1,FALSE)),0,BN10*$C$2),MAX((IF(Monthly!BK$4=TRUE,Monthly!BK$13,Monthly!BK$14)*(1+'Attrition Modeling'!$N$8)-IFERROR(BN10/BN77,0)*12)/12*BN77,0))</f>
        <v>0</v>
      </c>
      <c r="BP142" s="799">
        <f>MIN(IF(ISERROR(VLOOKUP(BP$134-$F142,$E$135:$E$165,1,FALSE)),0,BO10*$C$2),MAX((IF(Monthly!BP$4=TRUE,Monthly!BP$13,Monthly!BP$14)*(1+'Attrition Modeling'!$N$8)-IFERROR(BO10/BO77,0)*12)/12*BO77,0))</f>
        <v>0</v>
      </c>
      <c r="BQ142" s="799">
        <f>MIN(IF(ISERROR(VLOOKUP(BQ$134-$F142,$E$135:$E$165,1,FALSE)),0,BP10*$C$2),MAX((IF(Monthly!BQ$4=TRUE,Monthly!BQ$13,Monthly!BQ$14)*(1+'Attrition Modeling'!$N$8)-IFERROR(BP10/BP77,0)*12)/12*BP77,0))</f>
        <v>0</v>
      </c>
      <c r="BR142" s="799">
        <f>MIN(IF(ISERROR(VLOOKUP(BR$134-$F142,$E$135:$E$165,1,FALSE)),0,BQ10*$C$2),MAX((IF(Monthly!BR$4=TRUE,Monthly!BR$13,Monthly!BR$14)*(1+'Attrition Modeling'!$N$8)-IFERROR(BQ10/BQ77,0)*12)/12*BQ77,0))</f>
        <v>0</v>
      </c>
      <c r="BS142" s="799">
        <f>MIN(IF(ISERROR(VLOOKUP(BS$134-$F142,$E$135:$E$165,1,FALSE)),0,BR10*$C$2),MAX((IF(Monthly!BS$4=TRUE,Monthly!BS$13,Monthly!BS$14)*(1+'Attrition Modeling'!$N$8)-IFERROR(BR10/BR77,0)*12)/12*BR77,0))</f>
        <v>0</v>
      </c>
      <c r="BT142" s="799">
        <f>MIN(IF(ISERROR(VLOOKUP(BT$134-$F142,$E$135:$E$165,1,FALSE)),0,BS10*$C$2),MAX((IF(Monthly!BT$4=TRUE,Monthly!BT$13,Monthly!BT$14)*(1+'Attrition Modeling'!$N$8)-IFERROR(BS10/BS77,0)*12)/12*BS77,0))</f>
        <v>0</v>
      </c>
      <c r="BU142" s="799">
        <f>MIN(IF(ISERROR(VLOOKUP(BU$134-$F142,$E$135:$E$165,1,FALSE)),0,BT10*$C$2),MAX((IF(Monthly!BU$4=TRUE,Monthly!BU$13,Monthly!BU$14)*(1+'Attrition Modeling'!$N$8)-IFERROR(BT10/BT77,0)*12)/12*BT77,0))</f>
        <v>0</v>
      </c>
    </row>
    <row r="143" spans="1:73" ht="14.25" customHeight="1" x14ac:dyDescent="0.2">
      <c r="A143" s="9">
        <v>136</v>
      </c>
      <c r="B143" s="25">
        <f>MAX('Attrition Modeling'!H140,$C$3)*(1-Summary!$C$20)</f>
        <v>0.02</v>
      </c>
      <c r="C143" s="24" t="e">
        <f t="shared" si="4"/>
        <v>#DIV/0!</v>
      </c>
      <c r="E143" s="11">
        <f t="shared" si="13"/>
        <v>102</v>
      </c>
      <c r="F143" s="11">
        <f t="shared" si="14"/>
        <v>8</v>
      </c>
      <c r="G143" s="799"/>
      <c r="H143" s="799">
        <f>MIN(IF(ISERROR(VLOOKUP(H$134-$F143,$E$135:$E$165,1,FALSE)),0,G11*$C$2),MAX((IF(Monthly!D$4=TRUE,Monthly!D$13,Monthly!D$14)*(1+'Attrition Modeling'!$N$8)-IFERROR(G11/G78,0)*12)/12*G78,0))</f>
        <v>0</v>
      </c>
      <c r="I143" s="799">
        <f>MIN(IF(ISERROR(VLOOKUP(I$134-$F143,$E$135:$E$165,1,FALSE)),0,H11*$C$2),MAX((IF(Monthly!E$4=TRUE,Monthly!E$13,Monthly!E$14)*(1+'Attrition Modeling'!$N$8)-IFERROR(H11/H78,0)*12)/12*H78,0))</f>
        <v>0</v>
      </c>
      <c r="J143" s="799">
        <f>MIN(IF(ISERROR(VLOOKUP(J$134-$F143,$E$135:$E$165,1,FALSE)),0,I11*$C$2),MAX((IF(Monthly!F$4=TRUE,Monthly!F$13,Monthly!F$14)*(1+'Attrition Modeling'!$N$8)-IFERROR(I11/I78,0)*12)/12*I78,0))</f>
        <v>0</v>
      </c>
      <c r="K143" s="799">
        <f>MIN(IF(ISERROR(VLOOKUP(K$134-$F143,$E$135:$E$165,1,FALSE)),0,J11*$C$2),MAX((IF(Monthly!G$4=TRUE,Monthly!G$13,Monthly!G$14)*(1+'Attrition Modeling'!$N$8)-IFERROR(J11/J78,0)*12)/12*J78,0))</f>
        <v>0</v>
      </c>
      <c r="L143" s="799">
        <f>MIN(IF(ISERROR(VLOOKUP(L$134-$F143,$E$135:$E$165,1,FALSE)),0,K11*$C$2),MAX((IF(Monthly!H$4=TRUE,Monthly!H$13,Monthly!H$14)*(1+'Attrition Modeling'!$N$8)-IFERROR(K11/K78,0)*12)/12*K78,0))</f>
        <v>0</v>
      </c>
      <c r="M143" s="799">
        <f>MIN(IF(ISERROR(VLOOKUP(M$134-$F143,$E$135:$E$165,1,FALSE)),0,L11*$C$2),MAX((IF(Monthly!I$4=TRUE,Monthly!I$13,Monthly!I$14)*(1+'Attrition Modeling'!$N$8)-IFERROR(L11/L78,0)*12)/12*L78,0))</f>
        <v>0</v>
      </c>
      <c r="N143" s="799">
        <f>MIN(IF(ISERROR(VLOOKUP(N$134-$F143,$E$135:$E$165,1,FALSE)),0,M11*$C$2),MAX((IF(Monthly!J$4=TRUE,Monthly!J$13,Monthly!J$14)*(1+'Attrition Modeling'!$N$8)-IFERROR(M11/M78,0)*12)/12*M78,0))</f>
        <v>0</v>
      </c>
      <c r="O143" s="799">
        <f>MIN(IF(ISERROR(VLOOKUP(O$134-$F143,$E$135:$E$165,1,FALSE)),0,N11*$C$2),MAX((IF(Monthly!K$4=TRUE,Monthly!K$13,Monthly!K$14)*(1+'Attrition Modeling'!$N$8)-IFERROR(N11/N78,0)*12)/12*N78,0))</f>
        <v>0</v>
      </c>
      <c r="P143" s="799">
        <f>MIN(IF(ISERROR(VLOOKUP(P$134-$F143,$E$135:$E$165,1,FALSE)),0,O11*$C$2),MAX((IF(Monthly!L$4=TRUE,Monthly!L$13,Monthly!L$14)*(1+'Attrition Modeling'!$N$8)-IFERROR(O11/O78,0)*12)/12*O78,0))</f>
        <v>0</v>
      </c>
      <c r="Q143" s="799">
        <f>MIN(IF(ISERROR(VLOOKUP(Q$134-$F143,$E$135:$E$165,1,FALSE)),0,P11*$C$2),MAX((IF(Monthly!M$4=TRUE,Monthly!M$13,Monthly!M$14)*(1+'Attrition Modeling'!$N$8)-IFERROR(P11/P78,0)*12)/12*P78,0))</f>
        <v>0</v>
      </c>
      <c r="R143" s="799">
        <f>MIN(IF(ISERROR(VLOOKUP(R$134-$F143,$E$135:$E$165,1,FALSE)),0,Q11*$C$2),MAX((IF(Monthly!N$4=TRUE,Monthly!N$13,Monthly!N$14)*(1+'Attrition Modeling'!$N$8)-IFERROR(Q11/Q78,0)*12)/12*Q78,0))</f>
        <v>0</v>
      </c>
      <c r="S143" s="799">
        <f>MIN(IF(ISERROR(VLOOKUP(S$134-$F143,$E$135:$E$165,1,FALSE)),0,R11*$C$2),MAX((IF(Monthly!O$4=TRUE,Monthly!O$13,Monthly!O$14)*(1+'Attrition Modeling'!$N$8)-IFERROR(R11/R78,0)*12)/12*R78,0))</f>
        <v>0</v>
      </c>
      <c r="T143" s="799">
        <f>MIN(IF(ISERROR(VLOOKUP(T$134-$F143,$E$135:$E$165,1,FALSE)),0,S11*$C$2),MAX((IF(Monthly!P$4=TRUE,Monthly!P$13,Monthly!P$14)*(1+'Attrition Modeling'!$N$8)-IFERROR(S11/S78,0)*12)/12*S78,0))</f>
        <v>0</v>
      </c>
      <c r="U143" s="799">
        <f>MIN(IF(ISERROR(VLOOKUP(U$134-$F143,$E$135:$E$165,1,FALSE)),0,T11*$C$2),MAX((IF(Monthly!Q$4=TRUE,Monthly!Q$13,Monthly!Q$14)*(1+'Attrition Modeling'!$N$8)-IFERROR(T11/T78,0)*12)/12*T78,0))</f>
        <v>493.80444462824835</v>
      </c>
      <c r="V143" s="799">
        <f>MIN(IF(ISERROR(VLOOKUP(V$134-$F143,$E$135:$E$165,1,FALSE)),0,U11*$C$2),MAX((IF(Monthly!R$4=TRUE,Monthly!R$13,Monthly!R$14)*(1+'Attrition Modeling'!$N$8)-IFERROR(U11/U78,0)*12)/12*U78,0))</f>
        <v>0</v>
      </c>
      <c r="W143" s="799">
        <f>MIN(IF(ISERROR(VLOOKUP(W$134-$F143,$E$135:$E$165,1,FALSE)),0,V11*$C$2),MAX((IF(Monthly!S$4=TRUE,Monthly!S$13,Monthly!S$14)*(1+'Attrition Modeling'!$N$8)-IFERROR(V11/V78,0)*12)/12*V78,0))</f>
        <v>0</v>
      </c>
      <c r="X143" s="799">
        <f>MIN(IF(ISERROR(VLOOKUP(X$134-$F143,$E$135:$E$165,1,FALSE)),0,W11*$C$2),MAX((IF(Monthly!T$4=TRUE,Monthly!T$13,Monthly!T$14)*(1+'Attrition Modeling'!$N$8)-IFERROR(W11/W78,0)*12)/12*W78,0))</f>
        <v>0</v>
      </c>
      <c r="Y143" s="799">
        <f>MIN(IF(ISERROR(VLOOKUP(Y$134-$F143,$E$135:$E$165,1,FALSE)),0,X11*$C$2),MAX((IF(Monthly!U$4=TRUE,Monthly!U$13,Monthly!U$14)*(1+'Attrition Modeling'!$N$8)-IFERROR(X11/X78,0)*12)/12*X78,0))</f>
        <v>0</v>
      </c>
      <c r="Z143" s="799">
        <f>MIN(IF(ISERROR(VLOOKUP(Z$134-$F143,$E$135:$E$165,1,FALSE)),0,Y11*$C$2),MAX((IF(Monthly!V$4=TRUE,Monthly!V$13,Monthly!V$14)*(1+'Attrition Modeling'!$N$8)-IFERROR(Y11/Y78,0)*12)/12*Y78,0))</f>
        <v>0</v>
      </c>
      <c r="AA143" s="799">
        <f>MIN(IF(ISERROR(VLOOKUP(AA$134-$F143,$E$135:$E$165,1,FALSE)),0,Z11*$C$2),MAX((IF(Monthly!W$4=TRUE,Monthly!W$13,Monthly!W$14)*(1+'Attrition Modeling'!$N$8)-IFERROR(Z11/Z78,0)*12)/12*Z78,0))</f>
        <v>0</v>
      </c>
      <c r="AB143" s="799">
        <f>MIN(IF(ISERROR(VLOOKUP(AB$134-$F143,$E$135:$E$165,1,FALSE)),0,AA11*$C$2),MAX((IF(Monthly!X$4=TRUE,Monthly!X$13,Monthly!X$14)*(1+'Attrition Modeling'!$N$8)-IFERROR(AA11/AA78,0)*12)/12*AA78,0))</f>
        <v>0</v>
      </c>
      <c r="AC143" s="799">
        <f>MIN(IF(ISERROR(VLOOKUP(AC$134-$F143,$E$135:$E$165,1,FALSE)),0,AB11*$C$2),MAX((IF(Monthly!Y$4=TRUE,Monthly!Y$13,Monthly!Y$14)*(1+'Attrition Modeling'!$N$8)-IFERROR(AB11/AB78,0)*12)/12*AB78,0))</f>
        <v>0</v>
      </c>
      <c r="AD143" s="799">
        <f>MIN(IF(ISERROR(VLOOKUP(AD$134-$F143,$E$135:$E$165,1,FALSE)),0,AC11*$C$2),MAX((IF(Monthly!Z$4=TRUE,Monthly!Z$13,Monthly!Z$14)*(1+'Attrition Modeling'!$N$8)-IFERROR(AC11/AC78,0)*12)/12*AC78,0))</f>
        <v>0</v>
      </c>
      <c r="AE143" s="799">
        <f>MIN(IF(ISERROR(VLOOKUP(AE$134-$F143,$E$135:$E$165,1,FALSE)),0,AD11*$C$2),MAX((IF(Monthly!AA$4=TRUE,Monthly!AA$13,Monthly!AA$14)*(1+'Attrition Modeling'!$N$8)-IFERROR(AD11/AD78,0)*12)/12*AD78,0))</f>
        <v>0</v>
      </c>
      <c r="AF143" s="799">
        <f>MIN(IF(ISERROR(VLOOKUP(AF$134-$F143,$E$135:$E$165,1,FALSE)),0,AE11*$C$2),MAX((IF(Monthly!AB$4=TRUE,Monthly!AB$13,Monthly!AB$14)*(1+'Attrition Modeling'!$N$8)-IFERROR(AE11/AE78,0)*12)/12*AE78,0))</f>
        <v>0</v>
      </c>
      <c r="AG143" s="799">
        <f>MIN(IF(ISERROR(VLOOKUP(AG$134-$F143,$E$135:$E$165,1,FALSE)),0,AF11*$C$2),MAX((IF(Monthly!AC$4=TRUE,Monthly!AC$13,Monthly!AC$14)*(1+'Attrition Modeling'!$N$8)-IFERROR(AF11/AF78,0)*12)/12*AF78,0))</f>
        <v>265.54574377846342</v>
      </c>
      <c r="AH143" s="799">
        <f>MIN(IF(ISERROR(VLOOKUP(AH$134-$F143,$E$135:$E$165,1,FALSE)),0,AG11*$C$2),MAX((IF(Monthly!AD$4=TRUE,Monthly!AD$13,Monthly!AD$14)*(1+'Attrition Modeling'!$N$8)-IFERROR(AG11/AG78,0)*12)/12*AG78,0))</f>
        <v>0</v>
      </c>
      <c r="AI143" s="799">
        <f>MIN(IF(ISERROR(VLOOKUP(AI$134-$F143,$E$135:$E$165,1,FALSE)),0,AH11*$C$2),MAX((IF(Monthly!AE$4=TRUE,Monthly!AE$13,Monthly!AE$14)*(1+'Attrition Modeling'!$N$8)-IFERROR(AH11/AH78,0)*12)/12*AH78,0))</f>
        <v>0</v>
      </c>
      <c r="AJ143" s="799">
        <f>MIN(IF(ISERROR(VLOOKUP(AJ$134-$F143,$E$135:$E$165,1,FALSE)),0,AI11*$C$2),MAX((IF(Monthly!AF$4=TRUE,Monthly!AF$13,Monthly!AF$14)*(1+'Attrition Modeling'!$N$8)-IFERROR(AI11/AI78,0)*12)/12*AI78,0))</f>
        <v>0</v>
      </c>
      <c r="AK143" s="799">
        <f>MIN(IF(ISERROR(VLOOKUP(AK$134-$F143,$E$135:$E$165,1,FALSE)),0,AJ11*$C$2),MAX((IF(Monthly!AG$4=TRUE,Monthly!AG$13,Monthly!AG$14)*(1+'Attrition Modeling'!$N$8)-IFERROR(AJ11/AJ78,0)*12)/12*AJ78,0))</f>
        <v>0</v>
      </c>
      <c r="AL143" s="799">
        <f>MIN(IF(ISERROR(VLOOKUP(AL$134-$F143,$E$135:$E$165,1,FALSE)),0,AK11*$C$2),MAX((IF(Monthly!AH$4=TRUE,Monthly!AH$13,Monthly!AH$14)*(1+'Attrition Modeling'!$N$8)-IFERROR(AK11/AK78,0)*12)/12*AK78,0))</f>
        <v>0</v>
      </c>
      <c r="AM143" s="799">
        <f>MIN(IF(ISERROR(VLOOKUP(AM$134-$F143,$E$135:$E$165,1,FALSE)),0,AL11*$C$2),MAX((IF(Monthly!AI$4=TRUE,Monthly!AI$13,Monthly!AI$14)*(1+'Attrition Modeling'!$N$8)-IFERROR(AL11/AL78,0)*12)/12*AL78,0))</f>
        <v>0</v>
      </c>
      <c r="AN143" s="799">
        <f>MIN(IF(ISERROR(VLOOKUP(AN$134-$F143,$E$135:$E$165,1,FALSE)),0,AM11*$C$2),MAX((IF(Monthly!AJ$4=TRUE,Monthly!AJ$13,Monthly!AJ$14)*(1+'Attrition Modeling'!$N$8)-IFERROR(AM11/AM78,0)*12)/12*AM78,0))</f>
        <v>0</v>
      </c>
      <c r="AO143" s="799">
        <f>MIN(IF(ISERROR(VLOOKUP(AO$134-$F143,$E$135:$E$165,1,FALSE)),0,AN11*$C$2),MAX((IF(Monthly!AK$4=TRUE,Monthly!AK$13,Monthly!AK$14)*(1+'Attrition Modeling'!$N$8)-IFERROR(AN11/AN78,0)*12)/12*AN78,0))</f>
        <v>0</v>
      </c>
      <c r="AP143" s="799">
        <f>MIN(IF(ISERROR(VLOOKUP(AP$134-$F143,$E$135:$E$165,1,FALSE)),0,AO11*$C$2),MAX((IF(Monthly!AL$4=TRUE,Monthly!AL$13,Monthly!AL$14)*(1+'Attrition Modeling'!$N$8)-IFERROR(AO11/AO78,0)*12)/12*AO78,0))</f>
        <v>0</v>
      </c>
      <c r="AQ143" s="799">
        <f>MIN(IF(ISERROR(VLOOKUP(AQ$134-$F143,$E$135:$E$165,1,FALSE)),0,AP11*$C$2),MAX((IF(Monthly!AM$4=TRUE,Monthly!AM$13,Monthly!AM$14)*(1+'Attrition Modeling'!$N$8)-IFERROR(AP11/AP78,0)*12)/12*AP78,0))</f>
        <v>0</v>
      </c>
      <c r="AR143" s="799">
        <f>MIN(IF(ISERROR(VLOOKUP(AR$134-$F143,$E$135:$E$165,1,FALSE)),0,AQ11*$C$2),MAX((IF(Monthly!AN$4=TRUE,Monthly!AN$13,Monthly!AN$14)*(1+'Attrition Modeling'!$N$8)-IFERROR(AQ11/AQ78,0)*12)/12*AQ78,0))</f>
        <v>0</v>
      </c>
      <c r="AS143" s="799">
        <f>MIN(IF(ISERROR(VLOOKUP(AS$134-$F143,$E$135:$E$165,1,FALSE)),0,AR11*$C$2),MAX((IF(Monthly!AO$4=TRUE,Monthly!AO$13,Monthly!AO$14)*(1+'Attrition Modeling'!$N$8)-IFERROR(AR11/AR78,0)*12)/12*AR78,0))</f>
        <v>178.72532290839521</v>
      </c>
      <c r="AT143" s="799">
        <f>MIN(IF(ISERROR(VLOOKUP(AT$134-$F143,$E$135:$E$165,1,FALSE)),0,AS11*$C$2),MAX((IF(Monthly!AP$4=TRUE,Monthly!AP$13,Monthly!AP$14)*(1+'Attrition Modeling'!$N$8)-IFERROR(AS11/AS78,0)*12)/12*AS78,0))</f>
        <v>0</v>
      </c>
      <c r="AU143" s="799">
        <f>MIN(IF(ISERROR(VLOOKUP(AU$134-$F143,$E$135:$E$165,1,FALSE)),0,AT11*$C$2),MAX((IF(Monthly!AQ$4=TRUE,Monthly!AQ$13,Monthly!AQ$14)*(1+'Attrition Modeling'!$N$8)-IFERROR(AT11/AT78,0)*12)/12*AT78,0))</f>
        <v>0</v>
      </c>
      <c r="AV143" s="799">
        <f>MIN(IF(ISERROR(VLOOKUP(AV$134-$F143,$E$135:$E$165,1,FALSE)),0,AU11*$C$2),MAX((IF(Monthly!AR$4=TRUE,Monthly!AR$13,Monthly!AR$14)*(1+'Attrition Modeling'!$N$8)-IFERROR(AU11/AU78,0)*12)/12*AU78,0))</f>
        <v>0</v>
      </c>
      <c r="AW143" s="799">
        <f>MIN(IF(ISERROR(VLOOKUP(AW$134-$F143,$E$135:$E$165,1,FALSE)),0,AV11*$C$2),MAX((IF(Monthly!AS$4=TRUE,Monthly!AS$13,Monthly!AS$14)*(1+'Attrition Modeling'!$N$8)-IFERROR(AV11/AV78,0)*12)/12*AV78,0))</f>
        <v>0</v>
      </c>
      <c r="AX143" s="799">
        <f>MIN(IF(ISERROR(VLOOKUP(AX$134-$F143,$E$135:$E$165,1,FALSE)),0,AW11*$C$2),MAX((IF(Monthly!AT$4=TRUE,Monthly!AT$13,Monthly!AT$14)*(1+'Attrition Modeling'!$N$8)-IFERROR(AW11/AW78,0)*12)/12*AW78,0))</f>
        <v>0</v>
      </c>
      <c r="AY143" s="799">
        <f>MIN(IF(ISERROR(VLOOKUP(AY$134-$F143,$E$135:$E$165,1,FALSE)),0,AX11*$C$2),MAX((IF(Monthly!AU$4=TRUE,Monthly!AU$13,Monthly!AU$14)*(1+'Attrition Modeling'!$N$8)-IFERROR(AX11/AX78,0)*12)/12*AX78,0))</f>
        <v>0</v>
      </c>
      <c r="AZ143" s="799">
        <f>MIN(IF(ISERROR(VLOOKUP(AZ$134-$F143,$E$135:$E$165,1,FALSE)),0,AY11*$C$2),MAX((IF(Monthly!AV$4=TRUE,Monthly!AV$13,Monthly!AV$14)*(1+'Attrition Modeling'!$N$8)-IFERROR(AY11/AY78,0)*12)/12*AY78,0))</f>
        <v>0</v>
      </c>
      <c r="BA143" s="799">
        <f>MIN(IF(ISERROR(VLOOKUP(BA$134-$F143,$E$135:$E$165,1,FALSE)),0,AZ11*$C$2),MAX((IF(Monthly!AW$4=TRUE,Monthly!AW$13,Monthly!AW$14)*(1+'Attrition Modeling'!$N$8)-IFERROR(AZ11/AZ78,0)*12)/12*AZ78,0))</f>
        <v>0</v>
      </c>
      <c r="BB143" s="799">
        <f>MIN(IF(ISERROR(VLOOKUP(BB$134-$F143,$E$135:$E$165,1,FALSE)),0,BA11*$C$2),MAX((IF(Monthly!AX$4=TRUE,Monthly!AX$13,Monthly!AX$14)*(1+'Attrition Modeling'!$N$8)-IFERROR(BA11/BA78,0)*12)/12*BA78,0))</f>
        <v>0</v>
      </c>
      <c r="BC143" s="799">
        <f>MIN(IF(ISERROR(VLOOKUP(BC$134-$F143,$E$135:$E$165,1,FALSE)),0,BB11*$C$2),MAX((IF(Monthly!AY$4=TRUE,Monthly!AY$13,Monthly!AY$14)*(1+'Attrition Modeling'!$N$8)-IFERROR(BB11/BB78,0)*12)/12*BB78,0))</f>
        <v>0</v>
      </c>
      <c r="BD143" s="799">
        <f>MIN(IF(ISERROR(VLOOKUP(BD$134-$F143,$E$135:$E$165,1,FALSE)),0,BC11*$C$2),MAX((IF(Monthly!AZ$4=TRUE,Monthly!AZ$13,Monthly!AZ$14)*(1+'Attrition Modeling'!$N$8)-IFERROR(BC11/BC78,0)*12)/12*BC78,0))</f>
        <v>0</v>
      </c>
      <c r="BE143" s="799">
        <f>MIN(IF(ISERROR(VLOOKUP(BE$134-$F143,$E$135:$E$165,1,FALSE)),0,BD11*$C$2),MAX((IF(Monthly!BA$4=TRUE,Monthly!BA$13,Monthly!BA$14)*(1+'Attrition Modeling'!$N$8)-IFERROR(BD11/BD78,0)*12)/12*BD78,0))</f>
        <v>89.205111584642466</v>
      </c>
      <c r="BF143" s="799">
        <f>MIN(IF(ISERROR(VLOOKUP(BF$134-$F143,$E$135:$E$165,1,FALSE)),0,BE11*$C$2),MAX((IF(Monthly!BB$4=TRUE,Monthly!BB$13,Monthly!BB$14)*(1+'Attrition Modeling'!$N$8)-IFERROR(BE11/BE78,0)*12)/12*BE78,0))</f>
        <v>0</v>
      </c>
      <c r="BG143" s="799">
        <f>MIN(IF(ISERROR(VLOOKUP(BG$134-$F143,$E$135:$E$165,1,FALSE)),0,BF11*$C$2),MAX((IF(Monthly!BC$4=TRUE,Monthly!BC$13,Monthly!BC$14)*(1+'Attrition Modeling'!$N$8)-IFERROR(BF11/BF78,0)*12)/12*BF78,0))</f>
        <v>0</v>
      </c>
      <c r="BH143" s="799">
        <f>MIN(IF(ISERROR(VLOOKUP(BH$134-$F143,$E$135:$E$165,1,FALSE)),0,BG11*$C$2),MAX((IF(Monthly!BD$4=TRUE,Monthly!BD$13,Monthly!BD$14)*(1+'Attrition Modeling'!$N$8)-IFERROR(BG11/BG78,0)*12)/12*BG78,0))</f>
        <v>0</v>
      </c>
      <c r="BI143" s="799">
        <f>MIN(IF(ISERROR(VLOOKUP(BI$134-$F143,$E$135:$E$165,1,FALSE)),0,BH11*$C$2),MAX((IF(Monthly!BE$4=TRUE,Monthly!BE$13,Monthly!BE$14)*(1+'Attrition Modeling'!$N$8)-IFERROR(BH11/BH78,0)*12)/12*BH78,0))</f>
        <v>0</v>
      </c>
      <c r="BJ143" s="799">
        <f>MIN(IF(ISERROR(VLOOKUP(BJ$134-$F143,$E$135:$E$165,1,FALSE)),0,BI11*$C$2),MAX((IF(Monthly!BF$4=TRUE,Monthly!BF$13,Monthly!BF$14)*(1+'Attrition Modeling'!$N$8)-IFERROR(BI11/BI78,0)*12)/12*BI78,0))</f>
        <v>0</v>
      </c>
      <c r="BK143" s="799">
        <f>MIN(IF(ISERROR(VLOOKUP(BK$134-$F143,$E$135:$E$165,1,FALSE)),0,BJ11*$C$2),MAX((IF(Monthly!BG$4=TRUE,Monthly!BG$13,Monthly!BG$14)*(1+'Attrition Modeling'!$N$8)-IFERROR(BJ11/BJ78,0)*12)/12*BJ78,0))</f>
        <v>0</v>
      </c>
      <c r="BL143" s="799">
        <f>MIN(IF(ISERROR(VLOOKUP(BL$134-$F143,$E$135:$E$165,1,FALSE)),0,BK11*$C$2),MAX((IF(Monthly!BH$4=TRUE,Monthly!BH$13,Monthly!BH$14)*(1+'Attrition Modeling'!$N$8)-IFERROR(BK11/BK78,0)*12)/12*BK78,0))</f>
        <v>0</v>
      </c>
      <c r="BM143" s="799">
        <f>MIN(IF(ISERROR(VLOOKUP(BM$134-$F143,$E$135:$E$165,1,FALSE)),0,BL11*$C$2),MAX((IF(Monthly!BI$4=TRUE,Monthly!BI$13,Monthly!BI$14)*(1+'Attrition Modeling'!$N$8)-IFERROR(BL11/BL78,0)*12)/12*BL78,0))</f>
        <v>0</v>
      </c>
      <c r="BN143" s="799">
        <f>MIN(IF(ISERROR(VLOOKUP(BN$134-$F143,$E$135:$E$165,1,FALSE)),0,BM11*$C$2),MAX((IF(Monthly!BJ$4=TRUE,Monthly!BJ$13,Monthly!BJ$14)*(1+'Attrition Modeling'!$N$8)-IFERROR(BM11/BM78,0)*12)/12*BM78,0))</f>
        <v>0</v>
      </c>
      <c r="BO143" s="799">
        <f>MIN(IF(ISERROR(VLOOKUP(BO$134-$F143,$E$135:$E$165,1,FALSE)),0,BN11*$C$2),MAX((IF(Monthly!BK$4=TRUE,Monthly!BK$13,Monthly!BK$14)*(1+'Attrition Modeling'!$N$8)-IFERROR(BN11/BN78,0)*12)/12*BN78,0))</f>
        <v>0</v>
      </c>
      <c r="BP143" s="799">
        <f>MIN(IF(ISERROR(VLOOKUP(BP$134-$F143,$E$135:$E$165,1,FALSE)),0,BO11*$C$2),MAX((IF(Monthly!BP$4=TRUE,Monthly!BP$13,Monthly!BP$14)*(1+'Attrition Modeling'!$N$8)-IFERROR(BO11/BO78,0)*12)/12*BO78,0))</f>
        <v>0</v>
      </c>
      <c r="BQ143" s="799">
        <f>MIN(IF(ISERROR(VLOOKUP(BQ$134-$F143,$E$135:$E$165,1,FALSE)),0,BP11*$C$2),MAX((IF(Monthly!BQ$4=TRUE,Monthly!BQ$13,Monthly!BQ$14)*(1+'Attrition Modeling'!$N$8)-IFERROR(BP11/BP78,0)*12)/12*BP78,0))</f>
        <v>0</v>
      </c>
      <c r="BR143" s="799">
        <f>MIN(IF(ISERROR(VLOOKUP(BR$134-$F143,$E$135:$E$165,1,FALSE)),0,BQ11*$C$2),MAX((IF(Monthly!BR$4=TRUE,Monthly!BR$13,Monthly!BR$14)*(1+'Attrition Modeling'!$N$8)-IFERROR(BQ11/BQ78,0)*12)/12*BQ78,0))</f>
        <v>0</v>
      </c>
      <c r="BS143" s="799">
        <f>MIN(IF(ISERROR(VLOOKUP(BS$134-$F143,$E$135:$E$165,1,FALSE)),0,BR11*$C$2),MAX((IF(Monthly!BS$4=TRUE,Monthly!BS$13,Monthly!BS$14)*(1+'Attrition Modeling'!$N$8)-IFERROR(BR11/BR78,0)*12)/12*BR78,0))</f>
        <v>0</v>
      </c>
      <c r="BT143" s="799">
        <f>MIN(IF(ISERROR(VLOOKUP(BT$134-$F143,$E$135:$E$165,1,FALSE)),0,BS11*$C$2),MAX((IF(Monthly!BT$4=TRUE,Monthly!BT$13,Monthly!BT$14)*(1+'Attrition Modeling'!$N$8)-IFERROR(BS11/BS78,0)*12)/12*BS78,0))</f>
        <v>0</v>
      </c>
      <c r="BU143" s="799">
        <f>MIN(IF(ISERROR(VLOOKUP(BU$134-$F143,$E$135:$E$165,1,FALSE)),0,BT11*$C$2),MAX((IF(Monthly!BU$4=TRUE,Monthly!BU$13,Monthly!BU$14)*(1+'Attrition Modeling'!$N$8)-IFERROR(BT11/BT78,0)*12)/12*BT78,0))</f>
        <v>0</v>
      </c>
    </row>
    <row r="144" spans="1:73" ht="14.25" customHeight="1" x14ac:dyDescent="0.2">
      <c r="A144" s="9">
        <v>137</v>
      </c>
      <c r="B144" s="25">
        <f>MAX('Attrition Modeling'!H141,$C$3)*(1-Summary!$C$20)</f>
        <v>0.02</v>
      </c>
      <c r="C144" s="24" t="e">
        <f t="shared" si="4"/>
        <v>#DIV/0!</v>
      </c>
      <c r="E144" s="11">
        <f t="shared" si="13"/>
        <v>114</v>
      </c>
      <c r="F144" s="11">
        <f t="shared" si="14"/>
        <v>9</v>
      </c>
      <c r="G144" s="799"/>
      <c r="H144" s="799">
        <f>MIN(IF(ISERROR(VLOOKUP(H$134-$F144,$E$135:$E$165,1,FALSE)),0,G12*$C$2),MAX((IF(Monthly!D$4=TRUE,Monthly!D$13,Monthly!D$14)*(1+'Attrition Modeling'!$N$8)-IFERROR(G12/G79,0)*12)/12*G79,0))</f>
        <v>0</v>
      </c>
      <c r="I144" s="799">
        <f>MIN(IF(ISERROR(VLOOKUP(I$134-$F144,$E$135:$E$165,1,FALSE)),0,H12*$C$2),MAX((IF(Monthly!E$4=TRUE,Monthly!E$13,Monthly!E$14)*(1+'Attrition Modeling'!$N$8)-IFERROR(H12/H79,0)*12)/12*H79,0))</f>
        <v>0</v>
      </c>
      <c r="J144" s="799">
        <f>MIN(IF(ISERROR(VLOOKUP(J$134-$F144,$E$135:$E$165,1,FALSE)),0,I12*$C$2),MAX((IF(Monthly!F$4=TRUE,Monthly!F$13,Monthly!F$14)*(1+'Attrition Modeling'!$N$8)-IFERROR(I12/I79,0)*12)/12*I79,0))</f>
        <v>0</v>
      </c>
      <c r="K144" s="799">
        <f>MIN(IF(ISERROR(VLOOKUP(K$134-$F144,$E$135:$E$165,1,FALSE)),0,J12*$C$2),MAX((IF(Monthly!G$4=TRUE,Monthly!G$13,Monthly!G$14)*(1+'Attrition Modeling'!$N$8)-IFERROR(J12/J79,0)*12)/12*J79,0))</f>
        <v>0</v>
      </c>
      <c r="L144" s="799">
        <f>MIN(IF(ISERROR(VLOOKUP(L$134-$F144,$E$135:$E$165,1,FALSE)),0,K12*$C$2),MAX((IF(Monthly!H$4=TRUE,Monthly!H$13,Monthly!H$14)*(1+'Attrition Modeling'!$N$8)-IFERROR(K12/K79,0)*12)/12*K79,0))</f>
        <v>0</v>
      </c>
      <c r="M144" s="799">
        <f>MIN(IF(ISERROR(VLOOKUP(M$134-$F144,$E$135:$E$165,1,FALSE)),0,L12*$C$2),MAX((IF(Monthly!I$4=TRUE,Monthly!I$13,Monthly!I$14)*(1+'Attrition Modeling'!$N$8)-IFERROR(L12/L79,0)*12)/12*L79,0))</f>
        <v>0</v>
      </c>
      <c r="N144" s="799">
        <f>MIN(IF(ISERROR(VLOOKUP(N$134-$F144,$E$135:$E$165,1,FALSE)),0,M12*$C$2),MAX((IF(Monthly!J$4=TRUE,Monthly!J$13,Monthly!J$14)*(1+'Attrition Modeling'!$N$8)-IFERROR(M12/M79,0)*12)/12*M79,0))</f>
        <v>0</v>
      </c>
      <c r="O144" s="799">
        <f>MIN(IF(ISERROR(VLOOKUP(O$134-$F144,$E$135:$E$165,1,FALSE)),0,N12*$C$2),MAX((IF(Monthly!K$4=TRUE,Monthly!K$13,Monthly!K$14)*(1+'Attrition Modeling'!$N$8)-IFERROR(N12/N79,0)*12)/12*N79,0))</f>
        <v>0</v>
      </c>
      <c r="P144" s="799">
        <f>MIN(IF(ISERROR(VLOOKUP(P$134-$F144,$E$135:$E$165,1,FALSE)),0,O12*$C$2),MAX((IF(Monthly!L$4=TRUE,Monthly!L$13,Monthly!L$14)*(1+'Attrition Modeling'!$N$8)-IFERROR(O12/O79,0)*12)/12*O79,0))</f>
        <v>0</v>
      </c>
      <c r="Q144" s="799">
        <f>MIN(IF(ISERROR(VLOOKUP(Q$134-$F144,$E$135:$E$165,1,FALSE)),0,P12*$C$2),MAX((IF(Monthly!M$4=TRUE,Monthly!M$13,Monthly!M$14)*(1+'Attrition Modeling'!$N$8)-IFERROR(P12/P79,0)*12)/12*P79,0))</f>
        <v>0</v>
      </c>
      <c r="R144" s="799">
        <f>MIN(IF(ISERROR(VLOOKUP(R$134-$F144,$E$135:$E$165,1,FALSE)),0,Q12*$C$2),MAX((IF(Monthly!N$4=TRUE,Monthly!N$13,Monthly!N$14)*(1+'Attrition Modeling'!$N$8)-IFERROR(Q12/Q79,0)*12)/12*Q79,0))</f>
        <v>0</v>
      </c>
      <c r="S144" s="799">
        <f>MIN(IF(ISERROR(VLOOKUP(S$134-$F144,$E$135:$E$165,1,FALSE)),0,R12*$C$2),MAX((IF(Monthly!O$4=TRUE,Monthly!O$13,Monthly!O$14)*(1+'Attrition Modeling'!$N$8)-IFERROR(R12/R79,0)*12)/12*R79,0))</f>
        <v>0</v>
      </c>
      <c r="T144" s="799">
        <f>MIN(IF(ISERROR(VLOOKUP(T$134-$F144,$E$135:$E$165,1,FALSE)),0,S12*$C$2),MAX((IF(Monthly!P$4=TRUE,Monthly!P$13,Monthly!P$14)*(1+'Attrition Modeling'!$N$8)-IFERROR(S12/S79,0)*12)/12*S79,0))</f>
        <v>0</v>
      </c>
      <c r="U144" s="799">
        <f>MIN(IF(ISERROR(VLOOKUP(U$134-$F144,$E$135:$E$165,1,FALSE)),0,T12*$C$2),MAX((IF(Monthly!Q$4=TRUE,Monthly!Q$13,Monthly!Q$14)*(1+'Attrition Modeling'!$N$8)-IFERROR(T12/T79,0)*12)/12*T79,0))</f>
        <v>0</v>
      </c>
      <c r="V144" s="799">
        <f>MIN(IF(ISERROR(VLOOKUP(V$134-$F144,$E$135:$E$165,1,FALSE)),0,U12*$C$2),MAX((IF(Monthly!R$4=TRUE,Monthly!R$13,Monthly!R$14)*(1+'Attrition Modeling'!$N$8)-IFERROR(U12/U79,0)*12)/12*U79,0))</f>
        <v>512.60093907763826</v>
      </c>
      <c r="W144" s="799">
        <f>MIN(IF(ISERROR(VLOOKUP(W$134-$F144,$E$135:$E$165,1,FALSE)),0,V12*$C$2),MAX((IF(Monthly!S$4=TRUE,Monthly!S$13,Monthly!S$14)*(1+'Attrition Modeling'!$N$8)-IFERROR(V12/V79,0)*12)/12*V79,0))</f>
        <v>0</v>
      </c>
      <c r="X144" s="799">
        <f>MIN(IF(ISERROR(VLOOKUP(X$134-$F144,$E$135:$E$165,1,FALSE)),0,W12*$C$2),MAX((IF(Monthly!T$4=TRUE,Monthly!T$13,Monthly!T$14)*(1+'Attrition Modeling'!$N$8)-IFERROR(W12/W79,0)*12)/12*W79,0))</f>
        <v>0</v>
      </c>
      <c r="Y144" s="799">
        <f>MIN(IF(ISERROR(VLOOKUP(Y$134-$F144,$E$135:$E$165,1,FALSE)),0,X12*$C$2),MAX((IF(Monthly!U$4=TRUE,Monthly!U$13,Monthly!U$14)*(1+'Attrition Modeling'!$N$8)-IFERROR(X12/X79,0)*12)/12*X79,0))</f>
        <v>0</v>
      </c>
      <c r="Z144" s="799">
        <f>MIN(IF(ISERROR(VLOOKUP(Z$134-$F144,$E$135:$E$165,1,FALSE)),0,Y12*$C$2),MAX((IF(Monthly!V$4=TRUE,Monthly!V$13,Monthly!V$14)*(1+'Attrition Modeling'!$N$8)-IFERROR(Y12/Y79,0)*12)/12*Y79,0))</f>
        <v>0</v>
      </c>
      <c r="AA144" s="799">
        <f>MIN(IF(ISERROR(VLOOKUP(AA$134-$F144,$E$135:$E$165,1,FALSE)),0,Z12*$C$2),MAX((IF(Monthly!W$4=TRUE,Monthly!W$13,Monthly!W$14)*(1+'Attrition Modeling'!$N$8)-IFERROR(Z12/Z79,0)*12)/12*Z79,0))</f>
        <v>0</v>
      </c>
      <c r="AB144" s="799">
        <f>MIN(IF(ISERROR(VLOOKUP(AB$134-$F144,$E$135:$E$165,1,FALSE)),0,AA12*$C$2),MAX((IF(Monthly!X$4=TRUE,Monthly!X$13,Monthly!X$14)*(1+'Attrition Modeling'!$N$8)-IFERROR(AA12/AA79,0)*12)/12*AA79,0))</f>
        <v>0</v>
      </c>
      <c r="AC144" s="799">
        <f>MIN(IF(ISERROR(VLOOKUP(AC$134-$F144,$E$135:$E$165,1,FALSE)),0,AB12*$C$2),MAX((IF(Monthly!Y$4=TRUE,Monthly!Y$13,Monthly!Y$14)*(1+'Attrition Modeling'!$N$8)-IFERROR(AB12/AB79,0)*12)/12*AB79,0))</f>
        <v>0</v>
      </c>
      <c r="AD144" s="799">
        <f>MIN(IF(ISERROR(VLOOKUP(AD$134-$F144,$E$135:$E$165,1,FALSE)),0,AC12*$C$2),MAX((IF(Monthly!Z$4=TRUE,Monthly!Z$13,Monthly!Z$14)*(1+'Attrition Modeling'!$N$8)-IFERROR(AC12/AC79,0)*12)/12*AC79,0))</f>
        <v>0</v>
      </c>
      <c r="AE144" s="799">
        <f>MIN(IF(ISERROR(VLOOKUP(AE$134-$F144,$E$135:$E$165,1,FALSE)),0,AD12*$C$2),MAX((IF(Monthly!AA$4=TRUE,Monthly!AA$13,Monthly!AA$14)*(1+'Attrition Modeling'!$N$8)-IFERROR(AD12/AD79,0)*12)/12*AD79,0))</f>
        <v>0</v>
      </c>
      <c r="AF144" s="799">
        <f>MIN(IF(ISERROR(VLOOKUP(AF$134-$F144,$E$135:$E$165,1,FALSE)),0,AE12*$C$2),MAX((IF(Monthly!AB$4=TRUE,Monthly!AB$13,Monthly!AB$14)*(1+'Attrition Modeling'!$N$8)-IFERROR(AE12/AE79,0)*12)/12*AE79,0))</f>
        <v>0</v>
      </c>
      <c r="AG144" s="799">
        <f>MIN(IF(ISERROR(VLOOKUP(AG$134-$F144,$E$135:$E$165,1,FALSE)),0,AF12*$C$2),MAX((IF(Monthly!AC$4=TRUE,Monthly!AC$13,Monthly!AC$14)*(1+'Attrition Modeling'!$N$8)-IFERROR(AF12/AF79,0)*12)/12*AF79,0))</f>
        <v>0</v>
      </c>
      <c r="AH144" s="799">
        <f>MIN(IF(ISERROR(VLOOKUP(AH$134-$F144,$E$135:$E$165,1,FALSE)),0,AG12*$C$2),MAX((IF(Monthly!AD$4=TRUE,Monthly!AD$13,Monthly!AD$14)*(1+'Attrition Modeling'!$N$8)-IFERROR(AG12/AG79,0)*12)/12*AG79,0))</f>
        <v>267.5816504115698</v>
      </c>
      <c r="AI144" s="799">
        <f>MIN(IF(ISERROR(VLOOKUP(AI$134-$F144,$E$135:$E$165,1,FALSE)),0,AH12*$C$2),MAX((IF(Monthly!AE$4=TRUE,Monthly!AE$13,Monthly!AE$14)*(1+'Attrition Modeling'!$N$8)-IFERROR(AH12/AH79,0)*12)/12*AH79,0))</f>
        <v>0</v>
      </c>
      <c r="AJ144" s="799">
        <f>MIN(IF(ISERROR(VLOOKUP(AJ$134-$F144,$E$135:$E$165,1,FALSE)),0,AI12*$C$2),MAX((IF(Monthly!AF$4=TRUE,Monthly!AF$13,Monthly!AF$14)*(1+'Attrition Modeling'!$N$8)-IFERROR(AI12/AI79,0)*12)/12*AI79,0))</f>
        <v>0</v>
      </c>
      <c r="AK144" s="799">
        <f>MIN(IF(ISERROR(VLOOKUP(AK$134-$F144,$E$135:$E$165,1,FALSE)),0,AJ12*$C$2),MAX((IF(Monthly!AG$4=TRUE,Monthly!AG$13,Monthly!AG$14)*(1+'Attrition Modeling'!$N$8)-IFERROR(AJ12/AJ79,0)*12)/12*AJ79,0))</f>
        <v>0</v>
      </c>
      <c r="AL144" s="799">
        <f>MIN(IF(ISERROR(VLOOKUP(AL$134-$F144,$E$135:$E$165,1,FALSE)),0,AK12*$C$2),MAX((IF(Monthly!AH$4=TRUE,Monthly!AH$13,Monthly!AH$14)*(1+'Attrition Modeling'!$N$8)-IFERROR(AK12/AK79,0)*12)/12*AK79,0))</f>
        <v>0</v>
      </c>
      <c r="AM144" s="799">
        <f>MIN(IF(ISERROR(VLOOKUP(AM$134-$F144,$E$135:$E$165,1,FALSE)),0,AL12*$C$2),MAX((IF(Monthly!AI$4=TRUE,Monthly!AI$13,Monthly!AI$14)*(1+'Attrition Modeling'!$N$8)-IFERROR(AL12/AL79,0)*12)/12*AL79,0))</f>
        <v>0</v>
      </c>
      <c r="AN144" s="799">
        <f>MIN(IF(ISERROR(VLOOKUP(AN$134-$F144,$E$135:$E$165,1,FALSE)),0,AM12*$C$2),MAX((IF(Monthly!AJ$4=TRUE,Monthly!AJ$13,Monthly!AJ$14)*(1+'Attrition Modeling'!$N$8)-IFERROR(AM12/AM79,0)*12)/12*AM79,0))</f>
        <v>0</v>
      </c>
      <c r="AO144" s="799">
        <f>MIN(IF(ISERROR(VLOOKUP(AO$134-$F144,$E$135:$E$165,1,FALSE)),0,AN12*$C$2),MAX((IF(Monthly!AK$4=TRUE,Monthly!AK$13,Monthly!AK$14)*(1+'Attrition Modeling'!$N$8)-IFERROR(AN12/AN79,0)*12)/12*AN79,0))</f>
        <v>0</v>
      </c>
      <c r="AP144" s="799">
        <f>MIN(IF(ISERROR(VLOOKUP(AP$134-$F144,$E$135:$E$165,1,FALSE)),0,AO12*$C$2),MAX((IF(Monthly!AL$4=TRUE,Monthly!AL$13,Monthly!AL$14)*(1+'Attrition Modeling'!$N$8)-IFERROR(AO12/AO79,0)*12)/12*AO79,0))</f>
        <v>0</v>
      </c>
      <c r="AQ144" s="799">
        <f>MIN(IF(ISERROR(VLOOKUP(AQ$134-$F144,$E$135:$E$165,1,FALSE)),0,AP12*$C$2),MAX((IF(Monthly!AM$4=TRUE,Monthly!AM$13,Monthly!AM$14)*(1+'Attrition Modeling'!$N$8)-IFERROR(AP12/AP79,0)*12)/12*AP79,0))</f>
        <v>0</v>
      </c>
      <c r="AR144" s="799">
        <f>MIN(IF(ISERROR(VLOOKUP(AR$134-$F144,$E$135:$E$165,1,FALSE)),0,AQ12*$C$2),MAX((IF(Monthly!AN$4=TRUE,Monthly!AN$13,Monthly!AN$14)*(1+'Attrition Modeling'!$N$8)-IFERROR(AQ12/AQ79,0)*12)/12*AQ79,0))</f>
        <v>0</v>
      </c>
      <c r="AS144" s="799">
        <f>MIN(IF(ISERROR(VLOOKUP(AS$134-$F144,$E$135:$E$165,1,FALSE)),0,AR12*$C$2),MAX((IF(Monthly!AO$4=TRUE,Monthly!AO$13,Monthly!AO$14)*(1+'Attrition Modeling'!$N$8)-IFERROR(AR12/AR79,0)*12)/12*AR79,0))</f>
        <v>0</v>
      </c>
      <c r="AT144" s="799">
        <f>MIN(IF(ISERROR(VLOOKUP(AT$134-$F144,$E$135:$E$165,1,FALSE)),0,AS12*$C$2),MAX((IF(Monthly!AP$4=TRUE,Monthly!AP$13,Monthly!AP$14)*(1+'Attrition Modeling'!$N$8)-IFERROR(AS12/AS79,0)*12)/12*AS79,0))</f>
        <v>180.11385590425996</v>
      </c>
      <c r="AU144" s="799">
        <f>MIN(IF(ISERROR(VLOOKUP(AU$134-$F144,$E$135:$E$165,1,FALSE)),0,AT12*$C$2),MAX((IF(Monthly!AQ$4=TRUE,Monthly!AQ$13,Monthly!AQ$14)*(1+'Attrition Modeling'!$N$8)-IFERROR(AT12/AT79,0)*12)/12*AT79,0))</f>
        <v>0</v>
      </c>
      <c r="AV144" s="799">
        <f>MIN(IF(ISERROR(VLOOKUP(AV$134-$F144,$E$135:$E$165,1,FALSE)),0,AU12*$C$2),MAX((IF(Monthly!AR$4=TRUE,Monthly!AR$13,Monthly!AR$14)*(1+'Attrition Modeling'!$N$8)-IFERROR(AU12/AU79,0)*12)/12*AU79,0))</f>
        <v>0</v>
      </c>
      <c r="AW144" s="799">
        <f>MIN(IF(ISERROR(VLOOKUP(AW$134-$F144,$E$135:$E$165,1,FALSE)),0,AV12*$C$2),MAX((IF(Monthly!AS$4=TRUE,Monthly!AS$13,Monthly!AS$14)*(1+'Attrition Modeling'!$N$8)-IFERROR(AV12/AV79,0)*12)/12*AV79,0))</f>
        <v>0</v>
      </c>
      <c r="AX144" s="799">
        <f>MIN(IF(ISERROR(VLOOKUP(AX$134-$F144,$E$135:$E$165,1,FALSE)),0,AW12*$C$2),MAX((IF(Monthly!AT$4=TRUE,Monthly!AT$13,Monthly!AT$14)*(1+'Attrition Modeling'!$N$8)-IFERROR(AW12/AW79,0)*12)/12*AW79,0))</f>
        <v>0</v>
      </c>
      <c r="AY144" s="799">
        <f>MIN(IF(ISERROR(VLOOKUP(AY$134-$F144,$E$135:$E$165,1,FALSE)),0,AX12*$C$2),MAX((IF(Monthly!AU$4=TRUE,Monthly!AU$13,Monthly!AU$14)*(1+'Attrition Modeling'!$N$8)-IFERROR(AX12/AX79,0)*12)/12*AX79,0))</f>
        <v>0</v>
      </c>
      <c r="AZ144" s="799">
        <f>MIN(IF(ISERROR(VLOOKUP(AZ$134-$F144,$E$135:$E$165,1,FALSE)),0,AY12*$C$2),MAX((IF(Monthly!AV$4=TRUE,Monthly!AV$13,Monthly!AV$14)*(1+'Attrition Modeling'!$N$8)-IFERROR(AY12/AY79,0)*12)/12*AY79,0))</f>
        <v>0</v>
      </c>
      <c r="BA144" s="799">
        <f>MIN(IF(ISERROR(VLOOKUP(BA$134-$F144,$E$135:$E$165,1,FALSE)),0,AZ12*$C$2),MAX((IF(Monthly!AW$4=TRUE,Monthly!AW$13,Monthly!AW$14)*(1+'Attrition Modeling'!$N$8)-IFERROR(AZ12/AZ79,0)*12)/12*AZ79,0))</f>
        <v>0</v>
      </c>
      <c r="BB144" s="799">
        <f>MIN(IF(ISERROR(VLOOKUP(BB$134-$F144,$E$135:$E$165,1,FALSE)),0,BA12*$C$2),MAX((IF(Monthly!AX$4=TRUE,Monthly!AX$13,Monthly!AX$14)*(1+'Attrition Modeling'!$N$8)-IFERROR(BA12/BA79,0)*12)/12*BA79,0))</f>
        <v>0</v>
      </c>
      <c r="BC144" s="799">
        <f>MIN(IF(ISERROR(VLOOKUP(BC$134-$F144,$E$135:$E$165,1,FALSE)),0,BB12*$C$2),MAX((IF(Monthly!AY$4=TRUE,Monthly!AY$13,Monthly!AY$14)*(1+'Attrition Modeling'!$N$8)-IFERROR(BB12/BB79,0)*12)/12*BB79,0))</f>
        <v>0</v>
      </c>
      <c r="BD144" s="799">
        <f>MIN(IF(ISERROR(VLOOKUP(BD$134-$F144,$E$135:$E$165,1,FALSE)),0,BC12*$C$2),MAX((IF(Monthly!AZ$4=TRUE,Monthly!AZ$13,Monthly!AZ$14)*(1+'Attrition Modeling'!$N$8)-IFERROR(BC12/BC79,0)*12)/12*BC79,0))</f>
        <v>0</v>
      </c>
      <c r="BE144" s="799">
        <f>MIN(IF(ISERROR(VLOOKUP(BE$134-$F144,$E$135:$E$165,1,FALSE)),0,BD12*$C$2),MAX((IF(Monthly!BA$4=TRUE,Monthly!BA$13,Monthly!BA$14)*(1+'Attrition Modeling'!$N$8)-IFERROR(BD12/BD79,0)*12)/12*BD79,0))</f>
        <v>0</v>
      </c>
      <c r="BF144" s="799">
        <f>MIN(IF(ISERROR(VLOOKUP(BF$134-$F144,$E$135:$E$165,1,FALSE)),0,BE12*$C$2),MAX((IF(Monthly!BB$4=TRUE,Monthly!BB$13,Monthly!BB$14)*(1+'Attrition Modeling'!$N$8)-IFERROR(BE12/BE79,0)*12)/12*BE79,0))</f>
        <v>125.62969426753027</v>
      </c>
      <c r="BG144" s="799">
        <f>MIN(IF(ISERROR(VLOOKUP(BG$134-$F144,$E$135:$E$165,1,FALSE)),0,BF12*$C$2),MAX((IF(Monthly!BC$4=TRUE,Monthly!BC$13,Monthly!BC$14)*(1+'Attrition Modeling'!$N$8)-IFERROR(BF12/BF79,0)*12)/12*BF79,0))</f>
        <v>0</v>
      </c>
      <c r="BH144" s="799">
        <f>MIN(IF(ISERROR(VLOOKUP(BH$134-$F144,$E$135:$E$165,1,FALSE)),0,BG12*$C$2),MAX((IF(Monthly!BD$4=TRUE,Monthly!BD$13,Monthly!BD$14)*(1+'Attrition Modeling'!$N$8)-IFERROR(BG12/BG79,0)*12)/12*BG79,0))</f>
        <v>0</v>
      </c>
      <c r="BI144" s="799">
        <f>MIN(IF(ISERROR(VLOOKUP(BI$134-$F144,$E$135:$E$165,1,FALSE)),0,BH12*$C$2),MAX((IF(Monthly!BE$4=TRUE,Monthly!BE$13,Monthly!BE$14)*(1+'Attrition Modeling'!$N$8)-IFERROR(BH12/BH79,0)*12)/12*BH79,0))</f>
        <v>0</v>
      </c>
      <c r="BJ144" s="799">
        <f>MIN(IF(ISERROR(VLOOKUP(BJ$134-$F144,$E$135:$E$165,1,FALSE)),0,BI12*$C$2),MAX((IF(Monthly!BF$4=TRUE,Monthly!BF$13,Monthly!BF$14)*(1+'Attrition Modeling'!$N$8)-IFERROR(BI12/BI79,0)*12)/12*BI79,0))</f>
        <v>0</v>
      </c>
      <c r="BK144" s="799">
        <f>MIN(IF(ISERROR(VLOOKUP(BK$134-$F144,$E$135:$E$165,1,FALSE)),0,BJ12*$C$2),MAX((IF(Monthly!BG$4=TRUE,Monthly!BG$13,Monthly!BG$14)*(1+'Attrition Modeling'!$N$8)-IFERROR(BJ12/BJ79,0)*12)/12*BJ79,0))</f>
        <v>0</v>
      </c>
      <c r="BL144" s="799">
        <f>MIN(IF(ISERROR(VLOOKUP(BL$134-$F144,$E$135:$E$165,1,FALSE)),0,BK12*$C$2),MAX((IF(Monthly!BH$4=TRUE,Monthly!BH$13,Monthly!BH$14)*(1+'Attrition Modeling'!$N$8)-IFERROR(BK12/BK79,0)*12)/12*BK79,0))</f>
        <v>0</v>
      </c>
      <c r="BM144" s="799">
        <f>MIN(IF(ISERROR(VLOOKUP(BM$134-$F144,$E$135:$E$165,1,FALSE)),0,BL12*$C$2),MAX((IF(Monthly!BI$4=TRUE,Monthly!BI$13,Monthly!BI$14)*(1+'Attrition Modeling'!$N$8)-IFERROR(BL12/BL79,0)*12)/12*BL79,0))</f>
        <v>0</v>
      </c>
      <c r="BN144" s="799">
        <f>MIN(IF(ISERROR(VLOOKUP(BN$134-$F144,$E$135:$E$165,1,FALSE)),0,BM12*$C$2),MAX((IF(Monthly!BJ$4=TRUE,Monthly!BJ$13,Monthly!BJ$14)*(1+'Attrition Modeling'!$N$8)-IFERROR(BM12/BM79,0)*12)/12*BM79,0))</f>
        <v>0</v>
      </c>
      <c r="BO144" s="799">
        <f>MIN(IF(ISERROR(VLOOKUP(BO$134-$F144,$E$135:$E$165,1,FALSE)),0,BN12*$C$2),MAX((IF(Monthly!BK$4=TRUE,Monthly!BK$13,Monthly!BK$14)*(1+'Attrition Modeling'!$N$8)-IFERROR(BN12/BN79,0)*12)/12*BN79,0))</f>
        <v>0</v>
      </c>
      <c r="BP144" s="799">
        <f>MIN(IF(ISERROR(VLOOKUP(BP$134-$F144,$E$135:$E$165,1,FALSE)),0,BO12*$C$2),MAX((IF(Monthly!BP$4=TRUE,Monthly!BP$13,Monthly!BP$14)*(1+'Attrition Modeling'!$N$8)-IFERROR(BO12/BO79,0)*12)/12*BO79,0))</f>
        <v>0</v>
      </c>
      <c r="BQ144" s="799">
        <f>MIN(IF(ISERROR(VLOOKUP(BQ$134-$F144,$E$135:$E$165,1,FALSE)),0,BP12*$C$2),MAX((IF(Monthly!BQ$4=TRUE,Monthly!BQ$13,Monthly!BQ$14)*(1+'Attrition Modeling'!$N$8)-IFERROR(BP12/BP79,0)*12)/12*BP79,0))</f>
        <v>0</v>
      </c>
      <c r="BR144" s="799">
        <f>MIN(IF(ISERROR(VLOOKUP(BR$134-$F144,$E$135:$E$165,1,FALSE)),0,BQ12*$C$2),MAX((IF(Monthly!BR$4=TRUE,Monthly!BR$13,Monthly!BR$14)*(1+'Attrition Modeling'!$N$8)-IFERROR(BQ12/BQ79,0)*12)/12*BQ79,0))</f>
        <v>0</v>
      </c>
      <c r="BS144" s="799">
        <f>MIN(IF(ISERROR(VLOOKUP(BS$134-$F144,$E$135:$E$165,1,FALSE)),0,BR12*$C$2),MAX((IF(Monthly!BS$4=TRUE,Monthly!BS$13,Monthly!BS$14)*(1+'Attrition Modeling'!$N$8)-IFERROR(BR12/BR79,0)*12)/12*BR79,0))</f>
        <v>0</v>
      </c>
      <c r="BT144" s="799">
        <f>MIN(IF(ISERROR(VLOOKUP(BT$134-$F144,$E$135:$E$165,1,FALSE)),0,BS12*$C$2),MAX((IF(Monthly!BT$4=TRUE,Monthly!BT$13,Monthly!BT$14)*(1+'Attrition Modeling'!$N$8)-IFERROR(BS12/BS79,0)*12)/12*BS79,0))</f>
        <v>0</v>
      </c>
      <c r="BU144" s="799">
        <f>MIN(IF(ISERROR(VLOOKUP(BU$134-$F144,$E$135:$E$165,1,FALSE)),0,BT12*$C$2),MAX((IF(Monthly!BU$4=TRUE,Monthly!BU$13,Monthly!BU$14)*(1+'Attrition Modeling'!$N$8)-IFERROR(BT12/BT79,0)*12)/12*BT79,0))</f>
        <v>0</v>
      </c>
    </row>
    <row r="145" spans="1:73" ht="14.25" customHeight="1" x14ac:dyDescent="0.2">
      <c r="A145" s="9">
        <v>138</v>
      </c>
      <c r="B145" s="25">
        <f>MAX('Attrition Modeling'!H142,$C$3)*(1-Summary!$C$20)</f>
        <v>0.02</v>
      </c>
      <c r="C145" s="24" t="e">
        <f t="shared" si="4"/>
        <v>#DIV/0!</v>
      </c>
      <c r="E145" s="11">
        <f t="shared" si="13"/>
        <v>126</v>
      </c>
      <c r="F145" s="11">
        <f t="shared" si="14"/>
        <v>10</v>
      </c>
      <c r="G145" s="799"/>
      <c r="H145" s="799">
        <f>MIN(IF(ISERROR(VLOOKUP(H$134-$F145,$E$135:$E$165,1,FALSE)),0,G13*$C$2),MAX((IF(Monthly!D$4=TRUE,Monthly!D$13,Monthly!D$14)*(1+'Attrition Modeling'!$N$8)-IFERROR(G13/G80,0)*12)/12*G80,0))</f>
        <v>0</v>
      </c>
      <c r="I145" s="799">
        <f>MIN(IF(ISERROR(VLOOKUP(I$134-$F145,$E$135:$E$165,1,FALSE)),0,H13*$C$2),MAX((IF(Monthly!E$4=TRUE,Monthly!E$13,Monthly!E$14)*(1+'Attrition Modeling'!$N$8)-IFERROR(H13/H80,0)*12)/12*H80,0))</f>
        <v>0</v>
      </c>
      <c r="J145" s="799">
        <f>MIN(IF(ISERROR(VLOOKUP(J$134-$F145,$E$135:$E$165,1,FALSE)),0,I13*$C$2),MAX((IF(Monthly!F$4=TRUE,Monthly!F$13,Monthly!F$14)*(1+'Attrition Modeling'!$N$8)-IFERROR(I13/I80,0)*12)/12*I80,0))</f>
        <v>0</v>
      </c>
      <c r="K145" s="799">
        <f>MIN(IF(ISERROR(VLOOKUP(K$134-$F145,$E$135:$E$165,1,FALSE)),0,J13*$C$2),MAX((IF(Monthly!G$4=TRUE,Monthly!G$13,Monthly!G$14)*(1+'Attrition Modeling'!$N$8)-IFERROR(J13/J80,0)*12)/12*J80,0))</f>
        <v>0</v>
      </c>
      <c r="L145" s="799">
        <f>MIN(IF(ISERROR(VLOOKUP(L$134-$F145,$E$135:$E$165,1,FALSE)),0,K13*$C$2),MAX((IF(Monthly!H$4=TRUE,Monthly!H$13,Monthly!H$14)*(1+'Attrition Modeling'!$N$8)-IFERROR(K13/K80,0)*12)/12*K80,0))</f>
        <v>0</v>
      </c>
      <c r="M145" s="799">
        <f>MIN(IF(ISERROR(VLOOKUP(M$134-$F145,$E$135:$E$165,1,FALSE)),0,L13*$C$2),MAX((IF(Monthly!I$4=TRUE,Monthly!I$13,Monthly!I$14)*(1+'Attrition Modeling'!$N$8)-IFERROR(L13/L80,0)*12)/12*L80,0))</f>
        <v>0</v>
      </c>
      <c r="N145" s="799">
        <f>MIN(IF(ISERROR(VLOOKUP(N$134-$F145,$E$135:$E$165,1,FALSE)),0,M13*$C$2),MAX((IF(Monthly!J$4=TRUE,Monthly!J$13,Monthly!J$14)*(1+'Attrition Modeling'!$N$8)-IFERROR(M13/M80,0)*12)/12*M80,0))</f>
        <v>0</v>
      </c>
      <c r="O145" s="799">
        <f>MIN(IF(ISERROR(VLOOKUP(O$134-$F145,$E$135:$E$165,1,FALSE)),0,N13*$C$2),MAX((IF(Monthly!K$4=TRUE,Monthly!K$13,Monthly!K$14)*(1+'Attrition Modeling'!$N$8)-IFERROR(N13/N80,0)*12)/12*N80,0))</f>
        <v>0</v>
      </c>
      <c r="P145" s="799">
        <f>MIN(IF(ISERROR(VLOOKUP(P$134-$F145,$E$135:$E$165,1,FALSE)),0,O13*$C$2),MAX((IF(Monthly!L$4=TRUE,Monthly!L$13,Monthly!L$14)*(1+'Attrition Modeling'!$N$8)-IFERROR(O13/O80,0)*12)/12*O80,0))</f>
        <v>0</v>
      </c>
      <c r="Q145" s="799">
        <f>MIN(IF(ISERROR(VLOOKUP(Q$134-$F145,$E$135:$E$165,1,FALSE)),0,P13*$C$2),MAX((IF(Monthly!M$4=TRUE,Monthly!M$13,Monthly!M$14)*(1+'Attrition Modeling'!$N$8)-IFERROR(P13/P80,0)*12)/12*P80,0))</f>
        <v>0</v>
      </c>
      <c r="R145" s="799">
        <f>MIN(IF(ISERROR(VLOOKUP(R$134-$F145,$E$135:$E$165,1,FALSE)),0,Q13*$C$2),MAX((IF(Monthly!N$4=TRUE,Monthly!N$13,Monthly!N$14)*(1+'Attrition Modeling'!$N$8)-IFERROR(Q13/Q80,0)*12)/12*Q80,0))</f>
        <v>0</v>
      </c>
      <c r="S145" s="799">
        <f>MIN(IF(ISERROR(VLOOKUP(S$134-$F145,$E$135:$E$165,1,FALSE)),0,R13*$C$2),MAX((IF(Monthly!O$4=TRUE,Monthly!O$13,Monthly!O$14)*(1+'Attrition Modeling'!$N$8)-IFERROR(R13/R80,0)*12)/12*R80,0))</f>
        <v>0</v>
      </c>
      <c r="T145" s="799">
        <f>MIN(IF(ISERROR(VLOOKUP(T$134-$F145,$E$135:$E$165,1,FALSE)),0,S13*$C$2),MAX((IF(Monthly!P$4=TRUE,Monthly!P$13,Monthly!P$14)*(1+'Attrition Modeling'!$N$8)-IFERROR(S13/S80,0)*12)/12*S80,0))</f>
        <v>0</v>
      </c>
      <c r="U145" s="799">
        <f>MIN(IF(ISERROR(VLOOKUP(U$134-$F145,$E$135:$E$165,1,FALSE)),0,T13*$C$2),MAX((IF(Monthly!Q$4=TRUE,Monthly!Q$13,Monthly!Q$14)*(1+'Attrition Modeling'!$N$8)-IFERROR(T13/T80,0)*12)/12*T80,0))</f>
        <v>0</v>
      </c>
      <c r="V145" s="799">
        <f>MIN(IF(ISERROR(VLOOKUP(V$134-$F145,$E$135:$E$165,1,FALSE)),0,U13*$C$2),MAX((IF(Monthly!R$4=TRUE,Monthly!R$13,Monthly!R$14)*(1+'Attrition Modeling'!$N$8)-IFERROR(U13/U80,0)*12)/12*U80,0))</f>
        <v>0</v>
      </c>
      <c r="W145" s="799">
        <f>MIN(IF(ISERROR(VLOOKUP(W$134-$F145,$E$135:$E$165,1,FALSE)),0,V13*$C$2),MAX((IF(Monthly!S$4=TRUE,Monthly!S$13,Monthly!S$14)*(1+'Attrition Modeling'!$N$8)-IFERROR(V13/V80,0)*12)/12*V80,0))</f>
        <v>499.41836031505591</v>
      </c>
      <c r="X145" s="799">
        <f>MIN(IF(ISERROR(VLOOKUP(X$134-$F145,$E$135:$E$165,1,FALSE)),0,W13*$C$2),MAX((IF(Monthly!T$4=TRUE,Monthly!T$13,Monthly!T$14)*(1+'Attrition Modeling'!$N$8)-IFERROR(W13/W80,0)*12)/12*W80,0))</f>
        <v>0</v>
      </c>
      <c r="Y145" s="799">
        <f>MIN(IF(ISERROR(VLOOKUP(Y$134-$F145,$E$135:$E$165,1,FALSE)),0,X13*$C$2),MAX((IF(Monthly!U$4=TRUE,Monthly!U$13,Monthly!U$14)*(1+'Attrition Modeling'!$N$8)-IFERROR(X13/X80,0)*12)/12*X80,0))</f>
        <v>0</v>
      </c>
      <c r="Z145" s="799">
        <f>MIN(IF(ISERROR(VLOOKUP(Z$134-$F145,$E$135:$E$165,1,FALSE)),0,Y13*$C$2),MAX((IF(Monthly!V$4=TRUE,Monthly!V$13,Monthly!V$14)*(1+'Attrition Modeling'!$N$8)-IFERROR(Y13/Y80,0)*12)/12*Y80,0))</f>
        <v>0</v>
      </c>
      <c r="AA145" s="799">
        <f>MIN(IF(ISERROR(VLOOKUP(AA$134-$F145,$E$135:$E$165,1,FALSE)),0,Z13*$C$2),MAX((IF(Monthly!W$4=TRUE,Monthly!W$13,Monthly!W$14)*(1+'Attrition Modeling'!$N$8)-IFERROR(Z13/Z80,0)*12)/12*Z80,0))</f>
        <v>0</v>
      </c>
      <c r="AB145" s="799">
        <f>MIN(IF(ISERROR(VLOOKUP(AB$134-$F145,$E$135:$E$165,1,FALSE)),0,AA13*$C$2),MAX((IF(Monthly!X$4=TRUE,Monthly!X$13,Monthly!X$14)*(1+'Attrition Modeling'!$N$8)-IFERROR(AA13/AA80,0)*12)/12*AA80,0))</f>
        <v>0</v>
      </c>
      <c r="AC145" s="799">
        <f>MIN(IF(ISERROR(VLOOKUP(AC$134-$F145,$E$135:$E$165,1,FALSE)),0,AB13*$C$2),MAX((IF(Monthly!Y$4=TRUE,Monthly!Y$13,Monthly!Y$14)*(1+'Attrition Modeling'!$N$8)-IFERROR(AB13/AB80,0)*12)/12*AB80,0))</f>
        <v>0</v>
      </c>
      <c r="AD145" s="799">
        <f>MIN(IF(ISERROR(VLOOKUP(AD$134-$F145,$E$135:$E$165,1,FALSE)),0,AC13*$C$2),MAX((IF(Monthly!Z$4=TRUE,Monthly!Z$13,Monthly!Z$14)*(1+'Attrition Modeling'!$N$8)-IFERROR(AC13/AC80,0)*12)/12*AC80,0))</f>
        <v>0</v>
      </c>
      <c r="AE145" s="799">
        <f>MIN(IF(ISERROR(VLOOKUP(AE$134-$F145,$E$135:$E$165,1,FALSE)),0,AD13*$C$2),MAX((IF(Monthly!AA$4=TRUE,Monthly!AA$13,Monthly!AA$14)*(1+'Attrition Modeling'!$N$8)-IFERROR(AD13/AD80,0)*12)/12*AD80,0))</f>
        <v>0</v>
      </c>
      <c r="AF145" s="799">
        <f>MIN(IF(ISERROR(VLOOKUP(AF$134-$F145,$E$135:$E$165,1,FALSE)),0,AE13*$C$2),MAX((IF(Monthly!AB$4=TRUE,Monthly!AB$13,Monthly!AB$14)*(1+'Attrition Modeling'!$N$8)-IFERROR(AE13/AE80,0)*12)/12*AE80,0))</f>
        <v>0</v>
      </c>
      <c r="AG145" s="799">
        <f>MIN(IF(ISERROR(VLOOKUP(AG$134-$F145,$E$135:$E$165,1,FALSE)),0,AF13*$C$2),MAX((IF(Monthly!AC$4=TRUE,Monthly!AC$13,Monthly!AC$14)*(1+'Attrition Modeling'!$N$8)-IFERROR(AF13/AF80,0)*12)/12*AF80,0))</f>
        <v>0</v>
      </c>
      <c r="AH145" s="799">
        <f>MIN(IF(ISERROR(VLOOKUP(AH$134-$F145,$E$135:$E$165,1,FALSE)),0,AG13*$C$2),MAX((IF(Monthly!AD$4=TRUE,Monthly!AD$13,Monthly!AD$14)*(1+'Attrition Modeling'!$N$8)-IFERROR(AG13/AG80,0)*12)/12*AG80,0))</f>
        <v>0</v>
      </c>
      <c r="AI145" s="799">
        <f>MIN(IF(ISERROR(VLOOKUP(AI$134-$F145,$E$135:$E$165,1,FALSE)),0,AH13*$C$2),MAX((IF(Monthly!AE$4=TRUE,Monthly!AE$13,Monthly!AE$14)*(1+'Attrition Modeling'!$N$8)-IFERROR(AH13/AH80,0)*12)/12*AH80,0))</f>
        <v>260.45970663062883</v>
      </c>
      <c r="AJ145" s="799">
        <f>MIN(IF(ISERROR(VLOOKUP(AJ$134-$F145,$E$135:$E$165,1,FALSE)),0,AI13*$C$2),MAX((IF(Monthly!AF$4=TRUE,Monthly!AF$13,Monthly!AF$14)*(1+'Attrition Modeling'!$N$8)-IFERROR(AI13/AI80,0)*12)/12*AI80,0))</f>
        <v>0</v>
      </c>
      <c r="AK145" s="799">
        <f>MIN(IF(ISERROR(VLOOKUP(AK$134-$F145,$E$135:$E$165,1,FALSE)),0,AJ13*$C$2),MAX((IF(Monthly!AG$4=TRUE,Monthly!AG$13,Monthly!AG$14)*(1+'Attrition Modeling'!$N$8)-IFERROR(AJ13/AJ80,0)*12)/12*AJ80,0))</f>
        <v>0</v>
      </c>
      <c r="AL145" s="799">
        <f>MIN(IF(ISERROR(VLOOKUP(AL$134-$F145,$E$135:$E$165,1,FALSE)),0,AK13*$C$2),MAX((IF(Monthly!AH$4=TRUE,Monthly!AH$13,Monthly!AH$14)*(1+'Attrition Modeling'!$N$8)-IFERROR(AK13/AK80,0)*12)/12*AK80,0))</f>
        <v>0</v>
      </c>
      <c r="AM145" s="799">
        <f>MIN(IF(ISERROR(VLOOKUP(AM$134-$F145,$E$135:$E$165,1,FALSE)),0,AL13*$C$2),MAX((IF(Monthly!AI$4=TRUE,Monthly!AI$13,Monthly!AI$14)*(1+'Attrition Modeling'!$N$8)-IFERROR(AL13/AL80,0)*12)/12*AL80,0))</f>
        <v>0</v>
      </c>
      <c r="AN145" s="799">
        <f>MIN(IF(ISERROR(VLOOKUP(AN$134-$F145,$E$135:$E$165,1,FALSE)),0,AM13*$C$2),MAX((IF(Monthly!AJ$4=TRUE,Monthly!AJ$13,Monthly!AJ$14)*(1+'Attrition Modeling'!$N$8)-IFERROR(AM13/AM80,0)*12)/12*AM80,0))</f>
        <v>0</v>
      </c>
      <c r="AO145" s="799">
        <f>MIN(IF(ISERROR(VLOOKUP(AO$134-$F145,$E$135:$E$165,1,FALSE)),0,AN13*$C$2),MAX((IF(Monthly!AK$4=TRUE,Monthly!AK$13,Monthly!AK$14)*(1+'Attrition Modeling'!$N$8)-IFERROR(AN13/AN80,0)*12)/12*AN80,0))</f>
        <v>0</v>
      </c>
      <c r="AP145" s="799">
        <f>MIN(IF(ISERROR(VLOOKUP(AP$134-$F145,$E$135:$E$165,1,FALSE)),0,AO13*$C$2),MAX((IF(Monthly!AL$4=TRUE,Monthly!AL$13,Monthly!AL$14)*(1+'Attrition Modeling'!$N$8)-IFERROR(AO13/AO80,0)*12)/12*AO80,0))</f>
        <v>0</v>
      </c>
      <c r="AQ145" s="799">
        <f>MIN(IF(ISERROR(VLOOKUP(AQ$134-$F145,$E$135:$E$165,1,FALSE)),0,AP13*$C$2),MAX((IF(Monthly!AM$4=TRUE,Monthly!AM$13,Monthly!AM$14)*(1+'Attrition Modeling'!$N$8)-IFERROR(AP13/AP80,0)*12)/12*AP80,0))</f>
        <v>0</v>
      </c>
      <c r="AR145" s="799">
        <f>MIN(IF(ISERROR(VLOOKUP(AR$134-$F145,$E$135:$E$165,1,FALSE)),0,AQ13*$C$2),MAX((IF(Monthly!AN$4=TRUE,Monthly!AN$13,Monthly!AN$14)*(1+'Attrition Modeling'!$N$8)-IFERROR(AQ13/AQ80,0)*12)/12*AQ80,0))</f>
        <v>0</v>
      </c>
      <c r="AS145" s="799">
        <f>MIN(IF(ISERROR(VLOOKUP(AS$134-$F145,$E$135:$E$165,1,FALSE)),0,AR13*$C$2),MAX((IF(Monthly!AO$4=TRUE,Monthly!AO$13,Monthly!AO$14)*(1+'Attrition Modeling'!$N$8)-IFERROR(AR13/AR80,0)*12)/12*AR80,0))</f>
        <v>0</v>
      </c>
      <c r="AT145" s="799">
        <f>MIN(IF(ISERROR(VLOOKUP(AT$134-$F145,$E$135:$E$165,1,FALSE)),0,AS13*$C$2),MAX((IF(Monthly!AP$4=TRUE,Monthly!AP$13,Monthly!AP$14)*(1+'Attrition Modeling'!$N$8)-IFERROR(AS13/AS80,0)*12)/12*AS80,0))</f>
        <v>0</v>
      </c>
      <c r="AU145" s="799">
        <f>MIN(IF(ISERROR(VLOOKUP(AU$134-$F145,$E$135:$E$165,1,FALSE)),0,AT13*$C$2),MAX((IF(Monthly!AQ$4=TRUE,Monthly!AQ$13,Monthly!AQ$14)*(1+'Attrition Modeling'!$N$8)-IFERROR(AT13/AT80,0)*12)/12*AT80,0))</f>
        <v>175.9621741763674</v>
      </c>
      <c r="AV145" s="799">
        <f>MIN(IF(ISERROR(VLOOKUP(AV$134-$F145,$E$135:$E$165,1,FALSE)),0,AU13*$C$2),MAX((IF(Monthly!AR$4=TRUE,Monthly!AR$13,Monthly!AR$14)*(1+'Attrition Modeling'!$N$8)-IFERROR(AU13/AU80,0)*12)/12*AU80,0))</f>
        <v>0</v>
      </c>
      <c r="AW145" s="799">
        <f>MIN(IF(ISERROR(VLOOKUP(AW$134-$F145,$E$135:$E$165,1,FALSE)),0,AV13*$C$2),MAX((IF(Monthly!AS$4=TRUE,Monthly!AS$13,Monthly!AS$14)*(1+'Attrition Modeling'!$N$8)-IFERROR(AV13/AV80,0)*12)/12*AV80,0))</f>
        <v>0</v>
      </c>
      <c r="AX145" s="799">
        <f>MIN(IF(ISERROR(VLOOKUP(AX$134-$F145,$E$135:$E$165,1,FALSE)),0,AW13*$C$2),MAX((IF(Monthly!AT$4=TRUE,Monthly!AT$13,Monthly!AT$14)*(1+'Attrition Modeling'!$N$8)-IFERROR(AW13/AW80,0)*12)/12*AW80,0))</f>
        <v>0</v>
      </c>
      <c r="AY145" s="799">
        <f>MIN(IF(ISERROR(VLOOKUP(AY$134-$F145,$E$135:$E$165,1,FALSE)),0,AX13*$C$2),MAX((IF(Monthly!AU$4=TRUE,Monthly!AU$13,Monthly!AU$14)*(1+'Attrition Modeling'!$N$8)-IFERROR(AX13/AX80,0)*12)/12*AX80,0))</f>
        <v>0</v>
      </c>
      <c r="AZ145" s="799">
        <f>MIN(IF(ISERROR(VLOOKUP(AZ$134-$F145,$E$135:$E$165,1,FALSE)),0,AY13*$C$2),MAX((IF(Monthly!AV$4=TRUE,Monthly!AV$13,Monthly!AV$14)*(1+'Attrition Modeling'!$N$8)-IFERROR(AY13/AY80,0)*12)/12*AY80,0))</f>
        <v>0</v>
      </c>
      <c r="BA145" s="799">
        <f>MIN(IF(ISERROR(VLOOKUP(BA$134-$F145,$E$135:$E$165,1,FALSE)),0,AZ13*$C$2),MAX((IF(Monthly!AW$4=TRUE,Monthly!AW$13,Monthly!AW$14)*(1+'Attrition Modeling'!$N$8)-IFERROR(AZ13/AZ80,0)*12)/12*AZ80,0))</f>
        <v>0</v>
      </c>
      <c r="BB145" s="799">
        <f>MIN(IF(ISERROR(VLOOKUP(BB$134-$F145,$E$135:$E$165,1,FALSE)),0,BA13*$C$2),MAX((IF(Monthly!AX$4=TRUE,Monthly!AX$13,Monthly!AX$14)*(1+'Attrition Modeling'!$N$8)-IFERROR(BA13/BA80,0)*12)/12*BA80,0))</f>
        <v>0</v>
      </c>
      <c r="BC145" s="799">
        <f>MIN(IF(ISERROR(VLOOKUP(BC$134-$F145,$E$135:$E$165,1,FALSE)),0,BB13*$C$2),MAX((IF(Monthly!AY$4=TRUE,Monthly!AY$13,Monthly!AY$14)*(1+'Attrition Modeling'!$N$8)-IFERROR(BB13/BB80,0)*12)/12*BB80,0))</f>
        <v>0</v>
      </c>
      <c r="BD145" s="799">
        <f>MIN(IF(ISERROR(VLOOKUP(BD$134-$F145,$E$135:$E$165,1,FALSE)),0,BC13*$C$2),MAX((IF(Monthly!AZ$4=TRUE,Monthly!AZ$13,Monthly!AZ$14)*(1+'Attrition Modeling'!$N$8)-IFERROR(BC13/BC80,0)*12)/12*BC80,0))</f>
        <v>0</v>
      </c>
      <c r="BE145" s="799">
        <f>MIN(IF(ISERROR(VLOOKUP(BE$134-$F145,$E$135:$E$165,1,FALSE)),0,BD13*$C$2),MAX((IF(Monthly!BA$4=TRUE,Monthly!BA$13,Monthly!BA$14)*(1+'Attrition Modeling'!$N$8)-IFERROR(BD13/BD80,0)*12)/12*BD80,0))</f>
        <v>0</v>
      </c>
      <c r="BF145" s="799">
        <f>MIN(IF(ISERROR(VLOOKUP(BF$134-$F145,$E$135:$E$165,1,FALSE)),0,BE13*$C$2),MAX((IF(Monthly!BB$4=TRUE,Monthly!BB$13,Monthly!BB$14)*(1+'Attrition Modeling'!$N$8)-IFERROR(BE13/BE80,0)*12)/12*BE80,0))</f>
        <v>0</v>
      </c>
      <c r="BG145" s="799">
        <f>MIN(IF(ISERROR(VLOOKUP(BG$134-$F145,$E$135:$E$165,1,FALSE)),0,BF13*$C$2),MAX((IF(Monthly!BC$4=TRUE,Monthly!BC$13,Monthly!BC$14)*(1+'Attrition Modeling'!$N$8)-IFERROR(BF13/BF80,0)*12)/12*BF80,0))</f>
        <v>131.59440604852122</v>
      </c>
      <c r="BH145" s="799">
        <f>MIN(IF(ISERROR(VLOOKUP(BH$134-$F145,$E$135:$E$165,1,FALSE)),0,BG13*$C$2),MAX((IF(Monthly!BD$4=TRUE,Monthly!BD$13,Monthly!BD$14)*(1+'Attrition Modeling'!$N$8)-IFERROR(BG13/BG80,0)*12)/12*BG80,0))</f>
        <v>0</v>
      </c>
      <c r="BI145" s="799">
        <f>MIN(IF(ISERROR(VLOOKUP(BI$134-$F145,$E$135:$E$165,1,FALSE)),0,BH13*$C$2),MAX((IF(Monthly!BE$4=TRUE,Monthly!BE$13,Monthly!BE$14)*(1+'Attrition Modeling'!$N$8)-IFERROR(BH13/BH80,0)*12)/12*BH80,0))</f>
        <v>0</v>
      </c>
      <c r="BJ145" s="799">
        <f>MIN(IF(ISERROR(VLOOKUP(BJ$134-$F145,$E$135:$E$165,1,FALSE)),0,BI13*$C$2),MAX((IF(Monthly!BF$4=TRUE,Monthly!BF$13,Monthly!BF$14)*(1+'Attrition Modeling'!$N$8)-IFERROR(BI13/BI80,0)*12)/12*BI80,0))</f>
        <v>0</v>
      </c>
      <c r="BK145" s="799">
        <f>MIN(IF(ISERROR(VLOOKUP(BK$134-$F145,$E$135:$E$165,1,FALSE)),0,BJ13*$C$2),MAX((IF(Monthly!BG$4=TRUE,Monthly!BG$13,Monthly!BG$14)*(1+'Attrition Modeling'!$N$8)-IFERROR(BJ13/BJ80,0)*12)/12*BJ80,0))</f>
        <v>0</v>
      </c>
      <c r="BL145" s="799">
        <f>MIN(IF(ISERROR(VLOOKUP(BL$134-$F145,$E$135:$E$165,1,FALSE)),0,BK13*$C$2),MAX((IF(Monthly!BH$4=TRUE,Monthly!BH$13,Monthly!BH$14)*(1+'Attrition Modeling'!$N$8)-IFERROR(BK13/BK80,0)*12)/12*BK80,0))</f>
        <v>0</v>
      </c>
      <c r="BM145" s="799">
        <f>MIN(IF(ISERROR(VLOOKUP(BM$134-$F145,$E$135:$E$165,1,FALSE)),0,BL13*$C$2),MAX((IF(Monthly!BI$4=TRUE,Monthly!BI$13,Monthly!BI$14)*(1+'Attrition Modeling'!$N$8)-IFERROR(BL13/BL80,0)*12)/12*BL80,0))</f>
        <v>0</v>
      </c>
      <c r="BN145" s="799">
        <f>MIN(IF(ISERROR(VLOOKUP(BN$134-$F145,$E$135:$E$165,1,FALSE)),0,BM13*$C$2),MAX((IF(Monthly!BJ$4=TRUE,Monthly!BJ$13,Monthly!BJ$14)*(1+'Attrition Modeling'!$N$8)-IFERROR(BM13/BM80,0)*12)/12*BM80,0))</f>
        <v>0</v>
      </c>
      <c r="BO145" s="799">
        <f>MIN(IF(ISERROR(VLOOKUP(BO$134-$F145,$E$135:$E$165,1,FALSE)),0,BN13*$C$2),MAX((IF(Monthly!BK$4=TRUE,Monthly!BK$13,Monthly!BK$14)*(1+'Attrition Modeling'!$N$8)-IFERROR(BN13/BN80,0)*12)/12*BN80,0))</f>
        <v>0</v>
      </c>
      <c r="BP145" s="799">
        <f>MIN(IF(ISERROR(VLOOKUP(BP$134-$F145,$E$135:$E$165,1,FALSE)),0,BO13*$C$2),MAX((IF(Monthly!BP$4=TRUE,Monthly!BP$13,Monthly!BP$14)*(1+'Attrition Modeling'!$N$8)-IFERROR(BO13/BO80,0)*12)/12*BO80,0))</f>
        <v>0</v>
      </c>
      <c r="BQ145" s="799">
        <f>MIN(IF(ISERROR(VLOOKUP(BQ$134-$F145,$E$135:$E$165,1,FALSE)),0,BP13*$C$2),MAX((IF(Monthly!BQ$4=TRUE,Monthly!BQ$13,Monthly!BQ$14)*(1+'Attrition Modeling'!$N$8)-IFERROR(BP13/BP80,0)*12)/12*BP80,0))</f>
        <v>0</v>
      </c>
      <c r="BR145" s="799">
        <f>MIN(IF(ISERROR(VLOOKUP(BR$134-$F145,$E$135:$E$165,1,FALSE)),0,BQ13*$C$2),MAX((IF(Monthly!BR$4=TRUE,Monthly!BR$13,Monthly!BR$14)*(1+'Attrition Modeling'!$N$8)-IFERROR(BQ13/BQ80,0)*12)/12*BQ80,0))</f>
        <v>0</v>
      </c>
      <c r="BS145" s="799">
        <f>MIN(IF(ISERROR(VLOOKUP(BS$134-$F145,$E$135:$E$165,1,FALSE)),0,BR13*$C$2),MAX((IF(Monthly!BS$4=TRUE,Monthly!BS$13,Monthly!BS$14)*(1+'Attrition Modeling'!$N$8)-IFERROR(BR13/BR80,0)*12)/12*BR80,0))</f>
        <v>0</v>
      </c>
      <c r="BT145" s="799">
        <f>MIN(IF(ISERROR(VLOOKUP(BT$134-$F145,$E$135:$E$165,1,FALSE)),0,BS13*$C$2),MAX((IF(Monthly!BT$4=TRUE,Monthly!BT$13,Monthly!BT$14)*(1+'Attrition Modeling'!$N$8)-IFERROR(BS13/BS80,0)*12)/12*BS80,0))</f>
        <v>0</v>
      </c>
      <c r="BU145" s="799">
        <f>MIN(IF(ISERROR(VLOOKUP(BU$134-$F145,$E$135:$E$165,1,FALSE)),0,BT13*$C$2),MAX((IF(Monthly!BU$4=TRUE,Monthly!BU$13,Monthly!BU$14)*(1+'Attrition Modeling'!$N$8)-IFERROR(BT13/BT80,0)*12)/12*BT80,0))</f>
        <v>0</v>
      </c>
    </row>
    <row r="146" spans="1:73" ht="14.25" customHeight="1" x14ac:dyDescent="0.2">
      <c r="A146" s="9">
        <v>139</v>
      </c>
      <c r="B146" s="25">
        <f>MAX('Attrition Modeling'!H143,$C$3)*(1-Summary!$C$20)</f>
        <v>0.02</v>
      </c>
      <c r="C146" s="24" t="e">
        <f t="shared" si="4"/>
        <v>#DIV/0!</v>
      </c>
      <c r="E146" s="11">
        <f t="shared" si="13"/>
        <v>138</v>
      </c>
      <c r="F146" s="11">
        <f t="shared" si="14"/>
        <v>11</v>
      </c>
      <c r="G146" s="799"/>
      <c r="H146" s="799">
        <f>MIN(IF(ISERROR(VLOOKUP(H$134-$F146,$E$135:$E$165,1,FALSE)),0,G14*$C$2),MAX((IF(Monthly!D$4=TRUE,Monthly!D$13,Monthly!D$14)*(1+'Attrition Modeling'!$N$8)-IFERROR(G14/G81,0)*12)/12*G81,0))</f>
        <v>0</v>
      </c>
      <c r="I146" s="799">
        <f>MIN(IF(ISERROR(VLOOKUP(I$134-$F146,$E$135:$E$165,1,FALSE)),0,H14*$C$2),MAX((IF(Monthly!E$4=TRUE,Monthly!E$13,Monthly!E$14)*(1+'Attrition Modeling'!$N$8)-IFERROR(H14/H81,0)*12)/12*H81,0))</f>
        <v>0</v>
      </c>
      <c r="J146" s="799">
        <f>MIN(IF(ISERROR(VLOOKUP(J$134-$F146,$E$135:$E$165,1,FALSE)),0,I14*$C$2),MAX((IF(Monthly!F$4=TRUE,Monthly!F$13,Monthly!F$14)*(1+'Attrition Modeling'!$N$8)-IFERROR(I14/I81,0)*12)/12*I81,0))</f>
        <v>0</v>
      </c>
      <c r="K146" s="799">
        <f>MIN(IF(ISERROR(VLOOKUP(K$134-$F146,$E$135:$E$165,1,FALSE)),0,J14*$C$2),MAX((IF(Monthly!G$4=TRUE,Monthly!G$13,Monthly!G$14)*(1+'Attrition Modeling'!$N$8)-IFERROR(J14/J81,0)*12)/12*J81,0))</f>
        <v>0</v>
      </c>
      <c r="L146" s="799">
        <f>MIN(IF(ISERROR(VLOOKUP(L$134-$F146,$E$135:$E$165,1,FALSE)),0,K14*$C$2),MAX((IF(Monthly!H$4=TRUE,Monthly!H$13,Monthly!H$14)*(1+'Attrition Modeling'!$N$8)-IFERROR(K14/K81,0)*12)/12*K81,0))</f>
        <v>0</v>
      </c>
      <c r="M146" s="799">
        <f>MIN(IF(ISERROR(VLOOKUP(M$134-$F146,$E$135:$E$165,1,FALSE)),0,L14*$C$2),MAX((IF(Monthly!I$4=TRUE,Monthly!I$13,Monthly!I$14)*(1+'Attrition Modeling'!$N$8)-IFERROR(L14/L81,0)*12)/12*L81,0))</f>
        <v>0</v>
      </c>
      <c r="N146" s="799">
        <f>MIN(IF(ISERROR(VLOOKUP(N$134-$F146,$E$135:$E$165,1,FALSE)),0,M14*$C$2),MAX((IF(Monthly!J$4=TRUE,Monthly!J$13,Monthly!J$14)*(1+'Attrition Modeling'!$N$8)-IFERROR(M14/M81,0)*12)/12*M81,0))</f>
        <v>0</v>
      </c>
      <c r="O146" s="799">
        <f>MIN(IF(ISERROR(VLOOKUP(O$134-$F146,$E$135:$E$165,1,FALSE)),0,N14*$C$2),MAX((IF(Monthly!K$4=TRUE,Monthly!K$13,Monthly!K$14)*(1+'Attrition Modeling'!$N$8)-IFERROR(N14/N81,0)*12)/12*N81,0))</f>
        <v>0</v>
      </c>
      <c r="P146" s="799">
        <f>MIN(IF(ISERROR(VLOOKUP(P$134-$F146,$E$135:$E$165,1,FALSE)),0,O14*$C$2),MAX((IF(Monthly!L$4=TRUE,Monthly!L$13,Monthly!L$14)*(1+'Attrition Modeling'!$N$8)-IFERROR(O14/O81,0)*12)/12*O81,0))</f>
        <v>0</v>
      </c>
      <c r="Q146" s="799">
        <f>MIN(IF(ISERROR(VLOOKUP(Q$134-$F146,$E$135:$E$165,1,FALSE)),0,P14*$C$2),MAX((IF(Monthly!M$4=TRUE,Monthly!M$13,Monthly!M$14)*(1+'Attrition Modeling'!$N$8)-IFERROR(P14/P81,0)*12)/12*P81,0))</f>
        <v>0</v>
      </c>
      <c r="R146" s="799">
        <f>MIN(IF(ISERROR(VLOOKUP(R$134-$F146,$E$135:$E$165,1,FALSE)),0,Q14*$C$2),MAX((IF(Monthly!N$4=TRUE,Monthly!N$13,Monthly!N$14)*(1+'Attrition Modeling'!$N$8)-IFERROR(Q14/Q81,0)*12)/12*Q81,0))</f>
        <v>0</v>
      </c>
      <c r="S146" s="799">
        <f>MIN(IF(ISERROR(VLOOKUP(S$134-$F146,$E$135:$E$165,1,FALSE)),0,R14*$C$2),MAX((IF(Monthly!O$4=TRUE,Monthly!O$13,Monthly!O$14)*(1+'Attrition Modeling'!$N$8)-IFERROR(R14/R81,0)*12)/12*R81,0))</f>
        <v>0</v>
      </c>
      <c r="T146" s="799">
        <f>MIN(IF(ISERROR(VLOOKUP(T$134-$F146,$E$135:$E$165,1,FALSE)),0,S14*$C$2),MAX((IF(Monthly!P$4=TRUE,Monthly!P$13,Monthly!P$14)*(1+'Attrition Modeling'!$N$8)-IFERROR(S14/S81,0)*12)/12*S81,0))</f>
        <v>0</v>
      </c>
      <c r="U146" s="799">
        <f>MIN(IF(ISERROR(VLOOKUP(U$134-$F146,$E$135:$E$165,1,FALSE)),0,T14*$C$2),MAX((IF(Monthly!Q$4=TRUE,Monthly!Q$13,Monthly!Q$14)*(1+'Attrition Modeling'!$N$8)-IFERROR(T14/T81,0)*12)/12*T81,0))</f>
        <v>0</v>
      </c>
      <c r="V146" s="799">
        <f>MIN(IF(ISERROR(VLOOKUP(V$134-$F146,$E$135:$E$165,1,FALSE)),0,U14*$C$2),MAX((IF(Monthly!R$4=TRUE,Monthly!R$13,Monthly!R$14)*(1+'Attrition Modeling'!$N$8)-IFERROR(U14/U81,0)*12)/12*U81,0))</f>
        <v>0</v>
      </c>
      <c r="W146" s="799">
        <f>MIN(IF(ISERROR(VLOOKUP(W$134-$F146,$E$135:$E$165,1,FALSE)),0,V14*$C$2),MAX((IF(Monthly!S$4=TRUE,Monthly!S$13,Monthly!S$14)*(1+'Attrition Modeling'!$N$8)-IFERROR(V14/V81,0)*12)/12*V81,0))</f>
        <v>0</v>
      </c>
      <c r="X146" s="799">
        <f>MIN(IF(ISERROR(VLOOKUP(X$134-$F146,$E$135:$E$165,1,FALSE)),0,W14*$C$2),MAX((IF(Monthly!T$4=TRUE,Monthly!T$13,Monthly!T$14)*(1+'Attrition Modeling'!$N$8)-IFERROR(W14/W81,0)*12)/12*W81,0))</f>
        <v>470.31874487037311</v>
      </c>
      <c r="Y146" s="799">
        <f>MIN(IF(ISERROR(VLOOKUP(Y$134-$F146,$E$135:$E$165,1,FALSE)),0,X14*$C$2),MAX((IF(Monthly!U$4=TRUE,Monthly!U$13,Monthly!U$14)*(1+'Attrition Modeling'!$N$8)-IFERROR(X14/X81,0)*12)/12*X81,0))</f>
        <v>0</v>
      </c>
      <c r="Z146" s="799">
        <f>MIN(IF(ISERROR(VLOOKUP(Z$134-$F146,$E$135:$E$165,1,FALSE)),0,Y14*$C$2),MAX((IF(Monthly!V$4=TRUE,Monthly!V$13,Monthly!V$14)*(1+'Attrition Modeling'!$N$8)-IFERROR(Y14/Y81,0)*12)/12*Y81,0))</f>
        <v>0</v>
      </c>
      <c r="AA146" s="799">
        <f>MIN(IF(ISERROR(VLOOKUP(AA$134-$F146,$E$135:$E$165,1,FALSE)),0,Z14*$C$2),MAX((IF(Monthly!W$4=TRUE,Monthly!W$13,Monthly!W$14)*(1+'Attrition Modeling'!$N$8)-IFERROR(Z14/Z81,0)*12)/12*Z81,0))</f>
        <v>0</v>
      </c>
      <c r="AB146" s="799">
        <f>MIN(IF(ISERROR(VLOOKUP(AB$134-$F146,$E$135:$E$165,1,FALSE)),0,AA14*$C$2),MAX((IF(Monthly!X$4=TRUE,Monthly!X$13,Monthly!X$14)*(1+'Attrition Modeling'!$N$8)-IFERROR(AA14/AA81,0)*12)/12*AA81,0))</f>
        <v>0</v>
      </c>
      <c r="AC146" s="799">
        <f>MIN(IF(ISERROR(VLOOKUP(AC$134-$F146,$E$135:$E$165,1,FALSE)),0,AB14*$C$2),MAX((IF(Monthly!Y$4=TRUE,Monthly!Y$13,Monthly!Y$14)*(1+'Attrition Modeling'!$N$8)-IFERROR(AB14/AB81,0)*12)/12*AB81,0))</f>
        <v>0</v>
      </c>
      <c r="AD146" s="799">
        <f>MIN(IF(ISERROR(VLOOKUP(AD$134-$F146,$E$135:$E$165,1,FALSE)),0,AC14*$C$2),MAX((IF(Monthly!Z$4=TRUE,Monthly!Z$13,Monthly!Z$14)*(1+'Attrition Modeling'!$N$8)-IFERROR(AC14/AC81,0)*12)/12*AC81,0))</f>
        <v>0</v>
      </c>
      <c r="AE146" s="799">
        <f>MIN(IF(ISERROR(VLOOKUP(AE$134-$F146,$E$135:$E$165,1,FALSE)),0,AD14*$C$2),MAX((IF(Monthly!AA$4=TRUE,Monthly!AA$13,Monthly!AA$14)*(1+'Attrition Modeling'!$N$8)-IFERROR(AD14/AD81,0)*12)/12*AD81,0))</f>
        <v>0</v>
      </c>
      <c r="AF146" s="799">
        <f>MIN(IF(ISERROR(VLOOKUP(AF$134-$F146,$E$135:$E$165,1,FALSE)),0,AE14*$C$2),MAX((IF(Monthly!AB$4=TRUE,Monthly!AB$13,Monthly!AB$14)*(1+'Attrition Modeling'!$N$8)-IFERROR(AE14/AE81,0)*12)/12*AE81,0))</f>
        <v>0</v>
      </c>
      <c r="AG146" s="799">
        <f>MIN(IF(ISERROR(VLOOKUP(AG$134-$F146,$E$135:$E$165,1,FALSE)),0,AF14*$C$2),MAX((IF(Monthly!AC$4=TRUE,Monthly!AC$13,Monthly!AC$14)*(1+'Attrition Modeling'!$N$8)-IFERROR(AF14/AF81,0)*12)/12*AF81,0))</f>
        <v>0</v>
      </c>
      <c r="AH146" s="799">
        <f>MIN(IF(ISERROR(VLOOKUP(AH$134-$F146,$E$135:$E$165,1,FALSE)),0,AG14*$C$2),MAX((IF(Monthly!AD$4=TRUE,Monthly!AD$13,Monthly!AD$14)*(1+'Attrition Modeling'!$N$8)-IFERROR(AG14/AG81,0)*12)/12*AG81,0))</f>
        <v>0</v>
      </c>
      <c r="AI146" s="799">
        <f>MIN(IF(ISERROR(VLOOKUP(AI$134-$F146,$E$135:$E$165,1,FALSE)),0,AH14*$C$2),MAX((IF(Monthly!AE$4=TRUE,Monthly!AE$13,Monthly!AE$14)*(1+'Attrition Modeling'!$N$8)-IFERROR(AH14/AH81,0)*12)/12*AH81,0))</f>
        <v>0</v>
      </c>
      <c r="AJ146" s="799">
        <f>MIN(IF(ISERROR(VLOOKUP(AJ$134-$F146,$E$135:$E$165,1,FALSE)),0,AI14*$C$2),MAX((IF(Monthly!AF$4=TRUE,Monthly!AF$13,Monthly!AF$14)*(1+'Attrition Modeling'!$N$8)-IFERROR(AI14/AI81,0)*12)/12*AI81,0))</f>
        <v>254.94750967147644</v>
      </c>
      <c r="AK146" s="799">
        <f>MIN(IF(ISERROR(VLOOKUP(AK$134-$F146,$E$135:$E$165,1,FALSE)),0,AJ14*$C$2),MAX((IF(Monthly!AG$4=TRUE,Monthly!AG$13,Monthly!AG$14)*(1+'Attrition Modeling'!$N$8)-IFERROR(AJ14/AJ81,0)*12)/12*AJ81,0))</f>
        <v>0</v>
      </c>
      <c r="AL146" s="799">
        <f>MIN(IF(ISERROR(VLOOKUP(AL$134-$F146,$E$135:$E$165,1,FALSE)),0,AK14*$C$2),MAX((IF(Monthly!AH$4=TRUE,Monthly!AH$13,Monthly!AH$14)*(1+'Attrition Modeling'!$N$8)-IFERROR(AK14/AK81,0)*12)/12*AK81,0))</f>
        <v>0</v>
      </c>
      <c r="AM146" s="799">
        <f>MIN(IF(ISERROR(VLOOKUP(AM$134-$F146,$E$135:$E$165,1,FALSE)),0,AL14*$C$2),MAX((IF(Monthly!AI$4=TRUE,Monthly!AI$13,Monthly!AI$14)*(1+'Attrition Modeling'!$N$8)-IFERROR(AL14/AL81,0)*12)/12*AL81,0))</f>
        <v>0</v>
      </c>
      <c r="AN146" s="799">
        <f>MIN(IF(ISERROR(VLOOKUP(AN$134-$F146,$E$135:$E$165,1,FALSE)),0,AM14*$C$2),MAX((IF(Monthly!AJ$4=TRUE,Monthly!AJ$13,Monthly!AJ$14)*(1+'Attrition Modeling'!$N$8)-IFERROR(AM14/AM81,0)*12)/12*AM81,0))</f>
        <v>0</v>
      </c>
      <c r="AO146" s="799">
        <f>MIN(IF(ISERROR(VLOOKUP(AO$134-$F146,$E$135:$E$165,1,FALSE)),0,AN14*$C$2),MAX((IF(Monthly!AK$4=TRUE,Monthly!AK$13,Monthly!AK$14)*(1+'Attrition Modeling'!$N$8)-IFERROR(AN14/AN81,0)*12)/12*AN81,0))</f>
        <v>0</v>
      </c>
      <c r="AP146" s="799">
        <f>MIN(IF(ISERROR(VLOOKUP(AP$134-$F146,$E$135:$E$165,1,FALSE)),0,AO14*$C$2),MAX((IF(Monthly!AL$4=TRUE,Monthly!AL$13,Monthly!AL$14)*(1+'Attrition Modeling'!$N$8)-IFERROR(AO14/AO81,0)*12)/12*AO81,0))</f>
        <v>0</v>
      </c>
      <c r="AQ146" s="799">
        <f>MIN(IF(ISERROR(VLOOKUP(AQ$134-$F146,$E$135:$E$165,1,FALSE)),0,AP14*$C$2),MAX((IF(Monthly!AM$4=TRUE,Monthly!AM$13,Monthly!AM$14)*(1+'Attrition Modeling'!$N$8)-IFERROR(AP14/AP81,0)*12)/12*AP81,0))</f>
        <v>0</v>
      </c>
      <c r="AR146" s="799">
        <f>MIN(IF(ISERROR(VLOOKUP(AR$134-$F146,$E$135:$E$165,1,FALSE)),0,AQ14*$C$2),MAX((IF(Monthly!AN$4=TRUE,Monthly!AN$13,Monthly!AN$14)*(1+'Attrition Modeling'!$N$8)-IFERROR(AQ14/AQ81,0)*12)/12*AQ81,0))</f>
        <v>0</v>
      </c>
      <c r="AS146" s="799">
        <f>MIN(IF(ISERROR(VLOOKUP(AS$134-$F146,$E$135:$E$165,1,FALSE)),0,AR14*$C$2),MAX((IF(Monthly!AO$4=TRUE,Monthly!AO$13,Monthly!AO$14)*(1+'Attrition Modeling'!$N$8)-IFERROR(AR14/AR81,0)*12)/12*AR81,0))</f>
        <v>0</v>
      </c>
      <c r="AT146" s="799">
        <f>MIN(IF(ISERROR(VLOOKUP(AT$134-$F146,$E$135:$E$165,1,FALSE)),0,AS14*$C$2),MAX((IF(Monthly!AP$4=TRUE,Monthly!AP$13,Monthly!AP$14)*(1+'Attrition Modeling'!$N$8)-IFERROR(AS14/AS81,0)*12)/12*AS81,0))</f>
        <v>0</v>
      </c>
      <c r="AU146" s="799">
        <f>MIN(IF(ISERROR(VLOOKUP(AU$134-$F146,$E$135:$E$165,1,FALSE)),0,AT14*$C$2),MAX((IF(Monthly!AQ$4=TRUE,Monthly!AQ$13,Monthly!AQ$14)*(1+'Attrition Modeling'!$N$8)-IFERROR(AT14/AT81,0)*12)/12*AT81,0))</f>
        <v>0</v>
      </c>
      <c r="AV146" s="799">
        <f>MIN(IF(ISERROR(VLOOKUP(AV$134-$F146,$E$135:$E$165,1,FALSE)),0,AU14*$C$2),MAX((IF(Monthly!AR$4=TRUE,Monthly!AR$13,Monthly!AR$14)*(1+'Attrition Modeling'!$N$8)-IFERROR(AU14/AU81,0)*12)/12*AU81,0))</f>
        <v>174.00042855967951</v>
      </c>
      <c r="AW146" s="799">
        <f>MIN(IF(ISERROR(VLOOKUP(AW$134-$F146,$E$135:$E$165,1,FALSE)),0,AV14*$C$2),MAX((IF(Monthly!AS$4=TRUE,Monthly!AS$13,Monthly!AS$14)*(1+'Attrition Modeling'!$N$8)-IFERROR(AV14/AV81,0)*12)/12*AV81,0))</f>
        <v>0</v>
      </c>
      <c r="AX146" s="799">
        <f>MIN(IF(ISERROR(VLOOKUP(AX$134-$F146,$E$135:$E$165,1,FALSE)),0,AW14*$C$2),MAX((IF(Monthly!AT$4=TRUE,Monthly!AT$13,Monthly!AT$14)*(1+'Attrition Modeling'!$N$8)-IFERROR(AW14/AW81,0)*12)/12*AW81,0))</f>
        <v>0</v>
      </c>
      <c r="AY146" s="799">
        <f>MIN(IF(ISERROR(VLOOKUP(AY$134-$F146,$E$135:$E$165,1,FALSE)),0,AX14*$C$2),MAX((IF(Monthly!AU$4=TRUE,Monthly!AU$13,Monthly!AU$14)*(1+'Attrition Modeling'!$N$8)-IFERROR(AX14/AX81,0)*12)/12*AX81,0))</f>
        <v>0</v>
      </c>
      <c r="AZ146" s="799">
        <f>MIN(IF(ISERROR(VLOOKUP(AZ$134-$F146,$E$135:$E$165,1,FALSE)),0,AY14*$C$2),MAX((IF(Monthly!AV$4=TRUE,Monthly!AV$13,Monthly!AV$14)*(1+'Attrition Modeling'!$N$8)-IFERROR(AY14/AY81,0)*12)/12*AY81,0))</f>
        <v>0</v>
      </c>
      <c r="BA146" s="799">
        <f>MIN(IF(ISERROR(VLOOKUP(BA$134-$F146,$E$135:$E$165,1,FALSE)),0,AZ14*$C$2),MAX((IF(Monthly!AW$4=TRUE,Monthly!AW$13,Monthly!AW$14)*(1+'Attrition Modeling'!$N$8)-IFERROR(AZ14/AZ81,0)*12)/12*AZ81,0))</f>
        <v>0</v>
      </c>
      <c r="BB146" s="799">
        <f>MIN(IF(ISERROR(VLOOKUP(BB$134-$F146,$E$135:$E$165,1,FALSE)),0,BA14*$C$2),MAX((IF(Monthly!AX$4=TRUE,Monthly!AX$13,Monthly!AX$14)*(1+'Attrition Modeling'!$N$8)-IFERROR(BA14/BA81,0)*12)/12*BA81,0))</f>
        <v>0</v>
      </c>
      <c r="BC146" s="799">
        <f>MIN(IF(ISERROR(VLOOKUP(BC$134-$F146,$E$135:$E$165,1,FALSE)),0,BB14*$C$2),MAX((IF(Monthly!AY$4=TRUE,Monthly!AY$13,Monthly!AY$14)*(1+'Attrition Modeling'!$N$8)-IFERROR(BB14/BB81,0)*12)/12*BB81,0))</f>
        <v>0</v>
      </c>
      <c r="BD146" s="799">
        <f>MIN(IF(ISERROR(VLOOKUP(BD$134-$F146,$E$135:$E$165,1,FALSE)),0,BC14*$C$2),MAX((IF(Monthly!AZ$4=TRUE,Monthly!AZ$13,Monthly!AZ$14)*(1+'Attrition Modeling'!$N$8)-IFERROR(BC14/BC81,0)*12)/12*BC81,0))</f>
        <v>0</v>
      </c>
      <c r="BE146" s="799">
        <f>MIN(IF(ISERROR(VLOOKUP(BE$134-$F146,$E$135:$E$165,1,FALSE)),0,BD14*$C$2),MAX((IF(Monthly!BA$4=TRUE,Monthly!BA$13,Monthly!BA$14)*(1+'Attrition Modeling'!$N$8)-IFERROR(BD14/BD81,0)*12)/12*BD81,0))</f>
        <v>0</v>
      </c>
      <c r="BF146" s="799">
        <f>MIN(IF(ISERROR(VLOOKUP(BF$134-$F146,$E$135:$E$165,1,FALSE)),0,BE14*$C$2),MAX((IF(Monthly!BB$4=TRUE,Monthly!BB$13,Monthly!BB$14)*(1+'Attrition Modeling'!$N$8)-IFERROR(BE14/BE81,0)*12)/12*BE81,0))</f>
        <v>0</v>
      </c>
      <c r="BG146" s="799">
        <f>MIN(IF(ISERROR(VLOOKUP(BG$134-$F146,$E$135:$E$165,1,FALSE)),0,BF14*$C$2),MAX((IF(Monthly!BC$4=TRUE,Monthly!BC$13,Monthly!BC$14)*(1+'Attrition Modeling'!$N$8)-IFERROR(BF14/BF81,0)*12)/12*BF81,0))</f>
        <v>0</v>
      </c>
      <c r="BH146" s="799">
        <f>MIN(IF(ISERROR(VLOOKUP(BH$134-$F146,$E$135:$E$165,1,FALSE)),0,BG14*$C$2),MAX((IF(Monthly!BD$4=TRUE,Monthly!BD$13,Monthly!BD$14)*(1+'Attrition Modeling'!$N$8)-IFERROR(BG14/BG81,0)*12)/12*BG81,0))</f>
        <v>129.78611404197582</v>
      </c>
      <c r="BI146" s="799">
        <f>MIN(IF(ISERROR(VLOOKUP(BI$134-$F146,$E$135:$E$165,1,FALSE)),0,BH14*$C$2),MAX((IF(Monthly!BE$4=TRUE,Monthly!BE$13,Monthly!BE$14)*(1+'Attrition Modeling'!$N$8)-IFERROR(BH14/BH81,0)*12)/12*BH81,0))</f>
        <v>0</v>
      </c>
      <c r="BJ146" s="799">
        <f>MIN(IF(ISERROR(VLOOKUP(BJ$134-$F146,$E$135:$E$165,1,FALSE)),0,BI14*$C$2),MAX((IF(Monthly!BF$4=TRUE,Monthly!BF$13,Monthly!BF$14)*(1+'Attrition Modeling'!$N$8)-IFERROR(BI14/BI81,0)*12)/12*BI81,0))</f>
        <v>0</v>
      </c>
      <c r="BK146" s="799">
        <f>MIN(IF(ISERROR(VLOOKUP(BK$134-$F146,$E$135:$E$165,1,FALSE)),0,BJ14*$C$2),MAX((IF(Monthly!BG$4=TRUE,Monthly!BG$13,Monthly!BG$14)*(1+'Attrition Modeling'!$N$8)-IFERROR(BJ14/BJ81,0)*12)/12*BJ81,0))</f>
        <v>0</v>
      </c>
      <c r="BL146" s="799">
        <f>MIN(IF(ISERROR(VLOOKUP(BL$134-$F146,$E$135:$E$165,1,FALSE)),0,BK14*$C$2),MAX((IF(Monthly!BH$4=TRUE,Monthly!BH$13,Monthly!BH$14)*(1+'Attrition Modeling'!$N$8)-IFERROR(BK14/BK81,0)*12)/12*BK81,0))</f>
        <v>0</v>
      </c>
      <c r="BM146" s="799">
        <f>MIN(IF(ISERROR(VLOOKUP(BM$134-$F146,$E$135:$E$165,1,FALSE)),0,BL14*$C$2),MAX((IF(Monthly!BI$4=TRUE,Monthly!BI$13,Monthly!BI$14)*(1+'Attrition Modeling'!$N$8)-IFERROR(BL14/BL81,0)*12)/12*BL81,0))</f>
        <v>0</v>
      </c>
      <c r="BN146" s="799">
        <f>MIN(IF(ISERROR(VLOOKUP(BN$134-$F146,$E$135:$E$165,1,FALSE)),0,BM14*$C$2),MAX((IF(Monthly!BJ$4=TRUE,Monthly!BJ$13,Monthly!BJ$14)*(1+'Attrition Modeling'!$N$8)-IFERROR(BM14/BM81,0)*12)/12*BM81,0))</f>
        <v>0</v>
      </c>
      <c r="BO146" s="799">
        <f>MIN(IF(ISERROR(VLOOKUP(BO$134-$F146,$E$135:$E$165,1,FALSE)),0,BN14*$C$2),MAX((IF(Monthly!BK$4=TRUE,Monthly!BK$13,Monthly!BK$14)*(1+'Attrition Modeling'!$N$8)-IFERROR(BN14/BN81,0)*12)/12*BN81,0))</f>
        <v>0</v>
      </c>
      <c r="BP146" s="799">
        <f>MIN(IF(ISERROR(VLOOKUP(BP$134-$F146,$E$135:$E$165,1,FALSE)),0,BO14*$C$2),MAX((IF(Monthly!BP$4=TRUE,Monthly!BP$13,Monthly!BP$14)*(1+'Attrition Modeling'!$N$8)-IFERROR(BO14/BO81,0)*12)/12*BO81,0))</f>
        <v>0</v>
      </c>
      <c r="BQ146" s="799">
        <f>MIN(IF(ISERROR(VLOOKUP(BQ$134-$F146,$E$135:$E$165,1,FALSE)),0,BP14*$C$2),MAX((IF(Monthly!BQ$4=TRUE,Monthly!BQ$13,Monthly!BQ$14)*(1+'Attrition Modeling'!$N$8)-IFERROR(BP14/BP81,0)*12)/12*BP81,0))</f>
        <v>0</v>
      </c>
      <c r="BR146" s="799">
        <f>MIN(IF(ISERROR(VLOOKUP(BR$134-$F146,$E$135:$E$165,1,FALSE)),0,BQ14*$C$2),MAX((IF(Monthly!BR$4=TRUE,Monthly!BR$13,Monthly!BR$14)*(1+'Attrition Modeling'!$N$8)-IFERROR(BQ14/BQ81,0)*12)/12*BQ81,0))</f>
        <v>0</v>
      </c>
      <c r="BS146" s="799">
        <f>MIN(IF(ISERROR(VLOOKUP(BS$134-$F146,$E$135:$E$165,1,FALSE)),0,BR14*$C$2),MAX((IF(Monthly!BS$4=TRUE,Monthly!BS$13,Monthly!BS$14)*(1+'Attrition Modeling'!$N$8)-IFERROR(BR14/BR81,0)*12)/12*BR81,0))</f>
        <v>0</v>
      </c>
      <c r="BT146" s="799">
        <f>MIN(IF(ISERROR(VLOOKUP(BT$134-$F146,$E$135:$E$165,1,FALSE)),0,BS14*$C$2),MAX((IF(Monthly!BT$4=TRUE,Monthly!BT$13,Monthly!BT$14)*(1+'Attrition Modeling'!$N$8)-IFERROR(BS14/BS81,0)*12)/12*BS81,0))</f>
        <v>9.5581322065221634</v>
      </c>
      <c r="BU146" s="799">
        <f>MIN(IF(ISERROR(VLOOKUP(BU$134-$F146,$E$135:$E$165,1,FALSE)),0,BT14*$C$2),MAX((IF(Monthly!BU$4=TRUE,Monthly!BU$13,Monthly!BU$14)*(1+'Attrition Modeling'!$N$8)-IFERROR(BT14/BT81,0)*12)/12*BT81,0))</f>
        <v>0</v>
      </c>
    </row>
    <row r="147" spans="1:73" ht="14.25" customHeight="1" x14ac:dyDescent="0.2">
      <c r="A147" s="9">
        <v>140</v>
      </c>
      <c r="B147" s="25">
        <f>MAX('Attrition Modeling'!H144,$C$3)*(1-Summary!$C$20)</f>
        <v>0.02</v>
      </c>
      <c r="C147" s="24" t="e">
        <f t="shared" si="4"/>
        <v>#DIV/0!</v>
      </c>
      <c r="E147" s="11">
        <f t="shared" si="13"/>
        <v>150</v>
      </c>
      <c r="F147" s="11">
        <f t="shared" si="14"/>
        <v>12</v>
      </c>
      <c r="G147" s="799"/>
      <c r="H147" s="799">
        <f>MIN(IF(ISERROR(VLOOKUP(H$134-$F147,$E$135:$E$165,1,FALSE)),0,G15*$C$2),MAX((IF(Monthly!D$4=TRUE,Monthly!D$13,Monthly!D$14)*(1+'Attrition Modeling'!$N$8)-IFERROR(G15/G82,0)*12)/12*G82,0))</f>
        <v>0</v>
      </c>
      <c r="I147" s="799">
        <f>MIN(IF(ISERROR(VLOOKUP(I$134-$F147,$E$135:$E$165,1,FALSE)),0,H15*$C$2),MAX((IF(Monthly!E$4=TRUE,Monthly!E$13,Monthly!E$14)*(1+'Attrition Modeling'!$N$8)-IFERROR(H15/H82,0)*12)/12*H82,0))</f>
        <v>0</v>
      </c>
      <c r="J147" s="799">
        <f>MIN(IF(ISERROR(VLOOKUP(J$134-$F147,$E$135:$E$165,1,FALSE)),0,I15*$C$2),MAX((IF(Monthly!F$4=TRUE,Monthly!F$13,Monthly!F$14)*(1+'Attrition Modeling'!$N$8)-IFERROR(I15/I82,0)*12)/12*I82,0))</f>
        <v>0</v>
      </c>
      <c r="K147" s="799">
        <f>MIN(IF(ISERROR(VLOOKUP(K$134-$F147,$E$135:$E$165,1,FALSE)),0,J15*$C$2),MAX((IF(Monthly!G$4=TRUE,Monthly!G$13,Monthly!G$14)*(1+'Attrition Modeling'!$N$8)-IFERROR(J15/J82,0)*12)/12*J82,0))</f>
        <v>0</v>
      </c>
      <c r="L147" s="799">
        <f>MIN(IF(ISERROR(VLOOKUP(L$134-$F147,$E$135:$E$165,1,FALSE)),0,K15*$C$2),MAX((IF(Monthly!H$4=TRUE,Monthly!H$13,Monthly!H$14)*(1+'Attrition Modeling'!$N$8)-IFERROR(K15/K82,0)*12)/12*K82,0))</f>
        <v>0</v>
      </c>
      <c r="M147" s="799">
        <f>MIN(IF(ISERROR(VLOOKUP(M$134-$F147,$E$135:$E$165,1,FALSE)),0,L15*$C$2),MAX((IF(Monthly!I$4=TRUE,Monthly!I$13,Monthly!I$14)*(1+'Attrition Modeling'!$N$8)-IFERROR(L15/L82,0)*12)/12*L82,0))</f>
        <v>0</v>
      </c>
      <c r="N147" s="799">
        <f>MIN(IF(ISERROR(VLOOKUP(N$134-$F147,$E$135:$E$165,1,FALSE)),0,M15*$C$2),MAX((IF(Monthly!J$4=TRUE,Monthly!J$13,Monthly!J$14)*(1+'Attrition Modeling'!$N$8)-IFERROR(M15/M82,0)*12)/12*M82,0))</f>
        <v>0</v>
      </c>
      <c r="O147" s="799">
        <f>MIN(IF(ISERROR(VLOOKUP(O$134-$F147,$E$135:$E$165,1,FALSE)),0,N15*$C$2),MAX((IF(Monthly!K$4=TRUE,Monthly!K$13,Monthly!K$14)*(1+'Attrition Modeling'!$N$8)-IFERROR(N15/N82,0)*12)/12*N82,0))</f>
        <v>0</v>
      </c>
      <c r="P147" s="799">
        <f>MIN(IF(ISERROR(VLOOKUP(P$134-$F147,$E$135:$E$165,1,FALSE)),0,O15*$C$2),MAX((IF(Monthly!L$4=TRUE,Monthly!L$13,Monthly!L$14)*(1+'Attrition Modeling'!$N$8)-IFERROR(O15/O82,0)*12)/12*O82,0))</f>
        <v>0</v>
      </c>
      <c r="Q147" s="799">
        <f>MIN(IF(ISERROR(VLOOKUP(Q$134-$F147,$E$135:$E$165,1,FALSE)),0,P15*$C$2),MAX((IF(Monthly!M$4=TRUE,Monthly!M$13,Monthly!M$14)*(1+'Attrition Modeling'!$N$8)-IFERROR(P15/P82,0)*12)/12*P82,0))</f>
        <v>0</v>
      </c>
      <c r="R147" s="799">
        <f>MIN(IF(ISERROR(VLOOKUP(R$134-$F147,$E$135:$E$165,1,FALSE)),0,Q15*$C$2),MAX((IF(Monthly!N$4=TRUE,Monthly!N$13,Monthly!N$14)*(1+'Attrition Modeling'!$N$8)-IFERROR(Q15/Q82,0)*12)/12*Q82,0))</f>
        <v>0</v>
      </c>
      <c r="S147" s="799">
        <f>MIN(IF(ISERROR(VLOOKUP(S$134-$F147,$E$135:$E$165,1,FALSE)),0,R15*$C$2),MAX((IF(Monthly!O$4=TRUE,Monthly!O$13,Monthly!O$14)*(1+'Attrition Modeling'!$N$8)-IFERROR(R15/R82,0)*12)/12*R82,0))</f>
        <v>0</v>
      </c>
      <c r="T147" s="799">
        <f>MIN(IF(ISERROR(VLOOKUP(T$134-$F147,$E$135:$E$165,1,FALSE)),0,S15*$C$2),MAX((IF(Monthly!P$4=TRUE,Monthly!P$13,Monthly!P$14)*(1+'Attrition Modeling'!$N$8)-IFERROR(S15/S82,0)*12)/12*S82,0))</f>
        <v>0</v>
      </c>
      <c r="U147" s="799">
        <f>MIN(IF(ISERROR(VLOOKUP(U$134-$F147,$E$135:$E$165,1,FALSE)),0,T15*$C$2),MAX((IF(Monthly!Q$4=TRUE,Monthly!Q$13,Monthly!Q$14)*(1+'Attrition Modeling'!$N$8)-IFERROR(T15/T82,0)*12)/12*T82,0))</f>
        <v>0</v>
      </c>
      <c r="V147" s="799">
        <f>MIN(IF(ISERROR(VLOOKUP(V$134-$F147,$E$135:$E$165,1,FALSE)),0,U15*$C$2),MAX((IF(Monthly!R$4=TRUE,Monthly!R$13,Monthly!R$14)*(1+'Attrition Modeling'!$N$8)-IFERROR(U15/U82,0)*12)/12*U82,0))</f>
        <v>0</v>
      </c>
      <c r="W147" s="799">
        <f>MIN(IF(ISERROR(VLOOKUP(W$134-$F147,$E$135:$E$165,1,FALSE)),0,V15*$C$2),MAX((IF(Monthly!S$4=TRUE,Monthly!S$13,Monthly!S$14)*(1+'Attrition Modeling'!$N$8)-IFERROR(V15/V82,0)*12)/12*V82,0))</f>
        <v>0</v>
      </c>
      <c r="X147" s="799">
        <f>MIN(IF(ISERROR(VLOOKUP(X$134-$F147,$E$135:$E$165,1,FALSE)),0,W15*$C$2),MAX((IF(Monthly!T$4=TRUE,Monthly!T$13,Monthly!T$14)*(1+'Attrition Modeling'!$N$8)-IFERROR(W15/W82,0)*12)/12*W82,0))</f>
        <v>0</v>
      </c>
      <c r="Y147" s="799">
        <f>MIN(IF(ISERROR(VLOOKUP(Y$134-$F147,$E$135:$E$165,1,FALSE)),0,X15*$C$2),MAX((IF(Monthly!U$4=TRUE,Monthly!U$13,Monthly!U$14)*(1+'Attrition Modeling'!$N$8)-IFERROR(X15/X82,0)*12)/12*X82,0))</f>
        <v>519.5220778400668</v>
      </c>
      <c r="Z147" s="799">
        <f>MIN(IF(ISERROR(VLOOKUP(Z$134-$F147,$E$135:$E$165,1,FALSE)),0,Y15*$C$2),MAX((IF(Monthly!V$4=TRUE,Monthly!V$13,Monthly!V$14)*(1+'Attrition Modeling'!$N$8)-IFERROR(Y15/Y82,0)*12)/12*Y82,0))</f>
        <v>0</v>
      </c>
      <c r="AA147" s="799">
        <f>MIN(IF(ISERROR(VLOOKUP(AA$134-$F147,$E$135:$E$165,1,FALSE)),0,Z15*$C$2),MAX((IF(Monthly!W$4=TRUE,Monthly!W$13,Monthly!W$14)*(1+'Attrition Modeling'!$N$8)-IFERROR(Z15/Z82,0)*12)/12*Z82,0))</f>
        <v>0</v>
      </c>
      <c r="AB147" s="799">
        <f>MIN(IF(ISERROR(VLOOKUP(AB$134-$F147,$E$135:$E$165,1,FALSE)),0,AA15*$C$2),MAX((IF(Monthly!X$4=TRUE,Monthly!X$13,Monthly!X$14)*(1+'Attrition Modeling'!$N$8)-IFERROR(AA15/AA82,0)*12)/12*AA82,0))</f>
        <v>0</v>
      </c>
      <c r="AC147" s="799">
        <f>MIN(IF(ISERROR(VLOOKUP(AC$134-$F147,$E$135:$E$165,1,FALSE)),0,AB15*$C$2),MAX((IF(Monthly!Y$4=TRUE,Monthly!Y$13,Monthly!Y$14)*(1+'Attrition Modeling'!$N$8)-IFERROR(AB15/AB82,0)*12)/12*AB82,0))</f>
        <v>0</v>
      </c>
      <c r="AD147" s="799">
        <f>MIN(IF(ISERROR(VLOOKUP(AD$134-$F147,$E$135:$E$165,1,FALSE)),0,AC15*$C$2),MAX((IF(Monthly!Z$4=TRUE,Monthly!Z$13,Monthly!Z$14)*(1+'Attrition Modeling'!$N$8)-IFERROR(AC15/AC82,0)*12)/12*AC82,0))</f>
        <v>0</v>
      </c>
      <c r="AE147" s="799">
        <f>MIN(IF(ISERROR(VLOOKUP(AE$134-$F147,$E$135:$E$165,1,FALSE)),0,AD15*$C$2),MAX((IF(Monthly!AA$4=TRUE,Monthly!AA$13,Monthly!AA$14)*(1+'Attrition Modeling'!$N$8)-IFERROR(AD15/AD82,0)*12)/12*AD82,0))</f>
        <v>0</v>
      </c>
      <c r="AF147" s="799">
        <f>MIN(IF(ISERROR(VLOOKUP(AF$134-$F147,$E$135:$E$165,1,FALSE)),0,AE15*$C$2),MAX((IF(Monthly!AB$4=TRUE,Monthly!AB$13,Monthly!AB$14)*(1+'Attrition Modeling'!$N$8)-IFERROR(AE15/AE82,0)*12)/12*AE82,0))</f>
        <v>0</v>
      </c>
      <c r="AG147" s="799">
        <f>MIN(IF(ISERROR(VLOOKUP(AG$134-$F147,$E$135:$E$165,1,FALSE)),0,AF15*$C$2),MAX((IF(Monthly!AC$4=TRUE,Monthly!AC$13,Monthly!AC$14)*(1+'Attrition Modeling'!$N$8)-IFERROR(AF15/AF82,0)*12)/12*AF82,0))</f>
        <v>0</v>
      </c>
      <c r="AH147" s="799">
        <f>MIN(IF(ISERROR(VLOOKUP(AH$134-$F147,$E$135:$E$165,1,FALSE)),0,AG15*$C$2),MAX((IF(Monthly!AD$4=TRUE,Monthly!AD$13,Monthly!AD$14)*(1+'Attrition Modeling'!$N$8)-IFERROR(AG15/AG82,0)*12)/12*AG82,0))</f>
        <v>0</v>
      </c>
      <c r="AI147" s="799">
        <f>MIN(IF(ISERROR(VLOOKUP(AI$134-$F147,$E$135:$E$165,1,FALSE)),0,AH15*$C$2),MAX((IF(Monthly!AE$4=TRUE,Monthly!AE$13,Monthly!AE$14)*(1+'Attrition Modeling'!$N$8)-IFERROR(AH15/AH82,0)*12)/12*AH82,0))</f>
        <v>0</v>
      </c>
      <c r="AJ147" s="799">
        <f>MIN(IF(ISERROR(VLOOKUP(AJ$134-$F147,$E$135:$E$165,1,FALSE)),0,AI15*$C$2),MAX((IF(Monthly!AF$4=TRUE,Monthly!AF$13,Monthly!AF$14)*(1+'Attrition Modeling'!$N$8)-IFERROR(AI15/AI82,0)*12)/12*AI82,0))</f>
        <v>0</v>
      </c>
      <c r="AK147" s="799">
        <f>MIN(IF(ISERROR(VLOOKUP(AK$134-$F147,$E$135:$E$165,1,FALSE)),0,AJ15*$C$2),MAX((IF(Monthly!AG$4=TRUE,Monthly!AG$13,Monthly!AG$14)*(1+'Attrition Modeling'!$N$8)-IFERROR(AJ15/AJ82,0)*12)/12*AJ82,0))</f>
        <v>281.99570608454599</v>
      </c>
      <c r="AL147" s="799">
        <f>MIN(IF(ISERROR(VLOOKUP(AL$134-$F147,$E$135:$E$165,1,FALSE)),0,AK15*$C$2),MAX((IF(Monthly!AH$4=TRUE,Monthly!AH$13,Monthly!AH$14)*(1+'Attrition Modeling'!$N$8)-IFERROR(AK15/AK82,0)*12)/12*AK82,0))</f>
        <v>0</v>
      </c>
      <c r="AM147" s="799">
        <f>MIN(IF(ISERROR(VLOOKUP(AM$134-$F147,$E$135:$E$165,1,FALSE)),0,AL15*$C$2),MAX((IF(Monthly!AI$4=TRUE,Monthly!AI$13,Monthly!AI$14)*(1+'Attrition Modeling'!$N$8)-IFERROR(AL15/AL82,0)*12)/12*AL82,0))</f>
        <v>0</v>
      </c>
      <c r="AN147" s="799">
        <f>MIN(IF(ISERROR(VLOOKUP(AN$134-$F147,$E$135:$E$165,1,FALSE)),0,AM15*$C$2),MAX((IF(Monthly!AJ$4=TRUE,Monthly!AJ$13,Monthly!AJ$14)*(1+'Attrition Modeling'!$N$8)-IFERROR(AM15/AM82,0)*12)/12*AM82,0))</f>
        <v>0</v>
      </c>
      <c r="AO147" s="799">
        <f>MIN(IF(ISERROR(VLOOKUP(AO$134-$F147,$E$135:$E$165,1,FALSE)),0,AN15*$C$2),MAX((IF(Monthly!AK$4=TRUE,Monthly!AK$13,Monthly!AK$14)*(1+'Attrition Modeling'!$N$8)-IFERROR(AN15/AN82,0)*12)/12*AN82,0))</f>
        <v>0</v>
      </c>
      <c r="AP147" s="799">
        <f>MIN(IF(ISERROR(VLOOKUP(AP$134-$F147,$E$135:$E$165,1,FALSE)),0,AO15*$C$2),MAX((IF(Monthly!AL$4=TRUE,Monthly!AL$13,Monthly!AL$14)*(1+'Attrition Modeling'!$N$8)-IFERROR(AO15/AO82,0)*12)/12*AO82,0))</f>
        <v>0</v>
      </c>
      <c r="AQ147" s="799">
        <f>MIN(IF(ISERROR(VLOOKUP(AQ$134-$F147,$E$135:$E$165,1,FALSE)),0,AP15*$C$2),MAX((IF(Monthly!AM$4=TRUE,Monthly!AM$13,Monthly!AM$14)*(1+'Attrition Modeling'!$N$8)-IFERROR(AP15/AP82,0)*12)/12*AP82,0))</f>
        <v>0</v>
      </c>
      <c r="AR147" s="799">
        <f>MIN(IF(ISERROR(VLOOKUP(AR$134-$F147,$E$135:$E$165,1,FALSE)),0,AQ15*$C$2),MAX((IF(Monthly!AN$4=TRUE,Monthly!AN$13,Monthly!AN$14)*(1+'Attrition Modeling'!$N$8)-IFERROR(AQ15/AQ82,0)*12)/12*AQ82,0))</f>
        <v>0</v>
      </c>
      <c r="AS147" s="799">
        <f>MIN(IF(ISERROR(VLOOKUP(AS$134-$F147,$E$135:$E$165,1,FALSE)),0,AR15*$C$2),MAX((IF(Monthly!AO$4=TRUE,Monthly!AO$13,Monthly!AO$14)*(1+'Attrition Modeling'!$N$8)-IFERROR(AR15/AR82,0)*12)/12*AR82,0))</f>
        <v>0</v>
      </c>
      <c r="AT147" s="799">
        <f>MIN(IF(ISERROR(VLOOKUP(AT$134-$F147,$E$135:$E$165,1,FALSE)),0,AS15*$C$2),MAX((IF(Monthly!AP$4=TRUE,Monthly!AP$13,Monthly!AP$14)*(1+'Attrition Modeling'!$N$8)-IFERROR(AS15/AS82,0)*12)/12*AS82,0))</f>
        <v>0</v>
      </c>
      <c r="AU147" s="799">
        <f>MIN(IF(ISERROR(VLOOKUP(AU$134-$F147,$E$135:$E$165,1,FALSE)),0,AT15*$C$2),MAX((IF(Monthly!AQ$4=TRUE,Monthly!AQ$13,Monthly!AQ$14)*(1+'Attrition Modeling'!$N$8)-IFERROR(AT15/AT82,0)*12)/12*AT82,0))</f>
        <v>0</v>
      </c>
      <c r="AV147" s="799">
        <f>MIN(IF(ISERROR(VLOOKUP(AV$134-$F147,$E$135:$E$165,1,FALSE)),0,AU15*$C$2),MAX((IF(Monthly!AR$4=TRUE,Monthly!AR$13,Monthly!AR$14)*(1+'Attrition Modeling'!$N$8)-IFERROR(AU15/AU82,0)*12)/12*AU82,0))</f>
        <v>0</v>
      </c>
      <c r="AW147" s="799">
        <f>MIN(IF(ISERROR(VLOOKUP(AW$134-$F147,$E$135:$E$165,1,FALSE)),0,AV15*$C$2),MAX((IF(Monthly!AS$4=TRUE,Monthly!AS$13,Monthly!AS$14)*(1+'Attrition Modeling'!$N$8)-IFERROR(AV15/AV82,0)*12)/12*AV82,0))</f>
        <v>191.86442039448488</v>
      </c>
      <c r="AX147" s="799">
        <f>MIN(IF(ISERROR(VLOOKUP(AX$134-$F147,$E$135:$E$165,1,FALSE)),0,AW15*$C$2),MAX((IF(Monthly!AT$4=TRUE,Monthly!AT$13,Monthly!AT$14)*(1+'Attrition Modeling'!$N$8)-IFERROR(AW15/AW82,0)*12)/12*AW82,0))</f>
        <v>0</v>
      </c>
      <c r="AY147" s="799">
        <f>MIN(IF(ISERROR(VLOOKUP(AY$134-$F147,$E$135:$E$165,1,FALSE)),0,AX15*$C$2),MAX((IF(Monthly!AU$4=TRUE,Monthly!AU$13,Monthly!AU$14)*(1+'Attrition Modeling'!$N$8)-IFERROR(AX15/AX82,0)*12)/12*AX82,0))</f>
        <v>0</v>
      </c>
      <c r="AZ147" s="799">
        <f>MIN(IF(ISERROR(VLOOKUP(AZ$134-$F147,$E$135:$E$165,1,FALSE)),0,AY15*$C$2),MAX((IF(Monthly!AV$4=TRUE,Monthly!AV$13,Monthly!AV$14)*(1+'Attrition Modeling'!$N$8)-IFERROR(AY15/AY82,0)*12)/12*AY82,0))</f>
        <v>0</v>
      </c>
      <c r="BA147" s="799">
        <f>MIN(IF(ISERROR(VLOOKUP(BA$134-$F147,$E$135:$E$165,1,FALSE)),0,AZ15*$C$2),MAX((IF(Monthly!AW$4=TRUE,Monthly!AW$13,Monthly!AW$14)*(1+'Attrition Modeling'!$N$8)-IFERROR(AZ15/AZ82,0)*12)/12*AZ82,0))</f>
        <v>0</v>
      </c>
      <c r="BB147" s="799">
        <f>MIN(IF(ISERROR(VLOOKUP(BB$134-$F147,$E$135:$E$165,1,FALSE)),0,BA15*$C$2),MAX((IF(Monthly!AX$4=TRUE,Monthly!AX$13,Monthly!AX$14)*(1+'Attrition Modeling'!$N$8)-IFERROR(BA15/BA82,0)*12)/12*BA82,0))</f>
        <v>0</v>
      </c>
      <c r="BC147" s="799">
        <f>MIN(IF(ISERROR(VLOOKUP(BC$134-$F147,$E$135:$E$165,1,FALSE)),0,BB15*$C$2),MAX((IF(Monthly!AY$4=TRUE,Monthly!AY$13,Monthly!AY$14)*(1+'Attrition Modeling'!$N$8)-IFERROR(BB15/BB82,0)*12)/12*BB82,0))</f>
        <v>0</v>
      </c>
      <c r="BD147" s="799">
        <f>MIN(IF(ISERROR(VLOOKUP(BD$134-$F147,$E$135:$E$165,1,FALSE)),0,BC15*$C$2),MAX((IF(Monthly!AZ$4=TRUE,Monthly!AZ$13,Monthly!AZ$14)*(1+'Attrition Modeling'!$N$8)-IFERROR(BC15/BC82,0)*12)/12*BC82,0))</f>
        <v>0</v>
      </c>
      <c r="BE147" s="799">
        <f>MIN(IF(ISERROR(VLOOKUP(BE$134-$F147,$E$135:$E$165,1,FALSE)),0,BD15*$C$2),MAX((IF(Monthly!BA$4=TRUE,Monthly!BA$13,Monthly!BA$14)*(1+'Attrition Modeling'!$N$8)-IFERROR(BD15/BD82,0)*12)/12*BD82,0))</f>
        <v>0</v>
      </c>
      <c r="BF147" s="799">
        <f>MIN(IF(ISERROR(VLOOKUP(BF$134-$F147,$E$135:$E$165,1,FALSE)),0,BE15*$C$2),MAX((IF(Monthly!BB$4=TRUE,Monthly!BB$13,Monthly!BB$14)*(1+'Attrition Modeling'!$N$8)-IFERROR(BE15/BE82,0)*12)/12*BE82,0))</f>
        <v>0</v>
      </c>
      <c r="BG147" s="799">
        <f>MIN(IF(ISERROR(VLOOKUP(BG$134-$F147,$E$135:$E$165,1,FALSE)),0,BF15*$C$2),MAX((IF(Monthly!BC$4=TRUE,Monthly!BC$13,Monthly!BC$14)*(1+'Attrition Modeling'!$N$8)-IFERROR(BF15/BF82,0)*12)/12*BF82,0))</f>
        <v>0</v>
      </c>
      <c r="BH147" s="799">
        <f>MIN(IF(ISERROR(VLOOKUP(BH$134-$F147,$E$135:$E$165,1,FALSE)),0,BG15*$C$2),MAX((IF(Monthly!BD$4=TRUE,Monthly!BD$13,Monthly!BD$14)*(1+'Attrition Modeling'!$N$8)-IFERROR(BG15/BG82,0)*12)/12*BG82,0))</f>
        <v>0</v>
      </c>
      <c r="BI147" s="799">
        <f>MIN(IF(ISERROR(VLOOKUP(BI$134-$F147,$E$135:$E$165,1,FALSE)),0,BH15*$C$2),MAX((IF(Monthly!BE$4=TRUE,Monthly!BE$13,Monthly!BE$14)*(1+'Attrition Modeling'!$N$8)-IFERROR(BH15/BH82,0)*12)/12*BH82,0))</f>
        <v>142.88081024840474</v>
      </c>
      <c r="BJ147" s="799">
        <f>MIN(IF(ISERROR(VLOOKUP(BJ$134-$F147,$E$135:$E$165,1,FALSE)),0,BI15*$C$2),MAX((IF(Monthly!BF$4=TRUE,Monthly!BF$13,Monthly!BF$14)*(1+'Attrition Modeling'!$N$8)-IFERROR(BI15/BI82,0)*12)/12*BI82,0))</f>
        <v>0</v>
      </c>
      <c r="BK147" s="799">
        <f>MIN(IF(ISERROR(VLOOKUP(BK$134-$F147,$E$135:$E$165,1,FALSE)),0,BJ15*$C$2),MAX((IF(Monthly!BG$4=TRUE,Monthly!BG$13,Monthly!BG$14)*(1+'Attrition Modeling'!$N$8)-IFERROR(BJ15/BJ82,0)*12)/12*BJ82,0))</f>
        <v>0</v>
      </c>
      <c r="BL147" s="799">
        <f>MIN(IF(ISERROR(VLOOKUP(BL$134-$F147,$E$135:$E$165,1,FALSE)),0,BK15*$C$2),MAX((IF(Monthly!BH$4=TRUE,Monthly!BH$13,Monthly!BH$14)*(1+'Attrition Modeling'!$N$8)-IFERROR(BK15/BK82,0)*12)/12*BK82,0))</f>
        <v>0</v>
      </c>
      <c r="BM147" s="799">
        <f>MIN(IF(ISERROR(VLOOKUP(BM$134-$F147,$E$135:$E$165,1,FALSE)),0,BL15*$C$2),MAX((IF(Monthly!BI$4=TRUE,Monthly!BI$13,Monthly!BI$14)*(1+'Attrition Modeling'!$N$8)-IFERROR(BL15/BL82,0)*12)/12*BL82,0))</f>
        <v>0</v>
      </c>
      <c r="BN147" s="799">
        <f>MIN(IF(ISERROR(VLOOKUP(BN$134-$F147,$E$135:$E$165,1,FALSE)),0,BM15*$C$2),MAX((IF(Monthly!BJ$4=TRUE,Monthly!BJ$13,Monthly!BJ$14)*(1+'Attrition Modeling'!$N$8)-IFERROR(BM15/BM82,0)*12)/12*BM82,0))</f>
        <v>0</v>
      </c>
      <c r="BO147" s="799">
        <f>MIN(IF(ISERROR(VLOOKUP(BO$134-$F147,$E$135:$E$165,1,FALSE)),0,BN15*$C$2),MAX((IF(Monthly!BK$4=TRUE,Monthly!BK$13,Monthly!BK$14)*(1+'Attrition Modeling'!$N$8)-IFERROR(BN15/BN82,0)*12)/12*BN82,0))</f>
        <v>0</v>
      </c>
      <c r="BP147" s="799">
        <f>MIN(IF(ISERROR(VLOOKUP(BP$134-$F147,$E$135:$E$165,1,FALSE)),0,BO15*$C$2),MAX((IF(Monthly!BP$4=TRUE,Monthly!BP$13,Monthly!BP$14)*(1+'Attrition Modeling'!$N$8)-IFERROR(BO15/BO82,0)*12)/12*BO82,0))</f>
        <v>0</v>
      </c>
      <c r="BQ147" s="799">
        <f>MIN(IF(ISERROR(VLOOKUP(BQ$134-$F147,$E$135:$E$165,1,FALSE)),0,BP15*$C$2),MAX((IF(Monthly!BQ$4=TRUE,Monthly!BQ$13,Monthly!BQ$14)*(1+'Attrition Modeling'!$N$8)-IFERROR(BP15/BP82,0)*12)/12*BP82,0))</f>
        <v>0</v>
      </c>
      <c r="BR147" s="799">
        <f>MIN(IF(ISERROR(VLOOKUP(BR$134-$F147,$E$135:$E$165,1,FALSE)),0,BQ15*$C$2),MAX((IF(Monthly!BR$4=TRUE,Monthly!BR$13,Monthly!BR$14)*(1+'Attrition Modeling'!$N$8)-IFERROR(BQ15/BQ82,0)*12)/12*BQ82,0))</f>
        <v>0</v>
      </c>
      <c r="BS147" s="799">
        <f>MIN(IF(ISERROR(VLOOKUP(BS$134-$F147,$E$135:$E$165,1,FALSE)),0,BR15*$C$2),MAX((IF(Monthly!BS$4=TRUE,Monthly!BS$13,Monthly!BS$14)*(1+'Attrition Modeling'!$N$8)-IFERROR(BR15/BR82,0)*12)/12*BR82,0))</f>
        <v>0</v>
      </c>
      <c r="BT147" s="799">
        <f>MIN(IF(ISERROR(VLOOKUP(BT$134-$F147,$E$135:$E$165,1,FALSE)),0,BS15*$C$2),MAX((IF(Monthly!BT$4=TRUE,Monthly!BT$13,Monthly!BT$14)*(1+'Attrition Modeling'!$N$8)-IFERROR(BS15/BS82,0)*12)/12*BS82,0))</f>
        <v>0</v>
      </c>
      <c r="BU147" s="799">
        <f>MIN(IF(ISERROR(VLOOKUP(BU$134-$F147,$E$135:$E$165,1,FALSE)),0,BT15*$C$2),MAX((IF(Monthly!BU$4=TRUE,Monthly!BU$13,Monthly!BU$14)*(1+'Attrition Modeling'!$N$8)-IFERROR(BT15/BT82,0)*12)/12*BT82,0))</f>
        <v>49.593518525061249</v>
      </c>
    </row>
    <row r="148" spans="1:73" ht="14.25" customHeight="1" x14ac:dyDescent="0.2">
      <c r="A148" s="9">
        <v>141</v>
      </c>
      <c r="B148" s="25">
        <f>MAX('Attrition Modeling'!H145,$C$3)*(1-Summary!$C$20)</f>
        <v>0.02</v>
      </c>
      <c r="C148" s="24" t="e">
        <f t="shared" si="4"/>
        <v>#DIV/0!</v>
      </c>
      <c r="E148" s="11">
        <f t="shared" si="13"/>
        <v>162</v>
      </c>
      <c r="F148" s="11">
        <f t="shared" si="14"/>
        <v>13</v>
      </c>
      <c r="G148" s="799"/>
      <c r="H148" s="799">
        <f>MIN(IF(ISERROR(VLOOKUP(H$134-$F148,$E$135:$E$165,1,FALSE)),0,G16*$C$2),MAX((IF(Monthly!D$4=TRUE,Monthly!D$13,Monthly!D$14)*(1+'Attrition Modeling'!$N$8)-IFERROR(G16/G83,0)*12)/12*G83,0))</f>
        <v>0</v>
      </c>
      <c r="I148" s="799">
        <f>MIN(IF(ISERROR(VLOOKUP(I$134-$F148,$E$135:$E$165,1,FALSE)),0,H16*$C$2),MAX((IF(Monthly!E$4=TRUE,Monthly!E$13,Monthly!E$14)*(1+'Attrition Modeling'!$N$8)-IFERROR(H16/H83,0)*12)/12*H83,0))</f>
        <v>0</v>
      </c>
      <c r="J148" s="799">
        <f>MIN(IF(ISERROR(VLOOKUP(J$134-$F148,$E$135:$E$165,1,FALSE)),0,I16*$C$2),MAX((IF(Monthly!F$4=TRUE,Monthly!F$13,Monthly!F$14)*(1+'Attrition Modeling'!$N$8)-IFERROR(I16/I83,0)*12)/12*I83,0))</f>
        <v>0</v>
      </c>
      <c r="K148" s="799">
        <f>MIN(IF(ISERROR(VLOOKUP(K$134-$F148,$E$135:$E$165,1,FALSE)),0,J16*$C$2),MAX((IF(Monthly!G$4=TRUE,Monthly!G$13,Monthly!G$14)*(1+'Attrition Modeling'!$N$8)-IFERROR(J16/J83,0)*12)/12*J83,0))</f>
        <v>0</v>
      </c>
      <c r="L148" s="799">
        <f>MIN(IF(ISERROR(VLOOKUP(L$134-$F148,$E$135:$E$165,1,FALSE)),0,K16*$C$2),MAX((IF(Monthly!H$4=TRUE,Monthly!H$13,Monthly!H$14)*(1+'Attrition Modeling'!$N$8)-IFERROR(K16/K83,0)*12)/12*K83,0))</f>
        <v>0</v>
      </c>
      <c r="M148" s="799">
        <f>MIN(IF(ISERROR(VLOOKUP(M$134-$F148,$E$135:$E$165,1,FALSE)),0,L16*$C$2),MAX((IF(Monthly!I$4=TRUE,Monthly!I$13,Monthly!I$14)*(1+'Attrition Modeling'!$N$8)-IFERROR(L16/L83,0)*12)/12*L83,0))</f>
        <v>0</v>
      </c>
      <c r="N148" s="799">
        <f>MIN(IF(ISERROR(VLOOKUP(N$134-$F148,$E$135:$E$165,1,FALSE)),0,M16*$C$2),MAX((IF(Monthly!J$4=TRUE,Monthly!J$13,Monthly!J$14)*(1+'Attrition Modeling'!$N$8)-IFERROR(M16/M83,0)*12)/12*M83,0))</f>
        <v>0</v>
      </c>
      <c r="O148" s="799">
        <f>MIN(IF(ISERROR(VLOOKUP(O$134-$F148,$E$135:$E$165,1,FALSE)),0,N16*$C$2),MAX((IF(Monthly!K$4=TRUE,Monthly!K$13,Monthly!K$14)*(1+'Attrition Modeling'!$N$8)-IFERROR(N16/N83,0)*12)/12*N83,0))</f>
        <v>0</v>
      </c>
      <c r="P148" s="799">
        <f>MIN(IF(ISERROR(VLOOKUP(P$134-$F148,$E$135:$E$165,1,FALSE)),0,O16*$C$2),MAX((IF(Monthly!L$4=TRUE,Monthly!L$13,Monthly!L$14)*(1+'Attrition Modeling'!$N$8)-IFERROR(O16/O83,0)*12)/12*O83,0))</f>
        <v>0</v>
      </c>
      <c r="Q148" s="799">
        <f>MIN(IF(ISERROR(VLOOKUP(Q$134-$F148,$E$135:$E$165,1,FALSE)),0,P16*$C$2),MAX((IF(Monthly!M$4=TRUE,Monthly!M$13,Monthly!M$14)*(1+'Attrition Modeling'!$N$8)-IFERROR(P16/P83,0)*12)/12*P83,0))</f>
        <v>0</v>
      </c>
      <c r="R148" s="799">
        <f>MIN(IF(ISERROR(VLOOKUP(R$134-$F148,$E$135:$E$165,1,FALSE)),0,Q16*$C$2),MAX((IF(Monthly!N$4=TRUE,Monthly!N$13,Monthly!N$14)*(1+'Attrition Modeling'!$N$8)-IFERROR(Q16/Q83,0)*12)/12*Q83,0))</f>
        <v>0</v>
      </c>
      <c r="S148" s="799">
        <f>MIN(IF(ISERROR(VLOOKUP(S$134-$F148,$E$135:$E$165,1,FALSE)),0,R16*$C$2),MAX((IF(Monthly!O$4=TRUE,Monthly!O$13,Monthly!O$14)*(1+'Attrition Modeling'!$N$8)-IFERROR(R16/R83,0)*12)/12*R83,0))</f>
        <v>0</v>
      </c>
      <c r="T148" s="799">
        <f>MIN(IF(ISERROR(VLOOKUP(T$134-$F148,$E$135:$E$165,1,FALSE)),0,S16*$C$2),MAX((IF(Monthly!P$4=TRUE,Monthly!P$13,Monthly!P$14)*(1+'Attrition Modeling'!$N$8)-IFERROR(S16/S83,0)*12)/12*S83,0))</f>
        <v>0</v>
      </c>
      <c r="U148" s="799">
        <f>MIN(IF(ISERROR(VLOOKUP(U$134-$F148,$E$135:$E$165,1,FALSE)),0,T16*$C$2),MAX((IF(Monthly!Q$4=TRUE,Monthly!Q$13,Monthly!Q$14)*(1+'Attrition Modeling'!$N$8)-IFERROR(T16/T83,0)*12)/12*T83,0))</f>
        <v>0</v>
      </c>
      <c r="V148" s="799">
        <f>MIN(IF(ISERROR(VLOOKUP(V$134-$F148,$E$135:$E$165,1,FALSE)),0,U16*$C$2),MAX((IF(Monthly!R$4=TRUE,Monthly!R$13,Monthly!R$14)*(1+'Attrition Modeling'!$N$8)-IFERROR(U16/U83,0)*12)/12*U83,0))</f>
        <v>0</v>
      </c>
      <c r="W148" s="799">
        <f>MIN(IF(ISERROR(VLOOKUP(W$134-$F148,$E$135:$E$165,1,FALSE)),0,V16*$C$2),MAX((IF(Monthly!S$4=TRUE,Monthly!S$13,Monthly!S$14)*(1+'Attrition Modeling'!$N$8)-IFERROR(V16/V83,0)*12)/12*V83,0))</f>
        <v>0</v>
      </c>
      <c r="X148" s="799">
        <f>MIN(IF(ISERROR(VLOOKUP(X$134-$F148,$E$135:$E$165,1,FALSE)),0,W16*$C$2),MAX((IF(Monthly!T$4=TRUE,Monthly!T$13,Monthly!T$14)*(1+'Attrition Modeling'!$N$8)-IFERROR(W16/W83,0)*12)/12*W83,0))</f>
        <v>0</v>
      </c>
      <c r="Y148" s="799">
        <f>MIN(IF(ISERROR(VLOOKUP(Y$134-$F148,$E$135:$E$165,1,FALSE)),0,X16*$C$2),MAX((IF(Monthly!U$4=TRUE,Monthly!U$13,Monthly!U$14)*(1+'Attrition Modeling'!$N$8)-IFERROR(X16/X83,0)*12)/12*X83,0))</f>
        <v>0</v>
      </c>
      <c r="Z148" s="799">
        <f>MIN(IF(ISERROR(VLOOKUP(Z$134-$F148,$E$135:$E$165,1,FALSE)),0,Y16*$C$2),MAX((IF(Monthly!V$4=TRUE,Monthly!V$13,Monthly!V$14)*(1+'Attrition Modeling'!$N$8)-IFERROR(Y16/Y83,0)*12)/12*Y83,0))</f>
        <v>521.22805476542874</v>
      </c>
      <c r="AA148" s="799">
        <f>MIN(IF(ISERROR(VLOOKUP(AA$134-$F148,$E$135:$E$165,1,FALSE)),0,Z16*$C$2),MAX((IF(Monthly!W$4=TRUE,Monthly!W$13,Monthly!W$14)*(1+'Attrition Modeling'!$N$8)-IFERROR(Z16/Z83,0)*12)/12*Z83,0))</f>
        <v>0</v>
      </c>
      <c r="AB148" s="799">
        <f>MIN(IF(ISERROR(VLOOKUP(AB$134-$F148,$E$135:$E$165,1,FALSE)),0,AA16*$C$2),MAX((IF(Monthly!X$4=TRUE,Monthly!X$13,Monthly!X$14)*(1+'Attrition Modeling'!$N$8)-IFERROR(AA16/AA83,0)*12)/12*AA83,0))</f>
        <v>0</v>
      </c>
      <c r="AC148" s="799">
        <f>MIN(IF(ISERROR(VLOOKUP(AC$134-$F148,$E$135:$E$165,1,FALSE)),0,AB16*$C$2),MAX((IF(Monthly!Y$4=TRUE,Monthly!Y$13,Monthly!Y$14)*(1+'Attrition Modeling'!$N$8)-IFERROR(AB16/AB83,0)*12)/12*AB83,0))</f>
        <v>0</v>
      </c>
      <c r="AD148" s="799">
        <f>MIN(IF(ISERROR(VLOOKUP(AD$134-$F148,$E$135:$E$165,1,FALSE)),0,AC16*$C$2),MAX((IF(Monthly!Z$4=TRUE,Monthly!Z$13,Monthly!Z$14)*(1+'Attrition Modeling'!$N$8)-IFERROR(AC16/AC83,0)*12)/12*AC83,0))</f>
        <v>0</v>
      </c>
      <c r="AE148" s="799">
        <f>MIN(IF(ISERROR(VLOOKUP(AE$134-$F148,$E$135:$E$165,1,FALSE)),0,AD16*$C$2),MAX((IF(Monthly!AA$4=TRUE,Monthly!AA$13,Monthly!AA$14)*(1+'Attrition Modeling'!$N$8)-IFERROR(AD16/AD83,0)*12)/12*AD83,0))</f>
        <v>0</v>
      </c>
      <c r="AF148" s="799">
        <f>MIN(IF(ISERROR(VLOOKUP(AF$134-$F148,$E$135:$E$165,1,FALSE)),0,AE16*$C$2),MAX((IF(Monthly!AB$4=TRUE,Monthly!AB$13,Monthly!AB$14)*(1+'Attrition Modeling'!$N$8)-IFERROR(AE16/AE83,0)*12)/12*AE83,0))</f>
        <v>0</v>
      </c>
      <c r="AG148" s="799">
        <f>MIN(IF(ISERROR(VLOOKUP(AG$134-$F148,$E$135:$E$165,1,FALSE)),0,AF16*$C$2),MAX((IF(Monthly!AC$4=TRUE,Monthly!AC$13,Monthly!AC$14)*(1+'Attrition Modeling'!$N$8)-IFERROR(AF16/AF83,0)*12)/12*AF83,0))</f>
        <v>0</v>
      </c>
      <c r="AH148" s="799">
        <f>MIN(IF(ISERROR(VLOOKUP(AH$134-$F148,$E$135:$E$165,1,FALSE)),0,AG16*$C$2),MAX((IF(Monthly!AD$4=TRUE,Monthly!AD$13,Monthly!AD$14)*(1+'Attrition Modeling'!$N$8)-IFERROR(AG16/AG83,0)*12)/12*AG83,0))</f>
        <v>0</v>
      </c>
      <c r="AI148" s="799">
        <f>MIN(IF(ISERROR(VLOOKUP(AI$134-$F148,$E$135:$E$165,1,FALSE)),0,AH16*$C$2),MAX((IF(Monthly!AE$4=TRUE,Monthly!AE$13,Monthly!AE$14)*(1+'Attrition Modeling'!$N$8)-IFERROR(AH16/AH83,0)*12)/12*AH83,0))</f>
        <v>0</v>
      </c>
      <c r="AJ148" s="799">
        <f>MIN(IF(ISERROR(VLOOKUP(AJ$134-$F148,$E$135:$E$165,1,FALSE)),0,AI16*$C$2),MAX((IF(Monthly!AF$4=TRUE,Monthly!AF$13,Monthly!AF$14)*(1+'Attrition Modeling'!$N$8)-IFERROR(AI16/AI83,0)*12)/12*AI83,0))</f>
        <v>0</v>
      </c>
      <c r="AK148" s="799">
        <f>MIN(IF(ISERROR(VLOOKUP(AK$134-$F148,$E$135:$E$165,1,FALSE)),0,AJ16*$C$2),MAX((IF(Monthly!AG$4=TRUE,Monthly!AG$13,Monthly!AG$14)*(1+'Attrition Modeling'!$N$8)-IFERROR(AJ16/AJ83,0)*12)/12*AJ83,0))</f>
        <v>0</v>
      </c>
      <c r="AL148" s="799">
        <f>MIN(IF(ISERROR(VLOOKUP(AL$134-$F148,$E$135:$E$165,1,FALSE)),0,AK16*$C$2),MAX((IF(Monthly!AH$4=TRUE,Monthly!AH$13,Monthly!AH$14)*(1+'Attrition Modeling'!$N$8)-IFERROR(AK16/AK83,0)*12)/12*AK83,0))</f>
        <v>282.49599150418857</v>
      </c>
      <c r="AM148" s="799">
        <f>MIN(IF(ISERROR(VLOOKUP(AM$134-$F148,$E$135:$E$165,1,FALSE)),0,AL16*$C$2),MAX((IF(Monthly!AI$4=TRUE,Monthly!AI$13,Monthly!AI$14)*(1+'Attrition Modeling'!$N$8)-IFERROR(AL16/AL83,0)*12)/12*AL83,0))</f>
        <v>0</v>
      </c>
      <c r="AN148" s="799">
        <f>MIN(IF(ISERROR(VLOOKUP(AN$134-$F148,$E$135:$E$165,1,FALSE)),0,AM16*$C$2),MAX((IF(Monthly!AJ$4=TRUE,Monthly!AJ$13,Monthly!AJ$14)*(1+'Attrition Modeling'!$N$8)-IFERROR(AM16/AM83,0)*12)/12*AM83,0))</f>
        <v>0</v>
      </c>
      <c r="AO148" s="799">
        <f>MIN(IF(ISERROR(VLOOKUP(AO$134-$F148,$E$135:$E$165,1,FALSE)),0,AN16*$C$2),MAX((IF(Monthly!AK$4=TRUE,Monthly!AK$13,Monthly!AK$14)*(1+'Attrition Modeling'!$N$8)-IFERROR(AN16/AN83,0)*12)/12*AN83,0))</f>
        <v>0</v>
      </c>
      <c r="AP148" s="799">
        <f>MIN(IF(ISERROR(VLOOKUP(AP$134-$F148,$E$135:$E$165,1,FALSE)),0,AO16*$C$2),MAX((IF(Monthly!AL$4=TRUE,Monthly!AL$13,Monthly!AL$14)*(1+'Attrition Modeling'!$N$8)-IFERROR(AO16/AO83,0)*12)/12*AO83,0))</f>
        <v>0</v>
      </c>
      <c r="AQ148" s="799">
        <f>MIN(IF(ISERROR(VLOOKUP(AQ$134-$F148,$E$135:$E$165,1,FALSE)),0,AP16*$C$2),MAX((IF(Monthly!AM$4=TRUE,Monthly!AM$13,Monthly!AM$14)*(1+'Attrition Modeling'!$N$8)-IFERROR(AP16/AP83,0)*12)/12*AP83,0))</f>
        <v>0</v>
      </c>
      <c r="AR148" s="799">
        <f>MIN(IF(ISERROR(VLOOKUP(AR$134-$F148,$E$135:$E$165,1,FALSE)),0,AQ16*$C$2),MAX((IF(Monthly!AN$4=TRUE,Monthly!AN$13,Monthly!AN$14)*(1+'Attrition Modeling'!$N$8)-IFERROR(AQ16/AQ83,0)*12)/12*AQ83,0))</f>
        <v>0</v>
      </c>
      <c r="AS148" s="799">
        <f>MIN(IF(ISERROR(VLOOKUP(AS$134-$F148,$E$135:$E$165,1,FALSE)),0,AR16*$C$2),MAX((IF(Monthly!AO$4=TRUE,Monthly!AO$13,Monthly!AO$14)*(1+'Attrition Modeling'!$N$8)-IFERROR(AR16/AR83,0)*12)/12*AR83,0))</f>
        <v>0</v>
      </c>
      <c r="AT148" s="799">
        <f>MIN(IF(ISERROR(VLOOKUP(AT$134-$F148,$E$135:$E$165,1,FALSE)),0,AS16*$C$2),MAX((IF(Monthly!AP$4=TRUE,Monthly!AP$13,Monthly!AP$14)*(1+'Attrition Modeling'!$N$8)-IFERROR(AS16/AS83,0)*12)/12*AS83,0))</f>
        <v>0</v>
      </c>
      <c r="AU148" s="799">
        <f>MIN(IF(ISERROR(VLOOKUP(AU$134-$F148,$E$135:$E$165,1,FALSE)),0,AT16*$C$2),MAX((IF(Monthly!AQ$4=TRUE,Monthly!AQ$13,Monthly!AQ$14)*(1+'Attrition Modeling'!$N$8)-IFERROR(AT16/AT83,0)*12)/12*AT83,0))</f>
        <v>0</v>
      </c>
      <c r="AV148" s="799">
        <f>MIN(IF(ISERROR(VLOOKUP(AV$134-$F148,$E$135:$E$165,1,FALSE)),0,AU16*$C$2),MAX((IF(Monthly!AR$4=TRUE,Monthly!AR$13,Monthly!AR$14)*(1+'Attrition Modeling'!$N$8)-IFERROR(AU16/AU83,0)*12)/12*AU83,0))</f>
        <v>0</v>
      </c>
      <c r="AW148" s="799">
        <f>MIN(IF(ISERROR(VLOOKUP(AW$134-$F148,$E$135:$E$165,1,FALSE)),0,AV16*$C$2),MAX((IF(Monthly!AS$4=TRUE,Monthly!AS$13,Monthly!AS$14)*(1+'Attrition Modeling'!$N$8)-IFERROR(AV16/AV83,0)*12)/12*AV83,0))</f>
        <v>0</v>
      </c>
      <c r="AX148" s="799">
        <f>MIN(IF(ISERROR(VLOOKUP(AX$134-$F148,$E$135:$E$165,1,FALSE)),0,AW16*$C$2),MAX((IF(Monthly!AT$4=TRUE,Monthly!AT$13,Monthly!AT$14)*(1+'Attrition Modeling'!$N$8)-IFERROR(AW16/AW83,0)*12)/12*AW83,0))</f>
        <v>192.39544102536581</v>
      </c>
      <c r="AY148" s="799">
        <f>MIN(IF(ISERROR(VLOOKUP(AY$134-$F148,$E$135:$E$165,1,FALSE)),0,AX16*$C$2),MAX((IF(Monthly!AU$4=TRUE,Monthly!AU$13,Monthly!AU$14)*(1+'Attrition Modeling'!$N$8)-IFERROR(AX16/AX83,0)*12)/12*AX83,0))</f>
        <v>0</v>
      </c>
      <c r="AZ148" s="799">
        <f>MIN(IF(ISERROR(VLOOKUP(AZ$134-$F148,$E$135:$E$165,1,FALSE)),0,AY16*$C$2),MAX((IF(Monthly!AV$4=TRUE,Monthly!AV$13,Monthly!AV$14)*(1+'Attrition Modeling'!$N$8)-IFERROR(AY16/AY83,0)*12)/12*AY83,0))</f>
        <v>0</v>
      </c>
      <c r="BA148" s="799">
        <f>MIN(IF(ISERROR(VLOOKUP(BA$134-$F148,$E$135:$E$165,1,FALSE)),0,AZ16*$C$2),MAX((IF(Monthly!AW$4=TRUE,Monthly!AW$13,Monthly!AW$14)*(1+'Attrition Modeling'!$N$8)-IFERROR(AZ16/AZ83,0)*12)/12*AZ83,0))</f>
        <v>0</v>
      </c>
      <c r="BB148" s="799">
        <f>MIN(IF(ISERROR(VLOOKUP(BB$134-$F148,$E$135:$E$165,1,FALSE)),0,BA16*$C$2),MAX((IF(Monthly!AX$4=TRUE,Monthly!AX$13,Monthly!AX$14)*(1+'Attrition Modeling'!$N$8)-IFERROR(BA16/BA83,0)*12)/12*BA83,0))</f>
        <v>0</v>
      </c>
      <c r="BC148" s="799">
        <f>MIN(IF(ISERROR(VLOOKUP(BC$134-$F148,$E$135:$E$165,1,FALSE)),0,BB16*$C$2),MAX((IF(Monthly!AY$4=TRUE,Monthly!AY$13,Monthly!AY$14)*(1+'Attrition Modeling'!$N$8)-IFERROR(BB16/BB83,0)*12)/12*BB83,0))</f>
        <v>0</v>
      </c>
      <c r="BD148" s="799">
        <f>MIN(IF(ISERROR(VLOOKUP(BD$134-$F148,$E$135:$E$165,1,FALSE)),0,BC16*$C$2),MAX((IF(Monthly!AZ$4=TRUE,Monthly!AZ$13,Monthly!AZ$14)*(1+'Attrition Modeling'!$N$8)-IFERROR(BC16/BC83,0)*12)/12*BC83,0))</f>
        <v>0</v>
      </c>
      <c r="BE148" s="799">
        <f>MIN(IF(ISERROR(VLOOKUP(BE$134-$F148,$E$135:$E$165,1,FALSE)),0,BD16*$C$2),MAX((IF(Monthly!BA$4=TRUE,Monthly!BA$13,Monthly!BA$14)*(1+'Attrition Modeling'!$N$8)-IFERROR(BD16/BD83,0)*12)/12*BD83,0))</f>
        <v>0</v>
      </c>
      <c r="BF148" s="799">
        <f>MIN(IF(ISERROR(VLOOKUP(BF$134-$F148,$E$135:$E$165,1,FALSE)),0,BE16*$C$2),MAX((IF(Monthly!BB$4=TRUE,Monthly!BB$13,Monthly!BB$14)*(1+'Attrition Modeling'!$N$8)-IFERROR(BE16/BE83,0)*12)/12*BE83,0))</f>
        <v>0</v>
      </c>
      <c r="BG148" s="799">
        <f>MIN(IF(ISERROR(VLOOKUP(BG$134-$F148,$E$135:$E$165,1,FALSE)),0,BF16*$C$2),MAX((IF(Monthly!BC$4=TRUE,Monthly!BC$13,Monthly!BC$14)*(1+'Attrition Modeling'!$N$8)-IFERROR(BF16/BF83,0)*12)/12*BF83,0))</f>
        <v>0</v>
      </c>
      <c r="BH148" s="799">
        <f>MIN(IF(ISERROR(VLOOKUP(BH$134-$F148,$E$135:$E$165,1,FALSE)),0,BG16*$C$2),MAX((IF(Monthly!BD$4=TRUE,Monthly!BD$13,Monthly!BD$14)*(1+'Attrition Modeling'!$N$8)-IFERROR(BG16/BG83,0)*12)/12*BG83,0))</f>
        <v>0</v>
      </c>
      <c r="BI148" s="799">
        <f>MIN(IF(ISERROR(VLOOKUP(BI$134-$F148,$E$135:$E$165,1,FALSE)),0,BH16*$C$2),MAX((IF(Monthly!BE$4=TRUE,Monthly!BE$13,Monthly!BE$14)*(1+'Attrition Modeling'!$N$8)-IFERROR(BH16/BH83,0)*12)/12*BH83,0))</f>
        <v>0</v>
      </c>
      <c r="BJ148" s="799">
        <f>MIN(IF(ISERROR(VLOOKUP(BJ$134-$F148,$E$135:$E$165,1,FALSE)),0,BI16*$C$2),MAX((IF(Monthly!BF$4=TRUE,Monthly!BF$13,Monthly!BF$14)*(1+'Attrition Modeling'!$N$8)-IFERROR(BI16/BI83,0)*12)/12*BI83,0))</f>
        <v>143.18394532363914</v>
      </c>
      <c r="BK148" s="799">
        <f>MIN(IF(ISERROR(VLOOKUP(BK$134-$F148,$E$135:$E$165,1,FALSE)),0,BJ16*$C$2),MAX((IF(Monthly!BG$4=TRUE,Monthly!BG$13,Monthly!BG$14)*(1+'Attrition Modeling'!$N$8)-IFERROR(BJ16/BJ83,0)*12)/12*BJ83,0))</f>
        <v>0</v>
      </c>
      <c r="BL148" s="799">
        <f>MIN(IF(ISERROR(VLOOKUP(BL$134-$F148,$E$135:$E$165,1,FALSE)),0,BK16*$C$2),MAX((IF(Monthly!BH$4=TRUE,Monthly!BH$13,Monthly!BH$14)*(1+'Attrition Modeling'!$N$8)-IFERROR(BK16/BK83,0)*12)/12*BK83,0))</f>
        <v>0</v>
      </c>
      <c r="BM148" s="799">
        <f>MIN(IF(ISERROR(VLOOKUP(BM$134-$F148,$E$135:$E$165,1,FALSE)),0,BL16*$C$2),MAX((IF(Monthly!BI$4=TRUE,Monthly!BI$13,Monthly!BI$14)*(1+'Attrition Modeling'!$N$8)-IFERROR(BL16/BL83,0)*12)/12*BL83,0))</f>
        <v>0</v>
      </c>
      <c r="BN148" s="799">
        <f>MIN(IF(ISERROR(VLOOKUP(BN$134-$F148,$E$135:$E$165,1,FALSE)),0,BM16*$C$2),MAX((IF(Monthly!BJ$4=TRUE,Monthly!BJ$13,Monthly!BJ$14)*(1+'Attrition Modeling'!$N$8)-IFERROR(BM16/BM83,0)*12)/12*BM83,0))</f>
        <v>0</v>
      </c>
      <c r="BO148" s="799">
        <f>MIN(IF(ISERROR(VLOOKUP(BO$134-$F148,$E$135:$E$165,1,FALSE)),0,BN16*$C$2),MAX((IF(Monthly!BK$4=TRUE,Monthly!BK$13,Monthly!BK$14)*(1+'Attrition Modeling'!$N$8)-IFERROR(BN16/BN83,0)*12)/12*BN83,0))</f>
        <v>0</v>
      </c>
      <c r="BP148" s="799">
        <f>MIN(IF(ISERROR(VLOOKUP(BP$134-$F148,$E$135:$E$165,1,FALSE)),0,BO16*$C$2),MAX((IF(Monthly!BP$4=TRUE,Monthly!BP$13,Monthly!BP$14)*(1+'Attrition Modeling'!$N$8)-IFERROR(BO16/BO83,0)*12)/12*BO83,0))</f>
        <v>0</v>
      </c>
      <c r="BQ148" s="799">
        <f>MIN(IF(ISERROR(VLOOKUP(BQ$134-$F148,$E$135:$E$165,1,FALSE)),0,BP16*$C$2),MAX((IF(Monthly!BQ$4=TRUE,Monthly!BQ$13,Monthly!BQ$14)*(1+'Attrition Modeling'!$N$8)-IFERROR(BP16/BP83,0)*12)/12*BP83,0))</f>
        <v>0</v>
      </c>
      <c r="BR148" s="799">
        <f>MIN(IF(ISERROR(VLOOKUP(BR$134-$F148,$E$135:$E$165,1,FALSE)),0,BQ16*$C$2),MAX((IF(Monthly!BR$4=TRUE,Monthly!BR$13,Monthly!BR$14)*(1+'Attrition Modeling'!$N$8)-IFERROR(BQ16/BQ83,0)*12)/12*BQ83,0))</f>
        <v>0</v>
      </c>
      <c r="BS148" s="799">
        <f>MIN(IF(ISERROR(VLOOKUP(BS$134-$F148,$E$135:$E$165,1,FALSE)),0,BR16*$C$2),MAX((IF(Monthly!BS$4=TRUE,Monthly!BS$13,Monthly!BS$14)*(1+'Attrition Modeling'!$N$8)-IFERROR(BR16/BR83,0)*12)/12*BR83,0))</f>
        <v>0</v>
      </c>
      <c r="BT148" s="799">
        <f>MIN(IF(ISERROR(VLOOKUP(BT$134-$F148,$E$135:$E$165,1,FALSE)),0,BS16*$C$2),MAX((IF(Monthly!BT$4=TRUE,Monthly!BT$13,Monthly!BT$14)*(1+'Attrition Modeling'!$N$8)-IFERROR(BS16/BS83,0)*12)/12*BS83,0))</f>
        <v>0</v>
      </c>
      <c r="BU148" s="799">
        <f>MIN(IF(ISERROR(VLOOKUP(BU$134-$F148,$E$135:$E$165,1,FALSE)),0,BT16*$C$2),MAX((IF(Monthly!BU$4=TRUE,Monthly!BU$13,Monthly!BU$14)*(1+'Attrition Modeling'!$N$8)-IFERROR(BT16/BT83,0)*12)/12*BT83,0))</f>
        <v>0</v>
      </c>
    </row>
    <row r="149" spans="1:73" ht="14.25" customHeight="1" x14ac:dyDescent="0.2">
      <c r="A149" s="9">
        <v>142</v>
      </c>
      <c r="B149" s="25">
        <f>MAX('Attrition Modeling'!H146,$C$3)*(1-Summary!$C$20)</f>
        <v>0.02</v>
      </c>
      <c r="C149" s="24" t="e">
        <f t="shared" si="4"/>
        <v>#DIV/0!</v>
      </c>
      <c r="E149" s="11">
        <f t="shared" si="13"/>
        <v>174</v>
      </c>
      <c r="F149" s="11">
        <f t="shared" si="14"/>
        <v>14</v>
      </c>
      <c r="G149" s="799"/>
      <c r="H149" s="799">
        <f>MIN(IF(ISERROR(VLOOKUP(H$134-$F149,$E$135:$E$165,1,FALSE)),0,G17*$C$2),MAX((IF(Monthly!D$4=TRUE,Monthly!D$13,Monthly!D$14)*(1+'Attrition Modeling'!$N$8)-IFERROR(G17/G84,0)*12)/12*G84,0))</f>
        <v>0</v>
      </c>
      <c r="I149" s="799">
        <f>MIN(IF(ISERROR(VLOOKUP(I$134-$F149,$E$135:$E$165,1,FALSE)),0,H17*$C$2),MAX((IF(Monthly!E$4=TRUE,Monthly!E$13,Monthly!E$14)*(1+'Attrition Modeling'!$N$8)-IFERROR(H17/H84,0)*12)/12*H84,0))</f>
        <v>0</v>
      </c>
      <c r="J149" s="799">
        <f>MIN(IF(ISERROR(VLOOKUP(J$134-$F149,$E$135:$E$165,1,FALSE)),0,I17*$C$2),MAX((IF(Monthly!F$4=TRUE,Monthly!F$13,Monthly!F$14)*(1+'Attrition Modeling'!$N$8)-IFERROR(I17/I84,0)*12)/12*I84,0))</f>
        <v>0</v>
      </c>
      <c r="K149" s="799">
        <f>MIN(IF(ISERROR(VLOOKUP(K$134-$F149,$E$135:$E$165,1,FALSE)),0,J17*$C$2),MAX((IF(Monthly!G$4=TRUE,Monthly!G$13,Monthly!G$14)*(1+'Attrition Modeling'!$N$8)-IFERROR(J17/J84,0)*12)/12*J84,0))</f>
        <v>0</v>
      </c>
      <c r="L149" s="799">
        <f>MIN(IF(ISERROR(VLOOKUP(L$134-$F149,$E$135:$E$165,1,FALSE)),0,K17*$C$2),MAX((IF(Monthly!H$4=TRUE,Monthly!H$13,Monthly!H$14)*(1+'Attrition Modeling'!$N$8)-IFERROR(K17/K84,0)*12)/12*K84,0))</f>
        <v>0</v>
      </c>
      <c r="M149" s="799">
        <f>MIN(IF(ISERROR(VLOOKUP(M$134-$F149,$E$135:$E$165,1,FALSE)),0,L17*$C$2),MAX((IF(Monthly!I$4=TRUE,Monthly!I$13,Monthly!I$14)*(1+'Attrition Modeling'!$N$8)-IFERROR(L17/L84,0)*12)/12*L84,0))</f>
        <v>0</v>
      </c>
      <c r="N149" s="799">
        <f>MIN(IF(ISERROR(VLOOKUP(N$134-$F149,$E$135:$E$165,1,FALSE)),0,M17*$C$2),MAX((IF(Monthly!J$4=TRUE,Monthly!J$13,Monthly!J$14)*(1+'Attrition Modeling'!$N$8)-IFERROR(M17/M84,0)*12)/12*M84,0))</f>
        <v>0</v>
      </c>
      <c r="O149" s="799">
        <f>MIN(IF(ISERROR(VLOOKUP(O$134-$F149,$E$135:$E$165,1,FALSE)),0,N17*$C$2),MAX((IF(Monthly!K$4=TRUE,Monthly!K$13,Monthly!K$14)*(1+'Attrition Modeling'!$N$8)-IFERROR(N17/N84,0)*12)/12*N84,0))</f>
        <v>0</v>
      </c>
      <c r="P149" s="799">
        <f>MIN(IF(ISERROR(VLOOKUP(P$134-$F149,$E$135:$E$165,1,FALSE)),0,O17*$C$2),MAX((IF(Monthly!L$4=TRUE,Monthly!L$13,Monthly!L$14)*(1+'Attrition Modeling'!$N$8)-IFERROR(O17/O84,0)*12)/12*O84,0))</f>
        <v>0</v>
      </c>
      <c r="Q149" s="799">
        <f>MIN(IF(ISERROR(VLOOKUP(Q$134-$F149,$E$135:$E$165,1,FALSE)),0,P17*$C$2),MAX((IF(Monthly!M$4=TRUE,Monthly!M$13,Monthly!M$14)*(1+'Attrition Modeling'!$N$8)-IFERROR(P17/P84,0)*12)/12*P84,0))</f>
        <v>0</v>
      </c>
      <c r="R149" s="799">
        <f>MIN(IF(ISERROR(VLOOKUP(R$134-$F149,$E$135:$E$165,1,FALSE)),0,Q17*$C$2),MAX((IF(Monthly!N$4=TRUE,Monthly!N$13,Monthly!N$14)*(1+'Attrition Modeling'!$N$8)-IFERROR(Q17/Q84,0)*12)/12*Q84,0))</f>
        <v>0</v>
      </c>
      <c r="S149" s="799">
        <f>MIN(IF(ISERROR(VLOOKUP(S$134-$F149,$E$135:$E$165,1,FALSE)),0,R17*$C$2),MAX((IF(Monthly!O$4=TRUE,Monthly!O$13,Monthly!O$14)*(1+'Attrition Modeling'!$N$8)-IFERROR(R17/R84,0)*12)/12*R84,0))</f>
        <v>0</v>
      </c>
      <c r="T149" s="799">
        <f>MIN(IF(ISERROR(VLOOKUP(T$134-$F149,$E$135:$E$165,1,FALSE)),0,S17*$C$2),MAX((IF(Monthly!P$4=TRUE,Monthly!P$13,Monthly!P$14)*(1+'Attrition Modeling'!$N$8)-IFERROR(S17/S84,0)*12)/12*S84,0))</f>
        <v>0</v>
      </c>
      <c r="U149" s="799">
        <f>MIN(IF(ISERROR(VLOOKUP(U$134-$F149,$E$135:$E$165,1,FALSE)),0,T17*$C$2),MAX((IF(Monthly!Q$4=TRUE,Monthly!Q$13,Monthly!Q$14)*(1+'Attrition Modeling'!$N$8)-IFERROR(T17/T84,0)*12)/12*T84,0))</f>
        <v>0</v>
      </c>
      <c r="V149" s="799">
        <f>MIN(IF(ISERROR(VLOOKUP(V$134-$F149,$E$135:$E$165,1,FALSE)),0,U17*$C$2),MAX((IF(Monthly!R$4=TRUE,Monthly!R$13,Monthly!R$14)*(1+'Attrition Modeling'!$N$8)-IFERROR(U17/U84,0)*12)/12*U84,0))</f>
        <v>0</v>
      </c>
      <c r="W149" s="799">
        <f>MIN(IF(ISERROR(VLOOKUP(W$134-$F149,$E$135:$E$165,1,FALSE)),0,V17*$C$2),MAX((IF(Monthly!S$4=TRUE,Monthly!S$13,Monthly!S$14)*(1+'Attrition Modeling'!$N$8)-IFERROR(V17/V84,0)*12)/12*V84,0))</f>
        <v>0</v>
      </c>
      <c r="X149" s="799">
        <f>MIN(IF(ISERROR(VLOOKUP(X$134-$F149,$E$135:$E$165,1,FALSE)),0,W17*$C$2),MAX((IF(Monthly!T$4=TRUE,Monthly!T$13,Monthly!T$14)*(1+'Attrition Modeling'!$N$8)-IFERROR(W17/W84,0)*12)/12*W84,0))</f>
        <v>0</v>
      </c>
      <c r="Y149" s="799">
        <f>MIN(IF(ISERROR(VLOOKUP(Y$134-$F149,$E$135:$E$165,1,FALSE)),0,X17*$C$2),MAX((IF(Monthly!U$4=TRUE,Monthly!U$13,Monthly!U$14)*(1+'Attrition Modeling'!$N$8)-IFERROR(X17/X84,0)*12)/12*X84,0))</f>
        <v>0</v>
      </c>
      <c r="Z149" s="799">
        <f>MIN(IF(ISERROR(VLOOKUP(Z$134-$F149,$E$135:$E$165,1,FALSE)),0,Y17*$C$2),MAX((IF(Monthly!V$4=TRUE,Monthly!V$13,Monthly!V$14)*(1+'Attrition Modeling'!$N$8)-IFERROR(Y17/Y84,0)*12)/12*Y84,0))</f>
        <v>0</v>
      </c>
      <c r="AA149" s="799">
        <f>MIN(IF(ISERROR(VLOOKUP(AA$134-$F149,$E$135:$E$165,1,FALSE)),0,Z17*$C$2),MAX((IF(Monthly!W$4=TRUE,Monthly!W$13,Monthly!W$14)*(1+'Attrition Modeling'!$N$8)-IFERROR(Z17/Z84,0)*12)/12*Z84,0))</f>
        <v>667.63501215339159</v>
      </c>
      <c r="AB149" s="799">
        <f>MIN(IF(ISERROR(VLOOKUP(AB$134-$F149,$E$135:$E$165,1,FALSE)),0,AA17*$C$2),MAX((IF(Monthly!X$4=TRUE,Monthly!X$13,Monthly!X$14)*(1+'Attrition Modeling'!$N$8)-IFERROR(AA17/AA84,0)*12)/12*AA84,0))</f>
        <v>0</v>
      </c>
      <c r="AC149" s="799">
        <f>MIN(IF(ISERROR(VLOOKUP(AC$134-$F149,$E$135:$E$165,1,FALSE)),0,AB17*$C$2),MAX((IF(Monthly!Y$4=TRUE,Monthly!Y$13,Monthly!Y$14)*(1+'Attrition Modeling'!$N$8)-IFERROR(AB17/AB84,0)*12)/12*AB84,0))</f>
        <v>0</v>
      </c>
      <c r="AD149" s="799">
        <f>MIN(IF(ISERROR(VLOOKUP(AD$134-$F149,$E$135:$E$165,1,FALSE)),0,AC17*$C$2),MAX((IF(Monthly!Z$4=TRUE,Monthly!Z$13,Monthly!Z$14)*(1+'Attrition Modeling'!$N$8)-IFERROR(AC17/AC84,0)*12)/12*AC84,0))</f>
        <v>0</v>
      </c>
      <c r="AE149" s="799">
        <f>MIN(IF(ISERROR(VLOOKUP(AE$134-$F149,$E$135:$E$165,1,FALSE)),0,AD17*$C$2),MAX((IF(Monthly!AA$4=TRUE,Monthly!AA$13,Monthly!AA$14)*(1+'Attrition Modeling'!$N$8)-IFERROR(AD17/AD84,0)*12)/12*AD84,0))</f>
        <v>0</v>
      </c>
      <c r="AF149" s="799">
        <f>MIN(IF(ISERROR(VLOOKUP(AF$134-$F149,$E$135:$E$165,1,FALSE)),0,AE17*$C$2),MAX((IF(Monthly!AB$4=TRUE,Monthly!AB$13,Monthly!AB$14)*(1+'Attrition Modeling'!$N$8)-IFERROR(AE17/AE84,0)*12)/12*AE84,0))</f>
        <v>0</v>
      </c>
      <c r="AG149" s="799">
        <f>MIN(IF(ISERROR(VLOOKUP(AG$134-$F149,$E$135:$E$165,1,FALSE)),0,AF17*$C$2),MAX((IF(Monthly!AC$4=TRUE,Monthly!AC$13,Monthly!AC$14)*(1+'Attrition Modeling'!$N$8)-IFERROR(AF17/AF84,0)*12)/12*AF84,0))</f>
        <v>0</v>
      </c>
      <c r="AH149" s="799">
        <f>MIN(IF(ISERROR(VLOOKUP(AH$134-$F149,$E$135:$E$165,1,FALSE)),0,AG17*$C$2),MAX((IF(Monthly!AD$4=TRUE,Monthly!AD$13,Monthly!AD$14)*(1+'Attrition Modeling'!$N$8)-IFERROR(AG17/AG84,0)*12)/12*AG84,0))</f>
        <v>0</v>
      </c>
      <c r="AI149" s="799">
        <f>MIN(IF(ISERROR(VLOOKUP(AI$134-$F149,$E$135:$E$165,1,FALSE)),0,AH17*$C$2),MAX((IF(Monthly!AE$4=TRUE,Monthly!AE$13,Monthly!AE$14)*(1+'Attrition Modeling'!$N$8)-IFERROR(AH17/AH84,0)*12)/12*AH84,0))</f>
        <v>0</v>
      </c>
      <c r="AJ149" s="799">
        <f>MIN(IF(ISERROR(VLOOKUP(AJ$134-$F149,$E$135:$E$165,1,FALSE)),0,AI17*$C$2),MAX((IF(Monthly!AF$4=TRUE,Monthly!AF$13,Monthly!AF$14)*(1+'Attrition Modeling'!$N$8)-IFERROR(AI17/AI84,0)*12)/12*AI84,0))</f>
        <v>0</v>
      </c>
      <c r="AK149" s="799">
        <f>MIN(IF(ISERROR(VLOOKUP(AK$134-$F149,$E$135:$E$165,1,FALSE)),0,AJ17*$C$2),MAX((IF(Monthly!AG$4=TRUE,Monthly!AG$13,Monthly!AG$14)*(1+'Attrition Modeling'!$N$8)-IFERROR(AJ17/AJ84,0)*12)/12*AJ84,0))</f>
        <v>0</v>
      </c>
      <c r="AL149" s="799">
        <f>MIN(IF(ISERROR(VLOOKUP(AL$134-$F149,$E$135:$E$165,1,FALSE)),0,AK17*$C$2),MAX((IF(Monthly!AH$4=TRUE,Monthly!AH$13,Monthly!AH$14)*(1+'Attrition Modeling'!$N$8)-IFERROR(AK17/AK84,0)*12)/12*AK84,0))</f>
        <v>0</v>
      </c>
      <c r="AM149" s="799">
        <f>MIN(IF(ISERROR(VLOOKUP(AM$134-$F149,$E$135:$E$165,1,FALSE)),0,AL17*$C$2),MAX((IF(Monthly!AI$4=TRUE,Monthly!AI$13,Monthly!AI$14)*(1+'Attrition Modeling'!$N$8)-IFERROR(AL17/AL84,0)*12)/12*AL84,0))</f>
        <v>355.67165469389897</v>
      </c>
      <c r="AN149" s="799">
        <f>MIN(IF(ISERROR(VLOOKUP(AN$134-$F149,$E$135:$E$165,1,FALSE)),0,AM17*$C$2),MAX((IF(Monthly!AJ$4=TRUE,Monthly!AJ$13,Monthly!AJ$14)*(1+'Attrition Modeling'!$N$8)-IFERROR(AM17/AM84,0)*12)/12*AM84,0))</f>
        <v>0</v>
      </c>
      <c r="AO149" s="799">
        <f>MIN(IF(ISERROR(VLOOKUP(AO$134-$F149,$E$135:$E$165,1,FALSE)),0,AN17*$C$2),MAX((IF(Monthly!AK$4=TRUE,Monthly!AK$13,Monthly!AK$14)*(1+'Attrition Modeling'!$N$8)-IFERROR(AN17/AN84,0)*12)/12*AN84,0))</f>
        <v>0</v>
      </c>
      <c r="AP149" s="799">
        <f>MIN(IF(ISERROR(VLOOKUP(AP$134-$F149,$E$135:$E$165,1,FALSE)),0,AO17*$C$2),MAX((IF(Monthly!AL$4=TRUE,Monthly!AL$13,Monthly!AL$14)*(1+'Attrition Modeling'!$N$8)-IFERROR(AO17/AO84,0)*12)/12*AO84,0))</f>
        <v>0</v>
      </c>
      <c r="AQ149" s="799">
        <f>MIN(IF(ISERROR(VLOOKUP(AQ$134-$F149,$E$135:$E$165,1,FALSE)),0,AP17*$C$2),MAX((IF(Monthly!AM$4=TRUE,Monthly!AM$13,Monthly!AM$14)*(1+'Attrition Modeling'!$N$8)-IFERROR(AP17/AP84,0)*12)/12*AP84,0))</f>
        <v>0</v>
      </c>
      <c r="AR149" s="799">
        <f>MIN(IF(ISERROR(VLOOKUP(AR$134-$F149,$E$135:$E$165,1,FALSE)),0,AQ17*$C$2),MAX((IF(Monthly!AN$4=TRUE,Monthly!AN$13,Monthly!AN$14)*(1+'Attrition Modeling'!$N$8)-IFERROR(AQ17/AQ84,0)*12)/12*AQ84,0))</f>
        <v>0</v>
      </c>
      <c r="AS149" s="799">
        <f>MIN(IF(ISERROR(VLOOKUP(AS$134-$F149,$E$135:$E$165,1,FALSE)),0,AR17*$C$2),MAX((IF(Monthly!AO$4=TRUE,Monthly!AO$13,Monthly!AO$14)*(1+'Attrition Modeling'!$N$8)-IFERROR(AR17/AR84,0)*12)/12*AR84,0))</f>
        <v>0</v>
      </c>
      <c r="AT149" s="799">
        <f>MIN(IF(ISERROR(VLOOKUP(AT$134-$F149,$E$135:$E$165,1,FALSE)),0,AS17*$C$2),MAX((IF(Monthly!AP$4=TRUE,Monthly!AP$13,Monthly!AP$14)*(1+'Attrition Modeling'!$N$8)-IFERROR(AS17/AS84,0)*12)/12*AS84,0))</f>
        <v>0</v>
      </c>
      <c r="AU149" s="799">
        <f>MIN(IF(ISERROR(VLOOKUP(AU$134-$F149,$E$135:$E$165,1,FALSE)),0,AT17*$C$2),MAX((IF(Monthly!AQ$4=TRUE,Monthly!AQ$13,Monthly!AQ$14)*(1+'Attrition Modeling'!$N$8)-IFERROR(AT17/AT84,0)*12)/12*AT84,0))</f>
        <v>0</v>
      </c>
      <c r="AV149" s="799">
        <f>MIN(IF(ISERROR(VLOOKUP(AV$134-$F149,$E$135:$E$165,1,FALSE)),0,AU17*$C$2),MAX((IF(Monthly!AR$4=TRUE,Monthly!AR$13,Monthly!AR$14)*(1+'Attrition Modeling'!$N$8)-IFERROR(AU17/AU84,0)*12)/12*AU84,0))</f>
        <v>0</v>
      </c>
      <c r="AW149" s="799">
        <f>MIN(IF(ISERROR(VLOOKUP(AW$134-$F149,$E$135:$E$165,1,FALSE)),0,AV17*$C$2),MAX((IF(Monthly!AS$4=TRUE,Monthly!AS$13,Monthly!AS$14)*(1+'Attrition Modeling'!$N$8)-IFERROR(AV17/AV84,0)*12)/12*AV84,0))</f>
        <v>0</v>
      </c>
      <c r="AX149" s="799">
        <f>MIN(IF(ISERROR(VLOOKUP(AX$134-$F149,$E$135:$E$165,1,FALSE)),0,AW17*$C$2),MAX((IF(Monthly!AT$4=TRUE,Monthly!AT$13,Monthly!AT$14)*(1+'Attrition Modeling'!$N$8)-IFERROR(AW17/AW84,0)*12)/12*AW84,0))</f>
        <v>0</v>
      </c>
      <c r="AY149" s="799">
        <f>MIN(IF(ISERROR(VLOOKUP(AY$134-$F149,$E$135:$E$165,1,FALSE)),0,AX17*$C$2),MAX((IF(Monthly!AU$4=TRUE,Monthly!AU$13,Monthly!AU$14)*(1+'Attrition Modeling'!$N$8)-IFERROR(AX17/AX84,0)*12)/12*AX84,0))</f>
        <v>242.59114352077202</v>
      </c>
      <c r="AZ149" s="799">
        <f>MIN(IF(ISERROR(VLOOKUP(AZ$134-$F149,$E$135:$E$165,1,FALSE)),0,AY17*$C$2),MAX((IF(Monthly!AV$4=TRUE,Monthly!AV$13,Monthly!AV$14)*(1+'Attrition Modeling'!$N$8)-IFERROR(AY17/AY84,0)*12)/12*AY84,0))</f>
        <v>0</v>
      </c>
      <c r="BA149" s="799">
        <f>MIN(IF(ISERROR(VLOOKUP(BA$134-$F149,$E$135:$E$165,1,FALSE)),0,AZ17*$C$2),MAX((IF(Monthly!AW$4=TRUE,Monthly!AW$13,Monthly!AW$14)*(1+'Attrition Modeling'!$N$8)-IFERROR(AZ17/AZ84,0)*12)/12*AZ84,0))</f>
        <v>0</v>
      </c>
      <c r="BB149" s="799">
        <f>MIN(IF(ISERROR(VLOOKUP(BB$134-$F149,$E$135:$E$165,1,FALSE)),0,BA17*$C$2),MAX((IF(Monthly!AX$4=TRUE,Monthly!AX$13,Monthly!AX$14)*(1+'Attrition Modeling'!$N$8)-IFERROR(BA17/BA84,0)*12)/12*BA84,0))</f>
        <v>0</v>
      </c>
      <c r="BC149" s="799">
        <f>MIN(IF(ISERROR(VLOOKUP(BC$134-$F149,$E$135:$E$165,1,FALSE)),0,BB17*$C$2),MAX((IF(Monthly!AY$4=TRUE,Monthly!AY$13,Monthly!AY$14)*(1+'Attrition Modeling'!$N$8)-IFERROR(BB17/BB84,0)*12)/12*BB84,0))</f>
        <v>0</v>
      </c>
      <c r="BD149" s="799">
        <f>MIN(IF(ISERROR(VLOOKUP(BD$134-$F149,$E$135:$E$165,1,FALSE)),0,BC17*$C$2),MAX((IF(Monthly!AZ$4=TRUE,Monthly!AZ$13,Monthly!AZ$14)*(1+'Attrition Modeling'!$N$8)-IFERROR(BC17/BC84,0)*12)/12*BC84,0))</f>
        <v>0</v>
      </c>
      <c r="BE149" s="799">
        <f>MIN(IF(ISERROR(VLOOKUP(BE$134-$F149,$E$135:$E$165,1,FALSE)),0,BD17*$C$2),MAX((IF(Monthly!BA$4=TRUE,Monthly!BA$13,Monthly!BA$14)*(1+'Attrition Modeling'!$N$8)-IFERROR(BD17/BD84,0)*12)/12*BD84,0))</f>
        <v>0</v>
      </c>
      <c r="BF149" s="799">
        <f>MIN(IF(ISERROR(VLOOKUP(BF$134-$F149,$E$135:$E$165,1,FALSE)),0,BE17*$C$2),MAX((IF(Monthly!BB$4=TRUE,Monthly!BB$13,Monthly!BB$14)*(1+'Attrition Modeling'!$N$8)-IFERROR(BE17/BE84,0)*12)/12*BE84,0))</f>
        <v>0</v>
      </c>
      <c r="BG149" s="799">
        <f>MIN(IF(ISERROR(VLOOKUP(BG$134-$F149,$E$135:$E$165,1,FALSE)),0,BF17*$C$2),MAX((IF(Monthly!BC$4=TRUE,Monthly!BC$13,Monthly!BC$14)*(1+'Attrition Modeling'!$N$8)-IFERROR(BF17/BF84,0)*12)/12*BF84,0))</f>
        <v>0</v>
      </c>
      <c r="BH149" s="799">
        <f>MIN(IF(ISERROR(VLOOKUP(BH$134-$F149,$E$135:$E$165,1,FALSE)),0,BG17*$C$2),MAX((IF(Monthly!BD$4=TRUE,Monthly!BD$13,Monthly!BD$14)*(1+'Attrition Modeling'!$N$8)-IFERROR(BG17/BG84,0)*12)/12*BG84,0))</f>
        <v>0</v>
      </c>
      <c r="BI149" s="799">
        <f>MIN(IF(ISERROR(VLOOKUP(BI$134-$F149,$E$135:$E$165,1,FALSE)),0,BH17*$C$2),MAX((IF(Monthly!BE$4=TRUE,Monthly!BE$13,Monthly!BE$14)*(1+'Attrition Modeling'!$N$8)-IFERROR(BH17/BH84,0)*12)/12*BH84,0))</f>
        <v>0</v>
      </c>
      <c r="BJ149" s="799">
        <f>MIN(IF(ISERROR(VLOOKUP(BJ$134-$F149,$E$135:$E$165,1,FALSE)),0,BI17*$C$2),MAX((IF(Monthly!BF$4=TRUE,Monthly!BF$13,Monthly!BF$14)*(1+'Attrition Modeling'!$N$8)-IFERROR(BI17/BI84,0)*12)/12*BI84,0))</f>
        <v>0</v>
      </c>
      <c r="BK149" s="799">
        <f>MIN(IF(ISERROR(VLOOKUP(BK$134-$F149,$E$135:$E$165,1,FALSE)),0,BJ17*$C$2),MAX((IF(Monthly!BG$4=TRUE,Monthly!BG$13,Monthly!BG$14)*(1+'Attrition Modeling'!$N$8)-IFERROR(BJ17/BJ84,0)*12)/12*BJ84,0))</f>
        <v>180.53429174020982</v>
      </c>
      <c r="BL149" s="799">
        <f>MIN(IF(ISERROR(VLOOKUP(BL$134-$F149,$E$135:$E$165,1,FALSE)),0,BK17*$C$2),MAX((IF(Monthly!BH$4=TRUE,Monthly!BH$13,Monthly!BH$14)*(1+'Attrition Modeling'!$N$8)-IFERROR(BK17/BK84,0)*12)/12*BK84,0))</f>
        <v>0</v>
      </c>
      <c r="BM149" s="799">
        <f>MIN(IF(ISERROR(VLOOKUP(BM$134-$F149,$E$135:$E$165,1,FALSE)),0,BL17*$C$2),MAX((IF(Monthly!BI$4=TRUE,Monthly!BI$13,Monthly!BI$14)*(1+'Attrition Modeling'!$N$8)-IFERROR(BL17/BL84,0)*12)/12*BL84,0))</f>
        <v>0</v>
      </c>
      <c r="BN149" s="799">
        <f>MIN(IF(ISERROR(VLOOKUP(BN$134-$F149,$E$135:$E$165,1,FALSE)),0,BM17*$C$2),MAX((IF(Monthly!BJ$4=TRUE,Monthly!BJ$13,Monthly!BJ$14)*(1+'Attrition Modeling'!$N$8)-IFERROR(BM17/BM84,0)*12)/12*BM84,0))</f>
        <v>0</v>
      </c>
      <c r="BO149" s="799">
        <f>MIN(IF(ISERROR(VLOOKUP(BO$134-$F149,$E$135:$E$165,1,FALSE)),0,BN17*$C$2),MAX((IF(Monthly!BK$4=TRUE,Monthly!BK$13,Monthly!BK$14)*(1+'Attrition Modeling'!$N$8)-IFERROR(BN17/BN84,0)*12)/12*BN84,0))</f>
        <v>0</v>
      </c>
      <c r="BP149" s="799">
        <f>MIN(IF(ISERROR(VLOOKUP(BP$134-$F149,$E$135:$E$165,1,FALSE)),0,BO17*$C$2),MAX((IF(Monthly!BP$4=TRUE,Monthly!BP$13,Monthly!BP$14)*(1+'Attrition Modeling'!$N$8)-IFERROR(BO17/BO84,0)*12)/12*BO84,0))</f>
        <v>0</v>
      </c>
      <c r="BQ149" s="799">
        <f>MIN(IF(ISERROR(VLOOKUP(BQ$134-$F149,$E$135:$E$165,1,FALSE)),0,BP17*$C$2),MAX((IF(Monthly!BQ$4=TRUE,Monthly!BQ$13,Monthly!BQ$14)*(1+'Attrition Modeling'!$N$8)-IFERROR(BP17/BP84,0)*12)/12*BP84,0))</f>
        <v>0</v>
      </c>
      <c r="BR149" s="799">
        <f>MIN(IF(ISERROR(VLOOKUP(BR$134-$F149,$E$135:$E$165,1,FALSE)),0,BQ17*$C$2),MAX((IF(Monthly!BR$4=TRUE,Monthly!BR$13,Monthly!BR$14)*(1+'Attrition Modeling'!$N$8)-IFERROR(BQ17/BQ84,0)*12)/12*BQ84,0))</f>
        <v>0</v>
      </c>
      <c r="BS149" s="799">
        <f>MIN(IF(ISERROR(VLOOKUP(BS$134-$F149,$E$135:$E$165,1,FALSE)),0,BR17*$C$2),MAX((IF(Monthly!BS$4=TRUE,Monthly!BS$13,Monthly!BS$14)*(1+'Attrition Modeling'!$N$8)-IFERROR(BR17/BR84,0)*12)/12*BR84,0))</f>
        <v>0</v>
      </c>
      <c r="BT149" s="799">
        <f>MIN(IF(ISERROR(VLOOKUP(BT$134-$F149,$E$135:$E$165,1,FALSE)),0,BS17*$C$2),MAX((IF(Monthly!BT$4=TRUE,Monthly!BT$13,Monthly!BT$14)*(1+'Attrition Modeling'!$N$8)-IFERROR(BS17/BS84,0)*12)/12*BS84,0))</f>
        <v>0</v>
      </c>
      <c r="BU149" s="799">
        <f>MIN(IF(ISERROR(VLOOKUP(BU$134-$F149,$E$135:$E$165,1,FALSE)),0,BT17*$C$2),MAX((IF(Monthly!BU$4=TRUE,Monthly!BU$13,Monthly!BU$14)*(1+'Attrition Modeling'!$N$8)-IFERROR(BT17/BT84,0)*12)/12*BT84,0))</f>
        <v>0</v>
      </c>
    </row>
    <row r="150" spans="1:73" ht="14.25" customHeight="1" x14ac:dyDescent="0.2">
      <c r="A150" s="9">
        <v>143</v>
      </c>
      <c r="B150" s="25">
        <f>MAX('Attrition Modeling'!H147,$C$3)*(1-Summary!$C$20)</f>
        <v>0.02</v>
      </c>
      <c r="C150" s="24" t="e">
        <f t="shared" si="4"/>
        <v>#DIV/0!</v>
      </c>
      <c r="E150" s="11">
        <f t="shared" si="13"/>
        <v>186</v>
      </c>
      <c r="F150" s="11">
        <f t="shared" si="14"/>
        <v>15</v>
      </c>
      <c r="G150" s="799"/>
      <c r="H150" s="799">
        <f>MIN(IF(ISERROR(VLOOKUP(H$134-$F150,$E$135:$E$165,1,FALSE)),0,G18*$C$2),MAX((IF(Monthly!D$4=TRUE,Monthly!D$13,Monthly!D$14)*(1+'Attrition Modeling'!$N$8)-IFERROR(G18/G85,0)*12)/12*G85,0))</f>
        <v>0</v>
      </c>
      <c r="I150" s="799">
        <f>MIN(IF(ISERROR(VLOOKUP(I$134-$F150,$E$135:$E$165,1,FALSE)),0,H18*$C$2),MAX((IF(Monthly!E$4=TRUE,Monthly!E$13,Monthly!E$14)*(1+'Attrition Modeling'!$N$8)-IFERROR(H18/H85,0)*12)/12*H85,0))</f>
        <v>0</v>
      </c>
      <c r="J150" s="799">
        <f>MIN(IF(ISERROR(VLOOKUP(J$134-$F150,$E$135:$E$165,1,FALSE)),0,I18*$C$2),MAX((IF(Monthly!F$4=TRUE,Monthly!F$13,Monthly!F$14)*(1+'Attrition Modeling'!$N$8)-IFERROR(I18/I85,0)*12)/12*I85,0))</f>
        <v>0</v>
      </c>
      <c r="K150" s="799">
        <f>MIN(IF(ISERROR(VLOOKUP(K$134-$F150,$E$135:$E$165,1,FALSE)),0,J18*$C$2),MAX((IF(Monthly!G$4=TRUE,Monthly!G$13,Monthly!G$14)*(1+'Attrition Modeling'!$N$8)-IFERROR(J18/J85,0)*12)/12*J85,0))</f>
        <v>0</v>
      </c>
      <c r="L150" s="799">
        <f>MIN(IF(ISERROR(VLOOKUP(L$134-$F150,$E$135:$E$165,1,FALSE)),0,K18*$C$2),MAX((IF(Monthly!H$4=TRUE,Monthly!H$13,Monthly!H$14)*(1+'Attrition Modeling'!$N$8)-IFERROR(K18/K85,0)*12)/12*K85,0))</f>
        <v>0</v>
      </c>
      <c r="M150" s="799">
        <f>MIN(IF(ISERROR(VLOOKUP(M$134-$F150,$E$135:$E$165,1,FALSE)),0,L18*$C$2),MAX((IF(Monthly!I$4=TRUE,Monthly!I$13,Monthly!I$14)*(1+'Attrition Modeling'!$N$8)-IFERROR(L18/L85,0)*12)/12*L85,0))</f>
        <v>0</v>
      </c>
      <c r="N150" s="799">
        <f>MIN(IF(ISERROR(VLOOKUP(N$134-$F150,$E$135:$E$165,1,FALSE)),0,M18*$C$2),MAX((IF(Monthly!J$4=TRUE,Monthly!J$13,Monthly!J$14)*(1+'Attrition Modeling'!$N$8)-IFERROR(M18/M85,0)*12)/12*M85,0))</f>
        <v>0</v>
      </c>
      <c r="O150" s="799">
        <f>MIN(IF(ISERROR(VLOOKUP(O$134-$F150,$E$135:$E$165,1,FALSE)),0,N18*$C$2),MAX((IF(Monthly!K$4=TRUE,Monthly!K$13,Monthly!K$14)*(1+'Attrition Modeling'!$N$8)-IFERROR(N18/N85,0)*12)/12*N85,0))</f>
        <v>0</v>
      </c>
      <c r="P150" s="799">
        <f>MIN(IF(ISERROR(VLOOKUP(P$134-$F150,$E$135:$E$165,1,FALSE)),0,O18*$C$2),MAX((IF(Monthly!L$4=TRUE,Monthly!L$13,Monthly!L$14)*(1+'Attrition Modeling'!$N$8)-IFERROR(O18/O85,0)*12)/12*O85,0))</f>
        <v>0</v>
      </c>
      <c r="Q150" s="799">
        <f>MIN(IF(ISERROR(VLOOKUP(Q$134-$F150,$E$135:$E$165,1,FALSE)),0,P18*$C$2),MAX((IF(Monthly!M$4=TRUE,Monthly!M$13,Monthly!M$14)*(1+'Attrition Modeling'!$N$8)-IFERROR(P18/P85,0)*12)/12*P85,0))</f>
        <v>0</v>
      </c>
      <c r="R150" s="799">
        <f>MIN(IF(ISERROR(VLOOKUP(R$134-$F150,$E$135:$E$165,1,FALSE)),0,Q18*$C$2),MAX((IF(Monthly!N$4=TRUE,Monthly!N$13,Monthly!N$14)*(1+'Attrition Modeling'!$N$8)-IFERROR(Q18/Q85,0)*12)/12*Q85,0))</f>
        <v>0</v>
      </c>
      <c r="S150" s="799">
        <f>MIN(IF(ISERROR(VLOOKUP(S$134-$F150,$E$135:$E$165,1,FALSE)),0,R18*$C$2),MAX((IF(Monthly!O$4=TRUE,Monthly!O$13,Monthly!O$14)*(1+'Attrition Modeling'!$N$8)-IFERROR(R18/R85,0)*12)/12*R85,0))</f>
        <v>0</v>
      </c>
      <c r="T150" s="799">
        <f>MIN(IF(ISERROR(VLOOKUP(T$134-$F150,$E$135:$E$165,1,FALSE)),0,S18*$C$2),MAX((IF(Monthly!P$4=TRUE,Monthly!P$13,Monthly!P$14)*(1+'Attrition Modeling'!$N$8)-IFERROR(S18/S85,0)*12)/12*S85,0))</f>
        <v>0</v>
      </c>
      <c r="U150" s="799">
        <f>MIN(IF(ISERROR(VLOOKUP(U$134-$F150,$E$135:$E$165,1,FALSE)),0,T18*$C$2),MAX((IF(Monthly!Q$4=TRUE,Monthly!Q$13,Monthly!Q$14)*(1+'Attrition Modeling'!$N$8)-IFERROR(T18/T85,0)*12)/12*T85,0))</f>
        <v>0</v>
      </c>
      <c r="V150" s="799">
        <f>MIN(IF(ISERROR(VLOOKUP(V$134-$F150,$E$135:$E$165,1,FALSE)),0,U18*$C$2),MAX((IF(Monthly!R$4=TRUE,Monthly!R$13,Monthly!R$14)*(1+'Attrition Modeling'!$N$8)-IFERROR(U18/U85,0)*12)/12*U85,0))</f>
        <v>0</v>
      </c>
      <c r="W150" s="799">
        <f>MIN(IF(ISERROR(VLOOKUP(W$134-$F150,$E$135:$E$165,1,FALSE)),0,V18*$C$2),MAX((IF(Monthly!S$4=TRUE,Monthly!S$13,Monthly!S$14)*(1+'Attrition Modeling'!$N$8)-IFERROR(V18/V85,0)*12)/12*V85,0))</f>
        <v>0</v>
      </c>
      <c r="X150" s="799">
        <f>MIN(IF(ISERROR(VLOOKUP(X$134-$F150,$E$135:$E$165,1,FALSE)),0,W18*$C$2),MAX((IF(Monthly!T$4=TRUE,Monthly!T$13,Monthly!T$14)*(1+'Attrition Modeling'!$N$8)-IFERROR(W18/W85,0)*12)/12*W85,0))</f>
        <v>0</v>
      </c>
      <c r="Y150" s="799">
        <f>MIN(IF(ISERROR(VLOOKUP(Y$134-$F150,$E$135:$E$165,1,FALSE)),0,X18*$C$2),MAX((IF(Monthly!U$4=TRUE,Monthly!U$13,Monthly!U$14)*(1+'Attrition Modeling'!$N$8)-IFERROR(X18/X85,0)*12)/12*X85,0))</f>
        <v>0</v>
      </c>
      <c r="Z150" s="799">
        <f>MIN(IF(ISERROR(VLOOKUP(Z$134-$F150,$E$135:$E$165,1,FALSE)),0,Y18*$C$2),MAX((IF(Monthly!V$4=TRUE,Monthly!V$13,Monthly!V$14)*(1+'Attrition Modeling'!$N$8)-IFERROR(Y18/Y85,0)*12)/12*Y85,0))</f>
        <v>0</v>
      </c>
      <c r="AA150" s="799">
        <f>MIN(IF(ISERROR(VLOOKUP(AA$134-$F150,$E$135:$E$165,1,FALSE)),0,Z18*$C$2),MAX((IF(Monthly!W$4=TRUE,Monthly!W$13,Monthly!W$14)*(1+'Attrition Modeling'!$N$8)-IFERROR(Z18/Z85,0)*12)/12*Z85,0))</f>
        <v>0</v>
      </c>
      <c r="AB150" s="799">
        <f>MIN(IF(ISERROR(VLOOKUP(AB$134-$F150,$E$135:$E$165,1,FALSE)),0,AA18*$C$2),MAX((IF(Monthly!X$4=TRUE,Monthly!X$13,Monthly!X$14)*(1+'Attrition Modeling'!$N$8)-IFERROR(AA18/AA85,0)*12)/12*AA85,0))</f>
        <v>714.68389119860103</v>
      </c>
      <c r="AC150" s="799">
        <f>MIN(IF(ISERROR(VLOOKUP(AC$134-$F150,$E$135:$E$165,1,FALSE)),0,AB18*$C$2),MAX((IF(Monthly!Y$4=TRUE,Monthly!Y$13,Monthly!Y$14)*(1+'Attrition Modeling'!$N$8)-IFERROR(AB18/AB85,0)*12)/12*AB85,0))</f>
        <v>0</v>
      </c>
      <c r="AD150" s="799">
        <f>MIN(IF(ISERROR(VLOOKUP(AD$134-$F150,$E$135:$E$165,1,FALSE)),0,AC18*$C$2),MAX((IF(Monthly!Z$4=TRUE,Monthly!Z$13,Monthly!Z$14)*(1+'Attrition Modeling'!$N$8)-IFERROR(AC18/AC85,0)*12)/12*AC85,0))</f>
        <v>0</v>
      </c>
      <c r="AE150" s="799">
        <f>MIN(IF(ISERROR(VLOOKUP(AE$134-$F150,$E$135:$E$165,1,FALSE)),0,AD18*$C$2),MAX((IF(Monthly!AA$4=TRUE,Monthly!AA$13,Monthly!AA$14)*(1+'Attrition Modeling'!$N$8)-IFERROR(AD18/AD85,0)*12)/12*AD85,0))</f>
        <v>0</v>
      </c>
      <c r="AF150" s="799">
        <f>MIN(IF(ISERROR(VLOOKUP(AF$134-$F150,$E$135:$E$165,1,FALSE)),0,AE18*$C$2),MAX((IF(Monthly!AB$4=TRUE,Monthly!AB$13,Monthly!AB$14)*(1+'Attrition Modeling'!$N$8)-IFERROR(AE18/AE85,0)*12)/12*AE85,0))</f>
        <v>0</v>
      </c>
      <c r="AG150" s="799">
        <f>MIN(IF(ISERROR(VLOOKUP(AG$134-$F150,$E$135:$E$165,1,FALSE)),0,AF18*$C$2),MAX((IF(Monthly!AC$4=TRUE,Monthly!AC$13,Monthly!AC$14)*(1+'Attrition Modeling'!$N$8)-IFERROR(AF18/AF85,0)*12)/12*AF85,0))</f>
        <v>0</v>
      </c>
      <c r="AH150" s="799">
        <f>MIN(IF(ISERROR(VLOOKUP(AH$134-$F150,$E$135:$E$165,1,FALSE)),0,AG18*$C$2),MAX((IF(Monthly!AD$4=TRUE,Monthly!AD$13,Monthly!AD$14)*(1+'Attrition Modeling'!$N$8)-IFERROR(AG18/AG85,0)*12)/12*AG85,0))</f>
        <v>0</v>
      </c>
      <c r="AI150" s="799">
        <f>MIN(IF(ISERROR(VLOOKUP(AI$134-$F150,$E$135:$E$165,1,FALSE)),0,AH18*$C$2),MAX((IF(Monthly!AE$4=TRUE,Monthly!AE$13,Monthly!AE$14)*(1+'Attrition Modeling'!$N$8)-IFERROR(AH18/AH85,0)*12)/12*AH85,0))</f>
        <v>0</v>
      </c>
      <c r="AJ150" s="799">
        <f>MIN(IF(ISERROR(VLOOKUP(AJ$134-$F150,$E$135:$E$165,1,FALSE)),0,AI18*$C$2),MAX((IF(Monthly!AF$4=TRUE,Monthly!AF$13,Monthly!AF$14)*(1+'Attrition Modeling'!$N$8)-IFERROR(AI18/AI85,0)*12)/12*AI85,0))</f>
        <v>0</v>
      </c>
      <c r="AK150" s="799">
        <f>MIN(IF(ISERROR(VLOOKUP(AK$134-$F150,$E$135:$E$165,1,FALSE)),0,AJ18*$C$2),MAX((IF(Monthly!AG$4=TRUE,Monthly!AG$13,Monthly!AG$14)*(1+'Attrition Modeling'!$N$8)-IFERROR(AJ18/AJ85,0)*12)/12*AJ85,0))</f>
        <v>0</v>
      </c>
      <c r="AL150" s="799">
        <f>MIN(IF(ISERROR(VLOOKUP(AL$134-$F150,$E$135:$E$165,1,FALSE)),0,AK18*$C$2),MAX((IF(Monthly!AH$4=TRUE,Monthly!AH$13,Monthly!AH$14)*(1+'Attrition Modeling'!$N$8)-IFERROR(AK18/AK85,0)*12)/12*AK85,0))</f>
        <v>0</v>
      </c>
      <c r="AM150" s="799">
        <f>MIN(IF(ISERROR(VLOOKUP(AM$134-$F150,$E$135:$E$165,1,FALSE)),0,AL18*$C$2),MAX((IF(Monthly!AI$4=TRUE,Monthly!AI$13,Monthly!AI$14)*(1+'Attrition Modeling'!$N$8)-IFERROR(AL18/AL85,0)*12)/12*AL85,0))</f>
        <v>0</v>
      </c>
      <c r="AN150" s="799">
        <f>MIN(IF(ISERROR(VLOOKUP(AN$134-$F150,$E$135:$E$165,1,FALSE)),0,AM18*$C$2),MAX((IF(Monthly!AJ$4=TRUE,Monthly!AJ$13,Monthly!AJ$14)*(1+'Attrition Modeling'!$N$8)-IFERROR(AM18/AM85,0)*12)/12*AM85,0))</f>
        <v>380.06181182181393</v>
      </c>
      <c r="AO150" s="799">
        <f>MIN(IF(ISERROR(VLOOKUP(AO$134-$F150,$E$135:$E$165,1,FALSE)),0,AN18*$C$2),MAX((IF(Monthly!AK$4=TRUE,Monthly!AK$13,Monthly!AK$14)*(1+'Attrition Modeling'!$N$8)-IFERROR(AN18/AN85,0)*12)/12*AN85,0))</f>
        <v>0</v>
      </c>
      <c r="AP150" s="799">
        <f>MIN(IF(ISERROR(VLOOKUP(AP$134-$F150,$E$135:$E$165,1,FALSE)),0,AO18*$C$2),MAX((IF(Monthly!AL$4=TRUE,Monthly!AL$13,Monthly!AL$14)*(1+'Attrition Modeling'!$N$8)-IFERROR(AO18/AO85,0)*12)/12*AO85,0))</f>
        <v>0</v>
      </c>
      <c r="AQ150" s="799">
        <f>MIN(IF(ISERROR(VLOOKUP(AQ$134-$F150,$E$135:$E$165,1,FALSE)),0,AP18*$C$2),MAX((IF(Monthly!AM$4=TRUE,Monthly!AM$13,Monthly!AM$14)*(1+'Attrition Modeling'!$N$8)-IFERROR(AP18/AP85,0)*12)/12*AP85,0))</f>
        <v>0</v>
      </c>
      <c r="AR150" s="799">
        <f>MIN(IF(ISERROR(VLOOKUP(AR$134-$F150,$E$135:$E$165,1,FALSE)),0,AQ18*$C$2),MAX((IF(Monthly!AN$4=TRUE,Monthly!AN$13,Monthly!AN$14)*(1+'Attrition Modeling'!$N$8)-IFERROR(AQ18/AQ85,0)*12)/12*AQ85,0))</f>
        <v>0</v>
      </c>
      <c r="AS150" s="799">
        <f>MIN(IF(ISERROR(VLOOKUP(AS$134-$F150,$E$135:$E$165,1,FALSE)),0,AR18*$C$2),MAX((IF(Monthly!AO$4=TRUE,Monthly!AO$13,Monthly!AO$14)*(1+'Attrition Modeling'!$N$8)-IFERROR(AR18/AR85,0)*12)/12*AR85,0))</f>
        <v>0</v>
      </c>
      <c r="AT150" s="799">
        <f>MIN(IF(ISERROR(VLOOKUP(AT$134-$F150,$E$135:$E$165,1,FALSE)),0,AS18*$C$2),MAX((IF(Monthly!AP$4=TRUE,Monthly!AP$13,Monthly!AP$14)*(1+'Attrition Modeling'!$N$8)-IFERROR(AS18/AS85,0)*12)/12*AS85,0))</f>
        <v>0</v>
      </c>
      <c r="AU150" s="799">
        <f>MIN(IF(ISERROR(VLOOKUP(AU$134-$F150,$E$135:$E$165,1,FALSE)),0,AT18*$C$2),MAX((IF(Monthly!AQ$4=TRUE,Monthly!AQ$13,Monthly!AQ$14)*(1+'Attrition Modeling'!$N$8)-IFERROR(AT18/AT85,0)*12)/12*AT85,0))</f>
        <v>0</v>
      </c>
      <c r="AV150" s="799">
        <f>MIN(IF(ISERROR(VLOOKUP(AV$134-$F150,$E$135:$E$165,1,FALSE)),0,AU18*$C$2),MAX((IF(Monthly!AR$4=TRUE,Monthly!AR$13,Monthly!AR$14)*(1+'Attrition Modeling'!$N$8)-IFERROR(AU18/AU85,0)*12)/12*AU85,0))</f>
        <v>0</v>
      </c>
      <c r="AW150" s="799">
        <f>MIN(IF(ISERROR(VLOOKUP(AW$134-$F150,$E$135:$E$165,1,FALSE)),0,AV18*$C$2),MAX((IF(Monthly!AS$4=TRUE,Monthly!AS$13,Monthly!AS$14)*(1+'Attrition Modeling'!$N$8)-IFERROR(AV18/AV85,0)*12)/12*AV85,0))</f>
        <v>0</v>
      </c>
      <c r="AX150" s="799">
        <f>MIN(IF(ISERROR(VLOOKUP(AX$134-$F150,$E$135:$E$165,1,FALSE)),0,AW18*$C$2),MAX((IF(Monthly!AT$4=TRUE,Monthly!AT$13,Monthly!AT$14)*(1+'Attrition Modeling'!$N$8)-IFERROR(AW18/AW85,0)*12)/12*AW85,0))</f>
        <v>0</v>
      </c>
      <c r="AY150" s="799">
        <f>MIN(IF(ISERROR(VLOOKUP(AY$134-$F150,$E$135:$E$165,1,FALSE)),0,AX18*$C$2),MAX((IF(Monthly!AU$4=TRUE,Monthly!AU$13,Monthly!AU$14)*(1+'Attrition Modeling'!$N$8)-IFERROR(AX18/AX85,0)*12)/12*AX85,0))</f>
        <v>0</v>
      </c>
      <c r="AZ150" s="799">
        <f>MIN(IF(ISERROR(VLOOKUP(AZ$134-$F150,$E$135:$E$165,1,FALSE)),0,AY18*$C$2),MAX((IF(Monthly!AV$4=TRUE,Monthly!AV$13,Monthly!AV$14)*(1+'Attrition Modeling'!$N$8)-IFERROR(AY18/AY85,0)*12)/12*AY85,0))</f>
        <v>258.55798130838338</v>
      </c>
      <c r="BA150" s="799">
        <f>MIN(IF(ISERROR(VLOOKUP(BA$134-$F150,$E$135:$E$165,1,FALSE)),0,AZ18*$C$2),MAX((IF(Monthly!AW$4=TRUE,Monthly!AW$13,Monthly!AW$14)*(1+'Attrition Modeling'!$N$8)-IFERROR(AZ18/AZ85,0)*12)/12*AZ85,0))</f>
        <v>0</v>
      </c>
      <c r="BB150" s="799">
        <f>MIN(IF(ISERROR(VLOOKUP(BB$134-$F150,$E$135:$E$165,1,FALSE)),0,BA18*$C$2),MAX((IF(Monthly!AX$4=TRUE,Monthly!AX$13,Monthly!AX$14)*(1+'Attrition Modeling'!$N$8)-IFERROR(BA18/BA85,0)*12)/12*BA85,0))</f>
        <v>0</v>
      </c>
      <c r="BC150" s="799">
        <f>MIN(IF(ISERROR(VLOOKUP(BC$134-$F150,$E$135:$E$165,1,FALSE)),0,BB18*$C$2),MAX((IF(Monthly!AY$4=TRUE,Monthly!AY$13,Monthly!AY$14)*(1+'Attrition Modeling'!$N$8)-IFERROR(BB18/BB85,0)*12)/12*BB85,0))</f>
        <v>0</v>
      </c>
      <c r="BD150" s="799">
        <f>MIN(IF(ISERROR(VLOOKUP(BD$134-$F150,$E$135:$E$165,1,FALSE)),0,BC18*$C$2),MAX((IF(Monthly!AZ$4=TRUE,Monthly!AZ$13,Monthly!AZ$14)*(1+'Attrition Modeling'!$N$8)-IFERROR(BC18/BC85,0)*12)/12*BC85,0))</f>
        <v>0</v>
      </c>
      <c r="BE150" s="799">
        <f>MIN(IF(ISERROR(VLOOKUP(BE$134-$F150,$E$135:$E$165,1,FALSE)),0,BD18*$C$2),MAX((IF(Monthly!BA$4=TRUE,Monthly!BA$13,Monthly!BA$14)*(1+'Attrition Modeling'!$N$8)-IFERROR(BD18/BD85,0)*12)/12*BD85,0))</f>
        <v>0</v>
      </c>
      <c r="BF150" s="799">
        <f>MIN(IF(ISERROR(VLOOKUP(BF$134-$F150,$E$135:$E$165,1,FALSE)),0,BE18*$C$2),MAX((IF(Monthly!BB$4=TRUE,Monthly!BB$13,Monthly!BB$14)*(1+'Attrition Modeling'!$N$8)-IFERROR(BE18/BE85,0)*12)/12*BE85,0))</f>
        <v>0</v>
      </c>
      <c r="BG150" s="799">
        <f>MIN(IF(ISERROR(VLOOKUP(BG$134-$F150,$E$135:$E$165,1,FALSE)),0,BF18*$C$2),MAX((IF(Monthly!BC$4=TRUE,Monthly!BC$13,Monthly!BC$14)*(1+'Attrition Modeling'!$N$8)-IFERROR(BF18/BF85,0)*12)/12*BF85,0))</f>
        <v>0</v>
      </c>
      <c r="BH150" s="799">
        <f>MIN(IF(ISERROR(VLOOKUP(BH$134-$F150,$E$135:$E$165,1,FALSE)),0,BG18*$C$2),MAX((IF(Monthly!BD$4=TRUE,Monthly!BD$13,Monthly!BD$14)*(1+'Attrition Modeling'!$N$8)-IFERROR(BG18/BG85,0)*12)/12*BG85,0))</f>
        <v>0</v>
      </c>
      <c r="BI150" s="799">
        <f>MIN(IF(ISERROR(VLOOKUP(BI$134-$F150,$E$135:$E$165,1,FALSE)),0,BH18*$C$2),MAX((IF(Monthly!BE$4=TRUE,Monthly!BE$13,Monthly!BE$14)*(1+'Attrition Modeling'!$N$8)-IFERROR(BH18/BH85,0)*12)/12*BH85,0))</f>
        <v>0</v>
      </c>
      <c r="BJ150" s="799">
        <f>MIN(IF(ISERROR(VLOOKUP(BJ$134-$F150,$E$135:$E$165,1,FALSE)),0,BI18*$C$2),MAX((IF(Monthly!BF$4=TRUE,Monthly!BF$13,Monthly!BF$14)*(1+'Attrition Modeling'!$N$8)-IFERROR(BI18/BI85,0)*12)/12*BI85,0))</f>
        <v>0</v>
      </c>
      <c r="BK150" s="799">
        <f>MIN(IF(ISERROR(VLOOKUP(BK$134-$F150,$E$135:$E$165,1,FALSE)),0,BJ18*$C$2),MAX((IF(Monthly!BG$4=TRUE,Monthly!BG$13,Monthly!BG$14)*(1+'Attrition Modeling'!$N$8)-IFERROR(BJ18/BJ85,0)*12)/12*BJ85,0))</f>
        <v>0</v>
      </c>
      <c r="BL150" s="799">
        <f>MIN(IF(ISERROR(VLOOKUP(BL$134-$F150,$E$135:$E$165,1,FALSE)),0,BK18*$C$2),MAX((IF(Monthly!BH$4=TRUE,Monthly!BH$13,Monthly!BH$14)*(1+'Attrition Modeling'!$N$8)-IFERROR(BK18/BK85,0)*12)/12*BK85,0))</f>
        <v>148.7088120325989</v>
      </c>
      <c r="BM150" s="799">
        <f>MIN(IF(ISERROR(VLOOKUP(BM$134-$F150,$E$135:$E$165,1,FALSE)),0,BL18*$C$2),MAX((IF(Monthly!BI$4=TRUE,Monthly!BI$13,Monthly!BI$14)*(1+'Attrition Modeling'!$N$8)-IFERROR(BL18/BL85,0)*12)/12*BL85,0))</f>
        <v>0</v>
      </c>
      <c r="BN150" s="799">
        <f>MIN(IF(ISERROR(VLOOKUP(BN$134-$F150,$E$135:$E$165,1,FALSE)),0,BM18*$C$2),MAX((IF(Monthly!BJ$4=TRUE,Monthly!BJ$13,Monthly!BJ$14)*(1+'Attrition Modeling'!$N$8)-IFERROR(BM18/BM85,0)*12)/12*BM85,0))</f>
        <v>0</v>
      </c>
      <c r="BO150" s="799">
        <f>MIN(IF(ISERROR(VLOOKUP(BO$134-$F150,$E$135:$E$165,1,FALSE)),0,BN18*$C$2),MAX((IF(Monthly!BK$4=TRUE,Monthly!BK$13,Monthly!BK$14)*(1+'Attrition Modeling'!$N$8)-IFERROR(BN18/BN85,0)*12)/12*BN85,0))</f>
        <v>0</v>
      </c>
      <c r="BP150" s="799">
        <f>MIN(IF(ISERROR(VLOOKUP(BP$134-$F150,$E$135:$E$165,1,FALSE)),0,BO18*$C$2),MAX((IF(Monthly!BP$4=TRUE,Monthly!BP$13,Monthly!BP$14)*(1+'Attrition Modeling'!$N$8)-IFERROR(BO18/BO85,0)*12)/12*BO85,0))</f>
        <v>0</v>
      </c>
      <c r="BQ150" s="799">
        <f>MIN(IF(ISERROR(VLOOKUP(BQ$134-$F150,$E$135:$E$165,1,FALSE)),0,BP18*$C$2),MAX((IF(Monthly!BQ$4=TRUE,Monthly!BQ$13,Monthly!BQ$14)*(1+'Attrition Modeling'!$N$8)-IFERROR(BP18/BP85,0)*12)/12*BP85,0))</f>
        <v>0</v>
      </c>
      <c r="BR150" s="799">
        <f>MIN(IF(ISERROR(VLOOKUP(BR$134-$F150,$E$135:$E$165,1,FALSE)),0,BQ18*$C$2),MAX((IF(Monthly!BR$4=TRUE,Monthly!BR$13,Monthly!BR$14)*(1+'Attrition Modeling'!$N$8)-IFERROR(BQ18/BQ85,0)*12)/12*BQ85,0))</f>
        <v>0</v>
      </c>
      <c r="BS150" s="799">
        <f>MIN(IF(ISERROR(VLOOKUP(BS$134-$F150,$E$135:$E$165,1,FALSE)),0,BR18*$C$2),MAX((IF(Monthly!BS$4=TRUE,Monthly!BS$13,Monthly!BS$14)*(1+'Attrition Modeling'!$N$8)-IFERROR(BR18/BR85,0)*12)/12*BR85,0))</f>
        <v>0</v>
      </c>
      <c r="BT150" s="799">
        <f>MIN(IF(ISERROR(VLOOKUP(BT$134-$F150,$E$135:$E$165,1,FALSE)),0,BS18*$C$2),MAX((IF(Monthly!BT$4=TRUE,Monthly!BT$13,Monthly!BT$14)*(1+'Attrition Modeling'!$N$8)-IFERROR(BS18/BS85,0)*12)/12*BS85,0))</f>
        <v>0</v>
      </c>
      <c r="BU150" s="799">
        <f>MIN(IF(ISERROR(VLOOKUP(BU$134-$F150,$E$135:$E$165,1,FALSE)),0,BT18*$C$2),MAX((IF(Monthly!BU$4=TRUE,Monthly!BU$13,Monthly!BU$14)*(1+'Attrition Modeling'!$N$8)-IFERROR(BT18/BT85,0)*12)/12*BT85,0))</f>
        <v>0</v>
      </c>
    </row>
    <row r="151" spans="1:73" ht="14.25" customHeight="1" x14ac:dyDescent="0.2">
      <c r="A151" s="9">
        <v>144</v>
      </c>
      <c r="B151" s="25">
        <f>MAX('Attrition Modeling'!H148,$C$3)*(1-Summary!$C$20)</f>
        <v>0.02</v>
      </c>
      <c r="C151" s="24" t="e">
        <f t="shared" si="4"/>
        <v>#DIV/0!</v>
      </c>
      <c r="E151" s="11">
        <f t="shared" si="13"/>
        <v>198</v>
      </c>
      <c r="F151" s="11">
        <f t="shared" si="14"/>
        <v>16</v>
      </c>
      <c r="G151" s="799"/>
      <c r="H151" s="799">
        <f>MIN(IF(ISERROR(VLOOKUP(H$134-$F151,$E$135:$E$165,1,FALSE)),0,G19*$C$2),MAX((IF(Monthly!D$4=TRUE,Monthly!D$13,Monthly!D$14)*(1+'Attrition Modeling'!$N$8)-IFERROR(G19/G86,0)*12)/12*G86,0))</f>
        <v>0</v>
      </c>
      <c r="I151" s="799">
        <f>MIN(IF(ISERROR(VLOOKUP(I$134-$F151,$E$135:$E$165,1,FALSE)),0,H19*$C$2),MAX((IF(Monthly!E$4=TRUE,Monthly!E$13,Monthly!E$14)*(1+'Attrition Modeling'!$N$8)-IFERROR(H19/H86,0)*12)/12*H86,0))</f>
        <v>0</v>
      </c>
      <c r="J151" s="799">
        <f>MIN(IF(ISERROR(VLOOKUP(J$134-$F151,$E$135:$E$165,1,FALSE)),0,I19*$C$2),MAX((IF(Monthly!F$4=TRUE,Monthly!F$13,Monthly!F$14)*(1+'Attrition Modeling'!$N$8)-IFERROR(I19/I86,0)*12)/12*I86,0))</f>
        <v>0</v>
      </c>
      <c r="K151" s="799">
        <f>MIN(IF(ISERROR(VLOOKUP(K$134-$F151,$E$135:$E$165,1,FALSE)),0,J19*$C$2),MAX((IF(Monthly!G$4=TRUE,Monthly!G$13,Monthly!G$14)*(1+'Attrition Modeling'!$N$8)-IFERROR(J19/J86,0)*12)/12*J86,0))</f>
        <v>0</v>
      </c>
      <c r="L151" s="799">
        <f>MIN(IF(ISERROR(VLOOKUP(L$134-$F151,$E$135:$E$165,1,FALSE)),0,K19*$C$2),MAX((IF(Monthly!H$4=TRUE,Monthly!H$13,Monthly!H$14)*(1+'Attrition Modeling'!$N$8)-IFERROR(K19/K86,0)*12)/12*K86,0))</f>
        <v>0</v>
      </c>
      <c r="M151" s="799">
        <f>MIN(IF(ISERROR(VLOOKUP(M$134-$F151,$E$135:$E$165,1,FALSE)),0,L19*$C$2),MAX((IF(Monthly!I$4=TRUE,Monthly!I$13,Monthly!I$14)*(1+'Attrition Modeling'!$N$8)-IFERROR(L19/L86,0)*12)/12*L86,0))</f>
        <v>0</v>
      </c>
      <c r="N151" s="799">
        <f>MIN(IF(ISERROR(VLOOKUP(N$134-$F151,$E$135:$E$165,1,FALSE)),0,M19*$C$2),MAX((IF(Monthly!J$4=TRUE,Monthly!J$13,Monthly!J$14)*(1+'Attrition Modeling'!$N$8)-IFERROR(M19/M86,0)*12)/12*M86,0))</f>
        <v>0</v>
      </c>
      <c r="O151" s="799">
        <f>MIN(IF(ISERROR(VLOOKUP(O$134-$F151,$E$135:$E$165,1,FALSE)),0,N19*$C$2),MAX((IF(Monthly!K$4=TRUE,Monthly!K$13,Monthly!K$14)*(1+'Attrition Modeling'!$N$8)-IFERROR(N19/N86,0)*12)/12*N86,0))</f>
        <v>0</v>
      </c>
      <c r="P151" s="799">
        <f>MIN(IF(ISERROR(VLOOKUP(P$134-$F151,$E$135:$E$165,1,FALSE)),0,O19*$C$2),MAX((IF(Monthly!L$4=TRUE,Monthly!L$13,Monthly!L$14)*(1+'Attrition Modeling'!$N$8)-IFERROR(O19/O86,0)*12)/12*O86,0))</f>
        <v>0</v>
      </c>
      <c r="Q151" s="799">
        <f>MIN(IF(ISERROR(VLOOKUP(Q$134-$F151,$E$135:$E$165,1,FALSE)),0,P19*$C$2),MAX((IF(Monthly!M$4=TRUE,Monthly!M$13,Monthly!M$14)*(1+'Attrition Modeling'!$N$8)-IFERROR(P19/P86,0)*12)/12*P86,0))</f>
        <v>0</v>
      </c>
      <c r="R151" s="799">
        <f>MIN(IF(ISERROR(VLOOKUP(R$134-$F151,$E$135:$E$165,1,FALSE)),0,Q19*$C$2),MAX((IF(Monthly!N$4=TRUE,Monthly!N$13,Monthly!N$14)*(1+'Attrition Modeling'!$N$8)-IFERROR(Q19/Q86,0)*12)/12*Q86,0))</f>
        <v>0</v>
      </c>
      <c r="S151" s="799">
        <f>MIN(IF(ISERROR(VLOOKUP(S$134-$F151,$E$135:$E$165,1,FALSE)),0,R19*$C$2),MAX((IF(Monthly!O$4=TRUE,Monthly!O$13,Monthly!O$14)*(1+'Attrition Modeling'!$N$8)-IFERROR(R19/R86,0)*12)/12*R86,0))</f>
        <v>0</v>
      </c>
      <c r="T151" s="799">
        <f>MIN(IF(ISERROR(VLOOKUP(T$134-$F151,$E$135:$E$165,1,FALSE)),0,S19*$C$2),MAX((IF(Monthly!P$4=TRUE,Monthly!P$13,Monthly!P$14)*(1+'Attrition Modeling'!$N$8)-IFERROR(S19/S86,0)*12)/12*S86,0))</f>
        <v>0</v>
      </c>
      <c r="U151" s="799">
        <f>MIN(IF(ISERROR(VLOOKUP(U$134-$F151,$E$135:$E$165,1,FALSE)),0,T19*$C$2),MAX((IF(Monthly!Q$4=TRUE,Monthly!Q$13,Monthly!Q$14)*(1+'Attrition Modeling'!$N$8)-IFERROR(T19/T86,0)*12)/12*T86,0))</f>
        <v>0</v>
      </c>
      <c r="V151" s="799">
        <f>MIN(IF(ISERROR(VLOOKUP(V$134-$F151,$E$135:$E$165,1,FALSE)),0,U19*$C$2),MAX((IF(Monthly!R$4=TRUE,Monthly!R$13,Monthly!R$14)*(1+'Attrition Modeling'!$N$8)-IFERROR(U19/U86,0)*12)/12*U86,0))</f>
        <v>0</v>
      </c>
      <c r="W151" s="799">
        <f>MIN(IF(ISERROR(VLOOKUP(W$134-$F151,$E$135:$E$165,1,FALSE)),0,V19*$C$2),MAX((IF(Monthly!S$4=TRUE,Monthly!S$13,Monthly!S$14)*(1+'Attrition Modeling'!$N$8)-IFERROR(V19/V86,0)*12)/12*V86,0))</f>
        <v>0</v>
      </c>
      <c r="X151" s="799">
        <f>MIN(IF(ISERROR(VLOOKUP(X$134-$F151,$E$135:$E$165,1,FALSE)),0,W19*$C$2),MAX((IF(Monthly!T$4=TRUE,Monthly!T$13,Monthly!T$14)*(1+'Attrition Modeling'!$N$8)-IFERROR(W19/W86,0)*12)/12*W86,0))</f>
        <v>0</v>
      </c>
      <c r="Y151" s="799">
        <f>MIN(IF(ISERROR(VLOOKUP(Y$134-$F151,$E$135:$E$165,1,FALSE)),0,X19*$C$2),MAX((IF(Monthly!U$4=TRUE,Monthly!U$13,Monthly!U$14)*(1+'Attrition Modeling'!$N$8)-IFERROR(X19/X86,0)*12)/12*X86,0))</f>
        <v>0</v>
      </c>
      <c r="Z151" s="799">
        <f>MIN(IF(ISERROR(VLOOKUP(Z$134-$F151,$E$135:$E$165,1,FALSE)),0,Y19*$C$2),MAX((IF(Monthly!V$4=TRUE,Monthly!V$13,Monthly!V$14)*(1+'Attrition Modeling'!$N$8)-IFERROR(Y19/Y86,0)*12)/12*Y86,0))</f>
        <v>0</v>
      </c>
      <c r="AA151" s="799">
        <f>MIN(IF(ISERROR(VLOOKUP(AA$134-$F151,$E$135:$E$165,1,FALSE)),0,Z19*$C$2),MAX((IF(Monthly!W$4=TRUE,Monthly!W$13,Monthly!W$14)*(1+'Attrition Modeling'!$N$8)-IFERROR(Z19/Z86,0)*12)/12*Z86,0))</f>
        <v>0</v>
      </c>
      <c r="AB151" s="799">
        <f>MIN(IF(ISERROR(VLOOKUP(AB$134-$F151,$E$135:$E$165,1,FALSE)),0,AA19*$C$2),MAX((IF(Monthly!X$4=TRUE,Monthly!X$13,Monthly!X$14)*(1+'Attrition Modeling'!$N$8)-IFERROR(AA19/AA86,0)*12)/12*AA86,0))</f>
        <v>0</v>
      </c>
      <c r="AC151" s="799">
        <f>MIN(IF(ISERROR(VLOOKUP(AC$134-$F151,$E$135:$E$165,1,FALSE)),0,AB19*$C$2),MAX((IF(Monthly!Y$4=TRUE,Monthly!Y$13,Monthly!Y$14)*(1+'Attrition Modeling'!$N$8)-IFERROR(AB19/AB86,0)*12)/12*AB86,0))</f>
        <v>964.80139412955884</v>
      </c>
      <c r="AD151" s="799">
        <f>MIN(IF(ISERROR(VLOOKUP(AD$134-$F151,$E$135:$E$165,1,FALSE)),0,AC19*$C$2),MAX((IF(Monthly!Z$4=TRUE,Monthly!Z$13,Monthly!Z$14)*(1+'Attrition Modeling'!$N$8)-IFERROR(AC19/AC86,0)*12)/12*AC86,0))</f>
        <v>0</v>
      </c>
      <c r="AE151" s="799">
        <f>MIN(IF(ISERROR(VLOOKUP(AE$134-$F151,$E$135:$E$165,1,FALSE)),0,AD19*$C$2),MAX((IF(Monthly!AA$4=TRUE,Monthly!AA$13,Monthly!AA$14)*(1+'Attrition Modeling'!$N$8)-IFERROR(AD19/AD86,0)*12)/12*AD86,0))</f>
        <v>0</v>
      </c>
      <c r="AF151" s="799">
        <f>MIN(IF(ISERROR(VLOOKUP(AF$134-$F151,$E$135:$E$165,1,FALSE)),0,AE19*$C$2),MAX((IF(Monthly!AB$4=TRUE,Monthly!AB$13,Monthly!AB$14)*(1+'Attrition Modeling'!$N$8)-IFERROR(AE19/AE86,0)*12)/12*AE86,0))</f>
        <v>0</v>
      </c>
      <c r="AG151" s="799">
        <f>MIN(IF(ISERROR(VLOOKUP(AG$134-$F151,$E$135:$E$165,1,FALSE)),0,AF19*$C$2),MAX((IF(Monthly!AC$4=TRUE,Monthly!AC$13,Monthly!AC$14)*(1+'Attrition Modeling'!$N$8)-IFERROR(AF19/AF86,0)*12)/12*AF86,0))</f>
        <v>0</v>
      </c>
      <c r="AH151" s="799">
        <f>MIN(IF(ISERROR(VLOOKUP(AH$134-$F151,$E$135:$E$165,1,FALSE)),0,AG19*$C$2),MAX((IF(Monthly!AD$4=TRUE,Monthly!AD$13,Monthly!AD$14)*(1+'Attrition Modeling'!$N$8)-IFERROR(AG19/AG86,0)*12)/12*AG86,0))</f>
        <v>0</v>
      </c>
      <c r="AI151" s="799">
        <f>MIN(IF(ISERROR(VLOOKUP(AI$134-$F151,$E$135:$E$165,1,FALSE)),0,AH19*$C$2),MAX((IF(Monthly!AE$4=TRUE,Monthly!AE$13,Monthly!AE$14)*(1+'Attrition Modeling'!$N$8)-IFERROR(AH19/AH86,0)*12)/12*AH86,0))</f>
        <v>0</v>
      </c>
      <c r="AJ151" s="799">
        <f>MIN(IF(ISERROR(VLOOKUP(AJ$134-$F151,$E$135:$E$165,1,FALSE)),0,AI19*$C$2),MAX((IF(Monthly!AF$4=TRUE,Monthly!AF$13,Monthly!AF$14)*(1+'Attrition Modeling'!$N$8)-IFERROR(AI19/AI86,0)*12)/12*AI86,0))</f>
        <v>0</v>
      </c>
      <c r="AK151" s="799">
        <f>MIN(IF(ISERROR(VLOOKUP(AK$134-$F151,$E$135:$E$165,1,FALSE)),0,AJ19*$C$2),MAX((IF(Monthly!AG$4=TRUE,Monthly!AG$13,Monthly!AG$14)*(1+'Attrition Modeling'!$N$8)-IFERROR(AJ19/AJ86,0)*12)/12*AJ86,0))</f>
        <v>0</v>
      </c>
      <c r="AL151" s="799">
        <f>MIN(IF(ISERROR(VLOOKUP(AL$134-$F151,$E$135:$E$165,1,FALSE)),0,AK19*$C$2),MAX((IF(Monthly!AH$4=TRUE,Monthly!AH$13,Monthly!AH$14)*(1+'Attrition Modeling'!$N$8)-IFERROR(AK19/AK86,0)*12)/12*AK86,0))</f>
        <v>0</v>
      </c>
      <c r="AM151" s="799">
        <f>MIN(IF(ISERROR(VLOOKUP(AM$134-$F151,$E$135:$E$165,1,FALSE)),0,AL19*$C$2),MAX((IF(Monthly!AI$4=TRUE,Monthly!AI$13,Monthly!AI$14)*(1+'Attrition Modeling'!$N$8)-IFERROR(AL19/AL86,0)*12)/12*AL86,0))</f>
        <v>0</v>
      </c>
      <c r="AN151" s="799">
        <f>MIN(IF(ISERROR(VLOOKUP(AN$134-$F151,$E$135:$E$165,1,FALSE)),0,AM19*$C$2),MAX((IF(Monthly!AJ$4=TRUE,Monthly!AJ$13,Monthly!AJ$14)*(1+'Attrition Modeling'!$N$8)-IFERROR(AM19/AM86,0)*12)/12*AM86,0))</f>
        <v>0</v>
      </c>
      <c r="AO151" s="799">
        <f>MIN(IF(ISERROR(VLOOKUP(AO$134-$F151,$E$135:$E$165,1,FALSE)),0,AN19*$C$2),MAX((IF(Monthly!AK$4=TRUE,Monthly!AK$13,Monthly!AK$14)*(1+'Attrition Modeling'!$N$8)-IFERROR(AN19/AN86,0)*12)/12*AN86,0))</f>
        <v>520.05321389175765</v>
      </c>
      <c r="AP151" s="799">
        <f>MIN(IF(ISERROR(VLOOKUP(AP$134-$F151,$E$135:$E$165,1,FALSE)),0,AO19*$C$2),MAX((IF(Monthly!AL$4=TRUE,Monthly!AL$13,Monthly!AL$14)*(1+'Attrition Modeling'!$N$8)-IFERROR(AO19/AO86,0)*12)/12*AO86,0))</f>
        <v>0</v>
      </c>
      <c r="AQ151" s="799">
        <f>MIN(IF(ISERROR(VLOOKUP(AQ$134-$F151,$E$135:$E$165,1,FALSE)),0,AP19*$C$2),MAX((IF(Monthly!AM$4=TRUE,Monthly!AM$13,Monthly!AM$14)*(1+'Attrition Modeling'!$N$8)-IFERROR(AP19/AP86,0)*12)/12*AP86,0))</f>
        <v>0</v>
      </c>
      <c r="AR151" s="799">
        <f>MIN(IF(ISERROR(VLOOKUP(AR$134-$F151,$E$135:$E$165,1,FALSE)),0,AQ19*$C$2),MAX((IF(Monthly!AN$4=TRUE,Monthly!AN$13,Monthly!AN$14)*(1+'Attrition Modeling'!$N$8)-IFERROR(AQ19/AQ86,0)*12)/12*AQ86,0))</f>
        <v>0</v>
      </c>
      <c r="AS151" s="799">
        <f>MIN(IF(ISERROR(VLOOKUP(AS$134-$F151,$E$135:$E$165,1,FALSE)),0,AR19*$C$2),MAX((IF(Monthly!AO$4=TRUE,Monthly!AO$13,Monthly!AO$14)*(1+'Attrition Modeling'!$N$8)-IFERROR(AR19/AR86,0)*12)/12*AR86,0))</f>
        <v>0</v>
      </c>
      <c r="AT151" s="799">
        <f>MIN(IF(ISERROR(VLOOKUP(AT$134-$F151,$E$135:$E$165,1,FALSE)),0,AS19*$C$2),MAX((IF(Monthly!AP$4=TRUE,Monthly!AP$13,Monthly!AP$14)*(1+'Attrition Modeling'!$N$8)-IFERROR(AS19/AS86,0)*12)/12*AS86,0))</f>
        <v>0</v>
      </c>
      <c r="AU151" s="799">
        <f>MIN(IF(ISERROR(VLOOKUP(AU$134-$F151,$E$135:$E$165,1,FALSE)),0,AT19*$C$2),MAX((IF(Monthly!AQ$4=TRUE,Monthly!AQ$13,Monthly!AQ$14)*(1+'Attrition Modeling'!$N$8)-IFERROR(AT19/AT86,0)*12)/12*AT86,0))</f>
        <v>0</v>
      </c>
      <c r="AV151" s="799">
        <f>MIN(IF(ISERROR(VLOOKUP(AV$134-$F151,$E$135:$E$165,1,FALSE)),0,AU19*$C$2),MAX((IF(Monthly!AR$4=TRUE,Monthly!AR$13,Monthly!AR$14)*(1+'Attrition Modeling'!$N$8)-IFERROR(AU19/AU86,0)*12)/12*AU86,0))</f>
        <v>0</v>
      </c>
      <c r="AW151" s="799">
        <f>MIN(IF(ISERROR(VLOOKUP(AW$134-$F151,$E$135:$E$165,1,FALSE)),0,AV19*$C$2),MAX((IF(Monthly!AS$4=TRUE,Monthly!AS$13,Monthly!AS$14)*(1+'Attrition Modeling'!$N$8)-IFERROR(AV19/AV86,0)*12)/12*AV86,0))</f>
        <v>0</v>
      </c>
      <c r="AX151" s="799">
        <f>MIN(IF(ISERROR(VLOOKUP(AX$134-$F151,$E$135:$E$165,1,FALSE)),0,AW19*$C$2),MAX((IF(Monthly!AT$4=TRUE,Monthly!AT$13,Monthly!AT$14)*(1+'Attrition Modeling'!$N$8)-IFERROR(AW19/AW86,0)*12)/12*AW86,0))</f>
        <v>0</v>
      </c>
      <c r="AY151" s="799">
        <f>MIN(IF(ISERROR(VLOOKUP(AY$134-$F151,$E$135:$E$165,1,FALSE)),0,AX19*$C$2),MAX((IF(Monthly!AU$4=TRUE,Monthly!AU$13,Monthly!AU$14)*(1+'Attrition Modeling'!$N$8)-IFERROR(AX19/AX86,0)*12)/12*AX86,0))</f>
        <v>0</v>
      </c>
      <c r="AZ151" s="799">
        <f>MIN(IF(ISERROR(VLOOKUP(AZ$134-$F151,$E$135:$E$165,1,FALSE)),0,AY19*$C$2),MAX((IF(Monthly!AV$4=TRUE,Monthly!AV$13,Monthly!AV$14)*(1+'Attrition Modeling'!$N$8)-IFERROR(AY19/AY86,0)*12)/12*AY86,0))</f>
        <v>0</v>
      </c>
      <c r="BA151" s="799">
        <f>MIN(IF(ISERROR(VLOOKUP(BA$134-$F151,$E$135:$E$165,1,FALSE)),0,AZ19*$C$2),MAX((IF(Monthly!AW$4=TRUE,Monthly!AW$13,Monthly!AW$14)*(1+'Attrition Modeling'!$N$8)-IFERROR(AZ19/AZ86,0)*12)/12*AZ86,0))</f>
        <v>287.569436074745</v>
      </c>
      <c r="BB151" s="799">
        <f>MIN(IF(ISERROR(VLOOKUP(BB$134-$F151,$E$135:$E$165,1,FALSE)),0,BA19*$C$2),MAX((IF(Monthly!AX$4=TRUE,Monthly!AX$13,Monthly!AX$14)*(1+'Attrition Modeling'!$N$8)-IFERROR(BA19/BA86,0)*12)/12*BA86,0))</f>
        <v>0</v>
      </c>
      <c r="BC151" s="799">
        <f>MIN(IF(ISERROR(VLOOKUP(BC$134-$F151,$E$135:$E$165,1,FALSE)),0,BB19*$C$2),MAX((IF(Monthly!AY$4=TRUE,Monthly!AY$13,Monthly!AY$14)*(1+'Attrition Modeling'!$N$8)-IFERROR(BB19/BB86,0)*12)/12*BB86,0))</f>
        <v>0</v>
      </c>
      <c r="BD151" s="799">
        <f>MIN(IF(ISERROR(VLOOKUP(BD$134-$F151,$E$135:$E$165,1,FALSE)),0,BC19*$C$2),MAX((IF(Monthly!AZ$4=TRUE,Monthly!AZ$13,Monthly!AZ$14)*(1+'Attrition Modeling'!$N$8)-IFERROR(BC19/BC86,0)*12)/12*BC86,0))</f>
        <v>0</v>
      </c>
      <c r="BE151" s="799">
        <f>MIN(IF(ISERROR(VLOOKUP(BE$134-$F151,$E$135:$E$165,1,FALSE)),0,BD19*$C$2),MAX((IF(Monthly!BA$4=TRUE,Monthly!BA$13,Monthly!BA$14)*(1+'Attrition Modeling'!$N$8)-IFERROR(BD19/BD86,0)*12)/12*BD86,0))</f>
        <v>0</v>
      </c>
      <c r="BF151" s="799">
        <f>MIN(IF(ISERROR(VLOOKUP(BF$134-$F151,$E$135:$E$165,1,FALSE)),0,BE19*$C$2),MAX((IF(Monthly!BB$4=TRUE,Monthly!BB$13,Monthly!BB$14)*(1+'Attrition Modeling'!$N$8)-IFERROR(BE19/BE86,0)*12)/12*BE86,0))</f>
        <v>0</v>
      </c>
      <c r="BG151" s="799">
        <f>MIN(IF(ISERROR(VLOOKUP(BG$134-$F151,$E$135:$E$165,1,FALSE)),0,BF19*$C$2),MAX((IF(Monthly!BC$4=TRUE,Monthly!BC$13,Monthly!BC$14)*(1+'Attrition Modeling'!$N$8)-IFERROR(BF19/BF86,0)*12)/12*BF86,0))</f>
        <v>0</v>
      </c>
      <c r="BH151" s="799">
        <f>MIN(IF(ISERROR(VLOOKUP(BH$134-$F151,$E$135:$E$165,1,FALSE)),0,BG19*$C$2),MAX((IF(Monthly!BD$4=TRUE,Monthly!BD$13,Monthly!BD$14)*(1+'Attrition Modeling'!$N$8)-IFERROR(BG19/BG86,0)*12)/12*BG86,0))</f>
        <v>0</v>
      </c>
      <c r="BI151" s="799">
        <f>MIN(IF(ISERROR(VLOOKUP(BI$134-$F151,$E$135:$E$165,1,FALSE)),0,BH19*$C$2),MAX((IF(Monthly!BE$4=TRUE,Monthly!BE$13,Monthly!BE$14)*(1+'Attrition Modeling'!$N$8)-IFERROR(BH19/BH86,0)*12)/12*BH86,0))</f>
        <v>0</v>
      </c>
      <c r="BJ151" s="799">
        <f>MIN(IF(ISERROR(VLOOKUP(BJ$134-$F151,$E$135:$E$165,1,FALSE)),0,BI19*$C$2),MAX((IF(Monthly!BF$4=TRUE,Monthly!BF$13,Monthly!BF$14)*(1+'Attrition Modeling'!$N$8)-IFERROR(BI19/BI86,0)*12)/12*BI86,0))</f>
        <v>0</v>
      </c>
      <c r="BK151" s="799">
        <f>MIN(IF(ISERROR(VLOOKUP(BK$134-$F151,$E$135:$E$165,1,FALSE)),0,BJ19*$C$2),MAX((IF(Monthly!BG$4=TRUE,Monthly!BG$13,Monthly!BG$14)*(1+'Attrition Modeling'!$N$8)-IFERROR(BJ19/BJ86,0)*12)/12*BJ86,0))</f>
        <v>0</v>
      </c>
      <c r="BL151" s="799">
        <f>MIN(IF(ISERROR(VLOOKUP(BL$134-$F151,$E$135:$E$165,1,FALSE)),0,BK19*$C$2),MAX((IF(Monthly!BH$4=TRUE,Monthly!BH$13,Monthly!BH$14)*(1+'Attrition Modeling'!$N$8)-IFERROR(BK19/BK86,0)*12)/12*BK86,0))</f>
        <v>0</v>
      </c>
      <c r="BM151" s="799">
        <f>MIN(IF(ISERROR(VLOOKUP(BM$134-$F151,$E$135:$E$165,1,FALSE)),0,BL19*$C$2),MAX((IF(Monthly!BI$4=TRUE,Monthly!BI$13,Monthly!BI$14)*(1+'Attrition Modeling'!$N$8)-IFERROR(BL19/BL86,0)*12)/12*BL86,0))</f>
        <v>97.287014237476086</v>
      </c>
      <c r="BN151" s="799">
        <f>MIN(IF(ISERROR(VLOOKUP(BN$134-$F151,$E$135:$E$165,1,FALSE)),0,BM19*$C$2),MAX((IF(Monthly!BJ$4=TRUE,Monthly!BJ$13,Monthly!BJ$14)*(1+'Attrition Modeling'!$N$8)-IFERROR(BM19/BM86,0)*12)/12*BM86,0))</f>
        <v>0</v>
      </c>
      <c r="BO151" s="799">
        <f>MIN(IF(ISERROR(VLOOKUP(BO$134-$F151,$E$135:$E$165,1,FALSE)),0,BN19*$C$2),MAX((IF(Monthly!BK$4=TRUE,Monthly!BK$13,Monthly!BK$14)*(1+'Attrition Modeling'!$N$8)-IFERROR(BN19/BN86,0)*12)/12*BN86,0))</f>
        <v>0</v>
      </c>
      <c r="BP151" s="799">
        <f>MIN(IF(ISERROR(VLOOKUP(BP$134-$F151,$E$135:$E$165,1,FALSE)),0,BO19*$C$2),MAX((IF(Monthly!BP$4=TRUE,Monthly!BP$13,Monthly!BP$14)*(1+'Attrition Modeling'!$N$8)-IFERROR(BO19/BO86,0)*12)/12*BO86,0))</f>
        <v>0</v>
      </c>
      <c r="BQ151" s="799">
        <f>MIN(IF(ISERROR(VLOOKUP(BQ$134-$F151,$E$135:$E$165,1,FALSE)),0,BP19*$C$2),MAX((IF(Monthly!BQ$4=TRUE,Monthly!BQ$13,Monthly!BQ$14)*(1+'Attrition Modeling'!$N$8)-IFERROR(BP19/BP86,0)*12)/12*BP86,0))</f>
        <v>0</v>
      </c>
      <c r="BR151" s="799">
        <f>MIN(IF(ISERROR(VLOOKUP(BR$134-$F151,$E$135:$E$165,1,FALSE)),0,BQ19*$C$2),MAX((IF(Monthly!BR$4=TRUE,Monthly!BR$13,Monthly!BR$14)*(1+'Attrition Modeling'!$N$8)-IFERROR(BQ19/BQ86,0)*12)/12*BQ86,0))</f>
        <v>0</v>
      </c>
      <c r="BS151" s="799">
        <f>MIN(IF(ISERROR(VLOOKUP(BS$134-$F151,$E$135:$E$165,1,FALSE)),0,BR19*$C$2),MAX((IF(Monthly!BS$4=TRUE,Monthly!BS$13,Monthly!BS$14)*(1+'Attrition Modeling'!$N$8)-IFERROR(BR19/BR86,0)*12)/12*BR86,0))</f>
        <v>0</v>
      </c>
      <c r="BT151" s="799">
        <f>MIN(IF(ISERROR(VLOOKUP(BT$134-$F151,$E$135:$E$165,1,FALSE)),0,BS19*$C$2),MAX((IF(Monthly!BT$4=TRUE,Monthly!BT$13,Monthly!BT$14)*(1+'Attrition Modeling'!$N$8)-IFERROR(BS19/BS86,0)*12)/12*BS86,0))</f>
        <v>0</v>
      </c>
      <c r="BU151" s="799">
        <f>MIN(IF(ISERROR(VLOOKUP(BU$134-$F151,$E$135:$E$165,1,FALSE)),0,BT19*$C$2),MAX((IF(Monthly!BU$4=TRUE,Monthly!BU$13,Monthly!BU$14)*(1+'Attrition Modeling'!$N$8)-IFERROR(BT19/BT86,0)*12)/12*BT86,0))</f>
        <v>0</v>
      </c>
    </row>
    <row r="152" spans="1:73" ht="14.25" customHeight="1" x14ac:dyDescent="0.2">
      <c r="A152" s="9">
        <v>145</v>
      </c>
      <c r="B152" s="25">
        <f>MAX('Attrition Modeling'!H149,$C$3)*(1-Summary!$C$20)</f>
        <v>0.02</v>
      </c>
      <c r="C152" s="24" t="e">
        <f t="shared" si="4"/>
        <v>#DIV/0!</v>
      </c>
      <c r="E152" s="11">
        <f t="shared" si="13"/>
        <v>210</v>
      </c>
      <c r="F152" s="11">
        <f t="shared" si="14"/>
        <v>17</v>
      </c>
      <c r="G152" s="799"/>
      <c r="H152" s="799">
        <f>MIN(IF(ISERROR(VLOOKUP(H$134-$F152,$E$135:$E$165,1,FALSE)),0,G20*$C$2),MAX((IF(Monthly!D$4=TRUE,Monthly!D$13,Monthly!D$14)*(1+'Attrition Modeling'!$N$8)-IFERROR(G20/G87,0)*12)/12*G87,0))</f>
        <v>0</v>
      </c>
      <c r="I152" s="799">
        <f>MIN(IF(ISERROR(VLOOKUP(I$134-$F152,$E$135:$E$165,1,FALSE)),0,H20*$C$2),MAX((IF(Monthly!E$4=TRUE,Monthly!E$13,Monthly!E$14)*(1+'Attrition Modeling'!$N$8)-IFERROR(H20/H87,0)*12)/12*H87,0))</f>
        <v>0</v>
      </c>
      <c r="J152" s="799">
        <f>MIN(IF(ISERROR(VLOOKUP(J$134-$F152,$E$135:$E$165,1,FALSE)),0,I20*$C$2),MAX((IF(Monthly!F$4=TRUE,Monthly!F$13,Monthly!F$14)*(1+'Attrition Modeling'!$N$8)-IFERROR(I20/I87,0)*12)/12*I87,0))</f>
        <v>0</v>
      </c>
      <c r="K152" s="799">
        <f>MIN(IF(ISERROR(VLOOKUP(K$134-$F152,$E$135:$E$165,1,FALSE)),0,J20*$C$2),MAX((IF(Monthly!G$4=TRUE,Monthly!G$13,Monthly!G$14)*(1+'Attrition Modeling'!$N$8)-IFERROR(J20/J87,0)*12)/12*J87,0))</f>
        <v>0</v>
      </c>
      <c r="L152" s="799">
        <f>MIN(IF(ISERROR(VLOOKUP(L$134-$F152,$E$135:$E$165,1,FALSE)),0,K20*$C$2),MAX((IF(Monthly!H$4=TRUE,Monthly!H$13,Monthly!H$14)*(1+'Attrition Modeling'!$N$8)-IFERROR(K20/K87,0)*12)/12*K87,0))</f>
        <v>0</v>
      </c>
      <c r="M152" s="799">
        <f>MIN(IF(ISERROR(VLOOKUP(M$134-$F152,$E$135:$E$165,1,FALSE)),0,L20*$C$2),MAX((IF(Monthly!I$4=TRUE,Monthly!I$13,Monthly!I$14)*(1+'Attrition Modeling'!$N$8)-IFERROR(L20/L87,0)*12)/12*L87,0))</f>
        <v>0</v>
      </c>
      <c r="N152" s="799">
        <f>MIN(IF(ISERROR(VLOOKUP(N$134-$F152,$E$135:$E$165,1,FALSE)),0,M20*$C$2),MAX((IF(Monthly!J$4=TRUE,Monthly!J$13,Monthly!J$14)*(1+'Attrition Modeling'!$N$8)-IFERROR(M20/M87,0)*12)/12*M87,0))</f>
        <v>0</v>
      </c>
      <c r="O152" s="799">
        <f>MIN(IF(ISERROR(VLOOKUP(O$134-$F152,$E$135:$E$165,1,FALSE)),0,N20*$C$2),MAX((IF(Monthly!K$4=TRUE,Monthly!K$13,Monthly!K$14)*(1+'Attrition Modeling'!$N$8)-IFERROR(N20/N87,0)*12)/12*N87,0))</f>
        <v>0</v>
      </c>
      <c r="P152" s="799">
        <f>MIN(IF(ISERROR(VLOOKUP(P$134-$F152,$E$135:$E$165,1,FALSE)),0,O20*$C$2),MAX((IF(Monthly!L$4=TRUE,Monthly!L$13,Monthly!L$14)*(1+'Attrition Modeling'!$N$8)-IFERROR(O20/O87,0)*12)/12*O87,0))</f>
        <v>0</v>
      </c>
      <c r="Q152" s="799">
        <f>MIN(IF(ISERROR(VLOOKUP(Q$134-$F152,$E$135:$E$165,1,FALSE)),0,P20*$C$2),MAX((IF(Monthly!M$4=TRUE,Monthly!M$13,Monthly!M$14)*(1+'Attrition Modeling'!$N$8)-IFERROR(P20/P87,0)*12)/12*P87,0))</f>
        <v>0</v>
      </c>
      <c r="R152" s="799">
        <f>MIN(IF(ISERROR(VLOOKUP(R$134-$F152,$E$135:$E$165,1,FALSE)),0,Q20*$C$2),MAX((IF(Monthly!N$4=TRUE,Monthly!N$13,Monthly!N$14)*(1+'Attrition Modeling'!$N$8)-IFERROR(Q20/Q87,0)*12)/12*Q87,0))</f>
        <v>0</v>
      </c>
      <c r="S152" s="799">
        <f>MIN(IF(ISERROR(VLOOKUP(S$134-$F152,$E$135:$E$165,1,FALSE)),0,R20*$C$2),MAX((IF(Monthly!O$4=TRUE,Monthly!O$13,Monthly!O$14)*(1+'Attrition Modeling'!$N$8)-IFERROR(R20/R87,0)*12)/12*R87,0))</f>
        <v>0</v>
      </c>
      <c r="T152" s="799">
        <f>MIN(IF(ISERROR(VLOOKUP(T$134-$F152,$E$135:$E$165,1,FALSE)),0,S20*$C$2),MAX((IF(Monthly!P$4=TRUE,Monthly!P$13,Monthly!P$14)*(1+'Attrition Modeling'!$N$8)-IFERROR(S20/S87,0)*12)/12*S87,0))</f>
        <v>0</v>
      </c>
      <c r="U152" s="799">
        <f>MIN(IF(ISERROR(VLOOKUP(U$134-$F152,$E$135:$E$165,1,FALSE)),0,T20*$C$2),MAX((IF(Monthly!Q$4=TRUE,Monthly!Q$13,Monthly!Q$14)*(1+'Attrition Modeling'!$N$8)-IFERROR(T20/T87,0)*12)/12*T87,0))</f>
        <v>0</v>
      </c>
      <c r="V152" s="799">
        <f>MIN(IF(ISERROR(VLOOKUP(V$134-$F152,$E$135:$E$165,1,FALSE)),0,U20*$C$2),MAX((IF(Monthly!R$4=TRUE,Monthly!R$13,Monthly!R$14)*(1+'Attrition Modeling'!$N$8)-IFERROR(U20/U87,0)*12)/12*U87,0))</f>
        <v>0</v>
      </c>
      <c r="W152" s="799">
        <f>MIN(IF(ISERROR(VLOOKUP(W$134-$F152,$E$135:$E$165,1,FALSE)),0,V20*$C$2),MAX((IF(Monthly!S$4=TRUE,Monthly!S$13,Monthly!S$14)*(1+'Attrition Modeling'!$N$8)-IFERROR(V20/V87,0)*12)/12*V87,0))</f>
        <v>0</v>
      </c>
      <c r="X152" s="799">
        <f>MIN(IF(ISERROR(VLOOKUP(X$134-$F152,$E$135:$E$165,1,FALSE)),0,W20*$C$2),MAX((IF(Monthly!T$4=TRUE,Monthly!T$13,Monthly!T$14)*(1+'Attrition Modeling'!$N$8)-IFERROR(W20/W87,0)*12)/12*W87,0))</f>
        <v>0</v>
      </c>
      <c r="Y152" s="799">
        <f>MIN(IF(ISERROR(VLOOKUP(Y$134-$F152,$E$135:$E$165,1,FALSE)),0,X20*$C$2),MAX((IF(Monthly!U$4=TRUE,Monthly!U$13,Monthly!U$14)*(1+'Attrition Modeling'!$N$8)-IFERROR(X20/X87,0)*12)/12*X87,0))</f>
        <v>0</v>
      </c>
      <c r="Z152" s="799">
        <f>MIN(IF(ISERROR(VLOOKUP(Z$134-$F152,$E$135:$E$165,1,FALSE)),0,Y20*$C$2),MAX((IF(Monthly!V$4=TRUE,Monthly!V$13,Monthly!V$14)*(1+'Attrition Modeling'!$N$8)-IFERROR(Y20/Y87,0)*12)/12*Y87,0))</f>
        <v>0</v>
      </c>
      <c r="AA152" s="799">
        <f>MIN(IF(ISERROR(VLOOKUP(AA$134-$F152,$E$135:$E$165,1,FALSE)),0,Z20*$C$2),MAX((IF(Monthly!W$4=TRUE,Monthly!W$13,Monthly!W$14)*(1+'Attrition Modeling'!$N$8)-IFERROR(Z20/Z87,0)*12)/12*Z87,0))</f>
        <v>0</v>
      </c>
      <c r="AB152" s="799">
        <f>MIN(IF(ISERROR(VLOOKUP(AB$134-$F152,$E$135:$E$165,1,FALSE)),0,AA20*$C$2),MAX((IF(Monthly!X$4=TRUE,Monthly!X$13,Monthly!X$14)*(1+'Attrition Modeling'!$N$8)-IFERROR(AA20/AA87,0)*12)/12*AA87,0))</f>
        <v>0</v>
      </c>
      <c r="AC152" s="799">
        <f>MIN(IF(ISERROR(VLOOKUP(AC$134-$F152,$E$135:$E$165,1,FALSE)),0,AB20*$C$2),MAX((IF(Monthly!Y$4=TRUE,Monthly!Y$13,Monthly!Y$14)*(1+'Attrition Modeling'!$N$8)-IFERROR(AB20/AB87,0)*12)/12*AB87,0))</f>
        <v>0</v>
      </c>
      <c r="AD152" s="799">
        <f>MIN(IF(ISERROR(VLOOKUP(AD$134-$F152,$E$135:$E$165,1,FALSE)),0,AC20*$C$2),MAX((IF(Monthly!Z$4=TRUE,Monthly!Z$13,Monthly!Z$14)*(1+'Attrition Modeling'!$N$8)-IFERROR(AC20/AC87,0)*12)/12*AC87,0))</f>
        <v>875.65699066014145</v>
      </c>
      <c r="AE152" s="799">
        <f>MIN(IF(ISERROR(VLOOKUP(AE$134-$F152,$E$135:$E$165,1,FALSE)),0,AD20*$C$2),MAX((IF(Monthly!AA$4=TRUE,Monthly!AA$13,Monthly!AA$14)*(1+'Attrition Modeling'!$N$8)-IFERROR(AD20/AD87,0)*12)/12*AD87,0))</f>
        <v>0</v>
      </c>
      <c r="AF152" s="799">
        <f>MIN(IF(ISERROR(VLOOKUP(AF$134-$F152,$E$135:$E$165,1,FALSE)),0,AE20*$C$2),MAX((IF(Monthly!AB$4=TRUE,Monthly!AB$13,Monthly!AB$14)*(1+'Attrition Modeling'!$N$8)-IFERROR(AE20/AE87,0)*12)/12*AE87,0))</f>
        <v>0</v>
      </c>
      <c r="AG152" s="799">
        <f>MIN(IF(ISERROR(VLOOKUP(AG$134-$F152,$E$135:$E$165,1,FALSE)),0,AF20*$C$2),MAX((IF(Monthly!AC$4=TRUE,Monthly!AC$13,Monthly!AC$14)*(1+'Attrition Modeling'!$N$8)-IFERROR(AF20/AF87,0)*12)/12*AF87,0))</f>
        <v>0</v>
      </c>
      <c r="AH152" s="799">
        <f>MIN(IF(ISERROR(VLOOKUP(AH$134-$F152,$E$135:$E$165,1,FALSE)),0,AG20*$C$2),MAX((IF(Monthly!AD$4=TRUE,Monthly!AD$13,Monthly!AD$14)*(1+'Attrition Modeling'!$N$8)-IFERROR(AG20/AG87,0)*12)/12*AG87,0))</f>
        <v>0</v>
      </c>
      <c r="AI152" s="799">
        <f>MIN(IF(ISERROR(VLOOKUP(AI$134-$F152,$E$135:$E$165,1,FALSE)),0,AH20*$C$2),MAX((IF(Monthly!AE$4=TRUE,Monthly!AE$13,Monthly!AE$14)*(1+'Attrition Modeling'!$N$8)-IFERROR(AH20/AH87,0)*12)/12*AH87,0))</f>
        <v>0</v>
      </c>
      <c r="AJ152" s="799">
        <f>MIN(IF(ISERROR(VLOOKUP(AJ$134-$F152,$E$135:$E$165,1,FALSE)),0,AI20*$C$2),MAX((IF(Monthly!AF$4=TRUE,Monthly!AF$13,Monthly!AF$14)*(1+'Attrition Modeling'!$N$8)-IFERROR(AI20/AI87,0)*12)/12*AI87,0))</f>
        <v>0</v>
      </c>
      <c r="AK152" s="799">
        <f>MIN(IF(ISERROR(VLOOKUP(AK$134-$F152,$E$135:$E$165,1,FALSE)),0,AJ20*$C$2),MAX((IF(Monthly!AG$4=TRUE,Monthly!AG$13,Monthly!AG$14)*(1+'Attrition Modeling'!$N$8)-IFERROR(AJ20/AJ87,0)*12)/12*AJ87,0))</f>
        <v>0</v>
      </c>
      <c r="AL152" s="799">
        <f>MIN(IF(ISERROR(VLOOKUP(AL$134-$F152,$E$135:$E$165,1,FALSE)),0,AK20*$C$2),MAX((IF(Monthly!AH$4=TRUE,Monthly!AH$13,Monthly!AH$14)*(1+'Attrition Modeling'!$N$8)-IFERROR(AK20/AK87,0)*12)/12*AK87,0))</f>
        <v>0</v>
      </c>
      <c r="AM152" s="799">
        <f>MIN(IF(ISERROR(VLOOKUP(AM$134-$F152,$E$135:$E$165,1,FALSE)),0,AL20*$C$2),MAX((IF(Monthly!AI$4=TRUE,Monthly!AI$13,Monthly!AI$14)*(1+'Attrition Modeling'!$N$8)-IFERROR(AL20/AL87,0)*12)/12*AL87,0))</f>
        <v>0</v>
      </c>
      <c r="AN152" s="799">
        <f>MIN(IF(ISERROR(VLOOKUP(AN$134-$F152,$E$135:$E$165,1,FALSE)),0,AM20*$C$2),MAX((IF(Monthly!AJ$4=TRUE,Monthly!AJ$13,Monthly!AJ$14)*(1+'Attrition Modeling'!$N$8)-IFERROR(AM20/AM87,0)*12)/12*AM87,0))</f>
        <v>0</v>
      </c>
      <c r="AO152" s="799">
        <f>MIN(IF(ISERROR(VLOOKUP(AO$134-$F152,$E$135:$E$165,1,FALSE)),0,AN20*$C$2),MAX((IF(Monthly!AK$4=TRUE,Monthly!AK$13,Monthly!AK$14)*(1+'Attrition Modeling'!$N$8)-IFERROR(AN20/AN87,0)*12)/12*AN87,0))</f>
        <v>0</v>
      </c>
      <c r="AP152" s="799">
        <f>MIN(IF(ISERROR(VLOOKUP(AP$134-$F152,$E$135:$E$165,1,FALSE)),0,AO20*$C$2),MAX((IF(Monthly!AL$4=TRUE,Monthly!AL$13,Monthly!AL$14)*(1+'Attrition Modeling'!$N$8)-IFERROR(AO20/AO87,0)*12)/12*AO87,0))</f>
        <v>465.78706042413734</v>
      </c>
      <c r="AQ152" s="799">
        <f>MIN(IF(ISERROR(VLOOKUP(AQ$134-$F152,$E$135:$E$165,1,FALSE)),0,AP20*$C$2),MAX((IF(Monthly!AM$4=TRUE,Monthly!AM$13,Monthly!AM$14)*(1+'Attrition Modeling'!$N$8)-IFERROR(AP20/AP87,0)*12)/12*AP87,0))</f>
        <v>0</v>
      </c>
      <c r="AR152" s="799">
        <f>MIN(IF(ISERROR(VLOOKUP(AR$134-$F152,$E$135:$E$165,1,FALSE)),0,AQ20*$C$2),MAX((IF(Monthly!AN$4=TRUE,Monthly!AN$13,Monthly!AN$14)*(1+'Attrition Modeling'!$N$8)-IFERROR(AQ20/AQ87,0)*12)/12*AQ87,0))</f>
        <v>0</v>
      </c>
      <c r="AS152" s="799">
        <f>MIN(IF(ISERROR(VLOOKUP(AS$134-$F152,$E$135:$E$165,1,FALSE)),0,AR20*$C$2),MAX((IF(Monthly!AO$4=TRUE,Monthly!AO$13,Monthly!AO$14)*(1+'Attrition Modeling'!$N$8)-IFERROR(AR20/AR87,0)*12)/12*AR87,0))</f>
        <v>0</v>
      </c>
      <c r="AT152" s="799">
        <f>MIN(IF(ISERROR(VLOOKUP(AT$134-$F152,$E$135:$E$165,1,FALSE)),0,AS20*$C$2),MAX((IF(Monthly!AP$4=TRUE,Monthly!AP$13,Monthly!AP$14)*(1+'Attrition Modeling'!$N$8)-IFERROR(AS20/AS87,0)*12)/12*AS87,0))</f>
        <v>0</v>
      </c>
      <c r="AU152" s="799">
        <f>MIN(IF(ISERROR(VLOOKUP(AU$134-$F152,$E$135:$E$165,1,FALSE)),0,AT20*$C$2),MAX((IF(Monthly!AQ$4=TRUE,Monthly!AQ$13,Monthly!AQ$14)*(1+'Attrition Modeling'!$N$8)-IFERROR(AT20/AT87,0)*12)/12*AT87,0))</f>
        <v>0</v>
      </c>
      <c r="AV152" s="799">
        <f>MIN(IF(ISERROR(VLOOKUP(AV$134-$F152,$E$135:$E$165,1,FALSE)),0,AU20*$C$2),MAX((IF(Monthly!AR$4=TRUE,Monthly!AR$13,Monthly!AR$14)*(1+'Attrition Modeling'!$N$8)-IFERROR(AU20/AU87,0)*12)/12*AU87,0))</f>
        <v>0</v>
      </c>
      <c r="AW152" s="799">
        <f>MIN(IF(ISERROR(VLOOKUP(AW$134-$F152,$E$135:$E$165,1,FALSE)),0,AV20*$C$2),MAX((IF(Monthly!AS$4=TRUE,Monthly!AS$13,Monthly!AS$14)*(1+'Attrition Modeling'!$N$8)-IFERROR(AV20/AV87,0)*12)/12*AV87,0))</f>
        <v>0</v>
      </c>
      <c r="AX152" s="799">
        <f>MIN(IF(ISERROR(VLOOKUP(AX$134-$F152,$E$135:$E$165,1,FALSE)),0,AW20*$C$2),MAX((IF(Monthly!AT$4=TRUE,Monthly!AT$13,Monthly!AT$14)*(1+'Attrition Modeling'!$N$8)-IFERROR(AW20/AW87,0)*12)/12*AW87,0))</f>
        <v>0</v>
      </c>
      <c r="AY152" s="799">
        <f>MIN(IF(ISERROR(VLOOKUP(AY$134-$F152,$E$135:$E$165,1,FALSE)),0,AX20*$C$2),MAX((IF(Monthly!AU$4=TRUE,Monthly!AU$13,Monthly!AU$14)*(1+'Attrition Modeling'!$N$8)-IFERROR(AX20/AX87,0)*12)/12*AX87,0))</f>
        <v>0</v>
      </c>
      <c r="AZ152" s="799">
        <f>MIN(IF(ISERROR(VLOOKUP(AZ$134-$F152,$E$135:$E$165,1,FALSE)),0,AY20*$C$2),MAX((IF(Monthly!AV$4=TRUE,Monthly!AV$13,Monthly!AV$14)*(1+'Attrition Modeling'!$N$8)-IFERROR(AY20/AY87,0)*12)/12*AY87,0))</f>
        <v>0</v>
      </c>
      <c r="BA152" s="799">
        <f>MIN(IF(ISERROR(VLOOKUP(BA$134-$F152,$E$135:$E$165,1,FALSE)),0,AZ20*$C$2),MAX((IF(Monthly!AW$4=TRUE,Monthly!AW$13,Monthly!AW$14)*(1+'Attrition Modeling'!$N$8)-IFERROR(AZ20/AZ87,0)*12)/12*AZ87,0))</f>
        <v>0</v>
      </c>
      <c r="BB152" s="799">
        <f>MIN(IF(ISERROR(VLOOKUP(BB$134-$F152,$E$135:$E$165,1,FALSE)),0,BA20*$C$2),MAX((IF(Monthly!AX$4=TRUE,Monthly!AX$13,Monthly!AX$14)*(1+'Attrition Modeling'!$N$8)-IFERROR(BA20/BA87,0)*12)/12*BA87,0))</f>
        <v>132.89585692366597</v>
      </c>
      <c r="BC152" s="799">
        <f>MIN(IF(ISERROR(VLOOKUP(BC$134-$F152,$E$135:$E$165,1,FALSE)),0,BB20*$C$2),MAX((IF(Monthly!AY$4=TRUE,Monthly!AY$13,Monthly!AY$14)*(1+'Attrition Modeling'!$N$8)-IFERROR(BB20/BB87,0)*12)/12*BB87,0))</f>
        <v>0</v>
      </c>
      <c r="BD152" s="799">
        <f>MIN(IF(ISERROR(VLOOKUP(BD$134-$F152,$E$135:$E$165,1,FALSE)),0,BC20*$C$2),MAX((IF(Monthly!AZ$4=TRUE,Monthly!AZ$13,Monthly!AZ$14)*(1+'Attrition Modeling'!$N$8)-IFERROR(BC20/BC87,0)*12)/12*BC87,0))</f>
        <v>0</v>
      </c>
      <c r="BE152" s="799">
        <f>MIN(IF(ISERROR(VLOOKUP(BE$134-$F152,$E$135:$E$165,1,FALSE)),0,BD20*$C$2),MAX((IF(Monthly!BA$4=TRUE,Monthly!BA$13,Monthly!BA$14)*(1+'Attrition Modeling'!$N$8)-IFERROR(BD20/BD87,0)*12)/12*BD87,0))</f>
        <v>0</v>
      </c>
      <c r="BF152" s="799">
        <f>MIN(IF(ISERROR(VLOOKUP(BF$134-$F152,$E$135:$E$165,1,FALSE)),0,BE20*$C$2),MAX((IF(Monthly!BB$4=TRUE,Monthly!BB$13,Monthly!BB$14)*(1+'Attrition Modeling'!$N$8)-IFERROR(BE20/BE87,0)*12)/12*BE87,0))</f>
        <v>0</v>
      </c>
      <c r="BG152" s="799">
        <f>MIN(IF(ISERROR(VLOOKUP(BG$134-$F152,$E$135:$E$165,1,FALSE)),0,BF20*$C$2),MAX((IF(Monthly!BC$4=TRUE,Monthly!BC$13,Monthly!BC$14)*(1+'Attrition Modeling'!$N$8)-IFERROR(BF20/BF87,0)*12)/12*BF87,0))</f>
        <v>0</v>
      </c>
      <c r="BH152" s="799">
        <f>MIN(IF(ISERROR(VLOOKUP(BH$134-$F152,$E$135:$E$165,1,FALSE)),0,BG20*$C$2),MAX((IF(Monthly!BD$4=TRUE,Monthly!BD$13,Monthly!BD$14)*(1+'Attrition Modeling'!$N$8)-IFERROR(BG20/BG87,0)*12)/12*BG87,0))</f>
        <v>0</v>
      </c>
      <c r="BI152" s="799">
        <f>MIN(IF(ISERROR(VLOOKUP(BI$134-$F152,$E$135:$E$165,1,FALSE)),0,BH20*$C$2),MAX((IF(Monthly!BE$4=TRUE,Monthly!BE$13,Monthly!BE$14)*(1+'Attrition Modeling'!$N$8)-IFERROR(BH20/BH87,0)*12)/12*BH87,0))</f>
        <v>0</v>
      </c>
      <c r="BJ152" s="799">
        <f>MIN(IF(ISERROR(VLOOKUP(BJ$134-$F152,$E$135:$E$165,1,FALSE)),0,BI20*$C$2),MAX((IF(Monthly!BF$4=TRUE,Monthly!BF$13,Monthly!BF$14)*(1+'Attrition Modeling'!$N$8)-IFERROR(BI20/BI87,0)*12)/12*BI87,0))</f>
        <v>0</v>
      </c>
      <c r="BK152" s="799">
        <f>MIN(IF(ISERROR(VLOOKUP(BK$134-$F152,$E$135:$E$165,1,FALSE)),0,BJ20*$C$2),MAX((IF(Monthly!BG$4=TRUE,Monthly!BG$13,Monthly!BG$14)*(1+'Attrition Modeling'!$N$8)-IFERROR(BJ20/BJ87,0)*12)/12*BJ87,0))</f>
        <v>0</v>
      </c>
      <c r="BL152" s="799">
        <f>MIN(IF(ISERROR(VLOOKUP(BL$134-$F152,$E$135:$E$165,1,FALSE)),0,BK20*$C$2),MAX((IF(Monthly!BH$4=TRUE,Monthly!BH$13,Monthly!BH$14)*(1+'Attrition Modeling'!$N$8)-IFERROR(BK20/BK87,0)*12)/12*BK87,0))</f>
        <v>0</v>
      </c>
      <c r="BM152" s="799">
        <f>MIN(IF(ISERROR(VLOOKUP(BM$134-$F152,$E$135:$E$165,1,FALSE)),0,BL20*$C$2),MAX((IF(Monthly!BI$4=TRUE,Monthly!BI$13,Monthly!BI$14)*(1+'Attrition Modeling'!$N$8)-IFERROR(BL20/BL87,0)*12)/12*BL87,0))</f>
        <v>0</v>
      </c>
      <c r="BN152" s="799">
        <f>MIN(IF(ISERROR(VLOOKUP(BN$134-$F152,$E$135:$E$165,1,FALSE)),0,BM20*$C$2),MAX((IF(Monthly!BJ$4=TRUE,Monthly!BJ$13,Monthly!BJ$14)*(1+'Attrition Modeling'!$N$8)-IFERROR(BM20/BM87,0)*12)/12*BM87,0))</f>
        <v>83.832044916690819</v>
      </c>
      <c r="BO152" s="799">
        <f>MIN(IF(ISERROR(VLOOKUP(BO$134-$F152,$E$135:$E$165,1,FALSE)),0,BN20*$C$2),MAX((IF(Monthly!BK$4=TRUE,Monthly!BK$13,Monthly!BK$14)*(1+'Attrition Modeling'!$N$8)-IFERROR(BN20/BN87,0)*12)/12*BN87,0))</f>
        <v>0</v>
      </c>
      <c r="BP152" s="799">
        <f>MIN(IF(ISERROR(VLOOKUP(BP$134-$F152,$E$135:$E$165,1,FALSE)),0,BO20*$C$2),MAX((IF(Monthly!BP$4=TRUE,Monthly!BP$13,Monthly!BP$14)*(1+'Attrition Modeling'!$N$8)-IFERROR(BO20/BO87,0)*12)/12*BO87,0))</f>
        <v>0</v>
      </c>
      <c r="BQ152" s="799">
        <f>MIN(IF(ISERROR(VLOOKUP(BQ$134-$F152,$E$135:$E$165,1,FALSE)),0,BP20*$C$2),MAX((IF(Monthly!BQ$4=TRUE,Monthly!BQ$13,Monthly!BQ$14)*(1+'Attrition Modeling'!$N$8)-IFERROR(BP20/BP87,0)*12)/12*BP87,0))</f>
        <v>0</v>
      </c>
      <c r="BR152" s="799">
        <f>MIN(IF(ISERROR(VLOOKUP(BR$134-$F152,$E$135:$E$165,1,FALSE)),0,BQ20*$C$2),MAX((IF(Monthly!BR$4=TRUE,Monthly!BR$13,Monthly!BR$14)*(1+'Attrition Modeling'!$N$8)-IFERROR(BQ20/BQ87,0)*12)/12*BQ87,0))</f>
        <v>0</v>
      </c>
      <c r="BS152" s="799">
        <f>MIN(IF(ISERROR(VLOOKUP(BS$134-$F152,$E$135:$E$165,1,FALSE)),0,BR20*$C$2),MAX((IF(Monthly!BS$4=TRUE,Monthly!BS$13,Monthly!BS$14)*(1+'Attrition Modeling'!$N$8)-IFERROR(BR20/BR87,0)*12)/12*BR87,0))</f>
        <v>0</v>
      </c>
      <c r="BT152" s="799">
        <f>MIN(IF(ISERROR(VLOOKUP(BT$134-$F152,$E$135:$E$165,1,FALSE)),0,BS20*$C$2),MAX((IF(Monthly!BT$4=TRUE,Monthly!BT$13,Monthly!BT$14)*(1+'Attrition Modeling'!$N$8)-IFERROR(BS20/BS87,0)*12)/12*BS87,0))</f>
        <v>0</v>
      </c>
      <c r="BU152" s="799">
        <f>MIN(IF(ISERROR(VLOOKUP(BU$134-$F152,$E$135:$E$165,1,FALSE)),0,BT20*$C$2),MAX((IF(Monthly!BU$4=TRUE,Monthly!BU$13,Monthly!BU$14)*(1+'Attrition Modeling'!$N$8)-IFERROR(BT20/BT87,0)*12)/12*BT87,0))</f>
        <v>0</v>
      </c>
    </row>
    <row r="153" spans="1:73" ht="14.25" customHeight="1" x14ac:dyDescent="0.2">
      <c r="A153" s="9">
        <v>146</v>
      </c>
      <c r="B153" s="25">
        <f>MAX('Attrition Modeling'!H150,$C$3)*(1-Summary!$C$20)</f>
        <v>0.02</v>
      </c>
      <c r="C153" s="24" t="e">
        <f t="shared" si="4"/>
        <v>#DIV/0!</v>
      </c>
      <c r="E153" s="11">
        <f t="shared" si="13"/>
        <v>222</v>
      </c>
      <c r="F153" s="11">
        <f t="shared" si="14"/>
        <v>18</v>
      </c>
      <c r="G153" s="799"/>
      <c r="H153" s="799">
        <f>MIN(IF(ISERROR(VLOOKUP(H$134-$F153,$E$135:$E$165,1,FALSE)),0,G21*$C$2),MAX((IF(Monthly!D$4=TRUE,Monthly!D$13,Monthly!D$14)*(1+'Attrition Modeling'!$N$8)-IFERROR(G21/G88,0)*12)/12*G88,0))</f>
        <v>0</v>
      </c>
      <c r="I153" s="799">
        <f>MIN(IF(ISERROR(VLOOKUP(I$134-$F153,$E$135:$E$165,1,FALSE)),0,H21*$C$2),MAX((IF(Monthly!E$4=TRUE,Monthly!E$13,Monthly!E$14)*(1+'Attrition Modeling'!$N$8)-IFERROR(H21/H88,0)*12)/12*H88,0))</f>
        <v>0</v>
      </c>
      <c r="J153" s="799">
        <f>MIN(IF(ISERROR(VLOOKUP(J$134-$F153,$E$135:$E$165,1,FALSE)),0,I21*$C$2),MAX((IF(Monthly!F$4=TRUE,Monthly!F$13,Monthly!F$14)*(1+'Attrition Modeling'!$N$8)-IFERROR(I21/I88,0)*12)/12*I88,0))</f>
        <v>0</v>
      </c>
      <c r="K153" s="799">
        <f>MIN(IF(ISERROR(VLOOKUP(K$134-$F153,$E$135:$E$165,1,FALSE)),0,J21*$C$2),MAX((IF(Monthly!G$4=TRUE,Monthly!G$13,Monthly!G$14)*(1+'Attrition Modeling'!$N$8)-IFERROR(J21/J88,0)*12)/12*J88,0))</f>
        <v>0</v>
      </c>
      <c r="L153" s="799">
        <f>MIN(IF(ISERROR(VLOOKUP(L$134-$F153,$E$135:$E$165,1,FALSE)),0,K21*$C$2),MAX((IF(Monthly!H$4=TRUE,Monthly!H$13,Monthly!H$14)*(1+'Attrition Modeling'!$N$8)-IFERROR(K21/K88,0)*12)/12*K88,0))</f>
        <v>0</v>
      </c>
      <c r="M153" s="799">
        <f>MIN(IF(ISERROR(VLOOKUP(M$134-$F153,$E$135:$E$165,1,FALSE)),0,L21*$C$2),MAX((IF(Monthly!I$4=TRUE,Monthly!I$13,Monthly!I$14)*(1+'Attrition Modeling'!$N$8)-IFERROR(L21/L88,0)*12)/12*L88,0))</f>
        <v>0</v>
      </c>
      <c r="N153" s="799">
        <f>MIN(IF(ISERROR(VLOOKUP(N$134-$F153,$E$135:$E$165,1,FALSE)),0,M21*$C$2),MAX((IF(Monthly!J$4=TRUE,Monthly!J$13,Monthly!J$14)*(1+'Attrition Modeling'!$N$8)-IFERROR(M21/M88,0)*12)/12*M88,0))</f>
        <v>0</v>
      </c>
      <c r="O153" s="799">
        <f>MIN(IF(ISERROR(VLOOKUP(O$134-$F153,$E$135:$E$165,1,FALSE)),0,N21*$C$2),MAX((IF(Monthly!K$4=TRUE,Monthly!K$13,Monthly!K$14)*(1+'Attrition Modeling'!$N$8)-IFERROR(N21/N88,0)*12)/12*N88,0))</f>
        <v>0</v>
      </c>
      <c r="P153" s="799">
        <f>MIN(IF(ISERROR(VLOOKUP(P$134-$F153,$E$135:$E$165,1,FALSE)),0,O21*$C$2),MAX((IF(Monthly!L$4=TRUE,Monthly!L$13,Monthly!L$14)*(1+'Attrition Modeling'!$N$8)-IFERROR(O21/O88,0)*12)/12*O88,0))</f>
        <v>0</v>
      </c>
      <c r="Q153" s="799">
        <f>MIN(IF(ISERROR(VLOOKUP(Q$134-$F153,$E$135:$E$165,1,FALSE)),0,P21*$C$2),MAX((IF(Monthly!M$4=TRUE,Monthly!M$13,Monthly!M$14)*(1+'Attrition Modeling'!$N$8)-IFERROR(P21/P88,0)*12)/12*P88,0))</f>
        <v>0</v>
      </c>
      <c r="R153" s="799">
        <f>MIN(IF(ISERROR(VLOOKUP(R$134-$F153,$E$135:$E$165,1,FALSE)),0,Q21*$C$2),MAX((IF(Monthly!N$4=TRUE,Monthly!N$13,Monthly!N$14)*(1+'Attrition Modeling'!$N$8)-IFERROR(Q21/Q88,0)*12)/12*Q88,0))</f>
        <v>0</v>
      </c>
      <c r="S153" s="799">
        <f>MIN(IF(ISERROR(VLOOKUP(S$134-$F153,$E$135:$E$165,1,FALSE)),0,R21*$C$2),MAX((IF(Monthly!O$4=TRUE,Monthly!O$13,Monthly!O$14)*(1+'Attrition Modeling'!$N$8)-IFERROR(R21/R88,0)*12)/12*R88,0))</f>
        <v>0</v>
      </c>
      <c r="T153" s="799">
        <f>MIN(IF(ISERROR(VLOOKUP(T$134-$F153,$E$135:$E$165,1,FALSE)),0,S21*$C$2),MAX((IF(Monthly!P$4=TRUE,Monthly!P$13,Monthly!P$14)*(1+'Attrition Modeling'!$N$8)-IFERROR(S21/S88,0)*12)/12*S88,0))</f>
        <v>0</v>
      </c>
      <c r="U153" s="799">
        <f>MIN(IF(ISERROR(VLOOKUP(U$134-$F153,$E$135:$E$165,1,FALSE)),0,T21*$C$2),MAX((IF(Monthly!Q$4=TRUE,Monthly!Q$13,Monthly!Q$14)*(1+'Attrition Modeling'!$N$8)-IFERROR(T21/T88,0)*12)/12*T88,0))</f>
        <v>0</v>
      </c>
      <c r="V153" s="799">
        <f>MIN(IF(ISERROR(VLOOKUP(V$134-$F153,$E$135:$E$165,1,FALSE)),0,U21*$C$2),MAX((IF(Monthly!R$4=TRUE,Monthly!R$13,Monthly!R$14)*(1+'Attrition Modeling'!$N$8)-IFERROR(U21/U88,0)*12)/12*U88,0))</f>
        <v>0</v>
      </c>
      <c r="W153" s="799">
        <f>MIN(IF(ISERROR(VLOOKUP(W$134-$F153,$E$135:$E$165,1,FALSE)),0,V21*$C$2),MAX((IF(Monthly!S$4=TRUE,Monthly!S$13,Monthly!S$14)*(1+'Attrition Modeling'!$N$8)-IFERROR(V21/V88,0)*12)/12*V88,0))</f>
        <v>0</v>
      </c>
      <c r="X153" s="799">
        <f>MIN(IF(ISERROR(VLOOKUP(X$134-$F153,$E$135:$E$165,1,FALSE)),0,W21*$C$2),MAX((IF(Monthly!T$4=TRUE,Monthly!T$13,Monthly!T$14)*(1+'Attrition Modeling'!$N$8)-IFERROR(W21/W88,0)*12)/12*W88,0))</f>
        <v>0</v>
      </c>
      <c r="Y153" s="799">
        <f>MIN(IF(ISERROR(VLOOKUP(Y$134-$F153,$E$135:$E$165,1,FALSE)),0,X21*$C$2),MAX((IF(Monthly!U$4=TRUE,Monthly!U$13,Monthly!U$14)*(1+'Attrition Modeling'!$N$8)-IFERROR(X21/X88,0)*12)/12*X88,0))</f>
        <v>0</v>
      </c>
      <c r="Z153" s="799">
        <f>MIN(IF(ISERROR(VLOOKUP(Z$134-$F153,$E$135:$E$165,1,FALSE)),0,Y21*$C$2),MAX((IF(Monthly!V$4=TRUE,Monthly!V$13,Monthly!V$14)*(1+'Attrition Modeling'!$N$8)-IFERROR(Y21/Y88,0)*12)/12*Y88,0))</f>
        <v>0</v>
      </c>
      <c r="AA153" s="799">
        <f>MIN(IF(ISERROR(VLOOKUP(AA$134-$F153,$E$135:$E$165,1,FALSE)),0,Z21*$C$2),MAX((IF(Monthly!W$4=TRUE,Monthly!W$13,Monthly!W$14)*(1+'Attrition Modeling'!$N$8)-IFERROR(Z21/Z88,0)*12)/12*Z88,0))</f>
        <v>0</v>
      </c>
      <c r="AB153" s="799">
        <f>MIN(IF(ISERROR(VLOOKUP(AB$134-$F153,$E$135:$E$165,1,FALSE)),0,AA21*$C$2),MAX((IF(Monthly!X$4=TRUE,Monthly!X$13,Monthly!X$14)*(1+'Attrition Modeling'!$N$8)-IFERROR(AA21/AA88,0)*12)/12*AA88,0))</f>
        <v>0</v>
      </c>
      <c r="AC153" s="799">
        <f>MIN(IF(ISERROR(VLOOKUP(AC$134-$F153,$E$135:$E$165,1,FALSE)),0,AB21*$C$2),MAX((IF(Monthly!Y$4=TRUE,Monthly!Y$13,Monthly!Y$14)*(1+'Attrition Modeling'!$N$8)-IFERROR(AB21/AB88,0)*12)/12*AB88,0))</f>
        <v>0</v>
      </c>
      <c r="AD153" s="799">
        <f>MIN(IF(ISERROR(VLOOKUP(AD$134-$F153,$E$135:$E$165,1,FALSE)),0,AC21*$C$2),MAX((IF(Monthly!Z$4=TRUE,Monthly!Z$13,Monthly!Z$14)*(1+'Attrition Modeling'!$N$8)-IFERROR(AC21/AC88,0)*12)/12*AC88,0))</f>
        <v>0</v>
      </c>
      <c r="AE153" s="799">
        <f>MIN(IF(ISERROR(VLOOKUP(AE$134-$F153,$E$135:$E$165,1,FALSE)),0,AD21*$C$2),MAX((IF(Monthly!AA$4=TRUE,Monthly!AA$13,Monthly!AA$14)*(1+'Attrition Modeling'!$N$8)-IFERROR(AD21/AD88,0)*12)/12*AD88,0))</f>
        <v>903.95459743313654</v>
      </c>
      <c r="AF153" s="799">
        <f>MIN(IF(ISERROR(VLOOKUP(AF$134-$F153,$E$135:$E$165,1,FALSE)),0,AE21*$C$2),MAX((IF(Monthly!AB$4=TRUE,Monthly!AB$13,Monthly!AB$14)*(1+'Attrition Modeling'!$N$8)-IFERROR(AE21/AE88,0)*12)/12*AE88,0))</f>
        <v>0</v>
      </c>
      <c r="AG153" s="799">
        <f>MIN(IF(ISERROR(VLOOKUP(AG$134-$F153,$E$135:$E$165,1,FALSE)),0,AF21*$C$2),MAX((IF(Monthly!AC$4=TRUE,Monthly!AC$13,Monthly!AC$14)*(1+'Attrition Modeling'!$N$8)-IFERROR(AF21/AF88,0)*12)/12*AF88,0))</f>
        <v>0</v>
      </c>
      <c r="AH153" s="799">
        <f>MIN(IF(ISERROR(VLOOKUP(AH$134-$F153,$E$135:$E$165,1,FALSE)),0,AG21*$C$2),MAX((IF(Monthly!AD$4=TRUE,Monthly!AD$13,Monthly!AD$14)*(1+'Attrition Modeling'!$N$8)-IFERROR(AG21/AG88,0)*12)/12*AG88,0))</f>
        <v>0</v>
      </c>
      <c r="AI153" s="799">
        <f>MIN(IF(ISERROR(VLOOKUP(AI$134-$F153,$E$135:$E$165,1,FALSE)),0,AH21*$C$2),MAX((IF(Monthly!AE$4=TRUE,Monthly!AE$13,Monthly!AE$14)*(1+'Attrition Modeling'!$N$8)-IFERROR(AH21/AH88,0)*12)/12*AH88,0))</f>
        <v>0</v>
      </c>
      <c r="AJ153" s="799">
        <f>MIN(IF(ISERROR(VLOOKUP(AJ$134-$F153,$E$135:$E$165,1,FALSE)),0,AI21*$C$2),MAX((IF(Monthly!AF$4=TRUE,Monthly!AF$13,Monthly!AF$14)*(1+'Attrition Modeling'!$N$8)-IFERROR(AI21/AI88,0)*12)/12*AI88,0))</f>
        <v>0</v>
      </c>
      <c r="AK153" s="799">
        <f>MIN(IF(ISERROR(VLOOKUP(AK$134-$F153,$E$135:$E$165,1,FALSE)),0,AJ21*$C$2),MAX((IF(Monthly!AG$4=TRUE,Monthly!AG$13,Monthly!AG$14)*(1+'Attrition Modeling'!$N$8)-IFERROR(AJ21/AJ88,0)*12)/12*AJ88,0))</f>
        <v>0</v>
      </c>
      <c r="AL153" s="799">
        <f>MIN(IF(ISERROR(VLOOKUP(AL$134-$F153,$E$135:$E$165,1,FALSE)),0,AK21*$C$2),MAX((IF(Monthly!AH$4=TRUE,Monthly!AH$13,Monthly!AH$14)*(1+'Attrition Modeling'!$N$8)-IFERROR(AK21/AK88,0)*12)/12*AK88,0))</f>
        <v>0</v>
      </c>
      <c r="AM153" s="799">
        <f>MIN(IF(ISERROR(VLOOKUP(AM$134-$F153,$E$135:$E$165,1,FALSE)),0,AL21*$C$2),MAX((IF(Monthly!AI$4=TRUE,Monthly!AI$13,Monthly!AI$14)*(1+'Attrition Modeling'!$N$8)-IFERROR(AL21/AL88,0)*12)/12*AL88,0))</f>
        <v>0</v>
      </c>
      <c r="AN153" s="799">
        <f>MIN(IF(ISERROR(VLOOKUP(AN$134-$F153,$E$135:$E$165,1,FALSE)),0,AM21*$C$2),MAX((IF(Monthly!AJ$4=TRUE,Monthly!AJ$13,Monthly!AJ$14)*(1+'Attrition Modeling'!$N$8)-IFERROR(AM21/AM88,0)*12)/12*AM88,0))</f>
        <v>0</v>
      </c>
      <c r="AO153" s="799">
        <f>MIN(IF(ISERROR(VLOOKUP(AO$134-$F153,$E$135:$E$165,1,FALSE)),0,AN21*$C$2),MAX((IF(Monthly!AK$4=TRUE,Monthly!AK$13,Monthly!AK$14)*(1+'Attrition Modeling'!$N$8)-IFERROR(AN21/AN88,0)*12)/12*AN88,0))</f>
        <v>0</v>
      </c>
      <c r="AP153" s="799">
        <f>MIN(IF(ISERROR(VLOOKUP(AP$134-$F153,$E$135:$E$165,1,FALSE)),0,AO21*$C$2),MAX((IF(Monthly!AL$4=TRUE,Monthly!AL$13,Monthly!AL$14)*(1+'Attrition Modeling'!$N$8)-IFERROR(AO21/AO88,0)*12)/12*AO88,0))</f>
        <v>0</v>
      </c>
      <c r="AQ153" s="799">
        <f>MIN(IF(ISERROR(VLOOKUP(AQ$134-$F153,$E$135:$E$165,1,FALSE)),0,AP21*$C$2),MAX((IF(Monthly!AM$4=TRUE,Monthly!AM$13,Monthly!AM$14)*(1+'Attrition Modeling'!$N$8)-IFERROR(AP21/AP88,0)*12)/12*AP88,0))</f>
        <v>455.10578471248664</v>
      </c>
      <c r="AR153" s="799">
        <f>MIN(IF(ISERROR(VLOOKUP(AR$134-$F153,$E$135:$E$165,1,FALSE)),0,AQ21*$C$2),MAX((IF(Monthly!AN$4=TRUE,Monthly!AN$13,Monthly!AN$14)*(1+'Attrition Modeling'!$N$8)-IFERROR(AQ21/AQ88,0)*12)/12*AQ88,0))</f>
        <v>0</v>
      </c>
      <c r="AS153" s="799">
        <f>MIN(IF(ISERROR(VLOOKUP(AS$134-$F153,$E$135:$E$165,1,FALSE)),0,AR21*$C$2),MAX((IF(Monthly!AO$4=TRUE,Monthly!AO$13,Monthly!AO$14)*(1+'Attrition Modeling'!$N$8)-IFERROR(AR21/AR88,0)*12)/12*AR88,0))</f>
        <v>0</v>
      </c>
      <c r="AT153" s="799">
        <f>MIN(IF(ISERROR(VLOOKUP(AT$134-$F153,$E$135:$E$165,1,FALSE)),0,AS21*$C$2),MAX((IF(Monthly!AP$4=TRUE,Monthly!AP$13,Monthly!AP$14)*(1+'Attrition Modeling'!$N$8)-IFERROR(AS21/AS88,0)*12)/12*AS88,0))</f>
        <v>0</v>
      </c>
      <c r="AU153" s="799">
        <f>MIN(IF(ISERROR(VLOOKUP(AU$134-$F153,$E$135:$E$165,1,FALSE)),0,AT21*$C$2),MAX((IF(Monthly!AQ$4=TRUE,Monthly!AQ$13,Monthly!AQ$14)*(1+'Attrition Modeling'!$N$8)-IFERROR(AT21/AT88,0)*12)/12*AT88,0))</f>
        <v>0</v>
      </c>
      <c r="AV153" s="799">
        <f>MIN(IF(ISERROR(VLOOKUP(AV$134-$F153,$E$135:$E$165,1,FALSE)),0,AU21*$C$2),MAX((IF(Monthly!AR$4=TRUE,Monthly!AR$13,Monthly!AR$14)*(1+'Attrition Modeling'!$N$8)-IFERROR(AU21/AU88,0)*12)/12*AU88,0))</f>
        <v>0</v>
      </c>
      <c r="AW153" s="799">
        <f>MIN(IF(ISERROR(VLOOKUP(AW$134-$F153,$E$135:$E$165,1,FALSE)),0,AV21*$C$2),MAX((IF(Monthly!AS$4=TRUE,Monthly!AS$13,Monthly!AS$14)*(1+'Attrition Modeling'!$N$8)-IFERROR(AV21/AV88,0)*12)/12*AV88,0))</f>
        <v>0</v>
      </c>
      <c r="AX153" s="799">
        <f>MIN(IF(ISERROR(VLOOKUP(AX$134-$F153,$E$135:$E$165,1,FALSE)),0,AW21*$C$2),MAX((IF(Monthly!AT$4=TRUE,Monthly!AT$13,Monthly!AT$14)*(1+'Attrition Modeling'!$N$8)-IFERROR(AW21/AW88,0)*12)/12*AW88,0))</f>
        <v>0</v>
      </c>
      <c r="AY153" s="799">
        <f>MIN(IF(ISERROR(VLOOKUP(AY$134-$F153,$E$135:$E$165,1,FALSE)),0,AX21*$C$2),MAX((IF(Monthly!AU$4=TRUE,Monthly!AU$13,Monthly!AU$14)*(1+'Attrition Modeling'!$N$8)-IFERROR(AX21/AX88,0)*12)/12*AX88,0))</f>
        <v>0</v>
      </c>
      <c r="AZ153" s="799">
        <f>MIN(IF(ISERROR(VLOOKUP(AZ$134-$F153,$E$135:$E$165,1,FALSE)),0,AY21*$C$2),MAX((IF(Monthly!AV$4=TRUE,Monthly!AV$13,Monthly!AV$14)*(1+'Attrition Modeling'!$N$8)-IFERROR(AY21/AY88,0)*12)/12*AY88,0))</f>
        <v>0</v>
      </c>
      <c r="BA153" s="799">
        <f>MIN(IF(ISERROR(VLOOKUP(BA$134-$F153,$E$135:$E$165,1,FALSE)),0,AZ21*$C$2),MAX((IF(Monthly!AW$4=TRUE,Monthly!AW$13,Monthly!AW$14)*(1+'Attrition Modeling'!$N$8)-IFERROR(AZ21/AZ88,0)*12)/12*AZ88,0))</f>
        <v>0</v>
      </c>
      <c r="BB153" s="799">
        <f>MIN(IF(ISERROR(VLOOKUP(BB$134-$F153,$E$135:$E$165,1,FALSE)),0,BA21*$C$2),MAX((IF(Monthly!AX$4=TRUE,Monthly!AX$13,Monthly!AX$14)*(1+'Attrition Modeling'!$N$8)-IFERROR(BA21/BA88,0)*12)/12*BA88,0))</f>
        <v>0</v>
      </c>
      <c r="BC153" s="799">
        <f>MIN(IF(ISERROR(VLOOKUP(BC$134-$F153,$E$135:$E$165,1,FALSE)),0,BB21*$C$2),MAX((IF(Monthly!AY$4=TRUE,Monthly!AY$13,Monthly!AY$14)*(1+'Attrition Modeling'!$N$8)-IFERROR(BB21/BB88,0)*12)/12*BB88,0))</f>
        <v>140.56806513586201</v>
      </c>
      <c r="BD153" s="799">
        <f>MIN(IF(ISERROR(VLOOKUP(BD$134-$F153,$E$135:$E$165,1,FALSE)),0,BC21*$C$2),MAX((IF(Monthly!AZ$4=TRUE,Monthly!AZ$13,Monthly!AZ$14)*(1+'Attrition Modeling'!$N$8)-IFERROR(BC21/BC88,0)*12)/12*BC88,0))</f>
        <v>0</v>
      </c>
      <c r="BE153" s="799">
        <f>MIN(IF(ISERROR(VLOOKUP(BE$134-$F153,$E$135:$E$165,1,FALSE)),0,BD21*$C$2),MAX((IF(Monthly!BA$4=TRUE,Monthly!BA$13,Monthly!BA$14)*(1+'Attrition Modeling'!$N$8)-IFERROR(BD21/BD88,0)*12)/12*BD88,0))</f>
        <v>0</v>
      </c>
      <c r="BF153" s="799">
        <f>MIN(IF(ISERROR(VLOOKUP(BF$134-$F153,$E$135:$E$165,1,FALSE)),0,BE21*$C$2),MAX((IF(Monthly!BB$4=TRUE,Monthly!BB$13,Monthly!BB$14)*(1+'Attrition Modeling'!$N$8)-IFERROR(BE21/BE88,0)*12)/12*BE88,0))</f>
        <v>0</v>
      </c>
      <c r="BG153" s="799">
        <f>MIN(IF(ISERROR(VLOOKUP(BG$134-$F153,$E$135:$E$165,1,FALSE)),0,BF21*$C$2),MAX((IF(Monthly!BC$4=TRUE,Monthly!BC$13,Monthly!BC$14)*(1+'Attrition Modeling'!$N$8)-IFERROR(BF21/BF88,0)*12)/12*BF88,0))</f>
        <v>0</v>
      </c>
      <c r="BH153" s="799">
        <f>MIN(IF(ISERROR(VLOOKUP(BH$134-$F153,$E$135:$E$165,1,FALSE)),0,BG21*$C$2),MAX((IF(Monthly!BD$4=TRUE,Monthly!BD$13,Monthly!BD$14)*(1+'Attrition Modeling'!$N$8)-IFERROR(BG21/BG88,0)*12)/12*BG88,0))</f>
        <v>0</v>
      </c>
      <c r="BI153" s="799">
        <f>MIN(IF(ISERROR(VLOOKUP(BI$134-$F153,$E$135:$E$165,1,FALSE)),0,BH21*$C$2),MAX((IF(Monthly!BE$4=TRUE,Monthly!BE$13,Monthly!BE$14)*(1+'Attrition Modeling'!$N$8)-IFERROR(BH21/BH88,0)*12)/12*BH88,0))</f>
        <v>0</v>
      </c>
      <c r="BJ153" s="799">
        <f>MIN(IF(ISERROR(VLOOKUP(BJ$134-$F153,$E$135:$E$165,1,FALSE)),0,BI21*$C$2),MAX((IF(Monthly!BF$4=TRUE,Monthly!BF$13,Monthly!BF$14)*(1+'Attrition Modeling'!$N$8)-IFERROR(BI21/BI88,0)*12)/12*BI88,0))</f>
        <v>0</v>
      </c>
      <c r="BK153" s="799">
        <f>MIN(IF(ISERROR(VLOOKUP(BK$134-$F153,$E$135:$E$165,1,FALSE)),0,BJ21*$C$2),MAX((IF(Monthly!BG$4=TRUE,Monthly!BG$13,Monthly!BG$14)*(1+'Attrition Modeling'!$N$8)-IFERROR(BJ21/BJ88,0)*12)/12*BJ88,0))</f>
        <v>0</v>
      </c>
      <c r="BL153" s="799">
        <f>MIN(IF(ISERROR(VLOOKUP(BL$134-$F153,$E$135:$E$165,1,FALSE)),0,BK21*$C$2),MAX((IF(Monthly!BH$4=TRUE,Monthly!BH$13,Monthly!BH$14)*(1+'Attrition Modeling'!$N$8)-IFERROR(BK21/BK88,0)*12)/12*BK88,0))</f>
        <v>0</v>
      </c>
      <c r="BM153" s="799">
        <f>MIN(IF(ISERROR(VLOOKUP(BM$134-$F153,$E$135:$E$165,1,FALSE)),0,BL21*$C$2),MAX((IF(Monthly!BI$4=TRUE,Monthly!BI$13,Monthly!BI$14)*(1+'Attrition Modeling'!$N$8)-IFERROR(BL21/BL88,0)*12)/12*BL88,0))</f>
        <v>0</v>
      </c>
      <c r="BN153" s="799">
        <f>MIN(IF(ISERROR(VLOOKUP(BN$134-$F153,$E$135:$E$165,1,FALSE)),0,BM21*$C$2),MAX((IF(Monthly!BJ$4=TRUE,Monthly!BJ$13,Monthly!BJ$14)*(1+'Attrition Modeling'!$N$8)-IFERROR(BM21/BM88,0)*12)/12*BM88,0))</f>
        <v>0</v>
      </c>
      <c r="BO153" s="799">
        <f>MIN(IF(ISERROR(VLOOKUP(BO$134-$F153,$E$135:$E$165,1,FALSE)),0,BN21*$C$2),MAX((IF(Monthly!BK$4=TRUE,Monthly!BK$13,Monthly!BK$14)*(1+'Attrition Modeling'!$N$8)-IFERROR(BN21/BN88,0)*12)/12*BN88,0))</f>
        <v>86.340265213104544</v>
      </c>
      <c r="BP153" s="799">
        <f>MIN(IF(ISERROR(VLOOKUP(BP$134-$F153,$E$135:$E$165,1,FALSE)),0,BO21*$C$2),MAX((IF(Monthly!BP$4=TRUE,Monthly!BP$13,Monthly!BP$14)*(1+'Attrition Modeling'!$N$8)-IFERROR(BO21/BO88,0)*12)/12*BO88,0))</f>
        <v>0</v>
      </c>
      <c r="BQ153" s="799">
        <f>MIN(IF(ISERROR(VLOOKUP(BQ$134-$F153,$E$135:$E$165,1,FALSE)),0,BP21*$C$2),MAX((IF(Monthly!BQ$4=TRUE,Monthly!BQ$13,Monthly!BQ$14)*(1+'Attrition Modeling'!$N$8)-IFERROR(BP21/BP88,0)*12)/12*BP88,0))</f>
        <v>0</v>
      </c>
      <c r="BR153" s="799">
        <f>MIN(IF(ISERROR(VLOOKUP(BR$134-$F153,$E$135:$E$165,1,FALSE)),0,BQ21*$C$2),MAX((IF(Monthly!BR$4=TRUE,Monthly!BR$13,Monthly!BR$14)*(1+'Attrition Modeling'!$N$8)-IFERROR(BQ21/BQ88,0)*12)/12*BQ88,0))</f>
        <v>0</v>
      </c>
      <c r="BS153" s="799">
        <f>MIN(IF(ISERROR(VLOOKUP(BS$134-$F153,$E$135:$E$165,1,FALSE)),0,BR21*$C$2),MAX((IF(Monthly!BS$4=TRUE,Monthly!BS$13,Monthly!BS$14)*(1+'Attrition Modeling'!$N$8)-IFERROR(BR21/BR88,0)*12)/12*BR88,0))</f>
        <v>0</v>
      </c>
      <c r="BT153" s="799">
        <f>MIN(IF(ISERROR(VLOOKUP(BT$134-$F153,$E$135:$E$165,1,FALSE)),0,BS21*$C$2),MAX((IF(Monthly!BT$4=TRUE,Monthly!BT$13,Monthly!BT$14)*(1+'Attrition Modeling'!$N$8)-IFERROR(BS21/BS88,0)*12)/12*BS88,0))</f>
        <v>0</v>
      </c>
      <c r="BU153" s="799">
        <f>MIN(IF(ISERROR(VLOOKUP(BU$134-$F153,$E$135:$E$165,1,FALSE)),0,BT21*$C$2),MAX((IF(Monthly!BU$4=TRUE,Monthly!BU$13,Monthly!BU$14)*(1+'Attrition Modeling'!$N$8)-IFERROR(BT21/BT88,0)*12)/12*BT88,0))</f>
        <v>0</v>
      </c>
    </row>
    <row r="154" spans="1:73" ht="14.25" customHeight="1" x14ac:dyDescent="0.2">
      <c r="A154" s="9">
        <v>147</v>
      </c>
      <c r="B154" s="25">
        <f>MAX('Attrition Modeling'!H151,$C$3)*(1-Summary!$C$20)</f>
        <v>0.02</v>
      </c>
      <c r="C154" s="24" t="e">
        <f t="shared" si="4"/>
        <v>#DIV/0!</v>
      </c>
      <c r="E154" s="11">
        <f t="shared" si="13"/>
        <v>234</v>
      </c>
      <c r="F154" s="11">
        <f t="shared" si="14"/>
        <v>19</v>
      </c>
      <c r="G154" s="799"/>
      <c r="H154" s="799">
        <f>MIN(IF(ISERROR(VLOOKUP(H$134-$F154,$E$135:$E$165,1,FALSE)),0,G22*$C$2),MAX((IF(Monthly!D$4=TRUE,Monthly!D$13,Monthly!D$14)*(1+'Attrition Modeling'!$N$8)-IFERROR(G22/G89,0)*12)/12*G89,0))</f>
        <v>0</v>
      </c>
      <c r="I154" s="799">
        <f>MIN(IF(ISERROR(VLOOKUP(I$134-$F154,$E$135:$E$165,1,FALSE)),0,H22*$C$2),MAX((IF(Monthly!E$4=TRUE,Monthly!E$13,Monthly!E$14)*(1+'Attrition Modeling'!$N$8)-IFERROR(H22/H89,0)*12)/12*H89,0))</f>
        <v>0</v>
      </c>
      <c r="J154" s="799">
        <f>MIN(IF(ISERROR(VLOOKUP(J$134-$F154,$E$135:$E$165,1,FALSE)),0,I22*$C$2),MAX((IF(Monthly!F$4=TRUE,Monthly!F$13,Monthly!F$14)*(1+'Attrition Modeling'!$N$8)-IFERROR(I22/I89,0)*12)/12*I89,0))</f>
        <v>0</v>
      </c>
      <c r="K154" s="799">
        <f>MIN(IF(ISERROR(VLOOKUP(K$134-$F154,$E$135:$E$165,1,FALSE)),0,J22*$C$2),MAX((IF(Monthly!G$4=TRUE,Monthly!G$13,Monthly!G$14)*(1+'Attrition Modeling'!$N$8)-IFERROR(J22/J89,0)*12)/12*J89,0))</f>
        <v>0</v>
      </c>
      <c r="L154" s="799">
        <f>MIN(IF(ISERROR(VLOOKUP(L$134-$F154,$E$135:$E$165,1,FALSE)),0,K22*$C$2),MAX((IF(Monthly!H$4=TRUE,Monthly!H$13,Monthly!H$14)*(1+'Attrition Modeling'!$N$8)-IFERROR(K22/K89,0)*12)/12*K89,0))</f>
        <v>0</v>
      </c>
      <c r="M154" s="799">
        <f>MIN(IF(ISERROR(VLOOKUP(M$134-$F154,$E$135:$E$165,1,FALSE)),0,L22*$C$2),MAX((IF(Monthly!I$4=TRUE,Monthly!I$13,Monthly!I$14)*(1+'Attrition Modeling'!$N$8)-IFERROR(L22/L89,0)*12)/12*L89,0))</f>
        <v>0</v>
      </c>
      <c r="N154" s="799">
        <f>MIN(IF(ISERROR(VLOOKUP(N$134-$F154,$E$135:$E$165,1,FALSE)),0,M22*$C$2),MAX((IF(Monthly!J$4=TRUE,Monthly!J$13,Monthly!J$14)*(1+'Attrition Modeling'!$N$8)-IFERROR(M22/M89,0)*12)/12*M89,0))</f>
        <v>0</v>
      </c>
      <c r="O154" s="799">
        <f>MIN(IF(ISERROR(VLOOKUP(O$134-$F154,$E$135:$E$165,1,FALSE)),0,N22*$C$2),MAX((IF(Monthly!K$4=TRUE,Monthly!K$13,Monthly!K$14)*(1+'Attrition Modeling'!$N$8)-IFERROR(N22/N89,0)*12)/12*N89,0))</f>
        <v>0</v>
      </c>
      <c r="P154" s="799">
        <f>MIN(IF(ISERROR(VLOOKUP(P$134-$F154,$E$135:$E$165,1,FALSE)),0,O22*$C$2),MAX((IF(Monthly!L$4=TRUE,Monthly!L$13,Monthly!L$14)*(1+'Attrition Modeling'!$N$8)-IFERROR(O22/O89,0)*12)/12*O89,0))</f>
        <v>0</v>
      </c>
      <c r="Q154" s="799">
        <f>MIN(IF(ISERROR(VLOOKUP(Q$134-$F154,$E$135:$E$165,1,FALSE)),0,P22*$C$2),MAX((IF(Monthly!M$4=TRUE,Monthly!M$13,Monthly!M$14)*(1+'Attrition Modeling'!$N$8)-IFERROR(P22/P89,0)*12)/12*P89,0))</f>
        <v>0</v>
      </c>
      <c r="R154" s="799">
        <f>MIN(IF(ISERROR(VLOOKUP(R$134-$F154,$E$135:$E$165,1,FALSE)),0,Q22*$C$2),MAX((IF(Monthly!N$4=TRUE,Monthly!N$13,Monthly!N$14)*(1+'Attrition Modeling'!$N$8)-IFERROR(Q22/Q89,0)*12)/12*Q89,0))</f>
        <v>0</v>
      </c>
      <c r="S154" s="799">
        <f>MIN(IF(ISERROR(VLOOKUP(S$134-$F154,$E$135:$E$165,1,FALSE)),0,R22*$C$2),MAX((IF(Monthly!O$4=TRUE,Monthly!O$13,Monthly!O$14)*(1+'Attrition Modeling'!$N$8)-IFERROR(R22/R89,0)*12)/12*R89,0))</f>
        <v>0</v>
      </c>
      <c r="T154" s="799">
        <f>MIN(IF(ISERROR(VLOOKUP(T$134-$F154,$E$135:$E$165,1,FALSE)),0,S22*$C$2),MAX((IF(Monthly!P$4=TRUE,Monthly!P$13,Monthly!P$14)*(1+'Attrition Modeling'!$N$8)-IFERROR(S22/S89,0)*12)/12*S89,0))</f>
        <v>0</v>
      </c>
      <c r="U154" s="799">
        <f>MIN(IF(ISERROR(VLOOKUP(U$134-$F154,$E$135:$E$165,1,FALSE)),0,T22*$C$2),MAX((IF(Monthly!Q$4=TRUE,Monthly!Q$13,Monthly!Q$14)*(1+'Attrition Modeling'!$N$8)-IFERROR(T22/T89,0)*12)/12*T89,0))</f>
        <v>0</v>
      </c>
      <c r="V154" s="799">
        <f>MIN(IF(ISERROR(VLOOKUP(V$134-$F154,$E$135:$E$165,1,FALSE)),0,U22*$C$2),MAX((IF(Monthly!R$4=TRUE,Monthly!R$13,Monthly!R$14)*(1+'Attrition Modeling'!$N$8)-IFERROR(U22/U89,0)*12)/12*U89,0))</f>
        <v>0</v>
      </c>
      <c r="W154" s="799">
        <f>MIN(IF(ISERROR(VLOOKUP(W$134-$F154,$E$135:$E$165,1,FALSE)),0,V22*$C$2),MAX((IF(Monthly!S$4=TRUE,Monthly!S$13,Monthly!S$14)*(1+'Attrition Modeling'!$N$8)-IFERROR(V22/V89,0)*12)/12*V89,0))</f>
        <v>0</v>
      </c>
      <c r="X154" s="799">
        <f>MIN(IF(ISERROR(VLOOKUP(X$134-$F154,$E$135:$E$165,1,FALSE)),0,W22*$C$2),MAX((IF(Monthly!T$4=TRUE,Monthly!T$13,Monthly!T$14)*(1+'Attrition Modeling'!$N$8)-IFERROR(W22/W89,0)*12)/12*W89,0))</f>
        <v>0</v>
      </c>
      <c r="Y154" s="799">
        <f>MIN(IF(ISERROR(VLOOKUP(Y$134-$F154,$E$135:$E$165,1,FALSE)),0,X22*$C$2),MAX((IF(Monthly!U$4=TRUE,Monthly!U$13,Monthly!U$14)*(1+'Attrition Modeling'!$N$8)-IFERROR(X22/X89,0)*12)/12*X89,0))</f>
        <v>0</v>
      </c>
      <c r="Z154" s="799">
        <f>MIN(IF(ISERROR(VLOOKUP(Z$134-$F154,$E$135:$E$165,1,FALSE)),0,Y22*$C$2),MAX((IF(Monthly!V$4=TRUE,Monthly!V$13,Monthly!V$14)*(1+'Attrition Modeling'!$N$8)-IFERROR(Y22/Y89,0)*12)/12*Y89,0))</f>
        <v>0</v>
      </c>
      <c r="AA154" s="799">
        <f>MIN(IF(ISERROR(VLOOKUP(AA$134-$F154,$E$135:$E$165,1,FALSE)),0,Z22*$C$2),MAX((IF(Monthly!W$4=TRUE,Monthly!W$13,Monthly!W$14)*(1+'Attrition Modeling'!$N$8)-IFERROR(Z22/Z89,0)*12)/12*Z89,0))</f>
        <v>0</v>
      </c>
      <c r="AB154" s="799">
        <f>MIN(IF(ISERROR(VLOOKUP(AB$134-$F154,$E$135:$E$165,1,FALSE)),0,AA22*$C$2),MAX((IF(Monthly!X$4=TRUE,Monthly!X$13,Monthly!X$14)*(1+'Attrition Modeling'!$N$8)-IFERROR(AA22/AA89,0)*12)/12*AA89,0))</f>
        <v>0</v>
      </c>
      <c r="AC154" s="799">
        <f>MIN(IF(ISERROR(VLOOKUP(AC$134-$F154,$E$135:$E$165,1,FALSE)),0,AB22*$C$2),MAX((IF(Monthly!Y$4=TRUE,Monthly!Y$13,Monthly!Y$14)*(1+'Attrition Modeling'!$N$8)-IFERROR(AB22/AB89,0)*12)/12*AB89,0))</f>
        <v>0</v>
      </c>
      <c r="AD154" s="799">
        <f>MIN(IF(ISERROR(VLOOKUP(AD$134-$F154,$E$135:$E$165,1,FALSE)),0,AC22*$C$2),MAX((IF(Monthly!Z$4=TRUE,Monthly!Z$13,Monthly!Z$14)*(1+'Attrition Modeling'!$N$8)-IFERROR(AC22/AC89,0)*12)/12*AC89,0))</f>
        <v>0</v>
      </c>
      <c r="AE154" s="799">
        <f>MIN(IF(ISERROR(VLOOKUP(AE$134-$F154,$E$135:$E$165,1,FALSE)),0,AD22*$C$2),MAX((IF(Monthly!AA$4=TRUE,Monthly!AA$13,Monthly!AA$14)*(1+'Attrition Modeling'!$N$8)-IFERROR(AD22/AD89,0)*12)/12*AD89,0))</f>
        <v>0</v>
      </c>
      <c r="AF154" s="799">
        <f>MIN(IF(ISERROR(VLOOKUP(AF$134-$F154,$E$135:$E$165,1,FALSE)),0,AE22*$C$2),MAX((IF(Monthly!AB$4=TRUE,Monthly!AB$13,Monthly!AB$14)*(1+'Attrition Modeling'!$N$8)-IFERROR(AE22/AE89,0)*12)/12*AE89,0))</f>
        <v>869.85652195282125</v>
      </c>
      <c r="AG154" s="799">
        <f>MIN(IF(ISERROR(VLOOKUP(AG$134-$F154,$E$135:$E$165,1,FALSE)),0,AF22*$C$2),MAX((IF(Monthly!AC$4=TRUE,Monthly!AC$13,Monthly!AC$14)*(1+'Attrition Modeling'!$N$8)-IFERROR(AF22/AF89,0)*12)/12*AF89,0))</f>
        <v>0</v>
      </c>
      <c r="AH154" s="799">
        <f>MIN(IF(ISERROR(VLOOKUP(AH$134-$F154,$E$135:$E$165,1,FALSE)),0,AG22*$C$2),MAX((IF(Monthly!AD$4=TRUE,Monthly!AD$13,Monthly!AD$14)*(1+'Attrition Modeling'!$N$8)-IFERROR(AG22/AG89,0)*12)/12*AG89,0))</f>
        <v>0</v>
      </c>
      <c r="AI154" s="799">
        <f>MIN(IF(ISERROR(VLOOKUP(AI$134-$F154,$E$135:$E$165,1,FALSE)),0,AH22*$C$2),MAX((IF(Monthly!AE$4=TRUE,Monthly!AE$13,Monthly!AE$14)*(1+'Attrition Modeling'!$N$8)-IFERROR(AH22/AH89,0)*12)/12*AH89,0))</f>
        <v>0</v>
      </c>
      <c r="AJ154" s="799">
        <f>MIN(IF(ISERROR(VLOOKUP(AJ$134-$F154,$E$135:$E$165,1,FALSE)),0,AI22*$C$2),MAX((IF(Monthly!AF$4=TRUE,Monthly!AF$13,Monthly!AF$14)*(1+'Attrition Modeling'!$N$8)-IFERROR(AI22/AI89,0)*12)/12*AI89,0))</f>
        <v>0</v>
      </c>
      <c r="AK154" s="799">
        <f>MIN(IF(ISERROR(VLOOKUP(AK$134-$F154,$E$135:$E$165,1,FALSE)),0,AJ22*$C$2),MAX((IF(Monthly!AG$4=TRUE,Monthly!AG$13,Monthly!AG$14)*(1+'Attrition Modeling'!$N$8)-IFERROR(AJ22/AJ89,0)*12)/12*AJ89,0))</f>
        <v>0</v>
      </c>
      <c r="AL154" s="799">
        <f>MIN(IF(ISERROR(VLOOKUP(AL$134-$F154,$E$135:$E$165,1,FALSE)),0,AK22*$C$2),MAX((IF(Monthly!AH$4=TRUE,Monthly!AH$13,Monthly!AH$14)*(1+'Attrition Modeling'!$N$8)-IFERROR(AK22/AK89,0)*12)/12*AK89,0))</f>
        <v>0</v>
      </c>
      <c r="AM154" s="799">
        <f>MIN(IF(ISERROR(VLOOKUP(AM$134-$F154,$E$135:$E$165,1,FALSE)),0,AL22*$C$2),MAX((IF(Monthly!AI$4=TRUE,Monthly!AI$13,Monthly!AI$14)*(1+'Attrition Modeling'!$N$8)-IFERROR(AL22/AL89,0)*12)/12*AL89,0))</f>
        <v>0</v>
      </c>
      <c r="AN154" s="799">
        <f>MIN(IF(ISERROR(VLOOKUP(AN$134-$F154,$E$135:$E$165,1,FALSE)),0,AM22*$C$2),MAX((IF(Monthly!AJ$4=TRUE,Monthly!AJ$13,Monthly!AJ$14)*(1+'Attrition Modeling'!$N$8)-IFERROR(AM22/AM89,0)*12)/12*AM89,0))</f>
        <v>0</v>
      </c>
      <c r="AO154" s="799">
        <f>MIN(IF(ISERROR(VLOOKUP(AO$134-$F154,$E$135:$E$165,1,FALSE)),0,AN22*$C$2),MAX((IF(Monthly!AK$4=TRUE,Monthly!AK$13,Monthly!AK$14)*(1+'Attrition Modeling'!$N$8)-IFERROR(AN22/AN89,0)*12)/12*AN89,0))</f>
        <v>0</v>
      </c>
      <c r="AP154" s="799">
        <f>MIN(IF(ISERROR(VLOOKUP(AP$134-$F154,$E$135:$E$165,1,FALSE)),0,AO22*$C$2),MAX((IF(Monthly!AL$4=TRUE,Monthly!AL$13,Monthly!AL$14)*(1+'Attrition Modeling'!$N$8)-IFERROR(AO22/AO89,0)*12)/12*AO89,0))</f>
        <v>0</v>
      </c>
      <c r="AQ154" s="799">
        <f>MIN(IF(ISERROR(VLOOKUP(AQ$134-$F154,$E$135:$E$165,1,FALSE)),0,AP22*$C$2),MAX((IF(Monthly!AM$4=TRUE,Monthly!AM$13,Monthly!AM$14)*(1+'Attrition Modeling'!$N$8)-IFERROR(AP22/AP89,0)*12)/12*AP89,0))</f>
        <v>0</v>
      </c>
      <c r="AR154" s="799">
        <f>MIN(IF(ISERROR(VLOOKUP(AR$134-$F154,$E$135:$E$165,1,FALSE)),0,AQ22*$C$2),MAX((IF(Monthly!AN$4=TRUE,Monthly!AN$13,Monthly!AN$14)*(1+'Attrition Modeling'!$N$8)-IFERROR(AQ22/AQ89,0)*12)/12*AQ89,0))</f>
        <v>471.22026030492287</v>
      </c>
      <c r="AS154" s="799">
        <f>MIN(IF(ISERROR(VLOOKUP(AS$134-$F154,$E$135:$E$165,1,FALSE)),0,AR22*$C$2),MAX((IF(Monthly!AO$4=TRUE,Monthly!AO$13,Monthly!AO$14)*(1+'Attrition Modeling'!$N$8)-IFERROR(AR22/AR89,0)*12)/12*AR89,0))</f>
        <v>0</v>
      </c>
      <c r="AT154" s="799">
        <f>MIN(IF(ISERROR(VLOOKUP(AT$134-$F154,$E$135:$E$165,1,FALSE)),0,AS22*$C$2),MAX((IF(Monthly!AP$4=TRUE,Monthly!AP$13,Monthly!AP$14)*(1+'Attrition Modeling'!$N$8)-IFERROR(AS22/AS89,0)*12)/12*AS89,0))</f>
        <v>0</v>
      </c>
      <c r="AU154" s="799">
        <f>MIN(IF(ISERROR(VLOOKUP(AU$134-$F154,$E$135:$E$165,1,FALSE)),0,AT22*$C$2),MAX((IF(Monthly!AQ$4=TRUE,Monthly!AQ$13,Monthly!AQ$14)*(1+'Attrition Modeling'!$N$8)-IFERROR(AT22/AT89,0)*12)/12*AT89,0))</f>
        <v>0</v>
      </c>
      <c r="AV154" s="799">
        <f>MIN(IF(ISERROR(VLOOKUP(AV$134-$F154,$E$135:$E$165,1,FALSE)),0,AU22*$C$2),MAX((IF(Monthly!AR$4=TRUE,Monthly!AR$13,Monthly!AR$14)*(1+'Attrition Modeling'!$N$8)-IFERROR(AU22/AU89,0)*12)/12*AU89,0))</f>
        <v>0</v>
      </c>
      <c r="AW154" s="799">
        <f>MIN(IF(ISERROR(VLOOKUP(AW$134-$F154,$E$135:$E$165,1,FALSE)),0,AV22*$C$2),MAX((IF(Monthly!AS$4=TRUE,Monthly!AS$13,Monthly!AS$14)*(1+'Attrition Modeling'!$N$8)-IFERROR(AV22/AV89,0)*12)/12*AV89,0))</f>
        <v>0</v>
      </c>
      <c r="AX154" s="799">
        <f>MIN(IF(ISERROR(VLOOKUP(AX$134-$F154,$E$135:$E$165,1,FALSE)),0,AW22*$C$2),MAX((IF(Monthly!AT$4=TRUE,Monthly!AT$13,Monthly!AT$14)*(1+'Attrition Modeling'!$N$8)-IFERROR(AW22/AW89,0)*12)/12*AW89,0))</f>
        <v>0</v>
      </c>
      <c r="AY154" s="799">
        <f>MIN(IF(ISERROR(VLOOKUP(AY$134-$F154,$E$135:$E$165,1,FALSE)),0,AX22*$C$2),MAX((IF(Monthly!AU$4=TRUE,Monthly!AU$13,Monthly!AU$14)*(1+'Attrition Modeling'!$N$8)-IFERROR(AX22/AX89,0)*12)/12*AX89,0))</f>
        <v>0</v>
      </c>
      <c r="AZ154" s="799">
        <f>MIN(IF(ISERROR(VLOOKUP(AZ$134-$F154,$E$135:$E$165,1,FALSE)),0,AY22*$C$2),MAX((IF(Monthly!AV$4=TRUE,Monthly!AV$13,Monthly!AV$14)*(1+'Attrition Modeling'!$N$8)-IFERROR(AY22/AY89,0)*12)/12*AY89,0))</f>
        <v>0</v>
      </c>
      <c r="BA154" s="799">
        <f>MIN(IF(ISERROR(VLOOKUP(BA$134-$F154,$E$135:$E$165,1,FALSE)),0,AZ22*$C$2),MAX((IF(Monthly!AW$4=TRUE,Monthly!AW$13,Monthly!AW$14)*(1+'Attrition Modeling'!$N$8)-IFERROR(AZ22/AZ89,0)*12)/12*AZ89,0))</f>
        <v>0</v>
      </c>
      <c r="BB154" s="799">
        <f>MIN(IF(ISERROR(VLOOKUP(BB$134-$F154,$E$135:$E$165,1,FALSE)),0,BA22*$C$2),MAX((IF(Monthly!AX$4=TRUE,Monthly!AX$13,Monthly!AX$14)*(1+'Attrition Modeling'!$N$8)-IFERROR(BA22/BA89,0)*12)/12*BA89,0))</f>
        <v>0</v>
      </c>
      <c r="BC154" s="799">
        <f>MIN(IF(ISERROR(VLOOKUP(BC$134-$F154,$E$135:$E$165,1,FALSE)),0,BB22*$C$2),MAX((IF(Monthly!AY$4=TRUE,Monthly!AY$13,Monthly!AY$14)*(1+'Attrition Modeling'!$N$8)-IFERROR(BB22/BB89,0)*12)/12*BB89,0))</f>
        <v>0</v>
      </c>
      <c r="BD154" s="799">
        <f>MIN(IF(ISERROR(VLOOKUP(BD$134-$F154,$E$135:$E$165,1,FALSE)),0,BC22*$C$2),MAX((IF(Monthly!AZ$4=TRUE,Monthly!AZ$13,Monthly!AZ$14)*(1+'Attrition Modeling'!$N$8)-IFERROR(BC22/BC89,0)*12)/12*BC89,0))</f>
        <v>315.92562127011649</v>
      </c>
      <c r="BE154" s="799">
        <f>MIN(IF(ISERROR(VLOOKUP(BE$134-$F154,$E$135:$E$165,1,FALSE)),0,BD22*$C$2),MAX((IF(Monthly!BA$4=TRUE,Monthly!BA$13,Monthly!BA$14)*(1+'Attrition Modeling'!$N$8)-IFERROR(BD22/BD89,0)*12)/12*BD89,0))</f>
        <v>0</v>
      </c>
      <c r="BF154" s="799">
        <f>MIN(IF(ISERROR(VLOOKUP(BF$134-$F154,$E$135:$E$165,1,FALSE)),0,BE22*$C$2),MAX((IF(Monthly!BB$4=TRUE,Monthly!BB$13,Monthly!BB$14)*(1+'Attrition Modeling'!$N$8)-IFERROR(BE22/BE89,0)*12)/12*BE89,0))</f>
        <v>0</v>
      </c>
      <c r="BG154" s="799">
        <f>MIN(IF(ISERROR(VLOOKUP(BG$134-$F154,$E$135:$E$165,1,FALSE)),0,BF22*$C$2),MAX((IF(Monthly!BC$4=TRUE,Monthly!BC$13,Monthly!BC$14)*(1+'Attrition Modeling'!$N$8)-IFERROR(BF22/BF89,0)*12)/12*BF89,0))</f>
        <v>0</v>
      </c>
      <c r="BH154" s="799">
        <f>MIN(IF(ISERROR(VLOOKUP(BH$134-$F154,$E$135:$E$165,1,FALSE)),0,BG22*$C$2),MAX((IF(Monthly!BD$4=TRUE,Monthly!BD$13,Monthly!BD$14)*(1+'Attrition Modeling'!$N$8)-IFERROR(BG22/BG89,0)*12)/12*BG89,0))</f>
        <v>0</v>
      </c>
      <c r="BI154" s="799">
        <f>MIN(IF(ISERROR(VLOOKUP(BI$134-$F154,$E$135:$E$165,1,FALSE)),0,BH22*$C$2),MAX((IF(Monthly!BE$4=TRUE,Monthly!BE$13,Monthly!BE$14)*(1+'Attrition Modeling'!$N$8)-IFERROR(BH22/BH89,0)*12)/12*BH89,0))</f>
        <v>0</v>
      </c>
      <c r="BJ154" s="799">
        <f>MIN(IF(ISERROR(VLOOKUP(BJ$134-$F154,$E$135:$E$165,1,FALSE)),0,BI22*$C$2),MAX((IF(Monthly!BF$4=TRUE,Monthly!BF$13,Monthly!BF$14)*(1+'Attrition Modeling'!$N$8)-IFERROR(BI22/BI89,0)*12)/12*BI89,0))</f>
        <v>0</v>
      </c>
      <c r="BK154" s="799">
        <f>MIN(IF(ISERROR(VLOOKUP(BK$134-$F154,$E$135:$E$165,1,FALSE)),0,BJ22*$C$2),MAX((IF(Monthly!BG$4=TRUE,Monthly!BG$13,Monthly!BG$14)*(1+'Attrition Modeling'!$N$8)-IFERROR(BJ22/BJ89,0)*12)/12*BJ89,0))</f>
        <v>0</v>
      </c>
      <c r="BL154" s="799">
        <f>MIN(IF(ISERROR(VLOOKUP(BL$134-$F154,$E$135:$E$165,1,FALSE)),0,BK22*$C$2),MAX((IF(Monthly!BH$4=TRUE,Monthly!BH$13,Monthly!BH$14)*(1+'Attrition Modeling'!$N$8)-IFERROR(BK22/BK89,0)*12)/12*BK89,0))</f>
        <v>0</v>
      </c>
      <c r="BM154" s="799">
        <f>MIN(IF(ISERROR(VLOOKUP(BM$134-$F154,$E$135:$E$165,1,FALSE)),0,BL22*$C$2),MAX((IF(Monthly!BI$4=TRUE,Monthly!BI$13,Monthly!BI$14)*(1+'Attrition Modeling'!$N$8)-IFERROR(BL22/BL89,0)*12)/12*BL89,0))</f>
        <v>0</v>
      </c>
      <c r="BN154" s="799">
        <f>MIN(IF(ISERROR(VLOOKUP(BN$134-$F154,$E$135:$E$165,1,FALSE)),0,BM22*$C$2),MAX((IF(Monthly!BJ$4=TRUE,Monthly!BJ$13,Monthly!BJ$14)*(1+'Attrition Modeling'!$N$8)-IFERROR(BM22/BM89,0)*12)/12*BM89,0))</f>
        <v>0</v>
      </c>
      <c r="BO154" s="799">
        <f>MIN(IF(ISERROR(VLOOKUP(BO$134-$F154,$E$135:$E$165,1,FALSE)),0,BN22*$C$2),MAX((IF(Monthly!BK$4=TRUE,Monthly!BK$13,Monthly!BK$14)*(1+'Attrition Modeling'!$N$8)-IFERROR(BN22/BN89,0)*12)/12*BN89,0))</f>
        <v>0</v>
      </c>
      <c r="BP154" s="799">
        <f>MIN(IF(ISERROR(VLOOKUP(BP$134-$F154,$E$135:$E$165,1,FALSE)),0,BO22*$C$2),MAX((IF(Monthly!BP$4=TRUE,Monthly!BP$13,Monthly!BP$14)*(1+'Attrition Modeling'!$N$8)-IFERROR(BO22/BO89,0)*12)/12*BO89,0))</f>
        <v>0</v>
      </c>
      <c r="BQ154" s="799">
        <f>MIN(IF(ISERROR(VLOOKUP(BQ$134-$F154,$E$135:$E$165,1,FALSE)),0,BP22*$C$2),MAX((IF(Monthly!BQ$4=TRUE,Monthly!BQ$13,Monthly!BQ$14)*(1+'Attrition Modeling'!$N$8)-IFERROR(BP22/BP89,0)*12)/12*BP89,0))</f>
        <v>0</v>
      </c>
      <c r="BR154" s="799">
        <f>MIN(IF(ISERROR(VLOOKUP(BR$134-$F154,$E$135:$E$165,1,FALSE)),0,BQ22*$C$2),MAX((IF(Monthly!BR$4=TRUE,Monthly!BR$13,Monthly!BR$14)*(1+'Attrition Modeling'!$N$8)-IFERROR(BQ22/BQ89,0)*12)/12*BQ89,0))</f>
        <v>0</v>
      </c>
      <c r="BS154" s="799">
        <f>MIN(IF(ISERROR(VLOOKUP(BS$134-$F154,$E$135:$E$165,1,FALSE)),0,BR22*$C$2),MAX((IF(Monthly!BS$4=TRUE,Monthly!BS$13,Monthly!BS$14)*(1+'Attrition Modeling'!$N$8)-IFERROR(BR22/BR89,0)*12)/12*BR89,0))</f>
        <v>0</v>
      </c>
      <c r="BT154" s="799">
        <f>MIN(IF(ISERROR(VLOOKUP(BT$134-$F154,$E$135:$E$165,1,FALSE)),0,BS22*$C$2),MAX((IF(Monthly!BT$4=TRUE,Monthly!BT$13,Monthly!BT$14)*(1+'Attrition Modeling'!$N$8)-IFERROR(BS22/BS89,0)*12)/12*BS89,0))</f>
        <v>0</v>
      </c>
      <c r="BU154" s="799">
        <f>MIN(IF(ISERROR(VLOOKUP(BU$134-$F154,$E$135:$E$165,1,FALSE)),0,BT22*$C$2),MAX((IF(Monthly!BU$4=TRUE,Monthly!BU$13,Monthly!BU$14)*(1+'Attrition Modeling'!$N$8)-IFERROR(BT22/BT89,0)*12)/12*BT89,0))</f>
        <v>0</v>
      </c>
    </row>
    <row r="155" spans="1:73" ht="14.25" customHeight="1" x14ac:dyDescent="0.2">
      <c r="A155" s="9">
        <v>148</v>
      </c>
      <c r="B155" s="25">
        <f>MAX('Attrition Modeling'!H152,$C$3)*(1-Summary!$C$20)</f>
        <v>0.02</v>
      </c>
      <c r="C155" s="24" t="e">
        <f t="shared" si="4"/>
        <v>#DIV/0!</v>
      </c>
      <c r="E155" s="11">
        <f t="shared" si="13"/>
        <v>246</v>
      </c>
      <c r="F155" s="11">
        <f t="shared" si="14"/>
        <v>20</v>
      </c>
      <c r="G155" s="799"/>
      <c r="H155" s="799">
        <f>MIN(IF(ISERROR(VLOOKUP(H$134-$F155,$E$135:$E$165,1,FALSE)),0,G23*$C$2),MAX((IF(Monthly!D$4=TRUE,Monthly!D$13,Monthly!D$14)*(1+'Attrition Modeling'!$N$8)-IFERROR(G23/G90,0)*12)/12*G90,0))</f>
        <v>0</v>
      </c>
      <c r="I155" s="799">
        <f>MIN(IF(ISERROR(VLOOKUP(I$134-$F155,$E$135:$E$165,1,FALSE)),0,H23*$C$2),MAX((IF(Monthly!E$4=TRUE,Monthly!E$13,Monthly!E$14)*(1+'Attrition Modeling'!$N$8)-IFERROR(H23/H90,0)*12)/12*H90,0))</f>
        <v>0</v>
      </c>
      <c r="J155" s="799">
        <f>MIN(IF(ISERROR(VLOOKUP(J$134-$F155,$E$135:$E$165,1,FALSE)),0,I23*$C$2),MAX((IF(Monthly!F$4=TRUE,Monthly!F$13,Monthly!F$14)*(1+'Attrition Modeling'!$N$8)-IFERROR(I23/I90,0)*12)/12*I90,0))</f>
        <v>0</v>
      </c>
      <c r="K155" s="799">
        <f>MIN(IF(ISERROR(VLOOKUP(K$134-$F155,$E$135:$E$165,1,FALSE)),0,J23*$C$2),MAX((IF(Monthly!G$4=TRUE,Monthly!G$13,Monthly!G$14)*(1+'Attrition Modeling'!$N$8)-IFERROR(J23/J90,0)*12)/12*J90,0))</f>
        <v>0</v>
      </c>
      <c r="L155" s="799">
        <f>MIN(IF(ISERROR(VLOOKUP(L$134-$F155,$E$135:$E$165,1,FALSE)),0,K23*$C$2),MAX((IF(Monthly!H$4=TRUE,Monthly!H$13,Monthly!H$14)*(1+'Attrition Modeling'!$N$8)-IFERROR(K23/K90,0)*12)/12*K90,0))</f>
        <v>0</v>
      </c>
      <c r="M155" s="799">
        <f>MIN(IF(ISERROR(VLOOKUP(M$134-$F155,$E$135:$E$165,1,FALSE)),0,L23*$C$2),MAX((IF(Monthly!I$4=TRUE,Monthly!I$13,Monthly!I$14)*(1+'Attrition Modeling'!$N$8)-IFERROR(L23/L90,0)*12)/12*L90,0))</f>
        <v>0</v>
      </c>
      <c r="N155" s="799">
        <f>MIN(IF(ISERROR(VLOOKUP(N$134-$F155,$E$135:$E$165,1,FALSE)),0,M23*$C$2),MAX((IF(Monthly!J$4=TRUE,Monthly!J$13,Monthly!J$14)*(1+'Attrition Modeling'!$N$8)-IFERROR(M23/M90,0)*12)/12*M90,0))</f>
        <v>0</v>
      </c>
      <c r="O155" s="799">
        <f>MIN(IF(ISERROR(VLOOKUP(O$134-$F155,$E$135:$E$165,1,FALSE)),0,N23*$C$2),MAX((IF(Monthly!K$4=TRUE,Monthly!K$13,Monthly!K$14)*(1+'Attrition Modeling'!$N$8)-IFERROR(N23/N90,0)*12)/12*N90,0))</f>
        <v>0</v>
      </c>
      <c r="P155" s="799">
        <f>MIN(IF(ISERROR(VLOOKUP(P$134-$F155,$E$135:$E$165,1,FALSE)),0,O23*$C$2),MAX((IF(Monthly!L$4=TRUE,Monthly!L$13,Monthly!L$14)*(1+'Attrition Modeling'!$N$8)-IFERROR(O23/O90,0)*12)/12*O90,0))</f>
        <v>0</v>
      </c>
      <c r="Q155" s="799">
        <f>MIN(IF(ISERROR(VLOOKUP(Q$134-$F155,$E$135:$E$165,1,FALSE)),0,P23*$C$2),MAX((IF(Monthly!M$4=TRUE,Monthly!M$13,Monthly!M$14)*(1+'Attrition Modeling'!$N$8)-IFERROR(P23/P90,0)*12)/12*P90,0))</f>
        <v>0</v>
      </c>
      <c r="R155" s="799">
        <f>MIN(IF(ISERROR(VLOOKUP(R$134-$F155,$E$135:$E$165,1,FALSE)),0,Q23*$C$2),MAX((IF(Monthly!N$4=TRUE,Monthly!N$13,Monthly!N$14)*(1+'Attrition Modeling'!$N$8)-IFERROR(Q23/Q90,0)*12)/12*Q90,0))</f>
        <v>0</v>
      </c>
      <c r="S155" s="799">
        <f>MIN(IF(ISERROR(VLOOKUP(S$134-$F155,$E$135:$E$165,1,FALSE)),0,R23*$C$2),MAX((IF(Monthly!O$4=TRUE,Monthly!O$13,Monthly!O$14)*(1+'Attrition Modeling'!$N$8)-IFERROR(R23/R90,0)*12)/12*R90,0))</f>
        <v>0</v>
      </c>
      <c r="T155" s="799">
        <f>MIN(IF(ISERROR(VLOOKUP(T$134-$F155,$E$135:$E$165,1,FALSE)),0,S23*$C$2),MAX((IF(Monthly!P$4=TRUE,Monthly!P$13,Monthly!P$14)*(1+'Attrition Modeling'!$N$8)-IFERROR(S23/S90,0)*12)/12*S90,0))</f>
        <v>0</v>
      </c>
      <c r="U155" s="799">
        <f>MIN(IF(ISERROR(VLOOKUP(U$134-$F155,$E$135:$E$165,1,FALSE)),0,T23*$C$2),MAX((IF(Monthly!Q$4=TRUE,Monthly!Q$13,Monthly!Q$14)*(1+'Attrition Modeling'!$N$8)-IFERROR(T23/T90,0)*12)/12*T90,0))</f>
        <v>0</v>
      </c>
      <c r="V155" s="799">
        <f>MIN(IF(ISERROR(VLOOKUP(V$134-$F155,$E$135:$E$165,1,FALSE)),0,U23*$C$2),MAX((IF(Monthly!R$4=TRUE,Monthly!R$13,Monthly!R$14)*(1+'Attrition Modeling'!$N$8)-IFERROR(U23/U90,0)*12)/12*U90,0))</f>
        <v>0</v>
      </c>
      <c r="W155" s="799">
        <f>MIN(IF(ISERROR(VLOOKUP(W$134-$F155,$E$135:$E$165,1,FALSE)),0,V23*$C$2),MAX((IF(Monthly!S$4=TRUE,Monthly!S$13,Monthly!S$14)*(1+'Attrition Modeling'!$N$8)-IFERROR(V23/V90,0)*12)/12*V90,0))</f>
        <v>0</v>
      </c>
      <c r="X155" s="799">
        <f>MIN(IF(ISERROR(VLOOKUP(X$134-$F155,$E$135:$E$165,1,FALSE)),0,W23*$C$2),MAX((IF(Monthly!T$4=TRUE,Monthly!T$13,Monthly!T$14)*(1+'Attrition Modeling'!$N$8)-IFERROR(W23/W90,0)*12)/12*W90,0))</f>
        <v>0</v>
      </c>
      <c r="Y155" s="799">
        <f>MIN(IF(ISERROR(VLOOKUP(Y$134-$F155,$E$135:$E$165,1,FALSE)),0,X23*$C$2),MAX((IF(Monthly!U$4=TRUE,Monthly!U$13,Monthly!U$14)*(1+'Attrition Modeling'!$N$8)-IFERROR(X23/X90,0)*12)/12*X90,0))</f>
        <v>0</v>
      </c>
      <c r="Z155" s="799">
        <f>MIN(IF(ISERROR(VLOOKUP(Z$134-$F155,$E$135:$E$165,1,FALSE)),0,Y23*$C$2),MAX((IF(Monthly!V$4=TRUE,Monthly!V$13,Monthly!V$14)*(1+'Attrition Modeling'!$N$8)-IFERROR(Y23/Y90,0)*12)/12*Y90,0))</f>
        <v>0</v>
      </c>
      <c r="AA155" s="799">
        <f>MIN(IF(ISERROR(VLOOKUP(AA$134-$F155,$E$135:$E$165,1,FALSE)),0,Z23*$C$2),MAX((IF(Monthly!W$4=TRUE,Monthly!W$13,Monthly!W$14)*(1+'Attrition Modeling'!$N$8)-IFERROR(Z23/Z90,0)*12)/12*Z90,0))</f>
        <v>0</v>
      </c>
      <c r="AB155" s="799">
        <f>MIN(IF(ISERROR(VLOOKUP(AB$134-$F155,$E$135:$E$165,1,FALSE)),0,AA23*$C$2),MAX((IF(Monthly!X$4=TRUE,Monthly!X$13,Monthly!X$14)*(1+'Attrition Modeling'!$N$8)-IFERROR(AA23/AA90,0)*12)/12*AA90,0))</f>
        <v>0</v>
      </c>
      <c r="AC155" s="799">
        <f>MIN(IF(ISERROR(VLOOKUP(AC$134-$F155,$E$135:$E$165,1,FALSE)),0,AB23*$C$2),MAX((IF(Monthly!Y$4=TRUE,Monthly!Y$13,Monthly!Y$14)*(1+'Attrition Modeling'!$N$8)-IFERROR(AB23/AB90,0)*12)/12*AB90,0))</f>
        <v>0</v>
      </c>
      <c r="AD155" s="799">
        <f>MIN(IF(ISERROR(VLOOKUP(AD$134-$F155,$E$135:$E$165,1,FALSE)),0,AC23*$C$2),MAX((IF(Monthly!Z$4=TRUE,Monthly!Z$13,Monthly!Z$14)*(1+'Attrition Modeling'!$N$8)-IFERROR(AC23/AC90,0)*12)/12*AC90,0))</f>
        <v>0</v>
      </c>
      <c r="AE155" s="799">
        <f>MIN(IF(ISERROR(VLOOKUP(AE$134-$F155,$E$135:$E$165,1,FALSE)),0,AD23*$C$2),MAX((IF(Monthly!AA$4=TRUE,Monthly!AA$13,Monthly!AA$14)*(1+'Attrition Modeling'!$N$8)-IFERROR(AD23/AD90,0)*12)/12*AD90,0))</f>
        <v>0</v>
      </c>
      <c r="AF155" s="799">
        <f>MIN(IF(ISERROR(VLOOKUP(AF$134-$F155,$E$135:$E$165,1,FALSE)),0,AE23*$C$2),MAX((IF(Monthly!AB$4=TRUE,Monthly!AB$13,Monthly!AB$14)*(1+'Attrition Modeling'!$N$8)-IFERROR(AE23/AE90,0)*12)/12*AE90,0))</f>
        <v>0</v>
      </c>
      <c r="AG155" s="799">
        <f>MIN(IF(ISERROR(VLOOKUP(AG$134-$F155,$E$135:$E$165,1,FALSE)),0,AF23*$C$2),MAX((IF(Monthly!AC$4=TRUE,Monthly!AC$13,Monthly!AC$14)*(1+'Attrition Modeling'!$N$8)-IFERROR(AF23/AF90,0)*12)/12*AF90,0))</f>
        <v>819.26958166749091</v>
      </c>
      <c r="AH155" s="799">
        <f>MIN(IF(ISERROR(VLOOKUP(AH$134-$F155,$E$135:$E$165,1,FALSE)),0,AG23*$C$2),MAX((IF(Monthly!AD$4=TRUE,Monthly!AD$13,Monthly!AD$14)*(1+'Attrition Modeling'!$N$8)-IFERROR(AG23/AG90,0)*12)/12*AG90,0))</f>
        <v>0</v>
      </c>
      <c r="AI155" s="799">
        <f>MIN(IF(ISERROR(VLOOKUP(AI$134-$F155,$E$135:$E$165,1,FALSE)),0,AH23*$C$2),MAX((IF(Monthly!AE$4=TRUE,Monthly!AE$13,Monthly!AE$14)*(1+'Attrition Modeling'!$N$8)-IFERROR(AH23/AH90,0)*12)/12*AH90,0))</f>
        <v>0</v>
      </c>
      <c r="AJ155" s="799">
        <f>MIN(IF(ISERROR(VLOOKUP(AJ$134-$F155,$E$135:$E$165,1,FALSE)),0,AI23*$C$2),MAX((IF(Monthly!AF$4=TRUE,Monthly!AF$13,Monthly!AF$14)*(1+'Attrition Modeling'!$N$8)-IFERROR(AI23/AI90,0)*12)/12*AI90,0))</f>
        <v>0</v>
      </c>
      <c r="AK155" s="799">
        <f>MIN(IF(ISERROR(VLOOKUP(AK$134-$F155,$E$135:$E$165,1,FALSE)),0,AJ23*$C$2),MAX((IF(Monthly!AG$4=TRUE,Monthly!AG$13,Monthly!AG$14)*(1+'Attrition Modeling'!$N$8)-IFERROR(AJ23/AJ90,0)*12)/12*AJ90,0))</f>
        <v>0</v>
      </c>
      <c r="AL155" s="799">
        <f>MIN(IF(ISERROR(VLOOKUP(AL$134-$F155,$E$135:$E$165,1,FALSE)),0,AK23*$C$2),MAX((IF(Monthly!AH$4=TRUE,Monthly!AH$13,Monthly!AH$14)*(1+'Attrition Modeling'!$N$8)-IFERROR(AK23/AK90,0)*12)/12*AK90,0))</f>
        <v>0</v>
      </c>
      <c r="AM155" s="799">
        <f>MIN(IF(ISERROR(VLOOKUP(AM$134-$F155,$E$135:$E$165,1,FALSE)),0,AL23*$C$2),MAX((IF(Monthly!AI$4=TRUE,Monthly!AI$13,Monthly!AI$14)*(1+'Attrition Modeling'!$N$8)-IFERROR(AL23/AL90,0)*12)/12*AL90,0))</f>
        <v>0</v>
      </c>
      <c r="AN155" s="799">
        <f>MIN(IF(ISERROR(VLOOKUP(AN$134-$F155,$E$135:$E$165,1,FALSE)),0,AM23*$C$2),MAX((IF(Monthly!AJ$4=TRUE,Monthly!AJ$13,Monthly!AJ$14)*(1+'Attrition Modeling'!$N$8)-IFERROR(AM23/AM90,0)*12)/12*AM90,0))</f>
        <v>0</v>
      </c>
      <c r="AO155" s="799">
        <f>MIN(IF(ISERROR(VLOOKUP(AO$134-$F155,$E$135:$E$165,1,FALSE)),0,AN23*$C$2),MAX((IF(Monthly!AK$4=TRUE,Monthly!AK$13,Monthly!AK$14)*(1+'Attrition Modeling'!$N$8)-IFERROR(AN23/AN90,0)*12)/12*AN90,0))</f>
        <v>0</v>
      </c>
      <c r="AP155" s="799">
        <f>MIN(IF(ISERROR(VLOOKUP(AP$134-$F155,$E$135:$E$165,1,FALSE)),0,AO23*$C$2),MAX((IF(Monthly!AL$4=TRUE,Monthly!AL$13,Monthly!AL$14)*(1+'Attrition Modeling'!$N$8)-IFERROR(AO23/AO90,0)*12)/12*AO90,0))</f>
        <v>0</v>
      </c>
      <c r="AQ155" s="799">
        <f>MIN(IF(ISERROR(VLOOKUP(AQ$134-$F155,$E$135:$E$165,1,FALSE)),0,AP23*$C$2),MAX((IF(Monthly!AM$4=TRUE,Monthly!AM$13,Monthly!AM$14)*(1+'Attrition Modeling'!$N$8)-IFERROR(AP23/AP90,0)*12)/12*AP90,0))</f>
        <v>0</v>
      </c>
      <c r="AR155" s="799">
        <f>MIN(IF(ISERROR(VLOOKUP(AR$134-$F155,$E$135:$E$165,1,FALSE)),0,AQ23*$C$2),MAX((IF(Monthly!AN$4=TRUE,Monthly!AN$13,Monthly!AN$14)*(1+'Attrition Modeling'!$N$8)-IFERROR(AQ23/AQ90,0)*12)/12*AQ90,0))</f>
        <v>0</v>
      </c>
      <c r="AS155" s="799">
        <f>MIN(IF(ISERROR(VLOOKUP(AS$134-$F155,$E$135:$E$165,1,FALSE)),0,AR23*$C$2),MAX((IF(Monthly!AO$4=TRUE,Monthly!AO$13,Monthly!AO$14)*(1+'Attrition Modeling'!$N$8)-IFERROR(AR23/AR90,0)*12)/12*AR90,0))</f>
        <v>440.56620547987501</v>
      </c>
      <c r="AT155" s="799">
        <f>MIN(IF(ISERROR(VLOOKUP(AT$134-$F155,$E$135:$E$165,1,FALSE)),0,AS23*$C$2),MAX((IF(Monthly!AP$4=TRUE,Monthly!AP$13,Monthly!AP$14)*(1+'Attrition Modeling'!$N$8)-IFERROR(AS23/AS90,0)*12)/12*AS90,0))</f>
        <v>0</v>
      </c>
      <c r="AU155" s="799">
        <f>MIN(IF(ISERROR(VLOOKUP(AU$134-$F155,$E$135:$E$165,1,FALSE)),0,AT23*$C$2),MAX((IF(Monthly!AQ$4=TRUE,Monthly!AQ$13,Monthly!AQ$14)*(1+'Attrition Modeling'!$N$8)-IFERROR(AT23/AT90,0)*12)/12*AT90,0))</f>
        <v>0</v>
      </c>
      <c r="AV155" s="799">
        <f>MIN(IF(ISERROR(VLOOKUP(AV$134-$F155,$E$135:$E$165,1,FALSE)),0,AU23*$C$2),MAX((IF(Monthly!AR$4=TRUE,Monthly!AR$13,Monthly!AR$14)*(1+'Attrition Modeling'!$N$8)-IFERROR(AU23/AU90,0)*12)/12*AU90,0))</f>
        <v>0</v>
      </c>
      <c r="AW155" s="799">
        <f>MIN(IF(ISERROR(VLOOKUP(AW$134-$F155,$E$135:$E$165,1,FALSE)),0,AV23*$C$2),MAX((IF(Monthly!AS$4=TRUE,Monthly!AS$13,Monthly!AS$14)*(1+'Attrition Modeling'!$N$8)-IFERROR(AV23/AV90,0)*12)/12*AV90,0))</f>
        <v>0</v>
      </c>
      <c r="AX155" s="799">
        <f>MIN(IF(ISERROR(VLOOKUP(AX$134-$F155,$E$135:$E$165,1,FALSE)),0,AW23*$C$2),MAX((IF(Monthly!AT$4=TRUE,Monthly!AT$13,Monthly!AT$14)*(1+'Attrition Modeling'!$N$8)-IFERROR(AW23/AW90,0)*12)/12*AW90,0))</f>
        <v>0</v>
      </c>
      <c r="AY155" s="799">
        <f>MIN(IF(ISERROR(VLOOKUP(AY$134-$F155,$E$135:$E$165,1,FALSE)),0,AX23*$C$2),MAX((IF(Monthly!AU$4=TRUE,Monthly!AU$13,Monthly!AU$14)*(1+'Attrition Modeling'!$N$8)-IFERROR(AX23/AX90,0)*12)/12*AX90,0))</f>
        <v>0</v>
      </c>
      <c r="AZ155" s="799">
        <f>MIN(IF(ISERROR(VLOOKUP(AZ$134-$F155,$E$135:$E$165,1,FALSE)),0,AY23*$C$2),MAX((IF(Monthly!AV$4=TRUE,Monthly!AV$13,Monthly!AV$14)*(1+'Attrition Modeling'!$N$8)-IFERROR(AY23/AY90,0)*12)/12*AY90,0))</f>
        <v>0</v>
      </c>
      <c r="BA155" s="799">
        <f>MIN(IF(ISERROR(VLOOKUP(BA$134-$F155,$E$135:$E$165,1,FALSE)),0,AZ23*$C$2),MAX((IF(Monthly!AW$4=TRUE,Monthly!AW$13,Monthly!AW$14)*(1+'Attrition Modeling'!$N$8)-IFERROR(AZ23/AZ90,0)*12)/12*AZ90,0))</f>
        <v>0</v>
      </c>
      <c r="BB155" s="799">
        <f>MIN(IF(ISERROR(VLOOKUP(BB$134-$F155,$E$135:$E$165,1,FALSE)),0,BA23*$C$2),MAX((IF(Monthly!AX$4=TRUE,Monthly!AX$13,Monthly!AX$14)*(1+'Attrition Modeling'!$N$8)-IFERROR(BA23/BA90,0)*12)/12*BA90,0))</f>
        <v>0</v>
      </c>
      <c r="BC155" s="799">
        <f>MIN(IF(ISERROR(VLOOKUP(BC$134-$F155,$E$135:$E$165,1,FALSE)),0,BB23*$C$2),MAX((IF(Monthly!AY$4=TRUE,Monthly!AY$13,Monthly!AY$14)*(1+'Attrition Modeling'!$N$8)-IFERROR(BB23/BB90,0)*12)/12*BB90,0))</f>
        <v>0</v>
      </c>
      <c r="BD155" s="799">
        <f>MIN(IF(ISERROR(VLOOKUP(BD$134-$F155,$E$135:$E$165,1,FALSE)),0,BC23*$C$2),MAX((IF(Monthly!AZ$4=TRUE,Monthly!AZ$13,Monthly!AZ$14)*(1+'Attrition Modeling'!$N$8)-IFERROR(BC23/BC90,0)*12)/12*BC90,0))</f>
        <v>0</v>
      </c>
      <c r="BE155" s="799">
        <f>MIN(IF(ISERROR(VLOOKUP(BE$134-$F155,$E$135:$E$165,1,FALSE)),0,BD23*$C$2),MAX((IF(Monthly!BA$4=TRUE,Monthly!BA$13,Monthly!BA$14)*(1+'Attrition Modeling'!$N$8)-IFERROR(BD23/BD90,0)*12)/12*BD90,0))</f>
        <v>296.52268651162296</v>
      </c>
      <c r="BF155" s="799">
        <f>MIN(IF(ISERROR(VLOOKUP(BF$134-$F155,$E$135:$E$165,1,FALSE)),0,BE23*$C$2),MAX((IF(Monthly!BB$4=TRUE,Monthly!BB$13,Monthly!BB$14)*(1+'Attrition Modeling'!$N$8)-IFERROR(BE23/BE90,0)*12)/12*BE90,0))</f>
        <v>0</v>
      </c>
      <c r="BG155" s="799">
        <f>MIN(IF(ISERROR(VLOOKUP(BG$134-$F155,$E$135:$E$165,1,FALSE)),0,BF23*$C$2),MAX((IF(Monthly!BC$4=TRUE,Monthly!BC$13,Monthly!BC$14)*(1+'Attrition Modeling'!$N$8)-IFERROR(BF23/BF90,0)*12)/12*BF90,0))</f>
        <v>0</v>
      </c>
      <c r="BH155" s="799">
        <f>MIN(IF(ISERROR(VLOOKUP(BH$134-$F155,$E$135:$E$165,1,FALSE)),0,BG23*$C$2),MAX((IF(Monthly!BD$4=TRUE,Monthly!BD$13,Monthly!BD$14)*(1+'Attrition Modeling'!$N$8)-IFERROR(BG23/BG90,0)*12)/12*BG90,0))</f>
        <v>0</v>
      </c>
      <c r="BI155" s="799">
        <f>MIN(IF(ISERROR(VLOOKUP(BI$134-$F155,$E$135:$E$165,1,FALSE)),0,BH23*$C$2),MAX((IF(Monthly!BE$4=TRUE,Monthly!BE$13,Monthly!BE$14)*(1+'Attrition Modeling'!$N$8)-IFERROR(BH23/BH90,0)*12)/12*BH90,0))</f>
        <v>0</v>
      </c>
      <c r="BJ155" s="799">
        <f>MIN(IF(ISERROR(VLOOKUP(BJ$134-$F155,$E$135:$E$165,1,FALSE)),0,BI23*$C$2),MAX((IF(Monthly!BF$4=TRUE,Monthly!BF$13,Monthly!BF$14)*(1+'Attrition Modeling'!$N$8)-IFERROR(BI23/BI90,0)*12)/12*BI90,0))</f>
        <v>0</v>
      </c>
      <c r="BK155" s="799">
        <f>MIN(IF(ISERROR(VLOOKUP(BK$134-$F155,$E$135:$E$165,1,FALSE)),0,BJ23*$C$2),MAX((IF(Monthly!BG$4=TRUE,Monthly!BG$13,Monthly!BG$14)*(1+'Attrition Modeling'!$N$8)-IFERROR(BJ23/BJ90,0)*12)/12*BJ90,0))</f>
        <v>0</v>
      </c>
      <c r="BL155" s="799">
        <f>MIN(IF(ISERROR(VLOOKUP(BL$134-$F155,$E$135:$E$165,1,FALSE)),0,BK23*$C$2),MAX((IF(Monthly!BH$4=TRUE,Monthly!BH$13,Monthly!BH$14)*(1+'Attrition Modeling'!$N$8)-IFERROR(BK23/BK90,0)*12)/12*BK90,0))</f>
        <v>0</v>
      </c>
      <c r="BM155" s="799">
        <f>MIN(IF(ISERROR(VLOOKUP(BM$134-$F155,$E$135:$E$165,1,FALSE)),0,BL23*$C$2),MAX((IF(Monthly!BI$4=TRUE,Monthly!BI$13,Monthly!BI$14)*(1+'Attrition Modeling'!$N$8)-IFERROR(BL23/BL90,0)*12)/12*BL90,0))</f>
        <v>0</v>
      </c>
      <c r="BN155" s="799">
        <f>MIN(IF(ISERROR(VLOOKUP(BN$134-$F155,$E$135:$E$165,1,FALSE)),0,BM23*$C$2),MAX((IF(Monthly!BJ$4=TRUE,Monthly!BJ$13,Monthly!BJ$14)*(1+'Attrition Modeling'!$N$8)-IFERROR(BM23/BM90,0)*12)/12*BM90,0))</f>
        <v>0</v>
      </c>
      <c r="BO155" s="799">
        <f>MIN(IF(ISERROR(VLOOKUP(BO$134-$F155,$E$135:$E$165,1,FALSE)),0,BN23*$C$2),MAX((IF(Monthly!BK$4=TRUE,Monthly!BK$13,Monthly!BK$14)*(1+'Attrition Modeling'!$N$8)-IFERROR(BN23/BN90,0)*12)/12*BN90,0))</f>
        <v>0</v>
      </c>
      <c r="BP155" s="799">
        <f>MIN(IF(ISERROR(VLOOKUP(BP$134-$F155,$E$135:$E$165,1,FALSE)),0,BO23*$C$2),MAX((IF(Monthly!BP$4=TRUE,Monthly!BP$13,Monthly!BP$14)*(1+'Attrition Modeling'!$N$8)-IFERROR(BO23/BO90,0)*12)/12*BO90,0))</f>
        <v>0</v>
      </c>
      <c r="BQ155" s="799">
        <f>MIN(IF(ISERROR(VLOOKUP(BQ$134-$F155,$E$135:$E$165,1,FALSE)),0,BP23*$C$2),MAX((IF(Monthly!BQ$4=TRUE,Monthly!BQ$13,Monthly!BQ$14)*(1+'Attrition Modeling'!$N$8)-IFERROR(BP23/BP90,0)*12)/12*BP90,0))</f>
        <v>0</v>
      </c>
      <c r="BR155" s="799">
        <f>MIN(IF(ISERROR(VLOOKUP(BR$134-$F155,$E$135:$E$165,1,FALSE)),0,BQ23*$C$2),MAX((IF(Monthly!BR$4=TRUE,Monthly!BR$13,Monthly!BR$14)*(1+'Attrition Modeling'!$N$8)-IFERROR(BQ23/BQ90,0)*12)/12*BQ90,0))</f>
        <v>0</v>
      </c>
      <c r="BS155" s="799">
        <f>MIN(IF(ISERROR(VLOOKUP(BS$134-$F155,$E$135:$E$165,1,FALSE)),0,BR23*$C$2),MAX((IF(Monthly!BS$4=TRUE,Monthly!BS$13,Monthly!BS$14)*(1+'Attrition Modeling'!$N$8)-IFERROR(BR23/BR90,0)*12)/12*BR90,0))</f>
        <v>0</v>
      </c>
      <c r="BT155" s="799">
        <f>MIN(IF(ISERROR(VLOOKUP(BT$134-$F155,$E$135:$E$165,1,FALSE)),0,BS23*$C$2),MAX((IF(Monthly!BT$4=TRUE,Monthly!BT$13,Monthly!BT$14)*(1+'Attrition Modeling'!$N$8)-IFERROR(BS23/BS90,0)*12)/12*BS90,0))</f>
        <v>0</v>
      </c>
      <c r="BU155" s="799">
        <f>MIN(IF(ISERROR(VLOOKUP(BU$134-$F155,$E$135:$E$165,1,FALSE)),0,BT23*$C$2),MAX((IF(Monthly!BU$4=TRUE,Monthly!BU$13,Monthly!BU$14)*(1+'Attrition Modeling'!$N$8)-IFERROR(BT23/BT90,0)*12)/12*BT90,0))</f>
        <v>0</v>
      </c>
    </row>
    <row r="156" spans="1:73" ht="14.25" customHeight="1" x14ac:dyDescent="0.2">
      <c r="A156" s="9">
        <v>149</v>
      </c>
      <c r="B156" s="25">
        <f>MAX('Attrition Modeling'!H153,$C$3)*(1-Summary!$C$20)</f>
        <v>0.02</v>
      </c>
      <c r="C156" s="24" t="e">
        <f t="shared" si="4"/>
        <v>#DIV/0!</v>
      </c>
      <c r="E156" s="11">
        <f t="shared" si="13"/>
        <v>258</v>
      </c>
      <c r="F156" s="11">
        <f t="shared" si="14"/>
        <v>21</v>
      </c>
      <c r="G156" s="799"/>
      <c r="H156" s="799">
        <f>MIN(IF(ISERROR(VLOOKUP(H$134-$F156,$E$135:$E$165,1,FALSE)),0,G24*$C$2),MAX((IF(Monthly!D$4=TRUE,Monthly!D$13,Monthly!D$14)*(1+'Attrition Modeling'!$N$8)-IFERROR(G24/G91,0)*12)/12*G91,0))</f>
        <v>0</v>
      </c>
      <c r="I156" s="799">
        <f>MIN(IF(ISERROR(VLOOKUP(I$134-$F156,$E$135:$E$165,1,FALSE)),0,H24*$C$2),MAX((IF(Monthly!E$4=TRUE,Monthly!E$13,Monthly!E$14)*(1+'Attrition Modeling'!$N$8)-IFERROR(H24/H91,0)*12)/12*H91,0))</f>
        <v>0</v>
      </c>
      <c r="J156" s="799">
        <f>MIN(IF(ISERROR(VLOOKUP(J$134-$F156,$E$135:$E$165,1,FALSE)),0,I24*$C$2),MAX((IF(Monthly!F$4=TRUE,Monthly!F$13,Monthly!F$14)*(1+'Attrition Modeling'!$N$8)-IFERROR(I24/I91,0)*12)/12*I91,0))</f>
        <v>0</v>
      </c>
      <c r="K156" s="799">
        <f>MIN(IF(ISERROR(VLOOKUP(K$134-$F156,$E$135:$E$165,1,FALSE)),0,J24*$C$2),MAX((IF(Monthly!G$4=TRUE,Monthly!G$13,Monthly!G$14)*(1+'Attrition Modeling'!$N$8)-IFERROR(J24/J91,0)*12)/12*J91,0))</f>
        <v>0</v>
      </c>
      <c r="L156" s="799">
        <f>MIN(IF(ISERROR(VLOOKUP(L$134-$F156,$E$135:$E$165,1,FALSE)),0,K24*$C$2),MAX((IF(Monthly!H$4=TRUE,Monthly!H$13,Monthly!H$14)*(1+'Attrition Modeling'!$N$8)-IFERROR(K24/K91,0)*12)/12*K91,0))</f>
        <v>0</v>
      </c>
      <c r="M156" s="799">
        <f>MIN(IF(ISERROR(VLOOKUP(M$134-$F156,$E$135:$E$165,1,FALSE)),0,L24*$C$2),MAX((IF(Monthly!I$4=TRUE,Monthly!I$13,Monthly!I$14)*(1+'Attrition Modeling'!$N$8)-IFERROR(L24/L91,0)*12)/12*L91,0))</f>
        <v>0</v>
      </c>
      <c r="N156" s="799">
        <f>MIN(IF(ISERROR(VLOOKUP(N$134-$F156,$E$135:$E$165,1,FALSE)),0,M24*$C$2),MAX((IF(Monthly!J$4=TRUE,Monthly!J$13,Monthly!J$14)*(1+'Attrition Modeling'!$N$8)-IFERROR(M24/M91,0)*12)/12*M91,0))</f>
        <v>0</v>
      </c>
      <c r="O156" s="799">
        <f>MIN(IF(ISERROR(VLOOKUP(O$134-$F156,$E$135:$E$165,1,FALSE)),0,N24*$C$2),MAX((IF(Monthly!K$4=TRUE,Monthly!K$13,Monthly!K$14)*(1+'Attrition Modeling'!$N$8)-IFERROR(N24/N91,0)*12)/12*N91,0))</f>
        <v>0</v>
      </c>
      <c r="P156" s="799">
        <f>MIN(IF(ISERROR(VLOOKUP(P$134-$F156,$E$135:$E$165,1,FALSE)),0,O24*$C$2),MAX((IF(Monthly!L$4=TRUE,Monthly!L$13,Monthly!L$14)*(1+'Attrition Modeling'!$N$8)-IFERROR(O24/O91,0)*12)/12*O91,0))</f>
        <v>0</v>
      </c>
      <c r="Q156" s="799">
        <f>MIN(IF(ISERROR(VLOOKUP(Q$134-$F156,$E$135:$E$165,1,FALSE)),0,P24*$C$2),MAX((IF(Monthly!M$4=TRUE,Monthly!M$13,Monthly!M$14)*(1+'Attrition Modeling'!$N$8)-IFERROR(P24/P91,0)*12)/12*P91,0))</f>
        <v>0</v>
      </c>
      <c r="R156" s="799">
        <f>MIN(IF(ISERROR(VLOOKUP(R$134-$F156,$E$135:$E$165,1,FALSE)),0,Q24*$C$2),MAX((IF(Monthly!N$4=TRUE,Monthly!N$13,Monthly!N$14)*(1+'Attrition Modeling'!$N$8)-IFERROR(Q24/Q91,0)*12)/12*Q91,0))</f>
        <v>0</v>
      </c>
      <c r="S156" s="799">
        <f>MIN(IF(ISERROR(VLOOKUP(S$134-$F156,$E$135:$E$165,1,FALSE)),0,R24*$C$2),MAX((IF(Monthly!O$4=TRUE,Monthly!O$13,Monthly!O$14)*(1+'Attrition Modeling'!$N$8)-IFERROR(R24/R91,0)*12)/12*R91,0))</f>
        <v>0</v>
      </c>
      <c r="T156" s="799">
        <f>MIN(IF(ISERROR(VLOOKUP(T$134-$F156,$E$135:$E$165,1,FALSE)),0,S24*$C$2),MAX((IF(Monthly!P$4=TRUE,Monthly!P$13,Monthly!P$14)*(1+'Attrition Modeling'!$N$8)-IFERROR(S24/S91,0)*12)/12*S91,0))</f>
        <v>0</v>
      </c>
      <c r="U156" s="799">
        <f>MIN(IF(ISERROR(VLOOKUP(U$134-$F156,$E$135:$E$165,1,FALSE)),0,T24*$C$2),MAX((IF(Monthly!Q$4=TRUE,Monthly!Q$13,Monthly!Q$14)*(1+'Attrition Modeling'!$N$8)-IFERROR(T24/T91,0)*12)/12*T91,0))</f>
        <v>0</v>
      </c>
      <c r="V156" s="799">
        <f>MIN(IF(ISERROR(VLOOKUP(V$134-$F156,$E$135:$E$165,1,FALSE)),0,U24*$C$2),MAX((IF(Monthly!R$4=TRUE,Monthly!R$13,Monthly!R$14)*(1+'Attrition Modeling'!$N$8)-IFERROR(U24/U91,0)*12)/12*U91,0))</f>
        <v>0</v>
      </c>
      <c r="W156" s="799">
        <f>MIN(IF(ISERROR(VLOOKUP(W$134-$F156,$E$135:$E$165,1,FALSE)),0,V24*$C$2),MAX((IF(Monthly!S$4=TRUE,Monthly!S$13,Monthly!S$14)*(1+'Attrition Modeling'!$N$8)-IFERROR(V24/V91,0)*12)/12*V91,0))</f>
        <v>0</v>
      </c>
      <c r="X156" s="799">
        <f>MIN(IF(ISERROR(VLOOKUP(X$134-$F156,$E$135:$E$165,1,FALSE)),0,W24*$C$2),MAX((IF(Monthly!T$4=TRUE,Monthly!T$13,Monthly!T$14)*(1+'Attrition Modeling'!$N$8)-IFERROR(W24/W91,0)*12)/12*W91,0))</f>
        <v>0</v>
      </c>
      <c r="Y156" s="799">
        <f>MIN(IF(ISERROR(VLOOKUP(Y$134-$F156,$E$135:$E$165,1,FALSE)),0,X24*$C$2),MAX((IF(Monthly!U$4=TRUE,Monthly!U$13,Monthly!U$14)*(1+'Attrition Modeling'!$N$8)-IFERROR(X24/X91,0)*12)/12*X91,0))</f>
        <v>0</v>
      </c>
      <c r="Z156" s="799">
        <f>MIN(IF(ISERROR(VLOOKUP(Z$134-$F156,$E$135:$E$165,1,FALSE)),0,Y24*$C$2),MAX((IF(Monthly!V$4=TRUE,Monthly!V$13,Monthly!V$14)*(1+'Attrition Modeling'!$N$8)-IFERROR(Y24/Y91,0)*12)/12*Y91,0))</f>
        <v>0</v>
      </c>
      <c r="AA156" s="799">
        <f>MIN(IF(ISERROR(VLOOKUP(AA$134-$F156,$E$135:$E$165,1,FALSE)),0,Z24*$C$2),MAX((IF(Monthly!W$4=TRUE,Monthly!W$13,Monthly!W$14)*(1+'Attrition Modeling'!$N$8)-IFERROR(Z24/Z91,0)*12)/12*Z91,0))</f>
        <v>0</v>
      </c>
      <c r="AB156" s="799">
        <f>MIN(IF(ISERROR(VLOOKUP(AB$134-$F156,$E$135:$E$165,1,FALSE)),0,AA24*$C$2),MAX((IF(Monthly!X$4=TRUE,Monthly!X$13,Monthly!X$14)*(1+'Attrition Modeling'!$N$8)-IFERROR(AA24/AA91,0)*12)/12*AA91,0))</f>
        <v>0</v>
      </c>
      <c r="AC156" s="799">
        <f>MIN(IF(ISERROR(VLOOKUP(AC$134-$F156,$E$135:$E$165,1,FALSE)),0,AB24*$C$2),MAX((IF(Monthly!Y$4=TRUE,Monthly!Y$13,Monthly!Y$14)*(1+'Attrition Modeling'!$N$8)-IFERROR(AB24/AB91,0)*12)/12*AB91,0))</f>
        <v>0</v>
      </c>
      <c r="AD156" s="799">
        <f>MIN(IF(ISERROR(VLOOKUP(AD$134-$F156,$E$135:$E$165,1,FALSE)),0,AC24*$C$2),MAX((IF(Monthly!Z$4=TRUE,Monthly!Z$13,Monthly!Z$14)*(1+'Attrition Modeling'!$N$8)-IFERROR(AC24/AC91,0)*12)/12*AC91,0))</f>
        <v>0</v>
      </c>
      <c r="AE156" s="799">
        <f>MIN(IF(ISERROR(VLOOKUP(AE$134-$F156,$E$135:$E$165,1,FALSE)),0,AD24*$C$2),MAX((IF(Monthly!AA$4=TRUE,Monthly!AA$13,Monthly!AA$14)*(1+'Attrition Modeling'!$N$8)-IFERROR(AD24/AD91,0)*12)/12*AD91,0))</f>
        <v>0</v>
      </c>
      <c r="AF156" s="799">
        <f>MIN(IF(ISERROR(VLOOKUP(AF$134-$F156,$E$135:$E$165,1,FALSE)),0,AE24*$C$2),MAX((IF(Monthly!AB$4=TRUE,Monthly!AB$13,Monthly!AB$14)*(1+'Attrition Modeling'!$N$8)-IFERROR(AE24/AE91,0)*12)/12*AE91,0))</f>
        <v>0</v>
      </c>
      <c r="AG156" s="799">
        <f>MIN(IF(ISERROR(VLOOKUP(AG$134-$F156,$E$135:$E$165,1,FALSE)),0,AF24*$C$2),MAX((IF(Monthly!AC$4=TRUE,Monthly!AC$13,Monthly!AC$14)*(1+'Attrition Modeling'!$N$8)-IFERROR(AF24/AF91,0)*12)/12*AF91,0))</f>
        <v>0</v>
      </c>
      <c r="AH156" s="799">
        <f>MIN(IF(ISERROR(VLOOKUP(AH$134-$F156,$E$135:$E$165,1,FALSE)),0,AG24*$C$2),MAX((IF(Monthly!AD$4=TRUE,Monthly!AD$13,Monthly!AD$14)*(1+'Attrition Modeling'!$N$8)-IFERROR(AG24/AG91,0)*12)/12*AG91,0))</f>
        <v>835.94004390681619</v>
      </c>
      <c r="AI156" s="799">
        <f>MIN(IF(ISERROR(VLOOKUP(AI$134-$F156,$E$135:$E$165,1,FALSE)),0,AH24*$C$2),MAX((IF(Monthly!AE$4=TRUE,Monthly!AE$13,Monthly!AE$14)*(1+'Attrition Modeling'!$N$8)-IFERROR(AH24/AH91,0)*12)/12*AH91,0))</f>
        <v>0</v>
      </c>
      <c r="AJ156" s="799">
        <f>MIN(IF(ISERROR(VLOOKUP(AJ$134-$F156,$E$135:$E$165,1,FALSE)),0,AI24*$C$2),MAX((IF(Monthly!AF$4=TRUE,Monthly!AF$13,Monthly!AF$14)*(1+'Attrition Modeling'!$N$8)-IFERROR(AI24/AI91,0)*12)/12*AI91,0))</f>
        <v>0</v>
      </c>
      <c r="AK156" s="799">
        <f>MIN(IF(ISERROR(VLOOKUP(AK$134-$F156,$E$135:$E$165,1,FALSE)),0,AJ24*$C$2),MAX((IF(Monthly!AG$4=TRUE,Monthly!AG$13,Monthly!AG$14)*(1+'Attrition Modeling'!$N$8)-IFERROR(AJ24/AJ91,0)*12)/12*AJ91,0))</f>
        <v>0</v>
      </c>
      <c r="AL156" s="799">
        <f>MIN(IF(ISERROR(VLOOKUP(AL$134-$F156,$E$135:$E$165,1,FALSE)),0,AK24*$C$2),MAX((IF(Monthly!AH$4=TRUE,Monthly!AH$13,Monthly!AH$14)*(1+'Attrition Modeling'!$N$8)-IFERROR(AK24/AK91,0)*12)/12*AK91,0))</f>
        <v>0</v>
      </c>
      <c r="AM156" s="799">
        <f>MIN(IF(ISERROR(VLOOKUP(AM$134-$F156,$E$135:$E$165,1,FALSE)),0,AL24*$C$2),MAX((IF(Monthly!AI$4=TRUE,Monthly!AI$13,Monthly!AI$14)*(1+'Attrition Modeling'!$N$8)-IFERROR(AL24/AL91,0)*12)/12*AL91,0))</f>
        <v>0</v>
      </c>
      <c r="AN156" s="799">
        <f>MIN(IF(ISERROR(VLOOKUP(AN$134-$F156,$E$135:$E$165,1,FALSE)),0,AM24*$C$2),MAX((IF(Monthly!AJ$4=TRUE,Monthly!AJ$13,Monthly!AJ$14)*(1+'Attrition Modeling'!$N$8)-IFERROR(AM24/AM91,0)*12)/12*AM91,0))</f>
        <v>0</v>
      </c>
      <c r="AO156" s="799">
        <f>MIN(IF(ISERROR(VLOOKUP(AO$134-$F156,$E$135:$E$165,1,FALSE)),0,AN24*$C$2),MAX((IF(Monthly!AK$4=TRUE,Monthly!AK$13,Monthly!AK$14)*(1+'Attrition Modeling'!$N$8)-IFERROR(AN24/AN91,0)*12)/12*AN91,0))</f>
        <v>0</v>
      </c>
      <c r="AP156" s="799">
        <f>MIN(IF(ISERROR(VLOOKUP(AP$134-$F156,$E$135:$E$165,1,FALSE)),0,AO24*$C$2),MAX((IF(Monthly!AL$4=TRUE,Monthly!AL$13,Monthly!AL$14)*(1+'Attrition Modeling'!$N$8)-IFERROR(AO24/AO91,0)*12)/12*AO91,0))</f>
        <v>0</v>
      </c>
      <c r="AQ156" s="799">
        <f>MIN(IF(ISERROR(VLOOKUP(AQ$134-$F156,$E$135:$E$165,1,FALSE)),0,AP24*$C$2),MAX((IF(Monthly!AM$4=TRUE,Monthly!AM$13,Monthly!AM$14)*(1+'Attrition Modeling'!$N$8)-IFERROR(AP24/AP91,0)*12)/12*AP91,0))</f>
        <v>0</v>
      </c>
      <c r="AR156" s="799">
        <f>MIN(IF(ISERROR(VLOOKUP(AR$134-$F156,$E$135:$E$165,1,FALSE)),0,AQ24*$C$2),MAX((IF(Monthly!AN$4=TRUE,Monthly!AN$13,Monthly!AN$14)*(1+'Attrition Modeling'!$N$8)-IFERROR(AQ24/AQ91,0)*12)/12*AQ91,0))</f>
        <v>0</v>
      </c>
      <c r="AS156" s="799">
        <f>MIN(IF(ISERROR(VLOOKUP(AS$134-$F156,$E$135:$E$165,1,FALSE)),0,AR24*$C$2),MAX((IF(Monthly!AO$4=TRUE,Monthly!AO$13,Monthly!AO$14)*(1+'Attrition Modeling'!$N$8)-IFERROR(AR24/AR91,0)*12)/12*AR91,0))</f>
        <v>0</v>
      </c>
      <c r="AT156" s="799">
        <f>MIN(IF(ISERROR(VLOOKUP(AT$134-$F156,$E$135:$E$165,1,FALSE)),0,AS24*$C$2),MAX((IF(Monthly!AP$4=TRUE,Monthly!AP$13,Monthly!AP$14)*(1+'Attrition Modeling'!$N$8)-IFERROR(AS24/AS91,0)*12)/12*AS91,0))</f>
        <v>436.36716116087194</v>
      </c>
      <c r="AU156" s="799">
        <f>MIN(IF(ISERROR(VLOOKUP(AU$134-$F156,$E$135:$E$165,1,FALSE)),0,AT24*$C$2),MAX((IF(Monthly!AQ$4=TRUE,Monthly!AQ$13,Monthly!AQ$14)*(1+'Attrition Modeling'!$N$8)-IFERROR(AT24/AT91,0)*12)/12*AT91,0))</f>
        <v>0</v>
      </c>
      <c r="AV156" s="799">
        <f>MIN(IF(ISERROR(VLOOKUP(AV$134-$F156,$E$135:$E$165,1,FALSE)),0,AU24*$C$2),MAX((IF(Monthly!AR$4=TRUE,Monthly!AR$13,Monthly!AR$14)*(1+'Attrition Modeling'!$N$8)-IFERROR(AU24/AU91,0)*12)/12*AU91,0))</f>
        <v>0</v>
      </c>
      <c r="AW156" s="799">
        <f>MIN(IF(ISERROR(VLOOKUP(AW$134-$F156,$E$135:$E$165,1,FALSE)),0,AV24*$C$2),MAX((IF(Monthly!AS$4=TRUE,Monthly!AS$13,Monthly!AS$14)*(1+'Attrition Modeling'!$N$8)-IFERROR(AV24/AV91,0)*12)/12*AV91,0))</f>
        <v>0</v>
      </c>
      <c r="AX156" s="799">
        <f>MIN(IF(ISERROR(VLOOKUP(AX$134-$F156,$E$135:$E$165,1,FALSE)),0,AW24*$C$2),MAX((IF(Monthly!AT$4=TRUE,Monthly!AT$13,Monthly!AT$14)*(1+'Attrition Modeling'!$N$8)-IFERROR(AW24/AW91,0)*12)/12*AW91,0))</f>
        <v>0</v>
      </c>
      <c r="AY156" s="799">
        <f>MIN(IF(ISERROR(VLOOKUP(AY$134-$F156,$E$135:$E$165,1,FALSE)),0,AX24*$C$2),MAX((IF(Monthly!AU$4=TRUE,Monthly!AU$13,Monthly!AU$14)*(1+'Attrition Modeling'!$N$8)-IFERROR(AX24/AX91,0)*12)/12*AX91,0))</f>
        <v>0</v>
      </c>
      <c r="AZ156" s="799">
        <f>MIN(IF(ISERROR(VLOOKUP(AZ$134-$F156,$E$135:$E$165,1,FALSE)),0,AY24*$C$2),MAX((IF(Monthly!AV$4=TRUE,Monthly!AV$13,Monthly!AV$14)*(1+'Attrition Modeling'!$N$8)-IFERROR(AY24/AY91,0)*12)/12*AY91,0))</f>
        <v>0</v>
      </c>
      <c r="BA156" s="799">
        <f>MIN(IF(ISERROR(VLOOKUP(BA$134-$F156,$E$135:$E$165,1,FALSE)),0,AZ24*$C$2),MAX((IF(Monthly!AW$4=TRUE,Monthly!AW$13,Monthly!AW$14)*(1+'Attrition Modeling'!$N$8)-IFERROR(AZ24/AZ91,0)*12)/12*AZ91,0))</f>
        <v>0</v>
      </c>
      <c r="BB156" s="799">
        <f>MIN(IF(ISERROR(VLOOKUP(BB$134-$F156,$E$135:$E$165,1,FALSE)),0,BA24*$C$2),MAX((IF(Monthly!AX$4=TRUE,Monthly!AX$13,Monthly!AX$14)*(1+'Attrition Modeling'!$N$8)-IFERROR(BA24/BA91,0)*12)/12*BA91,0))</f>
        <v>0</v>
      </c>
      <c r="BC156" s="799">
        <f>MIN(IF(ISERROR(VLOOKUP(BC$134-$F156,$E$135:$E$165,1,FALSE)),0,BB24*$C$2),MAX((IF(Monthly!AY$4=TRUE,Monthly!AY$13,Monthly!AY$14)*(1+'Attrition Modeling'!$N$8)-IFERROR(BB24/BB91,0)*12)/12*BB91,0))</f>
        <v>0</v>
      </c>
      <c r="BD156" s="799">
        <f>MIN(IF(ISERROR(VLOOKUP(BD$134-$F156,$E$135:$E$165,1,FALSE)),0,BC24*$C$2),MAX((IF(Monthly!AZ$4=TRUE,Monthly!AZ$13,Monthly!AZ$14)*(1+'Attrition Modeling'!$N$8)-IFERROR(BC24/BC91,0)*12)/12*BC91,0))</f>
        <v>0</v>
      </c>
      <c r="BE156" s="799">
        <f>MIN(IF(ISERROR(VLOOKUP(BE$134-$F156,$E$135:$E$165,1,FALSE)),0,BD24*$C$2),MAX((IF(Monthly!BA$4=TRUE,Monthly!BA$13,Monthly!BA$14)*(1+'Attrition Modeling'!$N$8)-IFERROR(BD24/BD91,0)*12)/12*BD91,0))</f>
        <v>0</v>
      </c>
      <c r="BF156" s="799">
        <f>MIN(IF(ISERROR(VLOOKUP(BF$134-$F156,$E$135:$E$165,1,FALSE)),0,BE24*$C$2),MAX((IF(Monthly!BB$4=TRUE,Monthly!BB$13,Monthly!BB$14)*(1+'Attrition Modeling'!$N$8)-IFERROR(BE24/BE91,0)*12)/12*BE91,0))</f>
        <v>293.7263144381962</v>
      </c>
      <c r="BG156" s="799">
        <f>MIN(IF(ISERROR(VLOOKUP(BG$134-$F156,$E$135:$E$165,1,FALSE)),0,BF24*$C$2),MAX((IF(Monthly!BC$4=TRUE,Monthly!BC$13,Monthly!BC$14)*(1+'Attrition Modeling'!$N$8)-IFERROR(BF24/BF91,0)*12)/12*BF91,0))</f>
        <v>0</v>
      </c>
      <c r="BH156" s="799">
        <f>MIN(IF(ISERROR(VLOOKUP(BH$134-$F156,$E$135:$E$165,1,FALSE)),0,BG24*$C$2),MAX((IF(Monthly!BD$4=TRUE,Monthly!BD$13,Monthly!BD$14)*(1+'Attrition Modeling'!$N$8)-IFERROR(BG24/BG91,0)*12)/12*BG91,0))</f>
        <v>0</v>
      </c>
      <c r="BI156" s="799">
        <f>MIN(IF(ISERROR(VLOOKUP(BI$134-$F156,$E$135:$E$165,1,FALSE)),0,BH24*$C$2),MAX((IF(Monthly!BE$4=TRUE,Monthly!BE$13,Monthly!BE$14)*(1+'Attrition Modeling'!$N$8)-IFERROR(BH24/BH91,0)*12)/12*BH91,0))</f>
        <v>0</v>
      </c>
      <c r="BJ156" s="799">
        <f>MIN(IF(ISERROR(VLOOKUP(BJ$134-$F156,$E$135:$E$165,1,FALSE)),0,BI24*$C$2),MAX((IF(Monthly!BF$4=TRUE,Monthly!BF$13,Monthly!BF$14)*(1+'Attrition Modeling'!$N$8)-IFERROR(BI24/BI91,0)*12)/12*BI91,0))</f>
        <v>0</v>
      </c>
      <c r="BK156" s="799">
        <f>MIN(IF(ISERROR(VLOOKUP(BK$134-$F156,$E$135:$E$165,1,FALSE)),0,BJ24*$C$2),MAX((IF(Monthly!BG$4=TRUE,Monthly!BG$13,Monthly!BG$14)*(1+'Attrition Modeling'!$N$8)-IFERROR(BJ24/BJ91,0)*12)/12*BJ91,0))</f>
        <v>0</v>
      </c>
      <c r="BL156" s="799">
        <f>MIN(IF(ISERROR(VLOOKUP(BL$134-$F156,$E$135:$E$165,1,FALSE)),0,BK24*$C$2),MAX((IF(Monthly!BH$4=TRUE,Monthly!BH$13,Monthly!BH$14)*(1+'Attrition Modeling'!$N$8)-IFERROR(BK24/BK91,0)*12)/12*BK91,0))</f>
        <v>0</v>
      </c>
      <c r="BM156" s="799">
        <f>MIN(IF(ISERROR(VLOOKUP(BM$134-$F156,$E$135:$E$165,1,FALSE)),0,BL24*$C$2),MAX((IF(Monthly!BI$4=TRUE,Monthly!BI$13,Monthly!BI$14)*(1+'Attrition Modeling'!$N$8)-IFERROR(BL24/BL91,0)*12)/12*BL91,0))</f>
        <v>0</v>
      </c>
      <c r="BN156" s="799">
        <f>MIN(IF(ISERROR(VLOOKUP(BN$134-$F156,$E$135:$E$165,1,FALSE)),0,BM24*$C$2),MAX((IF(Monthly!BJ$4=TRUE,Monthly!BJ$13,Monthly!BJ$14)*(1+'Attrition Modeling'!$N$8)-IFERROR(BM24/BM91,0)*12)/12*BM91,0))</f>
        <v>0</v>
      </c>
      <c r="BO156" s="799">
        <f>MIN(IF(ISERROR(VLOOKUP(BO$134-$F156,$E$135:$E$165,1,FALSE)),0,BN24*$C$2),MAX((IF(Monthly!BK$4=TRUE,Monthly!BK$13,Monthly!BK$14)*(1+'Attrition Modeling'!$N$8)-IFERROR(BN24/BN91,0)*12)/12*BN91,0))</f>
        <v>0</v>
      </c>
      <c r="BP156" s="799">
        <f>MIN(IF(ISERROR(VLOOKUP(BP$134-$F156,$E$135:$E$165,1,FALSE)),0,BO24*$C$2),MAX((IF(Monthly!BP$4=TRUE,Monthly!BP$13,Monthly!BP$14)*(1+'Attrition Modeling'!$N$8)-IFERROR(BO24/BO91,0)*12)/12*BO91,0))</f>
        <v>0</v>
      </c>
      <c r="BQ156" s="799">
        <f>MIN(IF(ISERROR(VLOOKUP(BQ$134-$F156,$E$135:$E$165,1,FALSE)),0,BP24*$C$2),MAX((IF(Monthly!BQ$4=TRUE,Monthly!BQ$13,Monthly!BQ$14)*(1+'Attrition Modeling'!$N$8)-IFERROR(BP24/BP91,0)*12)/12*BP91,0))</f>
        <v>0</v>
      </c>
      <c r="BR156" s="799">
        <f>MIN(IF(ISERROR(VLOOKUP(BR$134-$F156,$E$135:$E$165,1,FALSE)),0,BQ24*$C$2),MAX((IF(Monthly!BR$4=TRUE,Monthly!BR$13,Monthly!BR$14)*(1+'Attrition Modeling'!$N$8)-IFERROR(BQ24/BQ91,0)*12)/12*BQ91,0))</f>
        <v>51.878727453313715</v>
      </c>
      <c r="BS156" s="799">
        <f>MIN(IF(ISERROR(VLOOKUP(BS$134-$F156,$E$135:$E$165,1,FALSE)),0,BR24*$C$2),MAX((IF(Monthly!BS$4=TRUE,Monthly!BS$13,Monthly!BS$14)*(1+'Attrition Modeling'!$N$8)-IFERROR(BR24/BR91,0)*12)/12*BR91,0))</f>
        <v>0</v>
      </c>
      <c r="BT156" s="799">
        <f>MIN(IF(ISERROR(VLOOKUP(BT$134-$F156,$E$135:$E$165,1,FALSE)),0,BS24*$C$2),MAX((IF(Monthly!BT$4=TRUE,Monthly!BT$13,Monthly!BT$14)*(1+'Attrition Modeling'!$N$8)-IFERROR(BS24/BS91,0)*12)/12*BS91,0))</f>
        <v>0</v>
      </c>
      <c r="BU156" s="799">
        <f>MIN(IF(ISERROR(VLOOKUP(BU$134-$F156,$E$135:$E$165,1,FALSE)),0,BT24*$C$2),MAX((IF(Monthly!BU$4=TRUE,Monthly!BU$13,Monthly!BU$14)*(1+'Attrition Modeling'!$N$8)-IFERROR(BT24/BT91,0)*12)/12*BT91,0))</f>
        <v>0</v>
      </c>
    </row>
    <row r="157" spans="1:73" ht="14.25" customHeight="1" x14ac:dyDescent="0.2">
      <c r="A157" s="9">
        <v>150</v>
      </c>
      <c r="B157" s="25">
        <f>MAX('Attrition Modeling'!H154,$C$3)*(1-Summary!$C$20)</f>
        <v>0.02</v>
      </c>
      <c r="C157" s="24" t="e">
        <f t="shared" si="4"/>
        <v>#DIV/0!</v>
      </c>
      <c r="E157" s="11">
        <f t="shared" si="13"/>
        <v>270</v>
      </c>
      <c r="F157" s="11">
        <f t="shared" si="14"/>
        <v>22</v>
      </c>
      <c r="G157" s="799"/>
      <c r="H157" s="799">
        <f>MIN(IF(ISERROR(VLOOKUP(H$134-$F157,$E$135:$E$165,1,FALSE)),0,G25*$C$2),MAX((IF(Monthly!D$4=TRUE,Monthly!D$13,Monthly!D$14)*(1+'Attrition Modeling'!$N$8)-IFERROR(G25/G92,0)*12)/12*G92,0))</f>
        <v>0</v>
      </c>
      <c r="I157" s="799">
        <f>MIN(IF(ISERROR(VLOOKUP(I$134-$F157,$E$135:$E$165,1,FALSE)),0,H25*$C$2),MAX((IF(Monthly!E$4=TRUE,Monthly!E$13,Monthly!E$14)*(1+'Attrition Modeling'!$N$8)-IFERROR(H25/H92,0)*12)/12*H92,0))</f>
        <v>0</v>
      </c>
      <c r="J157" s="799">
        <f>MIN(IF(ISERROR(VLOOKUP(J$134-$F157,$E$135:$E$165,1,FALSE)),0,I25*$C$2),MAX((IF(Monthly!F$4=TRUE,Monthly!F$13,Monthly!F$14)*(1+'Attrition Modeling'!$N$8)-IFERROR(I25/I92,0)*12)/12*I92,0))</f>
        <v>0</v>
      </c>
      <c r="K157" s="799">
        <f>MIN(IF(ISERROR(VLOOKUP(K$134-$F157,$E$135:$E$165,1,FALSE)),0,J25*$C$2),MAX((IF(Monthly!G$4=TRUE,Monthly!G$13,Monthly!G$14)*(1+'Attrition Modeling'!$N$8)-IFERROR(J25/J92,0)*12)/12*J92,0))</f>
        <v>0</v>
      </c>
      <c r="L157" s="799">
        <f>MIN(IF(ISERROR(VLOOKUP(L$134-$F157,$E$135:$E$165,1,FALSE)),0,K25*$C$2),MAX((IF(Monthly!H$4=TRUE,Monthly!H$13,Monthly!H$14)*(1+'Attrition Modeling'!$N$8)-IFERROR(K25/K92,0)*12)/12*K92,0))</f>
        <v>0</v>
      </c>
      <c r="M157" s="799">
        <f>MIN(IF(ISERROR(VLOOKUP(M$134-$F157,$E$135:$E$165,1,FALSE)),0,L25*$C$2),MAX((IF(Monthly!I$4=TRUE,Monthly!I$13,Monthly!I$14)*(1+'Attrition Modeling'!$N$8)-IFERROR(L25/L92,0)*12)/12*L92,0))</f>
        <v>0</v>
      </c>
      <c r="N157" s="799">
        <f>MIN(IF(ISERROR(VLOOKUP(N$134-$F157,$E$135:$E$165,1,FALSE)),0,M25*$C$2),MAX((IF(Monthly!J$4=TRUE,Monthly!J$13,Monthly!J$14)*(1+'Attrition Modeling'!$N$8)-IFERROR(M25/M92,0)*12)/12*M92,0))</f>
        <v>0</v>
      </c>
      <c r="O157" s="799">
        <f>MIN(IF(ISERROR(VLOOKUP(O$134-$F157,$E$135:$E$165,1,FALSE)),0,N25*$C$2),MAX((IF(Monthly!K$4=TRUE,Monthly!K$13,Monthly!K$14)*(1+'Attrition Modeling'!$N$8)-IFERROR(N25/N92,0)*12)/12*N92,0))</f>
        <v>0</v>
      </c>
      <c r="P157" s="799">
        <f>MIN(IF(ISERROR(VLOOKUP(P$134-$F157,$E$135:$E$165,1,FALSE)),0,O25*$C$2),MAX((IF(Monthly!L$4=TRUE,Monthly!L$13,Monthly!L$14)*(1+'Attrition Modeling'!$N$8)-IFERROR(O25/O92,0)*12)/12*O92,0))</f>
        <v>0</v>
      </c>
      <c r="Q157" s="799">
        <f>MIN(IF(ISERROR(VLOOKUP(Q$134-$F157,$E$135:$E$165,1,FALSE)),0,P25*$C$2),MAX((IF(Monthly!M$4=TRUE,Monthly!M$13,Monthly!M$14)*(1+'Attrition Modeling'!$N$8)-IFERROR(P25/P92,0)*12)/12*P92,0))</f>
        <v>0</v>
      </c>
      <c r="R157" s="799">
        <f>MIN(IF(ISERROR(VLOOKUP(R$134-$F157,$E$135:$E$165,1,FALSE)),0,Q25*$C$2),MAX((IF(Monthly!N$4=TRUE,Monthly!N$13,Monthly!N$14)*(1+'Attrition Modeling'!$N$8)-IFERROR(Q25/Q92,0)*12)/12*Q92,0))</f>
        <v>0</v>
      </c>
      <c r="S157" s="799">
        <f>MIN(IF(ISERROR(VLOOKUP(S$134-$F157,$E$135:$E$165,1,FALSE)),0,R25*$C$2),MAX((IF(Monthly!O$4=TRUE,Monthly!O$13,Monthly!O$14)*(1+'Attrition Modeling'!$N$8)-IFERROR(R25/R92,0)*12)/12*R92,0))</f>
        <v>0</v>
      </c>
      <c r="T157" s="799">
        <f>MIN(IF(ISERROR(VLOOKUP(T$134-$F157,$E$135:$E$165,1,FALSE)),0,S25*$C$2),MAX((IF(Monthly!P$4=TRUE,Monthly!P$13,Monthly!P$14)*(1+'Attrition Modeling'!$N$8)-IFERROR(S25/S92,0)*12)/12*S92,0))</f>
        <v>0</v>
      </c>
      <c r="U157" s="799">
        <f>MIN(IF(ISERROR(VLOOKUP(U$134-$F157,$E$135:$E$165,1,FALSE)),0,T25*$C$2),MAX((IF(Monthly!Q$4=TRUE,Monthly!Q$13,Monthly!Q$14)*(1+'Attrition Modeling'!$N$8)-IFERROR(T25/T92,0)*12)/12*T92,0))</f>
        <v>0</v>
      </c>
      <c r="V157" s="799">
        <f>MIN(IF(ISERROR(VLOOKUP(V$134-$F157,$E$135:$E$165,1,FALSE)),0,U25*$C$2),MAX((IF(Monthly!R$4=TRUE,Monthly!R$13,Monthly!R$14)*(1+'Attrition Modeling'!$N$8)-IFERROR(U25/U92,0)*12)/12*U92,0))</f>
        <v>0</v>
      </c>
      <c r="W157" s="799">
        <f>MIN(IF(ISERROR(VLOOKUP(W$134-$F157,$E$135:$E$165,1,FALSE)),0,V25*$C$2),MAX((IF(Monthly!S$4=TRUE,Monthly!S$13,Monthly!S$14)*(1+'Attrition Modeling'!$N$8)-IFERROR(V25/V92,0)*12)/12*V92,0))</f>
        <v>0</v>
      </c>
      <c r="X157" s="799">
        <f>MIN(IF(ISERROR(VLOOKUP(X$134-$F157,$E$135:$E$165,1,FALSE)),0,W25*$C$2),MAX((IF(Monthly!T$4=TRUE,Monthly!T$13,Monthly!T$14)*(1+'Attrition Modeling'!$N$8)-IFERROR(W25/W92,0)*12)/12*W92,0))</f>
        <v>0</v>
      </c>
      <c r="Y157" s="799">
        <f>MIN(IF(ISERROR(VLOOKUP(Y$134-$F157,$E$135:$E$165,1,FALSE)),0,X25*$C$2),MAX((IF(Monthly!U$4=TRUE,Monthly!U$13,Monthly!U$14)*(1+'Attrition Modeling'!$N$8)-IFERROR(X25/X92,0)*12)/12*X92,0))</f>
        <v>0</v>
      </c>
      <c r="Z157" s="799">
        <f>MIN(IF(ISERROR(VLOOKUP(Z$134-$F157,$E$135:$E$165,1,FALSE)),0,Y25*$C$2),MAX((IF(Monthly!V$4=TRUE,Monthly!V$13,Monthly!V$14)*(1+'Attrition Modeling'!$N$8)-IFERROR(Y25/Y92,0)*12)/12*Y92,0))</f>
        <v>0</v>
      </c>
      <c r="AA157" s="799">
        <f>MIN(IF(ISERROR(VLOOKUP(AA$134-$F157,$E$135:$E$165,1,FALSE)),0,Z25*$C$2),MAX((IF(Monthly!W$4=TRUE,Monthly!W$13,Monthly!W$14)*(1+'Attrition Modeling'!$N$8)-IFERROR(Z25/Z92,0)*12)/12*Z92,0))</f>
        <v>0</v>
      </c>
      <c r="AB157" s="799">
        <f>MIN(IF(ISERROR(VLOOKUP(AB$134-$F157,$E$135:$E$165,1,FALSE)),0,AA25*$C$2),MAX((IF(Monthly!X$4=TRUE,Monthly!X$13,Monthly!X$14)*(1+'Attrition Modeling'!$N$8)-IFERROR(AA25/AA92,0)*12)/12*AA92,0))</f>
        <v>0</v>
      </c>
      <c r="AC157" s="799">
        <f>MIN(IF(ISERROR(VLOOKUP(AC$134-$F157,$E$135:$E$165,1,FALSE)),0,AB25*$C$2),MAX((IF(Monthly!Y$4=TRUE,Monthly!Y$13,Monthly!Y$14)*(1+'Attrition Modeling'!$N$8)-IFERROR(AB25/AB92,0)*12)/12*AB92,0))</f>
        <v>0</v>
      </c>
      <c r="AD157" s="799">
        <f>MIN(IF(ISERROR(VLOOKUP(AD$134-$F157,$E$135:$E$165,1,FALSE)),0,AC25*$C$2),MAX((IF(Monthly!Z$4=TRUE,Monthly!Z$13,Monthly!Z$14)*(1+'Attrition Modeling'!$N$8)-IFERROR(AC25/AC92,0)*12)/12*AC92,0))</f>
        <v>0</v>
      </c>
      <c r="AE157" s="799">
        <f>MIN(IF(ISERROR(VLOOKUP(AE$134-$F157,$E$135:$E$165,1,FALSE)),0,AD25*$C$2),MAX((IF(Monthly!AA$4=TRUE,Monthly!AA$13,Monthly!AA$14)*(1+'Attrition Modeling'!$N$8)-IFERROR(AD25/AD92,0)*12)/12*AD92,0))</f>
        <v>0</v>
      </c>
      <c r="AF157" s="799">
        <f>MIN(IF(ISERROR(VLOOKUP(AF$134-$F157,$E$135:$E$165,1,FALSE)),0,AE25*$C$2),MAX((IF(Monthly!AB$4=TRUE,Monthly!AB$13,Monthly!AB$14)*(1+'Attrition Modeling'!$N$8)-IFERROR(AE25/AE92,0)*12)/12*AE92,0))</f>
        <v>0</v>
      </c>
      <c r="AG157" s="799">
        <f>MIN(IF(ISERROR(VLOOKUP(AG$134-$F157,$E$135:$E$165,1,FALSE)),0,AF25*$C$2),MAX((IF(Monthly!AC$4=TRUE,Monthly!AC$13,Monthly!AC$14)*(1+'Attrition Modeling'!$N$8)-IFERROR(AF25/AF92,0)*12)/12*AF92,0))</f>
        <v>0</v>
      </c>
      <c r="AH157" s="799">
        <f>MIN(IF(ISERROR(VLOOKUP(AH$134-$F157,$E$135:$E$165,1,FALSE)),0,AG25*$C$2),MAX((IF(Monthly!AD$4=TRUE,Monthly!AD$13,Monthly!AD$14)*(1+'Attrition Modeling'!$N$8)-IFERROR(AG25/AG92,0)*12)/12*AG92,0))</f>
        <v>0</v>
      </c>
      <c r="AI157" s="799">
        <f>MIN(IF(ISERROR(VLOOKUP(AI$134-$F157,$E$135:$E$165,1,FALSE)),0,AH25*$C$2),MAX((IF(Monthly!AE$4=TRUE,Monthly!AE$13,Monthly!AE$14)*(1+'Attrition Modeling'!$N$8)-IFERROR(AH25/AH92,0)*12)/12*AH92,0))</f>
        <v>805.86180497480598</v>
      </c>
      <c r="AJ157" s="799">
        <f>MIN(IF(ISERROR(VLOOKUP(AJ$134-$F157,$E$135:$E$165,1,FALSE)),0,AI25*$C$2),MAX((IF(Monthly!AF$4=TRUE,Monthly!AF$13,Monthly!AF$14)*(1+'Attrition Modeling'!$N$8)-IFERROR(AI25/AI92,0)*12)/12*AI92,0))</f>
        <v>0</v>
      </c>
      <c r="AK157" s="799">
        <f>MIN(IF(ISERROR(VLOOKUP(AK$134-$F157,$E$135:$E$165,1,FALSE)),0,AJ25*$C$2),MAX((IF(Monthly!AG$4=TRUE,Monthly!AG$13,Monthly!AG$14)*(1+'Attrition Modeling'!$N$8)-IFERROR(AJ25/AJ92,0)*12)/12*AJ92,0))</f>
        <v>0</v>
      </c>
      <c r="AL157" s="799">
        <f>MIN(IF(ISERROR(VLOOKUP(AL$134-$F157,$E$135:$E$165,1,FALSE)),0,AK25*$C$2),MAX((IF(Monthly!AH$4=TRUE,Monthly!AH$13,Monthly!AH$14)*(1+'Attrition Modeling'!$N$8)-IFERROR(AK25/AK92,0)*12)/12*AK92,0))</f>
        <v>0</v>
      </c>
      <c r="AM157" s="799">
        <f>MIN(IF(ISERROR(VLOOKUP(AM$134-$F157,$E$135:$E$165,1,FALSE)),0,AL25*$C$2),MAX((IF(Monthly!AI$4=TRUE,Monthly!AI$13,Monthly!AI$14)*(1+'Attrition Modeling'!$N$8)-IFERROR(AL25/AL92,0)*12)/12*AL92,0))</f>
        <v>0</v>
      </c>
      <c r="AN157" s="799">
        <f>MIN(IF(ISERROR(VLOOKUP(AN$134-$F157,$E$135:$E$165,1,FALSE)),0,AM25*$C$2),MAX((IF(Monthly!AJ$4=TRUE,Monthly!AJ$13,Monthly!AJ$14)*(1+'Attrition Modeling'!$N$8)-IFERROR(AM25/AM92,0)*12)/12*AM92,0))</f>
        <v>0</v>
      </c>
      <c r="AO157" s="799">
        <f>MIN(IF(ISERROR(VLOOKUP(AO$134-$F157,$E$135:$E$165,1,FALSE)),0,AN25*$C$2),MAX((IF(Monthly!AK$4=TRUE,Monthly!AK$13,Monthly!AK$14)*(1+'Attrition Modeling'!$N$8)-IFERROR(AN25/AN92,0)*12)/12*AN92,0))</f>
        <v>0</v>
      </c>
      <c r="AP157" s="799">
        <f>MIN(IF(ISERROR(VLOOKUP(AP$134-$F157,$E$135:$E$165,1,FALSE)),0,AO25*$C$2),MAX((IF(Monthly!AL$4=TRUE,Monthly!AL$13,Monthly!AL$14)*(1+'Attrition Modeling'!$N$8)-IFERROR(AO25/AO92,0)*12)/12*AO92,0))</f>
        <v>0</v>
      </c>
      <c r="AQ157" s="799">
        <f>MIN(IF(ISERROR(VLOOKUP(AQ$134-$F157,$E$135:$E$165,1,FALSE)),0,AP25*$C$2),MAX((IF(Monthly!AM$4=TRUE,Monthly!AM$13,Monthly!AM$14)*(1+'Attrition Modeling'!$N$8)-IFERROR(AP25/AP92,0)*12)/12*AP92,0))</f>
        <v>0</v>
      </c>
      <c r="AR157" s="799">
        <f>MIN(IF(ISERROR(VLOOKUP(AR$134-$F157,$E$135:$E$165,1,FALSE)),0,AQ25*$C$2),MAX((IF(Monthly!AN$4=TRUE,Monthly!AN$13,Monthly!AN$14)*(1+'Attrition Modeling'!$N$8)-IFERROR(AQ25/AQ92,0)*12)/12*AQ92,0))</f>
        <v>0</v>
      </c>
      <c r="AS157" s="799">
        <f>MIN(IF(ISERROR(VLOOKUP(AS$134-$F157,$E$135:$E$165,1,FALSE)),0,AR25*$C$2),MAX((IF(Monthly!AO$4=TRUE,Monthly!AO$13,Monthly!AO$14)*(1+'Attrition Modeling'!$N$8)-IFERROR(AR25/AR92,0)*12)/12*AR92,0))</f>
        <v>0</v>
      </c>
      <c r="AT157" s="799">
        <f>MIN(IF(ISERROR(VLOOKUP(AT$134-$F157,$E$135:$E$165,1,FALSE)),0,AS25*$C$2),MAX((IF(Monthly!AP$4=TRUE,Monthly!AP$13,Monthly!AP$14)*(1+'Attrition Modeling'!$N$8)-IFERROR(AS25/AS92,0)*12)/12*AS92,0))</f>
        <v>0</v>
      </c>
      <c r="AU157" s="799">
        <f>MIN(IF(ISERROR(VLOOKUP(AU$134-$F157,$E$135:$E$165,1,FALSE)),0,AT25*$C$2),MAX((IF(Monthly!AQ$4=TRUE,Monthly!AQ$13,Monthly!AQ$14)*(1+'Attrition Modeling'!$N$8)-IFERROR(AT25/AT92,0)*12)/12*AT92,0))</f>
        <v>420.27795929680275</v>
      </c>
      <c r="AV157" s="799">
        <f>MIN(IF(ISERROR(VLOOKUP(AV$134-$F157,$E$135:$E$165,1,FALSE)),0,AU25*$C$2),MAX((IF(Monthly!AR$4=TRUE,Monthly!AR$13,Monthly!AR$14)*(1+'Attrition Modeling'!$N$8)-IFERROR(AU25/AU92,0)*12)/12*AU92,0))</f>
        <v>0</v>
      </c>
      <c r="AW157" s="799">
        <f>MIN(IF(ISERROR(VLOOKUP(AW$134-$F157,$E$135:$E$165,1,FALSE)),0,AV25*$C$2),MAX((IF(Monthly!AS$4=TRUE,Monthly!AS$13,Monthly!AS$14)*(1+'Attrition Modeling'!$N$8)-IFERROR(AV25/AV92,0)*12)/12*AV92,0))</f>
        <v>0</v>
      </c>
      <c r="AX157" s="799">
        <f>MIN(IF(ISERROR(VLOOKUP(AX$134-$F157,$E$135:$E$165,1,FALSE)),0,AW25*$C$2),MAX((IF(Monthly!AT$4=TRUE,Monthly!AT$13,Monthly!AT$14)*(1+'Attrition Modeling'!$N$8)-IFERROR(AW25/AW92,0)*12)/12*AW92,0))</f>
        <v>0</v>
      </c>
      <c r="AY157" s="799">
        <f>MIN(IF(ISERROR(VLOOKUP(AY$134-$F157,$E$135:$E$165,1,FALSE)),0,AX25*$C$2),MAX((IF(Monthly!AU$4=TRUE,Monthly!AU$13,Monthly!AU$14)*(1+'Attrition Modeling'!$N$8)-IFERROR(AX25/AX92,0)*12)/12*AX92,0))</f>
        <v>0</v>
      </c>
      <c r="AZ157" s="799">
        <f>MIN(IF(ISERROR(VLOOKUP(AZ$134-$F157,$E$135:$E$165,1,FALSE)),0,AY25*$C$2),MAX((IF(Monthly!AV$4=TRUE,Monthly!AV$13,Monthly!AV$14)*(1+'Attrition Modeling'!$N$8)-IFERROR(AY25/AY92,0)*12)/12*AY92,0))</f>
        <v>0</v>
      </c>
      <c r="BA157" s="799">
        <f>MIN(IF(ISERROR(VLOOKUP(BA$134-$F157,$E$135:$E$165,1,FALSE)),0,AZ25*$C$2),MAX((IF(Monthly!AW$4=TRUE,Monthly!AW$13,Monthly!AW$14)*(1+'Attrition Modeling'!$N$8)-IFERROR(AZ25/AZ92,0)*12)/12*AZ92,0))</f>
        <v>0</v>
      </c>
      <c r="BB157" s="799">
        <f>MIN(IF(ISERROR(VLOOKUP(BB$134-$F157,$E$135:$E$165,1,FALSE)),0,BA25*$C$2),MAX((IF(Monthly!AX$4=TRUE,Monthly!AX$13,Monthly!AX$14)*(1+'Attrition Modeling'!$N$8)-IFERROR(BA25/BA92,0)*12)/12*BA92,0))</f>
        <v>0</v>
      </c>
      <c r="BC157" s="799">
        <f>MIN(IF(ISERROR(VLOOKUP(BC$134-$F157,$E$135:$E$165,1,FALSE)),0,BB25*$C$2),MAX((IF(Monthly!AY$4=TRUE,Monthly!AY$13,Monthly!AY$14)*(1+'Attrition Modeling'!$N$8)-IFERROR(BB25/BB92,0)*12)/12*BB92,0))</f>
        <v>0</v>
      </c>
      <c r="BD157" s="799">
        <f>MIN(IF(ISERROR(VLOOKUP(BD$134-$F157,$E$135:$E$165,1,FALSE)),0,BC25*$C$2),MAX((IF(Monthly!AZ$4=TRUE,Monthly!AZ$13,Monthly!AZ$14)*(1+'Attrition Modeling'!$N$8)-IFERROR(BC25/BC92,0)*12)/12*BC92,0))</f>
        <v>0</v>
      </c>
      <c r="BE157" s="799">
        <f>MIN(IF(ISERROR(VLOOKUP(BE$134-$F157,$E$135:$E$165,1,FALSE)),0,BD25*$C$2),MAX((IF(Monthly!BA$4=TRUE,Monthly!BA$13,Monthly!BA$14)*(1+'Attrition Modeling'!$N$8)-IFERROR(BD25/BD92,0)*12)/12*BD92,0))</f>
        <v>0</v>
      </c>
      <c r="BF157" s="799">
        <f>MIN(IF(ISERROR(VLOOKUP(BF$134-$F157,$E$135:$E$165,1,FALSE)),0,BE25*$C$2),MAX((IF(Monthly!BB$4=TRUE,Monthly!BB$13,Monthly!BB$14)*(1+'Attrition Modeling'!$N$8)-IFERROR(BE25/BE92,0)*12)/12*BE92,0))</f>
        <v>0</v>
      </c>
      <c r="BG157" s="799">
        <f>MIN(IF(ISERROR(VLOOKUP(BG$134-$F157,$E$135:$E$165,1,FALSE)),0,BF25*$C$2),MAX((IF(Monthly!BC$4=TRUE,Monthly!BC$13,Monthly!BC$14)*(1+'Attrition Modeling'!$N$8)-IFERROR(BF25/BF92,0)*12)/12*BF92,0))</f>
        <v>283.93268361139951</v>
      </c>
      <c r="BH157" s="799">
        <f>MIN(IF(ISERROR(VLOOKUP(BH$134-$F157,$E$135:$E$165,1,FALSE)),0,BG25*$C$2),MAX((IF(Monthly!BD$4=TRUE,Monthly!BD$13,Monthly!BD$14)*(1+'Attrition Modeling'!$N$8)-IFERROR(BG25/BG92,0)*12)/12*BG92,0))</f>
        <v>0</v>
      </c>
      <c r="BI157" s="799">
        <f>MIN(IF(ISERROR(VLOOKUP(BI$134-$F157,$E$135:$E$165,1,FALSE)),0,BH25*$C$2),MAX((IF(Monthly!BE$4=TRUE,Monthly!BE$13,Monthly!BE$14)*(1+'Attrition Modeling'!$N$8)-IFERROR(BH25/BH92,0)*12)/12*BH92,0))</f>
        <v>0</v>
      </c>
      <c r="BJ157" s="799">
        <f>MIN(IF(ISERROR(VLOOKUP(BJ$134-$F157,$E$135:$E$165,1,FALSE)),0,BI25*$C$2),MAX((IF(Monthly!BF$4=TRUE,Monthly!BF$13,Monthly!BF$14)*(1+'Attrition Modeling'!$N$8)-IFERROR(BI25/BI92,0)*12)/12*BI92,0))</f>
        <v>0</v>
      </c>
      <c r="BK157" s="799">
        <f>MIN(IF(ISERROR(VLOOKUP(BK$134-$F157,$E$135:$E$165,1,FALSE)),0,BJ25*$C$2),MAX((IF(Monthly!BG$4=TRUE,Monthly!BG$13,Monthly!BG$14)*(1+'Attrition Modeling'!$N$8)-IFERROR(BJ25/BJ92,0)*12)/12*BJ92,0))</f>
        <v>0</v>
      </c>
      <c r="BL157" s="799">
        <f>MIN(IF(ISERROR(VLOOKUP(BL$134-$F157,$E$135:$E$165,1,FALSE)),0,BK25*$C$2),MAX((IF(Monthly!BH$4=TRUE,Monthly!BH$13,Monthly!BH$14)*(1+'Attrition Modeling'!$N$8)-IFERROR(BK25/BK92,0)*12)/12*BK92,0))</f>
        <v>0</v>
      </c>
      <c r="BM157" s="799">
        <f>MIN(IF(ISERROR(VLOOKUP(BM$134-$F157,$E$135:$E$165,1,FALSE)),0,BL25*$C$2),MAX((IF(Monthly!BI$4=TRUE,Monthly!BI$13,Monthly!BI$14)*(1+'Attrition Modeling'!$N$8)-IFERROR(BL25/BL92,0)*12)/12*BL92,0))</f>
        <v>0</v>
      </c>
      <c r="BN157" s="799">
        <f>MIN(IF(ISERROR(VLOOKUP(BN$134-$F157,$E$135:$E$165,1,FALSE)),0,BM25*$C$2),MAX((IF(Monthly!BJ$4=TRUE,Monthly!BJ$13,Monthly!BJ$14)*(1+'Attrition Modeling'!$N$8)-IFERROR(BM25/BM92,0)*12)/12*BM92,0))</f>
        <v>0</v>
      </c>
      <c r="BO157" s="799">
        <f>MIN(IF(ISERROR(VLOOKUP(BO$134-$F157,$E$135:$E$165,1,FALSE)),0,BN25*$C$2),MAX((IF(Monthly!BK$4=TRUE,Monthly!BK$13,Monthly!BK$14)*(1+'Attrition Modeling'!$N$8)-IFERROR(BN25/BN92,0)*12)/12*BN92,0))</f>
        <v>0</v>
      </c>
      <c r="BP157" s="799">
        <f>MIN(IF(ISERROR(VLOOKUP(BP$134-$F157,$E$135:$E$165,1,FALSE)),0,BO25*$C$2),MAX((IF(Monthly!BP$4=TRUE,Monthly!BP$13,Monthly!BP$14)*(1+'Attrition Modeling'!$N$8)-IFERROR(BO25/BO92,0)*12)/12*BO92,0))</f>
        <v>0</v>
      </c>
      <c r="BQ157" s="799">
        <f>MIN(IF(ISERROR(VLOOKUP(BQ$134-$F157,$E$135:$E$165,1,FALSE)),0,BP25*$C$2),MAX((IF(Monthly!BQ$4=TRUE,Monthly!BQ$13,Monthly!BQ$14)*(1+'Attrition Modeling'!$N$8)-IFERROR(BP25/BP92,0)*12)/12*BP92,0))</f>
        <v>0</v>
      </c>
      <c r="BR157" s="799">
        <f>MIN(IF(ISERROR(VLOOKUP(BR$134-$F157,$E$135:$E$165,1,FALSE)),0,BQ25*$C$2),MAX((IF(Monthly!BR$4=TRUE,Monthly!BR$13,Monthly!BR$14)*(1+'Attrition Modeling'!$N$8)-IFERROR(BQ25/BQ92,0)*12)/12*BQ92,0))</f>
        <v>0</v>
      </c>
      <c r="BS157" s="799">
        <f>MIN(IF(ISERROR(VLOOKUP(BS$134-$F157,$E$135:$E$165,1,FALSE)),0,BR25*$C$2),MAX((IF(Monthly!BS$4=TRUE,Monthly!BS$13,Monthly!BS$14)*(1+'Attrition Modeling'!$N$8)-IFERROR(BR25/BR92,0)*12)/12*BR92,0))</f>
        <v>125.79211014217883</v>
      </c>
      <c r="BT157" s="799">
        <f>MIN(IF(ISERROR(VLOOKUP(BT$134-$F157,$E$135:$E$165,1,FALSE)),0,BS25*$C$2),MAX((IF(Monthly!BT$4=TRUE,Monthly!BT$13,Monthly!BT$14)*(1+'Attrition Modeling'!$N$8)-IFERROR(BS25/BS92,0)*12)/12*BS92,0))</f>
        <v>0</v>
      </c>
      <c r="BU157" s="799">
        <f>MIN(IF(ISERROR(VLOOKUP(BU$134-$F157,$E$135:$E$165,1,FALSE)),0,BT25*$C$2),MAX((IF(Monthly!BU$4=TRUE,Monthly!BU$13,Monthly!BU$14)*(1+'Attrition Modeling'!$N$8)-IFERROR(BT25/BT92,0)*12)/12*BT92,0))</f>
        <v>0</v>
      </c>
    </row>
    <row r="158" spans="1:73" ht="14.25" customHeight="1" x14ac:dyDescent="0.2">
      <c r="A158" s="9">
        <v>151</v>
      </c>
      <c r="B158" s="25">
        <f>MAX('Attrition Modeling'!H155,$C$3)*(1-Summary!$C$20)</f>
        <v>0.02</v>
      </c>
      <c r="C158" s="24" t="e">
        <f t="shared" si="4"/>
        <v>#DIV/0!</v>
      </c>
      <c r="E158" s="11">
        <f t="shared" si="13"/>
        <v>282</v>
      </c>
      <c r="F158" s="11">
        <f t="shared" si="14"/>
        <v>23</v>
      </c>
      <c r="G158" s="799"/>
      <c r="H158" s="799">
        <f>MIN(IF(ISERROR(VLOOKUP(H$134-$F158,$E$135:$E$165,1,FALSE)),0,G26*$C$2),MAX((IF(Monthly!D$4=TRUE,Monthly!D$13,Monthly!D$14)*(1+'Attrition Modeling'!$N$8)-IFERROR(G26/G93,0)*12)/12*G93,0))</f>
        <v>0</v>
      </c>
      <c r="I158" s="799">
        <f>MIN(IF(ISERROR(VLOOKUP(I$134-$F158,$E$135:$E$165,1,FALSE)),0,H26*$C$2),MAX((IF(Monthly!E$4=TRUE,Monthly!E$13,Monthly!E$14)*(1+'Attrition Modeling'!$N$8)-IFERROR(H26/H93,0)*12)/12*H93,0))</f>
        <v>0</v>
      </c>
      <c r="J158" s="799">
        <f>MIN(IF(ISERROR(VLOOKUP(J$134-$F158,$E$135:$E$165,1,FALSE)),0,I26*$C$2),MAX((IF(Monthly!F$4=TRUE,Monthly!F$13,Monthly!F$14)*(1+'Attrition Modeling'!$N$8)-IFERROR(I26/I93,0)*12)/12*I93,0))</f>
        <v>0</v>
      </c>
      <c r="K158" s="799">
        <f>MIN(IF(ISERROR(VLOOKUP(K$134-$F158,$E$135:$E$165,1,FALSE)),0,J26*$C$2),MAX((IF(Monthly!G$4=TRUE,Monthly!G$13,Monthly!G$14)*(1+'Attrition Modeling'!$N$8)-IFERROR(J26/J93,0)*12)/12*J93,0))</f>
        <v>0</v>
      </c>
      <c r="L158" s="799">
        <f>MIN(IF(ISERROR(VLOOKUP(L$134-$F158,$E$135:$E$165,1,FALSE)),0,K26*$C$2),MAX((IF(Monthly!H$4=TRUE,Monthly!H$13,Monthly!H$14)*(1+'Attrition Modeling'!$N$8)-IFERROR(K26/K93,0)*12)/12*K93,0))</f>
        <v>0</v>
      </c>
      <c r="M158" s="799">
        <f>MIN(IF(ISERROR(VLOOKUP(M$134-$F158,$E$135:$E$165,1,FALSE)),0,L26*$C$2),MAX((IF(Monthly!I$4=TRUE,Monthly!I$13,Monthly!I$14)*(1+'Attrition Modeling'!$N$8)-IFERROR(L26/L93,0)*12)/12*L93,0))</f>
        <v>0</v>
      </c>
      <c r="N158" s="799">
        <f>MIN(IF(ISERROR(VLOOKUP(N$134-$F158,$E$135:$E$165,1,FALSE)),0,M26*$C$2),MAX((IF(Monthly!J$4=TRUE,Monthly!J$13,Monthly!J$14)*(1+'Attrition Modeling'!$N$8)-IFERROR(M26/M93,0)*12)/12*M93,0))</f>
        <v>0</v>
      </c>
      <c r="O158" s="799">
        <f>MIN(IF(ISERROR(VLOOKUP(O$134-$F158,$E$135:$E$165,1,FALSE)),0,N26*$C$2),MAX((IF(Monthly!K$4=TRUE,Monthly!K$13,Monthly!K$14)*(1+'Attrition Modeling'!$N$8)-IFERROR(N26/N93,0)*12)/12*N93,0))</f>
        <v>0</v>
      </c>
      <c r="P158" s="799">
        <f>MIN(IF(ISERROR(VLOOKUP(P$134-$F158,$E$135:$E$165,1,FALSE)),0,O26*$C$2),MAX((IF(Monthly!L$4=TRUE,Monthly!L$13,Monthly!L$14)*(1+'Attrition Modeling'!$N$8)-IFERROR(O26/O93,0)*12)/12*O93,0))</f>
        <v>0</v>
      </c>
      <c r="Q158" s="799">
        <f>MIN(IF(ISERROR(VLOOKUP(Q$134-$F158,$E$135:$E$165,1,FALSE)),0,P26*$C$2),MAX((IF(Monthly!M$4=TRUE,Monthly!M$13,Monthly!M$14)*(1+'Attrition Modeling'!$N$8)-IFERROR(P26/P93,0)*12)/12*P93,0))</f>
        <v>0</v>
      </c>
      <c r="R158" s="799">
        <f>MIN(IF(ISERROR(VLOOKUP(R$134-$F158,$E$135:$E$165,1,FALSE)),0,Q26*$C$2),MAX((IF(Monthly!N$4=TRUE,Monthly!N$13,Monthly!N$14)*(1+'Attrition Modeling'!$N$8)-IFERROR(Q26/Q93,0)*12)/12*Q93,0))</f>
        <v>0</v>
      </c>
      <c r="S158" s="799">
        <f>MIN(IF(ISERROR(VLOOKUP(S$134-$F158,$E$135:$E$165,1,FALSE)),0,R26*$C$2),MAX((IF(Monthly!O$4=TRUE,Monthly!O$13,Monthly!O$14)*(1+'Attrition Modeling'!$N$8)-IFERROR(R26/R93,0)*12)/12*R93,0))</f>
        <v>0</v>
      </c>
      <c r="T158" s="799">
        <f>MIN(IF(ISERROR(VLOOKUP(T$134-$F158,$E$135:$E$165,1,FALSE)),0,S26*$C$2),MAX((IF(Monthly!P$4=TRUE,Monthly!P$13,Monthly!P$14)*(1+'Attrition Modeling'!$N$8)-IFERROR(S26/S93,0)*12)/12*S93,0))</f>
        <v>0</v>
      </c>
      <c r="U158" s="799">
        <f>MIN(IF(ISERROR(VLOOKUP(U$134-$F158,$E$135:$E$165,1,FALSE)),0,T26*$C$2),MAX((IF(Monthly!Q$4=TRUE,Monthly!Q$13,Monthly!Q$14)*(1+'Attrition Modeling'!$N$8)-IFERROR(T26/T93,0)*12)/12*T93,0))</f>
        <v>0</v>
      </c>
      <c r="V158" s="799">
        <f>MIN(IF(ISERROR(VLOOKUP(V$134-$F158,$E$135:$E$165,1,FALSE)),0,U26*$C$2),MAX((IF(Monthly!R$4=TRUE,Monthly!R$13,Monthly!R$14)*(1+'Attrition Modeling'!$N$8)-IFERROR(U26/U93,0)*12)/12*U93,0))</f>
        <v>0</v>
      </c>
      <c r="W158" s="799">
        <f>MIN(IF(ISERROR(VLOOKUP(W$134-$F158,$E$135:$E$165,1,FALSE)),0,V26*$C$2),MAX((IF(Monthly!S$4=TRUE,Monthly!S$13,Monthly!S$14)*(1+'Attrition Modeling'!$N$8)-IFERROR(V26/V93,0)*12)/12*V93,0))</f>
        <v>0</v>
      </c>
      <c r="X158" s="799">
        <f>MIN(IF(ISERROR(VLOOKUP(X$134-$F158,$E$135:$E$165,1,FALSE)),0,W26*$C$2),MAX((IF(Monthly!T$4=TRUE,Monthly!T$13,Monthly!T$14)*(1+'Attrition Modeling'!$N$8)-IFERROR(W26/W93,0)*12)/12*W93,0))</f>
        <v>0</v>
      </c>
      <c r="Y158" s="799">
        <f>MIN(IF(ISERROR(VLOOKUP(Y$134-$F158,$E$135:$E$165,1,FALSE)),0,X26*$C$2),MAX((IF(Monthly!U$4=TRUE,Monthly!U$13,Monthly!U$14)*(1+'Attrition Modeling'!$N$8)-IFERROR(X26/X93,0)*12)/12*X93,0))</f>
        <v>0</v>
      </c>
      <c r="Z158" s="799">
        <f>MIN(IF(ISERROR(VLOOKUP(Z$134-$F158,$E$135:$E$165,1,FALSE)),0,Y26*$C$2),MAX((IF(Monthly!V$4=TRUE,Monthly!V$13,Monthly!V$14)*(1+'Attrition Modeling'!$N$8)-IFERROR(Y26/Y93,0)*12)/12*Y93,0))</f>
        <v>0</v>
      </c>
      <c r="AA158" s="799">
        <f>MIN(IF(ISERROR(VLOOKUP(AA$134-$F158,$E$135:$E$165,1,FALSE)),0,Z26*$C$2),MAX((IF(Monthly!W$4=TRUE,Monthly!W$13,Monthly!W$14)*(1+'Attrition Modeling'!$N$8)-IFERROR(Z26/Z93,0)*12)/12*Z93,0))</f>
        <v>0</v>
      </c>
      <c r="AB158" s="799">
        <f>MIN(IF(ISERROR(VLOOKUP(AB$134-$F158,$E$135:$E$165,1,FALSE)),0,AA26*$C$2),MAX((IF(Monthly!X$4=TRUE,Monthly!X$13,Monthly!X$14)*(1+'Attrition Modeling'!$N$8)-IFERROR(AA26/AA93,0)*12)/12*AA93,0))</f>
        <v>0</v>
      </c>
      <c r="AC158" s="799">
        <f>MIN(IF(ISERROR(VLOOKUP(AC$134-$F158,$E$135:$E$165,1,FALSE)),0,AB26*$C$2),MAX((IF(Monthly!Y$4=TRUE,Monthly!Y$13,Monthly!Y$14)*(1+'Attrition Modeling'!$N$8)-IFERROR(AB26/AB93,0)*12)/12*AB93,0))</f>
        <v>0</v>
      </c>
      <c r="AD158" s="799">
        <f>MIN(IF(ISERROR(VLOOKUP(AD$134-$F158,$E$135:$E$165,1,FALSE)),0,AC26*$C$2),MAX((IF(Monthly!Z$4=TRUE,Monthly!Z$13,Monthly!Z$14)*(1+'Attrition Modeling'!$N$8)-IFERROR(AC26/AC93,0)*12)/12*AC93,0))</f>
        <v>0</v>
      </c>
      <c r="AE158" s="799">
        <f>MIN(IF(ISERROR(VLOOKUP(AE$134-$F158,$E$135:$E$165,1,FALSE)),0,AD26*$C$2),MAX((IF(Monthly!AA$4=TRUE,Monthly!AA$13,Monthly!AA$14)*(1+'Attrition Modeling'!$N$8)-IFERROR(AD26/AD93,0)*12)/12*AD93,0))</f>
        <v>0</v>
      </c>
      <c r="AF158" s="799">
        <f>MIN(IF(ISERROR(VLOOKUP(AF$134-$F158,$E$135:$E$165,1,FALSE)),0,AE26*$C$2),MAX((IF(Monthly!AB$4=TRUE,Monthly!AB$13,Monthly!AB$14)*(1+'Attrition Modeling'!$N$8)-IFERROR(AE26/AE93,0)*12)/12*AE93,0))</f>
        <v>0</v>
      </c>
      <c r="AG158" s="799">
        <f>MIN(IF(ISERROR(VLOOKUP(AG$134-$F158,$E$135:$E$165,1,FALSE)),0,AF26*$C$2),MAX((IF(Monthly!AC$4=TRUE,Monthly!AC$13,Monthly!AC$14)*(1+'Attrition Modeling'!$N$8)-IFERROR(AF26/AF93,0)*12)/12*AF93,0))</f>
        <v>0</v>
      </c>
      <c r="AH158" s="799">
        <f>MIN(IF(ISERROR(VLOOKUP(AH$134-$F158,$E$135:$E$165,1,FALSE)),0,AG26*$C$2),MAX((IF(Monthly!AD$4=TRUE,Monthly!AD$13,Monthly!AD$14)*(1+'Attrition Modeling'!$N$8)-IFERROR(AG26/AG93,0)*12)/12*AG93,0))</f>
        <v>0</v>
      </c>
      <c r="AI158" s="799">
        <f>MIN(IF(ISERROR(VLOOKUP(AI$134-$F158,$E$135:$E$165,1,FALSE)),0,AH26*$C$2),MAX((IF(Monthly!AE$4=TRUE,Monthly!AE$13,Monthly!AE$14)*(1+'Attrition Modeling'!$N$8)-IFERROR(AH26/AH93,0)*12)/12*AH93,0))</f>
        <v>0</v>
      </c>
      <c r="AJ158" s="799">
        <f>MIN(IF(ISERROR(VLOOKUP(AJ$134-$F158,$E$135:$E$165,1,FALSE)),0,AI26*$C$2),MAX((IF(Monthly!AF$4=TRUE,Monthly!AF$13,Monthly!AF$14)*(1+'Attrition Modeling'!$N$8)-IFERROR(AI26/AI93,0)*12)/12*AI93,0))</f>
        <v>767.78532496980824</v>
      </c>
      <c r="AK158" s="799">
        <f>MIN(IF(ISERROR(VLOOKUP(AK$134-$F158,$E$135:$E$165,1,FALSE)),0,AJ26*$C$2),MAX((IF(Monthly!AG$4=TRUE,Monthly!AG$13,Monthly!AG$14)*(1+'Attrition Modeling'!$N$8)-IFERROR(AJ26/AJ93,0)*12)/12*AJ93,0))</f>
        <v>0</v>
      </c>
      <c r="AL158" s="799">
        <f>MIN(IF(ISERROR(VLOOKUP(AL$134-$F158,$E$135:$E$165,1,FALSE)),0,AK26*$C$2),MAX((IF(Monthly!AH$4=TRUE,Monthly!AH$13,Monthly!AH$14)*(1+'Attrition Modeling'!$N$8)-IFERROR(AK26/AK93,0)*12)/12*AK93,0))</f>
        <v>0</v>
      </c>
      <c r="AM158" s="799">
        <f>MIN(IF(ISERROR(VLOOKUP(AM$134-$F158,$E$135:$E$165,1,FALSE)),0,AL26*$C$2),MAX((IF(Monthly!AI$4=TRUE,Monthly!AI$13,Monthly!AI$14)*(1+'Attrition Modeling'!$N$8)-IFERROR(AL26/AL93,0)*12)/12*AL93,0))</f>
        <v>0</v>
      </c>
      <c r="AN158" s="799">
        <f>MIN(IF(ISERROR(VLOOKUP(AN$134-$F158,$E$135:$E$165,1,FALSE)),0,AM26*$C$2),MAX((IF(Monthly!AJ$4=TRUE,Monthly!AJ$13,Monthly!AJ$14)*(1+'Attrition Modeling'!$N$8)-IFERROR(AM26/AM93,0)*12)/12*AM93,0))</f>
        <v>0</v>
      </c>
      <c r="AO158" s="799">
        <f>MIN(IF(ISERROR(VLOOKUP(AO$134-$F158,$E$135:$E$165,1,FALSE)),0,AN26*$C$2),MAX((IF(Monthly!AK$4=TRUE,Monthly!AK$13,Monthly!AK$14)*(1+'Attrition Modeling'!$N$8)-IFERROR(AN26/AN93,0)*12)/12*AN93,0))</f>
        <v>0</v>
      </c>
      <c r="AP158" s="799">
        <f>MIN(IF(ISERROR(VLOOKUP(AP$134-$F158,$E$135:$E$165,1,FALSE)),0,AO26*$C$2),MAX((IF(Monthly!AL$4=TRUE,Monthly!AL$13,Monthly!AL$14)*(1+'Attrition Modeling'!$N$8)-IFERROR(AO26/AO93,0)*12)/12*AO93,0))</f>
        <v>0</v>
      </c>
      <c r="AQ158" s="799">
        <f>MIN(IF(ISERROR(VLOOKUP(AQ$134-$F158,$E$135:$E$165,1,FALSE)),0,AP26*$C$2),MAX((IF(Monthly!AM$4=TRUE,Monthly!AM$13,Monthly!AM$14)*(1+'Attrition Modeling'!$N$8)-IFERROR(AP26/AP93,0)*12)/12*AP93,0))</f>
        <v>0</v>
      </c>
      <c r="AR158" s="799">
        <f>MIN(IF(ISERROR(VLOOKUP(AR$134-$F158,$E$135:$E$165,1,FALSE)),0,AQ26*$C$2),MAX((IF(Monthly!AN$4=TRUE,Monthly!AN$13,Monthly!AN$14)*(1+'Attrition Modeling'!$N$8)-IFERROR(AQ26/AQ93,0)*12)/12*AQ93,0))</f>
        <v>0</v>
      </c>
      <c r="AS158" s="799">
        <f>MIN(IF(ISERROR(VLOOKUP(AS$134-$F158,$E$135:$E$165,1,FALSE)),0,AR26*$C$2),MAX((IF(Monthly!AO$4=TRUE,Monthly!AO$13,Monthly!AO$14)*(1+'Attrition Modeling'!$N$8)-IFERROR(AR26/AR93,0)*12)/12*AR93,0))</f>
        <v>0</v>
      </c>
      <c r="AT158" s="799">
        <f>MIN(IF(ISERROR(VLOOKUP(AT$134-$F158,$E$135:$E$165,1,FALSE)),0,AS26*$C$2),MAX((IF(Monthly!AP$4=TRUE,Monthly!AP$13,Monthly!AP$14)*(1+'Attrition Modeling'!$N$8)-IFERROR(AS26/AS93,0)*12)/12*AS93,0))</f>
        <v>0</v>
      </c>
      <c r="AU158" s="799">
        <f>MIN(IF(ISERROR(VLOOKUP(AU$134-$F158,$E$135:$E$165,1,FALSE)),0,AT26*$C$2),MAX((IF(Monthly!AQ$4=TRUE,Monthly!AQ$13,Monthly!AQ$14)*(1+'Attrition Modeling'!$N$8)-IFERROR(AT26/AT93,0)*12)/12*AT93,0))</f>
        <v>0</v>
      </c>
      <c r="AV158" s="799">
        <f>MIN(IF(ISERROR(VLOOKUP(AV$134-$F158,$E$135:$E$165,1,FALSE)),0,AU26*$C$2),MAX((IF(Monthly!AR$4=TRUE,Monthly!AR$13,Monthly!AR$14)*(1+'Attrition Modeling'!$N$8)-IFERROR(AU26/AU93,0)*12)/12*AU93,0))</f>
        <v>416.19637468905933</v>
      </c>
      <c r="AW158" s="799">
        <f>MIN(IF(ISERROR(VLOOKUP(AW$134-$F158,$E$135:$E$165,1,FALSE)),0,AV26*$C$2),MAX((IF(Monthly!AS$4=TRUE,Monthly!AS$13,Monthly!AS$14)*(1+'Attrition Modeling'!$N$8)-IFERROR(AV26/AV93,0)*12)/12*AV93,0))</f>
        <v>0</v>
      </c>
      <c r="AX158" s="799">
        <f>MIN(IF(ISERROR(VLOOKUP(AX$134-$F158,$E$135:$E$165,1,FALSE)),0,AW26*$C$2),MAX((IF(Monthly!AT$4=TRUE,Monthly!AT$13,Monthly!AT$14)*(1+'Attrition Modeling'!$N$8)-IFERROR(AW26/AW93,0)*12)/12*AW93,0))</f>
        <v>0</v>
      </c>
      <c r="AY158" s="799">
        <f>MIN(IF(ISERROR(VLOOKUP(AY$134-$F158,$E$135:$E$165,1,FALSE)),0,AX26*$C$2),MAX((IF(Monthly!AU$4=TRUE,Monthly!AU$13,Monthly!AU$14)*(1+'Attrition Modeling'!$N$8)-IFERROR(AX26/AX93,0)*12)/12*AX93,0))</f>
        <v>0</v>
      </c>
      <c r="AZ158" s="799">
        <f>MIN(IF(ISERROR(VLOOKUP(AZ$134-$F158,$E$135:$E$165,1,FALSE)),0,AY26*$C$2),MAX((IF(Monthly!AV$4=TRUE,Monthly!AV$13,Monthly!AV$14)*(1+'Attrition Modeling'!$N$8)-IFERROR(AY26/AY93,0)*12)/12*AY93,0))</f>
        <v>0</v>
      </c>
      <c r="BA158" s="799">
        <f>MIN(IF(ISERROR(VLOOKUP(BA$134-$F158,$E$135:$E$165,1,FALSE)),0,AZ26*$C$2),MAX((IF(Monthly!AW$4=TRUE,Monthly!AW$13,Monthly!AW$14)*(1+'Attrition Modeling'!$N$8)-IFERROR(AZ26/AZ93,0)*12)/12*AZ93,0))</f>
        <v>0</v>
      </c>
      <c r="BB158" s="799">
        <f>MIN(IF(ISERROR(VLOOKUP(BB$134-$F158,$E$135:$E$165,1,FALSE)),0,BA26*$C$2),MAX((IF(Monthly!AX$4=TRUE,Monthly!AX$13,Monthly!AX$14)*(1+'Attrition Modeling'!$N$8)-IFERROR(BA26/BA93,0)*12)/12*BA93,0))</f>
        <v>0</v>
      </c>
      <c r="BC158" s="799">
        <f>MIN(IF(ISERROR(VLOOKUP(BC$134-$F158,$E$135:$E$165,1,FALSE)),0,BB26*$C$2),MAX((IF(Monthly!AY$4=TRUE,Monthly!AY$13,Monthly!AY$14)*(1+'Attrition Modeling'!$N$8)-IFERROR(BB26/BB93,0)*12)/12*BB93,0))</f>
        <v>0</v>
      </c>
      <c r="BD158" s="799">
        <f>MIN(IF(ISERROR(VLOOKUP(BD$134-$F158,$E$135:$E$165,1,FALSE)),0,BC26*$C$2),MAX((IF(Monthly!AZ$4=TRUE,Monthly!AZ$13,Monthly!AZ$14)*(1+'Attrition Modeling'!$N$8)-IFERROR(BC26/BC93,0)*12)/12*BC93,0))</f>
        <v>0</v>
      </c>
      <c r="BE158" s="799">
        <f>MIN(IF(ISERROR(VLOOKUP(BE$134-$F158,$E$135:$E$165,1,FALSE)),0,BD26*$C$2),MAX((IF(Monthly!BA$4=TRUE,Monthly!BA$13,Monthly!BA$14)*(1+'Attrition Modeling'!$N$8)-IFERROR(BD26/BD93,0)*12)/12*BD93,0))</f>
        <v>0</v>
      </c>
      <c r="BF158" s="799">
        <f>MIN(IF(ISERROR(VLOOKUP(BF$134-$F158,$E$135:$E$165,1,FALSE)),0,BE26*$C$2),MAX((IF(Monthly!BB$4=TRUE,Monthly!BB$13,Monthly!BB$14)*(1+'Attrition Modeling'!$N$8)-IFERROR(BE26/BE93,0)*12)/12*BE93,0))</f>
        <v>0</v>
      </c>
      <c r="BG158" s="799">
        <f>MIN(IF(ISERROR(VLOOKUP(BG$134-$F158,$E$135:$E$165,1,FALSE)),0,BF26*$C$2),MAX((IF(Monthly!BC$4=TRUE,Monthly!BC$13,Monthly!BC$14)*(1+'Attrition Modeling'!$N$8)-IFERROR(BF26/BF93,0)*12)/12*BF93,0))</f>
        <v>0</v>
      </c>
      <c r="BH158" s="799">
        <f>MIN(IF(ISERROR(VLOOKUP(BH$134-$F158,$E$135:$E$165,1,FALSE)),0,BG26*$C$2),MAX((IF(Monthly!BD$4=TRUE,Monthly!BD$13,Monthly!BD$14)*(1+'Attrition Modeling'!$N$8)-IFERROR(BG26/BG93,0)*12)/12*BG93,0))</f>
        <v>284.05199036538551</v>
      </c>
      <c r="BI158" s="799">
        <f>MIN(IF(ISERROR(VLOOKUP(BI$134-$F158,$E$135:$E$165,1,FALSE)),0,BH26*$C$2),MAX((IF(Monthly!BE$4=TRUE,Monthly!BE$13,Monthly!BE$14)*(1+'Attrition Modeling'!$N$8)-IFERROR(BH26/BH93,0)*12)/12*BH93,0))</f>
        <v>0</v>
      </c>
      <c r="BJ158" s="799">
        <f>MIN(IF(ISERROR(VLOOKUP(BJ$134-$F158,$E$135:$E$165,1,FALSE)),0,BI26*$C$2),MAX((IF(Monthly!BF$4=TRUE,Monthly!BF$13,Monthly!BF$14)*(1+'Attrition Modeling'!$N$8)-IFERROR(BI26/BI93,0)*12)/12*BI93,0))</f>
        <v>0</v>
      </c>
      <c r="BK158" s="799">
        <f>MIN(IF(ISERROR(VLOOKUP(BK$134-$F158,$E$135:$E$165,1,FALSE)),0,BJ26*$C$2),MAX((IF(Monthly!BG$4=TRUE,Monthly!BG$13,Monthly!BG$14)*(1+'Attrition Modeling'!$N$8)-IFERROR(BJ26/BJ93,0)*12)/12*BJ93,0))</f>
        <v>0</v>
      </c>
      <c r="BL158" s="799">
        <f>MIN(IF(ISERROR(VLOOKUP(BL$134-$F158,$E$135:$E$165,1,FALSE)),0,BK26*$C$2),MAX((IF(Monthly!BH$4=TRUE,Monthly!BH$13,Monthly!BH$14)*(1+'Attrition Modeling'!$N$8)-IFERROR(BK26/BK93,0)*12)/12*BK93,0))</f>
        <v>0</v>
      </c>
      <c r="BM158" s="799">
        <f>MIN(IF(ISERROR(VLOOKUP(BM$134-$F158,$E$135:$E$165,1,FALSE)),0,BL26*$C$2),MAX((IF(Monthly!BI$4=TRUE,Monthly!BI$13,Monthly!BI$14)*(1+'Attrition Modeling'!$N$8)-IFERROR(BL26/BL93,0)*12)/12*BL93,0))</f>
        <v>0</v>
      </c>
      <c r="BN158" s="799">
        <f>MIN(IF(ISERROR(VLOOKUP(BN$134-$F158,$E$135:$E$165,1,FALSE)),0,BM26*$C$2),MAX((IF(Monthly!BJ$4=TRUE,Monthly!BJ$13,Monthly!BJ$14)*(1+'Attrition Modeling'!$N$8)-IFERROR(BM26/BM93,0)*12)/12*BM93,0))</f>
        <v>0</v>
      </c>
      <c r="BO158" s="799">
        <f>MIN(IF(ISERROR(VLOOKUP(BO$134-$F158,$E$135:$E$165,1,FALSE)),0,BN26*$C$2),MAX((IF(Monthly!BK$4=TRUE,Monthly!BK$13,Monthly!BK$14)*(1+'Attrition Modeling'!$N$8)-IFERROR(BN26/BN93,0)*12)/12*BN93,0))</f>
        <v>0</v>
      </c>
      <c r="BP158" s="799">
        <f>MIN(IF(ISERROR(VLOOKUP(BP$134-$F158,$E$135:$E$165,1,FALSE)),0,BO26*$C$2),MAX((IF(Monthly!BP$4=TRUE,Monthly!BP$13,Monthly!BP$14)*(1+'Attrition Modeling'!$N$8)-IFERROR(BO26/BO93,0)*12)/12*BO93,0))</f>
        <v>0</v>
      </c>
      <c r="BQ158" s="799">
        <f>MIN(IF(ISERROR(VLOOKUP(BQ$134-$F158,$E$135:$E$165,1,FALSE)),0,BP26*$C$2),MAX((IF(Monthly!BQ$4=TRUE,Monthly!BQ$13,Monthly!BQ$14)*(1+'Attrition Modeling'!$N$8)-IFERROR(BP26/BP93,0)*12)/12*BP93,0))</f>
        <v>0</v>
      </c>
      <c r="BR158" s="799">
        <f>MIN(IF(ISERROR(VLOOKUP(BR$134-$F158,$E$135:$E$165,1,FALSE)),0,BQ26*$C$2),MAX((IF(Monthly!BR$4=TRUE,Monthly!BR$13,Monthly!BR$14)*(1+'Attrition Modeling'!$N$8)-IFERROR(BQ26/BQ93,0)*12)/12*BQ93,0))</f>
        <v>0</v>
      </c>
      <c r="BS158" s="799">
        <f>MIN(IF(ISERROR(VLOOKUP(BS$134-$F158,$E$135:$E$165,1,FALSE)),0,BR26*$C$2),MAX((IF(Monthly!BS$4=TRUE,Monthly!BS$13,Monthly!BS$14)*(1+'Attrition Modeling'!$N$8)-IFERROR(BR26/BR93,0)*12)/12*BR93,0))</f>
        <v>0</v>
      </c>
      <c r="BT158" s="799">
        <f>MIN(IF(ISERROR(VLOOKUP(BT$134-$F158,$E$135:$E$165,1,FALSE)),0,BS26*$C$2),MAX((IF(Monthly!BT$4=TRUE,Monthly!BT$13,Monthly!BT$14)*(1+'Attrition Modeling'!$N$8)-IFERROR(BS26/BS93,0)*12)/12*BS93,0))</f>
        <v>147.81235393862352</v>
      </c>
      <c r="BU158" s="799">
        <f>MIN(IF(ISERROR(VLOOKUP(BU$134-$F158,$E$135:$E$165,1,FALSE)),0,BT26*$C$2),MAX((IF(Monthly!BU$4=TRUE,Monthly!BU$13,Monthly!BU$14)*(1+'Attrition Modeling'!$N$8)-IFERROR(BT26/BT93,0)*12)/12*BT93,0))</f>
        <v>0</v>
      </c>
    </row>
    <row r="159" spans="1:73" ht="14.25" customHeight="1" x14ac:dyDescent="0.2">
      <c r="A159" s="9">
        <v>152</v>
      </c>
      <c r="B159" s="25">
        <f>MAX('Attrition Modeling'!H156,$C$3)*(1-Summary!$C$20)</f>
        <v>0.02</v>
      </c>
      <c r="C159" s="24" t="e">
        <f t="shared" si="4"/>
        <v>#DIV/0!</v>
      </c>
      <c r="E159" s="11">
        <f t="shared" si="13"/>
        <v>294</v>
      </c>
      <c r="F159" s="11">
        <f t="shared" si="14"/>
        <v>24</v>
      </c>
      <c r="G159" s="799"/>
      <c r="H159" s="799">
        <f>MIN(IF(ISERROR(VLOOKUP(H$134-$F159,$E$135:$E$165,1,FALSE)),0,G27*$C$2),MAX((IF(Monthly!D$4=TRUE,Monthly!D$13,Monthly!D$14)*(1+'Attrition Modeling'!$N$8)-IFERROR(G27/G94,0)*12)/12*G94,0))</f>
        <v>0</v>
      </c>
      <c r="I159" s="799">
        <f>MIN(IF(ISERROR(VLOOKUP(I$134-$F159,$E$135:$E$165,1,FALSE)),0,H27*$C$2),MAX((IF(Monthly!E$4=TRUE,Monthly!E$13,Monthly!E$14)*(1+'Attrition Modeling'!$N$8)-IFERROR(H27/H94,0)*12)/12*H94,0))</f>
        <v>0</v>
      </c>
      <c r="J159" s="799">
        <f>MIN(IF(ISERROR(VLOOKUP(J$134-$F159,$E$135:$E$165,1,FALSE)),0,I27*$C$2),MAX((IF(Monthly!F$4=TRUE,Monthly!F$13,Monthly!F$14)*(1+'Attrition Modeling'!$N$8)-IFERROR(I27/I94,0)*12)/12*I94,0))</f>
        <v>0</v>
      </c>
      <c r="K159" s="799">
        <f>MIN(IF(ISERROR(VLOOKUP(K$134-$F159,$E$135:$E$165,1,FALSE)),0,J27*$C$2),MAX((IF(Monthly!G$4=TRUE,Monthly!G$13,Monthly!G$14)*(1+'Attrition Modeling'!$N$8)-IFERROR(J27/J94,0)*12)/12*J94,0))</f>
        <v>0</v>
      </c>
      <c r="L159" s="799">
        <f>MIN(IF(ISERROR(VLOOKUP(L$134-$F159,$E$135:$E$165,1,FALSE)),0,K27*$C$2),MAX((IF(Monthly!H$4=TRUE,Monthly!H$13,Monthly!H$14)*(1+'Attrition Modeling'!$N$8)-IFERROR(K27/K94,0)*12)/12*K94,0))</f>
        <v>0</v>
      </c>
      <c r="M159" s="799">
        <f>MIN(IF(ISERROR(VLOOKUP(M$134-$F159,$E$135:$E$165,1,FALSE)),0,L27*$C$2),MAX((IF(Monthly!I$4=TRUE,Monthly!I$13,Monthly!I$14)*(1+'Attrition Modeling'!$N$8)-IFERROR(L27/L94,0)*12)/12*L94,0))</f>
        <v>0</v>
      </c>
      <c r="N159" s="799">
        <f>MIN(IF(ISERROR(VLOOKUP(N$134-$F159,$E$135:$E$165,1,FALSE)),0,M27*$C$2),MAX((IF(Monthly!J$4=TRUE,Monthly!J$13,Monthly!J$14)*(1+'Attrition Modeling'!$N$8)-IFERROR(M27/M94,0)*12)/12*M94,0))</f>
        <v>0</v>
      </c>
      <c r="O159" s="799">
        <f>MIN(IF(ISERROR(VLOOKUP(O$134-$F159,$E$135:$E$165,1,FALSE)),0,N27*$C$2),MAX((IF(Monthly!K$4=TRUE,Monthly!K$13,Monthly!K$14)*(1+'Attrition Modeling'!$N$8)-IFERROR(N27/N94,0)*12)/12*N94,0))</f>
        <v>0</v>
      </c>
      <c r="P159" s="799">
        <f>MIN(IF(ISERROR(VLOOKUP(P$134-$F159,$E$135:$E$165,1,FALSE)),0,O27*$C$2),MAX((IF(Monthly!L$4=TRUE,Monthly!L$13,Monthly!L$14)*(1+'Attrition Modeling'!$N$8)-IFERROR(O27/O94,0)*12)/12*O94,0))</f>
        <v>0</v>
      </c>
      <c r="Q159" s="799">
        <f>MIN(IF(ISERROR(VLOOKUP(Q$134-$F159,$E$135:$E$165,1,FALSE)),0,P27*$C$2),MAX((IF(Monthly!M$4=TRUE,Monthly!M$13,Monthly!M$14)*(1+'Attrition Modeling'!$N$8)-IFERROR(P27/P94,0)*12)/12*P94,0))</f>
        <v>0</v>
      </c>
      <c r="R159" s="799">
        <f>MIN(IF(ISERROR(VLOOKUP(R$134-$F159,$E$135:$E$165,1,FALSE)),0,Q27*$C$2),MAX((IF(Monthly!N$4=TRUE,Monthly!N$13,Monthly!N$14)*(1+'Attrition Modeling'!$N$8)-IFERROR(Q27/Q94,0)*12)/12*Q94,0))</f>
        <v>0</v>
      </c>
      <c r="S159" s="799">
        <f>MIN(IF(ISERROR(VLOOKUP(S$134-$F159,$E$135:$E$165,1,FALSE)),0,R27*$C$2),MAX((IF(Monthly!O$4=TRUE,Monthly!O$13,Monthly!O$14)*(1+'Attrition Modeling'!$N$8)-IFERROR(R27/R94,0)*12)/12*R94,0))</f>
        <v>0</v>
      </c>
      <c r="T159" s="799">
        <f>MIN(IF(ISERROR(VLOOKUP(T$134-$F159,$E$135:$E$165,1,FALSE)),0,S27*$C$2),MAX((IF(Monthly!P$4=TRUE,Monthly!P$13,Monthly!P$14)*(1+'Attrition Modeling'!$N$8)-IFERROR(S27/S94,0)*12)/12*S94,0))</f>
        <v>0</v>
      </c>
      <c r="U159" s="799">
        <f>MIN(IF(ISERROR(VLOOKUP(U$134-$F159,$E$135:$E$165,1,FALSE)),0,T27*$C$2),MAX((IF(Monthly!Q$4=TRUE,Monthly!Q$13,Monthly!Q$14)*(1+'Attrition Modeling'!$N$8)-IFERROR(T27/T94,0)*12)/12*T94,0))</f>
        <v>0</v>
      </c>
      <c r="V159" s="799">
        <f>MIN(IF(ISERROR(VLOOKUP(V$134-$F159,$E$135:$E$165,1,FALSE)),0,U27*$C$2),MAX((IF(Monthly!R$4=TRUE,Monthly!R$13,Monthly!R$14)*(1+'Attrition Modeling'!$N$8)-IFERROR(U27/U94,0)*12)/12*U94,0))</f>
        <v>0</v>
      </c>
      <c r="W159" s="799">
        <f>MIN(IF(ISERROR(VLOOKUP(W$134-$F159,$E$135:$E$165,1,FALSE)),0,V27*$C$2),MAX((IF(Monthly!S$4=TRUE,Monthly!S$13,Monthly!S$14)*(1+'Attrition Modeling'!$N$8)-IFERROR(V27/V94,0)*12)/12*V94,0))</f>
        <v>0</v>
      </c>
      <c r="X159" s="799">
        <f>MIN(IF(ISERROR(VLOOKUP(X$134-$F159,$E$135:$E$165,1,FALSE)),0,W27*$C$2),MAX((IF(Monthly!T$4=TRUE,Monthly!T$13,Monthly!T$14)*(1+'Attrition Modeling'!$N$8)-IFERROR(W27/W94,0)*12)/12*W94,0))</f>
        <v>0</v>
      </c>
      <c r="Y159" s="799">
        <f>MIN(IF(ISERROR(VLOOKUP(Y$134-$F159,$E$135:$E$165,1,FALSE)),0,X27*$C$2),MAX((IF(Monthly!U$4=TRUE,Monthly!U$13,Monthly!U$14)*(1+'Attrition Modeling'!$N$8)-IFERROR(X27/X94,0)*12)/12*X94,0))</f>
        <v>0</v>
      </c>
      <c r="Z159" s="799">
        <f>MIN(IF(ISERROR(VLOOKUP(Z$134-$F159,$E$135:$E$165,1,FALSE)),0,Y27*$C$2),MAX((IF(Monthly!V$4=TRUE,Monthly!V$13,Monthly!V$14)*(1+'Attrition Modeling'!$N$8)-IFERROR(Y27/Y94,0)*12)/12*Y94,0))</f>
        <v>0</v>
      </c>
      <c r="AA159" s="799">
        <f>MIN(IF(ISERROR(VLOOKUP(AA$134-$F159,$E$135:$E$165,1,FALSE)),0,Z27*$C$2),MAX((IF(Monthly!W$4=TRUE,Monthly!W$13,Monthly!W$14)*(1+'Attrition Modeling'!$N$8)-IFERROR(Z27/Z94,0)*12)/12*Z94,0))</f>
        <v>0</v>
      </c>
      <c r="AB159" s="799">
        <f>MIN(IF(ISERROR(VLOOKUP(AB$134-$F159,$E$135:$E$165,1,FALSE)),0,AA27*$C$2),MAX((IF(Monthly!X$4=TRUE,Monthly!X$13,Monthly!X$14)*(1+'Attrition Modeling'!$N$8)-IFERROR(AA27/AA94,0)*12)/12*AA94,0))</f>
        <v>0</v>
      </c>
      <c r="AC159" s="799">
        <f>MIN(IF(ISERROR(VLOOKUP(AC$134-$F159,$E$135:$E$165,1,FALSE)),0,AB27*$C$2),MAX((IF(Monthly!Y$4=TRUE,Monthly!Y$13,Monthly!Y$14)*(1+'Attrition Modeling'!$N$8)-IFERROR(AB27/AB94,0)*12)/12*AB94,0))</f>
        <v>0</v>
      </c>
      <c r="AD159" s="799">
        <f>MIN(IF(ISERROR(VLOOKUP(AD$134-$F159,$E$135:$E$165,1,FALSE)),0,AC27*$C$2),MAX((IF(Monthly!Z$4=TRUE,Monthly!Z$13,Monthly!Z$14)*(1+'Attrition Modeling'!$N$8)-IFERROR(AC27/AC94,0)*12)/12*AC94,0))</f>
        <v>0</v>
      </c>
      <c r="AE159" s="799">
        <f>MIN(IF(ISERROR(VLOOKUP(AE$134-$F159,$E$135:$E$165,1,FALSE)),0,AD27*$C$2),MAX((IF(Monthly!AA$4=TRUE,Monthly!AA$13,Monthly!AA$14)*(1+'Attrition Modeling'!$N$8)-IFERROR(AD27/AD94,0)*12)/12*AD94,0))</f>
        <v>0</v>
      </c>
      <c r="AF159" s="799">
        <f>MIN(IF(ISERROR(VLOOKUP(AF$134-$F159,$E$135:$E$165,1,FALSE)),0,AE27*$C$2),MAX((IF(Monthly!AB$4=TRUE,Monthly!AB$13,Monthly!AB$14)*(1+'Attrition Modeling'!$N$8)-IFERROR(AE27/AE94,0)*12)/12*AE94,0))</f>
        <v>0</v>
      </c>
      <c r="AG159" s="799">
        <f>MIN(IF(ISERROR(VLOOKUP(AG$134-$F159,$E$135:$E$165,1,FALSE)),0,AF27*$C$2),MAX((IF(Monthly!AC$4=TRUE,Monthly!AC$13,Monthly!AC$14)*(1+'Attrition Modeling'!$N$8)-IFERROR(AF27/AF94,0)*12)/12*AF94,0))</f>
        <v>0</v>
      </c>
      <c r="AH159" s="799">
        <f>MIN(IF(ISERROR(VLOOKUP(AH$134-$F159,$E$135:$E$165,1,FALSE)),0,AG27*$C$2),MAX((IF(Monthly!AD$4=TRUE,Monthly!AD$13,Monthly!AD$14)*(1+'Attrition Modeling'!$N$8)-IFERROR(AG27/AG94,0)*12)/12*AG94,0))</f>
        <v>0</v>
      </c>
      <c r="AI159" s="799">
        <f>MIN(IF(ISERROR(VLOOKUP(AI$134-$F159,$E$135:$E$165,1,FALSE)),0,AH27*$C$2),MAX((IF(Monthly!AE$4=TRUE,Monthly!AE$13,Monthly!AE$14)*(1+'Attrition Modeling'!$N$8)-IFERROR(AH27/AH94,0)*12)/12*AH94,0))</f>
        <v>0</v>
      </c>
      <c r="AJ159" s="799">
        <f>MIN(IF(ISERROR(VLOOKUP(AJ$134-$F159,$E$135:$E$165,1,FALSE)),0,AI27*$C$2),MAX((IF(Monthly!AF$4=TRUE,Monthly!AF$13,Monthly!AF$14)*(1+'Attrition Modeling'!$N$8)-IFERROR(AI27/AI94,0)*12)/12*AI94,0))</f>
        <v>0</v>
      </c>
      <c r="AK159" s="799">
        <f>MIN(IF(ISERROR(VLOOKUP(AK$134-$F159,$E$135:$E$165,1,FALSE)),0,AJ27*$C$2),MAX((IF(Monthly!AG$4=TRUE,Monthly!AG$13,Monthly!AG$14)*(1+'Attrition Modeling'!$N$8)-IFERROR(AJ27/AJ94,0)*12)/12*AJ94,0))</f>
        <v>691.98604040009536</v>
      </c>
      <c r="AL159" s="799">
        <f>MIN(IF(ISERROR(VLOOKUP(AL$134-$F159,$E$135:$E$165,1,FALSE)),0,AK27*$C$2),MAX((IF(Monthly!AH$4=TRUE,Monthly!AH$13,Monthly!AH$14)*(1+'Attrition Modeling'!$N$8)-IFERROR(AK27/AK94,0)*12)/12*AK94,0))</f>
        <v>0</v>
      </c>
      <c r="AM159" s="799">
        <f>MIN(IF(ISERROR(VLOOKUP(AM$134-$F159,$E$135:$E$165,1,FALSE)),0,AL27*$C$2),MAX((IF(Monthly!AI$4=TRUE,Monthly!AI$13,Monthly!AI$14)*(1+'Attrition Modeling'!$N$8)-IFERROR(AL27/AL94,0)*12)/12*AL94,0))</f>
        <v>0</v>
      </c>
      <c r="AN159" s="799">
        <f>MIN(IF(ISERROR(VLOOKUP(AN$134-$F159,$E$135:$E$165,1,FALSE)),0,AM27*$C$2),MAX((IF(Monthly!AJ$4=TRUE,Monthly!AJ$13,Monthly!AJ$14)*(1+'Attrition Modeling'!$N$8)-IFERROR(AM27/AM94,0)*12)/12*AM94,0))</f>
        <v>0</v>
      </c>
      <c r="AO159" s="799">
        <f>MIN(IF(ISERROR(VLOOKUP(AO$134-$F159,$E$135:$E$165,1,FALSE)),0,AN27*$C$2),MAX((IF(Monthly!AK$4=TRUE,Monthly!AK$13,Monthly!AK$14)*(1+'Attrition Modeling'!$N$8)-IFERROR(AN27/AN94,0)*12)/12*AN94,0))</f>
        <v>0</v>
      </c>
      <c r="AP159" s="799">
        <f>MIN(IF(ISERROR(VLOOKUP(AP$134-$F159,$E$135:$E$165,1,FALSE)),0,AO27*$C$2),MAX((IF(Monthly!AL$4=TRUE,Monthly!AL$13,Monthly!AL$14)*(1+'Attrition Modeling'!$N$8)-IFERROR(AO27/AO94,0)*12)/12*AO94,0))</f>
        <v>0</v>
      </c>
      <c r="AQ159" s="799">
        <f>MIN(IF(ISERROR(VLOOKUP(AQ$134-$F159,$E$135:$E$165,1,FALSE)),0,AP27*$C$2),MAX((IF(Monthly!AM$4=TRUE,Monthly!AM$13,Monthly!AM$14)*(1+'Attrition Modeling'!$N$8)-IFERROR(AP27/AP94,0)*12)/12*AP94,0))</f>
        <v>0</v>
      </c>
      <c r="AR159" s="799">
        <f>MIN(IF(ISERROR(VLOOKUP(AR$134-$F159,$E$135:$E$165,1,FALSE)),0,AQ27*$C$2),MAX((IF(Monthly!AN$4=TRUE,Monthly!AN$13,Monthly!AN$14)*(1+'Attrition Modeling'!$N$8)-IFERROR(AQ27/AQ94,0)*12)/12*AQ94,0))</f>
        <v>0</v>
      </c>
      <c r="AS159" s="799">
        <f>MIN(IF(ISERROR(VLOOKUP(AS$134-$F159,$E$135:$E$165,1,FALSE)),0,AR27*$C$2),MAX((IF(Monthly!AO$4=TRUE,Monthly!AO$13,Monthly!AO$14)*(1+'Attrition Modeling'!$N$8)-IFERROR(AR27/AR94,0)*12)/12*AR94,0))</f>
        <v>0</v>
      </c>
      <c r="AT159" s="799">
        <f>MIN(IF(ISERROR(VLOOKUP(AT$134-$F159,$E$135:$E$165,1,FALSE)),0,AS27*$C$2),MAX((IF(Monthly!AP$4=TRUE,Monthly!AP$13,Monthly!AP$14)*(1+'Attrition Modeling'!$N$8)-IFERROR(AS27/AS94,0)*12)/12*AS94,0))</f>
        <v>0</v>
      </c>
      <c r="AU159" s="799">
        <f>MIN(IF(ISERROR(VLOOKUP(AU$134-$F159,$E$135:$E$165,1,FALSE)),0,AT27*$C$2),MAX((IF(Monthly!AQ$4=TRUE,Monthly!AQ$13,Monthly!AQ$14)*(1+'Attrition Modeling'!$N$8)-IFERROR(AT27/AT94,0)*12)/12*AT94,0))</f>
        <v>0</v>
      </c>
      <c r="AV159" s="799">
        <f>MIN(IF(ISERROR(VLOOKUP(AV$134-$F159,$E$135:$E$165,1,FALSE)),0,AU27*$C$2),MAX((IF(Monthly!AR$4=TRUE,Monthly!AR$13,Monthly!AR$14)*(1+'Attrition Modeling'!$N$8)-IFERROR(AU27/AU94,0)*12)/12*AU94,0))</f>
        <v>0</v>
      </c>
      <c r="AW159" s="799">
        <f>MIN(IF(ISERROR(VLOOKUP(AW$134-$F159,$E$135:$E$165,1,FALSE)),0,AV27*$C$2),MAX((IF(Monthly!AS$4=TRUE,Monthly!AS$13,Monthly!AS$14)*(1+'Attrition Modeling'!$N$8)-IFERROR(AV27/AV94,0)*12)/12*AV94,0))</f>
        <v>375.60885357281461</v>
      </c>
      <c r="AX159" s="799">
        <f>MIN(IF(ISERROR(VLOOKUP(AX$134-$F159,$E$135:$E$165,1,FALSE)),0,AW27*$C$2),MAX((IF(Monthly!AT$4=TRUE,Monthly!AT$13,Monthly!AT$14)*(1+'Attrition Modeling'!$N$8)-IFERROR(AW27/AW94,0)*12)/12*AW94,0))</f>
        <v>0</v>
      </c>
      <c r="AY159" s="799">
        <f>MIN(IF(ISERROR(VLOOKUP(AY$134-$F159,$E$135:$E$165,1,FALSE)),0,AX27*$C$2),MAX((IF(Monthly!AU$4=TRUE,Monthly!AU$13,Monthly!AU$14)*(1+'Attrition Modeling'!$N$8)-IFERROR(AX27/AX94,0)*12)/12*AX94,0))</f>
        <v>0</v>
      </c>
      <c r="AZ159" s="799">
        <f>MIN(IF(ISERROR(VLOOKUP(AZ$134-$F159,$E$135:$E$165,1,FALSE)),0,AY27*$C$2),MAX((IF(Monthly!AV$4=TRUE,Monthly!AV$13,Monthly!AV$14)*(1+'Attrition Modeling'!$N$8)-IFERROR(AY27/AY94,0)*12)/12*AY94,0))</f>
        <v>0</v>
      </c>
      <c r="BA159" s="799">
        <f>MIN(IF(ISERROR(VLOOKUP(BA$134-$F159,$E$135:$E$165,1,FALSE)),0,AZ27*$C$2),MAX((IF(Monthly!AW$4=TRUE,Monthly!AW$13,Monthly!AW$14)*(1+'Attrition Modeling'!$N$8)-IFERROR(AZ27/AZ94,0)*12)/12*AZ94,0))</f>
        <v>0</v>
      </c>
      <c r="BB159" s="799">
        <f>MIN(IF(ISERROR(VLOOKUP(BB$134-$F159,$E$135:$E$165,1,FALSE)),0,BA27*$C$2),MAX((IF(Monthly!AX$4=TRUE,Monthly!AX$13,Monthly!AX$14)*(1+'Attrition Modeling'!$N$8)-IFERROR(BA27/BA94,0)*12)/12*BA94,0))</f>
        <v>0</v>
      </c>
      <c r="BC159" s="799">
        <f>MIN(IF(ISERROR(VLOOKUP(BC$134-$F159,$E$135:$E$165,1,FALSE)),0,BB27*$C$2),MAX((IF(Monthly!AY$4=TRUE,Monthly!AY$13,Monthly!AY$14)*(1+'Attrition Modeling'!$N$8)-IFERROR(BB27/BB94,0)*12)/12*BB94,0))</f>
        <v>0</v>
      </c>
      <c r="BD159" s="799">
        <f>MIN(IF(ISERROR(VLOOKUP(BD$134-$F159,$E$135:$E$165,1,FALSE)),0,BC27*$C$2),MAX((IF(Monthly!AZ$4=TRUE,Monthly!AZ$13,Monthly!AZ$14)*(1+'Attrition Modeling'!$N$8)-IFERROR(BC27/BC94,0)*12)/12*BC94,0))</f>
        <v>0</v>
      </c>
      <c r="BE159" s="799">
        <f>MIN(IF(ISERROR(VLOOKUP(BE$134-$F159,$E$135:$E$165,1,FALSE)),0,BD27*$C$2),MAX((IF(Monthly!BA$4=TRUE,Monthly!BA$13,Monthly!BA$14)*(1+'Attrition Modeling'!$N$8)-IFERROR(BD27/BD94,0)*12)/12*BD94,0))</f>
        <v>0</v>
      </c>
      <c r="BF159" s="799">
        <f>MIN(IF(ISERROR(VLOOKUP(BF$134-$F159,$E$135:$E$165,1,FALSE)),0,BE27*$C$2),MAX((IF(Monthly!BB$4=TRUE,Monthly!BB$13,Monthly!BB$14)*(1+'Attrition Modeling'!$N$8)-IFERROR(BE27/BE94,0)*12)/12*BE94,0))</f>
        <v>0</v>
      </c>
      <c r="BG159" s="799">
        <f>MIN(IF(ISERROR(VLOOKUP(BG$134-$F159,$E$135:$E$165,1,FALSE)),0,BF27*$C$2),MAX((IF(Monthly!BC$4=TRUE,Monthly!BC$13,Monthly!BC$14)*(1+'Attrition Modeling'!$N$8)-IFERROR(BF27/BF94,0)*12)/12*BF94,0))</f>
        <v>0</v>
      </c>
      <c r="BH159" s="799">
        <f>MIN(IF(ISERROR(VLOOKUP(BH$134-$F159,$E$135:$E$165,1,FALSE)),0,BG27*$C$2),MAX((IF(Monthly!BD$4=TRUE,Monthly!BD$13,Monthly!BD$14)*(1+'Attrition Modeling'!$N$8)-IFERROR(BG27/BG94,0)*12)/12*BG94,0))</f>
        <v>0</v>
      </c>
      <c r="BI159" s="799">
        <f>MIN(IF(ISERROR(VLOOKUP(BI$134-$F159,$E$135:$E$165,1,FALSE)),0,BH27*$C$2),MAX((IF(Monthly!BE$4=TRUE,Monthly!BE$13,Monthly!BE$14)*(1+'Attrition Modeling'!$N$8)-IFERROR(BH27/BH94,0)*12)/12*BH94,0))</f>
        <v>255.55699406351488</v>
      </c>
      <c r="BJ159" s="799">
        <f>MIN(IF(ISERROR(VLOOKUP(BJ$134-$F159,$E$135:$E$165,1,FALSE)),0,BI27*$C$2),MAX((IF(Monthly!BF$4=TRUE,Monthly!BF$13,Monthly!BF$14)*(1+'Attrition Modeling'!$N$8)-IFERROR(BI27/BI94,0)*12)/12*BI94,0))</f>
        <v>0</v>
      </c>
      <c r="BK159" s="799">
        <f>MIN(IF(ISERROR(VLOOKUP(BK$134-$F159,$E$135:$E$165,1,FALSE)),0,BJ27*$C$2),MAX((IF(Monthly!BG$4=TRUE,Monthly!BG$13,Monthly!BG$14)*(1+'Attrition Modeling'!$N$8)-IFERROR(BJ27/BJ94,0)*12)/12*BJ94,0))</f>
        <v>0</v>
      </c>
      <c r="BL159" s="799">
        <f>MIN(IF(ISERROR(VLOOKUP(BL$134-$F159,$E$135:$E$165,1,FALSE)),0,BK27*$C$2),MAX((IF(Monthly!BH$4=TRUE,Monthly!BH$13,Monthly!BH$14)*(1+'Attrition Modeling'!$N$8)-IFERROR(BK27/BK94,0)*12)/12*BK94,0))</f>
        <v>0</v>
      </c>
      <c r="BM159" s="799">
        <f>MIN(IF(ISERROR(VLOOKUP(BM$134-$F159,$E$135:$E$165,1,FALSE)),0,BL27*$C$2),MAX((IF(Monthly!BI$4=TRUE,Monthly!BI$13,Monthly!BI$14)*(1+'Attrition Modeling'!$N$8)-IFERROR(BL27/BL94,0)*12)/12*BL94,0))</f>
        <v>0</v>
      </c>
      <c r="BN159" s="799">
        <f>MIN(IF(ISERROR(VLOOKUP(BN$134-$F159,$E$135:$E$165,1,FALSE)),0,BM27*$C$2),MAX((IF(Monthly!BJ$4=TRUE,Monthly!BJ$13,Monthly!BJ$14)*(1+'Attrition Modeling'!$N$8)-IFERROR(BM27/BM94,0)*12)/12*BM94,0))</f>
        <v>0</v>
      </c>
      <c r="BO159" s="799">
        <f>MIN(IF(ISERROR(VLOOKUP(BO$134-$F159,$E$135:$E$165,1,FALSE)),0,BN27*$C$2),MAX((IF(Monthly!BK$4=TRUE,Monthly!BK$13,Monthly!BK$14)*(1+'Attrition Modeling'!$N$8)-IFERROR(BN27/BN94,0)*12)/12*BN94,0))</f>
        <v>0</v>
      </c>
      <c r="BP159" s="799">
        <f>MIN(IF(ISERROR(VLOOKUP(BP$134-$F159,$E$135:$E$165,1,FALSE)),0,BO27*$C$2),MAX((IF(Monthly!BP$4=TRUE,Monthly!BP$13,Monthly!BP$14)*(1+'Attrition Modeling'!$N$8)-IFERROR(BO27/BO94,0)*12)/12*BO94,0))</f>
        <v>0</v>
      </c>
      <c r="BQ159" s="799">
        <f>MIN(IF(ISERROR(VLOOKUP(BQ$134-$F159,$E$135:$E$165,1,FALSE)),0,BP27*$C$2),MAX((IF(Monthly!BQ$4=TRUE,Monthly!BQ$13,Monthly!BQ$14)*(1+'Attrition Modeling'!$N$8)-IFERROR(BP27/BP94,0)*12)/12*BP94,0))</f>
        <v>0</v>
      </c>
      <c r="BR159" s="799">
        <f>MIN(IF(ISERROR(VLOOKUP(BR$134-$F159,$E$135:$E$165,1,FALSE)),0,BQ27*$C$2),MAX((IF(Monthly!BR$4=TRUE,Monthly!BR$13,Monthly!BR$14)*(1+'Attrition Modeling'!$N$8)-IFERROR(BQ27/BQ94,0)*12)/12*BQ94,0))</f>
        <v>0</v>
      </c>
      <c r="BS159" s="799">
        <f>MIN(IF(ISERROR(VLOOKUP(BS$134-$F159,$E$135:$E$165,1,FALSE)),0,BR27*$C$2),MAX((IF(Monthly!BS$4=TRUE,Monthly!BS$13,Monthly!BS$14)*(1+'Attrition Modeling'!$N$8)-IFERROR(BR27/BR94,0)*12)/12*BR94,0))</f>
        <v>0</v>
      </c>
      <c r="BT159" s="799">
        <f>MIN(IF(ISERROR(VLOOKUP(BT$134-$F159,$E$135:$E$165,1,FALSE)),0,BS27*$C$2),MAX((IF(Monthly!BT$4=TRUE,Monthly!BT$13,Monthly!BT$14)*(1+'Attrition Modeling'!$N$8)-IFERROR(BS27/BS94,0)*12)/12*BS94,0))</f>
        <v>0</v>
      </c>
      <c r="BU159" s="799">
        <f>MIN(IF(ISERROR(VLOOKUP(BU$134-$F159,$E$135:$E$165,1,FALSE)),0,BT27*$C$2),MAX((IF(Monthly!BU$4=TRUE,Monthly!BU$13,Monthly!BU$14)*(1+'Attrition Modeling'!$N$8)-IFERROR(BT27/BT94,0)*12)/12*BT94,0))</f>
        <v>190.31246283894845</v>
      </c>
    </row>
    <row r="160" spans="1:73" ht="14.25" customHeight="1" x14ac:dyDescent="0.2">
      <c r="A160" s="9">
        <v>153</v>
      </c>
      <c r="B160" s="25">
        <f>MAX('Attrition Modeling'!H157,$C$3)*(1-Summary!$C$20)</f>
        <v>0.02</v>
      </c>
      <c r="C160" s="24" t="e">
        <f t="shared" si="4"/>
        <v>#DIV/0!</v>
      </c>
      <c r="E160" s="11">
        <f t="shared" si="13"/>
        <v>306</v>
      </c>
      <c r="F160" s="11">
        <f t="shared" si="14"/>
        <v>25</v>
      </c>
      <c r="G160" s="799"/>
      <c r="H160" s="799">
        <f>MIN(IF(ISERROR(VLOOKUP(H$134-$F160,$E$135:$E$165,1,FALSE)),0,G28*$C$2),MAX((IF(Monthly!D$4=TRUE,Monthly!D$13,Monthly!D$14)*(1+'Attrition Modeling'!$N$8)-IFERROR(G28/G95,0)*12)/12*G95,0))</f>
        <v>0</v>
      </c>
      <c r="I160" s="799">
        <f>MIN(IF(ISERROR(VLOOKUP(I$134-$F160,$E$135:$E$165,1,FALSE)),0,H28*$C$2),MAX((IF(Monthly!E$4=TRUE,Monthly!E$13,Monthly!E$14)*(1+'Attrition Modeling'!$N$8)-IFERROR(H28/H95,0)*12)/12*H95,0))</f>
        <v>0</v>
      </c>
      <c r="J160" s="799">
        <f>MIN(IF(ISERROR(VLOOKUP(J$134-$F160,$E$135:$E$165,1,FALSE)),0,I28*$C$2),MAX((IF(Monthly!F$4=TRUE,Monthly!F$13,Monthly!F$14)*(1+'Attrition Modeling'!$N$8)-IFERROR(I28/I95,0)*12)/12*I95,0))</f>
        <v>0</v>
      </c>
      <c r="K160" s="799">
        <f>MIN(IF(ISERROR(VLOOKUP(K$134-$F160,$E$135:$E$165,1,FALSE)),0,J28*$C$2),MAX((IF(Monthly!G$4=TRUE,Monthly!G$13,Monthly!G$14)*(1+'Attrition Modeling'!$N$8)-IFERROR(J28/J95,0)*12)/12*J95,0))</f>
        <v>0</v>
      </c>
      <c r="L160" s="799">
        <f>MIN(IF(ISERROR(VLOOKUP(L$134-$F160,$E$135:$E$165,1,FALSE)),0,K28*$C$2),MAX((IF(Monthly!H$4=TRUE,Monthly!H$13,Monthly!H$14)*(1+'Attrition Modeling'!$N$8)-IFERROR(K28/K95,0)*12)/12*K95,0))</f>
        <v>0</v>
      </c>
      <c r="M160" s="799">
        <f>MIN(IF(ISERROR(VLOOKUP(M$134-$F160,$E$135:$E$165,1,FALSE)),0,L28*$C$2),MAX((IF(Monthly!I$4=TRUE,Monthly!I$13,Monthly!I$14)*(1+'Attrition Modeling'!$N$8)-IFERROR(L28/L95,0)*12)/12*L95,0))</f>
        <v>0</v>
      </c>
      <c r="N160" s="799">
        <f>MIN(IF(ISERROR(VLOOKUP(N$134-$F160,$E$135:$E$165,1,FALSE)),0,M28*$C$2),MAX((IF(Monthly!J$4=TRUE,Monthly!J$13,Monthly!J$14)*(1+'Attrition Modeling'!$N$8)-IFERROR(M28/M95,0)*12)/12*M95,0))</f>
        <v>0</v>
      </c>
      <c r="O160" s="799">
        <f>MIN(IF(ISERROR(VLOOKUP(O$134-$F160,$E$135:$E$165,1,FALSE)),0,N28*$C$2),MAX((IF(Monthly!K$4=TRUE,Monthly!K$13,Monthly!K$14)*(1+'Attrition Modeling'!$N$8)-IFERROR(N28/N95,0)*12)/12*N95,0))</f>
        <v>0</v>
      </c>
      <c r="P160" s="799">
        <f>MIN(IF(ISERROR(VLOOKUP(P$134-$F160,$E$135:$E$165,1,FALSE)),0,O28*$C$2),MAX((IF(Monthly!L$4=TRUE,Monthly!L$13,Monthly!L$14)*(1+'Attrition Modeling'!$N$8)-IFERROR(O28/O95,0)*12)/12*O95,0))</f>
        <v>0</v>
      </c>
      <c r="Q160" s="799">
        <f>MIN(IF(ISERROR(VLOOKUP(Q$134-$F160,$E$135:$E$165,1,FALSE)),0,P28*$C$2),MAX((IF(Monthly!M$4=TRUE,Monthly!M$13,Monthly!M$14)*(1+'Attrition Modeling'!$N$8)-IFERROR(P28/P95,0)*12)/12*P95,0))</f>
        <v>0</v>
      </c>
      <c r="R160" s="799">
        <f>MIN(IF(ISERROR(VLOOKUP(R$134-$F160,$E$135:$E$165,1,FALSE)),0,Q28*$C$2),MAX((IF(Monthly!N$4=TRUE,Monthly!N$13,Monthly!N$14)*(1+'Attrition Modeling'!$N$8)-IFERROR(Q28/Q95,0)*12)/12*Q95,0))</f>
        <v>0</v>
      </c>
      <c r="S160" s="799">
        <f>MIN(IF(ISERROR(VLOOKUP(S$134-$F160,$E$135:$E$165,1,FALSE)),0,R28*$C$2),MAX((IF(Monthly!O$4=TRUE,Monthly!O$13,Monthly!O$14)*(1+'Attrition Modeling'!$N$8)-IFERROR(R28/R95,0)*12)/12*R95,0))</f>
        <v>0</v>
      </c>
      <c r="T160" s="799">
        <f>MIN(IF(ISERROR(VLOOKUP(T$134-$F160,$E$135:$E$165,1,FALSE)),0,S28*$C$2),MAX((IF(Monthly!P$4=TRUE,Monthly!P$13,Monthly!P$14)*(1+'Attrition Modeling'!$N$8)-IFERROR(S28/S95,0)*12)/12*S95,0))</f>
        <v>0</v>
      </c>
      <c r="U160" s="799">
        <f>MIN(IF(ISERROR(VLOOKUP(U$134-$F160,$E$135:$E$165,1,FALSE)),0,T28*$C$2),MAX((IF(Monthly!Q$4=TRUE,Monthly!Q$13,Monthly!Q$14)*(1+'Attrition Modeling'!$N$8)-IFERROR(T28/T95,0)*12)/12*T95,0))</f>
        <v>0</v>
      </c>
      <c r="V160" s="799">
        <f>MIN(IF(ISERROR(VLOOKUP(V$134-$F160,$E$135:$E$165,1,FALSE)),0,U28*$C$2),MAX((IF(Monthly!R$4=TRUE,Monthly!R$13,Monthly!R$14)*(1+'Attrition Modeling'!$N$8)-IFERROR(U28/U95,0)*12)/12*U95,0))</f>
        <v>0</v>
      </c>
      <c r="W160" s="799">
        <f>MIN(IF(ISERROR(VLOOKUP(W$134-$F160,$E$135:$E$165,1,FALSE)),0,V28*$C$2),MAX((IF(Monthly!S$4=TRUE,Monthly!S$13,Monthly!S$14)*(1+'Attrition Modeling'!$N$8)-IFERROR(V28/V95,0)*12)/12*V95,0))</f>
        <v>0</v>
      </c>
      <c r="X160" s="799">
        <f>MIN(IF(ISERROR(VLOOKUP(X$134-$F160,$E$135:$E$165,1,FALSE)),0,W28*$C$2),MAX((IF(Monthly!T$4=TRUE,Monthly!T$13,Monthly!T$14)*(1+'Attrition Modeling'!$N$8)-IFERROR(W28/W95,0)*12)/12*W95,0))</f>
        <v>0</v>
      </c>
      <c r="Y160" s="799">
        <f>MIN(IF(ISERROR(VLOOKUP(Y$134-$F160,$E$135:$E$165,1,FALSE)),0,X28*$C$2),MAX((IF(Monthly!U$4=TRUE,Monthly!U$13,Monthly!U$14)*(1+'Attrition Modeling'!$N$8)-IFERROR(X28/X95,0)*12)/12*X95,0))</f>
        <v>0</v>
      </c>
      <c r="Z160" s="799">
        <f>MIN(IF(ISERROR(VLOOKUP(Z$134-$F160,$E$135:$E$165,1,FALSE)),0,Y28*$C$2),MAX((IF(Monthly!V$4=TRUE,Monthly!V$13,Monthly!V$14)*(1+'Attrition Modeling'!$N$8)-IFERROR(Y28/Y95,0)*12)/12*Y95,0))</f>
        <v>0</v>
      </c>
      <c r="AA160" s="799">
        <f>MIN(IF(ISERROR(VLOOKUP(AA$134-$F160,$E$135:$E$165,1,FALSE)),0,Z28*$C$2),MAX((IF(Monthly!W$4=TRUE,Monthly!W$13,Monthly!W$14)*(1+'Attrition Modeling'!$N$8)-IFERROR(Z28/Z95,0)*12)/12*Z95,0))</f>
        <v>0</v>
      </c>
      <c r="AB160" s="799">
        <f>MIN(IF(ISERROR(VLOOKUP(AB$134-$F160,$E$135:$E$165,1,FALSE)),0,AA28*$C$2),MAX((IF(Monthly!X$4=TRUE,Monthly!X$13,Monthly!X$14)*(1+'Attrition Modeling'!$N$8)-IFERROR(AA28/AA95,0)*12)/12*AA95,0))</f>
        <v>0</v>
      </c>
      <c r="AC160" s="799">
        <f>MIN(IF(ISERROR(VLOOKUP(AC$134-$F160,$E$135:$E$165,1,FALSE)),0,AB28*$C$2),MAX((IF(Monthly!Y$4=TRUE,Monthly!Y$13,Monthly!Y$14)*(1+'Attrition Modeling'!$N$8)-IFERROR(AB28/AB95,0)*12)/12*AB95,0))</f>
        <v>0</v>
      </c>
      <c r="AD160" s="799">
        <f>MIN(IF(ISERROR(VLOOKUP(AD$134-$F160,$E$135:$E$165,1,FALSE)),0,AC28*$C$2),MAX((IF(Monthly!Z$4=TRUE,Monthly!Z$13,Monthly!Z$14)*(1+'Attrition Modeling'!$N$8)-IFERROR(AC28/AC95,0)*12)/12*AC95,0))</f>
        <v>0</v>
      </c>
      <c r="AE160" s="799">
        <f>MIN(IF(ISERROR(VLOOKUP(AE$134-$F160,$E$135:$E$165,1,FALSE)),0,AD28*$C$2),MAX((IF(Monthly!AA$4=TRUE,Monthly!AA$13,Monthly!AA$14)*(1+'Attrition Modeling'!$N$8)-IFERROR(AD28/AD95,0)*12)/12*AD95,0))</f>
        <v>0</v>
      </c>
      <c r="AF160" s="799">
        <f>MIN(IF(ISERROR(VLOOKUP(AF$134-$F160,$E$135:$E$165,1,FALSE)),0,AE28*$C$2),MAX((IF(Monthly!AB$4=TRUE,Monthly!AB$13,Monthly!AB$14)*(1+'Attrition Modeling'!$N$8)-IFERROR(AE28/AE95,0)*12)/12*AE95,0))</f>
        <v>0</v>
      </c>
      <c r="AG160" s="799">
        <f>MIN(IF(ISERROR(VLOOKUP(AG$134-$F160,$E$135:$E$165,1,FALSE)),0,AF28*$C$2),MAX((IF(Monthly!AC$4=TRUE,Monthly!AC$13,Monthly!AC$14)*(1+'Attrition Modeling'!$N$8)-IFERROR(AF28/AF95,0)*12)/12*AF95,0))</f>
        <v>0</v>
      </c>
      <c r="AH160" s="799">
        <f>MIN(IF(ISERROR(VLOOKUP(AH$134-$F160,$E$135:$E$165,1,FALSE)),0,AG28*$C$2),MAX((IF(Monthly!AD$4=TRUE,Monthly!AD$13,Monthly!AD$14)*(1+'Attrition Modeling'!$N$8)-IFERROR(AG28/AG95,0)*12)/12*AG95,0))</f>
        <v>0</v>
      </c>
      <c r="AI160" s="799">
        <f>MIN(IF(ISERROR(VLOOKUP(AI$134-$F160,$E$135:$E$165,1,FALSE)),0,AH28*$C$2),MAX((IF(Monthly!AE$4=TRUE,Monthly!AE$13,Monthly!AE$14)*(1+'Attrition Modeling'!$N$8)-IFERROR(AH28/AH95,0)*12)/12*AH95,0))</f>
        <v>0</v>
      </c>
      <c r="AJ160" s="799">
        <f>MIN(IF(ISERROR(VLOOKUP(AJ$134-$F160,$E$135:$E$165,1,FALSE)),0,AI28*$C$2),MAX((IF(Monthly!AF$4=TRUE,Monthly!AF$13,Monthly!AF$14)*(1+'Attrition Modeling'!$N$8)-IFERROR(AI28/AI95,0)*12)/12*AI95,0))</f>
        <v>0</v>
      </c>
      <c r="AK160" s="799">
        <f>MIN(IF(ISERROR(VLOOKUP(AK$134-$F160,$E$135:$E$165,1,FALSE)),0,AJ28*$C$2),MAX((IF(Monthly!AG$4=TRUE,Monthly!AG$13,Monthly!AG$14)*(1+'Attrition Modeling'!$N$8)-IFERROR(AJ28/AJ95,0)*12)/12*AJ95,0))</f>
        <v>0</v>
      </c>
      <c r="AL160" s="799">
        <f>MIN(IF(ISERROR(VLOOKUP(AL$134-$F160,$E$135:$E$165,1,FALSE)),0,AK28*$C$2),MAX((IF(Monthly!AH$4=TRUE,Monthly!AH$13,Monthly!AH$14)*(1+'Attrition Modeling'!$N$8)-IFERROR(AK28/AK95,0)*12)/12*AK95,0))</f>
        <v>671.29448730601678</v>
      </c>
      <c r="AM160" s="799">
        <f>MIN(IF(ISERROR(VLOOKUP(AM$134-$F160,$E$135:$E$165,1,FALSE)),0,AL28*$C$2),MAX((IF(Monthly!AI$4=TRUE,Monthly!AI$13,Monthly!AI$14)*(1+'Attrition Modeling'!$N$8)-IFERROR(AL28/AL95,0)*12)/12*AL95,0))</f>
        <v>0</v>
      </c>
      <c r="AN160" s="799">
        <f>MIN(IF(ISERROR(VLOOKUP(AN$134-$F160,$E$135:$E$165,1,FALSE)),0,AM28*$C$2),MAX((IF(Monthly!AJ$4=TRUE,Monthly!AJ$13,Monthly!AJ$14)*(1+'Attrition Modeling'!$N$8)-IFERROR(AM28/AM95,0)*12)/12*AM95,0))</f>
        <v>0</v>
      </c>
      <c r="AO160" s="799">
        <f>MIN(IF(ISERROR(VLOOKUP(AO$134-$F160,$E$135:$E$165,1,FALSE)),0,AN28*$C$2),MAX((IF(Monthly!AK$4=TRUE,Monthly!AK$13,Monthly!AK$14)*(1+'Attrition Modeling'!$N$8)-IFERROR(AN28/AN95,0)*12)/12*AN95,0))</f>
        <v>0</v>
      </c>
      <c r="AP160" s="799">
        <f>MIN(IF(ISERROR(VLOOKUP(AP$134-$F160,$E$135:$E$165,1,FALSE)),0,AO28*$C$2),MAX((IF(Monthly!AL$4=TRUE,Monthly!AL$13,Monthly!AL$14)*(1+'Attrition Modeling'!$N$8)-IFERROR(AO28/AO95,0)*12)/12*AO95,0))</f>
        <v>0</v>
      </c>
      <c r="AQ160" s="799">
        <f>MIN(IF(ISERROR(VLOOKUP(AQ$134-$F160,$E$135:$E$165,1,FALSE)),0,AP28*$C$2),MAX((IF(Monthly!AM$4=TRUE,Monthly!AM$13,Monthly!AM$14)*(1+'Attrition Modeling'!$N$8)-IFERROR(AP28/AP95,0)*12)/12*AP95,0))</f>
        <v>0</v>
      </c>
      <c r="AR160" s="799">
        <f>MIN(IF(ISERROR(VLOOKUP(AR$134-$F160,$E$135:$E$165,1,FALSE)),0,AQ28*$C$2),MAX((IF(Monthly!AN$4=TRUE,Monthly!AN$13,Monthly!AN$14)*(1+'Attrition Modeling'!$N$8)-IFERROR(AQ28/AQ95,0)*12)/12*AQ95,0))</f>
        <v>0</v>
      </c>
      <c r="AS160" s="799">
        <f>MIN(IF(ISERROR(VLOOKUP(AS$134-$F160,$E$135:$E$165,1,FALSE)),0,AR28*$C$2),MAX((IF(Monthly!AO$4=TRUE,Monthly!AO$13,Monthly!AO$14)*(1+'Attrition Modeling'!$N$8)-IFERROR(AR28/AR95,0)*12)/12*AR95,0))</f>
        <v>0</v>
      </c>
      <c r="AT160" s="799">
        <f>MIN(IF(ISERROR(VLOOKUP(AT$134-$F160,$E$135:$E$165,1,FALSE)),0,AS28*$C$2),MAX((IF(Monthly!AP$4=TRUE,Monthly!AP$13,Monthly!AP$14)*(1+'Attrition Modeling'!$N$8)-IFERROR(AS28/AS95,0)*12)/12*AS95,0))</f>
        <v>0</v>
      </c>
      <c r="AU160" s="799">
        <f>MIN(IF(ISERROR(VLOOKUP(AU$134-$F160,$E$135:$E$165,1,FALSE)),0,AT28*$C$2),MAX((IF(Monthly!AQ$4=TRUE,Monthly!AQ$13,Monthly!AQ$14)*(1+'Attrition Modeling'!$N$8)-IFERROR(AT28/AT95,0)*12)/12*AT95,0))</f>
        <v>0</v>
      </c>
      <c r="AV160" s="799">
        <f>MIN(IF(ISERROR(VLOOKUP(AV$134-$F160,$E$135:$E$165,1,FALSE)),0,AU28*$C$2),MAX((IF(Monthly!AR$4=TRUE,Monthly!AR$13,Monthly!AR$14)*(1+'Attrition Modeling'!$N$8)-IFERROR(AU28/AU95,0)*12)/12*AU95,0))</f>
        <v>0</v>
      </c>
      <c r="AW160" s="799">
        <f>MIN(IF(ISERROR(VLOOKUP(AW$134-$F160,$E$135:$E$165,1,FALSE)),0,AV28*$C$2),MAX((IF(Monthly!AS$4=TRUE,Monthly!AS$13,Monthly!AS$14)*(1+'Attrition Modeling'!$N$8)-IFERROR(AV28/AV95,0)*12)/12*AV95,0))</f>
        <v>0</v>
      </c>
      <c r="AX160" s="799">
        <f>MIN(IF(ISERROR(VLOOKUP(AX$134-$F160,$E$135:$E$165,1,FALSE)),0,AW28*$C$2),MAX((IF(Monthly!AT$4=TRUE,Monthly!AT$13,Monthly!AT$14)*(1+'Attrition Modeling'!$N$8)-IFERROR(AW28/AW95,0)*12)/12*AW95,0))</f>
        <v>363.82922992921596</v>
      </c>
      <c r="AY160" s="799">
        <f>MIN(IF(ISERROR(VLOOKUP(AY$134-$F160,$E$135:$E$165,1,FALSE)),0,AX28*$C$2),MAX((IF(Monthly!AU$4=TRUE,Monthly!AU$13,Monthly!AU$14)*(1+'Attrition Modeling'!$N$8)-IFERROR(AX28/AX95,0)*12)/12*AX95,0))</f>
        <v>0</v>
      </c>
      <c r="AZ160" s="799">
        <f>MIN(IF(ISERROR(VLOOKUP(AZ$134-$F160,$E$135:$E$165,1,FALSE)),0,AY28*$C$2),MAX((IF(Monthly!AV$4=TRUE,Monthly!AV$13,Monthly!AV$14)*(1+'Attrition Modeling'!$N$8)-IFERROR(AY28/AY95,0)*12)/12*AY95,0))</f>
        <v>0</v>
      </c>
      <c r="BA160" s="799">
        <f>MIN(IF(ISERROR(VLOOKUP(BA$134-$F160,$E$135:$E$165,1,FALSE)),0,AZ28*$C$2),MAX((IF(Monthly!AW$4=TRUE,Monthly!AW$13,Monthly!AW$14)*(1+'Attrition Modeling'!$N$8)-IFERROR(AZ28/AZ95,0)*12)/12*AZ95,0))</f>
        <v>0</v>
      </c>
      <c r="BB160" s="799">
        <f>MIN(IF(ISERROR(VLOOKUP(BB$134-$F160,$E$135:$E$165,1,FALSE)),0,BA28*$C$2),MAX((IF(Monthly!AX$4=TRUE,Monthly!AX$13,Monthly!AX$14)*(1+'Attrition Modeling'!$N$8)-IFERROR(BA28/BA95,0)*12)/12*BA95,0))</f>
        <v>0</v>
      </c>
      <c r="BC160" s="799">
        <f>MIN(IF(ISERROR(VLOOKUP(BC$134-$F160,$E$135:$E$165,1,FALSE)),0,BB28*$C$2),MAX((IF(Monthly!AY$4=TRUE,Monthly!AY$13,Monthly!AY$14)*(1+'Attrition Modeling'!$N$8)-IFERROR(BB28/BB95,0)*12)/12*BB95,0))</f>
        <v>0</v>
      </c>
      <c r="BD160" s="799">
        <f>MIN(IF(ISERROR(VLOOKUP(BD$134-$F160,$E$135:$E$165,1,FALSE)),0,BC28*$C$2),MAX((IF(Monthly!AZ$4=TRUE,Monthly!AZ$13,Monthly!AZ$14)*(1+'Attrition Modeling'!$N$8)-IFERROR(BC28/BC95,0)*12)/12*BC95,0))</f>
        <v>0</v>
      </c>
      <c r="BE160" s="799">
        <f>MIN(IF(ISERROR(VLOOKUP(BE$134-$F160,$E$135:$E$165,1,FALSE)),0,BD28*$C$2),MAX((IF(Monthly!BA$4=TRUE,Monthly!BA$13,Monthly!BA$14)*(1+'Attrition Modeling'!$N$8)-IFERROR(BD28/BD95,0)*12)/12*BD95,0))</f>
        <v>0</v>
      </c>
      <c r="BF160" s="799">
        <f>MIN(IF(ISERROR(VLOOKUP(BF$134-$F160,$E$135:$E$165,1,FALSE)),0,BE28*$C$2),MAX((IF(Monthly!BB$4=TRUE,Monthly!BB$13,Monthly!BB$14)*(1+'Attrition Modeling'!$N$8)-IFERROR(BE28/BE95,0)*12)/12*BE95,0))</f>
        <v>0</v>
      </c>
      <c r="BG160" s="799">
        <f>MIN(IF(ISERROR(VLOOKUP(BG$134-$F160,$E$135:$E$165,1,FALSE)),0,BF28*$C$2),MAX((IF(Monthly!BC$4=TRUE,Monthly!BC$13,Monthly!BC$14)*(1+'Attrition Modeling'!$N$8)-IFERROR(BF28/BF95,0)*12)/12*BF95,0))</f>
        <v>0</v>
      </c>
      <c r="BH160" s="799">
        <f>MIN(IF(ISERROR(VLOOKUP(BH$134-$F160,$E$135:$E$165,1,FALSE)),0,BG28*$C$2),MAX((IF(Monthly!BD$4=TRUE,Monthly!BD$13,Monthly!BD$14)*(1+'Attrition Modeling'!$N$8)-IFERROR(BG28/BG95,0)*12)/12*BG95,0))</f>
        <v>0</v>
      </c>
      <c r="BI160" s="799">
        <f>MIN(IF(ISERROR(VLOOKUP(BI$134-$F160,$E$135:$E$165,1,FALSE)),0,BH28*$C$2),MAX((IF(Monthly!BE$4=TRUE,Monthly!BE$13,Monthly!BE$14)*(1+'Attrition Modeling'!$N$8)-IFERROR(BH28/BH95,0)*12)/12*BH95,0))</f>
        <v>0</v>
      </c>
      <c r="BJ160" s="799">
        <f>MIN(IF(ISERROR(VLOOKUP(BJ$134-$F160,$E$135:$E$165,1,FALSE)),0,BI28*$C$2),MAX((IF(Monthly!BF$4=TRUE,Monthly!BF$13,Monthly!BF$14)*(1+'Attrition Modeling'!$N$8)-IFERROR(BI28/BI95,0)*12)/12*BI95,0))</f>
        <v>247.78788816588519</v>
      </c>
      <c r="BK160" s="799">
        <f>MIN(IF(ISERROR(VLOOKUP(BK$134-$F160,$E$135:$E$165,1,FALSE)),0,BJ28*$C$2),MAX((IF(Monthly!BG$4=TRUE,Monthly!BG$13,Monthly!BG$14)*(1+'Attrition Modeling'!$N$8)-IFERROR(BJ28/BJ95,0)*12)/12*BJ95,0))</f>
        <v>0</v>
      </c>
      <c r="BL160" s="799">
        <f>MIN(IF(ISERROR(VLOOKUP(BL$134-$F160,$E$135:$E$165,1,FALSE)),0,BK28*$C$2),MAX((IF(Monthly!BH$4=TRUE,Monthly!BH$13,Monthly!BH$14)*(1+'Attrition Modeling'!$N$8)-IFERROR(BK28/BK95,0)*12)/12*BK95,0))</f>
        <v>0</v>
      </c>
      <c r="BM160" s="799">
        <f>MIN(IF(ISERROR(VLOOKUP(BM$134-$F160,$E$135:$E$165,1,FALSE)),0,BL28*$C$2),MAX((IF(Monthly!BI$4=TRUE,Monthly!BI$13,Monthly!BI$14)*(1+'Attrition Modeling'!$N$8)-IFERROR(BL28/BL95,0)*12)/12*BL95,0))</f>
        <v>0</v>
      </c>
      <c r="BN160" s="799">
        <f>MIN(IF(ISERROR(VLOOKUP(BN$134-$F160,$E$135:$E$165,1,FALSE)),0,BM28*$C$2),MAX((IF(Monthly!BJ$4=TRUE,Monthly!BJ$13,Monthly!BJ$14)*(1+'Attrition Modeling'!$N$8)-IFERROR(BM28/BM95,0)*12)/12*BM95,0))</f>
        <v>0</v>
      </c>
      <c r="BO160" s="799">
        <f>MIN(IF(ISERROR(VLOOKUP(BO$134-$F160,$E$135:$E$165,1,FALSE)),0,BN28*$C$2),MAX((IF(Monthly!BK$4=TRUE,Monthly!BK$13,Monthly!BK$14)*(1+'Attrition Modeling'!$N$8)-IFERROR(BN28/BN95,0)*12)/12*BN95,0))</f>
        <v>0</v>
      </c>
      <c r="BP160" s="799">
        <f>MIN(IF(ISERROR(VLOOKUP(BP$134-$F160,$E$135:$E$165,1,FALSE)),0,BO28*$C$2),MAX((IF(Monthly!BP$4=TRUE,Monthly!BP$13,Monthly!BP$14)*(1+'Attrition Modeling'!$N$8)-IFERROR(BO28/BO95,0)*12)/12*BO95,0))</f>
        <v>0</v>
      </c>
      <c r="BQ160" s="799">
        <f>MIN(IF(ISERROR(VLOOKUP(BQ$134-$F160,$E$135:$E$165,1,FALSE)),0,BP28*$C$2),MAX((IF(Monthly!BQ$4=TRUE,Monthly!BQ$13,Monthly!BQ$14)*(1+'Attrition Modeling'!$N$8)-IFERROR(BP28/BP95,0)*12)/12*BP95,0))</f>
        <v>0</v>
      </c>
      <c r="BR160" s="799">
        <f>MIN(IF(ISERROR(VLOOKUP(BR$134-$F160,$E$135:$E$165,1,FALSE)),0,BQ28*$C$2),MAX((IF(Monthly!BR$4=TRUE,Monthly!BR$13,Monthly!BR$14)*(1+'Attrition Modeling'!$N$8)-IFERROR(BQ28/BQ95,0)*12)/12*BQ95,0))</f>
        <v>0</v>
      </c>
      <c r="BS160" s="799">
        <f>MIN(IF(ISERROR(VLOOKUP(BS$134-$F160,$E$135:$E$165,1,FALSE)),0,BR28*$C$2),MAX((IF(Monthly!BS$4=TRUE,Monthly!BS$13,Monthly!BS$14)*(1+'Attrition Modeling'!$N$8)-IFERROR(BR28/BR95,0)*12)/12*BR95,0))</f>
        <v>0</v>
      </c>
      <c r="BT160" s="799">
        <f>MIN(IF(ISERROR(VLOOKUP(BT$134-$F160,$E$135:$E$165,1,FALSE)),0,BS28*$C$2),MAX((IF(Monthly!BT$4=TRUE,Monthly!BT$13,Monthly!BT$14)*(1+'Attrition Modeling'!$N$8)-IFERROR(BS28/BS95,0)*12)/12*BS95,0))</f>
        <v>0</v>
      </c>
      <c r="BU160" s="799">
        <f>MIN(IF(ISERROR(VLOOKUP(BU$134-$F160,$E$135:$E$165,1,FALSE)),0,BT28*$C$2),MAX((IF(Monthly!BU$4=TRUE,Monthly!BU$13,Monthly!BU$14)*(1+'Attrition Modeling'!$N$8)-IFERROR(BT28/BT95,0)*12)/12*BT95,0))</f>
        <v>0</v>
      </c>
    </row>
    <row r="161" spans="1:73" ht="14.25" customHeight="1" x14ac:dyDescent="0.2">
      <c r="A161" s="16">
        <v>154</v>
      </c>
      <c r="B161" s="33">
        <f>MAX('Attrition Modeling'!H158,$C$3)*(1-Summary!$C$20)</f>
        <v>0.02</v>
      </c>
      <c r="C161" s="26" t="e">
        <f t="shared" si="4"/>
        <v>#DIV/0!</v>
      </c>
      <c r="E161" s="11">
        <f t="shared" si="13"/>
        <v>318</v>
      </c>
      <c r="F161" s="11">
        <f t="shared" si="14"/>
        <v>26</v>
      </c>
      <c r="G161" s="799"/>
      <c r="H161" s="799">
        <f>MIN(IF(ISERROR(VLOOKUP(H$134-$F161,$E$135:$E$165,1,FALSE)),0,G29*$C$2),MAX((IF(Monthly!D$4=TRUE,Monthly!D$13,Monthly!D$14)*(1+'Attrition Modeling'!$N$8)-IFERROR(G29/G96,0)*12)/12*G96,0))</f>
        <v>0</v>
      </c>
      <c r="I161" s="799">
        <f>MIN(IF(ISERROR(VLOOKUP(I$134-$F161,$E$135:$E$165,1,FALSE)),0,H29*$C$2),MAX((IF(Monthly!E$4=TRUE,Monthly!E$13,Monthly!E$14)*(1+'Attrition Modeling'!$N$8)-IFERROR(H29/H96,0)*12)/12*H96,0))</f>
        <v>0</v>
      </c>
      <c r="J161" s="799">
        <f>MIN(IF(ISERROR(VLOOKUP(J$134-$F161,$E$135:$E$165,1,FALSE)),0,I29*$C$2),MAX((IF(Monthly!F$4=TRUE,Monthly!F$13,Monthly!F$14)*(1+'Attrition Modeling'!$N$8)-IFERROR(I29/I96,0)*12)/12*I96,0))</f>
        <v>0</v>
      </c>
      <c r="K161" s="799">
        <f>MIN(IF(ISERROR(VLOOKUP(K$134-$F161,$E$135:$E$165,1,FALSE)),0,J29*$C$2),MAX((IF(Monthly!G$4=TRUE,Monthly!G$13,Monthly!G$14)*(1+'Attrition Modeling'!$N$8)-IFERROR(J29/J96,0)*12)/12*J96,0))</f>
        <v>0</v>
      </c>
      <c r="L161" s="799">
        <f>MIN(IF(ISERROR(VLOOKUP(L$134-$F161,$E$135:$E$165,1,FALSE)),0,K29*$C$2),MAX((IF(Monthly!H$4=TRUE,Monthly!H$13,Monthly!H$14)*(1+'Attrition Modeling'!$N$8)-IFERROR(K29/K96,0)*12)/12*K96,0))</f>
        <v>0</v>
      </c>
      <c r="M161" s="799">
        <f>MIN(IF(ISERROR(VLOOKUP(M$134-$F161,$E$135:$E$165,1,FALSE)),0,L29*$C$2),MAX((IF(Monthly!I$4=TRUE,Monthly!I$13,Monthly!I$14)*(1+'Attrition Modeling'!$N$8)-IFERROR(L29/L96,0)*12)/12*L96,0))</f>
        <v>0</v>
      </c>
      <c r="N161" s="799">
        <f>MIN(IF(ISERROR(VLOOKUP(N$134-$F161,$E$135:$E$165,1,FALSE)),0,M29*$C$2),MAX((IF(Monthly!J$4=TRUE,Monthly!J$13,Monthly!J$14)*(1+'Attrition Modeling'!$N$8)-IFERROR(M29/M96,0)*12)/12*M96,0))</f>
        <v>0</v>
      </c>
      <c r="O161" s="799">
        <f>MIN(IF(ISERROR(VLOOKUP(O$134-$F161,$E$135:$E$165,1,FALSE)),0,N29*$C$2),MAX((IF(Monthly!K$4=TRUE,Monthly!K$13,Monthly!K$14)*(1+'Attrition Modeling'!$N$8)-IFERROR(N29/N96,0)*12)/12*N96,0))</f>
        <v>0</v>
      </c>
      <c r="P161" s="799">
        <f>MIN(IF(ISERROR(VLOOKUP(P$134-$F161,$E$135:$E$165,1,FALSE)),0,O29*$C$2),MAX((IF(Monthly!L$4=TRUE,Monthly!L$13,Monthly!L$14)*(1+'Attrition Modeling'!$N$8)-IFERROR(O29/O96,0)*12)/12*O96,0))</f>
        <v>0</v>
      </c>
      <c r="Q161" s="799">
        <f>MIN(IF(ISERROR(VLOOKUP(Q$134-$F161,$E$135:$E$165,1,FALSE)),0,P29*$C$2),MAX((IF(Monthly!M$4=TRUE,Monthly!M$13,Monthly!M$14)*(1+'Attrition Modeling'!$N$8)-IFERROR(P29/P96,0)*12)/12*P96,0))</f>
        <v>0</v>
      </c>
      <c r="R161" s="799">
        <f>MIN(IF(ISERROR(VLOOKUP(R$134-$F161,$E$135:$E$165,1,FALSE)),0,Q29*$C$2),MAX((IF(Monthly!N$4=TRUE,Monthly!N$13,Monthly!N$14)*(1+'Attrition Modeling'!$N$8)-IFERROR(Q29/Q96,0)*12)/12*Q96,0))</f>
        <v>0</v>
      </c>
      <c r="S161" s="799">
        <f>MIN(IF(ISERROR(VLOOKUP(S$134-$F161,$E$135:$E$165,1,FALSE)),0,R29*$C$2),MAX((IF(Monthly!O$4=TRUE,Monthly!O$13,Monthly!O$14)*(1+'Attrition Modeling'!$N$8)-IFERROR(R29/R96,0)*12)/12*R96,0))</f>
        <v>0</v>
      </c>
      <c r="T161" s="799">
        <f>MIN(IF(ISERROR(VLOOKUP(T$134-$F161,$E$135:$E$165,1,FALSE)),0,S29*$C$2),MAX((IF(Monthly!P$4=TRUE,Monthly!P$13,Monthly!P$14)*(1+'Attrition Modeling'!$N$8)-IFERROR(S29/S96,0)*12)/12*S96,0))</f>
        <v>0</v>
      </c>
      <c r="U161" s="799">
        <f>MIN(IF(ISERROR(VLOOKUP(U$134-$F161,$E$135:$E$165,1,FALSE)),0,T29*$C$2),MAX((IF(Monthly!Q$4=TRUE,Monthly!Q$13,Monthly!Q$14)*(1+'Attrition Modeling'!$N$8)-IFERROR(T29/T96,0)*12)/12*T96,0))</f>
        <v>0</v>
      </c>
      <c r="V161" s="799">
        <f>MIN(IF(ISERROR(VLOOKUP(V$134-$F161,$E$135:$E$165,1,FALSE)),0,U29*$C$2),MAX((IF(Monthly!R$4=TRUE,Monthly!R$13,Monthly!R$14)*(1+'Attrition Modeling'!$N$8)-IFERROR(U29/U96,0)*12)/12*U96,0))</f>
        <v>0</v>
      </c>
      <c r="W161" s="799">
        <f>MIN(IF(ISERROR(VLOOKUP(W$134-$F161,$E$135:$E$165,1,FALSE)),0,V29*$C$2),MAX((IF(Monthly!S$4=TRUE,Monthly!S$13,Monthly!S$14)*(1+'Attrition Modeling'!$N$8)-IFERROR(V29/V96,0)*12)/12*V96,0))</f>
        <v>0</v>
      </c>
      <c r="X161" s="799">
        <f>MIN(IF(ISERROR(VLOOKUP(X$134-$F161,$E$135:$E$165,1,FALSE)),0,W29*$C$2),MAX((IF(Monthly!T$4=TRUE,Monthly!T$13,Monthly!T$14)*(1+'Attrition Modeling'!$N$8)-IFERROR(W29/W96,0)*12)/12*W96,0))</f>
        <v>0</v>
      </c>
      <c r="Y161" s="799">
        <f>MIN(IF(ISERROR(VLOOKUP(Y$134-$F161,$E$135:$E$165,1,FALSE)),0,X29*$C$2),MAX((IF(Monthly!U$4=TRUE,Monthly!U$13,Monthly!U$14)*(1+'Attrition Modeling'!$N$8)-IFERROR(X29/X96,0)*12)/12*X96,0))</f>
        <v>0</v>
      </c>
      <c r="Z161" s="799">
        <f>MIN(IF(ISERROR(VLOOKUP(Z$134-$F161,$E$135:$E$165,1,FALSE)),0,Y29*$C$2),MAX((IF(Monthly!V$4=TRUE,Monthly!V$13,Monthly!V$14)*(1+'Attrition Modeling'!$N$8)-IFERROR(Y29/Y96,0)*12)/12*Y96,0))</f>
        <v>0</v>
      </c>
      <c r="AA161" s="799">
        <f>MIN(IF(ISERROR(VLOOKUP(AA$134-$F161,$E$135:$E$165,1,FALSE)),0,Z29*$C$2),MAX((IF(Monthly!W$4=TRUE,Monthly!W$13,Monthly!W$14)*(1+'Attrition Modeling'!$N$8)-IFERROR(Z29/Z96,0)*12)/12*Z96,0))</f>
        <v>0</v>
      </c>
      <c r="AB161" s="799">
        <f>MIN(IF(ISERROR(VLOOKUP(AB$134-$F161,$E$135:$E$165,1,FALSE)),0,AA29*$C$2),MAX((IF(Monthly!X$4=TRUE,Monthly!X$13,Monthly!X$14)*(1+'Attrition Modeling'!$N$8)-IFERROR(AA29/AA96,0)*12)/12*AA96,0))</f>
        <v>0</v>
      </c>
      <c r="AC161" s="799">
        <f>MIN(IF(ISERROR(VLOOKUP(AC$134-$F161,$E$135:$E$165,1,FALSE)),0,AB29*$C$2),MAX((IF(Monthly!Y$4=TRUE,Monthly!Y$13,Monthly!Y$14)*(1+'Attrition Modeling'!$N$8)-IFERROR(AB29/AB96,0)*12)/12*AB96,0))</f>
        <v>0</v>
      </c>
      <c r="AD161" s="799">
        <f>MIN(IF(ISERROR(VLOOKUP(AD$134-$F161,$E$135:$E$165,1,FALSE)),0,AC29*$C$2),MAX((IF(Monthly!Z$4=TRUE,Monthly!Z$13,Monthly!Z$14)*(1+'Attrition Modeling'!$N$8)-IFERROR(AC29/AC96,0)*12)/12*AC96,0))</f>
        <v>0</v>
      </c>
      <c r="AE161" s="799">
        <f>MIN(IF(ISERROR(VLOOKUP(AE$134-$F161,$E$135:$E$165,1,FALSE)),0,AD29*$C$2),MAX((IF(Monthly!AA$4=TRUE,Monthly!AA$13,Monthly!AA$14)*(1+'Attrition Modeling'!$N$8)-IFERROR(AD29/AD96,0)*12)/12*AD96,0))</f>
        <v>0</v>
      </c>
      <c r="AF161" s="799">
        <f>MIN(IF(ISERROR(VLOOKUP(AF$134-$F161,$E$135:$E$165,1,FALSE)),0,AE29*$C$2),MAX((IF(Monthly!AB$4=TRUE,Monthly!AB$13,Monthly!AB$14)*(1+'Attrition Modeling'!$N$8)-IFERROR(AE29/AE96,0)*12)/12*AE96,0))</f>
        <v>0</v>
      </c>
      <c r="AG161" s="799">
        <f>MIN(IF(ISERROR(VLOOKUP(AG$134-$F161,$E$135:$E$165,1,FALSE)),0,AF29*$C$2),MAX((IF(Monthly!AC$4=TRUE,Monthly!AC$13,Monthly!AC$14)*(1+'Attrition Modeling'!$N$8)-IFERROR(AF29/AF96,0)*12)/12*AF96,0))</f>
        <v>0</v>
      </c>
      <c r="AH161" s="799">
        <f>MIN(IF(ISERROR(VLOOKUP(AH$134-$F161,$E$135:$E$165,1,FALSE)),0,AG29*$C$2),MAX((IF(Monthly!AD$4=TRUE,Monthly!AD$13,Monthly!AD$14)*(1+'Attrition Modeling'!$N$8)-IFERROR(AG29/AG96,0)*12)/12*AG96,0))</f>
        <v>0</v>
      </c>
      <c r="AI161" s="799">
        <f>MIN(IF(ISERROR(VLOOKUP(AI$134-$F161,$E$135:$E$165,1,FALSE)),0,AH29*$C$2),MAX((IF(Monthly!AE$4=TRUE,Monthly!AE$13,Monthly!AE$14)*(1+'Attrition Modeling'!$N$8)-IFERROR(AH29/AH96,0)*12)/12*AH96,0))</f>
        <v>0</v>
      </c>
      <c r="AJ161" s="799">
        <f>MIN(IF(ISERROR(VLOOKUP(AJ$134-$F161,$E$135:$E$165,1,FALSE)),0,AI29*$C$2),MAX((IF(Monthly!AF$4=TRUE,Monthly!AF$13,Monthly!AF$14)*(1+'Attrition Modeling'!$N$8)-IFERROR(AI29/AI96,0)*12)/12*AI96,0))</f>
        <v>0</v>
      </c>
      <c r="AK161" s="799">
        <f>MIN(IF(ISERROR(VLOOKUP(AK$134-$F161,$E$135:$E$165,1,FALSE)),0,AJ29*$C$2),MAX((IF(Monthly!AG$4=TRUE,Monthly!AG$13,Monthly!AG$14)*(1+'Attrition Modeling'!$N$8)-IFERROR(AJ29/AJ96,0)*12)/12*AJ96,0))</f>
        <v>0</v>
      </c>
      <c r="AL161" s="799">
        <f>MIN(IF(ISERROR(VLOOKUP(AL$134-$F161,$E$135:$E$165,1,FALSE)),0,AK29*$C$2),MAX((IF(Monthly!AH$4=TRUE,Monthly!AH$13,Monthly!AH$14)*(1+'Attrition Modeling'!$N$8)-IFERROR(AK29/AK96,0)*12)/12*AK96,0))</f>
        <v>0</v>
      </c>
      <c r="AM161" s="799">
        <f>MIN(IF(ISERROR(VLOOKUP(AM$134-$F161,$E$135:$E$165,1,FALSE)),0,AL29*$C$2),MAX((IF(Monthly!AI$4=TRUE,Monthly!AI$13,Monthly!AI$14)*(1+'Attrition Modeling'!$N$8)-IFERROR(AL29/AL96,0)*12)/12*AL96,0))</f>
        <v>804.03953496001213</v>
      </c>
      <c r="AN161" s="799">
        <f>MIN(IF(ISERROR(VLOOKUP(AN$134-$F161,$E$135:$E$165,1,FALSE)),0,AM29*$C$2),MAX((IF(Monthly!AJ$4=TRUE,Monthly!AJ$13,Monthly!AJ$14)*(1+'Attrition Modeling'!$N$8)-IFERROR(AM29/AM96,0)*12)/12*AM96,0))</f>
        <v>0</v>
      </c>
      <c r="AO161" s="799">
        <f>MIN(IF(ISERROR(VLOOKUP(AO$134-$F161,$E$135:$E$165,1,FALSE)),0,AN29*$C$2),MAX((IF(Monthly!AK$4=TRUE,Monthly!AK$13,Monthly!AK$14)*(1+'Attrition Modeling'!$N$8)-IFERROR(AN29/AN96,0)*12)/12*AN96,0))</f>
        <v>0</v>
      </c>
      <c r="AP161" s="799">
        <f>MIN(IF(ISERROR(VLOOKUP(AP$134-$F161,$E$135:$E$165,1,FALSE)),0,AO29*$C$2),MAX((IF(Monthly!AL$4=TRUE,Monthly!AL$13,Monthly!AL$14)*(1+'Attrition Modeling'!$N$8)-IFERROR(AO29/AO96,0)*12)/12*AO96,0))</f>
        <v>0</v>
      </c>
      <c r="AQ161" s="799">
        <f>MIN(IF(ISERROR(VLOOKUP(AQ$134-$F161,$E$135:$E$165,1,FALSE)),0,AP29*$C$2),MAX((IF(Monthly!AM$4=TRUE,Monthly!AM$13,Monthly!AM$14)*(1+'Attrition Modeling'!$N$8)-IFERROR(AP29/AP96,0)*12)/12*AP96,0))</f>
        <v>0</v>
      </c>
      <c r="AR161" s="799">
        <f>MIN(IF(ISERROR(VLOOKUP(AR$134-$F161,$E$135:$E$165,1,FALSE)),0,AQ29*$C$2),MAX((IF(Monthly!AN$4=TRUE,Monthly!AN$13,Monthly!AN$14)*(1+'Attrition Modeling'!$N$8)-IFERROR(AQ29/AQ96,0)*12)/12*AQ96,0))</f>
        <v>0</v>
      </c>
      <c r="AS161" s="799">
        <f>MIN(IF(ISERROR(VLOOKUP(AS$134-$F161,$E$135:$E$165,1,FALSE)),0,AR29*$C$2),MAX((IF(Monthly!AO$4=TRUE,Monthly!AO$13,Monthly!AO$14)*(1+'Attrition Modeling'!$N$8)-IFERROR(AR29/AR96,0)*12)/12*AR96,0))</f>
        <v>0</v>
      </c>
      <c r="AT161" s="799">
        <f>MIN(IF(ISERROR(VLOOKUP(AT$134-$F161,$E$135:$E$165,1,FALSE)),0,AS29*$C$2),MAX((IF(Monthly!AP$4=TRUE,Monthly!AP$13,Monthly!AP$14)*(1+'Attrition Modeling'!$N$8)-IFERROR(AS29/AS96,0)*12)/12*AS96,0))</f>
        <v>0</v>
      </c>
      <c r="AU161" s="799">
        <f>MIN(IF(ISERROR(VLOOKUP(AU$134-$F161,$E$135:$E$165,1,FALSE)),0,AT29*$C$2),MAX((IF(Monthly!AQ$4=TRUE,Monthly!AQ$13,Monthly!AQ$14)*(1+'Attrition Modeling'!$N$8)-IFERROR(AT29/AT96,0)*12)/12*AT96,0))</f>
        <v>0</v>
      </c>
      <c r="AV161" s="799">
        <f>MIN(IF(ISERROR(VLOOKUP(AV$134-$F161,$E$135:$E$165,1,FALSE)),0,AU29*$C$2),MAX((IF(Monthly!AR$4=TRUE,Monthly!AR$13,Monthly!AR$14)*(1+'Attrition Modeling'!$N$8)-IFERROR(AU29/AU96,0)*12)/12*AU96,0))</f>
        <v>0</v>
      </c>
      <c r="AW161" s="799">
        <f>MIN(IF(ISERROR(VLOOKUP(AW$134-$F161,$E$135:$E$165,1,FALSE)),0,AV29*$C$2),MAX((IF(Monthly!AS$4=TRUE,Monthly!AS$13,Monthly!AS$14)*(1+'Attrition Modeling'!$N$8)-IFERROR(AV29/AV96,0)*12)/12*AV96,0))</f>
        <v>0</v>
      </c>
      <c r="AX161" s="799">
        <f>MIN(IF(ISERROR(VLOOKUP(AX$134-$F161,$E$135:$E$165,1,FALSE)),0,AW29*$C$2),MAX((IF(Monthly!AT$4=TRUE,Monthly!AT$13,Monthly!AT$14)*(1+'Attrition Modeling'!$N$8)-IFERROR(AW29/AW96,0)*12)/12*AW96,0))</f>
        <v>0</v>
      </c>
      <c r="AY161" s="799">
        <f>MIN(IF(ISERROR(VLOOKUP(AY$134-$F161,$E$135:$E$165,1,FALSE)),0,AX29*$C$2),MAX((IF(Monthly!AU$4=TRUE,Monthly!AU$13,Monthly!AU$14)*(1+'Attrition Modeling'!$N$8)-IFERROR(AX29/AX96,0)*12)/12*AX96,0))</f>
        <v>428.33893764222915</v>
      </c>
      <c r="AZ161" s="799">
        <f>MIN(IF(ISERROR(VLOOKUP(AZ$134-$F161,$E$135:$E$165,1,FALSE)),0,AY29*$C$2),MAX((IF(Monthly!AV$4=TRUE,Monthly!AV$13,Monthly!AV$14)*(1+'Attrition Modeling'!$N$8)-IFERROR(AY29/AY96,0)*12)/12*AY96,0))</f>
        <v>0</v>
      </c>
      <c r="BA161" s="799">
        <f>MIN(IF(ISERROR(VLOOKUP(BA$134-$F161,$E$135:$E$165,1,FALSE)),0,AZ29*$C$2),MAX((IF(Monthly!AW$4=TRUE,Monthly!AW$13,Monthly!AW$14)*(1+'Attrition Modeling'!$N$8)-IFERROR(AZ29/AZ96,0)*12)/12*AZ96,0))</f>
        <v>0</v>
      </c>
      <c r="BB161" s="799">
        <f>MIN(IF(ISERROR(VLOOKUP(BB$134-$F161,$E$135:$E$165,1,FALSE)),0,BA29*$C$2),MAX((IF(Monthly!AX$4=TRUE,Monthly!AX$13,Monthly!AX$14)*(1+'Attrition Modeling'!$N$8)-IFERROR(BA29/BA96,0)*12)/12*BA96,0))</f>
        <v>0</v>
      </c>
      <c r="BC161" s="799">
        <f>MIN(IF(ISERROR(VLOOKUP(BC$134-$F161,$E$135:$E$165,1,FALSE)),0,BB29*$C$2),MAX((IF(Monthly!AY$4=TRUE,Monthly!AY$13,Monthly!AY$14)*(1+'Attrition Modeling'!$N$8)-IFERROR(BB29/BB96,0)*12)/12*BB96,0))</f>
        <v>0</v>
      </c>
      <c r="BD161" s="799">
        <f>MIN(IF(ISERROR(VLOOKUP(BD$134-$F161,$E$135:$E$165,1,FALSE)),0,BC29*$C$2),MAX((IF(Monthly!AZ$4=TRUE,Monthly!AZ$13,Monthly!AZ$14)*(1+'Attrition Modeling'!$N$8)-IFERROR(BC29/BC96,0)*12)/12*BC96,0))</f>
        <v>0</v>
      </c>
      <c r="BE161" s="799">
        <f>MIN(IF(ISERROR(VLOOKUP(BE$134-$F161,$E$135:$E$165,1,FALSE)),0,BD29*$C$2),MAX((IF(Monthly!BA$4=TRUE,Monthly!BA$13,Monthly!BA$14)*(1+'Attrition Modeling'!$N$8)-IFERROR(BD29/BD96,0)*12)/12*BD96,0))</f>
        <v>0</v>
      </c>
      <c r="BF161" s="799">
        <f>MIN(IF(ISERROR(VLOOKUP(BF$134-$F161,$E$135:$E$165,1,FALSE)),0,BE29*$C$2),MAX((IF(Monthly!BB$4=TRUE,Monthly!BB$13,Monthly!BB$14)*(1+'Attrition Modeling'!$N$8)-IFERROR(BE29/BE96,0)*12)/12*BE96,0))</f>
        <v>0</v>
      </c>
      <c r="BG161" s="799">
        <f>MIN(IF(ISERROR(VLOOKUP(BG$134-$F161,$E$135:$E$165,1,FALSE)),0,BF29*$C$2),MAX((IF(Monthly!BC$4=TRUE,Monthly!BC$13,Monthly!BC$14)*(1+'Attrition Modeling'!$N$8)-IFERROR(BF29/BF96,0)*12)/12*BF96,0))</f>
        <v>0</v>
      </c>
      <c r="BH161" s="799">
        <f>MIN(IF(ISERROR(VLOOKUP(BH$134-$F161,$E$135:$E$165,1,FALSE)),0,BG29*$C$2),MAX((IF(Monthly!BD$4=TRUE,Monthly!BD$13,Monthly!BD$14)*(1+'Attrition Modeling'!$N$8)-IFERROR(BG29/BG96,0)*12)/12*BG96,0))</f>
        <v>0</v>
      </c>
      <c r="BI161" s="799">
        <f>MIN(IF(ISERROR(VLOOKUP(BI$134-$F161,$E$135:$E$165,1,FALSE)),0,BH29*$C$2),MAX((IF(Monthly!BE$4=TRUE,Monthly!BE$13,Monthly!BE$14)*(1+'Attrition Modeling'!$N$8)-IFERROR(BH29/BH96,0)*12)/12*BH96,0))</f>
        <v>0</v>
      </c>
      <c r="BJ161" s="799">
        <f>MIN(IF(ISERROR(VLOOKUP(BJ$134-$F161,$E$135:$E$165,1,FALSE)),0,BI29*$C$2),MAX((IF(Monthly!BF$4=TRUE,Monthly!BF$13,Monthly!BF$14)*(1+'Attrition Modeling'!$N$8)-IFERROR(BI29/BI96,0)*12)/12*BI96,0))</f>
        <v>0</v>
      </c>
      <c r="BK161" s="799">
        <f>MIN(IF(ISERROR(VLOOKUP(BK$134-$F161,$E$135:$E$165,1,FALSE)),0,BJ29*$C$2),MAX((IF(Monthly!BG$4=TRUE,Monthly!BG$13,Monthly!BG$14)*(1+'Attrition Modeling'!$N$8)-IFERROR(BJ29/BJ96,0)*12)/12*BJ96,0))</f>
        <v>292.15494494923968</v>
      </c>
      <c r="BL161" s="799">
        <f>MIN(IF(ISERROR(VLOOKUP(BL$134-$F161,$E$135:$E$165,1,FALSE)),0,BK29*$C$2),MAX((IF(Monthly!BH$4=TRUE,Monthly!BH$13,Monthly!BH$14)*(1+'Attrition Modeling'!$N$8)-IFERROR(BK29/BK96,0)*12)/12*BK96,0))</f>
        <v>0</v>
      </c>
      <c r="BM161" s="799">
        <f>MIN(IF(ISERROR(VLOOKUP(BM$134-$F161,$E$135:$E$165,1,FALSE)),0,BL29*$C$2),MAX((IF(Monthly!BI$4=TRUE,Monthly!BI$13,Monthly!BI$14)*(1+'Attrition Modeling'!$N$8)-IFERROR(BL29/BL96,0)*12)/12*BL96,0))</f>
        <v>0</v>
      </c>
      <c r="BN161" s="799">
        <f>MIN(IF(ISERROR(VLOOKUP(BN$134-$F161,$E$135:$E$165,1,FALSE)),0,BM29*$C$2),MAX((IF(Monthly!BJ$4=TRUE,Monthly!BJ$13,Monthly!BJ$14)*(1+'Attrition Modeling'!$N$8)-IFERROR(BM29/BM96,0)*12)/12*BM96,0))</f>
        <v>0</v>
      </c>
      <c r="BO161" s="799">
        <f>MIN(IF(ISERROR(VLOOKUP(BO$134-$F161,$E$135:$E$165,1,FALSE)),0,BN29*$C$2),MAX((IF(Monthly!BK$4=TRUE,Monthly!BK$13,Monthly!BK$14)*(1+'Attrition Modeling'!$N$8)-IFERROR(BN29/BN96,0)*12)/12*BN96,0))</f>
        <v>0</v>
      </c>
      <c r="BP161" s="799">
        <f>MIN(IF(ISERROR(VLOOKUP(BP$134-$F161,$E$135:$E$165,1,FALSE)),0,BO29*$C$2),MAX((IF(Monthly!BP$4=TRUE,Monthly!BP$13,Monthly!BP$14)*(1+'Attrition Modeling'!$N$8)-IFERROR(BO29/BO96,0)*12)/12*BO96,0))</f>
        <v>0</v>
      </c>
      <c r="BQ161" s="799">
        <f>MIN(IF(ISERROR(VLOOKUP(BQ$134-$F161,$E$135:$E$165,1,FALSE)),0,BP29*$C$2),MAX((IF(Monthly!BQ$4=TRUE,Monthly!BQ$13,Monthly!BQ$14)*(1+'Attrition Modeling'!$N$8)-IFERROR(BP29/BP96,0)*12)/12*BP96,0))</f>
        <v>0</v>
      </c>
      <c r="BR161" s="799">
        <f>MIN(IF(ISERROR(VLOOKUP(BR$134-$F161,$E$135:$E$165,1,FALSE)),0,BQ29*$C$2),MAX((IF(Monthly!BR$4=TRUE,Monthly!BR$13,Monthly!BR$14)*(1+'Attrition Modeling'!$N$8)-IFERROR(BQ29/BQ96,0)*12)/12*BQ96,0))</f>
        <v>0</v>
      </c>
      <c r="BS161" s="799">
        <f>MIN(IF(ISERROR(VLOOKUP(BS$134-$F161,$E$135:$E$165,1,FALSE)),0,BR29*$C$2),MAX((IF(Monthly!BS$4=TRUE,Monthly!BS$13,Monthly!BS$14)*(1+'Attrition Modeling'!$N$8)-IFERROR(BR29/BR96,0)*12)/12*BR96,0))</f>
        <v>0</v>
      </c>
      <c r="BT161" s="799">
        <f>MIN(IF(ISERROR(VLOOKUP(BT$134-$F161,$E$135:$E$165,1,FALSE)),0,BS29*$C$2),MAX((IF(Monthly!BT$4=TRUE,Monthly!BT$13,Monthly!BT$14)*(1+'Attrition Modeling'!$N$8)-IFERROR(BS29/BS96,0)*12)/12*BS96,0))</f>
        <v>0</v>
      </c>
      <c r="BU161" s="799">
        <f>MIN(IF(ISERROR(VLOOKUP(BU$134-$F161,$E$135:$E$165,1,FALSE)),0,BT29*$C$2),MAX((IF(Monthly!BU$4=TRUE,Monthly!BU$13,Monthly!BU$14)*(1+'Attrition Modeling'!$N$8)-IFERROR(BT29/BT96,0)*12)/12*BT96,0))</f>
        <v>0</v>
      </c>
    </row>
    <row r="162" spans="1:73" ht="14.25" customHeight="1" x14ac:dyDescent="0.2">
      <c r="E162" s="11">
        <f t="shared" si="13"/>
        <v>330</v>
      </c>
      <c r="F162" s="11">
        <f t="shared" si="14"/>
        <v>27</v>
      </c>
      <c r="G162" s="799"/>
      <c r="H162" s="799">
        <f>MIN(IF(ISERROR(VLOOKUP(H$134-$F162,$E$135:$E$165,1,FALSE)),0,G30*$C$2),MAX((IF(Monthly!D$4=TRUE,Monthly!D$13,Monthly!D$14)*(1+'Attrition Modeling'!$N$8)-IFERROR(G30/G97,0)*12)/12*G97,0))</f>
        <v>0</v>
      </c>
      <c r="I162" s="799">
        <f>MIN(IF(ISERROR(VLOOKUP(I$134-$F162,$E$135:$E$165,1,FALSE)),0,H30*$C$2),MAX((IF(Monthly!E$4=TRUE,Monthly!E$13,Monthly!E$14)*(1+'Attrition Modeling'!$N$8)-IFERROR(H30/H97,0)*12)/12*H97,0))</f>
        <v>0</v>
      </c>
      <c r="J162" s="799">
        <f>MIN(IF(ISERROR(VLOOKUP(J$134-$F162,$E$135:$E$165,1,FALSE)),0,I30*$C$2),MAX((IF(Monthly!F$4=TRUE,Monthly!F$13,Monthly!F$14)*(1+'Attrition Modeling'!$N$8)-IFERROR(I30/I97,0)*12)/12*I97,0))</f>
        <v>0</v>
      </c>
      <c r="K162" s="799">
        <f>MIN(IF(ISERROR(VLOOKUP(K$134-$F162,$E$135:$E$165,1,FALSE)),0,J30*$C$2),MAX((IF(Monthly!G$4=TRUE,Monthly!G$13,Monthly!G$14)*(1+'Attrition Modeling'!$N$8)-IFERROR(J30/J97,0)*12)/12*J97,0))</f>
        <v>0</v>
      </c>
      <c r="L162" s="799">
        <f>MIN(IF(ISERROR(VLOOKUP(L$134-$F162,$E$135:$E$165,1,FALSE)),0,K30*$C$2),MAX((IF(Monthly!H$4=TRUE,Monthly!H$13,Monthly!H$14)*(1+'Attrition Modeling'!$N$8)-IFERROR(K30/K97,0)*12)/12*K97,0))</f>
        <v>0</v>
      </c>
      <c r="M162" s="799">
        <f>MIN(IF(ISERROR(VLOOKUP(M$134-$F162,$E$135:$E$165,1,FALSE)),0,L30*$C$2),MAX((IF(Monthly!I$4=TRUE,Monthly!I$13,Monthly!I$14)*(1+'Attrition Modeling'!$N$8)-IFERROR(L30/L97,0)*12)/12*L97,0))</f>
        <v>0</v>
      </c>
      <c r="N162" s="799">
        <f>MIN(IF(ISERROR(VLOOKUP(N$134-$F162,$E$135:$E$165,1,FALSE)),0,M30*$C$2),MAX((IF(Monthly!J$4=TRUE,Monthly!J$13,Monthly!J$14)*(1+'Attrition Modeling'!$N$8)-IFERROR(M30/M97,0)*12)/12*M97,0))</f>
        <v>0</v>
      </c>
      <c r="O162" s="799">
        <f>MIN(IF(ISERROR(VLOOKUP(O$134-$F162,$E$135:$E$165,1,FALSE)),0,N30*$C$2),MAX((IF(Monthly!K$4=TRUE,Monthly!K$13,Monthly!K$14)*(1+'Attrition Modeling'!$N$8)-IFERROR(N30/N97,0)*12)/12*N97,0))</f>
        <v>0</v>
      </c>
      <c r="P162" s="799">
        <f>MIN(IF(ISERROR(VLOOKUP(P$134-$F162,$E$135:$E$165,1,FALSE)),0,O30*$C$2),MAX((IF(Monthly!L$4=TRUE,Monthly!L$13,Monthly!L$14)*(1+'Attrition Modeling'!$N$8)-IFERROR(O30/O97,0)*12)/12*O97,0))</f>
        <v>0</v>
      </c>
      <c r="Q162" s="799">
        <f>MIN(IF(ISERROR(VLOOKUP(Q$134-$F162,$E$135:$E$165,1,FALSE)),0,P30*$C$2),MAX((IF(Monthly!M$4=TRUE,Monthly!M$13,Monthly!M$14)*(1+'Attrition Modeling'!$N$8)-IFERROR(P30/P97,0)*12)/12*P97,0))</f>
        <v>0</v>
      </c>
      <c r="R162" s="799">
        <f>MIN(IF(ISERROR(VLOOKUP(R$134-$F162,$E$135:$E$165,1,FALSE)),0,Q30*$C$2),MAX((IF(Monthly!N$4=TRUE,Monthly!N$13,Monthly!N$14)*(1+'Attrition Modeling'!$N$8)-IFERROR(Q30/Q97,0)*12)/12*Q97,0))</f>
        <v>0</v>
      </c>
      <c r="S162" s="799">
        <f>MIN(IF(ISERROR(VLOOKUP(S$134-$F162,$E$135:$E$165,1,FALSE)),0,R30*$C$2),MAX((IF(Monthly!O$4=TRUE,Monthly!O$13,Monthly!O$14)*(1+'Attrition Modeling'!$N$8)-IFERROR(R30/R97,0)*12)/12*R97,0))</f>
        <v>0</v>
      </c>
      <c r="T162" s="799">
        <f>MIN(IF(ISERROR(VLOOKUP(T$134-$F162,$E$135:$E$165,1,FALSE)),0,S30*$C$2),MAX((IF(Monthly!P$4=TRUE,Monthly!P$13,Monthly!P$14)*(1+'Attrition Modeling'!$N$8)-IFERROR(S30/S97,0)*12)/12*S97,0))</f>
        <v>0</v>
      </c>
      <c r="U162" s="799">
        <f>MIN(IF(ISERROR(VLOOKUP(U$134-$F162,$E$135:$E$165,1,FALSE)),0,T30*$C$2),MAX((IF(Monthly!Q$4=TRUE,Monthly!Q$13,Monthly!Q$14)*(1+'Attrition Modeling'!$N$8)-IFERROR(T30/T97,0)*12)/12*T97,0))</f>
        <v>0</v>
      </c>
      <c r="V162" s="799">
        <f>MIN(IF(ISERROR(VLOOKUP(V$134-$F162,$E$135:$E$165,1,FALSE)),0,U30*$C$2),MAX((IF(Monthly!R$4=TRUE,Monthly!R$13,Monthly!R$14)*(1+'Attrition Modeling'!$N$8)-IFERROR(U30/U97,0)*12)/12*U97,0))</f>
        <v>0</v>
      </c>
      <c r="W162" s="799">
        <f>MIN(IF(ISERROR(VLOOKUP(W$134-$F162,$E$135:$E$165,1,FALSE)),0,V30*$C$2),MAX((IF(Monthly!S$4=TRUE,Monthly!S$13,Monthly!S$14)*(1+'Attrition Modeling'!$N$8)-IFERROR(V30/V97,0)*12)/12*V97,0))</f>
        <v>0</v>
      </c>
      <c r="X162" s="799">
        <f>MIN(IF(ISERROR(VLOOKUP(X$134-$F162,$E$135:$E$165,1,FALSE)),0,W30*$C$2),MAX((IF(Monthly!T$4=TRUE,Monthly!T$13,Monthly!T$14)*(1+'Attrition Modeling'!$N$8)-IFERROR(W30/W97,0)*12)/12*W97,0))</f>
        <v>0</v>
      </c>
      <c r="Y162" s="799">
        <f>MIN(IF(ISERROR(VLOOKUP(Y$134-$F162,$E$135:$E$165,1,FALSE)),0,X30*$C$2),MAX((IF(Monthly!U$4=TRUE,Monthly!U$13,Monthly!U$14)*(1+'Attrition Modeling'!$N$8)-IFERROR(X30/X97,0)*12)/12*X97,0))</f>
        <v>0</v>
      </c>
      <c r="Z162" s="799">
        <f>MIN(IF(ISERROR(VLOOKUP(Z$134-$F162,$E$135:$E$165,1,FALSE)),0,Y30*$C$2),MAX((IF(Monthly!V$4=TRUE,Monthly!V$13,Monthly!V$14)*(1+'Attrition Modeling'!$N$8)-IFERROR(Y30/Y97,0)*12)/12*Y97,0))</f>
        <v>0</v>
      </c>
      <c r="AA162" s="799">
        <f>MIN(IF(ISERROR(VLOOKUP(AA$134-$F162,$E$135:$E$165,1,FALSE)),0,Z30*$C$2),MAX((IF(Monthly!W$4=TRUE,Monthly!W$13,Monthly!W$14)*(1+'Attrition Modeling'!$N$8)-IFERROR(Z30/Z97,0)*12)/12*Z97,0))</f>
        <v>0</v>
      </c>
      <c r="AB162" s="799">
        <f>MIN(IF(ISERROR(VLOOKUP(AB$134-$F162,$E$135:$E$165,1,FALSE)),0,AA30*$C$2),MAX((IF(Monthly!X$4=TRUE,Monthly!X$13,Monthly!X$14)*(1+'Attrition Modeling'!$N$8)-IFERROR(AA30/AA97,0)*12)/12*AA97,0))</f>
        <v>0</v>
      </c>
      <c r="AC162" s="799">
        <f>MIN(IF(ISERROR(VLOOKUP(AC$134-$F162,$E$135:$E$165,1,FALSE)),0,AB30*$C$2),MAX((IF(Monthly!Y$4=TRUE,Monthly!Y$13,Monthly!Y$14)*(1+'Attrition Modeling'!$N$8)-IFERROR(AB30/AB97,0)*12)/12*AB97,0))</f>
        <v>0</v>
      </c>
      <c r="AD162" s="799">
        <f>MIN(IF(ISERROR(VLOOKUP(AD$134-$F162,$E$135:$E$165,1,FALSE)),0,AC30*$C$2),MAX((IF(Monthly!Z$4=TRUE,Monthly!Z$13,Monthly!Z$14)*(1+'Attrition Modeling'!$N$8)-IFERROR(AC30/AC97,0)*12)/12*AC97,0))</f>
        <v>0</v>
      </c>
      <c r="AE162" s="799">
        <f>MIN(IF(ISERROR(VLOOKUP(AE$134-$F162,$E$135:$E$165,1,FALSE)),0,AD30*$C$2),MAX((IF(Monthly!AA$4=TRUE,Monthly!AA$13,Monthly!AA$14)*(1+'Attrition Modeling'!$N$8)-IFERROR(AD30/AD97,0)*12)/12*AD97,0))</f>
        <v>0</v>
      </c>
      <c r="AF162" s="799">
        <f>MIN(IF(ISERROR(VLOOKUP(AF$134-$F162,$E$135:$E$165,1,FALSE)),0,AE30*$C$2),MAX((IF(Monthly!AB$4=TRUE,Monthly!AB$13,Monthly!AB$14)*(1+'Attrition Modeling'!$N$8)-IFERROR(AE30/AE97,0)*12)/12*AE97,0))</f>
        <v>0</v>
      </c>
      <c r="AG162" s="799">
        <f>MIN(IF(ISERROR(VLOOKUP(AG$134-$F162,$E$135:$E$165,1,FALSE)),0,AF30*$C$2),MAX((IF(Monthly!AC$4=TRUE,Monthly!AC$13,Monthly!AC$14)*(1+'Attrition Modeling'!$N$8)-IFERROR(AF30/AF97,0)*12)/12*AF97,0))</f>
        <v>0</v>
      </c>
      <c r="AH162" s="799">
        <f>MIN(IF(ISERROR(VLOOKUP(AH$134-$F162,$E$135:$E$165,1,FALSE)),0,AG30*$C$2),MAX((IF(Monthly!AD$4=TRUE,Monthly!AD$13,Monthly!AD$14)*(1+'Attrition Modeling'!$N$8)-IFERROR(AG30/AG97,0)*12)/12*AG97,0))</f>
        <v>0</v>
      </c>
      <c r="AI162" s="799">
        <f>MIN(IF(ISERROR(VLOOKUP(AI$134-$F162,$E$135:$E$165,1,FALSE)),0,AH30*$C$2),MAX((IF(Monthly!AE$4=TRUE,Monthly!AE$13,Monthly!AE$14)*(1+'Attrition Modeling'!$N$8)-IFERROR(AH30/AH97,0)*12)/12*AH97,0))</f>
        <v>0</v>
      </c>
      <c r="AJ162" s="799">
        <f>MIN(IF(ISERROR(VLOOKUP(AJ$134-$F162,$E$135:$E$165,1,FALSE)),0,AI30*$C$2),MAX((IF(Monthly!AF$4=TRUE,Monthly!AF$13,Monthly!AF$14)*(1+'Attrition Modeling'!$N$8)-IFERROR(AI30/AI97,0)*12)/12*AI97,0))</f>
        <v>0</v>
      </c>
      <c r="AK162" s="799">
        <f>MIN(IF(ISERROR(VLOOKUP(AK$134-$F162,$E$135:$E$165,1,FALSE)),0,AJ30*$C$2),MAX((IF(Monthly!AG$4=TRUE,Monthly!AG$13,Monthly!AG$14)*(1+'Attrition Modeling'!$N$8)-IFERROR(AJ30/AJ97,0)*12)/12*AJ97,0))</f>
        <v>0</v>
      </c>
      <c r="AL162" s="799">
        <f>MIN(IF(ISERROR(VLOOKUP(AL$134-$F162,$E$135:$E$165,1,FALSE)),0,AK30*$C$2),MAX((IF(Monthly!AH$4=TRUE,Monthly!AH$13,Monthly!AH$14)*(1+'Attrition Modeling'!$N$8)-IFERROR(AK30/AK97,0)*12)/12*AK97,0))</f>
        <v>0</v>
      </c>
      <c r="AM162" s="799">
        <f>MIN(IF(ISERROR(VLOOKUP(AM$134-$F162,$E$135:$E$165,1,FALSE)),0,AL30*$C$2),MAX((IF(Monthly!AI$4=TRUE,Monthly!AI$13,Monthly!AI$14)*(1+'Attrition Modeling'!$N$8)-IFERROR(AL30/AL97,0)*12)/12*AL97,0))</f>
        <v>0</v>
      </c>
      <c r="AN162" s="799">
        <f>MIN(IF(ISERROR(VLOOKUP(AN$134-$F162,$E$135:$E$165,1,FALSE)),0,AM30*$C$2),MAX((IF(Monthly!AJ$4=TRUE,Monthly!AJ$13,Monthly!AJ$14)*(1+'Attrition Modeling'!$N$8)-IFERROR(AM30/AM97,0)*12)/12*AM97,0))</f>
        <v>833.61592781860213</v>
      </c>
      <c r="AO162" s="799">
        <f>MIN(IF(ISERROR(VLOOKUP(AO$134-$F162,$E$135:$E$165,1,FALSE)),0,AN30*$C$2),MAX((IF(Monthly!AK$4=TRUE,Monthly!AK$13,Monthly!AK$14)*(1+'Attrition Modeling'!$N$8)-IFERROR(AN30/AN97,0)*12)/12*AN97,0))</f>
        <v>0</v>
      </c>
      <c r="AP162" s="799">
        <f>MIN(IF(ISERROR(VLOOKUP(AP$134-$F162,$E$135:$E$165,1,FALSE)),0,AO30*$C$2),MAX((IF(Monthly!AL$4=TRUE,Monthly!AL$13,Monthly!AL$14)*(1+'Attrition Modeling'!$N$8)-IFERROR(AO30/AO97,0)*12)/12*AO97,0))</f>
        <v>0</v>
      </c>
      <c r="AQ162" s="799">
        <f>MIN(IF(ISERROR(VLOOKUP(AQ$134-$F162,$E$135:$E$165,1,FALSE)),0,AP30*$C$2),MAX((IF(Monthly!AM$4=TRUE,Monthly!AM$13,Monthly!AM$14)*(1+'Attrition Modeling'!$N$8)-IFERROR(AP30/AP97,0)*12)/12*AP97,0))</f>
        <v>0</v>
      </c>
      <c r="AR162" s="799">
        <f>MIN(IF(ISERROR(VLOOKUP(AR$134-$F162,$E$135:$E$165,1,FALSE)),0,AQ30*$C$2),MAX((IF(Monthly!AN$4=TRUE,Monthly!AN$13,Monthly!AN$14)*(1+'Attrition Modeling'!$N$8)-IFERROR(AQ30/AQ97,0)*12)/12*AQ97,0))</f>
        <v>0</v>
      </c>
      <c r="AS162" s="799">
        <f>MIN(IF(ISERROR(VLOOKUP(AS$134-$F162,$E$135:$E$165,1,FALSE)),0,AR30*$C$2),MAX((IF(Monthly!AO$4=TRUE,Monthly!AO$13,Monthly!AO$14)*(1+'Attrition Modeling'!$N$8)-IFERROR(AR30/AR97,0)*12)/12*AR97,0))</f>
        <v>0</v>
      </c>
      <c r="AT162" s="799">
        <f>MIN(IF(ISERROR(VLOOKUP(AT$134-$F162,$E$135:$E$165,1,FALSE)),0,AS30*$C$2),MAX((IF(Monthly!AP$4=TRUE,Monthly!AP$13,Monthly!AP$14)*(1+'Attrition Modeling'!$N$8)-IFERROR(AS30/AS97,0)*12)/12*AS97,0))</f>
        <v>0</v>
      </c>
      <c r="AU162" s="799">
        <f>MIN(IF(ISERROR(VLOOKUP(AU$134-$F162,$E$135:$E$165,1,FALSE)),0,AT30*$C$2),MAX((IF(Monthly!AQ$4=TRUE,Monthly!AQ$13,Monthly!AQ$14)*(1+'Attrition Modeling'!$N$8)-IFERROR(AT30/AT97,0)*12)/12*AT97,0))</f>
        <v>0</v>
      </c>
      <c r="AV162" s="799">
        <f>MIN(IF(ISERROR(VLOOKUP(AV$134-$F162,$E$135:$E$165,1,FALSE)),0,AU30*$C$2),MAX((IF(Monthly!AR$4=TRUE,Monthly!AR$13,Monthly!AR$14)*(1+'Attrition Modeling'!$N$8)-IFERROR(AU30/AU97,0)*12)/12*AU97,0))</f>
        <v>0</v>
      </c>
      <c r="AW162" s="799">
        <f>MIN(IF(ISERROR(VLOOKUP(AW$134-$F162,$E$135:$E$165,1,FALSE)),0,AV30*$C$2),MAX((IF(Monthly!AS$4=TRUE,Monthly!AS$13,Monthly!AS$14)*(1+'Attrition Modeling'!$N$8)-IFERROR(AV30/AV97,0)*12)/12*AV97,0))</f>
        <v>0</v>
      </c>
      <c r="AX162" s="799">
        <f>MIN(IF(ISERROR(VLOOKUP(AX$134-$F162,$E$135:$E$165,1,FALSE)),0,AW30*$C$2),MAX((IF(Monthly!AT$4=TRUE,Monthly!AT$13,Monthly!AT$14)*(1+'Attrition Modeling'!$N$8)-IFERROR(AW30/AW97,0)*12)/12*AW97,0))</f>
        <v>0</v>
      </c>
      <c r="AY162" s="799">
        <f>MIN(IF(ISERROR(VLOOKUP(AY$134-$F162,$E$135:$E$165,1,FALSE)),0,AX30*$C$2),MAX((IF(Monthly!AU$4=TRUE,Monthly!AU$13,Monthly!AU$14)*(1+'Attrition Modeling'!$N$8)-IFERROR(AX30/AX97,0)*12)/12*AX97,0))</f>
        <v>0</v>
      </c>
      <c r="AZ162" s="799">
        <f>MIN(IF(ISERROR(VLOOKUP(AZ$134-$F162,$E$135:$E$165,1,FALSE)),0,AY30*$C$2),MAX((IF(Monthly!AV$4=TRUE,Monthly!AV$13,Monthly!AV$14)*(1+'Attrition Modeling'!$N$8)-IFERROR(AY30/AY97,0)*12)/12*AY97,0))</f>
        <v>443.3086904462196</v>
      </c>
      <c r="BA162" s="799">
        <f>MIN(IF(ISERROR(VLOOKUP(BA$134-$F162,$E$135:$E$165,1,FALSE)),0,AZ30*$C$2),MAX((IF(Monthly!AW$4=TRUE,Monthly!AW$13,Monthly!AW$14)*(1+'Attrition Modeling'!$N$8)-IFERROR(AZ30/AZ97,0)*12)/12*AZ97,0))</f>
        <v>0</v>
      </c>
      <c r="BB162" s="799">
        <f>MIN(IF(ISERROR(VLOOKUP(BB$134-$F162,$E$135:$E$165,1,FALSE)),0,BA30*$C$2),MAX((IF(Monthly!AX$4=TRUE,Monthly!AX$13,Monthly!AX$14)*(1+'Attrition Modeling'!$N$8)-IFERROR(BA30/BA97,0)*12)/12*BA97,0))</f>
        <v>0</v>
      </c>
      <c r="BC162" s="799">
        <f>MIN(IF(ISERROR(VLOOKUP(BC$134-$F162,$E$135:$E$165,1,FALSE)),0,BB30*$C$2),MAX((IF(Monthly!AY$4=TRUE,Monthly!AY$13,Monthly!AY$14)*(1+'Attrition Modeling'!$N$8)-IFERROR(BB30/BB97,0)*12)/12*BB97,0))</f>
        <v>0</v>
      </c>
      <c r="BD162" s="799">
        <f>MIN(IF(ISERROR(VLOOKUP(BD$134-$F162,$E$135:$E$165,1,FALSE)),0,BC30*$C$2),MAX((IF(Monthly!AZ$4=TRUE,Monthly!AZ$13,Monthly!AZ$14)*(1+'Attrition Modeling'!$N$8)-IFERROR(BC30/BC97,0)*12)/12*BC97,0))</f>
        <v>0</v>
      </c>
      <c r="BE162" s="799">
        <f>MIN(IF(ISERROR(VLOOKUP(BE$134-$F162,$E$135:$E$165,1,FALSE)),0,BD30*$C$2),MAX((IF(Monthly!BA$4=TRUE,Monthly!BA$13,Monthly!BA$14)*(1+'Attrition Modeling'!$N$8)-IFERROR(BD30/BD97,0)*12)/12*BD97,0))</f>
        <v>0</v>
      </c>
      <c r="BF162" s="799">
        <f>MIN(IF(ISERROR(VLOOKUP(BF$134-$F162,$E$135:$E$165,1,FALSE)),0,BE30*$C$2),MAX((IF(Monthly!BB$4=TRUE,Monthly!BB$13,Monthly!BB$14)*(1+'Attrition Modeling'!$N$8)-IFERROR(BE30/BE97,0)*12)/12*BE97,0))</f>
        <v>0</v>
      </c>
      <c r="BG162" s="799">
        <f>MIN(IF(ISERROR(VLOOKUP(BG$134-$F162,$E$135:$E$165,1,FALSE)),0,BF30*$C$2),MAX((IF(Monthly!BC$4=TRUE,Monthly!BC$13,Monthly!BC$14)*(1+'Attrition Modeling'!$N$8)-IFERROR(BF30/BF97,0)*12)/12*BF97,0))</f>
        <v>0</v>
      </c>
      <c r="BH162" s="799">
        <f>MIN(IF(ISERROR(VLOOKUP(BH$134-$F162,$E$135:$E$165,1,FALSE)),0,BG30*$C$2),MAX((IF(Monthly!BD$4=TRUE,Monthly!BD$13,Monthly!BD$14)*(1+'Attrition Modeling'!$N$8)-IFERROR(BG30/BG97,0)*12)/12*BG97,0))</f>
        <v>0</v>
      </c>
      <c r="BI162" s="799">
        <f>MIN(IF(ISERROR(VLOOKUP(BI$134-$F162,$E$135:$E$165,1,FALSE)),0,BH30*$C$2),MAX((IF(Monthly!BE$4=TRUE,Monthly!BE$13,Monthly!BE$14)*(1+'Attrition Modeling'!$N$8)-IFERROR(BH30/BH97,0)*12)/12*BH97,0))</f>
        <v>0</v>
      </c>
      <c r="BJ162" s="799">
        <f>MIN(IF(ISERROR(VLOOKUP(BJ$134-$F162,$E$135:$E$165,1,FALSE)),0,BI30*$C$2),MAX((IF(Monthly!BF$4=TRUE,Monthly!BF$13,Monthly!BF$14)*(1+'Attrition Modeling'!$N$8)-IFERROR(BI30/BI97,0)*12)/12*BI97,0))</f>
        <v>0</v>
      </c>
      <c r="BK162" s="799">
        <f>MIN(IF(ISERROR(VLOOKUP(BK$134-$F162,$E$135:$E$165,1,FALSE)),0,BJ30*$C$2),MAX((IF(Monthly!BG$4=TRUE,Monthly!BG$13,Monthly!BG$14)*(1+'Attrition Modeling'!$N$8)-IFERROR(BJ30/BJ97,0)*12)/12*BJ97,0))</f>
        <v>0</v>
      </c>
      <c r="BL162" s="799">
        <f>MIN(IF(ISERROR(VLOOKUP(BL$134-$F162,$E$135:$E$165,1,FALSE)),0,BK30*$C$2),MAX((IF(Monthly!BH$4=TRUE,Monthly!BH$13,Monthly!BH$14)*(1+'Attrition Modeling'!$N$8)-IFERROR(BK30/BK97,0)*12)/12*BK97,0))</f>
        <v>301.58515413270669</v>
      </c>
      <c r="BM162" s="799">
        <f>MIN(IF(ISERROR(VLOOKUP(BM$134-$F162,$E$135:$E$165,1,FALSE)),0,BL30*$C$2),MAX((IF(Monthly!BI$4=TRUE,Monthly!BI$13,Monthly!BI$14)*(1+'Attrition Modeling'!$N$8)-IFERROR(BL30/BL97,0)*12)/12*BL97,0))</f>
        <v>0</v>
      </c>
      <c r="BN162" s="799">
        <f>MIN(IF(ISERROR(VLOOKUP(BN$134-$F162,$E$135:$E$165,1,FALSE)),0,BM30*$C$2),MAX((IF(Monthly!BJ$4=TRUE,Monthly!BJ$13,Monthly!BJ$14)*(1+'Attrition Modeling'!$N$8)-IFERROR(BM30/BM97,0)*12)/12*BM97,0))</f>
        <v>0</v>
      </c>
      <c r="BO162" s="799">
        <f>MIN(IF(ISERROR(VLOOKUP(BO$134-$F162,$E$135:$E$165,1,FALSE)),0,BN30*$C$2),MAX((IF(Monthly!BK$4=TRUE,Monthly!BK$13,Monthly!BK$14)*(1+'Attrition Modeling'!$N$8)-IFERROR(BN30/BN97,0)*12)/12*BN97,0))</f>
        <v>0</v>
      </c>
      <c r="BP162" s="799">
        <f>MIN(IF(ISERROR(VLOOKUP(BP$134-$F162,$E$135:$E$165,1,FALSE)),0,BO30*$C$2),MAX((IF(Monthly!BP$4=TRUE,Monthly!BP$13,Monthly!BP$14)*(1+'Attrition Modeling'!$N$8)-IFERROR(BO30/BO97,0)*12)/12*BO97,0))</f>
        <v>0</v>
      </c>
      <c r="BQ162" s="799">
        <f>MIN(IF(ISERROR(VLOOKUP(BQ$134-$F162,$E$135:$E$165,1,FALSE)),0,BP30*$C$2),MAX((IF(Monthly!BQ$4=TRUE,Monthly!BQ$13,Monthly!BQ$14)*(1+'Attrition Modeling'!$N$8)-IFERROR(BP30/BP97,0)*12)/12*BP97,0))</f>
        <v>0</v>
      </c>
      <c r="BR162" s="799">
        <f>MIN(IF(ISERROR(VLOOKUP(BR$134-$F162,$E$135:$E$165,1,FALSE)),0,BQ30*$C$2),MAX((IF(Monthly!BR$4=TRUE,Monthly!BR$13,Monthly!BR$14)*(1+'Attrition Modeling'!$N$8)-IFERROR(BQ30/BQ97,0)*12)/12*BQ97,0))</f>
        <v>0</v>
      </c>
      <c r="BS162" s="799">
        <f>MIN(IF(ISERROR(VLOOKUP(BS$134-$F162,$E$135:$E$165,1,FALSE)),0,BR30*$C$2),MAX((IF(Monthly!BS$4=TRUE,Monthly!BS$13,Monthly!BS$14)*(1+'Attrition Modeling'!$N$8)-IFERROR(BR30/BR97,0)*12)/12*BR97,0))</f>
        <v>0</v>
      </c>
      <c r="BT162" s="799">
        <f>MIN(IF(ISERROR(VLOOKUP(BT$134-$F162,$E$135:$E$165,1,FALSE)),0,BS30*$C$2),MAX((IF(Monthly!BT$4=TRUE,Monthly!BT$13,Monthly!BT$14)*(1+'Attrition Modeling'!$N$8)-IFERROR(BS30/BS97,0)*12)/12*BS97,0))</f>
        <v>0</v>
      </c>
      <c r="BU162" s="799">
        <f>MIN(IF(ISERROR(VLOOKUP(BU$134-$F162,$E$135:$E$165,1,FALSE)),0,BT30*$C$2),MAX((IF(Monthly!BU$4=TRUE,Monthly!BU$13,Monthly!BU$14)*(1+'Attrition Modeling'!$N$8)-IFERROR(BT30/BT97,0)*12)/12*BT97,0))</f>
        <v>0</v>
      </c>
    </row>
    <row r="163" spans="1:73" ht="14.25" customHeight="1" x14ac:dyDescent="0.2">
      <c r="E163" s="11">
        <f t="shared" si="13"/>
        <v>342</v>
      </c>
      <c r="F163" s="11">
        <f t="shared" si="14"/>
        <v>28</v>
      </c>
      <c r="G163" s="799"/>
      <c r="H163" s="799">
        <f>MIN(IF(ISERROR(VLOOKUP(H$134-$F163,$E$135:$E$165,1,FALSE)),0,G31*$C$2),MAX((IF(Monthly!D$4=TRUE,Monthly!D$13,Monthly!D$14)*(1+'Attrition Modeling'!$N$8)-IFERROR(G31/G98,0)*12)/12*G98,0))</f>
        <v>0</v>
      </c>
      <c r="I163" s="799">
        <f>MIN(IF(ISERROR(VLOOKUP(I$134-$F163,$E$135:$E$165,1,FALSE)),0,H31*$C$2),MAX((IF(Monthly!E$4=TRUE,Monthly!E$13,Monthly!E$14)*(1+'Attrition Modeling'!$N$8)-IFERROR(H31/H98,0)*12)/12*H98,0))</f>
        <v>0</v>
      </c>
      <c r="J163" s="799">
        <f>MIN(IF(ISERROR(VLOOKUP(J$134-$F163,$E$135:$E$165,1,FALSE)),0,I31*$C$2),MAX((IF(Monthly!F$4=TRUE,Monthly!F$13,Monthly!F$14)*(1+'Attrition Modeling'!$N$8)-IFERROR(I31/I98,0)*12)/12*I98,0))</f>
        <v>0</v>
      </c>
      <c r="K163" s="799">
        <f>MIN(IF(ISERROR(VLOOKUP(K$134-$F163,$E$135:$E$165,1,FALSE)),0,J31*$C$2),MAX((IF(Monthly!G$4=TRUE,Monthly!G$13,Monthly!G$14)*(1+'Attrition Modeling'!$N$8)-IFERROR(J31/J98,0)*12)/12*J98,0))</f>
        <v>0</v>
      </c>
      <c r="L163" s="799">
        <f>MIN(IF(ISERROR(VLOOKUP(L$134-$F163,$E$135:$E$165,1,FALSE)),0,K31*$C$2),MAX((IF(Monthly!H$4=TRUE,Monthly!H$13,Monthly!H$14)*(1+'Attrition Modeling'!$N$8)-IFERROR(K31/K98,0)*12)/12*K98,0))</f>
        <v>0</v>
      </c>
      <c r="M163" s="799">
        <f>MIN(IF(ISERROR(VLOOKUP(M$134-$F163,$E$135:$E$165,1,FALSE)),0,L31*$C$2),MAX((IF(Monthly!I$4=TRUE,Monthly!I$13,Monthly!I$14)*(1+'Attrition Modeling'!$N$8)-IFERROR(L31/L98,0)*12)/12*L98,0))</f>
        <v>0</v>
      </c>
      <c r="N163" s="799">
        <f>MIN(IF(ISERROR(VLOOKUP(N$134-$F163,$E$135:$E$165,1,FALSE)),0,M31*$C$2),MAX((IF(Monthly!J$4=TRUE,Monthly!J$13,Monthly!J$14)*(1+'Attrition Modeling'!$N$8)-IFERROR(M31/M98,0)*12)/12*M98,0))</f>
        <v>0</v>
      </c>
      <c r="O163" s="799">
        <f>MIN(IF(ISERROR(VLOOKUP(O$134-$F163,$E$135:$E$165,1,FALSE)),0,N31*$C$2),MAX((IF(Monthly!K$4=TRUE,Monthly!K$13,Monthly!K$14)*(1+'Attrition Modeling'!$N$8)-IFERROR(N31/N98,0)*12)/12*N98,0))</f>
        <v>0</v>
      </c>
      <c r="P163" s="799">
        <f>MIN(IF(ISERROR(VLOOKUP(P$134-$F163,$E$135:$E$165,1,FALSE)),0,O31*$C$2),MAX((IF(Monthly!L$4=TRUE,Monthly!L$13,Monthly!L$14)*(1+'Attrition Modeling'!$N$8)-IFERROR(O31/O98,0)*12)/12*O98,0))</f>
        <v>0</v>
      </c>
      <c r="Q163" s="799">
        <f>MIN(IF(ISERROR(VLOOKUP(Q$134-$F163,$E$135:$E$165,1,FALSE)),0,P31*$C$2),MAX((IF(Monthly!M$4=TRUE,Monthly!M$13,Monthly!M$14)*(1+'Attrition Modeling'!$N$8)-IFERROR(P31/P98,0)*12)/12*P98,0))</f>
        <v>0</v>
      </c>
      <c r="R163" s="799">
        <f>MIN(IF(ISERROR(VLOOKUP(R$134-$F163,$E$135:$E$165,1,FALSE)),0,Q31*$C$2),MAX((IF(Monthly!N$4=TRUE,Monthly!N$13,Monthly!N$14)*(1+'Attrition Modeling'!$N$8)-IFERROR(Q31/Q98,0)*12)/12*Q98,0))</f>
        <v>0</v>
      </c>
      <c r="S163" s="799">
        <f>MIN(IF(ISERROR(VLOOKUP(S$134-$F163,$E$135:$E$165,1,FALSE)),0,R31*$C$2),MAX((IF(Monthly!O$4=TRUE,Monthly!O$13,Monthly!O$14)*(1+'Attrition Modeling'!$N$8)-IFERROR(R31/R98,0)*12)/12*R98,0))</f>
        <v>0</v>
      </c>
      <c r="T163" s="799">
        <f>MIN(IF(ISERROR(VLOOKUP(T$134-$F163,$E$135:$E$165,1,FALSE)),0,S31*$C$2),MAX((IF(Monthly!P$4=TRUE,Monthly!P$13,Monthly!P$14)*(1+'Attrition Modeling'!$N$8)-IFERROR(S31/S98,0)*12)/12*S98,0))</f>
        <v>0</v>
      </c>
      <c r="U163" s="799">
        <f>MIN(IF(ISERROR(VLOOKUP(U$134-$F163,$E$135:$E$165,1,FALSE)),0,T31*$C$2),MAX((IF(Monthly!Q$4=TRUE,Monthly!Q$13,Monthly!Q$14)*(1+'Attrition Modeling'!$N$8)-IFERROR(T31/T98,0)*12)/12*T98,0))</f>
        <v>0</v>
      </c>
      <c r="V163" s="799">
        <f>MIN(IF(ISERROR(VLOOKUP(V$134-$F163,$E$135:$E$165,1,FALSE)),0,U31*$C$2),MAX((IF(Monthly!R$4=TRUE,Monthly!R$13,Monthly!R$14)*(1+'Attrition Modeling'!$N$8)-IFERROR(U31/U98,0)*12)/12*U98,0))</f>
        <v>0</v>
      </c>
      <c r="W163" s="799">
        <f>MIN(IF(ISERROR(VLOOKUP(W$134-$F163,$E$135:$E$165,1,FALSE)),0,V31*$C$2),MAX((IF(Monthly!S$4=TRUE,Monthly!S$13,Monthly!S$14)*(1+'Attrition Modeling'!$N$8)-IFERROR(V31/V98,0)*12)/12*V98,0))</f>
        <v>0</v>
      </c>
      <c r="X163" s="799">
        <f>MIN(IF(ISERROR(VLOOKUP(X$134-$F163,$E$135:$E$165,1,FALSE)),0,W31*$C$2),MAX((IF(Monthly!T$4=TRUE,Monthly!T$13,Monthly!T$14)*(1+'Attrition Modeling'!$N$8)-IFERROR(W31/W98,0)*12)/12*W98,0))</f>
        <v>0</v>
      </c>
      <c r="Y163" s="799">
        <f>MIN(IF(ISERROR(VLOOKUP(Y$134-$F163,$E$135:$E$165,1,FALSE)),0,X31*$C$2),MAX((IF(Monthly!U$4=TRUE,Monthly!U$13,Monthly!U$14)*(1+'Attrition Modeling'!$N$8)-IFERROR(X31/X98,0)*12)/12*X98,0))</f>
        <v>0</v>
      </c>
      <c r="Z163" s="799">
        <f>MIN(IF(ISERROR(VLOOKUP(Z$134-$F163,$E$135:$E$165,1,FALSE)),0,Y31*$C$2),MAX((IF(Monthly!V$4=TRUE,Monthly!V$13,Monthly!V$14)*(1+'Attrition Modeling'!$N$8)-IFERROR(Y31/Y98,0)*12)/12*Y98,0))</f>
        <v>0</v>
      </c>
      <c r="AA163" s="799">
        <f>MIN(IF(ISERROR(VLOOKUP(AA$134-$F163,$E$135:$E$165,1,FALSE)),0,Z31*$C$2),MAX((IF(Monthly!W$4=TRUE,Monthly!W$13,Monthly!W$14)*(1+'Attrition Modeling'!$N$8)-IFERROR(Z31/Z98,0)*12)/12*Z98,0))</f>
        <v>0</v>
      </c>
      <c r="AB163" s="799">
        <f>MIN(IF(ISERROR(VLOOKUP(AB$134-$F163,$E$135:$E$165,1,FALSE)),0,AA31*$C$2),MAX((IF(Monthly!X$4=TRUE,Monthly!X$13,Monthly!X$14)*(1+'Attrition Modeling'!$N$8)-IFERROR(AA31/AA98,0)*12)/12*AA98,0))</f>
        <v>0</v>
      </c>
      <c r="AC163" s="799">
        <f>MIN(IF(ISERROR(VLOOKUP(AC$134-$F163,$E$135:$E$165,1,FALSE)),0,AB31*$C$2),MAX((IF(Monthly!Y$4=TRUE,Monthly!Y$13,Monthly!Y$14)*(1+'Attrition Modeling'!$N$8)-IFERROR(AB31/AB98,0)*12)/12*AB98,0))</f>
        <v>0</v>
      </c>
      <c r="AD163" s="799">
        <f>MIN(IF(ISERROR(VLOOKUP(AD$134-$F163,$E$135:$E$165,1,FALSE)),0,AC31*$C$2),MAX((IF(Monthly!Z$4=TRUE,Monthly!Z$13,Monthly!Z$14)*(1+'Attrition Modeling'!$N$8)-IFERROR(AC31/AC98,0)*12)/12*AC98,0))</f>
        <v>0</v>
      </c>
      <c r="AE163" s="799">
        <f>MIN(IF(ISERROR(VLOOKUP(AE$134-$F163,$E$135:$E$165,1,FALSE)),0,AD31*$C$2),MAX((IF(Monthly!AA$4=TRUE,Monthly!AA$13,Monthly!AA$14)*(1+'Attrition Modeling'!$N$8)-IFERROR(AD31/AD98,0)*12)/12*AD98,0))</f>
        <v>0</v>
      </c>
      <c r="AF163" s="799">
        <f>MIN(IF(ISERROR(VLOOKUP(AF$134-$F163,$E$135:$E$165,1,FALSE)),0,AE31*$C$2),MAX((IF(Monthly!AB$4=TRUE,Monthly!AB$13,Monthly!AB$14)*(1+'Attrition Modeling'!$N$8)-IFERROR(AE31/AE98,0)*12)/12*AE98,0))</f>
        <v>0</v>
      </c>
      <c r="AG163" s="799">
        <f>MIN(IF(ISERROR(VLOOKUP(AG$134-$F163,$E$135:$E$165,1,FALSE)),0,AF31*$C$2),MAX((IF(Monthly!AC$4=TRUE,Monthly!AC$13,Monthly!AC$14)*(1+'Attrition Modeling'!$N$8)-IFERROR(AF31/AF98,0)*12)/12*AF98,0))</f>
        <v>0</v>
      </c>
      <c r="AH163" s="799">
        <f>MIN(IF(ISERROR(VLOOKUP(AH$134-$F163,$E$135:$E$165,1,FALSE)),0,AG31*$C$2),MAX((IF(Monthly!AD$4=TRUE,Monthly!AD$13,Monthly!AD$14)*(1+'Attrition Modeling'!$N$8)-IFERROR(AG31/AG98,0)*12)/12*AG98,0))</f>
        <v>0</v>
      </c>
      <c r="AI163" s="799">
        <f>MIN(IF(ISERROR(VLOOKUP(AI$134-$F163,$E$135:$E$165,1,FALSE)),0,AH31*$C$2),MAX((IF(Monthly!AE$4=TRUE,Monthly!AE$13,Monthly!AE$14)*(1+'Attrition Modeling'!$N$8)-IFERROR(AH31/AH98,0)*12)/12*AH98,0))</f>
        <v>0</v>
      </c>
      <c r="AJ163" s="799">
        <f>MIN(IF(ISERROR(VLOOKUP(AJ$134-$F163,$E$135:$E$165,1,FALSE)),0,AI31*$C$2),MAX((IF(Monthly!AF$4=TRUE,Monthly!AF$13,Monthly!AF$14)*(1+'Attrition Modeling'!$N$8)-IFERROR(AI31/AI98,0)*12)/12*AI98,0))</f>
        <v>0</v>
      </c>
      <c r="AK163" s="799">
        <f>MIN(IF(ISERROR(VLOOKUP(AK$134-$F163,$E$135:$E$165,1,FALSE)),0,AJ31*$C$2),MAX((IF(Monthly!AG$4=TRUE,Monthly!AG$13,Monthly!AG$14)*(1+'Attrition Modeling'!$N$8)-IFERROR(AJ31/AJ98,0)*12)/12*AJ98,0))</f>
        <v>0</v>
      </c>
      <c r="AL163" s="799">
        <f>MIN(IF(ISERROR(VLOOKUP(AL$134-$F163,$E$135:$E$165,1,FALSE)),0,AK31*$C$2),MAX((IF(Monthly!AH$4=TRUE,Monthly!AH$13,Monthly!AH$14)*(1+'Attrition Modeling'!$N$8)-IFERROR(AK31/AK98,0)*12)/12*AK98,0))</f>
        <v>0</v>
      </c>
      <c r="AM163" s="799">
        <f>MIN(IF(ISERROR(VLOOKUP(AM$134-$F163,$E$135:$E$165,1,FALSE)),0,AL31*$C$2),MAX((IF(Monthly!AI$4=TRUE,Monthly!AI$13,Monthly!AI$14)*(1+'Attrition Modeling'!$N$8)-IFERROR(AL31/AL98,0)*12)/12*AL98,0))</f>
        <v>0</v>
      </c>
      <c r="AN163" s="799">
        <f>MIN(IF(ISERROR(VLOOKUP(AN$134-$F163,$E$135:$E$165,1,FALSE)),0,AM31*$C$2),MAX((IF(Monthly!AJ$4=TRUE,Monthly!AJ$13,Monthly!AJ$14)*(1+'Attrition Modeling'!$N$8)-IFERROR(AM31/AM98,0)*12)/12*AM98,0))</f>
        <v>0</v>
      </c>
      <c r="AO163" s="799">
        <f>MIN(IF(ISERROR(VLOOKUP(AO$134-$F163,$E$135:$E$165,1,FALSE)),0,AN31*$C$2),MAX((IF(Monthly!AK$4=TRUE,Monthly!AK$13,Monthly!AK$14)*(1+'Attrition Modeling'!$N$8)-IFERROR(AN31/AN98,0)*12)/12*AN98,0))</f>
        <v>1019.0133792357941</v>
      </c>
      <c r="AP163" s="799">
        <f>MIN(IF(ISERROR(VLOOKUP(AP$134-$F163,$E$135:$E$165,1,FALSE)),0,AO31*$C$2),MAX((IF(Monthly!AL$4=TRUE,Monthly!AL$13,Monthly!AL$14)*(1+'Attrition Modeling'!$N$8)-IFERROR(AO31/AO98,0)*12)/12*AO98,0))</f>
        <v>0</v>
      </c>
      <c r="AQ163" s="799">
        <f>MIN(IF(ISERROR(VLOOKUP(AQ$134-$F163,$E$135:$E$165,1,FALSE)),0,AP31*$C$2),MAX((IF(Monthly!AM$4=TRUE,Monthly!AM$13,Monthly!AM$14)*(1+'Attrition Modeling'!$N$8)-IFERROR(AP31/AP98,0)*12)/12*AP98,0))</f>
        <v>0</v>
      </c>
      <c r="AR163" s="799">
        <f>MIN(IF(ISERROR(VLOOKUP(AR$134-$F163,$E$135:$E$165,1,FALSE)),0,AQ31*$C$2),MAX((IF(Monthly!AN$4=TRUE,Monthly!AN$13,Monthly!AN$14)*(1+'Attrition Modeling'!$N$8)-IFERROR(AQ31/AQ98,0)*12)/12*AQ98,0))</f>
        <v>0</v>
      </c>
      <c r="AS163" s="799">
        <f>MIN(IF(ISERROR(VLOOKUP(AS$134-$F163,$E$135:$E$165,1,FALSE)),0,AR31*$C$2),MAX((IF(Monthly!AO$4=TRUE,Monthly!AO$13,Monthly!AO$14)*(1+'Attrition Modeling'!$N$8)-IFERROR(AR31/AR98,0)*12)/12*AR98,0))</f>
        <v>0</v>
      </c>
      <c r="AT163" s="799">
        <f>MIN(IF(ISERROR(VLOOKUP(AT$134-$F163,$E$135:$E$165,1,FALSE)),0,AS31*$C$2),MAX((IF(Monthly!AP$4=TRUE,Monthly!AP$13,Monthly!AP$14)*(1+'Attrition Modeling'!$N$8)-IFERROR(AS31/AS98,0)*12)/12*AS98,0))</f>
        <v>0</v>
      </c>
      <c r="AU163" s="799">
        <f>MIN(IF(ISERROR(VLOOKUP(AU$134-$F163,$E$135:$E$165,1,FALSE)),0,AT31*$C$2),MAX((IF(Monthly!AQ$4=TRUE,Monthly!AQ$13,Monthly!AQ$14)*(1+'Attrition Modeling'!$N$8)-IFERROR(AT31/AT98,0)*12)/12*AT98,0))</f>
        <v>0</v>
      </c>
      <c r="AV163" s="799">
        <f>MIN(IF(ISERROR(VLOOKUP(AV$134-$F163,$E$135:$E$165,1,FALSE)),0,AU31*$C$2),MAX((IF(Monthly!AR$4=TRUE,Monthly!AR$13,Monthly!AR$14)*(1+'Attrition Modeling'!$N$8)-IFERROR(AU31/AU98,0)*12)/12*AU98,0))</f>
        <v>0</v>
      </c>
      <c r="AW163" s="799">
        <f>MIN(IF(ISERROR(VLOOKUP(AW$134-$F163,$E$135:$E$165,1,FALSE)),0,AV31*$C$2),MAX((IF(Monthly!AS$4=TRUE,Monthly!AS$13,Monthly!AS$14)*(1+'Attrition Modeling'!$N$8)-IFERROR(AV31/AV98,0)*12)/12*AV98,0))</f>
        <v>0</v>
      </c>
      <c r="AX163" s="799">
        <f>MIN(IF(ISERROR(VLOOKUP(AX$134-$F163,$E$135:$E$165,1,FALSE)),0,AW31*$C$2),MAX((IF(Monthly!AT$4=TRUE,Monthly!AT$13,Monthly!AT$14)*(1+'Attrition Modeling'!$N$8)-IFERROR(AW31/AW98,0)*12)/12*AW98,0))</f>
        <v>0</v>
      </c>
      <c r="AY163" s="799">
        <f>MIN(IF(ISERROR(VLOOKUP(AY$134-$F163,$E$135:$E$165,1,FALSE)),0,AX31*$C$2),MAX((IF(Monthly!AU$4=TRUE,Monthly!AU$13,Monthly!AU$14)*(1+'Attrition Modeling'!$N$8)-IFERROR(AX31/AX98,0)*12)/12*AX98,0))</f>
        <v>0</v>
      </c>
      <c r="AZ163" s="799">
        <f>MIN(IF(ISERROR(VLOOKUP(AZ$134-$F163,$E$135:$E$165,1,FALSE)),0,AY31*$C$2),MAX((IF(Monthly!AV$4=TRUE,Monthly!AV$13,Monthly!AV$14)*(1+'Attrition Modeling'!$N$8)-IFERROR(AY31/AY98,0)*12)/12*AY98,0))</f>
        <v>0</v>
      </c>
      <c r="BA163" s="799">
        <f>MIN(IF(ISERROR(VLOOKUP(BA$134-$F163,$E$135:$E$165,1,FALSE)),0,AZ31*$C$2),MAX((IF(Monthly!AW$4=TRUE,Monthly!AW$13,Monthly!AW$14)*(1+'Attrition Modeling'!$N$8)-IFERROR(AZ31/AZ98,0)*12)/12*AZ98,0))</f>
        <v>549.27489335604287</v>
      </c>
      <c r="BB163" s="799">
        <f>MIN(IF(ISERROR(VLOOKUP(BB$134-$F163,$E$135:$E$165,1,FALSE)),0,BA31*$C$2),MAX((IF(Monthly!AX$4=TRUE,Monthly!AX$13,Monthly!AX$14)*(1+'Attrition Modeling'!$N$8)-IFERROR(BA31/BA98,0)*12)/12*BA98,0))</f>
        <v>0</v>
      </c>
      <c r="BC163" s="799">
        <f>MIN(IF(ISERROR(VLOOKUP(BC$134-$F163,$E$135:$E$165,1,FALSE)),0,BB31*$C$2),MAX((IF(Monthly!AY$4=TRUE,Monthly!AY$13,Monthly!AY$14)*(1+'Attrition Modeling'!$N$8)-IFERROR(BB31/BB98,0)*12)/12*BB98,0))</f>
        <v>0</v>
      </c>
      <c r="BD163" s="799">
        <f>MIN(IF(ISERROR(VLOOKUP(BD$134-$F163,$E$135:$E$165,1,FALSE)),0,BC31*$C$2),MAX((IF(Monthly!AZ$4=TRUE,Monthly!AZ$13,Monthly!AZ$14)*(1+'Attrition Modeling'!$N$8)-IFERROR(BC31/BC98,0)*12)/12*BC98,0))</f>
        <v>0</v>
      </c>
      <c r="BE163" s="799">
        <f>MIN(IF(ISERROR(VLOOKUP(BE$134-$F163,$E$135:$E$165,1,FALSE)),0,BD31*$C$2),MAX((IF(Monthly!BA$4=TRUE,Monthly!BA$13,Monthly!BA$14)*(1+'Attrition Modeling'!$N$8)-IFERROR(BD31/BD98,0)*12)/12*BD98,0))</f>
        <v>0</v>
      </c>
      <c r="BF163" s="799">
        <f>MIN(IF(ISERROR(VLOOKUP(BF$134-$F163,$E$135:$E$165,1,FALSE)),0,BE31*$C$2),MAX((IF(Monthly!BB$4=TRUE,Monthly!BB$13,Monthly!BB$14)*(1+'Attrition Modeling'!$N$8)-IFERROR(BE31/BE98,0)*12)/12*BE98,0))</f>
        <v>0</v>
      </c>
      <c r="BG163" s="799">
        <f>MIN(IF(ISERROR(VLOOKUP(BG$134-$F163,$E$135:$E$165,1,FALSE)),0,BF31*$C$2),MAX((IF(Monthly!BC$4=TRUE,Monthly!BC$13,Monthly!BC$14)*(1+'Attrition Modeling'!$N$8)-IFERROR(BF31/BF98,0)*12)/12*BF98,0))</f>
        <v>0</v>
      </c>
      <c r="BH163" s="799">
        <f>MIN(IF(ISERROR(VLOOKUP(BH$134-$F163,$E$135:$E$165,1,FALSE)),0,BG31*$C$2),MAX((IF(Monthly!BD$4=TRUE,Monthly!BD$13,Monthly!BD$14)*(1+'Attrition Modeling'!$N$8)-IFERROR(BG31/BG98,0)*12)/12*BG98,0))</f>
        <v>0</v>
      </c>
      <c r="BI163" s="799">
        <f>MIN(IF(ISERROR(VLOOKUP(BI$134-$F163,$E$135:$E$165,1,FALSE)),0,BH31*$C$2),MAX((IF(Monthly!BE$4=TRUE,Monthly!BE$13,Monthly!BE$14)*(1+'Attrition Modeling'!$N$8)-IFERROR(BH31/BH98,0)*12)/12*BH98,0))</f>
        <v>0</v>
      </c>
      <c r="BJ163" s="799">
        <f>MIN(IF(ISERROR(VLOOKUP(BJ$134-$F163,$E$135:$E$165,1,FALSE)),0,BI31*$C$2),MAX((IF(Monthly!BF$4=TRUE,Monthly!BF$13,Monthly!BF$14)*(1+'Attrition Modeling'!$N$8)-IFERROR(BI31/BI98,0)*12)/12*BI98,0))</f>
        <v>0</v>
      </c>
      <c r="BK163" s="799">
        <f>MIN(IF(ISERROR(VLOOKUP(BK$134-$F163,$E$135:$E$165,1,FALSE)),0,BJ31*$C$2),MAX((IF(Monthly!BG$4=TRUE,Monthly!BG$13,Monthly!BG$14)*(1+'Attrition Modeling'!$N$8)-IFERROR(BJ31/BJ98,0)*12)/12*BJ98,0))</f>
        <v>0</v>
      </c>
      <c r="BL163" s="799">
        <f>MIN(IF(ISERROR(VLOOKUP(BL$134-$F163,$E$135:$E$165,1,FALSE)),0,BK31*$C$2),MAX((IF(Monthly!BH$4=TRUE,Monthly!BH$13,Monthly!BH$14)*(1+'Attrition Modeling'!$N$8)-IFERROR(BK31/BK98,0)*12)/12*BK98,0))</f>
        <v>0</v>
      </c>
      <c r="BM163" s="799">
        <f>MIN(IF(ISERROR(VLOOKUP(BM$134-$F163,$E$135:$E$165,1,FALSE)),0,BL31*$C$2),MAX((IF(Monthly!BI$4=TRUE,Monthly!BI$13,Monthly!BI$14)*(1+'Attrition Modeling'!$N$8)-IFERROR(BL31/BL98,0)*12)/12*BL98,0))</f>
        <v>303.72790151680437</v>
      </c>
      <c r="BN163" s="799">
        <f>MIN(IF(ISERROR(VLOOKUP(BN$134-$F163,$E$135:$E$165,1,FALSE)),0,BM31*$C$2),MAX((IF(Monthly!BJ$4=TRUE,Monthly!BJ$13,Monthly!BJ$14)*(1+'Attrition Modeling'!$N$8)-IFERROR(BM31/BM98,0)*12)/12*BM98,0))</f>
        <v>0</v>
      </c>
      <c r="BO163" s="799">
        <f>MIN(IF(ISERROR(VLOOKUP(BO$134-$F163,$E$135:$E$165,1,FALSE)),0,BN31*$C$2),MAX((IF(Monthly!BK$4=TRUE,Monthly!BK$13,Monthly!BK$14)*(1+'Attrition Modeling'!$N$8)-IFERROR(BN31/BN98,0)*12)/12*BN98,0))</f>
        <v>0</v>
      </c>
      <c r="BP163" s="799">
        <f>MIN(IF(ISERROR(VLOOKUP(BP$134-$F163,$E$135:$E$165,1,FALSE)),0,BO31*$C$2),MAX((IF(Monthly!BP$4=TRUE,Monthly!BP$13,Monthly!BP$14)*(1+'Attrition Modeling'!$N$8)-IFERROR(BO31/BO98,0)*12)/12*BO98,0))</f>
        <v>0</v>
      </c>
      <c r="BQ163" s="799">
        <f>MIN(IF(ISERROR(VLOOKUP(BQ$134-$F163,$E$135:$E$165,1,FALSE)),0,BP31*$C$2),MAX((IF(Monthly!BQ$4=TRUE,Monthly!BQ$13,Monthly!BQ$14)*(1+'Attrition Modeling'!$N$8)-IFERROR(BP31/BP98,0)*12)/12*BP98,0))</f>
        <v>0</v>
      </c>
      <c r="BR163" s="799">
        <f>MIN(IF(ISERROR(VLOOKUP(BR$134-$F163,$E$135:$E$165,1,FALSE)),0,BQ31*$C$2),MAX((IF(Monthly!BR$4=TRUE,Monthly!BR$13,Monthly!BR$14)*(1+'Attrition Modeling'!$N$8)-IFERROR(BQ31/BQ98,0)*12)/12*BQ98,0))</f>
        <v>0</v>
      </c>
      <c r="BS163" s="799">
        <f>MIN(IF(ISERROR(VLOOKUP(BS$134-$F163,$E$135:$E$165,1,FALSE)),0,BR31*$C$2),MAX((IF(Monthly!BS$4=TRUE,Monthly!BS$13,Monthly!BS$14)*(1+'Attrition Modeling'!$N$8)-IFERROR(BR31/BR98,0)*12)/12*BR98,0))</f>
        <v>0</v>
      </c>
      <c r="BT163" s="799">
        <f>MIN(IF(ISERROR(VLOOKUP(BT$134-$F163,$E$135:$E$165,1,FALSE)),0,BS31*$C$2),MAX((IF(Monthly!BT$4=TRUE,Monthly!BT$13,Monthly!BT$14)*(1+'Attrition Modeling'!$N$8)-IFERROR(BS31/BS98,0)*12)/12*BS98,0))</f>
        <v>0</v>
      </c>
      <c r="BU163" s="799">
        <f>MIN(IF(ISERROR(VLOOKUP(BU$134-$F163,$E$135:$E$165,1,FALSE)),0,BT31*$C$2),MAX((IF(Monthly!BU$4=TRUE,Monthly!BU$13,Monthly!BU$14)*(1+'Attrition Modeling'!$N$8)-IFERROR(BT31/BT98,0)*12)/12*BT98,0))</f>
        <v>0</v>
      </c>
    </row>
    <row r="164" spans="1:73" ht="14.25" customHeight="1" x14ac:dyDescent="0.2">
      <c r="E164" s="11">
        <f t="shared" si="13"/>
        <v>354</v>
      </c>
      <c r="F164" s="11">
        <f t="shared" si="14"/>
        <v>29</v>
      </c>
      <c r="G164" s="799"/>
      <c r="H164" s="799">
        <f>MIN(IF(ISERROR(VLOOKUP(H$134-$F164,$E$135:$E$165,1,FALSE)),0,G32*$C$2),MAX((IF(Monthly!D$4=TRUE,Monthly!D$13,Monthly!D$14)*(1+'Attrition Modeling'!$N$8)-IFERROR(G32/G99,0)*12)/12*G99,0))</f>
        <v>0</v>
      </c>
      <c r="I164" s="799">
        <f>MIN(IF(ISERROR(VLOOKUP(I$134-$F164,$E$135:$E$165,1,FALSE)),0,H32*$C$2),MAX((IF(Monthly!E$4=TRUE,Monthly!E$13,Monthly!E$14)*(1+'Attrition Modeling'!$N$8)-IFERROR(H32/H99,0)*12)/12*H99,0))</f>
        <v>0</v>
      </c>
      <c r="J164" s="799">
        <f>MIN(IF(ISERROR(VLOOKUP(J$134-$F164,$E$135:$E$165,1,FALSE)),0,I32*$C$2),MAX((IF(Monthly!F$4=TRUE,Monthly!F$13,Monthly!F$14)*(1+'Attrition Modeling'!$N$8)-IFERROR(I32/I99,0)*12)/12*I99,0))</f>
        <v>0</v>
      </c>
      <c r="K164" s="799">
        <f>MIN(IF(ISERROR(VLOOKUP(K$134-$F164,$E$135:$E$165,1,FALSE)),0,J32*$C$2),MAX((IF(Monthly!G$4=TRUE,Monthly!G$13,Monthly!G$14)*(1+'Attrition Modeling'!$N$8)-IFERROR(J32/J99,0)*12)/12*J99,0))</f>
        <v>0</v>
      </c>
      <c r="L164" s="799">
        <f>MIN(IF(ISERROR(VLOOKUP(L$134-$F164,$E$135:$E$165,1,FALSE)),0,K32*$C$2),MAX((IF(Monthly!H$4=TRUE,Monthly!H$13,Monthly!H$14)*(1+'Attrition Modeling'!$N$8)-IFERROR(K32/K99,0)*12)/12*K99,0))</f>
        <v>0</v>
      </c>
      <c r="M164" s="799">
        <f>MIN(IF(ISERROR(VLOOKUP(M$134-$F164,$E$135:$E$165,1,FALSE)),0,L32*$C$2),MAX((IF(Monthly!I$4=TRUE,Monthly!I$13,Monthly!I$14)*(1+'Attrition Modeling'!$N$8)-IFERROR(L32/L99,0)*12)/12*L99,0))</f>
        <v>0</v>
      </c>
      <c r="N164" s="799">
        <f>MIN(IF(ISERROR(VLOOKUP(N$134-$F164,$E$135:$E$165,1,FALSE)),0,M32*$C$2),MAX((IF(Monthly!J$4=TRUE,Monthly!J$13,Monthly!J$14)*(1+'Attrition Modeling'!$N$8)-IFERROR(M32/M99,0)*12)/12*M99,0))</f>
        <v>0</v>
      </c>
      <c r="O164" s="799">
        <f>MIN(IF(ISERROR(VLOOKUP(O$134-$F164,$E$135:$E$165,1,FALSE)),0,N32*$C$2),MAX((IF(Monthly!K$4=TRUE,Monthly!K$13,Monthly!K$14)*(1+'Attrition Modeling'!$N$8)-IFERROR(N32/N99,0)*12)/12*N99,0))</f>
        <v>0</v>
      </c>
      <c r="P164" s="799">
        <f>MIN(IF(ISERROR(VLOOKUP(P$134-$F164,$E$135:$E$165,1,FALSE)),0,O32*$C$2),MAX((IF(Monthly!L$4=TRUE,Monthly!L$13,Monthly!L$14)*(1+'Attrition Modeling'!$N$8)-IFERROR(O32/O99,0)*12)/12*O99,0))</f>
        <v>0</v>
      </c>
      <c r="Q164" s="799">
        <f>MIN(IF(ISERROR(VLOOKUP(Q$134-$F164,$E$135:$E$165,1,FALSE)),0,P32*$C$2),MAX((IF(Monthly!M$4=TRUE,Monthly!M$13,Monthly!M$14)*(1+'Attrition Modeling'!$N$8)-IFERROR(P32/P99,0)*12)/12*P99,0))</f>
        <v>0</v>
      </c>
      <c r="R164" s="799">
        <f>MIN(IF(ISERROR(VLOOKUP(R$134-$F164,$E$135:$E$165,1,FALSE)),0,Q32*$C$2),MAX((IF(Monthly!N$4=TRUE,Monthly!N$13,Monthly!N$14)*(1+'Attrition Modeling'!$N$8)-IFERROR(Q32/Q99,0)*12)/12*Q99,0))</f>
        <v>0</v>
      </c>
      <c r="S164" s="799">
        <f>MIN(IF(ISERROR(VLOOKUP(S$134-$F164,$E$135:$E$165,1,FALSE)),0,R32*$C$2),MAX((IF(Monthly!O$4=TRUE,Monthly!O$13,Monthly!O$14)*(1+'Attrition Modeling'!$N$8)-IFERROR(R32/R99,0)*12)/12*R99,0))</f>
        <v>0</v>
      </c>
      <c r="T164" s="799">
        <f>MIN(IF(ISERROR(VLOOKUP(T$134-$F164,$E$135:$E$165,1,FALSE)),0,S32*$C$2),MAX((IF(Monthly!P$4=TRUE,Monthly!P$13,Monthly!P$14)*(1+'Attrition Modeling'!$N$8)-IFERROR(S32/S99,0)*12)/12*S99,0))</f>
        <v>0</v>
      </c>
      <c r="U164" s="799">
        <f>MIN(IF(ISERROR(VLOOKUP(U$134-$F164,$E$135:$E$165,1,FALSE)),0,T32*$C$2),MAX((IF(Monthly!Q$4=TRUE,Monthly!Q$13,Monthly!Q$14)*(1+'Attrition Modeling'!$N$8)-IFERROR(T32/T99,0)*12)/12*T99,0))</f>
        <v>0</v>
      </c>
      <c r="V164" s="799">
        <f>MIN(IF(ISERROR(VLOOKUP(V$134-$F164,$E$135:$E$165,1,FALSE)),0,U32*$C$2),MAX((IF(Monthly!R$4=TRUE,Monthly!R$13,Monthly!R$14)*(1+'Attrition Modeling'!$N$8)-IFERROR(U32/U99,0)*12)/12*U99,0))</f>
        <v>0</v>
      </c>
      <c r="W164" s="799">
        <f>MIN(IF(ISERROR(VLOOKUP(W$134-$F164,$E$135:$E$165,1,FALSE)),0,V32*$C$2),MAX((IF(Monthly!S$4=TRUE,Monthly!S$13,Monthly!S$14)*(1+'Attrition Modeling'!$N$8)-IFERROR(V32/V99,0)*12)/12*V99,0))</f>
        <v>0</v>
      </c>
      <c r="X164" s="799">
        <f>MIN(IF(ISERROR(VLOOKUP(X$134-$F164,$E$135:$E$165,1,FALSE)),0,W32*$C$2),MAX((IF(Monthly!T$4=TRUE,Monthly!T$13,Monthly!T$14)*(1+'Attrition Modeling'!$N$8)-IFERROR(W32/W99,0)*12)/12*W99,0))</f>
        <v>0</v>
      </c>
      <c r="Y164" s="799">
        <f>MIN(IF(ISERROR(VLOOKUP(Y$134-$F164,$E$135:$E$165,1,FALSE)),0,X32*$C$2),MAX((IF(Monthly!U$4=TRUE,Monthly!U$13,Monthly!U$14)*(1+'Attrition Modeling'!$N$8)-IFERROR(X32/X99,0)*12)/12*X99,0))</f>
        <v>0</v>
      </c>
      <c r="Z164" s="799">
        <f>MIN(IF(ISERROR(VLOOKUP(Z$134-$F164,$E$135:$E$165,1,FALSE)),0,Y32*$C$2),MAX((IF(Monthly!V$4=TRUE,Monthly!V$13,Monthly!V$14)*(1+'Attrition Modeling'!$N$8)-IFERROR(Y32/Y99,0)*12)/12*Y99,0))</f>
        <v>0</v>
      </c>
      <c r="AA164" s="799">
        <f>MIN(IF(ISERROR(VLOOKUP(AA$134-$F164,$E$135:$E$165,1,FALSE)),0,Z32*$C$2),MAX((IF(Monthly!W$4=TRUE,Monthly!W$13,Monthly!W$14)*(1+'Attrition Modeling'!$N$8)-IFERROR(Z32/Z99,0)*12)/12*Z99,0))</f>
        <v>0</v>
      </c>
      <c r="AB164" s="799">
        <f>MIN(IF(ISERROR(VLOOKUP(AB$134-$F164,$E$135:$E$165,1,FALSE)),0,AA32*$C$2),MAX((IF(Monthly!X$4=TRUE,Monthly!X$13,Monthly!X$14)*(1+'Attrition Modeling'!$N$8)-IFERROR(AA32/AA99,0)*12)/12*AA99,0))</f>
        <v>0</v>
      </c>
      <c r="AC164" s="799">
        <f>MIN(IF(ISERROR(VLOOKUP(AC$134-$F164,$E$135:$E$165,1,FALSE)),0,AB32*$C$2),MAX((IF(Monthly!Y$4=TRUE,Monthly!Y$13,Monthly!Y$14)*(1+'Attrition Modeling'!$N$8)-IFERROR(AB32/AB99,0)*12)/12*AB99,0))</f>
        <v>0</v>
      </c>
      <c r="AD164" s="799">
        <f>MIN(IF(ISERROR(VLOOKUP(AD$134-$F164,$E$135:$E$165,1,FALSE)),0,AC32*$C$2),MAX((IF(Monthly!Z$4=TRUE,Monthly!Z$13,Monthly!Z$14)*(1+'Attrition Modeling'!$N$8)-IFERROR(AC32/AC99,0)*12)/12*AC99,0))</f>
        <v>0</v>
      </c>
      <c r="AE164" s="799">
        <f>MIN(IF(ISERROR(VLOOKUP(AE$134-$F164,$E$135:$E$165,1,FALSE)),0,AD32*$C$2),MAX((IF(Monthly!AA$4=TRUE,Monthly!AA$13,Monthly!AA$14)*(1+'Attrition Modeling'!$N$8)-IFERROR(AD32/AD99,0)*12)/12*AD99,0))</f>
        <v>0</v>
      </c>
      <c r="AF164" s="799">
        <f>MIN(IF(ISERROR(VLOOKUP(AF$134-$F164,$E$135:$E$165,1,FALSE)),0,AE32*$C$2),MAX((IF(Monthly!AB$4=TRUE,Monthly!AB$13,Monthly!AB$14)*(1+'Attrition Modeling'!$N$8)-IFERROR(AE32/AE99,0)*12)/12*AE99,0))</f>
        <v>0</v>
      </c>
      <c r="AG164" s="799">
        <f>MIN(IF(ISERROR(VLOOKUP(AG$134-$F164,$E$135:$E$165,1,FALSE)),0,AF32*$C$2),MAX((IF(Monthly!AC$4=TRUE,Monthly!AC$13,Monthly!AC$14)*(1+'Attrition Modeling'!$N$8)-IFERROR(AF32/AF99,0)*12)/12*AF99,0))</f>
        <v>0</v>
      </c>
      <c r="AH164" s="799">
        <f>MIN(IF(ISERROR(VLOOKUP(AH$134-$F164,$E$135:$E$165,1,FALSE)),0,AG32*$C$2),MAX((IF(Monthly!AD$4=TRUE,Monthly!AD$13,Monthly!AD$14)*(1+'Attrition Modeling'!$N$8)-IFERROR(AG32/AG99,0)*12)/12*AG99,0))</f>
        <v>0</v>
      </c>
      <c r="AI164" s="799">
        <f>MIN(IF(ISERROR(VLOOKUP(AI$134-$F164,$E$135:$E$165,1,FALSE)),0,AH32*$C$2),MAX((IF(Monthly!AE$4=TRUE,Monthly!AE$13,Monthly!AE$14)*(1+'Attrition Modeling'!$N$8)-IFERROR(AH32/AH99,0)*12)/12*AH99,0))</f>
        <v>0</v>
      </c>
      <c r="AJ164" s="799">
        <f>MIN(IF(ISERROR(VLOOKUP(AJ$134-$F164,$E$135:$E$165,1,FALSE)),0,AI32*$C$2),MAX((IF(Monthly!AF$4=TRUE,Monthly!AF$13,Monthly!AF$14)*(1+'Attrition Modeling'!$N$8)-IFERROR(AI32/AI99,0)*12)/12*AI99,0))</f>
        <v>0</v>
      </c>
      <c r="AK164" s="799">
        <f>MIN(IF(ISERROR(VLOOKUP(AK$134-$F164,$E$135:$E$165,1,FALSE)),0,AJ32*$C$2),MAX((IF(Monthly!AG$4=TRUE,Monthly!AG$13,Monthly!AG$14)*(1+'Attrition Modeling'!$N$8)-IFERROR(AJ32/AJ99,0)*12)/12*AJ99,0))</f>
        <v>0</v>
      </c>
      <c r="AL164" s="799">
        <f>MIN(IF(ISERROR(VLOOKUP(AL$134-$F164,$E$135:$E$165,1,FALSE)),0,AK32*$C$2),MAX((IF(Monthly!AH$4=TRUE,Monthly!AH$13,Monthly!AH$14)*(1+'Attrition Modeling'!$N$8)-IFERROR(AK32/AK99,0)*12)/12*AK99,0))</f>
        <v>0</v>
      </c>
      <c r="AM164" s="799">
        <f>MIN(IF(ISERROR(VLOOKUP(AM$134-$F164,$E$135:$E$165,1,FALSE)),0,AL32*$C$2),MAX((IF(Monthly!AI$4=TRUE,Monthly!AI$13,Monthly!AI$14)*(1+'Attrition Modeling'!$N$8)-IFERROR(AL32/AL99,0)*12)/12*AL99,0))</f>
        <v>0</v>
      </c>
      <c r="AN164" s="799">
        <f>MIN(IF(ISERROR(VLOOKUP(AN$134-$F164,$E$135:$E$165,1,FALSE)),0,AM32*$C$2),MAX((IF(Monthly!AJ$4=TRUE,Monthly!AJ$13,Monthly!AJ$14)*(1+'Attrition Modeling'!$N$8)-IFERROR(AM32/AM99,0)*12)/12*AM99,0))</f>
        <v>0</v>
      </c>
      <c r="AO164" s="799">
        <f>MIN(IF(ISERROR(VLOOKUP(AO$134-$F164,$E$135:$E$165,1,FALSE)),0,AN32*$C$2),MAX((IF(Monthly!AK$4=TRUE,Monthly!AK$13,Monthly!AK$14)*(1+'Attrition Modeling'!$N$8)-IFERROR(AN32/AN99,0)*12)/12*AN99,0))</f>
        <v>0</v>
      </c>
      <c r="AP164" s="799">
        <f>MIN(IF(ISERROR(VLOOKUP(AP$134-$F164,$E$135:$E$165,1,FALSE)),0,AO32*$C$2),MAX((IF(Monthly!AL$4=TRUE,Monthly!AL$13,Monthly!AL$14)*(1+'Attrition Modeling'!$N$8)-IFERROR(AO32/AO99,0)*12)/12*AO99,0))</f>
        <v>941.84349306065451</v>
      </c>
      <c r="AQ164" s="799">
        <f>MIN(IF(ISERROR(VLOOKUP(AQ$134-$F164,$E$135:$E$165,1,FALSE)),0,AP32*$C$2),MAX((IF(Monthly!AM$4=TRUE,Monthly!AM$13,Monthly!AM$14)*(1+'Attrition Modeling'!$N$8)-IFERROR(AP32/AP99,0)*12)/12*AP99,0))</f>
        <v>0</v>
      </c>
      <c r="AR164" s="799">
        <f>MIN(IF(ISERROR(VLOOKUP(AR$134-$F164,$E$135:$E$165,1,FALSE)),0,AQ32*$C$2),MAX((IF(Monthly!AN$4=TRUE,Monthly!AN$13,Monthly!AN$14)*(1+'Attrition Modeling'!$N$8)-IFERROR(AQ32/AQ99,0)*12)/12*AQ99,0))</f>
        <v>0</v>
      </c>
      <c r="AS164" s="799">
        <f>MIN(IF(ISERROR(VLOOKUP(AS$134-$F164,$E$135:$E$165,1,FALSE)),0,AR32*$C$2),MAX((IF(Monthly!AO$4=TRUE,Monthly!AO$13,Monthly!AO$14)*(1+'Attrition Modeling'!$N$8)-IFERROR(AR32/AR99,0)*12)/12*AR99,0))</f>
        <v>0</v>
      </c>
      <c r="AT164" s="799">
        <f>MIN(IF(ISERROR(VLOOKUP(AT$134-$F164,$E$135:$E$165,1,FALSE)),0,AS32*$C$2),MAX((IF(Monthly!AP$4=TRUE,Monthly!AP$13,Monthly!AP$14)*(1+'Attrition Modeling'!$N$8)-IFERROR(AS32/AS99,0)*12)/12*AS99,0))</f>
        <v>0</v>
      </c>
      <c r="AU164" s="799">
        <f>MIN(IF(ISERROR(VLOOKUP(AU$134-$F164,$E$135:$E$165,1,FALSE)),0,AT32*$C$2),MAX((IF(Monthly!AQ$4=TRUE,Monthly!AQ$13,Monthly!AQ$14)*(1+'Attrition Modeling'!$N$8)-IFERROR(AT32/AT99,0)*12)/12*AT99,0))</f>
        <v>0</v>
      </c>
      <c r="AV164" s="799">
        <f>MIN(IF(ISERROR(VLOOKUP(AV$134-$F164,$E$135:$E$165,1,FALSE)),0,AU32*$C$2),MAX((IF(Monthly!AR$4=TRUE,Monthly!AR$13,Monthly!AR$14)*(1+'Attrition Modeling'!$N$8)-IFERROR(AU32/AU99,0)*12)/12*AU99,0))</f>
        <v>0</v>
      </c>
      <c r="AW164" s="799">
        <f>MIN(IF(ISERROR(VLOOKUP(AW$134-$F164,$E$135:$E$165,1,FALSE)),0,AV32*$C$2),MAX((IF(Monthly!AS$4=TRUE,Monthly!AS$13,Monthly!AS$14)*(1+'Attrition Modeling'!$N$8)-IFERROR(AV32/AV99,0)*12)/12*AV99,0))</f>
        <v>0</v>
      </c>
      <c r="AX164" s="799">
        <f>MIN(IF(ISERROR(VLOOKUP(AX$134-$F164,$E$135:$E$165,1,FALSE)),0,AW32*$C$2),MAX((IF(Monthly!AT$4=TRUE,Monthly!AT$13,Monthly!AT$14)*(1+'Attrition Modeling'!$N$8)-IFERROR(AW32/AW99,0)*12)/12*AW99,0))</f>
        <v>0</v>
      </c>
      <c r="AY164" s="799">
        <f>MIN(IF(ISERROR(VLOOKUP(AY$134-$F164,$E$135:$E$165,1,FALSE)),0,AX32*$C$2),MAX((IF(Monthly!AU$4=TRUE,Monthly!AU$13,Monthly!AU$14)*(1+'Attrition Modeling'!$N$8)-IFERROR(AX32/AX99,0)*12)/12*AX99,0))</f>
        <v>0</v>
      </c>
      <c r="AZ164" s="799">
        <f>MIN(IF(ISERROR(VLOOKUP(AZ$134-$F164,$E$135:$E$165,1,FALSE)),0,AY32*$C$2),MAX((IF(Monthly!AV$4=TRUE,Monthly!AV$13,Monthly!AV$14)*(1+'Attrition Modeling'!$N$8)-IFERROR(AY32/AY99,0)*12)/12*AY99,0))</f>
        <v>0</v>
      </c>
      <c r="BA164" s="799">
        <f>MIN(IF(ISERROR(VLOOKUP(BA$134-$F164,$E$135:$E$165,1,FALSE)),0,AZ32*$C$2),MAX((IF(Monthly!AW$4=TRUE,Monthly!AW$13,Monthly!AW$14)*(1+'Attrition Modeling'!$N$8)-IFERROR(AZ32/AZ99,0)*12)/12*AZ99,0))</f>
        <v>0</v>
      </c>
      <c r="BB164" s="799">
        <f>MIN(IF(ISERROR(VLOOKUP(BB$134-$F164,$E$135:$E$165,1,FALSE)),0,BA32*$C$2),MAX((IF(Monthly!AX$4=TRUE,Monthly!AX$13,Monthly!AX$14)*(1+'Attrition Modeling'!$N$8)-IFERROR(BA32/BA99,0)*12)/12*BA99,0))</f>
        <v>500.99355876962409</v>
      </c>
      <c r="BC164" s="799">
        <f>MIN(IF(ISERROR(VLOOKUP(BC$134-$F164,$E$135:$E$165,1,FALSE)),0,BB32*$C$2),MAX((IF(Monthly!AY$4=TRUE,Monthly!AY$13,Monthly!AY$14)*(1+'Attrition Modeling'!$N$8)-IFERROR(BB32/BB99,0)*12)/12*BB99,0))</f>
        <v>0</v>
      </c>
      <c r="BD164" s="799">
        <f>MIN(IF(ISERROR(VLOOKUP(BD$134-$F164,$E$135:$E$165,1,FALSE)),0,BC32*$C$2),MAX((IF(Monthly!AZ$4=TRUE,Monthly!AZ$13,Monthly!AZ$14)*(1+'Attrition Modeling'!$N$8)-IFERROR(BC32/BC99,0)*12)/12*BC99,0))</f>
        <v>0</v>
      </c>
      <c r="BE164" s="799">
        <f>MIN(IF(ISERROR(VLOOKUP(BE$134-$F164,$E$135:$E$165,1,FALSE)),0,BD32*$C$2),MAX((IF(Monthly!BA$4=TRUE,Monthly!BA$13,Monthly!BA$14)*(1+'Attrition Modeling'!$N$8)-IFERROR(BD32/BD99,0)*12)/12*BD99,0))</f>
        <v>0</v>
      </c>
      <c r="BF164" s="799">
        <f>MIN(IF(ISERROR(VLOOKUP(BF$134-$F164,$E$135:$E$165,1,FALSE)),0,BE32*$C$2),MAX((IF(Monthly!BB$4=TRUE,Monthly!BB$13,Monthly!BB$14)*(1+'Attrition Modeling'!$N$8)-IFERROR(BE32/BE99,0)*12)/12*BE99,0))</f>
        <v>0</v>
      </c>
      <c r="BG164" s="799">
        <f>MIN(IF(ISERROR(VLOOKUP(BG$134-$F164,$E$135:$E$165,1,FALSE)),0,BF32*$C$2),MAX((IF(Monthly!BC$4=TRUE,Monthly!BC$13,Monthly!BC$14)*(1+'Attrition Modeling'!$N$8)-IFERROR(BF32/BF99,0)*12)/12*BF99,0))</f>
        <v>0</v>
      </c>
      <c r="BH164" s="799">
        <f>MIN(IF(ISERROR(VLOOKUP(BH$134-$F164,$E$135:$E$165,1,FALSE)),0,BG32*$C$2),MAX((IF(Monthly!BD$4=TRUE,Monthly!BD$13,Monthly!BD$14)*(1+'Attrition Modeling'!$N$8)-IFERROR(BG32/BG99,0)*12)/12*BG99,0))</f>
        <v>0</v>
      </c>
      <c r="BI164" s="799">
        <f>MIN(IF(ISERROR(VLOOKUP(BI$134-$F164,$E$135:$E$165,1,FALSE)),0,BH32*$C$2),MAX((IF(Monthly!BE$4=TRUE,Monthly!BE$13,Monthly!BE$14)*(1+'Attrition Modeling'!$N$8)-IFERROR(BH32/BH99,0)*12)/12*BH99,0))</f>
        <v>0</v>
      </c>
      <c r="BJ164" s="799">
        <f>MIN(IF(ISERROR(VLOOKUP(BJ$134-$F164,$E$135:$E$165,1,FALSE)),0,BI32*$C$2),MAX((IF(Monthly!BF$4=TRUE,Monthly!BF$13,Monthly!BF$14)*(1+'Attrition Modeling'!$N$8)-IFERROR(BI32/BI99,0)*12)/12*BI99,0))</f>
        <v>0</v>
      </c>
      <c r="BK164" s="799">
        <f>MIN(IF(ISERROR(VLOOKUP(BK$134-$F164,$E$135:$E$165,1,FALSE)),0,BJ32*$C$2),MAX((IF(Monthly!BG$4=TRUE,Monthly!BG$13,Monthly!BG$14)*(1+'Attrition Modeling'!$N$8)-IFERROR(BJ32/BJ99,0)*12)/12*BJ99,0))</f>
        <v>0</v>
      </c>
      <c r="BL164" s="799">
        <f>MIN(IF(ISERROR(VLOOKUP(BL$134-$F164,$E$135:$E$165,1,FALSE)),0,BK32*$C$2),MAX((IF(Monthly!BH$4=TRUE,Monthly!BH$13,Monthly!BH$14)*(1+'Attrition Modeling'!$N$8)-IFERROR(BK32/BK99,0)*12)/12*BK99,0))</f>
        <v>0</v>
      </c>
      <c r="BM164" s="799">
        <f>MIN(IF(ISERROR(VLOOKUP(BM$134-$F164,$E$135:$E$165,1,FALSE)),0,BL32*$C$2),MAX((IF(Monthly!BI$4=TRUE,Monthly!BI$13,Monthly!BI$14)*(1+'Attrition Modeling'!$N$8)-IFERROR(BL32/BL99,0)*12)/12*BL99,0))</f>
        <v>0</v>
      </c>
      <c r="BN164" s="799">
        <f>MIN(IF(ISERROR(VLOOKUP(BN$134-$F164,$E$135:$E$165,1,FALSE)),0,BM32*$C$2),MAX((IF(Monthly!BJ$4=TRUE,Monthly!BJ$13,Monthly!BJ$14)*(1+'Attrition Modeling'!$N$8)-IFERROR(BM32/BM99,0)*12)/12*BM99,0))</f>
        <v>157.11934142741441</v>
      </c>
      <c r="BO164" s="799">
        <f>MIN(IF(ISERROR(VLOOKUP(BO$134-$F164,$E$135:$E$165,1,FALSE)),0,BN32*$C$2),MAX((IF(Monthly!BK$4=TRUE,Monthly!BK$13,Monthly!BK$14)*(1+'Attrition Modeling'!$N$8)-IFERROR(BN32/BN99,0)*12)/12*BN99,0))</f>
        <v>0</v>
      </c>
      <c r="BP164" s="799">
        <f>MIN(IF(ISERROR(VLOOKUP(BP$134-$F164,$E$135:$E$165,1,FALSE)),0,BO32*$C$2),MAX((IF(Monthly!BP$4=TRUE,Monthly!BP$13,Monthly!BP$14)*(1+'Attrition Modeling'!$N$8)-IFERROR(BO32/BO99,0)*12)/12*BO99,0))</f>
        <v>0</v>
      </c>
      <c r="BQ164" s="799">
        <f>MIN(IF(ISERROR(VLOOKUP(BQ$134-$F164,$E$135:$E$165,1,FALSE)),0,BP32*$C$2),MAX((IF(Monthly!BQ$4=TRUE,Monthly!BQ$13,Monthly!BQ$14)*(1+'Attrition Modeling'!$N$8)-IFERROR(BP32/BP99,0)*12)/12*BP99,0))</f>
        <v>0</v>
      </c>
      <c r="BR164" s="799">
        <f>MIN(IF(ISERROR(VLOOKUP(BR$134-$F164,$E$135:$E$165,1,FALSE)),0,BQ32*$C$2),MAX((IF(Monthly!BR$4=TRUE,Monthly!BR$13,Monthly!BR$14)*(1+'Attrition Modeling'!$N$8)-IFERROR(BQ32/BQ99,0)*12)/12*BQ99,0))</f>
        <v>0</v>
      </c>
      <c r="BS164" s="799">
        <f>MIN(IF(ISERROR(VLOOKUP(BS$134-$F164,$E$135:$E$165,1,FALSE)),0,BR32*$C$2),MAX((IF(Monthly!BS$4=TRUE,Monthly!BS$13,Monthly!BS$14)*(1+'Attrition Modeling'!$N$8)-IFERROR(BR32/BR99,0)*12)/12*BR99,0))</f>
        <v>0</v>
      </c>
      <c r="BT164" s="799">
        <f>MIN(IF(ISERROR(VLOOKUP(BT$134-$F164,$E$135:$E$165,1,FALSE)),0,BS32*$C$2),MAX((IF(Monthly!BT$4=TRUE,Monthly!BT$13,Monthly!BT$14)*(1+'Attrition Modeling'!$N$8)-IFERROR(BS32/BS99,0)*12)/12*BS99,0))</f>
        <v>0</v>
      </c>
      <c r="BU164" s="799">
        <f>MIN(IF(ISERROR(VLOOKUP(BU$134-$F164,$E$135:$E$165,1,FALSE)),0,BT32*$C$2),MAX((IF(Monthly!BU$4=TRUE,Monthly!BU$13,Monthly!BU$14)*(1+'Attrition Modeling'!$N$8)-IFERROR(BT32/BT99,0)*12)/12*BT99,0))</f>
        <v>0</v>
      </c>
    </row>
    <row r="165" spans="1:73" ht="14.25" customHeight="1" x14ac:dyDescent="0.2">
      <c r="E165" s="11">
        <f t="shared" si="13"/>
        <v>366</v>
      </c>
      <c r="F165" s="11">
        <f t="shared" si="14"/>
        <v>30</v>
      </c>
      <c r="G165" s="799"/>
      <c r="H165" s="799">
        <f>MIN(IF(ISERROR(VLOOKUP(H$134-$F165,$E$135:$E$165,1,FALSE)),0,G33*$C$2),MAX((IF(Monthly!D$4=TRUE,Monthly!D$13,Monthly!D$14)*(1+'Attrition Modeling'!$N$8)-IFERROR(G33/G100,0)*12)/12*G100,0))</f>
        <v>0</v>
      </c>
      <c r="I165" s="799">
        <f>MIN(IF(ISERROR(VLOOKUP(I$134-$F165,$E$135:$E$165,1,FALSE)),0,H33*$C$2),MAX((IF(Monthly!E$4=TRUE,Monthly!E$13,Monthly!E$14)*(1+'Attrition Modeling'!$N$8)-IFERROR(H33/H100,0)*12)/12*H100,0))</f>
        <v>0</v>
      </c>
      <c r="J165" s="799">
        <f>MIN(IF(ISERROR(VLOOKUP(J$134-$F165,$E$135:$E$165,1,FALSE)),0,I33*$C$2),MAX((IF(Monthly!F$4=TRUE,Monthly!F$13,Monthly!F$14)*(1+'Attrition Modeling'!$N$8)-IFERROR(I33/I100,0)*12)/12*I100,0))</f>
        <v>0</v>
      </c>
      <c r="K165" s="799">
        <f>MIN(IF(ISERROR(VLOOKUP(K$134-$F165,$E$135:$E$165,1,FALSE)),0,J33*$C$2),MAX((IF(Monthly!G$4=TRUE,Monthly!G$13,Monthly!G$14)*(1+'Attrition Modeling'!$N$8)-IFERROR(J33/J100,0)*12)/12*J100,0))</f>
        <v>0</v>
      </c>
      <c r="L165" s="799">
        <f>MIN(IF(ISERROR(VLOOKUP(L$134-$F165,$E$135:$E$165,1,FALSE)),0,K33*$C$2),MAX((IF(Monthly!H$4=TRUE,Monthly!H$13,Monthly!H$14)*(1+'Attrition Modeling'!$N$8)-IFERROR(K33/K100,0)*12)/12*K100,0))</f>
        <v>0</v>
      </c>
      <c r="M165" s="799">
        <f>MIN(IF(ISERROR(VLOOKUP(M$134-$F165,$E$135:$E$165,1,FALSE)),0,L33*$C$2),MAX((IF(Monthly!I$4=TRUE,Monthly!I$13,Monthly!I$14)*(1+'Attrition Modeling'!$N$8)-IFERROR(L33/L100,0)*12)/12*L100,0))</f>
        <v>0</v>
      </c>
      <c r="N165" s="799">
        <f>MIN(IF(ISERROR(VLOOKUP(N$134-$F165,$E$135:$E$165,1,FALSE)),0,M33*$C$2),MAX((IF(Monthly!J$4=TRUE,Monthly!J$13,Monthly!J$14)*(1+'Attrition Modeling'!$N$8)-IFERROR(M33/M100,0)*12)/12*M100,0))</f>
        <v>0</v>
      </c>
      <c r="O165" s="799">
        <f>MIN(IF(ISERROR(VLOOKUP(O$134-$F165,$E$135:$E$165,1,FALSE)),0,N33*$C$2),MAX((IF(Monthly!K$4=TRUE,Monthly!K$13,Monthly!K$14)*(1+'Attrition Modeling'!$N$8)-IFERROR(N33/N100,0)*12)/12*N100,0))</f>
        <v>0</v>
      </c>
      <c r="P165" s="799">
        <f>MIN(IF(ISERROR(VLOOKUP(P$134-$F165,$E$135:$E$165,1,FALSE)),0,O33*$C$2),MAX((IF(Monthly!L$4=TRUE,Monthly!L$13,Monthly!L$14)*(1+'Attrition Modeling'!$N$8)-IFERROR(O33/O100,0)*12)/12*O100,0))</f>
        <v>0</v>
      </c>
      <c r="Q165" s="799">
        <f>MIN(IF(ISERROR(VLOOKUP(Q$134-$F165,$E$135:$E$165,1,FALSE)),0,P33*$C$2),MAX((IF(Monthly!M$4=TRUE,Monthly!M$13,Monthly!M$14)*(1+'Attrition Modeling'!$N$8)-IFERROR(P33/P100,0)*12)/12*P100,0))</f>
        <v>0</v>
      </c>
      <c r="R165" s="799">
        <f>MIN(IF(ISERROR(VLOOKUP(R$134-$F165,$E$135:$E$165,1,FALSE)),0,Q33*$C$2),MAX((IF(Monthly!N$4=TRUE,Monthly!N$13,Monthly!N$14)*(1+'Attrition Modeling'!$N$8)-IFERROR(Q33/Q100,0)*12)/12*Q100,0))</f>
        <v>0</v>
      </c>
      <c r="S165" s="799">
        <f>MIN(IF(ISERROR(VLOOKUP(S$134-$F165,$E$135:$E$165,1,FALSE)),0,R33*$C$2),MAX((IF(Monthly!O$4=TRUE,Monthly!O$13,Monthly!O$14)*(1+'Attrition Modeling'!$N$8)-IFERROR(R33/R100,0)*12)/12*R100,0))</f>
        <v>0</v>
      </c>
      <c r="T165" s="799">
        <f>MIN(IF(ISERROR(VLOOKUP(T$134-$F165,$E$135:$E$165,1,FALSE)),0,S33*$C$2),MAX((IF(Monthly!P$4=TRUE,Monthly!P$13,Monthly!P$14)*(1+'Attrition Modeling'!$N$8)-IFERROR(S33/S100,0)*12)/12*S100,0))</f>
        <v>0</v>
      </c>
      <c r="U165" s="799">
        <f>MIN(IF(ISERROR(VLOOKUP(U$134-$F165,$E$135:$E$165,1,FALSE)),0,T33*$C$2),MAX((IF(Monthly!Q$4=TRUE,Monthly!Q$13,Monthly!Q$14)*(1+'Attrition Modeling'!$N$8)-IFERROR(T33/T100,0)*12)/12*T100,0))</f>
        <v>0</v>
      </c>
      <c r="V165" s="799">
        <f>MIN(IF(ISERROR(VLOOKUP(V$134-$F165,$E$135:$E$165,1,FALSE)),0,U33*$C$2),MAX((IF(Monthly!R$4=TRUE,Monthly!R$13,Monthly!R$14)*(1+'Attrition Modeling'!$N$8)-IFERROR(U33/U100,0)*12)/12*U100,0))</f>
        <v>0</v>
      </c>
      <c r="W165" s="799">
        <f>MIN(IF(ISERROR(VLOOKUP(W$134-$F165,$E$135:$E$165,1,FALSE)),0,V33*$C$2),MAX((IF(Monthly!S$4=TRUE,Monthly!S$13,Monthly!S$14)*(1+'Attrition Modeling'!$N$8)-IFERROR(V33/V100,0)*12)/12*V100,0))</f>
        <v>0</v>
      </c>
      <c r="X165" s="799">
        <f>MIN(IF(ISERROR(VLOOKUP(X$134-$F165,$E$135:$E$165,1,FALSE)),0,W33*$C$2),MAX((IF(Monthly!T$4=TRUE,Monthly!T$13,Monthly!T$14)*(1+'Attrition Modeling'!$N$8)-IFERROR(W33/W100,0)*12)/12*W100,0))</f>
        <v>0</v>
      </c>
      <c r="Y165" s="799">
        <f>MIN(IF(ISERROR(VLOOKUP(Y$134-$F165,$E$135:$E$165,1,FALSE)),0,X33*$C$2),MAX((IF(Monthly!U$4=TRUE,Monthly!U$13,Monthly!U$14)*(1+'Attrition Modeling'!$N$8)-IFERROR(X33/X100,0)*12)/12*X100,0))</f>
        <v>0</v>
      </c>
      <c r="Z165" s="799">
        <f>MIN(IF(ISERROR(VLOOKUP(Z$134-$F165,$E$135:$E$165,1,FALSE)),0,Y33*$C$2),MAX((IF(Monthly!V$4=TRUE,Monthly!V$13,Monthly!V$14)*(1+'Attrition Modeling'!$N$8)-IFERROR(Y33/Y100,0)*12)/12*Y100,0))</f>
        <v>0</v>
      </c>
      <c r="AA165" s="799">
        <f>MIN(IF(ISERROR(VLOOKUP(AA$134-$F165,$E$135:$E$165,1,FALSE)),0,Z33*$C$2),MAX((IF(Monthly!W$4=TRUE,Monthly!W$13,Monthly!W$14)*(1+'Attrition Modeling'!$N$8)-IFERROR(Z33/Z100,0)*12)/12*Z100,0))</f>
        <v>0</v>
      </c>
      <c r="AB165" s="799">
        <f>MIN(IF(ISERROR(VLOOKUP(AB$134-$F165,$E$135:$E$165,1,FALSE)),0,AA33*$C$2),MAX((IF(Monthly!X$4=TRUE,Monthly!X$13,Monthly!X$14)*(1+'Attrition Modeling'!$N$8)-IFERROR(AA33/AA100,0)*12)/12*AA100,0))</f>
        <v>0</v>
      </c>
      <c r="AC165" s="799">
        <f>MIN(IF(ISERROR(VLOOKUP(AC$134-$F165,$E$135:$E$165,1,FALSE)),0,AB33*$C$2),MAX((IF(Monthly!Y$4=TRUE,Monthly!Y$13,Monthly!Y$14)*(1+'Attrition Modeling'!$N$8)-IFERROR(AB33/AB100,0)*12)/12*AB100,0))</f>
        <v>0</v>
      </c>
      <c r="AD165" s="799">
        <f>MIN(IF(ISERROR(VLOOKUP(AD$134-$F165,$E$135:$E$165,1,FALSE)),0,AC33*$C$2),MAX((IF(Monthly!Z$4=TRUE,Monthly!Z$13,Monthly!Z$14)*(1+'Attrition Modeling'!$N$8)-IFERROR(AC33/AC100,0)*12)/12*AC100,0))</f>
        <v>0</v>
      </c>
      <c r="AE165" s="799">
        <f>MIN(IF(ISERROR(VLOOKUP(AE$134-$F165,$E$135:$E$165,1,FALSE)),0,AD33*$C$2),MAX((IF(Monthly!AA$4=TRUE,Monthly!AA$13,Monthly!AA$14)*(1+'Attrition Modeling'!$N$8)-IFERROR(AD33/AD100,0)*12)/12*AD100,0))</f>
        <v>0</v>
      </c>
      <c r="AF165" s="799">
        <f>MIN(IF(ISERROR(VLOOKUP(AF$134-$F165,$E$135:$E$165,1,FALSE)),0,AE33*$C$2),MAX((IF(Monthly!AB$4=TRUE,Monthly!AB$13,Monthly!AB$14)*(1+'Attrition Modeling'!$N$8)-IFERROR(AE33/AE100,0)*12)/12*AE100,0))</f>
        <v>0</v>
      </c>
      <c r="AG165" s="799">
        <f>MIN(IF(ISERROR(VLOOKUP(AG$134-$F165,$E$135:$E$165,1,FALSE)),0,AF33*$C$2),MAX((IF(Monthly!AC$4=TRUE,Monthly!AC$13,Monthly!AC$14)*(1+'Attrition Modeling'!$N$8)-IFERROR(AF33/AF100,0)*12)/12*AF100,0))</f>
        <v>0</v>
      </c>
      <c r="AH165" s="799">
        <f>MIN(IF(ISERROR(VLOOKUP(AH$134-$F165,$E$135:$E$165,1,FALSE)),0,AG33*$C$2),MAX((IF(Monthly!AD$4=TRUE,Monthly!AD$13,Monthly!AD$14)*(1+'Attrition Modeling'!$N$8)-IFERROR(AG33/AG100,0)*12)/12*AG100,0))</f>
        <v>0</v>
      </c>
      <c r="AI165" s="799">
        <f>MIN(IF(ISERROR(VLOOKUP(AI$134-$F165,$E$135:$E$165,1,FALSE)),0,AH33*$C$2),MAX((IF(Monthly!AE$4=TRUE,Monthly!AE$13,Monthly!AE$14)*(1+'Attrition Modeling'!$N$8)-IFERROR(AH33/AH100,0)*12)/12*AH100,0))</f>
        <v>0</v>
      </c>
      <c r="AJ165" s="799">
        <f>MIN(IF(ISERROR(VLOOKUP(AJ$134-$F165,$E$135:$E$165,1,FALSE)),0,AI33*$C$2),MAX((IF(Monthly!AF$4=TRUE,Monthly!AF$13,Monthly!AF$14)*(1+'Attrition Modeling'!$N$8)-IFERROR(AI33/AI100,0)*12)/12*AI100,0))</f>
        <v>0</v>
      </c>
      <c r="AK165" s="799">
        <f>MIN(IF(ISERROR(VLOOKUP(AK$134-$F165,$E$135:$E$165,1,FALSE)),0,AJ33*$C$2),MAX((IF(Monthly!AG$4=TRUE,Monthly!AG$13,Monthly!AG$14)*(1+'Attrition Modeling'!$N$8)-IFERROR(AJ33/AJ100,0)*12)/12*AJ100,0))</f>
        <v>0</v>
      </c>
      <c r="AL165" s="799">
        <f>MIN(IF(ISERROR(VLOOKUP(AL$134-$F165,$E$135:$E$165,1,FALSE)),0,AK33*$C$2),MAX((IF(Monthly!AH$4=TRUE,Monthly!AH$13,Monthly!AH$14)*(1+'Attrition Modeling'!$N$8)-IFERROR(AK33/AK100,0)*12)/12*AK100,0))</f>
        <v>0</v>
      </c>
      <c r="AM165" s="799">
        <f>MIN(IF(ISERROR(VLOOKUP(AM$134-$F165,$E$135:$E$165,1,FALSE)),0,AL33*$C$2),MAX((IF(Monthly!AI$4=TRUE,Monthly!AI$13,Monthly!AI$14)*(1+'Attrition Modeling'!$N$8)-IFERROR(AL33/AL100,0)*12)/12*AL100,0))</f>
        <v>0</v>
      </c>
      <c r="AN165" s="799">
        <f>MIN(IF(ISERROR(VLOOKUP(AN$134-$F165,$E$135:$E$165,1,FALSE)),0,AM33*$C$2),MAX((IF(Monthly!AJ$4=TRUE,Monthly!AJ$13,Monthly!AJ$14)*(1+'Attrition Modeling'!$N$8)-IFERROR(AM33/AM100,0)*12)/12*AM100,0))</f>
        <v>0</v>
      </c>
      <c r="AO165" s="799">
        <f>MIN(IF(ISERROR(VLOOKUP(AO$134-$F165,$E$135:$E$165,1,FALSE)),0,AN33*$C$2),MAX((IF(Monthly!AK$4=TRUE,Monthly!AK$13,Monthly!AK$14)*(1+'Attrition Modeling'!$N$8)-IFERROR(AN33/AN100,0)*12)/12*AN100,0))</f>
        <v>0</v>
      </c>
      <c r="AP165" s="799">
        <f>MIN(IF(ISERROR(VLOOKUP(AP$134-$F165,$E$135:$E$165,1,FALSE)),0,AO33*$C$2),MAX((IF(Monthly!AL$4=TRUE,Monthly!AL$13,Monthly!AL$14)*(1+'Attrition Modeling'!$N$8)-IFERROR(AO33/AO100,0)*12)/12*AO100,0))</f>
        <v>0</v>
      </c>
      <c r="AQ165" s="799">
        <f>MIN(IF(ISERROR(VLOOKUP(AQ$134-$F165,$E$135:$E$165,1,FALSE)),0,AP33*$C$2),MAX((IF(Monthly!AM$4=TRUE,Monthly!AM$13,Monthly!AM$14)*(1+'Attrition Modeling'!$N$8)-IFERROR(AP33/AP100,0)*12)/12*AP100,0))</f>
        <v>976.23605687918575</v>
      </c>
      <c r="AR165" s="799">
        <f>MIN(IF(ISERROR(VLOOKUP(AR$134-$F165,$E$135:$E$165,1,FALSE)),0,AQ33*$C$2),MAX((IF(Monthly!AN$4=TRUE,Monthly!AN$13,Monthly!AN$14)*(1+'Attrition Modeling'!$N$8)-IFERROR(AQ33/AQ100,0)*12)/12*AQ100,0))</f>
        <v>0</v>
      </c>
      <c r="AS165" s="799">
        <f>MIN(IF(ISERROR(VLOOKUP(AS$134-$F165,$E$135:$E$165,1,FALSE)),0,AR33*$C$2),MAX((IF(Monthly!AO$4=TRUE,Monthly!AO$13,Monthly!AO$14)*(1+'Attrition Modeling'!$N$8)-IFERROR(AR33/AR100,0)*12)/12*AR100,0))</f>
        <v>0</v>
      </c>
      <c r="AT165" s="799">
        <f>MIN(IF(ISERROR(VLOOKUP(AT$134-$F165,$E$135:$E$165,1,FALSE)),0,AS33*$C$2),MAX((IF(Monthly!AP$4=TRUE,Monthly!AP$13,Monthly!AP$14)*(1+'Attrition Modeling'!$N$8)-IFERROR(AS33/AS100,0)*12)/12*AS100,0))</f>
        <v>0</v>
      </c>
      <c r="AU165" s="799">
        <f>MIN(IF(ISERROR(VLOOKUP(AU$134-$F165,$E$135:$E$165,1,FALSE)),0,AT33*$C$2),MAX((IF(Monthly!AQ$4=TRUE,Monthly!AQ$13,Monthly!AQ$14)*(1+'Attrition Modeling'!$N$8)-IFERROR(AT33/AT100,0)*12)/12*AT100,0))</f>
        <v>0</v>
      </c>
      <c r="AV165" s="799">
        <f>MIN(IF(ISERROR(VLOOKUP(AV$134-$F165,$E$135:$E$165,1,FALSE)),0,AU33*$C$2),MAX((IF(Monthly!AR$4=TRUE,Monthly!AR$13,Monthly!AR$14)*(1+'Attrition Modeling'!$N$8)-IFERROR(AU33/AU100,0)*12)/12*AU100,0))</f>
        <v>0</v>
      </c>
      <c r="AW165" s="799">
        <f>MIN(IF(ISERROR(VLOOKUP(AW$134-$F165,$E$135:$E$165,1,FALSE)),0,AV33*$C$2),MAX((IF(Monthly!AS$4=TRUE,Monthly!AS$13,Monthly!AS$14)*(1+'Attrition Modeling'!$N$8)-IFERROR(AV33/AV100,0)*12)/12*AV100,0))</f>
        <v>0</v>
      </c>
      <c r="AX165" s="799">
        <f>MIN(IF(ISERROR(VLOOKUP(AX$134-$F165,$E$135:$E$165,1,FALSE)),0,AW33*$C$2),MAX((IF(Monthly!AT$4=TRUE,Monthly!AT$13,Monthly!AT$14)*(1+'Attrition Modeling'!$N$8)-IFERROR(AW33/AW100,0)*12)/12*AW100,0))</f>
        <v>0</v>
      </c>
      <c r="AY165" s="799">
        <f>MIN(IF(ISERROR(VLOOKUP(AY$134-$F165,$E$135:$E$165,1,FALSE)),0,AX33*$C$2),MAX((IF(Monthly!AU$4=TRUE,Monthly!AU$13,Monthly!AU$14)*(1+'Attrition Modeling'!$N$8)-IFERROR(AX33/AX100,0)*12)/12*AX100,0))</f>
        <v>0</v>
      </c>
      <c r="AZ165" s="799">
        <f>MIN(IF(ISERROR(VLOOKUP(AZ$134-$F165,$E$135:$E$165,1,FALSE)),0,AY33*$C$2),MAX((IF(Monthly!AV$4=TRUE,Monthly!AV$13,Monthly!AV$14)*(1+'Attrition Modeling'!$N$8)-IFERROR(AY33/AY100,0)*12)/12*AY100,0))</f>
        <v>0</v>
      </c>
      <c r="BA165" s="799">
        <f>MIN(IF(ISERROR(VLOOKUP(BA$134-$F165,$E$135:$E$165,1,FALSE)),0,AZ33*$C$2),MAX((IF(Monthly!AW$4=TRUE,Monthly!AW$13,Monthly!AW$14)*(1+'Attrition Modeling'!$N$8)-IFERROR(AZ33/AZ100,0)*12)/12*AZ100,0))</f>
        <v>0</v>
      </c>
      <c r="BB165" s="799">
        <f>MIN(IF(ISERROR(VLOOKUP(BB$134-$F165,$E$135:$E$165,1,FALSE)),0,BA33*$C$2),MAX((IF(Monthly!AX$4=TRUE,Monthly!AX$13,Monthly!AX$14)*(1+'Attrition Modeling'!$N$8)-IFERROR(BA33/BA100,0)*12)/12*BA100,0))</f>
        <v>0</v>
      </c>
      <c r="BC165" s="799">
        <f>MIN(IF(ISERROR(VLOOKUP(BC$134-$F165,$E$135:$E$165,1,FALSE)),0,BB33*$C$2),MAX((IF(Monthly!AY$4=TRUE,Monthly!AY$13,Monthly!AY$14)*(1+'Attrition Modeling'!$N$8)-IFERROR(BB33/BB100,0)*12)/12*BB100,0))</f>
        <v>521.03873328364421</v>
      </c>
      <c r="BD165" s="799">
        <f>MIN(IF(ISERROR(VLOOKUP(BD$134-$F165,$E$135:$E$165,1,FALSE)),0,BC33*$C$2),MAX((IF(Monthly!AZ$4=TRUE,Monthly!AZ$13,Monthly!AZ$14)*(1+'Attrition Modeling'!$N$8)-IFERROR(BC33/BC100,0)*12)/12*BC100,0))</f>
        <v>0</v>
      </c>
      <c r="BE165" s="799">
        <f>MIN(IF(ISERROR(VLOOKUP(BE$134-$F165,$E$135:$E$165,1,FALSE)),0,BD33*$C$2),MAX((IF(Monthly!BA$4=TRUE,Monthly!BA$13,Monthly!BA$14)*(1+'Attrition Modeling'!$N$8)-IFERROR(BD33/BD100,0)*12)/12*BD100,0))</f>
        <v>0</v>
      </c>
      <c r="BF165" s="799">
        <f>MIN(IF(ISERROR(VLOOKUP(BF$134-$F165,$E$135:$E$165,1,FALSE)),0,BE33*$C$2),MAX((IF(Monthly!BB$4=TRUE,Monthly!BB$13,Monthly!BB$14)*(1+'Attrition Modeling'!$N$8)-IFERROR(BE33/BE100,0)*12)/12*BE100,0))</f>
        <v>0</v>
      </c>
      <c r="BG165" s="799">
        <f>MIN(IF(ISERROR(VLOOKUP(BG$134-$F165,$E$135:$E$165,1,FALSE)),0,BF33*$C$2),MAX((IF(Monthly!BC$4=TRUE,Monthly!BC$13,Monthly!BC$14)*(1+'Attrition Modeling'!$N$8)-IFERROR(BF33/BF100,0)*12)/12*BF100,0))</f>
        <v>0</v>
      </c>
      <c r="BH165" s="799">
        <f>MIN(IF(ISERROR(VLOOKUP(BH$134-$F165,$E$135:$E$165,1,FALSE)),0,BG33*$C$2),MAX((IF(Monthly!BD$4=TRUE,Monthly!BD$13,Monthly!BD$14)*(1+'Attrition Modeling'!$N$8)-IFERROR(BG33/BG100,0)*12)/12*BG100,0))</f>
        <v>0</v>
      </c>
      <c r="BI165" s="799">
        <f>MIN(IF(ISERROR(VLOOKUP(BI$134-$F165,$E$135:$E$165,1,FALSE)),0,BH33*$C$2),MAX((IF(Monthly!BE$4=TRUE,Monthly!BE$13,Monthly!BE$14)*(1+'Attrition Modeling'!$N$8)-IFERROR(BH33/BH100,0)*12)/12*BH100,0))</f>
        <v>0</v>
      </c>
      <c r="BJ165" s="799">
        <f>MIN(IF(ISERROR(VLOOKUP(BJ$134-$F165,$E$135:$E$165,1,FALSE)),0,BI33*$C$2),MAX((IF(Monthly!BF$4=TRUE,Monthly!BF$13,Monthly!BF$14)*(1+'Attrition Modeling'!$N$8)-IFERROR(BI33/BI100,0)*12)/12*BI100,0))</f>
        <v>0</v>
      </c>
      <c r="BK165" s="799">
        <f>MIN(IF(ISERROR(VLOOKUP(BK$134-$F165,$E$135:$E$165,1,FALSE)),0,BJ33*$C$2),MAX((IF(Monthly!BG$4=TRUE,Monthly!BG$13,Monthly!BG$14)*(1+'Attrition Modeling'!$N$8)-IFERROR(BJ33/BJ100,0)*12)/12*BJ100,0))</f>
        <v>0</v>
      </c>
      <c r="BL165" s="799">
        <f>MIN(IF(ISERROR(VLOOKUP(BL$134-$F165,$E$135:$E$165,1,FALSE)),0,BK33*$C$2),MAX((IF(Monthly!BH$4=TRUE,Monthly!BH$13,Monthly!BH$14)*(1+'Attrition Modeling'!$N$8)-IFERROR(BK33/BK100,0)*12)/12*BK100,0))</f>
        <v>0</v>
      </c>
      <c r="BM165" s="799">
        <f>MIN(IF(ISERROR(VLOOKUP(BM$134-$F165,$E$135:$E$165,1,FALSE)),0,BL33*$C$2),MAX((IF(Monthly!BI$4=TRUE,Monthly!BI$13,Monthly!BI$14)*(1+'Attrition Modeling'!$N$8)-IFERROR(BL33/BL100,0)*12)/12*BL100,0))</f>
        <v>0</v>
      </c>
      <c r="BN165" s="799">
        <f>MIN(IF(ISERROR(VLOOKUP(BN$134-$F165,$E$135:$E$165,1,FALSE)),0,BM33*$C$2),MAX((IF(Monthly!BJ$4=TRUE,Monthly!BJ$13,Monthly!BJ$14)*(1+'Attrition Modeling'!$N$8)-IFERROR(BM33/BM100,0)*12)/12*BM100,0))</f>
        <v>0</v>
      </c>
      <c r="BO165" s="799">
        <f>MIN(IF(ISERROR(VLOOKUP(BO$134-$F165,$E$135:$E$165,1,FALSE)),0,BN33*$C$2),MAX((IF(Monthly!BK$4=TRUE,Monthly!BK$13,Monthly!BK$14)*(1+'Attrition Modeling'!$N$8)-IFERROR(BN33/BN100,0)*12)/12*BN100,0))</f>
        <v>177.30622627496064</v>
      </c>
      <c r="BP165" s="799">
        <f>MIN(IF(ISERROR(VLOOKUP(BP$134-$F165,$E$135:$E$165,1,FALSE)),0,BO33*$C$2),MAX((IF(Monthly!BP$4=TRUE,Monthly!BP$13,Monthly!BP$14)*(1+'Attrition Modeling'!$N$8)-IFERROR(BO33/BO100,0)*12)/12*BO100,0))</f>
        <v>0</v>
      </c>
      <c r="BQ165" s="799">
        <f>MIN(IF(ISERROR(VLOOKUP(BQ$134-$F165,$E$135:$E$165,1,FALSE)),0,BP33*$C$2),MAX((IF(Monthly!BQ$4=TRUE,Monthly!BQ$13,Monthly!BQ$14)*(1+'Attrition Modeling'!$N$8)-IFERROR(BP33/BP100,0)*12)/12*BP100,0))</f>
        <v>0</v>
      </c>
      <c r="BR165" s="799">
        <f>MIN(IF(ISERROR(VLOOKUP(BR$134-$F165,$E$135:$E$165,1,FALSE)),0,BQ33*$C$2),MAX((IF(Monthly!BR$4=TRUE,Monthly!BR$13,Monthly!BR$14)*(1+'Attrition Modeling'!$N$8)-IFERROR(BQ33/BQ100,0)*12)/12*BQ100,0))</f>
        <v>0</v>
      </c>
      <c r="BS165" s="799">
        <f>MIN(IF(ISERROR(VLOOKUP(BS$134-$F165,$E$135:$E$165,1,FALSE)),0,BR33*$C$2),MAX((IF(Monthly!BS$4=TRUE,Monthly!BS$13,Monthly!BS$14)*(1+'Attrition Modeling'!$N$8)-IFERROR(BR33/BR100,0)*12)/12*BR100,0))</f>
        <v>0</v>
      </c>
      <c r="BT165" s="799">
        <f>MIN(IF(ISERROR(VLOOKUP(BT$134-$F165,$E$135:$E$165,1,FALSE)),0,BS33*$C$2),MAX((IF(Monthly!BT$4=TRUE,Monthly!BT$13,Monthly!BT$14)*(1+'Attrition Modeling'!$N$8)-IFERROR(BS33/BS100,0)*12)/12*BS100,0))</f>
        <v>0</v>
      </c>
      <c r="BU165" s="799">
        <f>MIN(IF(ISERROR(VLOOKUP(BU$134-$F165,$E$135:$E$165,1,FALSE)),0,BT33*$C$2),MAX((IF(Monthly!BU$4=TRUE,Monthly!BU$13,Monthly!BU$14)*(1+'Attrition Modeling'!$N$8)-IFERROR(BT33/BT100,0)*12)/12*BT100,0))</f>
        <v>0</v>
      </c>
    </row>
    <row r="166" spans="1:73" ht="14.25" customHeight="1" x14ac:dyDescent="0.2">
      <c r="E166" s="25"/>
      <c r="F166" s="11">
        <f t="shared" si="14"/>
        <v>31</v>
      </c>
      <c r="G166" s="799"/>
      <c r="H166" s="799">
        <f>MIN(IF(ISERROR(VLOOKUP(H$134-$F166,$E$135:$E$165,1,FALSE)),0,G34*$C$2),MAX((IF(Monthly!D$4=TRUE,Monthly!D$13,Monthly!D$14)*(1+'Attrition Modeling'!$N$8)-IFERROR(G34/G101,0)*12)/12*G101,0))</f>
        <v>0</v>
      </c>
      <c r="I166" s="799">
        <f>MIN(IF(ISERROR(VLOOKUP(I$134-$F166,$E$135:$E$165,1,FALSE)),0,H34*$C$2),MAX((IF(Monthly!E$4=TRUE,Monthly!E$13,Monthly!E$14)*(1+'Attrition Modeling'!$N$8)-IFERROR(H34/H101,0)*12)/12*H101,0))</f>
        <v>0</v>
      </c>
      <c r="J166" s="799">
        <f>MIN(IF(ISERROR(VLOOKUP(J$134-$F166,$E$135:$E$165,1,FALSE)),0,I34*$C$2),MAX((IF(Monthly!F$4=TRUE,Monthly!F$13,Monthly!F$14)*(1+'Attrition Modeling'!$N$8)-IFERROR(I34/I101,0)*12)/12*I101,0))</f>
        <v>0</v>
      </c>
      <c r="K166" s="799">
        <f>MIN(IF(ISERROR(VLOOKUP(K$134-$F166,$E$135:$E$165,1,FALSE)),0,J34*$C$2),MAX((IF(Monthly!G$4=TRUE,Monthly!G$13,Monthly!G$14)*(1+'Attrition Modeling'!$N$8)-IFERROR(J34/J101,0)*12)/12*J101,0))</f>
        <v>0</v>
      </c>
      <c r="L166" s="799">
        <f>MIN(IF(ISERROR(VLOOKUP(L$134-$F166,$E$135:$E$165,1,FALSE)),0,K34*$C$2),MAX((IF(Monthly!H$4=TRUE,Monthly!H$13,Monthly!H$14)*(1+'Attrition Modeling'!$N$8)-IFERROR(K34/K101,0)*12)/12*K101,0))</f>
        <v>0</v>
      </c>
      <c r="M166" s="799">
        <f>MIN(IF(ISERROR(VLOOKUP(M$134-$F166,$E$135:$E$165,1,FALSE)),0,L34*$C$2),MAX((IF(Monthly!I$4=TRUE,Monthly!I$13,Monthly!I$14)*(1+'Attrition Modeling'!$N$8)-IFERROR(L34/L101,0)*12)/12*L101,0))</f>
        <v>0</v>
      </c>
      <c r="N166" s="799">
        <f>MIN(IF(ISERROR(VLOOKUP(N$134-$F166,$E$135:$E$165,1,FALSE)),0,M34*$C$2),MAX((IF(Monthly!J$4=TRUE,Monthly!J$13,Monthly!J$14)*(1+'Attrition Modeling'!$N$8)-IFERROR(M34/M101,0)*12)/12*M101,0))</f>
        <v>0</v>
      </c>
      <c r="O166" s="799">
        <f>MIN(IF(ISERROR(VLOOKUP(O$134-$F166,$E$135:$E$165,1,FALSE)),0,N34*$C$2),MAX((IF(Monthly!K$4=TRUE,Monthly!K$13,Monthly!K$14)*(1+'Attrition Modeling'!$N$8)-IFERROR(N34/N101,0)*12)/12*N101,0))</f>
        <v>0</v>
      </c>
      <c r="P166" s="799">
        <f>MIN(IF(ISERROR(VLOOKUP(P$134-$F166,$E$135:$E$165,1,FALSE)),0,O34*$C$2),MAX((IF(Monthly!L$4=TRUE,Monthly!L$13,Monthly!L$14)*(1+'Attrition Modeling'!$N$8)-IFERROR(O34/O101,0)*12)/12*O101,0))</f>
        <v>0</v>
      </c>
      <c r="Q166" s="799">
        <f>MIN(IF(ISERROR(VLOOKUP(Q$134-$F166,$E$135:$E$165,1,FALSE)),0,P34*$C$2),MAX((IF(Monthly!M$4=TRUE,Monthly!M$13,Monthly!M$14)*(1+'Attrition Modeling'!$N$8)-IFERROR(P34/P101,0)*12)/12*P101,0))</f>
        <v>0</v>
      </c>
      <c r="R166" s="799">
        <f>MIN(IF(ISERROR(VLOOKUP(R$134-$F166,$E$135:$E$165,1,FALSE)),0,Q34*$C$2),MAX((IF(Monthly!N$4=TRUE,Monthly!N$13,Monthly!N$14)*(1+'Attrition Modeling'!$N$8)-IFERROR(Q34/Q101,0)*12)/12*Q101,0))</f>
        <v>0</v>
      </c>
      <c r="S166" s="799">
        <f>MIN(IF(ISERROR(VLOOKUP(S$134-$F166,$E$135:$E$165,1,FALSE)),0,R34*$C$2),MAX((IF(Monthly!O$4=TRUE,Monthly!O$13,Monthly!O$14)*(1+'Attrition Modeling'!$N$8)-IFERROR(R34/R101,0)*12)/12*R101,0))</f>
        <v>0</v>
      </c>
      <c r="T166" s="799">
        <f>MIN(IF(ISERROR(VLOOKUP(T$134-$F166,$E$135:$E$165,1,FALSE)),0,S34*$C$2),MAX((IF(Monthly!P$4=TRUE,Monthly!P$13,Monthly!P$14)*(1+'Attrition Modeling'!$N$8)-IFERROR(S34/S101,0)*12)/12*S101,0))</f>
        <v>0</v>
      </c>
      <c r="U166" s="799">
        <f>MIN(IF(ISERROR(VLOOKUP(U$134-$F166,$E$135:$E$165,1,FALSE)),0,T34*$C$2),MAX((IF(Monthly!Q$4=TRUE,Monthly!Q$13,Monthly!Q$14)*(1+'Attrition Modeling'!$N$8)-IFERROR(T34/T101,0)*12)/12*T101,0))</f>
        <v>0</v>
      </c>
      <c r="V166" s="799">
        <f>MIN(IF(ISERROR(VLOOKUP(V$134-$F166,$E$135:$E$165,1,FALSE)),0,U34*$C$2),MAX((IF(Monthly!R$4=TRUE,Monthly!R$13,Monthly!R$14)*(1+'Attrition Modeling'!$N$8)-IFERROR(U34/U101,0)*12)/12*U101,0))</f>
        <v>0</v>
      </c>
      <c r="W166" s="799">
        <f>MIN(IF(ISERROR(VLOOKUP(W$134-$F166,$E$135:$E$165,1,FALSE)),0,V34*$C$2),MAX((IF(Monthly!S$4=TRUE,Monthly!S$13,Monthly!S$14)*(1+'Attrition Modeling'!$N$8)-IFERROR(V34/V101,0)*12)/12*V101,0))</f>
        <v>0</v>
      </c>
      <c r="X166" s="799">
        <f>MIN(IF(ISERROR(VLOOKUP(X$134-$F166,$E$135:$E$165,1,FALSE)),0,W34*$C$2),MAX((IF(Monthly!T$4=TRUE,Monthly!T$13,Monthly!T$14)*(1+'Attrition Modeling'!$N$8)-IFERROR(W34/W101,0)*12)/12*W101,0))</f>
        <v>0</v>
      </c>
      <c r="Y166" s="799">
        <f>MIN(IF(ISERROR(VLOOKUP(Y$134-$F166,$E$135:$E$165,1,FALSE)),0,X34*$C$2),MAX((IF(Monthly!U$4=TRUE,Monthly!U$13,Monthly!U$14)*(1+'Attrition Modeling'!$N$8)-IFERROR(X34/X101,0)*12)/12*X101,0))</f>
        <v>0</v>
      </c>
      <c r="Z166" s="799">
        <f>MIN(IF(ISERROR(VLOOKUP(Z$134-$F166,$E$135:$E$165,1,FALSE)),0,Y34*$C$2),MAX((IF(Monthly!V$4=TRUE,Monthly!V$13,Monthly!V$14)*(1+'Attrition Modeling'!$N$8)-IFERROR(Y34/Y101,0)*12)/12*Y101,0))</f>
        <v>0</v>
      </c>
      <c r="AA166" s="799">
        <f>MIN(IF(ISERROR(VLOOKUP(AA$134-$F166,$E$135:$E$165,1,FALSE)),0,Z34*$C$2),MAX((IF(Monthly!W$4=TRUE,Monthly!W$13,Monthly!W$14)*(1+'Attrition Modeling'!$N$8)-IFERROR(Z34/Z101,0)*12)/12*Z101,0))</f>
        <v>0</v>
      </c>
      <c r="AB166" s="799">
        <f>MIN(IF(ISERROR(VLOOKUP(AB$134-$F166,$E$135:$E$165,1,FALSE)),0,AA34*$C$2),MAX((IF(Monthly!X$4=TRUE,Monthly!X$13,Monthly!X$14)*(1+'Attrition Modeling'!$N$8)-IFERROR(AA34/AA101,0)*12)/12*AA101,0))</f>
        <v>0</v>
      </c>
      <c r="AC166" s="799">
        <f>MIN(IF(ISERROR(VLOOKUP(AC$134-$F166,$E$135:$E$165,1,FALSE)),0,AB34*$C$2),MAX((IF(Monthly!Y$4=TRUE,Monthly!Y$13,Monthly!Y$14)*(1+'Attrition Modeling'!$N$8)-IFERROR(AB34/AB101,0)*12)/12*AB101,0))</f>
        <v>0</v>
      </c>
      <c r="AD166" s="799">
        <f>MIN(IF(ISERROR(VLOOKUP(AD$134-$F166,$E$135:$E$165,1,FALSE)),0,AC34*$C$2),MAX((IF(Monthly!Z$4=TRUE,Monthly!Z$13,Monthly!Z$14)*(1+'Attrition Modeling'!$N$8)-IFERROR(AC34/AC101,0)*12)/12*AC101,0))</f>
        <v>0</v>
      </c>
      <c r="AE166" s="799">
        <f>MIN(IF(ISERROR(VLOOKUP(AE$134-$F166,$E$135:$E$165,1,FALSE)),0,AD34*$C$2),MAX((IF(Monthly!AA$4=TRUE,Monthly!AA$13,Monthly!AA$14)*(1+'Attrition Modeling'!$N$8)-IFERROR(AD34/AD101,0)*12)/12*AD101,0))</f>
        <v>0</v>
      </c>
      <c r="AF166" s="799">
        <f>MIN(IF(ISERROR(VLOOKUP(AF$134-$F166,$E$135:$E$165,1,FALSE)),0,AE34*$C$2),MAX((IF(Monthly!AB$4=TRUE,Monthly!AB$13,Monthly!AB$14)*(1+'Attrition Modeling'!$N$8)-IFERROR(AE34/AE101,0)*12)/12*AE101,0))</f>
        <v>0</v>
      </c>
      <c r="AG166" s="799">
        <f>MIN(IF(ISERROR(VLOOKUP(AG$134-$F166,$E$135:$E$165,1,FALSE)),0,AF34*$C$2),MAX((IF(Monthly!AC$4=TRUE,Monthly!AC$13,Monthly!AC$14)*(1+'Attrition Modeling'!$N$8)-IFERROR(AF34/AF101,0)*12)/12*AF101,0))</f>
        <v>0</v>
      </c>
      <c r="AH166" s="799">
        <f>MIN(IF(ISERROR(VLOOKUP(AH$134-$F166,$E$135:$E$165,1,FALSE)),0,AG34*$C$2),MAX((IF(Monthly!AD$4=TRUE,Monthly!AD$13,Monthly!AD$14)*(1+'Attrition Modeling'!$N$8)-IFERROR(AG34/AG101,0)*12)/12*AG101,0))</f>
        <v>0</v>
      </c>
      <c r="AI166" s="799">
        <f>MIN(IF(ISERROR(VLOOKUP(AI$134-$F166,$E$135:$E$165,1,FALSE)),0,AH34*$C$2),MAX((IF(Monthly!AE$4=TRUE,Monthly!AE$13,Monthly!AE$14)*(1+'Attrition Modeling'!$N$8)-IFERROR(AH34/AH101,0)*12)/12*AH101,0))</f>
        <v>0</v>
      </c>
      <c r="AJ166" s="799">
        <f>MIN(IF(ISERROR(VLOOKUP(AJ$134-$F166,$E$135:$E$165,1,FALSE)),0,AI34*$C$2),MAX((IF(Monthly!AF$4=TRUE,Monthly!AF$13,Monthly!AF$14)*(1+'Attrition Modeling'!$N$8)-IFERROR(AI34/AI101,0)*12)/12*AI101,0))</f>
        <v>0</v>
      </c>
      <c r="AK166" s="799">
        <f>MIN(IF(ISERROR(VLOOKUP(AK$134-$F166,$E$135:$E$165,1,FALSE)),0,AJ34*$C$2),MAX((IF(Monthly!AG$4=TRUE,Monthly!AG$13,Monthly!AG$14)*(1+'Attrition Modeling'!$N$8)-IFERROR(AJ34/AJ101,0)*12)/12*AJ101,0))</f>
        <v>0</v>
      </c>
      <c r="AL166" s="799">
        <f>MIN(IF(ISERROR(VLOOKUP(AL$134-$F166,$E$135:$E$165,1,FALSE)),0,AK34*$C$2),MAX((IF(Monthly!AH$4=TRUE,Monthly!AH$13,Monthly!AH$14)*(1+'Attrition Modeling'!$N$8)-IFERROR(AK34/AK101,0)*12)/12*AK101,0))</f>
        <v>0</v>
      </c>
      <c r="AM166" s="799">
        <f>MIN(IF(ISERROR(VLOOKUP(AM$134-$F166,$E$135:$E$165,1,FALSE)),0,AL34*$C$2),MAX((IF(Monthly!AI$4=TRUE,Monthly!AI$13,Monthly!AI$14)*(1+'Attrition Modeling'!$N$8)-IFERROR(AL34/AL101,0)*12)/12*AL101,0))</f>
        <v>0</v>
      </c>
      <c r="AN166" s="799">
        <f>MIN(IF(ISERROR(VLOOKUP(AN$134-$F166,$E$135:$E$165,1,FALSE)),0,AM34*$C$2),MAX((IF(Monthly!AJ$4=TRUE,Monthly!AJ$13,Monthly!AJ$14)*(1+'Attrition Modeling'!$N$8)-IFERROR(AM34/AM101,0)*12)/12*AM101,0))</f>
        <v>0</v>
      </c>
      <c r="AO166" s="799">
        <f>MIN(IF(ISERROR(VLOOKUP(AO$134-$F166,$E$135:$E$165,1,FALSE)),0,AN34*$C$2),MAX((IF(Monthly!AK$4=TRUE,Monthly!AK$13,Monthly!AK$14)*(1+'Attrition Modeling'!$N$8)-IFERROR(AN34/AN101,0)*12)/12*AN101,0))</f>
        <v>0</v>
      </c>
      <c r="AP166" s="799">
        <f>MIN(IF(ISERROR(VLOOKUP(AP$134-$F166,$E$135:$E$165,1,FALSE)),0,AO34*$C$2),MAX((IF(Monthly!AL$4=TRUE,Monthly!AL$13,Monthly!AL$14)*(1+'Attrition Modeling'!$N$8)-IFERROR(AO34/AO101,0)*12)/12*AO101,0))</f>
        <v>0</v>
      </c>
      <c r="AQ166" s="799">
        <f>MIN(IF(ISERROR(VLOOKUP(AQ$134-$F166,$E$135:$E$165,1,FALSE)),0,AP34*$C$2),MAX((IF(Monthly!AM$4=TRUE,Monthly!AM$13,Monthly!AM$14)*(1+'Attrition Modeling'!$N$8)-IFERROR(AP34/AP101,0)*12)/12*AP101,0))</f>
        <v>0</v>
      </c>
      <c r="AR166" s="799">
        <f>MIN(IF(ISERROR(VLOOKUP(AR$134-$F166,$E$135:$E$165,1,FALSE)),0,AQ34*$C$2),MAX((IF(Monthly!AN$4=TRUE,Monthly!AN$13,Monthly!AN$14)*(1+'Attrition Modeling'!$N$8)-IFERROR(AQ34/AQ101,0)*12)/12*AQ101,0))</f>
        <v>964.35330423769983</v>
      </c>
      <c r="AS166" s="799">
        <f>MIN(IF(ISERROR(VLOOKUP(AS$134-$F166,$E$135:$E$165,1,FALSE)),0,AR34*$C$2),MAX((IF(Monthly!AO$4=TRUE,Monthly!AO$13,Monthly!AO$14)*(1+'Attrition Modeling'!$N$8)-IFERROR(AR34/AR101,0)*12)/12*AR101,0))</f>
        <v>0</v>
      </c>
      <c r="AT166" s="799">
        <f>MIN(IF(ISERROR(VLOOKUP(AT$134-$F166,$E$135:$E$165,1,FALSE)),0,AS34*$C$2),MAX((IF(Monthly!AP$4=TRUE,Monthly!AP$13,Monthly!AP$14)*(1+'Attrition Modeling'!$N$8)-IFERROR(AS34/AS101,0)*12)/12*AS101,0))</f>
        <v>0</v>
      </c>
      <c r="AU166" s="799">
        <f>MIN(IF(ISERROR(VLOOKUP(AU$134-$F166,$E$135:$E$165,1,FALSE)),0,AT34*$C$2),MAX((IF(Monthly!AQ$4=TRUE,Monthly!AQ$13,Monthly!AQ$14)*(1+'Attrition Modeling'!$N$8)-IFERROR(AT34/AT101,0)*12)/12*AT101,0))</f>
        <v>0</v>
      </c>
      <c r="AV166" s="799">
        <f>MIN(IF(ISERROR(VLOOKUP(AV$134-$F166,$E$135:$E$165,1,FALSE)),0,AU34*$C$2),MAX((IF(Monthly!AR$4=TRUE,Monthly!AR$13,Monthly!AR$14)*(1+'Attrition Modeling'!$N$8)-IFERROR(AU34/AU101,0)*12)/12*AU101,0))</f>
        <v>0</v>
      </c>
      <c r="AW166" s="799">
        <f>MIN(IF(ISERROR(VLOOKUP(AW$134-$F166,$E$135:$E$165,1,FALSE)),0,AV34*$C$2),MAX((IF(Monthly!AS$4=TRUE,Monthly!AS$13,Monthly!AS$14)*(1+'Attrition Modeling'!$N$8)-IFERROR(AV34/AV101,0)*12)/12*AV101,0))</f>
        <v>0</v>
      </c>
      <c r="AX166" s="799">
        <f>MIN(IF(ISERROR(VLOOKUP(AX$134-$F166,$E$135:$E$165,1,FALSE)),0,AW34*$C$2),MAX((IF(Monthly!AT$4=TRUE,Monthly!AT$13,Monthly!AT$14)*(1+'Attrition Modeling'!$N$8)-IFERROR(AW34/AW101,0)*12)/12*AW101,0))</f>
        <v>0</v>
      </c>
      <c r="AY166" s="799">
        <f>MIN(IF(ISERROR(VLOOKUP(AY$134-$F166,$E$135:$E$165,1,FALSE)),0,AX34*$C$2),MAX((IF(Monthly!AU$4=TRUE,Monthly!AU$13,Monthly!AU$14)*(1+'Attrition Modeling'!$N$8)-IFERROR(AX34/AX101,0)*12)/12*AX101,0))</f>
        <v>0</v>
      </c>
      <c r="AZ166" s="799">
        <f>MIN(IF(ISERROR(VLOOKUP(AZ$134-$F166,$E$135:$E$165,1,FALSE)),0,AY34*$C$2),MAX((IF(Monthly!AV$4=TRUE,Monthly!AV$13,Monthly!AV$14)*(1+'Attrition Modeling'!$N$8)-IFERROR(AY34/AY101,0)*12)/12*AY101,0))</f>
        <v>0</v>
      </c>
      <c r="BA166" s="799">
        <f>MIN(IF(ISERROR(VLOOKUP(BA$134-$F166,$E$135:$E$165,1,FALSE)),0,AZ34*$C$2),MAX((IF(Monthly!AW$4=TRUE,Monthly!AW$13,Monthly!AW$14)*(1+'Attrition Modeling'!$N$8)-IFERROR(AZ34/AZ101,0)*12)/12*AZ101,0))</f>
        <v>0</v>
      </c>
      <c r="BB166" s="799">
        <f>MIN(IF(ISERROR(VLOOKUP(BB$134-$F166,$E$135:$E$165,1,FALSE)),0,BA34*$C$2),MAX((IF(Monthly!AX$4=TRUE,Monthly!AX$13,Monthly!AX$14)*(1+'Attrition Modeling'!$N$8)-IFERROR(BA34/BA101,0)*12)/12*BA101,0))</f>
        <v>0</v>
      </c>
      <c r="BC166" s="799">
        <f>MIN(IF(ISERROR(VLOOKUP(BC$134-$F166,$E$135:$E$165,1,FALSE)),0,BB34*$C$2),MAX((IF(Monthly!AY$4=TRUE,Monthly!AY$13,Monthly!AY$14)*(1+'Attrition Modeling'!$N$8)-IFERROR(BB34/BB101,0)*12)/12*BB101,0))</f>
        <v>0</v>
      </c>
      <c r="BD166" s="799">
        <f>MIN(IF(ISERROR(VLOOKUP(BD$134-$F166,$E$135:$E$165,1,FALSE)),0,BC34*$C$2),MAX((IF(Monthly!AZ$4=TRUE,Monthly!AZ$13,Monthly!AZ$14)*(1+'Attrition Modeling'!$N$8)-IFERROR(BC34/BC101,0)*12)/12*BC101,0))</f>
        <v>522.41122941588765</v>
      </c>
      <c r="BE166" s="799">
        <f>MIN(IF(ISERROR(VLOOKUP(BE$134-$F166,$E$135:$E$165,1,FALSE)),0,BD34*$C$2),MAX((IF(Monthly!BA$4=TRUE,Monthly!BA$13,Monthly!BA$14)*(1+'Attrition Modeling'!$N$8)-IFERROR(BD34/BD101,0)*12)/12*BD101,0))</f>
        <v>0</v>
      </c>
      <c r="BF166" s="799">
        <f>MIN(IF(ISERROR(VLOOKUP(BF$134-$F166,$E$135:$E$165,1,FALSE)),0,BE34*$C$2),MAX((IF(Monthly!BB$4=TRUE,Monthly!BB$13,Monthly!BB$14)*(1+'Attrition Modeling'!$N$8)-IFERROR(BE34/BE101,0)*12)/12*BE101,0))</f>
        <v>0</v>
      </c>
      <c r="BG166" s="799">
        <f>MIN(IF(ISERROR(VLOOKUP(BG$134-$F166,$E$135:$E$165,1,FALSE)),0,BF34*$C$2),MAX((IF(Monthly!BC$4=TRUE,Monthly!BC$13,Monthly!BC$14)*(1+'Attrition Modeling'!$N$8)-IFERROR(BF34/BF101,0)*12)/12*BF101,0))</f>
        <v>0</v>
      </c>
      <c r="BH166" s="799">
        <f>MIN(IF(ISERROR(VLOOKUP(BH$134-$F166,$E$135:$E$165,1,FALSE)),0,BG34*$C$2),MAX((IF(Monthly!BD$4=TRUE,Monthly!BD$13,Monthly!BD$14)*(1+'Attrition Modeling'!$N$8)-IFERROR(BG34/BG101,0)*12)/12*BG101,0))</f>
        <v>0</v>
      </c>
      <c r="BI166" s="799">
        <f>MIN(IF(ISERROR(VLOOKUP(BI$134-$F166,$E$135:$E$165,1,FALSE)),0,BH34*$C$2),MAX((IF(Monthly!BE$4=TRUE,Monthly!BE$13,Monthly!BE$14)*(1+'Attrition Modeling'!$N$8)-IFERROR(BH34/BH101,0)*12)/12*BH101,0))</f>
        <v>0</v>
      </c>
      <c r="BJ166" s="799">
        <f>MIN(IF(ISERROR(VLOOKUP(BJ$134-$F166,$E$135:$E$165,1,FALSE)),0,BI34*$C$2),MAX((IF(Monthly!BF$4=TRUE,Monthly!BF$13,Monthly!BF$14)*(1+'Attrition Modeling'!$N$8)-IFERROR(BI34/BI101,0)*12)/12*BI101,0))</f>
        <v>0</v>
      </c>
      <c r="BK166" s="799">
        <f>MIN(IF(ISERROR(VLOOKUP(BK$134-$F166,$E$135:$E$165,1,FALSE)),0,BJ34*$C$2),MAX((IF(Monthly!BG$4=TRUE,Monthly!BG$13,Monthly!BG$14)*(1+'Attrition Modeling'!$N$8)-IFERROR(BJ34/BJ101,0)*12)/12*BJ101,0))</f>
        <v>0</v>
      </c>
      <c r="BL166" s="799">
        <f>MIN(IF(ISERROR(VLOOKUP(BL$134-$F166,$E$135:$E$165,1,FALSE)),0,BK34*$C$2),MAX((IF(Monthly!BH$4=TRUE,Monthly!BH$13,Monthly!BH$14)*(1+'Attrition Modeling'!$N$8)-IFERROR(BK34/BK101,0)*12)/12*BK101,0))</f>
        <v>0</v>
      </c>
      <c r="BM166" s="799">
        <f>MIN(IF(ISERROR(VLOOKUP(BM$134-$F166,$E$135:$E$165,1,FALSE)),0,BL34*$C$2),MAX((IF(Monthly!BI$4=TRUE,Monthly!BI$13,Monthly!BI$14)*(1+'Attrition Modeling'!$N$8)-IFERROR(BL34/BL101,0)*12)/12*BL101,0))</f>
        <v>0</v>
      </c>
      <c r="BN166" s="799">
        <f>MIN(IF(ISERROR(VLOOKUP(BN$134-$F166,$E$135:$E$165,1,FALSE)),0,BM34*$C$2),MAX((IF(Monthly!BJ$4=TRUE,Monthly!BJ$13,Monthly!BJ$14)*(1+'Attrition Modeling'!$N$8)-IFERROR(BM34/BM101,0)*12)/12*BM101,0))</f>
        <v>0</v>
      </c>
      <c r="BO166" s="799">
        <f>MIN(IF(ISERROR(VLOOKUP(BO$134-$F166,$E$135:$E$165,1,FALSE)),0,BN34*$C$2),MAX((IF(Monthly!BK$4=TRUE,Monthly!BK$13,Monthly!BK$14)*(1+'Attrition Modeling'!$N$8)-IFERROR(BN34/BN101,0)*12)/12*BN101,0))</f>
        <v>0</v>
      </c>
      <c r="BP166" s="799">
        <f>MIN(IF(ISERROR(VLOOKUP(BP$134-$F166,$E$135:$E$165,1,FALSE)),0,BO34*$C$2),MAX((IF(Monthly!BP$4=TRUE,Monthly!BP$13,Monthly!BP$14)*(1+'Attrition Modeling'!$N$8)-IFERROR(BO34/BO101,0)*12)/12*BO101,0))</f>
        <v>0</v>
      </c>
      <c r="BQ166" s="799">
        <f>MIN(IF(ISERROR(VLOOKUP(BQ$134-$F166,$E$135:$E$165,1,FALSE)),0,BP34*$C$2),MAX((IF(Monthly!BQ$4=TRUE,Monthly!BQ$13,Monthly!BQ$14)*(1+'Attrition Modeling'!$N$8)-IFERROR(BP34/BP101,0)*12)/12*BP101,0))</f>
        <v>0</v>
      </c>
      <c r="BR166" s="799">
        <f>MIN(IF(ISERROR(VLOOKUP(BR$134-$F166,$E$135:$E$165,1,FALSE)),0,BQ34*$C$2),MAX((IF(Monthly!BR$4=TRUE,Monthly!BR$13,Monthly!BR$14)*(1+'Attrition Modeling'!$N$8)-IFERROR(BQ34/BQ101,0)*12)/12*BQ101,0))</f>
        <v>0</v>
      </c>
      <c r="BS166" s="799">
        <f>MIN(IF(ISERROR(VLOOKUP(BS$134-$F166,$E$135:$E$165,1,FALSE)),0,BR34*$C$2),MAX((IF(Monthly!BS$4=TRUE,Monthly!BS$13,Monthly!BS$14)*(1+'Attrition Modeling'!$N$8)-IFERROR(BR34/BR101,0)*12)/12*BR101,0))</f>
        <v>0</v>
      </c>
      <c r="BT166" s="799">
        <f>MIN(IF(ISERROR(VLOOKUP(BT$134-$F166,$E$135:$E$165,1,FALSE)),0,BS34*$C$2),MAX((IF(Monthly!BT$4=TRUE,Monthly!BT$13,Monthly!BT$14)*(1+'Attrition Modeling'!$N$8)-IFERROR(BS34/BS101,0)*12)/12*BS101,0))</f>
        <v>0</v>
      </c>
      <c r="BU166" s="799">
        <f>MIN(IF(ISERROR(VLOOKUP(BU$134-$F166,$E$135:$E$165,1,FALSE)),0,BT34*$C$2),MAX((IF(Monthly!BU$4=TRUE,Monthly!BU$13,Monthly!BU$14)*(1+'Attrition Modeling'!$N$8)-IFERROR(BT34/BT101,0)*12)/12*BT101,0))</f>
        <v>0</v>
      </c>
    </row>
    <row r="167" spans="1:73" ht="14.25" customHeight="1" x14ac:dyDescent="0.2">
      <c r="E167" s="25"/>
      <c r="F167" s="11">
        <f t="shared" si="14"/>
        <v>32</v>
      </c>
      <c r="G167" s="799"/>
      <c r="H167" s="799">
        <f>MIN(IF(ISERROR(VLOOKUP(H$134-$F167,$E$135:$E$165,1,FALSE)),0,G35*$C$2),MAX((IF(Monthly!D$4=TRUE,Monthly!D$13,Monthly!D$14)*(1+'Attrition Modeling'!$N$8)-IFERROR(G35/G102,0)*12)/12*G102,0))</f>
        <v>0</v>
      </c>
      <c r="I167" s="799">
        <f>MIN(IF(ISERROR(VLOOKUP(I$134-$F167,$E$135:$E$165,1,FALSE)),0,H35*$C$2),MAX((IF(Monthly!E$4=TRUE,Monthly!E$13,Monthly!E$14)*(1+'Attrition Modeling'!$N$8)-IFERROR(H35/H102,0)*12)/12*H102,0))</f>
        <v>0</v>
      </c>
      <c r="J167" s="799">
        <f>MIN(IF(ISERROR(VLOOKUP(J$134-$F167,$E$135:$E$165,1,FALSE)),0,I35*$C$2),MAX((IF(Monthly!F$4=TRUE,Monthly!F$13,Monthly!F$14)*(1+'Attrition Modeling'!$N$8)-IFERROR(I35/I102,0)*12)/12*I102,0))</f>
        <v>0</v>
      </c>
      <c r="K167" s="799">
        <f>MIN(IF(ISERROR(VLOOKUP(K$134-$F167,$E$135:$E$165,1,FALSE)),0,J35*$C$2),MAX((IF(Monthly!G$4=TRUE,Monthly!G$13,Monthly!G$14)*(1+'Attrition Modeling'!$N$8)-IFERROR(J35/J102,0)*12)/12*J102,0))</f>
        <v>0</v>
      </c>
      <c r="L167" s="799">
        <f>MIN(IF(ISERROR(VLOOKUP(L$134-$F167,$E$135:$E$165,1,FALSE)),0,K35*$C$2),MAX((IF(Monthly!H$4=TRUE,Monthly!H$13,Monthly!H$14)*(1+'Attrition Modeling'!$N$8)-IFERROR(K35/K102,0)*12)/12*K102,0))</f>
        <v>0</v>
      </c>
      <c r="M167" s="799">
        <f>MIN(IF(ISERROR(VLOOKUP(M$134-$F167,$E$135:$E$165,1,FALSE)),0,L35*$C$2),MAX((IF(Monthly!I$4=TRUE,Monthly!I$13,Monthly!I$14)*(1+'Attrition Modeling'!$N$8)-IFERROR(L35/L102,0)*12)/12*L102,0))</f>
        <v>0</v>
      </c>
      <c r="N167" s="799">
        <f>MIN(IF(ISERROR(VLOOKUP(N$134-$F167,$E$135:$E$165,1,FALSE)),0,M35*$C$2),MAX((IF(Monthly!J$4=TRUE,Monthly!J$13,Monthly!J$14)*(1+'Attrition Modeling'!$N$8)-IFERROR(M35/M102,0)*12)/12*M102,0))</f>
        <v>0</v>
      </c>
      <c r="O167" s="799">
        <f>MIN(IF(ISERROR(VLOOKUP(O$134-$F167,$E$135:$E$165,1,FALSE)),0,N35*$C$2),MAX((IF(Monthly!K$4=TRUE,Monthly!K$13,Monthly!K$14)*(1+'Attrition Modeling'!$N$8)-IFERROR(N35/N102,0)*12)/12*N102,0))</f>
        <v>0</v>
      </c>
      <c r="P167" s="799">
        <f>MIN(IF(ISERROR(VLOOKUP(P$134-$F167,$E$135:$E$165,1,FALSE)),0,O35*$C$2),MAX((IF(Monthly!L$4=TRUE,Monthly!L$13,Monthly!L$14)*(1+'Attrition Modeling'!$N$8)-IFERROR(O35/O102,0)*12)/12*O102,0))</f>
        <v>0</v>
      </c>
      <c r="Q167" s="799">
        <f>MIN(IF(ISERROR(VLOOKUP(Q$134-$F167,$E$135:$E$165,1,FALSE)),0,P35*$C$2),MAX((IF(Monthly!M$4=TRUE,Monthly!M$13,Monthly!M$14)*(1+'Attrition Modeling'!$N$8)-IFERROR(P35/P102,0)*12)/12*P102,0))</f>
        <v>0</v>
      </c>
      <c r="R167" s="799">
        <f>MIN(IF(ISERROR(VLOOKUP(R$134-$F167,$E$135:$E$165,1,FALSE)),0,Q35*$C$2),MAX((IF(Monthly!N$4=TRUE,Monthly!N$13,Monthly!N$14)*(1+'Attrition Modeling'!$N$8)-IFERROR(Q35/Q102,0)*12)/12*Q102,0))</f>
        <v>0</v>
      </c>
      <c r="S167" s="799">
        <f>MIN(IF(ISERROR(VLOOKUP(S$134-$F167,$E$135:$E$165,1,FALSE)),0,R35*$C$2),MAX((IF(Monthly!O$4=TRUE,Monthly!O$13,Monthly!O$14)*(1+'Attrition Modeling'!$N$8)-IFERROR(R35/R102,0)*12)/12*R102,0))</f>
        <v>0</v>
      </c>
      <c r="T167" s="799">
        <f>MIN(IF(ISERROR(VLOOKUP(T$134-$F167,$E$135:$E$165,1,FALSE)),0,S35*$C$2),MAX((IF(Monthly!P$4=TRUE,Monthly!P$13,Monthly!P$14)*(1+'Attrition Modeling'!$N$8)-IFERROR(S35/S102,0)*12)/12*S102,0))</f>
        <v>0</v>
      </c>
      <c r="U167" s="799">
        <f>MIN(IF(ISERROR(VLOOKUP(U$134-$F167,$E$135:$E$165,1,FALSE)),0,T35*$C$2),MAX((IF(Monthly!Q$4=TRUE,Monthly!Q$13,Monthly!Q$14)*(1+'Attrition Modeling'!$N$8)-IFERROR(T35/T102,0)*12)/12*T102,0))</f>
        <v>0</v>
      </c>
      <c r="V167" s="799">
        <f>MIN(IF(ISERROR(VLOOKUP(V$134-$F167,$E$135:$E$165,1,FALSE)),0,U35*$C$2),MAX((IF(Monthly!R$4=TRUE,Monthly!R$13,Monthly!R$14)*(1+'Attrition Modeling'!$N$8)-IFERROR(U35/U102,0)*12)/12*U102,0))</f>
        <v>0</v>
      </c>
      <c r="W167" s="799">
        <f>MIN(IF(ISERROR(VLOOKUP(W$134-$F167,$E$135:$E$165,1,FALSE)),0,V35*$C$2),MAX((IF(Monthly!S$4=TRUE,Monthly!S$13,Monthly!S$14)*(1+'Attrition Modeling'!$N$8)-IFERROR(V35/V102,0)*12)/12*V102,0))</f>
        <v>0</v>
      </c>
      <c r="X167" s="799">
        <f>MIN(IF(ISERROR(VLOOKUP(X$134-$F167,$E$135:$E$165,1,FALSE)),0,W35*$C$2),MAX((IF(Monthly!T$4=TRUE,Monthly!T$13,Monthly!T$14)*(1+'Attrition Modeling'!$N$8)-IFERROR(W35/W102,0)*12)/12*W102,0))</f>
        <v>0</v>
      </c>
      <c r="Y167" s="799">
        <f>MIN(IF(ISERROR(VLOOKUP(Y$134-$F167,$E$135:$E$165,1,FALSE)),0,X35*$C$2),MAX((IF(Monthly!U$4=TRUE,Monthly!U$13,Monthly!U$14)*(1+'Attrition Modeling'!$N$8)-IFERROR(X35/X102,0)*12)/12*X102,0))</f>
        <v>0</v>
      </c>
      <c r="Z167" s="799">
        <f>MIN(IF(ISERROR(VLOOKUP(Z$134-$F167,$E$135:$E$165,1,FALSE)),0,Y35*$C$2),MAX((IF(Monthly!V$4=TRUE,Monthly!V$13,Monthly!V$14)*(1+'Attrition Modeling'!$N$8)-IFERROR(Y35/Y102,0)*12)/12*Y102,0))</f>
        <v>0</v>
      </c>
      <c r="AA167" s="799">
        <f>MIN(IF(ISERROR(VLOOKUP(AA$134-$F167,$E$135:$E$165,1,FALSE)),0,Z35*$C$2),MAX((IF(Monthly!W$4=TRUE,Monthly!W$13,Monthly!W$14)*(1+'Attrition Modeling'!$N$8)-IFERROR(Z35/Z102,0)*12)/12*Z102,0))</f>
        <v>0</v>
      </c>
      <c r="AB167" s="799">
        <f>MIN(IF(ISERROR(VLOOKUP(AB$134-$F167,$E$135:$E$165,1,FALSE)),0,AA35*$C$2),MAX((IF(Monthly!X$4=TRUE,Monthly!X$13,Monthly!X$14)*(1+'Attrition Modeling'!$N$8)-IFERROR(AA35/AA102,0)*12)/12*AA102,0))</f>
        <v>0</v>
      </c>
      <c r="AC167" s="799">
        <f>MIN(IF(ISERROR(VLOOKUP(AC$134-$F167,$E$135:$E$165,1,FALSE)),0,AB35*$C$2),MAX((IF(Monthly!Y$4=TRUE,Monthly!Y$13,Monthly!Y$14)*(1+'Attrition Modeling'!$N$8)-IFERROR(AB35/AB102,0)*12)/12*AB102,0))</f>
        <v>0</v>
      </c>
      <c r="AD167" s="799">
        <f>MIN(IF(ISERROR(VLOOKUP(AD$134-$F167,$E$135:$E$165,1,FALSE)),0,AC35*$C$2),MAX((IF(Monthly!Z$4=TRUE,Monthly!Z$13,Monthly!Z$14)*(1+'Attrition Modeling'!$N$8)-IFERROR(AC35/AC102,0)*12)/12*AC102,0))</f>
        <v>0</v>
      </c>
      <c r="AE167" s="799">
        <f>MIN(IF(ISERROR(VLOOKUP(AE$134-$F167,$E$135:$E$165,1,FALSE)),0,AD35*$C$2),MAX((IF(Monthly!AA$4=TRUE,Monthly!AA$13,Monthly!AA$14)*(1+'Attrition Modeling'!$N$8)-IFERROR(AD35/AD102,0)*12)/12*AD102,0))</f>
        <v>0</v>
      </c>
      <c r="AF167" s="799">
        <f>MIN(IF(ISERROR(VLOOKUP(AF$134-$F167,$E$135:$E$165,1,FALSE)),0,AE35*$C$2),MAX((IF(Monthly!AB$4=TRUE,Monthly!AB$13,Monthly!AB$14)*(1+'Attrition Modeling'!$N$8)-IFERROR(AE35/AE102,0)*12)/12*AE102,0))</f>
        <v>0</v>
      </c>
      <c r="AG167" s="799">
        <f>MIN(IF(ISERROR(VLOOKUP(AG$134-$F167,$E$135:$E$165,1,FALSE)),0,AF35*$C$2),MAX((IF(Monthly!AC$4=TRUE,Monthly!AC$13,Monthly!AC$14)*(1+'Attrition Modeling'!$N$8)-IFERROR(AF35/AF102,0)*12)/12*AF102,0))</f>
        <v>0</v>
      </c>
      <c r="AH167" s="799">
        <f>MIN(IF(ISERROR(VLOOKUP(AH$134-$F167,$E$135:$E$165,1,FALSE)),0,AG35*$C$2),MAX((IF(Monthly!AD$4=TRUE,Monthly!AD$13,Monthly!AD$14)*(1+'Attrition Modeling'!$N$8)-IFERROR(AG35/AG102,0)*12)/12*AG102,0))</f>
        <v>0</v>
      </c>
      <c r="AI167" s="799">
        <f>MIN(IF(ISERROR(VLOOKUP(AI$134-$F167,$E$135:$E$165,1,FALSE)),0,AH35*$C$2),MAX((IF(Monthly!AE$4=TRUE,Monthly!AE$13,Monthly!AE$14)*(1+'Attrition Modeling'!$N$8)-IFERROR(AH35/AH102,0)*12)/12*AH102,0))</f>
        <v>0</v>
      </c>
      <c r="AJ167" s="799">
        <f>MIN(IF(ISERROR(VLOOKUP(AJ$134-$F167,$E$135:$E$165,1,FALSE)),0,AI35*$C$2),MAX((IF(Monthly!AF$4=TRUE,Monthly!AF$13,Monthly!AF$14)*(1+'Attrition Modeling'!$N$8)-IFERROR(AI35/AI102,0)*12)/12*AI102,0))</f>
        <v>0</v>
      </c>
      <c r="AK167" s="799">
        <f>MIN(IF(ISERROR(VLOOKUP(AK$134-$F167,$E$135:$E$165,1,FALSE)),0,AJ35*$C$2),MAX((IF(Monthly!AG$4=TRUE,Monthly!AG$13,Monthly!AG$14)*(1+'Attrition Modeling'!$N$8)-IFERROR(AJ35/AJ102,0)*12)/12*AJ102,0))</f>
        <v>0</v>
      </c>
      <c r="AL167" s="799">
        <f>MIN(IF(ISERROR(VLOOKUP(AL$134-$F167,$E$135:$E$165,1,FALSE)),0,AK35*$C$2),MAX((IF(Monthly!AH$4=TRUE,Monthly!AH$13,Monthly!AH$14)*(1+'Attrition Modeling'!$N$8)-IFERROR(AK35/AK102,0)*12)/12*AK102,0))</f>
        <v>0</v>
      </c>
      <c r="AM167" s="799">
        <f>MIN(IF(ISERROR(VLOOKUP(AM$134-$F167,$E$135:$E$165,1,FALSE)),0,AL35*$C$2),MAX((IF(Monthly!AI$4=TRUE,Monthly!AI$13,Monthly!AI$14)*(1+'Attrition Modeling'!$N$8)-IFERROR(AL35/AL102,0)*12)/12*AL102,0))</f>
        <v>0</v>
      </c>
      <c r="AN167" s="799">
        <f>MIN(IF(ISERROR(VLOOKUP(AN$134-$F167,$E$135:$E$165,1,FALSE)),0,AM35*$C$2),MAX((IF(Monthly!AJ$4=TRUE,Monthly!AJ$13,Monthly!AJ$14)*(1+'Attrition Modeling'!$N$8)-IFERROR(AM35/AM102,0)*12)/12*AM102,0))</f>
        <v>0</v>
      </c>
      <c r="AO167" s="799">
        <f>MIN(IF(ISERROR(VLOOKUP(AO$134-$F167,$E$135:$E$165,1,FALSE)),0,AN35*$C$2),MAX((IF(Monthly!AK$4=TRUE,Monthly!AK$13,Monthly!AK$14)*(1+'Attrition Modeling'!$N$8)-IFERROR(AN35/AN102,0)*12)/12*AN102,0))</f>
        <v>0</v>
      </c>
      <c r="AP167" s="799">
        <f>MIN(IF(ISERROR(VLOOKUP(AP$134-$F167,$E$135:$E$165,1,FALSE)),0,AO35*$C$2),MAX((IF(Monthly!AL$4=TRUE,Monthly!AL$13,Monthly!AL$14)*(1+'Attrition Modeling'!$N$8)-IFERROR(AO35/AO102,0)*12)/12*AO102,0))</f>
        <v>0</v>
      </c>
      <c r="AQ167" s="799">
        <f>MIN(IF(ISERROR(VLOOKUP(AQ$134-$F167,$E$135:$E$165,1,FALSE)),0,AP35*$C$2),MAX((IF(Monthly!AM$4=TRUE,Monthly!AM$13,Monthly!AM$14)*(1+'Attrition Modeling'!$N$8)-IFERROR(AP35/AP102,0)*12)/12*AP102,0))</f>
        <v>0</v>
      </c>
      <c r="AR167" s="799">
        <f>MIN(IF(ISERROR(VLOOKUP(AR$134-$F167,$E$135:$E$165,1,FALSE)),0,AQ35*$C$2),MAX((IF(Monthly!AN$4=TRUE,Monthly!AN$13,Monthly!AN$14)*(1+'Attrition Modeling'!$N$8)-IFERROR(AQ35/AQ102,0)*12)/12*AQ102,0))</f>
        <v>0</v>
      </c>
      <c r="AS167" s="799">
        <f>MIN(IF(ISERROR(VLOOKUP(AS$134-$F167,$E$135:$E$165,1,FALSE)),0,AR35*$C$2),MAX((IF(Monthly!AO$4=TRUE,Monthly!AO$13,Monthly!AO$14)*(1+'Attrition Modeling'!$N$8)-IFERROR(AR35/AR102,0)*12)/12*AR102,0))</f>
        <v>902.11247079301438</v>
      </c>
      <c r="AT167" s="799">
        <f>MIN(IF(ISERROR(VLOOKUP(AT$134-$F167,$E$135:$E$165,1,FALSE)),0,AS35*$C$2),MAX((IF(Monthly!AP$4=TRUE,Monthly!AP$13,Monthly!AP$14)*(1+'Attrition Modeling'!$N$8)-IFERROR(AS35/AS102,0)*12)/12*AS102,0))</f>
        <v>0</v>
      </c>
      <c r="AU167" s="799">
        <f>MIN(IF(ISERROR(VLOOKUP(AU$134-$F167,$E$135:$E$165,1,FALSE)),0,AT35*$C$2),MAX((IF(Monthly!AQ$4=TRUE,Monthly!AQ$13,Monthly!AQ$14)*(1+'Attrition Modeling'!$N$8)-IFERROR(AT35/AT102,0)*12)/12*AT102,0))</f>
        <v>0</v>
      </c>
      <c r="AV167" s="799">
        <f>MIN(IF(ISERROR(VLOOKUP(AV$134-$F167,$E$135:$E$165,1,FALSE)),0,AU35*$C$2),MAX((IF(Monthly!AR$4=TRUE,Monthly!AR$13,Monthly!AR$14)*(1+'Attrition Modeling'!$N$8)-IFERROR(AU35/AU102,0)*12)/12*AU102,0))</f>
        <v>0</v>
      </c>
      <c r="AW167" s="799">
        <f>MIN(IF(ISERROR(VLOOKUP(AW$134-$F167,$E$135:$E$165,1,FALSE)),0,AV35*$C$2),MAX((IF(Monthly!AS$4=TRUE,Monthly!AS$13,Monthly!AS$14)*(1+'Attrition Modeling'!$N$8)-IFERROR(AV35/AV102,0)*12)/12*AV102,0))</f>
        <v>0</v>
      </c>
      <c r="AX167" s="799">
        <f>MIN(IF(ISERROR(VLOOKUP(AX$134-$F167,$E$135:$E$165,1,FALSE)),0,AW35*$C$2),MAX((IF(Monthly!AT$4=TRUE,Monthly!AT$13,Monthly!AT$14)*(1+'Attrition Modeling'!$N$8)-IFERROR(AW35/AW102,0)*12)/12*AW102,0))</f>
        <v>0</v>
      </c>
      <c r="AY167" s="799">
        <f>MIN(IF(ISERROR(VLOOKUP(AY$134-$F167,$E$135:$E$165,1,FALSE)),0,AX35*$C$2),MAX((IF(Monthly!AU$4=TRUE,Monthly!AU$13,Monthly!AU$14)*(1+'Attrition Modeling'!$N$8)-IFERROR(AX35/AX102,0)*12)/12*AX102,0))</f>
        <v>0</v>
      </c>
      <c r="AZ167" s="799">
        <f>MIN(IF(ISERROR(VLOOKUP(AZ$134-$F167,$E$135:$E$165,1,FALSE)),0,AY35*$C$2),MAX((IF(Monthly!AV$4=TRUE,Monthly!AV$13,Monthly!AV$14)*(1+'Attrition Modeling'!$N$8)-IFERROR(AY35/AY102,0)*12)/12*AY102,0))</f>
        <v>0</v>
      </c>
      <c r="BA167" s="799">
        <f>MIN(IF(ISERROR(VLOOKUP(BA$134-$F167,$E$135:$E$165,1,FALSE)),0,AZ35*$C$2),MAX((IF(Monthly!AW$4=TRUE,Monthly!AW$13,Monthly!AW$14)*(1+'Attrition Modeling'!$N$8)-IFERROR(AZ35/AZ102,0)*12)/12*AZ102,0))</f>
        <v>0</v>
      </c>
      <c r="BB167" s="799">
        <f>MIN(IF(ISERROR(VLOOKUP(BB$134-$F167,$E$135:$E$165,1,FALSE)),0,BA35*$C$2),MAX((IF(Monthly!AX$4=TRUE,Monthly!AX$13,Monthly!AX$14)*(1+'Attrition Modeling'!$N$8)-IFERROR(BA35/BA102,0)*12)/12*BA102,0))</f>
        <v>0</v>
      </c>
      <c r="BC167" s="799">
        <f>MIN(IF(ISERROR(VLOOKUP(BC$134-$F167,$E$135:$E$165,1,FALSE)),0,BB35*$C$2),MAX((IF(Monthly!AY$4=TRUE,Monthly!AY$13,Monthly!AY$14)*(1+'Attrition Modeling'!$N$8)-IFERROR(BB35/BB102,0)*12)/12*BB102,0))</f>
        <v>0</v>
      </c>
      <c r="BD167" s="799">
        <f>MIN(IF(ISERROR(VLOOKUP(BD$134-$F167,$E$135:$E$165,1,FALSE)),0,BC35*$C$2),MAX((IF(Monthly!AZ$4=TRUE,Monthly!AZ$13,Monthly!AZ$14)*(1+'Attrition Modeling'!$N$8)-IFERROR(BC35/BC102,0)*12)/12*BC102,0))</f>
        <v>0</v>
      </c>
      <c r="BE167" s="799">
        <f>MIN(IF(ISERROR(VLOOKUP(BE$134-$F167,$E$135:$E$165,1,FALSE)),0,BD35*$C$2),MAX((IF(Monthly!BA$4=TRUE,Monthly!BA$13,Monthly!BA$14)*(1+'Attrition Modeling'!$N$8)-IFERROR(BD35/BD102,0)*12)/12*BD102,0))</f>
        <v>485.11537235939778</v>
      </c>
      <c r="BF167" s="799">
        <f>MIN(IF(ISERROR(VLOOKUP(BF$134-$F167,$E$135:$E$165,1,FALSE)),0,BE35*$C$2),MAX((IF(Monthly!BB$4=TRUE,Monthly!BB$13,Monthly!BB$14)*(1+'Attrition Modeling'!$N$8)-IFERROR(BE35/BE102,0)*12)/12*BE102,0))</f>
        <v>0</v>
      </c>
      <c r="BG167" s="799">
        <f>MIN(IF(ISERROR(VLOOKUP(BG$134-$F167,$E$135:$E$165,1,FALSE)),0,BF35*$C$2),MAX((IF(Monthly!BC$4=TRUE,Monthly!BC$13,Monthly!BC$14)*(1+'Attrition Modeling'!$N$8)-IFERROR(BF35/BF102,0)*12)/12*BF102,0))</f>
        <v>0</v>
      </c>
      <c r="BH167" s="799">
        <f>MIN(IF(ISERROR(VLOOKUP(BH$134-$F167,$E$135:$E$165,1,FALSE)),0,BG35*$C$2),MAX((IF(Monthly!BD$4=TRUE,Monthly!BD$13,Monthly!BD$14)*(1+'Attrition Modeling'!$N$8)-IFERROR(BG35/BG102,0)*12)/12*BG102,0))</f>
        <v>0</v>
      </c>
      <c r="BI167" s="799">
        <f>MIN(IF(ISERROR(VLOOKUP(BI$134-$F167,$E$135:$E$165,1,FALSE)),0,BH35*$C$2),MAX((IF(Monthly!BE$4=TRUE,Monthly!BE$13,Monthly!BE$14)*(1+'Attrition Modeling'!$N$8)-IFERROR(BH35/BH102,0)*12)/12*BH102,0))</f>
        <v>0</v>
      </c>
      <c r="BJ167" s="799">
        <f>MIN(IF(ISERROR(VLOOKUP(BJ$134-$F167,$E$135:$E$165,1,FALSE)),0,BI35*$C$2),MAX((IF(Monthly!BF$4=TRUE,Monthly!BF$13,Monthly!BF$14)*(1+'Attrition Modeling'!$N$8)-IFERROR(BI35/BI102,0)*12)/12*BI102,0))</f>
        <v>0</v>
      </c>
      <c r="BK167" s="799">
        <f>MIN(IF(ISERROR(VLOOKUP(BK$134-$F167,$E$135:$E$165,1,FALSE)),0,BJ35*$C$2),MAX((IF(Monthly!BG$4=TRUE,Monthly!BG$13,Monthly!BG$14)*(1+'Attrition Modeling'!$N$8)-IFERROR(BJ35/BJ102,0)*12)/12*BJ102,0))</f>
        <v>0</v>
      </c>
      <c r="BL167" s="799">
        <f>MIN(IF(ISERROR(VLOOKUP(BL$134-$F167,$E$135:$E$165,1,FALSE)),0,BK35*$C$2),MAX((IF(Monthly!BH$4=TRUE,Monthly!BH$13,Monthly!BH$14)*(1+'Attrition Modeling'!$N$8)-IFERROR(BK35/BK102,0)*12)/12*BK102,0))</f>
        <v>0</v>
      </c>
      <c r="BM167" s="799">
        <f>MIN(IF(ISERROR(VLOOKUP(BM$134-$F167,$E$135:$E$165,1,FALSE)),0,BL35*$C$2),MAX((IF(Monthly!BI$4=TRUE,Monthly!BI$13,Monthly!BI$14)*(1+'Attrition Modeling'!$N$8)-IFERROR(BL35/BL102,0)*12)/12*BL102,0))</f>
        <v>0</v>
      </c>
      <c r="BN167" s="799">
        <f>MIN(IF(ISERROR(VLOOKUP(BN$134-$F167,$E$135:$E$165,1,FALSE)),0,BM35*$C$2),MAX((IF(Monthly!BJ$4=TRUE,Monthly!BJ$13,Monthly!BJ$14)*(1+'Attrition Modeling'!$N$8)-IFERROR(BM35/BM102,0)*12)/12*BM102,0))</f>
        <v>0</v>
      </c>
      <c r="BO167" s="799">
        <f>MIN(IF(ISERROR(VLOOKUP(BO$134-$F167,$E$135:$E$165,1,FALSE)),0,BN35*$C$2),MAX((IF(Monthly!BK$4=TRUE,Monthly!BK$13,Monthly!BK$14)*(1+'Attrition Modeling'!$N$8)-IFERROR(BN35/BN102,0)*12)/12*BN102,0))</f>
        <v>0</v>
      </c>
      <c r="BP167" s="799">
        <f>MIN(IF(ISERROR(VLOOKUP(BP$134-$F167,$E$135:$E$165,1,FALSE)),0,BO35*$C$2),MAX((IF(Monthly!BP$4=TRUE,Monthly!BP$13,Monthly!BP$14)*(1+'Attrition Modeling'!$N$8)-IFERROR(BO35/BO102,0)*12)/12*BO102,0))</f>
        <v>0</v>
      </c>
      <c r="BQ167" s="799">
        <f>MIN(IF(ISERROR(VLOOKUP(BQ$134-$F167,$E$135:$E$165,1,FALSE)),0,BP35*$C$2),MAX((IF(Monthly!BQ$4=TRUE,Monthly!BQ$13,Monthly!BQ$14)*(1+'Attrition Modeling'!$N$8)-IFERROR(BP35/BP102,0)*12)/12*BP102,0))</f>
        <v>190.50687205652073</v>
      </c>
      <c r="BR167" s="799">
        <f>MIN(IF(ISERROR(VLOOKUP(BR$134-$F167,$E$135:$E$165,1,FALSE)),0,BQ35*$C$2),MAX((IF(Monthly!BR$4=TRUE,Monthly!BR$13,Monthly!BR$14)*(1+'Attrition Modeling'!$N$8)-IFERROR(BQ35/BQ102,0)*12)/12*BQ102,0))</f>
        <v>0</v>
      </c>
      <c r="BS167" s="799">
        <f>MIN(IF(ISERROR(VLOOKUP(BS$134-$F167,$E$135:$E$165,1,FALSE)),0,BR35*$C$2),MAX((IF(Monthly!BS$4=TRUE,Monthly!BS$13,Monthly!BS$14)*(1+'Attrition Modeling'!$N$8)-IFERROR(BR35/BR102,0)*12)/12*BR102,0))</f>
        <v>0</v>
      </c>
      <c r="BT167" s="799">
        <f>MIN(IF(ISERROR(VLOOKUP(BT$134-$F167,$E$135:$E$165,1,FALSE)),0,BS35*$C$2),MAX((IF(Monthly!BT$4=TRUE,Monthly!BT$13,Monthly!BT$14)*(1+'Attrition Modeling'!$N$8)-IFERROR(BS35/BS102,0)*12)/12*BS102,0))</f>
        <v>0</v>
      </c>
      <c r="BU167" s="799">
        <f>MIN(IF(ISERROR(VLOOKUP(BU$134-$F167,$E$135:$E$165,1,FALSE)),0,BT35*$C$2),MAX((IF(Monthly!BU$4=TRUE,Monthly!BU$13,Monthly!BU$14)*(1+'Attrition Modeling'!$N$8)-IFERROR(BT35/BT102,0)*12)/12*BT102,0))</f>
        <v>0</v>
      </c>
    </row>
    <row r="168" spans="1:73" ht="14.25" customHeight="1" x14ac:dyDescent="0.2">
      <c r="E168" s="25"/>
      <c r="F168" s="11">
        <f t="shared" si="14"/>
        <v>33</v>
      </c>
      <c r="G168" s="799"/>
      <c r="H168" s="799">
        <f>MIN(IF(ISERROR(VLOOKUP(H$134-$F168,$E$135:$E$165,1,FALSE)),0,G36*$C$2),MAX((IF(Monthly!D$4=TRUE,Monthly!D$13,Monthly!D$14)*(1+'Attrition Modeling'!$N$8)-IFERROR(G36/G103,0)*12)/12*G103,0))</f>
        <v>0</v>
      </c>
      <c r="I168" s="799">
        <f>MIN(IF(ISERROR(VLOOKUP(I$134-$F168,$E$135:$E$165,1,FALSE)),0,H36*$C$2),MAX((IF(Monthly!E$4=TRUE,Monthly!E$13,Monthly!E$14)*(1+'Attrition Modeling'!$N$8)-IFERROR(H36/H103,0)*12)/12*H103,0))</f>
        <v>0</v>
      </c>
      <c r="J168" s="799">
        <f>MIN(IF(ISERROR(VLOOKUP(J$134-$F168,$E$135:$E$165,1,FALSE)),0,I36*$C$2),MAX((IF(Monthly!F$4=TRUE,Monthly!F$13,Monthly!F$14)*(1+'Attrition Modeling'!$N$8)-IFERROR(I36/I103,0)*12)/12*I103,0))</f>
        <v>0</v>
      </c>
      <c r="K168" s="799">
        <f>MIN(IF(ISERROR(VLOOKUP(K$134-$F168,$E$135:$E$165,1,FALSE)),0,J36*$C$2),MAX((IF(Monthly!G$4=TRUE,Monthly!G$13,Monthly!G$14)*(1+'Attrition Modeling'!$N$8)-IFERROR(J36/J103,0)*12)/12*J103,0))</f>
        <v>0</v>
      </c>
      <c r="L168" s="799">
        <f>MIN(IF(ISERROR(VLOOKUP(L$134-$F168,$E$135:$E$165,1,FALSE)),0,K36*$C$2),MAX((IF(Monthly!H$4=TRUE,Monthly!H$13,Monthly!H$14)*(1+'Attrition Modeling'!$N$8)-IFERROR(K36/K103,0)*12)/12*K103,0))</f>
        <v>0</v>
      </c>
      <c r="M168" s="799">
        <f>MIN(IF(ISERROR(VLOOKUP(M$134-$F168,$E$135:$E$165,1,FALSE)),0,L36*$C$2),MAX((IF(Monthly!I$4=TRUE,Monthly!I$13,Monthly!I$14)*(1+'Attrition Modeling'!$N$8)-IFERROR(L36/L103,0)*12)/12*L103,0))</f>
        <v>0</v>
      </c>
      <c r="N168" s="799">
        <f>MIN(IF(ISERROR(VLOOKUP(N$134-$F168,$E$135:$E$165,1,FALSE)),0,M36*$C$2),MAX((IF(Monthly!J$4=TRUE,Monthly!J$13,Monthly!J$14)*(1+'Attrition Modeling'!$N$8)-IFERROR(M36/M103,0)*12)/12*M103,0))</f>
        <v>0</v>
      </c>
      <c r="O168" s="799">
        <f>MIN(IF(ISERROR(VLOOKUP(O$134-$F168,$E$135:$E$165,1,FALSE)),0,N36*$C$2),MAX((IF(Monthly!K$4=TRUE,Monthly!K$13,Monthly!K$14)*(1+'Attrition Modeling'!$N$8)-IFERROR(N36/N103,0)*12)/12*N103,0))</f>
        <v>0</v>
      </c>
      <c r="P168" s="799">
        <f>MIN(IF(ISERROR(VLOOKUP(P$134-$F168,$E$135:$E$165,1,FALSE)),0,O36*$C$2),MAX((IF(Monthly!L$4=TRUE,Monthly!L$13,Monthly!L$14)*(1+'Attrition Modeling'!$N$8)-IFERROR(O36/O103,0)*12)/12*O103,0))</f>
        <v>0</v>
      </c>
      <c r="Q168" s="799">
        <f>MIN(IF(ISERROR(VLOOKUP(Q$134-$F168,$E$135:$E$165,1,FALSE)),0,P36*$C$2),MAX((IF(Monthly!M$4=TRUE,Monthly!M$13,Monthly!M$14)*(1+'Attrition Modeling'!$N$8)-IFERROR(P36/P103,0)*12)/12*P103,0))</f>
        <v>0</v>
      </c>
      <c r="R168" s="799">
        <f>MIN(IF(ISERROR(VLOOKUP(R$134-$F168,$E$135:$E$165,1,FALSE)),0,Q36*$C$2),MAX((IF(Monthly!N$4=TRUE,Monthly!N$13,Monthly!N$14)*(1+'Attrition Modeling'!$N$8)-IFERROR(Q36/Q103,0)*12)/12*Q103,0))</f>
        <v>0</v>
      </c>
      <c r="S168" s="799">
        <f>MIN(IF(ISERROR(VLOOKUP(S$134-$F168,$E$135:$E$165,1,FALSE)),0,R36*$C$2),MAX((IF(Monthly!O$4=TRUE,Monthly!O$13,Monthly!O$14)*(1+'Attrition Modeling'!$N$8)-IFERROR(R36/R103,0)*12)/12*R103,0))</f>
        <v>0</v>
      </c>
      <c r="T168" s="799">
        <f>MIN(IF(ISERROR(VLOOKUP(T$134-$F168,$E$135:$E$165,1,FALSE)),0,S36*$C$2),MAX((IF(Monthly!P$4=TRUE,Monthly!P$13,Monthly!P$14)*(1+'Attrition Modeling'!$N$8)-IFERROR(S36/S103,0)*12)/12*S103,0))</f>
        <v>0</v>
      </c>
      <c r="U168" s="799">
        <f>MIN(IF(ISERROR(VLOOKUP(U$134-$F168,$E$135:$E$165,1,FALSE)),0,T36*$C$2),MAX((IF(Monthly!Q$4=TRUE,Monthly!Q$13,Monthly!Q$14)*(1+'Attrition Modeling'!$N$8)-IFERROR(T36/T103,0)*12)/12*T103,0))</f>
        <v>0</v>
      </c>
      <c r="V168" s="799">
        <f>MIN(IF(ISERROR(VLOOKUP(V$134-$F168,$E$135:$E$165,1,FALSE)),0,U36*$C$2),MAX((IF(Monthly!R$4=TRUE,Monthly!R$13,Monthly!R$14)*(1+'Attrition Modeling'!$N$8)-IFERROR(U36/U103,0)*12)/12*U103,0))</f>
        <v>0</v>
      </c>
      <c r="W168" s="799">
        <f>MIN(IF(ISERROR(VLOOKUP(W$134-$F168,$E$135:$E$165,1,FALSE)),0,V36*$C$2),MAX((IF(Monthly!S$4=TRUE,Monthly!S$13,Monthly!S$14)*(1+'Attrition Modeling'!$N$8)-IFERROR(V36/V103,0)*12)/12*V103,0))</f>
        <v>0</v>
      </c>
      <c r="X168" s="799">
        <f>MIN(IF(ISERROR(VLOOKUP(X$134-$F168,$E$135:$E$165,1,FALSE)),0,W36*$C$2),MAX((IF(Monthly!T$4=TRUE,Monthly!T$13,Monthly!T$14)*(1+'Attrition Modeling'!$N$8)-IFERROR(W36/W103,0)*12)/12*W103,0))</f>
        <v>0</v>
      </c>
      <c r="Y168" s="799">
        <f>MIN(IF(ISERROR(VLOOKUP(Y$134-$F168,$E$135:$E$165,1,FALSE)),0,X36*$C$2),MAX((IF(Monthly!U$4=TRUE,Monthly!U$13,Monthly!U$14)*(1+'Attrition Modeling'!$N$8)-IFERROR(X36/X103,0)*12)/12*X103,0))</f>
        <v>0</v>
      </c>
      <c r="Z168" s="799">
        <f>MIN(IF(ISERROR(VLOOKUP(Z$134-$F168,$E$135:$E$165,1,FALSE)),0,Y36*$C$2),MAX((IF(Monthly!V$4=TRUE,Monthly!V$13,Monthly!V$14)*(1+'Attrition Modeling'!$N$8)-IFERROR(Y36/Y103,0)*12)/12*Y103,0))</f>
        <v>0</v>
      </c>
      <c r="AA168" s="799">
        <f>MIN(IF(ISERROR(VLOOKUP(AA$134-$F168,$E$135:$E$165,1,FALSE)),0,Z36*$C$2),MAX((IF(Monthly!W$4=TRUE,Monthly!W$13,Monthly!W$14)*(1+'Attrition Modeling'!$N$8)-IFERROR(Z36/Z103,0)*12)/12*Z103,0))</f>
        <v>0</v>
      </c>
      <c r="AB168" s="799">
        <f>MIN(IF(ISERROR(VLOOKUP(AB$134-$F168,$E$135:$E$165,1,FALSE)),0,AA36*$C$2),MAX((IF(Monthly!X$4=TRUE,Monthly!X$13,Monthly!X$14)*(1+'Attrition Modeling'!$N$8)-IFERROR(AA36/AA103,0)*12)/12*AA103,0))</f>
        <v>0</v>
      </c>
      <c r="AC168" s="799">
        <f>MIN(IF(ISERROR(VLOOKUP(AC$134-$F168,$E$135:$E$165,1,FALSE)),0,AB36*$C$2),MAX((IF(Monthly!Y$4=TRUE,Monthly!Y$13,Monthly!Y$14)*(1+'Attrition Modeling'!$N$8)-IFERROR(AB36/AB103,0)*12)/12*AB103,0))</f>
        <v>0</v>
      </c>
      <c r="AD168" s="799">
        <f>MIN(IF(ISERROR(VLOOKUP(AD$134-$F168,$E$135:$E$165,1,FALSE)),0,AC36*$C$2),MAX((IF(Monthly!Z$4=TRUE,Monthly!Z$13,Monthly!Z$14)*(1+'Attrition Modeling'!$N$8)-IFERROR(AC36/AC103,0)*12)/12*AC103,0))</f>
        <v>0</v>
      </c>
      <c r="AE168" s="799">
        <f>MIN(IF(ISERROR(VLOOKUP(AE$134-$F168,$E$135:$E$165,1,FALSE)),0,AD36*$C$2),MAX((IF(Monthly!AA$4=TRUE,Monthly!AA$13,Monthly!AA$14)*(1+'Attrition Modeling'!$N$8)-IFERROR(AD36/AD103,0)*12)/12*AD103,0))</f>
        <v>0</v>
      </c>
      <c r="AF168" s="799">
        <f>MIN(IF(ISERROR(VLOOKUP(AF$134-$F168,$E$135:$E$165,1,FALSE)),0,AE36*$C$2),MAX((IF(Monthly!AB$4=TRUE,Monthly!AB$13,Monthly!AB$14)*(1+'Attrition Modeling'!$N$8)-IFERROR(AE36/AE103,0)*12)/12*AE103,0))</f>
        <v>0</v>
      </c>
      <c r="AG168" s="799">
        <f>MIN(IF(ISERROR(VLOOKUP(AG$134-$F168,$E$135:$E$165,1,FALSE)),0,AF36*$C$2),MAX((IF(Monthly!AC$4=TRUE,Monthly!AC$13,Monthly!AC$14)*(1+'Attrition Modeling'!$N$8)-IFERROR(AF36/AF103,0)*12)/12*AF103,0))</f>
        <v>0</v>
      </c>
      <c r="AH168" s="799">
        <f>MIN(IF(ISERROR(VLOOKUP(AH$134-$F168,$E$135:$E$165,1,FALSE)),0,AG36*$C$2),MAX((IF(Monthly!AD$4=TRUE,Monthly!AD$13,Monthly!AD$14)*(1+'Attrition Modeling'!$N$8)-IFERROR(AG36/AG103,0)*12)/12*AG103,0))</f>
        <v>0</v>
      </c>
      <c r="AI168" s="799">
        <f>MIN(IF(ISERROR(VLOOKUP(AI$134-$F168,$E$135:$E$165,1,FALSE)),0,AH36*$C$2),MAX((IF(Monthly!AE$4=TRUE,Monthly!AE$13,Monthly!AE$14)*(1+'Attrition Modeling'!$N$8)-IFERROR(AH36/AH103,0)*12)/12*AH103,0))</f>
        <v>0</v>
      </c>
      <c r="AJ168" s="799">
        <f>MIN(IF(ISERROR(VLOOKUP(AJ$134-$F168,$E$135:$E$165,1,FALSE)),0,AI36*$C$2),MAX((IF(Monthly!AF$4=TRUE,Monthly!AF$13,Monthly!AF$14)*(1+'Attrition Modeling'!$N$8)-IFERROR(AI36/AI103,0)*12)/12*AI103,0))</f>
        <v>0</v>
      </c>
      <c r="AK168" s="799">
        <f>MIN(IF(ISERROR(VLOOKUP(AK$134-$F168,$E$135:$E$165,1,FALSE)),0,AJ36*$C$2),MAX((IF(Monthly!AG$4=TRUE,Monthly!AG$13,Monthly!AG$14)*(1+'Attrition Modeling'!$N$8)-IFERROR(AJ36/AJ103,0)*12)/12*AJ103,0))</f>
        <v>0</v>
      </c>
      <c r="AL168" s="799">
        <f>MIN(IF(ISERROR(VLOOKUP(AL$134-$F168,$E$135:$E$165,1,FALSE)),0,AK36*$C$2),MAX((IF(Monthly!AH$4=TRUE,Monthly!AH$13,Monthly!AH$14)*(1+'Attrition Modeling'!$N$8)-IFERROR(AK36/AK103,0)*12)/12*AK103,0))</f>
        <v>0</v>
      </c>
      <c r="AM168" s="799">
        <f>MIN(IF(ISERROR(VLOOKUP(AM$134-$F168,$E$135:$E$165,1,FALSE)),0,AL36*$C$2),MAX((IF(Monthly!AI$4=TRUE,Monthly!AI$13,Monthly!AI$14)*(1+'Attrition Modeling'!$N$8)-IFERROR(AL36/AL103,0)*12)/12*AL103,0))</f>
        <v>0</v>
      </c>
      <c r="AN168" s="799">
        <f>MIN(IF(ISERROR(VLOOKUP(AN$134-$F168,$E$135:$E$165,1,FALSE)),0,AM36*$C$2),MAX((IF(Monthly!AJ$4=TRUE,Monthly!AJ$13,Monthly!AJ$14)*(1+'Attrition Modeling'!$N$8)-IFERROR(AM36/AM103,0)*12)/12*AM103,0))</f>
        <v>0</v>
      </c>
      <c r="AO168" s="799">
        <f>MIN(IF(ISERROR(VLOOKUP(AO$134-$F168,$E$135:$E$165,1,FALSE)),0,AN36*$C$2),MAX((IF(Monthly!AK$4=TRUE,Monthly!AK$13,Monthly!AK$14)*(1+'Attrition Modeling'!$N$8)-IFERROR(AN36/AN103,0)*12)/12*AN103,0))</f>
        <v>0</v>
      </c>
      <c r="AP168" s="799">
        <f>MIN(IF(ISERROR(VLOOKUP(AP$134-$F168,$E$135:$E$165,1,FALSE)),0,AO36*$C$2),MAX((IF(Monthly!AL$4=TRUE,Monthly!AL$13,Monthly!AL$14)*(1+'Attrition Modeling'!$N$8)-IFERROR(AO36/AO103,0)*12)/12*AO103,0))</f>
        <v>0</v>
      </c>
      <c r="AQ168" s="799">
        <f>MIN(IF(ISERROR(VLOOKUP(AQ$134-$F168,$E$135:$E$165,1,FALSE)),0,AP36*$C$2),MAX((IF(Monthly!AM$4=TRUE,Monthly!AM$13,Monthly!AM$14)*(1+'Attrition Modeling'!$N$8)-IFERROR(AP36/AP103,0)*12)/12*AP103,0))</f>
        <v>0</v>
      </c>
      <c r="AR168" s="799">
        <f>MIN(IF(ISERROR(VLOOKUP(AR$134-$F168,$E$135:$E$165,1,FALSE)),0,AQ36*$C$2),MAX((IF(Monthly!AN$4=TRUE,Monthly!AN$13,Monthly!AN$14)*(1+'Attrition Modeling'!$N$8)-IFERROR(AQ36/AQ103,0)*12)/12*AQ103,0))</f>
        <v>0</v>
      </c>
      <c r="AS168" s="799">
        <f>MIN(IF(ISERROR(VLOOKUP(AS$134-$F168,$E$135:$E$165,1,FALSE)),0,AR36*$C$2),MAX((IF(Monthly!AO$4=TRUE,Monthly!AO$13,Monthly!AO$14)*(1+'Attrition Modeling'!$N$8)-IFERROR(AR36/AR103,0)*12)/12*AR103,0))</f>
        <v>0</v>
      </c>
      <c r="AT168" s="799">
        <f>MIN(IF(ISERROR(VLOOKUP(AT$134-$F168,$E$135:$E$165,1,FALSE)),0,AS36*$C$2),MAX((IF(Monthly!AP$4=TRUE,Monthly!AP$13,Monthly!AP$14)*(1+'Attrition Modeling'!$N$8)-IFERROR(AS36/AS103,0)*12)/12*AS103,0))</f>
        <v>904.55448531944012</v>
      </c>
      <c r="AU168" s="799">
        <f>MIN(IF(ISERROR(VLOOKUP(AU$134-$F168,$E$135:$E$165,1,FALSE)),0,AT36*$C$2),MAX((IF(Monthly!AQ$4=TRUE,Monthly!AQ$13,Monthly!AQ$14)*(1+'Attrition Modeling'!$N$8)-IFERROR(AT36/AT103,0)*12)/12*AT103,0))</f>
        <v>0</v>
      </c>
      <c r="AV168" s="799">
        <f>MIN(IF(ISERROR(VLOOKUP(AV$134-$F168,$E$135:$E$165,1,FALSE)),0,AU36*$C$2),MAX((IF(Monthly!AR$4=TRUE,Monthly!AR$13,Monthly!AR$14)*(1+'Attrition Modeling'!$N$8)-IFERROR(AU36/AU103,0)*12)/12*AU103,0))</f>
        <v>0</v>
      </c>
      <c r="AW168" s="799">
        <f>MIN(IF(ISERROR(VLOOKUP(AW$134-$F168,$E$135:$E$165,1,FALSE)),0,AV36*$C$2),MAX((IF(Monthly!AS$4=TRUE,Monthly!AS$13,Monthly!AS$14)*(1+'Attrition Modeling'!$N$8)-IFERROR(AV36/AV103,0)*12)/12*AV103,0))</f>
        <v>0</v>
      </c>
      <c r="AX168" s="799">
        <f>MIN(IF(ISERROR(VLOOKUP(AX$134-$F168,$E$135:$E$165,1,FALSE)),0,AW36*$C$2),MAX((IF(Monthly!AT$4=TRUE,Monthly!AT$13,Monthly!AT$14)*(1+'Attrition Modeling'!$N$8)-IFERROR(AW36/AW103,0)*12)/12*AW103,0))</f>
        <v>0</v>
      </c>
      <c r="AY168" s="799">
        <f>MIN(IF(ISERROR(VLOOKUP(AY$134-$F168,$E$135:$E$165,1,FALSE)),0,AX36*$C$2),MAX((IF(Monthly!AU$4=TRUE,Monthly!AU$13,Monthly!AU$14)*(1+'Attrition Modeling'!$N$8)-IFERROR(AX36/AX103,0)*12)/12*AX103,0))</f>
        <v>0</v>
      </c>
      <c r="AZ168" s="799">
        <f>MIN(IF(ISERROR(VLOOKUP(AZ$134-$F168,$E$135:$E$165,1,FALSE)),0,AY36*$C$2),MAX((IF(Monthly!AV$4=TRUE,Monthly!AV$13,Monthly!AV$14)*(1+'Attrition Modeling'!$N$8)-IFERROR(AY36/AY103,0)*12)/12*AY103,0))</f>
        <v>0</v>
      </c>
      <c r="BA168" s="799">
        <f>MIN(IF(ISERROR(VLOOKUP(BA$134-$F168,$E$135:$E$165,1,FALSE)),0,AZ36*$C$2),MAX((IF(Monthly!AW$4=TRUE,Monthly!AW$13,Monthly!AW$14)*(1+'Attrition Modeling'!$N$8)-IFERROR(AZ36/AZ103,0)*12)/12*AZ103,0))</f>
        <v>0</v>
      </c>
      <c r="BB168" s="799">
        <f>MIN(IF(ISERROR(VLOOKUP(BB$134-$F168,$E$135:$E$165,1,FALSE)),0,BA36*$C$2),MAX((IF(Monthly!AX$4=TRUE,Monthly!AX$13,Monthly!AX$14)*(1+'Attrition Modeling'!$N$8)-IFERROR(BA36/BA103,0)*12)/12*BA103,0))</f>
        <v>0</v>
      </c>
      <c r="BC168" s="799">
        <f>MIN(IF(ISERROR(VLOOKUP(BC$134-$F168,$E$135:$E$165,1,FALSE)),0,BB36*$C$2),MAX((IF(Monthly!AY$4=TRUE,Monthly!AY$13,Monthly!AY$14)*(1+'Attrition Modeling'!$N$8)-IFERROR(BB36/BB103,0)*12)/12*BB103,0))</f>
        <v>0</v>
      </c>
      <c r="BD168" s="799">
        <f>MIN(IF(ISERROR(VLOOKUP(BD$134-$F168,$E$135:$E$165,1,FALSE)),0,BC36*$C$2),MAX((IF(Monthly!AZ$4=TRUE,Monthly!AZ$13,Monthly!AZ$14)*(1+'Attrition Modeling'!$N$8)-IFERROR(BC36/BC103,0)*12)/12*BC103,0))</f>
        <v>0</v>
      </c>
      <c r="BE168" s="799">
        <f>MIN(IF(ISERROR(VLOOKUP(BE$134-$F168,$E$135:$E$165,1,FALSE)),0,BD36*$C$2),MAX((IF(Monthly!BA$4=TRUE,Monthly!BA$13,Monthly!BA$14)*(1+'Attrition Modeling'!$N$8)-IFERROR(BD36/BD103,0)*12)/12*BD103,0))</f>
        <v>0</v>
      </c>
      <c r="BF168" s="799">
        <f>MIN(IF(ISERROR(VLOOKUP(BF$134-$F168,$E$135:$E$165,1,FALSE)),0,BE36*$C$2),MAX((IF(Monthly!BB$4=TRUE,Monthly!BB$13,Monthly!BB$14)*(1+'Attrition Modeling'!$N$8)-IFERROR(BE36/BE103,0)*12)/12*BE103,0))</f>
        <v>472.18442967445361</v>
      </c>
      <c r="BG168" s="799">
        <f>MIN(IF(ISERROR(VLOOKUP(BG$134-$F168,$E$135:$E$165,1,FALSE)),0,BF36*$C$2),MAX((IF(Monthly!BC$4=TRUE,Monthly!BC$13,Monthly!BC$14)*(1+'Attrition Modeling'!$N$8)-IFERROR(BF36/BF103,0)*12)/12*BF103,0))</f>
        <v>0</v>
      </c>
      <c r="BH168" s="799">
        <f>MIN(IF(ISERROR(VLOOKUP(BH$134-$F168,$E$135:$E$165,1,FALSE)),0,BG36*$C$2),MAX((IF(Monthly!BD$4=TRUE,Monthly!BD$13,Monthly!BD$14)*(1+'Attrition Modeling'!$N$8)-IFERROR(BG36/BG103,0)*12)/12*BG103,0))</f>
        <v>0</v>
      </c>
      <c r="BI168" s="799">
        <f>MIN(IF(ISERROR(VLOOKUP(BI$134-$F168,$E$135:$E$165,1,FALSE)),0,BH36*$C$2),MAX((IF(Monthly!BE$4=TRUE,Monthly!BE$13,Monthly!BE$14)*(1+'Attrition Modeling'!$N$8)-IFERROR(BH36/BH103,0)*12)/12*BH103,0))</f>
        <v>0</v>
      </c>
      <c r="BJ168" s="799">
        <f>MIN(IF(ISERROR(VLOOKUP(BJ$134-$F168,$E$135:$E$165,1,FALSE)),0,BI36*$C$2),MAX((IF(Monthly!BF$4=TRUE,Monthly!BF$13,Monthly!BF$14)*(1+'Attrition Modeling'!$N$8)-IFERROR(BI36/BI103,0)*12)/12*BI103,0))</f>
        <v>0</v>
      </c>
      <c r="BK168" s="799">
        <f>MIN(IF(ISERROR(VLOOKUP(BK$134-$F168,$E$135:$E$165,1,FALSE)),0,BJ36*$C$2),MAX((IF(Monthly!BG$4=TRUE,Monthly!BG$13,Monthly!BG$14)*(1+'Attrition Modeling'!$N$8)-IFERROR(BJ36/BJ103,0)*12)/12*BJ103,0))</f>
        <v>0</v>
      </c>
      <c r="BL168" s="799">
        <f>MIN(IF(ISERROR(VLOOKUP(BL$134-$F168,$E$135:$E$165,1,FALSE)),0,BK36*$C$2),MAX((IF(Monthly!BH$4=TRUE,Monthly!BH$13,Monthly!BH$14)*(1+'Attrition Modeling'!$N$8)-IFERROR(BK36/BK103,0)*12)/12*BK103,0))</f>
        <v>0</v>
      </c>
      <c r="BM168" s="799">
        <f>MIN(IF(ISERROR(VLOOKUP(BM$134-$F168,$E$135:$E$165,1,FALSE)),0,BL36*$C$2),MAX((IF(Monthly!BI$4=TRUE,Monthly!BI$13,Monthly!BI$14)*(1+'Attrition Modeling'!$N$8)-IFERROR(BL36/BL103,0)*12)/12*BL103,0))</f>
        <v>0</v>
      </c>
      <c r="BN168" s="799">
        <f>MIN(IF(ISERROR(VLOOKUP(BN$134-$F168,$E$135:$E$165,1,FALSE)),0,BM36*$C$2),MAX((IF(Monthly!BJ$4=TRUE,Monthly!BJ$13,Monthly!BJ$14)*(1+'Attrition Modeling'!$N$8)-IFERROR(BM36/BM103,0)*12)/12*BM103,0))</f>
        <v>0</v>
      </c>
      <c r="BO168" s="799">
        <f>MIN(IF(ISERROR(VLOOKUP(BO$134-$F168,$E$135:$E$165,1,FALSE)),0,BN36*$C$2),MAX((IF(Monthly!BK$4=TRUE,Monthly!BK$13,Monthly!BK$14)*(1+'Attrition Modeling'!$N$8)-IFERROR(BN36/BN103,0)*12)/12*BN103,0))</f>
        <v>0</v>
      </c>
      <c r="BP168" s="799">
        <f>MIN(IF(ISERROR(VLOOKUP(BP$134-$F168,$E$135:$E$165,1,FALSE)),0,BO36*$C$2),MAX((IF(Monthly!BP$4=TRUE,Monthly!BP$13,Monthly!BP$14)*(1+'Attrition Modeling'!$N$8)-IFERROR(BO36/BO103,0)*12)/12*BO103,0))</f>
        <v>0</v>
      </c>
      <c r="BQ168" s="799">
        <f>MIN(IF(ISERROR(VLOOKUP(BQ$134-$F168,$E$135:$E$165,1,FALSE)),0,BP36*$C$2),MAX((IF(Monthly!BQ$4=TRUE,Monthly!BQ$13,Monthly!BQ$14)*(1+'Attrition Modeling'!$N$8)-IFERROR(BP36/BP103,0)*12)/12*BP103,0))</f>
        <v>0</v>
      </c>
      <c r="BR168" s="799">
        <f>MIN(IF(ISERROR(VLOOKUP(BR$134-$F168,$E$135:$E$165,1,FALSE)),0,BQ36*$C$2),MAX((IF(Monthly!BR$4=TRUE,Monthly!BR$13,Monthly!BR$14)*(1+'Attrition Modeling'!$N$8)-IFERROR(BQ36/BQ103,0)*12)/12*BQ103,0))</f>
        <v>317.83553990271082</v>
      </c>
      <c r="BS168" s="799">
        <f>MIN(IF(ISERROR(VLOOKUP(BS$134-$F168,$E$135:$E$165,1,FALSE)),0,BR36*$C$2),MAX((IF(Monthly!BS$4=TRUE,Monthly!BS$13,Monthly!BS$14)*(1+'Attrition Modeling'!$N$8)-IFERROR(BR36/BR103,0)*12)/12*BR103,0))</f>
        <v>0</v>
      </c>
      <c r="BT168" s="799">
        <f>MIN(IF(ISERROR(VLOOKUP(BT$134-$F168,$E$135:$E$165,1,FALSE)),0,BS36*$C$2),MAX((IF(Monthly!BT$4=TRUE,Monthly!BT$13,Monthly!BT$14)*(1+'Attrition Modeling'!$N$8)-IFERROR(BS36/BS103,0)*12)/12*BS103,0))</f>
        <v>0</v>
      </c>
      <c r="BU168" s="799">
        <f>MIN(IF(ISERROR(VLOOKUP(BU$134-$F168,$E$135:$E$165,1,FALSE)),0,BT36*$C$2),MAX((IF(Monthly!BU$4=TRUE,Monthly!BU$13,Monthly!BU$14)*(1+'Attrition Modeling'!$N$8)-IFERROR(BT36/BT103,0)*12)/12*BT103,0))</f>
        <v>0</v>
      </c>
    </row>
    <row r="169" spans="1:73" ht="14.25" customHeight="1" x14ac:dyDescent="0.2">
      <c r="E169" s="25"/>
      <c r="F169" s="11">
        <f t="shared" si="14"/>
        <v>34</v>
      </c>
      <c r="G169" s="799"/>
      <c r="H169" s="799">
        <f>MIN(IF(ISERROR(VLOOKUP(H$134-$F169,$E$135:$E$165,1,FALSE)),0,G37*$C$2),MAX((IF(Monthly!D$4=TRUE,Monthly!D$13,Monthly!D$14)*(1+'Attrition Modeling'!$N$8)-IFERROR(G37/G104,0)*12)/12*G104,0))</f>
        <v>0</v>
      </c>
      <c r="I169" s="799">
        <f>MIN(IF(ISERROR(VLOOKUP(I$134-$F169,$E$135:$E$165,1,FALSE)),0,H37*$C$2),MAX((IF(Monthly!E$4=TRUE,Monthly!E$13,Monthly!E$14)*(1+'Attrition Modeling'!$N$8)-IFERROR(H37/H104,0)*12)/12*H104,0))</f>
        <v>0</v>
      </c>
      <c r="J169" s="799">
        <f>MIN(IF(ISERROR(VLOOKUP(J$134-$F169,$E$135:$E$165,1,FALSE)),0,I37*$C$2),MAX((IF(Monthly!F$4=TRUE,Monthly!F$13,Monthly!F$14)*(1+'Attrition Modeling'!$N$8)-IFERROR(I37/I104,0)*12)/12*I104,0))</f>
        <v>0</v>
      </c>
      <c r="K169" s="799">
        <f>MIN(IF(ISERROR(VLOOKUP(K$134-$F169,$E$135:$E$165,1,FALSE)),0,J37*$C$2),MAX((IF(Monthly!G$4=TRUE,Monthly!G$13,Monthly!G$14)*(1+'Attrition Modeling'!$N$8)-IFERROR(J37/J104,0)*12)/12*J104,0))</f>
        <v>0</v>
      </c>
      <c r="L169" s="799">
        <f>MIN(IF(ISERROR(VLOOKUP(L$134-$F169,$E$135:$E$165,1,FALSE)),0,K37*$C$2),MAX((IF(Monthly!H$4=TRUE,Monthly!H$13,Monthly!H$14)*(1+'Attrition Modeling'!$N$8)-IFERROR(K37/K104,0)*12)/12*K104,0))</f>
        <v>0</v>
      </c>
      <c r="M169" s="799">
        <f>MIN(IF(ISERROR(VLOOKUP(M$134-$F169,$E$135:$E$165,1,FALSE)),0,L37*$C$2),MAX((IF(Monthly!I$4=TRUE,Monthly!I$13,Monthly!I$14)*(1+'Attrition Modeling'!$N$8)-IFERROR(L37/L104,0)*12)/12*L104,0))</f>
        <v>0</v>
      </c>
      <c r="N169" s="799">
        <f>MIN(IF(ISERROR(VLOOKUP(N$134-$F169,$E$135:$E$165,1,FALSE)),0,M37*$C$2),MAX((IF(Monthly!J$4=TRUE,Monthly!J$13,Monthly!J$14)*(1+'Attrition Modeling'!$N$8)-IFERROR(M37/M104,0)*12)/12*M104,0))</f>
        <v>0</v>
      </c>
      <c r="O169" s="799">
        <f>MIN(IF(ISERROR(VLOOKUP(O$134-$F169,$E$135:$E$165,1,FALSE)),0,N37*$C$2),MAX((IF(Monthly!K$4=TRUE,Monthly!K$13,Monthly!K$14)*(1+'Attrition Modeling'!$N$8)-IFERROR(N37/N104,0)*12)/12*N104,0))</f>
        <v>0</v>
      </c>
      <c r="P169" s="799">
        <f>MIN(IF(ISERROR(VLOOKUP(P$134-$F169,$E$135:$E$165,1,FALSE)),0,O37*$C$2),MAX((IF(Monthly!L$4=TRUE,Monthly!L$13,Monthly!L$14)*(1+'Attrition Modeling'!$N$8)-IFERROR(O37/O104,0)*12)/12*O104,0))</f>
        <v>0</v>
      </c>
      <c r="Q169" s="799">
        <f>MIN(IF(ISERROR(VLOOKUP(Q$134-$F169,$E$135:$E$165,1,FALSE)),0,P37*$C$2),MAX((IF(Monthly!M$4=TRUE,Monthly!M$13,Monthly!M$14)*(1+'Attrition Modeling'!$N$8)-IFERROR(P37/P104,0)*12)/12*P104,0))</f>
        <v>0</v>
      </c>
      <c r="R169" s="799">
        <f>MIN(IF(ISERROR(VLOOKUP(R$134-$F169,$E$135:$E$165,1,FALSE)),0,Q37*$C$2),MAX((IF(Monthly!N$4=TRUE,Monthly!N$13,Monthly!N$14)*(1+'Attrition Modeling'!$N$8)-IFERROR(Q37/Q104,0)*12)/12*Q104,0))</f>
        <v>0</v>
      </c>
      <c r="S169" s="799">
        <f>MIN(IF(ISERROR(VLOOKUP(S$134-$F169,$E$135:$E$165,1,FALSE)),0,R37*$C$2),MAX((IF(Monthly!O$4=TRUE,Monthly!O$13,Monthly!O$14)*(1+'Attrition Modeling'!$N$8)-IFERROR(R37/R104,0)*12)/12*R104,0))</f>
        <v>0</v>
      </c>
      <c r="T169" s="799">
        <f>MIN(IF(ISERROR(VLOOKUP(T$134-$F169,$E$135:$E$165,1,FALSE)),0,S37*$C$2),MAX((IF(Monthly!P$4=TRUE,Monthly!P$13,Monthly!P$14)*(1+'Attrition Modeling'!$N$8)-IFERROR(S37/S104,0)*12)/12*S104,0))</f>
        <v>0</v>
      </c>
      <c r="U169" s="799">
        <f>MIN(IF(ISERROR(VLOOKUP(U$134-$F169,$E$135:$E$165,1,FALSE)),0,T37*$C$2),MAX((IF(Monthly!Q$4=TRUE,Monthly!Q$13,Monthly!Q$14)*(1+'Attrition Modeling'!$N$8)-IFERROR(T37/T104,0)*12)/12*T104,0))</f>
        <v>0</v>
      </c>
      <c r="V169" s="799">
        <f>MIN(IF(ISERROR(VLOOKUP(V$134-$F169,$E$135:$E$165,1,FALSE)),0,U37*$C$2),MAX((IF(Monthly!R$4=TRUE,Monthly!R$13,Monthly!R$14)*(1+'Attrition Modeling'!$N$8)-IFERROR(U37/U104,0)*12)/12*U104,0))</f>
        <v>0</v>
      </c>
      <c r="W169" s="799">
        <f>MIN(IF(ISERROR(VLOOKUP(W$134-$F169,$E$135:$E$165,1,FALSE)),0,V37*$C$2),MAX((IF(Monthly!S$4=TRUE,Monthly!S$13,Monthly!S$14)*(1+'Attrition Modeling'!$N$8)-IFERROR(V37/V104,0)*12)/12*V104,0))</f>
        <v>0</v>
      </c>
      <c r="X169" s="799">
        <f>MIN(IF(ISERROR(VLOOKUP(X$134-$F169,$E$135:$E$165,1,FALSE)),0,W37*$C$2),MAX((IF(Monthly!T$4=TRUE,Monthly!T$13,Monthly!T$14)*(1+'Attrition Modeling'!$N$8)-IFERROR(W37/W104,0)*12)/12*W104,0))</f>
        <v>0</v>
      </c>
      <c r="Y169" s="799">
        <f>MIN(IF(ISERROR(VLOOKUP(Y$134-$F169,$E$135:$E$165,1,FALSE)),0,X37*$C$2),MAX((IF(Monthly!U$4=TRUE,Monthly!U$13,Monthly!U$14)*(1+'Attrition Modeling'!$N$8)-IFERROR(X37/X104,0)*12)/12*X104,0))</f>
        <v>0</v>
      </c>
      <c r="Z169" s="799">
        <f>MIN(IF(ISERROR(VLOOKUP(Z$134-$F169,$E$135:$E$165,1,FALSE)),0,Y37*$C$2),MAX((IF(Monthly!V$4=TRUE,Monthly!V$13,Monthly!V$14)*(1+'Attrition Modeling'!$N$8)-IFERROR(Y37/Y104,0)*12)/12*Y104,0))</f>
        <v>0</v>
      </c>
      <c r="AA169" s="799">
        <f>MIN(IF(ISERROR(VLOOKUP(AA$134-$F169,$E$135:$E$165,1,FALSE)),0,Z37*$C$2),MAX((IF(Monthly!W$4=TRUE,Monthly!W$13,Monthly!W$14)*(1+'Attrition Modeling'!$N$8)-IFERROR(Z37/Z104,0)*12)/12*Z104,0))</f>
        <v>0</v>
      </c>
      <c r="AB169" s="799">
        <f>MIN(IF(ISERROR(VLOOKUP(AB$134-$F169,$E$135:$E$165,1,FALSE)),0,AA37*$C$2),MAX((IF(Monthly!X$4=TRUE,Monthly!X$13,Monthly!X$14)*(1+'Attrition Modeling'!$N$8)-IFERROR(AA37/AA104,0)*12)/12*AA104,0))</f>
        <v>0</v>
      </c>
      <c r="AC169" s="799">
        <f>MIN(IF(ISERROR(VLOOKUP(AC$134-$F169,$E$135:$E$165,1,FALSE)),0,AB37*$C$2),MAX((IF(Monthly!Y$4=TRUE,Monthly!Y$13,Monthly!Y$14)*(1+'Attrition Modeling'!$N$8)-IFERROR(AB37/AB104,0)*12)/12*AB104,0))</f>
        <v>0</v>
      </c>
      <c r="AD169" s="799">
        <f>MIN(IF(ISERROR(VLOOKUP(AD$134-$F169,$E$135:$E$165,1,FALSE)),0,AC37*$C$2),MAX((IF(Monthly!Z$4=TRUE,Monthly!Z$13,Monthly!Z$14)*(1+'Attrition Modeling'!$N$8)-IFERROR(AC37/AC104,0)*12)/12*AC104,0))</f>
        <v>0</v>
      </c>
      <c r="AE169" s="799">
        <f>MIN(IF(ISERROR(VLOOKUP(AE$134-$F169,$E$135:$E$165,1,FALSE)),0,AD37*$C$2),MAX((IF(Monthly!AA$4=TRUE,Monthly!AA$13,Monthly!AA$14)*(1+'Attrition Modeling'!$N$8)-IFERROR(AD37/AD104,0)*12)/12*AD104,0))</f>
        <v>0</v>
      </c>
      <c r="AF169" s="799">
        <f>MIN(IF(ISERROR(VLOOKUP(AF$134-$F169,$E$135:$E$165,1,FALSE)),0,AE37*$C$2),MAX((IF(Monthly!AB$4=TRUE,Monthly!AB$13,Monthly!AB$14)*(1+'Attrition Modeling'!$N$8)-IFERROR(AE37/AE104,0)*12)/12*AE104,0))</f>
        <v>0</v>
      </c>
      <c r="AG169" s="799">
        <f>MIN(IF(ISERROR(VLOOKUP(AG$134-$F169,$E$135:$E$165,1,FALSE)),0,AF37*$C$2),MAX((IF(Monthly!AC$4=TRUE,Monthly!AC$13,Monthly!AC$14)*(1+'Attrition Modeling'!$N$8)-IFERROR(AF37/AF104,0)*12)/12*AF104,0))</f>
        <v>0</v>
      </c>
      <c r="AH169" s="799">
        <f>MIN(IF(ISERROR(VLOOKUP(AH$134-$F169,$E$135:$E$165,1,FALSE)),0,AG37*$C$2),MAX((IF(Monthly!AD$4=TRUE,Monthly!AD$13,Monthly!AD$14)*(1+'Attrition Modeling'!$N$8)-IFERROR(AG37/AG104,0)*12)/12*AG104,0))</f>
        <v>0</v>
      </c>
      <c r="AI169" s="799">
        <f>MIN(IF(ISERROR(VLOOKUP(AI$134-$F169,$E$135:$E$165,1,FALSE)),0,AH37*$C$2),MAX((IF(Monthly!AE$4=TRUE,Monthly!AE$13,Monthly!AE$14)*(1+'Attrition Modeling'!$N$8)-IFERROR(AH37/AH104,0)*12)/12*AH104,0))</f>
        <v>0</v>
      </c>
      <c r="AJ169" s="799">
        <f>MIN(IF(ISERROR(VLOOKUP(AJ$134-$F169,$E$135:$E$165,1,FALSE)),0,AI37*$C$2),MAX((IF(Monthly!AF$4=TRUE,Monthly!AF$13,Monthly!AF$14)*(1+'Attrition Modeling'!$N$8)-IFERROR(AI37/AI104,0)*12)/12*AI104,0))</f>
        <v>0</v>
      </c>
      <c r="AK169" s="799">
        <f>MIN(IF(ISERROR(VLOOKUP(AK$134-$F169,$E$135:$E$165,1,FALSE)),0,AJ37*$C$2),MAX((IF(Monthly!AG$4=TRUE,Monthly!AG$13,Monthly!AG$14)*(1+'Attrition Modeling'!$N$8)-IFERROR(AJ37/AJ104,0)*12)/12*AJ104,0))</f>
        <v>0</v>
      </c>
      <c r="AL169" s="799">
        <f>MIN(IF(ISERROR(VLOOKUP(AL$134-$F169,$E$135:$E$165,1,FALSE)),0,AK37*$C$2),MAX((IF(Monthly!AH$4=TRUE,Monthly!AH$13,Monthly!AH$14)*(1+'Attrition Modeling'!$N$8)-IFERROR(AK37/AK104,0)*12)/12*AK104,0))</f>
        <v>0</v>
      </c>
      <c r="AM169" s="799">
        <f>MIN(IF(ISERROR(VLOOKUP(AM$134-$F169,$E$135:$E$165,1,FALSE)),0,AL37*$C$2),MAX((IF(Monthly!AI$4=TRUE,Monthly!AI$13,Monthly!AI$14)*(1+'Attrition Modeling'!$N$8)-IFERROR(AL37/AL104,0)*12)/12*AL104,0))</f>
        <v>0</v>
      </c>
      <c r="AN169" s="799">
        <f>MIN(IF(ISERROR(VLOOKUP(AN$134-$F169,$E$135:$E$165,1,FALSE)),0,AM37*$C$2),MAX((IF(Monthly!AJ$4=TRUE,Monthly!AJ$13,Monthly!AJ$14)*(1+'Attrition Modeling'!$N$8)-IFERROR(AM37/AM104,0)*12)/12*AM104,0))</f>
        <v>0</v>
      </c>
      <c r="AO169" s="799">
        <f>MIN(IF(ISERROR(VLOOKUP(AO$134-$F169,$E$135:$E$165,1,FALSE)),0,AN37*$C$2),MAX((IF(Monthly!AK$4=TRUE,Monthly!AK$13,Monthly!AK$14)*(1+'Attrition Modeling'!$N$8)-IFERROR(AN37/AN104,0)*12)/12*AN104,0))</f>
        <v>0</v>
      </c>
      <c r="AP169" s="799">
        <f>MIN(IF(ISERROR(VLOOKUP(AP$134-$F169,$E$135:$E$165,1,FALSE)),0,AO37*$C$2),MAX((IF(Monthly!AL$4=TRUE,Monthly!AL$13,Monthly!AL$14)*(1+'Attrition Modeling'!$N$8)-IFERROR(AO37/AO104,0)*12)/12*AO104,0))</f>
        <v>0</v>
      </c>
      <c r="AQ169" s="799">
        <f>MIN(IF(ISERROR(VLOOKUP(AQ$134-$F169,$E$135:$E$165,1,FALSE)),0,AP37*$C$2),MAX((IF(Monthly!AM$4=TRUE,Monthly!AM$13,Monthly!AM$14)*(1+'Attrition Modeling'!$N$8)-IFERROR(AP37/AP104,0)*12)/12*AP104,0))</f>
        <v>0</v>
      </c>
      <c r="AR169" s="799">
        <f>MIN(IF(ISERROR(VLOOKUP(AR$134-$F169,$E$135:$E$165,1,FALSE)),0,AQ37*$C$2),MAX((IF(Monthly!AN$4=TRUE,Monthly!AN$13,Monthly!AN$14)*(1+'Attrition Modeling'!$N$8)-IFERROR(AQ37/AQ104,0)*12)/12*AQ104,0))</f>
        <v>0</v>
      </c>
      <c r="AS169" s="799">
        <f>MIN(IF(ISERROR(VLOOKUP(AS$134-$F169,$E$135:$E$165,1,FALSE)),0,AR37*$C$2),MAX((IF(Monthly!AO$4=TRUE,Monthly!AO$13,Monthly!AO$14)*(1+'Attrition Modeling'!$N$8)-IFERROR(AR37/AR104,0)*12)/12*AR104,0))</f>
        <v>0</v>
      </c>
      <c r="AT169" s="799">
        <f>MIN(IF(ISERROR(VLOOKUP(AT$134-$F169,$E$135:$E$165,1,FALSE)),0,AS37*$C$2),MAX((IF(Monthly!AP$4=TRUE,Monthly!AP$13,Monthly!AP$14)*(1+'Attrition Modeling'!$N$8)-IFERROR(AS37/AS104,0)*12)/12*AS104,0))</f>
        <v>0</v>
      </c>
      <c r="AU169" s="799">
        <f>MIN(IF(ISERROR(VLOOKUP(AU$134-$F169,$E$135:$E$165,1,FALSE)),0,AT37*$C$2),MAX((IF(Monthly!AQ$4=TRUE,Monthly!AQ$13,Monthly!AQ$14)*(1+'Attrition Modeling'!$N$8)-IFERROR(AT37/AT104,0)*12)/12*AT104,0))</f>
        <v>862.39539304401706</v>
      </c>
      <c r="AV169" s="799">
        <f>MIN(IF(ISERROR(VLOOKUP(AV$134-$F169,$E$135:$E$165,1,FALSE)),0,AU37*$C$2),MAX((IF(Monthly!AR$4=TRUE,Monthly!AR$13,Monthly!AR$14)*(1+'Attrition Modeling'!$N$8)-IFERROR(AU37/AU104,0)*12)/12*AU104,0))</f>
        <v>0</v>
      </c>
      <c r="AW169" s="799">
        <f>MIN(IF(ISERROR(VLOOKUP(AW$134-$F169,$E$135:$E$165,1,FALSE)),0,AV37*$C$2),MAX((IF(Monthly!AS$4=TRUE,Monthly!AS$13,Monthly!AS$14)*(1+'Attrition Modeling'!$N$8)-IFERROR(AV37/AV104,0)*12)/12*AV104,0))</f>
        <v>0</v>
      </c>
      <c r="AX169" s="799">
        <f>MIN(IF(ISERROR(VLOOKUP(AX$134-$F169,$E$135:$E$165,1,FALSE)),0,AW37*$C$2),MAX((IF(Monthly!AT$4=TRUE,Monthly!AT$13,Monthly!AT$14)*(1+'Attrition Modeling'!$N$8)-IFERROR(AW37/AW104,0)*12)/12*AW104,0))</f>
        <v>0</v>
      </c>
      <c r="AY169" s="799">
        <f>MIN(IF(ISERROR(VLOOKUP(AY$134-$F169,$E$135:$E$165,1,FALSE)),0,AX37*$C$2),MAX((IF(Monthly!AU$4=TRUE,Monthly!AU$13,Monthly!AU$14)*(1+'Attrition Modeling'!$N$8)-IFERROR(AX37/AX104,0)*12)/12*AX104,0))</f>
        <v>0</v>
      </c>
      <c r="AZ169" s="799">
        <f>MIN(IF(ISERROR(VLOOKUP(AZ$134-$F169,$E$135:$E$165,1,FALSE)),0,AY37*$C$2),MAX((IF(Monthly!AV$4=TRUE,Monthly!AV$13,Monthly!AV$14)*(1+'Attrition Modeling'!$N$8)-IFERROR(AY37/AY104,0)*12)/12*AY104,0))</f>
        <v>0</v>
      </c>
      <c r="BA169" s="799">
        <f>MIN(IF(ISERROR(VLOOKUP(BA$134-$F169,$E$135:$E$165,1,FALSE)),0,AZ37*$C$2),MAX((IF(Monthly!AW$4=TRUE,Monthly!AW$13,Monthly!AW$14)*(1+'Attrition Modeling'!$N$8)-IFERROR(AZ37/AZ104,0)*12)/12*AZ104,0))</f>
        <v>0</v>
      </c>
      <c r="BB169" s="799">
        <f>MIN(IF(ISERROR(VLOOKUP(BB$134-$F169,$E$135:$E$165,1,FALSE)),0,BA37*$C$2),MAX((IF(Monthly!AX$4=TRUE,Monthly!AX$13,Monthly!AX$14)*(1+'Attrition Modeling'!$N$8)-IFERROR(BA37/BA104,0)*12)/12*BA104,0))</f>
        <v>0</v>
      </c>
      <c r="BC169" s="799">
        <f>MIN(IF(ISERROR(VLOOKUP(BC$134-$F169,$E$135:$E$165,1,FALSE)),0,BB37*$C$2),MAX((IF(Monthly!AY$4=TRUE,Monthly!AY$13,Monthly!AY$14)*(1+'Attrition Modeling'!$N$8)-IFERROR(BB37/BB104,0)*12)/12*BB104,0))</f>
        <v>0</v>
      </c>
      <c r="BD169" s="799">
        <f>MIN(IF(ISERROR(VLOOKUP(BD$134-$F169,$E$135:$E$165,1,FALSE)),0,BC37*$C$2),MAX((IF(Monthly!AZ$4=TRUE,Monthly!AZ$13,Monthly!AZ$14)*(1+'Attrition Modeling'!$N$8)-IFERROR(BC37/BC104,0)*12)/12*BC104,0))</f>
        <v>0</v>
      </c>
      <c r="BE169" s="799">
        <f>MIN(IF(ISERROR(VLOOKUP(BE$134-$F169,$E$135:$E$165,1,FALSE)),0,BD37*$C$2),MAX((IF(Monthly!BA$4=TRUE,Monthly!BA$13,Monthly!BA$14)*(1+'Attrition Modeling'!$N$8)-IFERROR(BD37/BD104,0)*12)/12*BD104,0))</f>
        <v>0</v>
      </c>
      <c r="BF169" s="799">
        <f>MIN(IF(ISERROR(VLOOKUP(BF$134-$F169,$E$135:$E$165,1,FALSE)),0,BE37*$C$2),MAX((IF(Monthly!BB$4=TRUE,Monthly!BB$13,Monthly!BB$14)*(1+'Attrition Modeling'!$N$8)-IFERROR(BE37/BE104,0)*12)/12*BE104,0))</f>
        <v>0</v>
      </c>
      <c r="BG169" s="799">
        <f>MIN(IF(ISERROR(VLOOKUP(BG$134-$F169,$E$135:$E$165,1,FALSE)),0,BF37*$C$2),MAX((IF(Monthly!BC$4=TRUE,Monthly!BC$13,Monthly!BC$14)*(1+'Attrition Modeling'!$N$8)-IFERROR(BF37/BF104,0)*12)/12*BF104,0))</f>
        <v>449.76170065143458</v>
      </c>
      <c r="BH169" s="799">
        <f>MIN(IF(ISERROR(VLOOKUP(BH$134-$F169,$E$135:$E$165,1,FALSE)),0,BG37*$C$2),MAX((IF(Monthly!BD$4=TRUE,Monthly!BD$13,Monthly!BD$14)*(1+'Attrition Modeling'!$N$8)-IFERROR(BG37/BG104,0)*12)/12*BG104,0))</f>
        <v>0</v>
      </c>
      <c r="BI169" s="799">
        <f>MIN(IF(ISERROR(VLOOKUP(BI$134-$F169,$E$135:$E$165,1,FALSE)),0,BH37*$C$2),MAX((IF(Monthly!BE$4=TRUE,Monthly!BE$13,Monthly!BE$14)*(1+'Attrition Modeling'!$N$8)-IFERROR(BH37/BH104,0)*12)/12*BH104,0))</f>
        <v>0</v>
      </c>
      <c r="BJ169" s="799">
        <f>MIN(IF(ISERROR(VLOOKUP(BJ$134-$F169,$E$135:$E$165,1,FALSE)),0,BI37*$C$2),MAX((IF(Monthly!BF$4=TRUE,Monthly!BF$13,Monthly!BF$14)*(1+'Attrition Modeling'!$N$8)-IFERROR(BI37/BI104,0)*12)/12*BI104,0))</f>
        <v>0</v>
      </c>
      <c r="BK169" s="799">
        <f>MIN(IF(ISERROR(VLOOKUP(BK$134-$F169,$E$135:$E$165,1,FALSE)),0,BJ37*$C$2),MAX((IF(Monthly!BG$4=TRUE,Monthly!BG$13,Monthly!BG$14)*(1+'Attrition Modeling'!$N$8)-IFERROR(BJ37/BJ104,0)*12)/12*BJ104,0))</f>
        <v>0</v>
      </c>
      <c r="BL169" s="799">
        <f>MIN(IF(ISERROR(VLOOKUP(BL$134-$F169,$E$135:$E$165,1,FALSE)),0,BK37*$C$2),MAX((IF(Monthly!BH$4=TRUE,Monthly!BH$13,Monthly!BH$14)*(1+'Attrition Modeling'!$N$8)-IFERROR(BK37/BK104,0)*12)/12*BK104,0))</f>
        <v>0</v>
      </c>
      <c r="BM169" s="799">
        <f>MIN(IF(ISERROR(VLOOKUP(BM$134-$F169,$E$135:$E$165,1,FALSE)),0,BL37*$C$2),MAX((IF(Monthly!BI$4=TRUE,Monthly!BI$13,Monthly!BI$14)*(1+'Attrition Modeling'!$N$8)-IFERROR(BL37/BL104,0)*12)/12*BL104,0))</f>
        <v>0</v>
      </c>
      <c r="BN169" s="799">
        <f>MIN(IF(ISERROR(VLOOKUP(BN$134-$F169,$E$135:$E$165,1,FALSE)),0,BM37*$C$2),MAX((IF(Monthly!BJ$4=TRUE,Monthly!BJ$13,Monthly!BJ$14)*(1+'Attrition Modeling'!$N$8)-IFERROR(BM37/BM104,0)*12)/12*BM104,0))</f>
        <v>0</v>
      </c>
      <c r="BO169" s="799">
        <f>MIN(IF(ISERROR(VLOOKUP(BO$134-$F169,$E$135:$E$165,1,FALSE)),0,BN37*$C$2),MAX((IF(Monthly!BK$4=TRUE,Monthly!BK$13,Monthly!BK$14)*(1+'Attrition Modeling'!$N$8)-IFERROR(BN37/BN104,0)*12)/12*BN104,0))</f>
        <v>0</v>
      </c>
      <c r="BP169" s="799">
        <f>MIN(IF(ISERROR(VLOOKUP(BP$134-$F169,$E$135:$E$165,1,FALSE)),0,BO37*$C$2),MAX((IF(Monthly!BP$4=TRUE,Monthly!BP$13,Monthly!BP$14)*(1+'Attrition Modeling'!$N$8)-IFERROR(BO37/BO104,0)*12)/12*BO104,0))</f>
        <v>0</v>
      </c>
      <c r="BQ169" s="799">
        <f>MIN(IF(ISERROR(VLOOKUP(BQ$134-$F169,$E$135:$E$165,1,FALSE)),0,BP37*$C$2),MAX((IF(Monthly!BQ$4=TRUE,Monthly!BQ$13,Monthly!BQ$14)*(1+'Attrition Modeling'!$N$8)-IFERROR(BP37/BP104,0)*12)/12*BP104,0))</f>
        <v>0</v>
      </c>
      <c r="BR169" s="799">
        <f>MIN(IF(ISERROR(VLOOKUP(BR$134-$F169,$E$135:$E$165,1,FALSE)),0,BQ37*$C$2),MAX((IF(Monthly!BR$4=TRUE,Monthly!BR$13,Monthly!BR$14)*(1+'Attrition Modeling'!$N$8)-IFERROR(BQ37/BQ104,0)*12)/12*BQ104,0))</f>
        <v>0</v>
      </c>
      <c r="BS169" s="799">
        <f>MIN(IF(ISERROR(VLOOKUP(BS$134-$F169,$E$135:$E$165,1,FALSE)),0,BR37*$C$2),MAX((IF(Monthly!BS$4=TRUE,Monthly!BS$13,Monthly!BS$14)*(1+'Attrition Modeling'!$N$8)-IFERROR(BR37/BR104,0)*12)/12*BR104,0))</f>
        <v>303.85140078546164</v>
      </c>
      <c r="BT169" s="799">
        <f>MIN(IF(ISERROR(VLOOKUP(BT$134-$F169,$E$135:$E$165,1,FALSE)),0,BS37*$C$2),MAX((IF(Monthly!BT$4=TRUE,Monthly!BT$13,Monthly!BT$14)*(1+'Attrition Modeling'!$N$8)-IFERROR(BS37/BS104,0)*12)/12*BS104,0))</f>
        <v>0</v>
      </c>
      <c r="BU169" s="799">
        <f>MIN(IF(ISERROR(VLOOKUP(BU$134-$F169,$E$135:$E$165,1,FALSE)),0,BT37*$C$2),MAX((IF(Monthly!BU$4=TRUE,Monthly!BU$13,Monthly!BU$14)*(1+'Attrition Modeling'!$N$8)-IFERROR(BT37/BT104,0)*12)/12*BT104,0))</f>
        <v>0</v>
      </c>
    </row>
    <row r="170" spans="1:73" ht="14.25" customHeight="1" x14ac:dyDescent="0.2">
      <c r="E170" s="25"/>
      <c r="F170" s="11">
        <f t="shared" si="14"/>
        <v>35</v>
      </c>
      <c r="G170" s="799"/>
      <c r="H170" s="799">
        <f>MIN(IF(ISERROR(VLOOKUP(H$134-$F170,$E$135:$E$165,1,FALSE)),0,G38*$C$2),MAX((IF(Monthly!D$4=TRUE,Monthly!D$13,Monthly!D$14)*(1+'Attrition Modeling'!$N$8)-IFERROR(G38/G105,0)*12)/12*G105,0))</f>
        <v>0</v>
      </c>
      <c r="I170" s="799">
        <f>MIN(IF(ISERROR(VLOOKUP(I$134-$F170,$E$135:$E$165,1,FALSE)),0,H38*$C$2),MAX((IF(Monthly!E$4=TRUE,Monthly!E$13,Monthly!E$14)*(1+'Attrition Modeling'!$N$8)-IFERROR(H38/H105,0)*12)/12*H105,0))</f>
        <v>0</v>
      </c>
      <c r="J170" s="799">
        <f>MIN(IF(ISERROR(VLOOKUP(J$134-$F170,$E$135:$E$165,1,FALSE)),0,I38*$C$2),MAX((IF(Monthly!F$4=TRUE,Monthly!F$13,Monthly!F$14)*(1+'Attrition Modeling'!$N$8)-IFERROR(I38/I105,0)*12)/12*I105,0))</f>
        <v>0</v>
      </c>
      <c r="K170" s="799">
        <f>MIN(IF(ISERROR(VLOOKUP(K$134-$F170,$E$135:$E$165,1,FALSE)),0,J38*$C$2),MAX((IF(Monthly!G$4=TRUE,Monthly!G$13,Monthly!G$14)*(1+'Attrition Modeling'!$N$8)-IFERROR(J38/J105,0)*12)/12*J105,0))</f>
        <v>0</v>
      </c>
      <c r="L170" s="799">
        <f>MIN(IF(ISERROR(VLOOKUP(L$134-$F170,$E$135:$E$165,1,FALSE)),0,K38*$C$2),MAX((IF(Monthly!H$4=TRUE,Monthly!H$13,Monthly!H$14)*(1+'Attrition Modeling'!$N$8)-IFERROR(K38/K105,0)*12)/12*K105,0))</f>
        <v>0</v>
      </c>
      <c r="M170" s="799">
        <f>MIN(IF(ISERROR(VLOOKUP(M$134-$F170,$E$135:$E$165,1,FALSE)),0,L38*$C$2),MAX((IF(Monthly!I$4=TRUE,Monthly!I$13,Monthly!I$14)*(1+'Attrition Modeling'!$N$8)-IFERROR(L38/L105,0)*12)/12*L105,0))</f>
        <v>0</v>
      </c>
      <c r="N170" s="799">
        <f>MIN(IF(ISERROR(VLOOKUP(N$134-$F170,$E$135:$E$165,1,FALSE)),0,M38*$C$2),MAX((IF(Monthly!J$4=TRUE,Monthly!J$13,Monthly!J$14)*(1+'Attrition Modeling'!$N$8)-IFERROR(M38/M105,0)*12)/12*M105,0))</f>
        <v>0</v>
      </c>
      <c r="O170" s="799">
        <f>MIN(IF(ISERROR(VLOOKUP(O$134-$F170,$E$135:$E$165,1,FALSE)),0,N38*$C$2),MAX((IF(Monthly!K$4=TRUE,Monthly!K$13,Monthly!K$14)*(1+'Attrition Modeling'!$N$8)-IFERROR(N38/N105,0)*12)/12*N105,0))</f>
        <v>0</v>
      </c>
      <c r="P170" s="799">
        <f>MIN(IF(ISERROR(VLOOKUP(P$134-$F170,$E$135:$E$165,1,FALSE)),0,O38*$C$2),MAX((IF(Monthly!L$4=TRUE,Monthly!L$13,Monthly!L$14)*(1+'Attrition Modeling'!$N$8)-IFERROR(O38/O105,0)*12)/12*O105,0))</f>
        <v>0</v>
      </c>
      <c r="Q170" s="799">
        <f>MIN(IF(ISERROR(VLOOKUP(Q$134-$F170,$E$135:$E$165,1,FALSE)),0,P38*$C$2),MAX((IF(Monthly!M$4=TRUE,Monthly!M$13,Monthly!M$14)*(1+'Attrition Modeling'!$N$8)-IFERROR(P38/P105,0)*12)/12*P105,0))</f>
        <v>0</v>
      </c>
      <c r="R170" s="799">
        <f>MIN(IF(ISERROR(VLOOKUP(R$134-$F170,$E$135:$E$165,1,FALSE)),0,Q38*$C$2),MAX((IF(Monthly!N$4=TRUE,Monthly!N$13,Monthly!N$14)*(1+'Attrition Modeling'!$N$8)-IFERROR(Q38/Q105,0)*12)/12*Q105,0))</f>
        <v>0</v>
      </c>
      <c r="S170" s="799">
        <f>MIN(IF(ISERROR(VLOOKUP(S$134-$F170,$E$135:$E$165,1,FALSE)),0,R38*$C$2),MAX((IF(Monthly!O$4=TRUE,Monthly!O$13,Monthly!O$14)*(1+'Attrition Modeling'!$N$8)-IFERROR(R38/R105,0)*12)/12*R105,0))</f>
        <v>0</v>
      </c>
      <c r="T170" s="799">
        <f>MIN(IF(ISERROR(VLOOKUP(T$134-$F170,$E$135:$E$165,1,FALSE)),0,S38*$C$2),MAX((IF(Monthly!P$4=TRUE,Monthly!P$13,Monthly!P$14)*(1+'Attrition Modeling'!$N$8)-IFERROR(S38/S105,0)*12)/12*S105,0))</f>
        <v>0</v>
      </c>
      <c r="U170" s="799">
        <f>MIN(IF(ISERROR(VLOOKUP(U$134-$F170,$E$135:$E$165,1,FALSE)),0,T38*$C$2),MAX((IF(Monthly!Q$4=TRUE,Monthly!Q$13,Monthly!Q$14)*(1+'Attrition Modeling'!$N$8)-IFERROR(T38/T105,0)*12)/12*T105,0))</f>
        <v>0</v>
      </c>
      <c r="V170" s="799">
        <f>MIN(IF(ISERROR(VLOOKUP(V$134-$F170,$E$135:$E$165,1,FALSE)),0,U38*$C$2),MAX((IF(Monthly!R$4=TRUE,Monthly!R$13,Monthly!R$14)*(1+'Attrition Modeling'!$N$8)-IFERROR(U38/U105,0)*12)/12*U105,0))</f>
        <v>0</v>
      </c>
      <c r="W170" s="799">
        <f>MIN(IF(ISERROR(VLOOKUP(W$134-$F170,$E$135:$E$165,1,FALSE)),0,V38*$C$2),MAX((IF(Monthly!S$4=TRUE,Monthly!S$13,Monthly!S$14)*(1+'Attrition Modeling'!$N$8)-IFERROR(V38/V105,0)*12)/12*V105,0))</f>
        <v>0</v>
      </c>
      <c r="X170" s="799">
        <f>MIN(IF(ISERROR(VLOOKUP(X$134-$F170,$E$135:$E$165,1,FALSE)),0,W38*$C$2),MAX((IF(Monthly!T$4=TRUE,Monthly!T$13,Monthly!T$14)*(1+'Attrition Modeling'!$N$8)-IFERROR(W38/W105,0)*12)/12*W105,0))</f>
        <v>0</v>
      </c>
      <c r="Y170" s="799">
        <f>MIN(IF(ISERROR(VLOOKUP(Y$134-$F170,$E$135:$E$165,1,FALSE)),0,X38*$C$2),MAX((IF(Monthly!U$4=TRUE,Monthly!U$13,Monthly!U$14)*(1+'Attrition Modeling'!$N$8)-IFERROR(X38/X105,0)*12)/12*X105,0))</f>
        <v>0</v>
      </c>
      <c r="Z170" s="799">
        <f>MIN(IF(ISERROR(VLOOKUP(Z$134-$F170,$E$135:$E$165,1,FALSE)),0,Y38*$C$2),MAX((IF(Monthly!V$4=TRUE,Monthly!V$13,Monthly!V$14)*(1+'Attrition Modeling'!$N$8)-IFERROR(Y38/Y105,0)*12)/12*Y105,0))</f>
        <v>0</v>
      </c>
      <c r="AA170" s="799">
        <f>MIN(IF(ISERROR(VLOOKUP(AA$134-$F170,$E$135:$E$165,1,FALSE)),0,Z38*$C$2),MAX((IF(Monthly!W$4=TRUE,Monthly!W$13,Monthly!W$14)*(1+'Attrition Modeling'!$N$8)-IFERROR(Z38/Z105,0)*12)/12*Z105,0))</f>
        <v>0</v>
      </c>
      <c r="AB170" s="799">
        <f>MIN(IF(ISERROR(VLOOKUP(AB$134-$F170,$E$135:$E$165,1,FALSE)),0,AA38*$C$2),MAX((IF(Monthly!X$4=TRUE,Monthly!X$13,Monthly!X$14)*(1+'Attrition Modeling'!$N$8)-IFERROR(AA38/AA105,0)*12)/12*AA105,0))</f>
        <v>0</v>
      </c>
      <c r="AC170" s="799">
        <f>MIN(IF(ISERROR(VLOOKUP(AC$134-$F170,$E$135:$E$165,1,FALSE)),0,AB38*$C$2),MAX((IF(Monthly!Y$4=TRUE,Monthly!Y$13,Monthly!Y$14)*(1+'Attrition Modeling'!$N$8)-IFERROR(AB38/AB105,0)*12)/12*AB105,0))</f>
        <v>0</v>
      </c>
      <c r="AD170" s="799">
        <f>MIN(IF(ISERROR(VLOOKUP(AD$134-$F170,$E$135:$E$165,1,FALSE)),0,AC38*$C$2),MAX((IF(Monthly!Z$4=TRUE,Monthly!Z$13,Monthly!Z$14)*(1+'Attrition Modeling'!$N$8)-IFERROR(AC38/AC105,0)*12)/12*AC105,0))</f>
        <v>0</v>
      </c>
      <c r="AE170" s="799">
        <f>MIN(IF(ISERROR(VLOOKUP(AE$134-$F170,$E$135:$E$165,1,FALSE)),0,AD38*$C$2),MAX((IF(Monthly!AA$4=TRUE,Monthly!AA$13,Monthly!AA$14)*(1+'Attrition Modeling'!$N$8)-IFERROR(AD38/AD105,0)*12)/12*AD105,0))</f>
        <v>0</v>
      </c>
      <c r="AF170" s="799">
        <f>MIN(IF(ISERROR(VLOOKUP(AF$134-$F170,$E$135:$E$165,1,FALSE)),0,AE38*$C$2),MAX((IF(Monthly!AB$4=TRUE,Monthly!AB$13,Monthly!AB$14)*(1+'Attrition Modeling'!$N$8)-IFERROR(AE38/AE105,0)*12)/12*AE105,0))</f>
        <v>0</v>
      </c>
      <c r="AG170" s="799">
        <f>MIN(IF(ISERROR(VLOOKUP(AG$134-$F170,$E$135:$E$165,1,FALSE)),0,AF38*$C$2),MAX((IF(Monthly!AC$4=TRUE,Monthly!AC$13,Monthly!AC$14)*(1+'Attrition Modeling'!$N$8)-IFERROR(AF38/AF105,0)*12)/12*AF105,0))</f>
        <v>0</v>
      </c>
      <c r="AH170" s="799">
        <f>MIN(IF(ISERROR(VLOOKUP(AH$134-$F170,$E$135:$E$165,1,FALSE)),0,AG38*$C$2),MAX((IF(Monthly!AD$4=TRUE,Monthly!AD$13,Monthly!AD$14)*(1+'Attrition Modeling'!$N$8)-IFERROR(AG38/AG105,0)*12)/12*AG105,0))</f>
        <v>0</v>
      </c>
      <c r="AI170" s="799">
        <f>MIN(IF(ISERROR(VLOOKUP(AI$134-$F170,$E$135:$E$165,1,FALSE)),0,AH38*$C$2),MAX((IF(Monthly!AE$4=TRUE,Monthly!AE$13,Monthly!AE$14)*(1+'Attrition Modeling'!$N$8)-IFERROR(AH38/AH105,0)*12)/12*AH105,0))</f>
        <v>0</v>
      </c>
      <c r="AJ170" s="799">
        <f>MIN(IF(ISERROR(VLOOKUP(AJ$134-$F170,$E$135:$E$165,1,FALSE)),0,AI38*$C$2),MAX((IF(Monthly!AF$4=TRUE,Monthly!AF$13,Monthly!AF$14)*(1+'Attrition Modeling'!$N$8)-IFERROR(AI38/AI105,0)*12)/12*AI105,0))</f>
        <v>0</v>
      </c>
      <c r="AK170" s="799">
        <f>MIN(IF(ISERROR(VLOOKUP(AK$134-$F170,$E$135:$E$165,1,FALSE)),0,AJ38*$C$2),MAX((IF(Monthly!AG$4=TRUE,Monthly!AG$13,Monthly!AG$14)*(1+'Attrition Modeling'!$N$8)-IFERROR(AJ38/AJ105,0)*12)/12*AJ105,0))</f>
        <v>0</v>
      </c>
      <c r="AL170" s="799">
        <f>MIN(IF(ISERROR(VLOOKUP(AL$134-$F170,$E$135:$E$165,1,FALSE)),0,AK38*$C$2),MAX((IF(Monthly!AH$4=TRUE,Monthly!AH$13,Monthly!AH$14)*(1+'Attrition Modeling'!$N$8)-IFERROR(AK38/AK105,0)*12)/12*AK105,0))</f>
        <v>0</v>
      </c>
      <c r="AM170" s="799">
        <f>MIN(IF(ISERROR(VLOOKUP(AM$134-$F170,$E$135:$E$165,1,FALSE)),0,AL38*$C$2),MAX((IF(Monthly!AI$4=TRUE,Monthly!AI$13,Monthly!AI$14)*(1+'Attrition Modeling'!$N$8)-IFERROR(AL38/AL105,0)*12)/12*AL105,0))</f>
        <v>0</v>
      </c>
      <c r="AN170" s="799">
        <f>MIN(IF(ISERROR(VLOOKUP(AN$134-$F170,$E$135:$E$165,1,FALSE)),0,AM38*$C$2),MAX((IF(Monthly!AJ$4=TRUE,Monthly!AJ$13,Monthly!AJ$14)*(1+'Attrition Modeling'!$N$8)-IFERROR(AM38/AM105,0)*12)/12*AM105,0))</f>
        <v>0</v>
      </c>
      <c r="AO170" s="799">
        <f>MIN(IF(ISERROR(VLOOKUP(AO$134-$F170,$E$135:$E$165,1,FALSE)),0,AN38*$C$2),MAX((IF(Monthly!AK$4=TRUE,Monthly!AK$13,Monthly!AK$14)*(1+'Attrition Modeling'!$N$8)-IFERROR(AN38/AN105,0)*12)/12*AN105,0))</f>
        <v>0</v>
      </c>
      <c r="AP170" s="799">
        <f>MIN(IF(ISERROR(VLOOKUP(AP$134-$F170,$E$135:$E$165,1,FALSE)),0,AO38*$C$2),MAX((IF(Monthly!AL$4=TRUE,Monthly!AL$13,Monthly!AL$14)*(1+'Attrition Modeling'!$N$8)-IFERROR(AO38/AO105,0)*12)/12*AO105,0))</f>
        <v>0</v>
      </c>
      <c r="AQ170" s="799">
        <f>MIN(IF(ISERROR(VLOOKUP(AQ$134-$F170,$E$135:$E$165,1,FALSE)),0,AP38*$C$2),MAX((IF(Monthly!AM$4=TRUE,Monthly!AM$13,Monthly!AM$14)*(1+'Attrition Modeling'!$N$8)-IFERROR(AP38/AP105,0)*12)/12*AP105,0))</f>
        <v>0</v>
      </c>
      <c r="AR170" s="799">
        <f>MIN(IF(ISERROR(VLOOKUP(AR$134-$F170,$E$135:$E$165,1,FALSE)),0,AQ38*$C$2),MAX((IF(Monthly!AN$4=TRUE,Monthly!AN$13,Monthly!AN$14)*(1+'Attrition Modeling'!$N$8)-IFERROR(AQ38/AQ105,0)*12)/12*AQ105,0))</f>
        <v>0</v>
      </c>
      <c r="AS170" s="799">
        <f>MIN(IF(ISERROR(VLOOKUP(AS$134-$F170,$E$135:$E$165,1,FALSE)),0,AR38*$C$2),MAX((IF(Monthly!AO$4=TRUE,Monthly!AO$13,Monthly!AO$14)*(1+'Attrition Modeling'!$N$8)-IFERROR(AR38/AR105,0)*12)/12*AR105,0))</f>
        <v>0</v>
      </c>
      <c r="AT170" s="799">
        <f>MIN(IF(ISERROR(VLOOKUP(AT$134-$F170,$E$135:$E$165,1,FALSE)),0,AS38*$C$2),MAX((IF(Monthly!AP$4=TRUE,Monthly!AP$13,Monthly!AP$14)*(1+'Attrition Modeling'!$N$8)-IFERROR(AS38/AS105,0)*12)/12*AS105,0))</f>
        <v>0</v>
      </c>
      <c r="AU170" s="799">
        <f>MIN(IF(ISERROR(VLOOKUP(AU$134-$F170,$E$135:$E$165,1,FALSE)),0,AT38*$C$2),MAX((IF(Monthly!AQ$4=TRUE,Monthly!AQ$13,Monthly!AQ$14)*(1+'Attrition Modeling'!$N$8)-IFERROR(AT38/AT105,0)*12)/12*AT105,0))</f>
        <v>0</v>
      </c>
      <c r="AV170" s="799">
        <f>MIN(IF(ISERROR(VLOOKUP(AV$134-$F170,$E$135:$E$165,1,FALSE)),0,AU38*$C$2),MAX((IF(Monthly!AR$4=TRUE,Monthly!AR$13,Monthly!AR$14)*(1+'Attrition Modeling'!$N$8)-IFERROR(AU38/AU105,0)*12)/12*AU105,0))</f>
        <v>820.34476615014762</v>
      </c>
      <c r="AW170" s="799">
        <f>MIN(IF(ISERROR(VLOOKUP(AW$134-$F170,$E$135:$E$165,1,FALSE)),0,AV38*$C$2),MAX((IF(Monthly!AS$4=TRUE,Monthly!AS$13,Monthly!AS$14)*(1+'Attrition Modeling'!$N$8)-IFERROR(AV38/AV105,0)*12)/12*AV105,0))</f>
        <v>0</v>
      </c>
      <c r="AX170" s="799">
        <f>MIN(IF(ISERROR(VLOOKUP(AX$134-$F170,$E$135:$E$165,1,FALSE)),0,AW38*$C$2),MAX((IF(Monthly!AT$4=TRUE,Monthly!AT$13,Monthly!AT$14)*(1+'Attrition Modeling'!$N$8)-IFERROR(AW38/AW105,0)*12)/12*AW105,0))</f>
        <v>0</v>
      </c>
      <c r="AY170" s="799">
        <f>MIN(IF(ISERROR(VLOOKUP(AY$134-$F170,$E$135:$E$165,1,FALSE)),0,AX38*$C$2),MAX((IF(Monthly!AU$4=TRUE,Monthly!AU$13,Monthly!AU$14)*(1+'Attrition Modeling'!$N$8)-IFERROR(AX38/AX105,0)*12)/12*AX105,0))</f>
        <v>0</v>
      </c>
      <c r="AZ170" s="799">
        <f>MIN(IF(ISERROR(VLOOKUP(AZ$134-$F170,$E$135:$E$165,1,FALSE)),0,AY38*$C$2),MAX((IF(Monthly!AV$4=TRUE,Monthly!AV$13,Monthly!AV$14)*(1+'Attrition Modeling'!$N$8)-IFERROR(AY38/AY105,0)*12)/12*AY105,0))</f>
        <v>0</v>
      </c>
      <c r="BA170" s="799">
        <f>MIN(IF(ISERROR(VLOOKUP(BA$134-$F170,$E$135:$E$165,1,FALSE)),0,AZ38*$C$2),MAX((IF(Monthly!AW$4=TRUE,Monthly!AW$13,Monthly!AW$14)*(1+'Attrition Modeling'!$N$8)-IFERROR(AZ38/AZ105,0)*12)/12*AZ105,0))</f>
        <v>0</v>
      </c>
      <c r="BB170" s="799">
        <f>MIN(IF(ISERROR(VLOOKUP(BB$134-$F170,$E$135:$E$165,1,FALSE)),0,BA38*$C$2),MAX((IF(Monthly!AX$4=TRUE,Monthly!AX$13,Monthly!AX$14)*(1+'Attrition Modeling'!$N$8)-IFERROR(BA38/BA105,0)*12)/12*BA105,0))</f>
        <v>0</v>
      </c>
      <c r="BC170" s="799">
        <f>MIN(IF(ISERROR(VLOOKUP(BC$134-$F170,$E$135:$E$165,1,FALSE)),0,BB38*$C$2),MAX((IF(Monthly!AY$4=TRUE,Monthly!AY$13,Monthly!AY$14)*(1+'Attrition Modeling'!$N$8)-IFERROR(BB38/BB105,0)*12)/12*BB105,0))</f>
        <v>0</v>
      </c>
      <c r="BD170" s="799">
        <f>MIN(IF(ISERROR(VLOOKUP(BD$134-$F170,$E$135:$E$165,1,FALSE)),0,BC38*$C$2),MAX((IF(Monthly!AZ$4=TRUE,Monthly!AZ$13,Monthly!AZ$14)*(1+'Attrition Modeling'!$N$8)-IFERROR(BC38/BC105,0)*12)/12*BC105,0))</f>
        <v>0</v>
      </c>
      <c r="BE170" s="799">
        <f>MIN(IF(ISERROR(VLOOKUP(BE$134-$F170,$E$135:$E$165,1,FALSE)),0,BD38*$C$2),MAX((IF(Monthly!BA$4=TRUE,Monthly!BA$13,Monthly!BA$14)*(1+'Attrition Modeling'!$N$8)-IFERROR(BD38/BD105,0)*12)/12*BD105,0))</f>
        <v>0</v>
      </c>
      <c r="BF170" s="799">
        <f>MIN(IF(ISERROR(VLOOKUP(BF$134-$F170,$E$135:$E$165,1,FALSE)),0,BE38*$C$2),MAX((IF(Monthly!BB$4=TRUE,Monthly!BB$13,Monthly!BB$14)*(1+'Attrition Modeling'!$N$8)-IFERROR(BE38/BE105,0)*12)/12*BE105,0))</f>
        <v>0</v>
      </c>
      <c r="BG170" s="799">
        <f>MIN(IF(ISERROR(VLOOKUP(BG$134-$F170,$E$135:$E$165,1,FALSE)),0,BF38*$C$2),MAX((IF(Monthly!BC$4=TRUE,Monthly!BC$13,Monthly!BC$14)*(1+'Attrition Modeling'!$N$8)-IFERROR(BF38/BF105,0)*12)/12*BF105,0))</f>
        <v>0</v>
      </c>
      <c r="BH170" s="799">
        <f>MIN(IF(ISERROR(VLOOKUP(BH$134-$F170,$E$135:$E$165,1,FALSE)),0,BG38*$C$2),MAX((IF(Monthly!BD$4=TRUE,Monthly!BD$13,Monthly!BD$14)*(1+'Attrition Modeling'!$N$8)-IFERROR(BG38/BG105,0)*12)/12*BG105,0))</f>
        <v>444.68747521354538</v>
      </c>
      <c r="BI170" s="799">
        <f>MIN(IF(ISERROR(VLOOKUP(BI$134-$F170,$E$135:$E$165,1,FALSE)),0,BH38*$C$2),MAX((IF(Monthly!BE$4=TRUE,Monthly!BE$13,Monthly!BE$14)*(1+'Attrition Modeling'!$N$8)-IFERROR(BH38/BH105,0)*12)/12*BH105,0))</f>
        <v>0</v>
      </c>
      <c r="BJ170" s="799">
        <f>MIN(IF(ISERROR(VLOOKUP(BJ$134-$F170,$E$135:$E$165,1,FALSE)),0,BI38*$C$2),MAX((IF(Monthly!BF$4=TRUE,Monthly!BF$13,Monthly!BF$14)*(1+'Attrition Modeling'!$N$8)-IFERROR(BI38/BI105,0)*12)/12*BI105,0))</f>
        <v>0</v>
      </c>
      <c r="BK170" s="799">
        <f>MIN(IF(ISERROR(VLOOKUP(BK$134-$F170,$E$135:$E$165,1,FALSE)),0,BJ38*$C$2),MAX((IF(Monthly!BG$4=TRUE,Monthly!BG$13,Monthly!BG$14)*(1+'Attrition Modeling'!$N$8)-IFERROR(BJ38/BJ105,0)*12)/12*BJ105,0))</f>
        <v>0</v>
      </c>
      <c r="BL170" s="799">
        <f>MIN(IF(ISERROR(VLOOKUP(BL$134-$F170,$E$135:$E$165,1,FALSE)),0,BK38*$C$2),MAX((IF(Monthly!BH$4=TRUE,Monthly!BH$13,Monthly!BH$14)*(1+'Attrition Modeling'!$N$8)-IFERROR(BK38/BK105,0)*12)/12*BK105,0))</f>
        <v>0</v>
      </c>
      <c r="BM170" s="799">
        <f>MIN(IF(ISERROR(VLOOKUP(BM$134-$F170,$E$135:$E$165,1,FALSE)),0,BL38*$C$2),MAX((IF(Monthly!BI$4=TRUE,Monthly!BI$13,Monthly!BI$14)*(1+'Attrition Modeling'!$N$8)-IFERROR(BL38/BL105,0)*12)/12*BL105,0))</f>
        <v>0</v>
      </c>
      <c r="BN170" s="799">
        <f>MIN(IF(ISERROR(VLOOKUP(BN$134-$F170,$E$135:$E$165,1,FALSE)),0,BM38*$C$2),MAX((IF(Monthly!BJ$4=TRUE,Monthly!BJ$13,Monthly!BJ$14)*(1+'Attrition Modeling'!$N$8)-IFERROR(BM38/BM105,0)*12)/12*BM105,0))</f>
        <v>0</v>
      </c>
      <c r="BO170" s="799">
        <f>MIN(IF(ISERROR(VLOOKUP(BO$134-$F170,$E$135:$E$165,1,FALSE)),0,BN38*$C$2),MAX((IF(Monthly!BK$4=TRUE,Monthly!BK$13,Monthly!BK$14)*(1+'Attrition Modeling'!$N$8)-IFERROR(BN38/BN105,0)*12)/12*BN105,0))</f>
        <v>0</v>
      </c>
      <c r="BP170" s="799">
        <f>MIN(IF(ISERROR(VLOOKUP(BP$134-$F170,$E$135:$E$165,1,FALSE)),0,BO38*$C$2),MAX((IF(Monthly!BP$4=TRUE,Monthly!BP$13,Monthly!BP$14)*(1+'Attrition Modeling'!$N$8)-IFERROR(BO38/BO105,0)*12)/12*BO105,0))</f>
        <v>0</v>
      </c>
      <c r="BQ170" s="799">
        <f>MIN(IF(ISERROR(VLOOKUP(BQ$134-$F170,$E$135:$E$165,1,FALSE)),0,BP38*$C$2),MAX((IF(Monthly!BQ$4=TRUE,Monthly!BQ$13,Monthly!BQ$14)*(1+'Attrition Modeling'!$N$8)-IFERROR(BP38/BP105,0)*12)/12*BP105,0))</f>
        <v>0</v>
      </c>
      <c r="BR170" s="799">
        <f>MIN(IF(ISERROR(VLOOKUP(BR$134-$F170,$E$135:$E$165,1,FALSE)),0,BQ38*$C$2),MAX((IF(Monthly!BR$4=TRUE,Monthly!BR$13,Monthly!BR$14)*(1+'Attrition Modeling'!$N$8)-IFERROR(BQ38/BQ105,0)*12)/12*BQ105,0))</f>
        <v>0</v>
      </c>
      <c r="BS170" s="799">
        <f>MIN(IF(ISERROR(VLOOKUP(BS$134-$F170,$E$135:$E$165,1,FALSE)),0,BR38*$C$2),MAX((IF(Monthly!BS$4=TRUE,Monthly!BS$13,Monthly!BS$14)*(1+'Attrition Modeling'!$N$8)-IFERROR(BR38/BR105,0)*12)/12*BR105,0))</f>
        <v>0</v>
      </c>
      <c r="BT170" s="799">
        <f>MIN(IF(ISERROR(VLOOKUP(BT$134-$F170,$E$135:$E$165,1,FALSE)),0,BS38*$C$2),MAX((IF(Monthly!BT$4=TRUE,Monthly!BT$13,Monthly!BT$14)*(1+'Attrition Modeling'!$N$8)-IFERROR(BS38/BS105,0)*12)/12*BS105,0))</f>
        <v>303.49702714093848</v>
      </c>
      <c r="BU170" s="799">
        <f>MIN(IF(ISERROR(VLOOKUP(BU$134-$F170,$E$135:$E$165,1,FALSE)),0,BT38*$C$2),MAX((IF(Monthly!BU$4=TRUE,Monthly!BU$13,Monthly!BU$14)*(1+'Attrition Modeling'!$N$8)-IFERROR(BT38/BT105,0)*12)/12*BT105,0))</f>
        <v>0</v>
      </c>
    </row>
    <row r="171" spans="1:73" ht="14.25" customHeight="1" x14ac:dyDescent="0.2">
      <c r="E171" s="25"/>
      <c r="F171" s="11">
        <f t="shared" si="14"/>
        <v>36</v>
      </c>
      <c r="G171" s="799"/>
      <c r="H171" s="799">
        <f>MIN(IF(ISERROR(VLOOKUP(H$134-$F171,$E$135:$E$165,1,FALSE)),0,G39*$C$2),MAX((IF(Monthly!D$4=TRUE,Monthly!D$13,Monthly!D$14)*(1+'Attrition Modeling'!$N$8)-IFERROR(G39/G106,0)*12)/12*G106,0))</f>
        <v>0</v>
      </c>
      <c r="I171" s="799">
        <f>MIN(IF(ISERROR(VLOOKUP(I$134-$F171,$E$135:$E$165,1,FALSE)),0,H39*$C$2),MAX((IF(Monthly!E$4=TRUE,Monthly!E$13,Monthly!E$14)*(1+'Attrition Modeling'!$N$8)-IFERROR(H39/H106,0)*12)/12*H106,0))</f>
        <v>0</v>
      </c>
      <c r="J171" s="799">
        <f>MIN(IF(ISERROR(VLOOKUP(J$134-$F171,$E$135:$E$165,1,FALSE)),0,I39*$C$2),MAX((IF(Monthly!F$4=TRUE,Monthly!F$13,Monthly!F$14)*(1+'Attrition Modeling'!$N$8)-IFERROR(I39/I106,0)*12)/12*I106,0))</f>
        <v>0</v>
      </c>
      <c r="K171" s="799">
        <f>MIN(IF(ISERROR(VLOOKUP(K$134-$F171,$E$135:$E$165,1,FALSE)),0,J39*$C$2),MAX((IF(Monthly!G$4=TRUE,Monthly!G$13,Monthly!G$14)*(1+'Attrition Modeling'!$N$8)-IFERROR(J39/J106,0)*12)/12*J106,0))</f>
        <v>0</v>
      </c>
      <c r="L171" s="799">
        <f>MIN(IF(ISERROR(VLOOKUP(L$134-$F171,$E$135:$E$165,1,FALSE)),0,K39*$C$2),MAX((IF(Monthly!H$4=TRUE,Monthly!H$13,Monthly!H$14)*(1+'Attrition Modeling'!$N$8)-IFERROR(K39/K106,0)*12)/12*K106,0))</f>
        <v>0</v>
      </c>
      <c r="M171" s="799">
        <f>MIN(IF(ISERROR(VLOOKUP(M$134-$F171,$E$135:$E$165,1,FALSE)),0,L39*$C$2),MAX((IF(Monthly!I$4=TRUE,Monthly!I$13,Monthly!I$14)*(1+'Attrition Modeling'!$N$8)-IFERROR(L39/L106,0)*12)/12*L106,0))</f>
        <v>0</v>
      </c>
      <c r="N171" s="799">
        <f>MIN(IF(ISERROR(VLOOKUP(N$134-$F171,$E$135:$E$165,1,FALSE)),0,M39*$C$2),MAX((IF(Monthly!J$4=TRUE,Monthly!J$13,Monthly!J$14)*(1+'Attrition Modeling'!$N$8)-IFERROR(M39/M106,0)*12)/12*M106,0))</f>
        <v>0</v>
      </c>
      <c r="O171" s="799">
        <f>MIN(IF(ISERROR(VLOOKUP(O$134-$F171,$E$135:$E$165,1,FALSE)),0,N39*$C$2),MAX((IF(Monthly!K$4=TRUE,Monthly!K$13,Monthly!K$14)*(1+'Attrition Modeling'!$N$8)-IFERROR(N39/N106,0)*12)/12*N106,0))</f>
        <v>0</v>
      </c>
      <c r="P171" s="799">
        <f>MIN(IF(ISERROR(VLOOKUP(P$134-$F171,$E$135:$E$165,1,FALSE)),0,O39*$C$2),MAX((IF(Monthly!L$4=TRUE,Monthly!L$13,Monthly!L$14)*(1+'Attrition Modeling'!$N$8)-IFERROR(O39/O106,0)*12)/12*O106,0))</f>
        <v>0</v>
      </c>
      <c r="Q171" s="799">
        <f>MIN(IF(ISERROR(VLOOKUP(Q$134-$F171,$E$135:$E$165,1,FALSE)),0,P39*$C$2),MAX((IF(Monthly!M$4=TRUE,Monthly!M$13,Monthly!M$14)*(1+'Attrition Modeling'!$N$8)-IFERROR(P39/P106,0)*12)/12*P106,0))</f>
        <v>0</v>
      </c>
      <c r="R171" s="799">
        <f>MIN(IF(ISERROR(VLOOKUP(R$134-$F171,$E$135:$E$165,1,FALSE)),0,Q39*$C$2),MAX((IF(Monthly!N$4=TRUE,Monthly!N$13,Monthly!N$14)*(1+'Attrition Modeling'!$N$8)-IFERROR(Q39/Q106,0)*12)/12*Q106,0))</f>
        <v>0</v>
      </c>
      <c r="S171" s="799">
        <f>MIN(IF(ISERROR(VLOOKUP(S$134-$F171,$E$135:$E$165,1,FALSE)),0,R39*$C$2),MAX((IF(Monthly!O$4=TRUE,Monthly!O$13,Monthly!O$14)*(1+'Attrition Modeling'!$N$8)-IFERROR(R39/R106,0)*12)/12*R106,0))</f>
        <v>0</v>
      </c>
      <c r="T171" s="799">
        <f>MIN(IF(ISERROR(VLOOKUP(T$134-$F171,$E$135:$E$165,1,FALSE)),0,S39*$C$2),MAX((IF(Monthly!P$4=TRUE,Monthly!P$13,Monthly!P$14)*(1+'Attrition Modeling'!$N$8)-IFERROR(S39/S106,0)*12)/12*S106,0))</f>
        <v>0</v>
      </c>
      <c r="U171" s="799">
        <f>MIN(IF(ISERROR(VLOOKUP(U$134-$F171,$E$135:$E$165,1,FALSE)),0,T39*$C$2),MAX((IF(Monthly!Q$4=TRUE,Monthly!Q$13,Monthly!Q$14)*(1+'Attrition Modeling'!$N$8)-IFERROR(T39/T106,0)*12)/12*T106,0))</f>
        <v>0</v>
      </c>
      <c r="V171" s="799">
        <f>MIN(IF(ISERROR(VLOOKUP(V$134-$F171,$E$135:$E$165,1,FALSE)),0,U39*$C$2),MAX((IF(Monthly!R$4=TRUE,Monthly!R$13,Monthly!R$14)*(1+'Attrition Modeling'!$N$8)-IFERROR(U39/U106,0)*12)/12*U106,0))</f>
        <v>0</v>
      </c>
      <c r="W171" s="799">
        <f>MIN(IF(ISERROR(VLOOKUP(W$134-$F171,$E$135:$E$165,1,FALSE)),0,V39*$C$2),MAX((IF(Monthly!S$4=TRUE,Monthly!S$13,Monthly!S$14)*(1+'Attrition Modeling'!$N$8)-IFERROR(V39/V106,0)*12)/12*V106,0))</f>
        <v>0</v>
      </c>
      <c r="X171" s="799">
        <f>MIN(IF(ISERROR(VLOOKUP(X$134-$F171,$E$135:$E$165,1,FALSE)),0,W39*$C$2),MAX((IF(Monthly!T$4=TRUE,Monthly!T$13,Monthly!T$14)*(1+'Attrition Modeling'!$N$8)-IFERROR(W39/W106,0)*12)/12*W106,0))</f>
        <v>0</v>
      </c>
      <c r="Y171" s="799">
        <f>MIN(IF(ISERROR(VLOOKUP(Y$134-$F171,$E$135:$E$165,1,FALSE)),0,X39*$C$2),MAX((IF(Monthly!U$4=TRUE,Monthly!U$13,Monthly!U$14)*(1+'Attrition Modeling'!$N$8)-IFERROR(X39/X106,0)*12)/12*X106,0))</f>
        <v>0</v>
      </c>
      <c r="Z171" s="799">
        <f>MIN(IF(ISERROR(VLOOKUP(Z$134-$F171,$E$135:$E$165,1,FALSE)),0,Y39*$C$2),MAX((IF(Monthly!V$4=TRUE,Monthly!V$13,Monthly!V$14)*(1+'Attrition Modeling'!$N$8)-IFERROR(Y39/Y106,0)*12)/12*Y106,0))</f>
        <v>0</v>
      </c>
      <c r="AA171" s="799">
        <f>MIN(IF(ISERROR(VLOOKUP(AA$134-$F171,$E$135:$E$165,1,FALSE)),0,Z39*$C$2),MAX((IF(Monthly!W$4=TRUE,Monthly!W$13,Monthly!W$14)*(1+'Attrition Modeling'!$N$8)-IFERROR(Z39/Z106,0)*12)/12*Z106,0))</f>
        <v>0</v>
      </c>
      <c r="AB171" s="799">
        <f>MIN(IF(ISERROR(VLOOKUP(AB$134-$F171,$E$135:$E$165,1,FALSE)),0,AA39*$C$2),MAX((IF(Monthly!X$4=TRUE,Monthly!X$13,Monthly!X$14)*(1+'Attrition Modeling'!$N$8)-IFERROR(AA39/AA106,0)*12)/12*AA106,0))</f>
        <v>0</v>
      </c>
      <c r="AC171" s="799">
        <f>MIN(IF(ISERROR(VLOOKUP(AC$134-$F171,$E$135:$E$165,1,FALSE)),0,AB39*$C$2),MAX((IF(Monthly!Y$4=TRUE,Monthly!Y$13,Monthly!Y$14)*(1+'Attrition Modeling'!$N$8)-IFERROR(AB39/AB106,0)*12)/12*AB106,0))</f>
        <v>0</v>
      </c>
      <c r="AD171" s="799">
        <f>MIN(IF(ISERROR(VLOOKUP(AD$134-$F171,$E$135:$E$165,1,FALSE)),0,AC39*$C$2),MAX((IF(Monthly!Z$4=TRUE,Monthly!Z$13,Monthly!Z$14)*(1+'Attrition Modeling'!$N$8)-IFERROR(AC39/AC106,0)*12)/12*AC106,0))</f>
        <v>0</v>
      </c>
      <c r="AE171" s="799">
        <f>MIN(IF(ISERROR(VLOOKUP(AE$134-$F171,$E$135:$E$165,1,FALSE)),0,AD39*$C$2),MAX((IF(Monthly!AA$4=TRUE,Monthly!AA$13,Monthly!AA$14)*(1+'Attrition Modeling'!$N$8)-IFERROR(AD39/AD106,0)*12)/12*AD106,0))</f>
        <v>0</v>
      </c>
      <c r="AF171" s="799">
        <f>MIN(IF(ISERROR(VLOOKUP(AF$134-$F171,$E$135:$E$165,1,FALSE)),0,AE39*$C$2),MAX((IF(Monthly!AB$4=TRUE,Monthly!AB$13,Monthly!AB$14)*(1+'Attrition Modeling'!$N$8)-IFERROR(AE39/AE106,0)*12)/12*AE106,0))</f>
        <v>0</v>
      </c>
      <c r="AG171" s="799">
        <f>MIN(IF(ISERROR(VLOOKUP(AG$134-$F171,$E$135:$E$165,1,FALSE)),0,AF39*$C$2),MAX((IF(Monthly!AC$4=TRUE,Monthly!AC$13,Monthly!AC$14)*(1+'Attrition Modeling'!$N$8)-IFERROR(AF39/AF106,0)*12)/12*AF106,0))</f>
        <v>0</v>
      </c>
      <c r="AH171" s="799">
        <f>MIN(IF(ISERROR(VLOOKUP(AH$134-$F171,$E$135:$E$165,1,FALSE)),0,AG39*$C$2),MAX((IF(Monthly!AD$4=TRUE,Monthly!AD$13,Monthly!AD$14)*(1+'Attrition Modeling'!$N$8)-IFERROR(AG39/AG106,0)*12)/12*AG106,0))</f>
        <v>0</v>
      </c>
      <c r="AI171" s="799">
        <f>MIN(IF(ISERROR(VLOOKUP(AI$134-$F171,$E$135:$E$165,1,FALSE)),0,AH39*$C$2),MAX((IF(Monthly!AE$4=TRUE,Monthly!AE$13,Monthly!AE$14)*(1+'Attrition Modeling'!$N$8)-IFERROR(AH39/AH106,0)*12)/12*AH106,0))</f>
        <v>0</v>
      </c>
      <c r="AJ171" s="799">
        <f>MIN(IF(ISERROR(VLOOKUP(AJ$134-$F171,$E$135:$E$165,1,FALSE)),0,AI39*$C$2),MAX((IF(Monthly!AF$4=TRUE,Monthly!AF$13,Monthly!AF$14)*(1+'Attrition Modeling'!$N$8)-IFERROR(AI39/AI106,0)*12)/12*AI106,0))</f>
        <v>0</v>
      </c>
      <c r="AK171" s="799">
        <f>MIN(IF(ISERROR(VLOOKUP(AK$134-$F171,$E$135:$E$165,1,FALSE)),0,AJ39*$C$2),MAX((IF(Monthly!AG$4=TRUE,Monthly!AG$13,Monthly!AG$14)*(1+'Attrition Modeling'!$N$8)-IFERROR(AJ39/AJ106,0)*12)/12*AJ106,0))</f>
        <v>0</v>
      </c>
      <c r="AL171" s="799">
        <f>MIN(IF(ISERROR(VLOOKUP(AL$134-$F171,$E$135:$E$165,1,FALSE)),0,AK39*$C$2),MAX((IF(Monthly!AH$4=TRUE,Monthly!AH$13,Monthly!AH$14)*(1+'Attrition Modeling'!$N$8)-IFERROR(AK39/AK106,0)*12)/12*AK106,0))</f>
        <v>0</v>
      </c>
      <c r="AM171" s="799">
        <f>MIN(IF(ISERROR(VLOOKUP(AM$134-$F171,$E$135:$E$165,1,FALSE)),0,AL39*$C$2),MAX((IF(Monthly!AI$4=TRUE,Monthly!AI$13,Monthly!AI$14)*(1+'Attrition Modeling'!$N$8)-IFERROR(AL39/AL106,0)*12)/12*AL106,0))</f>
        <v>0</v>
      </c>
      <c r="AN171" s="799">
        <f>MIN(IF(ISERROR(VLOOKUP(AN$134-$F171,$E$135:$E$165,1,FALSE)),0,AM39*$C$2),MAX((IF(Monthly!AJ$4=TRUE,Monthly!AJ$13,Monthly!AJ$14)*(1+'Attrition Modeling'!$N$8)-IFERROR(AM39/AM106,0)*12)/12*AM106,0))</f>
        <v>0</v>
      </c>
      <c r="AO171" s="799">
        <f>MIN(IF(ISERROR(VLOOKUP(AO$134-$F171,$E$135:$E$165,1,FALSE)),0,AN39*$C$2),MAX((IF(Monthly!AK$4=TRUE,Monthly!AK$13,Monthly!AK$14)*(1+'Attrition Modeling'!$N$8)-IFERROR(AN39/AN106,0)*12)/12*AN106,0))</f>
        <v>0</v>
      </c>
      <c r="AP171" s="799">
        <f>MIN(IF(ISERROR(VLOOKUP(AP$134-$F171,$E$135:$E$165,1,FALSE)),0,AO39*$C$2),MAX((IF(Monthly!AL$4=TRUE,Monthly!AL$13,Monthly!AL$14)*(1+'Attrition Modeling'!$N$8)-IFERROR(AO39/AO106,0)*12)/12*AO106,0))</f>
        <v>0</v>
      </c>
      <c r="AQ171" s="799">
        <f>MIN(IF(ISERROR(VLOOKUP(AQ$134-$F171,$E$135:$E$165,1,FALSE)),0,AP39*$C$2),MAX((IF(Monthly!AM$4=TRUE,Monthly!AM$13,Monthly!AM$14)*(1+'Attrition Modeling'!$N$8)-IFERROR(AP39/AP106,0)*12)/12*AP106,0))</f>
        <v>0</v>
      </c>
      <c r="AR171" s="799">
        <f>MIN(IF(ISERROR(VLOOKUP(AR$134-$F171,$E$135:$E$165,1,FALSE)),0,AQ39*$C$2),MAX((IF(Monthly!AN$4=TRUE,Monthly!AN$13,Monthly!AN$14)*(1+'Attrition Modeling'!$N$8)-IFERROR(AQ39/AQ106,0)*12)/12*AQ106,0))</f>
        <v>0</v>
      </c>
      <c r="AS171" s="799">
        <f>MIN(IF(ISERROR(VLOOKUP(AS$134-$F171,$E$135:$E$165,1,FALSE)),0,AR39*$C$2),MAX((IF(Monthly!AO$4=TRUE,Monthly!AO$13,Monthly!AO$14)*(1+'Attrition Modeling'!$N$8)-IFERROR(AR39/AR106,0)*12)/12*AR106,0))</f>
        <v>0</v>
      </c>
      <c r="AT171" s="799">
        <f>MIN(IF(ISERROR(VLOOKUP(AT$134-$F171,$E$135:$E$165,1,FALSE)),0,AS39*$C$2),MAX((IF(Monthly!AP$4=TRUE,Monthly!AP$13,Monthly!AP$14)*(1+'Attrition Modeling'!$N$8)-IFERROR(AS39/AS106,0)*12)/12*AS106,0))</f>
        <v>0</v>
      </c>
      <c r="AU171" s="799">
        <f>MIN(IF(ISERROR(VLOOKUP(AU$134-$F171,$E$135:$E$165,1,FALSE)),0,AT39*$C$2),MAX((IF(Monthly!AQ$4=TRUE,Monthly!AQ$13,Monthly!AQ$14)*(1+'Attrition Modeling'!$N$8)-IFERROR(AT39/AT106,0)*12)/12*AT106,0))</f>
        <v>0</v>
      </c>
      <c r="AV171" s="799">
        <f>MIN(IF(ISERROR(VLOOKUP(AV$134-$F171,$E$135:$E$165,1,FALSE)),0,AU39*$C$2),MAX((IF(Monthly!AR$4=TRUE,Monthly!AR$13,Monthly!AR$14)*(1+'Attrition Modeling'!$N$8)-IFERROR(AU39/AU106,0)*12)/12*AU106,0))</f>
        <v>0</v>
      </c>
      <c r="AW171" s="799">
        <f>MIN(IF(ISERROR(VLOOKUP(AW$134-$F171,$E$135:$E$165,1,FALSE)),0,AV39*$C$2),MAX((IF(Monthly!AS$4=TRUE,Monthly!AS$13,Monthly!AS$14)*(1+'Attrition Modeling'!$N$8)-IFERROR(AV39/AV106,0)*12)/12*AV106,0))</f>
        <v>491.49770257538478</v>
      </c>
      <c r="AX171" s="799">
        <f>MIN(IF(ISERROR(VLOOKUP(AX$134-$F171,$E$135:$E$165,1,FALSE)),0,AW39*$C$2),MAX((IF(Monthly!AT$4=TRUE,Monthly!AT$13,Monthly!AT$14)*(1+'Attrition Modeling'!$N$8)-IFERROR(AW39/AW106,0)*12)/12*AW106,0))</f>
        <v>0</v>
      </c>
      <c r="AY171" s="799">
        <f>MIN(IF(ISERROR(VLOOKUP(AY$134-$F171,$E$135:$E$165,1,FALSE)),0,AX39*$C$2),MAX((IF(Monthly!AU$4=TRUE,Monthly!AU$13,Monthly!AU$14)*(1+'Attrition Modeling'!$N$8)-IFERROR(AX39/AX106,0)*12)/12*AX106,0))</f>
        <v>0</v>
      </c>
      <c r="AZ171" s="799">
        <f>MIN(IF(ISERROR(VLOOKUP(AZ$134-$F171,$E$135:$E$165,1,FALSE)),0,AY39*$C$2),MAX((IF(Monthly!AV$4=TRUE,Monthly!AV$13,Monthly!AV$14)*(1+'Attrition Modeling'!$N$8)-IFERROR(AY39/AY106,0)*12)/12*AY106,0))</f>
        <v>0</v>
      </c>
      <c r="BA171" s="799">
        <f>MIN(IF(ISERROR(VLOOKUP(BA$134-$F171,$E$135:$E$165,1,FALSE)),0,AZ39*$C$2),MAX((IF(Monthly!AW$4=TRUE,Monthly!AW$13,Monthly!AW$14)*(1+'Attrition Modeling'!$N$8)-IFERROR(AZ39/AZ106,0)*12)/12*AZ106,0))</f>
        <v>0</v>
      </c>
      <c r="BB171" s="799">
        <f>MIN(IF(ISERROR(VLOOKUP(BB$134-$F171,$E$135:$E$165,1,FALSE)),0,BA39*$C$2),MAX((IF(Monthly!AX$4=TRUE,Monthly!AX$13,Monthly!AX$14)*(1+'Attrition Modeling'!$N$8)-IFERROR(BA39/BA106,0)*12)/12*BA106,0))</f>
        <v>0</v>
      </c>
      <c r="BC171" s="799">
        <f>MIN(IF(ISERROR(VLOOKUP(BC$134-$F171,$E$135:$E$165,1,FALSE)),0,BB39*$C$2),MAX((IF(Monthly!AY$4=TRUE,Monthly!AY$13,Monthly!AY$14)*(1+'Attrition Modeling'!$N$8)-IFERROR(BB39/BB106,0)*12)/12*BB106,0))</f>
        <v>0</v>
      </c>
      <c r="BD171" s="799">
        <f>MIN(IF(ISERROR(VLOOKUP(BD$134-$F171,$E$135:$E$165,1,FALSE)),0,BC39*$C$2),MAX((IF(Monthly!AZ$4=TRUE,Monthly!AZ$13,Monthly!AZ$14)*(1+'Attrition Modeling'!$N$8)-IFERROR(BC39/BC106,0)*12)/12*BC106,0))</f>
        <v>0</v>
      </c>
      <c r="BE171" s="799">
        <f>MIN(IF(ISERROR(VLOOKUP(BE$134-$F171,$E$135:$E$165,1,FALSE)),0,BD39*$C$2),MAX((IF(Monthly!BA$4=TRUE,Monthly!BA$13,Monthly!BA$14)*(1+'Attrition Modeling'!$N$8)-IFERROR(BD39/BD106,0)*12)/12*BD106,0))</f>
        <v>0</v>
      </c>
      <c r="BF171" s="799">
        <f>MIN(IF(ISERROR(VLOOKUP(BF$134-$F171,$E$135:$E$165,1,FALSE)),0,BE39*$C$2),MAX((IF(Monthly!BB$4=TRUE,Monthly!BB$13,Monthly!BB$14)*(1+'Attrition Modeling'!$N$8)-IFERROR(BE39/BE106,0)*12)/12*BE106,0))</f>
        <v>0</v>
      </c>
      <c r="BG171" s="799">
        <f>MIN(IF(ISERROR(VLOOKUP(BG$134-$F171,$E$135:$E$165,1,FALSE)),0,BF39*$C$2),MAX((IF(Monthly!BC$4=TRUE,Monthly!BC$13,Monthly!BC$14)*(1+'Attrition Modeling'!$N$8)-IFERROR(BF39/BF106,0)*12)/12*BF106,0))</f>
        <v>0</v>
      </c>
      <c r="BH171" s="799">
        <f>MIN(IF(ISERROR(VLOOKUP(BH$134-$F171,$E$135:$E$165,1,FALSE)),0,BG39*$C$2),MAX((IF(Monthly!BD$4=TRUE,Monthly!BD$13,Monthly!BD$14)*(1+'Attrition Modeling'!$N$8)-IFERROR(BG39/BG106,0)*12)/12*BG106,0))</f>
        <v>0</v>
      </c>
      <c r="BI171" s="799">
        <f>MIN(IF(ISERROR(VLOOKUP(BI$134-$F171,$E$135:$E$165,1,FALSE)),0,BH39*$C$2),MAX((IF(Monthly!BE$4=TRUE,Monthly!BE$13,Monthly!BE$14)*(1+'Attrition Modeling'!$N$8)-IFERROR(BH39/BH106,0)*12)/12*BH106,0))</f>
        <v>266.78412253991922</v>
      </c>
      <c r="BJ171" s="799">
        <f>MIN(IF(ISERROR(VLOOKUP(BJ$134-$F171,$E$135:$E$165,1,FALSE)),0,BI39*$C$2),MAX((IF(Monthly!BF$4=TRUE,Monthly!BF$13,Monthly!BF$14)*(1+'Attrition Modeling'!$N$8)-IFERROR(BI39/BI106,0)*12)/12*BI106,0))</f>
        <v>0</v>
      </c>
      <c r="BK171" s="799">
        <f>MIN(IF(ISERROR(VLOOKUP(BK$134-$F171,$E$135:$E$165,1,FALSE)),0,BJ39*$C$2),MAX((IF(Monthly!BG$4=TRUE,Monthly!BG$13,Monthly!BG$14)*(1+'Attrition Modeling'!$N$8)-IFERROR(BJ39/BJ106,0)*12)/12*BJ106,0))</f>
        <v>0</v>
      </c>
      <c r="BL171" s="799">
        <f>MIN(IF(ISERROR(VLOOKUP(BL$134-$F171,$E$135:$E$165,1,FALSE)),0,BK39*$C$2),MAX((IF(Monthly!BH$4=TRUE,Monthly!BH$13,Monthly!BH$14)*(1+'Attrition Modeling'!$N$8)-IFERROR(BK39/BK106,0)*12)/12*BK106,0))</f>
        <v>0</v>
      </c>
      <c r="BM171" s="799">
        <f>MIN(IF(ISERROR(VLOOKUP(BM$134-$F171,$E$135:$E$165,1,FALSE)),0,BL39*$C$2),MAX((IF(Monthly!BI$4=TRUE,Monthly!BI$13,Monthly!BI$14)*(1+'Attrition Modeling'!$N$8)-IFERROR(BL39/BL106,0)*12)/12*BL106,0))</f>
        <v>0</v>
      </c>
      <c r="BN171" s="799">
        <f>MIN(IF(ISERROR(VLOOKUP(BN$134-$F171,$E$135:$E$165,1,FALSE)),0,BM39*$C$2),MAX((IF(Monthly!BJ$4=TRUE,Monthly!BJ$13,Monthly!BJ$14)*(1+'Attrition Modeling'!$N$8)-IFERROR(BM39/BM106,0)*12)/12*BM106,0))</f>
        <v>0</v>
      </c>
      <c r="BO171" s="799">
        <f>MIN(IF(ISERROR(VLOOKUP(BO$134-$F171,$E$135:$E$165,1,FALSE)),0,BN39*$C$2),MAX((IF(Monthly!BK$4=TRUE,Monthly!BK$13,Monthly!BK$14)*(1+'Attrition Modeling'!$N$8)-IFERROR(BN39/BN106,0)*12)/12*BN106,0))</f>
        <v>0</v>
      </c>
      <c r="BP171" s="799">
        <f>MIN(IF(ISERROR(VLOOKUP(BP$134-$F171,$E$135:$E$165,1,FALSE)),0,BO39*$C$2),MAX((IF(Monthly!BP$4=TRUE,Monthly!BP$13,Monthly!BP$14)*(1+'Attrition Modeling'!$N$8)-IFERROR(BO39/BO106,0)*12)/12*BO106,0))</f>
        <v>0</v>
      </c>
      <c r="BQ171" s="799">
        <f>MIN(IF(ISERROR(VLOOKUP(BQ$134-$F171,$E$135:$E$165,1,FALSE)),0,BP39*$C$2),MAX((IF(Monthly!BQ$4=TRUE,Monthly!BQ$13,Monthly!BQ$14)*(1+'Attrition Modeling'!$N$8)-IFERROR(BP39/BP106,0)*12)/12*BP106,0))</f>
        <v>0</v>
      </c>
      <c r="BR171" s="799">
        <f>MIN(IF(ISERROR(VLOOKUP(BR$134-$F171,$E$135:$E$165,1,FALSE)),0,BQ39*$C$2),MAX((IF(Monthly!BR$4=TRUE,Monthly!BR$13,Monthly!BR$14)*(1+'Attrition Modeling'!$N$8)-IFERROR(BQ39/BQ106,0)*12)/12*BQ106,0))</f>
        <v>0</v>
      </c>
      <c r="BS171" s="799">
        <f>MIN(IF(ISERROR(VLOOKUP(BS$134-$F171,$E$135:$E$165,1,FALSE)),0,BR39*$C$2),MAX((IF(Monthly!BS$4=TRUE,Monthly!BS$13,Monthly!BS$14)*(1+'Attrition Modeling'!$N$8)-IFERROR(BR39/BR106,0)*12)/12*BR106,0))</f>
        <v>0</v>
      </c>
      <c r="BT171" s="799">
        <f>MIN(IF(ISERROR(VLOOKUP(BT$134-$F171,$E$135:$E$165,1,FALSE)),0,BS39*$C$2),MAX((IF(Monthly!BT$4=TRUE,Monthly!BT$13,Monthly!BT$14)*(1+'Attrition Modeling'!$N$8)-IFERROR(BS39/BS106,0)*12)/12*BS106,0))</f>
        <v>0</v>
      </c>
      <c r="BU171" s="799">
        <f>MIN(IF(ISERROR(VLOOKUP(BU$134-$F171,$E$135:$E$165,1,FALSE)),0,BT39*$C$2),MAX((IF(Monthly!BU$4=TRUE,Monthly!BU$13,Monthly!BU$14)*(1+'Attrition Modeling'!$N$8)-IFERROR(BT39/BT106,0)*12)/12*BT106,0))</f>
        <v>181.51475337084204</v>
      </c>
    </row>
    <row r="172" spans="1:73" ht="14.25" customHeight="1" x14ac:dyDescent="0.2">
      <c r="E172" s="25"/>
      <c r="F172" s="11">
        <f t="shared" si="14"/>
        <v>37</v>
      </c>
      <c r="G172" s="799"/>
      <c r="H172" s="799">
        <f>MIN(IF(ISERROR(VLOOKUP(H$134-$F172,$E$135:$E$165,1,FALSE)),0,G40*$C$2),MAX((IF(Monthly!D$4=TRUE,Monthly!D$13,Monthly!D$14)*(1+'Attrition Modeling'!$N$8)-IFERROR(G40/G107,0)*12)/12*G107,0))</f>
        <v>0</v>
      </c>
      <c r="I172" s="799">
        <f>MIN(IF(ISERROR(VLOOKUP(I$134-$F172,$E$135:$E$165,1,FALSE)),0,H40*$C$2),MAX((IF(Monthly!E$4=TRUE,Monthly!E$13,Monthly!E$14)*(1+'Attrition Modeling'!$N$8)-IFERROR(H40/H107,0)*12)/12*H107,0))</f>
        <v>0</v>
      </c>
      <c r="J172" s="799">
        <f>MIN(IF(ISERROR(VLOOKUP(J$134-$F172,$E$135:$E$165,1,FALSE)),0,I40*$C$2),MAX((IF(Monthly!F$4=TRUE,Monthly!F$13,Monthly!F$14)*(1+'Attrition Modeling'!$N$8)-IFERROR(I40/I107,0)*12)/12*I107,0))</f>
        <v>0</v>
      </c>
      <c r="K172" s="799">
        <f>MIN(IF(ISERROR(VLOOKUP(K$134-$F172,$E$135:$E$165,1,FALSE)),0,J40*$C$2),MAX((IF(Monthly!G$4=TRUE,Monthly!G$13,Monthly!G$14)*(1+'Attrition Modeling'!$N$8)-IFERROR(J40/J107,0)*12)/12*J107,0))</f>
        <v>0</v>
      </c>
      <c r="L172" s="799">
        <f>MIN(IF(ISERROR(VLOOKUP(L$134-$F172,$E$135:$E$165,1,FALSE)),0,K40*$C$2),MAX((IF(Monthly!H$4=TRUE,Monthly!H$13,Monthly!H$14)*(1+'Attrition Modeling'!$N$8)-IFERROR(K40/K107,0)*12)/12*K107,0))</f>
        <v>0</v>
      </c>
      <c r="M172" s="799">
        <f>MIN(IF(ISERROR(VLOOKUP(M$134-$F172,$E$135:$E$165,1,FALSE)),0,L40*$C$2),MAX((IF(Monthly!I$4=TRUE,Monthly!I$13,Monthly!I$14)*(1+'Attrition Modeling'!$N$8)-IFERROR(L40/L107,0)*12)/12*L107,0))</f>
        <v>0</v>
      </c>
      <c r="N172" s="799">
        <f>MIN(IF(ISERROR(VLOOKUP(N$134-$F172,$E$135:$E$165,1,FALSE)),0,M40*$C$2),MAX((IF(Monthly!J$4=TRUE,Monthly!J$13,Monthly!J$14)*(1+'Attrition Modeling'!$N$8)-IFERROR(M40/M107,0)*12)/12*M107,0))</f>
        <v>0</v>
      </c>
      <c r="O172" s="799">
        <f>MIN(IF(ISERROR(VLOOKUP(O$134-$F172,$E$135:$E$165,1,FALSE)),0,N40*$C$2),MAX((IF(Monthly!K$4=TRUE,Monthly!K$13,Monthly!K$14)*(1+'Attrition Modeling'!$N$8)-IFERROR(N40/N107,0)*12)/12*N107,0))</f>
        <v>0</v>
      </c>
      <c r="P172" s="799">
        <f>MIN(IF(ISERROR(VLOOKUP(P$134-$F172,$E$135:$E$165,1,FALSE)),0,O40*$C$2),MAX((IF(Monthly!L$4=TRUE,Monthly!L$13,Monthly!L$14)*(1+'Attrition Modeling'!$N$8)-IFERROR(O40/O107,0)*12)/12*O107,0))</f>
        <v>0</v>
      </c>
      <c r="Q172" s="799">
        <f>MIN(IF(ISERROR(VLOOKUP(Q$134-$F172,$E$135:$E$165,1,FALSE)),0,P40*$C$2),MAX((IF(Monthly!M$4=TRUE,Monthly!M$13,Monthly!M$14)*(1+'Attrition Modeling'!$N$8)-IFERROR(P40/P107,0)*12)/12*P107,0))</f>
        <v>0</v>
      </c>
      <c r="R172" s="799">
        <f>MIN(IF(ISERROR(VLOOKUP(R$134-$F172,$E$135:$E$165,1,FALSE)),0,Q40*$C$2),MAX((IF(Monthly!N$4=TRUE,Monthly!N$13,Monthly!N$14)*(1+'Attrition Modeling'!$N$8)-IFERROR(Q40/Q107,0)*12)/12*Q107,0))</f>
        <v>0</v>
      </c>
      <c r="S172" s="799">
        <f>MIN(IF(ISERROR(VLOOKUP(S$134-$F172,$E$135:$E$165,1,FALSE)),0,R40*$C$2),MAX((IF(Monthly!O$4=TRUE,Monthly!O$13,Monthly!O$14)*(1+'Attrition Modeling'!$N$8)-IFERROR(R40/R107,0)*12)/12*R107,0))</f>
        <v>0</v>
      </c>
      <c r="T172" s="799">
        <f>MIN(IF(ISERROR(VLOOKUP(T$134-$F172,$E$135:$E$165,1,FALSE)),0,S40*$C$2),MAX((IF(Monthly!P$4=TRUE,Monthly!P$13,Monthly!P$14)*(1+'Attrition Modeling'!$N$8)-IFERROR(S40/S107,0)*12)/12*S107,0))</f>
        <v>0</v>
      </c>
      <c r="U172" s="799">
        <f>MIN(IF(ISERROR(VLOOKUP(U$134-$F172,$E$135:$E$165,1,FALSE)),0,T40*$C$2),MAX((IF(Monthly!Q$4=TRUE,Monthly!Q$13,Monthly!Q$14)*(1+'Attrition Modeling'!$N$8)-IFERROR(T40/T107,0)*12)/12*T107,0))</f>
        <v>0</v>
      </c>
      <c r="V172" s="799">
        <f>MIN(IF(ISERROR(VLOOKUP(V$134-$F172,$E$135:$E$165,1,FALSE)),0,U40*$C$2),MAX((IF(Monthly!R$4=TRUE,Monthly!R$13,Monthly!R$14)*(1+'Attrition Modeling'!$N$8)-IFERROR(U40/U107,0)*12)/12*U107,0))</f>
        <v>0</v>
      </c>
      <c r="W172" s="799">
        <f>MIN(IF(ISERROR(VLOOKUP(W$134-$F172,$E$135:$E$165,1,FALSE)),0,V40*$C$2),MAX((IF(Monthly!S$4=TRUE,Monthly!S$13,Monthly!S$14)*(1+'Attrition Modeling'!$N$8)-IFERROR(V40/V107,0)*12)/12*V107,0))</f>
        <v>0</v>
      </c>
      <c r="X172" s="799">
        <f>MIN(IF(ISERROR(VLOOKUP(X$134-$F172,$E$135:$E$165,1,FALSE)),0,W40*$C$2),MAX((IF(Monthly!T$4=TRUE,Monthly!T$13,Monthly!T$14)*(1+'Attrition Modeling'!$N$8)-IFERROR(W40/W107,0)*12)/12*W107,0))</f>
        <v>0</v>
      </c>
      <c r="Y172" s="799">
        <f>MIN(IF(ISERROR(VLOOKUP(Y$134-$F172,$E$135:$E$165,1,FALSE)),0,X40*$C$2),MAX((IF(Monthly!U$4=TRUE,Monthly!U$13,Monthly!U$14)*(1+'Attrition Modeling'!$N$8)-IFERROR(X40/X107,0)*12)/12*X107,0))</f>
        <v>0</v>
      </c>
      <c r="Z172" s="799">
        <f>MIN(IF(ISERROR(VLOOKUP(Z$134-$F172,$E$135:$E$165,1,FALSE)),0,Y40*$C$2),MAX((IF(Monthly!V$4=TRUE,Monthly!V$13,Monthly!V$14)*(1+'Attrition Modeling'!$N$8)-IFERROR(Y40/Y107,0)*12)/12*Y107,0))</f>
        <v>0</v>
      </c>
      <c r="AA172" s="799">
        <f>MIN(IF(ISERROR(VLOOKUP(AA$134-$F172,$E$135:$E$165,1,FALSE)),0,Z40*$C$2),MAX((IF(Monthly!W$4=TRUE,Monthly!W$13,Monthly!W$14)*(1+'Attrition Modeling'!$N$8)-IFERROR(Z40/Z107,0)*12)/12*Z107,0))</f>
        <v>0</v>
      </c>
      <c r="AB172" s="799">
        <f>MIN(IF(ISERROR(VLOOKUP(AB$134-$F172,$E$135:$E$165,1,FALSE)),0,AA40*$C$2),MAX((IF(Monthly!X$4=TRUE,Monthly!X$13,Monthly!X$14)*(1+'Attrition Modeling'!$N$8)-IFERROR(AA40/AA107,0)*12)/12*AA107,0))</f>
        <v>0</v>
      </c>
      <c r="AC172" s="799">
        <f>MIN(IF(ISERROR(VLOOKUP(AC$134-$F172,$E$135:$E$165,1,FALSE)),0,AB40*$C$2),MAX((IF(Monthly!Y$4=TRUE,Monthly!Y$13,Monthly!Y$14)*(1+'Attrition Modeling'!$N$8)-IFERROR(AB40/AB107,0)*12)/12*AB107,0))</f>
        <v>0</v>
      </c>
      <c r="AD172" s="799">
        <f>MIN(IF(ISERROR(VLOOKUP(AD$134-$F172,$E$135:$E$165,1,FALSE)),0,AC40*$C$2),MAX((IF(Monthly!Z$4=TRUE,Monthly!Z$13,Monthly!Z$14)*(1+'Attrition Modeling'!$N$8)-IFERROR(AC40/AC107,0)*12)/12*AC107,0))</f>
        <v>0</v>
      </c>
      <c r="AE172" s="799">
        <f>MIN(IF(ISERROR(VLOOKUP(AE$134-$F172,$E$135:$E$165,1,FALSE)),0,AD40*$C$2),MAX((IF(Monthly!AA$4=TRUE,Monthly!AA$13,Monthly!AA$14)*(1+'Attrition Modeling'!$N$8)-IFERROR(AD40/AD107,0)*12)/12*AD107,0))</f>
        <v>0</v>
      </c>
      <c r="AF172" s="799">
        <f>MIN(IF(ISERROR(VLOOKUP(AF$134-$F172,$E$135:$E$165,1,FALSE)),0,AE40*$C$2),MAX((IF(Monthly!AB$4=TRUE,Monthly!AB$13,Monthly!AB$14)*(1+'Attrition Modeling'!$N$8)-IFERROR(AE40/AE107,0)*12)/12*AE107,0))</f>
        <v>0</v>
      </c>
      <c r="AG172" s="799">
        <f>MIN(IF(ISERROR(VLOOKUP(AG$134-$F172,$E$135:$E$165,1,FALSE)),0,AF40*$C$2),MAX((IF(Monthly!AC$4=TRUE,Monthly!AC$13,Monthly!AC$14)*(1+'Attrition Modeling'!$N$8)-IFERROR(AF40/AF107,0)*12)/12*AF107,0))</f>
        <v>0</v>
      </c>
      <c r="AH172" s="799">
        <f>MIN(IF(ISERROR(VLOOKUP(AH$134-$F172,$E$135:$E$165,1,FALSE)),0,AG40*$C$2),MAX((IF(Monthly!AD$4=TRUE,Monthly!AD$13,Monthly!AD$14)*(1+'Attrition Modeling'!$N$8)-IFERROR(AG40/AG107,0)*12)/12*AG107,0))</f>
        <v>0</v>
      </c>
      <c r="AI172" s="799">
        <f>MIN(IF(ISERROR(VLOOKUP(AI$134-$F172,$E$135:$E$165,1,FALSE)),0,AH40*$C$2),MAX((IF(Monthly!AE$4=TRUE,Monthly!AE$13,Monthly!AE$14)*(1+'Attrition Modeling'!$N$8)-IFERROR(AH40/AH107,0)*12)/12*AH107,0))</f>
        <v>0</v>
      </c>
      <c r="AJ172" s="799">
        <f>MIN(IF(ISERROR(VLOOKUP(AJ$134-$F172,$E$135:$E$165,1,FALSE)),0,AI40*$C$2),MAX((IF(Monthly!AF$4=TRUE,Monthly!AF$13,Monthly!AF$14)*(1+'Attrition Modeling'!$N$8)-IFERROR(AI40/AI107,0)*12)/12*AI107,0))</f>
        <v>0</v>
      </c>
      <c r="AK172" s="799">
        <f>MIN(IF(ISERROR(VLOOKUP(AK$134-$F172,$E$135:$E$165,1,FALSE)),0,AJ40*$C$2),MAX((IF(Monthly!AG$4=TRUE,Monthly!AG$13,Monthly!AG$14)*(1+'Attrition Modeling'!$N$8)-IFERROR(AJ40/AJ107,0)*12)/12*AJ107,0))</f>
        <v>0</v>
      </c>
      <c r="AL172" s="799">
        <f>MIN(IF(ISERROR(VLOOKUP(AL$134-$F172,$E$135:$E$165,1,FALSE)),0,AK40*$C$2),MAX((IF(Monthly!AH$4=TRUE,Monthly!AH$13,Monthly!AH$14)*(1+'Attrition Modeling'!$N$8)-IFERROR(AK40/AK107,0)*12)/12*AK107,0))</f>
        <v>0</v>
      </c>
      <c r="AM172" s="799">
        <f>MIN(IF(ISERROR(VLOOKUP(AM$134-$F172,$E$135:$E$165,1,FALSE)),0,AL40*$C$2),MAX((IF(Monthly!AI$4=TRUE,Monthly!AI$13,Monthly!AI$14)*(1+'Attrition Modeling'!$N$8)-IFERROR(AL40/AL107,0)*12)/12*AL107,0))</f>
        <v>0</v>
      </c>
      <c r="AN172" s="799">
        <f>MIN(IF(ISERROR(VLOOKUP(AN$134-$F172,$E$135:$E$165,1,FALSE)),0,AM40*$C$2),MAX((IF(Monthly!AJ$4=TRUE,Monthly!AJ$13,Monthly!AJ$14)*(1+'Attrition Modeling'!$N$8)-IFERROR(AM40/AM107,0)*12)/12*AM107,0))</f>
        <v>0</v>
      </c>
      <c r="AO172" s="799">
        <f>MIN(IF(ISERROR(VLOOKUP(AO$134-$F172,$E$135:$E$165,1,FALSE)),0,AN40*$C$2),MAX((IF(Monthly!AK$4=TRUE,Monthly!AK$13,Monthly!AK$14)*(1+'Attrition Modeling'!$N$8)-IFERROR(AN40/AN107,0)*12)/12*AN107,0))</f>
        <v>0</v>
      </c>
      <c r="AP172" s="799">
        <f>MIN(IF(ISERROR(VLOOKUP(AP$134-$F172,$E$135:$E$165,1,FALSE)),0,AO40*$C$2),MAX((IF(Monthly!AL$4=TRUE,Monthly!AL$13,Monthly!AL$14)*(1+'Attrition Modeling'!$N$8)-IFERROR(AO40/AO107,0)*12)/12*AO107,0))</f>
        <v>0</v>
      </c>
      <c r="AQ172" s="799">
        <f>MIN(IF(ISERROR(VLOOKUP(AQ$134-$F172,$E$135:$E$165,1,FALSE)),0,AP40*$C$2),MAX((IF(Monthly!AM$4=TRUE,Monthly!AM$13,Monthly!AM$14)*(1+'Attrition Modeling'!$N$8)-IFERROR(AP40/AP107,0)*12)/12*AP107,0))</f>
        <v>0</v>
      </c>
      <c r="AR172" s="799">
        <f>MIN(IF(ISERROR(VLOOKUP(AR$134-$F172,$E$135:$E$165,1,FALSE)),0,AQ40*$C$2),MAX((IF(Monthly!AN$4=TRUE,Monthly!AN$13,Monthly!AN$14)*(1+'Attrition Modeling'!$N$8)-IFERROR(AQ40/AQ107,0)*12)/12*AQ107,0))</f>
        <v>0</v>
      </c>
      <c r="AS172" s="799">
        <f>MIN(IF(ISERROR(VLOOKUP(AS$134-$F172,$E$135:$E$165,1,FALSE)),0,AR40*$C$2),MAX((IF(Monthly!AO$4=TRUE,Monthly!AO$13,Monthly!AO$14)*(1+'Attrition Modeling'!$N$8)-IFERROR(AR40/AR107,0)*12)/12*AR107,0))</f>
        <v>0</v>
      </c>
      <c r="AT172" s="799">
        <f>MIN(IF(ISERROR(VLOOKUP(AT$134-$F172,$E$135:$E$165,1,FALSE)),0,AS40*$C$2),MAX((IF(Monthly!AP$4=TRUE,Monthly!AP$13,Monthly!AP$14)*(1+'Attrition Modeling'!$N$8)-IFERROR(AS40/AS107,0)*12)/12*AS107,0))</f>
        <v>0</v>
      </c>
      <c r="AU172" s="799">
        <f>MIN(IF(ISERROR(VLOOKUP(AU$134-$F172,$E$135:$E$165,1,FALSE)),0,AT40*$C$2),MAX((IF(Monthly!AQ$4=TRUE,Monthly!AQ$13,Monthly!AQ$14)*(1+'Attrition Modeling'!$N$8)-IFERROR(AT40/AT107,0)*12)/12*AT107,0))</f>
        <v>0</v>
      </c>
      <c r="AV172" s="799">
        <f>MIN(IF(ISERROR(VLOOKUP(AV$134-$F172,$E$135:$E$165,1,FALSE)),0,AU40*$C$2),MAX((IF(Monthly!AR$4=TRUE,Monthly!AR$13,Monthly!AR$14)*(1+'Attrition Modeling'!$N$8)-IFERROR(AU40/AU107,0)*12)/12*AU107,0))</f>
        <v>0</v>
      </c>
      <c r="AW172" s="799">
        <f>MIN(IF(ISERROR(VLOOKUP(AW$134-$F172,$E$135:$E$165,1,FALSE)),0,AV40*$C$2),MAX((IF(Monthly!AS$4=TRUE,Monthly!AS$13,Monthly!AS$14)*(1+'Attrition Modeling'!$N$8)-IFERROR(AV40/AV107,0)*12)/12*AV107,0))</f>
        <v>0</v>
      </c>
      <c r="AX172" s="799">
        <f>MIN(IF(ISERROR(VLOOKUP(AX$134-$F172,$E$135:$E$165,1,FALSE)),0,AW40*$C$2),MAX((IF(Monthly!AT$4=TRUE,Monthly!AT$13,Monthly!AT$14)*(1+'Attrition Modeling'!$N$8)-IFERROR(AW40/AW107,0)*12)/12*AW107,0))</f>
        <v>578.01757868516847</v>
      </c>
      <c r="AY172" s="799">
        <f>MIN(IF(ISERROR(VLOOKUP(AY$134-$F172,$E$135:$E$165,1,FALSE)),0,AX40*$C$2),MAX((IF(Monthly!AU$4=TRUE,Monthly!AU$13,Monthly!AU$14)*(1+'Attrition Modeling'!$N$8)-IFERROR(AX40/AX107,0)*12)/12*AX107,0))</f>
        <v>0</v>
      </c>
      <c r="AZ172" s="799">
        <f>MIN(IF(ISERROR(VLOOKUP(AZ$134-$F172,$E$135:$E$165,1,FALSE)),0,AY40*$C$2),MAX((IF(Monthly!AV$4=TRUE,Monthly!AV$13,Monthly!AV$14)*(1+'Attrition Modeling'!$N$8)-IFERROR(AY40/AY107,0)*12)/12*AY107,0))</f>
        <v>0</v>
      </c>
      <c r="BA172" s="799">
        <f>MIN(IF(ISERROR(VLOOKUP(BA$134-$F172,$E$135:$E$165,1,FALSE)),0,AZ40*$C$2),MAX((IF(Monthly!AW$4=TRUE,Monthly!AW$13,Monthly!AW$14)*(1+'Attrition Modeling'!$N$8)-IFERROR(AZ40/AZ107,0)*12)/12*AZ107,0))</f>
        <v>0</v>
      </c>
      <c r="BB172" s="799">
        <f>MIN(IF(ISERROR(VLOOKUP(BB$134-$F172,$E$135:$E$165,1,FALSE)),0,BA40*$C$2),MAX((IF(Monthly!AX$4=TRUE,Monthly!AX$13,Monthly!AX$14)*(1+'Attrition Modeling'!$N$8)-IFERROR(BA40/BA107,0)*12)/12*BA107,0))</f>
        <v>0</v>
      </c>
      <c r="BC172" s="799">
        <f>MIN(IF(ISERROR(VLOOKUP(BC$134-$F172,$E$135:$E$165,1,FALSE)),0,BB40*$C$2),MAX((IF(Monthly!AY$4=TRUE,Monthly!AY$13,Monthly!AY$14)*(1+'Attrition Modeling'!$N$8)-IFERROR(BB40/BB107,0)*12)/12*BB107,0))</f>
        <v>0</v>
      </c>
      <c r="BD172" s="799">
        <f>MIN(IF(ISERROR(VLOOKUP(BD$134-$F172,$E$135:$E$165,1,FALSE)),0,BC40*$C$2),MAX((IF(Monthly!AZ$4=TRUE,Monthly!AZ$13,Monthly!AZ$14)*(1+'Attrition Modeling'!$N$8)-IFERROR(BC40/BC107,0)*12)/12*BC107,0))</f>
        <v>0</v>
      </c>
      <c r="BE172" s="799">
        <f>MIN(IF(ISERROR(VLOOKUP(BE$134-$F172,$E$135:$E$165,1,FALSE)),0,BD40*$C$2),MAX((IF(Monthly!BA$4=TRUE,Monthly!BA$13,Monthly!BA$14)*(1+'Attrition Modeling'!$N$8)-IFERROR(BD40/BD107,0)*12)/12*BD107,0))</f>
        <v>0</v>
      </c>
      <c r="BF172" s="799">
        <f>MIN(IF(ISERROR(VLOOKUP(BF$134-$F172,$E$135:$E$165,1,FALSE)),0,BE40*$C$2),MAX((IF(Monthly!BB$4=TRUE,Monthly!BB$13,Monthly!BB$14)*(1+'Attrition Modeling'!$N$8)-IFERROR(BE40/BE107,0)*12)/12*BE107,0))</f>
        <v>0</v>
      </c>
      <c r="BG172" s="799">
        <f>MIN(IF(ISERROR(VLOOKUP(BG$134-$F172,$E$135:$E$165,1,FALSE)),0,BF40*$C$2),MAX((IF(Monthly!BC$4=TRUE,Monthly!BC$13,Monthly!BC$14)*(1+'Attrition Modeling'!$N$8)-IFERROR(BF40/BF107,0)*12)/12*BF107,0))</f>
        <v>0</v>
      </c>
      <c r="BH172" s="799">
        <f>MIN(IF(ISERROR(VLOOKUP(BH$134-$F172,$E$135:$E$165,1,FALSE)),0,BG40*$C$2),MAX((IF(Monthly!BD$4=TRUE,Monthly!BD$13,Monthly!BD$14)*(1+'Attrition Modeling'!$N$8)-IFERROR(BG40/BG107,0)*12)/12*BG107,0))</f>
        <v>0</v>
      </c>
      <c r="BI172" s="799">
        <f>MIN(IF(ISERROR(VLOOKUP(BI$134-$F172,$E$135:$E$165,1,FALSE)),0,BH40*$C$2),MAX((IF(Monthly!BE$4=TRUE,Monthly!BE$13,Monthly!BE$14)*(1+'Attrition Modeling'!$N$8)-IFERROR(BH40/BH107,0)*12)/12*BH107,0))</f>
        <v>0</v>
      </c>
      <c r="BJ172" s="799">
        <f>MIN(IF(ISERROR(VLOOKUP(BJ$134-$F172,$E$135:$E$165,1,FALSE)),0,BI40*$C$2),MAX((IF(Monthly!BF$4=TRUE,Monthly!BF$13,Monthly!BF$14)*(1+'Attrition Modeling'!$N$8)-IFERROR(BI40/BI107,0)*12)/12*BI107,0))</f>
        <v>313.27486597205956</v>
      </c>
      <c r="BK172" s="799">
        <f>MIN(IF(ISERROR(VLOOKUP(BK$134-$F172,$E$135:$E$165,1,FALSE)),0,BJ40*$C$2),MAX((IF(Monthly!BG$4=TRUE,Monthly!BG$13,Monthly!BG$14)*(1+'Attrition Modeling'!$N$8)-IFERROR(BJ40/BJ107,0)*12)/12*BJ107,0))</f>
        <v>0</v>
      </c>
      <c r="BL172" s="799">
        <f>MIN(IF(ISERROR(VLOOKUP(BL$134-$F172,$E$135:$E$165,1,FALSE)),0,BK40*$C$2),MAX((IF(Monthly!BH$4=TRUE,Monthly!BH$13,Monthly!BH$14)*(1+'Attrition Modeling'!$N$8)-IFERROR(BK40/BK107,0)*12)/12*BK107,0))</f>
        <v>0</v>
      </c>
      <c r="BM172" s="799">
        <f>MIN(IF(ISERROR(VLOOKUP(BM$134-$F172,$E$135:$E$165,1,FALSE)),0,BL40*$C$2),MAX((IF(Monthly!BI$4=TRUE,Monthly!BI$13,Monthly!BI$14)*(1+'Attrition Modeling'!$N$8)-IFERROR(BL40/BL107,0)*12)/12*BL107,0))</f>
        <v>0</v>
      </c>
      <c r="BN172" s="799">
        <f>MIN(IF(ISERROR(VLOOKUP(BN$134-$F172,$E$135:$E$165,1,FALSE)),0,BM40*$C$2),MAX((IF(Monthly!BJ$4=TRUE,Monthly!BJ$13,Monthly!BJ$14)*(1+'Attrition Modeling'!$N$8)-IFERROR(BM40/BM107,0)*12)/12*BM107,0))</f>
        <v>0</v>
      </c>
      <c r="BO172" s="799">
        <f>MIN(IF(ISERROR(VLOOKUP(BO$134-$F172,$E$135:$E$165,1,FALSE)),0,BN40*$C$2),MAX((IF(Monthly!BK$4=TRUE,Monthly!BK$13,Monthly!BK$14)*(1+'Attrition Modeling'!$N$8)-IFERROR(BN40/BN107,0)*12)/12*BN107,0))</f>
        <v>0</v>
      </c>
      <c r="BP172" s="799">
        <f>MIN(IF(ISERROR(VLOOKUP(BP$134-$F172,$E$135:$E$165,1,FALSE)),0,BO40*$C$2),MAX((IF(Monthly!BP$4=TRUE,Monthly!BP$13,Monthly!BP$14)*(1+'Attrition Modeling'!$N$8)-IFERROR(BO40/BO107,0)*12)/12*BO107,0))</f>
        <v>0</v>
      </c>
      <c r="BQ172" s="799">
        <f>MIN(IF(ISERROR(VLOOKUP(BQ$134-$F172,$E$135:$E$165,1,FALSE)),0,BP40*$C$2),MAX((IF(Monthly!BQ$4=TRUE,Monthly!BQ$13,Monthly!BQ$14)*(1+'Attrition Modeling'!$N$8)-IFERROR(BP40/BP107,0)*12)/12*BP107,0))</f>
        <v>0</v>
      </c>
      <c r="BR172" s="799">
        <f>MIN(IF(ISERROR(VLOOKUP(BR$134-$F172,$E$135:$E$165,1,FALSE)),0,BQ40*$C$2),MAX((IF(Monthly!BR$4=TRUE,Monthly!BR$13,Monthly!BR$14)*(1+'Attrition Modeling'!$N$8)-IFERROR(BQ40/BQ107,0)*12)/12*BQ107,0))</f>
        <v>0</v>
      </c>
      <c r="BS172" s="799">
        <f>MIN(IF(ISERROR(VLOOKUP(BS$134-$F172,$E$135:$E$165,1,FALSE)),0,BR40*$C$2),MAX((IF(Monthly!BS$4=TRUE,Monthly!BS$13,Monthly!BS$14)*(1+'Attrition Modeling'!$N$8)-IFERROR(BR40/BR107,0)*12)/12*BR107,0))</f>
        <v>0</v>
      </c>
      <c r="BT172" s="799">
        <f>MIN(IF(ISERROR(VLOOKUP(BT$134-$F172,$E$135:$E$165,1,FALSE)),0,BS40*$C$2),MAX((IF(Monthly!BT$4=TRUE,Monthly!BT$13,Monthly!BT$14)*(1+'Attrition Modeling'!$N$8)-IFERROR(BS40/BS107,0)*12)/12*BS107,0))</f>
        <v>0</v>
      </c>
      <c r="BU172" s="799">
        <f>MIN(IF(ISERROR(VLOOKUP(BU$134-$F172,$E$135:$E$165,1,FALSE)),0,BT40*$C$2),MAX((IF(Monthly!BU$4=TRUE,Monthly!BU$13,Monthly!BU$14)*(1+'Attrition Modeling'!$N$8)-IFERROR(BT40/BT107,0)*12)/12*BT107,0))</f>
        <v>0</v>
      </c>
    </row>
    <row r="173" spans="1:73" ht="14.25" customHeight="1" x14ac:dyDescent="0.2">
      <c r="E173" s="25"/>
      <c r="F173" s="11">
        <f t="shared" si="14"/>
        <v>38</v>
      </c>
      <c r="G173" s="799"/>
      <c r="H173" s="799">
        <f>MIN(IF(ISERROR(VLOOKUP(H$134-$F173,$E$135:$E$165,1,FALSE)),0,G41*$C$2),MAX((IF(Monthly!D$4=TRUE,Monthly!D$13,Monthly!D$14)*(1+'Attrition Modeling'!$N$8)-IFERROR(G41/G108,0)*12)/12*G108,0))</f>
        <v>0</v>
      </c>
      <c r="I173" s="799">
        <f>MIN(IF(ISERROR(VLOOKUP(I$134-$F173,$E$135:$E$165,1,FALSE)),0,H41*$C$2),MAX((IF(Monthly!E$4=TRUE,Monthly!E$13,Monthly!E$14)*(1+'Attrition Modeling'!$N$8)-IFERROR(H41/H108,0)*12)/12*H108,0))</f>
        <v>0</v>
      </c>
      <c r="J173" s="799">
        <f>MIN(IF(ISERROR(VLOOKUP(J$134-$F173,$E$135:$E$165,1,FALSE)),0,I41*$C$2),MAX((IF(Monthly!F$4=TRUE,Monthly!F$13,Monthly!F$14)*(1+'Attrition Modeling'!$N$8)-IFERROR(I41/I108,0)*12)/12*I108,0))</f>
        <v>0</v>
      </c>
      <c r="K173" s="799">
        <f>MIN(IF(ISERROR(VLOOKUP(K$134-$F173,$E$135:$E$165,1,FALSE)),0,J41*$C$2),MAX((IF(Monthly!G$4=TRUE,Monthly!G$13,Monthly!G$14)*(1+'Attrition Modeling'!$N$8)-IFERROR(J41/J108,0)*12)/12*J108,0))</f>
        <v>0</v>
      </c>
      <c r="L173" s="799">
        <f>MIN(IF(ISERROR(VLOOKUP(L$134-$F173,$E$135:$E$165,1,FALSE)),0,K41*$C$2),MAX((IF(Monthly!H$4=TRUE,Monthly!H$13,Monthly!H$14)*(1+'Attrition Modeling'!$N$8)-IFERROR(K41/K108,0)*12)/12*K108,0))</f>
        <v>0</v>
      </c>
      <c r="M173" s="799">
        <f>MIN(IF(ISERROR(VLOOKUP(M$134-$F173,$E$135:$E$165,1,FALSE)),0,L41*$C$2),MAX((IF(Monthly!I$4=TRUE,Monthly!I$13,Monthly!I$14)*(1+'Attrition Modeling'!$N$8)-IFERROR(L41/L108,0)*12)/12*L108,0))</f>
        <v>0</v>
      </c>
      <c r="N173" s="799">
        <f>MIN(IF(ISERROR(VLOOKUP(N$134-$F173,$E$135:$E$165,1,FALSE)),0,M41*$C$2),MAX((IF(Monthly!J$4=TRUE,Monthly!J$13,Monthly!J$14)*(1+'Attrition Modeling'!$N$8)-IFERROR(M41/M108,0)*12)/12*M108,0))</f>
        <v>0</v>
      </c>
      <c r="O173" s="799">
        <f>MIN(IF(ISERROR(VLOOKUP(O$134-$F173,$E$135:$E$165,1,FALSE)),0,N41*$C$2),MAX((IF(Monthly!K$4=TRUE,Monthly!K$13,Monthly!K$14)*(1+'Attrition Modeling'!$N$8)-IFERROR(N41/N108,0)*12)/12*N108,0))</f>
        <v>0</v>
      </c>
      <c r="P173" s="799">
        <f>MIN(IF(ISERROR(VLOOKUP(P$134-$F173,$E$135:$E$165,1,FALSE)),0,O41*$C$2),MAX((IF(Monthly!L$4=TRUE,Monthly!L$13,Monthly!L$14)*(1+'Attrition Modeling'!$N$8)-IFERROR(O41/O108,0)*12)/12*O108,0))</f>
        <v>0</v>
      </c>
      <c r="Q173" s="799">
        <f>MIN(IF(ISERROR(VLOOKUP(Q$134-$F173,$E$135:$E$165,1,FALSE)),0,P41*$C$2),MAX((IF(Monthly!M$4=TRUE,Monthly!M$13,Monthly!M$14)*(1+'Attrition Modeling'!$N$8)-IFERROR(P41/P108,0)*12)/12*P108,0))</f>
        <v>0</v>
      </c>
      <c r="R173" s="799">
        <f>MIN(IF(ISERROR(VLOOKUP(R$134-$F173,$E$135:$E$165,1,FALSE)),0,Q41*$C$2),MAX((IF(Monthly!N$4=TRUE,Monthly!N$13,Monthly!N$14)*(1+'Attrition Modeling'!$N$8)-IFERROR(Q41/Q108,0)*12)/12*Q108,0))</f>
        <v>0</v>
      </c>
      <c r="S173" s="799">
        <f>MIN(IF(ISERROR(VLOOKUP(S$134-$F173,$E$135:$E$165,1,FALSE)),0,R41*$C$2),MAX((IF(Monthly!O$4=TRUE,Monthly!O$13,Monthly!O$14)*(1+'Attrition Modeling'!$N$8)-IFERROR(R41/R108,0)*12)/12*R108,0))</f>
        <v>0</v>
      </c>
      <c r="T173" s="799">
        <f>MIN(IF(ISERROR(VLOOKUP(T$134-$F173,$E$135:$E$165,1,FALSE)),0,S41*$C$2),MAX((IF(Monthly!P$4=TRUE,Monthly!P$13,Monthly!P$14)*(1+'Attrition Modeling'!$N$8)-IFERROR(S41/S108,0)*12)/12*S108,0))</f>
        <v>0</v>
      </c>
      <c r="U173" s="799">
        <f>MIN(IF(ISERROR(VLOOKUP(U$134-$F173,$E$135:$E$165,1,FALSE)),0,T41*$C$2),MAX((IF(Monthly!Q$4=TRUE,Monthly!Q$13,Monthly!Q$14)*(1+'Attrition Modeling'!$N$8)-IFERROR(T41/T108,0)*12)/12*T108,0))</f>
        <v>0</v>
      </c>
      <c r="V173" s="799">
        <f>MIN(IF(ISERROR(VLOOKUP(V$134-$F173,$E$135:$E$165,1,FALSE)),0,U41*$C$2),MAX((IF(Monthly!R$4=TRUE,Monthly!R$13,Monthly!R$14)*(1+'Attrition Modeling'!$N$8)-IFERROR(U41/U108,0)*12)/12*U108,0))</f>
        <v>0</v>
      </c>
      <c r="W173" s="799">
        <f>MIN(IF(ISERROR(VLOOKUP(W$134-$F173,$E$135:$E$165,1,FALSE)),0,V41*$C$2),MAX((IF(Monthly!S$4=TRUE,Monthly!S$13,Monthly!S$14)*(1+'Attrition Modeling'!$N$8)-IFERROR(V41/V108,0)*12)/12*V108,0))</f>
        <v>0</v>
      </c>
      <c r="X173" s="799">
        <f>MIN(IF(ISERROR(VLOOKUP(X$134-$F173,$E$135:$E$165,1,FALSE)),0,W41*$C$2),MAX((IF(Monthly!T$4=TRUE,Monthly!T$13,Monthly!T$14)*(1+'Attrition Modeling'!$N$8)-IFERROR(W41/W108,0)*12)/12*W108,0))</f>
        <v>0</v>
      </c>
      <c r="Y173" s="799">
        <f>MIN(IF(ISERROR(VLOOKUP(Y$134-$F173,$E$135:$E$165,1,FALSE)),0,X41*$C$2),MAX((IF(Monthly!U$4=TRUE,Monthly!U$13,Monthly!U$14)*(1+'Attrition Modeling'!$N$8)-IFERROR(X41/X108,0)*12)/12*X108,0))</f>
        <v>0</v>
      </c>
      <c r="Z173" s="799">
        <f>MIN(IF(ISERROR(VLOOKUP(Z$134-$F173,$E$135:$E$165,1,FALSE)),0,Y41*$C$2),MAX((IF(Monthly!V$4=TRUE,Monthly!V$13,Monthly!V$14)*(1+'Attrition Modeling'!$N$8)-IFERROR(Y41/Y108,0)*12)/12*Y108,0))</f>
        <v>0</v>
      </c>
      <c r="AA173" s="799">
        <f>MIN(IF(ISERROR(VLOOKUP(AA$134-$F173,$E$135:$E$165,1,FALSE)),0,Z41*$C$2),MAX((IF(Monthly!W$4=TRUE,Monthly!W$13,Monthly!W$14)*(1+'Attrition Modeling'!$N$8)-IFERROR(Z41/Z108,0)*12)/12*Z108,0))</f>
        <v>0</v>
      </c>
      <c r="AB173" s="799">
        <f>MIN(IF(ISERROR(VLOOKUP(AB$134-$F173,$E$135:$E$165,1,FALSE)),0,AA41*$C$2),MAX((IF(Monthly!X$4=TRUE,Monthly!X$13,Monthly!X$14)*(1+'Attrition Modeling'!$N$8)-IFERROR(AA41/AA108,0)*12)/12*AA108,0))</f>
        <v>0</v>
      </c>
      <c r="AC173" s="799">
        <f>MIN(IF(ISERROR(VLOOKUP(AC$134-$F173,$E$135:$E$165,1,FALSE)),0,AB41*$C$2),MAX((IF(Monthly!Y$4=TRUE,Monthly!Y$13,Monthly!Y$14)*(1+'Attrition Modeling'!$N$8)-IFERROR(AB41/AB108,0)*12)/12*AB108,0))</f>
        <v>0</v>
      </c>
      <c r="AD173" s="799">
        <f>MIN(IF(ISERROR(VLOOKUP(AD$134-$F173,$E$135:$E$165,1,FALSE)),0,AC41*$C$2),MAX((IF(Monthly!Z$4=TRUE,Monthly!Z$13,Monthly!Z$14)*(1+'Attrition Modeling'!$N$8)-IFERROR(AC41/AC108,0)*12)/12*AC108,0))</f>
        <v>0</v>
      </c>
      <c r="AE173" s="799">
        <f>MIN(IF(ISERROR(VLOOKUP(AE$134-$F173,$E$135:$E$165,1,FALSE)),0,AD41*$C$2),MAX((IF(Monthly!AA$4=TRUE,Monthly!AA$13,Monthly!AA$14)*(1+'Attrition Modeling'!$N$8)-IFERROR(AD41/AD108,0)*12)/12*AD108,0))</f>
        <v>0</v>
      </c>
      <c r="AF173" s="799">
        <f>MIN(IF(ISERROR(VLOOKUP(AF$134-$F173,$E$135:$E$165,1,FALSE)),0,AE41*$C$2),MAX((IF(Monthly!AB$4=TRUE,Monthly!AB$13,Monthly!AB$14)*(1+'Attrition Modeling'!$N$8)-IFERROR(AE41/AE108,0)*12)/12*AE108,0))</f>
        <v>0</v>
      </c>
      <c r="AG173" s="799">
        <f>MIN(IF(ISERROR(VLOOKUP(AG$134-$F173,$E$135:$E$165,1,FALSE)),0,AF41*$C$2),MAX((IF(Monthly!AC$4=TRUE,Monthly!AC$13,Monthly!AC$14)*(1+'Attrition Modeling'!$N$8)-IFERROR(AF41/AF108,0)*12)/12*AF108,0))</f>
        <v>0</v>
      </c>
      <c r="AH173" s="799">
        <f>MIN(IF(ISERROR(VLOOKUP(AH$134-$F173,$E$135:$E$165,1,FALSE)),0,AG41*$C$2),MAX((IF(Monthly!AD$4=TRUE,Monthly!AD$13,Monthly!AD$14)*(1+'Attrition Modeling'!$N$8)-IFERROR(AG41/AG108,0)*12)/12*AG108,0))</f>
        <v>0</v>
      </c>
      <c r="AI173" s="799">
        <f>MIN(IF(ISERROR(VLOOKUP(AI$134-$F173,$E$135:$E$165,1,FALSE)),0,AH41*$C$2),MAX((IF(Monthly!AE$4=TRUE,Monthly!AE$13,Monthly!AE$14)*(1+'Attrition Modeling'!$N$8)-IFERROR(AH41/AH108,0)*12)/12*AH108,0))</f>
        <v>0</v>
      </c>
      <c r="AJ173" s="799">
        <f>MIN(IF(ISERROR(VLOOKUP(AJ$134-$F173,$E$135:$E$165,1,FALSE)),0,AI41*$C$2),MAX((IF(Monthly!AF$4=TRUE,Monthly!AF$13,Monthly!AF$14)*(1+'Attrition Modeling'!$N$8)-IFERROR(AI41/AI108,0)*12)/12*AI108,0))</f>
        <v>0</v>
      </c>
      <c r="AK173" s="799">
        <f>MIN(IF(ISERROR(VLOOKUP(AK$134-$F173,$E$135:$E$165,1,FALSE)),0,AJ41*$C$2),MAX((IF(Monthly!AG$4=TRUE,Monthly!AG$13,Monthly!AG$14)*(1+'Attrition Modeling'!$N$8)-IFERROR(AJ41/AJ108,0)*12)/12*AJ108,0))</f>
        <v>0</v>
      </c>
      <c r="AL173" s="799">
        <f>MIN(IF(ISERROR(VLOOKUP(AL$134-$F173,$E$135:$E$165,1,FALSE)),0,AK41*$C$2),MAX((IF(Monthly!AH$4=TRUE,Monthly!AH$13,Monthly!AH$14)*(1+'Attrition Modeling'!$N$8)-IFERROR(AK41/AK108,0)*12)/12*AK108,0))</f>
        <v>0</v>
      </c>
      <c r="AM173" s="799">
        <f>MIN(IF(ISERROR(VLOOKUP(AM$134-$F173,$E$135:$E$165,1,FALSE)),0,AL41*$C$2),MAX((IF(Monthly!AI$4=TRUE,Monthly!AI$13,Monthly!AI$14)*(1+'Attrition Modeling'!$N$8)-IFERROR(AL41/AL108,0)*12)/12*AL108,0))</f>
        <v>0</v>
      </c>
      <c r="AN173" s="799">
        <f>MIN(IF(ISERROR(VLOOKUP(AN$134-$F173,$E$135:$E$165,1,FALSE)),0,AM41*$C$2),MAX((IF(Monthly!AJ$4=TRUE,Monthly!AJ$13,Monthly!AJ$14)*(1+'Attrition Modeling'!$N$8)-IFERROR(AM41/AM108,0)*12)/12*AM108,0))</f>
        <v>0</v>
      </c>
      <c r="AO173" s="799">
        <f>MIN(IF(ISERROR(VLOOKUP(AO$134-$F173,$E$135:$E$165,1,FALSE)),0,AN41*$C$2),MAX((IF(Monthly!AK$4=TRUE,Monthly!AK$13,Monthly!AK$14)*(1+'Attrition Modeling'!$N$8)-IFERROR(AN41/AN108,0)*12)/12*AN108,0))</f>
        <v>0</v>
      </c>
      <c r="AP173" s="799">
        <f>MIN(IF(ISERROR(VLOOKUP(AP$134-$F173,$E$135:$E$165,1,FALSE)),0,AO41*$C$2),MAX((IF(Monthly!AL$4=TRUE,Monthly!AL$13,Monthly!AL$14)*(1+'Attrition Modeling'!$N$8)-IFERROR(AO41/AO108,0)*12)/12*AO108,0))</f>
        <v>0</v>
      </c>
      <c r="AQ173" s="799">
        <f>MIN(IF(ISERROR(VLOOKUP(AQ$134-$F173,$E$135:$E$165,1,FALSE)),0,AP41*$C$2),MAX((IF(Monthly!AM$4=TRUE,Monthly!AM$13,Monthly!AM$14)*(1+'Attrition Modeling'!$N$8)-IFERROR(AP41/AP108,0)*12)/12*AP108,0))</f>
        <v>0</v>
      </c>
      <c r="AR173" s="799">
        <f>MIN(IF(ISERROR(VLOOKUP(AR$134-$F173,$E$135:$E$165,1,FALSE)),0,AQ41*$C$2),MAX((IF(Monthly!AN$4=TRUE,Monthly!AN$13,Monthly!AN$14)*(1+'Attrition Modeling'!$N$8)-IFERROR(AQ41/AQ108,0)*12)/12*AQ108,0))</f>
        <v>0</v>
      </c>
      <c r="AS173" s="799">
        <f>MIN(IF(ISERROR(VLOOKUP(AS$134-$F173,$E$135:$E$165,1,FALSE)),0,AR41*$C$2),MAX((IF(Monthly!AO$4=TRUE,Monthly!AO$13,Monthly!AO$14)*(1+'Attrition Modeling'!$N$8)-IFERROR(AR41/AR108,0)*12)/12*AR108,0))</f>
        <v>0</v>
      </c>
      <c r="AT173" s="799">
        <f>MIN(IF(ISERROR(VLOOKUP(AT$134-$F173,$E$135:$E$165,1,FALSE)),0,AS41*$C$2),MAX((IF(Monthly!AP$4=TRUE,Monthly!AP$13,Monthly!AP$14)*(1+'Attrition Modeling'!$N$8)-IFERROR(AS41/AS108,0)*12)/12*AS108,0))</f>
        <v>0</v>
      </c>
      <c r="AU173" s="799">
        <f>MIN(IF(ISERROR(VLOOKUP(AU$134-$F173,$E$135:$E$165,1,FALSE)),0,AT41*$C$2),MAX((IF(Monthly!AQ$4=TRUE,Monthly!AQ$13,Monthly!AQ$14)*(1+'Attrition Modeling'!$N$8)-IFERROR(AT41/AT108,0)*12)/12*AT108,0))</f>
        <v>0</v>
      </c>
      <c r="AV173" s="799">
        <f>MIN(IF(ISERROR(VLOOKUP(AV$134-$F173,$E$135:$E$165,1,FALSE)),0,AU41*$C$2),MAX((IF(Monthly!AR$4=TRUE,Monthly!AR$13,Monthly!AR$14)*(1+'Attrition Modeling'!$N$8)-IFERROR(AU41/AU108,0)*12)/12*AU108,0))</f>
        <v>0</v>
      </c>
      <c r="AW173" s="799">
        <f>MIN(IF(ISERROR(VLOOKUP(AW$134-$F173,$E$135:$E$165,1,FALSE)),0,AV41*$C$2),MAX((IF(Monthly!AS$4=TRUE,Monthly!AS$13,Monthly!AS$14)*(1+'Attrition Modeling'!$N$8)-IFERROR(AV41/AV108,0)*12)/12*AV108,0))</f>
        <v>0</v>
      </c>
      <c r="AX173" s="799">
        <f>MIN(IF(ISERROR(VLOOKUP(AX$134-$F173,$E$135:$E$165,1,FALSE)),0,AW41*$C$2),MAX((IF(Monthly!AT$4=TRUE,Monthly!AT$13,Monthly!AT$14)*(1+'Attrition Modeling'!$N$8)-IFERROR(AW41/AW108,0)*12)/12*AW108,0))</f>
        <v>0</v>
      </c>
      <c r="AY173" s="799">
        <f>MIN(IF(ISERROR(VLOOKUP(AY$134-$F173,$E$135:$E$165,1,FALSE)),0,AX41*$C$2),MAX((IF(Monthly!AU$4=TRUE,Monthly!AU$13,Monthly!AU$14)*(1+'Attrition Modeling'!$N$8)-IFERROR(AX41/AX108,0)*12)/12*AX108,0))</f>
        <v>665.91434322871271</v>
      </c>
      <c r="AZ173" s="799">
        <f>MIN(IF(ISERROR(VLOOKUP(AZ$134-$F173,$E$135:$E$165,1,FALSE)),0,AY41*$C$2),MAX((IF(Monthly!AV$4=TRUE,Monthly!AV$13,Monthly!AV$14)*(1+'Attrition Modeling'!$N$8)-IFERROR(AY41/AY108,0)*12)/12*AY108,0))</f>
        <v>0</v>
      </c>
      <c r="BA173" s="799">
        <f>MIN(IF(ISERROR(VLOOKUP(BA$134-$F173,$E$135:$E$165,1,FALSE)),0,AZ41*$C$2),MAX((IF(Monthly!AW$4=TRUE,Monthly!AW$13,Monthly!AW$14)*(1+'Attrition Modeling'!$N$8)-IFERROR(AZ41/AZ108,0)*12)/12*AZ108,0))</f>
        <v>0</v>
      </c>
      <c r="BB173" s="799">
        <f>MIN(IF(ISERROR(VLOOKUP(BB$134-$F173,$E$135:$E$165,1,FALSE)),0,BA41*$C$2),MAX((IF(Monthly!AX$4=TRUE,Monthly!AX$13,Monthly!AX$14)*(1+'Attrition Modeling'!$N$8)-IFERROR(BA41/BA108,0)*12)/12*BA108,0))</f>
        <v>0</v>
      </c>
      <c r="BC173" s="799">
        <f>MIN(IF(ISERROR(VLOOKUP(BC$134-$F173,$E$135:$E$165,1,FALSE)),0,BB41*$C$2),MAX((IF(Monthly!AY$4=TRUE,Monthly!AY$13,Monthly!AY$14)*(1+'Attrition Modeling'!$N$8)-IFERROR(BB41/BB108,0)*12)/12*BB108,0))</f>
        <v>0</v>
      </c>
      <c r="BD173" s="799">
        <f>MIN(IF(ISERROR(VLOOKUP(BD$134-$F173,$E$135:$E$165,1,FALSE)),0,BC41*$C$2),MAX((IF(Monthly!AZ$4=TRUE,Monthly!AZ$13,Monthly!AZ$14)*(1+'Attrition Modeling'!$N$8)-IFERROR(BC41/BC108,0)*12)/12*BC108,0))</f>
        <v>0</v>
      </c>
      <c r="BE173" s="799">
        <f>MIN(IF(ISERROR(VLOOKUP(BE$134-$F173,$E$135:$E$165,1,FALSE)),0,BD41*$C$2),MAX((IF(Monthly!BA$4=TRUE,Monthly!BA$13,Monthly!BA$14)*(1+'Attrition Modeling'!$N$8)-IFERROR(BD41/BD108,0)*12)/12*BD108,0))</f>
        <v>0</v>
      </c>
      <c r="BF173" s="799">
        <f>MIN(IF(ISERROR(VLOOKUP(BF$134-$F173,$E$135:$E$165,1,FALSE)),0,BE41*$C$2),MAX((IF(Monthly!BB$4=TRUE,Monthly!BB$13,Monthly!BB$14)*(1+'Attrition Modeling'!$N$8)-IFERROR(BE41/BE108,0)*12)/12*BE108,0))</f>
        <v>0</v>
      </c>
      <c r="BG173" s="799">
        <f>MIN(IF(ISERROR(VLOOKUP(BG$134-$F173,$E$135:$E$165,1,FALSE)),0,BF41*$C$2),MAX((IF(Monthly!BC$4=TRUE,Monthly!BC$13,Monthly!BC$14)*(1+'Attrition Modeling'!$N$8)-IFERROR(BF41/BF108,0)*12)/12*BF108,0))</f>
        <v>0</v>
      </c>
      <c r="BH173" s="799">
        <f>MIN(IF(ISERROR(VLOOKUP(BH$134-$F173,$E$135:$E$165,1,FALSE)),0,BG41*$C$2),MAX((IF(Monthly!BD$4=TRUE,Monthly!BD$13,Monthly!BD$14)*(1+'Attrition Modeling'!$N$8)-IFERROR(BG41/BG108,0)*12)/12*BG108,0))</f>
        <v>0</v>
      </c>
      <c r="BI173" s="799">
        <f>MIN(IF(ISERROR(VLOOKUP(BI$134-$F173,$E$135:$E$165,1,FALSE)),0,BH41*$C$2),MAX((IF(Monthly!BE$4=TRUE,Monthly!BE$13,Monthly!BE$14)*(1+'Attrition Modeling'!$N$8)-IFERROR(BH41/BH108,0)*12)/12*BH108,0))</f>
        <v>0</v>
      </c>
      <c r="BJ173" s="799">
        <f>MIN(IF(ISERROR(VLOOKUP(BJ$134-$F173,$E$135:$E$165,1,FALSE)),0,BI41*$C$2),MAX((IF(Monthly!BF$4=TRUE,Monthly!BF$13,Monthly!BF$14)*(1+'Attrition Modeling'!$N$8)-IFERROR(BI41/BI108,0)*12)/12*BI108,0))</f>
        <v>0</v>
      </c>
      <c r="BK173" s="799">
        <f>MIN(IF(ISERROR(VLOOKUP(BK$134-$F173,$E$135:$E$165,1,FALSE)),0,BJ41*$C$2),MAX((IF(Monthly!BG$4=TRUE,Monthly!BG$13,Monthly!BG$14)*(1+'Attrition Modeling'!$N$8)-IFERROR(BJ41/BJ108,0)*12)/12*BJ108,0))</f>
        <v>354.75499641133382</v>
      </c>
      <c r="BL173" s="799">
        <f>MIN(IF(ISERROR(VLOOKUP(BL$134-$F173,$E$135:$E$165,1,FALSE)),0,BK41*$C$2),MAX((IF(Monthly!BH$4=TRUE,Monthly!BH$13,Monthly!BH$14)*(1+'Attrition Modeling'!$N$8)-IFERROR(BK41/BK108,0)*12)/12*BK108,0))</f>
        <v>0</v>
      </c>
      <c r="BM173" s="799">
        <f>MIN(IF(ISERROR(VLOOKUP(BM$134-$F173,$E$135:$E$165,1,FALSE)),0,BL41*$C$2),MAX((IF(Monthly!BI$4=TRUE,Monthly!BI$13,Monthly!BI$14)*(1+'Attrition Modeling'!$N$8)-IFERROR(BL41/BL108,0)*12)/12*BL108,0))</f>
        <v>0</v>
      </c>
      <c r="BN173" s="799">
        <f>MIN(IF(ISERROR(VLOOKUP(BN$134-$F173,$E$135:$E$165,1,FALSE)),0,BM41*$C$2),MAX((IF(Monthly!BJ$4=TRUE,Monthly!BJ$13,Monthly!BJ$14)*(1+'Attrition Modeling'!$N$8)-IFERROR(BM41/BM108,0)*12)/12*BM108,0))</f>
        <v>0</v>
      </c>
      <c r="BO173" s="799">
        <f>MIN(IF(ISERROR(VLOOKUP(BO$134-$F173,$E$135:$E$165,1,FALSE)),0,BN41*$C$2),MAX((IF(Monthly!BK$4=TRUE,Monthly!BK$13,Monthly!BK$14)*(1+'Attrition Modeling'!$N$8)-IFERROR(BN41/BN108,0)*12)/12*BN108,0))</f>
        <v>0</v>
      </c>
      <c r="BP173" s="799">
        <f>MIN(IF(ISERROR(VLOOKUP(BP$134-$F173,$E$135:$E$165,1,FALSE)),0,BO41*$C$2),MAX((IF(Monthly!BP$4=TRUE,Monthly!BP$13,Monthly!BP$14)*(1+'Attrition Modeling'!$N$8)-IFERROR(BO41/BO108,0)*12)/12*BO108,0))</f>
        <v>0</v>
      </c>
      <c r="BQ173" s="799">
        <f>MIN(IF(ISERROR(VLOOKUP(BQ$134-$F173,$E$135:$E$165,1,FALSE)),0,BP41*$C$2),MAX((IF(Monthly!BQ$4=TRUE,Monthly!BQ$13,Monthly!BQ$14)*(1+'Attrition Modeling'!$N$8)-IFERROR(BP41/BP108,0)*12)/12*BP108,0))</f>
        <v>0</v>
      </c>
      <c r="BR173" s="799">
        <f>MIN(IF(ISERROR(VLOOKUP(BR$134-$F173,$E$135:$E$165,1,FALSE)),0,BQ41*$C$2),MAX((IF(Monthly!BR$4=TRUE,Monthly!BR$13,Monthly!BR$14)*(1+'Attrition Modeling'!$N$8)-IFERROR(BQ41/BQ108,0)*12)/12*BQ108,0))</f>
        <v>0</v>
      </c>
      <c r="BS173" s="799">
        <f>MIN(IF(ISERROR(VLOOKUP(BS$134-$F173,$E$135:$E$165,1,FALSE)),0,BR41*$C$2),MAX((IF(Monthly!BS$4=TRUE,Monthly!BS$13,Monthly!BS$14)*(1+'Attrition Modeling'!$N$8)-IFERROR(BR41/BR108,0)*12)/12*BR108,0))</f>
        <v>0</v>
      </c>
      <c r="BT173" s="799">
        <f>MIN(IF(ISERROR(VLOOKUP(BT$134-$F173,$E$135:$E$165,1,FALSE)),0,BS41*$C$2),MAX((IF(Monthly!BT$4=TRUE,Monthly!BT$13,Monthly!BT$14)*(1+'Attrition Modeling'!$N$8)-IFERROR(BS41/BS108,0)*12)/12*BS108,0))</f>
        <v>0</v>
      </c>
      <c r="BU173" s="799">
        <f>MIN(IF(ISERROR(VLOOKUP(BU$134-$F173,$E$135:$E$165,1,FALSE)),0,BT41*$C$2),MAX((IF(Monthly!BU$4=TRUE,Monthly!BU$13,Monthly!BU$14)*(1+'Attrition Modeling'!$N$8)-IFERROR(BT41/BT108,0)*12)/12*BT108,0))</f>
        <v>0</v>
      </c>
    </row>
    <row r="174" spans="1:73" ht="14.25" customHeight="1" x14ac:dyDescent="0.2">
      <c r="E174" s="25"/>
      <c r="F174" s="11">
        <f t="shared" si="14"/>
        <v>39</v>
      </c>
      <c r="G174" s="799"/>
      <c r="H174" s="799">
        <f>MIN(IF(ISERROR(VLOOKUP(H$134-$F174,$E$135:$E$165,1,FALSE)),0,G42*$C$2),MAX((IF(Monthly!D$4=TRUE,Monthly!D$13,Monthly!D$14)*(1+'Attrition Modeling'!$N$8)-IFERROR(G42/G109,0)*12)/12*G109,0))</f>
        <v>0</v>
      </c>
      <c r="I174" s="799">
        <f>MIN(IF(ISERROR(VLOOKUP(I$134-$F174,$E$135:$E$165,1,FALSE)),0,H42*$C$2),MAX((IF(Monthly!E$4=TRUE,Monthly!E$13,Monthly!E$14)*(1+'Attrition Modeling'!$N$8)-IFERROR(H42/H109,0)*12)/12*H109,0))</f>
        <v>0</v>
      </c>
      <c r="J174" s="799">
        <f>MIN(IF(ISERROR(VLOOKUP(J$134-$F174,$E$135:$E$165,1,FALSE)),0,I42*$C$2),MAX((IF(Monthly!F$4=TRUE,Monthly!F$13,Monthly!F$14)*(1+'Attrition Modeling'!$N$8)-IFERROR(I42/I109,0)*12)/12*I109,0))</f>
        <v>0</v>
      </c>
      <c r="K174" s="799">
        <f>MIN(IF(ISERROR(VLOOKUP(K$134-$F174,$E$135:$E$165,1,FALSE)),0,J42*$C$2),MAX((IF(Monthly!G$4=TRUE,Monthly!G$13,Monthly!G$14)*(1+'Attrition Modeling'!$N$8)-IFERROR(J42/J109,0)*12)/12*J109,0))</f>
        <v>0</v>
      </c>
      <c r="L174" s="799">
        <f>MIN(IF(ISERROR(VLOOKUP(L$134-$F174,$E$135:$E$165,1,FALSE)),0,K42*$C$2),MAX((IF(Monthly!H$4=TRUE,Monthly!H$13,Monthly!H$14)*(1+'Attrition Modeling'!$N$8)-IFERROR(K42/K109,0)*12)/12*K109,0))</f>
        <v>0</v>
      </c>
      <c r="M174" s="799">
        <f>MIN(IF(ISERROR(VLOOKUP(M$134-$F174,$E$135:$E$165,1,FALSE)),0,L42*$C$2),MAX((IF(Monthly!I$4=TRUE,Monthly!I$13,Monthly!I$14)*(1+'Attrition Modeling'!$N$8)-IFERROR(L42/L109,0)*12)/12*L109,0))</f>
        <v>0</v>
      </c>
      <c r="N174" s="799">
        <f>MIN(IF(ISERROR(VLOOKUP(N$134-$F174,$E$135:$E$165,1,FALSE)),0,M42*$C$2),MAX((IF(Monthly!J$4=TRUE,Monthly!J$13,Monthly!J$14)*(1+'Attrition Modeling'!$N$8)-IFERROR(M42/M109,0)*12)/12*M109,0))</f>
        <v>0</v>
      </c>
      <c r="O174" s="799">
        <f>MIN(IF(ISERROR(VLOOKUP(O$134-$F174,$E$135:$E$165,1,FALSE)),0,N42*$C$2),MAX((IF(Monthly!K$4=TRUE,Monthly!K$13,Monthly!K$14)*(1+'Attrition Modeling'!$N$8)-IFERROR(N42/N109,0)*12)/12*N109,0))</f>
        <v>0</v>
      </c>
      <c r="P174" s="799">
        <f>MIN(IF(ISERROR(VLOOKUP(P$134-$F174,$E$135:$E$165,1,FALSE)),0,O42*$C$2),MAX((IF(Monthly!L$4=TRUE,Monthly!L$13,Monthly!L$14)*(1+'Attrition Modeling'!$N$8)-IFERROR(O42/O109,0)*12)/12*O109,0))</f>
        <v>0</v>
      </c>
      <c r="Q174" s="799">
        <f>MIN(IF(ISERROR(VLOOKUP(Q$134-$F174,$E$135:$E$165,1,FALSE)),0,P42*$C$2),MAX((IF(Monthly!M$4=TRUE,Monthly!M$13,Monthly!M$14)*(1+'Attrition Modeling'!$N$8)-IFERROR(P42/P109,0)*12)/12*P109,0))</f>
        <v>0</v>
      </c>
      <c r="R174" s="799">
        <f>MIN(IF(ISERROR(VLOOKUP(R$134-$F174,$E$135:$E$165,1,FALSE)),0,Q42*$C$2),MAX((IF(Monthly!N$4=TRUE,Monthly!N$13,Monthly!N$14)*(1+'Attrition Modeling'!$N$8)-IFERROR(Q42/Q109,0)*12)/12*Q109,0))</f>
        <v>0</v>
      </c>
      <c r="S174" s="799">
        <f>MIN(IF(ISERROR(VLOOKUP(S$134-$F174,$E$135:$E$165,1,FALSE)),0,R42*$C$2),MAX((IF(Monthly!O$4=TRUE,Monthly!O$13,Monthly!O$14)*(1+'Attrition Modeling'!$N$8)-IFERROR(R42/R109,0)*12)/12*R109,0))</f>
        <v>0</v>
      </c>
      <c r="T174" s="799">
        <f>MIN(IF(ISERROR(VLOOKUP(T$134-$F174,$E$135:$E$165,1,FALSE)),0,S42*$C$2),MAX((IF(Monthly!P$4=TRUE,Monthly!P$13,Monthly!P$14)*(1+'Attrition Modeling'!$N$8)-IFERROR(S42/S109,0)*12)/12*S109,0))</f>
        <v>0</v>
      </c>
      <c r="U174" s="799">
        <f>MIN(IF(ISERROR(VLOOKUP(U$134-$F174,$E$135:$E$165,1,FALSE)),0,T42*$C$2),MAX((IF(Monthly!Q$4=TRUE,Monthly!Q$13,Monthly!Q$14)*(1+'Attrition Modeling'!$N$8)-IFERROR(T42/T109,0)*12)/12*T109,0))</f>
        <v>0</v>
      </c>
      <c r="V174" s="799">
        <f>MIN(IF(ISERROR(VLOOKUP(V$134-$F174,$E$135:$E$165,1,FALSE)),0,U42*$C$2),MAX((IF(Monthly!R$4=TRUE,Monthly!R$13,Monthly!R$14)*(1+'Attrition Modeling'!$N$8)-IFERROR(U42/U109,0)*12)/12*U109,0))</f>
        <v>0</v>
      </c>
      <c r="W174" s="799">
        <f>MIN(IF(ISERROR(VLOOKUP(W$134-$F174,$E$135:$E$165,1,FALSE)),0,V42*$C$2),MAX((IF(Monthly!S$4=TRUE,Monthly!S$13,Monthly!S$14)*(1+'Attrition Modeling'!$N$8)-IFERROR(V42/V109,0)*12)/12*V109,0))</f>
        <v>0</v>
      </c>
      <c r="X174" s="799">
        <f>MIN(IF(ISERROR(VLOOKUP(X$134-$F174,$E$135:$E$165,1,FALSE)),0,W42*$C$2),MAX((IF(Monthly!T$4=TRUE,Monthly!T$13,Monthly!T$14)*(1+'Attrition Modeling'!$N$8)-IFERROR(W42/W109,0)*12)/12*W109,0))</f>
        <v>0</v>
      </c>
      <c r="Y174" s="799">
        <f>MIN(IF(ISERROR(VLOOKUP(Y$134-$F174,$E$135:$E$165,1,FALSE)),0,X42*$C$2),MAX((IF(Monthly!U$4=TRUE,Monthly!U$13,Monthly!U$14)*(1+'Attrition Modeling'!$N$8)-IFERROR(X42/X109,0)*12)/12*X109,0))</f>
        <v>0</v>
      </c>
      <c r="Z174" s="799">
        <f>MIN(IF(ISERROR(VLOOKUP(Z$134-$F174,$E$135:$E$165,1,FALSE)),0,Y42*$C$2),MAX((IF(Monthly!V$4=TRUE,Monthly!V$13,Monthly!V$14)*(1+'Attrition Modeling'!$N$8)-IFERROR(Y42/Y109,0)*12)/12*Y109,0))</f>
        <v>0</v>
      </c>
      <c r="AA174" s="799">
        <f>MIN(IF(ISERROR(VLOOKUP(AA$134-$F174,$E$135:$E$165,1,FALSE)),0,Z42*$C$2),MAX((IF(Monthly!W$4=TRUE,Monthly!W$13,Monthly!W$14)*(1+'Attrition Modeling'!$N$8)-IFERROR(Z42/Z109,0)*12)/12*Z109,0))</f>
        <v>0</v>
      </c>
      <c r="AB174" s="799">
        <f>MIN(IF(ISERROR(VLOOKUP(AB$134-$F174,$E$135:$E$165,1,FALSE)),0,AA42*$C$2),MAX((IF(Monthly!X$4=TRUE,Monthly!X$13,Monthly!X$14)*(1+'Attrition Modeling'!$N$8)-IFERROR(AA42/AA109,0)*12)/12*AA109,0))</f>
        <v>0</v>
      </c>
      <c r="AC174" s="799">
        <f>MIN(IF(ISERROR(VLOOKUP(AC$134-$F174,$E$135:$E$165,1,FALSE)),0,AB42*$C$2),MAX((IF(Monthly!Y$4=TRUE,Monthly!Y$13,Monthly!Y$14)*(1+'Attrition Modeling'!$N$8)-IFERROR(AB42/AB109,0)*12)/12*AB109,0))</f>
        <v>0</v>
      </c>
      <c r="AD174" s="799">
        <f>MIN(IF(ISERROR(VLOOKUP(AD$134-$F174,$E$135:$E$165,1,FALSE)),0,AC42*$C$2),MAX((IF(Monthly!Z$4=TRUE,Monthly!Z$13,Monthly!Z$14)*(1+'Attrition Modeling'!$N$8)-IFERROR(AC42/AC109,0)*12)/12*AC109,0))</f>
        <v>0</v>
      </c>
      <c r="AE174" s="799">
        <f>MIN(IF(ISERROR(VLOOKUP(AE$134-$F174,$E$135:$E$165,1,FALSE)),0,AD42*$C$2),MAX((IF(Monthly!AA$4=TRUE,Monthly!AA$13,Monthly!AA$14)*(1+'Attrition Modeling'!$N$8)-IFERROR(AD42/AD109,0)*12)/12*AD109,0))</f>
        <v>0</v>
      </c>
      <c r="AF174" s="799">
        <f>MIN(IF(ISERROR(VLOOKUP(AF$134-$F174,$E$135:$E$165,1,FALSE)),0,AE42*$C$2),MAX((IF(Monthly!AB$4=TRUE,Monthly!AB$13,Monthly!AB$14)*(1+'Attrition Modeling'!$N$8)-IFERROR(AE42/AE109,0)*12)/12*AE109,0))</f>
        <v>0</v>
      </c>
      <c r="AG174" s="799">
        <f>MIN(IF(ISERROR(VLOOKUP(AG$134-$F174,$E$135:$E$165,1,FALSE)),0,AF42*$C$2),MAX((IF(Monthly!AC$4=TRUE,Monthly!AC$13,Monthly!AC$14)*(1+'Attrition Modeling'!$N$8)-IFERROR(AF42/AF109,0)*12)/12*AF109,0))</f>
        <v>0</v>
      </c>
      <c r="AH174" s="799">
        <f>MIN(IF(ISERROR(VLOOKUP(AH$134-$F174,$E$135:$E$165,1,FALSE)),0,AG42*$C$2),MAX((IF(Monthly!AD$4=TRUE,Monthly!AD$13,Monthly!AD$14)*(1+'Attrition Modeling'!$N$8)-IFERROR(AG42/AG109,0)*12)/12*AG109,0))</f>
        <v>0</v>
      </c>
      <c r="AI174" s="799">
        <f>MIN(IF(ISERROR(VLOOKUP(AI$134-$F174,$E$135:$E$165,1,FALSE)),0,AH42*$C$2),MAX((IF(Monthly!AE$4=TRUE,Monthly!AE$13,Monthly!AE$14)*(1+'Attrition Modeling'!$N$8)-IFERROR(AH42/AH109,0)*12)/12*AH109,0))</f>
        <v>0</v>
      </c>
      <c r="AJ174" s="799">
        <f>MIN(IF(ISERROR(VLOOKUP(AJ$134-$F174,$E$135:$E$165,1,FALSE)),0,AI42*$C$2),MAX((IF(Monthly!AF$4=TRUE,Monthly!AF$13,Monthly!AF$14)*(1+'Attrition Modeling'!$N$8)-IFERROR(AI42/AI109,0)*12)/12*AI109,0))</f>
        <v>0</v>
      </c>
      <c r="AK174" s="799">
        <f>MIN(IF(ISERROR(VLOOKUP(AK$134-$F174,$E$135:$E$165,1,FALSE)),0,AJ42*$C$2),MAX((IF(Monthly!AG$4=TRUE,Monthly!AG$13,Monthly!AG$14)*(1+'Attrition Modeling'!$N$8)-IFERROR(AJ42/AJ109,0)*12)/12*AJ109,0))</f>
        <v>0</v>
      </c>
      <c r="AL174" s="799">
        <f>MIN(IF(ISERROR(VLOOKUP(AL$134-$F174,$E$135:$E$165,1,FALSE)),0,AK42*$C$2),MAX((IF(Monthly!AH$4=TRUE,Monthly!AH$13,Monthly!AH$14)*(1+'Attrition Modeling'!$N$8)-IFERROR(AK42/AK109,0)*12)/12*AK109,0))</f>
        <v>0</v>
      </c>
      <c r="AM174" s="799">
        <f>MIN(IF(ISERROR(VLOOKUP(AM$134-$F174,$E$135:$E$165,1,FALSE)),0,AL42*$C$2),MAX((IF(Monthly!AI$4=TRUE,Monthly!AI$13,Monthly!AI$14)*(1+'Attrition Modeling'!$N$8)-IFERROR(AL42/AL109,0)*12)/12*AL109,0))</f>
        <v>0</v>
      </c>
      <c r="AN174" s="799">
        <f>MIN(IF(ISERROR(VLOOKUP(AN$134-$F174,$E$135:$E$165,1,FALSE)),0,AM42*$C$2),MAX((IF(Monthly!AJ$4=TRUE,Monthly!AJ$13,Monthly!AJ$14)*(1+'Attrition Modeling'!$N$8)-IFERROR(AM42/AM109,0)*12)/12*AM109,0))</f>
        <v>0</v>
      </c>
      <c r="AO174" s="799">
        <f>MIN(IF(ISERROR(VLOOKUP(AO$134-$F174,$E$135:$E$165,1,FALSE)),0,AN42*$C$2),MAX((IF(Monthly!AK$4=TRUE,Monthly!AK$13,Monthly!AK$14)*(1+'Attrition Modeling'!$N$8)-IFERROR(AN42/AN109,0)*12)/12*AN109,0))</f>
        <v>0</v>
      </c>
      <c r="AP174" s="799">
        <f>MIN(IF(ISERROR(VLOOKUP(AP$134-$F174,$E$135:$E$165,1,FALSE)),0,AO42*$C$2),MAX((IF(Monthly!AL$4=TRUE,Monthly!AL$13,Monthly!AL$14)*(1+'Attrition Modeling'!$N$8)-IFERROR(AO42/AO109,0)*12)/12*AO109,0))</f>
        <v>0</v>
      </c>
      <c r="AQ174" s="799">
        <f>MIN(IF(ISERROR(VLOOKUP(AQ$134-$F174,$E$135:$E$165,1,FALSE)),0,AP42*$C$2),MAX((IF(Monthly!AM$4=TRUE,Monthly!AM$13,Monthly!AM$14)*(1+'Attrition Modeling'!$N$8)-IFERROR(AP42/AP109,0)*12)/12*AP109,0))</f>
        <v>0</v>
      </c>
      <c r="AR174" s="799">
        <f>MIN(IF(ISERROR(VLOOKUP(AR$134-$F174,$E$135:$E$165,1,FALSE)),0,AQ42*$C$2),MAX((IF(Monthly!AN$4=TRUE,Monthly!AN$13,Monthly!AN$14)*(1+'Attrition Modeling'!$N$8)-IFERROR(AQ42/AQ109,0)*12)/12*AQ109,0))</f>
        <v>0</v>
      </c>
      <c r="AS174" s="799">
        <f>MIN(IF(ISERROR(VLOOKUP(AS$134-$F174,$E$135:$E$165,1,FALSE)),0,AR42*$C$2),MAX((IF(Monthly!AO$4=TRUE,Monthly!AO$13,Monthly!AO$14)*(1+'Attrition Modeling'!$N$8)-IFERROR(AR42/AR109,0)*12)/12*AR109,0))</f>
        <v>0</v>
      </c>
      <c r="AT174" s="799">
        <f>MIN(IF(ISERROR(VLOOKUP(AT$134-$F174,$E$135:$E$165,1,FALSE)),0,AS42*$C$2),MAX((IF(Monthly!AP$4=TRUE,Monthly!AP$13,Monthly!AP$14)*(1+'Attrition Modeling'!$N$8)-IFERROR(AS42/AS109,0)*12)/12*AS109,0))</f>
        <v>0</v>
      </c>
      <c r="AU174" s="799">
        <f>MIN(IF(ISERROR(VLOOKUP(AU$134-$F174,$E$135:$E$165,1,FALSE)),0,AT42*$C$2),MAX((IF(Monthly!AQ$4=TRUE,Monthly!AQ$13,Monthly!AQ$14)*(1+'Attrition Modeling'!$N$8)-IFERROR(AT42/AT109,0)*12)/12*AT109,0))</f>
        <v>0</v>
      </c>
      <c r="AV174" s="799">
        <f>MIN(IF(ISERROR(VLOOKUP(AV$134-$F174,$E$135:$E$165,1,FALSE)),0,AU42*$C$2),MAX((IF(Monthly!AR$4=TRUE,Monthly!AR$13,Monthly!AR$14)*(1+'Attrition Modeling'!$N$8)-IFERROR(AU42/AU109,0)*12)/12*AU109,0))</f>
        <v>0</v>
      </c>
      <c r="AW174" s="799">
        <f>MIN(IF(ISERROR(VLOOKUP(AW$134-$F174,$E$135:$E$165,1,FALSE)),0,AV42*$C$2),MAX((IF(Monthly!AS$4=TRUE,Monthly!AS$13,Monthly!AS$14)*(1+'Attrition Modeling'!$N$8)-IFERROR(AV42/AV109,0)*12)/12*AV109,0))</f>
        <v>0</v>
      </c>
      <c r="AX174" s="799">
        <f>MIN(IF(ISERROR(VLOOKUP(AX$134-$F174,$E$135:$E$165,1,FALSE)),0,AW42*$C$2),MAX((IF(Monthly!AT$4=TRUE,Monthly!AT$13,Monthly!AT$14)*(1+'Attrition Modeling'!$N$8)-IFERROR(AW42/AW109,0)*12)/12*AW109,0))</f>
        <v>0</v>
      </c>
      <c r="AY174" s="799">
        <f>MIN(IF(ISERROR(VLOOKUP(AY$134-$F174,$E$135:$E$165,1,FALSE)),0,AX42*$C$2),MAX((IF(Monthly!AU$4=TRUE,Monthly!AU$13,Monthly!AU$14)*(1+'Attrition Modeling'!$N$8)-IFERROR(AX42/AX109,0)*12)/12*AX109,0))</f>
        <v>0</v>
      </c>
      <c r="AZ174" s="799">
        <f>MIN(IF(ISERROR(VLOOKUP(AZ$134-$F174,$E$135:$E$165,1,FALSE)),0,AY42*$C$2),MAX((IF(Monthly!AV$4=TRUE,Monthly!AV$13,Monthly!AV$14)*(1+'Attrition Modeling'!$N$8)-IFERROR(AY42/AY109,0)*12)/12*AY109,0))</f>
        <v>681.19588673358112</v>
      </c>
      <c r="BA174" s="799">
        <f>MIN(IF(ISERROR(VLOOKUP(BA$134-$F174,$E$135:$E$165,1,FALSE)),0,AZ42*$C$2),MAX((IF(Monthly!AW$4=TRUE,Monthly!AW$13,Monthly!AW$14)*(1+'Attrition Modeling'!$N$8)-IFERROR(AZ42/AZ109,0)*12)/12*AZ109,0))</f>
        <v>0</v>
      </c>
      <c r="BB174" s="799">
        <f>MIN(IF(ISERROR(VLOOKUP(BB$134-$F174,$E$135:$E$165,1,FALSE)),0,BA42*$C$2),MAX((IF(Monthly!AX$4=TRUE,Monthly!AX$13,Monthly!AX$14)*(1+'Attrition Modeling'!$N$8)-IFERROR(BA42/BA109,0)*12)/12*BA109,0))</f>
        <v>0</v>
      </c>
      <c r="BC174" s="799">
        <f>MIN(IF(ISERROR(VLOOKUP(BC$134-$F174,$E$135:$E$165,1,FALSE)),0,BB42*$C$2),MAX((IF(Monthly!AY$4=TRUE,Monthly!AY$13,Monthly!AY$14)*(1+'Attrition Modeling'!$N$8)-IFERROR(BB42/BB109,0)*12)/12*BB109,0))</f>
        <v>0</v>
      </c>
      <c r="BD174" s="799">
        <f>MIN(IF(ISERROR(VLOOKUP(BD$134-$F174,$E$135:$E$165,1,FALSE)),0,BC42*$C$2),MAX((IF(Monthly!AZ$4=TRUE,Monthly!AZ$13,Monthly!AZ$14)*(1+'Attrition Modeling'!$N$8)-IFERROR(BC42/BC109,0)*12)/12*BC109,0))</f>
        <v>0</v>
      </c>
      <c r="BE174" s="799">
        <f>MIN(IF(ISERROR(VLOOKUP(BE$134-$F174,$E$135:$E$165,1,FALSE)),0,BD42*$C$2),MAX((IF(Monthly!BA$4=TRUE,Monthly!BA$13,Monthly!BA$14)*(1+'Attrition Modeling'!$N$8)-IFERROR(BD42/BD109,0)*12)/12*BD109,0))</f>
        <v>0</v>
      </c>
      <c r="BF174" s="799">
        <f>MIN(IF(ISERROR(VLOOKUP(BF$134-$F174,$E$135:$E$165,1,FALSE)),0,BE42*$C$2),MAX((IF(Monthly!BB$4=TRUE,Monthly!BB$13,Monthly!BB$14)*(1+'Attrition Modeling'!$N$8)-IFERROR(BE42/BE109,0)*12)/12*BE109,0))</f>
        <v>0</v>
      </c>
      <c r="BG174" s="799">
        <f>MIN(IF(ISERROR(VLOOKUP(BG$134-$F174,$E$135:$E$165,1,FALSE)),0,BF42*$C$2),MAX((IF(Monthly!BC$4=TRUE,Monthly!BC$13,Monthly!BC$14)*(1+'Attrition Modeling'!$N$8)-IFERROR(BF42/BF109,0)*12)/12*BF109,0))</f>
        <v>0</v>
      </c>
      <c r="BH174" s="799">
        <f>MIN(IF(ISERROR(VLOOKUP(BH$134-$F174,$E$135:$E$165,1,FALSE)),0,BG42*$C$2),MAX((IF(Monthly!BD$4=TRUE,Monthly!BD$13,Monthly!BD$14)*(1+'Attrition Modeling'!$N$8)-IFERROR(BG42/BG109,0)*12)/12*BG109,0))</f>
        <v>0</v>
      </c>
      <c r="BI174" s="799">
        <f>MIN(IF(ISERROR(VLOOKUP(BI$134-$F174,$E$135:$E$165,1,FALSE)),0,BH42*$C$2),MAX((IF(Monthly!BE$4=TRUE,Monthly!BE$13,Monthly!BE$14)*(1+'Attrition Modeling'!$N$8)-IFERROR(BH42/BH109,0)*12)/12*BH109,0))</f>
        <v>0</v>
      </c>
      <c r="BJ174" s="799">
        <f>MIN(IF(ISERROR(VLOOKUP(BJ$134-$F174,$E$135:$E$165,1,FALSE)),0,BI42*$C$2),MAX((IF(Monthly!BF$4=TRUE,Monthly!BF$13,Monthly!BF$14)*(1+'Attrition Modeling'!$N$8)-IFERROR(BI42/BI109,0)*12)/12*BI109,0))</f>
        <v>0</v>
      </c>
      <c r="BK174" s="799">
        <f>MIN(IF(ISERROR(VLOOKUP(BK$134-$F174,$E$135:$E$165,1,FALSE)),0,BJ42*$C$2),MAX((IF(Monthly!BG$4=TRUE,Monthly!BG$13,Monthly!BG$14)*(1+'Attrition Modeling'!$N$8)-IFERROR(BJ42/BJ109,0)*12)/12*BJ109,0))</f>
        <v>0</v>
      </c>
      <c r="BL174" s="799">
        <f>MIN(IF(ISERROR(VLOOKUP(BL$134-$F174,$E$135:$E$165,1,FALSE)),0,BK42*$C$2),MAX((IF(Monthly!BH$4=TRUE,Monthly!BH$13,Monthly!BH$14)*(1+'Attrition Modeling'!$N$8)-IFERROR(BK42/BK109,0)*12)/12*BK109,0))</f>
        <v>362.25322286659485</v>
      </c>
      <c r="BM174" s="799">
        <f>MIN(IF(ISERROR(VLOOKUP(BM$134-$F174,$E$135:$E$165,1,FALSE)),0,BL42*$C$2),MAX((IF(Monthly!BI$4=TRUE,Monthly!BI$13,Monthly!BI$14)*(1+'Attrition Modeling'!$N$8)-IFERROR(BL42/BL109,0)*12)/12*BL109,0))</f>
        <v>0</v>
      </c>
      <c r="BN174" s="799">
        <f>MIN(IF(ISERROR(VLOOKUP(BN$134-$F174,$E$135:$E$165,1,FALSE)),0,BM42*$C$2),MAX((IF(Monthly!BJ$4=TRUE,Monthly!BJ$13,Monthly!BJ$14)*(1+'Attrition Modeling'!$N$8)-IFERROR(BM42/BM109,0)*12)/12*BM109,0))</f>
        <v>0</v>
      </c>
      <c r="BO174" s="799">
        <f>MIN(IF(ISERROR(VLOOKUP(BO$134-$F174,$E$135:$E$165,1,FALSE)),0,BN42*$C$2),MAX((IF(Monthly!BK$4=TRUE,Monthly!BK$13,Monthly!BK$14)*(1+'Attrition Modeling'!$N$8)-IFERROR(BN42/BN109,0)*12)/12*BN109,0))</f>
        <v>0</v>
      </c>
      <c r="BP174" s="799">
        <f>MIN(IF(ISERROR(VLOOKUP(BP$134-$F174,$E$135:$E$165,1,FALSE)),0,BO42*$C$2),MAX((IF(Monthly!BP$4=TRUE,Monthly!BP$13,Monthly!BP$14)*(1+'Attrition Modeling'!$N$8)-IFERROR(BO42/BO109,0)*12)/12*BO109,0))</f>
        <v>0</v>
      </c>
      <c r="BQ174" s="799">
        <f>MIN(IF(ISERROR(VLOOKUP(BQ$134-$F174,$E$135:$E$165,1,FALSE)),0,BP42*$C$2),MAX((IF(Monthly!BQ$4=TRUE,Monthly!BQ$13,Monthly!BQ$14)*(1+'Attrition Modeling'!$N$8)-IFERROR(BP42/BP109,0)*12)/12*BP109,0))</f>
        <v>0</v>
      </c>
      <c r="BR174" s="799">
        <f>MIN(IF(ISERROR(VLOOKUP(BR$134-$F174,$E$135:$E$165,1,FALSE)),0,BQ42*$C$2),MAX((IF(Monthly!BR$4=TRUE,Monthly!BR$13,Monthly!BR$14)*(1+'Attrition Modeling'!$N$8)-IFERROR(BQ42/BQ109,0)*12)/12*BQ109,0))</f>
        <v>0</v>
      </c>
      <c r="BS174" s="799">
        <f>MIN(IF(ISERROR(VLOOKUP(BS$134-$F174,$E$135:$E$165,1,FALSE)),0,BR42*$C$2),MAX((IF(Monthly!BS$4=TRUE,Monthly!BS$13,Monthly!BS$14)*(1+'Attrition Modeling'!$N$8)-IFERROR(BR42/BR109,0)*12)/12*BR109,0))</f>
        <v>0</v>
      </c>
      <c r="BT174" s="799">
        <f>MIN(IF(ISERROR(VLOOKUP(BT$134-$F174,$E$135:$E$165,1,FALSE)),0,BS42*$C$2),MAX((IF(Monthly!BT$4=TRUE,Monthly!BT$13,Monthly!BT$14)*(1+'Attrition Modeling'!$N$8)-IFERROR(BS42/BS109,0)*12)/12*BS109,0))</f>
        <v>0</v>
      </c>
      <c r="BU174" s="799">
        <f>MIN(IF(ISERROR(VLOOKUP(BU$134-$F174,$E$135:$E$165,1,FALSE)),0,BT42*$C$2),MAX((IF(Monthly!BU$4=TRUE,Monthly!BU$13,Monthly!BU$14)*(1+'Attrition Modeling'!$N$8)-IFERROR(BT42/BT109,0)*12)/12*BT109,0))</f>
        <v>0</v>
      </c>
    </row>
    <row r="175" spans="1:73" ht="14.25" customHeight="1" x14ac:dyDescent="0.2">
      <c r="E175" s="25"/>
      <c r="F175" s="11">
        <f t="shared" si="14"/>
        <v>40</v>
      </c>
      <c r="G175" s="799"/>
      <c r="H175" s="799">
        <f>MIN(IF(ISERROR(VLOOKUP(H$134-$F175,$E$135:$E$165,1,FALSE)),0,G43*$C$2),MAX((IF(Monthly!D$4=TRUE,Monthly!D$13,Monthly!D$14)*(1+'Attrition Modeling'!$N$8)-IFERROR(G43/G110,0)*12)/12*G110,0))</f>
        <v>0</v>
      </c>
      <c r="I175" s="799">
        <f>MIN(IF(ISERROR(VLOOKUP(I$134-$F175,$E$135:$E$165,1,FALSE)),0,H43*$C$2),MAX((IF(Monthly!E$4=TRUE,Monthly!E$13,Monthly!E$14)*(1+'Attrition Modeling'!$N$8)-IFERROR(H43/H110,0)*12)/12*H110,0))</f>
        <v>0</v>
      </c>
      <c r="J175" s="799">
        <f>MIN(IF(ISERROR(VLOOKUP(J$134-$F175,$E$135:$E$165,1,FALSE)),0,I43*$C$2),MAX((IF(Monthly!F$4=TRUE,Monthly!F$13,Monthly!F$14)*(1+'Attrition Modeling'!$N$8)-IFERROR(I43/I110,0)*12)/12*I110,0))</f>
        <v>0</v>
      </c>
      <c r="K175" s="799">
        <f>MIN(IF(ISERROR(VLOOKUP(K$134-$F175,$E$135:$E$165,1,FALSE)),0,J43*$C$2),MAX((IF(Monthly!G$4=TRUE,Monthly!G$13,Monthly!G$14)*(1+'Attrition Modeling'!$N$8)-IFERROR(J43/J110,0)*12)/12*J110,0))</f>
        <v>0</v>
      </c>
      <c r="L175" s="799">
        <f>MIN(IF(ISERROR(VLOOKUP(L$134-$F175,$E$135:$E$165,1,FALSE)),0,K43*$C$2),MAX((IF(Monthly!H$4=TRUE,Monthly!H$13,Monthly!H$14)*(1+'Attrition Modeling'!$N$8)-IFERROR(K43/K110,0)*12)/12*K110,0))</f>
        <v>0</v>
      </c>
      <c r="M175" s="799">
        <f>MIN(IF(ISERROR(VLOOKUP(M$134-$F175,$E$135:$E$165,1,FALSE)),0,L43*$C$2),MAX((IF(Monthly!I$4=TRUE,Monthly!I$13,Monthly!I$14)*(1+'Attrition Modeling'!$N$8)-IFERROR(L43/L110,0)*12)/12*L110,0))</f>
        <v>0</v>
      </c>
      <c r="N175" s="799">
        <f>MIN(IF(ISERROR(VLOOKUP(N$134-$F175,$E$135:$E$165,1,FALSE)),0,M43*$C$2),MAX((IF(Monthly!J$4=TRUE,Monthly!J$13,Monthly!J$14)*(1+'Attrition Modeling'!$N$8)-IFERROR(M43/M110,0)*12)/12*M110,0))</f>
        <v>0</v>
      </c>
      <c r="O175" s="799">
        <f>MIN(IF(ISERROR(VLOOKUP(O$134-$F175,$E$135:$E$165,1,FALSE)),0,N43*$C$2),MAX((IF(Monthly!K$4=TRUE,Monthly!K$13,Monthly!K$14)*(1+'Attrition Modeling'!$N$8)-IFERROR(N43/N110,0)*12)/12*N110,0))</f>
        <v>0</v>
      </c>
      <c r="P175" s="799">
        <f>MIN(IF(ISERROR(VLOOKUP(P$134-$F175,$E$135:$E$165,1,FALSE)),0,O43*$C$2),MAX((IF(Monthly!L$4=TRUE,Monthly!L$13,Monthly!L$14)*(1+'Attrition Modeling'!$N$8)-IFERROR(O43/O110,0)*12)/12*O110,0))</f>
        <v>0</v>
      </c>
      <c r="Q175" s="799">
        <f>MIN(IF(ISERROR(VLOOKUP(Q$134-$F175,$E$135:$E$165,1,FALSE)),0,P43*$C$2),MAX((IF(Monthly!M$4=TRUE,Monthly!M$13,Monthly!M$14)*(1+'Attrition Modeling'!$N$8)-IFERROR(P43/P110,0)*12)/12*P110,0))</f>
        <v>0</v>
      </c>
      <c r="R175" s="799">
        <f>MIN(IF(ISERROR(VLOOKUP(R$134-$F175,$E$135:$E$165,1,FALSE)),0,Q43*$C$2),MAX((IF(Monthly!N$4=TRUE,Monthly!N$13,Monthly!N$14)*(1+'Attrition Modeling'!$N$8)-IFERROR(Q43/Q110,0)*12)/12*Q110,0))</f>
        <v>0</v>
      </c>
      <c r="S175" s="799">
        <f>MIN(IF(ISERROR(VLOOKUP(S$134-$F175,$E$135:$E$165,1,FALSE)),0,R43*$C$2),MAX((IF(Monthly!O$4=TRUE,Monthly!O$13,Monthly!O$14)*(1+'Attrition Modeling'!$N$8)-IFERROR(R43/R110,0)*12)/12*R110,0))</f>
        <v>0</v>
      </c>
      <c r="T175" s="799">
        <f>MIN(IF(ISERROR(VLOOKUP(T$134-$F175,$E$135:$E$165,1,FALSE)),0,S43*$C$2),MAX((IF(Monthly!P$4=TRUE,Monthly!P$13,Monthly!P$14)*(1+'Attrition Modeling'!$N$8)-IFERROR(S43/S110,0)*12)/12*S110,0))</f>
        <v>0</v>
      </c>
      <c r="U175" s="799">
        <f>MIN(IF(ISERROR(VLOOKUP(U$134-$F175,$E$135:$E$165,1,FALSE)),0,T43*$C$2),MAX((IF(Monthly!Q$4=TRUE,Monthly!Q$13,Monthly!Q$14)*(1+'Attrition Modeling'!$N$8)-IFERROR(T43/T110,0)*12)/12*T110,0))</f>
        <v>0</v>
      </c>
      <c r="V175" s="799">
        <f>MIN(IF(ISERROR(VLOOKUP(V$134-$F175,$E$135:$E$165,1,FALSE)),0,U43*$C$2),MAX((IF(Monthly!R$4=TRUE,Monthly!R$13,Monthly!R$14)*(1+'Attrition Modeling'!$N$8)-IFERROR(U43/U110,0)*12)/12*U110,0))</f>
        <v>0</v>
      </c>
      <c r="W175" s="799">
        <f>MIN(IF(ISERROR(VLOOKUP(W$134-$F175,$E$135:$E$165,1,FALSE)),0,V43*$C$2),MAX((IF(Monthly!S$4=TRUE,Monthly!S$13,Monthly!S$14)*(1+'Attrition Modeling'!$N$8)-IFERROR(V43/V110,0)*12)/12*V110,0))</f>
        <v>0</v>
      </c>
      <c r="X175" s="799">
        <f>MIN(IF(ISERROR(VLOOKUP(X$134-$F175,$E$135:$E$165,1,FALSE)),0,W43*$C$2),MAX((IF(Monthly!T$4=TRUE,Monthly!T$13,Monthly!T$14)*(1+'Attrition Modeling'!$N$8)-IFERROR(W43/W110,0)*12)/12*W110,0))</f>
        <v>0</v>
      </c>
      <c r="Y175" s="799">
        <f>MIN(IF(ISERROR(VLOOKUP(Y$134-$F175,$E$135:$E$165,1,FALSE)),0,X43*$C$2),MAX((IF(Monthly!U$4=TRUE,Monthly!U$13,Monthly!U$14)*(1+'Attrition Modeling'!$N$8)-IFERROR(X43/X110,0)*12)/12*X110,0))</f>
        <v>0</v>
      </c>
      <c r="Z175" s="799">
        <f>MIN(IF(ISERROR(VLOOKUP(Z$134-$F175,$E$135:$E$165,1,FALSE)),0,Y43*$C$2),MAX((IF(Monthly!V$4=TRUE,Monthly!V$13,Monthly!V$14)*(1+'Attrition Modeling'!$N$8)-IFERROR(Y43/Y110,0)*12)/12*Y110,0))</f>
        <v>0</v>
      </c>
      <c r="AA175" s="799">
        <f>MIN(IF(ISERROR(VLOOKUP(AA$134-$F175,$E$135:$E$165,1,FALSE)),0,Z43*$C$2),MAX((IF(Monthly!W$4=TRUE,Monthly!W$13,Monthly!W$14)*(1+'Attrition Modeling'!$N$8)-IFERROR(Z43/Z110,0)*12)/12*Z110,0))</f>
        <v>0</v>
      </c>
      <c r="AB175" s="799">
        <f>MIN(IF(ISERROR(VLOOKUP(AB$134-$F175,$E$135:$E$165,1,FALSE)),0,AA43*$C$2),MAX((IF(Monthly!X$4=TRUE,Monthly!X$13,Monthly!X$14)*(1+'Attrition Modeling'!$N$8)-IFERROR(AA43/AA110,0)*12)/12*AA110,0))</f>
        <v>0</v>
      </c>
      <c r="AC175" s="799">
        <f>MIN(IF(ISERROR(VLOOKUP(AC$134-$F175,$E$135:$E$165,1,FALSE)),0,AB43*$C$2),MAX((IF(Monthly!Y$4=TRUE,Monthly!Y$13,Monthly!Y$14)*(1+'Attrition Modeling'!$N$8)-IFERROR(AB43/AB110,0)*12)/12*AB110,0))</f>
        <v>0</v>
      </c>
      <c r="AD175" s="799">
        <f>MIN(IF(ISERROR(VLOOKUP(AD$134-$F175,$E$135:$E$165,1,FALSE)),0,AC43*$C$2),MAX((IF(Monthly!Z$4=TRUE,Monthly!Z$13,Monthly!Z$14)*(1+'Attrition Modeling'!$N$8)-IFERROR(AC43/AC110,0)*12)/12*AC110,0))</f>
        <v>0</v>
      </c>
      <c r="AE175" s="799">
        <f>MIN(IF(ISERROR(VLOOKUP(AE$134-$F175,$E$135:$E$165,1,FALSE)),0,AD43*$C$2),MAX((IF(Monthly!AA$4=TRUE,Monthly!AA$13,Monthly!AA$14)*(1+'Attrition Modeling'!$N$8)-IFERROR(AD43/AD110,0)*12)/12*AD110,0))</f>
        <v>0</v>
      </c>
      <c r="AF175" s="799">
        <f>MIN(IF(ISERROR(VLOOKUP(AF$134-$F175,$E$135:$E$165,1,FALSE)),0,AE43*$C$2),MAX((IF(Monthly!AB$4=TRUE,Monthly!AB$13,Monthly!AB$14)*(1+'Attrition Modeling'!$N$8)-IFERROR(AE43/AE110,0)*12)/12*AE110,0))</f>
        <v>0</v>
      </c>
      <c r="AG175" s="799">
        <f>MIN(IF(ISERROR(VLOOKUP(AG$134-$F175,$E$135:$E$165,1,FALSE)),0,AF43*$C$2),MAX((IF(Monthly!AC$4=TRUE,Monthly!AC$13,Monthly!AC$14)*(1+'Attrition Modeling'!$N$8)-IFERROR(AF43/AF110,0)*12)/12*AF110,0))</f>
        <v>0</v>
      </c>
      <c r="AH175" s="799">
        <f>MIN(IF(ISERROR(VLOOKUP(AH$134-$F175,$E$135:$E$165,1,FALSE)),0,AG43*$C$2),MAX((IF(Monthly!AD$4=TRUE,Monthly!AD$13,Monthly!AD$14)*(1+'Attrition Modeling'!$N$8)-IFERROR(AG43/AG110,0)*12)/12*AG110,0))</f>
        <v>0</v>
      </c>
      <c r="AI175" s="799">
        <f>MIN(IF(ISERROR(VLOOKUP(AI$134-$F175,$E$135:$E$165,1,FALSE)),0,AH43*$C$2),MAX((IF(Monthly!AE$4=TRUE,Monthly!AE$13,Monthly!AE$14)*(1+'Attrition Modeling'!$N$8)-IFERROR(AH43/AH110,0)*12)/12*AH110,0))</f>
        <v>0</v>
      </c>
      <c r="AJ175" s="799">
        <f>MIN(IF(ISERROR(VLOOKUP(AJ$134-$F175,$E$135:$E$165,1,FALSE)),0,AI43*$C$2),MAX((IF(Monthly!AF$4=TRUE,Monthly!AF$13,Monthly!AF$14)*(1+'Attrition Modeling'!$N$8)-IFERROR(AI43/AI110,0)*12)/12*AI110,0))</f>
        <v>0</v>
      </c>
      <c r="AK175" s="799">
        <f>MIN(IF(ISERROR(VLOOKUP(AK$134-$F175,$E$135:$E$165,1,FALSE)),0,AJ43*$C$2),MAX((IF(Monthly!AG$4=TRUE,Monthly!AG$13,Monthly!AG$14)*(1+'Attrition Modeling'!$N$8)-IFERROR(AJ43/AJ110,0)*12)/12*AJ110,0))</f>
        <v>0</v>
      </c>
      <c r="AL175" s="799">
        <f>MIN(IF(ISERROR(VLOOKUP(AL$134-$F175,$E$135:$E$165,1,FALSE)),0,AK43*$C$2),MAX((IF(Monthly!AH$4=TRUE,Monthly!AH$13,Monthly!AH$14)*(1+'Attrition Modeling'!$N$8)-IFERROR(AK43/AK110,0)*12)/12*AK110,0))</f>
        <v>0</v>
      </c>
      <c r="AM175" s="799">
        <f>MIN(IF(ISERROR(VLOOKUP(AM$134-$F175,$E$135:$E$165,1,FALSE)),0,AL43*$C$2),MAX((IF(Monthly!AI$4=TRUE,Monthly!AI$13,Monthly!AI$14)*(1+'Attrition Modeling'!$N$8)-IFERROR(AL43/AL110,0)*12)/12*AL110,0))</f>
        <v>0</v>
      </c>
      <c r="AN175" s="799">
        <f>MIN(IF(ISERROR(VLOOKUP(AN$134-$F175,$E$135:$E$165,1,FALSE)),0,AM43*$C$2),MAX((IF(Monthly!AJ$4=TRUE,Monthly!AJ$13,Monthly!AJ$14)*(1+'Attrition Modeling'!$N$8)-IFERROR(AM43/AM110,0)*12)/12*AM110,0))</f>
        <v>0</v>
      </c>
      <c r="AO175" s="799">
        <f>MIN(IF(ISERROR(VLOOKUP(AO$134-$F175,$E$135:$E$165,1,FALSE)),0,AN43*$C$2),MAX((IF(Monthly!AK$4=TRUE,Monthly!AK$13,Monthly!AK$14)*(1+'Attrition Modeling'!$N$8)-IFERROR(AN43/AN110,0)*12)/12*AN110,0))</f>
        <v>0</v>
      </c>
      <c r="AP175" s="799">
        <f>MIN(IF(ISERROR(VLOOKUP(AP$134-$F175,$E$135:$E$165,1,FALSE)),0,AO43*$C$2),MAX((IF(Monthly!AL$4=TRUE,Monthly!AL$13,Monthly!AL$14)*(1+'Attrition Modeling'!$N$8)-IFERROR(AO43/AO110,0)*12)/12*AO110,0))</f>
        <v>0</v>
      </c>
      <c r="AQ175" s="799">
        <f>MIN(IF(ISERROR(VLOOKUP(AQ$134-$F175,$E$135:$E$165,1,FALSE)),0,AP43*$C$2),MAX((IF(Monthly!AM$4=TRUE,Monthly!AM$13,Monthly!AM$14)*(1+'Attrition Modeling'!$N$8)-IFERROR(AP43/AP110,0)*12)/12*AP110,0))</f>
        <v>0</v>
      </c>
      <c r="AR175" s="799">
        <f>MIN(IF(ISERROR(VLOOKUP(AR$134-$F175,$E$135:$E$165,1,FALSE)),0,AQ43*$C$2),MAX((IF(Monthly!AN$4=TRUE,Monthly!AN$13,Monthly!AN$14)*(1+'Attrition Modeling'!$N$8)-IFERROR(AQ43/AQ110,0)*12)/12*AQ110,0))</f>
        <v>0</v>
      </c>
      <c r="AS175" s="799">
        <f>MIN(IF(ISERROR(VLOOKUP(AS$134-$F175,$E$135:$E$165,1,FALSE)),0,AR43*$C$2),MAX((IF(Monthly!AO$4=TRUE,Monthly!AO$13,Monthly!AO$14)*(1+'Attrition Modeling'!$N$8)-IFERROR(AR43/AR110,0)*12)/12*AR110,0))</f>
        <v>0</v>
      </c>
      <c r="AT175" s="799">
        <f>MIN(IF(ISERROR(VLOOKUP(AT$134-$F175,$E$135:$E$165,1,FALSE)),0,AS43*$C$2),MAX((IF(Monthly!AP$4=TRUE,Monthly!AP$13,Monthly!AP$14)*(1+'Attrition Modeling'!$N$8)-IFERROR(AS43/AS110,0)*12)/12*AS110,0))</f>
        <v>0</v>
      </c>
      <c r="AU175" s="799">
        <f>MIN(IF(ISERROR(VLOOKUP(AU$134-$F175,$E$135:$E$165,1,FALSE)),0,AT43*$C$2),MAX((IF(Monthly!AQ$4=TRUE,Monthly!AQ$13,Monthly!AQ$14)*(1+'Attrition Modeling'!$N$8)-IFERROR(AT43/AT110,0)*12)/12*AT110,0))</f>
        <v>0</v>
      </c>
      <c r="AV175" s="799">
        <f>MIN(IF(ISERROR(VLOOKUP(AV$134-$F175,$E$135:$E$165,1,FALSE)),0,AU43*$C$2),MAX((IF(Monthly!AR$4=TRUE,Monthly!AR$13,Monthly!AR$14)*(1+'Attrition Modeling'!$N$8)-IFERROR(AU43/AU110,0)*12)/12*AU110,0))</f>
        <v>0</v>
      </c>
      <c r="AW175" s="799">
        <f>MIN(IF(ISERROR(VLOOKUP(AW$134-$F175,$E$135:$E$165,1,FALSE)),0,AV43*$C$2),MAX((IF(Monthly!AS$4=TRUE,Monthly!AS$13,Monthly!AS$14)*(1+'Attrition Modeling'!$N$8)-IFERROR(AV43/AV110,0)*12)/12*AV110,0))</f>
        <v>0</v>
      </c>
      <c r="AX175" s="799">
        <f>MIN(IF(ISERROR(VLOOKUP(AX$134-$F175,$E$135:$E$165,1,FALSE)),0,AW43*$C$2),MAX((IF(Monthly!AT$4=TRUE,Monthly!AT$13,Monthly!AT$14)*(1+'Attrition Modeling'!$N$8)-IFERROR(AW43/AW110,0)*12)/12*AW110,0))</f>
        <v>0</v>
      </c>
      <c r="AY175" s="799">
        <f>MIN(IF(ISERROR(VLOOKUP(AY$134-$F175,$E$135:$E$165,1,FALSE)),0,AX43*$C$2),MAX((IF(Monthly!AU$4=TRUE,Monthly!AU$13,Monthly!AU$14)*(1+'Attrition Modeling'!$N$8)-IFERROR(AX43/AX110,0)*12)/12*AX110,0))</f>
        <v>0</v>
      </c>
      <c r="AZ175" s="799">
        <f>MIN(IF(ISERROR(VLOOKUP(AZ$134-$F175,$E$135:$E$165,1,FALSE)),0,AY43*$C$2),MAX((IF(Monthly!AV$4=TRUE,Monthly!AV$13,Monthly!AV$14)*(1+'Attrition Modeling'!$N$8)-IFERROR(AY43/AY110,0)*12)/12*AY110,0))</f>
        <v>0</v>
      </c>
      <c r="BA175" s="799">
        <f>MIN(IF(ISERROR(VLOOKUP(BA$134-$F175,$E$135:$E$165,1,FALSE)),0,AZ43*$C$2),MAX((IF(Monthly!AW$4=TRUE,Monthly!AW$13,Monthly!AW$14)*(1+'Attrition Modeling'!$N$8)-IFERROR(AZ43/AZ110,0)*12)/12*AZ110,0))</f>
        <v>801.92761254653738</v>
      </c>
      <c r="BB175" s="799">
        <f>MIN(IF(ISERROR(VLOOKUP(BB$134-$F175,$E$135:$E$165,1,FALSE)),0,BA43*$C$2),MAX((IF(Monthly!AX$4=TRUE,Monthly!AX$13,Monthly!AX$14)*(1+'Attrition Modeling'!$N$8)-IFERROR(BA43/BA110,0)*12)/12*BA110,0))</f>
        <v>0</v>
      </c>
      <c r="BC175" s="799">
        <f>MIN(IF(ISERROR(VLOOKUP(BC$134-$F175,$E$135:$E$165,1,FALSE)),0,BB43*$C$2),MAX((IF(Monthly!AY$4=TRUE,Monthly!AY$13,Monthly!AY$14)*(1+'Attrition Modeling'!$N$8)-IFERROR(BB43/BB110,0)*12)/12*BB110,0))</f>
        <v>0</v>
      </c>
      <c r="BD175" s="799">
        <f>MIN(IF(ISERROR(VLOOKUP(BD$134-$F175,$E$135:$E$165,1,FALSE)),0,BC43*$C$2),MAX((IF(Monthly!AZ$4=TRUE,Monthly!AZ$13,Monthly!AZ$14)*(1+'Attrition Modeling'!$N$8)-IFERROR(BC43/BC110,0)*12)/12*BC110,0))</f>
        <v>0</v>
      </c>
      <c r="BE175" s="799">
        <f>MIN(IF(ISERROR(VLOOKUP(BE$134-$F175,$E$135:$E$165,1,FALSE)),0,BD43*$C$2),MAX((IF(Monthly!BA$4=TRUE,Monthly!BA$13,Monthly!BA$14)*(1+'Attrition Modeling'!$N$8)-IFERROR(BD43/BD110,0)*12)/12*BD110,0))</f>
        <v>0</v>
      </c>
      <c r="BF175" s="799">
        <f>MIN(IF(ISERROR(VLOOKUP(BF$134-$F175,$E$135:$E$165,1,FALSE)),0,BE43*$C$2),MAX((IF(Monthly!BB$4=TRUE,Monthly!BB$13,Monthly!BB$14)*(1+'Attrition Modeling'!$N$8)-IFERROR(BE43/BE110,0)*12)/12*BE110,0))</f>
        <v>0</v>
      </c>
      <c r="BG175" s="799">
        <f>MIN(IF(ISERROR(VLOOKUP(BG$134-$F175,$E$135:$E$165,1,FALSE)),0,BF43*$C$2),MAX((IF(Monthly!BC$4=TRUE,Monthly!BC$13,Monthly!BC$14)*(1+'Attrition Modeling'!$N$8)-IFERROR(BF43/BF110,0)*12)/12*BF110,0))</f>
        <v>0</v>
      </c>
      <c r="BH175" s="799">
        <f>MIN(IF(ISERROR(VLOOKUP(BH$134-$F175,$E$135:$E$165,1,FALSE)),0,BG43*$C$2),MAX((IF(Monthly!BD$4=TRUE,Monthly!BD$13,Monthly!BD$14)*(1+'Attrition Modeling'!$N$8)-IFERROR(BG43/BG110,0)*12)/12*BG110,0))</f>
        <v>0</v>
      </c>
      <c r="BI175" s="799">
        <f>MIN(IF(ISERROR(VLOOKUP(BI$134-$F175,$E$135:$E$165,1,FALSE)),0,BH43*$C$2),MAX((IF(Monthly!BE$4=TRUE,Monthly!BE$13,Monthly!BE$14)*(1+'Attrition Modeling'!$N$8)-IFERROR(BH43/BH110,0)*12)/12*BH110,0))</f>
        <v>0</v>
      </c>
      <c r="BJ175" s="799">
        <f>MIN(IF(ISERROR(VLOOKUP(BJ$134-$F175,$E$135:$E$165,1,FALSE)),0,BI43*$C$2),MAX((IF(Monthly!BF$4=TRUE,Monthly!BF$13,Monthly!BF$14)*(1+'Attrition Modeling'!$N$8)-IFERROR(BI43/BI110,0)*12)/12*BI110,0))</f>
        <v>0</v>
      </c>
      <c r="BK175" s="799">
        <f>MIN(IF(ISERROR(VLOOKUP(BK$134-$F175,$E$135:$E$165,1,FALSE)),0,BJ43*$C$2),MAX((IF(Monthly!BG$4=TRUE,Monthly!BG$13,Monthly!BG$14)*(1+'Attrition Modeling'!$N$8)-IFERROR(BJ43/BJ110,0)*12)/12*BJ110,0))</f>
        <v>0</v>
      </c>
      <c r="BL175" s="799">
        <f>MIN(IF(ISERROR(VLOOKUP(BL$134-$F175,$E$135:$E$165,1,FALSE)),0,BK43*$C$2),MAX((IF(Monthly!BH$4=TRUE,Monthly!BH$13,Monthly!BH$14)*(1+'Attrition Modeling'!$N$8)-IFERROR(BK43/BK110,0)*12)/12*BK110,0))</f>
        <v>0</v>
      </c>
      <c r="BM175" s="799">
        <f>MIN(IF(ISERROR(VLOOKUP(BM$134-$F175,$E$135:$E$165,1,FALSE)),0,BL43*$C$2),MAX((IF(Monthly!BI$4=TRUE,Monthly!BI$13,Monthly!BI$14)*(1+'Attrition Modeling'!$N$8)-IFERROR(BL43/BL110,0)*12)/12*BL110,0))</f>
        <v>432.25998091516823</v>
      </c>
      <c r="BN175" s="799">
        <f>MIN(IF(ISERROR(VLOOKUP(BN$134-$F175,$E$135:$E$165,1,FALSE)),0,BM43*$C$2),MAX((IF(Monthly!BJ$4=TRUE,Monthly!BJ$13,Monthly!BJ$14)*(1+'Attrition Modeling'!$N$8)-IFERROR(BM43/BM110,0)*12)/12*BM110,0))</f>
        <v>0</v>
      </c>
      <c r="BO175" s="799">
        <f>MIN(IF(ISERROR(VLOOKUP(BO$134-$F175,$E$135:$E$165,1,FALSE)),0,BN43*$C$2),MAX((IF(Monthly!BK$4=TRUE,Monthly!BK$13,Monthly!BK$14)*(1+'Attrition Modeling'!$N$8)-IFERROR(BN43/BN110,0)*12)/12*BN110,0))</f>
        <v>0</v>
      </c>
      <c r="BP175" s="799">
        <f>MIN(IF(ISERROR(VLOOKUP(BP$134-$F175,$E$135:$E$165,1,FALSE)),0,BO43*$C$2),MAX((IF(Monthly!BP$4=TRUE,Monthly!BP$13,Monthly!BP$14)*(1+'Attrition Modeling'!$N$8)-IFERROR(BO43/BO110,0)*12)/12*BO110,0))</f>
        <v>0</v>
      </c>
      <c r="BQ175" s="799">
        <f>MIN(IF(ISERROR(VLOOKUP(BQ$134-$F175,$E$135:$E$165,1,FALSE)),0,BP43*$C$2),MAX((IF(Monthly!BQ$4=TRUE,Monthly!BQ$13,Monthly!BQ$14)*(1+'Attrition Modeling'!$N$8)-IFERROR(BP43/BP110,0)*12)/12*BP110,0))</f>
        <v>0</v>
      </c>
      <c r="BR175" s="799">
        <f>MIN(IF(ISERROR(VLOOKUP(BR$134-$F175,$E$135:$E$165,1,FALSE)),0,BQ43*$C$2),MAX((IF(Monthly!BR$4=TRUE,Monthly!BR$13,Monthly!BR$14)*(1+'Attrition Modeling'!$N$8)-IFERROR(BQ43/BQ110,0)*12)/12*BQ110,0))</f>
        <v>0</v>
      </c>
      <c r="BS175" s="799">
        <f>MIN(IF(ISERROR(VLOOKUP(BS$134-$F175,$E$135:$E$165,1,FALSE)),0,BR43*$C$2),MAX((IF(Monthly!BS$4=TRUE,Monthly!BS$13,Monthly!BS$14)*(1+'Attrition Modeling'!$N$8)-IFERROR(BR43/BR110,0)*12)/12*BR110,0))</f>
        <v>0</v>
      </c>
      <c r="BT175" s="799">
        <f>MIN(IF(ISERROR(VLOOKUP(BT$134-$F175,$E$135:$E$165,1,FALSE)),0,BS43*$C$2),MAX((IF(Monthly!BT$4=TRUE,Monthly!BT$13,Monthly!BT$14)*(1+'Attrition Modeling'!$N$8)-IFERROR(BS43/BS110,0)*12)/12*BS110,0))</f>
        <v>0</v>
      </c>
      <c r="BU175" s="799">
        <f>MIN(IF(ISERROR(VLOOKUP(BU$134-$F175,$E$135:$E$165,1,FALSE)),0,BT43*$C$2),MAX((IF(Monthly!BU$4=TRUE,Monthly!BU$13,Monthly!BU$14)*(1+'Attrition Modeling'!$N$8)-IFERROR(BT43/BT110,0)*12)/12*BT110,0))</f>
        <v>0</v>
      </c>
    </row>
    <row r="176" spans="1:73" ht="14.25" customHeight="1" x14ac:dyDescent="0.2">
      <c r="E176" s="25"/>
      <c r="F176" s="11">
        <f t="shared" si="14"/>
        <v>41</v>
      </c>
      <c r="G176" s="799"/>
      <c r="H176" s="799">
        <f>MIN(IF(ISERROR(VLOOKUP(H$134-$F176,$E$135:$E$165,1,FALSE)),0,G44*$C$2),MAX((IF(Monthly!D$4=TRUE,Monthly!D$13,Monthly!D$14)*(1+'Attrition Modeling'!$N$8)-IFERROR(G44/G111,0)*12)/12*G111,0))</f>
        <v>0</v>
      </c>
      <c r="I176" s="799">
        <f>MIN(IF(ISERROR(VLOOKUP(I$134-$F176,$E$135:$E$165,1,FALSE)),0,H44*$C$2),MAX((IF(Monthly!E$4=TRUE,Monthly!E$13,Monthly!E$14)*(1+'Attrition Modeling'!$N$8)-IFERROR(H44/H111,0)*12)/12*H111,0))</f>
        <v>0</v>
      </c>
      <c r="J176" s="799">
        <f>MIN(IF(ISERROR(VLOOKUP(J$134-$F176,$E$135:$E$165,1,FALSE)),0,I44*$C$2),MAX((IF(Monthly!F$4=TRUE,Monthly!F$13,Monthly!F$14)*(1+'Attrition Modeling'!$N$8)-IFERROR(I44/I111,0)*12)/12*I111,0))</f>
        <v>0</v>
      </c>
      <c r="K176" s="799">
        <f>MIN(IF(ISERROR(VLOOKUP(K$134-$F176,$E$135:$E$165,1,FALSE)),0,J44*$C$2),MAX((IF(Monthly!G$4=TRUE,Monthly!G$13,Monthly!G$14)*(1+'Attrition Modeling'!$N$8)-IFERROR(J44/J111,0)*12)/12*J111,0))</f>
        <v>0</v>
      </c>
      <c r="L176" s="799">
        <f>MIN(IF(ISERROR(VLOOKUP(L$134-$F176,$E$135:$E$165,1,FALSE)),0,K44*$C$2),MAX((IF(Monthly!H$4=TRUE,Monthly!H$13,Monthly!H$14)*(1+'Attrition Modeling'!$N$8)-IFERROR(K44/K111,0)*12)/12*K111,0))</f>
        <v>0</v>
      </c>
      <c r="M176" s="799">
        <f>MIN(IF(ISERROR(VLOOKUP(M$134-$F176,$E$135:$E$165,1,FALSE)),0,L44*$C$2),MAX((IF(Monthly!I$4=TRUE,Monthly!I$13,Monthly!I$14)*(1+'Attrition Modeling'!$N$8)-IFERROR(L44/L111,0)*12)/12*L111,0))</f>
        <v>0</v>
      </c>
      <c r="N176" s="799">
        <f>MIN(IF(ISERROR(VLOOKUP(N$134-$F176,$E$135:$E$165,1,FALSE)),0,M44*$C$2),MAX((IF(Monthly!J$4=TRUE,Monthly!J$13,Monthly!J$14)*(1+'Attrition Modeling'!$N$8)-IFERROR(M44/M111,0)*12)/12*M111,0))</f>
        <v>0</v>
      </c>
      <c r="O176" s="799">
        <f>MIN(IF(ISERROR(VLOOKUP(O$134-$F176,$E$135:$E$165,1,FALSE)),0,N44*$C$2),MAX((IF(Monthly!K$4=TRUE,Monthly!K$13,Monthly!K$14)*(1+'Attrition Modeling'!$N$8)-IFERROR(N44/N111,0)*12)/12*N111,0))</f>
        <v>0</v>
      </c>
      <c r="P176" s="799">
        <f>MIN(IF(ISERROR(VLOOKUP(P$134-$F176,$E$135:$E$165,1,FALSE)),0,O44*$C$2),MAX((IF(Monthly!L$4=TRUE,Monthly!L$13,Monthly!L$14)*(1+'Attrition Modeling'!$N$8)-IFERROR(O44/O111,0)*12)/12*O111,0))</f>
        <v>0</v>
      </c>
      <c r="Q176" s="799">
        <f>MIN(IF(ISERROR(VLOOKUP(Q$134-$F176,$E$135:$E$165,1,FALSE)),0,P44*$C$2),MAX((IF(Monthly!M$4=TRUE,Monthly!M$13,Monthly!M$14)*(1+'Attrition Modeling'!$N$8)-IFERROR(P44/P111,0)*12)/12*P111,0))</f>
        <v>0</v>
      </c>
      <c r="R176" s="799">
        <f>MIN(IF(ISERROR(VLOOKUP(R$134-$F176,$E$135:$E$165,1,FALSE)),0,Q44*$C$2),MAX((IF(Monthly!N$4=TRUE,Monthly!N$13,Monthly!N$14)*(1+'Attrition Modeling'!$N$8)-IFERROR(Q44/Q111,0)*12)/12*Q111,0))</f>
        <v>0</v>
      </c>
      <c r="S176" s="799">
        <f>MIN(IF(ISERROR(VLOOKUP(S$134-$F176,$E$135:$E$165,1,FALSE)),0,R44*$C$2),MAX((IF(Monthly!O$4=TRUE,Monthly!O$13,Monthly!O$14)*(1+'Attrition Modeling'!$N$8)-IFERROR(R44/R111,0)*12)/12*R111,0))</f>
        <v>0</v>
      </c>
      <c r="T176" s="799">
        <f>MIN(IF(ISERROR(VLOOKUP(T$134-$F176,$E$135:$E$165,1,FALSE)),0,S44*$C$2),MAX((IF(Monthly!P$4=TRUE,Monthly!P$13,Monthly!P$14)*(1+'Attrition Modeling'!$N$8)-IFERROR(S44/S111,0)*12)/12*S111,0))</f>
        <v>0</v>
      </c>
      <c r="U176" s="799">
        <f>MIN(IF(ISERROR(VLOOKUP(U$134-$F176,$E$135:$E$165,1,FALSE)),0,T44*$C$2),MAX((IF(Monthly!Q$4=TRUE,Monthly!Q$13,Monthly!Q$14)*(1+'Attrition Modeling'!$N$8)-IFERROR(T44/T111,0)*12)/12*T111,0))</f>
        <v>0</v>
      </c>
      <c r="V176" s="799">
        <f>MIN(IF(ISERROR(VLOOKUP(V$134-$F176,$E$135:$E$165,1,FALSE)),0,U44*$C$2),MAX((IF(Monthly!R$4=TRUE,Monthly!R$13,Monthly!R$14)*(1+'Attrition Modeling'!$N$8)-IFERROR(U44/U111,0)*12)/12*U111,0))</f>
        <v>0</v>
      </c>
      <c r="W176" s="799">
        <f>MIN(IF(ISERROR(VLOOKUP(W$134-$F176,$E$135:$E$165,1,FALSE)),0,V44*$C$2),MAX((IF(Monthly!S$4=TRUE,Monthly!S$13,Monthly!S$14)*(1+'Attrition Modeling'!$N$8)-IFERROR(V44/V111,0)*12)/12*V111,0))</f>
        <v>0</v>
      </c>
      <c r="X176" s="799">
        <f>MIN(IF(ISERROR(VLOOKUP(X$134-$F176,$E$135:$E$165,1,FALSE)),0,W44*$C$2),MAX((IF(Monthly!T$4=TRUE,Monthly!T$13,Monthly!T$14)*(1+'Attrition Modeling'!$N$8)-IFERROR(W44/W111,0)*12)/12*W111,0))</f>
        <v>0</v>
      </c>
      <c r="Y176" s="799">
        <f>MIN(IF(ISERROR(VLOOKUP(Y$134-$F176,$E$135:$E$165,1,FALSE)),0,X44*$C$2),MAX((IF(Monthly!U$4=TRUE,Monthly!U$13,Monthly!U$14)*(1+'Attrition Modeling'!$N$8)-IFERROR(X44/X111,0)*12)/12*X111,0))</f>
        <v>0</v>
      </c>
      <c r="Z176" s="799">
        <f>MIN(IF(ISERROR(VLOOKUP(Z$134-$F176,$E$135:$E$165,1,FALSE)),0,Y44*$C$2),MAX((IF(Monthly!V$4=TRUE,Monthly!V$13,Monthly!V$14)*(1+'Attrition Modeling'!$N$8)-IFERROR(Y44/Y111,0)*12)/12*Y111,0))</f>
        <v>0</v>
      </c>
      <c r="AA176" s="799">
        <f>MIN(IF(ISERROR(VLOOKUP(AA$134-$F176,$E$135:$E$165,1,FALSE)),0,Z44*$C$2),MAX((IF(Monthly!W$4=TRUE,Monthly!W$13,Monthly!W$14)*(1+'Attrition Modeling'!$N$8)-IFERROR(Z44/Z111,0)*12)/12*Z111,0))</f>
        <v>0</v>
      </c>
      <c r="AB176" s="799">
        <f>MIN(IF(ISERROR(VLOOKUP(AB$134-$F176,$E$135:$E$165,1,FALSE)),0,AA44*$C$2),MAX((IF(Monthly!X$4=TRUE,Monthly!X$13,Monthly!X$14)*(1+'Attrition Modeling'!$N$8)-IFERROR(AA44/AA111,0)*12)/12*AA111,0))</f>
        <v>0</v>
      </c>
      <c r="AC176" s="799">
        <f>MIN(IF(ISERROR(VLOOKUP(AC$134-$F176,$E$135:$E$165,1,FALSE)),0,AB44*$C$2),MAX((IF(Monthly!Y$4=TRUE,Monthly!Y$13,Monthly!Y$14)*(1+'Attrition Modeling'!$N$8)-IFERROR(AB44/AB111,0)*12)/12*AB111,0))</f>
        <v>0</v>
      </c>
      <c r="AD176" s="799">
        <f>MIN(IF(ISERROR(VLOOKUP(AD$134-$F176,$E$135:$E$165,1,FALSE)),0,AC44*$C$2),MAX((IF(Monthly!Z$4=TRUE,Monthly!Z$13,Monthly!Z$14)*(1+'Attrition Modeling'!$N$8)-IFERROR(AC44/AC111,0)*12)/12*AC111,0))</f>
        <v>0</v>
      </c>
      <c r="AE176" s="799">
        <f>MIN(IF(ISERROR(VLOOKUP(AE$134-$F176,$E$135:$E$165,1,FALSE)),0,AD44*$C$2),MAX((IF(Monthly!AA$4=TRUE,Monthly!AA$13,Monthly!AA$14)*(1+'Attrition Modeling'!$N$8)-IFERROR(AD44/AD111,0)*12)/12*AD111,0))</f>
        <v>0</v>
      </c>
      <c r="AF176" s="799">
        <f>MIN(IF(ISERROR(VLOOKUP(AF$134-$F176,$E$135:$E$165,1,FALSE)),0,AE44*$C$2),MAX((IF(Monthly!AB$4=TRUE,Monthly!AB$13,Monthly!AB$14)*(1+'Attrition Modeling'!$N$8)-IFERROR(AE44/AE111,0)*12)/12*AE111,0))</f>
        <v>0</v>
      </c>
      <c r="AG176" s="799">
        <f>MIN(IF(ISERROR(VLOOKUP(AG$134-$F176,$E$135:$E$165,1,FALSE)),0,AF44*$C$2),MAX((IF(Monthly!AC$4=TRUE,Monthly!AC$13,Monthly!AC$14)*(1+'Attrition Modeling'!$N$8)-IFERROR(AF44/AF111,0)*12)/12*AF111,0))</f>
        <v>0</v>
      </c>
      <c r="AH176" s="799">
        <f>MIN(IF(ISERROR(VLOOKUP(AH$134-$F176,$E$135:$E$165,1,FALSE)),0,AG44*$C$2),MAX((IF(Monthly!AD$4=TRUE,Monthly!AD$13,Monthly!AD$14)*(1+'Attrition Modeling'!$N$8)-IFERROR(AG44/AG111,0)*12)/12*AG111,0))</f>
        <v>0</v>
      </c>
      <c r="AI176" s="799">
        <f>MIN(IF(ISERROR(VLOOKUP(AI$134-$F176,$E$135:$E$165,1,FALSE)),0,AH44*$C$2),MAX((IF(Monthly!AE$4=TRUE,Monthly!AE$13,Monthly!AE$14)*(1+'Attrition Modeling'!$N$8)-IFERROR(AH44/AH111,0)*12)/12*AH111,0))</f>
        <v>0</v>
      </c>
      <c r="AJ176" s="799">
        <f>MIN(IF(ISERROR(VLOOKUP(AJ$134-$F176,$E$135:$E$165,1,FALSE)),0,AI44*$C$2),MAX((IF(Monthly!AF$4=TRUE,Monthly!AF$13,Monthly!AF$14)*(1+'Attrition Modeling'!$N$8)-IFERROR(AI44/AI111,0)*12)/12*AI111,0))</f>
        <v>0</v>
      </c>
      <c r="AK176" s="799">
        <f>MIN(IF(ISERROR(VLOOKUP(AK$134-$F176,$E$135:$E$165,1,FALSE)),0,AJ44*$C$2),MAX((IF(Monthly!AG$4=TRUE,Monthly!AG$13,Monthly!AG$14)*(1+'Attrition Modeling'!$N$8)-IFERROR(AJ44/AJ111,0)*12)/12*AJ111,0))</f>
        <v>0</v>
      </c>
      <c r="AL176" s="799">
        <f>MIN(IF(ISERROR(VLOOKUP(AL$134-$F176,$E$135:$E$165,1,FALSE)),0,AK44*$C$2),MAX((IF(Monthly!AH$4=TRUE,Monthly!AH$13,Monthly!AH$14)*(1+'Attrition Modeling'!$N$8)-IFERROR(AK44/AK111,0)*12)/12*AK111,0))</f>
        <v>0</v>
      </c>
      <c r="AM176" s="799">
        <f>MIN(IF(ISERROR(VLOOKUP(AM$134-$F176,$E$135:$E$165,1,FALSE)),0,AL44*$C$2),MAX((IF(Monthly!AI$4=TRUE,Monthly!AI$13,Monthly!AI$14)*(1+'Attrition Modeling'!$N$8)-IFERROR(AL44/AL111,0)*12)/12*AL111,0))</f>
        <v>0</v>
      </c>
      <c r="AN176" s="799">
        <f>MIN(IF(ISERROR(VLOOKUP(AN$134-$F176,$E$135:$E$165,1,FALSE)),0,AM44*$C$2),MAX((IF(Monthly!AJ$4=TRUE,Monthly!AJ$13,Monthly!AJ$14)*(1+'Attrition Modeling'!$N$8)-IFERROR(AM44/AM111,0)*12)/12*AM111,0))</f>
        <v>0</v>
      </c>
      <c r="AO176" s="799">
        <f>MIN(IF(ISERROR(VLOOKUP(AO$134-$F176,$E$135:$E$165,1,FALSE)),0,AN44*$C$2),MAX((IF(Monthly!AK$4=TRUE,Monthly!AK$13,Monthly!AK$14)*(1+'Attrition Modeling'!$N$8)-IFERROR(AN44/AN111,0)*12)/12*AN111,0))</f>
        <v>0</v>
      </c>
      <c r="AP176" s="799">
        <f>MIN(IF(ISERROR(VLOOKUP(AP$134-$F176,$E$135:$E$165,1,FALSE)),0,AO44*$C$2),MAX((IF(Monthly!AL$4=TRUE,Monthly!AL$13,Monthly!AL$14)*(1+'Attrition Modeling'!$N$8)-IFERROR(AO44/AO111,0)*12)/12*AO111,0))</f>
        <v>0</v>
      </c>
      <c r="AQ176" s="799">
        <f>MIN(IF(ISERROR(VLOOKUP(AQ$134-$F176,$E$135:$E$165,1,FALSE)),0,AP44*$C$2),MAX((IF(Monthly!AM$4=TRUE,Monthly!AM$13,Monthly!AM$14)*(1+'Attrition Modeling'!$N$8)-IFERROR(AP44/AP111,0)*12)/12*AP111,0))</f>
        <v>0</v>
      </c>
      <c r="AR176" s="799">
        <f>MIN(IF(ISERROR(VLOOKUP(AR$134-$F176,$E$135:$E$165,1,FALSE)),0,AQ44*$C$2),MAX((IF(Monthly!AN$4=TRUE,Monthly!AN$13,Monthly!AN$14)*(1+'Attrition Modeling'!$N$8)-IFERROR(AQ44/AQ111,0)*12)/12*AQ111,0))</f>
        <v>0</v>
      </c>
      <c r="AS176" s="799">
        <f>MIN(IF(ISERROR(VLOOKUP(AS$134-$F176,$E$135:$E$165,1,FALSE)),0,AR44*$C$2),MAX((IF(Monthly!AO$4=TRUE,Monthly!AO$13,Monthly!AO$14)*(1+'Attrition Modeling'!$N$8)-IFERROR(AR44/AR111,0)*12)/12*AR111,0))</f>
        <v>0</v>
      </c>
      <c r="AT176" s="799">
        <f>MIN(IF(ISERROR(VLOOKUP(AT$134-$F176,$E$135:$E$165,1,FALSE)),0,AS44*$C$2),MAX((IF(Monthly!AP$4=TRUE,Monthly!AP$13,Monthly!AP$14)*(1+'Attrition Modeling'!$N$8)-IFERROR(AS44/AS111,0)*12)/12*AS111,0))</f>
        <v>0</v>
      </c>
      <c r="AU176" s="799">
        <f>MIN(IF(ISERROR(VLOOKUP(AU$134-$F176,$E$135:$E$165,1,FALSE)),0,AT44*$C$2),MAX((IF(Monthly!AQ$4=TRUE,Monthly!AQ$13,Monthly!AQ$14)*(1+'Attrition Modeling'!$N$8)-IFERROR(AT44/AT111,0)*12)/12*AT111,0))</f>
        <v>0</v>
      </c>
      <c r="AV176" s="799">
        <f>MIN(IF(ISERROR(VLOOKUP(AV$134-$F176,$E$135:$E$165,1,FALSE)),0,AU44*$C$2),MAX((IF(Monthly!AR$4=TRUE,Monthly!AR$13,Monthly!AR$14)*(1+'Attrition Modeling'!$N$8)-IFERROR(AU44/AU111,0)*12)/12*AU111,0))</f>
        <v>0</v>
      </c>
      <c r="AW176" s="799">
        <f>MIN(IF(ISERROR(VLOOKUP(AW$134-$F176,$E$135:$E$165,1,FALSE)),0,AV44*$C$2),MAX((IF(Monthly!AS$4=TRUE,Monthly!AS$13,Monthly!AS$14)*(1+'Attrition Modeling'!$N$8)-IFERROR(AV44/AV111,0)*12)/12*AV111,0))</f>
        <v>0</v>
      </c>
      <c r="AX176" s="799">
        <f>MIN(IF(ISERROR(VLOOKUP(AX$134-$F176,$E$135:$E$165,1,FALSE)),0,AW44*$C$2),MAX((IF(Monthly!AT$4=TRUE,Monthly!AT$13,Monthly!AT$14)*(1+'Attrition Modeling'!$N$8)-IFERROR(AW44/AW111,0)*12)/12*AW111,0))</f>
        <v>0</v>
      </c>
      <c r="AY176" s="799">
        <f>MIN(IF(ISERROR(VLOOKUP(AY$134-$F176,$E$135:$E$165,1,FALSE)),0,AX44*$C$2),MAX((IF(Monthly!AU$4=TRUE,Monthly!AU$13,Monthly!AU$14)*(1+'Attrition Modeling'!$N$8)-IFERROR(AX44/AX111,0)*12)/12*AX111,0))</f>
        <v>0</v>
      </c>
      <c r="AZ176" s="799">
        <f>MIN(IF(ISERROR(VLOOKUP(AZ$134-$F176,$E$135:$E$165,1,FALSE)),0,AY44*$C$2),MAX((IF(Monthly!AV$4=TRUE,Monthly!AV$13,Monthly!AV$14)*(1+'Attrition Modeling'!$N$8)-IFERROR(AY44/AY111,0)*12)/12*AY111,0))</f>
        <v>0</v>
      </c>
      <c r="BA176" s="799">
        <f>MIN(IF(ISERROR(VLOOKUP(BA$134-$F176,$E$135:$E$165,1,FALSE)),0,AZ44*$C$2),MAX((IF(Monthly!AW$4=TRUE,Monthly!AW$13,Monthly!AW$14)*(1+'Attrition Modeling'!$N$8)-IFERROR(AZ44/AZ111,0)*12)/12*AZ111,0))</f>
        <v>0</v>
      </c>
      <c r="BB176" s="799">
        <f>MIN(IF(ISERROR(VLOOKUP(BB$134-$F176,$E$135:$E$165,1,FALSE)),0,BA44*$C$2),MAX((IF(Monthly!AX$4=TRUE,Monthly!AX$13,Monthly!AX$14)*(1+'Attrition Modeling'!$N$8)-IFERROR(BA44/BA111,0)*12)/12*BA111,0))</f>
        <v>731.94277940455629</v>
      </c>
      <c r="BC176" s="799">
        <f>MIN(IF(ISERROR(VLOOKUP(BC$134-$F176,$E$135:$E$165,1,FALSE)),0,BB44*$C$2),MAX((IF(Monthly!AY$4=TRUE,Monthly!AY$13,Monthly!AY$14)*(1+'Attrition Modeling'!$N$8)-IFERROR(BB44/BB111,0)*12)/12*BB111,0))</f>
        <v>0</v>
      </c>
      <c r="BD176" s="799">
        <f>MIN(IF(ISERROR(VLOOKUP(BD$134-$F176,$E$135:$E$165,1,FALSE)),0,BC44*$C$2),MAX((IF(Monthly!AZ$4=TRUE,Monthly!AZ$13,Monthly!AZ$14)*(1+'Attrition Modeling'!$N$8)-IFERROR(BC44/BC111,0)*12)/12*BC111,0))</f>
        <v>0</v>
      </c>
      <c r="BE176" s="799">
        <f>MIN(IF(ISERROR(VLOOKUP(BE$134-$F176,$E$135:$E$165,1,FALSE)),0,BD44*$C$2),MAX((IF(Monthly!BA$4=TRUE,Monthly!BA$13,Monthly!BA$14)*(1+'Attrition Modeling'!$N$8)-IFERROR(BD44/BD111,0)*12)/12*BD111,0))</f>
        <v>0</v>
      </c>
      <c r="BF176" s="799">
        <f>MIN(IF(ISERROR(VLOOKUP(BF$134-$F176,$E$135:$E$165,1,FALSE)),0,BE44*$C$2),MAX((IF(Monthly!BB$4=TRUE,Monthly!BB$13,Monthly!BB$14)*(1+'Attrition Modeling'!$N$8)-IFERROR(BE44/BE111,0)*12)/12*BE111,0))</f>
        <v>0</v>
      </c>
      <c r="BG176" s="799">
        <f>MIN(IF(ISERROR(VLOOKUP(BG$134-$F176,$E$135:$E$165,1,FALSE)),0,BF44*$C$2),MAX((IF(Monthly!BC$4=TRUE,Monthly!BC$13,Monthly!BC$14)*(1+'Attrition Modeling'!$N$8)-IFERROR(BF44/BF111,0)*12)/12*BF111,0))</f>
        <v>0</v>
      </c>
      <c r="BH176" s="799">
        <f>MIN(IF(ISERROR(VLOOKUP(BH$134-$F176,$E$135:$E$165,1,FALSE)),0,BG44*$C$2),MAX((IF(Monthly!BD$4=TRUE,Monthly!BD$13,Monthly!BD$14)*(1+'Attrition Modeling'!$N$8)-IFERROR(BG44/BG111,0)*12)/12*BG111,0))</f>
        <v>0</v>
      </c>
      <c r="BI176" s="799">
        <f>MIN(IF(ISERROR(VLOOKUP(BI$134-$F176,$E$135:$E$165,1,FALSE)),0,BH44*$C$2),MAX((IF(Monthly!BE$4=TRUE,Monthly!BE$13,Monthly!BE$14)*(1+'Attrition Modeling'!$N$8)-IFERROR(BH44/BH111,0)*12)/12*BH111,0))</f>
        <v>0</v>
      </c>
      <c r="BJ176" s="799">
        <f>MIN(IF(ISERROR(VLOOKUP(BJ$134-$F176,$E$135:$E$165,1,FALSE)),0,BI44*$C$2),MAX((IF(Monthly!BF$4=TRUE,Monthly!BF$13,Monthly!BF$14)*(1+'Attrition Modeling'!$N$8)-IFERROR(BI44/BI111,0)*12)/12*BI111,0))</f>
        <v>0</v>
      </c>
      <c r="BK176" s="799">
        <f>MIN(IF(ISERROR(VLOOKUP(BK$134-$F176,$E$135:$E$165,1,FALSE)),0,BJ44*$C$2),MAX((IF(Monthly!BG$4=TRUE,Monthly!BG$13,Monthly!BG$14)*(1+'Attrition Modeling'!$N$8)-IFERROR(BJ44/BJ111,0)*12)/12*BJ111,0))</f>
        <v>0</v>
      </c>
      <c r="BL176" s="799">
        <f>MIN(IF(ISERROR(VLOOKUP(BL$134-$F176,$E$135:$E$165,1,FALSE)),0,BK44*$C$2),MAX((IF(Monthly!BH$4=TRUE,Monthly!BH$13,Monthly!BH$14)*(1+'Attrition Modeling'!$N$8)-IFERROR(BK44/BK111,0)*12)/12*BK111,0))</f>
        <v>0</v>
      </c>
      <c r="BM176" s="799">
        <f>MIN(IF(ISERROR(VLOOKUP(BM$134-$F176,$E$135:$E$165,1,FALSE)),0,BL44*$C$2),MAX((IF(Monthly!BI$4=TRUE,Monthly!BI$13,Monthly!BI$14)*(1+'Attrition Modeling'!$N$8)-IFERROR(BL44/BL111,0)*12)/12*BL111,0))</f>
        <v>0</v>
      </c>
      <c r="BN176" s="799">
        <f>MIN(IF(ISERROR(VLOOKUP(BN$134-$F176,$E$135:$E$165,1,FALSE)),0,BM44*$C$2),MAX((IF(Monthly!BJ$4=TRUE,Monthly!BJ$13,Monthly!BJ$14)*(1+'Attrition Modeling'!$N$8)-IFERROR(BM44/BM111,0)*12)/12*BM111,0))</f>
        <v>389.34135084161295</v>
      </c>
      <c r="BO176" s="799">
        <f>MIN(IF(ISERROR(VLOOKUP(BO$134-$F176,$E$135:$E$165,1,FALSE)),0,BN44*$C$2),MAX((IF(Monthly!BK$4=TRUE,Monthly!BK$13,Monthly!BK$14)*(1+'Attrition Modeling'!$N$8)-IFERROR(BN44/BN111,0)*12)/12*BN111,0))</f>
        <v>0</v>
      </c>
      <c r="BP176" s="799">
        <f>MIN(IF(ISERROR(VLOOKUP(BP$134-$F176,$E$135:$E$165,1,FALSE)),0,BO44*$C$2),MAX((IF(Monthly!BP$4=TRUE,Monthly!BP$13,Monthly!BP$14)*(1+'Attrition Modeling'!$N$8)-IFERROR(BO44/BO111,0)*12)/12*BO111,0))</f>
        <v>0</v>
      </c>
      <c r="BQ176" s="799">
        <f>MIN(IF(ISERROR(VLOOKUP(BQ$134-$F176,$E$135:$E$165,1,FALSE)),0,BP44*$C$2),MAX((IF(Monthly!BQ$4=TRUE,Monthly!BQ$13,Monthly!BQ$14)*(1+'Attrition Modeling'!$N$8)-IFERROR(BP44/BP111,0)*12)/12*BP111,0))</f>
        <v>0</v>
      </c>
      <c r="BR176" s="799">
        <f>MIN(IF(ISERROR(VLOOKUP(BR$134-$F176,$E$135:$E$165,1,FALSE)),0,BQ44*$C$2),MAX((IF(Monthly!BR$4=TRUE,Monthly!BR$13,Monthly!BR$14)*(1+'Attrition Modeling'!$N$8)-IFERROR(BQ44/BQ111,0)*12)/12*BQ111,0))</f>
        <v>0</v>
      </c>
      <c r="BS176" s="799">
        <f>MIN(IF(ISERROR(VLOOKUP(BS$134-$F176,$E$135:$E$165,1,FALSE)),0,BR44*$C$2),MAX((IF(Monthly!BS$4=TRUE,Monthly!BS$13,Monthly!BS$14)*(1+'Attrition Modeling'!$N$8)-IFERROR(BR44/BR111,0)*12)/12*BR111,0))</f>
        <v>0</v>
      </c>
      <c r="BT176" s="799">
        <f>MIN(IF(ISERROR(VLOOKUP(BT$134-$F176,$E$135:$E$165,1,FALSE)),0,BS44*$C$2),MAX((IF(Monthly!BT$4=TRUE,Monthly!BT$13,Monthly!BT$14)*(1+'Attrition Modeling'!$N$8)-IFERROR(BS44/BS111,0)*12)/12*BS111,0))</f>
        <v>0</v>
      </c>
      <c r="BU176" s="799">
        <f>MIN(IF(ISERROR(VLOOKUP(BU$134-$F176,$E$135:$E$165,1,FALSE)),0,BT44*$C$2),MAX((IF(Monthly!BU$4=TRUE,Monthly!BU$13,Monthly!BU$14)*(1+'Attrition Modeling'!$N$8)-IFERROR(BT44/BT111,0)*12)/12*BT111,0))</f>
        <v>0</v>
      </c>
    </row>
    <row r="177" spans="5:73" ht="14.25" customHeight="1" x14ac:dyDescent="0.2">
      <c r="E177" s="25"/>
      <c r="F177" s="11">
        <f t="shared" si="14"/>
        <v>42</v>
      </c>
      <c r="G177" s="799"/>
      <c r="H177" s="799">
        <f>MIN(IF(ISERROR(VLOOKUP(H$134-$F177,$E$135:$E$165,1,FALSE)),0,G45*$C$2),MAX((IF(Monthly!D$4=TRUE,Monthly!D$13,Monthly!D$14)*(1+'Attrition Modeling'!$N$8)-IFERROR(G45/G112,0)*12)/12*G112,0))</f>
        <v>0</v>
      </c>
      <c r="I177" s="799">
        <f>MIN(IF(ISERROR(VLOOKUP(I$134-$F177,$E$135:$E$165,1,FALSE)),0,H45*$C$2),MAX((IF(Monthly!E$4=TRUE,Monthly!E$13,Monthly!E$14)*(1+'Attrition Modeling'!$N$8)-IFERROR(H45/H112,0)*12)/12*H112,0))</f>
        <v>0</v>
      </c>
      <c r="J177" s="799">
        <f>MIN(IF(ISERROR(VLOOKUP(J$134-$F177,$E$135:$E$165,1,FALSE)),0,I45*$C$2),MAX((IF(Monthly!F$4=TRUE,Monthly!F$13,Monthly!F$14)*(1+'Attrition Modeling'!$N$8)-IFERROR(I45/I112,0)*12)/12*I112,0))</f>
        <v>0</v>
      </c>
      <c r="K177" s="799">
        <f>MIN(IF(ISERROR(VLOOKUP(K$134-$F177,$E$135:$E$165,1,FALSE)),0,J45*$C$2),MAX((IF(Monthly!G$4=TRUE,Monthly!G$13,Monthly!G$14)*(1+'Attrition Modeling'!$N$8)-IFERROR(J45/J112,0)*12)/12*J112,0))</f>
        <v>0</v>
      </c>
      <c r="L177" s="799">
        <f>MIN(IF(ISERROR(VLOOKUP(L$134-$F177,$E$135:$E$165,1,FALSE)),0,K45*$C$2),MAX((IF(Monthly!H$4=TRUE,Monthly!H$13,Monthly!H$14)*(1+'Attrition Modeling'!$N$8)-IFERROR(K45/K112,0)*12)/12*K112,0))</f>
        <v>0</v>
      </c>
      <c r="M177" s="799">
        <f>MIN(IF(ISERROR(VLOOKUP(M$134-$F177,$E$135:$E$165,1,FALSE)),0,L45*$C$2),MAX((IF(Monthly!I$4=TRUE,Monthly!I$13,Monthly!I$14)*(1+'Attrition Modeling'!$N$8)-IFERROR(L45/L112,0)*12)/12*L112,0))</f>
        <v>0</v>
      </c>
      <c r="N177" s="799">
        <f>MIN(IF(ISERROR(VLOOKUP(N$134-$F177,$E$135:$E$165,1,FALSE)),0,M45*$C$2),MAX((IF(Monthly!J$4=TRUE,Monthly!J$13,Monthly!J$14)*(1+'Attrition Modeling'!$N$8)-IFERROR(M45/M112,0)*12)/12*M112,0))</f>
        <v>0</v>
      </c>
      <c r="O177" s="799">
        <f>MIN(IF(ISERROR(VLOOKUP(O$134-$F177,$E$135:$E$165,1,FALSE)),0,N45*$C$2),MAX((IF(Monthly!K$4=TRUE,Monthly!K$13,Monthly!K$14)*(1+'Attrition Modeling'!$N$8)-IFERROR(N45/N112,0)*12)/12*N112,0))</f>
        <v>0</v>
      </c>
      <c r="P177" s="799">
        <f>MIN(IF(ISERROR(VLOOKUP(P$134-$F177,$E$135:$E$165,1,FALSE)),0,O45*$C$2),MAX((IF(Monthly!L$4=TRUE,Monthly!L$13,Monthly!L$14)*(1+'Attrition Modeling'!$N$8)-IFERROR(O45/O112,0)*12)/12*O112,0))</f>
        <v>0</v>
      </c>
      <c r="Q177" s="799">
        <f>MIN(IF(ISERROR(VLOOKUP(Q$134-$F177,$E$135:$E$165,1,FALSE)),0,P45*$C$2),MAX((IF(Monthly!M$4=TRUE,Monthly!M$13,Monthly!M$14)*(1+'Attrition Modeling'!$N$8)-IFERROR(P45/P112,0)*12)/12*P112,0))</f>
        <v>0</v>
      </c>
      <c r="R177" s="799">
        <f>MIN(IF(ISERROR(VLOOKUP(R$134-$F177,$E$135:$E$165,1,FALSE)),0,Q45*$C$2),MAX((IF(Monthly!N$4=TRUE,Monthly!N$13,Monthly!N$14)*(1+'Attrition Modeling'!$N$8)-IFERROR(Q45/Q112,0)*12)/12*Q112,0))</f>
        <v>0</v>
      </c>
      <c r="S177" s="799">
        <f>MIN(IF(ISERROR(VLOOKUP(S$134-$F177,$E$135:$E$165,1,FALSE)),0,R45*$C$2),MAX((IF(Monthly!O$4=TRUE,Monthly!O$13,Monthly!O$14)*(1+'Attrition Modeling'!$N$8)-IFERROR(R45/R112,0)*12)/12*R112,0))</f>
        <v>0</v>
      </c>
      <c r="T177" s="799">
        <f>MIN(IF(ISERROR(VLOOKUP(T$134-$F177,$E$135:$E$165,1,FALSE)),0,S45*$C$2),MAX((IF(Monthly!P$4=TRUE,Monthly!P$13,Monthly!P$14)*(1+'Attrition Modeling'!$N$8)-IFERROR(S45/S112,0)*12)/12*S112,0))</f>
        <v>0</v>
      </c>
      <c r="U177" s="799">
        <f>MIN(IF(ISERROR(VLOOKUP(U$134-$F177,$E$135:$E$165,1,FALSE)),0,T45*$C$2),MAX((IF(Monthly!Q$4=TRUE,Monthly!Q$13,Monthly!Q$14)*(1+'Attrition Modeling'!$N$8)-IFERROR(T45/T112,0)*12)/12*T112,0))</f>
        <v>0</v>
      </c>
      <c r="V177" s="799">
        <f>MIN(IF(ISERROR(VLOOKUP(V$134-$F177,$E$135:$E$165,1,FALSE)),0,U45*$C$2),MAX((IF(Monthly!R$4=TRUE,Monthly!R$13,Monthly!R$14)*(1+'Attrition Modeling'!$N$8)-IFERROR(U45/U112,0)*12)/12*U112,0))</f>
        <v>0</v>
      </c>
      <c r="W177" s="799">
        <f>MIN(IF(ISERROR(VLOOKUP(W$134-$F177,$E$135:$E$165,1,FALSE)),0,V45*$C$2),MAX((IF(Monthly!S$4=TRUE,Monthly!S$13,Monthly!S$14)*(1+'Attrition Modeling'!$N$8)-IFERROR(V45/V112,0)*12)/12*V112,0))</f>
        <v>0</v>
      </c>
      <c r="X177" s="799">
        <f>MIN(IF(ISERROR(VLOOKUP(X$134-$F177,$E$135:$E$165,1,FALSE)),0,W45*$C$2),MAX((IF(Monthly!T$4=TRUE,Monthly!T$13,Monthly!T$14)*(1+'Attrition Modeling'!$N$8)-IFERROR(W45/W112,0)*12)/12*W112,0))</f>
        <v>0</v>
      </c>
      <c r="Y177" s="799">
        <f>MIN(IF(ISERROR(VLOOKUP(Y$134-$F177,$E$135:$E$165,1,FALSE)),0,X45*$C$2),MAX((IF(Monthly!U$4=TRUE,Monthly!U$13,Monthly!U$14)*(1+'Attrition Modeling'!$N$8)-IFERROR(X45/X112,0)*12)/12*X112,0))</f>
        <v>0</v>
      </c>
      <c r="Z177" s="799">
        <f>MIN(IF(ISERROR(VLOOKUP(Z$134-$F177,$E$135:$E$165,1,FALSE)),0,Y45*$C$2),MAX((IF(Monthly!V$4=TRUE,Monthly!V$13,Monthly!V$14)*(1+'Attrition Modeling'!$N$8)-IFERROR(Y45/Y112,0)*12)/12*Y112,0))</f>
        <v>0</v>
      </c>
      <c r="AA177" s="799">
        <f>MIN(IF(ISERROR(VLOOKUP(AA$134-$F177,$E$135:$E$165,1,FALSE)),0,Z45*$C$2),MAX((IF(Monthly!W$4=TRUE,Monthly!W$13,Monthly!W$14)*(1+'Attrition Modeling'!$N$8)-IFERROR(Z45/Z112,0)*12)/12*Z112,0))</f>
        <v>0</v>
      </c>
      <c r="AB177" s="799">
        <f>MIN(IF(ISERROR(VLOOKUP(AB$134-$F177,$E$135:$E$165,1,FALSE)),0,AA45*$C$2),MAX((IF(Monthly!X$4=TRUE,Monthly!X$13,Monthly!X$14)*(1+'Attrition Modeling'!$N$8)-IFERROR(AA45/AA112,0)*12)/12*AA112,0))</f>
        <v>0</v>
      </c>
      <c r="AC177" s="799">
        <f>MIN(IF(ISERROR(VLOOKUP(AC$134-$F177,$E$135:$E$165,1,FALSE)),0,AB45*$C$2),MAX((IF(Monthly!Y$4=TRUE,Monthly!Y$13,Monthly!Y$14)*(1+'Attrition Modeling'!$N$8)-IFERROR(AB45/AB112,0)*12)/12*AB112,0))</f>
        <v>0</v>
      </c>
      <c r="AD177" s="799">
        <f>MIN(IF(ISERROR(VLOOKUP(AD$134-$F177,$E$135:$E$165,1,FALSE)),0,AC45*$C$2),MAX((IF(Monthly!Z$4=TRUE,Monthly!Z$13,Monthly!Z$14)*(1+'Attrition Modeling'!$N$8)-IFERROR(AC45/AC112,0)*12)/12*AC112,0))</f>
        <v>0</v>
      </c>
      <c r="AE177" s="799">
        <f>MIN(IF(ISERROR(VLOOKUP(AE$134-$F177,$E$135:$E$165,1,FALSE)),0,AD45*$C$2),MAX((IF(Monthly!AA$4=TRUE,Monthly!AA$13,Monthly!AA$14)*(1+'Attrition Modeling'!$N$8)-IFERROR(AD45/AD112,0)*12)/12*AD112,0))</f>
        <v>0</v>
      </c>
      <c r="AF177" s="799">
        <f>MIN(IF(ISERROR(VLOOKUP(AF$134-$F177,$E$135:$E$165,1,FALSE)),0,AE45*$C$2),MAX((IF(Monthly!AB$4=TRUE,Monthly!AB$13,Monthly!AB$14)*(1+'Attrition Modeling'!$N$8)-IFERROR(AE45/AE112,0)*12)/12*AE112,0))</f>
        <v>0</v>
      </c>
      <c r="AG177" s="799">
        <f>MIN(IF(ISERROR(VLOOKUP(AG$134-$F177,$E$135:$E$165,1,FALSE)),0,AF45*$C$2),MAX((IF(Monthly!AC$4=TRUE,Monthly!AC$13,Monthly!AC$14)*(1+'Attrition Modeling'!$N$8)-IFERROR(AF45/AF112,0)*12)/12*AF112,0))</f>
        <v>0</v>
      </c>
      <c r="AH177" s="799">
        <f>MIN(IF(ISERROR(VLOOKUP(AH$134-$F177,$E$135:$E$165,1,FALSE)),0,AG45*$C$2),MAX((IF(Monthly!AD$4=TRUE,Monthly!AD$13,Monthly!AD$14)*(1+'Attrition Modeling'!$N$8)-IFERROR(AG45/AG112,0)*12)/12*AG112,0))</f>
        <v>0</v>
      </c>
      <c r="AI177" s="799">
        <f>MIN(IF(ISERROR(VLOOKUP(AI$134-$F177,$E$135:$E$165,1,FALSE)),0,AH45*$C$2),MAX((IF(Monthly!AE$4=TRUE,Monthly!AE$13,Monthly!AE$14)*(1+'Attrition Modeling'!$N$8)-IFERROR(AH45/AH112,0)*12)/12*AH112,0))</f>
        <v>0</v>
      </c>
      <c r="AJ177" s="799">
        <f>MIN(IF(ISERROR(VLOOKUP(AJ$134-$F177,$E$135:$E$165,1,FALSE)),0,AI45*$C$2),MAX((IF(Monthly!AF$4=TRUE,Monthly!AF$13,Monthly!AF$14)*(1+'Attrition Modeling'!$N$8)-IFERROR(AI45/AI112,0)*12)/12*AI112,0))</f>
        <v>0</v>
      </c>
      <c r="AK177" s="799">
        <f>MIN(IF(ISERROR(VLOOKUP(AK$134-$F177,$E$135:$E$165,1,FALSE)),0,AJ45*$C$2),MAX((IF(Monthly!AG$4=TRUE,Monthly!AG$13,Monthly!AG$14)*(1+'Attrition Modeling'!$N$8)-IFERROR(AJ45/AJ112,0)*12)/12*AJ112,0))</f>
        <v>0</v>
      </c>
      <c r="AL177" s="799">
        <f>MIN(IF(ISERROR(VLOOKUP(AL$134-$F177,$E$135:$E$165,1,FALSE)),0,AK45*$C$2),MAX((IF(Monthly!AH$4=TRUE,Monthly!AH$13,Monthly!AH$14)*(1+'Attrition Modeling'!$N$8)-IFERROR(AK45/AK112,0)*12)/12*AK112,0))</f>
        <v>0</v>
      </c>
      <c r="AM177" s="799">
        <f>MIN(IF(ISERROR(VLOOKUP(AM$134-$F177,$E$135:$E$165,1,FALSE)),0,AL45*$C$2),MAX((IF(Monthly!AI$4=TRUE,Monthly!AI$13,Monthly!AI$14)*(1+'Attrition Modeling'!$N$8)-IFERROR(AL45/AL112,0)*12)/12*AL112,0))</f>
        <v>0</v>
      </c>
      <c r="AN177" s="799">
        <f>MIN(IF(ISERROR(VLOOKUP(AN$134-$F177,$E$135:$E$165,1,FALSE)),0,AM45*$C$2),MAX((IF(Monthly!AJ$4=TRUE,Monthly!AJ$13,Monthly!AJ$14)*(1+'Attrition Modeling'!$N$8)-IFERROR(AM45/AM112,0)*12)/12*AM112,0))</f>
        <v>0</v>
      </c>
      <c r="AO177" s="799">
        <f>MIN(IF(ISERROR(VLOOKUP(AO$134-$F177,$E$135:$E$165,1,FALSE)),0,AN45*$C$2),MAX((IF(Monthly!AK$4=TRUE,Monthly!AK$13,Monthly!AK$14)*(1+'Attrition Modeling'!$N$8)-IFERROR(AN45/AN112,0)*12)/12*AN112,0))</f>
        <v>0</v>
      </c>
      <c r="AP177" s="799">
        <f>MIN(IF(ISERROR(VLOOKUP(AP$134-$F177,$E$135:$E$165,1,FALSE)),0,AO45*$C$2),MAX((IF(Monthly!AL$4=TRUE,Monthly!AL$13,Monthly!AL$14)*(1+'Attrition Modeling'!$N$8)-IFERROR(AO45/AO112,0)*12)/12*AO112,0))</f>
        <v>0</v>
      </c>
      <c r="AQ177" s="799">
        <f>MIN(IF(ISERROR(VLOOKUP(AQ$134-$F177,$E$135:$E$165,1,FALSE)),0,AP45*$C$2),MAX((IF(Monthly!AM$4=TRUE,Monthly!AM$13,Monthly!AM$14)*(1+'Attrition Modeling'!$N$8)-IFERROR(AP45/AP112,0)*12)/12*AP112,0))</f>
        <v>0</v>
      </c>
      <c r="AR177" s="799">
        <f>MIN(IF(ISERROR(VLOOKUP(AR$134-$F177,$E$135:$E$165,1,FALSE)),0,AQ45*$C$2),MAX((IF(Monthly!AN$4=TRUE,Monthly!AN$13,Monthly!AN$14)*(1+'Attrition Modeling'!$N$8)-IFERROR(AQ45/AQ112,0)*12)/12*AQ112,0))</f>
        <v>0</v>
      </c>
      <c r="AS177" s="799">
        <f>MIN(IF(ISERROR(VLOOKUP(AS$134-$F177,$E$135:$E$165,1,FALSE)),0,AR45*$C$2),MAX((IF(Monthly!AO$4=TRUE,Monthly!AO$13,Monthly!AO$14)*(1+'Attrition Modeling'!$N$8)-IFERROR(AR45/AR112,0)*12)/12*AR112,0))</f>
        <v>0</v>
      </c>
      <c r="AT177" s="799">
        <f>MIN(IF(ISERROR(VLOOKUP(AT$134-$F177,$E$135:$E$165,1,FALSE)),0,AS45*$C$2),MAX((IF(Monthly!AP$4=TRUE,Monthly!AP$13,Monthly!AP$14)*(1+'Attrition Modeling'!$N$8)-IFERROR(AS45/AS112,0)*12)/12*AS112,0))</f>
        <v>0</v>
      </c>
      <c r="AU177" s="799">
        <f>MIN(IF(ISERROR(VLOOKUP(AU$134-$F177,$E$135:$E$165,1,FALSE)),0,AT45*$C$2),MAX((IF(Monthly!AQ$4=TRUE,Monthly!AQ$13,Monthly!AQ$14)*(1+'Attrition Modeling'!$N$8)-IFERROR(AT45/AT112,0)*12)/12*AT112,0))</f>
        <v>0</v>
      </c>
      <c r="AV177" s="799">
        <f>MIN(IF(ISERROR(VLOOKUP(AV$134-$F177,$E$135:$E$165,1,FALSE)),0,AU45*$C$2),MAX((IF(Monthly!AR$4=TRUE,Monthly!AR$13,Monthly!AR$14)*(1+'Attrition Modeling'!$N$8)-IFERROR(AU45/AU112,0)*12)/12*AU112,0))</f>
        <v>0</v>
      </c>
      <c r="AW177" s="799">
        <f>MIN(IF(ISERROR(VLOOKUP(AW$134-$F177,$E$135:$E$165,1,FALSE)),0,AV45*$C$2),MAX((IF(Monthly!AS$4=TRUE,Monthly!AS$13,Monthly!AS$14)*(1+'Attrition Modeling'!$N$8)-IFERROR(AV45/AV112,0)*12)/12*AV112,0))</f>
        <v>0</v>
      </c>
      <c r="AX177" s="799">
        <f>MIN(IF(ISERROR(VLOOKUP(AX$134-$F177,$E$135:$E$165,1,FALSE)),0,AW45*$C$2),MAX((IF(Monthly!AT$4=TRUE,Monthly!AT$13,Monthly!AT$14)*(1+'Attrition Modeling'!$N$8)-IFERROR(AW45/AW112,0)*12)/12*AW112,0))</f>
        <v>0</v>
      </c>
      <c r="AY177" s="799">
        <f>MIN(IF(ISERROR(VLOOKUP(AY$134-$F177,$E$135:$E$165,1,FALSE)),0,AX45*$C$2),MAX((IF(Monthly!AU$4=TRUE,Monthly!AU$13,Monthly!AU$14)*(1+'Attrition Modeling'!$N$8)-IFERROR(AX45/AX112,0)*12)/12*AX112,0))</f>
        <v>0</v>
      </c>
      <c r="AZ177" s="799">
        <f>MIN(IF(ISERROR(VLOOKUP(AZ$134-$F177,$E$135:$E$165,1,FALSE)),0,AY45*$C$2),MAX((IF(Monthly!AV$4=TRUE,Monthly!AV$13,Monthly!AV$14)*(1+'Attrition Modeling'!$N$8)-IFERROR(AY45/AY112,0)*12)/12*AY112,0))</f>
        <v>0</v>
      </c>
      <c r="BA177" s="799">
        <f>MIN(IF(ISERROR(VLOOKUP(BA$134-$F177,$E$135:$E$165,1,FALSE)),0,AZ45*$C$2),MAX((IF(Monthly!AW$4=TRUE,Monthly!AW$13,Monthly!AW$14)*(1+'Attrition Modeling'!$N$8)-IFERROR(AZ45/AZ112,0)*12)/12*AZ112,0))</f>
        <v>0</v>
      </c>
      <c r="BB177" s="799">
        <f>MIN(IF(ISERROR(VLOOKUP(BB$134-$F177,$E$135:$E$165,1,FALSE)),0,BA45*$C$2),MAX((IF(Monthly!AX$4=TRUE,Monthly!AX$13,Monthly!AX$14)*(1+'Attrition Modeling'!$N$8)-IFERROR(BA45/BA112,0)*12)/12*BA112,0))</f>
        <v>0</v>
      </c>
      <c r="BC177" s="799">
        <f>MIN(IF(ISERROR(VLOOKUP(BC$134-$F177,$E$135:$E$165,1,FALSE)),0,BB45*$C$2),MAX((IF(Monthly!AY$4=TRUE,Monthly!AY$13,Monthly!AY$14)*(1+'Attrition Modeling'!$N$8)-IFERROR(BB45/BB112,0)*12)/12*BB112,0))</f>
        <v>718.6345762179551</v>
      </c>
      <c r="BD177" s="799">
        <f>MIN(IF(ISERROR(VLOOKUP(BD$134-$F177,$E$135:$E$165,1,FALSE)),0,BC45*$C$2),MAX((IF(Monthly!AZ$4=TRUE,Monthly!AZ$13,Monthly!AZ$14)*(1+'Attrition Modeling'!$N$8)-IFERROR(BC45/BC112,0)*12)/12*BC112,0))</f>
        <v>0</v>
      </c>
      <c r="BE177" s="799">
        <f>MIN(IF(ISERROR(VLOOKUP(BE$134-$F177,$E$135:$E$165,1,FALSE)),0,BD45*$C$2),MAX((IF(Monthly!BA$4=TRUE,Monthly!BA$13,Monthly!BA$14)*(1+'Attrition Modeling'!$N$8)-IFERROR(BD45/BD112,0)*12)/12*BD112,0))</f>
        <v>0</v>
      </c>
      <c r="BF177" s="799">
        <f>MIN(IF(ISERROR(VLOOKUP(BF$134-$F177,$E$135:$E$165,1,FALSE)),0,BE45*$C$2),MAX((IF(Monthly!BB$4=TRUE,Monthly!BB$13,Monthly!BB$14)*(1+'Attrition Modeling'!$N$8)-IFERROR(BE45/BE112,0)*12)/12*BE112,0))</f>
        <v>0</v>
      </c>
      <c r="BG177" s="799">
        <f>MIN(IF(ISERROR(VLOOKUP(BG$134-$F177,$E$135:$E$165,1,FALSE)),0,BF45*$C$2),MAX((IF(Monthly!BC$4=TRUE,Monthly!BC$13,Monthly!BC$14)*(1+'Attrition Modeling'!$N$8)-IFERROR(BF45/BF112,0)*12)/12*BF112,0))</f>
        <v>0</v>
      </c>
      <c r="BH177" s="799">
        <f>MIN(IF(ISERROR(VLOOKUP(BH$134-$F177,$E$135:$E$165,1,FALSE)),0,BG45*$C$2),MAX((IF(Monthly!BD$4=TRUE,Monthly!BD$13,Monthly!BD$14)*(1+'Attrition Modeling'!$N$8)-IFERROR(BG45/BG112,0)*12)/12*BG112,0))</f>
        <v>0</v>
      </c>
      <c r="BI177" s="799">
        <f>MIN(IF(ISERROR(VLOOKUP(BI$134-$F177,$E$135:$E$165,1,FALSE)),0,BH45*$C$2),MAX((IF(Monthly!BE$4=TRUE,Monthly!BE$13,Monthly!BE$14)*(1+'Attrition Modeling'!$N$8)-IFERROR(BH45/BH112,0)*12)/12*BH112,0))</f>
        <v>0</v>
      </c>
      <c r="BJ177" s="799">
        <f>MIN(IF(ISERROR(VLOOKUP(BJ$134-$F177,$E$135:$E$165,1,FALSE)),0,BI45*$C$2),MAX((IF(Monthly!BF$4=TRUE,Monthly!BF$13,Monthly!BF$14)*(1+'Attrition Modeling'!$N$8)-IFERROR(BI45/BI112,0)*12)/12*BI112,0))</f>
        <v>0</v>
      </c>
      <c r="BK177" s="799">
        <f>MIN(IF(ISERROR(VLOOKUP(BK$134-$F177,$E$135:$E$165,1,FALSE)),0,BJ45*$C$2),MAX((IF(Monthly!BG$4=TRUE,Monthly!BG$13,Monthly!BG$14)*(1+'Attrition Modeling'!$N$8)-IFERROR(BJ45/BJ112,0)*12)/12*BJ112,0))</f>
        <v>0</v>
      </c>
      <c r="BL177" s="799">
        <f>MIN(IF(ISERROR(VLOOKUP(BL$134-$F177,$E$135:$E$165,1,FALSE)),0,BK45*$C$2),MAX((IF(Monthly!BH$4=TRUE,Monthly!BH$13,Monthly!BH$14)*(1+'Attrition Modeling'!$N$8)-IFERROR(BK45/BK112,0)*12)/12*BK112,0))</f>
        <v>0</v>
      </c>
      <c r="BM177" s="799">
        <f>MIN(IF(ISERROR(VLOOKUP(BM$134-$F177,$E$135:$E$165,1,FALSE)),0,BL45*$C$2),MAX((IF(Monthly!BI$4=TRUE,Monthly!BI$13,Monthly!BI$14)*(1+'Attrition Modeling'!$N$8)-IFERROR(BL45/BL112,0)*12)/12*BL112,0))</f>
        <v>0</v>
      </c>
      <c r="BN177" s="799">
        <f>MIN(IF(ISERROR(VLOOKUP(BN$134-$F177,$E$135:$E$165,1,FALSE)),0,BM45*$C$2),MAX((IF(Monthly!BJ$4=TRUE,Monthly!BJ$13,Monthly!BJ$14)*(1+'Attrition Modeling'!$N$8)-IFERROR(BM45/BM112,0)*12)/12*BM112,0))</f>
        <v>0</v>
      </c>
      <c r="BO177" s="799">
        <f>MIN(IF(ISERROR(VLOOKUP(BO$134-$F177,$E$135:$E$165,1,FALSE)),0,BN45*$C$2),MAX((IF(Monthly!BK$4=TRUE,Monthly!BK$13,Monthly!BK$14)*(1+'Attrition Modeling'!$N$8)-IFERROR(BN45/BN112,0)*12)/12*BN112,0))</f>
        <v>383.55113668247765</v>
      </c>
      <c r="BP177" s="799">
        <f>MIN(IF(ISERROR(VLOOKUP(BP$134-$F177,$E$135:$E$165,1,FALSE)),0,BO45*$C$2),MAX((IF(Monthly!BP$4=TRUE,Monthly!BP$13,Monthly!BP$14)*(1+'Attrition Modeling'!$N$8)-IFERROR(BO45/BO112,0)*12)/12*BO112,0))</f>
        <v>0</v>
      </c>
      <c r="BQ177" s="799">
        <f>MIN(IF(ISERROR(VLOOKUP(BQ$134-$F177,$E$135:$E$165,1,FALSE)),0,BP45*$C$2),MAX((IF(Monthly!BQ$4=TRUE,Monthly!BQ$13,Monthly!BQ$14)*(1+'Attrition Modeling'!$N$8)-IFERROR(BP45/BP112,0)*12)/12*BP112,0))</f>
        <v>0</v>
      </c>
      <c r="BR177" s="799">
        <f>MIN(IF(ISERROR(VLOOKUP(BR$134-$F177,$E$135:$E$165,1,FALSE)),0,BQ45*$C$2),MAX((IF(Monthly!BR$4=TRUE,Monthly!BR$13,Monthly!BR$14)*(1+'Attrition Modeling'!$N$8)-IFERROR(BQ45/BQ112,0)*12)/12*BQ112,0))</f>
        <v>0</v>
      </c>
      <c r="BS177" s="799">
        <f>MIN(IF(ISERROR(VLOOKUP(BS$134-$F177,$E$135:$E$165,1,FALSE)),0,BR45*$C$2),MAX((IF(Monthly!BS$4=TRUE,Monthly!BS$13,Monthly!BS$14)*(1+'Attrition Modeling'!$N$8)-IFERROR(BR45/BR112,0)*12)/12*BR112,0))</f>
        <v>0</v>
      </c>
      <c r="BT177" s="799">
        <f>MIN(IF(ISERROR(VLOOKUP(BT$134-$F177,$E$135:$E$165,1,FALSE)),0,BS45*$C$2),MAX((IF(Monthly!BT$4=TRUE,Monthly!BT$13,Monthly!BT$14)*(1+'Attrition Modeling'!$N$8)-IFERROR(BS45/BS112,0)*12)/12*BS112,0))</f>
        <v>0</v>
      </c>
      <c r="BU177" s="799">
        <f>MIN(IF(ISERROR(VLOOKUP(BU$134-$F177,$E$135:$E$165,1,FALSE)),0,BT45*$C$2),MAX((IF(Monthly!BU$4=TRUE,Monthly!BU$13,Monthly!BU$14)*(1+'Attrition Modeling'!$N$8)-IFERROR(BT45/BT112,0)*12)/12*BT112,0))</f>
        <v>0</v>
      </c>
    </row>
    <row r="178" spans="5:73" ht="14.25" customHeight="1" x14ac:dyDescent="0.2">
      <c r="E178" s="25"/>
      <c r="F178" s="11">
        <f t="shared" si="14"/>
        <v>43</v>
      </c>
      <c r="G178" s="799"/>
      <c r="H178" s="799">
        <f>MIN(IF(ISERROR(VLOOKUP(H$134-$F178,$E$135:$E$165,1,FALSE)),0,G46*$C$2),MAX((IF(Monthly!D$4=TRUE,Monthly!D$13,Monthly!D$14)*(1+'Attrition Modeling'!$N$8)-IFERROR(G46/G113,0)*12)/12*G113,0))</f>
        <v>0</v>
      </c>
      <c r="I178" s="799">
        <f>MIN(IF(ISERROR(VLOOKUP(I$134-$F178,$E$135:$E$165,1,FALSE)),0,H46*$C$2),MAX((IF(Monthly!E$4=TRUE,Monthly!E$13,Monthly!E$14)*(1+'Attrition Modeling'!$N$8)-IFERROR(H46/H113,0)*12)/12*H113,0))</f>
        <v>0</v>
      </c>
      <c r="J178" s="799">
        <f>MIN(IF(ISERROR(VLOOKUP(J$134-$F178,$E$135:$E$165,1,FALSE)),0,I46*$C$2),MAX((IF(Monthly!F$4=TRUE,Monthly!F$13,Monthly!F$14)*(1+'Attrition Modeling'!$N$8)-IFERROR(I46/I113,0)*12)/12*I113,0))</f>
        <v>0</v>
      </c>
      <c r="K178" s="799">
        <f>MIN(IF(ISERROR(VLOOKUP(K$134-$F178,$E$135:$E$165,1,FALSE)),0,J46*$C$2),MAX((IF(Monthly!G$4=TRUE,Monthly!G$13,Monthly!G$14)*(1+'Attrition Modeling'!$N$8)-IFERROR(J46/J113,0)*12)/12*J113,0))</f>
        <v>0</v>
      </c>
      <c r="L178" s="799">
        <f>MIN(IF(ISERROR(VLOOKUP(L$134-$F178,$E$135:$E$165,1,FALSE)),0,K46*$C$2),MAX((IF(Monthly!H$4=TRUE,Monthly!H$13,Monthly!H$14)*(1+'Attrition Modeling'!$N$8)-IFERROR(K46/K113,0)*12)/12*K113,0))</f>
        <v>0</v>
      </c>
      <c r="M178" s="799">
        <f>MIN(IF(ISERROR(VLOOKUP(M$134-$F178,$E$135:$E$165,1,FALSE)),0,L46*$C$2),MAX((IF(Monthly!I$4=TRUE,Monthly!I$13,Monthly!I$14)*(1+'Attrition Modeling'!$N$8)-IFERROR(L46/L113,0)*12)/12*L113,0))</f>
        <v>0</v>
      </c>
      <c r="N178" s="799">
        <f>MIN(IF(ISERROR(VLOOKUP(N$134-$F178,$E$135:$E$165,1,FALSE)),0,M46*$C$2),MAX((IF(Monthly!J$4=TRUE,Monthly!J$13,Monthly!J$14)*(1+'Attrition Modeling'!$N$8)-IFERROR(M46/M113,0)*12)/12*M113,0))</f>
        <v>0</v>
      </c>
      <c r="O178" s="799">
        <f>MIN(IF(ISERROR(VLOOKUP(O$134-$F178,$E$135:$E$165,1,FALSE)),0,N46*$C$2),MAX((IF(Monthly!K$4=TRUE,Monthly!K$13,Monthly!K$14)*(1+'Attrition Modeling'!$N$8)-IFERROR(N46/N113,0)*12)/12*N113,0))</f>
        <v>0</v>
      </c>
      <c r="P178" s="799">
        <f>MIN(IF(ISERROR(VLOOKUP(P$134-$F178,$E$135:$E$165,1,FALSE)),0,O46*$C$2),MAX((IF(Monthly!L$4=TRUE,Monthly!L$13,Monthly!L$14)*(1+'Attrition Modeling'!$N$8)-IFERROR(O46/O113,0)*12)/12*O113,0))</f>
        <v>0</v>
      </c>
      <c r="Q178" s="799">
        <f>MIN(IF(ISERROR(VLOOKUP(Q$134-$F178,$E$135:$E$165,1,FALSE)),0,P46*$C$2),MAX((IF(Monthly!M$4=TRUE,Monthly!M$13,Monthly!M$14)*(1+'Attrition Modeling'!$N$8)-IFERROR(P46/P113,0)*12)/12*P113,0))</f>
        <v>0</v>
      </c>
      <c r="R178" s="799">
        <f>MIN(IF(ISERROR(VLOOKUP(R$134-$F178,$E$135:$E$165,1,FALSE)),0,Q46*$C$2),MAX((IF(Monthly!N$4=TRUE,Monthly!N$13,Monthly!N$14)*(1+'Attrition Modeling'!$N$8)-IFERROR(Q46/Q113,0)*12)/12*Q113,0))</f>
        <v>0</v>
      </c>
      <c r="S178" s="799">
        <f>MIN(IF(ISERROR(VLOOKUP(S$134-$F178,$E$135:$E$165,1,FALSE)),0,R46*$C$2),MAX((IF(Monthly!O$4=TRUE,Monthly!O$13,Monthly!O$14)*(1+'Attrition Modeling'!$N$8)-IFERROR(R46/R113,0)*12)/12*R113,0))</f>
        <v>0</v>
      </c>
      <c r="T178" s="799">
        <f>MIN(IF(ISERROR(VLOOKUP(T$134-$F178,$E$135:$E$165,1,FALSE)),0,S46*$C$2),MAX((IF(Monthly!P$4=TRUE,Monthly!P$13,Monthly!P$14)*(1+'Attrition Modeling'!$N$8)-IFERROR(S46/S113,0)*12)/12*S113,0))</f>
        <v>0</v>
      </c>
      <c r="U178" s="799">
        <f>MIN(IF(ISERROR(VLOOKUP(U$134-$F178,$E$135:$E$165,1,FALSE)),0,T46*$C$2),MAX((IF(Monthly!Q$4=TRUE,Monthly!Q$13,Monthly!Q$14)*(1+'Attrition Modeling'!$N$8)-IFERROR(T46/T113,0)*12)/12*T113,0))</f>
        <v>0</v>
      </c>
      <c r="V178" s="799">
        <f>MIN(IF(ISERROR(VLOOKUP(V$134-$F178,$E$135:$E$165,1,FALSE)),0,U46*$C$2),MAX((IF(Monthly!R$4=TRUE,Monthly!R$13,Monthly!R$14)*(1+'Attrition Modeling'!$N$8)-IFERROR(U46/U113,0)*12)/12*U113,0))</f>
        <v>0</v>
      </c>
      <c r="W178" s="799">
        <f>MIN(IF(ISERROR(VLOOKUP(W$134-$F178,$E$135:$E$165,1,FALSE)),0,V46*$C$2),MAX((IF(Monthly!S$4=TRUE,Monthly!S$13,Monthly!S$14)*(1+'Attrition Modeling'!$N$8)-IFERROR(V46/V113,0)*12)/12*V113,0))</f>
        <v>0</v>
      </c>
      <c r="X178" s="799">
        <f>MIN(IF(ISERROR(VLOOKUP(X$134-$F178,$E$135:$E$165,1,FALSE)),0,W46*$C$2),MAX((IF(Monthly!T$4=TRUE,Monthly!T$13,Monthly!T$14)*(1+'Attrition Modeling'!$N$8)-IFERROR(W46/W113,0)*12)/12*W113,0))</f>
        <v>0</v>
      </c>
      <c r="Y178" s="799">
        <f>MIN(IF(ISERROR(VLOOKUP(Y$134-$F178,$E$135:$E$165,1,FALSE)),0,X46*$C$2),MAX((IF(Monthly!U$4=TRUE,Monthly!U$13,Monthly!U$14)*(1+'Attrition Modeling'!$N$8)-IFERROR(X46/X113,0)*12)/12*X113,0))</f>
        <v>0</v>
      </c>
      <c r="Z178" s="799">
        <f>MIN(IF(ISERROR(VLOOKUP(Z$134-$F178,$E$135:$E$165,1,FALSE)),0,Y46*$C$2),MAX((IF(Monthly!V$4=TRUE,Monthly!V$13,Monthly!V$14)*(1+'Attrition Modeling'!$N$8)-IFERROR(Y46/Y113,0)*12)/12*Y113,0))</f>
        <v>0</v>
      </c>
      <c r="AA178" s="799">
        <f>MIN(IF(ISERROR(VLOOKUP(AA$134-$F178,$E$135:$E$165,1,FALSE)),0,Z46*$C$2),MAX((IF(Monthly!W$4=TRUE,Monthly!W$13,Monthly!W$14)*(1+'Attrition Modeling'!$N$8)-IFERROR(Z46/Z113,0)*12)/12*Z113,0))</f>
        <v>0</v>
      </c>
      <c r="AB178" s="799">
        <f>MIN(IF(ISERROR(VLOOKUP(AB$134-$F178,$E$135:$E$165,1,FALSE)),0,AA46*$C$2),MAX((IF(Monthly!X$4=TRUE,Monthly!X$13,Monthly!X$14)*(1+'Attrition Modeling'!$N$8)-IFERROR(AA46/AA113,0)*12)/12*AA113,0))</f>
        <v>0</v>
      </c>
      <c r="AC178" s="799">
        <f>MIN(IF(ISERROR(VLOOKUP(AC$134-$F178,$E$135:$E$165,1,FALSE)),0,AB46*$C$2),MAX((IF(Monthly!Y$4=TRUE,Monthly!Y$13,Monthly!Y$14)*(1+'Attrition Modeling'!$N$8)-IFERROR(AB46/AB113,0)*12)/12*AB113,0))</f>
        <v>0</v>
      </c>
      <c r="AD178" s="799">
        <f>MIN(IF(ISERROR(VLOOKUP(AD$134-$F178,$E$135:$E$165,1,FALSE)),0,AC46*$C$2),MAX((IF(Monthly!Z$4=TRUE,Monthly!Z$13,Monthly!Z$14)*(1+'Attrition Modeling'!$N$8)-IFERROR(AC46/AC113,0)*12)/12*AC113,0))</f>
        <v>0</v>
      </c>
      <c r="AE178" s="799">
        <f>MIN(IF(ISERROR(VLOOKUP(AE$134-$F178,$E$135:$E$165,1,FALSE)),0,AD46*$C$2),MAX((IF(Monthly!AA$4=TRUE,Monthly!AA$13,Monthly!AA$14)*(1+'Attrition Modeling'!$N$8)-IFERROR(AD46/AD113,0)*12)/12*AD113,0))</f>
        <v>0</v>
      </c>
      <c r="AF178" s="799">
        <f>MIN(IF(ISERROR(VLOOKUP(AF$134-$F178,$E$135:$E$165,1,FALSE)),0,AE46*$C$2),MAX((IF(Monthly!AB$4=TRUE,Monthly!AB$13,Monthly!AB$14)*(1+'Attrition Modeling'!$N$8)-IFERROR(AE46/AE113,0)*12)/12*AE113,0))</f>
        <v>0</v>
      </c>
      <c r="AG178" s="799">
        <f>MIN(IF(ISERROR(VLOOKUP(AG$134-$F178,$E$135:$E$165,1,FALSE)),0,AF46*$C$2),MAX((IF(Monthly!AC$4=TRUE,Monthly!AC$13,Monthly!AC$14)*(1+'Attrition Modeling'!$N$8)-IFERROR(AF46/AF113,0)*12)/12*AF113,0))</f>
        <v>0</v>
      </c>
      <c r="AH178" s="799">
        <f>MIN(IF(ISERROR(VLOOKUP(AH$134-$F178,$E$135:$E$165,1,FALSE)),0,AG46*$C$2),MAX((IF(Monthly!AD$4=TRUE,Monthly!AD$13,Monthly!AD$14)*(1+'Attrition Modeling'!$N$8)-IFERROR(AG46/AG113,0)*12)/12*AG113,0))</f>
        <v>0</v>
      </c>
      <c r="AI178" s="799">
        <f>MIN(IF(ISERROR(VLOOKUP(AI$134-$F178,$E$135:$E$165,1,FALSE)),0,AH46*$C$2),MAX((IF(Monthly!AE$4=TRUE,Monthly!AE$13,Monthly!AE$14)*(1+'Attrition Modeling'!$N$8)-IFERROR(AH46/AH113,0)*12)/12*AH113,0))</f>
        <v>0</v>
      </c>
      <c r="AJ178" s="799">
        <f>MIN(IF(ISERROR(VLOOKUP(AJ$134-$F178,$E$135:$E$165,1,FALSE)),0,AI46*$C$2),MAX((IF(Monthly!AF$4=TRUE,Monthly!AF$13,Monthly!AF$14)*(1+'Attrition Modeling'!$N$8)-IFERROR(AI46/AI113,0)*12)/12*AI113,0))</f>
        <v>0</v>
      </c>
      <c r="AK178" s="799">
        <f>MIN(IF(ISERROR(VLOOKUP(AK$134-$F178,$E$135:$E$165,1,FALSE)),0,AJ46*$C$2),MAX((IF(Monthly!AG$4=TRUE,Monthly!AG$13,Monthly!AG$14)*(1+'Attrition Modeling'!$N$8)-IFERROR(AJ46/AJ113,0)*12)/12*AJ113,0))</f>
        <v>0</v>
      </c>
      <c r="AL178" s="799">
        <f>MIN(IF(ISERROR(VLOOKUP(AL$134-$F178,$E$135:$E$165,1,FALSE)),0,AK46*$C$2),MAX((IF(Monthly!AH$4=TRUE,Monthly!AH$13,Monthly!AH$14)*(1+'Attrition Modeling'!$N$8)-IFERROR(AK46/AK113,0)*12)/12*AK113,0))</f>
        <v>0</v>
      </c>
      <c r="AM178" s="799">
        <f>MIN(IF(ISERROR(VLOOKUP(AM$134-$F178,$E$135:$E$165,1,FALSE)),0,AL46*$C$2),MAX((IF(Monthly!AI$4=TRUE,Monthly!AI$13,Monthly!AI$14)*(1+'Attrition Modeling'!$N$8)-IFERROR(AL46/AL113,0)*12)/12*AL113,0))</f>
        <v>0</v>
      </c>
      <c r="AN178" s="799">
        <f>MIN(IF(ISERROR(VLOOKUP(AN$134-$F178,$E$135:$E$165,1,FALSE)),0,AM46*$C$2),MAX((IF(Monthly!AJ$4=TRUE,Monthly!AJ$13,Monthly!AJ$14)*(1+'Attrition Modeling'!$N$8)-IFERROR(AM46/AM113,0)*12)/12*AM113,0))</f>
        <v>0</v>
      </c>
      <c r="AO178" s="799">
        <f>MIN(IF(ISERROR(VLOOKUP(AO$134-$F178,$E$135:$E$165,1,FALSE)),0,AN46*$C$2),MAX((IF(Monthly!AK$4=TRUE,Monthly!AK$13,Monthly!AK$14)*(1+'Attrition Modeling'!$N$8)-IFERROR(AN46/AN113,0)*12)/12*AN113,0))</f>
        <v>0</v>
      </c>
      <c r="AP178" s="799">
        <f>MIN(IF(ISERROR(VLOOKUP(AP$134-$F178,$E$135:$E$165,1,FALSE)),0,AO46*$C$2),MAX((IF(Monthly!AL$4=TRUE,Monthly!AL$13,Monthly!AL$14)*(1+'Attrition Modeling'!$N$8)-IFERROR(AO46/AO113,0)*12)/12*AO113,0))</f>
        <v>0</v>
      </c>
      <c r="AQ178" s="799">
        <f>MIN(IF(ISERROR(VLOOKUP(AQ$134-$F178,$E$135:$E$165,1,FALSE)),0,AP46*$C$2),MAX((IF(Monthly!AM$4=TRUE,Monthly!AM$13,Monthly!AM$14)*(1+'Attrition Modeling'!$N$8)-IFERROR(AP46/AP113,0)*12)/12*AP113,0))</f>
        <v>0</v>
      </c>
      <c r="AR178" s="799">
        <f>MIN(IF(ISERROR(VLOOKUP(AR$134-$F178,$E$135:$E$165,1,FALSE)),0,AQ46*$C$2),MAX((IF(Monthly!AN$4=TRUE,Monthly!AN$13,Monthly!AN$14)*(1+'Attrition Modeling'!$N$8)-IFERROR(AQ46/AQ113,0)*12)/12*AQ113,0))</f>
        <v>0</v>
      </c>
      <c r="AS178" s="799">
        <f>MIN(IF(ISERROR(VLOOKUP(AS$134-$F178,$E$135:$E$165,1,FALSE)),0,AR46*$C$2),MAX((IF(Monthly!AO$4=TRUE,Monthly!AO$13,Monthly!AO$14)*(1+'Attrition Modeling'!$N$8)-IFERROR(AR46/AR113,0)*12)/12*AR113,0))</f>
        <v>0</v>
      </c>
      <c r="AT178" s="799">
        <f>MIN(IF(ISERROR(VLOOKUP(AT$134-$F178,$E$135:$E$165,1,FALSE)),0,AS46*$C$2),MAX((IF(Monthly!AP$4=TRUE,Monthly!AP$13,Monthly!AP$14)*(1+'Attrition Modeling'!$N$8)-IFERROR(AS46/AS113,0)*12)/12*AS113,0))</f>
        <v>0</v>
      </c>
      <c r="AU178" s="799">
        <f>MIN(IF(ISERROR(VLOOKUP(AU$134-$F178,$E$135:$E$165,1,FALSE)),0,AT46*$C$2),MAX((IF(Monthly!AQ$4=TRUE,Monthly!AQ$13,Monthly!AQ$14)*(1+'Attrition Modeling'!$N$8)-IFERROR(AT46/AT113,0)*12)/12*AT113,0))</f>
        <v>0</v>
      </c>
      <c r="AV178" s="799">
        <f>MIN(IF(ISERROR(VLOOKUP(AV$134-$F178,$E$135:$E$165,1,FALSE)),0,AU46*$C$2),MAX((IF(Monthly!AR$4=TRUE,Monthly!AR$13,Monthly!AR$14)*(1+'Attrition Modeling'!$N$8)-IFERROR(AU46/AU113,0)*12)/12*AU113,0))</f>
        <v>0</v>
      </c>
      <c r="AW178" s="799">
        <f>MIN(IF(ISERROR(VLOOKUP(AW$134-$F178,$E$135:$E$165,1,FALSE)),0,AV46*$C$2),MAX((IF(Monthly!AS$4=TRUE,Monthly!AS$13,Monthly!AS$14)*(1+'Attrition Modeling'!$N$8)-IFERROR(AV46/AV113,0)*12)/12*AV113,0))</f>
        <v>0</v>
      </c>
      <c r="AX178" s="799">
        <f>MIN(IF(ISERROR(VLOOKUP(AX$134-$F178,$E$135:$E$165,1,FALSE)),0,AW46*$C$2),MAX((IF(Monthly!AT$4=TRUE,Monthly!AT$13,Monthly!AT$14)*(1+'Attrition Modeling'!$N$8)-IFERROR(AW46/AW113,0)*12)/12*AW113,0))</f>
        <v>0</v>
      </c>
      <c r="AY178" s="799">
        <f>MIN(IF(ISERROR(VLOOKUP(AY$134-$F178,$E$135:$E$165,1,FALSE)),0,AX46*$C$2),MAX((IF(Monthly!AU$4=TRUE,Monthly!AU$13,Monthly!AU$14)*(1+'Attrition Modeling'!$N$8)-IFERROR(AX46/AX113,0)*12)/12*AX113,0))</f>
        <v>0</v>
      </c>
      <c r="AZ178" s="799">
        <f>MIN(IF(ISERROR(VLOOKUP(AZ$134-$F178,$E$135:$E$165,1,FALSE)),0,AY46*$C$2),MAX((IF(Monthly!AV$4=TRUE,Monthly!AV$13,Monthly!AV$14)*(1+'Attrition Modeling'!$N$8)-IFERROR(AY46/AY113,0)*12)/12*AY113,0))</f>
        <v>0</v>
      </c>
      <c r="BA178" s="799">
        <f>MIN(IF(ISERROR(VLOOKUP(BA$134-$F178,$E$135:$E$165,1,FALSE)),0,AZ46*$C$2),MAX((IF(Monthly!AW$4=TRUE,Monthly!AW$13,Monthly!AW$14)*(1+'Attrition Modeling'!$N$8)-IFERROR(AZ46/AZ113,0)*12)/12*AZ113,0))</f>
        <v>0</v>
      </c>
      <c r="BB178" s="799">
        <f>MIN(IF(ISERROR(VLOOKUP(BB$134-$F178,$E$135:$E$165,1,FALSE)),0,BA46*$C$2),MAX((IF(Monthly!AX$4=TRUE,Monthly!AX$13,Monthly!AX$14)*(1+'Attrition Modeling'!$N$8)-IFERROR(BA46/BA113,0)*12)/12*BA113,0))</f>
        <v>0</v>
      </c>
      <c r="BC178" s="799">
        <f>MIN(IF(ISERROR(VLOOKUP(BC$134-$F178,$E$135:$E$165,1,FALSE)),0,BB46*$C$2),MAX((IF(Monthly!AY$4=TRUE,Monthly!AY$13,Monthly!AY$14)*(1+'Attrition Modeling'!$N$8)-IFERROR(BB46/BB113,0)*12)/12*BB113,0))</f>
        <v>0</v>
      </c>
      <c r="BD178" s="799">
        <f>MIN(IF(ISERROR(VLOOKUP(BD$134-$F178,$E$135:$E$165,1,FALSE)),0,BC46*$C$2),MAX((IF(Monthly!AZ$4=TRUE,Monthly!AZ$13,Monthly!AZ$14)*(1+'Attrition Modeling'!$N$8)-IFERROR(BC46/BC113,0)*12)/12*BC113,0))</f>
        <v>647.15149355304982</v>
      </c>
      <c r="BE178" s="799">
        <f>MIN(IF(ISERROR(VLOOKUP(BE$134-$F178,$E$135:$E$165,1,FALSE)),0,BD46*$C$2),MAX((IF(Monthly!BA$4=TRUE,Monthly!BA$13,Monthly!BA$14)*(1+'Attrition Modeling'!$N$8)-IFERROR(BD46/BD113,0)*12)/12*BD113,0))</f>
        <v>0</v>
      </c>
      <c r="BF178" s="799">
        <f>MIN(IF(ISERROR(VLOOKUP(BF$134-$F178,$E$135:$E$165,1,FALSE)),0,BE46*$C$2),MAX((IF(Monthly!BB$4=TRUE,Monthly!BB$13,Monthly!BB$14)*(1+'Attrition Modeling'!$N$8)-IFERROR(BE46/BE113,0)*12)/12*BE113,0))</f>
        <v>0</v>
      </c>
      <c r="BG178" s="799">
        <f>MIN(IF(ISERROR(VLOOKUP(BG$134-$F178,$E$135:$E$165,1,FALSE)),0,BF46*$C$2),MAX((IF(Monthly!BC$4=TRUE,Monthly!BC$13,Monthly!BC$14)*(1+'Attrition Modeling'!$N$8)-IFERROR(BF46/BF113,0)*12)/12*BF113,0))</f>
        <v>0</v>
      </c>
      <c r="BH178" s="799">
        <f>MIN(IF(ISERROR(VLOOKUP(BH$134-$F178,$E$135:$E$165,1,FALSE)),0,BG46*$C$2),MAX((IF(Monthly!BD$4=TRUE,Monthly!BD$13,Monthly!BD$14)*(1+'Attrition Modeling'!$N$8)-IFERROR(BG46/BG113,0)*12)/12*BG113,0))</f>
        <v>0</v>
      </c>
      <c r="BI178" s="799">
        <f>MIN(IF(ISERROR(VLOOKUP(BI$134-$F178,$E$135:$E$165,1,FALSE)),0,BH46*$C$2),MAX((IF(Monthly!BE$4=TRUE,Monthly!BE$13,Monthly!BE$14)*(1+'Attrition Modeling'!$N$8)-IFERROR(BH46/BH113,0)*12)/12*BH113,0))</f>
        <v>0</v>
      </c>
      <c r="BJ178" s="799">
        <f>MIN(IF(ISERROR(VLOOKUP(BJ$134-$F178,$E$135:$E$165,1,FALSE)),0,BI46*$C$2),MAX((IF(Monthly!BF$4=TRUE,Monthly!BF$13,Monthly!BF$14)*(1+'Attrition Modeling'!$N$8)-IFERROR(BI46/BI113,0)*12)/12*BI113,0))</f>
        <v>0</v>
      </c>
      <c r="BK178" s="799">
        <f>MIN(IF(ISERROR(VLOOKUP(BK$134-$F178,$E$135:$E$165,1,FALSE)),0,BJ46*$C$2),MAX((IF(Monthly!BG$4=TRUE,Monthly!BG$13,Monthly!BG$14)*(1+'Attrition Modeling'!$N$8)-IFERROR(BJ46/BJ113,0)*12)/12*BJ113,0))</f>
        <v>0</v>
      </c>
      <c r="BL178" s="799">
        <f>MIN(IF(ISERROR(VLOOKUP(BL$134-$F178,$E$135:$E$165,1,FALSE)),0,BK46*$C$2),MAX((IF(Monthly!BH$4=TRUE,Monthly!BH$13,Monthly!BH$14)*(1+'Attrition Modeling'!$N$8)-IFERROR(BK46/BK113,0)*12)/12*BK113,0))</f>
        <v>0</v>
      </c>
      <c r="BM178" s="799">
        <f>MIN(IF(ISERROR(VLOOKUP(BM$134-$F178,$E$135:$E$165,1,FALSE)),0,BL46*$C$2),MAX((IF(Monthly!BI$4=TRUE,Monthly!BI$13,Monthly!BI$14)*(1+'Attrition Modeling'!$N$8)-IFERROR(BL46/BL113,0)*12)/12*BL113,0))</f>
        <v>0</v>
      </c>
      <c r="BN178" s="799">
        <f>MIN(IF(ISERROR(VLOOKUP(BN$134-$F178,$E$135:$E$165,1,FALSE)),0,BM46*$C$2),MAX((IF(Monthly!BJ$4=TRUE,Monthly!BJ$13,Monthly!BJ$14)*(1+'Attrition Modeling'!$N$8)-IFERROR(BM46/BM113,0)*12)/12*BM113,0))</f>
        <v>0</v>
      </c>
      <c r="BO178" s="799">
        <f>MIN(IF(ISERROR(VLOOKUP(BO$134-$F178,$E$135:$E$165,1,FALSE)),0,BN46*$C$2),MAX((IF(Monthly!BK$4=TRUE,Monthly!BK$13,Monthly!BK$14)*(1+'Attrition Modeling'!$N$8)-IFERROR(BN46/BN113,0)*12)/12*BN113,0))</f>
        <v>0</v>
      </c>
      <c r="BP178" s="799">
        <f>MIN(IF(ISERROR(VLOOKUP(BP$134-$F178,$E$135:$E$165,1,FALSE)),0,BO46*$C$2),MAX((IF(Monthly!BP$4=TRUE,Monthly!BP$13,Monthly!BP$14)*(1+'Attrition Modeling'!$N$8)-IFERROR(BO46/BO113,0)*12)/12*BO113,0))</f>
        <v>0</v>
      </c>
      <c r="BQ178" s="799">
        <f>MIN(IF(ISERROR(VLOOKUP(BQ$134-$F178,$E$135:$E$165,1,FALSE)),0,BP46*$C$2),MAX((IF(Monthly!BQ$4=TRUE,Monthly!BQ$13,Monthly!BQ$14)*(1+'Attrition Modeling'!$N$8)-IFERROR(BP46/BP113,0)*12)/12*BP113,0))</f>
        <v>0</v>
      </c>
      <c r="BR178" s="799">
        <f>MIN(IF(ISERROR(VLOOKUP(BR$134-$F178,$E$135:$E$165,1,FALSE)),0,BQ46*$C$2),MAX((IF(Monthly!BR$4=TRUE,Monthly!BR$13,Monthly!BR$14)*(1+'Attrition Modeling'!$N$8)-IFERROR(BQ46/BQ113,0)*12)/12*BQ113,0))</f>
        <v>0</v>
      </c>
      <c r="BS178" s="799">
        <f>MIN(IF(ISERROR(VLOOKUP(BS$134-$F178,$E$135:$E$165,1,FALSE)),0,BR46*$C$2),MAX((IF(Monthly!BS$4=TRUE,Monthly!BS$13,Monthly!BS$14)*(1+'Attrition Modeling'!$N$8)-IFERROR(BR46/BR113,0)*12)/12*BR113,0))</f>
        <v>0</v>
      </c>
      <c r="BT178" s="799">
        <f>MIN(IF(ISERROR(VLOOKUP(BT$134-$F178,$E$135:$E$165,1,FALSE)),0,BS46*$C$2),MAX((IF(Monthly!BT$4=TRUE,Monthly!BT$13,Monthly!BT$14)*(1+'Attrition Modeling'!$N$8)-IFERROR(BS46/BS113,0)*12)/12*BS113,0))</f>
        <v>0</v>
      </c>
      <c r="BU178" s="799">
        <f>MIN(IF(ISERROR(VLOOKUP(BU$134-$F178,$E$135:$E$165,1,FALSE)),0,BT46*$C$2),MAX((IF(Monthly!BU$4=TRUE,Monthly!BU$13,Monthly!BU$14)*(1+'Attrition Modeling'!$N$8)-IFERROR(BT46/BT113,0)*12)/12*BT113,0))</f>
        <v>0</v>
      </c>
    </row>
    <row r="179" spans="5:73" ht="14.25" customHeight="1" x14ac:dyDescent="0.2">
      <c r="E179" s="25"/>
      <c r="F179" s="11">
        <f t="shared" si="14"/>
        <v>44</v>
      </c>
      <c r="G179" s="799"/>
      <c r="H179" s="799">
        <f>MIN(IF(ISERROR(VLOOKUP(H$134-$F179,$E$135:$E$165,1,FALSE)),0,G47*$C$2),MAX((IF(Monthly!D$4=TRUE,Monthly!D$13,Monthly!D$14)*(1+'Attrition Modeling'!$N$8)-IFERROR(G47/G114,0)*12)/12*G114,0))</f>
        <v>0</v>
      </c>
      <c r="I179" s="799">
        <f>MIN(IF(ISERROR(VLOOKUP(I$134-$F179,$E$135:$E$165,1,FALSE)),0,H47*$C$2),MAX((IF(Monthly!E$4=TRUE,Monthly!E$13,Monthly!E$14)*(1+'Attrition Modeling'!$N$8)-IFERROR(H47/H114,0)*12)/12*H114,0))</f>
        <v>0</v>
      </c>
      <c r="J179" s="799">
        <f>MIN(IF(ISERROR(VLOOKUP(J$134-$F179,$E$135:$E$165,1,FALSE)),0,I47*$C$2),MAX((IF(Monthly!F$4=TRUE,Monthly!F$13,Monthly!F$14)*(1+'Attrition Modeling'!$N$8)-IFERROR(I47/I114,0)*12)/12*I114,0))</f>
        <v>0</v>
      </c>
      <c r="K179" s="799">
        <f>MIN(IF(ISERROR(VLOOKUP(K$134-$F179,$E$135:$E$165,1,FALSE)),0,J47*$C$2),MAX((IF(Monthly!G$4=TRUE,Monthly!G$13,Monthly!G$14)*(1+'Attrition Modeling'!$N$8)-IFERROR(J47/J114,0)*12)/12*J114,0))</f>
        <v>0</v>
      </c>
      <c r="L179" s="799">
        <f>MIN(IF(ISERROR(VLOOKUP(L$134-$F179,$E$135:$E$165,1,FALSE)),0,K47*$C$2),MAX((IF(Monthly!H$4=TRUE,Monthly!H$13,Monthly!H$14)*(1+'Attrition Modeling'!$N$8)-IFERROR(K47/K114,0)*12)/12*K114,0))</f>
        <v>0</v>
      </c>
      <c r="M179" s="799">
        <f>MIN(IF(ISERROR(VLOOKUP(M$134-$F179,$E$135:$E$165,1,FALSE)),0,L47*$C$2),MAX((IF(Monthly!I$4=TRUE,Monthly!I$13,Monthly!I$14)*(1+'Attrition Modeling'!$N$8)-IFERROR(L47/L114,0)*12)/12*L114,0))</f>
        <v>0</v>
      </c>
      <c r="N179" s="799">
        <f>MIN(IF(ISERROR(VLOOKUP(N$134-$F179,$E$135:$E$165,1,FALSE)),0,M47*$C$2),MAX((IF(Monthly!J$4=TRUE,Monthly!J$13,Monthly!J$14)*(1+'Attrition Modeling'!$N$8)-IFERROR(M47/M114,0)*12)/12*M114,0))</f>
        <v>0</v>
      </c>
      <c r="O179" s="799">
        <f>MIN(IF(ISERROR(VLOOKUP(O$134-$F179,$E$135:$E$165,1,FALSE)),0,N47*$C$2),MAX((IF(Monthly!K$4=TRUE,Monthly!K$13,Monthly!K$14)*(1+'Attrition Modeling'!$N$8)-IFERROR(N47/N114,0)*12)/12*N114,0))</f>
        <v>0</v>
      </c>
      <c r="P179" s="799">
        <f>MIN(IF(ISERROR(VLOOKUP(P$134-$F179,$E$135:$E$165,1,FALSE)),0,O47*$C$2),MAX((IF(Monthly!L$4=TRUE,Monthly!L$13,Monthly!L$14)*(1+'Attrition Modeling'!$N$8)-IFERROR(O47/O114,0)*12)/12*O114,0))</f>
        <v>0</v>
      </c>
      <c r="Q179" s="799">
        <f>MIN(IF(ISERROR(VLOOKUP(Q$134-$F179,$E$135:$E$165,1,FALSE)),0,P47*$C$2),MAX((IF(Monthly!M$4=TRUE,Monthly!M$13,Monthly!M$14)*(1+'Attrition Modeling'!$N$8)-IFERROR(P47/P114,0)*12)/12*P114,0))</f>
        <v>0</v>
      </c>
      <c r="R179" s="799">
        <f>MIN(IF(ISERROR(VLOOKUP(R$134-$F179,$E$135:$E$165,1,FALSE)),0,Q47*$C$2),MAX((IF(Monthly!N$4=TRUE,Monthly!N$13,Monthly!N$14)*(1+'Attrition Modeling'!$N$8)-IFERROR(Q47/Q114,0)*12)/12*Q114,0))</f>
        <v>0</v>
      </c>
      <c r="S179" s="799">
        <f>MIN(IF(ISERROR(VLOOKUP(S$134-$F179,$E$135:$E$165,1,FALSE)),0,R47*$C$2),MAX((IF(Monthly!O$4=TRUE,Monthly!O$13,Monthly!O$14)*(1+'Attrition Modeling'!$N$8)-IFERROR(R47/R114,0)*12)/12*R114,0))</f>
        <v>0</v>
      </c>
      <c r="T179" s="799">
        <f>MIN(IF(ISERROR(VLOOKUP(T$134-$F179,$E$135:$E$165,1,FALSE)),0,S47*$C$2),MAX((IF(Monthly!P$4=TRUE,Monthly!P$13,Monthly!P$14)*(1+'Attrition Modeling'!$N$8)-IFERROR(S47/S114,0)*12)/12*S114,0))</f>
        <v>0</v>
      </c>
      <c r="U179" s="799">
        <f>MIN(IF(ISERROR(VLOOKUP(U$134-$F179,$E$135:$E$165,1,FALSE)),0,T47*$C$2),MAX((IF(Monthly!Q$4=TRUE,Monthly!Q$13,Monthly!Q$14)*(1+'Attrition Modeling'!$N$8)-IFERROR(T47/T114,0)*12)/12*T114,0))</f>
        <v>0</v>
      </c>
      <c r="V179" s="799">
        <f>MIN(IF(ISERROR(VLOOKUP(V$134-$F179,$E$135:$E$165,1,FALSE)),0,U47*$C$2),MAX((IF(Monthly!R$4=TRUE,Monthly!R$13,Monthly!R$14)*(1+'Attrition Modeling'!$N$8)-IFERROR(U47/U114,0)*12)/12*U114,0))</f>
        <v>0</v>
      </c>
      <c r="W179" s="799">
        <f>MIN(IF(ISERROR(VLOOKUP(W$134-$F179,$E$135:$E$165,1,FALSE)),0,V47*$C$2),MAX((IF(Monthly!S$4=TRUE,Monthly!S$13,Monthly!S$14)*(1+'Attrition Modeling'!$N$8)-IFERROR(V47/V114,0)*12)/12*V114,0))</f>
        <v>0</v>
      </c>
      <c r="X179" s="799">
        <f>MIN(IF(ISERROR(VLOOKUP(X$134-$F179,$E$135:$E$165,1,FALSE)),0,W47*$C$2),MAX((IF(Monthly!T$4=TRUE,Monthly!T$13,Monthly!T$14)*(1+'Attrition Modeling'!$N$8)-IFERROR(W47/W114,0)*12)/12*W114,0))</f>
        <v>0</v>
      </c>
      <c r="Y179" s="799">
        <f>MIN(IF(ISERROR(VLOOKUP(Y$134-$F179,$E$135:$E$165,1,FALSE)),0,X47*$C$2),MAX((IF(Monthly!U$4=TRUE,Monthly!U$13,Monthly!U$14)*(1+'Attrition Modeling'!$N$8)-IFERROR(X47/X114,0)*12)/12*X114,0))</f>
        <v>0</v>
      </c>
      <c r="Z179" s="799">
        <f>MIN(IF(ISERROR(VLOOKUP(Z$134-$F179,$E$135:$E$165,1,FALSE)),0,Y47*$C$2),MAX((IF(Monthly!V$4=TRUE,Monthly!V$13,Monthly!V$14)*(1+'Attrition Modeling'!$N$8)-IFERROR(Y47/Y114,0)*12)/12*Y114,0))</f>
        <v>0</v>
      </c>
      <c r="AA179" s="799">
        <f>MIN(IF(ISERROR(VLOOKUP(AA$134-$F179,$E$135:$E$165,1,FALSE)),0,Z47*$C$2),MAX((IF(Monthly!W$4=TRUE,Monthly!W$13,Monthly!W$14)*(1+'Attrition Modeling'!$N$8)-IFERROR(Z47/Z114,0)*12)/12*Z114,0))</f>
        <v>0</v>
      </c>
      <c r="AB179" s="799">
        <f>MIN(IF(ISERROR(VLOOKUP(AB$134-$F179,$E$135:$E$165,1,FALSE)),0,AA47*$C$2),MAX((IF(Monthly!X$4=TRUE,Monthly!X$13,Monthly!X$14)*(1+'Attrition Modeling'!$N$8)-IFERROR(AA47/AA114,0)*12)/12*AA114,0))</f>
        <v>0</v>
      </c>
      <c r="AC179" s="799">
        <f>MIN(IF(ISERROR(VLOOKUP(AC$134-$F179,$E$135:$E$165,1,FALSE)),0,AB47*$C$2),MAX((IF(Monthly!Y$4=TRUE,Monthly!Y$13,Monthly!Y$14)*(1+'Attrition Modeling'!$N$8)-IFERROR(AB47/AB114,0)*12)/12*AB114,0))</f>
        <v>0</v>
      </c>
      <c r="AD179" s="799">
        <f>MIN(IF(ISERROR(VLOOKUP(AD$134-$F179,$E$135:$E$165,1,FALSE)),0,AC47*$C$2),MAX((IF(Monthly!Z$4=TRUE,Monthly!Z$13,Monthly!Z$14)*(1+'Attrition Modeling'!$N$8)-IFERROR(AC47/AC114,0)*12)/12*AC114,0))</f>
        <v>0</v>
      </c>
      <c r="AE179" s="799">
        <f>MIN(IF(ISERROR(VLOOKUP(AE$134-$F179,$E$135:$E$165,1,FALSE)),0,AD47*$C$2),MAX((IF(Monthly!AA$4=TRUE,Monthly!AA$13,Monthly!AA$14)*(1+'Attrition Modeling'!$N$8)-IFERROR(AD47/AD114,0)*12)/12*AD114,0))</f>
        <v>0</v>
      </c>
      <c r="AF179" s="799">
        <f>MIN(IF(ISERROR(VLOOKUP(AF$134-$F179,$E$135:$E$165,1,FALSE)),0,AE47*$C$2),MAX((IF(Monthly!AB$4=TRUE,Monthly!AB$13,Monthly!AB$14)*(1+'Attrition Modeling'!$N$8)-IFERROR(AE47/AE114,0)*12)/12*AE114,0))</f>
        <v>0</v>
      </c>
      <c r="AG179" s="799">
        <f>MIN(IF(ISERROR(VLOOKUP(AG$134-$F179,$E$135:$E$165,1,FALSE)),0,AF47*$C$2),MAX((IF(Monthly!AC$4=TRUE,Monthly!AC$13,Monthly!AC$14)*(1+'Attrition Modeling'!$N$8)-IFERROR(AF47/AF114,0)*12)/12*AF114,0))</f>
        <v>0</v>
      </c>
      <c r="AH179" s="799">
        <f>MIN(IF(ISERROR(VLOOKUP(AH$134-$F179,$E$135:$E$165,1,FALSE)),0,AG47*$C$2),MAX((IF(Monthly!AD$4=TRUE,Monthly!AD$13,Monthly!AD$14)*(1+'Attrition Modeling'!$N$8)-IFERROR(AG47/AG114,0)*12)/12*AG114,0))</f>
        <v>0</v>
      </c>
      <c r="AI179" s="799">
        <f>MIN(IF(ISERROR(VLOOKUP(AI$134-$F179,$E$135:$E$165,1,FALSE)),0,AH47*$C$2),MAX((IF(Monthly!AE$4=TRUE,Monthly!AE$13,Monthly!AE$14)*(1+'Attrition Modeling'!$N$8)-IFERROR(AH47/AH114,0)*12)/12*AH114,0))</f>
        <v>0</v>
      </c>
      <c r="AJ179" s="799">
        <f>MIN(IF(ISERROR(VLOOKUP(AJ$134-$F179,$E$135:$E$165,1,FALSE)),0,AI47*$C$2),MAX((IF(Monthly!AF$4=TRUE,Monthly!AF$13,Monthly!AF$14)*(1+'Attrition Modeling'!$N$8)-IFERROR(AI47/AI114,0)*12)/12*AI114,0))</f>
        <v>0</v>
      </c>
      <c r="AK179" s="799">
        <f>MIN(IF(ISERROR(VLOOKUP(AK$134-$F179,$E$135:$E$165,1,FALSE)),0,AJ47*$C$2),MAX((IF(Monthly!AG$4=TRUE,Monthly!AG$13,Monthly!AG$14)*(1+'Attrition Modeling'!$N$8)-IFERROR(AJ47/AJ114,0)*12)/12*AJ114,0))</f>
        <v>0</v>
      </c>
      <c r="AL179" s="799">
        <f>MIN(IF(ISERROR(VLOOKUP(AL$134-$F179,$E$135:$E$165,1,FALSE)),0,AK47*$C$2),MAX((IF(Monthly!AH$4=TRUE,Monthly!AH$13,Monthly!AH$14)*(1+'Attrition Modeling'!$N$8)-IFERROR(AK47/AK114,0)*12)/12*AK114,0))</f>
        <v>0</v>
      </c>
      <c r="AM179" s="799">
        <f>MIN(IF(ISERROR(VLOOKUP(AM$134-$F179,$E$135:$E$165,1,FALSE)),0,AL47*$C$2),MAX((IF(Monthly!AI$4=TRUE,Monthly!AI$13,Monthly!AI$14)*(1+'Attrition Modeling'!$N$8)-IFERROR(AL47/AL114,0)*12)/12*AL114,0))</f>
        <v>0</v>
      </c>
      <c r="AN179" s="799">
        <f>MIN(IF(ISERROR(VLOOKUP(AN$134-$F179,$E$135:$E$165,1,FALSE)),0,AM47*$C$2),MAX((IF(Monthly!AJ$4=TRUE,Monthly!AJ$13,Monthly!AJ$14)*(1+'Attrition Modeling'!$N$8)-IFERROR(AM47/AM114,0)*12)/12*AM114,0))</f>
        <v>0</v>
      </c>
      <c r="AO179" s="799">
        <f>MIN(IF(ISERROR(VLOOKUP(AO$134-$F179,$E$135:$E$165,1,FALSE)),0,AN47*$C$2),MAX((IF(Monthly!AK$4=TRUE,Monthly!AK$13,Monthly!AK$14)*(1+'Attrition Modeling'!$N$8)-IFERROR(AN47/AN114,0)*12)/12*AN114,0))</f>
        <v>0</v>
      </c>
      <c r="AP179" s="799">
        <f>MIN(IF(ISERROR(VLOOKUP(AP$134-$F179,$E$135:$E$165,1,FALSE)),0,AO47*$C$2),MAX((IF(Monthly!AL$4=TRUE,Monthly!AL$13,Monthly!AL$14)*(1+'Attrition Modeling'!$N$8)-IFERROR(AO47/AO114,0)*12)/12*AO114,0))</f>
        <v>0</v>
      </c>
      <c r="AQ179" s="799">
        <f>MIN(IF(ISERROR(VLOOKUP(AQ$134-$F179,$E$135:$E$165,1,FALSE)),0,AP47*$C$2),MAX((IF(Monthly!AM$4=TRUE,Monthly!AM$13,Monthly!AM$14)*(1+'Attrition Modeling'!$N$8)-IFERROR(AP47/AP114,0)*12)/12*AP114,0))</f>
        <v>0</v>
      </c>
      <c r="AR179" s="799">
        <f>MIN(IF(ISERROR(VLOOKUP(AR$134-$F179,$E$135:$E$165,1,FALSE)),0,AQ47*$C$2),MAX((IF(Monthly!AN$4=TRUE,Monthly!AN$13,Monthly!AN$14)*(1+'Attrition Modeling'!$N$8)-IFERROR(AQ47/AQ114,0)*12)/12*AQ114,0))</f>
        <v>0</v>
      </c>
      <c r="AS179" s="799">
        <f>MIN(IF(ISERROR(VLOOKUP(AS$134-$F179,$E$135:$E$165,1,FALSE)),0,AR47*$C$2),MAX((IF(Monthly!AO$4=TRUE,Monthly!AO$13,Monthly!AO$14)*(1+'Attrition Modeling'!$N$8)-IFERROR(AR47/AR114,0)*12)/12*AR114,0))</f>
        <v>0</v>
      </c>
      <c r="AT179" s="799">
        <f>MIN(IF(ISERROR(VLOOKUP(AT$134-$F179,$E$135:$E$165,1,FALSE)),0,AS47*$C$2),MAX((IF(Monthly!AP$4=TRUE,Monthly!AP$13,Monthly!AP$14)*(1+'Attrition Modeling'!$N$8)-IFERROR(AS47/AS114,0)*12)/12*AS114,0))</f>
        <v>0</v>
      </c>
      <c r="AU179" s="799">
        <f>MIN(IF(ISERROR(VLOOKUP(AU$134-$F179,$E$135:$E$165,1,FALSE)),0,AT47*$C$2),MAX((IF(Monthly!AQ$4=TRUE,Monthly!AQ$13,Monthly!AQ$14)*(1+'Attrition Modeling'!$N$8)-IFERROR(AT47/AT114,0)*12)/12*AT114,0))</f>
        <v>0</v>
      </c>
      <c r="AV179" s="799">
        <f>MIN(IF(ISERROR(VLOOKUP(AV$134-$F179,$E$135:$E$165,1,FALSE)),0,AU47*$C$2),MAX((IF(Monthly!AR$4=TRUE,Monthly!AR$13,Monthly!AR$14)*(1+'Attrition Modeling'!$N$8)-IFERROR(AU47/AU114,0)*12)/12*AU114,0))</f>
        <v>0</v>
      </c>
      <c r="AW179" s="799">
        <f>MIN(IF(ISERROR(VLOOKUP(AW$134-$F179,$E$135:$E$165,1,FALSE)),0,AV47*$C$2),MAX((IF(Monthly!AS$4=TRUE,Monthly!AS$13,Monthly!AS$14)*(1+'Attrition Modeling'!$N$8)-IFERROR(AV47/AV114,0)*12)/12*AV114,0))</f>
        <v>0</v>
      </c>
      <c r="AX179" s="799">
        <f>MIN(IF(ISERROR(VLOOKUP(AX$134-$F179,$E$135:$E$165,1,FALSE)),0,AW47*$C$2),MAX((IF(Monthly!AT$4=TRUE,Monthly!AT$13,Monthly!AT$14)*(1+'Attrition Modeling'!$N$8)-IFERROR(AW47/AW114,0)*12)/12*AW114,0))</f>
        <v>0</v>
      </c>
      <c r="AY179" s="799">
        <f>MIN(IF(ISERROR(VLOOKUP(AY$134-$F179,$E$135:$E$165,1,FALSE)),0,AX47*$C$2),MAX((IF(Monthly!AU$4=TRUE,Monthly!AU$13,Monthly!AU$14)*(1+'Attrition Modeling'!$N$8)-IFERROR(AX47/AX114,0)*12)/12*AX114,0))</f>
        <v>0</v>
      </c>
      <c r="AZ179" s="799">
        <f>MIN(IF(ISERROR(VLOOKUP(AZ$134-$F179,$E$135:$E$165,1,FALSE)),0,AY47*$C$2),MAX((IF(Monthly!AV$4=TRUE,Monthly!AV$13,Monthly!AV$14)*(1+'Attrition Modeling'!$N$8)-IFERROR(AY47/AY114,0)*12)/12*AY114,0))</f>
        <v>0</v>
      </c>
      <c r="BA179" s="799">
        <f>MIN(IF(ISERROR(VLOOKUP(BA$134-$F179,$E$135:$E$165,1,FALSE)),0,AZ47*$C$2),MAX((IF(Monthly!AW$4=TRUE,Monthly!AW$13,Monthly!AW$14)*(1+'Attrition Modeling'!$N$8)-IFERROR(AZ47/AZ114,0)*12)/12*AZ114,0))</f>
        <v>0</v>
      </c>
      <c r="BB179" s="799">
        <f>MIN(IF(ISERROR(VLOOKUP(BB$134-$F179,$E$135:$E$165,1,FALSE)),0,BA47*$C$2),MAX((IF(Monthly!AX$4=TRUE,Monthly!AX$13,Monthly!AX$14)*(1+'Attrition Modeling'!$N$8)-IFERROR(BA47/BA114,0)*12)/12*BA114,0))</f>
        <v>0</v>
      </c>
      <c r="BC179" s="799">
        <f>MIN(IF(ISERROR(VLOOKUP(BC$134-$F179,$E$135:$E$165,1,FALSE)),0,BB47*$C$2),MAX((IF(Monthly!AY$4=TRUE,Monthly!AY$13,Monthly!AY$14)*(1+'Attrition Modeling'!$N$8)-IFERROR(BB47/BB114,0)*12)/12*BB114,0))</f>
        <v>0</v>
      </c>
      <c r="BD179" s="799">
        <f>MIN(IF(ISERROR(VLOOKUP(BD$134-$F179,$E$135:$E$165,1,FALSE)),0,BC47*$C$2),MAX((IF(Monthly!AZ$4=TRUE,Monthly!AZ$13,Monthly!AZ$14)*(1+'Attrition Modeling'!$N$8)-IFERROR(BC47/BC114,0)*12)/12*BC114,0))</f>
        <v>0</v>
      </c>
      <c r="BE179" s="799">
        <f>MIN(IF(ISERROR(VLOOKUP(BE$134-$F179,$E$135:$E$165,1,FALSE)),0,BD47*$C$2),MAX((IF(Monthly!BA$4=TRUE,Monthly!BA$13,Monthly!BA$14)*(1+'Attrition Modeling'!$N$8)-IFERROR(BD47/BD114,0)*12)/12*BD114,0))</f>
        <v>615.2249781426043</v>
      </c>
      <c r="BF179" s="799">
        <f>MIN(IF(ISERROR(VLOOKUP(BF$134-$F179,$E$135:$E$165,1,FALSE)),0,BE47*$C$2),MAX((IF(Monthly!BB$4=TRUE,Monthly!BB$13,Monthly!BB$14)*(1+'Attrition Modeling'!$N$8)-IFERROR(BE47/BE114,0)*12)/12*BE114,0))</f>
        <v>0</v>
      </c>
      <c r="BG179" s="799">
        <f>MIN(IF(ISERROR(VLOOKUP(BG$134-$F179,$E$135:$E$165,1,FALSE)),0,BF47*$C$2),MAX((IF(Monthly!BC$4=TRUE,Monthly!BC$13,Monthly!BC$14)*(1+'Attrition Modeling'!$N$8)-IFERROR(BF47/BF114,0)*12)/12*BF114,0))</f>
        <v>0</v>
      </c>
      <c r="BH179" s="799">
        <f>MIN(IF(ISERROR(VLOOKUP(BH$134-$F179,$E$135:$E$165,1,FALSE)),0,BG47*$C$2),MAX((IF(Monthly!BD$4=TRUE,Monthly!BD$13,Monthly!BD$14)*(1+'Attrition Modeling'!$N$8)-IFERROR(BG47/BG114,0)*12)/12*BG114,0))</f>
        <v>0</v>
      </c>
      <c r="BI179" s="799">
        <f>MIN(IF(ISERROR(VLOOKUP(BI$134-$F179,$E$135:$E$165,1,FALSE)),0,BH47*$C$2),MAX((IF(Monthly!BE$4=TRUE,Monthly!BE$13,Monthly!BE$14)*(1+'Attrition Modeling'!$N$8)-IFERROR(BH47/BH114,0)*12)/12*BH114,0))</f>
        <v>0</v>
      </c>
      <c r="BJ179" s="799">
        <f>MIN(IF(ISERROR(VLOOKUP(BJ$134-$F179,$E$135:$E$165,1,FALSE)),0,BI47*$C$2),MAX((IF(Monthly!BF$4=TRUE,Monthly!BF$13,Monthly!BF$14)*(1+'Attrition Modeling'!$N$8)-IFERROR(BI47/BI114,0)*12)/12*BI114,0))</f>
        <v>0</v>
      </c>
      <c r="BK179" s="799">
        <f>MIN(IF(ISERROR(VLOOKUP(BK$134-$F179,$E$135:$E$165,1,FALSE)),0,BJ47*$C$2),MAX((IF(Monthly!BG$4=TRUE,Monthly!BG$13,Monthly!BG$14)*(1+'Attrition Modeling'!$N$8)-IFERROR(BJ47/BJ114,0)*12)/12*BJ114,0))</f>
        <v>0</v>
      </c>
      <c r="BL179" s="799">
        <f>MIN(IF(ISERROR(VLOOKUP(BL$134-$F179,$E$135:$E$165,1,FALSE)),0,BK47*$C$2),MAX((IF(Monthly!BH$4=TRUE,Monthly!BH$13,Monthly!BH$14)*(1+'Attrition Modeling'!$N$8)-IFERROR(BK47/BK114,0)*12)/12*BK114,0))</f>
        <v>0</v>
      </c>
      <c r="BM179" s="799">
        <f>MIN(IF(ISERROR(VLOOKUP(BM$134-$F179,$E$135:$E$165,1,FALSE)),0,BL47*$C$2),MAX((IF(Monthly!BI$4=TRUE,Monthly!BI$13,Monthly!BI$14)*(1+'Attrition Modeling'!$N$8)-IFERROR(BL47/BL114,0)*12)/12*BL114,0))</f>
        <v>0</v>
      </c>
      <c r="BN179" s="799">
        <f>MIN(IF(ISERROR(VLOOKUP(BN$134-$F179,$E$135:$E$165,1,FALSE)),0,BM47*$C$2),MAX((IF(Monthly!BJ$4=TRUE,Monthly!BJ$13,Monthly!BJ$14)*(1+'Attrition Modeling'!$N$8)-IFERROR(BM47/BM114,0)*12)/12*BM114,0))</f>
        <v>0</v>
      </c>
      <c r="BO179" s="799">
        <f>MIN(IF(ISERROR(VLOOKUP(BO$134-$F179,$E$135:$E$165,1,FALSE)),0,BN47*$C$2),MAX((IF(Monthly!BK$4=TRUE,Monthly!BK$13,Monthly!BK$14)*(1+'Attrition Modeling'!$N$8)-IFERROR(BN47/BN114,0)*12)/12*BN114,0))</f>
        <v>0</v>
      </c>
      <c r="BP179" s="799">
        <f>MIN(IF(ISERROR(VLOOKUP(BP$134-$F179,$E$135:$E$165,1,FALSE)),0,BO47*$C$2),MAX((IF(Monthly!BP$4=TRUE,Monthly!BP$13,Monthly!BP$14)*(1+'Attrition Modeling'!$N$8)-IFERROR(BO47/BO114,0)*12)/12*BO114,0))</f>
        <v>0</v>
      </c>
      <c r="BQ179" s="799">
        <f>MIN(IF(ISERROR(VLOOKUP(BQ$134-$F179,$E$135:$E$165,1,FALSE)),0,BP47*$C$2),MAX((IF(Monthly!BQ$4=TRUE,Monthly!BQ$13,Monthly!BQ$14)*(1+'Attrition Modeling'!$N$8)-IFERROR(BP47/BP114,0)*12)/12*BP114,0))</f>
        <v>330.84022671152172</v>
      </c>
      <c r="BR179" s="799">
        <f>MIN(IF(ISERROR(VLOOKUP(BR$134-$F179,$E$135:$E$165,1,FALSE)),0,BQ47*$C$2),MAX((IF(Monthly!BR$4=TRUE,Monthly!BR$13,Monthly!BR$14)*(1+'Attrition Modeling'!$N$8)-IFERROR(BQ47/BQ114,0)*12)/12*BQ114,0))</f>
        <v>0</v>
      </c>
      <c r="BS179" s="799">
        <f>MIN(IF(ISERROR(VLOOKUP(BS$134-$F179,$E$135:$E$165,1,FALSE)),0,BR47*$C$2),MAX((IF(Monthly!BS$4=TRUE,Monthly!BS$13,Monthly!BS$14)*(1+'Attrition Modeling'!$N$8)-IFERROR(BR47/BR114,0)*12)/12*BR114,0))</f>
        <v>0</v>
      </c>
      <c r="BT179" s="799">
        <f>MIN(IF(ISERROR(VLOOKUP(BT$134-$F179,$E$135:$E$165,1,FALSE)),0,BS47*$C$2),MAX((IF(Monthly!BT$4=TRUE,Monthly!BT$13,Monthly!BT$14)*(1+'Attrition Modeling'!$N$8)-IFERROR(BS47/BS114,0)*12)/12*BS114,0))</f>
        <v>0</v>
      </c>
      <c r="BU179" s="799">
        <f>MIN(IF(ISERROR(VLOOKUP(BU$134-$F179,$E$135:$E$165,1,FALSE)),0,BT47*$C$2),MAX((IF(Monthly!BU$4=TRUE,Monthly!BU$13,Monthly!BU$14)*(1+'Attrition Modeling'!$N$8)-IFERROR(BT47/BT114,0)*12)/12*BT114,0))</f>
        <v>0</v>
      </c>
    </row>
    <row r="180" spans="5:73" ht="14.25" customHeight="1" x14ac:dyDescent="0.2">
      <c r="E180" s="25"/>
      <c r="F180" s="11">
        <f t="shared" si="14"/>
        <v>45</v>
      </c>
      <c r="G180" s="799"/>
      <c r="H180" s="799">
        <f>MIN(IF(ISERROR(VLOOKUP(H$134-$F180,$E$135:$E$165,1,FALSE)),0,G48*$C$2),MAX((IF(Monthly!D$4=TRUE,Monthly!D$13,Monthly!D$14)*(1+'Attrition Modeling'!$N$8)-IFERROR(G48/G115,0)*12)/12*G115,0))</f>
        <v>0</v>
      </c>
      <c r="I180" s="799">
        <f>MIN(IF(ISERROR(VLOOKUP(I$134-$F180,$E$135:$E$165,1,FALSE)),0,H48*$C$2),MAX((IF(Monthly!E$4=TRUE,Monthly!E$13,Monthly!E$14)*(1+'Attrition Modeling'!$N$8)-IFERROR(H48/H115,0)*12)/12*H115,0))</f>
        <v>0</v>
      </c>
      <c r="J180" s="799">
        <f>MIN(IF(ISERROR(VLOOKUP(J$134-$F180,$E$135:$E$165,1,FALSE)),0,I48*$C$2),MAX((IF(Monthly!F$4=TRUE,Monthly!F$13,Monthly!F$14)*(1+'Attrition Modeling'!$N$8)-IFERROR(I48/I115,0)*12)/12*I115,0))</f>
        <v>0</v>
      </c>
      <c r="K180" s="799">
        <f>MIN(IF(ISERROR(VLOOKUP(K$134-$F180,$E$135:$E$165,1,FALSE)),0,J48*$C$2),MAX((IF(Monthly!G$4=TRUE,Monthly!G$13,Monthly!G$14)*(1+'Attrition Modeling'!$N$8)-IFERROR(J48/J115,0)*12)/12*J115,0))</f>
        <v>0</v>
      </c>
      <c r="L180" s="799">
        <f>MIN(IF(ISERROR(VLOOKUP(L$134-$F180,$E$135:$E$165,1,FALSE)),0,K48*$C$2),MAX((IF(Monthly!H$4=TRUE,Monthly!H$13,Monthly!H$14)*(1+'Attrition Modeling'!$N$8)-IFERROR(K48/K115,0)*12)/12*K115,0))</f>
        <v>0</v>
      </c>
      <c r="M180" s="799">
        <f>MIN(IF(ISERROR(VLOOKUP(M$134-$F180,$E$135:$E$165,1,FALSE)),0,L48*$C$2),MAX((IF(Monthly!I$4=TRUE,Monthly!I$13,Monthly!I$14)*(1+'Attrition Modeling'!$N$8)-IFERROR(L48/L115,0)*12)/12*L115,0))</f>
        <v>0</v>
      </c>
      <c r="N180" s="799">
        <f>MIN(IF(ISERROR(VLOOKUP(N$134-$F180,$E$135:$E$165,1,FALSE)),0,M48*$C$2),MAX((IF(Monthly!J$4=TRUE,Monthly!J$13,Monthly!J$14)*(1+'Attrition Modeling'!$N$8)-IFERROR(M48/M115,0)*12)/12*M115,0))</f>
        <v>0</v>
      </c>
      <c r="O180" s="799">
        <f>MIN(IF(ISERROR(VLOOKUP(O$134-$F180,$E$135:$E$165,1,FALSE)),0,N48*$C$2),MAX((IF(Monthly!K$4=TRUE,Monthly!K$13,Monthly!K$14)*(1+'Attrition Modeling'!$N$8)-IFERROR(N48/N115,0)*12)/12*N115,0))</f>
        <v>0</v>
      </c>
      <c r="P180" s="799">
        <f>MIN(IF(ISERROR(VLOOKUP(P$134-$F180,$E$135:$E$165,1,FALSE)),0,O48*$C$2),MAX((IF(Monthly!L$4=TRUE,Monthly!L$13,Monthly!L$14)*(1+'Attrition Modeling'!$N$8)-IFERROR(O48/O115,0)*12)/12*O115,0))</f>
        <v>0</v>
      </c>
      <c r="Q180" s="799">
        <f>MIN(IF(ISERROR(VLOOKUP(Q$134-$F180,$E$135:$E$165,1,FALSE)),0,P48*$C$2),MAX((IF(Monthly!M$4=TRUE,Monthly!M$13,Monthly!M$14)*(1+'Attrition Modeling'!$N$8)-IFERROR(P48/P115,0)*12)/12*P115,0))</f>
        <v>0</v>
      </c>
      <c r="R180" s="799">
        <f>MIN(IF(ISERROR(VLOOKUP(R$134-$F180,$E$135:$E$165,1,FALSE)),0,Q48*$C$2),MAX((IF(Monthly!N$4=TRUE,Monthly!N$13,Monthly!N$14)*(1+'Attrition Modeling'!$N$8)-IFERROR(Q48/Q115,0)*12)/12*Q115,0))</f>
        <v>0</v>
      </c>
      <c r="S180" s="799">
        <f>MIN(IF(ISERROR(VLOOKUP(S$134-$F180,$E$135:$E$165,1,FALSE)),0,R48*$C$2),MAX((IF(Monthly!O$4=TRUE,Monthly!O$13,Monthly!O$14)*(1+'Attrition Modeling'!$N$8)-IFERROR(R48/R115,0)*12)/12*R115,0))</f>
        <v>0</v>
      </c>
      <c r="T180" s="799">
        <f>MIN(IF(ISERROR(VLOOKUP(T$134-$F180,$E$135:$E$165,1,FALSE)),0,S48*$C$2),MAX((IF(Monthly!P$4=TRUE,Monthly!P$13,Monthly!P$14)*(1+'Attrition Modeling'!$N$8)-IFERROR(S48/S115,0)*12)/12*S115,0))</f>
        <v>0</v>
      </c>
      <c r="U180" s="799">
        <f>MIN(IF(ISERROR(VLOOKUP(U$134-$F180,$E$135:$E$165,1,FALSE)),0,T48*$C$2),MAX((IF(Monthly!Q$4=TRUE,Monthly!Q$13,Monthly!Q$14)*(1+'Attrition Modeling'!$N$8)-IFERROR(T48/T115,0)*12)/12*T115,0))</f>
        <v>0</v>
      </c>
      <c r="V180" s="799">
        <f>MIN(IF(ISERROR(VLOOKUP(V$134-$F180,$E$135:$E$165,1,FALSE)),0,U48*$C$2),MAX((IF(Monthly!R$4=TRUE,Monthly!R$13,Monthly!R$14)*(1+'Attrition Modeling'!$N$8)-IFERROR(U48/U115,0)*12)/12*U115,0))</f>
        <v>0</v>
      </c>
      <c r="W180" s="799">
        <f>MIN(IF(ISERROR(VLOOKUP(W$134-$F180,$E$135:$E$165,1,FALSE)),0,V48*$C$2),MAX((IF(Monthly!S$4=TRUE,Monthly!S$13,Monthly!S$14)*(1+'Attrition Modeling'!$N$8)-IFERROR(V48/V115,0)*12)/12*V115,0))</f>
        <v>0</v>
      </c>
      <c r="X180" s="799">
        <f>MIN(IF(ISERROR(VLOOKUP(X$134-$F180,$E$135:$E$165,1,FALSE)),0,W48*$C$2),MAX((IF(Monthly!T$4=TRUE,Monthly!T$13,Monthly!T$14)*(1+'Attrition Modeling'!$N$8)-IFERROR(W48/W115,0)*12)/12*W115,0))</f>
        <v>0</v>
      </c>
      <c r="Y180" s="799">
        <f>MIN(IF(ISERROR(VLOOKUP(Y$134-$F180,$E$135:$E$165,1,FALSE)),0,X48*$C$2),MAX((IF(Monthly!U$4=TRUE,Monthly!U$13,Monthly!U$14)*(1+'Attrition Modeling'!$N$8)-IFERROR(X48/X115,0)*12)/12*X115,0))</f>
        <v>0</v>
      </c>
      <c r="Z180" s="799">
        <f>MIN(IF(ISERROR(VLOOKUP(Z$134-$F180,$E$135:$E$165,1,FALSE)),0,Y48*$C$2),MAX((IF(Monthly!V$4=TRUE,Monthly!V$13,Monthly!V$14)*(1+'Attrition Modeling'!$N$8)-IFERROR(Y48/Y115,0)*12)/12*Y115,0))</f>
        <v>0</v>
      </c>
      <c r="AA180" s="799">
        <f>MIN(IF(ISERROR(VLOOKUP(AA$134-$F180,$E$135:$E$165,1,FALSE)),0,Z48*$C$2),MAX((IF(Monthly!W$4=TRUE,Monthly!W$13,Monthly!W$14)*(1+'Attrition Modeling'!$N$8)-IFERROR(Z48/Z115,0)*12)/12*Z115,0))</f>
        <v>0</v>
      </c>
      <c r="AB180" s="799">
        <f>MIN(IF(ISERROR(VLOOKUP(AB$134-$F180,$E$135:$E$165,1,FALSE)),0,AA48*$C$2),MAX((IF(Monthly!X$4=TRUE,Monthly!X$13,Monthly!X$14)*(1+'Attrition Modeling'!$N$8)-IFERROR(AA48/AA115,0)*12)/12*AA115,0))</f>
        <v>0</v>
      </c>
      <c r="AC180" s="799">
        <f>MIN(IF(ISERROR(VLOOKUP(AC$134-$F180,$E$135:$E$165,1,FALSE)),0,AB48*$C$2),MAX((IF(Monthly!Y$4=TRUE,Monthly!Y$13,Monthly!Y$14)*(1+'Attrition Modeling'!$N$8)-IFERROR(AB48/AB115,0)*12)/12*AB115,0))</f>
        <v>0</v>
      </c>
      <c r="AD180" s="799">
        <f>MIN(IF(ISERROR(VLOOKUP(AD$134-$F180,$E$135:$E$165,1,FALSE)),0,AC48*$C$2),MAX((IF(Monthly!Z$4=TRUE,Monthly!Z$13,Monthly!Z$14)*(1+'Attrition Modeling'!$N$8)-IFERROR(AC48/AC115,0)*12)/12*AC115,0))</f>
        <v>0</v>
      </c>
      <c r="AE180" s="799">
        <f>MIN(IF(ISERROR(VLOOKUP(AE$134-$F180,$E$135:$E$165,1,FALSE)),0,AD48*$C$2),MAX((IF(Monthly!AA$4=TRUE,Monthly!AA$13,Monthly!AA$14)*(1+'Attrition Modeling'!$N$8)-IFERROR(AD48/AD115,0)*12)/12*AD115,0))</f>
        <v>0</v>
      </c>
      <c r="AF180" s="799">
        <f>MIN(IF(ISERROR(VLOOKUP(AF$134-$F180,$E$135:$E$165,1,FALSE)),0,AE48*$C$2),MAX((IF(Monthly!AB$4=TRUE,Monthly!AB$13,Monthly!AB$14)*(1+'Attrition Modeling'!$N$8)-IFERROR(AE48/AE115,0)*12)/12*AE115,0))</f>
        <v>0</v>
      </c>
      <c r="AG180" s="799">
        <f>MIN(IF(ISERROR(VLOOKUP(AG$134-$F180,$E$135:$E$165,1,FALSE)),0,AF48*$C$2),MAX((IF(Monthly!AC$4=TRUE,Monthly!AC$13,Monthly!AC$14)*(1+'Attrition Modeling'!$N$8)-IFERROR(AF48/AF115,0)*12)/12*AF115,0))</f>
        <v>0</v>
      </c>
      <c r="AH180" s="799">
        <f>MIN(IF(ISERROR(VLOOKUP(AH$134-$F180,$E$135:$E$165,1,FALSE)),0,AG48*$C$2),MAX((IF(Monthly!AD$4=TRUE,Monthly!AD$13,Monthly!AD$14)*(1+'Attrition Modeling'!$N$8)-IFERROR(AG48/AG115,0)*12)/12*AG115,0))</f>
        <v>0</v>
      </c>
      <c r="AI180" s="799">
        <f>MIN(IF(ISERROR(VLOOKUP(AI$134-$F180,$E$135:$E$165,1,FALSE)),0,AH48*$C$2),MAX((IF(Monthly!AE$4=TRUE,Monthly!AE$13,Monthly!AE$14)*(1+'Attrition Modeling'!$N$8)-IFERROR(AH48/AH115,0)*12)/12*AH115,0))</f>
        <v>0</v>
      </c>
      <c r="AJ180" s="799">
        <f>MIN(IF(ISERROR(VLOOKUP(AJ$134-$F180,$E$135:$E$165,1,FALSE)),0,AI48*$C$2),MAX((IF(Monthly!AF$4=TRUE,Monthly!AF$13,Monthly!AF$14)*(1+'Attrition Modeling'!$N$8)-IFERROR(AI48/AI115,0)*12)/12*AI115,0))</f>
        <v>0</v>
      </c>
      <c r="AK180" s="799">
        <f>MIN(IF(ISERROR(VLOOKUP(AK$134-$F180,$E$135:$E$165,1,FALSE)),0,AJ48*$C$2),MAX((IF(Monthly!AG$4=TRUE,Monthly!AG$13,Monthly!AG$14)*(1+'Attrition Modeling'!$N$8)-IFERROR(AJ48/AJ115,0)*12)/12*AJ115,0))</f>
        <v>0</v>
      </c>
      <c r="AL180" s="799">
        <f>MIN(IF(ISERROR(VLOOKUP(AL$134-$F180,$E$135:$E$165,1,FALSE)),0,AK48*$C$2),MAX((IF(Monthly!AH$4=TRUE,Monthly!AH$13,Monthly!AH$14)*(1+'Attrition Modeling'!$N$8)-IFERROR(AK48/AK115,0)*12)/12*AK115,0))</f>
        <v>0</v>
      </c>
      <c r="AM180" s="799">
        <f>MIN(IF(ISERROR(VLOOKUP(AM$134-$F180,$E$135:$E$165,1,FALSE)),0,AL48*$C$2),MAX((IF(Monthly!AI$4=TRUE,Monthly!AI$13,Monthly!AI$14)*(1+'Attrition Modeling'!$N$8)-IFERROR(AL48/AL115,0)*12)/12*AL115,0))</f>
        <v>0</v>
      </c>
      <c r="AN180" s="799">
        <f>MIN(IF(ISERROR(VLOOKUP(AN$134-$F180,$E$135:$E$165,1,FALSE)),0,AM48*$C$2),MAX((IF(Monthly!AJ$4=TRUE,Monthly!AJ$13,Monthly!AJ$14)*(1+'Attrition Modeling'!$N$8)-IFERROR(AM48/AM115,0)*12)/12*AM115,0))</f>
        <v>0</v>
      </c>
      <c r="AO180" s="799">
        <f>MIN(IF(ISERROR(VLOOKUP(AO$134-$F180,$E$135:$E$165,1,FALSE)),0,AN48*$C$2),MAX((IF(Monthly!AK$4=TRUE,Monthly!AK$13,Monthly!AK$14)*(1+'Attrition Modeling'!$N$8)-IFERROR(AN48/AN115,0)*12)/12*AN115,0))</f>
        <v>0</v>
      </c>
      <c r="AP180" s="799">
        <f>MIN(IF(ISERROR(VLOOKUP(AP$134-$F180,$E$135:$E$165,1,FALSE)),0,AO48*$C$2),MAX((IF(Monthly!AL$4=TRUE,Monthly!AL$13,Monthly!AL$14)*(1+'Attrition Modeling'!$N$8)-IFERROR(AO48/AO115,0)*12)/12*AO115,0))</f>
        <v>0</v>
      </c>
      <c r="AQ180" s="799">
        <f>MIN(IF(ISERROR(VLOOKUP(AQ$134-$F180,$E$135:$E$165,1,FALSE)),0,AP48*$C$2),MAX((IF(Monthly!AM$4=TRUE,Monthly!AM$13,Monthly!AM$14)*(1+'Attrition Modeling'!$N$8)-IFERROR(AP48/AP115,0)*12)/12*AP115,0))</f>
        <v>0</v>
      </c>
      <c r="AR180" s="799">
        <f>MIN(IF(ISERROR(VLOOKUP(AR$134-$F180,$E$135:$E$165,1,FALSE)),0,AQ48*$C$2),MAX((IF(Monthly!AN$4=TRUE,Monthly!AN$13,Monthly!AN$14)*(1+'Attrition Modeling'!$N$8)-IFERROR(AQ48/AQ115,0)*12)/12*AQ115,0))</f>
        <v>0</v>
      </c>
      <c r="AS180" s="799">
        <f>MIN(IF(ISERROR(VLOOKUP(AS$134-$F180,$E$135:$E$165,1,FALSE)),0,AR48*$C$2),MAX((IF(Monthly!AO$4=TRUE,Monthly!AO$13,Monthly!AO$14)*(1+'Attrition Modeling'!$N$8)-IFERROR(AR48/AR115,0)*12)/12*AR115,0))</f>
        <v>0</v>
      </c>
      <c r="AT180" s="799">
        <f>MIN(IF(ISERROR(VLOOKUP(AT$134-$F180,$E$135:$E$165,1,FALSE)),0,AS48*$C$2),MAX((IF(Monthly!AP$4=TRUE,Monthly!AP$13,Monthly!AP$14)*(1+'Attrition Modeling'!$N$8)-IFERROR(AS48/AS115,0)*12)/12*AS115,0))</f>
        <v>0</v>
      </c>
      <c r="AU180" s="799">
        <f>MIN(IF(ISERROR(VLOOKUP(AU$134-$F180,$E$135:$E$165,1,FALSE)),0,AT48*$C$2),MAX((IF(Monthly!AQ$4=TRUE,Monthly!AQ$13,Monthly!AQ$14)*(1+'Attrition Modeling'!$N$8)-IFERROR(AT48/AT115,0)*12)/12*AT115,0))</f>
        <v>0</v>
      </c>
      <c r="AV180" s="799">
        <f>MIN(IF(ISERROR(VLOOKUP(AV$134-$F180,$E$135:$E$165,1,FALSE)),0,AU48*$C$2),MAX((IF(Monthly!AR$4=TRUE,Monthly!AR$13,Monthly!AR$14)*(1+'Attrition Modeling'!$N$8)-IFERROR(AU48/AU115,0)*12)/12*AU115,0))</f>
        <v>0</v>
      </c>
      <c r="AW180" s="799">
        <f>MIN(IF(ISERROR(VLOOKUP(AW$134-$F180,$E$135:$E$165,1,FALSE)),0,AV48*$C$2),MAX((IF(Monthly!AS$4=TRUE,Monthly!AS$13,Monthly!AS$14)*(1+'Attrition Modeling'!$N$8)-IFERROR(AV48/AV115,0)*12)/12*AV115,0))</f>
        <v>0</v>
      </c>
      <c r="AX180" s="799">
        <f>MIN(IF(ISERROR(VLOOKUP(AX$134-$F180,$E$135:$E$165,1,FALSE)),0,AW48*$C$2),MAX((IF(Monthly!AT$4=TRUE,Monthly!AT$13,Monthly!AT$14)*(1+'Attrition Modeling'!$N$8)-IFERROR(AW48/AW115,0)*12)/12*AW115,0))</f>
        <v>0</v>
      </c>
      <c r="AY180" s="799">
        <f>MIN(IF(ISERROR(VLOOKUP(AY$134-$F180,$E$135:$E$165,1,FALSE)),0,AX48*$C$2),MAX((IF(Monthly!AU$4=TRUE,Monthly!AU$13,Monthly!AU$14)*(1+'Attrition Modeling'!$N$8)-IFERROR(AX48/AX115,0)*12)/12*AX115,0))</f>
        <v>0</v>
      </c>
      <c r="AZ180" s="799">
        <f>MIN(IF(ISERROR(VLOOKUP(AZ$134-$F180,$E$135:$E$165,1,FALSE)),0,AY48*$C$2),MAX((IF(Monthly!AV$4=TRUE,Monthly!AV$13,Monthly!AV$14)*(1+'Attrition Modeling'!$N$8)-IFERROR(AY48/AY115,0)*12)/12*AY115,0))</f>
        <v>0</v>
      </c>
      <c r="BA180" s="799">
        <f>MIN(IF(ISERROR(VLOOKUP(BA$134-$F180,$E$135:$E$165,1,FALSE)),0,AZ48*$C$2),MAX((IF(Monthly!AW$4=TRUE,Monthly!AW$13,Monthly!AW$14)*(1+'Attrition Modeling'!$N$8)-IFERROR(AZ48/AZ115,0)*12)/12*AZ115,0))</f>
        <v>0</v>
      </c>
      <c r="BB180" s="799">
        <f>MIN(IF(ISERROR(VLOOKUP(BB$134-$F180,$E$135:$E$165,1,FALSE)),0,BA48*$C$2),MAX((IF(Monthly!AX$4=TRUE,Monthly!AX$13,Monthly!AX$14)*(1+'Attrition Modeling'!$N$8)-IFERROR(BA48/BA115,0)*12)/12*BA115,0))</f>
        <v>0</v>
      </c>
      <c r="BC180" s="799">
        <f>MIN(IF(ISERROR(VLOOKUP(BC$134-$F180,$E$135:$E$165,1,FALSE)),0,BB48*$C$2),MAX((IF(Monthly!AY$4=TRUE,Monthly!AY$13,Monthly!AY$14)*(1+'Attrition Modeling'!$N$8)-IFERROR(BB48/BB115,0)*12)/12*BB115,0))</f>
        <v>0</v>
      </c>
      <c r="BD180" s="799">
        <f>MIN(IF(ISERROR(VLOOKUP(BD$134-$F180,$E$135:$E$165,1,FALSE)),0,BC48*$C$2),MAX((IF(Monthly!AZ$4=TRUE,Monthly!AZ$13,Monthly!AZ$14)*(1+'Attrition Modeling'!$N$8)-IFERROR(BC48/BC115,0)*12)/12*BC115,0))</f>
        <v>0</v>
      </c>
      <c r="BE180" s="799">
        <f>MIN(IF(ISERROR(VLOOKUP(BE$134-$F180,$E$135:$E$165,1,FALSE)),0,BD48*$C$2),MAX((IF(Monthly!BA$4=TRUE,Monthly!BA$13,Monthly!BA$14)*(1+'Attrition Modeling'!$N$8)-IFERROR(BD48/BD115,0)*12)/12*BD115,0))</f>
        <v>0</v>
      </c>
      <c r="BF180" s="799">
        <f>MIN(IF(ISERROR(VLOOKUP(BF$134-$F180,$E$135:$E$165,1,FALSE)),0,BE48*$C$2),MAX((IF(Monthly!BB$4=TRUE,Monthly!BB$13,Monthly!BB$14)*(1+'Attrition Modeling'!$N$8)-IFERROR(BE48/BE115,0)*12)/12*BE115,0))</f>
        <v>602.25063641008308</v>
      </c>
      <c r="BG180" s="799">
        <f>MIN(IF(ISERROR(VLOOKUP(BG$134-$F180,$E$135:$E$165,1,FALSE)),0,BF48*$C$2),MAX((IF(Monthly!BC$4=TRUE,Monthly!BC$13,Monthly!BC$14)*(1+'Attrition Modeling'!$N$8)-IFERROR(BF48/BF115,0)*12)/12*BF115,0))</f>
        <v>0</v>
      </c>
      <c r="BH180" s="799">
        <f>MIN(IF(ISERROR(VLOOKUP(BH$134-$F180,$E$135:$E$165,1,FALSE)),0,BG48*$C$2),MAX((IF(Monthly!BD$4=TRUE,Monthly!BD$13,Monthly!BD$14)*(1+'Attrition Modeling'!$N$8)-IFERROR(BG48/BG115,0)*12)/12*BG115,0))</f>
        <v>0</v>
      </c>
      <c r="BI180" s="799">
        <f>MIN(IF(ISERROR(VLOOKUP(BI$134-$F180,$E$135:$E$165,1,FALSE)),0,BH48*$C$2),MAX((IF(Monthly!BE$4=TRUE,Monthly!BE$13,Monthly!BE$14)*(1+'Attrition Modeling'!$N$8)-IFERROR(BH48/BH115,0)*12)/12*BH115,0))</f>
        <v>0</v>
      </c>
      <c r="BJ180" s="799">
        <f>MIN(IF(ISERROR(VLOOKUP(BJ$134-$F180,$E$135:$E$165,1,FALSE)),0,BI48*$C$2),MAX((IF(Monthly!BF$4=TRUE,Monthly!BF$13,Monthly!BF$14)*(1+'Attrition Modeling'!$N$8)-IFERROR(BI48/BI115,0)*12)/12*BI115,0))</f>
        <v>0</v>
      </c>
      <c r="BK180" s="799">
        <f>MIN(IF(ISERROR(VLOOKUP(BK$134-$F180,$E$135:$E$165,1,FALSE)),0,BJ48*$C$2),MAX((IF(Monthly!BG$4=TRUE,Monthly!BG$13,Monthly!BG$14)*(1+'Attrition Modeling'!$N$8)-IFERROR(BJ48/BJ115,0)*12)/12*BJ115,0))</f>
        <v>0</v>
      </c>
      <c r="BL180" s="799">
        <f>MIN(IF(ISERROR(VLOOKUP(BL$134-$F180,$E$135:$E$165,1,FALSE)),0,BK48*$C$2),MAX((IF(Monthly!BH$4=TRUE,Monthly!BH$13,Monthly!BH$14)*(1+'Attrition Modeling'!$N$8)-IFERROR(BK48/BK115,0)*12)/12*BK115,0))</f>
        <v>0</v>
      </c>
      <c r="BM180" s="799">
        <f>MIN(IF(ISERROR(VLOOKUP(BM$134-$F180,$E$135:$E$165,1,FALSE)),0,BL48*$C$2),MAX((IF(Monthly!BI$4=TRUE,Monthly!BI$13,Monthly!BI$14)*(1+'Attrition Modeling'!$N$8)-IFERROR(BL48/BL115,0)*12)/12*BL115,0))</f>
        <v>0</v>
      </c>
      <c r="BN180" s="799">
        <f>MIN(IF(ISERROR(VLOOKUP(BN$134-$F180,$E$135:$E$165,1,FALSE)),0,BM48*$C$2),MAX((IF(Monthly!BJ$4=TRUE,Monthly!BJ$13,Monthly!BJ$14)*(1+'Attrition Modeling'!$N$8)-IFERROR(BM48/BM115,0)*12)/12*BM115,0))</f>
        <v>0</v>
      </c>
      <c r="BO180" s="799">
        <f>MIN(IF(ISERROR(VLOOKUP(BO$134-$F180,$E$135:$E$165,1,FALSE)),0,BN48*$C$2),MAX((IF(Monthly!BK$4=TRUE,Monthly!BK$13,Monthly!BK$14)*(1+'Attrition Modeling'!$N$8)-IFERROR(BN48/BN115,0)*12)/12*BN115,0))</f>
        <v>0</v>
      </c>
      <c r="BP180" s="799">
        <f>MIN(IF(ISERROR(VLOOKUP(BP$134-$F180,$E$135:$E$165,1,FALSE)),0,BO48*$C$2),MAX((IF(Monthly!BP$4=TRUE,Monthly!BP$13,Monthly!BP$14)*(1+'Attrition Modeling'!$N$8)-IFERROR(BO48/BO115,0)*12)/12*BO115,0))</f>
        <v>0</v>
      </c>
      <c r="BQ180" s="799">
        <f>MIN(IF(ISERROR(VLOOKUP(BQ$134-$F180,$E$135:$E$165,1,FALSE)),0,BP48*$C$2),MAX((IF(Monthly!BQ$4=TRUE,Monthly!BQ$13,Monthly!BQ$14)*(1+'Attrition Modeling'!$N$8)-IFERROR(BP48/BP115,0)*12)/12*BP115,0))</f>
        <v>0</v>
      </c>
      <c r="BR180" s="799">
        <f>MIN(IF(ISERROR(VLOOKUP(BR$134-$F180,$E$135:$E$165,1,FALSE)),0,BQ48*$C$2),MAX((IF(Monthly!BR$4=TRUE,Monthly!BR$13,Monthly!BR$14)*(1+'Attrition Modeling'!$N$8)-IFERROR(BQ48/BQ115,0)*12)/12*BQ115,0))</f>
        <v>314.37948502786577</v>
      </c>
      <c r="BS180" s="799">
        <f>MIN(IF(ISERROR(VLOOKUP(BS$134-$F180,$E$135:$E$165,1,FALSE)),0,BR48*$C$2),MAX((IF(Monthly!BS$4=TRUE,Monthly!BS$13,Monthly!BS$14)*(1+'Attrition Modeling'!$N$8)-IFERROR(BR48/BR115,0)*12)/12*BR115,0))</f>
        <v>0</v>
      </c>
      <c r="BT180" s="799">
        <f>MIN(IF(ISERROR(VLOOKUP(BT$134-$F180,$E$135:$E$165,1,FALSE)),0,BS48*$C$2),MAX((IF(Monthly!BT$4=TRUE,Monthly!BT$13,Monthly!BT$14)*(1+'Attrition Modeling'!$N$8)-IFERROR(BS48/BS115,0)*12)/12*BS115,0))</f>
        <v>0</v>
      </c>
      <c r="BU180" s="799">
        <f>MIN(IF(ISERROR(VLOOKUP(BU$134-$F180,$E$135:$E$165,1,FALSE)),0,BT48*$C$2),MAX((IF(Monthly!BU$4=TRUE,Monthly!BU$13,Monthly!BU$14)*(1+'Attrition Modeling'!$N$8)-IFERROR(BT48/BT115,0)*12)/12*BT115,0))</f>
        <v>0</v>
      </c>
    </row>
    <row r="181" spans="5:73" ht="14.25" customHeight="1" x14ac:dyDescent="0.2">
      <c r="E181" s="25"/>
      <c r="F181" s="11">
        <f t="shared" si="14"/>
        <v>46</v>
      </c>
      <c r="G181" s="799"/>
      <c r="H181" s="799">
        <f>MIN(IF(ISERROR(VLOOKUP(H$134-$F181,$E$135:$E$165,1,FALSE)),0,G49*$C$2),MAX((IF(Monthly!D$4=TRUE,Monthly!D$13,Monthly!D$14)*(1+'Attrition Modeling'!$N$8)-IFERROR(G49/G116,0)*12)/12*G116,0))</f>
        <v>0</v>
      </c>
      <c r="I181" s="799">
        <f>MIN(IF(ISERROR(VLOOKUP(I$134-$F181,$E$135:$E$165,1,FALSE)),0,H49*$C$2),MAX((IF(Monthly!E$4=TRUE,Monthly!E$13,Monthly!E$14)*(1+'Attrition Modeling'!$N$8)-IFERROR(H49/H116,0)*12)/12*H116,0))</f>
        <v>0</v>
      </c>
      <c r="J181" s="799">
        <f>MIN(IF(ISERROR(VLOOKUP(J$134-$F181,$E$135:$E$165,1,FALSE)),0,I49*$C$2),MAX((IF(Monthly!F$4=TRUE,Monthly!F$13,Monthly!F$14)*(1+'Attrition Modeling'!$N$8)-IFERROR(I49/I116,0)*12)/12*I116,0))</f>
        <v>0</v>
      </c>
      <c r="K181" s="799">
        <f>MIN(IF(ISERROR(VLOOKUP(K$134-$F181,$E$135:$E$165,1,FALSE)),0,J49*$C$2),MAX((IF(Monthly!G$4=TRUE,Monthly!G$13,Monthly!G$14)*(1+'Attrition Modeling'!$N$8)-IFERROR(J49/J116,0)*12)/12*J116,0))</f>
        <v>0</v>
      </c>
      <c r="L181" s="799">
        <f>MIN(IF(ISERROR(VLOOKUP(L$134-$F181,$E$135:$E$165,1,FALSE)),0,K49*$C$2),MAX((IF(Monthly!H$4=TRUE,Monthly!H$13,Monthly!H$14)*(1+'Attrition Modeling'!$N$8)-IFERROR(K49/K116,0)*12)/12*K116,0))</f>
        <v>0</v>
      </c>
      <c r="M181" s="799">
        <f>MIN(IF(ISERROR(VLOOKUP(M$134-$F181,$E$135:$E$165,1,FALSE)),0,L49*$C$2),MAX((IF(Monthly!I$4=TRUE,Monthly!I$13,Monthly!I$14)*(1+'Attrition Modeling'!$N$8)-IFERROR(L49/L116,0)*12)/12*L116,0))</f>
        <v>0</v>
      </c>
      <c r="N181" s="799">
        <f>MIN(IF(ISERROR(VLOOKUP(N$134-$F181,$E$135:$E$165,1,FALSE)),0,M49*$C$2),MAX((IF(Monthly!J$4=TRUE,Monthly!J$13,Monthly!J$14)*(1+'Attrition Modeling'!$N$8)-IFERROR(M49/M116,0)*12)/12*M116,0))</f>
        <v>0</v>
      </c>
      <c r="O181" s="799">
        <f>MIN(IF(ISERROR(VLOOKUP(O$134-$F181,$E$135:$E$165,1,FALSE)),0,N49*$C$2),MAX((IF(Monthly!K$4=TRUE,Monthly!K$13,Monthly!K$14)*(1+'Attrition Modeling'!$N$8)-IFERROR(N49/N116,0)*12)/12*N116,0))</f>
        <v>0</v>
      </c>
      <c r="P181" s="799">
        <f>MIN(IF(ISERROR(VLOOKUP(P$134-$F181,$E$135:$E$165,1,FALSE)),0,O49*$C$2),MAX((IF(Monthly!L$4=TRUE,Monthly!L$13,Monthly!L$14)*(1+'Attrition Modeling'!$N$8)-IFERROR(O49/O116,0)*12)/12*O116,0))</f>
        <v>0</v>
      </c>
      <c r="Q181" s="799">
        <f>MIN(IF(ISERROR(VLOOKUP(Q$134-$F181,$E$135:$E$165,1,FALSE)),0,P49*$C$2),MAX((IF(Monthly!M$4=TRUE,Monthly!M$13,Monthly!M$14)*(1+'Attrition Modeling'!$N$8)-IFERROR(P49/P116,0)*12)/12*P116,0))</f>
        <v>0</v>
      </c>
      <c r="R181" s="799">
        <f>MIN(IF(ISERROR(VLOOKUP(R$134-$F181,$E$135:$E$165,1,FALSE)),0,Q49*$C$2),MAX((IF(Monthly!N$4=TRUE,Monthly!N$13,Monthly!N$14)*(1+'Attrition Modeling'!$N$8)-IFERROR(Q49/Q116,0)*12)/12*Q116,0))</f>
        <v>0</v>
      </c>
      <c r="S181" s="799">
        <f>MIN(IF(ISERROR(VLOOKUP(S$134-$F181,$E$135:$E$165,1,FALSE)),0,R49*$C$2),MAX((IF(Monthly!O$4=TRUE,Monthly!O$13,Monthly!O$14)*(1+'Attrition Modeling'!$N$8)-IFERROR(R49/R116,0)*12)/12*R116,0))</f>
        <v>0</v>
      </c>
      <c r="T181" s="799">
        <f>MIN(IF(ISERROR(VLOOKUP(T$134-$F181,$E$135:$E$165,1,FALSE)),0,S49*$C$2),MAX((IF(Monthly!P$4=TRUE,Monthly!P$13,Monthly!P$14)*(1+'Attrition Modeling'!$N$8)-IFERROR(S49/S116,0)*12)/12*S116,0))</f>
        <v>0</v>
      </c>
      <c r="U181" s="799">
        <f>MIN(IF(ISERROR(VLOOKUP(U$134-$F181,$E$135:$E$165,1,FALSE)),0,T49*$C$2),MAX((IF(Monthly!Q$4=TRUE,Monthly!Q$13,Monthly!Q$14)*(1+'Attrition Modeling'!$N$8)-IFERROR(T49/T116,0)*12)/12*T116,0))</f>
        <v>0</v>
      </c>
      <c r="V181" s="799">
        <f>MIN(IF(ISERROR(VLOOKUP(V$134-$F181,$E$135:$E$165,1,FALSE)),0,U49*$C$2),MAX((IF(Monthly!R$4=TRUE,Monthly!R$13,Monthly!R$14)*(1+'Attrition Modeling'!$N$8)-IFERROR(U49/U116,0)*12)/12*U116,0))</f>
        <v>0</v>
      </c>
      <c r="W181" s="799">
        <f>MIN(IF(ISERROR(VLOOKUP(W$134-$F181,$E$135:$E$165,1,FALSE)),0,V49*$C$2),MAX((IF(Monthly!S$4=TRUE,Monthly!S$13,Monthly!S$14)*(1+'Attrition Modeling'!$N$8)-IFERROR(V49/V116,0)*12)/12*V116,0))</f>
        <v>0</v>
      </c>
      <c r="X181" s="799">
        <f>MIN(IF(ISERROR(VLOOKUP(X$134-$F181,$E$135:$E$165,1,FALSE)),0,W49*$C$2),MAX((IF(Monthly!T$4=TRUE,Monthly!T$13,Monthly!T$14)*(1+'Attrition Modeling'!$N$8)-IFERROR(W49/W116,0)*12)/12*W116,0))</f>
        <v>0</v>
      </c>
      <c r="Y181" s="799">
        <f>MIN(IF(ISERROR(VLOOKUP(Y$134-$F181,$E$135:$E$165,1,FALSE)),0,X49*$C$2),MAX((IF(Monthly!U$4=TRUE,Monthly!U$13,Monthly!U$14)*(1+'Attrition Modeling'!$N$8)-IFERROR(X49/X116,0)*12)/12*X116,0))</f>
        <v>0</v>
      </c>
      <c r="Z181" s="799">
        <f>MIN(IF(ISERROR(VLOOKUP(Z$134-$F181,$E$135:$E$165,1,FALSE)),0,Y49*$C$2),MAX((IF(Monthly!V$4=TRUE,Monthly!V$13,Monthly!V$14)*(1+'Attrition Modeling'!$N$8)-IFERROR(Y49/Y116,0)*12)/12*Y116,0))</f>
        <v>0</v>
      </c>
      <c r="AA181" s="799">
        <f>MIN(IF(ISERROR(VLOOKUP(AA$134-$F181,$E$135:$E$165,1,FALSE)),0,Z49*$C$2),MAX((IF(Monthly!W$4=TRUE,Monthly!W$13,Monthly!W$14)*(1+'Attrition Modeling'!$N$8)-IFERROR(Z49/Z116,0)*12)/12*Z116,0))</f>
        <v>0</v>
      </c>
      <c r="AB181" s="799">
        <f>MIN(IF(ISERROR(VLOOKUP(AB$134-$F181,$E$135:$E$165,1,FALSE)),0,AA49*$C$2),MAX((IF(Monthly!X$4=TRUE,Monthly!X$13,Monthly!X$14)*(1+'Attrition Modeling'!$N$8)-IFERROR(AA49/AA116,0)*12)/12*AA116,0))</f>
        <v>0</v>
      </c>
      <c r="AC181" s="799">
        <f>MIN(IF(ISERROR(VLOOKUP(AC$134-$F181,$E$135:$E$165,1,FALSE)),0,AB49*$C$2),MAX((IF(Monthly!Y$4=TRUE,Monthly!Y$13,Monthly!Y$14)*(1+'Attrition Modeling'!$N$8)-IFERROR(AB49/AB116,0)*12)/12*AB116,0))</f>
        <v>0</v>
      </c>
      <c r="AD181" s="799">
        <f>MIN(IF(ISERROR(VLOOKUP(AD$134-$F181,$E$135:$E$165,1,FALSE)),0,AC49*$C$2),MAX((IF(Monthly!Z$4=TRUE,Monthly!Z$13,Monthly!Z$14)*(1+'Attrition Modeling'!$N$8)-IFERROR(AC49/AC116,0)*12)/12*AC116,0))</f>
        <v>0</v>
      </c>
      <c r="AE181" s="799">
        <f>MIN(IF(ISERROR(VLOOKUP(AE$134-$F181,$E$135:$E$165,1,FALSE)),0,AD49*$C$2),MAX((IF(Monthly!AA$4=TRUE,Monthly!AA$13,Monthly!AA$14)*(1+'Attrition Modeling'!$N$8)-IFERROR(AD49/AD116,0)*12)/12*AD116,0))</f>
        <v>0</v>
      </c>
      <c r="AF181" s="799">
        <f>MIN(IF(ISERROR(VLOOKUP(AF$134-$F181,$E$135:$E$165,1,FALSE)),0,AE49*$C$2),MAX((IF(Monthly!AB$4=TRUE,Monthly!AB$13,Monthly!AB$14)*(1+'Attrition Modeling'!$N$8)-IFERROR(AE49/AE116,0)*12)/12*AE116,0))</f>
        <v>0</v>
      </c>
      <c r="AG181" s="799">
        <f>MIN(IF(ISERROR(VLOOKUP(AG$134-$F181,$E$135:$E$165,1,FALSE)),0,AF49*$C$2),MAX((IF(Monthly!AC$4=TRUE,Monthly!AC$13,Monthly!AC$14)*(1+'Attrition Modeling'!$N$8)-IFERROR(AF49/AF116,0)*12)/12*AF116,0))</f>
        <v>0</v>
      </c>
      <c r="AH181" s="799">
        <f>MIN(IF(ISERROR(VLOOKUP(AH$134-$F181,$E$135:$E$165,1,FALSE)),0,AG49*$C$2),MAX((IF(Monthly!AD$4=TRUE,Monthly!AD$13,Monthly!AD$14)*(1+'Attrition Modeling'!$N$8)-IFERROR(AG49/AG116,0)*12)/12*AG116,0))</f>
        <v>0</v>
      </c>
      <c r="AI181" s="799">
        <f>MIN(IF(ISERROR(VLOOKUP(AI$134-$F181,$E$135:$E$165,1,FALSE)),0,AH49*$C$2),MAX((IF(Monthly!AE$4=TRUE,Monthly!AE$13,Monthly!AE$14)*(1+'Attrition Modeling'!$N$8)-IFERROR(AH49/AH116,0)*12)/12*AH116,0))</f>
        <v>0</v>
      </c>
      <c r="AJ181" s="799">
        <f>MIN(IF(ISERROR(VLOOKUP(AJ$134-$F181,$E$135:$E$165,1,FALSE)),0,AI49*$C$2),MAX((IF(Monthly!AF$4=TRUE,Monthly!AF$13,Monthly!AF$14)*(1+'Attrition Modeling'!$N$8)-IFERROR(AI49/AI116,0)*12)/12*AI116,0))</f>
        <v>0</v>
      </c>
      <c r="AK181" s="799">
        <f>MIN(IF(ISERROR(VLOOKUP(AK$134-$F181,$E$135:$E$165,1,FALSE)),0,AJ49*$C$2),MAX((IF(Monthly!AG$4=TRUE,Monthly!AG$13,Monthly!AG$14)*(1+'Attrition Modeling'!$N$8)-IFERROR(AJ49/AJ116,0)*12)/12*AJ116,0))</f>
        <v>0</v>
      </c>
      <c r="AL181" s="799">
        <f>MIN(IF(ISERROR(VLOOKUP(AL$134-$F181,$E$135:$E$165,1,FALSE)),0,AK49*$C$2),MAX((IF(Monthly!AH$4=TRUE,Monthly!AH$13,Monthly!AH$14)*(1+'Attrition Modeling'!$N$8)-IFERROR(AK49/AK116,0)*12)/12*AK116,0))</f>
        <v>0</v>
      </c>
      <c r="AM181" s="799">
        <f>MIN(IF(ISERROR(VLOOKUP(AM$134-$F181,$E$135:$E$165,1,FALSE)),0,AL49*$C$2),MAX((IF(Monthly!AI$4=TRUE,Monthly!AI$13,Monthly!AI$14)*(1+'Attrition Modeling'!$N$8)-IFERROR(AL49/AL116,0)*12)/12*AL116,0))</f>
        <v>0</v>
      </c>
      <c r="AN181" s="799">
        <f>MIN(IF(ISERROR(VLOOKUP(AN$134-$F181,$E$135:$E$165,1,FALSE)),0,AM49*$C$2),MAX((IF(Monthly!AJ$4=TRUE,Monthly!AJ$13,Monthly!AJ$14)*(1+'Attrition Modeling'!$N$8)-IFERROR(AM49/AM116,0)*12)/12*AM116,0))</f>
        <v>0</v>
      </c>
      <c r="AO181" s="799">
        <f>MIN(IF(ISERROR(VLOOKUP(AO$134-$F181,$E$135:$E$165,1,FALSE)),0,AN49*$C$2),MAX((IF(Monthly!AK$4=TRUE,Monthly!AK$13,Monthly!AK$14)*(1+'Attrition Modeling'!$N$8)-IFERROR(AN49/AN116,0)*12)/12*AN116,0))</f>
        <v>0</v>
      </c>
      <c r="AP181" s="799">
        <f>MIN(IF(ISERROR(VLOOKUP(AP$134-$F181,$E$135:$E$165,1,FALSE)),0,AO49*$C$2),MAX((IF(Monthly!AL$4=TRUE,Monthly!AL$13,Monthly!AL$14)*(1+'Attrition Modeling'!$N$8)-IFERROR(AO49/AO116,0)*12)/12*AO116,0))</f>
        <v>0</v>
      </c>
      <c r="AQ181" s="799">
        <f>MIN(IF(ISERROR(VLOOKUP(AQ$134-$F181,$E$135:$E$165,1,FALSE)),0,AP49*$C$2),MAX((IF(Monthly!AM$4=TRUE,Monthly!AM$13,Monthly!AM$14)*(1+'Attrition Modeling'!$N$8)-IFERROR(AP49/AP116,0)*12)/12*AP116,0))</f>
        <v>0</v>
      </c>
      <c r="AR181" s="799">
        <f>MIN(IF(ISERROR(VLOOKUP(AR$134-$F181,$E$135:$E$165,1,FALSE)),0,AQ49*$C$2),MAX((IF(Monthly!AN$4=TRUE,Monthly!AN$13,Monthly!AN$14)*(1+'Attrition Modeling'!$N$8)-IFERROR(AQ49/AQ116,0)*12)/12*AQ116,0))</f>
        <v>0</v>
      </c>
      <c r="AS181" s="799">
        <f>MIN(IF(ISERROR(VLOOKUP(AS$134-$F181,$E$135:$E$165,1,FALSE)),0,AR49*$C$2),MAX((IF(Monthly!AO$4=TRUE,Monthly!AO$13,Monthly!AO$14)*(1+'Attrition Modeling'!$N$8)-IFERROR(AR49/AR116,0)*12)/12*AR116,0))</f>
        <v>0</v>
      </c>
      <c r="AT181" s="799">
        <f>MIN(IF(ISERROR(VLOOKUP(AT$134-$F181,$E$135:$E$165,1,FALSE)),0,AS49*$C$2),MAX((IF(Monthly!AP$4=TRUE,Monthly!AP$13,Monthly!AP$14)*(1+'Attrition Modeling'!$N$8)-IFERROR(AS49/AS116,0)*12)/12*AS116,0))</f>
        <v>0</v>
      </c>
      <c r="AU181" s="799">
        <f>MIN(IF(ISERROR(VLOOKUP(AU$134-$F181,$E$135:$E$165,1,FALSE)),0,AT49*$C$2),MAX((IF(Monthly!AQ$4=TRUE,Monthly!AQ$13,Monthly!AQ$14)*(1+'Attrition Modeling'!$N$8)-IFERROR(AT49/AT116,0)*12)/12*AT116,0))</f>
        <v>0</v>
      </c>
      <c r="AV181" s="799">
        <f>MIN(IF(ISERROR(VLOOKUP(AV$134-$F181,$E$135:$E$165,1,FALSE)),0,AU49*$C$2),MAX((IF(Monthly!AR$4=TRUE,Monthly!AR$13,Monthly!AR$14)*(1+'Attrition Modeling'!$N$8)-IFERROR(AU49/AU116,0)*12)/12*AU116,0))</f>
        <v>0</v>
      </c>
      <c r="AW181" s="799">
        <f>MIN(IF(ISERROR(VLOOKUP(AW$134-$F181,$E$135:$E$165,1,FALSE)),0,AV49*$C$2),MAX((IF(Monthly!AS$4=TRUE,Monthly!AS$13,Monthly!AS$14)*(1+'Attrition Modeling'!$N$8)-IFERROR(AV49/AV116,0)*12)/12*AV116,0))</f>
        <v>0</v>
      </c>
      <c r="AX181" s="799">
        <f>MIN(IF(ISERROR(VLOOKUP(AX$134-$F181,$E$135:$E$165,1,FALSE)),0,AW49*$C$2),MAX((IF(Monthly!AT$4=TRUE,Monthly!AT$13,Monthly!AT$14)*(1+'Attrition Modeling'!$N$8)-IFERROR(AW49/AW116,0)*12)/12*AW116,0))</f>
        <v>0</v>
      </c>
      <c r="AY181" s="799">
        <f>MIN(IF(ISERROR(VLOOKUP(AY$134-$F181,$E$135:$E$165,1,FALSE)),0,AX49*$C$2),MAX((IF(Monthly!AU$4=TRUE,Monthly!AU$13,Monthly!AU$14)*(1+'Attrition Modeling'!$N$8)-IFERROR(AX49/AX116,0)*12)/12*AX116,0))</f>
        <v>0</v>
      </c>
      <c r="AZ181" s="799">
        <f>MIN(IF(ISERROR(VLOOKUP(AZ$134-$F181,$E$135:$E$165,1,FALSE)),0,AY49*$C$2),MAX((IF(Monthly!AV$4=TRUE,Monthly!AV$13,Monthly!AV$14)*(1+'Attrition Modeling'!$N$8)-IFERROR(AY49/AY116,0)*12)/12*AY116,0))</f>
        <v>0</v>
      </c>
      <c r="BA181" s="799">
        <f>MIN(IF(ISERROR(VLOOKUP(BA$134-$F181,$E$135:$E$165,1,FALSE)),0,AZ49*$C$2),MAX((IF(Monthly!AW$4=TRUE,Monthly!AW$13,Monthly!AW$14)*(1+'Attrition Modeling'!$N$8)-IFERROR(AZ49/AZ116,0)*12)/12*AZ116,0))</f>
        <v>0</v>
      </c>
      <c r="BB181" s="799">
        <f>MIN(IF(ISERROR(VLOOKUP(BB$134-$F181,$E$135:$E$165,1,FALSE)),0,BA49*$C$2),MAX((IF(Monthly!AX$4=TRUE,Monthly!AX$13,Monthly!AX$14)*(1+'Attrition Modeling'!$N$8)-IFERROR(BA49/BA116,0)*12)/12*BA116,0))</f>
        <v>0</v>
      </c>
      <c r="BC181" s="799">
        <f>MIN(IF(ISERROR(VLOOKUP(BC$134-$F181,$E$135:$E$165,1,FALSE)),0,BB49*$C$2),MAX((IF(Monthly!AY$4=TRUE,Monthly!AY$13,Monthly!AY$14)*(1+'Attrition Modeling'!$N$8)-IFERROR(BB49/BB116,0)*12)/12*BB116,0))</f>
        <v>0</v>
      </c>
      <c r="BD181" s="799">
        <f>MIN(IF(ISERROR(VLOOKUP(BD$134-$F181,$E$135:$E$165,1,FALSE)),0,BC49*$C$2),MAX((IF(Monthly!AZ$4=TRUE,Monthly!AZ$13,Monthly!AZ$14)*(1+'Attrition Modeling'!$N$8)-IFERROR(BC49/BC116,0)*12)/12*BC116,0))</f>
        <v>0</v>
      </c>
      <c r="BE181" s="799">
        <f>MIN(IF(ISERROR(VLOOKUP(BE$134-$F181,$E$135:$E$165,1,FALSE)),0,BD49*$C$2),MAX((IF(Monthly!BA$4=TRUE,Monthly!BA$13,Monthly!BA$14)*(1+'Attrition Modeling'!$N$8)-IFERROR(BD49/BD116,0)*12)/12*BD116,0))</f>
        <v>0</v>
      </c>
      <c r="BF181" s="799">
        <f>MIN(IF(ISERROR(VLOOKUP(BF$134-$F181,$E$135:$E$165,1,FALSE)),0,BE49*$C$2),MAX((IF(Monthly!BB$4=TRUE,Monthly!BB$13,Monthly!BB$14)*(1+'Attrition Modeling'!$N$8)-IFERROR(BE49/BE116,0)*12)/12*BE116,0))</f>
        <v>0</v>
      </c>
      <c r="BG181" s="799">
        <f>MIN(IF(ISERROR(VLOOKUP(BG$134-$F181,$E$135:$E$165,1,FALSE)),0,BF49*$C$2),MAX((IF(Monthly!BC$4=TRUE,Monthly!BC$13,Monthly!BC$14)*(1+'Attrition Modeling'!$N$8)-IFERROR(BF49/BF116,0)*12)/12*BF116,0))</f>
        <v>566.61772058204747</v>
      </c>
      <c r="BH181" s="799">
        <f>MIN(IF(ISERROR(VLOOKUP(BH$134-$F181,$E$135:$E$165,1,FALSE)),0,BG49*$C$2),MAX((IF(Monthly!BD$4=TRUE,Monthly!BD$13,Monthly!BD$14)*(1+'Attrition Modeling'!$N$8)-IFERROR(BG49/BG116,0)*12)/12*BG116,0))</f>
        <v>0</v>
      </c>
      <c r="BI181" s="799">
        <f>MIN(IF(ISERROR(VLOOKUP(BI$134-$F181,$E$135:$E$165,1,FALSE)),0,BH49*$C$2),MAX((IF(Monthly!BE$4=TRUE,Monthly!BE$13,Monthly!BE$14)*(1+'Attrition Modeling'!$N$8)-IFERROR(BH49/BH116,0)*12)/12*BH116,0))</f>
        <v>0</v>
      </c>
      <c r="BJ181" s="799">
        <f>MIN(IF(ISERROR(VLOOKUP(BJ$134-$F181,$E$135:$E$165,1,FALSE)),0,BI49*$C$2),MAX((IF(Monthly!BF$4=TRUE,Monthly!BF$13,Monthly!BF$14)*(1+'Attrition Modeling'!$N$8)-IFERROR(BI49/BI116,0)*12)/12*BI116,0))</f>
        <v>0</v>
      </c>
      <c r="BK181" s="799">
        <f>MIN(IF(ISERROR(VLOOKUP(BK$134-$F181,$E$135:$E$165,1,FALSE)),0,BJ49*$C$2),MAX((IF(Monthly!BG$4=TRUE,Monthly!BG$13,Monthly!BG$14)*(1+'Attrition Modeling'!$N$8)-IFERROR(BJ49/BJ116,0)*12)/12*BJ116,0))</f>
        <v>0</v>
      </c>
      <c r="BL181" s="799">
        <f>MIN(IF(ISERROR(VLOOKUP(BL$134-$F181,$E$135:$E$165,1,FALSE)),0,BK49*$C$2),MAX((IF(Monthly!BH$4=TRUE,Monthly!BH$13,Monthly!BH$14)*(1+'Attrition Modeling'!$N$8)-IFERROR(BK49/BK116,0)*12)/12*BK116,0))</f>
        <v>0</v>
      </c>
      <c r="BM181" s="799">
        <f>MIN(IF(ISERROR(VLOOKUP(BM$134-$F181,$E$135:$E$165,1,FALSE)),0,BL49*$C$2),MAX((IF(Monthly!BI$4=TRUE,Monthly!BI$13,Monthly!BI$14)*(1+'Attrition Modeling'!$N$8)-IFERROR(BL49/BL116,0)*12)/12*BL116,0))</f>
        <v>0</v>
      </c>
      <c r="BN181" s="799">
        <f>MIN(IF(ISERROR(VLOOKUP(BN$134-$F181,$E$135:$E$165,1,FALSE)),0,BM49*$C$2),MAX((IF(Monthly!BJ$4=TRUE,Monthly!BJ$13,Monthly!BJ$14)*(1+'Attrition Modeling'!$N$8)-IFERROR(BM49/BM116,0)*12)/12*BM116,0))</f>
        <v>0</v>
      </c>
      <c r="BO181" s="799">
        <f>MIN(IF(ISERROR(VLOOKUP(BO$134-$F181,$E$135:$E$165,1,FALSE)),0,BN49*$C$2),MAX((IF(Monthly!BK$4=TRUE,Monthly!BK$13,Monthly!BK$14)*(1+'Attrition Modeling'!$N$8)-IFERROR(BN49/BN116,0)*12)/12*BN116,0))</f>
        <v>0</v>
      </c>
      <c r="BP181" s="799">
        <f>MIN(IF(ISERROR(VLOOKUP(BP$134-$F181,$E$135:$E$165,1,FALSE)),0,BO49*$C$2),MAX((IF(Monthly!BP$4=TRUE,Monthly!BP$13,Monthly!BP$14)*(1+'Attrition Modeling'!$N$8)-IFERROR(BO49/BO116,0)*12)/12*BO116,0))</f>
        <v>0</v>
      </c>
      <c r="BQ181" s="799">
        <f>MIN(IF(ISERROR(VLOOKUP(BQ$134-$F181,$E$135:$E$165,1,FALSE)),0,BP49*$C$2),MAX((IF(Monthly!BQ$4=TRUE,Monthly!BQ$13,Monthly!BQ$14)*(1+'Attrition Modeling'!$N$8)-IFERROR(BP49/BP116,0)*12)/12*BP116,0))</f>
        <v>0</v>
      </c>
      <c r="BR181" s="799">
        <f>MIN(IF(ISERROR(VLOOKUP(BR$134-$F181,$E$135:$E$165,1,FALSE)),0,BQ49*$C$2),MAX((IF(Monthly!BR$4=TRUE,Monthly!BR$13,Monthly!BR$14)*(1+'Attrition Modeling'!$N$8)-IFERROR(BQ49/BQ116,0)*12)/12*BQ116,0))</f>
        <v>0</v>
      </c>
      <c r="BS181" s="799">
        <f>MIN(IF(ISERROR(VLOOKUP(BS$134-$F181,$E$135:$E$165,1,FALSE)),0,BR49*$C$2),MAX((IF(Monthly!BS$4=TRUE,Monthly!BS$13,Monthly!BS$14)*(1+'Attrition Modeling'!$N$8)-IFERROR(BR49/BR116,0)*12)/12*BR116,0))</f>
        <v>295.50592649700508</v>
      </c>
      <c r="BT181" s="799">
        <f>MIN(IF(ISERROR(VLOOKUP(BT$134-$F181,$E$135:$E$165,1,FALSE)),0,BS49*$C$2),MAX((IF(Monthly!BT$4=TRUE,Monthly!BT$13,Monthly!BT$14)*(1+'Attrition Modeling'!$N$8)-IFERROR(BS49/BS116,0)*12)/12*BS116,0))</f>
        <v>0</v>
      </c>
      <c r="BU181" s="799">
        <f>MIN(IF(ISERROR(VLOOKUP(BU$134-$F181,$E$135:$E$165,1,FALSE)),0,BT49*$C$2),MAX((IF(Monthly!BU$4=TRUE,Monthly!BU$13,Monthly!BU$14)*(1+'Attrition Modeling'!$N$8)-IFERROR(BT49/BT116,0)*12)/12*BT116,0))</f>
        <v>0</v>
      </c>
    </row>
    <row r="182" spans="5:73" ht="14.25" customHeight="1" x14ac:dyDescent="0.2">
      <c r="E182" s="25"/>
      <c r="F182" s="11">
        <f t="shared" si="14"/>
        <v>47</v>
      </c>
      <c r="G182" s="799"/>
      <c r="H182" s="799">
        <f>MIN(IF(ISERROR(VLOOKUP(H$134-$F182,$E$135:$E$165,1,FALSE)),0,G50*$C$2),MAX((IF(Monthly!D$4=TRUE,Monthly!D$13,Monthly!D$14)*(1+'Attrition Modeling'!$N$8)-IFERROR(G50/G117,0)*12)/12*G117,0))</f>
        <v>0</v>
      </c>
      <c r="I182" s="799">
        <f>MIN(IF(ISERROR(VLOOKUP(I$134-$F182,$E$135:$E$165,1,FALSE)),0,H50*$C$2),MAX((IF(Monthly!E$4=TRUE,Monthly!E$13,Monthly!E$14)*(1+'Attrition Modeling'!$N$8)-IFERROR(H50/H117,0)*12)/12*H117,0))</f>
        <v>0</v>
      </c>
      <c r="J182" s="799">
        <f>MIN(IF(ISERROR(VLOOKUP(J$134-$F182,$E$135:$E$165,1,FALSE)),0,I50*$C$2),MAX((IF(Monthly!F$4=TRUE,Monthly!F$13,Monthly!F$14)*(1+'Attrition Modeling'!$N$8)-IFERROR(I50/I117,0)*12)/12*I117,0))</f>
        <v>0</v>
      </c>
      <c r="K182" s="799">
        <f>MIN(IF(ISERROR(VLOOKUP(K$134-$F182,$E$135:$E$165,1,FALSE)),0,J50*$C$2),MAX((IF(Monthly!G$4=TRUE,Monthly!G$13,Monthly!G$14)*(1+'Attrition Modeling'!$N$8)-IFERROR(J50/J117,0)*12)/12*J117,0))</f>
        <v>0</v>
      </c>
      <c r="L182" s="799">
        <f>MIN(IF(ISERROR(VLOOKUP(L$134-$F182,$E$135:$E$165,1,FALSE)),0,K50*$C$2),MAX((IF(Monthly!H$4=TRUE,Monthly!H$13,Monthly!H$14)*(1+'Attrition Modeling'!$N$8)-IFERROR(K50/K117,0)*12)/12*K117,0))</f>
        <v>0</v>
      </c>
      <c r="M182" s="799">
        <f>MIN(IF(ISERROR(VLOOKUP(M$134-$F182,$E$135:$E$165,1,FALSE)),0,L50*$C$2),MAX((IF(Monthly!I$4=TRUE,Monthly!I$13,Monthly!I$14)*(1+'Attrition Modeling'!$N$8)-IFERROR(L50/L117,0)*12)/12*L117,0))</f>
        <v>0</v>
      </c>
      <c r="N182" s="799">
        <f>MIN(IF(ISERROR(VLOOKUP(N$134-$F182,$E$135:$E$165,1,FALSE)),0,M50*$C$2),MAX((IF(Monthly!J$4=TRUE,Monthly!J$13,Monthly!J$14)*(1+'Attrition Modeling'!$N$8)-IFERROR(M50/M117,0)*12)/12*M117,0))</f>
        <v>0</v>
      </c>
      <c r="O182" s="799">
        <f>MIN(IF(ISERROR(VLOOKUP(O$134-$F182,$E$135:$E$165,1,FALSE)),0,N50*$C$2),MAX((IF(Monthly!K$4=TRUE,Monthly!K$13,Monthly!K$14)*(1+'Attrition Modeling'!$N$8)-IFERROR(N50/N117,0)*12)/12*N117,0))</f>
        <v>0</v>
      </c>
      <c r="P182" s="799">
        <f>MIN(IF(ISERROR(VLOOKUP(P$134-$F182,$E$135:$E$165,1,FALSE)),0,O50*$C$2),MAX((IF(Monthly!L$4=TRUE,Monthly!L$13,Monthly!L$14)*(1+'Attrition Modeling'!$N$8)-IFERROR(O50/O117,0)*12)/12*O117,0))</f>
        <v>0</v>
      </c>
      <c r="Q182" s="799">
        <f>MIN(IF(ISERROR(VLOOKUP(Q$134-$F182,$E$135:$E$165,1,FALSE)),0,P50*$C$2),MAX((IF(Monthly!M$4=TRUE,Monthly!M$13,Monthly!M$14)*(1+'Attrition Modeling'!$N$8)-IFERROR(P50/P117,0)*12)/12*P117,0))</f>
        <v>0</v>
      </c>
      <c r="R182" s="799">
        <f>MIN(IF(ISERROR(VLOOKUP(R$134-$F182,$E$135:$E$165,1,FALSE)),0,Q50*$C$2),MAX((IF(Monthly!N$4=TRUE,Monthly!N$13,Monthly!N$14)*(1+'Attrition Modeling'!$N$8)-IFERROR(Q50/Q117,0)*12)/12*Q117,0))</f>
        <v>0</v>
      </c>
      <c r="S182" s="799">
        <f>MIN(IF(ISERROR(VLOOKUP(S$134-$F182,$E$135:$E$165,1,FALSE)),0,R50*$C$2),MAX((IF(Monthly!O$4=TRUE,Monthly!O$13,Monthly!O$14)*(1+'Attrition Modeling'!$N$8)-IFERROR(R50/R117,0)*12)/12*R117,0))</f>
        <v>0</v>
      </c>
      <c r="T182" s="799">
        <f>MIN(IF(ISERROR(VLOOKUP(T$134-$F182,$E$135:$E$165,1,FALSE)),0,S50*$C$2),MAX((IF(Monthly!P$4=TRUE,Monthly!P$13,Monthly!P$14)*(1+'Attrition Modeling'!$N$8)-IFERROR(S50/S117,0)*12)/12*S117,0))</f>
        <v>0</v>
      </c>
      <c r="U182" s="799">
        <f>MIN(IF(ISERROR(VLOOKUP(U$134-$F182,$E$135:$E$165,1,FALSE)),0,T50*$C$2),MAX((IF(Monthly!Q$4=TRUE,Monthly!Q$13,Monthly!Q$14)*(1+'Attrition Modeling'!$N$8)-IFERROR(T50/T117,0)*12)/12*T117,0))</f>
        <v>0</v>
      </c>
      <c r="V182" s="799">
        <f>MIN(IF(ISERROR(VLOOKUP(V$134-$F182,$E$135:$E$165,1,FALSE)),0,U50*$C$2),MAX((IF(Monthly!R$4=TRUE,Monthly!R$13,Monthly!R$14)*(1+'Attrition Modeling'!$N$8)-IFERROR(U50/U117,0)*12)/12*U117,0))</f>
        <v>0</v>
      </c>
      <c r="W182" s="799">
        <f>MIN(IF(ISERROR(VLOOKUP(W$134-$F182,$E$135:$E$165,1,FALSE)),0,V50*$C$2),MAX((IF(Monthly!S$4=TRUE,Monthly!S$13,Monthly!S$14)*(1+'Attrition Modeling'!$N$8)-IFERROR(V50/V117,0)*12)/12*V117,0))</f>
        <v>0</v>
      </c>
      <c r="X182" s="799">
        <f>MIN(IF(ISERROR(VLOOKUP(X$134-$F182,$E$135:$E$165,1,FALSE)),0,W50*$C$2),MAX((IF(Monthly!T$4=TRUE,Monthly!T$13,Monthly!T$14)*(1+'Attrition Modeling'!$N$8)-IFERROR(W50/W117,0)*12)/12*W117,0))</f>
        <v>0</v>
      </c>
      <c r="Y182" s="799">
        <f>MIN(IF(ISERROR(VLOOKUP(Y$134-$F182,$E$135:$E$165,1,FALSE)),0,X50*$C$2),MAX((IF(Monthly!U$4=TRUE,Monthly!U$13,Monthly!U$14)*(1+'Attrition Modeling'!$N$8)-IFERROR(X50/X117,0)*12)/12*X117,0))</f>
        <v>0</v>
      </c>
      <c r="Z182" s="799">
        <f>MIN(IF(ISERROR(VLOOKUP(Z$134-$F182,$E$135:$E$165,1,FALSE)),0,Y50*$C$2),MAX((IF(Monthly!V$4=TRUE,Monthly!V$13,Monthly!V$14)*(1+'Attrition Modeling'!$N$8)-IFERROR(Y50/Y117,0)*12)/12*Y117,0))</f>
        <v>0</v>
      </c>
      <c r="AA182" s="799">
        <f>MIN(IF(ISERROR(VLOOKUP(AA$134-$F182,$E$135:$E$165,1,FALSE)),0,Z50*$C$2),MAX((IF(Monthly!W$4=TRUE,Monthly!W$13,Monthly!W$14)*(1+'Attrition Modeling'!$N$8)-IFERROR(Z50/Z117,0)*12)/12*Z117,0))</f>
        <v>0</v>
      </c>
      <c r="AB182" s="799">
        <f>MIN(IF(ISERROR(VLOOKUP(AB$134-$F182,$E$135:$E$165,1,FALSE)),0,AA50*$C$2),MAX((IF(Monthly!X$4=TRUE,Monthly!X$13,Monthly!X$14)*(1+'Attrition Modeling'!$N$8)-IFERROR(AA50/AA117,0)*12)/12*AA117,0))</f>
        <v>0</v>
      </c>
      <c r="AC182" s="799">
        <f>MIN(IF(ISERROR(VLOOKUP(AC$134-$F182,$E$135:$E$165,1,FALSE)),0,AB50*$C$2),MAX((IF(Monthly!Y$4=TRUE,Monthly!Y$13,Monthly!Y$14)*(1+'Attrition Modeling'!$N$8)-IFERROR(AB50/AB117,0)*12)/12*AB117,0))</f>
        <v>0</v>
      </c>
      <c r="AD182" s="799">
        <f>MIN(IF(ISERROR(VLOOKUP(AD$134-$F182,$E$135:$E$165,1,FALSE)),0,AC50*$C$2),MAX((IF(Monthly!Z$4=TRUE,Monthly!Z$13,Monthly!Z$14)*(1+'Attrition Modeling'!$N$8)-IFERROR(AC50/AC117,0)*12)/12*AC117,0))</f>
        <v>0</v>
      </c>
      <c r="AE182" s="799">
        <f>MIN(IF(ISERROR(VLOOKUP(AE$134-$F182,$E$135:$E$165,1,FALSE)),0,AD50*$C$2),MAX((IF(Monthly!AA$4=TRUE,Monthly!AA$13,Monthly!AA$14)*(1+'Attrition Modeling'!$N$8)-IFERROR(AD50/AD117,0)*12)/12*AD117,0))</f>
        <v>0</v>
      </c>
      <c r="AF182" s="799">
        <f>MIN(IF(ISERROR(VLOOKUP(AF$134-$F182,$E$135:$E$165,1,FALSE)),0,AE50*$C$2),MAX((IF(Monthly!AB$4=TRUE,Monthly!AB$13,Monthly!AB$14)*(1+'Attrition Modeling'!$N$8)-IFERROR(AE50/AE117,0)*12)/12*AE117,0))</f>
        <v>0</v>
      </c>
      <c r="AG182" s="799">
        <f>MIN(IF(ISERROR(VLOOKUP(AG$134-$F182,$E$135:$E$165,1,FALSE)),0,AF50*$C$2),MAX((IF(Monthly!AC$4=TRUE,Monthly!AC$13,Monthly!AC$14)*(1+'Attrition Modeling'!$N$8)-IFERROR(AF50/AF117,0)*12)/12*AF117,0))</f>
        <v>0</v>
      </c>
      <c r="AH182" s="799">
        <f>MIN(IF(ISERROR(VLOOKUP(AH$134-$F182,$E$135:$E$165,1,FALSE)),0,AG50*$C$2),MAX((IF(Monthly!AD$4=TRUE,Monthly!AD$13,Monthly!AD$14)*(1+'Attrition Modeling'!$N$8)-IFERROR(AG50/AG117,0)*12)/12*AG117,0))</f>
        <v>0</v>
      </c>
      <c r="AI182" s="799">
        <f>MIN(IF(ISERROR(VLOOKUP(AI$134-$F182,$E$135:$E$165,1,FALSE)),0,AH50*$C$2),MAX((IF(Monthly!AE$4=TRUE,Monthly!AE$13,Monthly!AE$14)*(1+'Attrition Modeling'!$N$8)-IFERROR(AH50/AH117,0)*12)/12*AH117,0))</f>
        <v>0</v>
      </c>
      <c r="AJ182" s="799">
        <f>MIN(IF(ISERROR(VLOOKUP(AJ$134-$F182,$E$135:$E$165,1,FALSE)),0,AI50*$C$2),MAX((IF(Monthly!AF$4=TRUE,Monthly!AF$13,Monthly!AF$14)*(1+'Attrition Modeling'!$N$8)-IFERROR(AI50/AI117,0)*12)/12*AI117,0))</f>
        <v>0</v>
      </c>
      <c r="AK182" s="799">
        <f>MIN(IF(ISERROR(VLOOKUP(AK$134-$F182,$E$135:$E$165,1,FALSE)),0,AJ50*$C$2),MAX((IF(Monthly!AG$4=TRUE,Monthly!AG$13,Monthly!AG$14)*(1+'Attrition Modeling'!$N$8)-IFERROR(AJ50/AJ117,0)*12)/12*AJ117,0))</f>
        <v>0</v>
      </c>
      <c r="AL182" s="799">
        <f>MIN(IF(ISERROR(VLOOKUP(AL$134-$F182,$E$135:$E$165,1,FALSE)),0,AK50*$C$2),MAX((IF(Monthly!AH$4=TRUE,Monthly!AH$13,Monthly!AH$14)*(1+'Attrition Modeling'!$N$8)-IFERROR(AK50/AK117,0)*12)/12*AK117,0))</f>
        <v>0</v>
      </c>
      <c r="AM182" s="799">
        <f>MIN(IF(ISERROR(VLOOKUP(AM$134-$F182,$E$135:$E$165,1,FALSE)),0,AL50*$C$2),MAX((IF(Monthly!AI$4=TRUE,Monthly!AI$13,Monthly!AI$14)*(1+'Attrition Modeling'!$N$8)-IFERROR(AL50/AL117,0)*12)/12*AL117,0))</f>
        <v>0</v>
      </c>
      <c r="AN182" s="799">
        <f>MIN(IF(ISERROR(VLOOKUP(AN$134-$F182,$E$135:$E$165,1,FALSE)),0,AM50*$C$2),MAX((IF(Monthly!AJ$4=TRUE,Monthly!AJ$13,Monthly!AJ$14)*(1+'Attrition Modeling'!$N$8)-IFERROR(AM50/AM117,0)*12)/12*AM117,0))</f>
        <v>0</v>
      </c>
      <c r="AO182" s="799">
        <f>MIN(IF(ISERROR(VLOOKUP(AO$134-$F182,$E$135:$E$165,1,FALSE)),0,AN50*$C$2),MAX((IF(Monthly!AK$4=TRUE,Monthly!AK$13,Monthly!AK$14)*(1+'Attrition Modeling'!$N$8)-IFERROR(AN50/AN117,0)*12)/12*AN117,0))</f>
        <v>0</v>
      </c>
      <c r="AP182" s="799">
        <f>MIN(IF(ISERROR(VLOOKUP(AP$134-$F182,$E$135:$E$165,1,FALSE)),0,AO50*$C$2),MAX((IF(Monthly!AL$4=TRUE,Monthly!AL$13,Monthly!AL$14)*(1+'Attrition Modeling'!$N$8)-IFERROR(AO50/AO117,0)*12)/12*AO117,0))</f>
        <v>0</v>
      </c>
      <c r="AQ182" s="799">
        <f>MIN(IF(ISERROR(VLOOKUP(AQ$134-$F182,$E$135:$E$165,1,FALSE)),0,AP50*$C$2),MAX((IF(Monthly!AM$4=TRUE,Monthly!AM$13,Monthly!AM$14)*(1+'Attrition Modeling'!$N$8)-IFERROR(AP50/AP117,0)*12)/12*AP117,0))</f>
        <v>0</v>
      </c>
      <c r="AR182" s="799">
        <f>MIN(IF(ISERROR(VLOOKUP(AR$134-$F182,$E$135:$E$165,1,FALSE)),0,AQ50*$C$2),MAX((IF(Monthly!AN$4=TRUE,Monthly!AN$13,Monthly!AN$14)*(1+'Attrition Modeling'!$N$8)-IFERROR(AQ50/AQ117,0)*12)/12*AQ117,0))</f>
        <v>0</v>
      </c>
      <c r="AS182" s="799">
        <f>MIN(IF(ISERROR(VLOOKUP(AS$134-$F182,$E$135:$E$165,1,FALSE)),0,AR50*$C$2),MAX((IF(Monthly!AO$4=TRUE,Monthly!AO$13,Monthly!AO$14)*(1+'Attrition Modeling'!$N$8)-IFERROR(AR50/AR117,0)*12)/12*AR117,0))</f>
        <v>0</v>
      </c>
      <c r="AT182" s="799">
        <f>MIN(IF(ISERROR(VLOOKUP(AT$134-$F182,$E$135:$E$165,1,FALSE)),0,AS50*$C$2),MAX((IF(Monthly!AP$4=TRUE,Monthly!AP$13,Monthly!AP$14)*(1+'Attrition Modeling'!$N$8)-IFERROR(AS50/AS117,0)*12)/12*AS117,0))</f>
        <v>0</v>
      </c>
      <c r="AU182" s="799">
        <f>MIN(IF(ISERROR(VLOOKUP(AU$134-$F182,$E$135:$E$165,1,FALSE)),0,AT50*$C$2),MAX((IF(Monthly!AQ$4=TRUE,Monthly!AQ$13,Monthly!AQ$14)*(1+'Attrition Modeling'!$N$8)-IFERROR(AT50/AT117,0)*12)/12*AT117,0))</f>
        <v>0</v>
      </c>
      <c r="AV182" s="799">
        <f>MIN(IF(ISERROR(VLOOKUP(AV$134-$F182,$E$135:$E$165,1,FALSE)),0,AU50*$C$2),MAX((IF(Monthly!AR$4=TRUE,Monthly!AR$13,Monthly!AR$14)*(1+'Attrition Modeling'!$N$8)-IFERROR(AU50/AU117,0)*12)/12*AU117,0))</f>
        <v>0</v>
      </c>
      <c r="AW182" s="799">
        <f>MIN(IF(ISERROR(VLOOKUP(AW$134-$F182,$E$135:$E$165,1,FALSE)),0,AV50*$C$2),MAX((IF(Monthly!AS$4=TRUE,Monthly!AS$13,Monthly!AS$14)*(1+'Attrition Modeling'!$N$8)-IFERROR(AV50/AV117,0)*12)/12*AV117,0))</f>
        <v>0</v>
      </c>
      <c r="AX182" s="799">
        <f>MIN(IF(ISERROR(VLOOKUP(AX$134-$F182,$E$135:$E$165,1,FALSE)),0,AW50*$C$2),MAX((IF(Monthly!AT$4=TRUE,Monthly!AT$13,Monthly!AT$14)*(1+'Attrition Modeling'!$N$8)-IFERROR(AW50/AW117,0)*12)/12*AW117,0))</f>
        <v>0</v>
      </c>
      <c r="AY182" s="799">
        <f>MIN(IF(ISERROR(VLOOKUP(AY$134-$F182,$E$135:$E$165,1,FALSE)),0,AX50*$C$2),MAX((IF(Monthly!AU$4=TRUE,Monthly!AU$13,Monthly!AU$14)*(1+'Attrition Modeling'!$N$8)-IFERROR(AX50/AX117,0)*12)/12*AX117,0))</f>
        <v>0</v>
      </c>
      <c r="AZ182" s="799">
        <f>MIN(IF(ISERROR(VLOOKUP(AZ$134-$F182,$E$135:$E$165,1,FALSE)),0,AY50*$C$2),MAX((IF(Monthly!AV$4=TRUE,Monthly!AV$13,Monthly!AV$14)*(1+'Attrition Modeling'!$N$8)-IFERROR(AY50/AY117,0)*12)/12*AY117,0))</f>
        <v>0</v>
      </c>
      <c r="BA182" s="799">
        <f>MIN(IF(ISERROR(VLOOKUP(BA$134-$F182,$E$135:$E$165,1,FALSE)),0,AZ50*$C$2),MAX((IF(Monthly!AW$4=TRUE,Monthly!AW$13,Monthly!AW$14)*(1+'Attrition Modeling'!$N$8)-IFERROR(AZ50/AZ117,0)*12)/12*AZ117,0))</f>
        <v>0</v>
      </c>
      <c r="BB182" s="799">
        <f>MIN(IF(ISERROR(VLOOKUP(BB$134-$F182,$E$135:$E$165,1,FALSE)),0,BA50*$C$2),MAX((IF(Monthly!AX$4=TRUE,Monthly!AX$13,Monthly!AX$14)*(1+'Attrition Modeling'!$N$8)-IFERROR(BA50/BA117,0)*12)/12*BA117,0))</f>
        <v>0</v>
      </c>
      <c r="BC182" s="799">
        <f>MIN(IF(ISERROR(VLOOKUP(BC$134-$F182,$E$135:$E$165,1,FALSE)),0,BB50*$C$2),MAX((IF(Monthly!AY$4=TRUE,Monthly!AY$13,Monthly!AY$14)*(1+'Attrition Modeling'!$N$8)-IFERROR(BB50/BB117,0)*12)/12*BB117,0))</f>
        <v>0</v>
      </c>
      <c r="BD182" s="799">
        <f>MIN(IF(ISERROR(VLOOKUP(BD$134-$F182,$E$135:$E$165,1,FALSE)),0,BC50*$C$2),MAX((IF(Monthly!AZ$4=TRUE,Monthly!AZ$13,Monthly!AZ$14)*(1+'Attrition Modeling'!$N$8)-IFERROR(BC50/BC117,0)*12)/12*BC117,0))</f>
        <v>0</v>
      </c>
      <c r="BE182" s="799">
        <f>MIN(IF(ISERROR(VLOOKUP(BE$134-$F182,$E$135:$E$165,1,FALSE)),0,BD50*$C$2),MAX((IF(Monthly!BA$4=TRUE,Monthly!BA$13,Monthly!BA$14)*(1+'Attrition Modeling'!$N$8)-IFERROR(BD50/BD117,0)*12)/12*BD117,0))</f>
        <v>0</v>
      </c>
      <c r="BF182" s="799">
        <f>MIN(IF(ISERROR(VLOOKUP(BF$134-$F182,$E$135:$E$165,1,FALSE)),0,BE50*$C$2),MAX((IF(Monthly!BB$4=TRUE,Monthly!BB$13,Monthly!BB$14)*(1+'Attrition Modeling'!$N$8)-IFERROR(BE50/BE117,0)*12)/12*BE117,0))</f>
        <v>0</v>
      </c>
      <c r="BG182" s="799">
        <f>MIN(IF(ISERROR(VLOOKUP(BG$134-$F182,$E$135:$E$165,1,FALSE)),0,BF50*$C$2),MAX((IF(Monthly!BC$4=TRUE,Monthly!BC$13,Monthly!BC$14)*(1+'Attrition Modeling'!$N$8)-IFERROR(BF50/BF117,0)*12)/12*BF117,0))</f>
        <v>0</v>
      </c>
      <c r="BH182" s="799">
        <f>MIN(IF(ISERROR(VLOOKUP(BH$134-$F182,$E$135:$E$165,1,FALSE)),0,BG50*$C$2),MAX((IF(Monthly!BD$4=TRUE,Monthly!BD$13,Monthly!BD$14)*(1+'Attrition Modeling'!$N$8)-IFERROR(BG50/BG117,0)*12)/12*BG117,0))</f>
        <v>548.09721245727087</v>
      </c>
      <c r="BI182" s="799">
        <f>MIN(IF(ISERROR(VLOOKUP(BI$134-$F182,$E$135:$E$165,1,FALSE)),0,BH50*$C$2),MAX((IF(Monthly!BE$4=TRUE,Monthly!BE$13,Monthly!BE$14)*(1+'Attrition Modeling'!$N$8)-IFERROR(BH50/BH117,0)*12)/12*BH117,0))</f>
        <v>0</v>
      </c>
      <c r="BJ182" s="799">
        <f>MIN(IF(ISERROR(VLOOKUP(BJ$134-$F182,$E$135:$E$165,1,FALSE)),0,BI50*$C$2),MAX((IF(Monthly!BF$4=TRUE,Monthly!BF$13,Monthly!BF$14)*(1+'Attrition Modeling'!$N$8)-IFERROR(BI50/BI117,0)*12)/12*BI117,0))</f>
        <v>0</v>
      </c>
      <c r="BK182" s="799">
        <f>MIN(IF(ISERROR(VLOOKUP(BK$134-$F182,$E$135:$E$165,1,FALSE)),0,BJ50*$C$2),MAX((IF(Monthly!BG$4=TRUE,Monthly!BG$13,Monthly!BG$14)*(1+'Attrition Modeling'!$N$8)-IFERROR(BJ50/BJ117,0)*12)/12*BJ117,0))</f>
        <v>0</v>
      </c>
      <c r="BL182" s="799">
        <f>MIN(IF(ISERROR(VLOOKUP(BL$134-$F182,$E$135:$E$165,1,FALSE)),0,BK50*$C$2),MAX((IF(Monthly!BH$4=TRUE,Monthly!BH$13,Monthly!BH$14)*(1+'Attrition Modeling'!$N$8)-IFERROR(BK50/BK117,0)*12)/12*BK117,0))</f>
        <v>0</v>
      </c>
      <c r="BM182" s="799">
        <f>MIN(IF(ISERROR(VLOOKUP(BM$134-$F182,$E$135:$E$165,1,FALSE)),0,BL50*$C$2),MAX((IF(Monthly!BI$4=TRUE,Monthly!BI$13,Monthly!BI$14)*(1+'Attrition Modeling'!$N$8)-IFERROR(BL50/BL117,0)*12)/12*BL117,0))</f>
        <v>0</v>
      </c>
      <c r="BN182" s="799">
        <f>MIN(IF(ISERROR(VLOOKUP(BN$134-$F182,$E$135:$E$165,1,FALSE)),0,BM50*$C$2),MAX((IF(Monthly!BJ$4=TRUE,Monthly!BJ$13,Monthly!BJ$14)*(1+'Attrition Modeling'!$N$8)-IFERROR(BM50/BM117,0)*12)/12*BM117,0))</f>
        <v>0</v>
      </c>
      <c r="BO182" s="799">
        <f>MIN(IF(ISERROR(VLOOKUP(BO$134-$F182,$E$135:$E$165,1,FALSE)),0,BN50*$C$2),MAX((IF(Monthly!BK$4=TRUE,Monthly!BK$13,Monthly!BK$14)*(1+'Attrition Modeling'!$N$8)-IFERROR(BN50/BN117,0)*12)/12*BN117,0))</f>
        <v>0</v>
      </c>
      <c r="BP182" s="799">
        <f>MIN(IF(ISERROR(VLOOKUP(BP$134-$F182,$E$135:$E$165,1,FALSE)),0,BO50*$C$2),MAX((IF(Monthly!BP$4=TRUE,Monthly!BP$13,Monthly!BP$14)*(1+'Attrition Modeling'!$N$8)-IFERROR(BO50/BO117,0)*12)/12*BO117,0))</f>
        <v>0</v>
      </c>
      <c r="BQ182" s="799">
        <f>MIN(IF(ISERROR(VLOOKUP(BQ$134-$F182,$E$135:$E$165,1,FALSE)),0,BP50*$C$2),MAX((IF(Monthly!BQ$4=TRUE,Monthly!BQ$13,Monthly!BQ$14)*(1+'Attrition Modeling'!$N$8)-IFERROR(BP50/BP117,0)*12)/12*BP117,0))</f>
        <v>0</v>
      </c>
      <c r="BR182" s="799">
        <f>MIN(IF(ISERROR(VLOOKUP(BR$134-$F182,$E$135:$E$165,1,FALSE)),0,BQ50*$C$2),MAX((IF(Monthly!BR$4=TRUE,Monthly!BR$13,Monthly!BR$14)*(1+'Attrition Modeling'!$N$8)-IFERROR(BQ50/BQ117,0)*12)/12*BQ117,0))</f>
        <v>0</v>
      </c>
      <c r="BS182" s="799">
        <f>MIN(IF(ISERROR(VLOOKUP(BS$134-$F182,$E$135:$E$165,1,FALSE)),0,BR50*$C$2),MAX((IF(Monthly!BS$4=TRUE,Monthly!BS$13,Monthly!BS$14)*(1+'Attrition Modeling'!$N$8)-IFERROR(BR50/BR117,0)*12)/12*BR117,0))</f>
        <v>0</v>
      </c>
      <c r="BT182" s="799">
        <f>MIN(IF(ISERROR(VLOOKUP(BT$134-$F182,$E$135:$E$165,1,FALSE)),0,BS50*$C$2),MAX((IF(Monthly!BT$4=TRUE,Monthly!BT$13,Monthly!BT$14)*(1+'Attrition Modeling'!$N$8)-IFERROR(BS50/BS117,0)*12)/12*BS117,0))</f>
        <v>297.10918584028082</v>
      </c>
      <c r="BU182" s="799">
        <f>MIN(IF(ISERROR(VLOOKUP(BU$134-$F182,$E$135:$E$165,1,FALSE)),0,BT50*$C$2),MAX((IF(Monthly!BU$4=TRUE,Monthly!BU$13,Monthly!BU$14)*(1+'Attrition Modeling'!$N$8)-IFERROR(BT50/BT117,0)*12)/12*BT117,0))</f>
        <v>0</v>
      </c>
    </row>
    <row r="183" spans="5:73" ht="14.25" customHeight="1" x14ac:dyDescent="0.2">
      <c r="E183" s="25"/>
      <c r="F183" s="11">
        <f t="shared" si="14"/>
        <v>48</v>
      </c>
      <c r="G183" s="799"/>
      <c r="H183" s="799">
        <f>MIN(IF(ISERROR(VLOOKUP(H$134-$F183,$E$135:$E$165,1,FALSE)),0,G51*$C$2),MAX((IF(Monthly!D$4=TRUE,Monthly!D$13,Monthly!D$14)*(1+'Attrition Modeling'!$N$8)-IFERROR(G51/G118,0)*12)/12*G118,0))</f>
        <v>0</v>
      </c>
      <c r="I183" s="799">
        <f>MIN(IF(ISERROR(VLOOKUP(I$134-$F183,$E$135:$E$165,1,FALSE)),0,H51*$C$2),MAX((IF(Monthly!E$4=TRUE,Monthly!E$13,Monthly!E$14)*(1+'Attrition Modeling'!$N$8)-IFERROR(H51/H118,0)*12)/12*H118,0))</f>
        <v>0</v>
      </c>
      <c r="J183" s="799">
        <f>MIN(IF(ISERROR(VLOOKUP(J$134-$F183,$E$135:$E$165,1,FALSE)),0,I51*$C$2),MAX((IF(Monthly!F$4=TRUE,Monthly!F$13,Monthly!F$14)*(1+'Attrition Modeling'!$N$8)-IFERROR(I51/I118,0)*12)/12*I118,0))</f>
        <v>0</v>
      </c>
      <c r="K183" s="799">
        <f>MIN(IF(ISERROR(VLOOKUP(K$134-$F183,$E$135:$E$165,1,FALSE)),0,J51*$C$2),MAX((IF(Monthly!G$4=TRUE,Monthly!G$13,Monthly!G$14)*(1+'Attrition Modeling'!$N$8)-IFERROR(J51/J118,0)*12)/12*J118,0))</f>
        <v>0</v>
      </c>
      <c r="L183" s="799">
        <f>MIN(IF(ISERROR(VLOOKUP(L$134-$F183,$E$135:$E$165,1,FALSE)),0,K51*$C$2),MAX((IF(Monthly!H$4=TRUE,Monthly!H$13,Monthly!H$14)*(1+'Attrition Modeling'!$N$8)-IFERROR(K51/K118,0)*12)/12*K118,0))</f>
        <v>0</v>
      </c>
      <c r="M183" s="799">
        <f>MIN(IF(ISERROR(VLOOKUP(M$134-$F183,$E$135:$E$165,1,FALSE)),0,L51*$C$2),MAX((IF(Monthly!I$4=TRUE,Monthly!I$13,Monthly!I$14)*(1+'Attrition Modeling'!$N$8)-IFERROR(L51/L118,0)*12)/12*L118,0))</f>
        <v>0</v>
      </c>
      <c r="N183" s="799">
        <f>MIN(IF(ISERROR(VLOOKUP(N$134-$F183,$E$135:$E$165,1,FALSE)),0,M51*$C$2),MAX((IF(Monthly!J$4=TRUE,Monthly!J$13,Monthly!J$14)*(1+'Attrition Modeling'!$N$8)-IFERROR(M51/M118,0)*12)/12*M118,0))</f>
        <v>0</v>
      </c>
      <c r="O183" s="799">
        <f>MIN(IF(ISERROR(VLOOKUP(O$134-$F183,$E$135:$E$165,1,FALSE)),0,N51*$C$2),MAX((IF(Monthly!K$4=TRUE,Monthly!K$13,Monthly!K$14)*(1+'Attrition Modeling'!$N$8)-IFERROR(N51/N118,0)*12)/12*N118,0))</f>
        <v>0</v>
      </c>
      <c r="P183" s="799">
        <f>MIN(IF(ISERROR(VLOOKUP(P$134-$F183,$E$135:$E$165,1,FALSE)),0,O51*$C$2),MAX((IF(Monthly!L$4=TRUE,Monthly!L$13,Monthly!L$14)*(1+'Attrition Modeling'!$N$8)-IFERROR(O51/O118,0)*12)/12*O118,0))</f>
        <v>0</v>
      </c>
      <c r="Q183" s="799">
        <f>MIN(IF(ISERROR(VLOOKUP(Q$134-$F183,$E$135:$E$165,1,FALSE)),0,P51*$C$2),MAX((IF(Monthly!M$4=TRUE,Monthly!M$13,Monthly!M$14)*(1+'Attrition Modeling'!$N$8)-IFERROR(P51/P118,0)*12)/12*P118,0))</f>
        <v>0</v>
      </c>
      <c r="R183" s="799">
        <f>MIN(IF(ISERROR(VLOOKUP(R$134-$F183,$E$135:$E$165,1,FALSE)),0,Q51*$C$2),MAX((IF(Monthly!N$4=TRUE,Monthly!N$13,Monthly!N$14)*(1+'Attrition Modeling'!$N$8)-IFERROR(Q51/Q118,0)*12)/12*Q118,0))</f>
        <v>0</v>
      </c>
      <c r="S183" s="799">
        <f>MIN(IF(ISERROR(VLOOKUP(S$134-$F183,$E$135:$E$165,1,FALSE)),0,R51*$C$2),MAX((IF(Monthly!O$4=TRUE,Monthly!O$13,Monthly!O$14)*(1+'Attrition Modeling'!$N$8)-IFERROR(R51/R118,0)*12)/12*R118,0))</f>
        <v>0</v>
      </c>
      <c r="T183" s="799">
        <f>MIN(IF(ISERROR(VLOOKUP(T$134-$F183,$E$135:$E$165,1,FALSE)),0,S51*$C$2),MAX((IF(Monthly!P$4=TRUE,Monthly!P$13,Monthly!P$14)*(1+'Attrition Modeling'!$N$8)-IFERROR(S51/S118,0)*12)/12*S118,0))</f>
        <v>0</v>
      </c>
      <c r="U183" s="799">
        <f>MIN(IF(ISERROR(VLOOKUP(U$134-$F183,$E$135:$E$165,1,FALSE)),0,T51*$C$2),MAX((IF(Monthly!Q$4=TRUE,Monthly!Q$13,Monthly!Q$14)*(1+'Attrition Modeling'!$N$8)-IFERROR(T51/T118,0)*12)/12*T118,0))</f>
        <v>0</v>
      </c>
      <c r="V183" s="799">
        <f>MIN(IF(ISERROR(VLOOKUP(V$134-$F183,$E$135:$E$165,1,FALSE)),0,U51*$C$2),MAX((IF(Monthly!R$4=TRUE,Monthly!R$13,Monthly!R$14)*(1+'Attrition Modeling'!$N$8)-IFERROR(U51/U118,0)*12)/12*U118,0))</f>
        <v>0</v>
      </c>
      <c r="W183" s="799">
        <f>MIN(IF(ISERROR(VLOOKUP(W$134-$F183,$E$135:$E$165,1,FALSE)),0,V51*$C$2),MAX((IF(Monthly!S$4=TRUE,Monthly!S$13,Monthly!S$14)*(1+'Attrition Modeling'!$N$8)-IFERROR(V51/V118,0)*12)/12*V118,0))</f>
        <v>0</v>
      </c>
      <c r="X183" s="799">
        <f>MIN(IF(ISERROR(VLOOKUP(X$134-$F183,$E$135:$E$165,1,FALSE)),0,W51*$C$2),MAX((IF(Monthly!T$4=TRUE,Monthly!T$13,Monthly!T$14)*(1+'Attrition Modeling'!$N$8)-IFERROR(W51/W118,0)*12)/12*W118,0))</f>
        <v>0</v>
      </c>
      <c r="Y183" s="799">
        <f>MIN(IF(ISERROR(VLOOKUP(Y$134-$F183,$E$135:$E$165,1,FALSE)),0,X51*$C$2),MAX((IF(Monthly!U$4=TRUE,Monthly!U$13,Monthly!U$14)*(1+'Attrition Modeling'!$N$8)-IFERROR(X51/X118,0)*12)/12*X118,0))</f>
        <v>0</v>
      </c>
      <c r="Z183" s="799">
        <f>MIN(IF(ISERROR(VLOOKUP(Z$134-$F183,$E$135:$E$165,1,FALSE)),0,Y51*$C$2),MAX((IF(Monthly!V$4=TRUE,Monthly!V$13,Monthly!V$14)*(1+'Attrition Modeling'!$N$8)-IFERROR(Y51/Y118,0)*12)/12*Y118,0))</f>
        <v>0</v>
      </c>
      <c r="AA183" s="799">
        <f>MIN(IF(ISERROR(VLOOKUP(AA$134-$F183,$E$135:$E$165,1,FALSE)),0,Z51*$C$2),MAX((IF(Monthly!W$4=TRUE,Monthly!W$13,Monthly!W$14)*(1+'Attrition Modeling'!$N$8)-IFERROR(Z51/Z118,0)*12)/12*Z118,0))</f>
        <v>0</v>
      </c>
      <c r="AB183" s="799">
        <f>MIN(IF(ISERROR(VLOOKUP(AB$134-$F183,$E$135:$E$165,1,FALSE)),0,AA51*$C$2),MAX((IF(Monthly!X$4=TRUE,Monthly!X$13,Monthly!X$14)*(1+'Attrition Modeling'!$N$8)-IFERROR(AA51/AA118,0)*12)/12*AA118,0))</f>
        <v>0</v>
      </c>
      <c r="AC183" s="799">
        <f>MIN(IF(ISERROR(VLOOKUP(AC$134-$F183,$E$135:$E$165,1,FALSE)),0,AB51*$C$2),MAX((IF(Monthly!Y$4=TRUE,Monthly!Y$13,Monthly!Y$14)*(1+'Attrition Modeling'!$N$8)-IFERROR(AB51/AB118,0)*12)/12*AB118,0))</f>
        <v>0</v>
      </c>
      <c r="AD183" s="799">
        <f>MIN(IF(ISERROR(VLOOKUP(AD$134-$F183,$E$135:$E$165,1,FALSE)),0,AC51*$C$2),MAX((IF(Monthly!Z$4=TRUE,Monthly!Z$13,Monthly!Z$14)*(1+'Attrition Modeling'!$N$8)-IFERROR(AC51/AC118,0)*12)/12*AC118,0))</f>
        <v>0</v>
      </c>
      <c r="AE183" s="799">
        <f>MIN(IF(ISERROR(VLOOKUP(AE$134-$F183,$E$135:$E$165,1,FALSE)),0,AD51*$C$2),MAX((IF(Monthly!AA$4=TRUE,Monthly!AA$13,Monthly!AA$14)*(1+'Attrition Modeling'!$N$8)-IFERROR(AD51/AD118,0)*12)/12*AD118,0))</f>
        <v>0</v>
      </c>
      <c r="AF183" s="799">
        <f>MIN(IF(ISERROR(VLOOKUP(AF$134-$F183,$E$135:$E$165,1,FALSE)),0,AE51*$C$2),MAX((IF(Monthly!AB$4=TRUE,Monthly!AB$13,Monthly!AB$14)*(1+'Attrition Modeling'!$N$8)-IFERROR(AE51/AE118,0)*12)/12*AE118,0))</f>
        <v>0</v>
      </c>
      <c r="AG183" s="799">
        <f>MIN(IF(ISERROR(VLOOKUP(AG$134-$F183,$E$135:$E$165,1,FALSE)),0,AF51*$C$2),MAX((IF(Monthly!AC$4=TRUE,Monthly!AC$13,Monthly!AC$14)*(1+'Attrition Modeling'!$N$8)-IFERROR(AF51/AF118,0)*12)/12*AF118,0))</f>
        <v>0</v>
      </c>
      <c r="AH183" s="799">
        <f>MIN(IF(ISERROR(VLOOKUP(AH$134-$F183,$E$135:$E$165,1,FALSE)),0,AG51*$C$2),MAX((IF(Monthly!AD$4=TRUE,Monthly!AD$13,Monthly!AD$14)*(1+'Attrition Modeling'!$N$8)-IFERROR(AG51/AG118,0)*12)/12*AG118,0))</f>
        <v>0</v>
      </c>
      <c r="AI183" s="799">
        <f>MIN(IF(ISERROR(VLOOKUP(AI$134-$F183,$E$135:$E$165,1,FALSE)),0,AH51*$C$2),MAX((IF(Monthly!AE$4=TRUE,Monthly!AE$13,Monthly!AE$14)*(1+'Attrition Modeling'!$N$8)-IFERROR(AH51/AH118,0)*12)/12*AH118,0))</f>
        <v>0</v>
      </c>
      <c r="AJ183" s="799">
        <f>MIN(IF(ISERROR(VLOOKUP(AJ$134-$F183,$E$135:$E$165,1,FALSE)),0,AI51*$C$2),MAX((IF(Monthly!AF$4=TRUE,Monthly!AF$13,Monthly!AF$14)*(1+'Attrition Modeling'!$N$8)-IFERROR(AI51/AI118,0)*12)/12*AI118,0))</f>
        <v>0</v>
      </c>
      <c r="AK183" s="799">
        <f>MIN(IF(ISERROR(VLOOKUP(AK$134-$F183,$E$135:$E$165,1,FALSE)),0,AJ51*$C$2),MAX((IF(Monthly!AG$4=TRUE,Monthly!AG$13,Monthly!AG$14)*(1+'Attrition Modeling'!$N$8)-IFERROR(AJ51/AJ118,0)*12)/12*AJ118,0))</f>
        <v>0</v>
      </c>
      <c r="AL183" s="799">
        <f>MIN(IF(ISERROR(VLOOKUP(AL$134-$F183,$E$135:$E$165,1,FALSE)),0,AK51*$C$2),MAX((IF(Monthly!AH$4=TRUE,Monthly!AH$13,Monthly!AH$14)*(1+'Attrition Modeling'!$N$8)-IFERROR(AK51/AK118,0)*12)/12*AK118,0))</f>
        <v>0</v>
      </c>
      <c r="AM183" s="799">
        <f>MIN(IF(ISERROR(VLOOKUP(AM$134-$F183,$E$135:$E$165,1,FALSE)),0,AL51*$C$2),MAX((IF(Monthly!AI$4=TRUE,Monthly!AI$13,Monthly!AI$14)*(1+'Attrition Modeling'!$N$8)-IFERROR(AL51/AL118,0)*12)/12*AL118,0))</f>
        <v>0</v>
      </c>
      <c r="AN183" s="799">
        <f>MIN(IF(ISERROR(VLOOKUP(AN$134-$F183,$E$135:$E$165,1,FALSE)),0,AM51*$C$2),MAX((IF(Monthly!AJ$4=TRUE,Monthly!AJ$13,Monthly!AJ$14)*(1+'Attrition Modeling'!$N$8)-IFERROR(AM51/AM118,0)*12)/12*AM118,0))</f>
        <v>0</v>
      </c>
      <c r="AO183" s="799">
        <f>MIN(IF(ISERROR(VLOOKUP(AO$134-$F183,$E$135:$E$165,1,FALSE)),0,AN51*$C$2),MAX((IF(Monthly!AK$4=TRUE,Monthly!AK$13,Monthly!AK$14)*(1+'Attrition Modeling'!$N$8)-IFERROR(AN51/AN118,0)*12)/12*AN118,0))</f>
        <v>0</v>
      </c>
      <c r="AP183" s="799">
        <f>MIN(IF(ISERROR(VLOOKUP(AP$134-$F183,$E$135:$E$165,1,FALSE)),0,AO51*$C$2),MAX((IF(Monthly!AL$4=TRUE,Monthly!AL$13,Monthly!AL$14)*(1+'Attrition Modeling'!$N$8)-IFERROR(AO51/AO118,0)*12)/12*AO118,0))</f>
        <v>0</v>
      </c>
      <c r="AQ183" s="799">
        <f>MIN(IF(ISERROR(VLOOKUP(AQ$134-$F183,$E$135:$E$165,1,FALSE)),0,AP51*$C$2),MAX((IF(Monthly!AM$4=TRUE,Monthly!AM$13,Monthly!AM$14)*(1+'Attrition Modeling'!$N$8)-IFERROR(AP51/AP118,0)*12)/12*AP118,0))</f>
        <v>0</v>
      </c>
      <c r="AR183" s="799">
        <f>MIN(IF(ISERROR(VLOOKUP(AR$134-$F183,$E$135:$E$165,1,FALSE)),0,AQ51*$C$2),MAX((IF(Monthly!AN$4=TRUE,Monthly!AN$13,Monthly!AN$14)*(1+'Attrition Modeling'!$N$8)-IFERROR(AQ51/AQ118,0)*12)/12*AQ118,0))</f>
        <v>0</v>
      </c>
      <c r="AS183" s="799">
        <f>MIN(IF(ISERROR(VLOOKUP(AS$134-$F183,$E$135:$E$165,1,FALSE)),0,AR51*$C$2),MAX((IF(Monthly!AO$4=TRUE,Monthly!AO$13,Monthly!AO$14)*(1+'Attrition Modeling'!$N$8)-IFERROR(AR51/AR118,0)*12)/12*AR118,0))</f>
        <v>0</v>
      </c>
      <c r="AT183" s="799">
        <f>MIN(IF(ISERROR(VLOOKUP(AT$134-$F183,$E$135:$E$165,1,FALSE)),0,AS51*$C$2),MAX((IF(Monthly!AP$4=TRUE,Monthly!AP$13,Monthly!AP$14)*(1+'Attrition Modeling'!$N$8)-IFERROR(AS51/AS118,0)*12)/12*AS118,0))</f>
        <v>0</v>
      </c>
      <c r="AU183" s="799">
        <f>MIN(IF(ISERROR(VLOOKUP(AU$134-$F183,$E$135:$E$165,1,FALSE)),0,AT51*$C$2),MAX((IF(Monthly!AQ$4=TRUE,Monthly!AQ$13,Monthly!AQ$14)*(1+'Attrition Modeling'!$N$8)-IFERROR(AT51/AT118,0)*12)/12*AT118,0))</f>
        <v>0</v>
      </c>
      <c r="AV183" s="799">
        <f>MIN(IF(ISERROR(VLOOKUP(AV$134-$F183,$E$135:$E$165,1,FALSE)),0,AU51*$C$2),MAX((IF(Monthly!AR$4=TRUE,Monthly!AR$13,Monthly!AR$14)*(1+'Attrition Modeling'!$N$8)-IFERROR(AU51/AU118,0)*12)/12*AU118,0))</f>
        <v>0</v>
      </c>
      <c r="AW183" s="799">
        <f>MIN(IF(ISERROR(VLOOKUP(AW$134-$F183,$E$135:$E$165,1,FALSE)),0,AV51*$C$2),MAX((IF(Monthly!AS$4=TRUE,Monthly!AS$13,Monthly!AS$14)*(1+'Attrition Modeling'!$N$8)-IFERROR(AV51/AV118,0)*12)/12*AV118,0))</f>
        <v>0</v>
      </c>
      <c r="AX183" s="799">
        <f>MIN(IF(ISERROR(VLOOKUP(AX$134-$F183,$E$135:$E$165,1,FALSE)),0,AW51*$C$2),MAX((IF(Monthly!AT$4=TRUE,Monthly!AT$13,Monthly!AT$14)*(1+'Attrition Modeling'!$N$8)-IFERROR(AW51/AW118,0)*12)/12*AW118,0))</f>
        <v>0</v>
      </c>
      <c r="AY183" s="799">
        <f>MIN(IF(ISERROR(VLOOKUP(AY$134-$F183,$E$135:$E$165,1,FALSE)),0,AX51*$C$2),MAX((IF(Monthly!AU$4=TRUE,Monthly!AU$13,Monthly!AU$14)*(1+'Attrition Modeling'!$N$8)-IFERROR(AX51/AX118,0)*12)/12*AX118,0))</f>
        <v>0</v>
      </c>
      <c r="AZ183" s="799">
        <f>MIN(IF(ISERROR(VLOOKUP(AZ$134-$F183,$E$135:$E$165,1,FALSE)),0,AY51*$C$2),MAX((IF(Monthly!AV$4=TRUE,Monthly!AV$13,Monthly!AV$14)*(1+'Attrition Modeling'!$N$8)-IFERROR(AY51/AY118,0)*12)/12*AY118,0))</f>
        <v>0</v>
      </c>
      <c r="BA183" s="799">
        <f>MIN(IF(ISERROR(VLOOKUP(BA$134-$F183,$E$135:$E$165,1,FALSE)),0,AZ51*$C$2),MAX((IF(Monthly!AW$4=TRUE,Monthly!AW$13,Monthly!AW$14)*(1+'Attrition Modeling'!$N$8)-IFERROR(AZ51/AZ118,0)*12)/12*AZ118,0))</f>
        <v>0</v>
      </c>
      <c r="BB183" s="799">
        <f>MIN(IF(ISERROR(VLOOKUP(BB$134-$F183,$E$135:$E$165,1,FALSE)),0,BA51*$C$2),MAX((IF(Monthly!AX$4=TRUE,Monthly!AX$13,Monthly!AX$14)*(1+'Attrition Modeling'!$N$8)-IFERROR(BA51/BA118,0)*12)/12*BA118,0))</f>
        <v>0</v>
      </c>
      <c r="BC183" s="799">
        <f>MIN(IF(ISERROR(VLOOKUP(BC$134-$F183,$E$135:$E$165,1,FALSE)),0,BB51*$C$2),MAX((IF(Monthly!AY$4=TRUE,Monthly!AY$13,Monthly!AY$14)*(1+'Attrition Modeling'!$N$8)-IFERROR(BB51/BB118,0)*12)/12*BB118,0))</f>
        <v>0</v>
      </c>
      <c r="BD183" s="799">
        <f>MIN(IF(ISERROR(VLOOKUP(BD$134-$F183,$E$135:$E$165,1,FALSE)),0,BC51*$C$2),MAX((IF(Monthly!AZ$4=TRUE,Monthly!AZ$13,Monthly!AZ$14)*(1+'Attrition Modeling'!$N$8)-IFERROR(BC51/BC118,0)*12)/12*BC118,0))</f>
        <v>0</v>
      </c>
      <c r="BE183" s="799">
        <f>MIN(IF(ISERROR(VLOOKUP(BE$134-$F183,$E$135:$E$165,1,FALSE)),0,BD51*$C$2),MAX((IF(Monthly!BA$4=TRUE,Monthly!BA$13,Monthly!BA$14)*(1+'Attrition Modeling'!$N$8)-IFERROR(BD51/BD118,0)*12)/12*BD118,0))</f>
        <v>0</v>
      </c>
      <c r="BF183" s="799">
        <f>MIN(IF(ISERROR(VLOOKUP(BF$134-$F183,$E$135:$E$165,1,FALSE)),0,BE51*$C$2),MAX((IF(Monthly!BB$4=TRUE,Monthly!BB$13,Monthly!BB$14)*(1+'Attrition Modeling'!$N$8)-IFERROR(BE51/BE118,0)*12)/12*BE118,0))</f>
        <v>0</v>
      </c>
      <c r="BG183" s="799">
        <f>MIN(IF(ISERROR(VLOOKUP(BG$134-$F183,$E$135:$E$165,1,FALSE)),0,BF51*$C$2),MAX((IF(Monthly!BC$4=TRUE,Monthly!BC$13,Monthly!BC$14)*(1+'Attrition Modeling'!$N$8)-IFERROR(BF51/BF118,0)*12)/12*BF118,0))</f>
        <v>0</v>
      </c>
      <c r="BH183" s="799">
        <f>MIN(IF(ISERROR(VLOOKUP(BH$134-$F183,$E$135:$E$165,1,FALSE)),0,BG51*$C$2),MAX((IF(Monthly!BD$4=TRUE,Monthly!BD$13,Monthly!BD$14)*(1+'Attrition Modeling'!$N$8)-IFERROR(BG51/BG118,0)*12)/12*BG118,0))</f>
        <v>0</v>
      </c>
      <c r="BI183" s="799">
        <f>MIN(IF(ISERROR(VLOOKUP(BI$134-$F183,$E$135:$E$165,1,FALSE)),0,BH51*$C$2),MAX((IF(Monthly!BE$4=TRUE,Monthly!BE$13,Monthly!BE$14)*(1+'Attrition Modeling'!$N$8)-IFERROR(BH51/BH118,0)*12)/12*BH118,0))</f>
        <v>566.25972149553411</v>
      </c>
      <c r="BJ183" s="799">
        <f>MIN(IF(ISERROR(VLOOKUP(BJ$134-$F183,$E$135:$E$165,1,FALSE)),0,BI51*$C$2),MAX((IF(Monthly!BF$4=TRUE,Monthly!BF$13,Monthly!BF$14)*(1+'Attrition Modeling'!$N$8)-IFERROR(BI51/BI118,0)*12)/12*BI118,0))</f>
        <v>0</v>
      </c>
      <c r="BK183" s="799">
        <f>MIN(IF(ISERROR(VLOOKUP(BK$134-$F183,$E$135:$E$165,1,FALSE)),0,BJ51*$C$2),MAX((IF(Monthly!BG$4=TRUE,Monthly!BG$13,Monthly!BG$14)*(1+'Attrition Modeling'!$N$8)-IFERROR(BJ51/BJ118,0)*12)/12*BJ118,0))</f>
        <v>0</v>
      </c>
      <c r="BL183" s="799">
        <f>MIN(IF(ISERROR(VLOOKUP(BL$134-$F183,$E$135:$E$165,1,FALSE)),0,BK51*$C$2),MAX((IF(Monthly!BH$4=TRUE,Monthly!BH$13,Monthly!BH$14)*(1+'Attrition Modeling'!$N$8)-IFERROR(BK51/BK118,0)*12)/12*BK118,0))</f>
        <v>0</v>
      </c>
      <c r="BM183" s="799">
        <f>MIN(IF(ISERROR(VLOOKUP(BM$134-$F183,$E$135:$E$165,1,FALSE)),0,BL51*$C$2),MAX((IF(Monthly!BI$4=TRUE,Monthly!BI$13,Monthly!BI$14)*(1+'Attrition Modeling'!$N$8)-IFERROR(BL51/BL118,0)*12)/12*BL118,0))</f>
        <v>0</v>
      </c>
      <c r="BN183" s="799">
        <f>MIN(IF(ISERROR(VLOOKUP(BN$134-$F183,$E$135:$E$165,1,FALSE)),0,BM51*$C$2),MAX((IF(Monthly!BJ$4=TRUE,Monthly!BJ$13,Monthly!BJ$14)*(1+'Attrition Modeling'!$N$8)-IFERROR(BM51/BM118,0)*12)/12*BM118,0))</f>
        <v>0</v>
      </c>
      <c r="BO183" s="799">
        <f>MIN(IF(ISERROR(VLOOKUP(BO$134-$F183,$E$135:$E$165,1,FALSE)),0,BN51*$C$2),MAX((IF(Monthly!BK$4=TRUE,Monthly!BK$13,Monthly!BK$14)*(1+'Attrition Modeling'!$N$8)-IFERROR(BN51/BN118,0)*12)/12*BN118,0))</f>
        <v>0</v>
      </c>
      <c r="BP183" s="799">
        <f>MIN(IF(ISERROR(VLOOKUP(BP$134-$F183,$E$135:$E$165,1,FALSE)),0,BO51*$C$2),MAX((IF(Monthly!BP$4=TRUE,Monthly!BP$13,Monthly!BP$14)*(1+'Attrition Modeling'!$N$8)-IFERROR(BO51/BO118,0)*12)/12*BO118,0))</f>
        <v>0</v>
      </c>
      <c r="BQ183" s="799">
        <f>MIN(IF(ISERROR(VLOOKUP(BQ$134-$F183,$E$135:$E$165,1,FALSE)),0,BP51*$C$2),MAX((IF(Monthly!BQ$4=TRUE,Monthly!BQ$13,Monthly!BQ$14)*(1+'Attrition Modeling'!$N$8)-IFERROR(BP51/BP118,0)*12)/12*BP118,0))</f>
        <v>0</v>
      </c>
      <c r="BR183" s="799">
        <f>MIN(IF(ISERROR(VLOOKUP(BR$134-$F183,$E$135:$E$165,1,FALSE)),0,BQ51*$C$2),MAX((IF(Monthly!BR$4=TRUE,Monthly!BR$13,Monthly!BR$14)*(1+'Attrition Modeling'!$N$8)-IFERROR(BQ51/BQ118,0)*12)/12*BQ118,0))</f>
        <v>0</v>
      </c>
      <c r="BS183" s="799">
        <f>MIN(IF(ISERROR(VLOOKUP(BS$134-$F183,$E$135:$E$165,1,FALSE)),0,BR51*$C$2),MAX((IF(Monthly!BS$4=TRUE,Monthly!BS$13,Monthly!BS$14)*(1+'Attrition Modeling'!$N$8)-IFERROR(BR51/BR118,0)*12)/12*BR118,0))</f>
        <v>0</v>
      </c>
      <c r="BT183" s="799">
        <f>MIN(IF(ISERROR(VLOOKUP(BT$134-$F183,$E$135:$E$165,1,FALSE)),0,BS51*$C$2),MAX((IF(Monthly!BT$4=TRUE,Monthly!BT$13,Monthly!BT$14)*(1+'Attrition Modeling'!$N$8)-IFERROR(BS51/BS118,0)*12)/12*BS118,0))</f>
        <v>0</v>
      </c>
      <c r="BU183" s="799">
        <f>MIN(IF(ISERROR(VLOOKUP(BU$134-$F183,$E$135:$E$165,1,FALSE)),0,BT51*$C$2),MAX((IF(Monthly!BU$4=TRUE,Monthly!BU$13,Monthly!BU$14)*(1+'Attrition Modeling'!$N$8)-IFERROR(BT51/BT118,0)*12)/12*BT118,0))</f>
        <v>307.36482009438174</v>
      </c>
    </row>
    <row r="184" spans="5:73" ht="14.25" customHeight="1" x14ac:dyDescent="0.2">
      <c r="E184" s="25"/>
      <c r="F184" s="11">
        <f t="shared" si="14"/>
        <v>49</v>
      </c>
      <c r="G184" s="799"/>
      <c r="H184" s="799">
        <f>MIN(IF(ISERROR(VLOOKUP(H$134-$F184,$E$135:$E$165,1,FALSE)),0,G52*$C$2),MAX((IF(Monthly!D$4=TRUE,Monthly!D$13,Monthly!D$14)*(1+'Attrition Modeling'!$N$8)-IFERROR(G52/G119,0)*12)/12*G119,0))</f>
        <v>0</v>
      </c>
      <c r="I184" s="799">
        <f>MIN(IF(ISERROR(VLOOKUP(I$134-$F184,$E$135:$E$165,1,FALSE)),0,H52*$C$2),MAX((IF(Monthly!E$4=TRUE,Monthly!E$13,Monthly!E$14)*(1+'Attrition Modeling'!$N$8)-IFERROR(H52/H119,0)*12)/12*H119,0))</f>
        <v>0</v>
      </c>
      <c r="J184" s="799">
        <f>MIN(IF(ISERROR(VLOOKUP(J$134-$F184,$E$135:$E$165,1,FALSE)),0,I52*$C$2),MAX((IF(Monthly!F$4=TRUE,Monthly!F$13,Monthly!F$14)*(1+'Attrition Modeling'!$N$8)-IFERROR(I52/I119,0)*12)/12*I119,0))</f>
        <v>0</v>
      </c>
      <c r="K184" s="799">
        <f>MIN(IF(ISERROR(VLOOKUP(K$134-$F184,$E$135:$E$165,1,FALSE)),0,J52*$C$2),MAX((IF(Monthly!G$4=TRUE,Monthly!G$13,Monthly!G$14)*(1+'Attrition Modeling'!$N$8)-IFERROR(J52/J119,0)*12)/12*J119,0))</f>
        <v>0</v>
      </c>
      <c r="L184" s="799">
        <f>MIN(IF(ISERROR(VLOOKUP(L$134-$F184,$E$135:$E$165,1,FALSE)),0,K52*$C$2),MAX((IF(Monthly!H$4=TRUE,Monthly!H$13,Monthly!H$14)*(1+'Attrition Modeling'!$N$8)-IFERROR(K52/K119,0)*12)/12*K119,0))</f>
        <v>0</v>
      </c>
      <c r="M184" s="799">
        <f>MIN(IF(ISERROR(VLOOKUP(M$134-$F184,$E$135:$E$165,1,FALSE)),0,L52*$C$2),MAX((IF(Monthly!I$4=TRUE,Monthly!I$13,Monthly!I$14)*(1+'Attrition Modeling'!$N$8)-IFERROR(L52/L119,0)*12)/12*L119,0))</f>
        <v>0</v>
      </c>
      <c r="N184" s="799">
        <f>MIN(IF(ISERROR(VLOOKUP(N$134-$F184,$E$135:$E$165,1,FALSE)),0,M52*$C$2),MAX((IF(Monthly!J$4=TRUE,Monthly!J$13,Monthly!J$14)*(1+'Attrition Modeling'!$N$8)-IFERROR(M52/M119,0)*12)/12*M119,0))</f>
        <v>0</v>
      </c>
      <c r="O184" s="799">
        <f>MIN(IF(ISERROR(VLOOKUP(O$134-$F184,$E$135:$E$165,1,FALSE)),0,N52*$C$2),MAX((IF(Monthly!K$4=TRUE,Monthly!K$13,Monthly!K$14)*(1+'Attrition Modeling'!$N$8)-IFERROR(N52/N119,0)*12)/12*N119,0))</f>
        <v>0</v>
      </c>
      <c r="P184" s="799">
        <f>MIN(IF(ISERROR(VLOOKUP(P$134-$F184,$E$135:$E$165,1,FALSE)),0,O52*$C$2),MAX((IF(Monthly!L$4=TRUE,Monthly!L$13,Monthly!L$14)*(1+'Attrition Modeling'!$N$8)-IFERROR(O52/O119,0)*12)/12*O119,0))</f>
        <v>0</v>
      </c>
      <c r="Q184" s="799">
        <f>MIN(IF(ISERROR(VLOOKUP(Q$134-$F184,$E$135:$E$165,1,FALSE)),0,P52*$C$2),MAX((IF(Monthly!M$4=TRUE,Monthly!M$13,Monthly!M$14)*(1+'Attrition Modeling'!$N$8)-IFERROR(P52/P119,0)*12)/12*P119,0))</f>
        <v>0</v>
      </c>
      <c r="R184" s="799">
        <f>MIN(IF(ISERROR(VLOOKUP(R$134-$F184,$E$135:$E$165,1,FALSE)),0,Q52*$C$2),MAX((IF(Monthly!N$4=TRUE,Monthly!N$13,Monthly!N$14)*(1+'Attrition Modeling'!$N$8)-IFERROR(Q52/Q119,0)*12)/12*Q119,0))</f>
        <v>0</v>
      </c>
      <c r="S184" s="799">
        <f>MIN(IF(ISERROR(VLOOKUP(S$134-$F184,$E$135:$E$165,1,FALSE)),0,R52*$C$2),MAX((IF(Monthly!O$4=TRUE,Monthly!O$13,Monthly!O$14)*(1+'Attrition Modeling'!$N$8)-IFERROR(R52/R119,0)*12)/12*R119,0))</f>
        <v>0</v>
      </c>
      <c r="T184" s="799">
        <f>MIN(IF(ISERROR(VLOOKUP(T$134-$F184,$E$135:$E$165,1,FALSE)),0,S52*$C$2),MAX((IF(Monthly!P$4=TRUE,Monthly!P$13,Monthly!P$14)*(1+'Attrition Modeling'!$N$8)-IFERROR(S52/S119,0)*12)/12*S119,0))</f>
        <v>0</v>
      </c>
      <c r="U184" s="799">
        <f>MIN(IF(ISERROR(VLOOKUP(U$134-$F184,$E$135:$E$165,1,FALSE)),0,T52*$C$2),MAX((IF(Monthly!Q$4=TRUE,Monthly!Q$13,Monthly!Q$14)*(1+'Attrition Modeling'!$N$8)-IFERROR(T52/T119,0)*12)/12*T119,0))</f>
        <v>0</v>
      </c>
      <c r="V184" s="799">
        <f>MIN(IF(ISERROR(VLOOKUP(V$134-$F184,$E$135:$E$165,1,FALSE)),0,U52*$C$2),MAX((IF(Monthly!R$4=TRUE,Monthly!R$13,Monthly!R$14)*(1+'Attrition Modeling'!$N$8)-IFERROR(U52/U119,0)*12)/12*U119,0))</f>
        <v>0</v>
      </c>
      <c r="W184" s="799">
        <f>MIN(IF(ISERROR(VLOOKUP(W$134-$F184,$E$135:$E$165,1,FALSE)),0,V52*$C$2),MAX((IF(Monthly!S$4=TRUE,Monthly!S$13,Monthly!S$14)*(1+'Attrition Modeling'!$N$8)-IFERROR(V52/V119,0)*12)/12*V119,0))</f>
        <v>0</v>
      </c>
      <c r="X184" s="799">
        <f>MIN(IF(ISERROR(VLOOKUP(X$134-$F184,$E$135:$E$165,1,FALSE)),0,W52*$C$2),MAX((IF(Monthly!T$4=TRUE,Monthly!T$13,Monthly!T$14)*(1+'Attrition Modeling'!$N$8)-IFERROR(W52/W119,0)*12)/12*W119,0))</f>
        <v>0</v>
      </c>
      <c r="Y184" s="799">
        <f>MIN(IF(ISERROR(VLOOKUP(Y$134-$F184,$E$135:$E$165,1,FALSE)),0,X52*$C$2),MAX((IF(Monthly!U$4=TRUE,Monthly!U$13,Monthly!U$14)*(1+'Attrition Modeling'!$N$8)-IFERROR(X52/X119,0)*12)/12*X119,0))</f>
        <v>0</v>
      </c>
      <c r="Z184" s="799">
        <f>MIN(IF(ISERROR(VLOOKUP(Z$134-$F184,$E$135:$E$165,1,FALSE)),0,Y52*$C$2),MAX((IF(Monthly!V$4=TRUE,Monthly!V$13,Monthly!V$14)*(1+'Attrition Modeling'!$N$8)-IFERROR(Y52/Y119,0)*12)/12*Y119,0))</f>
        <v>0</v>
      </c>
      <c r="AA184" s="799">
        <f>MIN(IF(ISERROR(VLOOKUP(AA$134-$F184,$E$135:$E$165,1,FALSE)),0,Z52*$C$2),MAX((IF(Monthly!W$4=TRUE,Monthly!W$13,Monthly!W$14)*(1+'Attrition Modeling'!$N$8)-IFERROR(Z52/Z119,0)*12)/12*Z119,0))</f>
        <v>0</v>
      </c>
      <c r="AB184" s="799">
        <f>MIN(IF(ISERROR(VLOOKUP(AB$134-$F184,$E$135:$E$165,1,FALSE)),0,AA52*$C$2),MAX((IF(Monthly!X$4=TRUE,Monthly!X$13,Monthly!X$14)*(1+'Attrition Modeling'!$N$8)-IFERROR(AA52/AA119,0)*12)/12*AA119,0))</f>
        <v>0</v>
      </c>
      <c r="AC184" s="799">
        <f>MIN(IF(ISERROR(VLOOKUP(AC$134-$F184,$E$135:$E$165,1,FALSE)),0,AB52*$C$2),MAX((IF(Monthly!Y$4=TRUE,Monthly!Y$13,Monthly!Y$14)*(1+'Attrition Modeling'!$N$8)-IFERROR(AB52/AB119,0)*12)/12*AB119,0))</f>
        <v>0</v>
      </c>
      <c r="AD184" s="799">
        <f>MIN(IF(ISERROR(VLOOKUP(AD$134-$F184,$E$135:$E$165,1,FALSE)),0,AC52*$C$2),MAX((IF(Monthly!Z$4=TRUE,Monthly!Z$13,Monthly!Z$14)*(1+'Attrition Modeling'!$N$8)-IFERROR(AC52/AC119,0)*12)/12*AC119,0))</f>
        <v>0</v>
      </c>
      <c r="AE184" s="799">
        <f>MIN(IF(ISERROR(VLOOKUP(AE$134-$F184,$E$135:$E$165,1,FALSE)),0,AD52*$C$2),MAX((IF(Monthly!AA$4=TRUE,Monthly!AA$13,Monthly!AA$14)*(1+'Attrition Modeling'!$N$8)-IFERROR(AD52/AD119,0)*12)/12*AD119,0))</f>
        <v>0</v>
      </c>
      <c r="AF184" s="799">
        <f>MIN(IF(ISERROR(VLOOKUP(AF$134-$F184,$E$135:$E$165,1,FALSE)),0,AE52*$C$2),MAX((IF(Monthly!AB$4=TRUE,Monthly!AB$13,Monthly!AB$14)*(1+'Attrition Modeling'!$N$8)-IFERROR(AE52/AE119,0)*12)/12*AE119,0))</f>
        <v>0</v>
      </c>
      <c r="AG184" s="799">
        <f>MIN(IF(ISERROR(VLOOKUP(AG$134-$F184,$E$135:$E$165,1,FALSE)),0,AF52*$C$2),MAX((IF(Monthly!AC$4=TRUE,Monthly!AC$13,Monthly!AC$14)*(1+'Attrition Modeling'!$N$8)-IFERROR(AF52/AF119,0)*12)/12*AF119,0))</f>
        <v>0</v>
      </c>
      <c r="AH184" s="799">
        <f>MIN(IF(ISERROR(VLOOKUP(AH$134-$F184,$E$135:$E$165,1,FALSE)),0,AG52*$C$2),MAX((IF(Monthly!AD$4=TRUE,Monthly!AD$13,Monthly!AD$14)*(1+'Attrition Modeling'!$N$8)-IFERROR(AG52/AG119,0)*12)/12*AG119,0))</f>
        <v>0</v>
      </c>
      <c r="AI184" s="799">
        <f>MIN(IF(ISERROR(VLOOKUP(AI$134-$F184,$E$135:$E$165,1,FALSE)),0,AH52*$C$2),MAX((IF(Monthly!AE$4=TRUE,Monthly!AE$13,Monthly!AE$14)*(1+'Attrition Modeling'!$N$8)-IFERROR(AH52/AH119,0)*12)/12*AH119,0))</f>
        <v>0</v>
      </c>
      <c r="AJ184" s="799">
        <f>MIN(IF(ISERROR(VLOOKUP(AJ$134-$F184,$E$135:$E$165,1,FALSE)),0,AI52*$C$2),MAX((IF(Monthly!AF$4=TRUE,Monthly!AF$13,Monthly!AF$14)*(1+'Attrition Modeling'!$N$8)-IFERROR(AI52/AI119,0)*12)/12*AI119,0))</f>
        <v>0</v>
      </c>
      <c r="AK184" s="799">
        <f>MIN(IF(ISERROR(VLOOKUP(AK$134-$F184,$E$135:$E$165,1,FALSE)),0,AJ52*$C$2),MAX((IF(Monthly!AG$4=TRUE,Monthly!AG$13,Monthly!AG$14)*(1+'Attrition Modeling'!$N$8)-IFERROR(AJ52/AJ119,0)*12)/12*AJ119,0))</f>
        <v>0</v>
      </c>
      <c r="AL184" s="799">
        <f>MIN(IF(ISERROR(VLOOKUP(AL$134-$F184,$E$135:$E$165,1,FALSE)),0,AK52*$C$2),MAX((IF(Monthly!AH$4=TRUE,Monthly!AH$13,Monthly!AH$14)*(1+'Attrition Modeling'!$N$8)-IFERROR(AK52/AK119,0)*12)/12*AK119,0))</f>
        <v>0</v>
      </c>
      <c r="AM184" s="799">
        <f>MIN(IF(ISERROR(VLOOKUP(AM$134-$F184,$E$135:$E$165,1,FALSE)),0,AL52*$C$2),MAX((IF(Monthly!AI$4=TRUE,Monthly!AI$13,Monthly!AI$14)*(1+'Attrition Modeling'!$N$8)-IFERROR(AL52/AL119,0)*12)/12*AL119,0))</f>
        <v>0</v>
      </c>
      <c r="AN184" s="799">
        <f>MIN(IF(ISERROR(VLOOKUP(AN$134-$F184,$E$135:$E$165,1,FALSE)),0,AM52*$C$2),MAX((IF(Monthly!AJ$4=TRUE,Monthly!AJ$13,Monthly!AJ$14)*(1+'Attrition Modeling'!$N$8)-IFERROR(AM52/AM119,0)*12)/12*AM119,0))</f>
        <v>0</v>
      </c>
      <c r="AO184" s="799">
        <f>MIN(IF(ISERROR(VLOOKUP(AO$134-$F184,$E$135:$E$165,1,FALSE)),0,AN52*$C$2),MAX((IF(Monthly!AK$4=TRUE,Monthly!AK$13,Monthly!AK$14)*(1+'Attrition Modeling'!$N$8)-IFERROR(AN52/AN119,0)*12)/12*AN119,0))</f>
        <v>0</v>
      </c>
      <c r="AP184" s="799">
        <f>MIN(IF(ISERROR(VLOOKUP(AP$134-$F184,$E$135:$E$165,1,FALSE)),0,AO52*$C$2),MAX((IF(Monthly!AL$4=TRUE,Monthly!AL$13,Monthly!AL$14)*(1+'Attrition Modeling'!$N$8)-IFERROR(AO52/AO119,0)*12)/12*AO119,0))</f>
        <v>0</v>
      </c>
      <c r="AQ184" s="799">
        <f>MIN(IF(ISERROR(VLOOKUP(AQ$134-$F184,$E$135:$E$165,1,FALSE)),0,AP52*$C$2),MAX((IF(Monthly!AM$4=TRUE,Monthly!AM$13,Monthly!AM$14)*(1+'Attrition Modeling'!$N$8)-IFERROR(AP52/AP119,0)*12)/12*AP119,0))</f>
        <v>0</v>
      </c>
      <c r="AR184" s="799">
        <f>MIN(IF(ISERROR(VLOOKUP(AR$134-$F184,$E$135:$E$165,1,FALSE)),0,AQ52*$C$2),MAX((IF(Monthly!AN$4=TRUE,Monthly!AN$13,Monthly!AN$14)*(1+'Attrition Modeling'!$N$8)-IFERROR(AQ52/AQ119,0)*12)/12*AQ119,0))</f>
        <v>0</v>
      </c>
      <c r="AS184" s="799">
        <f>MIN(IF(ISERROR(VLOOKUP(AS$134-$F184,$E$135:$E$165,1,FALSE)),0,AR52*$C$2),MAX((IF(Monthly!AO$4=TRUE,Monthly!AO$13,Monthly!AO$14)*(1+'Attrition Modeling'!$N$8)-IFERROR(AR52/AR119,0)*12)/12*AR119,0))</f>
        <v>0</v>
      </c>
      <c r="AT184" s="799">
        <f>MIN(IF(ISERROR(VLOOKUP(AT$134-$F184,$E$135:$E$165,1,FALSE)),0,AS52*$C$2),MAX((IF(Monthly!AP$4=TRUE,Monthly!AP$13,Monthly!AP$14)*(1+'Attrition Modeling'!$N$8)-IFERROR(AS52/AS119,0)*12)/12*AS119,0))</f>
        <v>0</v>
      </c>
      <c r="AU184" s="799">
        <f>MIN(IF(ISERROR(VLOOKUP(AU$134-$F184,$E$135:$E$165,1,FALSE)),0,AT52*$C$2),MAX((IF(Monthly!AQ$4=TRUE,Monthly!AQ$13,Monthly!AQ$14)*(1+'Attrition Modeling'!$N$8)-IFERROR(AT52/AT119,0)*12)/12*AT119,0))</f>
        <v>0</v>
      </c>
      <c r="AV184" s="799">
        <f>MIN(IF(ISERROR(VLOOKUP(AV$134-$F184,$E$135:$E$165,1,FALSE)),0,AU52*$C$2),MAX((IF(Monthly!AR$4=TRUE,Monthly!AR$13,Monthly!AR$14)*(1+'Attrition Modeling'!$N$8)-IFERROR(AU52/AU119,0)*12)/12*AU119,0))</f>
        <v>0</v>
      </c>
      <c r="AW184" s="799">
        <f>MIN(IF(ISERROR(VLOOKUP(AW$134-$F184,$E$135:$E$165,1,FALSE)),0,AV52*$C$2),MAX((IF(Monthly!AS$4=TRUE,Monthly!AS$13,Monthly!AS$14)*(1+'Attrition Modeling'!$N$8)-IFERROR(AV52/AV119,0)*12)/12*AV119,0))</f>
        <v>0</v>
      </c>
      <c r="AX184" s="799">
        <f>MIN(IF(ISERROR(VLOOKUP(AX$134-$F184,$E$135:$E$165,1,FALSE)),0,AW52*$C$2),MAX((IF(Monthly!AT$4=TRUE,Monthly!AT$13,Monthly!AT$14)*(1+'Attrition Modeling'!$N$8)-IFERROR(AW52/AW119,0)*12)/12*AW119,0))</f>
        <v>0</v>
      </c>
      <c r="AY184" s="799">
        <f>MIN(IF(ISERROR(VLOOKUP(AY$134-$F184,$E$135:$E$165,1,FALSE)),0,AX52*$C$2),MAX((IF(Monthly!AU$4=TRUE,Monthly!AU$13,Monthly!AU$14)*(1+'Attrition Modeling'!$N$8)-IFERROR(AX52/AX119,0)*12)/12*AX119,0))</f>
        <v>0</v>
      </c>
      <c r="AZ184" s="799">
        <f>MIN(IF(ISERROR(VLOOKUP(AZ$134-$F184,$E$135:$E$165,1,FALSE)),0,AY52*$C$2),MAX((IF(Monthly!AV$4=TRUE,Monthly!AV$13,Monthly!AV$14)*(1+'Attrition Modeling'!$N$8)-IFERROR(AY52/AY119,0)*12)/12*AY119,0))</f>
        <v>0</v>
      </c>
      <c r="BA184" s="799">
        <f>MIN(IF(ISERROR(VLOOKUP(BA$134-$F184,$E$135:$E$165,1,FALSE)),0,AZ52*$C$2),MAX((IF(Monthly!AW$4=TRUE,Monthly!AW$13,Monthly!AW$14)*(1+'Attrition Modeling'!$N$8)-IFERROR(AZ52/AZ119,0)*12)/12*AZ119,0))</f>
        <v>0</v>
      </c>
      <c r="BB184" s="799">
        <f>MIN(IF(ISERROR(VLOOKUP(BB$134-$F184,$E$135:$E$165,1,FALSE)),0,BA52*$C$2),MAX((IF(Monthly!AX$4=TRUE,Monthly!AX$13,Monthly!AX$14)*(1+'Attrition Modeling'!$N$8)-IFERROR(BA52/BA119,0)*12)/12*BA119,0))</f>
        <v>0</v>
      </c>
      <c r="BC184" s="799">
        <f>MIN(IF(ISERROR(VLOOKUP(BC$134-$F184,$E$135:$E$165,1,FALSE)),0,BB52*$C$2),MAX((IF(Monthly!AY$4=TRUE,Monthly!AY$13,Monthly!AY$14)*(1+'Attrition Modeling'!$N$8)-IFERROR(BB52/BB119,0)*12)/12*BB119,0))</f>
        <v>0</v>
      </c>
      <c r="BD184" s="799">
        <f>MIN(IF(ISERROR(VLOOKUP(BD$134-$F184,$E$135:$E$165,1,FALSE)),0,BC52*$C$2),MAX((IF(Monthly!AZ$4=TRUE,Monthly!AZ$13,Monthly!AZ$14)*(1+'Attrition Modeling'!$N$8)-IFERROR(BC52/BC119,0)*12)/12*BC119,0))</f>
        <v>0</v>
      </c>
      <c r="BE184" s="799">
        <f>MIN(IF(ISERROR(VLOOKUP(BE$134-$F184,$E$135:$E$165,1,FALSE)),0,BD52*$C$2),MAX((IF(Monthly!BA$4=TRUE,Monthly!BA$13,Monthly!BA$14)*(1+'Attrition Modeling'!$N$8)-IFERROR(BD52/BD119,0)*12)/12*BD119,0))</f>
        <v>0</v>
      </c>
      <c r="BF184" s="799">
        <f>MIN(IF(ISERROR(VLOOKUP(BF$134-$F184,$E$135:$E$165,1,FALSE)),0,BE52*$C$2),MAX((IF(Monthly!BB$4=TRUE,Monthly!BB$13,Monthly!BB$14)*(1+'Attrition Modeling'!$N$8)-IFERROR(BE52/BE119,0)*12)/12*BE119,0))</f>
        <v>0</v>
      </c>
      <c r="BG184" s="799">
        <f>MIN(IF(ISERROR(VLOOKUP(BG$134-$F184,$E$135:$E$165,1,FALSE)),0,BF52*$C$2),MAX((IF(Monthly!BC$4=TRUE,Monthly!BC$13,Monthly!BC$14)*(1+'Attrition Modeling'!$N$8)-IFERROR(BF52/BF119,0)*12)/12*BF119,0))</f>
        <v>0</v>
      </c>
      <c r="BH184" s="799">
        <f>MIN(IF(ISERROR(VLOOKUP(BH$134-$F184,$E$135:$E$165,1,FALSE)),0,BG52*$C$2),MAX((IF(Monthly!BD$4=TRUE,Monthly!BD$13,Monthly!BD$14)*(1+'Attrition Modeling'!$N$8)-IFERROR(BG52/BG119,0)*12)/12*BG119,0))</f>
        <v>0</v>
      </c>
      <c r="BI184" s="799">
        <f>MIN(IF(ISERROR(VLOOKUP(BI$134-$F184,$E$135:$E$165,1,FALSE)),0,BH52*$C$2),MAX((IF(Monthly!BE$4=TRUE,Monthly!BE$13,Monthly!BE$14)*(1+'Attrition Modeling'!$N$8)-IFERROR(BH52/BH119,0)*12)/12*BH119,0))</f>
        <v>0</v>
      </c>
      <c r="BJ184" s="799">
        <f>MIN(IF(ISERROR(VLOOKUP(BJ$134-$F184,$E$135:$E$165,1,FALSE)),0,BI52*$C$2),MAX((IF(Monthly!BF$4=TRUE,Monthly!BF$13,Monthly!BF$14)*(1+'Attrition Modeling'!$N$8)-IFERROR(BI52/BI119,0)*12)/12*BI119,0))</f>
        <v>535.32105892735456</v>
      </c>
      <c r="BK184" s="799">
        <f>MIN(IF(ISERROR(VLOOKUP(BK$134-$F184,$E$135:$E$165,1,FALSE)),0,BJ52*$C$2),MAX((IF(Monthly!BG$4=TRUE,Monthly!BG$13,Monthly!BG$14)*(1+'Attrition Modeling'!$N$8)-IFERROR(BJ52/BJ119,0)*12)/12*BJ119,0))</f>
        <v>0</v>
      </c>
      <c r="BL184" s="799">
        <f>MIN(IF(ISERROR(VLOOKUP(BL$134-$F184,$E$135:$E$165,1,FALSE)),0,BK52*$C$2),MAX((IF(Monthly!BH$4=TRUE,Monthly!BH$13,Monthly!BH$14)*(1+'Attrition Modeling'!$N$8)-IFERROR(BK52/BK119,0)*12)/12*BK119,0))</f>
        <v>0</v>
      </c>
      <c r="BM184" s="799">
        <f>MIN(IF(ISERROR(VLOOKUP(BM$134-$F184,$E$135:$E$165,1,FALSE)),0,BL52*$C$2),MAX((IF(Monthly!BI$4=TRUE,Monthly!BI$13,Monthly!BI$14)*(1+'Attrition Modeling'!$N$8)-IFERROR(BL52/BL119,0)*12)/12*BL119,0))</f>
        <v>0</v>
      </c>
      <c r="BN184" s="799">
        <f>MIN(IF(ISERROR(VLOOKUP(BN$134-$F184,$E$135:$E$165,1,FALSE)),0,BM52*$C$2),MAX((IF(Monthly!BJ$4=TRUE,Monthly!BJ$13,Monthly!BJ$14)*(1+'Attrition Modeling'!$N$8)-IFERROR(BM52/BM119,0)*12)/12*BM119,0))</f>
        <v>0</v>
      </c>
      <c r="BO184" s="799">
        <f>MIN(IF(ISERROR(VLOOKUP(BO$134-$F184,$E$135:$E$165,1,FALSE)),0,BN52*$C$2),MAX((IF(Monthly!BK$4=TRUE,Monthly!BK$13,Monthly!BK$14)*(1+'Attrition Modeling'!$N$8)-IFERROR(BN52/BN119,0)*12)/12*BN119,0))</f>
        <v>0</v>
      </c>
      <c r="BP184" s="799">
        <f>MIN(IF(ISERROR(VLOOKUP(BP$134-$F184,$E$135:$E$165,1,FALSE)),0,BO52*$C$2),MAX((IF(Monthly!BP$4=TRUE,Monthly!BP$13,Monthly!BP$14)*(1+'Attrition Modeling'!$N$8)-IFERROR(BO52/BO119,0)*12)/12*BO119,0))</f>
        <v>0</v>
      </c>
      <c r="BQ184" s="799">
        <f>MIN(IF(ISERROR(VLOOKUP(BQ$134-$F184,$E$135:$E$165,1,FALSE)),0,BP52*$C$2),MAX((IF(Monthly!BQ$4=TRUE,Monthly!BQ$13,Monthly!BQ$14)*(1+'Attrition Modeling'!$N$8)-IFERROR(BP52/BP119,0)*12)/12*BP119,0))</f>
        <v>0</v>
      </c>
      <c r="BR184" s="799">
        <f>MIN(IF(ISERROR(VLOOKUP(BR$134-$F184,$E$135:$E$165,1,FALSE)),0,BQ52*$C$2),MAX((IF(Monthly!BR$4=TRUE,Monthly!BR$13,Monthly!BR$14)*(1+'Attrition Modeling'!$N$8)-IFERROR(BQ52/BQ119,0)*12)/12*BQ119,0))</f>
        <v>0</v>
      </c>
      <c r="BS184" s="799">
        <f>MIN(IF(ISERROR(VLOOKUP(BS$134-$F184,$E$135:$E$165,1,FALSE)),0,BR52*$C$2),MAX((IF(Monthly!BS$4=TRUE,Monthly!BS$13,Monthly!BS$14)*(1+'Attrition Modeling'!$N$8)-IFERROR(BR52/BR119,0)*12)/12*BR119,0))</f>
        <v>0</v>
      </c>
      <c r="BT184" s="799">
        <f>MIN(IF(ISERROR(VLOOKUP(BT$134-$F184,$E$135:$E$165,1,FALSE)),0,BS52*$C$2),MAX((IF(Monthly!BT$4=TRUE,Monthly!BT$13,Monthly!BT$14)*(1+'Attrition Modeling'!$N$8)-IFERROR(BS52/BS119,0)*12)/12*BS119,0))</f>
        <v>0</v>
      </c>
      <c r="BU184" s="799">
        <f>MIN(IF(ISERROR(VLOOKUP(BU$134-$F184,$E$135:$E$165,1,FALSE)),0,BT52*$C$2),MAX((IF(Monthly!BU$4=TRUE,Monthly!BU$13,Monthly!BU$14)*(1+'Attrition Modeling'!$N$8)-IFERROR(BT52/BT119,0)*12)/12*BT119,0))</f>
        <v>0</v>
      </c>
    </row>
    <row r="185" spans="5:73" ht="14.25" customHeight="1" x14ac:dyDescent="0.2">
      <c r="E185" s="25"/>
      <c r="F185" s="11">
        <f t="shared" si="14"/>
        <v>50</v>
      </c>
      <c r="G185" s="799"/>
      <c r="H185" s="799">
        <f>MIN(IF(ISERROR(VLOOKUP(H$134-$F185,$E$135:$E$165,1,FALSE)),0,G53*$C$2),MAX((IF(Monthly!D$4=TRUE,Monthly!D$13,Monthly!D$14)*(1+'Attrition Modeling'!$N$8)-IFERROR(G53/G120,0)*12)/12*G120,0))</f>
        <v>0</v>
      </c>
      <c r="I185" s="799">
        <f>MIN(IF(ISERROR(VLOOKUP(I$134-$F185,$E$135:$E$165,1,FALSE)),0,H53*$C$2),MAX((IF(Monthly!E$4=TRUE,Monthly!E$13,Monthly!E$14)*(1+'Attrition Modeling'!$N$8)-IFERROR(H53/H120,0)*12)/12*H120,0))</f>
        <v>0</v>
      </c>
      <c r="J185" s="799">
        <f>MIN(IF(ISERROR(VLOOKUP(J$134-$F185,$E$135:$E$165,1,FALSE)),0,I53*$C$2),MAX((IF(Monthly!F$4=TRUE,Monthly!F$13,Monthly!F$14)*(1+'Attrition Modeling'!$N$8)-IFERROR(I53/I120,0)*12)/12*I120,0))</f>
        <v>0</v>
      </c>
      <c r="K185" s="799">
        <f>MIN(IF(ISERROR(VLOOKUP(K$134-$F185,$E$135:$E$165,1,FALSE)),0,J53*$C$2),MAX((IF(Monthly!G$4=TRUE,Monthly!G$13,Monthly!G$14)*(1+'Attrition Modeling'!$N$8)-IFERROR(J53/J120,0)*12)/12*J120,0))</f>
        <v>0</v>
      </c>
      <c r="L185" s="799">
        <f>MIN(IF(ISERROR(VLOOKUP(L$134-$F185,$E$135:$E$165,1,FALSE)),0,K53*$C$2),MAX((IF(Monthly!H$4=TRUE,Monthly!H$13,Monthly!H$14)*(1+'Attrition Modeling'!$N$8)-IFERROR(K53/K120,0)*12)/12*K120,0))</f>
        <v>0</v>
      </c>
      <c r="M185" s="799">
        <f>MIN(IF(ISERROR(VLOOKUP(M$134-$F185,$E$135:$E$165,1,FALSE)),0,L53*$C$2),MAX((IF(Monthly!I$4=TRUE,Monthly!I$13,Monthly!I$14)*(1+'Attrition Modeling'!$N$8)-IFERROR(L53/L120,0)*12)/12*L120,0))</f>
        <v>0</v>
      </c>
      <c r="N185" s="799">
        <f>MIN(IF(ISERROR(VLOOKUP(N$134-$F185,$E$135:$E$165,1,FALSE)),0,M53*$C$2),MAX((IF(Monthly!J$4=TRUE,Monthly!J$13,Monthly!J$14)*(1+'Attrition Modeling'!$N$8)-IFERROR(M53/M120,0)*12)/12*M120,0))</f>
        <v>0</v>
      </c>
      <c r="O185" s="799">
        <f>MIN(IF(ISERROR(VLOOKUP(O$134-$F185,$E$135:$E$165,1,FALSE)),0,N53*$C$2),MAX((IF(Monthly!K$4=TRUE,Monthly!K$13,Monthly!K$14)*(1+'Attrition Modeling'!$N$8)-IFERROR(N53/N120,0)*12)/12*N120,0))</f>
        <v>0</v>
      </c>
      <c r="P185" s="799">
        <f>MIN(IF(ISERROR(VLOOKUP(P$134-$F185,$E$135:$E$165,1,FALSE)),0,O53*$C$2),MAX((IF(Monthly!L$4=TRUE,Monthly!L$13,Monthly!L$14)*(1+'Attrition Modeling'!$N$8)-IFERROR(O53/O120,0)*12)/12*O120,0))</f>
        <v>0</v>
      </c>
      <c r="Q185" s="799">
        <f>MIN(IF(ISERROR(VLOOKUP(Q$134-$F185,$E$135:$E$165,1,FALSE)),0,P53*$C$2),MAX((IF(Monthly!M$4=TRUE,Monthly!M$13,Monthly!M$14)*(1+'Attrition Modeling'!$N$8)-IFERROR(P53/P120,0)*12)/12*P120,0))</f>
        <v>0</v>
      </c>
      <c r="R185" s="799">
        <f>MIN(IF(ISERROR(VLOOKUP(R$134-$F185,$E$135:$E$165,1,FALSE)),0,Q53*$C$2),MAX((IF(Monthly!N$4=TRUE,Monthly!N$13,Monthly!N$14)*(1+'Attrition Modeling'!$N$8)-IFERROR(Q53/Q120,0)*12)/12*Q120,0))</f>
        <v>0</v>
      </c>
      <c r="S185" s="799">
        <f>MIN(IF(ISERROR(VLOOKUP(S$134-$F185,$E$135:$E$165,1,FALSE)),0,R53*$C$2),MAX((IF(Monthly!O$4=TRUE,Monthly!O$13,Monthly!O$14)*(1+'Attrition Modeling'!$N$8)-IFERROR(R53/R120,0)*12)/12*R120,0))</f>
        <v>0</v>
      </c>
      <c r="T185" s="799">
        <f>MIN(IF(ISERROR(VLOOKUP(T$134-$F185,$E$135:$E$165,1,FALSE)),0,S53*$C$2),MAX((IF(Monthly!P$4=TRUE,Monthly!P$13,Monthly!P$14)*(1+'Attrition Modeling'!$N$8)-IFERROR(S53/S120,0)*12)/12*S120,0))</f>
        <v>0</v>
      </c>
      <c r="U185" s="799">
        <f>MIN(IF(ISERROR(VLOOKUP(U$134-$F185,$E$135:$E$165,1,FALSE)),0,T53*$C$2),MAX((IF(Monthly!Q$4=TRUE,Monthly!Q$13,Monthly!Q$14)*(1+'Attrition Modeling'!$N$8)-IFERROR(T53/T120,0)*12)/12*T120,0))</f>
        <v>0</v>
      </c>
      <c r="V185" s="799">
        <f>MIN(IF(ISERROR(VLOOKUP(V$134-$F185,$E$135:$E$165,1,FALSE)),0,U53*$C$2),MAX((IF(Monthly!R$4=TRUE,Monthly!R$13,Monthly!R$14)*(1+'Attrition Modeling'!$N$8)-IFERROR(U53/U120,0)*12)/12*U120,0))</f>
        <v>0</v>
      </c>
      <c r="W185" s="799">
        <f>MIN(IF(ISERROR(VLOOKUP(W$134-$F185,$E$135:$E$165,1,FALSE)),0,V53*$C$2),MAX((IF(Monthly!S$4=TRUE,Monthly!S$13,Monthly!S$14)*(1+'Attrition Modeling'!$N$8)-IFERROR(V53/V120,0)*12)/12*V120,0))</f>
        <v>0</v>
      </c>
      <c r="X185" s="799">
        <f>MIN(IF(ISERROR(VLOOKUP(X$134-$F185,$E$135:$E$165,1,FALSE)),0,W53*$C$2),MAX((IF(Monthly!T$4=TRUE,Monthly!T$13,Monthly!T$14)*(1+'Attrition Modeling'!$N$8)-IFERROR(W53/W120,0)*12)/12*W120,0))</f>
        <v>0</v>
      </c>
      <c r="Y185" s="799">
        <f>MIN(IF(ISERROR(VLOOKUP(Y$134-$F185,$E$135:$E$165,1,FALSE)),0,X53*$C$2),MAX((IF(Monthly!U$4=TRUE,Monthly!U$13,Monthly!U$14)*(1+'Attrition Modeling'!$N$8)-IFERROR(X53/X120,0)*12)/12*X120,0))</f>
        <v>0</v>
      </c>
      <c r="Z185" s="799">
        <f>MIN(IF(ISERROR(VLOOKUP(Z$134-$F185,$E$135:$E$165,1,FALSE)),0,Y53*$C$2),MAX((IF(Monthly!V$4=TRUE,Monthly!V$13,Monthly!V$14)*(1+'Attrition Modeling'!$N$8)-IFERROR(Y53/Y120,0)*12)/12*Y120,0))</f>
        <v>0</v>
      </c>
      <c r="AA185" s="799">
        <f>MIN(IF(ISERROR(VLOOKUP(AA$134-$F185,$E$135:$E$165,1,FALSE)),0,Z53*$C$2),MAX((IF(Monthly!W$4=TRUE,Monthly!W$13,Monthly!W$14)*(1+'Attrition Modeling'!$N$8)-IFERROR(Z53/Z120,0)*12)/12*Z120,0))</f>
        <v>0</v>
      </c>
      <c r="AB185" s="799">
        <f>MIN(IF(ISERROR(VLOOKUP(AB$134-$F185,$E$135:$E$165,1,FALSE)),0,AA53*$C$2),MAX((IF(Monthly!X$4=TRUE,Monthly!X$13,Monthly!X$14)*(1+'Attrition Modeling'!$N$8)-IFERROR(AA53/AA120,0)*12)/12*AA120,0))</f>
        <v>0</v>
      </c>
      <c r="AC185" s="799">
        <f>MIN(IF(ISERROR(VLOOKUP(AC$134-$F185,$E$135:$E$165,1,FALSE)),0,AB53*$C$2),MAX((IF(Monthly!Y$4=TRUE,Monthly!Y$13,Monthly!Y$14)*(1+'Attrition Modeling'!$N$8)-IFERROR(AB53/AB120,0)*12)/12*AB120,0))</f>
        <v>0</v>
      </c>
      <c r="AD185" s="799">
        <f>MIN(IF(ISERROR(VLOOKUP(AD$134-$F185,$E$135:$E$165,1,FALSE)),0,AC53*$C$2),MAX((IF(Monthly!Z$4=TRUE,Monthly!Z$13,Monthly!Z$14)*(1+'Attrition Modeling'!$N$8)-IFERROR(AC53/AC120,0)*12)/12*AC120,0))</f>
        <v>0</v>
      </c>
      <c r="AE185" s="799">
        <f>MIN(IF(ISERROR(VLOOKUP(AE$134-$F185,$E$135:$E$165,1,FALSE)),0,AD53*$C$2),MAX((IF(Monthly!AA$4=TRUE,Monthly!AA$13,Monthly!AA$14)*(1+'Attrition Modeling'!$N$8)-IFERROR(AD53/AD120,0)*12)/12*AD120,0))</f>
        <v>0</v>
      </c>
      <c r="AF185" s="799">
        <f>MIN(IF(ISERROR(VLOOKUP(AF$134-$F185,$E$135:$E$165,1,FALSE)),0,AE53*$C$2),MAX((IF(Monthly!AB$4=TRUE,Monthly!AB$13,Monthly!AB$14)*(1+'Attrition Modeling'!$N$8)-IFERROR(AE53/AE120,0)*12)/12*AE120,0))</f>
        <v>0</v>
      </c>
      <c r="AG185" s="799">
        <f>MIN(IF(ISERROR(VLOOKUP(AG$134-$F185,$E$135:$E$165,1,FALSE)),0,AF53*$C$2),MAX((IF(Monthly!AC$4=TRUE,Monthly!AC$13,Monthly!AC$14)*(1+'Attrition Modeling'!$N$8)-IFERROR(AF53/AF120,0)*12)/12*AF120,0))</f>
        <v>0</v>
      </c>
      <c r="AH185" s="799">
        <f>MIN(IF(ISERROR(VLOOKUP(AH$134-$F185,$E$135:$E$165,1,FALSE)),0,AG53*$C$2),MAX((IF(Monthly!AD$4=TRUE,Monthly!AD$13,Monthly!AD$14)*(1+'Attrition Modeling'!$N$8)-IFERROR(AG53/AG120,0)*12)/12*AG120,0))</f>
        <v>0</v>
      </c>
      <c r="AI185" s="799">
        <f>MIN(IF(ISERROR(VLOOKUP(AI$134-$F185,$E$135:$E$165,1,FALSE)),0,AH53*$C$2),MAX((IF(Monthly!AE$4=TRUE,Monthly!AE$13,Monthly!AE$14)*(1+'Attrition Modeling'!$N$8)-IFERROR(AH53/AH120,0)*12)/12*AH120,0))</f>
        <v>0</v>
      </c>
      <c r="AJ185" s="799">
        <f>MIN(IF(ISERROR(VLOOKUP(AJ$134-$F185,$E$135:$E$165,1,FALSE)),0,AI53*$C$2),MAX((IF(Monthly!AF$4=TRUE,Monthly!AF$13,Monthly!AF$14)*(1+'Attrition Modeling'!$N$8)-IFERROR(AI53/AI120,0)*12)/12*AI120,0))</f>
        <v>0</v>
      </c>
      <c r="AK185" s="799">
        <f>MIN(IF(ISERROR(VLOOKUP(AK$134-$F185,$E$135:$E$165,1,FALSE)),0,AJ53*$C$2),MAX((IF(Monthly!AG$4=TRUE,Monthly!AG$13,Monthly!AG$14)*(1+'Attrition Modeling'!$N$8)-IFERROR(AJ53/AJ120,0)*12)/12*AJ120,0))</f>
        <v>0</v>
      </c>
      <c r="AL185" s="799">
        <f>MIN(IF(ISERROR(VLOOKUP(AL$134-$F185,$E$135:$E$165,1,FALSE)),0,AK53*$C$2),MAX((IF(Monthly!AH$4=TRUE,Monthly!AH$13,Monthly!AH$14)*(1+'Attrition Modeling'!$N$8)-IFERROR(AK53/AK120,0)*12)/12*AK120,0))</f>
        <v>0</v>
      </c>
      <c r="AM185" s="799">
        <f>MIN(IF(ISERROR(VLOOKUP(AM$134-$F185,$E$135:$E$165,1,FALSE)),0,AL53*$C$2),MAX((IF(Monthly!AI$4=TRUE,Monthly!AI$13,Monthly!AI$14)*(1+'Attrition Modeling'!$N$8)-IFERROR(AL53/AL120,0)*12)/12*AL120,0))</f>
        <v>0</v>
      </c>
      <c r="AN185" s="799">
        <f>MIN(IF(ISERROR(VLOOKUP(AN$134-$F185,$E$135:$E$165,1,FALSE)),0,AM53*$C$2),MAX((IF(Monthly!AJ$4=TRUE,Monthly!AJ$13,Monthly!AJ$14)*(1+'Attrition Modeling'!$N$8)-IFERROR(AM53/AM120,0)*12)/12*AM120,0))</f>
        <v>0</v>
      </c>
      <c r="AO185" s="799">
        <f>MIN(IF(ISERROR(VLOOKUP(AO$134-$F185,$E$135:$E$165,1,FALSE)),0,AN53*$C$2),MAX((IF(Monthly!AK$4=TRUE,Monthly!AK$13,Monthly!AK$14)*(1+'Attrition Modeling'!$N$8)-IFERROR(AN53/AN120,0)*12)/12*AN120,0))</f>
        <v>0</v>
      </c>
      <c r="AP185" s="799">
        <f>MIN(IF(ISERROR(VLOOKUP(AP$134-$F185,$E$135:$E$165,1,FALSE)),0,AO53*$C$2),MAX((IF(Monthly!AL$4=TRUE,Monthly!AL$13,Monthly!AL$14)*(1+'Attrition Modeling'!$N$8)-IFERROR(AO53/AO120,0)*12)/12*AO120,0))</f>
        <v>0</v>
      </c>
      <c r="AQ185" s="799">
        <f>MIN(IF(ISERROR(VLOOKUP(AQ$134-$F185,$E$135:$E$165,1,FALSE)),0,AP53*$C$2),MAX((IF(Monthly!AM$4=TRUE,Monthly!AM$13,Monthly!AM$14)*(1+'Attrition Modeling'!$N$8)-IFERROR(AP53/AP120,0)*12)/12*AP120,0))</f>
        <v>0</v>
      </c>
      <c r="AR185" s="799">
        <f>MIN(IF(ISERROR(VLOOKUP(AR$134-$F185,$E$135:$E$165,1,FALSE)),0,AQ53*$C$2),MAX((IF(Monthly!AN$4=TRUE,Monthly!AN$13,Monthly!AN$14)*(1+'Attrition Modeling'!$N$8)-IFERROR(AQ53/AQ120,0)*12)/12*AQ120,0))</f>
        <v>0</v>
      </c>
      <c r="AS185" s="799">
        <f>MIN(IF(ISERROR(VLOOKUP(AS$134-$F185,$E$135:$E$165,1,FALSE)),0,AR53*$C$2),MAX((IF(Monthly!AO$4=TRUE,Monthly!AO$13,Monthly!AO$14)*(1+'Attrition Modeling'!$N$8)-IFERROR(AR53/AR120,0)*12)/12*AR120,0))</f>
        <v>0</v>
      </c>
      <c r="AT185" s="799">
        <f>MIN(IF(ISERROR(VLOOKUP(AT$134-$F185,$E$135:$E$165,1,FALSE)),0,AS53*$C$2),MAX((IF(Monthly!AP$4=TRUE,Monthly!AP$13,Monthly!AP$14)*(1+'Attrition Modeling'!$N$8)-IFERROR(AS53/AS120,0)*12)/12*AS120,0))</f>
        <v>0</v>
      </c>
      <c r="AU185" s="799">
        <f>MIN(IF(ISERROR(VLOOKUP(AU$134-$F185,$E$135:$E$165,1,FALSE)),0,AT53*$C$2),MAX((IF(Monthly!AQ$4=TRUE,Monthly!AQ$13,Monthly!AQ$14)*(1+'Attrition Modeling'!$N$8)-IFERROR(AT53/AT120,0)*12)/12*AT120,0))</f>
        <v>0</v>
      </c>
      <c r="AV185" s="799">
        <f>MIN(IF(ISERROR(VLOOKUP(AV$134-$F185,$E$135:$E$165,1,FALSE)),0,AU53*$C$2),MAX((IF(Monthly!AR$4=TRUE,Monthly!AR$13,Monthly!AR$14)*(1+'Attrition Modeling'!$N$8)-IFERROR(AU53/AU120,0)*12)/12*AU120,0))</f>
        <v>0</v>
      </c>
      <c r="AW185" s="799">
        <f>MIN(IF(ISERROR(VLOOKUP(AW$134-$F185,$E$135:$E$165,1,FALSE)),0,AV53*$C$2),MAX((IF(Monthly!AS$4=TRUE,Monthly!AS$13,Monthly!AS$14)*(1+'Attrition Modeling'!$N$8)-IFERROR(AV53/AV120,0)*12)/12*AV120,0))</f>
        <v>0</v>
      </c>
      <c r="AX185" s="799">
        <f>MIN(IF(ISERROR(VLOOKUP(AX$134-$F185,$E$135:$E$165,1,FALSE)),0,AW53*$C$2),MAX((IF(Monthly!AT$4=TRUE,Monthly!AT$13,Monthly!AT$14)*(1+'Attrition Modeling'!$N$8)-IFERROR(AW53/AW120,0)*12)/12*AW120,0))</f>
        <v>0</v>
      </c>
      <c r="AY185" s="799">
        <f>MIN(IF(ISERROR(VLOOKUP(AY$134-$F185,$E$135:$E$165,1,FALSE)),0,AX53*$C$2),MAX((IF(Monthly!AU$4=TRUE,Monthly!AU$13,Monthly!AU$14)*(1+'Attrition Modeling'!$N$8)-IFERROR(AX53/AX120,0)*12)/12*AX120,0))</f>
        <v>0</v>
      </c>
      <c r="AZ185" s="799">
        <f>MIN(IF(ISERROR(VLOOKUP(AZ$134-$F185,$E$135:$E$165,1,FALSE)),0,AY53*$C$2),MAX((IF(Monthly!AV$4=TRUE,Monthly!AV$13,Monthly!AV$14)*(1+'Attrition Modeling'!$N$8)-IFERROR(AY53/AY120,0)*12)/12*AY120,0))</f>
        <v>0</v>
      </c>
      <c r="BA185" s="799">
        <f>MIN(IF(ISERROR(VLOOKUP(BA$134-$F185,$E$135:$E$165,1,FALSE)),0,AZ53*$C$2),MAX((IF(Monthly!AW$4=TRUE,Monthly!AW$13,Monthly!AW$14)*(1+'Attrition Modeling'!$N$8)-IFERROR(AZ53/AZ120,0)*12)/12*AZ120,0))</f>
        <v>0</v>
      </c>
      <c r="BB185" s="799">
        <f>MIN(IF(ISERROR(VLOOKUP(BB$134-$F185,$E$135:$E$165,1,FALSE)),0,BA53*$C$2),MAX((IF(Monthly!AX$4=TRUE,Monthly!AX$13,Monthly!AX$14)*(1+'Attrition Modeling'!$N$8)-IFERROR(BA53/BA120,0)*12)/12*BA120,0))</f>
        <v>0</v>
      </c>
      <c r="BC185" s="799">
        <f>MIN(IF(ISERROR(VLOOKUP(BC$134-$F185,$E$135:$E$165,1,FALSE)),0,BB53*$C$2),MAX((IF(Monthly!AY$4=TRUE,Monthly!AY$13,Monthly!AY$14)*(1+'Attrition Modeling'!$N$8)-IFERROR(BB53/BB120,0)*12)/12*BB120,0))</f>
        <v>0</v>
      </c>
      <c r="BD185" s="799">
        <f>MIN(IF(ISERROR(VLOOKUP(BD$134-$F185,$E$135:$E$165,1,FALSE)),0,BC53*$C$2),MAX((IF(Monthly!AZ$4=TRUE,Monthly!AZ$13,Monthly!AZ$14)*(1+'Attrition Modeling'!$N$8)-IFERROR(BC53/BC120,0)*12)/12*BC120,0))</f>
        <v>0</v>
      </c>
      <c r="BE185" s="799">
        <f>MIN(IF(ISERROR(VLOOKUP(BE$134-$F185,$E$135:$E$165,1,FALSE)),0,BD53*$C$2),MAX((IF(Monthly!BA$4=TRUE,Monthly!BA$13,Monthly!BA$14)*(1+'Attrition Modeling'!$N$8)-IFERROR(BD53/BD120,0)*12)/12*BD120,0))</f>
        <v>0</v>
      </c>
      <c r="BF185" s="799">
        <f>MIN(IF(ISERROR(VLOOKUP(BF$134-$F185,$E$135:$E$165,1,FALSE)),0,BE53*$C$2),MAX((IF(Monthly!BB$4=TRUE,Monthly!BB$13,Monthly!BB$14)*(1+'Attrition Modeling'!$N$8)-IFERROR(BE53/BE120,0)*12)/12*BE120,0))</f>
        <v>0</v>
      </c>
      <c r="BG185" s="799">
        <f>MIN(IF(ISERROR(VLOOKUP(BG$134-$F185,$E$135:$E$165,1,FALSE)),0,BF53*$C$2),MAX((IF(Monthly!BC$4=TRUE,Monthly!BC$13,Monthly!BC$14)*(1+'Attrition Modeling'!$N$8)-IFERROR(BF53/BF120,0)*12)/12*BF120,0))</f>
        <v>0</v>
      </c>
      <c r="BH185" s="799">
        <f>MIN(IF(ISERROR(VLOOKUP(BH$134-$F185,$E$135:$E$165,1,FALSE)),0,BG53*$C$2),MAX((IF(Monthly!BD$4=TRUE,Monthly!BD$13,Monthly!BD$14)*(1+'Attrition Modeling'!$N$8)-IFERROR(BG53/BG120,0)*12)/12*BG120,0))</f>
        <v>0</v>
      </c>
      <c r="BI185" s="799">
        <f>MIN(IF(ISERROR(VLOOKUP(BI$134-$F185,$E$135:$E$165,1,FALSE)),0,BH53*$C$2),MAX((IF(Monthly!BE$4=TRUE,Monthly!BE$13,Monthly!BE$14)*(1+'Attrition Modeling'!$N$8)-IFERROR(BH53/BH120,0)*12)/12*BH120,0))</f>
        <v>0</v>
      </c>
      <c r="BJ185" s="799">
        <f>MIN(IF(ISERROR(VLOOKUP(BJ$134-$F185,$E$135:$E$165,1,FALSE)),0,BI53*$C$2),MAX((IF(Monthly!BF$4=TRUE,Monthly!BF$13,Monthly!BF$14)*(1+'Attrition Modeling'!$N$8)-IFERROR(BI53/BI120,0)*12)/12*BI120,0))</f>
        <v>0</v>
      </c>
      <c r="BK185" s="799">
        <f>MIN(IF(ISERROR(VLOOKUP(BK$134-$F185,$E$135:$E$165,1,FALSE)),0,BJ53*$C$2),MAX((IF(Monthly!BG$4=TRUE,Monthly!BG$13,Monthly!BG$14)*(1+'Attrition Modeling'!$N$8)-IFERROR(BJ53/BJ120,0)*12)/12*BJ120,0))</f>
        <v>615.05041245625421</v>
      </c>
      <c r="BL185" s="799">
        <f>MIN(IF(ISERROR(VLOOKUP(BL$134-$F185,$E$135:$E$165,1,FALSE)),0,BK53*$C$2),MAX((IF(Monthly!BH$4=TRUE,Monthly!BH$13,Monthly!BH$14)*(1+'Attrition Modeling'!$N$8)-IFERROR(BK53/BK120,0)*12)/12*BK120,0))</f>
        <v>0</v>
      </c>
      <c r="BM185" s="799">
        <f>MIN(IF(ISERROR(VLOOKUP(BM$134-$F185,$E$135:$E$165,1,FALSE)),0,BL53*$C$2),MAX((IF(Monthly!BI$4=TRUE,Monthly!BI$13,Monthly!BI$14)*(1+'Attrition Modeling'!$N$8)-IFERROR(BL53/BL120,0)*12)/12*BL120,0))</f>
        <v>0</v>
      </c>
      <c r="BN185" s="799">
        <f>MIN(IF(ISERROR(VLOOKUP(BN$134-$F185,$E$135:$E$165,1,FALSE)),0,BM53*$C$2),MAX((IF(Monthly!BJ$4=TRUE,Monthly!BJ$13,Monthly!BJ$14)*(1+'Attrition Modeling'!$N$8)-IFERROR(BM53/BM120,0)*12)/12*BM120,0))</f>
        <v>0</v>
      </c>
      <c r="BO185" s="799">
        <f>MIN(IF(ISERROR(VLOOKUP(BO$134-$F185,$E$135:$E$165,1,FALSE)),0,BN53*$C$2),MAX((IF(Monthly!BK$4=TRUE,Monthly!BK$13,Monthly!BK$14)*(1+'Attrition Modeling'!$N$8)-IFERROR(BN53/BN120,0)*12)/12*BN120,0))</f>
        <v>0</v>
      </c>
      <c r="BP185" s="799">
        <f>MIN(IF(ISERROR(VLOOKUP(BP$134-$F185,$E$135:$E$165,1,FALSE)),0,BO53*$C$2),MAX((IF(Monthly!BP$4=TRUE,Monthly!BP$13,Monthly!BP$14)*(1+'Attrition Modeling'!$N$8)-IFERROR(BO53/BO120,0)*12)/12*BO120,0))</f>
        <v>0</v>
      </c>
      <c r="BQ185" s="799">
        <f>MIN(IF(ISERROR(VLOOKUP(BQ$134-$F185,$E$135:$E$165,1,FALSE)),0,BP53*$C$2),MAX((IF(Monthly!BQ$4=TRUE,Monthly!BQ$13,Monthly!BQ$14)*(1+'Attrition Modeling'!$N$8)-IFERROR(BP53/BP120,0)*12)/12*BP120,0))</f>
        <v>0</v>
      </c>
      <c r="BR185" s="799">
        <f>MIN(IF(ISERROR(VLOOKUP(BR$134-$F185,$E$135:$E$165,1,FALSE)),0,BQ53*$C$2),MAX((IF(Monthly!BR$4=TRUE,Monthly!BR$13,Monthly!BR$14)*(1+'Attrition Modeling'!$N$8)-IFERROR(BQ53/BQ120,0)*12)/12*BQ120,0))</f>
        <v>0</v>
      </c>
      <c r="BS185" s="799">
        <f>MIN(IF(ISERROR(VLOOKUP(BS$134-$F185,$E$135:$E$165,1,FALSE)),0,BR53*$C$2),MAX((IF(Monthly!BS$4=TRUE,Monthly!BS$13,Monthly!BS$14)*(1+'Attrition Modeling'!$N$8)-IFERROR(BR53/BR120,0)*12)/12*BR120,0))</f>
        <v>0</v>
      </c>
      <c r="BT185" s="799">
        <f>MIN(IF(ISERROR(VLOOKUP(BT$134-$F185,$E$135:$E$165,1,FALSE)),0,BS53*$C$2),MAX((IF(Monthly!BT$4=TRUE,Monthly!BT$13,Monthly!BT$14)*(1+'Attrition Modeling'!$N$8)-IFERROR(BS53/BS120,0)*12)/12*BS120,0))</f>
        <v>0</v>
      </c>
      <c r="BU185" s="799">
        <f>MIN(IF(ISERROR(VLOOKUP(BU$134-$F185,$E$135:$E$165,1,FALSE)),0,BT53*$C$2),MAX((IF(Monthly!BU$4=TRUE,Monthly!BU$13,Monthly!BU$14)*(1+'Attrition Modeling'!$N$8)-IFERROR(BT53/BT120,0)*12)/12*BT120,0))</f>
        <v>0</v>
      </c>
    </row>
    <row r="186" spans="5:73" ht="14.25" customHeight="1" x14ac:dyDescent="0.2">
      <c r="E186" s="25"/>
      <c r="F186" s="11">
        <f t="shared" si="14"/>
        <v>51</v>
      </c>
      <c r="G186" s="799"/>
      <c r="H186" s="799">
        <f>MIN(IF(ISERROR(VLOOKUP(H$134-$F186,$E$135:$E$165,1,FALSE)),0,G54*$C$2),MAX((IF(Monthly!D$4=TRUE,Monthly!D$13,Monthly!D$14)*(1+'Attrition Modeling'!$N$8)-IFERROR(G54/G121,0)*12)/12*G121,0))</f>
        <v>0</v>
      </c>
      <c r="I186" s="799">
        <f>MIN(IF(ISERROR(VLOOKUP(I$134-$F186,$E$135:$E$165,1,FALSE)),0,H54*$C$2),MAX((IF(Monthly!E$4=TRUE,Monthly!E$13,Monthly!E$14)*(1+'Attrition Modeling'!$N$8)-IFERROR(H54/H121,0)*12)/12*H121,0))</f>
        <v>0</v>
      </c>
      <c r="J186" s="799">
        <f>MIN(IF(ISERROR(VLOOKUP(J$134-$F186,$E$135:$E$165,1,FALSE)),0,I54*$C$2),MAX((IF(Monthly!F$4=TRUE,Monthly!F$13,Monthly!F$14)*(1+'Attrition Modeling'!$N$8)-IFERROR(I54/I121,0)*12)/12*I121,0))</f>
        <v>0</v>
      </c>
      <c r="K186" s="799">
        <f>MIN(IF(ISERROR(VLOOKUP(K$134-$F186,$E$135:$E$165,1,FALSE)),0,J54*$C$2),MAX((IF(Monthly!G$4=TRUE,Monthly!G$13,Monthly!G$14)*(1+'Attrition Modeling'!$N$8)-IFERROR(J54/J121,0)*12)/12*J121,0))</f>
        <v>0</v>
      </c>
      <c r="L186" s="799">
        <f>MIN(IF(ISERROR(VLOOKUP(L$134-$F186,$E$135:$E$165,1,FALSE)),0,K54*$C$2),MAX((IF(Monthly!H$4=TRUE,Monthly!H$13,Monthly!H$14)*(1+'Attrition Modeling'!$N$8)-IFERROR(K54/K121,0)*12)/12*K121,0))</f>
        <v>0</v>
      </c>
      <c r="M186" s="799">
        <f>MIN(IF(ISERROR(VLOOKUP(M$134-$F186,$E$135:$E$165,1,FALSE)),0,L54*$C$2),MAX((IF(Monthly!I$4=TRUE,Monthly!I$13,Monthly!I$14)*(1+'Attrition Modeling'!$N$8)-IFERROR(L54/L121,0)*12)/12*L121,0))</f>
        <v>0</v>
      </c>
      <c r="N186" s="799">
        <f>MIN(IF(ISERROR(VLOOKUP(N$134-$F186,$E$135:$E$165,1,FALSE)),0,M54*$C$2),MAX((IF(Monthly!J$4=TRUE,Monthly!J$13,Monthly!J$14)*(1+'Attrition Modeling'!$N$8)-IFERROR(M54/M121,0)*12)/12*M121,0))</f>
        <v>0</v>
      </c>
      <c r="O186" s="799">
        <f>MIN(IF(ISERROR(VLOOKUP(O$134-$F186,$E$135:$E$165,1,FALSE)),0,N54*$C$2),MAX((IF(Monthly!K$4=TRUE,Monthly!K$13,Monthly!K$14)*(1+'Attrition Modeling'!$N$8)-IFERROR(N54/N121,0)*12)/12*N121,0))</f>
        <v>0</v>
      </c>
      <c r="P186" s="799">
        <f>MIN(IF(ISERROR(VLOOKUP(P$134-$F186,$E$135:$E$165,1,FALSE)),0,O54*$C$2),MAX((IF(Monthly!L$4=TRUE,Monthly!L$13,Monthly!L$14)*(1+'Attrition Modeling'!$N$8)-IFERROR(O54/O121,0)*12)/12*O121,0))</f>
        <v>0</v>
      </c>
      <c r="Q186" s="799">
        <f>MIN(IF(ISERROR(VLOOKUP(Q$134-$F186,$E$135:$E$165,1,FALSE)),0,P54*$C$2),MAX((IF(Monthly!M$4=TRUE,Monthly!M$13,Monthly!M$14)*(1+'Attrition Modeling'!$N$8)-IFERROR(P54/P121,0)*12)/12*P121,0))</f>
        <v>0</v>
      </c>
      <c r="R186" s="799">
        <f>MIN(IF(ISERROR(VLOOKUP(R$134-$F186,$E$135:$E$165,1,FALSE)),0,Q54*$C$2),MAX((IF(Monthly!N$4=TRUE,Monthly!N$13,Monthly!N$14)*(1+'Attrition Modeling'!$N$8)-IFERROR(Q54/Q121,0)*12)/12*Q121,0))</f>
        <v>0</v>
      </c>
      <c r="S186" s="799">
        <f>MIN(IF(ISERROR(VLOOKUP(S$134-$F186,$E$135:$E$165,1,FALSE)),0,R54*$C$2),MAX((IF(Monthly!O$4=TRUE,Monthly!O$13,Monthly!O$14)*(1+'Attrition Modeling'!$N$8)-IFERROR(R54/R121,0)*12)/12*R121,0))</f>
        <v>0</v>
      </c>
      <c r="T186" s="799">
        <f>MIN(IF(ISERROR(VLOOKUP(T$134-$F186,$E$135:$E$165,1,FALSE)),0,S54*$C$2),MAX((IF(Monthly!P$4=TRUE,Monthly!P$13,Monthly!P$14)*(1+'Attrition Modeling'!$N$8)-IFERROR(S54/S121,0)*12)/12*S121,0))</f>
        <v>0</v>
      </c>
      <c r="U186" s="799">
        <f>MIN(IF(ISERROR(VLOOKUP(U$134-$F186,$E$135:$E$165,1,FALSE)),0,T54*$C$2),MAX((IF(Monthly!Q$4=TRUE,Monthly!Q$13,Monthly!Q$14)*(1+'Attrition Modeling'!$N$8)-IFERROR(T54/T121,0)*12)/12*T121,0))</f>
        <v>0</v>
      </c>
      <c r="V186" s="799">
        <f>MIN(IF(ISERROR(VLOOKUP(V$134-$F186,$E$135:$E$165,1,FALSE)),0,U54*$C$2),MAX((IF(Monthly!R$4=TRUE,Monthly!R$13,Monthly!R$14)*(1+'Attrition Modeling'!$N$8)-IFERROR(U54/U121,0)*12)/12*U121,0))</f>
        <v>0</v>
      </c>
      <c r="W186" s="799">
        <f>MIN(IF(ISERROR(VLOOKUP(W$134-$F186,$E$135:$E$165,1,FALSE)),0,V54*$C$2),MAX((IF(Monthly!S$4=TRUE,Monthly!S$13,Monthly!S$14)*(1+'Attrition Modeling'!$N$8)-IFERROR(V54/V121,0)*12)/12*V121,0))</f>
        <v>0</v>
      </c>
      <c r="X186" s="799">
        <f>MIN(IF(ISERROR(VLOOKUP(X$134-$F186,$E$135:$E$165,1,FALSE)),0,W54*$C$2),MAX((IF(Monthly!T$4=TRUE,Monthly!T$13,Monthly!T$14)*(1+'Attrition Modeling'!$N$8)-IFERROR(W54/W121,0)*12)/12*W121,0))</f>
        <v>0</v>
      </c>
      <c r="Y186" s="799">
        <f>MIN(IF(ISERROR(VLOOKUP(Y$134-$F186,$E$135:$E$165,1,FALSE)),0,X54*$C$2),MAX((IF(Monthly!U$4=TRUE,Monthly!U$13,Monthly!U$14)*(1+'Attrition Modeling'!$N$8)-IFERROR(X54/X121,0)*12)/12*X121,0))</f>
        <v>0</v>
      </c>
      <c r="Z186" s="799">
        <f>MIN(IF(ISERROR(VLOOKUP(Z$134-$F186,$E$135:$E$165,1,FALSE)),0,Y54*$C$2),MAX((IF(Monthly!V$4=TRUE,Monthly!V$13,Monthly!V$14)*(1+'Attrition Modeling'!$N$8)-IFERROR(Y54/Y121,0)*12)/12*Y121,0))</f>
        <v>0</v>
      </c>
      <c r="AA186" s="799">
        <f>MIN(IF(ISERROR(VLOOKUP(AA$134-$F186,$E$135:$E$165,1,FALSE)),0,Z54*$C$2),MAX((IF(Monthly!W$4=TRUE,Monthly!W$13,Monthly!W$14)*(1+'Attrition Modeling'!$N$8)-IFERROR(Z54/Z121,0)*12)/12*Z121,0))</f>
        <v>0</v>
      </c>
      <c r="AB186" s="799">
        <f>MIN(IF(ISERROR(VLOOKUP(AB$134-$F186,$E$135:$E$165,1,FALSE)),0,AA54*$C$2),MAX((IF(Monthly!X$4=TRUE,Monthly!X$13,Monthly!X$14)*(1+'Attrition Modeling'!$N$8)-IFERROR(AA54/AA121,0)*12)/12*AA121,0))</f>
        <v>0</v>
      </c>
      <c r="AC186" s="799">
        <f>MIN(IF(ISERROR(VLOOKUP(AC$134-$F186,$E$135:$E$165,1,FALSE)),0,AB54*$C$2),MAX((IF(Monthly!Y$4=TRUE,Monthly!Y$13,Monthly!Y$14)*(1+'Attrition Modeling'!$N$8)-IFERROR(AB54/AB121,0)*12)/12*AB121,0))</f>
        <v>0</v>
      </c>
      <c r="AD186" s="799">
        <f>MIN(IF(ISERROR(VLOOKUP(AD$134-$F186,$E$135:$E$165,1,FALSE)),0,AC54*$C$2),MAX((IF(Monthly!Z$4=TRUE,Monthly!Z$13,Monthly!Z$14)*(1+'Attrition Modeling'!$N$8)-IFERROR(AC54/AC121,0)*12)/12*AC121,0))</f>
        <v>0</v>
      </c>
      <c r="AE186" s="799">
        <f>MIN(IF(ISERROR(VLOOKUP(AE$134-$F186,$E$135:$E$165,1,FALSE)),0,AD54*$C$2),MAX((IF(Monthly!AA$4=TRUE,Monthly!AA$13,Monthly!AA$14)*(1+'Attrition Modeling'!$N$8)-IFERROR(AD54/AD121,0)*12)/12*AD121,0))</f>
        <v>0</v>
      </c>
      <c r="AF186" s="799">
        <f>MIN(IF(ISERROR(VLOOKUP(AF$134-$F186,$E$135:$E$165,1,FALSE)),0,AE54*$C$2),MAX((IF(Monthly!AB$4=TRUE,Monthly!AB$13,Monthly!AB$14)*(1+'Attrition Modeling'!$N$8)-IFERROR(AE54/AE121,0)*12)/12*AE121,0))</f>
        <v>0</v>
      </c>
      <c r="AG186" s="799">
        <f>MIN(IF(ISERROR(VLOOKUP(AG$134-$F186,$E$135:$E$165,1,FALSE)),0,AF54*$C$2),MAX((IF(Monthly!AC$4=TRUE,Monthly!AC$13,Monthly!AC$14)*(1+'Attrition Modeling'!$N$8)-IFERROR(AF54/AF121,0)*12)/12*AF121,0))</f>
        <v>0</v>
      </c>
      <c r="AH186" s="799">
        <f>MIN(IF(ISERROR(VLOOKUP(AH$134-$F186,$E$135:$E$165,1,FALSE)),0,AG54*$C$2),MAX((IF(Monthly!AD$4=TRUE,Monthly!AD$13,Monthly!AD$14)*(1+'Attrition Modeling'!$N$8)-IFERROR(AG54/AG121,0)*12)/12*AG121,0))</f>
        <v>0</v>
      </c>
      <c r="AI186" s="799">
        <f>MIN(IF(ISERROR(VLOOKUP(AI$134-$F186,$E$135:$E$165,1,FALSE)),0,AH54*$C$2),MAX((IF(Monthly!AE$4=TRUE,Monthly!AE$13,Monthly!AE$14)*(1+'Attrition Modeling'!$N$8)-IFERROR(AH54/AH121,0)*12)/12*AH121,0))</f>
        <v>0</v>
      </c>
      <c r="AJ186" s="799">
        <f>MIN(IF(ISERROR(VLOOKUP(AJ$134-$F186,$E$135:$E$165,1,FALSE)),0,AI54*$C$2),MAX((IF(Monthly!AF$4=TRUE,Monthly!AF$13,Monthly!AF$14)*(1+'Attrition Modeling'!$N$8)-IFERROR(AI54/AI121,0)*12)/12*AI121,0))</f>
        <v>0</v>
      </c>
      <c r="AK186" s="799">
        <f>MIN(IF(ISERROR(VLOOKUP(AK$134-$F186,$E$135:$E$165,1,FALSE)),0,AJ54*$C$2),MAX((IF(Monthly!AG$4=TRUE,Monthly!AG$13,Monthly!AG$14)*(1+'Attrition Modeling'!$N$8)-IFERROR(AJ54/AJ121,0)*12)/12*AJ121,0))</f>
        <v>0</v>
      </c>
      <c r="AL186" s="799">
        <f>MIN(IF(ISERROR(VLOOKUP(AL$134-$F186,$E$135:$E$165,1,FALSE)),0,AK54*$C$2),MAX((IF(Monthly!AH$4=TRUE,Monthly!AH$13,Monthly!AH$14)*(1+'Attrition Modeling'!$N$8)-IFERROR(AK54/AK121,0)*12)/12*AK121,0))</f>
        <v>0</v>
      </c>
      <c r="AM186" s="799">
        <f>MIN(IF(ISERROR(VLOOKUP(AM$134-$F186,$E$135:$E$165,1,FALSE)),0,AL54*$C$2),MAX((IF(Monthly!AI$4=TRUE,Monthly!AI$13,Monthly!AI$14)*(1+'Attrition Modeling'!$N$8)-IFERROR(AL54/AL121,0)*12)/12*AL121,0))</f>
        <v>0</v>
      </c>
      <c r="AN186" s="799">
        <f>MIN(IF(ISERROR(VLOOKUP(AN$134-$F186,$E$135:$E$165,1,FALSE)),0,AM54*$C$2),MAX((IF(Monthly!AJ$4=TRUE,Monthly!AJ$13,Monthly!AJ$14)*(1+'Attrition Modeling'!$N$8)-IFERROR(AM54/AM121,0)*12)/12*AM121,0))</f>
        <v>0</v>
      </c>
      <c r="AO186" s="799">
        <f>MIN(IF(ISERROR(VLOOKUP(AO$134-$F186,$E$135:$E$165,1,FALSE)),0,AN54*$C$2),MAX((IF(Monthly!AK$4=TRUE,Monthly!AK$13,Monthly!AK$14)*(1+'Attrition Modeling'!$N$8)-IFERROR(AN54/AN121,0)*12)/12*AN121,0))</f>
        <v>0</v>
      </c>
      <c r="AP186" s="799">
        <f>MIN(IF(ISERROR(VLOOKUP(AP$134-$F186,$E$135:$E$165,1,FALSE)),0,AO54*$C$2),MAX((IF(Monthly!AL$4=TRUE,Monthly!AL$13,Monthly!AL$14)*(1+'Attrition Modeling'!$N$8)-IFERROR(AO54/AO121,0)*12)/12*AO121,0))</f>
        <v>0</v>
      </c>
      <c r="AQ186" s="799">
        <f>MIN(IF(ISERROR(VLOOKUP(AQ$134-$F186,$E$135:$E$165,1,FALSE)),0,AP54*$C$2),MAX((IF(Monthly!AM$4=TRUE,Monthly!AM$13,Monthly!AM$14)*(1+'Attrition Modeling'!$N$8)-IFERROR(AP54/AP121,0)*12)/12*AP121,0))</f>
        <v>0</v>
      </c>
      <c r="AR186" s="799">
        <f>MIN(IF(ISERROR(VLOOKUP(AR$134-$F186,$E$135:$E$165,1,FALSE)),0,AQ54*$C$2),MAX((IF(Monthly!AN$4=TRUE,Monthly!AN$13,Monthly!AN$14)*(1+'Attrition Modeling'!$N$8)-IFERROR(AQ54/AQ121,0)*12)/12*AQ121,0))</f>
        <v>0</v>
      </c>
      <c r="AS186" s="799">
        <f>MIN(IF(ISERROR(VLOOKUP(AS$134-$F186,$E$135:$E$165,1,FALSE)),0,AR54*$C$2),MAX((IF(Monthly!AO$4=TRUE,Monthly!AO$13,Monthly!AO$14)*(1+'Attrition Modeling'!$N$8)-IFERROR(AR54/AR121,0)*12)/12*AR121,0))</f>
        <v>0</v>
      </c>
      <c r="AT186" s="799">
        <f>MIN(IF(ISERROR(VLOOKUP(AT$134-$F186,$E$135:$E$165,1,FALSE)),0,AS54*$C$2),MAX((IF(Monthly!AP$4=TRUE,Monthly!AP$13,Monthly!AP$14)*(1+'Attrition Modeling'!$N$8)-IFERROR(AS54/AS121,0)*12)/12*AS121,0))</f>
        <v>0</v>
      </c>
      <c r="AU186" s="799">
        <f>MIN(IF(ISERROR(VLOOKUP(AU$134-$F186,$E$135:$E$165,1,FALSE)),0,AT54*$C$2),MAX((IF(Monthly!AQ$4=TRUE,Monthly!AQ$13,Monthly!AQ$14)*(1+'Attrition Modeling'!$N$8)-IFERROR(AT54/AT121,0)*12)/12*AT121,0))</f>
        <v>0</v>
      </c>
      <c r="AV186" s="799">
        <f>MIN(IF(ISERROR(VLOOKUP(AV$134-$F186,$E$135:$E$165,1,FALSE)),0,AU54*$C$2),MAX((IF(Monthly!AR$4=TRUE,Monthly!AR$13,Monthly!AR$14)*(1+'Attrition Modeling'!$N$8)-IFERROR(AU54/AU121,0)*12)/12*AU121,0))</f>
        <v>0</v>
      </c>
      <c r="AW186" s="799">
        <f>MIN(IF(ISERROR(VLOOKUP(AW$134-$F186,$E$135:$E$165,1,FALSE)),0,AV54*$C$2),MAX((IF(Monthly!AS$4=TRUE,Monthly!AS$13,Monthly!AS$14)*(1+'Attrition Modeling'!$N$8)-IFERROR(AV54/AV121,0)*12)/12*AV121,0))</f>
        <v>0</v>
      </c>
      <c r="AX186" s="799">
        <f>MIN(IF(ISERROR(VLOOKUP(AX$134-$F186,$E$135:$E$165,1,FALSE)),0,AW54*$C$2),MAX((IF(Monthly!AT$4=TRUE,Monthly!AT$13,Monthly!AT$14)*(1+'Attrition Modeling'!$N$8)-IFERROR(AW54/AW121,0)*12)/12*AW121,0))</f>
        <v>0</v>
      </c>
      <c r="AY186" s="799">
        <f>MIN(IF(ISERROR(VLOOKUP(AY$134-$F186,$E$135:$E$165,1,FALSE)),0,AX54*$C$2),MAX((IF(Monthly!AU$4=TRUE,Monthly!AU$13,Monthly!AU$14)*(1+'Attrition Modeling'!$N$8)-IFERROR(AX54/AX121,0)*12)/12*AX121,0))</f>
        <v>0</v>
      </c>
      <c r="AZ186" s="799">
        <f>MIN(IF(ISERROR(VLOOKUP(AZ$134-$F186,$E$135:$E$165,1,FALSE)),0,AY54*$C$2),MAX((IF(Monthly!AV$4=TRUE,Monthly!AV$13,Monthly!AV$14)*(1+'Attrition Modeling'!$N$8)-IFERROR(AY54/AY121,0)*12)/12*AY121,0))</f>
        <v>0</v>
      </c>
      <c r="BA186" s="799">
        <f>MIN(IF(ISERROR(VLOOKUP(BA$134-$F186,$E$135:$E$165,1,FALSE)),0,AZ54*$C$2),MAX((IF(Monthly!AW$4=TRUE,Monthly!AW$13,Monthly!AW$14)*(1+'Attrition Modeling'!$N$8)-IFERROR(AZ54/AZ121,0)*12)/12*AZ121,0))</f>
        <v>0</v>
      </c>
      <c r="BB186" s="799">
        <f>MIN(IF(ISERROR(VLOOKUP(BB$134-$F186,$E$135:$E$165,1,FALSE)),0,BA54*$C$2),MAX((IF(Monthly!AX$4=TRUE,Monthly!AX$13,Monthly!AX$14)*(1+'Attrition Modeling'!$N$8)-IFERROR(BA54/BA121,0)*12)/12*BA121,0))</f>
        <v>0</v>
      </c>
      <c r="BC186" s="799">
        <f>MIN(IF(ISERROR(VLOOKUP(BC$134-$F186,$E$135:$E$165,1,FALSE)),0,BB54*$C$2),MAX((IF(Monthly!AY$4=TRUE,Monthly!AY$13,Monthly!AY$14)*(1+'Attrition Modeling'!$N$8)-IFERROR(BB54/BB121,0)*12)/12*BB121,0))</f>
        <v>0</v>
      </c>
      <c r="BD186" s="799">
        <f>MIN(IF(ISERROR(VLOOKUP(BD$134-$F186,$E$135:$E$165,1,FALSE)),0,BC54*$C$2),MAX((IF(Monthly!AZ$4=TRUE,Monthly!AZ$13,Monthly!AZ$14)*(1+'Attrition Modeling'!$N$8)-IFERROR(BC54/BC121,0)*12)/12*BC121,0))</f>
        <v>0</v>
      </c>
      <c r="BE186" s="799">
        <f>MIN(IF(ISERROR(VLOOKUP(BE$134-$F186,$E$135:$E$165,1,FALSE)),0,BD54*$C$2),MAX((IF(Monthly!BA$4=TRUE,Monthly!BA$13,Monthly!BA$14)*(1+'Attrition Modeling'!$N$8)-IFERROR(BD54/BD121,0)*12)/12*BD121,0))</f>
        <v>0</v>
      </c>
      <c r="BF186" s="799">
        <f>MIN(IF(ISERROR(VLOOKUP(BF$134-$F186,$E$135:$E$165,1,FALSE)),0,BE54*$C$2),MAX((IF(Monthly!BB$4=TRUE,Monthly!BB$13,Monthly!BB$14)*(1+'Attrition Modeling'!$N$8)-IFERROR(BE54/BE121,0)*12)/12*BE121,0))</f>
        <v>0</v>
      </c>
      <c r="BG186" s="799">
        <f>MIN(IF(ISERROR(VLOOKUP(BG$134-$F186,$E$135:$E$165,1,FALSE)),0,BF54*$C$2),MAX((IF(Monthly!BC$4=TRUE,Monthly!BC$13,Monthly!BC$14)*(1+'Attrition Modeling'!$N$8)-IFERROR(BF54/BF121,0)*12)/12*BF121,0))</f>
        <v>0</v>
      </c>
      <c r="BH186" s="799">
        <f>MIN(IF(ISERROR(VLOOKUP(BH$134-$F186,$E$135:$E$165,1,FALSE)),0,BG54*$C$2),MAX((IF(Monthly!BD$4=TRUE,Monthly!BD$13,Monthly!BD$14)*(1+'Attrition Modeling'!$N$8)-IFERROR(BG54/BG121,0)*12)/12*BG121,0))</f>
        <v>0</v>
      </c>
      <c r="BI186" s="799">
        <f>MIN(IF(ISERROR(VLOOKUP(BI$134-$F186,$E$135:$E$165,1,FALSE)),0,BH54*$C$2),MAX((IF(Monthly!BE$4=TRUE,Monthly!BE$13,Monthly!BE$14)*(1+'Attrition Modeling'!$N$8)-IFERROR(BH54/BH121,0)*12)/12*BH121,0))</f>
        <v>0</v>
      </c>
      <c r="BJ186" s="799">
        <f>MIN(IF(ISERROR(VLOOKUP(BJ$134-$F186,$E$135:$E$165,1,FALSE)),0,BI54*$C$2),MAX((IF(Monthly!BF$4=TRUE,Monthly!BF$13,Monthly!BF$14)*(1+'Attrition Modeling'!$N$8)-IFERROR(BI54/BI121,0)*12)/12*BI121,0))</f>
        <v>0</v>
      </c>
      <c r="BK186" s="799">
        <f>MIN(IF(ISERROR(VLOOKUP(BK$134-$F186,$E$135:$E$165,1,FALSE)),0,BJ54*$C$2),MAX((IF(Monthly!BG$4=TRUE,Monthly!BG$13,Monthly!BG$14)*(1+'Attrition Modeling'!$N$8)-IFERROR(BJ54/BJ121,0)*12)/12*BJ121,0))</f>
        <v>0</v>
      </c>
      <c r="BL186" s="799">
        <f>MIN(IF(ISERROR(VLOOKUP(BL$134-$F186,$E$135:$E$165,1,FALSE)),0,BK54*$C$2),MAX((IF(Monthly!BH$4=TRUE,Monthly!BH$13,Monthly!BH$14)*(1+'Attrition Modeling'!$N$8)-IFERROR(BK54/BK121,0)*12)/12*BK121,0))</f>
        <v>629.96979097756002</v>
      </c>
      <c r="BM186" s="799">
        <f>MIN(IF(ISERROR(VLOOKUP(BM$134-$F186,$E$135:$E$165,1,FALSE)),0,BL54*$C$2),MAX((IF(Monthly!BI$4=TRUE,Monthly!BI$13,Monthly!BI$14)*(1+'Attrition Modeling'!$N$8)-IFERROR(BL54/BL121,0)*12)/12*BL121,0))</f>
        <v>0</v>
      </c>
      <c r="BN186" s="799">
        <f>MIN(IF(ISERROR(VLOOKUP(BN$134-$F186,$E$135:$E$165,1,FALSE)),0,BM54*$C$2),MAX((IF(Monthly!BJ$4=TRUE,Monthly!BJ$13,Monthly!BJ$14)*(1+'Attrition Modeling'!$N$8)-IFERROR(BM54/BM121,0)*12)/12*BM121,0))</f>
        <v>0</v>
      </c>
      <c r="BO186" s="799">
        <f>MIN(IF(ISERROR(VLOOKUP(BO$134-$F186,$E$135:$E$165,1,FALSE)),0,BN54*$C$2),MAX((IF(Monthly!BK$4=TRUE,Monthly!BK$13,Monthly!BK$14)*(1+'Attrition Modeling'!$N$8)-IFERROR(BN54/BN121,0)*12)/12*BN121,0))</f>
        <v>0</v>
      </c>
      <c r="BP186" s="799">
        <f>MIN(IF(ISERROR(VLOOKUP(BP$134-$F186,$E$135:$E$165,1,FALSE)),0,BO54*$C$2),MAX((IF(Monthly!BP$4=TRUE,Monthly!BP$13,Monthly!BP$14)*(1+'Attrition Modeling'!$N$8)-IFERROR(BO54/BO121,0)*12)/12*BO121,0))</f>
        <v>0</v>
      </c>
      <c r="BQ186" s="799">
        <f>MIN(IF(ISERROR(VLOOKUP(BQ$134-$F186,$E$135:$E$165,1,FALSE)),0,BP54*$C$2),MAX((IF(Monthly!BQ$4=TRUE,Monthly!BQ$13,Monthly!BQ$14)*(1+'Attrition Modeling'!$N$8)-IFERROR(BP54/BP121,0)*12)/12*BP121,0))</f>
        <v>0</v>
      </c>
      <c r="BR186" s="799">
        <f>MIN(IF(ISERROR(VLOOKUP(BR$134-$F186,$E$135:$E$165,1,FALSE)),0,BQ54*$C$2),MAX((IF(Monthly!BR$4=TRUE,Monthly!BR$13,Monthly!BR$14)*(1+'Attrition Modeling'!$N$8)-IFERROR(BQ54/BQ121,0)*12)/12*BQ121,0))</f>
        <v>0</v>
      </c>
      <c r="BS186" s="799">
        <f>MIN(IF(ISERROR(VLOOKUP(BS$134-$F186,$E$135:$E$165,1,FALSE)),0,BR54*$C$2),MAX((IF(Monthly!BS$4=TRUE,Monthly!BS$13,Monthly!BS$14)*(1+'Attrition Modeling'!$N$8)-IFERROR(BR54/BR121,0)*12)/12*BR121,0))</f>
        <v>0</v>
      </c>
      <c r="BT186" s="799">
        <f>MIN(IF(ISERROR(VLOOKUP(BT$134-$F186,$E$135:$E$165,1,FALSE)),0,BS54*$C$2),MAX((IF(Monthly!BT$4=TRUE,Monthly!BT$13,Monthly!BT$14)*(1+'Attrition Modeling'!$N$8)-IFERROR(BS54/BS121,0)*12)/12*BS121,0))</f>
        <v>0</v>
      </c>
      <c r="BU186" s="799">
        <f>MIN(IF(ISERROR(VLOOKUP(BU$134-$F186,$E$135:$E$165,1,FALSE)),0,BT54*$C$2),MAX((IF(Monthly!BU$4=TRUE,Monthly!BU$13,Monthly!BU$14)*(1+'Attrition Modeling'!$N$8)-IFERROR(BT54/BT121,0)*12)/12*BT121,0))</f>
        <v>0</v>
      </c>
    </row>
    <row r="187" spans="5:73" ht="14.25" customHeight="1" x14ac:dyDescent="0.2">
      <c r="E187" s="25"/>
      <c r="F187" s="11">
        <f t="shared" si="14"/>
        <v>52</v>
      </c>
      <c r="G187" s="799"/>
      <c r="H187" s="799">
        <f>MIN(IF(ISERROR(VLOOKUP(H$134-$F187,$E$135:$E$165,1,FALSE)),0,G55*$C$2),MAX((IF(Monthly!D$4=TRUE,Monthly!D$13,Monthly!D$14)*(1+'Attrition Modeling'!$N$8)-IFERROR(G55/G122,0)*12)/12*G122,0))</f>
        <v>0</v>
      </c>
      <c r="I187" s="799">
        <f>MIN(IF(ISERROR(VLOOKUP(I$134-$F187,$E$135:$E$165,1,FALSE)),0,H55*$C$2),MAX((IF(Monthly!E$4=TRUE,Monthly!E$13,Monthly!E$14)*(1+'Attrition Modeling'!$N$8)-IFERROR(H55/H122,0)*12)/12*H122,0))</f>
        <v>0</v>
      </c>
      <c r="J187" s="799">
        <f>MIN(IF(ISERROR(VLOOKUP(J$134-$F187,$E$135:$E$165,1,FALSE)),0,I55*$C$2),MAX((IF(Monthly!F$4=TRUE,Monthly!F$13,Monthly!F$14)*(1+'Attrition Modeling'!$N$8)-IFERROR(I55/I122,0)*12)/12*I122,0))</f>
        <v>0</v>
      </c>
      <c r="K187" s="799">
        <f>MIN(IF(ISERROR(VLOOKUP(K$134-$F187,$E$135:$E$165,1,FALSE)),0,J55*$C$2),MAX((IF(Monthly!G$4=TRUE,Monthly!G$13,Monthly!G$14)*(1+'Attrition Modeling'!$N$8)-IFERROR(J55/J122,0)*12)/12*J122,0))</f>
        <v>0</v>
      </c>
      <c r="L187" s="799">
        <f>MIN(IF(ISERROR(VLOOKUP(L$134-$F187,$E$135:$E$165,1,FALSE)),0,K55*$C$2),MAX((IF(Monthly!H$4=TRUE,Monthly!H$13,Monthly!H$14)*(1+'Attrition Modeling'!$N$8)-IFERROR(K55/K122,0)*12)/12*K122,0))</f>
        <v>0</v>
      </c>
      <c r="M187" s="799">
        <f>MIN(IF(ISERROR(VLOOKUP(M$134-$F187,$E$135:$E$165,1,FALSE)),0,L55*$C$2),MAX((IF(Monthly!I$4=TRUE,Monthly!I$13,Monthly!I$14)*(1+'Attrition Modeling'!$N$8)-IFERROR(L55/L122,0)*12)/12*L122,0))</f>
        <v>0</v>
      </c>
      <c r="N187" s="799">
        <f>MIN(IF(ISERROR(VLOOKUP(N$134-$F187,$E$135:$E$165,1,FALSE)),0,M55*$C$2),MAX((IF(Monthly!J$4=TRUE,Monthly!J$13,Monthly!J$14)*(1+'Attrition Modeling'!$N$8)-IFERROR(M55/M122,0)*12)/12*M122,0))</f>
        <v>0</v>
      </c>
      <c r="O187" s="799">
        <f>MIN(IF(ISERROR(VLOOKUP(O$134-$F187,$E$135:$E$165,1,FALSE)),0,N55*$C$2),MAX((IF(Monthly!K$4=TRUE,Monthly!K$13,Monthly!K$14)*(1+'Attrition Modeling'!$N$8)-IFERROR(N55/N122,0)*12)/12*N122,0))</f>
        <v>0</v>
      </c>
      <c r="P187" s="799">
        <f>MIN(IF(ISERROR(VLOOKUP(P$134-$F187,$E$135:$E$165,1,FALSE)),0,O55*$C$2),MAX((IF(Monthly!L$4=TRUE,Monthly!L$13,Monthly!L$14)*(1+'Attrition Modeling'!$N$8)-IFERROR(O55/O122,0)*12)/12*O122,0))</f>
        <v>0</v>
      </c>
      <c r="Q187" s="799">
        <f>MIN(IF(ISERROR(VLOOKUP(Q$134-$F187,$E$135:$E$165,1,FALSE)),0,P55*$C$2),MAX((IF(Monthly!M$4=TRUE,Monthly!M$13,Monthly!M$14)*(1+'Attrition Modeling'!$N$8)-IFERROR(P55/P122,0)*12)/12*P122,0))</f>
        <v>0</v>
      </c>
      <c r="R187" s="799">
        <f>MIN(IF(ISERROR(VLOOKUP(R$134-$F187,$E$135:$E$165,1,FALSE)),0,Q55*$C$2),MAX((IF(Monthly!N$4=TRUE,Monthly!N$13,Monthly!N$14)*(1+'Attrition Modeling'!$N$8)-IFERROR(Q55/Q122,0)*12)/12*Q122,0))</f>
        <v>0</v>
      </c>
      <c r="S187" s="799">
        <f>MIN(IF(ISERROR(VLOOKUP(S$134-$F187,$E$135:$E$165,1,FALSE)),0,R55*$C$2),MAX((IF(Monthly!O$4=TRUE,Monthly!O$13,Monthly!O$14)*(1+'Attrition Modeling'!$N$8)-IFERROR(R55/R122,0)*12)/12*R122,0))</f>
        <v>0</v>
      </c>
      <c r="T187" s="799">
        <f>MIN(IF(ISERROR(VLOOKUP(T$134-$F187,$E$135:$E$165,1,FALSE)),0,S55*$C$2),MAX((IF(Monthly!P$4=TRUE,Monthly!P$13,Monthly!P$14)*(1+'Attrition Modeling'!$N$8)-IFERROR(S55/S122,0)*12)/12*S122,0))</f>
        <v>0</v>
      </c>
      <c r="U187" s="799">
        <f>MIN(IF(ISERROR(VLOOKUP(U$134-$F187,$E$135:$E$165,1,FALSE)),0,T55*$C$2),MAX((IF(Monthly!Q$4=TRUE,Monthly!Q$13,Monthly!Q$14)*(1+'Attrition Modeling'!$N$8)-IFERROR(T55/T122,0)*12)/12*T122,0))</f>
        <v>0</v>
      </c>
      <c r="V187" s="799">
        <f>MIN(IF(ISERROR(VLOOKUP(V$134-$F187,$E$135:$E$165,1,FALSE)),0,U55*$C$2),MAX((IF(Monthly!R$4=TRUE,Monthly!R$13,Monthly!R$14)*(1+'Attrition Modeling'!$N$8)-IFERROR(U55/U122,0)*12)/12*U122,0))</f>
        <v>0</v>
      </c>
      <c r="W187" s="799">
        <f>MIN(IF(ISERROR(VLOOKUP(W$134-$F187,$E$135:$E$165,1,FALSE)),0,V55*$C$2),MAX((IF(Monthly!S$4=TRUE,Monthly!S$13,Monthly!S$14)*(1+'Attrition Modeling'!$N$8)-IFERROR(V55/V122,0)*12)/12*V122,0))</f>
        <v>0</v>
      </c>
      <c r="X187" s="799">
        <f>MIN(IF(ISERROR(VLOOKUP(X$134-$F187,$E$135:$E$165,1,FALSE)),0,W55*$C$2),MAX((IF(Monthly!T$4=TRUE,Monthly!T$13,Monthly!T$14)*(1+'Attrition Modeling'!$N$8)-IFERROR(W55/W122,0)*12)/12*W122,0))</f>
        <v>0</v>
      </c>
      <c r="Y187" s="799">
        <f>MIN(IF(ISERROR(VLOOKUP(Y$134-$F187,$E$135:$E$165,1,FALSE)),0,X55*$C$2),MAX((IF(Monthly!U$4=TRUE,Monthly!U$13,Monthly!U$14)*(1+'Attrition Modeling'!$N$8)-IFERROR(X55/X122,0)*12)/12*X122,0))</f>
        <v>0</v>
      </c>
      <c r="Z187" s="799">
        <f>MIN(IF(ISERROR(VLOOKUP(Z$134-$F187,$E$135:$E$165,1,FALSE)),0,Y55*$C$2),MAX((IF(Monthly!V$4=TRUE,Monthly!V$13,Monthly!V$14)*(1+'Attrition Modeling'!$N$8)-IFERROR(Y55/Y122,0)*12)/12*Y122,0))</f>
        <v>0</v>
      </c>
      <c r="AA187" s="799">
        <f>MIN(IF(ISERROR(VLOOKUP(AA$134-$F187,$E$135:$E$165,1,FALSE)),0,Z55*$C$2),MAX((IF(Monthly!W$4=TRUE,Monthly!W$13,Monthly!W$14)*(1+'Attrition Modeling'!$N$8)-IFERROR(Z55/Z122,0)*12)/12*Z122,0))</f>
        <v>0</v>
      </c>
      <c r="AB187" s="799">
        <f>MIN(IF(ISERROR(VLOOKUP(AB$134-$F187,$E$135:$E$165,1,FALSE)),0,AA55*$C$2),MAX((IF(Monthly!X$4=TRUE,Monthly!X$13,Monthly!X$14)*(1+'Attrition Modeling'!$N$8)-IFERROR(AA55/AA122,0)*12)/12*AA122,0))</f>
        <v>0</v>
      </c>
      <c r="AC187" s="799">
        <f>MIN(IF(ISERROR(VLOOKUP(AC$134-$F187,$E$135:$E$165,1,FALSE)),0,AB55*$C$2),MAX((IF(Monthly!Y$4=TRUE,Monthly!Y$13,Monthly!Y$14)*(1+'Attrition Modeling'!$N$8)-IFERROR(AB55/AB122,0)*12)/12*AB122,0))</f>
        <v>0</v>
      </c>
      <c r="AD187" s="799">
        <f>MIN(IF(ISERROR(VLOOKUP(AD$134-$F187,$E$135:$E$165,1,FALSE)),0,AC55*$C$2),MAX((IF(Monthly!Z$4=TRUE,Monthly!Z$13,Monthly!Z$14)*(1+'Attrition Modeling'!$N$8)-IFERROR(AC55/AC122,0)*12)/12*AC122,0))</f>
        <v>0</v>
      </c>
      <c r="AE187" s="799">
        <f>MIN(IF(ISERROR(VLOOKUP(AE$134-$F187,$E$135:$E$165,1,FALSE)),0,AD55*$C$2),MAX((IF(Monthly!AA$4=TRUE,Monthly!AA$13,Monthly!AA$14)*(1+'Attrition Modeling'!$N$8)-IFERROR(AD55/AD122,0)*12)/12*AD122,0))</f>
        <v>0</v>
      </c>
      <c r="AF187" s="799">
        <f>MIN(IF(ISERROR(VLOOKUP(AF$134-$F187,$E$135:$E$165,1,FALSE)),0,AE55*$C$2),MAX((IF(Monthly!AB$4=TRUE,Monthly!AB$13,Monthly!AB$14)*(1+'Attrition Modeling'!$N$8)-IFERROR(AE55/AE122,0)*12)/12*AE122,0))</f>
        <v>0</v>
      </c>
      <c r="AG187" s="799">
        <f>MIN(IF(ISERROR(VLOOKUP(AG$134-$F187,$E$135:$E$165,1,FALSE)),0,AF55*$C$2),MAX((IF(Monthly!AC$4=TRUE,Monthly!AC$13,Monthly!AC$14)*(1+'Attrition Modeling'!$N$8)-IFERROR(AF55/AF122,0)*12)/12*AF122,0))</f>
        <v>0</v>
      </c>
      <c r="AH187" s="799">
        <f>MIN(IF(ISERROR(VLOOKUP(AH$134-$F187,$E$135:$E$165,1,FALSE)),0,AG55*$C$2),MAX((IF(Monthly!AD$4=TRUE,Monthly!AD$13,Monthly!AD$14)*(1+'Attrition Modeling'!$N$8)-IFERROR(AG55/AG122,0)*12)/12*AG122,0))</f>
        <v>0</v>
      </c>
      <c r="AI187" s="799">
        <f>MIN(IF(ISERROR(VLOOKUP(AI$134-$F187,$E$135:$E$165,1,FALSE)),0,AH55*$C$2),MAX((IF(Monthly!AE$4=TRUE,Monthly!AE$13,Monthly!AE$14)*(1+'Attrition Modeling'!$N$8)-IFERROR(AH55/AH122,0)*12)/12*AH122,0))</f>
        <v>0</v>
      </c>
      <c r="AJ187" s="799">
        <f>MIN(IF(ISERROR(VLOOKUP(AJ$134-$F187,$E$135:$E$165,1,FALSE)),0,AI55*$C$2),MAX((IF(Monthly!AF$4=TRUE,Monthly!AF$13,Monthly!AF$14)*(1+'Attrition Modeling'!$N$8)-IFERROR(AI55/AI122,0)*12)/12*AI122,0))</f>
        <v>0</v>
      </c>
      <c r="AK187" s="799">
        <f>MIN(IF(ISERROR(VLOOKUP(AK$134-$F187,$E$135:$E$165,1,FALSE)),0,AJ55*$C$2),MAX((IF(Monthly!AG$4=TRUE,Monthly!AG$13,Monthly!AG$14)*(1+'Attrition Modeling'!$N$8)-IFERROR(AJ55/AJ122,0)*12)/12*AJ122,0))</f>
        <v>0</v>
      </c>
      <c r="AL187" s="799">
        <f>MIN(IF(ISERROR(VLOOKUP(AL$134-$F187,$E$135:$E$165,1,FALSE)),0,AK55*$C$2),MAX((IF(Monthly!AH$4=TRUE,Monthly!AH$13,Monthly!AH$14)*(1+'Attrition Modeling'!$N$8)-IFERROR(AK55/AK122,0)*12)/12*AK122,0))</f>
        <v>0</v>
      </c>
      <c r="AM187" s="799">
        <f>MIN(IF(ISERROR(VLOOKUP(AM$134-$F187,$E$135:$E$165,1,FALSE)),0,AL55*$C$2),MAX((IF(Monthly!AI$4=TRUE,Monthly!AI$13,Monthly!AI$14)*(1+'Attrition Modeling'!$N$8)-IFERROR(AL55/AL122,0)*12)/12*AL122,0))</f>
        <v>0</v>
      </c>
      <c r="AN187" s="799">
        <f>MIN(IF(ISERROR(VLOOKUP(AN$134-$F187,$E$135:$E$165,1,FALSE)),0,AM55*$C$2),MAX((IF(Monthly!AJ$4=TRUE,Monthly!AJ$13,Monthly!AJ$14)*(1+'Attrition Modeling'!$N$8)-IFERROR(AM55/AM122,0)*12)/12*AM122,0))</f>
        <v>0</v>
      </c>
      <c r="AO187" s="799">
        <f>MIN(IF(ISERROR(VLOOKUP(AO$134-$F187,$E$135:$E$165,1,FALSE)),0,AN55*$C$2),MAX((IF(Monthly!AK$4=TRUE,Monthly!AK$13,Monthly!AK$14)*(1+'Attrition Modeling'!$N$8)-IFERROR(AN55/AN122,0)*12)/12*AN122,0))</f>
        <v>0</v>
      </c>
      <c r="AP187" s="799">
        <f>MIN(IF(ISERROR(VLOOKUP(AP$134-$F187,$E$135:$E$165,1,FALSE)),0,AO55*$C$2),MAX((IF(Monthly!AL$4=TRUE,Monthly!AL$13,Monthly!AL$14)*(1+'Attrition Modeling'!$N$8)-IFERROR(AO55/AO122,0)*12)/12*AO122,0))</f>
        <v>0</v>
      </c>
      <c r="AQ187" s="799">
        <f>MIN(IF(ISERROR(VLOOKUP(AQ$134-$F187,$E$135:$E$165,1,FALSE)),0,AP55*$C$2),MAX((IF(Monthly!AM$4=TRUE,Monthly!AM$13,Monthly!AM$14)*(1+'Attrition Modeling'!$N$8)-IFERROR(AP55/AP122,0)*12)/12*AP122,0))</f>
        <v>0</v>
      </c>
      <c r="AR187" s="799">
        <f>MIN(IF(ISERROR(VLOOKUP(AR$134-$F187,$E$135:$E$165,1,FALSE)),0,AQ55*$C$2),MAX((IF(Monthly!AN$4=TRUE,Monthly!AN$13,Monthly!AN$14)*(1+'Attrition Modeling'!$N$8)-IFERROR(AQ55/AQ122,0)*12)/12*AQ122,0))</f>
        <v>0</v>
      </c>
      <c r="AS187" s="799">
        <f>MIN(IF(ISERROR(VLOOKUP(AS$134-$F187,$E$135:$E$165,1,FALSE)),0,AR55*$C$2),MAX((IF(Monthly!AO$4=TRUE,Monthly!AO$13,Monthly!AO$14)*(1+'Attrition Modeling'!$N$8)-IFERROR(AR55/AR122,0)*12)/12*AR122,0))</f>
        <v>0</v>
      </c>
      <c r="AT187" s="799">
        <f>MIN(IF(ISERROR(VLOOKUP(AT$134-$F187,$E$135:$E$165,1,FALSE)),0,AS55*$C$2),MAX((IF(Monthly!AP$4=TRUE,Monthly!AP$13,Monthly!AP$14)*(1+'Attrition Modeling'!$N$8)-IFERROR(AS55/AS122,0)*12)/12*AS122,0))</f>
        <v>0</v>
      </c>
      <c r="AU187" s="799">
        <f>MIN(IF(ISERROR(VLOOKUP(AU$134-$F187,$E$135:$E$165,1,FALSE)),0,AT55*$C$2),MAX((IF(Monthly!AQ$4=TRUE,Monthly!AQ$13,Monthly!AQ$14)*(1+'Attrition Modeling'!$N$8)-IFERROR(AT55/AT122,0)*12)/12*AT122,0))</f>
        <v>0</v>
      </c>
      <c r="AV187" s="799">
        <f>MIN(IF(ISERROR(VLOOKUP(AV$134-$F187,$E$135:$E$165,1,FALSE)),0,AU55*$C$2),MAX((IF(Monthly!AR$4=TRUE,Monthly!AR$13,Monthly!AR$14)*(1+'Attrition Modeling'!$N$8)-IFERROR(AU55/AU122,0)*12)/12*AU122,0))</f>
        <v>0</v>
      </c>
      <c r="AW187" s="799">
        <f>MIN(IF(ISERROR(VLOOKUP(AW$134-$F187,$E$135:$E$165,1,FALSE)),0,AV55*$C$2),MAX((IF(Monthly!AS$4=TRUE,Monthly!AS$13,Monthly!AS$14)*(1+'Attrition Modeling'!$N$8)-IFERROR(AV55/AV122,0)*12)/12*AV122,0))</f>
        <v>0</v>
      </c>
      <c r="AX187" s="799">
        <f>MIN(IF(ISERROR(VLOOKUP(AX$134-$F187,$E$135:$E$165,1,FALSE)),0,AW55*$C$2),MAX((IF(Monthly!AT$4=TRUE,Monthly!AT$13,Monthly!AT$14)*(1+'Attrition Modeling'!$N$8)-IFERROR(AW55/AW122,0)*12)/12*AW122,0))</f>
        <v>0</v>
      </c>
      <c r="AY187" s="799">
        <f>MIN(IF(ISERROR(VLOOKUP(AY$134-$F187,$E$135:$E$165,1,FALSE)),0,AX55*$C$2),MAX((IF(Monthly!AU$4=TRUE,Monthly!AU$13,Monthly!AU$14)*(1+'Attrition Modeling'!$N$8)-IFERROR(AX55/AX122,0)*12)/12*AX122,0))</f>
        <v>0</v>
      </c>
      <c r="AZ187" s="799">
        <f>MIN(IF(ISERROR(VLOOKUP(AZ$134-$F187,$E$135:$E$165,1,FALSE)),0,AY55*$C$2),MAX((IF(Monthly!AV$4=TRUE,Monthly!AV$13,Monthly!AV$14)*(1+'Attrition Modeling'!$N$8)-IFERROR(AY55/AY122,0)*12)/12*AY122,0))</f>
        <v>0</v>
      </c>
      <c r="BA187" s="799">
        <f>MIN(IF(ISERROR(VLOOKUP(BA$134-$F187,$E$135:$E$165,1,FALSE)),0,AZ55*$C$2),MAX((IF(Monthly!AW$4=TRUE,Monthly!AW$13,Monthly!AW$14)*(1+'Attrition Modeling'!$N$8)-IFERROR(AZ55/AZ122,0)*12)/12*AZ122,0))</f>
        <v>0</v>
      </c>
      <c r="BB187" s="799">
        <f>MIN(IF(ISERROR(VLOOKUP(BB$134-$F187,$E$135:$E$165,1,FALSE)),0,BA55*$C$2),MAX((IF(Monthly!AX$4=TRUE,Monthly!AX$13,Monthly!AX$14)*(1+'Attrition Modeling'!$N$8)-IFERROR(BA55/BA122,0)*12)/12*BA122,0))</f>
        <v>0</v>
      </c>
      <c r="BC187" s="799">
        <f>MIN(IF(ISERROR(VLOOKUP(BC$134-$F187,$E$135:$E$165,1,FALSE)),0,BB55*$C$2),MAX((IF(Monthly!AY$4=TRUE,Monthly!AY$13,Monthly!AY$14)*(1+'Attrition Modeling'!$N$8)-IFERROR(BB55/BB122,0)*12)/12*BB122,0))</f>
        <v>0</v>
      </c>
      <c r="BD187" s="799">
        <f>MIN(IF(ISERROR(VLOOKUP(BD$134-$F187,$E$135:$E$165,1,FALSE)),0,BC55*$C$2),MAX((IF(Monthly!AZ$4=TRUE,Monthly!AZ$13,Monthly!AZ$14)*(1+'Attrition Modeling'!$N$8)-IFERROR(BC55/BC122,0)*12)/12*BC122,0))</f>
        <v>0</v>
      </c>
      <c r="BE187" s="799">
        <f>MIN(IF(ISERROR(VLOOKUP(BE$134-$F187,$E$135:$E$165,1,FALSE)),0,BD55*$C$2),MAX((IF(Monthly!BA$4=TRUE,Monthly!BA$13,Monthly!BA$14)*(1+'Attrition Modeling'!$N$8)-IFERROR(BD55/BD122,0)*12)/12*BD122,0))</f>
        <v>0</v>
      </c>
      <c r="BF187" s="799">
        <f>MIN(IF(ISERROR(VLOOKUP(BF$134-$F187,$E$135:$E$165,1,FALSE)),0,BE55*$C$2),MAX((IF(Monthly!BB$4=TRUE,Monthly!BB$13,Monthly!BB$14)*(1+'Attrition Modeling'!$N$8)-IFERROR(BE55/BE122,0)*12)/12*BE122,0))</f>
        <v>0</v>
      </c>
      <c r="BG187" s="799">
        <f>MIN(IF(ISERROR(VLOOKUP(BG$134-$F187,$E$135:$E$165,1,FALSE)),0,BF55*$C$2),MAX((IF(Monthly!BC$4=TRUE,Monthly!BC$13,Monthly!BC$14)*(1+'Attrition Modeling'!$N$8)-IFERROR(BF55/BF122,0)*12)/12*BF122,0))</f>
        <v>0</v>
      </c>
      <c r="BH187" s="799">
        <f>MIN(IF(ISERROR(VLOOKUP(BH$134-$F187,$E$135:$E$165,1,FALSE)),0,BG55*$C$2),MAX((IF(Monthly!BD$4=TRUE,Monthly!BD$13,Monthly!BD$14)*(1+'Attrition Modeling'!$N$8)-IFERROR(BG55/BG122,0)*12)/12*BG122,0))</f>
        <v>0</v>
      </c>
      <c r="BI187" s="799">
        <f>MIN(IF(ISERROR(VLOOKUP(BI$134-$F187,$E$135:$E$165,1,FALSE)),0,BH55*$C$2),MAX((IF(Monthly!BE$4=TRUE,Monthly!BE$13,Monthly!BE$14)*(1+'Attrition Modeling'!$N$8)-IFERROR(BH55/BH122,0)*12)/12*BH122,0))</f>
        <v>0</v>
      </c>
      <c r="BJ187" s="799">
        <f>MIN(IF(ISERROR(VLOOKUP(BJ$134-$F187,$E$135:$E$165,1,FALSE)),0,BI55*$C$2),MAX((IF(Monthly!BF$4=TRUE,Monthly!BF$13,Monthly!BF$14)*(1+'Attrition Modeling'!$N$8)-IFERROR(BI55/BI122,0)*12)/12*BI122,0))</f>
        <v>0</v>
      </c>
      <c r="BK187" s="799">
        <f>MIN(IF(ISERROR(VLOOKUP(BK$134-$F187,$E$135:$E$165,1,FALSE)),0,BJ55*$C$2),MAX((IF(Monthly!BG$4=TRUE,Monthly!BG$13,Monthly!BG$14)*(1+'Attrition Modeling'!$N$8)-IFERROR(BJ55/BJ122,0)*12)/12*BJ122,0))</f>
        <v>0</v>
      </c>
      <c r="BL187" s="799">
        <f>MIN(IF(ISERROR(VLOOKUP(BL$134-$F187,$E$135:$E$165,1,FALSE)),0,BK55*$C$2),MAX((IF(Monthly!BH$4=TRUE,Monthly!BH$13,Monthly!BH$14)*(1+'Attrition Modeling'!$N$8)-IFERROR(BK55/BK122,0)*12)/12*BK122,0))</f>
        <v>0</v>
      </c>
      <c r="BM187" s="799">
        <f>MIN(IF(ISERROR(VLOOKUP(BM$134-$F187,$E$135:$E$165,1,FALSE)),0,BL55*$C$2),MAX((IF(Monthly!BI$4=TRUE,Monthly!BI$13,Monthly!BI$14)*(1+'Attrition Modeling'!$N$8)-IFERROR(BL55/BL122,0)*12)/12*BL122,0))</f>
        <v>765.05659356822741</v>
      </c>
      <c r="BN187" s="799">
        <f>MIN(IF(ISERROR(VLOOKUP(BN$134-$F187,$E$135:$E$165,1,FALSE)),0,BM55*$C$2),MAX((IF(Monthly!BJ$4=TRUE,Monthly!BJ$13,Monthly!BJ$14)*(1+'Attrition Modeling'!$N$8)-IFERROR(BM55/BM122,0)*12)/12*BM122,0))</f>
        <v>0</v>
      </c>
      <c r="BO187" s="799">
        <f>MIN(IF(ISERROR(VLOOKUP(BO$134-$F187,$E$135:$E$165,1,FALSE)),0,BN55*$C$2),MAX((IF(Monthly!BK$4=TRUE,Monthly!BK$13,Monthly!BK$14)*(1+'Attrition Modeling'!$N$8)-IFERROR(BN55/BN122,0)*12)/12*BN122,0))</f>
        <v>0</v>
      </c>
      <c r="BP187" s="799">
        <f>MIN(IF(ISERROR(VLOOKUP(BP$134-$F187,$E$135:$E$165,1,FALSE)),0,BO55*$C$2),MAX((IF(Monthly!BP$4=TRUE,Monthly!BP$13,Monthly!BP$14)*(1+'Attrition Modeling'!$N$8)-IFERROR(BO55/BO122,0)*12)/12*BO122,0))</f>
        <v>0</v>
      </c>
      <c r="BQ187" s="799">
        <f>MIN(IF(ISERROR(VLOOKUP(BQ$134-$F187,$E$135:$E$165,1,FALSE)),0,BP55*$C$2),MAX((IF(Monthly!BQ$4=TRUE,Monthly!BQ$13,Monthly!BQ$14)*(1+'Attrition Modeling'!$N$8)-IFERROR(BP55/BP122,0)*12)/12*BP122,0))</f>
        <v>0</v>
      </c>
      <c r="BR187" s="799">
        <f>MIN(IF(ISERROR(VLOOKUP(BR$134-$F187,$E$135:$E$165,1,FALSE)),0,BQ55*$C$2),MAX((IF(Monthly!BR$4=TRUE,Monthly!BR$13,Monthly!BR$14)*(1+'Attrition Modeling'!$N$8)-IFERROR(BQ55/BQ122,0)*12)/12*BQ122,0))</f>
        <v>0</v>
      </c>
      <c r="BS187" s="799">
        <f>MIN(IF(ISERROR(VLOOKUP(BS$134-$F187,$E$135:$E$165,1,FALSE)),0,BR55*$C$2),MAX((IF(Monthly!BS$4=TRUE,Monthly!BS$13,Monthly!BS$14)*(1+'Attrition Modeling'!$N$8)-IFERROR(BR55/BR122,0)*12)/12*BR122,0))</f>
        <v>0</v>
      </c>
      <c r="BT187" s="799">
        <f>MIN(IF(ISERROR(VLOOKUP(BT$134-$F187,$E$135:$E$165,1,FALSE)),0,BS55*$C$2),MAX((IF(Monthly!BT$4=TRUE,Monthly!BT$13,Monthly!BT$14)*(1+'Attrition Modeling'!$N$8)-IFERROR(BS55/BS122,0)*12)/12*BS122,0))</f>
        <v>0</v>
      </c>
      <c r="BU187" s="799">
        <f>MIN(IF(ISERROR(VLOOKUP(BU$134-$F187,$E$135:$E$165,1,FALSE)),0,BT55*$C$2),MAX((IF(Monthly!BU$4=TRUE,Monthly!BU$13,Monthly!BU$14)*(1+'Attrition Modeling'!$N$8)-IFERROR(BT55/BT122,0)*12)/12*BT122,0))</f>
        <v>0</v>
      </c>
    </row>
    <row r="188" spans="5:73" ht="14.25" customHeight="1" x14ac:dyDescent="0.2">
      <c r="E188" s="25"/>
      <c r="F188" s="11">
        <f t="shared" si="14"/>
        <v>53</v>
      </c>
      <c r="G188" s="799"/>
      <c r="H188" s="799">
        <f>MIN(IF(ISERROR(VLOOKUP(H$134-$F188,$E$135:$E$165,1,FALSE)),0,G56*$C$2),MAX((IF(Monthly!D$4=TRUE,Monthly!D$13,Monthly!D$14)*(1+'Attrition Modeling'!$N$8)-IFERROR(G56/G123,0)*12)/12*G123,0))</f>
        <v>0</v>
      </c>
      <c r="I188" s="799">
        <f>MIN(IF(ISERROR(VLOOKUP(I$134-$F188,$E$135:$E$165,1,FALSE)),0,H56*$C$2),MAX((IF(Monthly!E$4=TRUE,Monthly!E$13,Monthly!E$14)*(1+'Attrition Modeling'!$N$8)-IFERROR(H56/H123,0)*12)/12*H123,0))</f>
        <v>0</v>
      </c>
      <c r="J188" s="799">
        <f>MIN(IF(ISERROR(VLOOKUP(J$134-$F188,$E$135:$E$165,1,FALSE)),0,I56*$C$2),MAX((IF(Monthly!F$4=TRUE,Monthly!F$13,Monthly!F$14)*(1+'Attrition Modeling'!$N$8)-IFERROR(I56/I123,0)*12)/12*I123,0))</f>
        <v>0</v>
      </c>
      <c r="K188" s="799">
        <f>MIN(IF(ISERROR(VLOOKUP(K$134-$F188,$E$135:$E$165,1,FALSE)),0,J56*$C$2),MAX((IF(Monthly!G$4=TRUE,Monthly!G$13,Monthly!G$14)*(1+'Attrition Modeling'!$N$8)-IFERROR(J56/J123,0)*12)/12*J123,0))</f>
        <v>0</v>
      </c>
      <c r="L188" s="799">
        <f>MIN(IF(ISERROR(VLOOKUP(L$134-$F188,$E$135:$E$165,1,FALSE)),0,K56*$C$2),MAX((IF(Monthly!H$4=TRUE,Monthly!H$13,Monthly!H$14)*(1+'Attrition Modeling'!$N$8)-IFERROR(K56/K123,0)*12)/12*K123,0))</f>
        <v>0</v>
      </c>
      <c r="M188" s="799">
        <f>MIN(IF(ISERROR(VLOOKUP(M$134-$F188,$E$135:$E$165,1,FALSE)),0,L56*$C$2),MAX((IF(Monthly!I$4=TRUE,Monthly!I$13,Monthly!I$14)*(1+'Attrition Modeling'!$N$8)-IFERROR(L56/L123,0)*12)/12*L123,0))</f>
        <v>0</v>
      </c>
      <c r="N188" s="799">
        <f>MIN(IF(ISERROR(VLOOKUP(N$134-$F188,$E$135:$E$165,1,FALSE)),0,M56*$C$2),MAX((IF(Monthly!J$4=TRUE,Monthly!J$13,Monthly!J$14)*(1+'Attrition Modeling'!$N$8)-IFERROR(M56/M123,0)*12)/12*M123,0))</f>
        <v>0</v>
      </c>
      <c r="O188" s="799">
        <f>MIN(IF(ISERROR(VLOOKUP(O$134-$F188,$E$135:$E$165,1,FALSE)),0,N56*$C$2),MAX((IF(Monthly!K$4=TRUE,Monthly!K$13,Monthly!K$14)*(1+'Attrition Modeling'!$N$8)-IFERROR(N56/N123,0)*12)/12*N123,0))</f>
        <v>0</v>
      </c>
      <c r="P188" s="799">
        <f>MIN(IF(ISERROR(VLOOKUP(P$134-$F188,$E$135:$E$165,1,FALSE)),0,O56*$C$2),MAX((IF(Monthly!L$4=TRUE,Monthly!L$13,Monthly!L$14)*(1+'Attrition Modeling'!$N$8)-IFERROR(O56/O123,0)*12)/12*O123,0))</f>
        <v>0</v>
      </c>
      <c r="Q188" s="799">
        <f>MIN(IF(ISERROR(VLOOKUP(Q$134-$F188,$E$135:$E$165,1,FALSE)),0,P56*$C$2),MAX((IF(Monthly!M$4=TRUE,Monthly!M$13,Monthly!M$14)*(1+'Attrition Modeling'!$N$8)-IFERROR(P56/P123,0)*12)/12*P123,0))</f>
        <v>0</v>
      </c>
      <c r="R188" s="799">
        <f>MIN(IF(ISERROR(VLOOKUP(R$134-$F188,$E$135:$E$165,1,FALSE)),0,Q56*$C$2),MAX((IF(Monthly!N$4=TRUE,Monthly!N$13,Monthly!N$14)*(1+'Attrition Modeling'!$N$8)-IFERROR(Q56/Q123,0)*12)/12*Q123,0))</f>
        <v>0</v>
      </c>
      <c r="S188" s="799">
        <f>MIN(IF(ISERROR(VLOOKUP(S$134-$F188,$E$135:$E$165,1,FALSE)),0,R56*$C$2),MAX((IF(Monthly!O$4=TRUE,Monthly!O$13,Monthly!O$14)*(1+'Attrition Modeling'!$N$8)-IFERROR(R56/R123,0)*12)/12*R123,0))</f>
        <v>0</v>
      </c>
      <c r="T188" s="799">
        <f>MIN(IF(ISERROR(VLOOKUP(T$134-$F188,$E$135:$E$165,1,FALSE)),0,S56*$C$2),MAX((IF(Monthly!P$4=TRUE,Monthly!P$13,Monthly!P$14)*(1+'Attrition Modeling'!$N$8)-IFERROR(S56/S123,0)*12)/12*S123,0))</f>
        <v>0</v>
      </c>
      <c r="U188" s="799">
        <f>MIN(IF(ISERROR(VLOOKUP(U$134-$F188,$E$135:$E$165,1,FALSE)),0,T56*$C$2),MAX((IF(Monthly!Q$4=TRUE,Monthly!Q$13,Monthly!Q$14)*(1+'Attrition Modeling'!$N$8)-IFERROR(T56/T123,0)*12)/12*T123,0))</f>
        <v>0</v>
      </c>
      <c r="V188" s="799">
        <f>MIN(IF(ISERROR(VLOOKUP(V$134-$F188,$E$135:$E$165,1,FALSE)),0,U56*$C$2),MAX((IF(Monthly!R$4=TRUE,Monthly!R$13,Monthly!R$14)*(1+'Attrition Modeling'!$N$8)-IFERROR(U56/U123,0)*12)/12*U123,0))</f>
        <v>0</v>
      </c>
      <c r="W188" s="799">
        <f>MIN(IF(ISERROR(VLOOKUP(W$134-$F188,$E$135:$E$165,1,FALSE)),0,V56*$C$2),MAX((IF(Monthly!S$4=TRUE,Monthly!S$13,Monthly!S$14)*(1+'Attrition Modeling'!$N$8)-IFERROR(V56/V123,0)*12)/12*V123,0))</f>
        <v>0</v>
      </c>
      <c r="X188" s="799">
        <f>MIN(IF(ISERROR(VLOOKUP(X$134-$F188,$E$135:$E$165,1,FALSE)),0,W56*$C$2),MAX((IF(Monthly!T$4=TRUE,Monthly!T$13,Monthly!T$14)*(1+'Attrition Modeling'!$N$8)-IFERROR(W56/W123,0)*12)/12*W123,0))</f>
        <v>0</v>
      </c>
      <c r="Y188" s="799">
        <f>MIN(IF(ISERROR(VLOOKUP(Y$134-$F188,$E$135:$E$165,1,FALSE)),0,X56*$C$2),MAX((IF(Monthly!U$4=TRUE,Monthly!U$13,Monthly!U$14)*(1+'Attrition Modeling'!$N$8)-IFERROR(X56/X123,0)*12)/12*X123,0))</f>
        <v>0</v>
      </c>
      <c r="Z188" s="799">
        <f>MIN(IF(ISERROR(VLOOKUP(Z$134-$F188,$E$135:$E$165,1,FALSE)),0,Y56*$C$2),MAX((IF(Monthly!V$4=TRUE,Monthly!V$13,Monthly!V$14)*(1+'Attrition Modeling'!$N$8)-IFERROR(Y56/Y123,0)*12)/12*Y123,0))</f>
        <v>0</v>
      </c>
      <c r="AA188" s="799">
        <f>MIN(IF(ISERROR(VLOOKUP(AA$134-$F188,$E$135:$E$165,1,FALSE)),0,Z56*$C$2),MAX((IF(Monthly!W$4=TRUE,Monthly!W$13,Monthly!W$14)*(1+'Attrition Modeling'!$N$8)-IFERROR(Z56/Z123,0)*12)/12*Z123,0))</f>
        <v>0</v>
      </c>
      <c r="AB188" s="799">
        <f>MIN(IF(ISERROR(VLOOKUP(AB$134-$F188,$E$135:$E$165,1,FALSE)),0,AA56*$C$2),MAX((IF(Monthly!X$4=TRUE,Monthly!X$13,Monthly!X$14)*(1+'Attrition Modeling'!$N$8)-IFERROR(AA56/AA123,0)*12)/12*AA123,0))</f>
        <v>0</v>
      </c>
      <c r="AC188" s="799">
        <f>MIN(IF(ISERROR(VLOOKUP(AC$134-$F188,$E$135:$E$165,1,FALSE)),0,AB56*$C$2),MAX((IF(Monthly!Y$4=TRUE,Monthly!Y$13,Monthly!Y$14)*(1+'Attrition Modeling'!$N$8)-IFERROR(AB56/AB123,0)*12)/12*AB123,0))</f>
        <v>0</v>
      </c>
      <c r="AD188" s="799">
        <f>MIN(IF(ISERROR(VLOOKUP(AD$134-$F188,$E$135:$E$165,1,FALSE)),0,AC56*$C$2),MAX((IF(Monthly!Z$4=TRUE,Monthly!Z$13,Monthly!Z$14)*(1+'Attrition Modeling'!$N$8)-IFERROR(AC56/AC123,0)*12)/12*AC123,0))</f>
        <v>0</v>
      </c>
      <c r="AE188" s="799">
        <f>MIN(IF(ISERROR(VLOOKUP(AE$134-$F188,$E$135:$E$165,1,FALSE)),0,AD56*$C$2),MAX((IF(Monthly!AA$4=TRUE,Monthly!AA$13,Monthly!AA$14)*(1+'Attrition Modeling'!$N$8)-IFERROR(AD56/AD123,0)*12)/12*AD123,0))</f>
        <v>0</v>
      </c>
      <c r="AF188" s="799">
        <f>MIN(IF(ISERROR(VLOOKUP(AF$134-$F188,$E$135:$E$165,1,FALSE)),0,AE56*$C$2),MAX((IF(Monthly!AB$4=TRUE,Monthly!AB$13,Monthly!AB$14)*(1+'Attrition Modeling'!$N$8)-IFERROR(AE56/AE123,0)*12)/12*AE123,0))</f>
        <v>0</v>
      </c>
      <c r="AG188" s="799">
        <f>MIN(IF(ISERROR(VLOOKUP(AG$134-$F188,$E$135:$E$165,1,FALSE)),0,AF56*$C$2),MAX((IF(Monthly!AC$4=TRUE,Monthly!AC$13,Monthly!AC$14)*(1+'Attrition Modeling'!$N$8)-IFERROR(AF56/AF123,0)*12)/12*AF123,0))</f>
        <v>0</v>
      </c>
      <c r="AH188" s="799">
        <f>MIN(IF(ISERROR(VLOOKUP(AH$134-$F188,$E$135:$E$165,1,FALSE)),0,AG56*$C$2),MAX((IF(Monthly!AD$4=TRUE,Monthly!AD$13,Monthly!AD$14)*(1+'Attrition Modeling'!$N$8)-IFERROR(AG56/AG123,0)*12)/12*AG123,0))</f>
        <v>0</v>
      </c>
      <c r="AI188" s="799">
        <f>MIN(IF(ISERROR(VLOOKUP(AI$134-$F188,$E$135:$E$165,1,FALSE)),0,AH56*$C$2),MAX((IF(Monthly!AE$4=TRUE,Monthly!AE$13,Monthly!AE$14)*(1+'Attrition Modeling'!$N$8)-IFERROR(AH56/AH123,0)*12)/12*AH123,0))</f>
        <v>0</v>
      </c>
      <c r="AJ188" s="799">
        <f>MIN(IF(ISERROR(VLOOKUP(AJ$134-$F188,$E$135:$E$165,1,FALSE)),0,AI56*$C$2),MAX((IF(Monthly!AF$4=TRUE,Monthly!AF$13,Monthly!AF$14)*(1+'Attrition Modeling'!$N$8)-IFERROR(AI56/AI123,0)*12)/12*AI123,0))</f>
        <v>0</v>
      </c>
      <c r="AK188" s="799">
        <f>MIN(IF(ISERROR(VLOOKUP(AK$134-$F188,$E$135:$E$165,1,FALSE)),0,AJ56*$C$2),MAX((IF(Monthly!AG$4=TRUE,Monthly!AG$13,Monthly!AG$14)*(1+'Attrition Modeling'!$N$8)-IFERROR(AJ56/AJ123,0)*12)/12*AJ123,0))</f>
        <v>0</v>
      </c>
      <c r="AL188" s="799">
        <f>MIN(IF(ISERROR(VLOOKUP(AL$134-$F188,$E$135:$E$165,1,FALSE)),0,AK56*$C$2),MAX((IF(Monthly!AH$4=TRUE,Monthly!AH$13,Monthly!AH$14)*(1+'Attrition Modeling'!$N$8)-IFERROR(AK56/AK123,0)*12)/12*AK123,0))</f>
        <v>0</v>
      </c>
      <c r="AM188" s="799">
        <f>MIN(IF(ISERROR(VLOOKUP(AM$134-$F188,$E$135:$E$165,1,FALSE)),0,AL56*$C$2),MAX((IF(Monthly!AI$4=TRUE,Monthly!AI$13,Monthly!AI$14)*(1+'Attrition Modeling'!$N$8)-IFERROR(AL56/AL123,0)*12)/12*AL123,0))</f>
        <v>0</v>
      </c>
      <c r="AN188" s="799">
        <f>MIN(IF(ISERROR(VLOOKUP(AN$134-$F188,$E$135:$E$165,1,FALSE)),0,AM56*$C$2),MAX((IF(Monthly!AJ$4=TRUE,Monthly!AJ$13,Monthly!AJ$14)*(1+'Attrition Modeling'!$N$8)-IFERROR(AM56/AM123,0)*12)/12*AM123,0))</f>
        <v>0</v>
      </c>
      <c r="AO188" s="799">
        <f>MIN(IF(ISERROR(VLOOKUP(AO$134-$F188,$E$135:$E$165,1,FALSE)),0,AN56*$C$2),MAX((IF(Monthly!AK$4=TRUE,Monthly!AK$13,Monthly!AK$14)*(1+'Attrition Modeling'!$N$8)-IFERROR(AN56/AN123,0)*12)/12*AN123,0))</f>
        <v>0</v>
      </c>
      <c r="AP188" s="799">
        <f>MIN(IF(ISERROR(VLOOKUP(AP$134-$F188,$E$135:$E$165,1,FALSE)),0,AO56*$C$2),MAX((IF(Monthly!AL$4=TRUE,Monthly!AL$13,Monthly!AL$14)*(1+'Attrition Modeling'!$N$8)-IFERROR(AO56/AO123,0)*12)/12*AO123,0))</f>
        <v>0</v>
      </c>
      <c r="AQ188" s="799">
        <f>MIN(IF(ISERROR(VLOOKUP(AQ$134-$F188,$E$135:$E$165,1,FALSE)),0,AP56*$C$2),MAX((IF(Monthly!AM$4=TRUE,Monthly!AM$13,Monthly!AM$14)*(1+'Attrition Modeling'!$N$8)-IFERROR(AP56/AP123,0)*12)/12*AP123,0))</f>
        <v>0</v>
      </c>
      <c r="AR188" s="799">
        <f>MIN(IF(ISERROR(VLOOKUP(AR$134-$F188,$E$135:$E$165,1,FALSE)),0,AQ56*$C$2),MAX((IF(Monthly!AN$4=TRUE,Monthly!AN$13,Monthly!AN$14)*(1+'Attrition Modeling'!$N$8)-IFERROR(AQ56/AQ123,0)*12)/12*AQ123,0))</f>
        <v>0</v>
      </c>
      <c r="AS188" s="799">
        <f>MIN(IF(ISERROR(VLOOKUP(AS$134-$F188,$E$135:$E$165,1,FALSE)),0,AR56*$C$2),MAX((IF(Monthly!AO$4=TRUE,Monthly!AO$13,Monthly!AO$14)*(1+'Attrition Modeling'!$N$8)-IFERROR(AR56/AR123,0)*12)/12*AR123,0))</f>
        <v>0</v>
      </c>
      <c r="AT188" s="799">
        <f>MIN(IF(ISERROR(VLOOKUP(AT$134-$F188,$E$135:$E$165,1,FALSE)),0,AS56*$C$2),MAX((IF(Monthly!AP$4=TRUE,Monthly!AP$13,Monthly!AP$14)*(1+'Attrition Modeling'!$N$8)-IFERROR(AS56/AS123,0)*12)/12*AS123,0))</f>
        <v>0</v>
      </c>
      <c r="AU188" s="799">
        <f>MIN(IF(ISERROR(VLOOKUP(AU$134-$F188,$E$135:$E$165,1,FALSE)),0,AT56*$C$2),MAX((IF(Monthly!AQ$4=TRUE,Monthly!AQ$13,Monthly!AQ$14)*(1+'Attrition Modeling'!$N$8)-IFERROR(AT56/AT123,0)*12)/12*AT123,0))</f>
        <v>0</v>
      </c>
      <c r="AV188" s="799">
        <f>MIN(IF(ISERROR(VLOOKUP(AV$134-$F188,$E$135:$E$165,1,FALSE)),0,AU56*$C$2),MAX((IF(Monthly!AR$4=TRUE,Monthly!AR$13,Monthly!AR$14)*(1+'Attrition Modeling'!$N$8)-IFERROR(AU56/AU123,0)*12)/12*AU123,0))</f>
        <v>0</v>
      </c>
      <c r="AW188" s="799">
        <f>MIN(IF(ISERROR(VLOOKUP(AW$134-$F188,$E$135:$E$165,1,FALSE)),0,AV56*$C$2),MAX((IF(Monthly!AS$4=TRUE,Monthly!AS$13,Monthly!AS$14)*(1+'Attrition Modeling'!$N$8)-IFERROR(AV56/AV123,0)*12)/12*AV123,0))</f>
        <v>0</v>
      </c>
      <c r="AX188" s="799">
        <f>MIN(IF(ISERROR(VLOOKUP(AX$134-$F188,$E$135:$E$165,1,FALSE)),0,AW56*$C$2),MAX((IF(Monthly!AT$4=TRUE,Monthly!AT$13,Monthly!AT$14)*(1+'Attrition Modeling'!$N$8)-IFERROR(AW56/AW123,0)*12)/12*AW123,0))</f>
        <v>0</v>
      </c>
      <c r="AY188" s="799">
        <f>MIN(IF(ISERROR(VLOOKUP(AY$134-$F188,$E$135:$E$165,1,FALSE)),0,AX56*$C$2),MAX((IF(Monthly!AU$4=TRUE,Monthly!AU$13,Monthly!AU$14)*(1+'Attrition Modeling'!$N$8)-IFERROR(AX56/AX123,0)*12)/12*AX123,0))</f>
        <v>0</v>
      </c>
      <c r="AZ188" s="799">
        <f>MIN(IF(ISERROR(VLOOKUP(AZ$134-$F188,$E$135:$E$165,1,FALSE)),0,AY56*$C$2),MAX((IF(Monthly!AV$4=TRUE,Monthly!AV$13,Monthly!AV$14)*(1+'Attrition Modeling'!$N$8)-IFERROR(AY56/AY123,0)*12)/12*AY123,0))</f>
        <v>0</v>
      </c>
      <c r="BA188" s="799">
        <f>MIN(IF(ISERROR(VLOOKUP(BA$134-$F188,$E$135:$E$165,1,FALSE)),0,AZ56*$C$2),MAX((IF(Monthly!AW$4=TRUE,Monthly!AW$13,Monthly!AW$14)*(1+'Attrition Modeling'!$N$8)-IFERROR(AZ56/AZ123,0)*12)/12*AZ123,0))</f>
        <v>0</v>
      </c>
      <c r="BB188" s="799">
        <f>MIN(IF(ISERROR(VLOOKUP(BB$134-$F188,$E$135:$E$165,1,FALSE)),0,BA56*$C$2),MAX((IF(Monthly!AX$4=TRUE,Monthly!AX$13,Monthly!AX$14)*(1+'Attrition Modeling'!$N$8)-IFERROR(BA56/BA123,0)*12)/12*BA123,0))</f>
        <v>0</v>
      </c>
      <c r="BC188" s="799">
        <f>MIN(IF(ISERROR(VLOOKUP(BC$134-$F188,$E$135:$E$165,1,FALSE)),0,BB56*$C$2),MAX((IF(Monthly!AY$4=TRUE,Monthly!AY$13,Monthly!AY$14)*(1+'Attrition Modeling'!$N$8)-IFERROR(BB56/BB123,0)*12)/12*BB123,0))</f>
        <v>0</v>
      </c>
      <c r="BD188" s="799">
        <f>MIN(IF(ISERROR(VLOOKUP(BD$134-$F188,$E$135:$E$165,1,FALSE)),0,BC56*$C$2),MAX((IF(Monthly!AZ$4=TRUE,Monthly!AZ$13,Monthly!AZ$14)*(1+'Attrition Modeling'!$N$8)-IFERROR(BC56/BC123,0)*12)/12*BC123,0))</f>
        <v>0</v>
      </c>
      <c r="BE188" s="799">
        <f>MIN(IF(ISERROR(VLOOKUP(BE$134-$F188,$E$135:$E$165,1,FALSE)),0,BD56*$C$2),MAX((IF(Monthly!BA$4=TRUE,Monthly!BA$13,Monthly!BA$14)*(1+'Attrition Modeling'!$N$8)-IFERROR(BD56/BD123,0)*12)/12*BD123,0))</f>
        <v>0</v>
      </c>
      <c r="BF188" s="799">
        <f>MIN(IF(ISERROR(VLOOKUP(BF$134-$F188,$E$135:$E$165,1,FALSE)),0,BE56*$C$2),MAX((IF(Monthly!BB$4=TRUE,Monthly!BB$13,Monthly!BB$14)*(1+'Attrition Modeling'!$N$8)-IFERROR(BE56/BE123,0)*12)/12*BE123,0))</f>
        <v>0</v>
      </c>
      <c r="BG188" s="799">
        <f>MIN(IF(ISERROR(VLOOKUP(BG$134-$F188,$E$135:$E$165,1,FALSE)),0,BF56*$C$2),MAX((IF(Monthly!BC$4=TRUE,Monthly!BC$13,Monthly!BC$14)*(1+'Attrition Modeling'!$N$8)-IFERROR(BF56/BF123,0)*12)/12*BF123,0))</f>
        <v>0</v>
      </c>
      <c r="BH188" s="799">
        <f>MIN(IF(ISERROR(VLOOKUP(BH$134-$F188,$E$135:$E$165,1,FALSE)),0,BG56*$C$2),MAX((IF(Monthly!BD$4=TRUE,Monthly!BD$13,Monthly!BD$14)*(1+'Attrition Modeling'!$N$8)-IFERROR(BG56/BG123,0)*12)/12*BG123,0))</f>
        <v>0</v>
      </c>
      <c r="BI188" s="799">
        <f>MIN(IF(ISERROR(VLOOKUP(BI$134-$F188,$E$135:$E$165,1,FALSE)),0,BH56*$C$2),MAX((IF(Monthly!BE$4=TRUE,Monthly!BE$13,Monthly!BE$14)*(1+'Attrition Modeling'!$N$8)-IFERROR(BH56/BH123,0)*12)/12*BH123,0))</f>
        <v>0</v>
      </c>
      <c r="BJ188" s="799">
        <f>MIN(IF(ISERROR(VLOOKUP(BJ$134-$F188,$E$135:$E$165,1,FALSE)),0,BI56*$C$2),MAX((IF(Monthly!BF$4=TRUE,Monthly!BF$13,Monthly!BF$14)*(1+'Attrition Modeling'!$N$8)-IFERROR(BI56/BI123,0)*12)/12*BI123,0))</f>
        <v>0</v>
      </c>
      <c r="BK188" s="799">
        <f>MIN(IF(ISERROR(VLOOKUP(BK$134-$F188,$E$135:$E$165,1,FALSE)),0,BJ56*$C$2),MAX((IF(Monthly!BG$4=TRUE,Monthly!BG$13,Monthly!BG$14)*(1+'Attrition Modeling'!$N$8)-IFERROR(BJ56/BJ123,0)*12)/12*BJ123,0))</f>
        <v>0</v>
      </c>
      <c r="BL188" s="799">
        <f>MIN(IF(ISERROR(VLOOKUP(BL$134-$F188,$E$135:$E$165,1,FALSE)),0,BK56*$C$2),MAX((IF(Monthly!BH$4=TRUE,Monthly!BH$13,Monthly!BH$14)*(1+'Attrition Modeling'!$N$8)-IFERROR(BK56/BK123,0)*12)/12*BK123,0))</f>
        <v>0</v>
      </c>
      <c r="BM188" s="799">
        <f>MIN(IF(ISERROR(VLOOKUP(BM$134-$F188,$E$135:$E$165,1,FALSE)),0,BL56*$C$2),MAX((IF(Monthly!BI$4=TRUE,Monthly!BI$13,Monthly!BI$14)*(1+'Attrition Modeling'!$N$8)-IFERROR(BL56/BL123,0)*12)/12*BL123,0))</f>
        <v>0</v>
      </c>
      <c r="BN188" s="799">
        <f>MIN(IF(ISERROR(VLOOKUP(BN$134-$F188,$E$135:$E$165,1,FALSE)),0,BM56*$C$2),MAX((IF(Monthly!BJ$4=TRUE,Monthly!BJ$13,Monthly!BJ$14)*(1+'Attrition Modeling'!$N$8)-IFERROR(BM56/BM123,0)*12)/12*BM123,0))</f>
        <v>707.72274099751962</v>
      </c>
      <c r="BO188" s="799">
        <f>MIN(IF(ISERROR(VLOOKUP(BO$134-$F188,$E$135:$E$165,1,FALSE)),0,BN56*$C$2),MAX((IF(Monthly!BK$4=TRUE,Monthly!BK$13,Monthly!BK$14)*(1+'Attrition Modeling'!$N$8)-IFERROR(BN56/BN123,0)*12)/12*BN123,0))</f>
        <v>0</v>
      </c>
      <c r="BP188" s="799">
        <f>MIN(IF(ISERROR(VLOOKUP(BP$134-$F188,$E$135:$E$165,1,FALSE)),0,BO56*$C$2),MAX((IF(Monthly!BP$4=TRUE,Monthly!BP$13,Monthly!BP$14)*(1+'Attrition Modeling'!$N$8)-IFERROR(BO56/BO123,0)*12)/12*BO123,0))</f>
        <v>0</v>
      </c>
      <c r="BQ188" s="799">
        <f>MIN(IF(ISERROR(VLOOKUP(BQ$134-$F188,$E$135:$E$165,1,FALSE)),0,BP56*$C$2),MAX((IF(Monthly!BQ$4=TRUE,Monthly!BQ$13,Monthly!BQ$14)*(1+'Attrition Modeling'!$N$8)-IFERROR(BP56/BP123,0)*12)/12*BP123,0))</f>
        <v>0</v>
      </c>
      <c r="BR188" s="799">
        <f>MIN(IF(ISERROR(VLOOKUP(BR$134-$F188,$E$135:$E$165,1,FALSE)),0,BQ56*$C$2),MAX((IF(Monthly!BR$4=TRUE,Monthly!BR$13,Monthly!BR$14)*(1+'Attrition Modeling'!$N$8)-IFERROR(BQ56/BQ123,0)*12)/12*BQ123,0))</f>
        <v>0</v>
      </c>
      <c r="BS188" s="799">
        <f>MIN(IF(ISERROR(VLOOKUP(BS$134-$F188,$E$135:$E$165,1,FALSE)),0,BR56*$C$2),MAX((IF(Monthly!BS$4=TRUE,Monthly!BS$13,Monthly!BS$14)*(1+'Attrition Modeling'!$N$8)-IFERROR(BR56/BR123,0)*12)/12*BR123,0))</f>
        <v>0</v>
      </c>
      <c r="BT188" s="799">
        <f>MIN(IF(ISERROR(VLOOKUP(BT$134-$F188,$E$135:$E$165,1,FALSE)),0,BS56*$C$2),MAX((IF(Monthly!BT$4=TRUE,Monthly!BT$13,Monthly!BT$14)*(1+'Attrition Modeling'!$N$8)-IFERROR(BS56/BS123,0)*12)/12*BS123,0))</f>
        <v>0</v>
      </c>
      <c r="BU188" s="799">
        <f>MIN(IF(ISERROR(VLOOKUP(BU$134-$F188,$E$135:$E$165,1,FALSE)),0,BT56*$C$2),MAX((IF(Monthly!BU$4=TRUE,Monthly!BU$13,Monthly!BU$14)*(1+'Attrition Modeling'!$N$8)-IFERROR(BT56/BT123,0)*12)/12*BT123,0))</f>
        <v>0</v>
      </c>
    </row>
    <row r="189" spans="5:73" ht="14.25" customHeight="1" x14ac:dyDescent="0.2">
      <c r="E189" s="25"/>
      <c r="F189" s="11">
        <f t="shared" si="14"/>
        <v>54</v>
      </c>
      <c r="G189" s="799"/>
      <c r="H189" s="799">
        <f>MIN(IF(ISERROR(VLOOKUP(H$134-$F189,$E$135:$E$165,1,FALSE)),0,G57*$C$2),MAX((IF(Monthly!D$4=TRUE,Monthly!D$13,Monthly!D$14)*(1+'Attrition Modeling'!$N$8)-IFERROR(G57/G124,0)*12)/12*G124,0))</f>
        <v>0</v>
      </c>
      <c r="I189" s="799">
        <f>MIN(IF(ISERROR(VLOOKUP(I$134-$F189,$E$135:$E$165,1,FALSE)),0,H57*$C$2),MAX((IF(Monthly!E$4=TRUE,Monthly!E$13,Monthly!E$14)*(1+'Attrition Modeling'!$N$8)-IFERROR(H57/H124,0)*12)/12*H124,0))</f>
        <v>0</v>
      </c>
      <c r="J189" s="799">
        <f>MIN(IF(ISERROR(VLOOKUP(J$134-$F189,$E$135:$E$165,1,FALSE)),0,I57*$C$2),MAX((IF(Monthly!F$4=TRUE,Monthly!F$13,Monthly!F$14)*(1+'Attrition Modeling'!$N$8)-IFERROR(I57/I124,0)*12)/12*I124,0))</f>
        <v>0</v>
      </c>
      <c r="K189" s="799">
        <f>MIN(IF(ISERROR(VLOOKUP(K$134-$F189,$E$135:$E$165,1,FALSE)),0,J57*$C$2),MAX((IF(Monthly!G$4=TRUE,Monthly!G$13,Monthly!G$14)*(1+'Attrition Modeling'!$N$8)-IFERROR(J57/J124,0)*12)/12*J124,0))</f>
        <v>0</v>
      </c>
      <c r="L189" s="799">
        <f>MIN(IF(ISERROR(VLOOKUP(L$134-$F189,$E$135:$E$165,1,FALSE)),0,K57*$C$2),MAX((IF(Monthly!H$4=TRUE,Monthly!H$13,Monthly!H$14)*(1+'Attrition Modeling'!$N$8)-IFERROR(K57/K124,0)*12)/12*K124,0))</f>
        <v>0</v>
      </c>
      <c r="M189" s="799">
        <f>MIN(IF(ISERROR(VLOOKUP(M$134-$F189,$E$135:$E$165,1,FALSE)),0,L57*$C$2),MAX((IF(Monthly!I$4=TRUE,Monthly!I$13,Monthly!I$14)*(1+'Attrition Modeling'!$N$8)-IFERROR(L57/L124,0)*12)/12*L124,0))</f>
        <v>0</v>
      </c>
      <c r="N189" s="799">
        <f>MIN(IF(ISERROR(VLOOKUP(N$134-$F189,$E$135:$E$165,1,FALSE)),0,M57*$C$2),MAX((IF(Monthly!J$4=TRUE,Monthly!J$13,Monthly!J$14)*(1+'Attrition Modeling'!$N$8)-IFERROR(M57/M124,0)*12)/12*M124,0))</f>
        <v>0</v>
      </c>
      <c r="O189" s="799">
        <f>MIN(IF(ISERROR(VLOOKUP(O$134-$F189,$E$135:$E$165,1,FALSE)),0,N57*$C$2),MAX((IF(Monthly!K$4=TRUE,Monthly!K$13,Monthly!K$14)*(1+'Attrition Modeling'!$N$8)-IFERROR(N57/N124,0)*12)/12*N124,0))</f>
        <v>0</v>
      </c>
      <c r="P189" s="799">
        <f>MIN(IF(ISERROR(VLOOKUP(P$134-$F189,$E$135:$E$165,1,FALSE)),0,O57*$C$2),MAX((IF(Monthly!L$4=TRUE,Monthly!L$13,Monthly!L$14)*(1+'Attrition Modeling'!$N$8)-IFERROR(O57/O124,0)*12)/12*O124,0))</f>
        <v>0</v>
      </c>
      <c r="Q189" s="799">
        <f>MIN(IF(ISERROR(VLOOKUP(Q$134-$F189,$E$135:$E$165,1,FALSE)),0,P57*$C$2),MAX((IF(Monthly!M$4=TRUE,Monthly!M$13,Monthly!M$14)*(1+'Attrition Modeling'!$N$8)-IFERROR(P57/P124,0)*12)/12*P124,0))</f>
        <v>0</v>
      </c>
      <c r="R189" s="799">
        <f>MIN(IF(ISERROR(VLOOKUP(R$134-$F189,$E$135:$E$165,1,FALSE)),0,Q57*$C$2),MAX((IF(Monthly!N$4=TRUE,Monthly!N$13,Monthly!N$14)*(1+'Attrition Modeling'!$N$8)-IFERROR(Q57/Q124,0)*12)/12*Q124,0))</f>
        <v>0</v>
      </c>
      <c r="S189" s="799">
        <f>MIN(IF(ISERROR(VLOOKUP(S$134-$F189,$E$135:$E$165,1,FALSE)),0,R57*$C$2),MAX((IF(Monthly!O$4=TRUE,Monthly!O$13,Monthly!O$14)*(1+'Attrition Modeling'!$N$8)-IFERROR(R57/R124,0)*12)/12*R124,0))</f>
        <v>0</v>
      </c>
      <c r="T189" s="799">
        <f>MIN(IF(ISERROR(VLOOKUP(T$134-$F189,$E$135:$E$165,1,FALSE)),0,S57*$C$2),MAX((IF(Monthly!P$4=TRUE,Monthly!P$13,Monthly!P$14)*(1+'Attrition Modeling'!$N$8)-IFERROR(S57/S124,0)*12)/12*S124,0))</f>
        <v>0</v>
      </c>
      <c r="U189" s="799">
        <f>MIN(IF(ISERROR(VLOOKUP(U$134-$F189,$E$135:$E$165,1,FALSE)),0,T57*$C$2),MAX((IF(Monthly!Q$4=TRUE,Monthly!Q$13,Monthly!Q$14)*(1+'Attrition Modeling'!$N$8)-IFERROR(T57/T124,0)*12)/12*T124,0))</f>
        <v>0</v>
      </c>
      <c r="V189" s="799">
        <f>MIN(IF(ISERROR(VLOOKUP(V$134-$F189,$E$135:$E$165,1,FALSE)),0,U57*$C$2),MAX((IF(Monthly!R$4=TRUE,Monthly!R$13,Monthly!R$14)*(1+'Attrition Modeling'!$N$8)-IFERROR(U57/U124,0)*12)/12*U124,0))</f>
        <v>0</v>
      </c>
      <c r="W189" s="799">
        <f>MIN(IF(ISERROR(VLOOKUP(W$134-$F189,$E$135:$E$165,1,FALSE)),0,V57*$C$2),MAX((IF(Monthly!S$4=TRUE,Monthly!S$13,Monthly!S$14)*(1+'Attrition Modeling'!$N$8)-IFERROR(V57/V124,0)*12)/12*V124,0))</f>
        <v>0</v>
      </c>
      <c r="X189" s="799">
        <f>MIN(IF(ISERROR(VLOOKUP(X$134-$F189,$E$135:$E$165,1,FALSE)),0,W57*$C$2),MAX((IF(Monthly!T$4=TRUE,Monthly!T$13,Monthly!T$14)*(1+'Attrition Modeling'!$N$8)-IFERROR(W57/W124,0)*12)/12*W124,0))</f>
        <v>0</v>
      </c>
      <c r="Y189" s="799">
        <f>MIN(IF(ISERROR(VLOOKUP(Y$134-$F189,$E$135:$E$165,1,FALSE)),0,X57*$C$2),MAX((IF(Monthly!U$4=TRUE,Monthly!U$13,Monthly!U$14)*(1+'Attrition Modeling'!$N$8)-IFERROR(X57/X124,0)*12)/12*X124,0))</f>
        <v>0</v>
      </c>
      <c r="Z189" s="799">
        <f>MIN(IF(ISERROR(VLOOKUP(Z$134-$F189,$E$135:$E$165,1,FALSE)),0,Y57*$C$2),MAX((IF(Monthly!V$4=TRUE,Monthly!V$13,Monthly!V$14)*(1+'Attrition Modeling'!$N$8)-IFERROR(Y57/Y124,0)*12)/12*Y124,0))</f>
        <v>0</v>
      </c>
      <c r="AA189" s="799">
        <f>MIN(IF(ISERROR(VLOOKUP(AA$134-$F189,$E$135:$E$165,1,FALSE)),0,Z57*$C$2),MAX((IF(Monthly!W$4=TRUE,Monthly!W$13,Monthly!W$14)*(1+'Attrition Modeling'!$N$8)-IFERROR(Z57/Z124,0)*12)/12*Z124,0))</f>
        <v>0</v>
      </c>
      <c r="AB189" s="799">
        <f>MIN(IF(ISERROR(VLOOKUP(AB$134-$F189,$E$135:$E$165,1,FALSE)),0,AA57*$C$2),MAX((IF(Monthly!X$4=TRUE,Monthly!X$13,Monthly!X$14)*(1+'Attrition Modeling'!$N$8)-IFERROR(AA57/AA124,0)*12)/12*AA124,0))</f>
        <v>0</v>
      </c>
      <c r="AC189" s="799">
        <f>MIN(IF(ISERROR(VLOOKUP(AC$134-$F189,$E$135:$E$165,1,FALSE)),0,AB57*$C$2),MAX((IF(Monthly!Y$4=TRUE,Monthly!Y$13,Monthly!Y$14)*(1+'Attrition Modeling'!$N$8)-IFERROR(AB57/AB124,0)*12)/12*AB124,0))</f>
        <v>0</v>
      </c>
      <c r="AD189" s="799">
        <f>MIN(IF(ISERROR(VLOOKUP(AD$134-$F189,$E$135:$E$165,1,FALSE)),0,AC57*$C$2),MAX((IF(Monthly!Z$4=TRUE,Monthly!Z$13,Monthly!Z$14)*(1+'Attrition Modeling'!$N$8)-IFERROR(AC57/AC124,0)*12)/12*AC124,0))</f>
        <v>0</v>
      </c>
      <c r="AE189" s="799">
        <f>MIN(IF(ISERROR(VLOOKUP(AE$134-$F189,$E$135:$E$165,1,FALSE)),0,AD57*$C$2),MAX((IF(Monthly!AA$4=TRUE,Monthly!AA$13,Monthly!AA$14)*(1+'Attrition Modeling'!$N$8)-IFERROR(AD57/AD124,0)*12)/12*AD124,0))</f>
        <v>0</v>
      </c>
      <c r="AF189" s="799">
        <f>MIN(IF(ISERROR(VLOOKUP(AF$134-$F189,$E$135:$E$165,1,FALSE)),0,AE57*$C$2),MAX((IF(Monthly!AB$4=TRUE,Monthly!AB$13,Monthly!AB$14)*(1+'Attrition Modeling'!$N$8)-IFERROR(AE57/AE124,0)*12)/12*AE124,0))</f>
        <v>0</v>
      </c>
      <c r="AG189" s="799">
        <f>MIN(IF(ISERROR(VLOOKUP(AG$134-$F189,$E$135:$E$165,1,FALSE)),0,AF57*$C$2),MAX((IF(Monthly!AC$4=TRUE,Monthly!AC$13,Monthly!AC$14)*(1+'Attrition Modeling'!$N$8)-IFERROR(AF57/AF124,0)*12)/12*AF124,0))</f>
        <v>0</v>
      </c>
      <c r="AH189" s="799">
        <f>MIN(IF(ISERROR(VLOOKUP(AH$134-$F189,$E$135:$E$165,1,FALSE)),0,AG57*$C$2),MAX((IF(Monthly!AD$4=TRUE,Monthly!AD$13,Monthly!AD$14)*(1+'Attrition Modeling'!$N$8)-IFERROR(AG57/AG124,0)*12)/12*AG124,0))</f>
        <v>0</v>
      </c>
      <c r="AI189" s="799">
        <f>MIN(IF(ISERROR(VLOOKUP(AI$134-$F189,$E$135:$E$165,1,FALSE)),0,AH57*$C$2),MAX((IF(Monthly!AE$4=TRUE,Monthly!AE$13,Monthly!AE$14)*(1+'Attrition Modeling'!$N$8)-IFERROR(AH57/AH124,0)*12)/12*AH124,0))</f>
        <v>0</v>
      </c>
      <c r="AJ189" s="799">
        <f>MIN(IF(ISERROR(VLOOKUP(AJ$134-$F189,$E$135:$E$165,1,FALSE)),0,AI57*$C$2),MAX((IF(Monthly!AF$4=TRUE,Monthly!AF$13,Monthly!AF$14)*(1+'Attrition Modeling'!$N$8)-IFERROR(AI57/AI124,0)*12)/12*AI124,0))</f>
        <v>0</v>
      </c>
      <c r="AK189" s="799">
        <f>MIN(IF(ISERROR(VLOOKUP(AK$134-$F189,$E$135:$E$165,1,FALSE)),0,AJ57*$C$2),MAX((IF(Monthly!AG$4=TRUE,Monthly!AG$13,Monthly!AG$14)*(1+'Attrition Modeling'!$N$8)-IFERROR(AJ57/AJ124,0)*12)/12*AJ124,0))</f>
        <v>0</v>
      </c>
      <c r="AL189" s="799">
        <f>MIN(IF(ISERROR(VLOOKUP(AL$134-$F189,$E$135:$E$165,1,FALSE)),0,AK57*$C$2),MAX((IF(Monthly!AH$4=TRUE,Monthly!AH$13,Monthly!AH$14)*(1+'Attrition Modeling'!$N$8)-IFERROR(AK57/AK124,0)*12)/12*AK124,0))</f>
        <v>0</v>
      </c>
      <c r="AM189" s="799">
        <f>MIN(IF(ISERROR(VLOOKUP(AM$134-$F189,$E$135:$E$165,1,FALSE)),0,AL57*$C$2),MAX((IF(Monthly!AI$4=TRUE,Monthly!AI$13,Monthly!AI$14)*(1+'Attrition Modeling'!$N$8)-IFERROR(AL57/AL124,0)*12)/12*AL124,0))</f>
        <v>0</v>
      </c>
      <c r="AN189" s="799">
        <f>MIN(IF(ISERROR(VLOOKUP(AN$134-$F189,$E$135:$E$165,1,FALSE)),0,AM57*$C$2),MAX((IF(Monthly!AJ$4=TRUE,Monthly!AJ$13,Monthly!AJ$14)*(1+'Attrition Modeling'!$N$8)-IFERROR(AM57/AM124,0)*12)/12*AM124,0))</f>
        <v>0</v>
      </c>
      <c r="AO189" s="799">
        <f>MIN(IF(ISERROR(VLOOKUP(AO$134-$F189,$E$135:$E$165,1,FALSE)),0,AN57*$C$2),MAX((IF(Monthly!AK$4=TRUE,Monthly!AK$13,Monthly!AK$14)*(1+'Attrition Modeling'!$N$8)-IFERROR(AN57/AN124,0)*12)/12*AN124,0))</f>
        <v>0</v>
      </c>
      <c r="AP189" s="799">
        <f>MIN(IF(ISERROR(VLOOKUP(AP$134-$F189,$E$135:$E$165,1,FALSE)),0,AO57*$C$2),MAX((IF(Monthly!AL$4=TRUE,Monthly!AL$13,Monthly!AL$14)*(1+'Attrition Modeling'!$N$8)-IFERROR(AO57/AO124,0)*12)/12*AO124,0))</f>
        <v>0</v>
      </c>
      <c r="AQ189" s="799">
        <f>MIN(IF(ISERROR(VLOOKUP(AQ$134-$F189,$E$135:$E$165,1,FALSE)),0,AP57*$C$2),MAX((IF(Monthly!AM$4=TRUE,Monthly!AM$13,Monthly!AM$14)*(1+'Attrition Modeling'!$N$8)-IFERROR(AP57/AP124,0)*12)/12*AP124,0))</f>
        <v>0</v>
      </c>
      <c r="AR189" s="799">
        <f>MIN(IF(ISERROR(VLOOKUP(AR$134-$F189,$E$135:$E$165,1,FALSE)),0,AQ57*$C$2),MAX((IF(Monthly!AN$4=TRUE,Monthly!AN$13,Monthly!AN$14)*(1+'Attrition Modeling'!$N$8)-IFERROR(AQ57/AQ124,0)*12)/12*AQ124,0))</f>
        <v>0</v>
      </c>
      <c r="AS189" s="799">
        <f>MIN(IF(ISERROR(VLOOKUP(AS$134-$F189,$E$135:$E$165,1,FALSE)),0,AR57*$C$2),MAX((IF(Monthly!AO$4=TRUE,Monthly!AO$13,Monthly!AO$14)*(1+'Attrition Modeling'!$N$8)-IFERROR(AR57/AR124,0)*12)/12*AR124,0))</f>
        <v>0</v>
      </c>
      <c r="AT189" s="799">
        <f>MIN(IF(ISERROR(VLOOKUP(AT$134-$F189,$E$135:$E$165,1,FALSE)),0,AS57*$C$2),MAX((IF(Monthly!AP$4=TRUE,Monthly!AP$13,Monthly!AP$14)*(1+'Attrition Modeling'!$N$8)-IFERROR(AS57/AS124,0)*12)/12*AS124,0))</f>
        <v>0</v>
      </c>
      <c r="AU189" s="799">
        <f>MIN(IF(ISERROR(VLOOKUP(AU$134-$F189,$E$135:$E$165,1,FALSE)),0,AT57*$C$2),MAX((IF(Monthly!AQ$4=TRUE,Monthly!AQ$13,Monthly!AQ$14)*(1+'Attrition Modeling'!$N$8)-IFERROR(AT57/AT124,0)*12)/12*AT124,0))</f>
        <v>0</v>
      </c>
      <c r="AV189" s="799">
        <f>MIN(IF(ISERROR(VLOOKUP(AV$134-$F189,$E$135:$E$165,1,FALSE)),0,AU57*$C$2),MAX((IF(Monthly!AR$4=TRUE,Monthly!AR$13,Monthly!AR$14)*(1+'Attrition Modeling'!$N$8)-IFERROR(AU57/AU124,0)*12)/12*AU124,0))</f>
        <v>0</v>
      </c>
      <c r="AW189" s="799">
        <f>MIN(IF(ISERROR(VLOOKUP(AW$134-$F189,$E$135:$E$165,1,FALSE)),0,AV57*$C$2),MAX((IF(Monthly!AS$4=TRUE,Monthly!AS$13,Monthly!AS$14)*(1+'Attrition Modeling'!$N$8)-IFERROR(AV57/AV124,0)*12)/12*AV124,0))</f>
        <v>0</v>
      </c>
      <c r="AX189" s="799">
        <f>MIN(IF(ISERROR(VLOOKUP(AX$134-$F189,$E$135:$E$165,1,FALSE)),0,AW57*$C$2),MAX((IF(Monthly!AT$4=TRUE,Monthly!AT$13,Monthly!AT$14)*(1+'Attrition Modeling'!$N$8)-IFERROR(AW57/AW124,0)*12)/12*AW124,0))</f>
        <v>0</v>
      </c>
      <c r="AY189" s="799">
        <f>MIN(IF(ISERROR(VLOOKUP(AY$134-$F189,$E$135:$E$165,1,FALSE)),0,AX57*$C$2),MAX((IF(Monthly!AU$4=TRUE,Monthly!AU$13,Monthly!AU$14)*(1+'Attrition Modeling'!$N$8)-IFERROR(AX57/AX124,0)*12)/12*AX124,0))</f>
        <v>0</v>
      </c>
      <c r="AZ189" s="799">
        <f>MIN(IF(ISERROR(VLOOKUP(AZ$134-$F189,$E$135:$E$165,1,FALSE)),0,AY57*$C$2),MAX((IF(Monthly!AV$4=TRUE,Monthly!AV$13,Monthly!AV$14)*(1+'Attrition Modeling'!$N$8)-IFERROR(AY57/AY124,0)*12)/12*AY124,0))</f>
        <v>0</v>
      </c>
      <c r="BA189" s="799">
        <f>MIN(IF(ISERROR(VLOOKUP(BA$134-$F189,$E$135:$E$165,1,FALSE)),0,AZ57*$C$2),MAX((IF(Monthly!AW$4=TRUE,Monthly!AW$13,Monthly!AW$14)*(1+'Attrition Modeling'!$N$8)-IFERROR(AZ57/AZ124,0)*12)/12*AZ124,0))</f>
        <v>0</v>
      </c>
      <c r="BB189" s="799">
        <f>MIN(IF(ISERROR(VLOOKUP(BB$134-$F189,$E$135:$E$165,1,FALSE)),0,BA57*$C$2),MAX((IF(Monthly!AX$4=TRUE,Monthly!AX$13,Monthly!AX$14)*(1+'Attrition Modeling'!$N$8)-IFERROR(BA57/BA124,0)*12)/12*BA124,0))</f>
        <v>0</v>
      </c>
      <c r="BC189" s="799">
        <f>MIN(IF(ISERROR(VLOOKUP(BC$134-$F189,$E$135:$E$165,1,FALSE)),0,BB57*$C$2),MAX((IF(Monthly!AY$4=TRUE,Monthly!AY$13,Monthly!AY$14)*(1+'Attrition Modeling'!$N$8)-IFERROR(BB57/BB124,0)*12)/12*BB124,0))</f>
        <v>0</v>
      </c>
      <c r="BD189" s="799">
        <f>MIN(IF(ISERROR(VLOOKUP(BD$134-$F189,$E$135:$E$165,1,FALSE)),0,BC57*$C$2),MAX((IF(Monthly!AZ$4=TRUE,Monthly!AZ$13,Monthly!AZ$14)*(1+'Attrition Modeling'!$N$8)-IFERROR(BC57/BC124,0)*12)/12*BC124,0))</f>
        <v>0</v>
      </c>
      <c r="BE189" s="799">
        <f>MIN(IF(ISERROR(VLOOKUP(BE$134-$F189,$E$135:$E$165,1,FALSE)),0,BD57*$C$2),MAX((IF(Monthly!BA$4=TRUE,Monthly!BA$13,Monthly!BA$14)*(1+'Attrition Modeling'!$N$8)-IFERROR(BD57/BD124,0)*12)/12*BD124,0))</f>
        <v>0</v>
      </c>
      <c r="BF189" s="799">
        <f>MIN(IF(ISERROR(VLOOKUP(BF$134-$F189,$E$135:$E$165,1,FALSE)),0,BE57*$C$2),MAX((IF(Monthly!BB$4=TRUE,Monthly!BB$13,Monthly!BB$14)*(1+'Attrition Modeling'!$N$8)-IFERROR(BE57/BE124,0)*12)/12*BE124,0))</f>
        <v>0</v>
      </c>
      <c r="BG189" s="799">
        <f>MIN(IF(ISERROR(VLOOKUP(BG$134-$F189,$E$135:$E$165,1,FALSE)),0,BF57*$C$2),MAX((IF(Monthly!BC$4=TRUE,Monthly!BC$13,Monthly!BC$14)*(1+'Attrition Modeling'!$N$8)-IFERROR(BF57/BF124,0)*12)/12*BF124,0))</f>
        <v>0</v>
      </c>
      <c r="BH189" s="799">
        <f>MIN(IF(ISERROR(VLOOKUP(BH$134-$F189,$E$135:$E$165,1,FALSE)),0,BG57*$C$2),MAX((IF(Monthly!BD$4=TRUE,Monthly!BD$13,Monthly!BD$14)*(1+'Attrition Modeling'!$N$8)-IFERROR(BG57/BG124,0)*12)/12*BG124,0))</f>
        <v>0</v>
      </c>
      <c r="BI189" s="799">
        <f>MIN(IF(ISERROR(VLOOKUP(BI$134-$F189,$E$135:$E$165,1,FALSE)),0,BH57*$C$2),MAX((IF(Monthly!BE$4=TRUE,Monthly!BE$13,Monthly!BE$14)*(1+'Attrition Modeling'!$N$8)-IFERROR(BH57/BH124,0)*12)/12*BH124,0))</f>
        <v>0</v>
      </c>
      <c r="BJ189" s="799">
        <f>MIN(IF(ISERROR(VLOOKUP(BJ$134-$F189,$E$135:$E$165,1,FALSE)),0,BI57*$C$2),MAX((IF(Monthly!BF$4=TRUE,Monthly!BF$13,Monthly!BF$14)*(1+'Attrition Modeling'!$N$8)-IFERROR(BI57/BI124,0)*12)/12*BI124,0))</f>
        <v>0</v>
      </c>
      <c r="BK189" s="799">
        <f>MIN(IF(ISERROR(VLOOKUP(BK$134-$F189,$E$135:$E$165,1,FALSE)),0,BJ57*$C$2),MAX((IF(Monthly!BG$4=TRUE,Monthly!BG$13,Monthly!BG$14)*(1+'Attrition Modeling'!$N$8)-IFERROR(BJ57/BJ124,0)*12)/12*BJ124,0))</f>
        <v>0</v>
      </c>
      <c r="BL189" s="799">
        <f>MIN(IF(ISERROR(VLOOKUP(BL$134-$F189,$E$135:$E$165,1,FALSE)),0,BK57*$C$2),MAX((IF(Monthly!BH$4=TRUE,Monthly!BH$13,Monthly!BH$14)*(1+'Attrition Modeling'!$N$8)-IFERROR(BK57/BK124,0)*12)/12*BK124,0))</f>
        <v>0</v>
      </c>
      <c r="BM189" s="799">
        <f>MIN(IF(ISERROR(VLOOKUP(BM$134-$F189,$E$135:$E$165,1,FALSE)),0,BL57*$C$2),MAX((IF(Monthly!BI$4=TRUE,Monthly!BI$13,Monthly!BI$14)*(1+'Attrition Modeling'!$N$8)-IFERROR(BL57/BL124,0)*12)/12*BL124,0))</f>
        <v>0</v>
      </c>
      <c r="BN189" s="799">
        <f>MIN(IF(ISERROR(VLOOKUP(BN$134-$F189,$E$135:$E$165,1,FALSE)),0,BM57*$C$2),MAX((IF(Monthly!BJ$4=TRUE,Monthly!BJ$13,Monthly!BJ$14)*(1+'Attrition Modeling'!$N$8)-IFERROR(BM57/BM124,0)*12)/12*BM124,0))</f>
        <v>0</v>
      </c>
      <c r="BO189" s="799">
        <f>MIN(IF(ISERROR(VLOOKUP(BO$134-$F189,$E$135:$E$165,1,FALSE)),0,BN57*$C$2),MAX((IF(Monthly!BK$4=TRUE,Monthly!BK$13,Monthly!BK$14)*(1+'Attrition Modeling'!$N$8)-IFERROR(BN57/BN124,0)*12)/12*BN124,0))</f>
        <v>698.60000744359127</v>
      </c>
      <c r="BP189" s="799">
        <f>MIN(IF(ISERROR(VLOOKUP(BP$134-$F189,$E$135:$E$165,1,FALSE)),0,BO57*$C$2),MAX((IF(Monthly!BP$4=TRUE,Monthly!BP$13,Monthly!BP$14)*(1+'Attrition Modeling'!$N$8)-IFERROR(BO57/BO124,0)*12)/12*BO124,0))</f>
        <v>0</v>
      </c>
      <c r="BQ189" s="799">
        <f>MIN(IF(ISERROR(VLOOKUP(BQ$134-$F189,$E$135:$E$165,1,FALSE)),0,BP57*$C$2),MAX((IF(Monthly!BQ$4=TRUE,Monthly!BQ$13,Monthly!BQ$14)*(1+'Attrition Modeling'!$N$8)-IFERROR(BP57/BP124,0)*12)/12*BP124,0))</f>
        <v>0</v>
      </c>
      <c r="BR189" s="799">
        <f>MIN(IF(ISERROR(VLOOKUP(BR$134-$F189,$E$135:$E$165,1,FALSE)),0,BQ57*$C$2),MAX((IF(Monthly!BR$4=TRUE,Monthly!BR$13,Monthly!BR$14)*(1+'Attrition Modeling'!$N$8)-IFERROR(BQ57/BQ124,0)*12)/12*BQ124,0))</f>
        <v>0</v>
      </c>
      <c r="BS189" s="799">
        <f>MIN(IF(ISERROR(VLOOKUP(BS$134-$F189,$E$135:$E$165,1,FALSE)),0,BR57*$C$2),MAX((IF(Monthly!BS$4=TRUE,Monthly!BS$13,Monthly!BS$14)*(1+'Attrition Modeling'!$N$8)-IFERROR(BR57/BR124,0)*12)/12*BR124,0))</f>
        <v>0</v>
      </c>
      <c r="BT189" s="799">
        <f>MIN(IF(ISERROR(VLOOKUP(BT$134-$F189,$E$135:$E$165,1,FALSE)),0,BS57*$C$2),MAX((IF(Monthly!BT$4=TRUE,Monthly!BT$13,Monthly!BT$14)*(1+'Attrition Modeling'!$N$8)-IFERROR(BS57/BS124,0)*12)/12*BS124,0))</f>
        <v>0</v>
      </c>
      <c r="BU189" s="799">
        <f>MIN(IF(ISERROR(VLOOKUP(BU$134-$F189,$E$135:$E$165,1,FALSE)),0,BT57*$C$2),MAX((IF(Monthly!BU$4=TRUE,Monthly!BU$13,Monthly!BU$14)*(1+'Attrition Modeling'!$N$8)-IFERROR(BT57/BT124,0)*12)/12*BT124,0))</f>
        <v>0</v>
      </c>
    </row>
    <row r="190" spans="5:73" ht="14.25" customHeight="1" x14ac:dyDescent="0.2">
      <c r="E190" s="25"/>
      <c r="F190" s="11">
        <f t="shared" si="14"/>
        <v>55</v>
      </c>
      <c r="G190" s="799"/>
      <c r="H190" s="799">
        <f>MIN(IF(ISERROR(VLOOKUP(H$134-$F190,$E$135:$E$165,1,FALSE)),0,G58*$C$2),MAX((IF(Monthly!D$4=TRUE,Monthly!D$13,Monthly!D$14)*(1+'Attrition Modeling'!$N$8)-IFERROR(G58/G125,0)*12)/12*G125,0))</f>
        <v>0</v>
      </c>
      <c r="I190" s="799">
        <f>MIN(IF(ISERROR(VLOOKUP(I$134-$F190,$E$135:$E$165,1,FALSE)),0,H58*$C$2),MAX((IF(Monthly!E$4=TRUE,Monthly!E$13,Monthly!E$14)*(1+'Attrition Modeling'!$N$8)-IFERROR(H58/H125,0)*12)/12*H125,0))</f>
        <v>0</v>
      </c>
      <c r="J190" s="799">
        <f>MIN(IF(ISERROR(VLOOKUP(J$134-$F190,$E$135:$E$165,1,FALSE)),0,I58*$C$2),MAX((IF(Monthly!F$4=TRUE,Monthly!F$13,Monthly!F$14)*(1+'Attrition Modeling'!$N$8)-IFERROR(I58/I125,0)*12)/12*I125,0))</f>
        <v>0</v>
      </c>
      <c r="K190" s="799">
        <f>MIN(IF(ISERROR(VLOOKUP(K$134-$F190,$E$135:$E$165,1,FALSE)),0,J58*$C$2),MAX((IF(Monthly!G$4=TRUE,Monthly!G$13,Monthly!G$14)*(1+'Attrition Modeling'!$N$8)-IFERROR(J58/J125,0)*12)/12*J125,0))</f>
        <v>0</v>
      </c>
      <c r="L190" s="799">
        <f>MIN(IF(ISERROR(VLOOKUP(L$134-$F190,$E$135:$E$165,1,FALSE)),0,K58*$C$2),MAX((IF(Monthly!H$4=TRUE,Monthly!H$13,Monthly!H$14)*(1+'Attrition Modeling'!$N$8)-IFERROR(K58/K125,0)*12)/12*K125,0))</f>
        <v>0</v>
      </c>
      <c r="M190" s="799">
        <f>MIN(IF(ISERROR(VLOOKUP(M$134-$F190,$E$135:$E$165,1,FALSE)),0,L58*$C$2),MAX((IF(Monthly!I$4=TRUE,Monthly!I$13,Monthly!I$14)*(1+'Attrition Modeling'!$N$8)-IFERROR(L58/L125,0)*12)/12*L125,0))</f>
        <v>0</v>
      </c>
      <c r="N190" s="799">
        <f>MIN(IF(ISERROR(VLOOKUP(N$134-$F190,$E$135:$E$165,1,FALSE)),0,M58*$C$2),MAX((IF(Monthly!J$4=TRUE,Monthly!J$13,Monthly!J$14)*(1+'Attrition Modeling'!$N$8)-IFERROR(M58/M125,0)*12)/12*M125,0))</f>
        <v>0</v>
      </c>
      <c r="O190" s="799">
        <f>MIN(IF(ISERROR(VLOOKUP(O$134-$F190,$E$135:$E$165,1,FALSE)),0,N58*$C$2),MAX((IF(Monthly!K$4=TRUE,Monthly!K$13,Monthly!K$14)*(1+'Attrition Modeling'!$N$8)-IFERROR(N58/N125,0)*12)/12*N125,0))</f>
        <v>0</v>
      </c>
      <c r="P190" s="799">
        <f>MIN(IF(ISERROR(VLOOKUP(P$134-$F190,$E$135:$E$165,1,FALSE)),0,O58*$C$2),MAX((IF(Monthly!L$4=TRUE,Monthly!L$13,Monthly!L$14)*(1+'Attrition Modeling'!$N$8)-IFERROR(O58/O125,0)*12)/12*O125,0))</f>
        <v>0</v>
      </c>
      <c r="Q190" s="799">
        <f>MIN(IF(ISERROR(VLOOKUP(Q$134-$F190,$E$135:$E$165,1,FALSE)),0,P58*$C$2),MAX((IF(Monthly!M$4=TRUE,Monthly!M$13,Monthly!M$14)*(1+'Attrition Modeling'!$N$8)-IFERROR(P58/P125,0)*12)/12*P125,0))</f>
        <v>0</v>
      </c>
      <c r="R190" s="799">
        <f>MIN(IF(ISERROR(VLOOKUP(R$134-$F190,$E$135:$E$165,1,FALSE)),0,Q58*$C$2),MAX((IF(Monthly!N$4=TRUE,Monthly!N$13,Monthly!N$14)*(1+'Attrition Modeling'!$N$8)-IFERROR(Q58/Q125,0)*12)/12*Q125,0))</f>
        <v>0</v>
      </c>
      <c r="S190" s="799">
        <f>MIN(IF(ISERROR(VLOOKUP(S$134-$F190,$E$135:$E$165,1,FALSE)),0,R58*$C$2),MAX((IF(Monthly!O$4=TRUE,Monthly!O$13,Monthly!O$14)*(1+'Attrition Modeling'!$N$8)-IFERROR(R58/R125,0)*12)/12*R125,0))</f>
        <v>0</v>
      </c>
      <c r="T190" s="799">
        <f>MIN(IF(ISERROR(VLOOKUP(T$134-$F190,$E$135:$E$165,1,FALSE)),0,S58*$C$2),MAX((IF(Monthly!P$4=TRUE,Monthly!P$13,Monthly!P$14)*(1+'Attrition Modeling'!$N$8)-IFERROR(S58/S125,0)*12)/12*S125,0))</f>
        <v>0</v>
      </c>
      <c r="U190" s="799">
        <f>MIN(IF(ISERROR(VLOOKUP(U$134-$F190,$E$135:$E$165,1,FALSE)),0,T58*$C$2),MAX((IF(Monthly!Q$4=TRUE,Monthly!Q$13,Monthly!Q$14)*(1+'Attrition Modeling'!$N$8)-IFERROR(T58/T125,0)*12)/12*T125,0))</f>
        <v>0</v>
      </c>
      <c r="V190" s="799">
        <f>MIN(IF(ISERROR(VLOOKUP(V$134-$F190,$E$135:$E$165,1,FALSE)),0,U58*$C$2),MAX((IF(Monthly!R$4=TRUE,Monthly!R$13,Monthly!R$14)*(1+'Attrition Modeling'!$N$8)-IFERROR(U58/U125,0)*12)/12*U125,0))</f>
        <v>0</v>
      </c>
      <c r="W190" s="799">
        <f>MIN(IF(ISERROR(VLOOKUP(W$134-$F190,$E$135:$E$165,1,FALSE)),0,V58*$C$2),MAX((IF(Monthly!S$4=TRUE,Monthly!S$13,Monthly!S$14)*(1+'Attrition Modeling'!$N$8)-IFERROR(V58/V125,0)*12)/12*V125,0))</f>
        <v>0</v>
      </c>
      <c r="X190" s="799">
        <f>MIN(IF(ISERROR(VLOOKUP(X$134-$F190,$E$135:$E$165,1,FALSE)),0,W58*$C$2),MAX((IF(Monthly!T$4=TRUE,Monthly!T$13,Monthly!T$14)*(1+'Attrition Modeling'!$N$8)-IFERROR(W58/W125,0)*12)/12*W125,0))</f>
        <v>0</v>
      </c>
      <c r="Y190" s="799">
        <f>MIN(IF(ISERROR(VLOOKUP(Y$134-$F190,$E$135:$E$165,1,FALSE)),0,X58*$C$2),MAX((IF(Monthly!U$4=TRUE,Monthly!U$13,Monthly!U$14)*(1+'Attrition Modeling'!$N$8)-IFERROR(X58/X125,0)*12)/12*X125,0))</f>
        <v>0</v>
      </c>
      <c r="Z190" s="799">
        <f>MIN(IF(ISERROR(VLOOKUP(Z$134-$F190,$E$135:$E$165,1,FALSE)),0,Y58*$C$2),MAX((IF(Monthly!V$4=TRUE,Monthly!V$13,Monthly!V$14)*(1+'Attrition Modeling'!$N$8)-IFERROR(Y58/Y125,0)*12)/12*Y125,0))</f>
        <v>0</v>
      </c>
      <c r="AA190" s="799">
        <f>MIN(IF(ISERROR(VLOOKUP(AA$134-$F190,$E$135:$E$165,1,FALSE)),0,Z58*$C$2),MAX((IF(Monthly!W$4=TRUE,Monthly!W$13,Monthly!W$14)*(1+'Attrition Modeling'!$N$8)-IFERROR(Z58/Z125,0)*12)/12*Z125,0))</f>
        <v>0</v>
      </c>
      <c r="AB190" s="799">
        <f>MIN(IF(ISERROR(VLOOKUP(AB$134-$F190,$E$135:$E$165,1,FALSE)),0,AA58*$C$2),MAX((IF(Monthly!X$4=TRUE,Monthly!X$13,Monthly!X$14)*(1+'Attrition Modeling'!$N$8)-IFERROR(AA58/AA125,0)*12)/12*AA125,0))</f>
        <v>0</v>
      </c>
      <c r="AC190" s="799">
        <f>MIN(IF(ISERROR(VLOOKUP(AC$134-$F190,$E$135:$E$165,1,FALSE)),0,AB58*$C$2),MAX((IF(Monthly!Y$4=TRUE,Monthly!Y$13,Monthly!Y$14)*(1+'Attrition Modeling'!$N$8)-IFERROR(AB58/AB125,0)*12)/12*AB125,0))</f>
        <v>0</v>
      </c>
      <c r="AD190" s="799">
        <f>MIN(IF(ISERROR(VLOOKUP(AD$134-$F190,$E$135:$E$165,1,FALSE)),0,AC58*$C$2),MAX((IF(Monthly!Z$4=TRUE,Monthly!Z$13,Monthly!Z$14)*(1+'Attrition Modeling'!$N$8)-IFERROR(AC58/AC125,0)*12)/12*AC125,0))</f>
        <v>0</v>
      </c>
      <c r="AE190" s="799">
        <f>MIN(IF(ISERROR(VLOOKUP(AE$134-$F190,$E$135:$E$165,1,FALSE)),0,AD58*$C$2),MAX((IF(Monthly!AA$4=TRUE,Monthly!AA$13,Monthly!AA$14)*(1+'Attrition Modeling'!$N$8)-IFERROR(AD58/AD125,0)*12)/12*AD125,0))</f>
        <v>0</v>
      </c>
      <c r="AF190" s="799">
        <f>MIN(IF(ISERROR(VLOOKUP(AF$134-$F190,$E$135:$E$165,1,FALSE)),0,AE58*$C$2),MAX((IF(Monthly!AB$4=TRUE,Monthly!AB$13,Monthly!AB$14)*(1+'Attrition Modeling'!$N$8)-IFERROR(AE58/AE125,0)*12)/12*AE125,0))</f>
        <v>0</v>
      </c>
      <c r="AG190" s="799">
        <f>MIN(IF(ISERROR(VLOOKUP(AG$134-$F190,$E$135:$E$165,1,FALSE)),0,AF58*$C$2),MAX((IF(Monthly!AC$4=TRUE,Monthly!AC$13,Monthly!AC$14)*(1+'Attrition Modeling'!$N$8)-IFERROR(AF58/AF125,0)*12)/12*AF125,0))</f>
        <v>0</v>
      </c>
      <c r="AH190" s="799">
        <f>MIN(IF(ISERROR(VLOOKUP(AH$134-$F190,$E$135:$E$165,1,FALSE)),0,AG58*$C$2),MAX((IF(Monthly!AD$4=TRUE,Monthly!AD$13,Monthly!AD$14)*(1+'Attrition Modeling'!$N$8)-IFERROR(AG58/AG125,0)*12)/12*AG125,0))</f>
        <v>0</v>
      </c>
      <c r="AI190" s="799">
        <f>MIN(IF(ISERROR(VLOOKUP(AI$134-$F190,$E$135:$E$165,1,FALSE)),0,AH58*$C$2),MAX((IF(Monthly!AE$4=TRUE,Monthly!AE$13,Monthly!AE$14)*(1+'Attrition Modeling'!$N$8)-IFERROR(AH58/AH125,0)*12)/12*AH125,0))</f>
        <v>0</v>
      </c>
      <c r="AJ190" s="799">
        <f>MIN(IF(ISERROR(VLOOKUP(AJ$134-$F190,$E$135:$E$165,1,FALSE)),0,AI58*$C$2),MAX((IF(Monthly!AF$4=TRUE,Monthly!AF$13,Monthly!AF$14)*(1+'Attrition Modeling'!$N$8)-IFERROR(AI58/AI125,0)*12)/12*AI125,0))</f>
        <v>0</v>
      </c>
      <c r="AK190" s="799">
        <f>MIN(IF(ISERROR(VLOOKUP(AK$134-$F190,$E$135:$E$165,1,FALSE)),0,AJ58*$C$2),MAX((IF(Monthly!AG$4=TRUE,Monthly!AG$13,Monthly!AG$14)*(1+'Attrition Modeling'!$N$8)-IFERROR(AJ58/AJ125,0)*12)/12*AJ125,0))</f>
        <v>0</v>
      </c>
      <c r="AL190" s="799">
        <f>MIN(IF(ISERROR(VLOOKUP(AL$134-$F190,$E$135:$E$165,1,FALSE)),0,AK58*$C$2),MAX((IF(Monthly!AH$4=TRUE,Monthly!AH$13,Monthly!AH$14)*(1+'Attrition Modeling'!$N$8)-IFERROR(AK58/AK125,0)*12)/12*AK125,0))</f>
        <v>0</v>
      </c>
      <c r="AM190" s="799">
        <f>MIN(IF(ISERROR(VLOOKUP(AM$134-$F190,$E$135:$E$165,1,FALSE)),0,AL58*$C$2),MAX((IF(Monthly!AI$4=TRUE,Monthly!AI$13,Monthly!AI$14)*(1+'Attrition Modeling'!$N$8)-IFERROR(AL58/AL125,0)*12)/12*AL125,0))</f>
        <v>0</v>
      </c>
      <c r="AN190" s="799">
        <f>MIN(IF(ISERROR(VLOOKUP(AN$134-$F190,$E$135:$E$165,1,FALSE)),0,AM58*$C$2),MAX((IF(Monthly!AJ$4=TRUE,Monthly!AJ$13,Monthly!AJ$14)*(1+'Attrition Modeling'!$N$8)-IFERROR(AM58/AM125,0)*12)/12*AM125,0))</f>
        <v>0</v>
      </c>
      <c r="AO190" s="799">
        <f>MIN(IF(ISERROR(VLOOKUP(AO$134-$F190,$E$135:$E$165,1,FALSE)),0,AN58*$C$2),MAX((IF(Monthly!AK$4=TRUE,Monthly!AK$13,Monthly!AK$14)*(1+'Attrition Modeling'!$N$8)-IFERROR(AN58/AN125,0)*12)/12*AN125,0))</f>
        <v>0</v>
      </c>
      <c r="AP190" s="799">
        <f>MIN(IF(ISERROR(VLOOKUP(AP$134-$F190,$E$135:$E$165,1,FALSE)),0,AO58*$C$2),MAX((IF(Monthly!AL$4=TRUE,Monthly!AL$13,Monthly!AL$14)*(1+'Attrition Modeling'!$N$8)-IFERROR(AO58/AO125,0)*12)/12*AO125,0))</f>
        <v>0</v>
      </c>
      <c r="AQ190" s="799">
        <f>MIN(IF(ISERROR(VLOOKUP(AQ$134-$F190,$E$135:$E$165,1,FALSE)),0,AP58*$C$2),MAX((IF(Monthly!AM$4=TRUE,Monthly!AM$13,Monthly!AM$14)*(1+'Attrition Modeling'!$N$8)-IFERROR(AP58/AP125,0)*12)/12*AP125,0))</f>
        <v>0</v>
      </c>
      <c r="AR190" s="799">
        <f>MIN(IF(ISERROR(VLOOKUP(AR$134-$F190,$E$135:$E$165,1,FALSE)),0,AQ58*$C$2),MAX((IF(Monthly!AN$4=TRUE,Monthly!AN$13,Monthly!AN$14)*(1+'Attrition Modeling'!$N$8)-IFERROR(AQ58/AQ125,0)*12)/12*AQ125,0))</f>
        <v>0</v>
      </c>
      <c r="AS190" s="799">
        <f>MIN(IF(ISERROR(VLOOKUP(AS$134-$F190,$E$135:$E$165,1,FALSE)),0,AR58*$C$2),MAX((IF(Monthly!AO$4=TRUE,Monthly!AO$13,Monthly!AO$14)*(1+'Attrition Modeling'!$N$8)-IFERROR(AR58/AR125,0)*12)/12*AR125,0))</f>
        <v>0</v>
      </c>
      <c r="AT190" s="799">
        <f>MIN(IF(ISERROR(VLOOKUP(AT$134-$F190,$E$135:$E$165,1,FALSE)),0,AS58*$C$2),MAX((IF(Monthly!AP$4=TRUE,Monthly!AP$13,Monthly!AP$14)*(1+'Attrition Modeling'!$N$8)-IFERROR(AS58/AS125,0)*12)/12*AS125,0))</f>
        <v>0</v>
      </c>
      <c r="AU190" s="799">
        <f>MIN(IF(ISERROR(VLOOKUP(AU$134-$F190,$E$135:$E$165,1,FALSE)),0,AT58*$C$2),MAX((IF(Monthly!AQ$4=TRUE,Monthly!AQ$13,Monthly!AQ$14)*(1+'Attrition Modeling'!$N$8)-IFERROR(AT58/AT125,0)*12)/12*AT125,0))</f>
        <v>0</v>
      </c>
      <c r="AV190" s="799">
        <f>MIN(IF(ISERROR(VLOOKUP(AV$134-$F190,$E$135:$E$165,1,FALSE)),0,AU58*$C$2),MAX((IF(Monthly!AR$4=TRUE,Monthly!AR$13,Monthly!AR$14)*(1+'Attrition Modeling'!$N$8)-IFERROR(AU58/AU125,0)*12)/12*AU125,0))</f>
        <v>0</v>
      </c>
      <c r="AW190" s="799">
        <f>MIN(IF(ISERROR(VLOOKUP(AW$134-$F190,$E$135:$E$165,1,FALSE)),0,AV58*$C$2),MAX((IF(Monthly!AS$4=TRUE,Monthly!AS$13,Monthly!AS$14)*(1+'Attrition Modeling'!$N$8)-IFERROR(AV58/AV125,0)*12)/12*AV125,0))</f>
        <v>0</v>
      </c>
      <c r="AX190" s="799">
        <f>MIN(IF(ISERROR(VLOOKUP(AX$134-$F190,$E$135:$E$165,1,FALSE)),0,AW58*$C$2),MAX((IF(Monthly!AT$4=TRUE,Monthly!AT$13,Monthly!AT$14)*(1+'Attrition Modeling'!$N$8)-IFERROR(AW58/AW125,0)*12)/12*AW125,0))</f>
        <v>0</v>
      </c>
      <c r="AY190" s="799">
        <f>MIN(IF(ISERROR(VLOOKUP(AY$134-$F190,$E$135:$E$165,1,FALSE)),0,AX58*$C$2),MAX((IF(Monthly!AU$4=TRUE,Monthly!AU$13,Monthly!AU$14)*(1+'Attrition Modeling'!$N$8)-IFERROR(AX58/AX125,0)*12)/12*AX125,0))</f>
        <v>0</v>
      </c>
      <c r="AZ190" s="799">
        <f>MIN(IF(ISERROR(VLOOKUP(AZ$134-$F190,$E$135:$E$165,1,FALSE)),0,AY58*$C$2),MAX((IF(Monthly!AV$4=TRUE,Monthly!AV$13,Monthly!AV$14)*(1+'Attrition Modeling'!$N$8)-IFERROR(AY58/AY125,0)*12)/12*AY125,0))</f>
        <v>0</v>
      </c>
      <c r="BA190" s="799">
        <f>MIN(IF(ISERROR(VLOOKUP(BA$134-$F190,$E$135:$E$165,1,FALSE)),0,AZ58*$C$2),MAX((IF(Monthly!AW$4=TRUE,Monthly!AW$13,Monthly!AW$14)*(1+'Attrition Modeling'!$N$8)-IFERROR(AZ58/AZ125,0)*12)/12*AZ125,0))</f>
        <v>0</v>
      </c>
      <c r="BB190" s="799">
        <f>MIN(IF(ISERROR(VLOOKUP(BB$134-$F190,$E$135:$E$165,1,FALSE)),0,BA58*$C$2),MAX((IF(Monthly!AX$4=TRUE,Monthly!AX$13,Monthly!AX$14)*(1+'Attrition Modeling'!$N$8)-IFERROR(BA58/BA125,0)*12)/12*BA125,0))</f>
        <v>0</v>
      </c>
      <c r="BC190" s="799">
        <f>MIN(IF(ISERROR(VLOOKUP(BC$134-$F190,$E$135:$E$165,1,FALSE)),0,BB58*$C$2),MAX((IF(Monthly!AY$4=TRUE,Monthly!AY$13,Monthly!AY$14)*(1+'Attrition Modeling'!$N$8)-IFERROR(BB58/BB125,0)*12)/12*BB125,0))</f>
        <v>0</v>
      </c>
      <c r="BD190" s="799">
        <f>MIN(IF(ISERROR(VLOOKUP(BD$134-$F190,$E$135:$E$165,1,FALSE)),0,BC58*$C$2),MAX((IF(Monthly!AZ$4=TRUE,Monthly!AZ$13,Monthly!AZ$14)*(1+'Attrition Modeling'!$N$8)-IFERROR(BC58/BC125,0)*12)/12*BC125,0))</f>
        <v>0</v>
      </c>
      <c r="BE190" s="799">
        <f>MIN(IF(ISERROR(VLOOKUP(BE$134-$F190,$E$135:$E$165,1,FALSE)),0,BD58*$C$2),MAX((IF(Monthly!BA$4=TRUE,Monthly!BA$13,Monthly!BA$14)*(1+'Attrition Modeling'!$N$8)-IFERROR(BD58/BD125,0)*12)/12*BD125,0))</f>
        <v>0</v>
      </c>
      <c r="BF190" s="799">
        <f>MIN(IF(ISERROR(VLOOKUP(BF$134-$F190,$E$135:$E$165,1,FALSE)),0,BE58*$C$2),MAX((IF(Monthly!BB$4=TRUE,Monthly!BB$13,Monthly!BB$14)*(1+'Attrition Modeling'!$N$8)-IFERROR(BE58/BE125,0)*12)/12*BE125,0))</f>
        <v>0</v>
      </c>
      <c r="BG190" s="799">
        <f>MIN(IF(ISERROR(VLOOKUP(BG$134-$F190,$E$135:$E$165,1,FALSE)),0,BF58*$C$2),MAX((IF(Monthly!BC$4=TRUE,Monthly!BC$13,Monthly!BC$14)*(1+'Attrition Modeling'!$N$8)-IFERROR(BF58/BF125,0)*12)/12*BF125,0))</f>
        <v>0</v>
      </c>
      <c r="BH190" s="799">
        <f>MIN(IF(ISERROR(VLOOKUP(BH$134-$F190,$E$135:$E$165,1,FALSE)),0,BG58*$C$2),MAX((IF(Monthly!BD$4=TRUE,Monthly!BD$13,Monthly!BD$14)*(1+'Attrition Modeling'!$N$8)-IFERROR(BG58/BG125,0)*12)/12*BG125,0))</f>
        <v>0</v>
      </c>
      <c r="BI190" s="799">
        <f>MIN(IF(ISERROR(VLOOKUP(BI$134-$F190,$E$135:$E$165,1,FALSE)),0,BH58*$C$2),MAX((IF(Monthly!BE$4=TRUE,Monthly!BE$13,Monthly!BE$14)*(1+'Attrition Modeling'!$N$8)-IFERROR(BH58/BH125,0)*12)/12*BH125,0))</f>
        <v>0</v>
      </c>
      <c r="BJ190" s="799">
        <f>MIN(IF(ISERROR(VLOOKUP(BJ$134-$F190,$E$135:$E$165,1,FALSE)),0,BI58*$C$2),MAX((IF(Monthly!BF$4=TRUE,Monthly!BF$13,Monthly!BF$14)*(1+'Attrition Modeling'!$N$8)-IFERROR(BI58/BI125,0)*12)/12*BI125,0))</f>
        <v>0</v>
      </c>
      <c r="BK190" s="799">
        <f>MIN(IF(ISERROR(VLOOKUP(BK$134-$F190,$E$135:$E$165,1,FALSE)),0,BJ58*$C$2),MAX((IF(Monthly!BG$4=TRUE,Monthly!BG$13,Monthly!BG$14)*(1+'Attrition Modeling'!$N$8)-IFERROR(BJ58/BJ125,0)*12)/12*BJ125,0))</f>
        <v>0</v>
      </c>
      <c r="BL190" s="799">
        <f>MIN(IF(ISERROR(VLOOKUP(BL$134-$F190,$E$135:$E$165,1,FALSE)),0,BK58*$C$2),MAX((IF(Monthly!BH$4=TRUE,Monthly!BH$13,Monthly!BH$14)*(1+'Attrition Modeling'!$N$8)-IFERROR(BK58/BK125,0)*12)/12*BK125,0))</f>
        <v>0</v>
      </c>
      <c r="BM190" s="799">
        <f>MIN(IF(ISERROR(VLOOKUP(BM$134-$F190,$E$135:$E$165,1,FALSE)),0,BL58*$C$2),MAX((IF(Monthly!BI$4=TRUE,Monthly!BI$13,Monthly!BI$14)*(1+'Attrition Modeling'!$N$8)-IFERROR(BL58/BL125,0)*12)/12*BL125,0))</f>
        <v>0</v>
      </c>
      <c r="BN190" s="799">
        <f>MIN(IF(ISERROR(VLOOKUP(BN$134-$F190,$E$135:$E$165,1,FALSE)),0,BM58*$C$2),MAX((IF(Monthly!BJ$4=TRUE,Monthly!BJ$13,Monthly!BJ$14)*(1+'Attrition Modeling'!$N$8)-IFERROR(BM58/BM125,0)*12)/12*BM125,0))</f>
        <v>0</v>
      </c>
      <c r="BO190" s="799">
        <f>MIN(IF(ISERROR(VLOOKUP(BO$134-$F190,$E$135:$E$165,1,FALSE)),0,BN58*$C$2),MAX((IF(Monthly!BK$4=TRUE,Monthly!BK$13,Monthly!BK$14)*(1+'Attrition Modeling'!$N$8)-IFERROR(BN58/BN125,0)*12)/12*BN125,0))</f>
        <v>0</v>
      </c>
      <c r="BP190" s="799">
        <f>MIN(IF(ISERROR(VLOOKUP(BP$134-$F190,$E$135:$E$165,1,FALSE)),0,BO58*$C$2),MAX((IF(Monthly!BP$4=TRUE,Monthly!BP$13,Monthly!BP$14)*(1+'Attrition Modeling'!$N$8)-IFERROR(BO58/BO125,0)*12)/12*BO125,0))</f>
        <v>0</v>
      </c>
      <c r="BQ190" s="799">
        <f>MIN(IF(ISERROR(VLOOKUP(BQ$134-$F190,$E$135:$E$165,1,FALSE)),0,BP58*$C$2),MAX((IF(Monthly!BQ$4=TRUE,Monthly!BQ$13,Monthly!BQ$14)*(1+'Attrition Modeling'!$N$8)-IFERROR(BP58/BP125,0)*12)/12*BP125,0))</f>
        <v>0</v>
      </c>
      <c r="BR190" s="799">
        <f>MIN(IF(ISERROR(VLOOKUP(BR$134-$F190,$E$135:$E$165,1,FALSE)),0,BQ58*$C$2),MAX((IF(Monthly!BR$4=TRUE,Monthly!BR$13,Monthly!BR$14)*(1+'Attrition Modeling'!$N$8)-IFERROR(BQ58/BQ125,0)*12)/12*BQ125,0))</f>
        <v>0</v>
      </c>
      <c r="BS190" s="799">
        <f>MIN(IF(ISERROR(VLOOKUP(BS$134-$F190,$E$135:$E$165,1,FALSE)),0,BR58*$C$2),MAX((IF(Monthly!BS$4=TRUE,Monthly!BS$13,Monthly!BS$14)*(1+'Attrition Modeling'!$N$8)-IFERROR(BR58/BR125,0)*12)/12*BR125,0))</f>
        <v>0</v>
      </c>
      <c r="BT190" s="799">
        <f>MIN(IF(ISERROR(VLOOKUP(BT$134-$F190,$E$135:$E$165,1,FALSE)),0,BS58*$C$2),MAX((IF(Monthly!BT$4=TRUE,Monthly!BT$13,Monthly!BT$14)*(1+'Attrition Modeling'!$N$8)-IFERROR(BS58/BS125,0)*12)/12*BS125,0))</f>
        <v>0</v>
      </c>
      <c r="BU190" s="799">
        <f>MIN(IF(ISERROR(VLOOKUP(BU$134-$F190,$E$135:$E$165,1,FALSE)),0,BT58*$C$2),MAX((IF(Monthly!BU$4=TRUE,Monthly!BU$13,Monthly!BU$14)*(1+'Attrition Modeling'!$N$8)-IFERROR(BT58/BT125,0)*12)/12*BT125,0))</f>
        <v>0</v>
      </c>
    </row>
    <row r="191" spans="5:73" ht="14.25" customHeight="1" x14ac:dyDescent="0.2">
      <c r="E191" s="25"/>
      <c r="F191" s="11">
        <f t="shared" si="14"/>
        <v>56</v>
      </c>
      <c r="G191" s="799"/>
      <c r="H191" s="799">
        <f>MIN(IF(ISERROR(VLOOKUP(H$134-$F191,$E$135:$E$165,1,FALSE)),0,G59*$C$2),MAX((IF(Monthly!D$4=TRUE,Monthly!D$13,Monthly!D$14)*(1+'Attrition Modeling'!$N$8)-IFERROR(G59/G126,0)*12)/12*G126,0))</f>
        <v>0</v>
      </c>
      <c r="I191" s="799">
        <f>MIN(IF(ISERROR(VLOOKUP(I$134-$F191,$E$135:$E$165,1,FALSE)),0,H59*$C$2),MAX((IF(Monthly!E$4=TRUE,Monthly!E$13,Monthly!E$14)*(1+'Attrition Modeling'!$N$8)-IFERROR(H59/H126,0)*12)/12*H126,0))</f>
        <v>0</v>
      </c>
      <c r="J191" s="799">
        <f>MIN(IF(ISERROR(VLOOKUP(J$134-$F191,$E$135:$E$165,1,FALSE)),0,I59*$C$2),MAX((IF(Monthly!F$4=TRUE,Monthly!F$13,Monthly!F$14)*(1+'Attrition Modeling'!$N$8)-IFERROR(I59/I126,0)*12)/12*I126,0))</f>
        <v>0</v>
      </c>
      <c r="K191" s="799">
        <f>MIN(IF(ISERROR(VLOOKUP(K$134-$F191,$E$135:$E$165,1,FALSE)),0,J59*$C$2),MAX((IF(Monthly!G$4=TRUE,Monthly!G$13,Monthly!G$14)*(1+'Attrition Modeling'!$N$8)-IFERROR(J59/J126,0)*12)/12*J126,0))</f>
        <v>0</v>
      </c>
      <c r="L191" s="799">
        <f>MIN(IF(ISERROR(VLOOKUP(L$134-$F191,$E$135:$E$165,1,FALSE)),0,K59*$C$2),MAX((IF(Monthly!H$4=TRUE,Monthly!H$13,Monthly!H$14)*(1+'Attrition Modeling'!$N$8)-IFERROR(K59/K126,0)*12)/12*K126,0))</f>
        <v>0</v>
      </c>
      <c r="M191" s="799">
        <f>MIN(IF(ISERROR(VLOOKUP(M$134-$F191,$E$135:$E$165,1,FALSE)),0,L59*$C$2),MAX((IF(Monthly!I$4=TRUE,Monthly!I$13,Monthly!I$14)*(1+'Attrition Modeling'!$N$8)-IFERROR(L59/L126,0)*12)/12*L126,0))</f>
        <v>0</v>
      </c>
      <c r="N191" s="799">
        <f>MIN(IF(ISERROR(VLOOKUP(N$134-$F191,$E$135:$E$165,1,FALSE)),0,M59*$C$2),MAX((IF(Monthly!J$4=TRUE,Monthly!J$13,Monthly!J$14)*(1+'Attrition Modeling'!$N$8)-IFERROR(M59/M126,0)*12)/12*M126,0))</f>
        <v>0</v>
      </c>
      <c r="O191" s="799">
        <f>MIN(IF(ISERROR(VLOOKUP(O$134-$F191,$E$135:$E$165,1,FALSE)),0,N59*$C$2),MAX((IF(Monthly!K$4=TRUE,Monthly!K$13,Monthly!K$14)*(1+'Attrition Modeling'!$N$8)-IFERROR(N59/N126,0)*12)/12*N126,0))</f>
        <v>0</v>
      </c>
      <c r="P191" s="799">
        <f>MIN(IF(ISERROR(VLOOKUP(P$134-$F191,$E$135:$E$165,1,FALSE)),0,O59*$C$2),MAX((IF(Monthly!L$4=TRUE,Monthly!L$13,Monthly!L$14)*(1+'Attrition Modeling'!$N$8)-IFERROR(O59/O126,0)*12)/12*O126,0))</f>
        <v>0</v>
      </c>
      <c r="Q191" s="799">
        <f>MIN(IF(ISERROR(VLOOKUP(Q$134-$F191,$E$135:$E$165,1,FALSE)),0,P59*$C$2),MAX((IF(Monthly!M$4=TRUE,Monthly!M$13,Monthly!M$14)*(1+'Attrition Modeling'!$N$8)-IFERROR(P59/P126,0)*12)/12*P126,0))</f>
        <v>0</v>
      </c>
      <c r="R191" s="799">
        <f>MIN(IF(ISERROR(VLOOKUP(R$134-$F191,$E$135:$E$165,1,FALSE)),0,Q59*$C$2),MAX((IF(Monthly!N$4=TRUE,Monthly!N$13,Monthly!N$14)*(1+'Attrition Modeling'!$N$8)-IFERROR(Q59/Q126,0)*12)/12*Q126,0))</f>
        <v>0</v>
      </c>
      <c r="S191" s="799">
        <f>MIN(IF(ISERROR(VLOOKUP(S$134-$F191,$E$135:$E$165,1,FALSE)),0,R59*$C$2),MAX((IF(Monthly!O$4=TRUE,Monthly!O$13,Monthly!O$14)*(1+'Attrition Modeling'!$N$8)-IFERROR(R59/R126,0)*12)/12*R126,0))</f>
        <v>0</v>
      </c>
      <c r="T191" s="799">
        <f>MIN(IF(ISERROR(VLOOKUP(T$134-$F191,$E$135:$E$165,1,FALSE)),0,S59*$C$2),MAX((IF(Monthly!P$4=TRUE,Monthly!P$13,Monthly!P$14)*(1+'Attrition Modeling'!$N$8)-IFERROR(S59/S126,0)*12)/12*S126,0))</f>
        <v>0</v>
      </c>
      <c r="U191" s="799">
        <f>MIN(IF(ISERROR(VLOOKUP(U$134-$F191,$E$135:$E$165,1,FALSE)),0,T59*$C$2),MAX((IF(Monthly!Q$4=TRUE,Monthly!Q$13,Monthly!Q$14)*(1+'Attrition Modeling'!$N$8)-IFERROR(T59/T126,0)*12)/12*T126,0))</f>
        <v>0</v>
      </c>
      <c r="V191" s="799">
        <f>MIN(IF(ISERROR(VLOOKUP(V$134-$F191,$E$135:$E$165,1,FALSE)),0,U59*$C$2),MAX((IF(Monthly!R$4=TRUE,Monthly!R$13,Monthly!R$14)*(1+'Attrition Modeling'!$N$8)-IFERROR(U59/U126,0)*12)/12*U126,0))</f>
        <v>0</v>
      </c>
      <c r="W191" s="799">
        <f>MIN(IF(ISERROR(VLOOKUP(W$134-$F191,$E$135:$E$165,1,FALSE)),0,V59*$C$2),MAX((IF(Monthly!S$4=TRUE,Monthly!S$13,Monthly!S$14)*(1+'Attrition Modeling'!$N$8)-IFERROR(V59/V126,0)*12)/12*V126,0))</f>
        <v>0</v>
      </c>
      <c r="X191" s="799">
        <f>MIN(IF(ISERROR(VLOOKUP(X$134-$F191,$E$135:$E$165,1,FALSE)),0,W59*$C$2),MAX((IF(Monthly!T$4=TRUE,Monthly!T$13,Monthly!T$14)*(1+'Attrition Modeling'!$N$8)-IFERROR(W59/W126,0)*12)/12*W126,0))</f>
        <v>0</v>
      </c>
      <c r="Y191" s="799">
        <f>MIN(IF(ISERROR(VLOOKUP(Y$134-$F191,$E$135:$E$165,1,FALSE)),0,X59*$C$2),MAX((IF(Monthly!U$4=TRUE,Monthly!U$13,Monthly!U$14)*(1+'Attrition Modeling'!$N$8)-IFERROR(X59/X126,0)*12)/12*X126,0))</f>
        <v>0</v>
      </c>
      <c r="Z191" s="799">
        <f>MIN(IF(ISERROR(VLOOKUP(Z$134-$F191,$E$135:$E$165,1,FALSE)),0,Y59*$C$2),MAX((IF(Monthly!V$4=TRUE,Monthly!V$13,Monthly!V$14)*(1+'Attrition Modeling'!$N$8)-IFERROR(Y59/Y126,0)*12)/12*Y126,0))</f>
        <v>0</v>
      </c>
      <c r="AA191" s="799">
        <f>MIN(IF(ISERROR(VLOOKUP(AA$134-$F191,$E$135:$E$165,1,FALSE)),0,Z59*$C$2),MAX((IF(Monthly!W$4=TRUE,Monthly!W$13,Monthly!W$14)*(1+'Attrition Modeling'!$N$8)-IFERROR(Z59/Z126,0)*12)/12*Z126,0))</f>
        <v>0</v>
      </c>
      <c r="AB191" s="799">
        <f>MIN(IF(ISERROR(VLOOKUP(AB$134-$F191,$E$135:$E$165,1,FALSE)),0,AA59*$C$2),MAX((IF(Monthly!X$4=TRUE,Monthly!X$13,Monthly!X$14)*(1+'Attrition Modeling'!$N$8)-IFERROR(AA59/AA126,0)*12)/12*AA126,0))</f>
        <v>0</v>
      </c>
      <c r="AC191" s="799">
        <f>MIN(IF(ISERROR(VLOOKUP(AC$134-$F191,$E$135:$E$165,1,FALSE)),0,AB59*$C$2),MAX((IF(Monthly!Y$4=TRUE,Monthly!Y$13,Monthly!Y$14)*(1+'Attrition Modeling'!$N$8)-IFERROR(AB59/AB126,0)*12)/12*AB126,0))</f>
        <v>0</v>
      </c>
      <c r="AD191" s="799">
        <f>MIN(IF(ISERROR(VLOOKUP(AD$134-$F191,$E$135:$E$165,1,FALSE)),0,AC59*$C$2),MAX((IF(Monthly!Z$4=TRUE,Monthly!Z$13,Monthly!Z$14)*(1+'Attrition Modeling'!$N$8)-IFERROR(AC59/AC126,0)*12)/12*AC126,0))</f>
        <v>0</v>
      </c>
      <c r="AE191" s="799">
        <f>MIN(IF(ISERROR(VLOOKUP(AE$134-$F191,$E$135:$E$165,1,FALSE)),0,AD59*$C$2),MAX((IF(Monthly!AA$4=TRUE,Monthly!AA$13,Monthly!AA$14)*(1+'Attrition Modeling'!$N$8)-IFERROR(AD59/AD126,0)*12)/12*AD126,0))</f>
        <v>0</v>
      </c>
      <c r="AF191" s="799">
        <f>MIN(IF(ISERROR(VLOOKUP(AF$134-$F191,$E$135:$E$165,1,FALSE)),0,AE59*$C$2),MAX((IF(Monthly!AB$4=TRUE,Monthly!AB$13,Monthly!AB$14)*(1+'Attrition Modeling'!$N$8)-IFERROR(AE59/AE126,0)*12)/12*AE126,0))</f>
        <v>0</v>
      </c>
      <c r="AG191" s="799">
        <f>MIN(IF(ISERROR(VLOOKUP(AG$134-$F191,$E$135:$E$165,1,FALSE)),0,AF59*$C$2),MAX((IF(Monthly!AC$4=TRUE,Monthly!AC$13,Monthly!AC$14)*(1+'Attrition Modeling'!$N$8)-IFERROR(AF59/AF126,0)*12)/12*AF126,0))</f>
        <v>0</v>
      </c>
      <c r="AH191" s="799">
        <f>MIN(IF(ISERROR(VLOOKUP(AH$134-$F191,$E$135:$E$165,1,FALSE)),0,AG59*$C$2),MAX((IF(Monthly!AD$4=TRUE,Monthly!AD$13,Monthly!AD$14)*(1+'Attrition Modeling'!$N$8)-IFERROR(AG59/AG126,0)*12)/12*AG126,0))</f>
        <v>0</v>
      </c>
      <c r="AI191" s="799">
        <f>MIN(IF(ISERROR(VLOOKUP(AI$134-$F191,$E$135:$E$165,1,FALSE)),0,AH59*$C$2),MAX((IF(Monthly!AE$4=TRUE,Monthly!AE$13,Monthly!AE$14)*(1+'Attrition Modeling'!$N$8)-IFERROR(AH59/AH126,0)*12)/12*AH126,0))</f>
        <v>0</v>
      </c>
      <c r="AJ191" s="799">
        <f>MIN(IF(ISERROR(VLOOKUP(AJ$134-$F191,$E$135:$E$165,1,FALSE)),0,AI59*$C$2),MAX((IF(Monthly!AF$4=TRUE,Monthly!AF$13,Monthly!AF$14)*(1+'Attrition Modeling'!$N$8)-IFERROR(AI59/AI126,0)*12)/12*AI126,0))</f>
        <v>0</v>
      </c>
      <c r="AK191" s="799">
        <f>MIN(IF(ISERROR(VLOOKUP(AK$134-$F191,$E$135:$E$165,1,FALSE)),0,AJ59*$C$2),MAX((IF(Monthly!AG$4=TRUE,Monthly!AG$13,Monthly!AG$14)*(1+'Attrition Modeling'!$N$8)-IFERROR(AJ59/AJ126,0)*12)/12*AJ126,0))</f>
        <v>0</v>
      </c>
      <c r="AL191" s="799">
        <f>MIN(IF(ISERROR(VLOOKUP(AL$134-$F191,$E$135:$E$165,1,FALSE)),0,AK59*$C$2),MAX((IF(Monthly!AH$4=TRUE,Monthly!AH$13,Monthly!AH$14)*(1+'Attrition Modeling'!$N$8)-IFERROR(AK59/AK126,0)*12)/12*AK126,0))</f>
        <v>0</v>
      </c>
      <c r="AM191" s="799">
        <f>MIN(IF(ISERROR(VLOOKUP(AM$134-$F191,$E$135:$E$165,1,FALSE)),0,AL59*$C$2),MAX((IF(Monthly!AI$4=TRUE,Monthly!AI$13,Monthly!AI$14)*(1+'Attrition Modeling'!$N$8)-IFERROR(AL59/AL126,0)*12)/12*AL126,0))</f>
        <v>0</v>
      </c>
      <c r="AN191" s="799">
        <f>MIN(IF(ISERROR(VLOOKUP(AN$134-$F191,$E$135:$E$165,1,FALSE)),0,AM59*$C$2),MAX((IF(Monthly!AJ$4=TRUE,Monthly!AJ$13,Monthly!AJ$14)*(1+'Attrition Modeling'!$N$8)-IFERROR(AM59/AM126,0)*12)/12*AM126,0))</f>
        <v>0</v>
      </c>
      <c r="AO191" s="799">
        <f>MIN(IF(ISERROR(VLOOKUP(AO$134-$F191,$E$135:$E$165,1,FALSE)),0,AN59*$C$2),MAX((IF(Monthly!AK$4=TRUE,Monthly!AK$13,Monthly!AK$14)*(1+'Attrition Modeling'!$N$8)-IFERROR(AN59/AN126,0)*12)/12*AN126,0))</f>
        <v>0</v>
      </c>
      <c r="AP191" s="799">
        <f>MIN(IF(ISERROR(VLOOKUP(AP$134-$F191,$E$135:$E$165,1,FALSE)),0,AO59*$C$2),MAX((IF(Monthly!AL$4=TRUE,Monthly!AL$13,Monthly!AL$14)*(1+'Attrition Modeling'!$N$8)-IFERROR(AO59/AO126,0)*12)/12*AO126,0))</f>
        <v>0</v>
      </c>
      <c r="AQ191" s="799">
        <f>MIN(IF(ISERROR(VLOOKUP(AQ$134-$F191,$E$135:$E$165,1,FALSE)),0,AP59*$C$2),MAX((IF(Monthly!AM$4=TRUE,Monthly!AM$13,Monthly!AM$14)*(1+'Attrition Modeling'!$N$8)-IFERROR(AP59/AP126,0)*12)/12*AP126,0))</f>
        <v>0</v>
      </c>
      <c r="AR191" s="799">
        <f>MIN(IF(ISERROR(VLOOKUP(AR$134-$F191,$E$135:$E$165,1,FALSE)),0,AQ59*$C$2),MAX((IF(Monthly!AN$4=TRUE,Monthly!AN$13,Monthly!AN$14)*(1+'Attrition Modeling'!$N$8)-IFERROR(AQ59/AQ126,0)*12)/12*AQ126,0))</f>
        <v>0</v>
      </c>
      <c r="AS191" s="799">
        <f>MIN(IF(ISERROR(VLOOKUP(AS$134-$F191,$E$135:$E$165,1,FALSE)),0,AR59*$C$2),MAX((IF(Monthly!AO$4=TRUE,Monthly!AO$13,Monthly!AO$14)*(1+'Attrition Modeling'!$N$8)-IFERROR(AR59/AR126,0)*12)/12*AR126,0))</f>
        <v>0</v>
      </c>
      <c r="AT191" s="799">
        <f>MIN(IF(ISERROR(VLOOKUP(AT$134-$F191,$E$135:$E$165,1,FALSE)),0,AS59*$C$2),MAX((IF(Monthly!AP$4=TRUE,Monthly!AP$13,Monthly!AP$14)*(1+'Attrition Modeling'!$N$8)-IFERROR(AS59/AS126,0)*12)/12*AS126,0))</f>
        <v>0</v>
      </c>
      <c r="AU191" s="799">
        <f>MIN(IF(ISERROR(VLOOKUP(AU$134-$F191,$E$135:$E$165,1,FALSE)),0,AT59*$C$2),MAX((IF(Monthly!AQ$4=TRUE,Monthly!AQ$13,Monthly!AQ$14)*(1+'Attrition Modeling'!$N$8)-IFERROR(AT59/AT126,0)*12)/12*AT126,0))</f>
        <v>0</v>
      </c>
      <c r="AV191" s="799">
        <f>MIN(IF(ISERROR(VLOOKUP(AV$134-$F191,$E$135:$E$165,1,FALSE)),0,AU59*$C$2),MAX((IF(Monthly!AR$4=TRUE,Monthly!AR$13,Monthly!AR$14)*(1+'Attrition Modeling'!$N$8)-IFERROR(AU59/AU126,0)*12)/12*AU126,0))</f>
        <v>0</v>
      </c>
      <c r="AW191" s="799">
        <f>MIN(IF(ISERROR(VLOOKUP(AW$134-$F191,$E$135:$E$165,1,FALSE)),0,AV59*$C$2),MAX((IF(Monthly!AS$4=TRUE,Monthly!AS$13,Monthly!AS$14)*(1+'Attrition Modeling'!$N$8)-IFERROR(AV59/AV126,0)*12)/12*AV126,0))</f>
        <v>0</v>
      </c>
      <c r="AX191" s="799">
        <f>MIN(IF(ISERROR(VLOOKUP(AX$134-$F191,$E$135:$E$165,1,FALSE)),0,AW59*$C$2),MAX((IF(Monthly!AT$4=TRUE,Monthly!AT$13,Monthly!AT$14)*(1+'Attrition Modeling'!$N$8)-IFERROR(AW59/AW126,0)*12)/12*AW126,0))</f>
        <v>0</v>
      </c>
      <c r="AY191" s="799">
        <f>MIN(IF(ISERROR(VLOOKUP(AY$134-$F191,$E$135:$E$165,1,FALSE)),0,AX59*$C$2),MAX((IF(Monthly!AU$4=TRUE,Monthly!AU$13,Monthly!AU$14)*(1+'Attrition Modeling'!$N$8)-IFERROR(AX59/AX126,0)*12)/12*AX126,0))</f>
        <v>0</v>
      </c>
      <c r="AZ191" s="799">
        <f>MIN(IF(ISERROR(VLOOKUP(AZ$134-$F191,$E$135:$E$165,1,FALSE)),0,AY59*$C$2),MAX((IF(Monthly!AV$4=TRUE,Monthly!AV$13,Monthly!AV$14)*(1+'Attrition Modeling'!$N$8)-IFERROR(AY59/AY126,0)*12)/12*AY126,0))</f>
        <v>0</v>
      </c>
      <c r="BA191" s="799">
        <f>MIN(IF(ISERROR(VLOOKUP(BA$134-$F191,$E$135:$E$165,1,FALSE)),0,AZ59*$C$2),MAX((IF(Monthly!AW$4=TRUE,Monthly!AW$13,Monthly!AW$14)*(1+'Attrition Modeling'!$N$8)-IFERROR(AZ59/AZ126,0)*12)/12*AZ126,0))</f>
        <v>0</v>
      </c>
      <c r="BB191" s="799">
        <f>MIN(IF(ISERROR(VLOOKUP(BB$134-$F191,$E$135:$E$165,1,FALSE)),0,BA59*$C$2),MAX((IF(Monthly!AX$4=TRUE,Monthly!AX$13,Monthly!AX$14)*(1+'Attrition Modeling'!$N$8)-IFERROR(BA59/BA126,0)*12)/12*BA126,0))</f>
        <v>0</v>
      </c>
      <c r="BC191" s="799">
        <f>MIN(IF(ISERROR(VLOOKUP(BC$134-$F191,$E$135:$E$165,1,FALSE)),0,BB59*$C$2),MAX((IF(Monthly!AY$4=TRUE,Monthly!AY$13,Monthly!AY$14)*(1+'Attrition Modeling'!$N$8)-IFERROR(BB59/BB126,0)*12)/12*BB126,0))</f>
        <v>0</v>
      </c>
      <c r="BD191" s="799">
        <f>MIN(IF(ISERROR(VLOOKUP(BD$134-$F191,$E$135:$E$165,1,FALSE)),0,BC59*$C$2),MAX((IF(Monthly!AZ$4=TRUE,Monthly!AZ$13,Monthly!AZ$14)*(1+'Attrition Modeling'!$N$8)-IFERROR(BC59/BC126,0)*12)/12*BC126,0))</f>
        <v>0</v>
      </c>
      <c r="BE191" s="799">
        <f>MIN(IF(ISERROR(VLOOKUP(BE$134-$F191,$E$135:$E$165,1,FALSE)),0,BD59*$C$2),MAX((IF(Monthly!BA$4=TRUE,Monthly!BA$13,Monthly!BA$14)*(1+'Attrition Modeling'!$N$8)-IFERROR(BD59/BD126,0)*12)/12*BD126,0))</f>
        <v>0</v>
      </c>
      <c r="BF191" s="799">
        <f>MIN(IF(ISERROR(VLOOKUP(BF$134-$F191,$E$135:$E$165,1,FALSE)),0,BE59*$C$2),MAX((IF(Monthly!BB$4=TRUE,Monthly!BB$13,Monthly!BB$14)*(1+'Attrition Modeling'!$N$8)-IFERROR(BE59/BE126,0)*12)/12*BE126,0))</f>
        <v>0</v>
      </c>
      <c r="BG191" s="799">
        <f>MIN(IF(ISERROR(VLOOKUP(BG$134-$F191,$E$135:$E$165,1,FALSE)),0,BF59*$C$2),MAX((IF(Monthly!BC$4=TRUE,Monthly!BC$13,Monthly!BC$14)*(1+'Attrition Modeling'!$N$8)-IFERROR(BF59/BF126,0)*12)/12*BF126,0))</f>
        <v>0</v>
      </c>
      <c r="BH191" s="799">
        <f>MIN(IF(ISERROR(VLOOKUP(BH$134-$F191,$E$135:$E$165,1,FALSE)),0,BG59*$C$2),MAX((IF(Monthly!BD$4=TRUE,Monthly!BD$13,Monthly!BD$14)*(1+'Attrition Modeling'!$N$8)-IFERROR(BG59/BG126,0)*12)/12*BG126,0))</f>
        <v>0</v>
      </c>
      <c r="BI191" s="799">
        <f>MIN(IF(ISERROR(VLOOKUP(BI$134-$F191,$E$135:$E$165,1,FALSE)),0,BH59*$C$2),MAX((IF(Monthly!BE$4=TRUE,Monthly!BE$13,Monthly!BE$14)*(1+'Attrition Modeling'!$N$8)-IFERROR(BH59/BH126,0)*12)/12*BH126,0))</f>
        <v>0</v>
      </c>
      <c r="BJ191" s="799">
        <f>MIN(IF(ISERROR(VLOOKUP(BJ$134-$F191,$E$135:$E$165,1,FALSE)),0,BI59*$C$2),MAX((IF(Monthly!BF$4=TRUE,Monthly!BF$13,Monthly!BF$14)*(1+'Attrition Modeling'!$N$8)-IFERROR(BI59/BI126,0)*12)/12*BI126,0))</f>
        <v>0</v>
      </c>
      <c r="BK191" s="799">
        <f>MIN(IF(ISERROR(VLOOKUP(BK$134-$F191,$E$135:$E$165,1,FALSE)),0,BJ59*$C$2),MAX((IF(Monthly!BG$4=TRUE,Monthly!BG$13,Monthly!BG$14)*(1+'Attrition Modeling'!$N$8)-IFERROR(BJ59/BJ126,0)*12)/12*BJ126,0))</f>
        <v>0</v>
      </c>
      <c r="BL191" s="799">
        <f>MIN(IF(ISERROR(VLOOKUP(BL$134-$F191,$E$135:$E$165,1,FALSE)),0,BK59*$C$2),MAX((IF(Monthly!BH$4=TRUE,Monthly!BH$13,Monthly!BH$14)*(1+'Attrition Modeling'!$N$8)-IFERROR(BK59/BK126,0)*12)/12*BK126,0))</f>
        <v>0</v>
      </c>
      <c r="BM191" s="799">
        <f>MIN(IF(ISERROR(VLOOKUP(BM$134-$F191,$E$135:$E$165,1,FALSE)),0,BL59*$C$2),MAX((IF(Monthly!BI$4=TRUE,Monthly!BI$13,Monthly!BI$14)*(1+'Attrition Modeling'!$N$8)-IFERROR(BL59/BL126,0)*12)/12*BL126,0))</f>
        <v>0</v>
      </c>
      <c r="BN191" s="799">
        <f>MIN(IF(ISERROR(VLOOKUP(BN$134-$F191,$E$135:$E$165,1,FALSE)),0,BM59*$C$2),MAX((IF(Monthly!BJ$4=TRUE,Monthly!BJ$13,Monthly!BJ$14)*(1+'Attrition Modeling'!$N$8)-IFERROR(BM59/BM126,0)*12)/12*BM126,0))</f>
        <v>0</v>
      </c>
      <c r="BO191" s="799">
        <f>MIN(IF(ISERROR(VLOOKUP(BO$134-$F191,$E$135:$E$165,1,FALSE)),0,BN59*$C$2),MAX((IF(Monthly!BK$4=TRUE,Monthly!BK$13,Monthly!BK$14)*(1+'Attrition Modeling'!$N$8)-IFERROR(BN59/BN126,0)*12)/12*BN126,0))</f>
        <v>0</v>
      </c>
      <c r="BP191" s="799">
        <f>MIN(IF(ISERROR(VLOOKUP(BP$134-$F191,$E$135:$E$165,1,FALSE)),0,BO59*$C$2),MAX((IF(Monthly!BP$4=TRUE,Monthly!BP$13,Monthly!BP$14)*(1+'Attrition Modeling'!$N$8)-IFERROR(BO59/BO126,0)*12)/12*BO126,0))</f>
        <v>0</v>
      </c>
      <c r="BQ191" s="799">
        <f>MIN(IF(ISERROR(VLOOKUP(BQ$134-$F191,$E$135:$E$165,1,FALSE)),0,BP59*$C$2),MAX((IF(Monthly!BQ$4=TRUE,Monthly!BQ$13,Monthly!BQ$14)*(1+'Attrition Modeling'!$N$8)-IFERROR(BP59/BP126,0)*12)/12*BP126,0))</f>
        <v>597.87431128429353</v>
      </c>
      <c r="BR191" s="799">
        <f>MIN(IF(ISERROR(VLOOKUP(BR$134-$F191,$E$135:$E$165,1,FALSE)),0,BQ59*$C$2),MAX((IF(Monthly!BR$4=TRUE,Monthly!BR$13,Monthly!BR$14)*(1+'Attrition Modeling'!$N$8)-IFERROR(BQ59/BQ126,0)*12)/12*BQ126,0))</f>
        <v>0</v>
      </c>
      <c r="BS191" s="799">
        <f>MIN(IF(ISERROR(VLOOKUP(BS$134-$F191,$E$135:$E$165,1,FALSE)),0,BR59*$C$2),MAX((IF(Monthly!BS$4=TRUE,Monthly!BS$13,Monthly!BS$14)*(1+'Attrition Modeling'!$N$8)-IFERROR(BR59/BR126,0)*12)/12*BR126,0))</f>
        <v>0</v>
      </c>
      <c r="BT191" s="799">
        <f>MIN(IF(ISERROR(VLOOKUP(BT$134-$F191,$E$135:$E$165,1,FALSE)),0,BS59*$C$2),MAX((IF(Monthly!BT$4=TRUE,Monthly!BT$13,Monthly!BT$14)*(1+'Attrition Modeling'!$N$8)-IFERROR(BS59/BS126,0)*12)/12*BS126,0))</f>
        <v>0</v>
      </c>
      <c r="BU191" s="799">
        <f>MIN(IF(ISERROR(VLOOKUP(BU$134-$F191,$E$135:$E$165,1,FALSE)),0,BT59*$C$2),MAX((IF(Monthly!BU$4=TRUE,Monthly!BU$13,Monthly!BU$14)*(1+'Attrition Modeling'!$N$8)-IFERROR(BT59/BT126,0)*12)/12*BT126,0))</f>
        <v>0</v>
      </c>
    </row>
    <row r="192" spans="5:73" ht="14.25" customHeight="1" x14ac:dyDescent="0.2">
      <c r="E192" s="25"/>
      <c r="F192" s="11">
        <f t="shared" si="14"/>
        <v>57</v>
      </c>
      <c r="G192" s="799"/>
      <c r="H192" s="799">
        <f>MIN(IF(ISERROR(VLOOKUP(H$134-$F192,$E$135:$E$165,1,FALSE)),0,G60*$C$2),MAX((IF(Monthly!D$4=TRUE,Monthly!D$13,Monthly!D$14)*(1+'Attrition Modeling'!$N$8)-IFERROR(G60/G127,0)*12)/12*G127,0))</f>
        <v>0</v>
      </c>
      <c r="I192" s="799">
        <f>MIN(IF(ISERROR(VLOOKUP(I$134-$F192,$E$135:$E$165,1,FALSE)),0,H60*$C$2),MAX((IF(Monthly!E$4=TRUE,Monthly!E$13,Monthly!E$14)*(1+'Attrition Modeling'!$N$8)-IFERROR(H60/H127,0)*12)/12*H127,0))</f>
        <v>0</v>
      </c>
      <c r="J192" s="799">
        <f>MIN(IF(ISERROR(VLOOKUP(J$134-$F192,$E$135:$E$165,1,FALSE)),0,I60*$C$2),MAX((IF(Monthly!F$4=TRUE,Monthly!F$13,Monthly!F$14)*(1+'Attrition Modeling'!$N$8)-IFERROR(I60/I127,0)*12)/12*I127,0))</f>
        <v>0</v>
      </c>
      <c r="K192" s="799">
        <f>MIN(IF(ISERROR(VLOOKUP(K$134-$F192,$E$135:$E$165,1,FALSE)),0,J60*$C$2),MAX((IF(Monthly!G$4=TRUE,Monthly!G$13,Monthly!G$14)*(1+'Attrition Modeling'!$N$8)-IFERROR(J60/J127,0)*12)/12*J127,0))</f>
        <v>0</v>
      </c>
      <c r="L192" s="799">
        <f>MIN(IF(ISERROR(VLOOKUP(L$134-$F192,$E$135:$E$165,1,FALSE)),0,K60*$C$2),MAX((IF(Monthly!H$4=TRUE,Monthly!H$13,Monthly!H$14)*(1+'Attrition Modeling'!$N$8)-IFERROR(K60/K127,0)*12)/12*K127,0))</f>
        <v>0</v>
      </c>
      <c r="M192" s="799">
        <f>MIN(IF(ISERROR(VLOOKUP(M$134-$F192,$E$135:$E$165,1,FALSE)),0,L60*$C$2),MAX((IF(Monthly!I$4=TRUE,Monthly!I$13,Monthly!I$14)*(1+'Attrition Modeling'!$N$8)-IFERROR(L60/L127,0)*12)/12*L127,0))</f>
        <v>0</v>
      </c>
      <c r="N192" s="799">
        <f>MIN(IF(ISERROR(VLOOKUP(N$134-$F192,$E$135:$E$165,1,FALSE)),0,M60*$C$2),MAX((IF(Monthly!J$4=TRUE,Monthly!J$13,Monthly!J$14)*(1+'Attrition Modeling'!$N$8)-IFERROR(M60/M127,0)*12)/12*M127,0))</f>
        <v>0</v>
      </c>
      <c r="O192" s="799">
        <f>MIN(IF(ISERROR(VLOOKUP(O$134-$F192,$E$135:$E$165,1,FALSE)),0,N60*$C$2),MAX((IF(Monthly!K$4=TRUE,Monthly!K$13,Monthly!K$14)*(1+'Attrition Modeling'!$N$8)-IFERROR(N60/N127,0)*12)/12*N127,0))</f>
        <v>0</v>
      </c>
      <c r="P192" s="799">
        <f>MIN(IF(ISERROR(VLOOKUP(P$134-$F192,$E$135:$E$165,1,FALSE)),0,O60*$C$2),MAX((IF(Monthly!L$4=TRUE,Monthly!L$13,Monthly!L$14)*(1+'Attrition Modeling'!$N$8)-IFERROR(O60/O127,0)*12)/12*O127,0))</f>
        <v>0</v>
      </c>
      <c r="Q192" s="799">
        <f>MIN(IF(ISERROR(VLOOKUP(Q$134-$F192,$E$135:$E$165,1,FALSE)),0,P60*$C$2),MAX((IF(Monthly!M$4=TRUE,Monthly!M$13,Monthly!M$14)*(1+'Attrition Modeling'!$N$8)-IFERROR(P60/P127,0)*12)/12*P127,0))</f>
        <v>0</v>
      </c>
      <c r="R192" s="799">
        <f>MIN(IF(ISERROR(VLOOKUP(R$134-$F192,$E$135:$E$165,1,FALSE)),0,Q60*$C$2),MAX((IF(Monthly!N$4=TRUE,Monthly!N$13,Monthly!N$14)*(1+'Attrition Modeling'!$N$8)-IFERROR(Q60/Q127,0)*12)/12*Q127,0))</f>
        <v>0</v>
      </c>
      <c r="S192" s="799">
        <f>MIN(IF(ISERROR(VLOOKUP(S$134-$F192,$E$135:$E$165,1,FALSE)),0,R60*$C$2),MAX((IF(Monthly!O$4=TRUE,Monthly!O$13,Monthly!O$14)*(1+'Attrition Modeling'!$N$8)-IFERROR(R60/R127,0)*12)/12*R127,0))</f>
        <v>0</v>
      </c>
      <c r="T192" s="799">
        <f>MIN(IF(ISERROR(VLOOKUP(T$134-$F192,$E$135:$E$165,1,FALSE)),0,S60*$C$2),MAX((IF(Monthly!P$4=TRUE,Monthly!P$13,Monthly!P$14)*(1+'Attrition Modeling'!$N$8)-IFERROR(S60/S127,0)*12)/12*S127,0))</f>
        <v>0</v>
      </c>
      <c r="U192" s="799">
        <f>MIN(IF(ISERROR(VLOOKUP(U$134-$F192,$E$135:$E$165,1,FALSE)),0,T60*$C$2),MAX((IF(Monthly!Q$4=TRUE,Monthly!Q$13,Monthly!Q$14)*(1+'Attrition Modeling'!$N$8)-IFERROR(T60/T127,0)*12)/12*T127,0))</f>
        <v>0</v>
      </c>
      <c r="V192" s="799">
        <f>MIN(IF(ISERROR(VLOOKUP(V$134-$F192,$E$135:$E$165,1,FALSE)),0,U60*$C$2),MAX((IF(Monthly!R$4=TRUE,Monthly!R$13,Monthly!R$14)*(1+'Attrition Modeling'!$N$8)-IFERROR(U60/U127,0)*12)/12*U127,0))</f>
        <v>0</v>
      </c>
      <c r="W192" s="799">
        <f>MIN(IF(ISERROR(VLOOKUP(W$134-$F192,$E$135:$E$165,1,FALSE)),0,V60*$C$2),MAX((IF(Monthly!S$4=TRUE,Monthly!S$13,Monthly!S$14)*(1+'Attrition Modeling'!$N$8)-IFERROR(V60/V127,0)*12)/12*V127,0))</f>
        <v>0</v>
      </c>
      <c r="X192" s="799">
        <f>MIN(IF(ISERROR(VLOOKUP(X$134-$F192,$E$135:$E$165,1,FALSE)),0,W60*$C$2),MAX((IF(Monthly!T$4=TRUE,Monthly!T$13,Monthly!T$14)*(1+'Attrition Modeling'!$N$8)-IFERROR(W60/W127,0)*12)/12*W127,0))</f>
        <v>0</v>
      </c>
      <c r="Y192" s="799">
        <f>MIN(IF(ISERROR(VLOOKUP(Y$134-$F192,$E$135:$E$165,1,FALSE)),0,X60*$C$2),MAX((IF(Monthly!U$4=TRUE,Monthly!U$13,Monthly!U$14)*(1+'Attrition Modeling'!$N$8)-IFERROR(X60/X127,0)*12)/12*X127,0))</f>
        <v>0</v>
      </c>
      <c r="Z192" s="799">
        <f>MIN(IF(ISERROR(VLOOKUP(Z$134-$F192,$E$135:$E$165,1,FALSE)),0,Y60*$C$2),MAX((IF(Monthly!V$4=TRUE,Monthly!V$13,Monthly!V$14)*(1+'Attrition Modeling'!$N$8)-IFERROR(Y60/Y127,0)*12)/12*Y127,0))</f>
        <v>0</v>
      </c>
      <c r="AA192" s="799">
        <f>MIN(IF(ISERROR(VLOOKUP(AA$134-$F192,$E$135:$E$165,1,FALSE)),0,Z60*$C$2),MAX((IF(Monthly!W$4=TRUE,Monthly!W$13,Monthly!W$14)*(1+'Attrition Modeling'!$N$8)-IFERROR(Z60/Z127,0)*12)/12*Z127,0))</f>
        <v>0</v>
      </c>
      <c r="AB192" s="799">
        <f>MIN(IF(ISERROR(VLOOKUP(AB$134-$F192,$E$135:$E$165,1,FALSE)),0,AA60*$C$2),MAX((IF(Monthly!X$4=TRUE,Monthly!X$13,Monthly!X$14)*(1+'Attrition Modeling'!$N$8)-IFERROR(AA60/AA127,0)*12)/12*AA127,0))</f>
        <v>0</v>
      </c>
      <c r="AC192" s="799">
        <f>MIN(IF(ISERROR(VLOOKUP(AC$134-$F192,$E$135:$E$165,1,FALSE)),0,AB60*$C$2),MAX((IF(Monthly!Y$4=TRUE,Monthly!Y$13,Monthly!Y$14)*(1+'Attrition Modeling'!$N$8)-IFERROR(AB60/AB127,0)*12)/12*AB127,0))</f>
        <v>0</v>
      </c>
      <c r="AD192" s="799">
        <f>MIN(IF(ISERROR(VLOOKUP(AD$134-$F192,$E$135:$E$165,1,FALSE)),0,AC60*$C$2),MAX((IF(Monthly!Z$4=TRUE,Monthly!Z$13,Monthly!Z$14)*(1+'Attrition Modeling'!$N$8)-IFERROR(AC60/AC127,0)*12)/12*AC127,0))</f>
        <v>0</v>
      </c>
      <c r="AE192" s="799">
        <f>MIN(IF(ISERROR(VLOOKUP(AE$134-$F192,$E$135:$E$165,1,FALSE)),0,AD60*$C$2),MAX((IF(Monthly!AA$4=TRUE,Monthly!AA$13,Monthly!AA$14)*(1+'Attrition Modeling'!$N$8)-IFERROR(AD60/AD127,0)*12)/12*AD127,0))</f>
        <v>0</v>
      </c>
      <c r="AF192" s="799">
        <f>MIN(IF(ISERROR(VLOOKUP(AF$134-$F192,$E$135:$E$165,1,FALSE)),0,AE60*$C$2),MAX((IF(Monthly!AB$4=TRUE,Monthly!AB$13,Monthly!AB$14)*(1+'Attrition Modeling'!$N$8)-IFERROR(AE60/AE127,0)*12)/12*AE127,0))</f>
        <v>0</v>
      </c>
      <c r="AG192" s="799">
        <f>MIN(IF(ISERROR(VLOOKUP(AG$134-$F192,$E$135:$E$165,1,FALSE)),0,AF60*$C$2),MAX((IF(Monthly!AC$4=TRUE,Monthly!AC$13,Monthly!AC$14)*(1+'Attrition Modeling'!$N$8)-IFERROR(AF60/AF127,0)*12)/12*AF127,0))</f>
        <v>0</v>
      </c>
      <c r="AH192" s="799">
        <f>MIN(IF(ISERROR(VLOOKUP(AH$134-$F192,$E$135:$E$165,1,FALSE)),0,AG60*$C$2),MAX((IF(Monthly!AD$4=TRUE,Monthly!AD$13,Monthly!AD$14)*(1+'Attrition Modeling'!$N$8)-IFERROR(AG60/AG127,0)*12)/12*AG127,0))</f>
        <v>0</v>
      </c>
      <c r="AI192" s="799">
        <f>MIN(IF(ISERROR(VLOOKUP(AI$134-$F192,$E$135:$E$165,1,FALSE)),0,AH60*$C$2),MAX((IF(Monthly!AE$4=TRUE,Monthly!AE$13,Monthly!AE$14)*(1+'Attrition Modeling'!$N$8)-IFERROR(AH60/AH127,0)*12)/12*AH127,0))</f>
        <v>0</v>
      </c>
      <c r="AJ192" s="799">
        <f>MIN(IF(ISERROR(VLOOKUP(AJ$134-$F192,$E$135:$E$165,1,FALSE)),0,AI60*$C$2),MAX((IF(Monthly!AF$4=TRUE,Monthly!AF$13,Monthly!AF$14)*(1+'Attrition Modeling'!$N$8)-IFERROR(AI60/AI127,0)*12)/12*AI127,0))</f>
        <v>0</v>
      </c>
      <c r="AK192" s="799">
        <f>MIN(IF(ISERROR(VLOOKUP(AK$134-$F192,$E$135:$E$165,1,FALSE)),0,AJ60*$C$2),MAX((IF(Monthly!AG$4=TRUE,Monthly!AG$13,Monthly!AG$14)*(1+'Attrition Modeling'!$N$8)-IFERROR(AJ60/AJ127,0)*12)/12*AJ127,0))</f>
        <v>0</v>
      </c>
      <c r="AL192" s="799">
        <f>MIN(IF(ISERROR(VLOOKUP(AL$134-$F192,$E$135:$E$165,1,FALSE)),0,AK60*$C$2),MAX((IF(Monthly!AH$4=TRUE,Monthly!AH$13,Monthly!AH$14)*(1+'Attrition Modeling'!$N$8)-IFERROR(AK60/AK127,0)*12)/12*AK127,0))</f>
        <v>0</v>
      </c>
      <c r="AM192" s="799">
        <f>MIN(IF(ISERROR(VLOOKUP(AM$134-$F192,$E$135:$E$165,1,FALSE)),0,AL60*$C$2),MAX((IF(Monthly!AI$4=TRUE,Monthly!AI$13,Monthly!AI$14)*(1+'Attrition Modeling'!$N$8)-IFERROR(AL60/AL127,0)*12)/12*AL127,0))</f>
        <v>0</v>
      </c>
      <c r="AN192" s="799">
        <f>MIN(IF(ISERROR(VLOOKUP(AN$134-$F192,$E$135:$E$165,1,FALSE)),0,AM60*$C$2),MAX((IF(Monthly!AJ$4=TRUE,Monthly!AJ$13,Monthly!AJ$14)*(1+'Attrition Modeling'!$N$8)-IFERROR(AM60/AM127,0)*12)/12*AM127,0))</f>
        <v>0</v>
      </c>
      <c r="AO192" s="799">
        <f>MIN(IF(ISERROR(VLOOKUP(AO$134-$F192,$E$135:$E$165,1,FALSE)),0,AN60*$C$2),MAX((IF(Monthly!AK$4=TRUE,Monthly!AK$13,Monthly!AK$14)*(1+'Attrition Modeling'!$N$8)-IFERROR(AN60/AN127,0)*12)/12*AN127,0))</f>
        <v>0</v>
      </c>
      <c r="AP192" s="799">
        <f>MIN(IF(ISERROR(VLOOKUP(AP$134-$F192,$E$135:$E$165,1,FALSE)),0,AO60*$C$2),MAX((IF(Monthly!AL$4=TRUE,Monthly!AL$13,Monthly!AL$14)*(1+'Attrition Modeling'!$N$8)-IFERROR(AO60/AO127,0)*12)/12*AO127,0))</f>
        <v>0</v>
      </c>
      <c r="AQ192" s="799">
        <f>MIN(IF(ISERROR(VLOOKUP(AQ$134-$F192,$E$135:$E$165,1,FALSE)),0,AP60*$C$2),MAX((IF(Monthly!AM$4=TRUE,Monthly!AM$13,Monthly!AM$14)*(1+'Attrition Modeling'!$N$8)-IFERROR(AP60/AP127,0)*12)/12*AP127,0))</f>
        <v>0</v>
      </c>
      <c r="AR192" s="799">
        <f>MIN(IF(ISERROR(VLOOKUP(AR$134-$F192,$E$135:$E$165,1,FALSE)),0,AQ60*$C$2),MAX((IF(Monthly!AN$4=TRUE,Monthly!AN$13,Monthly!AN$14)*(1+'Attrition Modeling'!$N$8)-IFERROR(AQ60/AQ127,0)*12)/12*AQ127,0))</f>
        <v>0</v>
      </c>
      <c r="AS192" s="799">
        <f>MIN(IF(ISERROR(VLOOKUP(AS$134-$F192,$E$135:$E$165,1,FALSE)),0,AR60*$C$2),MAX((IF(Monthly!AO$4=TRUE,Monthly!AO$13,Monthly!AO$14)*(1+'Attrition Modeling'!$N$8)-IFERROR(AR60/AR127,0)*12)/12*AR127,0))</f>
        <v>0</v>
      </c>
      <c r="AT192" s="799">
        <f>MIN(IF(ISERROR(VLOOKUP(AT$134-$F192,$E$135:$E$165,1,FALSE)),0,AS60*$C$2),MAX((IF(Monthly!AP$4=TRUE,Monthly!AP$13,Monthly!AP$14)*(1+'Attrition Modeling'!$N$8)-IFERROR(AS60/AS127,0)*12)/12*AS127,0))</f>
        <v>0</v>
      </c>
      <c r="AU192" s="799">
        <f>MIN(IF(ISERROR(VLOOKUP(AU$134-$F192,$E$135:$E$165,1,FALSE)),0,AT60*$C$2),MAX((IF(Monthly!AQ$4=TRUE,Monthly!AQ$13,Monthly!AQ$14)*(1+'Attrition Modeling'!$N$8)-IFERROR(AT60/AT127,0)*12)/12*AT127,0))</f>
        <v>0</v>
      </c>
      <c r="AV192" s="799">
        <f>MIN(IF(ISERROR(VLOOKUP(AV$134-$F192,$E$135:$E$165,1,FALSE)),0,AU60*$C$2),MAX((IF(Monthly!AR$4=TRUE,Monthly!AR$13,Monthly!AR$14)*(1+'Attrition Modeling'!$N$8)-IFERROR(AU60/AU127,0)*12)/12*AU127,0))</f>
        <v>0</v>
      </c>
      <c r="AW192" s="799">
        <f>MIN(IF(ISERROR(VLOOKUP(AW$134-$F192,$E$135:$E$165,1,FALSE)),0,AV60*$C$2),MAX((IF(Monthly!AS$4=TRUE,Monthly!AS$13,Monthly!AS$14)*(1+'Attrition Modeling'!$N$8)-IFERROR(AV60/AV127,0)*12)/12*AV127,0))</f>
        <v>0</v>
      </c>
      <c r="AX192" s="799">
        <f>MIN(IF(ISERROR(VLOOKUP(AX$134-$F192,$E$135:$E$165,1,FALSE)),0,AW60*$C$2),MAX((IF(Monthly!AT$4=TRUE,Monthly!AT$13,Monthly!AT$14)*(1+'Attrition Modeling'!$N$8)-IFERROR(AW60/AW127,0)*12)/12*AW127,0))</f>
        <v>0</v>
      </c>
      <c r="AY192" s="799">
        <f>MIN(IF(ISERROR(VLOOKUP(AY$134-$F192,$E$135:$E$165,1,FALSE)),0,AX60*$C$2),MAX((IF(Monthly!AU$4=TRUE,Monthly!AU$13,Monthly!AU$14)*(1+'Attrition Modeling'!$N$8)-IFERROR(AX60/AX127,0)*12)/12*AX127,0))</f>
        <v>0</v>
      </c>
      <c r="AZ192" s="799">
        <f>MIN(IF(ISERROR(VLOOKUP(AZ$134-$F192,$E$135:$E$165,1,FALSE)),0,AY60*$C$2),MAX((IF(Monthly!AV$4=TRUE,Monthly!AV$13,Monthly!AV$14)*(1+'Attrition Modeling'!$N$8)-IFERROR(AY60/AY127,0)*12)/12*AY127,0))</f>
        <v>0</v>
      </c>
      <c r="BA192" s="799">
        <f>MIN(IF(ISERROR(VLOOKUP(BA$134-$F192,$E$135:$E$165,1,FALSE)),0,AZ60*$C$2),MAX((IF(Monthly!AW$4=TRUE,Monthly!AW$13,Monthly!AW$14)*(1+'Attrition Modeling'!$N$8)-IFERROR(AZ60/AZ127,0)*12)/12*AZ127,0))</f>
        <v>0</v>
      </c>
      <c r="BB192" s="799">
        <f>MIN(IF(ISERROR(VLOOKUP(BB$134-$F192,$E$135:$E$165,1,FALSE)),0,BA60*$C$2),MAX((IF(Monthly!AX$4=TRUE,Monthly!AX$13,Monthly!AX$14)*(1+'Attrition Modeling'!$N$8)-IFERROR(BA60/BA127,0)*12)/12*BA127,0))</f>
        <v>0</v>
      </c>
      <c r="BC192" s="799">
        <f>MIN(IF(ISERROR(VLOOKUP(BC$134-$F192,$E$135:$E$165,1,FALSE)),0,BB60*$C$2),MAX((IF(Monthly!AY$4=TRUE,Monthly!AY$13,Monthly!AY$14)*(1+'Attrition Modeling'!$N$8)-IFERROR(BB60/BB127,0)*12)/12*BB127,0))</f>
        <v>0</v>
      </c>
      <c r="BD192" s="799">
        <f>MIN(IF(ISERROR(VLOOKUP(BD$134-$F192,$E$135:$E$165,1,FALSE)),0,BC60*$C$2),MAX((IF(Monthly!AZ$4=TRUE,Monthly!AZ$13,Monthly!AZ$14)*(1+'Attrition Modeling'!$N$8)-IFERROR(BC60/BC127,0)*12)/12*BC127,0))</f>
        <v>0</v>
      </c>
      <c r="BE192" s="799">
        <f>MIN(IF(ISERROR(VLOOKUP(BE$134-$F192,$E$135:$E$165,1,FALSE)),0,BD60*$C$2),MAX((IF(Monthly!BA$4=TRUE,Monthly!BA$13,Monthly!BA$14)*(1+'Attrition Modeling'!$N$8)-IFERROR(BD60/BD127,0)*12)/12*BD127,0))</f>
        <v>0</v>
      </c>
      <c r="BF192" s="799">
        <f>MIN(IF(ISERROR(VLOOKUP(BF$134-$F192,$E$135:$E$165,1,FALSE)),0,BE60*$C$2),MAX((IF(Monthly!BB$4=TRUE,Monthly!BB$13,Monthly!BB$14)*(1+'Attrition Modeling'!$N$8)-IFERROR(BE60/BE127,0)*12)/12*BE127,0))</f>
        <v>0</v>
      </c>
      <c r="BG192" s="799">
        <f>MIN(IF(ISERROR(VLOOKUP(BG$134-$F192,$E$135:$E$165,1,FALSE)),0,BF60*$C$2),MAX((IF(Monthly!BC$4=TRUE,Monthly!BC$13,Monthly!BC$14)*(1+'Attrition Modeling'!$N$8)-IFERROR(BF60/BF127,0)*12)/12*BF127,0))</f>
        <v>0</v>
      </c>
      <c r="BH192" s="799">
        <f>MIN(IF(ISERROR(VLOOKUP(BH$134-$F192,$E$135:$E$165,1,FALSE)),0,BG60*$C$2),MAX((IF(Monthly!BD$4=TRUE,Monthly!BD$13,Monthly!BD$14)*(1+'Attrition Modeling'!$N$8)-IFERROR(BG60/BG127,0)*12)/12*BG127,0))</f>
        <v>0</v>
      </c>
      <c r="BI192" s="799">
        <f>MIN(IF(ISERROR(VLOOKUP(BI$134-$F192,$E$135:$E$165,1,FALSE)),0,BH60*$C$2),MAX((IF(Monthly!BE$4=TRUE,Monthly!BE$13,Monthly!BE$14)*(1+'Attrition Modeling'!$N$8)-IFERROR(BH60/BH127,0)*12)/12*BH127,0))</f>
        <v>0</v>
      </c>
      <c r="BJ192" s="799">
        <f>MIN(IF(ISERROR(VLOOKUP(BJ$134-$F192,$E$135:$E$165,1,FALSE)),0,BI60*$C$2),MAX((IF(Monthly!BF$4=TRUE,Monthly!BF$13,Monthly!BF$14)*(1+'Attrition Modeling'!$N$8)-IFERROR(BI60/BI127,0)*12)/12*BI127,0))</f>
        <v>0</v>
      </c>
      <c r="BK192" s="799">
        <f>MIN(IF(ISERROR(VLOOKUP(BK$134-$F192,$E$135:$E$165,1,FALSE)),0,BJ60*$C$2),MAX((IF(Monthly!BG$4=TRUE,Monthly!BG$13,Monthly!BG$14)*(1+'Attrition Modeling'!$N$8)-IFERROR(BJ60/BJ127,0)*12)/12*BJ127,0))</f>
        <v>0</v>
      </c>
      <c r="BL192" s="799">
        <f>MIN(IF(ISERROR(VLOOKUP(BL$134-$F192,$E$135:$E$165,1,FALSE)),0,BK60*$C$2),MAX((IF(Monthly!BH$4=TRUE,Monthly!BH$13,Monthly!BH$14)*(1+'Attrition Modeling'!$N$8)-IFERROR(BK60/BK127,0)*12)/12*BK127,0))</f>
        <v>0</v>
      </c>
      <c r="BM192" s="799">
        <f>MIN(IF(ISERROR(VLOOKUP(BM$134-$F192,$E$135:$E$165,1,FALSE)),0,BL60*$C$2),MAX((IF(Monthly!BI$4=TRUE,Monthly!BI$13,Monthly!BI$14)*(1+'Attrition Modeling'!$N$8)-IFERROR(BL60/BL127,0)*12)/12*BL127,0))</f>
        <v>0</v>
      </c>
      <c r="BN192" s="799">
        <f>MIN(IF(ISERROR(VLOOKUP(BN$134-$F192,$E$135:$E$165,1,FALSE)),0,BM60*$C$2),MAX((IF(Monthly!BJ$4=TRUE,Monthly!BJ$13,Monthly!BJ$14)*(1+'Attrition Modeling'!$N$8)-IFERROR(BM60/BM127,0)*12)/12*BM127,0))</f>
        <v>0</v>
      </c>
      <c r="BO192" s="799">
        <f>MIN(IF(ISERROR(VLOOKUP(BO$134-$F192,$E$135:$E$165,1,FALSE)),0,BN60*$C$2),MAX((IF(Monthly!BK$4=TRUE,Monthly!BK$13,Monthly!BK$14)*(1+'Attrition Modeling'!$N$8)-IFERROR(BN60/BN127,0)*12)/12*BN127,0))</f>
        <v>0</v>
      </c>
      <c r="BP192" s="799">
        <f>MIN(IF(ISERROR(VLOOKUP(BP$134-$F192,$E$135:$E$165,1,FALSE)),0,BO60*$C$2),MAX((IF(Monthly!BP$4=TRUE,Monthly!BP$13,Monthly!BP$14)*(1+'Attrition Modeling'!$N$8)-IFERROR(BO60/BO127,0)*12)/12*BO127,0))</f>
        <v>0</v>
      </c>
      <c r="BQ192" s="799">
        <f>MIN(IF(ISERROR(VLOOKUP(BQ$134-$F192,$E$135:$E$165,1,FALSE)),0,BP60*$C$2),MAX((IF(Monthly!BQ$4=TRUE,Monthly!BQ$13,Monthly!BQ$14)*(1+'Attrition Modeling'!$N$8)-IFERROR(BP60/BP127,0)*12)/12*BP127,0))</f>
        <v>0</v>
      </c>
      <c r="BR192" s="799">
        <f>MIN(IF(ISERROR(VLOOKUP(BR$134-$F192,$E$135:$E$165,1,FALSE)),0,BQ60*$C$2),MAX((IF(Monthly!BR$4=TRUE,Monthly!BR$13,Monthly!BR$14)*(1+'Attrition Modeling'!$N$8)-IFERROR(BQ60/BQ127,0)*12)/12*BQ127,0))</f>
        <v>586.75230274309774</v>
      </c>
      <c r="BS192" s="799">
        <f>MIN(IF(ISERROR(VLOOKUP(BS$134-$F192,$E$135:$E$165,1,FALSE)),0,BR60*$C$2),MAX((IF(Monthly!BS$4=TRUE,Monthly!BS$13,Monthly!BS$14)*(1+'Attrition Modeling'!$N$8)-IFERROR(BR60/BR127,0)*12)/12*BR127,0))</f>
        <v>0</v>
      </c>
      <c r="BT192" s="799">
        <f>MIN(IF(ISERROR(VLOOKUP(BT$134-$F192,$E$135:$E$165,1,FALSE)),0,BS60*$C$2),MAX((IF(Monthly!BT$4=TRUE,Monthly!BT$13,Monthly!BT$14)*(1+'Attrition Modeling'!$N$8)-IFERROR(BS60/BS127,0)*12)/12*BS127,0))</f>
        <v>0</v>
      </c>
      <c r="BU192" s="799">
        <f>MIN(IF(ISERROR(VLOOKUP(BU$134-$F192,$E$135:$E$165,1,FALSE)),0,BT60*$C$2),MAX((IF(Monthly!BU$4=TRUE,Monthly!BU$13,Monthly!BU$14)*(1+'Attrition Modeling'!$N$8)-IFERROR(BT60/BT127,0)*12)/12*BT127,0))</f>
        <v>0</v>
      </c>
    </row>
    <row r="193" spans="5:73" ht="14.25" customHeight="1" x14ac:dyDescent="0.2">
      <c r="E193" s="25"/>
      <c r="F193" s="11">
        <f t="shared" si="14"/>
        <v>58</v>
      </c>
      <c r="G193" s="799"/>
      <c r="H193" s="799">
        <f>MIN(IF(ISERROR(VLOOKUP(H$134-$F193,$E$135:$E$165,1,FALSE)),0,G61*$C$2),MAX((IF(Monthly!D$4=TRUE,Monthly!D$13,Monthly!D$14)*(1+'Attrition Modeling'!$N$8)-IFERROR(G61/G128,0)*12)/12*G128,0))</f>
        <v>0</v>
      </c>
      <c r="I193" s="799">
        <f>MIN(IF(ISERROR(VLOOKUP(I$134-$F193,$E$135:$E$165,1,FALSE)),0,H61*$C$2),MAX((IF(Monthly!E$4=TRUE,Monthly!E$13,Monthly!E$14)*(1+'Attrition Modeling'!$N$8)-IFERROR(H61/H128,0)*12)/12*H128,0))</f>
        <v>0</v>
      </c>
      <c r="J193" s="799">
        <f>MIN(IF(ISERROR(VLOOKUP(J$134-$F193,$E$135:$E$165,1,FALSE)),0,I61*$C$2),MAX((IF(Monthly!F$4=TRUE,Monthly!F$13,Monthly!F$14)*(1+'Attrition Modeling'!$N$8)-IFERROR(I61/I128,0)*12)/12*I128,0))</f>
        <v>0</v>
      </c>
      <c r="K193" s="799">
        <f>MIN(IF(ISERROR(VLOOKUP(K$134-$F193,$E$135:$E$165,1,FALSE)),0,J61*$C$2),MAX((IF(Monthly!G$4=TRUE,Monthly!G$13,Monthly!G$14)*(1+'Attrition Modeling'!$N$8)-IFERROR(J61/J128,0)*12)/12*J128,0))</f>
        <v>0</v>
      </c>
      <c r="L193" s="799">
        <f>MIN(IF(ISERROR(VLOOKUP(L$134-$F193,$E$135:$E$165,1,FALSE)),0,K61*$C$2),MAX((IF(Monthly!H$4=TRUE,Monthly!H$13,Monthly!H$14)*(1+'Attrition Modeling'!$N$8)-IFERROR(K61/K128,0)*12)/12*K128,0))</f>
        <v>0</v>
      </c>
      <c r="M193" s="799">
        <f>MIN(IF(ISERROR(VLOOKUP(M$134-$F193,$E$135:$E$165,1,FALSE)),0,L61*$C$2),MAX((IF(Monthly!I$4=TRUE,Monthly!I$13,Monthly!I$14)*(1+'Attrition Modeling'!$N$8)-IFERROR(L61/L128,0)*12)/12*L128,0))</f>
        <v>0</v>
      </c>
      <c r="N193" s="799">
        <f>MIN(IF(ISERROR(VLOOKUP(N$134-$F193,$E$135:$E$165,1,FALSE)),0,M61*$C$2),MAX((IF(Monthly!J$4=TRUE,Monthly!J$13,Monthly!J$14)*(1+'Attrition Modeling'!$N$8)-IFERROR(M61/M128,0)*12)/12*M128,0))</f>
        <v>0</v>
      </c>
      <c r="O193" s="799">
        <f>MIN(IF(ISERROR(VLOOKUP(O$134-$F193,$E$135:$E$165,1,FALSE)),0,N61*$C$2),MAX((IF(Monthly!K$4=TRUE,Monthly!K$13,Monthly!K$14)*(1+'Attrition Modeling'!$N$8)-IFERROR(N61/N128,0)*12)/12*N128,0))</f>
        <v>0</v>
      </c>
      <c r="P193" s="799">
        <f>MIN(IF(ISERROR(VLOOKUP(P$134-$F193,$E$135:$E$165,1,FALSE)),0,O61*$C$2),MAX((IF(Monthly!L$4=TRUE,Monthly!L$13,Monthly!L$14)*(1+'Attrition Modeling'!$N$8)-IFERROR(O61/O128,0)*12)/12*O128,0))</f>
        <v>0</v>
      </c>
      <c r="Q193" s="799">
        <f>MIN(IF(ISERROR(VLOOKUP(Q$134-$F193,$E$135:$E$165,1,FALSE)),0,P61*$C$2),MAX((IF(Monthly!M$4=TRUE,Monthly!M$13,Monthly!M$14)*(1+'Attrition Modeling'!$N$8)-IFERROR(P61/P128,0)*12)/12*P128,0))</f>
        <v>0</v>
      </c>
      <c r="R193" s="799">
        <f>MIN(IF(ISERROR(VLOOKUP(R$134-$F193,$E$135:$E$165,1,FALSE)),0,Q61*$C$2),MAX((IF(Monthly!N$4=TRUE,Monthly!N$13,Monthly!N$14)*(1+'Attrition Modeling'!$N$8)-IFERROR(Q61/Q128,0)*12)/12*Q128,0))</f>
        <v>0</v>
      </c>
      <c r="S193" s="799">
        <f>MIN(IF(ISERROR(VLOOKUP(S$134-$F193,$E$135:$E$165,1,FALSE)),0,R61*$C$2),MAX((IF(Monthly!O$4=TRUE,Monthly!O$13,Monthly!O$14)*(1+'Attrition Modeling'!$N$8)-IFERROR(R61/R128,0)*12)/12*R128,0))</f>
        <v>0</v>
      </c>
      <c r="T193" s="799">
        <f>MIN(IF(ISERROR(VLOOKUP(T$134-$F193,$E$135:$E$165,1,FALSE)),0,S61*$C$2),MAX((IF(Monthly!P$4=TRUE,Monthly!P$13,Monthly!P$14)*(1+'Attrition Modeling'!$N$8)-IFERROR(S61/S128,0)*12)/12*S128,0))</f>
        <v>0</v>
      </c>
      <c r="U193" s="799">
        <f>MIN(IF(ISERROR(VLOOKUP(U$134-$F193,$E$135:$E$165,1,FALSE)),0,T61*$C$2),MAX((IF(Monthly!Q$4=TRUE,Monthly!Q$13,Monthly!Q$14)*(1+'Attrition Modeling'!$N$8)-IFERROR(T61/T128,0)*12)/12*T128,0))</f>
        <v>0</v>
      </c>
      <c r="V193" s="799">
        <f>MIN(IF(ISERROR(VLOOKUP(V$134-$F193,$E$135:$E$165,1,FALSE)),0,U61*$C$2),MAX((IF(Monthly!R$4=TRUE,Monthly!R$13,Monthly!R$14)*(1+'Attrition Modeling'!$N$8)-IFERROR(U61/U128,0)*12)/12*U128,0))</f>
        <v>0</v>
      </c>
      <c r="W193" s="799">
        <f>MIN(IF(ISERROR(VLOOKUP(W$134-$F193,$E$135:$E$165,1,FALSE)),0,V61*$C$2),MAX((IF(Monthly!S$4=TRUE,Monthly!S$13,Monthly!S$14)*(1+'Attrition Modeling'!$N$8)-IFERROR(V61/V128,0)*12)/12*V128,0))</f>
        <v>0</v>
      </c>
      <c r="X193" s="799">
        <f>MIN(IF(ISERROR(VLOOKUP(X$134-$F193,$E$135:$E$165,1,FALSE)),0,W61*$C$2),MAX((IF(Monthly!T$4=TRUE,Monthly!T$13,Monthly!T$14)*(1+'Attrition Modeling'!$N$8)-IFERROR(W61/W128,0)*12)/12*W128,0))</f>
        <v>0</v>
      </c>
      <c r="Y193" s="799">
        <f>MIN(IF(ISERROR(VLOOKUP(Y$134-$F193,$E$135:$E$165,1,FALSE)),0,X61*$C$2),MAX((IF(Monthly!U$4=TRUE,Monthly!U$13,Monthly!U$14)*(1+'Attrition Modeling'!$N$8)-IFERROR(X61/X128,0)*12)/12*X128,0))</f>
        <v>0</v>
      </c>
      <c r="Z193" s="799">
        <f>MIN(IF(ISERROR(VLOOKUP(Z$134-$F193,$E$135:$E$165,1,FALSE)),0,Y61*$C$2),MAX((IF(Monthly!V$4=TRUE,Monthly!V$13,Monthly!V$14)*(1+'Attrition Modeling'!$N$8)-IFERROR(Y61/Y128,0)*12)/12*Y128,0))</f>
        <v>0</v>
      </c>
      <c r="AA193" s="799">
        <f>MIN(IF(ISERROR(VLOOKUP(AA$134-$F193,$E$135:$E$165,1,FALSE)),0,Z61*$C$2),MAX((IF(Monthly!W$4=TRUE,Monthly!W$13,Monthly!W$14)*(1+'Attrition Modeling'!$N$8)-IFERROR(Z61/Z128,0)*12)/12*Z128,0))</f>
        <v>0</v>
      </c>
      <c r="AB193" s="799">
        <f>MIN(IF(ISERROR(VLOOKUP(AB$134-$F193,$E$135:$E$165,1,FALSE)),0,AA61*$C$2),MAX((IF(Monthly!X$4=TRUE,Monthly!X$13,Monthly!X$14)*(1+'Attrition Modeling'!$N$8)-IFERROR(AA61/AA128,0)*12)/12*AA128,0))</f>
        <v>0</v>
      </c>
      <c r="AC193" s="799">
        <f>MIN(IF(ISERROR(VLOOKUP(AC$134-$F193,$E$135:$E$165,1,FALSE)),0,AB61*$C$2),MAX((IF(Monthly!Y$4=TRUE,Monthly!Y$13,Monthly!Y$14)*(1+'Attrition Modeling'!$N$8)-IFERROR(AB61/AB128,0)*12)/12*AB128,0))</f>
        <v>0</v>
      </c>
      <c r="AD193" s="799">
        <f>MIN(IF(ISERROR(VLOOKUP(AD$134-$F193,$E$135:$E$165,1,FALSE)),0,AC61*$C$2),MAX((IF(Monthly!Z$4=TRUE,Monthly!Z$13,Monthly!Z$14)*(1+'Attrition Modeling'!$N$8)-IFERROR(AC61/AC128,0)*12)/12*AC128,0))</f>
        <v>0</v>
      </c>
      <c r="AE193" s="799">
        <f>MIN(IF(ISERROR(VLOOKUP(AE$134-$F193,$E$135:$E$165,1,FALSE)),0,AD61*$C$2),MAX((IF(Monthly!AA$4=TRUE,Monthly!AA$13,Monthly!AA$14)*(1+'Attrition Modeling'!$N$8)-IFERROR(AD61/AD128,0)*12)/12*AD128,0))</f>
        <v>0</v>
      </c>
      <c r="AF193" s="799">
        <f>MIN(IF(ISERROR(VLOOKUP(AF$134-$F193,$E$135:$E$165,1,FALSE)),0,AE61*$C$2),MAX((IF(Monthly!AB$4=TRUE,Monthly!AB$13,Monthly!AB$14)*(1+'Attrition Modeling'!$N$8)-IFERROR(AE61/AE128,0)*12)/12*AE128,0))</f>
        <v>0</v>
      </c>
      <c r="AG193" s="799">
        <f>MIN(IF(ISERROR(VLOOKUP(AG$134-$F193,$E$135:$E$165,1,FALSE)),0,AF61*$C$2),MAX((IF(Monthly!AC$4=TRUE,Monthly!AC$13,Monthly!AC$14)*(1+'Attrition Modeling'!$N$8)-IFERROR(AF61/AF128,0)*12)/12*AF128,0))</f>
        <v>0</v>
      </c>
      <c r="AH193" s="799">
        <f>MIN(IF(ISERROR(VLOOKUP(AH$134-$F193,$E$135:$E$165,1,FALSE)),0,AG61*$C$2),MAX((IF(Monthly!AD$4=TRUE,Monthly!AD$13,Monthly!AD$14)*(1+'Attrition Modeling'!$N$8)-IFERROR(AG61/AG128,0)*12)/12*AG128,0))</f>
        <v>0</v>
      </c>
      <c r="AI193" s="799">
        <f>MIN(IF(ISERROR(VLOOKUP(AI$134-$F193,$E$135:$E$165,1,FALSE)),0,AH61*$C$2),MAX((IF(Monthly!AE$4=TRUE,Monthly!AE$13,Monthly!AE$14)*(1+'Attrition Modeling'!$N$8)-IFERROR(AH61/AH128,0)*12)/12*AH128,0))</f>
        <v>0</v>
      </c>
      <c r="AJ193" s="799">
        <f>MIN(IF(ISERROR(VLOOKUP(AJ$134-$F193,$E$135:$E$165,1,FALSE)),0,AI61*$C$2),MAX((IF(Monthly!AF$4=TRUE,Monthly!AF$13,Monthly!AF$14)*(1+'Attrition Modeling'!$N$8)-IFERROR(AI61/AI128,0)*12)/12*AI128,0))</f>
        <v>0</v>
      </c>
      <c r="AK193" s="799">
        <f>MIN(IF(ISERROR(VLOOKUP(AK$134-$F193,$E$135:$E$165,1,FALSE)),0,AJ61*$C$2),MAX((IF(Monthly!AG$4=TRUE,Monthly!AG$13,Monthly!AG$14)*(1+'Attrition Modeling'!$N$8)-IFERROR(AJ61/AJ128,0)*12)/12*AJ128,0))</f>
        <v>0</v>
      </c>
      <c r="AL193" s="799">
        <f>MIN(IF(ISERROR(VLOOKUP(AL$134-$F193,$E$135:$E$165,1,FALSE)),0,AK61*$C$2),MAX((IF(Monthly!AH$4=TRUE,Monthly!AH$13,Monthly!AH$14)*(1+'Attrition Modeling'!$N$8)-IFERROR(AK61/AK128,0)*12)/12*AK128,0))</f>
        <v>0</v>
      </c>
      <c r="AM193" s="799">
        <f>MIN(IF(ISERROR(VLOOKUP(AM$134-$F193,$E$135:$E$165,1,FALSE)),0,AL61*$C$2),MAX((IF(Monthly!AI$4=TRUE,Monthly!AI$13,Monthly!AI$14)*(1+'Attrition Modeling'!$N$8)-IFERROR(AL61/AL128,0)*12)/12*AL128,0))</f>
        <v>0</v>
      </c>
      <c r="AN193" s="799">
        <f>MIN(IF(ISERROR(VLOOKUP(AN$134-$F193,$E$135:$E$165,1,FALSE)),0,AM61*$C$2),MAX((IF(Monthly!AJ$4=TRUE,Monthly!AJ$13,Monthly!AJ$14)*(1+'Attrition Modeling'!$N$8)-IFERROR(AM61/AM128,0)*12)/12*AM128,0))</f>
        <v>0</v>
      </c>
      <c r="AO193" s="799">
        <f>MIN(IF(ISERROR(VLOOKUP(AO$134-$F193,$E$135:$E$165,1,FALSE)),0,AN61*$C$2),MAX((IF(Monthly!AK$4=TRUE,Monthly!AK$13,Monthly!AK$14)*(1+'Attrition Modeling'!$N$8)-IFERROR(AN61/AN128,0)*12)/12*AN128,0))</f>
        <v>0</v>
      </c>
      <c r="AP193" s="799">
        <f>MIN(IF(ISERROR(VLOOKUP(AP$134-$F193,$E$135:$E$165,1,FALSE)),0,AO61*$C$2),MAX((IF(Monthly!AL$4=TRUE,Monthly!AL$13,Monthly!AL$14)*(1+'Attrition Modeling'!$N$8)-IFERROR(AO61/AO128,0)*12)/12*AO128,0))</f>
        <v>0</v>
      </c>
      <c r="AQ193" s="799">
        <f>MIN(IF(ISERROR(VLOOKUP(AQ$134-$F193,$E$135:$E$165,1,FALSE)),0,AP61*$C$2),MAX((IF(Monthly!AM$4=TRUE,Monthly!AM$13,Monthly!AM$14)*(1+'Attrition Modeling'!$N$8)-IFERROR(AP61/AP128,0)*12)/12*AP128,0))</f>
        <v>0</v>
      </c>
      <c r="AR193" s="799">
        <f>MIN(IF(ISERROR(VLOOKUP(AR$134-$F193,$E$135:$E$165,1,FALSE)),0,AQ61*$C$2),MAX((IF(Monthly!AN$4=TRUE,Monthly!AN$13,Monthly!AN$14)*(1+'Attrition Modeling'!$N$8)-IFERROR(AQ61/AQ128,0)*12)/12*AQ128,0))</f>
        <v>0</v>
      </c>
      <c r="AS193" s="799">
        <f>MIN(IF(ISERROR(VLOOKUP(AS$134-$F193,$E$135:$E$165,1,FALSE)),0,AR61*$C$2),MAX((IF(Monthly!AO$4=TRUE,Monthly!AO$13,Monthly!AO$14)*(1+'Attrition Modeling'!$N$8)-IFERROR(AR61/AR128,0)*12)/12*AR128,0))</f>
        <v>0</v>
      </c>
      <c r="AT193" s="799">
        <f>MIN(IF(ISERROR(VLOOKUP(AT$134-$F193,$E$135:$E$165,1,FALSE)),0,AS61*$C$2),MAX((IF(Monthly!AP$4=TRUE,Monthly!AP$13,Monthly!AP$14)*(1+'Attrition Modeling'!$N$8)-IFERROR(AS61/AS128,0)*12)/12*AS128,0))</f>
        <v>0</v>
      </c>
      <c r="AU193" s="799">
        <f>MIN(IF(ISERROR(VLOOKUP(AU$134-$F193,$E$135:$E$165,1,FALSE)),0,AT61*$C$2),MAX((IF(Monthly!AQ$4=TRUE,Monthly!AQ$13,Monthly!AQ$14)*(1+'Attrition Modeling'!$N$8)-IFERROR(AT61/AT128,0)*12)/12*AT128,0))</f>
        <v>0</v>
      </c>
      <c r="AV193" s="799">
        <f>MIN(IF(ISERROR(VLOOKUP(AV$134-$F193,$E$135:$E$165,1,FALSE)),0,AU61*$C$2),MAX((IF(Monthly!AR$4=TRUE,Monthly!AR$13,Monthly!AR$14)*(1+'Attrition Modeling'!$N$8)-IFERROR(AU61/AU128,0)*12)/12*AU128,0))</f>
        <v>0</v>
      </c>
      <c r="AW193" s="799">
        <f>MIN(IF(ISERROR(VLOOKUP(AW$134-$F193,$E$135:$E$165,1,FALSE)),0,AV61*$C$2),MAX((IF(Monthly!AS$4=TRUE,Monthly!AS$13,Monthly!AS$14)*(1+'Attrition Modeling'!$N$8)-IFERROR(AV61/AV128,0)*12)/12*AV128,0))</f>
        <v>0</v>
      </c>
      <c r="AX193" s="799">
        <f>MIN(IF(ISERROR(VLOOKUP(AX$134-$F193,$E$135:$E$165,1,FALSE)),0,AW61*$C$2),MAX((IF(Monthly!AT$4=TRUE,Monthly!AT$13,Monthly!AT$14)*(1+'Attrition Modeling'!$N$8)-IFERROR(AW61/AW128,0)*12)/12*AW128,0))</f>
        <v>0</v>
      </c>
      <c r="AY193" s="799">
        <f>MIN(IF(ISERROR(VLOOKUP(AY$134-$F193,$E$135:$E$165,1,FALSE)),0,AX61*$C$2),MAX((IF(Monthly!AU$4=TRUE,Monthly!AU$13,Monthly!AU$14)*(1+'Attrition Modeling'!$N$8)-IFERROR(AX61/AX128,0)*12)/12*AX128,0))</f>
        <v>0</v>
      </c>
      <c r="AZ193" s="799">
        <f>MIN(IF(ISERROR(VLOOKUP(AZ$134-$F193,$E$135:$E$165,1,FALSE)),0,AY61*$C$2),MAX((IF(Monthly!AV$4=TRUE,Monthly!AV$13,Monthly!AV$14)*(1+'Attrition Modeling'!$N$8)-IFERROR(AY61/AY128,0)*12)/12*AY128,0))</f>
        <v>0</v>
      </c>
      <c r="BA193" s="799">
        <f>MIN(IF(ISERROR(VLOOKUP(BA$134-$F193,$E$135:$E$165,1,FALSE)),0,AZ61*$C$2),MAX((IF(Monthly!AW$4=TRUE,Monthly!AW$13,Monthly!AW$14)*(1+'Attrition Modeling'!$N$8)-IFERROR(AZ61/AZ128,0)*12)/12*AZ128,0))</f>
        <v>0</v>
      </c>
      <c r="BB193" s="799">
        <f>MIN(IF(ISERROR(VLOOKUP(BB$134-$F193,$E$135:$E$165,1,FALSE)),0,BA61*$C$2),MAX((IF(Monthly!AX$4=TRUE,Monthly!AX$13,Monthly!AX$14)*(1+'Attrition Modeling'!$N$8)-IFERROR(BA61/BA128,0)*12)/12*BA128,0))</f>
        <v>0</v>
      </c>
      <c r="BC193" s="799">
        <f>MIN(IF(ISERROR(VLOOKUP(BC$134-$F193,$E$135:$E$165,1,FALSE)),0,BB61*$C$2),MAX((IF(Monthly!AY$4=TRUE,Monthly!AY$13,Monthly!AY$14)*(1+'Attrition Modeling'!$N$8)-IFERROR(BB61/BB128,0)*12)/12*BB128,0))</f>
        <v>0</v>
      </c>
      <c r="BD193" s="799">
        <f>MIN(IF(ISERROR(VLOOKUP(BD$134-$F193,$E$135:$E$165,1,FALSE)),0,BC61*$C$2),MAX((IF(Monthly!AZ$4=TRUE,Monthly!AZ$13,Monthly!AZ$14)*(1+'Attrition Modeling'!$N$8)-IFERROR(BC61/BC128,0)*12)/12*BC128,0))</f>
        <v>0</v>
      </c>
      <c r="BE193" s="799">
        <f>MIN(IF(ISERROR(VLOOKUP(BE$134-$F193,$E$135:$E$165,1,FALSE)),0,BD61*$C$2),MAX((IF(Monthly!BA$4=TRUE,Monthly!BA$13,Monthly!BA$14)*(1+'Attrition Modeling'!$N$8)-IFERROR(BD61/BD128,0)*12)/12*BD128,0))</f>
        <v>0</v>
      </c>
      <c r="BF193" s="799">
        <f>MIN(IF(ISERROR(VLOOKUP(BF$134-$F193,$E$135:$E$165,1,FALSE)),0,BE61*$C$2),MAX((IF(Monthly!BB$4=TRUE,Monthly!BB$13,Monthly!BB$14)*(1+'Attrition Modeling'!$N$8)-IFERROR(BE61/BE128,0)*12)/12*BE128,0))</f>
        <v>0</v>
      </c>
      <c r="BG193" s="799">
        <f>MIN(IF(ISERROR(VLOOKUP(BG$134-$F193,$E$135:$E$165,1,FALSE)),0,BF61*$C$2),MAX((IF(Monthly!BC$4=TRUE,Monthly!BC$13,Monthly!BC$14)*(1+'Attrition Modeling'!$N$8)-IFERROR(BF61/BF128,0)*12)/12*BF128,0))</f>
        <v>0</v>
      </c>
      <c r="BH193" s="799">
        <f>MIN(IF(ISERROR(VLOOKUP(BH$134-$F193,$E$135:$E$165,1,FALSE)),0,BG61*$C$2),MAX((IF(Monthly!BD$4=TRUE,Monthly!BD$13,Monthly!BD$14)*(1+'Attrition Modeling'!$N$8)-IFERROR(BG61/BG128,0)*12)/12*BG128,0))</f>
        <v>0</v>
      </c>
      <c r="BI193" s="799">
        <f>MIN(IF(ISERROR(VLOOKUP(BI$134-$F193,$E$135:$E$165,1,FALSE)),0,BH61*$C$2),MAX((IF(Monthly!BE$4=TRUE,Monthly!BE$13,Monthly!BE$14)*(1+'Attrition Modeling'!$N$8)-IFERROR(BH61/BH128,0)*12)/12*BH128,0))</f>
        <v>0</v>
      </c>
      <c r="BJ193" s="799">
        <f>MIN(IF(ISERROR(VLOOKUP(BJ$134-$F193,$E$135:$E$165,1,FALSE)),0,BI61*$C$2),MAX((IF(Monthly!BF$4=TRUE,Monthly!BF$13,Monthly!BF$14)*(1+'Attrition Modeling'!$N$8)-IFERROR(BI61/BI128,0)*12)/12*BI128,0))</f>
        <v>0</v>
      </c>
      <c r="BK193" s="799">
        <f>MIN(IF(ISERROR(VLOOKUP(BK$134-$F193,$E$135:$E$165,1,FALSE)),0,BJ61*$C$2),MAX((IF(Monthly!BG$4=TRUE,Monthly!BG$13,Monthly!BG$14)*(1+'Attrition Modeling'!$N$8)-IFERROR(BJ61/BJ128,0)*12)/12*BJ128,0))</f>
        <v>0</v>
      </c>
      <c r="BL193" s="799">
        <f>MIN(IF(ISERROR(VLOOKUP(BL$134-$F193,$E$135:$E$165,1,FALSE)),0,BK61*$C$2),MAX((IF(Monthly!BH$4=TRUE,Monthly!BH$13,Monthly!BH$14)*(1+'Attrition Modeling'!$N$8)-IFERROR(BK61/BK128,0)*12)/12*BK128,0))</f>
        <v>0</v>
      </c>
      <c r="BM193" s="799">
        <f>MIN(IF(ISERROR(VLOOKUP(BM$134-$F193,$E$135:$E$165,1,FALSE)),0,BL61*$C$2),MAX((IF(Monthly!BI$4=TRUE,Monthly!BI$13,Monthly!BI$14)*(1+'Attrition Modeling'!$N$8)-IFERROR(BL61/BL128,0)*12)/12*BL128,0))</f>
        <v>0</v>
      </c>
      <c r="BN193" s="799">
        <f>MIN(IF(ISERROR(VLOOKUP(BN$134-$F193,$E$135:$E$165,1,FALSE)),0,BM61*$C$2),MAX((IF(Monthly!BJ$4=TRUE,Monthly!BJ$13,Monthly!BJ$14)*(1+'Attrition Modeling'!$N$8)-IFERROR(BM61/BM128,0)*12)/12*BM128,0))</f>
        <v>0</v>
      </c>
      <c r="BO193" s="799">
        <f>MIN(IF(ISERROR(VLOOKUP(BO$134-$F193,$E$135:$E$165,1,FALSE)),0,BN61*$C$2),MAX((IF(Monthly!BK$4=TRUE,Monthly!BK$13,Monthly!BK$14)*(1+'Attrition Modeling'!$N$8)-IFERROR(BN61/BN128,0)*12)/12*BN128,0))</f>
        <v>0</v>
      </c>
      <c r="BP193" s="799">
        <f>MIN(IF(ISERROR(VLOOKUP(BP$134-$F193,$E$135:$E$165,1,FALSE)),0,BO61*$C$2),MAX((IF(Monthly!BP$4=TRUE,Monthly!BP$13,Monthly!BP$14)*(1+'Attrition Modeling'!$N$8)-IFERROR(BO61/BO128,0)*12)/12*BO128,0))</f>
        <v>0</v>
      </c>
      <c r="BQ193" s="799">
        <f>MIN(IF(ISERROR(VLOOKUP(BQ$134-$F193,$E$135:$E$165,1,FALSE)),0,BP61*$C$2),MAX((IF(Monthly!BQ$4=TRUE,Monthly!BQ$13,Monthly!BQ$14)*(1+'Attrition Modeling'!$N$8)-IFERROR(BP61/BP128,0)*12)/12*BP128,0))</f>
        <v>0</v>
      </c>
      <c r="BR193" s="799">
        <f>MIN(IF(ISERROR(VLOOKUP(BR$134-$F193,$E$135:$E$165,1,FALSE)),0,BQ61*$C$2),MAX((IF(Monthly!BR$4=TRUE,Monthly!BR$13,Monthly!BR$14)*(1+'Attrition Modeling'!$N$8)-IFERROR(BQ61/BQ128,0)*12)/12*BQ128,0))</f>
        <v>0</v>
      </c>
      <c r="BS193" s="799">
        <f>MIN(IF(ISERROR(VLOOKUP(BS$134-$F193,$E$135:$E$165,1,FALSE)),0,BR61*$C$2),MAX((IF(Monthly!BS$4=TRUE,Monthly!BS$13,Monthly!BS$14)*(1+'Attrition Modeling'!$N$8)-IFERROR(BR61/BR128,0)*12)/12*BR128,0))</f>
        <v>554.8483773063615</v>
      </c>
      <c r="BT193" s="799">
        <f>MIN(IF(ISERROR(VLOOKUP(BT$134-$F193,$E$135:$E$165,1,FALSE)),0,BS61*$C$2),MAX((IF(Monthly!BT$4=TRUE,Monthly!BT$13,Monthly!BT$14)*(1+'Attrition Modeling'!$N$8)-IFERROR(BS61/BS128,0)*12)/12*BS128,0))</f>
        <v>0</v>
      </c>
      <c r="BU193" s="799">
        <f>MIN(IF(ISERROR(VLOOKUP(BU$134-$F193,$E$135:$E$165,1,FALSE)),0,BT61*$C$2),MAX((IF(Monthly!BU$4=TRUE,Monthly!BU$13,Monthly!BU$14)*(1+'Attrition Modeling'!$N$8)-IFERROR(BT61/BT128,0)*12)/12*BT128,0))</f>
        <v>0</v>
      </c>
    </row>
    <row r="194" spans="5:73" ht="14.25" customHeight="1" x14ac:dyDescent="0.2">
      <c r="E194" s="25"/>
      <c r="F194" s="11">
        <f t="shared" si="14"/>
        <v>59</v>
      </c>
      <c r="G194" s="799"/>
      <c r="H194" s="799">
        <f>MIN(IF(ISERROR(VLOOKUP(H$134-$F194,$E$135:$E$165,1,FALSE)),0,G62*$C$2),MAX((IF(Monthly!D$4=TRUE,Monthly!D$13,Monthly!D$14)*(1+'Attrition Modeling'!$N$8)-IFERROR(G62/G129,0)*12)/12*G129,0))</f>
        <v>0</v>
      </c>
      <c r="I194" s="799">
        <f>MIN(IF(ISERROR(VLOOKUP(I$134-$F194,$E$135:$E$165,1,FALSE)),0,H62*$C$2),MAX((IF(Monthly!E$4=TRUE,Monthly!E$13,Monthly!E$14)*(1+'Attrition Modeling'!$N$8)-IFERROR(H62/H129,0)*12)/12*H129,0))</f>
        <v>0</v>
      </c>
      <c r="J194" s="799">
        <f>MIN(IF(ISERROR(VLOOKUP(J$134-$F194,$E$135:$E$165,1,FALSE)),0,I62*$C$2),MAX((IF(Monthly!F$4=TRUE,Monthly!F$13,Monthly!F$14)*(1+'Attrition Modeling'!$N$8)-IFERROR(I62/I129,0)*12)/12*I129,0))</f>
        <v>0</v>
      </c>
      <c r="K194" s="799">
        <f>MIN(IF(ISERROR(VLOOKUP(K$134-$F194,$E$135:$E$165,1,FALSE)),0,J62*$C$2),MAX((IF(Monthly!G$4=TRUE,Monthly!G$13,Monthly!G$14)*(1+'Attrition Modeling'!$N$8)-IFERROR(J62/J129,0)*12)/12*J129,0))</f>
        <v>0</v>
      </c>
      <c r="L194" s="799">
        <f>MIN(IF(ISERROR(VLOOKUP(L$134-$F194,$E$135:$E$165,1,FALSE)),0,K62*$C$2),MAX((IF(Monthly!H$4=TRUE,Monthly!H$13,Monthly!H$14)*(1+'Attrition Modeling'!$N$8)-IFERROR(K62/K129,0)*12)/12*K129,0))</f>
        <v>0</v>
      </c>
      <c r="M194" s="799">
        <f>MIN(IF(ISERROR(VLOOKUP(M$134-$F194,$E$135:$E$165,1,FALSE)),0,L62*$C$2),MAX((IF(Monthly!I$4=TRUE,Monthly!I$13,Monthly!I$14)*(1+'Attrition Modeling'!$N$8)-IFERROR(L62/L129,0)*12)/12*L129,0))</f>
        <v>0</v>
      </c>
      <c r="N194" s="799">
        <f>MIN(IF(ISERROR(VLOOKUP(N$134-$F194,$E$135:$E$165,1,FALSE)),0,M62*$C$2),MAX((IF(Monthly!J$4=TRUE,Monthly!J$13,Monthly!J$14)*(1+'Attrition Modeling'!$N$8)-IFERROR(M62/M129,0)*12)/12*M129,0))</f>
        <v>0</v>
      </c>
      <c r="O194" s="799">
        <f>MIN(IF(ISERROR(VLOOKUP(O$134-$F194,$E$135:$E$165,1,FALSE)),0,N62*$C$2),MAX((IF(Monthly!K$4=TRUE,Monthly!K$13,Monthly!K$14)*(1+'Attrition Modeling'!$N$8)-IFERROR(N62/N129,0)*12)/12*N129,0))</f>
        <v>0</v>
      </c>
      <c r="P194" s="799">
        <f>MIN(IF(ISERROR(VLOOKUP(P$134-$F194,$E$135:$E$165,1,FALSE)),0,O62*$C$2),MAX((IF(Monthly!L$4=TRUE,Monthly!L$13,Monthly!L$14)*(1+'Attrition Modeling'!$N$8)-IFERROR(O62/O129,0)*12)/12*O129,0))</f>
        <v>0</v>
      </c>
      <c r="Q194" s="799">
        <f>MIN(IF(ISERROR(VLOOKUP(Q$134-$F194,$E$135:$E$165,1,FALSE)),0,P62*$C$2),MAX((IF(Monthly!M$4=TRUE,Monthly!M$13,Monthly!M$14)*(1+'Attrition Modeling'!$N$8)-IFERROR(P62/P129,0)*12)/12*P129,0))</f>
        <v>0</v>
      </c>
      <c r="R194" s="799">
        <f>MIN(IF(ISERROR(VLOOKUP(R$134-$F194,$E$135:$E$165,1,FALSE)),0,Q62*$C$2),MAX((IF(Monthly!N$4=TRUE,Monthly!N$13,Monthly!N$14)*(1+'Attrition Modeling'!$N$8)-IFERROR(Q62/Q129,0)*12)/12*Q129,0))</f>
        <v>0</v>
      </c>
      <c r="S194" s="799">
        <f>MIN(IF(ISERROR(VLOOKUP(S$134-$F194,$E$135:$E$165,1,FALSE)),0,R62*$C$2),MAX((IF(Monthly!O$4=TRUE,Monthly!O$13,Monthly!O$14)*(1+'Attrition Modeling'!$N$8)-IFERROR(R62/R129,0)*12)/12*R129,0))</f>
        <v>0</v>
      </c>
      <c r="T194" s="799">
        <f>MIN(IF(ISERROR(VLOOKUP(T$134-$F194,$E$135:$E$165,1,FALSE)),0,S62*$C$2),MAX((IF(Monthly!P$4=TRUE,Monthly!P$13,Monthly!P$14)*(1+'Attrition Modeling'!$N$8)-IFERROR(S62/S129,0)*12)/12*S129,0))</f>
        <v>0</v>
      </c>
      <c r="U194" s="799">
        <f>MIN(IF(ISERROR(VLOOKUP(U$134-$F194,$E$135:$E$165,1,FALSE)),0,T62*$C$2),MAX((IF(Monthly!Q$4=TRUE,Monthly!Q$13,Monthly!Q$14)*(1+'Attrition Modeling'!$N$8)-IFERROR(T62/T129,0)*12)/12*T129,0))</f>
        <v>0</v>
      </c>
      <c r="V194" s="799">
        <f>MIN(IF(ISERROR(VLOOKUP(V$134-$F194,$E$135:$E$165,1,FALSE)),0,U62*$C$2),MAX((IF(Monthly!R$4=TRUE,Monthly!R$13,Monthly!R$14)*(1+'Attrition Modeling'!$N$8)-IFERROR(U62/U129,0)*12)/12*U129,0))</f>
        <v>0</v>
      </c>
      <c r="W194" s="799">
        <f>MIN(IF(ISERROR(VLOOKUP(W$134-$F194,$E$135:$E$165,1,FALSE)),0,V62*$C$2),MAX((IF(Monthly!S$4=TRUE,Monthly!S$13,Monthly!S$14)*(1+'Attrition Modeling'!$N$8)-IFERROR(V62/V129,0)*12)/12*V129,0))</f>
        <v>0</v>
      </c>
      <c r="X194" s="799">
        <f>MIN(IF(ISERROR(VLOOKUP(X$134-$F194,$E$135:$E$165,1,FALSE)),0,W62*$C$2),MAX((IF(Monthly!T$4=TRUE,Monthly!T$13,Monthly!T$14)*(1+'Attrition Modeling'!$N$8)-IFERROR(W62/W129,0)*12)/12*W129,0))</f>
        <v>0</v>
      </c>
      <c r="Y194" s="799">
        <f>MIN(IF(ISERROR(VLOOKUP(Y$134-$F194,$E$135:$E$165,1,FALSE)),0,X62*$C$2),MAX((IF(Monthly!U$4=TRUE,Monthly!U$13,Monthly!U$14)*(1+'Attrition Modeling'!$N$8)-IFERROR(X62/X129,0)*12)/12*X129,0))</f>
        <v>0</v>
      </c>
      <c r="Z194" s="799">
        <f>MIN(IF(ISERROR(VLOOKUP(Z$134-$F194,$E$135:$E$165,1,FALSE)),0,Y62*$C$2),MAX((IF(Monthly!V$4=TRUE,Monthly!V$13,Monthly!V$14)*(1+'Attrition Modeling'!$N$8)-IFERROR(Y62/Y129,0)*12)/12*Y129,0))</f>
        <v>0</v>
      </c>
      <c r="AA194" s="799">
        <f>MIN(IF(ISERROR(VLOOKUP(AA$134-$F194,$E$135:$E$165,1,FALSE)),0,Z62*$C$2),MAX((IF(Monthly!W$4=TRUE,Monthly!W$13,Monthly!W$14)*(1+'Attrition Modeling'!$N$8)-IFERROR(Z62/Z129,0)*12)/12*Z129,0))</f>
        <v>0</v>
      </c>
      <c r="AB194" s="799">
        <f>MIN(IF(ISERROR(VLOOKUP(AB$134-$F194,$E$135:$E$165,1,FALSE)),0,AA62*$C$2),MAX((IF(Monthly!X$4=TRUE,Monthly!X$13,Monthly!X$14)*(1+'Attrition Modeling'!$N$8)-IFERROR(AA62/AA129,0)*12)/12*AA129,0))</f>
        <v>0</v>
      </c>
      <c r="AC194" s="799">
        <f>MIN(IF(ISERROR(VLOOKUP(AC$134-$F194,$E$135:$E$165,1,FALSE)),0,AB62*$C$2),MAX((IF(Monthly!Y$4=TRUE,Monthly!Y$13,Monthly!Y$14)*(1+'Attrition Modeling'!$N$8)-IFERROR(AB62/AB129,0)*12)/12*AB129,0))</f>
        <v>0</v>
      </c>
      <c r="AD194" s="799">
        <f>MIN(IF(ISERROR(VLOOKUP(AD$134-$F194,$E$135:$E$165,1,FALSE)),0,AC62*$C$2),MAX((IF(Monthly!Z$4=TRUE,Monthly!Z$13,Monthly!Z$14)*(1+'Attrition Modeling'!$N$8)-IFERROR(AC62/AC129,0)*12)/12*AC129,0))</f>
        <v>0</v>
      </c>
      <c r="AE194" s="799">
        <f>MIN(IF(ISERROR(VLOOKUP(AE$134-$F194,$E$135:$E$165,1,FALSE)),0,AD62*$C$2),MAX((IF(Monthly!AA$4=TRUE,Monthly!AA$13,Monthly!AA$14)*(1+'Attrition Modeling'!$N$8)-IFERROR(AD62/AD129,0)*12)/12*AD129,0))</f>
        <v>0</v>
      </c>
      <c r="AF194" s="799">
        <f>MIN(IF(ISERROR(VLOOKUP(AF$134-$F194,$E$135:$E$165,1,FALSE)),0,AE62*$C$2),MAX((IF(Monthly!AB$4=TRUE,Monthly!AB$13,Monthly!AB$14)*(1+'Attrition Modeling'!$N$8)-IFERROR(AE62/AE129,0)*12)/12*AE129,0))</f>
        <v>0</v>
      </c>
      <c r="AG194" s="799">
        <f>MIN(IF(ISERROR(VLOOKUP(AG$134-$F194,$E$135:$E$165,1,FALSE)),0,AF62*$C$2),MAX((IF(Monthly!AC$4=TRUE,Monthly!AC$13,Monthly!AC$14)*(1+'Attrition Modeling'!$N$8)-IFERROR(AF62/AF129,0)*12)/12*AF129,0))</f>
        <v>0</v>
      </c>
      <c r="AH194" s="799">
        <f>MIN(IF(ISERROR(VLOOKUP(AH$134-$F194,$E$135:$E$165,1,FALSE)),0,AG62*$C$2),MAX((IF(Monthly!AD$4=TRUE,Monthly!AD$13,Monthly!AD$14)*(1+'Attrition Modeling'!$N$8)-IFERROR(AG62/AG129,0)*12)/12*AG129,0))</f>
        <v>0</v>
      </c>
      <c r="AI194" s="799">
        <f>MIN(IF(ISERROR(VLOOKUP(AI$134-$F194,$E$135:$E$165,1,FALSE)),0,AH62*$C$2),MAX((IF(Monthly!AE$4=TRUE,Monthly!AE$13,Monthly!AE$14)*(1+'Attrition Modeling'!$N$8)-IFERROR(AH62/AH129,0)*12)/12*AH129,0))</f>
        <v>0</v>
      </c>
      <c r="AJ194" s="799">
        <f>MIN(IF(ISERROR(VLOOKUP(AJ$134-$F194,$E$135:$E$165,1,FALSE)),0,AI62*$C$2),MAX((IF(Monthly!AF$4=TRUE,Monthly!AF$13,Monthly!AF$14)*(1+'Attrition Modeling'!$N$8)-IFERROR(AI62/AI129,0)*12)/12*AI129,0))</f>
        <v>0</v>
      </c>
      <c r="AK194" s="799">
        <f>MIN(IF(ISERROR(VLOOKUP(AK$134-$F194,$E$135:$E$165,1,FALSE)),0,AJ62*$C$2),MAX((IF(Monthly!AG$4=TRUE,Monthly!AG$13,Monthly!AG$14)*(1+'Attrition Modeling'!$N$8)-IFERROR(AJ62/AJ129,0)*12)/12*AJ129,0))</f>
        <v>0</v>
      </c>
      <c r="AL194" s="799">
        <f>MIN(IF(ISERROR(VLOOKUP(AL$134-$F194,$E$135:$E$165,1,FALSE)),0,AK62*$C$2),MAX((IF(Monthly!AH$4=TRUE,Monthly!AH$13,Monthly!AH$14)*(1+'Attrition Modeling'!$N$8)-IFERROR(AK62/AK129,0)*12)/12*AK129,0))</f>
        <v>0</v>
      </c>
      <c r="AM194" s="799">
        <f>MIN(IF(ISERROR(VLOOKUP(AM$134-$F194,$E$135:$E$165,1,FALSE)),0,AL62*$C$2),MAX((IF(Monthly!AI$4=TRUE,Monthly!AI$13,Monthly!AI$14)*(1+'Attrition Modeling'!$N$8)-IFERROR(AL62/AL129,0)*12)/12*AL129,0))</f>
        <v>0</v>
      </c>
      <c r="AN194" s="799">
        <f>MIN(IF(ISERROR(VLOOKUP(AN$134-$F194,$E$135:$E$165,1,FALSE)),0,AM62*$C$2),MAX((IF(Monthly!AJ$4=TRUE,Monthly!AJ$13,Monthly!AJ$14)*(1+'Attrition Modeling'!$N$8)-IFERROR(AM62/AM129,0)*12)/12*AM129,0))</f>
        <v>0</v>
      </c>
      <c r="AO194" s="799">
        <f>MIN(IF(ISERROR(VLOOKUP(AO$134-$F194,$E$135:$E$165,1,FALSE)),0,AN62*$C$2),MAX((IF(Monthly!AK$4=TRUE,Monthly!AK$13,Monthly!AK$14)*(1+'Attrition Modeling'!$N$8)-IFERROR(AN62/AN129,0)*12)/12*AN129,0))</f>
        <v>0</v>
      </c>
      <c r="AP194" s="799">
        <f>MIN(IF(ISERROR(VLOOKUP(AP$134-$F194,$E$135:$E$165,1,FALSE)),0,AO62*$C$2),MAX((IF(Monthly!AL$4=TRUE,Monthly!AL$13,Monthly!AL$14)*(1+'Attrition Modeling'!$N$8)-IFERROR(AO62/AO129,0)*12)/12*AO129,0))</f>
        <v>0</v>
      </c>
      <c r="AQ194" s="799">
        <f>MIN(IF(ISERROR(VLOOKUP(AQ$134-$F194,$E$135:$E$165,1,FALSE)),0,AP62*$C$2),MAX((IF(Monthly!AM$4=TRUE,Monthly!AM$13,Monthly!AM$14)*(1+'Attrition Modeling'!$N$8)-IFERROR(AP62/AP129,0)*12)/12*AP129,0))</f>
        <v>0</v>
      </c>
      <c r="AR194" s="799">
        <f>MIN(IF(ISERROR(VLOOKUP(AR$134-$F194,$E$135:$E$165,1,FALSE)),0,AQ62*$C$2),MAX((IF(Monthly!AN$4=TRUE,Monthly!AN$13,Monthly!AN$14)*(1+'Attrition Modeling'!$N$8)-IFERROR(AQ62/AQ129,0)*12)/12*AQ129,0))</f>
        <v>0</v>
      </c>
      <c r="AS194" s="799">
        <f>MIN(IF(ISERROR(VLOOKUP(AS$134-$F194,$E$135:$E$165,1,FALSE)),0,AR62*$C$2),MAX((IF(Monthly!AO$4=TRUE,Monthly!AO$13,Monthly!AO$14)*(1+'Attrition Modeling'!$N$8)-IFERROR(AR62/AR129,0)*12)/12*AR129,0))</f>
        <v>0</v>
      </c>
      <c r="AT194" s="799">
        <f>MIN(IF(ISERROR(VLOOKUP(AT$134-$F194,$E$135:$E$165,1,FALSE)),0,AS62*$C$2),MAX((IF(Monthly!AP$4=TRUE,Monthly!AP$13,Monthly!AP$14)*(1+'Attrition Modeling'!$N$8)-IFERROR(AS62/AS129,0)*12)/12*AS129,0))</f>
        <v>0</v>
      </c>
      <c r="AU194" s="799">
        <f>MIN(IF(ISERROR(VLOOKUP(AU$134-$F194,$E$135:$E$165,1,FALSE)),0,AT62*$C$2),MAX((IF(Monthly!AQ$4=TRUE,Monthly!AQ$13,Monthly!AQ$14)*(1+'Attrition Modeling'!$N$8)-IFERROR(AT62/AT129,0)*12)/12*AT129,0))</f>
        <v>0</v>
      </c>
      <c r="AV194" s="799">
        <f>MIN(IF(ISERROR(VLOOKUP(AV$134-$F194,$E$135:$E$165,1,FALSE)),0,AU62*$C$2),MAX((IF(Monthly!AR$4=TRUE,Monthly!AR$13,Monthly!AR$14)*(1+'Attrition Modeling'!$N$8)-IFERROR(AU62/AU129,0)*12)/12*AU129,0))</f>
        <v>0</v>
      </c>
      <c r="AW194" s="799">
        <f>MIN(IF(ISERROR(VLOOKUP(AW$134-$F194,$E$135:$E$165,1,FALSE)),0,AV62*$C$2),MAX((IF(Monthly!AS$4=TRUE,Monthly!AS$13,Monthly!AS$14)*(1+'Attrition Modeling'!$N$8)-IFERROR(AV62/AV129,0)*12)/12*AV129,0))</f>
        <v>0</v>
      </c>
      <c r="AX194" s="799">
        <f>MIN(IF(ISERROR(VLOOKUP(AX$134-$F194,$E$135:$E$165,1,FALSE)),0,AW62*$C$2),MAX((IF(Monthly!AT$4=TRUE,Monthly!AT$13,Monthly!AT$14)*(1+'Attrition Modeling'!$N$8)-IFERROR(AW62/AW129,0)*12)/12*AW129,0))</f>
        <v>0</v>
      </c>
      <c r="AY194" s="799">
        <f>MIN(IF(ISERROR(VLOOKUP(AY$134-$F194,$E$135:$E$165,1,FALSE)),0,AX62*$C$2),MAX((IF(Monthly!AU$4=TRUE,Monthly!AU$13,Monthly!AU$14)*(1+'Attrition Modeling'!$N$8)-IFERROR(AX62/AX129,0)*12)/12*AX129,0))</f>
        <v>0</v>
      </c>
      <c r="AZ194" s="799">
        <f>MIN(IF(ISERROR(VLOOKUP(AZ$134-$F194,$E$135:$E$165,1,FALSE)),0,AY62*$C$2),MAX((IF(Monthly!AV$4=TRUE,Monthly!AV$13,Monthly!AV$14)*(1+'Attrition Modeling'!$N$8)-IFERROR(AY62/AY129,0)*12)/12*AY129,0))</f>
        <v>0</v>
      </c>
      <c r="BA194" s="799">
        <f>MIN(IF(ISERROR(VLOOKUP(BA$134-$F194,$E$135:$E$165,1,FALSE)),0,AZ62*$C$2),MAX((IF(Monthly!AW$4=TRUE,Monthly!AW$13,Monthly!AW$14)*(1+'Attrition Modeling'!$N$8)-IFERROR(AZ62/AZ129,0)*12)/12*AZ129,0))</f>
        <v>0</v>
      </c>
      <c r="BB194" s="799">
        <f>MIN(IF(ISERROR(VLOOKUP(BB$134-$F194,$E$135:$E$165,1,FALSE)),0,BA62*$C$2),MAX((IF(Monthly!AX$4=TRUE,Monthly!AX$13,Monthly!AX$14)*(1+'Attrition Modeling'!$N$8)-IFERROR(BA62/BA129,0)*12)/12*BA129,0))</f>
        <v>0</v>
      </c>
      <c r="BC194" s="799">
        <f>MIN(IF(ISERROR(VLOOKUP(BC$134-$F194,$E$135:$E$165,1,FALSE)),0,BB62*$C$2),MAX((IF(Monthly!AY$4=TRUE,Monthly!AY$13,Monthly!AY$14)*(1+'Attrition Modeling'!$N$8)-IFERROR(BB62/BB129,0)*12)/12*BB129,0))</f>
        <v>0</v>
      </c>
      <c r="BD194" s="799">
        <f>MIN(IF(ISERROR(VLOOKUP(BD$134-$F194,$E$135:$E$165,1,FALSE)),0,BC62*$C$2),MAX((IF(Monthly!AZ$4=TRUE,Monthly!AZ$13,Monthly!AZ$14)*(1+'Attrition Modeling'!$N$8)-IFERROR(BC62/BC129,0)*12)/12*BC129,0))</f>
        <v>0</v>
      </c>
      <c r="BE194" s="799">
        <f>MIN(IF(ISERROR(VLOOKUP(BE$134-$F194,$E$135:$E$165,1,FALSE)),0,BD62*$C$2),MAX((IF(Monthly!BA$4=TRUE,Monthly!BA$13,Monthly!BA$14)*(1+'Attrition Modeling'!$N$8)-IFERROR(BD62/BD129,0)*12)/12*BD129,0))</f>
        <v>0</v>
      </c>
      <c r="BF194" s="799">
        <f>MIN(IF(ISERROR(VLOOKUP(BF$134-$F194,$E$135:$E$165,1,FALSE)),0,BE62*$C$2),MAX((IF(Monthly!BB$4=TRUE,Monthly!BB$13,Monthly!BB$14)*(1+'Attrition Modeling'!$N$8)-IFERROR(BE62/BE129,0)*12)/12*BE129,0))</f>
        <v>0</v>
      </c>
      <c r="BG194" s="799">
        <f>MIN(IF(ISERROR(VLOOKUP(BG$134-$F194,$E$135:$E$165,1,FALSE)),0,BF62*$C$2),MAX((IF(Monthly!BC$4=TRUE,Monthly!BC$13,Monthly!BC$14)*(1+'Attrition Modeling'!$N$8)-IFERROR(BF62/BF129,0)*12)/12*BF129,0))</f>
        <v>0</v>
      </c>
      <c r="BH194" s="799">
        <f>MIN(IF(ISERROR(VLOOKUP(BH$134-$F194,$E$135:$E$165,1,FALSE)),0,BG62*$C$2),MAX((IF(Monthly!BD$4=TRUE,Monthly!BD$13,Monthly!BD$14)*(1+'Attrition Modeling'!$N$8)-IFERROR(BG62/BG129,0)*12)/12*BG129,0))</f>
        <v>0</v>
      </c>
      <c r="BI194" s="799">
        <f>MIN(IF(ISERROR(VLOOKUP(BI$134-$F194,$E$135:$E$165,1,FALSE)),0,BH62*$C$2),MAX((IF(Monthly!BE$4=TRUE,Monthly!BE$13,Monthly!BE$14)*(1+'Attrition Modeling'!$N$8)-IFERROR(BH62/BH129,0)*12)/12*BH129,0))</f>
        <v>0</v>
      </c>
      <c r="BJ194" s="799">
        <f>MIN(IF(ISERROR(VLOOKUP(BJ$134-$F194,$E$135:$E$165,1,FALSE)),0,BI62*$C$2),MAX((IF(Monthly!BF$4=TRUE,Monthly!BF$13,Monthly!BF$14)*(1+'Attrition Modeling'!$N$8)-IFERROR(BI62/BI129,0)*12)/12*BI129,0))</f>
        <v>0</v>
      </c>
      <c r="BK194" s="799">
        <f>MIN(IF(ISERROR(VLOOKUP(BK$134-$F194,$E$135:$E$165,1,FALSE)),0,BJ62*$C$2),MAX((IF(Monthly!BG$4=TRUE,Monthly!BG$13,Monthly!BG$14)*(1+'Attrition Modeling'!$N$8)-IFERROR(BJ62/BJ129,0)*12)/12*BJ129,0))</f>
        <v>0</v>
      </c>
      <c r="BL194" s="799">
        <f>MIN(IF(ISERROR(VLOOKUP(BL$134-$F194,$E$135:$E$165,1,FALSE)),0,BK62*$C$2),MAX((IF(Monthly!BH$4=TRUE,Monthly!BH$13,Monthly!BH$14)*(1+'Attrition Modeling'!$N$8)-IFERROR(BK62/BK129,0)*12)/12*BK129,0))</f>
        <v>0</v>
      </c>
      <c r="BM194" s="799">
        <f>MIN(IF(ISERROR(VLOOKUP(BM$134-$F194,$E$135:$E$165,1,FALSE)),0,BL62*$C$2),MAX((IF(Monthly!BI$4=TRUE,Monthly!BI$13,Monthly!BI$14)*(1+'Attrition Modeling'!$N$8)-IFERROR(BL62/BL129,0)*12)/12*BL129,0))</f>
        <v>0</v>
      </c>
      <c r="BN194" s="799">
        <f>MIN(IF(ISERROR(VLOOKUP(BN$134-$F194,$E$135:$E$165,1,FALSE)),0,BM62*$C$2),MAX((IF(Monthly!BJ$4=TRUE,Monthly!BJ$13,Monthly!BJ$14)*(1+'Attrition Modeling'!$N$8)-IFERROR(BM62/BM129,0)*12)/12*BM129,0))</f>
        <v>0</v>
      </c>
      <c r="BO194" s="799">
        <f>MIN(IF(ISERROR(VLOOKUP(BO$134-$F194,$E$135:$E$165,1,FALSE)),0,BN62*$C$2),MAX((IF(Monthly!BK$4=TRUE,Monthly!BK$13,Monthly!BK$14)*(1+'Attrition Modeling'!$N$8)-IFERROR(BN62/BN129,0)*12)/12*BN129,0))</f>
        <v>0</v>
      </c>
      <c r="BP194" s="799">
        <f>MIN(IF(ISERROR(VLOOKUP(BP$134-$F194,$E$135:$E$165,1,FALSE)),0,BO62*$C$2),MAX((IF(Monthly!BP$4=TRUE,Monthly!BP$13,Monthly!BP$14)*(1+'Attrition Modeling'!$N$8)-IFERROR(BO62/BO129,0)*12)/12*BO129,0))</f>
        <v>0</v>
      </c>
      <c r="BQ194" s="799">
        <f>MIN(IF(ISERROR(VLOOKUP(BQ$134-$F194,$E$135:$E$165,1,FALSE)),0,BP62*$C$2),MAX((IF(Monthly!BQ$4=TRUE,Monthly!BQ$13,Monthly!BQ$14)*(1+'Attrition Modeling'!$N$8)-IFERROR(BP62/BP129,0)*12)/12*BP129,0))</f>
        <v>0</v>
      </c>
      <c r="BR194" s="799">
        <f>MIN(IF(ISERROR(VLOOKUP(BR$134-$F194,$E$135:$E$165,1,FALSE)),0,BQ62*$C$2),MAX((IF(Monthly!BR$4=TRUE,Monthly!BR$13,Monthly!BR$14)*(1+'Attrition Modeling'!$N$8)-IFERROR(BQ62/BQ129,0)*12)/12*BQ129,0))</f>
        <v>0</v>
      </c>
      <c r="BS194" s="799">
        <f>MIN(IF(ISERROR(VLOOKUP(BS$134-$F194,$E$135:$E$165,1,FALSE)),0,BR62*$C$2),MAX((IF(Monthly!BS$4=TRUE,Monthly!BS$13,Monthly!BS$14)*(1+'Attrition Modeling'!$N$8)-IFERROR(BR62/BR129,0)*12)/12*BR129,0))</f>
        <v>0</v>
      </c>
      <c r="BT194" s="799">
        <f>MIN(IF(ISERROR(VLOOKUP(BT$134-$F194,$E$135:$E$165,1,FALSE)),0,BS62*$C$2),MAX((IF(Monthly!BT$4=TRUE,Monthly!BT$13,Monthly!BT$14)*(1+'Attrition Modeling'!$N$8)-IFERROR(BS62/BS129,0)*12)/12*BS129,0))</f>
        <v>527.83036934330073</v>
      </c>
      <c r="BU194" s="799">
        <f>MIN(IF(ISERROR(VLOOKUP(BU$134-$F194,$E$135:$E$165,1,FALSE)),0,BT62*$C$2),MAX((IF(Monthly!BU$4=TRUE,Monthly!BU$13,Monthly!BU$14)*(1+'Attrition Modeling'!$N$8)-IFERROR(BT62/BT129,0)*12)/12*BT129,0))</f>
        <v>0</v>
      </c>
    </row>
    <row r="195" spans="5:73" ht="14.25" customHeight="1" x14ac:dyDescent="0.2">
      <c r="E195" s="25"/>
      <c r="F195" s="11">
        <f t="shared" si="14"/>
        <v>60</v>
      </c>
      <c r="G195" s="801"/>
      <c r="H195" s="799">
        <f>MIN(IF(ISERROR(VLOOKUP(H$134-$F195,$E$135:$E$165,1,FALSE)),0,G63*$C$2),MAX((IF(Monthly!D$4=TRUE,Monthly!D$13,Monthly!D$14)*(1+'Attrition Modeling'!$N$8)-IFERROR(G63/G130,0)*12)/12*G130,0))</f>
        <v>0</v>
      </c>
      <c r="I195" s="799">
        <f>MIN(IF(ISERROR(VLOOKUP(I$134-$F195,$E$135:$E$165,1,FALSE)),0,H63*$C$2),MAX((IF(Monthly!E$4=TRUE,Monthly!E$13,Monthly!E$14)*(1+'Attrition Modeling'!$N$8)-IFERROR(H63/H130,0)*12)/12*H130,0))</f>
        <v>0</v>
      </c>
      <c r="J195" s="799">
        <f>MIN(IF(ISERROR(VLOOKUP(J$134-$F195,$E$135:$E$165,1,FALSE)),0,I63*$C$2),MAX((IF(Monthly!F$4=TRUE,Monthly!F$13,Monthly!F$14)*(1+'Attrition Modeling'!$N$8)-IFERROR(I63/I130,0)*12)/12*I130,0))</f>
        <v>0</v>
      </c>
      <c r="K195" s="799">
        <f>MIN(IF(ISERROR(VLOOKUP(K$134-$F195,$E$135:$E$165,1,FALSE)),0,J63*$C$2),MAX((IF(Monthly!G$4=TRUE,Monthly!G$13,Monthly!G$14)*(1+'Attrition Modeling'!$N$8)-IFERROR(J63/J130,0)*12)/12*J130,0))</f>
        <v>0</v>
      </c>
      <c r="L195" s="799">
        <f>MIN(IF(ISERROR(VLOOKUP(L$134-$F195,$E$135:$E$165,1,FALSE)),0,K63*$C$2),MAX((IF(Monthly!H$4=TRUE,Monthly!H$13,Monthly!H$14)*(1+'Attrition Modeling'!$N$8)-IFERROR(K63/K130,0)*12)/12*K130,0))</f>
        <v>0</v>
      </c>
      <c r="M195" s="799">
        <f>MIN(IF(ISERROR(VLOOKUP(M$134-$F195,$E$135:$E$165,1,FALSE)),0,L63*$C$2),MAX((IF(Monthly!I$4=TRUE,Monthly!I$13,Monthly!I$14)*(1+'Attrition Modeling'!$N$8)-IFERROR(L63/L130,0)*12)/12*L130,0))</f>
        <v>0</v>
      </c>
      <c r="N195" s="799">
        <f>MIN(IF(ISERROR(VLOOKUP(N$134-$F195,$E$135:$E$165,1,FALSE)),0,M63*$C$2),MAX((IF(Monthly!J$4=TRUE,Monthly!J$13,Monthly!J$14)*(1+'Attrition Modeling'!$N$8)-IFERROR(M63/M130,0)*12)/12*M130,0))</f>
        <v>0</v>
      </c>
      <c r="O195" s="799">
        <f>MIN(IF(ISERROR(VLOOKUP(O$134-$F195,$E$135:$E$165,1,FALSE)),0,N63*$C$2),MAX((IF(Monthly!K$4=TRUE,Monthly!K$13,Monthly!K$14)*(1+'Attrition Modeling'!$N$8)-IFERROR(N63/N130,0)*12)/12*N130,0))</f>
        <v>0</v>
      </c>
      <c r="P195" s="799">
        <f>MIN(IF(ISERROR(VLOOKUP(P$134-$F195,$E$135:$E$165,1,FALSE)),0,O63*$C$2),MAX((IF(Monthly!L$4=TRUE,Monthly!L$13,Monthly!L$14)*(1+'Attrition Modeling'!$N$8)-IFERROR(O63/O130,0)*12)/12*O130,0))</f>
        <v>0</v>
      </c>
      <c r="Q195" s="799">
        <f>MIN(IF(ISERROR(VLOOKUP(Q$134-$F195,$E$135:$E$165,1,FALSE)),0,P63*$C$2),MAX((IF(Monthly!M$4=TRUE,Monthly!M$13,Monthly!M$14)*(1+'Attrition Modeling'!$N$8)-IFERROR(P63/P130,0)*12)/12*P130,0))</f>
        <v>0</v>
      </c>
      <c r="R195" s="799">
        <f>MIN(IF(ISERROR(VLOOKUP(R$134-$F195,$E$135:$E$165,1,FALSE)),0,Q63*$C$2),MAX((IF(Monthly!N$4=TRUE,Monthly!N$13,Monthly!N$14)*(1+'Attrition Modeling'!$N$8)-IFERROR(Q63/Q130,0)*12)/12*Q130,0))</f>
        <v>0</v>
      </c>
      <c r="S195" s="799">
        <f>MIN(IF(ISERROR(VLOOKUP(S$134-$F195,$E$135:$E$165,1,FALSE)),0,R63*$C$2),MAX((IF(Monthly!O$4=TRUE,Monthly!O$13,Monthly!O$14)*(1+'Attrition Modeling'!$N$8)-IFERROR(R63/R130,0)*12)/12*R130,0))</f>
        <v>0</v>
      </c>
      <c r="T195" s="799">
        <f>MIN(IF(ISERROR(VLOOKUP(T$134-$F195,$E$135:$E$165,1,FALSE)),0,S63*$C$2),MAX((IF(Monthly!P$4=TRUE,Monthly!P$13,Monthly!P$14)*(1+'Attrition Modeling'!$N$8)-IFERROR(S63/S130,0)*12)/12*S130,0))</f>
        <v>0</v>
      </c>
      <c r="U195" s="799">
        <f>MIN(IF(ISERROR(VLOOKUP(U$134-$F195,$E$135:$E$165,1,FALSE)),0,T63*$C$2),MAX((IF(Monthly!Q$4=TRUE,Monthly!Q$13,Monthly!Q$14)*(1+'Attrition Modeling'!$N$8)-IFERROR(T63/T130,0)*12)/12*T130,0))</f>
        <v>0</v>
      </c>
      <c r="V195" s="799">
        <f>MIN(IF(ISERROR(VLOOKUP(V$134-$F195,$E$135:$E$165,1,FALSE)),0,U63*$C$2),MAX((IF(Monthly!R$4=TRUE,Monthly!R$13,Monthly!R$14)*(1+'Attrition Modeling'!$N$8)-IFERROR(U63/U130,0)*12)/12*U130,0))</f>
        <v>0</v>
      </c>
      <c r="W195" s="799">
        <f>MIN(IF(ISERROR(VLOOKUP(W$134-$F195,$E$135:$E$165,1,FALSE)),0,V63*$C$2),MAX((IF(Monthly!S$4=TRUE,Monthly!S$13,Monthly!S$14)*(1+'Attrition Modeling'!$N$8)-IFERROR(V63/V130,0)*12)/12*V130,0))</f>
        <v>0</v>
      </c>
      <c r="X195" s="799">
        <f>MIN(IF(ISERROR(VLOOKUP(X$134-$F195,$E$135:$E$165,1,FALSE)),0,W63*$C$2),MAX((IF(Monthly!T$4=TRUE,Monthly!T$13,Monthly!T$14)*(1+'Attrition Modeling'!$N$8)-IFERROR(W63/W130,0)*12)/12*W130,0))</f>
        <v>0</v>
      </c>
      <c r="Y195" s="799">
        <f>MIN(IF(ISERROR(VLOOKUP(Y$134-$F195,$E$135:$E$165,1,FALSE)),0,X63*$C$2),MAX((IF(Monthly!U$4=TRUE,Monthly!U$13,Monthly!U$14)*(1+'Attrition Modeling'!$N$8)-IFERROR(X63/X130,0)*12)/12*X130,0))</f>
        <v>0</v>
      </c>
      <c r="Z195" s="799">
        <f>MIN(IF(ISERROR(VLOOKUP(Z$134-$F195,$E$135:$E$165,1,FALSE)),0,Y63*$C$2),MAX((IF(Monthly!V$4=TRUE,Monthly!V$13,Monthly!V$14)*(1+'Attrition Modeling'!$N$8)-IFERROR(Y63/Y130,0)*12)/12*Y130,0))</f>
        <v>0</v>
      </c>
      <c r="AA195" s="799">
        <f>MIN(IF(ISERROR(VLOOKUP(AA$134-$F195,$E$135:$E$165,1,FALSE)),0,Z63*$C$2),MAX((IF(Monthly!W$4=TRUE,Monthly!W$13,Monthly!W$14)*(1+'Attrition Modeling'!$N$8)-IFERROR(Z63/Z130,0)*12)/12*Z130,0))</f>
        <v>0</v>
      </c>
      <c r="AB195" s="799">
        <f>MIN(IF(ISERROR(VLOOKUP(AB$134-$F195,$E$135:$E$165,1,FALSE)),0,AA63*$C$2),MAX((IF(Monthly!X$4=TRUE,Monthly!X$13,Monthly!X$14)*(1+'Attrition Modeling'!$N$8)-IFERROR(AA63/AA130,0)*12)/12*AA130,0))</f>
        <v>0</v>
      </c>
      <c r="AC195" s="799">
        <f>MIN(IF(ISERROR(VLOOKUP(AC$134-$F195,$E$135:$E$165,1,FALSE)),0,AB63*$C$2),MAX((IF(Monthly!Y$4=TRUE,Monthly!Y$13,Monthly!Y$14)*(1+'Attrition Modeling'!$N$8)-IFERROR(AB63/AB130,0)*12)/12*AB130,0))</f>
        <v>0</v>
      </c>
      <c r="AD195" s="799">
        <f>MIN(IF(ISERROR(VLOOKUP(AD$134-$F195,$E$135:$E$165,1,FALSE)),0,AC63*$C$2),MAX((IF(Monthly!Z$4=TRUE,Monthly!Z$13,Monthly!Z$14)*(1+'Attrition Modeling'!$N$8)-IFERROR(AC63/AC130,0)*12)/12*AC130,0))</f>
        <v>0</v>
      </c>
      <c r="AE195" s="799">
        <f>MIN(IF(ISERROR(VLOOKUP(AE$134-$F195,$E$135:$E$165,1,FALSE)),0,AD63*$C$2),MAX((IF(Monthly!AA$4=TRUE,Monthly!AA$13,Monthly!AA$14)*(1+'Attrition Modeling'!$N$8)-IFERROR(AD63/AD130,0)*12)/12*AD130,0))</f>
        <v>0</v>
      </c>
      <c r="AF195" s="799">
        <f>MIN(IF(ISERROR(VLOOKUP(AF$134-$F195,$E$135:$E$165,1,FALSE)),0,AE63*$C$2),MAX((IF(Monthly!AB$4=TRUE,Monthly!AB$13,Monthly!AB$14)*(1+'Attrition Modeling'!$N$8)-IFERROR(AE63/AE130,0)*12)/12*AE130,0))</f>
        <v>0</v>
      </c>
      <c r="AG195" s="799">
        <f>MIN(IF(ISERROR(VLOOKUP(AG$134-$F195,$E$135:$E$165,1,FALSE)),0,AF63*$C$2),MAX((IF(Monthly!AC$4=TRUE,Monthly!AC$13,Monthly!AC$14)*(1+'Attrition Modeling'!$N$8)-IFERROR(AF63/AF130,0)*12)/12*AF130,0))</f>
        <v>0</v>
      </c>
      <c r="AH195" s="799">
        <f>MIN(IF(ISERROR(VLOOKUP(AH$134-$F195,$E$135:$E$165,1,FALSE)),0,AG63*$C$2),MAX((IF(Monthly!AD$4=TRUE,Monthly!AD$13,Monthly!AD$14)*(1+'Attrition Modeling'!$N$8)-IFERROR(AG63/AG130,0)*12)/12*AG130,0))</f>
        <v>0</v>
      </c>
      <c r="AI195" s="799">
        <f>MIN(IF(ISERROR(VLOOKUP(AI$134-$F195,$E$135:$E$165,1,FALSE)),0,AH63*$C$2),MAX((IF(Monthly!AE$4=TRUE,Monthly!AE$13,Monthly!AE$14)*(1+'Attrition Modeling'!$N$8)-IFERROR(AH63/AH130,0)*12)/12*AH130,0))</f>
        <v>0</v>
      </c>
      <c r="AJ195" s="799">
        <f>MIN(IF(ISERROR(VLOOKUP(AJ$134-$F195,$E$135:$E$165,1,FALSE)),0,AI63*$C$2),MAX((IF(Monthly!AF$4=TRUE,Monthly!AF$13,Monthly!AF$14)*(1+'Attrition Modeling'!$N$8)-IFERROR(AI63/AI130,0)*12)/12*AI130,0))</f>
        <v>0</v>
      </c>
      <c r="AK195" s="799">
        <f>MIN(IF(ISERROR(VLOOKUP(AK$134-$F195,$E$135:$E$165,1,FALSE)),0,AJ63*$C$2),MAX((IF(Monthly!AG$4=TRUE,Monthly!AG$13,Monthly!AG$14)*(1+'Attrition Modeling'!$N$8)-IFERROR(AJ63/AJ130,0)*12)/12*AJ130,0))</f>
        <v>0</v>
      </c>
      <c r="AL195" s="799">
        <f>MIN(IF(ISERROR(VLOOKUP(AL$134-$F195,$E$135:$E$165,1,FALSE)),0,AK63*$C$2),MAX((IF(Monthly!AH$4=TRUE,Monthly!AH$13,Monthly!AH$14)*(1+'Attrition Modeling'!$N$8)-IFERROR(AK63/AK130,0)*12)/12*AK130,0))</f>
        <v>0</v>
      </c>
      <c r="AM195" s="799">
        <f>MIN(IF(ISERROR(VLOOKUP(AM$134-$F195,$E$135:$E$165,1,FALSE)),0,AL63*$C$2),MAX((IF(Monthly!AI$4=TRUE,Monthly!AI$13,Monthly!AI$14)*(1+'Attrition Modeling'!$N$8)-IFERROR(AL63/AL130,0)*12)/12*AL130,0))</f>
        <v>0</v>
      </c>
      <c r="AN195" s="799">
        <f>MIN(IF(ISERROR(VLOOKUP(AN$134-$F195,$E$135:$E$165,1,FALSE)),0,AM63*$C$2),MAX((IF(Monthly!AJ$4=TRUE,Monthly!AJ$13,Monthly!AJ$14)*(1+'Attrition Modeling'!$N$8)-IFERROR(AM63/AM130,0)*12)/12*AM130,0))</f>
        <v>0</v>
      </c>
      <c r="AO195" s="799">
        <f>MIN(IF(ISERROR(VLOOKUP(AO$134-$F195,$E$135:$E$165,1,FALSE)),0,AN63*$C$2),MAX((IF(Monthly!AK$4=TRUE,Monthly!AK$13,Monthly!AK$14)*(1+'Attrition Modeling'!$N$8)-IFERROR(AN63/AN130,0)*12)/12*AN130,0))</f>
        <v>0</v>
      </c>
      <c r="AP195" s="799">
        <f>MIN(IF(ISERROR(VLOOKUP(AP$134-$F195,$E$135:$E$165,1,FALSE)),0,AO63*$C$2),MAX((IF(Monthly!AL$4=TRUE,Monthly!AL$13,Monthly!AL$14)*(1+'Attrition Modeling'!$N$8)-IFERROR(AO63/AO130,0)*12)/12*AO130,0))</f>
        <v>0</v>
      </c>
      <c r="AQ195" s="799">
        <f>MIN(IF(ISERROR(VLOOKUP(AQ$134-$F195,$E$135:$E$165,1,FALSE)),0,AP63*$C$2),MAX((IF(Monthly!AM$4=TRUE,Monthly!AM$13,Monthly!AM$14)*(1+'Attrition Modeling'!$N$8)-IFERROR(AP63/AP130,0)*12)/12*AP130,0))</f>
        <v>0</v>
      </c>
      <c r="AR195" s="799">
        <f>MIN(IF(ISERROR(VLOOKUP(AR$134-$F195,$E$135:$E$165,1,FALSE)),0,AQ63*$C$2),MAX((IF(Monthly!AN$4=TRUE,Monthly!AN$13,Monthly!AN$14)*(1+'Attrition Modeling'!$N$8)-IFERROR(AQ63/AQ130,0)*12)/12*AQ130,0))</f>
        <v>0</v>
      </c>
      <c r="AS195" s="799">
        <f>MIN(IF(ISERROR(VLOOKUP(AS$134-$F195,$E$135:$E$165,1,FALSE)),0,AR63*$C$2),MAX((IF(Monthly!AO$4=TRUE,Monthly!AO$13,Monthly!AO$14)*(1+'Attrition Modeling'!$N$8)-IFERROR(AR63/AR130,0)*12)/12*AR130,0))</f>
        <v>0</v>
      </c>
      <c r="AT195" s="799">
        <f>MIN(IF(ISERROR(VLOOKUP(AT$134-$F195,$E$135:$E$165,1,FALSE)),0,AS63*$C$2),MAX((IF(Monthly!AP$4=TRUE,Monthly!AP$13,Monthly!AP$14)*(1+'Attrition Modeling'!$N$8)-IFERROR(AS63/AS130,0)*12)/12*AS130,0))</f>
        <v>0</v>
      </c>
      <c r="AU195" s="799">
        <f>MIN(IF(ISERROR(VLOOKUP(AU$134-$F195,$E$135:$E$165,1,FALSE)),0,AT63*$C$2),MAX((IF(Monthly!AQ$4=TRUE,Monthly!AQ$13,Monthly!AQ$14)*(1+'Attrition Modeling'!$N$8)-IFERROR(AT63/AT130,0)*12)/12*AT130,0))</f>
        <v>0</v>
      </c>
      <c r="AV195" s="799">
        <f>MIN(IF(ISERROR(VLOOKUP(AV$134-$F195,$E$135:$E$165,1,FALSE)),0,AU63*$C$2),MAX((IF(Monthly!AR$4=TRUE,Monthly!AR$13,Monthly!AR$14)*(1+'Attrition Modeling'!$N$8)-IFERROR(AU63/AU130,0)*12)/12*AU130,0))</f>
        <v>0</v>
      </c>
      <c r="AW195" s="799">
        <f>MIN(IF(ISERROR(VLOOKUP(AW$134-$F195,$E$135:$E$165,1,FALSE)),0,AV63*$C$2),MAX((IF(Monthly!AS$4=TRUE,Monthly!AS$13,Monthly!AS$14)*(1+'Attrition Modeling'!$N$8)-IFERROR(AV63/AV130,0)*12)/12*AV130,0))</f>
        <v>0</v>
      </c>
      <c r="AX195" s="799">
        <f>MIN(IF(ISERROR(VLOOKUP(AX$134-$F195,$E$135:$E$165,1,FALSE)),0,AW63*$C$2),MAX((IF(Monthly!AT$4=TRUE,Monthly!AT$13,Monthly!AT$14)*(1+'Attrition Modeling'!$N$8)-IFERROR(AW63/AW130,0)*12)/12*AW130,0))</f>
        <v>0</v>
      </c>
      <c r="AY195" s="799">
        <f>MIN(IF(ISERROR(VLOOKUP(AY$134-$F195,$E$135:$E$165,1,FALSE)),0,AX63*$C$2),MAX((IF(Monthly!AU$4=TRUE,Monthly!AU$13,Monthly!AU$14)*(1+'Attrition Modeling'!$N$8)-IFERROR(AX63/AX130,0)*12)/12*AX130,0))</f>
        <v>0</v>
      </c>
      <c r="AZ195" s="799">
        <f>MIN(IF(ISERROR(VLOOKUP(AZ$134-$F195,$E$135:$E$165,1,FALSE)),0,AY63*$C$2),MAX((IF(Monthly!AV$4=TRUE,Monthly!AV$13,Monthly!AV$14)*(1+'Attrition Modeling'!$N$8)-IFERROR(AY63/AY130,0)*12)/12*AY130,0))</f>
        <v>0</v>
      </c>
      <c r="BA195" s="799">
        <f>MIN(IF(ISERROR(VLOOKUP(BA$134-$F195,$E$135:$E$165,1,FALSE)),0,AZ63*$C$2),MAX((IF(Monthly!AW$4=TRUE,Monthly!AW$13,Monthly!AW$14)*(1+'Attrition Modeling'!$N$8)-IFERROR(AZ63/AZ130,0)*12)/12*AZ130,0))</f>
        <v>0</v>
      </c>
      <c r="BB195" s="799">
        <f>MIN(IF(ISERROR(VLOOKUP(BB$134-$F195,$E$135:$E$165,1,FALSE)),0,BA63*$C$2),MAX((IF(Monthly!AX$4=TRUE,Monthly!AX$13,Monthly!AX$14)*(1+'Attrition Modeling'!$N$8)-IFERROR(BA63/BA130,0)*12)/12*BA130,0))</f>
        <v>0</v>
      </c>
      <c r="BC195" s="799">
        <f>MIN(IF(ISERROR(VLOOKUP(BC$134-$F195,$E$135:$E$165,1,FALSE)),0,BB63*$C$2),MAX((IF(Monthly!AY$4=TRUE,Monthly!AY$13,Monthly!AY$14)*(1+'Attrition Modeling'!$N$8)-IFERROR(BB63/BB130,0)*12)/12*BB130,0))</f>
        <v>0</v>
      </c>
      <c r="BD195" s="799">
        <f>MIN(IF(ISERROR(VLOOKUP(BD$134-$F195,$E$135:$E$165,1,FALSE)),0,BC63*$C$2),MAX((IF(Monthly!AZ$4=TRUE,Monthly!AZ$13,Monthly!AZ$14)*(1+'Attrition Modeling'!$N$8)-IFERROR(BC63/BC130,0)*12)/12*BC130,0))</f>
        <v>0</v>
      </c>
      <c r="BE195" s="799">
        <f>MIN(IF(ISERROR(VLOOKUP(BE$134-$F195,$E$135:$E$165,1,FALSE)),0,BD63*$C$2),MAX((IF(Monthly!BA$4=TRUE,Monthly!BA$13,Monthly!BA$14)*(1+'Attrition Modeling'!$N$8)-IFERROR(BD63/BD130,0)*12)/12*BD130,0))</f>
        <v>0</v>
      </c>
      <c r="BF195" s="799">
        <f>MIN(IF(ISERROR(VLOOKUP(BF$134-$F195,$E$135:$E$165,1,FALSE)),0,BE63*$C$2),MAX((IF(Monthly!BB$4=TRUE,Monthly!BB$13,Monthly!BB$14)*(1+'Attrition Modeling'!$N$8)-IFERROR(BE63/BE130,0)*12)/12*BE130,0))</f>
        <v>0</v>
      </c>
      <c r="BG195" s="799">
        <f>MIN(IF(ISERROR(VLOOKUP(BG$134-$F195,$E$135:$E$165,1,FALSE)),0,BF63*$C$2),MAX((IF(Monthly!BC$4=TRUE,Monthly!BC$13,Monthly!BC$14)*(1+'Attrition Modeling'!$N$8)-IFERROR(BF63/BF130,0)*12)/12*BF130,0))</f>
        <v>0</v>
      </c>
      <c r="BH195" s="799">
        <f>MIN(IF(ISERROR(VLOOKUP(BH$134-$F195,$E$135:$E$165,1,FALSE)),0,BG63*$C$2),MAX((IF(Monthly!BD$4=TRUE,Monthly!BD$13,Monthly!BD$14)*(1+'Attrition Modeling'!$N$8)-IFERROR(BG63/BG130,0)*12)/12*BG130,0))</f>
        <v>0</v>
      </c>
      <c r="BI195" s="799">
        <f>MIN(IF(ISERROR(VLOOKUP(BI$134-$F195,$E$135:$E$165,1,FALSE)),0,BH63*$C$2),MAX((IF(Monthly!BE$4=TRUE,Monthly!BE$13,Monthly!BE$14)*(1+'Attrition Modeling'!$N$8)-IFERROR(BH63/BH130,0)*12)/12*BH130,0))</f>
        <v>0</v>
      </c>
      <c r="BJ195" s="799">
        <f>MIN(IF(ISERROR(VLOOKUP(BJ$134-$F195,$E$135:$E$165,1,FALSE)),0,BI63*$C$2),MAX((IF(Monthly!BF$4=TRUE,Monthly!BF$13,Monthly!BF$14)*(1+'Attrition Modeling'!$N$8)-IFERROR(BI63/BI130,0)*12)/12*BI130,0))</f>
        <v>0</v>
      </c>
      <c r="BK195" s="799">
        <f>MIN(IF(ISERROR(VLOOKUP(BK$134-$F195,$E$135:$E$165,1,FALSE)),0,BJ63*$C$2),MAX((IF(Monthly!BG$4=TRUE,Monthly!BG$13,Monthly!BG$14)*(1+'Attrition Modeling'!$N$8)-IFERROR(BJ63/BJ130,0)*12)/12*BJ130,0))</f>
        <v>0</v>
      </c>
      <c r="BL195" s="799">
        <f>MIN(IF(ISERROR(VLOOKUP(BL$134-$F195,$E$135:$E$165,1,FALSE)),0,BK63*$C$2),MAX((IF(Monthly!BH$4=TRUE,Monthly!BH$13,Monthly!BH$14)*(1+'Attrition Modeling'!$N$8)-IFERROR(BK63/BK130,0)*12)/12*BK130,0))</f>
        <v>0</v>
      </c>
      <c r="BM195" s="799">
        <f>MIN(IF(ISERROR(VLOOKUP(BM$134-$F195,$E$135:$E$165,1,FALSE)),0,BL63*$C$2),MAX((IF(Monthly!BI$4=TRUE,Monthly!BI$13,Monthly!BI$14)*(1+'Attrition Modeling'!$N$8)-IFERROR(BL63/BL130,0)*12)/12*BL130,0))</f>
        <v>0</v>
      </c>
      <c r="BN195" s="799">
        <f>MIN(IF(ISERROR(VLOOKUP(BN$134-$F195,$E$135:$E$165,1,FALSE)),0,BM63*$C$2),MAX((IF(Monthly!BJ$4=TRUE,Monthly!BJ$13,Monthly!BJ$14)*(1+'Attrition Modeling'!$N$8)-IFERROR(BM63/BM130,0)*12)/12*BM130,0))</f>
        <v>0</v>
      </c>
      <c r="BO195" s="799">
        <f>MIN(IF(ISERROR(VLOOKUP(BO$134-$F195,$E$135:$E$165,1,FALSE)),0,BN63*$C$2),MAX((IF(Monthly!BK$4=TRUE,Monthly!BK$13,Monthly!BK$14)*(1+'Attrition Modeling'!$N$8)-IFERROR(BN63/BN130,0)*12)/12*BN130,0))</f>
        <v>0</v>
      </c>
      <c r="BP195" s="799">
        <f>MIN(IF(ISERROR(VLOOKUP(BP$134-$F195,$E$135:$E$165,1,FALSE)),0,BO63*$C$2),MAX((IF(Monthly!BP$4=TRUE,Monthly!BP$13,Monthly!BP$14)*(1+'Attrition Modeling'!$N$8)-IFERROR(BO63/BO130,0)*12)/12*BO130,0))</f>
        <v>0</v>
      </c>
      <c r="BQ195" s="799">
        <f>MIN(IF(ISERROR(VLOOKUP(BQ$134-$F195,$E$135:$E$165,1,FALSE)),0,BP63*$C$2),MAX((IF(Monthly!BQ$4=TRUE,Monthly!BQ$13,Monthly!BQ$14)*(1+'Attrition Modeling'!$N$8)-IFERROR(BP63/BP130,0)*12)/12*BP130,0))</f>
        <v>0</v>
      </c>
      <c r="BR195" s="799">
        <f>MIN(IF(ISERROR(VLOOKUP(BR$134-$F195,$E$135:$E$165,1,FALSE)),0,BQ63*$C$2),MAX((IF(Monthly!BR$4=TRUE,Monthly!BR$13,Monthly!BR$14)*(1+'Attrition Modeling'!$N$8)-IFERROR(BQ63/BQ130,0)*12)/12*BQ130,0))</f>
        <v>0</v>
      </c>
      <c r="BS195" s="799">
        <f>MIN(IF(ISERROR(VLOOKUP(BS$134-$F195,$E$135:$E$165,1,FALSE)),0,BR63*$C$2),MAX((IF(Monthly!BS$4=TRUE,Monthly!BS$13,Monthly!BS$14)*(1+'Attrition Modeling'!$N$8)-IFERROR(BR63/BR130,0)*12)/12*BR130,0))</f>
        <v>0</v>
      </c>
      <c r="BT195" s="799">
        <f>MIN(IF(ISERROR(VLOOKUP(BT$134-$F195,$E$135:$E$165,1,FALSE)),0,BS63*$C$2),MAX((IF(Monthly!BT$4=TRUE,Monthly!BT$13,Monthly!BT$14)*(1+'Attrition Modeling'!$N$8)-IFERROR(BS63/BS130,0)*12)/12*BS130,0))</f>
        <v>0</v>
      </c>
      <c r="BU195" s="799">
        <f>MIN(IF(ISERROR(VLOOKUP(BU$134-$F195,$E$135:$E$165,1,FALSE)),0,BT63*$C$2),MAX((IF(Monthly!BU$4=TRUE,Monthly!BU$13,Monthly!BU$14)*(1+'Attrition Modeling'!$N$8)-IFERROR(BT63/BT130,0)*12)/12*BT130,0))</f>
        <v>545.10273208614478</v>
      </c>
    </row>
    <row r="196" spans="5:73" ht="14.25" customHeight="1" x14ac:dyDescent="0.2">
      <c r="F196" s="802" t="s">
        <v>701</v>
      </c>
      <c r="G196" s="803"/>
      <c r="H196" s="804">
        <f t="shared" ref="H196:BU196" si="15">SUM(H135:H195)</f>
        <v>0</v>
      </c>
      <c r="I196" s="804">
        <f t="shared" si="15"/>
        <v>0</v>
      </c>
      <c r="J196" s="804">
        <f t="shared" si="15"/>
        <v>0</v>
      </c>
      <c r="K196" s="804">
        <f t="shared" si="15"/>
        <v>0</v>
      </c>
      <c r="L196" s="804">
        <f t="shared" si="15"/>
        <v>0</v>
      </c>
      <c r="M196" s="804">
        <f t="shared" si="15"/>
        <v>335.72307024023621</v>
      </c>
      <c r="N196" s="804">
        <f t="shared" si="15"/>
        <v>228.86099268290195</v>
      </c>
      <c r="O196" s="804">
        <f t="shared" si="15"/>
        <v>343.17671349669251</v>
      </c>
      <c r="P196" s="804">
        <f t="shared" si="15"/>
        <v>390.62251134839568</v>
      </c>
      <c r="Q196" s="804">
        <f t="shared" si="15"/>
        <v>615.52921707055509</v>
      </c>
      <c r="R196" s="804">
        <f t="shared" si="15"/>
        <v>547.07365854368572</v>
      </c>
      <c r="S196" s="804">
        <f t="shared" si="15"/>
        <v>562.87637779961256</v>
      </c>
      <c r="T196" s="804">
        <f t="shared" si="15"/>
        <v>521.50521208004659</v>
      </c>
      <c r="U196" s="804">
        <f t="shared" si="15"/>
        <v>493.80444462824835</v>
      </c>
      <c r="V196" s="804">
        <f t="shared" si="15"/>
        <v>512.60093907763826</v>
      </c>
      <c r="W196" s="804">
        <f t="shared" si="15"/>
        <v>499.41836031505591</v>
      </c>
      <c r="X196" s="804">
        <f t="shared" si="15"/>
        <v>470.31874487037311</v>
      </c>
      <c r="Y196" s="804">
        <f t="shared" si="15"/>
        <v>809.85798633641593</v>
      </c>
      <c r="Z196" s="804">
        <f t="shared" si="15"/>
        <v>645.26649140269888</v>
      </c>
      <c r="AA196" s="804">
        <f t="shared" si="15"/>
        <v>850.45680447985421</v>
      </c>
      <c r="AB196" s="804">
        <f t="shared" si="15"/>
        <v>922.41307221102591</v>
      </c>
      <c r="AC196" s="804">
        <f t="shared" si="15"/>
        <v>1296.5877592089955</v>
      </c>
      <c r="AD196" s="804">
        <f t="shared" si="15"/>
        <v>1166.6611554946364</v>
      </c>
      <c r="AE196" s="804">
        <f t="shared" si="15"/>
        <v>1204.3741453666041</v>
      </c>
      <c r="AF196" s="804">
        <f t="shared" si="15"/>
        <v>1152.3672758355888</v>
      </c>
      <c r="AG196" s="804">
        <f t="shared" si="15"/>
        <v>1084.8153254459544</v>
      </c>
      <c r="AH196" s="804">
        <f t="shared" si="15"/>
        <v>1103.5216943183859</v>
      </c>
      <c r="AI196" s="804">
        <f t="shared" si="15"/>
        <v>1066.3215116054348</v>
      </c>
      <c r="AJ196" s="804">
        <f t="shared" si="15"/>
        <v>1022.7328346412846</v>
      </c>
      <c r="AK196" s="804">
        <f t="shared" si="15"/>
        <v>1171.5206791755422</v>
      </c>
      <c r="AL196" s="804">
        <f t="shared" si="15"/>
        <v>1038.2675349052497</v>
      </c>
      <c r="AM196" s="804">
        <f t="shared" si="15"/>
        <v>1284.4075130063113</v>
      </c>
      <c r="AN196" s="804">
        <f t="shared" si="15"/>
        <v>1354.9969567539665</v>
      </c>
      <c r="AO196" s="804">
        <f t="shared" si="15"/>
        <v>1751.5998120185718</v>
      </c>
      <c r="AP196" s="804">
        <f t="shared" si="15"/>
        <v>1495.7838913102983</v>
      </c>
      <c r="AQ196" s="804">
        <f t="shared" si="15"/>
        <v>1496.5602108785154</v>
      </c>
      <c r="AR196" s="804">
        <f t="shared" si="15"/>
        <v>1624.9805000129859</v>
      </c>
      <c r="AS196" s="804">
        <f t="shared" si="15"/>
        <v>1521.4039991812847</v>
      </c>
      <c r="AT196" s="804">
        <f t="shared" si="15"/>
        <v>1521.0355023845721</v>
      </c>
      <c r="AU196" s="804">
        <f t="shared" si="15"/>
        <v>1458.6355265171871</v>
      </c>
      <c r="AV196" s="804">
        <f t="shared" si="15"/>
        <v>1410.5415693988866</v>
      </c>
      <c r="AW196" s="804">
        <f t="shared" si="15"/>
        <v>1206.0775776542905</v>
      </c>
      <c r="AX196" s="804">
        <f t="shared" si="15"/>
        <v>1197.111505358861</v>
      </c>
      <c r="AY196" s="804">
        <f t="shared" si="15"/>
        <v>1429.6423810372589</v>
      </c>
      <c r="AZ196" s="804">
        <f t="shared" si="15"/>
        <v>1464.3418629907496</v>
      </c>
      <c r="BA196" s="804">
        <f t="shared" si="15"/>
        <v>1681.0502432624867</v>
      </c>
      <c r="BB196" s="804">
        <f t="shared" si="15"/>
        <v>1414.7149548948732</v>
      </c>
      <c r="BC196" s="804">
        <f t="shared" si="15"/>
        <v>1442.1542977974518</v>
      </c>
      <c r="BD196" s="804">
        <f t="shared" si="15"/>
        <v>1548.7466259766225</v>
      </c>
      <c r="BE196" s="804">
        <f t="shared" si="15"/>
        <v>1486.0681485982675</v>
      </c>
      <c r="BF196" s="804">
        <f t="shared" si="15"/>
        <v>1493.7910747902633</v>
      </c>
      <c r="BG196" s="804">
        <f t="shared" si="15"/>
        <v>1431.9065108934028</v>
      </c>
      <c r="BH196" s="804">
        <f t="shared" si="15"/>
        <v>1406.6227920781776</v>
      </c>
      <c r="BI196" s="804">
        <f t="shared" si="15"/>
        <v>1347.7173400315046</v>
      </c>
      <c r="BJ196" s="804">
        <f t="shared" si="15"/>
        <v>1289.217718020659</v>
      </c>
      <c r="BK196" s="804">
        <f t="shared" si="15"/>
        <v>1499.3673586646639</v>
      </c>
      <c r="BL196" s="804">
        <f t="shared" si="15"/>
        <v>1473.4535201512062</v>
      </c>
      <c r="BM196" s="804">
        <f t="shared" si="15"/>
        <v>1644.7787573906567</v>
      </c>
      <c r="BN196" s="804">
        <f t="shared" si="15"/>
        <v>1377.231655687975</v>
      </c>
      <c r="BO196" s="804">
        <f t="shared" si="15"/>
        <v>1386.1114819580951</v>
      </c>
      <c r="BP196" s="804">
        <f t="shared" si="15"/>
        <v>0</v>
      </c>
      <c r="BQ196" s="804">
        <f t="shared" si="15"/>
        <v>1119.2214100523361</v>
      </c>
      <c r="BR196" s="804">
        <f t="shared" si="15"/>
        <v>1270.8460551269882</v>
      </c>
      <c r="BS196" s="804">
        <f t="shared" si="15"/>
        <v>1279.9978147310071</v>
      </c>
      <c r="BT196" s="804">
        <f t="shared" si="15"/>
        <v>1285.8070684696659</v>
      </c>
      <c r="BU196" s="804">
        <f t="shared" si="15"/>
        <v>1273.8882869153781</v>
      </c>
    </row>
    <row r="197" spans="5:73" ht="14.25" customHeight="1" x14ac:dyDescent="0.2"/>
    <row r="198" spans="5:73" ht="14.25" customHeight="1" x14ac:dyDescent="0.2"/>
    <row r="199" spans="5:73" ht="14.25" customHeight="1" x14ac:dyDescent="0.2"/>
    <row r="200" spans="5:73" ht="14.25" customHeight="1" x14ac:dyDescent="0.2"/>
    <row r="201" spans="5:73" ht="14.25" customHeight="1" x14ac:dyDescent="0.2"/>
    <row r="202" spans="5:73" ht="14.25" customHeight="1" x14ac:dyDescent="0.2"/>
    <row r="203" spans="5:73" ht="14.25" customHeight="1" x14ac:dyDescent="0.2"/>
    <row r="204" spans="5:73" ht="14.25" customHeight="1" x14ac:dyDescent="0.2"/>
    <row r="205" spans="5:73" ht="14.25" customHeight="1" x14ac:dyDescent="0.2"/>
    <row r="206" spans="5:73" ht="14.25" customHeight="1" x14ac:dyDescent="0.2"/>
    <row r="207" spans="5:73" ht="14.25" customHeight="1" x14ac:dyDescent="0.2"/>
    <row r="208" spans="5:73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</sheetData>
  <mergeCells count="2">
    <mergeCell ref="A1:C1"/>
    <mergeCell ref="A5:C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U396"/>
  <sheetViews>
    <sheetView showGridLines="0" workbookViewId="0"/>
  </sheetViews>
  <sheetFormatPr baseColWidth="10" defaultColWidth="14.5" defaultRowHeight="15" customHeight="1" outlineLevelCol="1" x14ac:dyDescent="0.2"/>
  <cols>
    <col min="1" max="1" width="8.6640625" customWidth="1" outlineLevel="1"/>
    <col min="2" max="2" width="13.33203125" customWidth="1" outlineLevel="1"/>
    <col min="3" max="3" width="10.5" customWidth="1" outlineLevel="1"/>
    <col min="4" max="7" width="8.6640625" customWidth="1" outlineLevel="1"/>
    <col min="8" max="9" width="10.6640625" customWidth="1" outlineLevel="1"/>
    <col min="10" max="73" width="8.6640625" customWidth="1" outlineLevel="1"/>
  </cols>
  <sheetData>
    <row r="1" spans="1:73" ht="14.25" customHeight="1" x14ac:dyDescent="0.2">
      <c r="A1" s="847" t="s">
        <v>2</v>
      </c>
      <c r="B1" s="852"/>
      <c r="C1" s="848"/>
      <c r="F1" s="795" t="s">
        <v>691</v>
      </c>
      <c r="G1" s="796"/>
      <c r="H1" s="796">
        <f>'Traditional Attrition'!H1</f>
        <v>1</v>
      </c>
      <c r="I1" s="796">
        <f>'Traditional Attrition'!I1</f>
        <v>2</v>
      </c>
      <c r="J1" s="796">
        <f>'Traditional Attrition'!J1</f>
        <v>3</v>
      </c>
      <c r="K1" s="796">
        <f>'Traditional Attrition'!K1</f>
        <v>4</v>
      </c>
      <c r="L1" s="796">
        <f>'Traditional Attrition'!L1</f>
        <v>5</v>
      </c>
      <c r="M1" s="796">
        <f>'Traditional Attrition'!M1</f>
        <v>6</v>
      </c>
      <c r="N1" s="796">
        <f>'Traditional Attrition'!N1</f>
        <v>7</v>
      </c>
      <c r="O1" s="796">
        <f>'Traditional Attrition'!O1</f>
        <v>8</v>
      </c>
      <c r="P1" s="796">
        <f>'Traditional Attrition'!P1</f>
        <v>9</v>
      </c>
      <c r="Q1" s="796">
        <f>'Traditional Attrition'!Q1</f>
        <v>10</v>
      </c>
      <c r="R1" s="796">
        <f>'Traditional Attrition'!R1</f>
        <v>11</v>
      </c>
      <c r="S1" s="796">
        <f>'Traditional Attrition'!S1</f>
        <v>12</v>
      </c>
      <c r="T1" s="796">
        <f>'Traditional Attrition'!T1</f>
        <v>1</v>
      </c>
      <c r="U1" s="796">
        <f>'Traditional Attrition'!U1</f>
        <v>2</v>
      </c>
      <c r="V1" s="796">
        <f>'Traditional Attrition'!V1</f>
        <v>3</v>
      </c>
      <c r="W1" s="796">
        <f>'Traditional Attrition'!W1</f>
        <v>4</v>
      </c>
      <c r="X1" s="796">
        <f>'Traditional Attrition'!X1</f>
        <v>5</v>
      </c>
      <c r="Y1" s="796">
        <f>'Traditional Attrition'!Y1</f>
        <v>6</v>
      </c>
      <c r="Z1" s="796">
        <f>'Traditional Attrition'!Z1</f>
        <v>7</v>
      </c>
      <c r="AA1" s="796">
        <f>'Traditional Attrition'!AA1</f>
        <v>8</v>
      </c>
      <c r="AB1" s="796">
        <f>'Traditional Attrition'!AB1</f>
        <v>9</v>
      </c>
      <c r="AC1" s="796">
        <f>'Traditional Attrition'!AC1</f>
        <v>10</v>
      </c>
      <c r="AD1" s="796">
        <f>'Traditional Attrition'!AD1</f>
        <v>11</v>
      </c>
      <c r="AE1" s="796">
        <f>'Traditional Attrition'!AE1</f>
        <v>12</v>
      </c>
      <c r="AF1" s="796">
        <f>'Traditional Attrition'!AF1</f>
        <v>1</v>
      </c>
      <c r="AG1" s="796">
        <f>'Traditional Attrition'!AG1</f>
        <v>2</v>
      </c>
      <c r="AH1" s="796">
        <f>'Traditional Attrition'!AH1</f>
        <v>3</v>
      </c>
      <c r="AI1" s="796">
        <f>'Traditional Attrition'!AI1</f>
        <v>4</v>
      </c>
      <c r="AJ1" s="796">
        <f>'Traditional Attrition'!AJ1</f>
        <v>5</v>
      </c>
      <c r="AK1" s="796">
        <f>'Traditional Attrition'!AK1</f>
        <v>6</v>
      </c>
      <c r="AL1" s="796">
        <f>'Traditional Attrition'!AL1</f>
        <v>7</v>
      </c>
      <c r="AM1" s="796">
        <f>'Traditional Attrition'!AM1</f>
        <v>8</v>
      </c>
      <c r="AN1" s="796">
        <f>'Traditional Attrition'!AN1</f>
        <v>9</v>
      </c>
      <c r="AO1" s="796">
        <f>'Traditional Attrition'!AO1</f>
        <v>10</v>
      </c>
      <c r="AP1" s="796">
        <f>'Traditional Attrition'!AP1</f>
        <v>11</v>
      </c>
      <c r="AQ1" s="796">
        <f>'Traditional Attrition'!AQ1</f>
        <v>12</v>
      </c>
      <c r="AR1" s="796">
        <f>'Traditional Attrition'!AR1</f>
        <v>1</v>
      </c>
      <c r="AS1" s="796">
        <f>'Traditional Attrition'!AS1</f>
        <v>2</v>
      </c>
      <c r="AT1" s="796">
        <f>'Traditional Attrition'!AT1</f>
        <v>3</v>
      </c>
      <c r="AU1" s="796">
        <f>'Traditional Attrition'!AU1</f>
        <v>4</v>
      </c>
      <c r="AV1" s="796">
        <f>'Traditional Attrition'!AV1</f>
        <v>5</v>
      </c>
      <c r="AW1" s="796">
        <f>'Traditional Attrition'!AW1</f>
        <v>6</v>
      </c>
      <c r="AX1" s="796">
        <f>'Traditional Attrition'!AX1</f>
        <v>7</v>
      </c>
      <c r="AY1" s="796">
        <f>'Traditional Attrition'!AY1</f>
        <v>8</v>
      </c>
      <c r="AZ1" s="796">
        <f>'Traditional Attrition'!AZ1</f>
        <v>9</v>
      </c>
      <c r="BA1" s="796">
        <f>'Traditional Attrition'!BA1</f>
        <v>10</v>
      </c>
      <c r="BB1" s="796">
        <f>'Traditional Attrition'!BB1</f>
        <v>11</v>
      </c>
      <c r="BC1" s="796">
        <f>'Traditional Attrition'!BC1</f>
        <v>12</v>
      </c>
      <c r="BD1" s="796">
        <f>'Traditional Attrition'!BD1</f>
        <v>1</v>
      </c>
      <c r="BE1" s="796">
        <f>'Traditional Attrition'!BE1</f>
        <v>2</v>
      </c>
      <c r="BF1" s="796">
        <f>'Traditional Attrition'!BF1</f>
        <v>3</v>
      </c>
      <c r="BG1" s="796">
        <f>'Traditional Attrition'!BG1</f>
        <v>4</v>
      </c>
      <c r="BH1" s="796">
        <f>'Traditional Attrition'!BH1</f>
        <v>5</v>
      </c>
      <c r="BI1" s="796">
        <f>'Traditional Attrition'!BI1</f>
        <v>6</v>
      </c>
      <c r="BJ1" s="796">
        <f>'Traditional Attrition'!BJ1</f>
        <v>7</v>
      </c>
      <c r="BK1" s="796">
        <f>'Traditional Attrition'!BK1</f>
        <v>8</v>
      </c>
      <c r="BL1" s="796">
        <f>'Traditional Attrition'!BL1</f>
        <v>9</v>
      </c>
      <c r="BM1" s="796">
        <f>'Traditional Attrition'!BM1</f>
        <v>10</v>
      </c>
      <c r="BN1" s="796">
        <f>'Traditional Attrition'!BN1</f>
        <v>11</v>
      </c>
      <c r="BO1" s="796">
        <f>'Traditional Attrition'!BO1</f>
        <v>12</v>
      </c>
      <c r="BP1" s="796">
        <f>'Traditional Attrition'!BP1</f>
        <v>1</v>
      </c>
      <c r="BQ1" s="796">
        <f>'Traditional Attrition'!BQ1</f>
        <v>2</v>
      </c>
      <c r="BR1" s="796">
        <f>'Traditional Attrition'!BR1</f>
        <v>3</v>
      </c>
      <c r="BS1" s="796">
        <f>'Traditional Attrition'!BS1</f>
        <v>4</v>
      </c>
      <c r="BT1" s="796">
        <f>'Traditional Attrition'!BT1</f>
        <v>5</v>
      </c>
      <c r="BU1" s="796">
        <f>'Traditional Attrition'!BU1</f>
        <v>6</v>
      </c>
    </row>
    <row r="2" spans="1:73" ht="14.25" customHeight="1" x14ac:dyDescent="0.2">
      <c r="A2" s="9"/>
      <c r="B2" s="53" t="s">
        <v>692</v>
      </c>
      <c r="C2" s="24">
        <f>Inputs!I25*0.8</f>
        <v>9.6000000000000002E-2</v>
      </c>
      <c r="E2" s="806" t="s">
        <v>702</v>
      </c>
      <c r="F2" s="11" t="s">
        <v>679</v>
      </c>
      <c r="G2" s="797">
        <v>0</v>
      </c>
      <c r="H2" s="797">
        <v>1</v>
      </c>
      <c r="I2" s="797">
        <f t="shared" ref="I2:BU2" si="0">H2+1</f>
        <v>2</v>
      </c>
      <c r="J2" s="797">
        <f t="shared" si="0"/>
        <v>3</v>
      </c>
      <c r="K2" s="797">
        <f t="shared" si="0"/>
        <v>4</v>
      </c>
      <c r="L2" s="797">
        <f t="shared" si="0"/>
        <v>5</v>
      </c>
      <c r="M2" s="797">
        <f t="shared" si="0"/>
        <v>6</v>
      </c>
      <c r="N2" s="797">
        <f t="shared" si="0"/>
        <v>7</v>
      </c>
      <c r="O2" s="797">
        <f t="shared" si="0"/>
        <v>8</v>
      </c>
      <c r="P2" s="797">
        <f t="shared" si="0"/>
        <v>9</v>
      </c>
      <c r="Q2" s="797">
        <f t="shared" si="0"/>
        <v>10</v>
      </c>
      <c r="R2" s="797">
        <f t="shared" si="0"/>
        <v>11</v>
      </c>
      <c r="S2" s="797">
        <f t="shared" si="0"/>
        <v>12</v>
      </c>
      <c r="T2" s="797">
        <f t="shared" si="0"/>
        <v>13</v>
      </c>
      <c r="U2" s="797">
        <f t="shared" si="0"/>
        <v>14</v>
      </c>
      <c r="V2" s="797">
        <f t="shared" si="0"/>
        <v>15</v>
      </c>
      <c r="W2" s="797">
        <f t="shared" si="0"/>
        <v>16</v>
      </c>
      <c r="X2" s="797">
        <f t="shared" si="0"/>
        <v>17</v>
      </c>
      <c r="Y2" s="797">
        <f t="shared" si="0"/>
        <v>18</v>
      </c>
      <c r="Z2" s="797">
        <f t="shared" si="0"/>
        <v>19</v>
      </c>
      <c r="AA2" s="797">
        <f t="shared" si="0"/>
        <v>20</v>
      </c>
      <c r="AB2" s="797">
        <f t="shared" si="0"/>
        <v>21</v>
      </c>
      <c r="AC2" s="797">
        <f t="shared" si="0"/>
        <v>22</v>
      </c>
      <c r="AD2" s="797">
        <f t="shared" si="0"/>
        <v>23</v>
      </c>
      <c r="AE2" s="797">
        <f t="shared" si="0"/>
        <v>24</v>
      </c>
      <c r="AF2" s="797">
        <f t="shared" si="0"/>
        <v>25</v>
      </c>
      <c r="AG2" s="797">
        <f t="shared" si="0"/>
        <v>26</v>
      </c>
      <c r="AH2" s="797">
        <f t="shared" si="0"/>
        <v>27</v>
      </c>
      <c r="AI2" s="797">
        <f t="shared" si="0"/>
        <v>28</v>
      </c>
      <c r="AJ2" s="797">
        <f t="shared" si="0"/>
        <v>29</v>
      </c>
      <c r="AK2" s="797">
        <f t="shared" si="0"/>
        <v>30</v>
      </c>
      <c r="AL2" s="797">
        <f t="shared" si="0"/>
        <v>31</v>
      </c>
      <c r="AM2" s="797">
        <f t="shared" si="0"/>
        <v>32</v>
      </c>
      <c r="AN2" s="797">
        <f t="shared" si="0"/>
        <v>33</v>
      </c>
      <c r="AO2" s="797">
        <f t="shared" si="0"/>
        <v>34</v>
      </c>
      <c r="AP2" s="797">
        <f t="shared" si="0"/>
        <v>35</v>
      </c>
      <c r="AQ2" s="797">
        <f t="shared" si="0"/>
        <v>36</v>
      </c>
      <c r="AR2" s="797">
        <f t="shared" si="0"/>
        <v>37</v>
      </c>
      <c r="AS2" s="797">
        <f t="shared" si="0"/>
        <v>38</v>
      </c>
      <c r="AT2" s="797">
        <f t="shared" si="0"/>
        <v>39</v>
      </c>
      <c r="AU2" s="797">
        <f t="shared" si="0"/>
        <v>40</v>
      </c>
      <c r="AV2" s="797">
        <f t="shared" si="0"/>
        <v>41</v>
      </c>
      <c r="AW2" s="797">
        <f t="shared" si="0"/>
        <v>42</v>
      </c>
      <c r="AX2" s="797">
        <f t="shared" si="0"/>
        <v>43</v>
      </c>
      <c r="AY2" s="797">
        <f t="shared" si="0"/>
        <v>44</v>
      </c>
      <c r="AZ2" s="797">
        <f t="shared" si="0"/>
        <v>45</v>
      </c>
      <c r="BA2" s="797">
        <f t="shared" si="0"/>
        <v>46</v>
      </c>
      <c r="BB2" s="797">
        <f t="shared" si="0"/>
        <v>47</v>
      </c>
      <c r="BC2" s="797">
        <f t="shared" si="0"/>
        <v>48</v>
      </c>
      <c r="BD2" s="797">
        <f t="shared" si="0"/>
        <v>49</v>
      </c>
      <c r="BE2" s="797">
        <f t="shared" si="0"/>
        <v>50</v>
      </c>
      <c r="BF2" s="797">
        <f t="shared" si="0"/>
        <v>51</v>
      </c>
      <c r="BG2" s="797">
        <f t="shared" si="0"/>
        <v>52</v>
      </c>
      <c r="BH2" s="797">
        <f t="shared" si="0"/>
        <v>53</v>
      </c>
      <c r="BI2" s="797">
        <f t="shared" si="0"/>
        <v>54</v>
      </c>
      <c r="BJ2" s="797">
        <f t="shared" si="0"/>
        <v>55</v>
      </c>
      <c r="BK2" s="797">
        <f t="shared" si="0"/>
        <v>56</v>
      </c>
      <c r="BL2" s="797">
        <f t="shared" si="0"/>
        <v>57</v>
      </c>
      <c r="BM2" s="797">
        <f t="shared" si="0"/>
        <v>58</v>
      </c>
      <c r="BN2" s="797">
        <f t="shared" si="0"/>
        <v>59</v>
      </c>
      <c r="BO2" s="797">
        <f t="shared" si="0"/>
        <v>60</v>
      </c>
      <c r="BP2" s="797">
        <f t="shared" si="0"/>
        <v>61</v>
      </c>
      <c r="BQ2" s="797">
        <f t="shared" si="0"/>
        <v>62</v>
      </c>
      <c r="BR2" s="797">
        <f t="shared" si="0"/>
        <v>63</v>
      </c>
      <c r="BS2" s="797">
        <f t="shared" si="0"/>
        <v>64</v>
      </c>
      <c r="BT2" s="797">
        <f t="shared" si="0"/>
        <v>65</v>
      </c>
      <c r="BU2" s="797">
        <f t="shared" si="0"/>
        <v>66</v>
      </c>
    </row>
    <row r="3" spans="1:73" ht="14.25" customHeight="1" x14ac:dyDescent="0.2">
      <c r="A3" s="16"/>
      <c r="B3" s="798" t="s">
        <v>693</v>
      </c>
      <c r="C3" s="26">
        <v>0.02</v>
      </c>
      <c r="D3" s="11">
        <f>MONTH(Inputs!$C$8)-1</f>
        <v>0</v>
      </c>
      <c r="E3" s="807">
        <f t="array" ref="E3">INDEX('Attrition Modeling'!$X$2:$AF$63,MATCH($F3,'Attrition Modeling'!$X$2:$X$63,0),MATCH(Inputs!$C$10,'Attrition Modeling'!$X$2:$AF$2,0))</f>
        <v>0.12937802129018236</v>
      </c>
      <c r="F3" s="11">
        <v>0</v>
      </c>
      <c r="G3" s="799">
        <f>Summary!$C$25*$E3</f>
        <v>0</v>
      </c>
      <c r="H3" s="808">
        <f>(G3+H135)*(1-IFERROR(IF(H$2+$F3&lt;=12,SUMIFS('Attrition Modeling'!$D:$D,'Attrition Modeling'!$B:$B,'IP Attrition'!$D3,'Attrition Modeling'!$C:$C,'IP Attrition'!H$1),VLOOKUP($F3+H$2,$A$6:$C$106,2,FALSE)*VLOOKUP(H$1,'Attrition Modeling'!$L$15:$N$27,IF(H$2+$F3&lt;=24,2,3),FALSE)),$C$3)*(1+Projection!J$16)*(1+IF(H135&gt;0,'Attrition Modeling'!$N$9,0)))</f>
        <v>0</v>
      </c>
      <c r="I3" s="808">
        <f>(H3+I135)*(1-IFERROR(IF(I$2+$F3&lt;=12,SUMIFS('Attrition Modeling'!$D:$D,'Attrition Modeling'!$B:$B,'IP Attrition'!$D3,'Attrition Modeling'!$C:$C,'IP Attrition'!I$1),VLOOKUP($F3+I$2,$A$6:$C$106,2,FALSE)*VLOOKUP(I$1,'Attrition Modeling'!$L$15:$N$27,IF(I$2+$F3&lt;=24,2,3),FALSE)),$C$3)*(1+Projection!K$16)*(1+IF(I135&gt;0,'Attrition Modeling'!$N$9,0)))</f>
        <v>0</v>
      </c>
      <c r="J3" s="808">
        <f>(I3+J135)*(1-IFERROR(IF(J$2+$F3&lt;=12,SUMIFS('Attrition Modeling'!$D:$D,'Attrition Modeling'!$B:$B,'IP Attrition'!$D3,'Attrition Modeling'!$C:$C,'IP Attrition'!J$1),VLOOKUP($F3+J$2,$A$6:$C$106,2,FALSE)*VLOOKUP(J$1,'Attrition Modeling'!$L$15:$N$27,IF(J$2+$F3&lt;=24,2,3),FALSE)),$C$3)*(1+Projection!L$16)*(1+IF(J135&gt;0,'Attrition Modeling'!$N$9,0)))</f>
        <v>0</v>
      </c>
      <c r="K3" s="808">
        <f>(J3+K135)*(1-IFERROR(IF(K$2+$F3&lt;=12,SUMIFS('Attrition Modeling'!$D:$D,'Attrition Modeling'!$B:$B,'IP Attrition'!$D3,'Attrition Modeling'!$C:$C,'IP Attrition'!K$1),VLOOKUP($F3+K$2,$A$6:$C$106,2,FALSE)*VLOOKUP(K$1,'Attrition Modeling'!$L$15:$N$27,IF(K$2+$F3&lt;=24,2,3),FALSE)),$C$3)*(1+Projection!M$16)*(1+IF(K135&gt;0,'Attrition Modeling'!$N$9,0)))</f>
        <v>0</v>
      </c>
      <c r="L3" s="808">
        <f>(K3+L135)*(1-IFERROR(IF(L$2+$F3&lt;=12,SUMIFS('Attrition Modeling'!$D:$D,'Attrition Modeling'!$B:$B,'IP Attrition'!$D3,'Attrition Modeling'!$C:$C,'IP Attrition'!L$1),VLOOKUP($F3+L$2,$A$6:$C$106,2,FALSE)*VLOOKUP(L$1,'Attrition Modeling'!$L$15:$N$27,IF(L$2+$F3&lt;=24,2,3),FALSE)),$C$3)*(1+Projection!N$16)*(1+IF(L135&gt;0,'Attrition Modeling'!$N$9,0)))</f>
        <v>0</v>
      </c>
      <c r="M3" s="808">
        <f>(L3+M135)*(1-IFERROR(IF(M$2+$F3&lt;=12,SUMIFS('Attrition Modeling'!$D:$D,'Attrition Modeling'!$B:$B,'IP Attrition'!$D3,'Attrition Modeling'!$C:$C,'IP Attrition'!M$1),VLOOKUP($F3+M$2,$A$6:$C$106,2,FALSE)*VLOOKUP(M$1,'Attrition Modeling'!$L$15:$N$27,IF(M$2+$F3&lt;=24,2,3),FALSE)),$C$3)*(1+Projection!O$16)*(1+IF(M135&gt;0,'Attrition Modeling'!$N$9,0)))</f>
        <v>0</v>
      </c>
      <c r="N3" s="808">
        <f>(M3+N135)*(1-IFERROR(IF(N$2+$F3&lt;=12,SUMIFS('Attrition Modeling'!$D:$D,'Attrition Modeling'!$B:$B,'IP Attrition'!$D3,'Attrition Modeling'!$C:$C,'IP Attrition'!N$1),VLOOKUP($F3+N$2,$A$6:$C$106,2,FALSE)*VLOOKUP(N$1,'Attrition Modeling'!$L$15:$N$27,IF(N$2+$F3&lt;=24,2,3),FALSE)),$C$3)*(1+Projection!P$16)*(1+IF(N135&gt;0,'Attrition Modeling'!$N$9,0)))</f>
        <v>0</v>
      </c>
      <c r="O3" s="808">
        <f>(N3+O135)*(1-IFERROR(IF(O$2+$F3&lt;=12,SUMIFS('Attrition Modeling'!$D:$D,'Attrition Modeling'!$B:$B,'IP Attrition'!$D3,'Attrition Modeling'!$C:$C,'IP Attrition'!O$1),VLOOKUP($F3+O$2,$A$6:$C$106,2,FALSE)*VLOOKUP(O$1,'Attrition Modeling'!$L$15:$N$27,IF(O$2+$F3&lt;=24,2,3),FALSE)),$C$3)*(1+Projection!Q$16)*(1+IF(O135&gt;0,'Attrition Modeling'!$N$9,0)))</f>
        <v>0</v>
      </c>
      <c r="P3" s="808">
        <f>(O3+P135)*(1-IFERROR(IF(P$2+$F3&lt;=12,SUMIFS('Attrition Modeling'!$D:$D,'Attrition Modeling'!$B:$B,'IP Attrition'!$D3,'Attrition Modeling'!$C:$C,'IP Attrition'!P$1),VLOOKUP($F3+P$2,$A$6:$C$106,2,FALSE)*VLOOKUP(P$1,'Attrition Modeling'!$L$15:$N$27,IF(P$2+$F3&lt;=24,2,3),FALSE)),$C$3)*(1+Projection!R$16)*(1+IF(P135&gt;0,'Attrition Modeling'!$N$9,0)))</f>
        <v>0</v>
      </c>
      <c r="Q3" s="808">
        <f>(P3+Q135)*(1-IFERROR(IF(Q$2+$F3&lt;=12,SUMIFS('Attrition Modeling'!$D:$D,'Attrition Modeling'!$B:$B,'IP Attrition'!$D3,'Attrition Modeling'!$C:$C,'IP Attrition'!Q$1),VLOOKUP($F3+Q$2,$A$6:$C$106,2,FALSE)*VLOOKUP(Q$1,'Attrition Modeling'!$L$15:$N$27,IF(Q$2+$F3&lt;=24,2,3),FALSE)),$C$3)*(1+Projection!S$16)*(1+IF(Q135&gt;0,'Attrition Modeling'!$N$9,0)))</f>
        <v>0</v>
      </c>
      <c r="R3" s="808">
        <f>(Q3+R135)*(1-IFERROR(IF(R$2+$F3&lt;=12,SUMIFS('Attrition Modeling'!$D:$D,'Attrition Modeling'!$B:$B,'IP Attrition'!$D3,'Attrition Modeling'!$C:$C,'IP Attrition'!R$1),VLOOKUP($F3+R$2,$A$6:$C$106,2,FALSE)*VLOOKUP(R$1,'Attrition Modeling'!$L$15:$N$27,IF(R$2+$F3&lt;=24,2,3),FALSE)),$C$3)*(1+Projection!T$16)*(1+IF(R135&gt;0,'Attrition Modeling'!$N$9,0)))</f>
        <v>0</v>
      </c>
      <c r="S3" s="808">
        <f>(R3+S135)*(1-IFERROR(IF(S$2+$F3&lt;=12,SUMIFS('Attrition Modeling'!$D:$D,'Attrition Modeling'!$B:$B,'IP Attrition'!$D3,'Attrition Modeling'!$C:$C,'IP Attrition'!S$1),VLOOKUP($F3+S$2,$A$6:$C$106,2,FALSE)*VLOOKUP(S$1,'Attrition Modeling'!$L$15:$N$27,IF(S$2+$F3&lt;=24,2,3),FALSE)),$C$3)*(1+Projection!U$16)*(1+IF(S135&gt;0,'Attrition Modeling'!$N$9,0)))</f>
        <v>0</v>
      </c>
      <c r="T3" s="799">
        <f>(S3+T135)*(1-IFERROR(IF(T$2+$F3&lt;=12,SUMIFS('Attrition Modeling'!$D:$D,'Attrition Modeling'!$B:$B,'IP Attrition'!$D3,'Attrition Modeling'!$C:$C,'IP Attrition'!T$1),VLOOKUP($F3+T$2,$A$6:$C$106,2,FALSE)*VLOOKUP(T$1,'Attrition Modeling'!$L$15:$N$27,IF(T$2+$F3&lt;=24,2,3),FALSE)),$C$3)*(1+Projection!V$16)*(1+IF(T135&gt;0,'Attrition Modeling'!$N$9,0)))</f>
        <v>0</v>
      </c>
      <c r="U3" s="799">
        <f>(T3+U135)*(1-IFERROR(IF(U$2+$F3&lt;=12,SUMIFS('Attrition Modeling'!$D:$D,'Attrition Modeling'!$B:$B,'IP Attrition'!$D3,'Attrition Modeling'!$C:$C,'IP Attrition'!U$1),VLOOKUP($F3+U$2,$A$6:$C$106,2,FALSE)*VLOOKUP(U$1,'Attrition Modeling'!$L$15:$N$27,IF(U$2+$F3&lt;=24,2,3),FALSE)),$C$3)*(1+Projection!W$16)*(1+IF(U135&gt;0,'Attrition Modeling'!$N$9,0)))</f>
        <v>0</v>
      </c>
      <c r="V3" s="799">
        <f>(U3+V135)*(1-IFERROR(IF(V$2+$F3&lt;=12,SUMIFS('Attrition Modeling'!$D:$D,'Attrition Modeling'!$B:$B,'IP Attrition'!$D3,'Attrition Modeling'!$C:$C,'IP Attrition'!V$1),VLOOKUP($F3+V$2,$A$6:$C$106,2,FALSE)*VLOOKUP(V$1,'Attrition Modeling'!$L$15:$N$27,IF(V$2+$F3&lt;=24,2,3),FALSE)),$C$3)*(1+Projection!X$16)*(1+IF(V135&gt;0,'Attrition Modeling'!$N$9,0)))</f>
        <v>0</v>
      </c>
      <c r="W3" s="799">
        <f>(V3+W135)*(1-IFERROR(IF(W$2+$F3&lt;=12,SUMIFS('Attrition Modeling'!$D:$D,'Attrition Modeling'!$B:$B,'IP Attrition'!$D3,'Attrition Modeling'!$C:$C,'IP Attrition'!W$1),VLOOKUP($F3+W$2,$A$6:$C$106,2,FALSE)*VLOOKUP(W$1,'Attrition Modeling'!$L$15:$N$27,IF(W$2+$F3&lt;=24,2,3),FALSE)),$C$3)*(1+Projection!Y$16)*(1+IF(W135&gt;0,'Attrition Modeling'!$N$9,0)))</f>
        <v>0</v>
      </c>
      <c r="X3" s="799">
        <f>(W3+X135)*(1-IFERROR(IF(X$2+$F3&lt;=12,SUMIFS('Attrition Modeling'!$D:$D,'Attrition Modeling'!$B:$B,'IP Attrition'!$D3,'Attrition Modeling'!$C:$C,'IP Attrition'!X$1),VLOOKUP($F3+X$2,$A$6:$C$106,2,FALSE)*VLOOKUP(X$1,'Attrition Modeling'!$L$15:$N$27,IF(X$2+$F3&lt;=24,2,3),FALSE)),$C$3)*(1+Projection!Z$16)*(1+IF(X135&gt;0,'Attrition Modeling'!$N$9,0)))</f>
        <v>0</v>
      </c>
      <c r="Y3" s="799">
        <f>(X3+Y135)*(1-IFERROR(IF(Y$2+$F3&lt;=12,SUMIFS('Attrition Modeling'!$D:$D,'Attrition Modeling'!$B:$B,'IP Attrition'!$D3,'Attrition Modeling'!$C:$C,'IP Attrition'!Y$1),VLOOKUP($F3+Y$2,$A$6:$C$106,2,FALSE)*VLOOKUP(Y$1,'Attrition Modeling'!$L$15:$N$27,IF(Y$2+$F3&lt;=24,2,3),FALSE)),$C$3)*(1+Projection!AA$16)*(1+IF(Y135&gt;0,'Attrition Modeling'!$N$9,0)))</f>
        <v>0</v>
      </c>
      <c r="Z3" s="799">
        <f>(Y3+Z135)*(1-IFERROR(IF(Z$2+$F3&lt;=12,SUMIFS('Attrition Modeling'!$D:$D,'Attrition Modeling'!$B:$B,'IP Attrition'!$D3,'Attrition Modeling'!$C:$C,'IP Attrition'!Z$1),VLOOKUP($F3+Z$2,$A$6:$C$106,2,FALSE)*VLOOKUP(Z$1,'Attrition Modeling'!$L$15:$N$27,IF(Z$2+$F3&lt;=24,2,3),FALSE)),$C$3)*(1+Projection!AB$16)*(1+IF(Z135&gt;0,'Attrition Modeling'!$N$9,0)))</f>
        <v>0</v>
      </c>
      <c r="AA3" s="799">
        <f>(Z3+AA135)*(1-IFERROR(IF(AA$2+$F3&lt;=12,SUMIFS('Attrition Modeling'!$D:$D,'Attrition Modeling'!$B:$B,'IP Attrition'!$D3,'Attrition Modeling'!$C:$C,'IP Attrition'!AA$1),VLOOKUP($F3+AA$2,$A$6:$C$106,2,FALSE)*VLOOKUP(AA$1,'Attrition Modeling'!$L$15:$N$27,IF(AA$2+$F3&lt;=24,2,3),FALSE)),$C$3)*(1+Projection!AC$16)*(1+IF(AA135&gt;0,'Attrition Modeling'!$N$9,0)))</f>
        <v>0</v>
      </c>
      <c r="AB3" s="799">
        <f>(AA3+AB135)*(1-IFERROR(IF(AB$2+$F3&lt;=12,SUMIFS('Attrition Modeling'!$D:$D,'Attrition Modeling'!$B:$B,'IP Attrition'!$D3,'Attrition Modeling'!$C:$C,'IP Attrition'!AB$1),VLOOKUP($F3+AB$2,$A$6:$C$106,2,FALSE)*VLOOKUP(AB$1,'Attrition Modeling'!$L$15:$N$27,IF(AB$2+$F3&lt;=24,2,3),FALSE)),$C$3)*(1+Projection!AD$16)*(1+IF(AB135&gt;0,'Attrition Modeling'!$N$9,0)))</f>
        <v>0</v>
      </c>
      <c r="AC3" s="799">
        <f>(AB3+AC135)*(1-IFERROR(IF(AC$2+$F3&lt;=12,SUMIFS('Attrition Modeling'!$D:$D,'Attrition Modeling'!$B:$B,'IP Attrition'!$D3,'Attrition Modeling'!$C:$C,'IP Attrition'!AC$1),VLOOKUP($F3+AC$2,$A$6:$C$106,2,FALSE)*VLOOKUP(AC$1,'Attrition Modeling'!$L$15:$N$27,IF(AC$2+$F3&lt;=24,2,3),FALSE)),$C$3)*(1+Projection!AE$16)*(1+IF(AC135&gt;0,'Attrition Modeling'!$N$9,0)))</f>
        <v>0</v>
      </c>
      <c r="AD3" s="799">
        <f>(AC3+AD135)*(1-IFERROR(IF(AD$2+$F3&lt;=12,SUMIFS('Attrition Modeling'!$D:$D,'Attrition Modeling'!$B:$B,'IP Attrition'!$D3,'Attrition Modeling'!$C:$C,'IP Attrition'!AD$1),VLOOKUP($F3+AD$2,$A$6:$C$106,2,FALSE)*VLOOKUP(AD$1,'Attrition Modeling'!$L$15:$N$27,IF(AD$2+$F3&lt;=24,2,3),FALSE)),$C$3)*(1+Projection!AF$16)*(1+IF(AD135&gt;0,'Attrition Modeling'!$N$9,0)))</f>
        <v>0</v>
      </c>
      <c r="AE3" s="799">
        <f>(AD3+AE135)*(1-IFERROR(IF(AE$2+$F3&lt;=12,SUMIFS('Attrition Modeling'!$D:$D,'Attrition Modeling'!$B:$B,'IP Attrition'!$D3,'Attrition Modeling'!$C:$C,'IP Attrition'!AE$1),VLOOKUP($F3+AE$2,$A$6:$C$106,2,FALSE)*VLOOKUP(AE$1,'Attrition Modeling'!$L$15:$N$27,IF(AE$2+$F3&lt;=24,2,3),FALSE)),$C$3)*(1+Projection!AG$16)*(1+IF(AE135&gt;0,'Attrition Modeling'!$N$9,0)))</f>
        <v>0</v>
      </c>
      <c r="AF3" s="799">
        <f>(AE3+AF135)*(1-IFERROR(IF(AF$2+$F3&lt;=12,SUMIFS('Attrition Modeling'!$D:$D,'Attrition Modeling'!$B:$B,'IP Attrition'!$D3,'Attrition Modeling'!$C:$C,'IP Attrition'!AF$1),VLOOKUP($F3+AF$2,$A$6:$C$106,2,FALSE)*VLOOKUP(AF$1,'Attrition Modeling'!$L$15:$N$27,IF(AF$2+$F3&lt;=24,2,3),FALSE)),$C$3)*(1+Projection!AH$16)*(1+IF(AF135&gt;0,'Attrition Modeling'!$N$9,0)))</f>
        <v>0</v>
      </c>
      <c r="AG3" s="799">
        <f>(AF3+AG135)*(1-IFERROR(IF(AG$2+$F3&lt;=12,SUMIFS('Attrition Modeling'!$D:$D,'Attrition Modeling'!$B:$B,'IP Attrition'!$D3,'Attrition Modeling'!$C:$C,'IP Attrition'!AG$1),VLOOKUP($F3+AG$2,$A$6:$C$106,2,FALSE)*VLOOKUP(AG$1,'Attrition Modeling'!$L$15:$N$27,IF(AG$2+$F3&lt;=24,2,3),FALSE)),$C$3)*(1+Projection!AI$16)*(1+IF(AG135&gt;0,'Attrition Modeling'!$N$9,0)))</f>
        <v>0</v>
      </c>
      <c r="AH3" s="799">
        <f>(AG3+AH135)*(1-IFERROR(IF(AH$2+$F3&lt;=12,SUMIFS('Attrition Modeling'!$D:$D,'Attrition Modeling'!$B:$B,'IP Attrition'!$D3,'Attrition Modeling'!$C:$C,'IP Attrition'!AH$1),VLOOKUP($F3+AH$2,$A$6:$C$106,2,FALSE)*VLOOKUP(AH$1,'Attrition Modeling'!$L$15:$N$27,IF(AH$2+$F3&lt;=24,2,3),FALSE)),$C$3)*(1+Projection!AJ$16)*(1+IF(AH135&gt;0,'Attrition Modeling'!$N$9,0)))</f>
        <v>0</v>
      </c>
      <c r="AI3" s="799">
        <f>(AH3+AI135)*(1-IFERROR(IF(AI$2+$F3&lt;=12,SUMIFS('Attrition Modeling'!$D:$D,'Attrition Modeling'!$B:$B,'IP Attrition'!$D3,'Attrition Modeling'!$C:$C,'IP Attrition'!AI$1),VLOOKUP($F3+AI$2,$A$6:$C$106,2,FALSE)*VLOOKUP(AI$1,'Attrition Modeling'!$L$15:$N$27,IF(AI$2+$F3&lt;=24,2,3),FALSE)),$C$3)*(1+Projection!AK$16)*(1+IF(AI135&gt;0,'Attrition Modeling'!$N$9,0)))</f>
        <v>0</v>
      </c>
      <c r="AJ3" s="799">
        <f>(AI3+AJ135)*(1-IFERROR(IF(AJ$2+$F3&lt;=12,SUMIFS('Attrition Modeling'!$D:$D,'Attrition Modeling'!$B:$B,'IP Attrition'!$D3,'Attrition Modeling'!$C:$C,'IP Attrition'!AJ$1),VLOOKUP($F3+AJ$2,$A$6:$C$106,2,FALSE)*VLOOKUP(AJ$1,'Attrition Modeling'!$L$15:$N$27,IF(AJ$2+$F3&lt;=24,2,3),FALSE)),$C$3)*(1+Projection!AL$16)*(1+IF(AJ135&gt;0,'Attrition Modeling'!$N$9,0)))</f>
        <v>0</v>
      </c>
      <c r="AK3" s="799">
        <f>(AJ3+AK135)*(1-IFERROR(IF(AK$2+$F3&lt;=12,SUMIFS('Attrition Modeling'!$D:$D,'Attrition Modeling'!$B:$B,'IP Attrition'!$D3,'Attrition Modeling'!$C:$C,'IP Attrition'!AK$1),VLOOKUP($F3+AK$2,$A$6:$C$106,2,FALSE)*VLOOKUP(AK$1,'Attrition Modeling'!$L$15:$N$27,IF(AK$2+$F3&lt;=24,2,3),FALSE)),$C$3)*(1+Projection!AM$16)*(1+IF(AK135&gt;0,'Attrition Modeling'!$N$9,0)))</f>
        <v>0</v>
      </c>
      <c r="AL3" s="799">
        <f>(AK3+AL135)*(1-IFERROR(IF(AL$2+$F3&lt;=12,SUMIFS('Attrition Modeling'!$D:$D,'Attrition Modeling'!$B:$B,'IP Attrition'!$D3,'Attrition Modeling'!$C:$C,'IP Attrition'!AL$1),VLOOKUP($F3+AL$2,$A$6:$C$106,2,FALSE)*VLOOKUP(AL$1,'Attrition Modeling'!$L$15:$N$27,IF(AL$2+$F3&lt;=24,2,3),FALSE)),$C$3)*(1+Projection!AN$16)*(1+IF(AL135&gt;0,'Attrition Modeling'!$N$9,0)))</f>
        <v>0</v>
      </c>
      <c r="AM3" s="799">
        <f>(AL3+AM135)*(1-IFERROR(IF(AM$2+$F3&lt;=12,SUMIFS('Attrition Modeling'!$D:$D,'Attrition Modeling'!$B:$B,'IP Attrition'!$D3,'Attrition Modeling'!$C:$C,'IP Attrition'!AM$1),VLOOKUP($F3+AM$2,$A$6:$C$106,2,FALSE)*VLOOKUP(AM$1,'Attrition Modeling'!$L$15:$N$27,IF(AM$2+$F3&lt;=24,2,3),FALSE)),$C$3)*(1+Projection!AO$16)*(1+IF(AM135&gt;0,'Attrition Modeling'!$N$9,0)))</f>
        <v>0</v>
      </c>
      <c r="AN3" s="799">
        <f>(AM3+AN135)*(1-IFERROR(IF(AN$2+$F3&lt;=12,SUMIFS('Attrition Modeling'!$D:$D,'Attrition Modeling'!$B:$B,'IP Attrition'!$D3,'Attrition Modeling'!$C:$C,'IP Attrition'!AN$1),VLOOKUP($F3+AN$2,$A$6:$C$106,2,FALSE)*VLOOKUP(AN$1,'Attrition Modeling'!$L$15:$N$27,IF(AN$2+$F3&lt;=24,2,3),FALSE)),$C$3)*(1+Projection!AP$16)*(1+IF(AN135&gt;0,'Attrition Modeling'!$N$9,0)))</f>
        <v>0</v>
      </c>
      <c r="AO3" s="799">
        <f>(AN3+AO135)*(1-IFERROR(IF(AO$2+$F3&lt;=12,SUMIFS('Attrition Modeling'!$D:$D,'Attrition Modeling'!$B:$B,'IP Attrition'!$D3,'Attrition Modeling'!$C:$C,'IP Attrition'!AO$1),VLOOKUP($F3+AO$2,$A$6:$C$106,2,FALSE)*VLOOKUP(AO$1,'Attrition Modeling'!$L$15:$N$27,IF(AO$2+$F3&lt;=24,2,3),FALSE)),$C$3)*(1+Projection!AQ$16)*(1+IF(AO135&gt;0,'Attrition Modeling'!$N$9,0)))</f>
        <v>0</v>
      </c>
      <c r="AP3" s="799">
        <f>(AO3+AP135)*(1-IFERROR(IF(AP$2+$F3&lt;=12,SUMIFS('Attrition Modeling'!$D:$D,'Attrition Modeling'!$B:$B,'IP Attrition'!$D3,'Attrition Modeling'!$C:$C,'IP Attrition'!AP$1),VLOOKUP($F3+AP$2,$A$6:$C$106,2,FALSE)*VLOOKUP(AP$1,'Attrition Modeling'!$L$15:$N$27,IF(AP$2+$F3&lt;=24,2,3),FALSE)),$C$3)*(1+Projection!AR$16)*(1+IF(AP135&gt;0,'Attrition Modeling'!$N$9,0)))</f>
        <v>0</v>
      </c>
      <c r="AQ3" s="799">
        <f>(AP3+AQ135)*(1-IFERROR(IF(AQ$2+$F3&lt;=12,SUMIFS('Attrition Modeling'!$D:$D,'Attrition Modeling'!$B:$B,'IP Attrition'!$D3,'Attrition Modeling'!$C:$C,'IP Attrition'!AQ$1),VLOOKUP($F3+AQ$2,$A$6:$C$106,2,FALSE)*VLOOKUP(AQ$1,'Attrition Modeling'!$L$15:$N$27,IF(AQ$2+$F3&lt;=24,2,3),FALSE)),$C$3)*(1+Projection!AS$16)*(1+IF(AQ135&gt;0,'Attrition Modeling'!$N$9,0)))</f>
        <v>0</v>
      </c>
      <c r="AR3" s="799">
        <f>(AQ3+AR135)*(1-IFERROR(IF(AR$2+$F3&lt;=12,SUMIFS('Attrition Modeling'!$D:$D,'Attrition Modeling'!$B:$B,'IP Attrition'!$D3,'Attrition Modeling'!$C:$C,'IP Attrition'!AR$1),VLOOKUP($F3+AR$2,$A$6:$C$106,2,FALSE)*VLOOKUP(AR$1,'Attrition Modeling'!$L$15:$N$27,IF(AR$2+$F3&lt;=24,2,3),FALSE)),$C$3)*(1+Projection!AT$16)*(1+IF(AR135&gt;0,'Attrition Modeling'!$N$9,0)))</f>
        <v>0</v>
      </c>
      <c r="AS3" s="799">
        <f>(AR3+AS135)*(1-IFERROR(IF(AS$2+$F3&lt;=12,SUMIFS('Attrition Modeling'!$D:$D,'Attrition Modeling'!$B:$B,'IP Attrition'!$D3,'Attrition Modeling'!$C:$C,'IP Attrition'!AS$1),VLOOKUP($F3+AS$2,$A$6:$C$106,2,FALSE)*VLOOKUP(AS$1,'Attrition Modeling'!$L$15:$N$27,IF(AS$2+$F3&lt;=24,2,3),FALSE)),$C$3)*(1+Projection!AU$16)*(1+IF(AS135&gt;0,'Attrition Modeling'!$N$9,0)))</f>
        <v>0</v>
      </c>
      <c r="AT3" s="799">
        <f>(AS3+AT135)*(1-IFERROR(IF(AT$2+$F3&lt;=12,SUMIFS('Attrition Modeling'!$D:$D,'Attrition Modeling'!$B:$B,'IP Attrition'!$D3,'Attrition Modeling'!$C:$C,'IP Attrition'!AT$1),VLOOKUP($F3+AT$2,$A$6:$C$106,2,FALSE)*VLOOKUP(AT$1,'Attrition Modeling'!$L$15:$N$27,IF(AT$2+$F3&lt;=24,2,3),FALSE)),$C$3)*(1+Projection!AV$16)*(1+IF(AT135&gt;0,'Attrition Modeling'!$N$9,0)))</f>
        <v>0</v>
      </c>
      <c r="AU3" s="799">
        <f>(AT3+AU135)*(1-IFERROR(IF(AU$2+$F3&lt;=12,SUMIFS('Attrition Modeling'!$D:$D,'Attrition Modeling'!$B:$B,'IP Attrition'!$D3,'Attrition Modeling'!$C:$C,'IP Attrition'!AU$1),VLOOKUP($F3+AU$2,$A$6:$C$106,2,FALSE)*VLOOKUP(AU$1,'Attrition Modeling'!$L$15:$N$27,IF(AU$2+$F3&lt;=24,2,3),FALSE)),$C$3)*(1+Projection!AW$16)*(1+IF(AU135&gt;0,'Attrition Modeling'!$N$9,0)))</f>
        <v>0</v>
      </c>
      <c r="AV3" s="799">
        <f>(AU3+AV135)*(1-IFERROR(IF(AV$2+$F3&lt;=12,SUMIFS('Attrition Modeling'!$D:$D,'Attrition Modeling'!$B:$B,'IP Attrition'!$D3,'Attrition Modeling'!$C:$C,'IP Attrition'!AV$1),VLOOKUP($F3+AV$2,$A$6:$C$106,2,FALSE)*VLOOKUP(AV$1,'Attrition Modeling'!$L$15:$N$27,IF(AV$2+$F3&lt;=24,2,3),FALSE)),$C$3)*(1+Projection!AX$16)*(1+IF(AV135&gt;0,'Attrition Modeling'!$N$9,0)))</f>
        <v>0</v>
      </c>
      <c r="AW3" s="799">
        <f>(AV3+AW135)*(1-IFERROR(IF(AW$2+$F3&lt;=12,SUMIFS('Attrition Modeling'!$D:$D,'Attrition Modeling'!$B:$B,'IP Attrition'!$D3,'Attrition Modeling'!$C:$C,'IP Attrition'!AW$1),VLOOKUP($F3+AW$2,$A$6:$C$106,2,FALSE)*VLOOKUP(AW$1,'Attrition Modeling'!$L$15:$N$27,IF(AW$2+$F3&lt;=24,2,3),FALSE)),$C$3)*(1+Projection!AY$16)*(1+IF(AW135&gt;0,'Attrition Modeling'!$N$9,0)))</f>
        <v>0</v>
      </c>
      <c r="AX3" s="799">
        <f>(AW3+AX135)*(1-IFERROR(IF(AX$2+$F3&lt;=12,SUMIFS('Attrition Modeling'!$D:$D,'Attrition Modeling'!$B:$B,'IP Attrition'!$D3,'Attrition Modeling'!$C:$C,'IP Attrition'!AX$1),VLOOKUP($F3+AX$2,$A$6:$C$106,2,FALSE)*VLOOKUP(AX$1,'Attrition Modeling'!$L$15:$N$27,IF(AX$2+$F3&lt;=24,2,3),FALSE)),$C$3)*(1+Projection!AZ$16)*(1+IF(AX135&gt;0,'Attrition Modeling'!$N$9,0)))</f>
        <v>0</v>
      </c>
      <c r="AY3" s="799">
        <f>(AX3+AY135)*(1-IFERROR(IF(AY$2+$F3&lt;=12,SUMIFS('Attrition Modeling'!$D:$D,'Attrition Modeling'!$B:$B,'IP Attrition'!$D3,'Attrition Modeling'!$C:$C,'IP Attrition'!AY$1),VLOOKUP($F3+AY$2,$A$6:$C$106,2,FALSE)*VLOOKUP(AY$1,'Attrition Modeling'!$L$15:$N$27,IF(AY$2+$F3&lt;=24,2,3),FALSE)),$C$3)*(1+Projection!BA$16)*(1+IF(AY135&gt;0,'Attrition Modeling'!$N$9,0)))</f>
        <v>0</v>
      </c>
      <c r="AZ3" s="799">
        <f>(AY3+AZ135)*(1-IFERROR(IF(AZ$2+$F3&lt;=12,SUMIFS('Attrition Modeling'!$D:$D,'Attrition Modeling'!$B:$B,'IP Attrition'!$D3,'Attrition Modeling'!$C:$C,'IP Attrition'!AZ$1),VLOOKUP($F3+AZ$2,$A$6:$C$106,2,FALSE)*VLOOKUP(AZ$1,'Attrition Modeling'!$L$15:$N$27,IF(AZ$2+$F3&lt;=24,2,3),FALSE)),$C$3)*(1+Projection!BB$16)*(1+IF(AZ135&gt;0,'Attrition Modeling'!$N$9,0)))</f>
        <v>0</v>
      </c>
      <c r="BA3" s="799">
        <f>(AZ3+BA135)*(1-IFERROR(IF(BA$2+$F3&lt;=12,SUMIFS('Attrition Modeling'!$D:$D,'Attrition Modeling'!$B:$B,'IP Attrition'!$D3,'Attrition Modeling'!$C:$C,'IP Attrition'!BA$1),VLOOKUP($F3+BA$2,$A$6:$C$106,2,FALSE)*VLOOKUP(BA$1,'Attrition Modeling'!$L$15:$N$27,IF(BA$2+$F3&lt;=24,2,3),FALSE)),$C$3)*(1+Projection!BC$16)*(1+IF(BA135&gt;0,'Attrition Modeling'!$N$9,0)))</f>
        <v>0</v>
      </c>
      <c r="BB3" s="799">
        <f>(BA3+BB135)*(1-IFERROR(IF(BB$2+$F3&lt;=12,SUMIFS('Attrition Modeling'!$D:$D,'Attrition Modeling'!$B:$B,'IP Attrition'!$D3,'Attrition Modeling'!$C:$C,'IP Attrition'!BB$1),VLOOKUP($F3+BB$2,$A$6:$C$106,2,FALSE)*VLOOKUP(BB$1,'Attrition Modeling'!$L$15:$N$27,IF(BB$2+$F3&lt;=24,2,3),FALSE)),$C$3)*(1+Projection!BD$16)*(1+IF(BB135&gt;0,'Attrition Modeling'!$N$9,0)))</f>
        <v>0</v>
      </c>
      <c r="BC3" s="799">
        <f>(BB3+BC135)*(1-IFERROR(IF(BC$2+$F3&lt;=12,SUMIFS('Attrition Modeling'!$D:$D,'Attrition Modeling'!$B:$B,'IP Attrition'!$D3,'Attrition Modeling'!$C:$C,'IP Attrition'!BC$1),VLOOKUP($F3+BC$2,$A$6:$C$106,2,FALSE)*VLOOKUP(BC$1,'Attrition Modeling'!$L$15:$N$27,IF(BC$2+$F3&lt;=24,2,3),FALSE)),$C$3)*(1+Projection!BE$16)*(1+IF(BC135&gt;0,'Attrition Modeling'!$N$9,0)))</f>
        <v>0</v>
      </c>
      <c r="BD3" s="799">
        <f>(BC3+BD135)*(1-IFERROR(IF(BD$2+$F3&lt;=12,SUMIFS('Attrition Modeling'!$D:$D,'Attrition Modeling'!$B:$B,'IP Attrition'!$D3,'Attrition Modeling'!$C:$C,'IP Attrition'!BD$1),VLOOKUP($F3+BD$2,$A$6:$C$106,2,FALSE)*VLOOKUP(BD$1,'Attrition Modeling'!$L$15:$N$27,IF(BD$2+$F3&lt;=24,2,3),FALSE)),$C$3)*(1+Projection!BF$16)*(1+IF(BD135&gt;0,'Attrition Modeling'!$N$9,0)))</f>
        <v>0</v>
      </c>
      <c r="BE3" s="799">
        <f>(BD3+BE135)*(1-IFERROR(IF(BE$2+$F3&lt;=12,SUMIFS('Attrition Modeling'!$D:$D,'Attrition Modeling'!$B:$B,'IP Attrition'!$D3,'Attrition Modeling'!$C:$C,'IP Attrition'!BE$1),VLOOKUP($F3+BE$2,$A$6:$C$106,2,FALSE)*VLOOKUP(BE$1,'Attrition Modeling'!$L$15:$N$27,IF(BE$2+$F3&lt;=24,2,3),FALSE)),$C$3)*(1+Projection!BG$16)*(1+IF(BE135&gt;0,'Attrition Modeling'!$N$9,0)))</f>
        <v>0</v>
      </c>
      <c r="BF3" s="799">
        <f>(BE3+BF135)*(1-IFERROR(IF(BF$2+$F3&lt;=12,SUMIFS('Attrition Modeling'!$D:$D,'Attrition Modeling'!$B:$B,'IP Attrition'!$D3,'Attrition Modeling'!$C:$C,'IP Attrition'!BF$1),VLOOKUP($F3+BF$2,$A$6:$C$106,2,FALSE)*VLOOKUP(BF$1,'Attrition Modeling'!$L$15:$N$27,IF(BF$2+$F3&lt;=24,2,3),FALSE)),$C$3)*(1+Projection!BH$16)*(1+IF(BF135&gt;0,'Attrition Modeling'!$N$9,0)))</f>
        <v>0</v>
      </c>
      <c r="BG3" s="799">
        <f>(BF3+BG135)*(1-IFERROR(IF(BG$2+$F3&lt;=12,SUMIFS('Attrition Modeling'!$D:$D,'Attrition Modeling'!$B:$B,'IP Attrition'!$D3,'Attrition Modeling'!$C:$C,'IP Attrition'!BG$1),VLOOKUP($F3+BG$2,$A$6:$C$106,2,FALSE)*VLOOKUP(BG$1,'Attrition Modeling'!$L$15:$N$27,IF(BG$2+$F3&lt;=24,2,3),FALSE)),$C$3)*(1+Projection!BI$16)*(1+IF(BG135&gt;0,'Attrition Modeling'!$N$9,0)))</f>
        <v>0</v>
      </c>
      <c r="BH3" s="799">
        <f>(BG3+BH135)*(1-IFERROR(IF(BH$2+$F3&lt;=12,SUMIFS('Attrition Modeling'!$D:$D,'Attrition Modeling'!$B:$B,'IP Attrition'!$D3,'Attrition Modeling'!$C:$C,'IP Attrition'!BH$1),VLOOKUP($F3+BH$2,$A$6:$C$106,2,FALSE)*VLOOKUP(BH$1,'Attrition Modeling'!$L$15:$N$27,IF(BH$2+$F3&lt;=24,2,3),FALSE)),$C$3)*(1+Projection!BJ$16)*(1+IF(BH135&gt;0,'Attrition Modeling'!$N$9,0)))</f>
        <v>0</v>
      </c>
      <c r="BI3" s="799">
        <f>(BH3+BI135)*(1-IFERROR(IF(BI$2+$F3&lt;=12,SUMIFS('Attrition Modeling'!$D:$D,'Attrition Modeling'!$B:$B,'IP Attrition'!$D3,'Attrition Modeling'!$C:$C,'IP Attrition'!BI$1),VLOOKUP($F3+BI$2,$A$6:$C$106,2,FALSE)*VLOOKUP(BI$1,'Attrition Modeling'!$L$15:$N$27,IF(BI$2+$F3&lt;=24,2,3),FALSE)),$C$3)*(1+Projection!BK$16)*(1+IF(BI135&gt;0,'Attrition Modeling'!$N$9,0)))</f>
        <v>0</v>
      </c>
      <c r="BJ3" s="799">
        <f>(BI3+BJ135)*(1-IFERROR(IF(BJ$2+$F3&lt;=12,SUMIFS('Attrition Modeling'!$D:$D,'Attrition Modeling'!$B:$B,'IP Attrition'!$D3,'Attrition Modeling'!$C:$C,'IP Attrition'!BJ$1),VLOOKUP($F3+BJ$2,$A$6:$C$106,2,FALSE)*VLOOKUP(BJ$1,'Attrition Modeling'!$L$15:$N$27,IF(BJ$2+$F3&lt;=24,2,3),FALSE)),$C$3)*(1+Projection!BL$16)*(1+IF(BJ135&gt;0,'Attrition Modeling'!$N$9,0)))</f>
        <v>0</v>
      </c>
      <c r="BK3" s="799">
        <f>(BJ3+BK135)*(1-IFERROR(IF(BK$2+$F3&lt;=12,SUMIFS('Attrition Modeling'!$D:$D,'Attrition Modeling'!$B:$B,'IP Attrition'!$D3,'Attrition Modeling'!$C:$C,'IP Attrition'!BK$1),VLOOKUP($F3+BK$2,$A$6:$C$106,2,FALSE)*VLOOKUP(BK$1,'Attrition Modeling'!$L$15:$N$27,IF(BK$2+$F3&lt;=24,2,3),FALSE)),$C$3)*(1+Projection!BM$16)*(1+IF(BK135&gt;0,'Attrition Modeling'!$N$9,0)))</f>
        <v>0</v>
      </c>
      <c r="BL3" s="799">
        <f>(BK3+BL135)*(1-IFERROR(IF(BL$2+$F3&lt;=12,SUMIFS('Attrition Modeling'!$D:$D,'Attrition Modeling'!$B:$B,'IP Attrition'!$D3,'Attrition Modeling'!$C:$C,'IP Attrition'!BL$1),VLOOKUP($F3+BL$2,$A$6:$C$106,2,FALSE)*VLOOKUP(BL$1,'Attrition Modeling'!$L$15:$N$27,IF(BL$2+$F3&lt;=24,2,3),FALSE)),$C$3)*(1+Projection!BN$16)*(1+IF(BL135&gt;0,'Attrition Modeling'!$N$9,0)))</f>
        <v>0</v>
      </c>
      <c r="BM3" s="799">
        <f>(BL3+BM135)*(1-IFERROR(IF(BM$2+$F3&lt;=12,SUMIFS('Attrition Modeling'!$D:$D,'Attrition Modeling'!$B:$B,'IP Attrition'!$D3,'Attrition Modeling'!$C:$C,'IP Attrition'!BM$1),VLOOKUP($F3+BM$2,$A$6:$C$106,2,FALSE)*VLOOKUP(BM$1,'Attrition Modeling'!$L$15:$N$27,IF(BM$2+$F3&lt;=24,2,3),FALSE)),$C$3)*(1+Projection!BO$16)*(1+IF(BM135&gt;0,'Attrition Modeling'!$N$9,0)))</f>
        <v>0</v>
      </c>
      <c r="BN3" s="799">
        <f>(BM3+BN135)*(1-IFERROR(IF(BN$2+$F3&lt;=12,SUMIFS('Attrition Modeling'!$D:$D,'Attrition Modeling'!$B:$B,'IP Attrition'!$D3,'Attrition Modeling'!$C:$C,'IP Attrition'!BN$1),VLOOKUP($F3+BN$2,$A$6:$C$106,2,FALSE)*VLOOKUP(BN$1,'Attrition Modeling'!$L$15:$N$27,IF(BN$2+$F3&lt;=24,2,3),FALSE)),$C$3)*(1+Projection!BP$16)*(1+IF(BN135&gt;0,'Attrition Modeling'!$N$9,0)))</f>
        <v>0</v>
      </c>
      <c r="BO3" s="799">
        <f>(BN3+BO135)*(1-IFERROR(IF(BO$2+$F3&lt;=12,SUMIFS('Attrition Modeling'!$D:$D,'Attrition Modeling'!$B:$B,'IP Attrition'!$D3,'Attrition Modeling'!$C:$C,'IP Attrition'!BO$1),VLOOKUP($F3+BO$2,$A$6:$C$106,2,FALSE)*VLOOKUP(BO$1,'Attrition Modeling'!$L$15:$N$27,IF(BO$2+$F3&lt;=24,2,3),FALSE)),$C$3)*(1+Projection!BV$16)*(1+IF(BO135&gt;0,'Attrition Modeling'!$N$9,0)))</f>
        <v>0</v>
      </c>
      <c r="BP3" s="799">
        <f>(BO3+BP135)*(1-IFERROR(IF(BP$2+$F3&lt;=12,SUMIFS('Attrition Modeling'!$D:$D,'Attrition Modeling'!$B:$B,'IP Attrition'!$D3,'Attrition Modeling'!$C:$C,'IP Attrition'!BP$1),VLOOKUP($F3+BP$2,$A$6:$C$106,2,FALSE)*VLOOKUP(BP$1,'Attrition Modeling'!$L$15:$N$27,IF(BP$2+$F3&lt;=24,2,3),FALSE)),$C$3)*(1+Projection!BW$16)*(1+IF(BP135&gt;0,'Attrition Modeling'!$N$9,0)))</f>
        <v>0</v>
      </c>
      <c r="BQ3" s="799">
        <f>(BP3+BQ135)*(1-IFERROR(IF(BQ$2+$F3&lt;=12,SUMIFS('Attrition Modeling'!$D:$D,'Attrition Modeling'!$B:$B,'IP Attrition'!$D3,'Attrition Modeling'!$C:$C,'IP Attrition'!BQ$1),VLOOKUP($F3+BQ$2,$A$6:$C$106,2,FALSE)*VLOOKUP(BQ$1,'Attrition Modeling'!$L$15:$N$27,IF(BQ$2+$F3&lt;=24,2,3),FALSE)),$C$3)*(1+Projection!BX$16)*(1+IF(BQ135&gt;0,'Attrition Modeling'!$N$9,0)))</f>
        <v>0</v>
      </c>
      <c r="BR3" s="799">
        <f>(BQ3+BR135)*(1-IFERROR(IF(BR$2+$F3&lt;=12,SUMIFS('Attrition Modeling'!$D:$D,'Attrition Modeling'!$B:$B,'IP Attrition'!$D3,'Attrition Modeling'!$C:$C,'IP Attrition'!BR$1),VLOOKUP($F3+BR$2,$A$6:$C$106,2,FALSE)*VLOOKUP(BR$1,'Attrition Modeling'!$L$15:$N$27,IF(BR$2+$F3&lt;=24,2,3),FALSE)),$C$3)*(1+Projection!BY$16)*(1+IF(BR135&gt;0,'Attrition Modeling'!$N$9,0)))</f>
        <v>0</v>
      </c>
      <c r="BS3" s="799">
        <f>(BR3+BS135)*(1-IFERROR(IF(BS$2+$F3&lt;=12,SUMIFS('Attrition Modeling'!$D:$D,'Attrition Modeling'!$B:$B,'IP Attrition'!$D3,'Attrition Modeling'!$C:$C,'IP Attrition'!BS$1),VLOOKUP($F3+BS$2,$A$6:$C$106,2,FALSE)*VLOOKUP(BS$1,'Attrition Modeling'!$L$15:$N$27,IF(BS$2+$F3&lt;=24,2,3),FALSE)),$C$3)*(1+Projection!BZ$16)*(1+IF(BS135&gt;0,'Attrition Modeling'!$N$9,0)))</f>
        <v>0</v>
      </c>
      <c r="BT3" s="799" t="e">
        <f>(BS3+BT135)*(1-IFERROR(IF(BT$2+$F3&lt;=12,SUMIFS('Attrition Modeling'!$D:$D,'Attrition Modeling'!$B:$B,'IP Attrition'!$D3,'Attrition Modeling'!$C:$C,'IP Attrition'!BT$1),VLOOKUP($F3+BT$2,$A$6:$C$106,2,FALSE)*VLOOKUP(BT$1,'Attrition Modeling'!$L$15:$N$27,IF(BT$2+$F3&lt;=24,2,3),FALSE)),$C$3)*(1+Projection!CA$16)*(1+IF(BT135&gt;0,'Attrition Modeling'!$N$9,0)))</f>
        <v>#REF!</v>
      </c>
      <c r="BU3" s="799" t="e">
        <f>(BT3+BU135)*(1-IFERROR(IF(BU$2+$F3&lt;=12,SUMIFS('Attrition Modeling'!$D:$D,'Attrition Modeling'!$B:$B,'IP Attrition'!$D3,'Attrition Modeling'!$C:$C,'IP Attrition'!BU$1),VLOOKUP($F3+BU$2,$A$6:$C$106,2,FALSE)*VLOOKUP(BU$1,'Attrition Modeling'!$L$15:$N$27,IF(BU$2+$F3&lt;=24,2,3),FALSE)),$C$3)*(1+Projection!CB$16)*(1+IF(BU135&gt;0,'Attrition Modeling'!$N$9,0)))</f>
        <v>#REF!</v>
      </c>
    </row>
    <row r="4" spans="1:73" ht="14.25" customHeight="1" x14ac:dyDescent="0.2">
      <c r="B4" s="53"/>
      <c r="C4" s="25"/>
      <c r="D4" s="11">
        <f t="shared" ref="D4:D63" si="1">IF(D3=1,12,D3-1)</f>
        <v>-1</v>
      </c>
      <c r="E4" s="807">
        <f t="array" ref="E4">INDEX('Attrition Modeling'!$X$2:$AF$63,MATCH($F4,'Attrition Modeling'!$X$2:$X$63,0),MATCH(Inputs!$C$10,'Attrition Modeling'!$X$2:$AF$2,0))</f>
        <v>0.15998048074127216</v>
      </c>
      <c r="F4" s="11">
        <f t="shared" ref="F4:F63" si="2">F3+1</f>
        <v>1</v>
      </c>
      <c r="G4" s="799">
        <f>Summary!$C$25*$E4</f>
        <v>0</v>
      </c>
      <c r="H4" s="808">
        <f>(G4+H136)*(1-IFERROR(IF(H$2+$F4&lt;=12,SUMIFS('Attrition Modeling'!$D:$D,'Attrition Modeling'!$B:$B,'IP Attrition'!$D4,'Attrition Modeling'!$C:$C,'IP Attrition'!H$1),VLOOKUP($F4+H$2,$A$6:$C$106,2,FALSE)*VLOOKUP(H$1,'Attrition Modeling'!$L$15:$N$27,IF(H$2+$F4&lt;=24,2,3),FALSE)),$C$3)*(1+Projection!J$16)*(1+IF(H136&gt;0,'Attrition Modeling'!$N$9,0)))</f>
        <v>0</v>
      </c>
      <c r="I4" s="808">
        <f>(H4+I136)*(1-IFERROR(IF(I$2+$F4&lt;=12,SUMIFS('Attrition Modeling'!$D:$D,'Attrition Modeling'!$B:$B,'IP Attrition'!$D4,'Attrition Modeling'!$C:$C,'IP Attrition'!I$1),VLOOKUP($F4+I$2,$A$6:$C$106,2,FALSE)*VLOOKUP(I$1,'Attrition Modeling'!$L$15:$N$27,IF(I$2+$F4&lt;=24,2,3),FALSE)),$C$3)*(1+Projection!K$16)*(1+IF(I136&gt;0,'Attrition Modeling'!$N$9,0)))</f>
        <v>0</v>
      </c>
      <c r="J4" s="808">
        <f>(I4+J136)*(1-IFERROR(IF(J$2+$F4&lt;=12,SUMIFS('Attrition Modeling'!$D:$D,'Attrition Modeling'!$B:$B,'IP Attrition'!$D4,'Attrition Modeling'!$C:$C,'IP Attrition'!J$1),VLOOKUP($F4+J$2,$A$6:$C$106,2,FALSE)*VLOOKUP(J$1,'Attrition Modeling'!$L$15:$N$27,IF(J$2+$F4&lt;=24,2,3),FALSE)),$C$3)*(1+Projection!L$16)*(1+IF(J136&gt;0,'Attrition Modeling'!$N$9,0)))</f>
        <v>0</v>
      </c>
      <c r="K4" s="808">
        <f>(J4+K136)*(1-IFERROR(IF(K$2+$F4&lt;=12,SUMIFS('Attrition Modeling'!$D:$D,'Attrition Modeling'!$B:$B,'IP Attrition'!$D4,'Attrition Modeling'!$C:$C,'IP Attrition'!K$1),VLOOKUP($F4+K$2,$A$6:$C$106,2,FALSE)*VLOOKUP(K$1,'Attrition Modeling'!$L$15:$N$27,IF(K$2+$F4&lt;=24,2,3),FALSE)),$C$3)*(1+Projection!M$16)*(1+IF(K136&gt;0,'Attrition Modeling'!$N$9,0)))</f>
        <v>0</v>
      </c>
      <c r="L4" s="808">
        <f>(K4+L136)*(1-IFERROR(IF(L$2+$F4&lt;=12,SUMIFS('Attrition Modeling'!$D:$D,'Attrition Modeling'!$B:$B,'IP Attrition'!$D4,'Attrition Modeling'!$C:$C,'IP Attrition'!L$1),VLOOKUP($F4+L$2,$A$6:$C$106,2,FALSE)*VLOOKUP(L$1,'Attrition Modeling'!$L$15:$N$27,IF(L$2+$F4&lt;=24,2,3),FALSE)),$C$3)*(1+Projection!N$16)*(1+IF(L136&gt;0,'Attrition Modeling'!$N$9,0)))</f>
        <v>0</v>
      </c>
      <c r="M4" s="808">
        <f>(L4+M136)*(1-IFERROR(IF(M$2+$F4&lt;=12,SUMIFS('Attrition Modeling'!$D:$D,'Attrition Modeling'!$B:$B,'IP Attrition'!$D4,'Attrition Modeling'!$C:$C,'IP Attrition'!M$1),VLOOKUP($F4+M$2,$A$6:$C$106,2,FALSE)*VLOOKUP(M$1,'Attrition Modeling'!$L$15:$N$27,IF(M$2+$F4&lt;=24,2,3),FALSE)),$C$3)*(1+Projection!O$16)*(1+IF(M136&gt;0,'Attrition Modeling'!$N$9,0)))</f>
        <v>0</v>
      </c>
      <c r="N4" s="808">
        <f>(M4+N136)*(1-IFERROR(IF(N$2+$F4&lt;=12,SUMIFS('Attrition Modeling'!$D:$D,'Attrition Modeling'!$B:$B,'IP Attrition'!$D4,'Attrition Modeling'!$C:$C,'IP Attrition'!N$1),VLOOKUP($F4+N$2,$A$6:$C$106,2,FALSE)*VLOOKUP(N$1,'Attrition Modeling'!$L$15:$N$27,IF(N$2+$F4&lt;=24,2,3),FALSE)),$C$3)*(1+Projection!P$16)*(1+IF(N136&gt;0,'Attrition Modeling'!$N$9,0)))</f>
        <v>0</v>
      </c>
      <c r="O4" s="808">
        <f>(N4+O136)*(1-IFERROR(IF(O$2+$F4&lt;=12,SUMIFS('Attrition Modeling'!$D:$D,'Attrition Modeling'!$B:$B,'IP Attrition'!$D4,'Attrition Modeling'!$C:$C,'IP Attrition'!O$1),VLOOKUP($F4+O$2,$A$6:$C$106,2,FALSE)*VLOOKUP(O$1,'Attrition Modeling'!$L$15:$N$27,IF(O$2+$F4&lt;=24,2,3),FALSE)),$C$3)*(1+Projection!Q$16)*(1+IF(O136&gt;0,'Attrition Modeling'!$N$9,0)))</f>
        <v>0</v>
      </c>
      <c r="P4" s="808">
        <f>(O4+P136)*(1-IFERROR(IF(P$2+$F4&lt;=12,SUMIFS('Attrition Modeling'!$D:$D,'Attrition Modeling'!$B:$B,'IP Attrition'!$D4,'Attrition Modeling'!$C:$C,'IP Attrition'!P$1),VLOOKUP($F4+P$2,$A$6:$C$106,2,FALSE)*VLOOKUP(P$1,'Attrition Modeling'!$L$15:$N$27,IF(P$2+$F4&lt;=24,2,3),FALSE)),$C$3)*(1+Projection!R$16)*(1+IF(P136&gt;0,'Attrition Modeling'!$N$9,0)))</f>
        <v>0</v>
      </c>
      <c r="Q4" s="808">
        <f>(P4+Q136)*(1-IFERROR(IF(Q$2+$F4&lt;=12,SUMIFS('Attrition Modeling'!$D:$D,'Attrition Modeling'!$B:$B,'IP Attrition'!$D4,'Attrition Modeling'!$C:$C,'IP Attrition'!Q$1),VLOOKUP($F4+Q$2,$A$6:$C$106,2,FALSE)*VLOOKUP(Q$1,'Attrition Modeling'!$L$15:$N$27,IF(Q$2+$F4&lt;=24,2,3),FALSE)),$C$3)*(1+Projection!S$16)*(1+IF(Q136&gt;0,'Attrition Modeling'!$N$9,0)))</f>
        <v>0</v>
      </c>
      <c r="R4" s="808">
        <f>(Q4+R136)*(1-IFERROR(IF(R$2+$F4&lt;=12,SUMIFS('Attrition Modeling'!$D:$D,'Attrition Modeling'!$B:$B,'IP Attrition'!$D4,'Attrition Modeling'!$C:$C,'IP Attrition'!R$1),VLOOKUP($F4+R$2,$A$6:$C$106,2,FALSE)*VLOOKUP(R$1,'Attrition Modeling'!$L$15:$N$27,IF(R$2+$F4&lt;=24,2,3),FALSE)),$C$3)*(1+Projection!T$16)*(1+IF(R136&gt;0,'Attrition Modeling'!$N$9,0)))</f>
        <v>0</v>
      </c>
      <c r="S4" s="799">
        <f>(R4+S136)*(1-IFERROR(IF(S$2+$F4&lt;=12,SUMIFS('Attrition Modeling'!$D:$D,'Attrition Modeling'!$B:$B,'IP Attrition'!$D4,'Attrition Modeling'!$C:$C,'IP Attrition'!S$1),VLOOKUP($F4+S$2,$A$6:$C$106,2,FALSE)*VLOOKUP(S$1,'Attrition Modeling'!$L$15:$N$27,IF(S$2+$F4&lt;=24,2,3),FALSE)),$C$3)*(1+Projection!U$16)*(1+IF(S136&gt;0,'Attrition Modeling'!$N$9,0)))</f>
        <v>0</v>
      </c>
      <c r="T4" s="799">
        <f>(S4+T136)*(1-IFERROR(IF(T$2+$F4&lt;=12,SUMIFS('Attrition Modeling'!$D:$D,'Attrition Modeling'!$B:$B,'IP Attrition'!$D4,'Attrition Modeling'!$C:$C,'IP Attrition'!T$1),VLOOKUP($F4+T$2,$A$6:$C$106,2,FALSE)*VLOOKUP(T$1,'Attrition Modeling'!$L$15:$N$27,IF(T$2+$F4&lt;=24,2,3),FALSE)),$C$3)*(1+Projection!V$16)*(1+IF(T136&gt;0,'Attrition Modeling'!$N$9,0)))</f>
        <v>0</v>
      </c>
      <c r="U4" s="799">
        <f>(T4+U136)*(1-IFERROR(IF(U$2+$F4&lt;=12,SUMIFS('Attrition Modeling'!$D:$D,'Attrition Modeling'!$B:$B,'IP Attrition'!$D4,'Attrition Modeling'!$C:$C,'IP Attrition'!U$1),VLOOKUP($F4+U$2,$A$6:$C$106,2,FALSE)*VLOOKUP(U$1,'Attrition Modeling'!$L$15:$N$27,IF(U$2+$F4&lt;=24,2,3),FALSE)),$C$3)*(1+Projection!W$16)*(1+IF(U136&gt;0,'Attrition Modeling'!$N$9,0)))</f>
        <v>0</v>
      </c>
      <c r="V4" s="799">
        <f>(U4+V136)*(1-IFERROR(IF(V$2+$F4&lt;=12,SUMIFS('Attrition Modeling'!$D:$D,'Attrition Modeling'!$B:$B,'IP Attrition'!$D4,'Attrition Modeling'!$C:$C,'IP Attrition'!V$1),VLOOKUP($F4+V$2,$A$6:$C$106,2,FALSE)*VLOOKUP(V$1,'Attrition Modeling'!$L$15:$N$27,IF(V$2+$F4&lt;=24,2,3),FALSE)),$C$3)*(1+Projection!X$16)*(1+IF(V136&gt;0,'Attrition Modeling'!$N$9,0)))</f>
        <v>0</v>
      </c>
      <c r="W4" s="799">
        <f>(V4+W136)*(1-IFERROR(IF(W$2+$F4&lt;=12,SUMIFS('Attrition Modeling'!$D:$D,'Attrition Modeling'!$B:$B,'IP Attrition'!$D4,'Attrition Modeling'!$C:$C,'IP Attrition'!W$1),VLOOKUP($F4+W$2,$A$6:$C$106,2,FALSE)*VLOOKUP(W$1,'Attrition Modeling'!$L$15:$N$27,IF(W$2+$F4&lt;=24,2,3),FALSE)),$C$3)*(1+Projection!Y$16)*(1+IF(W136&gt;0,'Attrition Modeling'!$N$9,0)))</f>
        <v>0</v>
      </c>
      <c r="X4" s="799">
        <f>(W4+X136)*(1-IFERROR(IF(X$2+$F4&lt;=12,SUMIFS('Attrition Modeling'!$D:$D,'Attrition Modeling'!$B:$B,'IP Attrition'!$D4,'Attrition Modeling'!$C:$C,'IP Attrition'!X$1),VLOOKUP($F4+X$2,$A$6:$C$106,2,FALSE)*VLOOKUP(X$1,'Attrition Modeling'!$L$15:$N$27,IF(X$2+$F4&lt;=24,2,3),FALSE)),$C$3)*(1+Projection!Z$16)*(1+IF(X136&gt;0,'Attrition Modeling'!$N$9,0)))</f>
        <v>0</v>
      </c>
      <c r="Y4" s="799">
        <f>(X4+Y136)*(1-IFERROR(IF(Y$2+$F4&lt;=12,SUMIFS('Attrition Modeling'!$D:$D,'Attrition Modeling'!$B:$B,'IP Attrition'!$D4,'Attrition Modeling'!$C:$C,'IP Attrition'!Y$1),VLOOKUP($F4+Y$2,$A$6:$C$106,2,FALSE)*VLOOKUP(Y$1,'Attrition Modeling'!$L$15:$N$27,IF(Y$2+$F4&lt;=24,2,3),FALSE)),$C$3)*(1+Projection!AA$16)*(1+IF(Y136&gt;0,'Attrition Modeling'!$N$9,0)))</f>
        <v>0</v>
      </c>
      <c r="Z4" s="799">
        <f>(Y4+Z136)*(1-IFERROR(IF(Z$2+$F4&lt;=12,SUMIFS('Attrition Modeling'!$D:$D,'Attrition Modeling'!$B:$B,'IP Attrition'!$D4,'Attrition Modeling'!$C:$C,'IP Attrition'!Z$1),VLOOKUP($F4+Z$2,$A$6:$C$106,2,FALSE)*VLOOKUP(Z$1,'Attrition Modeling'!$L$15:$N$27,IF(Z$2+$F4&lt;=24,2,3),FALSE)),$C$3)*(1+Projection!AB$16)*(1+IF(Z136&gt;0,'Attrition Modeling'!$N$9,0)))</f>
        <v>0</v>
      </c>
      <c r="AA4" s="799">
        <f>(Z4+AA136)*(1-IFERROR(IF(AA$2+$F4&lt;=12,SUMIFS('Attrition Modeling'!$D:$D,'Attrition Modeling'!$B:$B,'IP Attrition'!$D4,'Attrition Modeling'!$C:$C,'IP Attrition'!AA$1),VLOOKUP($F4+AA$2,$A$6:$C$106,2,FALSE)*VLOOKUP(AA$1,'Attrition Modeling'!$L$15:$N$27,IF(AA$2+$F4&lt;=24,2,3),FALSE)),$C$3)*(1+Projection!AC$16)*(1+IF(AA136&gt;0,'Attrition Modeling'!$N$9,0)))</f>
        <v>0</v>
      </c>
      <c r="AB4" s="799">
        <f>(AA4+AB136)*(1-IFERROR(IF(AB$2+$F4&lt;=12,SUMIFS('Attrition Modeling'!$D:$D,'Attrition Modeling'!$B:$B,'IP Attrition'!$D4,'Attrition Modeling'!$C:$C,'IP Attrition'!AB$1),VLOOKUP($F4+AB$2,$A$6:$C$106,2,FALSE)*VLOOKUP(AB$1,'Attrition Modeling'!$L$15:$N$27,IF(AB$2+$F4&lt;=24,2,3),FALSE)),$C$3)*(1+Projection!AD$16)*(1+IF(AB136&gt;0,'Attrition Modeling'!$N$9,0)))</f>
        <v>0</v>
      </c>
      <c r="AC4" s="799">
        <f>(AB4+AC136)*(1-IFERROR(IF(AC$2+$F4&lt;=12,SUMIFS('Attrition Modeling'!$D:$D,'Attrition Modeling'!$B:$B,'IP Attrition'!$D4,'Attrition Modeling'!$C:$C,'IP Attrition'!AC$1),VLOOKUP($F4+AC$2,$A$6:$C$106,2,FALSE)*VLOOKUP(AC$1,'Attrition Modeling'!$L$15:$N$27,IF(AC$2+$F4&lt;=24,2,3),FALSE)),$C$3)*(1+Projection!AE$16)*(1+IF(AC136&gt;0,'Attrition Modeling'!$N$9,0)))</f>
        <v>0</v>
      </c>
      <c r="AD4" s="799">
        <f>(AC4+AD136)*(1-IFERROR(IF(AD$2+$F4&lt;=12,SUMIFS('Attrition Modeling'!$D:$D,'Attrition Modeling'!$B:$B,'IP Attrition'!$D4,'Attrition Modeling'!$C:$C,'IP Attrition'!AD$1),VLOOKUP($F4+AD$2,$A$6:$C$106,2,FALSE)*VLOOKUP(AD$1,'Attrition Modeling'!$L$15:$N$27,IF(AD$2+$F4&lt;=24,2,3),FALSE)),$C$3)*(1+Projection!AF$16)*(1+IF(AD136&gt;0,'Attrition Modeling'!$N$9,0)))</f>
        <v>0</v>
      </c>
      <c r="AE4" s="799">
        <f>(AD4+AE136)*(1-IFERROR(IF(AE$2+$F4&lt;=12,SUMIFS('Attrition Modeling'!$D:$D,'Attrition Modeling'!$B:$B,'IP Attrition'!$D4,'Attrition Modeling'!$C:$C,'IP Attrition'!AE$1),VLOOKUP($F4+AE$2,$A$6:$C$106,2,FALSE)*VLOOKUP(AE$1,'Attrition Modeling'!$L$15:$N$27,IF(AE$2+$F4&lt;=24,2,3),FALSE)),$C$3)*(1+Projection!AG$16)*(1+IF(AE136&gt;0,'Attrition Modeling'!$N$9,0)))</f>
        <v>0</v>
      </c>
      <c r="AF4" s="799">
        <f>(AE4+AF136)*(1-IFERROR(IF(AF$2+$F4&lt;=12,SUMIFS('Attrition Modeling'!$D:$D,'Attrition Modeling'!$B:$B,'IP Attrition'!$D4,'Attrition Modeling'!$C:$C,'IP Attrition'!AF$1),VLOOKUP($F4+AF$2,$A$6:$C$106,2,FALSE)*VLOOKUP(AF$1,'Attrition Modeling'!$L$15:$N$27,IF(AF$2+$F4&lt;=24,2,3),FALSE)),$C$3)*(1+Projection!AH$16)*(1+IF(AF136&gt;0,'Attrition Modeling'!$N$9,0)))</f>
        <v>0</v>
      </c>
      <c r="AG4" s="799">
        <f>(AF4+AG136)*(1-IFERROR(IF(AG$2+$F4&lt;=12,SUMIFS('Attrition Modeling'!$D:$D,'Attrition Modeling'!$B:$B,'IP Attrition'!$D4,'Attrition Modeling'!$C:$C,'IP Attrition'!AG$1),VLOOKUP($F4+AG$2,$A$6:$C$106,2,FALSE)*VLOOKUP(AG$1,'Attrition Modeling'!$L$15:$N$27,IF(AG$2+$F4&lt;=24,2,3),FALSE)),$C$3)*(1+Projection!AI$16)*(1+IF(AG136&gt;0,'Attrition Modeling'!$N$9,0)))</f>
        <v>0</v>
      </c>
      <c r="AH4" s="799">
        <f>(AG4+AH136)*(1-IFERROR(IF(AH$2+$F4&lt;=12,SUMIFS('Attrition Modeling'!$D:$D,'Attrition Modeling'!$B:$B,'IP Attrition'!$D4,'Attrition Modeling'!$C:$C,'IP Attrition'!AH$1),VLOOKUP($F4+AH$2,$A$6:$C$106,2,FALSE)*VLOOKUP(AH$1,'Attrition Modeling'!$L$15:$N$27,IF(AH$2+$F4&lt;=24,2,3),FALSE)),$C$3)*(1+Projection!AJ$16)*(1+IF(AH136&gt;0,'Attrition Modeling'!$N$9,0)))</f>
        <v>0</v>
      </c>
      <c r="AI4" s="799">
        <f>(AH4+AI136)*(1-IFERROR(IF(AI$2+$F4&lt;=12,SUMIFS('Attrition Modeling'!$D:$D,'Attrition Modeling'!$B:$B,'IP Attrition'!$D4,'Attrition Modeling'!$C:$C,'IP Attrition'!AI$1),VLOOKUP($F4+AI$2,$A$6:$C$106,2,FALSE)*VLOOKUP(AI$1,'Attrition Modeling'!$L$15:$N$27,IF(AI$2+$F4&lt;=24,2,3),FALSE)),$C$3)*(1+Projection!AK$16)*(1+IF(AI136&gt;0,'Attrition Modeling'!$N$9,0)))</f>
        <v>0</v>
      </c>
      <c r="AJ4" s="799">
        <f>(AI4+AJ136)*(1-IFERROR(IF(AJ$2+$F4&lt;=12,SUMIFS('Attrition Modeling'!$D:$D,'Attrition Modeling'!$B:$B,'IP Attrition'!$D4,'Attrition Modeling'!$C:$C,'IP Attrition'!AJ$1),VLOOKUP($F4+AJ$2,$A$6:$C$106,2,FALSE)*VLOOKUP(AJ$1,'Attrition Modeling'!$L$15:$N$27,IF(AJ$2+$F4&lt;=24,2,3),FALSE)),$C$3)*(1+Projection!AL$16)*(1+IF(AJ136&gt;0,'Attrition Modeling'!$N$9,0)))</f>
        <v>0</v>
      </c>
      <c r="AK4" s="799">
        <f>(AJ4+AK136)*(1-IFERROR(IF(AK$2+$F4&lt;=12,SUMIFS('Attrition Modeling'!$D:$D,'Attrition Modeling'!$B:$B,'IP Attrition'!$D4,'Attrition Modeling'!$C:$C,'IP Attrition'!AK$1),VLOOKUP($F4+AK$2,$A$6:$C$106,2,FALSE)*VLOOKUP(AK$1,'Attrition Modeling'!$L$15:$N$27,IF(AK$2+$F4&lt;=24,2,3),FALSE)),$C$3)*(1+Projection!AM$16)*(1+IF(AK136&gt;0,'Attrition Modeling'!$N$9,0)))</f>
        <v>0</v>
      </c>
      <c r="AL4" s="799">
        <f>(AK4+AL136)*(1-IFERROR(IF(AL$2+$F4&lt;=12,SUMIFS('Attrition Modeling'!$D:$D,'Attrition Modeling'!$B:$B,'IP Attrition'!$D4,'Attrition Modeling'!$C:$C,'IP Attrition'!AL$1),VLOOKUP($F4+AL$2,$A$6:$C$106,2,FALSE)*VLOOKUP(AL$1,'Attrition Modeling'!$L$15:$N$27,IF(AL$2+$F4&lt;=24,2,3),FALSE)),$C$3)*(1+Projection!AN$16)*(1+IF(AL136&gt;0,'Attrition Modeling'!$N$9,0)))</f>
        <v>0</v>
      </c>
      <c r="AM4" s="799">
        <f>(AL4+AM136)*(1-IFERROR(IF(AM$2+$F4&lt;=12,SUMIFS('Attrition Modeling'!$D:$D,'Attrition Modeling'!$B:$B,'IP Attrition'!$D4,'Attrition Modeling'!$C:$C,'IP Attrition'!AM$1),VLOOKUP($F4+AM$2,$A$6:$C$106,2,FALSE)*VLOOKUP(AM$1,'Attrition Modeling'!$L$15:$N$27,IF(AM$2+$F4&lt;=24,2,3),FALSE)),$C$3)*(1+Projection!AO$16)*(1+IF(AM136&gt;0,'Attrition Modeling'!$N$9,0)))</f>
        <v>0</v>
      </c>
      <c r="AN4" s="799">
        <f>(AM4+AN136)*(1-IFERROR(IF(AN$2+$F4&lt;=12,SUMIFS('Attrition Modeling'!$D:$D,'Attrition Modeling'!$B:$B,'IP Attrition'!$D4,'Attrition Modeling'!$C:$C,'IP Attrition'!AN$1),VLOOKUP($F4+AN$2,$A$6:$C$106,2,FALSE)*VLOOKUP(AN$1,'Attrition Modeling'!$L$15:$N$27,IF(AN$2+$F4&lt;=24,2,3),FALSE)),$C$3)*(1+Projection!AP$16)*(1+IF(AN136&gt;0,'Attrition Modeling'!$N$9,0)))</f>
        <v>0</v>
      </c>
      <c r="AO4" s="799">
        <f>(AN4+AO136)*(1-IFERROR(IF(AO$2+$F4&lt;=12,SUMIFS('Attrition Modeling'!$D:$D,'Attrition Modeling'!$B:$B,'IP Attrition'!$D4,'Attrition Modeling'!$C:$C,'IP Attrition'!AO$1),VLOOKUP($F4+AO$2,$A$6:$C$106,2,FALSE)*VLOOKUP(AO$1,'Attrition Modeling'!$L$15:$N$27,IF(AO$2+$F4&lt;=24,2,3),FALSE)),$C$3)*(1+Projection!AQ$16)*(1+IF(AO136&gt;0,'Attrition Modeling'!$N$9,0)))</f>
        <v>0</v>
      </c>
      <c r="AP4" s="799">
        <f>(AO4+AP136)*(1-IFERROR(IF(AP$2+$F4&lt;=12,SUMIFS('Attrition Modeling'!$D:$D,'Attrition Modeling'!$B:$B,'IP Attrition'!$D4,'Attrition Modeling'!$C:$C,'IP Attrition'!AP$1),VLOOKUP($F4+AP$2,$A$6:$C$106,2,FALSE)*VLOOKUP(AP$1,'Attrition Modeling'!$L$15:$N$27,IF(AP$2+$F4&lt;=24,2,3),FALSE)),$C$3)*(1+Projection!AR$16)*(1+IF(AP136&gt;0,'Attrition Modeling'!$N$9,0)))</f>
        <v>0</v>
      </c>
      <c r="AQ4" s="799">
        <f>(AP4+AQ136)*(1-IFERROR(IF(AQ$2+$F4&lt;=12,SUMIFS('Attrition Modeling'!$D:$D,'Attrition Modeling'!$B:$B,'IP Attrition'!$D4,'Attrition Modeling'!$C:$C,'IP Attrition'!AQ$1),VLOOKUP($F4+AQ$2,$A$6:$C$106,2,FALSE)*VLOOKUP(AQ$1,'Attrition Modeling'!$L$15:$N$27,IF(AQ$2+$F4&lt;=24,2,3),FALSE)),$C$3)*(1+Projection!AS$16)*(1+IF(AQ136&gt;0,'Attrition Modeling'!$N$9,0)))</f>
        <v>0</v>
      </c>
      <c r="AR4" s="799">
        <f>(AQ4+AR136)*(1-IFERROR(IF(AR$2+$F4&lt;=12,SUMIFS('Attrition Modeling'!$D:$D,'Attrition Modeling'!$B:$B,'IP Attrition'!$D4,'Attrition Modeling'!$C:$C,'IP Attrition'!AR$1),VLOOKUP($F4+AR$2,$A$6:$C$106,2,FALSE)*VLOOKUP(AR$1,'Attrition Modeling'!$L$15:$N$27,IF(AR$2+$F4&lt;=24,2,3),FALSE)),$C$3)*(1+Projection!AT$16)*(1+IF(AR136&gt;0,'Attrition Modeling'!$N$9,0)))</f>
        <v>0</v>
      </c>
      <c r="AS4" s="799">
        <f>(AR4+AS136)*(1-IFERROR(IF(AS$2+$F4&lt;=12,SUMIFS('Attrition Modeling'!$D:$D,'Attrition Modeling'!$B:$B,'IP Attrition'!$D4,'Attrition Modeling'!$C:$C,'IP Attrition'!AS$1),VLOOKUP($F4+AS$2,$A$6:$C$106,2,FALSE)*VLOOKUP(AS$1,'Attrition Modeling'!$L$15:$N$27,IF(AS$2+$F4&lt;=24,2,3),FALSE)),$C$3)*(1+Projection!AU$16)*(1+IF(AS136&gt;0,'Attrition Modeling'!$N$9,0)))</f>
        <v>0</v>
      </c>
      <c r="AT4" s="799">
        <f>(AS4+AT136)*(1-IFERROR(IF(AT$2+$F4&lt;=12,SUMIFS('Attrition Modeling'!$D:$D,'Attrition Modeling'!$B:$B,'IP Attrition'!$D4,'Attrition Modeling'!$C:$C,'IP Attrition'!AT$1),VLOOKUP($F4+AT$2,$A$6:$C$106,2,FALSE)*VLOOKUP(AT$1,'Attrition Modeling'!$L$15:$N$27,IF(AT$2+$F4&lt;=24,2,3),FALSE)),$C$3)*(1+Projection!AV$16)*(1+IF(AT136&gt;0,'Attrition Modeling'!$N$9,0)))</f>
        <v>0</v>
      </c>
      <c r="AU4" s="799">
        <f>(AT4+AU136)*(1-IFERROR(IF(AU$2+$F4&lt;=12,SUMIFS('Attrition Modeling'!$D:$D,'Attrition Modeling'!$B:$B,'IP Attrition'!$D4,'Attrition Modeling'!$C:$C,'IP Attrition'!AU$1),VLOOKUP($F4+AU$2,$A$6:$C$106,2,FALSE)*VLOOKUP(AU$1,'Attrition Modeling'!$L$15:$N$27,IF(AU$2+$F4&lt;=24,2,3),FALSE)),$C$3)*(1+Projection!AW$16)*(1+IF(AU136&gt;0,'Attrition Modeling'!$N$9,0)))</f>
        <v>0</v>
      </c>
      <c r="AV4" s="799">
        <f>(AU4+AV136)*(1-IFERROR(IF(AV$2+$F4&lt;=12,SUMIFS('Attrition Modeling'!$D:$D,'Attrition Modeling'!$B:$B,'IP Attrition'!$D4,'Attrition Modeling'!$C:$C,'IP Attrition'!AV$1),VLOOKUP($F4+AV$2,$A$6:$C$106,2,FALSE)*VLOOKUP(AV$1,'Attrition Modeling'!$L$15:$N$27,IF(AV$2+$F4&lt;=24,2,3),FALSE)),$C$3)*(1+Projection!AX$16)*(1+IF(AV136&gt;0,'Attrition Modeling'!$N$9,0)))</f>
        <v>0</v>
      </c>
      <c r="AW4" s="799">
        <f>(AV4+AW136)*(1-IFERROR(IF(AW$2+$F4&lt;=12,SUMIFS('Attrition Modeling'!$D:$D,'Attrition Modeling'!$B:$B,'IP Attrition'!$D4,'Attrition Modeling'!$C:$C,'IP Attrition'!AW$1),VLOOKUP($F4+AW$2,$A$6:$C$106,2,FALSE)*VLOOKUP(AW$1,'Attrition Modeling'!$L$15:$N$27,IF(AW$2+$F4&lt;=24,2,3),FALSE)),$C$3)*(1+Projection!AY$16)*(1+IF(AW136&gt;0,'Attrition Modeling'!$N$9,0)))</f>
        <v>0</v>
      </c>
      <c r="AX4" s="799">
        <f>(AW4+AX136)*(1-IFERROR(IF(AX$2+$F4&lt;=12,SUMIFS('Attrition Modeling'!$D:$D,'Attrition Modeling'!$B:$B,'IP Attrition'!$D4,'Attrition Modeling'!$C:$C,'IP Attrition'!AX$1),VLOOKUP($F4+AX$2,$A$6:$C$106,2,FALSE)*VLOOKUP(AX$1,'Attrition Modeling'!$L$15:$N$27,IF(AX$2+$F4&lt;=24,2,3),FALSE)),$C$3)*(1+Projection!AZ$16)*(1+IF(AX136&gt;0,'Attrition Modeling'!$N$9,0)))</f>
        <v>0</v>
      </c>
      <c r="AY4" s="799">
        <f>(AX4+AY136)*(1-IFERROR(IF(AY$2+$F4&lt;=12,SUMIFS('Attrition Modeling'!$D:$D,'Attrition Modeling'!$B:$B,'IP Attrition'!$D4,'Attrition Modeling'!$C:$C,'IP Attrition'!AY$1),VLOOKUP($F4+AY$2,$A$6:$C$106,2,FALSE)*VLOOKUP(AY$1,'Attrition Modeling'!$L$15:$N$27,IF(AY$2+$F4&lt;=24,2,3),FALSE)),$C$3)*(1+Projection!BA$16)*(1+IF(AY136&gt;0,'Attrition Modeling'!$N$9,0)))</f>
        <v>0</v>
      </c>
      <c r="AZ4" s="799">
        <f>(AY4+AZ136)*(1-IFERROR(IF(AZ$2+$F4&lt;=12,SUMIFS('Attrition Modeling'!$D:$D,'Attrition Modeling'!$B:$B,'IP Attrition'!$D4,'Attrition Modeling'!$C:$C,'IP Attrition'!AZ$1),VLOOKUP($F4+AZ$2,$A$6:$C$106,2,FALSE)*VLOOKUP(AZ$1,'Attrition Modeling'!$L$15:$N$27,IF(AZ$2+$F4&lt;=24,2,3),FALSE)),$C$3)*(1+Projection!BB$16)*(1+IF(AZ136&gt;0,'Attrition Modeling'!$N$9,0)))</f>
        <v>0</v>
      </c>
      <c r="BA4" s="799">
        <f>(AZ4+BA136)*(1-IFERROR(IF(BA$2+$F4&lt;=12,SUMIFS('Attrition Modeling'!$D:$D,'Attrition Modeling'!$B:$B,'IP Attrition'!$D4,'Attrition Modeling'!$C:$C,'IP Attrition'!BA$1),VLOOKUP($F4+BA$2,$A$6:$C$106,2,FALSE)*VLOOKUP(BA$1,'Attrition Modeling'!$L$15:$N$27,IF(BA$2+$F4&lt;=24,2,3),FALSE)),$C$3)*(1+Projection!BC$16)*(1+IF(BA136&gt;0,'Attrition Modeling'!$N$9,0)))</f>
        <v>0</v>
      </c>
      <c r="BB4" s="799">
        <f>(BA4+BB136)*(1-IFERROR(IF(BB$2+$F4&lt;=12,SUMIFS('Attrition Modeling'!$D:$D,'Attrition Modeling'!$B:$B,'IP Attrition'!$D4,'Attrition Modeling'!$C:$C,'IP Attrition'!BB$1),VLOOKUP($F4+BB$2,$A$6:$C$106,2,FALSE)*VLOOKUP(BB$1,'Attrition Modeling'!$L$15:$N$27,IF(BB$2+$F4&lt;=24,2,3),FALSE)),$C$3)*(1+Projection!BD$16)*(1+IF(BB136&gt;0,'Attrition Modeling'!$N$9,0)))</f>
        <v>0</v>
      </c>
      <c r="BC4" s="799">
        <f>(BB4+BC136)*(1-IFERROR(IF(BC$2+$F4&lt;=12,SUMIFS('Attrition Modeling'!$D:$D,'Attrition Modeling'!$B:$B,'IP Attrition'!$D4,'Attrition Modeling'!$C:$C,'IP Attrition'!BC$1),VLOOKUP($F4+BC$2,$A$6:$C$106,2,FALSE)*VLOOKUP(BC$1,'Attrition Modeling'!$L$15:$N$27,IF(BC$2+$F4&lt;=24,2,3),FALSE)),$C$3)*(1+Projection!BE$16)*(1+IF(BC136&gt;0,'Attrition Modeling'!$N$9,0)))</f>
        <v>0</v>
      </c>
      <c r="BD4" s="799">
        <f>(BC4+BD136)*(1-IFERROR(IF(BD$2+$F4&lt;=12,SUMIFS('Attrition Modeling'!$D:$D,'Attrition Modeling'!$B:$B,'IP Attrition'!$D4,'Attrition Modeling'!$C:$C,'IP Attrition'!BD$1),VLOOKUP($F4+BD$2,$A$6:$C$106,2,FALSE)*VLOOKUP(BD$1,'Attrition Modeling'!$L$15:$N$27,IF(BD$2+$F4&lt;=24,2,3),FALSE)),$C$3)*(1+Projection!BF$16)*(1+IF(BD136&gt;0,'Attrition Modeling'!$N$9,0)))</f>
        <v>0</v>
      </c>
      <c r="BE4" s="799">
        <f>(BD4+BE136)*(1-IFERROR(IF(BE$2+$F4&lt;=12,SUMIFS('Attrition Modeling'!$D:$D,'Attrition Modeling'!$B:$B,'IP Attrition'!$D4,'Attrition Modeling'!$C:$C,'IP Attrition'!BE$1),VLOOKUP($F4+BE$2,$A$6:$C$106,2,FALSE)*VLOOKUP(BE$1,'Attrition Modeling'!$L$15:$N$27,IF(BE$2+$F4&lt;=24,2,3),FALSE)),$C$3)*(1+Projection!BG$16)*(1+IF(BE136&gt;0,'Attrition Modeling'!$N$9,0)))</f>
        <v>0</v>
      </c>
      <c r="BF4" s="799">
        <f>(BE4+BF136)*(1-IFERROR(IF(BF$2+$F4&lt;=12,SUMIFS('Attrition Modeling'!$D:$D,'Attrition Modeling'!$B:$B,'IP Attrition'!$D4,'Attrition Modeling'!$C:$C,'IP Attrition'!BF$1),VLOOKUP($F4+BF$2,$A$6:$C$106,2,FALSE)*VLOOKUP(BF$1,'Attrition Modeling'!$L$15:$N$27,IF(BF$2+$F4&lt;=24,2,3),FALSE)),$C$3)*(1+Projection!BH$16)*(1+IF(BF136&gt;0,'Attrition Modeling'!$N$9,0)))</f>
        <v>0</v>
      </c>
      <c r="BG4" s="799">
        <f>(BF4+BG136)*(1-IFERROR(IF(BG$2+$F4&lt;=12,SUMIFS('Attrition Modeling'!$D:$D,'Attrition Modeling'!$B:$B,'IP Attrition'!$D4,'Attrition Modeling'!$C:$C,'IP Attrition'!BG$1),VLOOKUP($F4+BG$2,$A$6:$C$106,2,FALSE)*VLOOKUP(BG$1,'Attrition Modeling'!$L$15:$N$27,IF(BG$2+$F4&lt;=24,2,3),FALSE)),$C$3)*(1+Projection!BI$16)*(1+IF(BG136&gt;0,'Attrition Modeling'!$N$9,0)))</f>
        <v>0</v>
      </c>
      <c r="BH4" s="799">
        <f>(BG4+BH136)*(1-IFERROR(IF(BH$2+$F4&lt;=12,SUMIFS('Attrition Modeling'!$D:$D,'Attrition Modeling'!$B:$B,'IP Attrition'!$D4,'Attrition Modeling'!$C:$C,'IP Attrition'!BH$1),VLOOKUP($F4+BH$2,$A$6:$C$106,2,FALSE)*VLOOKUP(BH$1,'Attrition Modeling'!$L$15:$N$27,IF(BH$2+$F4&lt;=24,2,3),FALSE)),$C$3)*(1+Projection!BJ$16)*(1+IF(BH136&gt;0,'Attrition Modeling'!$N$9,0)))</f>
        <v>0</v>
      </c>
      <c r="BI4" s="799">
        <f>(BH4+BI136)*(1-IFERROR(IF(BI$2+$F4&lt;=12,SUMIFS('Attrition Modeling'!$D:$D,'Attrition Modeling'!$B:$B,'IP Attrition'!$D4,'Attrition Modeling'!$C:$C,'IP Attrition'!BI$1),VLOOKUP($F4+BI$2,$A$6:$C$106,2,FALSE)*VLOOKUP(BI$1,'Attrition Modeling'!$L$15:$N$27,IF(BI$2+$F4&lt;=24,2,3),FALSE)),$C$3)*(1+Projection!BK$16)*(1+IF(BI136&gt;0,'Attrition Modeling'!$N$9,0)))</f>
        <v>0</v>
      </c>
      <c r="BJ4" s="799">
        <f>(BI4+BJ136)*(1-IFERROR(IF(BJ$2+$F4&lt;=12,SUMIFS('Attrition Modeling'!$D:$D,'Attrition Modeling'!$B:$B,'IP Attrition'!$D4,'Attrition Modeling'!$C:$C,'IP Attrition'!BJ$1),VLOOKUP($F4+BJ$2,$A$6:$C$106,2,FALSE)*VLOOKUP(BJ$1,'Attrition Modeling'!$L$15:$N$27,IF(BJ$2+$F4&lt;=24,2,3),FALSE)),$C$3)*(1+Projection!BL$16)*(1+IF(BJ136&gt;0,'Attrition Modeling'!$N$9,0)))</f>
        <v>0</v>
      </c>
      <c r="BK4" s="799">
        <f>(BJ4+BK136)*(1-IFERROR(IF(BK$2+$F4&lt;=12,SUMIFS('Attrition Modeling'!$D:$D,'Attrition Modeling'!$B:$B,'IP Attrition'!$D4,'Attrition Modeling'!$C:$C,'IP Attrition'!BK$1),VLOOKUP($F4+BK$2,$A$6:$C$106,2,FALSE)*VLOOKUP(BK$1,'Attrition Modeling'!$L$15:$N$27,IF(BK$2+$F4&lt;=24,2,3),FALSE)),$C$3)*(1+Projection!BM$16)*(1+IF(BK136&gt;0,'Attrition Modeling'!$N$9,0)))</f>
        <v>0</v>
      </c>
      <c r="BL4" s="799">
        <f>(BK4+BL136)*(1-IFERROR(IF(BL$2+$F4&lt;=12,SUMIFS('Attrition Modeling'!$D:$D,'Attrition Modeling'!$B:$B,'IP Attrition'!$D4,'Attrition Modeling'!$C:$C,'IP Attrition'!BL$1),VLOOKUP($F4+BL$2,$A$6:$C$106,2,FALSE)*VLOOKUP(BL$1,'Attrition Modeling'!$L$15:$N$27,IF(BL$2+$F4&lt;=24,2,3),FALSE)),$C$3)*(1+Projection!BN$16)*(1+IF(BL136&gt;0,'Attrition Modeling'!$N$9,0)))</f>
        <v>0</v>
      </c>
      <c r="BM4" s="799">
        <f>(BL4+BM136)*(1-IFERROR(IF(BM$2+$F4&lt;=12,SUMIFS('Attrition Modeling'!$D:$D,'Attrition Modeling'!$B:$B,'IP Attrition'!$D4,'Attrition Modeling'!$C:$C,'IP Attrition'!BM$1),VLOOKUP($F4+BM$2,$A$6:$C$106,2,FALSE)*VLOOKUP(BM$1,'Attrition Modeling'!$L$15:$N$27,IF(BM$2+$F4&lt;=24,2,3),FALSE)),$C$3)*(1+Projection!BO$16)*(1+IF(BM136&gt;0,'Attrition Modeling'!$N$9,0)))</f>
        <v>0</v>
      </c>
      <c r="BN4" s="799">
        <f>(BM4+BN136)*(1-IFERROR(IF(BN$2+$F4&lt;=12,SUMIFS('Attrition Modeling'!$D:$D,'Attrition Modeling'!$B:$B,'IP Attrition'!$D4,'Attrition Modeling'!$C:$C,'IP Attrition'!BN$1),VLOOKUP($F4+BN$2,$A$6:$C$106,2,FALSE)*VLOOKUP(BN$1,'Attrition Modeling'!$L$15:$N$27,IF(BN$2+$F4&lt;=24,2,3),FALSE)),$C$3)*(1+Projection!BP$16)*(1+IF(BN136&gt;0,'Attrition Modeling'!$N$9,0)))</f>
        <v>0</v>
      </c>
      <c r="BO4" s="799">
        <f>(BN4+BO136)*(1-IFERROR(IF(BO$2+$F4&lt;=12,SUMIFS('Attrition Modeling'!$D:$D,'Attrition Modeling'!$B:$B,'IP Attrition'!$D4,'Attrition Modeling'!$C:$C,'IP Attrition'!BO$1),VLOOKUP($F4+BO$2,$A$6:$C$106,2,FALSE)*VLOOKUP(BO$1,'Attrition Modeling'!$L$15:$N$27,IF(BO$2+$F4&lt;=24,2,3),FALSE)),$C$3)*(1+Projection!BV$16)*(1+IF(BO136&gt;0,'Attrition Modeling'!$N$9,0)))</f>
        <v>0</v>
      </c>
      <c r="BP4" s="799">
        <f>(BO4+BP136)*(1-IFERROR(IF(BP$2+$F4&lt;=12,SUMIFS('Attrition Modeling'!$D:$D,'Attrition Modeling'!$B:$B,'IP Attrition'!$D4,'Attrition Modeling'!$C:$C,'IP Attrition'!BP$1),VLOOKUP($F4+BP$2,$A$6:$C$106,2,FALSE)*VLOOKUP(BP$1,'Attrition Modeling'!$L$15:$N$27,IF(BP$2+$F4&lt;=24,2,3),FALSE)),$C$3)*(1+Projection!BW$16)*(1+IF(BP136&gt;0,'Attrition Modeling'!$N$9,0)))</f>
        <v>0</v>
      </c>
      <c r="BQ4" s="799">
        <f>(BP4+BQ136)*(1-IFERROR(IF(BQ$2+$F4&lt;=12,SUMIFS('Attrition Modeling'!$D:$D,'Attrition Modeling'!$B:$B,'IP Attrition'!$D4,'Attrition Modeling'!$C:$C,'IP Attrition'!BQ$1),VLOOKUP($F4+BQ$2,$A$6:$C$106,2,FALSE)*VLOOKUP(BQ$1,'Attrition Modeling'!$L$15:$N$27,IF(BQ$2+$F4&lt;=24,2,3),FALSE)),$C$3)*(1+Projection!BX$16)*(1+IF(BQ136&gt;0,'Attrition Modeling'!$N$9,0)))</f>
        <v>0</v>
      </c>
      <c r="BR4" s="799">
        <f>(BQ4+BR136)*(1-IFERROR(IF(BR$2+$F4&lt;=12,SUMIFS('Attrition Modeling'!$D:$D,'Attrition Modeling'!$B:$B,'IP Attrition'!$D4,'Attrition Modeling'!$C:$C,'IP Attrition'!BR$1),VLOOKUP($F4+BR$2,$A$6:$C$106,2,FALSE)*VLOOKUP(BR$1,'Attrition Modeling'!$L$15:$N$27,IF(BR$2+$F4&lt;=24,2,3),FALSE)),$C$3)*(1+Projection!BY$16)*(1+IF(BR136&gt;0,'Attrition Modeling'!$N$9,0)))</f>
        <v>0</v>
      </c>
      <c r="BS4" s="799">
        <f>(BR4+BS136)*(1-IFERROR(IF(BS$2+$F4&lt;=12,SUMIFS('Attrition Modeling'!$D:$D,'Attrition Modeling'!$B:$B,'IP Attrition'!$D4,'Attrition Modeling'!$C:$C,'IP Attrition'!BS$1),VLOOKUP($F4+BS$2,$A$6:$C$106,2,FALSE)*VLOOKUP(BS$1,'Attrition Modeling'!$L$15:$N$27,IF(BS$2+$F4&lt;=24,2,3),FALSE)),$C$3)*(1+Projection!BZ$16)*(1+IF(BS136&gt;0,'Attrition Modeling'!$N$9,0)))</f>
        <v>0</v>
      </c>
      <c r="BT4" s="799" t="e">
        <f>(BS4+BT136)*(1-IFERROR(IF(BT$2+$F4&lt;=12,SUMIFS('Attrition Modeling'!$D:$D,'Attrition Modeling'!$B:$B,'IP Attrition'!$D4,'Attrition Modeling'!$C:$C,'IP Attrition'!BT$1),VLOOKUP($F4+BT$2,$A$6:$C$106,2,FALSE)*VLOOKUP(BT$1,'Attrition Modeling'!$L$15:$N$27,IF(BT$2+$F4&lt;=24,2,3),FALSE)),$C$3)*(1+Projection!CA$16)*(1+IF(BT136&gt;0,'Attrition Modeling'!$N$9,0)))</f>
        <v>#REF!</v>
      </c>
      <c r="BU4" s="799" t="e">
        <f>(BT4+BU136)*(1-IFERROR(IF(BU$2+$F4&lt;=12,SUMIFS('Attrition Modeling'!$D:$D,'Attrition Modeling'!$B:$B,'IP Attrition'!$D4,'Attrition Modeling'!$C:$C,'IP Attrition'!BU$1),VLOOKUP($F4+BU$2,$A$6:$C$106,2,FALSE)*VLOOKUP(BU$1,'Attrition Modeling'!$L$15:$N$27,IF(BU$2+$F4&lt;=24,2,3),FALSE)),$C$3)*(1+Projection!CB$16)*(1+IF(BU136&gt;0,'Attrition Modeling'!$N$9,0)))</f>
        <v>#REF!</v>
      </c>
    </row>
    <row r="5" spans="1:73" ht="14.25" customHeight="1" x14ac:dyDescent="0.2">
      <c r="A5" s="847" t="s">
        <v>694</v>
      </c>
      <c r="B5" s="852"/>
      <c r="C5" s="848"/>
      <c r="D5" s="11">
        <f t="shared" si="1"/>
        <v>-2</v>
      </c>
      <c r="E5" s="807">
        <f t="array" ref="E5">INDEX('Attrition Modeling'!$X$2:$AF$63,MATCH($F5,'Attrition Modeling'!$X$2:$X$63,0),MATCH(Inputs!$C$10,'Attrition Modeling'!$X$2:$AF$2,0))</f>
        <v>0.10839302007867074</v>
      </c>
      <c r="F5" s="11">
        <f t="shared" si="2"/>
        <v>2</v>
      </c>
      <c r="G5" s="799">
        <f>Summary!$C$25*$E5</f>
        <v>0</v>
      </c>
      <c r="H5" s="808">
        <f>(G5+H137)*(1-IFERROR(IF(H$2+$F5&lt;=12,SUMIFS('Attrition Modeling'!$D:$D,'Attrition Modeling'!$B:$B,'IP Attrition'!$D5,'Attrition Modeling'!$C:$C,'IP Attrition'!H$1),VLOOKUP($F5+H$2,$A$6:$C$106,2,FALSE)*VLOOKUP(H$1,'Attrition Modeling'!$L$15:$N$27,IF(H$2+$F5&lt;=24,2,3),FALSE)),$C$3)*(1+Projection!J$16)*(1+IF(H137&gt;0,'Attrition Modeling'!$N$9,0)))</f>
        <v>0</v>
      </c>
      <c r="I5" s="808">
        <f>(H5+I137)*(1-IFERROR(IF(I$2+$F5&lt;=12,SUMIFS('Attrition Modeling'!$D:$D,'Attrition Modeling'!$B:$B,'IP Attrition'!$D5,'Attrition Modeling'!$C:$C,'IP Attrition'!I$1),VLOOKUP($F5+I$2,$A$6:$C$106,2,FALSE)*VLOOKUP(I$1,'Attrition Modeling'!$L$15:$N$27,IF(I$2+$F5&lt;=24,2,3),FALSE)),$C$3)*(1+Projection!K$16)*(1+IF(I137&gt;0,'Attrition Modeling'!$N$9,0)))</f>
        <v>0</v>
      </c>
      <c r="J5" s="808">
        <f>(I5+J137)*(1-IFERROR(IF(J$2+$F5&lt;=12,SUMIFS('Attrition Modeling'!$D:$D,'Attrition Modeling'!$B:$B,'IP Attrition'!$D5,'Attrition Modeling'!$C:$C,'IP Attrition'!J$1),VLOOKUP($F5+J$2,$A$6:$C$106,2,FALSE)*VLOOKUP(J$1,'Attrition Modeling'!$L$15:$N$27,IF(J$2+$F5&lt;=24,2,3),FALSE)),$C$3)*(1+Projection!L$16)*(1+IF(J137&gt;0,'Attrition Modeling'!$N$9,0)))</f>
        <v>0</v>
      </c>
      <c r="K5" s="808">
        <f>(J5+K137)*(1-IFERROR(IF(K$2+$F5&lt;=12,SUMIFS('Attrition Modeling'!$D:$D,'Attrition Modeling'!$B:$B,'IP Attrition'!$D5,'Attrition Modeling'!$C:$C,'IP Attrition'!K$1),VLOOKUP($F5+K$2,$A$6:$C$106,2,FALSE)*VLOOKUP(K$1,'Attrition Modeling'!$L$15:$N$27,IF(K$2+$F5&lt;=24,2,3),FALSE)),$C$3)*(1+Projection!M$16)*(1+IF(K137&gt;0,'Attrition Modeling'!$N$9,0)))</f>
        <v>0</v>
      </c>
      <c r="L5" s="808">
        <f>(K5+L137)*(1-IFERROR(IF(L$2+$F5&lt;=12,SUMIFS('Attrition Modeling'!$D:$D,'Attrition Modeling'!$B:$B,'IP Attrition'!$D5,'Attrition Modeling'!$C:$C,'IP Attrition'!L$1),VLOOKUP($F5+L$2,$A$6:$C$106,2,FALSE)*VLOOKUP(L$1,'Attrition Modeling'!$L$15:$N$27,IF(L$2+$F5&lt;=24,2,3),FALSE)),$C$3)*(1+Projection!N$16)*(1+IF(L137&gt;0,'Attrition Modeling'!$N$9,0)))</f>
        <v>0</v>
      </c>
      <c r="M5" s="808">
        <f>(L5+M137)*(1-IFERROR(IF(M$2+$F5&lt;=12,SUMIFS('Attrition Modeling'!$D:$D,'Attrition Modeling'!$B:$B,'IP Attrition'!$D5,'Attrition Modeling'!$C:$C,'IP Attrition'!M$1),VLOOKUP($F5+M$2,$A$6:$C$106,2,FALSE)*VLOOKUP(M$1,'Attrition Modeling'!$L$15:$N$27,IF(M$2+$F5&lt;=24,2,3),FALSE)),$C$3)*(1+Projection!O$16)*(1+IF(M137&gt;0,'Attrition Modeling'!$N$9,0)))</f>
        <v>0</v>
      </c>
      <c r="N5" s="808">
        <f>(M5+N137)*(1-IFERROR(IF(N$2+$F5&lt;=12,SUMIFS('Attrition Modeling'!$D:$D,'Attrition Modeling'!$B:$B,'IP Attrition'!$D5,'Attrition Modeling'!$C:$C,'IP Attrition'!N$1),VLOOKUP($F5+N$2,$A$6:$C$106,2,FALSE)*VLOOKUP(N$1,'Attrition Modeling'!$L$15:$N$27,IF(N$2+$F5&lt;=24,2,3),FALSE)),$C$3)*(1+Projection!P$16)*(1+IF(N137&gt;0,'Attrition Modeling'!$N$9,0)))</f>
        <v>0</v>
      </c>
      <c r="O5" s="808">
        <f>(N5+O137)*(1-IFERROR(IF(O$2+$F5&lt;=12,SUMIFS('Attrition Modeling'!$D:$D,'Attrition Modeling'!$B:$B,'IP Attrition'!$D5,'Attrition Modeling'!$C:$C,'IP Attrition'!O$1),VLOOKUP($F5+O$2,$A$6:$C$106,2,FALSE)*VLOOKUP(O$1,'Attrition Modeling'!$L$15:$N$27,IF(O$2+$F5&lt;=24,2,3),FALSE)),$C$3)*(1+Projection!Q$16)*(1+IF(O137&gt;0,'Attrition Modeling'!$N$9,0)))</f>
        <v>0</v>
      </c>
      <c r="P5" s="808">
        <f>(O5+P137)*(1-IFERROR(IF(P$2+$F5&lt;=12,SUMIFS('Attrition Modeling'!$D:$D,'Attrition Modeling'!$B:$B,'IP Attrition'!$D5,'Attrition Modeling'!$C:$C,'IP Attrition'!P$1),VLOOKUP($F5+P$2,$A$6:$C$106,2,FALSE)*VLOOKUP(P$1,'Attrition Modeling'!$L$15:$N$27,IF(P$2+$F5&lt;=24,2,3),FALSE)),$C$3)*(1+Projection!R$16)*(1+IF(P137&gt;0,'Attrition Modeling'!$N$9,0)))</f>
        <v>0</v>
      </c>
      <c r="Q5" s="808">
        <f>(P5+Q137)*(1-IFERROR(IF(Q$2+$F5&lt;=12,SUMIFS('Attrition Modeling'!$D:$D,'Attrition Modeling'!$B:$B,'IP Attrition'!$D5,'Attrition Modeling'!$C:$C,'IP Attrition'!Q$1),VLOOKUP($F5+Q$2,$A$6:$C$106,2,FALSE)*VLOOKUP(Q$1,'Attrition Modeling'!$L$15:$N$27,IF(Q$2+$F5&lt;=24,2,3),FALSE)),$C$3)*(1+Projection!S$16)*(1+IF(Q137&gt;0,'Attrition Modeling'!$N$9,0)))</f>
        <v>0</v>
      </c>
      <c r="R5" s="799">
        <f>(Q5+R137)*(1-IFERROR(IF(R$2+$F5&lt;=12,SUMIFS('Attrition Modeling'!$D:$D,'Attrition Modeling'!$B:$B,'IP Attrition'!$D5,'Attrition Modeling'!$C:$C,'IP Attrition'!R$1),VLOOKUP($F5+R$2,$A$6:$C$106,2,FALSE)*VLOOKUP(R$1,'Attrition Modeling'!$L$15:$N$27,IF(R$2+$F5&lt;=24,2,3),FALSE)),$C$3)*(1+Projection!T$16)*(1+IF(R137&gt;0,'Attrition Modeling'!$N$9,0)))</f>
        <v>0</v>
      </c>
      <c r="S5" s="799">
        <f>(R5+S137)*(1-IFERROR(IF(S$2+$F5&lt;=12,SUMIFS('Attrition Modeling'!$D:$D,'Attrition Modeling'!$B:$B,'IP Attrition'!$D5,'Attrition Modeling'!$C:$C,'IP Attrition'!S$1),VLOOKUP($F5+S$2,$A$6:$C$106,2,FALSE)*VLOOKUP(S$1,'Attrition Modeling'!$L$15:$N$27,IF(S$2+$F5&lt;=24,2,3),FALSE)),$C$3)*(1+Projection!U$16)*(1+IF(S137&gt;0,'Attrition Modeling'!$N$9,0)))</f>
        <v>0</v>
      </c>
      <c r="T5" s="799">
        <f>(S5+T137)*(1-IFERROR(IF(T$2+$F5&lt;=12,SUMIFS('Attrition Modeling'!$D:$D,'Attrition Modeling'!$B:$B,'IP Attrition'!$D5,'Attrition Modeling'!$C:$C,'IP Attrition'!T$1),VLOOKUP($F5+T$2,$A$6:$C$106,2,FALSE)*VLOOKUP(T$1,'Attrition Modeling'!$L$15:$N$27,IF(T$2+$F5&lt;=24,2,3),FALSE)),$C$3)*(1+Projection!V$16)*(1+IF(T137&gt;0,'Attrition Modeling'!$N$9,0)))</f>
        <v>0</v>
      </c>
      <c r="U5" s="799">
        <f>(T5+U137)*(1-IFERROR(IF(U$2+$F5&lt;=12,SUMIFS('Attrition Modeling'!$D:$D,'Attrition Modeling'!$B:$B,'IP Attrition'!$D5,'Attrition Modeling'!$C:$C,'IP Attrition'!U$1),VLOOKUP($F5+U$2,$A$6:$C$106,2,FALSE)*VLOOKUP(U$1,'Attrition Modeling'!$L$15:$N$27,IF(U$2+$F5&lt;=24,2,3),FALSE)),$C$3)*(1+Projection!W$16)*(1+IF(U137&gt;0,'Attrition Modeling'!$N$9,0)))</f>
        <v>0</v>
      </c>
      <c r="V5" s="799">
        <f>(U5+V137)*(1-IFERROR(IF(V$2+$F5&lt;=12,SUMIFS('Attrition Modeling'!$D:$D,'Attrition Modeling'!$B:$B,'IP Attrition'!$D5,'Attrition Modeling'!$C:$C,'IP Attrition'!V$1),VLOOKUP($F5+V$2,$A$6:$C$106,2,FALSE)*VLOOKUP(V$1,'Attrition Modeling'!$L$15:$N$27,IF(V$2+$F5&lt;=24,2,3),FALSE)),$C$3)*(1+Projection!X$16)*(1+IF(V137&gt;0,'Attrition Modeling'!$N$9,0)))</f>
        <v>0</v>
      </c>
      <c r="W5" s="799">
        <f>(V5+W137)*(1-IFERROR(IF(W$2+$F5&lt;=12,SUMIFS('Attrition Modeling'!$D:$D,'Attrition Modeling'!$B:$B,'IP Attrition'!$D5,'Attrition Modeling'!$C:$C,'IP Attrition'!W$1),VLOOKUP($F5+W$2,$A$6:$C$106,2,FALSE)*VLOOKUP(W$1,'Attrition Modeling'!$L$15:$N$27,IF(W$2+$F5&lt;=24,2,3),FALSE)),$C$3)*(1+Projection!Y$16)*(1+IF(W137&gt;0,'Attrition Modeling'!$N$9,0)))</f>
        <v>0</v>
      </c>
      <c r="X5" s="799">
        <f>(W5+X137)*(1-IFERROR(IF(X$2+$F5&lt;=12,SUMIFS('Attrition Modeling'!$D:$D,'Attrition Modeling'!$B:$B,'IP Attrition'!$D5,'Attrition Modeling'!$C:$C,'IP Attrition'!X$1),VLOOKUP($F5+X$2,$A$6:$C$106,2,FALSE)*VLOOKUP(X$1,'Attrition Modeling'!$L$15:$N$27,IF(X$2+$F5&lt;=24,2,3),FALSE)),$C$3)*(1+Projection!Z$16)*(1+IF(X137&gt;0,'Attrition Modeling'!$N$9,0)))</f>
        <v>0</v>
      </c>
      <c r="Y5" s="799">
        <f>(X5+Y137)*(1-IFERROR(IF(Y$2+$F5&lt;=12,SUMIFS('Attrition Modeling'!$D:$D,'Attrition Modeling'!$B:$B,'IP Attrition'!$D5,'Attrition Modeling'!$C:$C,'IP Attrition'!Y$1),VLOOKUP($F5+Y$2,$A$6:$C$106,2,FALSE)*VLOOKUP(Y$1,'Attrition Modeling'!$L$15:$N$27,IF(Y$2+$F5&lt;=24,2,3),FALSE)),$C$3)*(1+Projection!AA$16)*(1+IF(Y137&gt;0,'Attrition Modeling'!$N$9,0)))</f>
        <v>0</v>
      </c>
      <c r="Z5" s="799">
        <f>(Y5+Z137)*(1-IFERROR(IF(Z$2+$F5&lt;=12,SUMIFS('Attrition Modeling'!$D:$D,'Attrition Modeling'!$B:$B,'IP Attrition'!$D5,'Attrition Modeling'!$C:$C,'IP Attrition'!Z$1),VLOOKUP($F5+Z$2,$A$6:$C$106,2,FALSE)*VLOOKUP(Z$1,'Attrition Modeling'!$L$15:$N$27,IF(Z$2+$F5&lt;=24,2,3),FALSE)),$C$3)*(1+Projection!AB$16)*(1+IF(Z137&gt;0,'Attrition Modeling'!$N$9,0)))</f>
        <v>0</v>
      </c>
      <c r="AA5" s="799">
        <f>(Z5+AA137)*(1-IFERROR(IF(AA$2+$F5&lt;=12,SUMIFS('Attrition Modeling'!$D:$D,'Attrition Modeling'!$B:$B,'IP Attrition'!$D5,'Attrition Modeling'!$C:$C,'IP Attrition'!AA$1),VLOOKUP($F5+AA$2,$A$6:$C$106,2,FALSE)*VLOOKUP(AA$1,'Attrition Modeling'!$L$15:$N$27,IF(AA$2+$F5&lt;=24,2,3),FALSE)),$C$3)*(1+Projection!AC$16)*(1+IF(AA137&gt;0,'Attrition Modeling'!$N$9,0)))</f>
        <v>0</v>
      </c>
      <c r="AB5" s="799">
        <f>(AA5+AB137)*(1-IFERROR(IF(AB$2+$F5&lt;=12,SUMIFS('Attrition Modeling'!$D:$D,'Attrition Modeling'!$B:$B,'IP Attrition'!$D5,'Attrition Modeling'!$C:$C,'IP Attrition'!AB$1),VLOOKUP($F5+AB$2,$A$6:$C$106,2,FALSE)*VLOOKUP(AB$1,'Attrition Modeling'!$L$15:$N$27,IF(AB$2+$F5&lt;=24,2,3),FALSE)),$C$3)*(1+Projection!AD$16)*(1+IF(AB137&gt;0,'Attrition Modeling'!$N$9,0)))</f>
        <v>0</v>
      </c>
      <c r="AC5" s="799">
        <f>(AB5+AC137)*(1-IFERROR(IF(AC$2+$F5&lt;=12,SUMIFS('Attrition Modeling'!$D:$D,'Attrition Modeling'!$B:$B,'IP Attrition'!$D5,'Attrition Modeling'!$C:$C,'IP Attrition'!AC$1),VLOOKUP($F5+AC$2,$A$6:$C$106,2,FALSE)*VLOOKUP(AC$1,'Attrition Modeling'!$L$15:$N$27,IF(AC$2+$F5&lt;=24,2,3),FALSE)),$C$3)*(1+Projection!AE$16)*(1+IF(AC137&gt;0,'Attrition Modeling'!$N$9,0)))</f>
        <v>0</v>
      </c>
      <c r="AD5" s="799">
        <f>(AC5+AD137)*(1-IFERROR(IF(AD$2+$F5&lt;=12,SUMIFS('Attrition Modeling'!$D:$D,'Attrition Modeling'!$B:$B,'IP Attrition'!$D5,'Attrition Modeling'!$C:$C,'IP Attrition'!AD$1),VLOOKUP($F5+AD$2,$A$6:$C$106,2,FALSE)*VLOOKUP(AD$1,'Attrition Modeling'!$L$15:$N$27,IF(AD$2+$F5&lt;=24,2,3),FALSE)),$C$3)*(1+Projection!AF$16)*(1+IF(AD137&gt;0,'Attrition Modeling'!$N$9,0)))</f>
        <v>0</v>
      </c>
      <c r="AE5" s="799">
        <f>(AD5+AE137)*(1-IFERROR(IF(AE$2+$F5&lt;=12,SUMIFS('Attrition Modeling'!$D:$D,'Attrition Modeling'!$B:$B,'IP Attrition'!$D5,'Attrition Modeling'!$C:$C,'IP Attrition'!AE$1),VLOOKUP($F5+AE$2,$A$6:$C$106,2,FALSE)*VLOOKUP(AE$1,'Attrition Modeling'!$L$15:$N$27,IF(AE$2+$F5&lt;=24,2,3),FALSE)),$C$3)*(1+Projection!AG$16)*(1+IF(AE137&gt;0,'Attrition Modeling'!$N$9,0)))</f>
        <v>0</v>
      </c>
      <c r="AF5" s="799">
        <f>(AE5+AF137)*(1-IFERROR(IF(AF$2+$F5&lt;=12,SUMIFS('Attrition Modeling'!$D:$D,'Attrition Modeling'!$B:$B,'IP Attrition'!$D5,'Attrition Modeling'!$C:$C,'IP Attrition'!AF$1),VLOOKUP($F5+AF$2,$A$6:$C$106,2,FALSE)*VLOOKUP(AF$1,'Attrition Modeling'!$L$15:$N$27,IF(AF$2+$F5&lt;=24,2,3),FALSE)),$C$3)*(1+Projection!AH$16)*(1+IF(AF137&gt;0,'Attrition Modeling'!$N$9,0)))</f>
        <v>0</v>
      </c>
      <c r="AG5" s="799">
        <f>(AF5+AG137)*(1-IFERROR(IF(AG$2+$F5&lt;=12,SUMIFS('Attrition Modeling'!$D:$D,'Attrition Modeling'!$B:$B,'IP Attrition'!$D5,'Attrition Modeling'!$C:$C,'IP Attrition'!AG$1),VLOOKUP($F5+AG$2,$A$6:$C$106,2,FALSE)*VLOOKUP(AG$1,'Attrition Modeling'!$L$15:$N$27,IF(AG$2+$F5&lt;=24,2,3),FALSE)),$C$3)*(1+Projection!AI$16)*(1+IF(AG137&gt;0,'Attrition Modeling'!$N$9,0)))</f>
        <v>0</v>
      </c>
      <c r="AH5" s="799">
        <f>(AG5+AH137)*(1-IFERROR(IF(AH$2+$F5&lt;=12,SUMIFS('Attrition Modeling'!$D:$D,'Attrition Modeling'!$B:$B,'IP Attrition'!$D5,'Attrition Modeling'!$C:$C,'IP Attrition'!AH$1),VLOOKUP($F5+AH$2,$A$6:$C$106,2,FALSE)*VLOOKUP(AH$1,'Attrition Modeling'!$L$15:$N$27,IF(AH$2+$F5&lt;=24,2,3),FALSE)),$C$3)*(1+Projection!AJ$16)*(1+IF(AH137&gt;0,'Attrition Modeling'!$N$9,0)))</f>
        <v>0</v>
      </c>
      <c r="AI5" s="799">
        <f>(AH5+AI137)*(1-IFERROR(IF(AI$2+$F5&lt;=12,SUMIFS('Attrition Modeling'!$D:$D,'Attrition Modeling'!$B:$B,'IP Attrition'!$D5,'Attrition Modeling'!$C:$C,'IP Attrition'!AI$1),VLOOKUP($F5+AI$2,$A$6:$C$106,2,FALSE)*VLOOKUP(AI$1,'Attrition Modeling'!$L$15:$N$27,IF(AI$2+$F5&lt;=24,2,3),FALSE)),$C$3)*(1+Projection!AK$16)*(1+IF(AI137&gt;0,'Attrition Modeling'!$N$9,0)))</f>
        <v>0</v>
      </c>
      <c r="AJ5" s="799">
        <f>(AI5+AJ137)*(1-IFERROR(IF(AJ$2+$F5&lt;=12,SUMIFS('Attrition Modeling'!$D:$D,'Attrition Modeling'!$B:$B,'IP Attrition'!$D5,'Attrition Modeling'!$C:$C,'IP Attrition'!AJ$1),VLOOKUP($F5+AJ$2,$A$6:$C$106,2,FALSE)*VLOOKUP(AJ$1,'Attrition Modeling'!$L$15:$N$27,IF(AJ$2+$F5&lt;=24,2,3),FALSE)),$C$3)*(1+Projection!AL$16)*(1+IF(AJ137&gt;0,'Attrition Modeling'!$N$9,0)))</f>
        <v>0</v>
      </c>
      <c r="AK5" s="799">
        <f>(AJ5+AK137)*(1-IFERROR(IF(AK$2+$F5&lt;=12,SUMIFS('Attrition Modeling'!$D:$D,'Attrition Modeling'!$B:$B,'IP Attrition'!$D5,'Attrition Modeling'!$C:$C,'IP Attrition'!AK$1),VLOOKUP($F5+AK$2,$A$6:$C$106,2,FALSE)*VLOOKUP(AK$1,'Attrition Modeling'!$L$15:$N$27,IF(AK$2+$F5&lt;=24,2,3),FALSE)),$C$3)*(1+Projection!AM$16)*(1+IF(AK137&gt;0,'Attrition Modeling'!$N$9,0)))</f>
        <v>0</v>
      </c>
      <c r="AL5" s="799">
        <f>(AK5+AL137)*(1-IFERROR(IF(AL$2+$F5&lt;=12,SUMIFS('Attrition Modeling'!$D:$D,'Attrition Modeling'!$B:$B,'IP Attrition'!$D5,'Attrition Modeling'!$C:$C,'IP Attrition'!AL$1),VLOOKUP($F5+AL$2,$A$6:$C$106,2,FALSE)*VLOOKUP(AL$1,'Attrition Modeling'!$L$15:$N$27,IF(AL$2+$F5&lt;=24,2,3),FALSE)),$C$3)*(1+Projection!AN$16)*(1+IF(AL137&gt;0,'Attrition Modeling'!$N$9,0)))</f>
        <v>0</v>
      </c>
      <c r="AM5" s="799">
        <f>(AL5+AM137)*(1-IFERROR(IF(AM$2+$F5&lt;=12,SUMIFS('Attrition Modeling'!$D:$D,'Attrition Modeling'!$B:$B,'IP Attrition'!$D5,'Attrition Modeling'!$C:$C,'IP Attrition'!AM$1),VLOOKUP($F5+AM$2,$A$6:$C$106,2,FALSE)*VLOOKUP(AM$1,'Attrition Modeling'!$L$15:$N$27,IF(AM$2+$F5&lt;=24,2,3),FALSE)),$C$3)*(1+Projection!AO$16)*(1+IF(AM137&gt;0,'Attrition Modeling'!$N$9,0)))</f>
        <v>0</v>
      </c>
      <c r="AN5" s="799">
        <f>(AM5+AN137)*(1-IFERROR(IF(AN$2+$F5&lt;=12,SUMIFS('Attrition Modeling'!$D:$D,'Attrition Modeling'!$B:$B,'IP Attrition'!$D5,'Attrition Modeling'!$C:$C,'IP Attrition'!AN$1),VLOOKUP($F5+AN$2,$A$6:$C$106,2,FALSE)*VLOOKUP(AN$1,'Attrition Modeling'!$L$15:$N$27,IF(AN$2+$F5&lt;=24,2,3),FALSE)),$C$3)*(1+Projection!AP$16)*(1+IF(AN137&gt;0,'Attrition Modeling'!$N$9,0)))</f>
        <v>0</v>
      </c>
      <c r="AO5" s="799">
        <f>(AN5+AO137)*(1-IFERROR(IF(AO$2+$F5&lt;=12,SUMIFS('Attrition Modeling'!$D:$D,'Attrition Modeling'!$B:$B,'IP Attrition'!$D5,'Attrition Modeling'!$C:$C,'IP Attrition'!AO$1),VLOOKUP($F5+AO$2,$A$6:$C$106,2,FALSE)*VLOOKUP(AO$1,'Attrition Modeling'!$L$15:$N$27,IF(AO$2+$F5&lt;=24,2,3),FALSE)),$C$3)*(1+Projection!AQ$16)*(1+IF(AO137&gt;0,'Attrition Modeling'!$N$9,0)))</f>
        <v>0</v>
      </c>
      <c r="AP5" s="799">
        <f>(AO5+AP137)*(1-IFERROR(IF(AP$2+$F5&lt;=12,SUMIFS('Attrition Modeling'!$D:$D,'Attrition Modeling'!$B:$B,'IP Attrition'!$D5,'Attrition Modeling'!$C:$C,'IP Attrition'!AP$1),VLOOKUP($F5+AP$2,$A$6:$C$106,2,FALSE)*VLOOKUP(AP$1,'Attrition Modeling'!$L$15:$N$27,IF(AP$2+$F5&lt;=24,2,3),FALSE)),$C$3)*(1+Projection!AR$16)*(1+IF(AP137&gt;0,'Attrition Modeling'!$N$9,0)))</f>
        <v>0</v>
      </c>
      <c r="AQ5" s="799">
        <f>(AP5+AQ137)*(1-IFERROR(IF(AQ$2+$F5&lt;=12,SUMIFS('Attrition Modeling'!$D:$D,'Attrition Modeling'!$B:$B,'IP Attrition'!$D5,'Attrition Modeling'!$C:$C,'IP Attrition'!AQ$1),VLOOKUP($F5+AQ$2,$A$6:$C$106,2,FALSE)*VLOOKUP(AQ$1,'Attrition Modeling'!$L$15:$N$27,IF(AQ$2+$F5&lt;=24,2,3),FALSE)),$C$3)*(1+Projection!AS$16)*(1+IF(AQ137&gt;0,'Attrition Modeling'!$N$9,0)))</f>
        <v>0</v>
      </c>
      <c r="AR5" s="799">
        <f>(AQ5+AR137)*(1-IFERROR(IF(AR$2+$F5&lt;=12,SUMIFS('Attrition Modeling'!$D:$D,'Attrition Modeling'!$B:$B,'IP Attrition'!$D5,'Attrition Modeling'!$C:$C,'IP Attrition'!AR$1),VLOOKUP($F5+AR$2,$A$6:$C$106,2,FALSE)*VLOOKUP(AR$1,'Attrition Modeling'!$L$15:$N$27,IF(AR$2+$F5&lt;=24,2,3),FALSE)),$C$3)*(1+Projection!AT$16)*(1+IF(AR137&gt;0,'Attrition Modeling'!$N$9,0)))</f>
        <v>0</v>
      </c>
      <c r="AS5" s="799">
        <f>(AR5+AS137)*(1-IFERROR(IF(AS$2+$F5&lt;=12,SUMIFS('Attrition Modeling'!$D:$D,'Attrition Modeling'!$B:$B,'IP Attrition'!$D5,'Attrition Modeling'!$C:$C,'IP Attrition'!AS$1),VLOOKUP($F5+AS$2,$A$6:$C$106,2,FALSE)*VLOOKUP(AS$1,'Attrition Modeling'!$L$15:$N$27,IF(AS$2+$F5&lt;=24,2,3),FALSE)),$C$3)*(1+Projection!AU$16)*(1+IF(AS137&gt;0,'Attrition Modeling'!$N$9,0)))</f>
        <v>0</v>
      </c>
      <c r="AT5" s="799">
        <f>(AS5+AT137)*(1-IFERROR(IF(AT$2+$F5&lt;=12,SUMIFS('Attrition Modeling'!$D:$D,'Attrition Modeling'!$B:$B,'IP Attrition'!$D5,'Attrition Modeling'!$C:$C,'IP Attrition'!AT$1),VLOOKUP($F5+AT$2,$A$6:$C$106,2,FALSE)*VLOOKUP(AT$1,'Attrition Modeling'!$L$15:$N$27,IF(AT$2+$F5&lt;=24,2,3),FALSE)),$C$3)*(1+Projection!AV$16)*(1+IF(AT137&gt;0,'Attrition Modeling'!$N$9,0)))</f>
        <v>0</v>
      </c>
      <c r="AU5" s="799">
        <f>(AT5+AU137)*(1-IFERROR(IF(AU$2+$F5&lt;=12,SUMIFS('Attrition Modeling'!$D:$D,'Attrition Modeling'!$B:$B,'IP Attrition'!$D5,'Attrition Modeling'!$C:$C,'IP Attrition'!AU$1),VLOOKUP($F5+AU$2,$A$6:$C$106,2,FALSE)*VLOOKUP(AU$1,'Attrition Modeling'!$L$15:$N$27,IF(AU$2+$F5&lt;=24,2,3),FALSE)),$C$3)*(1+Projection!AW$16)*(1+IF(AU137&gt;0,'Attrition Modeling'!$N$9,0)))</f>
        <v>0</v>
      </c>
      <c r="AV5" s="799">
        <f>(AU5+AV137)*(1-IFERROR(IF(AV$2+$F5&lt;=12,SUMIFS('Attrition Modeling'!$D:$D,'Attrition Modeling'!$B:$B,'IP Attrition'!$D5,'Attrition Modeling'!$C:$C,'IP Attrition'!AV$1),VLOOKUP($F5+AV$2,$A$6:$C$106,2,FALSE)*VLOOKUP(AV$1,'Attrition Modeling'!$L$15:$N$27,IF(AV$2+$F5&lt;=24,2,3),FALSE)),$C$3)*(1+Projection!AX$16)*(1+IF(AV137&gt;0,'Attrition Modeling'!$N$9,0)))</f>
        <v>0</v>
      </c>
      <c r="AW5" s="799">
        <f>(AV5+AW137)*(1-IFERROR(IF(AW$2+$F5&lt;=12,SUMIFS('Attrition Modeling'!$D:$D,'Attrition Modeling'!$B:$B,'IP Attrition'!$D5,'Attrition Modeling'!$C:$C,'IP Attrition'!AW$1),VLOOKUP($F5+AW$2,$A$6:$C$106,2,FALSE)*VLOOKUP(AW$1,'Attrition Modeling'!$L$15:$N$27,IF(AW$2+$F5&lt;=24,2,3),FALSE)),$C$3)*(1+Projection!AY$16)*(1+IF(AW137&gt;0,'Attrition Modeling'!$N$9,0)))</f>
        <v>0</v>
      </c>
      <c r="AX5" s="799">
        <f>(AW5+AX137)*(1-IFERROR(IF(AX$2+$F5&lt;=12,SUMIFS('Attrition Modeling'!$D:$D,'Attrition Modeling'!$B:$B,'IP Attrition'!$D5,'Attrition Modeling'!$C:$C,'IP Attrition'!AX$1),VLOOKUP($F5+AX$2,$A$6:$C$106,2,FALSE)*VLOOKUP(AX$1,'Attrition Modeling'!$L$15:$N$27,IF(AX$2+$F5&lt;=24,2,3),FALSE)),$C$3)*(1+Projection!AZ$16)*(1+IF(AX137&gt;0,'Attrition Modeling'!$N$9,0)))</f>
        <v>0</v>
      </c>
      <c r="AY5" s="799">
        <f>(AX5+AY137)*(1-IFERROR(IF(AY$2+$F5&lt;=12,SUMIFS('Attrition Modeling'!$D:$D,'Attrition Modeling'!$B:$B,'IP Attrition'!$D5,'Attrition Modeling'!$C:$C,'IP Attrition'!AY$1),VLOOKUP($F5+AY$2,$A$6:$C$106,2,FALSE)*VLOOKUP(AY$1,'Attrition Modeling'!$L$15:$N$27,IF(AY$2+$F5&lt;=24,2,3),FALSE)),$C$3)*(1+Projection!BA$16)*(1+IF(AY137&gt;0,'Attrition Modeling'!$N$9,0)))</f>
        <v>0</v>
      </c>
      <c r="AZ5" s="799">
        <f>(AY5+AZ137)*(1-IFERROR(IF(AZ$2+$F5&lt;=12,SUMIFS('Attrition Modeling'!$D:$D,'Attrition Modeling'!$B:$B,'IP Attrition'!$D5,'Attrition Modeling'!$C:$C,'IP Attrition'!AZ$1),VLOOKUP($F5+AZ$2,$A$6:$C$106,2,FALSE)*VLOOKUP(AZ$1,'Attrition Modeling'!$L$15:$N$27,IF(AZ$2+$F5&lt;=24,2,3),FALSE)),$C$3)*(1+Projection!BB$16)*(1+IF(AZ137&gt;0,'Attrition Modeling'!$N$9,0)))</f>
        <v>0</v>
      </c>
      <c r="BA5" s="799">
        <f>(AZ5+BA137)*(1-IFERROR(IF(BA$2+$F5&lt;=12,SUMIFS('Attrition Modeling'!$D:$D,'Attrition Modeling'!$B:$B,'IP Attrition'!$D5,'Attrition Modeling'!$C:$C,'IP Attrition'!BA$1),VLOOKUP($F5+BA$2,$A$6:$C$106,2,FALSE)*VLOOKUP(BA$1,'Attrition Modeling'!$L$15:$N$27,IF(BA$2+$F5&lt;=24,2,3),FALSE)),$C$3)*(1+Projection!BC$16)*(1+IF(BA137&gt;0,'Attrition Modeling'!$N$9,0)))</f>
        <v>0</v>
      </c>
      <c r="BB5" s="799">
        <f>(BA5+BB137)*(1-IFERROR(IF(BB$2+$F5&lt;=12,SUMIFS('Attrition Modeling'!$D:$D,'Attrition Modeling'!$B:$B,'IP Attrition'!$D5,'Attrition Modeling'!$C:$C,'IP Attrition'!BB$1),VLOOKUP($F5+BB$2,$A$6:$C$106,2,FALSE)*VLOOKUP(BB$1,'Attrition Modeling'!$L$15:$N$27,IF(BB$2+$F5&lt;=24,2,3),FALSE)),$C$3)*(1+Projection!BD$16)*(1+IF(BB137&gt;0,'Attrition Modeling'!$N$9,0)))</f>
        <v>0</v>
      </c>
      <c r="BC5" s="799">
        <f>(BB5+BC137)*(1-IFERROR(IF(BC$2+$F5&lt;=12,SUMIFS('Attrition Modeling'!$D:$D,'Attrition Modeling'!$B:$B,'IP Attrition'!$D5,'Attrition Modeling'!$C:$C,'IP Attrition'!BC$1),VLOOKUP($F5+BC$2,$A$6:$C$106,2,FALSE)*VLOOKUP(BC$1,'Attrition Modeling'!$L$15:$N$27,IF(BC$2+$F5&lt;=24,2,3),FALSE)),$C$3)*(1+Projection!BE$16)*(1+IF(BC137&gt;0,'Attrition Modeling'!$N$9,0)))</f>
        <v>0</v>
      </c>
      <c r="BD5" s="799">
        <f>(BC5+BD137)*(1-IFERROR(IF(BD$2+$F5&lt;=12,SUMIFS('Attrition Modeling'!$D:$D,'Attrition Modeling'!$B:$B,'IP Attrition'!$D5,'Attrition Modeling'!$C:$C,'IP Attrition'!BD$1),VLOOKUP($F5+BD$2,$A$6:$C$106,2,FALSE)*VLOOKUP(BD$1,'Attrition Modeling'!$L$15:$N$27,IF(BD$2+$F5&lt;=24,2,3),FALSE)),$C$3)*(1+Projection!BF$16)*(1+IF(BD137&gt;0,'Attrition Modeling'!$N$9,0)))</f>
        <v>0</v>
      </c>
      <c r="BE5" s="799">
        <f>(BD5+BE137)*(1-IFERROR(IF(BE$2+$F5&lt;=12,SUMIFS('Attrition Modeling'!$D:$D,'Attrition Modeling'!$B:$B,'IP Attrition'!$D5,'Attrition Modeling'!$C:$C,'IP Attrition'!BE$1),VLOOKUP($F5+BE$2,$A$6:$C$106,2,FALSE)*VLOOKUP(BE$1,'Attrition Modeling'!$L$15:$N$27,IF(BE$2+$F5&lt;=24,2,3),FALSE)),$C$3)*(1+Projection!BG$16)*(1+IF(BE137&gt;0,'Attrition Modeling'!$N$9,0)))</f>
        <v>0</v>
      </c>
      <c r="BF5" s="799">
        <f>(BE5+BF137)*(1-IFERROR(IF(BF$2+$F5&lt;=12,SUMIFS('Attrition Modeling'!$D:$D,'Attrition Modeling'!$B:$B,'IP Attrition'!$D5,'Attrition Modeling'!$C:$C,'IP Attrition'!BF$1),VLOOKUP($F5+BF$2,$A$6:$C$106,2,FALSE)*VLOOKUP(BF$1,'Attrition Modeling'!$L$15:$N$27,IF(BF$2+$F5&lt;=24,2,3),FALSE)),$C$3)*(1+Projection!BH$16)*(1+IF(BF137&gt;0,'Attrition Modeling'!$N$9,0)))</f>
        <v>0</v>
      </c>
      <c r="BG5" s="799">
        <f>(BF5+BG137)*(1-IFERROR(IF(BG$2+$F5&lt;=12,SUMIFS('Attrition Modeling'!$D:$D,'Attrition Modeling'!$B:$B,'IP Attrition'!$D5,'Attrition Modeling'!$C:$C,'IP Attrition'!BG$1),VLOOKUP($F5+BG$2,$A$6:$C$106,2,FALSE)*VLOOKUP(BG$1,'Attrition Modeling'!$L$15:$N$27,IF(BG$2+$F5&lt;=24,2,3),FALSE)),$C$3)*(1+Projection!BI$16)*(1+IF(BG137&gt;0,'Attrition Modeling'!$N$9,0)))</f>
        <v>0</v>
      </c>
      <c r="BH5" s="799">
        <f>(BG5+BH137)*(1-IFERROR(IF(BH$2+$F5&lt;=12,SUMIFS('Attrition Modeling'!$D:$D,'Attrition Modeling'!$B:$B,'IP Attrition'!$D5,'Attrition Modeling'!$C:$C,'IP Attrition'!BH$1),VLOOKUP($F5+BH$2,$A$6:$C$106,2,FALSE)*VLOOKUP(BH$1,'Attrition Modeling'!$L$15:$N$27,IF(BH$2+$F5&lt;=24,2,3),FALSE)),$C$3)*(1+Projection!BJ$16)*(1+IF(BH137&gt;0,'Attrition Modeling'!$N$9,0)))</f>
        <v>0</v>
      </c>
      <c r="BI5" s="799">
        <f>(BH5+BI137)*(1-IFERROR(IF(BI$2+$F5&lt;=12,SUMIFS('Attrition Modeling'!$D:$D,'Attrition Modeling'!$B:$B,'IP Attrition'!$D5,'Attrition Modeling'!$C:$C,'IP Attrition'!BI$1),VLOOKUP($F5+BI$2,$A$6:$C$106,2,FALSE)*VLOOKUP(BI$1,'Attrition Modeling'!$L$15:$N$27,IF(BI$2+$F5&lt;=24,2,3),FALSE)),$C$3)*(1+Projection!BK$16)*(1+IF(BI137&gt;0,'Attrition Modeling'!$N$9,0)))</f>
        <v>0</v>
      </c>
      <c r="BJ5" s="799">
        <f>(BI5+BJ137)*(1-IFERROR(IF(BJ$2+$F5&lt;=12,SUMIFS('Attrition Modeling'!$D:$D,'Attrition Modeling'!$B:$B,'IP Attrition'!$D5,'Attrition Modeling'!$C:$C,'IP Attrition'!BJ$1),VLOOKUP($F5+BJ$2,$A$6:$C$106,2,FALSE)*VLOOKUP(BJ$1,'Attrition Modeling'!$L$15:$N$27,IF(BJ$2+$F5&lt;=24,2,3),FALSE)),$C$3)*(1+Projection!BL$16)*(1+IF(BJ137&gt;0,'Attrition Modeling'!$N$9,0)))</f>
        <v>0</v>
      </c>
      <c r="BK5" s="799">
        <f>(BJ5+BK137)*(1-IFERROR(IF(BK$2+$F5&lt;=12,SUMIFS('Attrition Modeling'!$D:$D,'Attrition Modeling'!$B:$B,'IP Attrition'!$D5,'Attrition Modeling'!$C:$C,'IP Attrition'!BK$1),VLOOKUP($F5+BK$2,$A$6:$C$106,2,FALSE)*VLOOKUP(BK$1,'Attrition Modeling'!$L$15:$N$27,IF(BK$2+$F5&lt;=24,2,3),FALSE)),$C$3)*(1+Projection!BM$16)*(1+IF(BK137&gt;0,'Attrition Modeling'!$N$9,0)))</f>
        <v>0</v>
      </c>
      <c r="BL5" s="799">
        <f>(BK5+BL137)*(1-IFERROR(IF(BL$2+$F5&lt;=12,SUMIFS('Attrition Modeling'!$D:$D,'Attrition Modeling'!$B:$B,'IP Attrition'!$D5,'Attrition Modeling'!$C:$C,'IP Attrition'!BL$1),VLOOKUP($F5+BL$2,$A$6:$C$106,2,FALSE)*VLOOKUP(BL$1,'Attrition Modeling'!$L$15:$N$27,IF(BL$2+$F5&lt;=24,2,3),FALSE)),$C$3)*(1+Projection!BN$16)*(1+IF(BL137&gt;0,'Attrition Modeling'!$N$9,0)))</f>
        <v>0</v>
      </c>
      <c r="BM5" s="799">
        <f>(BL5+BM137)*(1-IFERROR(IF(BM$2+$F5&lt;=12,SUMIFS('Attrition Modeling'!$D:$D,'Attrition Modeling'!$B:$B,'IP Attrition'!$D5,'Attrition Modeling'!$C:$C,'IP Attrition'!BM$1),VLOOKUP($F5+BM$2,$A$6:$C$106,2,FALSE)*VLOOKUP(BM$1,'Attrition Modeling'!$L$15:$N$27,IF(BM$2+$F5&lt;=24,2,3),FALSE)),$C$3)*(1+Projection!BO$16)*(1+IF(BM137&gt;0,'Attrition Modeling'!$N$9,0)))</f>
        <v>0</v>
      </c>
      <c r="BN5" s="799">
        <f>(BM5+BN137)*(1-IFERROR(IF(BN$2+$F5&lt;=12,SUMIFS('Attrition Modeling'!$D:$D,'Attrition Modeling'!$B:$B,'IP Attrition'!$D5,'Attrition Modeling'!$C:$C,'IP Attrition'!BN$1),VLOOKUP($F5+BN$2,$A$6:$C$106,2,FALSE)*VLOOKUP(BN$1,'Attrition Modeling'!$L$15:$N$27,IF(BN$2+$F5&lt;=24,2,3),FALSE)),$C$3)*(1+Projection!BP$16)*(1+IF(BN137&gt;0,'Attrition Modeling'!$N$9,0)))</f>
        <v>0</v>
      </c>
      <c r="BO5" s="799">
        <f>(BN5+BO137)*(1-IFERROR(IF(BO$2+$F5&lt;=12,SUMIFS('Attrition Modeling'!$D:$D,'Attrition Modeling'!$B:$B,'IP Attrition'!$D5,'Attrition Modeling'!$C:$C,'IP Attrition'!BO$1),VLOOKUP($F5+BO$2,$A$6:$C$106,2,FALSE)*VLOOKUP(BO$1,'Attrition Modeling'!$L$15:$N$27,IF(BO$2+$F5&lt;=24,2,3),FALSE)),$C$3)*(1+Projection!BV$16)*(1+IF(BO137&gt;0,'Attrition Modeling'!$N$9,0)))</f>
        <v>0</v>
      </c>
      <c r="BP5" s="799">
        <f>(BO5+BP137)*(1-IFERROR(IF(BP$2+$F5&lt;=12,SUMIFS('Attrition Modeling'!$D:$D,'Attrition Modeling'!$B:$B,'IP Attrition'!$D5,'Attrition Modeling'!$C:$C,'IP Attrition'!BP$1),VLOOKUP($F5+BP$2,$A$6:$C$106,2,FALSE)*VLOOKUP(BP$1,'Attrition Modeling'!$L$15:$N$27,IF(BP$2+$F5&lt;=24,2,3),FALSE)),$C$3)*(1+Projection!BW$16)*(1+IF(BP137&gt;0,'Attrition Modeling'!$N$9,0)))</f>
        <v>0</v>
      </c>
      <c r="BQ5" s="799">
        <f>(BP5+BQ137)*(1-IFERROR(IF(BQ$2+$F5&lt;=12,SUMIFS('Attrition Modeling'!$D:$D,'Attrition Modeling'!$B:$B,'IP Attrition'!$D5,'Attrition Modeling'!$C:$C,'IP Attrition'!BQ$1),VLOOKUP($F5+BQ$2,$A$6:$C$106,2,FALSE)*VLOOKUP(BQ$1,'Attrition Modeling'!$L$15:$N$27,IF(BQ$2+$F5&lt;=24,2,3),FALSE)),$C$3)*(1+Projection!BX$16)*(1+IF(BQ137&gt;0,'Attrition Modeling'!$N$9,0)))</f>
        <v>0</v>
      </c>
      <c r="BR5" s="799">
        <f>(BQ5+BR137)*(1-IFERROR(IF(BR$2+$F5&lt;=12,SUMIFS('Attrition Modeling'!$D:$D,'Attrition Modeling'!$B:$B,'IP Attrition'!$D5,'Attrition Modeling'!$C:$C,'IP Attrition'!BR$1),VLOOKUP($F5+BR$2,$A$6:$C$106,2,FALSE)*VLOOKUP(BR$1,'Attrition Modeling'!$L$15:$N$27,IF(BR$2+$F5&lt;=24,2,3),FALSE)),$C$3)*(1+Projection!BY$16)*(1+IF(BR137&gt;0,'Attrition Modeling'!$N$9,0)))</f>
        <v>0</v>
      </c>
      <c r="BS5" s="799">
        <f>(BR5+BS137)*(1-IFERROR(IF(BS$2+$F5&lt;=12,SUMIFS('Attrition Modeling'!$D:$D,'Attrition Modeling'!$B:$B,'IP Attrition'!$D5,'Attrition Modeling'!$C:$C,'IP Attrition'!BS$1),VLOOKUP($F5+BS$2,$A$6:$C$106,2,FALSE)*VLOOKUP(BS$1,'Attrition Modeling'!$L$15:$N$27,IF(BS$2+$F5&lt;=24,2,3),FALSE)),$C$3)*(1+Projection!BZ$16)*(1+IF(BS137&gt;0,'Attrition Modeling'!$N$9,0)))</f>
        <v>0</v>
      </c>
      <c r="BT5" s="799" t="e">
        <f>(BS5+BT137)*(1-IFERROR(IF(BT$2+$F5&lt;=12,SUMIFS('Attrition Modeling'!$D:$D,'Attrition Modeling'!$B:$B,'IP Attrition'!$D5,'Attrition Modeling'!$C:$C,'IP Attrition'!BT$1),VLOOKUP($F5+BT$2,$A$6:$C$106,2,FALSE)*VLOOKUP(BT$1,'Attrition Modeling'!$L$15:$N$27,IF(BT$2+$F5&lt;=24,2,3),FALSE)),$C$3)*(1+Projection!CA$16)*(1+IF(BT137&gt;0,'Attrition Modeling'!$N$9,0)))</f>
        <v>#REF!</v>
      </c>
      <c r="BU5" s="799" t="e">
        <f>(BT5+BU137)*(1-IFERROR(IF(BU$2+$F5&lt;=12,SUMIFS('Attrition Modeling'!$D:$D,'Attrition Modeling'!$B:$B,'IP Attrition'!$D5,'Attrition Modeling'!$C:$C,'IP Attrition'!BU$1),VLOOKUP($F5+BU$2,$A$6:$C$106,2,FALSE)*VLOOKUP(BU$1,'Attrition Modeling'!$L$15:$N$27,IF(BU$2+$F5&lt;=24,2,3),FALSE)),$C$3)*(1+Projection!CB$16)*(1+IF(BU137&gt;0,'Attrition Modeling'!$N$9,0)))</f>
        <v>#REF!</v>
      </c>
    </row>
    <row r="6" spans="1:73" ht="14.25" customHeight="1" x14ac:dyDescent="0.2">
      <c r="A6" s="767" t="s">
        <v>674</v>
      </c>
      <c r="B6" s="768" t="s">
        <v>695</v>
      </c>
      <c r="C6" s="769" t="s">
        <v>696</v>
      </c>
      <c r="D6" s="11">
        <f t="shared" si="1"/>
        <v>-3</v>
      </c>
      <c r="E6" s="807">
        <f t="array" ref="E6">INDEX('Attrition Modeling'!$X$2:$AF$63,MATCH($F6,'Attrition Modeling'!$X$2:$X$63,0),MATCH(Inputs!$C$10,'Attrition Modeling'!$X$2:$AF$2,0))</f>
        <v>0.13610718415204701</v>
      </c>
      <c r="F6" s="11">
        <f t="shared" si="2"/>
        <v>3</v>
      </c>
      <c r="G6" s="799">
        <f>Summary!$C$25*$E6</f>
        <v>0</v>
      </c>
      <c r="H6" s="808">
        <f>(G6+H138)*(1-IFERROR(IF(H$2+$F6&lt;=12,SUMIFS('Attrition Modeling'!$D:$D,'Attrition Modeling'!$B:$B,'IP Attrition'!$D6,'Attrition Modeling'!$C:$C,'IP Attrition'!H$1),VLOOKUP($F6+H$2,$A$6:$C$106,2,FALSE)*VLOOKUP(H$1,'Attrition Modeling'!$L$15:$N$27,IF(H$2+$F6&lt;=24,2,3),FALSE)),$C$3)*(1+Projection!J$16)*(1+IF(H138&gt;0,'Attrition Modeling'!$N$9,0)))</f>
        <v>0</v>
      </c>
      <c r="I6" s="808">
        <f>(H6+I138)*(1-IFERROR(IF(I$2+$F6&lt;=12,SUMIFS('Attrition Modeling'!$D:$D,'Attrition Modeling'!$B:$B,'IP Attrition'!$D6,'Attrition Modeling'!$C:$C,'IP Attrition'!I$1),VLOOKUP($F6+I$2,$A$6:$C$106,2,FALSE)*VLOOKUP(I$1,'Attrition Modeling'!$L$15:$N$27,IF(I$2+$F6&lt;=24,2,3),FALSE)),$C$3)*(1+Projection!K$16)*(1+IF(I138&gt;0,'Attrition Modeling'!$N$9,0)))</f>
        <v>0</v>
      </c>
      <c r="J6" s="808">
        <f>(I6+J138)*(1-IFERROR(IF(J$2+$F6&lt;=12,SUMIFS('Attrition Modeling'!$D:$D,'Attrition Modeling'!$B:$B,'IP Attrition'!$D6,'Attrition Modeling'!$C:$C,'IP Attrition'!J$1),VLOOKUP($F6+J$2,$A$6:$C$106,2,FALSE)*VLOOKUP(J$1,'Attrition Modeling'!$L$15:$N$27,IF(J$2+$F6&lt;=24,2,3),FALSE)),$C$3)*(1+Projection!L$16)*(1+IF(J138&gt;0,'Attrition Modeling'!$N$9,0)))</f>
        <v>0</v>
      </c>
      <c r="K6" s="808">
        <f>(J6+K138)*(1-IFERROR(IF(K$2+$F6&lt;=12,SUMIFS('Attrition Modeling'!$D:$D,'Attrition Modeling'!$B:$B,'IP Attrition'!$D6,'Attrition Modeling'!$C:$C,'IP Attrition'!K$1),VLOOKUP($F6+K$2,$A$6:$C$106,2,FALSE)*VLOOKUP(K$1,'Attrition Modeling'!$L$15:$N$27,IF(K$2+$F6&lt;=24,2,3),FALSE)),$C$3)*(1+Projection!M$16)*(1+IF(K138&gt;0,'Attrition Modeling'!$N$9,0)))</f>
        <v>0</v>
      </c>
      <c r="L6" s="808">
        <f>(K6+L138)*(1-IFERROR(IF(L$2+$F6&lt;=12,SUMIFS('Attrition Modeling'!$D:$D,'Attrition Modeling'!$B:$B,'IP Attrition'!$D6,'Attrition Modeling'!$C:$C,'IP Attrition'!L$1),VLOOKUP($F6+L$2,$A$6:$C$106,2,FALSE)*VLOOKUP(L$1,'Attrition Modeling'!$L$15:$N$27,IF(L$2+$F6&lt;=24,2,3),FALSE)),$C$3)*(1+Projection!N$16)*(1+IF(L138&gt;0,'Attrition Modeling'!$N$9,0)))</f>
        <v>0</v>
      </c>
      <c r="M6" s="808">
        <f>(L6+M138)*(1-IFERROR(IF(M$2+$F6&lt;=12,SUMIFS('Attrition Modeling'!$D:$D,'Attrition Modeling'!$B:$B,'IP Attrition'!$D6,'Attrition Modeling'!$C:$C,'IP Attrition'!M$1),VLOOKUP($F6+M$2,$A$6:$C$106,2,FALSE)*VLOOKUP(M$1,'Attrition Modeling'!$L$15:$N$27,IF(M$2+$F6&lt;=24,2,3),FALSE)),$C$3)*(1+Projection!O$16)*(1+IF(M138&gt;0,'Attrition Modeling'!$N$9,0)))</f>
        <v>0</v>
      </c>
      <c r="N6" s="808">
        <f>(M6+N138)*(1-IFERROR(IF(N$2+$F6&lt;=12,SUMIFS('Attrition Modeling'!$D:$D,'Attrition Modeling'!$B:$B,'IP Attrition'!$D6,'Attrition Modeling'!$C:$C,'IP Attrition'!N$1),VLOOKUP($F6+N$2,$A$6:$C$106,2,FALSE)*VLOOKUP(N$1,'Attrition Modeling'!$L$15:$N$27,IF(N$2+$F6&lt;=24,2,3),FALSE)),$C$3)*(1+Projection!P$16)*(1+IF(N138&gt;0,'Attrition Modeling'!$N$9,0)))</f>
        <v>0</v>
      </c>
      <c r="O6" s="808">
        <f>(N6+O138)*(1-IFERROR(IF(O$2+$F6&lt;=12,SUMIFS('Attrition Modeling'!$D:$D,'Attrition Modeling'!$B:$B,'IP Attrition'!$D6,'Attrition Modeling'!$C:$C,'IP Attrition'!O$1),VLOOKUP($F6+O$2,$A$6:$C$106,2,FALSE)*VLOOKUP(O$1,'Attrition Modeling'!$L$15:$N$27,IF(O$2+$F6&lt;=24,2,3),FALSE)),$C$3)*(1+Projection!Q$16)*(1+IF(O138&gt;0,'Attrition Modeling'!$N$9,0)))</f>
        <v>0</v>
      </c>
      <c r="P6" s="808">
        <f>(O6+P138)*(1-IFERROR(IF(P$2+$F6&lt;=12,SUMIFS('Attrition Modeling'!$D:$D,'Attrition Modeling'!$B:$B,'IP Attrition'!$D6,'Attrition Modeling'!$C:$C,'IP Attrition'!P$1),VLOOKUP($F6+P$2,$A$6:$C$106,2,FALSE)*VLOOKUP(P$1,'Attrition Modeling'!$L$15:$N$27,IF(P$2+$F6&lt;=24,2,3),FALSE)),$C$3)*(1+Projection!R$16)*(1+IF(P138&gt;0,'Attrition Modeling'!$N$9,0)))</f>
        <v>0</v>
      </c>
      <c r="Q6" s="799">
        <f>(P6+Q138)*(1-IFERROR(IF(Q$2+$F6&lt;=12,SUMIFS('Attrition Modeling'!$D:$D,'Attrition Modeling'!$B:$B,'IP Attrition'!$D6,'Attrition Modeling'!$C:$C,'IP Attrition'!Q$1),VLOOKUP($F6+Q$2,$A$6:$C$106,2,FALSE)*VLOOKUP(Q$1,'Attrition Modeling'!$L$15:$N$27,IF(Q$2+$F6&lt;=24,2,3),FALSE)),$C$3)*(1+Projection!S$16)*(1+IF(Q138&gt;0,'Attrition Modeling'!$N$9,0)))</f>
        <v>0</v>
      </c>
      <c r="R6" s="799">
        <f>(Q6+R138)*(1-IFERROR(IF(R$2+$F6&lt;=12,SUMIFS('Attrition Modeling'!$D:$D,'Attrition Modeling'!$B:$B,'IP Attrition'!$D6,'Attrition Modeling'!$C:$C,'IP Attrition'!R$1),VLOOKUP($F6+R$2,$A$6:$C$106,2,FALSE)*VLOOKUP(R$1,'Attrition Modeling'!$L$15:$N$27,IF(R$2+$F6&lt;=24,2,3),FALSE)),$C$3)*(1+Projection!T$16)*(1+IF(R138&gt;0,'Attrition Modeling'!$N$9,0)))</f>
        <v>0</v>
      </c>
      <c r="S6" s="799">
        <f>(R6+S138)*(1-IFERROR(IF(S$2+$F6&lt;=12,SUMIFS('Attrition Modeling'!$D:$D,'Attrition Modeling'!$B:$B,'IP Attrition'!$D6,'Attrition Modeling'!$C:$C,'IP Attrition'!S$1),VLOOKUP($F6+S$2,$A$6:$C$106,2,FALSE)*VLOOKUP(S$1,'Attrition Modeling'!$L$15:$N$27,IF(S$2+$F6&lt;=24,2,3),FALSE)),$C$3)*(1+Projection!U$16)*(1+IF(S138&gt;0,'Attrition Modeling'!$N$9,0)))</f>
        <v>0</v>
      </c>
      <c r="T6" s="799">
        <f>(S6+T138)*(1-IFERROR(IF(T$2+$F6&lt;=12,SUMIFS('Attrition Modeling'!$D:$D,'Attrition Modeling'!$B:$B,'IP Attrition'!$D6,'Attrition Modeling'!$C:$C,'IP Attrition'!T$1),VLOOKUP($F6+T$2,$A$6:$C$106,2,FALSE)*VLOOKUP(T$1,'Attrition Modeling'!$L$15:$N$27,IF(T$2+$F6&lt;=24,2,3),FALSE)),$C$3)*(1+Projection!V$16)*(1+IF(T138&gt;0,'Attrition Modeling'!$N$9,0)))</f>
        <v>0</v>
      </c>
      <c r="U6" s="799">
        <f>(T6+U138)*(1-IFERROR(IF(U$2+$F6&lt;=12,SUMIFS('Attrition Modeling'!$D:$D,'Attrition Modeling'!$B:$B,'IP Attrition'!$D6,'Attrition Modeling'!$C:$C,'IP Attrition'!U$1),VLOOKUP($F6+U$2,$A$6:$C$106,2,FALSE)*VLOOKUP(U$1,'Attrition Modeling'!$L$15:$N$27,IF(U$2+$F6&lt;=24,2,3),FALSE)),$C$3)*(1+Projection!W$16)*(1+IF(U138&gt;0,'Attrition Modeling'!$N$9,0)))</f>
        <v>0</v>
      </c>
      <c r="V6" s="799">
        <f>(U6+V138)*(1-IFERROR(IF(V$2+$F6&lt;=12,SUMIFS('Attrition Modeling'!$D:$D,'Attrition Modeling'!$B:$B,'IP Attrition'!$D6,'Attrition Modeling'!$C:$C,'IP Attrition'!V$1),VLOOKUP($F6+V$2,$A$6:$C$106,2,FALSE)*VLOOKUP(V$1,'Attrition Modeling'!$L$15:$N$27,IF(V$2+$F6&lt;=24,2,3),FALSE)),$C$3)*(1+Projection!X$16)*(1+IF(V138&gt;0,'Attrition Modeling'!$N$9,0)))</f>
        <v>0</v>
      </c>
      <c r="W6" s="799">
        <f>(V6+W138)*(1-IFERROR(IF(W$2+$F6&lt;=12,SUMIFS('Attrition Modeling'!$D:$D,'Attrition Modeling'!$B:$B,'IP Attrition'!$D6,'Attrition Modeling'!$C:$C,'IP Attrition'!W$1),VLOOKUP($F6+W$2,$A$6:$C$106,2,FALSE)*VLOOKUP(W$1,'Attrition Modeling'!$L$15:$N$27,IF(W$2+$F6&lt;=24,2,3),FALSE)),$C$3)*(1+Projection!Y$16)*(1+IF(W138&gt;0,'Attrition Modeling'!$N$9,0)))</f>
        <v>0</v>
      </c>
      <c r="X6" s="799">
        <f>(W6+X138)*(1-IFERROR(IF(X$2+$F6&lt;=12,SUMIFS('Attrition Modeling'!$D:$D,'Attrition Modeling'!$B:$B,'IP Attrition'!$D6,'Attrition Modeling'!$C:$C,'IP Attrition'!X$1),VLOOKUP($F6+X$2,$A$6:$C$106,2,FALSE)*VLOOKUP(X$1,'Attrition Modeling'!$L$15:$N$27,IF(X$2+$F6&lt;=24,2,3),FALSE)),$C$3)*(1+Projection!Z$16)*(1+IF(X138&gt;0,'Attrition Modeling'!$N$9,0)))</f>
        <v>0</v>
      </c>
      <c r="Y6" s="799">
        <f>(X6+Y138)*(1-IFERROR(IF(Y$2+$F6&lt;=12,SUMIFS('Attrition Modeling'!$D:$D,'Attrition Modeling'!$B:$B,'IP Attrition'!$D6,'Attrition Modeling'!$C:$C,'IP Attrition'!Y$1),VLOOKUP($F6+Y$2,$A$6:$C$106,2,FALSE)*VLOOKUP(Y$1,'Attrition Modeling'!$L$15:$N$27,IF(Y$2+$F6&lt;=24,2,3),FALSE)),$C$3)*(1+Projection!AA$16)*(1+IF(Y138&gt;0,'Attrition Modeling'!$N$9,0)))</f>
        <v>0</v>
      </c>
      <c r="Z6" s="799">
        <f>(Y6+Z138)*(1-IFERROR(IF(Z$2+$F6&lt;=12,SUMIFS('Attrition Modeling'!$D:$D,'Attrition Modeling'!$B:$B,'IP Attrition'!$D6,'Attrition Modeling'!$C:$C,'IP Attrition'!Z$1),VLOOKUP($F6+Z$2,$A$6:$C$106,2,FALSE)*VLOOKUP(Z$1,'Attrition Modeling'!$L$15:$N$27,IF(Z$2+$F6&lt;=24,2,3),FALSE)),$C$3)*(1+Projection!AB$16)*(1+IF(Z138&gt;0,'Attrition Modeling'!$N$9,0)))</f>
        <v>0</v>
      </c>
      <c r="AA6" s="799">
        <f>(Z6+AA138)*(1-IFERROR(IF(AA$2+$F6&lt;=12,SUMIFS('Attrition Modeling'!$D:$D,'Attrition Modeling'!$B:$B,'IP Attrition'!$D6,'Attrition Modeling'!$C:$C,'IP Attrition'!AA$1),VLOOKUP($F6+AA$2,$A$6:$C$106,2,FALSE)*VLOOKUP(AA$1,'Attrition Modeling'!$L$15:$N$27,IF(AA$2+$F6&lt;=24,2,3),FALSE)),$C$3)*(1+Projection!AC$16)*(1+IF(AA138&gt;0,'Attrition Modeling'!$N$9,0)))</f>
        <v>0</v>
      </c>
      <c r="AB6" s="799">
        <f>(AA6+AB138)*(1-IFERROR(IF(AB$2+$F6&lt;=12,SUMIFS('Attrition Modeling'!$D:$D,'Attrition Modeling'!$B:$B,'IP Attrition'!$D6,'Attrition Modeling'!$C:$C,'IP Attrition'!AB$1),VLOOKUP($F6+AB$2,$A$6:$C$106,2,FALSE)*VLOOKUP(AB$1,'Attrition Modeling'!$L$15:$N$27,IF(AB$2+$F6&lt;=24,2,3),FALSE)),$C$3)*(1+Projection!AD$16)*(1+IF(AB138&gt;0,'Attrition Modeling'!$N$9,0)))</f>
        <v>0</v>
      </c>
      <c r="AC6" s="799">
        <f>(AB6+AC138)*(1-IFERROR(IF(AC$2+$F6&lt;=12,SUMIFS('Attrition Modeling'!$D:$D,'Attrition Modeling'!$B:$B,'IP Attrition'!$D6,'Attrition Modeling'!$C:$C,'IP Attrition'!AC$1),VLOOKUP($F6+AC$2,$A$6:$C$106,2,FALSE)*VLOOKUP(AC$1,'Attrition Modeling'!$L$15:$N$27,IF(AC$2+$F6&lt;=24,2,3),FALSE)),$C$3)*(1+Projection!AE$16)*(1+IF(AC138&gt;0,'Attrition Modeling'!$N$9,0)))</f>
        <v>0</v>
      </c>
      <c r="AD6" s="799">
        <f>(AC6+AD138)*(1-IFERROR(IF(AD$2+$F6&lt;=12,SUMIFS('Attrition Modeling'!$D:$D,'Attrition Modeling'!$B:$B,'IP Attrition'!$D6,'Attrition Modeling'!$C:$C,'IP Attrition'!AD$1),VLOOKUP($F6+AD$2,$A$6:$C$106,2,FALSE)*VLOOKUP(AD$1,'Attrition Modeling'!$L$15:$N$27,IF(AD$2+$F6&lt;=24,2,3),FALSE)),$C$3)*(1+Projection!AF$16)*(1+IF(AD138&gt;0,'Attrition Modeling'!$N$9,0)))</f>
        <v>0</v>
      </c>
      <c r="AE6" s="799">
        <f>(AD6+AE138)*(1-IFERROR(IF(AE$2+$F6&lt;=12,SUMIFS('Attrition Modeling'!$D:$D,'Attrition Modeling'!$B:$B,'IP Attrition'!$D6,'Attrition Modeling'!$C:$C,'IP Attrition'!AE$1),VLOOKUP($F6+AE$2,$A$6:$C$106,2,FALSE)*VLOOKUP(AE$1,'Attrition Modeling'!$L$15:$N$27,IF(AE$2+$F6&lt;=24,2,3),FALSE)),$C$3)*(1+Projection!AG$16)*(1+IF(AE138&gt;0,'Attrition Modeling'!$N$9,0)))</f>
        <v>0</v>
      </c>
      <c r="AF6" s="799">
        <f>(AE6+AF138)*(1-IFERROR(IF(AF$2+$F6&lt;=12,SUMIFS('Attrition Modeling'!$D:$D,'Attrition Modeling'!$B:$B,'IP Attrition'!$D6,'Attrition Modeling'!$C:$C,'IP Attrition'!AF$1),VLOOKUP($F6+AF$2,$A$6:$C$106,2,FALSE)*VLOOKUP(AF$1,'Attrition Modeling'!$L$15:$N$27,IF(AF$2+$F6&lt;=24,2,3),FALSE)),$C$3)*(1+Projection!AH$16)*(1+IF(AF138&gt;0,'Attrition Modeling'!$N$9,0)))</f>
        <v>0</v>
      </c>
      <c r="AG6" s="799">
        <f>(AF6+AG138)*(1-IFERROR(IF(AG$2+$F6&lt;=12,SUMIFS('Attrition Modeling'!$D:$D,'Attrition Modeling'!$B:$B,'IP Attrition'!$D6,'Attrition Modeling'!$C:$C,'IP Attrition'!AG$1),VLOOKUP($F6+AG$2,$A$6:$C$106,2,FALSE)*VLOOKUP(AG$1,'Attrition Modeling'!$L$15:$N$27,IF(AG$2+$F6&lt;=24,2,3),FALSE)),$C$3)*(1+Projection!AI$16)*(1+IF(AG138&gt;0,'Attrition Modeling'!$N$9,0)))</f>
        <v>0</v>
      </c>
      <c r="AH6" s="799">
        <f>(AG6+AH138)*(1-IFERROR(IF(AH$2+$F6&lt;=12,SUMIFS('Attrition Modeling'!$D:$D,'Attrition Modeling'!$B:$B,'IP Attrition'!$D6,'Attrition Modeling'!$C:$C,'IP Attrition'!AH$1),VLOOKUP($F6+AH$2,$A$6:$C$106,2,FALSE)*VLOOKUP(AH$1,'Attrition Modeling'!$L$15:$N$27,IF(AH$2+$F6&lt;=24,2,3),FALSE)),$C$3)*(1+Projection!AJ$16)*(1+IF(AH138&gt;0,'Attrition Modeling'!$N$9,0)))</f>
        <v>0</v>
      </c>
      <c r="AI6" s="799">
        <f>(AH6+AI138)*(1-IFERROR(IF(AI$2+$F6&lt;=12,SUMIFS('Attrition Modeling'!$D:$D,'Attrition Modeling'!$B:$B,'IP Attrition'!$D6,'Attrition Modeling'!$C:$C,'IP Attrition'!AI$1),VLOOKUP($F6+AI$2,$A$6:$C$106,2,FALSE)*VLOOKUP(AI$1,'Attrition Modeling'!$L$15:$N$27,IF(AI$2+$F6&lt;=24,2,3),FALSE)),$C$3)*(1+Projection!AK$16)*(1+IF(AI138&gt;0,'Attrition Modeling'!$N$9,0)))</f>
        <v>0</v>
      </c>
      <c r="AJ6" s="799">
        <f>(AI6+AJ138)*(1-IFERROR(IF(AJ$2+$F6&lt;=12,SUMIFS('Attrition Modeling'!$D:$D,'Attrition Modeling'!$B:$B,'IP Attrition'!$D6,'Attrition Modeling'!$C:$C,'IP Attrition'!AJ$1),VLOOKUP($F6+AJ$2,$A$6:$C$106,2,FALSE)*VLOOKUP(AJ$1,'Attrition Modeling'!$L$15:$N$27,IF(AJ$2+$F6&lt;=24,2,3),FALSE)),$C$3)*(1+Projection!AL$16)*(1+IF(AJ138&gt;0,'Attrition Modeling'!$N$9,0)))</f>
        <v>0</v>
      </c>
      <c r="AK6" s="799">
        <f>(AJ6+AK138)*(1-IFERROR(IF(AK$2+$F6&lt;=12,SUMIFS('Attrition Modeling'!$D:$D,'Attrition Modeling'!$B:$B,'IP Attrition'!$D6,'Attrition Modeling'!$C:$C,'IP Attrition'!AK$1),VLOOKUP($F6+AK$2,$A$6:$C$106,2,FALSE)*VLOOKUP(AK$1,'Attrition Modeling'!$L$15:$N$27,IF(AK$2+$F6&lt;=24,2,3),FALSE)),$C$3)*(1+Projection!AM$16)*(1+IF(AK138&gt;0,'Attrition Modeling'!$N$9,0)))</f>
        <v>0</v>
      </c>
      <c r="AL6" s="799">
        <f>(AK6+AL138)*(1-IFERROR(IF(AL$2+$F6&lt;=12,SUMIFS('Attrition Modeling'!$D:$D,'Attrition Modeling'!$B:$B,'IP Attrition'!$D6,'Attrition Modeling'!$C:$C,'IP Attrition'!AL$1),VLOOKUP($F6+AL$2,$A$6:$C$106,2,FALSE)*VLOOKUP(AL$1,'Attrition Modeling'!$L$15:$N$27,IF(AL$2+$F6&lt;=24,2,3),FALSE)),$C$3)*(1+Projection!AN$16)*(1+IF(AL138&gt;0,'Attrition Modeling'!$N$9,0)))</f>
        <v>0</v>
      </c>
      <c r="AM6" s="799">
        <f>(AL6+AM138)*(1-IFERROR(IF(AM$2+$F6&lt;=12,SUMIFS('Attrition Modeling'!$D:$D,'Attrition Modeling'!$B:$B,'IP Attrition'!$D6,'Attrition Modeling'!$C:$C,'IP Attrition'!AM$1),VLOOKUP($F6+AM$2,$A$6:$C$106,2,FALSE)*VLOOKUP(AM$1,'Attrition Modeling'!$L$15:$N$27,IF(AM$2+$F6&lt;=24,2,3),FALSE)),$C$3)*(1+Projection!AO$16)*(1+IF(AM138&gt;0,'Attrition Modeling'!$N$9,0)))</f>
        <v>0</v>
      </c>
      <c r="AN6" s="799">
        <f>(AM6+AN138)*(1-IFERROR(IF(AN$2+$F6&lt;=12,SUMIFS('Attrition Modeling'!$D:$D,'Attrition Modeling'!$B:$B,'IP Attrition'!$D6,'Attrition Modeling'!$C:$C,'IP Attrition'!AN$1),VLOOKUP($F6+AN$2,$A$6:$C$106,2,FALSE)*VLOOKUP(AN$1,'Attrition Modeling'!$L$15:$N$27,IF(AN$2+$F6&lt;=24,2,3),FALSE)),$C$3)*(1+Projection!AP$16)*(1+IF(AN138&gt;0,'Attrition Modeling'!$N$9,0)))</f>
        <v>0</v>
      </c>
      <c r="AO6" s="799">
        <f>(AN6+AO138)*(1-IFERROR(IF(AO$2+$F6&lt;=12,SUMIFS('Attrition Modeling'!$D:$D,'Attrition Modeling'!$B:$B,'IP Attrition'!$D6,'Attrition Modeling'!$C:$C,'IP Attrition'!AO$1),VLOOKUP($F6+AO$2,$A$6:$C$106,2,FALSE)*VLOOKUP(AO$1,'Attrition Modeling'!$L$15:$N$27,IF(AO$2+$F6&lt;=24,2,3),FALSE)),$C$3)*(1+Projection!AQ$16)*(1+IF(AO138&gt;0,'Attrition Modeling'!$N$9,0)))</f>
        <v>0</v>
      </c>
      <c r="AP6" s="799">
        <f>(AO6+AP138)*(1-IFERROR(IF(AP$2+$F6&lt;=12,SUMIFS('Attrition Modeling'!$D:$D,'Attrition Modeling'!$B:$B,'IP Attrition'!$D6,'Attrition Modeling'!$C:$C,'IP Attrition'!AP$1),VLOOKUP($F6+AP$2,$A$6:$C$106,2,FALSE)*VLOOKUP(AP$1,'Attrition Modeling'!$L$15:$N$27,IF(AP$2+$F6&lt;=24,2,3),FALSE)),$C$3)*(1+Projection!AR$16)*(1+IF(AP138&gt;0,'Attrition Modeling'!$N$9,0)))</f>
        <v>0</v>
      </c>
      <c r="AQ6" s="799">
        <f>(AP6+AQ138)*(1-IFERROR(IF(AQ$2+$F6&lt;=12,SUMIFS('Attrition Modeling'!$D:$D,'Attrition Modeling'!$B:$B,'IP Attrition'!$D6,'Attrition Modeling'!$C:$C,'IP Attrition'!AQ$1),VLOOKUP($F6+AQ$2,$A$6:$C$106,2,FALSE)*VLOOKUP(AQ$1,'Attrition Modeling'!$L$15:$N$27,IF(AQ$2+$F6&lt;=24,2,3),FALSE)),$C$3)*(1+Projection!AS$16)*(1+IF(AQ138&gt;0,'Attrition Modeling'!$N$9,0)))</f>
        <v>0</v>
      </c>
      <c r="AR6" s="799">
        <f>(AQ6+AR138)*(1-IFERROR(IF(AR$2+$F6&lt;=12,SUMIFS('Attrition Modeling'!$D:$D,'Attrition Modeling'!$B:$B,'IP Attrition'!$D6,'Attrition Modeling'!$C:$C,'IP Attrition'!AR$1),VLOOKUP($F6+AR$2,$A$6:$C$106,2,FALSE)*VLOOKUP(AR$1,'Attrition Modeling'!$L$15:$N$27,IF(AR$2+$F6&lt;=24,2,3),FALSE)),$C$3)*(1+Projection!AT$16)*(1+IF(AR138&gt;0,'Attrition Modeling'!$N$9,0)))</f>
        <v>0</v>
      </c>
      <c r="AS6" s="799">
        <f>(AR6+AS138)*(1-IFERROR(IF(AS$2+$F6&lt;=12,SUMIFS('Attrition Modeling'!$D:$D,'Attrition Modeling'!$B:$B,'IP Attrition'!$D6,'Attrition Modeling'!$C:$C,'IP Attrition'!AS$1),VLOOKUP($F6+AS$2,$A$6:$C$106,2,FALSE)*VLOOKUP(AS$1,'Attrition Modeling'!$L$15:$N$27,IF(AS$2+$F6&lt;=24,2,3),FALSE)),$C$3)*(1+Projection!AU$16)*(1+IF(AS138&gt;0,'Attrition Modeling'!$N$9,0)))</f>
        <v>0</v>
      </c>
      <c r="AT6" s="799">
        <f>(AS6+AT138)*(1-IFERROR(IF(AT$2+$F6&lt;=12,SUMIFS('Attrition Modeling'!$D:$D,'Attrition Modeling'!$B:$B,'IP Attrition'!$D6,'Attrition Modeling'!$C:$C,'IP Attrition'!AT$1),VLOOKUP($F6+AT$2,$A$6:$C$106,2,FALSE)*VLOOKUP(AT$1,'Attrition Modeling'!$L$15:$N$27,IF(AT$2+$F6&lt;=24,2,3),FALSE)),$C$3)*(1+Projection!AV$16)*(1+IF(AT138&gt;0,'Attrition Modeling'!$N$9,0)))</f>
        <v>0</v>
      </c>
      <c r="AU6" s="799">
        <f>(AT6+AU138)*(1-IFERROR(IF(AU$2+$F6&lt;=12,SUMIFS('Attrition Modeling'!$D:$D,'Attrition Modeling'!$B:$B,'IP Attrition'!$D6,'Attrition Modeling'!$C:$C,'IP Attrition'!AU$1),VLOOKUP($F6+AU$2,$A$6:$C$106,2,FALSE)*VLOOKUP(AU$1,'Attrition Modeling'!$L$15:$N$27,IF(AU$2+$F6&lt;=24,2,3),FALSE)),$C$3)*(1+Projection!AW$16)*(1+IF(AU138&gt;0,'Attrition Modeling'!$N$9,0)))</f>
        <v>0</v>
      </c>
      <c r="AV6" s="799">
        <f>(AU6+AV138)*(1-IFERROR(IF(AV$2+$F6&lt;=12,SUMIFS('Attrition Modeling'!$D:$D,'Attrition Modeling'!$B:$B,'IP Attrition'!$D6,'Attrition Modeling'!$C:$C,'IP Attrition'!AV$1),VLOOKUP($F6+AV$2,$A$6:$C$106,2,FALSE)*VLOOKUP(AV$1,'Attrition Modeling'!$L$15:$N$27,IF(AV$2+$F6&lt;=24,2,3),FALSE)),$C$3)*(1+Projection!AX$16)*(1+IF(AV138&gt;0,'Attrition Modeling'!$N$9,0)))</f>
        <v>0</v>
      </c>
      <c r="AW6" s="799">
        <f>(AV6+AW138)*(1-IFERROR(IF(AW$2+$F6&lt;=12,SUMIFS('Attrition Modeling'!$D:$D,'Attrition Modeling'!$B:$B,'IP Attrition'!$D6,'Attrition Modeling'!$C:$C,'IP Attrition'!AW$1),VLOOKUP($F6+AW$2,$A$6:$C$106,2,FALSE)*VLOOKUP(AW$1,'Attrition Modeling'!$L$15:$N$27,IF(AW$2+$F6&lt;=24,2,3),FALSE)),$C$3)*(1+Projection!AY$16)*(1+IF(AW138&gt;0,'Attrition Modeling'!$N$9,0)))</f>
        <v>0</v>
      </c>
      <c r="AX6" s="799">
        <f>(AW6+AX138)*(1-IFERROR(IF(AX$2+$F6&lt;=12,SUMIFS('Attrition Modeling'!$D:$D,'Attrition Modeling'!$B:$B,'IP Attrition'!$D6,'Attrition Modeling'!$C:$C,'IP Attrition'!AX$1),VLOOKUP($F6+AX$2,$A$6:$C$106,2,FALSE)*VLOOKUP(AX$1,'Attrition Modeling'!$L$15:$N$27,IF(AX$2+$F6&lt;=24,2,3),FALSE)),$C$3)*(1+Projection!AZ$16)*(1+IF(AX138&gt;0,'Attrition Modeling'!$N$9,0)))</f>
        <v>0</v>
      </c>
      <c r="AY6" s="799">
        <f>(AX6+AY138)*(1-IFERROR(IF(AY$2+$F6&lt;=12,SUMIFS('Attrition Modeling'!$D:$D,'Attrition Modeling'!$B:$B,'IP Attrition'!$D6,'Attrition Modeling'!$C:$C,'IP Attrition'!AY$1),VLOOKUP($F6+AY$2,$A$6:$C$106,2,FALSE)*VLOOKUP(AY$1,'Attrition Modeling'!$L$15:$N$27,IF(AY$2+$F6&lt;=24,2,3),FALSE)),$C$3)*(1+Projection!BA$16)*(1+IF(AY138&gt;0,'Attrition Modeling'!$N$9,0)))</f>
        <v>0</v>
      </c>
      <c r="AZ6" s="799">
        <f>(AY6+AZ138)*(1-IFERROR(IF(AZ$2+$F6&lt;=12,SUMIFS('Attrition Modeling'!$D:$D,'Attrition Modeling'!$B:$B,'IP Attrition'!$D6,'Attrition Modeling'!$C:$C,'IP Attrition'!AZ$1),VLOOKUP($F6+AZ$2,$A$6:$C$106,2,FALSE)*VLOOKUP(AZ$1,'Attrition Modeling'!$L$15:$N$27,IF(AZ$2+$F6&lt;=24,2,3),FALSE)),$C$3)*(1+Projection!BB$16)*(1+IF(AZ138&gt;0,'Attrition Modeling'!$N$9,0)))</f>
        <v>0</v>
      </c>
      <c r="BA6" s="799">
        <f>(AZ6+BA138)*(1-IFERROR(IF(BA$2+$F6&lt;=12,SUMIFS('Attrition Modeling'!$D:$D,'Attrition Modeling'!$B:$B,'IP Attrition'!$D6,'Attrition Modeling'!$C:$C,'IP Attrition'!BA$1),VLOOKUP($F6+BA$2,$A$6:$C$106,2,FALSE)*VLOOKUP(BA$1,'Attrition Modeling'!$L$15:$N$27,IF(BA$2+$F6&lt;=24,2,3),FALSE)),$C$3)*(1+Projection!BC$16)*(1+IF(BA138&gt;0,'Attrition Modeling'!$N$9,0)))</f>
        <v>0</v>
      </c>
      <c r="BB6" s="799">
        <f>(BA6+BB138)*(1-IFERROR(IF(BB$2+$F6&lt;=12,SUMIFS('Attrition Modeling'!$D:$D,'Attrition Modeling'!$B:$B,'IP Attrition'!$D6,'Attrition Modeling'!$C:$C,'IP Attrition'!BB$1),VLOOKUP($F6+BB$2,$A$6:$C$106,2,FALSE)*VLOOKUP(BB$1,'Attrition Modeling'!$L$15:$N$27,IF(BB$2+$F6&lt;=24,2,3),FALSE)),$C$3)*(1+Projection!BD$16)*(1+IF(BB138&gt;0,'Attrition Modeling'!$N$9,0)))</f>
        <v>0</v>
      </c>
      <c r="BC6" s="799">
        <f>(BB6+BC138)*(1-IFERROR(IF(BC$2+$F6&lt;=12,SUMIFS('Attrition Modeling'!$D:$D,'Attrition Modeling'!$B:$B,'IP Attrition'!$D6,'Attrition Modeling'!$C:$C,'IP Attrition'!BC$1),VLOOKUP($F6+BC$2,$A$6:$C$106,2,FALSE)*VLOOKUP(BC$1,'Attrition Modeling'!$L$15:$N$27,IF(BC$2+$F6&lt;=24,2,3),FALSE)),$C$3)*(1+Projection!BE$16)*(1+IF(BC138&gt;0,'Attrition Modeling'!$N$9,0)))</f>
        <v>0</v>
      </c>
      <c r="BD6" s="799">
        <f>(BC6+BD138)*(1-IFERROR(IF(BD$2+$F6&lt;=12,SUMIFS('Attrition Modeling'!$D:$D,'Attrition Modeling'!$B:$B,'IP Attrition'!$D6,'Attrition Modeling'!$C:$C,'IP Attrition'!BD$1),VLOOKUP($F6+BD$2,$A$6:$C$106,2,FALSE)*VLOOKUP(BD$1,'Attrition Modeling'!$L$15:$N$27,IF(BD$2+$F6&lt;=24,2,3),FALSE)),$C$3)*(1+Projection!BF$16)*(1+IF(BD138&gt;0,'Attrition Modeling'!$N$9,0)))</f>
        <v>0</v>
      </c>
      <c r="BE6" s="799">
        <f>(BD6+BE138)*(1-IFERROR(IF(BE$2+$F6&lt;=12,SUMIFS('Attrition Modeling'!$D:$D,'Attrition Modeling'!$B:$B,'IP Attrition'!$D6,'Attrition Modeling'!$C:$C,'IP Attrition'!BE$1),VLOOKUP($F6+BE$2,$A$6:$C$106,2,FALSE)*VLOOKUP(BE$1,'Attrition Modeling'!$L$15:$N$27,IF(BE$2+$F6&lt;=24,2,3),FALSE)),$C$3)*(1+Projection!BG$16)*(1+IF(BE138&gt;0,'Attrition Modeling'!$N$9,0)))</f>
        <v>0</v>
      </c>
      <c r="BF6" s="799">
        <f>(BE6+BF138)*(1-IFERROR(IF(BF$2+$F6&lt;=12,SUMIFS('Attrition Modeling'!$D:$D,'Attrition Modeling'!$B:$B,'IP Attrition'!$D6,'Attrition Modeling'!$C:$C,'IP Attrition'!BF$1),VLOOKUP($F6+BF$2,$A$6:$C$106,2,FALSE)*VLOOKUP(BF$1,'Attrition Modeling'!$L$15:$N$27,IF(BF$2+$F6&lt;=24,2,3),FALSE)),$C$3)*(1+Projection!BH$16)*(1+IF(BF138&gt;0,'Attrition Modeling'!$N$9,0)))</f>
        <v>0</v>
      </c>
      <c r="BG6" s="799">
        <f>(BF6+BG138)*(1-IFERROR(IF(BG$2+$F6&lt;=12,SUMIFS('Attrition Modeling'!$D:$D,'Attrition Modeling'!$B:$B,'IP Attrition'!$D6,'Attrition Modeling'!$C:$C,'IP Attrition'!BG$1),VLOOKUP($F6+BG$2,$A$6:$C$106,2,FALSE)*VLOOKUP(BG$1,'Attrition Modeling'!$L$15:$N$27,IF(BG$2+$F6&lt;=24,2,3),FALSE)),$C$3)*(1+Projection!BI$16)*(1+IF(BG138&gt;0,'Attrition Modeling'!$N$9,0)))</f>
        <v>0</v>
      </c>
      <c r="BH6" s="799">
        <f>(BG6+BH138)*(1-IFERROR(IF(BH$2+$F6&lt;=12,SUMIFS('Attrition Modeling'!$D:$D,'Attrition Modeling'!$B:$B,'IP Attrition'!$D6,'Attrition Modeling'!$C:$C,'IP Attrition'!BH$1),VLOOKUP($F6+BH$2,$A$6:$C$106,2,FALSE)*VLOOKUP(BH$1,'Attrition Modeling'!$L$15:$N$27,IF(BH$2+$F6&lt;=24,2,3),FALSE)),$C$3)*(1+Projection!BJ$16)*(1+IF(BH138&gt;0,'Attrition Modeling'!$N$9,0)))</f>
        <v>0</v>
      </c>
      <c r="BI6" s="799">
        <f>(BH6+BI138)*(1-IFERROR(IF(BI$2+$F6&lt;=12,SUMIFS('Attrition Modeling'!$D:$D,'Attrition Modeling'!$B:$B,'IP Attrition'!$D6,'Attrition Modeling'!$C:$C,'IP Attrition'!BI$1),VLOOKUP($F6+BI$2,$A$6:$C$106,2,FALSE)*VLOOKUP(BI$1,'Attrition Modeling'!$L$15:$N$27,IF(BI$2+$F6&lt;=24,2,3),FALSE)),$C$3)*(1+Projection!BK$16)*(1+IF(BI138&gt;0,'Attrition Modeling'!$N$9,0)))</f>
        <v>0</v>
      </c>
      <c r="BJ6" s="799">
        <f>(BI6+BJ138)*(1-IFERROR(IF(BJ$2+$F6&lt;=12,SUMIFS('Attrition Modeling'!$D:$D,'Attrition Modeling'!$B:$B,'IP Attrition'!$D6,'Attrition Modeling'!$C:$C,'IP Attrition'!BJ$1),VLOOKUP($F6+BJ$2,$A$6:$C$106,2,FALSE)*VLOOKUP(BJ$1,'Attrition Modeling'!$L$15:$N$27,IF(BJ$2+$F6&lt;=24,2,3),FALSE)),$C$3)*(1+Projection!BL$16)*(1+IF(BJ138&gt;0,'Attrition Modeling'!$N$9,0)))</f>
        <v>0</v>
      </c>
      <c r="BK6" s="799">
        <f>(BJ6+BK138)*(1-IFERROR(IF(BK$2+$F6&lt;=12,SUMIFS('Attrition Modeling'!$D:$D,'Attrition Modeling'!$B:$B,'IP Attrition'!$D6,'Attrition Modeling'!$C:$C,'IP Attrition'!BK$1),VLOOKUP($F6+BK$2,$A$6:$C$106,2,FALSE)*VLOOKUP(BK$1,'Attrition Modeling'!$L$15:$N$27,IF(BK$2+$F6&lt;=24,2,3),FALSE)),$C$3)*(1+Projection!BM$16)*(1+IF(BK138&gt;0,'Attrition Modeling'!$N$9,0)))</f>
        <v>0</v>
      </c>
      <c r="BL6" s="799">
        <f>(BK6+BL138)*(1-IFERROR(IF(BL$2+$F6&lt;=12,SUMIFS('Attrition Modeling'!$D:$D,'Attrition Modeling'!$B:$B,'IP Attrition'!$D6,'Attrition Modeling'!$C:$C,'IP Attrition'!BL$1),VLOOKUP($F6+BL$2,$A$6:$C$106,2,FALSE)*VLOOKUP(BL$1,'Attrition Modeling'!$L$15:$N$27,IF(BL$2+$F6&lt;=24,2,3),FALSE)),$C$3)*(1+Projection!BN$16)*(1+IF(BL138&gt;0,'Attrition Modeling'!$N$9,0)))</f>
        <v>0</v>
      </c>
      <c r="BM6" s="799">
        <f>(BL6+BM138)*(1-IFERROR(IF(BM$2+$F6&lt;=12,SUMIFS('Attrition Modeling'!$D:$D,'Attrition Modeling'!$B:$B,'IP Attrition'!$D6,'Attrition Modeling'!$C:$C,'IP Attrition'!BM$1),VLOOKUP($F6+BM$2,$A$6:$C$106,2,FALSE)*VLOOKUP(BM$1,'Attrition Modeling'!$L$15:$N$27,IF(BM$2+$F6&lt;=24,2,3),FALSE)),$C$3)*(1+Projection!BO$16)*(1+IF(BM138&gt;0,'Attrition Modeling'!$N$9,0)))</f>
        <v>0</v>
      </c>
      <c r="BN6" s="799">
        <f>(BM6+BN138)*(1-IFERROR(IF(BN$2+$F6&lt;=12,SUMIFS('Attrition Modeling'!$D:$D,'Attrition Modeling'!$B:$B,'IP Attrition'!$D6,'Attrition Modeling'!$C:$C,'IP Attrition'!BN$1),VLOOKUP($F6+BN$2,$A$6:$C$106,2,FALSE)*VLOOKUP(BN$1,'Attrition Modeling'!$L$15:$N$27,IF(BN$2+$F6&lt;=24,2,3),FALSE)),$C$3)*(1+Projection!BP$16)*(1+IF(BN138&gt;0,'Attrition Modeling'!$N$9,0)))</f>
        <v>0</v>
      </c>
      <c r="BO6" s="799">
        <f>(BN6+BO138)*(1-IFERROR(IF(BO$2+$F6&lt;=12,SUMIFS('Attrition Modeling'!$D:$D,'Attrition Modeling'!$B:$B,'IP Attrition'!$D6,'Attrition Modeling'!$C:$C,'IP Attrition'!BO$1),VLOOKUP($F6+BO$2,$A$6:$C$106,2,FALSE)*VLOOKUP(BO$1,'Attrition Modeling'!$L$15:$N$27,IF(BO$2+$F6&lt;=24,2,3),FALSE)),$C$3)*(1+Projection!BV$16)*(1+IF(BO138&gt;0,'Attrition Modeling'!$N$9,0)))</f>
        <v>0</v>
      </c>
      <c r="BP6" s="799">
        <f>(BO6+BP138)*(1-IFERROR(IF(BP$2+$F6&lt;=12,SUMIFS('Attrition Modeling'!$D:$D,'Attrition Modeling'!$B:$B,'IP Attrition'!$D6,'Attrition Modeling'!$C:$C,'IP Attrition'!BP$1),VLOOKUP($F6+BP$2,$A$6:$C$106,2,FALSE)*VLOOKUP(BP$1,'Attrition Modeling'!$L$15:$N$27,IF(BP$2+$F6&lt;=24,2,3),FALSE)),$C$3)*(1+Projection!BW$16)*(1+IF(BP138&gt;0,'Attrition Modeling'!$N$9,0)))</f>
        <v>0</v>
      </c>
      <c r="BQ6" s="799">
        <f>(BP6+BQ138)*(1-IFERROR(IF(BQ$2+$F6&lt;=12,SUMIFS('Attrition Modeling'!$D:$D,'Attrition Modeling'!$B:$B,'IP Attrition'!$D6,'Attrition Modeling'!$C:$C,'IP Attrition'!BQ$1),VLOOKUP($F6+BQ$2,$A$6:$C$106,2,FALSE)*VLOOKUP(BQ$1,'Attrition Modeling'!$L$15:$N$27,IF(BQ$2+$F6&lt;=24,2,3),FALSE)),$C$3)*(1+Projection!BX$16)*(1+IF(BQ138&gt;0,'Attrition Modeling'!$N$9,0)))</f>
        <v>0</v>
      </c>
      <c r="BR6" s="799">
        <f>(BQ6+BR138)*(1-IFERROR(IF(BR$2+$F6&lt;=12,SUMIFS('Attrition Modeling'!$D:$D,'Attrition Modeling'!$B:$B,'IP Attrition'!$D6,'Attrition Modeling'!$C:$C,'IP Attrition'!BR$1),VLOOKUP($F6+BR$2,$A$6:$C$106,2,FALSE)*VLOOKUP(BR$1,'Attrition Modeling'!$L$15:$N$27,IF(BR$2+$F6&lt;=24,2,3),FALSE)),$C$3)*(1+Projection!BY$16)*(1+IF(BR138&gt;0,'Attrition Modeling'!$N$9,0)))</f>
        <v>0</v>
      </c>
      <c r="BS6" s="799">
        <f>(BR6+BS138)*(1-IFERROR(IF(BS$2+$F6&lt;=12,SUMIFS('Attrition Modeling'!$D:$D,'Attrition Modeling'!$B:$B,'IP Attrition'!$D6,'Attrition Modeling'!$C:$C,'IP Attrition'!BS$1),VLOOKUP($F6+BS$2,$A$6:$C$106,2,FALSE)*VLOOKUP(BS$1,'Attrition Modeling'!$L$15:$N$27,IF(BS$2+$F6&lt;=24,2,3),FALSE)),$C$3)*(1+Projection!BZ$16)*(1+IF(BS138&gt;0,'Attrition Modeling'!$N$9,0)))</f>
        <v>0</v>
      </c>
      <c r="BT6" s="799" t="e">
        <f>(BS6+BT138)*(1-IFERROR(IF(BT$2+$F6&lt;=12,SUMIFS('Attrition Modeling'!$D:$D,'Attrition Modeling'!$B:$B,'IP Attrition'!$D6,'Attrition Modeling'!$C:$C,'IP Attrition'!BT$1),VLOOKUP($F6+BT$2,$A$6:$C$106,2,FALSE)*VLOOKUP(BT$1,'Attrition Modeling'!$L$15:$N$27,IF(BT$2+$F6&lt;=24,2,3),FALSE)),$C$3)*(1+Projection!CA$16)*(1+IF(BT138&gt;0,'Attrition Modeling'!$N$9,0)))</f>
        <v>#REF!</v>
      </c>
      <c r="BU6" s="799" t="e">
        <f>(BT6+BU138)*(1-IFERROR(IF(BU$2+$F6&lt;=12,SUMIFS('Attrition Modeling'!$D:$D,'Attrition Modeling'!$B:$B,'IP Attrition'!$D6,'Attrition Modeling'!$C:$C,'IP Attrition'!BU$1),VLOOKUP($F6+BU$2,$A$6:$C$106,2,FALSE)*VLOOKUP(BU$1,'Attrition Modeling'!$L$15:$N$27,IF(BU$2+$F6&lt;=24,2,3),FALSE)),$C$3)*(1+Projection!CB$16)*(1+IF(BU138&gt;0,'Attrition Modeling'!$N$9,0)))</f>
        <v>#REF!</v>
      </c>
    </row>
    <row r="7" spans="1:73" ht="14.25" customHeight="1" x14ac:dyDescent="0.2">
      <c r="A7" s="9">
        <v>0</v>
      </c>
      <c r="B7" s="760" t="e">
        <f>MAX('Attrition Modeling'!H4,$C$3)*(1-Summary!$C$20)</f>
        <v>#DIV/0!</v>
      </c>
      <c r="C7" s="809">
        <v>1</v>
      </c>
      <c r="D7" s="11">
        <f t="shared" si="1"/>
        <v>-4</v>
      </c>
      <c r="E7" s="807">
        <f t="array" ref="E7">INDEX('Attrition Modeling'!$X$2:$AF$63,MATCH($F7,'Attrition Modeling'!$X$2:$X$63,0),MATCH(Inputs!$C$10,'Attrition Modeling'!$X$2:$AF$2,0))</f>
        <v>0.15294356027295372</v>
      </c>
      <c r="F7" s="11">
        <f t="shared" si="2"/>
        <v>4</v>
      </c>
      <c r="G7" s="799">
        <f>Summary!$C$25*$E7</f>
        <v>0</v>
      </c>
      <c r="H7" s="808">
        <f>(G7+H139)*(1-IFERROR(IF(H$2+$F7&lt;=12,SUMIFS('Attrition Modeling'!$D:$D,'Attrition Modeling'!$B:$B,'IP Attrition'!$D7,'Attrition Modeling'!$C:$C,'IP Attrition'!H$1),VLOOKUP($F7+H$2,$A$6:$C$106,2,FALSE)*VLOOKUP(H$1,'Attrition Modeling'!$L$15:$N$27,IF(H$2+$F7&lt;=24,2,3),FALSE)),$C$3)*(1+Projection!J$16)*(1+IF(H139&gt;0,'Attrition Modeling'!$N$9,0)))</f>
        <v>0</v>
      </c>
      <c r="I7" s="808">
        <f>(H7+I139)*(1-IFERROR(IF(I$2+$F7&lt;=12,SUMIFS('Attrition Modeling'!$D:$D,'Attrition Modeling'!$B:$B,'IP Attrition'!$D7,'Attrition Modeling'!$C:$C,'IP Attrition'!I$1),VLOOKUP($F7+I$2,$A$6:$C$106,2,FALSE)*VLOOKUP(I$1,'Attrition Modeling'!$L$15:$N$27,IF(I$2+$F7&lt;=24,2,3),FALSE)),$C$3)*(1+Projection!K$16)*(1+IF(I139&gt;0,'Attrition Modeling'!$N$9,0)))</f>
        <v>0</v>
      </c>
      <c r="J7" s="808">
        <f>(I7+J139)*(1-IFERROR(IF(J$2+$F7&lt;=12,SUMIFS('Attrition Modeling'!$D:$D,'Attrition Modeling'!$B:$B,'IP Attrition'!$D7,'Attrition Modeling'!$C:$C,'IP Attrition'!J$1),VLOOKUP($F7+J$2,$A$6:$C$106,2,FALSE)*VLOOKUP(J$1,'Attrition Modeling'!$L$15:$N$27,IF(J$2+$F7&lt;=24,2,3),FALSE)),$C$3)*(1+Projection!L$16)*(1+IF(J139&gt;0,'Attrition Modeling'!$N$9,0)))</f>
        <v>0</v>
      </c>
      <c r="K7" s="808">
        <f>(J7+K139)*(1-IFERROR(IF(K$2+$F7&lt;=12,SUMIFS('Attrition Modeling'!$D:$D,'Attrition Modeling'!$B:$B,'IP Attrition'!$D7,'Attrition Modeling'!$C:$C,'IP Attrition'!K$1),VLOOKUP($F7+K$2,$A$6:$C$106,2,FALSE)*VLOOKUP(K$1,'Attrition Modeling'!$L$15:$N$27,IF(K$2+$F7&lt;=24,2,3),FALSE)),$C$3)*(1+Projection!M$16)*(1+IF(K139&gt;0,'Attrition Modeling'!$N$9,0)))</f>
        <v>0</v>
      </c>
      <c r="L7" s="808">
        <f>(K7+L139)*(1-IFERROR(IF(L$2+$F7&lt;=12,SUMIFS('Attrition Modeling'!$D:$D,'Attrition Modeling'!$B:$B,'IP Attrition'!$D7,'Attrition Modeling'!$C:$C,'IP Attrition'!L$1),VLOOKUP($F7+L$2,$A$6:$C$106,2,FALSE)*VLOOKUP(L$1,'Attrition Modeling'!$L$15:$N$27,IF(L$2+$F7&lt;=24,2,3),FALSE)),$C$3)*(1+Projection!N$16)*(1+IF(L139&gt;0,'Attrition Modeling'!$N$9,0)))</f>
        <v>0</v>
      </c>
      <c r="M7" s="808">
        <f>(L7+M139)*(1-IFERROR(IF(M$2+$F7&lt;=12,SUMIFS('Attrition Modeling'!$D:$D,'Attrition Modeling'!$B:$B,'IP Attrition'!$D7,'Attrition Modeling'!$C:$C,'IP Attrition'!M$1),VLOOKUP($F7+M$2,$A$6:$C$106,2,FALSE)*VLOOKUP(M$1,'Attrition Modeling'!$L$15:$N$27,IF(M$2+$F7&lt;=24,2,3),FALSE)),$C$3)*(1+Projection!O$16)*(1+IF(M139&gt;0,'Attrition Modeling'!$N$9,0)))</f>
        <v>0</v>
      </c>
      <c r="N7" s="808">
        <f>(M7+N139)*(1-IFERROR(IF(N$2+$F7&lt;=12,SUMIFS('Attrition Modeling'!$D:$D,'Attrition Modeling'!$B:$B,'IP Attrition'!$D7,'Attrition Modeling'!$C:$C,'IP Attrition'!N$1),VLOOKUP($F7+N$2,$A$6:$C$106,2,FALSE)*VLOOKUP(N$1,'Attrition Modeling'!$L$15:$N$27,IF(N$2+$F7&lt;=24,2,3),FALSE)),$C$3)*(1+Projection!P$16)*(1+IF(N139&gt;0,'Attrition Modeling'!$N$9,0)))</f>
        <v>0</v>
      </c>
      <c r="O7" s="808">
        <f>(N7+O139)*(1-IFERROR(IF(O$2+$F7&lt;=12,SUMIFS('Attrition Modeling'!$D:$D,'Attrition Modeling'!$B:$B,'IP Attrition'!$D7,'Attrition Modeling'!$C:$C,'IP Attrition'!O$1),VLOOKUP($F7+O$2,$A$6:$C$106,2,FALSE)*VLOOKUP(O$1,'Attrition Modeling'!$L$15:$N$27,IF(O$2+$F7&lt;=24,2,3),FALSE)),$C$3)*(1+Projection!Q$16)*(1+IF(O139&gt;0,'Attrition Modeling'!$N$9,0)))</f>
        <v>0</v>
      </c>
      <c r="P7" s="799">
        <f>(O7+P139)*(1-IFERROR(IF(P$2+$F7&lt;=12,SUMIFS('Attrition Modeling'!$D:$D,'Attrition Modeling'!$B:$B,'IP Attrition'!$D7,'Attrition Modeling'!$C:$C,'IP Attrition'!P$1),VLOOKUP($F7+P$2,$A$6:$C$106,2,FALSE)*VLOOKUP(P$1,'Attrition Modeling'!$L$15:$N$27,IF(P$2+$F7&lt;=24,2,3),FALSE)),$C$3)*(1+Projection!R$16)*(1+IF(P139&gt;0,'Attrition Modeling'!$N$9,0)))</f>
        <v>0</v>
      </c>
      <c r="Q7" s="799">
        <f>(P7+Q139)*(1-IFERROR(IF(Q$2+$F7&lt;=12,SUMIFS('Attrition Modeling'!$D:$D,'Attrition Modeling'!$B:$B,'IP Attrition'!$D7,'Attrition Modeling'!$C:$C,'IP Attrition'!Q$1),VLOOKUP($F7+Q$2,$A$6:$C$106,2,FALSE)*VLOOKUP(Q$1,'Attrition Modeling'!$L$15:$N$27,IF(Q$2+$F7&lt;=24,2,3),FALSE)),$C$3)*(1+Projection!S$16)*(1+IF(Q139&gt;0,'Attrition Modeling'!$N$9,0)))</f>
        <v>0</v>
      </c>
      <c r="R7" s="799">
        <f>(Q7+R139)*(1-IFERROR(IF(R$2+$F7&lt;=12,SUMIFS('Attrition Modeling'!$D:$D,'Attrition Modeling'!$B:$B,'IP Attrition'!$D7,'Attrition Modeling'!$C:$C,'IP Attrition'!R$1),VLOOKUP($F7+R$2,$A$6:$C$106,2,FALSE)*VLOOKUP(R$1,'Attrition Modeling'!$L$15:$N$27,IF(R$2+$F7&lt;=24,2,3),FALSE)),$C$3)*(1+Projection!T$16)*(1+IF(R139&gt;0,'Attrition Modeling'!$N$9,0)))</f>
        <v>0</v>
      </c>
      <c r="S7" s="799">
        <f>(R7+S139)*(1-IFERROR(IF(S$2+$F7&lt;=12,SUMIFS('Attrition Modeling'!$D:$D,'Attrition Modeling'!$B:$B,'IP Attrition'!$D7,'Attrition Modeling'!$C:$C,'IP Attrition'!S$1),VLOOKUP($F7+S$2,$A$6:$C$106,2,FALSE)*VLOOKUP(S$1,'Attrition Modeling'!$L$15:$N$27,IF(S$2+$F7&lt;=24,2,3),FALSE)),$C$3)*(1+Projection!U$16)*(1+IF(S139&gt;0,'Attrition Modeling'!$N$9,0)))</f>
        <v>0</v>
      </c>
      <c r="T7" s="799">
        <f>(S7+T139)*(1-IFERROR(IF(T$2+$F7&lt;=12,SUMIFS('Attrition Modeling'!$D:$D,'Attrition Modeling'!$B:$B,'IP Attrition'!$D7,'Attrition Modeling'!$C:$C,'IP Attrition'!T$1),VLOOKUP($F7+T$2,$A$6:$C$106,2,FALSE)*VLOOKUP(T$1,'Attrition Modeling'!$L$15:$N$27,IF(T$2+$F7&lt;=24,2,3),FALSE)),$C$3)*(1+Projection!V$16)*(1+IF(T139&gt;0,'Attrition Modeling'!$N$9,0)))</f>
        <v>0</v>
      </c>
      <c r="U7" s="799">
        <f>(T7+U139)*(1-IFERROR(IF(U$2+$F7&lt;=12,SUMIFS('Attrition Modeling'!$D:$D,'Attrition Modeling'!$B:$B,'IP Attrition'!$D7,'Attrition Modeling'!$C:$C,'IP Attrition'!U$1),VLOOKUP($F7+U$2,$A$6:$C$106,2,FALSE)*VLOOKUP(U$1,'Attrition Modeling'!$L$15:$N$27,IF(U$2+$F7&lt;=24,2,3),FALSE)),$C$3)*(1+Projection!W$16)*(1+IF(U139&gt;0,'Attrition Modeling'!$N$9,0)))</f>
        <v>0</v>
      </c>
      <c r="V7" s="799">
        <f>(U7+V139)*(1-IFERROR(IF(V$2+$F7&lt;=12,SUMIFS('Attrition Modeling'!$D:$D,'Attrition Modeling'!$B:$B,'IP Attrition'!$D7,'Attrition Modeling'!$C:$C,'IP Attrition'!V$1),VLOOKUP($F7+V$2,$A$6:$C$106,2,FALSE)*VLOOKUP(V$1,'Attrition Modeling'!$L$15:$N$27,IF(V$2+$F7&lt;=24,2,3),FALSE)),$C$3)*(1+Projection!X$16)*(1+IF(V139&gt;0,'Attrition Modeling'!$N$9,0)))</f>
        <v>0</v>
      </c>
      <c r="W7" s="799">
        <f>(V7+W139)*(1-IFERROR(IF(W$2+$F7&lt;=12,SUMIFS('Attrition Modeling'!$D:$D,'Attrition Modeling'!$B:$B,'IP Attrition'!$D7,'Attrition Modeling'!$C:$C,'IP Attrition'!W$1),VLOOKUP($F7+W$2,$A$6:$C$106,2,FALSE)*VLOOKUP(W$1,'Attrition Modeling'!$L$15:$N$27,IF(W$2+$F7&lt;=24,2,3),FALSE)),$C$3)*(1+Projection!Y$16)*(1+IF(W139&gt;0,'Attrition Modeling'!$N$9,0)))</f>
        <v>0</v>
      </c>
      <c r="X7" s="799">
        <f>(W7+X139)*(1-IFERROR(IF(X$2+$F7&lt;=12,SUMIFS('Attrition Modeling'!$D:$D,'Attrition Modeling'!$B:$B,'IP Attrition'!$D7,'Attrition Modeling'!$C:$C,'IP Attrition'!X$1),VLOOKUP($F7+X$2,$A$6:$C$106,2,FALSE)*VLOOKUP(X$1,'Attrition Modeling'!$L$15:$N$27,IF(X$2+$F7&lt;=24,2,3),FALSE)),$C$3)*(1+Projection!Z$16)*(1+IF(X139&gt;0,'Attrition Modeling'!$N$9,0)))</f>
        <v>0</v>
      </c>
      <c r="Y7" s="799">
        <f>(X7+Y139)*(1-IFERROR(IF(Y$2+$F7&lt;=12,SUMIFS('Attrition Modeling'!$D:$D,'Attrition Modeling'!$B:$B,'IP Attrition'!$D7,'Attrition Modeling'!$C:$C,'IP Attrition'!Y$1),VLOOKUP($F7+Y$2,$A$6:$C$106,2,FALSE)*VLOOKUP(Y$1,'Attrition Modeling'!$L$15:$N$27,IF(Y$2+$F7&lt;=24,2,3),FALSE)),$C$3)*(1+Projection!AA$16)*(1+IF(Y139&gt;0,'Attrition Modeling'!$N$9,0)))</f>
        <v>0</v>
      </c>
      <c r="Z7" s="799">
        <f>(Y7+Z139)*(1-IFERROR(IF(Z$2+$F7&lt;=12,SUMIFS('Attrition Modeling'!$D:$D,'Attrition Modeling'!$B:$B,'IP Attrition'!$D7,'Attrition Modeling'!$C:$C,'IP Attrition'!Z$1),VLOOKUP($F7+Z$2,$A$6:$C$106,2,FALSE)*VLOOKUP(Z$1,'Attrition Modeling'!$L$15:$N$27,IF(Z$2+$F7&lt;=24,2,3),FALSE)),$C$3)*(1+Projection!AB$16)*(1+IF(Z139&gt;0,'Attrition Modeling'!$N$9,0)))</f>
        <v>0</v>
      </c>
      <c r="AA7" s="799">
        <f>(Z7+AA139)*(1-IFERROR(IF(AA$2+$F7&lt;=12,SUMIFS('Attrition Modeling'!$D:$D,'Attrition Modeling'!$B:$B,'IP Attrition'!$D7,'Attrition Modeling'!$C:$C,'IP Attrition'!AA$1),VLOOKUP($F7+AA$2,$A$6:$C$106,2,FALSE)*VLOOKUP(AA$1,'Attrition Modeling'!$L$15:$N$27,IF(AA$2+$F7&lt;=24,2,3),FALSE)),$C$3)*(1+Projection!AC$16)*(1+IF(AA139&gt;0,'Attrition Modeling'!$N$9,0)))</f>
        <v>0</v>
      </c>
      <c r="AB7" s="799">
        <f>(AA7+AB139)*(1-IFERROR(IF(AB$2+$F7&lt;=12,SUMIFS('Attrition Modeling'!$D:$D,'Attrition Modeling'!$B:$B,'IP Attrition'!$D7,'Attrition Modeling'!$C:$C,'IP Attrition'!AB$1),VLOOKUP($F7+AB$2,$A$6:$C$106,2,FALSE)*VLOOKUP(AB$1,'Attrition Modeling'!$L$15:$N$27,IF(AB$2+$F7&lt;=24,2,3),FALSE)),$C$3)*(1+Projection!AD$16)*(1+IF(AB139&gt;0,'Attrition Modeling'!$N$9,0)))</f>
        <v>0</v>
      </c>
      <c r="AC7" s="799">
        <f>(AB7+AC139)*(1-IFERROR(IF(AC$2+$F7&lt;=12,SUMIFS('Attrition Modeling'!$D:$D,'Attrition Modeling'!$B:$B,'IP Attrition'!$D7,'Attrition Modeling'!$C:$C,'IP Attrition'!AC$1),VLOOKUP($F7+AC$2,$A$6:$C$106,2,FALSE)*VLOOKUP(AC$1,'Attrition Modeling'!$L$15:$N$27,IF(AC$2+$F7&lt;=24,2,3),FALSE)),$C$3)*(1+Projection!AE$16)*(1+IF(AC139&gt;0,'Attrition Modeling'!$N$9,0)))</f>
        <v>0</v>
      </c>
      <c r="AD7" s="799">
        <f>(AC7+AD139)*(1-IFERROR(IF(AD$2+$F7&lt;=12,SUMIFS('Attrition Modeling'!$D:$D,'Attrition Modeling'!$B:$B,'IP Attrition'!$D7,'Attrition Modeling'!$C:$C,'IP Attrition'!AD$1),VLOOKUP($F7+AD$2,$A$6:$C$106,2,FALSE)*VLOOKUP(AD$1,'Attrition Modeling'!$L$15:$N$27,IF(AD$2+$F7&lt;=24,2,3),FALSE)),$C$3)*(1+Projection!AF$16)*(1+IF(AD139&gt;0,'Attrition Modeling'!$N$9,0)))</f>
        <v>0</v>
      </c>
      <c r="AE7" s="799">
        <f>(AD7+AE139)*(1-IFERROR(IF(AE$2+$F7&lt;=12,SUMIFS('Attrition Modeling'!$D:$D,'Attrition Modeling'!$B:$B,'IP Attrition'!$D7,'Attrition Modeling'!$C:$C,'IP Attrition'!AE$1),VLOOKUP($F7+AE$2,$A$6:$C$106,2,FALSE)*VLOOKUP(AE$1,'Attrition Modeling'!$L$15:$N$27,IF(AE$2+$F7&lt;=24,2,3),FALSE)),$C$3)*(1+Projection!AG$16)*(1+IF(AE139&gt;0,'Attrition Modeling'!$N$9,0)))</f>
        <v>0</v>
      </c>
      <c r="AF7" s="799">
        <f>(AE7+AF139)*(1-IFERROR(IF(AF$2+$F7&lt;=12,SUMIFS('Attrition Modeling'!$D:$D,'Attrition Modeling'!$B:$B,'IP Attrition'!$D7,'Attrition Modeling'!$C:$C,'IP Attrition'!AF$1),VLOOKUP($F7+AF$2,$A$6:$C$106,2,FALSE)*VLOOKUP(AF$1,'Attrition Modeling'!$L$15:$N$27,IF(AF$2+$F7&lt;=24,2,3),FALSE)),$C$3)*(1+Projection!AH$16)*(1+IF(AF139&gt;0,'Attrition Modeling'!$N$9,0)))</f>
        <v>0</v>
      </c>
      <c r="AG7" s="799">
        <f>(AF7+AG139)*(1-IFERROR(IF(AG$2+$F7&lt;=12,SUMIFS('Attrition Modeling'!$D:$D,'Attrition Modeling'!$B:$B,'IP Attrition'!$D7,'Attrition Modeling'!$C:$C,'IP Attrition'!AG$1),VLOOKUP($F7+AG$2,$A$6:$C$106,2,FALSE)*VLOOKUP(AG$1,'Attrition Modeling'!$L$15:$N$27,IF(AG$2+$F7&lt;=24,2,3),FALSE)),$C$3)*(1+Projection!AI$16)*(1+IF(AG139&gt;0,'Attrition Modeling'!$N$9,0)))</f>
        <v>0</v>
      </c>
      <c r="AH7" s="799">
        <f>(AG7+AH139)*(1-IFERROR(IF(AH$2+$F7&lt;=12,SUMIFS('Attrition Modeling'!$D:$D,'Attrition Modeling'!$B:$B,'IP Attrition'!$D7,'Attrition Modeling'!$C:$C,'IP Attrition'!AH$1),VLOOKUP($F7+AH$2,$A$6:$C$106,2,FALSE)*VLOOKUP(AH$1,'Attrition Modeling'!$L$15:$N$27,IF(AH$2+$F7&lt;=24,2,3),FALSE)),$C$3)*(1+Projection!AJ$16)*(1+IF(AH139&gt;0,'Attrition Modeling'!$N$9,0)))</f>
        <v>0</v>
      </c>
      <c r="AI7" s="799">
        <f>(AH7+AI139)*(1-IFERROR(IF(AI$2+$F7&lt;=12,SUMIFS('Attrition Modeling'!$D:$D,'Attrition Modeling'!$B:$B,'IP Attrition'!$D7,'Attrition Modeling'!$C:$C,'IP Attrition'!AI$1),VLOOKUP($F7+AI$2,$A$6:$C$106,2,FALSE)*VLOOKUP(AI$1,'Attrition Modeling'!$L$15:$N$27,IF(AI$2+$F7&lt;=24,2,3),FALSE)),$C$3)*(1+Projection!AK$16)*(1+IF(AI139&gt;0,'Attrition Modeling'!$N$9,0)))</f>
        <v>0</v>
      </c>
      <c r="AJ7" s="799">
        <f>(AI7+AJ139)*(1-IFERROR(IF(AJ$2+$F7&lt;=12,SUMIFS('Attrition Modeling'!$D:$D,'Attrition Modeling'!$B:$B,'IP Attrition'!$D7,'Attrition Modeling'!$C:$C,'IP Attrition'!AJ$1),VLOOKUP($F7+AJ$2,$A$6:$C$106,2,FALSE)*VLOOKUP(AJ$1,'Attrition Modeling'!$L$15:$N$27,IF(AJ$2+$F7&lt;=24,2,3),FALSE)),$C$3)*(1+Projection!AL$16)*(1+IF(AJ139&gt;0,'Attrition Modeling'!$N$9,0)))</f>
        <v>0</v>
      </c>
      <c r="AK7" s="799">
        <f>(AJ7+AK139)*(1-IFERROR(IF(AK$2+$F7&lt;=12,SUMIFS('Attrition Modeling'!$D:$D,'Attrition Modeling'!$B:$B,'IP Attrition'!$D7,'Attrition Modeling'!$C:$C,'IP Attrition'!AK$1),VLOOKUP($F7+AK$2,$A$6:$C$106,2,FALSE)*VLOOKUP(AK$1,'Attrition Modeling'!$L$15:$N$27,IF(AK$2+$F7&lt;=24,2,3),FALSE)),$C$3)*(1+Projection!AM$16)*(1+IF(AK139&gt;0,'Attrition Modeling'!$N$9,0)))</f>
        <v>0</v>
      </c>
      <c r="AL7" s="799">
        <f>(AK7+AL139)*(1-IFERROR(IF(AL$2+$F7&lt;=12,SUMIFS('Attrition Modeling'!$D:$D,'Attrition Modeling'!$B:$B,'IP Attrition'!$D7,'Attrition Modeling'!$C:$C,'IP Attrition'!AL$1),VLOOKUP($F7+AL$2,$A$6:$C$106,2,FALSE)*VLOOKUP(AL$1,'Attrition Modeling'!$L$15:$N$27,IF(AL$2+$F7&lt;=24,2,3),FALSE)),$C$3)*(1+Projection!AN$16)*(1+IF(AL139&gt;0,'Attrition Modeling'!$N$9,0)))</f>
        <v>0</v>
      </c>
      <c r="AM7" s="799">
        <f>(AL7+AM139)*(1-IFERROR(IF(AM$2+$F7&lt;=12,SUMIFS('Attrition Modeling'!$D:$D,'Attrition Modeling'!$B:$B,'IP Attrition'!$D7,'Attrition Modeling'!$C:$C,'IP Attrition'!AM$1),VLOOKUP($F7+AM$2,$A$6:$C$106,2,FALSE)*VLOOKUP(AM$1,'Attrition Modeling'!$L$15:$N$27,IF(AM$2+$F7&lt;=24,2,3),FALSE)),$C$3)*(1+Projection!AO$16)*(1+IF(AM139&gt;0,'Attrition Modeling'!$N$9,0)))</f>
        <v>0</v>
      </c>
      <c r="AN7" s="799">
        <f>(AM7+AN139)*(1-IFERROR(IF(AN$2+$F7&lt;=12,SUMIFS('Attrition Modeling'!$D:$D,'Attrition Modeling'!$B:$B,'IP Attrition'!$D7,'Attrition Modeling'!$C:$C,'IP Attrition'!AN$1),VLOOKUP($F7+AN$2,$A$6:$C$106,2,FALSE)*VLOOKUP(AN$1,'Attrition Modeling'!$L$15:$N$27,IF(AN$2+$F7&lt;=24,2,3),FALSE)),$C$3)*(1+Projection!AP$16)*(1+IF(AN139&gt;0,'Attrition Modeling'!$N$9,0)))</f>
        <v>0</v>
      </c>
      <c r="AO7" s="799">
        <f>(AN7+AO139)*(1-IFERROR(IF(AO$2+$F7&lt;=12,SUMIFS('Attrition Modeling'!$D:$D,'Attrition Modeling'!$B:$B,'IP Attrition'!$D7,'Attrition Modeling'!$C:$C,'IP Attrition'!AO$1),VLOOKUP($F7+AO$2,$A$6:$C$106,2,FALSE)*VLOOKUP(AO$1,'Attrition Modeling'!$L$15:$N$27,IF(AO$2+$F7&lt;=24,2,3),FALSE)),$C$3)*(1+Projection!AQ$16)*(1+IF(AO139&gt;0,'Attrition Modeling'!$N$9,0)))</f>
        <v>0</v>
      </c>
      <c r="AP7" s="799">
        <f>(AO7+AP139)*(1-IFERROR(IF(AP$2+$F7&lt;=12,SUMIFS('Attrition Modeling'!$D:$D,'Attrition Modeling'!$B:$B,'IP Attrition'!$D7,'Attrition Modeling'!$C:$C,'IP Attrition'!AP$1),VLOOKUP($F7+AP$2,$A$6:$C$106,2,FALSE)*VLOOKUP(AP$1,'Attrition Modeling'!$L$15:$N$27,IF(AP$2+$F7&lt;=24,2,3),FALSE)),$C$3)*(1+Projection!AR$16)*(1+IF(AP139&gt;0,'Attrition Modeling'!$N$9,0)))</f>
        <v>0</v>
      </c>
      <c r="AQ7" s="799">
        <f>(AP7+AQ139)*(1-IFERROR(IF(AQ$2+$F7&lt;=12,SUMIFS('Attrition Modeling'!$D:$D,'Attrition Modeling'!$B:$B,'IP Attrition'!$D7,'Attrition Modeling'!$C:$C,'IP Attrition'!AQ$1),VLOOKUP($F7+AQ$2,$A$6:$C$106,2,FALSE)*VLOOKUP(AQ$1,'Attrition Modeling'!$L$15:$N$27,IF(AQ$2+$F7&lt;=24,2,3),FALSE)),$C$3)*(1+Projection!AS$16)*(1+IF(AQ139&gt;0,'Attrition Modeling'!$N$9,0)))</f>
        <v>0</v>
      </c>
      <c r="AR7" s="799">
        <f>(AQ7+AR139)*(1-IFERROR(IF(AR$2+$F7&lt;=12,SUMIFS('Attrition Modeling'!$D:$D,'Attrition Modeling'!$B:$B,'IP Attrition'!$D7,'Attrition Modeling'!$C:$C,'IP Attrition'!AR$1),VLOOKUP($F7+AR$2,$A$6:$C$106,2,FALSE)*VLOOKUP(AR$1,'Attrition Modeling'!$L$15:$N$27,IF(AR$2+$F7&lt;=24,2,3),FALSE)),$C$3)*(1+Projection!AT$16)*(1+IF(AR139&gt;0,'Attrition Modeling'!$N$9,0)))</f>
        <v>0</v>
      </c>
      <c r="AS7" s="799">
        <f>(AR7+AS139)*(1-IFERROR(IF(AS$2+$F7&lt;=12,SUMIFS('Attrition Modeling'!$D:$D,'Attrition Modeling'!$B:$B,'IP Attrition'!$D7,'Attrition Modeling'!$C:$C,'IP Attrition'!AS$1),VLOOKUP($F7+AS$2,$A$6:$C$106,2,FALSE)*VLOOKUP(AS$1,'Attrition Modeling'!$L$15:$N$27,IF(AS$2+$F7&lt;=24,2,3),FALSE)),$C$3)*(1+Projection!AU$16)*(1+IF(AS139&gt;0,'Attrition Modeling'!$N$9,0)))</f>
        <v>0</v>
      </c>
      <c r="AT7" s="799">
        <f>(AS7+AT139)*(1-IFERROR(IF(AT$2+$F7&lt;=12,SUMIFS('Attrition Modeling'!$D:$D,'Attrition Modeling'!$B:$B,'IP Attrition'!$D7,'Attrition Modeling'!$C:$C,'IP Attrition'!AT$1),VLOOKUP($F7+AT$2,$A$6:$C$106,2,FALSE)*VLOOKUP(AT$1,'Attrition Modeling'!$L$15:$N$27,IF(AT$2+$F7&lt;=24,2,3),FALSE)),$C$3)*(1+Projection!AV$16)*(1+IF(AT139&gt;0,'Attrition Modeling'!$N$9,0)))</f>
        <v>0</v>
      </c>
      <c r="AU7" s="799">
        <f>(AT7+AU139)*(1-IFERROR(IF(AU$2+$F7&lt;=12,SUMIFS('Attrition Modeling'!$D:$D,'Attrition Modeling'!$B:$B,'IP Attrition'!$D7,'Attrition Modeling'!$C:$C,'IP Attrition'!AU$1),VLOOKUP($F7+AU$2,$A$6:$C$106,2,FALSE)*VLOOKUP(AU$1,'Attrition Modeling'!$L$15:$N$27,IF(AU$2+$F7&lt;=24,2,3),FALSE)),$C$3)*(1+Projection!AW$16)*(1+IF(AU139&gt;0,'Attrition Modeling'!$N$9,0)))</f>
        <v>0</v>
      </c>
      <c r="AV7" s="799">
        <f>(AU7+AV139)*(1-IFERROR(IF(AV$2+$F7&lt;=12,SUMIFS('Attrition Modeling'!$D:$D,'Attrition Modeling'!$B:$B,'IP Attrition'!$D7,'Attrition Modeling'!$C:$C,'IP Attrition'!AV$1),VLOOKUP($F7+AV$2,$A$6:$C$106,2,FALSE)*VLOOKUP(AV$1,'Attrition Modeling'!$L$15:$N$27,IF(AV$2+$F7&lt;=24,2,3),FALSE)),$C$3)*(1+Projection!AX$16)*(1+IF(AV139&gt;0,'Attrition Modeling'!$N$9,0)))</f>
        <v>0</v>
      </c>
      <c r="AW7" s="799">
        <f>(AV7+AW139)*(1-IFERROR(IF(AW$2+$F7&lt;=12,SUMIFS('Attrition Modeling'!$D:$D,'Attrition Modeling'!$B:$B,'IP Attrition'!$D7,'Attrition Modeling'!$C:$C,'IP Attrition'!AW$1),VLOOKUP($F7+AW$2,$A$6:$C$106,2,FALSE)*VLOOKUP(AW$1,'Attrition Modeling'!$L$15:$N$27,IF(AW$2+$F7&lt;=24,2,3),FALSE)),$C$3)*(1+Projection!AY$16)*(1+IF(AW139&gt;0,'Attrition Modeling'!$N$9,0)))</f>
        <v>0</v>
      </c>
      <c r="AX7" s="799">
        <f>(AW7+AX139)*(1-IFERROR(IF(AX$2+$F7&lt;=12,SUMIFS('Attrition Modeling'!$D:$D,'Attrition Modeling'!$B:$B,'IP Attrition'!$D7,'Attrition Modeling'!$C:$C,'IP Attrition'!AX$1),VLOOKUP($F7+AX$2,$A$6:$C$106,2,FALSE)*VLOOKUP(AX$1,'Attrition Modeling'!$L$15:$N$27,IF(AX$2+$F7&lt;=24,2,3),FALSE)),$C$3)*(1+Projection!AZ$16)*(1+IF(AX139&gt;0,'Attrition Modeling'!$N$9,0)))</f>
        <v>0</v>
      </c>
      <c r="AY7" s="799">
        <f>(AX7+AY139)*(1-IFERROR(IF(AY$2+$F7&lt;=12,SUMIFS('Attrition Modeling'!$D:$D,'Attrition Modeling'!$B:$B,'IP Attrition'!$D7,'Attrition Modeling'!$C:$C,'IP Attrition'!AY$1),VLOOKUP($F7+AY$2,$A$6:$C$106,2,FALSE)*VLOOKUP(AY$1,'Attrition Modeling'!$L$15:$N$27,IF(AY$2+$F7&lt;=24,2,3),FALSE)),$C$3)*(1+Projection!BA$16)*(1+IF(AY139&gt;0,'Attrition Modeling'!$N$9,0)))</f>
        <v>0</v>
      </c>
      <c r="AZ7" s="799">
        <f>(AY7+AZ139)*(1-IFERROR(IF(AZ$2+$F7&lt;=12,SUMIFS('Attrition Modeling'!$D:$D,'Attrition Modeling'!$B:$B,'IP Attrition'!$D7,'Attrition Modeling'!$C:$C,'IP Attrition'!AZ$1),VLOOKUP($F7+AZ$2,$A$6:$C$106,2,FALSE)*VLOOKUP(AZ$1,'Attrition Modeling'!$L$15:$N$27,IF(AZ$2+$F7&lt;=24,2,3),FALSE)),$C$3)*(1+Projection!BB$16)*(1+IF(AZ139&gt;0,'Attrition Modeling'!$N$9,0)))</f>
        <v>0</v>
      </c>
      <c r="BA7" s="799">
        <f>(AZ7+BA139)*(1-IFERROR(IF(BA$2+$F7&lt;=12,SUMIFS('Attrition Modeling'!$D:$D,'Attrition Modeling'!$B:$B,'IP Attrition'!$D7,'Attrition Modeling'!$C:$C,'IP Attrition'!BA$1),VLOOKUP($F7+BA$2,$A$6:$C$106,2,FALSE)*VLOOKUP(BA$1,'Attrition Modeling'!$L$15:$N$27,IF(BA$2+$F7&lt;=24,2,3),FALSE)),$C$3)*(1+Projection!BC$16)*(1+IF(BA139&gt;0,'Attrition Modeling'!$N$9,0)))</f>
        <v>0</v>
      </c>
      <c r="BB7" s="799">
        <f>(BA7+BB139)*(1-IFERROR(IF(BB$2+$F7&lt;=12,SUMIFS('Attrition Modeling'!$D:$D,'Attrition Modeling'!$B:$B,'IP Attrition'!$D7,'Attrition Modeling'!$C:$C,'IP Attrition'!BB$1),VLOOKUP($F7+BB$2,$A$6:$C$106,2,FALSE)*VLOOKUP(BB$1,'Attrition Modeling'!$L$15:$N$27,IF(BB$2+$F7&lt;=24,2,3),FALSE)),$C$3)*(1+Projection!BD$16)*(1+IF(BB139&gt;0,'Attrition Modeling'!$N$9,0)))</f>
        <v>0</v>
      </c>
      <c r="BC7" s="799">
        <f>(BB7+BC139)*(1-IFERROR(IF(BC$2+$F7&lt;=12,SUMIFS('Attrition Modeling'!$D:$D,'Attrition Modeling'!$B:$B,'IP Attrition'!$D7,'Attrition Modeling'!$C:$C,'IP Attrition'!BC$1),VLOOKUP($F7+BC$2,$A$6:$C$106,2,FALSE)*VLOOKUP(BC$1,'Attrition Modeling'!$L$15:$N$27,IF(BC$2+$F7&lt;=24,2,3),FALSE)),$C$3)*(1+Projection!BE$16)*(1+IF(BC139&gt;0,'Attrition Modeling'!$N$9,0)))</f>
        <v>0</v>
      </c>
      <c r="BD7" s="799">
        <f>(BC7+BD139)*(1-IFERROR(IF(BD$2+$F7&lt;=12,SUMIFS('Attrition Modeling'!$D:$D,'Attrition Modeling'!$B:$B,'IP Attrition'!$D7,'Attrition Modeling'!$C:$C,'IP Attrition'!BD$1),VLOOKUP($F7+BD$2,$A$6:$C$106,2,FALSE)*VLOOKUP(BD$1,'Attrition Modeling'!$L$15:$N$27,IF(BD$2+$F7&lt;=24,2,3),FALSE)),$C$3)*(1+Projection!BF$16)*(1+IF(BD139&gt;0,'Attrition Modeling'!$N$9,0)))</f>
        <v>0</v>
      </c>
      <c r="BE7" s="799">
        <f>(BD7+BE139)*(1-IFERROR(IF(BE$2+$F7&lt;=12,SUMIFS('Attrition Modeling'!$D:$D,'Attrition Modeling'!$B:$B,'IP Attrition'!$D7,'Attrition Modeling'!$C:$C,'IP Attrition'!BE$1),VLOOKUP($F7+BE$2,$A$6:$C$106,2,FALSE)*VLOOKUP(BE$1,'Attrition Modeling'!$L$15:$N$27,IF(BE$2+$F7&lt;=24,2,3),FALSE)),$C$3)*(1+Projection!BG$16)*(1+IF(BE139&gt;0,'Attrition Modeling'!$N$9,0)))</f>
        <v>0</v>
      </c>
      <c r="BF7" s="799">
        <f>(BE7+BF139)*(1-IFERROR(IF(BF$2+$F7&lt;=12,SUMIFS('Attrition Modeling'!$D:$D,'Attrition Modeling'!$B:$B,'IP Attrition'!$D7,'Attrition Modeling'!$C:$C,'IP Attrition'!BF$1),VLOOKUP($F7+BF$2,$A$6:$C$106,2,FALSE)*VLOOKUP(BF$1,'Attrition Modeling'!$L$15:$N$27,IF(BF$2+$F7&lt;=24,2,3),FALSE)),$C$3)*(1+Projection!BH$16)*(1+IF(BF139&gt;0,'Attrition Modeling'!$N$9,0)))</f>
        <v>0</v>
      </c>
      <c r="BG7" s="799">
        <f>(BF7+BG139)*(1-IFERROR(IF(BG$2+$F7&lt;=12,SUMIFS('Attrition Modeling'!$D:$D,'Attrition Modeling'!$B:$B,'IP Attrition'!$D7,'Attrition Modeling'!$C:$C,'IP Attrition'!BG$1),VLOOKUP($F7+BG$2,$A$6:$C$106,2,FALSE)*VLOOKUP(BG$1,'Attrition Modeling'!$L$15:$N$27,IF(BG$2+$F7&lt;=24,2,3),FALSE)),$C$3)*(1+Projection!BI$16)*(1+IF(BG139&gt;0,'Attrition Modeling'!$N$9,0)))</f>
        <v>0</v>
      </c>
      <c r="BH7" s="799">
        <f>(BG7+BH139)*(1-IFERROR(IF(BH$2+$F7&lt;=12,SUMIFS('Attrition Modeling'!$D:$D,'Attrition Modeling'!$B:$B,'IP Attrition'!$D7,'Attrition Modeling'!$C:$C,'IP Attrition'!BH$1),VLOOKUP($F7+BH$2,$A$6:$C$106,2,FALSE)*VLOOKUP(BH$1,'Attrition Modeling'!$L$15:$N$27,IF(BH$2+$F7&lt;=24,2,3),FALSE)),$C$3)*(1+Projection!BJ$16)*(1+IF(BH139&gt;0,'Attrition Modeling'!$N$9,0)))</f>
        <v>0</v>
      </c>
      <c r="BI7" s="799">
        <f>(BH7+BI139)*(1-IFERROR(IF(BI$2+$F7&lt;=12,SUMIFS('Attrition Modeling'!$D:$D,'Attrition Modeling'!$B:$B,'IP Attrition'!$D7,'Attrition Modeling'!$C:$C,'IP Attrition'!BI$1),VLOOKUP($F7+BI$2,$A$6:$C$106,2,FALSE)*VLOOKUP(BI$1,'Attrition Modeling'!$L$15:$N$27,IF(BI$2+$F7&lt;=24,2,3),FALSE)),$C$3)*(1+Projection!BK$16)*(1+IF(BI139&gt;0,'Attrition Modeling'!$N$9,0)))</f>
        <v>0</v>
      </c>
      <c r="BJ7" s="799">
        <f>(BI7+BJ139)*(1-IFERROR(IF(BJ$2+$F7&lt;=12,SUMIFS('Attrition Modeling'!$D:$D,'Attrition Modeling'!$B:$B,'IP Attrition'!$D7,'Attrition Modeling'!$C:$C,'IP Attrition'!BJ$1),VLOOKUP($F7+BJ$2,$A$6:$C$106,2,FALSE)*VLOOKUP(BJ$1,'Attrition Modeling'!$L$15:$N$27,IF(BJ$2+$F7&lt;=24,2,3),FALSE)),$C$3)*(1+Projection!BL$16)*(1+IF(BJ139&gt;0,'Attrition Modeling'!$N$9,0)))</f>
        <v>0</v>
      </c>
      <c r="BK7" s="799">
        <f>(BJ7+BK139)*(1-IFERROR(IF(BK$2+$F7&lt;=12,SUMIFS('Attrition Modeling'!$D:$D,'Attrition Modeling'!$B:$B,'IP Attrition'!$D7,'Attrition Modeling'!$C:$C,'IP Attrition'!BK$1),VLOOKUP($F7+BK$2,$A$6:$C$106,2,FALSE)*VLOOKUP(BK$1,'Attrition Modeling'!$L$15:$N$27,IF(BK$2+$F7&lt;=24,2,3),FALSE)),$C$3)*(1+Projection!BM$16)*(1+IF(BK139&gt;0,'Attrition Modeling'!$N$9,0)))</f>
        <v>0</v>
      </c>
      <c r="BL7" s="799">
        <f>(BK7+BL139)*(1-IFERROR(IF(BL$2+$F7&lt;=12,SUMIFS('Attrition Modeling'!$D:$D,'Attrition Modeling'!$B:$B,'IP Attrition'!$D7,'Attrition Modeling'!$C:$C,'IP Attrition'!BL$1),VLOOKUP($F7+BL$2,$A$6:$C$106,2,FALSE)*VLOOKUP(BL$1,'Attrition Modeling'!$L$15:$N$27,IF(BL$2+$F7&lt;=24,2,3),FALSE)),$C$3)*(1+Projection!BN$16)*(1+IF(BL139&gt;0,'Attrition Modeling'!$N$9,0)))</f>
        <v>0</v>
      </c>
      <c r="BM7" s="799">
        <f>(BL7+BM139)*(1-IFERROR(IF(BM$2+$F7&lt;=12,SUMIFS('Attrition Modeling'!$D:$D,'Attrition Modeling'!$B:$B,'IP Attrition'!$D7,'Attrition Modeling'!$C:$C,'IP Attrition'!BM$1),VLOOKUP($F7+BM$2,$A$6:$C$106,2,FALSE)*VLOOKUP(BM$1,'Attrition Modeling'!$L$15:$N$27,IF(BM$2+$F7&lt;=24,2,3),FALSE)),$C$3)*(1+Projection!BO$16)*(1+IF(BM139&gt;0,'Attrition Modeling'!$N$9,0)))</f>
        <v>0</v>
      </c>
      <c r="BN7" s="799">
        <f>(BM7+BN139)*(1-IFERROR(IF(BN$2+$F7&lt;=12,SUMIFS('Attrition Modeling'!$D:$D,'Attrition Modeling'!$B:$B,'IP Attrition'!$D7,'Attrition Modeling'!$C:$C,'IP Attrition'!BN$1),VLOOKUP($F7+BN$2,$A$6:$C$106,2,FALSE)*VLOOKUP(BN$1,'Attrition Modeling'!$L$15:$N$27,IF(BN$2+$F7&lt;=24,2,3),FALSE)),$C$3)*(1+Projection!BP$16)*(1+IF(BN139&gt;0,'Attrition Modeling'!$N$9,0)))</f>
        <v>0</v>
      </c>
      <c r="BO7" s="799">
        <f>(BN7+BO139)*(1-IFERROR(IF(BO$2+$F7&lt;=12,SUMIFS('Attrition Modeling'!$D:$D,'Attrition Modeling'!$B:$B,'IP Attrition'!$D7,'Attrition Modeling'!$C:$C,'IP Attrition'!BO$1),VLOOKUP($F7+BO$2,$A$6:$C$106,2,FALSE)*VLOOKUP(BO$1,'Attrition Modeling'!$L$15:$N$27,IF(BO$2+$F7&lt;=24,2,3),FALSE)),$C$3)*(1+Projection!BV$16)*(1+IF(BO139&gt;0,'Attrition Modeling'!$N$9,0)))</f>
        <v>0</v>
      </c>
      <c r="BP7" s="799">
        <f>(BO7+BP139)*(1-IFERROR(IF(BP$2+$F7&lt;=12,SUMIFS('Attrition Modeling'!$D:$D,'Attrition Modeling'!$B:$B,'IP Attrition'!$D7,'Attrition Modeling'!$C:$C,'IP Attrition'!BP$1),VLOOKUP($F7+BP$2,$A$6:$C$106,2,FALSE)*VLOOKUP(BP$1,'Attrition Modeling'!$L$15:$N$27,IF(BP$2+$F7&lt;=24,2,3),FALSE)),$C$3)*(1+Projection!BW$16)*(1+IF(BP139&gt;0,'Attrition Modeling'!$N$9,0)))</f>
        <v>0</v>
      </c>
      <c r="BQ7" s="799">
        <f>(BP7+BQ139)*(1-IFERROR(IF(BQ$2+$F7&lt;=12,SUMIFS('Attrition Modeling'!$D:$D,'Attrition Modeling'!$B:$B,'IP Attrition'!$D7,'Attrition Modeling'!$C:$C,'IP Attrition'!BQ$1),VLOOKUP($F7+BQ$2,$A$6:$C$106,2,FALSE)*VLOOKUP(BQ$1,'Attrition Modeling'!$L$15:$N$27,IF(BQ$2+$F7&lt;=24,2,3),FALSE)),$C$3)*(1+Projection!BX$16)*(1+IF(BQ139&gt;0,'Attrition Modeling'!$N$9,0)))</f>
        <v>0</v>
      </c>
      <c r="BR7" s="799">
        <f>(BQ7+BR139)*(1-IFERROR(IF(BR$2+$F7&lt;=12,SUMIFS('Attrition Modeling'!$D:$D,'Attrition Modeling'!$B:$B,'IP Attrition'!$D7,'Attrition Modeling'!$C:$C,'IP Attrition'!BR$1),VLOOKUP($F7+BR$2,$A$6:$C$106,2,FALSE)*VLOOKUP(BR$1,'Attrition Modeling'!$L$15:$N$27,IF(BR$2+$F7&lt;=24,2,3),FALSE)),$C$3)*(1+Projection!BY$16)*(1+IF(BR139&gt;0,'Attrition Modeling'!$N$9,0)))</f>
        <v>0</v>
      </c>
      <c r="BS7" s="799">
        <f>(BR7+BS139)*(1-IFERROR(IF(BS$2+$F7&lt;=12,SUMIFS('Attrition Modeling'!$D:$D,'Attrition Modeling'!$B:$B,'IP Attrition'!$D7,'Attrition Modeling'!$C:$C,'IP Attrition'!BS$1),VLOOKUP($F7+BS$2,$A$6:$C$106,2,FALSE)*VLOOKUP(BS$1,'Attrition Modeling'!$L$15:$N$27,IF(BS$2+$F7&lt;=24,2,3),FALSE)),$C$3)*(1+Projection!BZ$16)*(1+IF(BS139&gt;0,'Attrition Modeling'!$N$9,0)))</f>
        <v>0</v>
      </c>
      <c r="BT7" s="799" t="e">
        <f>(BS7+BT139)*(1-IFERROR(IF(BT$2+$F7&lt;=12,SUMIFS('Attrition Modeling'!$D:$D,'Attrition Modeling'!$B:$B,'IP Attrition'!$D7,'Attrition Modeling'!$C:$C,'IP Attrition'!BT$1),VLOOKUP($F7+BT$2,$A$6:$C$106,2,FALSE)*VLOOKUP(BT$1,'Attrition Modeling'!$L$15:$N$27,IF(BT$2+$F7&lt;=24,2,3),FALSE)),$C$3)*(1+Projection!CA$16)*(1+IF(BT139&gt;0,'Attrition Modeling'!$N$9,0)))</f>
        <v>#REF!</v>
      </c>
      <c r="BU7" s="799" t="e">
        <f>(BT7+BU139)*(1-IFERROR(IF(BU$2+$F7&lt;=12,SUMIFS('Attrition Modeling'!$D:$D,'Attrition Modeling'!$B:$B,'IP Attrition'!$D7,'Attrition Modeling'!$C:$C,'IP Attrition'!BU$1),VLOOKUP($F7+BU$2,$A$6:$C$106,2,FALSE)*VLOOKUP(BU$1,'Attrition Modeling'!$L$15:$N$27,IF(BU$2+$F7&lt;=24,2,3),FALSE)),$C$3)*(1+Projection!CB$16)*(1+IF(BU139&gt;0,'Attrition Modeling'!$N$9,0)))</f>
        <v>#REF!</v>
      </c>
    </row>
    <row r="8" spans="1:73" ht="14.25" customHeight="1" x14ac:dyDescent="0.2">
      <c r="A8" s="9">
        <v>1</v>
      </c>
      <c r="B8" s="760" t="e">
        <f>MAX('Attrition Modeling'!H5,$C$3)*(1-Summary!$C$20)+B7</f>
        <v>#DIV/0!</v>
      </c>
      <c r="C8" s="24" t="e">
        <f t="shared" ref="C8:C161" si="3">C7*(1-B8)</f>
        <v>#DIV/0!</v>
      </c>
      <c r="D8" s="11">
        <f t="shared" si="1"/>
        <v>-5</v>
      </c>
      <c r="E8" s="807">
        <f t="array" ref="E8">INDEX('Attrition Modeling'!$X$2:$AF$63,MATCH($F8,'Attrition Modeling'!$X$2:$X$63,0),MATCH(Inputs!$C$10,'Attrition Modeling'!$X$2:$AF$2,0))</f>
        <v>7.2768090632364085E-2</v>
      </c>
      <c r="F8" s="11">
        <f t="shared" si="2"/>
        <v>5</v>
      </c>
      <c r="G8" s="799">
        <f>Summary!$C$25*$E8</f>
        <v>0</v>
      </c>
      <c r="H8" s="808">
        <f>(G8+H140)*(1-IFERROR(IF(H$2+$F8&lt;=12,SUMIFS('Attrition Modeling'!$D:$D,'Attrition Modeling'!$B:$B,'IP Attrition'!$D8,'Attrition Modeling'!$C:$C,'IP Attrition'!H$1),VLOOKUP($F8+H$2,$A$6:$C$106,2,FALSE)*VLOOKUP(H$1,'Attrition Modeling'!$L$15:$N$27,IF(H$2+$F8&lt;=24,2,3),FALSE)),$C$3)*(1+Projection!J$16)*(1+IF(H140&gt;0,'Attrition Modeling'!$N$9,0)))</f>
        <v>0</v>
      </c>
      <c r="I8" s="808">
        <f>(H8+I140)*(1-IFERROR(IF(I$2+$F8&lt;=12,SUMIFS('Attrition Modeling'!$D:$D,'Attrition Modeling'!$B:$B,'IP Attrition'!$D8,'Attrition Modeling'!$C:$C,'IP Attrition'!I$1),VLOOKUP($F8+I$2,$A$6:$C$106,2,FALSE)*VLOOKUP(I$1,'Attrition Modeling'!$L$15:$N$27,IF(I$2+$F8&lt;=24,2,3),FALSE)),$C$3)*(1+Projection!K$16)*(1+IF(I140&gt;0,'Attrition Modeling'!$N$9,0)))</f>
        <v>0</v>
      </c>
      <c r="J8" s="808">
        <f>(I8+J140)*(1-IFERROR(IF(J$2+$F8&lt;=12,SUMIFS('Attrition Modeling'!$D:$D,'Attrition Modeling'!$B:$B,'IP Attrition'!$D8,'Attrition Modeling'!$C:$C,'IP Attrition'!J$1),VLOOKUP($F8+J$2,$A$6:$C$106,2,FALSE)*VLOOKUP(J$1,'Attrition Modeling'!$L$15:$N$27,IF(J$2+$F8&lt;=24,2,3),FALSE)),$C$3)*(1+Projection!L$16)*(1+IF(J140&gt;0,'Attrition Modeling'!$N$9,0)))</f>
        <v>0</v>
      </c>
      <c r="K8" s="808">
        <f>(J8+K140)*(1-IFERROR(IF(K$2+$F8&lt;=12,SUMIFS('Attrition Modeling'!$D:$D,'Attrition Modeling'!$B:$B,'IP Attrition'!$D8,'Attrition Modeling'!$C:$C,'IP Attrition'!K$1),VLOOKUP($F8+K$2,$A$6:$C$106,2,FALSE)*VLOOKUP(K$1,'Attrition Modeling'!$L$15:$N$27,IF(K$2+$F8&lt;=24,2,3),FALSE)),$C$3)*(1+Projection!M$16)*(1+IF(K140&gt;0,'Attrition Modeling'!$N$9,0)))</f>
        <v>0</v>
      </c>
      <c r="L8" s="808">
        <f>(K8+L140)*(1-IFERROR(IF(L$2+$F8&lt;=12,SUMIFS('Attrition Modeling'!$D:$D,'Attrition Modeling'!$B:$B,'IP Attrition'!$D8,'Attrition Modeling'!$C:$C,'IP Attrition'!L$1),VLOOKUP($F8+L$2,$A$6:$C$106,2,FALSE)*VLOOKUP(L$1,'Attrition Modeling'!$L$15:$N$27,IF(L$2+$F8&lt;=24,2,3),FALSE)),$C$3)*(1+Projection!N$16)*(1+IF(L140&gt;0,'Attrition Modeling'!$N$9,0)))</f>
        <v>0</v>
      </c>
      <c r="M8" s="808">
        <f>(L8+M140)*(1-IFERROR(IF(M$2+$F8&lt;=12,SUMIFS('Attrition Modeling'!$D:$D,'Attrition Modeling'!$B:$B,'IP Attrition'!$D8,'Attrition Modeling'!$C:$C,'IP Attrition'!M$1),VLOOKUP($F8+M$2,$A$6:$C$106,2,FALSE)*VLOOKUP(M$1,'Attrition Modeling'!$L$15:$N$27,IF(M$2+$F8&lt;=24,2,3),FALSE)),$C$3)*(1+Projection!O$16)*(1+IF(M140&gt;0,'Attrition Modeling'!$N$9,0)))</f>
        <v>0</v>
      </c>
      <c r="N8" s="808">
        <f>(M8+N140)*(1-IFERROR(IF(N$2+$F8&lt;=12,SUMIFS('Attrition Modeling'!$D:$D,'Attrition Modeling'!$B:$B,'IP Attrition'!$D8,'Attrition Modeling'!$C:$C,'IP Attrition'!N$1),VLOOKUP($F8+N$2,$A$6:$C$106,2,FALSE)*VLOOKUP(N$1,'Attrition Modeling'!$L$15:$N$27,IF(N$2+$F8&lt;=24,2,3),FALSE)),$C$3)*(1+Projection!P$16)*(1+IF(N140&gt;0,'Attrition Modeling'!$N$9,0)))</f>
        <v>0</v>
      </c>
      <c r="O8" s="799">
        <f>(N8+O140)*(1-IFERROR(IF(O$2+$F8&lt;=12,SUMIFS('Attrition Modeling'!$D:$D,'Attrition Modeling'!$B:$B,'IP Attrition'!$D8,'Attrition Modeling'!$C:$C,'IP Attrition'!O$1),VLOOKUP($F8+O$2,$A$6:$C$106,2,FALSE)*VLOOKUP(O$1,'Attrition Modeling'!$L$15:$N$27,IF(O$2+$F8&lt;=24,2,3),FALSE)),$C$3)*(1+Projection!Q$16)*(1+IF(O140&gt;0,'Attrition Modeling'!$N$9,0)))</f>
        <v>0</v>
      </c>
      <c r="P8" s="799">
        <f>(O8+P140)*(1-IFERROR(IF(P$2+$F8&lt;=12,SUMIFS('Attrition Modeling'!$D:$D,'Attrition Modeling'!$B:$B,'IP Attrition'!$D8,'Attrition Modeling'!$C:$C,'IP Attrition'!P$1),VLOOKUP($F8+P$2,$A$6:$C$106,2,FALSE)*VLOOKUP(P$1,'Attrition Modeling'!$L$15:$N$27,IF(P$2+$F8&lt;=24,2,3),FALSE)),$C$3)*(1+Projection!R$16)*(1+IF(P140&gt;0,'Attrition Modeling'!$N$9,0)))</f>
        <v>0</v>
      </c>
      <c r="Q8" s="799">
        <f>(P8+Q140)*(1-IFERROR(IF(Q$2+$F8&lt;=12,SUMIFS('Attrition Modeling'!$D:$D,'Attrition Modeling'!$B:$B,'IP Attrition'!$D8,'Attrition Modeling'!$C:$C,'IP Attrition'!Q$1),VLOOKUP($F8+Q$2,$A$6:$C$106,2,FALSE)*VLOOKUP(Q$1,'Attrition Modeling'!$L$15:$N$27,IF(Q$2+$F8&lt;=24,2,3),FALSE)),$C$3)*(1+Projection!S$16)*(1+IF(Q140&gt;0,'Attrition Modeling'!$N$9,0)))</f>
        <v>0</v>
      </c>
      <c r="R8" s="799">
        <f>(Q8+R140)*(1-IFERROR(IF(R$2+$F8&lt;=12,SUMIFS('Attrition Modeling'!$D:$D,'Attrition Modeling'!$B:$B,'IP Attrition'!$D8,'Attrition Modeling'!$C:$C,'IP Attrition'!R$1),VLOOKUP($F8+R$2,$A$6:$C$106,2,FALSE)*VLOOKUP(R$1,'Attrition Modeling'!$L$15:$N$27,IF(R$2+$F8&lt;=24,2,3),FALSE)),$C$3)*(1+Projection!T$16)*(1+IF(R140&gt;0,'Attrition Modeling'!$N$9,0)))</f>
        <v>0</v>
      </c>
      <c r="S8" s="799">
        <f>(R8+S140)*(1-IFERROR(IF(S$2+$F8&lt;=12,SUMIFS('Attrition Modeling'!$D:$D,'Attrition Modeling'!$B:$B,'IP Attrition'!$D8,'Attrition Modeling'!$C:$C,'IP Attrition'!S$1),VLOOKUP($F8+S$2,$A$6:$C$106,2,FALSE)*VLOOKUP(S$1,'Attrition Modeling'!$L$15:$N$27,IF(S$2+$F8&lt;=24,2,3),FALSE)),$C$3)*(1+Projection!U$16)*(1+IF(S140&gt;0,'Attrition Modeling'!$N$9,0)))</f>
        <v>0</v>
      </c>
      <c r="T8" s="799">
        <f>(S8+T140)*(1-IFERROR(IF(T$2+$F8&lt;=12,SUMIFS('Attrition Modeling'!$D:$D,'Attrition Modeling'!$B:$B,'IP Attrition'!$D8,'Attrition Modeling'!$C:$C,'IP Attrition'!T$1),VLOOKUP($F8+T$2,$A$6:$C$106,2,FALSE)*VLOOKUP(T$1,'Attrition Modeling'!$L$15:$N$27,IF(T$2+$F8&lt;=24,2,3),FALSE)),$C$3)*(1+Projection!V$16)*(1+IF(T140&gt;0,'Attrition Modeling'!$N$9,0)))</f>
        <v>0</v>
      </c>
      <c r="U8" s="799">
        <f>(T8+U140)*(1-IFERROR(IF(U$2+$F8&lt;=12,SUMIFS('Attrition Modeling'!$D:$D,'Attrition Modeling'!$B:$B,'IP Attrition'!$D8,'Attrition Modeling'!$C:$C,'IP Attrition'!U$1),VLOOKUP($F8+U$2,$A$6:$C$106,2,FALSE)*VLOOKUP(U$1,'Attrition Modeling'!$L$15:$N$27,IF(U$2+$F8&lt;=24,2,3),FALSE)),$C$3)*(1+Projection!W$16)*(1+IF(U140&gt;0,'Attrition Modeling'!$N$9,0)))</f>
        <v>0</v>
      </c>
      <c r="V8" s="799">
        <f>(U8+V140)*(1-IFERROR(IF(V$2+$F8&lt;=12,SUMIFS('Attrition Modeling'!$D:$D,'Attrition Modeling'!$B:$B,'IP Attrition'!$D8,'Attrition Modeling'!$C:$C,'IP Attrition'!V$1),VLOOKUP($F8+V$2,$A$6:$C$106,2,FALSE)*VLOOKUP(V$1,'Attrition Modeling'!$L$15:$N$27,IF(V$2+$F8&lt;=24,2,3),FALSE)),$C$3)*(1+Projection!X$16)*(1+IF(V140&gt;0,'Attrition Modeling'!$N$9,0)))</f>
        <v>0</v>
      </c>
      <c r="W8" s="799">
        <f>(V8+W140)*(1-IFERROR(IF(W$2+$F8&lt;=12,SUMIFS('Attrition Modeling'!$D:$D,'Attrition Modeling'!$B:$B,'IP Attrition'!$D8,'Attrition Modeling'!$C:$C,'IP Attrition'!W$1),VLOOKUP($F8+W$2,$A$6:$C$106,2,FALSE)*VLOOKUP(W$1,'Attrition Modeling'!$L$15:$N$27,IF(W$2+$F8&lt;=24,2,3),FALSE)),$C$3)*(1+Projection!Y$16)*(1+IF(W140&gt;0,'Attrition Modeling'!$N$9,0)))</f>
        <v>0</v>
      </c>
      <c r="X8" s="799">
        <f>(W8+X140)*(1-IFERROR(IF(X$2+$F8&lt;=12,SUMIFS('Attrition Modeling'!$D:$D,'Attrition Modeling'!$B:$B,'IP Attrition'!$D8,'Attrition Modeling'!$C:$C,'IP Attrition'!X$1),VLOOKUP($F8+X$2,$A$6:$C$106,2,FALSE)*VLOOKUP(X$1,'Attrition Modeling'!$L$15:$N$27,IF(X$2+$F8&lt;=24,2,3),FALSE)),$C$3)*(1+Projection!Z$16)*(1+IF(X140&gt;0,'Attrition Modeling'!$N$9,0)))</f>
        <v>0</v>
      </c>
      <c r="Y8" s="799">
        <f>(X8+Y140)*(1-IFERROR(IF(Y$2+$F8&lt;=12,SUMIFS('Attrition Modeling'!$D:$D,'Attrition Modeling'!$B:$B,'IP Attrition'!$D8,'Attrition Modeling'!$C:$C,'IP Attrition'!Y$1),VLOOKUP($F8+Y$2,$A$6:$C$106,2,FALSE)*VLOOKUP(Y$1,'Attrition Modeling'!$L$15:$N$27,IF(Y$2+$F8&lt;=24,2,3),FALSE)),$C$3)*(1+Projection!AA$16)*(1+IF(Y140&gt;0,'Attrition Modeling'!$N$9,0)))</f>
        <v>0</v>
      </c>
      <c r="Z8" s="799">
        <f>(Y8+Z140)*(1-IFERROR(IF(Z$2+$F8&lt;=12,SUMIFS('Attrition Modeling'!$D:$D,'Attrition Modeling'!$B:$B,'IP Attrition'!$D8,'Attrition Modeling'!$C:$C,'IP Attrition'!Z$1),VLOOKUP($F8+Z$2,$A$6:$C$106,2,FALSE)*VLOOKUP(Z$1,'Attrition Modeling'!$L$15:$N$27,IF(Z$2+$F8&lt;=24,2,3),FALSE)),$C$3)*(1+Projection!AB$16)*(1+IF(Z140&gt;0,'Attrition Modeling'!$N$9,0)))</f>
        <v>0</v>
      </c>
      <c r="AA8" s="799">
        <f>(Z8+AA140)*(1-IFERROR(IF(AA$2+$F8&lt;=12,SUMIFS('Attrition Modeling'!$D:$D,'Attrition Modeling'!$B:$B,'IP Attrition'!$D8,'Attrition Modeling'!$C:$C,'IP Attrition'!AA$1),VLOOKUP($F8+AA$2,$A$6:$C$106,2,FALSE)*VLOOKUP(AA$1,'Attrition Modeling'!$L$15:$N$27,IF(AA$2+$F8&lt;=24,2,3),FALSE)),$C$3)*(1+Projection!AC$16)*(1+IF(AA140&gt;0,'Attrition Modeling'!$N$9,0)))</f>
        <v>0</v>
      </c>
      <c r="AB8" s="799">
        <f>(AA8+AB140)*(1-IFERROR(IF(AB$2+$F8&lt;=12,SUMIFS('Attrition Modeling'!$D:$D,'Attrition Modeling'!$B:$B,'IP Attrition'!$D8,'Attrition Modeling'!$C:$C,'IP Attrition'!AB$1),VLOOKUP($F8+AB$2,$A$6:$C$106,2,FALSE)*VLOOKUP(AB$1,'Attrition Modeling'!$L$15:$N$27,IF(AB$2+$F8&lt;=24,2,3),FALSE)),$C$3)*(1+Projection!AD$16)*(1+IF(AB140&gt;0,'Attrition Modeling'!$N$9,0)))</f>
        <v>0</v>
      </c>
      <c r="AC8" s="799">
        <f>(AB8+AC140)*(1-IFERROR(IF(AC$2+$F8&lt;=12,SUMIFS('Attrition Modeling'!$D:$D,'Attrition Modeling'!$B:$B,'IP Attrition'!$D8,'Attrition Modeling'!$C:$C,'IP Attrition'!AC$1),VLOOKUP($F8+AC$2,$A$6:$C$106,2,FALSE)*VLOOKUP(AC$1,'Attrition Modeling'!$L$15:$N$27,IF(AC$2+$F8&lt;=24,2,3),FALSE)),$C$3)*(1+Projection!AE$16)*(1+IF(AC140&gt;0,'Attrition Modeling'!$N$9,0)))</f>
        <v>0</v>
      </c>
      <c r="AD8" s="799">
        <f>(AC8+AD140)*(1-IFERROR(IF(AD$2+$F8&lt;=12,SUMIFS('Attrition Modeling'!$D:$D,'Attrition Modeling'!$B:$B,'IP Attrition'!$D8,'Attrition Modeling'!$C:$C,'IP Attrition'!AD$1),VLOOKUP($F8+AD$2,$A$6:$C$106,2,FALSE)*VLOOKUP(AD$1,'Attrition Modeling'!$L$15:$N$27,IF(AD$2+$F8&lt;=24,2,3),FALSE)),$C$3)*(1+Projection!AF$16)*(1+IF(AD140&gt;0,'Attrition Modeling'!$N$9,0)))</f>
        <v>0</v>
      </c>
      <c r="AE8" s="799">
        <f>(AD8+AE140)*(1-IFERROR(IF(AE$2+$F8&lt;=12,SUMIFS('Attrition Modeling'!$D:$D,'Attrition Modeling'!$B:$B,'IP Attrition'!$D8,'Attrition Modeling'!$C:$C,'IP Attrition'!AE$1),VLOOKUP($F8+AE$2,$A$6:$C$106,2,FALSE)*VLOOKUP(AE$1,'Attrition Modeling'!$L$15:$N$27,IF(AE$2+$F8&lt;=24,2,3),FALSE)),$C$3)*(1+Projection!AG$16)*(1+IF(AE140&gt;0,'Attrition Modeling'!$N$9,0)))</f>
        <v>0</v>
      </c>
      <c r="AF8" s="799">
        <f>(AE8+AF140)*(1-IFERROR(IF(AF$2+$F8&lt;=12,SUMIFS('Attrition Modeling'!$D:$D,'Attrition Modeling'!$B:$B,'IP Attrition'!$D8,'Attrition Modeling'!$C:$C,'IP Attrition'!AF$1),VLOOKUP($F8+AF$2,$A$6:$C$106,2,FALSE)*VLOOKUP(AF$1,'Attrition Modeling'!$L$15:$N$27,IF(AF$2+$F8&lt;=24,2,3),FALSE)),$C$3)*(1+Projection!AH$16)*(1+IF(AF140&gt;0,'Attrition Modeling'!$N$9,0)))</f>
        <v>0</v>
      </c>
      <c r="AG8" s="799">
        <f>(AF8+AG140)*(1-IFERROR(IF(AG$2+$F8&lt;=12,SUMIFS('Attrition Modeling'!$D:$D,'Attrition Modeling'!$B:$B,'IP Attrition'!$D8,'Attrition Modeling'!$C:$C,'IP Attrition'!AG$1),VLOOKUP($F8+AG$2,$A$6:$C$106,2,FALSE)*VLOOKUP(AG$1,'Attrition Modeling'!$L$15:$N$27,IF(AG$2+$F8&lt;=24,2,3),FALSE)),$C$3)*(1+Projection!AI$16)*(1+IF(AG140&gt;0,'Attrition Modeling'!$N$9,0)))</f>
        <v>0</v>
      </c>
      <c r="AH8" s="799">
        <f>(AG8+AH140)*(1-IFERROR(IF(AH$2+$F8&lt;=12,SUMIFS('Attrition Modeling'!$D:$D,'Attrition Modeling'!$B:$B,'IP Attrition'!$D8,'Attrition Modeling'!$C:$C,'IP Attrition'!AH$1),VLOOKUP($F8+AH$2,$A$6:$C$106,2,FALSE)*VLOOKUP(AH$1,'Attrition Modeling'!$L$15:$N$27,IF(AH$2+$F8&lt;=24,2,3),FALSE)),$C$3)*(1+Projection!AJ$16)*(1+IF(AH140&gt;0,'Attrition Modeling'!$N$9,0)))</f>
        <v>0</v>
      </c>
      <c r="AI8" s="799">
        <f>(AH8+AI140)*(1-IFERROR(IF(AI$2+$F8&lt;=12,SUMIFS('Attrition Modeling'!$D:$D,'Attrition Modeling'!$B:$B,'IP Attrition'!$D8,'Attrition Modeling'!$C:$C,'IP Attrition'!AI$1),VLOOKUP($F8+AI$2,$A$6:$C$106,2,FALSE)*VLOOKUP(AI$1,'Attrition Modeling'!$L$15:$N$27,IF(AI$2+$F8&lt;=24,2,3),FALSE)),$C$3)*(1+Projection!AK$16)*(1+IF(AI140&gt;0,'Attrition Modeling'!$N$9,0)))</f>
        <v>0</v>
      </c>
      <c r="AJ8" s="799">
        <f>(AI8+AJ140)*(1-IFERROR(IF(AJ$2+$F8&lt;=12,SUMIFS('Attrition Modeling'!$D:$D,'Attrition Modeling'!$B:$B,'IP Attrition'!$D8,'Attrition Modeling'!$C:$C,'IP Attrition'!AJ$1),VLOOKUP($F8+AJ$2,$A$6:$C$106,2,FALSE)*VLOOKUP(AJ$1,'Attrition Modeling'!$L$15:$N$27,IF(AJ$2+$F8&lt;=24,2,3),FALSE)),$C$3)*(1+Projection!AL$16)*(1+IF(AJ140&gt;0,'Attrition Modeling'!$N$9,0)))</f>
        <v>0</v>
      </c>
      <c r="AK8" s="799">
        <f>(AJ8+AK140)*(1-IFERROR(IF(AK$2+$F8&lt;=12,SUMIFS('Attrition Modeling'!$D:$D,'Attrition Modeling'!$B:$B,'IP Attrition'!$D8,'Attrition Modeling'!$C:$C,'IP Attrition'!AK$1),VLOOKUP($F8+AK$2,$A$6:$C$106,2,FALSE)*VLOOKUP(AK$1,'Attrition Modeling'!$L$15:$N$27,IF(AK$2+$F8&lt;=24,2,3),FALSE)),$C$3)*(1+Projection!AM$16)*(1+IF(AK140&gt;0,'Attrition Modeling'!$N$9,0)))</f>
        <v>0</v>
      </c>
      <c r="AL8" s="799">
        <f>(AK8+AL140)*(1-IFERROR(IF(AL$2+$F8&lt;=12,SUMIFS('Attrition Modeling'!$D:$D,'Attrition Modeling'!$B:$B,'IP Attrition'!$D8,'Attrition Modeling'!$C:$C,'IP Attrition'!AL$1),VLOOKUP($F8+AL$2,$A$6:$C$106,2,FALSE)*VLOOKUP(AL$1,'Attrition Modeling'!$L$15:$N$27,IF(AL$2+$F8&lt;=24,2,3),FALSE)),$C$3)*(1+Projection!AN$16)*(1+IF(AL140&gt;0,'Attrition Modeling'!$N$9,0)))</f>
        <v>0</v>
      </c>
      <c r="AM8" s="799">
        <f>(AL8+AM140)*(1-IFERROR(IF(AM$2+$F8&lt;=12,SUMIFS('Attrition Modeling'!$D:$D,'Attrition Modeling'!$B:$B,'IP Attrition'!$D8,'Attrition Modeling'!$C:$C,'IP Attrition'!AM$1),VLOOKUP($F8+AM$2,$A$6:$C$106,2,FALSE)*VLOOKUP(AM$1,'Attrition Modeling'!$L$15:$N$27,IF(AM$2+$F8&lt;=24,2,3),FALSE)),$C$3)*(1+Projection!AO$16)*(1+IF(AM140&gt;0,'Attrition Modeling'!$N$9,0)))</f>
        <v>0</v>
      </c>
      <c r="AN8" s="799">
        <f>(AM8+AN140)*(1-IFERROR(IF(AN$2+$F8&lt;=12,SUMIFS('Attrition Modeling'!$D:$D,'Attrition Modeling'!$B:$B,'IP Attrition'!$D8,'Attrition Modeling'!$C:$C,'IP Attrition'!AN$1),VLOOKUP($F8+AN$2,$A$6:$C$106,2,FALSE)*VLOOKUP(AN$1,'Attrition Modeling'!$L$15:$N$27,IF(AN$2+$F8&lt;=24,2,3),FALSE)),$C$3)*(1+Projection!AP$16)*(1+IF(AN140&gt;0,'Attrition Modeling'!$N$9,0)))</f>
        <v>0</v>
      </c>
      <c r="AO8" s="799">
        <f>(AN8+AO140)*(1-IFERROR(IF(AO$2+$F8&lt;=12,SUMIFS('Attrition Modeling'!$D:$D,'Attrition Modeling'!$B:$B,'IP Attrition'!$D8,'Attrition Modeling'!$C:$C,'IP Attrition'!AO$1),VLOOKUP($F8+AO$2,$A$6:$C$106,2,FALSE)*VLOOKUP(AO$1,'Attrition Modeling'!$L$15:$N$27,IF(AO$2+$F8&lt;=24,2,3),FALSE)),$C$3)*(1+Projection!AQ$16)*(1+IF(AO140&gt;0,'Attrition Modeling'!$N$9,0)))</f>
        <v>0</v>
      </c>
      <c r="AP8" s="799">
        <f>(AO8+AP140)*(1-IFERROR(IF(AP$2+$F8&lt;=12,SUMIFS('Attrition Modeling'!$D:$D,'Attrition Modeling'!$B:$B,'IP Attrition'!$D8,'Attrition Modeling'!$C:$C,'IP Attrition'!AP$1),VLOOKUP($F8+AP$2,$A$6:$C$106,2,FALSE)*VLOOKUP(AP$1,'Attrition Modeling'!$L$15:$N$27,IF(AP$2+$F8&lt;=24,2,3),FALSE)),$C$3)*(1+Projection!AR$16)*(1+IF(AP140&gt;0,'Attrition Modeling'!$N$9,0)))</f>
        <v>0</v>
      </c>
      <c r="AQ8" s="799">
        <f>(AP8+AQ140)*(1-IFERROR(IF(AQ$2+$F8&lt;=12,SUMIFS('Attrition Modeling'!$D:$D,'Attrition Modeling'!$B:$B,'IP Attrition'!$D8,'Attrition Modeling'!$C:$C,'IP Attrition'!AQ$1),VLOOKUP($F8+AQ$2,$A$6:$C$106,2,FALSE)*VLOOKUP(AQ$1,'Attrition Modeling'!$L$15:$N$27,IF(AQ$2+$F8&lt;=24,2,3),FALSE)),$C$3)*(1+Projection!AS$16)*(1+IF(AQ140&gt;0,'Attrition Modeling'!$N$9,0)))</f>
        <v>0</v>
      </c>
      <c r="AR8" s="799">
        <f>(AQ8+AR140)*(1-IFERROR(IF(AR$2+$F8&lt;=12,SUMIFS('Attrition Modeling'!$D:$D,'Attrition Modeling'!$B:$B,'IP Attrition'!$D8,'Attrition Modeling'!$C:$C,'IP Attrition'!AR$1),VLOOKUP($F8+AR$2,$A$6:$C$106,2,FALSE)*VLOOKUP(AR$1,'Attrition Modeling'!$L$15:$N$27,IF(AR$2+$F8&lt;=24,2,3),FALSE)),$C$3)*(1+Projection!AT$16)*(1+IF(AR140&gt;0,'Attrition Modeling'!$N$9,0)))</f>
        <v>0</v>
      </c>
      <c r="AS8" s="799">
        <f>(AR8+AS140)*(1-IFERROR(IF(AS$2+$F8&lt;=12,SUMIFS('Attrition Modeling'!$D:$D,'Attrition Modeling'!$B:$B,'IP Attrition'!$D8,'Attrition Modeling'!$C:$C,'IP Attrition'!AS$1),VLOOKUP($F8+AS$2,$A$6:$C$106,2,FALSE)*VLOOKUP(AS$1,'Attrition Modeling'!$L$15:$N$27,IF(AS$2+$F8&lt;=24,2,3),FALSE)),$C$3)*(1+Projection!AU$16)*(1+IF(AS140&gt;0,'Attrition Modeling'!$N$9,0)))</f>
        <v>0</v>
      </c>
      <c r="AT8" s="799">
        <f>(AS8+AT140)*(1-IFERROR(IF(AT$2+$F8&lt;=12,SUMIFS('Attrition Modeling'!$D:$D,'Attrition Modeling'!$B:$B,'IP Attrition'!$D8,'Attrition Modeling'!$C:$C,'IP Attrition'!AT$1),VLOOKUP($F8+AT$2,$A$6:$C$106,2,FALSE)*VLOOKUP(AT$1,'Attrition Modeling'!$L$15:$N$27,IF(AT$2+$F8&lt;=24,2,3),FALSE)),$C$3)*(1+Projection!AV$16)*(1+IF(AT140&gt;0,'Attrition Modeling'!$N$9,0)))</f>
        <v>0</v>
      </c>
      <c r="AU8" s="799">
        <f>(AT8+AU140)*(1-IFERROR(IF(AU$2+$F8&lt;=12,SUMIFS('Attrition Modeling'!$D:$D,'Attrition Modeling'!$B:$B,'IP Attrition'!$D8,'Attrition Modeling'!$C:$C,'IP Attrition'!AU$1),VLOOKUP($F8+AU$2,$A$6:$C$106,2,FALSE)*VLOOKUP(AU$1,'Attrition Modeling'!$L$15:$N$27,IF(AU$2+$F8&lt;=24,2,3),FALSE)),$C$3)*(1+Projection!AW$16)*(1+IF(AU140&gt;0,'Attrition Modeling'!$N$9,0)))</f>
        <v>0</v>
      </c>
      <c r="AV8" s="799">
        <f>(AU8+AV140)*(1-IFERROR(IF(AV$2+$F8&lt;=12,SUMIFS('Attrition Modeling'!$D:$D,'Attrition Modeling'!$B:$B,'IP Attrition'!$D8,'Attrition Modeling'!$C:$C,'IP Attrition'!AV$1),VLOOKUP($F8+AV$2,$A$6:$C$106,2,FALSE)*VLOOKUP(AV$1,'Attrition Modeling'!$L$15:$N$27,IF(AV$2+$F8&lt;=24,2,3),FALSE)),$C$3)*(1+Projection!AX$16)*(1+IF(AV140&gt;0,'Attrition Modeling'!$N$9,0)))</f>
        <v>0</v>
      </c>
      <c r="AW8" s="799">
        <f>(AV8+AW140)*(1-IFERROR(IF(AW$2+$F8&lt;=12,SUMIFS('Attrition Modeling'!$D:$D,'Attrition Modeling'!$B:$B,'IP Attrition'!$D8,'Attrition Modeling'!$C:$C,'IP Attrition'!AW$1),VLOOKUP($F8+AW$2,$A$6:$C$106,2,FALSE)*VLOOKUP(AW$1,'Attrition Modeling'!$L$15:$N$27,IF(AW$2+$F8&lt;=24,2,3),FALSE)),$C$3)*(1+Projection!AY$16)*(1+IF(AW140&gt;0,'Attrition Modeling'!$N$9,0)))</f>
        <v>0</v>
      </c>
      <c r="AX8" s="799">
        <f>(AW8+AX140)*(1-IFERROR(IF(AX$2+$F8&lt;=12,SUMIFS('Attrition Modeling'!$D:$D,'Attrition Modeling'!$B:$B,'IP Attrition'!$D8,'Attrition Modeling'!$C:$C,'IP Attrition'!AX$1),VLOOKUP($F8+AX$2,$A$6:$C$106,2,FALSE)*VLOOKUP(AX$1,'Attrition Modeling'!$L$15:$N$27,IF(AX$2+$F8&lt;=24,2,3),FALSE)),$C$3)*(1+Projection!AZ$16)*(1+IF(AX140&gt;0,'Attrition Modeling'!$N$9,0)))</f>
        <v>0</v>
      </c>
      <c r="AY8" s="799">
        <f>(AX8+AY140)*(1-IFERROR(IF(AY$2+$F8&lt;=12,SUMIFS('Attrition Modeling'!$D:$D,'Attrition Modeling'!$B:$B,'IP Attrition'!$D8,'Attrition Modeling'!$C:$C,'IP Attrition'!AY$1),VLOOKUP($F8+AY$2,$A$6:$C$106,2,FALSE)*VLOOKUP(AY$1,'Attrition Modeling'!$L$15:$N$27,IF(AY$2+$F8&lt;=24,2,3),FALSE)),$C$3)*(1+Projection!BA$16)*(1+IF(AY140&gt;0,'Attrition Modeling'!$N$9,0)))</f>
        <v>0</v>
      </c>
      <c r="AZ8" s="799">
        <f>(AY8+AZ140)*(1-IFERROR(IF(AZ$2+$F8&lt;=12,SUMIFS('Attrition Modeling'!$D:$D,'Attrition Modeling'!$B:$B,'IP Attrition'!$D8,'Attrition Modeling'!$C:$C,'IP Attrition'!AZ$1),VLOOKUP($F8+AZ$2,$A$6:$C$106,2,FALSE)*VLOOKUP(AZ$1,'Attrition Modeling'!$L$15:$N$27,IF(AZ$2+$F8&lt;=24,2,3),FALSE)),$C$3)*(1+Projection!BB$16)*(1+IF(AZ140&gt;0,'Attrition Modeling'!$N$9,0)))</f>
        <v>0</v>
      </c>
      <c r="BA8" s="799">
        <f>(AZ8+BA140)*(1-IFERROR(IF(BA$2+$F8&lt;=12,SUMIFS('Attrition Modeling'!$D:$D,'Attrition Modeling'!$B:$B,'IP Attrition'!$D8,'Attrition Modeling'!$C:$C,'IP Attrition'!BA$1),VLOOKUP($F8+BA$2,$A$6:$C$106,2,FALSE)*VLOOKUP(BA$1,'Attrition Modeling'!$L$15:$N$27,IF(BA$2+$F8&lt;=24,2,3),FALSE)),$C$3)*(1+Projection!BC$16)*(1+IF(BA140&gt;0,'Attrition Modeling'!$N$9,0)))</f>
        <v>0</v>
      </c>
      <c r="BB8" s="799">
        <f>(BA8+BB140)*(1-IFERROR(IF(BB$2+$F8&lt;=12,SUMIFS('Attrition Modeling'!$D:$D,'Attrition Modeling'!$B:$B,'IP Attrition'!$D8,'Attrition Modeling'!$C:$C,'IP Attrition'!BB$1),VLOOKUP($F8+BB$2,$A$6:$C$106,2,FALSE)*VLOOKUP(BB$1,'Attrition Modeling'!$L$15:$N$27,IF(BB$2+$F8&lt;=24,2,3),FALSE)),$C$3)*(1+Projection!BD$16)*(1+IF(BB140&gt;0,'Attrition Modeling'!$N$9,0)))</f>
        <v>0</v>
      </c>
      <c r="BC8" s="799">
        <f>(BB8+BC140)*(1-IFERROR(IF(BC$2+$F8&lt;=12,SUMIFS('Attrition Modeling'!$D:$D,'Attrition Modeling'!$B:$B,'IP Attrition'!$D8,'Attrition Modeling'!$C:$C,'IP Attrition'!BC$1),VLOOKUP($F8+BC$2,$A$6:$C$106,2,FALSE)*VLOOKUP(BC$1,'Attrition Modeling'!$L$15:$N$27,IF(BC$2+$F8&lt;=24,2,3),FALSE)),$C$3)*(1+Projection!BE$16)*(1+IF(BC140&gt;0,'Attrition Modeling'!$N$9,0)))</f>
        <v>0</v>
      </c>
      <c r="BD8" s="799">
        <f>(BC8+BD140)*(1-IFERROR(IF(BD$2+$F8&lt;=12,SUMIFS('Attrition Modeling'!$D:$D,'Attrition Modeling'!$B:$B,'IP Attrition'!$D8,'Attrition Modeling'!$C:$C,'IP Attrition'!BD$1),VLOOKUP($F8+BD$2,$A$6:$C$106,2,FALSE)*VLOOKUP(BD$1,'Attrition Modeling'!$L$15:$N$27,IF(BD$2+$F8&lt;=24,2,3),FALSE)),$C$3)*(1+Projection!BF$16)*(1+IF(BD140&gt;0,'Attrition Modeling'!$N$9,0)))</f>
        <v>0</v>
      </c>
      <c r="BE8" s="799">
        <f>(BD8+BE140)*(1-IFERROR(IF(BE$2+$F8&lt;=12,SUMIFS('Attrition Modeling'!$D:$D,'Attrition Modeling'!$B:$B,'IP Attrition'!$D8,'Attrition Modeling'!$C:$C,'IP Attrition'!BE$1),VLOOKUP($F8+BE$2,$A$6:$C$106,2,FALSE)*VLOOKUP(BE$1,'Attrition Modeling'!$L$15:$N$27,IF(BE$2+$F8&lt;=24,2,3),FALSE)),$C$3)*(1+Projection!BG$16)*(1+IF(BE140&gt;0,'Attrition Modeling'!$N$9,0)))</f>
        <v>0</v>
      </c>
      <c r="BF8" s="799">
        <f>(BE8+BF140)*(1-IFERROR(IF(BF$2+$F8&lt;=12,SUMIFS('Attrition Modeling'!$D:$D,'Attrition Modeling'!$B:$B,'IP Attrition'!$D8,'Attrition Modeling'!$C:$C,'IP Attrition'!BF$1),VLOOKUP($F8+BF$2,$A$6:$C$106,2,FALSE)*VLOOKUP(BF$1,'Attrition Modeling'!$L$15:$N$27,IF(BF$2+$F8&lt;=24,2,3),FALSE)),$C$3)*(1+Projection!BH$16)*(1+IF(BF140&gt;0,'Attrition Modeling'!$N$9,0)))</f>
        <v>0</v>
      </c>
      <c r="BG8" s="799">
        <f>(BF8+BG140)*(1-IFERROR(IF(BG$2+$F8&lt;=12,SUMIFS('Attrition Modeling'!$D:$D,'Attrition Modeling'!$B:$B,'IP Attrition'!$D8,'Attrition Modeling'!$C:$C,'IP Attrition'!BG$1),VLOOKUP($F8+BG$2,$A$6:$C$106,2,FALSE)*VLOOKUP(BG$1,'Attrition Modeling'!$L$15:$N$27,IF(BG$2+$F8&lt;=24,2,3),FALSE)),$C$3)*(1+Projection!BI$16)*(1+IF(BG140&gt;0,'Attrition Modeling'!$N$9,0)))</f>
        <v>0</v>
      </c>
      <c r="BH8" s="799">
        <f>(BG8+BH140)*(1-IFERROR(IF(BH$2+$F8&lt;=12,SUMIFS('Attrition Modeling'!$D:$D,'Attrition Modeling'!$B:$B,'IP Attrition'!$D8,'Attrition Modeling'!$C:$C,'IP Attrition'!BH$1),VLOOKUP($F8+BH$2,$A$6:$C$106,2,FALSE)*VLOOKUP(BH$1,'Attrition Modeling'!$L$15:$N$27,IF(BH$2+$F8&lt;=24,2,3),FALSE)),$C$3)*(1+Projection!BJ$16)*(1+IF(BH140&gt;0,'Attrition Modeling'!$N$9,0)))</f>
        <v>0</v>
      </c>
      <c r="BI8" s="799">
        <f>(BH8+BI140)*(1-IFERROR(IF(BI$2+$F8&lt;=12,SUMIFS('Attrition Modeling'!$D:$D,'Attrition Modeling'!$B:$B,'IP Attrition'!$D8,'Attrition Modeling'!$C:$C,'IP Attrition'!BI$1),VLOOKUP($F8+BI$2,$A$6:$C$106,2,FALSE)*VLOOKUP(BI$1,'Attrition Modeling'!$L$15:$N$27,IF(BI$2+$F8&lt;=24,2,3),FALSE)),$C$3)*(1+Projection!BK$16)*(1+IF(BI140&gt;0,'Attrition Modeling'!$N$9,0)))</f>
        <v>0</v>
      </c>
      <c r="BJ8" s="799">
        <f>(BI8+BJ140)*(1-IFERROR(IF(BJ$2+$F8&lt;=12,SUMIFS('Attrition Modeling'!$D:$D,'Attrition Modeling'!$B:$B,'IP Attrition'!$D8,'Attrition Modeling'!$C:$C,'IP Attrition'!BJ$1),VLOOKUP($F8+BJ$2,$A$6:$C$106,2,FALSE)*VLOOKUP(BJ$1,'Attrition Modeling'!$L$15:$N$27,IF(BJ$2+$F8&lt;=24,2,3),FALSE)),$C$3)*(1+Projection!BL$16)*(1+IF(BJ140&gt;0,'Attrition Modeling'!$N$9,0)))</f>
        <v>0</v>
      </c>
      <c r="BK8" s="799">
        <f>(BJ8+BK140)*(1-IFERROR(IF(BK$2+$F8&lt;=12,SUMIFS('Attrition Modeling'!$D:$D,'Attrition Modeling'!$B:$B,'IP Attrition'!$D8,'Attrition Modeling'!$C:$C,'IP Attrition'!BK$1),VLOOKUP($F8+BK$2,$A$6:$C$106,2,FALSE)*VLOOKUP(BK$1,'Attrition Modeling'!$L$15:$N$27,IF(BK$2+$F8&lt;=24,2,3),FALSE)),$C$3)*(1+Projection!BM$16)*(1+IF(BK140&gt;0,'Attrition Modeling'!$N$9,0)))</f>
        <v>0</v>
      </c>
      <c r="BL8" s="799">
        <f>(BK8+BL140)*(1-IFERROR(IF(BL$2+$F8&lt;=12,SUMIFS('Attrition Modeling'!$D:$D,'Attrition Modeling'!$B:$B,'IP Attrition'!$D8,'Attrition Modeling'!$C:$C,'IP Attrition'!BL$1),VLOOKUP($F8+BL$2,$A$6:$C$106,2,FALSE)*VLOOKUP(BL$1,'Attrition Modeling'!$L$15:$N$27,IF(BL$2+$F8&lt;=24,2,3),FALSE)),$C$3)*(1+Projection!BN$16)*(1+IF(BL140&gt;0,'Attrition Modeling'!$N$9,0)))</f>
        <v>0</v>
      </c>
      <c r="BM8" s="799">
        <f>(BL8+BM140)*(1-IFERROR(IF(BM$2+$F8&lt;=12,SUMIFS('Attrition Modeling'!$D:$D,'Attrition Modeling'!$B:$B,'IP Attrition'!$D8,'Attrition Modeling'!$C:$C,'IP Attrition'!BM$1),VLOOKUP($F8+BM$2,$A$6:$C$106,2,FALSE)*VLOOKUP(BM$1,'Attrition Modeling'!$L$15:$N$27,IF(BM$2+$F8&lt;=24,2,3),FALSE)),$C$3)*(1+Projection!BO$16)*(1+IF(BM140&gt;0,'Attrition Modeling'!$N$9,0)))</f>
        <v>0</v>
      </c>
      <c r="BN8" s="799">
        <f>(BM8+BN140)*(1-IFERROR(IF(BN$2+$F8&lt;=12,SUMIFS('Attrition Modeling'!$D:$D,'Attrition Modeling'!$B:$B,'IP Attrition'!$D8,'Attrition Modeling'!$C:$C,'IP Attrition'!BN$1),VLOOKUP($F8+BN$2,$A$6:$C$106,2,FALSE)*VLOOKUP(BN$1,'Attrition Modeling'!$L$15:$N$27,IF(BN$2+$F8&lt;=24,2,3),FALSE)),$C$3)*(1+Projection!BP$16)*(1+IF(BN140&gt;0,'Attrition Modeling'!$N$9,0)))</f>
        <v>0</v>
      </c>
      <c r="BO8" s="799">
        <f>(BN8+BO140)*(1-IFERROR(IF(BO$2+$F8&lt;=12,SUMIFS('Attrition Modeling'!$D:$D,'Attrition Modeling'!$B:$B,'IP Attrition'!$D8,'Attrition Modeling'!$C:$C,'IP Attrition'!BO$1),VLOOKUP($F8+BO$2,$A$6:$C$106,2,FALSE)*VLOOKUP(BO$1,'Attrition Modeling'!$L$15:$N$27,IF(BO$2+$F8&lt;=24,2,3),FALSE)),$C$3)*(1+Projection!BV$16)*(1+IF(BO140&gt;0,'Attrition Modeling'!$N$9,0)))</f>
        <v>0</v>
      </c>
      <c r="BP8" s="799">
        <f>(BO8+BP140)*(1-IFERROR(IF(BP$2+$F8&lt;=12,SUMIFS('Attrition Modeling'!$D:$D,'Attrition Modeling'!$B:$B,'IP Attrition'!$D8,'Attrition Modeling'!$C:$C,'IP Attrition'!BP$1),VLOOKUP($F8+BP$2,$A$6:$C$106,2,FALSE)*VLOOKUP(BP$1,'Attrition Modeling'!$L$15:$N$27,IF(BP$2+$F8&lt;=24,2,3),FALSE)),$C$3)*(1+Projection!BW$16)*(1+IF(BP140&gt;0,'Attrition Modeling'!$N$9,0)))</f>
        <v>0</v>
      </c>
      <c r="BQ8" s="799">
        <f>(BP8+BQ140)*(1-IFERROR(IF(BQ$2+$F8&lt;=12,SUMIFS('Attrition Modeling'!$D:$D,'Attrition Modeling'!$B:$B,'IP Attrition'!$D8,'Attrition Modeling'!$C:$C,'IP Attrition'!BQ$1),VLOOKUP($F8+BQ$2,$A$6:$C$106,2,FALSE)*VLOOKUP(BQ$1,'Attrition Modeling'!$L$15:$N$27,IF(BQ$2+$F8&lt;=24,2,3),FALSE)),$C$3)*(1+Projection!BX$16)*(1+IF(BQ140&gt;0,'Attrition Modeling'!$N$9,0)))</f>
        <v>0</v>
      </c>
      <c r="BR8" s="799">
        <f>(BQ8+BR140)*(1-IFERROR(IF(BR$2+$F8&lt;=12,SUMIFS('Attrition Modeling'!$D:$D,'Attrition Modeling'!$B:$B,'IP Attrition'!$D8,'Attrition Modeling'!$C:$C,'IP Attrition'!BR$1),VLOOKUP($F8+BR$2,$A$6:$C$106,2,FALSE)*VLOOKUP(BR$1,'Attrition Modeling'!$L$15:$N$27,IF(BR$2+$F8&lt;=24,2,3),FALSE)),$C$3)*(1+Projection!BY$16)*(1+IF(BR140&gt;0,'Attrition Modeling'!$N$9,0)))</f>
        <v>0</v>
      </c>
      <c r="BS8" s="799">
        <f>(BR8+BS140)*(1-IFERROR(IF(BS$2+$F8&lt;=12,SUMIFS('Attrition Modeling'!$D:$D,'Attrition Modeling'!$B:$B,'IP Attrition'!$D8,'Attrition Modeling'!$C:$C,'IP Attrition'!BS$1),VLOOKUP($F8+BS$2,$A$6:$C$106,2,FALSE)*VLOOKUP(BS$1,'Attrition Modeling'!$L$15:$N$27,IF(BS$2+$F8&lt;=24,2,3),FALSE)),$C$3)*(1+Projection!BZ$16)*(1+IF(BS140&gt;0,'Attrition Modeling'!$N$9,0)))</f>
        <v>0</v>
      </c>
      <c r="BT8" s="799" t="e">
        <f>(BS8+BT140)*(1-IFERROR(IF(BT$2+$F8&lt;=12,SUMIFS('Attrition Modeling'!$D:$D,'Attrition Modeling'!$B:$B,'IP Attrition'!$D8,'Attrition Modeling'!$C:$C,'IP Attrition'!BT$1),VLOOKUP($F8+BT$2,$A$6:$C$106,2,FALSE)*VLOOKUP(BT$1,'Attrition Modeling'!$L$15:$N$27,IF(BT$2+$F8&lt;=24,2,3),FALSE)),$C$3)*(1+Projection!CA$16)*(1+IF(BT140&gt;0,'Attrition Modeling'!$N$9,0)))</f>
        <v>#REF!</v>
      </c>
      <c r="BU8" s="799" t="e">
        <f>(BT8+BU140)*(1-IFERROR(IF(BU$2+$F8&lt;=12,SUMIFS('Attrition Modeling'!$D:$D,'Attrition Modeling'!$B:$B,'IP Attrition'!$D8,'Attrition Modeling'!$C:$C,'IP Attrition'!BU$1),VLOOKUP($F8+BU$2,$A$6:$C$106,2,FALSE)*VLOOKUP(BU$1,'Attrition Modeling'!$L$15:$N$27,IF(BU$2+$F8&lt;=24,2,3),FALSE)),$C$3)*(1+Projection!CB$16)*(1+IF(BU140&gt;0,'Attrition Modeling'!$N$9,0)))</f>
        <v>#REF!</v>
      </c>
    </row>
    <row r="9" spans="1:73" ht="14.25" customHeight="1" x14ac:dyDescent="0.2">
      <c r="A9" s="9">
        <v>2</v>
      </c>
      <c r="B9" s="25" t="e">
        <f>MAX('Attrition Modeling'!H6,$C$3)*(1-Summary!$C$20)</f>
        <v>#DIV/0!</v>
      </c>
      <c r="C9" s="24" t="e">
        <f t="shared" si="3"/>
        <v>#DIV/0!</v>
      </c>
      <c r="D9" s="11">
        <f t="shared" si="1"/>
        <v>-6</v>
      </c>
      <c r="E9" s="807">
        <f t="array" ref="E9">INDEX('Attrition Modeling'!$X$2:$AF$63,MATCH($F9,'Attrition Modeling'!$X$2:$X$63,0),MATCH(Inputs!$C$10,'Attrition Modeling'!$X$2:$AF$2,0))</f>
        <v>5.9587919617418876E-2</v>
      </c>
      <c r="F9" s="11">
        <f t="shared" si="2"/>
        <v>6</v>
      </c>
      <c r="G9" s="799">
        <f>Summary!$C$25*$E9</f>
        <v>0</v>
      </c>
      <c r="H9" s="808">
        <f>(G9+H141)*(1-IFERROR(IF(H$2+$F9&lt;=12,SUMIFS('Attrition Modeling'!$D:$D,'Attrition Modeling'!$B:$B,'IP Attrition'!$D9,'Attrition Modeling'!$C:$C,'IP Attrition'!H$1),VLOOKUP($F9+H$2,$A$6:$C$106,2,FALSE)*VLOOKUP(H$1,'Attrition Modeling'!$L$15:$N$27,IF(H$2+$F9&lt;=24,2,3),FALSE)),$C$3)*(1+Projection!J$16)*(1+IF(H141&gt;0,'Attrition Modeling'!$N$9,0)))</f>
        <v>0</v>
      </c>
      <c r="I9" s="808">
        <f>(H9+I141)*(1-IFERROR(IF(I$2+$F9&lt;=12,SUMIFS('Attrition Modeling'!$D:$D,'Attrition Modeling'!$B:$B,'IP Attrition'!$D9,'Attrition Modeling'!$C:$C,'IP Attrition'!I$1),VLOOKUP($F9+I$2,$A$6:$C$106,2,FALSE)*VLOOKUP(I$1,'Attrition Modeling'!$L$15:$N$27,IF(I$2+$F9&lt;=24,2,3),FALSE)),$C$3)*(1+Projection!K$16)*(1+IF(I141&gt;0,'Attrition Modeling'!$N$9,0)))</f>
        <v>0</v>
      </c>
      <c r="J9" s="808">
        <f>(I9+J141)*(1-IFERROR(IF(J$2+$F9&lt;=12,SUMIFS('Attrition Modeling'!$D:$D,'Attrition Modeling'!$B:$B,'IP Attrition'!$D9,'Attrition Modeling'!$C:$C,'IP Attrition'!J$1),VLOOKUP($F9+J$2,$A$6:$C$106,2,FALSE)*VLOOKUP(J$1,'Attrition Modeling'!$L$15:$N$27,IF(J$2+$F9&lt;=24,2,3),FALSE)),$C$3)*(1+Projection!L$16)*(1+IF(J141&gt;0,'Attrition Modeling'!$N$9,0)))</f>
        <v>0</v>
      </c>
      <c r="K9" s="808">
        <f>(J9+K141)*(1-IFERROR(IF(K$2+$F9&lt;=12,SUMIFS('Attrition Modeling'!$D:$D,'Attrition Modeling'!$B:$B,'IP Attrition'!$D9,'Attrition Modeling'!$C:$C,'IP Attrition'!K$1),VLOOKUP($F9+K$2,$A$6:$C$106,2,FALSE)*VLOOKUP(K$1,'Attrition Modeling'!$L$15:$N$27,IF(K$2+$F9&lt;=24,2,3),FALSE)),$C$3)*(1+Projection!M$16)*(1+IF(K141&gt;0,'Attrition Modeling'!$N$9,0)))</f>
        <v>0</v>
      </c>
      <c r="L9" s="808">
        <f>(K9+L141)*(1-IFERROR(IF(L$2+$F9&lt;=12,SUMIFS('Attrition Modeling'!$D:$D,'Attrition Modeling'!$B:$B,'IP Attrition'!$D9,'Attrition Modeling'!$C:$C,'IP Attrition'!L$1),VLOOKUP($F9+L$2,$A$6:$C$106,2,FALSE)*VLOOKUP(L$1,'Attrition Modeling'!$L$15:$N$27,IF(L$2+$F9&lt;=24,2,3),FALSE)),$C$3)*(1+Projection!N$16)*(1+IF(L141&gt;0,'Attrition Modeling'!$N$9,0)))</f>
        <v>0</v>
      </c>
      <c r="M9" s="808">
        <f>(L9+M141)*(1-IFERROR(IF(M$2+$F9&lt;=12,SUMIFS('Attrition Modeling'!$D:$D,'Attrition Modeling'!$B:$B,'IP Attrition'!$D9,'Attrition Modeling'!$C:$C,'IP Attrition'!M$1),VLOOKUP($F9+M$2,$A$6:$C$106,2,FALSE)*VLOOKUP(M$1,'Attrition Modeling'!$L$15:$N$27,IF(M$2+$F9&lt;=24,2,3),FALSE)),$C$3)*(1+Projection!O$16)*(1+IF(M141&gt;0,'Attrition Modeling'!$N$9,0)))</f>
        <v>0</v>
      </c>
      <c r="N9" s="799">
        <f>(M9+N141)*(1-IFERROR(IF(N$2+$F9&lt;=12,SUMIFS('Attrition Modeling'!$D:$D,'Attrition Modeling'!$B:$B,'IP Attrition'!$D9,'Attrition Modeling'!$C:$C,'IP Attrition'!N$1),VLOOKUP($F9+N$2,$A$6:$C$106,2,FALSE)*VLOOKUP(N$1,'Attrition Modeling'!$L$15:$N$27,IF(N$2+$F9&lt;=24,2,3),FALSE)),$C$3)*(1+Projection!P$16)*(1+IF(N141&gt;0,'Attrition Modeling'!$N$9,0)))</f>
        <v>0</v>
      </c>
      <c r="O9" s="799">
        <f>(N9+O141)*(1-IFERROR(IF(O$2+$F9&lt;=12,SUMIFS('Attrition Modeling'!$D:$D,'Attrition Modeling'!$B:$B,'IP Attrition'!$D9,'Attrition Modeling'!$C:$C,'IP Attrition'!O$1),VLOOKUP($F9+O$2,$A$6:$C$106,2,FALSE)*VLOOKUP(O$1,'Attrition Modeling'!$L$15:$N$27,IF(O$2+$F9&lt;=24,2,3),FALSE)),$C$3)*(1+Projection!Q$16)*(1+IF(O141&gt;0,'Attrition Modeling'!$N$9,0)))</f>
        <v>0</v>
      </c>
      <c r="P9" s="799">
        <f>(O9+P141)*(1-IFERROR(IF(P$2+$F9&lt;=12,SUMIFS('Attrition Modeling'!$D:$D,'Attrition Modeling'!$B:$B,'IP Attrition'!$D9,'Attrition Modeling'!$C:$C,'IP Attrition'!P$1),VLOOKUP($F9+P$2,$A$6:$C$106,2,FALSE)*VLOOKUP(P$1,'Attrition Modeling'!$L$15:$N$27,IF(P$2+$F9&lt;=24,2,3),FALSE)),$C$3)*(1+Projection!R$16)*(1+IF(P141&gt;0,'Attrition Modeling'!$N$9,0)))</f>
        <v>0</v>
      </c>
      <c r="Q9" s="799">
        <f>(P9+Q141)*(1-IFERROR(IF(Q$2+$F9&lt;=12,SUMIFS('Attrition Modeling'!$D:$D,'Attrition Modeling'!$B:$B,'IP Attrition'!$D9,'Attrition Modeling'!$C:$C,'IP Attrition'!Q$1),VLOOKUP($F9+Q$2,$A$6:$C$106,2,FALSE)*VLOOKUP(Q$1,'Attrition Modeling'!$L$15:$N$27,IF(Q$2+$F9&lt;=24,2,3),FALSE)),$C$3)*(1+Projection!S$16)*(1+IF(Q141&gt;0,'Attrition Modeling'!$N$9,0)))</f>
        <v>0</v>
      </c>
      <c r="R9" s="799">
        <f>(Q9+R141)*(1-IFERROR(IF(R$2+$F9&lt;=12,SUMIFS('Attrition Modeling'!$D:$D,'Attrition Modeling'!$B:$B,'IP Attrition'!$D9,'Attrition Modeling'!$C:$C,'IP Attrition'!R$1),VLOOKUP($F9+R$2,$A$6:$C$106,2,FALSE)*VLOOKUP(R$1,'Attrition Modeling'!$L$15:$N$27,IF(R$2+$F9&lt;=24,2,3),FALSE)),$C$3)*(1+Projection!T$16)*(1+IF(R141&gt;0,'Attrition Modeling'!$N$9,0)))</f>
        <v>0</v>
      </c>
      <c r="S9" s="799">
        <f>(R9+S141)*(1-IFERROR(IF(S$2+$F9&lt;=12,SUMIFS('Attrition Modeling'!$D:$D,'Attrition Modeling'!$B:$B,'IP Attrition'!$D9,'Attrition Modeling'!$C:$C,'IP Attrition'!S$1),VLOOKUP($F9+S$2,$A$6:$C$106,2,FALSE)*VLOOKUP(S$1,'Attrition Modeling'!$L$15:$N$27,IF(S$2+$F9&lt;=24,2,3),FALSE)),$C$3)*(1+Projection!U$16)*(1+IF(S141&gt;0,'Attrition Modeling'!$N$9,0)))</f>
        <v>0</v>
      </c>
      <c r="T9" s="799">
        <f>(S9+T141)*(1-IFERROR(IF(T$2+$F9&lt;=12,SUMIFS('Attrition Modeling'!$D:$D,'Attrition Modeling'!$B:$B,'IP Attrition'!$D9,'Attrition Modeling'!$C:$C,'IP Attrition'!T$1),VLOOKUP($F9+T$2,$A$6:$C$106,2,FALSE)*VLOOKUP(T$1,'Attrition Modeling'!$L$15:$N$27,IF(T$2+$F9&lt;=24,2,3),FALSE)),$C$3)*(1+Projection!V$16)*(1+IF(T141&gt;0,'Attrition Modeling'!$N$9,0)))</f>
        <v>0</v>
      </c>
      <c r="U9" s="799">
        <f>(T9+U141)*(1-IFERROR(IF(U$2+$F9&lt;=12,SUMIFS('Attrition Modeling'!$D:$D,'Attrition Modeling'!$B:$B,'IP Attrition'!$D9,'Attrition Modeling'!$C:$C,'IP Attrition'!U$1),VLOOKUP($F9+U$2,$A$6:$C$106,2,FALSE)*VLOOKUP(U$1,'Attrition Modeling'!$L$15:$N$27,IF(U$2+$F9&lt;=24,2,3),FALSE)),$C$3)*(1+Projection!W$16)*(1+IF(U141&gt;0,'Attrition Modeling'!$N$9,0)))</f>
        <v>0</v>
      </c>
      <c r="V9" s="799">
        <f>(U9+V141)*(1-IFERROR(IF(V$2+$F9&lt;=12,SUMIFS('Attrition Modeling'!$D:$D,'Attrition Modeling'!$B:$B,'IP Attrition'!$D9,'Attrition Modeling'!$C:$C,'IP Attrition'!V$1),VLOOKUP($F9+V$2,$A$6:$C$106,2,FALSE)*VLOOKUP(V$1,'Attrition Modeling'!$L$15:$N$27,IF(V$2+$F9&lt;=24,2,3),FALSE)),$C$3)*(1+Projection!X$16)*(1+IF(V141&gt;0,'Attrition Modeling'!$N$9,0)))</f>
        <v>0</v>
      </c>
      <c r="W9" s="799">
        <f>(V9+W141)*(1-IFERROR(IF(W$2+$F9&lt;=12,SUMIFS('Attrition Modeling'!$D:$D,'Attrition Modeling'!$B:$B,'IP Attrition'!$D9,'Attrition Modeling'!$C:$C,'IP Attrition'!W$1),VLOOKUP($F9+W$2,$A$6:$C$106,2,FALSE)*VLOOKUP(W$1,'Attrition Modeling'!$L$15:$N$27,IF(W$2+$F9&lt;=24,2,3),FALSE)),$C$3)*(1+Projection!Y$16)*(1+IF(W141&gt;0,'Attrition Modeling'!$N$9,0)))</f>
        <v>0</v>
      </c>
      <c r="X9" s="799">
        <f>(W9+X141)*(1-IFERROR(IF(X$2+$F9&lt;=12,SUMIFS('Attrition Modeling'!$D:$D,'Attrition Modeling'!$B:$B,'IP Attrition'!$D9,'Attrition Modeling'!$C:$C,'IP Attrition'!X$1),VLOOKUP($F9+X$2,$A$6:$C$106,2,FALSE)*VLOOKUP(X$1,'Attrition Modeling'!$L$15:$N$27,IF(X$2+$F9&lt;=24,2,3),FALSE)),$C$3)*(1+Projection!Z$16)*(1+IF(X141&gt;0,'Attrition Modeling'!$N$9,0)))</f>
        <v>0</v>
      </c>
      <c r="Y9" s="799">
        <f>(X9+Y141)*(1-IFERROR(IF(Y$2+$F9&lt;=12,SUMIFS('Attrition Modeling'!$D:$D,'Attrition Modeling'!$B:$B,'IP Attrition'!$D9,'Attrition Modeling'!$C:$C,'IP Attrition'!Y$1),VLOOKUP($F9+Y$2,$A$6:$C$106,2,FALSE)*VLOOKUP(Y$1,'Attrition Modeling'!$L$15:$N$27,IF(Y$2+$F9&lt;=24,2,3),FALSE)),$C$3)*(1+Projection!AA$16)*(1+IF(Y141&gt;0,'Attrition Modeling'!$N$9,0)))</f>
        <v>0</v>
      </c>
      <c r="Z9" s="799">
        <f>(Y9+Z141)*(1-IFERROR(IF(Z$2+$F9&lt;=12,SUMIFS('Attrition Modeling'!$D:$D,'Attrition Modeling'!$B:$B,'IP Attrition'!$D9,'Attrition Modeling'!$C:$C,'IP Attrition'!Z$1),VLOOKUP($F9+Z$2,$A$6:$C$106,2,FALSE)*VLOOKUP(Z$1,'Attrition Modeling'!$L$15:$N$27,IF(Z$2+$F9&lt;=24,2,3),FALSE)),$C$3)*(1+Projection!AB$16)*(1+IF(Z141&gt;0,'Attrition Modeling'!$N$9,0)))</f>
        <v>0</v>
      </c>
      <c r="AA9" s="799">
        <f>(Z9+AA141)*(1-IFERROR(IF(AA$2+$F9&lt;=12,SUMIFS('Attrition Modeling'!$D:$D,'Attrition Modeling'!$B:$B,'IP Attrition'!$D9,'Attrition Modeling'!$C:$C,'IP Attrition'!AA$1),VLOOKUP($F9+AA$2,$A$6:$C$106,2,FALSE)*VLOOKUP(AA$1,'Attrition Modeling'!$L$15:$N$27,IF(AA$2+$F9&lt;=24,2,3),FALSE)),$C$3)*(1+Projection!AC$16)*(1+IF(AA141&gt;0,'Attrition Modeling'!$N$9,0)))</f>
        <v>0</v>
      </c>
      <c r="AB9" s="799">
        <f>(AA9+AB141)*(1-IFERROR(IF(AB$2+$F9&lt;=12,SUMIFS('Attrition Modeling'!$D:$D,'Attrition Modeling'!$B:$B,'IP Attrition'!$D9,'Attrition Modeling'!$C:$C,'IP Attrition'!AB$1),VLOOKUP($F9+AB$2,$A$6:$C$106,2,FALSE)*VLOOKUP(AB$1,'Attrition Modeling'!$L$15:$N$27,IF(AB$2+$F9&lt;=24,2,3),FALSE)),$C$3)*(1+Projection!AD$16)*(1+IF(AB141&gt;0,'Attrition Modeling'!$N$9,0)))</f>
        <v>0</v>
      </c>
      <c r="AC9" s="799">
        <f>(AB9+AC141)*(1-IFERROR(IF(AC$2+$F9&lt;=12,SUMIFS('Attrition Modeling'!$D:$D,'Attrition Modeling'!$B:$B,'IP Attrition'!$D9,'Attrition Modeling'!$C:$C,'IP Attrition'!AC$1),VLOOKUP($F9+AC$2,$A$6:$C$106,2,FALSE)*VLOOKUP(AC$1,'Attrition Modeling'!$L$15:$N$27,IF(AC$2+$F9&lt;=24,2,3),FALSE)),$C$3)*(1+Projection!AE$16)*(1+IF(AC141&gt;0,'Attrition Modeling'!$N$9,0)))</f>
        <v>0</v>
      </c>
      <c r="AD9" s="799">
        <f>(AC9+AD141)*(1-IFERROR(IF(AD$2+$F9&lt;=12,SUMIFS('Attrition Modeling'!$D:$D,'Attrition Modeling'!$B:$B,'IP Attrition'!$D9,'Attrition Modeling'!$C:$C,'IP Attrition'!AD$1),VLOOKUP($F9+AD$2,$A$6:$C$106,2,FALSE)*VLOOKUP(AD$1,'Attrition Modeling'!$L$15:$N$27,IF(AD$2+$F9&lt;=24,2,3),FALSE)),$C$3)*(1+Projection!AF$16)*(1+IF(AD141&gt;0,'Attrition Modeling'!$N$9,0)))</f>
        <v>0</v>
      </c>
      <c r="AE9" s="799">
        <f>(AD9+AE141)*(1-IFERROR(IF(AE$2+$F9&lt;=12,SUMIFS('Attrition Modeling'!$D:$D,'Attrition Modeling'!$B:$B,'IP Attrition'!$D9,'Attrition Modeling'!$C:$C,'IP Attrition'!AE$1),VLOOKUP($F9+AE$2,$A$6:$C$106,2,FALSE)*VLOOKUP(AE$1,'Attrition Modeling'!$L$15:$N$27,IF(AE$2+$F9&lt;=24,2,3),FALSE)),$C$3)*(1+Projection!AG$16)*(1+IF(AE141&gt;0,'Attrition Modeling'!$N$9,0)))</f>
        <v>0</v>
      </c>
      <c r="AF9" s="799">
        <f>(AE9+AF141)*(1-IFERROR(IF(AF$2+$F9&lt;=12,SUMIFS('Attrition Modeling'!$D:$D,'Attrition Modeling'!$B:$B,'IP Attrition'!$D9,'Attrition Modeling'!$C:$C,'IP Attrition'!AF$1),VLOOKUP($F9+AF$2,$A$6:$C$106,2,FALSE)*VLOOKUP(AF$1,'Attrition Modeling'!$L$15:$N$27,IF(AF$2+$F9&lt;=24,2,3),FALSE)),$C$3)*(1+Projection!AH$16)*(1+IF(AF141&gt;0,'Attrition Modeling'!$N$9,0)))</f>
        <v>0</v>
      </c>
      <c r="AG9" s="799">
        <f>(AF9+AG141)*(1-IFERROR(IF(AG$2+$F9&lt;=12,SUMIFS('Attrition Modeling'!$D:$D,'Attrition Modeling'!$B:$B,'IP Attrition'!$D9,'Attrition Modeling'!$C:$C,'IP Attrition'!AG$1),VLOOKUP($F9+AG$2,$A$6:$C$106,2,FALSE)*VLOOKUP(AG$1,'Attrition Modeling'!$L$15:$N$27,IF(AG$2+$F9&lt;=24,2,3),FALSE)),$C$3)*(1+Projection!AI$16)*(1+IF(AG141&gt;0,'Attrition Modeling'!$N$9,0)))</f>
        <v>0</v>
      </c>
      <c r="AH9" s="799">
        <f>(AG9+AH141)*(1-IFERROR(IF(AH$2+$F9&lt;=12,SUMIFS('Attrition Modeling'!$D:$D,'Attrition Modeling'!$B:$B,'IP Attrition'!$D9,'Attrition Modeling'!$C:$C,'IP Attrition'!AH$1),VLOOKUP($F9+AH$2,$A$6:$C$106,2,FALSE)*VLOOKUP(AH$1,'Attrition Modeling'!$L$15:$N$27,IF(AH$2+$F9&lt;=24,2,3),FALSE)),$C$3)*(1+Projection!AJ$16)*(1+IF(AH141&gt;0,'Attrition Modeling'!$N$9,0)))</f>
        <v>0</v>
      </c>
      <c r="AI9" s="799">
        <f>(AH9+AI141)*(1-IFERROR(IF(AI$2+$F9&lt;=12,SUMIFS('Attrition Modeling'!$D:$D,'Attrition Modeling'!$B:$B,'IP Attrition'!$D9,'Attrition Modeling'!$C:$C,'IP Attrition'!AI$1),VLOOKUP($F9+AI$2,$A$6:$C$106,2,FALSE)*VLOOKUP(AI$1,'Attrition Modeling'!$L$15:$N$27,IF(AI$2+$F9&lt;=24,2,3),FALSE)),$C$3)*(1+Projection!AK$16)*(1+IF(AI141&gt;0,'Attrition Modeling'!$N$9,0)))</f>
        <v>0</v>
      </c>
      <c r="AJ9" s="799">
        <f>(AI9+AJ141)*(1-IFERROR(IF(AJ$2+$F9&lt;=12,SUMIFS('Attrition Modeling'!$D:$D,'Attrition Modeling'!$B:$B,'IP Attrition'!$D9,'Attrition Modeling'!$C:$C,'IP Attrition'!AJ$1),VLOOKUP($F9+AJ$2,$A$6:$C$106,2,FALSE)*VLOOKUP(AJ$1,'Attrition Modeling'!$L$15:$N$27,IF(AJ$2+$F9&lt;=24,2,3),FALSE)),$C$3)*(1+Projection!AL$16)*(1+IF(AJ141&gt;0,'Attrition Modeling'!$N$9,0)))</f>
        <v>0</v>
      </c>
      <c r="AK9" s="799">
        <f>(AJ9+AK141)*(1-IFERROR(IF(AK$2+$F9&lt;=12,SUMIFS('Attrition Modeling'!$D:$D,'Attrition Modeling'!$B:$B,'IP Attrition'!$D9,'Attrition Modeling'!$C:$C,'IP Attrition'!AK$1),VLOOKUP($F9+AK$2,$A$6:$C$106,2,FALSE)*VLOOKUP(AK$1,'Attrition Modeling'!$L$15:$N$27,IF(AK$2+$F9&lt;=24,2,3),FALSE)),$C$3)*(1+Projection!AM$16)*(1+IF(AK141&gt;0,'Attrition Modeling'!$N$9,0)))</f>
        <v>0</v>
      </c>
      <c r="AL9" s="799">
        <f>(AK9+AL141)*(1-IFERROR(IF(AL$2+$F9&lt;=12,SUMIFS('Attrition Modeling'!$D:$D,'Attrition Modeling'!$B:$B,'IP Attrition'!$D9,'Attrition Modeling'!$C:$C,'IP Attrition'!AL$1),VLOOKUP($F9+AL$2,$A$6:$C$106,2,FALSE)*VLOOKUP(AL$1,'Attrition Modeling'!$L$15:$N$27,IF(AL$2+$F9&lt;=24,2,3),FALSE)),$C$3)*(1+Projection!AN$16)*(1+IF(AL141&gt;0,'Attrition Modeling'!$N$9,0)))</f>
        <v>0</v>
      </c>
      <c r="AM9" s="799">
        <f>(AL9+AM141)*(1-IFERROR(IF(AM$2+$F9&lt;=12,SUMIFS('Attrition Modeling'!$D:$D,'Attrition Modeling'!$B:$B,'IP Attrition'!$D9,'Attrition Modeling'!$C:$C,'IP Attrition'!AM$1),VLOOKUP($F9+AM$2,$A$6:$C$106,2,FALSE)*VLOOKUP(AM$1,'Attrition Modeling'!$L$15:$N$27,IF(AM$2+$F9&lt;=24,2,3),FALSE)),$C$3)*(1+Projection!AO$16)*(1+IF(AM141&gt;0,'Attrition Modeling'!$N$9,0)))</f>
        <v>0</v>
      </c>
      <c r="AN9" s="799">
        <f>(AM9+AN141)*(1-IFERROR(IF(AN$2+$F9&lt;=12,SUMIFS('Attrition Modeling'!$D:$D,'Attrition Modeling'!$B:$B,'IP Attrition'!$D9,'Attrition Modeling'!$C:$C,'IP Attrition'!AN$1),VLOOKUP($F9+AN$2,$A$6:$C$106,2,FALSE)*VLOOKUP(AN$1,'Attrition Modeling'!$L$15:$N$27,IF(AN$2+$F9&lt;=24,2,3),FALSE)),$C$3)*(1+Projection!AP$16)*(1+IF(AN141&gt;0,'Attrition Modeling'!$N$9,0)))</f>
        <v>0</v>
      </c>
      <c r="AO9" s="799">
        <f>(AN9+AO141)*(1-IFERROR(IF(AO$2+$F9&lt;=12,SUMIFS('Attrition Modeling'!$D:$D,'Attrition Modeling'!$B:$B,'IP Attrition'!$D9,'Attrition Modeling'!$C:$C,'IP Attrition'!AO$1),VLOOKUP($F9+AO$2,$A$6:$C$106,2,FALSE)*VLOOKUP(AO$1,'Attrition Modeling'!$L$15:$N$27,IF(AO$2+$F9&lt;=24,2,3),FALSE)),$C$3)*(1+Projection!AQ$16)*(1+IF(AO141&gt;0,'Attrition Modeling'!$N$9,0)))</f>
        <v>0</v>
      </c>
      <c r="AP9" s="799">
        <f>(AO9+AP141)*(1-IFERROR(IF(AP$2+$F9&lt;=12,SUMIFS('Attrition Modeling'!$D:$D,'Attrition Modeling'!$B:$B,'IP Attrition'!$D9,'Attrition Modeling'!$C:$C,'IP Attrition'!AP$1),VLOOKUP($F9+AP$2,$A$6:$C$106,2,FALSE)*VLOOKUP(AP$1,'Attrition Modeling'!$L$15:$N$27,IF(AP$2+$F9&lt;=24,2,3),FALSE)),$C$3)*(1+Projection!AR$16)*(1+IF(AP141&gt;0,'Attrition Modeling'!$N$9,0)))</f>
        <v>0</v>
      </c>
      <c r="AQ9" s="799">
        <f>(AP9+AQ141)*(1-IFERROR(IF(AQ$2+$F9&lt;=12,SUMIFS('Attrition Modeling'!$D:$D,'Attrition Modeling'!$B:$B,'IP Attrition'!$D9,'Attrition Modeling'!$C:$C,'IP Attrition'!AQ$1),VLOOKUP($F9+AQ$2,$A$6:$C$106,2,FALSE)*VLOOKUP(AQ$1,'Attrition Modeling'!$L$15:$N$27,IF(AQ$2+$F9&lt;=24,2,3),FALSE)),$C$3)*(1+Projection!AS$16)*(1+IF(AQ141&gt;0,'Attrition Modeling'!$N$9,0)))</f>
        <v>0</v>
      </c>
      <c r="AR9" s="799">
        <f>(AQ9+AR141)*(1-IFERROR(IF(AR$2+$F9&lt;=12,SUMIFS('Attrition Modeling'!$D:$D,'Attrition Modeling'!$B:$B,'IP Attrition'!$D9,'Attrition Modeling'!$C:$C,'IP Attrition'!AR$1),VLOOKUP($F9+AR$2,$A$6:$C$106,2,FALSE)*VLOOKUP(AR$1,'Attrition Modeling'!$L$15:$N$27,IF(AR$2+$F9&lt;=24,2,3),FALSE)),$C$3)*(1+Projection!AT$16)*(1+IF(AR141&gt;0,'Attrition Modeling'!$N$9,0)))</f>
        <v>0</v>
      </c>
      <c r="AS9" s="799">
        <f>(AR9+AS141)*(1-IFERROR(IF(AS$2+$F9&lt;=12,SUMIFS('Attrition Modeling'!$D:$D,'Attrition Modeling'!$B:$B,'IP Attrition'!$D9,'Attrition Modeling'!$C:$C,'IP Attrition'!AS$1),VLOOKUP($F9+AS$2,$A$6:$C$106,2,FALSE)*VLOOKUP(AS$1,'Attrition Modeling'!$L$15:$N$27,IF(AS$2+$F9&lt;=24,2,3),FALSE)),$C$3)*(1+Projection!AU$16)*(1+IF(AS141&gt;0,'Attrition Modeling'!$N$9,0)))</f>
        <v>0</v>
      </c>
      <c r="AT9" s="799">
        <f>(AS9+AT141)*(1-IFERROR(IF(AT$2+$F9&lt;=12,SUMIFS('Attrition Modeling'!$D:$D,'Attrition Modeling'!$B:$B,'IP Attrition'!$D9,'Attrition Modeling'!$C:$C,'IP Attrition'!AT$1),VLOOKUP($F9+AT$2,$A$6:$C$106,2,FALSE)*VLOOKUP(AT$1,'Attrition Modeling'!$L$15:$N$27,IF(AT$2+$F9&lt;=24,2,3),FALSE)),$C$3)*(1+Projection!AV$16)*(1+IF(AT141&gt;0,'Attrition Modeling'!$N$9,0)))</f>
        <v>0</v>
      </c>
      <c r="AU9" s="799">
        <f>(AT9+AU141)*(1-IFERROR(IF(AU$2+$F9&lt;=12,SUMIFS('Attrition Modeling'!$D:$D,'Attrition Modeling'!$B:$B,'IP Attrition'!$D9,'Attrition Modeling'!$C:$C,'IP Attrition'!AU$1),VLOOKUP($F9+AU$2,$A$6:$C$106,2,FALSE)*VLOOKUP(AU$1,'Attrition Modeling'!$L$15:$N$27,IF(AU$2+$F9&lt;=24,2,3),FALSE)),$C$3)*(1+Projection!AW$16)*(1+IF(AU141&gt;0,'Attrition Modeling'!$N$9,0)))</f>
        <v>0</v>
      </c>
      <c r="AV9" s="799">
        <f>(AU9+AV141)*(1-IFERROR(IF(AV$2+$F9&lt;=12,SUMIFS('Attrition Modeling'!$D:$D,'Attrition Modeling'!$B:$B,'IP Attrition'!$D9,'Attrition Modeling'!$C:$C,'IP Attrition'!AV$1),VLOOKUP($F9+AV$2,$A$6:$C$106,2,FALSE)*VLOOKUP(AV$1,'Attrition Modeling'!$L$15:$N$27,IF(AV$2+$F9&lt;=24,2,3),FALSE)),$C$3)*(1+Projection!AX$16)*(1+IF(AV141&gt;0,'Attrition Modeling'!$N$9,0)))</f>
        <v>0</v>
      </c>
      <c r="AW9" s="799">
        <f>(AV9+AW141)*(1-IFERROR(IF(AW$2+$F9&lt;=12,SUMIFS('Attrition Modeling'!$D:$D,'Attrition Modeling'!$B:$B,'IP Attrition'!$D9,'Attrition Modeling'!$C:$C,'IP Attrition'!AW$1),VLOOKUP($F9+AW$2,$A$6:$C$106,2,FALSE)*VLOOKUP(AW$1,'Attrition Modeling'!$L$15:$N$27,IF(AW$2+$F9&lt;=24,2,3),FALSE)),$C$3)*(1+Projection!AY$16)*(1+IF(AW141&gt;0,'Attrition Modeling'!$N$9,0)))</f>
        <v>0</v>
      </c>
      <c r="AX9" s="799">
        <f>(AW9+AX141)*(1-IFERROR(IF(AX$2+$F9&lt;=12,SUMIFS('Attrition Modeling'!$D:$D,'Attrition Modeling'!$B:$B,'IP Attrition'!$D9,'Attrition Modeling'!$C:$C,'IP Attrition'!AX$1),VLOOKUP($F9+AX$2,$A$6:$C$106,2,FALSE)*VLOOKUP(AX$1,'Attrition Modeling'!$L$15:$N$27,IF(AX$2+$F9&lt;=24,2,3),FALSE)),$C$3)*(1+Projection!AZ$16)*(1+IF(AX141&gt;0,'Attrition Modeling'!$N$9,0)))</f>
        <v>0</v>
      </c>
      <c r="AY9" s="799">
        <f>(AX9+AY141)*(1-IFERROR(IF(AY$2+$F9&lt;=12,SUMIFS('Attrition Modeling'!$D:$D,'Attrition Modeling'!$B:$B,'IP Attrition'!$D9,'Attrition Modeling'!$C:$C,'IP Attrition'!AY$1),VLOOKUP($F9+AY$2,$A$6:$C$106,2,FALSE)*VLOOKUP(AY$1,'Attrition Modeling'!$L$15:$N$27,IF(AY$2+$F9&lt;=24,2,3),FALSE)),$C$3)*(1+Projection!BA$16)*(1+IF(AY141&gt;0,'Attrition Modeling'!$N$9,0)))</f>
        <v>0</v>
      </c>
      <c r="AZ9" s="799">
        <f>(AY9+AZ141)*(1-IFERROR(IF(AZ$2+$F9&lt;=12,SUMIFS('Attrition Modeling'!$D:$D,'Attrition Modeling'!$B:$B,'IP Attrition'!$D9,'Attrition Modeling'!$C:$C,'IP Attrition'!AZ$1),VLOOKUP($F9+AZ$2,$A$6:$C$106,2,FALSE)*VLOOKUP(AZ$1,'Attrition Modeling'!$L$15:$N$27,IF(AZ$2+$F9&lt;=24,2,3),FALSE)),$C$3)*(1+Projection!BB$16)*(1+IF(AZ141&gt;0,'Attrition Modeling'!$N$9,0)))</f>
        <v>0</v>
      </c>
      <c r="BA9" s="799">
        <f>(AZ9+BA141)*(1-IFERROR(IF(BA$2+$F9&lt;=12,SUMIFS('Attrition Modeling'!$D:$D,'Attrition Modeling'!$B:$B,'IP Attrition'!$D9,'Attrition Modeling'!$C:$C,'IP Attrition'!BA$1),VLOOKUP($F9+BA$2,$A$6:$C$106,2,FALSE)*VLOOKUP(BA$1,'Attrition Modeling'!$L$15:$N$27,IF(BA$2+$F9&lt;=24,2,3),FALSE)),$C$3)*(1+Projection!BC$16)*(1+IF(BA141&gt;0,'Attrition Modeling'!$N$9,0)))</f>
        <v>0</v>
      </c>
      <c r="BB9" s="799">
        <f>(BA9+BB141)*(1-IFERROR(IF(BB$2+$F9&lt;=12,SUMIFS('Attrition Modeling'!$D:$D,'Attrition Modeling'!$B:$B,'IP Attrition'!$D9,'Attrition Modeling'!$C:$C,'IP Attrition'!BB$1),VLOOKUP($F9+BB$2,$A$6:$C$106,2,FALSE)*VLOOKUP(BB$1,'Attrition Modeling'!$L$15:$N$27,IF(BB$2+$F9&lt;=24,2,3),FALSE)),$C$3)*(1+Projection!BD$16)*(1+IF(BB141&gt;0,'Attrition Modeling'!$N$9,0)))</f>
        <v>0</v>
      </c>
      <c r="BC9" s="799">
        <f>(BB9+BC141)*(1-IFERROR(IF(BC$2+$F9&lt;=12,SUMIFS('Attrition Modeling'!$D:$D,'Attrition Modeling'!$B:$B,'IP Attrition'!$D9,'Attrition Modeling'!$C:$C,'IP Attrition'!BC$1),VLOOKUP($F9+BC$2,$A$6:$C$106,2,FALSE)*VLOOKUP(BC$1,'Attrition Modeling'!$L$15:$N$27,IF(BC$2+$F9&lt;=24,2,3),FALSE)),$C$3)*(1+Projection!BE$16)*(1+IF(BC141&gt;0,'Attrition Modeling'!$N$9,0)))</f>
        <v>0</v>
      </c>
      <c r="BD9" s="799">
        <f>(BC9+BD141)*(1-IFERROR(IF(BD$2+$F9&lt;=12,SUMIFS('Attrition Modeling'!$D:$D,'Attrition Modeling'!$B:$B,'IP Attrition'!$D9,'Attrition Modeling'!$C:$C,'IP Attrition'!BD$1),VLOOKUP($F9+BD$2,$A$6:$C$106,2,FALSE)*VLOOKUP(BD$1,'Attrition Modeling'!$L$15:$N$27,IF(BD$2+$F9&lt;=24,2,3),FALSE)),$C$3)*(1+Projection!BF$16)*(1+IF(BD141&gt;0,'Attrition Modeling'!$N$9,0)))</f>
        <v>0</v>
      </c>
      <c r="BE9" s="799">
        <f>(BD9+BE141)*(1-IFERROR(IF(BE$2+$F9&lt;=12,SUMIFS('Attrition Modeling'!$D:$D,'Attrition Modeling'!$B:$B,'IP Attrition'!$D9,'Attrition Modeling'!$C:$C,'IP Attrition'!BE$1),VLOOKUP($F9+BE$2,$A$6:$C$106,2,FALSE)*VLOOKUP(BE$1,'Attrition Modeling'!$L$15:$N$27,IF(BE$2+$F9&lt;=24,2,3),FALSE)),$C$3)*(1+Projection!BG$16)*(1+IF(BE141&gt;0,'Attrition Modeling'!$N$9,0)))</f>
        <v>0</v>
      </c>
      <c r="BF9" s="799">
        <f>(BE9+BF141)*(1-IFERROR(IF(BF$2+$F9&lt;=12,SUMIFS('Attrition Modeling'!$D:$D,'Attrition Modeling'!$B:$B,'IP Attrition'!$D9,'Attrition Modeling'!$C:$C,'IP Attrition'!BF$1),VLOOKUP($F9+BF$2,$A$6:$C$106,2,FALSE)*VLOOKUP(BF$1,'Attrition Modeling'!$L$15:$N$27,IF(BF$2+$F9&lt;=24,2,3),FALSE)),$C$3)*(1+Projection!BH$16)*(1+IF(BF141&gt;0,'Attrition Modeling'!$N$9,0)))</f>
        <v>0</v>
      </c>
      <c r="BG9" s="799">
        <f>(BF9+BG141)*(1-IFERROR(IF(BG$2+$F9&lt;=12,SUMIFS('Attrition Modeling'!$D:$D,'Attrition Modeling'!$B:$B,'IP Attrition'!$D9,'Attrition Modeling'!$C:$C,'IP Attrition'!BG$1),VLOOKUP($F9+BG$2,$A$6:$C$106,2,FALSE)*VLOOKUP(BG$1,'Attrition Modeling'!$L$15:$N$27,IF(BG$2+$F9&lt;=24,2,3),FALSE)),$C$3)*(1+Projection!BI$16)*(1+IF(BG141&gt;0,'Attrition Modeling'!$N$9,0)))</f>
        <v>0</v>
      </c>
      <c r="BH9" s="799">
        <f>(BG9+BH141)*(1-IFERROR(IF(BH$2+$F9&lt;=12,SUMIFS('Attrition Modeling'!$D:$D,'Attrition Modeling'!$B:$B,'IP Attrition'!$D9,'Attrition Modeling'!$C:$C,'IP Attrition'!BH$1),VLOOKUP($F9+BH$2,$A$6:$C$106,2,FALSE)*VLOOKUP(BH$1,'Attrition Modeling'!$L$15:$N$27,IF(BH$2+$F9&lt;=24,2,3),FALSE)),$C$3)*(1+Projection!BJ$16)*(1+IF(BH141&gt;0,'Attrition Modeling'!$N$9,0)))</f>
        <v>0</v>
      </c>
      <c r="BI9" s="799">
        <f>(BH9+BI141)*(1-IFERROR(IF(BI$2+$F9&lt;=12,SUMIFS('Attrition Modeling'!$D:$D,'Attrition Modeling'!$B:$B,'IP Attrition'!$D9,'Attrition Modeling'!$C:$C,'IP Attrition'!BI$1),VLOOKUP($F9+BI$2,$A$6:$C$106,2,FALSE)*VLOOKUP(BI$1,'Attrition Modeling'!$L$15:$N$27,IF(BI$2+$F9&lt;=24,2,3),FALSE)),$C$3)*(1+Projection!BK$16)*(1+IF(BI141&gt;0,'Attrition Modeling'!$N$9,0)))</f>
        <v>0</v>
      </c>
      <c r="BJ9" s="799">
        <f>(BI9+BJ141)*(1-IFERROR(IF(BJ$2+$F9&lt;=12,SUMIFS('Attrition Modeling'!$D:$D,'Attrition Modeling'!$B:$B,'IP Attrition'!$D9,'Attrition Modeling'!$C:$C,'IP Attrition'!BJ$1),VLOOKUP($F9+BJ$2,$A$6:$C$106,2,FALSE)*VLOOKUP(BJ$1,'Attrition Modeling'!$L$15:$N$27,IF(BJ$2+$F9&lt;=24,2,3),FALSE)),$C$3)*(1+Projection!BL$16)*(1+IF(BJ141&gt;0,'Attrition Modeling'!$N$9,0)))</f>
        <v>0</v>
      </c>
      <c r="BK9" s="799">
        <f>(BJ9+BK141)*(1-IFERROR(IF(BK$2+$F9&lt;=12,SUMIFS('Attrition Modeling'!$D:$D,'Attrition Modeling'!$B:$B,'IP Attrition'!$D9,'Attrition Modeling'!$C:$C,'IP Attrition'!BK$1),VLOOKUP($F9+BK$2,$A$6:$C$106,2,FALSE)*VLOOKUP(BK$1,'Attrition Modeling'!$L$15:$N$27,IF(BK$2+$F9&lt;=24,2,3),FALSE)),$C$3)*(1+Projection!BM$16)*(1+IF(BK141&gt;0,'Attrition Modeling'!$N$9,0)))</f>
        <v>0</v>
      </c>
      <c r="BL9" s="799">
        <f>(BK9+BL141)*(1-IFERROR(IF(BL$2+$F9&lt;=12,SUMIFS('Attrition Modeling'!$D:$D,'Attrition Modeling'!$B:$B,'IP Attrition'!$D9,'Attrition Modeling'!$C:$C,'IP Attrition'!BL$1),VLOOKUP($F9+BL$2,$A$6:$C$106,2,FALSE)*VLOOKUP(BL$1,'Attrition Modeling'!$L$15:$N$27,IF(BL$2+$F9&lt;=24,2,3),FALSE)),$C$3)*(1+Projection!BN$16)*(1+IF(BL141&gt;0,'Attrition Modeling'!$N$9,0)))</f>
        <v>0</v>
      </c>
      <c r="BM9" s="799">
        <f>(BL9+BM141)*(1-IFERROR(IF(BM$2+$F9&lt;=12,SUMIFS('Attrition Modeling'!$D:$D,'Attrition Modeling'!$B:$B,'IP Attrition'!$D9,'Attrition Modeling'!$C:$C,'IP Attrition'!BM$1),VLOOKUP($F9+BM$2,$A$6:$C$106,2,FALSE)*VLOOKUP(BM$1,'Attrition Modeling'!$L$15:$N$27,IF(BM$2+$F9&lt;=24,2,3),FALSE)),$C$3)*(1+Projection!BO$16)*(1+IF(BM141&gt;0,'Attrition Modeling'!$N$9,0)))</f>
        <v>0</v>
      </c>
      <c r="BN9" s="799">
        <f>(BM9+BN141)*(1-IFERROR(IF(BN$2+$F9&lt;=12,SUMIFS('Attrition Modeling'!$D:$D,'Attrition Modeling'!$B:$B,'IP Attrition'!$D9,'Attrition Modeling'!$C:$C,'IP Attrition'!BN$1),VLOOKUP($F9+BN$2,$A$6:$C$106,2,FALSE)*VLOOKUP(BN$1,'Attrition Modeling'!$L$15:$N$27,IF(BN$2+$F9&lt;=24,2,3),FALSE)),$C$3)*(1+Projection!BP$16)*(1+IF(BN141&gt;0,'Attrition Modeling'!$N$9,0)))</f>
        <v>0</v>
      </c>
      <c r="BO9" s="799">
        <f>(BN9+BO141)*(1-IFERROR(IF(BO$2+$F9&lt;=12,SUMIFS('Attrition Modeling'!$D:$D,'Attrition Modeling'!$B:$B,'IP Attrition'!$D9,'Attrition Modeling'!$C:$C,'IP Attrition'!BO$1),VLOOKUP($F9+BO$2,$A$6:$C$106,2,FALSE)*VLOOKUP(BO$1,'Attrition Modeling'!$L$15:$N$27,IF(BO$2+$F9&lt;=24,2,3),FALSE)),$C$3)*(1+Projection!BV$16)*(1+IF(BO141&gt;0,'Attrition Modeling'!$N$9,0)))</f>
        <v>0</v>
      </c>
      <c r="BP9" s="799">
        <f>(BO9+BP141)*(1-IFERROR(IF(BP$2+$F9&lt;=12,SUMIFS('Attrition Modeling'!$D:$D,'Attrition Modeling'!$B:$B,'IP Attrition'!$D9,'Attrition Modeling'!$C:$C,'IP Attrition'!BP$1),VLOOKUP($F9+BP$2,$A$6:$C$106,2,FALSE)*VLOOKUP(BP$1,'Attrition Modeling'!$L$15:$N$27,IF(BP$2+$F9&lt;=24,2,3),FALSE)),$C$3)*(1+Projection!BW$16)*(1+IF(BP141&gt;0,'Attrition Modeling'!$N$9,0)))</f>
        <v>0</v>
      </c>
      <c r="BQ9" s="799">
        <f>(BP9+BQ141)*(1-IFERROR(IF(BQ$2+$F9&lt;=12,SUMIFS('Attrition Modeling'!$D:$D,'Attrition Modeling'!$B:$B,'IP Attrition'!$D9,'Attrition Modeling'!$C:$C,'IP Attrition'!BQ$1),VLOOKUP($F9+BQ$2,$A$6:$C$106,2,FALSE)*VLOOKUP(BQ$1,'Attrition Modeling'!$L$15:$N$27,IF(BQ$2+$F9&lt;=24,2,3),FALSE)),$C$3)*(1+Projection!BX$16)*(1+IF(BQ141&gt;0,'Attrition Modeling'!$N$9,0)))</f>
        <v>0</v>
      </c>
      <c r="BR9" s="799">
        <f>(BQ9+BR141)*(1-IFERROR(IF(BR$2+$F9&lt;=12,SUMIFS('Attrition Modeling'!$D:$D,'Attrition Modeling'!$B:$B,'IP Attrition'!$D9,'Attrition Modeling'!$C:$C,'IP Attrition'!BR$1),VLOOKUP($F9+BR$2,$A$6:$C$106,2,FALSE)*VLOOKUP(BR$1,'Attrition Modeling'!$L$15:$N$27,IF(BR$2+$F9&lt;=24,2,3),FALSE)),$C$3)*(1+Projection!BY$16)*(1+IF(BR141&gt;0,'Attrition Modeling'!$N$9,0)))</f>
        <v>0</v>
      </c>
      <c r="BS9" s="799">
        <f>(BR9+BS141)*(1-IFERROR(IF(BS$2+$F9&lt;=12,SUMIFS('Attrition Modeling'!$D:$D,'Attrition Modeling'!$B:$B,'IP Attrition'!$D9,'Attrition Modeling'!$C:$C,'IP Attrition'!BS$1),VLOOKUP($F9+BS$2,$A$6:$C$106,2,FALSE)*VLOOKUP(BS$1,'Attrition Modeling'!$L$15:$N$27,IF(BS$2+$F9&lt;=24,2,3),FALSE)),$C$3)*(1+Projection!BZ$16)*(1+IF(BS141&gt;0,'Attrition Modeling'!$N$9,0)))</f>
        <v>0</v>
      </c>
      <c r="BT9" s="799" t="e">
        <f>(BS9+BT141)*(1-IFERROR(IF(BT$2+$F9&lt;=12,SUMIFS('Attrition Modeling'!$D:$D,'Attrition Modeling'!$B:$B,'IP Attrition'!$D9,'Attrition Modeling'!$C:$C,'IP Attrition'!BT$1),VLOOKUP($F9+BT$2,$A$6:$C$106,2,FALSE)*VLOOKUP(BT$1,'Attrition Modeling'!$L$15:$N$27,IF(BT$2+$F9&lt;=24,2,3),FALSE)),$C$3)*(1+Projection!CA$16)*(1+IF(BT141&gt;0,'Attrition Modeling'!$N$9,0)))</f>
        <v>#REF!</v>
      </c>
      <c r="BU9" s="799" t="e">
        <f>(BT9+BU141)*(1-IFERROR(IF(BU$2+$F9&lt;=12,SUMIFS('Attrition Modeling'!$D:$D,'Attrition Modeling'!$B:$B,'IP Attrition'!$D9,'Attrition Modeling'!$C:$C,'IP Attrition'!BU$1),VLOOKUP($F9+BU$2,$A$6:$C$106,2,FALSE)*VLOOKUP(BU$1,'Attrition Modeling'!$L$15:$N$27,IF(BU$2+$F9&lt;=24,2,3),FALSE)),$C$3)*(1+Projection!CB$16)*(1+IF(BU141&gt;0,'Attrition Modeling'!$N$9,0)))</f>
        <v>#REF!</v>
      </c>
    </row>
    <row r="10" spans="1:73" ht="14.25" customHeight="1" x14ac:dyDescent="0.2">
      <c r="A10" s="9">
        <v>3</v>
      </c>
      <c r="B10" s="25" t="e">
        <f>MAX('Attrition Modeling'!H7,$C$3)*(1-Summary!$C$20)</f>
        <v>#DIV/0!</v>
      </c>
      <c r="C10" s="24" t="e">
        <f t="shared" si="3"/>
        <v>#DIV/0!</v>
      </c>
      <c r="D10" s="11">
        <f t="shared" si="1"/>
        <v>-7</v>
      </c>
      <c r="E10" s="807">
        <f t="array" ref="E10">INDEX('Attrition Modeling'!$X$2:$AF$63,MATCH($F10,'Attrition Modeling'!$X$2:$X$63,0),MATCH(Inputs!$C$10,'Attrition Modeling'!$X$2:$AF$2,0))</f>
        <v>6.8484235087677175E-2</v>
      </c>
      <c r="F10" s="11">
        <f t="shared" si="2"/>
        <v>7</v>
      </c>
      <c r="G10" s="799">
        <f>Summary!$C$25*$E10</f>
        <v>0</v>
      </c>
      <c r="H10" s="808">
        <f>(G10+H142)*(1-IFERROR(IF(H$2+$F10&lt;=12,SUMIFS('Attrition Modeling'!$D:$D,'Attrition Modeling'!$B:$B,'IP Attrition'!$D10,'Attrition Modeling'!$C:$C,'IP Attrition'!H$1),VLOOKUP($F10+H$2,$A$6:$C$106,2,FALSE)*VLOOKUP(H$1,'Attrition Modeling'!$L$15:$N$27,IF(H$2+$F10&lt;=24,2,3),FALSE)),$C$3)*(1+Projection!J$16)*(1+IF(H142&gt;0,'Attrition Modeling'!$N$9,0)))</f>
        <v>0</v>
      </c>
      <c r="I10" s="808">
        <f>(H10+I142)*(1-IFERROR(IF(I$2+$F10&lt;=12,SUMIFS('Attrition Modeling'!$D:$D,'Attrition Modeling'!$B:$B,'IP Attrition'!$D10,'Attrition Modeling'!$C:$C,'IP Attrition'!I$1),VLOOKUP($F10+I$2,$A$6:$C$106,2,FALSE)*VLOOKUP(I$1,'Attrition Modeling'!$L$15:$N$27,IF(I$2+$F10&lt;=24,2,3),FALSE)),$C$3)*(1+Projection!K$16)*(1+IF(I142&gt;0,'Attrition Modeling'!$N$9,0)))</f>
        <v>0</v>
      </c>
      <c r="J10" s="808">
        <f>(I10+J142)*(1-IFERROR(IF(J$2+$F10&lt;=12,SUMIFS('Attrition Modeling'!$D:$D,'Attrition Modeling'!$B:$B,'IP Attrition'!$D10,'Attrition Modeling'!$C:$C,'IP Attrition'!J$1),VLOOKUP($F10+J$2,$A$6:$C$106,2,FALSE)*VLOOKUP(J$1,'Attrition Modeling'!$L$15:$N$27,IF(J$2+$F10&lt;=24,2,3),FALSE)),$C$3)*(1+Projection!L$16)*(1+IF(J142&gt;0,'Attrition Modeling'!$N$9,0)))</f>
        <v>0</v>
      </c>
      <c r="K10" s="808">
        <f>(J10+K142)*(1-IFERROR(IF(K$2+$F10&lt;=12,SUMIFS('Attrition Modeling'!$D:$D,'Attrition Modeling'!$B:$B,'IP Attrition'!$D10,'Attrition Modeling'!$C:$C,'IP Attrition'!K$1),VLOOKUP($F10+K$2,$A$6:$C$106,2,FALSE)*VLOOKUP(K$1,'Attrition Modeling'!$L$15:$N$27,IF(K$2+$F10&lt;=24,2,3),FALSE)),$C$3)*(1+Projection!M$16)*(1+IF(K142&gt;0,'Attrition Modeling'!$N$9,0)))</f>
        <v>0</v>
      </c>
      <c r="L10" s="808">
        <f>(K10+L142)*(1-IFERROR(IF(L$2+$F10&lt;=12,SUMIFS('Attrition Modeling'!$D:$D,'Attrition Modeling'!$B:$B,'IP Attrition'!$D10,'Attrition Modeling'!$C:$C,'IP Attrition'!L$1),VLOOKUP($F10+L$2,$A$6:$C$106,2,FALSE)*VLOOKUP(L$1,'Attrition Modeling'!$L$15:$N$27,IF(L$2+$F10&lt;=24,2,3),FALSE)),$C$3)*(1+Projection!N$16)*(1+IF(L142&gt;0,'Attrition Modeling'!$N$9,0)))</f>
        <v>0</v>
      </c>
      <c r="M10" s="799">
        <f>(L10+M142)*(1-IFERROR(IF(M$2+$F10&lt;=12,SUMIFS('Attrition Modeling'!$D:$D,'Attrition Modeling'!$B:$B,'IP Attrition'!$D10,'Attrition Modeling'!$C:$C,'IP Attrition'!M$1),VLOOKUP($F10+M$2,$A$6:$C$106,2,FALSE)*VLOOKUP(M$1,'Attrition Modeling'!$L$15:$N$27,IF(M$2+$F10&lt;=24,2,3),FALSE)),$C$3)*(1+Projection!O$16)*(1+IF(M142&gt;0,'Attrition Modeling'!$N$9,0)))</f>
        <v>0</v>
      </c>
      <c r="N10" s="799">
        <f>(M10+N142)*(1-IFERROR(IF(N$2+$F10&lt;=12,SUMIFS('Attrition Modeling'!$D:$D,'Attrition Modeling'!$B:$B,'IP Attrition'!$D10,'Attrition Modeling'!$C:$C,'IP Attrition'!N$1),VLOOKUP($F10+N$2,$A$6:$C$106,2,FALSE)*VLOOKUP(N$1,'Attrition Modeling'!$L$15:$N$27,IF(N$2+$F10&lt;=24,2,3),FALSE)),$C$3)*(1+Projection!P$16)*(1+IF(N142&gt;0,'Attrition Modeling'!$N$9,0)))</f>
        <v>0</v>
      </c>
      <c r="O10" s="799">
        <f>(N10+O142)*(1-IFERROR(IF(O$2+$F10&lt;=12,SUMIFS('Attrition Modeling'!$D:$D,'Attrition Modeling'!$B:$B,'IP Attrition'!$D10,'Attrition Modeling'!$C:$C,'IP Attrition'!O$1),VLOOKUP($F10+O$2,$A$6:$C$106,2,FALSE)*VLOOKUP(O$1,'Attrition Modeling'!$L$15:$N$27,IF(O$2+$F10&lt;=24,2,3),FALSE)),$C$3)*(1+Projection!Q$16)*(1+IF(O142&gt;0,'Attrition Modeling'!$N$9,0)))</f>
        <v>0</v>
      </c>
      <c r="P10" s="799">
        <f>(O10+P142)*(1-IFERROR(IF(P$2+$F10&lt;=12,SUMIFS('Attrition Modeling'!$D:$D,'Attrition Modeling'!$B:$B,'IP Attrition'!$D10,'Attrition Modeling'!$C:$C,'IP Attrition'!P$1),VLOOKUP($F10+P$2,$A$6:$C$106,2,FALSE)*VLOOKUP(P$1,'Attrition Modeling'!$L$15:$N$27,IF(P$2+$F10&lt;=24,2,3),FALSE)),$C$3)*(1+Projection!R$16)*(1+IF(P142&gt;0,'Attrition Modeling'!$N$9,0)))</f>
        <v>0</v>
      </c>
      <c r="Q10" s="799">
        <f>(P10+Q142)*(1-IFERROR(IF(Q$2+$F10&lt;=12,SUMIFS('Attrition Modeling'!$D:$D,'Attrition Modeling'!$B:$B,'IP Attrition'!$D10,'Attrition Modeling'!$C:$C,'IP Attrition'!Q$1),VLOOKUP($F10+Q$2,$A$6:$C$106,2,FALSE)*VLOOKUP(Q$1,'Attrition Modeling'!$L$15:$N$27,IF(Q$2+$F10&lt;=24,2,3),FALSE)),$C$3)*(1+Projection!S$16)*(1+IF(Q142&gt;0,'Attrition Modeling'!$N$9,0)))</f>
        <v>0</v>
      </c>
      <c r="R10" s="799">
        <f>(Q10+R142)*(1-IFERROR(IF(R$2+$F10&lt;=12,SUMIFS('Attrition Modeling'!$D:$D,'Attrition Modeling'!$B:$B,'IP Attrition'!$D10,'Attrition Modeling'!$C:$C,'IP Attrition'!R$1),VLOOKUP($F10+R$2,$A$6:$C$106,2,FALSE)*VLOOKUP(R$1,'Attrition Modeling'!$L$15:$N$27,IF(R$2+$F10&lt;=24,2,3),FALSE)),$C$3)*(1+Projection!T$16)*(1+IF(R142&gt;0,'Attrition Modeling'!$N$9,0)))</f>
        <v>0</v>
      </c>
      <c r="S10" s="799">
        <f>(R10+S142)*(1-IFERROR(IF(S$2+$F10&lt;=12,SUMIFS('Attrition Modeling'!$D:$D,'Attrition Modeling'!$B:$B,'IP Attrition'!$D10,'Attrition Modeling'!$C:$C,'IP Attrition'!S$1),VLOOKUP($F10+S$2,$A$6:$C$106,2,FALSE)*VLOOKUP(S$1,'Attrition Modeling'!$L$15:$N$27,IF(S$2+$F10&lt;=24,2,3),FALSE)),$C$3)*(1+Projection!U$16)*(1+IF(S142&gt;0,'Attrition Modeling'!$N$9,0)))</f>
        <v>0</v>
      </c>
      <c r="T10" s="799">
        <f>(S10+T142)*(1-IFERROR(IF(T$2+$F10&lt;=12,SUMIFS('Attrition Modeling'!$D:$D,'Attrition Modeling'!$B:$B,'IP Attrition'!$D10,'Attrition Modeling'!$C:$C,'IP Attrition'!T$1),VLOOKUP($F10+T$2,$A$6:$C$106,2,FALSE)*VLOOKUP(T$1,'Attrition Modeling'!$L$15:$N$27,IF(T$2+$F10&lt;=24,2,3),FALSE)),$C$3)*(1+Projection!V$16)*(1+IF(T142&gt;0,'Attrition Modeling'!$N$9,0)))</f>
        <v>0</v>
      </c>
      <c r="U10" s="799">
        <f>(T10+U142)*(1-IFERROR(IF(U$2+$F10&lt;=12,SUMIFS('Attrition Modeling'!$D:$D,'Attrition Modeling'!$B:$B,'IP Attrition'!$D10,'Attrition Modeling'!$C:$C,'IP Attrition'!U$1),VLOOKUP($F10+U$2,$A$6:$C$106,2,FALSE)*VLOOKUP(U$1,'Attrition Modeling'!$L$15:$N$27,IF(U$2+$F10&lt;=24,2,3),FALSE)),$C$3)*(1+Projection!W$16)*(1+IF(U142&gt;0,'Attrition Modeling'!$N$9,0)))</f>
        <v>0</v>
      </c>
      <c r="V10" s="799">
        <f>(U10+V142)*(1-IFERROR(IF(V$2+$F10&lt;=12,SUMIFS('Attrition Modeling'!$D:$D,'Attrition Modeling'!$B:$B,'IP Attrition'!$D10,'Attrition Modeling'!$C:$C,'IP Attrition'!V$1),VLOOKUP($F10+V$2,$A$6:$C$106,2,FALSE)*VLOOKUP(V$1,'Attrition Modeling'!$L$15:$N$27,IF(V$2+$F10&lt;=24,2,3),FALSE)),$C$3)*(1+Projection!X$16)*(1+IF(V142&gt;0,'Attrition Modeling'!$N$9,0)))</f>
        <v>0</v>
      </c>
      <c r="W10" s="799">
        <f>(V10+W142)*(1-IFERROR(IF(W$2+$F10&lt;=12,SUMIFS('Attrition Modeling'!$D:$D,'Attrition Modeling'!$B:$B,'IP Attrition'!$D10,'Attrition Modeling'!$C:$C,'IP Attrition'!W$1),VLOOKUP($F10+W$2,$A$6:$C$106,2,FALSE)*VLOOKUP(W$1,'Attrition Modeling'!$L$15:$N$27,IF(W$2+$F10&lt;=24,2,3),FALSE)),$C$3)*(1+Projection!Y$16)*(1+IF(W142&gt;0,'Attrition Modeling'!$N$9,0)))</f>
        <v>0</v>
      </c>
      <c r="X10" s="799">
        <f>(W10+X142)*(1-IFERROR(IF(X$2+$F10&lt;=12,SUMIFS('Attrition Modeling'!$D:$D,'Attrition Modeling'!$B:$B,'IP Attrition'!$D10,'Attrition Modeling'!$C:$C,'IP Attrition'!X$1),VLOOKUP($F10+X$2,$A$6:$C$106,2,FALSE)*VLOOKUP(X$1,'Attrition Modeling'!$L$15:$N$27,IF(X$2+$F10&lt;=24,2,3),FALSE)),$C$3)*(1+Projection!Z$16)*(1+IF(X142&gt;0,'Attrition Modeling'!$N$9,0)))</f>
        <v>0</v>
      </c>
      <c r="Y10" s="799">
        <f>(X10+Y142)*(1-IFERROR(IF(Y$2+$F10&lt;=12,SUMIFS('Attrition Modeling'!$D:$D,'Attrition Modeling'!$B:$B,'IP Attrition'!$D10,'Attrition Modeling'!$C:$C,'IP Attrition'!Y$1),VLOOKUP($F10+Y$2,$A$6:$C$106,2,FALSE)*VLOOKUP(Y$1,'Attrition Modeling'!$L$15:$N$27,IF(Y$2+$F10&lt;=24,2,3),FALSE)),$C$3)*(1+Projection!AA$16)*(1+IF(Y142&gt;0,'Attrition Modeling'!$N$9,0)))</f>
        <v>0</v>
      </c>
      <c r="Z10" s="799">
        <f>(Y10+Z142)*(1-IFERROR(IF(Z$2+$F10&lt;=12,SUMIFS('Attrition Modeling'!$D:$D,'Attrition Modeling'!$B:$B,'IP Attrition'!$D10,'Attrition Modeling'!$C:$C,'IP Attrition'!Z$1),VLOOKUP($F10+Z$2,$A$6:$C$106,2,FALSE)*VLOOKUP(Z$1,'Attrition Modeling'!$L$15:$N$27,IF(Z$2+$F10&lt;=24,2,3),FALSE)),$C$3)*(1+Projection!AB$16)*(1+IF(Z142&gt;0,'Attrition Modeling'!$N$9,0)))</f>
        <v>0</v>
      </c>
      <c r="AA10" s="799">
        <f>(Z10+AA142)*(1-IFERROR(IF(AA$2+$F10&lt;=12,SUMIFS('Attrition Modeling'!$D:$D,'Attrition Modeling'!$B:$B,'IP Attrition'!$D10,'Attrition Modeling'!$C:$C,'IP Attrition'!AA$1),VLOOKUP($F10+AA$2,$A$6:$C$106,2,FALSE)*VLOOKUP(AA$1,'Attrition Modeling'!$L$15:$N$27,IF(AA$2+$F10&lt;=24,2,3),FALSE)),$C$3)*(1+Projection!AC$16)*(1+IF(AA142&gt;0,'Attrition Modeling'!$N$9,0)))</f>
        <v>0</v>
      </c>
      <c r="AB10" s="799">
        <f>(AA10+AB142)*(1-IFERROR(IF(AB$2+$F10&lt;=12,SUMIFS('Attrition Modeling'!$D:$D,'Attrition Modeling'!$B:$B,'IP Attrition'!$D10,'Attrition Modeling'!$C:$C,'IP Attrition'!AB$1),VLOOKUP($F10+AB$2,$A$6:$C$106,2,FALSE)*VLOOKUP(AB$1,'Attrition Modeling'!$L$15:$N$27,IF(AB$2+$F10&lt;=24,2,3),FALSE)),$C$3)*(1+Projection!AD$16)*(1+IF(AB142&gt;0,'Attrition Modeling'!$N$9,0)))</f>
        <v>0</v>
      </c>
      <c r="AC10" s="799">
        <f>(AB10+AC142)*(1-IFERROR(IF(AC$2+$F10&lt;=12,SUMIFS('Attrition Modeling'!$D:$D,'Attrition Modeling'!$B:$B,'IP Attrition'!$D10,'Attrition Modeling'!$C:$C,'IP Attrition'!AC$1),VLOOKUP($F10+AC$2,$A$6:$C$106,2,FALSE)*VLOOKUP(AC$1,'Attrition Modeling'!$L$15:$N$27,IF(AC$2+$F10&lt;=24,2,3),FALSE)),$C$3)*(1+Projection!AE$16)*(1+IF(AC142&gt;0,'Attrition Modeling'!$N$9,0)))</f>
        <v>0</v>
      </c>
      <c r="AD10" s="799">
        <f>(AC10+AD142)*(1-IFERROR(IF(AD$2+$F10&lt;=12,SUMIFS('Attrition Modeling'!$D:$D,'Attrition Modeling'!$B:$B,'IP Attrition'!$D10,'Attrition Modeling'!$C:$C,'IP Attrition'!AD$1),VLOOKUP($F10+AD$2,$A$6:$C$106,2,FALSE)*VLOOKUP(AD$1,'Attrition Modeling'!$L$15:$N$27,IF(AD$2+$F10&lt;=24,2,3),FALSE)),$C$3)*(1+Projection!AF$16)*(1+IF(AD142&gt;0,'Attrition Modeling'!$N$9,0)))</f>
        <v>0</v>
      </c>
      <c r="AE10" s="799">
        <f>(AD10+AE142)*(1-IFERROR(IF(AE$2+$F10&lt;=12,SUMIFS('Attrition Modeling'!$D:$D,'Attrition Modeling'!$B:$B,'IP Attrition'!$D10,'Attrition Modeling'!$C:$C,'IP Attrition'!AE$1),VLOOKUP($F10+AE$2,$A$6:$C$106,2,FALSE)*VLOOKUP(AE$1,'Attrition Modeling'!$L$15:$N$27,IF(AE$2+$F10&lt;=24,2,3),FALSE)),$C$3)*(1+Projection!AG$16)*(1+IF(AE142&gt;0,'Attrition Modeling'!$N$9,0)))</f>
        <v>0</v>
      </c>
      <c r="AF10" s="799">
        <f>(AE10+AF142)*(1-IFERROR(IF(AF$2+$F10&lt;=12,SUMIFS('Attrition Modeling'!$D:$D,'Attrition Modeling'!$B:$B,'IP Attrition'!$D10,'Attrition Modeling'!$C:$C,'IP Attrition'!AF$1),VLOOKUP($F10+AF$2,$A$6:$C$106,2,FALSE)*VLOOKUP(AF$1,'Attrition Modeling'!$L$15:$N$27,IF(AF$2+$F10&lt;=24,2,3),FALSE)),$C$3)*(1+Projection!AH$16)*(1+IF(AF142&gt;0,'Attrition Modeling'!$N$9,0)))</f>
        <v>0</v>
      </c>
      <c r="AG10" s="799">
        <f>(AF10+AG142)*(1-IFERROR(IF(AG$2+$F10&lt;=12,SUMIFS('Attrition Modeling'!$D:$D,'Attrition Modeling'!$B:$B,'IP Attrition'!$D10,'Attrition Modeling'!$C:$C,'IP Attrition'!AG$1),VLOOKUP($F10+AG$2,$A$6:$C$106,2,FALSE)*VLOOKUP(AG$1,'Attrition Modeling'!$L$15:$N$27,IF(AG$2+$F10&lt;=24,2,3),FALSE)),$C$3)*(1+Projection!AI$16)*(1+IF(AG142&gt;0,'Attrition Modeling'!$N$9,0)))</f>
        <v>0</v>
      </c>
      <c r="AH10" s="799">
        <f>(AG10+AH142)*(1-IFERROR(IF(AH$2+$F10&lt;=12,SUMIFS('Attrition Modeling'!$D:$D,'Attrition Modeling'!$B:$B,'IP Attrition'!$D10,'Attrition Modeling'!$C:$C,'IP Attrition'!AH$1),VLOOKUP($F10+AH$2,$A$6:$C$106,2,FALSE)*VLOOKUP(AH$1,'Attrition Modeling'!$L$15:$N$27,IF(AH$2+$F10&lt;=24,2,3),FALSE)),$C$3)*(1+Projection!AJ$16)*(1+IF(AH142&gt;0,'Attrition Modeling'!$N$9,0)))</f>
        <v>0</v>
      </c>
      <c r="AI10" s="799">
        <f>(AH10+AI142)*(1-IFERROR(IF(AI$2+$F10&lt;=12,SUMIFS('Attrition Modeling'!$D:$D,'Attrition Modeling'!$B:$B,'IP Attrition'!$D10,'Attrition Modeling'!$C:$C,'IP Attrition'!AI$1),VLOOKUP($F10+AI$2,$A$6:$C$106,2,FALSE)*VLOOKUP(AI$1,'Attrition Modeling'!$L$15:$N$27,IF(AI$2+$F10&lt;=24,2,3),FALSE)),$C$3)*(1+Projection!AK$16)*(1+IF(AI142&gt;0,'Attrition Modeling'!$N$9,0)))</f>
        <v>0</v>
      </c>
      <c r="AJ10" s="799">
        <f>(AI10+AJ142)*(1-IFERROR(IF(AJ$2+$F10&lt;=12,SUMIFS('Attrition Modeling'!$D:$D,'Attrition Modeling'!$B:$B,'IP Attrition'!$D10,'Attrition Modeling'!$C:$C,'IP Attrition'!AJ$1),VLOOKUP($F10+AJ$2,$A$6:$C$106,2,FALSE)*VLOOKUP(AJ$1,'Attrition Modeling'!$L$15:$N$27,IF(AJ$2+$F10&lt;=24,2,3),FALSE)),$C$3)*(1+Projection!AL$16)*(1+IF(AJ142&gt;0,'Attrition Modeling'!$N$9,0)))</f>
        <v>0</v>
      </c>
      <c r="AK10" s="799">
        <f>(AJ10+AK142)*(1-IFERROR(IF(AK$2+$F10&lt;=12,SUMIFS('Attrition Modeling'!$D:$D,'Attrition Modeling'!$B:$B,'IP Attrition'!$D10,'Attrition Modeling'!$C:$C,'IP Attrition'!AK$1),VLOOKUP($F10+AK$2,$A$6:$C$106,2,FALSE)*VLOOKUP(AK$1,'Attrition Modeling'!$L$15:$N$27,IF(AK$2+$F10&lt;=24,2,3),FALSE)),$C$3)*(1+Projection!AM$16)*(1+IF(AK142&gt;0,'Attrition Modeling'!$N$9,0)))</f>
        <v>0</v>
      </c>
      <c r="AL10" s="799">
        <f>(AK10+AL142)*(1-IFERROR(IF(AL$2+$F10&lt;=12,SUMIFS('Attrition Modeling'!$D:$D,'Attrition Modeling'!$B:$B,'IP Attrition'!$D10,'Attrition Modeling'!$C:$C,'IP Attrition'!AL$1),VLOOKUP($F10+AL$2,$A$6:$C$106,2,FALSE)*VLOOKUP(AL$1,'Attrition Modeling'!$L$15:$N$27,IF(AL$2+$F10&lt;=24,2,3),FALSE)),$C$3)*(1+Projection!AN$16)*(1+IF(AL142&gt;0,'Attrition Modeling'!$N$9,0)))</f>
        <v>0</v>
      </c>
      <c r="AM10" s="799">
        <f>(AL10+AM142)*(1-IFERROR(IF(AM$2+$F10&lt;=12,SUMIFS('Attrition Modeling'!$D:$D,'Attrition Modeling'!$B:$B,'IP Attrition'!$D10,'Attrition Modeling'!$C:$C,'IP Attrition'!AM$1),VLOOKUP($F10+AM$2,$A$6:$C$106,2,FALSE)*VLOOKUP(AM$1,'Attrition Modeling'!$L$15:$N$27,IF(AM$2+$F10&lt;=24,2,3),FALSE)),$C$3)*(1+Projection!AO$16)*(1+IF(AM142&gt;0,'Attrition Modeling'!$N$9,0)))</f>
        <v>0</v>
      </c>
      <c r="AN10" s="799">
        <f>(AM10+AN142)*(1-IFERROR(IF(AN$2+$F10&lt;=12,SUMIFS('Attrition Modeling'!$D:$D,'Attrition Modeling'!$B:$B,'IP Attrition'!$D10,'Attrition Modeling'!$C:$C,'IP Attrition'!AN$1),VLOOKUP($F10+AN$2,$A$6:$C$106,2,FALSE)*VLOOKUP(AN$1,'Attrition Modeling'!$L$15:$N$27,IF(AN$2+$F10&lt;=24,2,3),FALSE)),$C$3)*(1+Projection!AP$16)*(1+IF(AN142&gt;0,'Attrition Modeling'!$N$9,0)))</f>
        <v>0</v>
      </c>
      <c r="AO10" s="799">
        <f>(AN10+AO142)*(1-IFERROR(IF(AO$2+$F10&lt;=12,SUMIFS('Attrition Modeling'!$D:$D,'Attrition Modeling'!$B:$B,'IP Attrition'!$D10,'Attrition Modeling'!$C:$C,'IP Attrition'!AO$1),VLOOKUP($F10+AO$2,$A$6:$C$106,2,FALSE)*VLOOKUP(AO$1,'Attrition Modeling'!$L$15:$N$27,IF(AO$2+$F10&lt;=24,2,3),FALSE)),$C$3)*(1+Projection!AQ$16)*(1+IF(AO142&gt;0,'Attrition Modeling'!$N$9,0)))</f>
        <v>0</v>
      </c>
      <c r="AP10" s="799">
        <f>(AO10+AP142)*(1-IFERROR(IF(AP$2+$F10&lt;=12,SUMIFS('Attrition Modeling'!$D:$D,'Attrition Modeling'!$B:$B,'IP Attrition'!$D10,'Attrition Modeling'!$C:$C,'IP Attrition'!AP$1),VLOOKUP($F10+AP$2,$A$6:$C$106,2,FALSE)*VLOOKUP(AP$1,'Attrition Modeling'!$L$15:$N$27,IF(AP$2+$F10&lt;=24,2,3),FALSE)),$C$3)*(1+Projection!AR$16)*(1+IF(AP142&gt;0,'Attrition Modeling'!$N$9,0)))</f>
        <v>0</v>
      </c>
      <c r="AQ10" s="799">
        <f>(AP10+AQ142)*(1-IFERROR(IF(AQ$2+$F10&lt;=12,SUMIFS('Attrition Modeling'!$D:$D,'Attrition Modeling'!$B:$B,'IP Attrition'!$D10,'Attrition Modeling'!$C:$C,'IP Attrition'!AQ$1),VLOOKUP($F10+AQ$2,$A$6:$C$106,2,FALSE)*VLOOKUP(AQ$1,'Attrition Modeling'!$L$15:$N$27,IF(AQ$2+$F10&lt;=24,2,3),FALSE)),$C$3)*(1+Projection!AS$16)*(1+IF(AQ142&gt;0,'Attrition Modeling'!$N$9,0)))</f>
        <v>0</v>
      </c>
      <c r="AR10" s="799">
        <f>(AQ10+AR142)*(1-IFERROR(IF(AR$2+$F10&lt;=12,SUMIFS('Attrition Modeling'!$D:$D,'Attrition Modeling'!$B:$B,'IP Attrition'!$D10,'Attrition Modeling'!$C:$C,'IP Attrition'!AR$1),VLOOKUP($F10+AR$2,$A$6:$C$106,2,FALSE)*VLOOKUP(AR$1,'Attrition Modeling'!$L$15:$N$27,IF(AR$2+$F10&lt;=24,2,3),FALSE)),$C$3)*(1+Projection!AT$16)*(1+IF(AR142&gt;0,'Attrition Modeling'!$N$9,0)))</f>
        <v>0</v>
      </c>
      <c r="AS10" s="799">
        <f>(AR10+AS142)*(1-IFERROR(IF(AS$2+$F10&lt;=12,SUMIFS('Attrition Modeling'!$D:$D,'Attrition Modeling'!$B:$B,'IP Attrition'!$D10,'Attrition Modeling'!$C:$C,'IP Attrition'!AS$1),VLOOKUP($F10+AS$2,$A$6:$C$106,2,FALSE)*VLOOKUP(AS$1,'Attrition Modeling'!$L$15:$N$27,IF(AS$2+$F10&lt;=24,2,3),FALSE)),$C$3)*(1+Projection!AU$16)*(1+IF(AS142&gt;0,'Attrition Modeling'!$N$9,0)))</f>
        <v>0</v>
      </c>
      <c r="AT10" s="799">
        <f>(AS10+AT142)*(1-IFERROR(IF(AT$2+$F10&lt;=12,SUMIFS('Attrition Modeling'!$D:$D,'Attrition Modeling'!$B:$B,'IP Attrition'!$D10,'Attrition Modeling'!$C:$C,'IP Attrition'!AT$1),VLOOKUP($F10+AT$2,$A$6:$C$106,2,FALSE)*VLOOKUP(AT$1,'Attrition Modeling'!$L$15:$N$27,IF(AT$2+$F10&lt;=24,2,3),FALSE)),$C$3)*(1+Projection!AV$16)*(1+IF(AT142&gt;0,'Attrition Modeling'!$N$9,0)))</f>
        <v>0</v>
      </c>
      <c r="AU10" s="799">
        <f>(AT10+AU142)*(1-IFERROR(IF(AU$2+$F10&lt;=12,SUMIFS('Attrition Modeling'!$D:$D,'Attrition Modeling'!$B:$B,'IP Attrition'!$D10,'Attrition Modeling'!$C:$C,'IP Attrition'!AU$1),VLOOKUP($F10+AU$2,$A$6:$C$106,2,FALSE)*VLOOKUP(AU$1,'Attrition Modeling'!$L$15:$N$27,IF(AU$2+$F10&lt;=24,2,3),FALSE)),$C$3)*(1+Projection!AW$16)*(1+IF(AU142&gt;0,'Attrition Modeling'!$N$9,0)))</f>
        <v>0</v>
      </c>
      <c r="AV10" s="799">
        <f>(AU10+AV142)*(1-IFERROR(IF(AV$2+$F10&lt;=12,SUMIFS('Attrition Modeling'!$D:$D,'Attrition Modeling'!$B:$B,'IP Attrition'!$D10,'Attrition Modeling'!$C:$C,'IP Attrition'!AV$1),VLOOKUP($F10+AV$2,$A$6:$C$106,2,FALSE)*VLOOKUP(AV$1,'Attrition Modeling'!$L$15:$N$27,IF(AV$2+$F10&lt;=24,2,3),FALSE)),$C$3)*(1+Projection!AX$16)*(1+IF(AV142&gt;0,'Attrition Modeling'!$N$9,0)))</f>
        <v>0</v>
      </c>
      <c r="AW10" s="799">
        <f>(AV10+AW142)*(1-IFERROR(IF(AW$2+$F10&lt;=12,SUMIFS('Attrition Modeling'!$D:$D,'Attrition Modeling'!$B:$B,'IP Attrition'!$D10,'Attrition Modeling'!$C:$C,'IP Attrition'!AW$1),VLOOKUP($F10+AW$2,$A$6:$C$106,2,FALSE)*VLOOKUP(AW$1,'Attrition Modeling'!$L$15:$N$27,IF(AW$2+$F10&lt;=24,2,3),FALSE)),$C$3)*(1+Projection!AY$16)*(1+IF(AW142&gt;0,'Attrition Modeling'!$N$9,0)))</f>
        <v>0</v>
      </c>
      <c r="AX10" s="799">
        <f>(AW10+AX142)*(1-IFERROR(IF(AX$2+$F10&lt;=12,SUMIFS('Attrition Modeling'!$D:$D,'Attrition Modeling'!$B:$B,'IP Attrition'!$D10,'Attrition Modeling'!$C:$C,'IP Attrition'!AX$1),VLOOKUP($F10+AX$2,$A$6:$C$106,2,FALSE)*VLOOKUP(AX$1,'Attrition Modeling'!$L$15:$N$27,IF(AX$2+$F10&lt;=24,2,3),FALSE)),$C$3)*(1+Projection!AZ$16)*(1+IF(AX142&gt;0,'Attrition Modeling'!$N$9,0)))</f>
        <v>0</v>
      </c>
      <c r="AY10" s="799">
        <f>(AX10+AY142)*(1-IFERROR(IF(AY$2+$F10&lt;=12,SUMIFS('Attrition Modeling'!$D:$D,'Attrition Modeling'!$B:$B,'IP Attrition'!$D10,'Attrition Modeling'!$C:$C,'IP Attrition'!AY$1),VLOOKUP($F10+AY$2,$A$6:$C$106,2,FALSE)*VLOOKUP(AY$1,'Attrition Modeling'!$L$15:$N$27,IF(AY$2+$F10&lt;=24,2,3),FALSE)),$C$3)*(1+Projection!BA$16)*(1+IF(AY142&gt;0,'Attrition Modeling'!$N$9,0)))</f>
        <v>0</v>
      </c>
      <c r="AZ10" s="799">
        <f>(AY10+AZ142)*(1-IFERROR(IF(AZ$2+$F10&lt;=12,SUMIFS('Attrition Modeling'!$D:$D,'Attrition Modeling'!$B:$B,'IP Attrition'!$D10,'Attrition Modeling'!$C:$C,'IP Attrition'!AZ$1),VLOOKUP($F10+AZ$2,$A$6:$C$106,2,FALSE)*VLOOKUP(AZ$1,'Attrition Modeling'!$L$15:$N$27,IF(AZ$2+$F10&lt;=24,2,3),FALSE)),$C$3)*(1+Projection!BB$16)*(1+IF(AZ142&gt;0,'Attrition Modeling'!$N$9,0)))</f>
        <v>0</v>
      </c>
      <c r="BA10" s="799">
        <f>(AZ10+BA142)*(1-IFERROR(IF(BA$2+$F10&lt;=12,SUMIFS('Attrition Modeling'!$D:$D,'Attrition Modeling'!$B:$B,'IP Attrition'!$D10,'Attrition Modeling'!$C:$C,'IP Attrition'!BA$1),VLOOKUP($F10+BA$2,$A$6:$C$106,2,FALSE)*VLOOKUP(BA$1,'Attrition Modeling'!$L$15:$N$27,IF(BA$2+$F10&lt;=24,2,3),FALSE)),$C$3)*(1+Projection!BC$16)*(1+IF(BA142&gt;0,'Attrition Modeling'!$N$9,0)))</f>
        <v>0</v>
      </c>
      <c r="BB10" s="799">
        <f>(BA10+BB142)*(1-IFERROR(IF(BB$2+$F10&lt;=12,SUMIFS('Attrition Modeling'!$D:$D,'Attrition Modeling'!$B:$B,'IP Attrition'!$D10,'Attrition Modeling'!$C:$C,'IP Attrition'!BB$1),VLOOKUP($F10+BB$2,$A$6:$C$106,2,FALSE)*VLOOKUP(BB$1,'Attrition Modeling'!$L$15:$N$27,IF(BB$2+$F10&lt;=24,2,3),FALSE)),$C$3)*(1+Projection!BD$16)*(1+IF(BB142&gt;0,'Attrition Modeling'!$N$9,0)))</f>
        <v>0</v>
      </c>
      <c r="BC10" s="799">
        <f>(BB10+BC142)*(1-IFERROR(IF(BC$2+$F10&lt;=12,SUMIFS('Attrition Modeling'!$D:$D,'Attrition Modeling'!$B:$B,'IP Attrition'!$D10,'Attrition Modeling'!$C:$C,'IP Attrition'!BC$1),VLOOKUP($F10+BC$2,$A$6:$C$106,2,FALSE)*VLOOKUP(BC$1,'Attrition Modeling'!$L$15:$N$27,IF(BC$2+$F10&lt;=24,2,3),FALSE)),$C$3)*(1+Projection!BE$16)*(1+IF(BC142&gt;0,'Attrition Modeling'!$N$9,0)))</f>
        <v>0</v>
      </c>
      <c r="BD10" s="799">
        <f>(BC10+BD142)*(1-IFERROR(IF(BD$2+$F10&lt;=12,SUMIFS('Attrition Modeling'!$D:$D,'Attrition Modeling'!$B:$B,'IP Attrition'!$D10,'Attrition Modeling'!$C:$C,'IP Attrition'!BD$1),VLOOKUP($F10+BD$2,$A$6:$C$106,2,FALSE)*VLOOKUP(BD$1,'Attrition Modeling'!$L$15:$N$27,IF(BD$2+$F10&lt;=24,2,3),FALSE)),$C$3)*(1+Projection!BF$16)*(1+IF(BD142&gt;0,'Attrition Modeling'!$N$9,0)))</f>
        <v>0</v>
      </c>
      <c r="BE10" s="799">
        <f>(BD10+BE142)*(1-IFERROR(IF(BE$2+$F10&lt;=12,SUMIFS('Attrition Modeling'!$D:$D,'Attrition Modeling'!$B:$B,'IP Attrition'!$D10,'Attrition Modeling'!$C:$C,'IP Attrition'!BE$1),VLOOKUP($F10+BE$2,$A$6:$C$106,2,FALSE)*VLOOKUP(BE$1,'Attrition Modeling'!$L$15:$N$27,IF(BE$2+$F10&lt;=24,2,3),FALSE)),$C$3)*(1+Projection!BG$16)*(1+IF(BE142&gt;0,'Attrition Modeling'!$N$9,0)))</f>
        <v>0</v>
      </c>
      <c r="BF10" s="799">
        <f>(BE10+BF142)*(1-IFERROR(IF(BF$2+$F10&lt;=12,SUMIFS('Attrition Modeling'!$D:$D,'Attrition Modeling'!$B:$B,'IP Attrition'!$D10,'Attrition Modeling'!$C:$C,'IP Attrition'!BF$1),VLOOKUP($F10+BF$2,$A$6:$C$106,2,FALSE)*VLOOKUP(BF$1,'Attrition Modeling'!$L$15:$N$27,IF(BF$2+$F10&lt;=24,2,3),FALSE)),$C$3)*(1+Projection!BH$16)*(1+IF(BF142&gt;0,'Attrition Modeling'!$N$9,0)))</f>
        <v>0</v>
      </c>
      <c r="BG10" s="799">
        <f>(BF10+BG142)*(1-IFERROR(IF(BG$2+$F10&lt;=12,SUMIFS('Attrition Modeling'!$D:$D,'Attrition Modeling'!$B:$B,'IP Attrition'!$D10,'Attrition Modeling'!$C:$C,'IP Attrition'!BG$1),VLOOKUP($F10+BG$2,$A$6:$C$106,2,FALSE)*VLOOKUP(BG$1,'Attrition Modeling'!$L$15:$N$27,IF(BG$2+$F10&lt;=24,2,3),FALSE)),$C$3)*(1+Projection!BI$16)*(1+IF(BG142&gt;0,'Attrition Modeling'!$N$9,0)))</f>
        <v>0</v>
      </c>
      <c r="BH10" s="799">
        <f>(BG10+BH142)*(1-IFERROR(IF(BH$2+$F10&lt;=12,SUMIFS('Attrition Modeling'!$D:$D,'Attrition Modeling'!$B:$B,'IP Attrition'!$D10,'Attrition Modeling'!$C:$C,'IP Attrition'!BH$1),VLOOKUP($F10+BH$2,$A$6:$C$106,2,FALSE)*VLOOKUP(BH$1,'Attrition Modeling'!$L$15:$N$27,IF(BH$2+$F10&lt;=24,2,3),FALSE)),$C$3)*(1+Projection!BJ$16)*(1+IF(BH142&gt;0,'Attrition Modeling'!$N$9,0)))</f>
        <v>0</v>
      </c>
      <c r="BI10" s="799">
        <f>(BH10+BI142)*(1-IFERROR(IF(BI$2+$F10&lt;=12,SUMIFS('Attrition Modeling'!$D:$D,'Attrition Modeling'!$B:$B,'IP Attrition'!$D10,'Attrition Modeling'!$C:$C,'IP Attrition'!BI$1),VLOOKUP($F10+BI$2,$A$6:$C$106,2,FALSE)*VLOOKUP(BI$1,'Attrition Modeling'!$L$15:$N$27,IF(BI$2+$F10&lt;=24,2,3),FALSE)),$C$3)*(1+Projection!BK$16)*(1+IF(BI142&gt;0,'Attrition Modeling'!$N$9,0)))</f>
        <v>0</v>
      </c>
      <c r="BJ10" s="799">
        <f>(BI10+BJ142)*(1-IFERROR(IF(BJ$2+$F10&lt;=12,SUMIFS('Attrition Modeling'!$D:$D,'Attrition Modeling'!$B:$B,'IP Attrition'!$D10,'Attrition Modeling'!$C:$C,'IP Attrition'!BJ$1),VLOOKUP($F10+BJ$2,$A$6:$C$106,2,FALSE)*VLOOKUP(BJ$1,'Attrition Modeling'!$L$15:$N$27,IF(BJ$2+$F10&lt;=24,2,3),FALSE)),$C$3)*(1+Projection!BL$16)*(1+IF(BJ142&gt;0,'Attrition Modeling'!$N$9,0)))</f>
        <v>0</v>
      </c>
      <c r="BK10" s="799">
        <f>(BJ10+BK142)*(1-IFERROR(IF(BK$2+$F10&lt;=12,SUMIFS('Attrition Modeling'!$D:$D,'Attrition Modeling'!$B:$B,'IP Attrition'!$D10,'Attrition Modeling'!$C:$C,'IP Attrition'!BK$1),VLOOKUP($F10+BK$2,$A$6:$C$106,2,FALSE)*VLOOKUP(BK$1,'Attrition Modeling'!$L$15:$N$27,IF(BK$2+$F10&lt;=24,2,3),FALSE)),$C$3)*(1+Projection!BM$16)*(1+IF(BK142&gt;0,'Attrition Modeling'!$N$9,0)))</f>
        <v>0</v>
      </c>
      <c r="BL10" s="799">
        <f>(BK10+BL142)*(1-IFERROR(IF(BL$2+$F10&lt;=12,SUMIFS('Attrition Modeling'!$D:$D,'Attrition Modeling'!$B:$B,'IP Attrition'!$D10,'Attrition Modeling'!$C:$C,'IP Attrition'!BL$1),VLOOKUP($F10+BL$2,$A$6:$C$106,2,FALSE)*VLOOKUP(BL$1,'Attrition Modeling'!$L$15:$N$27,IF(BL$2+$F10&lt;=24,2,3),FALSE)),$C$3)*(1+Projection!BN$16)*(1+IF(BL142&gt;0,'Attrition Modeling'!$N$9,0)))</f>
        <v>0</v>
      </c>
      <c r="BM10" s="799">
        <f>(BL10+BM142)*(1-IFERROR(IF(BM$2+$F10&lt;=12,SUMIFS('Attrition Modeling'!$D:$D,'Attrition Modeling'!$B:$B,'IP Attrition'!$D10,'Attrition Modeling'!$C:$C,'IP Attrition'!BM$1),VLOOKUP($F10+BM$2,$A$6:$C$106,2,FALSE)*VLOOKUP(BM$1,'Attrition Modeling'!$L$15:$N$27,IF(BM$2+$F10&lt;=24,2,3),FALSE)),$C$3)*(1+Projection!BO$16)*(1+IF(BM142&gt;0,'Attrition Modeling'!$N$9,0)))</f>
        <v>0</v>
      </c>
      <c r="BN10" s="799">
        <f>(BM10+BN142)*(1-IFERROR(IF(BN$2+$F10&lt;=12,SUMIFS('Attrition Modeling'!$D:$D,'Attrition Modeling'!$B:$B,'IP Attrition'!$D10,'Attrition Modeling'!$C:$C,'IP Attrition'!BN$1),VLOOKUP($F10+BN$2,$A$6:$C$106,2,FALSE)*VLOOKUP(BN$1,'Attrition Modeling'!$L$15:$N$27,IF(BN$2+$F10&lt;=24,2,3),FALSE)),$C$3)*(1+Projection!BP$16)*(1+IF(BN142&gt;0,'Attrition Modeling'!$N$9,0)))</f>
        <v>0</v>
      </c>
      <c r="BO10" s="799">
        <f>(BN10+BO142)*(1-IFERROR(IF(BO$2+$F10&lt;=12,SUMIFS('Attrition Modeling'!$D:$D,'Attrition Modeling'!$B:$B,'IP Attrition'!$D10,'Attrition Modeling'!$C:$C,'IP Attrition'!BO$1),VLOOKUP($F10+BO$2,$A$6:$C$106,2,FALSE)*VLOOKUP(BO$1,'Attrition Modeling'!$L$15:$N$27,IF(BO$2+$F10&lt;=24,2,3),FALSE)),$C$3)*(1+Projection!BV$16)*(1+IF(BO142&gt;0,'Attrition Modeling'!$N$9,0)))</f>
        <v>0</v>
      </c>
      <c r="BP10" s="799">
        <f>(BO10+BP142)*(1-IFERROR(IF(BP$2+$F10&lt;=12,SUMIFS('Attrition Modeling'!$D:$D,'Attrition Modeling'!$B:$B,'IP Attrition'!$D10,'Attrition Modeling'!$C:$C,'IP Attrition'!BP$1),VLOOKUP($F10+BP$2,$A$6:$C$106,2,FALSE)*VLOOKUP(BP$1,'Attrition Modeling'!$L$15:$N$27,IF(BP$2+$F10&lt;=24,2,3),FALSE)),$C$3)*(1+Projection!BW$16)*(1+IF(BP142&gt;0,'Attrition Modeling'!$N$9,0)))</f>
        <v>0</v>
      </c>
      <c r="BQ10" s="799">
        <f>(BP10+BQ142)*(1-IFERROR(IF(BQ$2+$F10&lt;=12,SUMIFS('Attrition Modeling'!$D:$D,'Attrition Modeling'!$B:$B,'IP Attrition'!$D10,'Attrition Modeling'!$C:$C,'IP Attrition'!BQ$1),VLOOKUP($F10+BQ$2,$A$6:$C$106,2,FALSE)*VLOOKUP(BQ$1,'Attrition Modeling'!$L$15:$N$27,IF(BQ$2+$F10&lt;=24,2,3),FALSE)),$C$3)*(1+Projection!BX$16)*(1+IF(BQ142&gt;0,'Attrition Modeling'!$N$9,0)))</f>
        <v>0</v>
      </c>
      <c r="BR10" s="799">
        <f>(BQ10+BR142)*(1-IFERROR(IF(BR$2+$F10&lt;=12,SUMIFS('Attrition Modeling'!$D:$D,'Attrition Modeling'!$B:$B,'IP Attrition'!$D10,'Attrition Modeling'!$C:$C,'IP Attrition'!BR$1),VLOOKUP($F10+BR$2,$A$6:$C$106,2,FALSE)*VLOOKUP(BR$1,'Attrition Modeling'!$L$15:$N$27,IF(BR$2+$F10&lt;=24,2,3),FALSE)),$C$3)*(1+Projection!BY$16)*(1+IF(BR142&gt;0,'Attrition Modeling'!$N$9,0)))</f>
        <v>0</v>
      </c>
      <c r="BS10" s="799">
        <f>(BR10+BS142)*(1-IFERROR(IF(BS$2+$F10&lt;=12,SUMIFS('Attrition Modeling'!$D:$D,'Attrition Modeling'!$B:$B,'IP Attrition'!$D10,'Attrition Modeling'!$C:$C,'IP Attrition'!BS$1),VLOOKUP($F10+BS$2,$A$6:$C$106,2,FALSE)*VLOOKUP(BS$1,'Attrition Modeling'!$L$15:$N$27,IF(BS$2+$F10&lt;=24,2,3),FALSE)),$C$3)*(1+Projection!BZ$16)*(1+IF(BS142&gt;0,'Attrition Modeling'!$N$9,0)))</f>
        <v>0</v>
      </c>
      <c r="BT10" s="799" t="e">
        <f>(BS10+BT142)*(1-IFERROR(IF(BT$2+$F10&lt;=12,SUMIFS('Attrition Modeling'!$D:$D,'Attrition Modeling'!$B:$B,'IP Attrition'!$D10,'Attrition Modeling'!$C:$C,'IP Attrition'!BT$1),VLOOKUP($F10+BT$2,$A$6:$C$106,2,FALSE)*VLOOKUP(BT$1,'Attrition Modeling'!$L$15:$N$27,IF(BT$2+$F10&lt;=24,2,3),FALSE)),$C$3)*(1+Projection!CA$16)*(1+IF(BT142&gt;0,'Attrition Modeling'!$N$9,0)))</f>
        <v>#REF!</v>
      </c>
      <c r="BU10" s="799" t="e">
        <f>(BT10+BU142)*(1-IFERROR(IF(BU$2+$F10&lt;=12,SUMIFS('Attrition Modeling'!$D:$D,'Attrition Modeling'!$B:$B,'IP Attrition'!$D10,'Attrition Modeling'!$C:$C,'IP Attrition'!BU$1),VLOOKUP($F10+BU$2,$A$6:$C$106,2,FALSE)*VLOOKUP(BU$1,'Attrition Modeling'!$L$15:$N$27,IF(BU$2+$F10&lt;=24,2,3),FALSE)),$C$3)*(1+Projection!CB$16)*(1+IF(BU142&gt;0,'Attrition Modeling'!$N$9,0)))</f>
        <v>#REF!</v>
      </c>
    </row>
    <row r="11" spans="1:73" ht="14.25" customHeight="1" x14ac:dyDescent="0.2">
      <c r="A11" s="9">
        <v>4</v>
      </c>
      <c r="B11" s="25" t="e">
        <f>MAX('Attrition Modeling'!H8,$C$3)*(1-Summary!$C$20)</f>
        <v>#DIV/0!</v>
      </c>
      <c r="C11" s="24" t="e">
        <f t="shared" si="3"/>
        <v>#DIV/0!</v>
      </c>
      <c r="D11" s="11">
        <f t="shared" si="1"/>
        <v>-8</v>
      </c>
      <c r="E11" s="807">
        <f t="array" ref="E11">INDEX('Attrition Modeling'!$X$2:$AF$63,MATCH($F11,'Attrition Modeling'!$X$2:$X$63,0),MATCH(Inputs!$C$10,'Attrition Modeling'!$X$2:$AF$2,0))</f>
        <v>7.2136667938139415E-2</v>
      </c>
      <c r="F11" s="11">
        <f t="shared" si="2"/>
        <v>8</v>
      </c>
      <c r="G11" s="799">
        <f>Summary!$C$25*$E11</f>
        <v>0</v>
      </c>
      <c r="H11" s="808">
        <f>(G11+H143)*(1-IFERROR(IF(H$2+$F11&lt;=12,SUMIFS('Attrition Modeling'!$D:$D,'Attrition Modeling'!$B:$B,'IP Attrition'!$D11,'Attrition Modeling'!$C:$C,'IP Attrition'!H$1),VLOOKUP($F11+H$2,$A$6:$C$106,2,FALSE)*VLOOKUP(H$1,'Attrition Modeling'!$L$15:$N$27,IF(H$2+$F11&lt;=24,2,3),FALSE)),$C$3)*(1+Projection!J$16)*(1+IF(H143&gt;0,'Attrition Modeling'!$N$9,0)))</f>
        <v>0</v>
      </c>
      <c r="I11" s="808">
        <f>(H11+I143)*(1-IFERROR(IF(I$2+$F11&lt;=12,SUMIFS('Attrition Modeling'!$D:$D,'Attrition Modeling'!$B:$B,'IP Attrition'!$D11,'Attrition Modeling'!$C:$C,'IP Attrition'!I$1),VLOOKUP($F11+I$2,$A$6:$C$106,2,FALSE)*VLOOKUP(I$1,'Attrition Modeling'!$L$15:$N$27,IF(I$2+$F11&lt;=24,2,3),FALSE)),$C$3)*(1+Projection!K$16)*(1+IF(I143&gt;0,'Attrition Modeling'!$N$9,0)))</f>
        <v>0</v>
      </c>
      <c r="J11" s="808">
        <f>(I11+J143)*(1-IFERROR(IF(J$2+$F11&lt;=12,SUMIFS('Attrition Modeling'!$D:$D,'Attrition Modeling'!$B:$B,'IP Attrition'!$D11,'Attrition Modeling'!$C:$C,'IP Attrition'!J$1),VLOOKUP($F11+J$2,$A$6:$C$106,2,FALSE)*VLOOKUP(J$1,'Attrition Modeling'!$L$15:$N$27,IF(J$2+$F11&lt;=24,2,3),FALSE)),$C$3)*(1+Projection!L$16)*(1+IF(J143&gt;0,'Attrition Modeling'!$N$9,0)))</f>
        <v>0</v>
      </c>
      <c r="K11" s="808">
        <f>(J11+K143)*(1-IFERROR(IF(K$2+$F11&lt;=12,SUMIFS('Attrition Modeling'!$D:$D,'Attrition Modeling'!$B:$B,'IP Attrition'!$D11,'Attrition Modeling'!$C:$C,'IP Attrition'!K$1),VLOOKUP($F11+K$2,$A$6:$C$106,2,FALSE)*VLOOKUP(K$1,'Attrition Modeling'!$L$15:$N$27,IF(K$2+$F11&lt;=24,2,3),FALSE)),$C$3)*(1+Projection!M$16)*(1+IF(K143&gt;0,'Attrition Modeling'!$N$9,0)))</f>
        <v>0</v>
      </c>
      <c r="L11" s="799">
        <f>(K11+L143)*(1-IFERROR(IF(L$2+$F11&lt;=12,SUMIFS('Attrition Modeling'!$D:$D,'Attrition Modeling'!$B:$B,'IP Attrition'!$D11,'Attrition Modeling'!$C:$C,'IP Attrition'!L$1),VLOOKUP($F11+L$2,$A$6:$C$106,2,FALSE)*VLOOKUP(L$1,'Attrition Modeling'!$L$15:$N$27,IF(L$2+$F11&lt;=24,2,3),FALSE)),$C$3)*(1+Projection!N$16)*(1+IF(L143&gt;0,'Attrition Modeling'!$N$9,0)))</f>
        <v>0</v>
      </c>
      <c r="M11" s="799">
        <f>(L11+M143)*(1-IFERROR(IF(M$2+$F11&lt;=12,SUMIFS('Attrition Modeling'!$D:$D,'Attrition Modeling'!$B:$B,'IP Attrition'!$D11,'Attrition Modeling'!$C:$C,'IP Attrition'!M$1),VLOOKUP($F11+M$2,$A$6:$C$106,2,FALSE)*VLOOKUP(M$1,'Attrition Modeling'!$L$15:$N$27,IF(M$2+$F11&lt;=24,2,3),FALSE)),$C$3)*(1+Projection!O$16)*(1+IF(M143&gt;0,'Attrition Modeling'!$N$9,0)))</f>
        <v>0</v>
      </c>
      <c r="N11" s="799">
        <f>(M11+N143)*(1-IFERROR(IF(N$2+$F11&lt;=12,SUMIFS('Attrition Modeling'!$D:$D,'Attrition Modeling'!$B:$B,'IP Attrition'!$D11,'Attrition Modeling'!$C:$C,'IP Attrition'!N$1),VLOOKUP($F11+N$2,$A$6:$C$106,2,FALSE)*VLOOKUP(N$1,'Attrition Modeling'!$L$15:$N$27,IF(N$2+$F11&lt;=24,2,3),FALSE)),$C$3)*(1+Projection!P$16)*(1+IF(N143&gt;0,'Attrition Modeling'!$N$9,0)))</f>
        <v>0</v>
      </c>
      <c r="O11" s="799">
        <f>(N11+O143)*(1-IFERROR(IF(O$2+$F11&lt;=12,SUMIFS('Attrition Modeling'!$D:$D,'Attrition Modeling'!$B:$B,'IP Attrition'!$D11,'Attrition Modeling'!$C:$C,'IP Attrition'!O$1),VLOOKUP($F11+O$2,$A$6:$C$106,2,FALSE)*VLOOKUP(O$1,'Attrition Modeling'!$L$15:$N$27,IF(O$2+$F11&lt;=24,2,3),FALSE)),$C$3)*(1+Projection!Q$16)*(1+IF(O143&gt;0,'Attrition Modeling'!$N$9,0)))</f>
        <v>0</v>
      </c>
      <c r="P11" s="799">
        <f>(O11+P143)*(1-IFERROR(IF(P$2+$F11&lt;=12,SUMIFS('Attrition Modeling'!$D:$D,'Attrition Modeling'!$B:$B,'IP Attrition'!$D11,'Attrition Modeling'!$C:$C,'IP Attrition'!P$1),VLOOKUP($F11+P$2,$A$6:$C$106,2,FALSE)*VLOOKUP(P$1,'Attrition Modeling'!$L$15:$N$27,IF(P$2+$F11&lt;=24,2,3),FALSE)),$C$3)*(1+Projection!R$16)*(1+IF(P143&gt;0,'Attrition Modeling'!$N$9,0)))</f>
        <v>0</v>
      </c>
      <c r="Q11" s="799">
        <f>(P11+Q143)*(1-IFERROR(IF(Q$2+$F11&lt;=12,SUMIFS('Attrition Modeling'!$D:$D,'Attrition Modeling'!$B:$B,'IP Attrition'!$D11,'Attrition Modeling'!$C:$C,'IP Attrition'!Q$1),VLOOKUP($F11+Q$2,$A$6:$C$106,2,FALSE)*VLOOKUP(Q$1,'Attrition Modeling'!$L$15:$N$27,IF(Q$2+$F11&lt;=24,2,3),FALSE)),$C$3)*(1+Projection!S$16)*(1+IF(Q143&gt;0,'Attrition Modeling'!$N$9,0)))</f>
        <v>0</v>
      </c>
      <c r="R11" s="799">
        <f>(Q11+R143)*(1-IFERROR(IF(R$2+$F11&lt;=12,SUMIFS('Attrition Modeling'!$D:$D,'Attrition Modeling'!$B:$B,'IP Attrition'!$D11,'Attrition Modeling'!$C:$C,'IP Attrition'!R$1),VLOOKUP($F11+R$2,$A$6:$C$106,2,FALSE)*VLOOKUP(R$1,'Attrition Modeling'!$L$15:$N$27,IF(R$2+$F11&lt;=24,2,3),FALSE)),$C$3)*(1+Projection!T$16)*(1+IF(R143&gt;0,'Attrition Modeling'!$N$9,0)))</f>
        <v>0</v>
      </c>
      <c r="S11" s="799">
        <f>(R11+S143)*(1-IFERROR(IF(S$2+$F11&lt;=12,SUMIFS('Attrition Modeling'!$D:$D,'Attrition Modeling'!$B:$B,'IP Attrition'!$D11,'Attrition Modeling'!$C:$C,'IP Attrition'!S$1),VLOOKUP($F11+S$2,$A$6:$C$106,2,FALSE)*VLOOKUP(S$1,'Attrition Modeling'!$L$15:$N$27,IF(S$2+$F11&lt;=24,2,3),FALSE)),$C$3)*(1+Projection!U$16)*(1+IF(S143&gt;0,'Attrition Modeling'!$N$9,0)))</f>
        <v>0</v>
      </c>
      <c r="T11" s="799">
        <f>(S11+T143)*(1-IFERROR(IF(T$2+$F11&lt;=12,SUMIFS('Attrition Modeling'!$D:$D,'Attrition Modeling'!$B:$B,'IP Attrition'!$D11,'Attrition Modeling'!$C:$C,'IP Attrition'!T$1),VLOOKUP($F11+T$2,$A$6:$C$106,2,FALSE)*VLOOKUP(T$1,'Attrition Modeling'!$L$15:$N$27,IF(T$2+$F11&lt;=24,2,3),FALSE)),$C$3)*(1+Projection!V$16)*(1+IF(T143&gt;0,'Attrition Modeling'!$N$9,0)))</f>
        <v>0</v>
      </c>
      <c r="U11" s="799">
        <f>(T11+U143)*(1-IFERROR(IF(U$2+$F11&lt;=12,SUMIFS('Attrition Modeling'!$D:$D,'Attrition Modeling'!$B:$B,'IP Attrition'!$D11,'Attrition Modeling'!$C:$C,'IP Attrition'!U$1),VLOOKUP($F11+U$2,$A$6:$C$106,2,FALSE)*VLOOKUP(U$1,'Attrition Modeling'!$L$15:$N$27,IF(U$2+$F11&lt;=24,2,3),FALSE)),$C$3)*(1+Projection!W$16)*(1+IF(U143&gt;0,'Attrition Modeling'!$N$9,0)))</f>
        <v>0</v>
      </c>
      <c r="V11" s="799">
        <f>(U11+V143)*(1-IFERROR(IF(V$2+$F11&lt;=12,SUMIFS('Attrition Modeling'!$D:$D,'Attrition Modeling'!$B:$B,'IP Attrition'!$D11,'Attrition Modeling'!$C:$C,'IP Attrition'!V$1),VLOOKUP($F11+V$2,$A$6:$C$106,2,FALSE)*VLOOKUP(V$1,'Attrition Modeling'!$L$15:$N$27,IF(V$2+$F11&lt;=24,2,3),FALSE)),$C$3)*(1+Projection!X$16)*(1+IF(V143&gt;0,'Attrition Modeling'!$N$9,0)))</f>
        <v>0</v>
      </c>
      <c r="W11" s="799">
        <f>(V11+W143)*(1-IFERROR(IF(W$2+$F11&lt;=12,SUMIFS('Attrition Modeling'!$D:$D,'Attrition Modeling'!$B:$B,'IP Attrition'!$D11,'Attrition Modeling'!$C:$C,'IP Attrition'!W$1),VLOOKUP($F11+W$2,$A$6:$C$106,2,FALSE)*VLOOKUP(W$1,'Attrition Modeling'!$L$15:$N$27,IF(W$2+$F11&lt;=24,2,3),FALSE)),$C$3)*(1+Projection!Y$16)*(1+IF(W143&gt;0,'Attrition Modeling'!$N$9,0)))</f>
        <v>0</v>
      </c>
      <c r="X11" s="799">
        <f>(W11+X143)*(1-IFERROR(IF(X$2+$F11&lt;=12,SUMIFS('Attrition Modeling'!$D:$D,'Attrition Modeling'!$B:$B,'IP Attrition'!$D11,'Attrition Modeling'!$C:$C,'IP Attrition'!X$1),VLOOKUP($F11+X$2,$A$6:$C$106,2,FALSE)*VLOOKUP(X$1,'Attrition Modeling'!$L$15:$N$27,IF(X$2+$F11&lt;=24,2,3),FALSE)),$C$3)*(1+Projection!Z$16)*(1+IF(X143&gt;0,'Attrition Modeling'!$N$9,0)))</f>
        <v>0</v>
      </c>
      <c r="Y11" s="799">
        <f>(X11+Y143)*(1-IFERROR(IF(Y$2+$F11&lt;=12,SUMIFS('Attrition Modeling'!$D:$D,'Attrition Modeling'!$B:$B,'IP Attrition'!$D11,'Attrition Modeling'!$C:$C,'IP Attrition'!Y$1),VLOOKUP($F11+Y$2,$A$6:$C$106,2,FALSE)*VLOOKUP(Y$1,'Attrition Modeling'!$L$15:$N$27,IF(Y$2+$F11&lt;=24,2,3),FALSE)),$C$3)*(1+Projection!AA$16)*(1+IF(Y143&gt;0,'Attrition Modeling'!$N$9,0)))</f>
        <v>0</v>
      </c>
      <c r="Z11" s="799">
        <f>(Y11+Z143)*(1-IFERROR(IF(Z$2+$F11&lt;=12,SUMIFS('Attrition Modeling'!$D:$D,'Attrition Modeling'!$B:$B,'IP Attrition'!$D11,'Attrition Modeling'!$C:$C,'IP Attrition'!Z$1),VLOOKUP($F11+Z$2,$A$6:$C$106,2,FALSE)*VLOOKUP(Z$1,'Attrition Modeling'!$L$15:$N$27,IF(Z$2+$F11&lt;=24,2,3),FALSE)),$C$3)*(1+Projection!AB$16)*(1+IF(Z143&gt;0,'Attrition Modeling'!$N$9,0)))</f>
        <v>0</v>
      </c>
      <c r="AA11" s="799">
        <f>(Z11+AA143)*(1-IFERROR(IF(AA$2+$F11&lt;=12,SUMIFS('Attrition Modeling'!$D:$D,'Attrition Modeling'!$B:$B,'IP Attrition'!$D11,'Attrition Modeling'!$C:$C,'IP Attrition'!AA$1),VLOOKUP($F11+AA$2,$A$6:$C$106,2,FALSE)*VLOOKUP(AA$1,'Attrition Modeling'!$L$15:$N$27,IF(AA$2+$F11&lt;=24,2,3),FALSE)),$C$3)*(1+Projection!AC$16)*(1+IF(AA143&gt;0,'Attrition Modeling'!$N$9,0)))</f>
        <v>0</v>
      </c>
      <c r="AB11" s="799">
        <f>(AA11+AB143)*(1-IFERROR(IF(AB$2+$F11&lt;=12,SUMIFS('Attrition Modeling'!$D:$D,'Attrition Modeling'!$B:$B,'IP Attrition'!$D11,'Attrition Modeling'!$C:$C,'IP Attrition'!AB$1),VLOOKUP($F11+AB$2,$A$6:$C$106,2,FALSE)*VLOOKUP(AB$1,'Attrition Modeling'!$L$15:$N$27,IF(AB$2+$F11&lt;=24,2,3),FALSE)),$C$3)*(1+Projection!AD$16)*(1+IF(AB143&gt;0,'Attrition Modeling'!$N$9,0)))</f>
        <v>0</v>
      </c>
      <c r="AC11" s="799">
        <f>(AB11+AC143)*(1-IFERROR(IF(AC$2+$F11&lt;=12,SUMIFS('Attrition Modeling'!$D:$D,'Attrition Modeling'!$B:$B,'IP Attrition'!$D11,'Attrition Modeling'!$C:$C,'IP Attrition'!AC$1),VLOOKUP($F11+AC$2,$A$6:$C$106,2,FALSE)*VLOOKUP(AC$1,'Attrition Modeling'!$L$15:$N$27,IF(AC$2+$F11&lt;=24,2,3),FALSE)),$C$3)*(1+Projection!AE$16)*(1+IF(AC143&gt;0,'Attrition Modeling'!$N$9,0)))</f>
        <v>0</v>
      </c>
      <c r="AD11" s="799">
        <f>(AC11+AD143)*(1-IFERROR(IF(AD$2+$F11&lt;=12,SUMIFS('Attrition Modeling'!$D:$D,'Attrition Modeling'!$B:$B,'IP Attrition'!$D11,'Attrition Modeling'!$C:$C,'IP Attrition'!AD$1),VLOOKUP($F11+AD$2,$A$6:$C$106,2,FALSE)*VLOOKUP(AD$1,'Attrition Modeling'!$L$15:$N$27,IF(AD$2+$F11&lt;=24,2,3),FALSE)),$C$3)*(1+Projection!AF$16)*(1+IF(AD143&gt;0,'Attrition Modeling'!$N$9,0)))</f>
        <v>0</v>
      </c>
      <c r="AE11" s="799">
        <f>(AD11+AE143)*(1-IFERROR(IF(AE$2+$F11&lt;=12,SUMIFS('Attrition Modeling'!$D:$D,'Attrition Modeling'!$B:$B,'IP Attrition'!$D11,'Attrition Modeling'!$C:$C,'IP Attrition'!AE$1),VLOOKUP($F11+AE$2,$A$6:$C$106,2,FALSE)*VLOOKUP(AE$1,'Attrition Modeling'!$L$15:$N$27,IF(AE$2+$F11&lt;=24,2,3),FALSE)),$C$3)*(1+Projection!AG$16)*(1+IF(AE143&gt;0,'Attrition Modeling'!$N$9,0)))</f>
        <v>0</v>
      </c>
      <c r="AF11" s="799">
        <f>(AE11+AF143)*(1-IFERROR(IF(AF$2+$F11&lt;=12,SUMIFS('Attrition Modeling'!$D:$D,'Attrition Modeling'!$B:$B,'IP Attrition'!$D11,'Attrition Modeling'!$C:$C,'IP Attrition'!AF$1),VLOOKUP($F11+AF$2,$A$6:$C$106,2,FALSE)*VLOOKUP(AF$1,'Attrition Modeling'!$L$15:$N$27,IF(AF$2+$F11&lt;=24,2,3),FALSE)),$C$3)*(1+Projection!AH$16)*(1+IF(AF143&gt;0,'Attrition Modeling'!$N$9,0)))</f>
        <v>0</v>
      </c>
      <c r="AG11" s="799">
        <f>(AF11+AG143)*(1-IFERROR(IF(AG$2+$F11&lt;=12,SUMIFS('Attrition Modeling'!$D:$D,'Attrition Modeling'!$B:$B,'IP Attrition'!$D11,'Attrition Modeling'!$C:$C,'IP Attrition'!AG$1),VLOOKUP($F11+AG$2,$A$6:$C$106,2,FALSE)*VLOOKUP(AG$1,'Attrition Modeling'!$L$15:$N$27,IF(AG$2+$F11&lt;=24,2,3),FALSE)),$C$3)*(1+Projection!AI$16)*(1+IF(AG143&gt;0,'Attrition Modeling'!$N$9,0)))</f>
        <v>0</v>
      </c>
      <c r="AH11" s="799">
        <f>(AG11+AH143)*(1-IFERROR(IF(AH$2+$F11&lt;=12,SUMIFS('Attrition Modeling'!$D:$D,'Attrition Modeling'!$B:$B,'IP Attrition'!$D11,'Attrition Modeling'!$C:$C,'IP Attrition'!AH$1),VLOOKUP($F11+AH$2,$A$6:$C$106,2,FALSE)*VLOOKUP(AH$1,'Attrition Modeling'!$L$15:$N$27,IF(AH$2+$F11&lt;=24,2,3),FALSE)),$C$3)*(1+Projection!AJ$16)*(1+IF(AH143&gt;0,'Attrition Modeling'!$N$9,0)))</f>
        <v>0</v>
      </c>
      <c r="AI11" s="799">
        <f>(AH11+AI143)*(1-IFERROR(IF(AI$2+$F11&lt;=12,SUMIFS('Attrition Modeling'!$D:$D,'Attrition Modeling'!$B:$B,'IP Attrition'!$D11,'Attrition Modeling'!$C:$C,'IP Attrition'!AI$1),VLOOKUP($F11+AI$2,$A$6:$C$106,2,FALSE)*VLOOKUP(AI$1,'Attrition Modeling'!$L$15:$N$27,IF(AI$2+$F11&lt;=24,2,3),FALSE)),$C$3)*(1+Projection!AK$16)*(1+IF(AI143&gt;0,'Attrition Modeling'!$N$9,0)))</f>
        <v>0</v>
      </c>
      <c r="AJ11" s="799">
        <f>(AI11+AJ143)*(1-IFERROR(IF(AJ$2+$F11&lt;=12,SUMIFS('Attrition Modeling'!$D:$D,'Attrition Modeling'!$B:$B,'IP Attrition'!$D11,'Attrition Modeling'!$C:$C,'IP Attrition'!AJ$1),VLOOKUP($F11+AJ$2,$A$6:$C$106,2,FALSE)*VLOOKUP(AJ$1,'Attrition Modeling'!$L$15:$N$27,IF(AJ$2+$F11&lt;=24,2,3),FALSE)),$C$3)*(1+Projection!AL$16)*(1+IF(AJ143&gt;0,'Attrition Modeling'!$N$9,0)))</f>
        <v>0</v>
      </c>
      <c r="AK11" s="799">
        <f>(AJ11+AK143)*(1-IFERROR(IF(AK$2+$F11&lt;=12,SUMIFS('Attrition Modeling'!$D:$D,'Attrition Modeling'!$B:$B,'IP Attrition'!$D11,'Attrition Modeling'!$C:$C,'IP Attrition'!AK$1),VLOOKUP($F11+AK$2,$A$6:$C$106,2,FALSE)*VLOOKUP(AK$1,'Attrition Modeling'!$L$15:$N$27,IF(AK$2+$F11&lt;=24,2,3),FALSE)),$C$3)*(1+Projection!AM$16)*(1+IF(AK143&gt;0,'Attrition Modeling'!$N$9,0)))</f>
        <v>0</v>
      </c>
      <c r="AL11" s="799">
        <f>(AK11+AL143)*(1-IFERROR(IF(AL$2+$F11&lt;=12,SUMIFS('Attrition Modeling'!$D:$D,'Attrition Modeling'!$B:$B,'IP Attrition'!$D11,'Attrition Modeling'!$C:$C,'IP Attrition'!AL$1),VLOOKUP($F11+AL$2,$A$6:$C$106,2,FALSE)*VLOOKUP(AL$1,'Attrition Modeling'!$L$15:$N$27,IF(AL$2+$F11&lt;=24,2,3),FALSE)),$C$3)*(1+Projection!AN$16)*(1+IF(AL143&gt;0,'Attrition Modeling'!$N$9,0)))</f>
        <v>0</v>
      </c>
      <c r="AM11" s="799">
        <f>(AL11+AM143)*(1-IFERROR(IF(AM$2+$F11&lt;=12,SUMIFS('Attrition Modeling'!$D:$D,'Attrition Modeling'!$B:$B,'IP Attrition'!$D11,'Attrition Modeling'!$C:$C,'IP Attrition'!AM$1),VLOOKUP($F11+AM$2,$A$6:$C$106,2,FALSE)*VLOOKUP(AM$1,'Attrition Modeling'!$L$15:$N$27,IF(AM$2+$F11&lt;=24,2,3),FALSE)),$C$3)*(1+Projection!AO$16)*(1+IF(AM143&gt;0,'Attrition Modeling'!$N$9,0)))</f>
        <v>0</v>
      </c>
      <c r="AN11" s="799">
        <f>(AM11+AN143)*(1-IFERROR(IF(AN$2+$F11&lt;=12,SUMIFS('Attrition Modeling'!$D:$D,'Attrition Modeling'!$B:$B,'IP Attrition'!$D11,'Attrition Modeling'!$C:$C,'IP Attrition'!AN$1),VLOOKUP($F11+AN$2,$A$6:$C$106,2,FALSE)*VLOOKUP(AN$1,'Attrition Modeling'!$L$15:$N$27,IF(AN$2+$F11&lt;=24,2,3),FALSE)),$C$3)*(1+Projection!AP$16)*(1+IF(AN143&gt;0,'Attrition Modeling'!$N$9,0)))</f>
        <v>0</v>
      </c>
      <c r="AO11" s="799">
        <f>(AN11+AO143)*(1-IFERROR(IF(AO$2+$F11&lt;=12,SUMIFS('Attrition Modeling'!$D:$D,'Attrition Modeling'!$B:$B,'IP Attrition'!$D11,'Attrition Modeling'!$C:$C,'IP Attrition'!AO$1),VLOOKUP($F11+AO$2,$A$6:$C$106,2,FALSE)*VLOOKUP(AO$1,'Attrition Modeling'!$L$15:$N$27,IF(AO$2+$F11&lt;=24,2,3),FALSE)),$C$3)*(1+Projection!AQ$16)*(1+IF(AO143&gt;0,'Attrition Modeling'!$N$9,0)))</f>
        <v>0</v>
      </c>
      <c r="AP11" s="799">
        <f>(AO11+AP143)*(1-IFERROR(IF(AP$2+$F11&lt;=12,SUMIFS('Attrition Modeling'!$D:$D,'Attrition Modeling'!$B:$B,'IP Attrition'!$D11,'Attrition Modeling'!$C:$C,'IP Attrition'!AP$1),VLOOKUP($F11+AP$2,$A$6:$C$106,2,FALSE)*VLOOKUP(AP$1,'Attrition Modeling'!$L$15:$N$27,IF(AP$2+$F11&lt;=24,2,3),FALSE)),$C$3)*(1+Projection!AR$16)*(1+IF(AP143&gt;0,'Attrition Modeling'!$N$9,0)))</f>
        <v>0</v>
      </c>
      <c r="AQ11" s="799">
        <f>(AP11+AQ143)*(1-IFERROR(IF(AQ$2+$F11&lt;=12,SUMIFS('Attrition Modeling'!$D:$D,'Attrition Modeling'!$B:$B,'IP Attrition'!$D11,'Attrition Modeling'!$C:$C,'IP Attrition'!AQ$1),VLOOKUP($F11+AQ$2,$A$6:$C$106,2,FALSE)*VLOOKUP(AQ$1,'Attrition Modeling'!$L$15:$N$27,IF(AQ$2+$F11&lt;=24,2,3),FALSE)),$C$3)*(1+Projection!AS$16)*(1+IF(AQ143&gt;0,'Attrition Modeling'!$N$9,0)))</f>
        <v>0</v>
      </c>
      <c r="AR11" s="799">
        <f>(AQ11+AR143)*(1-IFERROR(IF(AR$2+$F11&lt;=12,SUMIFS('Attrition Modeling'!$D:$D,'Attrition Modeling'!$B:$B,'IP Attrition'!$D11,'Attrition Modeling'!$C:$C,'IP Attrition'!AR$1),VLOOKUP($F11+AR$2,$A$6:$C$106,2,FALSE)*VLOOKUP(AR$1,'Attrition Modeling'!$L$15:$N$27,IF(AR$2+$F11&lt;=24,2,3),FALSE)),$C$3)*(1+Projection!AT$16)*(1+IF(AR143&gt;0,'Attrition Modeling'!$N$9,0)))</f>
        <v>0</v>
      </c>
      <c r="AS11" s="799">
        <f>(AR11+AS143)*(1-IFERROR(IF(AS$2+$F11&lt;=12,SUMIFS('Attrition Modeling'!$D:$D,'Attrition Modeling'!$B:$B,'IP Attrition'!$D11,'Attrition Modeling'!$C:$C,'IP Attrition'!AS$1),VLOOKUP($F11+AS$2,$A$6:$C$106,2,FALSE)*VLOOKUP(AS$1,'Attrition Modeling'!$L$15:$N$27,IF(AS$2+$F11&lt;=24,2,3),FALSE)),$C$3)*(1+Projection!AU$16)*(1+IF(AS143&gt;0,'Attrition Modeling'!$N$9,0)))</f>
        <v>0</v>
      </c>
      <c r="AT11" s="799">
        <f>(AS11+AT143)*(1-IFERROR(IF(AT$2+$F11&lt;=12,SUMIFS('Attrition Modeling'!$D:$D,'Attrition Modeling'!$B:$B,'IP Attrition'!$D11,'Attrition Modeling'!$C:$C,'IP Attrition'!AT$1),VLOOKUP($F11+AT$2,$A$6:$C$106,2,FALSE)*VLOOKUP(AT$1,'Attrition Modeling'!$L$15:$N$27,IF(AT$2+$F11&lt;=24,2,3),FALSE)),$C$3)*(1+Projection!AV$16)*(1+IF(AT143&gt;0,'Attrition Modeling'!$N$9,0)))</f>
        <v>0</v>
      </c>
      <c r="AU11" s="799">
        <f>(AT11+AU143)*(1-IFERROR(IF(AU$2+$F11&lt;=12,SUMIFS('Attrition Modeling'!$D:$D,'Attrition Modeling'!$B:$B,'IP Attrition'!$D11,'Attrition Modeling'!$C:$C,'IP Attrition'!AU$1),VLOOKUP($F11+AU$2,$A$6:$C$106,2,FALSE)*VLOOKUP(AU$1,'Attrition Modeling'!$L$15:$N$27,IF(AU$2+$F11&lt;=24,2,3),FALSE)),$C$3)*(1+Projection!AW$16)*(1+IF(AU143&gt;0,'Attrition Modeling'!$N$9,0)))</f>
        <v>0</v>
      </c>
      <c r="AV11" s="799">
        <f>(AU11+AV143)*(1-IFERROR(IF(AV$2+$F11&lt;=12,SUMIFS('Attrition Modeling'!$D:$D,'Attrition Modeling'!$B:$B,'IP Attrition'!$D11,'Attrition Modeling'!$C:$C,'IP Attrition'!AV$1),VLOOKUP($F11+AV$2,$A$6:$C$106,2,FALSE)*VLOOKUP(AV$1,'Attrition Modeling'!$L$15:$N$27,IF(AV$2+$F11&lt;=24,2,3),FALSE)),$C$3)*(1+Projection!AX$16)*(1+IF(AV143&gt;0,'Attrition Modeling'!$N$9,0)))</f>
        <v>0</v>
      </c>
      <c r="AW11" s="799">
        <f>(AV11+AW143)*(1-IFERROR(IF(AW$2+$F11&lt;=12,SUMIFS('Attrition Modeling'!$D:$D,'Attrition Modeling'!$B:$B,'IP Attrition'!$D11,'Attrition Modeling'!$C:$C,'IP Attrition'!AW$1),VLOOKUP($F11+AW$2,$A$6:$C$106,2,FALSE)*VLOOKUP(AW$1,'Attrition Modeling'!$L$15:$N$27,IF(AW$2+$F11&lt;=24,2,3),FALSE)),$C$3)*(1+Projection!AY$16)*(1+IF(AW143&gt;0,'Attrition Modeling'!$N$9,0)))</f>
        <v>0</v>
      </c>
      <c r="AX11" s="799">
        <f>(AW11+AX143)*(1-IFERROR(IF(AX$2+$F11&lt;=12,SUMIFS('Attrition Modeling'!$D:$D,'Attrition Modeling'!$B:$B,'IP Attrition'!$D11,'Attrition Modeling'!$C:$C,'IP Attrition'!AX$1),VLOOKUP($F11+AX$2,$A$6:$C$106,2,FALSE)*VLOOKUP(AX$1,'Attrition Modeling'!$L$15:$N$27,IF(AX$2+$F11&lt;=24,2,3),FALSE)),$C$3)*(1+Projection!AZ$16)*(1+IF(AX143&gt;0,'Attrition Modeling'!$N$9,0)))</f>
        <v>0</v>
      </c>
      <c r="AY11" s="799">
        <f>(AX11+AY143)*(1-IFERROR(IF(AY$2+$F11&lt;=12,SUMIFS('Attrition Modeling'!$D:$D,'Attrition Modeling'!$B:$B,'IP Attrition'!$D11,'Attrition Modeling'!$C:$C,'IP Attrition'!AY$1),VLOOKUP($F11+AY$2,$A$6:$C$106,2,FALSE)*VLOOKUP(AY$1,'Attrition Modeling'!$L$15:$N$27,IF(AY$2+$F11&lt;=24,2,3),FALSE)),$C$3)*(1+Projection!BA$16)*(1+IF(AY143&gt;0,'Attrition Modeling'!$N$9,0)))</f>
        <v>0</v>
      </c>
      <c r="AZ11" s="799">
        <f>(AY11+AZ143)*(1-IFERROR(IF(AZ$2+$F11&lt;=12,SUMIFS('Attrition Modeling'!$D:$D,'Attrition Modeling'!$B:$B,'IP Attrition'!$D11,'Attrition Modeling'!$C:$C,'IP Attrition'!AZ$1),VLOOKUP($F11+AZ$2,$A$6:$C$106,2,FALSE)*VLOOKUP(AZ$1,'Attrition Modeling'!$L$15:$N$27,IF(AZ$2+$F11&lt;=24,2,3),FALSE)),$C$3)*(1+Projection!BB$16)*(1+IF(AZ143&gt;0,'Attrition Modeling'!$N$9,0)))</f>
        <v>0</v>
      </c>
      <c r="BA11" s="799">
        <f>(AZ11+BA143)*(1-IFERROR(IF(BA$2+$F11&lt;=12,SUMIFS('Attrition Modeling'!$D:$D,'Attrition Modeling'!$B:$B,'IP Attrition'!$D11,'Attrition Modeling'!$C:$C,'IP Attrition'!BA$1),VLOOKUP($F11+BA$2,$A$6:$C$106,2,FALSE)*VLOOKUP(BA$1,'Attrition Modeling'!$L$15:$N$27,IF(BA$2+$F11&lt;=24,2,3),FALSE)),$C$3)*(1+Projection!BC$16)*(1+IF(BA143&gt;0,'Attrition Modeling'!$N$9,0)))</f>
        <v>0</v>
      </c>
      <c r="BB11" s="799">
        <f>(BA11+BB143)*(1-IFERROR(IF(BB$2+$F11&lt;=12,SUMIFS('Attrition Modeling'!$D:$D,'Attrition Modeling'!$B:$B,'IP Attrition'!$D11,'Attrition Modeling'!$C:$C,'IP Attrition'!BB$1),VLOOKUP($F11+BB$2,$A$6:$C$106,2,FALSE)*VLOOKUP(BB$1,'Attrition Modeling'!$L$15:$N$27,IF(BB$2+$F11&lt;=24,2,3),FALSE)),$C$3)*(1+Projection!BD$16)*(1+IF(BB143&gt;0,'Attrition Modeling'!$N$9,0)))</f>
        <v>0</v>
      </c>
      <c r="BC11" s="799">
        <f>(BB11+BC143)*(1-IFERROR(IF(BC$2+$F11&lt;=12,SUMIFS('Attrition Modeling'!$D:$D,'Attrition Modeling'!$B:$B,'IP Attrition'!$D11,'Attrition Modeling'!$C:$C,'IP Attrition'!BC$1),VLOOKUP($F11+BC$2,$A$6:$C$106,2,FALSE)*VLOOKUP(BC$1,'Attrition Modeling'!$L$15:$N$27,IF(BC$2+$F11&lt;=24,2,3),FALSE)),$C$3)*(1+Projection!BE$16)*(1+IF(BC143&gt;0,'Attrition Modeling'!$N$9,0)))</f>
        <v>0</v>
      </c>
      <c r="BD11" s="799">
        <f>(BC11+BD143)*(1-IFERROR(IF(BD$2+$F11&lt;=12,SUMIFS('Attrition Modeling'!$D:$D,'Attrition Modeling'!$B:$B,'IP Attrition'!$D11,'Attrition Modeling'!$C:$C,'IP Attrition'!BD$1),VLOOKUP($F11+BD$2,$A$6:$C$106,2,FALSE)*VLOOKUP(BD$1,'Attrition Modeling'!$L$15:$N$27,IF(BD$2+$F11&lt;=24,2,3),FALSE)),$C$3)*(1+Projection!BF$16)*(1+IF(BD143&gt;0,'Attrition Modeling'!$N$9,0)))</f>
        <v>0</v>
      </c>
      <c r="BE11" s="799">
        <f>(BD11+BE143)*(1-IFERROR(IF(BE$2+$F11&lt;=12,SUMIFS('Attrition Modeling'!$D:$D,'Attrition Modeling'!$B:$B,'IP Attrition'!$D11,'Attrition Modeling'!$C:$C,'IP Attrition'!BE$1),VLOOKUP($F11+BE$2,$A$6:$C$106,2,FALSE)*VLOOKUP(BE$1,'Attrition Modeling'!$L$15:$N$27,IF(BE$2+$F11&lt;=24,2,3),FALSE)),$C$3)*(1+Projection!BG$16)*(1+IF(BE143&gt;0,'Attrition Modeling'!$N$9,0)))</f>
        <v>0</v>
      </c>
      <c r="BF11" s="799">
        <f>(BE11+BF143)*(1-IFERROR(IF(BF$2+$F11&lt;=12,SUMIFS('Attrition Modeling'!$D:$D,'Attrition Modeling'!$B:$B,'IP Attrition'!$D11,'Attrition Modeling'!$C:$C,'IP Attrition'!BF$1),VLOOKUP($F11+BF$2,$A$6:$C$106,2,FALSE)*VLOOKUP(BF$1,'Attrition Modeling'!$L$15:$N$27,IF(BF$2+$F11&lt;=24,2,3),FALSE)),$C$3)*(1+Projection!BH$16)*(1+IF(BF143&gt;0,'Attrition Modeling'!$N$9,0)))</f>
        <v>0</v>
      </c>
      <c r="BG11" s="799">
        <f>(BF11+BG143)*(1-IFERROR(IF(BG$2+$F11&lt;=12,SUMIFS('Attrition Modeling'!$D:$D,'Attrition Modeling'!$B:$B,'IP Attrition'!$D11,'Attrition Modeling'!$C:$C,'IP Attrition'!BG$1),VLOOKUP($F11+BG$2,$A$6:$C$106,2,FALSE)*VLOOKUP(BG$1,'Attrition Modeling'!$L$15:$N$27,IF(BG$2+$F11&lt;=24,2,3),FALSE)),$C$3)*(1+Projection!BI$16)*(1+IF(BG143&gt;0,'Attrition Modeling'!$N$9,0)))</f>
        <v>0</v>
      </c>
      <c r="BH11" s="799">
        <f>(BG11+BH143)*(1-IFERROR(IF(BH$2+$F11&lt;=12,SUMIFS('Attrition Modeling'!$D:$D,'Attrition Modeling'!$B:$B,'IP Attrition'!$D11,'Attrition Modeling'!$C:$C,'IP Attrition'!BH$1),VLOOKUP($F11+BH$2,$A$6:$C$106,2,FALSE)*VLOOKUP(BH$1,'Attrition Modeling'!$L$15:$N$27,IF(BH$2+$F11&lt;=24,2,3),FALSE)),$C$3)*(1+Projection!BJ$16)*(1+IF(BH143&gt;0,'Attrition Modeling'!$N$9,0)))</f>
        <v>0</v>
      </c>
      <c r="BI11" s="799">
        <f>(BH11+BI143)*(1-IFERROR(IF(BI$2+$F11&lt;=12,SUMIFS('Attrition Modeling'!$D:$D,'Attrition Modeling'!$B:$B,'IP Attrition'!$D11,'Attrition Modeling'!$C:$C,'IP Attrition'!BI$1),VLOOKUP($F11+BI$2,$A$6:$C$106,2,FALSE)*VLOOKUP(BI$1,'Attrition Modeling'!$L$15:$N$27,IF(BI$2+$F11&lt;=24,2,3),FALSE)),$C$3)*(1+Projection!BK$16)*(1+IF(BI143&gt;0,'Attrition Modeling'!$N$9,0)))</f>
        <v>0</v>
      </c>
      <c r="BJ11" s="799">
        <f>(BI11+BJ143)*(1-IFERROR(IF(BJ$2+$F11&lt;=12,SUMIFS('Attrition Modeling'!$D:$D,'Attrition Modeling'!$B:$B,'IP Attrition'!$D11,'Attrition Modeling'!$C:$C,'IP Attrition'!BJ$1),VLOOKUP($F11+BJ$2,$A$6:$C$106,2,FALSE)*VLOOKUP(BJ$1,'Attrition Modeling'!$L$15:$N$27,IF(BJ$2+$F11&lt;=24,2,3),FALSE)),$C$3)*(1+Projection!BL$16)*(1+IF(BJ143&gt;0,'Attrition Modeling'!$N$9,0)))</f>
        <v>0</v>
      </c>
      <c r="BK11" s="799">
        <f>(BJ11+BK143)*(1-IFERROR(IF(BK$2+$F11&lt;=12,SUMIFS('Attrition Modeling'!$D:$D,'Attrition Modeling'!$B:$B,'IP Attrition'!$D11,'Attrition Modeling'!$C:$C,'IP Attrition'!BK$1),VLOOKUP($F11+BK$2,$A$6:$C$106,2,FALSE)*VLOOKUP(BK$1,'Attrition Modeling'!$L$15:$N$27,IF(BK$2+$F11&lt;=24,2,3),FALSE)),$C$3)*(1+Projection!BM$16)*(1+IF(BK143&gt;0,'Attrition Modeling'!$N$9,0)))</f>
        <v>0</v>
      </c>
      <c r="BL11" s="799">
        <f>(BK11+BL143)*(1-IFERROR(IF(BL$2+$F11&lt;=12,SUMIFS('Attrition Modeling'!$D:$D,'Attrition Modeling'!$B:$B,'IP Attrition'!$D11,'Attrition Modeling'!$C:$C,'IP Attrition'!BL$1),VLOOKUP($F11+BL$2,$A$6:$C$106,2,FALSE)*VLOOKUP(BL$1,'Attrition Modeling'!$L$15:$N$27,IF(BL$2+$F11&lt;=24,2,3),FALSE)),$C$3)*(1+Projection!BN$16)*(1+IF(BL143&gt;0,'Attrition Modeling'!$N$9,0)))</f>
        <v>0</v>
      </c>
      <c r="BM11" s="799">
        <f>(BL11+BM143)*(1-IFERROR(IF(BM$2+$F11&lt;=12,SUMIFS('Attrition Modeling'!$D:$D,'Attrition Modeling'!$B:$B,'IP Attrition'!$D11,'Attrition Modeling'!$C:$C,'IP Attrition'!BM$1),VLOOKUP($F11+BM$2,$A$6:$C$106,2,FALSE)*VLOOKUP(BM$1,'Attrition Modeling'!$L$15:$N$27,IF(BM$2+$F11&lt;=24,2,3),FALSE)),$C$3)*(1+Projection!BO$16)*(1+IF(BM143&gt;0,'Attrition Modeling'!$N$9,0)))</f>
        <v>0</v>
      </c>
      <c r="BN11" s="799">
        <f>(BM11+BN143)*(1-IFERROR(IF(BN$2+$F11&lt;=12,SUMIFS('Attrition Modeling'!$D:$D,'Attrition Modeling'!$B:$B,'IP Attrition'!$D11,'Attrition Modeling'!$C:$C,'IP Attrition'!BN$1),VLOOKUP($F11+BN$2,$A$6:$C$106,2,FALSE)*VLOOKUP(BN$1,'Attrition Modeling'!$L$15:$N$27,IF(BN$2+$F11&lt;=24,2,3),FALSE)),$C$3)*(1+Projection!BP$16)*(1+IF(BN143&gt;0,'Attrition Modeling'!$N$9,0)))</f>
        <v>0</v>
      </c>
      <c r="BO11" s="799">
        <f>(BN11+BO143)*(1-IFERROR(IF(BO$2+$F11&lt;=12,SUMIFS('Attrition Modeling'!$D:$D,'Attrition Modeling'!$B:$B,'IP Attrition'!$D11,'Attrition Modeling'!$C:$C,'IP Attrition'!BO$1),VLOOKUP($F11+BO$2,$A$6:$C$106,2,FALSE)*VLOOKUP(BO$1,'Attrition Modeling'!$L$15:$N$27,IF(BO$2+$F11&lt;=24,2,3),FALSE)),$C$3)*(1+Projection!BV$16)*(1+IF(BO143&gt;0,'Attrition Modeling'!$N$9,0)))</f>
        <v>0</v>
      </c>
      <c r="BP11" s="799">
        <f>(BO11+BP143)*(1-IFERROR(IF(BP$2+$F11&lt;=12,SUMIFS('Attrition Modeling'!$D:$D,'Attrition Modeling'!$B:$B,'IP Attrition'!$D11,'Attrition Modeling'!$C:$C,'IP Attrition'!BP$1),VLOOKUP($F11+BP$2,$A$6:$C$106,2,FALSE)*VLOOKUP(BP$1,'Attrition Modeling'!$L$15:$N$27,IF(BP$2+$F11&lt;=24,2,3),FALSE)),$C$3)*(1+Projection!BW$16)*(1+IF(BP143&gt;0,'Attrition Modeling'!$N$9,0)))</f>
        <v>0</v>
      </c>
      <c r="BQ11" s="799">
        <f>(BP11+BQ143)*(1-IFERROR(IF(BQ$2+$F11&lt;=12,SUMIFS('Attrition Modeling'!$D:$D,'Attrition Modeling'!$B:$B,'IP Attrition'!$D11,'Attrition Modeling'!$C:$C,'IP Attrition'!BQ$1),VLOOKUP($F11+BQ$2,$A$6:$C$106,2,FALSE)*VLOOKUP(BQ$1,'Attrition Modeling'!$L$15:$N$27,IF(BQ$2+$F11&lt;=24,2,3),FALSE)),$C$3)*(1+Projection!BX$16)*(1+IF(BQ143&gt;0,'Attrition Modeling'!$N$9,0)))</f>
        <v>0</v>
      </c>
      <c r="BR11" s="799">
        <f>(BQ11+BR143)*(1-IFERROR(IF(BR$2+$F11&lt;=12,SUMIFS('Attrition Modeling'!$D:$D,'Attrition Modeling'!$B:$B,'IP Attrition'!$D11,'Attrition Modeling'!$C:$C,'IP Attrition'!BR$1),VLOOKUP($F11+BR$2,$A$6:$C$106,2,FALSE)*VLOOKUP(BR$1,'Attrition Modeling'!$L$15:$N$27,IF(BR$2+$F11&lt;=24,2,3),FALSE)),$C$3)*(1+Projection!BY$16)*(1+IF(BR143&gt;0,'Attrition Modeling'!$N$9,0)))</f>
        <v>0</v>
      </c>
      <c r="BS11" s="799">
        <f>(BR11+BS143)*(1-IFERROR(IF(BS$2+$F11&lt;=12,SUMIFS('Attrition Modeling'!$D:$D,'Attrition Modeling'!$B:$B,'IP Attrition'!$D11,'Attrition Modeling'!$C:$C,'IP Attrition'!BS$1),VLOOKUP($F11+BS$2,$A$6:$C$106,2,FALSE)*VLOOKUP(BS$1,'Attrition Modeling'!$L$15:$N$27,IF(BS$2+$F11&lt;=24,2,3),FALSE)),$C$3)*(1+Projection!BZ$16)*(1+IF(BS143&gt;0,'Attrition Modeling'!$N$9,0)))</f>
        <v>0</v>
      </c>
      <c r="BT11" s="799" t="e">
        <f>(BS11+BT143)*(1-IFERROR(IF(BT$2+$F11&lt;=12,SUMIFS('Attrition Modeling'!$D:$D,'Attrition Modeling'!$B:$B,'IP Attrition'!$D11,'Attrition Modeling'!$C:$C,'IP Attrition'!BT$1),VLOOKUP($F11+BT$2,$A$6:$C$106,2,FALSE)*VLOOKUP(BT$1,'Attrition Modeling'!$L$15:$N$27,IF(BT$2+$F11&lt;=24,2,3),FALSE)),$C$3)*(1+Projection!CA$16)*(1+IF(BT143&gt;0,'Attrition Modeling'!$N$9,0)))</f>
        <v>#REF!</v>
      </c>
      <c r="BU11" s="799" t="e">
        <f>(BT11+BU143)*(1-IFERROR(IF(BU$2+$F11&lt;=12,SUMIFS('Attrition Modeling'!$D:$D,'Attrition Modeling'!$B:$B,'IP Attrition'!$D11,'Attrition Modeling'!$C:$C,'IP Attrition'!BU$1),VLOOKUP($F11+BU$2,$A$6:$C$106,2,FALSE)*VLOOKUP(BU$1,'Attrition Modeling'!$L$15:$N$27,IF(BU$2+$F11&lt;=24,2,3),FALSE)),$C$3)*(1+Projection!CB$16)*(1+IF(BU143&gt;0,'Attrition Modeling'!$N$9,0)))</f>
        <v>#REF!</v>
      </c>
    </row>
    <row r="12" spans="1:73" ht="14.25" customHeight="1" x14ac:dyDescent="0.2">
      <c r="A12" s="9">
        <v>5</v>
      </c>
      <c r="B12" s="25" t="e">
        <f>MAX('Attrition Modeling'!H9,$C$3)*(1-Summary!$C$20)</f>
        <v>#DIV/0!</v>
      </c>
      <c r="C12" s="24" t="e">
        <f t="shared" si="3"/>
        <v>#DIV/0!</v>
      </c>
      <c r="D12" s="11">
        <f t="shared" si="1"/>
        <v>-9</v>
      </c>
      <c r="E12" s="807">
        <f t="array" ref="E12">INDEX('Attrition Modeling'!$X$2:$AF$63,MATCH($F12,'Attrition Modeling'!$X$2:$X$63,0),MATCH(Inputs!$C$10,'Attrition Modeling'!$X$2:$AF$2,0))</f>
        <v>3.5488958990536279E-2</v>
      </c>
      <c r="F12" s="11">
        <f t="shared" si="2"/>
        <v>9</v>
      </c>
      <c r="G12" s="799">
        <f>Summary!$C$25*$E12</f>
        <v>0</v>
      </c>
      <c r="H12" s="808">
        <f>(G12+H144)*(1-IFERROR(IF(H$2+$F12&lt;=12,SUMIFS('Attrition Modeling'!$D:$D,'Attrition Modeling'!$B:$B,'IP Attrition'!$D12,'Attrition Modeling'!$C:$C,'IP Attrition'!H$1),VLOOKUP($F12+H$2,$A$6:$C$106,2,FALSE)*VLOOKUP(H$1,'Attrition Modeling'!$L$15:$N$27,IF(H$2+$F12&lt;=24,2,3),FALSE)),$C$3)*(1+Projection!J$16)*(1+IF(H144&gt;0,'Attrition Modeling'!$N$9,0)))</f>
        <v>0</v>
      </c>
      <c r="I12" s="808">
        <f>(H12+I144)*(1-IFERROR(IF(I$2+$F12&lt;=12,SUMIFS('Attrition Modeling'!$D:$D,'Attrition Modeling'!$B:$B,'IP Attrition'!$D12,'Attrition Modeling'!$C:$C,'IP Attrition'!I$1),VLOOKUP($F12+I$2,$A$6:$C$106,2,FALSE)*VLOOKUP(I$1,'Attrition Modeling'!$L$15:$N$27,IF(I$2+$F12&lt;=24,2,3),FALSE)),$C$3)*(1+Projection!K$16)*(1+IF(I144&gt;0,'Attrition Modeling'!$N$9,0)))</f>
        <v>0</v>
      </c>
      <c r="J12" s="808">
        <f>(I12+J144)*(1-IFERROR(IF(J$2+$F12&lt;=12,SUMIFS('Attrition Modeling'!$D:$D,'Attrition Modeling'!$B:$B,'IP Attrition'!$D12,'Attrition Modeling'!$C:$C,'IP Attrition'!J$1),VLOOKUP($F12+J$2,$A$6:$C$106,2,FALSE)*VLOOKUP(J$1,'Attrition Modeling'!$L$15:$N$27,IF(J$2+$F12&lt;=24,2,3),FALSE)),$C$3)*(1+Projection!L$16)*(1+IF(J144&gt;0,'Attrition Modeling'!$N$9,0)))</f>
        <v>0</v>
      </c>
      <c r="K12" s="799">
        <f>(J12+K144)*(1-IFERROR(IF(K$2+$F12&lt;=12,SUMIFS('Attrition Modeling'!$D:$D,'Attrition Modeling'!$B:$B,'IP Attrition'!$D12,'Attrition Modeling'!$C:$C,'IP Attrition'!K$1),VLOOKUP($F12+K$2,$A$6:$C$106,2,FALSE)*VLOOKUP(K$1,'Attrition Modeling'!$L$15:$N$27,IF(K$2+$F12&lt;=24,2,3),FALSE)),$C$3)*(1+Projection!M$16)*(1+IF(K144&gt;0,'Attrition Modeling'!$N$9,0)))</f>
        <v>0</v>
      </c>
      <c r="L12" s="799">
        <f>(K12+L144)*(1-IFERROR(IF(L$2+$F12&lt;=12,SUMIFS('Attrition Modeling'!$D:$D,'Attrition Modeling'!$B:$B,'IP Attrition'!$D12,'Attrition Modeling'!$C:$C,'IP Attrition'!L$1),VLOOKUP($F12+L$2,$A$6:$C$106,2,FALSE)*VLOOKUP(L$1,'Attrition Modeling'!$L$15:$N$27,IF(L$2+$F12&lt;=24,2,3),FALSE)),$C$3)*(1+Projection!N$16)*(1+IF(L144&gt;0,'Attrition Modeling'!$N$9,0)))</f>
        <v>0</v>
      </c>
      <c r="M12" s="799">
        <f>(L12+M144)*(1-IFERROR(IF(M$2+$F12&lt;=12,SUMIFS('Attrition Modeling'!$D:$D,'Attrition Modeling'!$B:$B,'IP Attrition'!$D12,'Attrition Modeling'!$C:$C,'IP Attrition'!M$1),VLOOKUP($F12+M$2,$A$6:$C$106,2,FALSE)*VLOOKUP(M$1,'Attrition Modeling'!$L$15:$N$27,IF(M$2+$F12&lt;=24,2,3),FALSE)),$C$3)*(1+Projection!O$16)*(1+IF(M144&gt;0,'Attrition Modeling'!$N$9,0)))</f>
        <v>0</v>
      </c>
      <c r="N12" s="799">
        <f>(M12+N144)*(1-IFERROR(IF(N$2+$F12&lt;=12,SUMIFS('Attrition Modeling'!$D:$D,'Attrition Modeling'!$B:$B,'IP Attrition'!$D12,'Attrition Modeling'!$C:$C,'IP Attrition'!N$1),VLOOKUP($F12+N$2,$A$6:$C$106,2,FALSE)*VLOOKUP(N$1,'Attrition Modeling'!$L$15:$N$27,IF(N$2+$F12&lt;=24,2,3),FALSE)),$C$3)*(1+Projection!P$16)*(1+IF(N144&gt;0,'Attrition Modeling'!$N$9,0)))</f>
        <v>0</v>
      </c>
      <c r="O12" s="799">
        <f>(N12+O144)*(1-IFERROR(IF(O$2+$F12&lt;=12,SUMIFS('Attrition Modeling'!$D:$D,'Attrition Modeling'!$B:$B,'IP Attrition'!$D12,'Attrition Modeling'!$C:$C,'IP Attrition'!O$1),VLOOKUP($F12+O$2,$A$6:$C$106,2,FALSE)*VLOOKUP(O$1,'Attrition Modeling'!$L$15:$N$27,IF(O$2+$F12&lt;=24,2,3),FALSE)),$C$3)*(1+Projection!Q$16)*(1+IF(O144&gt;0,'Attrition Modeling'!$N$9,0)))</f>
        <v>0</v>
      </c>
      <c r="P12" s="799">
        <f>(O12+P144)*(1-IFERROR(IF(P$2+$F12&lt;=12,SUMIFS('Attrition Modeling'!$D:$D,'Attrition Modeling'!$B:$B,'IP Attrition'!$D12,'Attrition Modeling'!$C:$C,'IP Attrition'!P$1),VLOOKUP($F12+P$2,$A$6:$C$106,2,FALSE)*VLOOKUP(P$1,'Attrition Modeling'!$L$15:$N$27,IF(P$2+$F12&lt;=24,2,3),FALSE)),$C$3)*(1+Projection!R$16)*(1+IF(P144&gt;0,'Attrition Modeling'!$N$9,0)))</f>
        <v>0</v>
      </c>
      <c r="Q12" s="799">
        <f>(P12+Q144)*(1-IFERROR(IF(Q$2+$F12&lt;=12,SUMIFS('Attrition Modeling'!$D:$D,'Attrition Modeling'!$B:$B,'IP Attrition'!$D12,'Attrition Modeling'!$C:$C,'IP Attrition'!Q$1),VLOOKUP($F12+Q$2,$A$6:$C$106,2,FALSE)*VLOOKUP(Q$1,'Attrition Modeling'!$L$15:$N$27,IF(Q$2+$F12&lt;=24,2,3),FALSE)),$C$3)*(1+Projection!S$16)*(1+IF(Q144&gt;0,'Attrition Modeling'!$N$9,0)))</f>
        <v>0</v>
      </c>
      <c r="R12" s="799">
        <f>(Q12+R144)*(1-IFERROR(IF(R$2+$F12&lt;=12,SUMIFS('Attrition Modeling'!$D:$D,'Attrition Modeling'!$B:$B,'IP Attrition'!$D12,'Attrition Modeling'!$C:$C,'IP Attrition'!R$1),VLOOKUP($F12+R$2,$A$6:$C$106,2,FALSE)*VLOOKUP(R$1,'Attrition Modeling'!$L$15:$N$27,IF(R$2+$F12&lt;=24,2,3),FALSE)),$C$3)*(1+Projection!T$16)*(1+IF(R144&gt;0,'Attrition Modeling'!$N$9,0)))</f>
        <v>0</v>
      </c>
      <c r="S12" s="799">
        <f>(R12+S144)*(1-IFERROR(IF(S$2+$F12&lt;=12,SUMIFS('Attrition Modeling'!$D:$D,'Attrition Modeling'!$B:$B,'IP Attrition'!$D12,'Attrition Modeling'!$C:$C,'IP Attrition'!S$1),VLOOKUP($F12+S$2,$A$6:$C$106,2,FALSE)*VLOOKUP(S$1,'Attrition Modeling'!$L$15:$N$27,IF(S$2+$F12&lt;=24,2,3),FALSE)),$C$3)*(1+Projection!U$16)*(1+IF(S144&gt;0,'Attrition Modeling'!$N$9,0)))</f>
        <v>0</v>
      </c>
      <c r="T12" s="799">
        <f>(S12+T144)*(1-IFERROR(IF(T$2+$F12&lt;=12,SUMIFS('Attrition Modeling'!$D:$D,'Attrition Modeling'!$B:$B,'IP Attrition'!$D12,'Attrition Modeling'!$C:$C,'IP Attrition'!T$1),VLOOKUP($F12+T$2,$A$6:$C$106,2,FALSE)*VLOOKUP(T$1,'Attrition Modeling'!$L$15:$N$27,IF(T$2+$F12&lt;=24,2,3),FALSE)),$C$3)*(1+Projection!V$16)*(1+IF(T144&gt;0,'Attrition Modeling'!$N$9,0)))</f>
        <v>0</v>
      </c>
      <c r="U12" s="799">
        <f>(T12+U144)*(1-IFERROR(IF(U$2+$F12&lt;=12,SUMIFS('Attrition Modeling'!$D:$D,'Attrition Modeling'!$B:$B,'IP Attrition'!$D12,'Attrition Modeling'!$C:$C,'IP Attrition'!U$1),VLOOKUP($F12+U$2,$A$6:$C$106,2,FALSE)*VLOOKUP(U$1,'Attrition Modeling'!$L$15:$N$27,IF(U$2+$F12&lt;=24,2,3),FALSE)),$C$3)*(1+Projection!W$16)*(1+IF(U144&gt;0,'Attrition Modeling'!$N$9,0)))</f>
        <v>0</v>
      </c>
      <c r="V12" s="799">
        <f>(U12+V144)*(1-IFERROR(IF(V$2+$F12&lt;=12,SUMIFS('Attrition Modeling'!$D:$D,'Attrition Modeling'!$B:$B,'IP Attrition'!$D12,'Attrition Modeling'!$C:$C,'IP Attrition'!V$1),VLOOKUP($F12+V$2,$A$6:$C$106,2,FALSE)*VLOOKUP(V$1,'Attrition Modeling'!$L$15:$N$27,IF(V$2+$F12&lt;=24,2,3),FALSE)),$C$3)*(1+Projection!X$16)*(1+IF(V144&gt;0,'Attrition Modeling'!$N$9,0)))</f>
        <v>0</v>
      </c>
      <c r="W12" s="799">
        <f>(V12+W144)*(1-IFERROR(IF(W$2+$F12&lt;=12,SUMIFS('Attrition Modeling'!$D:$D,'Attrition Modeling'!$B:$B,'IP Attrition'!$D12,'Attrition Modeling'!$C:$C,'IP Attrition'!W$1),VLOOKUP($F12+W$2,$A$6:$C$106,2,FALSE)*VLOOKUP(W$1,'Attrition Modeling'!$L$15:$N$27,IF(W$2+$F12&lt;=24,2,3),FALSE)),$C$3)*(1+Projection!Y$16)*(1+IF(W144&gt;0,'Attrition Modeling'!$N$9,0)))</f>
        <v>0</v>
      </c>
      <c r="X12" s="799">
        <f>(W12+X144)*(1-IFERROR(IF(X$2+$F12&lt;=12,SUMIFS('Attrition Modeling'!$D:$D,'Attrition Modeling'!$B:$B,'IP Attrition'!$D12,'Attrition Modeling'!$C:$C,'IP Attrition'!X$1),VLOOKUP($F12+X$2,$A$6:$C$106,2,FALSE)*VLOOKUP(X$1,'Attrition Modeling'!$L$15:$N$27,IF(X$2+$F12&lt;=24,2,3),FALSE)),$C$3)*(1+Projection!Z$16)*(1+IF(X144&gt;0,'Attrition Modeling'!$N$9,0)))</f>
        <v>0</v>
      </c>
      <c r="Y12" s="799">
        <f>(X12+Y144)*(1-IFERROR(IF(Y$2+$F12&lt;=12,SUMIFS('Attrition Modeling'!$D:$D,'Attrition Modeling'!$B:$B,'IP Attrition'!$D12,'Attrition Modeling'!$C:$C,'IP Attrition'!Y$1),VLOOKUP($F12+Y$2,$A$6:$C$106,2,FALSE)*VLOOKUP(Y$1,'Attrition Modeling'!$L$15:$N$27,IF(Y$2+$F12&lt;=24,2,3),FALSE)),$C$3)*(1+Projection!AA$16)*(1+IF(Y144&gt;0,'Attrition Modeling'!$N$9,0)))</f>
        <v>0</v>
      </c>
      <c r="Z12" s="799">
        <f>(Y12+Z144)*(1-IFERROR(IF(Z$2+$F12&lt;=12,SUMIFS('Attrition Modeling'!$D:$D,'Attrition Modeling'!$B:$B,'IP Attrition'!$D12,'Attrition Modeling'!$C:$C,'IP Attrition'!Z$1),VLOOKUP($F12+Z$2,$A$6:$C$106,2,FALSE)*VLOOKUP(Z$1,'Attrition Modeling'!$L$15:$N$27,IF(Z$2+$F12&lt;=24,2,3),FALSE)),$C$3)*(1+Projection!AB$16)*(1+IF(Z144&gt;0,'Attrition Modeling'!$N$9,0)))</f>
        <v>0</v>
      </c>
      <c r="AA12" s="799">
        <f>(Z12+AA144)*(1-IFERROR(IF(AA$2+$F12&lt;=12,SUMIFS('Attrition Modeling'!$D:$D,'Attrition Modeling'!$B:$B,'IP Attrition'!$D12,'Attrition Modeling'!$C:$C,'IP Attrition'!AA$1),VLOOKUP($F12+AA$2,$A$6:$C$106,2,FALSE)*VLOOKUP(AA$1,'Attrition Modeling'!$L$15:$N$27,IF(AA$2+$F12&lt;=24,2,3),FALSE)),$C$3)*(1+Projection!AC$16)*(1+IF(AA144&gt;0,'Attrition Modeling'!$N$9,0)))</f>
        <v>0</v>
      </c>
      <c r="AB12" s="799">
        <f>(AA12+AB144)*(1-IFERROR(IF(AB$2+$F12&lt;=12,SUMIFS('Attrition Modeling'!$D:$D,'Attrition Modeling'!$B:$B,'IP Attrition'!$D12,'Attrition Modeling'!$C:$C,'IP Attrition'!AB$1),VLOOKUP($F12+AB$2,$A$6:$C$106,2,FALSE)*VLOOKUP(AB$1,'Attrition Modeling'!$L$15:$N$27,IF(AB$2+$F12&lt;=24,2,3),FALSE)),$C$3)*(1+Projection!AD$16)*(1+IF(AB144&gt;0,'Attrition Modeling'!$N$9,0)))</f>
        <v>0</v>
      </c>
      <c r="AC12" s="799">
        <f>(AB12+AC144)*(1-IFERROR(IF(AC$2+$F12&lt;=12,SUMIFS('Attrition Modeling'!$D:$D,'Attrition Modeling'!$B:$B,'IP Attrition'!$D12,'Attrition Modeling'!$C:$C,'IP Attrition'!AC$1),VLOOKUP($F12+AC$2,$A$6:$C$106,2,FALSE)*VLOOKUP(AC$1,'Attrition Modeling'!$L$15:$N$27,IF(AC$2+$F12&lt;=24,2,3),FALSE)),$C$3)*(1+Projection!AE$16)*(1+IF(AC144&gt;0,'Attrition Modeling'!$N$9,0)))</f>
        <v>0</v>
      </c>
      <c r="AD12" s="799">
        <f>(AC12+AD144)*(1-IFERROR(IF(AD$2+$F12&lt;=12,SUMIFS('Attrition Modeling'!$D:$D,'Attrition Modeling'!$B:$B,'IP Attrition'!$D12,'Attrition Modeling'!$C:$C,'IP Attrition'!AD$1),VLOOKUP($F12+AD$2,$A$6:$C$106,2,FALSE)*VLOOKUP(AD$1,'Attrition Modeling'!$L$15:$N$27,IF(AD$2+$F12&lt;=24,2,3),FALSE)),$C$3)*(1+Projection!AF$16)*(1+IF(AD144&gt;0,'Attrition Modeling'!$N$9,0)))</f>
        <v>0</v>
      </c>
      <c r="AE12" s="799">
        <f>(AD12+AE144)*(1-IFERROR(IF(AE$2+$F12&lt;=12,SUMIFS('Attrition Modeling'!$D:$D,'Attrition Modeling'!$B:$B,'IP Attrition'!$D12,'Attrition Modeling'!$C:$C,'IP Attrition'!AE$1),VLOOKUP($F12+AE$2,$A$6:$C$106,2,FALSE)*VLOOKUP(AE$1,'Attrition Modeling'!$L$15:$N$27,IF(AE$2+$F12&lt;=24,2,3),FALSE)),$C$3)*(1+Projection!AG$16)*(1+IF(AE144&gt;0,'Attrition Modeling'!$N$9,0)))</f>
        <v>0</v>
      </c>
      <c r="AF12" s="799">
        <f>(AE12+AF144)*(1-IFERROR(IF(AF$2+$F12&lt;=12,SUMIFS('Attrition Modeling'!$D:$D,'Attrition Modeling'!$B:$B,'IP Attrition'!$D12,'Attrition Modeling'!$C:$C,'IP Attrition'!AF$1),VLOOKUP($F12+AF$2,$A$6:$C$106,2,FALSE)*VLOOKUP(AF$1,'Attrition Modeling'!$L$15:$N$27,IF(AF$2+$F12&lt;=24,2,3),FALSE)),$C$3)*(1+Projection!AH$16)*(1+IF(AF144&gt;0,'Attrition Modeling'!$N$9,0)))</f>
        <v>0</v>
      </c>
      <c r="AG12" s="799">
        <f>(AF12+AG144)*(1-IFERROR(IF(AG$2+$F12&lt;=12,SUMIFS('Attrition Modeling'!$D:$D,'Attrition Modeling'!$B:$B,'IP Attrition'!$D12,'Attrition Modeling'!$C:$C,'IP Attrition'!AG$1),VLOOKUP($F12+AG$2,$A$6:$C$106,2,FALSE)*VLOOKUP(AG$1,'Attrition Modeling'!$L$15:$N$27,IF(AG$2+$F12&lt;=24,2,3),FALSE)),$C$3)*(1+Projection!AI$16)*(1+IF(AG144&gt;0,'Attrition Modeling'!$N$9,0)))</f>
        <v>0</v>
      </c>
      <c r="AH12" s="799">
        <f>(AG12+AH144)*(1-IFERROR(IF(AH$2+$F12&lt;=12,SUMIFS('Attrition Modeling'!$D:$D,'Attrition Modeling'!$B:$B,'IP Attrition'!$D12,'Attrition Modeling'!$C:$C,'IP Attrition'!AH$1),VLOOKUP($F12+AH$2,$A$6:$C$106,2,FALSE)*VLOOKUP(AH$1,'Attrition Modeling'!$L$15:$N$27,IF(AH$2+$F12&lt;=24,2,3),FALSE)),$C$3)*(1+Projection!AJ$16)*(1+IF(AH144&gt;0,'Attrition Modeling'!$N$9,0)))</f>
        <v>0</v>
      </c>
      <c r="AI12" s="799">
        <f>(AH12+AI144)*(1-IFERROR(IF(AI$2+$F12&lt;=12,SUMIFS('Attrition Modeling'!$D:$D,'Attrition Modeling'!$B:$B,'IP Attrition'!$D12,'Attrition Modeling'!$C:$C,'IP Attrition'!AI$1),VLOOKUP($F12+AI$2,$A$6:$C$106,2,FALSE)*VLOOKUP(AI$1,'Attrition Modeling'!$L$15:$N$27,IF(AI$2+$F12&lt;=24,2,3),FALSE)),$C$3)*(1+Projection!AK$16)*(1+IF(AI144&gt;0,'Attrition Modeling'!$N$9,0)))</f>
        <v>0</v>
      </c>
      <c r="AJ12" s="799">
        <f>(AI12+AJ144)*(1-IFERROR(IF(AJ$2+$F12&lt;=12,SUMIFS('Attrition Modeling'!$D:$D,'Attrition Modeling'!$B:$B,'IP Attrition'!$D12,'Attrition Modeling'!$C:$C,'IP Attrition'!AJ$1),VLOOKUP($F12+AJ$2,$A$6:$C$106,2,FALSE)*VLOOKUP(AJ$1,'Attrition Modeling'!$L$15:$N$27,IF(AJ$2+$F12&lt;=24,2,3),FALSE)),$C$3)*(1+Projection!AL$16)*(1+IF(AJ144&gt;0,'Attrition Modeling'!$N$9,0)))</f>
        <v>0</v>
      </c>
      <c r="AK12" s="799">
        <f>(AJ12+AK144)*(1-IFERROR(IF(AK$2+$F12&lt;=12,SUMIFS('Attrition Modeling'!$D:$D,'Attrition Modeling'!$B:$B,'IP Attrition'!$D12,'Attrition Modeling'!$C:$C,'IP Attrition'!AK$1),VLOOKUP($F12+AK$2,$A$6:$C$106,2,FALSE)*VLOOKUP(AK$1,'Attrition Modeling'!$L$15:$N$27,IF(AK$2+$F12&lt;=24,2,3),FALSE)),$C$3)*(1+Projection!AM$16)*(1+IF(AK144&gt;0,'Attrition Modeling'!$N$9,0)))</f>
        <v>0</v>
      </c>
      <c r="AL12" s="799">
        <f>(AK12+AL144)*(1-IFERROR(IF(AL$2+$F12&lt;=12,SUMIFS('Attrition Modeling'!$D:$D,'Attrition Modeling'!$B:$B,'IP Attrition'!$D12,'Attrition Modeling'!$C:$C,'IP Attrition'!AL$1),VLOOKUP($F12+AL$2,$A$6:$C$106,2,FALSE)*VLOOKUP(AL$1,'Attrition Modeling'!$L$15:$N$27,IF(AL$2+$F12&lt;=24,2,3),FALSE)),$C$3)*(1+Projection!AN$16)*(1+IF(AL144&gt;0,'Attrition Modeling'!$N$9,0)))</f>
        <v>0</v>
      </c>
      <c r="AM12" s="799">
        <f>(AL12+AM144)*(1-IFERROR(IF(AM$2+$F12&lt;=12,SUMIFS('Attrition Modeling'!$D:$D,'Attrition Modeling'!$B:$B,'IP Attrition'!$D12,'Attrition Modeling'!$C:$C,'IP Attrition'!AM$1),VLOOKUP($F12+AM$2,$A$6:$C$106,2,FALSE)*VLOOKUP(AM$1,'Attrition Modeling'!$L$15:$N$27,IF(AM$2+$F12&lt;=24,2,3),FALSE)),$C$3)*(1+Projection!AO$16)*(1+IF(AM144&gt;0,'Attrition Modeling'!$N$9,0)))</f>
        <v>0</v>
      </c>
      <c r="AN12" s="799">
        <f>(AM12+AN144)*(1-IFERROR(IF(AN$2+$F12&lt;=12,SUMIFS('Attrition Modeling'!$D:$D,'Attrition Modeling'!$B:$B,'IP Attrition'!$D12,'Attrition Modeling'!$C:$C,'IP Attrition'!AN$1),VLOOKUP($F12+AN$2,$A$6:$C$106,2,FALSE)*VLOOKUP(AN$1,'Attrition Modeling'!$L$15:$N$27,IF(AN$2+$F12&lt;=24,2,3),FALSE)),$C$3)*(1+Projection!AP$16)*(1+IF(AN144&gt;0,'Attrition Modeling'!$N$9,0)))</f>
        <v>0</v>
      </c>
      <c r="AO12" s="799">
        <f>(AN12+AO144)*(1-IFERROR(IF(AO$2+$F12&lt;=12,SUMIFS('Attrition Modeling'!$D:$D,'Attrition Modeling'!$B:$B,'IP Attrition'!$D12,'Attrition Modeling'!$C:$C,'IP Attrition'!AO$1),VLOOKUP($F12+AO$2,$A$6:$C$106,2,FALSE)*VLOOKUP(AO$1,'Attrition Modeling'!$L$15:$N$27,IF(AO$2+$F12&lt;=24,2,3),FALSE)),$C$3)*(1+Projection!AQ$16)*(1+IF(AO144&gt;0,'Attrition Modeling'!$N$9,0)))</f>
        <v>0</v>
      </c>
      <c r="AP12" s="799">
        <f>(AO12+AP144)*(1-IFERROR(IF(AP$2+$F12&lt;=12,SUMIFS('Attrition Modeling'!$D:$D,'Attrition Modeling'!$B:$B,'IP Attrition'!$D12,'Attrition Modeling'!$C:$C,'IP Attrition'!AP$1),VLOOKUP($F12+AP$2,$A$6:$C$106,2,FALSE)*VLOOKUP(AP$1,'Attrition Modeling'!$L$15:$N$27,IF(AP$2+$F12&lt;=24,2,3),FALSE)),$C$3)*(1+Projection!AR$16)*(1+IF(AP144&gt;0,'Attrition Modeling'!$N$9,0)))</f>
        <v>0</v>
      </c>
      <c r="AQ12" s="799">
        <f>(AP12+AQ144)*(1-IFERROR(IF(AQ$2+$F12&lt;=12,SUMIFS('Attrition Modeling'!$D:$D,'Attrition Modeling'!$B:$B,'IP Attrition'!$D12,'Attrition Modeling'!$C:$C,'IP Attrition'!AQ$1),VLOOKUP($F12+AQ$2,$A$6:$C$106,2,FALSE)*VLOOKUP(AQ$1,'Attrition Modeling'!$L$15:$N$27,IF(AQ$2+$F12&lt;=24,2,3),FALSE)),$C$3)*(1+Projection!AS$16)*(1+IF(AQ144&gt;0,'Attrition Modeling'!$N$9,0)))</f>
        <v>0</v>
      </c>
      <c r="AR12" s="799">
        <f>(AQ12+AR144)*(1-IFERROR(IF(AR$2+$F12&lt;=12,SUMIFS('Attrition Modeling'!$D:$D,'Attrition Modeling'!$B:$B,'IP Attrition'!$D12,'Attrition Modeling'!$C:$C,'IP Attrition'!AR$1),VLOOKUP($F12+AR$2,$A$6:$C$106,2,FALSE)*VLOOKUP(AR$1,'Attrition Modeling'!$L$15:$N$27,IF(AR$2+$F12&lt;=24,2,3),FALSE)),$C$3)*(1+Projection!AT$16)*(1+IF(AR144&gt;0,'Attrition Modeling'!$N$9,0)))</f>
        <v>0</v>
      </c>
      <c r="AS12" s="799">
        <f>(AR12+AS144)*(1-IFERROR(IF(AS$2+$F12&lt;=12,SUMIFS('Attrition Modeling'!$D:$D,'Attrition Modeling'!$B:$B,'IP Attrition'!$D12,'Attrition Modeling'!$C:$C,'IP Attrition'!AS$1),VLOOKUP($F12+AS$2,$A$6:$C$106,2,FALSE)*VLOOKUP(AS$1,'Attrition Modeling'!$L$15:$N$27,IF(AS$2+$F12&lt;=24,2,3),FALSE)),$C$3)*(1+Projection!AU$16)*(1+IF(AS144&gt;0,'Attrition Modeling'!$N$9,0)))</f>
        <v>0</v>
      </c>
      <c r="AT12" s="799">
        <f>(AS12+AT144)*(1-IFERROR(IF(AT$2+$F12&lt;=12,SUMIFS('Attrition Modeling'!$D:$D,'Attrition Modeling'!$B:$B,'IP Attrition'!$D12,'Attrition Modeling'!$C:$C,'IP Attrition'!AT$1),VLOOKUP($F12+AT$2,$A$6:$C$106,2,FALSE)*VLOOKUP(AT$1,'Attrition Modeling'!$L$15:$N$27,IF(AT$2+$F12&lt;=24,2,3),FALSE)),$C$3)*(1+Projection!AV$16)*(1+IF(AT144&gt;0,'Attrition Modeling'!$N$9,0)))</f>
        <v>0</v>
      </c>
      <c r="AU12" s="799">
        <f>(AT12+AU144)*(1-IFERROR(IF(AU$2+$F12&lt;=12,SUMIFS('Attrition Modeling'!$D:$D,'Attrition Modeling'!$B:$B,'IP Attrition'!$D12,'Attrition Modeling'!$C:$C,'IP Attrition'!AU$1),VLOOKUP($F12+AU$2,$A$6:$C$106,2,FALSE)*VLOOKUP(AU$1,'Attrition Modeling'!$L$15:$N$27,IF(AU$2+$F12&lt;=24,2,3),FALSE)),$C$3)*(1+Projection!AW$16)*(1+IF(AU144&gt;0,'Attrition Modeling'!$N$9,0)))</f>
        <v>0</v>
      </c>
      <c r="AV12" s="799">
        <f>(AU12+AV144)*(1-IFERROR(IF(AV$2+$F12&lt;=12,SUMIFS('Attrition Modeling'!$D:$D,'Attrition Modeling'!$B:$B,'IP Attrition'!$D12,'Attrition Modeling'!$C:$C,'IP Attrition'!AV$1),VLOOKUP($F12+AV$2,$A$6:$C$106,2,FALSE)*VLOOKUP(AV$1,'Attrition Modeling'!$L$15:$N$27,IF(AV$2+$F12&lt;=24,2,3),FALSE)),$C$3)*(1+Projection!AX$16)*(1+IF(AV144&gt;0,'Attrition Modeling'!$N$9,0)))</f>
        <v>0</v>
      </c>
      <c r="AW12" s="799">
        <f>(AV12+AW144)*(1-IFERROR(IF(AW$2+$F12&lt;=12,SUMIFS('Attrition Modeling'!$D:$D,'Attrition Modeling'!$B:$B,'IP Attrition'!$D12,'Attrition Modeling'!$C:$C,'IP Attrition'!AW$1),VLOOKUP($F12+AW$2,$A$6:$C$106,2,FALSE)*VLOOKUP(AW$1,'Attrition Modeling'!$L$15:$N$27,IF(AW$2+$F12&lt;=24,2,3),FALSE)),$C$3)*(1+Projection!AY$16)*(1+IF(AW144&gt;0,'Attrition Modeling'!$N$9,0)))</f>
        <v>0</v>
      </c>
      <c r="AX12" s="799">
        <f>(AW12+AX144)*(1-IFERROR(IF(AX$2+$F12&lt;=12,SUMIFS('Attrition Modeling'!$D:$D,'Attrition Modeling'!$B:$B,'IP Attrition'!$D12,'Attrition Modeling'!$C:$C,'IP Attrition'!AX$1),VLOOKUP($F12+AX$2,$A$6:$C$106,2,FALSE)*VLOOKUP(AX$1,'Attrition Modeling'!$L$15:$N$27,IF(AX$2+$F12&lt;=24,2,3),FALSE)),$C$3)*(1+Projection!AZ$16)*(1+IF(AX144&gt;0,'Attrition Modeling'!$N$9,0)))</f>
        <v>0</v>
      </c>
      <c r="AY12" s="799">
        <f>(AX12+AY144)*(1-IFERROR(IF(AY$2+$F12&lt;=12,SUMIFS('Attrition Modeling'!$D:$D,'Attrition Modeling'!$B:$B,'IP Attrition'!$D12,'Attrition Modeling'!$C:$C,'IP Attrition'!AY$1),VLOOKUP($F12+AY$2,$A$6:$C$106,2,FALSE)*VLOOKUP(AY$1,'Attrition Modeling'!$L$15:$N$27,IF(AY$2+$F12&lt;=24,2,3),FALSE)),$C$3)*(1+Projection!BA$16)*(1+IF(AY144&gt;0,'Attrition Modeling'!$N$9,0)))</f>
        <v>0</v>
      </c>
      <c r="AZ12" s="799">
        <f>(AY12+AZ144)*(1-IFERROR(IF(AZ$2+$F12&lt;=12,SUMIFS('Attrition Modeling'!$D:$D,'Attrition Modeling'!$B:$B,'IP Attrition'!$D12,'Attrition Modeling'!$C:$C,'IP Attrition'!AZ$1),VLOOKUP($F12+AZ$2,$A$6:$C$106,2,FALSE)*VLOOKUP(AZ$1,'Attrition Modeling'!$L$15:$N$27,IF(AZ$2+$F12&lt;=24,2,3),FALSE)),$C$3)*(1+Projection!BB$16)*(1+IF(AZ144&gt;0,'Attrition Modeling'!$N$9,0)))</f>
        <v>0</v>
      </c>
      <c r="BA12" s="799">
        <f>(AZ12+BA144)*(1-IFERROR(IF(BA$2+$F12&lt;=12,SUMIFS('Attrition Modeling'!$D:$D,'Attrition Modeling'!$B:$B,'IP Attrition'!$D12,'Attrition Modeling'!$C:$C,'IP Attrition'!BA$1),VLOOKUP($F12+BA$2,$A$6:$C$106,2,FALSE)*VLOOKUP(BA$1,'Attrition Modeling'!$L$15:$N$27,IF(BA$2+$F12&lt;=24,2,3),FALSE)),$C$3)*(1+Projection!BC$16)*(1+IF(BA144&gt;0,'Attrition Modeling'!$N$9,0)))</f>
        <v>0</v>
      </c>
      <c r="BB12" s="799">
        <f>(BA12+BB144)*(1-IFERROR(IF(BB$2+$F12&lt;=12,SUMIFS('Attrition Modeling'!$D:$D,'Attrition Modeling'!$B:$B,'IP Attrition'!$D12,'Attrition Modeling'!$C:$C,'IP Attrition'!BB$1),VLOOKUP($F12+BB$2,$A$6:$C$106,2,FALSE)*VLOOKUP(BB$1,'Attrition Modeling'!$L$15:$N$27,IF(BB$2+$F12&lt;=24,2,3),FALSE)),$C$3)*(1+Projection!BD$16)*(1+IF(BB144&gt;0,'Attrition Modeling'!$N$9,0)))</f>
        <v>0</v>
      </c>
      <c r="BC12" s="799">
        <f>(BB12+BC144)*(1-IFERROR(IF(BC$2+$F12&lt;=12,SUMIFS('Attrition Modeling'!$D:$D,'Attrition Modeling'!$B:$B,'IP Attrition'!$D12,'Attrition Modeling'!$C:$C,'IP Attrition'!BC$1),VLOOKUP($F12+BC$2,$A$6:$C$106,2,FALSE)*VLOOKUP(BC$1,'Attrition Modeling'!$L$15:$N$27,IF(BC$2+$F12&lt;=24,2,3),FALSE)),$C$3)*(1+Projection!BE$16)*(1+IF(BC144&gt;0,'Attrition Modeling'!$N$9,0)))</f>
        <v>0</v>
      </c>
      <c r="BD12" s="799">
        <f>(BC12+BD144)*(1-IFERROR(IF(BD$2+$F12&lt;=12,SUMIFS('Attrition Modeling'!$D:$D,'Attrition Modeling'!$B:$B,'IP Attrition'!$D12,'Attrition Modeling'!$C:$C,'IP Attrition'!BD$1),VLOOKUP($F12+BD$2,$A$6:$C$106,2,FALSE)*VLOOKUP(BD$1,'Attrition Modeling'!$L$15:$N$27,IF(BD$2+$F12&lt;=24,2,3),FALSE)),$C$3)*(1+Projection!BF$16)*(1+IF(BD144&gt;0,'Attrition Modeling'!$N$9,0)))</f>
        <v>0</v>
      </c>
      <c r="BE12" s="799">
        <f>(BD12+BE144)*(1-IFERROR(IF(BE$2+$F12&lt;=12,SUMIFS('Attrition Modeling'!$D:$D,'Attrition Modeling'!$B:$B,'IP Attrition'!$D12,'Attrition Modeling'!$C:$C,'IP Attrition'!BE$1),VLOOKUP($F12+BE$2,$A$6:$C$106,2,FALSE)*VLOOKUP(BE$1,'Attrition Modeling'!$L$15:$N$27,IF(BE$2+$F12&lt;=24,2,3),FALSE)),$C$3)*(1+Projection!BG$16)*(1+IF(BE144&gt;0,'Attrition Modeling'!$N$9,0)))</f>
        <v>0</v>
      </c>
      <c r="BF12" s="799">
        <f>(BE12+BF144)*(1-IFERROR(IF(BF$2+$F12&lt;=12,SUMIFS('Attrition Modeling'!$D:$D,'Attrition Modeling'!$B:$B,'IP Attrition'!$D12,'Attrition Modeling'!$C:$C,'IP Attrition'!BF$1),VLOOKUP($F12+BF$2,$A$6:$C$106,2,FALSE)*VLOOKUP(BF$1,'Attrition Modeling'!$L$15:$N$27,IF(BF$2+$F12&lt;=24,2,3),FALSE)),$C$3)*(1+Projection!BH$16)*(1+IF(BF144&gt;0,'Attrition Modeling'!$N$9,0)))</f>
        <v>0</v>
      </c>
      <c r="BG12" s="799">
        <f>(BF12+BG144)*(1-IFERROR(IF(BG$2+$F12&lt;=12,SUMIFS('Attrition Modeling'!$D:$D,'Attrition Modeling'!$B:$B,'IP Attrition'!$D12,'Attrition Modeling'!$C:$C,'IP Attrition'!BG$1),VLOOKUP($F12+BG$2,$A$6:$C$106,2,FALSE)*VLOOKUP(BG$1,'Attrition Modeling'!$L$15:$N$27,IF(BG$2+$F12&lt;=24,2,3),FALSE)),$C$3)*(1+Projection!BI$16)*(1+IF(BG144&gt;0,'Attrition Modeling'!$N$9,0)))</f>
        <v>0</v>
      </c>
      <c r="BH12" s="799">
        <f>(BG12+BH144)*(1-IFERROR(IF(BH$2+$F12&lt;=12,SUMIFS('Attrition Modeling'!$D:$D,'Attrition Modeling'!$B:$B,'IP Attrition'!$D12,'Attrition Modeling'!$C:$C,'IP Attrition'!BH$1),VLOOKUP($F12+BH$2,$A$6:$C$106,2,FALSE)*VLOOKUP(BH$1,'Attrition Modeling'!$L$15:$N$27,IF(BH$2+$F12&lt;=24,2,3),FALSE)),$C$3)*(1+Projection!BJ$16)*(1+IF(BH144&gt;0,'Attrition Modeling'!$N$9,0)))</f>
        <v>0</v>
      </c>
      <c r="BI12" s="799">
        <f>(BH12+BI144)*(1-IFERROR(IF(BI$2+$F12&lt;=12,SUMIFS('Attrition Modeling'!$D:$D,'Attrition Modeling'!$B:$B,'IP Attrition'!$D12,'Attrition Modeling'!$C:$C,'IP Attrition'!BI$1),VLOOKUP($F12+BI$2,$A$6:$C$106,2,FALSE)*VLOOKUP(BI$1,'Attrition Modeling'!$L$15:$N$27,IF(BI$2+$F12&lt;=24,2,3),FALSE)),$C$3)*(1+Projection!BK$16)*(1+IF(BI144&gt;0,'Attrition Modeling'!$N$9,0)))</f>
        <v>0</v>
      </c>
      <c r="BJ12" s="799">
        <f>(BI12+BJ144)*(1-IFERROR(IF(BJ$2+$F12&lt;=12,SUMIFS('Attrition Modeling'!$D:$D,'Attrition Modeling'!$B:$B,'IP Attrition'!$D12,'Attrition Modeling'!$C:$C,'IP Attrition'!BJ$1),VLOOKUP($F12+BJ$2,$A$6:$C$106,2,FALSE)*VLOOKUP(BJ$1,'Attrition Modeling'!$L$15:$N$27,IF(BJ$2+$F12&lt;=24,2,3),FALSE)),$C$3)*(1+Projection!BL$16)*(1+IF(BJ144&gt;0,'Attrition Modeling'!$N$9,0)))</f>
        <v>0</v>
      </c>
      <c r="BK12" s="799">
        <f>(BJ12+BK144)*(1-IFERROR(IF(BK$2+$F12&lt;=12,SUMIFS('Attrition Modeling'!$D:$D,'Attrition Modeling'!$B:$B,'IP Attrition'!$D12,'Attrition Modeling'!$C:$C,'IP Attrition'!BK$1),VLOOKUP($F12+BK$2,$A$6:$C$106,2,FALSE)*VLOOKUP(BK$1,'Attrition Modeling'!$L$15:$N$27,IF(BK$2+$F12&lt;=24,2,3),FALSE)),$C$3)*(1+Projection!BM$16)*(1+IF(BK144&gt;0,'Attrition Modeling'!$N$9,0)))</f>
        <v>0</v>
      </c>
      <c r="BL12" s="799">
        <f>(BK12+BL144)*(1-IFERROR(IF(BL$2+$F12&lt;=12,SUMIFS('Attrition Modeling'!$D:$D,'Attrition Modeling'!$B:$B,'IP Attrition'!$D12,'Attrition Modeling'!$C:$C,'IP Attrition'!BL$1),VLOOKUP($F12+BL$2,$A$6:$C$106,2,FALSE)*VLOOKUP(BL$1,'Attrition Modeling'!$L$15:$N$27,IF(BL$2+$F12&lt;=24,2,3),FALSE)),$C$3)*(1+Projection!BN$16)*(1+IF(BL144&gt;0,'Attrition Modeling'!$N$9,0)))</f>
        <v>0</v>
      </c>
      <c r="BM12" s="799">
        <f>(BL12+BM144)*(1-IFERROR(IF(BM$2+$F12&lt;=12,SUMIFS('Attrition Modeling'!$D:$D,'Attrition Modeling'!$B:$B,'IP Attrition'!$D12,'Attrition Modeling'!$C:$C,'IP Attrition'!BM$1),VLOOKUP($F12+BM$2,$A$6:$C$106,2,FALSE)*VLOOKUP(BM$1,'Attrition Modeling'!$L$15:$N$27,IF(BM$2+$F12&lt;=24,2,3),FALSE)),$C$3)*(1+Projection!BO$16)*(1+IF(BM144&gt;0,'Attrition Modeling'!$N$9,0)))</f>
        <v>0</v>
      </c>
      <c r="BN12" s="799">
        <f>(BM12+BN144)*(1-IFERROR(IF(BN$2+$F12&lt;=12,SUMIFS('Attrition Modeling'!$D:$D,'Attrition Modeling'!$B:$B,'IP Attrition'!$D12,'Attrition Modeling'!$C:$C,'IP Attrition'!BN$1),VLOOKUP($F12+BN$2,$A$6:$C$106,2,FALSE)*VLOOKUP(BN$1,'Attrition Modeling'!$L$15:$N$27,IF(BN$2+$F12&lt;=24,2,3),FALSE)),$C$3)*(1+Projection!BP$16)*(1+IF(BN144&gt;0,'Attrition Modeling'!$N$9,0)))</f>
        <v>0</v>
      </c>
      <c r="BO12" s="799">
        <f>(BN12+BO144)*(1-IFERROR(IF(BO$2+$F12&lt;=12,SUMIFS('Attrition Modeling'!$D:$D,'Attrition Modeling'!$B:$B,'IP Attrition'!$D12,'Attrition Modeling'!$C:$C,'IP Attrition'!BO$1),VLOOKUP($F12+BO$2,$A$6:$C$106,2,FALSE)*VLOOKUP(BO$1,'Attrition Modeling'!$L$15:$N$27,IF(BO$2+$F12&lt;=24,2,3),FALSE)),$C$3)*(1+Projection!BV$16)*(1+IF(BO144&gt;0,'Attrition Modeling'!$N$9,0)))</f>
        <v>0</v>
      </c>
      <c r="BP12" s="799">
        <f>(BO12+BP144)*(1-IFERROR(IF(BP$2+$F12&lt;=12,SUMIFS('Attrition Modeling'!$D:$D,'Attrition Modeling'!$B:$B,'IP Attrition'!$D12,'Attrition Modeling'!$C:$C,'IP Attrition'!BP$1),VLOOKUP($F12+BP$2,$A$6:$C$106,2,FALSE)*VLOOKUP(BP$1,'Attrition Modeling'!$L$15:$N$27,IF(BP$2+$F12&lt;=24,2,3),FALSE)),$C$3)*(1+Projection!BW$16)*(1+IF(BP144&gt;0,'Attrition Modeling'!$N$9,0)))</f>
        <v>0</v>
      </c>
      <c r="BQ12" s="799">
        <f>(BP12+BQ144)*(1-IFERROR(IF(BQ$2+$F12&lt;=12,SUMIFS('Attrition Modeling'!$D:$D,'Attrition Modeling'!$B:$B,'IP Attrition'!$D12,'Attrition Modeling'!$C:$C,'IP Attrition'!BQ$1),VLOOKUP($F12+BQ$2,$A$6:$C$106,2,FALSE)*VLOOKUP(BQ$1,'Attrition Modeling'!$L$15:$N$27,IF(BQ$2+$F12&lt;=24,2,3),FALSE)),$C$3)*(1+Projection!BX$16)*(1+IF(BQ144&gt;0,'Attrition Modeling'!$N$9,0)))</f>
        <v>0</v>
      </c>
      <c r="BR12" s="799">
        <f>(BQ12+BR144)*(1-IFERROR(IF(BR$2+$F12&lt;=12,SUMIFS('Attrition Modeling'!$D:$D,'Attrition Modeling'!$B:$B,'IP Attrition'!$D12,'Attrition Modeling'!$C:$C,'IP Attrition'!BR$1),VLOOKUP($F12+BR$2,$A$6:$C$106,2,FALSE)*VLOOKUP(BR$1,'Attrition Modeling'!$L$15:$N$27,IF(BR$2+$F12&lt;=24,2,3),FALSE)),$C$3)*(1+Projection!BY$16)*(1+IF(BR144&gt;0,'Attrition Modeling'!$N$9,0)))</f>
        <v>0</v>
      </c>
      <c r="BS12" s="799">
        <f>(BR12+BS144)*(1-IFERROR(IF(BS$2+$F12&lt;=12,SUMIFS('Attrition Modeling'!$D:$D,'Attrition Modeling'!$B:$B,'IP Attrition'!$D12,'Attrition Modeling'!$C:$C,'IP Attrition'!BS$1),VLOOKUP($F12+BS$2,$A$6:$C$106,2,FALSE)*VLOOKUP(BS$1,'Attrition Modeling'!$L$15:$N$27,IF(BS$2+$F12&lt;=24,2,3),FALSE)),$C$3)*(1+Projection!BZ$16)*(1+IF(BS144&gt;0,'Attrition Modeling'!$N$9,0)))</f>
        <v>0</v>
      </c>
      <c r="BT12" s="799" t="e">
        <f>(BS12+BT144)*(1-IFERROR(IF(BT$2+$F12&lt;=12,SUMIFS('Attrition Modeling'!$D:$D,'Attrition Modeling'!$B:$B,'IP Attrition'!$D12,'Attrition Modeling'!$C:$C,'IP Attrition'!BT$1),VLOOKUP($F12+BT$2,$A$6:$C$106,2,FALSE)*VLOOKUP(BT$1,'Attrition Modeling'!$L$15:$N$27,IF(BT$2+$F12&lt;=24,2,3),FALSE)),$C$3)*(1+Projection!CA$16)*(1+IF(BT144&gt;0,'Attrition Modeling'!$N$9,0)))</f>
        <v>#REF!</v>
      </c>
      <c r="BU12" s="799" t="e">
        <f>(BT12+BU144)*(1-IFERROR(IF(BU$2+$F12&lt;=12,SUMIFS('Attrition Modeling'!$D:$D,'Attrition Modeling'!$B:$B,'IP Attrition'!$D12,'Attrition Modeling'!$C:$C,'IP Attrition'!BU$1),VLOOKUP($F12+BU$2,$A$6:$C$106,2,FALSE)*VLOOKUP(BU$1,'Attrition Modeling'!$L$15:$N$27,IF(BU$2+$F12&lt;=24,2,3),FALSE)),$C$3)*(1+Projection!CB$16)*(1+IF(BU144&gt;0,'Attrition Modeling'!$N$9,0)))</f>
        <v>#REF!</v>
      </c>
    </row>
    <row r="13" spans="1:73" ht="14.25" customHeight="1" x14ac:dyDescent="0.2">
      <c r="A13" s="9">
        <v>6</v>
      </c>
      <c r="B13" s="25" t="e">
        <f>MAX('Attrition Modeling'!H10,$C$3)*(1-Summary!$C$20)</f>
        <v>#DIV/0!</v>
      </c>
      <c r="C13" s="24" t="e">
        <f t="shared" si="3"/>
        <v>#DIV/0!</v>
      </c>
      <c r="D13" s="11">
        <f t="shared" si="1"/>
        <v>-10</v>
      </c>
      <c r="E13" s="807">
        <f t="array" ref="E13">INDEX('Attrition Modeling'!$X$2:$AF$63,MATCH($F13,'Attrition Modeling'!$X$2:$X$63,0),MATCH(Inputs!$C$10,'Attrition Modeling'!$X$2:$AF$2,0))</f>
        <v>4.7318611987381704E-3</v>
      </c>
      <c r="F13" s="11">
        <f t="shared" si="2"/>
        <v>10</v>
      </c>
      <c r="G13" s="799">
        <f>Summary!$C$25*$E13</f>
        <v>0</v>
      </c>
      <c r="H13" s="808">
        <f>(G13+H145)*(1-IFERROR(IF(H$2+$F13&lt;=12,SUMIFS('Attrition Modeling'!$D:$D,'Attrition Modeling'!$B:$B,'IP Attrition'!$D13,'Attrition Modeling'!$C:$C,'IP Attrition'!H$1),VLOOKUP($F13+H$2,$A$6:$C$106,2,FALSE)*VLOOKUP(H$1,'Attrition Modeling'!$L$15:$N$27,IF(H$2+$F13&lt;=24,2,3),FALSE)),$C$3)*(1+Projection!J$16)*(1+IF(H145&gt;0,'Attrition Modeling'!$N$9,0)))</f>
        <v>0</v>
      </c>
      <c r="I13" s="808">
        <f>(H13+I145)*(1-IFERROR(IF(I$2+$F13&lt;=12,SUMIFS('Attrition Modeling'!$D:$D,'Attrition Modeling'!$B:$B,'IP Attrition'!$D13,'Attrition Modeling'!$C:$C,'IP Attrition'!I$1),VLOOKUP($F13+I$2,$A$6:$C$106,2,FALSE)*VLOOKUP(I$1,'Attrition Modeling'!$L$15:$N$27,IF(I$2+$F13&lt;=24,2,3),FALSE)),$C$3)*(1+Projection!K$16)*(1+IF(I145&gt;0,'Attrition Modeling'!$N$9,0)))</f>
        <v>0</v>
      </c>
      <c r="J13" s="799">
        <f>(I13+J145)*(1-IFERROR(IF(J$2+$F13&lt;=12,SUMIFS('Attrition Modeling'!$D:$D,'Attrition Modeling'!$B:$B,'IP Attrition'!$D13,'Attrition Modeling'!$C:$C,'IP Attrition'!J$1),VLOOKUP($F13+J$2,$A$6:$C$106,2,FALSE)*VLOOKUP(J$1,'Attrition Modeling'!$L$15:$N$27,IF(J$2+$F13&lt;=24,2,3),FALSE)),$C$3)*(1+Projection!L$16)*(1+IF(J145&gt;0,'Attrition Modeling'!$N$9,0)))</f>
        <v>0</v>
      </c>
      <c r="K13" s="799">
        <f>(J13+K145)*(1-IFERROR(IF(K$2+$F13&lt;=12,SUMIFS('Attrition Modeling'!$D:$D,'Attrition Modeling'!$B:$B,'IP Attrition'!$D13,'Attrition Modeling'!$C:$C,'IP Attrition'!K$1),VLOOKUP($F13+K$2,$A$6:$C$106,2,FALSE)*VLOOKUP(K$1,'Attrition Modeling'!$L$15:$N$27,IF(K$2+$F13&lt;=24,2,3),FALSE)),$C$3)*(1+Projection!M$16)*(1+IF(K145&gt;0,'Attrition Modeling'!$N$9,0)))</f>
        <v>0</v>
      </c>
      <c r="L13" s="799">
        <f>(K13+L145)*(1-IFERROR(IF(L$2+$F13&lt;=12,SUMIFS('Attrition Modeling'!$D:$D,'Attrition Modeling'!$B:$B,'IP Attrition'!$D13,'Attrition Modeling'!$C:$C,'IP Attrition'!L$1),VLOOKUP($F13+L$2,$A$6:$C$106,2,FALSE)*VLOOKUP(L$1,'Attrition Modeling'!$L$15:$N$27,IF(L$2+$F13&lt;=24,2,3),FALSE)),$C$3)*(1+Projection!N$16)*(1+IF(L145&gt;0,'Attrition Modeling'!$N$9,0)))</f>
        <v>0</v>
      </c>
      <c r="M13" s="799">
        <f>(L13+M145)*(1-IFERROR(IF(M$2+$F13&lt;=12,SUMIFS('Attrition Modeling'!$D:$D,'Attrition Modeling'!$B:$B,'IP Attrition'!$D13,'Attrition Modeling'!$C:$C,'IP Attrition'!M$1),VLOOKUP($F13+M$2,$A$6:$C$106,2,FALSE)*VLOOKUP(M$1,'Attrition Modeling'!$L$15:$N$27,IF(M$2+$F13&lt;=24,2,3),FALSE)),$C$3)*(1+Projection!O$16)*(1+IF(M145&gt;0,'Attrition Modeling'!$N$9,0)))</f>
        <v>0</v>
      </c>
      <c r="N13" s="799">
        <f>(M13+N145)*(1-IFERROR(IF(N$2+$F13&lt;=12,SUMIFS('Attrition Modeling'!$D:$D,'Attrition Modeling'!$B:$B,'IP Attrition'!$D13,'Attrition Modeling'!$C:$C,'IP Attrition'!N$1),VLOOKUP($F13+N$2,$A$6:$C$106,2,FALSE)*VLOOKUP(N$1,'Attrition Modeling'!$L$15:$N$27,IF(N$2+$F13&lt;=24,2,3),FALSE)),$C$3)*(1+Projection!P$16)*(1+IF(N145&gt;0,'Attrition Modeling'!$N$9,0)))</f>
        <v>0</v>
      </c>
      <c r="O13" s="799">
        <f>(N13+O145)*(1-IFERROR(IF(O$2+$F13&lt;=12,SUMIFS('Attrition Modeling'!$D:$D,'Attrition Modeling'!$B:$B,'IP Attrition'!$D13,'Attrition Modeling'!$C:$C,'IP Attrition'!O$1),VLOOKUP($F13+O$2,$A$6:$C$106,2,FALSE)*VLOOKUP(O$1,'Attrition Modeling'!$L$15:$N$27,IF(O$2+$F13&lt;=24,2,3),FALSE)),$C$3)*(1+Projection!Q$16)*(1+IF(O145&gt;0,'Attrition Modeling'!$N$9,0)))</f>
        <v>0</v>
      </c>
      <c r="P13" s="799">
        <f>(O13+P145)*(1-IFERROR(IF(P$2+$F13&lt;=12,SUMIFS('Attrition Modeling'!$D:$D,'Attrition Modeling'!$B:$B,'IP Attrition'!$D13,'Attrition Modeling'!$C:$C,'IP Attrition'!P$1),VLOOKUP($F13+P$2,$A$6:$C$106,2,FALSE)*VLOOKUP(P$1,'Attrition Modeling'!$L$15:$N$27,IF(P$2+$F13&lt;=24,2,3),FALSE)),$C$3)*(1+Projection!R$16)*(1+IF(P145&gt;0,'Attrition Modeling'!$N$9,0)))</f>
        <v>0</v>
      </c>
      <c r="Q13" s="799">
        <f>(P13+Q145)*(1-IFERROR(IF(Q$2+$F13&lt;=12,SUMIFS('Attrition Modeling'!$D:$D,'Attrition Modeling'!$B:$B,'IP Attrition'!$D13,'Attrition Modeling'!$C:$C,'IP Attrition'!Q$1),VLOOKUP($F13+Q$2,$A$6:$C$106,2,FALSE)*VLOOKUP(Q$1,'Attrition Modeling'!$L$15:$N$27,IF(Q$2+$F13&lt;=24,2,3),FALSE)),$C$3)*(1+Projection!S$16)*(1+IF(Q145&gt;0,'Attrition Modeling'!$N$9,0)))</f>
        <v>0</v>
      </c>
      <c r="R13" s="799">
        <f>(Q13+R145)*(1-IFERROR(IF(R$2+$F13&lt;=12,SUMIFS('Attrition Modeling'!$D:$D,'Attrition Modeling'!$B:$B,'IP Attrition'!$D13,'Attrition Modeling'!$C:$C,'IP Attrition'!R$1),VLOOKUP($F13+R$2,$A$6:$C$106,2,FALSE)*VLOOKUP(R$1,'Attrition Modeling'!$L$15:$N$27,IF(R$2+$F13&lt;=24,2,3),FALSE)),$C$3)*(1+Projection!T$16)*(1+IF(R145&gt;0,'Attrition Modeling'!$N$9,0)))</f>
        <v>0</v>
      </c>
      <c r="S13" s="799">
        <f>(R13+S145)*(1-IFERROR(IF(S$2+$F13&lt;=12,SUMIFS('Attrition Modeling'!$D:$D,'Attrition Modeling'!$B:$B,'IP Attrition'!$D13,'Attrition Modeling'!$C:$C,'IP Attrition'!S$1),VLOOKUP($F13+S$2,$A$6:$C$106,2,FALSE)*VLOOKUP(S$1,'Attrition Modeling'!$L$15:$N$27,IF(S$2+$F13&lt;=24,2,3),FALSE)),$C$3)*(1+Projection!U$16)*(1+IF(S145&gt;0,'Attrition Modeling'!$N$9,0)))</f>
        <v>0</v>
      </c>
      <c r="T13" s="799">
        <f>(S13+T145)*(1-IFERROR(IF(T$2+$F13&lt;=12,SUMIFS('Attrition Modeling'!$D:$D,'Attrition Modeling'!$B:$B,'IP Attrition'!$D13,'Attrition Modeling'!$C:$C,'IP Attrition'!T$1),VLOOKUP($F13+T$2,$A$6:$C$106,2,FALSE)*VLOOKUP(T$1,'Attrition Modeling'!$L$15:$N$27,IF(T$2+$F13&lt;=24,2,3),FALSE)),$C$3)*(1+Projection!V$16)*(1+IF(T145&gt;0,'Attrition Modeling'!$N$9,0)))</f>
        <v>0</v>
      </c>
      <c r="U13" s="799">
        <f>(T13+U145)*(1-IFERROR(IF(U$2+$F13&lt;=12,SUMIFS('Attrition Modeling'!$D:$D,'Attrition Modeling'!$B:$B,'IP Attrition'!$D13,'Attrition Modeling'!$C:$C,'IP Attrition'!U$1),VLOOKUP($F13+U$2,$A$6:$C$106,2,FALSE)*VLOOKUP(U$1,'Attrition Modeling'!$L$15:$N$27,IF(U$2+$F13&lt;=24,2,3),FALSE)),$C$3)*(1+Projection!W$16)*(1+IF(U145&gt;0,'Attrition Modeling'!$N$9,0)))</f>
        <v>0</v>
      </c>
      <c r="V13" s="799">
        <f>(U13+V145)*(1-IFERROR(IF(V$2+$F13&lt;=12,SUMIFS('Attrition Modeling'!$D:$D,'Attrition Modeling'!$B:$B,'IP Attrition'!$D13,'Attrition Modeling'!$C:$C,'IP Attrition'!V$1),VLOOKUP($F13+V$2,$A$6:$C$106,2,FALSE)*VLOOKUP(V$1,'Attrition Modeling'!$L$15:$N$27,IF(V$2+$F13&lt;=24,2,3),FALSE)),$C$3)*(1+Projection!X$16)*(1+IF(V145&gt;0,'Attrition Modeling'!$N$9,0)))</f>
        <v>0</v>
      </c>
      <c r="W13" s="799">
        <f>(V13+W145)*(1-IFERROR(IF(W$2+$F13&lt;=12,SUMIFS('Attrition Modeling'!$D:$D,'Attrition Modeling'!$B:$B,'IP Attrition'!$D13,'Attrition Modeling'!$C:$C,'IP Attrition'!W$1),VLOOKUP($F13+W$2,$A$6:$C$106,2,FALSE)*VLOOKUP(W$1,'Attrition Modeling'!$L$15:$N$27,IF(W$2+$F13&lt;=24,2,3),FALSE)),$C$3)*(1+Projection!Y$16)*(1+IF(W145&gt;0,'Attrition Modeling'!$N$9,0)))</f>
        <v>0</v>
      </c>
      <c r="X13" s="799">
        <f>(W13+X145)*(1-IFERROR(IF(X$2+$F13&lt;=12,SUMIFS('Attrition Modeling'!$D:$D,'Attrition Modeling'!$B:$B,'IP Attrition'!$D13,'Attrition Modeling'!$C:$C,'IP Attrition'!X$1),VLOOKUP($F13+X$2,$A$6:$C$106,2,FALSE)*VLOOKUP(X$1,'Attrition Modeling'!$L$15:$N$27,IF(X$2+$F13&lt;=24,2,3),FALSE)),$C$3)*(1+Projection!Z$16)*(1+IF(X145&gt;0,'Attrition Modeling'!$N$9,0)))</f>
        <v>0</v>
      </c>
      <c r="Y13" s="799">
        <f>(X13+Y145)*(1-IFERROR(IF(Y$2+$F13&lt;=12,SUMIFS('Attrition Modeling'!$D:$D,'Attrition Modeling'!$B:$B,'IP Attrition'!$D13,'Attrition Modeling'!$C:$C,'IP Attrition'!Y$1),VLOOKUP($F13+Y$2,$A$6:$C$106,2,FALSE)*VLOOKUP(Y$1,'Attrition Modeling'!$L$15:$N$27,IF(Y$2+$F13&lt;=24,2,3),FALSE)),$C$3)*(1+Projection!AA$16)*(1+IF(Y145&gt;0,'Attrition Modeling'!$N$9,0)))</f>
        <v>0</v>
      </c>
      <c r="Z13" s="799">
        <f>(Y13+Z145)*(1-IFERROR(IF(Z$2+$F13&lt;=12,SUMIFS('Attrition Modeling'!$D:$D,'Attrition Modeling'!$B:$B,'IP Attrition'!$D13,'Attrition Modeling'!$C:$C,'IP Attrition'!Z$1),VLOOKUP($F13+Z$2,$A$6:$C$106,2,FALSE)*VLOOKUP(Z$1,'Attrition Modeling'!$L$15:$N$27,IF(Z$2+$F13&lt;=24,2,3),FALSE)),$C$3)*(1+Projection!AB$16)*(1+IF(Z145&gt;0,'Attrition Modeling'!$N$9,0)))</f>
        <v>0</v>
      </c>
      <c r="AA13" s="799">
        <f>(Z13+AA145)*(1-IFERROR(IF(AA$2+$F13&lt;=12,SUMIFS('Attrition Modeling'!$D:$D,'Attrition Modeling'!$B:$B,'IP Attrition'!$D13,'Attrition Modeling'!$C:$C,'IP Attrition'!AA$1),VLOOKUP($F13+AA$2,$A$6:$C$106,2,FALSE)*VLOOKUP(AA$1,'Attrition Modeling'!$L$15:$N$27,IF(AA$2+$F13&lt;=24,2,3),FALSE)),$C$3)*(1+Projection!AC$16)*(1+IF(AA145&gt;0,'Attrition Modeling'!$N$9,0)))</f>
        <v>0</v>
      </c>
      <c r="AB13" s="799">
        <f>(AA13+AB145)*(1-IFERROR(IF(AB$2+$F13&lt;=12,SUMIFS('Attrition Modeling'!$D:$D,'Attrition Modeling'!$B:$B,'IP Attrition'!$D13,'Attrition Modeling'!$C:$C,'IP Attrition'!AB$1),VLOOKUP($F13+AB$2,$A$6:$C$106,2,FALSE)*VLOOKUP(AB$1,'Attrition Modeling'!$L$15:$N$27,IF(AB$2+$F13&lt;=24,2,3),FALSE)),$C$3)*(1+Projection!AD$16)*(1+IF(AB145&gt;0,'Attrition Modeling'!$N$9,0)))</f>
        <v>0</v>
      </c>
      <c r="AC13" s="799">
        <f>(AB13+AC145)*(1-IFERROR(IF(AC$2+$F13&lt;=12,SUMIFS('Attrition Modeling'!$D:$D,'Attrition Modeling'!$B:$B,'IP Attrition'!$D13,'Attrition Modeling'!$C:$C,'IP Attrition'!AC$1),VLOOKUP($F13+AC$2,$A$6:$C$106,2,FALSE)*VLOOKUP(AC$1,'Attrition Modeling'!$L$15:$N$27,IF(AC$2+$F13&lt;=24,2,3),FALSE)),$C$3)*(1+Projection!AE$16)*(1+IF(AC145&gt;0,'Attrition Modeling'!$N$9,0)))</f>
        <v>0</v>
      </c>
      <c r="AD13" s="799">
        <f>(AC13+AD145)*(1-IFERROR(IF(AD$2+$F13&lt;=12,SUMIFS('Attrition Modeling'!$D:$D,'Attrition Modeling'!$B:$B,'IP Attrition'!$D13,'Attrition Modeling'!$C:$C,'IP Attrition'!AD$1),VLOOKUP($F13+AD$2,$A$6:$C$106,2,FALSE)*VLOOKUP(AD$1,'Attrition Modeling'!$L$15:$N$27,IF(AD$2+$F13&lt;=24,2,3),FALSE)),$C$3)*(1+Projection!AF$16)*(1+IF(AD145&gt;0,'Attrition Modeling'!$N$9,0)))</f>
        <v>0</v>
      </c>
      <c r="AE13" s="799">
        <f>(AD13+AE145)*(1-IFERROR(IF(AE$2+$F13&lt;=12,SUMIFS('Attrition Modeling'!$D:$D,'Attrition Modeling'!$B:$B,'IP Attrition'!$D13,'Attrition Modeling'!$C:$C,'IP Attrition'!AE$1),VLOOKUP($F13+AE$2,$A$6:$C$106,2,FALSE)*VLOOKUP(AE$1,'Attrition Modeling'!$L$15:$N$27,IF(AE$2+$F13&lt;=24,2,3),FALSE)),$C$3)*(1+Projection!AG$16)*(1+IF(AE145&gt;0,'Attrition Modeling'!$N$9,0)))</f>
        <v>0</v>
      </c>
      <c r="AF13" s="799">
        <f>(AE13+AF145)*(1-IFERROR(IF(AF$2+$F13&lt;=12,SUMIFS('Attrition Modeling'!$D:$D,'Attrition Modeling'!$B:$B,'IP Attrition'!$D13,'Attrition Modeling'!$C:$C,'IP Attrition'!AF$1),VLOOKUP($F13+AF$2,$A$6:$C$106,2,FALSE)*VLOOKUP(AF$1,'Attrition Modeling'!$L$15:$N$27,IF(AF$2+$F13&lt;=24,2,3),FALSE)),$C$3)*(1+Projection!AH$16)*(1+IF(AF145&gt;0,'Attrition Modeling'!$N$9,0)))</f>
        <v>0</v>
      </c>
      <c r="AG13" s="799">
        <f>(AF13+AG145)*(1-IFERROR(IF(AG$2+$F13&lt;=12,SUMIFS('Attrition Modeling'!$D:$D,'Attrition Modeling'!$B:$B,'IP Attrition'!$D13,'Attrition Modeling'!$C:$C,'IP Attrition'!AG$1),VLOOKUP($F13+AG$2,$A$6:$C$106,2,FALSE)*VLOOKUP(AG$1,'Attrition Modeling'!$L$15:$N$27,IF(AG$2+$F13&lt;=24,2,3),FALSE)),$C$3)*(1+Projection!AI$16)*(1+IF(AG145&gt;0,'Attrition Modeling'!$N$9,0)))</f>
        <v>0</v>
      </c>
      <c r="AH13" s="799">
        <f>(AG13+AH145)*(1-IFERROR(IF(AH$2+$F13&lt;=12,SUMIFS('Attrition Modeling'!$D:$D,'Attrition Modeling'!$B:$B,'IP Attrition'!$D13,'Attrition Modeling'!$C:$C,'IP Attrition'!AH$1),VLOOKUP($F13+AH$2,$A$6:$C$106,2,FALSE)*VLOOKUP(AH$1,'Attrition Modeling'!$L$15:$N$27,IF(AH$2+$F13&lt;=24,2,3),FALSE)),$C$3)*(1+Projection!AJ$16)*(1+IF(AH145&gt;0,'Attrition Modeling'!$N$9,0)))</f>
        <v>0</v>
      </c>
      <c r="AI13" s="799">
        <f>(AH13+AI145)*(1-IFERROR(IF(AI$2+$F13&lt;=12,SUMIFS('Attrition Modeling'!$D:$D,'Attrition Modeling'!$B:$B,'IP Attrition'!$D13,'Attrition Modeling'!$C:$C,'IP Attrition'!AI$1),VLOOKUP($F13+AI$2,$A$6:$C$106,2,FALSE)*VLOOKUP(AI$1,'Attrition Modeling'!$L$15:$N$27,IF(AI$2+$F13&lt;=24,2,3),FALSE)),$C$3)*(1+Projection!AK$16)*(1+IF(AI145&gt;0,'Attrition Modeling'!$N$9,0)))</f>
        <v>0</v>
      </c>
      <c r="AJ13" s="799">
        <f>(AI13+AJ145)*(1-IFERROR(IF(AJ$2+$F13&lt;=12,SUMIFS('Attrition Modeling'!$D:$D,'Attrition Modeling'!$B:$B,'IP Attrition'!$D13,'Attrition Modeling'!$C:$C,'IP Attrition'!AJ$1),VLOOKUP($F13+AJ$2,$A$6:$C$106,2,FALSE)*VLOOKUP(AJ$1,'Attrition Modeling'!$L$15:$N$27,IF(AJ$2+$F13&lt;=24,2,3),FALSE)),$C$3)*(1+Projection!AL$16)*(1+IF(AJ145&gt;0,'Attrition Modeling'!$N$9,0)))</f>
        <v>0</v>
      </c>
      <c r="AK13" s="799">
        <f>(AJ13+AK145)*(1-IFERROR(IF(AK$2+$F13&lt;=12,SUMIFS('Attrition Modeling'!$D:$D,'Attrition Modeling'!$B:$B,'IP Attrition'!$D13,'Attrition Modeling'!$C:$C,'IP Attrition'!AK$1),VLOOKUP($F13+AK$2,$A$6:$C$106,2,FALSE)*VLOOKUP(AK$1,'Attrition Modeling'!$L$15:$N$27,IF(AK$2+$F13&lt;=24,2,3),FALSE)),$C$3)*(1+Projection!AM$16)*(1+IF(AK145&gt;0,'Attrition Modeling'!$N$9,0)))</f>
        <v>0</v>
      </c>
      <c r="AL13" s="799">
        <f>(AK13+AL145)*(1-IFERROR(IF(AL$2+$F13&lt;=12,SUMIFS('Attrition Modeling'!$D:$D,'Attrition Modeling'!$B:$B,'IP Attrition'!$D13,'Attrition Modeling'!$C:$C,'IP Attrition'!AL$1),VLOOKUP($F13+AL$2,$A$6:$C$106,2,FALSE)*VLOOKUP(AL$1,'Attrition Modeling'!$L$15:$N$27,IF(AL$2+$F13&lt;=24,2,3),FALSE)),$C$3)*(1+Projection!AN$16)*(1+IF(AL145&gt;0,'Attrition Modeling'!$N$9,0)))</f>
        <v>0</v>
      </c>
      <c r="AM13" s="799">
        <f>(AL13+AM145)*(1-IFERROR(IF(AM$2+$F13&lt;=12,SUMIFS('Attrition Modeling'!$D:$D,'Attrition Modeling'!$B:$B,'IP Attrition'!$D13,'Attrition Modeling'!$C:$C,'IP Attrition'!AM$1),VLOOKUP($F13+AM$2,$A$6:$C$106,2,FALSE)*VLOOKUP(AM$1,'Attrition Modeling'!$L$15:$N$27,IF(AM$2+$F13&lt;=24,2,3),FALSE)),$C$3)*(1+Projection!AO$16)*(1+IF(AM145&gt;0,'Attrition Modeling'!$N$9,0)))</f>
        <v>0</v>
      </c>
      <c r="AN13" s="799">
        <f>(AM13+AN145)*(1-IFERROR(IF(AN$2+$F13&lt;=12,SUMIFS('Attrition Modeling'!$D:$D,'Attrition Modeling'!$B:$B,'IP Attrition'!$D13,'Attrition Modeling'!$C:$C,'IP Attrition'!AN$1),VLOOKUP($F13+AN$2,$A$6:$C$106,2,FALSE)*VLOOKUP(AN$1,'Attrition Modeling'!$L$15:$N$27,IF(AN$2+$F13&lt;=24,2,3),FALSE)),$C$3)*(1+Projection!AP$16)*(1+IF(AN145&gt;0,'Attrition Modeling'!$N$9,0)))</f>
        <v>0</v>
      </c>
      <c r="AO13" s="799">
        <f>(AN13+AO145)*(1-IFERROR(IF(AO$2+$F13&lt;=12,SUMIFS('Attrition Modeling'!$D:$D,'Attrition Modeling'!$B:$B,'IP Attrition'!$D13,'Attrition Modeling'!$C:$C,'IP Attrition'!AO$1),VLOOKUP($F13+AO$2,$A$6:$C$106,2,FALSE)*VLOOKUP(AO$1,'Attrition Modeling'!$L$15:$N$27,IF(AO$2+$F13&lt;=24,2,3),FALSE)),$C$3)*(1+Projection!AQ$16)*(1+IF(AO145&gt;0,'Attrition Modeling'!$N$9,0)))</f>
        <v>0</v>
      </c>
      <c r="AP13" s="799">
        <f>(AO13+AP145)*(1-IFERROR(IF(AP$2+$F13&lt;=12,SUMIFS('Attrition Modeling'!$D:$D,'Attrition Modeling'!$B:$B,'IP Attrition'!$D13,'Attrition Modeling'!$C:$C,'IP Attrition'!AP$1),VLOOKUP($F13+AP$2,$A$6:$C$106,2,FALSE)*VLOOKUP(AP$1,'Attrition Modeling'!$L$15:$N$27,IF(AP$2+$F13&lt;=24,2,3),FALSE)),$C$3)*(1+Projection!AR$16)*(1+IF(AP145&gt;0,'Attrition Modeling'!$N$9,0)))</f>
        <v>0</v>
      </c>
      <c r="AQ13" s="799">
        <f>(AP13+AQ145)*(1-IFERROR(IF(AQ$2+$F13&lt;=12,SUMIFS('Attrition Modeling'!$D:$D,'Attrition Modeling'!$B:$B,'IP Attrition'!$D13,'Attrition Modeling'!$C:$C,'IP Attrition'!AQ$1),VLOOKUP($F13+AQ$2,$A$6:$C$106,2,FALSE)*VLOOKUP(AQ$1,'Attrition Modeling'!$L$15:$N$27,IF(AQ$2+$F13&lt;=24,2,3),FALSE)),$C$3)*(1+Projection!AS$16)*(1+IF(AQ145&gt;0,'Attrition Modeling'!$N$9,0)))</f>
        <v>0</v>
      </c>
      <c r="AR13" s="799">
        <f>(AQ13+AR145)*(1-IFERROR(IF(AR$2+$F13&lt;=12,SUMIFS('Attrition Modeling'!$D:$D,'Attrition Modeling'!$B:$B,'IP Attrition'!$D13,'Attrition Modeling'!$C:$C,'IP Attrition'!AR$1),VLOOKUP($F13+AR$2,$A$6:$C$106,2,FALSE)*VLOOKUP(AR$1,'Attrition Modeling'!$L$15:$N$27,IF(AR$2+$F13&lt;=24,2,3),FALSE)),$C$3)*(1+Projection!AT$16)*(1+IF(AR145&gt;0,'Attrition Modeling'!$N$9,0)))</f>
        <v>0</v>
      </c>
      <c r="AS13" s="799">
        <f>(AR13+AS145)*(1-IFERROR(IF(AS$2+$F13&lt;=12,SUMIFS('Attrition Modeling'!$D:$D,'Attrition Modeling'!$B:$B,'IP Attrition'!$D13,'Attrition Modeling'!$C:$C,'IP Attrition'!AS$1),VLOOKUP($F13+AS$2,$A$6:$C$106,2,FALSE)*VLOOKUP(AS$1,'Attrition Modeling'!$L$15:$N$27,IF(AS$2+$F13&lt;=24,2,3),FALSE)),$C$3)*(1+Projection!AU$16)*(1+IF(AS145&gt;0,'Attrition Modeling'!$N$9,0)))</f>
        <v>0</v>
      </c>
      <c r="AT13" s="799">
        <f>(AS13+AT145)*(1-IFERROR(IF(AT$2+$F13&lt;=12,SUMIFS('Attrition Modeling'!$D:$D,'Attrition Modeling'!$B:$B,'IP Attrition'!$D13,'Attrition Modeling'!$C:$C,'IP Attrition'!AT$1),VLOOKUP($F13+AT$2,$A$6:$C$106,2,FALSE)*VLOOKUP(AT$1,'Attrition Modeling'!$L$15:$N$27,IF(AT$2+$F13&lt;=24,2,3),FALSE)),$C$3)*(1+Projection!AV$16)*(1+IF(AT145&gt;0,'Attrition Modeling'!$N$9,0)))</f>
        <v>0</v>
      </c>
      <c r="AU13" s="799">
        <f>(AT13+AU145)*(1-IFERROR(IF(AU$2+$F13&lt;=12,SUMIFS('Attrition Modeling'!$D:$D,'Attrition Modeling'!$B:$B,'IP Attrition'!$D13,'Attrition Modeling'!$C:$C,'IP Attrition'!AU$1),VLOOKUP($F13+AU$2,$A$6:$C$106,2,FALSE)*VLOOKUP(AU$1,'Attrition Modeling'!$L$15:$N$27,IF(AU$2+$F13&lt;=24,2,3),FALSE)),$C$3)*(1+Projection!AW$16)*(1+IF(AU145&gt;0,'Attrition Modeling'!$N$9,0)))</f>
        <v>0</v>
      </c>
      <c r="AV13" s="799">
        <f>(AU13+AV145)*(1-IFERROR(IF(AV$2+$F13&lt;=12,SUMIFS('Attrition Modeling'!$D:$D,'Attrition Modeling'!$B:$B,'IP Attrition'!$D13,'Attrition Modeling'!$C:$C,'IP Attrition'!AV$1),VLOOKUP($F13+AV$2,$A$6:$C$106,2,FALSE)*VLOOKUP(AV$1,'Attrition Modeling'!$L$15:$N$27,IF(AV$2+$F13&lt;=24,2,3),FALSE)),$C$3)*(1+Projection!AX$16)*(1+IF(AV145&gt;0,'Attrition Modeling'!$N$9,0)))</f>
        <v>0</v>
      </c>
      <c r="AW13" s="799">
        <f>(AV13+AW145)*(1-IFERROR(IF(AW$2+$F13&lt;=12,SUMIFS('Attrition Modeling'!$D:$D,'Attrition Modeling'!$B:$B,'IP Attrition'!$D13,'Attrition Modeling'!$C:$C,'IP Attrition'!AW$1),VLOOKUP($F13+AW$2,$A$6:$C$106,2,FALSE)*VLOOKUP(AW$1,'Attrition Modeling'!$L$15:$N$27,IF(AW$2+$F13&lt;=24,2,3),FALSE)),$C$3)*(1+Projection!AY$16)*(1+IF(AW145&gt;0,'Attrition Modeling'!$N$9,0)))</f>
        <v>0</v>
      </c>
      <c r="AX13" s="799">
        <f>(AW13+AX145)*(1-IFERROR(IF(AX$2+$F13&lt;=12,SUMIFS('Attrition Modeling'!$D:$D,'Attrition Modeling'!$B:$B,'IP Attrition'!$D13,'Attrition Modeling'!$C:$C,'IP Attrition'!AX$1),VLOOKUP($F13+AX$2,$A$6:$C$106,2,FALSE)*VLOOKUP(AX$1,'Attrition Modeling'!$L$15:$N$27,IF(AX$2+$F13&lt;=24,2,3),FALSE)),$C$3)*(1+Projection!AZ$16)*(1+IF(AX145&gt;0,'Attrition Modeling'!$N$9,0)))</f>
        <v>0</v>
      </c>
      <c r="AY13" s="799">
        <f>(AX13+AY145)*(1-IFERROR(IF(AY$2+$F13&lt;=12,SUMIFS('Attrition Modeling'!$D:$D,'Attrition Modeling'!$B:$B,'IP Attrition'!$D13,'Attrition Modeling'!$C:$C,'IP Attrition'!AY$1),VLOOKUP($F13+AY$2,$A$6:$C$106,2,FALSE)*VLOOKUP(AY$1,'Attrition Modeling'!$L$15:$N$27,IF(AY$2+$F13&lt;=24,2,3),FALSE)),$C$3)*(1+Projection!BA$16)*(1+IF(AY145&gt;0,'Attrition Modeling'!$N$9,0)))</f>
        <v>0</v>
      </c>
      <c r="AZ13" s="799">
        <f>(AY13+AZ145)*(1-IFERROR(IF(AZ$2+$F13&lt;=12,SUMIFS('Attrition Modeling'!$D:$D,'Attrition Modeling'!$B:$B,'IP Attrition'!$D13,'Attrition Modeling'!$C:$C,'IP Attrition'!AZ$1),VLOOKUP($F13+AZ$2,$A$6:$C$106,2,FALSE)*VLOOKUP(AZ$1,'Attrition Modeling'!$L$15:$N$27,IF(AZ$2+$F13&lt;=24,2,3),FALSE)),$C$3)*(1+Projection!BB$16)*(1+IF(AZ145&gt;0,'Attrition Modeling'!$N$9,0)))</f>
        <v>0</v>
      </c>
      <c r="BA13" s="799">
        <f>(AZ13+BA145)*(1-IFERROR(IF(BA$2+$F13&lt;=12,SUMIFS('Attrition Modeling'!$D:$D,'Attrition Modeling'!$B:$B,'IP Attrition'!$D13,'Attrition Modeling'!$C:$C,'IP Attrition'!BA$1),VLOOKUP($F13+BA$2,$A$6:$C$106,2,FALSE)*VLOOKUP(BA$1,'Attrition Modeling'!$L$15:$N$27,IF(BA$2+$F13&lt;=24,2,3),FALSE)),$C$3)*(1+Projection!BC$16)*(1+IF(BA145&gt;0,'Attrition Modeling'!$N$9,0)))</f>
        <v>0</v>
      </c>
      <c r="BB13" s="799">
        <f>(BA13+BB145)*(1-IFERROR(IF(BB$2+$F13&lt;=12,SUMIFS('Attrition Modeling'!$D:$D,'Attrition Modeling'!$B:$B,'IP Attrition'!$D13,'Attrition Modeling'!$C:$C,'IP Attrition'!BB$1),VLOOKUP($F13+BB$2,$A$6:$C$106,2,FALSE)*VLOOKUP(BB$1,'Attrition Modeling'!$L$15:$N$27,IF(BB$2+$F13&lt;=24,2,3),FALSE)),$C$3)*(1+Projection!BD$16)*(1+IF(BB145&gt;0,'Attrition Modeling'!$N$9,0)))</f>
        <v>0</v>
      </c>
      <c r="BC13" s="799">
        <f>(BB13+BC145)*(1-IFERROR(IF(BC$2+$F13&lt;=12,SUMIFS('Attrition Modeling'!$D:$D,'Attrition Modeling'!$B:$B,'IP Attrition'!$D13,'Attrition Modeling'!$C:$C,'IP Attrition'!BC$1),VLOOKUP($F13+BC$2,$A$6:$C$106,2,FALSE)*VLOOKUP(BC$1,'Attrition Modeling'!$L$15:$N$27,IF(BC$2+$F13&lt;=24,2,3),FALSE)),$C$3)*(1+Projection!BE$16)*(1+IF(BC145&gt;0,'Attrition Modeling'!$N$9,0)))</f>
        <v>0</v>
      </c>
      <c r="BD13" s="799">
        <f>(BC13+BD145)*(1-IFERROR(IF(BD$2+$F13&lt;=12,SUMIFS('Attrition Modeling'!$D:$D,'Attrition Modeling'!$B:$B,'IP Attrition'!$D13,'Attrition Modeling'!$C:$C,'IP Attrition'!BD$1),VLOOKUP($F13+BD$2,$A$6:$C$106,2,FALSE)*VLOOKUP(BD$1,'Attrition Modeling'!$L$15:$N$27,IF(BD$2+$F13&lt;=24,2,3),FALSE)),$C$3)*(1+Projection!BF$16)*(1+IF(BD145&gt;0,'Attrition Modeling'!$N$9,0)))</f>
        <v>0</v>
      </c>
      <c r="BE13" s="799">
        <f>(BD13+BE145)*(1-IFERROR(IF(BE$2+$F13&lt;=12,SUMIFS('Attrition Modeling'!$D:$D,'Attrition Modeling'!$B:$B,'IP Attrition'!$D13,'Attrition Modeling'!$C:$C,'IP Attrition'!BE$1),VLOOKUP($F13+BE$2,$A$6:$C$106,2,FALSE)*VLOOKUP(BE$1,'Attrition Modeling'!$L$15:$N$27,IF(BE$2+$F13&lt;=24,2,3),FALSE)),$C$3)*(1+Projection!BG$16)*(1+IF(BE145&gt;0,'Attrition Modeling'!$N$9,0)))</f>
        <v>0</v>
      </c>
      <c r="BF13" s="799">
        <f>(BE13+BF145)*(1-IFERROR(IF(BF$2+$F13&lt;=12,SUMIFS('Attrition Modeling'!$D:$D,'Attrition Modeling'!$B:$B,'IP Attrition'!$D13,'Attrition Modeling'!$C:$C,'IP Attrition'!BF$1),VLOOKUP($F13+BF$2,$A$6:$C$106,2,FALSE)*VLOOKUP(BF$1,'Attrition Modeling'!$L$15:$N$27,IF(BF$2+$F13&lt;=24,2,3),FALSE)),$C$3)*(1+Projection!BH$16)*(1+IF(BF145&gt;0,'Attrition Modeling'!$N$9,0)))</f>
        <v>0</v>
      </c>
      <c r="BG13" s="799">
        <f>(BF13+BG145)*(1-IFERROR(IF(BG$2+$F13&lt;=12,SUMIFS('Attrition Modeling'!$D:$D,'Attrition Modeling'!$B:$B,'IP Attrition'!$D13,'Attrition Modeling'!$C:$C,'IP Attrition'!BG$1),VLOOKUP($F13+BG$2,$A$6:$C$106,2,FALSE)*VLOOKUP(BG$1,'Attrition Modeling'!$L$15:$N$27,IF(BG$2+$F13&lt;=24,2,3),FALSE)),$C$3)*(1+Projection!BI$16)*(1+IF(BG145&gt;0,'Attrition Modeling'!$N$9,0)))</f>
        <v>0</v>
      </c>
      <c r="BH13" s="799">
        <f>(BG13+BH145)*(1-IFERROR(IF(BH$2+$F13&lt;=12,SUMIFS('Attrition Modeling'!$D:$D,'Attrition Modeling'!$B:$B,'IP Attrition'!$D13,'Attrition Modeling'!$C:$C,'IP Attrition'!BH$1),VLOOKUP($F13+BH$2,$A$6:$C$106,2,FALSE)*VLOOKUP(BH$1,'Attrition Modeling'!$L$15:$N$27,IF(BH$2+$F13&lt;=24,2,3),FALSE)),$C$3)*(1+Projection!BJ$16)*(1+IF(BH145&gt;0,'Attrition Modeling'!$N$9,0)))</f>
        <v>0</v>
      </c>
      <c r="BI13" s="799">
        <f>(BH13+BI145)*(1-IFERROR(IF(BI$2+$F13&lt;=12,SUMIFS('Attrition Modeling'!$D:$D,'Attrition Modeling'!$B:$B,'IP Attrition'!$D13,'Attrition Modeling'!$C:$C,'IP Attrition'!BI$1),VLOOKUP($F13+BI$2,$A$6:$C$106,2,FALSE)*VLOOKUP(BI$1,'Attrition Modeling'!$L$15:$N$27,IF(BI$2+$F13&lt;=24,2,3),FALSE)),$C$3)*(1+Projection!BK$16)*(1+IF(BI145&gt;0,'Attrition Modeling'!$N$9,0)))</f>
        <v>0</v>
      </c>
      <c r="BJ13" s="799">
        <f>(BI13+BJ145)*(1-IFERROR(IF(BJ$2+$F13&lt;=12,SUMIFS('Attrition Modeling'!$D:$D,'Attrition Modeling'!$B:$B,'IP Attrition'!$D13,'Attrition Modeling'!$C:$C,'IP Attrition'!BJ$1),VLOOKUP($F13+BJ$2,$A$6:$C$106,2,FALSE)*VLOOKUP(BJ$1,'Attrition Modeling'!$L$15:$N$27,IF(BJ$2+$F13&lt;=24,2,3),FALSE)),$C$3)*(1+Projection!BL$16)*(1+IF(BJ145&gt;0,'Attrition Modeling'!$N$9,0)))</f>
        <v>0</v>
      </c>
      <c r="BK13" s="799">
        <f>(BJ13+BK145)*(1-IFERROR(IF(BK$2+$F13&lt;=12,SUMIFS('Attrition Modeling'!$D:$D,'Attrition Modeling'!$B:$B,'IP Attrition'!$D13,'Attrition Modeling'!$C:$C,'IP Attrition'!BK$1),VLOOKUP($F13+BK$2,$A$6:$C$106,2,FALSE)*VLOOKUP(BK$1,'Attrition Modeling'!$L$15:$N$27,IF(BK$2+$F13&lt;=24,2,3),FALSE)),$C$3)*(1+Projection!BM$16)*(1+IF(BK145&gt;0,'Attrition Modeling'!$N$9,0)))</f>
        <v>0</v>
      </c>
      <c r="BL13" s="799">
        <f>(BK13+BL145)*(1-IFERROR(IF(BL$2+$F13&lt;=12,SUMIFS('Attrition Modeling'!$D:$D,'Attrition Modeling'!$B:$B,'IP Attrition'!$D13,'Attrition Modeling'!$C:$C,'IP Attrition'!BL$1),VLOOKUP($F13+BL$2,$A$6:$C$106,2,FALSE)*VLOOKUP(BL$1,'Attrition Modeling'!$L$15:$N$27,IF(BL$2+$F13&lt;=24,2,3),FALSE)),$C$3)*(1+Projection!BN$16)*(1+IF(BL145&gt;0,'Attrition Modeling'!$N$9,0)))</f>
        <v>0</v>
      </c>
      <c r="BM13" s="799">
        <f>(BL13+BM145)*(1-IFERROR(IF(BM$2+$F13&lt;=12,SUMIFS('Attrition Modeling'!$D:$D,'Attrition Modeling'!$B:$B,'IP Attrition'!$D13,'Attrition Modeling'!$C:$C,'IP Attrition'!BM$1),VLOOKUP($F13+BM$2,$A$6:$C$106,2,FALSE)*VLOOKUP(BM$1,'Attrition Modeling'!$L$15:$N$27,IF(BM$2+$F13&lt;=24,2,3),FALSE)),$C$3)*(1+Projection!BO$16)*(1+IF(BM145&gt;0,'Attrition Modeling'!$N$9,0)))</f>
        <v>0</v>
      </c>
      <c r="BN13" s="799">
        <f>(BM13+BN145)*(1-IFERROR(IF(BN$2+$F13&lt;=12,SUMIFS('Attrition Modeling'!$D:$D,'Attrition Modeling'!$B:$B,'IP Attrition'!$D13,'Attrition Modeling'!$C:$C,'IP Attrition'!BN$1),VLOOKUP($F13+BN$2,$A$6:$C$106,2,FALSE)*VLOOKUP(BN$1,'Attrition Modeling'!$L$15:$N$27,IF(BN$2+$F13&lt;=24,2,3),FALSE)),$C$3)*(1+Projection!BP$16)*(1+IF(BN145&gt;0,'Attrition Modeling'!$N$9,0)))</f>
        <v>0</v>
      </c>
      <c r="BO13" s="799">
        <f>(BN13+BO145)*(1-IFERROR(IF(BO$2+$F13&lt;=12,SUMIFS('Attrition Modeling'!$D:$D,'Attrition Modeling'!$B:$B,'IP Attrition'!$D13,'Attrition Modeling'!$C:$C,'IP Attrition'!BO$1),VLOOKUP($F13+BO$2,$A$6:$C$106,2,FALSE)*VLOOKUP(BO$1,'Attrition Modeling'!$L$15:$N$27,IF(BO$2+$F13&lt;=24,2,3),FALSE)),$C$3)*(1+Projection!BV$16)*(1+IF(BO145&gt;0,'Attrition Modeling'!$N$9,0)))</f>
        <v>0</v>
      </c>
      <c r="BP13" s="799">
        <f>(BO13+BP145)*(1-IFERROR(IF(BP$2+$F13&lt;=12,SUMIFS('Attrition Modeling'!$D:$D,'Attrition Modeling'!$B:$B,'IP Attrition'!$D13,'Attrition Modeling'!$C:$C,'IP Attrition'!BP$1),VLOOKUP($F13+BP$2,$A$6:$C$106,2,FALSE)*VLOOKUP(BP$1,'Attrition Modeling'!$L$15:$N$27,IF(BP$2+$F13&lt;=24,2,3),FALSE)),$C$3)*(1+Projection!BW$16)*(1+IF(BP145&gt;0,'Attrition Modeling'!$N$9,0)))</f>
        <v>0</v>
      </c>
      <c r="BQ13" s="799">
        <f>(BP13+BQ145)*(1-IFERROR(IF(BQ$2+$F13&lt;=12,SUMIFS('Attrition Modeling'!$D:$D,'Attrition Modeling'!$B:$B,'IP Attrition'!$D13,'Attrition Modeling'!$C:$C,'IP Attrition'!BQ$1),VLOOKUP($F13+BQ$2,$A$6:$C$106,2,FALSE)*VLOOKUP(BQ$1,'Attrition Modeling'!$L$15:$N$27,IF(BQ$2+$F13&lt;=24,2,3),FALSE)),$C$3)*(1+Projection!BX$16)*(1+IF(BQ145&gt;0,'Attrition Modeling'!$N$9,0)))</f>
        <v>0</v>
      </c>
      <c r="BR13" s="799">
        <f>(BQ13+BR145)*(1-IFERROR(IF(BR$2+$F13&lt;=12,SUMIFS('Attrition Modeling'!$D:$D,'Attrition Modeling'!$B:$B,'IP Attrition'!$D13,'Attrition Modeling'!$C:$C,'IP Attrition'!BR$1),VLOOKUP($F13+BR$2,$A$6:$C$106,2,FALSE)*VLOOKUP(BR$1,'Attrition Modeling'!$L$15:$N$27,IF(BR$2+$F13&lt;=24,2,3),FALSE)),$C$3)*(1+Projection!BY$16)*(1+IF(BR145&gt;0,'Attrition Modeling'!$N$9,0)))</f>
        <v>0</v>
      </c>
      <c r="BS13" s="799">
        <f>(BR13+BS145)*(1-IFERROR(IF(BS$2+$F13&lt;=12,SUMIFS('Attrition Modeling'!$D:$D,'Attrition Modeling'!$B:$B,'IP Attrition'!$D13,'Attrition Modeling'!$C:$C,'IP Attrition'!BS$1),VLOOKUP($F13+BS$2,$A$6:$C$106,2,FALSE)*VLOOKUP(BS$1,'Attrition Modeling'!$L$15:$N$27,IF(BS$2+$F13&lt;=24,2,3),FALSE)),$C$3)*(1+Projection!BZ$16)*(1+IF(BS145&gt;0,'Attrition Modeling'!$N$9,0)))</f>
        <v>0</v>
      </c>
      <c r="BT13" s="799" t="e">
        <f>(BS13+BT145)*(1-IFERROR(IF(BT$2+$F13&lt;=12,SUMIFS('Attrition Modeling'!$D:$D,'Attrition Modeling'!$B:$B,'IP Attrition'!$D13,'Attrition Modeling'!$C:$C,'IP Attrition'!BT$1),VLOOKUP($F13+BT$2,$A$6:$C$106,2,FALSE)*VLOOKUP(BT$1,'Attrition Modeling'!$L$15:$N$27,IF(BT$2+$F13&lt;=24,2,3),FALSE)),$C$3)*(1+Projection!CA$16)*(1+IF(BT145&gt;0,'Attrition Modeling'!$N$9,0)))</f>
        <v>#REF!</v>
      </c>
      <c r="BU13" s="799" t="e">
        <f>(BT13+BU145)*(1-IFERROR(IF(BU$2+$F13&lt;=12,SUMIFS('Attrition Modeling'!$D:$D,'Attrition Modeling'!$B:$B,'IP Attrition'!$D13,'Attrition Modeling'!$C:$C,'IP Attrition'!BU$1),VLOOKUP($F13+BU$2,$A$6:$C$106,2,FALSE)*VLOOKUP(BU$1,'Attrition Modeling'!$L$15:$N$27,IF(BU$2+$F13&lt;=24,2,3),FALSE)),$C$3)*(1+Projection!CB$16)*(1+IF(BU145&gt;0,'Attrition Modeling'!$N$9,0)))</f>
        <v>#REF!</v>
      </c>
    </row>
    <row r="14" spans="1:73" ht="14.25" customHeight="1" x14ac:dyDescent="0.2">
      <c r="A14" s="9">
        <v>7</v>
      </c>
      <c r="B14" s="25" t="e">
        <f>MAX('Attrition Modeling'!H11,$C$3)*(1-Summary!$C$20)</f>
        <v>#DIV/0!</v>
      </c>
      <c r="C14" s="24" t="e">
        <f t="shared" si="3"/>
        <v>#DIV/0!</v>
      </c>
      <c r="D14" s="11">
        <f t="shared" si="1"/>
        <v>-11</v>
      </c>
      <c r="E14" s="807">
        <f t="array" ref="E14">INDEX('Attrition Modeling'!$X$2:$AF$63,MATCH($F14,'Attrition Modeling'!$X$2:$X$63,0),MATCH(Inputs!$C$10,'Attrition Modeling'!$X$2:$AF$2,0))</f>
        <v>0</v>
      </c>
      <c r="F14" s="11">
        <f t="shared" si="2"/>
        <v>11</v>
      </c>
      <c r="G14" s="799">
        <f>Summary!$C$25*$E14</f>
        <v>0</v>
      </c>
      <c r="H14" s="808">
        <f>(G14+H146)*(1-IFERROR(IF(H$2+$F14&lt;=12,SUMIFS('Attrition Modeling'!$D:$D,'Attrition Modeling'!$B:$B,'IP Attrition'!$D14,'Attrition Modeling'!$C:$C,'IP Attrition'!H$1),VLOOKUP($F14+H$2,$A$6:$C$106,2,FALSE)*VLOOKUP(H$1,'Attrition Modeling'!$L$15:$N$27,IF(H$2+$F14&lt;=24,2,3),FALSE)),$C$3)*(1+Projection!J$16)*(1+IF(H146&gt;0,'Attrition Modeling'!$N$9,0)))</f>
        <v>0</v>
      </c>
      <c r="I14" s="799">
        <f>(H14+I146)*(1-IFERROR(IF(I$2+$F14&lt;=12,SUMIFS('Attrition Modeling'!$D:$D,'Attrition Modeling'!$B:$B,'IP Attrition'!$D14,'Attrition Modeling'!$C:$C,'IP Attrition'!I$1),VLOOKUP($F14+I$2,$A$6:$C$106,2,FALSE)*VLOOKUP(I$1,'Attrition Modeling'!$L$15:$N$27,IF(I$2+$F14&lt;=24,2,3),FALSE)),$C$3)*(1+Projection!K$16)*(1+IF(I146&gt;0,'Attrition Modeling'!$N$9,0)))</f>
        <v>0</v>
      </c>
      <c r="J14" s="799">
        <f>(I14+J146)*(1-IFERROR(IF(J$2+$F14&lt;=12,SUMIFS('Attrition Modeling'!$D:$D,'Attrition Modeling'!$B:$B,'IP Attrition'!$D14,'Attrition Modeling'!$C:$C,'IP Attrition'!J$1),VLOOKUP($F14+J$2,$A$6:$C$106,2,FALSE)*VLOOKUP(J$1,'Attrition Modeling'!$L$15:$N$27,IF(J$2+$F14&lt;=24,2,3),FALSE)),$C$3)*(1+Projection!L$16)*(1+IF(J146&gt;0,'Attrition Modeling'!$N$9,0)))</f>
        <v>0</v>
      </c>
      <c r="K14" s="799">
        <f>(J14+K146)*(1-IFERROR(IF(K$2+$F14&lt;=12,SUMIFS('Attrition Modeling'!$D:$D,'Attrition Modeling'!$B:$B,'IP Attrition'!$D14,'Attrition Modeling'!$C:$C,'IP Attrition'!K$1),VLOOKUP($F14+K$2,$A$6:$C$106,2,FALSE)*VLOOKUP(K$1,'Attrition Modeling'!$L$15:$N$27,IF(K$2+$F14&lt;=24,2,3),FALSE)),$C$3)*(1+Projection!M$16)*(1+IF(K146&gt;0,'Attrition Modeling'!$N$9,0)))</f>
        <v>0</v>
      </c>
      <c r="L14" s="799">
        <f>(K14+L146)*(1-IFERROR(IF(L$2+$F14&lt;=12,SUMIFS('Attrition Modeling'!$D:$D,'Attrition Modeling'!$B:$B,'IP Attrition'!$D14,'Attrition Modeling'!$C:$C,'IP Attrition'!L$1),VLOOKUP($F14+L$2,$A$6:$C$106,2,FALSE)*VLOOKUP(L$1,'Attrition Modeling'!$L$15:$N$27,IF(L$2+$F14&lt;=24,2,3),FALSE)),$C$3)*(1+Projection!N$16)*(1+IF(L146&gt;0,'Attrition Modeling'!$N$9,0)))</f>
        <v>0</v>
      </c>
      <c r="M14" s="799">
        <f>(L14+M146)*(1-IFERROR(IF(M$2+$F14&lt;=12,SUMIFS('Attrition Modeling'!$D:$D,'Attrition Modeling'!$B:$B,'IP Attrition'!$D14,'Attrition Modeling'!$C:$C,'IP Attrition'!M$1),VLOOKUP($F14+M$2,$A$6:$C$106,2,FALSE)*VLOOKUP(M$1,'Attrition Modeling'!$L$15:$N$27,IF(M$2+$F14&lt;=24,2,3),FALSE)),$C$3)*(1+Projection!O$16)*(1+IF(M146&gt;0,'Attrition Modeling'!$N$9,0)))</f>
        <v>0</v>
      </c>
      <c r="N14" s="799">
        <f>(M14+N146)*(1-IFERROR(IF(N$2+$F14&lt;=12,SUMIFS('Attrition Modeling'!$D:$D,'Attrition Modeling'!$B:$B,'IP Attrition'!$D14,'Attrition Modeling'!$C:$C,'IP Attrition'!N$1),VLOOKUP($F14+N$2,$A$6:$C$106,2,FALSE)*VLOOKUP(N$1,'Attrition Modeling'!$L$15:$N$27,IF(N$2+$F14&lt;=24,2,3),FALSE)),$C$3)*(1+Projection!P$16)*(1+IF(N146&gt;0,'Attrition Modeling'!$N$9,0)))</f>
        <v>0</v>
      </c>
      <c r="O14" s="799">
        <f>(N14+O146)*(1-IFERROR(IF(O$2+$F14&lt;=12,SUMIFS('Attrition Modeling'!$D:$D,'Attrition Modeling'!$B:$B,'IP Attrition'!$D14,'Attrition Modeling'!$C:$C,'IP Attrition'!O$1),VLOOKUP($F14+O$2,$A$6:$C$106,2,FALSE)*VLOOKUP(O$1,'Attrition Modeling'!$L$15:$N$27,IF(O$2+$F14&lt;=24,2,3),FALSE)),$C$3)*(1+Projection!Q$16)*(1+IF(O146&gt;0,'Attrition Modeling'!$N$9,0)))</f>
        <v>0</v>
      </c>
      <c r="P14" s="799">
        <f>(O14+P146)*(1-IFERROR(IF(P$2+$F14&lt;=12,SUMIFS('Attrition Modeling'!$D:$D,'Attrition Modeling'!$B:$B,'IP Attrition'!$D14,'Attrition Modeling'!$C:$C,'IP Attrition'!P$1),VLOOKUP($F14+P$2,$A$6:$C$106,2,FALSE)*VLOOKUP(P$1,'Attrition Modeling'!$L$15:$N$27,IF(P$2+$F14&lt;=24,2,3),FALSE)),$C$3)*(1+Projection!R$16)*(1+IF(P146&gt;0,'Attrition Modeling'!$N$9,0)))</f>
        <v>0</v>
      </c>
      <c r="Q14" s="799">
        <f>(P14+Q146)*(1-IFERROR(IF(Q$2+$F14&lt;=12,SUMIFS('Attrition Modeling'!$D:$D,'Attrition Modeling'!$B:$B,'IP Attrition'!$D14,'Attrition Modeling'!$C:$C,'IP Attrition'!Q$1),VLOOKUP($F14+Q$2,$A$6:$C$106,2,FALSE)*VLOOKUP(Q$1,'Attrition Modeling'!$L$15:$N$27,IF(Q$2+$F14&lt;=24,2,3),FALSE)),$C$3)*(1+Projection!S$16)*(1+IF(Q146&gt;0,'Attrition Modeling'!$N$9,0)))</f>
        <v>0</v>
      </c>
      <c r="R14" s="799">
        <f>(Q14+R146)*(1-IFERROR(IF(R$2+$F14&lt;=12,SUMIFS('Attrition Modeling'!$D:$D,'Attrition Modeling'!$B:$B,'IP Attrition'!$D14,'Attrition Modeling'!$C:$C,'IP Attrition'!R$1),VLOOKUP($F14+R$2,$A$6:$C$106,2,FALSE)*VLOOKUP(R$1,'Attrition Modeling'!$L$15:$N$27,IF(R$2+$F14&lt;=24,2,3),FALSE)),$C$3)*(1+Projection!T$16)*(1+IF(R146&gt;0,'Attrition Modeling'!$N$9,0)))</f>
        <v>0</v>
      </c>
      <c r="S14" s="799">
        <f>(R14+S146)*(1-IFERROR(IF(S$2+$F14&lt;=12,SUMIFS('Attrition Modeling'!$D:$D,'Attrition Modeling'!$B:$B,'IP Attrition'!$D14,'Attrition Modeling'!$C:$C,'IP Attrition'!S$1),VLOOKUP($F14+S$2,$A$6:$C$106,2,FALSE)*VLOOKUP(S$1,'Attrition Modeling'!$L$15:$N$27,IF(S$2+$F14&lt;=24,2,3),FALSE)),$C$3)*(1+Projection!U$16)*(1+IF(S146&gt;0,'Attrition Modeling'!$N$9,0)))</f>
        <v>0</v>
      </c>
      <c r="T14" s="799">
        <f>(S14+T146)*(1-IFERROR(IF(T$2+$F14&lt;=12,SUMIFS('Attrition Modeling'!$D:$D,'Attrition Modeling'!$B:$B,'IP Attrition'!$D14,'Attrition Modeling'!$C:$C,'IP Attrition'!T$1),VLOOKUP($F14+T$2,$A$6:$C$106,2,FALSE)*VLOOKUP(T$1,'Attrition Modeling'!$L$15:$N$27,IF(T$2+$F14&lt;=24,2,3),FALSE)),$C$3)*(1+Projection!V$16)*(1+IF(T146&gt;0,'Attrition Modeling'!$N$9,0)))</f>
        <v>0</v>
      </c>
      <c r="U14" s="799">
        <f>(T14+U146)*(1-IFERROR(IF(U$2+$F14&lt;=12,SUMIFS('Attrition Modeling'!$D:$D,'Attrition Modeling'!$B:$B,'IP Attrition'!$D14,'Attrition Modeling'!$C:$C,'IP Attrition'!U$1),VLOOKUP($F14+U$2,$A$6:$C$106,2,FALSE)*VLOOKUP(U$1,'Attrition Modeling'!$L$15:$N$27,IF(U$2+$F14&lt;=24,2,3),FALSE)),$C$3)*(1+Projection!W$16)*(1+IF(U146&gt;0,'Attrition Modeling'!$N$9,0)))</f>
        <v>0</v>
      </c>
      <c r="V14" s="799">
        <f>(U14+V146)*(1-IFERROR(IF(V$2+$F14&lt;=12,SUMIFS('Attrition Modeling'!$D:$D,'Attrition Modeling'!$B:$B,'IP Attrition'!$D14,'Attrition Modeling'!$C:$C,'IP Attrition'!V$1),VLOOKUP($F14+V$2,$A$6:$C$106,2,FALSE)*VLOOKUP(V$1,'Attrition Modeling'!$L$15:$N$27,IF(V$2+$F14&lt;=24,2,3),FALSE)),$C$3)*(1+Projection!X$16)*(1+IF(V146&gt;0,'Attrition Modeling'!$N$9,0)))</f>
        <v>0</v>
      </c>
      <c r="W14" s="799">
        <f>(V14+W146)*(1-IFERROR(IF(W$2+$F14&lt;=12,SUMIFS('Attrition Modeling'!$D:$D,'Attrition Modeling'!$B:$B,'IP Attrition'!$D14,'Attrition Modeling'!$C:$C,'IP Attrition'!W$1),VLOOKUP($F14+W$2,$A$6:$C$106,2,FALSE)*VLOOKUP(W$1,'Attrition Modeling'!$L$15:$N$27,IF(W$2+$F14&lt;=24,2,3),FALSE)),$C$3)*(1+Projection!Y$16)*(1+IF(W146&gt;0,'Attrition Modeling'!$N$9,0)))</f>
        <v>0</v>
      </c>
      <c r="X14" s="799">
        <f>(W14+X146)*(1-IFERROR(IF(X$2+$F14&lt;=12,SUMIFS('Attrition Modeling'!$D:$D,'Attrition Modeling'!$B:$B,'IP Attrition'!$D14,'Attrition Modeling'!$C:$C,'IP Attrition'!X$1),VLOOKUP($F14+X$2,$A$6:$C$106,2,FALSE)*VLOOKUP(X$1,'Attrition Modeling'!$L$15:$N$27,IF(X$2+$F14&lt;=24,2,3),FALSE)),$C$3)*(1+Projection!Z$16)*(1+IF(X146&gt;0,'Attrition Modeling'!$N$9,0)))</f>
        <v>0</v>
      </c>
      <c r="Y14" s="799">
        <f>(X14+Y146)*(1-IFERROR(IF(Y$2+$F14&lt;=12,SUMIFS('Attrition Modeling'!$D:$D,'Attrition Modeling'!$B:$B,'IP Attrition'!$D14,'Attrition Modeling'!$C:$C,'IP Attrition'!Y$1),VLOOKUP($F14+Y$2,$A$6:$C$106,2,FALSE)*VLOOKUP(Y$1,'Attrition Modeling'!$L$15:$N$27,IF(Y$2+$F14&lt;=24,2,3),FALSE)),$C$3)*(1+Projection!AA$16)*(1+IF(Y146&gt;0,'Attrition Modeling'!$N$9,0)))</f>
        <v>0</v>
      </c>
      <c r="Z14" s="799">
        <f>(Y14+Z146)*(1-IFERROR(IF(Z$2+$F14&lt;=12,SUMIFS('Attrition Modeling'!$D:$D,'Attrition Modeling'!$B:$B,'IP Attrition'!$D14,'Attrition Modeling'!$C:$C,'IP Attrition'!Z$1),VLOOKUP($F14+Z$2,$A$6:$C$106,2,FALSE)*VLOOKUP(Z$1,'Attrition Modeling'!$L$15:$N$27,IF(Z$2+$F14&lt;=24,2,3),FALSE)),$C$3)*(1+Projection!AB$16)*(1+IF(Z146&gt;0,'Attrition Modeling'!$N$9,0)))</f>
        <v>0</v>
      </c>
      <c r="AA14" s="799">
        <f>(Z14+AA146)*(1-IFERROR(IF(AA$2+$F14&lt;=12,SUMIFS('Attrition Modeling'!$D:$D,'Attrition Modeling'!$B:$B,'IP Attrition'!$D14,'Attrition Modeling'!$C:$C,'IP Attrition'!AA$1),VLOOKUP($F14+AA$2,$A$6:$C$106,2,FALSE)*VLOOKUP(AA$1,'Attrition Modeling'!$L$15:$N$27,IF(AA$2+$F14&lt;=24,2,3),FALSE)),$C$3)*(1+Projection!AC$16)*(1+IF(AA146&gt;0,'Attrition Modeling'!$N$9,0)))</f>
        <v>0</v>
      </c>
      <c r="AB14" s="799">
        <f>(AA14+AB146)*(1-IFERROR(IF(AB$2+$F14&lt;=12,SUMIFS('Attrition Modeling'!$D:$D,'Attrition Modeling'!$B:$B,'IP Attrition'!$D14,'Attrition Modeling'!$C:$C,'IP Attrition'!AB$1),VLOOKUP($F14+AB$2,$A$6:$C$106,2,FALSE)*VLOOKUP(AB$1,'Attrition Modeling'!$L$15:$N$27,IF(AB$2+$F14&lt;=24,2,3),FALSE)),$C$3)*(1+Projection!AD$16)*(1+IF(AB146&gt;0,'Attrition Modeling'!$N$9,0)))</f>
        <v>0</v>
      </c>
      <c r="AC14" s="799">
        <f>(AB14+AC146)*(1-IFERROR(IF(AC$2+$F14&lt;=12,SUMIFS('Attrition Modeling'!$D:$D,'Attrition Modeling'!$B:$B,'IP Attrition'!$D14,'Attrition Modeling'!$C:$C,'IP Attrition'!AC$1),VLOOKUP($F14+AC$2,$A$6:$C$106,2,FALSE)*VLOOKUP(AC$1,'Attrition Modeling'!$L$15:$N$27,IF(AC$2+$F14&lt;=24,2,3),FALSE)),$C$3)*(1+Projection!AE$16)*(1+IF(AC146&gt;0,'Attrition Modeling'!$N$9,0)))</f>
        <v>0</v>
      </c>
      <c r="AD14" s="799">
        <f>(AC14+AD146)*(1-IFERROR(IF(AD$2+$F14&lt;=12,SUMIFS('Attrition Modeling'!$D:$D,'Attrition Modeling'!$B:$B,'IP Attrition'!$D14,'Attrition Modeling'!$C:$C,'IP Attrition'!AD$1),VLOOKUP($F14+AD$2,$A$6:$C$106,2,FALSE)*VLOOKUP(AD$1,'Attrition Modeling'!$L$15:$N$27,IF(AD$2+$F14&lt;=24,2,3),FALSE)),$C$3)*(1+Projection!AF$16)*(1+IF(AD146&gt;0,'Attrition Modeling'!$N$9,0)))</f>
        <v>0</v>
      </c>
      <c r="AE14" s="799">
        <f>(AD14+AE146)*(1-IFERROR(IF(AE$2+$F14&lt;=12,SUMIFS('Attrition Modeling'!$D:$D,'Attrition Modeling'!$B:$B,'IP Attrition'!$D14,'Attrition Modeling'!$C:$C,'IP Attrition'!AE$1),VLOOKUP($F14+AE$2,$A$6:$C$106,2,FALSE)*VLOOKUP(AE$1,'Attrition Modeling'!$L$15:$N$27,IF(AE$2+$F14&lt;=24,2,3),FALSE)),$C$3)*(1+Projection!AG$16)*(1+IF(AE146&gt;0,'Attrition Modeling'!$N$9,0)))</f>
        <v>0</v>
      </c>
      <c r="AF14" s="799">
        <f>(AE14+AF146)*(1-IFERROR(IF(AF$2+$F14&lt;=12,SUMIFS('Attrition Modeling'!$D:$D,'Attrition Modeling'!$B:$B,'IP Attrition'!$D14,'Attrition Modeling'!$C:$C,'IP Attrition'!AF$1),VLOOKUP($F14+AF$2,$A$6:$C$106,2,FALSE)*VLOOKUP(AF$1,'Attrition Modeling'!$L$15:$N$27,IF(AF$2+$F14&lt;=24,2,3),FALSE)),$C$3)*(1+Projection!AH$16)*(1+IF(AF146&gt;0,'Attrition Modeling'!$N$9,0)))</f>
        <v>0</v>
      </c>
      <c r="AG14" s="799">
        <f>(AF14+AG146)*(1-IFERROR(IF(AG$2+$F14&lt;=12,SUMIFS('Attrition Modeling'!$D:$D,'Attrition Modeling'!$B:$B,'IP Attrition'!$D14,'Attrition Modeling'!$C:$C,'IP Attrition'!AG$1),VLOOKUP($F14+AG$2,$A$6:$C$106,2,FALSE)*VLOOKUP(AG$1,'Attrition Modeling'!$L$15:$N$27,IF(AG$2+$F14&lt;=24,2,3),FALSE)),$C$3)*(1+Projection!AI$16)*(1+IF(AG146&gt;0,'Attrition Modeling'!$N$9,0)))</f>
        <v>0</v>
      </c>
      <c r="AH14" s="799">
        <f>(AG14+AH146)*(1-IFERROR(IF(AH$2+$F14&lt;=12,SUMIFS('Attrition Modeling'!$D:$D,'Attrition Modeling'!$B:$B,'IP Attrition'!$D14,'Attrition Modeling'!$C:$C,'IP Attrition'!AH$1),VLOOKUP($F14+AH$2,$A$6:$C$106,2,FALSE)*VLOOKUP(AH$1,'Attrition Modeling'!$L$15:$N$27,IF(AH$2+$F14&lt;=24,2,3),FALSE)),$C$3)*(1+Projection!AJ$16)*(1+IF(AH146&gt;0,'Attrition Modeling'!$N$9,0)))</f>
        <v>0</v>
      </c>
      <c r="AI14" s="799">
        <f>(AH14+AI146)*(1-IFERROR(IF(AI$2+$F14&lt;=12,SUMIFS('Attrition Modeling'!$D:$D,'Attrition Modeling'!$B:$B,'IP Attrition'!$D14,'Attrition Modeling'!$C:$C,'IP Attrition'!AI$1),VLOOKUP($F14+AI$2,$A$6:$C$106,2,FALSE)*VLOOKUP(AI$1,'Attrition Modeling'!$L$15:$N$27,IF(AI$2+$F14&lt;=24,2,3),FALSE)),$C$3)*(1+Projection!AK$16)*(1+IF(AI146&gt;0,'Attrition Modeling'!$N$9,0)))</f>
        <v>0</v>
      </c>
      <c r="AJ14" s="799">
        <f>(AI14+AJ146)*(1-IFERROR(IF(AJ$2+$F14&lt;=12,SUMIFS('Attrition Modeling'!$D:$D,'Attrition Modeling'!$B:$B,'IP Attrition'!$D14,'Attrition Modeling'!$C:$C,'IP Attrition'!AJ$1),VLOOKUP($F14+AJ$2,$A$6:$C$106,2,FALSE)*VLOOKUP(AJ$1,'Attrition Modeling'!$L$15:$N$27,IF(AJ$2+$F14&lt;=24,2,3),FALSE)),$C$3)*(1+Projection!AL$16)*(1+IF(AJ146&gt;0,'Attrition Modeling'!$N$9,0)))</f>
        <v>0</v>
      </c>
      <c r="AK14" s="799">
        <f>(AJ14+AK146)*(1-IFERROR(IF(AK$2+$F14&lt;=12,SUMIFS('Attrition Modeling'!$D:$D,'Attrition Modeling'!$B:$B,'IP Attrition'!$D14,'Attrition Modeling'!$C:$C,'IP Attrition'!AK$1),VLOOKUP($F14+AK$2,$A$6:$C$106,2,FALSE)*VLOOKUP(AK$1,'Attrition Modeling'!$L$15:$N$27,IF(AK$2+$F14&lt;=24,2,3),FALSE)),$C$3)*(1+Projection!AM$16)*(1+IF(AK146&gt;0,'Attrition Modeling'!$N$9,0)))</f>
        <v>0</v>
      </c>
      <c r="AL14" s="799">
        <f>(AK14+AL146)*(1-IFERROR(IF(AL$2+$F14&lt;=12,SUMIFS('Attrition Modeling'!$D:$D,'Attrition Modeling'!$B:$B,'IP Attrition'!$D14,'Attrition Modeling'!$C:$C,'IP Attrition'!AL$1),VLOOKUP($F14+AL$2,$A$6:$C$106,2,FALSE)*VLOOKUP(AL$1,'Attrition Modeling'!$L$15:$N$27,IF(AL$2+$F14&lt;=24,2,3),FALSE)),$C$3)*(1+Projection!AN$16)*(1+IF(AL146&gt;0,'Attrition Modeling'!$N$9,0)))</f>
        <v>0</v>
      </c>
      <c r="AM14" s="799">
        <f>(AL14+AM146)*(1-IFERROR(IF(AM$2+$F14&lt;=12,SUMIFS('Attrition Modeling'!$D:$D,'Attrition Modeling'!$B:$B,'IP Attrition'!$D14,'Attrition Modeling'!$C:$C,'IP Attrition'!AM$1),VLOOKUP($F14+AM$2,$A$6:$C$106,2,FALSE)*VLOOKUP(AM$1,'Attrition Modeling'!$L$15:$N$27,IF(AM$2+$F14&lt;=24,2,3),FALSE)),$C$3)*(1+Projection!AO$16)*(1+IF(AM146&gt;0,'Attrition Modeling'!$N$9,0)))</f>
        <v>0</v>
      </c>
      <c r="AN14" s="799">
        <f>(AM14+AN146)*(1-IFERROR(IF(AN$2+$F14&lt;=12,SUMIFS('Attrition Modeling'!$D:$D,'Attrition Modeling'!$B:$B,'IP Attrition'!$D14,'Attrition Modeling'!$C:$C,'IP Attrition'!AN$1),VLOOKUP($F14+AN$2,$A$6:$C$106,2,FALSE)*VLOOKUP(AN$1,'Attrition Modeling'!$L$15:$N$27,IF(AN$2+$F14&lt;=24,2,3),FALSE)),$C$3)*(1+Projection!AP$16)*(1+IF(AN146&gt;0,'Attrition Modeling'!$N$9,0)))</f>
        <v>0</v>
      </c>
      <c r="AO14" s="799">
        <f>(AN14+AO146)*(1-IFERROR(IF(AO$2+$F14&lt;=12,SUMIFS('Attrition Modeling'!$D:$D,'Attrition Modeling'!$B:$B,'IP Attrition'!$D14,'Attrition Modeling'!$C:$C,'IP Attrition'!AO$1),VLOOKUP($F14+AO$2,$A$6:$C$106,2,FALSE)*VLOOKUP(AO$1,'Attrition Modeling'!$L$15:$N$27,IF(AO$2+$F14&lt;=24,2,3),FALSE)),$C$3)*(1+Projection!AQ$16)*(1+IF(AO146&gt;0,'Attrition Modeling'!$N$9,0)))</f>
        <v>0</v>
      </c>
      <c r="AP14" s="799">
        <f>(AO14+AP146)*(1-IFERROR(IF(AP$2+$F14&lt;=12,SUMIFS('Attrition Modeling'!$D:$D,'Attrition Modeling'!$B:$B,'IP Attrition'!$D14,'Attrition Modeling'!$C:$C,'IP Attrition'!AP$1),VLOOKUP($F14+AP$2,$A$6:$C$106,2,FALSE)*VLOOKUP(AP$1,'Attrition Modeling'!$L$15:$N$27,IF(AP$2+$F14&lt;=24,2,3),FALSE)),$C$3)*(1+Projection!AR$16)*(1+IF(AP146&gt;0,'Attrition Modeling'!$N$9,0)))</f>
        <v>0</v>
      </c>
      <c r="AQ14" s="799">
        <f>(AP14+AQ146)*(1-IFERROR(IF(AQ$2+$F14&lt;=12,SUMIFS('Attrition Modeling'!$D:$D,'Attrition Modeling'!$B:$B,'IP Attrition'!$D14,'Attrition Modeling'!$C:$C,'IP Attrition'!AQ$1),VLOOKUP($F14+AQ$2,$A$6:$C$106,2,FALSE)*VLOOKUP(AQ$1,'Attrition Modeling'!$L$15:$N$27,IF(AQ$2+$F14&lt;=24,2,3),FALSE)),$C$3)*(1+Projection!AS$16)*(1+IF(AQ146&gt;0,'Attrition Modeling'!$N$9,0)))</f>
        <v>0</v>
      </c>
      <c r="AR14" s="799">
        <f>(AQ14+AR146)*(1-IFERROR(IF(AR$2+$F14&lt;=12,SUMIFS('Attrition Modeling'!$D:$D,'Attrition Modeling'!$B:$B,'IP Attrition'!$D14,'Attrition Modeling'!$C:$C,'IP Attrition'!AR$1),VLOOKUP($F14+AR$2,$A$6:$C$106,2,FALSE)*VLOOKUP(AR$1,'Attrition Modeling'!$L$15:$N$27,IF(AR$2+$F14&lt;=24,2,3),FALSE)),$C$3)*(1+Projection!AT$16)*(1+IF(AR146&gt;0,'Attrition Modeling'!$N$9,0)))</f>
        <v>0</v>
      </c>
      <c r="AS14" s="799">
        <f>(AR14+AS146)*(1-IFERROR(IF(AS$2+$F14&lt;=12,SUMIFS('Attrition Modeling'!$D:$D,'Attrition Modeling'!$B:$B,'IP Attrition'!$D14,'Attrition Modeling'!$C:$C,'IP Attrition'!AS$1),VLOOKUP($F14+AS$2,$A$6:$C$106,2,FALSE)*VLOOKUP(AS$1,'Attrition Modeling'!$L$15:$N$27,IF(AS$2+$F14&lt;=24,2,3),FALSE)),$C$3)*(1+Projection!AU$16)*(1+IF(AS146&gt;0,'Attrition Modeling'!$N$9,0)))</f>
        <v>0</v>
      </c>
      <c r="AT14" s="799">
        <f>(AS14+AT146)*(1-IFERROR(IF(AT$2+$F14&lt;=12,SUMIFS('Attrition Modeling'!$D:$D,'Attrition Modeling'!$B:$B,'IP Attrition'!$D14,'Attrition Modeling'!$C:$C,'IP Attrition'!AT$1),VLOOKUP($F14+AT$2,$A$6:$C$106,2,FALSE)*VLOOKUP(AT$1,'Attrition Modeling'!$L$15:$N$27,IF(AT$2+$F14&lt;=24,2,3),FALSE)),$C$3)*(1+Projection!AV$16)*(1+IF(AT146&gt;0,'Attrition Modeling'!$N$9,0)))</f>
        <v>0</v>
      </c>
      <c r="AU14" s="799">
        <f>(AT14+AU146)*(1-IFERROR(IF(AU$2+$F14&lt;=12,SUMIFS('Attrition Modeling'!$D:$D,'Attrition Modeling'!$B:$B,'IP Attrition'!$D14,'Attrition Modeling'!$C:$C,'IP Attrition'!AU$1),VLOOKUP($F14+AU$2,$A$6:$C$106,2,FALSE)*VLOOKUP(AU$1,'Attrition Modeling'!$L$15:$N$27,IF(AU$2+$F14&lt;=24,2,3),FALSE)),$C$3)*(1+Projection!AW$16)*(1+IF(AU146&gt;0,'Attrition Modeling'!$N$9,0)))</f>
        <v>0</v>
      </c>
      <c r="AV14" s="799">
        <f>(AU14+AV146)*(1-IFERROR(IF(AV$2+$F14&lt;=12,SUMIFS('Attrition Modeling'!$D:$D,'Attrition Modeling'!$B:$B,'IP Attrition'!$D14,'Attrition Modeling'!$C:$C,'IP Attrition'!AV$1),VLOOKUP($F14+AV$2,$A$6:$C$106,2,FALSE)*VLOOKUP(AV$1,'Attrition Modeling'!$L$15:$N$27,IF(AV$2+$F14&lt;=24,2,3),FALSE)),$C$3)*(1+Projection!AX$16)*(1+IF(AV146&gt;0,'Attrition Modeling'!$N$9,0)))</f>
        <v>0</v>
      </c>
      <c r="AW14" s="799">
        <f>(AV14+AW146)*(1-IFERROR(IF(AW$2+$F14&lt;=12,SUMIFS('Attrition Modeling'!$D:$D,'Attrition Modeling'!$B:$B,'IP Attrition'!$D14,'Attrition Modeling'!$C:$C,'IP Attrition'!AW$1),VLOOKUP($F14+AW$2,$A$6:$C$106,2,FALSE)*VLOOKUP(AW$1,'Attrition Modeling'!$L$15:$N$27,IF(AW$2+$F14&lt;=24,2,3),FALSE)),$C$3)*(1+Projection!AY$16)*(1+IF(AW146&gt;0,'Attrition Modeling'!$N$9,0)))</f>
        <v>0</v>
      </c>
      <c r="AX14" s="799">
        <f>(AW14+AX146)*(1-IFERROR(IF(AX$2+$F14&lt;=12,SUMIFS('Attrition Modeling'!$D:$D,'Attrition Modeling'!$B:$B,'IP Attrition'!$D14,'Attrition Modeling'!$C:$C,'IP Attrition'!AX$1),VLOOKUP($F14+AX$2,$A$6:$C$106,2,FALSE)*VLOOKUP(AX$1,'Attrition Modeling'!$L$15:$N$27,IF(AX$2+$F14&lt;=24,2,3),FALSE)),$C$3)*(1+Projection!AZ$16)*(1+IF(AX146&gt;0,'Attrition Modeling'!$N$9,0)))</f>
        <v>0</v>
      </c>
      <c r="AY14" s="799">
        <f>(AX14+AY146)*(1-IFERROR(IF(AY$2+$F14&lt;=12,SUMIFS('Attrition Modeling'!$D:$D,'Attrition Modeling'!$B:$B,'IP Attrition'!$D14,'Attrition Modeling'!$C:$C,'IP Attrition'!AY$1),VLOOKUP($F14+AY$2,$A$6:$C$106,2,FALSE)*VLOOKUP(AY$1,'Attrition Modeling'!$L$15:$N$27,IF(AY$2+$F14&lt;=24,2,3),FALSE)),$C$3)*(1+Projection!BA$16)*(1+IF(AY146&gt;0,'Attrition Modeling'!$N$9,0)))</f>
        <v>0</v>
      </c>
      <c r="AZ14" s="799">
        <f>(AY14+AZ146)*(1-IFERROR(IF(AZ$2+$F14&lt;=12,SUMIFS('Attrition Modeling'!$D:$D,'Attrition Modeling'!$B:$B,'IP Attrition'!$D14,'Attrition Modeling'!$C:$C,'IP Attrition'!AZ$1),VLOOKUP($F14+AZ$2,$A$6:$C$106,2,FALSE)*VLOOKUP(AZ$1,'Attrition Modeling'!$L$15:$N$27,IF(AZ$2+$F14&lt;=24,2,3),FALSE)),$C$3)*(1+Projection!BB$16)*(1+IF(AZ146&gt;0,'Attrition Modeling'!$N$9,0)))</f>
        <v>0</v>
      </c>
      <c r="BA14" s="799">
        <f>(AZ14+BA146)*(1-IFERROR(IF(BA$2+$F14&lt;=12,SUMIFS('Attrition Modeling'!$D:$D,'Attrition Modeling'!$B:$B,'IP Attrition'!$D14,'Attrition Modeling'!$C:$C,'IP Attrition'!BA$1),VLOOKUP($F14+BA$2,$A$6:$C$106,2,FALSE)*VLOOKUP(BA$1,'Attrition Modeling'!$L$15:$N$27,IF(BA$2+$F14&lt;=24,2,3),FALSE)),$C$3)*(1+Projection!BC$16)*(1+IF(BA146&gt;0,'Attrition Modeling'!$N$9,0)))</f>
        <v>0</v>
      </c>
      <c r="BB14" s="799">
        <f>(BA14+BB146)*(1-IFERROR(IF(BB$2+$F14&lt;=12,SUMIFS('Attrition Modeling'!$D:$D,'Attrition Modeling'!$B:$B,'IP Attrition'!$D14,'Attrition Modeling'!$C:$C,'IP Attrition'!BB$1),VLOOKUP($F14+BB$2,$A$6:$C$106,2,FALSE)*VLOOKUP(BB$1,'Attrition Modeling'!$L$15:$N$27,IF(BB$2+$F14&lt;=24,2,3),FALSE)),$C$3)*(1+Projection!BD$16)*(1+IF(BB146&gt;0,'Attrition Modeling'!$N$9,0)))</f>
        <v>0</v>
      </c>
      <c r="BC14" s="799">
        <f>(BB14+BC146)*(1-IFERROR(IF(BC$2+$F14&lt;=12,SUMIFS('Attrition Modeling'!$D:$D,'Attrition Modeling'!$B:$B,'IP Attrition'!$D14,'Attrition Modeling'!$C:$C,'IP Attrition'!BC$1),VLOOKUP($F14+BC$2,$A$6:$C$106,2,FALSE)*VLOOKUP(BC$1,'Attrition Modeling'!$L$15:$N$27,IF(BC$2+$F14&lt;=24,2,3),FALSE)),$C$3)*(1+Projection!BE$16)*(1+IF(BC146&gt;0,'Attrition Modeling'!$N$9,0)))</f>
        <v>0</v>
      </c>
      <c r="BD14" s="799">
        <f>(BC14+BD146)*(1-IFERROR(IF(BD$2+$F14&lt;=12,SUMIFS('Attrition Modeling'!$D:$D,'Attrition Modeling'!$B:$B,'IP Attrition'!$D14,'Attrition Modeling'!$C:$C,'IP Attrition'!BD$1),VLOOKUP($F14+BD$2,$A$6:$C$106,2,FALSE)*VLOOKUP(BD$1,'Attrition Modeling'!$L$15:$N$27,IF(BD$2+$F14&lt;=24,2,3),FALSE)),$C$3)*(1+Projection!BF$16)*(1+IF(BD146&gt;0,'Attrition Modeling'!$N$9,0)))</f>
        <v>0</v>
      </c>
      <c r="BE14" s="799">
        <f>(BD14+BE146)*(1-IFERROR(IF(BE$2+$F14&lt;=12,SUMIFS('Attrition Modeling'!$D:$D,'Attrition Modeling'!$B:$B,'IP Attrition'!$D14,'Attrition Modeling'!$C:$C,'IP Attrition'!BE$1),VLOOKUP($F14+BE$2,$A$6:$C$106,2,FALSE)*VLOOKUP(BE$1,'Attrition Modeling'!$L$15:$N$27,IF(BE$2+$F14&lt;=24,2,3),FALSE)),$C$3)*(1+Projection!BG$16)*(1+IF(BE146&gt;0,'Attrition Modeling'!$N$9,0)))</f>
        <v>0</v>
      </c>
      <c r="BF14" s="799">
        <f>(BE14+BF146)*(1-IFERROR(IF(BF$2+$F14&lt;=12,SUMIFS('Attrition Modeling'!$D:$D,'Attrition Modeling'!$B:$B,'IP Attrition'!$D14,'Attrition Modeling'!$C:$C,'IP Attrition'!BF$1),VLOOKUP($F14+BF$2,$A$6:$C$106,2,FALSE)*VLOOKUP(BF$1,'Attrition Modeling'!$L$15:$N$27,IF(BF$2+$F14&lt;=24,2,3),FALSE)),$C$3)*(1+Projection!BH$16)*(1+IF(BF146&gt;0,'Attrition Modeling'!$N$9,0)))</f>
        <v>0</v>
      </c>
      <c r="BG14" s="799">
        <f>(BF14+BG146)*(1-IFERROR(IF(BG$2+$F14&lt;=12,SUMIFS('Attrition Modeling'!$D:$D,'Attrition Modeling'!$B:$B,'IP Attrition'!$D14,'Attrition Modeling'!$C:$C,'IP Attrition'!BG$1),VLOOKUP($F14+BG$2,$A$6:$C$106,2,FALSE)*VLOOKUP(BG$1,'Attrition Modeling'!$L$15:$N$27,IF(BG$2+$F14&lt;=24,2,3),FALSE)),$C$3)*(1+Projection!BI$16)*(1+IF(BG146&gt;0,'Attrition Modeling'!$N$9,0)))</f>
        <v>0</v>
      </c>
      <c r="BH14" s="799">
        <f>(BG14+BH146)*(1-IFERROR(IF(BH$2+$F14&lt;=12,SUMIFS('Attrition Modeling'!$D:$D,'Attrition Modeling'!$B:$B,'IP Attrition'!$D14,'Attrition Modeling'!$C:$C,'IP Attrition'!BH$1),VLOOKUP($F14+BH$2,$A$6:$C$106,2,FALSE)*VLOOKUP(BH$1,'Attrition Modeling'!$L$15:$N$27,IF(BH$2+$F14&lt;=24,2,3),FALSE)),$C$3)*(1+Projection!BJ$16)*(1+IF(BH146&gt;0,'Attrition Modeling'!$N$9,0)))</f>
        <v>0</v>
      </c>
      <c r="BI14" s="799">
        <f>(BH14+BI146)*(1-IFERROR(IF(BI$2+$F14&lt;=12,SUMIFS('Attrition Modeling'!$D:$D,'Attrition Modeling'!$B:$B,'IP Attrition'!$D14,'Attrition Modeling'!$C:$C,'IP Attrition'!BI$1),VLOOKUP($F14+BI$2,$A$6:$C$106,2,FALSE)*VLOOKUP(BI$1,'Attrition Modeling'!$L$15:$N$27,IF(BI$2+$F14&lt;=24,2,3),FALSE)),$C$3)*(1+Projection!BK$16)*(1+IF(BI146&gt;0,'Attrition Modeling'!$N$9,0)))</f>
        <v>0</v>
      </c>
      <c r="BJ14" s="799">
        <f>(BI14+BJ146)*(1-IFERROR(IF(BJ$2+$F14&lt;=12,SUMIFS('Attrition Modeling'!$D:$D,'Attrition Modeling'!$B:$B,'IP Attrition'!$D14,'Attrition Modeling'!$C:$C,'IP Attrition'!BJ$1),VLOOKUP($F14+BJ$2,$A$6:$C$106,2,FALSE)*VLOOKUP(BJ$1,'Attrition Modeling'!$L$15:$N$27,IF(BJ$2+$F14&lt;=24,2,3),FALSE)),$C$3)*(1+Projection!BL$16)*(1+IF(BJ146&gt;0,'Attrition Modeling'!$N$9,0)))</f>
        <v>0</v>
      </c>
      <c r="BK14" s="799">
        <f>(BJ14+BK146)*(1-IFERROR(IF(BK$2+$F14&lt;=12,SUMIFS('Attrition Modeling'!$D:$D,'Attrition Modeling'!$B:$B,'IP Attrition'!$D14,'Attrition Modeling'!$C:$C,'IP Attrition'!BK$1),VLOOKUP($F14+BK$2,$A$6:$C$106,2,FALSE)*VLOOKUP(BK$1,'Attrition Modeling'!$L$15:$N$27,IF(BK$2+$F14&lt;=24,2,3),FALSE)),$C$3)*(1+Projection!BM$16)*(1+IF(BK146&gt;0,'Attrition Modeling'!$N$9,0)))</f>
        <v>0</v>
      </c>
      <c r="BL14" s="799">
        <f>(BK14+BL146)*(1-IFERROR(IF(BL$2+$F14&lt;=12,SUMIFS('Attrition Modeling'!$D:$D,'Attrition Modeling'!$B:$B,'IP Attrition'!$D14,'Attrition Modeling'!$C:$C,'IP Attrition'!BL$1),VLOOKUP($F14+BL$2,$A$6:$C$106,2,FALSE)*VLOOKUP(BL$1,'Attrition Modeling'!$L$15:$N$27,IF(BL$2+$F14&lt;=24,2,3),FALSE)),$C$3)*(1+Projection!BN$16)*(1+IF(BL146&gt;0,'Attrition Modeling'!$N$9,0)))</f>
        <v>0</v>
      </c>
      <c r="BM14" s="799">
        <f>(BL14+BM146)*(1-IFERROR(IF(BM$2+$F14&lt;=12,SUMIFS('Attrition Modeling'!$D:$D,'Attrition Modeling'!$B:$B,'IP Attrition'!$D14,'Attrition Modeling'!$C:$C,'IP Attrition'!BM$1),VLOOKUP($F14+BM$2,$A$6:$C$106,2,FALSE)*VLOOKUP(BM$1,'Attrition Modeling'!$L$15:$N$27,IF(BM$2+$F14&lt;=24,2,3),FALSE)),$C$3)*(1+Projection!BO$16)*(1+IF(BM146&gt;0,'Attrition Modeling'!$N$9,0)))</f>
        <v>0</v>
      </c>
      <c r="BN14" s="799">
        <f>(BM14+BN146)*(1-IFERROR(IF(BN$2+$F14&lt;=12,SUMIFS('Attrition Modeling'!$D:$D,'Attrition Modeling'!$B:$B,'IP Attrition'!$D14,'Attrition Modeling'!$C:$C,'IP Attrition'!BN$1),VLOOKUP($F14+BN$2,$A$6:$C$106,2,FALSE)*VLOOKUP(BN$1,'Attrition Modeling'!$L$15:$N$27,IF(BN$2+$F14&lt;=24,2,3),FALSE)),$C$3)*(1+Projection!BP$16)*(1+IF(BN146&gt;0,'Attrition Modeling'!$N$9,0)))</f>
        <v>0</v>
      </c>
      <c r="BO14" s="799">
        <f>(BN14+BO146)*(1-IFERROR(IF(BO$2+$F14&lt;=12,SUMIFS('Attrition Modeling'!$D:$D,'Attrition Modeling'!$B:$B,'IP Attrition'!$D14,'Attrition Modeling'!$C:$C,'IP Attrition'!BO$1),VLOOKUP($F14+BO$2,$A$6:$C$106,2,FALSE)*VLOOKUP(BO$1,'Attrition Modeling'!$L$15:$N$27,IF(BO$2+$F14&lt;=24,2,3),FALSE)),$C$3)*(1+Projection!BV$16)*(1+IF(BO146&gt;0,'Attrition Modeling'!$N$9,0)))</f>
        <v>0</v>
      </c>
      <c r="BP14" s="799">
        <f>(BO14+BP146)*(1-IFERROR(IF(BP$2+$F14&lt;=12,SUMIFS('Attrition Modeling'!$D:$D,'Attrition Modeling'!$B:$B,'IP Attrition'!$D14,'Attrition Modeling'!$C:$C,'IP Attrition'!BP$1),VLOOKUP($F14+BP$2,$A$6:$C$106,2,FALSE)*VLOOKUP(BP$1,'Attrition Modeling'!$L$15:$N$27,IF(BP$2+$F14&lt;=24,2,3),FALSE)),$C$3)*(1+Projection!BW$16)*(1+IF(BP146&gt;0,'Attrition Modeling'!$N$9,0)))</f>
        <v>0</v>
      </c>
      <c r="BQ14" s="799">
        <f>(BP14+BQ146)*(1-IFERROR(IF(BQ$2+$F14&lt;=12,SUMIFS('Attrition Modeling'!$D:$D,'Attrition Modeling'!$B:$B,'IP Attrition'!$D14,'Attrition Modeling'!$C:$C,'IP Attrition'!BQ$1),VLOOKUP($F14+BQ$2,$A$6:$C$106,2,FALSE)*VLOOKUP(BQ$1,'Attrition Modeling'!$L$15:$N$27,IF(BQ$2+$F14&lt;=24,2,3),FALSE)),$C$3)*(1+Projection!BX$16)*(1+IF(BQ146&gt;0,'Attrition Modeling'!$N$9,0)))</f>
        <v>0</v>
      </c>
      <c r="BR14" s="799">
        <f>(BQ14+BR146)*(1-IFERROR(IF(BR$2+$F14&lt;=12,SUMIFS('Attrition Modeling'!$D:$D,'Attrition Modeling'!$B:$B,'IP Attrition'!$D14,'Attrition Modeling'!$C:$C,'IP Attrition'!BR$1),VLOOKUP($F14+BR$2,$A$6:$C$106,2,FALSE)*VLOOKUP(BR$1,'Attrition Modeling'!$L$15:$N$27,IF(BR$2+$F14&lt;=24,2,3),FALSE)),$C$3)*(1+Projection!BY$16)*(1+IF(BR146&gt;0,'Attrition Modeling'!$N$9,0)))</f>
        <v>0</v>
      </c>
      <c r="BS14" s="799">
        <f>(BR14+BS146)*(1-IFERROR(IF(BS$2+$F14&lt;=12,SUMIFS('Attrition Modeling'!$D:$D,'Attrition Modeling'!$B:$B,'IP Attrition'!$D14,'Attrition Modeling'!$C:$C,'IP Attrition'!BS$1),VLOOKUP($F14+BS$2,$A$6:$C$106,2,FALSE)*VLOOKUP(BS$1,'Attrition Modeling'!$L$15:$N$27,IF(BS$2+$F14&lt;=24,2,3),FALSE)),$C$3)*(1+Projection!BZ$16)*(1+IF(BS146&gt;0,'Attrition Modeling'!$N$9,0)))</f>
        <v>0</v>
      </c>
      <c r="BT14" s="799" t="e">
        <f>(BS14+BT146)*(1-IFERROR(IF(BT$2+$F14&lt;=12,SUMIFS('Attrition Modeling'!$D:$D,'Attrition Modeling'!$B:$B,'IP Attrition'!$D14,'Attrition Modeling'!$C:$C,'IP Attrition'!BT$1),VLOOKUP($F14+BT$2,$A$6:$C$106,2,FALSE)*VLOOKUP(BT$1,'Attrition Modeling'!$L$15:$N$27,IF(BT$2+$F14&lt;=24,2,3),FALSE)),$C$3)*(1+Projection!CA$16)*(1+IF(BT146&gt;0,'Attrition Modeling'!$N$9,0)))</f>
        <v>#REF!</v>
      </c>
      <c r="BU14" s="799" t="e">
        <f>(BT14+BU146)*(1-IFERROR(IF(BU$2+$F14&lt;=12,SUMIFS('Attrition Modeling'!$D:$D,'Attrition Modeling'!$B:$B,'IP Attrition'!$D14,'Attrition Modeling'!$C:$C,'IP Attrition'!BU$1),VLOOKUP($F14+BU$2,$A$6:$C$106,2,FALSE)*VLOOKUP(BU$1,'Attrition Modeling'!$L$15:$N$27,IF(BU$2+$F14&lt;=24,2,3),FALSE)),$C$3)*(1+Projection!CB$16)*(1+IF(BU146&gt;0,'Attrition Modeling'!$N$9,0)))</f>
        <v>#REF!</v>
      </c>
    </row>
    <row r="15" spans="1:73" ht="14.25" customHeight="1" x14ac:dyDescent="0.2">
      <c r="A15" s="9">
        <v>8</v>
      </c>
      <c r="B15" s="25" t="e">
        <f>MAX('Attrition Modeling'!H12,$C$3)*(1-Summary!$C$20)</f>
        <v>#DIV/0!</v>
      </c>
      <c r="C15" s="24" t="e">
        <f t="shared" si="3"/>
        <v>#DIV/0!</v>
      </c>
      <c r="D15" s="11">
        <f t="shared" si="1"/>
        <v>-12</v>
      </c>
      <c r="E15" s="807">
        <f t="array" ref="E15">INDEX('Attrition Modeling'!$X$2:$AF$63,MATCH($F15,'Attrition Modeling'!$X$2:$X$63,0),MATCH(Inputs!$C$10,'Attrition Modeling'!$X$2:$AF$2,0))</f>
        <v>0</v>
      </c>
      <c r="F15" s="11">
        <f t="shared" si="2"/>
        <v>12</v>
      </c>
      <c r="G15" s="799">
        <f>Summary!$C$25*$E15</f>
        <v>0</v>
      </c>
      <c r="H15" s="799">
        <f>(G15+H147)*(1-IFERROR(IF(H$2+$F15&lt;=12,SUMIFS('Attrition Modeling'!$D:$D,'Attrition Modeling'!$B:$B,'IP Attrition'!$D15,'Attrition Modeling'!$C:$C,'IP Attrition'!H$1),VLOOKUP($F15+H$2,$A$6:$C$106,2,FALSE)*VLOOKUP(H$1,'Attrition Modeling'!$L$15:$N$27,IF(H$2+$F15&lt;=24,2,3),FALSE)),$C$3)*(1+Projection!J$16)*(1+IF(H147&gt;0,'Attrition Modeling'!$N$9,0)))</f>
        <v>0</v>
      </c>
      <c r="I15" s="799">
        <f>(H15+I147)*(1-IFERROR(IF(I$2+$F15&lt;=12,SUMIFS('Attrition Modeling'!$D:$D,'Attrition Modeling'!$B:$B,'IP Attrition'!$D15,'Attrition Modeling'!$C:$C,'IP Attrition'!I$1),VLOOKUP($F15+I$2,$A$6:$C$106,2,FALSE)*VLOOKUP(I$1,'Attrition Modeling'!$L$15:$N$27,IF(I$2+$F15&lt;=24,2,3),FALSE)),$C$3)*(1+Projection!K$16)*(1+IF(I147&gt;0,'Attrition Modeling'!$N$9,0)))</f>
        <v>0</v>
      </c>
      <c r="J15" s="799">
        <f>(I15+J147)*(1-IFERROR(IF(J$2+$F15&lt;=12,SUMIFS('Attrition Modeling'!$D:$D,'Attrition Modeling'!$B:$B,'IP Attrition'!$D15,'Attrition Modeling'!$C:$C,'IP Attrition'!J$1),VLOOKUP($F15+J$2,$A$6:$C$106,2,FALSE)*VLOOKUP(J$1,'Attrition Modeling'!$L$15:$N$27,IF(J$2+$F15&lt;=24,2,3),FALSE)),$C$3)*(1+Projection!L$16)*(1+IF(J147&gt;0,'Attrition Modeling'!$N$9,0)))</f>
        <v>0</v>
      </c>
      <c r="K15" s="799">
        <f>(J15+K147)*(1-IFERROR(IF(K$2+$F15&lt;=12,SUMIFS('Attrition Modeling'!$D:$D,'Attrition Modeling'!$B:$B,'IP Attrition'!$D15,'Attrition Modeling'!$C:$C,'IP Attrition'!K$1),VLOOKUP($F15+K$2,$A$6:$C$106,2,FALSE)*VLOOKUP(K$1,'Attrition Modeling'!$L$15:$N$27,IF(K$2+$F15&lt;=24,2,3),FALSE)),$C$3)*(1+Projection!M$16)*(1+IF(K147&gt;0,'Attrition Modeling'!$N$9,0)))</f>
        <v>0</v>
      </c>
      <c r="L15" s="799">
        <f>(K15+L147)*(1-IFERROR(IF(L$2+$F15&lt;=12,SUMIFS('Attrition Modeling'!$D:$D,'Attrition Modeling'!$B:$B,'IP Attrition'!$D15,'Attrition Modeling'!$C:$C,'IP Attrition'!L$1),VLOOKUP($F15+L$2,$A$6:$C$106,2,FALSE)*VLOOKUP(L$1,'Attrition Modeling'!$L$15:$N$27,IF(L$2+$F15&lt;=24,2,3),FALSE)),$C$3)*(1+Projection!N$16)*(1+IF(L147&gt;0,'Attrition Modeling'!$N$9,0)))</f>
        <v>0</v>
      </c>
      <c r="M15" s="799">
        <f>(L15+M147)*(1-IFERROR(IF(M$2+$F15&lt;=12,SUMIFS('Attrition Modeling'!$D:$D,'Attrition Modeling'!$B:$B,'IP Attrition'!$D15,'Attrition Modeling'!$C:$C,'IP Attrition'!M$1),VLOOKUP($F15+M$2,$A$6:$C$106,2,FALSE)*VLOOKUP(M$1,'Attrition Modeling'!$L$15:$N$27,IF(M$2+$F15&lt;=24,2,3),FALSE)),$C$3)*(1+Projection!O$16)*(1+IF(M147&gt;0,'Attrition Modeling'!$N$9,0)))</f>
        <v>0</v>
      </c>
      <c r="N15" s="799">
        <f>(M15+N147)*(1-IFERROR(IF(N$2+$F15&lt;=12,SUMIFS('Attrition Modeling'!$D:$D,'Attrition Modeling'!$B:$B,'IP Attrition'!$D15,'Attrition Modeling'!$C:$C,'IP Attrition'!N$1),VLOOKUP($F15+N$2,$A$6:$C$106,2,FALSE)*VLOOKUP(N$1,'Attrition Modeling'!$L$15:$N$27,IF(N$2+$F15&lt;=24,2,3),FALSE)),$C$3)*(1+Projection!P$16)*(1+IF(N147&gt;0,'Attrition Modeling'!$N$9,0)))</f>
        <v>0</v>
      </c>
      <c r="O15" s="799">
        <f>(N15+O147)*(1-IFERROR(IF(O$2+$F15&lt;=12,SUMIFS('Attrition Modeling'!$D:$D,'Attrition Modeling'!$B:$B,'IP Attrition'!$D15,'Attrition Modeling'!$C:$C,'IP Attrition'!O$1),VLOOKUP($F15+O$2,$A$6:$C$106,2,FALSE)*VLOOKUP(O$1,'Attrition Modeling'!$L$15:$N$27,IF(O$2+$F15&lt;=24,2,3),FALSE)),$C$3)*(1+Projection!Q$16)*(1+IF(O147&gt;0,'Attrition Modeling'!$N$9,0)))</f>
        <v>0</v>
      </c>
      <c r="P15" s="799">
        <f>(O15+P147)*(1-IFERROR(IF(P$2+$F15&lt;=12,SUMIFS('Attrition Modeling'!$D:$D,'Attrition Modeling'!$B:$B,'IP Attrition'!$D15,'Attrition Modeling'!$C:$C,'IP Attrition'!P$1),VLOOKUP($F15+P$2,$A$6:$C$106,2,FALSE)*VLOOKUP(P$1,'Attrition Modeling'!$L$15:$N$27,IF(P$2+$F15&lt;=24,2,3),FALSE)),$C$3)*(1+Projection!R$16)*(1+IF(P147&gt;0,'Attrition Modeling'!$N$9,0)))</f>
        <v>0</v>
      </c>
      <c r="Q15" s="799">
        <f>(P15+Q147)*(1-IFERROR(IF(Q$2+$F15&lt;=12,SUMIFS('Attrition Modeling'!$D:$D,'Attrition Modeling'!$B:$B,'IP Attrition'!$D15,'Attrition Modeling'!$C:$C,'IP Attrition'!Q$1),VLOOKUP($F15+Q$2,$A$6:$C$106,2,FALSE)*VLOOKUP(Q$1,'Attrition Modeling'!$L$15:$N$27,IF(Q$2+$F15&lt;=24,2,3),FALSE)),$C$3)*(1+Projection!S$16)*(1+IF(Q147&gt;0,'Attrition Modeling'!$N$9,0)))</f>
        <v>0</v>
      </c>
      <c r="R15" s="799">
        <f>(Q15+R147)*(1-IFERROR(IF(R$2+$F15&lt;=12,SUMIFS('Attrition Modeling'!$D:$D,'Attrition Modeling'!$B:$B,'IP Attrition'!$D15,'Attrition Modeling'!$C:$C,'IP Attrition'!R$1),VLOOKUP($F15+R$2,$A$6:$C$106,2,FALSE)*VLOOKUP(R$1,'Attrition Modeling'!$L$15:$N$27,IF(R$2+$F15&lt;=24,2,3),FALSE)),$C$3)*(1+Projection!T$16)*(1+IF(R147&gt;0,'Attrition Modeling'!$N$9,0)))</f>
        <v>0</v>
      </c>
      <c r="S15" s="799">
        <f>(R15+S147)*(1-IFERROR(IF(S$2+$F15&lt;=12,SUMIFS('Attrition Modeling'!$D:$D,'Attrition Modeling'!$B:$B,'IP Attrition'!$D15,'Attrition Modeling'!$C:$C,'IP Attrition'!S$1),VLOOKUP($F15+S$2,$A$6:$C$106,2,FALSE)*VLOOKUP(S$1,'Attrition Modeling'!$L$15:$N$27,IF(S$2+$F15&lt;=24,2,3),FALSE)),$C$3)*(1+Projection!U$16)*(1+IF(S147&gt;0,'Attrition Modeling'!$N$9,0)))</f>
        <v>0</v>
      </c>
      <c r="T15" s="799">
        <f>(S15+T147)*(1-IFERROR(IF(T$2+$F15&lt;=12,SUMIFS('Attrition Modeling'!$D:$D,'Attrition Modeling'!$B:$B,'IP Attrition'!$D15,'Attrition Modeling'!$C:$C,'IP Attrition'!T$1),VLOOKUP($F15+T$2,$A$6:$C$106,2,FALSE)*VLOOKUP(T$1,'Attrition Modeling'!$L$15:$N$27,IF(T$2+$F15&lt;=24,2,3),FALSE)),$C$3)*(1+Projection!V$16)*(1+IF(T147&gt;0,'Attrition Modeling'!$N$9,0)))</f>
        <v>0</v>
      </c>
      <c r="U15" s="799">
        <f>(T15+U147)*(1-IFERROR(IF(U$2+$F15&lt;=12,SUMIFS('Attrition Modeling'!$D:$D,'Attrition Modeling'!$B:$B,'IP Attrition'!$D15,'Attrition Modeling'!$C:$C,'IP Attrition'!U$1),VLOOKUP($F15+U$2,$A$6:$C$106,2,FALSE)*VLOOKUP(U$1,'Attrition Modeling'!$L$15:$N$27,IF(U$2+$F15&lt;=24,2,3),FALSE)),$C$3)*(1+Projection!W$16)*(1+IF(U147&gt;0,'Attrition Modeling'!$N$9,0)))</f>
        <v>0</v>
      </c>
      <c r="V15" s="799">
        <f>(U15+V147)*(1-IFERROR(IF(V$2+$F15&lt;=12,SUMIFS('Attrition Modeling'!$D:$D,'Attrition Modeling'!$B:$B,'IP Attrition'!$D15,'Attrition Modeling'!$C:$C,'IP Attrition'!V$1),VLOOKUP($F15+V$2,$A$6:$C$106,2,FALSE)*VLOOKUP(V$1,'Attrition Modeling'!$L$15:$N$27,IF(V$2+$F15&lt;=24,2,3),FALSE)),$C$3)*(1+Projection!X$16)*(1+IF(V147&gt;0,'Attrition Modeling'!$N$9,0)))</f>
        <v>0</v>
      </c>
      <c r="W15" s="799">
        <f>(V15+W147)*(1-IFERROR(IF(W$2+$F15&lt;=12,SUMIFS('Attrition Modeling'!$D:$D,'Attrition Modeling'!$B:$B,'IP Attrition'!$D15,'Attrition Modeling'!$C:$C,'IP Attrition'!W$1),VLOOKUP($F15+W$2,$A$6:$C$106,2,FALSE)*VLOOKUP(W$1,'Attrition Modeling'!$L$15:$N$27,IF(W$2+$F15&lt;=24,2,3),FALSE)),$C$3)*(1+Projection!Y$16)*(1+IF(W147&gt;0,'Attrition Modeling'!$N$9,0)))</f>
        <v>0</v>
      </c>
      <c r="X15" s="799">
        <f>(W15+X147)*(1-IFERROR(IF(X$2+$F15&lt;=12,SUMIFS('Attrition Modeling'!$D:$D,'Attrition Modeling'!$B:$B,'IP Attrition'!$D15,'Attrition Modeling'!$C:$C,'IP Attrition'!X$1),VLOOKUP($F15+X$2,$A$6:$C$106,2,FALSE)*VLOOKUP(X$1,'Attrition Modeling'!$L$15:$N$27,IF(X$2+$F15&lt;=24,2,3),FALSE)),$C$3)*(1+Projection!Z$16)*(1+IF(X147&gt;0,'Attrition Modeling'!$N$9,0)))</f>
        <v>0</v>
      </c>
      <c r="Y15" s="799">
        <f>(X15+Y147)*(1-IFERROR(IF(Y$2+$F15&lt;=12,SUMIFS('Attrition Modeling'!$D:$D,'Attrition Modeling'!$B:$B,'IP Attrition'!$D15,'Attrition Modeling'!$C:$C,'IP Attrition'!Y$1),VLOOKUP($F15+Y$2,$A$6:$C$106,2,FALSE)*VLOOKUP(Y$1,'Attrition Modeling'!$L$15:$N$27,IF(Y$2+$F15&lt;=24,2,3),FALSE)),$C$3)*(1+Projection!AA$16)*(1+IF(Y147&gt;0,'Attrition Modeling'!$N$9,0)))</f>
        <v>0</v>
      </c>
      <c r="Z15" s="799">
        <f>(Y15+Z147)*(1-IFERROR(IF(Z$2+$F15&lt;=12,SUMIFS('Attrition Modeling'!$D:$D,'Attrition Modeling'!$B:$B,'IP Attrition'!$D15,'Attrition Modeling'!$C:$C,'IP Attrition'!Z$1),VLOOKUP($F15+Z$2,$A$6:$C$106,2,FALSE)*VLOOKUP(Z$1,'Attrition Modeling'!$L$15:$N$27,IF(Z$2+$F15&lt;=24,2,3),FALSE)),$C$3)*(1+Projection!AB$16)*(1+IF(Z147&gt;0,'Attrition Modeling'!$N$9,0)))</f>
        <v>0</v>
      </c>
      <c r="AA15" s="799">
        <f>(Z15+AA147)*(1-IFERROR(IF(AA$2+$F15&lt;=12,SUMIFS('Attrition Modeling'!$D:$D,'Attrition Modeling'!$B:$B,'IP Attrition'!$D15,'Attrition Modeling'!$C:$C,'IP Attrition'!AA$1),VLOOKUP($F15+AA$2,$A$6:$C$106,2,FALSE)*VLOOKUP(AA$1,'Attrition Modeling'!$L$15:$N$27,IF(AA$2+$F15&lt;=24,2,3),FALSE)),$C$3)*(1+Projection!AC$16)*(1+IF(AA147&gt;0,'Attrition Modeling'!$N$9,0)))</f>
        <v>0</v>
      </c>
      <c r="AB15" s="799">
        <f>(AA15+AB147)*(1-IFERROR(IF(AB$2+$F15&lt;=12,SUMIFS('Attrition Modeling'!$D:$D,'Attrition Modeling'!$B:$B,'IP Attrition'!$D15,'Attrition Modeling'!$C:$C,'IP Attrition'!AB$1),VLOOKUP($F15+AB$2,$A$6:$C$106,2,FALSE)*VLOOKUP(AB$1,'Attrition Modeling'!$L$15:$N$27,IF(AB$2+$F15&lt;=24,2,3),FALSE)),$C$3)*(1+Projection!AD$16)*(1+IF(AB147&gt;0,'Attrition Modeling'!$N$9,0)))</f>
        <v>0</v>
      </c>
      <c r="AC15" s="799">
        <f>(AB15+AC147)*(1-IFERROR(IF(AC$2+$F15&lt;=12,SUMIFS('Attrition Modeling'!$D:$D,'Attrition Modeling'!$B:$B,'IP Attrition'!$D15,'Attrition Modeling'!$C:$C,'IP Attrition'!AC$1),VLOOKUP($F15+AC$2,$A$6:$C$106,2,FALSE)*VLOOKUP(AC$1,'Attrition Modeling'!$L$15:$N$27,IF(AC$2+$F15&lt;=24,2,3),FALSE)),$C$3)*(1+Projection!AE$16)*(1+IF(AC147&gt;0,'Attrition Modeling'!$N$9,0)))</f>
        <v>0</v>
      </c>
      <c r="AD15" s="799">
        <f>(AC15+AD147)*(1-IFERROR(IF(AD$2+$F15&lt;=12,SUMIFS('Attrition Modeling'!$D:$D,'Attrition Modeling'!$B:$B,'IP Attrition'!$D15,'Attrition Modeling'!$C:$C,'IP Attrition'!AD$1),VLOOKUP($F15+AD$2,$A$6:$C$106,2,FALSE)*VLOOKUP(AD$1,'Attrition Modeling'!$L$15:$N$27,IF(AD$2+$F15&lt;=24,2,3),FALSE)),$C$3)*(1+Projection!AF$16)*(1+IF(AD147&gt;0,'Attrition Modeling'!$N$9,0)))</f>
        <v>0</v>
      </c>
      <c r="AE15" s="799">
        <f>(AD15+AE147)*(1-IFERROR(IF(AE$2+$F15&lt;=12,SUMIFS('Attrition Modeling'!$D:$D,'Attrition Modeling'!$B:$B,'IP Attrition'!$D15,'Attrition Modeling'!$C:$C,'IP Attrition'!AE$1),VLOOKUP($F15+AE$2,$A$6:$C$106,2,FALSE)*VLOOKUP(AE$1,'Attrition Modeling'!$L$15:$N$27,IF(AE$2+$F15&lt;=24,2,3),FALSE)),$C$3)*(1+Projection!AG$16)*(1+IF(AE147&gt;0,'Attrition Modeling'!$N$9,0)))</f>
        <v>0</v>
      </c>
      <c r="AF15" s="799">
        <f>(AE15+AF147)*(1-IFERROR(IF(AF$2+$F15&lt;=12,SUMIFS('Attrition Modeling'!$D:$D,'Attrition Modeling'!$B:$B,'IP Attrition'!$D15,'Attrition Modeling'!$C:$C,'IP Attrition'!AF$1),VLOOKUP($F15+AF$2,$A$6:$C$106,2,FALSE)*VLOOKUP(AF$1,'Attrition Modeling'!$L$15:$N$27,IF(AF$2+$F15&lt;=24,2,3),FALSE)),$C$3)*(1+Projection!AH$16)*(1+IF(AF147&gt;0,'Attrition Modeling'!$N$9,0)))</f>
        <v>0</v>
      </c>
      <c r="AG15" s="799">
        <f>(AF15+AG147)*(1-IFERROR(IF(AG$2+$F15&lt;=12,SUMIFS('Attrition Modeling'!$D:$D,'Attrition Modeling'!$B:$B,'IP Attrition'!$D15,'Attrition Modeling'!$C:$C,'IP Attrition'!AG$1),VLOOKUP($F15+AG$2,$A$6:$C$106,2,FALSE)*VLOOKUP(AG$1,'Attrition Modeling'!$L$15:$N$27,IF(AG$2+$F15&lt;=24,2,3),FALSE)),$C$3)*(1+Projection!AI$16)*(1+IF(AG147&gt;0,'Attrition Modeling'!$N$9,0)))</f>
        <v>0</v>
      </c>
      <c r="AH15" s="799">
        <f>(AG15+AH147)*(1-IFERROR(IF(AH$2+$F15&lt;=12,SUMIFS('Attrition Modeling'!$D:$D,'Attrition Modeling'!$B:$B,'IP Attrition'!$D15,'Attrition Modeling'!$C:$C,'IP Attrition'!AH$1),VLOOKUP($F15+AH$2,$A$6:$C$106,2,FALSE)*VLOOKUP(AH$1,'Attrition Modeling'!$L$15:$N$27,IF(AH$2+$F15&lt;=24,2,3),FALSE)),$C$3)*(1+Projection!AJ$16)*(1+IF(AH147&gt;0,'Attrition Modeling'!$N$9,0)))</f>
        <v>0</v>
      </c>
      <c r="AI15" s="799">
        <f>(AH15+AI147)*(1-IFERROR(IF(AI$2+$F15&lt;=12,SUMIFS('Attrition Modeling'!$D:$D,'Attrition Modeling'!$B:$B,'IP Attrition'!$D15,'Attrition Modeling'!$C:$C,'IP Attrition'!AI$1),VLOOKUP($F15+AI$2,$A$6:$C$106,2,FALSE)*VLOOKUP(AI$1,'Attrition Modeling'!$L$15:$N$27,IF(AI$2+$F15&lt;=24,2,3),FALSE)),$C$3)*(1+Projection!AK$16)*(1+IF(AI147&gt;0,'Attrition Modeling'!$N$9,0)))</f>
        <v>0</v>
      </c>
      <c r="AJ15" s="799">
        <f>(AI15+AJ147)*(1-IFERROR(IF(AJ$2+$F15&lt;=12,SUMIFS('Attrition Modeling'!$D:$D,'Attrition Modeling'!$B:$B,'IP Attrition'!$D15,'Attrition Modeling'!$C:$C,'IP Attrition'!AJ$1),VLOOKUP($F15+AJ$2,$A$6:$C$106,2,FALSE)*VLOOKUP(AJ$1,'Attrition Modeling'!$L$15:$N$27,IF(AJ$2+$F15&lt;=24,2,3),FALSE)),$C$3)*(1+Projection!AL$16)*(1+IF(AJ147&gt;0,'Attrition Modeling'!$N$9,0)))</f>
        <v>0</v>
      </c>
      <c r="AK15" s="799">
        <f>(AJ15+AK147)*(1-IFERROR(IF(AK$2+$F15&lt;=12,SUMIFS('Attrition Modeling'!$D:$D,'Attrition Modeling'!$B:$B,'IP Attrition'!$D15,'Attrition Modeling'!$C:$C,'IP Attrition'!AK$1),VLOOKUP($F15+AK$2,$A$6:$C$106,2,FALSE)*VLOOKUP(AK$1,'Attrition Modeling'!$L$15:$N$27,IF(AK$2+$F15&lt;=24,2,3),FALSE)),$C$3)*(1+Projection!AM$16)*(1+IF(AK147&gt;0,'Attrition Modeling'!$N$9,0)))</f>
        <v>0</v>
      </c>
      <c r="AL15" s="799">
        <f>(AK15+AL147)*(1-IFERROR(IF(AL$2+$F15&lt;=12,SUMIFS('Attrition Modeling'!$D:$D,'Attrition Modeling'!$B:$B,'IP Attrition'!$D15,'Attrition Modeling'!$C:$C,'IP Attrition'!AL$1),VLOOKUP($F15+AL$2,$A$6:$C$106,2,FALSE)*VLOOKUP(AL$1,'Attrition Modeling'!$L$15:$N$27,IF(AL$2+$F15&lt;=24,2,3),FALSE)),$C$3)*(1+Projection!AN$16)*(1+IF(AL147&gt;0,'Attrition Modeling'!$N$9,0)))</f>
        <v>0</v>
      </c>
      <c r="AM15" s="799">
        <f>(AL15+AM147)*(1-IFERROR(IF(AM$2+$F15&lt;=12,SUMIFS('Attrition Modeling'!$D:$D,'Attrition Modeling'!$B:$B,'IP Attrition'!$D15,'Attrition Modeling'!$C:$C,'IP Attrition'!AM$1),VLOOKUP($F15+AM$2,$A$6:$C$106,2,FALSE)*VLOOKUP(AM$1,'Attrition Modeling'!$L$15:$N$27,IF(AM$2+$F15&lt;=24,2,3),FALSE)),$C$3)*(1+Projection!AO$16)*(1+IF(AM147&gt;0,'Attrition Modeling'!$N$9,0)))</f>
        <v>0</v>
      </c>
      <c r="AN15" s="799">
        <f>(AM15+AN147)*(1-IFERROR(IF(AN$2+$F15&lt;=12,SUMIFS('Attrition Modeling'!$D:$D,'Attrition Modeling'!$B:$B,'IP Attrition'!$D15,'Attrition Modeling'!$C:$C,'IP Attrition'!AN$1),VLOOKUP($F15+AN$2,$A$6:$C$106,2,FALSE)*VLOOKUP(AN$1,'Attrition Modeling'!$L$15:$N$27,IF(AN$2+$F15&lt;=24,2,3),FALSE)),$C$3)*(1+Projection!AP$16)*(1+IF(AN147&gt;0,'Attrition Modeling'!$N$9,0)))</f>
        <v>0</v>
      </c>
      <c r="AO15" s="799">
        <f>(AN15+AO147)*(1-IFERROR(IF(AO$2+$F15&lt;=12,SUMIFS('Attrition Modeling'!$D:$D,'Attrition Modeling'!$B:$B,'IP Attrition'!$D15,'Attrition Modeling'!$C:$C,'IP Attrition'!AO$1),VLOOKUP($F15+AO$2,$A$6:$C$106,2,FALSE)*VLOOKUP(AO$1,'Attrition Modeling'!$L$15:$N$27,IF(AO$2+$F15&lt;=24,2,3),FALSE)),$C$3)*(1+Projection!AQ$16)*(1+IF(AO147&gt;0,'Attrition Modeling'!$N$9,0)))</f>
        <v>0</v>
      </c>
      <c r="AP15" s="799">
        <f>(AO15+AP147)*(1-IFERROR(IF(AP$2+$F15&lt;=12,SUMIFS('Attrition Modeling'!$D:$D,'Attrition Modeling'!$B:$B,'IP Attrition'!$D15,'Attrition Modeling'!$C:$C,'IP Attrition'!AP$1),VLOOKUP($F15+AP$2,$A$6:$C$106,2,FALSE)*VLOOKUP(AP$1,'Attrition Modeling'!$L$15:$N$27,IF(AP$2+$F15&lt;=24,2,3),FALSE)),$C$3)*(1+Projection!AR$16)*(1+IF(AP147&gt;0,'Attrition Modeling'!$N$9,0)))</f>
        <v>0</v>
      </c>
      <c r="AQ15" s="799">
        <f>(AP15+AQ147)*(1-IFERROR(IF(AQ$2+$F15&lt;=12,SUMIFS('Attrition Modeling'!$D:$D,'Attrition Modeling'!$B:$B,'IP Attrition'!$D15,'Attrition Modeling'!$C:$C,'IP Attrition'!AQ$1),VLOOKUP($F15+AQ$2,$A$6:$C$106,2,FALSE)*VLOOKUP(AQ$1,'Attrition Modeling'!$L$15:$N$27,IF(AQ$2+$F15&lt;=24,2,3),FALSE)),$C$3)*(1+Projection!AS$16)*(1+IF(AQ147&gt;0,'Attrition Modeling'!$N$9,0)))</f>
        <v>0</v>
      </c>
      <c r="AR15" s="799">
        <f>(AQ15+AR147)*(1-IFERROR(IF(AR$2+$F15&lt;=12,SUMIFS('Attrition Modeling'!$D:$D,'Attrition Modeling'!$B:$B,'IP Attrition'!$D15,'Attrition Modeling'!$C:$C,'IP Attrition'!AR$1),VLOOKUP($F15+AR$2,$A$6:$C$106,2,FALSE)*VLOOKUP(AR$1,'Attrition Modeling'!$L$15:$N$27,IF(AR$2+$F15&lt;=24,2,3),FALSE)),$C$3)*(1+Projection!AT$16)*(1+IF(AR147&gt;0,'Attrition Modeling'!$N$9,0)))</f>
        <v>0</v>
      </c>
      <c r="AS15" s="799">
        <f>(AR15+AS147)*(1-IFERROR(IF(AS$2+$F15&lt;=12,SUMIFS('Attrition Modeling'!$D:$D,'Attrition Modeling'!$B:$B,'IP Attrition'!$D15,'Attrition Modeling'!$C:$C,'IP Attrition'!AS$1),VLOOKUP($F15+AS$2,$A$6:$C$106,2,FALSE)*VLOOKUP(AS$1,'Attrition Modeling'!$L$15:$N$27,IF(AS$2+$F15&lt;=24,2,3),FALSE)),$C$3)*(1+Projection!AU$16)*(1+IF(AS147&gt;0,'Attrition Modeling'!$N$9,0)))</f>
        <v>0</v>
      </c>
      <c r="AT15" s="799">
        <f>(AS15+AT147)*(1-IFERROR(IF(AT$2+$F15&lt;=12,SUMIFS('Attrition Modeling'!$D:$D,'Attrition Modeling'!$B:$B,'IP Attrition'!$D15,'Attrition Modeling'!$C:$C,'IP Attrition'!AT$1),VLOOKUP($F15+AT$2,$A$6:$C$106,2,FALSE)*VLOOKUP(AT$1,'Attrition Modeling'!$L$15:$N$27,IF(AT$2+$F15&lt;=24,2,3),FALSE)),$C$3)*(1+Projection!AV$16)*(1+IF(AT147&gt;0,'Attrition Modeling'!$N$9,0)))</f>
        <v>0</v>
      </c>
      <c r="AU15" s="799">
        <f>(AT15+AU147)*(1-IFERROR(IF(AU$2+$F15&lt;=12,SUMIFS('Attrition Modeling'!$D:$D,'Attrition Modeling'!$B:$B,'IP Attrition'!$D15,'Attrition Modeling'!$C:$C,'IP Attrition'!AU$1),VLOOKUP($F15+AU$2,$A$6:$C$106,2,FALSE)*VLOOKUP(AU$1,'Attrition Modeling'!$L$15:$N$27,IF(AU$2+$F15&lt;=24,2,3),FALSE)),$C$3)*(1+Projection!AW$16)*(1+IF(AU147&gt;0,'Attrition Modeling'!$N$9,0)))</f>
        <v>0</v>
      </c>
      <c r="AV15" s="799">
        <f>(AU15+AV147)*(1-IFERROR(IF(AV$2+$F15&lt;=12,SUMIFS('Attrition Modeling'!$D:$D,'Attrition Modeling'!$B:$B,'IP Attrition'!$D15,'Attrition Modeling'!$C:$C,'IP Attrition'!AV$1),VLOOKUP($F15+AV$2,$A$6:$C$106,2,FALSE)*VLOOKUP(AV$1,'Attrition Modeling'!$L$15:$N$27,IF(AV$2+$F15&lt;=24,2,3),FALSE)),$C$3)*(1+Projection!AX$16)*(1+IF(AV147&gt;0,'Attrition Modeling'!$N$9,0)))</f>
        <v>0</v>
      </c>
      <c r="AW15" s="799">
        <f>(AV15+AW147)*(1-IFERROR(IF(AW$2+$F15&lt;=12,SUMIFS('Attrition Modeling'!$D:$D,'Attrition Modeling'!$B:$B,'IP Attrition'!$D15,'Attrition Modeling'!$C:$C,'IP Attrition'!AW$1),VLOOKUP($F15+AW$2,$A$6:$C$106,2,FALSE)*VLOOKUP(AW$1,'Attrition Modeling'!$L$15:$N$27,IF(AW$2+$F15&lt;=24,2,3),FALSE)),$C$3)*(1+Projection!AY$16)*(1+IF(AW147&gt;0,'Attrition Modeling'!$N$9,0)))</f>
        <v>0</v>
      </c>
      <c r="AX15" s="799">
        <f>(AW15+AX147)*(1-IFERROR(IF(AX$2+$F15&lt;=12,SUMIFS('Attrition Modeling'!$D:$D,'Attrition Modeling'!$B:$B,'IP Attrition'!$D15,'Attrition Modeling'!$C:$C,'IP Attrition'!AX$1),VLOOKUP($F15+AX$2,$A$6:$C$106,2,FALSE)*VLOOKUP(AX$1,'Attrition Modeling'!$L$15:$N$27,IF(AX$2+$F15&lt;=24,2,3),FALSE)),$C$3)*(1+Projection!AZ$16)*(1+IF(AX147&gt;0,'Attrition Modeling'!$N$9,0)))</f>
        <v>0</v>
      </c>
      <c r="AY15" s="799">
        <f>(AX15+AY147)*(1-IFERROR(IF(AY$2+$F15&lt;=12,SUMIFS('Attrition Modeling'!$D:$D,'Attrition Modeling'!$B:$B,'IP Attrition'!$D15,'Attrition Modeling'!$C:$C,'IP Attrition'!AY$1),VLOOKUP($F15+AY$2,$A$6:$C$106,2,FALSE)*VLOOKUP(AY$1,'Attrition Modeling'!$L$15:$N$27,IF(AY$2+$F15&lt;=24,2,3),FALSE)),$C$3)*(1+Projection!BA$16)*(1+IF(AY147&gt;0,'Attrition Modeling'!$N$9,0)))</f>
        <v>0</v>
      </c>
      <c r="AZ15" s="799">
        <f>(AY15+AZ147)*(1-IFERROR(IF(AZ$2+$F15&lt;=12,SUMIFS('Attrition Modeling'!$D:$D,'Attrition Modeling'!$B:$B,'IP Attrition'!$D15,'Attrition Modeling'!$C:$C,'IP Attrition'!AZ$1),VLOOKUP($F15+AZ$2,$A$6:$C$106,2,FALSE)*VLOOKUP(AZ$1,'Attrition Modeling'!$L$15:$N$27,IF(AZ$2+$F15&lt;=24,2,3),FALSE)),$C$3)*(1+Projection!BB$16)*(1+IF(AZ147&gt;0,'Attrition Modeling'!$N$9,0)))</f>
        <v>0</v>
      </c>
      <c r="BA15" s="799">
        <f>(AZ15+BA147)*(1-IFERROR(IF(BA$2+$F15&lt;=12,SUMIFS('Attrition Modeling'!$D:$D,'Attrition Modeling'!$B:$B,'IP Attrition'!$D15,'Attrition Modeling'!$C:$C,'IP Attrition'!BA$1),VLOOKUP($F15+BA$2,$A$6:$C$106,2,FALSE)*VLOOKUP(BA$1,'Attrition Modeling'!$L$15:$N$27,IF(BA$2+$F15&lt;=24,2,3),FALSE)),$C$3)*(1+Projection!BC$16)*(1+IF(BA147&gt;0,'Attrition Modeling'!$N$9,0)))</f>
        <v>0</v>
      </c>
      <c r="BB15" s="799">
        <f>(BA15+BB147)*(1-IFERROR(IF(BB$2+$F15&lt;=12,SUMIFS('Attrition Modeling'!$D:$D,'Attrition Modeling'!$B:$B,'IP Attrition'!$D15,'Attrition Modeling'!$C:$C,'IP Attrition'!BB$1),VLOOKUP($F15+BB$2,$A$6:$C$106,2,FALSE)*VLOOKUP(BB$1,'Attrition Modeling'!$L$15:$N$27,IF(BB$2+$F15&lt;=24,2,3),FALSE)),$C$3)*(1+Projection!BD$16)*(1+IF(BB147&gt;0,'Attrition Modeling'!$N$9,0)))</f>
        <v>0</v>
      </c>
      <c r="BC15" s="799">
        <f>(BB15+BC147)*(1-IFERROR(IF(BC$2+$F15&lt;=12,SUMIFS('Attrition Modeling'!$D:$D,'Attrition Modeling'!$B:$B,'IP Attrition'!$D15,'Attrition Modeling'!$C:$C,'IP Attrition'!BC$1),VLOOKUP($F15+BC$2,$A$6:$C$106,2,FALSE)*VLOOKUP(BC$1,'Attrition Modeling'!$L$15:$N$27,IF(BC$2+$F15&lt;=24,2,3),FALSE)),$C$3)*(1+Projection!BE$16)*(1+IF(BC147&gt;0,'Attrition Modeling'!$N$9,0)))</f>
        <v>0</v>
      </c>
      <c r="BD15" s="799">
        <f>(BC15+BD147)*(1-IFERROR(IF(BD$2+$F15&lt;=12,SUMIFS('Attrition Modeling'!$D:$D,'Attrition Modeling'!$B:$B,'IP Attrition'!$D15,'Attrition Modeling'!$C:$C,'IP Attrition'!BD$1),VLOOKUP($F15+BD$2,$A$6:$C$106,2,FALSE)*VLOOKUP(BD$1,'Attrition Modeling'!$L$15:$N$27,IF(BD$2+$F15&lt;=24,2,3),FALSE)),$C$3)*(1+Projection!BF$16)*(1+IF(BD147&gt;0,'Attrition Modeling'!$N$9,0)))</f>
        <v>0</v>
      </c>
      <c r="BE15" s="799">
        <f>(BD15+BE147)*(1-IFERROR(IF(BE$2+$F15&lt;=12,SUMIFS('Attrition Modeling'!$D:$D,'Attrition Modeling'!$B:$B,'IP Attrition'!$D15,'Attrition Modeling'!$C:$C,'IP Attrition'!BE$1),VLOOKUP($F15+BE$2,$A$6:$C$106,2,FALSE)*VLOOKUP(BE$1,'Attrition Modeling'!$L$15:$N$27,IF(BE$2+$F15&lt;=24,2,3),FALSE)),$C$3)*(1+Projection!BG$16)*(1+IF(BE147&gt;0,'Attrition Modeling'!$N$9,0)))</f>
        <v>0</v>
      </c>
      <c r="BF15" s="799">
        <f>(BE15+BF147)*(1-IFERROR(IF(BF$2+$F15&lt;=12,SUMIFS('Attrition Modeling'!$D:$D,'Attrition Modeling'!$B:$B,'IP Attrition'!$D15,'Attrition Modeling'!$C:$C,'IP Attrition'!BF$1),VLOOKUP($F15+BF$2,$A$6:$C$106,2,FALSE)*VLOOKUP(BF$1,'Attrition Modeling'!$L$15:$N$27,IF(BF$2+$F15&lt;=24,2,3),FALSE)),$C$3)*(1+Projection!BH$16)*(1+IF(BF147&gt;0,'Attrition Modeling'!$N$9,0)))</f>
        <v>0</v>
      </c>
      <c r="BG15" s="799">
        <f>(BF15+BG147)*(1-IFERROR(IF(BG$2+$F15&lt;=12,SUMIFS('Attrition Modeling'!$D:$D,'Attrition Modeling'!$B:$B,'IP Attrition'!$D15,'Attrition Modeling'!$C:$C,'IP Attrition'!BG$1),VLOOKUP($F15+BG$2,$A$6:$C$106,2,FALSE)*VLOOKUP(BG$1,'Attrition Modeling'!$L$15:$N$27,IF(BG$2+$F15&lt;=24,2,3),FALSE)),$C$3)*(1+Projection!BI$16)*(1+IF(BG147&gt;0,'Attrition Modeling'!$N$9,0)))</f>
        <v>0</v>
      </c>
      <c r="BH15" s="799">
        <f>(BG15+BH147)*(1-IFERROR(IF(BH$2+$F15&lt;=12,SUMIFS('Attrition Modeling'!$D:$D,'Attrition Modeling'!$B:$B,'IP Attrition'!$D15,'Attrition Modeling'!$C:$C,'IP Attrition'!BH$1),VLOOKUP($F15+BH$2,$A$6:$C$106,2,FALSE)*VLOOKUP(BH$1,'Attrition Modeling'!$L$15:$N$27,IF(BH$2+$F15&lt;=24,2,3),FALSE)),$C$3)*(1+Projection!BJ$16)*(1+IF(BH147&gt;0,'Attrition Modeling'!$N$9,0)))</f>
        <v>0</v>
      </c>
      <c r="BI15" s="799">
        <f>(BH15+BI147)*(1-IFERROR(IF(BI$2+$F15&lt;=12,SUMIFS('Attrition Modeling'!$D:$D,'Attrition Modeling'!$B:$B,'IP Attrition'!$D15,'Attrition Modeling'!$C:$C,'IP Attrition'!BI$1),VLOOKUP($F15+BI$2,$A$6:$C$106,2,FALSE)*VLOOKUP(BI$1,'Attrition Modeling'!$L$15:$N$27,IF(BI$2+$F15&lt;=24,2,3),FALSE)),$C$3)*(1+Projection!BK$16)*(1+IF(BI147&gt;0,'Attrition Modeling'!$N$9,0)))</f>
        <v>0</v>
      </c>
      <c r="BJ15" s="799">
        <f>(BI15+BJ147)*(1-IFERROR(IF(BJ$2+$F15&lt;=12,SUMIFS('Attrition Modeling'!$D:$D,'Attrition Modeling'!$B:$B,'IP Attrition'!$D15,'Attrition Modeling'!$C:$C,'IP Attrition'!BJ$1),VLOOKUP($F15+BJ$2,$A$6:$C$106,2,FALSE)*VLOOKUP(BJ$1,'Attrition Modeling'!$L$15:$N$27,IF(BJ$2+$F15&lt;=24,2,3),FALSE)),$C$3)*(1+Projection!BL$16)*(1+IF(BJ147&gt;0,'Attrition Modeling'!$N$9,0)))</f>
        <v>0</v>
      </c>
      <c r="BK15" s="799">
        <f>(BJ15+BK147)*(1-IFERROR(IF(BK$2+$F15&lt;=12,SUMIFS('Attrition Modeling'!$D:$D,'Attrition Modeling'!$B:$B,'IP Attrition'!$D15,'Attrition Modeling'!$C:$C,'IP Attrition'!BK$1),VLOOKUP($F15+BK$2,$A$6:$C$106,2,FALSE)*VLOOKUP(BK$1,'Attrition Modeling'!$L$15:$N$27,IF(BK$2+$F15&lt;=24,2,3),FALSE)),$C$3)*(1+Projection!BM$16)*(1+IF(BK147&gt;0,'Attrition Modeling'!$N$9,0)))</f>
        <v>0</v>
      </c>
      <c r="BL15" s="799">
        <f>(BK15+BL147)*(1-IFERROR(IF(BL$2+$F15&lt;=12,SUMIFS('Attrition Modeling'!$D:$D,'Attrition Modeling'!$B:$B,'IP Attrition'!$D15,'Attrition Modeling'!$C:$C,'IP Attrition'!BL$1),VLOOKUP($F15+BL$2,$A$6:$C$106,2,FALSE)*VLOOKUP(BL$1,'Attrition Modeling'!$L$15:$N$27,IF(BL$2+$F15&lt;=24,2,3),FALSE)),$C$3)*(1+Projection!BN$16)*(1+IF(BL147&gt;0,'Attrition Modeling'!$N$9,0)))</f>
        <v>0</v>
      </c>
      <c r="BM15" s="799">
        <f>(BL15+BM147)*(1-IFERROR(IF(BM$2+$F15&lt;=12,SUMIFS('Attrition Modeling'!$D:$D,'Attrition Modeling'!$B:$B,'IP Attrition'!$D15,'Attrition Modeling'!$C:$C,'IP Attrition'!BM$1),VLOOKUP($F15+BM$2,$A$6:$C$106,2,FALSE)*VLOOKUP(BM$1,'Attrition Modeling'!$L$15:$N$27,IF(BM$2+$F15&lt;=24,2,3),FALSE)),$C$3)*(1+Projection!BO$16)*(1+IF(BM147&gt;0,'Attrition Modeling'!$N$9,0)))</f>
        <v>0</v>
      </c>
      <c r="BN15" s="799">
        <f>(BM15+BN147)*(1-IFERROR(IF(BN$2+$F15&lt;=12,SUMIFS('Attrition Modeling'!$D:$D,'Attrition Modeling'!$B:$B,'IP Attrition'!$D15,'Attrition Modeling'!$C:$C,'IP Attrition'!BN$1),VLOOKUP($F15+BN$2,$A$6:$C$106,2,FALSE)*VLOOKUP(BN$1,'Attrition Modeling'!$L$15:$N$27,IF(BN$2+$F15&lt;=24,2,3),FALSE)),$C$3)*(1+Projection!BP$16)*(1+IF(BN147&gt;0,'Attrition Modeling'!$N$9,0)))</f>
        <v>0</v>
      </c>
      <c r="BO15" s="799">
        <f>(BN15+BO147)*(1-IFERROR(IF(BO$2+$F15&lt;=12,SUMIFS('Attrition Modeling'!$D:$D,'Attrition Modeling'!$B:$B,'IP Attrition'!$D15,'Attrition Modeling'!$C:$C,'IP Attrition'!BO$1),VLOOKUP($F15+BO$2,$A$6:$C$106,2,FALSE)*VLOOKUP(BO$1,'Attrition Modeling'!$L$15:$N$27,IF(BO$2+$F15&lt;=24,2,3),FALSE)),$C$3)*(1+Projection!BV$16)*(1+IF(BO147&gt;0,'Attrition Modeling'!$N$9,0)))</f>
        <v>0</v>
      </c>
      <c r="BP15" s="799">
        <f>(BO15+BP147)*(1-IFERROR(IF(BP$2+$F15&lt;=12,SUMIFS('Attrition Modeling'!$D:$D,'Attrition Modeling'!$B:$B,'IP Attrition'!$D15,'Attrition Modeling'!$C:$C,'IP Attrition'!BP$1),VLOOKUP($F15+BP$2,$A$6:$C$106,2,FALSE)*VLOOKUP(BP$1,'Attrition Modeling'!$L$15:$N$27,IF(BP$2+$F15&lt;=24,2,3),FALSE)),$C$3)*(1+Projection!BW$16)*(1+IF(BP147&gt;0,'Attrition Modeling'!$N$9,0)))</f>
        <v>0</v>
      </c>
      <c r="BQ15" s="799">
        <f>(BP15+BQ147)*(1-IFERROR(IF(BQ$2+$F15&lt;=12,SUMIFS('Attrition Modeling'!$D:$D,'Attrition Modeling'!$B:$B,'IP Attrition'!$D15,'Attrition Modeling'!$C:$C,'IP Attrition'!BQ$1),VLOOKUP($F15+BQ$2,$A$6:$C$106,2,FALSE)*VLOOKUP(BQ$1,'Attrition Modeling'!$L$15:$N$27,IF(BQ$2+$F15&lt;=24,2,3),FALSE)),$C$3)*(1+Projection!BX$16)*(1+IF(BQ147&gt;0,'Attrition Modeling'!$N$9,0)))</f>
        <v>0</v>
      </c>
      <c r="BR15" s="799">
        <f>(BQ15+BR147)*(1-IFERROR(IF(BR$2+$F15&lt;=12,SUMIFS('Attrition Modeling'!$D:$D,'Attrition Modeling'!$B:$B,'IP Attrition'!$D15,'Attrition Modeling'!$C:$C,'IP Attrition'!BR$1),VLOOKUP($F15+BR$2,$A$6:$C$106,2,FALSE)*VLOOKUP(BR$1,'Attrition Modeling'!$L$15:$N$27,IF(BR$2+$F15&lt;=24,2,3),FALSE)),$C$3)*(1+Projection!BY$16)*(1+IF(BR147&gt;0,'Attrition Modeling'!$N$9,0)))</f>
        <v>0</v>
      </c>
      <c r="BS15" s="799">
        <f>(BR15+BS147)*(1-IFERROR(IF(BS$2+$F15&lt;=12,SUMIFS('Attrition Modeling'!$D:$D,'Attrition Modeling'!$B:$B,'IP Attrition'!$D15,'Attrition Modeling'!$C:$C,'IP Attrition'!BS$1),VLOOKUP($F15+BS$2,$A$6:$C$106,2,FALSE)*VLOOKUP(BS$1,'Attrition Modeling'!$L$15:$N$27,IF(BS$2+$F15&lt;=24,2,3),FALSE)),$C$3)*(1+Projection!BZ$16)*(1+IF(BS147&gt;0,'Attrition Modeling'!$N$9,0)))</f>
        <v>0</v>
      </c>
      <c r="BT15" s="799" t="e">
        <f>(BS15+BT147)*(1-IFERROR(IF(BT$2+$F15&lt;=12,SUMIFS('Attrition Modeling'!$D:$D,'Attrition Modeling'!$B:$B,'IP Attrition'!$D15,'Attrition Modeling'!$C:$C,'IP Attrition'!BT$1),VLOOKUP($F15+BT$2,$A$6:$C$106,2,FALSE)*VLOOKUP(BT$1,'Attrition Modeling'!$L$15:$N$27,IF(BT$2+$F15&lt;=24,2,3),FALSE)),$C$3)*(1+Projection!CA$16)*(1+IF(BT147&gt;0,'Attrition Modeling'!$N$9,0)))</f>
        <v>#REF!</v>
      </c>
      <c r="BU15" s="799" t="e">
        <f>(BT15+BU147)*(1-IFERROR(IF(BU$2+$F15&lt;=12,SUMIFS('Attrition Modeling'!$D:$D,'Attrition Modeling'!$B:$B,'IP Attrition'!$D15,'Attrition Modeling'!$C:$C,'IP Attrition'!BU$1),VLOOKUP($F15+BU$2,$A$6:$C$106,2,FALSE)*VLOOKUP(BU$1,'Attrition Modeling'!$L$15:$N$27,IF(BU$2+$F15&lt;=24,2,3),FALSE)),$C$3)*(1+Projection!CB$16)*(1+IF(BU147&gt;0,'Attrition Modeling'!$N$9,0)))</f>
        <v>#REF!</v>
      </c>
    </row>
    <row r="16" spans="1:73" ht="14.25" customHeight="1" x14ac:dyDescent="0.2">
      <c r="A16" s="9">
        <v>9</v>
      </c>
      <c r="B16" s="25" t="e">
        <f>MAX('Attrition Modeling'!H13,$C$3)*(1-Summary!$C$20)</f>
        <v>#DIV/0!</v>
      </c>
      <c r="C16" s="24" t="e">
        <f t="shared" si="3"/>
        <v>#DIV/0!</v>
      </c>
      <c r="D16" s="11">
        <f t="shared" si="1"/>
        <v>-13</v>
      </c>
      <c r="E16" s="807">
        <f t="array" ref="E16">INDEX('Attrition Modeling'!$X$2:$AF$63,MATCH($F16,'Attrition Modeling'!$X$2:$X$63,0),MATCH(Inputs!$C$10,'Attrition Modeling'!$X$2:$AF$2,0))</f>
        <v>0</v>
      </c>
      <c r="F16" s="11">
        <f t="shared" si="2"/>
        <v>13</v>
      </c>
      <c r="G16" s="799">
        <f>Summary!$C$25*$E16</f>
        <v>0</v>
      </c>
      <c r="H16" s="799">
        <f>(G16+H148)*(1-IFERROR(IF(H$2+$F16&lt;=12,SUMIFS('Attrition Modeling'!$D:$D,'Attrition Modeling'!$B:$B,'IP Attrition'!$D16,'Attrition Modeling'!$C:$C,'IP Attrition'!H$1),VLOOKUP($F16+H$2,$A$6:$C$106,2,FALSE)*VLOOKUP(H$1,'Attrition Modeling'!$L$15:$N$27,IF(H$2+$F16&lt;=24,2,3),FALSE)),$C$3)*(1+Projection!J$16)*(1+IF(H148&gt;0,'Attrition Modeling'!$N$9,0)))</f>
        <v>0</v>
      </c>
      <c r="I16" s="799">
        <f>(H16+I148)*(1-IFERROR(IF(I$2+$F16&lt;=12,SUMIFS('Attrition Modeling'!$D:$D,'Attrition Modeling'!$B:$B,'IP Attrition'!$D16,'Attrition Modeling'!$C:$C,'IP Attrition'!I$1),VLOOKUP($F16+I$2,$A$6:$C$106,2,FALSE)*VLOOKUP(I$1,'Attrition Modeling'!$L$15:$N$27,IF(I$2+$F16&lt;=24,2,3),FALSE)),$C$3)*(1+Projection!K$16)*(1+IF(I148&gt;0,'Attrition Modeling'!$N$9,0)))</f>
        <v>0</v>
      </c>
      <c r="J16" s="799">
        <f>(I16+J148)*(1-IFERROR(IF(J$2+$F16&lt;=12,SUMIFS('Attrition Modeling'!$D:$D,'Attrition Modeling'!$B:$B,'IP Attrition'!$D16,'Attrition Modeling'!$C:$C,'IP Attrition'!J$1),VLOOKUP($F16+J$2,$A$6:$C$106,2,FALSE)*VLOOKUP(J$1,'Attrition Modeling'!$L$15:$N$27,IF(J$2+$F16&lt;=24,2,3),FALSE)),$C$3)*(1+Projection!L$16)*(1+IF(J148&gt;0,'Attrition Modeling'!$N$9,0)))</f>
        <v>0</v>
      </c>
      <c r="K16" s="799">
        <f>(J16+K148)*(1-IFERROR(IF(K$2+$F16&lt;=12,SUMIFS('Attrition Modeling'!$D:$D,'Attrition Modeling'!$B:$B,'IP Attrition'!$D16,'Attrition Modeling'!$C:$C,'IP Attrition'!K$1),VLOOKUP($F16+K$2,$A$6:$C$106,2,FALSE)*VLOOKUP(K$1,'Attrition Modeling'!$L$15:$N$27,IF(K$2+$F16&lt;=24,2,3),FALSE)),$C$3)*(1+Projection!M$16)*(1+IF(K148&gt;0,'Attrition Modeling'!$N$9,0)))</f>
        <v>0</v>
      </c>
      <c r="L16" s="799">
        <f>(K16+L148)*(1-IFERROR(IF(L$2+$F16&lt;=12,SUMIFS('Attrition Modeling'!$D:$D,'Attrition Modeling'!$B:$B,'IP Attrition'!$D16,'Attrition Modeling'!$C:$C,'IP Attrition'!L$1),VLOOKUP($F16+L$2,$A$6:$C$106,2,FALSE)*VLOOKUP(L$1,'Attrition Modeling'!$L$15:$N$27,IF(L$2+$F16&lt;=24,2,3),FALSE)),$C$3)*(1+Projection!N$16)*(1+IF(L148&gt;0,'Attrition Modeling'!$N$9,0)))</f>
        <v>0</v>
      </c>
      <c r="M16" s="799">
        <f>(L16+M148)*(1-IFERROR(IF(M$2+$F16&lt;=12,SUMIFS('Attrition Modeling'!$D:$D,'Attrition Modeling'!$B:$B,'IP Attrition'!$D16,'Attrition Modeling'!$C:$C,'IP Attrition'!M$1),VLOOKUP($F16+M$2,$A$6:$C$106,2,FALSE)*VLOOKUP(M$1,'Attrition Modeling'!$L$15:$N$27,IF(M$2+$F16&lt;=24,2,3),FALSE)),$C$3)*(1+Projection!O$16)*(1+IF(M148&gt;0,'Attrition Modeling'!$N$9,0)))</f>
        <v>0</v>
      </c>
      <c r="N16" s="799">
        <f>(M16+N148)*(1-IFERROR(IF(N$2+$F16&lt;=12,SUMIFS('Attrition Modeling'!$D:$D,'Attrition Modeling'!$B:$B,'IP Attrition'!$D16,'Attrition Modeling'!$C:$C,'IP Attrition'!N$1),VLOOKUP($F16+N$2,$A$6:$C$106,2,FALSE)*VLOOKUP(N$1,'Attrition Modeling'!$L$15:$N$27,IF(N$2+$F16&lt;=24,2,3),FALSE)),$C$3)*(1+Projection!P$16)*(1+IF(N148&gt;0,'Attrition Modeling'!$N$9,0)))</f>
        <v>0</v>
      </c>
      <c r="O16" s="799">
        <f>(N16+O148)*(1-IFERROR(IF(O$2+$F16&lt;=12,SUMIFS('Attrition Modeling'!$D:$D,'Attrition Modeling'!$B:$B,'IP Attrition'!$D16,'Attrition Modeling'!$C:$C,'IP Attrition'!O$1),VLOOKUP($F16+O$2,$A$6:$C$106,2,FALSE)*VLOOKUP(O$1,'Attrition Modeling'!$L$15:$N$27,IF(O$2+$F16&lt;=24,2,3),FALSE)),$C$3)*(1+Projection!Q$16)*(1+IF(O148&gt;0,'Attrition Modeling'!$N$9,0)))</f>
        <v>0</v>
      </c>
      <c r="P16" s="799">
        <f>(O16+P148)*(1-IFERROR(IF(P$2+$F16&lt;=12,SUMIFS('Attrition Modeling'!$D:$D,'Attrition Modeling'!$B:$B,'IP Attrition'!$D16,'Attrition Modeling'!$C:$C,'IP Attrition'!P$1),VLOOKUP($F16+P$2,$A$6:$C$106,2,FALSE)*VLOOKUP(P$1,'Attrition Modeling'!$L$15:$N$27,IF(P$2+$F16&lt;=24,2,3),FALSE)),$C$3)*(1+Projection!R$16)*(1+IF(P148&gt;0,'Attrition Modeling'!$N$9,0)))</f>
        <v>0</v>
      </c>
      <c r="Q16" s="799">
        <f>(P16+Q148)*(1-IFERROR(IF(Q$2+$F16&lt;=12,SUMIFS('Attrition Modeling'!$D:$D,'Attrition Modeling'!$B:$B,'IP Attrition'!$D16,'Attrition Modeling'!$C:$C,'IP Attrition'!Q$1),VLOOKUP($F16+Q$2,$A$6:$C$106,2,FALSE)*VLOOKUP(Q$1,'Attrition Modeling'!$L$15:$N$27,IF(Q$2+$F16&lt;=24,2,3),FALSE)),$C$3)*(1+Projection!S$16)*(1+IF(Q148&gt;0,'Attrition Modeling'!$N$9,0)))</f>
        <v>0</v>
      </c>
      <c r="R16" s="799">
        <f>(Q16+R148)*(1-IFERROR(IF(R$2+$F16&lt;=12,SUMIFS('Attrition Modeling'!$D:$D,'Attrition Modeling'!$B:$B,'IP Attrition'!$D16,'Attrition Modeling'!$C:$C,'IP Attrition'!R$1),VLOOKUP($F16+R$2,$A$6:$C$106,2,FALSE)*VLOOKUP(R$1,'Attrition Modeling'!$L$15:$N$27,IF(R$2+$F16&lt;=24,2,3),FALSE)),$C$3)*(1+Projection!T$16)*(1+IF(R148&gt;0,'Attrition Modeling'!$N$9,0)))</f>
        <v>0</v>
      </c>
      <c r="S16" s="799">
        <f>(R16+S148)*(1-IFERROR(IF(S$2+$F16&lt;=12,SUMIFS('Attrition Modeling'!$D:$D,'Attrition Modeling'!$B:$B,'IP Attrition'!$D16,'Attrition Modeling'!$C:$C,'IP Attrition'!S$1),VLOOKUP($F16+S$2,$A$6:$C$106,2,FALSE)*VLOOKUP(S$1,'Attrition Modeling'!$L$15:$N$27,IF(S$2+$F16&lt;=24,2,3),FALSE)),$C$3)*(1+Projection!U$16)*(1+IF(S148&gt;0,'Attrition Modeling'!$N$9,0)))</f>
        <v>0</v>
      </c>
      <c r="T16" s="799">
        <f>(S16+T148)*(1-IFERROR(IF(T$2+$F16&lt;=12,SUMIFS('Attrition Modeling'!$D:$D,'Attrition Modeling'!$B:$B,'IP Attrition'!$D16,'Attrition Modeling'!$C:$C,'IP Attrition'!T$1),VLOOKUP($F16+T$2,$A$6:$C$106,2,FALSE)*VLOOKUP(T$1,'Attrition Modeling'!$L$15:$N$27,IF(T$2+$F16&lt;=24,2,3),FALSE)),$C$3)*(1+Projection!V$16)*(1+IF(T148&gt;0,'Attrition Modeling'!$N$9,0)))</f>
        <v>0</v>
      </c>
      <c r="U16" s="799">
        <f>(T16+U148)*(1-IFERROR(IF(U$2+$F16&lt;=12,SUMIFS('Attrition Modeling'!$D:$D,'Attrition Modeling'!$B:$B,'IP Attrition'!$D16,'Attrition Modeling'!$C:$C,'IP Attrition'!U$1),VLOOKUP($F16+U$2,$A$6:$C$106,2,FALSE)*VLOOKUP(U$1,'Attrition Modeling'!$L$15:$N$27,IF(U$2+$F16&lt;=24,2,3),FALSE)),$C$3)*(1+Projection!W$16)*(1+IF(U148&gt;0,'Attrition Modeling'!$N$9,0)))</f>
        <v>0</v>
      </c>
      <c r="V16" s="799">
        <f>(U16+V148)*(1-IFERROR(IF(V$2+$F16&lt;=12,SUMIFS('Attrition Modeling'!$D:$D,'Attrition Modeling'!$B:$B,'IP Attrition'!$D16,'Attrition Modeling'!$C:$C,'IP Attrition'!V$1),VLOOKUP($F16+V$2,$A$6:$C$106,2,FALSE)*VLOOKUP(V$1,'Attrition Modeling'!$L$15:$N$27,IF(V$2+$F16&lt;=24,2,3),FALSE)),$C$3)*(1+Projection!X$16)*(1+IF(V148&gt;0,'Attrition Modeling'!$N$9,0)))</f>
        <v>0</v>
      </c>
      <c r="W16" s="799">
        <f>(V16+W148)*(1-IFERROR(IF(W$2+$F16&lt;=12,SUMIFS('Attrition Modeling'!$D:$D,'Attrition Modeling'!$B:$B,'IP Attrition'!$D16,'Attrition Modeling'!$C:$C,'IP Attrition'!W$1),VLOOKUP($F16+W$2,$A$6:$C$106,2,FALSE)*VLOOKUP(W$1,'Attrition Modeling'!$L$15:$N$27,IF(W$2+$F16&lt;=24,2,3),FALSE)),$C$3)*(1+Projection!Y$16)*(1+IF(W148&gt;0,'Attrition Modeling'!$N$9,0)))</f>
        <v>0</v>
      </c>
      <c r="X16" s="799">
        <f>(W16+X148)*(1-IFERROR(IF(X$2+$F16&lt;=12,SUMIFS('Attrition Modeling'!$D:$D,'Attrition Modeling'!$B:$B,'IP Attrition'!$D16,'Attrition Modeling'!$C:$C,'IP Attrition'!X$1),VLOOKUP($F16+X$2,$A$6:$C$106,2,FALSE)*VLOOKUP(X$1,'Attrition Modeling'!$L$15:$N$27,IF(X$2+$F16&lt;=24,2,3),FALSE)),$C$3)*(1+Projection!Z$16)*(1+IF(X148&gt;0,'Attrition Modeling'!$N$9,0)))</f>
        <v>0</v>
      </c>
      <c r="Y16" s="799">
        <f>(X16+Y148)*(1-IFERROR(IF(Y$2+$F16&lt;=12,SUMIFS('Attrition Modeling'!$D:$D,'Attrition Modeling'!$B:$B,'IP Attrition'!$D16,'Attrition Modeling'!$C:$C,'IP Attrition'!Y$1),VLOOKUP($F16+Y$2,$A$6:$C$106,2,FALSE)*VLOOKUP(Y$1,'Attrition Modeling'!$L$15:$N$27,IF(Y$2+$F16&lt;=24,2,3),FALSE)),$C$3)*(1+Projection!AA$16)*(1+IF(Y148&gt;0,'Attrition Modeling'!$N$9,0)))</f>
        <v>0</v>
      </c>
      <c r="Z16" s="799">
        <f>(Y16+Z148)*(1-IFERROR(IF(Z$2+$F16&lt;=12,SUMIFS('Attrition Modeling'!$D:$D,'Attrition Modeling'!$B:$B,'IP Attrition'!$D16,'Attrition Modeling'!$C:$C,'IP Attrition'!Z$1),VLOOKUP($F16+Z$2,$A$6:$C$106,2,FALSE)*VLOOKUP(Z$1,'Attrition Modeling'!$L$15:$N$27,IF(Z$2+$F16&lt;=24,2,3),FALSE)),$C$3)*(1+Projection!AB$16)*(1+IF(Z148&gt;0,'Attrition Modeling'!$N$9,0)))</f>
        <v>0</v>
      </c>
      <c r="AA16" s="799">
        <f>(Z16+AA148)*(1-IFERROR(IF(AA$2+$F16&lt;=12,SUMIFS('Attrition Modeling'!$D:$D,'Attrition Modeling'!$B:$B,'IP Attrition'!$D16,'Attrition Modeling'!$C:$C,'IP Attrition'!AA$1),VLOOKUP($F16+AA$2,$A$6:$C$106,2,FALSE)*VLOOKUP(AA$1,'Attrition Modeling'!$L$15:$N$27,IF(AA$2+$F16&lt;=24,2,3),FALSE)),$C$3)*(1+Projection!AC$16)*(1+IF(AA148&gt;0,'Attrition Modeling'!$N$9,0)))</f>
        <v>0</v>
      </c>
      <c r="AB16" s="799">
        <f>(AA16+AB148)*(1-IFERROR(IF(AB$2+$F16&lt;=12,SUMIFS('Attrition Modeling'!$D:$D,'Attrition Modeling'!$B:$B,'IP Attrition'!$D16,'Attrition Modeling'!$C:$C,'IP Attrition'!AB$1),VLOOKUP($F16+AB$2,$A$6:$C$106,2,FALSE)*VLOOKUP(AB$1,'Attrition Modeling'!$L$15:$N$27,IF(AB$2+$F16&lt;=24,2,3),FALSE)),$C$3)*(1+Projection!AD$16)*(1+IF(AB148&gt;0,'Attrition Modeling'!$N$9,0)))</f>
        <v>0</v>
      </c>
      <c r="AC16" s="799">
        <f>(AB16+AC148)*(1-IFERROR(IF(AC$2+$F16&lt;=12,SUMIFS('Attrition Modeling'!$D:$D,'Attrition Modeling'!$B:$B,'IP Attrition'!$D16,'Attrition Modeling'!$C:$C,'IP Attrition'!AC$1),VLOOKUP($F16+AC$2,$A$6:$C$106,2,FALSE)*VLOOKUP(AC$1,'Attrition Modeling'!$L$15:$N$27,IF(AC$2+$F16&lt;=24,2,3),FALSE)),$C$3)*(1+Projection!AE$16)*(1+IF(AC148&gt;0,'Attrition Modeling'!$N$9,0)))</f>
        <v>0</v>
      </c>
      <c r="AD16" s="799">
        <f>(AC16+AD148)*(1-IFERROR(IF(AD$2+$F16&lt;=12,SUMIFS('Attrition Modeling'!$D:$D,'Attrition Modeling'!$B:$B,'IP Attrition'!$D16,'Attrition Modeling'!$C:$C,'IP Attrition'!AD$1),VLOOKUP($F16+AD$2,$A$6:$C$106,2,FALSE)*VLOOKUP(AD$1,'Attrition Modeling'!$L$15:$N$27,IF(AD$2+$F16&lt;=24,2,3),FALSE)),$C$3)*(1+Projection!AF$16)*(1+IF(AD148&gt;0,'Attrition Modeling'!$N$9,0)))</f>
        <v>0</v>
      </c>
      <c r="AE16" s="799">
        <f>(AD16+AE148)*(1-IFERROR(IF(AE$2+$F16&lt;=12,SUMIFS('Attrition Modeling'!$D:$D,'Attrition Modeling'!$B:$B,'IP Attrition'!$D16,'Attrition Modeling'!$C:$C,'IP Attrition'!AE$1),VLOOKUP($F16+AE$2,$A$6:$C$106,2,FALSE)*VLOOKUP(AE$1,'Attrition Modeling'!$L$15:$N$27,IF(AE$2+$F16&lt;=24,2,3),FALSE)),$C$3)*(1+Projection!AG$16)*(1+IF(AE148&gt;0,'Attrition Modeling'!$N$9,0)))</f>
        <v>0</v>
      </c>
      <c r="AF16" s="799">
        <f>(AE16+AF148)*(1-IFERROR(IF(AF$2+$F16&lt;=12,SUMIFS('Attrition Modeling'!$D:$D,'Attrition Modeling'!$B:$B,'IP Attrition'!$D16,'Attrition Modeling'!$C:$C,'IP Attrition'!AF$1),VLOOKUP($F16+AF$2,$A$6:$C$106,2,FALSE)*VLOOKUP(AF$1,'Attrition Modeling'!$L$15:$N$27,IF(AF$2+$F16&lt;=24,2,3),FALSE)),$C$3)*(1+Projection!AH$16)*(1+IF(AF148&gt;0,'Attrition Modeling'!$N$9,0)))</f>
        <v>0</v>
      </c>
      <c r="AG16" s="799">
        <f>(AF16+AG148)*(1-IFERROR(IF(AG$2+$F16&lt;=12,SUMIFS('Attrition Modeling'!$D:$D,'Attrition Modeling'!$B:$B,'IP Attrition'!$D16,'Attrition Modeling'!$C:$C,'IP Attrition'!AG$1),VLOOKUP($F16+AG$2,$A$6:$C$106,2,FALSE)*VLOOKUP(AG$1,'Attrition Modeling'!$L$15:$N$27,IF(AG$2+$F16&lt;=24,2,3),FALSE)),$C$3)*(1+Projection!AI$16)*(1+IF(AG148&gt;0,'Attrition Modeling'!$N$9,0)))</f>
        <v>0</v>
      </c>
      <c r="AH16" s="799">
        <f>(AG16+AH148)*(1-IFERROR(IF(AH$2+$F16&lt;=12,SUMIFS('Attrition Modeling'!$D:$D,'Attrition Modeling'!$B:$B,'IP Attrition'!$D16,'Attrition Modeling'!$C:$C,'IP Attrition'!AH$1),VLOOKUP($F16+AH$2,$A$6:$C$106,2,FALSE)*VLOOKUP(AH$1,'Attrition Modeling'!$L$15:$N$27,IF(AH$2+$F16&lt;=24,2,3),FALSE)),$C$3)*(1+Projection!AJ$16)*(1+IF(AH148&gt;0,'Attrition Modeling'!$N$9,0)))</f>
        <v>0</v>
      </c>
      <c r="AI16" s="799">
        <f>(AH16+AI148)*(1-IFERROR(IF(AI$2+$F16&lt;=12,SUMIFS('Attrition Modeling'!$D:$D,'Attrition Modeling'!$B:$B,'IP Attrition'!$D16,'Attrition Modeling'!$C:$C,'IP Attrition'!AI$1),VLOOKUP($F16+AI$2,$A$6:$C$106,2,FALSE)*VLOOKUP(AI$1,'Attrition Modeling'!$L$15:$N$27,IF(AI$2+$F16&lt;=24,2,3),FALSE)),$C$3)*(1+Projection!AK$16)*(1+IF(AI148&gt;0,'Attrition Modeling'!$N$9,0)))</f>
        <v>0</v>
      </c>
      <c r="AJ16" s="799">
        <f>(AI16+AJ148)*(1-IFERROR(IF(AJ$2+$F16&lt;=12,SUMIFS('Attrition Modeling'!$D:$D,'Attrition Modeling'!$B:$B,'IP Attrition'!$D16,'Attrition Modeling'!$C:$C,'IP Attrition'!AJ$1),VLOOKUP($F16+AJ$2,$A$6:$C$106,2,FALSE)*VLOOKUP(AJ$1,'Attrition Modeling'!$L$15:$N$27,IF(AJ$2+$F16&lt;=24,2,3),FALSE)),$C$3)*(1+Projection!AL$16)*(1+IF(AJ148&gt;0,'Attrition Modeling'!$N$9,0)))</f>
        <v>0</v>
      </c>
      <c r="AK16" s="799">
        <f>(AJ16+AK148)*(1-IFERROR(IF(AK$2+$F16&lt;=12,SUMIFS('Attrition Modeling'!$D:$D,'Attrition Modeling'!$B:$B,'IP Attrition'!$D16,'Attrition Modeling'!$C:$C,'IP Attrition'!AK$1),VLOOKUP($F16+AK$2,$A$6:$C$106,2,FALSE)*VLOOKUP(AK$1,'Attrition Modeling'!$L$15:$N$27,IF(AK$2+$F16&lt;=24,2,3),FALSE)),$C$3)*(1+Projection!AM$16)*(1+IF(AK148&gt;0,'Attrition Modeling'!$N$9,0)))</f>
        <v>0</v>
      </c>
      <c r="AL16" s="799">
        <f>(AK16+AL148)*(1-IFERROR(IF(AL$2+$F16&lt;=12,SUMIFS('Attrition Modeling'!$D:$D,'Attrition Modeling'!$B:$B,'IP Attrition'!$D16,'Attrition Modeling'!$C:$C,'IP Attrition'!AL$1),VLOOKUP($F16+AL$2,$A$6:$C$106,2,FALSE)*VLOOKUP(AL$1,'Attrition Modeling'!$L$15:$N$27,IF(AL$2+$F16&lt;=24,2,3),FALSE)),$C$3)*(1+Projection!AN$16)*(1+IF(AL148&gt;0,'Attrition Modeling'!$N$9,0)))</f>
        <v>0</v>
      </c>
      <c r="AM16" s="799">
        <f>(AL16+AM148)*(1-IFERROR(IF(AM$2+$F16&lt;=12,SUMIFS('Attrition Modeling'!$D:$D,'Attrition Modeling'!$B:$B,'IP Attrition'!$D16,'Attrition Modeling'!$C:$C,'IP Attrition'!AM$1),VLOOKUP($F16+AM$2,$A$6:$C$106,2,FALSE)*VLOOKUP(AM$1,'Attrition Modeling'!$L$15:$N$27,IF(AM$2+$F16&lt;=24,2,3),FALSE)),$C$3)*(1+Projection!AO$16)*(1+IF(AM148&gt;0,'Attrition Modeling'!$N$9,0)))</f>
        <v>0</v>
      </c>
      <c r="AN16" s="799">
        <f>(AM16+AN148)*(1-IFERROR(IF(AN$2+$F16&lt;=12,SUMIFS('Attrition Modeling'!$D:$D,'Attrition Modeling'!$B:$B,'IP Attrition'!$D16,'Attrition Modeling'!$C:$C,'IP Attrition'!AN$1),VLOOKUP($F16+AN$2,$A$6:$C$106,2,FALSE)*VLOOKUP(AN$1,'Attrition Modeling'!$L$15:$N$27,IF(AN$2+$F16&lt;=24,2,3),FALSE)),$C$3)*(1+Projection!AP$16)*(1+IF(AN148&gt;0,'Attrition Modeling'!$N$9,0)))</f>
        <v>0</v>
      </c>
      <c r="AO16" s="799">
        <f>(AN16+AO148)*(1-IFERROR(IF(AO$2+$F16&lt;=12,SUMIFS('Attrition Modeling'!$D:$D,'Attrition Modeling'!$B:$B,'IP Attrition'!$D16,'Attrition Modeling'!$C:$C,'IP Attrition'!AO$1),VLOOKUP($F16+AO$2,$A$6:$C$106,2,FALSE)*VLOOKUP(AO$1,'Attrition Modeling'!$L$15:$N$27,IF(AO$2+$F16&lt;=24,2,3),FALSE)),$C$3)*(1+Projection!AQ$16)*(1+IF(AO148&gt;0,'Attrition Modeling'!$N$9,0)))</f>
        <v>0</v>
      </c>
      <c r="AP16" s="799">
        <f>(AO16+AP148)*(1-IFERROR(IF(AP$2+$F16&lt;=12,SUMIFS('Attrition Modeling'!$D:$D,'Attrition Modeling'!$B:$B,'IP Attrition'!$D16,'Attrition Modeling'!$C:$C,'IP Attrition'!AP$1),VLOOKUP($F16+AP$2,$A$6:$C$106,2,FALSE)*VLOOKUP(AP$1,'Attrition Modeling'!$L$15:$N$27,IF(AP$2+$F16&lt;=24,2,3),FALSE)),$C$3)*(1+Projection!AR$16)*(1+IF(AP148&gt;0,'Attrition Modeling'!$N$9,0)))</f>
        <v>0</v>
      </c>
      <c r="AQ16" s="799">
        <f>(AP16+AQ148)*(1-IFERROR(IF(AQ$2+$F16&lt;=12,SUMIFS('Attrition Modeling'!$D:$D,'Attrition Modeling'!$B:$B,'IP Attrition'!$D16,'Attrition Modeling'!$C:$C,'IP Attrition'!AQ$1),VLOOKUP($F16+AQ$2,$A$6:$C$106,2,FALSE)*VLOOKUP(AQ$1,'Attrition Modeling'!$L$15:$N$27,IF(AQ$2+$F16&lt;=24,2,3),FALSE)),$C$3)*(1+Projection!AS$16)*(1+IF(AQ148&gt;0,'Attrition Modeling'!$N$9,0)))</f>
        <v>0</v>
      </c>
      <c r="AR16" s="799">
        <f>(AQ16+AR148)*(1-IFERROR(IF(AR$2+$F16&lt;=12,SUMIFS('Attrition Modeling'!$D:$D,'Attrition Modeling'!$B:$B,'IP Attrition'!$D16,'Attrition Modeling'!$C:$C,'IP Attrition'!AR$1),VLOOKUP($F16+AR$2,$A$6:$C$106,2,FALSE)*VLOOKUP(AR$1,'Attrition Modeling'!$L$15:$N$27,IF(AR$2+$F16&lt;=24,2,3),FALSE)),$C$3)*(1+Projection!AT$16)*(1+IF(AR148&gt;0,'Attrition Modeling'!$N$9,0)))</f>
        <v>0</v>
      </c>
      <c r="AS16" s="799">
        <f>(AR16+AS148)*(1-IFERROR(IF(AS$2+$F16&lt;=12,SUMIFS('Attrition Modeling'!$D:$D,'Attrition Modeling'!$B:$B,'IP Attrition'!$D16,'Attrition Modeling'!$C:$C,'IP Attrition'!AS$1),VLOOKUP($F16+AS$2,$A$6:$C$106,2,FALSE)*VLOOKUP(AS$1,'Attrition Modeling'!$L$15:$N$27,IF(AS$2+$F16&lt;=24,2,3),FALSE)),$C$3)*(1+Projection!AU$16)*(1+IF(AS148&gt;0,'Attrition Modeling'!$N$9,0)))</f>
        <v>0</v>
      </c>
      <c r="AT16" s="799">
        <f>(AS16+AT148)*(1-IFERROR(IF(AT$2+$F16&lt;=12,SUMIFS('Attrition Modeling'!$D:$D,'Attrition Modeling'!$B:$B,'IP Attrition'!$D16,'Attrition Modeling'!$C:$C,'IP Attrition'!AT$1),VLOOKUP($F16+AT$2,$A$6:$C$106,2,FALSE)*VLOOKUP(AT$1,'Attrition Modeling'!$L$15:$N$27,IF(AT$2+$F16&lt;=24,2,3),FALSE)),$C$3)*(1+Projection!AV$16)*(1+IF(AT148&gt;0,'Attrition Modeling'!$N$9,0)))</f>
        <v>0</v>
      </c>
      <c r="AU16" s="799">
        <f>(AT16+AU148)*(1-IFERROR(IF(AU$2+$F16&lt;=12,SUMIFS('Attrition Modeling'!$D:$D,'Attrition Modeling'!$B:$B,'IP Attrition'!$D16,'Attrition Modeling'!$C:$C,'IP Attrition'!AU$1),VLOOKUP($F16+AU$2,$A$6:$C$106,2,FALSE)*VLOOKUP(AU$1,'Attrition Modeling'!$L$15:$N$27,IF(AU$2+$F16&lt;=24,2,3),FALSE)),$C$3)*(1+Projection!AW$16)*(1+IF(AU148&gt;0,'Attrition Modeling'!$N$9,0)))</f>
        <v>0</v>
      </c>
      <c r="AV16" s="799">
        <f>(AU16+AV148)*(1-IFERROR(IF(AV$2+$F16&lt;=12,SUMIFS('Attrition Modeling'!$D:$D,'Attrition Modeling'!$B:$B,'IP Attrition'!$D16,'Attrition Modeling'!$C:$C,'IP Attrition'!AV$1),VLOOKUP($F16+AV$2,$A$6:$C$106,2,FALSE)*VLOOKUP(AV$1,'Attrition Modeling'!$L$15:$N$27,IF(AV$2+$F16&lt;=24,2,3),FALSE)),$C$3)*(1+Projection!AX$16)*(1+IF(AV148&gt;0,'Attrition Modeling'!$N$9,0)))</f>
        <v>0</v>
      </c>
      <c r="AW16" s="799">
        <f>(AV16+AW148)*(1-IFERROR(IF(AW$2+$F16&lt;=12,SUMIFS('Attrition Modeling'!$D:$D,'Attrition Modeling'!$B:$B,'IP Attrition'!$D16,'Attrition Modeling'!$C:$C,'IP Attrition'!AW$1),VLOOKUP($F16+AW$2,$A$6:$C$106,2,FALSE)*VLOOKUP(AW$1,'Attrition Modeling'!$L$15:$N$27,IF(AW$2+$F16&lt;=24,2,3),FALSE)),$C$3)*(1+Projection!AY$16)*(1+IF(AW148&gt;0,'Attrition Modeling'!$N$9,0)))</f>
        <v>0</v>
      </c>
      <c r="AX16" s="799">
        <f>(AW16+AX148)*(1-IFERROR(IF(AX$2+$F16&lt;=12,SUMIFS('Attrition Modeling'!$D:$D,'Attrition Modeling'!$B:$B,'IP Attrition'!$D16,'Attrition Modeling'!$C:$C,'IP Attrition'!AX$1),VLOOKUP($F16+AX$2,$A$6:$C$106,2,FALSE)*VLOOKUP(AX$1,'Attrition Modeling'!$L$15:$N$27,IF(AX$2+$F16&lt;=24,2,3),FALSE)),$C$3)*(1+Projection!AZ$16)*(1+IF(AX148&gt;0,'Attrition Modeling'!$N$9,0)))</f>
        <v>0</v>
      </c>
      <c r="AY16" s="799">
        <f>(AX16+AY148)*(1-IFERROR(IF(AY$2+$F16&lt;=12,SUMIFS('Attrition Modeling'!$D:$D,'Attrition Modeling'!$B:$B,'IP Attrition'!$D16,'Attrition Modeling'!$C:$C,'IP Attrition'!AY$1),VLOOKUP($F16+AY$2,$A$6:$C$106,2,FALSE)*VLOOKUP(AY$1,'Attrition Modeling'!$L$15:$N$27,IF(AY$2+$F16&lt;=24,2,3),FALSE)),$C$3)*(1+Projection!BA$16)*(1+IF(AY148&gt;0,'Attrition Modeling'!$N$9,0)))</f>
        <v>0</v>
      </c>
      <c r="AZ16" s="799">
        <f>(AY16+AZ148)*(1-IFERROR(IF(AZ$2+$F16&lt;=12,SUMIFS('Attrition Modeling'!$D:$D,'Attrition Modeling'!$B:$B,'IP Attrition'!$D16,'Attrition Modeling'!$C:$C,'IP Attrition'!AZ$1),VLOOKUP($F16+AZ$2,$A$6:$C$106,2,FALSE)*VLOOKUP(AZ$1,'Attrition Modeling'!$L$15:$N$27,IF(AZ$2+$F16&lt;=24,2,3),FALSE)),$C$3)*(1+Projection!BB$16)*(1+IF(AZ148&gt;0,'Attrition Modeling'!$N$9,0)))</f>
        <v>0</v>
      </c>
      <c r="BA16" s="799">
        <f>(AZ16+BA148)*(1-IFERROR(IF(BA$2+$F16&lt;=12,SUMIFS('Attrition Modeling'!$D:$D,'Attrition Modeling'!$B:$B,'IP Attrition'!$D16,'Attrition Modeling'!$C:$C,'IP Attrition'!BA$1),VLOOKUP($F16+BA$2,$A$6:$C$106,2,FALSE)*VLOOKUP(BA$1,'Attrition Modeling'!$L$15:$N$27,IF(BA$2+$F16&lt;=24,2,3),FALSE)),$C$3)*(1+Projection!BC$16)*(1+IF(BA148&gt;0,'Attrition Modeling'!$N$9,0)))</f>
        <v>0</v>
      </c>
      <c r="BB16" s="799">
        <f>(BA16+BB148)*(1-IFERROR(IF(BB$2+$F16&lt;=12,SUMIFS('Attrition Modeling'!$D:$D,'Attrition Modeling'!$B:$B,'IP Attrition'!$D16,'Attrition Modeling'!$C:$C,'IP Attrition'!BB$1),VLOOKUP($F16+BB$2,$A$6:$C$106,2,FALSE)*VLOOKUP(BB$1,'Attrition Modeling'!$L$15:$N$27,IF(BB$2+$F16&lt;=24,2,3),FALSE)),$C$3)*(1+Projection!BD$16)*(1+IF(BB148&gt;0,'Attrition Modeling'!$N$9,0)))</f>
        <v>0</v>
      </c>
      <c r="BC16" s="799">
        <f>(BB16+BC148)*(1-IFERROR(IF(BC$2+$F16&lt;=12,SUMIFS('Attrition Modeling'!$D:$D,'Attrition Modeling'!$B:$B,'IP Attrition'!$D16,'Attrition Modeling'!$C:$C,'IP Attrition'!BC$1),VLOOKUP($F16+BC$2,$A$6:$C$106,2,FALSE)*VLOOKUP(BC$1,'Attrition Modeling'!$L$15:$N$27,IF(BC$2+$F16&lt;=24,2,3),FALSE)),$C$3)*(1+Projection!BE$16)*(1+IF(BC148&gt;0,'Attrition Modeling'!$N$9,0)))</f>
        <v>0</v>
      </c>
      <c r="BD16" s="799">
        <f>(BC16+BD148)*(1-IFERROR(IF(BD$2+$F16&lt;=12,SUMIFS('Attrition Modeling'!$D:$D,'Attrition Modeling'!$B:$B,'IP Attrition'!$D16,'Attrition Modeling'!$C:$C,'IP Attrition'!BD$1),VLOOKUP($F16+BD$2,$A$6:$C$106,2,FALSE)*VLOOKUP(BD$1,'Attrition Modeling'!$L$15:$N$27,IF(BD$2+$F16&lt;=24,2,3),FALSE)),$C$3)*(1+Projection!BF$16)*(1+IF(BD148&gt;0,'Attrition Modeling'!$N$9,0)))</f>
        <v>0</v>
      </c>
      <c r="BE16" s="799">
        <f>(BD16+BE148)*(1-IFERROR(IF(BE$2+$F16&lt;=12,SUMIFS('Attrition Modeling'!$D:$D,'Attrition Modeling'!$B:$B,'IP Attrition'!$D16,'Attrition Modeling'!$C:$C,'IP Attrition'!BE$1),VLOOKUP($F16+BE$2,$A$6:$C$106,2,FALSE)*VLOOKUP(BE$1,'Attrition Modeling'!$L$15:$N$27,IF(BE$2+$F16&lt;=24,2,3),FALSE)),$C$3)*(1+Projection!BG$16)*(1+IF(BE148&gt;0,'Attrition Modeling'!$N$9,0)))</f>
        <v>0</v>
      </c>
      <c r="BF16" s="799">
        <f>(BE16+BF148)*(1-IFERROR(IF(BF$2+$F16&lt;=12,SUMIFS('Attrition Modeling'!$D:$D,'Attrition Modeling'!$B:$B,'IP Attrition'!$D16,'Attrition Modeling'!$C:$C,'IP Attrition'!BF$1),VLOOKUP($F16+BF$2,$A$6:$C$106,2,FALSE)*VLOOKUP(BF$1,'Attrition Modeling'!$L$15:$N$27,IF(BF$2+$F16&lt;=24,2,3),FALSE)),$C$3)*(1+Projection!BH$16)*(1+IF(BF148&gt;0,'Attrition Modeling'!$N$9,0)))</f>
        <v>0</v>
      </c>
      <c r="BG16" s="799">
        <f>(BF16+BG148)*(1-IFERROR(IF(BG$2+$F16&lt;=12,SUMIFS('Attrition Modeling'!$D:$D,'Attrition Modeling'!$B:$B,'IP Attrition'!$D16,'Attrition Modeling'!$C:$C,'IP Attrition'!BG$1),VLOOKUP($F16+BG$2,$A$6:$C$106,2,FALSE)*VLOOKUP(BG$1,'Attrition Modeling'!$L$15:$N$27,IF(BG$2+$F16&lt;=24,2,3),FALSE)),$C$3)*(1+Projection!BI$16)*(1+IF(BG148&gt;0,'Attrition Modeling'!$N$9,0)))</f>
        <v>0</v>
      </c>
      <c r="BH16" s="799">
        <f>(BG16+BH148)*(1-IFERROR(IF(BH$2+$F16&lt;=12,SUMIFS('Attrition Modeling'!$D:$D,'Attrition Modeling'!$B:$B,'IP Attrition'!$D16,'Attrition Modeling'!$C:$C,'IP Attrition'!BH$1),VLOOKUP($F16+BH$2,$A$6:$C$106,2,FALSE)*VLOOKUP(BH$1,'Attrition Modeling'!$L$15:$N$27,IF(BH$2+$F16&lt;=24,2,3),FALSE)),$C$3)*(1+Projection!BJ$16)*(1+IF(BH148&gt;0,'Attrition Modeling'!$N$9,0)))</f>
        <v>0</v>
      </c>
      <c r="BI16" s="799">
        <f>(BH16+BI148)*(1-IFERROR(IF(BI$2+$F16&lt;=12,SUMIFS('Attrition Modeling'!$D:$D,'Attrition Modeling'!$B:$B,'IP Attrition'!$D16,'Attrition Modeling'!$C:$C,'IP Attrition'!BI$1),VLOOKUP($F16+BI$2,$A$6:$C$106,2,FALSE)*VLOOKUP(BI$1,'Attrition Modeling'!$L$15:$N$27,IF(BI$2+$F16&lt;=24,2,3),FALSE)),$C$3)*(1+Projection!BK$16)*(1+IF(BI148&gt;0,'Attrition Modeling'!$N$9,0)))</f>
        <v>0</v>
      </c>
      <c r="BJ16" s="799">
        <f>(BI16+BJ148)*(1-IFERROR(IF(BJ$2+$F16&lt;=12,SUMIFS('Attrition Modeling'!$D:$D,'Attrition Modeling'!$B:$B,'IP Attrition'!$D16,'Attrition Modeling'!$C:$C,'IP Attrition'!BJ$1),VLOOKUP($F16+BJ$2,$A$6:$C$106,2,FALSE)*VLOOKUP(BJ$1,'Attrition Modeling'!$L$15:$N$27,IF(BJ$2+$F16&lt;=24,2,3),FALSE)),$C$3)*(1+Projection!BL$16)*(1+IF(BJ148&gt;0,'Attrition Modeling'!$N$9,0)))</f>
        <v>0</v>
      </c>
      <c r="BK16" s="799">
        <f>(BJ16+BK148)*(1-IFERROR(IF(BK$2+$F16&lt;=12,SUMIFS('Attrition Modeling'!$D:$D,'Attrition Modeling'!$B:$B,'IP Attrition'!$D16,'Attrition Modeling'!$C:$C,'IP Attrition'!BK$1),VLOOKUP($F16+BK$2,$A$6:$C$106,2,FALSE)*VLOOKUP(BK$1,'Attrition Modeling'!$L$15:$N$27,IF(BK$2+$F16&lt;=24,2,3),FALSE)),$C$3)*(1+Projection!BM$16)*(1+IF(BK148&gt;0,'Attrition Modeling'!$N$9,0)))</f>
        <v>0</v>
      </c>
      <c r="BL16" s="799">
        <f>(BK16+BL148)*(1-IFERROR(IF(BL$2+$F16&lt;=12,SUMIFS('Attrition Modeling'!$D:$D,'Attrition Modeling'!$B:$B,'IP Attrition'!$D16,'Attrition Modeling'!$C:$C,'IP Attrition'!BL$1),VLOOKUP($F16+BL$2,$A$6:$C$106,2,FALSE)*VLOOKUP(BL$1,'Attrition Modeling'!$L$15:$N$27,IF(BL$2+$F16&lt;=24,2,3),FALSE)),$C$3)*(1+Projection!BN$16)*(1+IF(BL148&gt;0,'Attrition Modeling'!$N$9,0)))</f>
        <v>0</v>
      </c>
      <c r="BM16" s="799">
        <f>(BL16+BM148)*(1-IFERROR(IF(BM$2+$F16&lt;=12,SUMIFS('Attrition Modeling'!$D:$D,'Attrition Modeling'!$B:$B,'IP Attrition'!$D16,'Attrition Modeling'!$C:$C,'IP Attrition'!BM$1),VLOOKUP($F16+BM$2,$A$6:$C$106,2,FALSE)*VLOOKUP(BM$1,'Attrition Modeling'!$L$15:$N$27,IF(BM$2+$F16&lt;=24,2,3),FALSE)),$C$3)*(1+Projection!BO$16)*(1+IF(BM148&gt;0,'Attrition Modeling'!$N$9,0)))</f>
        <v>0</v>
      </c>
      <c r="BN16" s="799">
        <f>(BM16+BN148)*(1-IFERROR(IF(BN$2+$F16&lt;=12,SUMIFS('Attrition Modeling'!$D:$D,'Attrition Modeling'!$B:$B,'IP Attrition'!$D16,'Attrition Modeling'!$C:$C,'IP Attrition'!BN$1),VLOOKUP($F16+BN$2,$A$6:$C$106,2,FALSE)*VLOOKUP(BN$1,'Attrition Modeling'!$L$15:$N$27,IF(BN$2+$F16&lt;=24,2,3),FALSE)),$C$3)*(1+Projection!BP$16)*(1+IF(BN148&gt;0,'Attrition Modeling'!$N$9,0)))</f>
        <v>0</v>
      </c>
      <c r="BO16" s="799">
        <f>(BN16+BO148)*(1-IFERROR(IF(BO$2+$F16&lt;=12,SUMIFS('Attrition Modeling'!$D:$D,'Attrition Modeling'!$B:$B,'IP Attrition'!$D16,'Attrition Modeling'!$C:$C,'IP Attrition'!BO$1),VLOOKUP($F16+BO$2,$A$6:$C$106,2,FALSE)*VLOOKUP(BO$1,'Attrition Modeling'!$L$15:$N$27,IF(BO$2+$F16&lt;=24,2,3),FALSE)),$C$3)*(1+Projection!BV$16)*(1+IF(BO148&gt;0,'Attrition Modeling'!$N$9,0)))</f>
        <v>0</v>
      </c>
      <c r="BP16" s="799">
        <f>(BO16+BP148)*(1-IFERROR(IF(BP$2+$F16&lt;=12,SUMIFS('Attrition Modeling'!$D:$D,'Attrition Modeling'!$B:$B,'IP Attrition'!$D16,'Attrition Modeling'!$C:$C,'IP Attrition'!BP$1),VLOOKUP($F16+BP$2,$A$6:$C$106,2,FALSE)*VLOOKUP(BP$1,'Attrition Modeling'!$L$15:$N$27,IF(BP$2+$F16&lt;=24,2,3),FALSE)),$C$3)*(1+Projection!BW$16)*(1+IF(BP148&gt;0,'Attrition Modeling'!$N$9,0)))</f>
        <v>0</v>
      </c>
      <c r="BQ16" s="799">
        <f>(BP16+BQ148)*(1-IFERROR(IF(BQ$2+$F16&lt;=12,SUMIFS('Attrition Modeling'!$D:$D,'Attrition Modeling'!$B:$B,'IP Attrition'!$D16,'Attrition Modeling'!$C:$C,'IP Attrition'!BQ$1),VLOOKUP($F16+BQ$2,$A$6:$C$106,2,FALSE)*VLOOKUP(BQ$1,'Attrition Modeling'!$L$15:$N$27,IF(BQ$2+$F16&lt;=24,2,3),FALSE)),$C$3)*(1+Projection!BX$16)*(1+IF(BQ148&gt;0,'Attrition Modeling'!$N$9,0)))</f>
        <v>0</v>
      </c>
      <c r="BR16" s="799">
        <f>(BQ16+BR148)*(1-IFERROR(IF(BR$2+$F16&lt;=12,SUMIFS('Attrition Modeling'!$D:$D,'Attrition Modeling'!$B:$B,'IP Attrition'!$D16,'Attrition Modeling'!$C:$C,'IP Attrition'!BR$1),VLOOKUP($F16+BR$2,$A$6:$C$106,2,FALSE)*VLOOKUP(BR$1,'Attrition Modeling'!$L$15:$N$27,IF(BR$2+$F16&lt;=24,2,3),FALSE)),$C$3)*(1+Projection!BY$16)*(1+IF(BR148&gt;0,'Attrition Modeling'!$N$9,0)))</f>
        <v>0</v>
      </c>
      <c r="BS16" s="799">
        <f>(BR16+BS148)*(1-IFERROR(IF(BS$2+$F16&lt;=12,SUMIFS('Attrition Modeling'!$D:$D,'Attrition Modeling'!$B:$B,'IP Attrition'!$D16,'Attrition Modeling'!$C:$C,'IP Attrition'!BS$1),VLOOKUP($F16+BS$2,$A$6:$C$106,2,FALSE)*VLOOKUP(BS$1,'Attrition Modeling'!$L$15:$N$27,IF(BS$2+$F16&lt;=24,2,3),FALSE)),$C$3)*(1+Projection!BZ$16)*(1+IF(BS148&gt;0,'Attrition Modeling'!$N$9,0)))</f>
        <v>0</v>
      </c>
      <c r="BT16" s="799" t="e">
        <f>(BS16+BT148)*(1-IFERROR(IF(BT$2+$F16&lt;=12,SUMIFS('Attrition Modeling'!$D:$D,'Attrition Modeling'!$B:$B,'IP Attrition'!$D16,'Attrition Modeling'!$C:$C,'IP Attrition'!BT$1),VLOOKUP($F16+BT$2,$A$6:$C$106,2,FALSE)*VLOOKUP(BT$1,'Attrition Modeling'!$L$15:$N$27,IF(BT$2+$F16&lt;=24,2,3),FALSE)),$C$3)*(1+Projection!CA$16)*(1+IF(BT148&gt;0,'Attrition Modeling'!$N$9,0)))</f>
        <v>#REF!</v>
      </c>
      <c r="BU16" s="799" t="e">
        <f>(BT16+BU148)*(1-IFERROR(IF(BU$2+$F16&lt;=12,SUMIFS('Attrition Modeling'!$D:$D,'Attrition Modeling'!$B:$B,'IP Attrition'!$D16,'Attrition Modeling'!$C:$C,'IP Attrition'!BU$1),VLOOKUP($F16+BU$2,$A$6:$C$106,2,FALSE)*VLOOKUP(BU$1,'Attrition Modeling'!$L$15:$N$27,IF(BU$2+$F16&lt;=24,2,3),FALSE)),$C$3)*(1+Projection!CB$16)*(1+IF(BU148&gt;0,'Attrition Modeling'!$N$9,0)))</f>
        <v>#REF!</v>
      </c>
    </row>
    <row r="17" spans="1:73" ht="14.25" customHeight="1" x14ac:dyDescent="0.2">
      <c r="A17" s="9">
        <v>10</v>
      </c>
      <c r="B17" s="25" t="e">
        <f>MAX('Attrition Modeling'!H14,$C$3)*(1-Summary!$C$20)</f>
        <v>#DIV/0!</v>
      </c>
      <c r="C17" s="24" t="e">
        <f t="shared" si="3"/>
        <v>#DIV/0!</v>
      </c>
      <c r="D17" s="11">
        <f t="shared" si="1"/>
        <v>-14</v>
      </c>
      <c r="E17" s="807">
        <f t="array" ref="E17">INDEX('Attrition Modeling'!$X$2:$AF$63,MATCH($F17,'Attrition Modeling'!$X$2:$X$63,0),MATCH(Inputs!$C$10,'Attrition Modeling'!$X$2:$AF$2,0))</f>
        <v>0</v>
      </c>
      <c r="F17" s="11">
        <f t="shared" si="2"/>
        <v>14</v>
      </c>
      <c r="G17" s="799">
        <f>Summary!$C$25*$E17</f>
        <v>0</v>
      </c>
      <c r="H17" s="799">
        <f>(G17+H149)*(1-IFERROR(IF(H$2+$F17&lt;=12,SUMIFS('Attrition Modeling'!$D:$D,'Attrition Modeling'!$B:$B,'IP Attrition'!$D17,'Attrition Modeling'!$C:$C,'IP Attrition'!H$1),VLOOKUP($F17+H$2,$A$6:$C$106,2,FALSE)*VLOOKUP(H$1,'Attrition Modeling'!$L$15:$N$27,IF(H$2+$F17&lt;=24,2,3),FALSE)),$C$3)*(1+Projection!J$16)*(1+IF(H149&gt;0,'Attrition Modeling'!$N$9,0)))</f>
        <v>0</v>
      </c>
      <c r="I17" s="799">
        <f>(H17+I149)*(1-IFERROR(IF(I$2+$F17&lt;=12,SUMIFS('Attrition Modeling'!$D:$D,'Attrition Modeling'!$B:$B,'IP Attrition'!$D17,'Attrition Modeling'!$C:$C,'IP Attrition'!I$1),VLOOKUP($F17+I$2,$A$6:$C$106,2,FALSE)*VLOOKUP(I$1,'Attrition Modeling'!$L$15:$N$27,IF(I$2+$F17&lt;=24,2,3),FALSE)),$C$3)*(1+Projection!K$16)*(1+IF(I149&gt;0,'Attrition Modeling'!$N$9,0)))</f>
        <v>0</v>
      </c>
      <c r="J17" s="799">
        <f>(I17+J149)*(1-IFERROR(IF(J$2+$F17&lt;=12,SUMIFS('Attrition Modeling'!$D:$D,'Attrition Modeling'!$B:$B,'IP Attrition'!$D17,'Attrition Modeling'!$C:$C,'IP Attrition'!J$1),VLOOKUP($F17+J$2,$A$6:$C$106,2,FALSE)*VLOOKUP(J$1,'Attrition Modeling'!$L$15:$N$27,IF(J$2+$F17&lt;=24,2,3),FALSE)),$C$3)*(1+Projection!L$16)*(1+IF(J149&gt;0,'Attrition Modeling'!$N$9,0)))</f>
        <v>0</v>
      </c>
      <c r="K17" s="799">
        <f>(J17+K149)*(1-IFERROR(IF(K$2+$F17&lt;=12,SUMIFS('Attrition Modeling'!$D:$D,'Attrition Modeling'!$B:$B,'IP Attrition'!$D17,'Attrition Modeling'!$C:$C,'IP Attrition'!K$1),VLOOKUP($F17+K$2,$A$6:$C$106,2,FALSE)*VLOOKUP(K$1,'Attrition Modeling'!$L$15:$N$27,IF(K$2+$F17&lt;=24,2,3),FALSE)),$C$3)*(1+Projection!M$16)*(1+IF(K149&gt;0,'Attrition Modeling'!$N$9,0)))</f>
        <v>0</v>
      </c>
      <c r="L17" s="799">
        <f>(K17+L149)*(1-IFERROR(IF(L$2+$F17&lt;=12,SUMIFS('Attrition Modeling'!$D:$D,'Attrition Modeling'!$B:$B,'IP Attrition'!$D17,'Attrition Modeling'!$C:$C,'IP Attrition'!L$1),VLOOKUP($F17+L$2,$A$6:$C$106,2,FALSE)*VLOOKUP(L$1,'Attrition Modeling'!$L$15:$N$27,IF(L$2+$F17&lt;=24,2,3),FALSE)),$C$3)*(1+Projection!N$16)*(1+IF(L149&gt;0,'Attrition Modeling'!$N$9,0)))</f>
        <v>0</v>
      </c>
      <c r="M17" s="799">
        <f>(L17+M149)*(1-IFERROR(IF(M$2+$F17&lt;=12,SUMIFS('Attrition Modeling'!$D:$D,'Attrition Modeling'!$B:$B,'IP Attrition'!$D17,'Attrition Modeling'!$C:$C,'IP Attrition'!M$1),VLOOKUP($F17+M$2,$A$6:$C$106,2,FALSE)*VLOOKUP(M$1,'Attrition Modeling'!$L$15:$N$27,IF(M$2+$F17&lt;=24,2,3),FALSE)),$C$3)*(1+Projection!O$16)*(1+IF(M149&gt;0,'Attrition Modeling'!$N$9,0)))</f>
        <v>0</v>
      </c>
      <c r="N17" s="799">
        <f>(M17+N149)*(1-IFERROR(IF(N$2+$F17&lt;=12,SUMIFS('Attrition Modeling'!$D:$D,'Attrition Modeling'!$B:$B,'IP Attrition'!$D17,'Attrition Modeling'!$C:$C,'IP Attrition'!N$1),VLOOKUP($F17+N$2,$A$6:$C$106,2,FALSE)*VLOOKUP(N$1,'Attrition Modeling'!$L$15:$N$27,IF(N$2+$F17&lt;=24,2,3),FALSE)),$C$3)*(1+Projection!P$16)*(1+IF(N149&gt;0,'Attrition Modeling'!$N$9,0)))</f>
        <v>0</v>
      </c>
      <c r="O17" s="799">
        <f>(N17+O149)*(1-IFERROR(IF(O$2+$F17&lt;=12,SUMIFS('Attrition Modeling'!$D:$D,'Attrition Modeling'!$B:$B,'IP Attrition'!$D17,'Attrition Modeling'!$C:$C,'IP Attrition'!O$1),VLOOKUP($F17+O$2,$A$6:$C$106,2,FALSE)*VLOOKUP(O$1,'Attrition Modeling'!$L$15:$N$27,IF(O$2+$F17&lt;=24,2,3),FALSE)),$C$3)*(1+Projection!Q$16)*(1+IF(O149&gt;0,'Attrition Modeling'!$N$9,0)))</f>
        <v>0</v>
      </c>
      <c r="P17" s="799">
        <f>(O17+P149)*(1-IFERROR(IF(P$2+$F17&lt;=12,SUMIFS('Attrition Modeling'!$D:$D,'Attrition Modeling'!$B:$B,'IP Attrition'!$D17,'Attrition Modeling'!$C:$C,'IP Attrition'!P$1),VLOOKUP($F17+P$2,$A$6:$C$106,2,FALSE)*VLOOKUP(P$1,'Attrition Modeling'!$L$15:$N$27,IF(P$2+$F17&lt;=24,2,3),FALSE)),$C$3)*(1+Projection!R$16)*(1+IF(P149&gt;0,'Attrition Modeling'!$N$9,0)))</f>
        <v>0</v>
      </c>
      <c r="Q17" s="799">
        <f>(P17+Q149)*(1-IFERROR(IF(Q$2+$F17&lt;=12,SUMIFS('Attrition Modeling'!$D:$D,'Attrition Modeling'!$B:$B,'IP Attrition'!$D17,'Attrition Modeling'!$C:$C,'IP Attrition'!Q$1),VLOOKUP($F17+Q$2,$A$6:$C$106,2,FALSE)*VLOOKUP(Q$1,'Attrition Modeling'!$L$15:$N$27,IF(Q$2+$F17&lt;=24,2,3),FALSE)),$C$3)*(1+Projection!S$16)*(1+IF(Q149&gt;0,'Attrition Modeling'!$N$9,0)))</f>
        <v>0</v>
      </c>
      <c r="R17" s="799">
        <f>(Q17+R149)*(1-IFERROR(IF(R$2+$F17&lt;=12,SUMIFS('Attrition Modeling'!$D:$D,'Attrition Modeling'!$B:$B,'IP Attrition'!$D17,'Attrition Modeling'!$C:$C,'IP Attrition'!R$1),VLOOKUP($F17+R$2,$A$6:$C$106,2,FALSE)*VLOOKUP(R$1,'Attrition Modeling'!$L$15:$N$27,IF(R$2+$F17&lt;=24,2,3),FALSE)),$C$3)*(1+Projection!T$16)*(1+IF(R149&gt;0,'Attrition Modeling'!$N$9,0)))</f>
        <v>0</v>
      </c>
      <c r="S17" s="799">
        <f>(R17+S149)*(1-IFERROR(IF(S$2+$F17&lt;=12,SUMIFS('Attrition Modeling'!$D:$D,'Attrition Modeling'!$B:$B,'IP Attrition'!$D17,'Attrition Modeling'!$C:$C,'IP Attrition'!S$1),VLOOKUP($F17+S$2,$A$6:$C$106,2,FALSE)*VLOOKUP(S$1,'Attrition Modeling'!$L$15:$N$27,IF(S$2+$F17&lt;=24,2,3),FALSE)),$C$3)*(1+Projection!U$16)*(1+IF(S149&gt;0,'Attrition Modeling'!$N$9,0)))</f>
        <v>0</v>
      </c>
      <c r="T17" s="799">
        <f>(S17+T149)*(1-IFERROR(IF(T$2+$F17&lt;=12,SUMIFS('Attrition Modeling'!$D:$D,'Attrition Modeling'!$B:$B,'IP Attrition'!$D17,'Attrition Modeling'!$C:$C,'IP Attrition'!T$1),VLOOKUP($F17+T$2,$A$6:$C$106,2,FALSE)*VLOOKUP(T$1,'Attrition Modeling'!$L$15:$N$27,IF(T$2+$F17&lt;=24,2,3),FALSE)),$C$3)*(1+Projection!V$16)*(1+IF(T149&gt;0,'Attrition Modeling'!$N$9,0)))</f>
        <v>0</v>
      </c>
      <c r="U17" s="799">
        <f>(T17+U149)*(1-IFERROR(IF(U$2+$F17&lt;=12,SUMIFS('Attrition Modeling'!$D:$D,'Attrition Modeling'!$B:$B,'IP Attrition'!$D17,'Attrition Modeling'!$C:$C,'IP Attrition'!U$1),VLOOKUP($F17+U$2,$A$6:$C$106,2,FALSE)*VLOOKUP(U$1,'Attrition Modeling'!$L$15:$N$27,IF(U$2+$F17&lt;=24,2,3),FALSE)),$C$3)*(1+Projection!W$16)*(1+IF(U149&gt;0,'Attrition Modeling'!$N$9,0)))</f>
        <v>0</v>
      </c>
      <c r="V17" s="799">
        <f>(U17+V149)*(1-IFERROR(IF(V$2+$F17&lt;=12,SUMIFS('Attrition Modeling'!$D:$D,'Attrition Modeling'!$B:$B,'IP Attrition'!$D17,'Attrition Modeling'!$C:$C,'IP Attrition'!V$1),VLOOKUP($F17+V$2,$A$6:$C$106,2,FALSE)*VLOOKUP(V$1,'Attrition Modeling'!$L$15:$N$27,IF(V$2+$F17&lt;=24,2,3),FALSE)),$C$3)*(1+Projection!X$16)*(1+IF(V149&gt;0,'Attrition Modeling'!$N$9,0)))</f>
        <v>0</v>
      </c>
      <c r="W17" s="799">
        <f>(V17+W149)*(1-IFERROR(IF(W$2+$F17&lt;=12,SUMIFS('Attrition Modeling'!$D:$D,'Attrition Modeling'!$B:$B,'IP Attrition'!$D17,'Attrition Modeling'!$C:$C,'IP Attrition'!W$1),VLOOKUP($F17+W$2,$A$6:$C$106,2,FALSE)*VLOOKUP(W$1,'Attrition Modeling'!$L$15:$N$27,IF(W$2+$F17&lt;=24,2,3),FALSE)),$C$3)*(1+Projection!Y$16)*(1+IF(W149&gt;0,'Attrition Modeling'!$N$9,0)))</f>
        <v>0</v>
      </c>
      <c r="X17" s="799">
        <f>(W17+X149)*(1-IFERROR(IF(X$2+$F17&lt;=12,SUMIFS('Attrition Modeling'!$D:$D,'Attrition Modeling'!$B:$B,'IP Attrition'!$D17,'Attrition Modeling'!$C:$C,'IP Attrition'!X$1),VLOOKUP($F17+X$2,$A$6:$C$106,2,FALSE)*VLOOKUP(X$1,'Attrition Modeling'!$L$15:$N$27,IF(X$2+$F17&lt;=24,2,3),FALSE)),$C$3)*(1+Projection!Z$16)*(1+IF(X149&gt;0,'Attrition Modeling'!$N$9,0)))</f>
        <v>0</v>
      </c>
      <c r="Y17" s="799">
        <f>(X17+Y149)*(1-IFERROR(IF(Y$2+$F17&lt;=12,SUMIFS('Attrition Modeling'!$D:$D,'Attrition Modeling'!$B:$B,'IP Attrition'!$D17,'Attrition Modeling'!$C:$C,'IP Attrition'!Y$1),VLOOKUP($F17+Y$2,$A$6:$C$106,2,FALSE)*VLOOKUP(Y$1,'Attrition Modeling'!$L$15:$N$27,IF(Y$2+$F17&lt;=24,2,3),FALSE)),$C$3)*(1+Projection!AA$16)*(1+IF(Y149&gt;0,'Attrition Modeling'!$N$9,0)))</f>
        <v>0</v>
      </c>
      <c r="Z17" s="799">
        <f>(Y17+Z149)*(1-IFERROR(IF(Z$2+$F17&lt;=12,SUMIFS('Attrition Modeling'!$D:$D,'Attrition Modeling'!$B:$B,'IP Attrition'!$D17,'Attrition Modeling'!$C:$C,'IP Attrition'!Z$1),VLOOKUP($F17+Z$2,$A$6:$C$106,2,FALSE)*VLOOKUP(Z$1,'Attrition Modeling'!$L$15:$N$27,IF(Z$2+$F17&lt;=24,2,3),FALSE)),$C$3)*(1+Projection!AB$16)*(1+IF(Z149&gt;0,'Attrition Modeling'!$N$9,0)))</f>
        <v>0</v>
      </c>
      <c r="AA17" s="799">
        <f>(Z17+AA149)*(1-IFERROR(IF(AA$2+$F17&lt;=12,SUMIFS('Attrition Modeling'!$D:$D,'Attrition Modeling'!$B:$B,'IP Attrition'!$D17,'Attrition Modeling'!$C:$C,'IP Attrition'!AA$1),VLOOKUP($F17+AA$2,$A$6:$C$106,2,FALSE)*VLOOKUP(AA$1,'Attrition Modeling'!$L$15:$N$27,IF(AA$2+$F17&lt;=24,2,3),FALSE)),$C$3)*(1+Projection!AC$16)*(1+IF(AA149&gt;0,'Attrition Modeling'!$N$9,0)))</f>
        <v>0</v>
      </c>
      <c r="AB17" s="799">
        <f>(AA17+AB149)*(1-IFERROR(IF(AB$2+$F17&lt;=12,SUMIFS('Attrition Modeling'!$D:$D,'Attrition Modeling'!$B:$B,'IP Attrition'!$D17,'Attrition Modeling'!$C:$C,'IP Attrition'!AB$1),VLOOKUP($F17+AB$2,$A$6:$C$106,2,FALSE)*VLOOKUP(AB$1,'Attrition Modeling'!$L$15:$N$27,IF(AB$2+$F17&lt;=24,2,3),FALSE)),$C$3)*(1+Projection!AD$16)*(1+IF(AB149&gt;0,'Attrition Modeling'!$N$9,0)))</f>
        <v>0</v>
      </c>
      <c r="AC17" s="799">
        <f>(AB17+AC149)*(1-IFERROR(IF(AC$2+$F17&lt;=12,SUMIFS('Attrition Modeling'!$D:$D,'Attrition Modeling'!$B:$B,'IP Attrition'!$D17,'Attrition Modeling'!$C:$C,'IP Attrition'!AC$1),VLOOKUP($F17+AC$2,$A$6:$C$106,2,FALSE)*VLOOKUP(AC$1,'Attrition Modeling'!$L$15:$N$27,IF(AC$2+$F17&lt;=24,2,3),FALSE)),$C$3)*(1+Projection!AE$16)*(1+IF(AC149&gt;0,'Attrition Modeling'!$N$9,0)))</f>
        <v>0</v>
      </c>
      <c r="AD17" s="799">
        <f>(AC17+AD149)*(1-IFERROR(IF(AD$2+$F17&lt;=12,SUMIFS('Attrition Modeling'!$D:$D,'Attrition Modeling'!$B:$B,'IP Attrition'!$D17,'Attrition Modeling'!$C:$C,'IP Attrition'!AD$1),VLOOKUP($F17+AD$2,$A$6:$C$106,2,FALSE)*VLOOKUP(AD$1,'Attrition Modeling'!$L$15:$N$27,IF(AD$2+$F17&lt;=24,2,3),FALSE)),$C$3)*(1+Projection!AF$16)*(1+IF(AD149&gt;0,'Attrition Modeling'!$N$9,0)))</f>
        <v>0</v>
      </c>
      <c r="AE17" s="799">
        <f>(AD17+AE149)*(1-IFERROR(IF(AE$2+$F17&lt;=12,SUMIFS('Attrition Modeling'!$D:$D,'Attrition Modeling'!$B:$B,'IP Attrition'!$D17,'Attrition Modeling'!$C:$C,'IP Attrition'!AE$1),VLOOKUP($F17+AE$2,$A$6:$C$106,2,FALSE)*VLOOKUP(AE$1,'Attrition Modeling'!$L$15:$N$27,IF(AE$2+$F17&lt;=24,2,3),FALSE)),$C$3)*(1+Projection!AG$16)*(1+IF(AE149&gt;0,'Attrition Modeling'!$N$9,0)))</f>
        <v>0</v>
      </c>
      <c r="AF17" s="799">
        <f>(AE17+AF149)*(1-IFERROR(IF(AF$2+$F17&lt;=12,SUMIFS('Attrition Modeling'!$D:$D,'Attrition Modeling'!$B:$B,'IP Attrition'!$D17,'Attrition Modeling'!$C:$C,'IP Attrition'!AF$1),VLOOKUP($F17+AF$2,$A$6:$C$106,2,FALSE)*VLOOKUP(AF$1,'Attrition Modeling'!$L$15:$N$27,IF(AF$2+$F17&lt;=24,2,3),FALSE)),$C$3)*(1+Projection!AH$16)*(1+IF(AF149&gt;0,'Attrition Modeling'!$N$9,0)))</f>
        <v>0</v>
      </c>
      <c r="AG17" s="799">
        <f>(AF17+AG149)*(1-IFERROR(IF(AG$2+$F17&lt;=12,SUMIFS('Attrition Modeling'!$D:$D,'Attrition Modeling'!$B:$B,'IP Attrition'!$D17,'Attrition Modeling'!$C:$C,'IP Attrition'!AG$1),VLOOKUP($F17+AG$2,$A$6:$C$106,2,FALSE)*VLOOKUP(AG$1,'Attrition Modeling'!$L$15:$N$27,IF(AG$2+$F17&lt;=24,2,3),FALSE)),$C$3)*(1+Projection!AI$16)*(1+IF(AG149&gt;0,'Attrition Modeling'!$N$9,0)))</f>
        <v>0</v>
      </c>
      <c r="AH17" s="799">
        <f>(AG17+AH149)*(1-IFERROR(IF(AH$2+$F17&lt;=12,SUMIFS('Attrition Modeling'!$D:$D,'Attrition Modeling'!$B:$B,'IP Attrition'!$D17,'Attrition Modeling'!$C:$C,'IP Attrition'!AH$1),VLOOKUP($F17+AH$2,$A$6:$C$106,2,FALSE)*VLOOKUP(AH$1,'Attrition Modeling'!$L$15:$N$27,IF(AH$2+$F17&lt;=24,2,3),FALSE)),$C$3)*(1+Projection!AJ$16)*(1+IF(AH149&gt;0,'Attrition Modeling'!$N$9,0)))</f>
        <v>0</v>
      </c>
      <c r="AI17" s="799">
        <f>(AH17+AI149)*(1-IFERROR(IF(AI$2+$F17&lt;=12,SUMIFS('Attrition Modeling'!$D:$D,'Attrition Modeling'!$B:$B,'IP Attrition'!$D17,'Attrition Modeling'!$C:$C,'IP Attrition'!AI$1),VLOOKUP($F17+AI$2,$A$6:$C$106,2,FALSE)*VLOOKUP(AI$1,'Attrition Modeling'!$L$15:$N$27,IF(AI$2+$F17&lt;=24,2,3),FALSE)),$C$3)*(1+Projection!AK$16)*(1+IF(AI149&gt;0,'Attrition Modeling'!$N$9,0)))</f>
        <v>0</v>
      </c>
      <c r="AJ17" s="799">
        <f>(AI17+AJ149)*(1-IFERROR(IF(AJ$2+$F17&lt;=12,SUMIFS('Attrition Modeling'!$D:$D,'Attrition Modeling'!$B:$B,'IP Attrition'!$D17,'Attrition Modeling'!$C:$C,'IP Attrition'!AJ$1),VLOOKUP($F17+AJ$2,$A$6:$C$106,2,FALSE)*VLOOKUP(AJ$1,'Attrition Modeling'!$L$15:$N$27,IF(AJ$2+$F17&lt;=24,2,3),FALSE)),$C$3)*(1+Projection!AL$16)*(1+IF(AJ149&gt;0,'Attrition Modeling'!$N$9,0)))</f>
        <v>0</v>
      </c>
      <c r="AK17" s="799">
        <f>(AJ17+AK149)*(1-IFERROR(IF(AK$2+$F17&lt;=12,SUMIFS('Attrition Modeling'!$D:$D,'Attrition Modeling'!$B:$B,'IP Attrition'!$D17,'Attrition Modeling'!$C:$C,'IP Attrition'!AK$1),VLOOKUP($F17+AK$2,$A$6:$C$106,2,FALSE)*VLOOKUP(AK$1,'Attrition Modeling'!$L$15:$N$27,IF(AK$2+$F17&lt;=24,2,3),FALSE)),$C$3)*(1+Projection!AM$16)*(1+IF(AK149&gt;0,'Attrition Modeling'!$N$9,0)))</f>
        <v>0</v>
      </c>
      <c r="AL17" s="799">
        <f>(AK17+AL149)*(1-IFERROR(IF(AL$2+$F17&lt;=12,SUMIFS('Attrition Modeling'!$D:$D,'Attrition Modeling'!$B:$B,'IP Attrition'!$D17,'Attrition Modeling'!$C:$C,'IP Attrition'!AL$1),VLOOKUP($F17+AL$2,$A$6:$C$106,2,FALSE)*VLOOKUP(AL$1,'Attrition Modeling'!$L$15:$N$27,IF(AL$2+$F17&lt;=24,2,3),FALSE)),$C$3)*(1+Projection!AN$16)*(1+IF(AL149&gt;0,'Attrition Modeling'!$N$9,0)))</f>
        <v>0</v>
      </c>
      <c r="AM17" s="799">
        <f>(AL17+AM149)*(1-IFERROR(IF(AM$2+$F17&lt;=12,SUMIFS('Attrition Modeling'!$D:$D,'Attrition Modeling'!$B:$B,'IP Attrition'!$D17,'Attrition Modeling'!$C:$C,'IP Attrition'!AM$1),VLOOKUP($F17+AM$2,$A$6:$C$106,2,FALSE)*VLOOKUP(AM$1,'Attrition Modeling'!$L$15:$N$27,IF(AM$2+$F17&lt;=24,2,3),FALSE)),$C$3)*(1+Projection!AO$16)*(1+IF(AM149&gt;0,'Attrition Modeling'!$N$9,0)))</f>
        <v>0</v>
      </c>
      <c r="AN17" s="799">
        <f>(AM17+AN149)*(1-IFERROR(IF(AN$2+$F17&lt;=12,SUMIFS('Attrition Modeling'!$D:$D,'Attrition Modeling'!$B:$B,'IP Attrition'!$D17,'Attrition Modeling'!$C:$C,'IP Attrition'!AN$1),VLOOKUP($F17+AN$2,$A$6:$C$106,2,FALSE)*VLOOKUP(AN$1,'Attrition Modeling'!$L$15:$N$27,IF(AN$2+$F17&lt;=24,2,3),FALSE)),$C$3)*(1+Projection!AP$16)*(1+IF(AN149&gt;0,'Attrition Modeling'!$N$9,0)))</f>
        <v>0</v>
      </c>
      <c r="AO17" s="799">
        <f>(AN17+AO149)*(1-IFERROR(IF(AO$2+$F17&lt;=12,SUMIFS('Attrition Modeling'!$D:$D,'Attrition Modeling'!$B:$B,'IP Attrition'!$D17,'Attrition Modeling'!$C:$C,'IP Attrition'!AO$1),VLOOKUP($F17+AO$2,$A$6:$C$106,2,FALSE)*VLOOKUP(AO$1,'Attrition Modeling'!$L$15:$N$27,IF(AO$2+$F17&lt;=24,2,3),FALSE)),$C$3)*(1+Projection!AQ$16)*(1+IF(AO149&gt;0,'Attrition Modeling'!$N$9,0)))</f>
        <v>0</v>
      </c>
      <c r="AP17" s="799">
        <f>(AO17+AP149)*(1-IFERROR(IF(AP$2+$F17&lt;=12,SUMIFS('Attrition Modeling'!$D:$D,'Attrition Modeling'!$B:$B,'IP Attrition'!$D17,'Attrition Modeling'!$C:$C,'IP Attrition'!AP$1),VLOOKUP($F17+AP$2,$A$6:$C$106,2,FALSE)*VLOOKUP(AP$1,'Attrition Modeling'!$L$15:$N$27,IF(AP$2+$F17&lt;=24,2,3),FALSE)),$C$3)*(1+Projection!AR$16)*(1+IF(AP149&gt;0,'Attrition Modeling'!$N$9,0)))</f>
        <v>0</v>
      </c>
      <c r="AQ17" s="799">
        <f>(AP17+AQ149)*(1-IFERROR(IF(AQ$2+$F17&lt;=12,SUMIFS('Attrition Modeling'!$D:$D,'Attrition Modeling'!$B:$B,'IP Attrition'!$D17,'Attrition Modeling'!$C:$C,'IP Attrition'!AQ$1),VLOOKUP($F17+AQ$2,$A$6:$C$106,2,FALSE)*VLOOKUP(AQ$1,'Attrition Modeling'!$L$15:$N$27,IF(AQ$2+$F17&lt;=24,2,3),FALSE)),$C$3)*(1+Projection!AS$16)*(1+IF(AQ149&gt;0,'Attrition Modeling'!$N$9,0)))</f>
        <v>0</v>
      </c>
      <c r="AR17" s="799">
        <f>(AQ17+AR149)*(1-IFERROR(IF(AR$2+$F17&lt;=12,SUMIFS('Attrition Modeling'!$D:$D,'Attrition Modeling'!$B:$B,'IP Attrition'!$D17,'Attrition Modeling'!$C:$C,'IP Attrition'!AR$1),VLOOKUP($F17+AR$2,$A$6:$C$106,2,FALSE)*VLOOKUP(AR$1,'Attrition Modeling'!$L$15:$N$27,IF(AR$2+$F17&lt;=24,2,3),FALSE)),$C$3)*(1+Projection!AT$16)*(1+IF(AR149&gt;0,'Attrition Modeling'!$N$9,0)))</f>
        <v>0</v>
      </c>
      <c r="AS17" s="799">
        <f>(AR17+AS149)*(1-IFERROR(IF(AS$2+$F17&lt;=12,SUMIFS('Attrition Modeling'!$D:$D,'Attrition Modeling'!$B:$B,'IP Attrition'!$D17,'Attrition Modeling'!$C:$C,'IP Attrition'!AS$1),VLOOKUP($F17+AS$2,$A$6:$C$106,2,FALSE)*VLOOKUP(AS$1,'Attrition Modeling'!$L$15:$N$27,IF(AS$2+$F17&lt;=24,2,3),FALSE)),$C$3)*(1+Projection!AU$16)*(1+IF(AS149&gt;0,'Attrition Modeling'!$N$9,0)))</f>
        <v>0</v>
      </c>
      <c r="AT17" s="799">
        <f>(AS17+AT149)*(1-IFERROR(IF(AT$2+$F17&lt;=12,SUMIFS('Attrition Modeling'!$D:$D,'Attrition Modeling'!$B:$B,'IP Attrition'!$D17,'Attrition Modeling'!$C:$C,'IP Attrition'!AT$1),VLOOKUP($F17+AT$2,$A$6:$C$106,2,FALSE)*VLOOKUP(AT$1,'Attrition Modeling'!$L$15:$N$27,IF(AT$2+$F17&lt;=24,2,3),FALSE)),$C$3)*(1+Projection!AV$16)*(1+IF(AT149&gt;0,'Attrition Modeling'!$N$9,0)))</f>
        <v>0</v>
      </c>
      <c r="AU17" s="799">
        <f>(AT17+AU149)*(1-IFERROR(IF(AU$2+$F17&lt;=12,SUMIFS('Attrition Modeling'!$D:$D,'Attrition Modeling'!$B:$B,'IP Attrition'!$D17,'Attrition Modeling'!$C:$C,'IP Attrition'!AU$1),VLOOKUP($F17+AU$2,$A$6:$C$106,2,FALSE)*VLOOKUP(AU$1,'Attrition Modeling'!$L$15:$N$27,IF(AU$2+$F17&lt;=24,2,3),FALSE)),$C$3)*(1+Projection!AW$16)*(1+IF(AU149&gt;0,'Attrition Modeling'!$N$9,0)))</f>
        <v>0</v>
      </c>
      <c r="AV17" s="799">
        <f>(AU17+AV149)*(1-IFERROR(IF(AV$2+$F17&lt;=12,SUMIFS('Attrition Modeling'!$D:$D,'Attrition Modeling'!$B:$B,'IP Attrition'!$D17,'Attrition Modeling'!$C:$C,'IP Attrition'!AV$1),VLOOKUP($F17+AV$2,$A$6:$C$106,2,FALSE)*VLOOKUP(AV$1,'Attrition Modeling'!$L$15:$N$27,IF(AV$2+$F17&lt;=24,2,3),FALSE)),$C$3)*(1+Projection!AX$16)*(1+IF(AV149&gt;0,'Attrition Modeling'!$N$9,0)))</f>
        <v>0</v>
      </c>
      <c r="AW17" s="799">
        <f>(AV17+AW149)*(1-IFERROR(IF(AW$2+$F17&lt;=12,SUMIFS('Attrition Modeling'!$D:$D,'Attrition Modeling'!$B:$B,'IP Attrition'!$D17,'Attrition Modeling'!$C:$C,'IP Attrition'!AW$1),VLOOKUP($F17+AW$2,$A$6:$C$106,2,FALSE)*VLOOKUP(AW$1,'Attrition Modeling'!$L$15:$N$27,IF(AW$2+$F17&lt;=24,2,3),FALSE)),$C$3)*(1+Projection!AY$16)*(1+IF(AW149&gt;0,'Attrition Modeling'!$N$9,0)))</f>
        <v>0</v>
      </c>
      <c r="AX17" s="799">
        <f>(AW17+AX149)*(1-IFERROR(IF(AX$2+$F17&lt;=12,SUMIFS('Attrition Modeling'!$D:$D,'Attrition Modeling'!$B:$B,'IP Attrition'!$D17,'Attrition Modeling'!$C:$C,'IP Attrition'!AX$1),VLOOKUP($F17+AX$2,$A$6:$C$106,2,FALSE)*VLOOKUP(AX$1,'Attrition Modeling'!$L$15:$N$27,IF(AX$2+$F17&lt;=24,2,3),FALSE)),$C$3)*(1+Projection!AZ$16)*(1+IF(AX149&gt;0,'Attrition Modeling'!$N$9,0)))</f>
        <v>0</v>
      </c>
      <c r="AY17" s="799">
        <f>(AX17+AY149)*(1-IFERROR(IF(AY$2+$F17&lt;=12,SUMIFS('Attrition Modeling'!$D:$D,'Attrition Modeling'!$B:$B,'IP Attrition'!$D17,'Attrition Modeling'!$C:$C,'IP Attrition'!AY$1),VLOOKUP($F17+AY$2,$A$6:$C$106,2,FALSE)*VLOOKUP(AY$1,'Attrition Modeling'!$L$15:$N$27,IF(AY$2+$F17&lt;=24,2,3),FALSE)),$C$3)*(1+Projection!BA$16)*(1+IF(AY149&gt;0,'Attrition Modeling'!$N$9,0)))</f>
        <v>0</v>
      </c>
      <c r="AZ17" s="799">
        <f>(AY17+AZ149)*(1-IFERROR(IF(AZ$2+$F17&lt;=12,SUMIFS('Attrition Modeling'!$D:$D,'Attrition Modeling'!$B:$B,'IP Attrition'!$D17,'Attrition Modeling'!$C:$C,'IP Attrition'!AZ$1),VLOOKUP($F17+AZ$2,$A$6:$C$106,2,FALSE)*VLOOKUP(AZ$1,'Attrition Modeling'!$L$15:$N$27,IF(AZ$2+$F17&lt;=24,2,3),FALSE)),$C$3)*(1+Projection!BB$16)*(1+IF(AZ149&gt;0,'Attrition Modeling'!$N$9,0)))</f>
        <v>0</v>
      </c>
      <c r="BA17" s="799">
        <f>(AZ17+BA149)*(1-IFERROR(IF(BA$2+$F17&lt;=12,SUMIFS('Attrition Modeling'!$D:$D,'Attrition Modeling'!$B:$B,'IP Attrition'!$D17,'Attrition Modeling'!$C:$C,'IP Attrition'!BA$1),VLOOKUP($F17+BA$2,$A$6:$C$106,2,FALSE)*VLOOKUP(BA$1,'Attrition Modeling'!$L$15:$N$27,IF(BA$2+$F17&lt;=24,2,3),FALSE)),$C$3)*(1+Projection!BC$16)*(1+IF(BA149&gt;0,'Attrition Modeling'!$N$9,0)))</f>
        <v>0</v>
      </c>
      <c r="BB17" s="799">
        <f>(BA17+BB149)*(1-IFERROR(IF(BB$2+$F17&lt;=12,SUMIFS('Attrition Modeling'!$D:$D,'Attrition Modeling'!$B:$B,'IP Attrition'!$D17,'Attrition Modeling'!$C:$C,'IP Attrition'!BB$1),VLOOKUP($F17+BB$2,$A$6:$C$106,2,FALSE)*VLOOKUP(BB$1,'Attrition Modeling'!$L$15:$N$27,IF(BB$2+$F17&lt;=24,2,3),FALSE)),$C$3)*(1+Projection!BD$16)*(1+IF(BB149&gt;0,'Attrition Modeling'!$N$9,0)))</f>
        <v>0</v>
      </c>
      <c r="BC17" s="799">
        <f>(BB17+BC149)*(1-IFERROR(IF(BC$2+$F17&lt;=12,SUMIFS('Attrition Modeling'!$D:$D,'Attrition Modeling'!$B:$B,'IP Attrition'!$D17,'Attrition Modeling'!$C:$C,'IP Attrition'!BC$1),VLOOKUP($F17+BC$2,$A$6:$C$106,2,FALSE)*VLOOKUP(BC$1,'Attrition Modeling'!$L$15:$N$27,IF(BC$2+$F17&lt;=24,2,3),FALSE)),$C$3)*(1+Projection!BE$16)*(1+IF(BC149&gt;0,'Attrition Modeling'!$N$9,0)))</f>
        <v>0</v>
      </c>
      <c r="BD17" s="799">
        <f>(BC17+BD149)*(1-IFERROR(IF(BD$2+$F17&lt;=12,SUMIFS('Attrition Modeling'!$D:$D,'Attrition Modeling'!$B:$B,'IP Attrition'!$D17,'Attrition Modeling'!$C:$C,'IP Attrition'!BD$1),VLOOKUP($F17+BD$2,$A$6:$C$106,2,FALSE)*VLOOKUP(BD$1,'Attrition Modeling'!$L$15:$N$27,IF(BD$2+$F17&lt;=24,2,3),FALSE)),$C$3)*(1+Projection!BF$16)*(1+IF(BD149&gt;0,'Attrition Modeling'!$N$9,0)))</f>
        <v>0</v>
      </c>
      <c r="BE17" s="799">
        <f>(BD17+BE149)*(1-IFERROR(IF(BE$2+$F17&lt;=12,SUMIFS('Attrition Modeling'!$D:$D,'Attrition Modeling'!$B:$B,'IP Attrition'!$D17,'Attrition Modeling'!$C:$C,'IP Attrition'!BE$1),VLOOKUP($F17+BE$2,$A$6:$C$106,2,FALSE)*VLOOKUP(BE$1,'Attrition Modeling'!$L$15:$N$27,IF(BE$2+$F17&lt;=24,2,3),FALSE)),$C$3)*(1+Projection!BG$16)*(1+IF(BE149&gt;0,'Attrition Modeling'!$N$9,0)))</f>
        <v>0</v>
      </c>
      <c r="BF17" s="799">
        <f>(BE17+BF149)*(1-IFERROR(IF(BF$2+$F17&lt;=12,SUMIFS('Attrition Modeling'!$D:$D,'Attrition Modeling'!$B:$B,'IP Attrition'!$D17,'Attrition Modeling'!$C:$C,'IP Attrition'!BF$1),VLOOKUP($F17+BF$2,$A$6:$C$106,2,FALSE)*VLOOKUP(BF$1,'Attrition Modeling'!$L$15:$N$27,IF(BF$2+$F17&lt;=24,2,3),FALSE)),$C$3)*(1+Projection!BH$16)*(1+IF(BF149&gt;0,'Attrition Modeling'!$N$9,0)))</f>
        <v>0</v>
      </c>
      <c r="BG17" s="799">
        <f>(BF17+BG149)*(1-IFERROR(IF(BG$2+$F17&lt;=12,SUMIFS('Attrition Modeling'!$D:$D,'Attrition Modeling'!$B:$B,'IP Attrition'!$D17,'Attrition Modeling'!$C:$C,'IP Attrition'!BG$1),VLOOKUP($F17+BG$2,$A$6:$C$106,2,FALSE)*VLOOKUP(BG$1,'Attrition Modeling'!$L$15:$N$27,IF(BG$2+$F17&lt;=24,2,3),FALSE)),$C$3)*(1+Projection!BI$16)*(1+IF(BG149&gt;0,'Attrition Modeling'!$N$9,0)))</f>
        <v>0</v>
      </c>
      <c r="BH17" s="799">
        <f>(BG17+BH149)*(1-IFERROR(IF(BH$2+$F17&lt;=12,SUMIFS('Attrition Modeling'!$D:$D,'Attrition Modeling'!$B:$B,'IP Attrition'!$D17,'Attrition Modeling'!$C:$C,'IP Attrition'!BH$1),VLOOKUP($F17+BH$2,$A$6:$C$106,2,FALSE)*VLOOKUP(BH$1,'Attrition Modeling'!$L$15:$N$27,IF(BH$2+$F17&lt;=24,2,3),FALSE)),$C$3)*(1+Projection!BJ$16)*(1+IF(BH149&gt;0,'Attrition Modeling'!$N$9,0)))</f>
        <v>0</v>
      </c>
      <c r="BI17" s="799">
        <f>(BH17+BI149)*(1-IFERROR(IF(BI$2+$F17&lt;=12,SUMIFS('Attrition Modeling'!$D:$D,'Attrition Modeling'!$B:$B,'IP Attrition'!$D17,'Attrition Modeling'!$C:$C,'IP Attrition'!BI$1),VLOOKUP($F17+BI$2,$A$6:$C$106,2,FALSE)*VLOOKUP(BI$1,'Attrition Modeling'!$L$15:$N$27,IF(BI$2+$F17&lt;=24,2,3),FALSE)),$C$3)*(1+Projection!BK$16)*(1+IF(BI149&gt;0,'Attrition Modeling'!$N$9,0)))</f>
        <v>0</v>
      </c>
      <c r="BJ17" s="799">
        <f>(BI17+BJ149)*(1-IFERROR(IF(BJ$2+$F17&lt;=12,SUMIFS('Attrition Modeling'!$D:$D,'Attrition Modeling'!$B:$B,'IP Attrition'!$D17,'Attrition Modeling'!$C:$C,'IP Attrition'!BJ$1),VLOOKUP($F17+BJ$2,$A$6:$C$106,2,FALSE)*VLOOKUP(BJ$1,'Attrition Modeling'!$L$15:$N$27,IF(BJ$2+$F17&lt;=24,2,3),FALSE)),$C$3)*(1+Projection!BL$16)*(1+IF(BJ149&gt;0,'Attrition Modeling'!$N$9,0)))</f>
        <v>0</v>
      </c>
      <c r="BK17" s="799">
        <f>(BJ17+BK149)*(1-IFERROR(IF(BK$2+$F17&lt;=12,SUMIFS('Attrition Modeling'!$D:$D,'Attrition Modeling'!$B:$B,'IP Attrition'!$D17,'Attrition Modeling'!$C:$C,'IP Attrition'!BK$1),VLOOKUP($F17+BK$2,$A$6:$C$106,2,FALSE)*VLOOKUP(BK$1,'Attrition Modeling'!$L$15:$N$27,IF(BK$2+$F17&lt;=24,2,3),FALSE)),$C$3)*(1+Projection!BM$16)*(1+IF(BK149&gt;0,'Attrition Modeling'!$N$9,0)))</f>
        <v>0</v>
      </c>
      <c r="BL17" s="799">
        <f>(BK17+BL149)*(1-IFERROR(IF(BL$2+$F17&lt;=12,SUMIFS('Attrition Modeling'!$D:$D,'Attrition Modeling'!$B:$B,'IP Attrition'!$D17,'Attrition Modeling'!$C:$C,'IP Attrition'!BL$1),VLOOKUP($F17+BL$2,$A$6:$C$106,2,FALSE)*VLOOKUP(BL$1,'Attrition Modeling'!$L$15:$N$27,IF(BL$2+$F17&lt;=24,2,3),FALSE)),$C$3)*(1+Projection!BN$16)*(1+IF(BL149&gt;0,'Attrition Modeling'!$N$9,0)))</f>
        <v>0</v>
      </c>
      <c r="BM17" s="799">
        <f>(BL17+BM149)*(1-IFERROR(IF(BM$2+$F17&lt;=12,SUMIFS('Attrition Modeling'!$D:$D,'Attrition Modeling'!$B:$B,'IP Attrition'!$D17,'Attrition Modeling'!$C:$C,'IP Attrition'!BM$1),VLOOKUP($F17+BM$2,$A$6:$C$106,2,FALSE)*VLOOKUP(BM$1,'Attrition Modeling'!$L$15:$N$27,IF(BM$2+$F17&lt;=24,2,3),FALSE)),$C$3)*(1+Projection!BO$16)*(1+IF(BM149&gt;0,'Attrition Modeling'!$N$9,0)))</f>
        <v>0</v>
      </c>
      <c r="BN17" s="799">
        <f>(BM17+BN149)*(1-IFERROR(IF(BN$2+$F17&lt;=12,SUMIFS('Attrition Modeling'!$D:$D,'Attrition Modeling'!$B:$B,'IP Attrition'!$D17,'Attrition Modeling'!$C:$C,'IP Attrition'!BN$1),VLOOKUP($F17+BN$2,$A$6:$C$106,2,FALSE)*VLOOKUP(BN$1,'Attrition Modeling'!$L$15:$N$27,IF(BN$2+$F17&lt;=24,2,3),FALSE)),$C$3)*(1+Projection!BP$16)*(1+IF(BN149&gt;0,'Attrition Modeling'!$N$9,0)))</f>
        <v>0</v>
      </c>
      <c r="BO17" s="799">
        <f>(BN17+BO149)*(1-IFERROR(IF(BO$2+$F17&lt;=12,SUMIFS('Attrition Modeling'!$D:$D,'Attrition Modeling'!$B:$B,'IP Attrition'!$D17,'Attrition Modeling'!$C:$C,'IP Attrition'!BO$1),VLOOKUP($F17+BO$2,$A$6:$C$106,2,FALSE)*VLOOKUP(BO$1,'Attrition Modeling'!$L$15:$N$27,IF(BO$2+$F17&lt;=24,2,3),FALSE)),$C$3)*(1+Projection!BV$16)*(1+IF(BO149&gt;0,'Attrition Modeling'!$N$9,0)))</f>
        <v>0</v>
      </c>
      <c r="BP17" s="799">
        <f>(BO17+BP149)*(1-IFERROR(IF(BP$2+$F17&lt;=12,SUMIFS('Attrition Modeling'!$D:$D,'Attrition Modeling'!$B:$B,'IP Attrition'!$D17,'Attrition Modeling'!$C:$C,'IP Attrition'!BP$1),VLOOKUP($F17+BP$2,$A$6:$C$106,2,FALSE)*VLOOKUP(BP$1,'Attrition Modeling'!$L$15:$N$27,IF(BP$2+$F17&lt;=24,2,3),FALSE)),$C$3)*(1+Projection!BW$16)*(1+IF(BP149&gt;0,'Attrition Modeling'!$N$9,0)))</f>
        <v>0</v>
      </c>
      <c r="BQ17" s="799">
        <f>(BP17+BQ149)*(1-IFERROR(IF(BQ$2+$F17&lt;=12,SUMIFS('Attrition Modeling'!$D:$D,'Attrition Modeling'!$B:$B,'IP Attrition'!$D17,'Attrition Modeling'!$C:$C,'IP Attrition'!BQ$1),VLOOKUP($F17+BQ$2,$A$6:$C$106,2,FALSE)*VLOOKUP(BQ$1,'Attrition Modeling'!$L$15:$N$27,IF(BQ$2+$F17&lt;=24,2,3),FALSE)),$C$3)*(1+Projection!BX$16)*(1+IF(BQ149&gt;0,'Attrition Modeling'!$N$9,0)))</f>
        <v>0</v>
      </c>
      <c r="BR17" s="799">
        <f>(BQ17+BR149)*(1-IFERROR(IF(BR$2+$F17&lt;=12,SUMIFS('Attrition Modeling'!$D:$D,'Attrition Modeling'!$B:$B,'IP Attrition'!$D17,'Attrition Modeling'!$C:$C,'IP Attrition'!BR$1),VLOOKUP($F17+BR$2,$A$6:$C$106,2,FALSE)*VLOOKUP(BR$1,'Attrition Modeling'!$L$15:$N$27,IF(BR$2+$F17&lt;=24,2,3),FALSE)),$C$3)*(1+Projection!BY$16)*(1+IF(BR149&gt;0,'Attrition Modeling'!$N$9,0)))</f>
        <v>0</v>
      </c>
      <c r="BS17" s="799">
        <f>(BR17+BS149)*(1-IFERROR(IF(BS$2+$F17&lt;=12,SUMIFS('Attrition Modeling'!$D:$D,'Attrition Modeling'!$B:$B,'IP Attrition'!$D17,'Attrition Modeling'!$C:$C,'IP Attrition'!BS$1),VLOOKUP($F17+BS$2,$A$6:$C$106,2,FALSE)*VLOOKUP(BS$1,'Attrition Modeling'!$L$15:$N$27,IF(BS$2+$F17&lt;=24,2,3),FALSE)),$C$3)*(1+Projection!BZ$16)*(1+IF(BS149&gt;0,'Attrition Modeling'!$N$9,0)))</f>
        <v>0</v>
      </c>
      <c r="BT17" s="799" t="e">
        <f>(BS17+BT149)*(1-IFERROR(IF(BT$2+$F17&lt;=12,SUMIFS('Attrition Modeling'!$D:$D,'Attrition Modeling'!$B:$B,'IP Attrition'!$D17,'Attrition Modeling'!$C:$C,'IP Attrition'!BT$1),VLOOKUP($F17+BT$2,$A$6:$C$106,2,FALSE)*VLOOKUP(BT$1,'Attrition Modeling'!$L$15:$N$27,IF(BT$2+$F17&lt;=24,2,3),FALSE)),$C$3)*(1+Projection!CA$16)*(1+IF(BT149&gt;0,'Attrition Modeling'!$N$9,0)))</f>
        <v>#REF!</v>
      </c>
      <c r="BU17" s="799" t="e">
        <f>(BT17+BU149)*(1-IFERROR(IF(BU$2+$F17&lt;=12,SUMIFS('Attrition Modeling'!$D:$D,'Attrition Modeling'!$B:$B,'IP Attrition'!$D17,'Attrition Modeling'!$C:$C,'IP Attrition'!BU$1),VLOOKUP($F17+BU$2,$A$6:$C$106,2,FALSE)*VLOOKUP(BU$1,'Attrition Modeling'!$L$15:$N$27,IF(BU$2+$F17&lt;=24,2,3),FALSE)),$C$3)*(1+Projection!CB$16)*(1+IF(BU149&gt;0,'Attrition Modeling'!$N$9,0)))</f>
        <v>#REF!</v>
      </c>
    </row>
    <row r="18" spans="1:73" ht="14.25" customHeight="1" x14ac:dyDescent="0.2">
      <c r="A18" s="9">
        <v>11</v>
      </c>
      <c r="B18" s="25" t="e">
        <f>MAX('Attrition Modeling'!H15,$C$3)*(1-Summary!$C$20)</f>
        <v>#DIV/0!</v>
      </c>
      <c r="C18" s="24" t="e">
        <f t="shared" si="3"/>
        <v>#DIV/0!</v>
      </c>
      <c r="D18" s="11">
        <f t="shared" si="1"/>
        <v>-15</v>
      </c>
      <c r="E18" s="807">
        <f t="array" ref="E18">INDEX('Attrition Modeling'!$X$2:$AF$63,MATCH($F18,'Attrition Modeling'!$X$2:$X$63,0),MATCH(Inputs!$C$10,'Attrition Modeling'!$X$2:$AF$2,0))</f>
        <v>0</v>
      </c>
      <c r="F18" s="11">
        <f t="shared" si="2"/>
        <v>15</v>
      </c>
      <c r="G18" s="799">
        <f>Summary!$C$25*$E18</f>
        <v>0</v>
      </c>
      <c r="H18" s="799">
        <f>(G18+H150)*(1-IFERROR(IF(H$2+$F18&lt;=12,SUMIFS('Attrition Modeling'!$D:$D,'Attrition Modeling'!$B:$B,'IP Attrition'!$D18,'Attrition Modeling'!$C:$C,'IP Attrition'!H$1),VLOOKUP($F18+H$2,$A$6:$C$106,2,FALSE)*VLOOKUP(H$1,'Attrition Modeling'!$L$15:$N$27,IF(H$2+$F18&lt;=24,2,3),FALSE)),$C$3)*(1+Projection!J$16)*(1+IF(H150&gt;0,'Attrition Modeling'!$N$9,0)))</f>
        <v>0</v>
      </c>
      <c r="I18" s="799">
        <f>(H18+I150)*(1-IFERROR(IF(I$2+$F18&lt;=12,SUMIFS('Attrition Modeling'!$D:$D,'Attrition Modeling'!$B:$B,'IP Attrition'!$D18,'Attrition Modeling'!$C:$C,'IP Attrition'!I$1),VLOOKUP($F18+I$2,$A$6:$C$106,2,FALSE)*VLOOKUP(I$1,'Attrition Modeling'!$L$15:$N$27,IF(I$2+$F18&lt;=24,2,3),FALSE)),$C$3)*(1+Projection!K$16)*(1+IF(I150&gt;0,'Attrition Modeling'!$N$9,0)))</f>
        <v>0</v>
      </c>
      <c r="J18" s="799">
        <f>(I18+J150)*(1-IFERROR(IF(J$2+$F18&lt;=12,SUMIFS('Attrition Modeling'!$D:$D,'Attrition Modeling'!$B:$B,'IP Attrition'!$D18,'Attrition Modeling'!$C:$C,'IP Attrition'!J$1),VLOOKUP($F18+J$2,$A$6:$C$106,2,FALSE)*VLOOKUP(J$1,'Attrition Modeling'!$L$15:$N$27,IF(J$2+$F18&lt;=24,2,3),FALSE)),$C$3)*(1+Projection!L$16)*(1+IF(J150&gt;0,'Attrition Modeling'!$N$9,0)))</f>
        <v>0</v>
      </c>
      <c r="K18" s="799">
        <f>(J18+K150)*(1-IFERROR(IF(K$2+$F18&lt;=12,SUMIFS('Attrition Modeling'!$D:$D,'Attrition Modeling'!$B:$B,'IP Attrition'!$D18,'Attrition Modeling'!$C:$C,'IP Attrition'!K$1),VLOOKUP($F18+K$2,$A$6:$C$106,2,FALSE)*VLOOKUP(K$1,'Attrition Modeling'!$L$15:$N$27,IF(K$2+$F18&lt;=24,2,3),FALSE)),$C$3)*(1+Projection!M$16)*(1+IF(K150&gt;0,'Attrition Modeling'!$N$9,0)))</f>
        <v>0</v>
      </c>
      <c r="L18" s="799">
        <f>(K18+L150)*(1-IFERROR(IF(L$2+$F18&lt;=12,SUMIFS('Attrition Modeling'!$D:$D,'Attrition Modeling'!$B:$B,'IP Attrition'!$D18,'Attrition Modeling'!$C:$C,'IP Attrition'!L$1),VLOOKUP($F18+L$2,$A$6:$C$106,2,FALSE)*VLOOKUP(L$1,'Attrition Modeling'!$L$15:$N$27,IF(L$2+$F18&lt;=24,2,3),FALSE)),$C$3)*(1+Projection!N$16)*(1+IF(L150&gt;0,'Attrition Modeling'!$N$9,0)))</f>
        <v>0</v>
      </c>
      <c r="M18" s="799">
        <f>(L18+M150)*(1-IFERROR(IF(M$2+$F18&lt;=12,SUMIFS('Attrition Modeling'!$D:$D,'Attrition Modeling'!$B:$B,'IP Attrition'!$D18,'Attrition Modeling'!$C:$C,'IP Attrition'!M$1),VLOOKUP($F18+M$2,$A$6:$C$106,2,FALSE)*VLOOKUP(M$1,'Attrition Modeling'!$L$15:$N$27,IF(M$2+$F18&lt;=24,2,3),FALSE)),$C$3)*(1+Projection!O$16)*(1+IF(M150&gt;0,'Attrition Modeling'!$N$9,0)))</f>
        <v>0</v>
      </c>
      <c r="N18" s="799">
        <f>(M18+N150)*(1-IFERROR(IF(N$2+$F18&lt;=12,SUMIFS('Attrition Modeling'!$D:$D,'Attrition Modeling'!$B:$B,'IP Attrition'!$D18,'Attrition Modeling'!$C:$C,'IP Attrition'!N$1),VLOOKUP($F18+N$2,$A$6:$C$106,2,FALSE)*VLOOKUP(N$1,'Attrition Modeling'!$L$15:$N$27,IF(N$2+$F18&lt;=24,2,3),FALSE)),$C$3)*(1+Projection!P$16)*(1+IF(N150&gt;0,'Attrition Modeling'!$N$9,0)))</f>
        <v>0</v>
      </c>
      <c r="O18" s="799">
        <f>(N18+O150)*(1-IFERROR(IF(O$2+$F18&lt;=12,SUMIFS('Attrition Modeling'!$D:$D,'Attrition Modeling'!$B:$B,'IP Attrition'!$D18,'Attrition Modeling'!$C:$C,'IP Attrition'!O$1),VLOOKUP($F18+O$2,$A$6:$C$106,2,FALSE)*VLOOKUP(O$1,'Attrition Modeling'!$L$15:$N$27,IF(O$2+$F18&lt;=24,2,3),FALSE)),$C$3)*(1+Projection!Q$16)*(1+IF(O150&gt;0,'Attrition Modeling'!$N$9,0)))</f>
        <v>0</v>
      </c>
      <c r="P18" s="799">
        <f>(O18+P150)*(1-IFERROR(IF(P$2+$F18&lt;=12,SUMIFS('Attrition Modeling'!$D:$D,'Attrition Modeling'!$B:$B,'IP Attrition'!$D18,'Attrition Modeling'!$C:$C,'IP Attrition'!P$1),VLOOKUP($F18+P$2,$A$6:$C$106,2,FALSE)*VLOOKUP(P$1,'Attrition Modeling'!$L$15:$N$27,IF(P$2+$F18&lt;=24,2,3),FALSE)),$C$3)*(1+Projection!R$16)*(1+IF(P150&gt;0,'Attrition Modeling'!$N$9,0)))</f>
        <v>0</v>
      </c>
      <c r="Q18" s="799">
        <f>(P18+Q150)*(1-IFERROR(IF(Q$2+$F18&lt;=12,SUMIFS('Attrition Modeling'!$D:$D,'Attrition Modeling'!$B:$B,'IP Attrition'!$D18,'Attrition Modeling'!$C:$C,'IP Attrition'!Q$1),VLOOKUP($F18+Q$2,$A$6:$C$106,2,FALSE)*VLOOKUP(Q$1,'Attrition Modeling'!$L$15:$N$27,IF(Q$2+$F18&lt;=24,2,3),FALSE)),$C$3)*(1+Projection!S$16)*(1+IF(Q150&gt;0,'Attrition Modeling'!$N$9,0)))</f>
        <v>0</v>
      </c>
      <c r="R18" s="799">
        <f>(Q18+R150)*(1-IFERROR(IF(R$2+$F18&lt;=12,SUMIFS('Attrition Modeling'!$D:$D,'Attrition Modeling'!$B:$B,'IP Attrition'!$D18,'Attrition Modeling'!$C:$C,'IP Attrition'!R$1),VLOOKUP($F18+R$2,$A$6:$C$106,2,FALSE)*VLOOKUP(R$1,'Attrition Modeling'!$L$15:$N$27,IF(R$2+$F18&lt;=24,2,3),FALSE)),$C$3)*(1+Projection!T$16)*(1+IF(R150&gt;0,'Attrition Modeling'!$N$9,0)))</f>
        <v>0</v>
      </c>
      <c r="S18" s="799">
        <f>(R18+S150)*(1-IFERROR(IF(S$2+$F18&lt;=12,SUMIFS('Attrition Modeling'!$D:$D,'Attrition Modeling'!$B:$B,'IP Attrition'!$D18,'Attrition Modeling'!$C:$C,'IP Attrition'!S$1),VLOOKUP($F18+S$2,$A$6:$C$106,2,FALSE)*VLOOKUP(S$1,'Attrition Modeling'!$L$15:$N$27,IF(S$2+$F18&lt;=24,2,3),FALSE)),$C$3)*(1+Projection!U$16)*(1+IF(S150&gt;0,'Attrition Modeling'!$N$9,0)))</f>
        <v>0</v>
      </c>
      <c r="T18" s="799">
        <f>(S18+T150)*(1-IFERROR(IF(T$2+$F18&lt;=12,SUMIFS('Attrition Modeling'!$D:$D,'Attrition Modeling'!$B:$B,'IP Attrition'!$D18,'Attrition Modeling'!$C:$C,'IP Attrition'!T$1),VLOOKUP($F18+T$2,$A$6:$C$106,2,FALSE)*VLOOKUP(T$1,'Attrition Modeling'!$L$15:$N$27,IF(T$2+$F18&lt;=24,2,3),FALSE)),$C$3)*(1+Projection!V$16)*(1+IF(T150&gt;0,'Attrition Modeling'!$N$9,0)))</f>
        <v>0</v>
      </c>
      <c r="U18" s="799">
        <f>(T18+U150)*(1-IFERROR(IF(U$2+$F18&lt;=12,SUMIFS('Attrition Modeling'!$D:$D,'Attrition Modeling'!$B:$B,'IP Attrition'!$D18,'Attrition Modeling'!$C:$C,'IP Attrition'!U$1),VLOOKUP($F18+U$2,$A$6:$C$106,2,FALSE)*VLOOKUP(U$1,'Attrition Modeling'!$L$15:$N$27,IF(U$2+$F18&lt;=24,2,3),FALSE)),$C$3)*(1+Projection!W$16)*(1+IF(U150&gt;0,'Attrition Modeling'!$N$9,0)))</f>
        <v>0</v>
      </c>
      <c r="V18" s="799">
        <f>(U18+V150)*(1-IFERROR(IF(V$2+$F18&lt;=12,SUMIFS('Attrition Modeling'!$D:$D,'Attrition Modeling'!$B:$B,'IP Attrition'!$D18,'Attrition Modeling'!$C:$C,'IP Attrition'!V$1),VLOOKUP($F18+V$2,$A$6:$C$106,2,FALSE)*VLOOKUP(V$1,'Attrition Modeling'!$L$15:$N$27,IF(V$2+$F18&lt;=24,2,3),FALSE)),$C$3)*(1+Projection!X$16)*(1+IF(V150&gt;0,'Attrition Modeling'!$N$9,0)))</f>
        <v>0</v>
      </c>
      <c r="W18" s="799">
        <f>(V18+W150)*(1-IFERROR(IF(W$2+$F18&lt;=12,SUMIFS('Attrition Modeling'!$D:$D,'Attrition Modeling'!$B:$B,'IP Attrition'!$D18,'Attrition Modeling'!$C:$C,'IP Attrition'!W$1),VLOOKUP($F18+W$2,$A$6:$C$106,2,FALSE)*VLOOKUP(W$1,'Attrition Modeling'!$L$15:$N$27,IF(W$2+$F18&lt;=24,2,3),FALSE)),$C$3)*(1+Projection!Y$16)*(1+IF(W150&gt;0,'Attrition Modeling'!$N$9,0)))</f>
        <v>0</v>
      </c>
      <c r="X18" s="799">
        <f>(W18+X150)*(1-IFERROR(IF(X$2+$F18&lt;=12,SUMIFS('Attrition Modeling'!$D:$D,'Attrition Modeling'!$B:$B,'IP Attrition'!$D18,'Attrition Modeling'!$C:$C,'IP Attrition'!X$1),VLOOKUP($F18+X$2,$A$6:$C$106,2,FALSE)*VLOOKUP(X$1,'Attrition Modeling'!$L$15:$N$27,IF(X$2+$F18&lt;=24,2,3),FALSE)),$C$3)*(1+Projection!Z$16)*(1+IF(X150&gt;0,'Attrition Modeling'!$N$9,0)))</f>
        <v>0</v>
      </c>
      <c r="Y18" s="799">
        <f>(X18+Y150)*(1-IFERROR(IF(Y$2+$F18&lt;=12,SUMIFS('Attrition Modeling'!$D:$D,'Attrition Modeling'!$B:$B,'IP Attrition'!$D18,'Attrition Modeling'!$C:$C,'IP Attrition'!Y$1),VLOOKUP($F18+Y$2,$A$6:$C$106,2,FALSE)*VLOOKUP(Y$1,'Attrition Modeling'!$L$15:$N$27,IF(Y$2+$F18&lt;=24,2,3),FALSE)),$C$3)*(1+Projection!AA$16)*(1+IF(Y150&gt;0,'Attrition Modeling'!$N$9,0)))</f>
        <v>0</v>
      </c>
      <c r="Z18" s="799">
        <f>(Y18+Z150)*(1-IFERROR(IF(Z$2+$F18&lt;=12,SUMIFS('Attrition Modeling'!$D:$D,'Attrition Modeling'!$B:$B,'IP Attrition'!$D18,'Attrition Modeling'!$C:$C,'IP Attrition'!Z$1),VLOOKUP($F18+Z$2,$A$6:$C$106,2,FALSE)*VLOOKUP(Z$1,'Attrition Modeling'!$L$15:$N$27,IF(Z$2+$F18&lt;=24,2,3),FALSE)),$C$3)*(1+Projection!AB$16)*(1+IF(Z150&gt;0,'Attrition Modeling'!$N$9,0)))</f>
        <v>0</v>
      </c>
      <c r="AA18" s="799">
        <f>(Z18+AA150)*(1-IFERROR(IF(AA$2+$F18&lt;=12,SUMIFS('Attrition Modeling'!$D:$D,'Attrition Modeling'!$B:$B,'IP Attrition'!$D18,'Attrition Modeling'!$C:$C,'IP Attrition'!AA$1),VLOOKUP($F18+AA$2,$A$6:$C$106,2,FALSE)*VLOOKUP(AA$1,'Attrition Modeling'!$L$15:$N$27,IF(AA$2+$F18&lt;=24,2,3),FALSE)),$C$3)*(1+Projection!AC$16)*(1+IF(AA150&gt;0,'Attrition Modeling'!$N$9,0)))</f>
        <v>0</v>
      </c>
      <c r="AB18" s="799">
        <f>(AA18+AB150)*(1-IFERROR(IF(AB$2+$F18&lt;=12,SUMIFS('Attrition Modeling'!$D:$D,'Attrition Modeling'!$B:$B,'IP Attrition'!$D18,'Attrition Modeling'!$C:$C,'IP Attrition'!AB$1),VLOOKUP($F18+AB$2,$A$6:$C$106,2,FALSE)*VLOOKUP(AB$1,'Attrition Modeling'!$L$15:$N$27,IF(AB$2+$F18&lt;=24,2,3),FALSE)),$C$3)*(1+Projection!AD$16)*(1+IF(AB150&gt;0,'Attrition Modeling'!$N$9,0)))</f>
        <v>0</v>
      </c>
      <c r="AC18" s="799">
        <f>(AB18+AC150)*(1-IFERROR(IF(AC$2+$F18&lt;=12,SUMIFS('Attrition Modeling'!$D:$D,'Attrition Modeling'!$B:$B,'IP Attrition'!$D18,'Attrition Modeling'!$C:$C,'IP Attrition'!AC$1),VLOOKUP($F18+AC$2,$A$6:$C$106,2,FALSE)*VLOOKUP(AC$1,'Attrition Modeling'!$L$15:$N$27,IF(AC$2+$F18&lt;=24,2,3),FALSE)),$C$3)*(1+Projection!AE$16)*(1+IF(AC150&gt;0,'Attrition Modeling'!$N$9,0)))</f>
        <v>0</v>
      </c>
      <c r="AD18" s="799">
        <f>(AC18+AD150)*(1-IFERROR(IF(AD$2+$F18&lt;=12,SUMIFS('Attrition Modeling'!$D:$D,'Attrition Modeling'!$B:$B,'IP Attrition'!$D18,'Attrition Modeling'!$C:$C,'IP Attrition'!AD$1),VLOOKUP($F18+AD$2,$A$6:$C$106,2,FALSE)*VLOOKUP(AD$1,'Attrition Modeling'!$L$15:$N$27,IF(AD$2+$F18&lt;=24,2,3),FALSE)),$C$3)*(1+Projection!AF$16)*(1+IF(AD150&gt;0,'Attrition Modeling'!$N$9,0)))</f>
        <v>0</v>
      </c>
      <c r="AE18" s="799">
        <f>(AD18+AE150)*(1-IFERROR(IF(AE$2+$F18&lt;=12,SUMIFS('Attrition Modeling'!$D:$D,'Attrition Modeling'!$B:$B,'IP Attrition'!$D18,'Attrition Modeling'!$C:$C,'IP Attrition'!AE$1),VLOOKUP($F18+AE$2,$A$6:$C$106,2,FALSE)*VLOOKUP(AE$1,'Attrition Modeling'!$L$15:$N$27,IF(AE$2+$F18&lt;=24,2,3),FALSE)),$C$3)*(1+Projection!AG$16)*(1+IF(AE150&gt;0,'Attrition Modeling'!$N$9,0)))</f>
        <v>0</v>
      </c>
      <c r="AF18" s="799">
        <f>(AE18+AF150)*(1-IFERROR(IF(AF$2+$F18&lt;=12,SUMIFS('Attrition Modeling'!$D:$D,'Attrition Modeling'!$B:$B,'IP Attrition'!$D18,'Attrition Modeling'!$C:$C,'IP Attrition'!AF$1),VLOOKUP($F18+AF$2,$A$6:$C$106,2,FALSE)*VLOOKUP(AF$1,'Attrition Modeling'!$L$15:$N$27,IF(AF$2+$F18&lt;=24,2,3),FALSE)),$C$3)*(1+Projection!AH$16)*(1+IF(AF150&gt;0,'Attrition Modeling'!$N$9,0)))</f>
        <v>0</v>
      </c>
      <c r="AG18" s="799">
        <f>(AF18+AG150)*(1-IFERROR(IF(AG$2+$F18&lt;=12,SUMIFS('Attrition Modeling'!$D:$D,'Attrition Modeling'!$B:$B,'IP Attrition'!$D18,'Attrition Modeling'!$C:$C,'IP Attrition'!AG$1),VLOOKUP($F18+AG$2,$A$6:$C$106,2,FALSE)*VLOOKUP(AG$1,'Attrition Modeling'!$L$15:$N$27,IF(AG$2+$F18&lt;=24,2,3),FALSE)),$C$3)*(1+Projection!AI$16)*(1+IF(AG150&gt;0,'Attrition Modeling'!$N$9,0)))</f>
        <v>0</v>
      </c>
      <c r="AH18" s="799">
        <f>(AG18+AH150)*(1-IFERROR(IF(AH$2+$F18&lt;=12,SUMIFS('Attrition Modeling'!$D:$D,'Attrition Modeling'!$B:$B,'IP Attrition'!$D18,'Attrition Modeling'!$C:$C,'IP Attrition'!AH$1),VLOOKUP($F18+AH$2,$A$6:$C$106,2,FALSE)*VLOOKUP(AH$1,'Attrition Modeling'!$L$15:$N$27,IF(AH$2+$F18&lt;=24,2,3),FALSE)),$C$3)*(1+Projection!AJ$16)*(1+IF(AH150&gt;0,'Attrition Modeling'!$N$9,0)))</f>
        <v>0</v>
      </c>
      <c r="AI18" s="799">
        <f>(AH18+AI150)*(1-IFERROR(IF(AI$2+$F18&lt;=12,SUMIFS('Attrition Modeling'!$D:$D,'Attrition Modeling'!$B:$B,'IP Attrition'!$D18,'Attrition Modeling'!$C:$C,'IP Attrition'!AI$1),VLOOKUP($F18+AI$2,$A$6:$C$106,2,FALSE)*VLOOKUP(AI$1,'Attrition Modeling'!$L$15:$N$27,IF(AI$2+$F18&lt;=24,2,3),FALSE)),$C$3)*(1+Projection!AK$16)*(1+IF(AI150&gt;0,'Attrition Modeling'!$N$9,0)))</f>
        <v>0</v>
      </c>
      <c r="AJ18" s="799">
        <f>(AI18+AJ150)*(1-IFERROR(IF(AJ$2+$F18&lt;=12,SUMIFS('Attrition Modeling'!$D:$D,'Attrition Modeling'!$B:$B,'IP Attrition'!$D18,'Attrition Modeling'!$C:$C,'IP Attrition'!AJ$1),VLOOKUP($F18+AJ$2,$A$6:$C$106,2,FALSE)*VLOOKUP(AJ$1,'Attrition Modeling'!$L$15:$N$27,IF(AJ$2+$F18&lt;=24,2,3),FALSE)),$C$3)*(1+Projection!AL$16)*(1+IF(AJ150&gt;0,'Attrition Modeling'!$N$9,0)))</f>
        <v>0</v>
      </c>
      <c r="AK18" s="799">
        <f>(AJ18+AK150)*(1-IFERROR(IF(AK$2+$F18&lt;=12,SUMIFS('Attrition Modeling'!$D:$D,'Attrition Modeling'!$B:$B,'IP Attrition'!$D18,'Attrition Modeling'!$C:$C,'IP Attrition'!AK$1),VLOOKUP($F18+AK$2,$A$6:$C$106,2,FALSE)*VLOOKUP(AK$1,'Attrition Modeling'!$L$15:$N$27,IF(AK$2+$F18&lt;=24,2,3),FALSE)),$C$3)*(1+Projection!AM$16)*(1+IF(AK150&gt;0,'Attrition Modeling'!$N$9,0)))</f>
        <v>0</v>
      </c>
      <c r="AL18" s="799">
        <f>(AK18+AL150)*(1-IFERROR(IF(AL$2+$F18&lt;=12,SUMIFS('Attrition Modeling'!$D:$D,'Attrition Modeling'!$B:$B,'IP Attrition'!$D18,'Attrition Modeling'!$C:$C,'IP Attrition'!AL$1),VLOOKUP($F18+AL$2,$A$6:$C$106,2,FALSE)*VLOOKUP(AL$1,'Attrition Modeling'!$L$15:$N$27,IF(AL$2+$F18&lt;=24,2,3),FALSE)),$C$3)*(1+Projection!AN$16)*(1+IF(AL150&gt;0,'Attrition Modeling'!$N$9,0)))</f>
        <v>0</v>
      </c>
      <c r="AM18" s="799">
        <f>(AL18+AM150)*(1-IFERROR(IF(AM$2+$F18&lt;=12,SUMIFS('Attrition Modeling'!$D:$D,'Attrition Modeling'!$B:$B,'IP Attrition'!$D18,'Attrition Modeling'!$C:$C,'IP Attrition'!AM$1),VLOOKUP($F18+AM$2,$A$6:$C$106,2,FALSE)*VLOOKUP(AM$1,'Attrition Modeling'!$L$15:$N$27,IF(AM$2+$F18&lt;=24,2,3),FALSE)),$C$3)*(1+Projection!AO$16)*(1+IF(AM150&gt;0,'Attrition Modeling'!$N$9,0)))</f>
        <v>0</v>
      </c>
      <c r="AN18" s="799">
        <f>(AM18+AN150)*(1-IFERROR(IF(AN$2+$F18&lt;=12,SUMIFS('Attrition Modeling'!$D:$D,'Attrition Modeling'!$B:$B,'IP Attrition'!$D18,'Attrition Modeling'!$C:$C,'IP Attrition'!AN$1),VLOOKUP($F18+AN$2,$A$6:$C$106,2,FALSE)*VLOOKUP(AN$1,'Attrition Modeling'!$L$15:$N$27,IF(AN$2+$F18&lt;=24,2,3),FALSE)),$C$3)*(1+Projection!AP$16)*(1+IF(AN150&gt;0,'Attrition Modeling'!$N$9,0)))</f>
        <v>0</v>
      </c>
      <c r="AO18" s="799">
        <f>(AN18+AO150)*(1-IFERROR(IF(AO$2+$F18&lt;=12,SUMIFS('Attrition Modeling'!$D:$D,'Attrition Modeling'!$B:$B,'IP Attrition'!$D18,'Attrition Modeling'!$C:$C,'IP Attrition'!AO$1),VLOOKUP($F18+AO$2,$A$6:$C$106,2,FALSE)*VLOOKUP(AO$1,'Attrition Modeling'!$L$15:$N$27,IF(AO$2+$F18&lt;=24,2,3),FALSE)),$C$3)*(1+Projection!AQ$16)*(1+IF(AO150&gt;0,'Attrition Modeling'!$N$9,0)))</f>
        <v>0</v>
      </c>
      <c r="AP18" s="799">
        <f>(AO18+AP150)*(1-IFERROR(IF(AP$2+$F18&lt;=12,SUMIFS('Attrition Modeling'!$D:$D,'Attrition Modeling'!$B:$B,'IP Attrition'!$D18,'Attrition Modeling'!$C:$C,'IP Attrition'!AP$1),VLOOKUP($F18+AP$2,$A$6:$C$106,2,FALSE)*VLOOKUP(AP$1,'Attrition Modeling'!$L$15:$N$27,IF(AP$2+$F18&lt;=24,2,3),FALSE)),$C$3)*(1+Projection!AR$16)*(1+IF(AP150&gt;0,'Attrition Modeling'!$N$9,0)))</f>
        <v>0</v>
      </c>
      <c r="AQ18" s="799">
        <f>(AP18+AQ150)*(1-IFERROR(IF(AQ$2+$F18&lt;=12,SUMIFS('Attrition Modeling'!$D:$D,'Attrition Modeling'!$B:$B,'IP Attrition'!$D18,'Attrition Modeling'!$C:$C,'IP Attrition'!AQ$1),VLOOKUP($F18+AQ$2,$A$6:$C$106,2,FALSE)*VLOOKUP(AQ$1,'Attrition Modeling'!$L$15:$N$27,IF(AQ$2+$F18&lt;=24,2,3),FALSE)),$C$3)*(1+Projection!AS$16)*(1+IF(AQ150&gt;0,'Attrition Modeling'!$N$9,0)))</f>
        <v>0</v>
      </c>
      <c r="AR18" s="799">
        <f>(AQ18+AR150)*(1-IFERROR(IF(AR$2+$F18&lt;=12,SUMIFS('Attrition Modeling'!$D:$D,'Attrition Modeling'!$B:$B,'IP Attrition'!$D18,'Attrition Modeling'!$C:$C,'IP Attrition'!AR$1),VLOOKUP($F18+AR$2,$A$6:$C$106,2,FALSE)*VLOOKUP(AR$1,'Attrition Modeling'!$L$15:$N$27,IF(AR$2+$F18&lt;=24,2,3),FALSE)),$C$3)*(1+Projection!AT$16)*(1+IF(AR150&gt;0,'Attrition Modeling'!$N$9,0)))</f>
        <v>0</v>
      </c>
      <c r="AS18" s="799">
        <f>(AR18+AS150)*(1-IFERROR(IF(AS$2+$F18&lt;=12,SUMIFS('Attrition Modeling'!$D:$D,'Attrition Modeling'!$B:$B,'IP Attrition'!$D18,'Attrition Modeling'!$C:$C,'IP Attrition'!AS$1),VLOOKUP($F18+AS$2,$A$6:$C$106,2,FALSE)*VLOOKUP(AS$1,'Attrition Modeling'!$L$15:$N$27,IF(AS$2+$F18&lt;=24,2,3),FALSE)),$C$3)*(1+Projection!AU$16)*(1+IF(AS150&gt;0,'Attrition Modeling'!$N$9,0)))</f>
        <v>0</v>
      </c>
      <c r="AT18" s="799">
        <f>(AS18+AT150)*(1-IFERROR(IF(AT$2+$F18&lt;=12,SUMIFS('Attrition Modeling'!$D:$D,'Attrition Modeling'!$B:$B,'IP Attrition'!$D18,'Attrition Modeling'!$C:$C,'IP Attrition'!AT$1),VLOOKUP($F18+AT$2,$A$6:$C$106,2,FALSE)*VLOOKUP(AT$1,'Attrition Modeling'!$L$15:$N$27,IF(AT$2+$F18&lt;=24,2,3),FALSE)),$C$3)*(1+Projection!AV$16)*(1+IF(AT150&gt;0,'Attrition Modeling'!$N$9,0)))</f>
        <v>0</v>
      </c>
      <c r="AU18" s="799">
        <f>(AT18+AU150)*(1-IFERROR(IF(AU$2+$F18&lt;=12,SUMIFS('Attrition Modeling'!$D:$D,'Attrition Modeling'!$B:$B,'IP Attrition'!$D18,'Attrition Modeling'!$C:$C,'IP Attrition'!AU$1),VLOOKUP($F18+AU$2,$A$6:$C$106,2,FALSE)*VLOOKUP(AU$1,'Attrition Modeling'!$L$15:$N$27,IF(AU$2+$F18&lt;=24,2,3),FALSE)),$C$3)*(1+Projection!AW$16)*(1+IF(AU150&gt;0,'Attrition Modeling'!$N$9,0)))</f>
        <v>0</v>
      </c>
      <c r="AV18" s="799">
        <f>(AU18+AV150)*(1-IFERROR(IF(AV$2+$F18&lt;=12,SUMIFS('Attrition Modeling'!$D:$D,'Attrition Modeling'!$B:$B,'IP Attrition'!$D18,'Attrition Modeling'!$C:$C,'IP Attrition'!AV$1),VLOOKUP($F18+AV$2,$A$6:$C$106,2,FALSE)*VLOOKUP(AV$1,'Attrition Modeling'!$L$15:$N$27,IF(AV$2+$F18&lt;=24,2,3),FALSE)),$C$3)*(1+Projection!AX$16)*(1+IF(AV150&gt;0,'Attrition Modeling'!$N$9,0)))</f>
        <v>0</v>
      </c>
      <c r="AW18" s="799">
        <f>(AV18+AW150)*(1-IFERROR(IF(AW$2+$F18&lt;=12,SUMIFS('Attrition Modeling'!$D:$D,'Attrition Modeling'!$B:$B,'IP Attrition'!$D18,'Attrition Modeling'!$C:$C,'IP Attrition'!AW$1),VLOOKUP($F18+AW$2,$A$6:$C$106,2,FALSE)*VLOOKUP(AW$1,'Attrition Modeling'!$L$15:$N$27,IF(AW$2+$F18&lt;=24,2,3),FALSE)),$C$3)*(1+Projection!AY$16)*(1+IF(AW150&gt;0,'Attrition Modeling'!$N$9,0)))</f>
        <v>0</v>
      </c>
      <c r="AX18" s="799">
        <f>(AW18+AX150)*(1-IFERROR(IF(AX$2+$F18&lt;=12,SUMIFS('Attrition Modeling'!$D:$D,'Attrition Modeling'!$B:$B,'IP Attrition'!$D18,'Attrition Modeling'!$C:$C,'IP Attrition'!AX$1),VLOOKUP($F18+AX$2,$A$6:$C$106,2,FALSE)*VLOOKUP(AX$1,'Attrition Modeling'!$L$15:$N$27,IF(AX$2+$F18&lt;=24,2,3),FALSE)),$C$3)*(1+Projection!AZ$16)*(1+IF(AX150&gt;0,'Attrition Modeling'!$N$9,0)))</f>
        <v>0</v>
      </c>
      <c r="AY18" s="799">
        <f>(AX18+AY150)*(1-IFERROR(IF(AY$2+$F18&lt;=12,SUMIFS('Attrition Modeling'!$D:$D,'Attrition Modeling'!$B:$B,'IP Attrition'!$D18,'Attrition Modeling'!$C:$C,'IP Attrition'!AY$1),VLOOKUP($F18+AY$2,$A$6:$C$106,2,FALSE)*VLOOKUP(AY$1,'Attrition Modeling'!$L$15:$N$27,IF(AY$2+$F18&lt;=24,2,3),FALSE)),$C$3)*(1+Projection!BA$16)*(1+IF(AY150&gt;0,'Attrition Modeling'!$N$9,0)))</f>
        <v>0</v>
      </c>
      <c r="AZ18" s="799">
        <f>(AY18+AZ150)*(1-IFERROR(IF(AZ$2+$F18&lt;=12,SUMIFS('Attrition Modeling'!$D:$D,'Attrition Modeling'!$B:$B,'IP Attrition'!$D18,'Attrition Modeling'!$C:$C,'IP Attrition'!AZ$1),VLOOKUP($F18+AZ$2,$A$6:$C$106,2,FALSE)*VLOOKUP(AZ$1,'Attrition Modeling'!$L$15:$N$27,IF(AZ$2+$F18&lt;=24,2,3),FALSE)),$C$3)*(1+Projection!BB$16)*(1+IF(AZ150&gt;0,'Attrition Modeling'!$N$9,0)))</f>
        <v>0</v>
      </c>
      <c r="BA18" s="799">
        <f>(AZ18+BA150)*(1-IFERROR(IF(BA$2+$F18&lt;=12,SUMIFS('Attrition Modeling'!$D:$D,'Attrition Modeling'!$B:$B,'IP Attrition'!$D18,'Attrition Modeling'!$C:$C,'IP Attrition'!BA$1),VLOOKUP($F18+BA$2,$A$6:$C$106,2,FALSE)*VLOOKUP(BA$1,'Attrition Modeling'!$L$15:$N$27,IF(BA$2+$F18&lt;=24,2,3),FALSE)),$C$3)*(1+Projection!BC$16)*(1+IF(BA150&gt;0,'Attrition Modeling'!$N$9,0)))</f>
        <v>0</v>
      </c>
      <c r="BB18" s="799">
        <f>(BA18+BB150)*(1-IFERROR(IF(BB$2+$F18&lt;=12,SUMIFS('Attrition Modeling'!$D:$D,'Attrition Modeling'!$B:$B,'IP Attrition'!$D18,'Attrition Modeling'!$C:$C,'IP Attrition'!BB$1),VLOOKUP($F18+BB$2,$A$6:$C$106,2,FALSE)*VLOOKUP(BB$1,'Attrition Modeling'!$L$15:$N$27,IF(BB$2+$F18&lt;=24,2,3),FALSE)),$C$3)*(1+Projection!BD$16)*(1+IF(BB150&gt;0,'Attrition Modeling'!$N$9,0)))</f>
        <v>0</v>
      </c>
      <c r="BC18" s="799">
        <f>(BB18+BC150)*(1-IFERROR(IF(BC$2+$F18&lt;=12,SUMIFS('Attrition Modeling'!$D:$D,'Attrition Modeling'!$B:$B,'IP Attrition'!$D18,'Attrition Modeling'!$C:$C,'IP Attrition'!BC$1),VLOOKUP($F18+BC$2,$A$6:$C$106,2,FALSE)*VLOOKUP(BC$1,'Attrition Modeling'!$L$15:$N$27,IF(BC$2+$F18&lt;=24,2,3),FALSE)),$C$3)*(1+Projection!BE$16)*(1+IF(BC150&gt;0,'Attrition Modeling'!$N$9,0)))</f>
        <v>0</v>
      </c>
      <c r="BD18" s="799">
        <f>(BC18+BD150)*(1-IFERROR(IF(BD$2+$F18&lt;=12,SUMIFS('Attrition Modeling'!$D:$D,'Attrition Modeling'!$B:$B,'IP Attrition'!$D18,'Attrition Modeling'!$C:$C,'IP Attrition'!BD$1),VLOOKUP($F18+BD$2,$A$6:$C$106,2,FALSE)*VLOOKUP(BD$1,'Attrition Modeling'!$L$15:$N$27,IF(BD$2+$F18&lt;=24,2,3),FALSE)),$C$3)*(1+Projection!BF$16)*(1+IF(BD150&gt;0,'Attrition Modeling'!$N$9,0)))</f>
        <v>0</v>
      </c>
      <c r="BE18" s="799">
        <f>(BD18+BE150)*(1-IFERROR(IF(BE$2+$F18&lt;=12,SUMIFS('Attrition Modeling'!$D:$D,'Attrition Modeling'!$B:$B,'IP Attrition'!$D18,'Attrition Modeling'!$C:$C,'IP Attrition'!BE$1),VLOOKUP($F18+BE$2,$A$6:$C$106,2,FALSE)*VLOOKUP(BE$1,'Attrition Modeling'!$L$15:$N$27,IF(BE$2+$F18&lt;=24,2,3),FALSE)),$C$3)*(1+Projection!BG$16)*(1+IF(BE150&gt;0,'Attrition Modeling'!$N$9,0)))</f>
        <v>0</v>
      </c>
      <c r="BF18" s="799">
        <f>(BE18+BF150)*(1-IFERROR(IF(BF$2+$F18&lt;=12,SUMIFS('Attrition Modeling'!$D:$D,'Attrition Modeling'!$B:$B,'IP Attrition'!$D18,'Attrition Modeling'!$C:$C,'IP Attrition'!BF$1),VLOOKUP($F18+BF$2,$A$6:$C$106,2,FALSE)*VLOOKUP(BF$1,'Attrition Modeling'!$L$15:$N$27,IF(BF$2+$F18&lt;=24,2,3),FALSE)),$C$3)*(1+Projection!BH$16)*(1+IF(BF150&gt;0,'Attrition Modeling'!$N$9,0)))</f>
        <v>0</v>
      </c>
      <c r="BG18" s="799">
        <f>(BF18+BG150)*(1-IFERROR(IF(BG$2+$F18&lt;=12,SUMIFS('Attrition Modeling'!$D:$D,'Attrition Modeling'!$B:$B,'IP Attrition'!$D18,'Attrition Modeling'!$C:$C,'IP Attrition'!BG$1),VLOOKUP($F18+BG$2,$A$6:$C$106,2,FALSE)*VLOOKUP(BG$1,'Attrition Modeling'!$L$15:$N$27,IF(BG$2+$F18&lt;=24,2,3),FALSE)),$C$3)*(1+Projection!BI$16)*(1+IF(BG150&gt;0,'Attrition Modeling'!$N$9,0)))</f>
        <v>0</v>
      </c>
      <c r="BH18" s="799">
        <f>(BG18+BH150)*(1-IFERROR(IF(BH$2+$F18&lt;=12,SUMIFS('Attrition Modeling'!$D:$D,'Attrition Modeling'!$B:$B,'IP Attrition'!$D18,'Attrition Modeling'!$C:$C,'IP Attrition'!BH$1),VLOOKUP($F18+BH$2,$A$6:$C$106,2,FALSE)*VLOOKUP(BH$1,'Attrition Modeling'!$L$15:$N$27,IF(BH$2+$F18&lt;=24,2,3),FALSE)),$C$3)*(1+Projection!BJ$16)*(1+IF(BH150&gt;0,'Attrition Modeling'!$N$9,0)))</f>
        <v>0</v>
      </c>
      <c r="BI18" s="799">
        <f>(BH18+BI150)*(1-IFERROR(IF(BI$2+$F18&lt;=12,SUMIFS('Attrition Modeling'!$D:$D,'Attrition Modeling'!$B:$B,'IP Attrition'!$D18,'Attrition Modeling'!$C:$C,'IP Attrition'!BI$1),VLOOKUP($F18+BI$2,$A$6:$C$106,2,FALSE)*VLOOKUP(BI$1,'Attrition Modeling'!$L$15:$N$27,IF(BI$2+$F18&lt;=24,2,3),FALSE)),$C$3)*(1+Projection!BK$16)*(1+IF(BI150&gt;0,'Attrition Modeling'!$N$9,0)))</f>
        <v>0</v>
      </c>
      <c r="BJ18" s="799">
        <f>(BI18+BJ150)*(1-IFERROR(IF(BJ$2+$F18&lt;=12,SUMIFS('Attrition Modeling'!$D:$D,'Attrition Modeling'!$B:$B,'IP Attrition'!$D18,'Attrition Modeling'!$C:$C,'IP Attrition'!BJ$1),VLOOKUP($F18+BJ$2,$A$6:$C$106,2,FALSE)*VLOOKUP(BJ$1,'Attrition Modeling'!$L$15:$N$27,IF(BJ$2+$F18&lt;=24,2,3),FALSE)),$C$3)*(1+Projection!BL$16)*(1+IF(BJ150&gt;0,'Attrition Modeling'!$N$9,0)))</f>
        <v>0</v>
      </c>
      <c r="BK18" s="799">
        <f>(BJ18+BK150)*(1-IFERROR(IF(BK$2+$F18&lt;=12,SUMIFS('Attrition Modeling'!$D:$D,'Attrition Modeling'!$B:$B,'IP Attrition'!$D18,'Attrition Modeling'!$C:$C,'IP Attrition'!BK$1),VLOOKUP($F18+BK$2,$A$6:$C$106,2,FALSE)*VLOOKUP(BK$1,'Attrition Modeling'!$L$15:$N$27,IF(BK$2+$F18&lt;=24,2,3),FALSE)),$C$3)*(1+Projection!BM$16)*(1+IF(BK150&gt;0,'Attrition Modeling'!$N$9,0)))</f>
        <v>0</v>
      </c>
      <c r="BL18" s="799">
        <f>(BK18+BL150)*(1-IFERROR(IF(BL$2+$F18&lt;=12,SUMIFS('Attrition Modeling'!$D:$D,'Attrition Modeling'!$B:$B,'IP Attrition'!$D18,'Attrition Modeling'!$C:$C,'IP Attrition'!BL$1),VLOOKUP($F18+BL$2,$A$6:$C$106,2,FALSE)*VLOOKUP(BL$1,'Attrition Modeling'!$L$15:$N$27,IF(BL$2+$F18&lt;=24,2,3),FALSE)),$C$3)*(1+Projection!BN$16)*(1+IF(BL150&gt;0,'Attrition Modeling'!$N$9,0)))</f>
        <v>0</v>
      </c>
      <c r="BM18" s="799">
        <f>(BL18+BM150)*(1-IFERROR(IF(BM$2+$F18&lt;=12,SUMIFS('Attrition Modeling'!$D:$D,'Attrition Modeling'!$B:$B,'IP Attrition'!$D18,'Attrition Modeling'!$C:$C,'IP Attrition'!BM$1),VLOOKUP($F18+BM$2,$A$6:$C$106,2,FALSE)*VLOOKUP(BM$1,'Attrition Modeling'!$L$15:$N$27,IF(BM$2+$F18&lt;=24,2,3),FALSE)),$C$3)*(1+Projection!BO$16)*(1+IF(BM150&gt;0,'Attrition Modeling'!$N$9,0)))</f>
        <v>0</v>
      </c>
      <c r="BN18" s="799">
        <f>(BM18+BN150)*(1-IFERROR(IF(BN$2+$F18&lt;=12,SUMIFS('Attrition Modeling'!$D:$D,'Attrition Modeling'!$B:$B,'IP Attrition'!$D18,'Attrition Modeling'!$C:$C,'IP Attrition'!BN$1),VLOOKUP($F18+BN$2,$A$6:$C$106,2,FALSE)*VLOOKUP(BN$1,'Attrition Modeling'!$L$15:$N$27,IF(BN$2+$F18&lt;=24,2,3),FALSE)),$C$3)*(1+Projection!BP$16)*(1+IF(BN150&gt;0,'Attrition Modeling'!$N$9,0)))</f>
        <v>0</v>
      </c>
      <c r="BO18" s="799">
        <f>(BN18+BO150)*(1-IFERROR(IF(BO$2+$F18&lt;=12,SUMIFS('Attrition Modeling'!$D:$D,'Attrition Modeling'!$B:$B,'IP Attrition'!$D18,'Attrition Modeling'!$C:$C,'IP Attrition'!BO$1),VLOOKUP($F18+BO$2,$A$6:$C$106,2,FALSE)*VLOOKUP(BO$1,'Attrition Modeling'!$L$15:$N$27,IF(BO$2+$F18&lt;=24,2,3),FALSE)),$C$3)*(1+Projection!BV$16)*(1+IF(BO150&gt;0,'Attrition Modeling'!$N$9,0)))</f>
        <v>0</v>
      </c>
      <c r="BP18" s="799">
        <f>(BO18+BP150)*(1-IFERROR(IF(BP$2+$F18&lt;=12,SUMIFS('Attrition Modeling'!$D:$D,'Attrition Modeling'!$B:$B,'IP Attrition'!$D18,'Attrition Modeling'!$C:$C,'IP Attrition'!BP$1),VLOOKUP($F18+BP$2,$A$6:$C$106,2,FALSE)*VLOOKUP(BP$1,'Attrition Modeling'!$L$15:$N$27,IF(BP$2+$F18&lt;=24,2,3),FALSE)),$C$3)*(1+Projection!BW$16)*(1+IF(BP150&gt;0,'Attrition Modeling'!$N$9,0)))</f>
        <v>0</v>
      </c>
      <c r="BQ18" s="799">
        <f>(BP18+BQ150)*(1-IFERROR(IF(BQ$2+$F18&lt;=12,SUMIFS('Attrition Modeling'!$D:$D,'Attrition Modeling'!$B:$B,'IP Attrition'!$D18,'Attrition Modeling'!$C:$C,'IP Attrition'!BQ$1),VLOOKUP($F18+BQ$2,$A$6:$C$106,2,FALSE)*VLOOKUP(BQ$1,'Attrition Modeling'!$L$15:$N$27,IF(BQ$2+$F18&lt;=24,2,3),FALSE)),$C$3)*(1+Projection!BX$16)*(1+IF(BQ150&gt;0,'Attrition Modeling'!$N$9,0)))</f>
        <v>0</v>
      </c>
      <c r="BR18" s="799">
        <f>(BQ18+BR150)*(1-IFERROR(IF(BR$2+$F18&lt;=12,SUMIFS('Attrition Modeling'!$D:$D,'Attrition Modeling'!$B:$B,'IP Attrition'!$D18,'Attrition Modeling'!$C:$C,'IP Attrition'!BR$1),VLOOKUP($F18+BR$2,$A$6:$C$106,2,FALSE)*VLOOKUP(BR$1,'Attrition Modeling'!$L$15:$N$27,IF(BR$2+$F18&lt;=24,2,3),FALSE)),$C$3)*(1+Projection!BY$16)*(1+IF(BR150&gt;0,'Attrition Modeling'!$N$9,0)))</f>
        <v>0</v>
      </c>
      <c r="BS18" s="799">
        <f>(BR18+BS150)*(1-IFERROR(IF(BS$2+$F18&lt;=12,SUMIFS('Attrition Modeling'!$D:$D,'Attrition Modeling'!$B:$B,'IP Attrition'!$D18,'Attrition Modeling'!$C:$C,'IP Attrition'!BS$1),VLOOKUP($F18+BS$2,$A$6:$C$106,2,FALSE)*VLOOKUP(BS$1,'Attrition Modeling'!$L$15:$N$27,IF(BS$2+$F18&lt;=24,2,3),FALSE)),$C$3)*(1+Projection!BZ$16)*(1+IF(BS150&gt;0,'Attrition Modeling'!$N$9,0)))</f>
        <v>0</v>
      </c>
      <c r="BT18" s="799" t="e">
        <f>(BS18+BT150)*(1-IFERROR(IF(BT$2+$F18&lt;=12,SUMIFS('Attrition Modeling'!$D:$D,'Attrition Modeling'!$B:$B,'IP Attrition'!$D18,'Attrition Modeling'!$C:$C,'IP Attrition'!BT$1),VLOOKUP($F18+BT$2,$A$6:$C$106,2,FALSE)*VLOOKUP(BT$1,'Attrition Modeling'!$L$15:$N$27,IF(BT$2+$F18&lt;=24,2,3),FALSE)),$C$3)*(1+Projection!CA$16)*(1+IF(BT150&gt;0,'Attrition Modeling'!$N$9,0)))</f>
        <v>#REF!</v>
      </c>
      <c r="BU18" s="799" t="e">
        <f>(BT18+BU150)*(1-IFERROR(IF(BU$2+$F18&lt;=12,SUMIFS('Attrition Modeling'!$D:$D,'Attrition Modeling'!$B:$B,'IP Attrition'!$D18,'Attrition Modeling'!$C:$C,'IP Attrition'!BU$1),VLOOKUP($F18+BU$2,$A$6:$C$106,2,FALSE)*VLOOKUP(BU$1,'Attrition Modeling'!$L$15:$N$27,IF(BU$2+$F18&lt;=24,2,3),FALSE)),$C$3)*(1+Projection!CB$16)*(1+IF(BU150&gt;0,'Attrition Modeling'!$N$9,0)))</f>
        <v>#REF!</v>
      </c>
    </row>
    <row r="19" spans="1:73" ht="14.25" customHeight="1" x14ac:dyDescent="0.2">
      <c r="A19" s="9">
        <v>12</v>
      </c>
      <c r="B19" s="25">
        <f>MAX('Attrition Modeling'!H16,$C$3)*(1-Summary!$C$20)</f>
        <v>5.4496999999999997E-2</v>
      </c>
      <c r="C19" s="24" t="e">
        <f t="shared" si="3"/>
        <v>#DIV/0!</v>
      </c>
      <c r="D19" s="11">
        <f t="shared" si="1"/>
        <v>-16</v>
      </c>
      <c r="E19" s="807">
        <f t="array" ref="E19">INDEX('Attrition Modeling'!$X$2:$AF$63,MATCH($F19,'Attrition Modeling'!$X$2:$X$63,0),MATCH(Inputs!$C$10,'Attrition Modeling'!$X$2:$AF$2,0))</f>
        <v>0</v>
      </c>
      <c r="F19" s="11">
        <f t="shared" si="2"/>
        <v>16</v>
      </c>
      <c r="G19" s="799">
        <f>Summary!$C$25*$E19</f>
        <v>0</v>
      </c>
      <c r="H19" s="799">
        <f>(G19+H151)*(1-IFERROR(IF(H$2+$F19&lt;=12,SUMIFS('Attrition Modeling'!$D:$D,'Attrition Modeling'!$B:$B,'IP Attrition'!$D19,'Attrition Modeling'!$C:$C,'IP Attrition'!H$1),VLOOKUP($F19+H$2,$A$6:$C$106,2,FALSE)*VLOOKUP(H$1,'Attrition Modeling'!$L$15:$N$27,IF(H$2+$F19&lt;=24,2,3),FALSE)),$C$3)*(1+Projection!J$16)*(1+IF(H151&gt;0,'Attrition Modeling'!$N$9,0)))</f>
        <v>0</v>
      </c>
      <c r="I19" s="799">
        <f>(H19+I151)*(1-IFERROR(IF(I$2+$F19&lt;=12,SUMIFS('Attrition Modeling'!$D:$D,'Attrition Modeling'!$B:$B,'IP Attrition'!$D19,'Attrition Modeling'!$C:$C,'IP Attrition'!I$1),VLOOKUP($F19+I$2,$A$6:$C$106,2,FALSE)*VLOOKUP(I$1,'Attrition Modeling'!$L$15:$N$27,IF(I$2+$F19&lt;=24,2,3),FALSE)),$C$3)*(1+Projection!K$16)*(1+IF(I151&gt;0,'Attrition Modeling'!$N$9,0)))</f>
        <v>0</v>
      </c>
      <c r="J19" s="799">
        <f>(I19+J151)*(1-IFERROR(IF(J$2+$F19&lt;=12,SUMIFS('Attrition Modeling'!$D:$D,'Attrition Modeling'!$B:$B,'IP Attrition'!$D19,'Attrition Modeling'!$C:$C,'IP Attrition'!J$1),VLOOKUP($F19+J$2,$A$6:$C$106,2,FALSE)*VLOOKUP(J$1,'Attrition Modeling'!$L$15:$N$27,IF(J$2+$F19&lt;=24,2,3),FALSE)),$C$3)*(1+Projection!L$16)*(1+IF(J151&gt;0,'Attrition Modeling'!$N$9,0)))</f>
        <v>0</v>
      </c>
      <c r="K19" s="799">
        <f>(J19+K151)*(1-IFERROR(IF(K$2+$F19&lt;=12,SUMIFS('Attrition Modeling'!$D:$D,'Attrition Modeling'!$B:$B,'IP Attrition'!$D19,'Attrition Modeling'!$C:$C,'IP Attrition'!K$1),VLOOKUP($F19+K$2,$A$6:$C$106,2,FALSE)*VLOOKUP(K$1,'Attrition Modeling'!$L$15:$N$27,IF(K$2+$F19&lt;=24,2,3),FALSE)),$C$3)*(1+Projection!M$16)*(1+IF(K151&gt;0,'Attrition Modeling'!$N$9,0)))</f>
        <v>0</v>
      </c>
      <c r="L19" s="799">
        <f>(K19+L151)*(1-IFERROR(IF(L$2+$F19&lt;=12,SUMIFS('Attrition Modeling'!$D:$D,'Attrition Modeling'!$B:$B,'IP Attrition'!$D19,'Attrition Modeling'!$C:$C,'IP Attrition'!L$1),VLOOKUP($F19+L$2,$A$6:$C$106,2,FALSE)*VLOOKUP(L$1,'Attrition Modeling'!$L$15:$N$27,IF(L$2+$F19&lt;=24,2,3),FALSE)),$C$3)*(1+Projection!N$16)*(1+IF(L151&gt;0,'Attrition Modeling'!$N$9,0)))</f>
        <v>0</v>
      </c>
      <c r="M19" s="799">
        <f>(L19+M151)*(1-IFERROR(IF(M$2+$F19&lt;=12,SUMIFS('Attrition Modeling'!$D:$D,'Attrition Modeling'!$B:$B,'IP Attrition'!$D19,'Attrition Modeling'!$C:$C,'IP Attrition'!M$1),VLOOKUP($F19+M$2,$A$6:$C$106,2,FALSE)*VLOOKUP(M$1,'Attrition Modeling'!$L$15:$N$27,IF(M$2+$F19&lt;=24,2,3),FALSE)),$C$3)*(1+Projection!O$16)*(1+IF(M151&gt;0,'Attrition Modeling'!$N$9,0)))</f>
        <v>0</v>
      </c>
      <c r="N19" s="799">
        <f>(M19+N151)*(1-IFERROR(IF(N$2+$F19&lt;=12,SUMIFS('Attrition Modeling'!$D:$D,'Attrition Modeling'!$B:$B,'IP Attrition'!$D19,'Attrition Modeling'!$C:$C,'IP Attrition'!N$1),VLOOKUP($F19+N$2,$A$6:$C$106,2,FALSE)*VLOOKUP(N$1,'Attrition Modeling'!$L$15:$N$27,IF(N$2+$F19&lt;=24,2,3),FALSE)),$C$3)*(1+Projection!P$16)*(1+IF(N151&gt;0,'Attrition Modeling'!$N$9,0)))</f>
        <v>0</v>
      </c>
      <c r="O19" s="799">
        <f>(N19+O151)*(1-IFERROR(IF(O$2+$F19&lt;=12,SUMIFS('Attrition Modeling'!$D:$D,'Attrition Modeling'!$B:$B,'IP Attrition'!$D19,'Attrition Modeling'!$C:$C,'IP Attrition'!O$1),VLOOKUP($F19+O$2,$A$6:$C$106,2,FALSE)*VLOOKUP(O$1,'Attrition Modeling'!$L$15:$N$27,IF(O$2+$F19&lt;=24,2,3),FALSE)),$C$3)*(1+Projection!Q$16)*(1+IF(O151&gt;0,'Attrition Modeling'!$N$9,0)))</f>
        <v>0</v>
      </c>
      <c r="P19" s="799">
        <f>(O19+P151)*(1-IFERROR(IF(P$2+$F19&lt;=12,SUMIFS('Attrition Modeling'!$D:$D,'Attrition Modeling'!$B:$B,'IP Attrition'!$D19,'Attrition Modeling'!$C:$C,'IP Attrition'!P$1),VLOOKUP($F19+P$2,$A$6:$C$106,2,FALSE)*VLOOKUP(P$1,'Attrition Modeling'!$L$15:$N$27,IF(P$2+$F19&lt;=24,2,3),FALSE)),$C$3)*(1+Projection!R$16)*(1+IF(P151&gt;0,'Attrition Modeling'!$N$9,0)))</f>
        <v>0</v>
      </c>
      <c r="Q19" s="799">
        <f>(P19+Q151)*(1-IFERROR(IF(Q$2+$F19&lt;=12,SUMIFS('Attrition Modeling'!$D:$D,'Attrition Modeling'!$B:$B,'IP Attrition'!$D19,'Attrition Modeling'!$C:$C,'IP Attrition'!Q$1),VLOOKUP($F19+Q$2,$A$6:$C$106,2,FALSE)*VLOOKUP(Q$1,'Attrition Modeling'!$L$15:$N$27,IF(Q$2+$F19&lt;=24,2,3),FALSE)),$C$3)*(1+Projection!S$16)*(1+IF(Q151&gt;0,'Attrition Modeling'!$N$9,0)))</f>
        <v>0</v>
      </c>
      <c r="R19" s="799">
        <f>(Q19+R151)*(1-IFERROR(IF(R$2+$F19&lt;=12,SUMIFS('Attrition Modeling'!$D:$D,'Attrition Modeling'!$B:$B,'IP Attrition'!$D19,'Attrition Modeling'!$C:$C,'IP Attrition'!R$1),VLOOKUP($F19+R$2,$A$6:$C$106,2,FALSE)*VLOOKUP(R$1,'Attrition Modeling'!$L$15:$N$27,IF(R$2+$F19&lt;=24,2,3),FALSE)),$C$3)*(1+Projection!T$16)*(1+IF(R151&gt;0,'Attrition Modeling'!$N$9,0)))</f>
        <v>0</v>
      </c>
      <c r="S19" s="799">
        <f>(R19+S151)*(1-IFERROR(IF(S$2+$F19&lt;=12,SUMIFS('Attrition Modeling'!$D:$D,'Attrition Modeling'!$B:$B,'IP Attrition'!$D19,'Attrition Modeling'!$C:$C,'IP Attrition'!S$1),VLOOKUP($F19+S$2,$A$6:$C$106,2,FALSE)*VLOOKUP(S$1,'Attrition Modeling'!$L$15:$N$27,IF(S$2+$F19&lt;=24,2,3),FALSE)),$C$3)*(1+Projection!U$16)*(1+IF(S151&gt;0,'Attrition Modeling'!$N$9,0)))</f>
        <v>0</v>
      </c>
      <c r="T19" s="799">
        <f>(S19+T151)*(1-IFERROR(IF(T$2+$F19&lt;=12,SUMIFS('Attrition Modeling'!$D:$D,'Attrition Modeling'!$B:$B,'IP Attrition'!$D19,'Attrition Modeling'!$C:$C,'IP Attrition'!T$1),VLOOKUP($F19+T$2,$A$6:$C$106,2,FALSE)*VLOOKUP(T$1,'Attrition Modeling'!$L$15:$N$27,IF(T$2+$F19&lt;=24,2,3),FALSE)),$C$3)*(1+Projection!V$16)*(1+IF(T151&gt;0,'Attrition Modeling'!$N$9,0)))</f>
        <v>0</v>
      </c>
      <c r="U19" s="799">
        <f>(T19+U151)*(1-IFERROR(IF(U$2+$F19&lt;=12,SUMIFS('Attrition Modeling'!$D:$D,'Attrition Modeling'!$B:$B,'IP Attrition'!$D19,'Attrition Modeling'!$C:$C,'IP Attrition'!U$1),VLOOKUP($F19+U$2,$A$6:$C$106,2,FALSE)*VLOOKUP(U$1,'Attrition Modeling'!$L$15:$N$27,IF(U$2+$F19&lt;=24,2,3),FALSE)),$C$3)*(1+Projection!W$16)*(1+IF(U151&gt;0,'Attrition Modeling'!$N$9,0)))</f>
        <v>0</v>
      </c>
      <c r="V19" s="799">
        <f>(U19+V151)*(1-IFERROR(IF(V$2+$F19&lt;=12,SUMIFS('Attrition Modeling'!$D:$D,'Attrition Modeling'!$B:$B,'IP Attrition'!$D19,'Attrition Modeling'!$C:$C,'IP Attrition'!V$1),VLOOKUP($F19+V$2,$A$6:$C$106,2,FALSE)*VLOOKUP(V$1,'Attrition Modeling'!$L$15:$N$27,IF(V$2+$F19&lt;=24,2,3),FALSE)),$C$3)*(1+Projection!X$16)*(1+IF(V151&gt;0,'Attrition Modeling'!$N$9,0)))</f>
        <v>0</v>
      </c>
      <c r="W19" s="799">
        <f>(V19+W151)*(1-IFERROR(IF(W$2+$F19&lt;=12,SUMIFS('Attrition Modeling'!$D:$D,'Attrition Modeling'!$B:$B,'IP Attrition'!$D19,'Attrition Modeling'!$C:$C,'IP Attrition'!W$1),VLOOKUP($F19+W$2,$A$6:$C$106,2,FALSE)*VLOOKUP(W$1,'Attrition Modeling'!$L$15:$N$27,IF(W$2+$F19&lt;=24,2,3),FALSE)),$C$3)*(1+Projection!Y$16)*(1+IF(W151&gt;0,'Attrition Modeling'!$N$9,0)))</f>
        <v>0</v>
      </c>
      <c r="X19" s="799">
        <f>(W19+X151)*(1-IFERROR(IF(X$2+$F19&lt;=12,SUMIFS('Attrition Modeling'!$D:$D,'Attrition Modeling'!$B:$B,'IP Attrition'!$D19,'Attrition Modeling'!$C:$C,'IP Attrition'!X$1),VLOOKUP($F19+X$2,$A$6:$C$106,2,FALSE)*VLOOKUP(X$1,'Attrition Modeling'!$L$15:$N$27,IF(X$2+$F19&lt;=24,2,3),FALSE)),$C$3)*(1+Projection!Z$16)*(1+IF(X151&gt;0,'Attrition Modeling'!$N$9,0)))</f>
        <v>0</v>
      </c>
      <c r="Y19" s="799">
        <f>(X19+Y151)*(1-IFERROR(IF(Y$2+$F19&lt;=12,SUMIFS('Attrition Modeling'!$D:$D,'Attrition Modeling'!$B:$B,'IP Attrition'!$D19,'Attrition Modeling'!$C:$C,'IP Attrition'!Y$1),VLOOKUP($F19+Y$2,$A$6:$C$106,2,FALSE)*VLOOKUP(Y$1,'Attrition Modeling'!$L$15:$N$27,IF(Y$2+$F19&lt;=24,2,3),FALSE)),$C$3)*(1+Projection!AA$16)*(1+IF(Y151&gt;0,'Attrition Modeling'!$N$9,0)))</f>
        <v>0</v>
      </c>
      <c r="Z19" s="799">
        <f>(Y19+Z151)*(1-IFERROR(IF(Z$2+$F19&lt;=12,SUMIFS('Attrition Modeling'!$D:$D,'Attrition Modeling'!$B:$B,'IP Attrition'!$D19,'Attrition Modeling'!$C:$C,'IP Attrition'!Z$1),VLOOKUP($F19+Z$2,$A$6:$C$106,2,FALSE)*VLOOKUP(Z$1,'Attrition Modeling'!$L$15:$N$27,IF(Z$2+$F19&lt;=24,2,3),FALSE)),$C$3)*(1+Projection!AB$16)*(1+IF(Z151&gt;0,'Attrition Modeling'!$N$9,0)))</f>
        <v>0</v>
      </c>
      <c r="AA19" s="799">
        <f>(Z19+AA151)*(1-IFERROR(IF(AA$2+$F19&lt;=12,SUMIFS('Attrition Modeling'!$D:$D,'Attrition Modeling'!$B:$B,'IP Attrition'!$D19,'Attrition Modeling'!$C:$C,'IP Attrition'!AA$1),VLOOKUP($F19+AA$2,$A$6:$C$106,2,FALSE)*VLOOKUP(AA$1,'Attrition Modeling'!$L$15:$N$27,IF(AA$2+$F19&lt;=24,2,3),FALSE)),$C$3)*(1+Projection!AC$16)*(1+IF(AA151&gt;0,'Attrition Modeling'!$N$9,0)))</f>
        <v>0</v>
      </c>
      <c r="AB19" s="799">
        <f>(AA19+AB151)*(1-IFERROR(IF(AB$2+$F19&lt;=12,SUMIFS('Attrition Modeling'!$D:$D,'Attrition Modeling'!$B:$B,'IP Attrition'!$D19,'Attrition Modeling'!$C:$C,'IP Attrition'!AB$1),VLOOKUP($F19+AB$2,$A$6:$C$106,2,FALSE)*VLOOKUP(AB$1,'Attrition Modeling'!$L$15:$N$27,IF(AB$2+$F19&lt;=24,2,3),FALSE)),$C$3)*(1+Projection!AD$16)*(1+IF(AB151&gt;0,'Attrition Modeling'!$N$9,0)))</f>
        <v>0</v>
      </c>
      <c r="AC19" s="799">
        <f>(AB19+AC151)*(1-IFERROR(IF(AC$2+$F19&lt;=12,SUMIFS('Attrition Modeling'!$D:$D,'Attrition Modeling'!$B:$B,'IP Attrition'!$D19,'Attrition Modeling'!$C:$C,'IP Attrition'!AC$1),VLOOKUP($F19+AC$2,$A$6:$C$106,2,FALSE)*VLOOKUP(AC$1,'Attrition Modeling'!$L$15:$N$27,IF(AC$2+$F19&lt;=24,2,3),FALSE)),$C$3)*(1+Projection!AE$16)*(1+IF(AC151&gt;0,'Attrition Modeling'!$N$9,0)))</f>
        <v>0</v>
      </c>
      <c r="AD19" s="799">
        <f>(AC19+AD151)*(1-IFERROR(IF(AD$2+$F19&lt;=12,SUMIFS('Attrition Modeling'!$D:$D,'Attrition Modeling'!$B:$B,'IP Attrition'!$D19,'Attrition Modeling'!$C:$C,'IP Attrition'!AD$1),VLOOKUP($F19+AD$2,$A$6:$C$106,2,FALSE)*VLOOKUP(AD$1,'Attrition Modeling'!$L$15:$N$27,IF(AD$2+$F19&lt;=24,2,3),FALSE)),$C$3)*(1+Projection!AF$16)*(1+IF(AD151&gt;0,'Attrition Modeling'!$N$9,0)))</f>
        <v>0</v>
      </c>
      <c r="AE19" s="799">
        <f>(AD19+AE151)*(1-IFERROR(IF(AE$2+$F19&lt;=12,SUMIFS('Attrition Modeling'!$D:$D,'Attrition Modeling'!$B:$B,'IP Attrition'!$D19,'Attrition Modeling'!$C:$C,'IP Attrition'!AE$1),VLOOKUP($F19+AE$2,$A$6:$C$106,2,FALSE)*VLOOKUP(AE$1,'Attrition Modeling'!$L$15:$N$27,IF(AE$2+$F19&lt;=24,2,3),FALSE)),$C$3)*(1+Projection!AG$16)*(1+IF(AE151&gt;0,'Attrition Modeling'!$N$9,0)))</f>
        <v>0</v>
      </c>
      <c r="AF19" s="799">
        <f>(AE19+AF151)*(1-IFERROR(IF(AF$2+$F19&lt;=12,SUMIFS('Attrition Modeling'!$D:$D,'Attrition Modeling'!$B:$B,'IP Attrition'!$D19,'Attrition Modeling'!$C:$C,'IP Attrition'!AF$1),VLOOKUP($F19+AF$2,$A$6:$C$106,2,FALSE)*VLOOKUP(AF$1,'Attrition Modeling'!$L$15:$N$27,IF(AF$2+$F19&lt;=24,2,3),FALSE)),$C$3)*(1+Projection!AH$16)*(1+IF(AF151&gt;0,'Attrition Modeling'!$N$9,0)))</f>
        <v>0</v>
      </c>
      <c r="AG19" s="799">
        <f>(AF19+AG151)*(1-IFERROR(IF(AG$2+$F19&lt;=12,SUMIFS('Attrition Modeling'!$D:$D,'Attrition Modeling'!$B:$B,'IP Attrition'!$D19,'Attrition Modeling'!$C:$C,'IP Attrition'!AG$1),VLOOKUP($F19+AG$2,$A$6:$C$106,2,FALSE)*VLOOKUP(AG$1,'Attrition Modeling'!$L$15:$N$27,IF(AG$2+$F19&lt;=24,2,3),FALSE)),$C$3)*(1+Projection!AI$16)*(1+IF(AG151&gt;0,'Attrition Modeling'!$N$9,0)))</f>
        <v>0</v>
      </c>
      <c r="AH19" s="799">
        <f>(AG19+AH151)*(1-IFERROR(IF(AH$2+$F19&lt;=12,SUMIFS('Attrition Modeling'!$D:$D,'Attrition Modeling'!$B:$B,'IP Attrition'!$D19,'Attrition Modeling'!$C:$C,'IP Attrition'!AH$1),VLOOKUP($F19+AH$2,$A$6:$C$106,2,FALSE)*VLOOKUP(AH$1,'Attrition Modeling'!$L$15:$N$27,IF(AH$2+$F19&lt;=24,2,3),FALSE)),$C$3)*(1+Projection!AJ$16)*(1+IF(AH151&gt;0,'Attrition Modeling'!$N$9,0)))</f>
        <v>0</v>
      </c>
      <c r="AI19" s="799">
        <f>(AH19+AI151)*(1-IFERROR(IF(AI$2+$F19&lt;=12,SUMIFS('Attrition Modeling'!$D:$D,'Attrition Modeling'!$B:$B,'IP Attrition'!$D19,'Attrition Modeling'!$C:$C,'IP Attrition'!AI$1),VLOOKUP($F19+AI$2,$A$6:$C$106,2,FALSE)*VLOOKUP(AI$1,'Attrition Modeling'!$L$15:$N$27,IF(AI$2+$F19&lt;=24,2,3),FALSE)),$C$3)*(1+Projection!AK$16)*(1+IF(AI151&gt;0,'Attrition Modeling'!$N$9,0)))</f>
        <v>0</v>
      </c>
      <c r="AJ19" s="799">
        <f>(AI19+AJ151)*(1-IFERROR(IF(AJ$2+$F19&lt;=12,SUMIFS('Attrition Modeling'!$D:$D,'Attrition Modeling'!$B:$B,'IP Attrition'!$D19,'Attrition Modeling'!$C:$C,'IP Attrition'!AJ$1),VLOOKUP($F19+AJ$2,$A$6:$C$106,2,FALSE)*VLOOKUP(AJ$1,'Attrition Modeling'!$L$15:$N$27,IF(AJ$2+$F19&lt;=24,2,3),FALSE)),$C$3)*(1+Projection!AL$16)*(1+IF(AJ151&gt;0,'Attrition Modeling'!$N$9,0)))</f>
        <v>0</v>
      </c>
      <c r="AK19" s="799">
        <f>(AJ19+AK151)*(1-IFERROR(IF(AK$2+$F19&lt;=12,SUMIFS('Attrition Modeling'!$D:$D,'Attrition Modeling'!$B:$B,'IP Attrition'!$D19,'Attrition Modeling'!$C:$C,'IP Attrition'!AK$1),VLOOKUP($F19+AK$2,$A$6:$C$106,2,FALSE)*VLOOKUP(AK$1,'Attrition Modeling'!$L$15:$N$27,IF(AK$2+$F19&lt;=24,2,3),FALSE)),$C$3)*(1+Projection!AM$16)*(1+IF(AK151&gt;0,'Attrition Modeling'!$N$9,0)))</f>
        <v>0</v>
      </c>
      <c r="AL19" s="799">
        <f>(AK19+AL151)*(1-IFERROR(IF(AL$2+$F19&lt;=12,SUMIFS('Attrition Modeling'!$D:$D,'Attrition Modeling'!$B:$B,'IP Attrition'!$D19,'Attrition Modeling'!$C:$C,'IP Attrition'!AL$1),VLOOKUP($F19+AL$2,$A$6:$C$106,2,FALSE)*VLOOKUP(AL$1,'Attrition Modeling'!$L$15:$N$27,IF(AL$2+$F19&lt;=24,2,3),FALSE)),$C$3)*(1+Projection!AN$16)*(1+IF(AL151&gt;0,'Attrition Modeling'!$N$9,0)))</f>
        <v>0</v>
      </c>
      <c r="AM19" s="799">
        <f>(AL19+AM151)*(1-IFERROR(IF(AM$2+$F19&lt;=12,SUMIFS('Attrition Modeling'!$D:$D,'Attrition Modeling'!$B:$B,'IP Attrition'!$D19,'Attrition Modeling'!$C:$C,'IP Attrition'!AM$1),VLOOKUP($F19+AM$2,$A$6:$C$106,2,FALSE)*VLOOKUP(AM$1,'Attrition Modeling'!$L$15:$N$27,IF(AM$2+$F19&lt;=24,2,3),FALSE)),$C$3)*(1+Projection!AO$16)*(1+IF(AM151&gt;0,'Attrition Modeling'!$N$9,0)))</f>
        <v>0</v>
      </c>
      <c r="AN19" s="799">
        <f>(AM19+AN151)*(1-IFERROR(IF(AN$2+$F19&lt;=12,SUMIFS('Attrition Modeling'!$D:$D,'Attrition Modeling'!$B:$B,'IP Attrition'!$D19,'Attrition Modeling'!$C:$C,'IP Attrition'!AN$1),VLOOKUP($F19+AN$2,$A$6:$C$106,2,FALSE)*VLOOKUP(AN$1,'Attrition Modeling'!$L$15:$N$27,IF(AN$2+$F19&lt;=24,2,3),FALSE)),$C$3)*(1+Projection!AP$16)*(1+IF(AN151&gt;0,'Attrition Modeling'!$N$9,0)))</f>
        <v>0</v>
      </c>
      <c r="AO19" s="799">
        <f>(AN19+AO151)*(1-IFERROR(IF(AO$2+$F19&lt;=12,SUMIFS('Attrition Modeling'!$D:$D,'Attrition Modeling'!$B:$B,'IP Attrition'!$D19,'Attrition Modeling'!$C:$C,'IP Attrition'!AO$1),VLOOKUP($F19+AO$2,$A$6:$C$106,2,FALSE)*VLOOKUP(AO$1,'Attrition Modeling'!$L$15:$N$27,IF(AO$2+$F19&lt;=24,2,3),FALSE)),$C$3)*(1+Projection!AQ$16)*(1+IF(AO151&gt;0,'Attrition Modeling'!$N$9,0)))</f>
        <v>0</v>
      </c>
      <c r="AP19" s="799">
        <f>(AO19+AP151)*(1-IFERROR(IF(AP$2+$F19&lt;=12,SUMIFS('Attrition Modeling'!$D:$D,'Attrition Modeling'!$B:$B,'IP Attrition'!$D19,'Attrition Modeling'!$C:$C,'IP Attrition'!AP$1),VLOOKUP($F19+AP$2,$A$6:$C$106,2,FALSE)*VLOOKUP(AP$1,'Attrition Modeling'!$L$15:$N$27,IF(AP$2+$F19&lt;=24,2,3),FALSE)),$C$3)*(1+Projection!AR$16)*(1+IF(AP151&gt;0,'Attrition Modeling'!$N$9,0)))</f>
        <v>0</v>
      </c>
      <c r="AQ19" s="799">
        <f>(AP19+AQ151)*(1-IFERROR(IF(AQ$2+$F19&lt;=12,SUMIFS('Attrition Modeling'!$D:$D,'Attrition Modeling'!$B:$B,'IP Attrition'!$D19,'Attrition Modeling'!$C:$C,'IP Attrition'!AQ$1),VLOOKUP($F19+AQ$2,$A$6:$C$106,2,FALSE)*VLOOKUP(AQ$1,'Attrition Modeling'!$L$15:$N$27,IF(AQ$2+$F19&lt;=24,2,3),FALSE)),$C$3)*(1+Projection!AS$16)*(1+IF(AQ151&gt;0,'Attrition Modeling'!$N$9,0)))</f>
        <v>0</v>
      </c>
      <c r="AR19" s="799">
        <f>(AQ19+AR151)*(1-IFERROR(IF(AR$2+$F19&lt;=12,SUMIFS('Attrition Modeling'!$D:$D,'Attrition Modeling'!$B:$B,'IP Attrition'!$D19,'Attrition Modeling'!$C:$C,'IP Attrition'!AR$1),VLOOKUP($F19+AR$2,$A$6:$C$106,2,FALSE)*VLOOKUP(AR$1,'Attrition Modeling'!$L$15:$N$27,IF(AR$2+$F19&lt;=24,2,3),FALSE)),$C$3)*(1+Projection!AT$16)*(1+IF(AR151&gt;0,'Attrition Modeling'!$N$9,0)))</f>
        <v>0</v>
      </c>
      <c r="AS19" s="799">
        <f>(AR19+AS151)*(1-IFERROR(IF(AS$2+$F19&lt;=12,SUMIFS('Attrition Modeling'!$D:$D,'Attrition Modeling'!$B:$B,'IP Attrition'!$D19,'Attrition Modeling'!$C:$C,'IP Attrition'!AS$1),VLOOKUP($F19+AS$2,$A$6:$C$106,2,FALSE)*VLOOKUP(AS$1,'Attrition Modeling'!$L$15:$N$27,IF(AS$2+$F19&lt;=24,2,3),FALSE)),$C$3)*(1+Projection!AU$16)*(1+IF(AS151&gt;0,'Attrition Modeling'!$N$9,0)))</f>
        <v>0</v>
      </c>
      <c r="AT19" s="799">
        <f>(AS19+AT151)*(1-IFERROR(IF(AT$2+$F19&lt;=12,SUMIFS('Attrition Modeling'!$D:$D,'Attrition Modeling'!$B:$B,'IP Attrition'!$D19,'Attrition Modeling'!$C:$C,'IP Attrition'!AT$1),VLOOKUP($F19+AT$2,$A$6:$C$106,2,FALSE)*VLOOKUP(AT$1,'Attrition Modeling'!$L$15:$N$27,IF(AT$2+$F19&lt;=24,2,3),FALSE)),$C$3)*(1+Projection!AV$16)*(1+IF(AT151&gt;0,'Attrition Modeling'!$N$9,0)))</f>
        <v>0</v>
      </c>
      <c r="AU19" s="799">
        <f>(AT19+AU151)*(1-IFERROR(IF(AU$2+$F19&lt;=12,SUMIFS('Attrition Modeling'!$D:$D,'Attrition Modeling'!$B:$B,'IP Attrition'!$D19,'Attrition Modeling'!$C:$C,'IP Attrition'!AU$1),VLOOKUP($F19+AU$2,$A$6:$C$106,2,FALSE)*VLOOKUP(AU$1,'Attrition Modeling'!$L$15:$N$27,IF(AU$2+$F19&lt;=24,2,3),FALSE)),$C$3)*(1+Projection!AW$16)*(1+IF(AU151&gt;0,'Attrition Modeling'!$N$9,0)))</f>
        <v>0</v>
      </c>
      <c r="AV19" s="799">
        <f>(AU19+AV151)*(1-IFERROR(IF(AV$2+$F19&lt;=12,SUMIFS('Attrition Modeling'!$D:$D,'Attrition Modeling'!$B:$B,'IP Attrition'!$D19,'Attrition Modeling'!$C:$C,'IP Attrition'!AV$1),VLOOKUP($F19+AV$2,$A$6:$C$106,2,FALSE)*VLOOKUP(AV$1,'Attrition Modeling'!$L$15:$N$27,IF(AV$2+$F19&lt;=24,2,3),FALSE)),$C$3)*(1+Projection!AX$16)*(1+IF(AV151&gt;0,'Attrition Modeling'!$N$9,0)))</f>
        <v>0</v>
      </c>
      <c r="AW19" s="799">
        <f>(AV19+AW151)*(1-IFERROR(IF(AW$2+$F19&lt;=12,SUMIFS('Attrition Modeling'!$D:$D,'Attrition Modeling'!$B:$B,'IP Attrition'!$D19,'Attrition Modeling'!$C:$C,'IP Attrition'!AW$1),VLOOKUP($F19+AW$2,$A$6:$C$106,2,FALSE)*VLOOKUP(AW$1,'Attrition Modeling'!$L$15:$N$27,IF(AW$2+$F19&lt;=24,2,3),FALSE)),$C$3)*(1+Projection!AY$16)*(1+IF(AW151&gt;0,'Attrition Modeling'!$N$9,0)))</f>
        <v>0</v>
      </c>
      <c r="AX19" s="799">
        <f>(AW19+AX151)*(1-IFERROR(IF(AX$2+$F19&lt;=12,SUMIFS('Attrition Modeling'!$D:$D,'Attrition Modeling'!$B:$B,'IP Attrition'!$D19,'Attrition Modeling'!$C:$C,'IP Attrition'!AX$1),VLOOKUP($F19+AX$2,$A$6:$C$106,2,FALSE)*VLOOKUP(AX$1,'Attrition Modeling'!$L$15:$N$27,IF(AX$2+$F19&lt;=24,2,3),FALSE)),$C$3)*(1+Projection!AZ$16)*(1+IF(AX151&gt;0,'Attrition Modeling'!$N$9,0)))</f>
        <v>0</v>
      </c>
      <c r="AY19" s="799">
        <f>(AX19+AY151)*(1-IFERROR(IF(AY$2+$F19&lt;=12,SUMIFS('Attrition Modeling'!$D:$D,'Attrition Modeling'!$B:$B,'IP Attrition'!$D19,'Attrition Modeling'!$C:$C,'IP Attrition'!AY$1),VLOOKUP($F19+AY$2,$A$6:$C$106,2,FALSE)*VLOOKUP(AY$1,'Attrition Modeling'!$L$15:$N$27,IF(AY$2+$F19&lt;=24,2,3),FALSE)),$C$3)*(1+Projection!BA$16)*(1+IF(AY151&gt;0,'Attrition Modeling'!$N$9,0)))</f>
        <v>0</v>
      </c>
      <c r="AZ19" s="799">
        <f>(AY19+AZ151)*(1-IFERROR(IF(AZ$2+$F19&lt;=12,SUMIFS('Attrition Modeling'!$D:$D,'Attrition Modeling'!$B:$B,'IP Attrition'!$D19,'Attrition Modeling'!$C:$C,'IP Attrition'!AZ$1),VLOOKUP($F19+AZ$2,$A$6:$C$106,2,FALSE)*VLOOKUP(AZ$1,'Attrition Modeling'!$L$15:$N$27,IF(AZ$2+$F19&lt;=24,2,3),FALSE)),$C$3)*(1+Projection!BB$16)*(1+IF(AZ151&gt;0,'Attrition Modeling'!$N$9,0)))</f>
        <v>0</v>
      </c>
      <c r="BA19" s="799">
        <f>(AZ19+BA151)*(1-IFERROR(IF(BA$2+$F19&lt;=12,SUMIFS('Attrition Modeling'!$D:$D,'Attrition Modeling'!$B:$B,'IP Attrition'!$D19,'Attrition Modeling'!$C:$C,'IP Attrition'!BA$1),VLOOKUP($F19+BA$2,$A$6:$C$106,2,FALSE)*VLOOKUP(BA$1,'Attrition Modeling'!$L$15:$N$27,IF(BA$2+$F19&lt;=24,2,3),FALSE)),$C$3)*(1+Projection!BC$16)*(1+IF(BA151&gt;0,'Attrition Modeling'!$N$9,0)))</f>
        <v>0</v>
      </c>
      <c r="BB19" s="799">
        <f>(BA19+BB151)*(1-IFERROR(IF(BB$2+$F19&lt;=12,SUMIFS('Attrition Modeling'!$D:$D,'Attrition Modeling'!$B:$B,'IP Attrition'!$D19,'Attrition Modeling'!$C:$C,'IP Attrition'!BB$1),VLOOKUP($F19+BB$2,$A$6:$C$106,2,FALSE)*VLOOKUP(BB$1,'Attrition Modeling'!$L$15:$N$27,IF(BB$2+$F19&lt;=24,2,3),FALSE)),$C$3)*(1+Projection!BD$16)*(1+IF(BB151&gt;0,'Attrition Modeling'!$N$9,0)))</f>
        <v>0</v>
      </c>
      <c r="BC19" s="799">
        <f>(BB19+BC151)*(1-IFERROR(IF(BC$2+$F19&lt;=12,SUMIFS('Attrition Modeling'!$D:$D,'Attrition Modeling'!$B:$B,'IP Attrition'!$D19,'Attrition Modeling'!$C:$C,'IP Attrition'!BC$1),VLOOKUP($F19+BC$2,$A$6:$C$106,2,FALSE)*VLOOKUP(BC$1,'Attrition Modeling'!$L$15:$N$27,IF(BC$2+$F19&lt;=24,2,3),FALSE)),$C$3)*(1+Projection!BE$16)*(1+IF(BC151&gt;0,'Attrition Modeling'!$N$9,0)))</f>
        <v>0</v>
      </c>
      <c r="BD19" s="799">
        <f>(BC19+BD151)*(1-IFERROR(IF(BD$2+$F19&lt;=12,SUMIFS('Attrition Modeling'!$D:$D,'Attrition Modeling'!$B:$B,'IP Attrition'!$D19,'Attrition Modeling'!$C:$C,'IP Attrition'!BD$1),VLOOKUP($F19+BD$2,$A$6:$C$106,2,FALSE)*VLOOKUP(BD$1,'Attrition Modeling'!$L$15:$N$27,IF(BD$2+$F19&lt;=24,2,3),FALSE)),$C$3)*(1+Projection!BF$16)*(1+IF(BD151&gt;0,'Attrition Modeling'!$N$9,0)))</f>
        <v>0</v>
      </c>
      <c r="BE19" s="799">
        <f>(BD19+BE151)*(1-IFERROR(IF(BE$2+$F19&lt;=12,SUMIFS('Attrition Modeling'!$D:$D,'Attrition Modeling'!$B:$B,'IP Attrition'!$D19,'Attrition Modeling'!$C:$C,'IP Attrition'!BE$1),VLOOKUP($F19+BE$2,$A$6:$C$106,2,FALSE)*VLOOKUP(BE$1,'Attrition Modeling'!$L$15:$N$27,IF(BE$2+$F19&lt;=24,2,3),FALSE)),$C$3)*(1+Projection!BG$16)*(1+IF(BE151&gt;0,'Attrition Modeling'!$N$9,0)))</f>
        <v>0</v>
      </c>
      <c r="BF19" s="799">
        <f>(BE19+BF151)*(1-IFERROR(IF(BF$2+$F19&lt;=12,SUMIFS('Attrition Modeling'!$D:$D,'Attrition Modeling'!$B:$B,'IP Attrition'!$D19,'Attrition Modeling'!$C:$C,'IP Attrition'!BF$1),VLOOKUP($F19+BF$2,$A$6:$C$106,2,FALSE)*VLOOKUP(BF$1,'Attrition Modeling'!$L$15:$N$27,IF(BF$2+$F19&lt;=24,2,3),FALSE)),$C$3)*(1+Projection!BH$16)*(1+IF(BF151&gt;0,'Attrition Modeling'!$N$9,0)))</f>
        <v>0</v>
      </c>
      <c r="BG19" s="799">
        <f>(BF19+BG151)*(1-IFERROR(IF(BG$2+$F19&lt;=12,SUMIFS('Attrition Modeling'!$D:$D,'Attrition Modeling'!$B:$B,'IP Attrition'!$D19,'Attrition Modeling'!$C:$C,'IP Attrition'!BG$1),VLOOKUP($F19+BG$2,$A$6:$C$106,2,FALSE)*VLOOKUP(BG$1,'Attrition Modeling'!$L$15:$N$27,IF(BG$2+$F19&lt;=24,2,3),FALSE)),$C$3)*(1+Projection!BI$16)*(1+IF(BG151&gt;0,'Attrition Modeling'!$N$9,0)))</f>
        <v>0</v>
      </c>
      <c r="BH19" s="799">
        <f>(BG19+BH151)*(1-IFERROR(IF(BH$2+$F19&lt;=12,SUMIFS('Attrition Modeling'!$D:$D,'Attrition Modeling'!$B:$B,'IP Attrition'!$D19,'Attrition Modeling'!$C:$C,'IP Attrition'!BH$1),VLOOKUP($F19+BH$2,$A$6:$C$106,2,FALSE)*VLOOKUP(BH$1,'Attrition Modeling'!$L$15:$N$27,IF(BH$2+$F19&lt;=24,2,3),FALSE)),$C$3)*(1+Projection!BJ$16)*(1+IF(BH151&gt;0,'Attrition Modeling'!$N$9,0)))</f>
        <v>0</v>
      </c>
      <c r="BI19" s="799">
        <f>(BH19+BI151)*(1-IFERROR(IF(BI$2+$F19&lt;=12,SUMIFS('Attrition Modeling'!$D:$D,'Attrition Modeling'!$B:$B,'IP Attrition'!$D19,'Attrition Modeling'!$C:$C,'IP Attrition'!BI$1),VLOOKUP($F19+BI$2,$A$6:$C$106,2,FALSE)*VLOOKUP(BI$1,'Attrition Modeling'!$L$15:$N$27,IF(BI$2+$F19&lt;=24,2,3),FALSE)),$C$3)*(1+Projection!BK$16)*(1+IF(BI151&gt;0,'Attrition Modeling'!$N$9,0)))</f>
        <v>0</v>
      </c>
      <c r="BJ19" s="799">
        <f>(BI19+BJ151)*(1-IFERROR(IF(BJ$2+$F19&lt;=12,SUMIFS('Attrition Modeling'!$D:$D,'Attrition Modeling'!$B:$B,'IP Attrition'!$D19,'Attrition Modeling'!$C:$C,'IP Attrition'!BJ$1),VLOOKUP($F19+BJ$2,$A$6:$C$106,2,FALSE)*VLOOKUP(BJ$1,'Attrition Modeling'!$L$15:$N$27,IF(BJ$2+$F19&lt;=24,2,3),FALSE)),$C$3)*(1+Projection!BL$16)*(1+IF(BJ151&gt;0,'Attrition Modeling'!$N$9,0)))</f>
        <v>0</v>
      </c>
      <c r="BK19" s="799">
        <f>(BJ19+BK151)*(1-IFERROR(IF(BK$2+$F19&lt;=12,SUMIFS('Attrition Modeling'!$D:$D,'Attrition Modeling'!$B:$B,'IP Attrition'!$D19,'Attrition Modeling'!$C:$C,'IP Attrition'!BK$1),VLOOKUP($F19+BK$2,$A$6:$C$106,2,FALSE)*VLOOKUP(BK$1,'Attrition Modeling'!$L$15:$N$27,IF(BK$2+$F19&lt;=24,2,3),FALSE)),$C$3)*(1+Projection!BM$16)*(1+IF(BK151&gt;0,'Attrition Modeling'!$N$9,0)))</f>
        <v>0</v>
      </c>
      <c r="BL19" s="799">
        <f>(BK19+BL151)*(1-IFERROR(IF(BL$2+$F19&lt;=12,SUMIFS('Attrition Modeling'!$D:$D,'Attrition Modeling'!$B:$B,'IP Attrition'!$D19,'Attrition Modeling'!$C:$C,'IP Attrition'!BL$1),VLOOKUP($F19+BL$2,$A$6:$C$106,2,FALSE)*VLOOKUP(BL$1,'Attrition Modeling'!$L$15:$N$27,IF(BL$2+$F19&lt;=24,2,3),FALSE)),$C$3)*(1+Projection!BN$16)*(1+IF(BL151&gt;0,'Attrition Modeling'!$N$9,0)))</f>
        <v>0</v>
      </c>
      <c r="BM19" s="799">
        <f>(BL19+BM151)*(1-IFERROR(IF(BM$2+$F19&lt;=12,SUMIFS('Attrition Modeling'!$D:$D,'Attrition Modeling'!$B:$B,'IP Attrition'!$D19,'Attrition Modeling'!$C:$C,'IP Attrition'!BM$1),VLOOKUP($F19+BM$2,$A$6:$C$106,2,FALSE)*VLOOKUP(BM$1,'Attrition Modeling'!$L$15:$N$27,IF(BM$2+$F19&lt;=24,2,3),FALSE)),$C$3)*(1+Projection!BO$16)*(1+IF(BM151&gt;0,'Attrition Modeling'!$N$9,0)))</f>
        <v>0</v>
      </c>
      <c r="BN19" s="799">
        <f>(BM19+BN151)*(1-IFERROR(IF(BN$2+$F19&lt;=12,SUMIFS('Attrition Modeling'!$D:$D,'Attrition Modeling'!$B:$B,'IP Attrition'!$D19,'Attrition Modeling'!$C:$C,'IP Attrition'!BN$1),VLOOKUP($F19+BN$2,$A$6:$C$106,2,FALSE)*VLOOKUP(BN$1,'Attrition Modeling'!$L$15:$N$27,IF(BN$2+$F19&lt;=24,2,3),FALSE)),$C$3)*(1+Projection!BP$16)*(1+IF(BN151&gt;0,'Attrition Modeling'!$N$9,0)))</f>
        <v>0</v>
      </c>
      <c r="BO19" s="799">
        <f>(BN19+BO151)*(1-IFERROR(IF(BO$2+$F19&lt;=12,SUMIFS('Attrition Modeling'!$D:$D,'Attrition Modeling'!$B:$B,'IP Attrition'!$D19,'Attrition Modeling'!$C:$C,'IP Attrition'!BO$1),VLOOKUP($F19+BO$2,$A$6:$C$106,2,FALSE)*VLOOKUP(BO$1,'Attrition Modeling'!$L$15:$N$27,IF(BO$2+$F19&lt;=24,2,3),FALSE)),$C$3)*(1+Projection!BV$16)*(1+IF(BO151&gt;0,'Attrition Modeling'!$N$9,0)))</f>
        <v>0</v>
      </c>
      <c r="BP19" s="799">
        <f>(BO19+BP151)*(1-IFERROR(IF(BP$2+$F19&lt;=12,SUMIFS('Attrition Modeling'!$D:$D,'Attrition Modeling'!$B:$B,'IP Attrition'!$D19,'Attrition Modeling'!$C:$C,'IP Attrition'!BP$1),VLOOKUP($F19+BP$2,$A$6:$C$106,2,FALSE)*VLOOKUP(BP$1,'Attrition Modeling'!$L$15:$N$27,IF(BP$2+$F19&lt;=24,2,3),FALSE)),$C$3)*(1+Projection!BW$16)*(1+IF(BP151&gt;0,'Attrition Modeling'!$N$9,0)))</f>
        <v>0</v>
      </c>
      <c r="BQ19" s="799">
        <f>(BP19+BQ151)*(1-IFERROR(IF(BQ$2+$F19&lt;=12,SUMIFS('Attrition Modeling'!$D:$D,'Attrition Modeling'!$B:$B,'IP Attrition'!$D19,'Attrition Modeling'!$C:$C,'IP Attrition'!BQ$1),VLOOKUP($F19+BQ$2,$A$6:$C$106,2,FALSE)*VLOOKUP(BQ$1,'Attrition Modeling'!$L$15:$N$27,IF(BQ$2+$F19&lt;=24,2,3),FALSE)),$C$3)*(1+Projection!BX$16)*(1+IF(BQ151&gt;0,'Attrition Modeling'!$N$9,0)))</f>
        <v>0</v>
      </c>
      <c r="BR19" s="799">
        <f>(BQ19+BR151)*(1-IFERROR(IF(BR$2+$F19&lt;=12,SUMIFS('Attrition Modeling'!$D:$D,'Attrition Modeling'!$B:$B,'IP Attrition'!$D19,'Attrition Modeling'!$C:$C,'IP Attrition'!BR$1),VLOOKUP($F19+BR$2,$A$6:$C$106,2,FALSE)*VLOOKUP(BR$1,'Attrition Modeling'!$L$15:$N$27,IF(BR$2+$F19&lt;=24,2,3),FALSE)),$C$3)*(1+Projection!BY$16)*(1+IF(BR151&gt;0,'Attrition Modeling'!$N$9,0)))</f>
        <v>0</v>
      </c>
      <c r="BS19" s="799">
        <f>(BR19+BS151)*(1-IFERROR(IF(BS$2+$F19&lt;=12,SUMIFS('Attrition Modeling'!$D:$D,'Attrition Modeling'!$B:$B,'IP Attrition'!$D19,'Attrition Modeling'!$C:$C,'IP Attrition'!BS$1),VLOOKUP($F19+BS$2,$A$6:$C$106,2,FALSE)*VLOOKUP(BS$1,'Attrition Modeling'!$L$15:$N$27,IF(BS$2+$F19&lt;=24,2,3),FALSE)),$C$3)*(1+Projection!BZ$16)*(1+IF(BS151&gt;0,'Attrition Modeling'!$N$9,0)))</f>
        <v>0</v>
      </c>
      <c r="BT19" s="799" t="e">
        <f>(BS19+BT151)*(1-IFERROR(IF(BT$2+$F19&lt;=12,SUMIFS('Attrition Modeling'!$D:$D,'Attrition Modeling'!$B:$B,'IP Attrition'!$D19,'Attrition Modeling'!$C:$C,'IP Attrition'!BT$1),VLOOKUP($F19+BT$2,$A$6:$C$106,2,FALSE)*VLOOKUP(BT$1,'Attrition Modeling'!$L$15:$N$27,IF(BT$2+$F19&lt;=24,2,3),FALSE)),$C$3)*(1+Projection!CA$16)*(1+IF(BT151&gt;0,'Attrition Modeling'!$N$9,0)))</f>
        <v>#REF!</v>
      </c>
      <c r="BU19" s="799" t="e">
        <f>(BT19+BU151)*(1-IFERROR(IF(BU$2+$F19&lt;=12,SUMIFS('Attrition Modeling'!$D:$D,'Attrition Modeling'!$B:$B,'IP Attrition'!$D19,'Attrition Modeling'!$C:$C,'IP Attrition'!BU$1),VLOOKUP($F19+BU$2,$A$6:$C$106,2,FALSE)*VLOOKUP(BU$1,'Attrition Modeling'!$L$15:$N$27,IF(BU$2+$F19&lt;=24,2,3),FALSE)),$C$3)*(1+Projection!CB$16)*(1+IF(BU151&gt;0,'Attrition Modeling'!$N$9,0)))</f>
        <v>#REF!</v>
      </c>
    </row>
    <row r="20" spans="1:73" ht="14.25" customHeight="1" x14ac:dyDescent="0.2">
      <c r="A20" s="9">
        <v>13</v>
      </c>
      <c r="B20" s="25">
        <f>MAX('Attrition Modeling'!H17,$C$3)*(1-Summary!$C$20)</f>
        <v>5.0287655801895564E-2</v>
      </c>
      <c r="C20" s="24" t="e">
        <f t="shared" si="3"/>
        <v>#DIV/0!</v>
      </c>
      <c r="D20" s="11">
        <f t="shared" si="1"/>
        <v>-17</v>
      </c>
      <c r="E20" s="807">
        <f t="array" ref="E20">INDEX('Attrition Modeling'!$X$2:$AF$63,MATCH($F20,'Attrition Modeling'!$X$2:$X$63,0),MATCH(Inputs!$C$10,'Attrition Modeling'!$X$2:$AF$2,0))</f>
        <v>0</v>
      </c>
      <c r="F20" s="11">
        <f t="shared" si="2"/>
        <v>17</v>
      </c>
      <c r="G20" s="799">
        <f>Summary!$C$25*$E20</f>
        <v>0</v>
      </c>
      <c r="H20" s="799">
        <f>(G20+H152)*(1-IFERROR(IF(H$2+$F20&lt;=12,SUMIFS('Attrition Modeling'!$D:$D,'Attrition Modeling'!$B:$B,'IP Attrition'!$D20,'Attrition Modeling'!$C:$C,'IP Attrition'!H$1),VLOOKUP($F20+H$2,$A$6:$C$106,2,FALSE)*VLOOKUP(H$1,'Attrition Modeling'!$L$15:$N$27,IF(H$2+$F20&lt;=24,2,3),FALSE)),$C$3)*(1+Projection!J$16)*(1+IF(H152&gt;0,'Attrition Modeling'!$N$9,0)))</f>
        <v>0</v>
      </c>
      <c r="I20" s="799">
        <f>(H20+I152)*(1-IFERROR(IF(I$2+$F20&lt;=12,SUMIFS('Attrition Modeling'!$D:$D,'Attrition Modeling'!$B:$B,'IP Attrition'!$D20,'Attrition Modeling'!$C:$C,'IP Attrition'!I$1),VLOOKUP($F20+I$2,$A$6:$C$106,2,FALSE)*VLOOKUP(I$1,'Attrition Modeling'!$L$15:$N$27,IF(I$2+$F20&lt;=24,2,3),FALSE)),$C$3)*(1+Projection!K$16)*(1+IF(I152&gt;0,'Attrition Modeling'!$N$9,0)))</f>
        <v>0</v>
      </c>
      <c r="J20" s="799">
        <f>(I20+J152)*(1-IFERROR(IF(J$2+$F20&lt;=12,SUMIFS('Attrition Modeling'!$D:$D,'Attrition Modeling'!$B:$B,'IP Attrition'!$D20,'Attrition Modeling'!$C:$C,'IP Attrition'!J$1),VLOOKUP($F20+J$2,$A$6:$C$106,2,FALSE)*VLOOKUP(J$1,'Attrition Modeling'!$L$15:$N$27,IF(J$2+$F20&lt;=24,2,3),FALSE)),$C$3)*(1+Projection!L$16)*(1+IF(J152&gt;0,'Attrition Modeling'!$N$9,0)))</f>
        <v>0</v>
      </c>
      <c r="K20" s="799">
        <f>(J20+K152)*(1-IFERROR(IF(K$2+$F20&lt;=12,SUMIFS('Attrition Modeling'!$D:$D,'Attrition Modeling'!$B:$B,'IP Attrition'!$D20,'Attrition Modeling'!$C:$C,'IP Attrition'!K$1),VLOOKUP($F20+K$2,$A$6:$C$106,2,FALSE)*VLOOKUP(K$1,'Attrition Modeling'!$L$15:$N$27,IF(K$2+$F20&lt;=24,2,3),FALSE)),$C$3)*(1+Projection!M$16)*(1+IF(K152&gt;0,'Attrition Modeling'!$N$9,0)))</f>
        <v>0</v>
      </c>
      <c r="L20" s="799">
        <f>(K20+L152)*(1-IFERROR(IF(L$2+$F20&lt;=12,SUMIFS('Attrition Modeling'!$D:$D,'Attrition Modeling'!$B:$B,'IP Attrition'!$D20,'Attrition Modeling'!$C:$C,'IP Attrition'!L$1),VLOOKUP($F20+L$2,$A$6:$C$106,2,FALSE)*VLOOKUP(L$1,'Attrition Modeling'!$L$15:$N$27,IF(L$2+$F20&lt;=24,2,3),FALSE)),$C$3)*(1+Projection!N$16)*(1+IF(L152&gt;0,'Attrition Modeling'!$N$9,0)))</f>
        <v>0</v>
      </c>
      <c r="M20" s="799">
        <f>(L20+M152)*(1-IFERROR(IF(M$2+$F20&lt;=12,SUMIFS('Attrition Modeling'!$D:$D,'Attrition Modeling'!$B:$B,'IP Attrition'!$D20,'Attrition Modeling'!$C:$C,'IP Attrition'!M$1),VLOOKUP($F20+M$2,$A$6:$C$106,2,FALSE)*VLOOKUP(M$1,'Attrition Modeling'!$L$15:$N$27,IF(M$2+$F20&lt;=24,2,3),FALSE)),$C$3)*(1+Projection!O$16)*(1+IF(M152&gt;0,'Attrition Modeling'!$N$9,0)))</f>
        <v>0</v>
      </c>
      <c r="N20" s="799">
        <f>(M20+N152)*(1-IFERROR(IF(N$2+$F20&lt;=12,SUMIFS('Attrition Modeling'!$D:$D,'Attrition Modeling'!$B:$B,'IP Attrition'!$D20,'Attrition Modeling'!$C:$C,'IP Attrition'!N$1),VLOOKUP($F20+N$2,$A$6:$C$106,2,FALSE)*VLOOKUP(N$1,'Attrition Modeling'!$L$15:$N$27,IF(N$2+$F20&lt;=24,2,3),FALSE)),$C$3)*(1+Projection!P$16)*(1+IF(N152&gt;0,'Attrition Modeling'!$N$9,0)))</f>
        <v>0</v>
      </c>
      <c r="O20" s="799">
        <f>(N20+O152)*(1-IFERROR(IF(O$2+$F20&lt;=12,SUMIFS('Attrition Modeling'!$D:$D,'Attrition Modeling'!$B:$B,'IP Attrition'!$D20,'Attrition Modeling'!$C:$C,'IP Attrition'!O$1),VLOOKUP($F20+O$2,$A$6:$C$106,2,FALSE)*VLOOKUP(O$1,'Attrition Modeling'!$L$15:$N$27,IF(O$2+$F20&lt;=24,2,3),FALSE)),$C$3)*(1+Projection!Q$16)*(1+IF(O152&gt;0,'Attrition Modeling'!$N$9,0)))</f>
        <v>0</v>
      </c>
      <c r="P20" s="799">
        <f>(O20+P152)*(1-IFERROR(IF(P$2+$F20&lt;=12,SUMIFS('Attrition Modeling'!$D:$D,'Attrition Modeling'!$B:$B,'IP Attrition'!$D20,'Attrition Modeling'!$C:$C,'IP Attrition'!P$1),VLOOKUP($F20+P$2,$A$6:$C$106,2,FALSE)*VLOOKUP(P$1,'Attrition Modeling'!$L$15:$N$27,IF(P$2+$F20&lt;=24,2,3),FALSE)),$C$3)*(1+Projection!R$16)*(1+IF(P152&gt;0,'Attrition Modeling'!$N$9,0)))</f>
        <v>0</v>
      </c>
      <c r="Q20" s="799">
        <f>(P20+Q152)*(1-IFERROR(IF(Q$2+$F20&lt;=12,SUMIFS('Attrition Modeling'!$D:$D,'Attrition Modeling'!$B:$B,'IP Attrition'!$D20,'Attrition Modeling'!$C:$C,'IP Attrition'!Q$1),VLOOKUP($F20+Q$2,$A$6:$C$106,2,FALSE)*VLOOKUP(Q$1,'Attrition Modeling'!$L$15:$N$27,IF(Q$2+$F20&lt;=24,2,3),FALSE)),$C$3)*(1+Projection!S$16)*(1+IF(Q152&gt;0,'Attrition Modeling'!$N$9,0)))</f>
        <v>0</v>
      </c>
      <c r="R20" s="799">
        <f>(Q20+R152)*(1-IFERROR(IF(R$2+$F20&lt;=12,SUMIFS('Attrition Modeling'!$D:$D,'Attrition Modeling'!$B:$B,'IP Attrition'!$D20,'Attrition Modeling'!$C:$C,'IP Attrition'!R$1),VLOOKUP($F20+R$2,$A$6:$C$106,2,FALSE)*VLOOKUP(R$1,'Attrition Modeling'!$L$15:$N$27,IF(R$2+$F20&lt;=24,2,3),FALSE)),$C$3)*(1+Projection!T$16)*(1+IF(R152&gt;0,'Attrition Modeling'!$N$9,0)))</f>
        <v>0</v>
      </c>
      <c r="S20" s="799">
        <f>(R20+S152)*(1-IFERROR(IF(S$2+$F20&lt;=12,SUMIFS('Attrition Modeling'!$D:$D,'Attrition Modeling'!$B:$B,'IP Attrition'!$D20,'Attrition Modeling'!$C:$C,'IP Attrition'!S$1),VLOOKUP($F20+S$2,$A$6:$C$106,2,FALSE)*VLOOKUP(S$1,'Attrition Modeling'!$L$15:$N$27,IF(S$2+$F20&lt;=24,2,3),FALSE)),$C$3)*(1+Projection!U$16)*(1+IF(S152&gt;0,'Attrition Modeling'!$N$9,0)))</f>
        <v>0</v>
      </c>
      <c r="T20" s="799">
        <f>(S20+T152)*(1-IFERROR(IF(T$2+$F20&lt;=12,SUMIFS('Attrition Modeling'!$D:$D,'Attrition Modeling'!$B:$B,'IP Attrition'!$D20,'Attrition Modeling'!$C:$C,'IP Attrition'!T$1),VLOOKUP($F20+T$2,$A$6:$C$106,2,FALSE)*VLOOKUP(T$1,'Attrition Modeling'!$L$15:$N$27,IF(T$2+$F20&lt;=24,2,3),FALSE)),$C$3)*(1+Projection!V$16)*(1+IF(T152&gt;0,'Attrition Modeling'!$N$9,0)))</f>
        <v>0</v>
      </c>
      <c r="U20" s="799">
        <f>(T20+U152)*(1-IFERROR(IF(U$2+$F20&lt;=12,SUMIFS('Attrition Modeling'!$D:$D,'Attrition Modeling'!$B:$B,'IP Attrition'!$D20,'Attrition Modeling'!$C:$C,'IP Attrition'!U$1),VLOOKUP($F20+U$2,$A$6:$C$106,2,FALSE)*VLOOKUP(U$1,'Attrition Modeling'!$L$15:$N$27,IF(U$2+$F20&lt;=24,2,3),FALSE)),$C$3)*(1+Projection!W$16)*(1+IF(U152&gt;0,'Attrition Modeling'!$N$9,0)))</f>
        <v>0</v>
      </c>
      <c r="V20" s="799">
        <f>(U20+V152)*(1-IFERROR(IF(V$2+$F20&lt;=12,SUMIFS('Attrition Modeling'!$D:$D,'Attrition Modeling'!$B:$B,'IP Attrition'!$D20,'Attrition Modeling'!$C:$C,'IP Attrition'!V$1),VLOOKUP($F20+V$2,$A$6:$C$106,2,FALSE)*VLOOKUP(V$1,'Attrition Modeling'!$L$15:$N$27,IF(V$2+$F20&lt;=24,2,3),FALSE)),$C$3)*(1+Projection!X$16)*(1+IF(V152&gt;0,'Attrition Modeling'!$N$9,0)))</f>
        <v>0</v>
      </c>
      <c r="W20" s="799">
        <f>(V20+W152)*(1-IFERROR(IF(W$2+$F20&lt;=12,SUMIFS('Attrition Modeling'!$D:$D,'Attrition Modeling'!$B:$B,'IP Attrition'!$D20,'Attrition Modeling'!$C:$C,'IP Attrition'!W$1),VLOOKUP($F20+W$2,$A$6:$C$106,2,FALSE)*VLOOKUP(W$1,'Attrition Modeling'!$L$15:$N$27,IF(W$2+$F20&lt;=24,2,3),FALSE)),$C$3)*(1+Projection!Y$16)*(1+IF(W152&gt;0,'Attrition Modeling'!$N$9,0)))</f>
        <v>0</v>
      </c>
      <c r="X20" s="799">
        <f>(W20+X152)*(1-IFERROR(IF(X$2+$F20&lt;=12,SUMIFS('Attrition Modeling'!$D:$D,'Attrition Modeling'!$B:$B,'IP Attrition'!$D20,'Attrition Modeling'!$C:$C,'IP Attrition'!X$1),VLOOKUP($F20+X$2,$A$6:$C$106,2,FALSE)*VLOOKUP(X$1,'Attrition Modeling'!$L$15:$N$27,IF(X$2+$F20&lt;=24,2,3),FALSE)),$C$3)*(1+Projection!Z$16)*(1+IF(X152&gt;0,'Attrition Modeling'!$N$9,0)))</f>
        <v>0</v>
      </c>
      <c r="Y20" s="799">
        <f>(X20+Y152)*(1-IFERROR(IF(Y$2+$F20&lt;=12,SUMIFS('Attrition Modeling'!$D:$D,'Attrition Modeling'!$B:$B,'IP Attrition'!$D20,'Attrition Modeling'!$C:$C,'IP Attrition'!Y$1),VLOOKUP($F20+Y$2,$A$6:$C$106,2,FALSE)*VLOOKUP(Y$1,'Attrition Modeling'!$L$15:$N$27,IF(Y$2+$F20&lt;=24,2,3),FALSE)),$C$3)*(1+Projection!AA$16)*(1+IF(Y152&gt;0,'Attrition Modeling'!$N$9,0)))</f>
        <v>0</v>
      </c>
      <c r="Z20" s="799">
        <f>(Y20+Z152)*(1-IFERROR(IF(Z$2+$F20&lt;=12,SUMIFS('Attrition Modeling'!$D:$D,'Attrition Modeling'!$B:$B,'IP Attrition'!$D20,'Attrition Modeling'!$C:$C,'IP Attrition'!Z$1),VLOOKUP($F20+Z$2,$A$6:$C$106,2,FALSE)*VLOOKUP(Z$1,'Attrition Modeling'!$L$15:$N$27,IF(Z$2+$F20&lt;=24,2,3),FALSE)),$C$3)*(1+Projection!AB$16)*(1+IF(Z152&gt;0,'Attrition Modeling'!$N$9,0)))</f>
        <v>0</v>
      </c>
      <c r="AA20" s="799">
        <f>(Z20+AA152)*(1-IFERROR(IF(AA$2+$F20&lt;=12,SUMIFS('Attrition Modeling'!$D:$D,'Attrition Modeling'!$B:$B,'IP Attrition'!$D20,'Attrition Modeling'!$C:$C,'IP Attrition'!AA$1),VLOOKUP($F20+AA$2,$A$6:$C$106,2,FALSE)*VLOOKUP(AA$1,'Attrition Modeling'!$L$15:$N$27,IF(AA$2+$F20&lt;=24,2,3),FALSE)),$C$3)*(1+Projection!AC$16)*(1+IF(AA152&gt;0,'Attrition Modeling'!$N$9,0)))</f>
        <v>0</v>
      </c>
      <c r="AB20" s="799">
        <f>(AA20+AB152)*(1-IFERROR(IF(AB$2+$F20&lt;=12,SUMIFS('Attrition Modeling'!$D:$D,'Attrition Modeling'!$B:$B,'IP Attrition'!$D20,'Attrition Modeling'!$C:$C,'IP Attrition'!AB$1),VLOOKUP($F20+AB$2,$A$6:$C$106,2,FALSE)*VLOOKUP(AB$1,'Attrition Modeling'!$L$15:$N$27,IF(AB$2+$F20&lt;=24,2,3),FALSE)),$C$3)*(1+Projection!AD$16)*(1+IF(AB152&gt;0,'Attrition Modeling'!$N$9,0)))</f>
        <v>0</v>
      </c>
      <c r="AC20" s="799">
        <f>(AB20+AC152)*(1-IFERROR(IF(AC$2+$F20&lt;=12,SUMIFS('Attrition Modeling'!$D:$D,'Attrition Modeling'!$B:$B,'IP Attrition'!$D20,'Attrition Modeling'!$C:$C,'IP Attrition'!AC$1),VLOOKUP($F20+AC$2,$A$6:$C$106,2,FALSE)*VLOOKUP(AC$1,'Attrition Modeling'!$L$15:$N$27,IF(AC$2+$F20&lt;=24,2,3),FALSE)),$C$3)*(1+Projection!AE$16)*(1+IF(AC152&gt;0,'Attrition Modeling'!$N$9,0)))</f>
        <v>0</v>
      </c>
      <c r="AD20" s="799">
        <f>(AC20+AD152)*(1-IFERROR(IF(AD$2+$F20&lt;=12,SUMIFS('Attrition Modeling'!$D:$D,'Attrition Modeling'!$B:$B,'IP Attrition'!$D20,'Attrition Modeling'!$C:$C,'IP Attrition'!AD$1),VLOOKUP($F20+AD$2,$A$6:$C$106,2,FALSE)*VLOOKUP(AD$1,'Attrition Modeling'!$L$15:$N$27,IF(AD$2+$F20&lt;=24,2,3),FALSE)),$C$3)*(1+Projection!AF$16)*(1+IF(AD152&gt;0,'Attrition Modeling'!$N$9,0)))</f>
        <v>0</v>
      </c>
      <c r="AE20" s="799">
        <f>(AD20+AE152)*(1-IFERROR(IF(AE$2+$F20&lt;=12,SUMIFS('Attrition Modeling'!$D:$D,'Attrition Modeling'!$B:$B,'IP Attrition'!$D20,'Attrition Modeling'!$C:$C,'IP Attrition'!AE$1),VLOOKUP($F20+AE$2,$A$6:$C$106,2,FALSE)*VLOOKUP(AE$1,'Attrition Modeling'!$L$15:$N$27,IF(AE$2+$F20&lt;=24,2,3),FALSE)),$C$3)*(1+Projection!AG$16)*(1+IF(AE152&gt;0,'Attrition Modeling'!$N$9,0)))</f>
        <v>0</v>
      </c>
      <c r="AF20" s="799">
        <f>(AE20+AF152)*(1-IFERROR(IF(AF$2+$F20&lt;=12,SUMIFS('Attrition Modeling'!$D:$D,'Attrition Modeling'!$B:$B,'IP Attrition'!$D20,'Attrition Modeling'!$C:$C,'IP Attrition'!AF$1),VLOOKUP($F20+AF$2,$A$6:$C$106,2,FALSE)*VLOOKUP(AF$1,'Attrition Modeling'!$L$15:$N$27,IF(AF$2+$F20&lt;=24,2,3),FALSE)),$C$3)*(1+Projection!AH$16)*(1+IF(AF152&gt;0,'Attrition Modeling'!$N$9,0)))</f>
        <v>0</v>
      </c>
      <c r="AG20" s="799">
        <f>(AF20+AG152)*(1-IFERROR(IF(AG$2+$F20&lt;=12,SUMIFS('Attrition Modeling'!$D:$D,'Attrition Modeling'!$B:$B,'IP Attrition'!$D20,'Attrition Modeling'!$C:$C,'IP Attrition'!AG$1),VLOOKUP($F20+AG$2,$A$6:$C$106,2,FALSE)*VLOOKUP(AG$1,'Attrition Modeling'!$L$15:$N$27,IF(AG$2+$F20&lt;=24,2,3),FALSE)),$C$3)*(1+Projection!AI$16)*(1+IF(AG152&gt;0,'Attrition Modeling'!$N$9,0)))</f>
        <v>0</v>
      </c>
      <c r="AH20" s="799">
        <f>(AG20+AH152)*(1-IFERROR(IF(AH$2+$F20&lt;=12,SUMIFS('Attrition Modeling'!$D:$D,'Attrition Modeling'!$B:$B,'IP Attrition'!$D20,'Attrition Modeling'!$C:$C,'IP Attrition'!AH$1),VLOOKUP($F20+AH$2,$A$6:$C$106,2,FALSE)*VLOOKUP(AH$1,'Attrition Modeling'!$L$15:$N$27,IF(AH$2+$F20&lt;=24,2,3),FALSE)),$C$3)*(1+Projection!AJ$16)*(1+IF(AH152&gt;0,'Attrition Modeling'!$N$9,0)))</f>
        <v>0</v>
      </c>
      <c r="AI20" s="799">
        <f>(AH20+AI152)*(1-IFERROR(IF(AI$2+$F20&lt;=12,SUMIFS('Attrition Modeling'!$D:$D,'Attrition Modeling'!$B:$B,'IP Attrition'!$D20,'Attrition Modeling'!$C:$C,'IP Attrition'!AI$1),VLOOKUP($F20+AI$2,$A$6:$C$106,2,FALSE)*VLOOKUP(AI$1,'Attrition Modeling'!$L$15:$N$27,IF(AI$2+$F20&lt;=24,2,3),FALSE)),$C$3)*(1+Projection!AK$16)*(1+IF(AI152&gt;0,'Attrition Modeling'!$N$9,0)))</f>
        <v>0</v>
      </c>
      <c r="AJ20" s="799">
        <f>(AI20+AJ152)*(1-IFERROR(IF(AJ$2+$F20&lt;=12,SUMIFS('Attrition Modeling'!$D:$D,'Attrition Modeling'!$B:$B,'IP Attrition'!$D20,'Attrition Modeling'!$C:$C,'IP Attrition'!AJ$1),VLOOKUP($F20+AJ$2,$A$6:$C$106,2,FALSE)*VLOOKUP(AJ$1,'Attrition Modeling'!$L$15:$N$27,IF(AJ$2+$F20&lt;=24,2,3),FALSE)),$C$3)*(1+Projection!AL$16)*(1+IF(AJ152&gt;0,'Attrition Modeling'!$N$9,0)))</f>
        <v>0</v>
      </c>
      <c r="AK20" s="799">
        <f>(AJ20+AK152)*(1-IFERROR(IF(AK$2+$F20&lt;=12,SUMIFS('Attrition Modeling'!$D:$D,'Attrition Modeling'!$B:$B,'IP Attrition'!$D20,'Attrition Modeling'!$C:$C,'IP Attrition'!AK$1),VLOOKUP($F20+AK$2,$A$6:$C$106,2,FALSE)*VLOOKUP(AK$1,'Attrition Modeling'!$L$15:$N$27,IF(AK$2+$F20&lt;=24,2,3),FALSE)),$C$3)*(1+Projection!AM$16)*(1+IF(AK152&gt;0,'Attrition Modeling'!$N$9,0)))</f>
        <v>0</v>
      </c>
      <c r="AL20" s="799">
        <f>(AK20+AL152)*(1-IFERROR(IF(AL$2+$F20&lt;=12,SUMIFS('Attrition Modeling'!$D:$D,'Attrition Modeling'!$B:$B,'IP Attrition'!$D20,'Attrition Modeling'!$C:$C,'IP Attrition'!AL$1),VLOOKUP($F20+AL$2,$A$6:$C$106,2,FALSE)*VLOOKUP(AL$1,'Attrition Modeling'!$L$15:$N$27,IF(AL$2+$F20&lt;=24,2,3),FALSE)),$C$3)*(1+Projection!AN$16)*(1+IF(AL152&gt;0,'Attrition Modeling'!$N$9,0)))</f>
        <v>0</v>
      </c>
      <c r="AM20" s="799">
        <f>(AL20+AM152)*(1-IFERROR(IF(AM$2+$F20&lt;=12,SUMIFS('Attrition Modeling'!$D:$D,'Attrition Modeling'!$B:$B,'IP Attrition'!$D20,'Attrition Modeling'!$C:$C,'IP Attrition'!AM$1),VLOOKUP($F20+AM$2,$A$6:$C$106,2,FALSE)*VLOOKUP(AM$1,'Attrition Modeling'!$L$15:$N$27,IF(AM$2+$F20&lt;=24,2,3),FALSE)),$C$3)*(1+Projection!AO$16)*(1+IF(AM152&gt;0,'Attrition Modeling'!$N$9,0)))</f>
        <v>0</v>
      </c>
      <c r="AN20" s="799">
        <f>(AM20+AN152)*(1-IFERROR(IF(AN$2+$F20&lt;=12,SUMIFS('Attrition Modeling'!$D:$D,'Attrition Modeling'!$B:$B,'IP Attrition'!$D20,'Attrition Modeling'!$C:$C,'IP Attrition'!AN$1),VLOOKUP($F20+AN$2,$A$6:$C$106,2,FALSE)*VLOOKUP(AN$1,'Attrition Modeling'!$L$15:$N$27,IF(AN$2+$F20&lt;=24,2,3),FALSE)),$C$3)*(1+Projection!AP$16)*(1+IF(AN152&gt;0,'Attrition Modeling'!$N$9,0)))</f>
        <v>0</v>
      </c>
      <c r="AO20" s="799">
        <f>(AN20+AO152)*(1-IFERROR(IF(AO$2+$F20&lt;=12,SUMIFS('Attrition Modeling'!$D:$D,'Attrition Modeling'!$B:$B,'IP Attrition'!$D20,'Attrition Modeling'!$C:$C,'IP Attrition'!AO$1),VLOOKUP($F20+AO$2,$A$6:$C$106,2,FALSE)*VLOOKUP(AO$1,'Attrition Modeling'!$L$15:$N$27,IF(AO$2+$F20&lt;=24,2,3),FALSE)),$C$3)*(1+Projection!AQ$16)*(1+IF(AO152&gt;0,'Attrition Modeling'!$N$9,0)))</f>
        <v>0</v>
      </c>
      <c r="AP20" s="799">
        <f>(AO20+AP152)*(1-IFERROR(IF(AP$2+$F20&lt;=12,SUMIFS('Attrition Modeling'!$D:$D,'Attrition Modeling'!$B:$B,'IP Attrition'!$D20,'Attrition Modeling'!$C:$C,'IP Attrition'!AP$1),VLOOKUP($F20+AP$2,$A$6:$C$106,2,FALSE)*VLOOKUP(AP$1,'Attrition Modeling'!$L$15:$N$27,IF(AP$2+$F20&lt;=24,2,3),FALSE)),$C$3)*(1+Projection!AR$16)*(1+IF(AP152&gt;0,'Attrition Modeling'!$N$9,0)))</f>
        <v>0</v>
      </c>
      <c r="AQ20" s="799">
        <f>(AP20+AQ152)*(1-IFERROR(IF(AQ$2+$F20&lt;=12,SUMIFS('Attrition Modeling'!$D:$D,'Attrition Modeling'!$B:$B,'IP Attrition'!$D20,'Attrition Modeling'!$C:$C,'IP Attrition'!AQ$1),VLOOKUP($F20+AQ$2,$A$6:$C$106,2,FALSE)*VLOOKUP(AQ$1,'Attrition Modeling'!$L$15:$N$27,IF(AQ$2+$F20&lt;=24,2,3),FALSE)),$C$3)*(1+Projection!AS$16)*(1+IF(AQ152&gt;0,'Attrition Modeling'!$N$9,0)))</f>
        <v>0</v>
      </c>
      <c r="AR20" s="799">
        <f>(AQ20+AR152)*(1-IFERROR(IF(AR$2+$F20&lt;=12,SUMIFS('Attrition Modeling'!$D:$D,'Attrition Modeling'!$B:$B,'IP Attrition'!$D20,'Attrition Modeling'!$C:$C,'IP Attrition'!AR$1),VLOOKUP($F20+AR$2,$A$6:$C$106,2,FALSE)*VLOOKUP(AR$1,'Attrition Modeling'!$L$15:$N$27,IF(AR$2+$F20&lt;=24,2,3),FALSE)),$C$3)*(1+Projection!AT$16)*(1+IF(AR152&gt;0,'Attrition Modeling'!$N$9,0)))</f>
        <v>0</v>
      </c>
      <c r="AS20" s="799">
        <f>(AR20+AS152)*(1-IFERROR(IF(AS$2+$F20&lt;=12,SUMIFS('Attrition Modeling'!$D:$D,'Attrition Modeling'!$B:$B,'IP Attrition'!$D20,'Attrition Modeling'!$C:$C,'IP Attrition'!AS$1),VLOOKUP($F20+AS$2,$A$6:$C$106,2,FALSE)*VLOOKUP(AS$1,'Attrition Modeling'!$L$15:$N$27,IF(AS$2+$F20&lt;=24,2,3),FALSE)),$C$3)*(1+Projection!AU$16)*(1+IF(AS152&gt;0,'Attrition Modeling'!$N$9,0)))</f>
        <v>0</v>
      </c>
      <c r="AT20" s="799">
        <f>(AS20+AT152)*(1-IFERROR(IF(AT$2+$F20&lt;=12,SUMIFS('Attrition Modeling'!$D:$D,'Attrition Modeling'!$B:$B,'IP Attrition'!$D20,'Attrition Modeling'!$C:$C,'IP Attrition'!AT$1),VLOOKUP($F20+AT$2,$A$6:$C$106,2,FALSE)*VLOOKUP(AT$1,'Attrition Modeling'!$L$15:$N$27,IF(AT$2+$F20&lt;=24,2,3),FALSE)),$C$3)*(1+Projection!AV$16)*(1+IF(AT152&gt;0,'Attrition Modeling'!$N$9,0)))</f>
        <v>0</v>
      </c>
      <c r="AU20" s="799">
        <f>(AT20+AU152)*(1-IFERROR(IF(AU$2+$F20&lt;=12,SUMIFS('Attrition Modeling'!$D:$D,'Attrition Modeling'!$B:$B,'IP Attrition'!$D20,'Attrition Modeling'!$C:$C,'IP Attrition'!AU$1),VLOOKUP($F20+AU$2,$A$6:$C$106,2,FALSE)*VLOOKUP(AU$1,'Attrition Modeling'!$L$15:$N$27,IF(AU$2+$F20&lt;=24,2,3),FALSE)),$C$3)*(1+Projection!AW$16)*(1+IF(AU152&gt;0,'Attrition Modeling'!$N$9,0)))</f>
        <v>0</v>
      </c>
      <c r="AV20" s="799">
        <f>(AU20+AV152)*(1-IFERROR(IF(AV$2+$F20&lt;=12,SUMIFS('Attrition Modeling'!$D:$D,'Attrition Modeling'!$B:$B,'IP Attrition'!$D20,'Attrition Modeling'!$C:$C,'IP Attrition'!AV$1),VLOOKUP($F20+AV$2,$A$6:$C$106,2,FALSE)*VLOOKUP(AV$1,'Attrition Modeling'!$L$15:$N$27,IF(AV$2+$F20&lt;=24,2,3),FALSE)),$C$3)*(1+Projection!AX$16)*(1+IF(AV152&gt;0,'Attrition Modeling'!$N$9,0)))</f>
        <v>0</v>
      </c>
      <c r="AW20" s="799">
        <f>(AV20+AW152)*(1-IFERROR(IF(AW$2+$F20&lt;=12,SUMIFS('Attrition Modeling'!$D:$D,'Attrition Modeling'!$B:$B,'IP Attrition'!$D20,'Attrition Modeling'!$C:$C,'IP Attrition'!AW$1),VLOOKUP($F20+AW$2,$A$6:$C$106,2,FALSE)*VLOOKUP(AW$1,'Attrition Modeling'!$L$15:$N$27,IF(AW$2+$F20&lt;=24,2,3),FALSE)),$C$3)*(1+Projection!AY$16)*(1+IF(AW152&gt;0,'Attrition Modeling'!$N$9,0)))</f>
        <v>0</v>
      </c>
      <c r="AX20" s="799">
        <f>(AW20+AX152)*(1-IFERROR(IF(AX$2+$F20&lt;=12,SUMIFS('Attrition Modeling'!$D:$D,'Attrition Modeling'!$B:$B,'IP Attrition'!$D20,'Attrition Modeling'!$C:$C,'IP Attrition'!AX$1),VLOOKUP($F20+AX$2,$A$6:$C$106,2,FALSE)*VLOOKUP(AX$1,'Attrition Modeling'!$L$15:$N$27,IF(AX$2+$F20&lt;=24,2,3),FALSE)),$C$3)*(1+Projection!AZ$16)*(1+IF(AX152&gt;0,'Attrition Modeling'!$N$9,0)))</f>
        <v>0</v>
      </c>
      <c r="AY20" s="799">
        <f>(AX20+AY152)*(1-IFERROR(IF(AY$2+$F20&lt;=12,SUMIFS('Attrition Modeling'!$D:$D,'Attrition Modeling'!$B:$B,'IP Attrition'!$D20,'Attrition Modeling'!$C:$C,'IP Attrition'!AY$1),VLOOKUP($F20+AY$2,$A$6:$C$106,2,FALSE)*VLOOKUP(AY$1,'Attrition Modeling'!$L$15:$N$27,IF(AY$2+$F20&lt;=24,2,3),FALSE)),$C$3)*(1+Projection!BA$16)*(1+IF(AY152&gt;0,'Attrition Modeling'!$N$9,0)))</f>
        <v>0</v>
      </c>
      <c r="AZ20" s="799">
        <f>(AY20+AZ152)*(1-IFERROR(IF(AZ$2+$F20&lt;=12,SUMIFS('Attrition Modeling'!$D:$D,'Attrition Modeling'!$B:$B,'IP Attrition'!$D20,'Attrition Modeling'!$C:$C,'IP Attrition'!AZ$1),VLOOKUP($F20+AZ$2,$A$6:$C$106,2,FALSE)*VLOOKUP(AZ$1,'Attrition Modeling'!$L$15:$N$27,IF(AZ$2+$F20&lt;=24,2,3),FALSE)),$C$3)*(1+Projection!BB$16)*(1+IF(AZ152&gt;0,'Attrition Modeling'!$N$9,0)))</f>
        <v>0</v>
      </c>
      <c r="BA20" s="799">
        <f>(AZ20+BA152)*(1-IFERROR(IF(BA$2+$F20&lt;=12,SUMIFS('Attrition Modeling'!$D:$D,'Attrition Modeling'!$B:$B,'IP Attrition'!$D20,'Attrition Modeling'!$C:$C,'IP Attrition'!BA$1),VLOOKUP($F20+BA$2,$A$6:$C$106,2,FALSE)*VLOOKUP(BA$1,'Attrition Modeling'!$L$15:$N$27,IF(BA$2+$F20&lt;=24,2,3),FALSE)),$C$3)*(1+Projection!BC$16)*(1+IF(BA152&gt;0,'Attrition Modeling'!$N$9,0)))</f>
        <v>0</v>
      </c>
      <c r="BB20" s="799">
        <f>(BA20+BB152)*(1-IFERROR(IF(BB$2+$F20&lt;=12,SUMIFS('Attrition Modeling'!$D:$D,'Attrition Modeling'!$B:$B,'IP Attrition'!$D20,'Attrition Modeling'!$C:$C,'IP Attrition'!BB$1),VLOOKUP($F20+BB$2,$A$6:$C$106,2,FALSE)*VLOOKUP(BB$1,'Attrition Modeling'!$L$15:$N$27,IF(BB$2+$F20&lt;=24,2,3),FALSE)),$C$3)*(1+Projection!BD$16)*(1+IF(BB152&gt;0,'Attrition Modeling'!$N$9,0)))</f>
        <v>0</v>
      </c>
      <c r="BC20" s="799">
        <f>(BB20+BC152)*(1-IFERROR(IF(BC$2+$F20&lt;=12,SUMIFS('Attrition Modeling'!$D:$D,'Attrition Modeling'!$B:$B,'IP Attrition'!$D20,'Attrition Modeling'!$C:$C,'IP Attrition'!BC$1),VLOOKUP($F20+BC$2,$A$6:$C$106,2,FALSE)*VLOOKUP(BC$1,'Attrition Modeling'!$L$15:$N$27,IF(BC$2+$F20&lt;=24,2,3),FALSE)),$C$3)*(1+Projection!BE$16)*(1+IF(BC152&gt;0,'Attrition Modeling'!$N$9,0)))</f>
        <v>0</v>
      </c>
      <c r="BD20" s="799">
        <f>(BC20+BD152)*(1-IFERROR(IF(BD$2+$F20&lt;=12,SUMIFS('Attrition Modeling'!$D:$D,'Attrition Modeling'!$B:$B,'IP Attrition'!$D20,'Attrition Modeling'!$C:$C,'IP Attrition'!BD$1),VLOOKUP($F20+BD$2,$A$6:$C$106,2,FALSE)*VLOOKUP(BD$1,'Attrition Modeling'!$L$15:$N$27,IF(BD$2+$F20&lt;=24,2,3),FALSE)),$C$3)*(1+Projection!BF$16)*(1+IF(BD152&gt;0,'Attrition Modeling'!$N$9,0)))</f>
        <v>0</v>
      </c>
      <c r="BE20" s="799">
        <f>(BD20+BE152)*(1-IFERROR(IF(BE$2+$F20&lt;=12,SUMIFS('Attrition Modeling'!$D:$D,'Attrition Modeling'!$B:$B,'IP Attrition'!$D20,'Attrition Modeling'!$C:$C,'IP Attrition'!BE$1),VLOOKUP($F20+BE$2,$A$6:$C$106,2,FALSE)*VLOOKUP(BE$1,'Attrition Modeling'!$L$15:$N$27,IF(BE$2+$F20&lt;=24,2,3),FALSE)),$C$3)*(1+Projection!BG$16)*(1+IF(BE152&gt;0,'Attrition Modeling'!$N$9,0)))</f>
        <v>0</v>
      </c>
      <c r="BF20" s="799">
        <f>(BE20+BF152)*(1-IFERROR(IF(BF$2+$F20&lt;=12,SUMIFS('Attrition Modeling'!$D:$D,'Attrition Modeling'!$B:$B,'IP Attrition'!$D20,'Attrition Modeling'!$C:$C,'IP Attrition'!BF$1),VLOOKUP($F20+BF$2,$A$6:$C$106,2,FALSE)*VLOOKUP(BF$1,'Attrition Modeling'!$L$15:$N$27,IF(BF$2+$F20&lt;=24,2,3),FALSE)),$C$3)*(1+Projection!BH$16)*(1+IF(BF152&gt;0,'Attrition Modeling'!$N$9,0)))</f>
        <v>0</v>
      </c>
      <c r="BG20" s="799">
        <f>(BF20+BG152)*(1-IFERROR(IF(BG$2+$F20&lt;=12,SUMIFS('Attrition Modeling'!$D:$D,'Attrition Modeling'!$B:$B,'IP Attrition'!$D20,'Attrition Modeling'!$C:$C,'IP Attrition'!BG$1),VLOOKUP($F20+BG$2,$A$6:$C$106,2,FALSE)*VLOOKUP(BG$1,'Attrition Modeling'!$L$15:$N$27,IF(BG$2+$F20&lt;=24,2,3),FALSE)),$C$3)*(1+Projection!BI$16)*(1+IF(BG152&gt;0,'Attrition Modeling'!$N$9,0)))</f>
        <v>0</v>
      </c>
      <c r="BH20" s="799">
        <f>(BG20+BH152)*(1-IFERROR(IF(BH$2+$F20&lt;=12,SUMIFS('Attrition Modeling'!$D:$D,'Attrition Modeling'!$B:$B,'IP Attrition'!$D20,'Attrition Modeling'!$C:$C,'IP Attrition'!BH$1),VLOOKUP($F20+BH$2,$A$6:$C$106,2,FALSE)*VLOOKUP(BH$1,'Attrition Modeling'!$L$15:$N$27,IF(BH$2+$F20&lt;=24,2,3),FALSE)),$C$3)*(1+Projection!BJ$16)*(1+IF(BH152&gt;0,'Attrition Modeling'!$N$9,0)))</f>
        <v>0</v>
      </c>
      <c r="BI20" s="799">
        <f>(BH20+BI152)*(1-IFERROR(IF(BI$2+$F20&lt;=12,SUMIFS('Attrition Modeling'!$D:$D,'Attrition Modeling'!$B:$B,'IP Attrition'!$D20,'Attrition Modeling'!$C:$C,'IP Attrition'!BI$1),VLOOKUP($F20+BI$2,$A$6:$C$106,2,FALSE)*VLOOKUP(BI$1,'Attrition Modeling'!$L$15:$N$27,IF(BI$2+$F20&lt;=24,2,3),FALSE)),$C$3)*(1+Projection!BK$16)*(1+IF(BI152&gt;0,'Attrition Modeling'!$N$9,0)))</f>
        <v>0</v>
      </c>
      <c r="BJ20" s="799">
        <f>(BI20+BJ152)*(1-IFERROR(IF(BJ$2+$F20&lt;=12,SUMIFS('Attrition Modeling'!$D:$D,'Attrition Modeling'!$B:$B,'IP Attrition'!$D20,'Attrition Modeling'!$C:$C,'IP Attrition'!BJ$1),VLOOKUP($F20+BJ$2,$A$6:$C$106,2,FALSE)*VLOOKUP(BJ$1,'Attrition Modeling'!$L$15:$N$27,IF(BJ$2+$F20&lt;=24,2,3),FALSE)),$C$3)*(1+Projection!BL$16)*(1+IF(BJ152&gt;0,'Attrition Modeling'!$N$9,0)))</f>
        <v>0</v>
      </c>
      <c r="BK20" s="799">
        <f>(BJ20+BK152)*(1-IFERROR(IF(BK$2+$F20&lt;=12,SUMIFS('Attrition Modeling'!$D:$D,'Attrition Modeling'!$B:$B,'IP Attrition'!$D20,'Attrition Modeling'!$C:$C,'IP Attrition'!BK$1),VLOOKUP($F20+BK$2,$A$6:$C$106,2,FALSE)*VLOOKUP(BK$1,'Attrition Modeling'!$L$15:$N$27,IF(BK$2+$F20&lt;=24,2,3),FALSE)),$C$3)*(1+Projection!BM$16)*(1+IF(BK152&gt;0,'Attrition Modeling'!$N$9,0)))</f>
        <v>0</v>
      </c>
      <c r="BL20" s="799">
        <f>(BK20+BL152)*(1-IFERROR(IF(BL$2+$F20&lt;=12,SUMIFS('Attrition Modeling'!$D:$D,'Attrition Modeling'!$B:$B,'IP Attrition'!$D20,'Attrition Modeling'!$C:$C,'IP Attrition'!BL$1),VLOOKUP($F20+BL$2,$A$6:$C$106,2,FALSE)*VLOOKUP(BL$1,'Attrition Modeling'!$L$15:$N$27,IF(BL$2+$F20&lt;=24,2,3),FALSE)),$C$3)*(1+Projection!BN$16)*(1+IF(BL152&gt;0,'Attrition Modeling'!$N$9,0)))</f>
        <v>0</v>
      </c>
      <c r="BM20" s="799">
        <f>(BL20+BM152)*(1-IFERROR(IF(BM$2+$F20&lt;=12,SUMIFS('Attrition Modeling'!$D:$D,'Attrition Modeling'!$B:$B,'IP Attrition'!$D20,'Attrition Modeling'!$C:$C,'IP Attrition'!BM$1),VLOOKUP($F20+BM$2,$A$6:$C$106,2,FALSE)*VLOOKUP(BM$1,'Attrition Modeling'!$L$15:$N$27,IF(BM$2+$F20&lt;=24,2,3),FALSE)),$C$3)*(1+Projection!BO$16)*(1+IF(BM152&gt;0,'Attrition Modeling'!$N$9,0)))</f>
        <v>0</v>
      </c>
      <c r="BN20" s="799">
        <f>(BM20+BN152)*(1-IFERROR(IF(BN$2+$F20&lt;=12,SUMIFS('Attrition Modeling'!$D:$D,'Attrition Modeling'!$B:$B,'IP Attrition'!$D20,'Attrition Modeling'!$C:$C,'IP Attrition'!BN$1),VLOOKUP($F20+BN$2,$A$6:$C$106,2,FALSE)*VLOOKUP(BN$1,'Attrition Modeling'!$L$15:$N$27,IF(BN$2+$F20&lt;=24,2,3),FALSE)),$C$3)*(1+Projection!BP$16)*(1+IF(BN152&gt;0,'Attrition Modeling'!$N$9,0)))</f>
        <v>0</v>
      </c>
      <c r="BO20" s="799">
        <f>(BN20+BO152)*(1-IFERROR(IF(BO$2+$F20&lt;=12,SUMIFS('Attrition Modeling'!$D:$D,'Attrition Modeling'!$B:$B,'IP Attrition'!$D20,'Attrition Modeling'!$C:$C,'IP Attrition'!BO$1),VLOOKUP($F20+BO$2,$A$6:$C$106,2,FALSE)*VLOOKUP(BO$1,'Attrition Modeling'!$L$15:$N$27,IF(BO$2+$F20&lt;=24,2,3),FALSE)),$C$3)*(1+Projection!BV$16)*(1+IF(BO152&gt;0,'Attrition Modeling'!$N$9,0)))</f>
        <v>0</v>
      </c>
      <c r="BP20" s="799">
        <f>(BO20+BP152)*(1-IFERROR(IF(BP$2+$F20&lt;=12,SUMIFS('Attrition Modeling'!$D:$D,'Attrition Modeling'!$B:$B,'IP Attrition'!$D20,'Attrition Modeling'!$C:$C,'IP Attrition'!BP$1),VLOOKUP($F20+BP$2,$A$6:$C$106,2,FALSE)*VLOOKUP(BP$1,'Attrition Modeling'!$L$15:$N$27,IF(BP$2+$F20&lt;=24,2,3),FALSE)),$C$3)*(1+Projection!BW$16)*(1+IF(BP152&gt;0,'Attrition Modeling'!$N$9,0)))</f>
        <v>0</v>
      </c>
      <c r="BQ20" s="799">
        <f>(BP20+BQ152)*(1-IFERROR(IF(BQ$2+$F20&lt;=12,SUMIFS('Attrition Modeling'!$D:$D,'Attrition Modeling'!$B:$B,'IP Attrition'!$D20,'Attrition Modeling'!$C:$C,'IP Attrition'!BQ$1),VLOOKUP($F20+BQ$2,$A$6:$C$106,2,FALSE)*VLOOKUP(BQ$1,'Attrition Modeling'!$L$15:$N$27,IF(BQ$2+$F20&lt;=24,2,3),FALSE)),$C$3)*(1+Projection!BX$16)*(1+IF(BQ152&gt;0,'Attrition Modeling'!$N$9,0)))</f>
        <v>0</v>
      </c>
      <c r="BR20" s="799">
        <f>(BQ20+BR152)*(1-IFERROR(IF(BR$2+$F20&lt;=12,SUMIFS('Attrition Modeling'!$D:$D,'Attrition Modeling'!$B:$B,'IP Attrition'!$D20,'Attrition Modeling'!$C:$C,'IP Attrition'!BR$1),VLOOKUP($F20+BR$2,$A$6:$C$106,2,FALSE)*VLOOKUP(BR$1,'Attrition Modeling'!$L$15:$N$27,IF(BR$2+$F20&lt;=24,2,3),FALSE)),$C$3)*(1+Projection!BY$16)*(1+IF(BR152&gt;0,'Attrition Modeling'!$N$9,0)))</f>
        <v>0</v>
      </c>
      <c r="BS20" s="799">
        <f>(BR20+BS152)*(1-IFERROR(IF(BS$2+$F20&lt;=12,SUMIFS('Attrition Modeling'!$D:$D,'Attrition Modeling'!$B:$B,'IP Attrition'!$D20,'Attrition Modeling'!$C:$C,'IP Attrition'!BS$1),VLOOKUP($F20+BS$2,$A$6:$C$106,2,FALSE)*VLOOKUP(BS$1,'Attrition Modeling'!$L$15:$N$27,IF(BS$2+$F20&lt;=24,2,3),FALSE)),$C$3)*(1+Projection!BZ$16)*(1+IF(BS152&gt;0,'Attrition Modeling'!$N$9,0)))</f>
        <v>0</v>
      </c>
      <c r="BT20" s="799" t="e">
        <f>(BS20+BT152)*(1-IFERROR(IF(BT$2+$F20&lt;=12,SUMIFS('Attrition Modeling'!$D:$D,'Attrition Modeling'!$B:$B,'IP Attrition'!$D20,'Attrition Modeling'!$C:$C,'IP Attrition'!BT$1),VLOOKUP($F20+BT$2,$A$6:$C$106,2,FALSE)*VLOOKUP(BT$1,'Attrition Modeling'!$L$15:$N$27,IF(BT$2+$F20&lt;=24,2,3),FALSE)),$C$3)*(1+Projection!CA$16)*(1+IF(BT152&gt;0,'Attrition Modeling'!$N$9,0)))</f>
        <v>#REF!</v>
      </c>
      <c r="BU20" s="799" t="e">
        <f>(BT20+BU152)*(1-IFERROR(IF(BU$2+$F20&lt;=12,SUMIFS('Attrition Modeling'!$D:$D,'Attrition Modeling'!$B:$B,'IP Attrition'!$D20,'Attrition Modeling'!$C:$C,'IP Attrition'!BU$1),VLOOKUP($F20+BU$2,$A$6:$C$106,2,FALSE)*VLOOKUP(BU$1,'Attrition Modeling'!$L$15:$N$27,IF(BU$2+$F20&lt;=24,2,3),FALSE)),$C$3)*(1+Projection!CB$16)*(1+IF(BU152&gt;0,'Attrition Modeling'!$N$9,0)))</f>
        <v>#REF!</v>
      </c>
    </row>
    <row r="21" spans="1:73" ht="14.25" customHeight="1" x14ac:dyDescent="0.2">
      <c r="A21" s="9">
        <v>14</v>
      </c>
      <c r="B21" s="25">
        <f>MAX('Attrition Modeling'!H18,$C$3)*(1-Summary!$C$20)</f>
        <v>4.78253472933763E-2</v>
      </c>
      <c r="C21" s="24" t="e">
        <f t="shared" si="3"/>
        <v>#DIV/0!</v>
      </c>
      <c r="D21" s="11">
        <f t="shared" si="1"/>
        <v>-18</v>
      </c>
      <c r="E21" s="807">
        <f t="array" ref="E21">INDEX('Attrition Modeling'!$X$2:$AF$63,MATCH($F21,'Attrition Modeling'!$X$2:$X$63,0),MATCH(Inputs!$C$10,'Attrition Modeling'!$X$2:$AF$2,0))</f>
        <v>0</v>
      </c>
      <c r="F21" s="11">
        <f t="shared" si="2"/>
        <v>18</v>
      </c>
      <c r="G21" s="799">
        <f>Summary!$C$25*$E21</f>
        <v>0</v>
      </c>
      <c r="H21" s="799">
        <f>(G21+H153)*(1-IFERROR(IF(H$2+$F21&lt;=12,SUMIFS('Attrition Modeling'!$D:$D,'Attrition Modeling'!$B:$B,'IP Attrition'!$D21,'Attrition Modeling'!$C:$C,'IP Attrition'!H$1),VLOOKUP($F21+H$2,$A$6:$C$106,2,FALSE)*VLOOKUP(H$1,'Attrition Modeling'!$L$15:$N$27,IF(H$2+$F21&lt;=24,2,3),FALSE)),$C$3)*(1+Projection!J$16)*(1+IF(H153&gt;0,'Attrition Modeling'!$N$9,0)))</f>
        <v>0</v>
      </c>
      <c r="I21" s="799">
        <f>(H21+I153)*(1-IFERROR(IF(I$2+$F21&lt;=12,SUMIFS('Attrition Modeling'!$D:$D,'Attrition Modeling'!$B:$B,'IP Attrition'!$D21,'Attrition Modeling'!$C:$C,'IP Attrition'!I$1),VLOOKUP($F21+I$2,$A$6:$C$106,2,FALSE)*VLOOKUP(I$1,'Attrition Modeling'!$L$15:$N$27,IF(I$2+$F21&lt;=24,2,3),FALSE)),$C$3)*(1+Projection!K$16)*(1+IF(I153&gt;0,'Attrition Modeling'!$N$9,0)))</f>
        <v>0</v>
      </c>
      <c r="J21" s="799">
        <f>(I21+J153)*(1-IFERROR(IF(J$2+$F21&lt;=12,SUMIFS('Attrition Modeling'!$D:$D,'Attrition Modeling'!$B:$B,'IP Attrition'!$D21,'Attrition Modeling'!$C:$C,'IP Attrition'!J$1),VLOOKUP($F21+J$2,$A$6:$C$106,2,FALSE)*VLOOKUP(J$1,'Attrition Modeling'!$L$15:$N$27,IF(J$2+$F21&lt;=24,2,3),FALSE)),$C$3)*(1+Projection!L$16)*(1+IF(J153&gt;0,'Attrition Modeling'!$N$9,0)))</f>
        <v>0</v>
      </c>
      <c r="K21" s="799">
        <f>(J21+K153)*(1-IFERROR(IF(K$2+$F21&lt;=12,SUMIFS('Attrition Modeling'!$D:$D,'Attrition Modeling'!$B:$B,'IP Attrition'!$D21,'Attrition Modeling'!$C:$C,'IP Attrition'!K$1),VLOOKUP($F21+K$2,$A$6:$C$106,2,FALSE)*VLOOKUP(K$1,'Attrition Modeling'!$L$15:$N$27,IF(K$2+$F21&lt;=24,2,3),FALSE)),$C$3)*(1+Projection!M$16)*(1+IF(K153&gt;0,'Attrition Modeling'!$N$9,0)))</f>
        <v>0</v>
      </c>
      <c r="L21" s="799">
        <f>(K21+L153)*(1-IFERROR(IF(L$2+$F21&lt;=12,SUMIFS('Attrition Modeling'!$D:$D,'Attrition Modeling'!$B:$B,'IP Attrition'!$D21,'Attrition Modeling'!$C:$C,'IP Attrition'!L$1),VLOOKUP($F21+L$2,$A$6:$C$106,2,FALSE)*VLOOKUP(L$1,'Attrition Modeling'!$L$15:$N$27,IF(L$2+$F21&lt;=24,2,3),FALSE)),$C$3)*(1+Projection!N$16)*(1+IF(L153&gt;0,'Attrition Modeling'!$N$9,0)))</f>
        <v>0</v>
      </c>
      <c r="M21" s="799">
        <f>(L21+M153)*(1-IFERROR(IF(M$2+$F21&lt;=12,SUMIFS('Attrition Modeling'!$D:$D,'Attrition Modeling'!$B:$B,'IP Attrition'!$D21,'Attrition Modeling'!$C:$C,'IP Attrition'!M$1),VLOOKUP($F21+M$2,$A$6:$C$106,2,FALSE)*VLOOKUP(M$1,'Attrition Modeling'!$L$15:$N$27,IF(M$2+$F21&lt;=24,2,3),FALSE)),$C$3)*(1+Projection!O$16)*(1+IF(M153&gt;0,'Attrition Modeling'!$N$9,0)))</f>
        <v>0</v>
      </c>
      <c r="N21" s="799">
        <f>(M21+N153)*(1-IFERROR(IF(N$2+$F21&lt;=12,SUMIFS('Attrition Modeling'!$D:$D,'Attrition Modeling'!$B:$B,'IP Attrition'!$D21,'Attrition Modeling'!$C:$C,'IP Attrition'!N$1),VLOOKUP($F21+N$2,$A$6:$C$106,2,FALSE)*VLOOKUP(N$1,'Attrition Modeling'!$L$15:$N$27,IF(N$2+$F21&lt;=24,2,3),FALSE)),$C$3)*(1+Projection!P$16)*(1+IF(N153&gt;0,'Attrition Modeling'!$N$9,0)))</f>
        <v>0</v>
      </c>
      <c r="O21" s="799">
        <f>(N21+O153)*(1-IFERROR(IF(O$2+$F21&lt;=12,SUMIFS('Attrition Modeling'!$D:$D,'Attrition Modeling'!$B:$B,'IP Attrition'!$D21,'Attrition Modeling'!$C:$C,'IP Attrition'!O$1),VLOOKUP($F21+O$2,$A$6:$C$106,2,FALSE)*VLOOKUP(O$1,'Attrition Modeling'!$L$15:$N$27,IF(O$2+$F21&lt;=24,2,3),FALSE)),$C$3)*(1+Projection!Q$16)*(1+IF(O153&gt;0,'Attrition Modeling'!$N$9,0)))</f>
        <v>0</v>
      </c>
      <c r="P21" s="799">
        <f>(O21+P153)*(1-IFERROR(IF(P$2+$F21&lt;=12,SUMIFS('Attrition Modeling'!$D:$D,'Attrition Modeling'!$B:$B,'IP Attrition'!$D21,'Attrition Modeling'!$C:$C,'IP Attrition'!P$1),VLOOKUP($F21+P$2,$A$6:$C$106,2,FALSE)*VLOOKUP(P$1,'Attrition Modeling'!$L$15:$N$27,IF(P$2+$F21&lt;=24,2,3),FALSE)),$C$3)*(1+Projection!R$16)*(1+IF(P153&gt;0,'Attrition Modeling'!$N$9,0)))</f>
        <v>0</v>
      </c>
      <c r="Q21" s="799">
        <f>(P21+Q153)*(1-IFERROR(IF(Q$2+$F21&lt;=12,SUMIFS('Attrition Modeling'!$D:$D,'Attrition Modeling'!$B:$B,'IP Attrition'!$D21,'Attrition Modeling'!$C:$C,'IP Attrition'!Q$1),VLOOKUP($F21+Q$2,$A$6:$C$106,2,FALSE)*VLOOKUP(Q$1,'Attrition Modeling'!$L$15:$N$27,IF(Q$2+$F21&lt;=24,2,3),FALSE)),$C$3)*(1+Projection!S$16)*(1+IF(Q153&gt;0,'Attrition Modeling'!$N$9,0)))</f>
        <v>0</v>
      </c>
      <c r="R21" s="799">
        <f>(Q21+R153)*(1-IFERROR(IF(R$2+$F21&lt;=12,SUMIFS('Attrition Modeling'!$D:$D,'Attrition Modeling'!$B:$B,'IP Attrition'!$D21,'Attrition Modeling'!$C:$C,'IP Attrition'!R$1),VLOOKUP($F21+R$2,$A$6:$C$106,2,FALSE)*VLOOKUP(R$1,'Attrition Modeling'!$L$15:$N$27,IF(R$2+$F21&lt;=24,2,3),FALSE)),$C$3)*(1+Projection!T$16)*(1+IF(R153&gt;0,'Attrition Modeling'!$N$9,0)))</f>
        <v>0</v>
      </c>
      <c r="S21" s="799">
        <f>(R21+S153)*(1-IFERROR(IF(S$2+$F21&lt;=12,SUMIFS('Attrition Modeling'!$D:$D,'Attrition Modeling'!$B:$B,'IP Attrition'!$D21,'Attrition Modeling'!$C:$C,'IP Attrition'!S$1),VLOOKUP($F21+S$2,$A$6:$C$106,2,FALSE)*VLOOKUP(S$1,'Attrition Modeling'!$L$15:$N$27,IF(S$2+$F21&lt;=24,2,3),FALSE)),$C$3)*(1+Projection!U$16)*(1+IF(S153&gt;0,'Attrition Modeling'!$N$9,0)))</f>
        <v>0</v>
      </c>
      <c r="T21" s="799">
        <f>(S21+T153)*(1-IFERROR(IF(T$2+$F21&lt;=12,SUMIFS('Attrition Modeling'!$D:$D,'Attrition Modeling'!$B:$B,'IP Attrition'!$D21,'Attrition Modeling'!$C:$C,'IP Attrition'!T$1),VLOOKUP($F21+T$2,$A$6:$C$106,2,FALSE)*VLOOKUP(T$1,'Attrition Modeling'!$L$15:$N$27,IF(T$2+$F21&lt;=24,2,3),FALSE)),$C$3)*(1+Projection!V$16)*(1+IF(T153&gt;0,'Attrition Modeling'!$N$9,0)))</f>
        <v>0</v>
      </c>
      <c r="U21" s="799">
        <f>(T21+U153)*(1-IFERROR(IF(U$2+$F21&lt;=12,SUMIFS('Attrition Modeling'!$D:$D,'Attrition Modeling'!$B:$B,'IP Attrition'!$D21,'Attrition Modeling'!$C:$C,'IP Attrition'!U$1),VLOOKUP($F21+U$2,$A$6:$C$106,2,FALSE)*VLOOKUP(U$1,'Attrition Modeling'!$L$15:$N$27,IF(U$2+$F21&lt;=24,2,3),FALSE)),$C$3)*(1+Projection!W$16)*(1+IF(U153&gt;0,'Attrition Modeling'!$N$9,0)))</f>
        <v>0</v>
      </c>
      <c r="V21" s="799">
        <f>(U21+V153)*(1-IFERROR(IF(V$2+$F21&lt;=12,SUMIFS('Attrition Modeling'!$D:$D,'Attrition Modeling'!$B:$B,'IP Attrition'!$D21,'Attrition Modeling'!$C:$C,'IP Attrition'!V$1),VLOOKUP($F21+V$2,$A$6:$C$106,2,FALSE)*VLOOKUP(V$1,'Attrition Modeling'!$L$15:$N$27,IF(V$2+$F21&lt;=24,2,3),FALSE)),$C$3)*(1+Projection!X$16)*(1+IF(V153&gt;0,'Attrition Modeling'!$N$9,0)))</f>
        <v>0</v>
      </c>
      <c r="W21" s="799">
        <f>(V21+W153)*(1-IFERROR(IF(W$2+$F21&lt;=12,SUMIFS('Attrition Modeling'!$D:$D,'Attrition Modeling'!$B:$B,'IP Attrition'!$D21,'Attrition Modeling'!$C:$C,'IP Attrition'!W$1),VLOOKUP($F21+W$2,$A$6:$C$106,2,FALSE)*VLOOKUP(W$1,'Attrition Modeling'!$L$15:$N$27,IF(W$2+$F21&lt;=24,2,3),FALSE)),$C$3)*(1+Projection!Y$16)*(1+IF(W153&gt;0,'Attrition Modeling'!$N$9,0)))</f>
        <v>0</v>
      </c>
      <c r="X21" s="799">
        <f>(W21+X153)*(1-IFERROR(IF(X$2+$F21&lt;=12,SUMIFS('Attrition Modeling'!$D:$D,'Attrition Modeling'!$B:$B,'IP Attrition'!$D21,'Attrition Modeling'!$C:$C,'IP Attrition'!X$1),VLOOKUP($F21+X$2,$A$6:$C$106,2,FALSE)*VLOOKUP(X$1,'Attrition Modeling'!$L$15:$N$27,IF(X$2+$F21&lt;=24,2,3),FALSE)),$C$3)*(1+Projection!Z$16)*(1+IF(X153&gt;0,'Attrition Modeling'!$N$9,0)))</f>
        <v>0</v>
      </c>
      <c r="Y21" s="799">
        <f>(X21+Y153)*(1-IFERROR(IF(Y$2+$F21&lt;=12,SUMIFS('Attrition Modeling'!$D:$D,'Attrition Modeling'!$B:$B,'IP Attrition'!$D21,'Attrition Modeling'!$C:$C,'IP Attrition'!Y$1),VLOOKUP($F21+Y$2,$A$6:$C$106,2,FALSE)*VLOOKUP(Y$1,'Attrition Modeling'!$L$15:$N$27,IF(Y$2+$F21&lt;=24,2,3),FALSE)),$C$3)*(1+Projection!AA$16)*(1+IF(Y153&gt;0,'Attrition Modeling'!$N$9,0)))</f>
        <v>0</v>
      </c>
      <c r="Z21" s="799">
        <f>(Y21+Z153)*(1-IFERROR(IF(Z$2+$F21&lt;=12,SUMIFS('Attrition Modeling'!$D:$D,'Attrition Modeling'!$B:$B,'IP Attrition'!$D21,'Attrition Modeling'!$C:$C,'IP Attrition'!Z$1),VLOOKUP($F21+Z$2,$A$6:$C$106,2,FALSE)*VLOOKUP(Z$1,'Attrition Modeling'!$L$15:$N$27,IF(Z$2+$F21&lt;=24,2,3),FALSE)),$C$3)*(1+Projection!AB$16)*(1+IF(Z153&gt;0,'Attrition Modeling'!$N$9,0)))</f>
        <v>0</v>
      </c>
      <c r="AA21" s="799">
        <f>(Z21+AA153)*(1-IFERROR(IF(AA$2+$F21&lt;=12,SUMIFS('Attrition Modeling'!$D:$D,'Attrition Modeling'!$B:$B,'IP Attrition'!$D21,'Attrition Modeling'!$C:$C,'IP Attrition'!AA$1),VLOOKUP($F21+AA$2,$A$6:$C$106,2,FALSE)*VLOOKUP(AA$1,'Attrition Modeling'!$L$15:$N$27,IF(AA$2+$F21&lt;=24,2,3),FALSE)),$C$3)*(1+Projection!AC$16)*(1+IF(AA153&gt;0,'Attrition Modeling'!$N$9,0)))</f>
        <v>0</v>
      </c>
      <c r="AB21" s="799">
        <f>(AA21+AB153)*(1-IFERROR(IF(AB$2+$F21&lt;=12,SUMIFS('Attrition Modeling'!$D:$D,'Attrition Modeling'!$B:$B,'IP Attrition'!$D21,'Attrition Modeling'!$C:$C,'IP Attrition'!AB$1),VLOOKUP($F21+AB$2,$A$6:$C$106,2,FALSE)*VLOOKUP(AB$1,'Attrition Modeling'!$L$15:$N$27,IF(AB$2+$F21&lt;=24,2,3),FALSE)),$C$3)*(1+Projection!AD$16)*(1+IF(AB153&gt;0,'Attrition Modeling'!$N$9,0)))</f>
        <v>0</v>
      </c>
      <c r="AC21" s="799">
        <f>(AB21+AC153)*(1-IFERROR(IF(AC$2+$F21&lt;=12,SUMIFS('Attrition Modeling'!$D:$D,'Attrition Modeling'!$B:$B,'IP Attrition'!$D21,'Attrition Modeling'!$C:$C,'IP Attrition'!AC$1),VLOOKUP($F21+AC$2,$A$6:$C$106,2,FALSE)*VLOOKUP(AC$1,'Attrition Modeling'!$L$15:$N$27,IF(AC$2+$F21&lt;=24,2,3),FALSE)),$C$3)*(1+Projection!AE$16)*(1+IF(AC153&gt;0,'Attrition Modeling'!$N$9,0)))</f>
        <v>0</v>
      </c>
      <c r="AD21" s="799">
        <f>(AC21+AD153)*(1-IFERROR(IF(AD$2+$F21&lt;=12,SUMIFS('Attrition Modeling'!$D:$D,'Attrition Modeling'!$B:$B,'IP Attrition'!$D21,'Attrition Modeling'!$C:$C,'IP Attrition'!AD$1),VLOOKUP($F21+AD$2,$A$6:$C$106,2,FALSE)*VLOOKUP(AD$1,'Attrition Modeling'!$L$15:$N$27,IF(AD$2+$F21&lt;=24,2,3),FALSE)),$C$3)*(1+Projection!AF$16)*(1+IF(AD153&gt;0,'Attrition Modeling'!$N$9,0)))</f>
        <v>0</v>
      </c>
      <c r="AE21" s="799">
        <f>(AD21+AE153)*(1-IFERROR(IF(AE$2+$F21&lt;=12,SUMIFS('Attrition Modeling'!$D:$D,'Attrition Modeling'!$B:$B,'IP Attrition'!$D21,'Attrition Modeling'!$C:$C,'IP Attrition'!AE$1),VLOOKUP($F21+AE$2,$A$6:$C$106,2,FALSE)*VLOOKUP(AE$1,'Attrition Modeling'!$L$15:$N$27,IF(AE$2+$F21&lt;=24,2,3),FALSE)),$C$3)*(1+Projection!AG$16)*(1+IF(AE153&gt;0,'Attrition Modeling'!$N$9,0)))</f>
        <v>0</v>
      </c>
      <c r="AF21" s="799">
        <f>(AE21+AF153)*(1-IFERROR(IF(AF$2+$F21&lt;=12,SUMIFS('Attrition Modeling'!$D:$D,'Attrition Modeling'!$B:$B,'IP Attrition'!$D21,'Attrition Modeling'!$C:$C,'IP Attrition'!AF$1),VLOOKUP($F21+AF$2,$A$6:$C$106,2,FALSE)*VLOOKUP(AF$1,'Attrition Modeling'!$L$15:$N$27,IF(AF$2+$F21&lt;=24,2,3),FALSE)),$C$3)*(1+Projection!AH$16)*(1+IF(AF153&gt;0,'Attrition Modeling'!$N$9,0)))</f>
        <v>0</v>
      </c>
      <c r="AG21" s="799">
        <f>(AF21+AG153)*(1-IFERROR(IF(AG$2+$F21&lt;=12,SUMIFS('Attrition Modeling'!$D:$D,'Attrition Modeling'!$B:$B,'IP Attrition'!$D21,'Attrition Modeling'!$C:$C,'IP Attrition'!AG$1),VLOOKUP($F21+AG$2,$A$6:$C$106,2,FALSE)*VLOOKUP(AG$1,'Attrition Modeling'!$L$15:$N$27,IF(AG$2+$F21&lt;=24,2,3),FALSE)),$C$3)*(1+Projection!AI$16)*(1+IF(AG153&gt;0,'Attrition Modeling'!$N$9,0)))</f>
        <v>0</v>
      </c>
      <c r="AH21" s="799">
        <f>(AG21+AH153)*(1-IFERROR(IF(AH$2+$F21&lt;=12,SUMIFS('Attrition Modeling'!$D:$D,'Attrition Modeling'!$B:$B,'IP Attrition'!$D21,'Attrition Modeling'!$C:$C,'IP Attrition'!AH$1),VLOOKUP($F21+AH$2,$A$6:$C$106,2,FALSE)*VLOOKUP(AH$1,'Attrition Modeling'!$L$15:$N$27,IF(AH$2+$F21&lt;=24,2,3),FALSE)),$C$3)*(1+Projection!AJ$16)*(1+IF(AH153&gt;0,'Attrition Modeling'!$N$9,0)))</f>
        <v>0</v>
      </c>
      <c r="AI21" s="799">
        <f>(AH21+AI153)*(1-IFERROR(IF(AI$2+$F21&lt;=12,SUMIFS('Attrition Modeling'!$D:$D,'Attrition Modeling'!$B:$B,'IP Attrition'!$D21,'Attrition Modeling'!$C:$C,'IP Attrition'!AI$1),VLOOKUP($F21+AI$2,$A$6:$C$106,2,FALSE)*VLOOKUP(AI$1,'Attrition Modeling'!$L$15:$N$27,IF(AI$2+$F21&lt;=24,2,3),FALSE)),$C$3)*(1+Projection!AK$16)*(1+IF(AI153&gt;0,'Attrition Modeling'!$N$9,0)))</f>
        <v>0</v>
      </c>
      <c r="AJ21" s="799">
        <f>(AI21+AJ153)*(1-IFERROR(IF(AJ$2+$F21&lt;=12,SUMIFS('Attrition Modeling'!$D:$D,'Attrition Modeling'!$B:$B,'IP Attrition'!$D21,'Attrition Modeling'!$C:$C,'IP Attrition'!AJ$1),VLOOKUP($F21+AJ$2,$A$6:$C$106,2,FALSE)*VLOOKUP(AJ$1,'Attrition Modeling'!$L$15:$N$27,IF(AJ$2+$F21&lt;=24,2,3),FALSE)),$C$3)*(1+Projection!AL$16)*(1+IF(AJ153&gt;0,'Attrition Modeling'!$N$9,0)))</f>
        <v>0</v>
      </c>
      <c r="AK21" s="799">
        <f>(AJ21+AK153)*(1-IFERROR(IF(AK$2+$F21&lt;=12,SUMIFS('Attrition Modeling'!$D:$D,'Attrition Modeling'!$B:$B,'IP Attrition'!$D21,'Attrition Modeling'!$C:$C,'IP Attrition'!AK$1),VLOOKUP($F21+AK$2,$A$6:$C$106,2,FALSE)*VLOOKUP(AK$1,'Attrition Modeling'!$L$15:$N$27,IF(AK$2+$F21&lt;=24,2,3),FALSE)),$C$3)*(1+Projection!AM$16)*(1+IF(AK153&gt;0,'Attrition Modeling'!$N$9,0)))</f>
        <v>0</v>
      </c>
      <c r="AL21" s="799">
        <f>(AK21+AL153)*(1-IFERROR(IF(AL$2+$F21&lt;=12,SUMIFS('Attrition Modeling'!$D:$D,'Attrition Modeling'!$B:$B,'IP Attrition'!$D21,'Attrition Modeling'!$C:$C,'IP Attrition'!AL$1),VLOOKUP($F21+AL$2,$A$6:$C$106,2,FALSE)*VLOOKUP(AL$1,'Attrition Modeling'!$L$15:$N$27,IF(AL$2+$F21&lt;=24,2,3),FALSE)),$C$3)*(1+Projection!AN$16)*(1+IF(AL153&gt;0,'Attrition Modeling'!$N$9,0)))</f>
        <v>0</v>
      </c>
      <c r="AM21" s="799">
        <f>(AL21+AM153)*(1-IFERROR(IF(AM$2+$F21&lt;=12,SUMIFS('Attrition Modeling'!$D:$D,'Attrition Modeling'!$B:$B,'IP Attrition'!$D21,'Attrition Modeling'!$C:$C,'IP Attrition'!AM$1),VLOOKUP($F21+AM$2,$A$6:$C$106,2,FALSE)*VLOOKUP(AM$1,'Attrition Modeling'!$L$15:$N$27,IF(AM$2+$F21&lt;=24,2,3),FALSE)),$C$3)*(1+Projection!AO$16)*(1+IF(AM153&gt;0,'Attrition Modeling'!$N$9,0)))</f>
        <v>0</v>
      </c>
      <c r="AN21" s="799">
        <f>(AM21+AN153)*(1-IFERROR(IF(AN$2+$F21&lt;=12,SUMIFS('Attrition Modeling'!$D:$D,'Attrition Modeling'!$B:$B,'IP Attrition'!$D21,'Attrition Modeling'!$C:$C,'IP Attrition'!AN$1),VLOOKUP($F21+AN$2,$A$6:$C$106,2,FALSE)*VLOOKUP(AN$1,'Attrition Modeling'!$L$15:$N$27,IF(AN$2+$F21&lt;=24,2,3),FALSE)),$C$3)*(1+Projection!AP$16)*(1+IF(AN153&gt;0,'Attrition Modeling'!$N$9,0)))</f>
        <v>0</v>
      </c>
      <c r="AO21" s="799">
        <f>(AN21+AO153)*(1-IFERROR(IF(AO$2+$F21&lt;=12,SUMIFS('Attrition Modeling'!$D:$D,'Attrition Modeling'!$B:$B,'IP Attrition'!$D21,'Attrition Modeling'!$C:$C,'IP Attrition'!AO$1),VLOOKUP($F21+AO$2,$A$6:$C$106,2,FALSE)*VLOOKUP(AO$1,'Attrition Modeling'!$L$15:$N$27,IF(AO$2+$F21&lt;=24,2,3),FALSE)),$C$3)*(1+Projection!AQ$16)*(1+IF(AO153&gt;0,'Attrition Modeling'!$N$9,0)))</f>
        <v>0</v>
      </c>
      <c r="AP21" s="799">
        <f>(AO21+AP153)*(1-IFERROR(IF(AP$2+$F21&lt;=12,SUMIFS('Attrition Modeling'!$D:$D,'Attrition Modeling'!$B:$B,'IP Attrition'!$D21,'Attrition Modeling'!$C:$C,'IP Attrition'!AP$1),VLOOKUP($F21+AP$2,$A$6:$C$106,2,FALSE)*VLOOKUP(AP$1,'Attrition Modeling'!$L$15:$N$27,IF(AP$2+$F21&lt;=24,2,3),FALSE)),$C$3)*(1+Projection!AR$16)*(1+IF(AP153&gt;0,'Attrition Modeling'!$N$9,0)))</f>
        <v>0</v>
      </c>
      <c r="AQ21" s="799">
        <f>(AP21+AQ153)*(1-IFERROR(IF(AQ$2+$F21&lt;=12,SUMIFS('Attrition Modeling'!$D:$D,'Attrition Modeling'!$B:$B,'IP Attrition'!$D21,'Attrition Modeling'!$C:$C,'IP Attrition'!AQ$1),VLOOKUP($F21+AQ$2,$A$6:$C$106,2,FALSE)*VLOOKUP(AQ$1,'Attrition Modeling'!$L$15:$N$27,IF(AQ$2+$F21&lt;=24,2,3),FALSE)),$C$3)*(1+Projection!AS$16)*(1+IF(AQ153&gt;0,'Attrition Modeling'!$N$9,0)))</f>
        <v>0</v>
      </c>
      <c r="AR21" s="799">
        <f>(AQ21+AR153)*(1-IFERROR(IF(AR$2+$F21&lt;=12,SUMIFS('Attrition Modeling'!$D:$D,'Attrition Modeling'!$B:$B,'IP Attrition'!$D21,'Attrition Modeling'!$C:$C,'IP Attrition'!AR$1),VLOOKUP($F21+AR$2,$A$6:$C$106,2,FALSE)*VLOOKUP(AR$1,'Attrition Modeling'!$L$15:$N$27,IF(AR$2+$F21&lt;=24,2,3),FALSE)),$C$3)*(1+Projection!AT$16)*(1+IF(AR153&gt;0,'Attrition Modeling'!$N$9,0)))</f>
        <v>0</v>
      </c>
      <c r="AS21" s="799">
        <f>(AR21+AS153)*(1-IFERROR(IF(AS$2+$F21&lt;=12,SUMIFS('Attrition Modeling'!$D:$D,'Attrition Modeling'!$B:$B,'IP Attrition'!$D21,'Attrition Modeling'!$C:$C,'IP Attrition'!AS$1),VLOOKUP($F21+AS$2,$A$6:$C$106,2,FALSE)*VLOOKUP(AS$1,'Attrition Modeling'!$L$15:$N$27,IF(AS$2+$F21&lt;=24,2,3),FALSE)),$C$3)*(1+Projection!AU$16)*(1+IF(AS153&gt;0,'Attrition Modeling'!$N$9,0)))</f>
        <v>0</v>
      </c>
      <c r="AT21" s="799">
        <f>(AS21+AT153)*(1-IFERROR(IF(AT$2+$F21&lt;=12,SUMIFS('Attrition Modeling'!$D:$D,'Attrition Modeling'!$B:$B,'IP Attrition'!$D21,'Attrition Modeling'!$C:$C,'IP Attrition'!AT$1),VLOOKUP($F21+AT$2,$A$6:$C$106,2,FALSE)*VLOOKUP(AT$1,'Attrition Modeling'!$L$15:$N$27,IF(AT$2+$F21&lt;=24,2,3),FALSE)),$C$3)*(1+Projection!AV$16)*(1+IF(AT153&gt;0,'Attrition Modeling'!$N$9,0)))</f>
        <v>0</v>
      </c>
      <c r="AU21" s="799">
        <f>(AT21+AU153)*(1-IFERROR(IF(AU$2+$F21&lt;=12,SUMIFS('Attrition Modeling'!$D:$D,'Attrition Modeling'!$B:$B,'IP Attrition'!$D21,'Attrition Modeling'!$C:$C,'IP Attrition'!AU$1),VLOOKUP($F21+AU$2,$A$6:$C$106,2,FALSE)*VLOOKUP(AU$1,'Attrition Modeling'!$L$15:$N$27,IF(AU$2+$F21&lt;=24,2,3),FALSE)),$C$3)*(1+Projection!AW$16)*(1+IF(AU153&gt;0,'Attrition Modeling'!$N$9,0)))</f>
        <v>0</v>
      </c>
      <c r="AV21" s="799">
        <f>(AU21+AV153)*(1-IFERROR(IF(AV$2+$F21&lt;=12,SUMIFS('Attrition Modeling'!$D:$D,'Attrition Modeling'!$B:$B,'IP Attrition'!$D21,'Attrition Modeling'!$C:$C,'IP Attrition'!AV$1),VLOOKUP($F21+AV$2,$A$6:$C$106,2,FALSE)*VLOOKUP(AV$1,'Attrition Modeling'!$L$15:$N$27,IF(AV$2+$F21&lt;=24,2,3),FALSE)),$C$3)*(1+Projection!AX$16)*(1+IF(AV153&gt;0,'Attrition Modeling'!$N$9,0)))</f>
        <v>0</v>
      </c>
      <c r="AW21" s="799">
        <f>(AV21+AW153)*(1-IFERROR(IF(AW$2+$F21&lt;=12,SUMIFS('Attrition Modeling'!$D:$D,'Attrition Modeling'!$B:$B,'IP Attrition'!$D21,'Attrition Modeling'!$C:$C,'IP Attrition'!AW$1),VLOOKUP($F21+AW$2,$A$6:$C$106,2,FALSE)*VLOOKUP(AW$1,'Attrition Modeling'!$L$15:$N$27,IF(AW$2+$F21&lt;=24,2,3),FALSE)),$C$3)*(1+Projection!AY$16)*(1+IF(AW153&gt;0,'Attrition Modeling'!$N$9,0)))</f>
        <v>0</v>
      </c>
      <c r="AX21" s="799">
        <f>(AW21+AX153)*(1-IFERROR(IF(AX$2+$F21&lt;=12,SUMIFS('Attrition Modeling'!$D:$D,'Attrition Modeling'!$B:$B,'IP Attrition'!$D21,'Attrition Modeling'!$C:$C,'IP Attrition'!AX$1),VLOOKUP($F21+AX$2,$A$6:$C$106,2,FALSE)*VLOOKUP(AX$1,'Attrition Modeling'!$L$15:$N$27,IF(AX$2+$F21&lt;=24,2,3),FALSE)),$C$3)*(1+Projection!AZ$16)*(1+IF(AX153&gt;0,'Attrition Modeling'!$N$9,0)))</f>
        <v>0</v>
      </c>
      <c r="AY21" s="799">
        <f>(AX21+AY153)*(1-IFERROR(IF(AY$2+$F21&lt;=12,SUMIFS('Attrition Modeling'!$D:$D,'Attrition Modeling'!$B:$B,'IP Attrition'!$D21,'Attrition Modeling'!$C:$C,'IP Attrition'!AY$1),VLOOKUP($F21+AY$2,$A$6:$C$106,2,FALSE)*VLOOKUP(AY$1,'Attrition Modeling'!$L$15:$N$27,IF(AY$2+$F21&lt;=24,2,3),FALSE)),$C$3)*(1+Projection!BA$16)*(1+IF(AY153&gt;0,'Attrition Modeling'!$N$9,0)))</f>
        <v>0</v>
      </c>
      <c r="AZ21" s="799">
        <f>(AY21+AZ153)*(1-IFERROR(IF(AZ$2+$F21&lt;=12,SUMIFS('Attrition Modeling'!$D:$D,'Attrition Modeling'!$B:$B,'IP Attrition'!$D21,'Attrition Modeling'!$C:$C,'IP Attrition'!AZ$1),VLOOKUP($F21+AZ$2,$A$6:$C$106,2,FALSE)*VLOOKUP(AZ$1,'Attrition Modeling'!$L$15:$N$27,IF(AZ$2+$F21&lt;=24,2,3),FALSE)),$C$3)*(1+Projection!BB$16)*(1+IF(AZ153&gt;0,'Attrition Modeling'!$N$9,0)))</f>
        <v>0</v>
      </c>
      <c r="BA21" s="799">
        <f>(AZ21+BA153)*(1-IFERROR(IF(BA$2+$F21&lt;=12,SUMIFS('Attrition Modeling'!$D:$D,'Attrition Modeling'!$B:$B,'IP Attrition'!$D21,'Attrition Modeling'!$C:$C,'IP Attrition'!BA$1),VLOOKUP($F21+BA$2,$A$6:$C$106,2,FALSE)*VLOOKUP(BA$1,'Attrition Modeling'!$L$15:$N$27,IF(BA$2+$F21&lt;=24,2,3),FALSE)),$C$3)*(1+Projection!BC$16)*(1+IF(BA153&gt;0,'Attrition Modeling'!$N$9,0)))</f>
        <v>0</v>
      </c>
      <c r="BB21" s="799">
        <f>(BA21+BB153)*(1-IFERROR(IF(BB$2+$F21&lt;=12,SUMIFS('Attrition Modeling'!$D:$D,'Attrition Modeling'!$B:$B,'IP Attrition'!$D21,'Attrition Modeling'!$C:$C,'IP Attrition'!BB$1),VLOOKUP($F21+BB$2,$A$6:$C$106,2,FALSE)*VLOOKUP(BB$1,'Attrition Modeling'!$L$15:$N$27,IF(BB$2+$F21&lt;=24,2,3),FALSE)),$C$3)*(1+Projection!BD$16)*(1+IF(BB153&gt;0,'Attrition Modeling'!$N$9,0)))</f>
        <v>0</v>
      </c>
      <c r="BC21" s="799">
        <f>(BB21+BC153)*(1-IFERROR(IF(BC$2+$F21&lt;=12,SUMIFS('Attrition Modeling'!$D:$D,'Attrition Modeling'!$B:$B,'IP Attrition'!$D21,'Attrition Modeling'!$C:$C,'IP Attrition'!BC$1),VLOOKUP($F21+BC$2,$A$6:$C$106,2,FALSE)*VLOOKUP(BC$1,'Attrition Modeling'!$L$15:$N$27,IF(BC$2+$F21&lt;=24,2,3),FALSE)),$C$3)*(1+Projection!BE$16)*(1+IF(BC153&gt;0,'Attrition Modeling'!$N$9,0)))</f>
        <v>0</v>
      </c>
      <c r="BD21" s="799">
        <f>(BC21+BD153)*(1-IFERROR(IF(BD$2+$F21&lt;=12,SUMIFS('Attrition Modeling'!$D:$D,'Attrition Modeling'!$B:$B,'IP Attrition'!$D21,'Attrition Modeling'!$C:$C,'IP Attrition'!BD$1),VLOOKUP($F21+BD$2,$A$6:$C$106,2,FALSE)*VLOOKUP(BD$1,'Attrition Modeling'!$L$15:$N$27,IF(BD$2+$F21&lt;=24,2,3),FALSE)),$C$3)*(1+Projection!BF$16)*(1+IF(BD153&gt;0,'Attrition Modeling'!$N$9,0)))</f>
        <v>0</v>
      </c>
      <c r="BE21" s="799">
        <f>(BD21+BE153)*(1-IFERROR(IF(BE$2+$F21&lt;=12,SUMIFS('Attrition Modeling'!$D:$D,'Attrition Modeling'!$B:$B,'IP Attrition'!$D21,'Attrition Modeling'!$C:$C,'IP Attrition'!BE$1),VLOOKUP($F21+BE$2,$A$6:$C$106,2,FALSE)*VLOOKUP(BE$1,'Attrition Modeling'!$L$15:$N$27,IF(BE$2+$F21&lt;=24,2,3),FALSE)),$C$3)*(1+Projection!BG$16)*(1+IF(BE153&gt;0,'Attrition Modeling'!$N$9,0)))</f>
        <v>0</v>
      </c>
      <c r="BF21" s="799">
        <f>(BE21+BF153)*(1-IFERROR(IF(BF$2+$F21&lt;=12,SUMIFS('Attrition Modeling'!$D:$D,'Attrition Modeling'!$B:$B,'IP Attrition'!$D21,'Attrition Modeling'!$C:$C,'IP Attrition'!BF$1),VLOOKUP($F21+BF$2,$A$6:$C$106,2,FALSE)*VLOOKUP(BF$1,'Attrition Modeling'!$L$15:$N$27,IF(BF$2+$F21&lt;=24,2,3),FALSE)),$C$3)*(1+Projection!BH$16)*(1+IF(BF153&gt;0,'Attrition Modeling'!$N$9,0)))</f>
        <v>0</v>
      </c>
      <c r="BG21" s="799">
        <f>(BF21+BG153)*(1-IFERROR(IF(BG$2+$F21&lt;=12,SUMIFS('Attrition Modeling'!$D:$D,'Attrition Modeling'!$B:$B,'IP Attrition'!$D21,'Attrition Modeling'!$C:$C,'IP Attrition'!BG$1),VLOOKUP($F21+BG$2,$A$6:$C$106,2,FALSE)*VLOOKUP(BG$1,'Attrition Modeling'!$L$15:$N$27,IF(BG$2+$F21&lt;=24,2,3),FALSE)),$C$3)*(1+Projection!BI$16)*(1+IF(BG153&gt;0,'Attrition Modeling'!$N$9,0)))</f>
        <v>0</v>
      </c>
      <c r="BH21" s="799">
        <f>(BG21+BH153)*(1-IFERROR(IF(BH$2+$F21&lt;=12,SUMIFS('Attrition Modeling'!$D:$D,'Attrition Modeling'!$B:$B,'IP Attrition'!$D21,'Attrition Modeling'!$C:$C,'IP Attrition'!BH$1),VLOOKUP($F21+BH$2,$A$6:$C$106,2,FALSE)*VLOOKUP(BH$1,'Attrition Modeling'!$L$15:$N$27,IF(BH$2+$F21&lt;=24,2,3),FALSE)),$C$3)*(1+Projection!BJ$16)*(1+IF(BH153&gt;0,'Attrition Modeling'!$N$9,0)))</f>
        <v>0</v>
      </c>
      <c r="BI21" s="799">
        <f>(BH21+BI153)*(1-IFERROR(IF(BI$2+$F21&lt;=12,SUMIFS('Attrition Modeling'!$D:$D,'Attrition Modeling'!$B:$B,'IP Attrition'!$D21,'Attrition Modeling'!$C:$C,'IP Attrition'!BI$1),VLOOKUP($F21+BI$2,$A$6:$C$106,2,FALSE)*VLOOKUP(BI$1,'Attrition Modeling'!$L$15:$N$27,IF(BI$2+$F21&lt;=24,2,3),FALSE)),$C$3)*(1+Projection!BK$16)*(1+IF(BI153&gt;0,'Attrition Modeling'!$N$9,0)))</f>
        <v>0</v>
      </c>
      <c r="BJ21" s="799">
        <f>(BI21+BJ153)*(1-IFERROR(IF(BJ$2+$F21&lt;=12,SUMIFS('Attrition Modeling'!$D:$D,'Attrition Modeling'!$B:$B,'IP Attrition'!$D21,'Attrition Modeling'!$C:$C,'IP Attrition'!BJ$1),VLOOKUP($F21+BJ$2,$A$6:$C$106,2,FALSE)*VLOOKUP(BJ$1,'Attrition Modeling'!$L$15:$N$27,IF(BJ$2+$F21&lt;=24,2,3),FALSE)),$C$3)*(1+Projection!BL$16)*(1+IF(BJ153&gt;0,'Attrition Modeling'!$N$9,0)))</f>
        <v>0</v>
      </c>
      <c r="BK21" s="799">
        <f>(BJ21+BK153)*(1-IFERROR(IF(BK$2+$F21&lt;=12,SUMIFS('Attrition Modeling'!$D:$D,'Attrition Modeling'!$B:$B,'IP Attrition'!$D21,'Attrition Modeling'!$C:$C,'IP Attrition'!BK$1),VLOOKUP($F21+BK$2,$A$6:$C$106,2,FALSE)*VLOOKUP(BK$1,'Attrition Modeling'!$L$15:$N$27,IF(BK$2+$F21&lt;=24,2,3),FALSE)),$C$3)*(1+Projection!BM$16)*(1+IF(BK153&gt;0,'Attrition Modeling'!$N$9,0)))</f>
        <v>0</v>
      </c>
      <c r="BL21" s="799">
        <f>(BK21+BL153)*(1-IFERROR(IF(BL$2+$F21&lt;=12,SUMIFS('Attrition Modeling'!$D:$D,'Attrition Modeling'!$B:$B,'IP Attrition'!$D21,'Attrition Modeling'!$C:$C,'IP Attrition'!BL$1),VLOOKUP($F21+BL$2,$A$6:$C$106,2,FALSE)*VLOOKUP(BL$1,'Attrition Modeling'!$L$15:$N$27,IF(BL$2+$F21&lt;=24,2,3),FALSE)),$C$3)*(1+Projection!BN$16)*(1+IF(BL153&gt;0,'Attrition Modeling'!$N$9,0)))</f>
        <v>0</v>
      </c>
      <c r="BM21" s="799">
        <f>(BL21+BM153)*(1-IFERROR(IF(BM$2+$F21&lt;=12,SUMIFS('Attrition Modeling'!$D:$D,'Attrition Modeling'!$B:$B,'IP Attrition'!$D21,'Attrition Modeling'!$C:$C,'IP Attrition'!BM$1),VLOOKUP($F21+BM$2,$A$6:$C$106,2,FALSE)*VLOOKUP(BM$1,'Attrition Modeling'!$L$15:$N$27,IF(BM$2+$F21&lt;=24,2,3),FALSE)),$C$3)*(1+Projection!BO$16)*(1+IF(BM153&gt;0,'Attrition Modeling'!$N$9,0)))</f>
        <v>0</v>
      </c>
      <c r="BN21" s="799">
        <f>(BM21+BN153)*(1-IFERROR(IF(BN$2+$F21&lt;=12,SUMIFS('Attrition Modeling'!$D:$D,'Attrition Modeling'!$B:$B,'IP Attrition'!$D21,'Attrition Modeling'!$C:$C,'IP Attrition'!BN$1),VLOOKUP($F21+BN$2,$A$6:$C$106,2,FALSE)*VLOOKUP(BN$1,'Attrition Modeling'!$L$15:$N$27,IF(BN$2+$F21&lt;=24,2,3),FALSE)),$C$3)*(1+Projection!BP$16)*(1+IF(BN153&gt;0,'Attrition Modeling'!$N$9,0)))</f>
        <v>0</v>
      </c>
      <c r="BO21" s="799">
        <f>(BN21+BO153)*(1-IFERROR(IF(BO$2+$F21&lt;=12,SUMIFS('Attrition Modeling'!$D:$D,'Attrition Modeling'!$B:$B,'IP Attrition'!$D21,'Attrition Modeling'!$C:$C,'IP Attrition'!BO$1),VLOOKUP($F21+BO$2,$A$6:$C$106,2,FALSE)*VLOOKUP(BO$1,'Attrition Modeling'!$L$15:$N$27,IF(BO$2+$F21&lt;=24,2,3),FALSE)),$C$3)*(1+Projection!BV$16)*(1+IF(BO153&gt;0,'Attrition Modeling'!$N$9,0)))</f>
        <v>0</v>
      </c>
      <c r="BP21" s="799">
        <f>(BO21+BP153)*(1-IFERROR(IF(BP$2+$F21&lt;=12,SUMIFS('Attrition Modeling'!$D:$D,'Attrition Modeling'!$B:$B,'IP Attrition'!$D21,'Attrition Modeling'!$C:$C,'IP Attrition'!BP$1),VLOOKUP($F21+BP$2,$A$6:$C$106,2,FALSE)*VLOOKUP(BP$1,'Attrition Modeling'!$L$15:$N$27,IF(BP$2+$F21&lt;=24,2,3),FALSE)),$C$3)*(1+Projection!BW$16)*(1+IF(BP153&gt;0,'Attrition Modeling'!$N$9,0)))</f>
        <v>0</v>
      </c>
      <c r="BQ21" s="799">
        <f>(BP21+BQ153)*(1-IFERROR(IF(BQ$2+$F21&lt;=12,SUMIFS('Attrition Modeling'!$D:$D,'Attrition Modeling'!$B:$B,'IP Attrition'!$D21,'Attrition Modeling'!$C:$C,'IP Attrition'!BQ$1),VLOOKUP($F21+BQ$2,$A$6:$C$106,2,FALSE)*VLOOKUP(BQ$1,'Attrition Modeling'!$L$15:$N$27,IF(BQ$2+$F21&lt;=24,2,3),FALSE)),$C$3)*(1+Projection!BX$16)*(1+IF(BQ153&gt;0,'Attrition Modeling'!$N$9,0)))</f>
        <v>0</v>
      </c>
      <c r="BR21" s="799">
        <f>(BQ21+BR153)*(1-IFERROR(IF(BR$2+$F21&lt;=12,SUMIFS('Attrition Modeling'!$D:$D,'Attrition Modeling'!$B:$B,'IP Attrition'!$D21,'Attrition Modeling'!$C:$C,'IP Attrition'!BR$1),VLOOKUP($F21+BR$2,$A$6:$C$106,2,FALSE)*VLOOKUP(BR$1,'Attrition Modeling'!$L$15:$N$27,IF(BR$2+$F21&lt;=24,2,3),FALSE)),$C$3)*(1+Projection!BY$16)*(1+IF(BR153&gt;0,'Attrition Modeling'!$N$9,0)))</f>
        <v>0</v>
      </c>
      <c r="BS21" s="799">
        <f>(BR21+BS153)*(1-IFERROR(IF(BS$2+$F21&lt;=12,SUMIFS('Attrition Modeling'!$D:$D,'Attrition Modeling'!$B:$B,'IP Attrition'!$D21,'Attrition Modeling'!$C:$C,'IP Attrition'!BS$1),VLOOKUP($F21+BS$2,$A$6:$C$106,2,FALSE)*VLOOKUP(BS$1,'Attrition Modeling'!$L$15:$N$27,IF(BS$2+$F21&lt;=24,2,3),FALSE)),$C$3)*(1+Projection!BZ$16)*(1+IF(BS153&gt;0,'Attrition Modeling'!$N$9,0)))</f>
        <v>0</v>
      </c>
      <c r="BT21" s="799" t="e">
        <f>(BS21+BT153)*(1-IFERROR(IF(BT$2+$F21&lt;=12,SUMIFS('Attrition Modeling'!$D:$D,'Attrition Modeling'!$B:$B,'IP Attrition'!$D21,'Attrition Modeling'!$C:$C,'IP Attrition'!BT$1),VLOOKUP($F21+BT$2,$A$6:$C$106,2,FALSE)*VLOOKUP(BT$1,'Attrition Modeling'!$L$15:$N$27,IF(BT$2+$F21&lt;=24,2,3),FALSE)),$C$3)*(1+Projection!CA$16)*(1+IF(BT153&gt;0,'Attrition Modeling'!$N$9,0)))</f>
        <v>#REF!</v>
      </c>
      <c r="BU21" s="799" t="e">
        <f>(BT21+BU153)*(1-IFERROR(IF(BU$2+$F21&lt;=12,SUMIFS('Attrition Modeling'!$D:$D,'Attrition Modeling'!$B:$B,'IP Attrition'!$D21,'Attrition Modeling'!$C:$C,'IP Attrition'!BU$1),VLOOKUP($F21+BU$2,$A$6:$C$106,2,FALSE)*VLOOKUP(BU$1,'Attrition Modeling'!$L$15:$N$27,IF(BU$2+$F21&lt;=24,2,3),FALSE)),$C$3)*(1+Projection!CB$16)*(1+IF(BU153&gt;0,'Attrition Modeling'!$N$9,0)))</f>
        <v>#REF!</v>
      </c>
    </row>
    <row r="22" spans="1:73" ht="14.25" customHeight="1" x14ac:dyDescent="0.2">
      <c r="A22" s="9">
        <v>15</v>
      </c>
      <c r="B22" s="25">
        <f>MAX('Attrition Modeling'!H19,$C$3)*(1-Summary!$C$20)</f>
        <v>4.6078311603791125E-2</v>
      </c>
      <c r="C22" s="24" t="e">
        <f t="shared" si="3"/>
        <v>#DIV/0!</v>
      </c>
      <c r="D22" s="11">
        <f t="shared" si="1"/>
        <v>-19</v>
      </c>
      <c r="E22" s="807">
        <f t="array" ref="E22">INDEX('Attrition Modeling'!$X$2:$AF$63,MATCH($F22,'Attrition Modeling'!$X$2:$X$63,0),MATCH(Inputs!$C$10,'Attrition Modeling'!$X$2:$AF$2,0))</f>
        <v>0</v>
      </c>
      <c r="F22" s="11">
        <f t="shared" si="2"/>
        <v>19</v>
      </c>
      <c r="G22" s="799">
        <f>Summary!$C$25*$E22</f>
        <v>0</v>
      </c>
      <c r="H22" s="799">
        <f>(G22+H154)*(1-IFERROR(IF(H$2+$F22&lt;=12,SUMIFS('Attrition Modeling'!$D:$D,'Attrition Modeling'!$B:$B,'IP Attrition'!$D22,'Attrition Modeling'!$C:$C,'IP Attrition'!H$1),VLOOKUP($F22+H$2,$A$6:$C$106,2,FALSE)*VLOOKUP(H$1,'Attrition Modeling'!$L$15:$N$27,IF(H$2+$F22&lt;=24,2,3),FALSE)),$C$3)*(1+Projection!J$16)*(1+IF(H154&gt;0,'Attrition Modeling'!$N$9,0)))</f>
        <v>0</v>
      </c>
      <c r="I22" s="799">
        <f>(H22+I154)*(1-IFERROR(IF(I$2+$F22&lt;=12,SUMIFS('Attrition Modeling'!$D:$D,'Attrition Modeling'!$B:$B,'IP Attrition'!$D22,'Attrition Modeling'!$C:$C,'IP Attrition'!I$1),VLOOKUP($F22+I$2,$A$6:$C$106,2,FALSE)*VLOOKUP(I$1,'Attrition Modeling'!$L$15:$N$27,IF(I$2+$F22&lt;=24,2,3),FALSE)),$C$3)*(1+Projection!K$16)*(1+IF(I154&gt;0,'Attrition Modeling'!$N$9,0)))</f>
        <v>0</v>
      </c>
      <c r="J22" s="799">
        <f>(I22+J154)*(1-IFERROR(IF(J$2+$F22&lt;=12,SUMIFS('Attrition Modeling'!$D:$D,'Attrition Modeling'!$B:$B,'IP Attrition'!$D22,'Attrition Modeling'!$C:$C,'IP Attrition'!J$1),VLOOKUP($F22+J$2,$A$6:$C$106,2,FALSE)*VLOOKUP(J$1,'Attrition Modeling'!$L$15:$N$27,IF(J$2+$F22&lt;=24,2,3),FALSE)),$C$3)*(1+Projection!L$16)*(1+IF(J154&gt;0,'Attrition Modeling'!$N$9,0)))</f>
        <v>0</v>
      </c>
      <c r="K22" s="799">
        <f>(J22+K154)*(1-IFERROR(IF(K$2+$F22&lt;=12,SUMIFS('Attrition Modeling'!$D:$D,'Attrition Modeling'!$B:$B,'IP Attrition'!$D22,'Attrition Modeling'!$C:$C,'IP Attrition'!K$1),VLOOKUP($F22+K$2,$A$6:$C$106,2,FALSE)*VLOOKUP(K$1,'Attrition Modeling'!$L$15:$N$27,IF(K$2+$F22&lt;=24,2,3),FALSE)),$C$3)*(1+Projection!M$16)*(1+IF(K154&gt;0,'Attrition Modeling'!$N$9,0)))</f>
        <v>0</v>
      </c>
      <c r="L22" s="799">
        <f>(K22+L154)*(1-IFERROR(IF(L$2+$F22&lt;=12,SUMIFS('Attrition Modeling'!$D:$D,'Attrition Modeling'!$B:$B,'IP Attrition'!$D22,'Attrition Modeling'!$C:$C,'IP Attrition'!L$1),VLOOKUP($F22+L$2,$A$6:$C$106,2,FALSE)*VLOOKUP(L$1,'Attrition Modeling'!$L$15:$N$27,IF(L$2+$F22&lt;=24,2,3),FALSE)),$C$3)*(1+Projection!N$16)*(1+IF(L154&gt;0,'Attrition Modeling'!$N$9,0)))</f>
        <v>0</v>
      </c>
      <c r="M22" s="799">
        <f>(L22+M154)*(1-IFERROR(IF(M$2+$F22&lt;=12,SUMIFS('Attrition Modeling'!$D:$D,'Attrition Modeling'!$B:$B,'IP Attrition'!$D22,'Attrition Modeling'!$C:$C,'IP Attrition'!M$1),VLOOKUP($F22+M$2,$A$6:$C$106,2,FALSE)*VLOOKUP(M$1,'Attrition Modeling'!$L$15:$N$27,IF(M$2+$F22&lt;=24,2,3),FALSE)),$C$3)*(1+Projection!O$16)*(1+IF(M154&gt;0,'Attrition Modeling'!$N$9,0)))</f>
        <v>0</v>
      </c>
      <c r="N22" s="799">
        <f>(M22+N154)*(1-IFERROR(IF(N$2+$F22&lt;=12,SUMIFS('Attrition Modeling'!$D:$D,'Attrition Modeling'!$B:$B,'IP Attrition'!$D22,'Attrition Modeling'!$C:$C,'IP Attrition'!N$1),VLOOKUP($F22+N$2,$A$6:$C$106,2,FALSE)*VLOOKUP(N$1,'Attrition Modeling'!$L$15:$N$27,IF(N$2+$F22&lt;=24,2,3),FALSE)),$C$3)*(1+Projection!P$16)*(1+IF(N154&gt;0,'Attrition Modeling'!$N$9,0)))</f>
        <v>0</v>
      </c>
      <c r="O22" s="799">
        <f>(N22+O154)*(1-IFERROR(IF(O$2+$F22&lt;=12,SUMIFS('Attrition Modeling'!$D:$D,'Attrition Modeling'!$B:$B,'IP Attrition'!$D22,'Attrition Modeling'!$C:$C,'IP Attrition'!O$1),VLOOKUP($F22+O$2,$A$6:$C$106,2,FALSE)*VLOOKUP(O$1,'Attrition Modeling'!$L$15:$N$27,IF(O$2+$F22&lt;=24,2,3),FALSE)),$C$3)*(1+Projection!Q$16)*(1+IF(O154&gt;0,'Attrition Modeling'!$N$9,0)))</f>
        <v>0</v>
      </c>
      <c r="P22" s="799">
        <f>(O22+P154)*(1-IFERROR(IF(P$2+$F22&lt;=12,SUMIFS('Attrition Modeling'!$D:$D,'Attrition Modeling'!$B:$B,'IP Attrition'!$D22,'Attrition Modeling'!$C:$C,'IP Attrition'!P$1),VLOOKUP($F22+P$2,$A$6:$C$106,2,FALSE)*VLOOKUP(P$1,'Attrition Modeling'!$L$15:$N$27,IF(P$2+$F22&lt;=24,2,3),FALSE)),$C$3)*(1+Projection!R$16)*(1+IF(P154&gt;0,'Attrition Modeling'!$N$9,0)))</f>
        <v>0</v>
      </c>
      <c r="Q22" s="799">
        <f>(P22+Q154)*(1-IFERROR(IF(Q$2+$F22&lt;=12,SUMIFS('Attrition Modeling'!$D:$D,'Attrition Modeling'!$B:$B,'IP Attrition'!$D22,'Attrition Modeling'!$C:$C,'IP Attrition'!Q$1),VLOOKUP($F22+Q$2,$A$6:$C$106,2,FALSE)*VLOOKUP(Q$1,'Attrition Modeling'!$L$15:$N$27,IF(Q$2+$F22&lt;=24,2,3),FALSE)),$C$3)*(1+Projection!S$16)*(1+IF(Q154&gt;0,'Attrition Modeling'!$N$9,0)))</f>
        <v>0</v>
      </c>
      <c r="R22" s="799">
        <f>(Q22+R154)*(1-IFERROR(IF(R$2+$F22&lt;=12,SUMIFS('Attrition Modeling'!$D:$D,'Attrition Modeling'!$B:$B,'IP Attrition'!$D22,'Attrition Modeling'!$C:$C,'IP Attrition'!R$1),VLOOKUP($F22+R$2,$A$6:$C$106,2,FALSE)*VLOOKUP(R$1,'Attrition Modeling'!$L$15:$N$27,IF(R$2+$F22&lt;=24,2,3),FALSE)),$C$3)*(1+Projection!T$16)*(1+IF(R154&gt;0,'Attrition Modeling'!$N$9,0)))</f>
        <v>0</v>
      </c>
      <c r="S22" s="799">
        <f>(R22+S154)*(1-IFERROR(IF(S$2+$F22&lt;=12,SUMIFS('Attrition Modeling'!$D:$D,'Attrition Modeling'!$B:$B,'IP Attrition'!$D22,'Attrition Modeling'!$C:$C,'IP Attrition'!S$1),VLOOKUP($F22+S$2,$A$6:$C$106,2,FALSE)*VLOOKUP(S$1,'Attrition Modeling'!$L$15:$N$27,IF(S$2+$F22&lt;=24,2,3),FALSE)),$C$3)*(1+Projection!U$16)*(1+IF(S154&gt;0,'Attrition Modeling'!$N$9,0)))</f>
        <v>0</v>
      </c>
      <c r="T22" s="799">
        <f>(S22+T154)*(1-IFERROR(IF(T$2+$F22&lt;=12,SUMIFS('Attrition Modeling'!$D:$D,'Attrition Modeling'!$B:$B,'IP Attrition'!$D22,'Attrition Modeling'!$C:$C,'IP Attrition'!T$1),VLOOKUP($F22+T$2,$A$6:$C$106,2,FALSE)*VLOOKUP(T$1,'Attrition Modeling'!$L$15:$N$27,IF(T$2+$F22&lt;=24,2,3),FALSE)),$C$3)*(1+Projection!V$16)*(1+IF(T154&gt;0,'Attrition Modeling'!$N$9,0)))</f>
        <v>0</v>
      </c>
      <c r="U22" s="799">
        <f>(T22+U154)*(1-IFERROR(IF(U$2+$F22&lt;=12,SUMIFS('Attrition Modeling'!$D:$D,'Attrition Modeling'!$B:$B,'IP Attrition'!$D22,'Attrition Modeling'!$C:$C,'IP Attrition'!U$1),VLOOKUP($F22+U$2,$A$6:$C$106,2,FALSE)*VLOOKUP(U$1,'Attrition Modeling'!$L$15:$N$27,IF(U$2+$F22&lt;=24,2,3),FALSE)),$C$3)*(1+Projection!W$16)*(1+IF(U154&gt;0,'Attrition Modeling'!$N$9,0)))</f>
        <v>0</v>
      </c>
      <c r="V22" s="799">
        <f>(U22+V154)*(1-IFERROR(IF(V$2+$F22&lt;=12,SUMIFS('Attrition Modeling'!$D:$D,'Attrition Modeling'!$B:$B,'IP Attrition'!$D22,'Attrition Modeling'!$C:$C,'IP Attrition'!V$1),VLOOKUP($F22+V$2,$A$6:$C$106,2,FALSE)*VLOOKUP(V$1,'Attrition Modeling'!$L$15:$N$27,IF(V$2+$F22&lt;=24,2,3),FALSE)),$C$3)*(1+Projection!X$16)*(1+IF(V154&gt;0,'Attrition Modeling'!$N$9,0)))</f>
        <v>0</v>
      </c>
      <c r="W22" s="799">
        <f>(V22+W154)*(1-IFERROR(IF(W$2+$F22&lt;=12,SUMIFS('Attrition Modeling'!$D:$D,'Attrition Modeling'!$B:$B,'IP Attrition'!$D22,'Attrition Modeling'!$C:$C,'IP Attrition'!W$1),VLOOKUP($F22+W$2,$A$6:$C$106,2,FALSE)*VLOOKUP(W$1,'Attrition Modeling'!$L$15:$N$27,IF(W$2+$F22&lt;=24,2,3),FALSE)),$C$3)*(1+Projection!Y$16)*(1+IF(W154&gt;0,'Attrition Modeling'!$N$9,0)))</f>
        <v>0</v>
      </c>
      <c r="X22" s="799">
        <f>(W22+X154)*(1-IFERROR(IF(X$2+$F22&lt;=12,SUMIFS('Attrition Modeling'!$D:$D,'Attrition Modeling'!$B:$B,'IP Attrition'!$D22,'Attrition Modeling'!$C:$C,'IP Attrition'!X$1),VLOOKUP($F22+X$2,$A$6:$C$106,2,FALSE)*VLOOKUP(X$1,'Attrition Modeling'!$L$15:$N$27,IF(X$2+$F22&lt;=24,2,3),FALSE)),$C$3)*(1+Projection!Z$16)*(1+IF(X154&gt;0,'Attrition Modeling'!$N$9,0)))</f>
        <v>0</v>
      </c>
      <c r="Y22" s="799">
        <f>(X22+Y154)*(1-IFERROR(IF(Y$2+$F22&lt;=12,SUMIFS('Attrition Modeling'!$D:$D,'Attrition Modeling'!$B:$B,'IP Attrition'!$D22,'Attrition Modeling'!$C:$C,'IP Attrition'!Y$1),VLOOKUP($F22+Y$2,$A$6:$C$106,2,FALSE)*VLOOKUP(Y$1,'Attrition Modeling'!$L$15:$N$27,IF(Y$2+$F22&lt;=24,2,3),FALSE)),$C$3)*(1+Projection!AA$16)*(1+IF(Y154&gt;0,'Attrition Modeling'!$N$9,0)))</f>
        <v>0</v>
      </c>
      <c r="Z22" s="799">
        <f>(Y22+Z154)*(1-IFERROR(IF(Z$2+$F22&lt;=12,SUMIFS('Attrition Modeling'!$D:$D,'Attrition Modeling'!$B:$B,'IP Attrition'!$D22,'Attrition Modeling'!$C:$C,'IP Attrition'!Z$1),VLOOKUP($F22+Z$2,$A$6:$C$106,2,FALSE)*VLOOKUP(Z$1,'Attrition Modeling'!$L$15:$N$27,IF(Z$2+$F22&lt;=24,2,3),FALSE)),$C$3)*(1+Projection!AB$16)*(1+IF(Z154&gt;0,'Attrition Modeling'!$N$9,0)))</f>
        <v>0</v>
      </c>
      <c r="AA22" s="799">
        <f>(Z22+AA154)*(1-IFERROR(IF(AA$2+$F22&lt;=12,SUMIFS('Attrition Modeling'!$D:$D,'Attrition Modeling'!$B:$B,'IP Attrition'!$D22,'Attrition Modeling'!$C:$C,'IP Attrition'!AA$1),VLOOKUP($F22+AA$2,$A$6:$C$106,2,FALSE)*VLOOKUP(AA$1,'Attrition Modeling'!$L$15:$N$27,IF(AA$2+$F22&lt;=24,2,3),FALSE)),$C$3)*(1+Projection!AC$16)*(1+IF(AA154&gt;0,'Attrition Modeling'!$N$9,0)))</f>
        <v>0</v>
      </c>
      <c r="AB22" s="799">
        <f>(AA22+AB154)*(1-IFERROR(IF(AB$2+$F22&lt;=12,SUMIFS('Attrition Modeling'!$D:$D,'Attrition Modeling'!$B:$B,'IP Attrition'!$D22,'Attrition Modeling'!$C:$C,'IP Attrition'!AB$1),VLOOKUP($F22+AB$2,$A$6:$C$106,2,FALSE)*VLOOKUP(AB$1,'Attrition Modeling'!$L$15:$N$27,IF(AB$2+$F22&lt;=24,2,3),FALSE)),$C$3)*(1+Projection!AD$16)*(1+IF(AB154&gt;0,'Attrition Modeling'!$N$9,0)))</f>
        <v>0</v>
      </c>
      <c r="AC22" s="799">
        <f>(AB22+AC154)*(1-IFERROR(IF(AC$2+$F22&lt;=12,SUMIFS('Attrition Modeling'!$D:$D,'Attrition Modeling'!$B:$B,'IP Attrition'!$D22,'Attrition Modeling'!$C:$C,'IP Attrition'!AC$1),VLOOKUP($F22+AC$2,$A$6:$C$106,2,FALSE)*VLOOKUP(AC$1,'Attrition Modeling'!$L$15:$N$27,IF(AC$2+$F22&lt;=24,2,3),FALSE)),$C$3)*(1+Projection!AE$16)*(1+IF(AC154&gt;0,'Attrition Modeling'!$N$9,0)))</f>
        <v>0</v>
      </c>
      <c r="AD22" s="799">
        <f>(AC22+AD154)*(1-IFERROR(IF(AD$2+$F22&lt;=12,SUMIFS('Attrition Modeling'!$D:$D,'Attrition Modeling'!$B:$B,'IP Attrition'!$D22,'Attrition Modeling'!$C:$C,'IP Attrition'!AD$1),VLOOKUP($F22+AD$2,$A$6:$C$106,2,FALSE)*VLOOKUP(AD$1,'Attrition Modeling'!$L$15:$N$27,IF(AD$2+$F22&lt;=24,2,3),FALSE)),$C$3)*(1+Projection!AF$16)*(1+IF(AD154&gt;0,'Attrition Modeling'!$N$9,0)))</f>
        <v>0</v>
      </c>
      <c r="AE22" s="799">
        <f>(AD22+AE154)*(1-IFERROR(IF(AE$2+$F22&lt;=12,SUMIFS('Attrition Modeling'!$D:$D,'Attrition Modeling'!$B:$B,'IP Attrition'!$D22,'Attrition Modeling'!$C:$C,'IP Attrition'!AE$1),VLOOKUP($F22+AE$2,$A$6:$C$106,2,FALSE)*VLOOKUP(AE$1,'Attrition Modeling'!$L$15:$N$27,IF(AE$2+$F22&lt;=24,2,3),FALSE)),$C$3)*(1+Projection!AG$16)*(1+IF(AE154&gt;0,'Attrition Modeling'!$N$9,0)))</f>
        <v>0</v>
      </c>
      <c r="AF22" s="799">
        <f>(AE22+AF154)*(1-IFERROR(IF(AF$2+$F22&lt;=12,SUMIFS('Attrition Modeling'!$D:$D,'Attrition Modeling'!$B:$B,'IP Attrition'!$D22,'Attrition Modeling'!$C:$C,'IP Attrition'!AF$1),VLOOKUP($F22+AF$2,$A$6:$C$106,2,FALSE)*VLOOKUP(AF$1,'Attrition Modeling'!$L$15:$N$27,IF(AF$2+$F22&lt;=24,2,3),FALSE)),$C$3)*(1+Projection!AH$16)*(1+IF(AF154&gt;0,'Attrition Modeling'!$N$9,0)))</f>
        <v>0</v>
      </c>
      <c r="AG22" s="799">
        <f>(AF22+AG154)*(1-IFERROR(IF(AG$2+$F22&lt;=12,SUMIFS('Attrition Modeling'!$D:$D,'Attrition Modeling'!$B:$B,'IP Attrition'!$D22,'Attrition Modeling'!$C:$C,'IP Attrition'!AG$1),VLOOKUP($F22+AG$2,$A$6:$C$106,2,FALSE)*VLOOKUP(AG$1,'Attrition Modeling'!$L$15:$N$27,IF(AG$2+$F22&lt;=24,2,3),FALSE)),$C$3)*(1+Projection!AI$16)*(1+IF(AG154&gt;0,'Attrition Modeling'!$N$9,0)))</f>
        <v>0</v>
      </c>
      <c r="AH22" s="799">
        <f>(AG22+AH154)*(1-IFERROR(IF(AH$2+$F22&lt;=12,SUMIFS('Attrition Modeling'!$D:$D,'Attrition Modeling'!$B:$B,'IP Attrition'!$D22,'Attrition Modeling'!$C:$C,'IP Attrition'!AH$1),VLOOKUP($F22+AH$2,$A$6:$C$106,2,FALSE)*VLOOKUP(AH$1,'Attrition Modeling'!$L$15:$N$27,IF(AH$2+$F22&lt;=24,2,3),FALSE)),$C$3)*(1+Projection!AJ$16)*(1+IF(AH154&gt;0,'Attrition Modeling'!$N$9,0)))</f>
        <v>0</v>
      </c>
      <c r="AI22" s="799">
        <f>(AH22+AI154)*(1-IFERROR(IF(AI$2+$F22&lt;=12,SUMIFS('Attrition Modeling'!$D:$D,'Attrition Modeling'!$B:$B,'IP Attrition'!$D22,'Attrition Modeling'!$C:$C,'IP Attrition'!AI$1),VLOOKUP($F22+AI$2,$A$6:$C$106,2,FALSE)*VLOOKUP(AI$1,'Attrition Modeling'!$L$15:$N$27,IF(AI$2+$F22&lt;=24,2,3),FALSE)),$C$3)*(1+Projection!AK$16)*(1+IF(AI154&gt;0,'Attrition Modeling'!$N$9,0)))</f>
        <v>0</v>
      </c>
      <c r="AJ22" s="799">
        <f>(AI22+AJ154)*(1-IFERROR(IF(AJ$2+$F22&lt;=12,SUMIFS('Attrition Modeling'!$D:$D,'Attrition Modeling'!$B:$B,'IP Attrition'!$D22,'Attrition Modeling'!$C:$C,'IP Attrition'!AJ$1),VLOOKUP($F22+AJ$2,$A$6:$C$106,2,FALSE)*VLOOKUP(AJ$1,'Attrition Modeling'!$L$15:$N$27,IF(AJ$2+$F22&lt;=24,2,3),FALSE)),$C$3)*(1+Projection!AL$16)*(1+IF(AJ154&gt;0,'Attrition Modeling'!$N$9,0)))</f>
        <v>0</v>
      </c>
      <c r="AK22" s="799">
        <f>(AJ22+AK154)*(1-IFERROR(IF(AK$2+$F22&lt;=12,SUMIFS('Attrition Modeling'!$D:$D,'Attrition Modeling'!$B:$B,'IP Attrition'!$D22,'Attrition Modeling'!$C:$C,'IP Attrition'!AK$1),VLOOKUP($F22+AK$2,$A$6:$C$106,2,FALSE)*VLOOKUP(AK$1,'Attrition Modeling'!$L$15:$N$27,IF(AK$2+$F22&lt;=24,2,3),FALSE)),$C$3)*(1+Projection!AM$16)*(1+IF(AK154&gt;0,'Attrition Modeling'!$N$9,0)))</f>
        <v>0</v>
      </c>
      <c r="AL22" s="799">
        <f>(AK22+AL154)*(1-IFERROR(IF(AL$2+$F22&lt;=12,SUMIFS('Attrition Modeling'!$D:$D,'Attrition Modeling'!$B:$B,'IP Attrition'!$D22,'Attrition Modeling'!$C:$C,'IP Attrition'!AL$1),VLOOKUP($F22+AL$2,$A$6:$C$106,2,FALSE)*VLOOKUP(AL$1,'Attrition Modeling'!$L$15:$N$27,IF(AL$2+$F22&lt;=24,2,3),FALSE)),$C$3)*(1+Projection!AN$16)*(1+IF(AL154&gt;0,'Attrition Modeling'!$N$9,0)))</f>
        <v>0</v>
      </c>
      <c r="AM22" s="799">
        <f>(AL22+AM154)*(1-IFERROR(IF(AM$2+$F22&lt;=12,SUMIFS('Attrition Modeling'!$D:$D,'Attrition Modeling'!$B:$B,'IP Attrition'!$D22,'Attrition Modeling'!$C:$C,'IP Attrition'!AM$1),VLOOKUP($F22+AM$2,$A$6:$C$106,2,FALSE)*VLOOKUP(AM$1,'Attrition Modeling'!$L$15:$N$27,IF(AM$2+$F22&lt;=24,2,3),FALSE)),$C$3)*(1+Projection!AO$16)*(1+IF(AM154&gt;0,'Attrition Modeling'!$N$9,0)))</f>
        <v>0</v>
      </c>
      <c r="AN22" s="799">
        <f>(AM22+AN154)*(1-IFERROR(IF(AN$2+$F22&lt;=12,SUMIFS('Attrition Modeling'!$D:$D,'Attrition Modeling'!$B:$B,'IP Attrition'!$D22,'Attrition Modeling'!$C:$C,'IP Attrition'!AN$1),VLOOKUP($F22+AN$2,$A$6:$C$106,2,FALSE)*VLOOKUP(AN$1,'Attrition Modeling'!$L$15:$N$27,IF(AN$2+$F22&lt;=24,2,3),FALSE)),$C$3)*(1+Projection!AP$16)*(1+IF(AN154&gt;0,'Attrition Modeling'!$N$9,0)))</f>
        <v>0</v>
      </c>
      <c r="AO22" s="799">
        <f>(AN22+AO154)*(1-IFERROR(IF(AO$2+$F22&lt;=12,SUMIFS('Attrition Modeling'!$D:$D,'Attrition Modeling'!$B:$B,'IP Attrition'!$D22,'Attrition Modeling'!$C:$C,'IP Attrition'!AO$1),VLOOKUP($F22+AO$2,$A$6:$C$106,2,FALSE)*VLOOKUP(AO$1,'Attrition Modeling'!$L$15:$N$27,IF(AO$2+$F22&lt;=24,2,3),FALSE)),$C$3)*(1+Projection!AQ$16)*(1+IF(AO154&gt;0,'Attrition Modeling'!$N$9,0)))</f>
        <v>0</v>
      </c>
      <c r="AP22" s="799">
        <f>(AO22+AP154)*(1-IFERROR(IF(AP$2+$F22&lt;=12,SUMIFS('Attrition Modeling'!$D:$D,'Attrition Modeling'!$B:$B,'IP Attrition'!$D22,'Attrition Modeling'!$C:$C,'IP Attrition'!AP$1),VLOOKUP($F22+AP$2,$A$6:$C$106,2,FALSE)*VLOOKUP(AP$1,'Attrition Modeling'!$L$15:$N$27,IF(AP$2+$F22&lt;=24,2,3),FALSE)),$C$3)*(1+Projection!AR$16)*(1+IF(AP154&gt;0,'Attrition Modeling'!$N$9,0)))</f>
        <v>0</v>
      </c>
      <c r="AQ22" s="799">
        <f>(AP22+AQ154)*(1-IFERROR(IF(AQ$2+$F22&lt;=12,SUMIFS('Attrition Modeling'!$D:$D,'Attrition Modeling'!$B:$B,'IP Attrition'!$D22,'Attrition Modeling'!$C:$C,'IP Attrition'!AQ$1),VLOOKUP($F22+AQ$2,$A$6:$C$106,2,FALSE)*VLOOKUP(AQ$1,'Attrition Modeling'!$L$15:$N$27,IF(AQ$2+$F22&lt;=24,2,3),FALSE)),$C$3)*(1+Projection!AS$16)*(1+IF(AQ154&gt;0,'Attrition Modeling'!$N$9,0)))</f>
        <v>0</v>
      </c>
      <c r="AR22" s="799">
        <f>(AQ22+AR154)*(1-IFERROR(IF(AR$2+$F22&lt;=12,SUMIFS('Attrition Modeling'!$D:$D,'Attrition Modeling'!$B:$B,'IP Attrition'!$D22,'Attrition Modeling'!$C:$C,'IP Attrition'!AR$1),VLOOKUP($F22+AR$2,$A$6:$C$106,2,FALSE)*VLOOKUP(AR$1,'Attrition Modeling'!$L$15:$N$27,IF(AR$2+$F22&lt;=24,2,3),FALSE)),$C$3)*(1+Projection!AT$16)*(1+IF(AR154&gt;0,'Attrition Modeling'!$N$9,0)))</f>
        <v>0</v>
      </c>
      <c r="AS22" s="799">
        <f>(AR22+AS154)*(1-IFERROR(IF(AS$2+$F22&lt;=12,SUMIFS('Attrition Modeling'!$D:$D,'Attrition Modeling'!$B:$B,'IP Attrition'!$D22,'Attrition Modeling'!$C:$C,'IP Attrition'!AS$1),VLOOKUP($F22+AS$2,$A$6:$C$106,2,FALSE)*VLOOKUP(AS$1,'Attrition Modeling'!$L$15:$N$27,IF(AS$2+$F22&lt;=24,2,3),FALSE)),$C$3)*(1+Projection!AU$16)*(1+IF(AS154&gt;0,'Attrition Modeling'!$N$9,0)))</f>
        <v>0</v>
      </c>
      <c r="AT22" s="799">
        <f>(AS22+AT154)*(1-IFERROR(IF(AT$2+$F22&lt;=12,SUMIFS('Attrition Modeling'!$D:$D,'Attrition Modeling'!$B:$B,'IP Attrition'!$D22,'Attrition Modeling'!$C:$C,'IP Attrition'!AT$1),VLOOKUP($F22+AT$2,$A$6:$C$106,2,FALSE)*VLOOKUP(AT$1,'Attrition Modeling'!$L$15:$N$27,IF(AT$2+$F22&lt;=24,2,3),FALSE)),$C$3)*(1+Projection!AV$16)*(1+IF(AT154&gt;0,'Attrition Modeling'!$N$9,0)))</f>
        <v>0</v>
      </c>
      <c r="AU22" s="799">
        <f>(AT22+AU154)*(1-IFERROR(IF(AU$2+$F22&lt;=12,SUMIFS('Attrition Modeling'!$D:$D,'Attrition Modeling'!$B:$B,'IP Attrition'!$D22,'Attrition Modeling'!$C:$C,'IP Attrition'!AU$1),VLOOKUP($F22+AU$2,$A$6:$C$106,2,FALSE)*VLOOKUP(AU$1,'Attrition Modeling'!$L$15:$N$27,IF(AU$2+$F22&lt;=24,2,3),FALSE)),$C$3)*(1+Projection!AW$16)*(1+IF(AU154&gt;0,'Attrition Modeling'!$N$9,0)))</f>
        <v>0</v>
      </c>
      <c r="AV22" s="799">
        <f>(AU22+AV154)*(1-IFERROR(IF(AV$2+$F22&lt;=12,SUMIFS('Attrition Modeling'!$D:$D,'Attrition Modeling'!$B:$B,'IP Attrition'!$D22,'Attrition Modeling'!$C:$C,'IP Attrition'!AV$1),VLOOKUP($F22+AV$2,$A$6:$C$106,2,FALSE)*VLOOKUP(AV$1,'Attrition Modeling'!$L$15:$N$27,IF(AV$2+$F22&lt;=24,2,3),FALSE)),$C$3)*(1+Projection!AX$16)*(1+IF(AV154&gt;0,'Attrition Modeling'!$N$9,0)))</f>
        <v>0</v>
      </c>
      <c r="AW22" s="799">
        <f>(AV22+AW154)*(1-IFERROR(IF(AW$2+$F22&lt;=12,SUMIFS('Attrition Modeling'!$D:$D,'Attrition Modeling'!$B:$B,'IP Attrition'!$D22,'Attrition Modeling'!$C:$C,'IP Attrition'!AW$1),VLOOKUP($F22+AW$2,$A$6:$C$106,2,FALSE)*VLOOKUP(AW$1,'Attrition Modeling'!$L$15:$N$27,IF(AW$2+$F22&lt;=24,2,3),FALSE)),$C$3)*(1+Projection!AY$16)*(1+IF(AW154&gt;0,'Attrition Modeling'!$N$9,0)))</f>
        <v>0</v>
      </c>
      <c r="AX22" s="799">
        <f>(AW22+AX154)*(1-IFERROR(IF(AX$2+$F22&lt;=12,SUMIFS('Attrition Modeling'!$D:$D,'Attrition Modeling'!$B:$B,'IP Attrition'!$D22,'Attrition Modeling'!$C:$C,'IP Attrition'!AX$1),VLOOKUP($F22+AX$2,$A$6:$C$106,2,FALSE)*VLOOKUP(AX$1,'Attrition Modeling'!$L$15:$N$27,IF(AX$2+$F22&lt;=24,2,3),FALSE)),$C$3)*(1+Projection!AZ$16)*(1+IF(AX154&gt;0,'Attrition Modeling'!$N$9,0)))</f>
        <v>0</v>
      </c>
      <c r="AY22" s="799">
        <f>(AX22+AY154)*(1-IFERROR(IF(AY$2+$F22&lt;=12,SUMIFS('Attrition Modeling'!$D:$D,'Attrition Modeling'!$B:$B,'IP Attrition'!$D22,'Attrition Modeling'!$C:$C,'IP Attrition'!AY$1),VLOOKUP($F22+AY$2,$A$6:$C$106,2,FALSE)*VLOOKUP(AY$1,'Attrition Modeling'!$L$15:$N$27,IF(AY$2+$F22&lt;=24,2,3),FALSE)),$C$3)*(1+Projection!BA$16)*(1+IF(AY154&gt;0,'Attrition Modeling'!$N$9,0)))</f>
        <v>0</v>
      </c>
      <c r="AZ22" s="799">
        <f>(AY22+AZ154)*(1-IFERROR(IF(AZ$2+$F22&lt;=12,SUMIFS('Attrition Modeling'!$D:$D,'Attrition Modeling'!$B:$B,'IP Attrition'!$D22,'Attrition Modeling'!$C:$C,'IP Attrition'!AZ$1),VLOOKUP($F22+AZ$2,$A$6:$C$106,2,FALSE)*VLOOKUP(AZ$1,'Attrition Modeling'!$L$15:$N$27,IF(AZ$2+$F22&lt;=24,2,3),FALSE)),$C$3)*(1+Projection!BB$16)*(1+IF(AZ154&gt;0,'Attrition Modeling'!$N$9,0)))</f>
        <v>0</v>
      </c>
      <c r="BA22" s="799">
        <f>(AZ22+BA154)*(1-IFERROR(IF(BA$2+$F22&lt;=12,SUMIFS('Attrition Modeling'!$D:$D,'Attrition Modeling'!$B:$B,'IP Attrition'!$D22,'Attrition Modeling'!$C:$C,'IP Attrition'!BA$1),VLOOKUP($F22+BA$2,$A$6:$C$106,2,FALSE)*VLOOKUP(BA$1,'Attrition Modeling'!$L$15:$N$27,IF(BA$2+$F22&lt;=24,2,3),FALSE)),$C$3)*(1+Projection!BC$16)*(1+IF(BA154&gt;0,'Attrition Modeling'!$N$9,0)))</f>
        <v>0</v>
      </c>
      <c r="BB22" s="799">
        <f>(BA22+BB154)*(1-IFERROR(IF(BB$2+$F22&lt;=12,SUMIFS('Attrition Modeling'!$D:$D,'Attrition Modeling'!$B:$B,'IP Attrition'!$D22,'Attrition Modeling'!$C:$C,'IP Attrition'!BB$1),VLOOKUP($F22+BB$2,$A$6:$C$106,2,FALSE)*VLOOKUP(BB$1,'Attrition Modeling'!$L$15:$N$27,IF(BB$2+$F22&lt;=24,2,3),FALSE)),$C$3)*(1+Projection!BD$16)*(1+IF(BB154&gt;0,'Attrition Modeling'!$N$9,0)))</f>
        <v>0</v>
      </c>
      <c r="BC22" s="799">
        <f>(BB22+BC154)*(1-IFERROR(IF(BC$2+$F22&lt;=12,SUMIFS('Attrition Modeling'!$D:$D,'Attrition Modeling'!$B:$B,'IP Attrition'!$D22,'Attrition Modeling'!$C:$C,'IP Attrition'!BC$1),VLOOKUP($F22+BC$2,$A$6:$C$106,2,FALSE)*VLOOKUP(BC$1,'Attrition Modeling'!$L$15:$N$27,IF(BC$2+$F22&lt;=24,2,3),FALSE)),$C$3)*(1+Projection!BE$16)*(1+IF(BC154&gt;0,'Attrition Modeling'!$N$9,0)))</f>
        <v>0</v>
      </c>
      <c r="BD22" s="799">
        <f>(BC22+BD154)*(1-IFERROR(IF(BD$2+$F22&lt;=12,SUMIFS('Attrition Modeling'!$D:$D,'Attrition Modeling'!$B:$B,'IP Attrition'!$D22,'Attrition Modeling'!$C:$C,'IP Attrition'!BD$1),VLOOKUP($F22+BD$2,$A$6:$C$106,2,FALSE)*VLOOKUP(BD$1,'Attrition Modeling'!$L$15:$N$27,IF(BD$2+$F22&lt;=24,2,3),FALSE)),$C$3)*(1+Projection!BF$16)*(1+IF(BD154&gt;0,'Attrition Modeling'!$N$9,0)))</f>
        <v>0</v>
      </c>
      <c r="BE22" s="799">
        <f>(BD22+BE154)*(1-IFERROR(IF(BE$2+$F22&lt;=12,SUMIFS('Attrition Modeling'!$D:$D,'Attrition Modeling'!$B:$B,'IP Attrition'!$D22,'Attrition Modeling'!$C:$C,'IP Attrition'!BE$1),VLOOKUP($F22+BE$2,$A$6:$C$106,2,FALSE)*VLOOKUP(BE$1,'Attrition Modeling'!$L$15:$N$27,IF(BE$2+$F22&lt;=24,2,3),FALSE)),$C$3)*(1+Projection!BG$16)*(1+IF(BE154&gt;0,'Attrition Modeling'!$N$9,0)))</f>
        <v>0</v>
      </c>
      <c r="BF22" s="799">
        <f>(BE22+BF154)*(1-IFERROR(IF(BF$2+$F22&lt;=12,SUMIFS('Attrition Modeling'!$D:$D,'Attrition Modeling'!$B:$B,'IP Attrition'!$D22,'Attrition Modeling'!$C:$C,'IP Attrition'!BF$1),VLOOKUP($F22+BF$2,$A$6:$C$106,2,FALSE)*VLOOKUP(BF$1,'Attrition Modeling'!$L$15:$N$27,IF(BF$2+$F22&lt;=24,2,3),FALSE)),$C$3)*(1+Projection!BH$16)*(1+IF(BF154&gt;0,'Attrition Modeling'!$N$9,0)))</f>
        <v>0</v>
      </c>
      <c r="BG22" s="799">
        <f>(BF22+BG154)*(1-IFERROR(IF(BG$2+$F22&lt;=12,SUMIFS('Attrition Modeling'!$D:$D,'Attrition Modeling'!$B:$B,'IP Attrition'!$D22,'Attrition Modeling'!$C:$C,'IP Attrition'!BG$1),VLOOKUP($F22+BG$2,$A$6:$C$106,2,FALSE)*VLOOKUP(BG$1,'Attrition Modeling'!$L$15:$N$27,IF(BG$2+$F22&lt;=24,2,3),FALSE)),$C$3)*(1+Projection!BI$16)*(1+IF(BG154&gt;0,'Attrition Modeling'!$N$9,0)))</f>
        <v>0</v>
      </c>
      <c r="BH22" s="799">
        <f>(BG22+BH154)*(1-IFERROR(IF(BH$2+$F22&lt;=12,SUMIFS('Attrition Modeling'!$D:$D,'Attrition Modeling'!$B:$B,'IP Attrition'!$D22,'Attrition Modeling'!$C:$C,'IP Attrition'!BH$1),VLOOKUP($F22+BH$2,$A$6:$C$106,2,FALSE)*VLOOKUP(BH$1,'Attrition Modeling'!$L$15:$N$27,IF(BH$2+$F22&lt;=24,2,3),FALSE)),$C$3)*(1+Projection!BJ$16)*(1+IF(BH154&gt;0,'Attrition Modeling'!$N$9,0)))</f>
        <v>0</v>
      </c>
      <c r="BI22" s="799">
        <f>(BH22+BI154)*(1-IFERROR(IF(BI$2+$F22&lt;=12,SUMIFS('Attrition Modeling'!$D:$D,'Attrition Modeling'!$B:$B,'IP Attrition'!$D22,'Attrition Modeling'!$C:$C,'IP Attrition'!BI$1),VLOOKUP($F22+BI$2,$A$6:$C$106,2,FALSE)*VLOOKUP(BI$1,'Attrition Modeling'!$L$15:$N$27,IF(BI$2+$F22&lt;=24,2,3),FALSE)),$C$3)*(1+Projection!BK$16)*(1+IF(BI154&gt;0,'Attrition Modeling'!$N$9,0)))</f>
        <v>0</v>
      </c>
      <c r="BJ22" s="799">
        <f>(BI22+BJ154)*(1-IFERROR(IF(BJ$2+$F22&lt;=12,SUMIFS('Attrition Modeling'!$D:$D,'Attrition Modeling'!$B:$B,'IP Attrition'!$D22,'Attrition Modeling'!$C:$C,'IP Attrition'!BJ$1),VLOOKUP($F22+BJ$2,$A$6:$C$106,2,FALSE)*VLOOKUP(BJ$1,'Attrition Modeling'!$L$15:$N$27,IF(BJ$2+$F22&lt;=24,2,3),FALSE)),$C$3)*(1+Projection!BL$16)*(1+IF(BJ154&gt;0,'Attrition Modeling'!$N$9,0)))</f>
        <v>0</v>
      </c>
      <c r="BK22" s="799">
        <f>(BJ22+BK154)*(1-IFERROR(IF(BK$2+$F22&lt;=12,SUMIFS('Attrition Modeling'!$D:$D,'Attrition Modeling'!$B:$B,'IP Attrition'!$D22,'Attrition Modeling'!$C:$C,'IP Attrition'!BK$1),VLOOKUP($F22+BK$2,$A$6:$C$106,2,FALSE)*VLOOKUP(BK$1,'Attrition Modeling'!$L$15:$N$27,IF(BK$2+$F22&lt;=24,2,3),FALSE)),$C$3)*(1+Projection!BM$16)*(1+IF(BK154&gt;0,'Attrition Modeling'!$N$9,0)))</f>
        <v>0</v>
      </c>
      <c r="BL22" s="799">
        <f>(BK22+BL154)*(1-IFERROR(IF(BL$2+$F22&lt;=12,SUMIFS('Attrition Modeling'!$D:$D,'Attrition Modeling'!$B:$B,'IP Attrition'!$D22,'Attrition Modeling'!$C:$C,'IP Attrition'!BL$1),VLOOKUP($F22+BL$2,$A$6:$C$106,2,FALSE)*VLOOKUP(BL$1,'Attrition Modeling'!$L$15:$N$27,IF(BL$2+$F22&lt;=24,2,3),FALSE)),$C$3)*(1+Projection!BN$16)*(1+IF(BL154&gt;0,'Attrition Modeling'!$N$9,0)))</f>
        <v>0</v>
      </c>
      <c r="BM22" s="799">
        <f>(BL22+BM154)*(1-IFERROR(IF(BM$2+$F22&lt;=12,SUMIFS('Attrition Modeling'!$D:$D,'Attrition Modeling'!$B:$B,'IP Attrition'!$D22,'Attrition Modeling'!$C:$C,'IP Attrition'!BM$1),VLOOKUP($F22+BM$2,$A$6:$C$106,2,FALSE)*VLOOKUP(BM$1,'Attrition Modeling'!$L$15:$N$27,IF(BM$2+$F22&lt;=24,2,3),FALSE)),$C$3)*(1+Projection!BO$16)*(1+IF(BM154&gt;0,'Attrition Modeling'!$N$9,0)))</f>
        <v>0</v>
      </c>
      <c r="BN22" s="799">
        <f>(BM22+BN154)*(1-IFERROR(IF(BN$2+$F22&lt;=12,SUMIFS('Attrition Modeling'!$D:$D,'Attrition Modeling'!$B:$B,'IP Attrition'!$D22,'Attrition Modeling'!$C:$C,'IP Attrition'!BN$1),VLOOKUP($F22+BN$2,$A$6:$C$106,2,FALSE)*VLOOKUP(BN$1,'Attrition Modeling'!$L$15:$N$27,IF(BN$2+$F22&lt;=24,2,3),FALSE)),$C$3)*(1+Projection!BP$16)*(1+IF(BN154&gt;0,'Attrition Modeling'!$N$9,0)))</f>
        <v>0</v>
      </c>
      <c r="BO22" s="799">
        <f>(BN22+BO154)*(1-IFERROR(IF(BO$2+$F22&lt;=12,SUMIFS('Attrition Modeling'!$D:$D,'Attrition Modeling'!$B:$B,'IP Attrition'!$D22,'Attrition Modeling'!$C:$C,'IP Attrition'!BO$1),VLOOKUP($F22+BO$2,$A$6:$C$106,2,FALSE)*VLOOKUP(BO$1,'Attrition Modeling'!$L$15:$N$27,IF(BO$2+$F22&lt;=24,2,3),FALSE)),$C$3)*(1+Projection!BV$16)*(1+IF(BO154&gt;0,'Attrition Modeling'!$N$9,0)))</f>
        <v>0</v>
      </c>
      <c r="BP22" s="799">
        <f>(BO22+BP154)*(1-IFERROR(IF(BP$2+$F22&lt;=12,SUMIFS('Attrition Modeling'!$D:$D,'Attrition Modeling'!$B:$B,'IP Attrition'!$D22,'Attrition Modeling'!$C:$C,'IP Attrition'!BP$1),VLOOKUP($F22+BP$2,$A$6:$C$106,2,FALSE)*VLOOKUP(BP$1,'Attrition Modeling'!$L$15:$N$27,IF(BP$2+$F22&lt;=24,2,3),FALSE)),$C$3)*(1+Projection!BW$16)*(1+IF(BP154&gt;0,'Attrition Modeling'!$N$9,0)))</f>
        <v>0</v>
      </c>
      <c r="BQ22" s="799">
        <f>(BP22+BQ154)*(1-IFERROR(IF(BQ$2+$F22&lt;=12,SUMIFS('Attrition Modeling'!$D:$D,'Attrition Modeling'!$B:$B,'IP Attrition'!$D22,'Attrition Modeling'!$C:$C,'IP Attrition'!BQ$1),VLOOKUP($F22+BQ$2,$A$6:$C$106,2,FALSE)*VLOOKUP(BQ$1,'Attrition Modeling'!$L$15:$N$27,IF(BQ$2+$F22&lt;=24,2,3),FALSE)),$C$3)*(1+Projection!BX$16)*(1+IF(BQ154&gt;0,'Attrition Modeling'!$N$9,0)))</f>
        <v>0</v>
      </c>
      <c r="BR22" s="799">
        <f>(BQ22+BR154)*(1-IFERROR(IF(BR$2+$F22&lt;=12,SUMIFS('Attrition Modeling'!$D:$D,'Attrition Modeling'!$B:$B,'IP Attrition'!$D22,'Attrition Modeling'!$C:$C,'IP Attrition'!BR$1),VLOOKUP($F22+BR$2,$A$6:$C$106,2,FALSE)*VLOOKUP(BR$1,'Attrition Modeling'!$L$15:$N$27,IF(BR$2+$F22&lt;=24,2,3),FALSE)),$C$3)*(1+Projection!BY$16)*(1+IF(BR154&gt;0,'Attrition Modeling'!$N$9,0)))</f>
        <v>0</v>
      </c>
      <c r="BS22" s="799">
        <f>(BR22+BS154)*(1-IFERROR(IF(BS$2+$F22&lt;=12,SUMIFS('Attrition Modeling'!$D:$D,'Attrition Modeling'!$B:$B,'IP Attrition'!$D22,'Attrition Modeling'!$C:$C,'IP Attrition'!BS$1),VLOOKUP($F22+BS$2,$A$6:$C$106,2,FALSE)*VLOOKUP(BS$1,'Attrition Modeling'!$L$15:$N$27,IF(BS$2+$F22&lt;=24,2,3),FALSE)),$C$3)*(1+Projection!BZ$16)*(1+IF(BS154&gt;0,'Attrition Modeling'!$N$9,0)))</f>
        <v>0</v>
      </c>
      <c r="BT22" s="799" t="e">
        <f>(BS22+BT154)*(1-IFERROR(IF(BT$2+$F22&lt;=12,SUMIFS('Attrition Modeling'!$D:$D,'Attrition Modeling'!$B:$B,'IP Attrition'!$D22,'Attrition Modeling'!$C:$C,'IP Attrition'!BT$1),VLOOKUP($F22+BT$2,$A$6:$C$106,2,FALSE)*VLOOKUP(BT$1,'Attrition Modeling'!$L$15:$N$27,IF(BT$2+$F22&lt;=24,2,3),FALSE)),$C$3)*(1+Projection!CA$16)*(1+IF(BT154&gt;0,'Attrition Modeling'!$N$9,0)))</f>
        <v>#REF!</v>
      </c>
      <c r="BU22" s="799" t="e">
        <f>(BT22+BU154)*(1-IFERROR(IF(BU$2+$F22&lt;=12,SUMIFS('Attrition Modeling'!$D:$D,'Attrition Modeling'!$B:$B,'IP Attrition'!$D22,'Attrition Modeling'!$C:$C,'IP Attrition'!BU$1),VLOOKUP($F22+BU$2,$A$6:$C$106,2,FALSE)*VLOOKUP(BU$1,'Attrition Modeling'!$L$15:$N$27,IF(BU$2+$F22&lt;=24,2,3),FALSE)),$C$3)*(1+Projection!CB$16)*(1+IF(BU154&gt;0,'Attrition Modeling'!$N$9,0)))</f>
        <v>#REF!</v>
      </c>
    </row>
    <row r="23" spans="1:73" ht="14.25" customHeight="1" x14ac:dyDescent="0.2">
      <c r="A23" s="9">
        <v>16</v>
      </c>
      <c r="B23" s="25">
        <f>MAX('Attrition Modeling'!H20,$C$3)*(1-Summary!$C$20)</f>
        <v>4.4723205445370194E-2</v>
      </c>
      <c r="C23" s="24" t="e">
        <f t="shared" si="3"/>
        <v>#DIV/0!</v>
      </c>
      <c r="D23" s="11">
        <f t="shared" si="1"/>
        <v>-20</v>
      </c>
      <c r="E23" s="807">
        <f t="array" ref="E23">INDEX('Attrition Modeling'!$X$2:$AF$63,MATCH($F23,'Attrition Modeling'!$X$2:$X$63,0),MATCH(Inputs!$C$10,'Attrition Modeling'!$X$2:$AF$2,0))</f>
        <v>0</v>
      </c>
      <c r="F23" s="11">
        <f t="shared" si="2"/>
        <v>20</v>
      </c>
      <c r="G23" s="799">
        <f>Summary!$C$25*$E23</f>
        <v>0</v>
      </c>
      <c r="H23" s="799">
        <f>(G23+H155)*(1-IFERROR(IF(H$2+$F23&lt;=12,SUMIFS('Attrition Modeling'!$D:$D,'Attrition Modeling'!$B:$B,'IP Attrition'!$D23,'Attrition Modeling'!$C:$C,'IP Attrition'!H$1),VLOOKUP($F23+H$2,$A$6:$C$106,2,FALSE)*VLOOKUP(H$1,'Attrition Modeling'!$L$15:$N$27,IF(H$2+$F23&lt;=24,2,3),FALSE)),$C$3)*(1+Projection!J$16)*(1+IF(H155&gt;0,'Attrition Modeling'!$N$9,0)))</f>
        <v>0</v>
      </c>
      <c r="I23" s="799">
        <f>(H23+I155)*(1-IFERROR(IF(I$2+$F23&lt;=12,SUMIFS('Attrition Modeling'!$D:$D,'Attrition Modeling'!$B:$B,'IP Attrition'!$D23,'Attrition Modeling'!$C:$C,'IP Attrition'!I$1),VLOOKUP($F23+I$2,$A$6:$C$106,2,FALSE)*VLOOKUP(I$1,'Attrition Modeling'!$L$15:$N$27,IF(I$2+$F23&lt;=24,2,3),FALSE)),$C$3)*(1+Projection!K$16)*(1+IF(I155&gt;0,'Attrition Modeling'!$N$9,0)))</f>
        <v>0</v>
      </c>
      <c r="J23" s="799">
        <f>(I23+J155)*(1-IFERROR(IF(J$2+$F23&lt;=12,SUMIFS('Attrition Modeling'!$D:$D,'Attrition Modeling'!$B:$B,'IP Attrition'!$D23,'Attrition Modeling'!$C:$C,'IP Attrition'!J$1),VLOOKUP($F23+J$2,$A$6:$C$106,2,FALSE)*VLOOKUP(J$1,'Attrition Modeling'!$L$15:$N$27,IF(J$2+$F23&lt;=24,2,3),FALSE)),$C$3)*(1+Projection!L$16)*(1+IF(J155&gt;0,'Attrition Modeling'!$N$9,0)))</f>
        <v>0</v>
      </c>
      <c r="K23" s="799">
        <f>(J23+K155)*(1-IFERROR(IF(K$2+$F23&lt;=12,SUMIFS('Attrition Modeling'!$D:$D,'Attrition Modeling'!$B:$B,'IP Attrition'!$D23,'Attrition Modeling'!$C:$C,'IP Attrition'!K$1),VLOOKUP($F23+K$2,$A$6:$C$106,2,FALSE)*VLOOKUP(K$1,'Attrition Modeling'!$L$15:$N$27,IF(K$2+$F23&lt;=24,2,3),FALSE)),$C$3)*(1+Projection!M$16)*(1+IF(K155&gt;0,'Attrition Modeling'!$N$9,0)))</f>
        <v>0</v>
      </c>
      <c r="L23" s="799">
        <f>(K23+L155)*(1-IFERROR(IF(L$2+$F23&lt;=12,SUMIFS('Attrition Modeling'!$D:$D,'Attrition Modeling'!$B:$B,'IP Attrition'!$D23,'Attrition Modeling'!$C:$C,'IP Attrition'!L$1),VLOOKUP($F23+L$2,$A$6:$C$106,2,FALSE)*VLOOKUP(L$1,'Attrition Modeling'!$L$15:$N$27,IF(L$2+$F23&lt;=24,2,3),FALSE)),$C$3)*(1+Projection!N$16)*(1+IF(L155&gt;0,'Attrition Modeling'!$N$9,0)))</f>
        <v>0</v>
      </c>
      <c r="M23" s="799">
        <f>(L23+M155)*(1-IFERROR(IF(M$2+$F23&lt;=12,SUMIFS('Attrition Modeling'!$D:$D,'Attrition Modeling'!$B:$B,'IP Attrition'!$D23,'Attrition Modeling'!$C:$C,'IP Attrition'!M$1),VLOOKUP($F23+M$2,$A$6:$C$106,2,FALSE)*VLOOKUP(M$1,'Attrition Modeling'!$L$15:$N$27,IF(M$2+$F23&lt;=24,2,3),FALSE)),$C$3)*(1+Projection!O$16)*(1+IF(M155&gt;0,'Attrition Modeling'!$N$9,0)))</f>
        <v>0</v>
      </c>
      <c r="N23" s="799">
        <f>(M23+N155)*(1-IFERROR(IF(N$2+$F23&lt;=12,SUMIFS('Attrition Modeling'!$D:$D,'Attrition Modeling'!$B:$B,'IP Attrition'!$D23,'Attrition Modeling'!$C:$C,'IP Attrition'!N$1),VLOOKUP($F23+N$2,$A$6:$C$106,2,FALSE)*VLOOKUP(N$1,'Attrition Modeling'!$L$15:$N$27,IF(N$2+$F23&lt;=24,2,3),FALSE)),$C$3)*(1+Projection!P$16)*(1+IF(N155&gt;0,'Attrition Modeling'!$N$9,0)))</f>
        <v>0</v>
      </c>
      <c r="O23" s="799">
        <f>(N23+O155)*(1-IFERROR(IF(O$2+$F23&lt;=12,SUMIFS('Attrition Modeling'!$D:$D,'Attrition Modeling'!$B:$B,'IP Attrition'!$D23,'Attrition Modeling'!$C:$C,'IP Attrition'!O$1),VLOOKUP($F23+O$2,$A$6:$C$106,2,FALSE)*VLOOKUP(O$1,'Attrition Modeling'!$L$15:$N$27,IF(O$2+$F23&lt;=24,2,3),FALSE)),$C$3)*(1+Projection!Q$16)*(1+IF(O155&gt;0,'Attrition Modeling'!$N$9,0)))</f>
        <v>0</v>
      </c>
      <c r="P23" s="799">
        <f>(O23+P155)*(1-IFERROR(IF(P$2+$F23&lt;=12,SUMIFS('Attrition Modeling'!$D:$D,'Attrition Modeling'!$B:$B,'IP Attrition'!$D23,'Attrition Modeling'!$C:$C,'IP Attrition'!P$1),VLOOKUP($F23+P$2,$A$6:$C$106,2,FALSE)*VLOOKUP(P$1,'Attrition Modeling'!$L$15:$N$27,IF(P$2+$F23&lt;=24,2,3),FALSE)),$C$3)*(1+Projection!R$16)*(1+IF(P155&gt;0,'Attrition Modeling'!$N$9,0)))</f>
        <v>0</v>
      </c>
      <c r="Q23" s="799">
        <f>(P23+Q155)*(1-IFERROR(IF(Q$2+$F23&lt;=12,SUMIFS('Attrition Modeling'!$D:$D,'Attrition Modeling'!$B:$B,'IP Attrition'!$D23,'Attrition Modeling'!$C:$C,'IP Attrition'!Q$1),VLOOKUP($F23+Q$2,$A$6:$C$106,2,FALSE)*VLOOKUP(Q$1,'Attrition Modeling'!$L$15:$N$27,IF(Q$2+$F23&lt;=24,2,3),FALSE)),$C$3)*(1+Projection!S$16)*(1+IF(Q155&gt;0,'Attrition Modeling'!$N$9,0)))</f>
        <v>0</v>
      </c>
      <c r="R23" s="799">
        <f>(Q23+R155)*(1-IFERROR(IF(R$2+$F23&lt;=12,SUMIFS('Attrition Modeling'!$D:$D,'Attrition Modeling'!$B:$B,'IP Attrition'!$D23,'Attrition Modeling'!$C:$C,'IP Attrition'!R$1),VLOOKUP($F23+R$2,$A$6:$C$106,2,FALSE)*VLOOKUP(R$1,'Attrition Modeling'!$L$15:$N$27,IF(R$2+$F23&lt;=24,2,3),FALSE)),$C$3)*(1+Projection!T$16)*(1+IF(R155&gt;0,'Attrition Modeling'!$N$9,0)))</f>
        <v>0</v>
      </c>
      <c r="S23" s="799">
        <f>(R23+S155)*(1-IFERROR(IF(S$2+$F23&lt;=12,SUMIFS('Attrition Modeling'!$D:$D,'Attrition Modeling'!$B:$B,'IP Attrition'!$D23,'Attrition Modeling'!$C:$C,'IP Attrition'!S$1),VLOOKUP($F23+S$2,$A$6:$C$106,2,FALSE)*VLOOKUP(S$1,'Attrition Modeling'!$L$15:$N$27,IF(S$2+$F23&lt;=24,2,3),FALSE)),$C$3)*(1+Projection!U$16)*(1+IF(S155&gt;0,'Attrition Modeling'!$N$9,0)))</f>
        <v>0</v>
      </c>
      <c r="T23" s="799">
        <f>(S23+T155)*(1-IFERROR(IF(T$2+$F23&lt;=12,SUMIFS('Attrition Modeling'!$D:$D,'Attrition Modeling'!$B:$B,'IP Attrition'!$D23,'Attrition Modeling'!$C:$C,'IP Attrition'!T$1),VLOOKUP($F23+T$2,$A$6:$C$106,2,FALSE)*VLOOKUP(T$1,'Attrition Modeling'!$L$15:$N$27,IF(T$2+$F23&lt;=24,2,3),FALSE)),$C$3)*(1+Projection!V$16)*(1+IF(T155&gt;0,'Attrition Modeling'!$N$9,0)))</f>
        <v>0</v>
      </c>
      <c r="U23" s="799">
        <f>(T23+U155)*(1-IFERROR(IF(U$2+$F23&lt;=12,SUMIFS('Attrition Modeling'!$D:$D,'Attrition Modeling'!$B:$B,'IP Attrition'!$D23,'Attrition Modeling'!$C:$C,'IP Attrition'!U$1),VLOOKUP($F23+U$2,$A$6:$C$106,2,FALSE)*VLOOKUP(U$1,'Attrition Modeling'!$L$15:$N$27,IF(U$2+$F23&lt;=24,2,3),FALSE)),$C$3)*(1+Projection!W$16)*(1+IF(U155&gt;0,'Attrition Modeling'!$N$9,0)))</f>
        <v>0</v>
      </c>
      <c r="V23" s="799">
        <f>(U23+V155)*(1-IFERROR(IF(V$2+$F23&lt;=12,SUMIFS('Attrition Modeling'!$D:$D,'Attrition Modeling'!$B:$B,'IP Attrition'!$D23,'Attrition Modeling'!$C:$C,'IP Attrition'!V$1),VLOOKUP($F23+V$2,$A$6:$C$106,2,FALSE)*VLOOKUP(V$1,'Attrition Modeling'!$L$15:$N$27,IF(V$2+$F23&lt;=24,2,3),FALSE)),$C$3)*(1+Projection!X$16)*(1+IF(V155&gt;0,'Attrition Modeling'!$N$9,0)))</f>
        <v>0</v>
      </c>
      <c r="W23" s="799">
        <f>(V23+W155)*(1-IFERROR(IF(W$2+$F23&lt;=12,SUMIFS('Attrition Modeling'!$D:$D,'Attrition Modeling'!$B:$B,'IP Attrition'!$D23,'Attrition Modeling'!$C:$C,'IP Attrition'!W$1),VLOOKUP($F23+W$2,$A$6:$C$106,2,FALSE)*VLOOKUP(W$1,'Attrition Modeling'!$L$15:$N$27,IF(W$2+$F23&lt;=24,2,3),FALSE)),$C$3)*(1+Projection!Y$16)*(1+IF(W155&gt;0,'Attrition Modeling'!$N$9,0)))</f>
        <v>0</v>
      </c>
      <c r="X23" s="799">
        <f>(W23+X155)*(1-IFERROR(IF(X$2+$F23&lt;=12,SUMIFS('Attrition Modeling'!$D:$D,'Attrition Modeling'!$B:$B,'IP Attrition'!$D23,'Attrition Modeling'!$C:$C,'IP Attrition'!X$1),VLOOKUP($F23+X$2,$A$6:$C$106,2,FALSE)*VLOOKUP(X$1,'Attrition Modeling'!$L$15:$N$27,IF(X$2+$F23&lt;=24,2,3),FALSE)),$C$3)*(1+Projection!Z$16)*(1+IF(X155&gt;0,'Attrition Modeling'!$N$9,0)))</f>
        <v>0</v>
      </c>
      <c r="Y23" s="799">
        <f>(X23+Y155)*(1-IFERROR(IF(Y$2+$F23&lt;=12,SUMIFS('Attrition Modeling'!$D:$D,'Attrition Modeling'!$B:$B,'IP Attrition'!$D23,'Attrition Modeling'!$C:$C,'IP Attrition'!Y$1),VLOOKUP($F23+Y$2,$A$6:$C$106,2,FALSE)*VLOOKUP(Y$1,'Attrition Modeling'!$L$15:$N$27,IF(Y$2+$F23&lt;=24,2,3),FALSE)),$C$3)*(1+Projection!AA$16)*(1+IF(Y155&gt;0,'Attrition Modeling'!$N$9,0)))</f>
        <v>0</v>
      </c>
      <c r="Z23" s="799">
        <f>(Y23+Z155)*(1-IFERROR(IF(Z$2+$F23&lt;=12,SUMIFS('Attrition Modeling'!$D:$D,'Attrition Modeling'!$B:$B,'IP Attrition'!$D23,'Attrition Modeling'!$C:$C,'IP Attrition'!Z$1),VLOOKUP($F23+Z$2,$A$6:$C$106,2,FALSE)*VLOOKUP(Z$1,'Attrition Modeling'!$L$15:$N$27,IF(Z$2+$F23&lt;=24,2,3),FALSE)),$C$3)*(1+Projection!AB$16)*(1+IF(Z155&gt;0,'Attrition Modeling'!$N$9,0)))</f>
        <v>0</v>
      </c>
      <c r="AA23" s="799">
        <f>(Z23+AA155)*(1-IFERROR(IF(AA$2+$F23&lt;=12,SUMIFS('Attrition Modeling'!$D:$D,'Attrition Modeling'!$B:$B,'IP Attrition'!$D23,'Attrition Modeling'!$C:$C,'IP Attrition'!AA$1),VLOOKUP($F23+AA$2,$A$6:$C$106,2,FALSE)*VLOOKUP(AA$1,'Attrition Modeling'!$L$15:$N$27,IF(AA$2+$F23&lt;=24,2,3),FALSE)),$C$3)*(1+Projection!AC$16)*(1+IF(AA155&gt;0,'Attrition Modeling'!$N$9,0)))</f>
        <v>0</v>
      </c>
      <c r="AB23" s="799">
        <f>(AA23+AB155)*(1-IFERROR(IF(AB$2+$F23&lt;=12,SUMIFS('Attrition Modeling'!$D:$D,'Attrition Modeling'!$B:$B,'IP Attrition'!$D23,'Attrition Modeling'!$C:$C,'IP Attrition'!AB$1),VLOOKUP($F23+AB$2,$A$6:$C$106,2,FALSE)*VLOOKUP(AB$1,'Attrition Modeling'!$L$15:$N$27,IF(AB$2+$F23&lt;=24,2,3),FALSE)),$C$3)*(1+Projection!AD$16)*(1+IF(AB155&gt;0,'Attrition Modeling'!$N$9,0)))</f>
        <v>0</v>
      </c>
      <c r="AC23" s="799">
        <f>(AB23+AC155)*(1-IFERROR(IF(AC$2+$F23&lt;=12,SUMIFS('Attrition Modeling'!$D:$D,'Attrition Modeling'!$B:$B,'IP Attrition'!$D23,'Attrition Modeling'!$C:$C,'IP Attrition'!AC$1),VLOOKUP($F23+AC$2,$A$6:$C$106,2,FALSE)*VLOOKUP(AC$1,'Attrition Modeling'!$L$15:$N$27,IF(AC$2+$F23&lt;=24,2,3),FALSE)),$C$3)*(1+Projection!AE$16)*(1+IF(AC155&gt;0,'Attrition Modeling'!$N$9,0)))</f>
        <v>0</v>
      </c>
      <c r="AD23" s="799">
        <f>(AC23+AD155)*(1-IFERROR(IF(AD$2+$F23&lt;=12,SUMIFS('Attrition Modeling'!$D:$D,'Attrition Modeling'!$B:$B,'IP Attrition'!$D23,'Attrition Modeling'!$C:$C,'IP Attrition'!AD$1),VLOOKUP($F23+AD$2,$A$6:$C$106,2,FALSE)*VLOOKUP(AD$1,'Attrition Modeling'!$L$15:$N$27,IF(AD$2+$F23&lt;=24,2,3),FALSE)),$C$3)*(1+Projection!AF$16)*(1+IF(AD155&gt;0,'Attrition Modeling'!$N$9,0)))</f>
        <v>0</v>
      </c>
      <c r="AE23" s="799">
        <f>(AD23+AE155)*(1-IFERROR(IF(AE$2+$F23&lt;=12,SUMIFS('Attrition Modeling'!$D:$D,'Attrition Modeling'!$B:$B,'IP Attrition'!$D23,'Attrition Modeling'!$C:$C,'IP Attrition'!AE$1),VLOOKUP($F23+AE$2,$A$6:$C$106,2,FALSE)*VLOOKUP(AE$1,'Attrition Modeling'!$L$15:$N$27,IF(AE$2+$F23&lt;=24,2,3),FALSE)),$C$3)*(1+Projection!AG$16)*(1+IF(AE155&gt;0,'Attrition Modeling'!$N$9,0)))</f>
        <v>0</v>
      </c>
      <c r="AF23" s="799">
        <f>(AE23+AF155)*(1-IFERROR(IF(AF$2+$F23&lt;=12,SUMIFS('Attrition Modeling'!$D:$D,'Attrition Modeling'!$B:$B,'IP Attrition'!$D23,'Attrition Modeling'!$C:$C,'IP Attrition'!AF$1),VLOOKUP($F23+AF$2,$A$6:$C$106,2,FALSE)*VLOOKUP(AF$1,'Attrition Modeling'!$L$15:$N$27,IF(AF$2+$F23&lt;=24,2,3),FALSE)),$C$3)*(1+Projection!AH$16)*(1+IF(AF155&gt;0,'Attrition Modeling'!$N$9,0)))</f>
        <v>0</v>
      </c>
      <c r="AG23" s="799">
        <f>(AF23+AG155)*(1-IFERROR(IF(AG$2+$F23&lt;=12,SUMIFS('Attrition Modeling'!$D:$D,'Attrition Modeling'!$B:$B,'IP Attrition'!$D23,'Attrition Modeling'!$C:$C,'IP Attrition'!AG$1),VLOOKUP($F23+AG$2,$A$6:$C$106,2,FALSE)*VLOOKUP(AG$1,'Attrition Modeling'!$L$15:$N$27,IF(AG$2+$F23&lt;=24,2,3),FALSE)),$C$3)*(1+Projection!AI$16)*(1+IF(AG155&gt;0,'Attrition Modeling'!$N$9,0)))</f>
        <v>0</v>
      </c>
      <c r="AH23" s="799">
        <f>(AG23+AH155)*(1-IFERROR(IF(AH$2+$F23&lt;=12,SUMIFS('Attrition Modeling'!$D:$D,'Attrition Modeling'!$B:$B,'IP Attrition'!$D23,'Attrition Modeling'!$C:$C,'IP Attrition'!AH$1),VLOOKUP($F23+AH$2,$A$6:$C$106,2,FALSE)*VLOOKUP(AH$1,'Attrition Modeling'!$L$15:$N$27,IF(AH$2+$F23&lt;=24,2,3),FALSE)),$C$3)*(1+Projection!AJ$16)*(1+IF(AH155&gt;0,'Attrition Modeling'!$N$9,0)))</f>
        <v>0</v>
      </c>
      <c r="AI23" s="799">
        <f>(AH23+AI155)*(1-IFERROR(IF(AI$2+$F23&lt;=12,SUMIFS('Attrition Modeling'!$D:$D,'Attrition Modeling'!$B:$B,'IP Attrition'!$D23,'Attrition Modeling'!$C:$C,'IP Attrition'!AI$1),VLOOKUP($F23+AI$2,$A$6:$C$106,2,FALSE)*VLOOKUP(AI$1,'Attrition Modeling'!$L$15:$N$27,IF(AI$2+$F23&lt;=24,2,3),FALSE)),$C$3)*(1+Projection!AK$16)*(1+IF(AI155&gt;0,'Attrition Modeling'!$N$9,0)))</f>
        <v>0</v>
      </c>
      <c r="AJ23" s="799">
        <f>(AI23+AJ155)*(1-IFERROR(IF(AJ$2+$F23&lt;=12,SUMIFS('Attrition Modeling'!$D:$D,'Attrition Modeling'!$B:$B,'IP Attrition'!$D23,'Attrition Modeling'!$C:$C,'IP Attrition'!AJ$1),VLOOKUP($F23+AJ$2,$A$6:$C$106,2,FALSE)*VLOOKUP(AJ$1,'Attrition Modeling'!$L$15:$N$27,IF(AJ$2+$F23&lt;=24,2,3),FALSE)),$C$3)*(1+Projection!AL$16)*(1+IF(AJ155&gt;0,'Attrition Modeling'!$N$9,0)))</f>
        <v>0</v>
      </c>
      <c r="AK23" s="799">
        <f>(AJ23+AK155)*(1-IFERROR(IF(AK$2+$F23&lt;=12,SUMIFS('Attrition Modeling'!$D:$D,'Attrition Modeling'!$B:$B,'IP Attrition'!$D23,'Attrition Modeling'!$C:$C,'IP Attrition'!AK$1),VLOOKUP($F23+AK$2,$A$6:$C$106,2,FALSE)*VLOOKUP(AK$1,'Attrition Modeling'!$L$15:$N$27,IF(AK$2+$F23&lt;=24,2,3),FALSE)),$C$3)*(1+Projection!AM$16)*(1+IF(AK155&gt;0,'Attrition Modeling'!$N$9,0)))</f>
        <v>0</v>
      </c>
      <c r="AL23" s="799">
        <f>(AK23+AL155)*(1-IFERROR(IF(AL$2+$F23&lt;=12,SUMIFS('Attrition Modeling'!$D:$D,'Attrition Modeling'!$B:$B,'IP Attrition'!$D23,'Attrition Modeling'!$C:$C,'IP Attrition'!AL$1),VLOOKUP($F23+AL$2,$A$6:$C$106,2,FALSE)*VLOOKUP(AL$1,'Attrition Modeling'!$L$15:$N$27,IF(AL$2+$F23&lt;=24,2,3),FALSE)),$C$3)*(1+Projection!AN$16)*(1+IF(AL155&gt;0,'Attrition Modeling'!$N$9,0)))</f>
        <v>0</v>
      </c>
      <c r="AM23" s="799">
        <f>(AL23+AM155)*(1-IFERROR(IF(AM$2+$F23&lt;=12,SUMIFS('Attrition Modeling'!$D:$D,'Attrition Modeling'!$B:$B,'IP Attrition'!$D23,'Attrition Modeling'!$C:$C,'IP Attrition'!AM$1),VLOOKUP($F23+AM$2,$A$6:$C$106,2,FALSE)*VLOOKUP(AM$1,'Attrition Modeling'!$L$15:$N$27,IF(AM$2+$F23&lt;=24,2,3),FALSE)),$C$3)*(1+Projection!AO$16)*(1+IF(AM155&gt;0,'Attrition Modeling'!$N$9,0)))</f>
        <v>0</v>
      </c>
      <c r="AN23" s="799">
        <f>(AM23+AN155)*(1-IFERROR(IF(AN$2+$F23&lt;=12,SUMIFS('Attrition Modeling'!$D:$D,'Attrition Modeling'!$B:$B,'IP Attrition'!$D23,'Attrition Modeling'!$C:$C,'IP Attrition'!AN$1),VLOOKUP($F23+AN$2,$A$6:$C$106,2,FALSE)*VLOOKUP(AN$1,'Attrition Modeling'!$L$15:$N$27,IF(AN$2+$F23&lt;=24,2,3),FALSE)),$C$3)*(1+Projection!AP$16)*(1+IF(AN155&gt;0,'Attrition Modeling'!$N$9,0)))</f>
        <v>0</v>
      </c>
      <c r="AO23" s="799">
        <f>(AN23+AO155)*(1-IFERROR(IF(AO$2+$F23&lt;=12,SUMIFS('Attrition Modeling'!$D:$D,'Attrition Modeling'!$B:$B,'IP Attrition'!$D23,'Attrition Modeling'!$C:$C,'IP Attrition'!AO$1),VLOOKUP($F23+AO$2,$A$6:$C$106,2,FALSE)*VLOOKUP(AO$1,'Attrition Modeling'!$L$15:$N$27,IF(AO$2+$F23&lt;=24,2,3),FALSE)),$C$3)*(1+Projection!AQ$16)*(1+IF(AO155&gt;0,'Attrition Modeling'!$N$9,0)))</f>
        <v>0</v>
      </c>
      <c r="AP23" s="799">
        <f>(AO23+AP155)*(1-IFERROR(IF(AP$2+$F23&lt;=12,SUMIFS('Attrition Modeling'!$D:$D,'Attrition Modeling'!$B:$B,'IP Attrition'!$D23,'Attrition Modeling'!$C:$C,'IP Attrition'!AP$1),VLOOKUP($F23+AP$2,$A$6:$C$106,2,FALSE)*VLOOKUP(AP$1,'Attrition Modeling'!$L$15:$N$27,IF(AP$2+$F23&lt;=24,2,3),FALSE)),$C$3)*(1+Projection!AR$16)*(1+IF(AP155&gt;0,'Attrition Modeling'!$N$9,0)))</f>
        <v>0</v>
      </c>
      <c r="AQ23" s="799">
        <f>(AP23+AQ155)*(1-IFERROR(IF(AQ$2+$F23&lt;=12,SUMIFS('Attrition Modeling'!$D:$D,'Attrition Modeling'!$B:$B,'IP Attrition'!$D23,'Attrition Modeling'!$C:$C,'IP Attrition'!AQ$1),VLOOKUP($F23+AQ$2,$A$6:$C$106,2,FALSE)*VLOOKUP(AQ$1,'Attrition Modeling'!$L$15:$N$27,IF(AQ$2+$F23&lt;=24,2,3),FALSE)),$C$3)*(1+Projection!AS$16)*(1+IF(AQ155&gt;0,'Attrition Modeling'!$N$9,0)))</f>
        <v>0</v>
      </c>
      <c r="AR23" s="799">
        <f>(AQ23+AR155)*(1-IFERROR(IF(AR$2+$F23&lt;=12,SUMIFS('Attrition Modeling'!$D:$D,'Attrition Modeling'!$B:$B,'IP Attrition'!$D23,'Attrition Modeling'!$C:$C,'IP Attrition'!AR$1),VLOOKUP($F23+AR$2,$A$6:$C$106,2,FALSE)*VLOOKUP(AR$1,'Attrition Modeling'!$L$15:$N$27,IF(AR$2+$F23&lt;=24,2,3),FALSE)),$C$3)*(1+Projection!AT$16)*(1+IF(AR155&gt;0,'Attrition Modeling'!$N$9,0)))</f>
        <v>0</v>
      </c>
      <c r="AS23" s="799">
        <f>(AR23+AS155)*(1-IFERROR(IF(AS$2+$F23&lt;=12,SUMIFS('Attrition Modeling'!$D:$D,'Attrition Modeling'!$B:$B,'IP Attrition'!$D23,'Attrition Modeling'!$C:$C,'IP Attrition'!AS$1),VLOOKUP($F23+AS$2,$A$6:$C$106,2,FALSE)*VLOOKUP(AS$1,'Attrition Modeling'!$L$15:$N$27,IF(AS$2+$F23&lt;=24,2,3),FALSE)),$C$3)*(1+Projection!AU$16)*(1+IF(AS155&gt;0,'Attrition Modeling'!$N$9,0)))</f>
        <v>0</v>
      </c>
      <c r="AT23" s="799">
        <f>(AS23+AT155)*(1-IFERROR(IF(AT$2+$F23&lt;=12,SUMIFS('Attrition Modeling'!$D:$D,'Attrition Modeling'!$B:$B,'IP Attrition'!$D23,'Attrition Modeling'!$C:$C,'IP Attrition'!AT$1),VLOOKUP($F23+AT$2,$A$6:$C$106,2,FALSE)*VLOOKUP(AT$1,'Attrition Modeling'!$L$15:$N$27,IF(AT$2+$F23&lt;=24,2,3),FALSE)),$C$3)*(1+Projection!AV$16)*(1+IF(AT155&gt;0,'Attrition Modeling'!$N$9,0)))</f>
        <v>0</v>
      </c>
      <c r="AU23" s="799">
        <f>(AT23+AU155)*(1-IFERROR(IF(AU$2+$F23&lt;=12,SUMIFS('Attrition Modeling'!$D:$D,'Attrition Modeling'!$B:$B,'IP Attrition'!$D23,'Attrition Modeling'!$C:$C,'IP Attrition'!AU$1),VLOOKUP($F23+AU$2,$A$6:$C$106,2,FALSE)*VLOOKUP(AU$1,'Attrition Modeling'!$L$15:$N$27,IF(AU$2+$F23&lt;=24,2,3),FALSE)),$C$3)*(1+Projection!AW$16)*(1+IF(AU155&gt;0,'Attrition Modeling'!$N$9,0)))</f>
        <v>0</v>
      </c>
      <c r="AV23" s="799">
        <f>(AU23+AV155)*(1-IFERROR(IF(AV$2+$F23&lt;=12,SUMIFS('Attrition Modeling'!$D:$D,'Attrition Modeling'!$B:$B,'IP Attrition'!$D23,'Attrition Modeling'!$C:$C,'IP Attrition'!AV$1),VLOOKUP($F23+AV$2,$A$6:$C$106,2,FALSE)*VLOOKUP(AV$1,'Attrition Modeling'!$L$15:$N$27,IF(AV$2+$F23&lt;=24,2,3),FALSE)),$C$3)*(1+Projection!AX$16)*(1+IF(AV155&gt;0,'Attrition Modeling'!$N$9,0)))</f>
        <v>0</v>
      </c>
      <c r="AW23" s="799">
        <f>(AV23+AW155)*(1-IFERROR(IF(AW$2+$F23&lt;=12,SUMIFS('Attrition Modeling'!$D:$D,'Attrition Modeling'!$B:$B,'IP Attrition'!$D23,'Attrition Modeling'!$C:$C,'IP Attrition'!AW$1),VLOOKUP($F23+AW$2,$A$6:$C$106,2,FALSE)*VLOOKUP(AW$1,'Attrition Modeling'!$L$15:$N$27,IF(AW$2+$F23&lt;=24,2,3),FALSE)),$C$3)*(1+Projection!AY$16)*(1+IF(AW155&gt;0,'Attrition Modeling'!$N$9,0)))</f>
        <v>0</v>
      </c>
      <c r="AX23" s="799">
        <f>(AW23+AX155)*(1-IFERROR(IF(AX$2+$F23&lt;=12,SUMIFS('Attrition Modeling'!$D:$D,'Attrition Modeling'!$B:$B,'IP Attrition'!$D23,'Attrition Modeling'!$C:$C,'IP Attrition'!AX$1),VLOOKUP($F23+AX$2,$A$6:$C$106,2,FALSE)*VLOOKUP(AX$1,'Attrition Modeling'!$L$15:$N$27,IF(AX$2+$F23&lt;=24,2,3),FALSE)),$C$3)*(1+Projection!AZ$16)*(1+IF(AX155&gt;0,'Attrition Modeling'!$N$9,0)))</f>
        <v>0</v>
      </c>
      <c r="AY23" s="799">
        <f>(AX23+AY155)*(1-IFERROR(IF(AY$2+$F23&lt;=12,SUMIFS('Attrition Modeling'!$D:$D,'Attrition Modeling'!$B:$B,'IP Attrition'!$D23,'Attrition Modeling'!$C:$C,'IP Attrition'!AY$1),VLOOKUP($F23+AY$2,$A$6:$C$106,2,FALSE)*VLOOKUP(AY$1,'Attrition Modeling'!$L$15:$N$27,IF(AY$2+$F23&lt;=24,2,3),FALSE)),$C$3)*(1+Projection!BA$16)*(1+IF(AY155&gt;0,'Attrition Modeling'!$N$9,0)))</f>
        <v>0</v>
      </c>
      <c r="AZ23" s="799">
        <f>(AY23+AZ155)*(1-IFERROR(IF(AZ$2+$F23&lt;=12,SUMIFS('Attrition Modeling'!$D:$D,'Attrition Modeling'!$B:$B,'IP Attrition'!$D23,'Attrition Modeling'!$C:$C,'IP Attrition'!AZ$1),VLOOKUP($F23+AZ$2,$A$6:$C$106,2,FALSE)*VLOOKUP(AZ$1,'Attrition Modeling'!$L$15:$N$27,IF(AZ$2+$F23&lt;=24,2,3),FALSE)),$C$3)*(1+Projection!BB$16)*(1+IF(AZ155&gt;0,'Attrition Modeling'!$N$9,0)))</f>
        <v>0</v>
      </c>
      <c r="BA23" s="799">
        <f>(AZ23+BA155)*(1-IFERROR(IF(BA$2+$F23&lt;=12,SUMIFS('Attrition Modeling'!$D:$D,'Attrition Modeling'!$B:$B,'IP Attrition'!$D23,'Attrition Modeling'!$C:$C,'IP Attrition'!BA$1),VLOOKUP($F23+BA$2,$A$6:$C$106,2,FALSE)*VLOOKUP(BA$1,'Attrition Modeling'!$L$15:$N$27,IF(BA$2+$F23&lt;=24,2,3),FALSE)),$C$3)*(1+Projection!BC$16)*(1+IF(BA155&gt;0,'Attrition Modeling'!$N$9,0)))</f>
        <v>0</v>
      </c>
      <c r="BB23" s="799">
        <f>(BA23+BB155)*(1-IFERROR(IF(BB$2+$F23&lt;=12,SUMIFS('Attrition Modeling'!$D:$D,'Attrition Modeling'!$B:$B,'IP Attrition'!$D23,'Attrition Modeling'!$C:$C,'IP Attrition'!BB$1),VLOOKUP($F23+BB$2,$A$6:$C$106,2,FALSE)*VLOOKUP(BB$1,'Attrition Modeling'!$L$15:$N$27,IF(BB$2+$F23&lt;=24,2,3),FALSE)),$C$3)*(1+Projection!BD$16)*(1+IF(BB155&gt;0,'Attrition Modeling'!$N$9,0)))</f>
        <v>0</v>
      </c>
      <c r="BC23" s="799">
        <f>(BB23+BC155)*(1-IFERROR(IF(BC$2+$F23&lt;=12,SUMIFS('Attrition Modeling'!$D:$D,'Attrition Modeling'!$B:$B,'IP Attrition'!$D23,'Attrition Modeling'!$C:$C,'IP Attrition'!BC$1),VLOOKUP($F23+BC$2,$A$6:$C$106,2,FALSE)*VLOOKUP(BC$1,'Attrition Modeling'!$L$15:$N$27,IF(BC$2+$F23&lt;=24,2,3),FALSE)),$C$3)*(1+Projection!BE$16)*(1+IF(BC155&gt;0,'Attrition Modeling'!$N$9,0)))</f>
        <v>0</v>
      </c>
      <c r="BD23" s="799">
        <f>(BC23+BD155)*(1-IFERROR(IF(BD$2+$F23&lt;=12,SUMIFS('Attrition Modeling'!$D:$D,'Attrition Modeling'!$B:$B,'IP Attrition'!$D23,'Attrition Modeling'!$C:$C,'IP Attrition'!BD$1),VLOOKUP($F23+BD$2,$A$6:$C$106,2,FALSE)*VLOOKUP(BD$1,'Attrition Modeling'!$L$15:$N$27,IF(BD$2+$F23&lt;=24,2,3),FALSE)),$C$3)*(1+Projection!BF$16)*(1+IF(BD155&gt;0,'Attrition Modeling'!$N$9,0)))</f>
        <v>0</v>
      </c>
      <c r="BE23" s="799">
        <f>(BD23+BE155)*(1-IFERROR(IF(BE$2+$F23&lt;=12,SUMIFS('Attrition Modeling'!$D:$D,'Attrition Modeling'!$B:$B,'IP Attrition'!$D23,'Attrition Modeling'!$C:$C,'IP Attrition'!BE$1),VLOOKUP($F23+BE$2,$A$6:$C$106,2,FALSE)*VLOOKUP(BE$1,'Attrition Modeling'!$L$15:$N$27,IF(BE$2+$F23&lt;=24,2,3),FALSE)),$C$3)*(1+Projection!BG$16)*(1+IF(BE155&gt;0,'Attrition Modeling'!$N$9,0)))</f>
        <v>0</v>
      </c>
      <c r="BF23" s="799">
        <f>(BE23+BF155)*(1-IFERROR(IF(BF$2+$F23&lt;=12,SUMIFS('Attrition Modeling'!$D:$D,'Attrition Modeling'!$B:$B,'IP Attrition'!$D23,'Attrition Modeling'!$C:$C,'IP Attrition'!BF$1),VLOOKUP($F23+BF$2,$A$6:$C$106,2,FALSE)*VLOOKUP(BF$1,'Attrition Modeling'!$L$15:$N$27,IF(BF$2+$F23&lt;=24,2,3),FALSE)),$C$3)*(1+Projection!BH$16)*(1+IF(BF155&gt;0,'Attrition Modeling'!$N$9,0)))</f>
        <v>0</v>
      </c>
      <c r="BG23" s="799">
        <f>(BF23+BG155)*(1-IFERROR(IF(BG$2+$F23&lt;=12,SUMIFS('Attrition Modeling'!$D:$D,'Attrition Modeling'!$B:$B,'IP Attrition'!$D23,'Attrition Modeling'!$C:$C,'IP Attrition'!BG$1),VLOOKUP($F23+BG$2,$A$6:$C$106,2,FALSE)*VLOOKUP(BG$1,'Attrition Modeling'!$L$15:$N$27,IF(BG$2+$F23&lt;=24,2,3),FALSE)),$C$3)*(1+Projection!BI$16)*(1+IF(BG155&gt;0,'Attrition Modeling'!$N$9,0)))</f>
        <v>0</v>
      </c>
      <c r="BH23" s="799">
        <f>(BG23+BH155)*(1-IFERROR(IF(BH$2+$F23&lt;=12,SUMIFS('Attrition Modeling'!$D:$D,'Attrition Modeling'!$B:$B,'IP Attrition'!$D23,'Attrition Modeling'!$C:$C,'IP Attrition'!BH$1),VLOOKUP($F23+BH$2,$A$6:$C$106,2,FALSE)*VLOOKUP(BH$1,'Attrition Modeling'!$L$15:$N$27,IF(BH$2+$F23&lt;=24,2,3),FALSE)),$C$3)*(1+Projection!BJ$16)*(1+IF(BH155&gt;0,'Attrition Modeling'!$N$9,0)))</f>
        <v>0</v>
      </c>
      <c r="BI23" s="799">
        <f>(BH23+BI155)*(1-IFERROR(IF(BI$2+$F23&lt;=12,SUMIFS('Attrition Modeling'!$D:$D,'Attrition Modeling'!$B:$B,'IP Attrition'!$D23,'Attrition Modeling'!$C:$C,'IP Attrition'!BI$1),VLOOKUP($F23+BI$2,$A$6:$C$106,2,FALSE)*VLOOKUP(BI$1,'Attrition Modeling'!$L$15:$N$27,IF(BI$2+$F23&lt;=24,2,3),FALSE)),$C$3)*(1+Projection!BK$16)*(1+IF(BI155&gt;0,'Attrition Modeling'!$N$9,0)))</f>
        <v>0</v>
      </c>
      <c r="BJ23" s="799">
        <f>(BI23+BJ155)*(1-IFERROR(IF(BJ$2+$F23&lt;=12,SUMIFS('Attrition Modeling'!$D:$D,'Attrition Modeling'!$B:$B,'IP Attrition'!$D23,'Attrition Modeling'!$C:$C,'IP Attrition'!BJ$1),VLOOKUP($F23+BJ$2,$A$6:$C$106,2,FALSE)*VLOOKUP(BJ$1,'Attrition Modeling'!$L$15:$N$27,IF(BJ$2+$F23&lt;=24,2,3),FALSE)),$C$3)*(1+Projection!BL$16)*(1+IF(BJ155&gt;0,'Attrition Modeling'!$N$9,0)))</f>
        <v>0</v>
      </c>
      <c r="BK23" s="799">
        <f>(BJ23+BK155)*(1-IFERROR(IF(BK$2+$F23&lt;=12,SUMIFS('Attrition Modeling'!$D:$D,'Attrition Modeling'!$B:$B,'IP Attrition'!$D23,'Attrition Modeling'!$C:$C,'IP Attrition'!BK$1),VLOOKUP($F23+BK$2,$A$6:$C$106,2,FALSE)*VLOOKUP(BK$1,'Attrition Modeling'!$L$15:$N$27,IF(BK$2+$F23&lt;=24,2,3),FALSE)),$C$3)*(1+Projection!BM$16)*(1+IF(BK155&gt;0,'Attrition Modeling'!$N$9,0)))</f>
        <v>0</v>
      </c>
      <c r="BL23" s="799">
        <f>(BK23+BL155)*(1-IFERROR(IF(BL$2+$F23&lt;=12,SUMIFS('Attrition Modeling'!$D:$D,'Attrition Modeling'!$B:$B,'IP Attrition'!$D23,'Attrition Modeling'!$C:$C,'IP Attrition'!BL$1),VLOOKUP($F23+BL$2,$A$6:$C$106,2,FALSE)*VLOOKUP(BL$1,'Attrition Modeling'!$L$15:$N$27,IF(BL$2+$F23&lt;=24,2,3),FALSE)),$C$3)*(1+Projection!BN$16)*(1+IF(BL155&gt;0,'Attrition Modeling'!$N$9,0)))</f>
        <v>0</v>
      </c>
      <c r="BM23" s="799">
        <f>(BL23+BM155)*(1-IFERROR(IF(BM$2+$F23&lt;=12,SUMIFS('Attrition Modeling'!$D:$D,'Attrition Modeling'!$B:$B,'IP Attrition'!$D23,'Attrition Modeling'!$C:$C,'IP Attrition'!BM$1),VLOOKUP($F23+BM$2,$A$6:$C$106,2,FALSE)*VLOOKUP(BM$1,'Attrition Modeling'!$L$15:$N$27,IF(BM$2+$F23&lt;=24,2,3),FALSE)),$C$3)*(1+Projection!BO$16)*(1+IF(BM155&gt;0,'Attrition Modeling'!$N$9,0)))</f>
        <v>0</v>
      </c>
      <c r="BN23" s="799">
        <f>(BM23+BN155)*(1-IFERROR(IF(BN$2+$F23&lt;=12,SUMIFS('Attrition Modeling'!$D:$D,'Attrition Modeling'!$B:$B,'IP Attrition'!$D23,'Attrition Modeling'!$C:$C,'IP Attrition'!BN$1),VLOOKUP($F23+BN$2,$A$6:$C$106,2,FALSE)*VLOOKUP(BN$1,'Attrition Modeling'!$L$15:$N$27,IF(BN$2+$F23&lt;=24,2,3),FALSE)),$C$3)*(1+Projection!BP$16)*(1+IF(BN155&gt;0,'Attrition Modeling'!$N$9,0)))</f>
        <v>0</v>
      </c>
      <c r="BO23" s="799">
        <f>(BN23+BO155)*(1-IFERROR(IF(BO$2+$F23&lt;=12,SUMIFS('Attrition Modeling'!$D:$D,'Attrition Modeling'!$B:$B,'IP Attrition'!$D23,'Attrition Modeling'!$C:$C,'IP Attrition'!BO$1),VLOOKUP($F23+BO$2,$A$6:$C$106,2,FALSE)*VLOOKUP(BO$1,'Attrition Modeling'!$L$15:$N$27,IF(BO$2+$F23&lt;=24,2,3),FALSE)),$C$3)*(1+Projection!BV$16)*(1+IF(BO155&gt;0,'Attrition Modeling'!$N$9,0)))</f>
        <v>0</v>
      </c>
      <c r="BP23" s="799">
        <f>(BO23+BP155)*(1-IFERROR(IF(BP$2+$F23&lt;=12,SUMIFS('Attrition Modeling'!$D:$D,'Attrition Modeling'!$B:$B,'IP Attrition'!$D23,'Attrition Modeling'!$C:$C,'IP Attrition'!BP$1),VLOOKUP($F23+BP$2,$A$6:$C$106,2,FALSE)*VLOOKUP(BP$1,'Attrition Modeling'!$L$15:$N$27,IF(BP$2+$F23&lt;=24,2,3),FALSE)),$C$3)*(1+Projection!BW$16)*(1+IF(BP155&gt;0,'Attrition Modeling'!$N$9,0)))</f>
        <v>0</v>
      </c>
      <c r="BQ23" s="799">
        <f>(BP23+BQ155)*(1-IFERROR(IF(BQ$2+$F23&lt;=12,SUMIFS('Attrition Modeling'!$D:$D,'Attrition Modeling'!$B:$B,'IP Attrition'!$D23,'Attrition Modeling'!$C:$C,'IP Attrition'!BQ$1),VLOOKUP($F23+BQ$2,$A$6:$C$106,2,FALSE)*VLOOKUP(BQ$1,'Attrition Modeling'!$L$15:$N$27,IF(BQ$2+$F23&lt;=24,2,3),FALSE)),$C$3)*(1+Projection!BX$16)*(1+IF(BQ155&gt;0,'Attrition Modeling'!$N$9,0)))</f>
        <v>0</v>
      </c>
      <c r="BR23" s="799">
        <f>(BQ23+BR155)*(1-IFERROR(IF(BR$2+$F23&lt;=12,SUMIFS('Attrition Modeling'!$D:$D,'Attrition Modeling'!$B:$B,'IP Attrition'!$D23,'Attrition Modeling'!$C:$C,'IP Attrition'!BR$1),VLOOKUP($F23+BR$2,$A$6:$C$106,2,FALSE)*VLOOKUP(BR$1,'Attrition Modeling'!$L$15:$N$27,IF(BR$2+$F23&lt;=24,2,3),FALSE)),$C$3)*(1+Projection!BY$16)*(1+IF(BR155&gt;0,'Attrition Modeling'!$N$9,0)))</f>
        <v>0</v>
      </c>
      <c r="BS23" s="799">
        <f>(BR23+BS155)*(1-IFERROR(IF(BS$2+$F23&lt;=12,SUMIFS('Attrition Modeling'!$D:$D,'Attrition Modeling'!$B:$B,'IP Attrition'!$D23,'Attrition Modeling'!$C:$C,'IP Attrition'!BS$1),VLOOKUP($F23+BS$2,$A$6:$C$106,2,FALSE)*VLOOKUP(BS$1,'Attrition Modeling'!$L$15:$N$27,IF(BS$2+$F23&lt;=24,2,3),FALSE)),$C$3)*(1+Projection!BZ$16)*(1+IF(BS155&gt;0,'Attrition Modeling'!$N$9,0)))</f>
        <v>0</v>
      </c>
      <c r="BT23" s="799" t="e">
        <f>(BS23+BT155)*(1-IFERROR(IF(BT$2+$F23&lt;=12,SUMIFS('Attrition Modeling'!$D:$D,'Attrition Modeling'!$B:$B,'IP Attrition'!$D23,'Attrition Modeling'!$C:$C,'IP Attrition'!BT$1),VLOOKUP($F23+BT$2,$A$6:$C$106,2,FALSE)*VLOOKUP(BT$1,'Attrition Modeling'!$L$15:$N$27,IF(BT$2+$F23&lt;=24,2,3),FALSE)),$C$3)*(1+Projection!CA$16)*(1+IF(BT155&gt;0,'Attrition Modeling'!$N$9,0)))</f>
        <v>#REF!</v>
      </c>
      <c r="BU23" s="799" t="e">
        <f>(BT23+BU155)*(1-IFERROR(IF(BU$2+$F23&lt;=12,SUMIFS('Attrition Modeling'!$D:$D,'Attrition Modeling'!$B:$B,'IP Attrition'!$D23,'Attrition Modeling'!$C:$C,'IP Attrition'!BU$1),VLOOKUP($F23+BU$2,$A$6:$C$106,2,FALSE)*VLOOKUP(BU$1,'Attrition Modeling'!$L$15:$N$27,IF(BU$2+$F23&lt;=24,2,3),FALSE)),$C$3)*(1+Projection!CB$16)*(1+IF(BU155&gt;0,'Attrition Modeling'!$N$9,0)))</f>
        <v>#REF!</v>
      </c>
    </row>
    <row r="24" spans="1:73" ht="14.25" customHeight="1" x14ac:dyDescent="0.2">
      <c r="A24" s="9">
        <v>17</v>
      </c>
      <c r="B24" s="25">
        <f>MAX('Attrition Modeling'!H21,$C$3)*(1-Summary!$C$20)</f>
        <v>4.3616003095271867E-2</v>
      </c>
      <c r="C24" s="24" t="e">
        <f t="shared" si="3"/>
        <v>#DIV/0!</v>
      </c>
      <c r="D24" s="11">
        <f t="shared" si="1"/>
        <v>-21</v>
      </c>
      <c r="E24" s="807">
        <f t="array" ref="E24">INDEX('Attrition Modeling'!$X$2:$AF$63,MATCH($F24,'Attrition Modeling'!$X$2:$X$63,0),MATCH(Inputs!$C$10,'Attrition Modeling'!$X$2:$AF$2,0))</f>
        <v>0</v>
      </c>
      <c r="F24" s="11">
        <f t="shared" si="2"/>
        <v>21</v>
      </c>
      <c r="G24" s="799">
        <f>Summary!$C$25*$E24</f>
        <v>0</v>
      </c>
      <c r="H24" s="799">
        <f>(G24+H156)*(1-IFERROR(IF(H$2+$F24&lt;=12,SUMIFS('Attrition Modeling'!$D:$D,'Attrition Modeling'!$B:$B,'IP Attrition'!$D24,'Attrition Modeling'!$C:$C,'IP Attrition'!H$1),VLOOKUP($F24+H$2,$A$6:$C$106,2,FALSE)*VLOOKUP(H$1,'Attrition Modeling'!$L$15:$N$27,IF(H$2+$F24&lt;=24,2,3),FALSE)),$C$3)*(1+Projection!J$16)*(1+IF(H156&gt;0,'Attrition Modeling'!$N$9,0)))</f>
        <v>0</v>
      </c>
      <c r="I24" s="799">
        <f>(H24+I156)*(1-IFERROR(IF(I$2+$F24&lt;=12,SUMIFS('Attrition Modeling'!$D:$D,'Attrition Modeling'!$B:$B,'IP Attrition'!$D24,'Attrition Modeling'!$C:$C,'IP Attrition'!I$1),VLOOKUP($F24+I$2,$A$6:$C$106,2,FALSE)*VLOOKUP(I$1,'Attrition Modeling'!$L$15:$N$27,IF(I$2+$F24&lt;=24,2,3),FALSE)),$C$3)*(1+Projection!K$16)*(1+IF(I156&gt;0,'Attrition Modeling'!$N$9,0)))</f>
        <v>0</v>
      </c>
      <c r="J24" s="799">
        <f>(I24+J156)*(1-IFERROR(IF(J$2+$F24&lt;=12,SUMIFS('Attrition Modeling'!$D:$D,'Attrition Modeling'!$B:$B,'IP Attrition'!$D24,'Attrition Modeling'!$C:$C,'IP Attrition'!J$1),VLOOKUP($F24+J$2,$A$6:$C$106,2,FALSE)*VLOOKUP(J$1,'Attrition Modeling'!$L$15:$N$27,IF(J$2+$F24&lt;=24,2,3),FALSE)),$C$3)*(1+Projection!L$16)*(1+IF(J156&gt;0,'Attrition Modeling'!$N$9,0)))</f>
        <v>0</v>
      </c>
      <c r="K24" s="799">
        <f>(J24+K156)*(1-IFERROR(IF(K$2+$F24&lt;=12,SUMIFS('Attrition Modeling'!$D:$D,'Attrition Modeling'!$B:$B,'IP Attrition'!$D24,'Attrition Modeling'!$C:$C,'IP Attrition'!K$1),VLOOKUP($F24+K$2,$A$6:$C$106,2,FALSE)*VLOOKUP(K$1,'Attrition Modeling'!$L$15:$N$27,IF(K$2+$F24&lt;=24,2,3),FALSE)),$C$3)*(1+Projection!M$16)*(1+IF(K156&gt;0,'Attrition Modeling'!$N$9,0)))</f>
        <v>0</v>
      </c>
      <c r="L24" s="799">
        <f>(K24+L156)*(1-IFERROR(IF(L$2+$F24&lt;=12,SUMIFS('Attrition Modeling'!$D:$D,'Attrition Modeling'!$B:$B,'IP Attrition'!$D24,'Attrition Modeling'!$C:$C,'IP Attrition'!L$1),VLOOKUP($F24+L$2,$A$6:$C$106,2,FALSE)*VLOOKUP(L$1,'Attrition Modeling'!$L$15:$N$27,IF(L$2+$F24&lt;=24,2,3),FALSE)),$C$3)*(1+Projection!N$16)*(1+IF(L156&gt;0,'Attrition Modeling'!$N$9,0)))</f>
        <v>0</v>
      </c>
      <c r="M24" s="799">
        <f>(L24+M156)*(1-IFERROR(IF(M$2+$F24&lt;=12,SUMIFS('Attrition Modeling'!$D:$D,'Attrition Modeling'!$B:$B,'IP Attrition'!$D24,'Attrition Modeling'!$C:$C,'IP Attrition'!M$1),VLOOKUP($F24+M$2,$A$6:$C$106,2,FALSE)*VLOOKUP(M$1,'Attrition Modeling'!$L$15:$N$27,IF(M$2+$F24&lt;=24,2,3),FALSE)),$C$3)*(1+Projection!O$16)*(1+IF(M156&gt;0,'Attrition Modeling'!$N$9,0)))</f>
        <v>0</v>
      </c>
      <c r="N24" s="799">
        <f>(M24+N156)*(1-IFERROR(IF(N$2+$F24&lt;=12,SUMIFS('Attrition Modeling'!$D:$D,'Attrition Modeling'!$B:$B,'IP Attrition'!$D24,'Attrition Modeling'!$C:$C,'IP Attrition'!N$1),VLOOKUP($F24+N$2,$A$6:$C$106,2,FALSE)*VLOOKUP(N$1,'Attrition Modeling'!$L$15:$N$27,IF(N$2+$F24&lt;=24,2,3),FALSE)),$C$3)*(1+Projection!P$16)*(1+IF(N156&gt;0,'Attrition Modeling'!$N$9,0)))</f>
        <v>0</v>
      </c>
      <c r="O24" s="799">
        <f>(N24+O156)*(1-IFERROR(IF(O$2+$F24&lt;=12,SUMIFS('Attrition Modeling'!$D:$D,'Attrition Modeling'!$B:$B,'IP Attrition'!$D24,'Attrition Modeling'!$C:$C,'IP Attrition'!O$1),VLOOKUP($F24+O$2,$A$6:$C$106,2,FALSE)*VLOOKUP(O$1,'Attrition Modeling'!$L$15:$N$27,IF(O$2+$F24&lt;=24,2,3),FALSE)),$C$3)*(1+Projection!Q$16)*(1+IF(O156&gt;0,'Attrition Modeling'!$N$9,0)))</f>
        <v>0</v>
      </c>
      <c r="P24" s="799">
        <f>(O24+P156)*(1-IFERROR(IF(P$2+$F24&lt;=12,SUMIFS('Attrition Modeling'!$D:$D,'Attrition Modeling'!$B:$B,'IP Attrition'!$D24,'Attrition Modeling'!$C:$C,'IP Attrition'!P$1),VLOOKUP($F24+P$2,$A$6:$C$106,2,FALSE)*VLOOKUP(P$1,'Attrition Modeling'!$L$15:$N$27,IF(P$2+$F24&lt;=24,2,3),FALSE)),$C$3)*(1+Projection!R$16)*(1+IF(P156&gt;0,'Attrition Modeling'!$N$9,0)))</f>
        <v>0</v>
      </c>
      <c r="Q24" s="799">
        <f>(P24+Q156)*(1-IFERROR(IF(Q$2+$F24&lt;=12,SUMIFS('Attrition Modeling'!$D:$D,'Attrition Modeling'!$B:$B,'IP Attrition'!$D24,'Attrition Modeling'!$C:$C,'IP Attrition'!Q$1),VLOOKUP($F24+Q$2,$A$6:$C$106,2,FALSE)*VLOOKUP(Q$1,'Attrition Modeling'!$L$15:$N$27,IF(Q$2+$F24&lt;=24,2,3),FALSE)),$C$3)*(1+Projection!S$16)*(1+IF(Q156&gt;0,'Attrition Modeling'!$N$9,0)))</f>
        <v>0</v>
      </c>
      <c r="R24" s="799">
        <f>(Q24+R156)*(1-IFERROR(IF(R$2+$F24&lt;=12,SUMIFS('Attrition Modeling'!$D:$D,'Attrition Modeling'!$B:$B,'IP Attrition'!$D24,'Attrition Modeling'!$C:$C,'IP Attrition'!R$1),VLOOKUP($F24+R$2,$A$6:$C$106,2,FALSE)*VLOOKUP(R$1,'Attrition Modeling'!$L$15:$N$27,IF(R$2+$F24&lt;=24,2,3),FALSE)),$C$3)*(1+Projection!T$16)*(1+IF(R156&gt;0,'Attrition Modeling'!$N$9,0)))</f>
        <v>0</v>
      </c>
      <c r="S24" s="799">
        <f>(R24+S156)*(1-IFERROR(IF(S$2+$F24&lt;=12,SUMIFS('Attrition Modeling'!$D:$D,'Attrition Modeling'!$B:$B,'IP Attrition'!$D24,'Attrition Modeling'!$C:$C,'IP Attrition'!S$1),VLOOKUP($F24+S$2,$A$6:$C$106,2,FALSE)*VLOOKUP(S$1,'Attrition Modeling'!$L$15:$N$27,IF(S$2+$F24&lt;=24,2,3),FALSE)),$C$3)*(1+Projection!U$16)*(1+IF(S156&gt;0,'Attrition Modeling'!$N$9,0)))</f>
        <v>0</v>
      </c>
      <c r="T24" s="799">
        <f>(S24+T156)*(1-IFERROR(IF(T$2+$F24&lt;=12,SUMIFS('Attrition Modeling'!$D:$D,'Attrition Modeling'!$B:$B,'IP Attrition'!$D24,'Attrition Modeling'!$C:$C,'IP Attrition'!T$1),VLOOKUP($F24+T$2,$A$6:$C$106,2,FALSE)*VLOOKUP(T$1,'Attrition Modeling'!$L$15:$N$27,IF(T$2+$F24&lt;=24,2,3),FALSE)),$C$3)*(1+Projection!V$16)*(1+IF(T156&gt;0,'Attrition Modeling'!$N$9,0)))</f>
        <v>0</v>
      </c>
      <c r="U24" s="799">
        <f>(T24+U156)*(1-IFERROR(IF(U$2+$F24&lt;=12,SUMIFS('Attrition Modeling'!$D:$D,'Attrition Modeling'!$B:$B,'IP Attrition'!$D24,'Attrition Modeling'!$C:$C,'IP Attrition'!U$1),VLOOKUP($F24+U$2,$A$6:$C$106,2,FALSE)*VLOOKUP(U$1,'Attrition Modeling'!$L$15:$N$27,IF(U$2+$F24&lt;=24,2,3),FALSE)),$C$3)*(1+Projection!W$16)*(1+IF(U156&gt;0,'Attrition Modeling'!$N$9,0)))</f>
        <v>0</v>
      </c>
      <c r="V24" s="799">
        <f>(U24+V156)*(1-IFERROR(IF(V$2+$F24&lt;=12,SUMIFS('Attrition Modeling'!$D:$D,'Attrition Modeling'!$B:$B,'IP Attrition'!$D24,'Attrition Modeling'!$C:$C,'IP Attrition'!V$1),VLOOKUP($F24+V$2,$A$6:$C$106,2,FALSE)*VLOOKUP(V$1,'Attrition Modeling'!$L$15:$N$27,IF(V$2+$F24&lt;=24,2,3),FALSE)),$C$3)*(1+Projection!X$16)*(1+IF(V156&gt;0,'Attrition Modeling'!$N$9,0)))</f>
        <v>0</v>
      </c>
      <c r="W24" s="799">
        <f>(V24+W156)*(1-IFERROR(IF(W$2+$F24&lt;=12,SUMIFS('Attrition Modeling'!$D:$D,'Attrition Modeling'!$B:$B,'IP Attrition'!$D24,'Attrition Modeling'!$C:$C,'IP Attrition'!W$1),VLOOKUP($F24+W$2,$A$6:$C$106,2,FALSE)*VLOOKUP(W$1,'Attrition Modeling'!$L$15:$N$27,IF(W$2+$F24&lt;=24,2,3),FALSE)),$C$3)*(1+Projection!Y$16)*(1+IF(W156&gt;0,'Attrition Modeling'!$N$9,0)))</f>
        <v>0</v>
      </c>
      <c r="X24" s="799">
        <f>(W24+X156)*(1-IFERROR(IF(X$2+$F24&lt;=12,SUMIFS('Attrition Modeling'!$D:$D,'Attrition Modeling'!$B:$B,'IP Attrition'!$D24,'Attrition Modeling'!$C:$C,'IP Attrition'!X$1),VLOOKUP($F24+X$2,$A$6:$C$106,2,FALSE)*VLOOKUP(X$1,'Attrition Modeling'!$L$15:$N$27,IF(X$2+$F24&lt;=24,2,3),FALSE)),$C$3)*(1+Projection!Z$16)*(1+IF(X156&gt;0,'Attrition Modeling'!$N$9,0)))</f>
        <v>0</v>
      </c>
      <c r="Y24" s="799">
        <f>(X24+Y156)*(1-IFERROR(IF(Y$2+$F24&lt;=12,SUMIFS('Attrition Modeling'!$D:$D,'Attrition Modeling'!$B:$B,'IP Attrition'!$D24,'Attrition Modeling'!$C:$C,'IP Attrition'!Y$1),VLOOKUP($F24+Y$2,$A$6:$C$106,2,FALSE)*VLOOKUP(Y$1,'Attrition Modeling'!$L$15:$N$27,IF(Y$2+$F24&lt;=24,2,3),FALSE)),$C$3)*(1+Projection!AA$16)*(1+IF(Y156&gt;0,'Attrition Modeling'!$N$9,0)))</f>
        <v>0</v>
      </c>
      <c r="Z24" s="799">
        <f>(Y24+Z156)*(1-IFERROR(IF(Z$2+$F24&lt;=12,SUMIFS('Attrition Modeling'!$D:$D,'Attrition Modeling'!$B:$B,'IP Attrition'!$D24,'Attrition Modeling'!$C:$C,'IP Attrition'!Z$1),VLOOKUP($F24+Z$2,$A$6:$C$106,2,FALSE)*VLOOKUP(Z$1,'Attrition Modeling'!$L$15:$N$27,IF(Z$2+$F24&lt;=24,2,3),FALSE)),$C$3)*(1+Projection!AB$16)*(1+IF(Z156&gt;0,'Attrition Modeling'!$N$9,0)))</f>
        <v>0</v>
      </c>
      <c r="AA24" s="799">
        <f>(Z24+AA156)*(1-IFERROR(IF(AA$2+$F24&lt;=12,SUMIFS('Attrition Modeling'!$D:$D,'Attrition Modeling'!$B:$B,'IP Attrition'!$D24,'Attrition Modeling'!$C:$C,'IP Attrition'!AA$1),VLOOKUP($F24+AA$2,$A$6:$C$106,2,FALSE)*VLOOKUP(AA$1,'Attrition Modeling'!$L$15:$N$27,IF(AA$2+$F24&lt;=24,2,3),FALSE)),$C$3)*(1+Projection!AC$16)*(1+IF(AA156&gt;0,'Attrition Modeling'!$N$9,0)))</f>
        <v>0</v>
      </c>
      <c r="AB24" s="799">
        <f>(AA24+AB156)*(1-IFERROR(IF(AB$2+$F24&lt;=12,SUMIFS('Attrition Modeling'!$D:$D,'Attrition Modeling'!$B:$B,'IP Attrition'!$D24,'Attrition Modeling'!$C:$C,'IP Attrition'!AB$1),VLOOKUP($F24+AB$2,$A$6:$C$106,2,FALSE)*VLOOKUP(AB$1,'Attrition Modeling'!$L$15:$N$27,IF(AB$2+$F24&lt;=24,2,3),FALSE)),$C$3)*(1+Projection!AD$16)*(1+IF(AB156&gt;0,'Attrition Modeling'!$N$9,0)))</f>
        <v>0</v>
      </c>
      <c r="AC24" s="799">
        <f>(AB24+AC156)*(1-IFERROR(IF(AC$2+$F24&lt;=12,SUMIFS('Attrition Modeling'!$D:$D,'Attrition Modeling'!$B:$B,'IP Attrition'!$D24,'Attrition Modeling'!$C:$C,'IP Attrition'!AC$1),VLOOKUP($F24+AC$2,$A$6:$C$106,2,FALSE)*VLOOKUP(AC$1,'Attrition Modeling'!$L$15:$N$27,IF(AC$2+$F24&lt;=24,2,3),FALSE)),$C$3)*(1+Projection!AE$16)*(1+IF(AC156&gt;0,'Attrition Modeling'!$N$9,0)))</f>
        <v>0</v>
      </c>
      <c r="AD24" s="799">
        <f>(AC24+AD156)*(1-IFERROR(IF(AD$2+$F24&lt;=12,SUMIFS('Attrition Modeling'!$D:$D,'Attrition Modeling'!$B:$B,'IP Attrition'!$D24,'Attrition Modeling'!$C:$C,'IP Attrition'!AD$1),VLOOKUP($F24+AD$2,$A$6:$C$106,2,FALSE)*VLOOKUP(AD$1,'Attrition Modeling'!$L$15:$N$27,IF(AD$2+$F24&lt;=24,2,3),FALSE)),$C$3)*(1+Projection!AF$16)*(1+IF(AD156&gt;0,'Attrition Modeling'!$N$9,0)))</f>
        <v>0</v>
      </c>
      <c r="AE24" s="799">
        <f>(AD24+AE156)*(1-IFERROR(IF(AE$2+$F24&lt;=12,SUMIFS('Attrition Modeling'!$D:$D,'Attrition Modeling'!$B:$B,'IP Attrition'!$D24,'Attrition Modeling'!$C:$C,'IP Attrition'!AE$1),VLOOKUP($F24+AE$2,$A$6:$C$106,2,FALSE)*VLOOKUP(AE$1,'Attrition Modeling'!$L$15:$N$27,IF(AE$2+$F24&lt;=24,2,3),FALSE)),$C$3)*(1+Projection!AG$16)*(1+IF(AE156&gt;0,'Attrition Modeling'!$N$9,0)))</f>
        <v>0</v>
      </c>
      <c r="AF24" s="799">
        <f>(AE24+AF156)*(1-IFERROR(IF(AF$2+$F24&lt;=12,SUMIFS('Attrition Modeling'!$D:$D,'Attrition Modeling'!$B:$B,'IP Attrition'!$D24,'Attrition Modeling'!$C:$C,'IP Attrition'!AF$1),VLOOKUP($F24+AF$2,$A$6:$C$106,2,FALSE)*VLOOKUP(AF$1,'Attrition Modeling'!$L$15:$N$27,IF(AF$2+$F24&lt;=24,2,3),FALSE)),$C$3)*(1+Projection!AH$16)*(1+IF(AF156&gt;0,'Attrition Modeling'!$N$9,0)))</f>
        <v>0</v>
      </c>
      <c r="AG24" s="799">
        <f>(AF24+AG156)*(1-IFERROR(IF(AG$2+$F24&lt;=12,SUMIFS('Attrition Modeling'!$D:$D,'Attrition Modeling'!$B:$B,'IP Attrition'!$D24,'Attrition Modeling'!$C:$C,'IP Attrition'!AG$1),VLOOKUP($F24+AG$2,$A$6:$C$106,2,FALSE)*VLOOKUP(AG$1,'Attrition Modeling'!$L$15:$N$27,IF(AG$2+$F24&lt;=24,2,3),FALSE)),$C$3)*(1+Projection!AI$16)*(1+IF(AG156&gt;0,'Attrition Modeling'!$N$9,0)))</f>
        <v>0</v>
      </c>
      <c r="AH24" s="799">
        <f>(AG24+AH156)*(1-IFERROR(IF(AH$2+$F24&lt;=12,SUMIFS('Attrition Modeling'!$D:$D,'Attrition Modeling'!$B:$B,'IP Attrition'!$D24,'Attrition Modeling'!$C:$C,'IP Attrition'!AH$1),VLOOKUP($F24+AH$2,$A$6:$C$106,2,FALSE)*VLOOKUP(AH$1,'Attrition Modeling'!$L$15:$N$27,IF(AH$2+$F24&lt;=24,2,3),FALSE)),$C$3)*(1+Projection!AJ$16)*(1+IF(AH156&gt;0,'Attrition Modeling'!$N$9,0)))</f>
        <v>0</v>
      </c>
      <c r="AI24" s="799">
        <f>(AH24+AI156)*(1-IFERROR(IF(AI$2+$F24&lt;=12,SUMIFS('Attrition Modeling'!$D:$D,'Attrition Modeling'!$B:$B,'IP Attrition'!$D24,'Attrition Modeling'!$C:$C,'IP Attrition'!AI$1),VLOOKUP($F24+AI$2,$A$6:$C$106,2,FALSE)*VLOOKUP(AI$1,'Attrition Modeling'!$L$15:$N$27,IF(AI$2+$F24&lt;=24,2,3),FALSE)),$C$3)*(1+Projection!AK$16)*(1+IF(AI156&gt;0,'Attrition Modeling'!$N$9,0)))</f>
        <v>0</v>
      </c>
      <c r="AJ24" s="799">
        <f>(AI24+AJ156)*(1-IFERROR(IF(AJ$2+$F24&lt;=12,SUMIFS('Attrition Modeling'!$D:$D,'Attrition Modeling'!$B:$B,'IP Attrition'!$D24,'Attrition Modeling'!$C:$C,'IP Attrition'!AJ$1),VLOOKUP($F24+AJ$2,$A$6:$C$106,2,FALSE)*VLOOKUP(AJ$1,'Attrition Modeling'!$L$15:$N$27,IF(AJ$2+$F24&lt;=24,2,3),FALSE)),$C$3)*(1+Projection!AL$16)*(1+IF(AJ156&gt;0,'Attrition Modeling'!$N$9,0)))</f>
        <v>0</v>
      </c>
      <c r="AK24" s="799">
        <f>(AJ24+AK156)*(1-IFERROR(IF(AK$2+$F24&lt;=12,SUMIFS('Attrition Modeling'!$D:$D,'Attrition Modeling'!$B:$B,'IP Attrition'!$D24,'Attrition Modeling'!$C:$C,'IP Attrition'!AK$1),VLOOKUP($F24+AK$2,$A$6:$C$106,2,FALSE)*VLOOKUP(AK$1,'Attrition Modeling'!$L$15:$N$27,IF(AK$2+$F24&lt;=24,2,3),FALSE)),$C$3)*(1+Projection!AM$16)*(1+IF(AK156&gt;0,'Attrition Modeling'!$N$9,0)))</f>
        <v>0</v>
      </c>
      <c r="AL24" s="799">
        <f>(AK24+AL156)*(1-IFERROR(IF(AL$2+$F24&lt;=12,SUMIFS('Attrition Modeling'!$D:$D,'Attrition Modeling'!$B:$B,'IP Attrition'!$D24,'Attrition Modeling'!$C:$C,'IP Attrition'!AL$1),VLOOKUP($F24+AL$2,$A$6:$C$106,2,FALSE)*VLOOKUP(AL$1,'Attrition Modeling'!$L$15:$N$27,IF(AL$2+$F24&lt;=24,2,3),FALSE)),$C$3)*(1+Projection!AN$16)*(1+IF(AL156&gt;0,'Attrition Modeling'!$N$9,0)))</f>
        <v>0</v>
      </c>
      <c r="AM24" s="799">
        <f>(AL24+AM156)*(1-IFERROR(IF(AM$2+$F24&lt;=12,SUMIFS('Attrition Modeling'!$D:$D,'Attrition Modeling'!$B:$B,'IP Attrition'!$D24,'Attrition Modeling'!$C:$C,'IP Attrition'!AM$1),VLOOKUP($F24+AM$2,$A$6:$C$106,2,FALSE)*VLOOKUP(AM$1,'Attrition Modeling'!$L$15:$N$27,IF(AM$2+$F24&lt;=24,2,3),FALSE)),$C$3)*(1+Projection!AO$16)*(1+IF(AM156&gt;0,'Attrition Modeling'!$N$9,0)))</f>
        <v>0</v>
      </c>
      <c r="AN24" s="799">
        <f>(AM24+AN156)*(1-IFERROR(IF(AN$2+$F24&lt;=12,SUMIFS('Attrition Modeling'!$D:$D,'Attrition Modeling'!$B:$B,'IP Attrition'!$D24,'Attrition Modeling'!$C:$C,'IP Attrition'!AN$1),VLOOKUP($F24+AN$2,$A$6:$C$106,2,FALSE)*VLOOKUP(AN$1,'Attrition Modeling'!$L$15:$N$27,IF(AN$2+$F24&lt;=24,2,3),FALSE)),$C$3)*(1+Projection!AP$16)*(1+IF(AN156&gt;0,'Attrition Modeling'!$N$9,0)))</f>
        <v>0</v>
      </c>
      <c r="AO24" s="799">
        <f>(AN24+AO156)*(1-IFERROR(IF(AO$2+$F24&lt;=12,SUMIFS('Attrition Modeling'!$D:$D,'Attrition Modeling'!$B:$B,'IP Attrition'!$D24,'Attrition Modeling'!$C:$C,'IP Attrition'!AO$1),VLOOKUP($F24+AO$2,$A$6:$C$106,2,FALSE)*VLOOKUP(AO$1,'Attrition Modeling'!$L$15:$N$27,IF(AO$2+$F24&lt;=24,2,3),FALSE)),$C$3)*(1+Projection!AQ$16)*(1+IF(AO156&gt;0,'Attrition Modeling'!$N$9,0)))</f>
        <v>0</v>
      </c>
      <c r="AP24" s="799">
        <f>(AO24+AP156)*(1-IFERROR(IF(AP$2+$F24&lt;=12,SUMIFS('Attrition Modeling'!$D:$D,'Attrition Modeling'!$B:$B,'IP Attrition'!$D24,'Attrition Modeling'!$C:$C,'IP Attrition'!AP$1),VLOOKUP($F24+AP$2,$A$6:$C$106,2,FALSE)*VLOOKUP(AP$1,'Attrition Modeling'!$L$15:$N$27,IF(AP$2+$F24&lt;=24,2,3),FALSE)),$C$3)*(1+Projection!AR$16)*(1+IF(AP156&gt;0,'Attrition Modeling'!$N$9,0)))</f>
        <v>0</v>
      </c>
      <c r="AQ24" s="799">
        <f>(AP24+AQ156)*(1-IFERROR(IF(AQ$2+$F24&lt;=12,SUMIFS('Attrition Modeling'!$D:$D,'Attrition Modeling'!$B:$B,'IP Attrition'!$D24,'Attrition Modeling'!$C:$C,'IP Attrition'!AQ$1),VLOOKUP($F24+AQ$2,$A$6:$C$106,2,FALSE)*VLOOKUP(AQ$1,'Attrition Modeling'!$L$15:$N$27,IF(AQ$2+$F24&lt;=24,2,3),FALSE)),$C$3)*(1+Projection!AS$16)*(1+IF(AQ156&gt;0,'Attrition Modeling'!$N$9,0)))</f>
        <v>0</v>
      </c>
      <c r="AR24" s="799">
        <f>(AQ24+AR156)*(1-IFERROR(IF(AR$2+$F24&lt;=12,SUMIFS('Attrition Modeling'!$D:$D,'Attrition Modeling'!$B:$B,'IP Attrition'!$D24,'Attrition Modeling'!$C:$C,'IP Attrition'!AR$1),VLOOKUP($F24+AR$2,$A$6:$C$106,2,FALSE)*VLOOKUP(AR$1,'Attrition Modeling'!$L$15:$N$27,IF(AR$2+$F24&lt;=24,2,3),FALSE)),$C$3)*(1+Projection!AT$16)*(1+IF(AR156&gt;0,'Attrition Modeling'!$N$9,0)))</f>
        <v>0</v>
      </c>
      <c r="AS24" s="799">
        <f>(AR24+AS156)*(1-IFERROR(IF(AS$2+$F24&lt;=12,SUMIFS('Attrition Modeling'!$D:$D,'Attrition Modeling'!$B:$B,'IP Attrition'!$D24,'Attrition Modeling'!$C:$C,'IP Attrition'!AS$1),VLOOKUP($F24+AS$2,$A$6:$C$106,2,FALSE)*VLOOKUP(AS$1,'Attrition Modeling'!$L$15:$N$27,IF(AS$2+$F24&lt;=24,2,3),FALSE)),$C$3)*(1+Projection!AU$16)*(1+IF(AS156&gt;0,'Attrition Modeling'!$N$9,0)))</f>
        <v>0</v>
      </c>
      <c r="AT24" s="799">
        <f>(AS24+AT156)*(1-IFERROR(IF(AT$2+$F24&lt;=12,SUMIFS('Attrition Modeling'!$D:$D,'Attrition Modeling'!$B:$B,'IP Attrition'!$D24,'Attrition Modeling'!$C:$C,'IP Attrition'!AT$1),VLOOKUP($F24+AT$2,$A$6:$C$106,2,FALSE)*VLOOKUP(AT$1,'Attrition Modeling'!$L$15:$N$27,IF(AT$2+$F24&lt;=24,2,3),FALSE)),$C$3)*(1+Projection!AV$16)*(1+IF(AT156&gt;0,'Attrition Modeling'!$N$9,0)))</f>
        <v>0</v>
      </c>
      <c r="AU24" s="799">
        <f>(AT24+AU156)*(1-IFERROR(IF(AU$2+$F24&lt;=12,SUMIFS('Attrition Modeling'!$D:$D,'Attrition Modeling'!$B:$B,'IP Attrition'!$D24,'Attrition Modeling'!$C:$C,'IP Attrition'!AU$1),VLOOKUP($F24+AU$2,$A$6:$C$106,2,FALSE)*VLOOKUP(AU$1,'Attrition Modeling'!$L$15:$N$27,IF(AU$2+$F24&lt;=24,2,3),FALSE)),$C$3)*(1+Projection!AW$16)*(1+IF(AU156&gt;0,'Attrition Modeling'!$N$9,0)))</f>
        <v>0</v>
      </c>
      <c r="AV24" s="799">
        <f>(AU24+AV156)*(1-IFERROR(IF(AV$2+$F24&lt;=12,SUMIFS('Attrition Modeling'!$D:$D,'Attrition Modeling'!$B:$B,'IP Attrition'!$D24,'Attrition Modeling'!$C:$C,'IP Attrition'!AV$1),VLOOKUP($F24+AV$2,$A$6:$C$106,2,FALSE)*VLOOKUP(AV$1,'Attrition Modeling'!$L$15:$N$27,IF(AV$2+$F24&lt;=24,2,3),FALSE)),$C$3)*(1+Projection!AX$16)*(1+IF(AV156&gt;0,'Attrition Modeling'!$N$9,0)))</f>
        <v>0</v>
      </c>
      <c r="AW24" s="799">
        <f>(AV24+AW156)*(1-IFERROR(IF(AW$2+$F24&lt;=12,SUMIFS('Attrition Modeling'!$D:$D,'Attrition Modeling'!$B:$B,'IP Attrition'!$D24,'Attrition Modeling'!$C:$C,'IP Attrition'!AW$1),VLOOKUP($F24+AW$2,$A$6:$C$106,2,FALSE)*VLOOKUP(AW$1,'Attrition Modeling'!$L$15:$N$27,IF(AW$2+$F24&lt;=24,2,3),FALSE)),$C$3)*(1+Projection!AY$16)*(1+IF(AW156&gt;0,'Attrition Modeling'!$N$9,0)))</f>
        <v>0</v>
      </c>
      <c r="AX24" s="799">
        <f>(AW24+AX156)*(1-IFERROR(IF(AX$2+$F24&lt;=12,SUMIFS('Attrition Modeling'!$D:$D,'Attrition Modeling'!$B:$B,'IP Attrition'!$D24,'Attrition Modeling'!$C:$C,'IP Attrition'!AX$1),VLOOKUP($F24+AX$2,$A$6:$C$106,2,FALSE)*VLOOKUP(AX$1,'Attrition Modeling'!$L$15:$N$27,IF(AX$2+$F24&lt;=24,2,3),FALSE)),$C$3)*(1+Projection!AZ$16)*(1+IF(AX156&gt;0,'Attrition Modeling'!$N$9,0)))</f>
        <v>0</v>
      </c>
      <c r="AY24" s="799">
        <f>(AX24+AY156)*(1-IFERROR(IF(AY$2+$F24&lt;=12,SUMIFS('Attrition Modeling'!$D:$D,'Attrition Modeling'!$B:$B,'IP Attrition'!$D24,'Attrition Modeling'!$C:$C,'IP Attrition'!AY$1),VLOOKUP($F24+AY$2,$A$6:$C$106,2,FALSE)*VLOOKUP(AY$1,'Attrition Modeling'!$L$15:$N$27,IF(AY$2+$F24&lt;=24,2,3),FALSE)),$C$3)*(1+Projection!BA$16)*(1+IF(AY156&gt;0,'Attrition Modeling'!$N$9,0)))</f>
        <v>0</v>
      </c>
      <c r="AZ24" s="799">
        <f>(AY24+AZ156)*(1-IFERROR(IF(AZ$2+$F24&lt;=12,SUMIFS('Attrition Modeling'!$D:$D,'Attrition Modeling'!$B:$B,'IP Attrition'!$D24,'Attrition Modeling'!$C:$C,'IP Attrition'!AZ$1),VLOOKUP($F24+AZ$2,$A$6:$C$106,2,FALSE)*VLOOKUP(AZ$1,'Attrition Modeling'!$L$15:$N$27,IF(AZ$2+$F24&lt;=24,2,3),FALSE)),$C$3)*(1+Projection!BB$16)*(1+IF(AZ156&gt;0,'Attrition Modeling'!$N$9,0)))</f>
        <v>0</v>
      </c>
      <c r="BA24" s="799">
        <f>(AZ24+BA156)*(1-IFERROR(IF(BA$2+$F24&lt;=12,SUMIFS('Attrition Modeling'!$D:$D,'Attrition Modeling'!$B:$B,'IP Attrition'!$D24,'Attrition Modeling'!$C:$C,'IP Attrition'!BA$1),VLOOKUP($F24+BA$2,$A$6:$C$106,2,FALSE)*VLOOKUP(BA$1,'Attrition Modeling'!$L$15:$N$27,IF(BA$2+$F24&lt;=24,2,3),FALSE)),$C$3)*(1+Projection!BC$16)*(1+IF(BA156&gt;0,'Attrition Modeling'!$N$9,0)))</f>
        <v>0</v>
      </c>
      <c r="BB24" s="799">
        <f>(BA24+BB156)*(1-IFERROR(IF(BB$2+$F24&lt;=12,SUMIFS('Attrition Modeling'!$D:$D,'Attrition Modeling'!$B:$B,'IP Attrition'!$D24,'Attrition Modeling'!$C:$C,'IP Attrition'!BB$1),VLOOKUP($F24+BB$2,$A$6:$C$106,2,FALSE)*VLOOKUP(BB$1,'Attrition Modeling'!$L$15:$N$27,IF(BB$2+$F24&lt;=24,2,3),FALSE)),$C$3)*(1+Projection!BD$16)*(1+IF(BB156&gt;0,'Attrition Modeling'!$N$9,0)))</f>
        <v>0</v>
      </c>
      <c r="BC24" s="799">
        <f>(BB24+BC156)*(1-IFERROR(IF(BC$2+$F24&lt;=12,SUMIFS('Attrition Modeling'!$D:$D,'Attrition Modeling'!$B:$B,'IP Attrition'!$D24,'Attrition Modeling'!$C:$C,'IP Attrition'!BC$1),VLOOKUP($F24+BC$2,$A$6:$C$106,2,FALSE)*VLOOKUP(BC$1,'Attrition Modeling'!$L$15:$N$27,IF(BC$2+$F24&lt;=24,2,3),FALSE)),$C$3)*(1+Projection!BE$16)*(1+IF(BC156&gt;0,'Attrition Modeling'!$N$9,0)))</f>
        <v>0</v>
      </c>
      <c r="BD24" s="799">
        <f>(BC24+BD156)*(1-IFERROR(IF(BD$2+$F24&lt;=12,SUMIFS('Attrition Modeling'!$D:$D,'Attrition Modeling'!$B:$B,'IP Attrition'!$D24,'Attrition Modeling'!$C:$C,'IP Attrition'!BD$1),VLOOKUP($F24+BD$2,$A$6:$C$106,2,FALSE)*VLOOKUP(BD$1,'Attrition Modeling'!$L$15:$N$27,IF(BD$2+$F24&lt;=24,2,3),FALSE)),$C$3)*(1+Projection!BF$16)*(1+IF(BD156&gt;0,'Attrition Modeling'!$N$9,0)))</f>
        <v>0</v>
      </c>
      <c r="BE24" s="799">
        <f>(BD24+BE156)*(1-IFERROR(IF(BE$2+$F24&lt;=12,SUMIFS('Attrition Modeling'!$D:$D,'Attrition Modeling'!$B:$B,'IP Attrition'!$D24,'Attrition Modeling'!$C:$C,'IP Attrition'!BE$1),VLOOKUP($F24+BE$2,$A$6:$C$106,2,FALSE)*VLOOKUP(BE$1,'Attrition Modeling'!$L$15:$N$27,IF(BE$2+$F24&lt;=24,2,3),FALSE)),$C$3)*(1+Projection!BG$16)*(1+IF(BE156&gt;0,'Attrition Modeling'!$N$9,0)))</f>
        <v>0</v>
      </c>
      <c r="BF24" s="799">
        <f>(BE24+BF156)*(1-IFERROR(IF(BF$2+$F24&lt;=12,SUMIFS('Attrition Modeling'!$D:$D,'Attrition Modeling'!$B:$B,'IP Attrition'!$D24,'Attrition Modeling'!$C:$C,'IP Attrition'!BF$1),VLOOKUP($F24+BF$2,$A$6:$C$106,2,FALSE)*VLOOKUP(BF$1,'Attrition Modeling'!$L$15:$N$27,IF(BF$2+$F24&lt;=24,2,3),FALSE)),$C$3)*(1+Projection!BH$16)*(1+IF(BF156&gt;0,'Attrition Modeling'!$N$9,0)))</f>
        <v>0</v>
      </c>
      <c r="BG24" s="799">
        <f>(BF24+BG156)*(1-IFERROR(IF(BG$2+$F24&lt;=12,SUMIFS('Attrition Modeling'!$D:$D,'Attrition Modeling'!$B:$B,'IP Attrition'!$D24,'Attrition Modeling'!$C:$C,'IP Attrition'!BG$1),VLOOKUP($F24+BG$2,$A$6:$C$106,2,FALSE)*VLOOKUP(BG$1,'Attrition Modeling'!$L$15:$N$27,IF(BG$2+$F24&lt;=24,2,3),FALSE)),$C$3)*(1+Projection!BI$16)*(1+IF(BG156&gt;0,'Attrition Modeling'!$N$9,0)))</f>
        <v>0</v>
      </c>
      <c r="BH24" s="799">
        <f>(BG24+BH156)*(1-IFERROR(IF(BH$2+$F24&lt;=12,SUMIFS('Attrition Modeling'!$D:$D,'Attrition Modeling'!$B:$B,'IP Attrition'!$D24,'Attrition Modeling'!$C:$C,'IP Attrition'!BH$1),VLOOKUP($F24+BH$2,$A$6:$C$106,2,FALSE)*VLOOKUP(BH$1,'Attrition Modeling'!$L$15:$N$27,IF(BH$2+$F24&lt;=24,2,3),FALSE)),$C$3)*(1+Projection!BJ$16)*(1+IF(BH156&gt;0,'Attrition Modeling'!$N$9,0)))</f>
        <v>0</v>
      </c>
      <c r="BI24" s="799">
        <f>(BH24+BI156)*(1-IFERROR(IF(BI$2+$F24&lt;=12,SUMIFS('Attrition Modeling'!$D:$D,'Attrition Modeling'!$B:$B,'IP Attrition'!$D24,'Attrition Modeling'!$C:$C,'IP Attrition'!BI$1),VLOOKUP($F24+BI$2,$A$6:$C$106,2,FALSE)*VLOOKUP(BI$1,'Attrition Modeling'!$L$15:$N$27,IF(BI$2+$F24&lt;=24,2,3),FALSE)),$C$3)*(1+Projection!BK$16)*(1+IF(BI156&gt;0,'Attrition Modeling'!$N$9,0)))</f>
        <v>0</v>
      </c>
      <c r="BJ24" s="799">
        <f>(BI24+BJ156)*(1-IFERROR(IF(BJ$2+$F24&lt;=12,SUMIFS('Attrition Modeling'!$D:$D,'Attrition Modeling'!$B:$B,'IP Attrition'!$D24,'Attrition Modeling'!$C:$C,'IP Attrition'!BJ$1),VLOOKUP($F24+BJ$2,$A$6:$C$106,2,FALSE)*VLOOKUP(BJ$1,'Attrition Modeling'!$L$15:$N$27,IF(BJ$2+$F24&lt;=24,2,3),FALSE)),$C$3)*(1+Projection!BL$16)*(1+IF(BJ156&gt;0,'Attrition Modeling'!$N$9,0)))</f>
        <v>0</v>
      </c>
      <c r="BK24" s="799">
        <f>(BJ24+BK156)*(1-IFERROR(IF(BK$2+$F24&lt;=12,SUMIFS('Attrition Modeling'!$D:$D,'Attrition Modeling'!$B:$B,'IP Attrition'!$D24,'Attrition Modeling'!$C:$C,'IP Attrition'!BK$1),VLOOKUP($F24+BK$2,$A$6:$C$106,2,FALSE)*VLOOKUP(BK$1,'Attrition Modeling'!$L$15:$N$27,IF(BK$2+$F24&lt;=24,2,3),FALSE)),$C$3)*(1+Projection!BM$16)*(1+IF(BK156&gt;0,'Attrition Modeling'!$N$9,0)))</f>
        <v>0</v>
      </c>
      <c r="BL24" s="799">
        <f>(BK24+BL156)*(1-IFERROR(IF(BL$2+$F24&lt;=12,SUMIFS('Attrition Modeling'!$D:$D,'Attrition Modeling'!$B:$B,'IP Attrition'!$D24,'Attrition Modeling'!$C:$C,'IP Attrition'!BL$1),VLOOKUP($F24+BL$2,$A$6:$C$106,2,FALSE)*VLOOKUP(BL$1,'Attrition Modeling'!$L$15:$N$27,IF(BL$2+$F24&lt;=24,2,3),FALSE)),$C$3)*(1+Projection!BN$16)*(1+IF(BL156&gt;0,'Attrition Modeling'!$N$9,0)))</f>
        <v>0</v>
      </c>
      <c r="BM24" s="799">
        <f>(BL24+BM156)*(1-IFERROR(IF(BM$2+$F24&lt;=12,SUMIFS('Attrition Modeling'!$D:$D,'Attrition Modeling'!$B:$B,'IP Attrition'!$D24,'Attrition Modeling'!$C:$C,'IP Attrition'!BM$1),VLOOKUP($F24+BM$2,$A$6:$C$106,2,FALSE)*VLOOKUP(BM$1,'Attrition Modeling'!$L$15:$N$27,IF(BM$2+$F24&lt;=24,2,3),FALSE)),$C$3)*(1+Projection!BO$16)*(1+IF(BM156&gt;0,'Attrition Modeling'!$N$9,0)))</f>
        <v>0</v>
      </c>
      <c r="BN24" s="799">
        <f>(BM24+BN156)*(1-IFERROR(IF(BN$2+$F24&lt;=12,SUMIFS('Attrition Modeling'!$D:$D,'Attrition Modeling'!$B:$B,'IP Attrition'!$D24,'Attrition Modeling'!$C:$C,'IP Attrition'!BN$1),VLOOKUP($F24+BN$2,$A$6:$C$106,2,FALSE)*VLOOKUP(BN$1,'Attrition Modeling'!$L$15:$N$27,IF(BN$2+$F24&lt;=24,2,3),FALSE)),$C$3)*(1+Projection!BP$16)*(1+IF(BN156&gt;0,'Attrition Modeling'!$N$9,0)))</f>
        <v>0</v>
      </c>
      <c r="BO24" s="799">
        <f>(BN24+BO156)*(1-IFERROR(IF(BO$2+$F24&lt;=12,SUMIFS('Attrition Modeling'!$D:$D,'Attrition Modeling'!$B:$B,'IP Attrition'!$D24,'Attrition Modeling'!$C:$C,'IP Attrition'!BO$1),VLOOKUP($F24+BO$2,$A$6:$C$106,2,FALSE)*VLOOKUP(BO$1,'Attrition Modeling'!$L$15:$N$27,IF(BO$2+$F24&lt;=24,2,3),FALSE)),$C$3)*(1+Projection!BV$16)*(1+IF(BO156&gt;0,'Attrition Modeling'!$N$9,0)))</f>
        <v>0</v>
      </c>
      <c r="BP24" s="799">
        <f>(BO24+BP156)*(1-IFERROR(IF(BP$2+$F24&lt;=12,SUMIFS('Attrition Modeling'!$D:$D,'Attrition Modeling'!$B:$B,'IP Attrition'!$D24,'Attrition Modeling'!$C:$C,'IP Attrition'!BP$1),VLOOKUP($F24+BP$2,$A$6:$C$106,2,FALSE)*VLOOKUP(BP$1,'Attrition Modeling'!$L$15:$N$27,IF(BP$2+$F24&lt;=24,2,3),FALSE)),$C$3)*(1+Projection!BW$16)*(1+IF(BP156&gt;0,'Attrition Modeling'!$N$9,0)))</f>
        <v>0</v>
      </c>
      <c r="BQ24" s="799">
        <f>(BP24+BQ156)*(1-IFERROR(IF(BQ$2+$F24&lt;=12,SUMIFS('Attrition Modeling'!$D:$D,'Attrition Modeling'!$B:$B,'IP Attrition'!$D24,'Attrition Modeling'!$C:$C,'IP Attrition'!BQ$1),VLOOKUP($F24+BQ$2,$A$6:$C$106,2,FALSE)*VLOOKUP(BQ$1,'Attrition Modeling'!$L$15:$N$27,IF(BQ$2+$F24&lt;=24,2,3),FALSE)),$C$3)*(1+Projection!BX$16)*(1+IF(BQ156&gt;0,'Attrition Modeling'!$N$9,0)))</f>
        <v>0</v>
      </c>
      <c r="BR24" s="799">
        <f>(BQ24+BR156)*(1-IFERROR(IF(BR$2+$F24&lt;=12,SUMIFS('Attrition Modeling'!$D:$D,'Attrition Modeling'!$B:$B,'IP Attrition'!$D24,'Attrition Modeling'!$C:$C,'IP Attrition'!BR$1),VLOOKUP($F24+BR$2,$A$6:$C$106,2,FALSE)*VLOOKUP(BR$1,'Attrition Modeling'!$L$15:$N$27,IF(BR$2+$F24&lt;=24,2,3),FALSE)),$C$3)*(1+Projection!BY$16)*(1+IF(BR156&gt;0,'Attrition Modeling'!$N$9,0)))</f>
        <v>0</v>
      </c>
      <c r="BS24" s="799">
        <f>(BR24+BS156)*(1-IFERROR(IF(BS$2+$F24&lt;=12,SUMIFS('Attrition Modeling'!$D:$D,'Attrition Modeling'!$B:$B,'IP Attrition'!$D24,'Attrition Modeling'!$C:$C,'IP Attrition'!BS$1),VLOOKUP($F24+BS$2,$A$6:$C$106,2,FALSE)*VLOOKUP(BS$1,'Attrition Modeling'!$L$15:$N$27,IF(BS$2+$F24&lt;=24,2,3),FALSE)),$C$3)*(1+Projection!BZ$16)*(1+IF(BS156&gt;0,'Attrition Modeling'!$N$9,0)))</f>
        <v>0</v>
      </c>
      <c r="BT24" s="799" t="e">
        <f>(BS24+BT156)*(1-IFERROR(IF(BT$2+$F24&lt;=12,SUMIFS('Attrition Modeling'!$D:$D,'Attrition Modeling'!$B:$B,'IP Attrition'!$D24,'Attrition Modeling'!$C:$C,'IP Attrition'!BT$1),VLOOKUP($F24+BT$2,$A$6:$C$106,2,FALSE)*VLOOKUP(BT$1,'Attrition Modeling'!$L$15:$N$27,IF(BT$2+$F24&lt;=24,2,3),FALSE)),$C$3)*(1+Projection!CA$16)*(1+IF(BT156&gt;0,'Attrition Modeling'!$N$9,0)))</f>
        <v>#REF!</v>
      </c>
      <c r="BU24" s="799" t="e">
        <f>(BT24+BU156)*(1-IFERROR(IF(BU$2+$F24&lt;=12,SUMIFS('Attrition Modeling'!$D:$D,'Attrition Modeling'!$B:$B,'IP Attrition'!$D24,'Attrition Modeling'!$C:$C,'IP Attrition'!BU$1),VLOOKUP($F24+BU$2,$A$6:$C$106,2,FALSE)*VLOOKUP(BU$1,'Attrition Modeling'!$L$15:$N$27,IF(BU$2+$F24&lt;=24,2,3),FALSE)),$C$3)*(1+Projection!CB$16)*(1+IF(BU156&gt;0,'Attrition Modeling'!$N$9,0)))</f>
        <v>#REF!</v>
      </c>
    </row>
    <row r="25" spans="1:73" ht="14.25" customHeight="1" x14ac:dyDescent="0.2">
      <c r="A25" s="9">
        <v>18</v>
      </c>
      <c r="B25" s="25">
        <f>MAX('Attrition Modeling'!H22,$C$3)*(1-Summary!$C$20)</f>
        <v>4.2679876846816893E-2</v>
      </c>
      <c r="C25" s="24" t="e">
        <f t="shared" si="3"/>
        <v>#DIV/0!</v>
      </c>
      <c r="D25" s="11">
        <f t="shared" si="1"/>
        <v>-22</v>
      </c>
      <c r="E25" s="807">
        <f t="array" ref="E25">INDEX('Attrition Modeling'!$X$2:$AF$63,MATCH($F25,'Attrition Modeling'!$X$2:$X$63,0),MATCH(Inputs!$C$10,'Attrition Modeling'!$X$2:$AF$2,0))</f>
        <v>0</v>
      </c>
      <c r="F25" s="11">
        <f t="shared" si="2"/>
        <v>22</v>
      </c>
      <c r="G25" s="799">
        <f>Summary!$C$25*$E25</f>
        <v>0</v>
      </c>
      <c r="H25" s="799">
        <f>(G25+H157)*(1-IFERROR(IF(H$2+$F25&lt;=12,SUMIFS('Attrition Modeling'!$D:$D,'Attrition Modeling'!$B:$B,'IP Attrition'!$D25,'Attrition Modeling'!$C:$C,'IP Attrition'!H$1),VLOOKUP($F25+H$2,$A$6:$C$106,2,FALSE)*VLOOKUP(H$1,'Attrition Modeling'!$L$15:$N$27,IF(H$2+$F25&lt;=24,2,3),FALSE)),$C$3)*(1+Projection!J$16)*(1+IF(H157&gt;0,'Attrition Modeling'!$N$9,0)))</f>
        <v>0</v>
      </c>
      <c r="I25" s="799">
        <f>(H25+I157)*(1-IFERROR(IF(I$2+$F25&lt;=12,SUMIFS('Attrition Modeling'!$D:$D,'Attrition Modeling'!$B:$B,'IP Attrition'!$D25,'Attrition Modeling'!$C:$C,'IP Attrition'!I$1),VLOOKUP($F25+I$2,$A$6:$C$106,2,FALSE)*VLOOKUP(I$1,'Attrition Modeling'!$L$15:$N$27,IF(I$2+$F25&lt;=24,2,3),FALSE)),$C$3)*(1+Projection!K$16)*(1+IF(I157&gt;0,'Attrition Modeling'!$N$9,0)))</f>
        <v>0</v>
      </c>
      <c r="J25" s="799">
        <f>(I25+J157)*(1-IFERROR(IF(J$2+$F25&lt;=12,SUMIFS('Attrition Modeling'!$D:$D,'Attrition Modeling'!$B:$B,'IP Attrition'!$D25,'Attrition Modeling'!$C:$C,'IP Attrition'!J$1),VLOOKUP($F25+J$2,$A$6:$C$106,2,FALSE)*VLOOKUP(J$1,'Attrition Modeling'!$L$15:$N$27,IF(J$2+$F25&lt;=24,2,3),FALSE)),$C$3)*(1+Projection!L$16)*(1+IF(J157&gt;0,'Attrition Modeling'!$N$9,0)))</f>
        <v>0</v>
      </c>
      <c r="K25" s="799">
        <f>(J25+K157)*(1-IFERROR(IF(K$2+$F25&lt;=12,SUMIFS('Attrition Modeling'!$D:$D,'Attrition Modeling'!$B:$B,'IP Attrition'!$D25,'Attrition Modeling'!$C:$C,'IP Attrition'!K$1),VLOOKUP($F25+K$2,$A$6:$C$106,2,FALSE)*VLOOKUP(K$1,'Attrition Modeling'!$L$15:$N$27,IF(K$2+$F25&lt;=24,2,3),FALSE)),$C$3)*(1+Projection!M$16)*(1+IF(K157&gt;0,'Attrition Modeling'!$N$9,0)))</f>
        <v>0</v>
      </c>
      <c r="L25" s="799">
        <f>(K25+L157)*(1-IFERROR(IF(L$2+$F25&lt;=12,SUMIFS('Attrition Modeling'!$D:$D,'Attrition Modeling'!$B:$B,'IP Attrition'!$D25,'Attrition Modeling'!$C:$C,'IP Attrition'!L$1),VLOOKUP($F25+L$2,$A$6:$C$106,2,FALSE)*VLOOKUP(L$1,'Attrition Modeling'!$L$15:$N$27,IF(L$2+$F25&lt;=24,2,3),FALSE)),$C$3)*(1+Projection!N$16)*(1+IF(L157&gt;0,'Attrition Modeling'!$N$9,0)))</f>
        <v>0</v>
      </c>
      <c r="M25" s="799">
        <f>(L25+M157)*(1-IFERROR(IF(M$2+$F25&lt;=12,SUMIFS('Attrition Modeling'!$D:$D,'Attrition Modeling'!$B:$B,'IP Attrition'!$D25,'Attrition Modeling'!$C:$C,'IP Attrition'!M$1),VLOOKUP($F25+M$2,$A$6:$C$106,2,FALSE)*VLOOKUP(M$1,'Attrition Modeling'!$L$15:$N$27,IF(M$2+$F25&lt;=24,2,3),FALSE)),$C$3)*(1+Projection!O$16)*(1+IF(M157&gt;0,'Attrition Modeling'!$N$9,0)))</f>
        <v>0</v>
      </c>
      <c r="N25" s="799">
        <f>(M25+N157)*(1-IFERROR(IF(N$2+$F25&lt;=12,SUMIFS('Attrition Modeling'!$D:$D,'Attrition Modeling'!$B:$B,'IP Attrition'!$D25,'Attrition Modeling'!$C:$C,'IP Attrition'!N$1),VLOOKUP($F25+N$2,$A$6:$C$106,2,FALSE)*VLOOKUP(N$1,'Attrition Modeling'!$L$15:$N$27,IF(N$2+$F25&lt;=24,2,3),FALSE)),$C$3)*(1+Projection!P$16)*(1+IF(N157&gt;0,'Attrition Modeling'!$N$9,0)))</f>
        <v>0</v>
      </c>
      <c r="O25" s="799">
        <f>(N25+O157)*(1-IFERROR(IF(O$2+$F25&lt;=12,SUMIFS('Attrition Modeling'!$D:$D,'Attrition Modeling'!$B:$B,'IP Attrition'!$D25,'Attrition Modeling'!$C:$C,'IP Attrition'!O$1),VLOOKUP($F25+O$2,$A$6:$C$106,2,FALSE)*VLOOKUP(O$1,'Attrition Modeling'!$L$15:$N$27,IF(O$2+$F25&lt;=24,2,3),FALSE)),$C$3)*(1+Projection!Q$16)*(1+IF(O157&gt;0,'Attrition Modeling'!$N$9,0)))</f>
        <v>0</v>
      </c>
      <c r="P25" s="799">
        <f>(O25+P157)*(1-IFERROR(IF(P$2+$F25&lt;=12,SUMIFS('Attrition Modeling'!$D:$D,'Attrition Modeling'!$B:$B,'IP Attrition'!$D25,'Attrition Modeling'!$C:$C,'IP Attrition'!P$1),VLOOKUP($F25+P$2,$A$6:$C$106,2,FALSE)*VLOOKUP(P$1,'Attrition Modeling'!$L$15:$N$27,IF(P$2+$F25&lt;=24,2,3),FALSE)),$C$3)*(1+Projection!R$16)*(1+IF(P157&gt;0,'Attrition Modeling'!$N$9,0)))</f>
        <v>0</v>
      </c>
      <c r="Q25" s="799">
        <f>(P25+Q157)*(1-IFERROR(IF(Q$2+$F25&lt;=12,SUMIFS('Attrition Modeling'!$D:$D,'Attrition Modeling'!$B:$B,'IP Attrition'!$D25,'Attrition Modeling'!$C:$C,'IP Attrition'!Q$1),VLOOKUP($F25+Q$2,$A$6:$C$106,2,FALSE)*VLOOKUP(Q$1,'Attrition Modeling'!$L$15:$N$27,IF(Q$2+$F25&lt;=24,2,3),FALSE)),$C$3)*(1+Projection!S$16)*(1+IF(Q157&gt;0,'Attrition Modeling'!$N$9,0)))</f>
        <v>0</v>
      </c>
      <c r="R25" s="799">
        <f>(Q25+R157)*(1-IFERROR(IF(R$2+$F25&lt;=12,SUMIFS('Attrition Modeling'!$D:$D,'Attrition Modeling'!$B:$B,'IP Attrition'!$D25,'Attrition Modeling'!$C:$C,'IP Attrition'!R$1),VLOOKUP($F25+R$2,$A$6:$C$106,2,FALSE)*VLOOKUP(R$1,'Attrition Modeling'!$L$15:$N$27,IF(R$2+$F25&lt;=24,2,3),FALSE)),$C$3)*(1+Projection!T$16)*(1+IF(R157&gt;0,'Attrition Modeling'!$N$9,0)))</f>
        <v>0</v>
      </c>
      <c r="S25" s="799">
        <f>(R25+S157)*(1-IFERROR(IF(S$2+$F25&lt;=12,SUMIFS('Attrition Modeling'!$D:$D,'Attrition Modeling'!$B:$B,'IP Attrition'!$D25,'Attrition Modeling'!$C:$C,'IP Attrition'!S$1),VLOOKUP($F25+S$2,$A$6:$C$106,2,FALSE)*VLOOKUP(S$1,'Attrition Modeling'!$L$15:$N$27,IF(S$2+$F25&lt;=24,2,3),FALSE)),$C$3)*(1+Projection!U$16)*(1+IF(S157&gt;0,'Attrition Modeling'!$N$9,0)))</f>
        <v>0</v>
      </c>
      <c r="T25" s="799">
        <f>(S25+T157)*(1-IFERROR(IF(T$2+$F25&lt;=12,SUMIFS('Attrition Modeling'!$D:$D,'Attrition Modeling'!$B:$B,'IP Attrition'!$D25,'Attrition Modeling'!$C:$C,'IP Attrition'!T$1),VLOOKUP($F25+T$2,$A$6:$C$106,2,FALSE)*VLOOKUP(T$1,'Attrition Modeling'!$L$15:$N$27,IF(T$2+$F25&lt;=24,2,3),FALSE)),$C$3)*(1+Projection!V$16)*(1+IF(T157&gt;0,'Attrition Modeling'!$N$9,0)))</f>
        <v>0</v>
      </c>
      <c r="U25" s="799">
        <f>(T25+U157)*(1-IFERROR(IF(U$2+$F25&lt;=12,SUMIFS('Attrition Modeling'!$D:$D,'Attrition Modeling'!$B:$B,'IP Attrition'!$D25,'Attrition Modeling'!$C:$C,'IP Attrition'!U$1),VLOOKUP($F25+U$2,$A$6:$C$106,2,FALSE)*VLOOKUP(U$1,'Attrition Modeling'!$L$15:$N$27,IF(U$2+$F25&lt;=24,2,3),FALSE)),$C$3)*(1+Projection!W$16)*(1+IF(U157&gt;0,'Attrition Modeling'!$N$9,0)))</f>
        <v>0</v>
      </c>
      <c r="V25" s="799">
        <f>(U25+V157)*(1-IFERROR(IF(V$2+$F25&lt;=12,SUMIFS('Attrition Modeling'!$D:$D,'Attrition Modeling'!$B:$B,'IP Attrition'!$D25,'Attrition Modeling'!$C:$C,'IP Attrition'!V$1),VLOOKUP($F25+V$2,$A$6:$C$106,2,FALSE)*VLOOKUP(V$1,'Attrition Modeling'!$L$15:$N$27,IF(V$2+$F25&lt;=24,2,3),FALSE)),$C$3)*(1+Projection!X$16)*(1+IF(V157&gt;0,'Attrition Modeling'!$N$9,0)))</f>
        <v>0</v>
      </c>
      <c r="W25" s="799">
        <f>(V25+W157)*(1-IFERROR(IF(W$2+$F25&lt;=12,SUMIFS('Attrition Modeling'!$D:$D,'Attrition Modeling'!$B:$B,'IP Attrition'!$D25,'Attrition Modeling'!$C:$C,'IP Attrition'!W$1),VLOOKUP($F25+W$2,$A$6:$C$106,2,FALSE)*VLOOKUP(W$1,'Attrition Modeling'!$L$15:$N$27,IF(W$2+$F25&lt;=24,2,3),FALSE)),$C$3)*(1+Projection!Y$16)*(1+IF(W157&gt;0,'Attrition Modeling'!$N$9,0)))</f>
        <v>0</v>
      </c>
      <c r="X25" s="799">
        <f>(W25+X157)*(1-IFERROR(IF(X$2+$F25&lt;=12,SUMIFS('Attrition Modeling'!$D:$D,'Attrition Modeling'!$B:$B,'IP Attrition'!$D25,'Attrition Modeling'!$C:$C,'IP Attrition'!X$1),VLOOKUP($F25+X$2,$A$6:$C$106,2,FALSE)*VLOOKUP(X$1,'Attrition Modeling'!$L$15:$N$27,IF(X$2+$F25&lt;=24,2,3),FALSE)),$C$3)*(1+Projection!Z$16)*(1+IF(X157&gt;0,'Attrition Modeling'!$N$9,0)))</f>
        <v>0</v>
      </c>
      <c r="Y25" s="799">
        <f>(X25+Y157)*(1-IFERROR(IF(Y$2+$F25&lt;=12,SUMIFS('Attrition Modeling'!$D:$D,'Attrition Modeling'!$B:$B,'IP Attrition'!$D25,'Attrition Modeling'!$C:$C,'IP Attrition'!Y$1),VLOOKUP($F25+Y$2,$A$6:$C$106,2,FALSE)*VLOOKUP(Y$1,'Attrition Modeling'!$L$15:$N$27,IF(Y$2+$F25&lt;=24,2,3),FALSE)),$C$3)*(1+Projection!AA$16)*(1+IF(Y157&gt;0,'Attrition Modeling'!$N$9,0)))</f>
        <v>0</v>
      </c>
      <c r="Z25" s="799">
        <f>(Y25+Z157)*(1-IFERROR(IF(Z$2+$F25&lt;=12,SUMIFS('Attrition Modeling'!$D:$D,'Attrition Modeling'!$B:$B,'IP Attrition'!$D25,'Attrition Modeling'!$C:$C,'IP Attrition'!Z$1),VLOOKUP($F25+Z$2,$A$6:$C$106,2,FALSE)*VLOOKUP(Z$1,'Attrition Modeling'!$L$15:$N$27,IF(Z$2+$F25&lt;=24,2,3),FALSE)),$C$3)*(1+Projection!AB$16)*(1+IF(Z157&gt;0,'Attrition Modeling'!$N$9,0)))</f>
        <v>0</v>
      </c>
      <c r="AA25" s="799">
        <f>(Z25+AA157)*(1-IFERROR(IF(AA$2+$F25&lt;=12,SUMIFS('Attrition Modeling'!$D:$D,'Attrition Modeling'!$B:$B,'IP Attrition'!$D25,'Attrition Modeling'!$C:$C,'IP Attrition'!AA$1),VLOOKUP($F25+AA$2,$A$6:$C$106,2,FALSE)*VLOOKUP(AA$1,'Attrition Modeling'!$L$15:$N$27,IF(AA$2+$F25&lt;=24,2,3),FALSE)),$C$3)*(1+Projection!AC$16)*(1+IF(AA157&gt;0,'Attrition Modeling'!$N$9,0)))</f>
        <v>0</v>
      </c>
      <c r="AB25" s="799">
        <f>(AA25+AB157)*(1-IFERROR(IF(AB$2+$F25&lt;=12,SUMIFS('Attrition Modeling'!$D:$D,'Attrition Modeling'!$B:$B,'IP Attrition'!$D25,'Attrition Modeling'!$C:$C,'IP Attrition'!AB$1),VLOOKUP($F25+AB$2,$A$6:$C$106,2,FALSE)*VLOOKUP(AB$1,'Attrition Modeling'!$L$15:$N$27,IF(AB$2+$F25&lt;=24,2,3),FALSE)),$C$3)*(1+Projection!AD$16)*(1+IF(AB157&gt;0,'Attrition Modeling'!$N$9,0)))</f>
        <v>0</v>
      </c>
      <c r="AC25" s="799">
        <f>(AB25+AC157)*(1-IFERROR(IF(AC$2+$F25&lt;=12,SUMIFS('Attrition Modeling'!$D:$D,'Attrition Modeling'!$B:$B,'IP Attrition'!$D25,'Attrition Modeling'!$C:$C,'IP Attrition'!AC$1),VLOOKUP($F25+AC$2,$A$6:$C$106,2,FALSE)*VLOOKUP(AC$1,'Attrition Modeling'!$L$15:$N$27,IF(AC$2+$F25&lt;=24,2,3),FALSE)),$C$3)*(1+Projection!AE$16)*(1+IF(AC157&gt;0,'Attrition Modeling'!$N$9,0)))</f>
        <v>0</v>
      </c>
      <c r="AD25" s="799">
        <f>(AC25+AD157)*(1-IFERROR(IF(AD$2+$F25&lt;=12,SUMIFS('Attrition Modeling'!$D:$D,'Attrition Modeling'!$B:$B,'IP Attrition'!$D25,'Attrition Modeling'!$C:$C,'IP Attrition'!AD$1),VLOOKUP($F25+AD$2,$A$6:$C$106,2,FALSE)*VLOOKUP(AD$1,'Attrition Modeling'!$L$15:$N$27,IF(AD$2+$F25&lt;=24,2,3),FALSE)),$C$3)*(1+Projection!AF$16)*(1+IF(AD157&gt;0,'Attrition Modeling'!$N$9,0)))</f>
        <v>0</v>
      </c>
      <c r="AE25" s="799">
        <f>(AD25+AE157)*(1-IFERROR(IF(AE$2+$F25&lt;=12,SUMIFS('Attrition Modeling'!$D:$D,'Attrition Modeling'!$B:$B,'IP Attrition'!$D25,'Attrition Modeling'!$C:$C,'IP Attrition'!AE$1),VLOOKUP($F25+AE$2,$A$6:$C$106,2,FALSE)*VLOOKUP(AE$1,'Attrition Modeling'!$L$15:$N$27,IF(AE$2+$F25&lt;=24,2,3),FALSE)),$C$3)*(1+Projection!AG$16)*(1+IF(AE157&gt;0,'Attrition Modeling'!$N$9,0)))</f>
        <v>0</v>
      </c>
      <c r="AF25" s="799">
        <f>(AE25+AF157)*(1-IFERROR(IF(AF$2+$F25&lt;=12,SUMIFS('Attrition Modeling'!$D:$D,'Attrition Modeling'!$B:$B,'IP Attrition'!$D25,'Attrition Modeling'!$C:$C,'IP Attrition'!AF$1),VLOOKUP($F25+AF$2,$A$6:$C$106,2,FALSE)*VLOOKUP(AF$1,'Attrition Modeling'!$L$15:$N$27,IF(AF$2+$F25&lt;=24,2,3),FALSE)),$C$3)*(1+Projection!AH$16)*(1+IF(AF157&gt;0,'Attrition Modeling'!$N$9,0)))</f>
        <v>0</v>
      </c>
      <c r="AG25" s="799">
        <f>(AF25+AG157)*(1-IFERROR(IF(AG$2+$F25&lt;=12,SUMIFS('Attrition Modeling'!$D:$D,'Attrition Modeling'!$B:$B,'IP Attrition'!$D25,'Attrition Modeling'!$C:$C,'IP Attrition'!AG$1),VLOOKUP($F25+AG$2,$A$6:$C$106,2,FALSE)*VLOOKUP(AG$1,'Attrition Modeling'!$L$15:$N$27,IF(AG$2+$F25&lt;=24,2,3),FALSE)),$C$3)*(1+Projection!AI$16)*(1+IF(AG157&gt;0,'Attrition Modeling'!$N$9,0)))</f>
        <v>0</v>
      </c>
      <c r="AH25" s="799">
        <f>(AG25+AH157)*(1-IFERROR(IF(AH$2+$F25&lt;=12,SUMIFS('Attrition Modeling'!$D:$D,'Attrition Modeling'!$B:$B,'IP Attrition'!$D25,'Attrition Modeling'!$C:$C,'IP Attrition'!AH$1),VLOOKUP($F25+AH$2,$A$6:$C$106,2,FALSE)*VLOOKUP(AH$1,'Attrition Modeling'!$L$15:$N$27,IF(AH$2+$F25&lt;=24,2,3),FALSE)),$C$3)*(1+Projection!AJ$16)*(1+IF(AH157&gt;0,'Attrition Modeling'!$N$9,0)))</f>
        <v>0</v>
      </c>
      <c r="AI25" s="799">
        <f>(AH25+AI157)*(1-IFERROR(IF(AI$2+$F25&lt;=12,SUMIFS('Attrition Modeling'!$D:$D,'Attrition Modeling'!$B:$B,'IP Attrition'!$D25,'Attrition Modeling'!$C:$C,'IP Attrition'!AI$1),VLOOKUP($F25+AI$2,$A$6:$C$106,2,FALSE)*VLOOKUP(AI$1,'Attrition Modeling'!$L$15:$N$27,IF(AI$2+$F25&lt;=24,2,3),FALSE)),$C$3)*(1+Projection!AK$16)*(1+IF(AI157&gt;0,'Attrition Modeling'!$N$9,0)))</f>
        <v>0</v>
      </c>
      <c r="AJ25" s="799">
        <f>(AI25+AJ157)*(1-IFERROR(IF(AJ$2+$F25&lt;=12,SUMIFS('Attrition Modeling'!$D:$D,'Attrition Modeling'!$B:$B,'IP Attrition'!$D25,'Attrition Modeling'!$C:$C,'IP Attrition'!AJ$1),VLOOKUP($F25+AJ$2,$A$6:$C$106,2,FALSE)*VLOOKUP(AJ$1,'Attrition Modeling'!$L$15:$N$27,IF(AJ$2+$F25&lt;=24,2,3),FALSE)),$C$3)*(1+Projection!AL$16)*(1+IF(AJ157&gt;0,'Attrition Modeling'!$N$9,0)))</f>
        <v>0</v>
      </c>
      <c r="AK25" s="799">
        <f>(AJ25+AK157)*(1-IFERROR(IF(AK$2+$F25&lt;=12,SUMIFS('Attrition Modeling'!$D:$D,'Attrition Modeling'!$B:$B,'IP Attrition'!$D25,'Attrition Modeling'!$C:$C,'IP Attrition'!AK$1),VLOOKUP($F25+AK$2,$A$6:$C$106,2,FALSE)*VLOOKUP(AK$1,'Attrition Modeling'!$L$15:$N$27,IF(AK$2+$F25&lt;=24,2,3),FALSE)),$C$3)*(1+Projection!AM$16)*(1+IF(AK157&gt;0,'Attrition Modeling'!$N$9,0)))</f>
        <v>0</v>
      </c>
      <c r="AL25" s="799">
        <f>(AK25+AL157)*(1-IFERROR(IF(AL$2+$F25&lt;=12,SUMIFS('Attrition Modeling'!$D:$D,'Attrition Modeling'!$B:$B,'IP Attrition'!$D25,'Attrition Modeling'!$C:$C,'IP Attrition'!AL$1),VLOOKUP($F25+AL$2,$A$6:$C$106,2,FALSE)*VLOOKUP(AL$1,'Attrition Modeling'!$L$15:$N$27,IF(AL$2+$F25&lt;=24,2,3),FALSE)),$C$3)*(1+Projection!AN$16)*(1+IF(AL157&gt;0,'Attrition Modeling'!$N$9,0)))</f>
        <v>0</v>
      </c>
      <c r="AM25" s="799">
        <f>(AL25+AM157)*(1-IFERROR(IF(AM$2+$F25&lt;=12,SUMIFS('Attrition Modeling'!$D:$D,'Attrition Modeling'!$B:$B,'IP Attrition'!$D25,'Attrition Modeling'!$C:$C,'IP Attrition'!AM$1),VLOOKUP($F25+AM$2,$A$6:$C$106,2,FALSE)*VLOOKUP(AM$1,'Attrition Modeling'!$L$15:$N$27,IF(AM$2+$F25&lt;=24,2,3),FALSE)),$C$3)*(1+Projection!AO$16)*(1+IF(AM157&gt;0,'Attrition Modeling'!$N$9,0)))</f>
        <v>0</v>
      </c>
      <c r="AN25" s="799">
        <f>(AM25+AN157)*(1-IFERROR(IF(AN$2+$F25&lt;=12,SUMIFS('Attrition Modeling'!$D:$D,'Attrition Modeling'!$B:$B,'IP Attrition'!$D25,'Attrition Modeling'!$C:$C,'IP Attrition'!AN$1),VLOOKUP($F25+AN$2,$A$6:$C$106,2,FALSE)*VLOOKUP(AN$1,'Attrition Modeling'!$L$15:$N$27,IF(AN$2+$F25&lt;=24,2,3),FALSE)),$C$3)*(1+Projection!AP$16)*(1+IF(AN157&gt;0,'Attrition Modeling'!$N$9,0)))</f>
        <v>0</v>
      </c>
      <c r="AO25" s="799">
        <f>(AN25+AO157)*(1-IFERROR(IF(AO$2+$F25&lt;=12,SUMIFS('Attrition Modeling'!$D:$D,'Attrition Modeling'!$B:$B,'IP Attrition'!$D25,'Attrition Modeling'!$C:$C,'IP Attrition'!AO$1),VLOOKUP($F25+AO$2,$A$6:$C$106,2,FALSE)*VLOOKUP(AO$1,'Attrition Modeling'!$L$15:$N$27,IF(AO$2+$F25&lt;=24,2,3),FALSE)),$C$3)*(1+Projection!AQ$16)*(1+IF(AO157&gt;0,'Attrition Modeling'!$N$9,0)))</f>
        <v>0</v>
      </c>
      <c r="AP25" s="799">
        <f>(AO25+AP157)*(1-IFERROR(IF(AP$2+$F25&lt;=12,SUMIFS('Attrition Modeling'!$D:$D,'Attrition Modeling'!$B:$B,'IP Attrition'!$D25,'Attrition Modeling'!$C:$C,'IP Attrition'!AP$1),VLOOKUP($F25+AP$2,$A$6:$C$106,2,FALSE)*VLOOKUP(AP$1,'Attrition Modeling'!$L$15:$N$27,IF(AP$2+$F25&lt;=24,2,3),FALSE)),$C$3)*(1+Projection!AR$16)*(1+IF(AP157&gt;0,'Attrition Modeling'!$N$9,0)))</f>
        <v>0</v>
      </c>
      <c r="AQ25" s="799">
        <f>(AP25+AQ157)*(1-IFERROR(IF(AQ$2+$F25&lt;=12,SUMIFS('Attrition Modeling'!$D:$D,'Attrition Modeling'!$B:$B,'IP Attrition'!$D25,'Attrition Modeling'!$C:$C,'IP Attrition'!AQ$1),VLOOKUP($F25+AQ$2,$A$6:$C$106,2,FALSE)*VLOOKUP(AQ$1,'Attrition Modeling'!$L$15:$N$27,IF(AQ$2+$F25&lt;=24,2,3),FALSE)),$C$3)*(1+Projection!AS$16)*(1+IF(AQ157&gt;0,'Attrition Modeling'!$N$9,0)))</f>
        <v>0</v>
      </c>
      <c r="AR25" s="799">
        <f>(AQ25+AR157)*(1-IFERROR(IF(AR$2+$F25&lt;=12,SUMIFS('Attrition Modeling'!$D:$D,'Attrition Modeling'!$B:$B,'IP Attrition'!$D25,'Attrition Modeling'!$C:$C,'IP Attrition'!AR$1),VLOOKUP($F25+AR$2,$A$6:$C$106,2,FALSE)*VLOOKUP(AR$1,'Attrition Modeling'!$L$15:$N$27,IF(AR$2+$F25&lt;=24,2,3),FALSE)),$C$3)*(1+Projection!AT$16)*(1+IF(AR157&gt;0,'Attrition Modeling'!$N$9,0)))</f>
        <v>0</v>
      </c>
      <c r="AS25" s="799">
        <f>(AR25+AS157)*(1-IFERROR(IF(AS$2+$F25&lt;=12,SUMIFS('Attrition Modeling'!$D:$D,'Attrition Modeling'!$B:$B,'IP Attrition'!$D25,'Attrition Modeling'!$C:$C,'IP Attrition'!AS$1),VLOOKUP($F25+AS$2,$A$6:$C$106,2,FALSE)*VLOOKUP(AS$1,'Attrition Modeling'!$L$15:$N$27,IF(AS$2+$F25&lt;=24,2,3),FALSE)),$C$3)*(1+Projection!AU$16)*(1+IF(AS157&gt;0,'Attrition Modeling'!$N$9,0)))</f>
        <v>0</v>
      </c>
      <c r="AT25" s="799">
        <f>(AS25+AT157)*(1-IFERROR(IF(AT$2+$F25&lt;=12,SUMIFS('Attrition Modeling'!$D:$D,'Attrition Modeling'!$B:$B,'IP Attrition'!$D25,'Attrition Modeling'!$C:$C,'IP Attrition'!AT$1),VLOOKUP($F25+AT$2,$A$6:$C$106,2,FALSE)*VLOOKUP(AT$1,'Attrition Modeling'!$L$15:$N$27,IF(AT$2+$F25&lt;=24,2,3),FALSE)),$C$3)*(1+Projection!AV$16)*(1+IF(AT157&gt;0,'Attrition Modeling'!$N$9,0)))</f>
        <v>0</v>
      </c>
      <c r="AU25" s="799">
        <f>(AT25+AU157)*(1-IFERROR(IF(AU$2+$F25&lt;=12,SUMIFS('Attrition Modeling'!$D:$D,'Attrition Modeling'!$B:$B,'IP Attrition'!$D25,'Attrition Modeling'!$C:$C,'IP Attrition'!AU$1),VLOOKUP($F25+AU$2,$A$6:$C$106,2,FALSE)*VLOOKUP(AU$1,'Attrition Modeling'!$L$15:$N$27,IF(AU$2+$F25&lt;=24,2,3),FALSE)),$C$3)*(1+Projection!AW$16)*(1+IF(AU157&gt;0,'Attrition Modeling'!$N$9,0)))</f>
        <v>0</v>
      </c>
      <c r="AV25" s="799">
        <f>(AU25+AV157)*(1-IFERROR(IF(AV$2+$F25&lt;=12,SUMIFS('Attrition Modeling'!$D:$D,'Attrition Modeling'!$B:$B,'IP Attrition'!$D25,'Attrition Modeling'!$C:$C,'IP Attrition'!AV$1),VLOOKUP($F25+AV$2,$A$6:$C$106,2,FALSE)*VLOOKUP(AV$1,'Attrition Modeling'!$L$15:$N$27,IF(AV$2+$F25&lt;=24,2,3),FALSE)),$C$3)*(1+Projection!AX$16)*(1+IF(AV157&gt;0,'Attrition Modeling'!$N$9,0)))</f>
        <v>0</v>
      </c>
      <c r="AW25" s="799">
        <f>(AV25+AW157)*(1-IFERROR(IF(AW$2+$F25&lt;=12,SUMIFS('Attrition Modeling'!$D:$D,'Attrition Modeling'!$B:$B,'IP Attrition'!$D25,'Attrition Modeling'!$C:$C,'IP Attrition'!AW$1),VLOOKUP($F25+AW$2,$A$6:$C$106,2,FALSE)*VLOOKUP(AW$1,'Attrition Modeling'!$L$15:$N$27,IF(AW$2+$F25&lt;=24,2,3),FALSE)),$C$3)*(1+Projection!AY$16)*(1+IF(AW157&gt;0,'Attrition Modeling'!$N$9,0)))</f>
        <v>0</v>
      </c>
      <c r="AX25" s="799">
        <f>(AW25+AX157)*(1-IFERROR(IF(AX$2+$F25&lt;=12,SUMIFS('Attrition Modeling'!$D:$D,'Attrition Modeling'!$B:$B,'IP Attrition'!$D25,'Attrition Modeling'!$C:$C,'IP Attrition'!AX$1),VLOOKUP($F25+AX$2,$A$6:$C$106,2,FALSE)*VLOOKUP(AX$1,'Attrition Modeling'!$L$15:$N$27,IF(AX$2+$F25&lt;=24,2,3),FALSE)),$C$3)*(1+Projection!AZ$16)*(1+IF(AX157&gt;0,'Attrition Modeling'!$N$9,0)))</f>
        <v>0</v>
      </c>
      <c r="AY25" s="799">
        <f>(AX25+AY157)*(1-IFERROR(IF(AY$2+$F25&lt;=12,SUMIFS('Attrition Modeling'!$D:$D,'Attrition Modeling'!$B:$B,'IP Attrition'!$D25,'Attrition Modeling'!$C:$C,'IP Attrition'!AY$1),VLOOKUP($F25+AY$2,$A$6:$C$106,2,FALSE)*VLOOKUP(AY$1,'Attrition Modeling'!$L$15:$N$27,IF(AY$2+$F25&lt;=24,2,3),FALSE)),$C$3)*(1+Projection!BA$16)*(1+IF(AY157&gt;0,'Attrition Modeling'!$N$9,0)))</f>
        <v>0</v>
      </c>
      <c r="AZ25" s="799">
        <f>(AY25+AZ157)*(1-IFERROR(IF(AZ$2+$F25&lt;=12,SUMIFS('Attrition Modeling'!$D:$D,'Attrition Modeling'!$B:$B,'IP Attrition'!$D25,'Attrition Modeling'!$C:$C,'IP Attrition'!AZ$1),VLOOKUP($F25+AZ$2,$A$6:$C$106,2,FALSE)*VLOOKUP(AZ$1,'Attrition Modeling'!$L$15:$N$27,IF(AZ$2+$F25&lt;=24,2,3),FALSE)),$C$3)*(1+Projection!BB$16)*(1+IF(AZ157&gt;0,'Attrition Modeling'!$N$9,0)))</f>
        <v>0</v>
      </c>
      <c r="BA25" s="799">
        <f>(AZ25+BA157)*(1-IFERROR(IF(BA$2+$F25&lt;=12,SUMIFS('Attrition Modeling'!$D:$D,'Attrition Modeling'!$B:$B,'IP Attrition'!$D25,'Attrition Modeling'!$C:$C,'IP Attrition'!BA$1),VLOOKUP($F25+BA$2,$A$6:$C$106,2,FALSE)*VLOOKUP(BA$1,'Attrition Modeling'!$L$15:$N$27,IF(BA$2+$F25&lt;=24,2,3),FALSE)),$C$3)*(1+Projection!BC$16)*(1+IF(BA157&gt;0,'Attrition Modeling'!$N$9,0)))</f>
        <v>0</v>
      </c>
      <c r="BB25" s="799">
        <f>(BA25+BB157)*(1-IFERROR(IF(BB$2+$F25&lt;=12,SUMIFS('Attrition Modeling'!$D:$D,'Attrition Modeling'!$B:$B,'IP Attrition'!$D25,'Attrition Modeling'!$C:$C,'IP Attrition'!BB$1),VLOOKUP($F25+BB$2,$A$6:$C$106,2,FALSE)*VLOOKUP(BB$1,'Attrition Modeling'!$L$15:$N$27,IF(BB$2+$F25&lt;=24,2,3),FALSE)),$C$3)*(1+Projection!BD$16)*(1+IF(BB157&gt;0,'Attrition Modeling'!$N$9,0)))</f>
        <v>0</v>
      </c>
      <c r="BC25" s="799">
        <f>(BB25+BC157)*(1-IFERROR(IF(BC$2+$F25&lt;=12,SUMIFS('Attrition Modeling'!$D:$D,'Attrition Modeling'!$B:$B,'IP Attrition'!$D25,'Attrition Modeling'!$C:$C,'IP Attrition'!BC$1),VLOOKUP($F25+BC$2,$A$6:$C$106,2,FALSE)*VLOOKUP(BC$1,'Attrition Modeling'!$L$15:$N$27,IF(BC$2+$F25&lt;=24,2,3),FALSE)),$C$3)*(1+Projection!BE$16)*(1+IF(BC157&gt;0,'Attrition Modeling'!$N$9,0)))</f>
        <v>0</v>
      </c>
      <c r="BD25" s="799">
        <f>(BC25+BD157)*(1-IFERROR(IF(BD$2+$F25&lt;=12,SUMIFS('Attrition Modeling'!$D:$D,'Attrition Modeling'!$B:$B,'IP Attrition'!$D25,'Attrition Modeling'!$C:$C,'IP Attrition'!BD$1),VLOOKUP($F25+BD$2,$A$6:$C$106,2,FALSE)*VLOOKUP(BD$1,'Attrition Modeling'!$L$15:$N$27,IF(BD$2+$F25&lt;=24,2,3),FALSE)),$C$3)*(1+Projection!BF$16)*(1+IF(BD157&gt;0,'Attrition Modeling'!$N$9,0)))</f>
        <v>0</v>
      </c>
      <c r="BE25" s="799">
        <f>(BD25+BE157)*(1-IFERROR(IF(BE$2+$F25&lt;=12,SUMIFS('Attrition Modeling'!$D:$D,'Attrition Modeling'!$B:$B,'IP Attrition'!$D25,'Attrition Modeling'!$C:$C,'IP Attrition'!BE$1),VLOOKUP($F25+BE$2,$A$6:$C$106,2,FALSE)*VLOOKUP(BE$1,'Attrition Modeling'!$L$15:$N$27,IF(BE$2+$F25&lt;=24,2,3),FALSE)),$C$3)*(1+Projection!BG$16)*(1+IF(BE157&gt;0,'Attrition Modeling'!$N$9,0)))</f>
        <v>0</v>
      </c>
      <c r="BF25" s="799">
        <f>(BE25+BF157)*(1-IFERROR(IF(BF$2+$F25&lt;=12,SUMIFS('Attrition Modeling'!$D:$D,'Attrition Modeling'!$B:$B,'IP Attrition'!$D25,'Attrition Modeling'!$C:$C,'IP Attrition'!BF$1),VLOOKUP($F25+BF$2,$A$6:$C$106,2,FALSE)*VLOOKUP(BF$1,'Attrition Modeling'!$L$15:$N$27,IF(BF$2+$F25&lt;=24,2,3),FALSE)),$C$3)*(1+Projection!BH$16)*(1+IF(BF157&gt;0,'Attrition Modeling'!$N$9,0)))</f>
        <v>0</v>
      </c>
      <c r="BG25" s="799">
        <f>(BF25+BG157)*(1-IFERROR(IF(BG$2+$F25&lt;=12,SUMIFS('Attrition Modeling'!$D:$D,'Attrition Modeling'!$B:$B,'IP Attrition'!$D25,'Attrition Modeling'!$C:$C,'IP Attrition'!BG$1),VLOOKUP($F25+BG$2,$A$6:$C$106,2,FALSE)*VLOOKUP(BG$1,'Attrition Modeling'!$L$15:$N$27,IF(BG$2+$F25&lt;=24,2,3),FALSE)),$C$3)*(1+Projection!BI$16)*(1+IF(BG157&gt;0,'Attrition Modeling'!$N$9,0)))</f>
        <v>0</v>
      </c>
      <c r="BH25" s="799">
        <f>(BG25+BH157)*(1-IFERROR(IF(BH$2+$F25&lt;=12,SUMIFS('Attrition Modeling'!$D:$D,'Attrition Modeling'!$B:$B,'IP Attrition'!$D25,'Attrition Modeling'!$C:$C,'IP Attrition'!BH$1),VLOOKUP($F25+BH$2,$A$6:$C$106,2,FALSE)*VLOOKUP(BH$1,'Attrition Modeling'!$L$15:$N$27,IF(BH$2+$F25&lt;=24,2,3),FALSE)),$C$3)*(1+Projection!BJ$16)*(1+IF(BH157&gt;0,'Attrition Modeling'!$N$9,0)))</f>
        <v>0</v>
      </c>
      <c r="BI25" s="799">
        <f>(BH25+BI157)*(1-IFERROR(IF(BI$2+$F25&lt;=12,SUMIFS('Attrition Modeling'!$D:$D,'Attrition Modeling'!$B:$B,'IP Attrition'!$D25,'Attrition Modeling'!$C:$C,'IP Attrition'!BI$1),VLOOKUP($F25+BI$2,$A$6:$C$106,2,FALSE)*VLOOKUP(BI$1,'Attrition Modeling'!$L$15:$N$27,IF(BI$2+$F25&lt;=24,2,3),FALSE)),$C$3)*(1+Projection!BK$16)*(1+IF(BI157&gt;0,'Attrition Modeling'!$N$9,0)))</f>
        <v>0</v>
      </c>
      <c r="BJ25" s="799">
        <f>(BI25+BJ157)*(1-IFERROR(IF(BJ$2+$F25&lt;=12,SUMIFS('Attrition Modeling'!$D:$D,'Attrition Modeling'!$B:$B,'IP Attrition'!$D25,'Attrition Modeling'!$C:$C,'IP Attrition'!BJ$1),VLOOKUP($F25+BJ$2,$A$6:$C$106,2,FALSE)*VLOOKUP(BJ$1,'Attrition Modeling'!$L$15:$N$27,IF(BJ$2+$F25&lt;=24,2,3),FALSE)),$C$3)*(1+Projection!BL$16)*(1+IF(BJ157&gt;0,'Attrition Modeling'!$N$9,0)))</f>
        <v>0</v>
      </c>
      <c r="BK25" s="799">
        <f>(BJ25+BK157)*(1-IFERROR(IF(BK$2+$F25&lt;=12,SUMIFS('Attrition Modeling'!$D:$D,'Attrition Modeling'!$B:$B,'IP Attrition'!$D25,'Attrition Modeling'!$C:$C,'IP Attrition'!BK$1),VLOOKUP($F25+BK$2,$A$6:$C$106,2,FALSE)*VLOOKUP(BK$1,'Attrition Modeling'!$L$15:$N$27,IF(BK$2+$F25&lt;=24,2,3),FALSE)),$C$3)*(1+Projection!BM$16)*(1+IF(BK157&gt;0,'Attrition Modeling'!$N$9,0)))</f>
        <v>0</v>
      </c>
      <c r="BL25" s="799">
        <f>(BK25+BL157)*(1-IFERROR(IF(BL$2+$F25&lt;=12,SUMIFS('Attrition Modeling'!$D:$D,'Attrition Modeling'!$B:$B,'IP Attrition'!$D25,'Attrition Modeling'!$C:$C,'IP Attrition'!BL$1),VLOOKUP($F25+BL$2,$A$6:$C$106,2,FALSE)*VLOOKUP(BL$1,'Attrition Modeling'!$L$15:$N$27,IF(BL$2+$F25&lt;=24,2,3),FALSE)),$C$3)*(1+Projection!BN$16)*(1+IF(BL157&gt;0,'Attrition Modeling'!$N$9,0)))</f>
        <v>0</v>
      </c>
      <c r="BM25" s="799">
        <f>(BL25+BM157)*(1-IFERROR(IF(BM$2+$F25&lt;=12,SUMIFS('Attrition Modeling'!$D:$D,'Attrition Modeling'!$B:$B,'IP Attrition'!$D25,'Attrition Modeling'!$C:$C,'IP Attrition'!BM$1),VLOOKUP($F25+BM$2,$A$6:$C$106,2,FALSE)*VLOOKUP(BM$1,'Attrition Modeling'!$L$15:$N$27,IF(BM$2+$F25&lt;=24,2,3),FALSE)),$C$3)*(1+Projection!BO$16)*(1+IF(BM157&gt;0,'Attrition Modeling'!$N$9,0)))</f>
        <v>0</v>
      </c>
      <c r="BN25" s="799">
        <f>(BM25+BN157)*(1-IFERROR(IF(BN$2+$F25&lt;=12,SUMIFS('Attrition Modeling'!$D:$D,'Attrition Modeling'!$B:$B,'IP Attrition'!$D25,'Attrition Modeling'!$C:$C,'IP Attrition'!BN$1),VLOOKUP($F25+BN$2,$A$6:$C$106,2,FALSE)*VLOOKUP(BN$1,'Attrition Modeling'!$L$15:$N$27,IF(BN$2+$F25&lt;=24,2,3),FALSE)),$C$3)*(1+Projection!BP$16)*(1+IF(BN157&gt;0,'Attrition Modeling'!$N$9,0)))</f>
        <v>0</v>
      </c>
      <c r="BO25" s="799">
        <f>(BN25+BO157)*(1-IFERROR(IF(BO$2+$F25&lt;=12,SUMIFS('Attrition Modeling'!$D:$D,'Attrition Modeling'!$B:$B,'IP Attrition'!$D25,'Attrition Modeling'!$C:$C,'IP Attrition'!BO$1),VLOOKUP($F25+BO$2,$A$6:$C$106,2,FALSE)*VLOOKUP(BO$1,'Attrition Modeling'!$L$15:$N$27,IF(BO$2+$F25&lt;=24,2,3),FALSE)),$C$3)*(1+Projection!BV$16)*(1+IF(BO157&gt;0,'Attrition Modeling'!$N$9,0)))</f>
        <v>0</v>
      </c>
      <c r="BP25" s="799">
        <f>(BO25+BP157)*(1-IFERROR(IF(BP$2+$F25&lt;=12,SUMIFS('Attrition Modeling'!$D:$D,'Attrition Modeling'!$B:$B,'IP Attrition'!$D25,'Attrition Modeling'!$C:$C,'IP Attrition'!BP$1),VLOOKUP($F25+BP$2,$A$6:$C$106,2,FALSE)*VLOOKUP(BP$1,'Attrition Modeling'!$L$15:$N$27,IF(BP$2+$F25&lt;=24,2,3),FALSE)),$C$3)*(1+Projection!BW$16)*(1+IF(BP157&gt;0,'Attrition Modeling'!$N$9,0)))</f>
        <v>0</v>
      </c>
      <c r="BQ25" s="799">
        <f>(BP25+BQ157)*(1-IFERROR(IF(BQ$2+$F25&lt;=12,SUMIFS('Attrition Modeling'!$D:$D,'Attrition Modeling'!$B:$B,'IP Attrition'!$D25,'Attrition Modeling'!$C:$C,'IP Attrition'!BQ$1),VLOOKUP($F25+BQ$2,$A$6:$C$106,2,FALSE)*VLOOKUP(BQ$1,'Attrition Modeling'!$L$15:$N$27,IF(BQ$2+$F25&lt;=24,2,3),FALSE)),$C$3)*(1+Projection!BX$16)*(1+IF(BQ157&gt;0,'Attrition Modeling'!$N$9,0)))</f>
        <v>0</v>
      </c>
      <c r="BR25" s="799">
        <f>(BQ25+BR157)*(1-IFERROR(IF(BR$2+$F25&lt;=12,SUMIFS('Attrition Modeling'!$D:$D,'Attrition Modeling'!$B:$B,'IP Attrition'!$D25,'Attrition Modeling'!$C:$C,'IP Attrition'!BR$1),VLOOKUP($F25+BR$2,$A$6:$C$106,2,FALSE)*VLOOKUP(BR$1,'Attrition Modeling'!$L$15:$N$27,IF(BR$2+$F25&lt;=24,2,3),FALSE)),$C$3)*(1+Projection!BY$16)*(1+IF(BR157&gt;0,'Attrition Modeling'!$N$9,0)))</f>
        <v>0</v>
      </c>
      <c r="BS25" s="799">
        <f>(BR25+BS157)*(1-IFERROR(IF(BS$2+$F25&lt;=12,SUMIFS('Attrition Modeling'!$D:$D,'Attrition Modeling'!$B:$B,'IP Attrition'!$D25,'Attrition Modeling'!$C:$C,'IP Attrition'!BS$1),VLOOKUP($F25+BS$2,$A$6:$C$106,2,FALSE)*VLOOKUP(BS$1,'Attrition Modeling'!$L$15:$N$27,IF(BS$2+$F25&lt;=24,2,3),FALSE)),$C$3)*(1+Projection!BZ$16)*(1+IF(BS157&gt;0,'Attrition Modeling'!$N$9,0)))</f>
        <v>0</v>
      </c>
      <c r="BT25" s="799" t="e">
        <f>(BS25+BT157)*(1-IFERROR(IF(BT$2+$F25&lt;=12,SUMIFS('Attrition Modeling'!$D:$D,'Attrition Modeling'!$B:$B,'IP Attrition'!$D25,'Attrition Modeling'!$C:$C,'IP Attrition'!BT$1),VLOOKUP($F25+BT$2,$A$6:$C$106,2,FALSE)*VLOOKUP(BT$1,'Attrition Modeling'!$L$15:$N$27,IF(BT$2+$F25&lt;=24,2,3),FALSE)),$C$3)*(1+Projection!CA$16)*(1+IF(BT157&gt;0,'Attrition Modeling'!$N$9,0)))</f>
        <v>#REF!</v>
      </c>
      <c r="BU25" s="799" t="e">
        <f>(BT25+BU157)*(1-IFERROR(IF(BU$2+$F25&lt;=12,SUMIFS('Attrition Modeling'!$D:$D,'Attrition Modeling'!$B:$B,'IP Attrition'!$D25,'Attrition Modeling'!$C:$C,'IP Attrition'!BU$1),VLOOKUP($F25+BU$2,$A$6:$C$106,2,FALSE)*VLOOKUP(BU$1,'Attrition Modeling'!$L$15:$N$27,IF(BU$2+$F25&lt;=24,2,3),FALSE)),$C$3)*(1+Projection!CB$16)*(1+IF(BU157&gt;0,'Attrition Modeling'!$N$9,0)))</f>
        <v>#REF!</v>
      </c>
    </row>
    <row r="26" spans="1:73" ht="14.25" customHeight="1" x14ac:dyDescent="0.2">
      <c r="A26" s="9">
        <v>19</v>
      </c>
      <c r="B26" s="25">
        <f>MAX('Attrition Modeling'!H23,$C$3)*(1-Summary!$C$20)</f>
        <v>4.1868967405686693E-2</v>
      </c>
      <c r="C26" s="24" t="e">
        <f t="shared" si="3"/>
        <v>#DIV/0!</v>
      </c>
      <c r="D26" s="11">
        <f t="shared" si="1"/>
        <v>-23</v>
      </c>
      <c r="E26" s="807">
        <f t="array" ref="E26">INDEX('Attrition Modeling'!$X$2:$AF$63,MATCH($F26,'Attrition Modeling'!$X$2:$X$63,0),MATCH(Inputs!$C$10,'Attrition Modeling'!$X$2:$AF$2,0))</f>
        <v>0</v>
      </c>
      <c r="F26" s="11">
        <f t="shared" si="2"/>
        <v>23</v>
      </c>
      <c r="G26" s="799">
        <f>Summary!$C$25*$E26</f>
        <v>0</v>
      </c>
      <c r="H26" s="799">
        <f>(G26+H158)*(1-IFERROR(IF(H$2+$F26&lt;=12,SUMIFS('Attrition Modeling'!$D:$D,'Attrition Modeling'!$B:$B,'IP Attrition'!$D26,'Attrition Modeling'!$C:$C,'IP Attrition'!H$1),VLOOKUP($F26+H$2,$A$6:$C$106,2,FALSE)*VLOOKUP(H$1,'Attrition Modeling'!$L$15:$N$27,IF(H$2+$F26&lt;=24,2,3),FALSE)),$C$3)*(1+Projection!J$16)*(1+IF(H158&gt;0,'Attrition Modeling'!$N$9,0)))</f>
        <v>0</v>
      </c>
      <c r="I26" s="799">
        <f>(H26+I158)*(1-IFERROR(IF(I$2+$F26&lt;=12,SUMIFS('Attrition Modeling'!$D:$D,'Attrition Modeling'!$B:$B,'IP Attrition'!$D26,'Attrition Modeling'!$C:$C,'IP Attrition'!I$1),VLOOKUP($F26+I$2,$A$6:$C$106,2,FALSE)*VLOOKUP(I$1,'Attrition Modeling'!$L$15:$N$27,IF(I$2+$F26&lt;=24,2,3),FALSE)),$C$3)*(1+Projection!K$16)*(1+IF(I158&gt;0,'Attrition Modeling'!$N$9,0)))</f>
        <v>0</v>
      </c>
      <c r="J26" s="799">
        <f>(I26+J158)*(1-IFERROR(IF(J$2+$F26&lt;=12,SUMIFS('Attrition Modeling'!$D:$D,'Attrition Modeling'!$B:$B,'IP Attrition'!$D26,'Attrition Modeling'!$C:$C,'IP Attrition'!J$1),VLOOKUP($F26+J$2,$A$6:$C$106,2,FALSE)*VLOOKUP(J$1,'Attrition Modeling'!$L$15:$N$27,IF(J$2+$F26&lt;=24,2,3),FALSE)),$C$3)*(1+Projection!L$16)*(1+IF(J158&gt;0,'Attrition Modeling'!$N$9,0)))</f>
        <v>0</v>
      </c>
      <c r="K26" s="799">
        <f>(J26+K158)*(1-IFERROR(IF(K$2+$F26&lt;=12,SUMIFS('Attrition Modeling'!$D:$D,'Attrition Modeling'!$B:$B,'IP Attrition'!$D26,'Attrition Modeling'!$C:$C,'IP Attrition'!K$1),VLOOKUP($F26+K$2,$A$6:$C$106,2,FALSE)*VLOOKUP(K$1,'Attrition Modeling'!$L$15:$N$27,IF(K$2+$F26&lt;=24,2,3),FALSE)),$C$3)*(1+Projection!M$16)*(1+IF(K158&gt;0,'Attrition Modeling'!$N$9,0)))</f>
        <v>0</v>
      </c>
      <c r="L26" s="799">
        <f>(K26+L158)*(1-IFERROR(IF(L$2+$F26&lt;=12,SUMIFS('Attrition Modeling'!$D:$D,'Attrition Modeling'!$B:$B,'IP Attrition'!$D26,'Attrition Modeling'!$C:$C,'IP Attrition'!L$1),VLOOKUP($F26+L$2,$A$6:$C$106,2,FALSE)*VLOOKUP(L$1,'Attrition Modeling'!$L$15:$N$27,IF(L$2+$F26&lt;=24,2,3),FALSE)),$C$3)*(1+Projection!N$16)*(1+IF(L158&gt;0,'Attrition Modeling'!$N$9,0)))</f>
        <v>0</v>
      </c>
      <c r="M26" s="799">
        <f>(L26+M158)*(1-IFERROR(IF(M$2+$F26&lt;=12,SUMIFS('Attrition Modeling'!$D:$D,'Attrition Modeling'!$B:$B,'IP Attrition'!$D26,'Attrition Modeling'!$C:$C,'IP Attrition'!M$1),VLOOKUP($F26+M$2,$A$6:$C$106,2,FALSE)*VLOOKUP(M$1,'Attrition Modeling'!$L$15:$N$27,IF(M$2+$F26&lt;=24,2,3),FALSE)),$C$3)*(1+Projection!O$16)*(1+IF(M158&gt;0,'Attrition Modeling'!$N$9,0)))</f>
        <v>0</v>
      </c>
      <c r="N26" s="799">
        <f>(M26+N158)*(1-IFERROR(IF(N$2+$F26&lt;=12,SUMIFS('Attrition Modeling'!$D:$D,'Attrition Modeling'!$B:$B,'IP Attrition'!$D26,'Attrition Modeling'!$C:$C,'IP Attrition'!N$1),VLOOKUP($F26+N$2,$A$6:$C$106,2,FALSE)*VLOOKUP(N$1,'Attrition Modeling'!$L$15:$N$27,IF(N$2+$F26&lt;=24,2,3),FALSE)),$C$3)*(1+Projection!P$16)*(1+IF(N158&gt;0,'Attrition Modeling'!$N$9,0)))</f>
        <v>0</v>
      </c>
      <c r="O26" s="799">
        <f>(N26+O158)*(1-IFERROR(IF(O$2+$F26&lt;=12,SUMIFS('Attrition Modeling'!$D:$D,'Attrition Modeling'!$B:$B,'IP Attrition'!$D26,'Attrition Modeling'!$C:$C,'IP Attrition'!O$1),VLOOKUP($F26+O$2,$A$6:$C$106,2,FALSE)*VLOOKUP(O$1,'Attrition Modeling'!$L$15:$N$27,IF(O$2+$F26&lt;=24,2,3),FALSE)),$C$3)*(1+Projection!Q$16)*(1+IF(O158&gt;0,'Attrition Modeling'!$N$9,0)))</f>
        <v>0</v>
      </c>
      <c r="P26" s="799">
        <f>(O26+P158)*(1-IFERROR(IF(P$2+$F26&lt;=12,SUMIFS('Attrition Modeling'!$D:$D,'Attrition Modeling'!$B:$B,'IP Attrition'!$D26,'Attrition Modeling'!$C:$C,'IP Attrition'!P$1),VLOOKUP($F26+P$2,$A$6:$C$106,2,FALSE)*VLOOKUP(P$1,'Attrition Modeling'!$L$15:$N$27,IF(P$2+$F26&lt;=24,2,3),FALSE)),$C$3)*(1+Projection!R$16)*(1+IF(P158&gt;0,'Attrition Modeling'!$N$9,0)))</f>
        <v>0</v>
      </c>
      <c r="Q26" s="799">
        <f>(P26+Q158)*(1-IFERROR(IF(Q$2+$F26&lt;=12,SUMIFS('Attrition Modeling'!$D:$D,'Attrition Modeling'!$B:$B,'IP Attrition'!$D26,'Attrition Modeling'!$C:$C,'IP Attrition'!Q$1),VLOOKUP($F26+Q$2,$A$6:$C$106,2,FALSE)*VLOOKUP(Q$1,'Attrition Modeling'!$L$15:$N$27,IF(Q$2+$F26&lt;=24,2,3),FALSE)),$C$3)*(1+Projection!S$16)*(1+IF(Q158&gt;0,'Attrition Modeling'!$N$9,0)))</f>
        <v>0</v>
      </c>
      <c r="R26" s="799">
        <f>(Q26+R158)*(1-IFERROR(IF(R$2+$F26&lt;=12,SUMIFS('Attrition Modeling'!$D:$D,'Attrition Modeling'!$B:$B,'IP Attrition'!$D26,'Attrition Modeling'!$C:$C,'IP Attrition'!R$1),VLOOKUP($F26+R$2,$A$6:$C$106,2,FALSE)*VLOOKUP(R$1,'Attrition Modeling'!$L$15:$N$27,IF(R$2+$F26&lt;=24,2,3),FALSE)),$C$3)*(1+Projection!T$16)*(1+IF(R158&gt;0,'Attrition Modeling'!$N$9,0)))</f>
        <v>0</v>
      </c>
      <c r="S26" s="799">
        <f>(R26+S158)*(1-IFERROR(IF(S$2+$F26&lt;=12,SUMIFS('Attrition Modeling'!$D:$D,'Attrition Modeling'!$B:$B,'IP Attrition'!$D26,'Attrition Modeling'!$C:$C,'IP Attrition'!S$1),VLOOKUP($F26+S$2,$A$6:$C$106,2,FALSE)*VLOOKUP(S$1,'Attrition Modeling'!$L$15:$N$27,IF(S$2+$F26&lt;=24,2,3),FALSE)),$C$3)*(1+Projection!U$16)*(1+IF(S158&gt;0,'Attrition Modeling'!$N$9,0)))</f>
        <v>0</v>
      </c>
      <c r="T26" s="799">
        <f>(S26+T158)*(1-IFERROR(IF(T$2+$F26&lt;=12,SUMIFS('Attrition Modeling'!$D:$D,'Attrition Modeling'!$B:$B,'IP Attrition'!$D26,'Attrition Modeling'!$C:$C,'IP Attrition'!T$1),VLOOKUP($F26+T$2,$A$6:$C$106,2,FALSE)*VLOOKUP(T$1,'Attrition Modeling'!$L$15:$N$27,IF(T$2+$F26&lt;=24,2,3),FALSE)),$C$3)*(1+Projection!V$16)*(1+IF(T158&gt;0,'Attrition Modeling'!$N$9,0)))</f>
        <v>0</v>
      </c>
      <c r="U26" s="799">
        <f>(T26+U158)*(1-IFERROR(IF(U$2+$F26&lt;=12,SUMIFS('Attrition Modeling'!$D:$D,'Attrition Modeling'!$B:$B,'IP Attrition'!$D26,'Attrition Modeling'!$C:$C,'IP Attrition'!U$1),VLOOKUP($F26+U$2,$A$6:$C$106,2,FALSE)*VLOOKUP(U$1,'Attrition Modeling'!$L$15:$N$27,IF(U$2+$F26&lt;=24,2,3),FALSE)),$C$3)*(1+Projection!W$16)*(1+IF(U158&gt;0,'Attrition Modeling'!$N$9,0)))</f>
        <v>0</v>
      </c>
      <c r="V26" s="799">
        <f>(U26+V158)*(1-IFERROR(IF(V$2+$F26&lt;=12,SUMIFS('Attrition Modeling'!$D:$D,'Attrition Modeling'!$B:$B,'IP Attrition'!$D26,'Attrition Modeling'!$C:$C,'IP Attrition'!V$1),VLOOKUP($F26+V$2,$A$6:$C$106,2,FALSE)*VLOOKUP(V$1,'Attrition Modeling'!$L$15:$N$27,IF(V$2+$F26&lt;=24,2,3),FALSE)),$C$3)*(1+Projection!X$16)*(1+IF(V158&gt;0,'Attrition Modeling'!$N$9,0)))</f>
        <v>0</v>
      </c>
      <c r="W26" s="799">
        <f>(V26+W158)*(1-IFERROR(IF(W$2+$F26&lt;=12,SUMIFS('Attrition Modeling'!$D:$D,'Attrition Modeling'!$B:$B,'IP Attrition'!$D26,'Attrition Modeling'!$C:$C,'IP Attrition'!W$1),VLOOKUP($F26+W$2,$A$6:$C$106,2,FALSE)*VLOOKUP(W$1,'Attrition Modeling'!$L$15:$N$27,IF(W$2+$F26&lt;=24,2,3),FALSE)),$C$3)*(1+Projection!Y$16)*(1+IF(W158&gt;0,'Attrition Modeling'!$N$9,0)))</f>
        <v>0</v>
      </c>
      <c r="X26" s="799">
        <f>(W26+X158)*(1-IFERROR(IF(X$2+$F26&lt;=12,SUMIFS('Attrition Modeling'!$D:$D,'Attrition Modeling'!$B:$B,'IP Attrition'!$D26,'Attrition Modeling'!$C:$C,'IP Attrition'!X$1),VLOOKUP($F26+X$2,$A$6:$C$106,2,FALSE)*VLOOKUP(X$1,'Attrition Modeling'!$L$15:$N$27,IF(X$2+$F26&lt;=24,2,3),FALSE)),$C$3)*(1+Projection!Z$16)*(1+IF(X158&gt;0,'Attrition Modeling'!$N$9,0)))</f>
        <v>0</v>
      </c>
      <c r="Y26" s="799">
        <f>(X26+Y158)*(1-IFERROR(IF(Y$2+$F26&lt;=12,SUMIFS('Attrition Modeling'!$D:$D,'Attrition Modeling'!$B:$B,'IP Attrition'!$D26,'Attrition Modeling'!$C:$C,'IP Attrition'!Y$1),VLOOKUP($F26+Y$2,$A$6:$C$106,2,FALSE)*VLOOKUP(Y$1,'Attrition Modeling'!$L$15:$N$27,IF(Y$2+$F26&lt;=24,2,3),FALSE)),$C$3)*(1+Projection!AA$16)*(1+IF(Y158&gt;0,'Attrition Modeling'!$N$9,0)))</f>
        <v>0</v>
      </c>
      <c r="Z26" s="799">
        <f>(Y26+Z158)*(1-IFERROR(IF(Z$2+$F26&lt;=12,SUMIFS('Attrition Modeling'!$D:$D,'Attrition Modeling'!$B:$B,'IP Attrition'!$D26,'Attrition Modeling'!$C:$C,'IP Attrition'!Z$1),VLOOKUP($F26+Z$2,$A$6:$C$106,2,FALSE)*VLOOKUP(Z$1,'Attrition Modeling'!$L$15:$N$27,IF(Z$2+$F26&lt;=24,2,3),FALSE)),$C$3)*(1+Projection!AB$16)*(1+IF(Z158&gt;0,'Attrition Modeling'!$N$9,0)))</f>
        <v>0</v>
      </c>
      <c r="AA26" s="799">
        <f>(Z26+AA158)*(1-IFERROR(IF(AA$2+$F26&lt;=12,SUMIFS('Attrition Modeling'!$D:$D,'Attrition Modeling'!$B:$B,'IP Attrition'!$D26,'Attrition Modeling'!$C:$C,'IP Attrition'!AA$1),VLOOKUP($F26+AA$2,$A$6:$C$106,2,FALSE)*VLOOKUP(AA$1,'Attrition Modeling'!$L$15:$N$27,IF(AA$2+$F26&lt;=24,2,3),FALSE)),$C$3)*(1+Projection!AC$16)*(1+IF(AA158&gt;0,'Attrition Modeling'!$N$9,0)))</f>
        <v>0</v>
      </c>
      <c r="AB26" s="799">
        <f>(AA26+AB158)*(1-IFERROR(IF(AB$2+$F26&lt;=12,SUMIFS('Attrition Modeling'!$D:$D,'Attrition Modeling'!$B:$B,'IP Attrition'!$D26,'Attrition Modeling'!$C:$C,'IP Attrition'!AB$1),VLOOKUP($F26+AB$2,$A$6:$C$106,2,FALSE)*VLOOKUP(AB$1,'Attrition Modeling'!$L$15:$N$27,IF(AB$2+$F26&lt;=24,2,3),FALSE)),$C$3)*(1+Projection!AD$16)*(1+IF(AB158&gt;0,'Attrition Modeling'!$N$9,0)))</f>
        <v>0</v>
      </c>
      <c r="AC26" s="799">
        <f>(AB26+AC158)*(1-IFERROR(IF(AC$2+$F26&lt;=12,SUMIFS('Attrition Modeling'!$D:$D,'Attrition Modeling'!$B:$B,'IP Attrition'!$D26,'Attrition Modeling'!$C:$C,'IP Attrition'!AC$1),VLOOKUP($F26+AC$2,$A$6:$C$106,2,FALSE)*VLOOKUP(AC$1,'Attrition Modeling'!$L$15:$N$27,IF(AC$2+$F26&lt;=24,2,3),FALSE)),$C$3)*(1+Projection!AE$16)*(1+IF(AC158&gt;0,'Attrition Modeling'!$N$9,0)))</f>
        <v>0</v>
      </c>
      <c r="AD26" s="799">
        <f>(AC26+AD158)*(1-IFERROR(IF(AD$2+$F26&lt;=12,SUMIFS('Attrition Modeling'!$D:$D,'Attrition Modeling'!$B:$B,'IP Attrition'!$D26,'Attrition Modeling'!$C:$C,'IP Attrition'!AD$1),VLOOKUP($F26+AD$2,$A$6:$C$106,2,FALSE)*VLOOKUP(AD$1,'Attrition Modeling'!$L$15:$N$27,IF(AD$2+$F26&lt;=24,2,3),FALSE)),$C$3)*(1+Projection!AF$16)*(1+IF(AD158&gt;0,'Attrition Modeling'!$N$9,0)))</f>
        <v>0</v>
      </c>
      <c r="AE26" s="799">
        <f>(AD26+AE158)*(1-IFERROR(IF(AE$2+$F26&lt;=12,SUMIFS('Attrition Modeling'!$D:$D,'Attrition Modeling'!$B:$B,'IP Attrition'!$D26,'Attrition Modeling'!$C:$C,'IP Attrition'!AE$1),VLOOKUP($F26+AE$2,$A$6:$C$106,2,FALSE)*VLOOKUP(AE$1,'Attrition Modeling'!$L$15:$N$27,IF(AE$2+$F26&lt;=24,2,3),FALSE)),$C$3)*(1+Projection!AG$16)*(1+IF(AE158&gt;0,'Attrition Modeling'!$N$9,0)))</f>
        <v>0</v>
      </c>
      <c r="AF26" s="799">
        <f>(AE26+AF158)*(1-IFERROR(IF(AF$2+$F26&lt;=12,SUMIFS('Attrition Modeling'!$D:$D,'Attrition Modeling'!$B:$B,'IP Attrition'!$D26,'Attrition Modeling'!$C:$C,'IP Attrition'!AF$1),VLOOKUP($F26+AF$2,$A$6:$C$106,2,FALSE)*VLOOKUP(AF$1,'Attrition Modeling'!$L$15:$N$27,IF(AF$2+$F26&lt;=24,2,3),FALSE)),$C$3)*(1+Projection!AH$16)*(1+IF(AF158&gt;0,'Attrition Modeling'!$N$9,0)))</f>
        <v>0</v>
      </c>
      <c r="AG26" s="799">
        <f>(AF26+AG158)*(1-IFERROR(IF(AG$2+$F26&lt;=12,SUMIFS('Attrition Modeling'!$D:$D,'Attrition Modeling'!$B:$B,'IP Attrition'!$D26,'Attrition Modeling'!$C:$C,'IP Attrition'!AG$1),VLOOKUP($F26+AG$2,$A$6:$C$106,2,FALSE)*VLOOKUP(AG$1,'Attrition Modeling'!$L$15:$N$27,IF(AG$2+$F26&lt;=24,2,3),FALSE)),$C$3)*(1+Projection!AI$16)*(1+IF(AG158&gt;0,'Attrition Modeling'!$N$9,0)))</f>
        <v>0</v>
      </c>
      <c r="AH26" s="799">
        <f>(AG26+AH158)*(1-IFERROR(IF(AH$2+$F26&lt;=12,SUMIFS('Attrition Modeling'!$D:$D,'Attrition Modeling'!$B:$B,'IP Attrition'!$D26,'Attrition Modeling'!$C:$C,'IP Attrition'!AH$1),VLOOKUP($F26+AH$2,$A$6:$C$106,2,FALSE)*VLOOKUP(AH$1,'Attrition Modeling'!$L$15:$N$27,IF(AH$2+$F26&lt;=24,2,3),FALSE)),$C$3)*(1+Projection!AJ$16)*(1+IF(AH158&gt;0,'Attrition Modeling'!$N$9,0)))</f>
        <v>0</v>
      </c>
      <c r="AI26" s="799">
        <f>(AH26+AI158)*(1-IFERROR(IF(AI$2+$F26&lt;=12,SUMIFS('Attrition Modeling'!$D:$D,'Attrition Modeling'!$B:$B,'IP Attrition'!$D26,'Attrition Modeling'!$C:$C,'IP Attrition'!AI$1),VLOOKUP($F26+AI$2,$A$6:$C$106,2,FALSE)*VLOOKUP(AI$1,'Attrition Modeling'!$L$15:$N$27,IF(AI$2+$F26&lt;=24,2,3),FALSE)),$C$3)*(1+Projection!AK$16)*(1+IF(AI158&gt;0,'Attrition Modeling'!$N$9,0)))</f>
        <v>0</v>
      </c>
      <c r="AJ26" s="799">
        <f>(AI26+AJ158)*(1-IFERROR(IF(AJ$2+$F26&lt;=12,SUMIFS('Attrition Modeling'!$D:$D,'Attrition Modeling'!$B:$B,'IP Attrition'!$D26,'Attrition Modeling'!$C:$C,'IP Attrition'!AJ$1),VLOOKUP($F26+AJ$2,$A$6:$C$106,2,FALSE)*VLOOKUP(AJ$1,'Attrition Modeling'!$L$15:$N$27,IF(AJ$2+$F26&lt;=24,2,3),FALSE)),$C$3)*(1+Projection!AL$16)*(1+IF(AJ158&gt;0,'Attrition Modeling'!$N$9,0)))</f>
        <v>0</v>
      </c>
      <c r="AK26" s="799">
        <f>(AJ26+AK158)*(1-IFERROR(IF(AK$2+$F26&lt;=12,SUMIFS('Attrition Modeling'!$D:$D,'Attrition Modeling'!$B:$B,'IP Attrition'!$D26,'Attrition Modeling'!$C:$C,'IP Attrition'!AK$1),VLOOKUP($F26+AK$2,$A$6:$C$106,2,FALSE)*VLOOKUP(AK$1,'Attrition Modeling'!$L$15:$N$27,IF(AK$2+$F26&lt;=24,2,3),FALSE)),$C$3)*(1+Projection!AM$16)*(1+IF(AK158&gt;0,'Attrition Modeling'!$N$9,0)))</f>
        <v>0</v>
      </c>
      <c r="AL26" s="799">
        <f>(AK26+AL158)*(1-IFERROR(IF(AL$2+$F26&lt;=12,SUMIFS('Attrition Modeling'!$D:$D,'Attrition Modeling'!$B:$B,'IP Attrition'!$D26,'Attrition Modeling'!$C:$C,'IP Attrition'!AL$1),VLOOKUP($F26+AL$2,$A$6:$C$106,2,FALSE)*VLOOKUP(AL$1,'Attrition Modeling'!$L$15:$N$27,IF(AL$2+$F26&lt;=24,2,3),FALSE)),$C$3)*(1+Projection!AN$16)*(1+IF(AL158&gt;0,'Attrition Modeling'!$N$9,0)))</f>
        <v>0</v>
      </c>
      <c r="AM26" s="799">
        <f>(AL26+AM158)*(1-IFERROR(IF(AM$2+$F26&lt;=12,SUMIFS('Attrition Modeling'!$D:$D,'Attrition Modeling'!$B:$B,'IP Attrition'!$D26,'Attrition Modeling'!$C:$C,'IP Attrition'!AM$1),VLOOKUP($F26+AM$2,$A$6:$C$106,2,FALSE)*VLOOKUP(AM$1,'Attrition Modeling'!$L$15:$N$27,IF(AM$2+$F26&lt;=24,2,3),FALSE)),$C$3)*(1+Projection!AO$16)*(1+IF(AM158&gt;0,'Attrition Modeling'!$N$9,0)))</f>
        <v>0</v>
      </c>
      <c r="AN26" s="799">
        <f>(AM26+AN158)*(1-IFERROR(IF(AN$2+$F26&lt;=12,SUMIFS('Attrition Modeling'!$D:$D,'Attrition Modeling'!$B:$B,'IP Attrition'!$D26,'Attrition Modeling'!$C:$C,'IP Attrition'!AN$1),VLOOKUP($F26+AN$2,$A$6:$C$106,2,FALSE)*VLOOKUP(AN$1,'Attrition Modeling'!$L$15:$N$27,IF(AN$2+$F26&lt;=24,2,3),FALSE)),$C$3)*(1+Projection!AP$16)*(1+IF(AN158&gt;0,'Attrition Modeling'!$N$9,0)))</f>
        <v>0</v>
      </c>
      <c r="AO26" s="799">
        <f>(AN26+AO158)*(1-IFERROR(IF(AO$2+$F26&lt;=12,SUMIFS('Attrition Modeling'!$D:$D,'Attrition Modeling'!$B:$B,'IP Attrition'!$D26,'Attrition Modeling'!$C:$C,'IP Attrition'!AO$1),VLOOKUP($F26+AO$2,$A$6:$C$106,2,FALSE)*VLOOKUP(AO$1,'Attrition Modeling'!$L$15:$N$27,IF(AO$2+$F26&lt;=24,2,3),FALSE)),$C$3)*(1+Projection!AQ$16)*(1+IF(AO158&gt;0,'Attrition Modeling'!$N$9,0)))</f>
        <v>0</v>
      </c>
      <c r="AP26" s="799">
        <f>(AO26+AP158)*(1-IFERROR(IF(AP$2+$F26&lt;=12,SUMIFS('Attrition Modeling'!$D:$D,'Attrition Modeling'!$B:$B,'IP Attrition'!$D26,'Attrition Modeling'!$C:$C,'IP Attrition'!AP$1),VLOOKUP($F26+AP$2,$A$6:$C$106,2,FALSE)*VLOOKUP(AP$1,'Attrition Modeling'!$L$15:$N$27,IF(AP$2+$F26&lt;=24,2,3),FALSE)),$C$3)*(1+Projection!AR$16)*(1+IF(AP158&gt;0,'Attrition Modeling'!$N$9,0)))</f>
        <v>0</v>
      </c>
      <c r="AQ26" s="799">
        <f>(AP26+AQ158)*(1-IFERROR(IF(AQ$2+$F26&lt;=12,SUMIFS('Attrition Modeling'!$D:$D,'Attrition Modeling'!$B:$B,'IP Attrition'!$D26,'Attrition Modeling'!$C:$C,'IP Attrition'!AQ$1),VLOOKUP($F26+AQ$2,$A$6:$C$106,2,FALSE)*VLOOKUP(AQ$1,'Attrition Modeling'!$L$15:$N$27,IF(AQ$2+$F26&lt;=24,2,3),FALSE)),$C$3)*(1+Projection!AS$16)*(1+IF(AQ158&gt;0,'Attrition Modeling'!$N$9,0)))</f>
        <v>0</v>
      </c>
      <c r="AR26" s="799">
        <f>(AQ26+AR158)*(1-IFERROR(IF(AR$2+$F26&lt;=12,SUMIFS('Attrition Modeling'!$D:$D,'Attrition Modeling'!$B:$B,'IP Attrition'!$D26,'Attrition Modeling'!$C:$C,'IP Attrition'!AR$1),VLOOKUP($F26+AR$2,$A$6:$C$106,2,FALSE)*VLOOKUP(AR$1,'Attrition Modeling'!$L$15:$N$27,IF(AR$2+$F26&lt;=24,2,3),FALSE)),$C$3)*(1+Projection!AT$16)*(1+IF(AR158&gt;0,'Attrition Modeling'!$N$9,0)))</f>
        <v>0</v>
      </c>
      <c r="AS26" s="799">
        <f>(AR26+AS158)*(1-IFERROR(IF(AS$2+$F26&lt;=12,SUMIFS('Attrition Modeling'!$D:$D,'Attrition Modeling'!$B:$B,'IP Attrition'!$D26,'Attrition Modeling'!$C:$C,'IP Attrition'!AS$1),VLOOKUP($F26+AS$2,$A$6:$C$106,2,FALSE)*VLOOKUP(AS$1,'Attrition Modeling'!$L$15:$N$27,IF(AS$2+$F26&lt;=24,2,3),FALSE)),$C$3)*(1+Projection!AU$16)*(1+IF(AS158&gt;0,'Attrition Modeling'!$N$9,0)))</f>
        <v>0</v>
      </c>
      <c r="AT26" s="799">
        <f>(AS26+AT158)*(1-IFERROR(IF(AT$2+$F26&lt;=12,SUMIFS('Attrition Modeling'!$D:$D,'Attrition Modeling'!$B:$B,'IP Attrition'!$D26,'Attrition Modeling'!$C:$C,'IP Attrition'!AT$1),VLOOKUP($F26+AT$2,$A$6:$C$106,2,FALSE)*VLOOKUP(AT$1,'Attrition Modeling'!$L$15:$N$27,IF(AT$2+$F26&lt;=24,2,3),FALSE)),$C$3)*(1+Projection!AV$16)*(1+IF(AT158&gt;0,'Attrition Modeling'!$N$9,0)))</f>
        <v>0</v>
      </c>
      <c r="AU26" s="799">
        <f>(AT26+AU158)*(1-IFERROR(IF(AU$2+$F26&lt;=12,SUMIFS('Attrition Modeling'!$D:$D,'Attrition Modeling'!$B:$B,'IP Attrition'!$D26,'Attrition Modeling'!$C:$C,'IP Attrition'!AU$1),VLOOKUP($F26+AU$2,$A$6:$C$106,2,FALSE)*VLOOKUP(AU$1,'Attrition Modeling'!$L$15:$N$27,IF(AU$2+$F26&lt;=24,2,3),FALSE)),$C$3)*(1+Projection!AW$16)*(1+IF(AU158&gt;0,'Attrition Modeling'!$N$9,0)))</f>
        <v>0</v>
      </c>
      <c r="AV26" s="799">
        <f>(AU26+AV158)*(1-IFERROR(IF(AV$2+$F26&lt;=12,SUMIFS('Attrition Modeling'!$D:$D,'Attrition Modeling'!$B:$B,'IP Attrition'!$D26,'Attrition Modeling'!$C:$C,'IP Attrition'!AV$1),VLOOKUP($F26+AV$2,$A$6:$C$106,2,FALSE)*VLOOKUP(AV$1,'Attrition Modeling'!$L$15:$N$27,IF(AV$2+$F26&lt;=24,2,3),FALSE)),$C$3)*(1+Projection!AX$16)*(1+IF(AV158&gt;0,'Attrition Modeling'!$N$9,0)))</f>
        <v>0</v>
      </c>
      <c r="AW26" s="799">
        <f>(AV26+AW158)*(1-IFERROR(IF(AW$2+$F26&lt;=12,SUMIFS('Attrition Modeling'!$D:$D,'Attrition Modeling'!$B:$B,'IP Attrition'!$D26,'Attrition Modeling'!$C:$C,'IP Attrition'!AW$1),VLOOKUP($F26+AW$2,$A$6:$C$106,2,FALSE)*VLOOKUP(AW$1,'Attrition Modeling'!$L$15:$N$27,IF(AW$2+$F26&lt;=24,2,3),FALSE)),$C$3)*(1+Projection!AY$16)*(1+IF(AW158&gt;0,'Attrition Modeling'!$N$9,0)))</f>
        <v>0</v>
      </c>
      <c r="AX26" s="799">
        <f>(AW26+AX158)*(1-IFERROR(IF(AX$2+$F26&lt;=12,SUMIFS('Attrition Modeling'!$D:$D,'Attrition Modeling'!$B:$B,'IP Attrition'!$D26,'Attrition Modeling'!$C:$C,'IP Attrition'!AX$1),VLOOKUP($F26+AX$2,$A$6:$C$106,2,FALSE)*VLOOKUP(AX$1,'Attrition Modeling'!$L$15:$N$27,IF(AX$2+$F26&lt;=24,2,3),FALSE)),$C$3)*(1+Projection!AZ$16)*(1+IF(AX158&gt;0,'Attrition Modeling'!$N$9,0)))</f>
        <v>0</v>
      </c>
      <c r="AY26" s="799">
        <f>(AX26+AY158)*(1-IFERROR(IF(AY$2+$F26&lt;=12,SUMIFS('Attrition Modeling'!$D:$D,'Attrition Modeling'!$B:$B,'IP Attrition'!$D26,'Attrition Modeling'!$C:$C,'IP Attrition'!AY$1),VLOOKUP($F26+AY$2,$A$6:$C$106,2,FALSE)*VLOOKUP(AY$1,'Attrition Modeling'!$L$15:$N$27,IF(AY$2+$F26&lt;=24,2,3),FALSE)),$C$3)*(1+Projection!BA$16)*(1+IF(AY158&gt;0,'Attrition Modeling'!$N$9,0)))</f>
        <v>0</v>
      </c>
      <c r="AZ26" s="799">
        <f>(AY26+AZ158)*(1-IFERROR(IF(AZ$2+$F26&lt;=12,SUMIFS('Attrition Modeling'!$D:$D,'Attrition Modeling'!$B:$B,'IP Attrition'!$D26,'Attrition Modeling'!$C:$C,'IP Attrition'!AZ$1),VLOOKUP($F26+AZ$2,$A$6:$C$106,2,FALSE)*VLOOKUP(AZ$1,'Attrition Modeling'!$L$15:$N$27,IF(AZ$2+$F26&lt;=24,2,3),FALSE)),$C$3)*(1+Projection!BB$16)*(1+IF(AZ158&gt;0,'Attrition Modeling'!$N$9,0)))</f>
        <v>0</v>
      </c>
      <c r="BA26" s="799">
        <f>(AZ26+BA158)*(1-IFERROR(IF(BA$2+$F26&lt;=12,SUMIFS('Attrition Modeling'!$D:$D,'Attrition Modeling'!$B:$B,'IP Attrition'!$D26,'Attrition Modeling'!$C:$C,'IP Attrition'!BA$1),VLOOKUP($F26+BA$2,$A$6:$C$106,2,FALSE)*VLOOKUP(BA$1,'Attrition Modeling'!$L$15:$N$27,IF(BA$2+$F26&lt;=24,2,3),FALSE)),$C$3)*(1+Projection!BC$16)*(1+IF(BA158&gt;0,'Attrition Modeling'!$N$9,0)))</f>
        <v>0</v>
      </c>
      <c r="BB26" s="799">
        <f>(BA26+BB158)*(1-IFERROR(IF(BB$2+$F26&lt;=12,SUMIFS('Attrition Modeling'!$D:$D,'Attrition Modeling'!$B:$B,'IP Attrition'!$D26,'Attrition Modeling'!$C:$C,'IP Attrition'!BB$1),VLOOKUP($F26+BB$2,$A$6:$C$106,2,FALSE)*VLOOKUP(BB$1,'Attrition Modeling'!$L$15:$N$27,IF(BB$2+$F26&lt;=24,2,3),FALSE)),$C$3)*(1+Projection!BD$16)*(1+IF(BB158&gt;0,'Attrition Modeling'!$N$9,0)))</f>
        <v>0</v>
      </c>
      <c r="BC26" s="799">
        <f>(BB26+BC158)*(1-IFERROR(IF(BC$2+$F26&lt;=12,SUMIFS('Attrition Modeling'!$D:$D,'Attrition Modeling'!$B:$B,'IP Attrition'!$D26,'Attrition Modeling'!$C:$C,'IP Attrition'!BC$1),VLOOKUP($F26+BC$2,$A$6:$C$106,2,FALSE)*VLOOKUP(BC$1,'Attrition Modeling'!$L$15:$N$27,IF(BC$2+$F26&lt;=24,2,3),FALSE)),$C$3)*(1+Projection!BE$16)*(1+IF(BC158&gt;0,'Attrition Modeling'!$N$9,0)))</f>
        <v>0</v>
      </c>
      <c r="BD26" s="799">
        <f>(BC26+BD158)*(1-IFERROR(IF(BD$2+$F26&lt;=12,SUMIFS('Attrition Modeling'!$D:$D,'Attrition Modeling'!$B:$B,'IP Attrition'!$D26,'Attrition Modeling'!$C:$C,'IP Attrition'!BD$1),VLOOKUP($F26+BD$2,$A$6:$C$106,2,FALSE)*VLOOKUP(BD$1,'Attrition Modeling'!$L$15:$N$27,IF(BD$2+$F26&lt;=24,2,3),FALSE)),$C$3)*(1+Projection!BF$16)*(1+IF(BD158&gt;0,'Attrition Modeling'!$N$9,0)))</f>
        <v>0</v>
      </c>
      <c r="BE26" s="799">
        <f>(BD26+BE158)*(1-IFERROR(IF(BE$2+$F26&lt;=12,SUMIFS('Attrition Modeling'!$D:$D,'Attrition Modeling'!$B:$B,'IP Attrition'!$D26,'Attrition Modeling'!$C:$C,'IP Attrition'!BE$1),VLOOKUP($F26+BE$2,$A$6:$C$106,2,FALSE)*VLOOKUP(BE$1,'Attrition Modeling'!$L$15:$N$27,IF(BE$2+$F26&lt;=24,2,3),FALSE)),$C$3)*(1+Projection!BG$16)*(1+IF(BE158&gt;0,'Attrition Modeling'!$N$9,0)))</f>
        <v>0</v>
      </c>
      <c r="BF26" s="799">
        <f>(BE26+BF158)*(1-IFERROR(IF(BF$2+$F26&lt;=12,SUMIFS('Attrition Modeling'!$D:$D,'Attrition Modeling'!$B:$B,'IP Attrition'!$D26,'Attrition Modeling'!$C:$C,'IP Attrition'!BF$1),VLOOKUP($F26+BF$2,$A$6:$C$106,2,FALSE)*VLOOKUP(BF$1,'Attrition Modeling'!$L$15:$N$27,IF(BF$2+$F26&lt;=24,2,3),FALSE)),$C$3)*(1+Projection!BH$16)*(1+IF(BF158&gt;0,'Attrition Modeling'!$N$9,0)))</f>
        <v>0</v>
      </c>
      <c r="BG26" s="799">
        <f>(BF26+BG158)*(1-IFERROR(IF(BG$2+$F26&lt;=12,SUMIFS('Attrition Modeling'!$D:$D,'Attrition Modeling'!$B:$B,'IP Attrition'!$D26,'Attrition Modeling'!$C:$C,'IP Attrition'!BG$1),VLOOKUP($F26+BG$2,$A$6:$C$106,2,FALSE)*VLOOKUP(BG$1,'Attrition Modeling'!$L$15:$N$27,IF(BG$2+$F26&lt;=24,2,3),FALSE)),$C$3)*(1+Projection!BI$16)*(1+IF(BG158&gt;0,'Attrition Modeling'!$N$9,0)))</f>
        <v>0</v>
      </c>
      <c r="BH26" s="799">
        <f>(BG26+BH158)*(1-IFERROR(IF(BH$2+$F26&lt;=12,SUMIFS('Attrition Modeling'!$D:$D,'Attrition Modeling'!$B:$B,'IP Attrition'!$D26,'Attrition Modeling'!$C:$C,'IP Attrition'!BH$1),VLOOKUP($F26+BH$2,$A$6:$C$106,2,FALSE)*VLOOKUP(BH$1,'Attrition Modeling'!$L$15:$N$27,IF(BH$2+$F26&lt;=24,2,3),FALSE)),$C$3)*(1+Projection!BJ$16)*(1+IF(BH158&gt;0,'Attrition Modeling'!$N$9,0)))</f>
        <v>0</v>
      </c>
      <c r="BI26" s="799">
        <f>(BH26+BI158)*(1-IFERROR(IF(BI$2+$F26&lt;=12,SUMIFS('Attrition Modeling'!$D:$D,'Attrition Modeling'!$B:$B,'IP Attrition'!$D26,'Attrition Modeling'!$C:$C,'IP Attrition'!BI$1),VLOOKUP($F26+BI$2,$A$6:$C$106,2,FALSE)*VLOOKUP(BI$1,'Attrition Modeling'!$L$15:$N$27,IF(BI$2+$F26&lt;=24,2,3),FALSE)),$C$3)*(1+Projection!BK$16)*(1+IF(BI158&gt;0,'Attrition Modeling'!$N$9,0)))</f>
        <v>0</v>
      </c>
      <c r="BJ26" s="799">
        <f>(BI26+BJ158)*(1-IFERROR(IF(BJ$2+$F26&lt;=12,SUMIFS('Attrition Modeling'!$D:$D,'Attrition Modeling'!$B:$B,'IP Attrition'!$D26,'Attrition Modeling'!$C:$C,'IP Attrition'!BJ$1),VLOOKUP($F26+BJ$2,$A$6:$C$106,2,FALSE)*VLOOKUP(BJ$1,'Attrition Modeling'!$L$15:$N$27,IF(BJ$2+$F26&lt;=24,2,3),FALSE)),$C$3)*(1+Projection!BL$16)*(1+IF(BJ158&gt;0,'Attrition Modeling'!$N$9,0)))</f>
        <v>0</v>
      </c>
      <c r="BK26" s="799">
        <f>(BJ26+BK158)*(1-IFERROR(IF(BK$2+$F26&lt;=12,SUMIFS('Attrition Modeling'!$D:$D,'Attrition Modeling'!$B:$B,'IP Attrition'!$D26,'Attrition Modeling'!$C:$C,'IP Attrition'!BK$1),VLOOKUP($F26+BK$2,$A$6:$C$106,2,FALSE)*VLOOKUP(BK$1,'Attrition Modeling'!$L$15:$N$27,IF(BK$2+$F26&lt;=24,2,3),FALSE)),$C$3)*(1+Projection!BM$16)*(1+IF(BK158&gt;0,'Attrition Modeling'!$N$9,0)))</f>
        <v>0</v>
      </c>
      <c r="BL26" s="799">
        <f>(BK26+BL158)*(1-IFERROR(IF(BL$2+$F26&lt;=12,SUMIFS('Attrition Modeling'!$D:$D,'Attrition Modeling'!$B:$B,'IP Attrition'!$D26,'Attrition Modeling'!$C:$C,'IP Attrition'!BL$1),VLOOKUP($F26+BL$2,$A$6:$C$106,2,FALSE)*VLOOKUP(BL$1,'Attrition Modeling'!$L$15:$N$27,IF(BL$2+$F26&lt;=24,2,3),FALSE)),$C$3)*(1+Projection!BN$16)*(1+IF(BL158&gt;0,'Attrition Modeling'!$N$9,0)))</f>
        <v>0</v>
      </c>
      <c r="BM26" s="799">
        <f>(BL26+BM158)*(1-IFERROR(IF(BM$2+$F26&lt;=12,SUMIFS('Attrition Modeling'!$D:$D,'Attrition Modeling'!$B:$B,'IP Attrition'!$D26,'Attrition Modeling'!$C:$C,'IP Attrition'!BM$1),VLOOKUP($F26+BM$2,$A$6:$C$106,2,FALSE)*VLOOKUP(BM$1,'Attrition Modeling'!$L$15:$N$27,IF(BM$2+$F26&lt;=24,2,3),FALSE)),$C$3)*(1+Projection!BO$16)*(1+IF(BM158&gt;0,'Attrition Modeling'!$N$9,0)))</f>
        <v>0</v>
      </c>
      <c r="BN26" s="799">
        <f>(BM26+BN158)*(1-IFERROR(IF(BN$2+$F26&lt;=12,SUMIFS('Attrition Modeling'!$D:$D,'Attrition Modeling'!$B:$B,'IP Attrition'!$D26,'Attrition Modeling'!$C:$C,'IP Attrition'!BN$1),VLOOKUP($F26+BN$2,$A$6:$C$106,2,FALSE)*VLOOKUP(BN$1,'Attrition Modeling'!$L$15:$N$27,IF(BN$2+$F26&lt;=24,2,3),FALSE)),$C$3)*(1+Projection!BP$16)*(1+IF(BN158&gt;0,'Attrition Modeling'!$N$9,0)))</f>
        <v>0</v>
      </c>
      <c r="BO26" s="799">
        <f>(BN26+BO158)*(1-IFERROR(IF(BO$2+$F26&lt;=12,SUMIFS('Attrition Modeling'!$D:$D,'Attrition Modeling'!$B:$B,'IP Attrition'!$D26,'Attrition Modeling'!$C:$C,'IP Attrition'!BO$1),VLOOKUP($F26+BO$2,$A$6:$C$106,2,FALSE)*VLOOKUP(BO$1,'Attrition Modeling'!$L$15:$N$27,IF(BO$2+$F26&lt;=24,2,3),FALSE)),$C$3)*(1+Projection!BV$16)*(1+IF(BO158&gt;0,'Attrition Modeling'!$N$9,0)))</f>
        <v>0</v>
      </c>
      <c r="BP26" s="799">
        <f>(BO26+BP158)*(1-IFERROR(IF(BP$2+$F26&lt;=12,SUMIFS('Attrition Modeling'!$D:$D,'Attrition Modeling'!$B:$B,'IP Attrition'!$D26,'Attrition Modeling'!$C:$C,'IP Attrition'!BP$1),VLOOKUP($F26+BP$2,$A$6:$C$106,2,FALSE)*VLOOKUP(BP$1,'Attrition Modeling'!$L$15:$N$27,IF(BP$2+$F26&lt;=24,2,3),FALSE)),$C$3)*(1+Projection!BW$16)*(1+IF(BP158&gt;0,'Attrition Modeling'!$N$9,0)))</f>
        <v>0</v>
      </c>
      <c r="BQ26" s="799">
        <f>(BP26+BQ158)*(1-IFERROR(IF(BQ$2+$F26&lt;=12,SUMIFS('Attrition Modeling'!$D:$D,'Attrition Modeling'!$B:$B,'IP Attrition'!$D26,'Attrition Modeling'!$C:$C,'IP Attrition'!BQ$1),VLOOKUP($F26+BQ$2,$A$6:$C$106,2,FALSE)*VLOOKUP(BQ$1,'Attrition Modeling'!$L$15:$N$27,IF(BQ$2+$F26&lt;=24,2,3),FALSE)),$C$3)*(1+Projection!BX$16)*(1+IF(BQ158&gt;0,'Attrition Modeling'!$N$9,0)))</f>
        <v>0</v>
      </c>
      <c r="BR26" s="799">
        <f>(BQ26+BR158)*(1-IFERROR(IF(BR$2+$F26&lt;=12,SUMIFS('Attrition Modeling'!$D:$D,'Attrition Modeling'!$B:$B,'IP Attrition'!$D26,'Attrition Modeling'!$C:$C,'IP Attrition'!BR$1),VLOOKUP($F26+BR$2,$A$6:$C$106,2,FALSE)*VLOOKUP(BR$1,'Attrition Modeling'!$L$15:$N$27,IF(BR$2+$F26&lt;=24,2,3),FALSE)),$C$3)*(1+Projection!BY$16)*(1+IF(BR158&gt;0,'Attrition Modeling'!$N$9,0)))</f>
        <v>0</v>
      </c>
      <c r="BS26" s="799">
        <f>(BR26+BS158)*(1-IFERROR(IF(BS$2+$F26&lt;=12,SUMIFS('Attrition Modeling'!$D:$D,'Attrition Modeling'!$B:$B,'IP Attrition'!$D26,'Attrition Modeling'!$C:$C,'IP Attrition'!BS$1),VLOOKUP($F26+BS$2,$A$6:$C$106,2,FALSE)*VLOOKUP(BS$1,'Attrition Modeling'!$L$15:$N$27,IF(BS$2+$F26&lt;=24,2,3),FALSE)),$C$3)*(1+Projection!BZ$16)*(1+IF(BS158&gt;0,'Attrition Modeling'!$N$9,0)))</f>
        <v>0</v>
      </c>
      <c r="BT26" s="799" t="e">
        <f>(BS26+BT158)*(1-IFERROR(IF(BT$2+$F26&lt;=12,SUMIFS('Attrition Modeling'!$D:$D,'Attrition Modeling'!$B:$B,'IP Attrition'!$D26,'Attrition Modeling'!$C:$C,'IP Attrition'!BT$1),VLOOKUP($F26+BT$2,$A$6:$C$106,2,FALSE)*VLOOKUP(BT$1,'Attrition Modeling'!$L$15:$N$27,IF(BT$2+$F26&lt;=24,2,3),FALSE)),$C$3)*(1+Projection!CA$16)*(1+IF(BT158&gt;0,'Attrition Modeling'!$N$9,0)))</f>
        <v>#REF!</v>
      </c>
      <c r="BU26" s="799" t="e">
        <f>(BT26+BU158)*(1-IFERROR(IF(BU$2+$F26&lt;=12,SUMIFS('Attrition Modeling'!$D:$D,'Attrition Modeling'!$B:$B,'IP Attrition'!$D26,'Attrition Modeling'!$C:$C,'IP Attrition'!BU$1),VLOOKUP($F26+BU$2,$A$6:$C$106,2,FALSE)*VLOOKUP(BU$1,'Attrition Modeling'!$L$15:$N$27,IF(BU$2+$F26&lt;=24,2,3),FALSE)),$C$3)*(1+Projection!CB$16)*(1+IF(BU158&gt;0,'Attrition Modeling'!$N$9,0)))</f>
        <v>#REF!</v>
      </c>
    </row>
    <row r="27" spans="1:73" ht="14.25" customHeight="1" x14ac:dyDescent="0.2">
      <c r="A27" s="9">
        <v>20</v>
      </c>
      <c r="B27" s="25">
        <f>MAX('Attrition Modeling'!H24,$C$3)*(1-Summary!$C$20)</f>
        <v>4.1153694586752602E-2</v>
      </c>
      <c r="C27" s="24" t="e">
        <f t="shared" si="3"/>
        <v>#DIV/0!</v>
      </c>
      <c r="D27" s="11">
        <f t="shared" si="1"/>
        <v>-24</v>
      </c>
      <c r="E27" s="807">
        <f t="array" ref="E27">INDEX('Attrition Modeling'!$X$2:$AF$63,MATCH($F27,'Attrition Modeling'!$X$2:$X$63,0),MATCH(Inputs!$C$10,'Attrition Modeling'!$X$2:$AF$2,0))</f>
        <v>0</v>
      </c>
      <c r="F27" s="11">
        <f t="shared" si="2"/>
        <v>24</v>
      </c>
      <c r="G27" s="799">
        <f>Summary!$C$25*$E27</f>
        <v>0</v>
      </c>
      <c r="H27" s="799">
        <f>(G27+H159)*(1-IFERROR(IF(H$2+$F27&lt;=12,SUMIFS('Attrition Modeling'!$D:$D,'Attrition Modeling'!$B:$B,'IP Attrition'!$D27,'Attrition Modeling'!$C:$C,'IP Attrition'!H$1),VLOOKUP($F27+H$2,$A$6:$C$106,2,FALSE)*VLOOKUP(H$1,'Attrition Modeling'!$L$15:$N$27,IF(H$2+$F27&lt;=24,2,3),FALSE)),$C$3)*(1+Projection!J$16)*(1+IF(H159&gt;0,'Attrition Modeling'!$N$9,0)))</f>
        <v>0</v>
      </c>
      <c r="I27" s="799">
        <f>(H27+I159)*(1-IFERROR(IF(I$2+$F27&lt;=12,SUMIFS('Attrition Modeling'!$D:$D,'Attrition Modeling'!$B:$B,'IP Attrition'!$D27,'Attrition Modeling'!$C:$C,'IP Attrition'!I$1),VLOOKUP($F27+I$2,$A$6:$C$106,2,FALSE)*VLOOKUP(I$1,'Attrition Modeling'!$L$15:$N$27,IF(I$2+$F27&lt;=24,2,3),FALSE)),$C$3)*(1+Projection!K$16)*(1+IF(I159&gt;0,'Attrition Modeling'!$N$9,0)))</f>
        <v>0</v>
      </c>
      <c r="J27" s="799">
        <f>(I27+J159)*(1-IFERROR(IF(J$2+$F27&lt;=12,SUMIFS('Attrition Modeling'!$D:$D,'Attrition Modeling'!$B:$B,'IP Attrition'!$D27,'Attrition Modeling'!$C:$C,'IP Attrition'!J$1),VLOOKUP($F27+J$2,$A$6:$C$106,2,FALSE)*VLOOKUP(J$1,'Attrition Modeling'!$L$15:$N$27,IF(J$2+$F27&lt;=24,2,3),FALSE)),$C$3)*(1+Projection!L$16)*(1+IF(J159&gt;0,'Attrition Modeling'!$N$9,0)))</f>
        <v>0</v>
      </c>
      <c r="K27" s="799">
        <f>(J27+K159)*(1-IFERROR(IF(K$2+$F27&lt;=12,SUMIFS('Attrition Modeling'!$D:$D,'Attrition Modeling'!$B:$B,'IP Attrition'!$D27,'Attrition Modeling'!$C:$C,'IP Attrition'!K$1),VLOOKUP($F27+K$2,$A$6:$C$106,2,FALSE)*VLOOKUP(K$1,'Attrition Modeling'!$L$15:$N$27,IF(K$2+$F27&lt;=24,2,3),FALSE)),$C$3)*(1+Projection!M$16)*(1+IF(K159&gt;0,'Attrition Modeling'!$N$9,0)))</f>
        <v>0</v>
      </c>
      <c r="L27" s="799">
        <f>(K27+L159)*(1-IFERROR(IF(L$2+$F27&lt;=12,SUMIFS('Attrition Modeling'!$D:$D,'Attrition Modeling'!$B:$B,'IP Attrition'!$D27,'Attrition Modeling'!$C:$C,'IP Attrition'!L$1),VLOOKUP($F27+L$2,$A$6:$C$106,2,FALSE)*VLOOKUP(L$1,'Attrition Modeling'!$L$15:$N$27,IF(L$2+$F27&lt;=24,2,3),FALSE)),$C$3)*(1+Projection!N$16)*(1+IF(L159&gt;0,'Attrition Modeling'!$N$9,0)))</f>
        <v>0</v>
      </c>
      <c r="M27" s="799">
        <f>(L27+M159)*(1-IFERROR(IF(M$2+$F27&lt;=12,SUMIFS('Attrition Modeling'!$D:$D,'Attrition Modeling'!$B:$B,'IP Attrition'!$D27,'Attrition Modeling'!$C:$C,'IP Attrition'!M$1),VLOOKUP($F27+M$2,$A$6:$C$106,2,FALSE)*VLOOKUP(M$1,'Attrition Modeling'!$L$15:$N$27,IF(M$2+$F27&lt;=24,2,3),FALSE)),$C$3)*(1+Projection!O$16)*(1+IF(M159&gt;0,'Attrition Modeling'!$N$9,0)))</f>
        <v>0</v>
      </c>
      <c r="N27" s="799">
        <f>(M27+N159)*(1-IFERROR(IF(N$2+$F27&lt;=12,SUMIFS('Attrition Modeling'!$D:$D,'Attrition Modeling'!$B:$B,'IP Attrition'!$D27,'Attrition Modeling'!$C:$C,'IP Attrition'!N$1),VLOOKUP($F27+N$2,$A$6:$C$106,2,FALSE)*VLOOKUP(N$1,'Attrition Modeling'!$L$15:$N$27,IF(N$2+$F27&lt;=24,2,3),FALSE)),$C$3)*(1+Projection!P$16)*(1+IF(N159&gt;0,'Attrition Modeling'!$N$9,0)))</f>
        <v>0</v>
      </c>
      <c r="O27" s="799">
        <f>(N27+O159)*(1-IFERROR(IF(O$2+$F27&lt;=12,SUMIFS('Attrition Modeling'!$D:$D,'Attrition Modeling'!$B:$B,'IP Attrition'!$D27,'Attrition Modeling'!$C:$C,'IP Attrition'!O$1),VLOOKUP($F27+O$2,$A$6:$C$106,2,FALSE)*VLOOKUP(O$1,'Attrition Modeling'!$L$15:$N$27,IF(O$2+$F27&lt;=24,2,3),FALSE)),$C$3)*(1+Projection!Q$16)*(1+IF(O159&gt;0,'Attrition Modeling'!$N$9,0)))</f>
        <v>0</v>
      </c>
      <c r="P27" s="799">
        <f>(O27+P159)*(1-IFERROR(IF(P$2+$F27&lt;=12,SUMIFS('Attrition Modeling'!$D:$D,'Attrition Modeling'!$B:$B,'IP Attrition'!$D27,'Attrition Modeling'!$C:$C,'IP Attrition'!P$1),VLOOKUP($F27+P$2,$A$6:$C$106,2,FALSE)*VLOOKUP(P$1,'Attrition Modeling'!$L$15:$N$27,IF(P$2+$F27&lt;=24,2,3),FALSE)),$C$3)*(1+Projection!R$16)*(1+IF(P159&gt;0,'Attrition Modeling'!$N$9,0)))</f>
        <v>0</v>
      </c>
      <c r="Q27" s="799">
        <f>(P27+Q159)*(1-IFERROR(IF(Q$2+$F27&lt;=12,SUMIFS('Attrition Modeling'!$D:$D,'Attrition Modeling'!$B:$B,'IP Attrition'!$D27,'Attrition Modeling'!$C:$C,'IP Attrition'!Q$1),VLOOKUP($F27+Q$2,$A$6:$C$106,2,FALSE)*VLOOKUP(Q$1,'Attrition Modeling'!$L$15:$N$27,IF(Q$2+$F27&lt;=24,2,3),FALSE)),$C$3)*(1+Projection!S$16)*(1+IF(Q159&gt;0,'Attrition Modeling'!$N$9,0)))</f>
        <v>0</v>
      </c>
      <c r="R27" s="799">
        <f>(Q27+R159)*(1-IFERROR(IF(R$2+$F27&lt;=12,SUMIFS('Attrition Modeling'!$D:$D,'Attrition Modeling'!$B:$B,'IP Attrition'!$D27,'Attrition Modeling'!$C:$C,'IP Attrition'!R$1),VLOOKUP($F27+R$2,$A$6:$C$106,2,FALSE)*VLOOKUP(R$1,'Attrition Modeling'!$L$15:$N$27,IF(R$2+$F27&lt;=24,2,3),FALSE)),$C$3)*(1+Projection!T$16)*(1+IF(R159&gt;0,'Attrition Modeling'!$N$9,0)))</f>
        <v>0</v>
      </c>
      <c r="S27" s="799">
        <f>(R27+S159)*(1-IFERROR(IF(S$2+$F27&lt;=12,SUMIFS('Attrition Modeling'!$D:$D,'Attrition Modeling'!$B:$B,'IP Attrition'!$D27,'Attrition Modeling'!$C:$C,'IP Attrition'!S$1),VLOOKUP($F27+S$2,$A$6:$C$106,2,FALSE)*VLOOKUP(S$1,'Attrition Modeling'!$L$15:$N$27,IF(S$2+$F27&lt;=24,2,3),FALSE)),$C$3)*(1+Projection!U$16)*(1+IF(S159&gt;0,'Attrition Modeling'!$N$9,0)))</f>
        <v>0</v>
      </c>
      <c r="T27" s="799">
        <f>(S27+T159)*(1-IFERROR(IF(T$2+$F27&lt;=12,SUMIFS('Attrition Modeling'!$D:$D,'Attrition Modeling'!$B:$B,'IP Attrition'!$D27,'Attrition Modeling'!$C:$C,'IP Attrition'!T$1),VLOOKUP($F27+T$2,$A$6:$C$106,2,FALSE)*VLOOKUP(T$1,'Attrition Modeling'!$L$15:$N$27,IF(T$2+$F27&lt;=24,2,3),FALSE)),$C$3)*(1+Projection!V$16)*(1+IF(T159&gt;0,'Attrition Modeling'!$N$9,0)))</f>
        <v>0</v>
      </c>
      <c r="U27" s="799">
        <f>(T27+U159)*(1-IFERROR(IF(U$2+$F27&lt;=12,SUMIFS('Attrition Modeling'!$D:$D,'Attrition Modeling'!$B:$B,'IP Attrition'!$D27,'Attrition Modeling'!$C:$C,'IP Attrition'!U$1),VLOOKUP($F27+U$2,$A$6:$C$106,2,FALSE)*VLOOKUP(U$1,'Attrition Modeling'!$L$15:$N$27,IF(U$2+$F27&lt;=24,2,3),FALSE)),$C$3)*(1+Projection!W$16)*(1+IF(U159&gt;0,'Attrition Modeling'!$N$9,0)))</f>
        <v>0</v>
      </c>
      <c r="V27" s="799">
        <f>(U27+V159)*(1-IFERROR(IF(V$2+$F27&lt;=12,SUMIFS('Attrition Modeling'!$D:$D,'Attrition Modeling'!$B:$B,'IP Attrition'!$D27,'Attrition Modeling'!$C:$C,'IP Attrition'!V$1),VLOOKUP($F27+V$2,$A$6:$C$106,2,FALSE)*VLOOKUP(V$1,'Attrition Modeling'!$L$15:$N$27,IF(V$2+$F27&lt;=24,2,3),FALSE)),$C$3)*(1+Projection!X$16)*(1+IF(V159&gt;0,'Attrition Modeling'!$N$9,0)))</f>
        <v>0</v>
      </c>
      <c r="W27" s="799">
        <f>(V27+W159)*(1-IFERROR(IF(W$2+$F27&lt;=12,SUMIFS('Attrition Modeling'!$D:$D,'Attrition Modeling'!$B:$B,'IP Attrition'!$D27,'Attrition Modeling'!$C:$C,'IP Attrition'!W$1),VLOOKUP($F27+W$2,$A$6:$C$106,2,FALSE)*VLOOKUP(W$1,'Attrition Modeling'!$L$15:$N$27,IF(W$2+$F27&lt;=24,2,3),FALSE)),$C$3)*(1+Projection!Y$16)*(1+IF(W159&gt;0,'Attrition Modeling'!$N$9,0)))</f>
        <v>0</v>
      </c>
      <c r="X27" s="799">
        <f>(W27+X159)*(1-IFERROR(IF(X$2+$F27&lt;=12,SUMIFS('Attrition Modeling'!$D:$D,'Attrition Modeling'!$B:$B,'IP Attrition'!$D27,'Attrition Modeling'!$C:$C,'IP Attrition'!X$1),VLOOKUP($F27+X$2,$A$6:$C$106,2,FALSE)*VLOOKUP(X$1,'Attrition Modeling'!$L$15:$N$27,IF(X$2+$F27&lt;=24,2,3),FALSE)),$C$3)*(1+Projection!Z$16)*(1+IF(X159&gt;0,'Attrition Modeling'!$N$9,0)))</f>
        <v>0</v>
      </c>
      <c r="Y27" s="799">
        <f>(X27+Y159)*(1-IFERROR(IF(Y$2+$F27&lt;=12,SUMIFS('Attrition Modeling'!$D:$D,'Attrition Modeling'!$B:$B,'IP Attrition'!$D27,'Attrition Modeling'!$C:$C,'IP Attrition'!Y$1),VLOOKUP($F27+Y$2,$A$6:$C$106,2,FALSE)*VLOOKUP(Y$1,'Attrition Modeling'!$L$15:$N$27,IF(Y$2+$F27&lt;=24,2,3),FALSE)),$C$3)*(1+Projection!AA$16)*(1+IF(Y159&gt;0,'Attrition Modeling'!$N$9,0)))</f>
        <v>0</v>
      </c>
      <c r="Z27" s="799">
        <f>(Y27+Z159)*(1-IFERROR(IF(Z$2+$F27&lt;=12,SUMIFS('Attrition Modeling'!$D:$D,'Attrition Modeling'!$B:$B,'IP Attrition'!$D27,'Attrition Modeling'!$C:$C,'IP Attrition'!Z$1),VLOOKUP($F27+Z$2,$A$6:$C$106,2,FALSE)*VLOOKUP(Z$1,'Attrition Modeling'!$L$15:$N$27,IF(Z$2+$F27&lt;=24,2,3),FALSE)),$C$3)*(1+Projection!AB$16)*(1+IF(Z159&gt;0,'Attrition Modeling'!$N$9,0)))</f>
        <v>0</v>
      </c>
      <c r="AA27" s="799">
        <f>(Z27+AA159)*(1-IFERROR(IF(AA$2+$F27&lt;=12,SUMIFS('Attrition Modeling'!$D:$D,'Attrition Modeling'!$B:$B,'IP Attrition'!$D27,'Attrition Modeling'!$C:$C,'IP Attrition'!AA$1),VLOOKUP($F27+AA$2,$A$6:$C$106,2,FALSE)*VLOOKUP(AA$1,'Attrition Modeling'!$L$15:$N$27,IF(AA$2+$F27&lt;=24,2,3),FALSE)),$C$3)*(1+Projection!AC$16)*(1+IF(AA159&gt;0,'Attrition Modeling'!$N$9,0)))</f>
        <v>0</v>
      </c>
      <c r="AB27" s="799">
        <f>(AA27+AB159)*(1-IFERROR(IF(AB$2+$F27&lt;=12,SUMIFS('Attrition Modeling'!$D:$D,'Attrition Modeling'!$B:$B,'IP Attrition'!$D27,'Attrition Modeling'!$C:$C,'IP Attrition'!AB$1),VLOOKUP($F27+AB$2,$A$6:$C$106,2,FALSE)*VLOOKUP(AB$1,'Attrition Modeling'!$L$15:$N$27,IF(AB$2+$F27&lt;=24,2,3),FALSE)),$C$3)*(1+Projection!AD$16)*(1+IF(AB159&gt;0,'Attrition Modeling'!$N$9,0)))</f>
        <v>0</v>
      </c>
      <c r="AC27" s="799">
        <f>(AB27+AC159)*(1-IFERROR(IF(AC$2+$F27&lt;=12,SUMIFS('Attrition Modeling'!$D:$D,'Attrition Modeling'!$B:$B,'IP Attrition'!$D27,'Attrition Modeling'!$C:$C,'IP Attrition'!AC$1),VLOOKUP($F27+AC$2,$A$6:$C$106,2,FALSE)*VLOOKUP(AC$1,'Attrition Modeling'!$L$15:$N$27,IF(AC$2+$F27&lt;=24,2,3),FALSE)),$C$3)*(1+Projection!AE$16)*(1+IF(AC159&gt;0,'Attrition Modeling'!$N$9,0)))</f>
        <v>0</v>
      </c>
      <c r="AD27" s="799">
        <f>(AC27+AD159)*(1-IFERROR(IF(AD$2+$F27&lt;=12,SUMIFS('Attrition Modeling'!$D:$D,'Attrition Modeling'!$B:$B,'IP Attrition'!$D27,'Attrition Modeling'!$C:$C,'IP Attrition'!AD$1),VLOOKUP($F27+AD$2,$A$6:$C$106,2,FALSE)*VLOOKUP(AD$1,'Attrition Modeling'!$L$15:$N$27,IF(AD$2+$F27&lt;=24,2,3),FALSE)),$C$3)*(1+Projection!AF$16)*(1+IF(AD159&gt;0,'Attrition Modeling'!$N$9,0)))</f>
        <v>0</v>
      </c>
      <c r="AE27" s="799">
        <f>(AD27+AE159)*(1-IFERROR(IF(AE$2+$F27&lt;=12,SUMIFS('Attrition Modeling'!$D:$D,'Attrition Modeling'!$B:$B,'IP Attrition'!$D27,'Attrition Modeling'!$C:$C,'IP Attrition'!AE$1),VLOOKUP($F27+AE$2,$A$6:$C$106,2,FALSE)*VLOOKUP(AE$1,'Attrition Modeling'!$L$15:$N$27,IF(AE$2+$F27&lt;=24,2,3),FALSE)),$C$3)*(1+Projection!AG$16)*(1+IF(AE159&gt;0,'Attrition Modeling'!$N$9,0)))</f>
        <v>0</v>
      </c>
      <c r="AF27" s="799">
        <f>(AE27+AF159)*(1-IFERROR(IF(AF$2+$F27&lt;=12,SUMIFS('Attrition Modeling'!$D:$D,'Attrition Modeling'!$B:$B,'IP Attrition'!$D27,'Attrition Modeling'!$C:$C,'IP Attrition'!AF$1),VLOOKUP($F27+AF$2,$A$6:$C$106,2,FALSE)*VLOOKUP(AF$1,'Attrition Modeling'!$L$15:$N$27,IF(AF$2+$F27&lt;=24,2,3),FALSE)),$C$3)*(1+Projection!AH$16)*(1+IF(AF159&gt;0,'Attrition Modeling'!$N$9,0)))</f>
        <v>0</v>
      </c>
      <c r="AG27" s="799">
        <f>(AF27+AG159)*(1-IFERROR(IF(AG$2+$F27&lt;=12,SUMIFS('Attrition Modeling'!$D:$D,'Attrition Modeling'!$B:$B,'IP Attrition'!$D27,'Attrition Modeling'!$C:$C,'IP Attrition'!AG$1),VLOOKUP($F27+AG$2,$A$6:$C$106,2,FALSE)*VLOOKUP(AG$1,'Attrition Modeling'!$L$15:$N$27,IF(AG$2+$F27&lt;=24,2,3),FALSE)),$C$3)*(1+Projection!AI$16)*(1+IF(AG159&gt;0,'Attrition Modeling'!$N$9,0)))</f>
        <v>0</v>
      </c>
      <c r="AH27" s="799">
        <f>(AG27+AH159)*(1-IFERROR(IF(AH$2+$F27&lt;=12,SUMIFS('Attrition Modeling'!$D:$D,'Attrition Modeling'!$B:$B,'IP Attrition'!$D27,'Attrition Modeling'!$C:$C,'IP Attrition'!AH$1),VLOOKUP($F27+AH$2,$A$6:$C$106,2,FALSE)*VLOOKUP(AH$1,'Attrition Modeling'!$L$15:$N$27,IF(AH$2+$F27&lt;=24,2,3),FALSE)),$C$3)*(1+Projection!AJ$16)*(1+IF(AH159&gt;0,'Attrition Modeling'!$N$9,0)))</f>
        <v>0</v>
      </c>
      <c r="AI27" s="799">
        <f>(AH27+AI159)*(1-IFERROR(IF(AI$2+$F27&lt;=12,SUMIFS('Attrition Modeling'!$D:$D,'Attrition Modeling'!$B:$B,'IP Attrition'!$D27,'Attrition Modeling'!$C:$C,'IP Attrition'!AI$1),VLOOKUP($F27+AI$2,$A$6:$C$106,2,FALSE)*VLOOKUP(AI$1,'Attrition Modeling'!$L$15:$N$27,IF(AI$2+$F27&lt;=24,2,3),FALSE)),$C$3)*(1+Projection!AK$16)*(1+IF(AI159&gt;0,'Attrition Modeling'!$N$9,0)))</f>
        <v>0</v>
      </c>
      <c r="AJ27" s="799">
        <f>(AI27+AJ159)*(1-IFERROR(IF(AJ$2+$F27&lt;=12,SUMIFS('Attrition Modeling'!$D:$D,'Attrition Modeling'!$B:$B,'IP Attrition'!$D27,'Attrition Modeling'!$C:$C,'IP Attrition'!AJ$1),VLOOKUP($F27+AJ$2,$A$6:$C$106,2,FALSE)*VLOOKUP(AJ$1,'Attrition Modeling'!$L$15:$N$27,IF(AJ$2+$F27&lt;=24,2,3),FALSE)),$C$3)*(1+Projection!AL$16)*(1+IF(AJ159&gt;0,'Attrition Modeling'!$N$9,0)))</f>
        <v>0</v>
      </c>
      <c r="AK27" s="799">
        <f>(AJ27+AK159)*(1-IFERROR(IF(AK$2+$F27&lt;=12,SUMIFS('Attrition Modeling'!$D:$D,'Attrition Modeling'!$B:$B,'IP Attrition'!$D27,'Attrition Modeling'!$C:$C,'IP Attrition'!AK$1),VLOOKUP($F27+AK$2,$A$6:$C$106,2,FALSE)*VLOOKUP(AK$1,'Attrition Modeling'!$L$15:$N$27,IF(AK$2+$F27&lt;=24,2,3),FALSE)),$C$3)*(1+Projection!AM$16)*(1+IF(AK159&gt;0,'Attrition Modeling'!$N$9,0)))</f>
        <v>0</v>
      </c>
      <c r="AL27" s="799">
        <f>(AK27+AL159)*(1-IFERROR(IF(AL$2+$F27&lt;=12,SUMIFS('Attrition Modeling'!$D:$D,'Attrition Modeling'!$B:$B,'IP Attrition'!$D27,'Attrition Modeling'!$C:$C,'IP Attrition'!AL$1),VLOOKUP($F27+AL$2,$A$6:$C$106,2,FALSE)*VLOOKUP(AL$1,'Attrition Modeling'!$L$15:$N$27,IF(AL$2+$F27&lt;=24,2,3),FALSE)),$C$3)*(1+Projection!AN$16)*(1+IF(AL159&gt;0,'Attrition Modeling'!$N$9,0)))</f>
        <v>0</v>
      </c>
      <c r="AM27" s="799">
        <f>(AL27+AM159)*(1-IFERROR(IF(AM$2+$F27&lt;=12,SUMIFS('Attrition Modeling'!$D:$D,'Attrition Modeling'!$B:$B,'IP Attrition'!$D27,'Attrition Modeling'!$C:$C,'IP Attrition'!AM$1),VLOOKUP($F27+AM$2,$A$6:$C$106,2,FALSE)*VLOOKUP(AM$1,'Attrition Modeling'!$L$15:$N$27,IF(AM$2+$F27&lt;=24,2,3),FALSE)),$C$3)*(1+Projection!AO$16)*(1+IF(AM159&gt;0,'Attrition Modeling'!$N$9,0)))</f>
        <v>0</v>
      </c>
      <c r="AN27" s="799">
        <f>(AM27+AN159)*(1-IFERROR(IF(AN$2+$F27&lt;=12,SUMIFS('Attrition Modeling'!$D:$D,'Attrition Modeling'!$B:$B,'IP Attrition'!$D27,'Attrition Modeling'!$C:$C,'IP Attrition'!AN$1),VLOOKUP($F27+AN$2,$A$6:$C$106,2,FALSE)*VLOOKUP(AN$1,'Attrition Modeling'!$L$15:$N$27,IF(AN$2+$F27&lt;=24,2,3),FALSE)),$C$3)*(1+Projection!AP$16)*(1+IF(AN159&gt;0,'Attrition Modeling'!$N$9,0)))</f>
        <v>0</v>
      </c>
      <c r="AO27" s="799">
        <f>(AN27+AO159)*(1-IFERROR(IF(AO$2+$F27&lt;=12,SUMIFS('Attrition Modeling'!$D:$D,'Attrition Modeling'!$B:$B,'IP Attrition'!$D27,'Attrition Modeling'!$C:$C,'IP Attrition'!AO$1),VLOOKUP($F27+AO$2,$A$6:$C$106,2,FALSE)*VLOOKUP(AO$1,'Attrition Modeling'!$L$15:$N$27,IF(AO$2+$F27&lt;=24,2,3),FALSE)),$C$3)*(1+Projection!AQ$16)*(1+IF(AO159&gt;0,'Attrition Modeling'!$N$9,0)))</f>
        <v>0</v>
      </c>
      <c r="AP27" s="799">
        <f>(AO27+AP159)*(1-IFERROR(IF(AP$2+$F27&lt;=12,SUMIFS('Attrition Modeling'!$D:$D,'Attrition Modeling'!$B:$B,'IP Attrition'!$D27,'Attrition Modeling'!$C:$C,'IP Attrition'!AP$1),VLOOKUP($F27+AP$2,$A$6:$C$106,2,FALSE)*VLOOKUP(AP$1,'Attrition Modeling'!$L$15:$N$27,IF(AP$2+$F27&lt;=24,2,3),FALSE)),$C$3)*(1+Projection!AR$16)*(1+IF(AP159&gt;0,'Attrition Modeling'!$N$9,0)))</f>
        <v>0</v>
      </c>
      <c r="AQ27" s="799">
        <f>(AP27+AQ159)*(1-IFERROR(IF(AQ$2+$F27&lt;=12,SUMIFS('Attrition Modeling'!$D:$D,'Attrition Modeling'!$B:$B,'IP Attrition'!$D27,'Attrition Modeling'!$C:$C,'IP Attrition'!AQ$1),VLOOKUP($F27+AQ$2,$A$6:$C$106,2,FALSE)*VLOOKUP(AQ$1,'Attrition Modeling'!$L$15:$N$27,IF(AQ$2+$F27&lt;=24,2,3),FALSE)),$C$3)*(1+Projection!AS$16)*(1+IF(AQ159&gt;0,'Attrition Modeling'!$N$9,0)))</f>
        <v>0</v>
      </c>
      <c r="AR27" s="799">
        <f>(AQ27+AR159)*(1-IFERROR(IF(AR$2+$F27&lt;=12,SUMIFS('Attrition Modeling'!$D:$D,'Attrition Modeling'!$B:$B,'IP Attrition'!$D27,'Attrition Modeling'!$C:$C,'IP Attrition'!AR$1),VLOOKUP($F27+AR$2,$A$6:$C$106,2,FALSE)*VLOOKUP(AR$1,'Attrition Modeling'!$L$15:$N$27,IF(AR$2+$F27&lt;=24,2,3),FALSE)),$C$3)*(1+Projection!AT$16)*(1+IF(AR159&gt;0,'Attrition Modeling'!$N$9,0)))</f>
        <v>0</v>
      </c>
      <c r="AS27" s="799">
        <f>(AR27+AS159)*(1-IFERROR(IF(AS$2+$F27&lt;=12,SUMIFS('Attrition Modeling'!$D:$D,'Attrition Modeling'!$B:$B,'IP Attrition'!$D27,'Attrition Modeling'!$C:$C,'IP Attrition'!AS$1),VLOOKUP($F27+AS$2,$A$6:$C$106,2,FALSE)*VLOOKUP(AS$1,'Attrition Modeling'!$L$15:$N$27,IF(AS$2+$F27&lt;=24,2,3),FALSE)),$C$3)*(1+Projection!AU$16)*(1+IF(AS159&gt;0,'Attrition Modeling'!$N$9,0)))</f>
        <v>0</v>
      </c>
      <c r="AT27" s="799">
        <f>(AS27+AT159)*(1-IFERROR(IF(AT$2+$F27&lt;=12,SUMIFS('Attrition Modeling'!$D:$D,'Attrition Modeling'!$B:$B,'IP Attrition'!$D27,'Attrition Modeling'!$C:$C,'IP Attrition'!AT$1),VLOOKUP($F27+AT$2,$A$6:$C$106,2,FALSE)*VLOOKUP(AT$1,'Attrition Modeling'!$L$15:$N$27,IF(AT$2+$F27&lt;=24,2,3),FALSE)),$C$3)*(1+Projection!AV$16)*(1+IF(AT159&gt;0,'Attrition Modeling'!$N$9,0)))</f>
        <v>0</v>
      </c>
      <c r="AU27" s="799">
        <f>(AT27+AU159)*(1-IFERROR(IF(AU$2+$F27&lt;=12,SUMIFS('Attrition Modeling'!$D:$D,'Attrition Modeling'!$B:$B,'IP Attrition'!$D27,'Attrition Modeling'!$C:$C,'IP Attrition'!AU$1),VLOOKUP($F27+AU$2,$A$6:$C$106,2,FALSE)*VLOOKUP(AU$1,'Attrition Modeling'!$L$15:$N$27,IF(AU$2+$F27&lt;=24,2,3),FALSE)),$C$3)*(1+Projection!AW$16)*(1+IF(AU159&gt;0,'Attrition Modeling'!$N$9,0)))</f>
        <v>0</v>
      </c>
      <c r="AV27" s="799">
        <f>(AU27+AV159)*(1-IFERROR(IF(AV$2+$F27&lt;=12,SUMIFS('Attrition Modeling'!$D:$D,'Attrition Modeling'!$B:$B,'IP Attrition'!$D27,'Attrition Modeling'!$C:$C,'IP Attrition'!AV$1),VLOOKUP($F27+AV$2,$A$6:$C$106,2,FALSE)*VLOOKUP(AV$1,'Attrition Modeling'!$L$15:$N$27,IF(AV$2+$F27&lt;=24,2,3),FALSE)),$C$3)*(1+Projection!AX$16)*(1+IF(AV159&gt;0,'Attrition Modeling'!$N$9,0)))</f>
        <v>0</v>
      </c>
      <c r="AW27" s="799">
        <f>(AV27+AW159)*(1-IFERROR(IF(AW$2+$F27&lt;=12,SUMIFS('Attrition Modeling'!$D:$D,'Attrition Modeling'!$B:$B,'IP Attrition'!$D27,'Attrition Modeling'!$C:$C,'IP Attrition'!AW$1),VLOOKUP($F27+AW$2,$A$6:$C$106,2,FALSE)*VLOOKUP(AW$1,'Attrition Modeling'!$L$15:$N$27,IF(AW$2+$F27&lt;=24,2,3),FALSE)),$C$3)*(1+Projection!AY$16)*(1+IF(AW159&gt;0,'Attrition Modeling'!$N$9,0)))</f>
        <v>0</v>
      </c>
      <c r="AX27" s="799">
        <f>(AW27+AX159)*(1-IFERROR(IF(AX$2+$F27&lt;=12,SUMIFS('Attrition Modeling'!$D:$D,'Attrition Modeling'!$B:$B,'IP Attrition'!$D27,'Attrition Modeling'!$C:$C,'IP Attrition'!AX$1),VLOOKUP($F27+AX$2,$A$6:$C$106,2,FALSE)*VLOOKUP(AX$1,'Attrition Modeling'!$L$15:$N$27,IF(AX$2+$F27&lt;=24,2,3),FALSE)),$C$3)*(1+Projection!AZ$16)*(1+IF(AX159&gt;0,'Attrition Modeling'!$N$9,0)))</f>
        <v>0</v>
      </c>
      <c r="AY27" s="799">
        <f>(AX27+AY159)*(1-IFERROR(IF(AY$2+$F27&lt;=12,SUMIFS('Attrition Modeling'!$D:$D,'Attrition Modeling'!$B:$B,'IP Attrition'!$D27,'Attrition Modeling'!$C:$C,'IP Attrition'!AY$1),VLOOKUP($F27+AY$2,$A$6:$C$106,2,FALSE)*VLOOKUP(AY$1,'Attrition Modeling'!$L$15:$N$27,IF(AY$2+$F27&lt;=24,2,3),FALSE)),$C$3)*(1+Projection!BA$16)*(1+IF(AY159&gt;0,'Attrition Modeling'!$N$9,0)))</f>
        <v>0</v>
      </c>
      <c r="AZ27" s="799">
        <f>(AY27+AZ159)*(1-IFERROR(IF(AZ$2+$F27&lt;=12,SUMIFS('Attrition Modeling'!$D:$D,'Attrition Modeling'!$B:$B,'IP Attrition'!$D27,'Attrition Modeling'!$C:$C,'IP Attrition'!AZ$1),VLOOKUP($F27+AZ$2,$A$6:$C$106,2,FALSE)*VLOOKUP(AZ$1,'Attrition Modeling'!$L$15:$N$27,IF(AZ$2+$F27&lt;=24,2,3),FALSE)),$C$3)*(1+Projection!BB$16)*(1+IF(AZ159&gt;0,'Attrition Modeling'!$N$9,0)))</f>
        <v>0</v>
      </c>
      <c r="BA27" s="799">
        <f>(AZ27+BA159)*(1-IFERROR(IF(BA$2+$F27&lt;=12,SUMIFS('Attrition Modeling'!$D:$D,'Attrition Modeling'!$B:$B,'IP Attrition'!$D27,'Attrition Modeling'!$C:$C,'IP Attrition'!BA$1),VLOOKUP($F27+BA$2,$A$6:$C$106,2,FALSE)*VLOOKUP(BA$1,'Attrition Modeling'!$L$15:$N$27,IF(BA$2+$F27&lt;=24,2,3),FALSE)),$C$3)*(1+Projection!BC$16)*(1+IF(BA159&gt;0,'Attrition Modeling'!$N$9,0)))</f>
        <v>0</v>
      </c>
      <c r="BB27" s="799">
        <f>(BA27+BB159)*(1-IFERROR(IF(BB$2+$F27&lt;=12,SUMIFS('Attrition Modeling'!$D:$D,'Attrition Modeling'!$B:$B,'IP Attrition'!$D27,'Attrition Modeling'!$C:$C,'IP Attrition'!BB$1),VLOOKUP($F27+BB$2,$A$6:$C$106,2,FALSE)*VLOOKUP(BB$1,'Attrition Modeling'!$L$15:$N$27,IF(BB$2+$F27&lt;=24,2,3),FALSE)),$C$3)*(1+Projection!BD$16)*(1+IF(BB159&gt;0,'Attrition Modeling'!$N$9,0)))</f>
        <v>0</v>
      </c>
      <c r="BC27" s="799">
        <f>(BB27+BC159)*(1-IFERROR(IF(BC$2+$F27&lt;=12,SUMIFS('Attrition Modeling'!$D:$D,'Attrition Modeling'!$B:$B,'IP Attrition'!$D27,'Attrition Modeling'!$C:$C,'IP Attrition'!BC$1),VLOOKUP($F27+BC$2,$A$6:$C$106,2,FALSE)*VLOOKUP(BC$1,'Attrition Modeling'!$L$15:$N$27,IF(BC$2+$F27&lt;=24,2,3),FALSE)),$C$3)*(1+Projection!BE$16)*(1+IF(BC159&gt;0,'Attrition Modeling'!$N$9,0)))</f>
        <v>0</v>
      </c>
      <c r="BD27" s="799">
        <f>(BC27+BD159)*(1-IFERROR(IF(BD$2+$F27&lt;=12,SUMIFS('Attrition Modeling'!$D:$D,'Attrition Modeling'!$B:$B,'IP Attrition'!$D27,'Attrition Modeling'!$C:$C,'IP Attrition'!BD$1),VLOOKUP($F27+BD$2,$A$6:$C$106,2,FALSE)*VLOOKUP(BD$1,'Attrition Modeling'!$L$15:$N$27,IF(BD$2+$F27&lt;=24,2,3),FALSE)),$C$3)*(1+Projection!BF$16)*(1+IF(BD159&gt;0,'Attrition Modeling'!$N$9,0)))</f>
        <v>0</v>
      </c>
      <c r="BE27" s="799">
        <f>(BD27+BE159)*(1-IFERROR(IF(BE$2+$F27&lt;=12,SUMIFS('Attrition Modeling'!$D:$D,'Attrition Modeling'!$B:$B,'IP Attrition'!$D27,'Attrition Modeling'!$C:$C,'IP Attrition'!BE$1),VLOOKUP($F27+BE$2,$A$6:$C$106,2,FALSE)*VLOOKUP(BE$1,'Attrition Modeling'!$L$15:$N$27,IF(BE$2+$F27&lt;=24,2,3),FALSE)),$C$3)*(1+Projection!BG$16)*(1+IF(BE159&gt;0,'Attrition Modeling'!$N$9,0)))</f>
        <v>0</v>
      </c>
      <c r="BF27" s="799">
        <f>(BE27+BF159)*(1-IFERROR(IF(BF$2+$F27&lt;=12,SUMIFS('Attrition Modeling'!$D:$D,'Attrition Modeling'!$B:$B,'IP Attrition'!$D27,'Attrition Modeling'!$C:$C,'IP Attrition'!BF$1),VLOOKUP($F27+BF$2,$A$6:$C$106,2,FALSE)*VLOOKUP(BF$1,'Attrition Modeling'!$L$15:$N$27,IF(BF$2+$F27&lt;=24,2,3),FALSE)),$C$3)*(1+Projection!BH$16)*(1+IF(BF159&gt;0,'Attrition Modeling'!$N$9,0)))</f>
        <v>0</v>
      </c>
      <c r="BG27" s="799">
        <f>(BF27+BG159)*(1-IFERROR(IF(BG$2+$F27&lt;=12,SUMIFS('Attrition Modeling'!$D:$D,'Attrition Modeling'!$B:$B,'IP Attrition'!$D27,'Attrition Modeling'!$C:$C,'IP Attrition'!BG$1),VLOOKUP($F27+BG$2,$A$6:$C$106,2,FALSE)*VLOOKUP(BG$1,'Attrition Modeling'!$L$15:$N$27,IF(BG$2+$F27&lt;=24,2,3),FALSE)),$C$3)*(1+Projection!BI$16)*(1+IF(BG159&gt;0,'Attrition Modeling'!$N$9,0)))</f>
        <v>0</v>
      </c>
      <c r="BH27" s="799">
        <f>(BG27+BH159)*(1-IFERROR(IF(BH$2+$F27&lt;=12,SUMIFS('Attrition Modeling'!$D:$D,'Attrition Modeling'!$B:$B,'IP Attrition'!$D27,'Attrition Modeling'!$C:$C,'IP Attrition'!BH$1),VLOOKUP($F27+BH$2,$A$6:$C$106,2,FALSE)*VLOOKUP(BH$1,'Attrition Modeling'!$L$15:$N$27,IF(BH$2+$F27&lt;=24,2,3),FALSE)),$C$3)*(1+Projection!BJ$16)*(1+IF(BH159&gt;0,'Attrition Modeling'!$N$9,0)))</f>
        <v>0</v>
      </c>
      <c r="BI27" s="799">
        <f>(BH27+BI159)*(1-IFERROR(IF(BI$2+$F27&lt;=12,SUMIFS('Attrition Modeling'!$D:$D,'Attrition Modeling'!$B:$B,'IP Attrition'!$D27,'Attrition Modeling'!$C:$C,'IP Attrition'!BI$1),VLOOKUP($F27+BI$2,$A$6:$C$106,2,FALSE)*VLOOKUP(BI$1,'Attrition Modeling'!$L$15:$N$27,IF(BI$2+$F27&lt;=24,2,3),FALSE)),$C$3)*(1+Projection!BK$16)*(1+IF(BI159&gt;0,'Attrition Modeling'!$N$9,0)))</f>
        <v>0</v>
      </c>
      <c r="BJ27" s="799">
        <f>(BI27+BJ159)*(1-IFERROR(IF(BJ$2+$F27&lt;=12,SUMIFS('Attrition Modeling'!$D:$D,'Attrition Modeling'!$B:$B,'IP Attrition'!$D27,'Attrition Modeling'!$C:$C,'IP Attrition'!BJ$1),VLOOKUP($F27+BJ$2,$A$6:$C$106,2,FALSE)*VLOOKUP(BJ$1,'Attrition Modeling'!$L$15:$N$27,IF(BJ$2+$F27&lt;=24,2,3),FALSE)),$C$3)*(1+Projection!BL$16)*(1+IF(BJ159&gt;0,'Attrition Modeling'!$N$9,0)))</f>
        <v>0</v>
      </c>
      <c r="BK27" s="799">
        <f>(BJ27+BK159)*(1-IFERROR(IF(BK$2+$F27&lt;=12,SUMIFS('Attrition Modeling'!$D:$D,'Attrition Modeling'!$B:$B,'IP Attrition'!$D27,'Attrition Modeling'!$C:$C,'IP Attrition'!BK$1),VLOOKUP($F27+BK$2,$A$6:$C$106,2,FALSE)*VLOOKUP(BK$1,'Attrition Modeling'!$L$15:$N$27,IF(BK$2+$F27&lt;=24,2,3),FALSE)),$C$3)*(1+Projection!BM$16)*(1+IF(BK159&gt;0,'Attrition Modeling'!$N$9,0)))</f>
        <v>0</v>
      </c>
      <c r="BL27" s="799">
        <f>(BK27+BL159)*(1-IFERROR(IF(BL$2+$F27&lt;=12,SUMIFS('Attrition Modeling'!$D:$D,'Attrition Modeling'!$B:$B,'IP Attrition'!$D27,'Attrition Modeling'!$C:$C,'IP Attrition'!BL$1),VLOOKUP($F27+BL$2,$A$6:$C$106,2,FALSE)*VLOOKUP(BL$1,'Attrition Modeling'!$L$15:$N$27,IF(BL$2+$F27&lt;=24,2,3),FALSE)),$C$3)*(1+Projection!BN$16)*(1+IF(BL159&gt;0,'Attrition Modeling'!$N$9,0)))</f>
        <v>0</v>
      </c>
      <c r="BM27" s="799">
        <f>(BL27+BM159)*(1-IFERROR(IF(BM$2+$F27&lt;=12,SUMIFS('Attrition Modeling'!$D:$D,'Attrition Modeling'!$B:$B,'IP Attrition'!$D27,'Attrition Modeling'!$C:$C,'IP Attrition'!BM$1),VLOOKUP($F27+BM$2,$A$6:$C$106,2,FALSE)*VLOOKUP(BM$1,'Attrition Modeling'!$L$15:$N$27,IF(BM$2+$F27&lt;=24,2,3),FALSE)),$C$3)*(1+Projection!BO$16)*(1+IF(BM159&gt;0,'Attrition Modeling'!$N$9,0)))</f>
        <v>0</v>
      </c>
      <c r="BN27" s="799">
        <f>(BM27+BN159)*(1-IFERROR(IF(BN$2+$F27&lt;=12,SUMIFS('Attrition Modeling'!$D:$D,'Attrition Modeling'!$B:$B,'IP Attrition'!$D27,'Attrition Modeling'!$C:$C,'IP Attrition'!BN$1),VLOOKUP($F27+BN$2,$A$6:$C$106,2,FALSE)*VLOOKUP(BN$1,'Attrition Modeling'!$L$15:$N$27,IF(BN$2+$F27&lt;=24,2,3),FALSE)),$C$3)*(1+Projection!BP$16)*(1+IF(BN159&gt;0,'Attrition Modeling'!$N$9,0)))</f>
        <v>0</v>
      </c>
      <c r="BO27" s="799">
        <f>(BN27+BO159)*(1-IFERROR(IF(BO$2+$F27&lt;=12,SUMIFS('Attrition Modeling'!$D:$D,'Attrition Modeling'!$B:$B,'IP Attrition'!$D27,'Attrition Modeling'!$C:$C,'IP Attrition'!BO$1),VLOOKUP($F27+BO$2,$A$6:$C$106,2,FALSE)*VLOOKUP(BO$1,'Attrition Modeling'!$L$15:$N$27,IF(BO$2+$F27&lt;=24,2,3),FALSE)),$C$3)*(1+Projection!BV$16)*(1+IF(BO159&gt;0,'Attrition Modeling'!$N$9,0)))</f>
        <v>0</v>
      </c>
      <c r="BP27" s="799">
        <f>(BO27+BP159)*(1-IFERROR(IF(BP$2+$F27&lt;=12,SUMIFS('Attrition Modeling'!$D:$D,'Attrition Modeling'!$B:$B,'IP Attrition'!$D27,'Attrition Modeling'!$C:$C,'IP Attrition'!BP$1),VLOOKUP($F27+BP$2,$A$6:$C$106,2,FALSE)*VLOOKUP(BP$1,'Attrition Modeling'!$L$15:$N$27,IF(BP$2+$F27&lt;=24,2,3),FALSE)),$C$3)*(1+Projection!BW$16)*(1+IF(BP159&gt;0,'Attrition Modeling'!$N$9,0)))</f>
        <v>0</v>
      </c>
      <c r="BQ27" s="799">
        <f>(BP27+BQ159)*(1-IFERROR(IF(BQ$2+$F27&lt;=12,SUMIFS('Attrition Modeling'!$D:$D,'Attrition Modeling'!$B:$B,'IP Attrition'!$D27,'Attrition Modeling'!$C:$C,'IP Attrition'!BQ$1),VLOOKUP($F27+BQ$2,$A$6:$C$106,2,FALSE)*VLOOKUP(BQ$1,'Attrition Modeling'!$L$15:$N$27,IF(BQ$2+$F27&lt;=24,2,3),FALSE)),$C$3)*(1+Projection!BX$16)*(1+IF(BQ159&gt;0,'Attrition Modeling'!$N$9,0)))</f>
        <v>0</v>
      </c>
      <c r="BR27" s="799">
        <f>(BQ27+BR159)*(1-IFERROR(IF(BR$2+$F27&lt;=12,SUMIFS('Attrition Modeling'!$D:$D,'Attrition Modeling'!$B:$B,'IP Attrition'!$D27,'Attrition Modeling'!$C:$C,'IP Attrition'!BR$1),VLOOKUP($F27+BR$2,$A$6:$C$106,2,FALSE)*VLOOKUP(BR$1,'Attrition Modeling'!$L$15:$N$27,IF(BR$2+$F27&lt;=24,2,3),FALSE)),$C$3)*(1+Projection!BY$16)*(1+IF(BR159&gt;0,'Attrition Modeling'!$N$9,0)))</f>
        <v>0</v>
      </c>
      <c r="BS27" s="799">
        <f>(BR27+BS159)*(1-IFERROR(IF(BS$2+$F27&lt;=12,SUMIFS('Attrition Modeling'!$D:$D,'Attrition Modeling'!$B:$B,'IP Attrition'!$D27,'Attrition Modeling'!$C:$C,'IP Attrition'!BS$1),VLOOKUP($F27+BS$2,$A$6:$C$106,2,FALSE)*VLOOKUP(BS$1,'Attrition Modeling'!$L$15:$N$27,IF(BS$2+$F27&lt;=24,2,3),FALSE)),$C$3)*(1+Projection!BZ$16)*(1+IF(BS159&gt;0,'Attrition Modeling'!$N$9,0)))</f>
        <v>0</v>
      </c>
      <c r="BT27" s="799" t="e">
        <f>(BS27+BT159)*(1-IFERROR(IF(BT$2+$F27&lt;=12,SUMIFS('Attrition Modeling'!$D:$D,'Attrition Modeling'!$B:$B,'IP Attrition'!$D27,'Attrition Modeling'!$C:$C,'IP Attrition'!BT$1),VLOOKUP($F27+BT$2,$A$6:$C$106,2,FALSE)*VLOOKUP(BT$1,'Attrition Modeling'!$L$15:$N$27,IF(BT$2+$F27&lt;=24,2,3),FALSE)),$C$3)*(1+Projection!CA$16)*(1+IF(BT159&gt;0,'Attrition Modeling'!$N$9,0)))</f>
        <v>#REF!</v>
      </c>
      <c r="BU27" s="799" t="e">
        <f>(BT27+BU159)*(1-IFERROR(IF(BU$2+$F27&lt;=12,SUMIFS('Attrition Modeling'!$D:$D,'Attrition Modeling'!$B:$B,'IP Attrition'!$D27,'Attrition Modeling'!$C:$C,'IP Attrition'!BU$1),VLOOKUP($F27+BU$2,$A$6:$C$106,2,FALSE)*VLOOKUP(BU$1,'Attrition Modeling'!$L$15:$N$27,IF(BU$2+$F27&lt;=24,2,3),FALSE)),$C$3)*(1+Projection!CB$16)*(1+IF(BU159&gt;0,'Attrition Modeling'!$N$9,0)))</f>
        <v>#REF!</v>
      </c>
    </row>
    <row r="28" spans="1:73" ht="14.25" customHeight="1" x14ac:dyDescent="0.2">
      <c r="A28" s="9">
        <v>21</v>
      </c>
      <c r="B28" s="25">
        <f>MAX('Attrition Modeling'!H25,$C$3)*(1-Summary!$C$20)</f>
        <v>4.0513861247265755E-2</v>
      </c>
      <c r="C28" s="24" t="e">
        <f t="shared" si="3"/>
        <v>#DIV/0!</v>
      </c>
      <c r="D28" s="11">
        <f t="shared" si="1"/>
        <v>-25</v>
      </c>
      <c r="E28" s="807">
        <f t="array" ref="E28">INDEX('Attrition Modeling'!$X$2:$AF$63,MATCH($F28,'Attrition Modeling'!$X$2:$X$63,0),MATCH(Inputs!$C$10,'Attrition Modeling'!$X$2:$AF$2,0))</f>
        <v>0</v>
      </c>
      <c r="F28" s="11">
        <f t="shared" si="2"/>
        <v>25</v>
      </c>
      <c r="G28" s="799">
        <f>Summary!$C$25*$E28</f>
        <v>0</v>
      </c>
      <c r="H28" s="799">
        <f>(G28+H160)*(1-IFERROR(IF(H$2+$F28&lt;=12,SUMIFS('Attrition Modeling'!$D:$D,'Attrition Modeling'!$B:$B,'IP Attrition'!$D28,'Attrition Modeling'!$C:$C,'IP Attrition'!H$1),VLOOKUP($F28+H$2,$A$6:$C$106,2,FALSE)*VLOOKUP(H$1,'Attrition Modeling'!$L$15:$N$27,IF(H$2+$F28&lt;=24,2,3),FALSE)),$C$3)*(1+Projection!J$16)*(1+IF(H160&gt;0,'Attrition Modeling'!$N$9,0)))</f>
        <v>0</v>
      </c>
      <c r="I28" s="799">
        <f>(H28+I160)*(1-IFERROR(IF(I$2+$F28&lt;=12,SUMIFS('Attrition Modeling'!$D:$D,'Attrition Modeling'!$B:$B,'IP Attrition'!$D28,'Attrition Modeling'!$C:$C,'IP Attrition'!I$1),VLOOKUP($F28+I$2,$A$6:$C$106,2,FALSE)*VLOOKUP(I$1,'Attrition Modeling'!$L$15:$N$27,IF(I$2+$F28&lt;=24,2,3),FALSE)),$C$3)*(1+Projection!K$16)*(1+IF(I160&gt;0,'Attrition Modeling'!$N$9,0)))</f>
        <v>0</v>
      </c>
      <c r="J28" s="799">
        <f>(I28+J160)*(1-IFERROR(IF(J$2+$F28&lt;=12,SUMIFS('Attrition Modeling'!$D:$D,'Attrition Modeling'!$B:$B,'IP Attrition'!$D28,'Attrition Modeling'!$C:$C,'IP Attrition'!J$1),VLOOKUP($F28+J$2,$A$6:$C$106,2,FALSE)*VLOOKUP(J$1,'Attrition Modeling'!$L$15:$N$27,IF(J$2+$F28&lt;=24,2,3),FALSE)),$C$3)*(1+Projection!L$16)*(1+IF(J160&gt;0,'Attrition Modeling'!$N$9,0)))</f>
        <v>0</v>
      </c>
      <c r="K28" s="799">
        <f>(J28+K160)*(1-IFERROR(IF(K$2+$F28&lt;=12,SUMIFS('Attrition Modeling'!$D:$D,'Attrition Modeling'!$B:$B,'IP Attrition'!$D28,'Attrition Modeling'!$C:$C,'IP Attrition'!K$1),VLOOKUP($F28+K$2,$A$6:$C$106,2,FALSE)*VLOOKUP(K$1,'Attrition Modeling'!$L$15:$N$27,IF(K$2+$F28&lt;=24,2,3),FALSE)),$C$3)*(1+Projection!M$16)*(1+IF(K160&gt;0,'Attrition Modeling'!$N$9,0)))</f>
        <v>0</v>
      </c>
      <c r="L28" s="799">
        <f>(K28+L160)*(1-IFERROR(IF(L$2+$F28&lt;=12,SUMIFS('Attrition Modeling'!$D:$D,'Attrition Modeling'!$B:$B,'IP Attrition'!$D28,'Attrition Modeling'!$C:$C,'IP Attrition'!L$1),VLOOKUP($F28+L$2,$A$6:$C$106,2,FALSE)*VLOOKUP(L$1,'Attrition Modeling'!$L$15:$N$27,IF(L$2+$F28&lt;=24,2,3),FALSE)),$C$3)*(1+Projection!N$16)*(1+IF(L160&gt;0,'Attrition Modeling'!$N$9,0)))</f>
        <v>0</v>
      </c>
      <c r="M28" s="799">
        <f>(L28+M160)*(1-IFERROR(IF(M$2+$F28&lt;=12,SUMIFS('Attrition Modeling'!$D:$D,'Attrition Modeling'!$B:$B,'IP Attrition'!$D28,'Attrition Modeling'!$C:$C,'IP Attrition'!M$1),VLOOKUP($F28+M$2,$A$6:$C$106,2,FALSE)*VLOOKUP(M$1,'Attrition Modeling'!$L$15:$N$27,IF(M$2+$F28&lt;=24,2,3),FALSE)),$C$3)*(1+Projection!O$16)*(1+IF(M160&gt;0,'Attrition Modeling'!$N$9,0)))</f>
        <v>0</v>
      </c>
      <c r="N28" s="799">
        <f>(M28+N160)*(1-IFERROR(IF(N$2+$F28&lt;=12,SUMIFS('Attrition Modeling'!$D:$D,'Attrition Modeling'!$B:$B,'IP Attrition'!$D28,'Attrition Modeling'!$C:$C,'IP Attrition'!N$1),VLOOKUP($F28+N$2,$A$6:$C$106,2,FALSE)*VLOOKUP(N$1,'Attrition Modeling'!$L$15:$N$27,IF(N$2+$F28&lt;=24,2,3),FALSE)),$C$3)*(1+Projection!P$16)*(1+IF(N160&gt;0,'Attrition Modeling'!$N$9,0)))</f>
        <v>0</v>
      </c>
      <c r="O28" s="799">
        <f>(N28+O160)*(1-IFERROR(IF(O$2+$F28&lt;=12,SUMIFS('Attrition Modeling'!$D:$D,'Attrition Modeling'!$B:$B,'IP Attrition'!$D28,'Attrition Modeling'!$C:$C,'IP Attrition'!O$1),VLOOKUP($F28+O$2,$A$6:$C$106,2,FALSE)*VLOOKUP(O$1,'Attrition Modeling'!$L$15:$N$27,IF(O$2+$F28&lt;=24,2,3),FALSE)),$C$3)*(1+Projection!Q$16)*(1+IF(O160&gt;0,'Attrition Modeling'!$N$9,0)))</f>
        <v>0</v>
      </c>
      <c r="P28" s="799">
        <f>(O28+P160)*(1-IFERROR(IF(P$2+$F28&lt;=12,SUMIFS('Attrition Modeling'!$D:$D,'Attrition Modeling'!$B:$B,'IP Attrition'!$D28,'Attrition Modeling'!$C:$C,'IP Attrition'!P$1),VLOOKUP($F28+P$2,$A$6:$C$106,2,FALSE)*VLOOKUP(P$1,'Attrition Modeling'!$L$15:$N$27,IF(P$2+$F28&lt;=24,2,3),FALSE)),$C$3)*(1+Projection!R$16)*(1+IF(P160&gt;0,'Attrition Modeling'!$N$9,0)))</f>
        <v>0</v>
      </c>
      <c r="Q28" s="799">
        <f>(P28+Q160)*(1-IFERROR(IF(Q$2+$F28&lt;=12,SUMIFS('Attrition Modeling'!$D:$D,'Attrition Modeling'!$B:$B,'IP Attrition'!$D28,'Attrition Modeling'!$C:$C,'IP Attrition'!Q$1),VLOOKUP($F28+Q$2,$A$6:$C$106,2,FALSE)*VLOOKUP(Q$1,'Attrition Modeling'!$L$15:$N$27,IF(Q$2+$F28&lt;=24,2,3),FALSE)),$C$3)*(1+Projection!S$16)*(1+IF(Q160&gt;0,'Attrition Modeling'!$N$9,0)))</f>
        <v>0</v>
      </c>
      <c r="R28" s="799">
        <f>(Q28+R160)*(1-IFERROR(IF(R$2+$F28&lt;=12,SUMIFS('Attrition Modeling'!$D:$D,'Attrition Modeling'!$B:$B,'IP Attrition'!$D28,'Attrition Modeling'!$C:$C,'IP Attrition'!R$1),VLOOKUP($F28+R$2,$A$6:$C$106,2,FALSE)*VLOOKUP(R$1,'Attrition Modeling'!$L$15:$N$27,IF(R$2+$F28&lt;=24,2,3),FALSE)),$C$3)*(1+Projection!T$16)*(1+IF(R160&gt;0,'Attrition Modeling'!$N$9,0)))</f>
        <v>0</v>
      </c>
      <c r="S28" s="799">
        <f>(R28+S160)*(1-IFERROR(IF(S$2+$F28&lt;=12,SUMIFS('Attrition Modeling'!$D:$D,'Attrition Modeling'!$B:$B,'IP Attrition'!$D28,'Attrition Modeling'!$C:$C,'IP Attrition'!S$1),VLOOKUP($F28+S$2,$A$6:$C$106,2,FALSE)*VLOOKUP(S$1,'Attrition Modeling'!$L$15:$N$27,IF(S$2+$F28&lt;=24,2,3),FALSE)),$C$3)*(1+Projection!U$16)*(1+IF(S160&gt;0,'Attrition Modeling'!$N$9,0)))</f>
        <v>0</v>
      </c>
      <c r="T28" s="799">
        <f>(S28+T160)*(1-IFERROR(IF(T$2+$F28&lt;=12,SUMIFS('Attrition Modeling'!$D:$D,'Attrition Modeling'!$B:$B,'IP Attrition'!$D28,'Attrition Modeling'!$C:$C,'IP Attrition'!T$1),VLOOKUP($F28+T$2,$A$6:$C$106,2,FALSE)*VLOOKUP(T$1,'Attrition Modeling'!$L$15:$N$27,IF(T$2+$F28&lt;=24,2,3),FALSE)),$C$3)*(1+Projection!V$16)*(1+IF(T160&gt;0,'Attrition Modeling'!$N$9,0)))</f>
        <v>0</v>
      </c>
      <c r="U28" s="799">
        <f>(T28+U160)*(1-IFERROR(IF(U$2+$F28&lt;=12,SUMIFS('Attrition Modeling'!$D:$D,'Attrition Modeling'!$B:$B,'IP Attrition'!$D28,'Attrition Modeling'!$C:$C,'IP Attrition'!U$1),VLOOKUP($F28+U$2,$A$6:$C$106,2,FALSE)*VLOOKUP(U$1,'Attrition Modeling'!$L$15:$N$27,IF(U$2+$F28&lt;=24,2,3),FALSE)),$C$3)*(1+Projection!W$16)*(1+IF(U160&gt;0,'Attrition Modeling'!$N$9,0)))</f>
        <v>0</v>
      </c>
      <c r="V28" s="799">
        <f>(U28+V160)*(1-IFERROR(IF(V$2+$F28&lt;=12,SUMIFS('Attrition Modeling'!$D:$D,'Attrition Modeling'!$B:$B,'IP Attrition'!$D28,'Attrition Modeling'!$C:$C,'IP Attrition'!V$1),VLOOKUP($F28+V$2,$A$6:$C$106,2,FALSE)*VLOOKUP(V$1,'Attrition Modeling'!$L$15:$N$27,IF(V$2+$F28&lt;=24,2,3),FALSE)),$C$3)*(1+Projection!X$16)*(1+IF(V160&gt;0,'Attrition Modeling'!$N$9,0)))</f>
        <v>0</v>
      </c>
      <c r="W28" s="799">
        <f>(V28+W160)*(1-IFERROR(IF(W$2+$F28&lt;=12,SUMIFS('Attrition Modeling'!$D:$D,'Attrition Modeling'!$B:$B,'IP Attrition'!$D28,'Attrition Modeling'!$C:$C,'IP Attrition'!W$1),VLOOKUP($F28+W$2,$A$6:$C$106,2,FALSE)*VLOOKUP(W$1,'Attrition Modeling'!$L$15:$N$27,IF(W$2+$F28&lt;=24,2,3),FALSE)),$C$3)*(1+Projection!Y$16)*(1+IF(W160&gt;0,'Attrition Modeling'!$N$9,0)))</f>
        <v>0</v>
      </c>
      <c r="X28" s="799">
        <f>(W28+X160)*(1-IFERROR(IF(X$2+$F28&lt;=12,SUMIFS('Attrition Modeling'!$D:$D,'Attrition Modeling'!$B:$B,'IP Attrition'!$D28,'Attrition Modeling'!$C:$C,'IP Attrition'!X$1),VLOOKUP($F28+X$2,$A$6:$C$106,2,FALSE)*VLOOKUP(X$1,'Attrition Modeling'!$L$15:$N$27,IF(X$2+$F28&lt;=24,2,3),FALSE)),$C$3)*(1+Projection!Z$16)*(1+IF(X160&gt;0,'Attrition Modeling'!$N$9,0)))</f>
        <v>0</v>
      </c>
      <c r="Y28" s="799">
        <f>(X28+Y160)*(1-IFERROR(IF(Y$2+$F28&lt;=12,SUMIFS('Attrition Modeling'!$D:$D,'Attrition Modeling'!$B:$B,'IP Attrition'!$D28,'Attrition Modeling'!$C:$C,'IP Attrition'!Y$1),VLOOKUP($F28+Y$2,$A$6:$C$106,2,FALSE)*VLOOKUP(Y$1,'Attrition Modeling'!$L$15:$N$27,IF(Y$2+$F28&lt;=24,2,3),FALSE)),$C$3)*(1+Projection!AA$16)*(1+IF(Y160&gt;0,'Attrition Modeling'!$N$9,0)))</f>
        <v>0</v>
      </c>
      <c r="Z28" s="799">
        <f>(Y28+Z160)*(1-IFERROR(IF(Z$2+$F28&lt;=12,SUMIFS('Attrition Modeling'!$D:$D,'Attrition Modeling'!$B:$B,'IP Attrition'!$D28,'Attrition Modeling'!$C:$C,'IP Attrition'!Z$1),VLOOKUP($F28+Z$2,$A$6:$C$106,2,FALSE)*VLOOKUP(Z$1,'Attrition Modeling'!$L$15:$N$27,IF(Z$2+$F28&lt;=24,2,3),FALSE)),$C$3)*(1+Projection!AB$16)*(1+IF(Z160&gt;0,'Attrition Modeling'!$N$9,0)))</f>
        <v>0</v>
      </c>
      <c r="AA28" s="799">
        <f>(Z28+AA160)*(1-IFERROR(IF(AA$2+$F28&lt;=12,SUMIFS('Attrition Modeling'!$D:$D,'Attrition Modeling'!$B:$B,'IP Attrition'!$D28,'Attrition Modeling'!$C:$C,'IP Attrition'!AA$1),VLOOKUP($F28+AA$2,$A$6:$C$106,2,FALSE)*VLOOKUP(AA$1,'Attrition Modeling'!$L$15:$N$27,IF(AA$2+$F28&lt;=24,2,3),FALSE)),$C$3)*(1+Projection!AC$16)*(1+IF(AA160&gt;0,'Attrition Modeling'!$N$9,0)))</f>
        <v>0</v>
      </c>
      <c r="AB28" s="799">
        <f>(AA28+AB160)*(1-IFERROR(IF(AB$2+$F28&lt;=12,SUMIFS('Attrition Modeling'!$D:$D,'Attrition Modeling'!$B:$B,'IP Attrition'!$D28,'Attrition Modeling'!$C:$C,'IP Attrition'!AB$1),VLOOKUP($F28+AB$2,$A$6:$C$106,2,FALSE)*VLOOKUP(AB$1,'Attrition Modeling'!$L$15:$N$27,IF(AB$2+$F28&lt;=24,2,3),FALSE)),$C$3)*(1+Projection!AD$16)*(1+IF(AB160&gt;0,'Attrition Modeling'!$N$9,0)))</f>
        <v>0</v>
      </c>
      <c r="AC28" s="799">
        <f>(AB28+AC160)*(1-IFERROR(IF(AC$2+$F28&lt;=12,SUMIFS('Attrition Modeling'!$D:$D,'Attrition Modeling'!$B:$B,'IP Attrition'!$D28,'Attrition Modeling'!$C:$C,'IP Attrition'!AC$1),VLOOKUP($F28+AC$2,$A$6:$C$106,2,FALSE)*VLOOKUP(AC$1,'Attrition Modeling'!$L$15:$N$27,IF(AC$2+$F28&lt;=24,2,3),FALSE)),$C$3)*(1+Projection!AE$16)*(1+IF(AC160&gt;0,'Attrition Modeling'!$N$9,0)))</f>
        <v>0</v>
      </c>
      <c r="AD28" s="799">
        <f>(AC28+AD160)*(1-IFERROR(IF(AD$2+$F28&lt;=12,SUMIFS('Attrition Modeling'!$D:$D,'Attrition Modeling'!$B:$B,'IP Attrition'!$D28,'Attrition Modeling'!$C:$C,'IP Attrition'!AD$1),VLOOKUP($F28+AD$2,$A$6:$C$106,2,FALSE)*VLOOKUP(AD$1,'Attrition Modeling'!$L$15:$N$27,IF(AD$2+$F28&lt;=24,2,3),FALSE)),$C$3)*(1+Projection!AF$16)*(1+IF(AD160&gt;0,'Attrition Modeling'!$N$9,0)))</f>
        <v>0</v>
      </c>
      <c r="AE28" s="799">
        <f>(AD28+AE160)*(1-IFERROR(IF(AE$2+$F28&lt;=12,SUMIFS('Attrition Modeling'!$D:$D,'Attrition Modeling'!$B:$B,'IP Attrition'!$D28,'Attrition Modeling'!$C:$C,'IP Attrition'!AE$1),VLOOKUP($F28+AE$2,$A$6:$C$106,2,FALSE)*VLOOKUP(AE$1,'Attrition Modeling'!$L$15:$N$27,IF(AE$2+$F28&lt;=24,2,3),FALSE)),$C$3)*(1+Projection!AG$16)*(1+IF(AE160&gt;0,'Attrition Modeling'!$N$9,0)))</f>
        <v>0</v>
      </c>
      <c r="AF28" s="799">
        <f>(AE28+AF160)*(1-IFERROR(IF(AF$2+$F28&lt;=12,SUMIFS('Attrition Modeling'!$D:$D,'Attrition Modeling'!$B:$B,'IP Attrition'!$D28,'Attrition Modeling'!$C:$C,'IP Attrition'!AF$1),VLOOKUP($F28+AF$2,$A$6:$C$106,2,FALSE)*VLOOKUP(AF$1,'Attrition Modeling'!$L$15:$N$27,IF(AF$2+$F28&lt;=24,2,3),FALSE)),$C$3)*(1+Projection!AH$16)*(1+IF(AF160&gt;0,'Attrition Modeling'!$N$9,0)))</f>
        <v>0</v>
      </c>
      <c r="AG28" s="799">
        <f>(AF28+AG160)*(1-IFERROR(IF(AG$2+$F28&lt;=12,SUMIFS('Attrition Modeling'!$D:$D,'Attrition Modeling'!$B:$B,'IP Attrition'!$D28,'Attrition Modeling'!$C:$C,'IP Attrition'!AG$1),VLOOKUP($F28+AG$2,$A$6:$C$106,2,FALSE)*VLOOKUP(AG$1,'Attrition Modeling'!$L$15:$N$27,IF(AG$2+$F28&lt;=24,2,3),FALSE)),$C$3)*(1+Projection!AI$16)*(1+IF(AG160&gt;0,'Attrition Modeling'!$N$9,0)))</f>
        <v>0</v>
      </c>
      <c r="AH28" s="799">
        <f>(AG28+AH160)*(1-IFERROR(IF(AH$2+$F28&lt;=12,SUMIFS('Attrition Modeling'!$D:$D,'Attrition Modeling'!$B:$B,'IP Attrition'!$D28,'Attrition Modeling'!$C:$C,'IP Attrition'!AH$1),VLOOKUP($F28+AH$2,$A$6:$C$106,2,FALSE)*VLOOKUP(AH$1,'Attrition Modeling'!$L$15:$N$27,IF(AH$2+$F28&lt;=24,2,3),FALSE)),$C$3)*(1+Projection!AJ$16)*(1+IF(AH160&gt;0,'Attrition Modeling'!$N$9,0)))</f>
        <v>0</v>
      </c>
      <c r="AI28" s="799">
        <f>(AH28+AI160)*(1-IFERROR(IF(AI$2+$F28&lt;=12,SUMIFS('Attrition Modeling'!$D:$D,'Attrition Modeling'!$B:$B,'IP Attrition'!$D28,'Attrition Modeling'!$C:$C,'IP Attrition'!AI$1),VLOOKUP($F28+AI$2,$A$6:$C$106,2,FALSE)*VLOOKUP(AI$1,'Attrition Modeling'!$L$15:$N$27,IF(AI$2+$F28&lt;=24,2,3),FALSE)),$C$3)*(1+Projection!AK$16)*(1+IF(AI160&gt;0,'Attrition Modeling'!$N$9,0)))</f>
        <v>0</v>
      </c>
      <c r="AJ28" s="799">
        <f>(AI28+AJ160)*(1-IFERROR(IF(AJ$2+$F28&lt;=12,SUMIFS('Attrition Modeling'!$D:$D,'Attrition Modeling'!$B:$B,'IP Attrition'!$D28,'Attrition Modeling'!$C:$C,'IP Attrition'!AJ$1),VLOOKUP($F28+AJ$2,$A$6:$C$106,2,FALSE)*VLOOKUP(AJ$1,'Attrition Modeling'!$L$15:$N$27,IF(AJ$2+$F28&lt;=24,2,3),FALSE)),$C$3)*(1+Projection!AL$16)*(1+IF(AJ160&gt;0,'Attrition Modeling'!$N$9,0)))</f>
        <v>0</v>
      </c>
      <c r="AK28" s="799">
        <f>(AJ28+AK160)*(1-IFERROR(IF(AK$2+$F28&lt;=12,SUMIFS('Attrition Modeling'!$D:$D,'Attrition Modeling'!$B:$B,'IP Attrition'!$D28,'Attrition Modeling'!$C:$C,'IP Attrition'!AK$1),VLOOKUP($F28+AK$2,$A$6:$C$106,2,FALSE)*VLOOKUP(AK$1,'Attrition Modeling'!$L$15:$N$27,IF(AK$2+$F28&lt;=24,2,3),FALSE)),$C$3)*(1+Projection!AM$16)*(1+IF(AK160&gt;0,'Attrition Modeling'!$N$9,0)))</f>
        <v>0</v>
      </c>
      <c r="AL28" s="799">
        <f>(AK28+AL160)*(1-IFERROR(IF(AL$2+$F28&lt;=12,SUMIFS('Attrition Modeling'!$D:$D,'Attrition Modeling'!$B:$B,'IP Attrition'!$D28,'Attrition Modeling'!$C:$C,'IP Attrition'!AL$1),VLOOKUP($F28+AL$2,$A$6:$C$106,2,FALSE)*VLOOKUP(AL$1,'Attrition Modeling'!$L$15:$N$27,IF(AL$2+$F28&lt;=24,2,3),FALSE)),$C$3)*(1+Projection!AN$16)*(1+IF(AL160&gt;0,'Attrition Modeling'!$N$9,0)))</f>
        <v>0</v>
      </c>
      <c r="AM28" s="799">
        <f>(AL28+AM160)*(1-IFERROR(IF(AM$2+$F28&lt;=12,SUMIFS('Attrition Modeling'!$D:$D,'Attrition Modeling'!$B:$B,'IP Attrition'!$D28,'Attrition Modeling'!$C:$C,'IP Attrition'!AM$1),VLOOKUP($F28+AM$2,$A$6:$C$106,2,FALSE)*VLOOKUP(AM$1,'Attrition Modeling'!$L$15:$N$27,IF(AM$2+$F28&lt;=24,2,3),FALSE)),$C$3)*(1+Projection!AO$16)*(1+IF(AM160&gt;0,'Attrition Modeling'!$N$9,0)))</f>
        <v>0</v>
      </c>
      <c r="AN28" s="799">
        <f>(AM28+AN160)*(1-IFERROR(IF(AN$2+$F28&lt;=12,SUMIFS('Attrition Modeling'!$D:$D,'Attrition Modeling'!$B:$B,'IP Attrition'!$D28,'Attrition Modeling'!$C:$C,'IP Attrition'!AN$1),VLOOKUP($F28+AN$2,$A$6:$C$106,2,FALSE)*VLOOKUP(AN$1,'Attrition Modeling'!$L$15:$N$27,IF(AN$2+$F28&lt;=24,2,3),FALSE)),$C$3)*(1+Projection!AP$16)*(1+IF(AN160&gt;0,'Attrition Modeling'!$N$9,0)))</f>
        <v>0</v>
      </c>
      <c r="AO28" s="799">
        <f>(AN28+AO160)*(1-IFERROR(IF(AO$2+$F28&lt;=12,SUMIFS('Attrition Modeling'!$D:$D,'Attrition Modeling'!$B:$B,'IP Attrition'!$D28,'Attrition Modeling'!$C:$C,'IP Attrition'!AO$1),VLOOKUP($F28+AO$2,$A$6:$C$106,2,FALSE)*VLOOKUP(AO$1,'Attrition Modeling'!$L$15:$N$27,IF(AO$2+$F28&lt;=24,2,3),FALSE)),$C$3)*(1+Projection!AQ$16)*(1+IF(AO160&gt;0,'Attrition Modeling'!$N$9,0)))</f>
        <v>0</v>
      </c>
      <c r="AP28" s="799">
        <f>(AO28+AP160)*(1-IFERROR(IF(AP$2+$F28&lt;=12,SUMIFS('Attrition Modeling'!$D:$D,'Attrition Modeling'!$B:$B,'IP Attrition'!$D28,'Attrition Modeling'!$C:$C,'IP Attrition'!AP$1),VLOOKUP($F28+AP$2,$A$6:$C$106,2,FALSE)*VLOOKUP(AP$1,'Attrition Modeling'!$L$15:$N$27,IF(AP$2+$F28&lt;=24,2,3),FALSE)),$C$3)*(1+Projection!AR$16)*(1+IF(AP160&gt;0,'Attrition Modeling'!$N$9,0)))</f>
        <v>0</v>
      </c>
      <c r="AQ28" s="799">
        <f>(AP28+AQ160)*(1-IFERROR(IF(AQ$2+$F28&lt;=12,SUMIFS('Attrition Modeling'!$D:$D,'Attrition Modeling'!$B:$B,'IP Attrition'!$D28,'Attrition Modeling'!$C:$C,'IP Attrition'!AQ$1),VLOOKUP($F28+AQ$2,$A$6:$C$106,2,FALSE)*VLOOKUP(AQ$1,'Attrition Modeling'!$L$15:$N$27,IF(AQ$2+$F28&lt;=24,2,3),FALSE)),$C$3)*(1+Projection!AS$16)*(1+IF(AQ160&gt;0,'Attrition Modeling'!$N$9,0)))</f>
        <v>0</v>
      </c>
      <c r="AR28" s="799">
        <f>(AQ28+AR160)*(1-IFERROR(IF(AR$2+$F28&lt;=12,SUMIFS('Attrition Modeling'!$D:$D,'Attrition Modeling'!$B:$B,'IP Attrition'!$D28,'Attrition Modeling'!$C:$C,'IP Attrition'!AR$1),VLOOKUP($F28+AR$2,$A$6:$C$106,2,FALSE)*VLOOKUP(AR$1,'Attrition Modeling'!$L$15:$N$27,IF(AR$2+$F28&lt;=24,2,3),FALSE)),$C$3)*(1+Projection!AT$16)*(1+IF(AR160&gt;0,'Attrition Modeling'!$N$9,0)))</f>
        <v>0</v>
      </c>
      <c r="AS28" s="799">
        <f>(AR28+AS160)*(1-IFERROR(IF(AS$2+$F28&lt;=12,SUMIFS('Attrition Modeling'!$D:$D,'Attrition Modeling'!$B:$B,'IP Attrition'!$D28,'Attrition Modeling'!$C:$C,'IP Attrition'!AS$1),VLOOKUP($F28+AS$2,$A$6:$C$106,2,FALSE)*VLOOKUP(AS$1,'Attrition Modeling'!$L$15:$N$27,IF(AS$2+$F28&lt;=24,2,3),FALSE)),$C$3)*(1+Projection!AU$16)*(1+IF(AS160&gt;0,'Attrition Modeling'!$N$9,0)))</f>
        <v>0</v>
      </c>
      <c r="AT28" s="799">
        <f>(AS28+AT160)*(1-IFERROR(IF(AT$2+$F28&lt;=12,SUMIFS('Attrition Modeling'!$D:$D,'Attrition Modeling'!$B:$B,'IP Attrition'!$D28,'Attrition Modeling'!$C:$C,'IP Attrition'!AT$1),VLOOKUP($F28+AT$2,$A$6:$C$106,2,FALSE)*VLOOKUP(AT$1,'Attrition Modeling'!$L$15:$N$27,IF(AT$2+$F28&lt;=24,2,3),FALSE)),$C$3)*(1+Projection!AV$16)*(1+IF(AT160&gt;0,'Attrition Modeling'!$N$9,0)))</f>
        <v>0</v>
      </c>
      <c r="AU28" s="799">
        <f>(AT28+AU160)*(1-IFERROR(IF(AU$2+$F28&lt;=12,SUMIFS('Attrition Modeling'!$D:$D,'Attrition Modeling'!$B:$B,'IP Attrition'!$D28,'Attrition Modeling'!$C:$C,'IP Attrition'!AU$1),VLOOKUP($F28+AU$2,$A$6:$C$106,2,FALSE)*VLOOKUP(AU$1,'Attrition Modeling'!$L$15:$N$27,IF(AU$2+$F28&lt;=24,2,3),FALSE)),$C$3)*(1+Projection!AW$16)*(1+IF(AU160&gt;0,'Attrition Modeling'!$N$9,0)))</f>
        <v>0</v>
      </c>
      <c r="AV28" s="799">
        <f>(AU28+AV160)*(1-IFERROR(IF(AV$2+$F28&lt;=12,SUMIFS('Attrition Modeling'!$D:$D,'Attrition Modeling'!$B:$B,'IP Attrition'!$D28,'Attrition Modeling'!$C:$C,'IP Attrition'!AV$1),VLOOKUP($F28+AV$2,$A$6:$C$106,2,FALSE)*VLOOKUP(AV$1,'Attrition Modeling'!$L$15:$N$27,IF(AV$2+$F28&lt;=24,2,3),FALSE)),$C$3)*(1+Projection!AX$16)*(1+IF(AV160&gt;0,'Attrition Modeling'!$N$9,0)))</f>
        <v>0</v>
      </c>
      <c r="AW28" s="799">
        <f>(AV28+AW160)*(1-IFERROR(IF(AW$2+$F28&lt;=12,SUMIFS('Attrition Modeling'!$D:$D,'Attrition Modeling'!$B:$B,'IP Attrition'!$D28,'Attrition Modeling'!$C:$C,'IP Attrition'!AW$1),VLOOKUP($F28+AW$2,$A$6:$C$106,2,FALSE)*VLOOKUP(AW$1,'Attrition Modeling'!$L$15:$N$27,IF(AW$2+$F28&lt;=24,2,3),FALSE)),$C$3)*(1+Projection!AY$16)*(1+IF(AW160&gt;0,'Attrition Modeling'!$N$9,0)))</f>
        <v>0</v>
      </c>
      <c r="AX28" s="799">
        <f>(AW28+AX160)*(1-IFERROR(IF(AX$2+$F28&lt;=12,SUMIFS('Attrition Modeling'!$D:$D,'Attrition Modeling'!$B:$B,'IP Attrition'!$D28,'Attrition Modeling'!$C:$C,'IP Attrition'!AX$1),VLOOKUP($F28+AX$2,$A$6:$C$106,2,FALSE)*VLOOKUP(AX$1,'Attrition Modeling'!$L$15:$N$27,IF(AX$2+$F28&lt;=24,2,3),FALSE)),$C$3)*(1+Projection!AZ$16)*(1+IF(AX160&gt;0,'Attrition Modeling'!$N$9,0)))</f>
        <v>0</v>
      </c>
      <c r="AY28" s="799">
        <f>(AX28+AY160)*(1-IFERROR(IF(AY$2+$F28&lt;=12,SUMIFS('Attrition Modeling'!$D:$D,'Attrition Modeling'!$B:$B,'IP Attrition'!$D28,'Attrition Modeling'!$C:$C,'IP Attrition'!AY$1),VLOOKUP($F28+AY$2,$A$6:$C$106,2,FALSE)*VLOOKUP(AY$1,'Attrition Modeling'!$L$15:$N$27,IF(AY$2+$F28&lt;=24,2,3),FALSE)),$C$3)*(1+Projection!BA$16)*(1+IF(AY160&gt;0,'Attrition Modeling'!$N$9,0)))</f>
        <v>0</v>
      </c>
      <c r="AZ28" s="799">
        <f>(AY28+AZ160)*(1-IFERROR(IF(AZ$2+$F28&lt;=12,SUMIFS('Attrition Modeling'!$D:$D,'Attrition Modeling'!$B:$B,'IP Attrition'!$D28,'Attrition Modeling'!$C:$C,'IP Attrition'!AZ$1),VLOOKUP($F28+AZ$2,$A$6:$C$106,2,FALSE)*VLOOKUP(AZ$1,'Attrition Modeling'!$L$15:$N$27,IF(AZ$2+$F28&lt;=24,2,3),FALSE)),$C$3)*(1+Projection!BB$16)*(1+IF(AZ160&gt;0,'Attrition Modeling'!$N$9,0)))</f>
        <v>0</v>
      </c>
      <c r="BA28" s="799">
        <f>(AZ28+BA160)*(1-IFERROR(IF(BA$2+$F28&lt;=12,SUMIFS('Attrition Modeling'!$D:$D,'Attrition Modeling'!$B:$B,'IP Attrition'!$D28,'Attrition Modeling'!$C:$C,'IP Attrition'!BA$1),VLOOKUP($F28+BA$2,$A$6:$C$106,2,FALSE)*VLOOKUP(BA$1,'Attrition Modeling'!$L$15:$N$27,IF(BA$2+$F28&lt;=24,2,3),FALSE)),$C$3)*(1+Projection!BC$16)*(1+IF(BA160&gt;0,'Attrition Modeling'!$N$9,0)))</f>
        <v>0</v>
      </c>
      <c r="BB28" s="799">
        <f>(BA28+BB160)*(1-IFERROR(IF(BB$2+$F28&lt;=12,SUMIFS('Attrition Modeling'!$D:$D,'Attrition Modeling'!$B:$B,'IP Attrition'!$D28,'Attrition Modeling'!$C:$C,'IP Attrition'!BB$1),VLOOKUP($F28+BB$2,$A$6:$C$106,2,FALSE)*VLOOKUP(BB$1,'Attrition Modeling'!$L$15:$N$27,IF(BB$2+$F28&lt;=24,2,3),FALSE)),$C$3)*(1+Projection!BD$16)*(1+IF(BB160&gt;0,'Attrition Modeling'!$N$9,0)))</f>
        <v>0</v>
      </c>
      <c r="BC28" s="799">
        <f>(BB28+BC160)*(1-IFERROR(IF(BC$2+$F28&lt;=12,SUMIFS('Attrition Modeling'!$D:$D,'Attrition Modeling'!$B:$B,'IP Attrition'!$D28,'Attrition Modeling'!$C:$C,'IP Attrition'!BC$1),VLOOKUP($F28+BC$2,$A$6:$C$106,2,FALSE)*VLOOKUP(BC$1,'Attrition Modeling'!$L$15:$N$27,IF(BC$2+$F28&lt;=24,2,3),FALSE)),$C$3)*(1+Projection!BE$16)*(1+IF(BC160&gt;0,'Attrition Modeling'!$N$9,0)))</f>
        <v>0</v>
      </c>
      <c r="BD28" s="799">
        <f>(BC28+BD160)*(1-IFERROR(IF(BD$2+$F28&lt;=12,SUMIFS('Attrition Modeling'!$D:$D,'Attrition Modeling'!$B:$B,'IP Attrition'!$D28,'Attrition Modeling'!$C:$C,'IP Attrition'!BD$1),VLOOKUP($F28+BD$2,$A$6:$C$106,2,FALSE)*VLOOKUP(BD$1,'Attrition Modeling'!$L$15:$N$27,IF(BD$2+$F28&lt;=24,2,3),FALSE)),$C$3)*(1+Projection!BF$16)*(1+IF(BD160&gt;0,'Attrition Modeling'!$N$9,0)))</f>
        <v>0</v>
      </c>
      <c r="BE28" s="799">
        <f>(BD28+BE160)*(1-IFERROR(IF(BE$2+$F28&lt;=12,SUMIFS('Attrition Modeling'!$D:$D,'Attrition Modeling'!$B:$B,'IP Attrition'!$D28,'Attrition Modeling'!$C:$C,'IP Attrition'!BE$1),VLOOKUP($F28+BE$2,$A$6:$C$106,2,FALSE)*VLOOKUP(BE$1,'Attrition Modeling'!$L$15:$N$27,IF(BE$2+$F28&lt;=24,2,3),FALSE)),$C$3)*(1+Projection!BG$16)*(1+IF(BE160&gt;0,'Attrition Modeling'!$N$9,0)))</f>
        <v>0</v>
      </c>
      <c r="BF28" s="799">
        <f>(BE28+BF160)*(1-IFERROR(IF(BF$2+$F28&lt;=12,SUMIFS('Attrition Modeling'!$D:$D,'Attrition Modeling'!$B:$B,'IP Attrition'!$D28,'Attrition Modeling'!$C:$C,'IP Attrition'!BF$1),VLOOKUP($F28+BF$2,$A$6:$C$106,2,FALSE)*VLOOKUP(BF$1,'Attrition Modeling'!$L$15:$N$27,IF(BF$2+$F28&lt;=24,2,3),FALSE)),$C$3)*(1+Projection!BH$16)*(1+IF(BF160&gt;0,'Attrition Modeling'!$N$9,0)))</f>
        <v>0</v>
      </c>
      <c r="BG28" s="799">
        <f>(BF28+BG160)*(1-IFERROR(IF(BG$2+$F28&lt;=12,SUMIFS('Attrition Modeling'!$D:$D,'Attrition Modeling'!$B:$B,'IP Attrition'!$D28,'Attrition Modeling'!$C:$C,'IP Attrition'!BG$1),VLOOKUP($F28+BG$2,$A$6:$C$106,2,FALSE)*VLOOKUP(BG$1,'Attrition Modeling'!$L$15:$N$27,IF(BG$2+$F28&lt;=24,2,3),FALSE)),$C$3)*(1+Projection!BI$16)*(1+IF(BG160&gt;0,'Attrition Modeling'!$N$9,0)))</f>
        <v>0</v>
      </c>
      <c r="BH28" s="799">
        <f>(BG28+BH160)*(1-IFERROR(IF(BH$2+$F28&lt;=12,SUMIFS('Attrition Modeling'!$D:$D,'Attrition Modeling'!$B:$B,'IP Attrition'!$D28,'Attrition Modeling'!$C:$C,'IP Attrition'!BH$1),VLOOKUP($F28+BH$2,$A$6:$C$106,2,FALSE)*VLOOKUP(BH$1,'Attrition Modeling'!$L$15:$N$27,IF(BH$2+$F28&lt;=24,2,3),FALSE)),$C$3)*(1+Projection!BJ$16)*(1+IF(BH160&gt;0,'Attrition Modeling'!$N$9,0)))</f>
        <v>0</v>
      </c>
      <c r="BI28" s="799">
        <f>(BH28+BI160)*(1-IFERROR(IF(BI$2+$F28&lt;=12,SUMIFS('Attrition Modeling'!$D:$D,'Attrition Modeling'!$B:$B,'IP Attrition'!$D28,'Attrition Modeling'!$C:$C,'IP Attrition'!BI$1),VLOOKUP($F28+BI$2,$A$6:$C$106,2,FALSE)*VLOOKUP(BI$1,'Attrition Modeling'!$L$15:$N$27,IF(BI$2+$F28&lt;=24,2,3),FALSE)),$C$3)*(1+Projection!BK$16)*(1+IF(BI160&gt;0,'Attrition Modeling'!$N$9,0)))</f>
        <v>0</v>
      </c>
      <c r="BJ28" s="799">
        <f>(BI28+BJ160)*(1-IFERROR(IF(BJ$2+$F28&lt;=12,SUMIFS('Attrition Modeling'!$D:$D,'Attrition Modeling'!$B:$B,'IP Attrition'!$D28,'Attrition Modeling'!$C:$C,'IP Attrition'!BJ$1),VLOOKUP($F28+BJ$2,$A$6:$C$106,2,FALSE)*VLOOKUP(BJ$1,'Attrition Modeling'!$L$15:$N$27,IF(BJ$2+$F28&lt;=24,2,3),FALSE)),$C$3)*(1+Projection!BL$16)*(1+IF(BJ160&gt;0,'Attrition Modeling'!$N$9,0)))</f>
        <v>0</v>
      </c>
      <c r="BK28" s="799">
        <f>(BJ28+BK160)*(1-IFERROR(IF(BK$2+$F28&lt;=12,SUMIFS('Attrition Modeling'!$D:$D,'Attrition Modeling'!$B:$B,'IP Attrition'!$D28,'Attrition Modeling'!$C:$C,'IP Attrition'!BK$1),VLOOKUP($F28+BK$2,$A$6:$C$106,2,FALSE)*VLOOKUP(BK$1,'Attrition Modeling'!$L$15:$N$27,IF(BK$2+$F28&lt;=24,2,3),FALSE)),$C$3)*(1+Projection!BM$16)*(1+IF(BK160&gt;0,'Attrition Modeling'!$N$9,0)))</f>
        <v>0</v>
      </c>
      <c r="BL28" s="799">
        <f>(BK28+BL160)*(1-IFERROR(IF(BL$2+$F28&lt;=12,SUMIFS('Attrition Modeling'!$D:$D,'Attrition Modeling'!$B:$B,'IP Attrition'!$D28,'Attrition Modeling'!$C:$C,'IP Attrition'!BL$1),VLOOKUP($F28+BL$2,$A$6:$C$106,2,FALSE)*VLOOKUP(BL$1,'Attrition Modeling'!$L$15:$N$27,IF(BL$2+$F28&lt;=24,2,3),FALSE)),$C$3)*(1+Projection!BN$16)*(1+IF(BL160&gt;0,'Attrition Modeling'!$N$9,0)))</f>
        <v>0</v>
      </c>
      <c r="BM28" s="799">
        <f>(BL28+BM160)*(1-IFERROR(IF(BM$2+$F28&lt;=12,SUMIFS('Attrition Modeling'!$D:$D,'Attrition Modeling'!$B:$B,'IP Attrition'!$D28,'Attrition Modeling'!$C:$C,'IP Attrition'!BM$1),VLOOKUP($F28+BM$2,$A$6:$C$106,2,FALSE)*VLOOKUP(BM$1,'Attrition Modeling'!$L$15:$N$27,IF(BM$2+$F28&lt;=24,2,3),FALSE)),$C$3)*(1+Projection!BO$16)*(1+IF(BM160&gt;0,'Attrition Modeling'!$N$9,0)))</f>
        <v>0</v>
      </c>
      <c r="BN28" s="799">
        <f>(BM28+BN160)*(1-IFERROR(IF(BN$2+$F28&lt;=12,SUMIFS('Attrition Modeling'!$D:$D,'Attrition Modeling'!$B:$B,'IP Attrition'!$D28,'Attrition Modeling'!$C:$C,'IP Attrition'!BN$1),VLOOKUP($F28+BN$2,$A$6:$C$106,2,FALSE)*VLOOKUP(BN$1,'Attrition Modeling'!$L$15:$N$27,IF(BN$2+$F28&lt;=24,2,3),FALSE)),$C$3)*(1+Projection!BP$16)*(1+IF(BN160&gt;0,'Attrition Modeling'!$N$9,0)))</f>
        <v>0</v>
      </c>
      <c r="BO28" s="799">
        <f>(BN28+BO160)*(1-IFERROR(IF(BO$2+$F28&lt;=12,SUMIFS('Attrition Modeling'!$D:$D,'Attrition Modeling'!$B:$B,'IP Attrition'!$D28,'Attrition Modeling'!$C:$C,'IP Attrition'!BO$1),VLOOKUP($F28+BO$2,$A$6:$C$106,2,FALSE)*VLOOKUP(BO$1,'Attrition Modeling'!$L$15:$N$27,IF(BO$2+$F28&lt;=24,2,3),FALSE)),$C$3)*(1+Projection!BV$16)*(1+IF(BO160&gt;0,'Attrition Modeling'!$N$9,0)))</f>
        <v>0</v>
      </c>
      <c r="BP28" s="799">
        <f>(BO28+BP160)*(1-IFERROR(IF(BP$2+$F28&lt;=12,SUMIFS('Attrition Modeling'!$D:$D,'Attrition Modeling'!$B:$B,'IP Attrition'!$D28,'Attrition Modeling'!$C:$C,'IP Attrition'!BP$1),VLOOKUP($F28+BP$2,$A$6:$C$106,2,FALSE)*VLOOKUP(BP$1,'Attrition Modeling'!$L$15:$N$27,IF(BP$2+$F28&lt;=24,2,3),FALSE)),$C$3)*(1+Projection!BW$16)*(1+IF(BP160&gt;0,'Attrition Modeling'!$N$9,0)))</f>
        <v>0</v>
      </c>
      <c r="BQ28" s="799">
        <f>(BP28+BQ160)*(1-IFERROR(IF(BQ$2+$F28&lt;=12,SUMIFS('Attrition Modeling'!$D:$D,'Attrition Modeling'!$B:$B,'IP Attrition'!$D28,'Attrition Modeling'!$C:$C,'IP Attrition'!BQ$1),VLOOKUP($F28+BQ$2,$A$6:$C$106,2,FALSE)*VLOOKUP(BQ$1,'Attrition Modeling'!$L$15:$N$27,IF(BQ$2+$F28&lt;=24,2,3),FALSE)),$C$3)*(1+Projection!BX$16)*(1+IF(BQ160&gt;0,'Attrition Modeling'!$N$9,0)))</f>
        <v>0</v>
      </c>
      <c r="BR28" s="799">
        <f>(BQ28+BR160)*(1-IFERROR(IF(BR$2+$F28&lt;=12,SUMIFS('Attrition Modeling'!$D:$D,'Attrition Modeling'!$B:$B,'IP Attrition'!$D28,'Attrition Modeling'!$C:$C,'IP Attrition'!BR$1),VLOOKUP($F28+BR$2,$A$6:$C$106,2,FALSE)*VLOOKUP(BR$1,'Attrition Modeling'!$L$15:$N$27,IF(BR$2+$F28&lt;=24,2,3),FALSE)),$C$3)*(1+Projection!BY$16)*(1+IF(BR160&gt;0,'Attrition Modeling'!$N$9,0)))</f>
        <v>0</v>
      </c>
      <c r="BS28" s="799">
        <f>(BR28+BS160)*(1-IFERROR(IF(BS$2+$F28&lt;=12,SUMIFS('Attrition Modeling'!$D:$D,'Attrition Modeling'!$B:$B,'IP Attrition'!$D28,'Attrition Modeling'!$C:$C,'IP Attrition'!BS$1),VLOOKUP($F28+BS$2,$A$6:$C$106,2,FALSE)*VLOOKUP(BS$1,'Attrition Modeling'!$L$15:$N$27,IF(BS$2+$F28&lt;=24,2,3),FALSE)),$C$3)*(1+Projection!BZ$16)*(1+IF(BS160&gt;0,'Attrition Modeling'!$N$9,0)))</f>
        <v>0</v>
      </c>
      <c r="BT28" s="799" t="e">
        <f>(BS28+BT160)*(1-IFERROR(IF(BT$2+$F28&lt;=12,SUMIFS('Attrition Modeling'!$D:$D,'Attrition Modeling'!$B:$B,'IP Attrition'!$D28,'Attrition Modeling'!$C:$C,'IP Attrition'!BT$1),VLOOKUP($F28+BT$2,$A$6:$C$106,2,FALSE)*VLOOKUP(BT$1,'Attrition Modeling'!$L$15:$N$27,IF(BT$2+$F28&lt;=24,2,3),FALSE)),$C$3)*(1+Projection!CA$16)*(1+IF(BT160&gt;0,'Attrition Modeling'!$N$9,0)))</f>
        <v>#REF!</v>
      </c>
      <c r="BU28" s="799" t="e">
        <f>(BT28+BU160)*(1-IFERROR(IF(BU$2+$F28&lt;=12,SUMIFS('Attrition Modeling'!$D:$D,'Attrition Modeling'!$B:$B,'IP Attrition'!$D28,'Attrition Modeling'!$C:$C,'IP Attrition'!BU$1),VLOOKUP($F28+BU$2,$A$6:$C$106,2,FALSE)*VLOOKUP(BU$1,'Attrition Modeling'!$L$15:$N$27,IF(BU$2+$F28&lt;=24,2,3),FALSE)),$C$3)*(1+Projection!CB$16)*(1+IF(BU160&gt;0,'Attrition Modeling'!$N$9,0)))</f>
        <v>#REF!</v>
      </c>
    </row>
    <row r="29" spans="1:73" ht="14.25" customHeight="1" x14ac:dyDescent="0.2">
      <c r="A29" s="9">
        <v>22</v>
      </c>
      <c r="B29" s="25">
        <f>MAX('Attrition Modeling'!H26,$C$3)*(1-Summary!$C$20)</f>
        <v>3.9935061587350051E-2</v>
      </c>
      <c r="C29" s="24" t="e">
        <f t="shared" si="3"/>
        <v>#DIV/0!</v>
      </c>
      <c r="D29" s="11">
        <f t="shared" si="1"/>
        <v>-26</v>
      </c>
      <c r="E29" s="807">
        <f t="array" ref="E29">INDEX('Attrition Modeling'!$X$2:$AF$63,MATCH($F29,'Attrition Modeling'!$X$2:$X$63,0),MATCH(Inputs!$C$10,'Attrition Modeling'!$X$2:$AF$2,0))</f>
        <v>0</v>
      </c>
      <c r="F29" s="11">
        <f t="shared" si="2"/>
        <v>26</v>
      </c>
      <c r="G29" s="799">
        <f>Summary!$C$25*$E29</f>
        <v>0</v>
      </c>
      <c r="H29" s="799">
        <f>(G29+H161)*(1-IFERROR(IF(H$2+$F29&lt;=12,SUMIFS('Attrition Modeling'!$D:$D,'Attrition Modeling'!$B:$B,'IP Attrition'!$D29,'Attrition Modeling'!$C:$C,'IP Attrition'!H$1),VLOOKUP($F29+H$2,$A$6:$C$106,2,FALSE)*VLOOKUP(H$1,'Attrition Modeling'!$L$15:$N$27,IF(H$2+$F29&lt;=24,2,3),FALSE)),$C$3)*(1+Projection!J$16)*(1+IF(H161&gt;0,'Attrition Modeling'!$N$9,0)))</f>
        <v>0</v>
      </c>
      <c r="I29" s="799">
        <f>(H29+I161)*(1-IFERROR(IF(I$2+$F29&lt;=12,SUMIFS('Attrition Modeling'!$D:$D,'Attrition Modeling'!$B:$B,'IP Attrition'!$D29,'Attrition Modeling'!$C:$C,'IP Attrition'!I$1),VLOOKUP($F29+I$2,$A$6:$C$106,2,FALSE)*VLOOKUP(I$1,'Attrition Modeling'!$L$15:$N$27,IF(I$2+$F29&lt;=24,2,3),FALSE)),$C$3)*(1+Projection!K$16)*(1+IF(I161&gt;0,'Attrition Modeling'!$N$9,0)))</f>
        <v>0</v>
      </c>
      <c r="J29" s="799">
        <f>(I29+J161)*(1-IFERROR(IF(J$2+$F29&lt;=12,SUMIFS('Attrition Modeling'!$D:$D,'Attrition Modeling'!$B:$B,'IP Attrition'!$D29,'Attrition Modeling'!$C:$C,'IP Attrition'!J$1),VLOOKUP($F29+J$2,$A$6:$C$106,2,FALSE)*VLOOKUP(J$1,'Attrition Modeling'!$L$15:$N$27,IF(J$2+$F29&lt;=24,2,3),FALSE)),$C$3)*(1+Projection!L$16)*(1+IF(J161&gt;0,'Attrition Modeling'!$N$9,0)))</f>
        <v>0</v>
      </c>
      <c r="K29" s="799">
        <f>(J29+K161)*(1-IFERROR(IF(K$2+$F29&lt;=12,SUMIFS('Attrition Modeling'!$D:$D,'Attrition Modeling'!$B:$B,'IP Attrition'!$D29,'Attrition Modeling'!$C:$C,'IP Attrition'!K$1),VLOOKUP($F29+K$2,$A$6:$C$106,2,FALSE)*VLOOKUP(K$1,'Attrition Modeling'!$L$15:$N$27,IF(K$2+$F29&lt;=24,2,3),FALSE)),$C$3)*(1+Projection!M$16)*(1+IF(K161&gt;0,'Attrition Modeling'!$N$9,0)))</f>
        <v>0</v>
      </c>
      <c r="L29" s="799">
        <f>(K29+L161)*(1-IFERROR(IF(L$2+$F29&lt;=12,SUMIFS('Attrition Modeling'!$D:$D,'Attrition Modeling'!$B:$B,'IP Attrition'!$D29,'Attrition Modeling'!$C:$C,'IP Attrition'!L$1),VLOOKUP($F29+L$2,$A$6:$C$106,2,FALSE)*VLOOKUP(L$1,'Attrition Modeling'!$L$15:$N$27,IF(L$2+$F29&lt;=24,2,3),FALSE)),$C$3)*(1+Projection!N$16)*(1+IF(L161&gt;0,'Attrition Modeling'!$N$9,0)))</f>
        <v>0</v>
      </c>
      <c r="M29" s="799">
        <f>(L29+M161)*(1-IFERROR(IF(M$2+$F29&lt;=12,SUMIFS('Attrition Modeling'!$D:$D,'Attrition Modeling'!$B:$B,'IP Attrition'!$D29,'Attrition Modeling'!$C:$C,'IP Attrition'!M$1),VLOOKUP($F29+M$2,$A$6:$C$106,2,FALSE)*VLOOKUP(M$1,'Attrition Modeling'!$L$15:$N$27,IF(M$2+$F29&lt;=24,2,3),FALSE)),$C$3)*(1+Projection!O$16)*(1+IF(M161&gt;0,'Attrition Modeling'!$N$9,0)))</f>
        <v>0</v>
      </c>
      <c r="N29" s="799">
        <f>(M29+N161)*(1-IFERROR(IF(N$2+$F29&lt;=12,SUMIFS('Attrition Modeling'!$D:$D,'Attrition Modeling'!$B:$B,'IP Attrition'!$D29,'Attrition Modeling'!$C:$C,'IP Attrition'!N$1),VLOOKUP($F29+N$2,$A$6:$C$106,2,FALSE)*VLOOKUP(N$1,'Attrition Modeling'!$L$15:$N$27,IF(N$2+$F29&lt;=24,2,3),FALSE)),$C$3)*(1+Projection!P$16)*(1+IF(N161&gt;0,'Attrition Modeling'!$N$9,0)))</f>
        <v>0</v>
      </c>
      <c r="O29" s="799">
        <f>(N29+O161)*(1-IFERROR(IF(O$2+$F29&lt;=12,SUMIFS('Attrition Modeling'!$D:$D,'Attrition Modeling'!$B:$B,'IP Attrition'!$D29,'Attrition Modeling'!$C:$C,'IP Attrition'!O$1),VLOOKUP($F29+O$2,$A$6:$C$106,2,FALSE)*VLOOKUP(O$1,'Attrition Modeling'!$L$15:$N$27,IF(O$2+$F29&lt;=24,2,3),FALSE)),$C$3)*(1+Projection!Q$16)*(1+IF(O161&gt;0,'Attrition Modeling'!$N$9,0)))</f>
        <v>0</v>
      </c>
      <c r="P29" s="799">
        <f>(O29+P161)*(1-IFERROR(IF(P$2+$F29&lt;=12,SUMIFS('Attrition Modeling'!$D:$D,'Attrition Modeling'!$B:$B,'IP Attrition'!$D29,'Attrition Modeling'!$C:$C,'IP Attrition'!P$1),VLOOKUP($F29+P$2,$A$6:$C$106,2,FALSE)*VLOOKUP(P$1,'Attrition Modeling'!$L$15:$N$27,IF(P$2+$F29&lt;=24,2,3),FALSE)),$C$3)*(1+Projection!R$16)*(1+IF(P161&gt;0,'Attrition Modeling'!$N$9,0)))</f>
        <v>0</v>
      </c>
      <c r="Q29" s="799">
        <f>(P29+Q161)*(1-IFERROR(IF(Q$2+$F29&lt;=12,SUMIFS('Attrition Modeling'!$D:$D,'Attrition Modeling'!$B:$B,'IP Attrition'!$D29,'Attrition Modeling'!$C:$C,'IP Attrition'!Q$1),VLOOKUP($F29+Q$2,$A$6:$C$106,2,FALSE)*VLOOKUP(Q$1,'Attrition Modeling'!$L$15:$N$27,IF(Q$2+$F29&lt;=24,2,3),FALSE)),$C$3)*(1+Projection!S$16)*(1+IF(Q161&gt;0,'Attrition Modeling'!$N$9,0)))</f>
        <v>0</v>
      </c>
      <c r="R29" s="799">
        <f>(Q29+R161)*(1-IFERROR(IF(R$2+$F29&lt;=12,SUMIFS('Attrition Modeling'!$D:$D,'Attrition Modeling'!$B:$B,'IP Attrition'!$D29,'Attrition Modeling'!$C:$C,'IP Attrition'!R$1),VLOOKUP($F29+R$2,$A$6:$C$106,2,FALSE)*VLOOKUP(R$1,'Attrition Modeling'!$L$15:$N$27,IF(R$2+$F29&lt;=24,2,3),FALSE)),$C$3)*(1+Projection!T$16)*(1+IF(R161&gt;0,'Attrition Modeling'!$N$9,0)))</f>
        <v>0</v>
      </c>
      <c r="S29" s="799">
        <f>(R29+S161)*(1-IFERROR(IF(S$2+$F29&lt;=12,SUMIFS('Attrition Modeling'!$D:$D,'Attrition Modeling'!$B:$B,'IP Attrition'!$D29,'Attrition Modeling'!$C:$C,'IP Attrition'!S$1),VLOOKUP($F29+S$2,$A$6:$C$106,2,FALSE)*VLOOKUP(S$1,'Attrition Modeling'!$L$15:$N$27,IF(S$2+$F29&lt;=24,2,3),FALSE)),$C$3)*(1+Projection!U$16)*(1+IF(S161&gt;0,'Attrition Modeling'!$N$9,0)))</f>
        <v>0</v>
      </c>
      <c r="T29" s="799">
        <f>(S29+T161)*(1-IFERROR(IF(T$2+$F29&lt;=12,SUMIFS('Attrition Modeling'!$D:$D,'Attrition Modeling'!$B:$B,'IP Attrition'!$D29,'Attrition Modeling'!$C:$C,'IP Attrition'!T$1),VLOOKUP($F29+T$2,$A$6:$C$106,2,FALSE)*VLOOKUP(T$1,'Attrition Modeling'!$L$15:$N$27,IF(T$2+$F29&lt;=24,2,3),FALSE)),$C$3)*(1+Projection!V$16)*(1+IF(T161&gt;0,'Attrition Modeling'!$N$9,0)))</f>
        <v>0</v>
      </c>
      <c r="U29" s="799">
        <f>(T29+U161)*(1-IFERROR(IF(U$2+$F29&lt;=12,SUMIFS('Attrition Modeling'!$D:$D,'Attrition Modeling'!$B:$B,'IP Attrition'!$D29,'Attrition Modeling'!$C:$C,'IP Attrition'!U$1),VLOOKUP($F29+U$2,$A$6:$C$106,2,FALSE)*VLOOKUP(U$1,'Attrition Modeling'!$L$15:$N$27,IF(U$2+$F29&lt;=24,2,3),FALSE)),$C$3)*(1+Projection!W$16)*(1+IF(U161&gt;0,'Attrition Modeling'!$N$9,0)))</f>
        <v>0</v>
      </c>
      <c r="V29" s="799">
        <f>(U29+V161)*(1-IFERROR(IF(V$2+$F29&lt;=12,SUMIFS('Attrition Modeling'!$D:$D,'Attrition Modeling'!$B:$B,'IP Attrition'!$D29,'Attrition Modeling'!$C:$C,'IP Attrition'!V$1),VLOOKUP($F29+V$2,$A$6:$C$106,2,FALSE)*VLOOKUP(V$1,'Attrition Modeling'!$L$15:$N$27,IF(V$2+$F29&lt;=24,2,3),FALSE)),$C$3)*(1+Projection!X$16)*(1+IF(V161&gt;0,'Attrition Modeling'!$N$9,0)))</f>
        <v>0</v>
      </c>
      <c r="W29" s="799">
        <f>(V29+W161)*(1-IFERROR(IF(W$2+$F29&lt;=12,SUMIFS('Attrition Modeling'!$D:$D,'Attrition Modeling'!$B:$B,'IP Attrition'!$D29,'Attrition Modeling'!$C:$C,'IP Attrition'!W$1),VLOOKUP($F29+W$2,$A$6:$C$106,2,FALSE)*VLOOKUP(W$1,'Attrition Modeling'!$L$15:$N$27,IF(W$2+$F29&lt;=24,2,3),FALSE)),$C$3)*(1+Projection!Y$16)*(1+IF(W161&gt;0,'Attrition Modeling'!$N$9,0)))</f>
        <v>0</v>
      </c>
      <c r="X29" s="799">
        <f>(W29+X161)*(1-IFERROR(IF(X$2+$F29&lt;=12,SUMIFS('Attrition Modeling'!$D:$D,'Attrition Modeling'!$B:$B,'IP Attrition'!$D29,'Attrition Modeling'!$C:$C,'IP Attrition'!X$1),VLOOKUP($F29+X$2,$A$6:$C$106,2,FALSE)*VLOOKUP(X$1,'Attrition Modeling'!$L$15:$N$27,IF(X$2+$F29&lt;=24,2,3),FALSE)),$C$3)*(1+Projection!Z$16)*(1+IF(X161&gt;0,'Attrition Modeling'!$N$9,0)))</f>
        <v>0</v>
      </c>
      <c r="Y29" s="799">
        <f>(X29+Y161)*(1-IFERROR(IF(Y$2+$F29&lt;=12,SUMIFS('Attrition Modeling'!$D:$D,'Attrition Modeling'!$B:$B,'IP Attrition'!$D29,'Attrition Modeling'!$C:$C,'IP Attrition'!Y$1),VLOOKUP($F29+Y$2,$A$6:$C$106,2,FALSE)*VLOOKUP(Y$1,'Attrition Modeling'!$L$15:$N$27,IF(Y$2+$F29&lt;=24,2,3),FALSE)),$C$3)*(1+Projection!AA$16)*(1+IF(Y161&gt;0,'Attrition Modeling'!$N$9,0)))</f>
        <v>0</v>
      </c>
      <c r="Z29" s="799">
        <f>(Y29+Z161)*(1-IFERROR(IF(Z$2+$F29&lt;=12,SUMIFS('Attrition Modeling'!$D:$D,'Attrition Modeling'!$B:$B,'IP Attrition'!$D29,'Attrition Modeling'!$C:$C,'IP Attrition'!Z$1),VLOOKUP($F29+Z$2,$A$6:$C$106,2,FALSE)*VLOOKUP(Z$1,'Attrition Modeling'!$L$15:$N$27,IF(Z$2+$F29&lt;=24,2,3),FALSE)),$C$3)*(1+Projection!AB$16)*(1+IF(Z161&gt;0,'Attrition Modeling'!$N$9,0)))</f>
        <v>0</v>
      </c>
      <c r="AA29" s="799">
        <f>(Z29+AA161)*(1-IFERROR(IF(AA$2+$F29&lt;=12,SUMIFS('Attrition Modeling'!$D:$D,'Attrition Modeling'!$B:$B,'IP Attrition'!$D29,'Attrition Modeling'!$C:$C,'IP Attrition'!AA$1),VLOOKUP($F29+AA$2,$A$6:$C$106,2,FALSE)*VLOOKUP(AA$1,'Attrition Modeling'!$L$15:$N$27,IF(AA$2+$F29&lt;=24,2,3),FALSE)),$C$3)*(1+Projection!AC$16)*(1+IF(AA161&gt;0,'Attrition Modeling'!$N$9,0)))</f>
        <v>0</v>
      </c>
      <c r="AB29" s="799">
        <f>(AA29+AB161)*(1-IFERROR(IF(AB$2+$F29&lt;=12,SUMIFS('Attrition Modeling'!$D:$D,'Attrition Modeling'!$B:$B,'IP Attrition'!$D29,'Attrition Modeling'!$C:$C,'IP Attrition'!AB$1),VLOOKUP($F29+AB$2,$A$6:$C$106,2,FALSE)*VLOOKUP(AB$1,'Attrition Modeling'!$L$15:$N$27,IF(AB$2+$F29&lt;=24,2,3),FALSE)),$C$3)*(1+Projection!AD$16)*(1+IF(AB161&gt;0,'Attrition Modeling'!$N$9,0)))</f>
        <v>0</v>
      </c>
      <c r="AC29" s="799">
        <f>(AB29+AC161)*(1-IFERROR(IF(AC$2+$F29&lt;=12,SUMIFS('Attrition Modeling'!$D:$D,'Attrition Modeling'!$B:$B,'IP Attrition'!$D29,'Attrition Modeling'!$C:$C,'IP Attrition'!AC$1),VLOOKUP($F29+AC$2,$A$6:$C$106,2,FALSE)*VLOOKUP(AC$1,'Attrition Modeling'!$L$15:$N$27,IF(AC$2+$F29&lt;=24,2,3),FALSE)),$C$3)*(1+Projection!AE$16)*(1+IF(AC161&gt;0,'Attrition Modeling'!$N$9,0)))</f>
        <v>0</v>
      </c>
      <c r="AD29" s="799">
        <f>(AC29+AD161)*(1-IFERROR(IF(AD$2+$F29&lt;=12,SUMIFS('Attrition Modeling'!$D:$D,'Attrition Modeling'!$B:$B,'IP Attrition'!$D29,'Attrition Modeling'!$C:$C,'IP Attrition'!AD$1),VLOOKUP($F29+AD$2,$A$6:$C$106,2,FALSE)*VLOOKUP(AD$1,'Attrition Modeling'!$L$15:$N$27,IF(AD$2+$F29&lt;=24,2,3),FALSE)),$C$3)*(1+Projection!AF$16)*(1+IF(AD161&gt;0,'Attrition Modeling'!$N$9,0)))</f>
        <v>0</v>
      </c>
      <c r="AE29" s="799">
        <f>(AD29+AE161)*(1-IFERROR(IF(AE$2+$F29&lt;=12,SUMIFS('Attrition Modeling'!$D:$D,'Attrition Modeling'!$B:$B,'IP Attrition'!$D29,'Attrition Modeling'!$C:$C,'IP Attrition'!AE$1),VLOOKUP($F29+AE$2,$A$6:$C$106,2,FALSE)*VLOOKUP(AE$1,'Attrition Modeling'!$L$15:$N$27,IF(AE$2+$F29&lt;=24,2,3),FALSE)),$C$3)*(1+Projection!AG$16)*(1+IF(AE161&gt;0,'Attrition Modeling'!$N$9,0)))</f>
        <v>0</v>
      </c>
      <c r="AF29" s="799">
        <f>(AE29+AF161)*(1-IFERROR(IF(AF$2+$F29&lt;=12,SUMIFS('Attrition Modeling'!$D:$D,'Attrition Modeling'!$B:$B,'IP Attrition'!$D29,'Attrition Modeling'!$C:$C,'IP Attrition'!AF$1),VLOOKUP($F29+AF$2,$A$6:$C$106,2,FALSE)*VLOOKUP(AF$1,'Attrition Modeling'!$L$15:$N$27,IF(AF$2+$F29&lt;=24,2,3),FALSE)),$C$3)*(1+Projection!AH$16)*(1+IF(AF161&gt;0,'Attrition Modeling'!$N$9,0)))</f>
        <v>0</v>
      </c>
      <c r="AG29" s="799">
        <f>(AF29+AG161)*(1-IFERROR(IF(AG$2+$F29&lt;=12,SUMIFS('Attrition Modeling'!$D:$D,'Attrition Modeling'!$B:$B,'IP Attrition'!$D29,'Attrition Modeling'!$C:$C,'IP Attrition'!AG$1),VLOOKUP($F29+AG$2,$A$6:$C$106,2,FALSE)*VLOOKUP(AG$1,'Attrition Modeling'!$L$15:$N$27,IF(AG$2+$F29&lt;=24,2,3),FALSE)),$C$3)*(1+Projection!AI$16)*(1+IF(AG161&gt;0,'Attrition Modeling'!$N$9,0)))</f>
        <v>0</v>
      </c>
      <c r="AH29" s="799">
        <f>(AG29+AH161)*(1-IFERROR(IF(AH$2+$F29&lt;=12,SUMIFS('Attrition Modeling'!$D:$D,'Attrition Modeling'!$B:$B,'IP Attrition'!$D29,'Attrition Modeling'!$C:$C,'IP Attrition'!AH$1),VLOOKUP($F29+AH$2,$A$6:$C$106,2,FALSE)*VLOOKUP(AH$1,'Attrition Modeling'!$L$15:$N$27,IF(AH$2+$F29&lt;=24,2,3),FALSE)),$C$3)*(1+Projection!AJ$16)*(1+IF(AH161&gt;0,'Attrition Modeling'!$N$9,0)))</f>
        <v>0</v>
      </c>
      <c r="AI29" s="799">
        <f>(AH29+AI161)*(1-IFERROR(IF(AI$2+$F29&lt;=12,SUMIFS('Attrition Modeling'!$D:$D,'Attrition Modeling'!$B:$B,'IP Attrition'!$D29,'Attrition Modeling'!$C:$C,'IP Attrition'!AI$1),VLOOKUP($F29+AI$2,$A$6:$C$106,2,FALSE)*VLOOKUP(AI$1,'Attrition Modeling'!$L$15:$N$27,IF(AI$2+$F29&lt;=24,2,3),FALSE)),$C$3)*(1+Projection!AK$16)*(1+IF(AI161&gt;0,'Attrition Modeling'!$N$9,0)))</f>
        <v>0</v>
      </c>
      <c r="AJ29" s="799">
        <f>(AI29+AJ161)*(1-IFERROR(IF(AJ$2+$F29&lt;=12,SUMIFS('Attrition Modeling'!$D:$D,'Attrition Modeling'!$B:$B,'IP Attrition'!$D29,'Attrition Modeling'!$C:$C,'IP Attrition'!AJ$1),VLOOKUP($F29+AJ$2,$A$6:$C$106,2,FALSE)*VLOOKUP(AJ$1,'Attrition Modeling'!$L$15:$N$27,IF(AJ$2+$F29&lt;=24,2,3),FALSE)),$C$3)*(1+Projection!AL$16)*(1+IF(AJ161&gt;0,'Attrition Modeling'!$N$9,0)))</f>
        <v>0</v>
      </c>
      <c r="AK29" s="799">
        <f>(AJ29+AK161)*(1-IFERROR(IF(AK$2+$F29&lt;=12,SUMIFS('Attrition Modeling'!$D:$D,'Attrition Modeling'!$B:$B,'IP Attrition'!$D29,'Attrition Modeling'!$C:$C,'IP Attrition'!AK$1),VLOOKUP($F29+AK$2,$A$6:$C$106,2,FALSE)*VLOOKUP(AK$1,'Attrition Modeling'!$L$15:$N$27,IF(AK$2+$F29&lt;=24,2,3),FALSE)),$C$3)*(1+Projection!AM$16)*(1+IF(AK161&gt;0,'Attrition Modeling'!$N$9,0)))</f>
        <v>0</v>
      </c>
      <c r="AL29" s="799">
        <f>(AK29+AL161)*(1-IFERROR(IF(AL$2+$F29&lt;=12,SUMIFS('Attrition Modeling'!$D:$D,'Attrition Modeling'!$B:$B,'IP Attrition'!$D29,'Attrition Modeling'!$C:$C,'IP Attrition'!AL$1),VLOOKUP($F29+AL$2,$A$6:$C$106,2,FALSE)*VLOOKUP(AL$1,'Attrition Modeling'!$L$15:$N$27,IF(AL$2+$F29&lt;=24,2,3),FALSE)),$C$3)*(1+Projection!AN$16)*(1+IF(AL161&gt;0,'Attrition Modeling'!$N$9,0)))</f>
        <v>0</v>
      </c>
      <c r="AM29" s="799">
        <f>(AL29+AM161)*(1-IFERROR(IF(AM$2+$F29&lt;=12,SUMIFS('Attrition Modeling'!$D:$D,'Attrition Modeling'!$B:$B,'IP Attrition'!$D29,'Attrition Modeling'!$C:$C,'IP Attrition'!AM$1),VLOOKUP($F29+AM$2,$A$6:$C$106,2,FALSE)*VLOOKUP(AM$1,'Attrition Modeling'!$L$15:$N$27,IF(AM$2+$F29&lt;=24,2,3),FALSE)),$C$3)*(1+Projection!AO$16)*(1+IF(AM161&gt;0,'Attrition Modeling'!$N$9,0)))</f>
        <v>0</v>
      </c>
      <c r="AN29" s="799">
        <f>(AM29+AN161)*(1-IFERROR(IF(AN$2+$F29&lt;=12,SUMIFS('Attrition Modeling'!$D:$D,'Attrition Modeling'!$B:$B,'IP Attrition'!$D29,'Attrition Modeling'!$C:$C,'IP Attrition'!AN$1),VLOOKUP($F29+AN$2,$A$6:$C$106,2,FALSE)*VLOOKUP(AN$1,'Attrition Modeling'!$L$15:$N$27,IF(AN$2+$F29&lt;=24,2,3),FALSE)),$C$3)*(1+Projection!AP$16)*(1+IF(AN161&gt;0,'Attrition Modeling'!$N$9,0)))</f>
        <v>0</v>
      </c>
      <c r="AO29" s="799">
        <f>(AN29+AO161)*(1-IFERROR(IF(AO$2+$F29&lt;=12,SUMIFS('Attrition Modeling'!$D:$D,'Attrition Modeling'!$B:$B,'IP Attrition'!$D29,'Attrition Modeling'!$C:$C,'IP Attrition'!AO$1),VLOOKUP($F29+AO$2,$A$6:$C$106,2,FALSE)*VLOOKUP(AO$1,'Attrition Modeling'!$L$15:$N$27,IF(AO$2+$F29&lt;=24,2,3),FALSE)),$C$3)*(1+Projection!AQ$16)*(1+IF(AO161&gt;0,'Attrition Modeling'!$N$9,0)))</f>
        <v>0</v>
      </c>
      <c r="AP29" s="799">
        <f>(AO29+AP161)*(1-IFERROR(IF(AP$2+$F29&lt;=12,SUMIFS('Attrition Modeling'!$D:$D,'Attrition Modeling'!$B:$B,'IP Attrition'!$D29,'Attrition Modeling'!$C:$C,'IP Attrition'!AP$1),VLOOKUP($F29+AP$2,$A$6:$C$106,2,FALSE)*VLOOKUP(AP$1,'Attrition Modeling'!$L$15:$N$27,IF(AP$2+$F29&lt;=24,2,3),FALSE)),$C$3)*(1+Projection!AR$16)*(1+IF(AP161&gt;0,'Attrition Modeling'!$N$9,0)))</f>
        <v>0</v>
      </c>
      <c r="AQ29" s="799">
        <f>(AP29+AQ161)*(1-IFERROR(IF(AQ$2+$F29&lt;=12,SUMIFS('Attrition Modeling'!$D:$D,'Attrition Modeling'!$B:$B,'IP Attrition'!$D29,'Attrition Modeling'!$C:$C,'IP Attrition'!AQ$1),VLOOKUP($F29+AQ$2,$A$6:$C$106,2,FALSE)*VLOOKUP(AQ$1,'Attrition Modeling'!$L$15:$N$27,IF(AQ$2+$F29&lt;=24,2,3),FALSE)),$C$3)*(1+Projection!AS$16)*(1+IF(AQ161&gt;0,'Attrition Modeling'!$N$9,0)))</f>
        <v>0</v>
      </c>
      <c r="AR29" s="799">
        <f>(AQ29+AR161)*(1-IFERROR(IF(AR$2+$F29&lt;=12,SUMIFS('Attrition Modeling'!$D:$D,'Attrition Modeling'!$B:$B,'IP Attrition'!$D29,'Attrition Modeling'!$C:$C,'IP Attrition'!AR$1),VLOOKUP($F29+AR$2,$A$6:$C$106,2,FALSE)*VLOOKUP(AR$1,'Attrition Modeling'!$L$15:$N$27,IF(AR$2+$F29&lt;=24,2,3),FALSE)),$C$3)*(1+Projection!AT$16)*(1+IF(AR161&gt;0,'Attrition Modeling'!$N$9,0)))</f>
        <v>0</v>
      </c>
      <c r="AS29" s="799">
        <f>(AR29+AS161)*(1-IFERROR(IF(AS$2+$F29&lt;=12,SUMIFS('Attrition Modeling'!$D:$D,'Attrition Modeling'!$B:$B,'IP Attrition'!$D29,'Attrition Modeling'!$C:$C,'IP Attrition'!AS$1),VLOOKUP($F29+AS$2,$A$6:$C$106,2,FALSE)*VLOOKUP(AS$1,'Attrition Modeling'!$L$15:$N$27,IF(AS$2+$F29&lt;=24,2,3),FALSE)),$C$3)*(1+Projection!AU$16)*(1+IF(AS161&gt;0,'Attrition Modeling'!$N$9,0)))</f>
        <v>0</v>
      </c>
      <c r="AT29" s="799">
        <f>(AS29+AT161)*(1-IFERROR(IF(AT$2+$F29&lt;=12,SUMIFS('Attrition Modeling'!$D:$D,'Attrition Modeling'!$B:$B,'IP Attrition'!$D29,'Attrition Modeling'!$C:$C,'IP Attrition'!AT$1),VLOOKUP($F29+AT$2,$A$6:$C$106,2,FALSE)*VLOOKUP(AT$1,'Attrition Modeling'!$L$15:$N$27,IF(AT$2+$F29&lt;=24,2,3),FALSE)),$C$3)*(1+Projection!AV$16)*(1+IF(AT161&gt;0,'Attrition Modeling'!$N$9,0)))</f>
        <v>0</v>
      </c>
      <c r="AU29" s="799">
        <f>(AT29+AU161)*(1-IFERROR(IF(AU$2+$F29&lt;=12,SUMIFS('Attrition Modeling'!$D:$D,'Attrition Modeling'!$B:$B,'IP Attrition'!$D29,'Attrition Modeling'!$C:$C,'IP Attrition'!AU$1),VLOOKUP($F29+AU$2,$A$6:$C$106,2,FALSE)*VLOOKUP(AU$1,'Attrition Modeling'!$L$15:$N$27,IF(AU$2+$F29&lt;=24,2,3),FALSE)),$C$3)*(1+Projection!AW$16)*(1+IF(AU161&gt;0,'Attrition Modeling'!$N$9,0)))</f>
        <v>0</v>
      </c>
      <c r="AV29" s="799">
        <f>(AU29+AV161)*(1-IFERROR(IF(AV$2+$F29&lt;=12,SUMIFS('Attrition Modeling'!$D:$D,'Attrition Modeling'!$B:$B,'IP Attrition'!$D29,'Attrition Modeling'!$C:$C,'IP Attrition'!AV$1),VLOOKUP($F29+AV$2,$A$6:$C$106,2,FALSE)*VLOOKUP(AV$1,'Attrition Modeling'!$L$15:$N$27,IF(AV$2+$F29&lt;=24,2,3),FALSE)),$C$3)*(1+Projection!AX$16)*(1+IF(AV161&gt;0,'Attrition Modeling'!$N$9,0)))</f>
        <v>0</v>
      </c>
      <c r="AW29" s="799">
        <f>(AV29+AW161)*(1-IFERROR(IF(AW$2+$F29&lt;=12,SUMIFS('Attrition Modeling'!$D:$D,'Attrition Modeling'!$B:$B,'IP Attrition'!$D29,'Attrition Modeling'!$C:$C,'IP Attrition'!AW$1),VLOOKUP($F29+AW$2,$A$6:$C$106,2,FALSE)*VLOOKUP(AW$1,'Attrition Modeling'!$L$15:$N$27,IF(AW$2+$F29&lt;=24,2,3),FALSE)),$C$3)*(1+Projection!AY$16)*(1+IF(AW161&gt;0,'Attrition Modeling'!$N$9,0)))</f>
        <v>0</v>
      </c>
      <c r="AX29" s="799">
        <f>(AW29+AX161)*(1-IFERROR(IF(AX$2+$F29&lt;=12,SUMIFS('Attrition Modeling'!$D:$D,'Attrition Modeling'!$B:$B,'IP Attrition'!$D29,'Attrition Modeling'!$C:$C,'IP Attrition'!AX$1),VLOOKUP($F29+AX$2,$A$6:$C$106,2,FALSE)*VLOOKUP(AX$1,'Attrition Modeling'!$L$15:$N$27,IF(AX$2+$F29&lt;=24,2,3),FALSE)),$C$3)*(1+Projection!AZ$16)*(1+IF(AX161&gt;0,'Attrition Modeling'!$N$9,0)))</f>
        <v>0</v>
      </c>
      <c r="AY29" s="799">
        <f>(AX29+AY161)*(1-IFERROR(IF(AY$2+$F29&lt;=12,SUMIFS('Attrition Modeling'!$D:$D,'Attrition Modeling'!$B:$B,'IP Attrition'!$D29,'Attrition Modeling'!$C:$C,'IP Attrition'!AY$1),VLOOKUP($F29+AY$2,$A$6:$C$106,2,FALSE)*VLOOKUP(AY$1,'Attrition Modeling'!$L$15:$N$27,IF(AY$2+$F29&lt;=24,2,3),FALSE)),$C$3)*(1+Projection!BA$16)*(1+IF(AY161&gt;0,'Attrition Modeling'!$N$9,0)))</f>
        <v>0</v>
      </c>
      <c r="AZ29" s="799">
        <f>(AY29+AZ161)*(1-IFERROR(IF(AZ$2+$F29&lt;=12,SUMIFS('Attrition Modeling'!$D:$D,'Attrition Modeling'!$B:$B,'IP Attrition'!$D29,'Attrition Modeling'!$C:$C,'IP Attrition'!AZ$1),VLOOKUP($F29+AZ$2,$A$6:$C$106,2,FALSE)*VLOOKUP(AZ$1,'Attrition Modeling'!$L$15:$N$27,IF(AZ$2+$F29&lt;=24,2,3),FALSE)),$C$3)*(1+Projection!BB$16)*(1+IF(AZ161&gt;0,'Attrition Modeling'!$N$9,0)))</f>
        <v>0</v>
      </c>
      <c r="BA29" s="799">
        <f>(AZ29+BA161)*(1-IFERROR(IF(BA$2+$F29&lt;=12,SUMIFS('Attrition Modeling'!$D:$D,'Attrition Modeling'!$B:$B,'IP Attrition'!$D29,'Attrition Modeling'!$C:$C,'IP Attrition'!BA$1),VLOOKUP($F29+BA$2,$A$6:$C$106,2,FALSE)*VLOOKUP(BA$1,'Attrition Modeling'!$L$15:$N$27,IF(BA$2+$F29&lt;=24,2,3),FALSE)),$C$3)*(1+Projection!BC$16)*(1+IF(BA161&gt;0,'Attrition Modeling'!$N$9,0)))</f>
        <v>0</v>
      </c>
      <c r="BB29" s="799">
        <f>(BA29+BB161)*(1-IFERROR(IF(BB$2+$F29&lt;=12,SUMIFS('Attrition Modeling'!$D:$D,'Attrition Modeling'!$B:$B,'IP Attrition'!$D29,'Attrition Modeling'!$C:$C,'IP Attrition'!BB$1),VLOOKUP($F29+BB$2,$A$6:$C$106,2,FALSE)*VLOOKUP(BB$1,'Attrition Modeling'!$L$15:$N$27,IF(BB$2+$F29&lt;=24,2,3),FALSE)),$C$3)*(1+Projection!BD$16)*(1+IF(BB161&gt;0,'Attrition Modeling'!$N$9,0)))</f>
        <v>0</v>
      </c>
      <c r="BC29" s="799">
        <f>(BB29+BC161)*(1-IFERROR(IF(BC$2+$F29&lt;=12,SUMIFS('Attrition Modeling'!$D:$D,'Attrition Modeling'!$B:$B,'IP Attrition'!$D29,'Attrition Modeling'!$C:$C,'IP Attrition'!BC$1),VLOOKUP($F29+BC$2,$A$6:$C$106,2,FALSE)*VLOOKUP(BC$1,'Attrition Modeling'!$L$15:$N$27,IF(BC$2+$F29&lt;=24,2,3),FALSE)),$C$3)*(1+Projection!BE$16)*(1+IF(BC161&gt;0,'Attrition Modeling'!$N$9,0)))</f>
        <v>0</v>
      </c>
      <c r="BD29" s="799">
        <f>(BC29+BD161)*(1-IFERROR(IF(BD$2+$F29&lt;=12,SUMIFS('Attrition Modeling'!$D:$D,'Attrition Modeling'!$B:$B,'IP Attrition'!$D29,'Attrition Modeling'!$C:$C,'IP Attrition'!BD$1),VLOOKUP($F29+BD$2,$A$6:$C$106,2,FALSE)*VLOOKUP(BD$1,'Attrition Modeling'!$L$15:$N$27,IF(BD$2+$F29&lt;=24,2,3),FALSE)),$C$3)*(1+Projection!BF$16)*(1+IF(BD161&gt;0,'Attrition Modeling'!$N$9,0)))</f>
        <v>0</v>
      </c>
      <c r="BE29" s="799">
        <f>(BD29+BE161)*(1-IFERROR(IF(BE$2+$F29&lt;=12,SUMIFS('Attrition Modeling'!$D:$D,'Attrition Modeling'!$B:$B,'IP Attrition'!$D29,'Attrition Modeling'!$C:$C,'IP Attrition'!BE$1),VLOOKUP($F29+BE$2,$A$6:$C$106,2,FALSE)*VLOOKUP(BE$1,'Attrition Modeling'!$L$15:$N$27,IF(BE$2+$F29&lt;=24,2,3),FALSE)),$C$3)*(1+Projection!BG$16)*(1+IF(BE161&gt;0,'Attrition Modeling'!$N$9,0)))</f>
        <v>0</v>
      </c>
      <c r="BF29" s="799">
        <f>(BE29+BF161)*(1-IFERROR(IF(BF$2+$F29&lt;=12,SUMIFS('Attrition Modeling'!$D:$D,'Attrition Modeling'!$B:$B,'IP Attrition'!$D29,'Attrition Modeling'!$C:$C,'IP Attrition'!BF$1),VLOOKUP($F29+BF$2,$A$6:$C$106,2,FALSE)*VLOOKUP(BF$1,'Attrition Modeling'!$L$15:$N$27,IF(BF$2+$F29&lt;=24,2,3),FALSE)),$C$3)*(1+Projection!BH$16)*(1+IF(BF161&gt;0,'Attrition Modeling'!$N$9,0)))</f>
        <v>0</v>
      </c>
      <c r="BG29" s="799">
        <f>(BF29+BG161)*(1-IFERROR(IF(BG$2+$F29&lt;=12,SUMIFS('Attrition Modeling'!$D:$D,'Attrition Modeling'!$B:$B,'IP Attrition'!$D29,'Attrition Modeling'!$C:$C,'IP Attrition'!BG$1),VLOOKUP($F29+BG$2,$A$6:$C$106,2,FALSE)*VLOOKUP(BG$1,'Attrition Modeling'!$L$15:$N$27,IF(BG$2+$F29&lt;=24,2,3),FALSE)),$C$3)*(1+Projection!BI$16)*(1+IF(BG161&gt;0,'Attrition Modeling'!$N$9,0)))</f>
        <v>0</v>
      </c>
      <c r="BH29" s="799">
        <f>(BG29+BH161)*(1-IFERROR(IF(BH$2+$F29&lt;=12,SUMIFS('Attrition Modeling'!$D:$D,'Attrition Modeling'!$B:$B,'IP Attrition'!$D29,'Attrition Modeling'!$C:$C,'IP Attrition'!BH$1),VLOOKUP($F29+BH$2,$A$6:$C$106,2,FALSE)*VLOOKUP(BH$1,'Attrition Modeling'!$L$15:$N$27,IF(BH$2+$F29&lt;=24,2,3),FALSE)),$C$3)*(1+Projection!BJ$16)*(1+IF(BH161&gt;0,'Attrition Modeling'!$N$9,0)))</f>
        <v>0</v>
      </c>
      <c r="BI29" s="799">
        <f>(BH29+BI161)*(1-IFERROR(IF(BI$2+$F29&lt;=12,SUMIFS('Attrition Modeling'!$D:$D,'Attrition Modeling'!$B:$B,'IP Attrition'!$D29,'Attrition Modeling'!$C:$C,'IP Attrition'!BI$1),VLOOKUP($F29+BI$2,$A$6:$C$106,2,FALSE)*VLOOKUP(BI$1,'Attrition Modeling'!$L$15:$N$27,IF(BI$2+$F29&lt;=24,2,3),FALSE)),$C$3)*(1+Projection!BK$16)*(1+IF(BI161&gt;0,'Attrition Modeling'!$N$9,0)))</f>
        <v>0</v>
      </c>
      <c r="BJ29" s="799">
        <f>(BI29+BJ161)*(1-IFERROR(IF(BJ$2+$F29&lt;=12,SUMIFS('Attrition Modeling'!$D:$D,'Attrition Modeling'!$B:$B,'IP Attrition'!$D29,'Attrition Modeling'!$C:$C,'IP Attrition'!BJ$1),VLOOKUP($F29+BJ$2,$A$6:$C$106,2,FALSE)*VLOOKUP(BJ$1,'Attrition Modeling'!$L$15:$N$27,IF(BJ$2+$F29&lt;=24,2,3),FALSE)),$C$3)*(1+Projection!BL$16)*(1+IF(BJ161&gt;0,'Attrition Modeling'!$N$9,0)))</f>
        <v>0</v>
      </c>
      <c r="BK29" s="799">
        <f>(BJ29+BK161)*(1-IFERROR(IF(BK$2+$F29&lt;=12,SUMIFS('Attrition Modeling'!$D:$D,'Attrition Modeling'!$B:$B,'IP Attrition'!$D29,'Attrition Modeling'!$C:$C,'IP Attrition'!BK$1),VLOOKUP($F29+BK$2,$A$6:$C$106,2,FALSE)*VLOOKUP(BK$1,'Attrition Modeling'!$L$15:$N$27,IF(BK$2+$F29&lt;=24,2,3),FALSE)),$C$3)*(1+Projection!BM$16)*(1+IF(BK161&gt;0,'Attrition Modeling'!$N$9,0)))</f>
        <v>0</v>
      </c>
      <c r="BL29" s="799">
        <f>(BK29+BL161)*(1-IFERROR(IF(BL$2+$F29&lt;=12,SUMIFS('Attrition Modeling'!$D:$D,'Attrition Modeling'!$B:$B,'IP Attrition'!$D29,'Attrition Modeling'!$C:$C,'IP Attrition'!BL$1),VLOOKUP($F29+BL$2,$A$6:$C$106,2,FALSE)*VLOOKUP(BL$1,'Attrition Modeling'!$L$15:$N$27,IF(BL$2+$F29&lt;=24,2,3),FALSE)),$C$3)*(1+Projection!BN$16)*(1+IF(BL161&gt;0,'Attrition Modeling'!$N$9,0)))</f>
        <v>0</v>
      </c>
      <c r="BM29" s="799">
        <f>(BL29+BM161)*(1-IFERROR(IF(BM$2+$F29&lt;=12,SUMIFS('Attrition Modeling'!$D:$D,'Attrition Modeling'!$B:$B,'IP Attrition'!$D29,'Attrition Modeling'!$C:$C,'IP Attrition'!BM$1),VLOOKUP($F29+BM$2,$A$6:$C$106,2,FALSE)*VLOOKUP(BM$1,'Attrition Modeling'!$L$15:$N$27,IF(BM$2+$F29&lt;=24,2,3),FALSE)),$C$3)*(1+Projection!BO$16)*(1+IF(BM161&gt;0,'Attrition Modeling'!$N$9,0)))</f>
        <v>0</v>
      </c>
      <c r="BN29" s="799">
        <f>(BM29+BN161)*(1-IFERROR(IF(BN$2+$F29&lt;=12,SUMIFS('Attrition Modeling'!$D:$D,'Attrition Modeling'!$B:$B,'IP Attrition'!$D29,'Attrition Modeling'!$C:$C,'IP Attrition'!BN$1),VLOOKUP($F29+BN$2,$A$6:$C$106,2,FALSE)*VLOOKUP(BN$1,'Attrition Modeling'!$L$15:$N$27,IF(BN$2+$F29&lt;=24,2,3),FALSE)),$C$3)*(1+Projection!BP$16)*(1+IF(BN161&gt;0,'Attrition Modeling'!$N$9,0)))</f>
        <v>0</v>
      </c>
      <c r="BO29" s="799">
        <f>(BN29+BO161)*(1-IFERROR(IF(BO$2+$F29&lt;=12,SUMIFS('Attrition Modeling'!$D:$D,'Attrition Modeling'!$B:$B,'IP Attrition'!$D29,'Attrition Modeling'!$C:$C,'IP Attrition'!BO$1),VLOOKUP($F29+BO$2,$A$6:$C$106,2,FALSE)*VLOOKUP(BO$1,'Attrition Modeling'!$L$15:$N$27,IF(BO$2+$F29&lt;=24,2,3),FALSE)),$C$3)*(1+Projection!BV$16)*(1+IF(BO161&gt;0,'Attrition Modeling'!$N$9,0)))</f>
        <v>0</v>
      </c>
      <c r="BP29" s="799">
        <f>(BO29+BP161)*(1-IFERROR(IF(BP$2+$F29&lt;=12,SUMIFS('Attrition Modeling'!$D:$D,'Attrition Modeling'!$B:$B,'IP Attrition'!$D29,'Attrition Modeling'!$C:$C,'IP Attrition'!BP$1),VLOOKUP($F29+BP$2,$A$6:$C$106,2,FALSE)*VLOOKUP(BP$1,'Attrition Modeling'!$L$15:$N$27,IF(BP$2+$F29&lt;=24,2,3),FALSE)),$C$3)*(1+Projection!BW$16)*(1+IF(BP161&gt;0,'Attrition Modeling'!$N$9,0)))</f>
        <v>0</v>
      </c>
      <c r="BQ29" s="799">
        <f>(BP29+BQ161)*(1-IFERROR(IF(BQ$2+$F29&lt;=12,SUMIFS('Attrition Modeling'!$D:$D,'Attrition Modeling'!$B:$B,'IP Attrition'!$D29,'Attrition Modeling'!$C:$C,'IP Attrition'!BQ$1),VLOOKUP($F29+BQ$2,$A$6:$C$106,2,FALSE)*VLOOKUP(BQ$1,'Attrition Modeling'!$L$15:$N$27,IF(BQ$2+$F29&lt;=24,2,3),FALSE)),$C$3)*(1+Projection!BX$16)*(1+IF(BQ161&gt;0,'Attrition Modeling'!$N$9,0)))</f>
        <v>0</v>
      </c>
      <c r="BR29" s="799">
        <f>(BQ29+BR161)*(1-IFERROR(IF(BR$2+$F29&lt;=12,SUMIFS('Attrition Modeling'!$D:$D,'Attrition Modeling'!$B:$B,'IP Attrition'!$D29,'Attrition Modeling'!$C:$C,'IP Attrition'!BR$1),VLOOKUP($F29+BR$2,$A$6:$C$106,2,FALSE)*VLOOKUP(BR$1,'Attrition Modeling'!$L$15:$N$27,IF(BR$2+$F29&lt;=24,2,3),FALSE)),$C$3)*(1+Projection!BY$16)*(1+IF(BR161&gt;0,'Attrition Modeling'!$N$9,0)))</f>
        <v>0</v>
      </c>
      <c r="BS29" s="799">
        <f>(BR29+BS161)*(1-IFERROR(IF(BS$2+$F29&lt;=12,SUMIFS('Attrition Modeling'!$D:$D,'Attrition Modeling'!$B:$B,'IP Attrition'!$D29,'Attrition Modeling'!$C:$C,'IP Attrition'!BS$1),VLOOKUP($F29+BS$2,$A$6:$C$106,2,FALSE)*VLOOKUP(BS$1,'Attrition Modeling'!$L$15:$N$27,IF(BS$2+$F29&lt;=24,2,3),FALSE)),$C$3)*(1+Projection!BZ$16)*(1+IF(BS161&gt;0,'Attrition Modeling'!$N$9,0)))</f>
        <v>0</v>
      </c>
      <c r="BT29" s="799" t="e">
        <f>(BS29+BT161)*(1-IFERROR(IF(BT$2+$F29&lt;=12,SUMIFS('Attrition Modeling'!$D:$D,'Attrition Modeling'!$B:$B,'IP Attrition'!$D29,'Attrition Modeling'!$C:$C,'IP Attrition'!BT$1),VLOOKUP($F29+BT$2,$A$6:$C$106,2,FALSE)*VLOOKUP(BT$1,'Attrition Modeling'!$L$15:$N$27,IF(BT$2+$F29&lt;=24,2,3),FALSE)),$C$3)*(1+Projection!CA$16)*(1+IF(BT161&gt;0,'Attrition Modeling'!$N$9,0)))</f>
        <v>#REF!</v>
      </c>
      <c r="BU29" s="799" t="e">
        <f>(BT29+BU161)*(1-IFERROR(IF(BU$2+$F29&lt;=12,SUMIFS('Attrition Modeling'!$D:$D,'Attrition Modeling'!$B:$B,'IP Attrition'!$D29,'Attrition Modeling'!$C:$C,'IP Attrition'!BU$1),VLOOKUP($F29+BU$2,$A$6:$C$106,2,FALSE)*VLOOKUP(BU$1,'Attrition Modeling'!$L$15:$N$27,IF(BU$2+$F29&lt;=24,2,3),FALSE)),$C$3)*(1+Projection!CB$16)*(1+IF(BU161&gt;0,'Attrition Modeling'!$N$9,0)))</f>
        <v>#REF!</v>
      </c>
    </row>
    <row r="30" spans="1:73" ht="14.25" customHeight="1" x14ac:dyDescent="0.2">
      <c r="A30" s="9">
        <v>23</v>
      </c>
      <c r="B30" s="25">
        <f>MAX('Attrition Modeling'!H27,$C$3)*(1-Summary!$C$20)</f>
        <v>3.9406658897167428E-2</v>
      </c>
      <c r="C30" s="24" t="e">
        <f t="shared" si="3"/>
        <v>#DIV/0!</v>
      </c>
      <c r="D30" s="11">
        <f t="shared" si="1"/>
        <v>-27</v>
      </c>
      <c r="E30" s="807">
        <f t="array" ref="E30">INDEX('Attrition Modeling'!$X$2:$AF$63,MATCH($F30,'Attrition Modeling'!$X$2:$X$63,0),MATCH(Inputs!$C$10,'Attrition Modeling'!$X$2:$AF$2,0))</f>
        <v>0</v>
      </c>
      <c r="F30" s="11">
        <f t="shared" si="2"/>
        <v>27</v>
      </c>
      <c r="G30" s="799">
        <f>Summary!$C$25*$E30</f>
        <v>0</v>
      </c>
      <c r="H30" s="799">
        <f>(G30+H162)*(1-IFERROR(IF(H$2+$F30&lt;=12,SUMIFS('Attrition Modeling'!$D:$D,'Attrition Modeling'!$B:$B,'IP Attrition'!$D30,'Attrition Modeling'!$C:$C,'IP Attrition'!H$1),VLOOKUP($F30+H$2,$A$6:$C$106,2,FALSE)*VLOOKUP(H$1,'Attrition Modeling'!$L$15:$N$27,IF(H$2+$F30&lt;=24,2,3),FALSE)),$C$3)*(1+Projection!J$16)*(1+IF(H162&gt;0,'Attrition Modeling'!$N$9,0)))</f>
        <v>0</v>
      </c>
      <c r="I30" s="799">
        <f>(H30+I162)*(1-IFERROR(IF(I$2+$F30&lt;=12,SUMIFS('Attrition Modeling'!$D:$D,'Attrition Modeling'!$B:$B,'IP Attrition'!$D30,'Attrition Modeling'!$C:$C,'IP Attrition'!I$1),VLOOKUP($F30+I$2,$A$6:$C$106,2,FALSE)*VLOOKUP(I$1,'Attrition Modeling'!$L$15:$N$27,IF(I$2+$F30&lt;=24,2,3),FALSE)),$C$3)*(1+Projection!K$16)*(1+IF(I162&gt;0,'Attrition Modeling'!$N$9,0)))</f>
        <v>0</v>
      </c>
      <c r="J30" s="799">
        <f>(I30+J162)*(1-IFERROR(IF(J$2+$F30&lt;=12,SUMIFS('Attrition Modeling'!$D:$D,'Attrition Modeling'!$B:$B,'IP Attrition'!$D30,'Attrition Modeling'!$C:$C,'IP Attrition'!J$1),VLOOKUP($F30+J$2,$A$6:$C$106,2,FALSE)*VLOOKUP(J$1,'Attrition Modeling'!$L$15:$N$27,IF(J$2+$F30&lt;=24,2,3),FALSE)),$C$3)*(1+Projection!L$16)*(1+IF(J162&gt;0,'Attrition Modeling'!$N$9,0)))</f>
        <v>0</v>
      </c>
      <c r="K30" s="799">
        <f>(J30+K162)*(1-IFERROR(IF(K$2+$F30&lt;=12,SUMIFS('Attrition Modeling'!$D:$D,'Attrition Modeling'!$B:$B,'IP Attrition'!$D30,'Attrition Modeling'!$C:$C,'IP Attrition'!K$1),VLOOKUP($F30+K$2,$A$6:$C$106,2,FALSE)*VLOOKUP(K$1,'Attrition Modeling'!$L$15:$N$27,IF(K$2+$F30&lt;=24,2,3),FALSE)),$C$3)*(1+Projection!M$16)*(1+IF(K162&gt;0,'Attrition Modeling'!$N$9,0)))</f>
        <v>0</v>
      </c>
      <c r="L30" s="799">
        <f>(K30+L162)*(1-IFERROR(IF(L$2+$F30&lt;=12,SUMIFS('Attrition Modeling'!$D:$D,'Attrition Modeling'!$B:$B,'IP Attrition'!$D30,'Attrition Modeling'!$C:$C,'IP Attrition'!L$1),VLOOKUP($F30+L$2,$A$6:$C$106,2,FALSE)*VLOOKUP(L$1,'Attrition Modeling'!$L$15:$N$27,IF(L$2+$F30&lt;=24,2,3),FALSE)),$C$3)*(1+Projection!N$16)*(1+IF(L162&gt;0,'Attrition Modeling'!$N$9,0)))</f>
        <v>0</v>
      </c>
      <c r="M30" s="799">
        <f>(L30+M162)*(1-IFERROR(IF(M$2+$F30&lt;=12,SUMIFS('Attrition Modeling'!$D:$D,'Attrition Modeling'!$B:$B,'IP Attrition'!$D30,'Attrition Modeling'!$C:$C,'IP Attrition'!M$1),VLOOKUP($F30+M$2,$A$6:$C$106,2,FALSE)*VLOOKUP(M$1,'Attrition Modeling'!$L$15:$N$27,IF(M$2+$F30&lt;=24,2,3),FALSE)),$C$3)*(1+Projection!O$16)*(1+IF(M162&gt;0,'Attrition Modeling'!$N$9,0)))</f>
        <v>0</v>
      </c>
      <c r="N30" s="799">
        <f>(M30+N162)*(1-IFERROR(IF(N$2+$F30&lt;=12,SUMIFS('Attrition Modeling'!$D:$D,'Attrition Modeling'!$B:$B,'IP Attrition'!$D30,'Attrition Modeling'!$C:$C,'IP Attrition'!N$1),VLOOKUP($F30+N$2,$A$6:$C$106,2,FALSE)*VLOOKUP(N$1,'Attrition Modeling'!$L$15:$N$27,IF(N$2+$F30&lt;=24,2,3),FALSE)),$C$3)*(1+Projection!P$16)*(1+IF(N162&gt;0,'Attrition Modeling'!$N$9,0)))</f>
        <v>0</v>
      </c>
      <c r="O30" s="799">
        <f>(N30+O162)*(1-IFERROR(IF(O$2+$F30&lt;=12,SUMIFS('Attrition Modeling'!$D:$D,'Attrition Modeling'!$B:$B,'IP Attrition'!$D30,'Attrition Modeling'!$C:$C,'IP Attrition'!O$1),VLOOKUP($F30+O$2,$A$6:$C$106,2,FALSE)*VLOOKUP(O$1,'Attrition Modeling'!$L$15:$N$27,IF(O$2+$F30&lt;=24,2,3),FALSE)),$C$3)*(1+Projection!Q$16)*(1+IF(O162&gt;0,'Attrition Modeling'!$N$9,0)))</f>
        <v>0</v>
      </c>
      <c r="P30" s="799">
        <f>(O30+P162)*(1-IFERROR(IF(P$2+$F30&lt;=12,SUMIFS('Attrition Modeling'!$D:$D,'Attrition Modeling'!$B:$B,'IP Attrition'!$D30,'Attrition Modeling'!$C:$C,'IP Attrition'!P$1),VLOOKUP($F30+P$2,$A$6:$C$106,2,FALSE)*VLOOKUP(P$1,'Attrition Modeling'!$L$15:$N$27,IF(P$2+$F30&lt;=24,2,3),FALSE)),$C$3)*(1+Projection!R$16)*(1+IF(P162&gt;0,'Attrition Modeling'!$N$9,0)))</f>
        <v>0</v>
      </c>
      <c r="Q30" s="799">
        <f>(P30+Q162)*(1-IFERROR(IF(Q$2+$F30&lt;=12,SUMIFS('Attrition Modeling'!$D:$D,'Attrition Modeling'!$B:$B,'IP Attrition'!$D30,'Attrition Modeling'!$C:$C,'IP Attrition'!Q$1),VLOOKUP($F30+Q$2,$A$6:$C$106,2,FALSE)*VLOOKUP(Q$1,'Attrition Modeling'!$L$15:$N$27,IF(Q$2+$F30&lt;=24,2,3),FALSE)),$C$3)*(1+Projection!S$16)*(1+IF(Q162&gt;0,'Attrition Modeling'!$N$9,0)))</f>
        <v>0</v>
      </c>
      <c r="R30" s="799">
        <f>(Q30+R162)*(1-IFERROR(IF(R$2+$F30&lt;=12,SUMIFS('Attrition Modeling'!$D:$D,'Attrition Modeling'!$B:$B,'IP Attrition'!$D30,'Attrition Modeling'!$C:$C,'IP Attrition'!R$1),VLOOKUP($F30+R$2,$A$6:$C$106,2,FALSE)*VLOOKUP(R$1,'Attrition Modeling'!$L$15:$N$27,IF(R$2+$F30&lt;=24,2,3),FALSE)),$C$3)*(1+Projection!T$16)*(1+IF(R162&gt;0,'Attrition Modeling'!$N$9,0)))</f>
        <v>0</v>
      </c>
      <c r="S30" s="799">
        <f>(R30+S162)*(1-IFERROR(IF(S$2+$F30&lt;=12,SUMIFS('Attrition Modeling'!$D:$D,'Attrition Modeling'!$B:$B,'IP Attrition'!$D30,'Attrition Modeling'!$C:$C,'IP Attrition'!S$1),VLOOKUP($F30+S$2,$A$6:$C$106,2,FALSE)*VLOOKUP(S$1,'Attrition Modeling'!$L$15:$N$27,IF(S$2+$F30&lt;=24,2,3),FALSE)),$C$3)*(1+Projection!U$16)*(1+IF(S162&gt;0,'Attrition Modeling'!$N$9,0)))</f>
        <v>0</v>
      </c>
      <c r="T30" s="799">
        <f>(S30+T162)*(1-IFERROR(IF(T$2+$F30&lt;=12,SUMIFS('Attrition Modeling'!$D:$D,'Attrition Modeling'!$B:$B,'IP Attrition'!$D30,'Attrition Modeling'!$C:$C,'IP Attrition'!T$1),VLOOKUP($F30+T$2,$A$6:$C$106,2,FALSE)*VLOOKUP(T$1,'Attrition Modeling'!$L$15:$N$27,IF(T$2+$F30&lt;=24,2,3),FALSE)),$C$3)*(1+Projection!V$16)*(1+IF(T162&gt;0,'Attrition Modeling'!$N$9,0)))</f>
        <v>0</v>
      </c>
      <c r="U30" s="799">
        <f>(T30+U162)*(1-IFERROR(IF(U$2+$F30&lt;=12,SUMIFS('Attrition Modeling'!$D:$D,'Attrition Modeling'!$B:$B,'IP Attrition'!$D30,'Attrition Modeling'!$C:$C,'IP Attrition'!U$1),VLOOKUP($F30+U$2,$A$6:$C$106,2,FALSE)*VLOOKUP(U$1,'Attrition Modeling'!$L$15:$N$27,IF(U$2+$F30&lt;=24,2,3),FALSE)),$C$3)*(1+Projection!W$16)*(1+IF(U162&gt;0,'Attrition Modeling'!$N$9,0)))</f>
        <v>0</v>
      </c>
      <c r="V30" s="799">
        <f>(U30+V162)*(1-IFERROR(IF(V$2+$F30&lt;=12,SUMIFS('Attrition Modeling'!$D:$D,'Attrition Modeling'!$B:$B,'IP Attrition'!$D30,'Attrition Modeling'!$C:$C,'IP Attrition'!V$1),VLOOKUP($F30+V$2,$A$6:$C$106,2,FALSE)*VLOOKUP(V$1,'Attrition Modeling'!$L$15:$N$27,IF(V$2+$F30&lt;=24,2,3),FALSE)),$C$3)*(1+Projection!X$16)*(1+IF(V162&gt;0,'Attrition Modeling'!$N$9,0)))</f>
        <v>0</v>
      </c>
      <c r="W30" s="799">
        <f>(V30+W162)*(1-IFERROR(IF(W$2+$F30&lt;=12,SUMIFS('Attrition Modeling'!$D:$D,'Attrition Modeling'!$B:$B,'IP Attrition'!$D30,'Attrition Modeling'!$C:$C,'IP Attrition'!W$1),VLOOKUP($F30+W$2,$A$6:$C$106,2,FALSE)*VLOOKUP(W$1,'Attrition Modeling'!$L$15:$N$27,IF(W$2+$F30&lt;=24,2,3),FALSE)),$C$3)*(1+Projection!Y$16)*(1+IF(W162&gt;0,'Attrition Modeling'!$N$9,0)))</f>
        <v>0</v>
      </c>
      <c r="X30" s="799">
        <f>(W30+X162)*(1-IFERROR(IF(X$2+$F30&lt;=12,SUMIFS('Attrition Modeling'!$D:$D,'Attrition Modeling'!$B:$B,'IP Attrition'!$D30,'Attrition Modeling'!$C:$C,'IP Attrition'!X$1),VLOOKUP($F30+X$2,$A$6:$C$106,2,FALSE)*VLOOKUP(X$1,'Attrition Modeling'!$L$15:$N$27,IF(X$2+$F30&lt;=24,2,3),FALSE)),$C$3)*(1+Projection!Z$16)*(1+IF(X162&gt;0,'Attrition Modeling'!$N$9,0)))</f>
        <v>0</v>
      </c>
      <c r="Y30" s="799">
        <f>(X30+Y162)*(1-IFERROR(IF(Y$2+$F30&lt;=12,SUMIFS('Attrition Modeling'!$D:$D,'Attrition Modeling'!$B:$B,'IP Attrition'!$D30,'Attrition Modeling'!$C:$C,'IP Attrition'!Y$1),VLOOKUP($F30+Y$2,$A$6:$C$106,2,FALSE)*VLOOKUP(Y$1,'Attrition Modeling'!$L$15:$N$27,IF(Y$2+$F30&lt;=24,2,3),FALSE)),$C$3)*(1+Projection!AA$16)*(1+IF(Y162&gt;0,'Attrition Modeling'!$N$9,0)))</f>
        <v>0</v>
      </c>
      <c r="Z30" s="799">
        <f>(Y30+Z162)*(1-IFERROR(IF(Z$2+$F30&lt;=12,SUMIFS('Attrition Modeling'!$D:$D,'Attrition Modeling'!$B:$B,'IP Attrition'!$D30,'Attrition Modeling'!$C:$C,'IP Attrition'!Z$1),VLOOKUP($F30+Z$2,$A$6:$C$106,2,FALSE)*VLOOKUP(Z$1,'Attrition Modeling'!$L$15:$N$27,IF(Z$2+$F30&lt;=24,2,3),FALSE)),$C$3)*(1+Projection!AB$16)*(1+IF(Z162&gt;0,'Attrition Modeling'!$N$9,0)))</f>
        <v>0</v>
      </c>
      <c r="AA30" s="799">
        <f>(Z30+AA162)*(1-IFERROR(IF(AA$2+$F30&lt;=12,SUMIFS('Attrition Modeling'!$D:$D,'Attrition Modeling'!$B:$B,'IP Attrition'!$D30,'Attrition Modeling'!$C:$C,'IP Attrition'!AA$1),VLOOKUP($F30+AA$2,$A$6:$C$106,2,FALSE)*VLOOKUP(AA$1,'Attrition Modeling'!$L$15:$N$27,IF(AA$2+$F30&lt;=24,2,3),FALSE)),$C$3)*(1+Projection!AC$16)*(1+IF(AA162&gt;0,'Attrition Modeling'!$N$9,0)))</f>
        <v>0</v>
      </c>
      <c r="AB30" s="799">
        <f>(AA30+AB162)*(1-IFERROR(IF(AB$2+$F30&lt;=12,SUMIFS('Attrition Modeling'!$D:$D,'Attrition Modeling'!$B:$B,'IP Attrition'!$D30,'Attrition Modeling'!$C:$C,'IP Attrition'!AB$1),VLOOKUP($F30+AB$2,$A$6:$C$106,2,FALSE)*VLOOKUP(AB$1,'Attrition Modeling'!$L$15:$N$27,IF(AB$2+$F30&lt;=24,2,3),FALSE)),$C$3)*(1+Projection!AD$16)*(1+IF(AB162&gt;0,'Attrition Modeling'!$N$9,0)))</f>
        <v>0</v>
      </c>
      <c r="AC30" s="799">
        <f>(AB30+AC162)*(1-IFERROR(IF(AC$2+$F30&lt;=12,SUMIFS('Attrition Modeling'!$D:$D,'Attrition Modeling'!$B:$B,'IP Attrition'!$D30,'Attrition Modeling'!$C:$C,'IP Attrition'!AC$1),VLOOKUP($F30+AC$2,$A$6:$C$106,2,FALSE)*VLOOKUP(AC$1,'Attrition Modeling'!$L$15:$N$27,IF(AC$2+$F30&lt;=24,2,3),FALSE)),$C$3)*(1+Projection!AE$16)*(1+IF(AC162&gt;0,'Attrition Modeling'!$N$9,0)))</f>
        <v>0</v>
      </c>
      <c r="AD30" s="799">
        <f>(AC30+AD162)*(1-IFERROR(IF(AD$2+$F30&lt;=12,SUMIFS('Attrition Modeling'!$D:$D,'Attrition Modeling'!$B:$B,'IP Attrition'!$D30,'Attrition Modeling'!$C:$C,'IP Attrition'!AD$1),VLOOKUP($F30+AD$2,$A$6:$C$106,2,FALSE)*VLOOKUP(AD$1,'Attrition Modeling'!$L$15:$N$27,IF(AD$2+$F30&lt;=24,2,3),FALSE)),$C$3)*(1+Projection!AF$16)*(1+IF(AD162&gt;0,'Attrition Modeling'!$N$9,0)))</f>
        <v>0</v>
      </c>
      <c r="AE30" s="799">
        <f>(AD30+AE162)*(1-IFERROR(IF(AE$2+$F30&lt;=12,SUMIFS('Attrition Modeling'!$D:$D,'Attrition Modeling'!$B:$B,'IP Attrition'!$D30,'Attrition Modeling'!$C:$C,'IP Attrition'!AE$1),VLOOKUP($F30+AE$2,$A$6:$C$106,2,FALSE)*VLOOKUP(AE$1,'Attrition Modeling'!$L$15:$N$27,IF(AE$2+$F30&lt;=24,2,3),FALSE)),$C$3)*(1+Projection!AG$16)*(1+IF(AE162&gt;0,'Attrition Modeling'!$N$9,0)))</f>
        <v>0</v>
      </c>
      <c r="AF30" s="799">
        <f>(AE30+AF162)*(1-IFERROR(IF(AF$2+$F30&lt;=12,SUMIFS('Attrition Modeling'!$D:$D,'Attrition Modeling'!$B:$B,'IP Attrition'!$D30,'Attrition Modeling'!$C:$C,'IP Attrition'!AF$1),VLOOKUP($F30+AF$2,$A$6:$C$106,2,FALSE)*VLOOKUP(AF$1,'Attrition Modeling'!$L$15:$N$27,IF(AF$2+$F30&lt;=24,2,3),FALSE)),$C$3)*(1+Projection!AH$16)*(1+IF(AF162&gt;0,'Attrition Modeling'!$N$9,0)))</f>
        <v>0</v>
      </c>
      <c r="AG30" s="799">
        <f>(AF30+AG162)*(1-IFERROR(IF(AG$2+$F30&lt;=12,SUMIFS('Attrition Modeling'!$D:$D,'Attrition Modeling'!$B:$B,'IP Attrition'!$D30,'Attrition Modeling'!$C:$C,'IP Attrition'!AG$1),VLOOKUP($F30+AG$2,$A$6:$C$106,2,FALSE)*VLOOKUP(AG$1,'Attrition Modeling'!$L$15:$N$27,IF(AG$2+$F30&lt;=24,2,3),FALSE)),$C$3)*(1+Projection!AI$16)*(1+IF(AG162&gt;0,'Attrition Modeling'!$N$9,0)))</f>
        <v>0</v>
      </c>
      <c r="AH30" s="799">
        <f>(AG30+AH162)*(1-IFERROR(IF(AH$2+$F30&lt;=12,SUMIFS('Attrition Modeling'!$D:$D,'Attrition Modeling'!$B:$B,'IP Attrition'!$D30,'Attrition Modeling'!$C:$C,'IP Attrition'!AH$1),VLOOKUP($F30+AH$2,$A$6:$C$106,2,FALSE)*VLOOKUP(AH$1,'Attrition Modeling'!$L$15:$N$27,IF(AH$2+$F30&lt;=24,2,3),FALSE)),$C$3)*(1+Projection!AJ$16)*(1+IF(AH162&gt;0,'Attrition Modeling'!$N$9,0)))</f>
        <v>0</v>
      </c>
      <c r="AI30" s="799">
        <f>(AH30+AI162)*(1-IFERROR(IF(AI$2+$F30&lt;=12,SUMIFS('Attrition Modeling'!$D:$D,'Attrition Modeling'!$B:$B,'IP Attrition'!$D30,'Attrition Modeling'!$C:$C,'IP Attrition'!AI$1),VLOOKUP($F30+AI$2,$A$6:$C$106,2,FALSE)*VLOOKUP(AI$1,'Attrition Modeling'!$L$15:$N$27,IF(AI$2+$F30&lt;=24,2,3),FALSE)),$C$3)*(1+Projection!AK$16)*(1+IF(AI162&gt;0,'Attrition Modeling'!$N$9,0)))</f>
        <v>0</v>
      </c>
      <c r="AJ30" s="799">
        <f>(AI30+AJ162)*(1-IFERROR(IF(AJ$2+$F30&lt;=12,SUMIFS('Attrition Modeling'!$D:$D,'Attrition Modeling'!$B:$B,'IP Attrition'!$D30,'Attrition Modeling'!$C:$C,'IP Attrition'!AJ$1),VLOOKUP($F30+AJ$2,$A$6:$C$106,2,FALSE)*VLOOKUP(AJ$1,'Attrition Modeling'!$L$15:$N$27,IF(AJ$2+$F30&lt;=24,2,3),FALSE)),$C$3)*(1+Projection!AL$16)*(1+IF(AJ162&gt;0,'Attrition Modeling'!$N$9,0)))</f>
        <v>0</v>
      </c>
      <c r="AK30" s="799">
        <f>(AJ30+AK162)*(1-IFERROR(IF(AK$2+$F30&lt;=12,SUMIFS('Attrition Modeling'!$D:$D,'Attrition Modeling'!$B:$B,'IP Attrition'!$D30,'Attrition Modeling'!$C:$C,'IP Attrition'!AK$1),VLOOKUP($F30+AK$2,$A$6:$C$106,2,FALSE)*VLOOKUP(AK$1,'Attrition Modeling'!$L$15:$N$27,IF(AK$2+$F30&lt;=24,2,3),FALSE)),$C$3)*(1+Projection!AM$16)*(1+IF(AK162&gt;0,'Attrition Modeling'!$N$9,0)))</f>
        <v>0</v>
      </c>
      <c r="AL30" s="799">
        <f>(AK30+AL162)*(1-IFERROR(IF(AL$2+$F30&lt;=12,SUMIFS('Attrition Modeling'!$D:$D,'Attrition Modeling'!$B:$B,'IP Attrition'!$D30,'Attrition Modeling'!$C:$C,'IP Attrition'!AL$1),VLOOKUP($F30+AL$2,$A$6:$C$106,2,FALSE)*VLOOKUP(AL$1,'Attrition Modeling'!$L$15:$N$27,IF(AL$2+$F30&lt;=24,2,3),FALSE)),$C$3)*(1+Projection!AN$16)*(1+IF(AL162&gt;0,'Attrition Modeling'!$N$9,0)))</f>
        <v>0</v>
      </c>
      <c r="AM30" s="799">
        <f>(AL30+AM162)*(1-IFERROR(IF(AM$2+$F30&lt;=12,SUMIFS('Attrition Modeling'!$D:$D,'Attrition Modeling'!$B:$B,'IP Attrition'!$D30,'Attrition Modeling'!$C:$C,'IP Attrition'!AM$1),VLOOKUP($F30+AM$2,$A$6:$C$106,2,FALSE)*VLOOKUP(AM$1,'Attrition Modeling'!$L$15:$N$27,IF(AM$2+$F30&lt;=24,2,3),FALSE)),$C$3)*(1+Projection!AO$16)*(1+IF(AM162&gt;0,'Attrition Modeling'!$N$9,0)))</f>
        <v>0</v>
      </c>
      <c r="AN30" s="799">
        <f>(AM30+AN162)*(1-IFERROR(IF(AN$2+$F30&lt;=12,SUMIFS('Attrition Modeling'!$D:$D,'Attrition Modeling'!$B:$B,'IP Attrition'!$D30,'Attrition Modeling'!$C:$C,'IP Attrition'!AN$1),VLOOKUP($F30+AN$2,$A$6:$C$106,2,FALSE)*VLOOKUP(AN$1,'Attrition Modeling'!$L$15:$N$27,IF(AN$2+$F30&lt;=24,2,3),FALSE)),$C$3)*(1+Projection!AP$16)*(1+IF(AN162&gt;0,'Attrition Modeling'!$N$9,0)))</f>
        <v>0</v>
      </c>
      <c r="AO30" s="799">
        <f>(AN30+AO162)*(1-IFERROR(IF(AO$2+$F30&lt;=12,SUMIFS('Attrition Modeling'!$D:$D,'Attrition Modeling'!$B:$B,'IP Attrition'!$D30,'Attrition Modeling'!$C:$C,'IP Attrition'!AO$1),VLOOKUP($F30+AO$2,$A$6:$C$106,2,FALSE)*VLOOKUP(AO$1,'Attrition Modeling'!$L$15:$N$27,IF(AO$2+$F30&lt;=24,2,3),FALSE)),$C$3)*(1+Projection!AQ$16)*(1+IF(AO162&gt;0,'Attrition Modeling'!$N$9,0)))</f>
        <v>0</v>
      </c>
      <c r="AP30" s="799">
        <f>(AO30+AP162)*(1-IFERROR(IF(AP$2+$F30&lt;=12,SUMIFS('Attrition Modeling'!$D:$D,'Attrition Modeling'!$B:$B,'IP Attrition'!$D30,'Attrition Modeling'!$C:$C,'IP Attrition'!AP$1),VLOOKUP($F30+AP$2,$A$6:$C$106,2,FALSE)*VLOOKUP(AP$1,'Attrition Modeling'!$L$15:$N$27,IF(AP$2+$F30&lt;=24,2,3),FALSE)),$C$3)*(1+Projection!AR$16)*(1+IF(AP162&gt;0,'Attrition Modeling'!$N$9,0)))</f>
        <v>0</v>
      </c>
      <c r="AQ30" s="799">
        <f>(AP30+AQ162)*(1-IFERROR(IF(AQ$2+$F30&lt;=12,SUMIFS('Attrition Modeling'!$D:$D,'Attrition Modeling'!$B:$B,'IP Attrition'!$D30,'Attrition Modeling'!$C:$C,'IP Attrition'!AQ$1),VLOOKUP($F30+AQ$2,$A$6:$C$106,2,FALSE)*VLOOKUP(AQ$1,'Attrition Modeling'!$L$15:$N$27,IF(AQ$2+$F30&lt;=24,2,3),FALSE)),$C$3)*(1+Projection!AS$16)*(1+IF(AQ162&gt;0,'Attrition Modeling'!$N$9,0)))</f>
        <v>0</v>
      </c>
      <c r="AR30" s="799">
        <f>(AQ30+AR162)*(1-IFERROR(IF(AR$2+$F30&lt;=12,SUMIFS('Attrition Modeling'!$D:$D,'Attrition Modeling'!$B:$B,'IP Attrition'!$D30,'Attrition Modeling'!$C:$C,'IP Attrition'!AR$1),VLOOKUP($F30+AR$2,$A$6:$C$106,2,FALSE)*VLOOKUP(AR$1,'Attrition Modeling'!$L$15:$N$27,IF(AR$2+$F30&lt;=24,2,3),FALSE)),$C$3)*(1+Projection!AT$16)*(1+IF(AR162&gt;0,'Attrition Modeling'!$N$9,0)))</f>
        <v>0</v>
      </c>
      <c r="AS30" s="799">
        <f>(AR30+AS162)*(1-IFERROR(IF(AS$2+$F30&lt;=12,SUMIFS('Attrition Modeling'!$D:$D,'Attrition Modeling'!$B:$B,'IP Attrition'!$D30,'Attrition Modeling'!$C:$C,'IP Attrition'!AS$1),VLOOKUP($F30+AS$2,$A$6:$C$106,2,FALSE)*VLOOKUP(AS$1,'Attrition Modeling'!$L$15:$N$27,IF(AS$2+$F30&lt;=24,2,3),FALSE)),$C$3)*(1+Projection!AU$16)*(1+IF(AS162&gt;0,'Attrition Modeling'!$N$9,0)))</f>
        <v>0</v>
      </c>
      <c r="AT30" s="799">
        <f>(AS30+AT162)*(1-IFERROR(IF(AT$2+$F30&lt;=12,SUMIFS('Attrition Modeling'!$D:$D,'Attrition Modeling'!$B:$B,'IP Attrition'!$D30,'Attrition Modeling'!$C:$C,'IP Attrition'!AT$1),VLOOKUP($F30+AT$2,$A$6:$C$106,2,FALSE)*VLOOKUP(AT$1,'Attrition Modeling'!$L$15:$N$27,IF(AT$2+$F30&lt;=24,2,3),FALSE)),$C$3)*(1+Projection!AV$16)*(1+IF(AT162&gt;0,'Attrition Modeling'!$N$9,0)))</f>
        <v>0</v>
      </c>
      <c r="AU30" s="799">
        <f>(AT30+AU162)*(1-IFERROR(IF(AU$2+$F30&lt;=12,SUMIFS('Attrition Modeling'!$D:$D,'Attrition Modeling'!$B:$B,'IP Attrition'!$D30,'Attrition Modeling'!$C:$C,'IP Attrition'!AU$1),VLOOKUP($F30+AU$2,$A$6:$C$106,2,FALSE)*VLOOKUP(AU$1,'Attrition Modeling'!$L$15:$N$27,IF(AU$2+$F30&lt;=24,2,3),FALSE)),$C$3)*(1+Projection!AW$16)*(1+IF(AU162&gt;0,'Attrition Modeling'!$N$9,0)))</f>
        <v>0</v>
      </c>
      <c r="AV30" s="799">
        <f>(AU30+AV162)*(1-IFERROR(IF(AV$2+$F30&lt;=12,SUMIFS('Attrition Modeling'!$D:$D,'Attrition Modeling'!$B:$B,'IP Attrition'!$D30,'Attrition Modeling'!$C:$C,'IP Attrition'!AV$1),VLOOKUP($F30+AV$2,$A$6:$C$106,2,FALSE)*VLOOKUP(AV$1,'Attrition Modeling'!$L$15:$N$27,IF(AV$2+$F30&lt;=24,2,3),FALSE)),$C$3)*(1+Projection!AX$16)*(1+IF(AV162&gt;0,'Attrition Modeling'!$N$9,0)))</f>
        <v>0</v>
      </c>
      <c r="AW30" s="799">
        <f>(AV30+AW162)*(1-IFERROR(IF(AW$2+$F30&lt;=12,SUMIFS('Attrition Modeling'!$D:$D,'Attrition Modeling'!$B:$B,'IP Attrition'!$D30,'Attrition Modeling'!$C:$C,'IP Attrition'!AW$1),VLOOKUP($F30+AW$2,$A$6:$C$106,2,FALSE)*VLOOKUP(AW$1,'Attrition Modeling'!$L$15:$N$27,IF(AW$2+$F30&lt;=24,2,3),FALSE)),$C$3)*(1+Projection!AY$16)*(1+IF(AW162&gt;0,'Attrition Modeling'!$N$9,0)))</f>
        <v>0</v>
      </c>
      <c r="AX30" s="799">
        <f>(AW30+AX162)*(1-IFERROR(IF(AX$2+$F30&lt;=12,SUMIFS('Attrition Modeling'!$D:$D,'Attrition Modeling'!$B:$B,'IP Attrition'!$D30,'Attrition Modeling'!$C:$C,'IP Attrition'!AX$1),VLOOKUP($F30+AX$2,$A$6:$C$106,2,FALSE)*VLOOKUP(AX$1,'Attrition Modeling'!$L$15:$N$27,IF(AX$2+$F30&lt;=24,2,3),FALSE)),$C$3)*(1+Projection!AZ$16)*(1+IF(AX162&gt;0,'Attrition Modeling'!$N$9,0)))</f>
        <v>0</v>
      </c>
      <c r="AY30" s="799">
        <f>(AX30+AY162)*(1-IFERROR(IF(AY$2+$F30&lt;=12,SUMIFS('Attrition Modeling'!$D:$D,'Attrition Modeling'!$B:$B,'IP Attrition'!$D30,'Attrition Modeling'!$C:$C,'IP Attrition'!AY$1),VLOOKUP($F30+AY$2,$A$6:$C$106,2,FALSE)*VLOOKUP(AY$1,'Attrition Modeling'!$L$15:$N$27,IF(AY$2+$F30&lt;=24,2,3),FALSE)),$C$3)*(1+Projection!BA$16)*(1+IF(AY162&gt;0,'Attrition Modeling'!$N$9,0)))</f>
        <v>0</v>
      </c>
      <c r="AZ30" s="799">
        <f>(AY30+AZ162)*(1-IFERROR(IF(AZ$2+$F30&lt;=12,SUMIFS('Attrition Modeling'!$D:$D,'Attrition Modeling'!$B:$B,'IP Attrition'!$D30,'Attrition Modeling'!$C:$C,'IP Attrition'!AZ$1),VLOOKUP($F30+AZ$2,$A$6:$C$106,2,FALSE)*VLOOKUP(AZ$1,'Attrition Modeling'!$L$15:$N$27,IF(AZ$2+$F30&lt;=24,2,3),FALSE)),$C$3)*(1+Projection!BB$16)*(1+IF(AZ162&gt;0,'Attrition Modeling'!$N$9,0)))</f>
        <v>0</v>
      </c>
      <c r="BA30" s="799">
        <f>(AZ30+BA162)*(1-IFERROR(IF(BA$2+$F30&lt;=12,SUMIFS('Attrition Modeling'!$D:$D,'Attrition Modeling'!$B:$B,'IP Attrition'!$D30,'Attrition Modeling'!$C:$C,'IP Attrition'!BA$1),VLOOKUP($F30+BA$2,$A$6:$C$106,2,FALSE)*VLOOKUP(BA$1,'Attrition Modeling'!$L$15:$N$27,IF(BA$2+$F30&lt;=24,2,3),FALSE)),$C$3)*(1+Projection!BC$16)*(1+IF(BA162&gt;0,'Attrition Modeling'!$N$9,0)))</f>
        <v>0</v>
      </c>
      <c r="BB30" s="799">
        <f>(BA30+BB162)*(1-IFERROR(IF(BB$2+$F30&lt;=12,SUMIFS('Attrition Modeling'!$D:$D,'Attrition Modeling'!$B:$B,'IP Attrition'!$D30,'Attrition Modeling'!$C:$C,'IP Attrition'!BB$1),VLOOKUP($F30+BB$2,$A$6:$C$106,2,FALSE)*VLOOKUP(BB$1,'Attrition Modeling'!$L$15:$N$27,IF(BB$2+$F30&lt;=24,2,3),FALSE)),$C$3)*(1+Projection!BD$16)*(1+IF(BB162&gt;0,'Attrition Modeling'!$N$9,0)))</f>
        <v>0</v>
      </c>
      <c r="BC30" s="799">
        <f>(BB30+BC162)*(1-IFERROR(IF(BC$2+$F30&lt;=12,SUMIFS('Attrition Modeling'!$D:$D,'Attrition Modeling'!$B:$B,'IP Attrition'!$D30,'Attrition Modeling'!$C:$C,'IP Attrition'!BC$1),VLOOKUP($F30+BC$2,$A$6:$C$106,2,FALSE)*VLOOKUP(BC$1,'Attrition Modeling'!$L$15:$N$27,IF(BC$2+$F30&lt;=24,2,3),FALSE)),$C$3)*(1+Projection!BE$16)*(1+IF(BC162&gt;0,'Attrition Modeling'!$N$9,0)))</f>
        <v>0</v>
      </c>
      <c r="BD30" s="799">
        <f>(BC30+BD162)*(1-IFERROR(IF(BD$2+$F30&lt;=12,SUMIFS('Attrition Modeling'!$D:$D,'Attrition Modeling'!$B:$B,'IP Attrition'!$D30,'Attrition Modeling'!$C:$C,'IP Attrition'!BD$1),VLOOKUP($F30+BD$2,$A$6:$C$106,2,FALSE)*VLOOKUP(BD$1,'Attrition Modeling'!$L$15:$N$27,IF(BD$2+$F30&lt;=24,2,3),FALSE)),$C$3)*(1+Projection!BF$16)*(1+IF(BD162&gt;0,'Attrition Modeling'!$N$9,0)))</f>
        <v>0</v>
      </c>
      <c r="BE30" s="799">
        <f>(BD30+BE162)*(1-IFERROR(IF(BE$2+$F30&lt;=12,SUMIFS('Attrition Modeling'!$D:$D,'Attrition Modeling'!$B:$B,'IP Attrition'!$D30,'Attrition Modeling'!$C:$C,'IP Attrition'!BE$1),VLOOKUP($F30+BE$2,$A$6:$C$106,2,FALSE)*VLOOKUP(BE$1,'Attrition Modeling'!$L$15:$N$27,IF(BE$2+$F30&lt;=24,2,3),FALSE)),$C$3)*(1+Projection!BG$16)*(1+IF(BE162&gt;0,'Attrition Modeling'!$N$9,0)))</f>
        <v>0</v>
      </c>
      <c r="BF30" s="799">
        <f>(BE30+BF162)*(1-IFERROR(IF(BF$2+$F30&lt;=12,SUMIFS('Attrition Modeling'!$D:$D,'Attrition Modeling'!$B:$B,'IP Attrition'!$D30,'Attrition Modeling'!$C:$C,'IP Attrition'!BF$1),VLOOKUP($F30+BF$2,$A$6:$C$106,2,FALSE)*VLOOKUP(BF$1,'Attrition Modeling'!$L$15:$N$27,IF(BF$2+$F30&lt;=24,2,3),FALSE)),$C$3)*(1+Projection!BH$16)*(1+IF(BF162&gt;0,'Attrition Modeling'!$N$9,0)))</f>
        <v>0</v>
      </c>
      <c r="BG30" s="799">
        <f>(BF30+BG162)*(1-IFERROR(IF(BG$2+$F30&lt;=12,SUMIFS('Attrition Modeling'!$D:$D,'Attrition Modeling'!$B:$B,'IP Attrition'!$D30,'Attrition Modeling'!$C:$C,'IP Attrition'!BG$1),VLOOKUP($F30+BG$2,$A$6:$C$106,2,FALSE)*VLOOKUP(BG$1,'Attrition Modeling'!$L$15:$N$27,IF(BG$2+$F30&lt;=24,2,3),FALSE)),$C$3)*(1+Projection!BI$16)*(1+IF(BG162&gt;0,'Attrition Modeling'!$N$9,0)))</f>
        <v>0</v>
      </c>
      <c r="BH30" s="799">
        <f>(BG30+BH162)*(1-IFERROR(IF(BH$2+$F30&lt;=12,SUMIFS('Attrition Modeling'!$D:$D,'Attrition Modeling'!$B:$B,'IP Attrition'!$D30,'Attrition Modeling'!$C:$C,'IP Attrition'!BH$1),VLOOKUP($F30+BH$2,$A$6:$C$106,2,FALSE)*VLOOKUP(BH$1,'Attrition Modeling'!$L$15:$N$27,IF(BH$2+$F30&lt;=24,2,3),FALSE)),$C$3)*(1+Projection!BJ$16)*(1+IF(BH162&gt;0,'Attrition Modeling'!$N$9,0)))</f>
        <v>0</v>
      </c>
      <c r="BI30" s="799">
        <f>(BH30+BI162)*(1-IFERROR(IF(BI$2+$F30&lt;=12,SUMIFS('Attrition Modeling'!$D:$D,'Attrition Modeling'!$B:$B,'IP Attrition'!$D30,'Attrition Modeling'!$C:$C,'IP Attrition'!BI$1),VLOOKUP($F30+BI$2,$A$6:$C$106,2,FALSE)*VLOOKUP(BI$1,'Attrition Modeling'!$L$15:$N$27,IF(BI$2+$F30&lt;=24,2,3),FALSE)),$C$3)*(1+Projection!BK$16)*(1+IF(BI162&gt;0,'Attrition Modeling'!$N$9,0)))</f>
        <v>0</v>
      </c>
      <c r="BJ30" s="799">
        <f>(BI30+BJ162)*(1-IFERROR(IF(BJ$2+$F30&lt;=12,SUMIFS('Attrition Modeling'!$D:$D,'Attrition Modeling'!$B:$B,'IP Attrition'!$D30,'Attrition Modeling'!$C:$C,'IP Attrition'!BJ$1),VLOOKUP($F30+BJ$2,$A$6:$C$106,2,FALSE)*VLOOKUP(BJ$1,'Attrition Modeling'!$L$15:$N$27,IF(BJ$2+$F30&lt;=24,2,3),FALSE)),$C$3)*(1+Projection!BL$16)*(1+IF(BJ162&gt;0,'Attrition Modeling'!$N$9,0)))</f>
        <v>0</v>
      </c>
      <c r="BK30" s="799">
        <f>(BJ30+BK162)*(1-IFERROR(IF(BK$2+$F30&lt;=12,SUMIFS('Attrition Modeling'!$D:$D,'Attrition Modeling'!$B:$B,'IP Attrition'!$D30,'Attrition Modeling'!$C:$C,'IP Attrition'!BK$1),VLOOKUP($F30+BK$2,$A$6:$C$106,2,FALSE)*VLOOKUP(BK$1,'Attrition Modeling'!$L$15:$N$27,IF(BK$2+$F30&lt;=24,2,3),FALSE)),$C$3)*(1+Projection!BM$16)*(1+IF(BK162&gt;0,'Attrition Modeling'!$N$9,0)))</f>
        <v>0</v>
      </c>
      <c r="BL30" s="799">
        <f>(BK30+BL162)*(1-IFERROR(IF(BL$2+$F30&lt;=12,SUMIFS('Attrition Modeling'!$D:$D,'Attrition Modeling'!$B:$B,'IP Attrition'!$D30,'Attrition Modeling'!$C:$C,'IP Attrition'!BL$1),VLOOKUP($F30+BL$2,$A$6:$C$106,2,FALSE)*VLOOKUP(BL$1,'Attrition Modeling'!$L$15:$N$27,IF(BL$2+$F30&lt;=24,2,3),FALSE)),$C$3)*(1+Projection!BN$16)*(1+IF(BL162&gt;0,'Attrition Modeling'!$N$9,0)))</f>
        <v>0</v>
      </c>
      <c r="BM30" s="799">
        <f>(BL30+BM162)*(1-IFERROR(IF(BM$2+$F30&lt;=12,SUMIFS('Attrition Modeling'!$D:$D,'Attrition Modeling'!$B:$B,'IP Attrition'!$D30,'Attrition Modeling'!$C:$C,'IP Attrition'!BM$1),VLOOKUP($F30+BM$2,$A$6:$C$106,2,FALSE)*VLOOKUP(BM$1,'Attrition Modeling'!$L$15:$N$27,IF(BM$2+$F30&lt;=24,2,3),FALSE)),$C$3)*(1+Projection!BO$16)*(1+IF(BM162&gt;0,'Attrition Modeling'!$N$9,0)))</f>
        <v>0</v>
      </c>
      <c r="BN30" s="799">
        <f>(BM30+BN162)*(1-IFERROR(IF(BN$2+$F30&lt;=12,SUMIFS('Attrition Modeling'!$D:$D,'Attrition Modeling'!$B:$B,'IP Attrition'!$D30,'Attrition Modeling'!$C:$C,'IP Attrition'!BN$1),VLOOKUP($F30+BN$2,$A$6:$C$106,2,FALSE)*VLOOKUP(BN$1,'Attrition Modeling'!$L$15:$N$27,IF(BN$2+$F30&lt;=24,2,3),FALSE)),$C$3)*(1+Projection!BP$16)*(1+IF(BN162&gt;0,'Attrition Modeling'!$N$9,0)))</f>
        <v>0</v>
      </c>
      <c r="BO30" s="799">
        <f>(BN30+BO162)*(1-IFERROR(IF(BO$2+$F30&lt;=12,SUMIFS('Attrition Modeling'!$D:$D,'Attrition Modeling'!$B:$B,'IP Attrition'!$D30,'Attrition Modeling'!$C:$C,'IP Attrition'!BO$1),VLOOKUP($F30+BO$2,$A$6:$C$106,2,FALSE)*VLOOKUP(BO$1,'Attrition Modeling'!$L$15:$N$27,IF(BO$2+$F30&lt;=24,2,3),FALSE)),$C$3)*(1+Projection!BV$16)*(1+IF(BO162&gt;0,'Attrition Modeling'!$N$9,0)))</f>
        <v>0</v>
      </c>
      <c r="BP30" s="799">
        <f>(BO30+BP162)*(1-IFERROR(IF(BP$2+$F30&lt;=12,SUMIFS('Attrition Modeling'!$D:$D,'Attrition Modeling'!$B:$B,'IP Attrition'!$D30,'Attrition Modeling'!$C:$C,'IP Attrition'!BP$1),VLOOKUP($F30+BP$2,$A$6:$C$106,2,FALSE)*VLOOKUP(BP$1,'Attrition Modeling'!$L$15:$N$27,IF(BP$2+$F30&lt;=24,2,3),FALSE)),$C$3)*(1+Projection!BW$16)*(1+IF(BP162&gt;0,'Attrition Modeling'!$N$9,0)))</f>
        <v>0</v>
      </c>
      <c r="BQ30" s="799">
        <f>(BP30+BQ162)*(1-IFERROR(IF(BQ$2+$F30&lt;=12,SUMIFS('Attrition Modeling'!$D:$D,'Attrition Modeling'!$B:$B,'IP Attrition'!$D30,'Attrition Modeling'!$C:$C,'IP Attrition'!BQ$1),VLOOKUP($F30+BQ$2,$A$6:$C$106,2,FALSE)*VLOOKUP(BQ$1,'Attrition Modeling'!$L$15:$N$27,IF(BQ$2+$F30&lt;=24,2,3),FALSE)),$C$3)*(1+Projection!BX$16)*(1+IF(BQ162&gt;0,'Attrition Modeling'!$N$9,0)))</f>
        <v>0</v>
      </c>
      <c r="BR30" s="799">
        <f>(BQ30+BR162)*(1-IFERROR(IF(BR$2+$F30&lt;=12,SUMIFS('Attrition Modeling'!$D:$D,'Attrition Modeling'!$B:$B,'IP Attrition'!$D30,'Attrition Modeling'!$C:$C,'IP Attrition'!BR$1),VLOOKUP($F30+BR$2,$A$6:$C$106,2,FALSE)*VLOOKUP(BR$1,'Attrition Modeling'!$L$15:$N$27,IF(BR$2+$F30&lt;=24,2,3),FALSE)),$C$3)*(1+Projection!BY$16)*(1+IF(BR162&gt;0,'Attrition Modeling'!$N$9,0)))</f>
        <v>0</v>
      </c>
      <c r="BS30" s="799">
        <f>(BR30+BS162)*(1-IFERROR(IF(BS$2+$F30&lt;=12,SUMIFS('Attrition Modeling'!$D:$D,'Attrition Modeling'!$B:$B,'IP Attrition'!$D30,'Attrition Modeling'!$C:$C,'IP Attrition'!BS$1),VLOOKUP($F30+BS$2,$A$6:$C$106,2,FALSE)*VLOOKUP(BS$1,'Attrition Modeling'!$L$15:$N$27,IF(BS$2+$F30&lt;=24,2,3),FALSE)),$C$3)*(1+Projection!BZ$16)*(1+IF(BS162&gt;0,'Attrition Modeling'!$N$9,0)))</f>
        <v>0</v>
      </c>
      <c r="BT30" s="799" t="e">
        <f>(BS30+BT162)*(1-IFERROR(IF(BT$2+$F30&lt;=12,SUMIFS('Attrition Modeling'!$D:$D,'Attrition Modeling'!$B:$B,'IP Attrition'!$D30,'Attrition Modeling'!$C:$C,'IP Attrition'!BT$1),VLOOKUP($F30+BT$2,$A$6:$C$106,2,FALSE)*VLOOKUP(BT$1,'Attrition Modeling'!$L$15:$N$27,IF(BT$2+$F30&lt;=24,2,3),FALSE)),$C$3)*(1+Projection!CA$16)*(1+IF(BT162&gt;0,'Attrition Modeling'!$N$9,0)))</f>
        <v>#REF!</v>
      </c>
      <c r="BU30" s="799" t="e">
        <f>(BT30+BU162)*(1-IFERROR(IF(BU$2+$F30&lt;=12,SUMIFS('Attrition Modeling'!$D:$D,'Attrition Modeling'!$B:$B,'IP Attrition'!$D30,'Attrition Modeling'!$C:$C,'IP Attrition'!BU$1),VLOOKUP($F30+BU$2,$A$6:$C$106,2,FALSE)*VLOOKUP(BU$1,'Attrition Modeling'!$L$15:$N$27,IF(BU$2+$F30&lt;=24,2,3),FALSE)),$C$3)*(1+Projection!CB$16)*(1+IF(BU162&gt;0,'Attrition Modeling'!$N$9,0)))</f>
        <v>#REF!</v>
      </c>
    </row>
    <row r="31" spans="1:73" ht="14.25" customHeight="1" x14ac:dyDescent="0.2">
      <c r="A31" s="9">
        <v>24</v>
      </c>
      <c r="B31" s="25">
        <f>MAX('Attrition Modeling'!H28,$C$3)*(1-Summary!$C$20)</f>
        <v>3.6357656416387246E-2</v>
      </c>
      <c r="C31" s="24" t="e">
        <f t="shared" si="3"/>
        <v>#DIV/0!</v>
      </c>
      <c r="D31" s="11">
        <f t="shared" si="1"/>
        <v>-28</v>
      </c>
      <c r="E31" s="807">
        <f t="array" ref="E31">INDEX('Attrition Modeling'!$X$2:$AF$63,MATCH($F31,'Attrition Modeling'!$X$2:$X$63,0),MATCH(Inputs!$C$10,'Attrition Modeling'!$X$2:$AF$2,0))</f>
        <v>0</v>
      </c>
      <c r="F31" s="11">
        <f t="shared" si="2"/>
        <v>28</v>
      </c>
      <c r="G31" s="799">
        <f>Summary!$C$25*$E31</f>
        <v>0</v>
      </c>
      <c r="H31" s="799">
        <f>(G31+H163)*(1-IFERROR(IF(H$2+$F31&lt;=12,SUMIFS('Attrition Modeling'!$D:$D,'Attrition Modeling'!$B:$B,'IP Attrition'!$D31,'Attrition Modeling'!$C:$C,'IP Attrition'!H$1),VLOOKUP($F31+H$2,$A$6:$C$106,2,FALSE)*VLOOKUP(H$1,'Attrition Modeling'!$L$15:$N$27,IF(H$2+$F31&lt;=24,2,3),FALSE)),$C$3)*(1+Projection!J$16)*(1+IF(H163&gt;0,'Attrition Modeling'!$N$9,0)))</f>
        <v>0</v>
      </c>
      <c r="I31" s="799">
        <f>(H31+I163)*(1-IFERROR(IF(I$2+$F31&lt;=12,SUMIFS('Attrition Modeling'!$D:$D,'Attrition Modeling'!$B:$B,'IP Attrition'!$D31,'Attrition Modeling'!$C:$C,'IP Attrition'!I$1),VLOOKUP($F31+I$2,$A$6:$C$106,2,FALSE)*VLOOKUP(I$1,'Attrition Modeling'!$L$15:$N$27,IF(I$2+$F31&lt;=24,2,3),FALSE)),$C$3)*(1+Projection!K$16)*(1+IF(I163&gt;0,'Attrition Modeling'!$N$9,0)))</f>
        <v>0</v>
      </c>
      <c r="J31" s="799">
        <f>(I31+J163)*(1-IFERROR(IF(J$2+$F31&lt;=12,SUMIFS('Attrition Modeling'!$D:$D,'Attrition Modeling'!$B:$B,'IP Attrition'!$D31,'Attrition Modeling'!$C:$C,'IP Attrition'!J$1),VLOOKUP($F31+J$2,$A$6:$C$106,2,FALSE)*VLOOKUP(J$1,'Attrition Modeling'!$L$15:$N$27,IF(J$2+$F31&lt;=24,2,3),FALSE)),$C$3)*(1+Projection!L$16)*(1+IF(J163&gt;0,'Attrition Modeling'!$N$9,0)))</f>
        <v>0</v>
      </c>
      <c r="K31" s="799">
        <f>(J31+K163)*(1-IFERROR(IF(K$2+$F31&lt;=12,SUMIFS('Attrition Modeling'!$D:$D,'Attrition Modeling'!$B:$B,'IP Attrition'!$D31,'Attrition Modeling'!$C:$C,'IP Attrition'!K$1),VLOOKUP($F31+K$2,$A$6:$C$106,2,FALSE)*VLOOKUP(K$1,'Attrition Modeling'!$L$15:$N$27,IF(K$2+$F31&lt;=24,2,3),FALSE)),$C$3)*(1+Projection!M$16)*(1+IF(K163&gt;0,'Attrition Modeling'!$N$9,0)))</f>
        <v>0</v>
      </c>
      <c r="L31" s="799">
        <f>(K31+L163)*(1-IFERROR(IF(L$2+$F31&lt;=12,SUMIFS('Attrition Modeling'!$D:$D,'Attrition Modeling'!$B:$B,'IP Attrition'!$D31,'Attrition Modeling'!$C:$C,'IP Attrition'!L$1),VLOOKUP($F31+L$2,$A$6:$C$106,2,FALSE)*VLOOKUP(L$1,'Attrition Modeling'!$L$15:$N$27,IF(L$2+$F31&lt;=24,2,3),FALSE)),$C$3)*(1+Projection!N$16)*(1+IF(L163&gt;0,'Attrition Modeling'!$N$9,0)))</f>
        <v>0</v>
      </c>
      <c r="M31" s="799">
        <f>(L31+M163)*(1-IFERROR(IF(M$2+$F31&lt;=12,SUMIFS('Attrition Modeling'!$D:$D,'Attrition Modeling'!$B:$B,'IP Attrition'!$D31,'Attrition Modeling'!$C:$C,'IP Attrition'!M$1),VLOOKUP($F31+M$2,$A$6:$C$106,2,FALSE)*VLOOKUP(M$1,'Attrition Modeling'!$L$15:$N$27,IF(M$2+$F31&lt;=24,2,3),FALSE)),$C$3)*(1+Projection!O$16)*(1+IF(M163&gt;0,'Attrition Modeling'!$N$9,0)))</f>
        <v>0</v>
      </c>
      <c r="N31" s="799">
        <f>(M31+N163)*(1-IFERROR(IF(N$2+$F31&lt;=12,SUMIFS('Attrition Modeling'!$D:$D,'Attrition Modeling'!$B:$B,'IP Attrition'!$D31,'Attrition Modeling'!$C:$C,'IP Attrition'!N$1),VLOOKUP($F31+N$2,$A$6:$C$106,2,FALSE)*VLOOKUP(N$1,'Attrition Modeling'!$L$15:$N$27,IF(N$2+$F31&lt;=24,2,3),FALSE)),$C$3)*(1+Projection!P$16)*(1+IF(N163&gt;0,'Attrition Modeling'!$N$9,0)))</f>
        <v>0</v>
      </c>
      <c r="O31" s="799">
        <f>(N31+O163)*(1-IFERROR(IF(O$2+$F31&lt;=12,SUMIFS('Attrition Modeling'!$D:$D,'Attrition Modeling'!$B:$B,'IP Attrition'!$D31,'Attrition Modeling'!$C:$C,'IP Attrition'!O$1),VLOOKUP($F31+O$2,$A$6:$C$106,2,FALSE)*VLOOKUP(O$1,'Attrition Modeling'!$L$15:$N$27,IF(O$2+$F31&lt;=24,2,3),FALSE)),$C$3)*(1+Projection!Q$16)*(1+IF(O163&gt;0,'Attrition Modeling'!$N$9,0)))</f>
        <v>0</v>
      </c>
      <c r="P31" s="799">
        <f>(O31+P163)*(1-IFERROR(IF(P$2+$F31&lt;=12,SUMIFS('Attrition Modeling'!$D:$D,'Attrition Modeling'!$B:$B,'IP Attrition'!$D31,'Attrition Modeling'!$C:$C,'IP Attrition'!P$1),VLOOKUP($F31+P$2,$A$6:$C$106,2,FALSE)*VLOOKUP(P$1,'Attrition Modeling'!$L$15:$N$27,IF(P$2+$F31&lt;=24,2,3),FALSE)),$C$3)*(1+Projection!R$16)*(1+IF(P163&gt;0,'Attrition Modeling'!$N$9,0)))</f>
        <v>0</v>
      </c>
      <c r="Q31" s="799">
        <f>(P31+Q163)*(1-IFERROR(IF(Q$2+$F31&lt;=12,SUMIFS('Attrition Modeling'!$D:$D,'Attrition Modeling'!$B:$B,'IP Attrition'!$D31,'Attrition Modeling'!$C:$C,'IP Attrition'!Q$1),VLOOKUP($F31+Q$2,$A$6:$C$106,2,FALSE)*VLOOKUP(Q$1,'Attrition Modeling'!$L$15:$N$27,IF(Q$2+$F31&lt;=24,2,3),FALSE)),$C$3)*(1+Projection!S$16)*(1+IF(Q163&gt;0,'Attrition Modeling'!$N$9,0)))</f>
        <v>0</v>
      </c>
      <c r="R31" s="799">
        <f>(Q31+R163)*(1-IFERROR(IF(R$2+$F31&lt;=12,SUMIFS('Attrition Modeling'!$D:$D,'Attrition Modeling'!$B:$B,'IP Attrition'!$D31,'Attrition Modeling'!$C:$C,'IP Attrition'!R$1),VLOOKUP($F31+R$2,$A$6:$C$106,2,FALSE)*VLOOKUP(R$1,'Attrition Modeling'!$L$15:$N$27,IF(R$2+$F31&lt;=24,2,3),FALSE)),$C$3)*(1+Projection!T$16)*(1+IF(R163&gt;0,'Attrition Modeling'!$N$9,0)))</f>
        <v>0</v>
      </c>
      <c r="S31" s="799">
        <f>(R31+S163)*(1-IFERROR(IF(S$2+$F31&lt;=12,SUMIFS('Attrition Modeling'!$D:$D,'Attrition Modeling'!$B:$B,'IP Attrition'!$D31,'Attrition Modeling'!$C:$C,'IP Attrition'!S$1),VLOOKUP($F31+S$2,$A$6:$C$106,2,FALSE)*VLOOKUP(S$1,'Attrition Modeling'!$L$15:$N$27,IF(S$2+$F31&lt;=24,2,3),FALSE)),$C$3)*(1+Projection!U$16)*(1+IF(S163&gt;0,'Attrition Modeling'!$N$9,0)))</f>
        <v>0</v>
      </c>
      <c r="T31" s="799">
        <f>(S31+T163)*(1-IFERROR(IF(T$2+$F31&lt;=12,SUMIFS('Attrition Modeling'!$D:$D,'Attrition Modeling'!$B:$B,'IP Attrition'!$D31,'Attrition Modeling'!$C:$C,'IP Attrition'!T$1),VLOOKUP($F31+T$2,$A$6:$C$106,2,FALSE)*VLOOKUP(T$1,'Attrition Modeling'!$L$15:$N$27,IF(T$2+$F31&lt;=24,2,3),FALSE)),$C$3)*(1+Projection!V$16)*(1+IF(T163&gt;0,'Attrition Modeling'!$N$9,0)))</f>
        <v>0</v>
      </c>
      <c r="U31" s="799">
        <f>(T31+U163)*(1-IFERROR(IF(U$2+$F31&lt;=12,SUMIFS('Attrition Modeling'!$D:$D,'Attrition Modeling'!$B:$B,'IP Attrition'!$D31,'Attrition Modeling'!$C:$C,'IP Attrition'!U$1),VLOOKUP($F31+U$2,$A$6:$C$106,2,FALSE)*VLOOKUP(U$1,'Attrition Modeling'!$L$15:$N$27,IF(U$2+$F31&lt;=24,2,3),FALSE)),$C$3)*(1+Projection!W$16)*(1+IF(U163&gt;0,'Attrition Modeling'!$N$9,0)))</f>
        <v>0</v>
      </c>
      <c r="V31" s="799">
        <f>(U31+V163)*(1-IFERROR(IF(V$2+$F31&lt;=12,SUMIFS('Attrition Modeling'!$D:$D,'Attrition Modeling'!$B:$B,'IP Attrition'!$D31,'Attrition Modeling'!$C:$C,'IP Attrition'!V$1),VLOOKUP($F31+V$2,$A$6:$C$106,2,FALSE)*VLOOKUP(V$1,'Attrition Modeling'!$L$15:$N$27,IF(V$2+$F31&lt;=24,2,3),FALSE)),$C$3)*(1+Projection!X$16)*(1+IF(V163&gt;0,'Attrition Modeling'!$N$9,0)))</f>
        <v>0</v>
      </c>
      <c r="W31" s="799">
        <f>(V31+W163)*(1-IFERROR(IF(W$2+$F31&lt;=12,SUMIFS('Attrition Modeling'!$D:$D,'Attrition Modeling'!$B:$B,'IP Attrition'!$D31,'Attrition Modeling'!$C:$C,'IP Attrition'!W$1),VLOOKUP($F31+W$2,$A$6:$C$106,2,FALSE)*VLOOKUP(W$1,'Attrition Modeling'!$L$15:$N$27,IF(W$2+$F31&lt;=24,2,3),FALSE)),$C$3)*(1+Projection!Y$16)*(1+IF(W163&gt;0,'Attrition Modeling'!$N$9,0)))</f>
        <v>0</v>
      </c>
      <c r="X31" s="799">
        <f>(W31+X163)*(1-IFERROR(IF(X$2+$F31&lt;=12,SUMIFS('Attrition Modeling'!$D:$D,'Attrition Modeling'!$B:$B,'IP Attrition'!$D31,'Attrition Modeling'!$C:$C,'IP Attrition'!X$1),VLOOKUP($F31+X$2,$A$6:$C$106,2,FALSE)*VLOOKUP(X$1,'Attrition Modeling'!$L$15:$N$27,IF(X$2+$F31&lt;=24,2,3),FALSE)),$C$3)*(1+Projection!Z$16)*(1+IF(X163&gt;0,'Attrition Modeling'!$N$9,0)))</f>
        <v>0</v>
      </c>
      <c r="Y31" s="799">
        <f>(X31+Y163)*(1-IFERROR(IF(Y$2+$F31&lt;=12,SUMIFS('Attrition Modeling'!$D:$D,'Attrition Modeling'!$B:$B,'IP Attrition'!$D31,'Attrition Modeling'!$C:$C,'IP Attrition'!Y$1),VLOOKUP($F31+Y$2,$A$6:$C$106,2,FALSE)*VLOOKUP(Y$1,'Attrition Modeling'!$L$15:$N$27,IF(Y$2+$F31&lt;=24,2,3),FALSE)),$C$3)*(1+Projection!AA$16)*(1+IF(Y163&gt;0,'Attrition Modeling'!$N$9,0)))</f>
        <v>0</v>
      </c>
      <c r="Z31" s="799">
        <f>(Y31+Z163)*(1-IFERROR(IF(Z$2+$F31&lt;=12,SUMIFS('Attrition Modeling'!$D:$D,'Attrition Modeling'!$B:$B,'IP Attrition'!$D31,'Attrition Modeling'!$C:$C,'IP Attrition'!Z$1),VLOOKUP($F31+Z$2,$A$6:$C$106,2,FALSE)*VLOOKUP(Z$1,'Attrition Modeling'!$L$15:$N$27,IF(Z$2+$F31&lt;=24,2,3),FALSE)),$C$3)*(1+Projection!AB$16)*(1+IF(Z163&gt;0,'Attrition Modeling'!$N$9,0)))</f>
        <v>0</v>
      </c>
      <c r="AA31" s="799">
        <f>(Z31+AA163)*(1-IFERROR(IF(AA$2+$F31&lt;=12,SUMIFS('Attrition Modeling'!$D:$D,'Attrition Modeling'!$B:$B,'IP Attrition'!$D31,'Attrition Modeling'!$C:$C,'IP Attrition'!AA$1),VLOOKUP($F31+AA$2,$A$6:$C$106,2,FALSE)*VLOOKUP(AA$1,'Attrition Modeling'!$L$15:$N$27,IF(AA$2+$F31&lt;=24,2,3),FALSE)),$C$3)*(1+Projection!AC$16)*(1+IF(AA163&gt;0,'Attrition Modeling'!$N$9,0)))</f>
        <v>0</v>
      </c>
      <c r="AB31" s="799">
        <f>(AA31+AB163)*(1-IFERROR(IF(AB$2+$F31&lt;=12,SUMIFS('Attrition Modeling'!$D:$D,'Attrition Modeling'!$B:$B,'IP Attrition'!$D31,'Attrition Modeling'!$C:$C,'IP Attrition'!AB$1),VLOOKUP($F31+AB$2,$A$6:$C$106,2,FALSE)*VLOOKUP(AB$1,'Attrition Modeling'!$L$15:$N$27,IF(AB$2+$F31&lt;=24,2,3),FALSE)),$C$3)*(1+Projection!AD$16)*(1+IF(AB163&gt;0,'Attrition Modeling'!$N$9,0)))</f>
        <v>0</v>
      </c>
      <c r="AC31" s="799">
        <f>(AB31+AC163)*(1-IFERROR(IF(AC$2+$F31&lt;=12,SUMIFS('Attrition Modeling'!$D:$D,'Attrition Modeling'!$B:$B,'IP Attrition'!$D31,'Attrition Modeling'!$C:$C,'IP Attrition'!AC$1),VLOOKUP($F31+AC$2,$A$6:$C$106,2,FALSE)*VLOOKUP(AC$1,'Attrition Modeling'!$L$15:$N$27,IF(AC$2+$F31&lt;=24,2,3),FALSE)),$C$3)*(1+Projection!AE$16)*(1+IF(AC163&gt;0,'Attrition Modeling'!$N$9,0)))</f>
        <v>0</v>
      </c>
      <c r="AD31" s="799">
        <f>(AC31+AD163)*(1-IFERROR(IF(AD$2+$F31&lt;=12,SUMIFS('Attrition Modeling'!$D:$D,'Attrition Modeling'!$B:$B,'IP Attrition'!$D31,'Attrition Modeling'!$C:$C,'IP Attrition'!AD$1),VLOOKUP($F31+AD$2,$A$6:$C$106,2,FALSE)*VLOOKUP(AD$1,'Attrition Modeling'!$L$15:$N$27,IF(AD$2+$F31&lt;=24,2,3),FALSE)),$C$3)*(1+Projection!AF$16)*(1+IF(AD163&gt;0,'Attrition Modeling'!$N$9,0)))</f>
        <v>0</v>
      </c>
      <c r="AE31" s="799">
        <f>(AD31+AE163)*(1-IFERROR(IF(AE$2+$F31&lt;=12,SUMIFS('Attrition Modeling'!$D:$D,'Attrition Modeling'!$B:$B,'IP Attrition'!$D31,'Attrition Modeling'!$C:$C,'IP Attrition'!AE$1),VLOOKUP($F31+AE$2,$A$6:$C$106,2,FALSE)*VLOOKUP(AE$1,'Attrition Modeling'!$L$15:$N$27,IF(AE$2+$F31&lt;=24,2,3),FALSE)),$C$3)*(1+Projection!AG$16)*(1+IF(AE163&gt;0,'Attrition Modeling'!$N$9,0)))</f>
        <v>0</v>
      </c>
      <c r="AF31" s="799">
        <f>(AE31+AF163)*(1-IFERROR(IF(AF$2+$F31&lt;=12,SUMIFS('Attrition Modeling'!$D:$D,'Attrition Modeling'!$B:$B,'IP Attrition'!$D31,'Attrition Modeling'!$C:$C,'IP Attrition'!AF$1),VLOOKUP($F31+AF$2,$A$6:$C$106,2,FALSE)*VLOOKUP(AF$1,'Attrition Modeling'!$L$15:$N$27,IF(AF$2+$F31&lt;=24,2,3),FALSE)),$C$3)*(1+Projection!AH$16)*(1+IF(AF163&gt;0,'Attrition Modeling'!$N$9,0)))</f>
        <v>0</v>
      </c>
      <c r="AG31" s="799">
        <f>(AF31+AG163)*(1-IFERROR(IF(AG$2+$F31&lt;=12,SUMIFS('Attrition Modeling'!$D:$D,'Attrition Modeling'!$B:$B,'IP Attrition'!$D31,'Attrition Modeling'!$C:$C,'IP Attrition'!AG$1),VLOOKUP($F31+AG$2,$A$6:$C$106,2,FALSE)*VLOOKUP(AG$1,'Attrition Modeling'!$L$15:$N$27,IF(AG$2+$F31&lt;=24,2,3),FALSE)),$C$3)*(1+Projection!AI$16)*(1+IF(AG163&gt;0,'Attrition Modeling'!$N$9,0)))</f>
        <v>0</v>
      </c>
      <c r="AH31" s="799">
        <f>(AG31+AH163)*(1-IFERROR(IF(AH$2+$F31&lt;=12,SUMIFS('Attrition Modeling'!$D:$D,'Attrition Modeling'!$B:$B,'IP Attrition'!$D31,'Attrition Modeling'!$C:$C,'IP Attrition'!AH$1),VLOOKUP($F31+AH$2,$A$6:$C$106,2,FALSE)*VLOOKUP(AH$1,'Attrition Modeling'!$L$15:$N$27,IF(AH$2+$F31&lt;=24,2,3),FALSE)),$C$3)*(1+Projection!AJ$16)*(1+IF(AH163&gt;0,'Attrition Modeling'!$N$9,0)))</f>
        <v>0</v>
      </c>
      <c r="AI31" s="799">
        <f>(AH31+AI163)*(1-IFERROR(IF(AI$2+$F31&lt;=12,SUMIFS('Attrition Modeling'!$D:$D,'Attrition Modeling'!$B:$B,'IP Attrition'!$D31,'Attrition Modeling'!$C:$C,'IP Attrition'!AI$1),VLOOKUP($F31+AI$2,$A$6:$C$106,2,FALSE)*VLOOKUP(AI$1,'Attrition Modeling'!$L$15:$N$27,IF(AI$2+$F31&lt;=24,2,3),FALSE)),$C$3)*(1+Projection!AK$16)*(1+IF(AI163&gt;0,'Attrition Modeling'!$N$9,0)))</f>
        <v>0</v>
      </c>
      <c r="AJ31" s="799">
        <f>(AI31+AJ163)*(1-IFERROR(IF(AJ$2+$F31&lt;=12,SUMIFS('Attrition Modeling'!$D:$D,'Attrition Modeling'!$B:$B,'IP Attrition'!$D31,'Attrition Modeling'!$C:$C,'IP Attrition'!AJ$1),VLOOKUP($F31+AJ$2,$A$6:$C$106,2,FALSE)*VLOOKUP(AJ$1,'Attrition Modeling'!$L$15:$N$27,IF(AJ$2+$F31&lt;=24,2,3),FALSE)),$C$3)*(1+Projection!AL$16)*(1+IF(AJ163&gt;0,'Attrition Modeling'!$N$9,0)))</f>
        <v>0</v>
      </c>
      <c r="AK31" s="799">
        <f>(AJ31+AK163)*(1-IFERROR(IF(AK$2+$F31&lt;=12,SUMIFS('Attrition Modeling'!$D:$D,'Attrition Modeling'!$B:$B,'IP Attrition'!$D31,'Attrition Modeling'!$C:$C,'IP Attrition'!AK$1),VLOOKUP($F31+AK$2,$A$6:$C$106,2,FALSE)*VLOOKUP(AK$1,'Attrition Modeling'!$L$15:$N$27,IF(AK$2+$F31&lt;=24,2,3),FALSE)),$C$3)*(1+Projection!AM$16)*(1+IF(AK163&gt;0,'Attrition Modeling'!$N$9,0)))</f>
        <v>0</v>
      </c>
      <c r="AL31" s="799">
        <f>(AK31+AL163)*(1-IFERROR(IF(AL$2+$F31&lt;=12,SUMIFS('Attrition Modeling'!$D:$D,'Attrition Modeling'!$B:$B,'IP Attrition'!$D31,'Attrition Modeling'!$C:$C,'IP Attrition'!AL$1),VLOOKUP($F31+AL$2,$A$6:$C$106,2,FALSE)*VLOOKUP(AL$1,'Attrition Modeling'!$L$15:$N$27,IF(AL$2+$F31&lt;=24,2,3),FALSE)),$C$3)*(1+Projection!AN$16)*(1+IF(AL163&gt;0,'Attrition Modeling'!$N$9,0)))</f>
        <v>0</v>
      </c>
      <c r="AM31" s="799">
        <f>(AL31+AM163)*(1-IFERROR(IF(AM$2+$F31&lt;=12,SUMIFS('Attrition Modeling'!$D:$D,'Attrition Modeling'!$B:$B,'IP Attrition'!$D31,'Attrition Modeling'!$C:$C,'IP Attrition'!AM$1),VLOOKUP($F31+AM$2,$A$6:$C$106,2,FALSE)*VLOOKUP(AM$1,'Attrition Modeling'!$L$15:$N$27,IF(AM$2+$F31&lt;=24,2,3),FALSE)),$C$3)*(1+Projection!AO$16)*(1+IF(AM163&gt;0,'Attrition Modeling'!$N$9,0)))</f>
        <v>0</v>
      </c>
      <c r="AN31" s="799">
        <f>(AM31+AN163)*(1-IFERROR(IF(AN$2+$F31&lt;=12,SUMIFS('Attrition Modeling'!$D:$D,'Attrition Modeling'!$B:$B,'IP Attrition'!$D31,'Attrition Modeling'!$C:$C,'IP Attrition'!AN$1),VLOOKUP($F31+AN$2,$A$6:$C$106,2,FALSE)*VLOOKUP(AN$1,'Attrition Modeling'!$L$15:$N$27,IF(AN$2+$F31&lt;=24,2,3),FALSE)),$C$3)*(1+Projection!AP$16)*(1+IF(AN163&gt;0,'Attrition Modeling'!$N$9,0)))</f>
        <v>0</v>
      </c>
      <c r="AO31" s="799">
        <f>(AN31+AO163)*(1-IFERROR(IF(AO$2+$F31&lt;=12,SUMIFS('Attrition Modeling'!$D:$D,'Attrition Modeling'!$B:$B,'IP Attrition'!$D31,'Attrition Modeling'!$C:$C,'IP Attrition'!AO$1),VLOOKUP($F31+AO$2,$A$6:$C$106,2,FALSE)*VLOOKUP(AO$1,'Attrition Modeling'!$L$15:$N$27,IF(AO$2+$F31&lt;=24,2,3),FALSE)),$C$3)*(1+Projection!AQ$16)*(1+IF(AO163&gt;0,'Attrition Modeling'!$N$9,0)))</f>
        <v>0</v>
      </c>
      <c r="AP31" s="799">
        <f>(AO31+AP163)*(1-IFERROR(IF(AP$2+$F31&lt;=12,SUMIFS('Attrition Modeling'!$D:$D,'Attrition Modeling'!$B:$B,'IP Attrition'!$D31,'Attrition Modeling'!$C:$C,'IP Attrition'!AP$1),VLOOKUP($F31+AP$2,$A$6:$C$106,2,FALSE)*VLOOKUP(AP$1,'Attrition Modeling'!$L$15:$N$27,IF(AP$2+$F31&lt;=24,2,3),FALSE)),$C$3)*(1+Projection!AR$16)*(1+IF(AP163&gt;0,'Attrition Modeling'!$N$9,0)))</f>
        <v>0</v>
      </c>
      <c r="AQ31" s="799">
        <f>(AP31+AQ163)*(1-IFERROR(IF(AQ$2+$F31&lt;=12,SUMIFS('Attrition Modeling'!$D:$D,'Attrition Modeling'!$B:$B,'IP Attrition'!$D31,'Attrition Modeling'!$C:$C,'IP Attrition'!AQ$1),VLOOKUP($F31+AQ$2,$A$6:$C$106,2,FALSE)*VLOOKUP(AQ$1,'Attrition Modeling'!$L$15:$N$27,IF(AQ$2+$F31&lt;=24,2,3),FALSE)),$C$3)*(1+Projection!AS$16)*(1+IF(AQ163&gt;0,'Attrition Modeling'!$N$9,0)))</f>
        <v>0</v>
      </c>
      <c r="AR31" s="799">
        <f>(AQ31+AR163)*(1-IFERROR(IF(AR$2+$F31&lt;=12,SUMIFS('Attrition Modeling'!$D:$D,'Attrition Modeling'!$B:$B,'IP Attrition'!$D31,'Attrition Modeling'!$C:$C,'IP Attrition'!AR$1),VLOOKUP($F31+AR$2,$A$6:$C$106,2,FALSE)*VLOOKUP(AR$1,'Attrition Modeling'!$L$15:$N$27,IF(AR$2+$F31&lt;=24,2,3),FALSE)),$C$3)*(1+Projection!AT$16)*(1+IF(AR163&gt;0,'Attrition Modeling'!$N$9,0)))</f>
        <v>0</v>
      </c>
      <c r="AS31" s="799">
        <f>(AR31+AS163)*(1-IFERROR(IF(AS$2+$F31&lt;=12,SUMIFS('Attrition Modeling'!$D:$D,'Attrition Modeling'!$B:$B,'IP Attrition'!$D31,'Attrition Modeling'!$C:$C,'IP Attrition'!AS$1),VLOOKUP($F31+AS$2,$A$6:$C$106,2,FALSE)*VLOOKUP(AS$1,'Attrition Modeling'!$L$15:$N$27,IF(AS$2+$F31&lt;=24,2,3),FALSE)),$C$3)*(1+Projection!AU$16)*(1+IF(AS163&gt;0,'Attrition Modeling'!$N$9,0)))</f>
        <v>0</v>
      </c>
      <c r="AT31" s="799">
        <f>(AS31+AT163)*(1-IFERROR(IF(AT$2+$F31&lt;=12,SUMIFS('Attrition Modeling'!$D:$D,'Attrition Modeling'!$B:$B,'IP Attrition'!$D31,'Attrition Modeling'!$C:$C,'IP Attrition'!AT$1),VLOOKUP($F31+AT$2,$A$6:$C$106,2,FALSE)*VLOOKUP(AT$1,'Attrition Modeling'!$L$15:$N$27,IF(AT$2+$F31&lt;=24,2,3),FALSE)),$C$3)*(1+Projection!AV$16)*(1+IF(AT163&gt;0,'Attrition Modeling'!$N$9,0)))</f>
        <v>0</v>
      </c>
      <c r="AU31" s="799">
        <f>(AT31+AU163)*(1-IFERROR(IF(AU$2+$F31&lt;=12,SUMIFS('Attrition Modeling'!$D:$D,'Attrition Modeling'!$B:$B,'IP Attrition'!$D31,'Attrition Modeling'!$C:$C,'IP Attrition'!AU$1),VLOOKUP($F31+AU$2,$A$6:$C$106,2,FALSE)*VLOOKUP(AU$1,'Attrition Modeling'!$L$15:$N$27,IF(AU$2+$F31&lt;=24,2,3),FALSE)),$C$3)*(1+Projection!AW$16)*(1+IF(AU163&gt;0,'Attrition Modeling'!$N$9,0)))</f>
        <v>0</v>
      </c>
      <c r="AV31" s="799">
        <f>(AU31+AV163)*(1-IFERROR(IF(AV$2+$F31&lt;=12,SUMIFS('Attrition Modeling'!$D:$D,'Attrition Modeling'!$B:$B,'IP Attrition'!$D31,'Attrition Modeling'!$C:$C,'IP Attrition'!AV$1),VLOOKUP($F31+AV$2,$A$6:$C$106,2,FALSE)*VLOOKUP(AV$1,'Attrition Modeling'!$L$15:$N$27,IF(AV$2+$F31&lt;=24,2,3),FALSE)),$C$3)*(1+Projection!AX$16)*(1+IF(AV163&gt;0,'Attrition Modeling'!$N$9,0)))</f>
        <v>0</v>
      </c>
      <c r="AW31" s="799">
        <f>(AV31+AW163)*(1-IFERROR(IF(AW$2+$F31&lt;=12,SUMIFS('Attrition Modeling'!$D:$D,'Attrition Modeling'!$B:$B,'IP Attrition'!$D31,'Attrition Modeling'!$C:$C,'IP Attrition'!AW$1),VLOOKUP($F31+AW$2,$A$6:$C$106,2,FALSE)*VLOOKUP(AW$1,'Attrition Modeling'!$L$15:$N$27,IF(AW$2+$F31&lt;=24,2,3),FALSE)),$C$3)*(1+Projection!AY$16)*(1+IF(AW163&gt;0,'Attrition Modeling'!$N$9,0)))</f>
        <v>0</v>
      </c>
      <c r="AX31" s="799">
        <f>(AW31+AX163)*(1-IFERROR(IF(AX$2+$F31&lt;=12,SUMIFS('Attrition Modeling'!$D:$D,'Attrition Modeling'!$B:$B,'IP Attrition'!$D31,'Attrition Modeling'!$C:$C,'IP Attrition'!AX$1),VLOOKUP($F31+AX$2,$A$6:$C$106,2,FALSE)*VLOOKUP(AX$1,'Attrition Modeling'!$L$15:$N$27,IF(AX$2+$F31&lt;=24,2,3),FALSE)),$C$3)*(1+Projection!AZ$16)*(1+IF(AX163&gt;0,'Attrition Modeling'!$N$9,0)))</f>
        <v>0</v>
      </c>
      <c r="AY31" s="799">
        <f>(AX31+AY163)*(1-IFERROR(IF(AY$2+$F31&lt;=12,SUMIFS('Attrition Modeling'!$D:$D,'Attrition Modeling'!$B:$B,'IP Attrition'!$D31,'Attrition Modeling'!$C:$C,'IP Attrition'!AY$1),VLOOKUP($F31+AY$2,$A$6:$C$106,2,FALSE)*VLOOKUP(AY$1,'Attrition Modeling'!$L$15:$N$27,IF(AY$2+$F31&lt;=24,2,3),FALSE)),$C$3)*(1+Projection!BA$16)*(1+IF(AY163&gt;0,'Attrition Modeling'!$N$9,0)))</f>
        <v>0</v>
      </c>
      <c r="AZ31" s="799">
        <f>(AY31+AZ163)*(1-IFERROR(IF(AZ$2+$F31&lt;=12,SUMIFS('Attrition Modeling'!$D:$D,'Attrition Modeling'!$B:$B,'IP Attrition'!$D31,'Attrition Modeling'!$C:$C,'IP Attrition'!AZ$1),VLOOKUP($F31+AZ$2,$A$6:$C$106,2,FALSE)*VLOOKUP(AZ$1,'Attrition Modeling'!$L$15:$N$27,IF(AZ$2+$F31&lt;=24,2,3),FALSE)),$C$3)*(1+Projection!BB$16)*(1+IF(AZ163&gt;0,'Attrition Modeling'!$N$9,0)))</f>
        <v>0</v>
      </c>
      <c r="BA31" s="799">
        <f>(AZ31+BA163)*(1-IFERROR(IF(BA$2+$F31&lt;=12,SUMIFS('Attrition Modeling'!$D:$D,'Attrition Modeling'!$B:$B,'IP Attrition'!$D31,'Attrition Modeling'!$C:$C,'IP Attrition'!BA$1),VLOOKUP($F31+BA$2,$A$6:$C$106,2,FALSE)*VLOOKUP(BA$1,'Attrition Modeling'!$L$15:$N$27,IF(BA$2+$F31&lt;=24,2,3),FALSE)),$C$3)*(1+Projection!BC$16)*(1+IF(BA163&gt;0,'Attrition Modeling'!$N$9,0)))</f>
        <v>0</v>
      </c>
      <c r="BB31" s="799">
        <f>(BA31+BB163)*(1-IFERROR(IF(BB$2+$F31&lt;=12,SUMIFS('Attrition Modeling'!$D:$D,'Attrition Modeling'!$B:$B,'IP Attrition'!$D31,'Attrition Modeling'!$C:$C,'IP Attrition'!BB$1),VLOOKUP($F31+BB$2,$A$6:$C$106,2,FALSE)*VLOOKUP(BB$1,'Attrition Modeling'!$L$15:$N$27,IF(BB$2+$F31&lt;=24,2,3),FALSE)),$C$3)*(1+Projection!BD$16)*(1+IF(BB163&gt;0,'Attrition Modeling'!$N$9,0)))</f>
        <v>0</v>
      </c>
      <c r="BC31" s="799">
        <f>(BB31+BC163)*(1-IFERROR(IF(BC$2+$F31&lt;=12,SUMIFS('Attrition Modeling'!$D:$D,'Attrition Modeling'!$B:$B,'IP Attrition'!$D31,'Attrition Modeling'!$C:$C,'IP Attrition'!BC$1),VLOOKUP($F31+BC$2,$A$6:$C$106,2,FALSE)*VLOOKUP(BC$1,'Attrition Modeling'!$L$15:$N$27,IF(BC$2+$F31&lt;=24,2,3),FALSE)),$C$3)*(1+Projection!BE$16)*(1+IF(BC163&gt;0,'Attrition Modeling'!$N$9,0)))</f>
        <v>0</v>
      </c>
      <c r="BD31" s="799">
        <f>(BC31+BD163)*(1-IFERROR(IF(BD$2+$F31&lt;=12,SUMIFS('Attrition Modeling'!$D:$D,'Attrition Modeling'!$B:$B,'IP Attrition'!$D31,'Attrition Modeling'!$C:$C,'IP Attrition'!BD$1),VLOOKUP($F31+BD$2,$A$6:$C$106,2,FALSE)*VLOOKUP(BD$1,'Attrition Modeling'!$L$15:$N$27,IF(BD$2+$F31&lt;=24,2,3),FALSE)),$C$3)*(1+Projection!BF$16)*(1+IF(BD163&gt;0,'Attrition Modeling'!$N$9,0)))</f>
        <v>0</v>
      </c>
      <c r="BE31" s="799">
        <f>(BD31+BE163)*(1-IFERROR(IF(BE$2+$F31&lt;=12,SUMIFS('Attrition Modeling'!$D:$D,'Attrition Modeling'!$B:$B,'IP Attrition'!$D31,'Attrition Modeling'!$C:$C,'IP Attrition'!BE$1),VLOOKUP($F31+BE$2,$A$6:$C$106,2,FALSE)*VLOOKUP(BE$1,'Attrition Modeling'!$L$15:$N$27,IF(BE$2+$F31&lt;=24,2,3),FALSE)),$C$3)*(1+Projection!BG$16)*(1+IF(BE163&gt;0,'Attrition Modeling'!$N$9,0)))</f>
        <v>0</v>
      </c>
      <c r="BF31" s="799">
        <f>(BE31+BF163)*(1-IFERROR(IF(BF$2+$F31&lt;=12,SUMIFS('Attrition Modeling'!$D:$D,'Attrition Modeling'!$B:$B,'IP Attrition'!$D31,'Attrition Modeling'!$C:$C,'IP Attrition'!BF$1),VLOOKUP($F31+BF$2,$A$6:$C$106,2,FALSE)*VLOOKUP(BF$1,'Attrition Modeling'!$L$15:$N$27,IF(BF$2+$F31&lt;=24,2,3),FALSE)),$C$3)*(1+Projection!BH$16)*(1+IF(BF163&gt;0,'Attrition Modeling'!$N$9,0)))</f>
        <v>0</v>
      </c>
      <c r="BG31" s="799">
        <f>(BF31+BG163)*(1-IFERROR(IF(BG$2+$F31&lt;=12,SUMIFS('Attrition Modeling'!$D:$D,'Attrition Modeling'!$B:$B,'IP Attrition'!$D31,'Attrition Modeling'!$C:$C,'IP Attrition'!BG$1),VLOOKUP($F31+BG$2,$A$6:$C$106,2,FALSE)*VLOOKUP(BG$1,'Attrition Modeling'!$L$15:$N$27,IF(BG$2+$F31&lt;=24,2,3),FALSE)),$C$3)*(1+Projection!BI$16)*(1+IF(BG163&gt;0,'Attrition Modeling'!$N$9,0)))</f>
        <v>0</v>
      </c>
      <c r="BH31" s="799">
        <f>(BG31+BH163)*(1-IFERROR(IF(BH$2+$F31&lt;=12,SUMIFS('Attrition Modeling'!$D:$D,'Attrition Modeling'!$B:$B,'IP Attrition'!$D31,'Attrition Modeling'!$C:$C,'IP Attrition'!BH$1),VLOOKUP($F31+BH$2,$A$6:$C$106,2,FALSE)*VLOOKUP(BH$1,'Attrition Modeling'!$L$15:$N$27,IF(BH$2+$F31&lt;=24,2,3),FALSE)),$C$3)*(1+Projection!BJ$16)*(1+IF(BH163&gt;0,'Attrition Modeling'!$N$9,0)))</f>
        <v>0</v>
      </c>
      <c r="BI31" s="799">
        <f>(BH31+BI163)*(1-IFERROR(IF(BI$2+$F31&lt;=12,SUMIFS('Attrition Modeling'!$D:$D,'Attrition Modeling'!$B:$B,'IP Attrition'!$D31,'Attrition Modeling'!$C:$C,'IP Attrition'!BI$1),VLOOKUP($F31+BI$2,$A$6:$C$106,2,FALSE)*VLOOKUP(BI$1,'Attrition Modeling'!$L$15:$N$27,IF(BI$2+$F31&lt;=24,2,3),FALSE)),$C$3)*(1+Projection!BK$16)*(1+IF(BI163&gt;0,'Attrition Modeling'!$N$9,0)))</f>
        <v>0</v>
      </c>
      <c r="BJ31" s="799">
        <f>(BI31+BJ163)*(1-IFERROR(IF(BJ$2+$F31&lt;=12,SUMIFS('Attrition Modeling'!$D:$D,'Attrition Modeling'!$B:$B,'IP Attrition'!$D31,'Attrition Modeling'!$C:$C,'IP Attrition'!BJ$1),VLOOKUP($F31+BJ$2,$A$6:$C$106,2,FALSE)*VLOOKUP(BJ$1,'Attrition Modeling'!$L$15:$N$27,IF(BJ$2+$F31&lt;=24,2,3),FALSE)),$C$3)*(1+Projection!BL$16)*(1+IF(BJ163&gt;0,'Attrition Modeling'!$N$9,0)))</f>
        <v>0</v>
      </c>
      <c r="BK31" s="799">
        <f>(BJ31+BK163)*(1-IFERROR(IF(BK$2+$F31&lt;=12,SUMIFS('Attrition Modeling'!$D:$D,'Attrition Modeling'!$B:$B,'IP Attrition'!$D31,'Attrition Modeling'!$C:$C,'IP Attrition'!BK$1),VLOOKUP($F31+BK$2,$A$6:$C$106,2,FALSE)*VLOOKUP(BK$1,'Attrition Modeling'!$L$15:$N$27,IF(BK$2+$F31&lt;=24,2,3),FALSE)),$C$3)*(1+Projection!BM$16)*(1+IF(BK163&gt;0,'Attrition Modeling'!$N$9,0)))</f>
        <v>0</v>
      </c>
      <c r="BL31" s="799">
        <f>(BK31+BL163)*(1-IFERROR(IF(BL$2+$F31&lt;=12,SUMIFS('Attrition Modeling'!$D:$D,'Attrition Modeling'!$B:$B,'IP Attrition'!$D31,'Attrition Modeling'!$C:$C,'IP Attrition'!BL$1),VLOOKUP($F31+BL$2,$A$6:$C$106,2,FALSE)*VLOOKUP(BL$1,'Attrition Modeling'!$L$15:$N$27,IF(BL$2+$F31&lt;=24,2,3),FALSE)),$C$3)*(1+Projection!BN$16)*(1+IF(BL163&gt;0,'Attrition Modeling'!$N$9,0)))</f>
        <v>0</v>
      </c>
      <c r="BM31" s="799">
        <f>(BL31+BM163)*(1-IFERROR(IF(BM$2+$F31&lt;=12,SUMIFS('Attrition Modeling'!$D:$D,'Attrition Modeling'!$B:$B,'IP Attrition'!$D31,'Attrition Modeling'!$C:$C,'IP Attrition'!BM$1),VLOOKUP($F31+BM$2,$A$6:$C$106,2,FALSE)*VLOOKUP(BM$1,'Attrition Modeling'!$L$15:$N$27,IF(BM$2+$F31&lt;=24,2,3),FALSE)),$C$3)*(1+Projection!BO$16)*(1+IF(BM163&gt;0,'Attrition Modeling'!$N$9,0)))</f>
        <v>0</v>
      </c>
      <c r="BN31" s="799">
        <f>(BM31+BN163)*(1-IFERROR(IF(BN$2+$F31&lt;=12,SUMIFS('Attrition Modeling'!$D:$D,'Attrition Modeling'!$B:$B,'IP Attrition'!$D31,'Attrition Modeling'!$C:$C,'IP Attrition'!BN$1),VLOOKUP($F31+BN$2,$A$6:$C$106,2,FALSE)*VLOOKUP(BN$1,'Attrition Modeling'!$L$15:$N$27,IF(BN$2+$F31&lt;=24,2,3),FALSE)),$C$3)*(1+Projection!BP$16)*(1+IF(BN163&gt;0,'Attrition Modeling'!$N$9,0)))</f>
        <v>0</v>
      </c>
      <c r="BO31" s="799">
        <f>(BN31+BO163)*(1-IFERROR(IF(BO$2+$F31&lt;=12,SUMIFS('Attrition Modeling'!$D:$D,'Attrition Modeling'!$B:$B,'IP Attrition'!$D31,'Attrition Modeling'!$C:$C,'IP Attrition'!BO$1),VLOOKUP($F31+BO$2,$A$6:$C$106,2,FALSE)*VLOOKUP(BO$1,'Attrition Modeling'!$L$15:$N$27,IF(BO$2+$F31&lt;=24,2,3),FALSE)),$C$3)*(1+Projection!BV$16)*(1+IF(BO163&gt;0,'Attrition Modeling'!$N$9,0)))</f>
        <v>0</v>
      </c>
      <c r="BP31" s="799">
        <f>(BO31+BP163)*(1-IFERROR(IF(BP$2+$F31&lt;=12,SUMIFS('Attrition Modeling'!$D:$D,'Attrition Modeling'!$B:$B,'IP Attrition'!$D31,'Attrition Modeling'!$C:$C,'IP Attrition'!BP$1),VLOOKUP($F31+BP$2,$A$6:$C$106,2,FALSE)*VLOOKUP(BP$1,'Attrition Modeling'!$L$15:$N$27,IF(BP$2+$F31&lt;=24,2,3),FALSE)),$C$3)*(1+Projection!BW$16)*(1+IF(BP163&gt;0,'Attrition Modeling'!$N$9,0)))</f>
        <v>0</v>
      </c>
      <c r="BQ31" s="799">
        <f>(BP31+BQ163)*(1-IFERROR(IF(BQ$2+$F31&lt;=12,SUMIFS('Attrition Modeling'!$D:$D,'Attrition Modeling'!$B:$B,'IP Attrition'!$D31,'Attrition Modeling'!$C:$C,'IP Attrition'!BQ$1),VLOOKUP($F31+BQ$2,$A$6:$C$106,2,FALSE)*VLOOKUP(BQ$1,'Attrition Modeling'!$L$15:$N$27,IF(BQ$2+$F31&lt;=24,2,3),FALSE)),$C$3)*(1+Projection!BX$16)*(1+IF(BQ163&gt;0,'Attrition Modeling'!$N$9,0)))</f>
        <v>0</v>
      </c>
      <c r="BR31" s="799">
        <f>(BQ31+BR163)*(1-IFERROR(IF(BR$2+$F31&lt;=12,SUMIFS('Attrition Modeling'!$D:$D,'Attrition Modeling'!$B:$B,'IP Attrition'!$D31,'Attrition Modeling'!$C:$C,'IP Attrition'!BR$1),VLOOKUP($F31+BR$2,$A$6:$C$106,2,FALSE)*VLOOKUP(BR$1,'Attrition Modeling'!$L$15:$N$27,IF(BR$2+$F31&lt;=24,2,3),FALSE)),$C$3)*(1+Projection!BY$16)*(1+IF(BR163&gt;0,'Attrition Modeling'!$N$9,0)))</f>
        <v>0</v>
      </c>
      <c r="BS31" s="799">
        <f>(BR31+BS163)*(1-IFERROR(IF(BS$2+$F31&lt;=12,SUMIFS('Attrition Modeling'!$D:$D,'Attrition Modeling'!$B:$B,'IP Attrition'!$D31,'Attrition Modeling'!$C:$C,'IP Attrition'!BS$1),VLOOKUP($F31+BS$2,$A$6:$C$106,2,FALSE)*VLOOKUP(BS$1,'Attrition Modeling'!$L$15:$N$27,IF(BS$2+$F31&lt;=24,2,3),FALSE)),$C$3)*(1+Projection!BZ$16)*(1+IF(BS163&gt;0,'Attrition Modeling'!$N$9,0)))</f>
        <v>0</v>
      </c>
      <c r="BT31" s="799" t="e">
        <f>(BS31+BT163)*(1-IFERROR(IF(BT$2+$F31&lt;=12,SUMIFS('Attrition Modeling'!$D:$D,'Attrition Modeling'!$B:$B,'IP Attrition'!$D31,'Attrition Modeling'!$C:$C,'IP Attrition'!BT$1),VLOOKUP($F31+BT$2,$A$6:$C$106,2,FALSE)*VLOOKUP(BT$1,'Attrition Modeling'!$L$15:$N$27,IF(BT$2+$F31&lt;=24,2,3),FALSE)),$C$3)*(1+Projection!CA$16)*(1+IF(BT163&gt;0,'Attrition Modeling'!$N$9,0)))</f>
        <v>#REF!</v>
      </c>
      <c r="BU31" s="799" t="e">
        <f>(BT31+BU163)*(1-IFERROR(IF(BU$2+$F31&lt;=12,SUMIFS('Attrition Modeling'!$D:$D,'Attrition Modeling'!$B:$B,'IP Attrition'!$D31,'Attrition Modeling'!$C:$C,'IP Attrition'!BU$1),VLOOKUP($F31+BU$2,$A$6:$C$106,2,FALSE)*VLOOKUP(BU$1,'Attrition Modeling'!$L$15:$N$27,IF(BU$2+$F31&lt;=24,2,3),FALSE)),$C$3)*(1+Projection!CB$16)*(1+IF(BU163&gt;0,'Attrition Modeling'!$N$9,0)))</f>
        <v>#REF!</v>
      </c>
    </row>
    <row r="32" spans="1:73" ht="14.25" customHeight="1" x14ac:dyDescent="0.2">
      <c r="A32" s="9">
        <v>25</v>
      </c>
      <c r="B32" s="25">
        <f>MAX('Attrition Modeling'!H29,$C$3)*(1-Summary!$C$20)</f>
        <v>3.5735416142973743E-2</v>
      </c>
      <c r="C32" s="24" t="e">
        <f t="shared" si="3"/>
        <v>#DIV/0!</v>
      </c>
      <c r="D32" s="11">
        <f t="shared" si="1"/>
        <v>-29</v>
      </c>
      <c r="E32" s="807">
        <f t="array" ref="E32">INDEX('Attrition Modeling'!$X$2:$AF$63,MATCH($F32,'Attrition Modeling'!$X$2:$X$63,0),MATCH(Inputs!$C$10,'Attrition Modeling'!$X$2:$AF$2,0))</f>
        <v>0</v>
      </c>
      <c r="F32" s="11">
        <f t="shared" si="2"/>
        <v>29</v>
      </c>
      <c r="G32" s="799">
        <f>Summary!$C$25*$E32</f>
        <v>0</v>
      </c>
      <c r="H32" s="799">
        <f>(G32+H164)*(1-IFERROR(IF(H$2+$F32&lt;=12,SUMIFS('Attrition Modeling'!$D:$D,'Attrition Modeling'!$B:$B,'IP Attrition'!$D32,'Attrition Modeling'!$C:$C,'IP Attrition'!H$1),VLOOKUP($F32+H$2,$A$6:$C$106,2,FALSE)*VLOOKUP(H$1,'Attrition Modeling'!$L$15:$N$27,IF(H$2+$F32&lt;=24,2,3),FALSE)),$C$3)*(1+Projection!J$16)*(1+IF(H164&gt;0,'Attrition Modeling'!$N$9,0)))</f>
        <v>0</v>
      </c>
      <c r="I32" s="799">
        <f>(H32+I164)*(1-IFERROR(IF(I$2+$F32&lt;=12,SUMIFS('Attrition Modeling'!$D:$D,'Attrition Modeling'!$B:$B,'IP Attrition'!$D32,'Attrition Modeling'!$C:$C,'IP Attrition'!I$1),VLOOKUP($F32+I$2,$A$6:$C$106,2,FALSE)*VLOOKUP(I$1,'Attrition Modeling'!$L$15:$N$27,IF(I$2+$F32&lt;=24,2,3),FALSE)),$C$3)*(1+Projection!K$16)*(1+IF(I164&gt;0,'Attrition Modeling'!$N$9,0)))</f>
        <v>0</v>
      </c>
      <c r="J32" s="799">
        <f>(I32+J164)*(1-IFERROR(IF(J$2+$F32&lt;=12,SUMIFS('Attrition Modeling'!$D:$D,'Attrition Modeling'!$B:$B,'IP Attrition'!$D32,'Attrition Modeling'!$C:$C,'IP Attrition'!J$1),VLOOKUP($F32+J$2,$A$6:$C$106,2,FALSE)*VLOOKUP(J$1,'Attrition Modeling'!$L$15:$N$27,IF(J$2+$F32&lt;=24,2,3),FALSE)),$C$3)*(1+Projection!L$16)*(1+IF(J164&gt;0,'Attrition Modeling'!$N$9,0)))</f>
        <v>0</v>
      </c>
      <c r="K32" s="799">
        <f>(J32+K164)*(1-IFERROR(IF(K$2+$F32&lt;=12,SUMIFS('Attrition Modeling'!$D:$D,'Attrition Modeling'!$B:$B,'IP Attrition'!$D32,'Attrition Modeling'!$C:$C,'IP Attrition'!K$1),VLOOKUP($F32+K$2,$A$6:$C$106,2,FALSE)*VLOOKUP(K$1,'Attrition Modeling'!$L$15:$N$27,IF(K$2+$F32&lt;=24,2,3),FALSE)),$C$3)*(1+Projection!M$16)*(1+IF(K164&gt;0,'Attrition Modeling'!$N$9,0)))</f>
        <v>0</v>
      </c>
      <c r="L32" s="799">
        <f>(K32+L164)*(1-IFERROR(IF(L$2+$F32&lt;=12,SUMIFS('Attrition Modeling'!$D:$D,'Attrition Modeling'!$B:$B,'IP Attrition'!$D32,'Attrition Modeling'!$C:$C,'IP Attrition'!L$1),VLOOKUP($F32+L$2,$A$6:$C$106,2,FALSE)*VLOOKUP(L$1,'Attrition Modeling'!$L$15:$N$27,IF(L$2+$F32&lt;=24,2,3),FALSE)),$C$3)*(1+Projection!N$16)*(1+IF(L164&gt;0,'Attrition Modeling'!$N$9,0)))</f>
        <v>0</v>
      </c>
      <c r="M32" s="799">
        <f>(L32+M164)*(1-IFERROR(IF(M$2+$F32&lt;=12,SUMIFS('Attrition Modeling'!$D:$D,'Attrition Modeling'!$B:$B,'IP Attrition'!$D32,'Attrition Modeling'!$C:$C,'IP Attrition'!M$1),VLOOKUP($F32+M$2,$A$6:$C$106,2,FALSE)*VLOOKUP(M$1,'Attrition Modeling'!$L$15:$N$27,IF(M$2+$F32&lt;=24,2,3),FALSE)),$C$3)*(1+Projection!O$16)*(1+IF(M164&gt;0,'Attrition Modeling'!$N$9,0)))</f>
        <v>0</v>
      </c>
      <c r="N32" s="799">
        <f>(M32+N164)*(1-IFERROR(IF(N$2+$F32&lt;=12,SUMIFS('Attrition Modeling'!$D:$D,'Attrition Modeling'!$B:$B,'IP Attrition'!$D32,'Attrition Modeling'!$C:$C,'IP Attrition'!N$1),VLOOKUP($F32+N$2,$A$6:$C$106,2,FALSE)*VLOOKUP(N$1,'Attrition Modeling'!$L$15:$N$27,IF(N$2+$F32&lt;=24,2,3),FALSE)),$C$3)*(1+Projection!P$16)*(1+IF(N164&gt;0,'Attrition Modeling'!$N$9,0)))</f>
        <v>0</v>
      </c>
      <c r="O32" s="799">
        <f>(N32+O164)*(1-IFERROR(IF(O$2+$F32&lt;=12,SUMIFS('Attrition Modeling'!$D:$D,'Attrition Modeling'!$B:$B,'IP Attrition'!$D32,'Attrition Modeling'!$C:$C,'IP Attrition'!O$1),VLOOKUP($F32+O$2,$A$6:$C$106,2,FALSE)*VLOOKUP(O$1,'Attrition Modeling'!$L$15:$N$27,IF(O$2+$F32&lt;=24,2,3),FALSE)),$C$3)*(1+Projection!Q$16)*(1+IF(O164&gt;0,'Attrition Modeling'!$N$9,0)))</f>
        <v>0</v>
      </c>
      <c r="P32" s="799">
        <f>(O32+P164)*(1-IFERROR(IF(P$2+$F32&lt;=12,SUMIFS('Attrition Modeling'!$D:$D,'Attrition Modeling'!$B:$B,'IP Attrition'!$D32,'Attrition Modeling'!$C:$C,'IP Attrition'!P$1),VLOOKUP($F32+P$2,$A$6:$C$106,2,FALSE)*VLOOKUP(P$1,'Attrition Modeling'!$L$15:$N$27,IF(P$2+$F32&lt;=24,2,3),FALSE)),$C$3)*(1+Projection!R$16)*(1+IF(P164&gt;0,'Attrition Modeling'!$N$9,0)))</f>
        <v>0</v>
      </c>
      <c r="Q32" s="799">
        <f>(P32+Q164)*(1-IFERROR(IF(Q$2+$F32&lt;=12,SUMIFS('Attrition Modeling'!$D:$D,'Attrition Modeling'!$B:$B,'IP Attrition'!$D32,'Attrition Modeling'!$C:$C,'IP Attrition'!Q$1),VLOOKUP($F32+Q$2,$A$6:$C$106,2,FALSE)*VLOOKUP(Q$1,'Attrition Modeling'!$L$15:$N$27,IF(Q$2+$F32&lt;=24,2,3),FALSE)),$C$3)*(1+Projection!S$16)*(1+IF(Q164&gt;0,'Attrition Modeling'!$N$9,0)))</f>
        <v>0</v>
      </c>
      <c r="R32" s="799">
        <f>(Q32+R164)*(1-IFERROR(IF(R$2+$F32&lt;=12,SUMIFS('Attrition Modeling'!$D:$D,'Attrition Modeling'!$B:$B,'IP Attrition'!$D32,'Attrition Modeling'!$C:$C,'IP Attrition'!R$1),VLOOKUP($F32+R$2,$A$6:$C$106,2,FALSE)*VLOOKUP(R$1,'Attrition Modeling'!$L$15:$N$27,IF(R$2+$F32&lt;=24,2,3),FALSE)),$C$3)*(1+Projection!T$16)*(1+IF(R164&gt;0,'Attrition Modeling'!$N$9,0)))</f>
        <v>0</v>
      </c>
      <c r="S32" s="799">
        <f>(R32+S164)*(1-IFERROR(IF(S$2+$F32&lt;=12,SUMIFS('Attrition Modeling'!$D:$D,'Attrition Modeling'!$B:$B,'IP Attrition'!$D32,'Attrition Modeling'!$C:$C,'IP Attrition'!S$1),VLOOKUP($F32+S$2,$A$6:$C$106,2,FALSE)*VLOOKUP(S$1,'Attrition Modeling'!$L$15:$N$27,IF(S$2+$F32&lt;=24,2,3),FALSE)),$C$3)*(1+Projection!U$16)*(1+IF(S164&gt;0,'Attrition Modeling'!$N$9,0)))</f>
        <v>0</v>
      </c>
      <c r="T32" s="799">
        <f>(S32+T164)*(1-IFERROR(IF(T$2+$F32&lt;=12,SUMIFS('Attrition Modeling'!$D:$D,'Attrition Modeling'!$B:$B,'IP Attrition'!$D32,'Attrition Modeling'!$C:$C,'IP Attrition'!T$1),VLOOKUP($F32+T$2,$A$6:$C$106,2,FALSE)*VLOOKUP(T$1,'Attrition Modeling'!$L$15:$N$27,IF(T$2+$F32&lt;=24,2,3),FALSE)),$C$3)*(1+Projection!V$16)*(1+IF(T164&gt;0,'Attrition Modeling'!$N$9,0)))</f>
        <v>0</v>
      </c>
      <c r="U32" s="799">
        <f>(T32+U164)*(1-IFERROR(IF(U$2+$F32&lt;=12,SUMIFS('Attrition Modeling'!$D:$D,'Attrition Modeling'!$B:$B,'IP Attrition'!$D32,'Attrition Modeling'!$C:$C,'IP Attrition'!U$1),VLOOKUP($F32+U$2,$A$6:$C$106,2,FALSE)*VLOOKUP(U$1,'Attrition Modeling'!$L$15:$N$27,IF(U$2+$F32&lt;=24,2,3),FALSE)),$C$3)*(1+Projection!W$16)*(1+IF(U164&gt;0,'Attrition Modeling'!$N$9,0)))</f>
        <v>0</v>
      </c>
      <c r="V32" s="799">
        <f>(U32+V164)*(1-IFERROR(IF(V$2+$F32&lt;=12,SUMIFS('Attrition Modeling'!$D:$D,'Attrition Modeling'!$B:$B,'IP Attrition'!$D32,'Attrition Modeling'!$C:$C,'IP Attrition'!V$1),VLOOKUP($F32+V$2,$A$6:$C$106,2,FALSE)*VLOOKUP(V$1,'Attrition Modeling'!$L$15:$N$27,IF(V$2+$F32&lt;=24,2,3),FALSE)),$C$3)*(1+Projection!X$16)*(1+IF(V164&gt;0,'Attrition Modeling'!$N$9,0)))</f>
        <v>0</v>
      </c>
      <c r="W32" s="799">
        <f>(V32+W164)*(1-IFERROR(IF(W$2+$F32&lt;=12,SUMIFS('Attrition Modeling'!$D:$D,'Attrition Modeling'!$B:$B,'IP Attrition'!$D32,'Attrition Modeling'!$C:$C,'IP Attrition'!W$1),VLOOKUP($F32+W$2,$A$6:$C$106,2,FALSE)*VLOOKUP(W$1,'Attrition Modeling'!$L$15:$N$27,IF(W$2+$F32&lt;=24,2,3),FALSE)),$C$3)*(1+Projection!Y$16)*(1+IF(W164&gt;0,'Attrition Modeling'!$N$9,0)))</f>
        <v>0</v>
      </c>
      <c r="X32" s="799">
        <f>(W32+X164)*(1-IFERROR(IF(X$2+$F32&lt;=12,SUMIFS('Attrition Modeling'!$D:$D,'Attrition Modeling'!$B:$B,'IP Attrition'!$D32,'Attrition Modeling'!$C:$C,'IP Attrition'!X$1),VLOOKUP($F32+X$2,$A$6:$C$106,2,FALSE)*VLOOKUP(X$1,'Attrition Modeling'!$L$15:$N$27,IF(X$2+$F32&lt;=24,2,3),FALSE)),$C$3)*(1+Projection!Z$16)*(1+IF(X164&gt;0,'Attrition Modeling'!$N$9,0)))</f>
        <v>0</v>
      </c>
      <c r="Y32" s="799">
        <f>(X32+Y164)*(1-IFERROR(IF(Y$2+$F32&lt;=12,SUMIFS('Attrition Modeling'!$D:$D,'Attrition Modeling'!$B:$B,'IP Attrition'!$D32,'Attrition Modeling'!$C:$C,'IP Attrition'!Y$1),VLOOKUP($F32+Y$2,$A$6:$C$106,2,FALSE)*VLOOKUP(Y$1,'Attrition Modeling'!$L$15:$N$27,IF(Y$2+$F32&lt;=24,2,3),FALSE)),$C$3)*(1+Projection!AA$16)*(1+IF(Y164&gt;0,'Attrition Modeling'!$N$9,0)))</f>
        <v>0</v>
      </c>
      <c r="Z32" s="799">
        <f>(Y32+Z164)*(1-IFERROR(IF(Z$2+$F32&lt;=12,SUMIFS('Attrition Modeling'!$D:$D,'Attrition Modeling'!$B:$B,'IP Attrition'!$D32,'Attrition Modeling'!$C:$C,'IP Attrition'!Z$1),VLOOKUP($F32+Z$2,$A$6:$C$106,2,FALSE)*VLOOKUP(Z$1,'Attrition Modeling'!$L$15:$N$27,IF(Z$2+$F32&lt;=24,2,3),FALSE)),$C$3)*(1+Projection!AB$16)*(1+IF(Z164&gt;0,'Attrition Modeling'!$N$9,0)))</f>
        <v>0</v>
      </c>
      <c r="AA32" s="799">
        <f>(Z32+AA164)*(1-IFERROR(IF(AA$2+$F32&lt;=12,SUMIFS('Attrition Modeling'!$D:$D,'Attrition Modeling'!$B:$B,'IP Attrition'!$D32,'Attrition Modeling'!$C:$C,'IP Attrition'!AA$1),VLOOKUP($F32+AA$2,$A$6:$C$106,2,FALSE)*VLOOKUP(AA$1,'Attrition Modeling'!$L$15:$N$27,IF(AA$2+$F32&lt;=24,2,3),FALSE)),$C$3)*(1+Projection!AC$16)*(1+IF(AA164&gt;0,'Attrition Modeling'!$N$9,0)))</f>
        <v>0</v>
      </c>
      <c r="AB32" s="799">
        <f>(AA32+AB164)*(1-IFERROR(IF(AB$2+$F32&lt;=12,SUMIFS('Attrition Modeling'!$D:$D,'Attrition Modeling'!$B:$B,'IP Attrition'!$D32,'Attrition Modeling'!$C:$C,'IP Attrition'!AB$1),VLOOKUP($F32+AB$2,$A$6:$C$106,2,FALSE)*VLOOKUP(AB$1,'Attrition Modeling'!$L$15:$N$27,IF(AB$2+$F32&lt;=24,2,3),FALSE)),$C$3)*(1+Projection!AD$16)*(1+IF(AB164&gt;0,'Attrition Modeling'!$N$9,0)))</f>
        <v>0</v>
      </c>
      <c r="AC32" s="799">
        <f>(AB32+AC164)*(1-IFERROR(IF(AC$2+$F32&lt;=12,SUMIFS('Attrition Modeling'!$D:$D,'Attrition Modeling'!$B:$B,'IP Attrition'!$D32,'Attrition Modeling'!$C:$C,'IP Attrition'!AC$1),VLOOKUP($F32+AC$2,$A$6:$C$106,2,FALSE)*VLOOKUP(AC$1,'Attrition Modeling'!$L$15:$N$27,IF(AC$2+$F32&lt;=24,2,3),FALSE)),$C$3)*(1+Projection!AE$16)*(1+IF(AC164&gt;0,'Attrition Modeling'!$N$9,0)))</f>
        <v>0</v>
      </c>
      <c r="AD32" s="799">
        <f>(AC32+AD164)*(1-IFERROR(IF(AD$2+$F32&lt;=12,SUMIFS('Attrition Modeling'!$D:$D,'Attrition Modeling'!$B:$B,'IP Attrition'!$D32,'Attrition Modeling'!$C:$C,'IP Attrition'!AD$1),VLOOKUP($F32+AD$2,$A$6:$C$106,2,FALSE)*VLOOKUP(AD$1,'Attrition Modeling'!$L$15:$N$27,IF(AD$2+$F32&lt;=24,2,3),FALSE)),$C$3)*(1+Projection!AF$16)*(1+IF(AD164&gt;0,'Attrition Modeling'!$N$9,0)))</f>
        <v>0</v>
      </c>
      <c r="AE32" s="799">
        <f>(AD32+AE164)*(1-IFERROR(IF(AE$2+$F32&lt;=12,SUMIFS('Attrition Modeling'!$D:$D,'Attrition Modeling'!$B:$B,'IP Attrition'!$D32,'Attrition Modeling'!$C:$C,'IP Attrition'!AE$1),VLOOKUP($F32+AE$2,$A$6:$C$106,2,FALSE)*VLOOKUP(AE$1,'Attrition Modeling'!$L$15:$N$27,IF(AE$2+$F32&lt;=24,2,3),FALSE)),$C$3)*(1+Projection!AG$16)*(1+IF(AE164&gt;0,'Attrition Modeling'!$N$9,0)))</f>
        <v>0</v>
      </c>
      <c r="AF32" s="799">
        <f>(AE32+AF164)*(1-IFERROR(IF(AF$2+$F32&lt;=12,SUMIFS('Attrition Modeling'!$D:$D,'Attrition Modeling'!$B:$B,'IP Attrition'!$D32,'Attrition Modeling'!$C:$C,'IP Attrition'!AF$1),VLOOKUP($F32+AF$2,$A$6:$C$106,2,FALSE)*VLOOKUP(AF$1,'Attrition Modeling'!$L$15:$N$27,IF(AF$2+$F32&lt;=24,2,3),FALSE)),$C$3)*(1+Projection!AH$16)*(1+IF(AF164&gt;0,'Attrition Modeling'!$N$9,0)))</f>
        <v>0</v>
      </c>
      <c r="AG32" s="799">
        <f>(AF32+AG164)*(1-IFERROR(IF(AG$2+$F32&lt;=12,SUMIFS('Attrition Modeling'!$D:$D,'Attrition Modeling'!$B:$B,'IP Attrition'!$D32,'Attrition Modeling'!$C:$C,'IP Attrition'!AG$1),VLOOKUP($F32+AG$2,$A$6:$C$106,2,FALSE)*VLOOKUP(AG$1,'Attrition Modeling'!$L$15:$N$27,IF(AG$2+$F32&lt;=24,2,3),FALSE)),$C$3)*(1+Projection!AI$16)*(1+IF(AG164&gt;0,'Attrition Modeling'!$N$9,0)))</f>
        <v>0</v>
      </c>
      <c r="AH32" s="799">
        <f>(AG32+AH164)*(1-IFERROR(IF(AH$2+$F32&lt;=12,SUMIFS('Attrition Modeling'!$D:$D,'Attrition Modeling'!$B:$B,'IP Attrition'!$D32,'Attrition Modeling'!$C:$C,'IP Attrition'!AH$1),VLOOKUP($F32+AH$2,$A$6:$C$106,2,FALSE)*VLOOKUP(AH$1,'Attrition Modeling'!$L$15:$N$27,IF(AH$2+$F32&lt;=24,2,3),FALSE)),$C$3)*(1+Projection!AJ$16)*(1+IF(AH164&gt;0,'Attrition Modeling'!$N$9,0)))</f>
        <v>0</v>
      </c>
      <c r="AI32" s="799">
        <f>(AH32+AI164)*(1-IFERROR(IF(AI$2+$F32&lt;=12,SUMIFS('Attrition Modeling'!$D:$D,'Attrition Modeling'!$B:$B,'IP Attrition'!$D32,'Attrition Modeling'!$C:$C,'IP Attrition'!AI$1),VLOOKUP($F32+AI$2,$A$6:$C$106,2,FALSE)*VLOOKUP(AI$1,'Attrition Modeling'!$L$15:$N$27,IF(AI$2+$F32&lt;=24,2,3),FALSE)),$C$3)*(1+Projection!AK$16)*(1+IF(AI164&gt;0,'Attrition Modeling'!$N$9,0)))</f>
        <v>0</v>
      </c>
      <c r="AJ32" s="799">
        <f>(AI32+AJ164)*(1-IFERROR(IF(AJ$2+$F32&lt;=12,SUMIFS('Attrition Modeling'!$D:$D,'Attrition Modeling'!$B:$B,'IP Attrition'!$D32,'Attrition Modeling'!$C:$C,'IP Attrition'!AJ$1),VLOOKUP($F32+AJ$2,$A$6:$C$106,2,FALSE)*VLOOKUP(AJ$1,'Attrition Modeling'!$L$15:$N$27,IF(AJ$2+$F32&lt;=24,2,3),FALSE)),$C$3)*(1+Projection!AL$16)*(1+IF(AJ164&gt;0,'Attrition Modeling'!$N$9,0)))</f>
        <v>0</v>
      </c>
      <c r="AK32" s="799">
        <f>(AJ32+AK164)*(1-IFERROR(IF(AK$2+$F32&lt;=12,SUMIFS('Attrition Modeling'!$D:$D,'Attrition Modeling'!$B:$B,'IP Attrition'!$D32,'Attrition Modeling'!$C:$C,'IP Attrition'!AK$1),VLOOKUP($F32+AK$2,$A$6:$C$106,2,FALSE)*VLOOKUP(AK$1,'Attrition Modeling'!$L$15:$N$27,IF(AK$2+$F32&lt;=24,2,3),FALSE)),$C$3)*(1+Projection!AM$16)*(1+IF(AK164&gt;0,'Attrition Modeling'!$N$9,0)))</f>
        <v>0</v>
      </c>
      <c r="AL32" s="799">
        <f>(AK32+AL164)*(1-IFERROR(IF(AL$2+$F32&lt;=12,SUMIFS('Attrition Modeling'!$D:$D,'Attrition Modeling'!$B:$B,'IP Attrition'!$D32,'Attrition Modeling'!$C:$C,'IP Attrition'!AL$1),VLOOKUP($F32+AL$2,$A$6:$C$106,2,FALSE)*VLOOKUP(AL$1,'Attrition Modeling'!$L$15:$N$27,IF(AL$2+$F32&lt;=24,2,3),FALSE)),$C$3)*(1+Projection!AN$16)*(1+IF(AL164&gt;0,'Attrition Modeling'!$N$9,0)))</f>
        <v>0</v>
      </c>
      <c r="AM32" s="799">
        <f>(AL32+AM164)*(1-IFERROR(IF(AM$2+$F32&lt;=12,SUMIFS('Attrition Modeling'!$D:$D,'Attrition Modeling'!$B:$B,'IP Attrition'!$D32,'Attrition Modeling'!$C:$C,'IP Attrition'!AM$1),VLOOKUP($F32+AM$2,$A$6:$C$106,2,FALSE)*VLOOKUP(AM$1,'Attrition Modeling'!$L$15:$N$27,IF(AM$2+$F32&lt;=24,2,3),FALSE)),$C$3)*(1+Projection!AO$16)*(1+IF(AM164&gt;0,'Attrition Modeling'!$N$9,0)))</f>
        <v>0</v>
      </c>
      <c r="AN32" s="799">
        <f>(AM32+AN164)*(1-IFERROR(IF(AN$2+$F32&lt;=12,SUMIFS('Attrition Modeling'!$D:$D,'Attrition Modeling'!$B:$B,'IP Attrition'!$D32,'Attrition Modeling'!$C:$C,'IP Attrition'!AN$1),VLOOKUP($F32+AN$2,$A$6:$C$106,2,FALSE)*VLOOKUP(AN$1,'Attrition Modeling'!$L$15:$N$27,IF(AN$2+$F32&lt;=24,2,3),FALSE)),$C$3)*(1+Projection!AP$16)*(1+IF(AN164&gt;0,'Attrition Modeling'!$N$9,0)))</f>
        <v>0</v>
      </c>
      <c r="AO32" s="799">
        <f>(AN32+AO164)*(1-IFERROR(IF(AO$2+$F32&lt;=12,SUMIFS('Attrition Modeling'!$D:$D,'Attrition Modeling'!$B:$B,'IP Attrition'!$D32,'Attrition Modeling'!$C:$C,'IP Attrition'!AO$1),VLOOKUP($F32+AO$2,$A$6:$C$106,2,FALSE)*VLOOKUP(AO$1,'Attrition Modeling'!$L$15:$N$27,IF(AO$2+$F32&lt;=24,2,3),FALSE)),$C$3)*(1+Projection!AQ$16)*(1+IF(AO164&gt;0,'Attrition Modeling'!$N$9,0)))</f>
        <v>0</v>
      </c>
      <c r="AP32" s="799">
        <f>(AO32+AP164)*(1-IFERROR(IF(AP$2+$F32&lt;=12,SUMIFS('Attrition Modeling'!$D:$D,'Attrition Modeling'!$B:$B,'IP Attrition'!$D32,'Attrition Modeling'!$C:$C,'IP Attrition'!AP$1),VLOOKUP($F32+AP$2,$A$6:$C$106,2,FALSE)*VLOOKUP(AP$1,'Attrition Modeling'!$L$15:$N$27,IF(AP$2+$F32&lt;=24,2,3),FALSE)),$C$3)*(1+Projection!AR$16)*(1+IF(AP164&gt;0,'Attrition Modeling'!$N$9,0)))</f>
        <v>0</v>
      </c>
      <c r="AQ32" s="799">
        <f>(AP32+AQ164)*(1-IFERROR(IF(AQ$2+$F32&lt;=12,SUMIFS('Attrition Modeling'!$D:$D,'Attrition Modeling'!$B:$B,'IP Attrition'!$D32,'Attrition Modeling'!$C:$C,'IP Attrition'!AQ$1),VLOOKUP($F32+AQ$2,$A$6:$C$106,2,FALSE)*VLOOKUP(AQ$1,'Attrition Modeling'!$L$15:$N$27,IF(AQ$2+$F32&lt;=24,2,3),FALSE)),$C$3)*(1+Projection!AS$16)*(1+IF(AQ164&gt;0,'Attrition Modeling'!$N$9,0)))</f>
        <v>0</v>
      </c>
      <c r="AR32" s="799">
        <f>(AQ32+AR164)*(1-IFERROR(IF(AR$2+$F32&lt;=12,SUMIFS('Attrition Modeling'!$D:$D,'Attrition Modeling'!$B:$B,'IP Attrition'!$D32,'Attrition Modeling'!$C:$C,'IP Attrition'!AR$1),VLOOKUP($F32+AR$2,$A$6:$C$106,2,FALSE)*VLOOKUP(AR$1,'Attrition Modeling'!$L$15:$N$27,IF(AR$2+$F32&lt;=24,2,3),FALSE)),$C$3)*(1+Projection!AT$16)*(1+IF(AR164&gt;0,'Attrition Modeling'!$N$9,0)))</f>
        <v>0</v>
      </c>
      <c r="AS32" s="799">
        <f>(AR32+AS164)*(1-IFERROR(IF(AS$2+$F32&lt;=12,SUMIFS('Attrition Modeling'!$D:$D,'Attrition Modeling'!$B:$B,'IP Attrition'!$D32,'Attrition Modeling'!$C:$C,'IP Attrition'!AS$1),VLOOKUP($F32+AS$2,$A$6:$C$106,2,FALSE)*VLOOKUP(AS$1,'Attrition Modeling'!$L$15:$N$27,IF(AS$2+$F32&lt;=24,2,3),FALSE)),$C$3)*(1+Projection!AU$16)*(1+IF(AS164&gt;0,'Attrition Modeling'!$N$9,0)))</f>
        <v>0</v>
      </c>
      <c r="AT32" s="799">
        <f>(AS32+AT164)*(1-IFERROR(IF(AT$2+$F32&lt;=12,SUMIFS('Attrition Modeling'!$D:$D,'Attrition Modeling'!$B:$B,'IP Attrition'!$D32,'Attrition Modeling'!$C:$C,'IP Attrition'!AT$1),VLOOKUP($F32+AT$2,$A$6:$C$106,2,FALSE)*VLOOKUP(AT$1,'Attrition Modeling'!$L$15:$N$27,IF(AT$2+$F32&lt;=24,2,3),FALSE)),$C$3)*(1+Projection!AV$16)*(1+IF(AT164&gt;0,'Attrition Modeling'!$N$9,0)))</f>
        <v>0</v>
      </c>
      <c r="AU32" s="799">
        <f>(AT32+AU164)*(1-IFERROR(IF(AU$2+$F32&lt;=12,SUMIFS('Attrition Modeling'!$D:$D,'Attrition Modeling'!$B:$B,'IP Attrition'!$D32,'Attrition Modeling'!$C:$C,'IP Attrition'!AU$1),VLOOKUP($F32+AU$2,$A$6:$C$106,2,FALSE)*VLOOKUP(AU$1,'Attrition Modeling'!$L$15:$N$27,IF(AU$2+$F32&lt;=24,2,3),FALSE)),$C$3)*(1+Projection!AW$16)*(1+IF(AU164&gt;0,'Attrition Modeling'!$N$9,0)))</f>
        <v>0</v>
      </c>
      <c r="AV32" s="799">
        <f>(AU32+AV164)*(1-IFERROR(IF(AV$2+$F32&lt;=12,SUMIFS('Attrition Modeling'!$D:$D,'Attrition Modeling'!$B:$B,'IP Attrition'!$D32,'Attrition Modeling'!$C:$C,'IP Attrition'!AV$1),VLOOKUP($F32+AV$2,$A$6:$C$106,2,FALSE)*VLOOKUP(AV$1,'Attrition Modeling'!$L$15:$N$27,IF(AV$2+$F32&lt;=24,2,3),FALSE)),$C$3)*(1+Projection!AX$16)*(1+IF(AV164&gt;0,'Attrition Modeling'!$N$9,0)))</f>
        <v>0</v>
      </c>
      <c r="AW32" s="799">
        <f>(AV32+AW164)*(1-IFERROR(IF(AW$2+$F32&lt;=12,SUMIFS('Attrition Modeling'!$D:$D,'Attrition Modeling'!$B:$B,'IP Attrition'!$D32,'Attrition Modeling'!$C:$C,'IP Attrition'!AW$1),VLOOKUP($F32+AW$2,$A$6:$C$106,2,FALSE)*VLOOKUP(AW$1,'Attrition Modeling'!$L$15:$N$27,IF(AW$2+$F32&lt;=24,2,3),FALSE)),$C$3)*(1+Projection!AY$16)*(1+IF(AW164&gt;0,'Attrition Modeling'!$N$9,0)))</f>
        <v>0</v>
      </c>
      <c r="AX32" s="799">
        <f>(AW32+AX164)*(1-IFERROR(IF(AX$2+$F32&lt;=12,SUMIFS('Attrition Modeling'!$D:$D,'Attrition Modeling'!$B:$B,'IP Attrition'!$D32,'Attrition Modeling'!$C:$C,'IP Attrition'!AX$1),VLOOKUP($F32+AX$2,$A$6:$C$106,2,FALSE)*VLOOKUP(AX$1,'Attrition Modeling'!$L$15:$N$27,IF(AX$2+$F32&lt;=24,2,3),FALSE)),$C$3)*(1+Projection!AZ$16)*(1+IF(AX164&gt;0,'Attrition Modeling'!$N$9,0)))</f>
        <v>0</v>
      </c>
      <c r="AY32" s="799">
        <f>(AX32+AY164)*(1-IFERROR(IF(AY$2+$F32&lt;=12,SUMIFS('Attrition Modeling'!$D:$D,'Attrition Modeling'!$B:$B,'IP Attrition'!$D32,'Attrition Modeling'!$C:$C,'IP Attrition'!AY$1),VLOOKUP($F32+AY$2,$A$6:$C$106,2,FALSE)*VLOOKUP(AY$1,'Attrition Modeling'!$L$15:$N$27,IF(AY$2+$F32&lt;=24,2,3),FALSE)),$C$3)*(1+Projection!BA$16)*(1+IF(AY164&gt;0,'Attrition Modeling'!$N$9,0)))</f>
        <v>0</v>
      </c>
      <c r="AZ32" s="799">
        <f>(AY32+AZ164)*(1-IFERROR(IF(AZ$2+$F32&lt;=12,SUMIFS('Attrition Modeling'!$D:$D,'Attrition Modeling'!$B:$B,'IP Attrition'!$D32,'Attrition Modeling'!$C:$C,'IP Attrition'!AZ$1),VLOOKUP($F32+AZ$2,$A$6:$C$106,2,FALSE)*VLOOKUP(AZ$1,'Attrition Modeling'!$L$15:$N$27,IF(AZ$2+$F32&lt;=24,2,3),FALSE)),$C$3)*(1+Projection!BB$16)*(1+IF(AZ164&gt;0,'Attrition Modeling'!$N$9,0)))</f>
        <v>0</v>
      </c>
      <c r="BA32" s="799">
        <f>(AZ32+BA164)*(1-IFERROR(IF(BA$2+$F32&lt;=12,SUMIFS('Attrition Modeling'!$D:$D,'Attrition Modeling'!$B:$B,'IP Attrition'!$D32,'Attrition Modeling'!$C:$C,'IP Attrition'!BA$1),VLOOKUP($F32+BA$2,$A$6:$C$106,2,FALSE)*VLOOKUP(BA$1,'Attrition Modeling'!$L$15:$N$27,IF(BA$2+$F32&lt;=24,2,3),FALSE)),$C$3)*(1+Projection!BC$16)*(1+IF(BA164&gt;0,'Attrition Modeling'!$N$9,0)))</f>
        <v>0</v>
      </c>
      <c r="BB32" s="799">
        <f>(BA32+BB164)*(1-IFERROR(IF(BB$2+$F32&lt;=12,SUMIFS('Attrition Modeling'!$D:$D,'Attrition Modeling'!$B:$B,'IP Attrition'!$D32,'Attrition Modeling'!$C:$C,'IP Attrition'!BB$1),VLOOKUP($F32+BB$2,$A$6:$C$106,2,FALSE)*VLOOKUP(BB$1,'Attrition Modeling'!$L$15:$N$27,IF(BB$2+$F32&lt;=24,2,3),FALSE)),$C$3)*(1+Projection!BD$16)*(1+IF(BB164&gt;0,'Attrition Modeling'!$N$9,0)))</f>
        <v>0</v>
      </c>
      <c r="BC32" s="799">
        <f>(BB32+BC164)*(1-IFERROR(IF(BC$2+$F32&lt;=12,SUMIFS('Attrition Modeling'!$D:$D,'Attrition Modeling'!$B:$B,'IP Attrition'!$D32,'Attrition Modeling'!$C:$C,'IP Attrition'!BC$1),VLOOKUP($F32+BC$2,$A$6:$C$106,2,FALSE)*VLOOKUP(BC$1,'Attrition Modeling'!$L$15:$N$27,IF(BC$2+$F32&lt;=24,2,3),FALSE)),$C$3)*(1+Projection!BE$16)*(1+IF(BC164&gt;0,'Attrition Modeling'!$N$9,0)))</f>
        <v>0</v>
      </c>
      <c r="BD32" s="799">
        <f>(BC32+BD164)*(1-IFERROR(IF(BD$2+$F32&lt;=12,SUMIFS('Attrition Modeling'!$D:$D,'Attrition Modeling'!$B:$B,'IP Attrition'!$D32,'Attrition Modeling'!$C:$C,'IP Attrition'!BD$1),VLOOKUP($F32+BD$2,$A$6:$C$106,2,FALSE)*VLOOKUP(BD$1,'Attrition Modeling'!$L$15:$N$27,IF(BD$2+$F32&lt;=24,2,3),FALSE)),$C$3)*(1+Projection!BF$16)*(1+IF(BD164&gt;0,'Attrition Modeling'!$N$9,0)))</f>
        <v>0</v>
      </c>
      <c r="BE32" s="799">
        <f>(BD32+BE164)*(1-IFERROR(IF(BE$2+$F32&lt;=12,SUMIFS('Attrition Modeling'!$D:$D,'Attrition Modeling'!$B:$B,'IP Attrition'!$D32,'Attrition Modeling'!$C:$C,'IP Attrition'!BE$1),VLOOKUP($F32+BE$2,$A$6:$C$106,2,FALSE)*VLOOKUP(BE$1,'Attrition Modeling'!$L$15:$N$27,IF(BE$2+$F32&lt;=24,2,3),FALSE)),$C$3)*(1+Projection!BG$16)*(1+IF(BE164&gt;0,'Attrition Modeling'!$N$9,0)))</f>
        <v>0</v>
      </c>
      <c r="BF32" s="799">
        <f>(BE32+BF164)*(1-IFERROR(IF(BF$2+$F32&lt;=12,SUMIFS('Attrition Modeling'!$D:$D,'Attrition Modeling'!$B:$B,'IP Attrition'!$D32,'Attrition Modeling'!$C:$C,'IP Attrition'!BF$1),VLOOKUP($F32+BF$2,$A$6:$C$106,2,FALSE)*VLOOKUP(BF$1,'Attrition Modeling'!$L$15:$N$27,IF(BF$2+$F32&lt;=24,2,3),FALSE)),$C$3)*(1+Projection!BH$16)*(1+IF(BF164&gt;0,'Attrition Modeling'!$N$9,0)))</f>
        <v>0</v>
      </c>
      <c r="BG32" s="799">
        <f>(BF32+BG164)*(1-IFERROR(IF(BG$2+$F32&lt;=12,SUMIFS('Attrition Modeling'!$D:$D,'Attrition Modeling'!$B:$B,'IP Attrition'!$D32,'Attrition Modeling'!$C:$C,'IP Attrition'!BG$1),VLOOKUP($F32+BG$2,$A$6:$C$106,2,FALSE)*VLOOKUP(BG$1,'Attrition Modeling'!$L$15:$N$27,IF(BG$2+$F32&lt;=24,2,3),FALSE)),$C$3)*(1+Projection!BI$16)*(1+IF(BG164&gt;0,'Attrition Modeling'!$N$9,0)))</f>
        <v>0</v>
      </c>
      <c r="BH32" s="799">
        <f>(BG32+BH164)*(1-IFERROR(IF(BH$2+$F32&lt;=12,SUMIFS('Attrition Modeling'!$D:$D,'Attrition Modeling'!$B:$B,'IP Attrition'!$D32,'Attrition Modeling'!$C:$C,'IP Attrition'!BH$1),VLOOKUP($F32+BH$2,$A$6:$C$106,2,FALSE)*VLOOKUP(BH$1,'Attrition Modeling'!$L$15:$N$27,IF(BH$2+$F32&lt;=24,2,3),FALSE)),$C$3)*(1+Projection!BJ$16)*(1+IF(BH164&gt;0,'Attrition Modeling'!$N$9,0)))</f>
        <v>0</v>
      </c>
      <c r="BI32" s="799">
        <f>(BH32+BI164)*(1-IFERROR(IF(BI$2+$F32&lt;=12,SUMIFS('Attrition Modeling'!$D:$D,'Attrition Modeling'!$B:$B,'IP Attrition'!$D32,'Attrition Modeling'!$C:$C,'IP Attrition'!BI$1),VLOOKUP($F32+BI$2,$A$6:$C$106,2,FALSE)*VLOOKUP(BI$1,'Attrition Modeling'!$L$15:$N$27,IF(BI$2+$F32&lt;=24,2,3),FALSE)),$C$3)*(1+Projection!BK$16)*(1+IF(BI164&gt;0,'Attrition Modeling'!$N$9,0)))</f>
        <v>0</v>
      </c>
      <c r="BJ32" s="799">
        <f>(BI32+BJ164)*(1-IFERROR(IF(BJ$2+$F32&lt;=12,SUMIFS('Attrition Modeling'!$D:$D,'Attrition Modeling'!$B:$B,'IP Attrition'!$D32,'Attrition Modeling'!$C:$C,'IP Attrition'!BJ$1),VLOOKUP($F32+BJ$2,$A$6:$C$106,2,FALSE)*VLOOKUP(BJ$1,'Attrition Modeling'!$L$15:$N$27,IF(BJ$2+$F32&lt;=24,2,3),FALSE)),$C$3)*(1+Projection!BL$16)*(1+IF(BJ164&gt;0,'Attrition Modeling'!$N$9,0)))</f>
        <v>0</v>
      </c>
      <c r="BK32" s="799">
        <f>(BJ32+BK164)*(1-IFERROR(IF(BK$2+$F32&lt;=12,SUMIFS('Attrition Modeling'!$D:$D,'Attrition Modeling'!$B:$B,'IP Attrition'!$D32,'Attrition Modeling'!$C:$C,'IP Attrition'!BK$1),VLOOKUP($F32+BK$2,$A$6:$C$106,2,FALSE)*VLOOKUP(BK$1,'Attrition Modeling'!$L$15:$N$27,IF(BK$2+$F32&lt;=24,2,3),FALSE)),$C$3)*(1+Projection!BM$16)*(1+IF(BK164&gt;0,'Attrition Modeling'!$N$9,0)))</f>
        <v>0</v>
      </c>
      <c r="BL32" s="799">
        <f>(BK32+BL164)*(1-IFERROR(IF(BL$2+$F32&lt;=12,SUMIFS('Attrition Modeling'!$D:$D,'Attrition Modeling'!$B:$B,'IP Attrition'!$D32,'Attrition Modeling'!$C:$C,'IP Attrition'!BL$1),VLOOKUP($F32+BL$2,$A$6:$C$106,2,FALSE)*VLOOKUP(BL$1,'Attrition Modeling'!$L$15:$N$27,IF(BL$2+$F32&lt;=24,2,3),FALSE)),$C$3)*(1+Projection!BN$16)*(1+IF(BL164&gt;0,'Attrition Modeling'!$N$9,0)))</f>
        <v>0</v>
      </c>
      <c r="BM32" s="799">
        <f>(BL32+BM164)*(1-IFERROR(IF(BM$2+$F32&lt;=12,SUMIFS('Attrition Modeling'!$D:$D,'Attrition Modeling'!$B:$B,'IP Attrition'!$D32,'Attrition Modeling'!$C:$C,'IP Attrition'!BM$1),VLOOKUP($F32+BM$2,$A$6:$C$106,2,FALSE)*VLOOKUP(BM$1,'Attrition Modeling'!$L$15:$N$27,IF(BM$2+$F32&lt;=24,2,3),FALSE)),$C$3)*(1+Projection!BO$16)*(1+IF(BM164&gt;0,'Attrition Modeling'!$N$9,0)))</f>
        <v>0</v>
      </c>
      <c r="BN32" s="799">
        <f>(BM32+BN164)*(1-IFERROR(IF(BN$2+$F32&lt;=12,SUMIFS('Attrition Modeling'!$D:$D,'Attrition Modeling'!$B:$B,'IP Attrition'!$D32,'Attrition Modeling'!$C:$C,'IP Attrition'!BN$1),VLOOKUP($F32+BN$2,$A$6:$C$106,2,FALSE)*VLOOKUP(BN$1,'Attrition Modeling'!$L$15:$N$27,IF(BN$2+$F32&lt;=24,2,3),FALSE)),$C$3)*(1+Projection!BP$16)*(1+IF(BN164&gt;0,'Attrition Modeling'!$N$9,0)))</f>
        <v>0</v>
      </c>
      <c r="BO32" s="799">
        <f>(BN32+BO164)*(1-IFERROR(IF(BO$2+$F32&lt;=12,SUMIFS('Attrition Modeling'!$D:$D,'Attrition Modeling'!$B:$B,'IP Attrition'!$D32,'Attrition Modeling'!$C:$C,'IP Attrition'!BO$1),VLOOKUP($F32+BO$2,$A$6:$C$106,2,FALSE)*VLOOKUP(BO$1,'Attrition Modeling'!$L$15:$N$27,IF(BO$2+$F32&lt;=24,2,3),FALSE)),$C$3)*(1+Projection!BV$16)*(1+IF(BO164&gt;0,'Attrition Modeling'!$N$9,0)))</f>
        <v>0</v>
      </c>
      <c r="BP32" s="799">
        <f>(BO32+BP164)*(1-IFERROR(IF(BP$2+$F32&lt;=12,SUMIFS('Attrition Modeling'!$D:$D,'Attrition Modeling'!$B:$B,'IP Attrition'!$D32,'Attrition Modeling'!$C:$C,'IP Attrition'!BP$1),VLOOKUP($F32+BP$2,$A$6:$C$106,2,FALSE)*VLOOKUP(BP$1,'Attrition Modeling'!$L$15:$N$27,IF(BP$2+$F32&lt;=24,2,3),FALSE)),$C$3)*(1+Projection!BW$16)*(1+IF(BP164&gt;0,'Attrition Modeling'!$N$9,0)))</f>
        <v>0</v>
      </c>
      <c r="BQ32" s="799">
        <f>(BP32+BQ164)*(1-IFERROR(IF(BQ$2+$F32&lt;=12,SUMIFS('Attrition Modeling'!$D:$D,'Attrition Modeling'!$B:$B,'IP Attrition'!$D32,'Attrition Modeling'!$C:$C,'IP Attrition'!BQ$1),VLOOKUP($F32+BQ$2,$A$6:$C$106,2,FALSE)*VLOOKUP(BQ$1,'Attrition Modeling'!$L$15:$N$27,IF(BQ$2+$F32&lt;=24,2,3),FALSE)),$C$3)*(1+Projection!BX$16)*(1+IF(BQ164&gt;0,'Attrition Modeling'!$N$9,0)))</f>
        <v>0</v>
      </c>
      <c r="BR32" s="799">
        <f>(BQ32+BR164)*(1-IFERROR(IF(BR$2+$F32&lt;=12,SUMIFS('Attrition Modeling'!$D:$D,'Attrition Modeling'!$B:$B,'IP Attrition'!$D32,'Attrition Modeling'!$C:$C,'IP Attrition'!BR$1),VLOOKUP($F32+BR$2,$A$6:$C$106,2,FALSE)*VLOOKUP(BR$1,'Attrition Modeling'!$L$15:$N$27,IF(BR$2+$F32&lt;=24,2,3),FALSE)),$C$3)*(1+Projection!BY$16)*(1+IF(BR164&gt;0,'Attrition Modeling'!$N$9,0)))</f>
        <v>0</v>
      </c>
      <c r="BS32" s="799">
        <f>(BR32+BS164)*(1-IFERROR(IF(BS$2+$F32&lt;=12,SUMIFS('Attrition Modeling'!$D:$D,'Attrition Modeling'!$B:$B,'IP Attrition'!$D32,'Attrition Modeling'!$C:$C,'IP Attrition'!BS$1),VLOOKUP($F32+BS$2,$A$6:$C$106,2,FALSE)*VLOOKUP(BS$1,'Attrition Modeling'!$L$15:$N$27,IF(BS$2+$F32&lt;=24,2,3),FALSE)),$C$3)*(1+Projection!BZ$16)*(1+IF(BS164&gt;0,'Attrition Modeling'!$N$9,0)))</f>
        <v>0</v>
      </c>
      <c r="BT32" s="799" t="e">
        <f>(BS32+BT164)*(1-IFERROR(IF(BT$2+$F32&lt;=12,SUMIFS('Attrition Modeling'!$D:$D,'Attrition Modeling'!$B:$B,'IP Attrition'!$D32,'Attrition Modeling'!$C:$C,'IP Attrition'!BT$1),VLOOKUP($F32+BT$2,$A$6:$C$106,2,FALSE)*VLOOKUP(BT$1,'Attrition Modeling'!$L$15:$N$27,IF(BT$2+$F32&lt;=24,2,3),FALSE)),$C$3)*(1+Projection!CA$16)*(1+IF(BT164&gt;0,'Attrition Modeling'!$N$9,0)))</f>
        <v>#REF!</v>
      </c>
      <c r="BU32" s="799" t="e">
        <f>(BT32+BU164)*(1-IFERROR(IF(BU$2+$F32&lt;=12,SUMIFS('Attrition Modeling'!$D:$D,'Attrition Modeling'!$B:$B,'IP Attrition'!$D32,'Attrition Modeling'!$C:$C,'IP Attrition'!BU$1),VLOOKUP($F32+BU$2,$A$6:$C$106,2,FALSE)*VLOOKUP(BU$1,'Attrition Modeling'!$L$15:$N$27,IF(BU$2+$F32&lt;=24,2,3),FALSE)),$C$3)*(1+Projection!CB$16)*(1+IF(BU164&gt;0,'Attrition Modeling'!$N$9,0)))</f>
        <v>#REF!</v>
      </c>
    </row>
    <row r="33" spans="1:73" ht="14.25" customHeight="1" x14ac:dyDescent="0.2">
      <c r="A33" s="9">
        <v>26</v>
      </c>
      <c r="B33" s="25">
        <f>MAX('Attrition Modeling'!H30,$C$3)*(1-Summary!$C$20)</f>
        <v>3.5137583833142298E-2</v>
      </c>
      <c r="C33" s="24" t="e">
        <f t="shared" si="3"/>
        <v>#DIV/0!</v>
      </c>
      <c r="D33" s="11">
        <f t="shared" si="1"/>
        <v>-30</v>
      </c>
      <c r="E33" s="807">
        <f t="array" ref="E33">INDEX('Attrition Modeling'!$X$2:$AF$63,MATCH($F33,'Attrition Modeling'!$X$2:$X$63,0),MATCH(Inputs!$C$10,'Attrition Modeling'!$X$2:$AF$2,0))</f>
        <v>0</v>
      </c>
      <c r="F33" s="11">
        <f t="shared" si="2"/>
        <v>30</v>
      </c>
      <c r="G33" s="799">
        <f>Summary!$C$25*$E33</f>
        <v>0</v>
      </c>
      <c r="H33" s="799">
        <f>(G33+H165)*(1-IFERROR(IF(H$2+$F33&lt;=12,SUMIFS('Attrition Modeling'!$D:$D,'Attrition Modeling'!$B:$B,'IP Attrition'!$D33,'Attrition Modeling'!$C:$C,'IP Attrition'!H$1),VLOOKUP($F33+H$2,$A$6:$C$106,2,FALSE)*VLOOKUP(H$1,'Attrition Modeling'!$L$15:$N$27,IF(H$2+$F33&lt;=24,2,3),FALSE)),$C$3)*(1+Projection!J$16)*(1+IF(H165&gt;0,'Attrition Modeling'!$N$9,0)))</f>
        <v>0</v>
      </c>
      <c r="I33" s="799">
        <f>(H33+I165)*(1-IFERROR(IF(I$2+$F33&lt;=12,SUMIFS('Attrition Modeling'!$D:$D,'Attrition Modeling'!$B:$B,'IP Attrition'!$D33,'Attrition Modeling'!$C:$C,'IP Attrition'!I$1),VLOOKUP($F33+I$2,$A$6:$C$106,2,FALSE)*VLOOKUP(I$1,'Attrition Modeling'!$L$15:$N$27,IF(I$2+$F33&lt;=24,2,3),FALSE)),$C$3)*(1+Projection!K$16)*(1+IF(I165&gt;0,'Attrition Modeling'!$N$9,0)))</f>
        <v>0</v>
      </c>
      <c r="J33" s="799">
        <f>(I33+J165)*(1-IFERROR(IF(J$2+$F33&lt;=12,SUMIFS('Attrition Modeling'!$D:$D,'Attrition Modeling'!$B:$B,'IP Attrition'!$D33,'Attrition Modeling'!$C:$C,'IP Attrition'!J$1),VLOOKUP($F33+J$2,$A$6:$C$106,2,FALSE)*VLOOKUP(J$1,'Attrition Modeling'!$L$15:$N$27,IF(J$2+$F33&lt;=24,2,3),FALSE)),$C$3)*(1+Projection!L$16)*(1+IF(J165&gt;0,'Attrition Modeling'!$N$9,0)))</f>
        <v>0</v>
      </c>
      <c r="K33" s="799">
        <f>(J33+K165)*(1-IFERROR(IF(K$2+$F33&lt;=12,SUMIFS('Attrition Modeling'!$D:$D,'Attrition Modeling'!$B:$B,'IP Attrition'!$D33,'Attrition Modeling'!$C:$C,'IP Attrition'!K$1),VLOOKUP($F33+K$2,$A$6:$C$106,2,FALSE)*VLOOKUP(K$1,'Attrition Modeling'!$L$15:$N$27,IF(K$2+$F33&lt;=24,2,3),FALSE)),$C$3)*(1+Projection!M$16)*(1+IF(K165&gt;0,'Attrition Modeling'!$N$9,0)))</f>
        <v>0</v>
      </c>
      <c r="L33" s="799">
        <f>(K33+L165)*(1-IFERROR(IF(L$2+$F33&lt;=12,SUMIFS('Attrition Modeling'!$D:$D,'Attrition Modeling'!$B:$B,'IP Attrition'!$D33,'Attrition Modeling'!$C:$C,'IP Attrition'!L$1),VLOOKUP($F33+L$2,$A$6:$C$106,2,FALSE)*VLOOKUP(L$1,'Attrition Modeling'!$L$15:$N$27,IF(L$2+$F33&lt;=24,2,3),FALSE)),$C$3)*(1+Projection!N$16)*(1+IF(L165&gt;0,'Attrition Modeling'!$N$9,0)))</f>
        <v>0</v>
      </c>
      <c r="M33" s="799">
        <f>(L33+M165)*(1-IFERROR(IF(M$2+$F33&lt;=12,SUMIFS('Attrition Modeling'!$D:$D,'Attrition Modeling'!$B:$B,'IP Attrition'!$D33,'Attrition Modeling'!$C:$C,'IP Attrition'!M$1),VLOOKUP($F33+M$2,$A$6:$C$106,2,FALSE)*VLOOKUP(M$1,'Attrition Modeling'!$L$15:$N$27,IF(M$2+$F33&lt;=24,2,3),FALSE)),$C$3)*(1+Projection!O$16)*(1+IF(M165&gt;0,'Attrition Modeling'!$N$9,0)))</f>
        <v>0</v>
      </c>
      <c r="N33" s="799">
        <f>(M33+N165)*(1-IFERROR(IF(N$2+$F33&lt;=12,SUMIFS('Attrition Modeling'!$D:$D,'Attrition Modeling'!$B:$B,'IP Attrition'!$D33,'Attrition Modeling'!$C:$C,'IP Attrition'!N$1),VLOOKUP($F33+N$2,$A$6:$C$106,2,FALSE)*VLOOKUP(N$1,'Attrition Modeling'!$L$15:$N$27,IF(N$2+$F33&lt;=24,2,3),FALSE)),$C$3)*(1+Projection!P$16)*(1+IF(N165&gt;0,'Attrition Modeling'!$N$9,0)))</f>
        <v>0</v>
      </c>
      <c r="O33" s="799">
        <f>(N33+O165)*(1-IFERROR(IF(O$2+$F33&lt;=12,SUMIFS('Attrition Modeling'!$D:$D,'Attrition Modeling'!$B:$B,'IP Attrition'!$D33,'Attrition Modeling'!$C:$C,'IP Attrition'!O$1),VLOOKUP($F33+O$2,$A$6:$C$106,2,FALSE)*VLOOKUP(O$1,'Attrition Modeling'!$L$15:$N$27,IF(O$2+$F33&lt;=24,2,3),FALSE)),$C$3)*(1+Projection!Q$16)*(1+IF(O165&gt;0,'Attrition Modeling'!$N$9,0)))</f>
        <v>0</v>
      </c>
      <c r="P33" s="799">
        <f>(O33+P165)*(1-IFERROR(IF(P$2+$F33&lt;=12,SUMIFS('Attrition Modeling'!$D:$D,'Attrition Modeling'!$B:$B,'IP Attrition'!$D33,'Attrition Modeling'!$C:$C,'IP Attrition'!P$1),VLOOKUP($F33+P$2,$A$6:$C$106,2,FALSE)*VLOOKUP(P$1,'Attrition Modeling'!$L$15:$N$27,IF(P$2+$F33&lt;=24,2,3),FALSE)),$C$3)*(1+Projection!R$16)*(1+IF(P165&gt;0,'Attrition Modeling'!$N$9,0)))</f>
        <v>0</v>
      </c>
      <c r="Q33" s="799">
        <f>(P33+Q165)*(1-IFERROR(IF(Q$2+$F33&lt;=12,SUMIFS('Attrition Modeling'!$D:$D,'Attrition Modeling'!$B:$B,'IP Attrition'!$D33,'Attrition Modeling'!$C:$C,'IP Attrition'!Q$1),VLOOKUP($F33+Q$2,$A$6:$C$106,2,FALSE)*VLOOKUP(Q$1,'Attrition Modeling'!$L$15:$N$27,IF(Q$2+$F33&lt;=24,2,3),FALSE)),$C$3)*(1+Projection!S$16)*(1+IF(Q165&gt;0,'Attrition Modeling'!$N$9,0)))</f>
        <v>0</v>
      </c>
      <c r="R33" s="799">
        <f>(Q33+R165)*(1-IFERROR(IF(R$2+$F33&lt;=12,SUMIFS('Attrition Modeling'!$D:$D,'Attrition Modeling'!$B:$B,'IP Attrition'!$D33,'Attrition Modeling'!$C:$C,'IP Attrition'!R$1),VLOOKUP($F33+R$2,$A$6:$C$106,2,FALSE)*VLOOKUP(R$1,'Attrition Modeling'!$L$15:$N$27,IF(R$2+$F33&lt;=24,2,3),FALSE)),$C$3)*(1+Projection!T$16)*(1+IF(R165&gt;0,'Attrition Modeling'!$N$9,0)))</f>
        <v>0</v>
      </c>
      <c r="S33" s="799">
        <f>(R33+S165)*(1-IFERROR(IF(S$2+$F33&lt;=12,SUMIFS('Attrition Modeling'!$D:$D,'Attrition Modeling'!$B:$B,'IP Attrition'!$D33,'Attrition Modeling'!$C:$C,'IP Attrition'!S$1),VLOOKUP($F33+S$2,$A$6:$C$106,2,FALSE)*VLOOKUP(S$1,'Attrition Modeling'!$L$15:$N$27,IF(S$2+$F33&lt;=24,2,3),FALSE)),$C$3)*(1+Projection!U$16)*(1+IF(S165&gt;0,'Attrition Modeling'!$N$9,0)))</f>
        <v>0</v>
      </c>
      <c r="T33" s="799">
        <f>(S33+T165)*(1-IFERROR(IF(T$2+$F33&lt;=12,SUMIFS('Attrition Modeling'!$D:$D,'Attrition Modeling'!$B:$B,'IP Attrition'!$D33,'Attrition Modeling'!$C:$C,'IP Attrition'!T$1),VLOOKUP($F33+T$2,$A$6:$C$106,2,FALSE)*VLOOKUP(T$1,'Attrition Modeling'!$L$15:$N$27,IF(T$2+$F33&lt;=24,2,3),FALSE)),$C$3)*(1+Projection!V$16)*(1+IF(T165&gt;0,'Attrition Modeling'!$N$9,0)))</f>
        <v>0</v>
      </c>
      <c r="U33" s="799">
        <f>(T33+U165)*(1-IFERROR(IF(U$2+$F33&lt;=12,SUMIFS('Attrition Modeling'!$D:$D,'Attrition Modeling'!$B:$B,'IP Attrition'!$D33,'Attrition Modeling'!$C:$C,'IP Attrition'!U$1),VLOOKUP($F33+U$2,$A$6:$C$106,2,FALSE)*VLOOKUP(U$1,'Attrition Modeling'!$L$15:$N$27,IF(U$2+$F33&lt;=24,2,3),FALSE)),$C$3)*(1+Projection!W$16)*(1+IF(U165&gt;0,'Attrition Modeling'!$N$9,0)))</f>
        <v>0</v>
      </c>
      <c r="V33" s="799">
        <f>(U33+V165)*(1-IFERROR(IF(V$2+$F33&lt;=12,SUMIFS('Attrition Modeling'!$D:$D,'Attrition Modeling'!$B:$B,'IP Attrition'!$D33,'Attrition Modeling'!$C:$C,'IP Attrition'!V$1),VLOOKUP($F33+V$2,$A$6:$C$106,2,FALSE)*VLOOKUP(V$1,'Attrition Modeling'!$L$15:$N$27,IF(V$2+$F33&lt;=24,2,3),FALSE)),$C$3)*(1+Projection!X$16)*(1+IF(V165&gt;0,'Attrition Modeling'!$N$9,0)))</f>
        <v>0</v>
      </c>
      <c r="W33" s="799">
        <f>(V33+W165)*(1-IFERROR(IF(W$2+$F33&lt;=12,SUMIFS('Attrition Modeling'!$D:$D,'Attrition Modeling'!$B:$B,'IP Attrition'!$D33,'Attrition Modeling'!$C:$C,'IP Attrition'!W$1),VLOOKUP($F33+W$2,$A$6:$C$106,2,FALSE)*VLOOKUP(W$1,'Attrition Modeling'!$L$15:$N$27,IF(W$2+$F33&lt;=24,2,3),FALSE)),$C$3)*(1+Projection!Y$16)*(1+IF(W165&gt;0,'Attrition Modeling'!$N$9,0)))</f>
        <v>0</v>
      </c>
      <c r="X33" s="799">
        <f>(W33+X165)*(1-IFERROR(IF(X$2+$F33&lt;=12,SUMIFS('Attrition Modeling'!$D:$D,'Attrition Modeling'!$B:$B,'IP Attrition'!$D33,'Attrition Modeling'!$C:$C,'IP Attrition'!X$1),VLOOKUP($F33+X$2,$A$6:$C$106,2,FALSE)*VLOOKUP(X$1,'Attrition Modeling'!$L$15:$N$27,IF(X$2+$F33&lt;=24,2,3),FALSE)),$C$3)*(1+Projection!Z$16)*(1+IF(X165&gt;0,'Attrition Modeling'!$N$9,0)))</f>
        <v>0</v>
      </c>
      <c r="Y33" s="799">
        <f>(X33+Y165)*(1-IFERROR(IF(Y$2+$F33&lt;=12,SUMIFS('Attrition Modeling'!$D:$D,'Attrition Modeling'!$B:$B,'IP Attrition'!$D33,'Attrition Modeling'!$C:$C,'IP Attrition'!Y$1),VLOOKUP($F33+Y$2,$A$6:$C$106,2,FALSE)*VLOOKUP(Y$1,'Attrition Modeling'!$L$15:$N$27,IF(Y$2+$F33&lt;=24,2,3),FALSE)),$C$3)*(1+Projection!AA$16)*(1+IF(Y165&gt;0,'Attrition Modeling'!$N$9,0)))</f>
        <v>0</v>
      </c>
      <c r="Z33" s="799">
        <f>(Y33+Z165)*(1-IFERROR(IF(Z$2+$F33&lt;=12,SUMIFS('Attrition Modeling'!$D:$D,'Attrition Modeling'!$B:$B,'IP Attrition'!$D33,'Attrition Modeling'!$C:$C,'IP Attrition'!Z$1),VLOOKUP($F33+Z$2,$A$6:$C$106,2,FALSE)*VLOOKUP(Z$1,'Attrition Modeling'!$L$15:$N$27,IF(Z$2+$F33&lt;=24,2,3),FALSE)),$C$3)*(1+Projection!AB$16)*(1+IF(Z165&gt;0,'Attrition Modeling'!$N$9,0)))</f>
        <v>0</v>
      </c>
      <c r="AA33" s="799">
        <f>(Z33+AA165)*(1-IFERROR(IF(AA$2+$F33&lt;=12,SUMIFS('Attrition Modeling'!$D:$D,'Attrition Modeling'!$B:$B,'IP Attrition'!$D33,'Attrition Modeling'!$C:$C,'IP Attrition'!AA$1),VLOOKUP($F33+AA$2,$A$6:$C$106,2,FALSE)*VLOOKUP(AA$1,'Attrition Modeling'!$L$15:$N$27,IF(AA$2+$F33&lt;=24,2,3),FALSE)),$C$3)*(1+Projection!AC$16)*(1+IF(AA165&gt;0,'Attrition Modeling'!$N$9,0)))</f>
        <v>0</v>
      </c>
      <c r="AB33" s="799">
        <f>(AA33+AB165)*(1-IFERROR(IF(AB$2+$F33&lt;=12,SUMIFS('Attrition Modeling'!$D:$D,'Attrition Modeling'!$B:$B,'IP Attrition'!$D33,'Attrition Modeling'!$C:$C,'IP Attrition'!AB$1),VLOOKUP($F33+AB$2,$A$6:$C$106,2,FALSE)*VLOOKUP(AB$1,'Attrition Modeling'!$L$15:$N$27,IF(AB$2+$F33&lt;=24,2,3),FALSE)),$C$3)*(1+Projection!AD$16)*(1+IF(AB165&gt;0,'Attrition Modeling'!$N$9,0)))</f>
        <v>0</v>
      </c>
      <c r="AC33" s="799">
        <f>(AB33+AC165)*(1-IFERROR(IF(AC$2+$F33&lt;=12,SUMIFS('Attrition Modeling'!$D:$D,'Attrition Modeling'!$B:$B,'IP Attrition'!$D33,'Attrition Modeling'!$C:$C,'IP Attrition'!AC$1),VLOOKUP($F33+AC$2,$A$6:$C$106,2,FALSE)*VLOOKUP(AC$1,'Attrition Modeling'!$L$15:$N$27,IF(AC$2+$F33&lt;=24,2,3),FALSE)),$C$3)*(1+Projection!AE$16)*(1+IF(AC165&gt;0,'Attrition Modeling'!$N$9,0)))</f>
        <v>0</v>
      </c>
      <c r="AD33" s="799">
        <f>(AC33+AD165)*(1-IFERROR(IF(AD$2+$F33&lt;=12,SUMIFS('Attrition Modeling'!$D:$D,'Attrition Modeling'!$B:$B,'IP Attrition'!$D33,'Attrition Modeling'!$C:$C,'IP Attrition'!AD$1),VLOOKUP($F33+AD$2,$A$6:$C$106,2,FALSE)*VLOOKUP(AD$1,'Attrition Modeling'!$L$15:$N$27,IF(AD$2+$F33&lt;=24,2,3),FALSE)),$C$3)*(1+Projection!AF$16)*(1+IF(AD165&gt;0,'Attrition Modeling'!$N$9,0)))</f>
        <v>0</v>
      </c>
      <c r="AE33" s="799">
        <f>(AD33+AE165)*(1-IFERROR(IF(AE$2+$F33&lt;=12,SUMIFS('Attrition Modeling'!$D:$D,'Attrition Modeling'!$B:$B,'IP Attrition'!$D33,'Attrition Modeling'!$C:$C,'IP Attrition'!AE$1),VLOOKUP($F33+AE$2,$A$6:$C$106,2,FALSE)*VLOOKUP(AE$1,'Attrition Modeling'!$L$15:$N$27,IF(AE$2+$F33&lt;=24,2,3),FALSE)),$C$3)*(1+Projection!AG$16)*(1+IF(AE165&gt;0,'Attrition Modeling'!$N$9,0)))</f>
        <v>0</v>
      </c>
      <c r="AF33" s="799">
        <f>(AE33+AF165)*(1-IFERROR(IF(AF$2+$F33&lt;=12,SUMIFS('Attrition Modeling'!$D:$D,'Attrition Modeling'!$B:$B,'IP Attrition'!$D33,'Attrition Modeling'!$C:$C,'IP Attrition'!AF$1),VLOOKUP($F33+AF$2,$A$6:$C$106,2,FALSE)*VLOOKUP(AF$1,'Attrition Modeling'!$L$15:$N$27,IF(AF$2+$F33&lt;=24,2,3),FALSE)),$C$3)*(1+Projection!AH$16)*(1+IF(AF165&gt;0,'Attrition Modeling'!$N$9,0)))</f>
        <v>0</v>
      </c>
      <c r="AG33" s="799">
        <f>(AF33+AG165)*(1-IFERROR(IF(AG$2+$F33&lt;=12,SUMIFS('Attrition Modeling'!$D:$D,'Attrition Modeling'!$B:$B,'IP Attrition'!$D33,'Attrition Modeling'!$C:$C,'IP Attrition'!AG$1),VLOOKUP($F33+AG$2,$A$6:$C$106,2,FALSE)*VLOOKUP(AG$1,'Attrition Modeling'!$L$15:$N$27,IF(AG$2+$F33&lt;=24,2,3),FALSE)),$C$3)*(1+Projection!AI$16)*(1+IF(AG165&gt;0,'Attrition Modeling'!$N$9,0)))</f>
        <v>0</v>
      </c>
      <c r="AH33" s="799">
        <f>(AG33+AH165)*(1-IFERROR(IF(AH$2+$F33&lt;=12,SUMIFS('Attrition Modeling'!$D:$D,'Attrition Modeling'!$B:$B,'IP Attrition'!$D33,'Attrition Modeling'!$C:$C,'IP Attrition'!AH$1),VLOOKUP($F33+AH$2,$A$6:$C$106,2,FALSE)*VLOOKUP(AH$1,'Attrition Modeling'!$L$15:$N$27,IF(AH$2+$F33&lt;=24,2,3),FALSE)),$C$3)*(1+Projection!AJ$16)*(1+IF(AH165&gt;0,'Attrition Modeling'!$N$9,0)))</f>
        <v>0</v>
      </c>
      <c r="AI33" s="799">
        <f>(AH33+AI165)*(1-IFERROR(IF(AI$2+$F33&lt;=12,SUMIFS('Attrition Modeling'!$D:$D,'Attrition Modeling'!$B:$B,'IP Attrition'!$D33,'Attrition Modeling'!$C:$C,'IP Attrition'!AI$1),VLOOKUP($F33+AI$2,$A$6:$C$106,2,FALSE)*VLOOKUP(AI$1,'Attrition Modeling'!$L$15:$N$27,IF(AI$2+$F33&lt;=24,2,3),FALSE)),$C$3)*(1+Projection!AK$16)*(1+IF(AI165&gt;0,'Attrition Modeling'!$N$9,0)))</f>
        <v>0</v>
      </c>
      <c r="AJ33" s="799">
        <f>(AI33+AJ165)*(1-IFERROR(IF(AJ$2+$F33&lt;=12,SUMIFS('Attrition Modeling'!$D:$D,'Attrition Modeling'!$B:$B,'IP Attrition'!$D33,'Attrition Modeling'!$C:$C,'IP Attrition'!AJ$1),VLOOKUP($F33+AJ$2,$A$6:$C$106,2,FALSE)*VLOOKUP(AJ$1,'Attrition Modeling'!$L$15:$N$27,IF(AJ$2+$F33&lt;=24,2,3),FALSE)),$C$3)*(1+Projection!AL$16)*(1+IF(AJ165&gt;0,'Attrition Modeling'!$N$9,0)))</f>
        <v>0</v>
      </c>
      <c r="AK33" s="799">
        <f>(AJ33+AK165)*(1-IFERROR(IF(AK$2+$F33&lt;=12,SUMIFS('Attrition Modeling'!$D:$D,'Attrition Modeling'!$B:$B,'IP Attrition'!$D33,'Attrition Modeling'!$C:$C,'IP Attrition'!AK$1),VLOOKUP($F33+AK$2,$A$6:$C$106,2,FALSE)*VLOOKUP(AK$1,'Attrition Modeling'!$L$15:$N$27,IF(AK$2+$F33&lt;=24,2,3),FALSE)),$C$3)*(1+Projection!AM$16)*(1+IF(AK165&gt;0,'Attrition Modeling'!$N$9,0)))</f>
        <v>0</v>
      </c>
      <c r="AL33" s="799">
        <f>(AK33+AL165)*(1-IFERROR(IF(AL$2+$F33&lt;=12,SUMIFS('Attrition Modeling'!$D:$D,'Attrition Modeling'!$B:$B,'IP Attrition'!$D33,'Attrition Modeling'!$C:$C,'IP Attrition'!AL$1),VLOOKUP($F33+AL$2,$A$6:$C$106,2,FALSE)*VLOOKUP(AL$1,'Attrition Modeling'!$L$15:$N$27,IF(AL$2+$F33&lt;=24,2,3),FALSE)),$C$3)*(1+Projection!AN$16)*(1+IF(AL165&gt;0,'Attrition Modeling'!$N$9,0)))</f>
        <v>0</v>
      </c>
      <c r="AM33" s="799">
        <f>(AL33+AM165)*(1-IFERROR(IF(AM$2+$F33&lt;=12,SUMIFS('Attrition Modeling'!$D:$D,'Attrition Modeling'!$B:$B,'IP Attrition'!$D33,'Attrition Modeling'!$C:$C,'IP Attrition'!AM$1),VLOOKUP($F33+AM$2,$A$6:$C$106,2,FALSE)*VLOOKUP(AM$1,'Attrition Modeling'!$L$15:$N$27,IF(AM$2+$F33&lt;=24,2,3),FALSE)),$C$3)*(1+Projection!AO$16)*(1+IF(AM165&gt;0,'Attrition Modeling'!$N$9,0)))</f>
        <v>0</v>
      </c>
      <c r="AN33" s="799">
        <f>(AM33+AN165)*(1-IFERROR(IF(AN$2+$F33&lt;=12,SUMIFS('Attrition Modeling'!$D:$D,'Attrition Modeling'!$B:$B,'IP Attrition'!$D33,'Attrition Modeling'!$C:$C,'IP Attrition'!AN$1),VLOOKUP($F33+AN$2,$A$6:$C$106,2,FALSE)*VLOOKUP(AN$1,'Attrition Modeling'!$L$15:$N$27,IF(AN$2+$F33&lt;=24,2,3),FALSE)),$C$3)*(1+Projection!AP$16)*(1+IF(AN165&gt;0,'Attrition Modeling'!$N$9,0)))</f>
        <v>0</v>
      </c>
      <c r="AO33" s="799">
        <f>(AN33+AO165)*(1-IFERROR(IF(AO$2+$F33&lt;=12,SUMIFS('Attrition Modeling'!$D:$D,'Attrition Modeling'!$B:$B,'IP Attrition'!$D33,'Attrition Modeling'!$C:$C,'IP Attrition'!AO$1),VLOOKUP($F33+AO$2,$A$6:$C$106,2,FALSE)*VLOOKUP(AO$1,'Attrition Modeling'!$L$15:$N$27,IF(AO$2+$F33&lt;=24,2,3),FALSE)),$C$3)*(1+Projection!AQ$16)*(1+IF(AO165&gt;0,'Attrition Modeling'!$N$9,0)))</f>
        <v>0</v>
      </c>
      <c r="AP33" s="799">
        <f>(AO33+AP165)*(1-IFERROR(IF(AP$2+$F33&lt;=12,SUMIFS('Attrition Modeling'!$D:$D,'Attrition Modeling'!$B:$B,'IP Attrition'!$D33,'Attrition Modeling'!$C:$C,'IP Attrition'!AP$1),VLOOKUP($F33+AP$2,$A$6:$C$106,2,FALSE)*VLOOKUP(AP$1,'Attrition Modeling'!$L$15:$N$27,IF(AP$2+$F33&lt;=24,2,3),FALSE)),$C$3)*(1+Projection!AR$16)*(1+IF(AP165&gt;0,'Attrition Modeling'!$N$9,0)))</f>
        <v>0</v>
      </c>
      <c r="AQ33" s="799">
        <f>(AP33+AQ165)*(1-IFERROR(IF(AQ$2+$F33&lt;=12,SUMIFS('Attrition Modeling'!$D:$D,'Attrition Modeling'!$B:$B,'IP Attrition'!$D33,'Attrition Modeling'!$C:$C,'IP Attrition'!AQ$1),VLOOKUP($F33+AQ$2,$A$6:$C$106,2,FALSE)*VLOOKUP(AQ$1,'Attrition Modeling'!$L$15:$N$27,IF(AQ$2+$F33&lt;=24,2,3),FALSE)),$C$3)*(1+Projection!AS$16)*(1+IF(AQ165&gt;0,'Attrition Modeling'!$N$9,0)))</f>
        <v>0</v>
      </c>
      <c r="AR33" s="799">
        <f>(AQ33+AR165)*(1-IFERROR(IF(AR$2+$F33&lt;=12,SUMIFS('Attrition Modeling'!$D:$D,'Attrition Modeling'!$B:$B,'IP Attrition'!$D33,'Attrition Modeling'!$C:$C,'IP Attrition'!AR$1),VLOOKUP($F33+AR$2,$A$6:$C$106,2,FALSE)*VLOOKUP(AR$1,'Attrition Modeling'!$L$15:$N$27,IF(AR$2+$F33&lt;=24,2,3),FALSE)),$C$3)*(1+Projection!AT$16)*(1+IF(AR165&gt;0,'Attrition Modeling'!$N$9,0)))</f>
        <v>0</v>
      </c>
      <c r="AS33" s="799">
        <f>(AR33+AS165)*(1-IFERROR(IF(AS$2+$F33&lt;=12,SUMIFS('Attrition Modeling'!$D:$D,'Attrition Modeling'!$B:$B,'IP Attrition'!$D33,'Attrition Modeling'!$C:$C,'IP Attrition'!AS$1),VLOOKUP($F33+AS$2,$A$6:$C$106,2,FALSE)*VLOOKUP(AS$1,'Attrition Modeling'!$L$15:$N$27,IF(AS$2+$F33&lt;=24,2,3),FALSE)),$C$3)*(1+Projection!AU$16)*(1+IF(AS165&gt;0,'Attrition Modeling'!$N$9,0)))</f>
        <v>0</v>
      </c>
      <c r="AT33" s="799">
        <f>(AS33+AT165)*(1-IFERROR(IF(AT$2+$F33&lt;=12,SUMIFS('Attrition Modeling'!$D:$D,'Attrition Modeling'!$B:$B,'IP Attrition'!$D33,'Attrition Modeling'!$C:$C,'IP Attrition'!AT$1),VLOOKUP($F33+AT$2,$A$6:$C$106,2,FALSE)*VLOOKUP(AT$1,'Attrition Modeling'!$L$15:$N$27,IF(AT$2+$F33&lt;=24,2,3),FALSE)),$C$3)*(1+Projection!AV$16)*(1+IF(AT165&gt;0,'Attrition Modeling'!$N$9,0)))</f>
        <v>0</v>
      </c>
      <c r="AU33" s="799">
        <f>(AT33+AU165)*(1-IFERROR(IF(AU$2+$F33&lt;=12,SUMIFS('Attrition Modeling'!$D:$D,'Attrition Modeling'!$B:$B,'IP Attrition'!$D33,'Attrition Modeling'!$C:$C,'IP Attrition'!AU$1),VLOOKUP($F33+AU$2,$A$6:$C$106,2,FALSE)*VLOOKUP(AU$1,'Attrition Modeling'!$L$15:$N$27,IF(AU$2+$F33&lt;=24,2,3),FALSE)),$C$3)*(1+Projection!AW$16)*(1+IF(AU165&gt;0,'Attrition Modeling'!$N$9,0)))</f>
        <v>0</v>
      </c>
      <c r="AV33" s="799">
        <f>(AU33+AV165)*(1-IFERROR(IF(AV$2+$F33&lt;=12,SUMIFS('Attrition Modeling'!$D:$D,'Attrition Modeling'!$B:$B,'IP Attrition'!$D33,'Attrition Modeling'!$C:$C,'IP Attrition'!AV$1),VLOOKUP($F33+AV$2,$A$6:$C$106,2,FALSE)*VLOOKUP(AV$1,'Attrition Modeling'!$L$15:$N$27,IF(AV$2+$F33&lt;=24,2,3),FALSE)),$C$3)*(1+Projection!AX$16)*(1+IF(AV165&gt;0,'Attrition Modeling'!$N$9,0)))</f>
        <v>0</v>
      </c>
      <c r="AW33" s="799">
        <f>(AV33+AW165)*(1-IFERROR(IF(AW$2+$F33&lt;=12,SUMIFS('Attrition Modeling'!$D:$D,'Attrition Modeling'!$B:$B,'IP Attrition'!$D33,'Attrition Modeling'!$C:$C,'IP Attrition'!AW$1),VLOOKUP($F33+AW$2,$A$6:$C$106,2,FALSE)*VLOOKUP(AW$1,'Attrition Modeling'!$L$15:$N$27,IF(AW$2+$F33&lt;=24,2,3),FALSE)),$C$3)*(1+Projection!AY$16)*(1+IF(AW165&gt;0,'Attrition Modeling'!$N$9,0)))</f>
        <v>0</v>
      </c>
      <c r="AX33" s="799">
        <f>(AW33+AX165)*(1-IFERROR(IF(AX$2+$F33&lt;=12,SUMIFS('Attrition Modeling'!$D:$D,'Attrition Modeling'!$B:$B,'IP Attrition'!$D33,'Attrition Modeling'!$C:$C,'IP Attrition'!AX$1),VLOOKUP($F33+AX$2,$A$6:$C$106,2,FALSE)*VLOOKUP(AX$1,'Attrition Modeling'!$L$15:$N$27,IF(AX$2+$F33&lt;=24,2,3),FALSE)),$C$3)*(1+Projection!AZ$16)*(1+IF(AX165&gt;0,'Attrition Modeling'!$N$9,0)))</f>
        <v>0</v>
      </c>
      <c r="AY33" s="799">
        <f>(AX33+AY165)*(1-IFERROR(IF(AY$2+$F33&lt;=12,SUMIFS('Attrition Modeling'!$D:$D,'Attrition Modeling'!$B:$B,'IP Attrition'!$D33,'Attrition Modeling'!$C:$C,'IP Attrition'!AY$1),VLOOKUP($F33+AY$2,$A$6:$C$106,2,FALSE)*VLOOKUP(AY$1,'Attrition Modeling'!$L$15:$N$27,IF(AY$2+$F33&lt;=24,2,3),FALSE)),$C$3)*(1+Projection!BA$16)*(1+IF(AY165&gt;0,'Attrition Modeling'!$N$9,0)))</f>
        <v>0</v>
      </c>
      <c r="AZ33" s="799">
        <f>(AY33+AZ165)*(1-IFERROR(IF(AZ$2+$F33&lt;=12,SUMIFS('Attrition Modeling'!$D:$D,'Attrition Modeling'!$B:$B,'IP Attrition'!$D33,'Attrition Modeling'!$C:$C,'IP Attrition'!AZ$1),VLOOKUP($F33+AZ$2,$A$6:$C$106,2,FALSE)*VLOOKUP(AZ$1,'Attrition Modeling'!$L$15:$N$27,IF(AZ$2+$F33&lt;=24,2,3),FALSE)),$C$3)*(1+Projection!BB$16)*(1+IF(AZ165&gt;0,'Attrition Modeling'!$N$9,0)))</f>
        <v>0</v>
      </c>
      <c r="BA33" s="799">
        <f>(AZ33+BA165)*(1-IFERROR(IF(BA$2+$F33&lt;=12,SUMIFS('Attrition Modeling'!$D:$D,'Attrition Modeling'!$B:$B,'IP Attrition'!$D33,'Attrition Modeling'!$C:$C,'IP Attrition'!BA$1),VLOOKUP($F33+BA$2,$A$6:$C$106,2,FALSE)*VLOOKUP(BA$1,'Attrition Modeling'!$L$15:$N$27,IF(BA$2+$F33&lt;=24,2,3),FALSE)),$C$3)*(1+Projection!BC$16)*(1+IF(BA165&gt;0,'Attrition Modeling'!$N$9,0)))</f>
        <v>0</v>
      </c>
      <c r="BB33" s="799">
        <f>(BA33+BB165)*(1-IFERROR(IF(BB$2+$F33&lt;=12,SUMIFS('Attrition Modeling'!$D:$D,'Attrition Modeling'!$B:$B,'IP Attrition'!$D33,'Attrition Modeling'!$C:$C,'IP Attrition'!BB$1),VLOOKUP($F33+BB$2,$A$6:$C$106,2,FALSE)*VLOOKUP(BB$1,'Attrition Modeling'!$L$15:$N$27,IF(BB$2+$F33&lt;=24,2,3),FALSE)),$C$3)*(1+Projection!BD$16)*(1+IF(BB165&gt;0,'Attrition Modeling'!$N$9,0)))</f>
        <v>0</v>
      </c>
      <c r="BC33" s="799">
        <f>(BB33+BC165)*(1-IFERROR(IF(BC$2+$F33&lt;=12,SUMIFS('Attrition Modeling'!$D:$D,'Attrition Modeling'!$B:$B,'IP Attrition'!$D33,'Attrition Modeling'!$C:$C,'IP Attrition'!BC$1),VLOOKUP($F33+BC$2,$A$6:$C$106,2,FALSE)*VLOOKUP(BC$1,'Attrition Modeling'!$L$15:$N$27,IF(BC$2+$F33&lt;=24,2,3),FALSE)),$C$3)*(1+Projection!BE$16)*(1+IF(BC165&gt;0,'Attrition Modeling'!$N$9,0)))</f>
        <v>0</v>
      </c>
      <c r="BD33" s="799">
        <f>(BC33+BD165)*(1-IFERROR(IF(BD$2+$F33&lt;=12,SUMIFS('Attrition Modeling'!$D:$D,'Attrition Modeling'!$B:$B,'IP Attrition'!$D33,'Attrition Modeling'!$C:$C,'IP Attrition'!BD$1),VLOOKUP($F33+BD$2,$A$6:$C$106,2,FALSE)*VLOOKUP(BD$1,'Attrition Modeling'!$L$15:$N$27,IF(BD$2+$F33&lt;=24,2,3),FALSE)),$C$3)*(1+Projection!BF$16)*(1+IF(BD165&gt;0,'Attrition Modeling'!$N$9,0)))</f>
        <v>0</v>
      </c>
      <c r="BE33" s="799">
        <f>(BD33+BE165)*(1-IFERROR(IF(BE$2+$F33&lt;=12,SUMIFS('Attrition Modeling'!$D:$D,'Attrition Modeling'!$B:$B,'IP Attrition'!$D33,'Attrition Modeling'!$C:$C,'IP Attrition'!BE$1),VLOOKUP($F33+BE$2,$A$6:$C$106,2,FALSE)*VLOOKUP(BE$1,'Attrition Modeling'!$L$15:$N$27,IF(BE$2+$F33&lt;=24,2,3),FALSE)),$C$3)*(1+Projection!BG$16)*(1+IF(BE165&gt;0,'Attrition Modeling'!$N$9,0)))</f>
        <v>0</v>
      </c>
      <c r="BF33" s="799">
        <f>(BE33+BF165)*(1-IFERROR(IF(BF$2+$F33&lt;=12,SUMIFS('Attrition Modeling'!$D:$D,'Attrition Modeling'!$B:$B,'IP Attrition'!$D33,'Attrition Modeling'!$C:$C,'IP Attrition'!BF$1),VLOOKUP($F33+BF$2,$A$6:$C$106,2,FALSE)*VLOOKUP(BF$1,'Attrition Modeling'!$L$15:$N$27,IF(BF$2+$F33&lt;=24,2,3),FALSE)),$C$3)*(1+Projection!BH$16)*(1+IF(BF165&gt;0,'Attrition Modeling'!$N$9,0)))</f>
        <v>0</v>
      </c>
      <c r="BG33" s="799">
        <f>(BF33+BG165)*(1-IFERROR(IF(BG$2+$F33&lt;=12,SUMIFS('Attrition Modeling'!$D:$D,'Attrition Modeling'!$B:$B,'IP Attrition'!$D33,'Attrition Modeling'!$C:$C,'IP Attrition'!BG$1),VLOOKUP($F33+BG$2,$A$6:$C$106,2,FALSE)*VLOOKUP(BG$1,'Attrition Modeling'!$L$15:$N$27,IF(BG$2+$F33&lt;=24,2,3),FALSE)),$C$3)*(1+Projection!BI$16)*(1+IF(BG165&gt;0,'Attrition Modeling'!$N$9,0)))</f>
        <v>0</v>
      </c>
      <c r="BH33" s="799">
        <f>(BG33+BH165)*(1-IFERROR(IF(BH$2+$F33&lt;=12,SUMIFS('Attrition Modeling'!$D:$D,'Attrition Modeling'!$B:$B,'IP Attrition'!$D33,'Attrition Modeling'!$C:$C,'IP Attrition'!BH$1),VLOOKUP($F33+BH$2,$A$6:$C$106,2,FALSE)*VLOOKUP(BH$1,'Attrition Modeling'!$L$15:$N$27,IF(BH$2+$F33&lt;=24,2,3),FALSE)),$C$3)*(1+Projection!BJ$16)*(1+IF(BH165&gt;0,'Attrition Modeling'!$N$9,0)))</f>
        <v>0</v>
      </c>
      <c r="BI33" s="799">
        <f>(BH33+BI165)*(1-IFERROR(IF(BI$2+$F33&lt;=12,SUMIFS('Attrition Modeling'!$D:$D,'Attrition Modeling'!$B:$B,'IP Attrition'!$D33,'Attrition Modeling'!$C:$C,'IP Attrition'!BI$1),VLOOKUP($F33+BI$2,$A$6:$C$106,2,FALSE)*VLOOKUP(BI$1,'Attrition Modeling'!$L$15:$N$27,IF(BI$2+$F33&lt;=24,2,3),FALSE)),$C$3)*(1+Projection!BK$16)*(1+IF(BI165&gt;0,'Attrition Modeling'!$N$9,0)))</f>
        <v>0</v>
      </c>
      <c r="BJ33" s="799">
        <f>(BI33+BJ165)*(1-IFERROR(IF(BJ$2+$F33&lt;=12,SUMIFS('Attrition Modeling'!$D:$D,'Attrition Modeling'!$B:$B,'IP Attrition'!$D33,'Attrition Modeling'!$C:$C,'IP Attrition'!BJ$1),VLOOKUP($F33+BJ$2,$A$6:$C$106,2,FALSE)*VLOOKUP(BJ$1,'Attrition Modeling'!$L$15:$N$27,IF(BJ$2+$F33&lt;=24,2,3),FALSE)),$C$3)*(1+Projection!BL$16)*(1+IF(BJ165&gt;0,'Attrition Modeling'!$N$9,0)))</f>
        <v>0</v>
      </c>
      <c r="BK33" s="799">
        <f>(BJ33+BK165)*(1-IFERROR(IF(BK$2+$F33&lt;=12,SUMIFS('Attrition Modeling'!$D:$D,'Attrition Modeling'!$B:$B,'IP Attrition'!$D33,'Attrition Modeling'!$C:$C,'IP Attrition'!BK$1),VLOOKUP($F33+BK$2,$A$6:$C$106,2,FALSE)*VLOOKUP(BK$1,'Attrition Modeling'!$L$15:$N$27,IF(BK$2+$F33&lt;=24,2,3),FALSE)),$C$3)*(1+Projection!BM$16)*(1+IF(BK165&gt;0,'Attrition Modeling'!$N$9,0)))</f>
        <v>0</v>
      </c>
      <c r="BL33" s="799">
        <f>(BK33+BL165)*(1-IFERROR(IF(BL$2+$F33&lt;=12,SUMIFS('Attrition Modeling'!$D:$D,'Attrition Modeling'!$B:$B,'IP Attrition'!$D33,'Attrition Modeling'!$C:$C,'IP Attrition'!BL$1),VLOOKUP($F33+BL$2,$A$6:$C$106,2,FALSE)*VLOOKUP(BL$1,'Attrition Modeling'!$L$15:$N$27,IF(BL$2+$F33&lt;=24,2,3),FALSE)),$C$3)*(1+Projection!BN$16)*(1+IF(BL165&gt;0,'Attrition Modeling'!$N$9,0)))</f>
        <v>0</v>
      </c>
      <c r="BM33" s="799">
        <f>(BL33+BM165)*(1-IFERROR(IF(BM$2+$F33&lt;=12,SUMIFS('Attrition Modeling'!$D:$D,'Attrition Modeling'!$B:$B,'IP Attrition'!$D33,'Attrition Modeling'!$C:$C,'IP Attrition'!BM$1),VLOOKUP($F33+BM$2,$A$6:$C$106,2,FALSE)*VLOOKUP(BM$1,'Attrition Modeling'!$L$15:$N$27,IF(BM$2+$F33&lt;=24,2,3),FALSE)),$C$3)*(1+Projection!BO$16)*(1+IF(BM165&gt;0,'Attrition Modeling'!$N$9,0)))</f>
        <v>0</v>
      </c>
      <c r="BN33" s="799">
        <f>(BM33+BN165)*(1-IFERROR(IF(BN$2+$F33&lt;=12,SUMIFS('Attrition Modeling'!$D:$D,'Attrition Modeling'!$B:$B,'IP Attrition'!$D33,'Attrition Modeling'!$C:$C,'IP Attrition'!BN$1),VLOOKUP($F33+BN$2,$A$6:$C$106,2,FALSE)*VLOOKUP(BN$1,'Attrition Modeling'!$L$15:$N$27,IF(BN$2+$F33&lt;=24,2,3),FALSE)),$C$3)*(1+Projection!BP$16)*(1+IF(BN165&gt;0,'Attrition Modeling'!$N$9,0)))</f>
        <v>0</v>
      </c>
      <c r="BO33" s="799">
        <f>(BN33+BO165)*(1-IFERROR(IF(BO$2+$F33&lt;=12,SUMIFS('Attrition Modeling'!$D:$D,'Attrition Modeling'!$B:$B,'IP Attrition'!$D33,'Attrition Modeling'!$C:$C,'IP Attrition'!BO$1),VLOOKUP($F33+BO$2,$A$6:$C$106,2,FALSE)*VLOOKUP(BO$1,'Attrition Modeling'!$L$15:$N$27,IF(BO$2+$F33&lt;=24,2,3),FALSE)),$C$3)*(1+Projection!BV$16)*(1+IF(BO165&gt;0,'Attrition Modeling'!$N$9,0)))</f>
        <v>0</v>
      </c>
      <c r="BP33" s="799">
        <f>(BO33+BP165)*(1-IFERROR(IF(BP$2+$F33&lt;=12,SUMIFS('Attrition Modeling'!$D:$D,'Attrition Modeling'!$B:$B,'IP Attrition'!$D33,'Attrition Modeling'!$C:$C,'IP Attrition'!BP$1),VLOOKUP($F33+BP$2,$A$6:$C$106,2,FALSE)*VLOOKUP(BP$1,'Attrition Modeling'!$L$15:$N$27,IF(BP$2+$F33&lt;=24,2,3),FALSE)),$C$3)*(1+Projection!BW$16)*(1+IF(BP165&gt;0,'Attrition Modeling'!$N$9,0)))</f>
        <v>0</v>
      </c>
      <c r="BQ33" s="799">
        <f>(BP33+BQ165)*(1-IFERROR(IF(BQ$2+$F33&lt;=12,SUMIFS('Attrition Modeling'!$D:$D,'Attrition Modeling'!$B:$B,'IP Attrition'!$D33,'Attrition Modeling'!$C:$C,'IP Attrition'!BQ$1),VLOOKUP($F33+BQ$2,$A$6:$C$106,2,FALSE)*VLOOKUP(BQ$1,'Attrition Modeling'!$L$15:$N$27,IF(BQ$2+$F33&lt;=24,2,3),FALSE)),$C$3)*(1+Projection!BX$16)*(1+IF(BQ165&gt;0,'Attrition Modeling'!$N$9,0)))</f>
        <v>0</v>
      </c>
      <c r="BR33" s="799">
        <f>(BQ33+BR165)*(1-IFERROR(IF(BR$2+$F33&lt;=12,SUMIFS('Attrition Modeling'!$D:$D,'Attrition Modeling'!$B:$B,'IP Attrition'!$D33,'Attrition Modeling'!$C:$C,'IP Attrition'!BR$1),VLOOKUP($F33+BR$2,$A$6:$C$106,2,FALSE)*VLOOKUP(BR$1,'Attrition Modeling'!$L$15:$N$27,IF(BR$2+$F33&lt;=24,2,3),FALSE)),$C$3)*(1+Projection!BY$16)*(1+IF(BR165&gt;0,'Attrition Modeling'!$N$9,0)))</f>
        <v>0</v>
      </c>
      <c r="BS33" s="799">
        <f>(BR33+BS165)*(1-IFERROR(IF(BS$2+$F33&lt;=12,SUMIFS('Attrition Modeling'!$D:$D,'Attrition Modeling'!$B:$B,'IP Attrition'!$D33,'Attrition Modeling'!$C:$C,'IP Attrition'!BS$1),VLOOKUP($F33+BS$2,$A$6:$C$106,2,FALSE)*VLOOKUP(BS$1,'Attrition Modeling'!$L$15:$N$27,IF(BS$2+$F33&lt;=24,2,3),FALSE)),$C$3)*(1+Projection!BZ$16)*(1+IF(BS165&gt;0,'Attrition Modeling'!$N$9,0)))</f>
        <v>0</v>
      </c>
      <c r="BT33" s="799" t="e">
        <f>(BS33+BT165)*(1-IFERROR(IF(BT$2+$F33&lt;=12,SUMIFS('Attrition Modeling'!$D:$D,'Attrition Modeling'!$B:$B,'IP Attrition'!$D33,'Attrition Modeling'!$C:$C,'IP Attrition'!BT$1),VLOOKUP($F33+BT$2,$A$6:$C$106,2,FALSE)*VLOOKUP(BT$1,'Attrition Modeling'!$L$15:$N$27,IF(BT$2+$F33&lt;=24,2,3),FALSE)),$C$3)*(1+Projection!CA$16)*(1+IF(BT165&gt;0,'Attrition Modeling'!$N$9,0)))</f>
        <v>#REF!</v>
      </c>
      <c r="BU33" s="799" t="e">
        <f>(BT33+BU165)*(1-IFERROR(IF(BU$2+$F33&lt;=12,SUMIFS('Attrition Modeling'!$D:$D,'Attrition Modeling'!$B:$B,'IP Attrition'!$D33,'Attrition Modeling'!$C:$C,'IP Attrition'!BU$1),VLOOKUP($F33+BU$2,$A$6:$C$106,2,FALSE)*VLOOKUP(BU$1,'Attrition Modeling'!$L$15:$N$27,IF(BU$2+$F33&lt;=24,2,3),FALSE)),$C$3)*(1+Projection!CB$16)*(1+IF(BU165&gt;0,'Attrition Modeling'!$N$9,0)))</f>
        <v>#REF!</v>
      </c>
    </row>
    <row r="34" spans="1:73" ht="14.25" customHeight="1" x14ac:dyDescent="0.2">
      <c r="A34" s="9">
        <v>27</v>
      </c>
      <c r="B34" s="25">
        <f>MAX('Attrition Modeling'!H31,$C$3)*(1-Summary!$C$20)</f>
        <v>3.4562316693975192E-2</v>
      </c>
      <c r="C34" s="24" t="e">
        <f t="shared" si="3"/>
        <v>#DIV/0!</v>
      </c>
      <c r="D34" s="11">
        <f t="shared" si="1"/>
        <v>-31</v>
      </c>
      <c r="E34" s="807">
        <f t="array" ref="E34">INDEX('Attrition Modeling'!$X$2:$AF$63,MATCH($F34,'Attrition Modeling'!$X$2:$X$63,0),MATCH(Inputs!$C$10,'Attrition Modeling'!$X$2:$AF$2,0))</f>
        <v>0</v>
      </c>
      <c r="F34" s="11">
        <f t="shared" si="2"/>
        <v>31</v>
      </c>
      <c r="G34" s="799">
        <f>Summary!$C$25*$E34</f>
        <v>0</v>
      </c>
      <c r="H34" s="799">
        <f>(G34+H166)*(1-IFERROR(IF(H$2+$F34&lt;=12,SUMIFS('Attrition Modeling'!$D:$D,'Attrition Modeling'!$B:$B,'IP Attrition'!$D34,'Attrition Modeling'!$C:$C,'IP Attrition'!H$1),VLOOKUP($F34+H$2,$A$6:$C$106,2,FALSE)*VLOOKUP(H$1,'Attrition Modeling'!$L$15:$N$27,IF(H$2+$F34&lt;=24,2,3),FALSE)),$C$3)*(1+Projection!J$16)*(1+IF(H166&gt;0,'Attrition Modeling'!$N$9,0)))</f>
        <v>0</v>
      </c>
      <c r="I34" s="799">
        <f>(H34+I166)*(1-IFERROR(IF(I$2+$F34&lt;=12,SUMIFS('Attrition Modeling'!$D:$D,'Attrition Modeling'!$B:$B,'IP Attrition'!$D34,'Attrition Modeling'!$C:$C,'IP Attrition'!I$1),VLOOKUP($F34+I$2,$A$6:$C$106,2,FALSE)*VLOOKUP(I$1,'Attrition Modeling'!$L$15:$N$27,IF(I$2+$F34&lt;=24,2,3),FALSE)),$C$3)*(1+Projection!K$16)*(1+IF(I166&gt;0,'Attrition Modeling'!$N$9,0)))</f>
        <v>0</v>
      </c>
      <c r="J34" s="799">
        <f>(I34+J166)*(1-IFERROR(IF(J$2+$F34&lt;=12,SUMIFS('Attrition Modeling'!$D:$D,'Attrition Modeling'!$B:$B,'IP Attrition'!$D34,'Attrition Modeling'!$C:$C,'IP Attrition'!J$1),VLOOKUP($F34+J$2,$A$6:$C$106,2,FALSE)*VLOOKUP(J$1,'Attrition Modeling'!$L$15:$N$27,IF(J$2+$F34&lt;=24,2,3),FALSE)),$C$3)*(1+Projection!L$16)*(1+IF(J166&gt;0,'Attrition Modeling'!$N$9,0)))</f>
        <v>0</v>
      </c>
      <c r="K34" s="799">
        <f>(J34+K166)*(1-IFERROR(IF(K$2+$F34&lt;=12,SUMIFS('Attrition Modeling'!$D:$D,'Attrition Modeling'!$B:$B,'IP Attrition'!$D34,'Attrition Modeling'!$C:$C,'IP Attrition'!K$1),VLOOKUP($F34+K$2,$A$6:$C$106,2,FALSE)*VLOOKUP(K$1,'Attrition Modeling'!$L$15:$N$27,IF(K$2+$F34&lt;=24,2,3),FALSE)),$C$3)*(1+Projection!M$16)*(1+IF(K166&gt;0,'Attrition Modeling'!$N$9,0)))</f>
        <v>0</v>
      </c>
      <c r="L34" s="799">
        <f>(K34+L166)*(1-IFERROR(IF(L$2+$F34&lt;=12,SUMIFS('Attrition Modeling'!$D:$D,'Attrition Modeling'!$B:$B,'IP Attrition'!$D34,'Attrition Modeling'!$C:$C,'IP Attrition'!L$1),VLOOKUP($F34+L$2,$A$6:$C$106,2,FALSE)*VLOOKUP(L$1,'Attrition Modeling'!$L$15:$N$27,IF(L$2+$F34&lt;=24,2,3),FALSE)),$C$3)*(1+Projection!N$16)*(1+IF(L166&gt;0,'Attrition Modeling'!$N$9,0)))</f>
        <v>0</v>
      </c>
      <c r="M34" s="799">
        <f>(L34+M166)*(1-IFERROR(IF(M$2+$F34&lt;=12,SUMIFS('Attrition Modeling'!$D:$D,'Attrition Modeling'!$B:$B,'IP Attrition'!$D34,'Attrition Modeling'!$C:$C,'IP Attrition'!M$1),VLOOKUP($F34+M$2,$A$6:$C$106,2,FALSE)*VLOOKUP(M$1,'Attrition Modeling'!$L$15:$N$27,IF(M$2+$F34&lt;=24,2,3),FALSE)),$C$3)*(1+Projection!O$16)*(1+IF(M166&gt;0,'Attrition Modeling'!$N$9,0)))</f>
        <v>0</v>
      </c>
      <c r="N34" s="799">
        <f>(M34+N166)*(1-IFERROR(IF(N$2+$F34&lt;=12,SUMIFS('Attrition Modeling'!$D:$D,'Attrition Modeling'!$B:$B,'IP Attrition'!$D34,'Attrition Modeling'!$C:$C,'IP Attrition'!N$1),VLOOKUP($F34+N$2,$A$6:$C$106,2,FALSE)*VLOOKUP(N$1,'Attrition Modeling'!$L$15:$N$27,IF(N$2+$F34&lt;=24,2,3),FALSE)),$C$3)*(1+Projection!P$16)*(1+IF(N166&gt;0,'Attrition Modeling'!$N$9,0)))</f>
        <v>0</v>
      </c>
      <c r="O34" s="799">
        <f>(N34+O166)*(1-IFERROR(IF(O$2+$F34&lt;=12,SUMIFS('Attrition Modeling'!$D:$D,'Attrition Modeling'!$B:$B,'IP Attrition'!$D34,'Attrition Modeling'!$C:$C,'IP Attrition'!O$1),VLOOKUP($F34+O$2,$A$6:$C$106,2,FALSE)*VLOOKUP(O$1,'Attrition Modeling'!$L$15:$N$27,IF(O$2+$F34&lt;=24,2,3),FALSE)),$C$3)*(1+Projection!Q$16)*(1+IF(O166&gt;0,'Attrition Modeling'!$N$9,0)))</f>
        <v>0</v>
      </c>
      <c r="P34" s="799">
        <f>(O34+P166)*(1-IFERROR(IF(P$2+$F34&lt;=12,SUMIFS('Attrition Modeling'!$D:$D,'Attrition Modeling'!$B:$B,'IP Attrition'!$D34,'Attrition Modeling'!$C:$C,'IP Attrition'!P$1),VLOOKUP($F34+P$2,$A$6:$C$106,2,FALSE)*VLOOKUP(P$1,'Attrition Modeling'!$L$15:$N$27,IF(P$2+$F34&lt;=24,2,3),FALSE)),$C$3)*(1+Projection!R$16)*(1+IF(P166&gt;0,'Attrition Modeling'!$N$9,0)))</f>
        <v>0</v>
      </c>
      <c r="Q34" s="799">
        <f>(P34+Q166)*(1-IFERROR(IF(Q$2+$F34&lt;=12,SUMIFS('Attrition Modeling'!$D:$D,'Attrition Modeling'!$B:$B,'IP Attrition'!$D34,'Attrition Modeling'!$C:$C,'IP Attrition'!Q$1),VLOOKUP($F34+Q$2,$A$6:$C$106,2,FALSE)*VLOOKUP(Q$1,'Attrition Modeling'!$L$15:$N$27,IF(Q$2+$F34&lt;=24,2,3),FALSE)),$C$3)*(1+Projection!S$16)*(1+IF(Q166&gt;0,'Attrition Modeling'!$N$9,0)))</f>
        <v>0</v>
      </c>
      <c r="R34" s="799">
        <f>(Q34+R166)*(1-IFERROR(IF(R$2+$F34&lt;=12,SUMIFS('Attrition Modeling'!$D:$D,'Attrition Modeling'!$B:$B,'IP Attrition'!$D34,'Attrition Modeling'!$C:$C,'IP Attrition'!R$1),VLOOKUP($F34+R$2,$A$6:$C$106,2,FALSE)*VLOOKUP(R$1,'Attrition Modeling'!$L$15:$N$27,IF(R$2+$F34&lt;=24,2,3),FALSE)),$C$3)*(1+Projection!T$16)*(1+IF(R166&gt;0,'Attrition Modeling'!$N$9,0)))</f>
        <v>0</v>
      </c>
      <c r="S34" s="799">
        <f>(R34+S166)*(1-IFERROR(IF(S$2+$F34&lt;=12,SUMIFS('Attrition Modeling'!$D:$D,'Attrition Modeling'!$B:$B,'IP Attrition'!$D34,'Attrition Modeling'!$C:$C,'IP Attrition'!S$1),VLOOKUP($F34+S$2,$A$6:$C$106,2,FALSE)*VLOOKUP(S$1,'Attrition Modeling'!$L$15:$N$27,IF(S$2+$F34&lt;=24,2,3),FALSE)),$C$3)*(1+Projection!U$16)*(1+IF(S166&gt;0,'Attrition Modeling'!$N$9,0)))</f>
        <v>0</v>
      </c>
      <c r="T34" s="799">
        <f>(S34+T166)*(1-IFERROR(IF(T$2+$F34&lt;=12,SUMIFS('Attrition Modeling'!$D:$D,'Attrition Modeling'!$B:$B,'IP Attrition'!$D34,'Attrition Modeling'!$C:$C,'IP Attrition'!T$1),VLOOKUP($F34+T$2,$A$6:$C$106,2,FALSE)*VLOOKUP(T$1,'Attrition Modeling'!$L$15:$N$27,IF(T$2+$F34&lt;=24,2,3),FALSE)),$C$3)*(1+Projection!V$16)*(1+IF(T166&gt;0,'Attrition Modeling'!$N$9,0)))</f>
        <v>0</v>
      </c>
      <c r="U34" s="799">
        <f>(T34+U166)*(1-IFERROR(IF(U$2+$F34&lt;=12,SUMIFS('Attrition Modeling'!$D:$D,'Attrition Modeling'!$B:$B,'IP Attrition'!$D34,'Attrition Modeling'!$C:$C,'IP Attrition'!U$1),VLOOKUP($F34+U$2,$A$6:$C$106,2,FALSE)*VLOOKUP(U$1,'Attrition Modeling'!$L$15:$N$27,IF(U$2+$F34&lt;=24,2,3),FALSE)),$C$3)*(1+Projection!W$16)*(1+IF(U166&gt;0,'Attrition Modeling'!$N$9,0)))</f>
        <v>0</v>
      </c>
      <c r="V34" s="799">
        <f>(U34+V166)*(1-IFERROR(IF(V$2+$F34&lt;=12,SUMIFS('Attrition Modeling'!$D:$D,'Attrition Modeling'!$B:$B,'IP Attrition'!$D34,'Attrition Modeling'!$C:$C,'IP Attrition'!V$1),VLOOKUP($F34+V$2,$A$6:$C$106,2,FALSE)*VLOOKUP(V$1,'Attrition Modeling'!$L$15:$N$27,IF(V$2+$F34&lt;=24,2,3),FALSE)),$C$3)*(1+Projection!X$16)*(1+IF(V166&gt;0,'Attrition Modeling'!$N$9,0)))</f>
        <v>0</v>
      </c>
      <c r="W34" s="799">
        <f>(V34+W166)*(1-IFERROR(IF(W$2+$F34&lt;=12,SUMIFS('Attrition Modeling'!$D:$D,'Attrition Modeling'!$B:$B,'IP Attrition'!$D34,'Attrition Modeling'!$C:$C,'IP Attrition'!W$1),VLOOKUP($F34+W$2,$A$6:$C$106,2,FALSE)*VLOOKUP(W$1,'Attrition Modeling'!$L$15:$N$27,IF(W$2+$F34&lt;=24,2,3),FALSE)),$C$3)*(1+Projection!Y$16)*(1+IF(W166&gt;0,'Attrition Modeling'!$N$9,0)))</f>
        <v>0</v>
      </c>
      <c r="X34" s="799">
        <f>(W34+X166)*(1-IFERROR(IF(X$2+$F34&lt;=12,SUMIFS('Attrition Modeling'!$D:$D,'Attrition Modeling'!$B:$B,'IP Attrition'!$D34,'Attrition Modeling'!$C:$C,'IP Attrition'!X$1),VLOOKUP($F34+X$2,$A$6:$C$106,2,FALSE)*VLOOKUP(X$1,'Attrition Modeling'!$L$15:$N$27,IF(X$2+$F34&lt;=24,2,3),FALSE)),$C$3)*(1+Projection!Z$16)*(1+IF(X166&gt;0,'Attrition Modeling'!$N$9,0)))</f>
        <v>0</v>
      </c>
      <c r="Y34" s="799">
        <f>(X34+Y166)*(1-IFERROR(IF(Y$2+$F34&lt;=12,SUMIFS('Attrition Modeling'!$D:$D,'Attrition Modeling'!$B:$B,'IP Attrition'!$D34,'Attrition Modeling'!$C:$C,'IP Attrition'!Y$1),VLOOKUP($F34+Y$2,$A$6:$C$106,2,FALSE)*VLOOKUP(Y$1,'Attrition Modeling'!$L$15:$N$27,IF(Y$2+$F34&lt;=24,2,3),FALSE)),$C$3)*(1+Projection!AA$16)*(1+IF(Y166&gt;0,'Attrition Modeling'!$N$9,0)))</f>
        <v>0</v>
      </c>
      <c r="Z34" s="799">
        <f>(Y34+Z166)*(1-IFERROR(IF(Z$2+$F34&lt;=12,SUMIFS('Attrition Modeling'!$D:$D,'Attrition Modeling'!$B:$B,'IP Attrition'!$D34,'Attrition Modeling'!$C:$C,'IP Attrition'!Z$1),VLOOKUP($F34+Z$2,$A$6:$C$106,2,FALSE)*VLOOKUP(Z$1,'Attrition Modeling'!$L$15:$N$27,IF(Z$2+$F34&lt;=24,2,3),FALSE)),$C$3)*(1+Projection!AB$16)*(1+IF(Z166&gt;0,'Attrition Modeling'!$N$9,0)))</f>
        <v>0</v>
      </c>
      <c r="AA34" s="799">
        <f>(Z34+AA166)*(1-IFERROR(IF(AA$2+$F34&lt;=12,SUMIFS('Attrition Modeling'!$D:$D,'Attrition Modeling'!$B:$B,'IP Attrition'!$D34,'Attrition Modeling'!$C:$C,'IP Attrition'!AA$1),VLOOKUP($F34+AA$2,$A$6:$C$106,2,FALSE)*VLOOKUP(AA$1,'Attrition Modeling'!$L$15:$N$27,IF(AA$2+$F34&lt;=24,2,3),FALSE)),$C$3)*(1+Projection!AC$16)*(1+IF(AA166&gt;0,'Attrition Modeling'!$N$9,0)))</f>
        <v>0</v>
      </c>
      <c r="AB34" s="799">
        <f>(AA34+AB166)*(1-IFERROR(IF(AB$2+$F34&lt;=12,SUMIFS('Attrition Modeling'!$D:$D,'Attrition Modeling'!$B:$B,'IP Attrition'!$D34,'Attrition Modeling'!$C:$C,'IP Attrition'!AB$1),VLOOKUP($F34+AB$2,$A$6:$C$106,2,FALSE)*VLOOKUP(AB$1,'Attrition Modeling'!$L$15:$N$27,IF(AB$2+$F34&lt;=24,2,3),FALSE)),$C$3)*(1+Projection!AD$16)*(1+IF(AB166&gt;0,'Attrition Modeling'!$N$9,0)))</f>
        <v>0</v>
      </c>
      <c r="AC34" s="799">
        <f>(AB34+AC166)*(1-IFERROR(IF(AC$2+$F34&lt;=12,SUMIFS('Attrition Modeling'!$D:$D,'Attrition Modeling'!$B:$B,'IP Attrition'!$D34,'Attrition Modeling'!$C:$C,'IP Attrition'!AC$1),VLOOKUP($F34+AC$2,$A$6:$C$106,2,FALSE)*VLOOKUP(AC$1,'Attrition Modeling'!$L$15:$N$27,IF(AC$2+$F34&lt;=24,2,3),FALSE)),$C$3)*(1+Projection!AE$16)*(1+IF(AC166&gt;0,'Attrition Modeling'!$N$9,0)))</f>
        <v>0</v>
      </c>
      <c r="AD34" s="799">
        <f>(AC34+AD166)*(1-IFERROR(IF(AD$2+$F34&lt;=12,SUMIFS('Attrition Modeling'!$D:$D,'Attrition Modeling'!$B:$B,'IP Attrition'!$D34,'Attrition Modeling'!$C:$C,'IP Attrition'!AD$1),VLOOKUP($F34+AD$2,$A$6:$C$106,2,FALSE)*VLOOKUP(AD$1,'Attrition Modeling'!$L$15:$N$27,IF(AD$2+$F34&lt;=24,2,3),FALSE)),$C$3)*(1+Projection!AF$16)*(1+IF(AD166&gt;0,'Attrition Modeling'!$N$9,0)))</f>
        <v>0</v>
      </c>
      <c r="AE34" s="799">
        <f>(AD34+AE166)*(1-IFERROR(IF(AE$2+$F34&lt;=12,SUMIFS('Attrition Modeling'!$D:$D,'Attrition Modeling'!$B:$B,'IP Attrition'!$D34,'Attrition Modeling'!$C:$C,'IP Attrition'!AE$1),VLOOKUP($F34+AE$2,$A$6:$C$106,2,FALSE)*VLOOKUP(AE$1,'Attrition Modeling'!$L$15:$N$27,IF(AE$2+$F34&lt;=24,2,3),FALSE)),$C$3)*(1+Projection!AG$16)*(1+IF(AE166&gt;0,'Attrition Modeling'!$N$9,0)))</f>
        <v>0</v>
      </c>
      <c r="AF34" s="799">
        <f>(AE34+AF166)*(1-IFERROR(IF(AF$2+$F34&lt;=12,SUMIFS('Attrition Modeling'!$D:$D,'Attrition Modeling'!$B:$B,'IP Attrition'!$D34,'Attrition Modeling'!$C:$C,'IP Attrition'!AF$1),VLOOKUP($F34+AF$2,$A$6:$C$106,2,FALSE)*VLOOKUP(AF$1,'Attrition Modeling'!$L$15:$N$27,IF(AF$2+$F34&lt;=24,2,3),FALSE)),$C$3)*(1+Projection!AH$16)*(1+IF(AF166&gt;0,'Attrition Modeling'!$N$9,0)))</f>
        <v>0</v>
      </c>
      <c r="AG34" s="799">
        <f>(AF34+AG166)*(1-IFERROR(IF(AG$2+$F34&lt;=12,SUMIFS('Attrition Modeling'!$D:$D,'Attrition Modeling'!$B:$B,'IP Attrition'!$D34,'Attrition Modeling'!$C:$C,'IP Attrition'!AG$1),VLOOKUP($F34+AG$2,$A$6:$C$106,2,FALSE)*VLOOKUP(AG$1,'Attrition Modeling'!$L$15:$N$27,IF(AG$2+$F34&lt;=24,2,3),FALSE)),$C$3)*(1+Projection!AI$16)*(1+IF(AG166&gt;0,'Attrition Modeling'!$N$9,0)))</f>
        <v>0</v>
      </c>
      <c r="AH34" s="799">
        <f>(AG34+AH166)*(1-IFERROR(IF(AH$2+$F34&lt;=12,SUMIFS('Attrition Modeling'!$D:$D,'Attrition Modeling'!$B:$B,'IP Attrition'!$D34,'Attrition Modeling'!$C:$C,'IP Attrition'!AH$1),VLOOKUP($F34+AH$2,$A$6:$C$106,2,FALSE)*VLOOKUP(AH$1,'Attrition Modeling'!$L$15:$N$27,IF(AH$2+$F34&lt;=24,2,3),FALSE)),$C$3)*(1+Projection!AJ$16)*(1+IF(AH166&gt;0,'Attrition Modeling'!$N$9,0)))</f>
        <v>0</v>
      </c>
      <c r="AI34" s="799">
        <f>(AH34+AI166)*(1-IFERROR(IF(AI$2+$F34&lt;=12,SUMIFS('Attrition Modeling'!$D:$D,'Attrition Modeling'!$B:$B,'IP Attrition'!$D34,'Attrition Modeling'!$C:$C,'IP Attrition'!AI$1),VLOOKUP($F34+AI$2,$A$6:$C$106,2,FALSE)*VLOOKUP(AI$1,'Attrition Modeling'!$L$15:$N$27,IF(AI$2+$F34&lt;=24,2,3),FALSE)),$C$3)*(1+Projection!AK$16)*(1+IF(AI166&gt;0,'Attrition Modeling'!$N$9,0)))</f>
        <v>0</v>
      </c>
      <c r="AJ34" s="799">
        <f>(AI34+AJ166)*(1-IFERROR(IF(AJ$2+$F34&lt;=12,SUMIFS('Attrition Modeling'!$D:$D,'Attrition Modeling'!$B:$B,'IP Attrition'!$D34,'Attrition Modeling'!$C:$C,'IP Attrition'!AJ$1),VLOOKUP($F34+AJ$2,$A$6:$C$106,2,FALSE)*VLOOKUP(AJ$1,'Attrition Modeling'!$L$15:$N$27,IF(AJ$2+$F34&lt;=24,2,3),FALSE)),$C$3)*(1+Projection!AL$16)*(1+IF(AJ166&gt;0,'Attrition Modeling'!$N$9,0)))</f>
        <v>0</v>
      </c>
      <c r="AK34" s="799">
        <f>(AJ34+AK166)*(1-IFERROR(IF(AK$2+$F34&lt;=12,SUMIFS('Attrition Modeling'!$D:$D,'Attrition Modeling'!$B:$B,'IP Attrition'!$D34,'Attrition Modeling'!$C:$C,'IP Attrition'!AK$1),VLOOKUP($F34+AK$2,$A$6:$C$106,2,FALSE)*VLOOKUP(AK$1,'Attrition Modeling'!$L$15:$N$27,IF(AK$2+$F34&lt;=24,2,3),FALSE)),$C$3)*(1+Projection!AM$16)*(1+IF(AK166&gt;0,'Attrition Modeling'!$N$9,0)))</f>
        <v>0</v>
      </c>
      <c r="AL34" s="799">
        <f>(AK34+AL166)*(1-IFERROR(IF(AL$2+$F34&lt;=12,SUMIFS('Attrition Modeling'!$D:$D,'Attrition Modeling'!$B:$B,'IP Attrition'!$D34,'Attrition Modeling'!$C:$C,'IP Attrition'!AL$1),VLOOKUP($F34+AL$2,$A$6:$C$106,2,FALSE)*VLOOKUP(AL$1,'Attrition Modeling'!$L$15:$N$27,IF(AL$2+$F34&lt;=24,2,3),FALSE)),$C$3)*(1+Projection!AN$16)*(1+IF(AL166&gt;0,'Attrition Modeling'!$N$9,0)))</f>
        <v>0</v>
      </c>
      <c r="AM34" s="799">
        <f>(AL34+AM166)*(1-IFERROR(IF(AM$2+$F34&lt;=12,SUMIFS('Attrition Modeling'!$D:$D,'Attrition Modeling'!$B:$B,'IP Attrition'!$D34,'Attrition Modeling'!$C:$C,'IP Attrition'!AM$1),VLOOKUP($F34+AM$2,$A$6:$C$106,2,FALSE)*VLOOKUP(AM$1,'Attrition Modeling'!$L$15:$N$27,IF(AM$2+$F34&lt;=24,2,3),FALSE)),$C$3)*(1+Projection!AO$16)*(1+IF(AM166&gt;0,'Attrition Modeling'!$N$9,0)))</f>
        <v>0</v>
      </c>
      <c r="AN34" s="799">
        <f>(AM34+AN166)*(1-IFERROR(IF(AN$2+$F34&lt;=12,SUMIFS('Attrition Modeling'!$D:$D,'Attrition Modeling'!$B:$B,'IP Attrition'!$D34,'Attrition Modeling'!$C:$C,'IP Attrition'!AN$1),VLOOKUP($F34+AN$2,$A$6:$C$106,2,FALSE)*VLOOKUP(AN$1,'Attrition Modeling'!$L$15:$N$27,IF(AN$2+$F34&lt;=24,2,3),FALSE)),$C$3)*(1+Projection!AP$16)*(1+IF(AN166&gt;0,'Attrition Modeling'!$N$9,0)))</f>
        <v>0</v>
      </c>
      <c r="AO34" s="799">
        <f>(AN34+AO166)*(1-IFERROR(IF(AO$2+$F34&lt;=12,SUMIFS('Attrition Modeling'!$D:$D,'Attrition Modeling'!$B:$B,'IP Attrition'!$D34,'Attrition Modeling'!$C:$C,'IP Attrition'!AO$1),VLOOKUP($F34+AO$2,$A$6:$C$106,2,FALSE)*VLOOKUP(AO$1,'Attrition Modeling'!$L$15:$N$27,IF(AO$2+$F34&lt;=24,2,3),FALSE)),$C$3)*(1+Projection!AQ$16)*(1+IF(AO166&gt;0,'Attrition Modeling'!$N$9,0)))</f>
        <v>0</v>
      </c>
      <c r="AP34" s="799">
        <f>(AO34+AP166)*(1-IFERROR(IF(AP$2+$F34&lt;=12,SUMIFS('Attrition Modeling'!$D:$D,'Attrition Modeling'!$B:$B,'IP Attrition'!$D34,'Attrition Modeling'!$C:$C,'IP Attrition'!AP$1),VLOOKUP($F34+AP$2,$A$6:$C$106,2,FALSE)*VLOOKUP(AP$1,'Attrition Modeling'!$L$15:$N$27,IF(AP$2+$F34&lt;=24,2,3),FALSE)),$C$3)*(1+Projection!AR$16)*(1+IF(AP166&gt;0,'Attrition Modeling'!$N$9,0)))</f>
        <v>0</v>
      </c>
      <c r="AQ34" s="799">
        <f>(AP34+AQ166)*(1-IFERROR(IF(AQ$2+$F34&lt;=12,SUMIFS('Attrition Modeling'!$D:$D,'Attrition Modeling'!$B:$B,'IP Attrition'!$D34,'Attrition Modeling'!$C:$C,'IP Attrition'!AQ$1),VLOOKUP($F34+AQ$2,$A$6:$C$106,2,FALSE)*VLOOKUP(AQ$1,'Attrition Modeling'!$L$15:$N$27,IF(AQ$2+$F34&lt;=24,2,3),FALSE)),$C$3)*(1+Projection!AS$16)*(1+IF(AQ166&gt;0,'Attrition Modeling'!$N$9,0)))</f>
        <v>0</v>
      </c>
      <c r="AR34" s="799">
        <f>(AQ34+AR166)*(1-IFERROR(IF(AR$2+$F34&lt;=12,SUMIFS('Attrition Modeling'!$D:$D,'Attrition Modeling'!$B:$B,'IP Attrition'!$D34,'Attrition Modeling'!$C:$C,'IP Attrition'!AR$1),VLOOKUP($F34+AR$2,$A$6:$C$106,2,FALSE)*VLOOKUP(AR$1,'Attrition Modeling'!$L$15:$N$27,IF(AR$2+$F34&lt;=24,2,3),FALSE)),$C$3)*(1+Projection!AT$16)*(1+IF(AR166&gt;0,'Attrition Modeling'!$N$9,0)))</f>
        <v>0</v>
      </c>
      <c r="AS34" s="799">
        <f>(AR34+AS166)*(1-IFERROR(IF(AS$2+$F34&lt;=12,SUMIFS('Attrition Modeling'!$D:$D,'Attrition Modeling'!$B:$B,'IP Attrition'!$D34,'Attrition Modeling'!$C:$C,'IP Attrition'!AS$1),VLOOKUP($F34+AS$2,$A$6:$C$106,2,FALSE)*VLOOKUP(AS$1,'Attrition Modeling'!$L$15:$N$27,IF(AS$2+$F34&lt;=24,2,3),FALSE)),$C$3)*(1+Projection!AU$16)*(1+IF(AS166&gt;0,'Attrition Modeling'!$N$9,0)))</f>
        <v>0</v>
      </c>
      <c r="AT34" s="799">
        <f>(AS34+AT166)*(1-IFERROR(IF(AT$2+$F34&lt;=12,SUMIFS('Attrition Modeling'!$D:$D,'Attrition Modeling'!$B:$B,'IP Attrition'!$D34,'Attrition Modeling'!$C:$C,'IP Attrition'!AT$1),VLOOKUP($F34+AT$2,$A$6:$C$106,2,FALSE)*VLOOKUP(AT$1,'Attrition Modeling'!$L$15:$N$27,IF(AT$2+$F34&lt;=24,2,3),FALSE)),$C$3)*(1+Projection!AV$16)*(1+IF(AT166&gt;0,'Attrition Modeling'!$N$9,0)))</f>
        <v>0</v>
      </c>
      <c r="AU34" s="799">
        <f>(AT34+AU166)*(1-IFERROR(IF(AU$2+$F34&lt;=12,SUMIFS('Attrition Modeling'!$D:$D,'Attrition Modeling'!$B:$B,'IP Attrition'!$D34,'Attrition Modeling'!$C:$C,'IP Attrition'!AU$1),VLOOKUP($F34+AU$2,$A$6:$C$106,2,FALSE)*VLOOKUP(AU$1,'Attrition Modeling'!$L$15:$N$27,IF(AU$2+$F34&lt;=24,2,3),FALSE)),$C$3)*(1+Projection!AW$16)*(1+IF(AU166&gt;0,'Attrition Modeling'!$N$9,0)))</f>
        <v>0</v>
      </c>
      <c r="AV34" s="799">
        <f>(AU34+AV166)*(1-IFERROR(IF(AV$2+$F34&lt;=12,SUMIFS('Attrition Modeling'!$D:$D,'Attrition Modeling'!$B:$B,'IP Attrition'!$D34,'Attrition Modeling'!$C:$C,'IP Attrition'!AV$1),VLOOKUP($F34+AV$2,$A$6:$C$106,2,FALSE)*VLOOKUP(AV$1,'Attrition Modeling'!$L$15:$N$27,IF(AV$2+$F34&lt;=24,2,3),FALSE)),$C$3)*(1+Projection!AX$16)*(1+IF(AV166&gt;0,'Attrition Modeling'!$N$9,0)))</f>
        <v>0</v>
      </c>
      <c r="AW34" s="799">
        <f>(AV34+AW166)*(1-IFERROR(IF(AW$2+$F34&lt;=12,SUMIFS('Attrition Modeling'!$D:$D,'Attrition Modeling'!$B:$B,'IP Attrition'!$D34,'Attrition Modeling'!$C:$C,'IP Attrition'!AW$1),VLOOKUP($F34+AW$2,$A$6:$C$106,2,FALSE)*VLOOKUP(AW$1,'Attrition Modeling'!$L$15:$N$27,IF(AW$2+$F34&lt;=24,2,3),FALSE)),$C$3)*(1+Projection!AY$16)*(1+IF(AW166&gt;0,'Attrition Modeling'!$N$9,0)))</f>
        <v>0</v>
      </c>
      <c r="AX34" s="799">
        <f>(AW34+AX166)*(1-IFERROR(IF(AX$2+$F34&lt;=12,SUMIFS('Attrition Modeling'!$D:$D,'Attrition Modeling'!$B:$B,'IP Attrition'!$D34,'Attrition Modeling'!$C:$C,'IP Attrition'!AX$1),VLOOKUP($F34+AX$2,$A$6:$C$106,2,FALSE)*VLOOKUP(AX$1,'Attrition Modeling'!$L$15:$N$27,IF(AX$2+$F34&lt;=24,2,3),FALSE)),$C$3)*(1+Projection!AZ$16)*(1+IF(AX166&gt;0,'Attrition Modeling'!$N$9,0)))</f>
        <v>0</v>
      </c>
      <c r="AY34" s="799">
        <f>(AX34+AY166)*(1-IFERROR(IF(AY$2+$F34&lt;=12,SUMIFS('Attrition Modeling'!$D:$D,'Attrition Modeling'!$B:$B,'IP Attrition'!$D34,'Attrition Modeling'!$C:$C,'IP Attrition'!AY$1),VLOOKUP($F34+AY$2,$A$6:$C$106,2,FALSE)*VLOOKUP(AY$1,'Attrition Modeling'!$L$15:$N$27,IF(AY$2+$F34&lt;=24,2,3),FALSE)),$C$3)*(1+Projection!BA$16)*(1+IF(AY166&gt;0,'Attrition Modeling'!$N$9,0)))</f>
        <v>0</v>
      </c>
      <c r="AZ34" s="799">
        <f>(AY34+AZ166)*(1-IFERROR(IF(AZ$2+$F34&lt;=12,SUMIFS('Attrition Modeling'!$D:$D,'Attrition Modeling'!$B:$B,'IP Attrition'!$D34,'Attrition Modeling'!$C:$C,'IP Attrition'!AZ$1),VLOOKUP($F34+AZ$2,$A$6:$C$106,2,FALSE)*VLOOKUP(AZ$1,'Attrition Modeling'!$L$15:$N$27,IF(AZ$2+$F34&lt;=24,2,3),FALSE)),$C$3)*(1+Projection!BB$16)*(1+IF(AZ166&gt;0,'Attrition Modeling'!$N$9,0)))</f>
        <v>0</v>
      </c>
      <c r="BA34" s="799">
        <f>(AZ34+BA166)*(1-IFERROR(IF(BA$2+$F34&lt;=12,SUMIFS('Attrition Modeling'!$D:$D,'Attrition Modeling'!$B:$B,'IP Attrition'!$D34,'Attrition Modeling'!$C:$C,'IP Attrition'!BA$1),VLOOKUP($F34+BA$2,$A$6:$C$106,2,FALSE)*VLOOKUP(BA$1,'Attrition Modeling'!$L$15:$N$27,IF(BA$2+$F34&lt;=24,2,3),FALSE)),$C$3)*(1+Projection!BC$16)*(1+IF(BA166&gt;0,'Attrition Modeling'!$N$9,0)))</f>
        <v>0</v>
      </c>
      <c r="BB34" s="799">
        <f>(BA34+BB166)*(1-IFERROR(IF(BB$2+$F34&lt;=12,SUMIFS('Attrition Modeling'!$D:$D,'Attrition Modeling'!$B:$B,'IP Attrition'!$D34,'Attrition Modeling'!$C:$C,'IP Attrition'!BB$1),VLOOKUP($F34+BB$2,$A$6:$C$106,2,FALSE)*VLOOKUP(BB$1,'Attrition Modeling'!$L$15:$N$27,IF(BB$2+$F34&lt;=24,2,3),FALSE)),$C$3)*(1+Projection!BD$16)*(1+IF(BB166&gt;0,'Attrition Modeling'!$N$9,0)))</f>
        <v>0</v>
      </c>
      <c r="BC34" s="799">
        <f>(BB34+BC166)*(1-IFERROR(IF(BC$2+$F34&lt;=12,SUMIFS('Attrition Modeling'!$D:$D,'Attrition Modeling'!$B:$B,'IP Attrition'!$D34,'Attrition Modeling'!$C:$C,'IP Attrition'!BC$1),VLOOKUP($F34+BC$2,$A$6:$C$106,2,FALSE)*VLOOKUP(BC$1,'Attrition Modeling'!$L$15:$N$27,IF(BC$2+$F34&lt;=24,2,3),FALSE)),$C$3)*(1+Projection!BE$16)*(1+IF(BC166&gt;0,'Attrition Modeling'!$N$9,0)))</f>
        <v>0</v>
      </c>
      <c r="BD34" s="799">
        <f>(BC34+BD166)*(1-IFERROR(IF(BD$2+$F34&lt;=12,SUMIFS('Attrition Modeling'!$D:$D,'Attrition Modeling'!$B:$B,'IP Attrition'!$D34,'Attrition Modeling'!$C:$C,'IP Attrition'!BD$1),VLOOKUP($F34+BD$2,$A$6:$C$106,2,FALSE)*VLOOKUP(BD$1,'Attrition Modeling'!$L$15:$N$27,IF(BD$2+$F34&lt;=24,2,3),FALSE)),$C$3)*(1+Projection!BF$16)*(1+IF(BD166&gt;0,'Attrition Modeling'!$N$9,0)))</f>
        <v>0</v>
      </c>
      <c r="BE34" s="799">
        <f>(BD34+BE166)*(1-IFERROR(IF(BE$2+$F34&lt;=12,SUMIFS('Attrition Modeling'!$D:$D,'Attrition Modeling'!$B:$B,'IP Attrition'!$D34,'Attrition Modeling'!$C:$C,'IP Attrition'!BE$1),VLOOKUP($F34+BE$2,$A$6:$C$106,2,FALSE)*VLOOKUP(BE$1,'Attrition Modeling'!$L$15:$N$27,IF(BE$2+$F34&lt;=24,2,3),FALSE)),$C$3)*(1+Projection!BG$16)*(1+IF(BE166&gt;0,'Attrition Modeling'!$N$9,0)))</f>
        <v>0</v>
      </c>
      <c r="BF34" s="799">
        <f>(BE34+BF166)*(1-IFERROR(IF(BF$2+$F34&lt;=12,SUMIFS('Attrition Modeling'!$D:$D,'Attrition Modeling'!$B:$B,'IP Attrition'!$D34,'Attrition Modeling'!$C:$C,'IP Attrition'!BF$1),VLOOKUP($F34+BF$2,$A$6:$C$106,2,FALSE)*VLOOKUP(BF$1,'Attrition Modeling'!$L$15:$N$27,IF(BF$2+$F34&lt;=24,2,3),FALSE)),$C$3)*(1+Projection!BH$16)*(1+IF(BF166&gt;0,'Attrition Modeling'!$N$9,0)))</f>
        <v>0</v>
      </c>
      <c r="BG34" s="799">
        <f>(BF34+BG166)*(1-IFERROR(IF(BG$2+$F34&lt;=12,SUMIFS('Attrition Modeling'!$D:$D,'Attrition Modeling'!$B:$B,'IP Attrition'!$D34,'Attrition Modeling'!$C:$C,'IP Attrition'!BG$1),VLOOKUP($F34+BG$2,$A$6:$C$106,2,FALSE)*VLOOKUP(BG$1,'Attrition Modeling'!$L$15:$N$27,IF(BG$2+$F34&lt;=24,2,3),FALSE)),$C$3)*(1+Projection!BI$16)*(1+IF(BG166&gt;0,'Attrition Modeling'!$N$9,0)))</f>
        <v>0</v>
      </c>
      <c r="BH34" s="799">
        <f>(BG34+BH166)*(1-IFERROR(IF(BH$2+$F34&lt;=12,SUMIFS('Attrition Modeling'!$D:$D,'Attrition Modeling'!$B:$B,'IP Attrition'!$D34,'Attrition Modeling'!$C:$C,'IP Attrition'!BH$1),VLOOKUP($F34+BH$2,$A$6:$C$106,2,FALSE)*VLOOKUP(BH$1,'Attrition Modeling'!$L$15:$N$27,IF(BH$2+$F34&lt;=24,2,3),FALSE)),$C$3)*(1+Projection!BJ$16)*(1+IF(BH166&gt;0,'Attrition Modeling'!$N$9,0)))</f>
        <v>0</v>
      </c>
      <c r="BI34" s="799">
        <f>(BH34+BI166)*(1-IFERROR(IF(BI$2+$F34&lt;=12,SUMIFS('Attrition Modeling'!$D:$D,'Attrition Modeling'!$B:$B,'IP Attrition'!$D34,'Attrition Modeling'!$C:$C,'IP Attrition'!BI$1),VLOOKUP($F34+BI$2,$A$6:$C$106,2,FALSE)*VLOOKUP(BI$1,'Attrition Modeling'!$L$15:$N$27,IF(BI$2+$F34&lt;=24,2,3),FALSE)),$C$3)*(1+Projection!BK$16)*(1+IF(BI166&gt;0,'Attrition Modeling'!$N$9,0)))</f>
        <v>0</v>
      </c>
      <c r="BJ34" s="799">
        <f>(BI34+BJ166)*(1-IFERROR(IF(BJ$2+$F34&lt;=12,SUMIFS('Attrition Modeling'!$D:$D,'Attrition Modeling'!$B:$B,'IP Attrition'!$D34,'Attrition Modeling'!$C:$C,'IP Attrition'!BJ$1),VLOOKUP($F34+BJ$2,$A$6:$C$106,2,FALSE)*VLOOKUP(BJ$1,'Attrition Modeling'!$L$15:$N$27,IF(BJ$2+$F34&lt;=24,2,3),FALSE)),$C$3)*(1+Projection!BL$16)*(1+IF(BJ166&gt;0,'Attrition Modeling'!$N$9,0)))</f>
        <v>0</v>
      </c>
      <c r="BK34" s="799">
        <f>(BJ34+BK166)*(1-IFERROR(IF(BK$2+$F34&lt;=12,SUMIFS('Attrition Modeling'!$D:$D,'Attrition Modeling'!$B:$B,'IP Attrition'!$D34,'Attrition Modeling'!$C:$C,'IP Attrition'!BK$1),VLOOKUP($F34+BK$2,$A$6:$C$106,2,FALSE)*VLOOKUP(BK$1,'Attrition Modeling'!$L$15:$N$27,IF(BK$2+$F34&lt;=24,2,3),FALSE)),$C$3)*(1+Projection!BM$16)*(1+IF(BK166&gt;0,'Attrition Modeling'!$N$9,0)))</f>
        <v>0</v>
      </c>
      <c r="BL34" s="799">
        <f>(BK34+BL166)*(1-IFERROR(IF(BL$2+$F34&lt;=12,SUMIFS('Attrition Modeling'!$D:$D,'Attrition Modeling'!$B:$B,'IP Attrition'!$D34,'Attrition Modeling'!$C:$C,'IP Attrition'!BL$1),VLOOKUP($F34+BL$2,$A$6:$C$106,2,FALSE)*VLOOKUP(BL$1,'Attrition Modeling'!$L$15:$N$27,IF(BL$2+$F34&lt;=24,2,3),FALSE)),$C$3)*(1+Projection!BN$16)*(1+IF(BL166&gt;0,'Attrition Modeling'!$N$9,0)))</f>
        <v>0</v>
      </c>
      <c r="BM34" s="799">
        <f>(BL34+BM166)*(1-IFERROR(IF(BM$2+$F34&lt;=12,SUMIFS('Attrition Modeling'!$D:$D,'Attrition Modeling'!$B:$B,'IP Attrition'!$D34,'Attrition Modeling'!$C:$C,'IP Attrition'!BM$1),VLOOKUP($F34+BM$2,$A$6:$C$106,2,FALSE)*VLOOKUP(BM$1,'Attrition Modeling'!$L$15:$N$27,IF(BM$2+$F34&lt;=24,2,3),FALSE)),$C$3)*(1+Projection!BO$16)*(1+IF(BM166&gt;0,'Attrition Modeling'!$N$9,0)))</f>
        <v>0</v>
      </c>
      <c r="BN34" s="799">
        <f>(BM34+BN166)*(1-IFERROR(IF(BN$2+$F34&lt;=12,SUMIFS('Attrition Modeling'!$D:$D,'Attrition Modeling'!$B:$B,'IP Attrition'!$D34,'Attrition Modeling'!$C:$C,'IP Attrition'!BN$1),VLOOKUP($F34+BN$2,$A$6:$C$106,2,FALSE)*VLOOKUP(BN$1,'Attrition Modeling'!$L$15:$N$27,IF(BN$2+$F34&lt;=24,2,3),FALSE)),$C$3)*(1+Projection!BP$16)*(1+IF(BN166&gt;0,'Attrition Modeling'!$N$9,0)))</f>
        <v>0</v>
      </c>
      <c r="BO34" s="799">
        <f>(BN34+BO166)*(1-IFERROR(IF(BO$2+$F34&lt;=12,SUMIFS('Attrition Modeling'!$D:$D,'Attrition Modeling'!$B:$B,'IP Attrition'!$D34,'Attrition Modeling'!$C:$C,'IP Attrition'!BO$1),VLOOKUP($F34+BO$2,$A$6:$C$106,2,FALSE)*VLOOKUP(BO$1,'Attrition Modeling'!$L$15:$N$27,IF(BO$2+$F34&lt;=24,2,3),FALSE)),$C$3)*(1+Projection!BV$16)*(1+IF(BO166&gt;0,'Attrition Modeling'!$N$9,0)))</f>
        <v>0</v>
      </c>
      <c r="BP34" s="799">
        <f>(BO34+BP166)*(1-IFERROR(IF(BP$2+$F34&lt;=12,SUMIFS('Attrition Modeling'!$D:$D,'Attrition Modeling'!$B:$B,'IP Attrition'!$D34,'Attrition Modeling'!$C:$C,'IP Attrition'!BP$1),VLOOKUP($F34+BP$2,$A$6:$C$106,2,FALSE)*VLOOKUP(BP$1,'Attrition Modeling'!$L$15:$N$27,IF(BP$2+$F34&lt;=24,2,3),FALSE)),$C$3)*(1+Projection!BW$16)*(1+IF(BP166&gt;0,'Attrition Modeling'!$N$9,0)))</f>
        <v>0</v>
      </c>
      <c r="BQ34" s="799">
        <f>(BP34+BQ166)*(1-IFERROR(IF(BQ$2+$F34&lt;=12,SUMIFS('Attrition Modeling'!$D:$D,'Attrition Modeling'!$B:$B,'IP Attrition'!$D34,'Attrition Modeling'!$C:$C,'IP Attrition'!BQ$1),VLOOKUP($F34+BQ$2,$A$6:$C$106,2,FALSE)*VLOOKUP(BQ$1,'Attrition Modeling'!$L$15:$N$27,IF(BQ$2+$F34&lt;=24,2,3),FALSE)),$C$3)*(1+Projection!BX$16)*(1+IF(BQ166&gt;0,'Attrition Modeling'!$N$9,0)))</f>
        <v>0</v>
      </c>
      <c r="BR34" s="799">
        <f>(BQ34+BR166)*(1-IFERROR(IF(BR$2+$F34&lt;=12,SUMIFS('Attrition Modeling'!$D:$D,'Attrition Modeling'!$B:$B,'IP Attrition'!$D34,'Attrition Modeling'!$C:$C,'IP Attrition'!BR$1),VLOOKUP($F34+BR$2,$A$6:$C$106,2,FALSE)*VLOOKUP(BR$1,'Attrition Modeling'!$L$15:$N$27,IF(BR$2+$F34&lt;=24,2,3),FALSE)),$C$3)*(1+Projection!BY$16)*(1+IF(BR166&gt;0,'Attrition Modeling'!$N$9,0)))</f>
        <v>0</v>
      </c>
      <c r="BS34" s="799">
        <f>(BR34+BS166)*(1-IFERROR(IF(BS$2+$F34&lt;=12,SUMIFS('Attrition Modeling'!$D:$D,'Attrition Modeling'!$B:$B,'IP Attrition'!$D34,'Attrition Modeling'!$C:$C,'IP Attrition'!BS$1),VLOOKUP($F34+BS$2,$A$6:$C$106,2,FALSE)*VLOOKUP(BS$1,'Attrition Modeling'!$L$15:$N$27,IF(BS$2+$F34&lt;=24,2,3),FALSE)),$C$3)*(1+Projection!BZ$16)*(1+IF(BS166&gt;0,'Attrition Modeling'!$N$9,0)))</f>
        <v>0</v>
      </c>
      <c r="BT34" s="799" t="e">
        <f>(BS34+BT166)*(1-IFERROR(IF(BT$2+$F34&lt;=12,SUMIFS('Attrition Modeling'!$D:$D,'Attrition Modeling'!$B:$B,'IP Attrition'!$D34,'Attrition Modeling'!$C:$C,'IP Attrition'!BT$1),VLOOKUP($F34+BT$2,$A$6:$C$106,2,FALSE)*VLOOKUP(BT$1,'Attrition Modeling'!$L$15:$N$27,IF(BT$2+$F34&lt;=24,2,3),FALSE)),$C$3)*(1+Projection!CA$16)*(1+IF(BT166&gt;0,'Attrition Modeling'!$N$9,0)))</f>
        <v>#REF!</v>
      </c>
      <c r="BU34" s="799" t="e">
        <f>(BT34+BU166)*(1-IFERROR(IF(BU$2+$F34&lt;=12,SUMIFS('Attrition Modeling'!$D:$D,'Attrition Modeling'!$B:$B,'IP Attrition'!$D34,'Attrition Modeling'!$C:$C,'IP Attrition'!BU$1),VLOOKUP($F34+BU$2,$A$6:$C$106,2,FALSE)*VLOOKUP(BU$1,'Attrition Modeling'!$L$15:$N$27,IF(BU$2+$F34&lt;=24,2,3),FALSE)),$C$3)*(1+Projection!CB$16)*(1+IF(BU166&gt;0,'Attrition Modeling'!$N$9,0)))</f>
        <v>#REF!</v>
      </c>
    </row>
    <row r="35" spans="1:73" ht="14.25" customHeight="1" x14ac:dyDescent="0.2">
      <c r="A35" s="9">
        <v>28</v>
      </c>
      <c r="B35" s="25">
        <f>MAX('Attrition Modeling'!H32,$C$3)*(1-Summary!$C$20)</f>
        <v>3.4007973058436711E-2</v>
      </c>
      <c r="C35" s="24" t="e">
        <f t="shared" si="3"/>
        <v>#DIV/0!</v>
      </c>
      <c r="D35" s="11">
        <f t="shared" si="1"/>
        <v>-32</v>
      </c>
      <c r="E35" s="807">
        <f t="array" ref="E35">INDEX('Attrition Modeling'!$X$2:$AF$63,MATCH($F35,'Attrition Modeling'!$X$2:$X$63,0),MATCH(Inputs!$C$10,'Attrition Modeling'!$X$2:$AF$2,0))</f>
        <v>0</v>
      </c>
      <c r="F35" s="11">
        <f t="shared" si="2"/>
        <v>32</v>
      </c>
      <c r="G35" s="799">
        <f>Summary!$C$25*$E35</f>
        <v>0</v>
      </c>
      <c r="H35" s="799">
        <f>(G35+H167)*(1-IFERROR(IF(H$2+$F35&lt;=12,SUMIFS('Attrition Modeling'!$D:$D,'Attrition Modeling'!$B:$B,'IP Attrition'!$D35,'Attrition Modeling'!$C:$C,'IP Attrition'!H$1),VLOOKUP($F35+H$2,$A$6:$C$106,2,FALSE)*VLOOKUP(H$1,'Attrition Modeling'!$L$15:$N$27,IF(H$2+$F35&lt;=24,2,3),FALSE)),$C$3)*(1+Projection!J$16)*(1+IF(H167&gt;0,'Attrition Modeling'!$N$9,0)))</f>
        <v>0</v>
      </c>
      <c r="I35" s="799">
        <f>(H35+I167)*(1-IFERROR(IF(I$2+$F35&lt;=12,SUMIFS('Attrition Modeling'!$D:$D,'Attrition Modeling'!$B:$B,'IP Attrition'!$D35,'Attrition Modeling'!$C:$C,'IP Attrition'!I$1),VLOOKUP($F35+I$2,$A$6:$C$106,2,FALSE)*VLOOKUP(I$1,'Attrition Modeling'!$L$15:$N$27,IF(I$2+$F35&lt;=24,2,3),FALSE)),$C$3)*(1+Projection!K$16)*(1+IF(I167&gt;0,'Attrition Modeling'!$N$9,0)))</f>
        <v>0</v>
      </c>
      <c r="J35" s="799">
        <f>(I35+J167)*(1-IFERROR(IF(J$2+$F35&lt;=12,SUMIFS('Attrition Modeling'!$D:$D,'Attrition Modeling'!$B:$B,'IP Attrition'!$D35,'Attrition Modeling'!$C:$C,'IP Attrition'!J$1),VLOOKUP($F35+J$2,$A$6:$C$106,2,FALSE)*VLOOKUP(J$1,'Attrition Modeling'!$L$15:$N$27,IF(J$2+$F35&lt;=24,2,3),FALSE)),$C$3)*(1+Projection!L$16)*(1+IF(J167&gt;0,'Attrition Modeling'!$N$9,0)))</f>
        <v>0</v>
      </c>
      <c r="K35" s="799">
        <f>(J35+K167)*(1-IFERROR(IF(K$2+$F35&lt;=12,SUMIFS('Attrition Modeling'!$D:$D,'Attrition Modeling'!$B:$B,'IP Attrition'!$D35,'Attrition Modeling'!$C:$C,'IP Attrition'!K$1),VLOOKUP($F35+K$2,$A$6:$C$106,2,FALSE)*VLOOKUP(K$1,'Attrition Modeling'!$L$15:$N$27,IF(K$2+$F35&lt;=24,2,3),FALSE)),$C$3)*(1+Projection!M$16)*(1+IF(K167&gt;0,'Attrition Modeling'!$N$9,0)))</f>
        <v>0</v>
      </c>
      <c r="L35" s="799">
        <f>(K35+L167)*(1-IFERROR(IF(L$2+$F35&lt;=12,SUMIFS('Attrition Modeling'!$D:$D,'Attrition Modeling'!$B:$B,'IP Attrition'!$D35,'Attrition Modeling'!$C:$C,'IP Attrition'!L$1),VLOOKUP($F35+L$2,$A$6:$C$106,2,FALSE)*VLOOKUP(L$1,'Attrition Modeling'!$L$15:$N$27,IF(L$2+$F35&lt;=24,2,3),FALSE)),$C$3)*(1+Projection!N$16)*(1+IF(L167&gt;0,'Attrition Modeling'!$N$9,0)))</f>
        <v>0</v>
      </c>
      <c r="M35" s="799">
        <f>(L35+M167)*(1-IFERROR(IF(M$2+$F35&lt;=12,SUMIFS('Attrition Modeling'!$D:$D,'Attrition Modeling'!$B:$B,'IP Attrition'!$D35,'Attrition Modeling'!$C:$C,'IP Attrition'!M$1),VLOOKUP($F35+M$2,$A$6:$C$106,2,FALSE)*VLOOKUP(M$1,'Attrition Modeling'!$L$15:$N$27,IF(M$2+$F35&lt;=24,2,3),FALSE)),$C$3)*(1+Projection!O$16)*(1+IF(M167&gt;0,'Attrition Modeling'!$N$9,0)))</f>
        <v>0</v>
      </c>
      <c r="N35" s="799">
        <f>(M35+N167)*(1-IFERROR(IF(N$2+$F35&lt;=12,SUMIFS('Attrition Modeling'!$D:$D,'Attrition Modeling'!$B:$B,'IP Attrition'!$D35,'Attrition Modeling'!$C:$C,'IP Attrition'!N$1),VLOOKUP($F35+N$2,$A$6:$C$106,2,FALSE)*VLOOKUP(N$1,'Attrition Modeling'!$L$15:$N$27,IF(N$2+$F35&lt;=24,2,3),FALSE)),$C$3)*(1+Projection!P$16)*(1+IF(N167&gt;0,'Attrition Modeling'!$N$9,0)))</f>
        <v>0</v>
      </c>
      <c r="O35" s="799">
        <f>(N35+O167)*(1-IFERROR(IF(O$2+$F35&lt;=12,SUMIFS('Attrition Modeling'!$D:$D,'Attrition Modeling'!$B:$B,'IP Attrition'!$D35,'Attrition Modeling'!$C:$C,'IP Attrition'!O$1),VLOOKUP($F35+O$2,$A$6:$C$106,2,FALSE)*VLOOKUP(O$1,'Attrition Modeling'!$L$15:$N$27,IF(O$2+$F35&lt;=24,2,3),FALSE)),$C$3)*(1+Projection!Q$16)*(1+IF(O167&gt;0,'Attrition Modeling'!$N$9,0)))</f>
        <v>0</v>
      </c>
      <c r="P35" s="799">
        <f>(O35+P167)*(1-IFERROR(IF(P$2+$F35&lt;=12,SUMIFS('Attrition Modeling'!$D:$D,'Attrition Modeling'!$B:$B,'IP Attrition'!$D35,'Attrition Modeling'!$C:$C,'IP Attrition'!P$1),VLOOKUP($F35+P$2,$A$6:$C$106,2,FALSE)*VLOOKUP(P$1,'Attrition Modeling'!$L$15:$N$27,IF(P$2+$F35&lt;=24,2,3),FALSE)),$C$3)*(1+Projection!R$16)*(1+IF(P167&gt;0,'Attrition Modeling'!$N$9,0)))</f>
        <v>0</v>
      </c>
      <c r="Q35" s="799">
        <f>(P35+Q167)*(1-IFERROR(IF(Q$2+$F35&lt;=12,SUMIFS('Attrition Modeling'!$D:$D,'Attrition Modeling'!$B:$B,'IP Attrition'!$D35,'Attrition Modeling'!$C:$C,'IP Attrition'!Q$1),VLOOKUP($F35+Q$2,$A$6:$C$106,2,FALSE)*VLOOKUP(Q$1,'Attrition Modeling'!$L$15:$N$27,IF(Q$2+$F35&lt;=24,2,3),FALSE)),$C$3)*(1+Projection!S$16)*(1+IF(Q167&gt;0,'Attrition Modeling'!$N$9,0)))</f>
        <v>0</v>
      </c>
      <c r="R35" s="799">
        <f>(Q35+R167)*(1-IFERROR(IF(R$2+$F35&lt;=12,SUMIFS('Attrition Modeling'!$D:$D,'Attrition Modeling'!$B:$B,'IP Attrition'!$D35,'Attrition Modeling'!$C:$C,'IP Attrition'!R$1),VLOOKUP($F35+R$2,$A$6:$C$106,2,FALSE)*VLOOKUP(R$1,'Attrition Modeling'!$L$15:$N$27,IF(R$2+$F35&lt;=24,2,3),FALSE)),$C$3)*(1+Projection!T$16)*(1+IF(R167&gt;0,'Attrition Modeling'!$N$9,0)))</f>
        <v>0</v>
      </c>
      <c r="S35" s="799">
        <f>(R35+S167)*(1-IFERROR(IF(S$2+$F35&lt;=12,SUMIFS('Attrition Modeling'!$D:$D,'Attrition Modeling'!$B:$B,'IP Attrition'!$D35,'Attrition Modeling'!$C:$C,'IP Attrition'!S$1),VLOOKUP($F35+S$2,$A$6:$C$106,2,FALSE)*VLOOKUP(S$1,'Attrition Modeling'!$L$15:$N$27,IF(S$2+$F35&lt;=24,2,3),FALSE)),$C$3)*(1+Projection!U$16)*(1+IF(S167&gt;0,'Attrition Modeling'!$N$9,0)))</f>
        <v>0</v>
      </c>
      <c r="T35" s="799">
        <f>(S35+T167)*(1-IFERROR(IF(T$2+$F35&lt;=12,SUMIFS('Attrition Modeling'!$D:$D,'Attrition Modeling'!$B:$B,'IP Attrition'!$D35,'Attrition Modeling'!$C:$C,'IP Attrition'!T$1),VLOOKUP($F35+T$2,$A$6:$C$106,2,FALSE)*VLOOKUP(T$1,'Attrition Modeling'!$L$15:$N$27,IF(T$2+$F35&lt;=24,2,3),FALSE)),$C$3)*(1+Projection!V$16)*(1+IF(T167&gt;0,'Attrition Modeling'!$N$9,0)))</f>
        <v>0</v>
      </c>
      <c r="U35" s="799">
        <f>(T35+U167)*(1-IFERROR(IF(U$2+$F35&lt;=12,SUMIFS('Attrition Modeling'!$D:$D,'Attrition Modeling'!$B:$B,'IP Attrition'!$D35,'Attrition Modeling'!$C:$C,'IP Attrition'!U$1),VLOOKUP($F35+U$2,$A$6:$C$106,2,FALSE)*VLOOKUP(U$1,'Attrition Modeling'!$L$15:$N$27,IF(U$2+$F35&lt;=24,2,3),FALSE)),$C$3)*(1+Projection!W$16)*(1+IF(U167&gt;0,'Attrition Modeling'!$N$9,0)))</f>
        <v>0</v>
      </c>
      <c r="V35" s="799">
        <f>(U35+V167)*(1-IFERROR(IF(V$2+$F35&lt;=12,SUMIFS('Attrition Modeling'!$D:$D,'Attrition Modeling'!$B:$B,'IP Attrition'!$D35,'Attrition Modeling'!$C:$C,'IP Attrition'!V$1),VLOOKUP($F35+V$2,$A$6:$C$106,2,FALSE)*VLOOKUP(V$1,'Attrition Modeling'!$L$15:$N$27,IF(V$2+$F35&lt;=24,2,3),FALSE)),$C$3)*(1+Projection!X$16)*(1+IF(V167&gt;0,'Attrition Modeling'!$N$9,0)))</f>
        <v>0</v>
      </c>
      <c r="W35" s="799">
        <f>(V35+W167)*(1-IFERROR(IF(W$2+$F35&lt;=12,SUMIFS('Attrition Modeling'!$D:$D,'Attrition Modeling'!$B:$B,'IP Attrition'!$D35,'Attrition Modeling'!$C:$C,'IP Attrition'!W$1),VLOOKUP($F35+W$2,$A$6:$C$106,2,FALSE)*VLOOKUP(W$1,'Attrition Modeling'!$L$15:$N$27,IF(W$2+$F35&lt;=24,2,3),FALSE)),$C$3)*(1+Projection!Y$16)*(1+IF(W167&gt;0,'Attrition Modeling'!$N$9,0)))</f>
        <v>0</v>
      </c>
      <c r="X35" s="799">
        <f>(W35+X167)*(1-IFERROR(IF(X$2+$F35&lt;=12,SUMIFS('Attrition Modeling'!$D:$D,'Attrition Modeling'!$B:$B,'IP Attrition'!$D35,'Attrition Modeling'!$C:$C,'IP Attrition'!X$1),VLOOKUP($F35+X$2,$A$6:$C$106,2,FALSE)*VLOOKUP(X$1,'Attrition Modeling'!$L$15:$N$27,IF(X$2+$F35&lt;=24,2,3),FALSE)),$C$3)*(1+Projection!Z$16)*(1+IF(X167&gt;0,'Attrition Modeling'!$N$9,0)))</f>
        <v>0</v>
      </c>
      <c r="Y35" s="799">
        <f>(X35+Y167)*(1-IFERROR(IF(Y$2+$F35&lt;=12,SUMIFS('Attrition Modeling'!$D:$D,'Attrition Modeling'!$B:$B,'IP Attrition'!$D35,'Attrition Modeling'!$C:$C,'IP Attrition'!Y$1),VLOOKUP($F35+Y$2,$A$6:$C$106,2,FALSE)*VLOOKUP(Y$1,'Attrition Modeling'!$L$15:$N$27,IF(Y$2+$F35&lt;=24,2,3),FALSE)),$C$3)*(1+Projection!AA$16)*(1+IF(Y167&gt;0,'Attrition Modeling'!$N$9,0)))</f>
        <v>0</v>
      </c>
      <c r="Z35" s="799">
        <f>(Y35+Z167)*(1-IFERROR(IF(Z$2+$F35&lt;=12,SUMIFS('Attrition Modeling'!$D:$D,'Attrition Modeling'!$B:$B,'IP Attrition'!$D35,'Attrition Modeling'!$C:$C,'IP Attrition'!Z$1),VLOOKUP($F35+Z$2,$A$6:$C$106,2,FALSE)*VLOOKUP(Z$1,'Attrition Modeling'!$L$15:$N$27,IF(Z$2+$F35&lt;=24,2,3),FALSE)),$C$3)*(1+Projection!AB$16)*(1+IF(Z167&gt;0,'Attrition Modeling'!$N$9,0)))</f>
        <v>0</v>
      </c>
      <c r="AA35" s="799">
        <f>(Z35+AA167)*(1-IFERROR(IF(AA$2+$F35&lt;=12,SUMIFS('Attrition Modeling'!$D:$D,'Attrition Modeling'!$B:$B,'IP Attrition'!$D35,'Attrition Modeling'!$C:$C,'IP Attrition'!AA$1),VLOOKUP($F35+AA$2,$A$6:$C$106,2,FALSE)*VLOOKUP(AA$1,'Attrition Modeling'!$L$15:$N$27,IF(AA$2+$F35&lt;=24,2,3),FALSE)),$C$3)*(1+Projection!AC$16)*(1+IF(AA167&gt;0,'Attrition Modeling'!$N$9,0)))</f>
        <v>0</v>
      </c>
      <c r="AB35" s="799">
        <f>(AA35+AB167)*(1-IFERROR(IF(AB$2+$F35&lt;=12,SUMIFS('Attrition Modeling'!$D:$D,'Attrition Modeling'!$B:$B,'IP Attrition'!$D35,'Attrition Modeling'!$C:$C,'IP Attrition'!AB$1),VLOOKUP($F35+AB$2,$A$6:$C$106,2,FALSE)*VLOOKUP(AB$1,'Attrition Modeling'!$L$15:$N$27,IF(AB$2+$F35&lt;=24,2,3),FALSE)),$C$3)*(1+Projection!AD$16)*(1+IF(AB167&gt;0,'Attrition Modeling'!$N$9,0)))</f>
        <v>0</v>
      </c>
      <c r="AC35" s="799">
        <f>(AB35+AC167)*(1-IFERROR(IF(AC$2+$F35&lt;=12,SUMIFS('Attrition Modeling'!$D:$D,'Attrition Modeling'!$B:$B,'IP Attrition'!$D35,'Attrition Modeling'!$C:$C,'IP Attrition'!AC$1),VLOOKUP($F35+AC$2,$A$6:$C$106,2,FALSE)*VLOOKUP(AC$1,'Attrition Modeling'!$L$15:$N$27,IF(AC$2+$F35&lt;=24,2,3),FALSE)),$C$3)*(1+Projection!AE$16)*(1+IF(AC167&gt;0,'Attrition Modeling'!$N$9,0)))</f>
        <v>0</v>
      </c>
      <c r="AD35" s="799">
        <f>(AC35+AD167)*(1-IFERROR(IF(AD$2+$F35&lt;=12,SUMIFS('Attrition Modeling'!$D:$D,'Attrition Modeling'!$B:$B,'IP Attrition'!$D35,'Attrition Modeling'!$C:$C,'IP Attrition'!AD$1),VLOOKUP($F35+AD$2,$A$6:$C$106,2,FALSE)*VLOOKUP(AD$1,'Attrition Modeling'!$L$15:$N$27,IF(AD$2+$F35&lt;=24,2,3),FALSE)),$C$3)*(1+Projection!AF$16)*(1+IF(AD167&gt;0,'Attrition Modeling'!$N$9,0)))</f>
        <v>0</v>
      </c>
      <c r="AE35" s="799">
        <f>(AD35+AE167)*(1-IFERROR(IF(AE$2+$F35&lt;=12,SUMIFS('Attrition Modeling'!$D:$D,'Attrition Modeling'!$B:$B,'IP Attrition'!$D35,'Attrition Modeling'!$C:$C,'IP Attrition'!AE$1),VLOOKUP($F35+AE$2,$A$6:$C$106,2,FALSE)*VLOOKUP(AE$1,'Attrition Modeling'!$L$15:$N$27,IF(AE$2+$F35&lt;=24,2,3),FALSE)),$C$3)*(1+Projection!AG$16)*(1+IF(AE167&gt;0,'Attrition Modeling'!$N$9,0)))</f>
        <v>0</v>
      </c>
      <c r="AF35" s="799">
        <f>(AE35+AF167)*(1-IFERROR(IF(AF$2+$F35&lt;=12,SUMIFS('Attrition Modeling'!$D:$D,'Attrition Modeling'!$B:$B,'IP Attrition'!$D35,'Attrition Modeling'!$C:$C,'IP Attrition'!AF$1),VLOOKUP($F35+AF$2,$A$6:$C$106,2,FALSE)*VLOOKUP(AF$1,'Attrition Modeling'!$L$15:$N$27,IF(AF$2+$F35&lt;=24,2,3),FALSE)),$C$3)*(1+Projection!AH$16)*(1+IF(AF167&gt;0,'Attrition Modeling'!$N$9,0)))</f>
        <v>0</v>
      </c>
      <c r="AG35" s="799">
        <f>(AF35+AG167)*(1-IFERROR(IF(AG$2+$F35&lt;=12,SUMIFS('Attrition Modeling'!$D:$D,'Attrition Modeling'!$B:$B,'IP Attrition'!$D35,'Attrition Modeling'!$C:$C,'IP Attrition'!AG$1),VLOOKUP($F35+AG$2,$A$6:$C$106,2,FALSE)*VLOOKUP(AG$1,'Attrition Modeling'!$L$15:$N$27,IF(AG$2+$F35&lt;=24,2,3),FALSE)),$C$3)*(1+Projection!AI$16)*(1+IF(AG167&gt;0,'Attrition Modeling'!$N$9,0)))</f>
        <v>0</v>
      </c>
      <c r="AH35" s="799">
        <f>(AG35+AH167)*(1-IFERROR(IF(AH$2+$F35&lt;=12,SUMIFS('Attrition Modeling'!$D:$D,'Attrition Modeling'!$B:$B,'IP Attrition'!$D35,'Attrition Modeling'!$C:$C,'IP Attrition'!AH$1),VLOOKUP($F35+AH$2,$A$6:$C$106,2,FALSE)*VLOOKUP(AH$1,'Attrition Modeling'!$L$15:$N$27,IF(AH$2+$F35&lt;=24,2,3),FALSE)),$C$3)*(1+Projection!AJ$16)*(1+IF(AH167&gt;0,'Attrition Modeling'!$N$9,0)))</f>
        <v>0</v>
      </c>
      <c r="AI35" s="799">
        <f>(AH35+AI167)*(1-IFERROR(IF(AI$2+$F35&lt;=12,SUMIFS('Attrition Modeling'!$D:$D,'Attrition Modeling'!$B:$B,'IP Attrition'!$D35,'Attrition Modeling'!$C:$C,'IP Attrition'!AI$1),VLOOKUP($F35+AI$2,$A$6:$C$106,2,FALSE)*VLOOKUP(AI$1,'Attrition Modeling'!$L$15:$N$27,IF(AI$2+$F35&lt;=24,2,3),FALSE)),$C$3)*(1+Projection!AK$16)*(1+IF(AI167&gt;0,'Attrition Modeling'!$N$9,0)))</f>
        <v>0</v>
      </c>
      <c r="AJ35" s="799">
        <f>(AI35+AJ167)*(1-IFERROR(IF(AJ$2+$F35&lt;=12,SUMIFS('Attrition Modeling'!$D:$D,'Attrition Modeling'!$B:$B,'IP Attrition'!$D35,'Attrition Modeling'!$C:$C,'IP Attrition'!AJ$1),VLOOKUP($F35+AJ$2,$A$6:$C$106,2,FALSE)*VLOOKUP(AJ$1,'Attrition Modeling'!$L$15:$N$27,IF(AJ$2+$F35&lt;=24,2,3),FALSE)),$C$3)*(1+Projection!AL$16)*(1+IF(AJ167&gt;0,'Attrition Modeling'!$N$9,0)))</f>
        <v>0</v>
      </c>
      <c r="AK35" s="799">
        <f>(AJ35+AK167)*(1-IFERROR(IF(AK$2+$F35&lt;=12,SUMIFS('Attrition Modeling'!$D:$D,'Attrition Modeling'!$B:$B,'IP Attrition'!$D35,'Attrition Modeling'!$C:$C,'IP Attrition'!AK$1),VLOOKUP($F35+AK$2,$A$6:$C$106,2,FALSE)*VLOOKUP(AK$1,'Attrition Modeling'!$L$15:$N$27,IF(AK$2+$F35&lt;=24,2,3),FALSE)),$C$3)*(1+Projection!AM$16)*(1+IF(AK167&gt;0,'Attrition Modeling'!$N$9,0)))</f>
        <v>0</v>
      </c>
      <c r="AL35" s="799">
        <f>(AK35+AL167)*(1-IFERROR(IF(AL$2+$F35&lt;=12,SUMIFS('Attrition Modeling'!$D:$D,'Attrition Modeling'!$B:$B,'IP Attrition'!$D35,'Attrition Modeling'!$C:$C,'IP Attrition'!AL$1),VLOOKUP($F35+AL$2,$A$6:$C$106,2,FALSE)*VLOOKUP(AL$1,'Attrition Modeling'!$L$15:$N$27,IF(AL$2+$F35&lt;=24,2,3),FALSE)),$C$3)*(1+Projection!AN$16)*(1+IF(AL167&gt;0,'Attrition Modeling'!$N$9,0)))</f>
        <v>0</v>
      </c>
      <c r="AM35" s="799">
        <f>(AL35+AM167)*(1-IFERROR(IF(AM$2+$F35&lt;=12,SUMIFS('Attrition Modeling'!$D:$D,'Attrition Modeling'!$B:$B,'IP Attrition'!$D35,'Attrition Modeling'!$C:$C,'IP Attrition'!AM$1),VLOOKUP($F35+AM$2,$A$6:$C$106,2,FALSE)*VLOOKUP(AM$1,'Attrition Modeling'!$L$15:$N$27,IF(AM$2+$F35&lt;=24,2,3),FALSE)),$C$3)*(1+Projection!AO$16)*(1+IF(AM167&gt;0,'Attrition Modeling'!$N$9,0)))</f>
        <v>0</v>
      </c>
      <c r="AN35" s="799">
        <f>(AM35+AN167)*(1-IFERROR(IF(AN$2+$F35&lt;=12,SUMIFS('Attrition Modeling'!$D:$D,'Attrition Modeling'!$B:$B,'IP Attrition'!$D35,'Attrition Modeling'!$C:$C,'IP Attrition'!AN$1),VLOOKUP($F35+AN$2,$A$6:$C$106,2,FALSE)*VLOOKUP(AN$1,'Attrition Modeling'!$L$15:$N$27,IF(AN$2+$F35&lt;=24,2,3),FALSE)),$C$3)*(1+Projection!AP$16)*(1+IF(AN167&gt;0,'Attrition Modeling'!$N$9,0)))</f>
        <v>0</v>
      </c>
      <c r="AO35" s="799">
        <f>(AN35+AO167)*(1-IFERROR(IF(AO$2+$F35&lt;=12,SUMIFS('Attrition Modeling'!$D:$D,'Attrition Modeling'!$B:$B,'IP Attrition'!$D35,'Attrition Modeling'!$C:$C,'IP Attrition'!AO$1),VLOOKUP($F35+AO$2,$A$6:$C$106,2,FALSE)*VLOOKUP(AO$1,'Attrition Modeling'!$L$15:$N$27,IF(AO$2+$F35&lt;=24,2,3),FALSE)),$C$3)*(1+Projection!AQ$16)*(1+IF(AO167&gt;0,'Attrition Modeling'!$N$9,0)))</f>
        <v>0</v>
      </c>
      <c r="AP35" s="799">
        <f>(AO35+AP167)*(1-IFERROR(IF(AP$2+$F35&lt;=12,SUMIFS('Attrition Modeling'!$D:$D,'Attrition Modeling'!$B:$B,'IP Attrition'!$D35,'Attrition Modeling'!$C:$C,'IP Attrition'!AP$1),VLOOKUP($F35+AP$2,$A$6:$C$106,2,FALSE)*VLOOKUP(AP$1,'Attrition Modeling'!$L$15:$N$27,IF(AP$2+$F35&lt;=24,2,3),FALSE)),$C$3)*(1+Projection!AR$16)*(1+IF(AP167&gt;0,'Attrition Modeling'!$N$9,0)))</f>
        <v>0</v>
      </c>
      <c r="AQ35" s="799">
        <f>(AP35+AQ167)*(1-IFERROR(IF(AQ$2+$F35&lt;=12,SUMIFS('Attrition Modeling'!$D:$D,'Attrition Modeling'!$B:$B,'IP Attrition'!$D35,'Attrition Modeling'!$C:$C,'IP Attrition'!AQ$1),VLOOKUP($F35+AQ$2,$A$6:$C$106,2,FALSE)*VLOOKUP(AQ$1,'Attrition Modeling'!$L$15:$N$27,IF(AQ$2+$F35&lt;=24,2,3),FALSE)),$C$3)*(1+Projection!AS$16)*(1+IF(AQ167&gt;0,'Attrition Modeling'!$N$9,0)))</f>
        <v>0</v>
      </c>
      <c r="AR35" s="799">
        <f>(AQ35+AR167)*(1-IFERROR(IF(AR$2+$F35&lt;=12,SUMIFS('Attrition Modeling'!$D:$D,'Attrition Modeling'!$B:$B,'IP Attrition'!$D35,'Attrition Modeling'!$C:$C,'IP Attrition'!AR$1),VLOOKUP($F35+AR$2,$A$6:$C$106,2,FALSE)*VLOOKUP(AR$1,'Attrition Modeling'!$L$15:$N$27,IF(AR$2+$F35&lt;=24,2,3),FALSE)),$C$3)*(1+Projection!AT$16)*(1+IF(AR167&gt;0,'Attrition Modeling'!$N$9,0)))</f>
        <v>0</v>
      </c>
      <c r="AS35" s="799">
        <f>(AR35+AS167)*(1-IFERROR(IF(AS$2+$F35&lt;=12,SUMIFS('Attrition Modeling'!$D:$D,'Attrition Modeling'!$B:$B,'IP Attrition'!$D35,'Attrition Modeling'!$C:$C,'IP Attrition'!AS$1),VLOOKUP($F35+AS$2,$A$6:$C$106,2,FALSE)*VLOOKUP(AS$1,'Attrition Modeling'!$L$15:$N$27,IF(AS$2+$F35&lt;=24,2,3),FALSE)),$C$3)*(1+Projection!AU$16)*(1+IF(AS167&gt;0,'Attrition Modeling'!$N$9,0)))</f>
        <v>0</v>
      </c>
      <c r="AT35" s="799">
        <f>(AS35+AT167)*(1-IFERROR(IF(AT$2+$F35&lt;=12,SUMIFS('Attrition Modeling'!$D:$D,'Attrition Modeling'!$B:$B,'IP Attrition'!$D35,'Attrition Modeling'!$C:$C,'IP Attrition'!AT$1),VLOOKUP($F35+AT$2,$A$6:$C$106,2,FALSE)*VLOOKUP(AT$1,'Attrition Modeling'!$L$15:$N$27,IF(AT$2+$F35&lt;=24,2,3),FALSE)),$C$3)*(1+Projection!AV$16)*(1+IF(AT167&gt;0,'Attrition Modeling'!$N$9,0)))</f>
        <v>0</v>
      </c>
      <c r="AU35" s="799">
        <f>(AT35+AU167)*(1-IFERROR(IF(AU$2+$F35&lt;=12,SUMIFS('Attrition Modeling'!$D:$D,'Attrition Modeling'!$B:$B,'IP Attrition'!$D35,'Attrition Modeling'!$C:$C,'IP Attrition'!AU$1),VLOOKUP($F35+AU$2,$A$6:$C$106,2,FALSE)*VLOOKUP(AU$1,'Attrition Modeling'!$L$15:$N$27,IF(AU$2+$F35&lt;=24,2,3),FALSE)),$C$3)*(1+Projection!AW$16)*(1+IF(AU167&gt;0,'Attrition Modeling'!$N$9,0)))</f>
        <v>0</v>
      </c>
      <c r="AV35" s="799">
        <f>(AU35+AV167)*(1-IFERROR(IF(AV$2+$F35&lt;=12,SUMIFS('Attrition Modeling'!$D:$D,'Attrition Modeling'!$B:$B,'IP Attrition'!$D35,'Attrition Modeling'!$C:$C,'IP Attrition'!AV$1),VLOOKUP($F35+AV$2,$A$6:$C$106,2,FALSE)*VLOOKUP(AV$1,'Attrition Modeling'!$L$15:$N$27,IF(AV$2+$F35&lt;=24,2,3),FALSE)),$C$3)*(1+Projection!AX$16)*(1+IF(AV167&gt;0,'Attrition Modeling'!$N$9,0)))</f>
        <v>0</v>
      </c>
      <c r="AW35" s="799">
        <f>(AV35+AW167)*(1-IFERROR(IF(AW$2+$F35&lt;=12,SUMIFS('Attrition Modeling'!$D:$D,'Attrition Modeling'!$B:$B,'IP Attrition'!$D35,'Attrition Modeling'!$C:$C,'IP Attrition'!AW$1),VLOOKUP($F35+AW$2,$A$6:$C$106,2,FALSE)*VLOOKUP(AW$1,'Attrition Modeling'!$L$15:$N$27,IF(AW$2+$F35&lt;=24,2,3),FALSE)),$C$3)*(1+Projection!AY$16)*(1+IF(AW167&gt;0,'Attrition Modeling'!$N$9,0)))</f>
        <v>0</v>
      </c>
      <c r="AX35" s="799">
        <f>(AW35+AX167)*(1-IFERROR(IF(AX$2+$F35&lt;=12,SUMIFS('Attrition Modeling'!$D:$D,'Attrition Modeling'!$B:$B,'IP Attrition'!$D35,'Attrition Modeling'!$C:$C,'IP Attrition'!AX$1),VLOOKUP($F35+AX$2,$A$6:$C$106,2,FALSE)*VLOOKUP(AX$1,'Attrition Modeling'!$L$15:$N$27,IF(AX$2+$F35&lt;=24,2,3),FALSE)),$C$3)*(1+Projection!AZ$16)*(1+IF(AX167&gt;0,'Attrition Modeling'!$N$9,0)))</f>
        <v>0</v>
      </c>
      <c r="AY35" s="799">
        <f>(AX35+AY167)*(1-IFERROR(IF(AY$2+$F35&lt;=12,SUMIFS('Attrition Modeling'!$D:$D,'Attrition Modeling'!$B:$B,'IP Attrition'!$D35,'Attrition Modeling'!$C:$C,'IP Attrition'!AY$1),VLOOKUP($F35+AY$2,$A$6:$C$106,2,FALSE)*VLOOKUP(AY$1,'Attrition Modeling'!$L$15:$N$27,IF(AY$2+$F35&lt;=24,2,3),FALSE)),$C$3)*(1+Projection!BA$16)*(1+IF(AY167&gt;0,'Attrition Modeling'!$N$9,0)))</f>
        <v>0</v>
      </c>
      <c r="AZ35" s="799">
        <f>(AY35+AZ167)*(1-IFERROR(IF(AZ$2+$F35&lt;=12,SUMIFS('Attrition Modeling'!$D:$D,'Attrition Modeling'!$B:$B,'IP Attrition'!$D35,'Attrition Modeling'!$C:$C,'IP Attrition'!AZ$1),VLOOKUP($F35+AZ$2,$A$6:$C$106,2,FALSE)*VLOOKUP(AZ$1,'Attrition Modeling'!$L$15:$N$27,IF(AZ$2+$F35&lt;=24,2,3),FALSE)),$C$3)*(1+Projection!BB$16)*(1+IF(AZ167&gt;0,'Attrition Modeling'!$N$9,0)))</f>
        <v>0</v>
      </c>
      <c r="BA35" s="799">
        <f>(AZ35+BA167)*(1-IFERROR(IF(BA$2+$F35&lt;=12,SUMIFS('Attrition Modeling'!$D:$D,'Attrition Modeling'!$B:$B,'IP Attrition'!$D35,'Attrition Modeling'!$C:$C,'IP Attrition'!BA$1),VLOOKUP($F35+BA$2,$A$6:$C$106,2,FALSE)*VLOOKUP(BA$1,'Attrition Modeling'!$L$15:$N$27,IF(BA$2+$F35&lt;=24,2,3),FALSE)),$C$3)*(1+Projection!BC$16)*(1+IF(BA167&gt;0,'Attrition Modeling'!$N$9,0)))</f>
        <v>0</v>
      </c>
      <c r="BB35" s="799">
        <f>(BA35+BB167)*(1-IFERROR(IF(BB$2+$F35&lt;=12,SUMIFS('Attrition Modeling'!$D:$D,'Attrition Modeling'!$B:$B,'IP Attrition'!$D35,'Attrition Modeling'!$C:$C,'IP Attrition'!BB$1),VLOOKUP($F35+BB$2,$A$6:$C$106,2,FALSE)*VLOOKUP(BB$1,'Attrition Modeling'!$L$15:$N$27,IF(BB$2+$F35&lt;=24,2,3),FALSE)),$C$3)*(1+Projection!BD$16)*(1+IF(BB167&gt;0,'Attrition Modeling'!$N$9,0)))</f>
        <v>0</v>
      </c>
      <c r="BC35" s="799">
        <f>(BB35+BC167)*(1-IFERROR(IF(BC$2+$F35&lt;=12,SUMIFS('Attrition Modeling'!$D:$D,'Attrition Modeling'!$B:$B,'IP Attrition'!$D35,'Attrition Modeling'!$C:$C,'IP Attrition'!BC$1),VLOOKUP($F35+BC$2,$A$6:$C$106,2,FALSE)*VLOOKUP(BC$1,'Attrition Modeling'!$L$15:$N$27,IF(BC$2+$F35&lt;=24,2,3),FALSE)),$C$3)*(1+Projection!BE$16)*(1+IF(BC167&gt;0,'Attrition Modeling'!$N$9,0)))</f>
        <v>0</v>
      </c>
      <c r="BD35" s="799">
        <f>(BC35+BD167)*(1-IFERROR(IF(BD$2+$F35&lt;=12,SUMIFS('Attrition Modeling'!$D:$D,'Attrition Modeling'!$B:$B,'IP Attrition'!$D35,'Attrition Modeling'!$C:$C,'IP Attrition'!BD$1),VLOOKUP($F35+BD$2,$A$6:$C$106,2,FALSE)*VLOOKUP(BD$1,'Attrition Modeling'!$L$15:$N$27,IF(BD$2+$F35&lt;=24,2,3),FALSE)),$C$3)*(1+Projection!BF$16)*(1+IF(BD167&gt;0,'Attrition Modeling'!$N$9,0)))</f>
        <v>0</v>
      </c>
      <c r="BE35" s="799">
        <f>(BD35+BE167)*(1-IFERROR(IF(BE$2+$F35&lt;=12,SUMIFS('Attrition Modeling'!$D:$D,'Attrition Modeling'!$B:$B,'IP Attrition'!$D35,'Attrition Modeling'!$C:$C,'IP Attrition'!BE$1),VLOOKUP($F35+BE$2,$A$6:$C$106,2,FALSE)*VLOOKUP(BE$1,'Attrition Modeling'!$L$15:$N$27,IF(BE$2+$F35&lt;=24,2,3),FALSE)),$C$3)*(1+Projection!BG$16)*(1+IF(BE167&gt;0,'Attrition Modeling'!$N$9,0)))</f>
        <v>0</v>
      </c>
      <c r="BF35" s="799">
        <f>(BE35+BF167)*(1-IFERROR(IF(BF$2+$F35&lt;=12,SUMIFS('Attrition Modeling'!$D:$D,'Attrition Modeling'!$B:$B,'IP Attrition'!$D35,'Attrition Modeling'!$C:$C,'IP Attrition'!BF$1),VLOOKUP($F35+BF$2,$A$6:$C$106,2,FALSE)*VLOOKUP(BF$1,'Attrition Modeling'!$L$15:$N$27,IF(BF$2+$F35&lt;=24,2,3),FALSE)),$C$3)*(1+Projection!BH$16)*(1+IF(BF167&gt;0,'Attrition Modeling'!$N$9,0)))</f>
        <v>0</v>
      </c>
      <c r="BG35" s="799">
        <f>(BF35+BG167)*(1-IFERROR(IF(BG$2+$F35&lt;=12,SUMIFS('Attrition Modeling'!$D:$D,'Attrition Modeling'!$B:$B,'IP Attrition'!$D35,'Attrition Modeling'!$C:$C,'IP Attrition'!BG$1),VLOOKUP($F35+BG$2,$A$6:$C$106,2,FALSE)*VLOOKUP(BG$1,'Attrition Modeling'!$L$15:$N$27,IF(BG$2+$F35&lt;=24,2,3),FALSE)),$C$3)*(1+Projection!BI$16)*(1+IF(BG167&gt;0,'Attrition Modeling'!$N$9,0)))</f>
        <v>0</v>
      </c>
      <c r="BH35" s="799">
        <f>(BG35+BH167)*(1-IFERROR(IF(BH$2+$F35&lt;=12,SUMIFS('Attrition Modeling'!$D:$D,'Attrition Modeling'!$B:$B,'IP Attrition'!$D35,'Attrition Modeling'!$C:$C,'IP Attrition'!BH$1),VLOOKUP($F35+BH$2,$A$6:$C$106,2,FALSE)*VLOOKUP(BH$1,'Attrition Modeling'!$L$15:$N$27,IF(BH$2+$F35&lt;=24,2,3),FALSE)),$C$3)*(1+Projection!BJ$16)*(1+IF(BH167&gt;0,'Attrition Modeling'!$N$9,0)))</f>
        <v>0</v>
      </c>
      <c r="BI35" s="799">
        <f>(BH35+BI167)*(1-IFERROR(IF(BI$2+$F35&lt;=12,SUMIFS('Attrition Modeling'!$D:$D,'Attrition Modeling'!$B:$B,'IP Attrition'!$D35,'Attrition Modeling'!$C:$C,'IP Attrition'!BI$1),VLOOKUP($F35+BI$2,$A$6:$C$106,2,FALSE)*VLOOKUP(BI$1,'Attrition Modeling'!$L$15:$N$27,IF(BI$2+$F35&lt;=24,2,3),FALSE)),$C$3)*(1+Projection!BK$16)*(1+IF(BI167&gt;0,'Attrition Modeling'!$N$9,0)))</f>
        <v>0</v>
      </c>
      <c r="BJ35" s="799">
        <f>(BI35+BJ167)*(1-IFERROR(IF(BJ$2+$F35&lt;=12,SUMIFS('Attrition Modeling'!$D:$D,'Attrition Modeling'!$B:$B,'IP Attrition'!$D35,'Attrition Modeling'!$C:$C,'IP Attrition'!BJ$1),VLOOKUP($F35+BJ$2,$A$6:$C$106,2,FALSE)*VLOOKUP(BJ$1,'Attrition Modeling'!$L$15:$N$27,IF(BJ$2+$F35&lt;=24,2,3),FALSE)),$C$3)*(1+Projection!BL$16)*(1+IF(BJ167&gt;0,'Attrition Modeling'!$N$9,0)))</f>
        <v>0</v>
      </c>
      <c r="BK35" s="799">
        <f>(BJ35+BK167)*(1-IFERROR(IF(BK$2+$F35&lt;=12,SUMIFS('Attrition Modeling'!$D:$D,'Attrition Modeling'!$B:$B,'IP Attrition'!$D35,'Attrition Modeling'!$C:$C,'IP Attrition'!BK$1),VLOOKUP($F35+BK$2,$A$6:$C$106,2,FALSE)*VLOOKUP(BK$1,'Attrition Modeling'!$L$15:$N$27,IF(BK$2+$F35&lt;=24,2,3),FALSE)),$C$3)*(1+Projection!BM$16)*(1+IF(BK167&gt;0,'Attrition Modeling'!$N$9,0)))</f>
        <v>0</v>
      </c>
      <c r="BL35" s="799">
        <f>(BK35+BL167)*(1-IFERROR(IF(BL$2+$F35&lt;=12,SUMIFS('Attrition Modeling'!$D:$D,'Attrition Modeling'!$B:$B,'IP Attrition'!$D35,'Attrition Modeling'!$C:$C,'IP Attrition'!BL$1),VLOOKUP($F35+BL$2,$A$6:$C$106,2,FALSE)*VLOOKUP(BL$1,'Attrition Modeling'!$L$15:$N$27,IF(BL$2+$F35&lt;=24,2,3),FALSE)),$C$3)*(1+Projection!BN$16)*(1+IF(BL167&gt;0,'Attrition Modeling'!$N$9,0)))</f>
        <v>0</v>
      </c>
      <c r="BM35" s="799">
        <f>(BL35+BM167)*(1-IFERROR(IF(BM$2+$F35&lt;=12,SUMIFS('Attrition Modeling'!$D:$D,'Attrition Modeling'!$B:$B,'IP Attrition'!$D35,'Attrition Modeling'!$C:$C,'IP Attrition'!BM$1),VLOOKUP($F35+BM$2,$A$6:$C$106,2,FALSE)*VLOOKUP(BM$1,'Attrition Modeling'!$L$15:$N$27,IF(BM$2+$F35&lt;=24,2,3),FALSE)),$C$3)*(1+Projection!BO$16)*(1+IF(BM167&gt;0,'Attrition Modeling'!$N$9,0)))</f>
        <v>0</v>
      </c>
      <c r="BN35" s="799">
        <f>(BM35+BN167)*(1-IFERROR(IF(BN$2+$F35&lt;=12,SUMIFS('Attrition Modeling'!$D:$D,'Attrition Modeling'!$B:$B,'IP Attrition'!$D35,'Attrition Modeling'!$C:$C,'IP Attrition'!BN$1),VLOOKUP($F35+BN$2,$A$6:$C$106,2,FALSE)*VLOOKUP(BN$1,'Attrition Modeling'!$L$15:$N$27,IF(BN$2+$F35&lt;=24,2,3),FALSE)),$C$3)*(1+Projection!BP$16)*(1+IF(BN167&gt;0,'Attrition Modeling'!$N$9,0)))</f>
        <v>0</v>
      </c>
      <c r="BO35" s="799">
        <f>(BN35+BO167)*(1-IFERROR(IF(BO$2+$F35&lt;=12,SUMIFS('Attrition Modeling'!$D:$D,'Attrition Modeling'!$B:$B,'IP Attrition'!$D35,'Attrition Modeling'!$C:$C,'IP Attrition'!BO$1),VLOOKUP($F35+BO$2,$A$6:$C$106,2,FALSE)*VLOOKUP(BO$1,'Attrition Modeling'!$L$15:$N$27,IF(BO$2+$F35&lt;=24,2,3),FALSE)),$C$3)*(1+Projection!BV$16)*(1+IF(BO167&gt;0,'Attrition Modeling'!$N$9,0)))</f>
        <v>0</v>
      </c>
      <c r="BP35" s="799">
        <f>(BO35+BP167)*(1-IFERROR(IF(BP$2+$F35&lt;=12,SUMIFS('Attrition Modeling'!$D:$D,'Attrition Modeling'!$B:$B,'IP Attrition'!$D35,'Attrition Modeling'!$C:$C,'IP Attrition'!BP$1),VLOOKUP($F35+BP$2,$A$6:$C$106,2,FALSE)*VLOOKUP(BP$1,'Attrition Modeling'!$L$15:$N$27,IF(BP$2+$F35&lt;=24,2,3),FALSE)),$C$3)*(1+Projection!BW$16)*(1+IF(BP167&gt;0,'Attrition Modeling'!$N$9,0)))</f>
        <v>0</v>
      </c>
      <c r="BQ35" s="799">
        <f>(BP35+BQ167)*(1-IFERROR(IF(BQ$2+$F35&lt;=12,SUMIFS('Attrition Modeling'!$D:$D,'Attrition Modeling'!$B:$B,'IP Attrition'!$D35,'Attrition Modeling'!$C:$C,'IP Attrition'!BQ$1),VLOOKUP($F35+BQ$2,$A$6:$C$106,2,FALSE)*VLOOKUP(BQ$1,'Attrition Modeling'!$L$15:$N$27,IF(BQ$2+$F35&lt;=24,2,3),FALSE)),$C$3)*(1+Projection!BX$16)*(1+IF(BQ167&gt;0,'Attrition Modeling'!$N$9,0)))</f>
        <v>0</v>
      </c>
      <c r="BR35" s="799">
        <f>(BQ35+BR167)*(1-IFERROR(IF(BR$2+$F35&lt;=12,SUMIFS('Attrition Modeling'!$D:$D,'Attrition Modeling'!$B:$B,'IP Attrition'!$D35,'Attrition Modeling'!$C:$C,'IP Attrition'!BR$1),VLOOKUP($F35+BR$2,$A$6:$C$106,2,FALSE)*VLOOKUP(BR$1,'Attrition Modeling'!$L$15:$N$27,IF(BR$2+$F35&lt;=24,2,3),FALSE)),$C$3)*(1+Projection!BY$16)*(1+IF(BR167&gt;0,'Attrition Modeling'!$N$9,0)))</f>
        <v>0</v>
      </c>
      <c r="BS35" s="799">
        <f>(BR35+BS167)*(1-IFERROR(IF(BS$2+$F35&lt;=12,SUMIFS('Attrition Modeling'!$D:$D,'Attrition Modeling'!$B:$B,'IP Attrition'!$D35,'Attrition Modeling'!$C:$C,'IP Attrition'!BS$1),VLOOKUP($F35+BS$2,$A$6:$C$106,2,FALSE)*VLOOKUP(BS$1,'Attrition Modeling'!$L$15:$N$27,IF(BS$2+$F35&lt;=24,2,3),FALSE)),$C$3)*(1+Projection!BZ$16)*(1+IF(BS167&gt;0,'Attrition Modeling'!$N$9,0)))</f>
        <v>0</v>
      </c>
      <c r="BT35" s="799" t="e">
        <f>(BS35+BT167)*(1-IFERROR(IF(BT$2+$F35&lt;=12,SUMIFS('Attrition Modeling'!$D:$D,'Attrition Modeling'!$B:$B,'IP Attrition'!$D35,'Attrition Modeling'!$C:$C,'IP Attrition'!BT$1),VLOOKUP($F35+BT$2,$A$6:$C$106,2,FALSE)*VLOOKUP(BT$1,'Attrition Modeling'!$L$15:$N$27,IF(BT$2+$F35&lt;=24,2,3),FALSE)),$C$3)*(1+Projection!CA$16)*(1+IF(BT167&gt;0,'Attrition Modeling'!$N$9,0)))</f>
        <v>#REF!</v>
      </c>
      <c r="BU35" s="799" t="e">
        <f>(BT35+BU167)*(1-IFERROR(IF(BU$2+$F35&lt;=12,SUMIFS('Attrition Modeling'!$D:$D,'Attrition Modeling'!$B:$B,'IP Attrition'!$D35,'Attrition Modeling'!$C:$C,'IP Attrition'!BU$1),VLOOKUP($F35+BU$2,$A$6:$C$106,2,FALSE)*VLOOKUP(BU$1,'Attrition Modeling'!$L$15:$N$27,IF(BU$2+$F35&lt;=24,2,3),FALSE)),$C$3)*(1+Projection!CB$16)*(1+IF(BU167&gt;0,'Attrition Modeling'!$N$9,0)))</f>
        <v>#REF!</v>
      </c>
    </row>
    <row r="36" spans="1:73" ht="14.25" customHeight="1" x14ac:dyDescent="0.2">
      <c r="A36" s="9">
        <v>29</v>
      </c>
      <c r="B36" s="25">
        <f>MAX('Attrition Modeling'!H33,$C$3)*(1-Summary!$C$20)</f>
        <v>3.3473084141557072E-2</v>
      </c>
      <c r="C36" s="24" t="e">
        <f t="shared" si="3"/>
        <v>#DIV/0!</v>
      </c>
      <c r="D36" s="11">
        <f t="shared" si="1"/>
        <v>-33</v>
      </c>
      <c r="E36" s="807">
        <f t="array" ref="E36">INDEX('Attrition Modeling'!$X$2:$AF$63,MATCH($F36,'Attrition Modeling'!$X$2:$X$63,0),MATCH(Inputs!$C$10,'Attrition Modeling'!$X$2:$AF$2,0))</f>
        <v>0</v>
      </c>
      <c r="F36" s="11">
        <f t="shared" si="2"/>
        <v>33</v>
      </c>
      <c r="G36" s="799">
        <f>Summary!$C$25*$E36</f>
        <v>0</v>
      </c>
      <c r="H36" s="799">
        <f>(G36+H168)*(1-IFERROR(IF(H$2+$F36&lt;=12,SUMIFS('Attrition Modeling'!$D:$D,'Attrition Modeling'!$B:$B,'IP Attrition'!$D36,'Attrition Modeling'!$C:$C,'IP Attrition'!H$1),VLOOKUP($F36+H$2,$A$6:$C$106,2,FALSE)*VLOOKUP(H$1,'Attrition Modeling'!$L$15:$N$27,IF(H$2+$F36&lt;=24,2,3),FALSE)),$C$3)*(1+Projection!J$16)*(1+IF(H168&gt;0,'Attrition Modeling'!$N$9,0)))</f>
        <v>0</v>
      </c>
      <c r="I36" s="799">
        <f>(H36+I168)*(1-IFERROR(IF(I$2+$F36&lt;=12,SUMIFS('Attrition Modeling'!$D:$D,'Attrition Modeling'!$B:$B,'IP Attrition'!$D36,'Attrition Modeling'!$C:$C,'IP Attrition'!I$1),VLOOKUP($F36+I$2,$A$6:$C$106,2,FALSE)*VLOOKUP(I$1,'Attrition Modeling'!$L$15:$N$27,IF(I$2+$F36&lt;=24,2,3),FALSE)),$C$3)*(1+Projection!K$16)*(1+IF(I168&gt;0,'Attrition Modeling'!$N$9,0)))</f>
        <v>0</v>
      </c>
      <c r="J36" s="799">
        <f>(I36+J168)*(1-IFERROR(IF(J$2+$F36&lt;=12,SUMIFS('Attrition Modeling'!$D:$D,'Attrition Modeling'!$B:$B,'IP Attrition'!$D36,'Attrition Modeling'!$C:$C,'IP Attrition'!J$1),VLOOKUP($F36+J$2,$A$6:$C$106,2,FALSE)*VLOOKUP(J$1,'Attrition Modeling'!$L$15:$N$27,IF(J$2+$F36&lt;=24,2,3),FALSE)),$C$3)*(1+Projection!L$16)*(1+IF(J168&gt;0,'Attrition Modeling'!$N$9,0)))</f>
        <v>0</v>
      </c>
      <c r="K36" s="799">
        <f>(J36+K168)*(1-IFERROR(IF(K$2+$F36&lt;=12,SUMIFS('Attrition Modeling'!$D:$D,'Attrition Modeling'!$B:$B,'IP Attrition'!$D36,'Attrition Modeling'!$C:$C,'IP Attrition'!K$1),VLOOKUP($F36+K$2,$A$6:$C$106,2,FALSE)*VLOOKUP(K$1,'Attrition Modeling'!$L$15:$N$27,IF(K$2+$F36&lt;=24,2,3),FALSE)),$C$3)*(1+Projection!M$16)*(1+IF(K168&gt;0,'Attrition Modeling'!$N$9,0)))</f>
        <v>0</v>
      </c>
      <c r="L36" s="799">
        <f>(K36+L168)*(1-IFERROR(IF(L$2+$F36&lt;=12,SUMIFS('Attrition Modeling'!$D:$D,'Attrition Modeling'!$B:$B,'IP Attrition'!$D36,'Attrition Modeling'!$C:$C,'IP Attrition'!L$1),VLOOKUP($F36+L$2,$A$6:$C$106,2,FALSE)*VLOOKUP(L$1,'Attrition Modeling'!$L$15:$N$27,IF(L$2+$F36&lt;=24,2,3),FALSE)),$C$3)*(1+Projection!N$16)*(1+IF(L168&gt;0,'Attrition Modeling'!$N$9,0)))</f>
        <v>0</v>
      </c>
      <c r="M36" s="799">
        <f>(L36+M168)*(1-IFERROR(IF(M$2+$F36&lt;=12,SUMIFS('Attrition Modeling'!$D:$D,'Attrition Modeling'!$B:$B,'IP Attrition'!$D36,'Attrition Modeling'!$C:$C,'IP Attrition'!M$1),VLOOKUP($F36+M$2,$A$6:$C$106,2,FALSE)*VLOOKUP(M$1,'Attrition Modeling'!$L$15:$N$27,IF(M$2+$F36&lt;=24,2,3),FALSE)),$C$3)*(1+Projection!O$16)*(1+IF(M168&gt;0,'Attrition Modeling'!$N$9,0)))</f>
        <v>0</v>
      </c>
      <c r="N36" s="799">
        <f>(M36+N168)*(1-IFERROR(IF(N$2+$F36&lt;=12,SUMIFS('Attrition Modeling'!$D:$D,'Attrition Modeling'!$B:$B,'IP Attrition'!$D36,'Attrition Modeling'!$C:$C,'IP Attrition'!N$1),VLOOKUP($F36+N$2,$A$6:$C$106,2,FALSE)*VLOOKUP(N$1,'Attrition Modeling'!$L$15:$N$27,IF(N$2+$F36&lt;=24,2,3),FALSE)),$C$3)*(1+Projection!P$16)*(1+IF(N168&gt;0,'Attrition Modeling'!$N$9,0)))</f>
        <v>0</v>
      </c>
      <c r="O36" s="799">
        <f>(N36+O168)*(1-IFERROR(IF(O$2+$F36&lt;=12,SUMIFS('Attrition Modeling'!$D:$D,'Attrition Modeling'!$B:$B,'IP Attrition'!$D36,'Attrition Modeling'!$C:$C,'IP Attrition'!O$1),VLOOKUP($F36+O$2,$A$6:$C$106,2,FALSE)*VLOOKUP(O$1,'Attrition Modeling'!$L$15:$N$27,IF(O$2+$F36&lt;=24,2,3),FALSE)),$C$3)*(1+Projection!Q$16)*(1+IF(O168&gt;0,'Attrition Modeling'!$N$9,0)))</f>
        <v>0</v>
      </c>
      <c r="P36" s="799">
        <f>(O36+P168)*(1-IFERROR(IF(P$2+$F36&lt;=12,SUMIFS('Attrition Modeling'!$D:$D,'Attrition Modeling'!$B:$B,'IP Attrition'!$D36,'Attrition Modeling'!$C:$C,'IP Attrition'!P$1),VLOOKUP($F36+P$2,$A$6:$C$106,2,FALSE)*VLOOKUP(P$1,'Attrition Modeling'!$L$15:$N$27,IF(P$2+$F36&lt;=24,2,3),FALSE)),$C$3)*(1+Projection!R$16)*(1+IF(P168&gt;0,'Attrition Modeling'!$N$9,0)))</f>
        <v>0</v>
      </c>
      <c r="Q36" s="799">
        <f>(P36+Q168)*(1-IFERROR(IF(Q$2+$F36&lt;=12,SUMIFS('Attrition Modeling'!$D:$D,'Attrition Modeling'!$B:$B,'IP Attrition'!$D36,'Attrition Modeling'!$C:$C,'IP Attrition'!Q$1),VLOOKUP($F36+Q$2,$A$6:$C$106,2,FALSE)*VLOOKUP(Q$1,'Attrition Modeling'!$L$15:$N$27,IF(Q$2+$F36&lt;=24,2,3),FALSE)),$C$3)*(1+Projection!S$16)*(1+IF(Q168&gt;0,'Attrition Modeling'!$N$9,0)))</f>
        <v>0</v>
      </c>
      <c r="R36" s="799">
        <f>(Q36+R168)*(1-IFERROR(IF(R$2+$F36&lt;=12,SUMIFS('Attrition Modeling'!$D:$D,'Attrition Modeling'!$B:$B,'IP Attrition'!$D36,'Attrition Modeling'!$C:$C,'IP Attrition'!R$1),VLOOKUP($F36+R$2,$A$6:$C$106,2,FALSE)*VLOOKUP(R$1,'Attrition Modeling'!$L$15:$N$27,IF(R$2+$F36&lt;=24,2,3),FALSE)),$C$3)*(1+Projection!T$16)*(1+IF(R168&gt;0,'Attrition Modeling'!$N$9,0)))</f>
        <v>0</v>
      </c>
      <c r="S36" s="799">
        <f>(R36+S168)*(1-IFERROR(IF(S$2+$F36&lt;=12,SUMIFS('Attrition Modeling'!$D:$D,'Attrition Modeling'!$B:$B,'IP Attrition'!$D36,'Attrition Modeling'!$C:$C,'IP Attrition'!S$1),VLOOKUP($F36+S$2,$A$6:$C$106,2,FALSE)*VLOOKUP(S$1,'Attrition Modeling'!$L$15:$N$27,IF(S$2+$F36&lt;=24,2,3),FALSE)),$C$3)*(1+Projection!U$16)*(1+IF(S168&gt;0,'Attrition Modeling'!$N$9,0)))</f>
        <v>0</v>
      </c>
      <c r="T36" s="799">
        <f>(S36+T168)*(1-IFERROR(IF(T$2+$F36&lt;=12,SUMIFS('Attrition Modeling'!$D:$D,'Attrition Modeling'!$B:$B,'IP Attrition'!$D36,'Attrition Modeling'!$C:$C,'IP Attrition'!T$1),VLOOKUP($F36+T$2,$A$6:$C$106,2,FALSE)*VLOOKUP(T$1,'Attrition Modeling'!$L$15:$N$27,IF(T$2+$F36&lt;=24,2,3),FALSE)),$C$3)*(1+Projection!V$16)*(1+IF(T168&gt;0,'Attrition Modeling'!$N$9,0)))</f>
        <v>0</v>
      </c>
      <c r="U36" s="799">
        <f>(T36+U168)*(1-IFERROR(IF(U$2+$F36&lt;=12,SUMIFS('Attrition Modeling'!$D:$D,'Attrition Modeling'!$B:$B,'IP Attrition'!$D36,'Attrition Modeling'!$C:$C,'IP Attrition'!U$1),VLOOKUP($F36+U$2,$A$6:$C$106,2,FALSE)*VLOOKUP(U$1,'Attrition Modeling'!$L$15:$N$27,IF(U$2+$F36&lt;=24,2,3),FALSE)),$C$3)*(1+Projection!W$16)*(1+IF(U168&gt;0,'Attrition Modeling'!$N$9,0)))</f>
        <v>0</v>
      </c>
      <c r="V36" s="799">
        <f>(U36+V168)*(1-IFERROR(IF(V$2+$F36&lt;=12,SUMIFS('Attrition Modeling'!$D:$D,'Attrition Modeling'!$B:$B,'IP Attrition'!$D36,'Attrition Modeling'!$C:$C,'IP Attrition'!V$1),VLOOKUP($F36+V$2,$A$6:$C$106,2,FALSE)*VLOOKUP(V$1,'Attrition Modeling'!$L$15:$N$27,IF(V$2+$F36&lt;=24,2,3),FALSE)),$C$3)*(1+Projection!X$16)*(1+IF(V168&gt;0,'Attrition Modeling'!$N$9,0)))</f>
        <v>0</v>
      </c>
      <c r="W36" s="799">
        <f>(V36+W168)*(1-IFERROR(IF(W$2+$F36&lt;=12,SUMIFS('Attrition Modeling'!$D:$D,'Attrition Modeling'!$B:$B,'IP Attrition'!$D36,'Attrition Modeling'!$C:$C,'IP Attrition'!W$1),VLOOKUP($F36+W$2,$A$6:$C$106,2,FALSE)*VLOOKUP(W$1,'Attrition Modeling'!$L$15:$N$27,IF(W$2+$F36&lt;=24,2,3),FALSE)),$C$3)*(1+Projection!Y$16)*(1+IF(W168&gt;0,'Attrition Modeling'!$N$9,0)))</f>
        <v>0</v>
      </c>
      <c r="X36" s="799">
        <f>(W36+X168)*(1-IFERROR(IF(X$2+$F36&lt;=12,SUMIFS('Attrition Modeling'!$D:$D,'Attrition Modeling'!$B:$B,'IP Attrition'!$D36,'Attrition Modeling'!$C:$C,'IP Attrition'!X$1),VLOOKUP($F36+X$2,$A$6:$C$106,2,FALSE)*VLOOKUP(X$1,'Attrition Modeling'!$L$15:$N$27,IF(X$2+$F36&lt;=24,2,3),FALSE)),$C$3)*(1+Projection!Z$16)*(1+IF(X168&gt;0,'Attrition Modeling'!$N$9,0)))</f>
        <v>0</v>
      </c>
      <c r="Y36" s="799">
        <f>(X36+Y168)*(1-IFERROR(IF(Y$2+$F36&lt;=12,SUMIFS('Attrition Modeling'!$D:$D,'Attrition Modeling'!$B:$B,'IP Attrition'!$D36,'Attrition Modeling'!$C:$C,'IP Attrition'!Y$1),VLOOKUP($F36+Y$2,$A$6:$C$106,2,FALSE)*VLOOKUP(Y$1,'Attrition Modeling'!$L$15:$N$27,IF(Y$2+$F36&lt;=24,2,3),FALSE)),$C$3)*(1+Projection!AA$16)*(1+IF(Y168&gt;0,'Attrition Modeling'!$N$9,0)))</f>
        <v>0</v>
      </c>
      <c r="Z36" s="799">
        <f>(Y36+Z168)*(1-IFERROR(IF(Z$2+$F36&lt;=12,SUMIFS('Attrition Modeling'!$D:$D,'Attrition Modeling'!$B:$B,'IP Attrition'!$D36,'Attrition Modeling'!$C:$C,'IP Attrition'!Z$1),VLOOKUP($F36+Z$2,$A$6:$C$106,2,FALSE)*VLOOKUP(Z$1,'Attrition Modeling'!$L$15:$N$27,IF(Z$2+$F36&lt;=24,2,3),FALSE)),$C$3)*(1+Projection!AB$16)*(1+IF(Z168&gt;0,'Attrition Modeling'!$N$9,0)))</f>
        <v>0</v>
      </c>
      <c r="AA36" s="799">
        <f>(Z36+AA168)*(1-IFERROR(IF(AA$2+$F36&lt;=12,SUMIFS('Attrition Modeling'!$D:$D,'Attrition Modeling'!$B:$B,'IP Attrition'!$D36,'Attrition Modeling'!$C:$C,'IP Attrition'!AA$1),VLOOKUP($F36+AA$2,$A$6:$C$106,2,FALSE)*VLOOKUP(AA$1,'Attrition Modeling'!$L$15:$N$27,IF(AA$2+$F36&lt;=24,2,3),FALSE)),$C$3)*(1+Projection!AC$16)*(1+IF(AA168&gt;0,'Attrition Modeling'!$N$9,0)))</f>
        <v>0</v>
      </c>
      <c r="AB36" s="799">
        <f>(AA36+AB168)*(1-IFERROR(IF(AB$2+$F36&lt;=12,SUMIFS('Attrition Modeling'!$D:$D,'Attrition Modeling'!$B:$B,'IP Attrition'!$D36,'Attrition Modeling'!$C:$C,'IP Attrition'!AB$1),VLOOKUP($F36+AB$2,$A$6:$C$106,2,FALSE)*VLOOKUP(AB$1,'Attrition Modeling'!$L$15:$N$27,IF(AB$2+$F36&lt;=24,2,3),FALSE)),$C$3)*(1+Projection!AD$16)*(1+IF(AB168&gt;0,'Attrition Modeling'!$N$9,0)))</f>
        <v>0</v>
      </c>
      <c r="AC36" s="799">
        <f>(AB36+AC168)*(1-IFERROR(IF(AC$2+$F36&lt;=12,SUMIFS('Attrition Modeling'!$D:$D,'Attrition Modeling'!$B:$B,'IP Attrition'!$D36,'Attrition Modeling'!$C:$C,'IP Attrition'!AC$1),VLOOKUP($F36+AC$2,$A$6:$C$106,2,FALSE)*VLOOKUP(AC$1,'Attrition Modeling'!$L$15:$N$27,IF(AC$2+$F36&lt;=24,2,3),FALSE)),$C$3)*(1+Projection!AE$16)*(1+IF(AC168&gt;0,'Attrition Modeling'!$N$9,0)))</f>
        <v>0</v>
      </c>
      <c r="AD36" s="799">
        <f>(AC36+AD168)*(1-IFERROR(IF(AD$2+$F36&lt;=12,SUMIFS('Attrition Modeling'!$D:$D,'Attrition Modeling'!$B:$B,'IP Attrition'!$D36,'Attrition Modeling'!$C:$C,'IP Attrition'!AD$1),VLOOKUP($F36+AD$2,$A$6:$C$106,2,FALSE)*VLOOKUP(AD$1,'Attrition Modeling'!$L$15:$N$27,IF(AD$2+$F36&lt;=24,2,3),FALSE)),$C$3)*(1+Projection!AF$16)*(1+IF(AD168&gt;0,'Attrition Modeling'!$N$9,0)))</f>
        <v>0</v>
      </c>
      <c r="AE36" s="799">
        <f>(AD36+AE168)*(1-IFERROR(IF(AE$2+$F36&lt;=12,SUMIFS('Attrition Modeling'!$D:$D,'Attrition Modeling'!$B:$B,'IP Attrition'!$D36,'Attrition Modeling'!$C:$C,'IP Attrition'!AE$1),VLOOKUP($F36+AE$2,$A$6:$C$106,2,FALSE)*VLOOKUP(AE$1,'Attrition Modeling'!$L$15:$N$27,IF(AE$2+$F36&lt;=24,2,3),FALSE)),$C$3)*(1+Projection!AG$16)*(1+IF(AE168&gt;0,'Attrition Modeling'!$N$9,0)))</f>
        <v>0</v>
      </c>
      <c r="AF36" s="799">
        <f>(AE36+AF168)*(1-IFERROR(IF(AF$2+$F36&lt;=12,SUMIFS('Attrition Modeling'!$D:$D,'Attrition Modeling'!$B:$B,'IP Attrition'!$D36,'Attrition Modeling'!$C:$C,'IP Attrition'!AF$1),VLOOKUP($F36+AF$2,$A$6:$C$106,2,FALSE)*VLOOKUP(AF$1,'Attrition Modeling'!$L$15:$N$27,IF(AF$2+$F36&lt;=24,2,3),FALSE)),$C$3)*(1+Projection!AH$16)*(1+IF(AF168&gt;0,'Attrition Modeling'!$N$9,0)))</f>
        <v>0</v>
      </c>
      <c r="AG36" s="799">
        <f>(AF36+AG168)*(1-IFERROR(IF(AG$2+$F36&lt;=12,SUMIFS('Attrition Modeling'!$D:$D,'Attrition Modeling'!$B:$B,'IP Attrition'!$D36,'Attrition Modeling'!$C:$C,'IP Attrition'!AG$1),VLOOKUP($F36+AG$2,$A$6:$C$106,2,FALSE)*VLOOKUP(AG$1,'Attrition Modeling'!$L$15:$N$27,IF(AG$2+$F36&lt;=24,2,3),FALSE)),$C$3)*(1+Projection!AI$16)*(1+IF(AG168&gt;0,'Attrition Modeling'!$N$9,0)))</f>
        <v>0</v>
      </c>
      <c r="AH36" s="799">
        <f>(AG36+AH168)*(1-IFERROR(IF(AH$2+$F36&lt;=12,SUMIFS('Attrition Modeling'!$D:$D,'Attrition Modeling'!$B:$B,'IP Attrition'!$D36,'Attrition Modeling'!$C:$C,'IP Attrition'!AH$1),VLOOKUP($F36+AH$2,$A$6:$C$106,2,FALSE)*VLOOKUP(AH$1,'Attrition Modeling'!$L$15:$N$27,IF(AH$2+$F36&lt;=24,2,3),FALSE)),$C$3)*(1+Projection!AJ$16)*(1+IF(AH168&gt;0,'Attrition Modeling'!$N$9,0)))</f>
        <v>0</v>
      </c>
      <c r="AI36" s="799">
        <f>(AH36+AI168)*(1-IFERROR(IF(AI$2+$F36&lt;=12,SUMIFS('Attrition Modeling'!$D:$D,'Attrition Modeling'!$B:$B,'IP Attrition'!$D36,'Attrition Modeling'!$C:$C,'IP Attrition'!AI$1),VLOOKUP($F36+AI$2,$A$6:$C$106,2,FALSE)*VLOOKUP(AI$1,'Attrition Modeling'!$L$15:$N$27,IF(AI$2+$F36&lt;=24,2,3),FALSE)),$C$3)*(1+Projection!AK$16)*(1+IF(AI168&gt;0,'Attrition Modeling'!$N$9,0)))</f>
        <v>0</v>
      </c>
      <c r="AJ36" s="799">
        <f>(AI36+AJ168)*(1-IFERROR(IF(AJ$2+$F36&lt;=12,SUMIFS('Attrition Modeling'!$D:$D,'Attrition Modeling'!$B:$B,'IP Attrition'!$D36,'Attrition Modeling'!$C:$C,'IP Attrition'!AJ$1),VLOOKUP($F36+AJ$2,$A$6:$C$106,2,FALSE)*VLOOKUP(AJ$1,'Attrition Modeling'!$L$15:$N$27,IF(AJ$2+$F36&lt;=24,2,3),FALSE)),$C$3)*(1+Projection!AL$16)*(1+IF(AJ168&gt;0,'Attrition Modeling'!$N$9,0)))</f>
        <v>0</v>
      </c>
      <c r="AK36" s="799">
        <f>(AJ36+AK168)*(1-IFERROR(IF(AK$2+$F36&lt;=12,SUMIFS('Attrition Modeling'!$D:$D,'Attrition Modeling'!$B:$B,'IP Attrition'!$D36,'Attrition Modeling'!$C:$C,'IP Attrition'!AK$1),VLOOKUP($F36+AK$2,$A$6:$C$106,2,FALSE)*VLOOKUP(AK$1,'Attrition Modeling'!$L$15:$N$27,IF(AK$2+$F36&lt;=24,2,3),FALSE)),$C$3)*(1+Projection!AM$16)*(1+IF(AK168&gt;0,'Attrition Modeling'!$N$9,0)))</f>
        <v>0</v>
      </c>
      <c r="AL36" s="799">
        <f>(AK36+AL168)*(1-IFERROR(IF(AL$2+$F36&lt;=12,SUMIFS('Attrition Modeling'!$D:$D,'Attrition Modeling'!$B:$B,'IP Attrition'!$D36,'Attrition Modeling'!$C:$C,'IP Attrition'!AL$1),VLOOKUP($F36+AL$2,$A$6:$C$106,2,FALSE)*VLOOKUP(AL$1,'Attrition Modeling'!$L$15:$N$27,IF(AL$2+$F36&lt;=24,2,3),FALSE)),$C$3)*(1+Projection!AN$16)*(1+IF(AL168&gt;0,'Attrition Modeling'!$N$9,0)))</f>
        <v>0</v>
      </c>
      <c r="AM36" s="799">
        <f>(AL36+AM168)*(1-IFERROR(IF(AM$2+$F36&lt;=12,SUMIFS('Attrition Modeling'!$D:$D,'Attrition Modeling'!$B:$B,'IP Attrition'!$D36,'Attrition Modeling'!$C:$C,'IP Attrition'!AM$1),VLOOKUP($F36+AM$2,$A$6:$C$106,2,FALSE)*VLOOKUP(AM$1,'Attrition Modeling'!$L$15:$N$27,IF(AM$2+$F36&lt;=24,2,3),FALSE)),$C$3)*(1+Projection!AO$16)*(1+IF(AM168&gt;0,'Attrition Modeling'!$N$9,0)))</f>
        <v>0</v>
      </c>
      <c r="AN36" s="799">
        <f>(AM36+AN168)*(1-IFERROR(IF(AN$2+$F36&lt;=12,SUMIFS('Attrition Modeling'!$D:$D,'Attrition Modeling'!$B:$B,'IP Attrition'!$D36,'Attrition Modeling'!$C:$C,'IP Attrition'!AN$1),VLOOKUP($F36+AN$2,$A$6:$C$106,2,FALSE)*VLOOKUP(AN$1,'Attrition Modeling'!$L$15:$N$27,IF(AN$2+$F36&lt;=24,2,3),FALSE)),$C$3)*(1+Projection!AP$16)*(1+IF(AN168&gt;0,'Attrition Modeling'!$N$9,0)))</f>
        <v>0</v>
      </c>
      <c r="AO36" s="799">
        <f>(AN36+AO168)*(1-IFERROR(IF(AO$2+$F36&lt;=12,SUMIFS('Attrition Modeling'!$D:$D,'Attrition Modeling'!$B:$B,'IP Attrition'!$D36,'Attrition Modeling'!$C:$C,'IP Attrition'!AO$1),VLOOKUP($F36+AO$2,$A$6:$C$106,2,FALSE)*VLOOKUP(AO$1,'Attrition Modeling'!$L$15:$N$27,IF(AO$2+$F36&lt;=24,2,3),FALSE)),$C$3)*(1+Projection!AQ$16)*(1+IF(AO168&gt;0,'Attrition Modeling'!$N$9,0)))</f>
        <v>0</v>
      </c>
      <c r="AP36" s="799">
        <f>(AO36+AP168)*(1-IFERROR(IF(AP$2+$F36&lt;=12,SUMIFS('Attrition Modeling'!$D:$D,'Attrition Modeling'!$B:$B,'IP Attrition'!$D36,'Attrition Modeling'!$C:$C,'IP Attrition'!AP$1),VLOOKUP($F36+AP$2,$A$6:$C$106,2,FALSE)*VLOOKUP(AP$1,'Attrition Modeling'!$L$15:$N$27,IF(AP$2+$F36&lt;=24,2,3),FALSE)),$C$3)*(1+Projection!AR$16)*(1+IF(AP168&gt;0,'Attrition Modeling'!$N$9,0)))</f>
        <v>0</v>
      </c>
      <c r="AQ36" s="799">
        <f>(AP36+AQ168)*(1-IFERROR(IF(AQ$2+$F36&lt;=12,SUMIFS('Attrition Modeling'!$D:$D,'Attrition Modeling'!$B:$B,'IP Attrition'!$D36,'Attrition Modeling'!$C:$C,'IP Attrition'!AQ$1),VLOOKUP($F36+AQ$2,$A$6:$C$106,2,FALSE)*VLOOKUP(AQ$1,'Attrition Modeling'!$L$15:$N$27,IF(AQ$2+$F36&lt;=24,2,3),FALSE)),$C$3)*(1+Projection!AS$16)*(1+IF(AQ168&gt;0,'Attrition Modeling'!$N$9,0)))</f>
        <v>0</v>
      </c>
      <c r="AR36" s="799">
        <f>(AQ36+AR168)*(1-IFERROR(IF(AR$2+$F36&lt;=12,SUMIFS('Attrition Modeling'!$D:$D,'Attrition Modeling'!$B:$B,'IP Attrition'!$D36,'Attrition Modeling'!$C:$C,'IP Attrition'!AR$1),VLOOKUP($F36+AR$2,$A$6:$C$106,2,FALSE)*VLOOKUP(AR$1,'Attrition Modeling'!$L$15:$N$27,IF(AR$2+$F36&lt;=24,2,3),FALSE)),$C$3)*(1+Projection!AT$16)*(1+IF(AR168&gt;0,'Attrition Modeling'!$N$9,0)))</f>
        <v>0</v>
      </c>
      <c r="AS36" s="799">
        <f>(AR36+AS168)*(1-IFERROR(IF(AS$2+$F36&lt;=12,SUMIFS('Attrition Modeling'!$D:$D,'Attrition Modeling'!$B:$B,'IP Attrition'!$D36,'Attrition Modeling'!$C:$C,'IP Attrition'!AS$1),VLOOKUP($F36+AS$2,$A$6:$C$106,2,FALSE)*VLOOKUP(AS$1,'Attrition Modeling'!$L$15:$N$27,IF(AS$2+$F36&lt;=24,2,3),FALSE)),$C$3)*(1+Projection!AU$16)*(1+IF(AS168&gt;0,'Attrition Modeling'!$N$9,0)))</f>
        <v>0</v>
      </c>
      <c r="AT36" s="799">
        <f>(AS36+AT168)*(1-IFERROR(IF(AT$2+$F36&lt;=12,SUMIFS('Attrition Modeling'!$D:$D,'Attrition Modeling'!$B:$B,'IP Attrition'!$D36,'Attrition Modeling'!$C:$C,'IP Attrition'!AT$1),VLOOKUP($F36+AT$2,$A$6:$C$106,2,FALSE)*VLOOKUP(AT$1,'Attrition Modeling'!$L$15:$N$27,IF(AT$2+$F36&lt;=24,2,3),FALSE)),$C$3)*(1+Projection!AV$16)*(1+IF(AT168&gt;0,'Attrition Modeling'!$N$9,0)))</f>
        <v>0</v>
      </c>
      <c r="AU36" s="799">
        <f>(AT36+AU168)*(1-IFERROR(IF(AU$2+$F36&lt;=12,SUMIFS('Attrition Modeling'!$D:$D,'Attrition Modeling'!$B:$B,'IP Attrition'!$D36,'Attrition Modeling'!$C:$C,'IP Attrition'!AU$1),VLOOKUP($F36+AU$2,$A$6:$C$106,2,FALSE)*VLOOKUP(AU$1,'Attrition Modeling'!$L$15:$N$27,IF(AU$2+$F36&lt;=24,2,3),FALSE)),$C$3)*(1+Projection!AW$16)*(1+IF(AU168&gt;0,'Attrition Modeling'!$N$9,0)))</f>
        <v>0</v>
      </c>
      <c r="AV36" s="799">
        <f>(AU36+AV168)*(1-IFERROR(IF(AV$2+$F36&lt;=12,SUMIFS('Attrition Modeling'!$D:$D,'Attrition Modeling'!$B:$B,'IP Attrition'!$D36,'Attrition Modeling'!$C:$C,'IP Attrition'!AV$1),VLOOKUP($F36+AV$2,$A$6:$C$106,2,FALSE)*VLOOKUP(AV$1,'Attrition Modeling'!$L$15:$N$27,IF(AV$2+$F36&lt;=24,2,3),FALSE)),$C$3)*(1+Projection!AX$16)*(1+IF(AV168&gt;0,'Attrition Modeling'!$N$9,0)))</f>
        <v>0</v>
      </c>
      <c r="AW36" s="799">
        <f>(AV36+AW168)*(1-IFERROR(IF(AW$2+$F36&lt;=12,SUMIFS('Attrition Modeling'!$D:$D,'Attrition Modeling'!$B:$B,'IP Attrition'!$D36,'Attrition Modeling'!$C:$C,'IP Attrition'!AW$1),VLOOKUP($F36+AW$2,$A$6:$C$106,2,FALSE)*VLOOKUP(AW$1,'Attrition Modeling'!$L$15:$N$27,IF(AW$2+$F36&lt;=24,2,3),FALSE)),$C$3)*(1+Projection!AY$16)*(1+IF(AW168&gt;0,'Attrition Modeling'!$N$9,0)))</f>
        <v>0</v>
      </c>
      <c r="AX36" s="799">
        <f>(AW36+AX168)*(1-IFERROR(IF(AX$2+$F36&lt;=12,SUMIFS('Attrition Modeling'!$D:$D,'Attrition Modeling'!$B:$B,'IP Attrition'!$D36,'Attrition Modeling'!$C:$C,'IP Attrition'!AX$1),VLOOKUP($F36+AX$2,$A$6:$C$106,2,FALSE)*VLOOKUP(AX$1,'Attrition Modeling'!$L$15:$N$27,IF(AX$2+$F36&lt;=24,2,3),FALSE)),$C$3)*(1+Projection!AZ$16)*(1+IF(AX168&gt;0,'Attrition Modeling'!$N$9,0)))</f>
        <v>0</v>
      </c>
      <c r="AY36" s="799">
        <f>(AX36+AY168)*(1-IFERROR(IF(AY$2+$F36&lt;=12,SUMIFS('Attrition Modeling'!$D:$D,'Attrition Modeling'!$B:$B,'IP Attrition'!$D36,'Attrition Modeling'!$C:$C,'IP Attrition'!AY$1),VLOOKUP($F36+AY$2,$A$6:$C$106,2,FALSE)*VLOOKUP(AY$1,'Attrition Modeling'!$L$15:$N$27,IF(AY$2+$F36&lt;=24,2,3),FALSE)),$C$3)*(1+Projection!BA$16)*(1+IF(AY168&gt;0,'Attrition Modeling'!$N$9,0)))</f>
        <v>0</v>
      </c>
      <c r="AZ36" s="799">
        <f>(AY36+AZ168)*(1-IFERROR(IF(AZ$2+$F36&lt;=12,SUMIFS('Attrition Modeling'!$D:$D,'Attrition Modeling'!$B:$B,'IP Attrition'!$D36,'Attrition Modeling'!$C:$C,'IP Attrition'!AZ$1),VLOOKUP($F36+AZ$2,$A$6:$C$106,2,FALSE)*VLOOKUP(AZ$1,'Attrition Modeling'!$L$15:$N$27,IF(AZ$2+$F36&lt;=24,2,3),FALSE)),$C$3)*(1+Projection!BB$16)*(1+IF(AZ168&gt;0,'Attrition Modeling'!$N$9,0)))</f>
        <v>0</v>
      </c>
      <c r="BA36" s="799">
        <f>(AZ36+BA168)*(1-IFERROR(IF(BA$2+$F36&lt;=12,SUMIFS('Attrition Modeling'!$D:$D,'Attrition Modeling'!$B:$B,'IP Attrition'!$D36,'Attrition Modeling'!$C:$C,'IP Attrition'!BA$1),VLOOKUP($F36+BA$2,$A$6:$C$106,2,FALSE)*VLOOKUP(BA$1,'Attrition Modeling'!$L$15:$N$27,IF(BA$2+$F36&lt;=24,2,3),FALSE)),$C$3)*(1+Projection!BC$16)*(1+IF(BA168&gt;0,'Attrition Modeling'!$N$9,0)))</f>
        <v>0</v>
      </c>
      <c r="BB36" s="799">
        <f>(BA36+BB168)*(1-IFERROR(IF(BB$2+$F36&lt;=12,SUMIFS('Attrition Modeling'!$D:$D,'Attrition Modeling'!$B:$B,'IP Attrition'!$D36,'Attrition Modeling'!$C:$C,'IP Attrition'!BB$1),VLOOKUP($F36+BB$2,$A$6:$C$106,2,FALSE)*VLOOKUP(BB$1,'Attrition Modeling'!$L$15:$N$27,IF(BB$2+$F36&lt;=24,2,3),FALSE)),$C$3)*(1+Projection!BD$16)*(1+IF(BB168&gt;0,'Attrition Modeling'!$N$9,0)))</f>
        <v>0</v>
      </c>
      <c r="BC36" s="799">
        <f>(BB36+BC168)*(1-IFERROR(IF(BC$2+$F36&lt;=12,SUMIFS('Attrition Modeling'!$D:$D,'Attrition Modeling'!$B:$B,'IP Attrition'!$D36,'Attrition Modeling'!$C:$C,'IP Attrition'!BC$1),VLOOKUP($F36+BC$2,$A$6:$C$106,2,FALSE)*VLOOKUP(BC$1,'Attrition Modeling'!$L$15:$N$27,IF(BC$2+$F36&lt;=24,2,3),FALSE)),$C$3)*(1+Projection!BE$16)*(1+IF(BC168&gt;0,'Attrition Modeling'!$N$9,0)))</f>
        <v>0</v>
      </c>
      <c r="BD36" s="799">
        <f>(BC36+BD168)*(1-IFERROR(IF(BD$2+$F36&lt;=12,SUMIFS('Attrition Modeling'!$D:$D,'Attrition Modeling'!$B:$B,'IP Attrition'!$D36,'Attrition Modeling'!$C:$C,'IP Attrition'!BD$1),VLOOKUP($F36+BD$2,$A$6:$C$106,2,FALSE)*VLOOKUP(BD$1,'Attrition Modeling'!$L$15:$N$27,IF(BD$2+$F36&lt;=24,2,3),FALSE)),$C$3)*(1+Projection!BF$16)*(1+IF(BD168&gt;0,'Attrition Modeling'!$N$9,0)))</f>
        <v>0</v>
      </c>
      <c r="BE36" s="799">
        <f>(BD36+BE168)*(1-IFERROR(IF(BE$2+$F36&lt;=12,SUMIFS('Attrition Modeling'!$D:$D,'Attrition Modeling'!$B:$B,'IP Attrition'!$D36,'Attrition Modeling'!$C:$C,'IP Attrition'!BE$1),VLOOKUP($F36+BE$2,$A$6:$C$106,2,FALSE)*VLOOKUP(BE$1,'Attrition Modeling'!$L$15:$N$27,IF(BE$2+$F36&lt;=24,2,3),FALSE)),$C$3)*(1+Projection!BG$16)*(1+IF(BE168&gt;0,'Attrition Modeling'!$N$9,0)))</f>
        <v>0</v>
      </c>
      <c r="BF36" s="799">
        <f>(BE36+BF168)*(1-IFERROR(IF(BF$2+$F36&lt;=12,SUMIFS('Attrition Modeling'!$D:$D,'Attrition Modeling'!$B:$B,'IP Attrition'!$D36,'Attrition Modeling'!$C:$C,'IP Attrition'!BF$1),VLOOKUP($F36+BF$2,$A$6:$C$106,2,FALSE)*VLOOKUP(BF$1,'Attrition Modeling'!$L$15:$N$27,IF(BF$2+$F36&lt;=24,2,3),FALSE)),$C$3)*(1+Projection!BH$16)*(1+IF(BF168&gt;0,'Attrition Modeling'!$N$9,0)))</f>
        <v>0</v>
      </c>
      <c r="BG36" s="799">
        <f>(BF36+BG168)*(1-IFERROR(IF(BG$2+$F36&lt;=12,SUMIFS('Attrition Modeling'!$D:$D,'Attrition Modeling'!$B:$B,'IP Attrition'!$D36,'Attrition Modeling'!$C:$C,'IP Attrition'!BG$1),VLOOKUP($F36+BG$2,$A$6:$C$106,2,FALSE)*VLOOKUP(BG$1,'Attrition Modeling'!$L$15:$N$27,IF(BG$2+$F36&lt;=24,2,3),FALSE)),$C$3)*(1+Projection!BI$16)*(1+IF(BG168&gt;0,'Attrition Modeling'!$N$9,0)))</f>
        <v>0</v>
      </c>
      <c r="BH36" s="799">
        <f>(BG36+BH168)*(1-IFERROR(IF(BH$2+$F36&lt;=12,SUMIFS('Attrition Modeling'!$D:$D,'Attrition Modeling'!$B:$B,'IP Attrition'!$D36,'Attrition Modeling'!$C:$C,'IP Attrition'!BH$1),VLOOKUP($F36+BH$2,$A$6:$C$106,2,FALSE)*VLOOKUP(BH$1,'Attrition Modeling'!$L$15:$N$27,IF(BH$2+$F36&lt;=24,2,3),FALSE)),$C$3)*(1+Projection!BJ$16)*(1+IF(BH168&gt;0,'Attrition Modeling'!$N$9,0)))</f>
        <v>0</v>
      </c>
      <c r="BI36" s="799">
        <f>(BH36+BI168)*(1-IFERROR(IF(BI$2+$F36&lt;=12,SUMIFS('Attrition Modeling'!$D:$D,'Attrition Modeling'!$B:$B,'IP Attrition'!$D36,'Attrition Modeling'!$C:$C,'IP Attrition'!BI$1),VLOOKUP($F36+BI$2,$A$6:$C$106,2,FALSE)*VLOOKUP(BI$1,'Attrition Modeling'!$L$15:$N$27,IF(BI$2+$F36&lt;=24,2,3),FALSE)),$C$3)*(1+Projection!BK$16)*(1+IF(BI168&gt;0,'Attrition Modeling'!$N$9,0)))</f>
        <v>0</v>
      </c>
      <c r="BJ36" s="799">
        <f>(BI36+BJ168)*(1-IFERROR(IF(BJ$2+$F36&lt;=12,SUMIFS('Attrition Modeling'!$D:$D,'Attrition Modeling'!$B:$B,'IP Attrition'!$D36,'Attrition Modeling'!$C:$C,'IP Attrition'!BJ$1),VLOOKUP($F36+BJ$2,$A$6:$C$106,2,FALSE)*VLOOKUP(BJ$1,'Attrition Modeling'!$L$15:$N$27,IF(BJ$2+$F36&lt;=24,2,3),FALSE)),$C$3)*(1+Projection!BL$16)*(1+IF(BJ168&gt;0,'Attrition Modeling'!$N$9,0)))</f>
        <v>0</v>
      </c>
      <c r="BK36" s="799">
        <f>(BJ36+BK168)*(1-IFERROR(IF(BK$2+$F36&lt;=12,SUMIFS('Attrition Modeling'!$D:$D,'Attrition Modeling'!$B:$B,'IP Attrition'!$D36,'Attrition Modeling'!$C:$C,'IP Attrition'!BK$1),VLOOKUP($F36+BK$2,$A$6:$C$106,2,FALSE)*VLOOKUP(BK$1,'Attrition Modeling'!$L$15:$N$27,IF(BK$2+$F36&lt;=24,2,3),FALSE)),$C$3)*(1+Projection!BM$16)*(1+IF(BK168&gt;0,'Attrition Modeling'!$N$9,0)))</f>
        <v>0</v>
      </c>
      <c r="BL36" s="799">
        <f>(BK36+BL168)*(1-IFERROR(IF(BL$2+$F36&lt;=12,SUMIFS('Attrition Modeling'!$D:$D,'Attrition Modeling'!$B:$B,'IP Attrition'!$D36,'Attrition Modeling'!$C:$C,'IP Attrition'!BL$1),VLOOKUP($F36+BL$2,$A$6:$C$106,2,FALSE)*VLOOKUP(BL$1,'Attrition Modeling'!$L$15:$N$27,IF(BL$2+$F36&lt;=24,2,3),FALSE)),$C$3)*(1+Projection!BN$16)*(1+IF(BL168&gt;0,'Attrition Modeling'!$N$9,0)))</f>
        <v>0</v>
      </c>
      <c r="BM36" s="799">
        <f>(BL36+BM168)*(1-IFERROR(IF(BM$2+$F36&lt;=12,SUMIFS('Attrition Modeling'!$D:$D,'Attrition Modeling'!$B:$B,'IP Attrition'!$D36,'Attrition Modeling'!$C:$C,'IP Attrition'!BM$1),VLOOKUP($F36+BM$2,$A$6:$C$106,2,FALSE)*VLOOKUP(BM$1,'Attrition Modeling'!$L$15:$N$27,IF(BM$2+$F36&lt;=24,2,3),FALSE)),$C$3)*(1+Projection!BO$16)*(1+IF(BM168&gt;0,'Attrition Modeling'!$N$9,0)))</f>
        <v>0</v>
      </c>
      <c r="BN36" s="799">
        <f>(BM36+BN168)*(1-IFERROR(IF(BN$2+$F36&lt;=12,SUMIFS('Attrition Modeling'!$D:$D,'Attrition Modeling'!$B:$B,'IP Attrition'!$D36,'Attrition Modeling'!$C:$C,'IP Attrition'!BN$1),VLOOKUP($F36+BN$2,$A$6:$C$106,2,FALSE)*VLOOKUP(BN$1,'Attrition Modeling'!$L$15:$N$27,IF(BN$2+$F36&lt;=24,2,3),FALSE)),$C$3)*(1+Projection!BP$16)*(1+IF(BN168&gt;0,'Attrition Modeling'!$N$9,0)))</f>
        <v>0</v>
      </c>
      <c r="BO36" s="799">
        <f>(BN36+BO168)*(1-IFERROR(IF(BO$2+$F36&lt;=12,SUMIFS('Attrition Modeling'!$D:$D,'Attrition Modeling'!$B:$B,'IP Attrition'!$D36,'Attrition Modeling'!$C:$C,'IP Attrition'!BO$1),VLOOKUP($F36+BO$2,$A$6:$C$106,2,FALSE)*VLOOKUP(BO$1,'Attrition Modeling'!$L$15:$N$27,IF(BO$2+$F36&lt;=24,2,3),FALSE)),$C$3)*(1+Projection!BV$16)*(1+IF(BO168&gt;0,'Attrition Modeling'!$N$9,0)))</f>
        <v>0</v>
      </c>
      <c r="BP36" s="799">
        <f>(BO36+BP168)*(1-IFERROR(IF(BP$2+$F36&lt;=12,SUMIFS('Attrition Modeling'!$D:$D,'Attrition Modeling'!$B:$B,'IP Attrition'!$D36,'Attrition Modeling'!$C:$C,'IP Attrition'!BP$1),VLOOKUP($F36+BP$2,$A$6:$C$106,2,FALSE)*VLOOKUP(BP$1,'Attrition Modeling'!$L$15:$N$27,IF(BP$2+$F36&lt;=24,2,3),FALSE)),$C$3)*(1+Projection!BW$16)*(1+IF(BP168&gt;0,'Attrition Modeling'!$N$9,0)))</f>
        <v>0</v>
      </c>
      <c r="BQ36" s="799">
        <f>(BP36+BQ168)*(1-IFERROR(IF(BQ$2+$F36&lt;=12,SUMIFS('Attrition Modeling'!$D:$D,'Attrition Modeling'!$B:$B,'IP Attrition'!$D36,'Attrition Modeling'!$C:$C,'IP Attrition'!BQ$1),VLOOKUP($F36+BQ$2,$A$6:$C$106,2,FALSE)*VLOOKUP(BQ$1,'Attrition Modeling'!$L$15:$N$27,IF(BQ$2+$F36&lt;=24,2,3),FALSE)),$C$3)*(1+Projection!BX$16)*(1+IF(BQ168&gt;0,'Attrition Modeling'!$N$9,0)))</f>
        <v>0</v>
      </c>
      <c r="BR36" s="799">
        <f>(BQ36+BR168)*(1-IFERROR(IF(BR$2+$F36&lt;=12,SUMIFS('Attrition Modeling'!$D:$D,'Attrition Modeling'!$B:$B,'IP Attrition'!$D36,'Attrition Modeling'!$C:$C,'IP Attrition'!BR$1),VLOOKUP($F36+BR$2,$A$6:$C$106,2,FALSE)*VLOOKUP(BR$1,'Attrition Modeling'!$L$15:$N$27,IF(BR$2+$F36&lt;=24,2,3),FALSE)),$C$3)*(1+Projection!BY$16)*(1+IF(BR168&gt;0,'Attrition Modeling'!$N$9,0)))</f>
        <v>0</v>
      </c>
      <c r="BS36" s="799">
        <f>(BR36+BS168)*(1-IFERROR(IF(BS$2+$F36&lt;=12,SUMIFS('Attrition Modeling'!$D:$D,'Attrition Modeling'!$B:$B,'IP Attrition'!$D36,'Attrition Modeling'!$C:$C,'IP Attrition'!BS$1),VLOOKUP($F36+BS$2,$A$6:$C$106,2,FALSE)*VLOOKUP(BS$1,'Attrition Modeling'!$L$15:$N$27,IF(BS$2+$F36&lt;=24,2,3),FALSE)),$C$3)*(1+Projection!BZ$16)*(1+IF(BS168&gt;0,'Attrition Modeling'!$N$9,0)))</f>
        <v>0</v>
      </c>
      <c r="BT36" s="799" t="e">
        <f>(BS36+BT168)*(1-IFERROR(IF(BT$2+$F36&lt;=12,SUMIFS('Attrition Modeling'!$D:$D,'Attrition Modeling'!$B:$B,'IP Attrition'!$D36,'Attrition Modeling'!$C:$C,'IP Attrition'!BT$1),VLOOKUP($F36+BT$2,$A$6:$C$106,2,FALSE)*VLOOKUP(BT$1,'Attrition Modeling'!$L$15:$N$27,IF(BT$2+$F36&lt;=24,2,3),FALSE)),$C$3)*(1+Projection!CA$16)*(1+IF(BT168&gt;0,'Attrition Modeling'!$N$9,0)))</f>
        <v>#REF!</v>
      </c>
      <c r="BU36" s="799" t="e">
        <f>(BT36+BU168)*(1-IFERROR(IF(BU$2+$F36&lt;=12,SUMIFS('Attrition Modeling'!$D:$D,'Attrition Modeling'!$B:$B,'IP Attrition'!$D36,'Attrition Modeling'!$C:$C,'IP Attrition'!BU$1),VLOOKUP($F36+BU$2,$A$6:$C$106,2,FALSE)*VLOOKUP(BU$1,'Attrition Modeling'!$L$15:$N$27,IF(BU$2+$F36&lt;=24,2,3),FALSE)),$C$3)*(1+Projection!CB$16)*(1+IF(BU168&gt;0,'Attrition Modeling'!$N$9,0)))</f>
        <v>#REF!</v>
      </c>
    </row>
    <row r="37" spans="1:73" ht="14.25" customHeight="1" x14ac:dyDescent="0.2">
      <c r="A37" s="9">
        <v>30</v>
      </c>
      <c r="B37" s="25">
        <f>MAX('Attrition Modeling'!H34,$C$3)*(1-Summary!$C$20)</f>
        <v>3.2956330586721552E-2</v>
      </c>
      <c r="C37" s="24" t="e">
        <f t="shared" si="3"/>
        <v>#DIV/0!</v>
      </c>
      <c r="D37" s="11">
        <f t="shared" si="1"/>
        <v>-34</v>
      </c>
      <c r="E37" s="807">
        <f t="array" ref="E37">INDEX('Attrition Modeling'!$X$2:$AF$63,MATCH($F37,'Attrition Modeling'!$X$2:$X$63,0),MATCH(Inputs!$C$10,'Attrition Modeling'!$X$2:$AF$2,0))</f>
        <v>0</v>
      </c>
      <c r="F37" s="11">
        <f t="shared" si="2"/>
        <v>34</v>
      </c>
      <c r="G37" s="799">
        <f>Summary!$C$25*$E37</f>
        <v>0</v>
      </c>
      <c r="H37" s="799">
        <f>(G37+H169)*(1-IFERROR(IF(H$2+$F37&lt;=12,SUMIFS('Attrition Modeling'!$D:$D,'Attrition Modeling'!$B:$B,'IP Attrition'!$D37,'Attrition Modeling'!$C:$C,'IP Attrition'!H$1),VLOOKUP($F37+H$2,$A$6:$C$106,2,FALSE)*VLOOKUP(H$1,'Attrition Modeling'!$L$15:$N$27,IF(H$2+$F37&lt;=24,2,3),FALSE)),$C$3)*(1+Projection!J$16)*(1+IF(H169&gt;0,'Attrition Modeling'!$N$9,0)))</f>
        <v>0</v>
      </c>
      <c r="I37" s="799">
        <f>(H37+I169)*(1-IFERROR(IF(I$2+$F37&lt;=12,SUMIFS('Attrition Modeling'!$D:$D,'Attrition Modeling'!$B:$B,'IP Attrition'!$D37,'Attrition Modeling'!$C:$C,'IP Attrition'!I$1),VLOOKUP($F37+I$2,$A$6:$C$106,2,FALSE)*VLOOKUP(I$1,'Attrition Modeling'!$L$15:$N$27,IF(I$2+$F37&lt;=24,2,3),FALSE)),$C$3)*(1+Projection!K$16)*(1+IF(I169&gt;0,'Attrition Modeling'!$N$9,0)))</f>
        <v>0</v>
      </c>
      <c r="J37" s="799">
        <f>(I37+J169)*(1-IFERROR(IF(J$2+$F37&lt;=12,SUMIFS('Attrition Modeling'!$D:$D,'Attrition Modeling'!$B:$B,'IP Attrition'!$D37,'Attrition Modeling'!$C:$C,'IP Attrition'!J$1),VLOOKUP($F37+J$2,$A$6:$C$106,2,FALSE)*VLOOKUP(J$1,'Attrition Modeling'!$L$15:$N$27,IF(J$2+$F37&lt;=24,2,3),FALSE)),$C$3)*(1+Projection!L$16)*(1+IF(J169&gt;0,'Attrition Modeling'!$N$9,0)))</f>
        <v>0</v>
      </c>
      <c r="K37" s="799">
        <f>(J37+K169)*(1-IFERROR(IF(K$2+$F37&lt;=12,SUMIFS('Attrition Modeling'!$D:$D,'Attrition Modeling'!$B:$B,'IP Attrition'!$D37,'Attrition Modeling'!$C:$C,'IP Attrition'!K$1),VLOOKUP($F37+K$2,$A$6:$C$106,2,FALSE)*VLOOKUP(K$1,'Attrition Modeling'!$L$15:$N$27,IF(K$2+$F37&lt;=24,2,3),FALSE)),$C$3)*(1+Projection!M$16)*(1+IF(K169&gt;0,'Attrition Modeling'!$N$9,0)))</f>
        <v>0</v>
      </c>
      <c r="L37" s="799">
        <f>(K37+L169)*(1-IFERROR(IF(L$2+$F37&lt;=12,SUMIFS('Attrition Modeling'!$D:$D,'Attrition Modeling'!$B:$B,'IP Attrition'!$D37,'Attrition Modeling'!$C:$C,'IP Attrition'!L$1),VLOOKUP($F37+L$2,$A$6:$C$106,2,FALSE)*VLOOKUP(L$1,'Attrition Modeling'!$L$15:$N$27,IF(L$2+$F37&lt;=24,2,3),FALSE)),$C$3)*(1+Projection!N$16)*(1+IF(L169&gt;0,'Attrition Modeling'!$N$9,0)))</f>
        <v>0</v>
      </c>
      <c r="M37" s="799">
        <f>(L37+M169)*(1-IFERROR(IF(M$2+$F37&lt;=12,SUMIFS('Attrition Modeling'!$D:$D,'Attrition Modeling'!$B:$B,'IP Attrition'!$D37,'Attrition Modeling'!$C:$C,'IP Attrition'!M$1),VLOOKUP($F37+M$2,$A$6:$C$106,2,FALSE)*VLOOKUP(M$1,'Attrition Modeling'!$L$15:$N$27,IF(M$2+$F37&lt;=24,2,3),FALSE)),$C$3)*(1+Projection!O$16)*(1+IF(M169&gt;0,'Attrition Modeling'!$N$9,0)))</f>
        <v>0</v>
      </c>
      <c r="N37" s="799">
        <f>(M37+N169)*(1-IFERROR(IF(N$2+$F37&lt;=12,SUMIFS('Attrition Modeling'!$D:$D,'Attrition Modeling'!$B:$B,'IP Attrition'!$D37,'Attrition Modeling'!$C:$C,'IP Attrition'!N$1),VLOOKUP($F37+N$2,$A$6:$C$106,2,FALSE)*VLOOKUP(N$1,'Attrition Modeling'!$L$15:$N$27,IF(N$2+$F37&lt;=24,2,3),FALSE)),$C$3)*(1+Projection!P$16)*(1+IF(N169&gt;0,'Attrition Modeling'!$N$9,0)))</f>
        <v>0</v>
      </c>
      <c r="O37" s="799">
        <f>(N37+O169)*(1-IFERROR(IF(O$2+$F37&lt;=12,SUMIFS('Attrition Modeling'!$D:$D,'Attrition Modeling'!$B:$B,'IP Attrition'!$D37,'Attrition Modeling'!$C:$C,'IP Attrition'!O$1),VLOOKUP($F37+O$2,$A$6:$C$106,2,FALSE)*VLOOKUP(O$1,'Attrition Modeling'!$L$15:$N$27,IF(O$2+$F37&lt;=24,2,3),FALSE)),$C$3)*(1+Projection!Q$16)*(1+IF(O169&gt;0,'Attrition Modeling'!$N$9,0)))</f>
        <v>0</v>
      </c>
      <c r="P37" s="799">
        <f>(O37+P169)*(1-IFERROR(IF(P$2+$F37&lt;=12,SUMIFS('Attrition Modeling'!$D:$D,'Attrition Modeling'!$B:$B,'IP Attrition'!$D37,'Attrition Modeling'!$C:$C,'IP Attrition'!P$1),VLOOKUP($F37+P$2,$A$6:$C$106,2,FALSE)*VLOOKUP(P$1,'Attrition Modeling'!$L$15:$N$27,IF(P$2+$F37&lt;=24,2,3),FALSE)),$C$3)*(1+Projection!R$16)*(1+IF(P169&gt;0,'Attrition Modeling'!$N$9,0)))</f>
        <v>0</v>
      </c>
      <c r="Q37" s="799">
        <f>(P37+Q169)*(1-IFERROR(IF(Q$2+$F37&lt;=12,SUMIFS('Attrition Modeling'!$D:$D,'Attrition Modeling'!$B:$B,'IP Attrition'!$D37,'Attrition Modeling'!$C:$C,'IP Attrition'!Q$1),VLOOKUP($F37+Q$2,$A$6:$C$106,2,FALSE)*VLOOKUP(Q$1,'Attrition Modeling'!$L$15:$N$27,IF(Q$2+$F37&lt;=24,2,3),FALSE)),$C$3)*(1+Projection!S$16)*(1+IF(Q169&gt;0,'Attrition Modeling'!$N$9,0)))</f>
        <v>0</v>
      </c>
      <c r="R37" s="799">
        <f>(Q37+R169)*(1-IFERROR(IF(R$2+$F37&lt;=12,SUMIFS('Attrition Modeling'!$D:$D,'Attrition Modeling'!$B:$B,'IP Attrition'!$D37,'Attrition Modeling'!$C:$C,'IP Attrition'!R$1),VLOOKUP($F37+R$2,$A$6:$C$106,2,FALSE)*VLOOKUP(R$1,'Attrition Modeling'!$L$15:$N$27,IF(R$2+$F37&lt;=24,2,3),FALSE)),$C$3)*(1+Projection!T$16)*(1+IF(R169&gt;0,'Attrition Modeling'!$N$9,0)))</f>
        <v>0</v>
      </c>
      <c r="S37" s="799">
        <f>(R37+S169)*(1-IFERROR(IF(S$2+$F37&lt;=12,SUMIFS('Attrition Modeling'!$D:$D,'Attrition Modeling'!$B:$B,'IP Attrition'!$D37,'Attrition Modeling'!$C:$C,'IP Attrition'!S$1),VLOOKUP($F37+S$2,$A$6:$C$106,2,FALSE)*VLOOKUP(S$1,'Attrition Modeling'!$L$15:$N$27,IF(S$2+$F37&lt;=24,2,3),FALSE)),$C$3)*(1+Projection!U$16)*(1+IF(S169&gt;0,'Attrition Modeling'!$N$9,0)))</f>
        <v>0</v>
      </c>
      <c r="T37" s="799">
        <f>(S37+T169)*(1-IFERROR(IF(T$2+$F37&lt;=12,SUMIFS('Attrition Modeling'!$D:$D,'Attrition Modeling'!$B:$B,'IP Attrition'!$D37,'Attrition Modeling'!$C:$C,'IP Attrition'!T$1),VLOOKUP($F37+T$2,$A$6:$C$106,2,FALSE)*VLOOKUP(T$1,'Attrition Modeling'!$L$15:$N$27,IF(T$2+$F37&lt;=24,2,3),FALSE)),$C$3)*(1+Projection!V$16)*(1+IF(T169&gt;0,'Attrition Modeling'!$N$9,0)))</f>
        <v>0</v>
      </c>
      <c r="U37" s="799">
        <f>(T37+U169)*(1-IFERROR(IF(U$2+$F37&lt;=12,SUMIFS('Attrition Modeling'!$D:$D,'Attrition Modeling'!$B:$B,'IP Attrition'!$D37,'Attrition Modeling'!$C:$C,'IP Attrition'!U$1),VLOOKUP($F37+U$2,$A$6:$C$106,2,FALSE)*VLOOKUP(U$1,'Attrition Modeling'!$L$15:$N$27,IF(U$2+$F37&lt;=24,2,3),FALSE)),$C$3)*(1+Projection!W$16)*(1+IF(U169&gt;0,'Attrition Modeling'!$N$9,0)))</f>
        <v>0</v>
      </c>
      <c r="V37" s="799">
        <f>(U37+V169)*(1-IFERROR(IF(V$2+$F37&lt;=12,SUMIFS('Attrition Modeling'!$D:$D,'Attrition Modeling'!$B:$B,'IP Attrition'!$D37,'Attrition Modeling'!$C:$C,'IP Attrition'!V$1),VLOOKUP($F37+V$2,$A$6:$C$106,2,FALSE)*VLOOKUP(V$1,'Attrition Modeling'!$L$15:$N$27,IF(V$2+$F37&lt;=24,2,3),FALSE)),$C$3)*(1+Projection!X$16)*(1+IF(V169&gt;0,'Attrition Modeling'!$N$9,0)))</f>
        <v>0</v>
      </c>
      <c r="W37" s="799">
        <f>(V37+W169)*(1-IFERROR(IF(W$2+$F37&lt;=12,SUMIFS('Attrition Modeling'!$D:$D,'Attrition Modeling'!$B:$B,'IP Attrition'!$D37,'Attrition Modeling'!$C:$C,'IP Attrition'!W$1),VLOOKUP($F37+W$2,$A$6:$C$106,2,FALSE)*VLOOKUP(W$1,'Attrition Modeling'!$L$15:$N$27,IF(W$2+$F37&lt;=24,2,3),FALSE)),$C$3)*(1+Projection!Y$16)*(1+IF(W169&gt;0,'Attrition Modeling'!$N$9,0)))</f>
        <v>0</v>
      </c>
      <c r="X37" s="799">
        <f>(W37+X169)*(1-IFERROR(IF(X$2+$F37&lt;=12,SUMIFS('Attrition Modeling'!$D:$D,'Attrition Modeling'!$B:$B,'IP Attrition'!$D37,'Attrition Modeling'!$C:$C,'IP Attrition'!X$1),VLOOKUP($F37+X$2,$A$6:$C$106,2,FALSE)*VLOOKUP(X$1,'Attrition Modeling'!$L$15:$N$27,IF(X$2+$F37&lt;=24,2,3),FALSE)),$C$3)*(1+Projection!Z$16)*(1+IF(X169&gt;0,'Attrition Modeling'!$N$9,0)))</f>
        <v>0</v>
      </c>
      <c r="Y37" s="799">
        <f>(X37+Y169)*(1-IFERROR(IF(Y$2+$F37&lt;=12,SUMIFS('Attrition Modeling'!$D:$D,'Attrition Modeling'!$B:$B,'IP Attrition'!$D37,'Attrition Modeling'!$C:$C,'IP Attrition'!Y$1),VLOOKUP($F37+Y$2,$A$6:$C$106,2,FALSE)*VLOOKUP(Y$1,'Attrition Modeling'!$L$15:$N$27,IF(Y$2+$F37&lt;=24,2,3),FALSE)),$C$3)*(1+Projection!AA$16)*(1+IF(Y169&gt;0,'Attrition Modeling'!$N$9,0)))</f>
        <v>0</v>
      </c>
      <c r="Z37" s="799">
        <f>(Y37+Z169)*(1-IFERROR(IF(Z$2+$F37&lt;=12,SUMIFS('Attrition Modeling'!$D:$D,'Attrition Modeling'!$B:$B,'IP Attrition'!$D37,'Attrition Modeling'!$C:$C,'IP Attrition'!Z$1),VLOOKUP($F37+Z$2,$A$6:$C$106,2,FALSE)*VLOOKUP(Z$1,'Attrition Modeling'!$L$15:$N$27,IF(Z$2+$F37&lt;=24,2,3),FALSE)),$C$3)*(1+Projection!AB$16)*(1+IF(Z169&gt;0,'Attrition Modeling'!$N$9,0)))</f>
        <v>0</v>
      </c>
      <c r="AA37" s="799">
        <f>(Z37+AA169)*(1-IFERROR(IF(AA$2+$F37&lt;=12,SUMIFS('Attrition Modeling'!$D:$D,'Attrition Modeling'!$B:$B,'IP Attrition'!$D37,'Attrition Modeling'!$C:$C,'IP Attrition'!AA$1),VLOOKUP($F37+AA$2,$A$6:$C$106,2,FALSE)*VLOOKUP(AA$1,'Attrition Modeling'!$L$15:$N$27,IF(AA$2+$F37&lt;=24,2,3),FALSE)),$C$3)*(1+Projection!AC$16)*(1+IF(AA169&gt;0,'Attrition Modeling'!$N$9,0)))</f>
        <v>0</v>
      </c>
      <c r="AB37" s="799">
        <f>(AA37+AB169)*(1-IFERROR(IF(AB$2+$F37&lt;=12,SUMIFS('Attrition Modeling'!$D:$D,'Attrition Modeling'!$B:$B,'IP Attrition'!$D37,'Attrition Modeling'!$C:$C,'IP Attrition'!AB$1),VLOOKUP($F37+AB$2,$A$6:$C$106,2,FALSE)*VLOOKUP(AB$1,'Attrition Modeling'!$L$15:$N$27,IF(AB$2+$F37&lt;=24,2,3),FALSE)),$C$3)*(1+Projection!AD$16)*(1+IF(AB169&gt;0,'Attrition Modeling'!$N$9,0)))</f>
        <v>0</v>
      </c>
      <c r="AC37" s="799">
        <f>(AB37+AC169)*(1-IFERROR(IF(AC$2+$F37&lt;=12,SUMIFS('Attrition Modeling'!$D:$D,'Attrition Modeling'!$B:$B,'IP Attrition'!$D37,'Attrition Modeling'!$C:$C,'IP Attrition'!AC$1),VLOOKUP($F37+AC$2,$A$6:$C$106,2,FALSE)*VLOOKUP(AC$1,'Attrition Modeling'!$L$15:$N$27,IF(AC$2+$F37&lt;=24,2,3),FALSE)),$C$3)*(1+Projection!AE$16)*(1+IF(AC169&gt;0,'Attrition Modeling'!$N$9,0)))</f>
        <v>0</v>
      </c>
      <c r="AD37" s="799">
        <f>(AC37+AD169)*(1-IFERROR(IF(AD$2+$F37&lt;=12,SUMIFS('Attrition Modeling'!$D:$D,'Attrition Modeling'!$B:$B,'IP Attrition'!$D37,'Attrition Modeling'!$C:$C,'IP Attrition'!AD$1),VLOOKUP($F37+AD$2,$A$6:$C$106,2,FALSE)*VLOOKUP(AD$1,'Attrition Modeling'!$L$15:$N$27,IF(AD$2+$F37&lt;=24,2,3),FALSE)),$C$3)*(1+Projection!AF$16)*(1+IF(AD169&gt;0,'Attrition Modeling'!$N$9,0)))</f>
        <v>0</v>
      </c>
      <c r="AE37" s="799">
        <f>(AD37+AE169)*(1-IFERROR(IF(AE$2+$F37&lt;=12,SUMIFS('Attrition Modeling'!$D:$D,'Attrition Modeling'!$B:$B,'IP Attrition'!$D37,'Attrition Modeling'!$C:$C,'IP Attrition'!AE$1),VLOOKUP($F37+AE$2,$A$6:$C$106,2,FALSE)*VLOOKUP(AE$1,'Attrition Modeling'!$L$15:$N$27,IF(AE$2+$F37&lt;=24,2,3),FALSE)),$C$3)*(1+Projection!AG$16)*(1+IF(AE169&gt;0,'Attrition Modeling'!$N$9,0)))</f>
        <v>0</v>
      </c>
      <c r="AF37" s="799">
        <f>(AE37+AF169)*(1-IFERROR(IF(AF$2+$F37&lt;=12,SUMIFS('Attrition Modeling'!$D:$D,'Attrition Modeling'!$B:$B,'IP Attrition'!$D37,'Attrition Modeling'!$C:$C,'IP Attrition'!AF$1),VLOOKUP($F37+AF$2,$A$6:$C$106,2,FALSE)*VLOOKUP(AF$1,'Attrition Modeling'!$L$15:$N$27,IF(AF$2+$F37&lt;=24,2,3),FALSE)),$C$3)*(1+Projection!AH$16)*(1+IF(AF169&gt;0,'Attrition Modeling'!$N$9,0)))</f>
        <v>0</v>
      </c>
      <c r="AG37" s="799">
        <f>(AF37+AG169)*(1-IFERROR(IF(AG$2+$F37&lt;=12,SUMIFS('Attrition Modeling'!$D:$D,'Attrition Modeling'!$B:$B,'IP Attrition'!$D37,'Attrition Modeling'!$C:$C,'IP Attrition'!AG$1),VLOOKUP($F37+AG$2,$A$6:$C$106,2,FALSE)*VLOOKUP(AG$1,'Attrition Modeling'!$L$15:$N$27,IF(AG$2+$F37&lt;=24,2,3),FALSE)),$C$3)*(1+Projection!AI$16)*(1+IF(AG169&gt;0,'Attrition Modeling'!$N$9,0)))</f>
        <v>0</v>
      </c>
      <c r="AH37" s="799">
        <f>(AG37+AH169)*(1-IFERROR(IF(AH$2+$F37&lt;=12,SUMIFS('Attrition Modeling'!$D:$D,'Attrition Modeling'!$B:$B,'IP Attrition'!$D37,'Attrition Modeling'!$C:$C,'IP Attrition'!AH$1),VLOOKUP($F37+AH$2,$A$6:$C$106,2,FALSE)*VLOOKUP(AH$1,'Attrition Modeling'!$L$15:$N$27,IF(AH$2+$F37&lt;=24,2,3),FALSE)),$C$3)*(1+Projection!AJ$16)*(1+IF(AH169&gt;0,'Attrition Modeling'!$N$9,0)))</f>
        <v>0</v>
      </c>
      <c r="AI37" s="799">
        <f>(AH37+AI169)*(1-IFERROR(IF(AI$2+$F37&lt;=12,SUMIFS('Attrition Modeling'!$D:$D,'Attrition Modeling'!$B:$B,'IP Attrition'!$D37,'Attrition Modeling'!$C:$C,'IP Attrition'!AI$1),VLOOKUP($F37+AI$2,$A$6:$C$106,2,FALSE)*VLOOKUP(AI$1,'Attrition Modeling'!$L$15:$N$27,IF(AI$2+$F37&lt;=24,2,3),FALSE)),$C$3)*(1+Projection!AK$16)*(1+IF(AI169&gt;0,'Attrition Modeling'!$N$9,0)))</f>
        <v>0</v>
      </c>
      <c r="AJ37" s="799">
        <f>(AI37+AJ169)*(1-IFERROR(IF(AJ$2+$F37&lt;=12,SUMIFS('Attrition Modeling'!$D:$D,'Attrition Modeling'!$B:$B,'IP Attrition'!$D37,'Attrition Modeling'!$C:$C,'IP Attrition'!AJ$1),VLOOKUP($F37+AJ$2,$A$6:$C$106,2,FALSE)*VLOOKUP(AJ$1,'Attrition Modeling'!$L$15:$N$27,IF(AJ$2+$F37&lt;=24,2,3),FALSE)),$C$3)*(1+Projection!AL$16)*(1+IF(AJ169&gt;0,'Attrition Modeling'!$N$9,0)))</f>
        <v>0</v>
      </c>
      <c r="AK37" s="799">
        <f>(AJ37+AK169)*(1-IFERROR(IF(AK$2+$F37&lt;=12,SUMIFS('Attrition Modeling'!$D:$D,'Attrition Modeling'!$B:$B,'IP Attrition'!$D37,'Attrition Modeling'!$C:$C,'IP Attrition'!AK$1),VLOOKUP($F37+AK$2,$A$6:$C$106,2,FALSE)*VLOOKUP(AK$1,'Attrition Modeling'!$L$15:$N$27,IF(AK$2+$F37&lt;=24,2,3),FALSE)),$C$3)*(1+Projection!AM$16)*(1+IF(AK169&gt;0,'Attrition Modeling'!$N$9,0)))</f>
        <v>0</v>
      </c>
      <c r="AL37" s="799">
        <f>(AK37+AL169)*(1-IFERROR(IF(AL$2+$F37&lt;=12,SUMIFS('Attrition Modeling'!$D:$D,'Attrition Modeling'!$B:$B,'IP Attrition'!$D37,'Attrition Modeling'!$C:$C,'IP Attrition'!AL$1),VLOOKUP($F37+AL$2,$A$6:$C$106,2,FALSE)*VLOOKUP(AL$1,'Attrition Modeling'!$L$15:$N$27,IF(AL$2+$F37&lt;=24,2,3),FALSE)),$C$3)*(1+Projection!AN$16)*(1+IF(AL169&gt;0,'Attrition Modeling'!$N$9,0)))</f>
        <v>0</v>
      </c>
      <c r="AM37" s="799">
        <f>(AL37+AM169)*(1-IFERROR(IF(AM$2+$F37&lt;=12,SUMIFS('Attrition Modeling'!$D:$D,'Attrition Modeling'!$B:$B,'IP Attrition'!$D37,'Attrition Modeling'!$C:$C,'IP Attrition'!AM$1),VLOOKUP($F37+AM$2,$A$6:$C$106,2,FALSE)*VLOOKUP(AM$1,'Attrition Modeling'!$L$15:$N$27,IF(AM$2+$F37&lt;=24,2,3),FALSE)),$C$3)*(1+Projection!AO$16)*(1+IF(AM169&gt;0,'Attrition Modeling'!$N$9,0)))</f>
        <v>0</v>
      </c>
      <c r="AN37" s="799">
        <f>(AM37+AN169)*(1-IFERROR(IF(AN$2+$F37&lt;=12,SUMIFS('Attrition Modeling'!$D:$D,'Attrition Modeling'!$B:$B,'IP Attrition'!$D37,'Attrition Modeling'!$C:$C,'IP Attrition'!AN$1),VLOOKUP($F37+AN$2,$A$6:$C$106,2,FALSE)*VLOOKUP(AN$1,'Attrition Modeling'!$L$15:$N$27,IF(AN$2+$F37&lt;=24,2,3),FALSE)),$C$3)*(1+Projection!AP$16)*(1+IF(AN169&gt;0,'Attrition Modeling'!$N$9,0)))</f>
        <v>0</v>
      </c>
      <c r="AO37" s="799">
        <f>(AN37+AO169)*(1-IFERROR(IF(AO$2+$F37&lt;=12,SUMIFS('Attrition Modeling'!$D:$D,'Attrition Modeling'!$B:$B,'IP Attrition'!$D37,'Attrition Modeling'!$C:$C,'IP Attrition'!AO$1),VLOOKUP($F37+AO$2,$A$6:$C$106,2,FALSE)*VLOOKUP(AO$1,'Attrition Modeling'!$L$15:$N$27,IF(AO$2+$F37&lt;=24,2,3),FALSE)),$C$3)*(1+Projection!AQ$16)*(1+IF(AO169&gt;0,'Attrition Modeling'!$N$9,0)))</f>
        <v>0</v>
      </c>
      <c r="AP37" s="799">
        <f>(AO37+AP169)*(1-IFERROR(IF(AP$2+$F37&lt;=12,SUMIFS('Attrition Modeling'!$D:$D,'Attrition Modeling'!$B:$B,'IP Attrition'!$D37,'Attrition Modeling'!$C:$C,'IP Attrition'!AP$1),VLOOKUP($F37+AP$2,$A$6:$C$106,2,FALSE)*VLOOKUP(AP$1,'Attrition Modeling'!$L$15:$N$27,IF(AP$2+$F37&lt;=24,2,3),FALSE)),$C$3)*(1+Projection!AR$16)*(1+IF(AP169&gt;0,'Attrition Modeling'!$N$9,0)))</f>
        <v>0</v>
      </c>
      <c r="AQ37" s="799">
        <f>(AP37+AQ169)*(1-IFERROR(IF(AQ$2+$F37&lt;=12,SUMIFS('Attrition Modeling'!$D:$D,'Attrition Modeling'!$B:$B,'IP Attrition'!$D37,'Attrition Modeling'!$C:$C,'IP Attrition'!AQ$1),VLOOKUP($F37+AQ$2,$A$6:$C$106,2,FALSE)*VLOOKUP(AQ$1,'Attrition Modeling'!$L$15:$N$27,IF(AQ$2+$F37&lt;=24,2,3),FALSE)),$C$3)*(1+Projection!AS$16)*(1+IF(AQ169&gt;0,'Attrition Modeling'!$N$9,0)))</f>
        <v>0</v>
      </c>
      <c r="AR37" s="799">
        <f>(AQ37+AR169)*(1-IFERROR(IF(AR$2+$F37&lt;=12,SUMIFS('Attrition Modeling'!$D:$D,'Attrition Modeling'!$B:$B,'IP Attrition'!$D37,'Attrition Modeling'!$C:$C,'IP Attrition'!AR$1),VLOOKUP($F37+AR$2,$A$6:$C$106,2,FALSE)*VLOOKUP(AR$1,'Attrition Modeling'!$L$15:$N$27,IF(AR$2+$F37&lt;=24,2,3),FALSE)),$C$3)*(1+Projection!AT$16)*(1+IF(AR169&gt;0,'Attrition Modeling'!$N$9,0)))</f>
        <v>0</v>
      </c>
      <c r="AS37" s="799">
        <f>(AR37+AS169)*(1-IFERROR(IF(AS$2+$F37&lt;=12,SUMIFS('Attrition Modeling'!$D:$D,'Attrition Modeling'!$B:$B,'IP Attrition'!$D37,'Attrition Modeling'!$C:$C,'IP Attrition'!AS$1),VLOOKUP($F37+AS$2,$A$6:$C$106,2,FALSE)*VLOOKUP(AS$1,'Attrition Modeling'!$L$15:$N$27,IF(AS$2+$F37&lt;=24,2,3),FALSE)),$C$3)*(1+Projection!AU$16)*(1+IF(AS169&gt;0,'Attrition Modeling'!$N$9,0)))</f>
        <v>0</v>
      </c>
      <c r="AT37" s="799">
        <f>(AS37+AT169)*(1-IFERROR(IF(AT$2+$F37&lt;=12,SUMIFS('Attrition Modeling'!$D:$D,'Attrition Modeling'!$B:$B,'IP Attrition'!$D37,'Attrition Modeling'!$C:$C,'IP Attrition'!AT$1),VLOOKUP($F37+AT$2,$A$6:$C$106,2,FALSE)*VLOOKUP(AT$1,'Attrition Modeling'!$L$15:$N$27,IF(AT$2+$F37&lt;=24,2,3),FALSE)),$C$3)*(1+Projection!AV$16)*(1+IF(AT169&gt;0,'Attrition Modeling'!$N$9,0)))</f>
        <v>0</v>
      </c>
      <c r="AU37" s="799">
        <f>(AT37+AU169)*(1-IFERROR(IF(AU$2+$F37&lt;=12,SUMIFS('Attrition Modeling'!$D:$D,'Attrition Modeling'!$B:$B,'IP Attrition'!$D37,'Attrition Modeling'!$C:$C,'IP Attrition'!AU$1),VLOOKUP($F37+AU$2,$A$6:$C$106,2,FALSE)*VLOOKUP(AU$1,'Attrition Modeling'!$L$15:$N$27,IF(AU$2+$F37&lt;=24,2,3),FALSE)),$C$3)*(1+Projection!AW$16)*(1+IF(AU169&gt;0,'Attrition Modeling'!$N$9,0)))</f>
        <v>0</v>
      </c>
      <c r="AV37" s="799">
        <f>(AU37+AV169)*(1-IFERROR(IF(AV$2+$F37&lt;=12,SUMIFS('Attrition Modeling'!$D:$D,'Attrition Modeling'!$B:$B,'IP Attrition'!$D37,'Attrition Modeling'!$C:$C,'IP Attrition'!AV$1),VLOOKUP($F37+AV$2,$A$6:$C$106,2,FALSE)*VLOOKUP(AV$1,'Attrition Modeling'!$L$15:$N$27,IF(AV$2+$F37&lt;=24,2,3),FALSE)),$C$3)*(1+Projection!AX$16)*(1+IF(AV169&gt;0,'Attrition Modeling'!$N$9,0)))</f>
        <v>0</v>
      </c>
      <c r="AW37" s="799">
        <f>(AV37+AW169)*(1-IFERROR(IF(AW$2+$F37&lt;=12,SUMIFS('Attrition Modeling'!$D:$D,'Attrition Modeling'!$B:$B,'IP Attrition'!$D37,'Attrition Modeling'!$C:$C,'IP Attrition'!AW$1),VLOOKUP($F37+AW$2,$A$6:$C$106,2,FALSE)*VLOOKUP(AW$1,'Attrition Modeling'!$L$15:$N$27,IF(AW$2+$F37&lt;=24,2,3),FALSE)),$C$3)*(1+Projection!AY$16)*(1+IF(AW169&gt;0,'Attrition Modeling'!$N$9,0)))</f>
        <v>0</v>
      </c>
      <c r="AX37" s="799">
        <f>(AW37+AX169)*(1-IFERROR(IF(AX$2+$F37&lt;=12,SUMIFS('Attrition Modeling'!$D:$D,'Attrition Modeling'!$B:$B,'IP Attrition'!$D37,'Attrition Modeling'!$C:$C,'IP Attrition'!AX$1),VLOOKUP($F37+AX$2,$A$6:$C$106,2,FALSE)*VLOOKUP(AX$1,'Attrition Modeling'!$L$15:$N$27,IF(AX$2+$F37&lt;=24,2,3),FALSE)),$C$3)*(1+Projection!AZ$16)*(1+IF(AX169&gt;0,'Attrition Modeling'!$N$9,0)))</f>
        <v>0</v>
      </c>
      <c r="AY37" s="799">
        <f>(AX37+AY169)*(1-IFERROR(IF(AY$2+$F37&lt;=12,SUMIFS('Attrition Modeling'!$D:$D,'Attrition Modeling'!$B:$B,'IP Attrition'!$D37,'Attrition Modeling'!$C:$C,'IP Attrition'!AY$1),VLOOKUP($F37+AY$2,$A$6:$C$106,2,FALSE)*VLOOKUP(AY$1,'Attrition Modeling'!$L$15:$N$27,IF(AY$2+$F37&lt;=24,2,3),FALSE)),$C$3)*(1+Projection!BA$16)*(1+IF(AY169&gt;0,'Attrition Modeling'!$N$9,0)))</f>
        <v>0</v>
      </c>
      <c r="AZ37" s="799">
        <f>(AY37+AZ169)*(1-IFERROR(IF(AZ$2+$F37&lt;=12,SUMIFS('Attrition Modeling'!$D:$D,'Attrition Modeling'!$B:$B,'IP Attrition'!$D37,'Attrition Modeling'!$C:$C,'IP Attrition'!AZ$1),VLOOKUP($F37+AZ$2,$A$6:$C$106,2,FALSE)*VLOOKUP(AZ$1,'Attrition Modeling'!$L$15:$N$27,IF(AZ$2+$F37&lt;=24,2,3),FALSE)),$C$3)*(1+Projection!BB$16)*(1+IF(AZ169&gt;0,'Attrition Modeling'!$N$9,0)))</f>
        <v>0</v>
      </c>
      <c r="BA37" s="799">
        <f>(AZ37+BA169)*(1-IFERROR(IF(BA$2+$F37&lt;=12,SUMIFS('Attrition Modeling'!$D:$D,'Attrition Modeling'!$B:$B,'IP Attrition'!$D37,'Attrition Modeling'!$C:$C,'IP Attrition'!BA$1),VLOOKUP($F37+BA$2,$A$6:$C$106,2,FALSE)*VLOOKUP(BA$1,'Attrition Modeling'!$L$15:$N$27,IF(BA$2+$F37&lt;=24,2,3),FALSE)),$C$3)*(1+Projection!BC$16)*(1+IF(BA169&gt;0,'Attrition Modeling'!$N$9,0)))</f>
        <v>0</v>
      </c>
      <c r="BB37" s="799">
        <f>(BA37+BB169)*(1-IFERROR(IF(BB$2+$F37&lt;=12,SUMIFS('Attrition Modeling'!$D:$D,'Attrition Modeling'!$B:$B,'IP Attrition'!$D37,'Attrition Modeling'!$C:$C,'IP Attrition'!BB$1),VLOOKUP($F37+BB$2,$A$6:$C$106,2,FALSE)*VLOOKUP(BB$1,'Attrition Modeling'!$L$15:$N$27,IF(BB$2+$F37&lt;=24,2,3),FALSE)),$C$3)*(1+Projection!BD$16)*(1+IF(BB169&gt;0,'Attrition Modeling'!$N$9,0)))</f>
        <v>0</v>
      </c>
      <c r="BC37" s="799">
        <f>(BB37+BC169)*(1-IFERROR(IF(BC$2+$F37&lt;=12,SUMIFS('Attrition Modeling'!$D:$D,'Attrition Modeling'!$B:$B,'IP Attrition'!$D37,'Attrition Modeling'!$C:$C,'IP Attrition'!BC$1),VLOOKUP($F37+BC$2,$A$6:$C$106,2,FALSE)*VLOOKUP(BC$1,'Attrition Modeling'!$L$15:$N$27,IF(BC$2+$F37&lt;=24,2,3),FALSE)),$C$3)*(1+Projection!BE$16)*(1+IF(BC169&gt;0,'Attrition Modeling'!$N$9,0)))</f>
        <v>0</v>
      </c>
      <c r="BD37" s="799">
        <f>(BC37+BD169)*(1-IFERROR(IF(BD$2+$F37&lt;=12,SUMIFS('Attrition Modeling'!$D:$D,'Attrition Modeling'!$B:$B,'IP Attrition'!$D37,'Attrition Modeling'!$C:$C,'IP Attrition'!BD$1),VLOOKUP($F37+BD$2,$A$6:$C$106,2,FALSE)*VLOOKUP(BD$1,'Attrition Modeling'!$L$15:$N$27,IF(BD$2+$F37&lt;=24,2,3),FALSE)),$C$3)*(1+Projection!BF$16)*(1+IF(BD169&gt;0,'Attrition Modeling'!$N$9,0)))</f>
        <v>0</v>
      </c>
      <c r="BE37" s="799">
        <f>(BD37+BE169)*(1-IFERROR(IF(BE$2+$F37&lt;=12,SUMIFS('Attrition Modeling'!$D:$D,'Attrition Modeling'!$B:$B,'IP Attrition'!$D37,'Attrition Modeling'!$C:$C,'IP Attrition'!BE$1),VLOOKUP($F37+BE$2,$A$6:$C$106,2,FALSE)*VLOOKUP(BE$1,'Attrition Modeling'!$L$15:$N$27,IF(BE$2+$F37&lt;=24,2,3),FALSE)),$C$3)*(1+Projection!BG$16)*(1+IF(BE169&gt;0,'Attrition Modeling'!$N$9,0)))</f>
        <v>0</v>
      </c>
      <c r="BF37" s="799">
        <f>(BE37+BF169)*(1-IFERROR(IF(BF$2+$F37&lt;=12,SUMIFS('Attrition Modeling'!$D:$D,'Attrition Modeling'!$B:$B,'IP Attrition'!$D37,'Attrition Modeling'!$C:$C,'IP Attrition'!BF$1),VLOOKUP($F37+BF$2,$A$6:$C$106,2,FALSE)*VLOOKUP(BF$1,'Attrition Modeling'!$L$15:$N$27,IF(BF$2+$F37&lt;=24,2,3),FALSE)),$C$3)*(1+Projection!BH$16)*(1+IF(BF169&gt;0,'Attrition Modeling'!$N$9,0)))</f>
        <v>0</v>
      </c>
      <c r="BG37" s="799">
        <f>(BF37+BG169)*(1-IFERROR(IF(BG$2+$F37&lt;=12,SUMIFS('Attrition Modeling'!$D:$D,'Attrition Modeling'!$B:$B,'IP Attrition'!$D37,'Attrition Modeling'!$C:$C,'IP Attrition'!BG$1),VLOOKUP($F37+BG$2,$A$6:$C$106,2,FALSE)*VLOOKUP(BG$1,'Attrition Modeling'!$L$15:$N$27,IF(BG$2+$F37&lt;=24,2,3),FALSE)),$C$3)*(1+Projection!BI$16)*(1+IF(BG169&gt;0,'Attrition Modeling'!$N$9,0)))</f>
        <v>0</v>
      </c>
      <c r="BH37" s="799">
        <f>(BG37+BH169)*(1-IFERROR(IF(BH$2+$F37&lt;=12,SUMIFS('Attrition Modeling'!$D:$D,'Attrition Modeling'!$B:$B,'IP Attrition'!$D37,'Attrition Modeling'!$C:$C,'IP Attrition'!BH$1),VLOOKUP($F37+BH$2,$A$6:$C$106,2,FALSE)*VLOOKUP(BH$1,'Attrition Modeling'!$L$15:$N$27,IF(BH$2+$F37&lt;=24,2,3),FALSE)),$C$3)*(1+Projection!BJ$16)*(1+IF(BH169&gt;0,'Attrition Modeling'!$N$9,0)))</f>
        <v>0</v>
      </c>
      <c r="BI37" s="799">
        <f>(BH37+BI169)*(1-IFERROR(IF(BI$2+$F37&lt;=12,SUMIFS('Attrition Modeling'!$D:$D,'Attrition Modeling'!$B:$B,'IP Attrition'!$D37,'Attrition Modeling'!$C:$C,'IP Attrition'!BI$1),VLOOKUP($F37+BI$2,$A$6:$C$106,2,FALSE)*VLOOKUP(BI$1,'Attrition Modeling'!$L$15:$N$27,IF(BI$2+$F37&lt;=24,2,3),FALSE)),$C$3)*(1+Projection!BK$16)*(1+IF(BI169&gt;0,'Attrition Modeling'!$N$9,0)))</f>
        <v>0</v>
      </c>
      <c r="BJ37" s="799">
        <f>(BI37+BJ169)*(1-IFERROR(IF(BJ$2+$F37&lt;=12,SUMIFS('Attrition Modeling'!$D:$D,'Attrition Modeling'!$B:$B,'IP Attrition'!$D37,'Attrition Modeling'!$C:$C,'IP Attrition'!BJ$1),VLOOKUP($F37+BJ$2,$A$6:$C$106,2,FALSE)*VLOOKUP(BJ$1,'Attrition Modeling'!$L$15:$N$27,IF(BJ$2+$F37&lt;=24,2,3),FALSE)),$C$3)*(1+Projection!BL$16)*(1+IF(BJ169&gt;0,'Attrition Modeling'!$N$9,0)))</f>
        <v>0</v>
      </c>
      <c r="BK37" s="799">
        <f>(BJ37+BK169)*(1-IFERROR(IF(BK$2+$F37&lt;=12,SUMIFS('Attrition Modeling'!$D:$D,'Attrition Modeling'!$B:$B,'IP Attrition'!$D37,'Attrition Modeling'!$C:$C,'IP Attrition'!BK$1),VLOOKUP($F37+BK$2,$A$6:$C$106,2,FALSE)*VLOOKUP(BK$1,'Attrition Modeling'!$L$15:$N$27,IF(BK$2+$F37&lt;=24,2,3),FALSE)),$C$3)*(1+Projection!BM$16)*(1+IF(BK169&gt;0,'Attrition Modeling'!$N$9,0)))</f>
        <v>0</v>
      </c>
      <c r="BL37" s="799">
        <f>(BK37+BL169)*(1-IFERROR(IF(BL$2+$F37&lt;=12,SUMIFS('Attrition Modeling'!$D:$D,'Attrition Modeling'!$B:$B,'IP Attrition'!$D37,'Attrition Modeling'!$C:$C,'IP Attrition'!BL$1),VLOOKUP($F37+BL$2,$A$6:$C$106,2,FALSE)*VLOOKUP(BL$1,'Attrition Modeling'!$L$15:$N$27,IF(BL$2+$F37&lt;=24,2,3),FALSE)),$C$3)*(1+Projection!BN$16)*(1+IF(BL169&gt;0,'Attrition Modeling'!$N$9,0)))</f>
        <v>0</v>
      </c>
      <c r="BM37" s="799">
        <f>(BL37+BM169)*(1-IFERROR(IF(BM$2+$F37&lt;=12,SUMIFS('Attrition Modeling'!$D:$D,'Attrition Modeling'!$B:$B,'IP Attrition'!$D37,'Attrition Modeling'!$C:$C,'IP Attrition'!BM$1),VLOOKUP($F37+BM$2,$A$6:$C$106,2,FALSE)*VLOOKUP(BM$1,'Attrition Modeling'!$L$15:$N$27,IF(BM$2+$F37&lt;=24,2,3),FALSE)),$C$3)*(1+Projection!BO$16)*(1+IF(BM169&gt;0,'Attrition Modeling'!$N$9,0)))</f>
        <v>0</v>
      </c>
      <c r="BN37" s="799">
        <f>(BM37+BN169)*(1-IFERROR(IF(BN$2+$F37&lt;=12,SUMIFS('Attrition Modeling'!$D:$D,'Attrition Modeling'!$B:$B,'IP Attrition'!$D37,'Attrition Modeling'!$C:$C,'IP Attrition'!BN$1),VLOOKUP($F37+BN$2,$A$6:$C$106,2,FALSE)*VLOOKUP(BN$1,'Attrition Modeling'!$L$15:$N$27,IF(BN$2+$F37&lt;=24,2,3),FALSE)),$C$3)*(1+Projection!BP$16)*(1+IF(BN169&gt;0,'Attrition Modeling'!$N$9,0)))</f>
        <v>0</v>
      </c>
      <c r="BO37" s="799">
        <f>(BN37+BO169)*(1-IFERROR(IF(BO$2+$F37&lt;=12,SUMIFS('Attrition Modeling'!$D:$D,'Attrition Modeling'!$B:$B,'IP Attrition'!$D37,'Attrition Modeling'!$C:$C,'IP Attrition'!BO$1),VLOOKUP($F37+BO$2,$A$6:$C$106,2,FALSE)*VLOOKUP(BO$1,'Attrition Modeling'!$L$15:$N$27,IF(BO$2+$F37&lt;=24,2,3),FALSE)),$C$3)*(1+Projection!BV$16)*(1+IF(BO169&gt;0,'Attrition Modeling'!$N$9,0)))</f>
        <v>0</v>
      </c>
      <c r="BP37" s="799">
        <f>(BO37+BP169)*(1-IFERROR(IF(BP$2+$F37&lt;=12,SUMIFS('Attrition Modeling'!$D:$D,'Attrition Modeling'!$B:$B,'IP Attrition'!$D37,'Attrition Modeling'!$C:$C,'IP Attrition'!BP$1),VLOOKUP($F37+BP$2,$A$6:$C$106,2,FALSE)*VLOOKUP(BP$1,'Attrition Modeling'!$L$15:$N$27,IF(BP$2+$F37&lt;=24,2,3),FALSE)),$C$3)*(1+Projection!BW$16)*(1+IF(BP169&gt;0,'Attrition Modeling'!$N$9,0)))</f>
        <v>0</v>
      </c>
      <c r="BQ37" s="799">
        <f>(BP37+BQ169)*(1-IFERROR(IF(BQ$2+$F37&lt;=12,SUMIFS('Attrition Modeling'!$D:$D,'Attrition Modeling'!$B:$B,'IP Attrition'!$D37,'Attrition Modeling'!$C:$C,'IP Attrition'!BQ$1),VLOOKUP($F37+BQ$2,$A$6:$C$106,2,FALSE)*VLOOKUP(BQ$1,'Attrition Modeling'!$L$15:$N$27,IF(BQ$2+$F37&lt;=24,2,3),FALSE)),$C$3)*(1+Projection!BX$16)*(1+IF(BQ169&gt;0,'Attrition Modeling'!$N$9,0)))</f>
        <v>0</v>
      </c>
      <c r="BR37" s="799">
        <f>(BQ37+BR169)*(1-IFERROR(IF(BR$2+$F37&lt;=12,SUMIFS('Attrition Modeling'!$D:$D,'Attrition Modeling'!$B:$B,'IP Attrition'!$D37,'Attrition Modeling'!$C:$C,'IP Attrition'!BR$1),VLOOKUP($F37+BR$2,$A$6:$C$106,2,FALSE)*VLOOKUP(BR$1,'Attrition Modeling'!$L$15:$N$27,IF(BR$2+$F37&lt;=24,2,3),FALSE)),$C$3)*(1+Projection!BY$16)*(1+IF(BR169&gt;0,'Attrition Modeling'!$N$9,0)))</f>
        <v>0</v>
      </c>
      <c r="BS37" s="799">
        <f>(BR37+BS169)*(1-IFERROR(IF(BS$2+$F37&lt;=12,SUMIFS('Attrition Modeling'!$D:$D,'Attrition Modeling'!$B:$B,'IP Attrition'!$D37,'Attrition Modeling'!$C:$C,'IP Attrition'!BS$1),VLOOKUP($F37+BS$2,$A$6:$C$106,2,FALSE)*VLOOKUP(BS$1,'Attrition Modeling'!$L$15:$N$27,IF(BS$2+$F37&lt;=24,2,3),FALSE)),$C$3)*(1+Projection!BZ$16)*(1+IF(BS169&gt;0,'Attrition Modeling'!$N$9,0)))</f>
        <v>0</v>
      </c>
      <c r="BT37" s="799" t="e">
        <f>(BS37+BT169)*(1-IFERROR(IF(BT$2+$F37&lt;=12,SUMIFS('Attrition Modeling'!$D:$D,'Attrition Modeling'!$B:$B,'IP Attrition'!$D37,'Attrition Modeling'!$C:$C,'IP Attrition'!BT$1),VLOOKUP($F37+BT$2,$A$6:$C$106,2,FALSE)*VLOOKUP(BT$1,'Attrition Modeling'!$L$15:$N$27,IF(BT$2+$F37&lt;=24,2,3),FALSE)),$C$3)*(1+Projection!CA$16)*(1+IF(BT169&gt;0,'Attrition Modeling'!$N$9,0)))</f>
        <v>#REF!</v>
      </c>
      <c r="BU37" s="799" t="e">
        <f>(BT37+BU169)*(1-IFERROR(IF(BU$2+$F37&lt;=12,SUMIFS('Attrition Modeling'!$D:$D,'Attrition Modeling'!$B:$B,'IP Attrition'!$D37,'Attrition Modeling'!$C:$C,'IP Attrition'!BU$1),VLOOKUP($F37+BU$2,$A$6:$C$106,2,FALSE)*VLOOKUP(BU$1,'Attrition Modeling'!$L$15:$N$27,IF(BU$2+$F37&lt;=24,2,3),FALSE)),$C$3)*(1+Projection!CB$16)*(1+IF(BU169&gt;0,'Attrition Modeling'!$N$9,0)))</f>
        <v>#REF!</v>
      </c>
    </row>
    <row r="38" spans="1:73" ht="14.25" customHeight="1" x14ac:dyDescent="0.2">
      <c r="A38" s="9">
        <v>31</v>
      </c>
      <c r="B38" s="25">
        <f>MAX('Attrition Modeling'!H35,$C$3)*(1-Summary!$C$20)</f>
        <v>3.2456522859089947E-2</v>
      </c>
      <c r="C38" s="24" t="e">
        <f t="shared" si="3"/>
        <v>#DIV/0!</v>
      </c>
      <c r="D38" s="11">
        <f t="shared" si="1"/>
        <v>-35</v>
      </c>
      <c r="E38" s="807">
        <f t="array" ref="E38">INDEX('Attrition Modeling'!$X$2:$AF$63,MATCH($F38,'Attrition Modeling'!$X$2:$X$63,0),MATCH(Inputs!$C$10,'Attrition Modeling'!$X$2:$AF$2,0))</f>
        <v>0</v>
      </c>
      <c r="F38" s="11">
        <f t="shared" si="2"/>
        <v>35</v>
      </c>
      <c r="G38" s="799">
        <f>Summary!$C$25*$E38</f>
        <v>0</v>
      </c>
      <c r="H38" s="799">
        <f>(G38+H170)*(1-IFERROR(IF(H$2+$F38&lt;=12,SUMIFS('Attrition Modeling'!$D:$D,'Attrition Modeling'!$B:$B,'IP Attrition'!$D38,'Attrition Modeling'!$C:$C,'IP Attrition'!H$1),VLOOKUP($F38+H$2,$A$6:$C$106,2,FALSE)*VLOOKUP(H$1,'Attrition Modeling'!$L$15:$N$27,IF(H$2+$F38&lt;=24,2,3),FALSE)),$C$3)*(1+Projection!J$16)*(1+IF(H170&gt;0,'Attrition Modeling'!$N$9,0)))</f>
        <v>0</v>
      </c>
      <c r="I38" s="799">
        <f>(H38+I170)*(1-IFERROR(IF(I$2+$F38&lt;=12,SUMIFS('Attrition Modeling'!$D:$D,'Attrition Modeling'!$B:$B,'IP Attrition'!$D38,'Attrition Modeling'!$C:$C,'IP Attrition'!I$1),VLOOKUP($F38+I$2,$A$6:$C$106,2,FALSE)*VLOOKUP(I$1,'Attrition Modeling'!$L$15:$N$27,IF(I$2+$F38&lt;=24,2,3),FALSE)),$C$3)*(1+Projection!K$16)*(1+IF(I170&gt;0,'Attrition Modeling'!$N$9,0)))</f>
        <v>0</v>
      </c>
      <c r="J38" s="799">
        <f>(I38+J170)*(1-IFERROR(IF(J$2+$F38&lt;=12,SUMIFS('Attrition Modeling'!$D:$D,'Attrition Modeling'!$B:$B,'IP Attrition'!$D38,'Attrition Modeling'!$C:$C,'IP Attrition'!J$1),VLOOKUP($F38+J$2,$A$6:$C$106,2,FALSE)*VLOOKUP(J$1,'Attrition Modeling'!$L$15:$N$27,IF(J$2+$F38&lt;=24,2,3),FALSE)),$C$3)*(1+Projection!L$16)*(1+IF(J170&gt;0,'Attrition Modeling'!$N$9,0)))</f>
        <v>0</v>
      </c>
      <c r="K38" s="799">
        <f>(J38+K170)*(1-IFERROR(IF(K$2+$F38&lt;=12,SUMIFS('Attrition Modeling'!$D:$D,'Attrition Modeling'!$B:$B,'IP Attrition'!$D38,'Attrition Modeling'!$C:$C,'IP Attrition'!K$1),VLOOKUP($F38+K$2,$A$6:$C$106,2,FALSE)*VLOOKUP(K$1,'Attrition Modeling'!$L$15:$N$27,IF(K$2+$F38&lt;=24,2,3),FALSE)),$C$3)*(1+Projection!M$16)*(1+IF(K170&gt;0,'Attrition Modeling'!$N$9,0)))</f>
        <v>0</v>
      </c>
      <c r="L38" s="799">
        <f>(K38+L170)*(1-IFERROR(IF(L$2+$F38&lt;=12,SUMIFS('Attrition Modeling'!$D:$D,'Attrition Modeling'!$B:$B,'IP Attrition'!$D38,'Attrition Modeling'!$C:$C,'IP Attrition'!L$1),VLOOKUP($F38+L$2,$A$6:$C$106,2,FALSE)*VLOOKUP(L$1,'Attrition Modeling'!$L$15:$N$27,IF(L$2+$F38&lt;=24,2,3),FALSE)),$C$3)*(1+Projection!N$16)*(1+IF(L170&gt;0,'Attrition Modeling'!$N$9,0)))</f>
        <v>0</v>
      </c>
      <c r="M38" s="799">
        <f>(L38+M170)*(1-IFERROR(IF(M$2+$F38&lt;=12,SUMIFS('Attrition Modeling'!$D:$D,'Attrition Modeling'!$B:$B,'IP Attrition'!$D38,'Attrition Modeling'!$C:$C,'IP Attrition'!M$1),VLOOKUP($F38+M$2,$A$6:$C$106,2,FALSE)*VLOOKUP(M$1,'Attrition Modeling'!$L$15:$N$27,IF(M$2+$F38&lt;=24,2,3),FALSE)),$C$3)*(1+Projection!O$16)*(1+IF(M170&gt;0,'Attrition Modeling'!$N$9,0)))</f>
        <v>0</v>
      </c>
      <c r="N38" s="799">
        <f>(M38+N170)*(1-IFERROR(IF(N$2+$F38&lt;=12,SUMIFS('Attrition Modeling'!$D:$D,'Attrition Modeling'!$B:$B,'IP Attrition'!$D38,'Attrition Modeling'!$C:$C,'IP Attrition'!N$1),VLOOKUP($F38+N$2,$A$6:$C$106,2,FALSE)*VLOOKUP(N$1,'Attrition Modeling'!$L$15:$N$27,IF(N$2+$F38&lt;=24,2,3),FALSE)),$C$3)*(1+Projection!P$16)*(1+IF(N170&gt;0,'Attrition Modeling'!$N$9,0)))</f>
        <v>0</v>
      </c>
      <c r="O38" s="799">
        <f>(N38+O170)*(1-IFERROR(IF(O$2+$F38&lt;=12,SUMIFS('Attrition Modeling'!$D:$D,'Attrition Modeling'!$B:$B,'IP Attrition'!$D38,'Attrition Modeling'!$C:$C,'IP Attrition'!O$1),VLOOKUP($F38+O$2,$A$6:$C$106,2,FALSE)*VLOOKUP(O$1,'Attrition Modeling'!$L$15:$N$27,IF(O$2+$F38&lt;=24,2,3),FALSE)),$C$3)*(1+Projection!Q$16)*(1+IF(O170&gt;0,'Attrition Modeling'!$N$9,0)))</f>
        <v>0</v>
      </c>
      <c r="P38" s="799">
        <f>(O38+P170)*(1-IFERROR(IF(P$2+$F38&lt;=12,SUMIFS('Attrition Modeling'!$D:$D,'Attrition Modeling'!$B:$B,'IP Attrition'!$D38,'Attrition Modeling'!$C:$C,'IP Attrition'!P$1),VLOOKUP($F38+P$2,$A$6:$C$106,2,FALSE)*VLOOKUP(P$1,'Attrition Modeling'!$L$15:$N$27,IF(P$2+$F38&lt;=24,2,3),FALSE)),$C$3)*(1+Projection!R$16)*(1+IF(P170&gt;0,'Attrition Modeling'!$N$9,0)))</f>
        <v>0</v>
      </c>
      <c r="Q38" s="799">
        <f>(P38+Q170)*(1-IFERROR(IF(Q$2+$F38&lt;=12,SUMIFS('Attrition Modeling'!$D:$D,'Attrition Modeling'!$B:$B,'IP Attrition'!$D38,'Attrition Modeling'!$C:$C,'IP Attrition'!Q$1),VLOOKUP($F38+Q$2,$A$6:$C$106,2,FALSE)*VLOOKUP(Q$1,'Attrition Modeling'!$L$15:$N$27,IF(Q$2+$F38&lt;=24,2,3),FALSE)),$C$3)*(1+Projection!S$16)*(1+IF(Q170&gt;0,'Attrition Modeling'!$N$9,0)))</f>
        <v>0</v>
      </c>
      <c r="R38" s="799">
        <f>(Q38+R170)*(1-IFERROR(IF(R$2+$F38&lt;=12,SUMIFS('Attrition Modeling'!$D:$D,'Attrition Modeling'!$B:$B,'IP Attrition'!$D38,'Attrition Modeling'!$C:$C,'IP Attrition'!R$1),VLOOKUP($F38+R$2,$A$6:$C$106,2,FALSE)*VLOOKUP(R$1,'Attrition Modeling'!$L$15:$N$27,IF(R$2+$F38&lt;=24,2,3),FALSE)),$C$3)*(1+Projection!T$16)*(1+IF(R170&gt;0,'Attrition Modeling'!$N$9,0)))</f>
        <v>0</v>
      </c>
      <c r="S38" s="799">
        <f>(R38+S170)*(1-IFERROR(IF(S$2+$F38&lt;=12,SUMIFS('Attrition Modeling'!$D:$D,'Attrition Modeling'!$B:$B,'IP Attrition'!$D38,'Attrition Modeling'!$C:$C,'IP Attrition'!S$1),VLOOKUP($F38+S$2,$A$6:$C$106,2,FALSE)*VLOOKUP(S$1,'Attrition Modeling'!$L$15:$N$27,IF(S$2+$F38&lt;=24,2,3),FALSE)),$C$3)*(1+Projection!U$16)*(1+IF(S170&gt;0,'Attrition Modeling'!$N$9,0)))</f>
        <v>0</v>
      </c>
      <c r="T38" s="799">
        <f>(S38+T170)*(1-IFERROR(IF(T$2+$F38&lt;=12,SUMIFS('Attrition Modeling'!$D:$D,'Attrition Modeling'!$B:$B,'IP Attrition'!$D38,'Attrition Modeling'!$C:$C,'IP Attrition'!T$1),VLOOKUP($F38+T$2,$A$6:$C$106,2,FALSE)*VLOOKUP(T$1,'Attrition Modeling'!$L$15:$N$27,IF(T$2+$F38&lt;=24,2,3),FALSE)),$C$3)*(1+Projection!V$16)*(1+IF(T170&gt;0,'Attrition Modeling'!$N$9,0)))</f>
        <v>0</v>
      </c>
      <c r="U38" s="799">
        <f>(T38+U170)*(1-IFERROR(IF(U$2+$F38&lt;=12,SUMIFS('Attrition Modeling'!$D:$D,'Attrition Modeling'!$B:$B,'IP Attrition'!$D38,'Attrition Modeling'!$C:$C,'IP Attrition'!U$1),VLOOKUP($F38+U$2,$A$6:$C$106,2,FALSE)*VLOOKUP(U$1,'Attrition Modeling'!$L$15:$N$27,IF(U$2+$F38&lt;=24,2,3),FALSE)),$C$3)*(1+Projection!W$16)*(1+IF(U170&gt;0,'Attrition Modeling'!$N$9,0)))</f>
        <v>0</v>
      </c>
      <c r="V38" s="799">
        <f>(U38+V170)*(1-IFERROR(IF(V$2+$F38&lt;=12,SUMIFS('Attrition Modeling'!$D:$D,'Attrition Modeling'!$B:$B,'IP Attrition'!$D38,'Attrition Modeling'!$C:$C,'IP Attrition'!V$1),VLOOKUP($F38+V$2,$A$6:$C$106,2,FALSE)*VLOOKUP(V$1,'Attrition Modeling'!$L$15:$N$27,IF(V$2+$F38&lt;=24,2,3),FALSE)),$C$3)*(1+Projection!X$16)*(1+IF(V170&gt;0,'Attrition Modeling'!$N$9,0)))</f>
        <v>0</v>
      </c>
      <c r="W38" s="799">
        <f>(V38+W170)*(1-IFERROR(IF(W$2+$F38&lt;=12,SUMIFS('Attrition Modeling'!$D:$D,'Attrition Modeling'!$B:$B,'IP Attrition'!$D38,'Attrition Modeling'!$C:$C,'IP Attrition'!W$1),VLOOKUP($F38+W$2,$A$6:$C$106,2,FALSE)*VLOOKUP(W$1,'Attrition Modeling'!$L$15:$N$27,IF(W$2+$F38&lt;=24,2,3),FALSE)),$C$3)*(1+Projection!Y$16)*(1+IF(W170&gt;0,'Attrition Modeling'!$N$9,0)))</f>
        <v>0</v>
      </c>
      <c r="X38" s="799">
        <f>(W38+X170)*(1-IFERROR(IF(X$2+$F38&lt;=12,SUMIFS('Attrition Modeling'!$D:$D,'Attrition Modeling'!$B:$B,'IP Attrition'!$D38,'Attrition Modeling'!$C:$C,'IP Attrition'!X$1),VLOOKUP($F38+X$2,$A$6:$C$106,2,FALSE)*VLOOKUP(X$1,'Attrition Modeling'!$L$15:$N$27,IF(X$2+$F38&lt;=24,2,3),FALSE)),$C$3)*(1+Projection!Z$16)*(1+IF(X170&gt;0,'Attrition Modeling'!$N$9,0)))</f>
        <v>0</v>
      </c>
      <c r="Y38" s="799">
        <f>(X38+Y170)*(1-IFERROR(IF(Y$2+$F38&lt;=12,SUMIFS('Attrition Modeling'!$D:$D,'Attrition Modeling'!$B:$B,'IP Attrition'!$D38,'Attrition Modeling'!$C:$C,'IP Attrition'!Y$1),VLOOKUP($F38+Y$2,$A$6:$C$106,2,FALSE)*VLOOKUP(Y$1,'Attrition Modeling'!$L$15:$N$27,IF(Y$2+$F38&lt;=24,2,3),FALSE)),$C$3)*(1+Projection!AA$16)*(1+IF(Y170&gt;0,'Attrition Modeling'!$N$9,0)))</f>
        <v>0</v>
      </c>
      <c r="Z38" s="799">
        <f>(Y38+Z170)*(1-IFERROR(IF(Z$2+$F38&lt;=12,SUMIFS('Attrition Modeling'!$D:$D,'Attrition Modeling'!$B:$B,'IP Attrition'!$D38,'Attrition Modeling'!$C:$C,'IP Attrition'!Z$1),VLOOKUP($F38+Z$2,$A$6:$C$106,2,FALSE)*VLOOKUP(Z$1,'Attrition Modeling'!$L$15:$N$27,IF(Z$2+$F38&lt;=24,2,3),FALSE)),$C$3)*(1+Projection!AB$16)*(1+IF(Z170&gt;0,'Attrition Modeling'!$N$9,0)))</f>
        <v>0</v>
      </c>
      <c r="AA38" s="799">
        <f>(Z38+AA170)*(1-IFERROR(IF(AA$2+$F38&lt;=12,SUMIFS('Attrition Modeling'!$D:$D,'Attrition Modeling'!$B:$B,'IP Attrition'!$D38,'Attrition Modeling'!$C:$C,'IP Attrition'!AA$1),VLOOKUP($F38+AA$2,$A$6:$C$106,2,FALSE)*VLOOKUP(AA$1,'Attrition Modeling'!$L$15:$N$27,IF(AA$2+$F38&lt;=24,2,3),FALSE)),$C$3)*(1+Projection!AC$16)*(1+IF(AA170&gt;0,'Attrition Modeling'!$N$9,0)))</f>
        <v>0</v>
      </c>
      <c r="AB38" s="799">
        <f>(AA38+AB170)*(1-IFERROR(IF(AB$2+$F38&lt;=12,SUMIFS('Attrition Modeling'!$D:$D,'Attrition Modeling'!$B:$B,'IP Attrition'!$D38,'Attrition Modeling'!$C:$C,'IP Attrition'!AB$1),VLOOKUP($F38+AB$2,$A$6:$C$106,2,FALSE)*VLOOKUP(AB$1,'Attrition Modeling'!$L$15:$N$27,IF(AB$2+$F38&lt;=24,2,3),FALSE)),$C$3)*(1+Projection!AD$16)*(1+IF(AB170&gt;0,'Attrition Modeling'!$N$9,0)))</f>
        <v>0</v>
      </c>
      <c r="AC38" s="799">
        <f>(AB38+AC170)*(1-IFERROR(IF(AC$2+$F38&lt;=12,SUMIFS('Attrition Modeling'!$D:$D,'Attrition Modeling'!$B:$B,'IP Attrition'!$D38,'Attrition Modeling'!$C:$C,'IP Attrition'!AC$1),VLOOKUP($F38+AC$2,$A$6:$C$106,2,FALSE)*VLOOKUP(AC$1,'Attrition Modeling'!$L$15:$N$27,IF(AC$2+$F38&lt;=24,2,3),FALSE)),$C$3)*(1+Projection!AE$16)*(1+IF(AC170&gt;0,'Attrition Modeling'!$N$9,0)))</f>
        <v>0</v>
      </c>
      <c r="AD38" s="799">
        <f>(AC38+AD170)*(1-IFERROR(IF(AD$2+$F38&lt;=12,SUMIFS('Attrition Modeling'!$D:$D,'Attrition Modeling'!$B:$B,'IP Attrition'!$D38,'Attrition Modeling'!$C:$C,'IP Attrition'!AD$1),VLOOKUP($F38+AD$2,$A$6:$C$106,2,FALSE)*VLOOKUP(AD$1,'Attrition Modeling'!$L$15:$N$27,IF(AD$2+$F38&lt;=24,2,3),FALSE)),$C$3)*(1+Projection!AF$16)*(1+IF(AD170&gt;0,'Attrition Modeling'!$N$9,0)))</f>
        <v>0</v>
      </c>
      <c r="AE38" s="799">
        <f>(AD38+AE170)*(1-IFERROR(IF(AE$2+$F38&lt;=12,SUMIFS('Attrition Modeling'!$D:$D,'Attrition Modeling'!$B:$B,'IP Attrition'!$D38,'Attrition Modeling'!$C:$C,'IP Attrition'!AE$1),VLOOKUP($F38+AE$2,$A$6:$C$106,2,FALSE)*VLOOKUP(AE$1,'Attrition Modeling'!$L$15:$N$27,IF(AE$2+$F38&lt;=24,2,3),FALSE)),$C$3)*(1+Projection!AG$16)*(1+IF(AE170&gt;0,'Attrition Modeling'!$N$9,0)))</f>
        <v>0</v>
      </c>
      <c r="AF38" s="799">
        <f>(AE38+AF170)*(1-IFERROR(IF(AF$2+$F38&lt;=12,SUMIFS('Attrition Modeling'!$D:$D,'Attrition Modeling'!$B:$B,'IP Attrition'!$D38,'Attrition Modeling'!$C:$C,'IP Attrition'!AF$1),VLOOKUP($F38+AF$2,$A$6:$C$106,2,FALSE)*VLOOKUP(AF$1,'Attrition Modeling'!$L$15:$N$27,IF(AF$2+$F38&lt;=24,2,3),FALSE)),$C$3)*(1+Projection!AH$16)*(1+IF(AF170&gt;0,'Attrition Modeling'!$N$9,0)))</f>
        <v>0</v>
      </c>
      <c r="AG38" s="799">
        <f>(AF38+AG170)*(1-IFERROR(IF(AG$2+$F38&lt;=12,SUMIFS('Attrition Modeling'!$D:$D,'Attrition Modeling'!$B:$B,'IP Attrition'!$D38,'Attrition Modeling'!$C:$C,'IP Attrition'!AG$1),VLOOKUP($F38+AG$2,$A$6:$C$106,2,FALSE)*VLOOKUP(AG$1,'Attrition Modeling'!$L$15:$N$27,IF(AG$2+$F38&lt;=24,2,3),FALSE)),$C$3)*(1+Projection!AI$16)*(1+IF(AG170&gt;0,'Attrition Modeling'!$N$9,0)))</f>
        <v>0</v>
      </c>
      <c r="AH38" s="799">
        <f>(AG38+AH170)*(1-IFERROR(IF(AH$2+$F38&lt;=12,SUMIFS('Attrition Modeling'!$D:$D,'Attrition Modeling'!$B:$B,'IP Attrition'!$D38,'Attrition Modeling'!$C:$C,'IP Attrition'!AH$1),VLOOKUP($F38+AH$2,$A$6:$C$106,2,FALSE)*VLOOKUP(AH$1,'Attrition Modeling'!$L$15:$N$27,IF(AH$2+$F38&lt;=24,2,3),FALSE)),$C$3)*(1+Projection!AJ$16)*(1+IF(AH170&gt;0,'Attrition Modeling'!$N$9,0)))</f>
        <v>0</v>
      </c>
      <c r="AI38" s="799">
        <f>(AH38+AI170)*(1-IFERROR(IF(AI$2+$F38&lt;=12,SUMIFS('Attrition Modeling'!$D:$D,'Attrition Modeling'!$B:$B,'IP Attrition'!$D38,'Attrition Modeling'!$C:$C,'IP Attrition'!AI$1),VLOOKUP($F38+AI$2,$A$6:$C$106,2,FALSE)*VLOOKUP(AI$1,'Attrition Modeling'!$L$15:$N$27,IF(AI$2+$F38&lt;=24,2,3),FALSE)),$C$3)*(1+Projection!AK$16)*(1+IF(AI170&gt;0,'Attrition Modeling'!$N$9,0)))</f>
        <v>0</v>
      </c>
      <c r="AJ38" s="799">
        <f>(AI38+AJ170)*(1-IFERROR(IF(AJ$2+$F38&lt;=12,SUMIFS('Attrition Modeling'!$D:$D,'Attrition Modeling'!$B:$B,'IP Attrition'!$D38,'Attrition Modeling'!$C:$C,'IP Attrition'!AJ$1),VLOOKUP($F38+AJ$2,$A$6:$C$106,2,FALSE)*VLOOKUP(AJ$1,'Attrition Modeling'!$L$15:$N$27,IF(AJ$2+$F38&lt;=24,2,3),FALSE)),$C$3)*(1+Projection!AL$16)*(1+IF(AJ170&gt;0,'Attrition Modeling'!$N$9,0)))</f>
        <v>0</v>
      </c>
      <c r="AK38" s="799">
        <f>(AJ38+AK170)*(1-IFERROR(IF(AK$2+$F38&lt;=12,SUMIFS('Attrition Modeling'!$D:$D,'Attrition Modeling'!$B:$B,'IP Attrition'!$D38,'Attrition Modeling'!$C:$C,'IP Attrition'!AK$1),VLOOKUP($F38+AK$2,$A$6:$C$106,2,FALSE)*VLOOKUP(AK$1,'Attrition Modeling'!$L$15:$N$27,IF(AK$2+$F38&lt;=24,2,3),FALSE)),$C$3)*(1+Projection!AM$16)*(1+IF(AK170&gt;0,'Attrition Modeling'!$N$9,0)))</f>
        <v>0</v>
      </c>
      <c r="AL38" s="799">
        <f>(AK38+AL170)*(1-IFERROR(IF(AL$2+$F38&lt;=12,SUMIFS('Attrition Modeling'!$D:$D,'Attrition Modeling'!$B:$B,'IP Attrition'!$D38,'Attrition Modeling'!$C:$C,'IP Attrition'!AL$1),VLOOKUP($F38+AL$2,$A$6:$C$106,2,FALSE)*VLOOKUP(AL$1,'Attrition Modeling'!$L$15:$N$27,IF(AL$2+$F38&lt;=24,2,3),FALSE)),$C$3)*(1+Projection!AN$16)*(1+IF(AL170&gt;0,'Attrition Modeling'!$N$9,0)))</f>
        <v>0</v>
      </c>
      <c r="AM38" s="799">
        <f>(AL38+AM170)*(1-IFERROR(IF(AM$2+$F38&lt;=12,SUMIFS('Attrition Modeling'!$D:$D,'Attrition Modeling'!$B:$B,'IP Attrition'!$D38,'Attrition Modeling'!$C:$C,'IP Attrition'!AM$1),VLOOKUP($F38+AM$2,$A$6:$C$106,2,FALSE)*VLOOKUP(AM$1,'Attrition Modeling'!$L$15:$N$27,IF(AM$2+$F38&lt;=24,2,3),FALSE)),$C$3)*(1+Projection!AO$16)*(1+IF(AM170&gt;0,'Attrition Modeling'!$N$9,0)))</f>
        <v>0</v>
      </c>
      <c r="AN38" s="799">
        <f>(AM38+AN170)*(1-IFERROR(IF(AN$2+$F38&lt;=12,SUMIFS('Attrition Modeling'!$D:$D,'Attrition Modeling'!$B:$B,'IP Attrition'!$D38,'Attrition Modeling'!$C:$C,'IP Attrition'!AN$1),VLOOKUP($F38+AN$2,$A$6:$C$106,2,FALSE)*VLOOKUP(AN$1,'Attrition Modeling'!$L$15:$N$27,IF(AN$2+$F38&lt;=24,2,3),FALSE)),$C$3)*(1+Projection!AP$16)*(1+IF(AN170&gt;0,'Attrition Modeling'!$N$9,0)))</f>
        <v>0</v>
      </c>
      <c r="AO38" s="799">
        <f>(AN38+AO170)*(1-IFERROR(IF(AO$2+$F38&lt;=12,SUMIFS('Attrition Modeling'!$D:$D,'Attrition Modeling'!$B:$B,'IP Attrition'!$D38,'Attrition Modeling'!$C:$C,'IP Attrition'!AO$1),VLOOKUP($F38+AO$2,$A$6:$C$106,2,FALSE)*VLOOKUP(AO$1,'Attrition Modeling'!$L$15:$N$27,IF(AO$2+$F38&lt;=24,2,3),FALSE)),$C$3)*(1+Projection!AQ$16)*(1+IF(AO170&gt;0,'Attrition Modeling'!$N$9,0)))</f>
        <v>0</v>
      </c>
      <c r="AP38" s="799">
        <f>(AO38+AP170)*(1-IFERROR(IF(AP$2+$F38&lt;=12,SUMIFS('Attrition Modeling'!$D:$D,'Attrition Modeling'!$B:$B,'IP Attrition'!$D38,'Attrition Modeling'!$C:$C,'IP Attrition'!AP$1),VLOOKUP($F38+AP$2,$A$6:$C$106,2,FALSE)*VLOOKUP(AP$1,'Attrition Modeling'!$L$15:$N$27,IF(AP$2+$F38&lt;=24,2,3),FALSE)),$C$3)*(1+Projection!AR$16)*(1+IF(AP170&gt;0,'Attrition Modeling'!$N$9,0)))</f>
        <v>0</v>
      </c>
      <c r="AQ38" s="799">
        <f>(AP38+AQ170)*(1-IFERROR(IF(AQ$2+$F38&lt;=12,SUMIFS('Attrition Modeling'!$D:$D,'Attrition Modeling'!$B:$B,'IP Attrition'!$D38,'Attrition Modeling'!$C:$C,'IP Attrition'!AQ$1),VLOOKUP($F38+AQ$2,$A$6:$C$106,2,FALSE)*VLOOKUP(AQ$1,'Attrition Modeling'!$L$15:$N$27,IF(AQ$2+$F38&lt;=24,2,3),FALSE)),$C$3)*(1+Projection!AS$16)*(1+IF(AQ170&gt;0,'Attrition Modeling'!$N$9,0)))</f>
        <v>0</v>
      </c>
      <c r="AR38" s="799">
        <f>(AQ38+AR170)*(1-IFERROR(IF(AR$2+$F38&lt;=12,SUMIFS('Attrition Modeling'!$D:$D,'Attrition Modeling'!$B:$B,'IP Attrition'!$D38,'Attrition Modeling'!$C:$C,'IP Attrition'!AR$1),VLOOKUP($F38+AR$2,$A$6:$C$106,2,FALSE)*VLOOKUP(AR$1,'Attrition Modeling'!$L$15:$N$27,IF(AR$2+$F38&lt;=24,2,3),FALSE)),$C$3)*(1+Projection!AT$16)*(1+IF(AR170&gt;0,'Attrition Modeling'!$N$9,0)))</f>
        <v>0</v>
      </c>
      <c r="AS38" s="799">
        <f>(AR38+AS170)*(1-IFERROR(IF(AS$2+$F38&lt;=12,SUMIFS('Attrition Modeling'!$D:$D,'Attrition Modeling'!$B:$B,'IP Attrition'!$D38,'Attrition Modeling'!$C:$C,'IP Attrition'!AS$1),VLOOKUP($F38+AS$2,$A$6:$C$106,2,FALSE)*VLOOKUP(AS$1,'Attrition Modeling'!$L$15:$N$27,IF(AS$2+$F38&lt;=24,2,3),FALSE)),$C$3)*(1+Projection!AU$16)*(1+IF(AS170&gt;0,'Attrition Modeling'!$N$9,0)))</f>
        <v>0</v>
      </c>
      <c r="AT38" s="799">
        <f>(AS38+AT170)*(1-IFERROR(IF(AT$2+$F38&lt;=12,SUMIFS('Attrition Modeling'!$D:$D,'Attrition Modeling'!$B:$B,'IP Attrition'!$D38,'Attrition Modeling'!$C:$C,'IP Attrition'!AT$1),VLOOKUP($F38+AT$2,$A$6:$C$106,2,FALSE)*VLOOKUP(AT$1,'Attrition Modeling'!$L$15:$N$27,IF(AT$2+$F38&lt;=24,2,3),FALSE)),$C$3)*(1+Projection!AV$16)*(1+IF(AT170&gt;0,'Attrition Modeling'!$N$9,0)))</f>
        <v>0</v>
      </c>
      <c r="AU38" s="799">
        <f>(AT38+AU170)*(1-IFERROR(IF(AU$2+$F38&lt;=12,SUMIFS('Attrition Modeling'!$D:$D,'Attrition Modeling'!$B:$B,'IP Attrition'!$D38,'Attrition Modeling'!$C:$C,'IP Attrition'!AU$1),VLOOKUP($F38+AU$2,$A$6:$C$106,2,FALSE)*VLOOKUP(AU$1,'Attrition Modeling'!$L$15:$N$27,IF(AU$2+$F38&lt;=24,2,3),FALSE)),$C$3)*(1+Projection!AW$16)*(1+IF(AU170&gt;0,'Attrition Modeling'!$N$9,0)))</f>
        <v>0</v>
      </c>
      <c r="AV38" s="799">
        <f>(AU38+AV170)*(1-IFERROR(IF(AV$2+$F38&lt;=12,SUMIFS('Attrition Modeling'!$D:$D,'Attrition Modeling'!$B:$B,'IP Attrition'!$D38,'Attrition Modeling'!$C:$C,'IP Attrition'!AV$1),VLOOKUP($F38+AV$2,$A$6:$C$106,2,FALSE)*VLOOKUP(AV$1,'Attrition Modeling'!$L$15:$N$27,IF(AV$2+$F38&lt;=24,2,3),FALSE)),$C$3)*(1+Projection!AX$16)*(1+IF(AV170&gt;0,'Attrition Modeling'!$N$9,0)))</f>
        <v>0</v>
      </c>
      <c r="AW38" s="799">
        <f>(AV38+AW170)*(1-IFERROR(IF(AW$2+$F38&lt;=12,SUMIFS('Attrition Modeling'!$D:$D,'Attrition Modeling'!$B:$B,'IP Attrition'!$D38,'Attrition Modeling'!$C:$C,'IP Attrition'!AW$1),VLOOKUP($F38+AW$2,$A$6:$C$106,2,FALSE)*VLOOKUP(AW$1,'Attrition Modeling'!$L$15:$N$27,IF(AW$2+$F38&lt;=24,2,3),FALSE)),$C$3)*(1+Projection!AY$16)*(1+IF(AW170&gt;0,'Attrition Modeling'!$N$9,0)))</f>
        <v>0</v>
      </c>
      <c r="AX38" s="799">
        <f>(AW38+AX170)*(1-IFERROR(IF(AX$2+$F38&lt;=12,SUMIFS('Attrition Modeling'!$D:$D,'Attrition Modeling'!$B:$B,'IP Attrition'!$D38,'Attrition Modeling'!$C:$C,'IP Attrition'!AX$1),VLOOKUP($F38+AX$2,$A$6:$C$106,2,FALSE)*VLOOKUP(AX$1,'Attrition Modeling'!$L$15:$N$27,IF(AX$2+$F38&lt;=24,2,3),FALSE)),$C$3)*(1+Projection!AZ$16)*(1+IF(AX170&gt;0,'Attrition Modeling'!$N$9,0)))</f>
        <v>0</v>
      </c>
      <c r="AY38" s="799">
        <f>(AX38+AY170)*(1-IFERROR(IF(AY$2+$F38&lt;=12,SUMIFS('Attrition Modeling'!$D:$D,'Attrition Modeling'!$B:$B,'IP Attrition'!$D38,'Attrition Modeling'!$C:$C,'IP Attrition'!AY$1),VLOOKUP($F38+AY$2,$A$6:$C$106,2,FALSE)*VLOOKUP(AY$1,'Attrition Modeling'!$L$15:$N$27,IF(AY$2+$F38&lt;=24,2,3),FALSE)),$C$3)*(1+Projection!BA$16)*(1+IF(AY170&gt;0,'Attrition Modeling'!$N$9,0)))</f>
        <v>0</v>
      </c>
      <c r="AZ38" s="799">
        <f>(AY38+AZ170)*(1-IFERROR(IF(AZ$2+$F38&lt;=12,SUMIFS('Attrition Modeling'!$D:$D,'Attrition Modeling'!$B:$B,'IP Attrition'!$D38,'Attrition Modeling'!$C:$C,'IP Attrition'!AZ$1),VLOOKUP($F38+AZ$2,$A$6:$C$106,2,FALSE)*VLOOKUP(AZ$1,'Attrition Modeling'!$L$15:$N$27,IF(AZ$2+$F38&lt;=24,2,3),FALSE)),$C$3)*(1+Projection!BB$16)*(1+IF(AZ170&gt;0,'Attrition Modeling'!$N$9,0)))</f>
        <v>0</v>
      </c>
      <c r="BA38" s="799">
        <f>(AZ38+BA170)*(1-IFERROR(IF(BA$2+$F38&lt;=12,SUMIFS('Attrition Modeling'!$D:$D,'Attrition Modeling'!$B:$B,'IP Attrition'!$D38,'Attrition Modeling'!$C:$C,'IP Attrition'!BA$1),VLOOKUP($F38+BA$2,$A$6:$C$106,2,FALSE)*VLOOKUP(BA$1,'Attrition Modeling'!$L$15:$N$27,IF(BA$2+$F38&lt;=24,2,3),FALSE)),$C$3)*(1+Projection!BC$16)*(1+IF(BA170&gt;0,'Attrition Modeling'!$N$9,0)))</f>
        <v>0</v>
      </c>
      <c r="BB38" s="799">
        <f>(BA38+BB170)*(1-IFERROR(IF(BB$2+$F38&lt;=12,SUMIFS('Attrition Modeling'!$D:$D,'Attrition Modeling'!$B:$B,'IP Attrition'!$D38,'Attrition Modeling'!$C:$C,'IP Attrition'!BB$1),VLOOKUP($F38+BB$2,$A$6:$C$106,2,FALSE)*VLOOKUP(BB$1,'Attrition Modeling'!$L$15:$N$27,IF(BB$2+$F38&lt;=24,2,3),FALSE)),$C$3)*(1+Projection!BD$16)*(1+IF(BB170&gt;0,'Attrition Modeling'!$N$9,0)))</f>
        <v>0</v>
      </c>
      <c r="BC38" s="799">
        <f>(BB38+BC170)*(1-IFERROR(IF(BC$2+$F38&lt;=12,SUMIFS('Attrition Modeling'!$D:$D,'Attrition Modeling'!$B:$B,'IP Attrition'!$D38,'Attrition Modeling'!$C:$C,'IP Attrition'!BC$1),VLOOKUP($F38+BC$2,$A$6:$C$106,2,FALSE)*VLOOKUP(BC$1,'Attrition Modeling'!$L$15:$N$27,IF(BC$2+$F38&lt;=24,2,3),FALSE)),$C$3)*(1+Projection!BE$16)*(1+IF(BC170&gt;0,'Attrition Modeling'!$N$9,0)))</f>
        <v>0</v>
      </c>
      <c r="BD38" s="799">
        <f>(BC38+BD170)*(1-IFERROR(IF(BD$2+$F38&lt;=12,SUMIFS('Attrition Modeling'!$D:$D,'Attrition Modeling'!$B:$B,'IP Attrition'!$D38,'Attrition Modeling'!$C:$C,'IP Attrition'!BD$1),VLOOKUP($F38+BD$2,$A$6:$C$106,2,FALSE)*VLOOKUP(BD$1,'Attrition Modeling'!$L$15:$N$27,IF(BD$2+$F38&lt;=24,2,3),FALSE)),$C$3)*(1+Projection!BF$16)*(1+IF(BD170&gt;0,'Attrition Modeling'!$N$9,0)))</f>
        <v>0</v>
      </c>
      <c r="BE38" s="799">
        <f>(BD38+BE170)*(1-IFERROR(IF(BE$2+$F38&lt;=12,SUMIFS('Attrition Modeling'!$D:$D,'Attrition Modeling'!$B:$B,'IP Attrition'!$D38,'Attrition Modeling'!$C:$C,'IP Attrition'!BE$1),VLOOKUP($F38+BE$2,$A$6:$C$106,2,FALSE)*VLOOKUP(BE$1,'Attrition Modeling'!$L$15:$N$27,IF(BE$2+$F38&lt;=24,2,3),FALSE)),$C$3)*(1+Projection!BG$16)*(1+IF(BE170&gt;0,'Attrition Modeling'!$N$9,0)))</f>
        <v>0</v>
      </c>
      <c r="BF38" s="799">
        <f>(BE38+BF170)*(1-IFERROR(IF(BF$2+$F38&lt;=12,SUMIFS('Attrition Modeling'!$D:$D,'Attrition Modeling'!$B:$B,'IP Attrition'!$D38,'Attrition Modeling'!$C:$C,'IP Attrition'!BF$1),VLOOKUP($F38+BF$2,$A$6:$C$106,2,FALSE)*VLOOKUP(BF$1,'Attrition Modeling'!$L$15:$N$27,IF(BF$2+$F38&lt;=24,2,3),FALSE)),$C$3)*(1+Projection!BH$16)*(1+IF(BF170&gt;0,'Attrition Modeling'!$N$9,0)))</f>
        <v>0</v>
      </c>
      <c r="BG38" s="799">
        <f>(BF38+BG170)*(1-IFERROR(IF(BG$2+$F38&lt;=12,SUMIFS('Attrition Modeling'!$D:$D,'Attrition Modeling'!$B:$B,'IP Attrition'!$D38,'Attrition Modeling'!$C:$C,'IP Attrition'!BG$1),VLOOKUP($F38+BG$2,$A$6:$C$106,2,FALSE)*VLOOKUP(BG$1,'Attrition Modeling'!$L$15:$N$27,IF(BG$2+$F38&lt;=24,2,3),FALSE)),$C$3)*(1+Projection!BI$16)*(1+IF(BG170&gt;0,'Attrition Modeling'!$N$9,0)))</f>
        <v>0</v>
      </c>
      <c r="BH38" s="799">
        <f>(BG38+BH170)*(1-IFERROR(IF(BH$2+$F38&lt;=12,SUMIFS('Attrition Modeling'!$D:$D,'Attrition Modeling'!$B:$B,'IP Attrition'!$D38,'Attrition Modeling'!$C:$C,'IP Attrition'!BH$1),VLOOKUP($F38+BH$2,$A$6:$C$106,2,FALSE)*VLOOKUP(BH$1,'Attrition Modeling'!$L$15:$N$27,IF(BH$2+$F38&lt;=24,2,3),FALSE)),$C$3)*(1+Projection!BJ$16)*(1+IF(BH170&gt;0,'Attrition Modeling'!$N$9,0)))</f>
        <v>0</v>
      </c>
      <c r="BI38" s="799">
        <f>(BH38+BI170)*(1-IFERROR(IF(BI$2+$F38&lt;=12,SUMIFS('Attrition Modeling'!$D:$D,'Attrition Modeling'!$B:$B,'IP Attrition'!$D38,'Attrition Modeling'!$C:$C,'IP Attrition'!BI$1),VLOOKUP($F38+BI$2,$A$6:$C$106,2,FALSE)*VLOOKUP(BI$1,'Attrition Modeling'!$L$15:$N$27,IF(BI$2+$F38&lt;=24,2,3),FALSE)),$C$3)*(1+Projection!BK$16)*(1+IF(BI170&gt;0,'Attrition Modeling'!$N$9,0)))</f>
        <v>0</v>
      </c>
      <c r="BJ38" s="799">
        <f>(BI38+BJ170)*(1-IFERROR(IF(BJ$2+$F38&lt;=12,SUMIFS('Attrition Modeling'!$D:$D,'Attrition Modeling'!$B:$B,'IP Attrition'!$D38,'Attrition Modeling'!$C:$C,'IP Attrition'!BJ$1),VLOOKUP($F38+BJ$2,$A$6:$C$106,2,FALSE)*VLOOKUP(BJ$1,'Attrition Modeling'!$L$15:$N$27,IF(BJ$2+$F38&lt;=24,2,3),FALSE)),$C$3)*(1+Projection!BL$16)*(1+IF(BJ170&gt;0,'Attrition Modeling'!$N$9,0)))</f>
        <v>0</v>
      </c>
      <c r="BK38" s="799">
        <f>(BJ38+BK170)*(1-IFERROR(IF(BK$2+$F38&lt;=12,SUMIFS('Attrition Modeling'!$D:$D,'Attrition Modeling'!$B:$B,'IP Attrition'!$D38,'Attrition Modeling'!$C:$C,'IP Attrition'!BK$1),VLOOKUP($F38+BK$2,$A$6:$C$106,2,FALSE)*VLOOKUP(BK$1,'Attrition Modeling'!$L$15:$N$27,IF(BK$2+$F38&lt;=24,2,3),FALSE)),$C$3)*(1+Projection!BM$16)*(1+IF(BK170&gt;0,'Attrition Modeling'!$N$9,0)))</f>
        <v>0</v>
      </c>
      <c r="BL38" s="799">
        <f>(BK38+BL170)*(1-IFERROR(IF(BL$2+$F38&lt;=12,SUMIFS('Attrition Modeling'!$D:$D,'Attrition Modeling'!$B:$B,'IP Attrition'!$D38,'Attrition Modeling'!$C:$C,'IP Attrition'!BL$1),VLOOKUP($F38+BL$2,$A$6:$C$106,2,FALSE)*VLOOKUP(BL$1,'Attrition Modeling'!$L$15:$N$27,IF(BL$2+$F38&lt;=24,2,3),FALSE)),$C$3)*(1+Projection!BN$16)*(1+IF(BL170&gt;0,'Attrition Modeling'!$N$9,0)))</f>
        <v>0</v>
      </c>
      <c r="BM38" s="799">
        <f>(BL38+BM170)*(1-IFERROR(IF(BM$2+$F38&lt;=12,SUMIFS('Attrition Modeling'!$D:$D,'Attrition Modeling'!$B:$B,'IP Attrition'!$D38,'Attrition Modeling'!$C:$C,'IP Attrition'!BM$1),VLOOKUP($F38+BM$2,$A$6:$C$106,2,FALSE)*VLOOKUP(BM$1,'Attrition Modeling'!$L$15:$N$27,IF(BM$2+$F38&lt;=24,2,3),FALSE)),$C$3)*(1+Projection!BO$16)*(1+IF(BM170&gt;0,'Attrition Modeling'!$N$9,0)))</f>
        <v>0</v>
      </c>
      <c r="BN38" s="799">
        <f>(BM38+BN170)*(1-IFERROR(IF(BN$2+$F38&lt;=12,SUMIFS('Attrition Modeling'!$D:$D,'Attrition Modeling'!$B:$B,'IP Attrition'!$D38,'Attrition Modeling'!$C:$C,'IP Attrition'!BN$1),VLOOKUP($F38+BN$2,$A$6:$C$106,2,FALSE)*VLOOKUP(BN$1,'Attrition Modeling'!$L$15:$N$27,IF(BN$2+$F38&lt;=24,2,3),FALSE)),$C$3)*(1+Projection!BP$16)*(1+IF(BN170&gt;0,'Attrition Modeling'!$N$9,0)))</f>
        <v>0</v>
      </c>
      <c r="BO38" s="799">
        <f>(BN38+BO170)*(1-IFERROR(IF(BO$2+$F38&lt;=12,SUMIFS('Attrition Modeling'!$D:$D,'Attrition Modeling'!$B:$B,'IP Attrition'!$D38,'Attrition Modeling'!$C:$C,'IP Attrition'!BO$1),VLOOKUP($F38+BO$2,$A$6:$C$106,2,FALSE)*VLOOKUP(BO$1,'Attrition Modeling'!$L$15:$N$27,IF(BO$2+$F38&lt;=24,2,3),FALSE)),$C$3)*(1+Projection!BV$16)*(1+IF(BO170&gt;0,'Attrition Modeling'!$N$9,0)))</f>
        <v>0</v>
      </c>
      <c r="BP38" s="799">
        <f>(BO38+BP170)*(1-IFERROR(IF(BP$2+$F38&lt;=12,SUMIFS('Attrition Modeling'!$D:$D,'Attrition Modeling'!$B:$B,'IP Attrition'!$D38,'Attrition Modeling'!$C:$C,'IP Attrition'!BP$1),VLOOKUP($F38+BP$2,$A$6:$C$106,2,FALSE)*VLOOKUP(BP$1,'Attrition Modeling'!$L$15:$N$27,IF(BP$2+$F38&lt;=24,2,3),FALSE)),$C$3)*(1+Projection!BW$16)*(1+IF(BP170&gt;0,'Attrition Modeling'!$N$9,0)))</f>
        <v>0</v>
      </c>
      <c r="BQ38" s="799">
        <f>(BP38+BQ170)*(1-IFERROR(IF(BQ$2+$F38&lt;=12,SUMIFS('Attrition Modeling'!$D:$D,'Attrition Modeling'!$B:$B,'IP Attrition'!$D38,'Attrition Modeling'!$C:$C,'IP Attrition'!BQ$1),VLOOKUP($F38+BQ$2,$A$6:$C$106,2,FALSE)*VLOOKUP(BQ$1,'Attrition Modeling'!$L$15:$N$27,IF(BQ$2+$F38&lt;=24,2,3),FALSE)),$C$3)*(1+Projection!BX$16)*(1+IF(BQ170&gt;0,'Attrition Modeling'!$N$9,0)))</f>
        <v>0</v>
      </c>
      <c r="BR38" s="799">
        <f>(BQ38+BR170)*(1-IFERROR(IF(BR$2+$F38&lt;=12,SUMIFS('Attrition Modeling'!$D:$D,'Attrition Modeling'!$B:$B,'IP Attrition'!$D38,'Attrition Modeling'!$C:$C,'IP Attrition'!BR$1),VLOOKUP($F38+BR$2,$A$6:$C$106,2,FALSE)*VLOOKUP(BR$1,'Attrition Modeling'!$L$15:$N$27,IF(BR$2+$F38&lt;=24,2,3),FALSE)),$C$3)*(1+Projection!BY$16)*(1+IF(BR170&gt;0,'Attrition Modeling'!$N$9,0)))</f>
        <v>0</v>
      </c>
      <c r="BS38" s="799">
        <f>(BR38+BS170)*(1-IFERROR(IF(BS$2+$F38&lt;=12,SUMIFS('Attrition Modeling'!$D:$D,'Attrition Modeling'!$B:$B,'IP Attrition'!$D38,'Attrition Modeling'!$C:$C,'IP Attrition'!BS$1),VLOOKUP($F38+BS$2,$A$6:$C$106,2,FALSE)*VLOOKUP(BS$1,'Attrition Modeling'!$L$15:$N$27,IF(BS$2+$F38&lt;=24,2,3),FALSE)),$C$3)*(1+Projection!BZ$16)*(1+IF(BS170&gt;0,'Attrition Modeling'!$N$9,0)))</f>
        <v>0</v>
      </c>
      <c r="BT38" s="799" t="e">
        <f>(BS38+BT170)*(1-IFERROR(IF(BT$2+$F38&lt;=12,SUMIFS('Attrition Modeling'!$D:$D,'Attrition Modeling'!$B:$B,'IP Attrition'!$D38,'Attrition Modeling'!$C:$C,'IP Attrition'!BT$1),VLOOKUP($F38+BT$2,$A$6:$C$106,2,FALSE)*VLOOKUP(BT$1,'Attrition Modeling'!$L$15:$N$27,IF(BT$2+$F38&lt;=24,2,3),FALSE)),$C$3)*(1+Projection!CA$16)*(1+IF(BT170&gt;0,'Attrition Modeling'!$N$9,0)))</f>
        <v>#REF!</v>
      </c>
      <c r="BU38" s="799" t="e">
        <f>(BT38+BU170)*(1-IFERROR(IF(BU$2+$F38&lt;=12,SUMIFS('Attrition Modeling'!$D:$D,'Attrition Modeling'!$B:$B,'IP Attrition'!$D38,'Attrition Modeling'!$C:$C,'IP Attrition'!BU$1),VLOOKUP($F38+BU$2,$A$6:$C$106,2,FALSE)*VLOOKUP(BU$1,'Attrition Modeling'!$L$15:$N$27,IF(BU$2+$F38&lt;=24,2,3),FALSE)),$C$3)*(1+Projection!CB$16)*(1+IF(BU170&gt;0,'Attrition Modeling'!$N$9,0)))</f>
        <v>#REF!</v>
      </c>
    </row>
    <row r="39" spans="1:73" ht="14.25" customHeight="1" x14ac:dyDescent="0.2">
      <c r="A39" s="9">
        <v>32</v>
      </c>
      <c r="B39" s="25">
        <f>MAX('Attrition Modeling'!H36,$C$3)*(1-Summary!$C$20)</f>
        <v>3.1972584752881415E-2</v>
      </c>
      <c r="C39" s="24" t="e">
        <f t="shared" si="3"/>
        <v>#DIV/0!</v>
      </c>
      <c r="D39" s="11">
        <f t="shared" si="1"/>
        <v>-36</v>
      </c>
      <c r="E39" s="807">
        <f t="array" ref="E39">INDEX('Attrition Modeling'!$X$2:$AF$63,MATCH($F39,'Attrition Modeling'!$X$2:$X$63,0),MATCH(Inputs!$C$10,'Attrition Modeling'!$X$2:$AF$2,0))</f>
        <v>0</v>
      </c>
      <c r="F39" s="11">
        <f t="shared" si="2"/>
        <v>36</v>
      </c>
      <c r="G39" s="799">
        <f>Summary!$C$25*$E39</f>
        <v>0</v>
      </c>
      <c r="H39" s="799">
        <f>(G39+H171)*(1-IFERROR(IF(H$2+$F39&lt;=12,SUMIFS('Attrition Modeling'!$D:$D,'Attrition Modeling'!$B:$B,'IP Attrition'!$D39,'Attrition Modeling'!$C:$C,'IP Attrition'!H$1),VLOOKUP($F39+H$2,$A$6:$C$106,2,FALSE)*VLOOKUP(H$1,'Attrition Modeling'!$L$15:$N$27,IF(H$2+$F39&lt;=24,2,3),FALSE)),$C$3)*(1+Projection!J$16)*(1+IF(H171&gt;0,'Attrition Modeling'!$N$9,0)))</f>
        <v>0</v>
      </c>
      <c r="I39" s="799">
        <f>(H39+I171)*(1-IFERROR(IF(I$2+$F39&lt;=12,SUMIFS('Attrition Modeling'!$D:$D,'Attrition Modeling'!$B:$B,'IP Attrition'!$D39,'Attrition Modeling'!$C:$C,'IP Attrition'!I$1),VLOOKUP($F39+I$2,$A$6:$C$106,2,FALSE)*VLOOKUP(I$1,'Attrition Modeling'!$L$15:$N$27,IF(I$2+$F39&lt;=24,2,3),FALSE)),$C$3)*(1+Projection!K$16)*(1+IF(I171&gt;0,'Attrition Modeling'!$N$9,0)))</f>
        <v>0</v>
      </c>
      <c r="J39" s="799">
        <f>(I39+J171)*(1-IFERROR(IF(J$2+$F39&lt;=12,SUMIFS('Attrition Modeling'!$D:$D,'Attrition Modeling'!$B:$B,'IP Attrition'!$D39,'Attrition Modeling'!$C:$C,'IP Attrition'!J$1),VLOOKUP($F39+J$2,$A$6:$C$106,2,FALSE)*VLOOKUP(J$1,'Attrition Modeling'!$L$15:$N$27,IF(J$2+$F39&lt;=24,2,3),FALSE)),$C$3)*(1+Projection!L$16)*(1+IF(J171&gt;0,'Attrition Modeling'!$N$9,0)))</f>
        <v>0</v>
      </c>
      <c r="K39" s="799">
        <f>(J39+K171)*(1-IFERROR(IF(K$2+$F39&lt;=12,SUMIFS('Attrition Modeling'!$D:$D,'Attrition Modeling'!$B:$B,'IP Attrition'!$D39,'Attrition Modeling'!$C:$C,'IP Attrition'!K$1),VLOOKUP($F39+K$2,$A$6:$C$106,2,FALSE)*VLOOKUP(K$1,'Attrition Modeling'!$L$15:$N$27,IF(K$2+$F39&lt;=24,2,3),FALSE)),$C$3)*(1+Projection!M$16)*(1+IF(K171&gt;0,'Attrition Modeling'!$N$9,0)))</f>
        <v>0</v>
      </c>
      <c r="L39" s="799">
        <f>(K39+L171)*(1-IFERROR(IF(L$2+$F39&lt;=12,SUMIFS('Attrition Modeling'!$D:$D,'Attrition Modeling'!$B:$B,'IP Attrition'!$D39,'Attrition Modeling'!$C:$C,'IP Attrition'!L$1),VLOOKUP($F39+L$2,$A$6:$C$106,2,FALSE)*VLOOKUP(L$1,'Attrition Modeling'!$L$15:$N$27,IF(L$2+$F39&lt;=24,2,3),FALSE)),$C$3)*(1+Projection!N$16)*(1+IF(L171&gt;0,'Attrition Modeling'!$N$9,0)))</f>
        <v>0</v>
      </c>
      <c r="M39" s="799">
        <f>(L39+M171)*(1-IFERROR(IF(M$2+$F39&lt;=12,SUMIFS('Attrition Modeling'!$D:$D,'Attrition Modeling'!$B:$B,'IP Attrition'!$D39,'Attrition Modeling'!$C:$C,'IP Attrition'!M$1),VLOOKUP($F39+M$2,$A$6:$C$106,2,FALSE)*VLOOKUP(M$1,'Attrition Modeling'!$L$15:$N$27,IF(M$2+$F39&lt;=24,2,3),FALSE)),$C$3)*(1+Projection!O$16)*(1+IF(M171&gt;0,'Attrition Modeling'!$N$9,0)))</f>
        <v>0</v>
      </c>
      <c r="N39" s="799">
        <f>(M39+N171)*(1-IFERROR(IF(N$2+$F39&lt;=12,SUMIFS('Attrition Modeling'!$D:$D,'Attrition Modeling'!$B:$B,'IP Attrition'!$D39,'Attrition Modeling'!$C:$C,'IP Attrition'!N$1),VLOOKUP($F39+N$2,$A$6:$C$106,2,FALSE)*VLOOKUP(N$1,'Attrition Modeling'!$L$15:$N$27,IF(N$2+$F39&lt;=24,2,3),FALSE)),$C$3)*(1+Projection!P$16)*(1+IF(N171&gt;0,'Attrition Modeling'!$N$9,0)))</f>
        <v>0</v>
      </c>
      <c r="O39" s="799">
        <f>(N39+O171)*(1-IFERROR(IF(O$2+$F39&lt;=12,SUMIFS('Attrition Modeling'!$D:$D,'Attrition Modeling'!$B:$B,'IP Attrition'!$D39,'Attrition Modeling'!$C:$C,'IP Attrition'!O$1),VLOOKUP($F39+O$2,$A$6:$C$106,2,FALSE)*VLOOKUP(O$1,'Attrition Modeling'!$L$15:$N$27,IF(O$2+$F39&lt;=24,2,3),FALSE)),$C$3)*(1+Projection!Q$16)*(1+IF(O171&gt;0,'Attrition Modeling'!$N$9,0)))</f>
        <v>0</v>
      </c>
      <c r="P39" s="799">
        <f>(O39+P171)*(1-IFERROR(IF(P$2+$F39&lt;=12,SUMIFS('Attrition Modeling'!$D:$D,'Attrition Modeling'!$B:$B,'IP Attrition'!$D39,'Attrition Modeling'!$C:$C,'IP Attrition'!P$1),VLOOKUP($F39+P$2,$A$6:$C$106,2,FALSE)*VLOOKUP(P$1,'Attrition Modeling'!$L$15:$N$27,IF(P$2+$F39&lt;=24,2,3),FALSE)),$C$3)*(1+Projection!R$16)*(1+IF(P171&gt;0,'Attrition Modeling'!$N$9,0)))</f>
        <v>0</v>
      </c>
      <c r="Q39" s="799">
        <f>(P39+Q171)*(1-IFERROR(IF(Q$2+$F39&lt;=12,SUMIFS('Attrition Modeling'!$D:$D,'Attrition Modeling'!$B:$B,'IP Attrition'!$D39,'Attrition Modeling'!$C:$C,'IP Attrition'!Q$1),VLOOKUP($F39+Q$2,$A$6:$C$106,2,FALSE)*VLOOKUP(Q$1,'Attrition Modeling'!$L$15:$N$27,IF(Q$2+$F39&lt;=24,2,3),FALSE)),$C$3)*(1+Projection!S$16)*(1+IF(Q171&gt;0,'Attrition Modeling'!$N$9,0)))</f>
        <v>0</v>
      </c>
      <c r="R39" s="799">
        <f>(Q39+R171)*(1-IFERROR(IF(R$2+$F39&lt;=12,SUMIFS('Attrition Modeling'!$D:$D,'Attrition Modeling'!$B:$B,'IP Attrition'!$D39,'Attrition Modeling'!$C:$C,'IP Attrition'!R$1),VLOOKUP($F39+R$2,$A$6:$C$106,2,FALSE)*VLOOKUP(R$1,'Attrition Modeling'!$L$15:$N$27,IF(R$2+$F39&lt;=24,2,3),FALSE)),$C$3)*(1+Projection!T$16)*(1+IF(R171&gt;0,'Attrition Modeling'!$N$9,0)))</f>
        <v>0</v>
      </c>
      <c r="S39" s="799">
        <f>(R39+S171)*(1-IFERROR(IF(S$2+$F39&lt;=12,SUMIFS('Attrition Modeling'!$D:$D,'Attrition Modeling'!$B:$B,'IP Attrition'!$D39,'Attrition Modeling'!$C:$C,'IP Attrition'!S$1),VLOOKUP($F39+S$2,$A$6:$C$106,2,FALSE)*VLOOKUP(S$1,'Attrition Modeling'!$L$15:$N$27,IF(S$2+$F39&lt;=24,2,3),FALSE)),$C$3)*(1+Projection!U$16)*(1+IF(S171&gt;0,'Attrition Modeling'!$N$9,0)))</f>
        <v>0</v>
      </c>
      <c r="T39" s="799">
        <f>(S39+T171)*(1-IFERROR(IF(T$2+$F39&lt;=12,SUMIFS('Attrition Modeling'!$D:$D,'Attrition Modeling'!$B:$B,'IP Attrition'!$D39,'Attrition Modeling'!$C:$C,'IP Attrition'!T$1),VLOOKUP($F39+T$2,$A$6:$C$106,2,FALSE)*VLOOKUP(T$1,'Attrition Modeling'!$L$15:$N$27,IF(T$2+$F39&lt;=24,2,3),FALSE)),$C$3)*(1+Projection!V$16)*(1+IF(T171&gt;0,'Attrition Modeling'!$N$9,0)))</f>
        <v>0</v>
      </c>
      <c r="U39" s="799">
        <f>(T39+U171)*(1-IFERROR(IF(U$2+$F39&lt;=12,SUMIFS('Attrition Modeling'!$D:$D,'Attrition Modeling'!$B:$B,'IP Attrition'!$D39,'Attrition Modeling'!$C:$C,'IP Attrition'!U$1),VLOOKUP($F39+U$2,$A$6:$C$106,2,FALSE)*VLOOKUP(U$1,'Attrition Modeling'!$L$15:$N$27,IF(U$2+$F39&lt;=24,2,3),FALSE)),$C$3)*(1+Projection!W$16)*(1+IF(U171&gt;0,'Attrition Modeling'!$N$9,0)))</f>
        <v>0</v>
      </c>
      <c r="V39" s="799">
        <f>(U39+V171)*(1-IFERROR(IF(V$2+$F39&lt;=12,SUMIFS('Attrition Modeling'!$D:$D,'Attrition Modeling'!$B:$B,'IP Attrition'!$D39,'Attrition Modeling'!$C:$C,'IP Attrition'!V$1),VLOOKUP($F39+V$2,$A$6:$C$106,2,FALSE)*VLOOKUP(V$1,'Attrition Modeling'!$L$15:$N$27,IF(V$2+$F39&lt;=24,2,3),FALSE)),$C$3)*(1+Projection!X$16)*(1+IF(V171&gt;0,'Attrition Modeling'!$N$9,0)))</f>
        <v>0</v>
      </c>
      <c r="W39" s="799">
        <f>(V39+W171)*(1-IFERROR(IF(W$2+$F39&lt;=12,SUMIFS('Attrition Modeling'!$D:$D,'Attrition Modeling'!$B:$B,'IP Attrition'!$D39,'Attrition Modeling'!$C:$C,'IP Attrition'!W$1),VLOOKUP($F39+W$2,$A$6:$C$106,2,FALSE)*VLOOKUP(W$1,'Attrition Modeling'!$L$15:$N$27,IF(W$2+$F39&lt;=24,2,3),FALSE)),$C$3)*(1+Projection!Y$16)*(1+IF(W171&gt;0,'Attrition Modeling'!$N$9,0)))</f>
        <v>0</v>
      </c>
      <c r="X39" s="799">
        <f>(W39+X171)*(1-IFERROR(IF(X$2+$F39&lt;=12,SUMIFS('Attrition Modeling'!$D:$D,'Attrition Modeling'!$B:$B,'IP Attrition'!$D39,'Attrition Modeling'!$C:$C,'IP Attrition'!X$1),VLOOKUP($F39+X$2,$A$6:$C$106,2,FALSE)*VLOOKUP(X$1,'Attrition Modeling'!$L$15:$N$27,IF(X$2+$F39&lt;=24,2,3),FALSE)),$C$3)*(1+Projection!Z$16)*(1+IF(X171&gt;0,'Attrition Modeling'!$N$9,0)))</f>
        <v>0</v>
      </c>
      <c r="Y39" s="799">
        <f>(X39+Y171)*(1-IFERROR(IF(Y$2+$F39&lt;=12,SUMIFS('Attrition Modeling'!$D:$D,'Attrition Modeling'!$B:$B,'IP Attrition'!$D39,'Attrition Modeling'!$C:$C,'IP Attrition'!Y$1),VLOOKUP($F39+Y$2,$A$6:$C$106,2,FALSE)*VLOOKUP(Y$1,'Attrition Modeling'!$L$15:$N$27,IF(Y$2+$F39&lt;=24,2,3),FALSE)),$C$3)*(1+Projection!AA$16)*(1+IF(Y171&gt;0,'Attrition Modeling'!$N$9,0)))</f>
        <v>0</v>
      </c>
      <c r="Z39" s="799">
        <f>(Y39+Z171)*(1-IFERROR(IF(Z$2+$F39&lt;=12,SUMIFS('Attrition Modeling'!$D:$D,'Attrition Modeling'!$B:$B,'IP Attrition'!$D39,'Attrition Modeling'!$C:$C,'IP Attrition'!Z$1),VLOOKUP($F39+Z$2,$A$6:$C$106,2,FALSE)*VLOOKUP(Z$1,'Attrition Modeling'!$L$15:$N$27,IF(Z$2+$F39&lt;=24,2,3),FALSE)),$C$3)*(1+Projection!AB$16)*(1+IF(Z171&gt;0,'Attrition Modeling'!$N$9,0)))</f>
        <v>0</v>
      </c>
      <c r="AA39" s="799">
        <f>(Z39+AA171)*(1-IFERROR(IF(AA$2+$F39&lt;=12,SUMIFS('Attrition Modeling'!$D:$D,'Attrition Modeling'!$B:$B,'IP Attrition'!$D39,'Attrition Modeling'!$C:$C,'IP Attrition'!AA$1),VLOOKUP($F39+AA$2,$A$6:$C$106,2,FALSE)*VLOOKUP(AA$1,'Attrition Modeling'!$L$15:$N$27,IF(AA$2+$F39&lt;=24,2,3),FALSE)),$C$3)*(1+Projection!AC$16)*(1+IF(AA171&gt;0,'Attrition Modeling'!$N$9,0)))</f>
        <v>0</v>
      </c>
      <c r="AB39" s="799">
        <f>(AA39+AB171)*(1-IFERROR(IF(AB$2+$F39&lt;=12,SUMIFS('Attrition Modeling'!$D:$D,'Attrition Modeling'!$B:$B,'IP Attrition'!$D39,'Attrition Modeling'!$C:$C,'IP Attrition'!AB$1),VLOOKUP($F39+AB$2,$A$6:$C$106,2,FALSE)*VLOOKUP(AB$1,'Attrition Modeling'!$L$15:$N$27,IF(AB$2+$F39&lt;=24,2,3),FALSE)),$C$3)*(1+Projection!AD$16)*(1+IF(AB171&gt;0,'Attrition Modeling'!$N$9,0)))</f>
        <v>0</v>
      </c>
      <c r="AC39" s="799">
        <f>(AB39+AC171)*(1-IFERROR(IF(AC$2+$F39&lt;=12,SUMIFS('Attrition Modeling'!$D:$D,'Attrition Modeling'!$B:$B,'IP Attrition'!$D39,'Attrition Modeling'!$C:$C,'IP Attrition'!AC$1),VLOOKUP($F39+AC$2,$A$6:$C$106,2,FALSE)*VLOOKUP(AC$1,'Attrition Modeling'!$L$15:$N$27,IF(AC$2+$F39&lt;=24,2,3),FALSE)),$C$3)*(1+Projection!AE$16)*(1+IF(AC171&gt;0,'Attrition Modeling'!$N$9,0)))</f>
        <v>0</v>
      </c>
      <c r="AD39" s="799">
        <f>(AC39+AD171)*(1-IFERROR(IF(AD$2+$F39&lt;=12,SUMIFS('Attrition Modeling'!$D:$D,'Attrition Modeling'!$B:$B,'IP Attrition'!$D39,'Attrition Modeling'!$C:$C,'IP Attrition'!AD$1),VLOOKUP($F39+AD$2,$A$6:$C$106,2,FALSE)*VLOOKUP(AD$1,'Attrition Modeling'!$L$15:$N$27,IF(AD$2+$F39&lt;=24,2,3),FALSE)),$C$3)*(1+Projection!AF$16)*(1+IF(AD171&gt;0,'Attrition Modeling'!$N$9,0)))</f>
        <v>0</v>
      </c>
      <c r="AE39" s="799">
        <f>(AD39+AE171)*(1-IFERROR(IF(AE$2+$F39&lt;=12,SUMIFS('Attrition Modeling'!$D:$D,'Attrition Modeling'!$B:$B,'IP Attrition'!$D39,'Attrition Modeling'!$C:$C,'IP Attrition'!AE$1),VLOOKUP($F39+AE$2,$A$6:$C$106,2,FALSE)*VLOOKUP(AE$1,'Attrition Modeling'!$L$15:$N$27,IF(AE$2+$F39&lt;=24,2,3),FALSE)),$C$3)*(1+Projection!AG$16)*(1+IF(AE171&gt;0,'Attrition Modeling'!$N$9,0)))</f>
        <v>0</v>
      </c>
      <c r="AF39" s="799">
        <f>(AE39+AF171)*(1-IFERROR(IF(AF$2+$F39&lt;=12,SUMIFS('Attrition Modeling'!$D:$D,'Attrition Modeling'!$B:$B,'IP Attrition'!$D39,'Attrition Modeling'!$C:$C,'IP Attrition'!AF$1),VLOOKUP($F39+AF$2,$A$6:$C$106,2,FALSE)*VLOOKUP(AF$1,'Attrition Modeling'!$L$15:$N$27,IF(AF$2+$F39&lt;=24,2,3),FALSE)),$C$3)*(1+Projection!AH$16)*(1+IF(AF171&gt;0,'Attrition Modeling'!$N$9,0)))</f>
        <v>0</v>
      </c>
      <c r="AG39" s="799">
        <f>(AF39+AG171)*(1-IFERROR(IF(AG$2+$F39&lt;=12,SUMIFS('Attrition Modeling'!$D:$D,'Attrition Modeling'!$B:$B,'IP Attrition'!$D39,'Attrition Modeling'!$C:$C,'IP Attrition'!AG$1),VLOOKUP($F39+AG$2,$A$6:$C$106,2,FALSE)*VLOOKUP(AG$1,'Attrition Modeling'!$L$15:$N$27,IF(AG$2+$F39&lt;=24,2,3),FALSE)),$C$3)*(1+Projection!AI$16)*(1+IF(AG171&gt;0,'Attrition Modeling'!$N$9,0)))</f>
        <v>0</v>
      </c>
      <c r="AH39" s="799">
        <f>(AG39+AH171)*(1-IFERROR(IF(AH$2+$F39&lt;=12,SUMIFS('Attrition Modeling'!$D:$D,'Attrition Modeling'!$B:$B,'IP Attrition'!$D39,'Attrition Modeling'!$C:$C,'IP Attrition'!AH$1),VLOOKUP($F39+AH$2,$A$6:$C$106,2,FALSE)*VLOOKUP(AH$1,'Attrition Modeling'!$L$15:$N$27,IF(AH$2+$F39&lt;=24,2,3),FALSE)),$C$3)*(1+Projection!AJ$16)*(1+IF(AH171&gt;0,'Attrition Modeling'!$N$9,0)))</f>
        <v>0</v>
      </c>
      <c r="AI39" s="799">
        <f>(AH39+AI171)*(1-IFERROR(IF(AI$2+$F39&lt;=12,SUMIFS('Attrition Modeling'!$D:$D,'Attrition Modeling'!$B:$B,'IP Attrition'!$D39,'Attrition Modeling'!$C:$C,'IP Attrition'!AI$1),VLOOKUP($F39+AI$2,$A$6:$C$106,2,FALSE)*VLOOKUP(AI$1,'Attrition Modeling'!$L$15:$N$27,IF(AI$2+$F39&lt;=24,2,3),FALSE)),$C$3)*(1+Projection!AK$16)*(1+IF(AI171&gt;0,'Attrition Modeling'!$N$9,0)))</f>
        <v>0</v>
      </c>
      <c r="AJ39" s="799">
        <f>(AI39+AJ171)*(1-IFERROR(IF(AJ$2+$F39&lt;=12,SUMIFS('Attrition Modeling'!$D:$D,'Attrition Modeling'!$B:$B,'IP Attrition'!$D39,'Attrition Modeling'!$C:$C,'IP Attrition'!AJ$1),VLOOKUP($F39+AJ$2,$A$6:$C$106,2,FALSE)*VLOOKUP(AJ$1,'Attrition Modeling'!$L$15:$N$27,IF(AJ$2+$F39&lt;=24,2,3),FALSE)),$C$3)*(1+Projection!AL$16)*(1+IF(AJ171&gt;0,'Attrition Modeling'!$N$9,0)))</f>
        <v>0</v>
      </c>
      <c r="AK39" s="799">
        <f>(AJ39+AK171)*(1-IFERROR(IF(AK$2+$F39&lt;=12,SUMIFS('Attrition Modeling'!$D:$D,'Attrition Modeling'!$B:$B,'IP Attrition'!$D39,'Attrition Modeling'!$C:$C,'IP Attrition'!AK$1),VLOOKUP($F39+AK$2,$A$6:$C$106,2,FALSE)*VLOOKUP(AK$1,'Attrition Modeling'!$L$15:$N$27,IF(AK$2+$F39&lt;=24,2,3),FALSE)),$C$3)*(1+Projection!AM$16)*(1+IF(AK171&gt;0,'Attrition Modeling'!$N$9,0)))</f>
        <v>0</v>
      </c>
      <c r="AL39" s="799">
        <f>(AK39+AL171)*(1-IFERROR(IF(AL$2+$F39&lt;=12,SUMIFS('Attrition Modeling'!$D:$D,'Attrition Modeling'!$B:$B,'IP Attrition'!$D39,'Attrition Modeling'!$C:$C,'IP Attrition'!AL$1),VLOOKUP($F39+AL$2,$A$6:$C$106,2,FALSE)*VLOOKUP(AL$1,'Attrition Modeling'!$L$15:$N$27,IF(AL$2+$F39&lt;=24,2,3),FALSE)),$C$3)*(1+Projection!AN$16)*(1+IF(AL171&gt;0,'Attrition Modeling'!$N$9,0)))</f>
        <v>0</v>
      </c>
      <c r="AM39" s="799">
        <f>(AL39+AM171)*(1-IFERROR(IF(AM$2+$F39&lt;=12,SUMIFS('Attrition Modeling'!$D:$D,'Attrition Modeling'!$B:$B,'IP Attrition'!$D39,'Attrition Modeling'!$C:$C,'IP Attrition'!AM$1),VLOOKUP($F39+AM$2,$A$6:$C$106,2,FALSE)*VLOOKUP(AM$1,'Attrition Modeling'!$L$15:$N$27,IF(AM$2+$F39&lt;=24,2,3),FALSE)),$C$3)*(1+Projection!AO$16)*(1+IF(AM171&gt;0,'Attrition Modeling'!$N$9,0)))</f>
        <v>0</v>
      </c>
      <c r="AN39" s="799">
        <f>(AM39+AN171)*(1-IFERROR(IF(AN$2+$F39&lt;=12,SUMIFS('Attrition Modeling'!$D:$D,'Attrition Modeling'!$B:$B,'IP Attrition'!$D39,'Attrition Modeling'!$C:$C,'IP Attrition'!AN$1),VLOOKUP($F39+AN$2,$A$6:$C$106,2,FALSE)*VLOOKUP(AN$1,'Attrition Modeling'!$L$15:$N$27,IF(AN$2+$F39&lt;=24,2,3),FALSE)),$C$3)*(1+Projection!AP$16)*(1+IF(AN171&gt;0,'Attrition Modeling'!$N$9,0)))</f>
        <v>0</v>
      </c>
      <c r="AO39" s="799">
        <f>(AN39+AO171)*(1-IFERROR(IF(AO$2+$F39&lt;=12,SUMIFS('Attrition Modeling'!$D:$D,'Attrition Modeling'!$B:$B,'IP Attrition'!$D39,'Attrition Modeling'!$C:$C,'IP Attrition'!AO$1),VLOOKUP($F39+AO$2,$A$6:$C$106,2,FALSE)*VLOOKUP(AO$1,'Attrition Modeling'!$L$15:$N$27,IF(AO$2+$F39&lt;=24,2,3),FALSE)),$C$3)*(1+Projection!AQ$16)*(1+IF(AO171&gt;0,'Attrition Modeling'!$N$9,0)))</f>
        <v>0</v>
      </c>
      <c r="AP39" s="799">
        <f>(AO39+AP171)*(1-IFERROR(IF(AP$2+$F39&lt;=12,SUMIFS('Attrition Modeling'!$D:$D,'Attrition Modeling'!$B:$B,'IP Attrition'!$D39,'Attrition Modeling'!$C:$C,'IP Attrition'!AP$1),VLOOKUP($F39+AP$2,$A$6:$C$106,2,FALSE)*VLOOKUP(AP$1,'Attrition Modeling'!$L$15:$N$27,IF(AP$2+$F39&lt;=24,2,3),FALSE)),$C$3)*(1+Projection!AR$16)*(1+IF(AP171&gt;0,'Attrition Modeling'!$N$9,0)))</f>
        <v>0</v>
      </c>
      <c r="AQ39" s="799">
        <f>(AP39+AQ171)*(1-IFERROR(IF(AQ$2+$F39&lt;=12,SUMIFS('Attrition Modeling'!$D:$D,'Attrition Modeling'!$B:$B,'IP Attrition'!$D39,'Attrition Modeling'!$C:$C,'IP Attrition'!AQ$1),VLOOKUP($F39+AQ$2,$A$6:$C$106,2,FALSE)*VLOOKUP(AQ$1,'Attrition Modeling'!$L$15:$N$27,IF(AQ$2+$F39&lt;=24,2,3),FALSE)),$C$3)*(1+Projection!AS$16)*(1+IF(AQ171&gt;0,'Attrition Modeling'!$N$9,0)))</f>
        <v>0</v>
      </c>
      <c r="AR39" s="799">
        <f>(AQ39+AR171)*(1-IFERROR(IF(AR$2+$F39&lt;=12,SUMIFS('Attrition Modeling'!$D:$D,'Attrition Modeling'!$B:$B,'IP Attrition'!$D39,'Attrition Modeling'!$C:$C,'IP Attrition'!AR$1),VLOOKUP($F39+AR$2,$A$6:$C$106,2,FALSE)*VLOOKUP(AR$1,'Attrition Modeling'!$L$15:$N$27,IF(AR$2+$F39&lt;=24,2,3),FALSE)),$C$3)*(1+Projection!AT$16)*(1+IF(AR171&gt;0,'Attrition Modeling'!$N$9,0)))</f>
        <v>0</v>
      </c>
      <c r="AS39" s="799">
        <f>(AR39+AS171)*(1-IFERROR(IF(AS$2+$F39&lt;=12,SUMIFS('Attrition Modeling'!$D:$D,'Attrition Modeling'!$B:$B,'IP Attrition'!$D39,'Attrition Modeling'!$C:$C,'IP Attrition'!AS$1),VLOOKUP($F39+AS$2,$A$6:$C$106,2,FALSE)*VLOOKUP(AS$1,'Attrition Modeling'!$L$15:$N$27,IF(AS$2+$F39&lt;=24,2,3),FALSE)),$C$3)*(1+Projection!AU$16)*(1+IF(AS171&gt;0,'Attrition Modeling'!$N$9,0)))</f>
        <v>0</v>
      </c>
      <c r="AT39" s="799">
        <f>(AS39+AT171)*(1-IFERROR(IF(AT$2+$F39&lt;=12,SUMIFS('Attrition Modeling'!$D:$D,'Attrition Modeling'!$B:$B,'IP Attrition'!$D39,'Attrition Modeling'!$C:$C,'IP Attrition'!AT$1),VLOOKUP($F39+AT$2,$A$6:$C$106,2,FALSE)*VLOOKUP(AT$1,'Attrition Modeling'!$L$15:$N$27,IF(AT$2+$F39&lt;=24,2,3),FALSE)),$C$3)*(1+Projection!AV$16)*(1+IF(AT171&gt;0,'Attrition Modeling'!$N$9,0)))</f>
        <v>0</v>
      </c>
      <c r="AU39" s="799">
        <f>(AT39+AU171)*(1-IFERROR(IF(AU$2+$F39&lt;=12,SUMIFS('Attrition Modeling'!$D:$D,'Attrition Modeling'!$B:$B,'IP Attrition'!$D39,'Attrition Modeling'!$C:$C,'IP Attrition'!AU$1),VLOOKUP($F39+AU$2,$A$6:$C$106,2,FALSE)*VLOOKUP(AU$1,'Attrition Modeling'!$L$15:$N$27,IF(AU$2+$F39&lt;=24,2,3),FALSE)),$C$3)*(1+Projection!AW$16)*(1+IF(AU171&gt;0,'Attrition Modeling'!$N$9,0)))</f>
        <v>0</v>
      </c>
      <c r="AV39" s="799">
        <f>(AU39+AV171)*(1-IFERROR(IF(AV$2+$F39&lt;=12,SUMIFS('Attrition Modeling'!$D:$D,'Attrition Modeling'!$B:$B,'IP Attrition'!$D39,'Attrition Modeling'!$C:$C,'IP Attrition'!AV$1),VLOOKUP($F39+AV$2,$A$6:$C$106,2,FALSE)*VLOOKUP(AV$1,'Attrition Modeling'!$L$15:$N$27,IF(AV$2+$F39&lt;=24,2,3),FALSE)),$C$3)*(1+Projection!AX$16)*(1+IF(AV171&gt;0,'Attrition Modeling'!$N$9,0)))</f>
        <v>0</v>
      </c>
      <c r="AW39" s="799">
        <f>(AV39+AW171)*(1-IFERROR(IF(AW$2+$F39&lt;=12,SUMIFS('Attrition Modeling'!$D:$D,'Attrition Modeling'!$B:$B,'IP Attrition'!$D39,'Attrition Modeling'!$C:$C,'IP Attrition'!AW$1),VLOOKUP($F39+AW$2,$A$6:$C$106,2,FALSE)*VLOOKUP(AW$1,'Attrition Modeling'!$L$15:$N$27,IF(AW$2+$F39&lt;=24,2,3),FALSE)),$C$3)*(1+Projection!AY$16)*(1+IF(AW171&gt;0,'Attrition Modeling'!$N$9,0)))</f>
        <v>0</v>
      </c>
      <c r="AX39" s="799">
        <f>(AW39+AX171)*(1-IFERROR(IF(AX$2+$F39&lt;=12,SUMIFS('Attrition Modeling'!$D:$D,'Attrition Modeling'!$B:$B,'IP Attrition'!$D39,'Attrition Modeling'!$C:$C,'IP Attrition'!AX$1),VLOOKUP($F39+AX$2,$A$6:$C$106,2,FALSE)*VLOOKUP(AX$1,'Attrition Modeling'!$L$15:$N$27,IF(AX$2+$F39&lt;=24,2,3),FALSE)),$C$3)*(1+Projection!AZ$16)*(1+IF(AX171&gt;0,'Attrition Modeling'!$N$9,0)))</f>
        <v>0</v>
      </c>
      <c r="AY39" s="799">
        <f>(AX39+AY171)*(1-IFERROR(IF(AY$2+$F39&lt;=12,SUMIFS('Attrition Modeling'!$D:$D,'Attrition Modeling'!$B:$B,'IP Attrition'!$D39,'Attrition Modeling'!$C:$C,'IP Attrition'!AY$1),VLOOKUP($F39+AY$2,$A$6:$C$106,2,FALSE)*VLOOKUP(AY$1,'Attrition Modeling'!$L$15:$N$27,IF(AY$2+$F39&lt;=24,2,3),FALSE)),$C$3)*(1+Projection!BA$16)*(1+IF(AY171&gt;0,'Attrition Modeling'!$N$9,0)))</f>
        <v>0</v>
      </c>
      <c r="AZ39" s="799">
        <f>(AY39+AZ171)*(1-IFERROR(IF(AZ$2+$F39&lt;=12,SUMIFS('Attrition Modeling'!$D:$D,'Attrition Modeling'!$B:$B,'IP Attrition'!$D39,'Attrition Modeling'!$C:$C,'IP Attrition'!AZ$1),VLOOKUP($F39+AZ$2,$A$6:$C$106,2,FALSE)*VLOOKUP(AZ$1,'Attrition Modeling'!$L$15:$N$27,IF(AZ$2+$F39&lt;=24,2,3),FALSE)),$C$3)*(1+Projection!BB$16)*(1+IF(AZ171&gt;0,'Attrition Modeling'!$N$9,0)))</f>
        <v>0</v>
      </c>
      <c r="BA39" s="799">
        <f>(AZ39+BA171)*(1-IFERROR(IF(BA$2+$F39&lt;=12,SUMIFS('Attrition Modeling'!$D:$D,'Attrition Modeling'!$B:$B,'IP Attrition'!$D39,'Attrition Modeling'!$C:$C,'IP Attrition'!BA$1),VLOOKUP($F39+BA$2,$A$6:$C$106,2,FALSE)*VLOOKUP(BA$1,'Attrition Modeling'!$L$15:$N$27,IF(BA$2+$F39&lt;=24,2,3),FALSE)),$C$3)*(1+Projection!BC$16)*(1+IF(BA171&gt;0,'Attrition Modeling'!$N$9,0)))</f>
        <v>0</v>
      </c>
      <c r="BB39" s="799">
        <f>(BA39+BB171)*(1-IFERROR(IF(BB$2+$F39&lt;=12,SUMIFS('Attrition Modeling'!$D:$D,'Attrition Modeling'!$B:$B,'IP Attrition'!$D39,'Attrition Modeling'!$C:$C,'IP Attrition'!BB$1),VLOOKUP($F39+BB$2,$A$6:$C$106,2,FALSE)*VLOOKUP(BB$1,'Attrition Modeling'!$L$15:$N$27,IF(BB$2+$F39&lt;=24,2,3),FALSE)),$C$3)*(1+Projection!BD$16)*(1+IF(BB171&gt;0,'Attrition Modeling'!$N$9,0)))</f>
        <v>0</v>
      </c>
      <c r="BC39" s="799">
        <f>(BB39+BC171)*(1-IFERROR(IF(BC$2+$F39&lt;=12,SUMIFS('Attrition Modeling'!$D:$D,'Attrition Modeling'!$B:$B,'IP Attrition'!$D39,'Attrition Modeling'!$C:$C,'IP Attrition'!BC$1),VLOOKUP($F39+BC$2,$A$6:$C$106,2,FALSE)*VLOOKUP(BC$1,'Attrition Modeling'!$L$15:$N$27,IF(BC$2+$F39&lt;=24,2,3),FALSE)),$C$3)*(1+Projection!BE$16)*(1+IF(BC171&gt;0,'Attrition Modeling'!$N$9,0)))</f>
        <v>0</v>
      </c>
      <c r="BD39" s="799">
        <f>(BC39+BD171)*(1-IFERROR(IF(BD$2+$F39&lt;=12,SUMIFS('Attrition Modeling'!$D:$D,'Attrition Modeling'!$B:$B,'IP Attrition'!$D39,'Attrition Modeling'!$C:$C,'IP Attrition'!BD$1),VLOOKUP($F39+BD$2,$A$6:$C$106,2,FALSE)*VLOOKUP(BD$1,'Attrition Modeling'!$L$15:$N$27,IF(BD$2+$F39&lt;=24,2,3),FALSE)),$C$3)*(1+Projection!BF$16)*(1+IF(BD171&gt;0,'Attrition Modeling'!$N$9,0)))</f>
        <v>0</v>
      </c>
      <c r="BE39" s="799">
        <f>(BD39+BE171)*(1-IFERROR(IF(BE$2+$F39&lt;=12,SUMIFS('Attrition Modeling'!$D:$D,'Attrition Modeling'!$B:$B,'IP Attrition'!$D39,'Attrition Modeling'!$C:$C,'IP Attrition'!BE$1),VLOOKUP($F39+BE$2,$A$6:$C$106,2,FALSE)*VLOOKUP(BE$1,'Attrition Modeling'!$L$15:$N$27,IF(BE$2+$F39&lt;=24,2,3),FALSE)),$C$3)*(1+Projection!BG$16)*(1+IF(BE171&gt;0,'Attrition Modeling'!$N$9,0)))</f>
        <v>0</v>
      </c>
      <c r="BF39" s="799">
        <f>(BE39+BF171)*(1-IFERROR(IF(BF$2+$F39&lt;=12,SUMIFS('Attrition Modeling'!$D:$D,'Attrition Modeling'!$B:$B,'IP Attrition'!$D39,'Attrition Modeling'!$C:$C,'IP Attrition'!BF$1),VLOOKUP($F39+BF$2,$A$6:$C$106,2,FALSE)*VLOOKUP(BF$1,'Attrition Modeling'!$L$15:$N$27,IF(BF$2+$F39&lt;=24,2,3),FALSE)),$C$3)*(1+Projection!BH$16)*(1+IF(BF171&gt;0,'Attrition Modeling'!$N$9,0)))</f>
        <v>0</v>
      </c>
      <c r="BG39" s="799">
        <f>(BF39+BG171)*(1-IFERROR(IF(BG$2+$F39&lt;=12,SUMIFS('Attrition Modeling'!$D:$D,'Attrition Modeling'!$B:$B,'IP Attrition'!$D39,'Attrition Modeling'!$C:$C,'IP Attrition'!BG$1),VLOOKUP($F39+BG$2,$A$6:$C$106,2,FALSE)*VLOOKUP(BG$1,'Attrition Modeling'!$L$15:$N$27,IF(BG$2+$F39&lt;=24,2,3),FALSE)),$C$3)*(1+Projection!BI$16)*(1+IF(BG171&gt;0,'Attrition Modeling'!$N$9,0)))</f>
        <v>0</v>
      </c>
      <c r="BH39" s="799">
        <f>(BG39+BH171)*(1-IFERROR(IF(BH$2+$F39&lt;=12,SUMIFS('Attrition Modeling'!$D:$D,'Attrition Modeling'!$B:$B,'IP Attrition'!$D39,'Attrition Modeling'!$C:$C,'IP Attrition'!BH$1),VLOOKUP($F39+BH$2,$A$6:$C$106,2,FALSE)*VLOOKUP(BH$1,'Attrition Modeling'!$L$15:$N$27,IF(BH$2+$F39&lt;=24,2,3),FALSE)),$C$3)*(1+Projection!BJ$16)*(1+IF(BH171&gt;0,'Attrition Modeling'!$N$9,0)))</f>
        <v>0</v>
      </c>
      <c r="BI39" s="799">
        <f>(BH39+BI171)*(1-IFERROR(IF(BI$2+$F39&lt;=12,SUMIFS('Attrition Modeling'!$D:$D,'Attrition Modeling'!$B:$B,'IP Attrition'!$D39,'Attrition Modeling'!$C:$C,'IP Attrition'!BI$1),VLOOKUP($F39+BI$2,$A$6:$C$106,2,FALSE)*VLOOKUP(BI$1,'Attrition Modeling'!$L$15:$N$27,IF(BI$2+$F39&lt;=24,2,3),FALSE)),$C$3)*(1+Projection!BK$16)*(1+IF(BI171&gt;0,'Attrition Modeling'!$N$9,0)))</f>
        <v>0</v>
      </c>
      <c r="BJ39" s="799">
        <f>(BI39+BJ171)*(1-IFERROR(IF(BJ$2+$F39&lt;=12,SUMIFS('Attrition Modeling'!$D:$D,'Attrition Modeling'!$B:$B,'IP Attrition'!$D39,'Attrition Modeling'!$C:$C,'IP Attrition'!BJ$1),VLOOKUP($F39+BJ$2,$A$6:$C$106,2,FALSE)*VLOOKUP(BJ$1,'Attrition Modeling'!$L$15:$N$27,IF(BJ$2+$F39&lt;=24,2,3),FALSE)),$C$3)*(1+Projection!BL$16)*(1+IF(BJ171&gt;0,'Attrition Modeling'!$N$9,0)))</f>
        <v>0</v>
      </c>
      <c r="BK39" s="799">
        <f>(BJ39+BK171)*(1-IFERROR(IF(BK$2+$F39&lt;=12,SUMIFS('Attrition Modeling'!$D:$D,'Attrition Modeling'!$B:$B,'IP Attrition'!$D39,'Attrition Modeling'!$C:$C,'IP Attrition'!BK$1),VLOOKUP($F39+BK$2,$A$6:$C$106,2,FALSE)*VLOOKUP(BK$1,'Attrition Modeling'!$L$15:$N$27,IF(BK$2+$F39&lt;=24,2,3),FALSE)),$C$3)*(1+Projection!BM$16)*(1+IF(BK171&gt;0,'Attrition Modeling'!$N$9,0)))</f>
        <v>0</v>
      </c>
      <c r="BL39" s="799">
        <f>(BK39+BL171)*(1-IFERROR(IF(BL$2+$F39&lt;=12,SUMIFS('Attrition Modeling'!$D:$D,'Attrition Modeling'!$B:$B,'IP Attrition'!$D39,'Attrition Modeling'!$C:$C,'IP Attrition'!BL$1),VLOOKUP($F39+BL$2,$A$6:$C$106,2,FALSE)*VLOOKUP(BL$1,'Attrition Modeling'!$L$15:$N$27,IF(BL$2+$F39&lt;=24,2,3),FALSE)),$C$3)*(1+Projection!BN$16)*(1+IF(BL171&gt;0,'Attrition Modeling'!$N$9,0)))</f>
        <v>0</v>
      </c>
      <c r="BM39" s="799">
        <f>(BL39+BM171)*(1-IFERROR(IF(BM$2+$F39&lt;=12,SUMIFS('Attrition Modeling'!$D:$D,'Attrition Modeling'!$B:$B,'IP Attrition'!$D39,'Attrition Modeling'!$C:$C,'IP Attrition'!BM$1),VLOOKUP($F39+BM$2,$A$6:$C$106,2,FALSE)*VLOOKUP(BM$1,'Attrition Modeling'!$L$15:$N$27,IF(BM$2+$F39&lt;=24,2,3),FALSE)),$C$3)*(1+Projection!BO$16)*(1+IF(BM171&gt;0,'Attrition Modeling'!$N$9,0)))</f>
        <v>0</v>
      </c>
      <c r="BN39" s="799">
        <f>(BM39+BN171)*(1-IFERROR(IF(BN$2+$F39&lt;=12,SUMIFS('Attrition Modeling'!$D:$D,'Attrition Modeling'!$B:$B,'IP Attrition'!$D39,'Attrition Modeling'!$C:$C,'IP Attrition'!BN$1),VLOOKUP($F39+BN$2,$A$6:$C$106,2,FALSE)*VLOOKUP(BN$1,'Attrition Modeling'!$L$15:$N$27,IF(BN$2+$F39&lt;=24,2,3),FALSE)),$C$3)*(1+Projection!BP$16)*(1+IF(BN171&gt;0,'Attrition Modeling'!$N$9,0)))</f>
        <v>0</v>
      </c>
      <c r="BO39" s="799">
        <f>(BN39+BO171)*(1-IFERROR(IF(BO$2+$F39&lt;=12,SUMIFS('Attrition Modeling'!$D:$D,'Attrition Modeling'!$B:$B,'IP Attrition'!$D39,'Attrition Modeling'!$C:$C,'IP Attrition'!BO$1),VLOOKUP($F39+BO$2,$A$6:$C$106,2,FALSE)*VLOOKUP(BO$1,'Attrition Modeling'!$L$15:$N$27,IF(BO$2+$F39&lt;=24,2,3),FALSE)),$C$3)*(1+Projection!BV$16)*(1+IF(BO171&gt;0,'Attrition Modeling'!$N$9,0)))</f>
        <v>0</v>
      </c>
      <c r="BP39" s="799">
        <f>(BO39+BP171)*(1-IFERROR(IF(BP$2+$F39&lt;=12,SUMIFS('Attrition Modeling'!$D:$D,'Attrition Modeling'!$B:$B,'IP Attrition'!$D39,'Attrition Modeling'!$C:$C,'IP Attrition'!BP$1),VLOOKUP($F39+BP$2,$A$6:$C$106,2,FALSE)*VLOOKUP(BP$1,'Attrition Modeling'!$L$15:$N$27,IF(BP$2+$F39&lt;=24,2,3),FALSE)),$C$3)*(1+Projection!BW$16)*(1+IF(BP171&gt;0,'Attrition Modeling'!$N$9,0)))</f>
        <v>0</v>
      </c>
      <c r="BQ39" s="799">
        <f>(BP39+BQ171)*(1-IFERROR(IF(BQ$2+$F39&lt;=12,SUMIFS('Attrition Modeling'!$D:$D,'Attrition Modeling'!$B:$B,'IP Attrition'!$D39,'Attrition Modeling'!$C:$C,'IP Attrition'!BQ$1),VLOOKUP($F39+BQ$2,$A$6:$C$106,2,FALSE)*VLOOKUP(BQ$1,'Attrition Modeling'!$L$15:$N$27,IF(BQ$2+$F39&lt;=24,2,3),FALSE)),$C$3)*(1+Projection!BX$16)*(1+IF(BQ171&gt;0,'Attrition Modeling'!$N$9,0)))</f>
        <v>0</v>
      </c>
      <c r="BR39" s="799">
        <f>(BQ39+BR171)*(1-IFERROR(IF(BR$2+$F39&lt;=12,SUMIFS('Attrition Modeling'!$D:$D,'Attrition Modeling'!$B:$B,'IP Attrition'!$D39,'Attrition Modeling'!$C:$C,'IP Attrition'!BR$1),VLOOKUP($F39+BR$2,$A$6:$C$106,2,FALSE)*VLOOKUP(BR$1,'Attrition Modeling'!$L$15:$N$27,IF(BR$2+$F39&lt;=24,2,3),FALSE)),$C$3)*(1+Projection!BY$16)*(1+IF(BR171&gt;0,'Attrition Modeling'!$N$9,0)))</f>
        <v>0</v>
      </c>
      <c r="BS39" s="799">
        <f>(BR39+BS171)*(1-IFERROR(IF(BS$2+$F39&lt;=12,SUMIFS('Attrition Modeling'!$D:$D,'Attrition Modeling'!$B:$B,'IP Attrition'!$D39,'Attrition Modeling'!$C:$C,'IP Attrition'!BS$1),VLOOKUP($F39+BS$2,$A$6:$C$106,2,FALSE)*VLOOKUP(BS$1,'Attrition Modeling'!$L$15:$N$27,IF(BS$2+$F39&lt;=24,2,3),FALSE)),$C$3)*(1+Projection!BZ$16)*(1+IF(BS171&gt;0,'Attrition Modeling'!$N$9,0)))</f>
        <v>0</v>
      </c>
      <c r="BT39" s="799" t="e">
        <f>(BS39+BT171)*(1-IFERROR(IF(BT$2+$F39&lt;=12,SUMIFS('Attrition Modeling'!$D:$D,'Attrition Modeling'!$B:$B,'IP Attrition'!$D39,'Attrition Modeling'!$C:$C,'IP Attrition'!BT$1),VLOOKUP($F39+BT$2,$A$6:$C$106,2,FALSE)*VLOOKUP(BT$1,'Attrition Modeling'!$L$15:$N$27,IF(BT$2+$F39&lt;=24,2,3),FALSE)),$C$3)*(1+Projection!CA$16)*(1+IF(BT171&gt;0,'Attrition Modeling'!$N$9,0)))</f>
        <v>#REF!</v>
      </c>
      <c r="BU39" s="799" t="e">
        <f>(BT39+BU171)*(1-IFERROR(IF(BU$2+$F39&lt;=12,SUMIFS('Attrition Modeling'!$D:$D,'Attrition Modeling'!$B:$B,'IP Attrition'!$D39,'Attrition Modeling'!$C:$C,'IP Attrition'!BU$1),VLOOKUP($F39+BU$2,$A$6:$C$106,2,FALSE)*VLOOKUP(BU$1,'Attrition Modeling'!$L$15:$N$27,IF(BU$2+$F39&lt;=24,2,3),FALSE)),$C$3)*(1+Projection!CB$16)*(1+IF(BU171&gt;0,'Attrition Modeling'!$N$9,0)))</f>
        <v>#REF!</v>
      </c>
    </row>
    <row r="40" spans="1:73" ht="14.25" customHeight="1" x14ac:dyDescent="0.2">
      <c r="A40" s="9">
        <v>33</v>
      </c>
      <c r="B40" s="25">
        <f>MAX('Attrition Modeling'!H37,$C$3)*(1-Summary!$C$20)</f>
        <v>3.1503539437305585E-2</v>
      </c>
      <c r="C40" s="24" t="e">
        <f t="shared" si="3"/>
        <v>#DIV/0!</v>
      </c>
      <c r="D40" s="11">
        <f t="shared" si="1"/>
        <v>-37</v>
      </c>
      <c r="E40" s="807">
        <f t="array" ref="E40">INDEX('Attrition Modeling'!$X$2:$AF$63,MATCH($F40,'Attrition Modeling'!$X$2:$X$63,0),MATCH(Inputs!$C$10,'Attrition Modeling'!$X$2:$AF$2,0))</f>
        <v>0</v>
      </c>
      <c r="F40" s="11">
        <f t="shared" si="2"/>
        <v>37</v>
      </c>
      <c r="G40" s="799">
        <f>Summary!$C$25*$E40</f>
        <v>0</v>
      </c>
      <c r="H40" s="799">
        <f>(G40+H172)*(1-IFERROR(IF(H$2+$F40&lt;=12,SUMIFS('Attrition Modeling'!$D:$D,'Attrition Modeling'!$B:$B,'IP Attrition'!$D40,'Attrition Modeling'!$C:$C,'IP Attrition'!H$1),VLOOKUP($F40+H$2,$A$6:$C$106,2,FALSE)*VLOOKUP(H$1,'Attrition Modeling'!$L$15:$N$27,IF(H$2+$F40&lt;=24,2,3),FALSE)),$C$3)*(1+Projection!J$16)*(1+IF(H172&gt;0,'Attrition Modeling'!$N$9,0)))</f>
        <v>0</v>
      </c>
      <c r="I40" s="799">
        <f>(H40+I172)*(1-IFERROR(IF(I$2+$F40&lt;=12,SUMIFS('Attrition Modeling'!$D:$D,'Attrition Modeling'!$B:$B,'IP Attrition'!$D40,'Attrition Modeling'!$C:$C,'IP Attrition'!I$1),VLOOKUP($F40+I$2,$A$6:$C$106,2,FALSE)*VLOOKUP(I$1,'Attrition Modeling'!$L$15:$N$27,IF(I$2+$F40&lt;=24,2,3),FALSE)),$C$3)*(1+Projection!K$16)*(1+IF(I172&gt;0,'Attrition Modeling'!$N$9,0)))</f>
        <v>0</v>
      </c>
      <c r="J40" s="799">
        <f>(I40+J172)*(1-IFERROR(IF(J$2+$F40&lt;=12,SUMIFS('Attrition Modeling'!$D:$D,'Attrition Modeling'!$B:$B,'IP Attrition'!$D40,'Attrition Modeling'!$C:$C,'IP Attrition'!J$1),VLOOKUP($F40+J$2,$A$6:$C$106,2,FALSE)*VLOOKUP(J$1,'Attrition Modeling'!$L$15:$N$27,IF(J$2+$F40&lt;=24,2,3),FALSE)),$C$3)*(1+Projection!L$16)*(1+IF(J172&gt;0,'Attrition Modeling'!$N$9,0)))</f>
        <v>0</v>
      </c>
      <c r="K40" s="799">
        <f>(J40+K172)*(1-IFERROR(IF(K$2+$F40&lt;=12,SUMIFS('Attrition Modeling'!$D:$D,'Attrition Modeling'!$B:$B,'IP Attrition'!$D40,'Attrition Modeling'!$C:$C,'IP Attrition'!K$1),VLOOKUP($F40+K$2,$A$6:$C$106,2,FALSE)*VLOOKUP(K$1,'Attrition Modeling'!$L$15:$N$27,IF(K$2+$F40&lt;=24,2,3),FALSE)),$C$3)*(1+Projection!M$16)*(1+IF(K172&gt;0,'Attrition Modeling'!$N$9,0)))</f>
        <v>0</v>
      </c>
      <c r="L40" s="799">
        <f>(K40+L172)*(1-IFERROR(IF(L$2+$F40&lt;=12,SUMIFS('Attrition Modeling'!$D:$D,'Attrition Modeling'!$B:$B,'IP Attrition'!$D40,'Attrition Modeling'!$C:$C,'IP Attrition'!L$1),VLOOKUP($F40+L$2,$A$6:$C$106,2,FALSE)*VLOOKUP(L$1,'Attrition Modeling'!$L$15:$N$27,IF(L$2+$F40&lt;=24,2,3),FALSE)),$C$3)*(1+Projection!N$16)*(1+IF(L172&gt;0,'Attrition Modeling'!$N$9,0)))</f>
        <v>0</v>
      </c>
      <c r="M40" s="799">
        <f>(L40+M172)*(1-IFERROR(IF(M$2+$F40&lt;=12,SUMIFS('Attrition Modeling'!$D:$D,'Attrition Modeling'!$B:$B,'IP Attrition'!$D40,'Attrition Modeling'!$C:$C,'IP Attrition'!M$1),VLOOKUP($F40+M$2,$A$6:$C$106,2,FALSE)*VLOOKUP(M$1,'Attrition Modeling'!$L$15:$N$27,IF(M$2+$F40&lt;=24,2,3),FALSE)),$C$3)*(1+Projection!O$16)*(1+IF(M172&gt;0,'Attrition Modeling'!$N$9,0)))</f>
        <v>0</v>
      </c>
      <c r="N40" s="799">
        <f>(M40+N172)*(1-IFERROR(IF(N$2+$F40&lt;=12,SUMIFS('Attrition Modeling'!$D:$D,'Attrition Modeling'!$B:$B,'IP Attrition'!$D40,'Attrition Modeling'!$C:$C,'IP Attrition'!N$1),VLOOKUP($F40+N$2,$A$6:$C$106,2,FALSE)*VLOOKUP(N$1,'Attrition Modeling'!$L$15:$N$27,IF(N$2+$F40&lt;=24,2,3),FALSE)),$C$3)*(1+Projection!P$16)*(1+IF(N172&gt;0,'Attrition Modeling'!$N$9,0)))</f>
        <v>0</v>
      </c>
      <c r="O40" s="799">
        <f>(N40+O172)*(1-IFERROR(IF(O$2+$F40&lt;=12,SUMIFS('Attrition Modeling'!$D:$D,'Attrition Modeling'!$B:$B,'IP Attrition'!$D40,'Attrition Modeling'!$C:$C,'IP Attrition'!O$1),VLOOKUP($F40+O$2,$A$6:$C$106,2,FALSE)*VLOOKUP(O$1,'Attrition Modeling'!$L$15:$N$27,IF(O$2+$F40&lt;=24,2,3),FALSE)),$C$3)*(1+Projection!Q$16)*(1+IF(O172&gt;0,'Attrition Modeling'!$N$9,0)))</f>
        <v>0</v>
      </c>
      <c r="P40" s="799">
        <f>(O40+P172)*(1-IFERROR(IF(P$2+$F40&lt;=12,SUMIFS('Attrition Modeling'!$D:$D,'Attrition Modeling'!$B:$B,'IP Attrition'!$D40,'Attrition Modeling'!$C:$C,'IP Attrition'!P$1),VLOOKUP($F40+P$2,$A$6:$C$106,2,FALSE)*VLOOKUP(P$1,'Attrition Modeling'!$L$15:$N$27,IF(P$2+$F40&lt;=24,2,3),FALSE)),$C$3)*(1+Projection!R$16)*(1+IF(P172&gt;0,'Attrition Modeling'!$N$9,0)))</f>
        <v>0</v>
      </c>
      <c r="Q40" s="799">
        <f>(P40+Q172)*(1-IFERROR(IF(Q$2+$F40&lt;=12,SUMIFS('Attrition Modeling'!$D:$D,'Attrition Modeling'!$B:$B,'IP Attrition'!$D40,'Attrition Modeling'!$C:$C,'IP Attrition'!Q$1),VLOOKUP($F40+Q$2,$A$6:$C$106,2,FALSE)*VLOOKUP(Q$1,'Attrition Modeling'!$L$15:$N$27,IF(Q$2+$F40&lt;=24,2,3),FALSE)),$C$3)*(1+Projection!S$16)*(1+IF(Q172&gt;0,'Attrition Modeling'!$N$9,0)))</f>
        <v>0</v>
      </c>
      <c r="R40" s="799">
        <f>(Q40+R172)*(1-IFERROR(IF(R$2+$F40&lt;=12,SUMIFS('Attrition Modeling'!$D:$D,'Attrition Modeling'!$B:$B,'IP Attrition'!$D40,'Attrition Modeling'!$C:$C,'IP Attrition'!R$1),VLOOKUP($F40+R$2,$A$6:$C$106,2,FALSE)*VLOOKUP(R$1,'Attrition Modeling'!$L$15:$N$27,IF(R$2+$F40&lt;=24,2,3),FALSE)),$C$3)*(1+Projection!T$16)*(1+IF(R172&gt;0,'Attrition Modeling'!$N$9,0)))</f>
        <v>0</v>
      </c>
      <c r="S40" s="799">
        <f>(R40+S172)*(1-IFERROR(IF(S$2+$F40&lt;=12,SUMIFS('Attrition Modeling'!$D:$D,'Attrition Modeling'!$B:$B,'IP Attrition'!$D40,'Attrition Modeling'!$C:$C,'IP Attrition'!S$1),VLOOKUP($F40+S$2,$A$6:$C$106,2,FALSE)*VLOOKUP(S$1,'Attrition Modeling'!$L$15:$N$27,IF(S$2+$F40&lt;=24,2,3),FALSE)),$C$3)*(1+Projection!U$16)*(1+IF(S172&gt;0,'Attrition Modeling'!$N$9,0)))</f>
        <v>0</v>
      </c>
      <c r="T40" s="799">
        <f>(S40+T172)*(1-IFERROR(IF(T$2+$F40&lt;=12,SUMIFS('Attrition Modeling'!$D:$D,'Attrition Modeling'!$B:$B,'IP Attrition'!$D40,'Attrition Modeling'!$C:$C,'IP Attrition'!T$1),VLOOKUP($F40+T$2,$A$6:$C$106,2,FALSE)*VLOOKUP(T$1,'Attrition Modeling'!$L$15:$N$27,IF(T$2+$F40&lt;=24,2,3),FALSE)),$C$3)*(1+Projection!V$16)*(1+IF(T172&gt;0,'Attrition Modeling'!$N$9,0)))</f>
        <v>0</v>
      </c>
      <c r="U40" s="799">
        <f>(T40+U172)*(1-IFERROR(IF(U$2+$F40&lt;=12,SUMIFS('Attrition Modeling'!$D:$D,'Attrition Modeling'!$B:$B,'IP Attrition'!$D40,'Attrition Modeling'!$C:$C,'IP Attrition'!U$1),VLOOKUP($F40+U$2,$A$6:$C$106,2,FALSE)*VLOOKUP(U$1,'Attrition Modeling'!$L$15:$N$27,IF(U$2+$F40&lt;=24,2,3),FALSE)),$C$3)*(1+Projection!W$16)*(1+IF(U172&gt;0,'Attrition Modeling'!$N$9,0)))</f>
        <v>0</v>
      </c>
      <c r="V40" s="799">
        <f>(U40+V172)*(1-IFERROR(IF(V$2+$F40&lt;=12,SUMIFS('Attrition Modeling'!$D:$D,'Attrition Modeling'!$B:$B,'IP Attrition'!$D40,'Attrition Modeling'!$C:$C,'IP Attrition'!V$1),VLOOKUP($F40+V$2,$A$6:$C$106,2,FALSE)*VLOOKUP(V$1,'Attrition Modeling'!$L$15:$N$27,IF(V$2+$F40&lt;=24,2,3),FALSE)),$C$3)*(1+Projection!X$16)*(1+IF(V172&gt;0,'Attrition Modeling'!$N$9,0)))</f>
        <v>0</v>
      </c>
      <c r="W40" s="799">
        <f>(V40+W172)*(1-IFERROR(IF(W$2+$F40&lt;=12,SUMIFS('Attrition Modeling'!$D:$D,'Attrition Modeling'!$B:$B,'IP Attrition'!$D40,'Attrition Modeling'!$C:$C,'IP Attrition'!W$1),VLOOKUP($F40+W$2,$A$6:$C$106,2,FALSE)*VLOOKUP(W$1,'Attrition Modeling'!$L$15:$N$27,IF(W$2+$F40&lt;=24,2,3),FALSE)),$C$3)*(1+Projection!Y$16)*(1+IF(W172&gt;0,'Attrition Modeling'!$N$9,0)))</f>
        <v>0</v>
      </c>
      <c r="X40" s="799">
        <f>(W40+X172)*(1-IFERROR(IF(X$2+$F40&lt;=12,SUMIFS('Attrition Modeling'!$D:$D,'Attrition Modeling'!$B:$B,'IP Attrition'!$D40,'Attrition Modeling'!$C:$C,'IP Attrition'!X$1),VLOOKUP($F40+X$2,$A$6:$C$106,2,FALSE)*VLOOKUP(X$1,'Attrition Modeling'!$L$15:$N$27,IF(X$2+$F40&lt;=24,2,3),FALSE)),$C$3)*(1+Projection!Z$16)*(1+IF(X172&gt;0,'Attrition Modeling'!$N$9,0)))</f>
        <v>0</v>
      </c>
      <c r="Y40" s="799">
        <f>(X40+Y172)*(1-IFERROR(IF(Y$2+$F40&lt;=12,SUMIFS('Attrition Modeling'!$D:$D,'Attrition Modeling'!$B:$B,'IP Attrition'!$D40,'Attrition Modeling'!$C:$C,'IP Attrition'!Y$1),VLOOKUP($F40+Y$2,$A$6:$C$106,2,FALSE)*VLOOKUP(Y$1,'Attrition Modeling'!$L$15:$N$27,IF(Y$2+$F40&lt;=24,2,3),FALSE)),$C$3)*(1+Projection!AA$16)*(1+IF(Y172&gt;0,'Attrition Modeling'!$N$9,0)))</f>
        <v>0</v>
      </c>
      <c r="Z40" s="799">
        <f>(Y40+Z172)*(1-IFERROR(IF(Z$2+$F40&lt;=12,SUMIFS('Attrition Modeling'!$D:$D,'Attrition Modeling'!$B:$B,'IP Attrition'!$D40,'Attrition Modeling'!$C:$C,'IP Attrition'!Z$1),VLOOKUP($F40+Z$2,$A$6:$C$106,2,FALSE)*VLOOKUP(Z$1,'Attrition Modeling'!$L$15:$N$27,IF(Z$2+$F40&lt;=24,2,3),FALSE)),$C$3)*(1+Projection!AB$16)*(1+IF(Z172&gt;0,'Attrition Modeling'!$N$9,0)))</f>
        <v>0</v>
      </c>
      <c r="AA40" s="799">
        <f>(Z40+AA172)*(1-IFERROR(IF(AA$2+$F40&lt;=12,SUMIFS('Attrition Modeling'!$D:$D,'Attrition Modeling'!$B:$B,'IP Attrition'!$D40,'Attrition Modeling'!$C:$C,'IP Attrition'!AA$1),VLOOKUP($F40+AA$2,$A$6:$C$106,2,FALSE)*VLOOKUP(AA$1,'Attrition Modeling'!$L$15:$N$27,IF(AA$2+$F40&lt;=24,2,3),FALSE)),$C$3)*(1+Projection!AC$16)*(1+IF(AA172&gt;0,'Attrition Modeling'!$N$9,0)))</f>
        <v>0</v>
      </c>
      <c r="AB40" s="799">
        <f>(AA40+AB172)*(1-IFERROR(IF(AB$2+$F40&lt;=12,SUMIFS('Attrition Modeling'!$D:$D,'Attrition Modeling'!$B:$B,'IP Attrition'!$D40,'Attrition Modeling'!$C:$C,'IP Attrition'!AB$1),VLOOKUP($F40+AB$2,$A$6:$C$106,2,FALSE)*VLOOKUP(AB$1,'Attrition Modeling'!$L$15:$N$27,IF(AB$2+$F40&lt;=24,2,3),FALSE)),$C$3)*(1+Projection!AD$16)*(1+IF(AB172&gt;0,'Attrition Modeling'!$N$9,0)))</f>
        <v>0</v>
      </c>
      <c r="AC40" s="799">
        <f>(AB40+AC172)*(1-IFERROR(IF(AC$2+$F40&lt;=12,SUMIFS('Attrition Modeling'!$D:$D,'Attrition Modeling'!$B:$B,'IP Attrition'!$D40,'Attrition Modeling'!$C:$C,'IP Attrition'!AC$1),VLOOKUP($F40+AC$2,$A$6:$C$106,2,FALSE)*VLOOKUP(AC$1,'Attrition Modeling'!$L$15:$N$27,IF(AC$2+$F40&lt;=24,2,3),FALSE)),$C$3)*(1+Projection!AE$16)*(1+IF(AC172&gt;0,'Attrition Modeling'!$N$9,0)))</f>
        <v>0</v>
      </c>
      <c r="AD40" s="799">
        <f>(AC40+AD172)*(1-IFERROR(IF(AD$2+$F40&lt;=12,SUMIFS('Attrition Modeling'!$D:$D,'Attrition Modeling'!$B:$B,'IP Attrition'!$D40,'Attrition Modeling'!$C:$C,'IP Attrition'!AD$1),VLOOKUP($F40+AD$2,$A$6:$C$106,2,FALSE)*VLOOKUP(AD$1,'Attrition Modeling'!$L$15:$N$27,IF(AD$2+$F40&lt;=24,2,3),FALSE)),$C$3)*(1+Projection!AF$16)*(1+IF(AD172&gt;0,'Attrition Modeling'!$N$9,0)))</f>
        <v>0</v>
      </c>
      <c r="AE40" s="799">
        <f>(AD40+AE172)*(1-IFERROR(IF(AE$2+$F40&lt;=12,SUMIFS('Attrition Modeling'!$D:$D,'Attrition Modeling'!$B:$B,'IP Attrition'!$D40,'Attrition Modeling'!$C:$C,'IP Attrition'!AE$1),VLOOKUP($F40+AE$2,$A$6:$C$106,2,FALSE)*VLOOKUP(AE$1,'Attrition Modeling'!$L$15:$N$27,IF(AE$2+$F40&lt;=24,2,3),FALSE)),$C$3)*(1+Projection!AG$16)*(1+IF(AE172&gt;0,'Attrition Modeling'!$N$9,0)))</f>
        <v>0</v>
      </c>
      <c r="AF40" s="799">
        <f>(AE40+AF172)*(1-IFERROR(IF(AF$2+$F40&lt;=12,SUMIFS('Attrition Modeling'!$D:$D,'Attrition Modeling'!$B:$B,'IP Attrition'!$D40,'Attrition Modeling'!$C:$C,'IP Attrition'!AF$1),VLOOKUP($F40+AF$2,$A$6:$C$106,2,FALSE)*VLOOKUP(AF$1,'Attrition Modeling'!$L$15:$N$27,IF(AF$2+$F40&lt;=24,2,3),FALSE)),$C$3)*(1+Projection!AH$16)*(1+IF(AF172&gt;0,'Attrition Modeling'!$N$9,0)))</f>
        <v>0</v>
      </c>
      <c r="AG40" s="799">
        <f>(AF40+AG172)*(1-IFERROR(IF(AG$2+$F40&lt;=12,SUMIFS('Attrition Modeling'!$D:$D,'Attrition Modeling'!$B:$B,'IP Attrition'!$D40,'Attrition Modeling'!$C:$C,'IP Attrition'!AG$1),VLOOKUP($F40+AG$2,$A$6:$C$106,2,FALSE)*VLOOKUP(AG$1,'Attrition Modeling'!$L$15:$N$27,IF(AG$2+$F40&lt;=24,2,3),FALSE)),$C$3)*(1+Projection!AI$16)*(1+IF(AG172&gt;0,'Attrition Modeling'!$N$9,0)))</f>
        <v>0</v>
      </c>
      <c r="AH40" s="799">
        <f>(AG40+AH172)*(1-IFERROR(IF(AH$2+$F40&lt;=12,SUMIFS('Attrition Modeling'!$D:$D,'Attrition Modeling'!$B:$B,'IP Attrition'!$D40,'Attrition Modeling'!$C:$C,'IP Attrition'!AH$1),VLOOKUP($F40+AH$2,$A$6:$C$106,2,FALSE)*VLOOKUP(AH$1,'Attrition Modeling'!$L$15:$N$27,IF(AH$2+$F40&lt;=24,2,3),FALSE)),$C$3)*(1+Projection!AJ$16)*(1+IF(AH172&gt;0,'Attrition Modeling'!$N$9,0)))</f>
        <v>0</v>
      </c>
      <c r="AI40" s="799">
        <f>(AH40+AI172)*(1-IFERROR(IF(AI$2+$F40&lt;=12,SUMIFS('Attrition Modeling'!$D:$D,'Attrition Modeling'!$B:$B,'IP Attrition'!$D40,'Attrition Modeling'!$C:$C,'IP Attrition'!AI$1),VLOOKUP($F40+AI$2,$A$6:$C$106,2,FALSE)*VLOOKUP(AI$1,'Attrition Modeling'!$L$15:$N$27,IF(AI$2+$F40&lt;=24,2,3),FALSE)),$C$3)*(1+Projection!AK$16)*(1+IF(AI172&gt;0,'Attrition Modeling'!$N$9,0)))</f>
        <v>0</v>
      </c>
      <c r="AJ40" s="799">
        <f>(AI40+AJ172)*(1-IFERROR(IF(AJ$2+$F40&lt;=12,SUMIFS('Attrition Modeling'!$D:$D,'Attrition Modeling'!$B:$B,'IP Attrition'!$D40,'Attrition Modeling'!$C:$C,'IP Attrition'!AJ$1),VLOOKUP($F40+AJ$2,$A$6:$C$106,2,FALSE)*VLOOKUP(AJ$1,'Attrition Modeling'!$L$15:$N$27,IF(AJ$2+$F40&lt;=24,2,3),FALSE)),$C$3)*(1+Projection!AL$16)*(1+IF(AJ172&gt;0,'Attrition Modeling'!$N$9,0)))</f>
        <v>0</v>
      </c>
      <c r="AK40" s="799">
        <f>(AJ40+AK172)*(1-IFERROR(IF(AK$2+$F40&lt;=12,SUMIFS('Attrition Modeling'!$D:$D,'Attrition Modeling'!$B:$B,'IP Attrition'!$D40,'Attrition Modeling'!$C:$C,'IP Attrition'!AK$1),VLOOKUP($F40+AK$2,$A$6:$C$106,2,FALSE)*VLOOKUP(AK$1,'Attrition Modeling'!$L$15:$N$27,IF(AK$2+$F40&lt;=24,2,3),FALSE)),$C$3)*(1+Projection!AM$16)*(1+IF(AK172&gt;0,'Attrition Modeling'!$N$9,0)))</f>
        <v>0</v>
      </c>
      <c r="AL40" s="799">
        <f>(AK40+AL172)*(1-IFERROR(IF(AL$2+$F40&lt;=12,SUMIFS('Attrition Modeling'!$D:$D,'Attrition Modeling'!$B:$B,'IP Attrition'!$D40,'Attrition Modeling'!$C:$C,'IP Attrition'!AL$1),VLOOKUP($F40+AL$2,$A$6:$C$106,2,FALSE)*VLOOKUP(AL$1,'Attrition Modeling'!$L$15:$N$27,IF(AL$2+$F40&lt;=24,2,3),FALSE)),$C$3)*(1+Projection!AN$16)*(1+IF(AL172&gt;0,'Attrition Modeling'!$N$9,0)))</f>
        <v>0</v>
      </c>
      <c r="AM40" s="799">
        <f>(AL40+AM172)*(1-IFERROR(IF(AM$2+$F40&lt;=12,SUMIFS('Attrition Modeling'!$D:$D,'Attrition Modeling'!$B:$B,'IP Attrition'!$D40,'Attrition Modeling'!$C:$C,'IP Attrition'!AM$1),VLOOKUP($F40+AM$2,$A$6:$C$106,2,FALSE)*VLOOKUP(AM$1,'Attrition Modeling'!$L$15:$N$27,IF(AM$2+$F40&lt;=24,2,3),FALSE)),$C$3)*(1+Projection!AO$16)*(1+IF(AM172&gt;0,'Attrition Modeling'!$N$9,0)))</f>
        <v>0</v>
      </c>
      <c r="AN40" s="799">
        <f>(AM40+AN172)*(1-IFERROR(IF(AN$2+$F40&lt;=12,SUMIFS('Attrition Modeling'!$D:$D,'Attrition Modeling'!$B:$B,'IP Attrition'!$D40,'Attrition Modeling'!$C:$C,'IP Attrition'!AN$1),VLOOKUP($F40+AN$2,$A$6:$C$106,2,FALSE)*VLOOKUP(AN$1,'Attrition Modeling'!$L$15:$N$27,IF(AN$2+$F40&lt;=24,2,3),FALSE)),$C$3)*(1+Projection!AP$16)*(1+IF(AN172&gt;0,'Attrition Modeling'!$N$9,0)))</f>
        <v>0</v>
      </c>
      <c r="AO40" s="799">
        <f>(AN40+AO172)*(1-IFERROR(IF(AO$2+$F40&lt;=12,SUMIFS('Attrition Modeling'!$D:$D,'Attrition Modeling'!$B:$B,'IP Attrition'!$D40,'Attrition Modeling'!$C:$C,'IP Attrition'!AO$1),VLOOKUP($F40+AO$2,$A$6:$C$106,2,FALSE)*VLOOKUP(AO$1,'Attrition Modeling'!$L$15:$N$27,IF(AO$2+$F40&lt;=24,2,3),FALSE)),$C$3)*(1+Projection!AQ$16)*(1+IF(AO172&gt;0,'Attrition Modeling'!$N$9,0)))</f>
        <v>0</v>
      </c>
      <c r="AP40" s="799">
        <f>(AO40+AP172)*(1-IFERROR(IF(AP$2+$F40&lt;=12,SUMIFS('Attrition Modeling'!$D:$D,'Attrition Modeling'!$B:$B,'IP Attrition'!$D40,'Attrition Modeling'!$C:$C,'IP Attrition'!AP$1),VLOOKUP($F40+AP$2,$A$6:$C$106,2,FALSE)*VLOOKUP(AP$1,'Attrition Modeling'!$L$15:$N$27,IF(AP$2+$F40&lt;=24,2,3),FALSE)),$C$3)*(1+Projection!AR$16)*(1+IF(AP172&gt;0,'Attrition Modeling'!$N$9,0)))</f>
        <v>0</v>
      </c>
      <c r="AQ40" s="799">
        <f>(AP40+AQ172)*(1-IFERROR(IF(AQ$2+$F40&lt;=12,SUMIFS('Attrition Modeling'!$D:$D,'Attrition Modeling'!$B:$B,'IP Attrition'!$D40,'Attrition Modeling'!$C:$C,'IP Attrition'!AQ$1),VLOOKUP($F40+AQ$2,$A$6:$C$106,2,FALSE)*VLOOKUP(AQ$1,'Attrition Modeling'!$L$15:$N$27,IF(AQ$2+$F40&lt;=24,2,3),FALSE)),$C$3)*(1+Projection!AS$16)*(1+IF(AQ172&gt;0,'Attrition Modeling'!$N$9,0)))</f>
        <v>0</v>
      </c>
      <c r="AR40" s="799">
        <f>(AQ40+AR172)*(1-IFERROR(IF(AR$2+$F40&lt;=12,SUMIFS('Attrition Modeling'!$D:$D,'Attrition Modeling'!$B:$B,'IP Attrition'!$D40,'Attrition Modeling'!$C:$C,'IP Attrition'!AR$1),VLOOKUP($F40+AR$2,$A$6:$C$106,2,FALSE)*VLOOKUP(AR$1,'Attrition Modeling'!$L$15:$N$27,IF(AR$2+$F40&lt;=24,2,3),FALSE)),$C$3)*(1+Projection!AT$16)*(1+IF(AR172&gt;0,'Attrition Modeling'!$N$9,0)))</f>
        <v>0</v>
      </c>
      <c r="AS40" s="799">
        <f>(AR40+AS172)*(1-IFERROR(IF(AS$2+$F40&lt;=12,SUMIFS('Attrition Modeling'!$D:$D,'Attrition Modeling'!$B:$B,'IP Attrition'!$D40,'Attrition Modeling'!$C:$C,'IP Attrition'!AS$1),VLOOKUP($F40+AS$2,$A$6:$C$106,2,FALSE)*VLOOKUP(AS$1,'Attrition Modeling'!$L$15:$N$27,IF(AS$2+$F40&lt;=24,2,3),FALSE)),$C$3)*(1+Projection!AU$16)*(1+IF(AS172&gt;0,'Attrition Modeling'!$N$9,0)))</f>
        <v>0</v>
      </c>
      <c r="AT40" s="799">
        <f>(AS40+AT172)*(1-IFERROR(IF(AT$2+$F40&lt;=12,SUMIFS('Attrition Modeling'!$D:$D,'Attrition Modeling'!$B:$B,'IP Attrition'!$D40,'Attrition Modeling'!$C:$C,'IP Attrition'!AT$1),VLOOKUP($F40+AT$2,$A$6:$C$106,2,FALSE)*VLOOKUP(AT$1,'Attrition Modeling'!$L$15:$N$27,IF(AT$2+$F40&lt;=24,2,3),FALSE)),$C$3)*(1+Projection!AV$16)*(1+IF(AT172&gt;0,'Attrition Modeling'!$N$9,0)))</f>
        <v>0</v>
      </c>
      <c r="AU40" s="799">
        <f>(AT40+AU172)*(1-IFERROR(IF(AU$2+$F40&lt;=12,SUMIFS('Attrition Modeling'!$D:$D,'Attrition Modeling'!$B:$B,'IP Attrition'!$D40,'Attrition Modeling'!$C:$C,'IP Attrition'!AU$1),VLOOKUP($F40+AU$2,$A$6:$C$106,2,FALSE)*VLOOKUP(AU$1,'Attrition Modeling'!$L$15:$N$27,IF(AU$2+$F40&lt;=24,2,3),FALSE)),$C$3)*(1+Projection!AW$16)*(1+IF(AU172&gt;0,'Attrition Modeling'!$N$9,0)))</f>
        <v>0</v>
      </c>
      <c r="AV40" s="799">
        <f>(AU40+AV172)*(1-IFERROR(IF(AV$2+$F40&lt;=12,SUMIFS('Attrition Modeling'!$D:$D,'Attrition Modeling'!$B:$B,'IP Attrition'!$D40,'Attrition Modeling'!$C:$C,'IP Attrition'!AV$1),VLOOKUP($F40+AV$2,$A$6:$C$106,2,FALSE)*VLOOKUP(AV$1,'Attrition Modeling'!$L$15:$N$27,IF(AV$2+$F40&lt;=24,2,3),FALSE)),$C$3)*(1+Projection!AX$16)*(1+IF(AV172&gt;0,'Attrition Modeling'!$N$9,0)))</f>
        <v>0</v>
      </c>
      <c r="AW40" s="799">
        <f>(AV40+AW172)*(1-IFERROR(IF(AW$2+$F40&lt;=12,SUMIFS('Attrition Modeling'!$D:$D,'Attrition Modeling'!$B:$B,'IP Attrition'!$D40,'Attrition Modeling'!$C:$C,'IP Attrition'!AW$1),VLOOKUP($F40+AW$2,$A$6:$C$106,2,FALSE)*VLOOKUP(AW$1,'Attrition Modeling'!$L$15:$N$27,IF(AW$2+$F40&lt;=24,2,3),FALSE)),$C$3)*(1+Projection!AY$16)*(1+IF(AW172&gt;0,'Attrition Modeling'!$N$9,0)))</f>
        <v>0</v>
      </c>
      <c r="AX40" s="799">
        <f>(AW40+AX172)*(1-IFERROR(IF(AX$2+$F40&lt;=12,SUMIFS('Attrition Modeling'!$D:$D,'Attrition Modeling'!$B:$B,'IP Attrition'!$D40,'Attrition Modeling'!$C:$C,'IP Attrition'!AX$1),VLOOKUP($F40+AX$2,$A$6:$C$106,2,FALSE)*VLOOKUP(AX$1,'Attrition Modeling'!$L$15:$N$27,IF(AX$2+$F40&lt;=24,2,3),FALSE)),$C$3)*(1+Projection!AZ$16)*(1+IF(AX172&gt;0,'Attrition Modeling'!$N$9,0)))</f>
        <v>0</v>
      </c>
      <c r="AY40" s="799">
        <f>(AX40+AY172)*(1-IFERROR(IF(AY$2+$F40&lt;=12,SUMIFS('Attrition Modeling'!$D:$D,'Attrition Modeling'!$B:$B,'IP Attrition'!$D40,'Attrition Modeling'!$C:$C,'IP Attrition'!AY$1),VLOOKUP($F40+AY$2,$A$6:$C$106,2,FALSE)*VLOOKUP(AY$1,'Attrition Modeling'!$L$15:$N$27,IF(AY$2+$F40&lt;=24,2,3),FALSE)),$C$3)*(1+Projection!BA$16)*(1+IF(AY172&gt;0,'Attrition Modeling'!$N$9,0)))</f>
        <v>0</v>
      </c>
      <c r="AZ40" s="799">
        <f>(AY40+AZ172)*(1-IFERROR(IF(AZ$2+$F40&lt;=12,SUMIFS('Attrition Modeling'!$D:$D,'Attrition Modeling'!$B:$B,'IP Attrition'!$D40,'Attrition Modeling'!$C:$C,'IP Attrition'!AZ$1),VLOOKUP($F40+AZ$2,$A$6:$C$106,2,FALSE)*VLOOKUP(AZ$1,'Attrition Modeling'!$L$15:$N$27,IF(AZ$2+$F40&lt;=24,2,3),FALSE)),$C$3)*(1+Projection!BB$16)*(1+IF(AZ172&gt;0,'Attrition Modeling'!$N$9,0)))</f>
        <v>0</v>
      </c>
      <c r="BA40" s="799">
        <f>(AZ40+BA172)*(1-IFERROR(IF(BA$2+$F40&lt;=12,SUMIFS('Attrition Modeling'!$D:$D,'Attrition Modeling'!$B:$B,'IP Attrition'!$D40,'Attrition Modeling'!$C:$C,'IP Attrition'!BA$1),VLOOKUP($F40+BA$2,$A$6:$C$106,2,FALSE)*VLOOKUP(BA$1,'Attrition Modeling'!$L$15:$N$27,IF(BA$2+$F40&lt;=24,2,3),FALSE)),$C$3)*(1+Projection!BC$16)*(1+IF(BA172&gt;0,'Attrition Modeling'!$N$9,0)))</f>
        <v>0</v>
      </c>
      <c r="BB40" s="799">
        <f>(BA40+BB172)*(1-IFERROR(IF(BB$2+$F40&lt;=12,SUMIFS('Attrition Modeling'!$D:$D,'Attrition Modeling'!$B:$B,'IP Attrition'!$D40,'Attrition Modeling'!$C:$C,'IP Attrition'!BB$1),VLOOKUP($F40+BB$2,$A$6:$C$106,2,FALSE)*VLOOKUP(BB$1,'Attrition Modeling'!$L$15:$N$27,IF(BB$2+$F40&lt;=24,2,3),FALSE)),$C$3)*(1+Projection!BD$16)*(1+IF(BB172&gt;0,'Attrition Modeling'!$N$9,0)))</f>
        <v>0</v>
      </c>
      <c r="BC40" s="799">
        <f>(BB40+BC172)*(1-IFERROR(IF(BC$2+$F40&lt;=12,SUMIFS('Attrition Modeling'!$D:$D,'Attrition Modeling'!$B:$B,'IP Attrition'!$D40,'Attrition Modeling'!$C:$C,'IP Attrition'!BC$1),VLOOKUP($F40+BC$2,$A$6:$C$106,2,FALSE)*VLOOKUP(BC$1,'Attrition Modeling'!$L$15:$N$27,IF(BC$2+$F40&lt;=24,2,3),FALSE)),$C$3)*(1+Projection!BE$16)*(1+IF(BC172&gt;0,'Attrition Modeling'!$N$9,0)))</f>
        <v>0</v>
      </c>
      <c r="BD40" s="799">
        <f>(BC40+BD172)*(1-IFERROR(IF(BD$2+$F40&lt;=12,SUMIFS('Attrition Modeling'!$D:$D,'Attrition Modeling'!$B:$B,'IP Attrition'!$D40,'Attrition Modeling'!$C:$C,'IP Attrition'!BD$1),VLOOKUP($F40+BD$2,$A$6:$C$106,2,FALSE)*VLOOKUP(BD$1,'Attrition Modeling'!$L$15:$N$27,IF(BD$2+$F40&lt;=24,2,3),FALSE)),$C$3)*(1+Projection!BF$16)*(1+IF(BD172&gt;0,'Attrition Modeling'!$N$9,0)))</f>
        <v>0</v>
      </c>
      <c r="BE40" s="799">
        <f>(BD40+BE172)*(1-IFERROR(IF(BE$2+$F40&lt;=12,SUMIFS('Attrition Modeling'!$D:$D,'Attrition Modeling'!$B:$B,'IP Attrition'!$D40,'Attrition Modeling'!$C:$C,'IP Attrition'!BE$1),VLOOKUP($F40+BE$2,$A$6:$C$106,2,FALSE)*VLOOKUP(BE$1,'Attrition Modeling'!$L$15:$N$27,IF(BE$2+$F40&lt;=24,2,3),FALSE)),$C$3)*(1+Projection!BG$16)*(1+IF(BE172&gt;0,'Attrition Modeling'!$N$9,0)))</f>
        <v>0</v>
      </c>
      <c r="BF40" s="799">
        <f>(BE40+BF172)*(1-IFERROR(IF(BF$2+$F40&lt;=12,SUMIFS('Attrition Modeling'!$D:$D,'Attrition Modeling'!$B:$B,'IP Attrition'!$D40,'Attrition Modeling'!$C:$C,'IP Attrition'!BF$1),VLOOKUP($F40+BF$2,$A$6:$C$106,2,FALSE)*VLOOKUP(BF$1,'Attrition Modeling'!$L$15:$N$27,IF(BF$2+$F40&lt;=24,2,3),FALSE)),$C$3)*(1+Projection!BH$16)*(1+IF(BF172&gt;0,'Attrition Modeling'!$N$9,0)))</f>
        <v>0</v>
      </c>
      <c r="BG40" s="799">
        <f>(BF40+BG172)*(1-IFERROR(IF(BG$2+$F40&lt;=12,SUMIFS('Attrition Modeling'!$D:$D,'Attrition Modeling'!$B:$B,'IP Attrition'!$D40,'Attrition Modeling'!$C:$C,'IP Attrition'!BG$1),VLOOKUP($F40+BG$2,$A$6:$C$106,2,FALSE)*VLOOKUP(BG$1,'Attrition Modeling'!$L$15:$N$27,IF(BG$2+$F40&lt;=24,2,3),FALSE)),$C$3)*(1+Projection!BI$16)*(1+IF(BG172&gt;0,'Attrition Modeling'!$N$9,0)))</f>
        <v>0</v>
      </c>
      <c r="BH40" s="799">
        <f>(BG40+BH172)*(1-IFERROR(IF(BH$2+$F40&lt;=12,SUMIFS('Attrition Modeling'!$D:$D,'Attrition Modeling'!$B:$B,'IP Attrition'!$D40,'Attrition Modeling'!$C:$C,'IP Attrition'!BH$1),VLOOKUP($F40+BH$2,$A$6:$C$106,2,FALSE)*VLOOKUP(BH$1,'Attrition Modeling'!$L$15:$N$27,IF(BH$2+$F40&lt;=24,2,3),FALSE)),$C$3)*(1+Projection!BJ$16)*(1+IF(BH172&gt;0,'Attrition Modeling'!$N$9,0)))</f>
        <v>0</v>
      </c>
      <c r="BI40" s="799">
        <f>(BH40+BI172)*(1-IFERROR(IF(BI$2+$F40&lt;=12,SUMIFS('Attrition Modeling'!$D:$D,'Attrition Modeling'!$B:$B,'IP Attrition'!$D40,'Attrition Modeling'!$C:$C,'IP Attrition'!BI$1),VLOOKUP($F40+BI$2,$A$6:$C$106,2,FALSE)*VLOOKUP(BI$1,'Attrition Modeling'!$L$15:$N$27,IF(BI$2+$F40&lt;=24,2,3),FALSE)),$C$3)*(1+Projection!BK$16)*(1+IF(BI172&gt;0,'Attrition Modeling'!$N$9,0)))</f>
        <v>0</v>
      </c>
      <c r="BJ40" s="799">
        <f>(BI40+BJ172)*(1-IFERROR(IF(BJ$2+$F40&lt;=12,SUMIFS('Attrition Modeling'!$D:$D,'Attrition Modeling'!$B:$B,'IP Attrition'!$D40,'Attrition Modeling'!$C:$C,'IP Attrition'!BJ$1),VLOOKUP($F40+BJ$2,$A$6:$C$106,2,FALSE)*VLOOKUP(BJ$1,'Attrition Modeling'!$L$15:$N$27,IF(BJ$2+$F40&lt;=24,2,3),FALSE)),$C$3)*(1+Projection!BL$16)*(1+IF(BJ172&gt;0,'Attrition Modeling'!$N$9,0)))</f>
        <v>0</v>
      </c>
      <c r="BK40" s="799">
        <f>(BJ40+BK172)*(1-IFERROR(IF(BK$2+$F40&lt;=12,SUMIFS('Attrition Modeling'!$D:$D,'Attrition Modeling'!$B:$B,'IP Attrition'!$D40,'Attrition Modeling'!$C:$C,'IP Attrition'!BK$1),VLOOKUP($F40+BK$2,$A$6:$C$106,2,FALSE)*VLOOKUP(BK$1,'Attrition Modeling'!$L$15:$N$27,IF(BK$2+$F40&lt;=24,2,3),FALSE)),$C$3)*(1+Projection!BM$16)*(1+IF(BK172&gt;0,'Attrition Modeling'!$N$9,0)))</f>
        <v>0</v>
      </c>
      <c r="BL40" s="799">
        <f>(BK40+BL172)*(1-IFERROR(IF(BL$2+$F40&lt;=12,SUMIFS('Attrition Modeling'!$D:$D,'Attrition Modeling'!$B:$B,'IP Attrition'!$D40,'Attrition Modeling'!$C:$C,'IP Attrition'!BL$1),VLOOKUP($F40+BL$2,$A$6:$C$106,2,FALSE)*VLOOKUP(BL$1,'Attrition Modeling'!$L$15:$N$27,IF(BL$2+$F40&lt;=24,2,3),FALSE)),$C$3)*(1+Projection!BN$16)*(1+IF(BL172&gt;0,'Attrition Modeling'!$N$9,0)))</f>
        <v>0</v>
      </c>
      <c r="BM40" s="799">
        <f>(BL40+BM172)*(1-IFERROR(IF(BM$2+$F40&lt;=12,SUMIFS('Attrition Modeling'!$D:$D,'Attrition Modeling'!$B:$B,'IP Attrition'!$D40,'Attrition Modeling'!$C:$C,'IP Attrition'!BM$1),VLOOKUP($F40+BM$2,$A$6:$C$106,2,FALSE)*VLOOKUP(BM$1,'Attrition Modeling'!$L$15:$N$27,IF(BM$2+$F40&lt;=24,2,3),FALSE)),$C$3)*(1+Projection!BO$16)*(1+IF(BM172&gt;0,'Attrition Modeling'!$N$9,0)))</f>
        <v>0</v>
      </c>
      <c r="BN40" s="799">
        <f>(BM40+BN172)*(1-IFERROR(IF(BN$2+$F40&lt;=12,SUMIFS('Attrition Modeling'!$D:$D,'Attrition Modeling'!$B:$B,'IP Attrition'!$D40,'Attrition Modeling'!$C:$C,'IP Attrition'!BN$1),VLOOKUP($F40+BN$2,$A$6:$C$106,2,FALSE)*VLOOKUP(BN$1,'Attrition Modeling'!$L$15:$N$27,IF(BN$2+$F40&lt;=24,2,3),FALSE)),$C$3)*(1+Projection!BP$16)*(1+IF(BN172&gt;0,'Attrition Modeling'!$N$9,0)))</f>
        <v>0</v>
      </c>
      <c r="BO40" s="799">
        <f>(BN40+BO172)*(1-IFERROR(IF(BO$2+$F40&lt;=12,SUMIFS('Attrition Modeling'!$D:$D,'Attrition Modeling'!$B:$B,'IP Attrition'!$D40,'Attrition Modeling'!$C:$C,'IP Attrition'!BO$1),VLOOKUP($F40+BO$2,$A$6:$C$106,2,FALSE)*VLOOKUP(BO$1,'Attrition Modeling'!$L$15:$N$27,IF(BO$2+$F40&lt;=24,2,3),FALSE)),$C$3)*(1+Projection!BV$16)*(1+IF(BO172&gt;0,'Attrition Modeling'!$N$9,0)))</f>
        <v>0</v>
      </c>
      <c r="BP40" s="799">
        <f>(BO40+BP172)*(1-IFERROR(IF(BP$2+$F40&lt;=12,SUMIFS('Attrition Modeling'!$D:$D,'Attrition Modeling'!$B:$B,'IP Attrition'!$D40,'Attrition Modeling'!$C:$C,'IP Attrition'!BP$1),VLOOKUP($F40+BP$2,$A$6:$C$106,2,FALSE)*VLOOKUP(BP$1,'Attrition Modeling'!$L$15:$N$27,IF(BP$2+$F40&lt;=24,2,3),FALSE)),$C$3)*(1+Projection!BW$16)*(1+IF(BP172&gt;0,'Attrition Modeling'!$N$9,0)))</f>
        <v>0</v>
      </c>
      <c r="BQ40" s="799">
        <f>(BP40+BQ172)*(1-IFERROR(IF(BQ$2+$F40&lt;=12,SUMIFS('Attrition Modeling'!$D:$D,'Attrition Modeling'!$B:$B,'IP Attrition'!$D40,'Attrition Modeling'!$C:$C,'IP Attrition'!BQ$1),VLOOKUP($F40+BQ$2,$A$6:$C$106,2,FALSE)*VLOOKUP(BQ$1,'Attrition Modeling'!$L$15:$N$27,IF(BQ$2+$F40&lt;=24,2,3),FALSE)),$C$3)*(1+Projection!BX$16)*(1+IF(BQ172&gt;0,'Attrition Modeling'!$N$9,0)))</f>
        <v>0</v>
      </c>
      <c r="BR40" s="799">
        <f>(BQ40+BR172)*(1-IFERROR(IF(BR$2+$F40&lt;=12,SUMIFS('Attrition Modeling'!$D:$D,'Attrition Modeling'!$B:$B,'IP Attrition'!$D40,'Attrition Modeling'!$C:$C,'IP Attrition'!BR$1),VLOOKUP($F40+BR$2,$A$6:$C$106,2,FALSE)*VLOOKUP(BR$1,'Attrition Modeling'!$L$15:$N$27,IF(BR$2+$F40&lt;=24,2,3),FALSE)),$C$3)*(1+Projection!BY$16)*(1+IF(BR172&gt;0,'Attrition Modeling'!$N$9,0)))</f>
        <v>0</v>
      </c>
      <c r="BS40" s="799">
        <f>(BR40+BS172)*(1-IFERROR(IF(BS$2+$F40&lt;=12,SUMIFS('Attrition Modeling'!$D:$D,'Attrition Modeling'!$B:$B,'IP Attrition'!$D40,'Attrition Modeling'!$C:$C,'IP Attrition'!BS$1),VLOOKUP($F40+BS$2,$A$6:$C$106,2,FALSE)*VLOOKUP(BS$1,'Attrition Modeling'!$L$15:$N$27,IF(BS$2+$F40&lt;=24,2,3),FALSE)),$C$3)*(1+Projection!BZ$16)*(1+IF(BS172&gt;0,'Attrition Modeling'!$N$9,0)))</f>
        <v>0</v>
      </c>
      <c r="BT40" s="799" t="e">
        <f>(BS40+BT172)*(1-IFERROR(IF(BT$2+$F40&lt;=12,SUMIFS('Attrition Modeling'!$D:$D,'Attrition Modeling'!$B:$B,'IP Attrition'!$D40,'Attrition Modeling'!$C:$C,'IP Attrition'!BT$1),VLOOKUP($F40+BT$2,$A$6:$C$106,2,FALSE)*VLOOKUP(BT$1,'Attrition Modeling'!$L$15:$N$27,IF(BT$2+$F40&lt;=24,2,3),FALSE)),$C$3)*(1+Projection!CA$16)*(1+IF(BT172&gt;0,'Attrition Modeling'!$N$9,0)))</f>
        <v>#REF!</v>
      </c>
      <c r="BU40" s="799" t="e">
        <f>(BT40+BU172)*(1-IFERROR(IF(BU$2+$F40&lt;=12,SUMIFS('Attrition Modeling'!$D:$D,'Attrition Modeling'!$B:$B,'IP Attrition'!$D40,'Attrition Modeling'!$C:$C,'IP Attrition'!BU$1),VLOOKUP($F40+BU$2,$A$6:$C$106,2,FALSE)*VLOOKUP(BU$1,'Attrition Modeling'!$L$15:$N$27,IF(BU$2+$F40&lt;=24,2,3),FALSE)),$C$3)*(1+Projection!CB$16)*(1+IF(BU172&gt;0,'Attrition Modeling'!$N$9,0)))</f>
        <v>#REF!</v>
      </c>
    </row>
    <row r="41" spans="1:73" ht="14.25" customHeight="1" x14ac:dyDescent="0.2">
      <c r="A41" s="9">
        <v>34</v>
      </c>
      <c r="B41" s="25">
        <f>MAX('Attrition Modeling'!H38,$C$3)*(1-Summary!$C$20)</f>
        <v>3.1048497586196516E-2</v>
      </c>
      <c r="C41" s="24" t="e">
        <f t="shared" si="3"/>
        <v>#DIV/0!</v>
      </c>
      <c r="D41" s="11">
        <f t="shared" si="1"/>
        <v>-38</v>
      </c>
      <c r="E41" s="807">
        <f t="array" ref="E41">INDEX('Attrition Modeling'!$X$2:$AF$63,MATCH($F41,'Attrition Modeling'!$X$2:$X$63,0),MATCH(Inputs!$C$10,'Attrition Modeling'!$X$2:$AF$2,0))</f>
        <v>0</v>
      </c>
      <c r="F41" s="11">
        <f t="shared" si="2"/>
        <v>38</v>
      </c>
      <c r="G41" s="799">
        <f>Summary!$C$25*$E41</f>
        <v>0</v>
      </c>
      <c r="H41" s="799">
        <f>(G41+H173)*(1-IFERROR(IF(H$2+$F41&lt;=12,SUMIFS('Attrition Modeling'!$D:$D,'Attrition Modeling'!$B:$B,'IP Attrition'!$D41,'Attrition Modeling'!$C:$C,'IP Attrition'!H$1),VLOOKUP($F41+H$2,$A$6:$C$106,2,FALSE)*VLOOKUP(H$1,'Attrition Modeling'!$L$15:$N$27,IF(H$2+$F41&lt;=24,2,3),FALSE)),$C$3)*(1+Projection!J$16)*(1+IF(H173&gt;0,'Attrition Modeling'!$N$9,0)))</f>
        <v>0</v>
      </c>
      <c r="I41" s="799">
        <f>(H41+I173)*(1-IFERROR(IF(I$2+$F41&lt;=12,SUMIFS('Attrition Modeling'!$D:$D,'Attrition Modeling'!$B:$B,'IP Attrition'!$D41,'Attrition Modeling'!$C:$C,'IP Attrition'!I$1),VLOOKUP($F41+I$2,$A$6:$C$106,2,FALSE)*VLOOKUP(I$1,'Attrition Modeling'!$L$15:$N$27,IF(I$2+$F41&lt;=24,2,3),FALSE)),$C$3)*(1+Projection!K$16)*(1+IF(I173&gt;0,'Attrition Modeling'!$N$9,0)))</f>
        <v>0</v>
      </c>
      <c r="J41" s="799">
        <f>(I41+J173)*(1-IFERROR(IF(J$2+$F41&lt;=12,SUMIFS('Attrition Modeling'!$D:$D,'Attrition Modeling'!$B:$B,'IP Attrition'!$D41,'Attrition Modeling'!$C:$C,'IP Attrition'!J$1),VLOOKUP($F41+J$2,$A$6:$C$106,2,FALSE)*VLOOKUP(J$1,'Attrition Modeling'!$L$15:$N$27,IF(J$2+$F41&lt;=24,2,3),FALSE)),$C$3)*(1+Projection!L$16)*(1+IF(J173&gt;0,'Attrition Modeling'!$N$9,0)))</f>
        <v>0</v>
      </c>
      <c r="K41" s="799">
        <f>(J41+K173)*(1-IFERROR(IF(K$2+$F41&lt;=12,SUMIFS('Attrition Modeling'!$D:$D,'Attrition Modeling'!$B:$B,'IP Attrition'!$D41,'Attrition Modeling'!$C:$C,'IP Attrition'!K$1),VLOOKUP($F41+K$2,$A$6:$C$106,2,FALSE)*VLOOKUP(K$1,'Attrition Modeling'!$L$15:$N$27,IF(K$2+$F41&lt;=24,2,3),FALSE)),$C$3)*(1+Projection!M$16)*(1+IF(K173&gt;0,'Attrition Modeling'!$N$9,0)))</f>
        <v>0</v>
      </c>
      <c r="L41" s="799">
        <f>(K41+L173)*(1-IFERROR(IF(L$2+$F41&lt;=12,SUMIFS('Attrition Modeling'!$D:$D,'Attrition Modeling'!$B:$B,'IP Attrition'!$D41,'Attrition Modeling'!$C:$C,'IP Attrition'!L$1),VLOOKUP($F41+L$2,$A$6:$C$106,2,FALSE)*VLOOKUP(L$1,'Attrition Modeling'!$L$15:$N$27,IF(L$2+$F41&lt;=24,2,3),FALSE)),$C$3)*(1+Projection!N$16)*(1+IF(L173&gt;0,'Attrition Modeling'!$N$9,0)))</f>
        <v>0</v>
      </c>
      <c r="M41" s="799">
        <f>(L41+M173)*(1-IFERROR(IF(M$2+$F41&lt;=12,SUMIFS('Attrition Modeling'!$D:$D,'Attrition Modeling'!$B:$B,'IP Attrition'!$D41,'Attrition Modeling'!$C:$C,'IP Attrition'!M$1),VLOOKUP($F41+M$2,$A$6:$C$106,2,FALSE)*VLOOKUP(M$1,'Attrition Modeling'!$L$15:$N$27,IF(M$2+$F41&lt;=24,2,3),FALSE)),$C$3)*(1+Projection!O$16)*(1+IF(M173&gt;0,'Attrition Modeling'!$N$9,0)))</f>
        <v>0</v>
      </c>
      <c r="N41" s="799">
        <f>(M41+N173)*(1-IFERROR(IF(N$2+$F41&lt;=12,SUMIFS('Attrition Modeling'!$D:$D,'Attrition Modeling'!$B:$B,'IP Attrition'!$D41,'Attrition Modeling'!$C:$C,'IP Attrition'!N$1),VLOOKUP($F41+N$2,$A$6:$C$106,2,FALSE)*VLOOKUP(N$1,'Attrition Modeling'!$L$15:$N$27,IF(N$2+$F41&lt;=24,2,3),FALSE)),$C$3)*(1+Projection!P$16)*(1+IF(N173&gt;0,'Attrition Modeling'!$N$9,0)))</f>
        <v>0</v>
      </c>
      <c r="O41" s="799">
        <f>(N41+O173)*(1-IFERROR(IF(O$2+$F41&lt;=12,SUMIFS('Attrition Modeling'!$D:$D,'Attrition Modeling'!$B:$B,'IP Attrition'!$D41,'Attrition Modeling'!$C:$C,'IP Attrition'!O$1),VLOOKUP($F41+O$2,$A$6:$C$106,2,FALSE)*VLOOKUP(O$1,'Attrition Modeling'!$L$15:$N$27,IF(O$2+$F41&lt;=24,2,3),FALSE)),$C$3)*(1+Projection!Q$16)*(1+IF(O173&gt;0,'Attrition Modeling'!$N$9,0)))</f>
        <v>0</v>
      </c>
      <c r="P41" s="799">
        <f>(O41+P173)*(1-IFERROR(IF(P$2+$F41&lt;=12,SUMIFS('Attrition Modeling'!$D:$D,'Attrition Modeling'!$B:$B,'IP Attrition'!$D41,'Attrition Modeling'!$C:$C,'IP Attrition'!P$1),VLOOKUP($F41+P$2,$A$6:$C$106,2,FALSE)*VLOOKUP(P$1,'Attrition Modeling'!$L$15:$N$27,IF(P$2+$F41&lt;=24,2,3),FALSE)),$C$3)*(1+Projection!R$16)*(1+IF(P173&gt;0,'Attrition Modeling'!$N$9,0)))</f>
        <v>0</v>
      </c>
      <c r="Q41" s="799">
        <f>(P41+Q173)*(1-IFERROR(IF(Q$2+$F41&lt;=12,SUMIFS('Attrition Modeling'!$D:$D,'Attrition Modeling'!$B:$B,'IP Attrition'!$D41,'Attrition Modeling'!$C:$C,'IP Attrition'!Q$1),VLOOKUP($F41+Q$2,$A$6:$C$106,2,FALSE)*VLOOKUP(Q$1,'Attrition Modeling'!$L$15:$N$27,IF(Q$2+$F41&lt;=24,2,3),FALSE)),$C$3)*(1+Projection!S$16)*(1+IF(Q173&gt;0,'Attrition Modeling'!$N$9,0)))</f>
        <v>0</v>
      </c>
      <c r="R41" s="799">
        <f>(Q41+R173)*(1-IFERROR(IF(R$2+$F41&lt;=12,SUMIFS('Attrition Modeling'!$D:$D,'Attrition Modeling'!$B:$B,'IP Attrition'!$D41,'Attrition Modeling'!$C:$C,'IP Attrition'!R$1),VLOOKUP($F41+R$2,$A$6:$C$106,2,FALSE)*VLOOKUP(R$1,'Attrition Modeling'!$L$15:$N$27,IF(R$2+$F41&lt;=24,2,3),FALSE)),$C$3)*(1+Projection!T$16)*(1+IF(R173&gt;0,'Attrition Modeling'!$N$9,0)))</f>
        <v>0</v>
      </c>
      <c r="S41" s="799">
        <f>(R41+S173)*(1-IFERROR(IF(S$2+$F41&lt;=12,SUMIFS('Attrition Modeling'!$D:$D,'Attrition Modeling'!$B:$B,'IP Attrition'!$D41,'Attrition Modeling'!$C:$C,'IP Attrition'!S$1),VLOOKUP($F41+S$2,$A$6:$C$106,2,FALSE)*VLOOKUP(S$1,'Attrition Modeling'!$L$15:$N$27,IF(S$2+$F41&lt;=24,2,3),FALSE)),$C$3)*(1+Projection!U$16)*(1+IF(S173&gt;0,'Attrition Modeling'!$N$9,0)))</f>
        <v>0</v>
      </c>
      <c r="T41" s="799">
        <f>(S41+T173)*(1-IFERROR(IF(T$2+$F41&lt;=12,SUMIFS('Attrition Modeling'!$D:$D,'Attrition Modeling'!$B:$B,'IP Attrition'!$D41,'Attrition Modeling'!$C:$C,'IP Attrition'!T$1),VLOOKUP($F41+T$2,$A$6:$C$106,2,FALSE)*VLOOKUP(T$1,'Attrition Modeling'!$L$15:$N$27,IF(T$2+$F41&lt;=24,2,3),FALSE)),$C$3)*(1+Projection!V$16)*(1+IF(T173&gt;0,'Attrition Modeling'!$N$9,0)))</f>
        <v>0</v>
      </c>
      <c r="U41" s="799">
        <f>(T41+U173)*(1-IFERROR(IF(U$2+$F41&lt;=12,SUMIFS('Attrition Modeling'!$D:$D,'Attrition Modeling'!$B:$B,'IP Attrition'!$D41,'Attrition Modeling'!$C:$C,'IP Attrition'!U$1),VLOOKUP($F41+U$2,$A$6:$C$106,2,FALSE)*VLOOKUP(U$1,'Attrition Modeling'!$L$15:$N$27,IF(U$2+$F41&lt;=24,2,3),FALSE)),$C$3)*(1+Projection!W$16)*(1+IF(U173&gt;0,'Attrition Modeling'!$N$9,0)))</f>
        <v>0</v>
      </c>
      <c r="V41" s="799">
        <f>(U41+V173)*(1-IFERROR(IF(V$2+$F41&lt;=12,SUMIFS('Attrition Modeling'!$D:$D,'Attrition Modeling'!$B:$B,'IP Attrition'!$D41,'Attrition Modeling'!$C:$C,'IP Attrition'!V$1),VLOOKUP($F41+V$2,$A$6:$C$106,2,FALSE)*VLOOKUP(V$1,'Attrition Modeling'!$L$15:$N$27,IF(V$2+$F41&lt;=24,2,3),FALSE)),$C$3)*(1+Projection!X$16)*(1+IF(V173&gt;0,'Attrition Modeling'!$N$9,0)))</f>
        <v>0</v>
      </c>
      <c r="W41" s="799">
        <f>(V41+W173)*(1-IFERROR(IF(W$2+$F41&lt;=12,SUMIFS('Attrition Modeling'!$D:$D,'Attrition Modeling'!$B:$B,'IP Attrition'!$D41,'Attrition Modeling'!$C:$C,'IP Attrition'!W$1),VLOOKUP($F41+W$2,$A$6:$C$106,2,FALSE)*VLOOKUP(W$1,'Attrition Modeling'!$L$15:$N$27,IF(W$2+$F41&lt;=24,2,3),FALSE)),$C$3)*(1+Projection!Y$16)*(1+IF(W173&gt;0,'Attrition Modeling'!$N$9,0)))</f>
        <v>0</v>
      </c>
      <c r="X41" s="799">
        <f>(W41+X173)*(1-IFERROR(IF(X$2+$F41&lt;=12,SUMIFS('Attrition Modeling'!$D:$D,'Attrition Modeling'!$B:$B,'IP Attrition'!$D41,'Attrition Modeling'!$C:$C,'IP Attrition'!X$1),VLOOKUP($F41+X$2,$A$6:$C$106,2,FALSE)*VLOOKUP(X$1,'Attrition Modeling'!$L$15:$N$27,IF(X$2+$F41&lt;=24,2,3),FALSE)),$C$3)*(1+Projection!Z$16)*(1+IF(X173&gt;0,'Attrition Modeling'!$N$9,0)))</f>
        <v>0</v>
      </c>
      <c r="Y41" s="799">
        <f>(X41+Y173)*(1-IFERROR(IF(Y$2+$F41&lt;=12,SUMIFS('Attrition Modeling'!$D:$D,'Attrition Modeling'!$B:$B,'IP Attrition'!$D41,'Attrition Modeling'!$C:$C,'IP Attrition'!Y$1),VLOOKUP($F41+Y$2,$A$6:$C$106,2,FALSE)*VLOOKUP(Y$1,'Attrition Modeling'!$L$15:$N$27,IF(Y$2+$F41&lt;=24,2,3),FALSE)),$C$3)*(1+Projection!AA$16)*(1+IF(Y173&gt;0,'Attrition Modeling'!$N$9,0)))</f>
        <v>0</v>
      </c>
      <c r="Z41" s="799">
        <f>(Y41+Z173)*(1-IFERROR(IF(Z$2+$F41&lt;=12,SUMIFS('Attrition Modeling'!$D:$D,'Attrition Modeling'!$B:$B,'IP Attrition'!$D41,'Attrition Modeling'!$C:$C,'IP Attrition'!Z$1),VLOOKUP($F41+Z$2,$A$6:$C$106,2,FALSE)*VLOOKUP(Z$1,'Attrition Modeling'!$L$15:$N$27,IF(Z$2+$F41&lt;=24,2,3),FALSE)),$C$3)*(1+Projection!AB$16)*(1+IF(Z173&gt;0,'Attrition Modeling'!$N$9,0)))</f>
        <v>0</v>
      </c>
      <c r="AA41" s="799">
        <f>(Z41+AA173)*(1-IFERROR(IF(AA$2+$F41&lt;=12,SUMIFS('Attrition Modeling'!$D:$D,'Attrition Modeling'!$B:$B,'IP Attrition'!$D41,'Attrition Modeling'!$C:$C,'IP Attrition'!AA$1),VLOOKUP($F41+AA$2,$A$6:$C$106,2,FALSE)*VLOOKUP(AA$1,'Attrition Modeling'!$L$15:$N$27,IF(AA$2+$F41&lt;=24,2,3),FALSE)),$C$3)*(1+Projection!AC$16)*(1+IF(AA173&gt;0,'Attrition Modeling'!$N$9,0)))</f>
        <v>0</v>
      </c>
      <c r="AB41" s="799">
        <f>(AA41+AB173)*(1-IFERROR(IF(AB$2+$F41&lt;=12,SUMIFS('Attrition Modeling'!$D:$D,'Attrition Modeling'!$B:$B,'IP Attrition'!$D41,'Attrition Modeling'!$C:$C,'IP Attrition'!AB$1),VLOOKUP($F41+AB$2,$A$6:$C$106,2,FALSE)*VLOOKUP(AB$1,'Attrition Modeling'!$L$15:$N$27,IF(AB$2+$F41&lt;=24,2,3),FALSE)),$C$3)*(1+Projection!AD$16)*(1+IF(AB173&gt;0,'Attrition Modeling'!$N$9,0)))</f>
        <v>0</v>
      </c>
      <c r="AC41" s="799">
        <f>(AB41+AC173)*(1-IFERROR(IF(AC$2+$F41&lt;=12,SUMIFS('Attrition Modeling'!$D:$D,'Attrition Modeling'!$B:$B,'IP Attrition'!$D41,'Attrition Modeling'!$C:$C,'IP Attrition'!AC$1),VLOOKUP($F41+AC$2,$A$6:$C$106,2,FALSE)*VLOOKUP(AC$1,'Attrition Modeling'!$L$15:$N$27,IF(AC$2+$F41&lt;=24,2,3),FALSE)),$C$3)*(1+Projection!AE$16)*(1+IF(AC173&gt;0,'Attrition Modeling'!$N$9,0)))</f>
        <v>0</v>
      </c>
      <c r="AD41" s="799">
        <f>(AC41+AD173)*(1-IFERROR(IF(AD$2+$F41&lt;=12,SUMIFS('Attrition Modeling'!$D:$D,'Attrition Modeling'!$B:$B,'IP Attrition'!$D41,'Attrition Modeling'!$C:$C,'IP Attrition'!AD$1),VLOOKUP($F41+AD$2,$A$6:$C$106,2,FALSE)*VLOOKUP(AD$1,'Attrition Modeling'!$L$15:$N$27,IF(AD$2+$F41&lt;=24,2,3),FALSE)),$C$3)*(1+Projection!AF$16)*(1+IF(AD173&gt;0,'Attrition Modeling'!$N$9,0)))</f>
        <v>0</v>
      </c>
      <c r="AE41" s="799">
        <f>(AD41+AE173)*(1-IFERROR(IF(AE$2+$F41&lt;=12,SUMIFS('Attrition Modeling'!$D:$D,'Attrition Modeling'!$B:$B,'IP Attrition'!$D41,'Attrition Modeling'!$C:$C,'IP Attrition'!AE$1),VLOOKUP($F41+AE$2,$A$6:$C$106,2,FALSE)*VLOOKUP(AE$1,'Attrition Modeling'!$L$15:$N$27,IF(AE$2+$F41&lt;=24,2,3),FALSE)),$C$3)*(1+Projection!AG$16)*(1+IF(AE173&gt;0,'Attrition Modeling'!$N$9,0)))</f>
        <v>0</v>
      </c>
      <c r="AF41" s="799">
        <f>(AE41+AF173)*(1-IFERROR(IF(AF$2+$F41&lt;=12,SUMIFS('Attrition Modeling'!$D:$D,'Attrition Modeling'!$B:$B,'IP Attrition'!$D41,'Attrition Modeling'!$C:$C,'IP Attrition'!AF$1),VLOOKUP($F41+AF$2,$A$6:$C$106,2,FALSE)*VLOOKUP(AF$1,'Attrition Modeling'!$L$15:$N$27,IF(AF$2+$F41&lt;=24,2,3),FALSE)),$C$3)*(1+Projection!AH$16)*(1+IF(AF173&gt;0,'Attrition Modeling'!$N$9,0)))</f>
        <v>0</v>
      </c>
      <c r="AG41" s="799">
        <f>(AF41+AG173)*(1-IFERROR(IF(AG$2+$F41&lt;=12,SUMIFS('Attrition Modeling'!$D:$D,'Attrition Modeling'!$B:$B,'IP Attrition'!$D41,'Attrition Modeling'!$C:$C,'IP Attrition'!AG$1),VLOOKUP($F41+AG$2,$A$6:$C$106,2,FALSE)*VLOOKUP(AG$1,'Attrition Modeling'!$L$15:$N$27,IF(AG$2+$F41&lt;=24,2,3),FALSE)),$C$3)*(1+Projection!AI$16)*(1+IF(AG173&gt;0,'Attrition Modeling'!$N$9,0)))</f>
        <v>0</v>
      </c>
      <c r="AH41" s="799">
        <f>(AG41+AH173)*(1-IFERROR(IF(AH$2+$F41&lt;=12,SUMIFS('Attrition Modeling'!$D:$D,'Attrition Modeling'!$B:$B,'IP Attrition'!$D41,'Attrition Modeling'!$C:$C,'IP Attrition'!AH$1),VLOOKUP($F41+AH$2,$A$6:$C$106,2,FALSE)*VLOOKUP(AH$1,'Attrition Modeling'!$L$15:$N$27,IF(AH$2+$F41&lt;=24,2,3),FALSE)),$C$3)*(1+Projection!AJ$16)*(1+IF(AH173&gt;0,'Attrition Modeling'!$N$9,0)))</f>
        <v>0</v>
      </c>
      <c r="AI41" s="799">
        <f>(AH41+AI173)*(1-IFERROR(IF(AI$2+$F41&lt;=12,SUMIFS('Attrition Modeling'!$D:$D,'Attrition Modeling'!$B:$B,'IP Attrition'!$D41,'Attrition Modeling'!$C:$C,'IP Attrition'!AI$1),VLOOKUP($F41+AI$2,$A$6:$C$106,2,FALSE)*VLOOKUP(AI$1,'Attrition Modeling'!$L$15:$N$27,IF(AI$2+$F41&lt;=24,2,3),FALSE)),$C$3)*(1+Projection!AK$16)*(1+IF(AI173&gt;0,'Attrition Modeling'!$N$9,0)))</f>
        <v>0</v>
      </c>
      <c r="AJ41" s="799">
        <f>(AI41+AJ173)*(1-IFERROR(IF(AJ$2+$F41&lt;=12,SUMIFS('Attrition Modeling'!$D:$D,'Attrition Modeling'!$B:$B,'IP Attrition'!$D41,'Attrition Modeling'!$C:$C,'IP Attrition'!AJ$1),VLOOKUP($F41+AJ$2,$A$6:$C$106,2,FALSE)*VLOOKUP(AJ$1,'Attrition Modeling'!$L$15:$N$27,IF(AJ$2+$F41&lt;=24,2,3),FALSE)),$C$3)*(1+Projection!AL$16)*(1+IF(AJ173&gt;0,'Attrition Modeling'!$N$9,0)))</f>
        <v>0</v>
      </c>
      <c r="AK41" s="799">
        <f>(AJ41+AK173)*(1-IFERROR(IF(AK$2+$F41&lt;=12,SUMIFS('Attrition Modeling'!$D:$D,'Attrition Modeling'!$B:$B,'IP Attrition'!$D41,'Attrition Modeling'!$C:$C,'IP Attrition'!AK$1),VLOOKUP($F41+AK$2,$A$6:$C$106,2,FALSE)*VLOOKUP(AK$1,'Attrition Modeling'!$L$15:$N$27,IF(AK$2+$F41&lt;=24,2,3),FALSE)),$C$3)*(1+Projection!AM$16)*(1+IF(AK173&gt;0,'Attrition Modeling'!$N$9,0)))</f>
        <v>0</v>
      </c>
      <c r="AL41" s="799">
        <f>(AK41+AL173)*(1-IFERROR(IF(AL$2+$F41&lt;=12,SUMIFS('Attrition Modeling'!$D:$D,'Attrition Modeling'!$B:$B,'IP Attrition'!$D41,'Attrition Modeling'!$C:$C,'IP Attrition'!AL$1),VLOOKUP($F41+AL$2,$A$6:$C$106,2,FALSE)*VLOOKUP(AL$1,'Attrition Modeling'!$L$15:$N$27,IF(AL$2+$F41&lt;=24,2,3),FALSE)),$C$3)*(1+Projection!AN$16)*(1+IF(AL173&gt;0,'Attrition Modeling'!$N$9,0)))</f>
        <v>0</v>
      </c>
      <c r="AM41" s="799">
        <f>(AL41+AM173)*(1-IFERROR(IF(AM$2+$F41&lt;=12,SUMIFS('Attrition Modeling'!$D:$D,'Attrition Modeling'!$B:$B,'IP Attrition'!$D41,'Attrition Modeling'!$C:$C,'IP Attrition'!AM$1),VLOOKUP($F41+AM$2,$A$6:$C$106,2,FALSE)*VLOOKUP(AM$1,'Attrition Modeling'!$L$15:$N$27,IF(AM$2+$F41&lt;=24,2,3),FALSE)),$C$3)*(1+Projection!AO$16)*(1+IF(AM173&gt;0,'Attrition Modeling'!$N$9,0)))</f>
        <v>0</v>
      </c>
      <c r="AN41" s="799">
        <f>(AM41+AN173)*(1-IFERROR(IF(AN$2+$F41&lt;=12,SUMIFS('Attrition Modeling'!$D:$D,'Attrition Modeling'!$B:$B,'IP Attrition'!$D41,'Attrition Modeling'!$C:$C,'IP Attrition'!AN$1),VLOOKUP($F41+AN$2,$A$6:$C$106,2,FALSE)*VLOOKUP(AN$1,'Attrition Modeling'!$L$15:$N$27,IF(AN$2+$F41&lt;=24,2,3),FALSE)),$C$3)*(1+Projection!AP$16)*(1+IF(AN173&gt;0,'Attrition Modeling'!$N$9,0)))</f>
        <v>0</v>
      </c>
      <c r="AO41" s="799">
        <f>(AN41+AO173)*(1-IFERROR(IF(AO$2+$F41&lt;=12,SUMIFS('Attrition Modeling'!$D:$D,'Attrition Modeling'!$B:$B,'IP Attrition'!$D41,'Attrition Modeling'!$C:$C,'IP Attrition'!AO$1),VLOOKUP($F41+AO$2,$A$6:$C$106,2,FALSE)*VLOOKUP(AO$1,'Attrition Modeling'!$L$15:$N$27,IF(AO$2+$F41&lt;=24,2,3),FALSE)),$C$3)*(1+Projection!AQ$16)*(1+IF(AO173&gt;0,'Attrition Modeling'!$N$9,0)))</f>
        <v>0</v>
      </c>
      <c r="AP41" s="799">
        <f>(AO41+AP173)*(1-IFERROR(IF(AP$2+$F41&lt;=12,SUMIFS('Attrition Modeling'!$D:$D,'Attrition Modeling'!$B:$B,'IP Attrition'!$D41,'Attrition Modeling'!$C:$C,'IP Attrition'!AP$1),VLOOKUP($F41+AP$2,$A$6:$C$106,2,FALSE)*VLOOKUP(AP$1,'Attrition Modeling'!$L$15:$N$27,IF(AP$2+$F41&lt;=24,2,3),FALSE)),$C$3)*(1+Projection!AR$16)*(1+IF(AP173&gt;0,'Attrition Modeling'!$N$9,0)))</f>
        <v>0</v>
      </c>
      <c r="AQ41" s="799">
        <f>(AP41+AQ173)*(1-IFERROR(IF(AQ$2+$F41&lt;=12,SUMIFS('Attrition Modeling'!$D:$D,'Attrition Modeling'!$B:$B,'IP Attrition'!$D41,'Attrition Modeling'!$C:$C,'IP Attrition'!AQ$1),VLOOKUP($F41+AQ$2,$A$6:$C$106,2,FALSE)*VLOOKUP(AQ$1,'Attrition Modeling'!$L$15:$N$27,IF(AQ$2+$F41&lt;=24,2,3),FALSE)),$C$3)*(1+Projection!AS$16)*(1+IF(AQ173&gt;0,'Attrition Modeling'!$N$9,0)))</f>
        <v>0</v>
      </c>
      <c r="AR41" s="799">
        <f>(AQ41+AR173)*(1-IFERROR(IF(AR$2+$F41&lt;=12,SUMIFS('Attrition Modeling'!$D:$D,'Attrition Modeling'!$B:$B,'IP Attrition'!$D41,'Attrition Modeling'!$C:$C,'IP Attrition'!AR$1),VLOOKUP($F41+AR$2,$A$6:$C$106,2,FALSE)*VLOOKUP(AR$1,'Attrition Modeling'!$L$15:$N$27,IF(AR$2+$F41&lt;=24,2,3),FALSE)),$C$3)*(1+Projection!AT$16)*(1+IF(AR173&gt;0,'Attrition Modeling'!$N$9,0)))</f>
        <v>0</v>
      </c>
      <c r="AS41" s="799">
        <f>(AR41+AS173)*(1-IFERROR(IF(AS$2+$F41&lt;=12,SUMIFS('Attrition Modeling'!$D:$D,'Attrition Modeling'!$B:$B,'IP Attrition'!$D41,'Attrition Modeling'!$C:$C,'IP Attrition'!AS$1),VLOOKUP($F41+AS$2,$A$6:$C$106,2,FALSE)*VLOOKUP(AS$1,'Attrition Modeling'!$L$15:$N$27,IF(AS$2+$F41&lt;=24,2,3),FALSE)),$C$3)*(1+Projection!AU$16)*(1+IF(AS173&gt;0,'Attrition Modeling'!$N$9,0)))</f>
        <v>0</v>
      </c>
      <c r="AT41" s="799">
        <f>(AS41+AT173)*(1-IFERROR(IF(AT$2+$F41&lt;=12,SUMIFS('Attrition Modeling'!$D:$D,'Attrition Modeling'!$B:$B,'IP Attrition'!$D41,'Attrition Modeling'!$C:$C,'IP Attrition'!AT$1),VLOOKUP($F41+AT$2,$A$6:$C$106,2,FALSE)*VLOOKUP(AT$1,'Attrition Modeling'!$L$15:$N$27,IF(AT$2+$F41&lt;=24,2,3),FALSE)),$C$3)*(1+Projection!AV$16)*(1+IF(AT173&gt;0,'Attrition Modeling'!$N$9,0)))</f>
        <v>0</v>
      </c>
      <c r="AU41" s="799">
        <f>(AT41+AU173)*(1-IFERROR(IF(AU$2+$F41&lt;=12,SUMIFS('Attrition Modeling'!$D:$D,'Attrition Modeling'!$B:$B,'IP Attrition'!$D41,'Attrition Modeling'!$C:$C,'IP Attrition'!AU$1),VLOOKUP($F41+AU$2,$A$6:$C$106,2,FALSE)*VLOOKUP(AU$1,'Attrition Modeling'!$L$15:$N$27,IF(AU$2+$F41&lt;=24,2,3),FALSE)),$C$3)*(1+Projection!AW$16)*(1+IF(AU173&gt;0,'Attrition Modeling'!$N$9,0)))</f>
        <v>0</v>
      </c>
      <c r="AV41" s="799">
        <f>(AU41+AV173)*(1-IFERROR(IF(AV$2+$F41&lt;=12,SUMIFS('Attrition Modeling'!$D:$D,'Attrition Modeling'!$B:$B,'IP Attrition'!$D41,'Attrition Modeling'!$C:$C,'IP Attrition'!AV$1),VLOOKUP($F41+AV$2,$A$6:$C$106,2,FALSE)*VLOOKUP(AV$1,'Attrition Modeling'!$L$15:$N$27,IF(AV$2+$F41&lt;=24,2,3),FALSE)),$C$3)*(1+Projection!AX$16)*(1+IF(AV173&gt;0,'Attrition Modeling'!$N$9,0)))</f>
        <v>0</v>
      </c>
      <c r="AW41" s="799">
        <f>(AV41+AW173)*(1-IFERROR(IF(AW$2+$F41&lt;=12,SUMIFS('Attrition Modeling'!$D:$D,'Attrition Modeling'!$B:$B,'IP Attrition'!$D41,'Attrition Modeling'!$C:$C,'IP Attrition'!AW$1),VLOOKUP($F41+AW$2,$A$6:$C$106,2,FALSE)*VLOOKUP(AW$1,'Attrition Modeling'!$L$15:$N$27,IF(AW$2+$F41&lt;=24,2,3),FALSE)),$C$3)*(1+Projection!AY$16)*(1+IF(AW173&gt;0,'Attrition Modeling'!$N$9,0)))</f>
        <v>0</v>
      </c>
      <c r="AX41" s="799">
        <f>(AW41+AX173)*(1-IFERROR(IF(AX$2+$F41&lt;=12,SUMIFS('Attrition Modeling'!$D:$D,'Attrition Modeling'!$B:$B,'IP Attrition'!$D41,'Attrition Modeling'!$C:$C,'IP Attrition'!AX$1),VLOOKUP($F41+AX$2,$A$6:$C$106,2,FALSE)*VLOOKUP(AX$1,'Attrition Modeling'!$L$15:$N$27,IF(AX$2+$F41&lt;=24,2,3),FALSE)),$C$3)*(1+Projection!AZ$16)*(1+IF(AX173&gt;0,'Attrition Modeling'!$N$9,0)))</f>
        <v>0</v>
      </c>
      <c r="AY41" s="799">
        <f>(AX41+AY173)*(1-IFERROR(IF(AY$2+$F41&lt;=12,SUMIFS('Attrition Modeling'!$D:$D,'Attrition Modeling'!$B:$B,'IP Attrition'!$D41,'Attrition Modeling'!$C:$C,'IP Attrition'!AY$1),VLOOKUP($F41+AY$2,$A$6:$C$106,2,FALSE)*VLOOKUP(AY$1,'Attrition Modeling'!$L$15:$N$27,IF(AY$2+$F41&lt;=24,2,3),FALSE)),$C$3)*(1+Projection!BA$16)*(1+IF(AY173&gt;0,'Attrition Modeling'!$N$9,0)))</f>
        <v>0</v>
      </c>
      <c r="AZ41" s="799">
        <f>(AY41+AZ173)*(1-IFERROR(IF(AZ$2+$F41&lt;=12,SUMIFS('Attrition Modeling'!$D:$D,'Attrition Modeling'!$B:$B,'IP Attrition'!$D41,'Attrition Modeling'!$C:$C,'IP Attrition'!AZ$1),VLOOKUP($F41+AZ$2,$A$6:$C$106,2,FALSE)*VLOOKUP(AZ$1,'Attrition Modeling'!$L$15:$N$27,IF(AZ$2+$F41&lt;=24,2,3),FALSE)),$C$3)*(1+Projection!BB$16)*(1+IF(AZ173&gt;0,'Attrition Modeling'!$N$9,0)))</f>
        <v>0</v>
      </c>
      <c r="BA41" s="799">
        <f>(AZ41+BA173)*(1-IFERROR(IF(BA$2+$F41&lt;=12,SUMIFS('Attrition Modeling'!$D:$D,'Attrition Modeling'!$B:$B,'IP Attrition'!$D41,'Attrition Modeling'!$C:$C,'IP Attrition'!BA$1),VLOOKUP($F41+BA$2,$A$6:$C$106,2,FALSE)*VLOOKUP(BA$1,'Attrition Modeling'!$L$15:$N$27,IF(BA$2+$F41&lt;=24,2,3),FALSE)),$C$3)*(1+Projection!BC$16)*(1+IF(BA173&gt;0,'Attrition Modeling'!$N$9,0)))</f>
        <v>0</v>
      </c>
      <c r="BB41" s="799">
        <f>(BA41+BB173)*(1-IFERROR(IF(BB$2+$F41&lt;=12,SUMIFS('Attrition Modeling'!$D:$D,'Attrition Modeling'!$B:$B,'IP Attrition'!$D41,'Attrition Modeling'!$C:$C,'IP Attrition'!BB$1),VLOOKUP($F41+BB$2,$A$6:$C$106,2,FALSE)*VLOOKUP(BB$1,'Attrition Modeling'!$L$15:$N$27,IF(BB$2+$F41&lt;=24,2,3),FALSE)),$C$3)*(1+Projection!BD$16)*(1+IF(BB173&gt;0,'Attrition Modeling'!$N$9,0)))</f>
        <v>0</v>
      </c>
      <c r="BC41" s="799">
        <f>(BB41+BC173)*(1-IFERROR(IF(BC$2+$F41&lt;=12,SUMIFS('Attrition Modeling'!$D:$D,'Attrition Modeling'!$B:$B,'IP Attrition'!$D41,'Attrition Modeling'!$C:$C,'IP Attrition'!BC$1),VLOOKUP($F41+BC$2,$A$6:$C$106,2,FALSE)*VLOOKUP(BC$1,'Attrition Modeling'!$L$15:$N$27,IF(BC$2+$F41&lt;=24,2,3),FALSE)),$C$3)*(1+Projection!BE$16)*(1+IF(BC173&gt;0,'Attrition Modeling'!$N$9,0)))</f>
        <v>0</v>
      </c>
      <c r="BD41" s="799">
        <f>(BC41+BD173)*(1-IFERROR(IF(BD$2+$F41&lt;=12,SUMIFS('Attrition Modeling'!$D:$D,'Attrition Modeling'!$B:$B,'IP Attrition'!$D41,'Attrition Modeling'!$C:$C,'IP Attrition'!BD$1),VLOOKUP($F41+BD$2,$A$6:$C$106,2,FALSE)*VLOOKUP(BD$1,'Attrition Modeling'!$L$15:$N$27,IF(BD$2+$F41&lt;=24,2,3),FALSE)),$C$3)*(1+Projection!BF$16)*(1+IF(BD173&gt;0,'Attrition Modeling'!$N$9,0)))</f>
        <v>0</v>
      </c>
      <c r="BE41" s="799">
        <f>(BD41+BE173)*(1-IFERROR(IF(BE$2+$F41&lt;=12,SUMIFS('Attrition Modeling'!$D:$D,'Attrition Modeling'!$B:$B,'IP Attrition'!$D41,'Attrition Modeling'!$C:$C,'IP Attrition'!BE$1),VLOOKUP($F41+BE$2,$A$6:$C$106,2,FALSE)*VLOOKUP(BE$1,'Attrition Modeling'!$L$15:$N$27,IF(BE$2+$F41&lt;=24,2,3),FALSE)),$C$3)*(1+Projection!BG$16)*(1+IF(BE173&gt;0,'Attrition Modeling'!$N$9,0)))</f>
        <v>0</v>
      </c>
      <c r="BF41" s="799">
        <f>(BE41+BF173)*(1-IFERROR(IF(BF$2+$F41&lt;=12,SUMIFS('Attrition Modeling'!$D:$D,'Attrition Modeling'!$B:$B,'IP Attrition'!$D41,'Attrition Modeling'!$C:$C,'IP Attrition'!BF$1),VLOOKUP($F41+BF$2,$A$6:$C$106,2,FALSE)*VLOOKUP(BF$1,'Attrition Modeling'!$L$15:$N$27,IF(BF$2+$F41&lt;=24,2,3),FALSE)),$C$3)*(1+Projection!BH$16)*(1+IF(BF173&gt;0,'Attrition Modeling'!$N$9,0)))</f>
        <v>0</v>
      </c>
      <c r="BG41" s="799">
        <f>(BF41+BG173)*(1-IFERROR(IF(BG$2+$F41&lt;=12,SUMIFS('Attrition Modeling'!$D:$D,'Attrition Modeling'!$B:$B,'IP Attrition'!$D41,'Attrition Modeling'!$C:$C,'IP Attrition'!BG$1),VLOOKUP($F41+BG$2,$A$6:$C$106,2,FALSE)*VLOOKUP(BG$1,'Attrition Modeling'!$L$15:$N$27,IF(BG$2+$F41&lt;=24,2,3),FALSE)),$C$3)*(1+Projection!BI$16)*(1+IF(BG173&gt;0,'Attrition Modeling'!$N$9,0)))</f>
        <v>0</v>
      </c>
      <c r="BH41" s="799">
        <f>(BG41+BH173)*(1-IFERROR(IF(BH$2+$F41&lt;=12,SUMIFS('Attrition Modeling'!$D:$D,'Attrition Modeling'!$B:$B,'IP Attrition'!$D41,'Attrition Modeling'!$C:$C,'IP Attrition'!BH$1),VLOOKUP($F41+BH$2,$A$6:$C$106,2,FALSE)*VLOOKUP(BH$1,'Attrition Modeling'!$L$15:$N$27,IF(BH$2+$F41&lt;=24,2,3),FALSE)),$C$3)*(1+Projection!BJ$16)*(1+IF(BH173&gt;0,'Attrition Modeling'!$N$9,0)))</f>
        <v>0</v>
      </c>
      <c r="BI41" s="799">
        <f>(BH41+BI173)*(1-IFERROR(IF(BI$2+$F41&lt;=12,SUMIFS('Attrition Modeling'!$D:$D,'Attrition Modeling'!$B:$B,'IP Attrition'!$D41,'Attrition Modeling'!$C:$C,'IP Attrition'!BI$1),VLOOKUP($F41+BI$2,$A$6:$C$106,2,FALSE)*VLOOKUP(BI$1,'Attrition Modeling'!$L$15:$N$27,IF(BI$2+$F41&lt;=24,2,3),FALSE)),$C$3)*(1+Projection!BK$16)*(1+IF(BI173&gt;0,'Attrition Modeling'!$N$9,0)))</f>
        <v>0</v>
      </c>
      <c r="BJ41" s="799">
        <f>(BI41+BJ173)*(1-IFERROR(IF(BJ$2+$F41&lt;=12,SUMIFS('Attrition Modeling'!$D:$D,'Attrition Modeling'!$B:$B,'IP Attrition'!$D41,'Attrition Modeling'!$C:$C,'IP Attrition'!BJ$1),VLOOKUP($F41+BJ$2,$A$6:$C$106,2,FALSE)*VLOOKUP(BJ$1,'Attrition Modeling'!$L$15:$N$27,IF(BJ$2+$F41&lt;=24,2,3),FALSE)),$C$3)*(1+Projection!BL$16)*(1+IF(BJ173&gt;0,'Attrition Modeling'!$N$9,0)))</f>
        <v>0</v>
      </c>
      <c r="BK41" s="799">
        <f>(BJ41+BK173)*(1-IFERROR(IF(BK$2+$F41&lt;=12,SUMIFS('Attrition Modeling'!$D:$D,'Attrition Modeling'!$B:$B,'IP Attrition'!$D41,'Attrition Modeling'!$C:$C,'IP Attrition'!BK$1),VLOOKUP($F41+BK$2,$A$6:$C$106,2,FALSE)*VLOOKUP(BK$1,'Attrition Modeling'!$L$15:$N$27,IF(BK$2+$F41&lt;=24,2,3),FALSE)),$C$3)*(1+Projection!BM$16)*(1+IF(BK173&gt;0,'Attrition Modeling'!$N$9,0)))</f>
        <v>0</v>
      </c>
      <c r="BL41" s="799">
        <f>(BK41+BL173)*(1-IFERROR(IF(BL$2+$F41&lt;=12,SUMIFS('Attrition Modeling'!$D:$D,'Attrition Modeling'!$B:$B,'IP Attrition'!$D41,'Attrition Modeling'!$C:$C,'IP Attrition'!BL$1),VLOOKUP($F41+BL$2,$A$6:$C$106,2,FALSE)*VLOOKUP(BL$1,'Attrition Modeling'!$L$15:$N$27,IF(BL$2+$F41&lt;=24,2,3),FALSE)),$C$3)*(1+Projection!BN$16)*(1+IF(BL173&gt;0,'Attrition Modeling'!$N$9,0)))</f>
        <v>0</v>
      </c>
      <c r="BM41" s="799">
        <f>(BL41+BM173)*(1-IFERROR(IF(BM$2+$F41&lt;=12,SUMIFS('Attrition Modeling'!$D:$D,'Attrition Modeling'!$B:$B,'IP Attrition'!$D41,'Attrition Modeling'!$C:$C,'IP Attrition'!BM$1),VLOOKUP($F41+BM$2,$A$6:$C$106,2,FALSE)*VLOOKUP(BM$1,'Attrition Modeling'!$L$15:$N$27,IF(BM$2+$F41&lt;=24,2,3),FALSE)),$C$3)*(1+Projection!BO$16)*(1+IF(BM173&gt;0,'Attrition Modeling'!$N$9,0)))</f>
        <v>0</v>
      </c>
      <c r="BN41" s="799">
        <f>(BM41+BN173)*(1-IFERROR(IF(BN$2+$F41&lt;=12,SUMIFS('Attrition Modeling'!$D:$D,'Attrition Modeling'!$B:$B,'IP Attrition'!$D41,'Attrition Modeling'!$C:$C,'IP Attrition'!BN$1),VLOOKUP($F41+BN$2,$A$6:$C$106,2,FALSE)*VLOOKUP(BN$1,'Attrition Modeling'!$L$15:$N$27,IF(BN$2+$F41&lt;=24,2,3),FALSE)),$C$3)*(1+Projection!BP$16)*(1+IF(BN173&gt;0,'Attrition Modeling'!$N$9,0)))</f>
        <v>0</v>
      </c>
      <c r="BO41" s="799">
        <f>(BN41+BO173)*(1-IFERROR(IF(BO$2+$F41&lt;=12,SUMIFS('Attrition Modeling'!$D:$D,'Attrition Modeling'!$B:$B,'IP Attrition'!$D41,'Attrition Modeling'!$C:$C,'IP Attrition'!BO$1),VLOOKUP($F41+BO$2,$A$6:$C$106,2,FALSE)*VLOOKUP(BO$1,'Attrition Modeling'!$L$15:$N$27,IF(BO$2+$F41&lt;=24,2,3),FALSE)),$C$3)*(1+Projection!BV$16)*(1+IF(BO173&gt;0,'Attrition Modeling'!$N$9,0)))</f>
        <v>0</v>
      </c>
      <c r="BP41" s="799">
        <f>(BO41+BP173)*(1-IFERROR(IF(BP$2+$F41&lt;=12,SUMIFS('Attrition Modeling'!$D:$D,'Attrition Modeling'!$B:$B,'IP Attrition'!$D41,'Attrition Modeling'!$C:$C,'IP Attrition'!BP$1),VLOOKUP($F41+BP$2,$A$6:$C$106,2,FALSE)*VLOOKUP(BP$1,'Attrition Modeling'!$L$15:$N$27,IF(BP$2+$F41&lt;=24,2,3),FALSE)),$C$3)*(1+Projection!BW$16)*(1+IF(BP173&gt;0,'Attrition Modeling'!$N$9,0)))</f>
        <v>0</v>
      </c>
      <c r="BQ41" s="799">
        <f>(BP41+BQ173)*(1-IFERROR(IF(BQ$2+$F41&lt;=12,SUMIFS('Attrition Modeling'!$D:$D,'Attrition Modeling'!$B:$B,'IP Attrition'!$D41,'Attrition Modeling'!$C:$C,'IP Attrition'!BQ$1),VLOOKUP($F41+BQ$2,$A$6:$C$106,2,FALSE)*VLOOKUP(BQ$1,'Attrition Modeling'!$L$15:$N$27,IF(BQ$2+$F41&lt;=24,2,3),FALSE)),$C$3)*(1+Projection!BX$16)*(1+IF(BQ173&gt;0,'Attrition Modeling'!$N$9,0)))</f>
        <v>0</v>
      </c>
      <c r="BR41" s="799">
        <f>(BQ41+BR173)*(1-IFERROR(IF(BR$2+$F41&lt;=12,SUMIFS('Attrition Modeling'!$D:$D,'Attrition Modeling'!$B:$B,'IP Attrition'!$D41,'Attrition Modeling'!$C:$C,'IP Attrition'!BR$1),VLOOKUP($F41+BR$2,$A$6:$C$106,2,FALSE)*VLOOKUP(BR$1,'Attrition Modeling'!$L$15:$N$27,IF(BR$2+$F41&lt;=24,2,3),FALSE)),$C$3)*(1+Projection!BY$16)*(1+IF(BR173&gt;0,'Attrition Modeling'!$N$9,0)))</f>
        <v>0</v>
      </c>
      <c r="BS41" s="799">
        <f>(BR41+BS173)*(1-IFERROR(IF(BS$2+$F41&lt;=12,SUMIFS('Attrition Modeling'!$D:$D,'Attrition Modeling'!$B:$B,'IP Attrition'!$D41,'Attrition Modeling'!$C:$C,'IP Attrition'!BS$1),VLOOKUP($F41+BS$2,$A$6:$C$106,2,FALSE)*VLOOKUP(BS$1,'Attrition Modeling'!$L$15:$N$27,IF(BS$2+$F41&lt;=24,2,3),FALSE)),$C$3)*(1+Projection!BZ$16)*(1+IF(BS173&gt;0,'Attrition Modeling'!$N$9,0)))</f>
        <v>0</v>
      </c>
      <c r="BT41" s="799" t="e">
        <f>(BS41+BT173)*(1-IFERROR(IF(BT$2+$F41&lt;=12,SUMIFS('Attrition Modeling'!$D:$D,'Attrition Modeling'!$B:$B,'IP Attrition'!$D41,'Attrition Modeling'!$C:$C,'IP Attrition'!BT$1),VLOOKUP($F41+BT$2,$A$6:$C$106,2,FALSE)*VLOOKUP(BT$1,'Attrition Modeling'!$L$15:$N$27,IF(BT$2+$F41&lt;=24,2,3),FALSE)),$C$3)*(1+Projection!CA$16)*(1+IF(BT173&gt;0,'Attrition Modeling'!$N$9,0)))</f>
        <v>#REF!</v>
      </c>
      <c r="BU41" s="799" t="e">
        <f>(BT41+BU173)*(1-IFERROR(IF(BU$2+$F41&lt;=12,SUMIFS('Attrition Modeling'!$D:$D,'Attrition Modeling'!$B:$B,'IP Attrition'!$D41,'Attrition Modeling'!$C:$C,'IP Attrition'!BU$1),VLOOKUP($F41+BU$2,$A$6:$C$106,2,FALSE)*VLOOKUP(BU$1,'Attrition Modeling'!$L$15:$N$27,IF(BU$2+$F41&lt;=24,2,3),FALSE)),$C$3)*(1+Projection!CB$16)*(1+IF(BU173&gt;0,'Attrition Modeling'!$N$9,0)))</f>
        <v>#REF!</v>
      </c>
    </row>
    <row r="42" spans="1:73" ht="14.25" customHeight="1" x14ac:dyDescent="0.2">
      <c r="A42" s="9">
        <v>35</v>
      </c>
      <c r="B42" s="25">
        <f>MAX('Attrition Modeling'!H39,$C$3)*(1-Summary!$C$20)</f>
        <v>3.0606647228771017E-2</v>
      </c>
      <c r="C42" s="24" t="e">
        <f t="shared" si="3"/>
        <v>#DIV/0!</v>
      </c>
      <c r="D42" s="11">
        <f t="shared" si="1"/>
        <v>-39</v>
      </c>
      <c r="E42" s="807">
        <f t="array" ref="E42">INDEX('Attrition Modeling'!$X$2:$AF$63,MATCH($F42,'Attrition Modeling'!$X$2:$X$63,0),MATCH(Inputs!$C$10,'Attrition Modeling'!$X$2:$AF$2,0))</f>
        <v>0</v>
      </c>
      <c r="F42" s="11">
        <f t="shared" si="2"/>
        <v>39</v>
      </c>
      <c r="G42" s="799">
        <f>Summary!$C$25*$E42</f>
        <v>0</v>
      </c>
      <c r="H42" s="799">
        <f>(G42+H174)*(1-IFERROR(IF(H$2+$F42&lt;=12,SUMIFS('Attrition Modeling'!$D:$D,'Attrition Modeling'!$B:$B,'IP Attrition'!$D42,'Attrition Modeling'!$C:$C,'IP Attrition'!H$1),VLOOKUP($F42+H$2,$A$6:$C$106,2,FALSE)*VLOOKUP(H$1,'Attrition Modeling'!$L$15:$N$27,IF(H$2+$F42&lt;=24,2,3),FALSE)),$C$3)*(1+Projection!J$16)*(1+IF(H174&gt;0,'Attrition Modeling'!$N$9,0)))</f>
        <v>0</v>
      </c>
      <c r="I42" s="799">
        <f>(H42+I174)*(1-IFERROR(IF(I$2+$F42&lt;=12,SUMIFS('Attrition Modeling'!$D:$D,'Attrition Modeling'!$B:$B,'IP Attrition'!$D42,'Attrition Modeling'!$C:$C,'IP Attrition'!I$1),VLOOKUP($F42+I$2,$A$6:$C$106,2,FALSE)*VLOOKUP(I$1,'Attrition Modeling'!$L$15:$N$27,IF(I$2+$F42&lt;=24,2,3),FALSE)),$C$3)*(1+Projection!K$16)*(1+IF(I174&gt;0,'Attrition Modeling'!$N$9,0)))</f>
        <v>0</v>
      </c>
      <c r="J42" s="799">
        <f>(I42+J174)*(1-IFERROR(IF(J$2+$F42&lt;=12,SUMIFS('Attrition Modeling'!$D:$D,'Attrition Modeling'!$B:$B,'IP Attrition'!$D42,'Attrition Modeling'!$C:$C,'IP Attrition'!J$1),VLOOKUP($F42+J$2,$A$6:$C$106,2,FALSE)*VLOOKUP(J$1,'Attrition Modeling'!$L$15:$N$27,IF(J$2+$F42&lt;=24,2,3),FALSE)),$C$3)*(1+Projection!L$16)*(1+IF(J174&gt;0,'Attrition Modeling'!$N$9,0)))</f>
        <v>0</v>
      </c>
      <c r="K42" s="799">
        <f>(J42+K174)*(1-IFERROR(IF(K$2+$F42&lt;=12,SUMIFS('Attrition Modeling'!$D:$D,'Attrition Modeling'!$B:$B,'IP Attrition'!$D42,'Attrition Modeling'!$C:$C,'IP Attrition'!K$1),VLOOKUP($F42+K$2,$A$6:$C$106,2,FALSE)*VLOOKUP(K$1,'Attrition Modeling'!$L$15:$N$27,IF(K$2+$F42&lt;=24,2,3),FALSE)),$C$3)*(1+Projection!M$16)*(1+IF(K174&gt;0,'Attrition Modeling'!$N$9,0)))</f>
        <v>0</v>
      </c>
      <c r="L42" s="799">
        <f>(K42+L174)*(1-IFERROR(IF(L$2+$F42&lt;=12,SUMIFS('Attrition Modeling'!$D:$D,'Attrition Modeling'!$B:$B,'IP Attrition'!$D42,'Attrition Modeling'!$C:$C,'IP Attrition'!L$1),VLOOKUP($F42+L$2,$A$6:$C$106,2,FALSE)*VLOOKUP(L$1,'Attrition Modeling'!$L$15:$N$27,IF(L$2+$F42&lt;=24,2,3),FALSE)),$C$3)*(1+Projection!N$16)*(1+IF(L174&gt;0,'Attrition Modeling'!$N$9,0)))</f>
        <v>0</v>
      </c>
      <c r="M42" s="799">
        <f>(L42+M174)*(1-IFERROR(IF(M$2+$F42&lt;=12,SUMIFS('Attrition Modeling'!$D:$D,'Attrition Modeling'!$B:$B,'IP Attrition'!$D42,'Attrition Modeling'!$C:$C,'IP Attrition'!M$1),VLOOKUP($F42+M$2,$A$6:$C$106,2,FALSE)*VLOOKUP(M$1,'Attrition Modeling'!$L$15:$N$27,IF(M$2+$F42&lt;=24,2,3),FALSE)),$C$3)*(1+Projection!O$16)*(1+IF(M174&gt;0,'Attrition Modeling'!$N$9,0)))</f>
        <v>0</v>
      </c>
      <c r="N42" s="799">
        <f>(M42+N174)*(1-IFERROR(IF(N$2+$F42&lt;=12,SUMIFS('Attrition Modeling'!$D:$D,'Attrition Modeling'!$B:$B,'IP Attrition'!$D42,'Attrition Modeling'!$C:$C,'IP Attrition'!N$1),VLOOKUP($F42+N$2,$A$6:$C$106,2,FALSE)*VLOOKUP(N$1,'Attrition Modeling'!$L$15:$N$27,IF(N$2+$F42&lt;=24,2,3),FALSE)),$C$3)*(1+Projection!P$16)*(1+IF(N174&gt;0,'Attrition Modeling'!$N$9,0)))</f>
        <v>0</v>
      </c>
      <c r="O42" s="799">
        <f>(N42+O174)*(1-IFERROR(IF(O$2+$F42&lt;=12,SUMIFS('Attrition Modeling'!$D:$D,'Attrition Modeling'!$B:$B,'IP Attrition'!$D42,'Attrition Modeling'!$C:$C,'IP Attrition'!O$1),VLOOKUP($F42+O$2,$A$6:$C$106,2,FALSE)*VLOOKUP(O$1,'Attrition Modeling'!$L$15:$N$27,IF(O$2+$F42&lt;=24,2,3),FALSE)),$C$3)*(1+Projection!Q$16)*(1+IF(O174&gt;0,'Attrition Modeling'!$N$9,0)))</f>
        <v>0</v>
      </c>
      <c r="P42" s="799">
        <f>(O42+P174)*(1-IFERROR(IF(P$2+$F42&lt;=12,SUMIFS('Attrition Modeling'!$D:$D,'Attrition Modeling'!$B:$B,'IP Attrition'!$D42,'Attrition Modeling'!$C:$C,'IP Attrition'!P$1),VLOOKUP($F42+P$2,$A$6:$C$106,2,FALSE)*VLOOKUP(P$1,'Attrition Modeling'!$L$15:$N$27,IF(P$2+$F42&lt;=24,2,3),FALSE)),$C$3)*(1+Projection!R$16)*(1+IF(P174&gt;0,'Attrition Modeling'!$N$9,0)))</f>
        <v>0</v>
      </c>
      <c r="Q42" s="799">
        <f>(P42+Q174)*(1-IFERROR(IF(Q$2+$F42&lt;=12,SUMIFS('Attrition Modeling'!$D:$D,'Attrition Modeling'!$B:$B,'IP Attrition'!$D42,'Attrition Modeling'!$C:$C,'IP Attrition'!Q$1),VLOOKUP($F42+Q$2,$A$6:$C$106,2,FALSE)*VLOOKUP(Q$1,'Attrition Modeling'!$L$15:$N$27,IF(Q$2+$F42&lt;=24,2,3),FALSE)),$C$3)*(1+Projection!S$16)*(1+IF(Q174&gt;0,'Attrition Modeling'!$N$9,0)))</f>
        <v>0</v>
      </c>
      <c r="R42" s="799">
        <f>(Q42+R174)*(1-IFERROR(IF(R$2+$F42&lt;=12,SUMIFS('Attrition Modeling'!$D:$D,'Attrition Modeling'!$B:$B,'IP Attrition'!$D42,'Attrition Modeling'!$C:$C,'IP Attrition'!R$1),VLOOKUP($F42+R$2,$A$6:$C$106,2,FALSE)*VLOOKUP(R$1,'Attrition Modeling'!$L$15:$N$27,IF(R$2+$F42&lt;=24,2,3),FALSE)),$C$3)*(1+Projection!T$16)*(1+IF(R174&gt;0,'Attrition Modeling'!$N$9,0)))</f>
        <v>0</v>
      </c>
      <c r="S42" s="799">
        <f>(R42+S174)*(1-IFERROR(IF(S$2+$F42&lt;=12,SUMIFS('Attrition Modeling'!$D:$D,'Attrition Modeling'!$B:$B,'IP Attrition'!$D42,'Attrition Modeling'!$C:$C,'IP Attrition'!S$1),VLOOKUP($F42+S$2,$A$6:$C$106,2,FALSE)*VLOOKUP(S$1,'Attrition Modeling'!$L$15:$N$27,IF(S$2+$F42&lt;=24,2,3),FALSE)),$C$3)*(1+Projection!U$16)*(1+IF(S174&gt;0,'Attrition Modeling'!$N$9,0)))</f>
        <v>0</v>
      </c>
      <c r="T42" s="799">
        <f>(S42+T174)*(1-IFERROR(IF(T$2+$F42&lt;=12,SUMIFS('Attrition Modeling'!$D:$D,'Attrition Modeling'!$B:$B,'IP Attrition'!$D42,'Attrition Modeling'!$C:$C,'IP Attrition'!T$1),VLOOKUP($F42+T$2,$A$6:$C$106,2,FALSE)*VLOOKUP(T$1,'Attrition Modeling'!$L$15:$N$27,IF(T$2+$F42&lt;=24,2,3),FALSE)),$C$3)*(1+Projection!V$16)*(1+IF(T174&gt;0,'Attrition Modeling'!$N$9,0)))</f>
        <v>0</v>
      </c>
      <c r="U42" s="799">
        <f>(T42+U174)*(1-IFERROR(IF(U$2+$F42&lt;=12,SUMIFS('Attrition Modeling'!$D:$D,'Attrition Modeling'!$B:$B,'IP Attrition'!$D42,'Attrition Modeling'!$C:$C,'IP Attrition'!U$1),VLOOKUP($F42+U$2,$A$6:$C$106,2,FALSE)*VLOOKUP(U$1,'Attrition Modeling'!$L$15:$N$27,IF(U$2+$F42&lt;=24,2,3),FALSE)),$C$3)*(1+Projection!W$16)*(1+IF(U174&gt;0,'Attrition Modeling'!$N$9,0)))</f>
        <v>0</v>
      </c>
      <c r="V42" s="799">
        <f>(U42+V174)*(1-IFERROR(IF(V$2+$F42&lt;=12,SUMIFS('Attrition Modeling'!$D:$D,'Attrition Modeling'!$B:$B,'IP Attrition'!$D42,'Attrition Modeling'!$C:$C,'IP Attrition'!V$1),VLOOKUP($F42+V$2,$A$6:$C$106,2,FALSE)*VLOOKUP(V$1,'Attrition Modeling'!$L$15:$N$27,IF(V$2+$F42&lt;=24,2,3),FALSE)),$C$3)*(1+Projection!X$16)*(1+IF(V174&gt;0,'Attrition Modeling'!$N$9,0)))</f>
        <v>0</v>
      </c>
      <c r="W42" s="799">
        <f>(V42+W174)*(1-IFERROR(IF(W$2+$F42&lt;=12,SUMIFS('Attrition Modeling'!$D:$D,'Attrition Modeling'!$B:$B,'IP Attrition'!$D42,'Attrition Modeling'!$C:$C,'IP Attrition'!W$1),VLOOKUP($F42+W$2,$A$6:$C$106,2,FALSE)*VLOOKUP(W$1,'Attrition Modeling'!$L$15:$N$27,IF(W$2+$F42&lt;=24,2,3),FALSE)),$C$3)*(1+Projection!Y$16)*(1+IF(W174&gt;0,'Attrition Modeling'!$N$9,0)))</f>
        <v>0</v>
      </c>
      <c r="X42" s="799">
        <f>(W42+X174)*(1-IFERROR(IF(X$2+$F42&lt;=12,SUMIFS('Attrition Modeling'!$D:$D,'Attrition Modeling'!$B:$B,'IP Attrition'!$D42,'Attrition Modeling'!$C:$C,'IP Attrition'!X$1),VLOOKUP($F42+X$2,$A$6:$C$106,2,FALSE)*VLOOKUP(X$1,'Attrition Modeling'!$L$15:$N$27,IF(X$2+$F42&lt;=24,2,3),FALSE)),$C$3)*(1+Projection!Z$16)*(1+IF(X174&gt;0,'Attrition Modeling'!$N$9,0)))</f>
        <v>0</v>
      </c>
      <c r="Y42" s="799">
        <f>(X42+Y174)*(1-IFERROR(IF(Y$2+$F42&lt;=12,SUMIFS('Attrition Modeling'!$D:$D,'Attrition Modeling'!$B:$B,'IP Attrition'!$D42,'Attrition Modeling'!$C:$C,'IP Attrition'!Y$1),VLOOKUP($F42+Y$2,$A$6:$C$106,2,FALSE)*VLOOKUP(Y$1,'Attrition Modeling'!$L$15:$N$27,IF(Y$2+$F42&lt;=24,2,3),FALSE)),$C$3)*(1+Projection!AA$16)*(1+IF(Y174&gt;0,'Attrition Modeling'!$N$9,0)))</f>
        <v>0</v>
      </c>
      <c r="Z42" s="799">
        <f>(Y42+Z174)*(1-IFERROR(IF(Z$2+$F42&lt;=12,SUMIFS('Attrition Modeling'!$D:$D,'Attrition Modeling'!$B:$B,'IP Attrition'!$D42,'Attrition Modeling'!$C:$C,'IP Attrition'!Z$1),VLOOKUP($F42+Z$2,$A$6:$C$106,2,FALSE)*VLOOKUP(Z$1,'Attrition Modeling'!$L$15:$N$27,IF(Z$2+$F42&lt;=24,2,3),FALSE)),$C$3)*(1+Projection!AB$16)*(1+IF(Z174&gt;0,'Attrition Modeling'!$N$9,0)))</f>
        <v>0</v>
      </c>
      <c r="AA42" s="799">
        <f>(Z42+AA174)*(1-IFERROR(IF(AA$2+$F42&lt;=12,SUMIFS('Attrition Modeling'!$D:$D,'Attrition Modeling'!$B:$B,'IP Attrition'!$D42,'Attrition Modeling'!$C:$C,'IP Attrition'!AA$1),VLOOKUP($F42+AA$2,$A$6:$C$106,2,FALSE)*VLOOKUP(AA$1,'Attrition Modeling'!$L$15:$N$27,IF(AA$2+$F42&lt;=24,2,3),FALSE)),$C$3)*(1+Projection!AC$16)*(1+IF(AA174&gt;0,'Attrition Modeling'!$N$9,0)))</f>
        <v>0</v>
      </c>
      <c r="AB42" s="799">
        <f>(AA42+AB174)*(1-IFERROR(IF(AB$2+$F42&lt;=12,SUMIFS('Attrition Modeling'!$D:$D,'Attrition Modeling'!$B:$B,'IP Attrition'!$D42,'Attrition Modeling'!$C:$C,'IP Attrition'!AB$1),VLOOKUP($F42+AB$2,$A$6:$C$106,2,FALSE)*VLOOKUP(AB$1,'Attrition Modeling'!$L$15:$N$27,IF(AB$2+$F42&lt;=24,2,3),FALSE)),$C$3)*(1+Projection!AD$16)*(1+IF(AB174&gt;0,'Attrition Modeling'!$N$9,0)))</f>
        <v>0</v>
      </c>
      <c r="AC42" s="799">
        <f>(AB42+AC174)*(1-IFERROR(IF(AC$2+$F42&lt;=12,SUMIFS('Attrition Modeling'!$D:$D,'Attrition Modeling'!$B:$B,'IP Attrition'!$D42,'Attrition Modeling'!$C:$C,'IP Attrition'!AC$1),VLOOKUP($F42+AC$2,$A$6:$C$106,2,FALSE)*VLOOKUP(AC$1,'Attrition Modeling'!$L$15:$N$27,IF(AC$2+$F42&lt;=24,2,3),FALSE)),$C$3)*(1+Projection!AE$16)*(1+IF(AC174&gt;0,'Attrition Modeling'!$N$9,0)))</f>
        <v>0</v>
      </c>
      <c r="AD42" s="799">
        <f>(AC42+AD174)*(1-IFERROR(IF(AD$2+$F42&lt;=12,SUMIFS('Attrition Modeling'!$D:$D,'Attrition Modeling'!$B:$B,'IP Attrition'!$D42,'Attrition Modeling'!$C:$C,'IP Attrition'!AD$1),VLOOKUP($F42+AD$2,$A$6:$C$106,2,FALSE)*VLOOKUP(AD$1,'Attrition Modeling'!$L$15:$N$27,IF(AD$2+$F42&lt;=24,2,3),FALSE)),$C$3)*(1+Projection!AF$16)*(1+IF(AD174&gt;0,'Attrition Modeling'!$N$9,0)))</f>
        <v>0</v>
      </c>
      <c r="AE42" s="799">
        <f>(AD42+AE174)*(1-IFERROR(IF(AE$2+$F42&lt;=12,SUMIFS('Attrition Modeling'!$D:$D,'Attrition Modeling'!$B:$B,'IP Attrition'!$D42,'Attrition Modeling'!$C:$C,'IP Attrition'!AE$1),VLOOKUP($F42+AE$2,$A$6:$C$106,2,FALSE)*VLOOKUP(AE$1,'Attrition Modeling'!$L$15:$N$27,IF(AE$2+$F42&lt;=24,2,3),FALSE)),$C$3)*(1+Projection!AG$16)*(1+IF(AE174&gt;0,'Attrition Modeling'!$N$9,0)))</f>
        <v>0</v>
      </c>
      <c r="AF42" s="799">
        <f>(AE42+AF174)*(1-IFERROR(IF(AF$2+$F42&lt;=12,SUMIFS('Attrition Modeling'!$D:$D,'Attrition Modeling'!$B:$B,'IP Attrition'!$D42,'Attrition Modeling'!$C:$C,'IP Attrition'!AF$1),VLOOKUP($F42+AF$2,$A$6:$C$106,2,FALSE)*VLOOKUP(AF$1,'Attrition Modeling'!$L$15:$N$27,IF(AF$2+$F42&lt;=24,2,3),FALSE)),$C$3)*(1+Projection!AH$16)*(1+IF(AF174&gt;0,'Attrition Modeling'!$N$9,0)))</f>
        <v>0</v>
      </c>
      <c r="AG42" s="799">
        <f>(AF42+AG174)*(1-IFERROR(IF(AG$2+$F42&lt;=12,SUMIFS('Attrition Modeling'!$D:$D,'Attrition Modeling'!$B:$B,'IP Attrition'!$D42,'Attrition Modeling'!$C:$C,'IP Attrition'!AG$1),VLOOKUP($F42+AG$2,$A$6:$C$106,2,FALSE)*VLOOKUP(AG$1,'Attrition Modeling'!$L$15:$N$27,IF(AG$2+$F42&lt;=24,2,3),FALSE)),$C$3)*(1+Projection!AI$16)*(1+IF(AG174&gt;0,'Attrition Modeling'!$N$9,0)))</f>
        <v>0</v>
      </c>
      <c r="AH42" s="799">
        <f>(AG42+AH174)*(1-IFERROR(IF(AH$2+$F42&lt;=12,SUMIFS('Attrition Modeling'!$D:$D,'Attrition Modeling'!$B:$B,'IP Attrition'!$D42,'Attrition Modeling'!$C:$C,'IP Attrition'!AH$1),VLOOKUP($F42+AH$2,$A$6:$C$106,2,FALSE)*VLOOKUP(AH$1,'Attrition Modeling'!$L$15:$N$27,IF(AH$2+$F42&lt;=24,2,3),FALSE)),$C$3)*(1+Projection!AJ$16)*(1+IF(AH174&gt;0,'Attrition Modeling'!$N$9,0)))</f>
        <v>0</v>
      </c>
      <c r="AI42" s="799">
        <f>(AH42+AI174)*(1-IFERROR(IF(AI$2+$F42&lt;=12,SUMIFS('Attrition Modeling'!$D:$D,'Attrition Modeling'!$B:$B,'IP Attrition'!$D42,'Attrition Modeling'!$C:$C,'IP Attrition'!AI$1),VLOOKUP($F42+AI$2,$A$6:$C$106,2,FALSE)*VLOOKUP(AI$1,'Attrition Modeling'!$L$15:$N$27,IF(AI$2+$F42&lt;=24,2,3),FALSE)),$C$3)*(1+Projection!AK$16)*(1+IF(AI174&gt;0,'Attrition Modeling'!$N$9,0)))</f>
        <v>0</v>
      </c>
      <c r="AJ42" s="799">
        <f>(AI42+AJ174)*(1-IFERROR(IF(AJ$2+$F42&lt;=12,SUMIFS('Attrition Modeling'!$D:$D,'Attrition Modeling'!$B:$B,'IP Attrition'!$D42,'Attrition Modeling'!$C:$C,'IP Attrition'!AJ$1),VLOOKUP($F42+AJ$2,$A$6:$C$106,2,FALSE)*VLOOKUP(AJ$1,'Attrition Modeling'!$L$15:$N$27,IF(AJ$2+$F42&lt;=24,2,3),FALSE)),$C$3)*(1+Projection!AL$16)*(1+IF(AJ174&gt;0,'Attrition Modeling'!$N$9,0)))</f>
        <v>0</v>
      </c>
      <c r="AK42" s="799">
        <f>(AJ42+AK174)*(1-IFERROR(IF(AK$2+$F42&lt;=12,SUMIFS('Attrition Modeling'!$D:$D,'Attrition Modeling'!$B:$B,'IP Attrition'!$D42,'Attrition Modeling'!$C:$C,'IP Attrition'!AK$1),VLOOKUP($F42+AK$2,$A$6:$C$106,2,FALSE)*VLOOKUP(AK$1,'Attrition Modeling'!$L$15:$N$27,IF(AK$2+$F42&lt;=24,2,3),FALSE)),$C$3)*(1+Projection!AM$16)*(1+IF(AK174&gt;0,'Attrition Modeling'!$N$9,0)))</f>
        <v>0</v>
      </c>
      <c r="AL42" s="799">
        <f>(AK42+AL174)*(1-IFERROR(IF(AL$2+$F42&lt;=12,SUMIFS('Attrition Modeling'!$D:$D,'Attrition Modeling'!$B:$B,'IP Attrition'!$D42,'Attrition Modeling'!$C:$C,'IP Attrition'!AL$1),VLOOKUP($F42+AL$2,$A$6:$C$106,2,FALSE)*VLOOKUP(AL$1,'Attrition Modeling'!$L$15:$N$27,IF(AL$2+$F42&lt;=24,2,3),FALSE)),$C$3)*(1+Projection!AN$16)*(1+IF(AL174&gt;0,'Attrition Modeling'!$N$9,0)))</f>
        <v>0</v>
      </c>
      <c r="AM42" s="799">
        <f>(AL42+AM174)*(1-IFERROR(IF(AM$2+$F42&lt;=12,SUMIFS('Attrition Modeling'!$D:$D,'Attrition Modeling'!$B:$B,'IP Attrition'!$D42,'Attrition Modeling'!$C:$C,'IP Attrition'!AM$1),VLOOKUP($F42+AM$2,$A$6:$C$106,2,FALSE)*VLOOKUP(AM$1,'Attrition Modeling'!$L$15:$N$27,IF(AM$2+$F42&lt;=24,2,3),FALSE)),$C$3)*(1+Projection!AO$16)*(1+IF(AM174&gt;0,'Attrition Modeling'!$N$9,0)))</f>
        <v>0</v>
      </c>
      <c r="AN42" s="799">
        <f>(AM42+AN174)*(1-IFERROR(IF(AN$2+$F42&lt;=12,SUMIFS('Attrition Modeling'!$D:$D,'Attrition Modeling'!$B:$B,'IP Attrition'!$D42,'Attrition Modeling'!$C:$C,'IP Attrition'!AN$1),VLOOKUP($F42+AN$2,$A$6:$C$106,2,FALSE)*VLOOKUP(AN$1,'Attrition Modeling'!$L$15:$N$27,IF(AN$2+$F42&lt;=24,2,3),FALSE)),$C$3)*(1+Projection!AP$16)*(1+IF(AN174&gt;0,'Attrition Modeling'!$N$9,0)))</f>
        <v>0</v>
      </c>
      <c r="AO42" s="799">
        <f>(AN42+AO174)*(1-IFERROR(IF(AO$2+$F42&lt;=12,SUMIFS('Attrition Modeling'!$D:$D,'Attrition Modeling'!$B:$B,'IP Attrition'!$D42,'Attrition Modeling'!$C:$C,'IP Attrition'!AO$1),VLOOKUP($F42+AO$2,$A$6:$C$106,2,FALSE)*VLOOKUP(AO$1,'Attrition Modeling'!$L$15:$N$27,IF(AO$2+$F42&lt;=24,2,3),FALSE)),$C$3)*(1+Projection!AQ$16)*(1+IF(AO174&gt;0,'Attrition Modeling'!$N$9,0)))</f>
        <v>0</v>
      </c>
      <c r="AP42" s="799">
        <f>(AO42+AP174)*(1-IFERROR(IF(AP$2+$F42&lt;=12,SUMIFS('Attrition Modeling'!$D:$D,'Attrition Modeling'!$B:$B,'IP Attrition'!$D42,'Attrition Modeling'!$C:$C,'IP Attrition'!AP$1),VLOOKUP($F42+AP$2,$A$6:$C$106,2,FALSE)*VLOOKUP(AP$1,'Attrition Modeling'!$L$15:$N$27,IF(AP$2+$F42&lt;=24,2,3),FALSE)),$C$3)*(1+Projection!AR$16)*(1+IF(AP174&gt;0,'Attrition Modeling'!$N$9,0)))</f>
        <v>0</v>
      </c>
      <c r="AQ42" s="799">
        <f>(AP42+AQ174)*(1-IFERROR(IF(AQ$2+$F42&lt;=12,SUMIFS('Attrition Modeling'!$D:$D,'Attrition Modeling'!$B:$B,'IP Attrition'!$D42,'Attrition Modeling'!$C:$C,'IP Attrition'!AQ$1),VLOOKUP($F42+AQ$2,$A$6:$C$106,2,FALSE)*VLOOKUP(AQ$1,'Attrition Modeling'!$L$15:$N$27,IF(AQ$2+$F42&lt;=24,2,3),FALSE)),$C$3)*(1+Projection!AS$16)*(1+IF(AQ174&gt;0,'Attrition Modeling'!$N$9,0)))</f>
        <v>0</v>
      </c>
      <c r="AR42" s="799">
        <f>(AQ42+AR174)*(1-IFERROR(IF(AR$2+$F42&lt;=12,SUMIFS('Attrition Modeling'!$D:$D,'Attrition Modeling'!$B:$B,'IP Attrition'!$D42,'Attrition Modeling'!$C:$C,'IP Attrition'!AR$1),VLOOKUP($F42+AR$2,$A$6:$C$106,2,FALSE)*VLOOKUP(AR$1,'Attrition Modeling'!$L$15:$N$27,IF(AR$2+$F42&lt;=24,2,3),FALSE)),$C$3)*(1+Projection!AT$16)*(1+IF(AR174&gt;0,'Attrition Modeling'!$N$9,0)))</f>
        <v>0</v>
      </c>
      <c r="AS42" s="799">
        <f>(AR42+AS174)*(1-IFERROR(IF(AS$2+$F42&lt;=12,SUMIFS('Attrition Modeling'!$D:$D,'Attrition Modeling'!$B:$B,'IP Attrition'!$D42,'Attrition Modeling'!$C:$C,'IP Attrition'!AS$1),VLOOKUP($F42+AS$2,$A$6:$C$106,2,FALSE)*VLOOKUP(AS$1,'Attrition Modeling'!$L$15:$N$27,IF(AS$2+$F42&lt;=24,2,3),FALSE)),$C$3)*(1+Projection!AU$16)*(1+IF(AS174&gt;0,'Attrition Modeling'!$N$9,0)))</f>
        <v>0</v>
      </c>
      <c r="AT42" s="799">
        <f>(AS42+AT174)*(1-IFERROR(IF(AT$2+$F42&lt;=12,SUMIFS('Attrition Modeling'!$D:$D,'Attrition Modeling'!$B:$B,'IP Attrition'!$D42,'Attrition Modeling'!$C:$C,'IP Attrition'!AT$1),VLOOKUP($F42+AT$2,$A$6:$C$106,2,FALSE)*VLOOKUP(AT$1,'Attrition Modeling'!$L$15:$N$27,IF(AT$2+$F42&lt;=24,2,3),FALSE)),$C$3)*(1+Projection!AV$16)*(1+IF(AT174&gt;0,'Attrition Modeling'!$N$9,0)))</f>
        <v>0</v>
      </c>
      <c r="AU42" s="799">
        <f>(AT42+AU174)*(1-IFERROR(IF(AU$2+$F42&lt;=12,SUMIFS('Attrition Modeling'!$D:$D,'Attrition Modeling'!$B:$B,'IP Attrition'!$D42,'Attrition Modeling'!$C:$C,'IP Attrition'!AU$1),VLOOKUP($F42+AU$2,$A$6:$C$106,2,FALSE)*VLOOKUP(AU$1,'Attrition Modeling'!$L$15:$N$27,IF(AU$2+$F42&lt;=24,2,3),FALSE)),$C$3)*(1+Projection!AW$16)*(1+IF(AU174&gt;0,'Attrition Modeling'!$N$9,0)))</f>
        <v>0</v>
      </c>
      <c r="AV42" s="799">
        <f>(AU42+AV174)*(1-IFERROR(IF(AV$2+$F42&lt;=12,SUMIFS('Attrition Modeling'!$D:$D,'Attrition Modeling'!$B:$B,'IP Attrition'!$D42,'Attrition Modeling'!$C:$C,'IP Attrition'!AV$1),VLOOKUP($F42+AV$2,$A$6:$C$106,2,FALSE)*VLOOKUP(AV$1,'Attrition Modeling'!$L$15:$N$27,IF(AV$2+$F42&lt;=24,2,3),FALSE)),$C$3)*(1+Projection!AX$16)*(1+IF(AV174&gt;0,'Attrition Modeling'!$N$9,0)))</f>
        <v>0</v>
      </c>
      <c r="AW42" s="799">
        <f>(AV42+AW174)*(1-IFERROR(IF(AW$2+$F42&lt;=12,SUMIFS('Attrition Modeling'!$D:$D,'Attrition Modeling'!$B:$B,'IP Attrition'!$D42,'Attrition Modeling'!$C:$C,'IP Attrition'!AW$1),VLOOKUP($F42+AW$2,$A$6:$C$106,2,FALSE)*VLOOKUP(AW$1,'Attrition Modeling'!$L$15:$N$27,IF(AW$2+$F42&lt;=24,2,3),FALSE)),$C$3)*(1+Projection!AY$16)*(1+IF(AW174&gt;0,'Attrition Modeling'!$N$9,0)))</f>
        <v>0</v>
      </c>
      <c r="AX42" s="799">
        <f>(AW42+AX174)*(1-IFERROR(IF(AX$2+$F42&lt;=12,SUMIFS('Attrition Modeling'!$D:$D,'Attrition Modeling'!$B:$B,'IP Attrition'!$D42,'Attrition Modeling'!$C:$C,'IP Attrition'!AX$1),VLOOKUP($F42+AX$2,$A$6:$C$106,2,FALSE)*VLOOKUP(AX$1,'Attrition Modeling'!$L$15:$N$27,IF(AX$2+$F42&lt;=24,2,3),FALSE)),$C$3)*(1+Projection!AZ$16)*(1+IF(AX174&gt;0,'Attrition Modeling'!$N$9,0)))</f>
        <v>0</v>
      </c>
      <c r="AY42" s="799">
        <f>(AX42+AY174)*(1-IFERROR(IF(AY$2+$F42&lt;=12,SUMIFS('Attrition Modeling'!$D:$D,'Attrition Modeling'!$B:$B,'IP Attrition'!$D42,'Attrition Modeling'!$C:$C,'IP Attrition'!AY$1),VLOOKUP($F42+AY$2,$A$6:$C$106,2,FALSE)*VLOOKUP(AY$1,'Attrition Modeling'!$L$15:$N$27,IF(AY$2+$F42&lt;=24,2,3),FALSE)),$C$3)*(1+Projection!BA$16)*(1+IF(AY174&gt;0,'Attrition Modeling'!$N$9,0)))</f>
        <v>0</v>
      </c>
      <c r="AZ42" s="799">
        <f>(AY42+AZ174)*(1-IFERROR(IF(AZ$2+$F42&lt;=12,SUMIFS('Attrition Modeling'!$D:$D,'Attrition Modeling'!$B:$B,'IP Attrition'!$D42,'Attrition Modeling'!$C:$C,'IP Attrition'!AZ$1),VLOOKUP($F42+AZ$2,$A$6:$C$106,2,FALSE)*VLOOKUP(AZ$1,'Attrition Modeling'!$L$15:$N$27,IF(AZ$2+$F42&lt;=24,2,3),FALSE)),$C$3)*(1+Projection!BB$16)*(1+IF(AZ174&gt;0,'Attrition Modeling'!$N$9,0)))</f>
        <v>0</v>
      </c>
      <c r="BA42" s="799">
        <f>(AZ42+BA174)*(1-IFERROR(IF(BA$2+$F42&lt;=12,SUMIFS('Attrition Modeling'!$D:$D,'Attrition Modeling'!$B:$B,'IP Attrition'!$D42,'Attrition Modeling'!$C:$C,'IP Attrition'!BA$1),VLOOKUP($F42+BA$2,$A$6:$C$106,2,FALSE)*VLOOKUP(BA$1,'Attrition Modeling'!$L$15:$N$27,IF(BA$2+$F42&lt;=24,2,3),FALSE)),$C$3)*(1+Projection!BC$16)*(1+IF(BA174&gt;0,'Attrition Modeling'!$N$9,0)))</f>
        <v>0</v>
      </c>
      <c r="BB42" s="799">
        <f>(BA42+BB174)*(1-IFERROR(IF(BB$2+$F42&lt;=12,SUMIFS('Attrition Modeling'!$D:$D,'Attrition Modeling'!$B:$B,'IP Attrition'!$D42,'Attrition Modeling'!$C:$C,'IP Attrition'!BB$1),VLOOKUP($F42+BB$2,$A$6:$C$106,2,FALSE)*VLOOKUP(BB$1,'Attrition Modeling'!$L$15:$N$27,IF(BB$2+$F42&lt;=24,2,3),FALSE)),$C$3)*(1+Projection!BD$16)*(1+IF(BB174&gt;0,'Attrition Modeling'!$N$9,0)))</f>
        <v>0</v>
      </c>
      <c r="BC42" s="799">
        <f>(BB42+BC174)*(1-IFERROR(IF(BC$2+$F42&lt;=12,SUMIFS('Attrition Modeling'!$D:$D,'Attrition Modeling'!$B:$B,'IP Attrition'!$D42,'Attrition Modeling'!$C:$C,'IP Attrition'!BC$1),VLOOKUP($F42+BC$2,$A$6:$C$106,2,FALSE)*VLOOKUP(BC$1,'Attrition Modeling'!$L$15:$N$27,IF(BC$2+$F42&lt;=24,2,3),FALSE)),$C$3)*(1+Projection!BE$16)*(1+IF(BC174&gt;0,'Attrition Modeling'!$N$9,0)))</f>
        <v>0</v>
      </c>
      <c r="BD42" s="799">
        <f>(BC42+BD174)*(1-IFERROR(IF(BD$2+$F42&lt;=12,SUMIFS('Attrition Modeling'!$D:$D,'Attrition Modeling'!$B:$B,'IP Attrition'!$D42,'Attrition Modeling'!$C:$C,'IP Attrition'!BD$1),VLOOKUP($F42+BD$2,$A$6:$C$106,2,FALSE)*VLOOKUP(BD$1,'Attrition Modeling'!$L$15:$N$27,IF(BD$2+$F42&lt;=24,2,3),FALSE)),$C$3)*(1+Projection!BF$16)*(1+IF(BD174&gt;0,'Attrition Modeling'!$N$9,0)))</f>
        <v>0</v>
      </c>
      <c r="BE42" s="799">
        <f>(BD42+BE174)*(1-IFERROR(IF(BE$2+$F42&lt;=12,SUMIFS('Attrition Modeling'!$D:$D,'Attrition Modeling'!$B:$B,'IP Attrition'!$D42,'Attrition Modeling'!$C:$C,'IP Attrition'!BE$1),VLOOKUP($F42+BE$2,$A$6:$C$106,2,FALSE)*VLOOKUP(BE$1,'Attrition Modeling'!$L$15:$N$27,IF(BE$2+$F42&lt;=24,2,3),FALSE)),$C$3)*(1+Projection!BG$16)*(1+IF(BE174&gt;0,'Attrition Modeling'!$N$9,0)))</f>
        <v>0</v>
      </c>
      <c r="BF42" s="799">
        <f>(BE42+BF174)*(1-IFERROR(IF(BF$2+$F42&lt;=12,SUMIFS('Attrition Modeling'!$D:$D,'Attrition Modeling'!$B:$B,'IP Attrition'!$D42,'Attrition Modeling'!$C:$C,'IP Attrition'!BF$1),VLOOKUP($F42+BF$2,$A$6:$C$106,2,FALSE)*VLOOKUP(BF$1,'Attrition Modeling'!$L$15:$N$27,IF(BF$2+$F42&lt;=24,2,3),FALSE)),$C$3)*(1+Projection!BH$16)*(1+IF(BF174&gt;0,'Attrition Modeling'!$N$9,0)))</f>
        <v>0</v>
      </c>
      <c r="BG42" s="799">
        <f>(BF42+BG174)*(1-IFERROR(IF(BG$2+$F42&lt;=12,SUMIFS('Attrition Modeling'!$D:$D,'Attrition Modeling'!$B:$B,'IP Attrition'!$D42,'Attrition Modeling'!$C:$C,'IP Attrition'!BG$1),VLOOKUP($F42+BG$2,$A$6:$C$106,2,FALSE)*VLOOKUP(BG$1,'Attrition Modeling'!$L$15:$N$27,IF(BG$2+$F42&lt;=24,2,3),FALSE)),$C$3)*(1+Projection!BI$16)*(1+IF(BG174&gt;0,'Attrition Modeling'!$N$9,0)))</f>
        <v>0</v>
      </c>
      <c r="BH42" s="799">
        <f>(BG42+BH174)*(1-IFERROR(IF(BH$2+$F42&lt;=12,SUMIFS('Attrition Modeling'!$D:$D,'Attrition Modeling'!$B:$B,'IP Attrition'!$D42,'Attrition Modeling'!$C:$C,'IP Attrition'!BH$1),VLOOKUP($F42+BH$2,$A$6:$C$106,2,FALSE)*VLOOKUP(BH$1,'Attrition Modeling'!$L$15:$N$27,IF(BH$2+$F42&lt;=24,2,3),FALSE)),$C$3)*(1+Projection!BJ$16)*(1+IF(BH174&gt;0,'Attrition Modeling'!$N$9,0)))</f>
        <v>0</v>
      </c>
      <c r="BI42" s="799">
        <f>(BH42+BI174)*(1-IFERROR(IF(BI$2+$F42&lt;=12,SUMIFS('Attrition Modeling'!$D:$D,'Attrition Modeling'!$B:$B,'IP Attrition'!$D42,'Attrition Modeling'!$C:$C,'IP Attrition'!BI$1),VLOOKUP($F42+BI$2,$A$6:$C$106,2,FALSE)*VLOOKUP(BI$1,'Attrition Modeling'!$L$15:$N$27,IF(BI$2+$F42&lt;=24,2,3),FALSE)),$C$3)*(1+Projection!BK$16)*(1+IF(BI174&gt;0,'Attrition Modeling'!$N$9,0)))</f>
        <v>0</v>
      </c>
      <c r="BJ42" s="799">
        <f>(BI42+BJ174)*(1-IFERROR(IF(BJ$2+$F42&lt;=12,SUMIFS('Attrition Modeling'!$D:$D,'Attrition Modeling'!$B:$B,'IP Attrition'!$D42,'Attrition Modeling'!$C:$C,'IP Attrition'!BJ$1),VLOOKUP($F42+BJ$2,$A$6:$C$106,2,FALSE)*VLOOKUP(BJ$1,'Attrition Modeling'!$L$15:$N$27,IF(BJ$2+$F42&lt;=24,2,3),FALSE)),$C$3)*(1+Projection!BL$16)*(1+IF(BJ174&gt;0,'Attrition Modeling'!$N$9,0)))</f>
        <v>0</v>
      </c>
      <c r="BK42" s="799">
        <f>(BJ42+BK174)*(1-IFERROR(IF(BK$2+$F42&lt;=12,SUMIFS('Attrition Modeling'!$D:$D,'Attrition Modeling'!$B:$B,'IP Attrition'!$D42,'Attrition Modeling'!$C:$C,'IP Attrition'!BK$1),VLOOKUP($F42+BK$2,$A$6:$C$106,2,FALSE)*VLOOKUP(BK$1,'Attrition Modeling'!$L$15:$N$27,IF(BK$2+$F42&lt;=24,2,3),FALSE)),$C$3)*(1+Projection!BM$16)*(1+IF(BK174&gt;0,'Attrition Modeling'!$N$9,0)))</f>
        <v>0</v>
      </c>
      <c r="BL42" s="799">
        <f>(BK42+BL174)*(1-IFERROR(IF(BL$2+$F42&lt;=12,SUMIFS('Attrition Modeling'!$D:$D,'Attrition Modeling'!$B:$B,'IP Attrition'!$D42,'Attrition Modeling'!$C:$C,'IP Attrition'!BL$1),VLOOKUP($F42+BL$2,$A$6:$C$106,2,FALSE)*VLOOKUP(BL$1,'Attrition Modeling'!$L$15:$N$27,IF(BL$2+$F42&lt;=24,2,3),FALSE)),$C$3)*(1+Projection!BN$16)*(1+IF(BL174&gt;0,'Attrition Modeling'!$N$9,0)))</f>
        <v>0</v>
      </c>
      <c r="BM42" s="799">
        <f>(BL42+BM174)*(1-IFERROR(IF(BM$2+$F42&lt;=12,SUMIFS('Attrition Modeling'!$D:$D,'Attrition Modeling'!$B:$B,'IP Attrition'!$D42,'Attrition Modeling'!$C:$C,'IP Attrition'!BM$1),VLOOKUP($F42+BM$2,$A$6:$C$106,2,FALSE)*VLOOKUP(BM$1,'Attrition Modeling'!$L$15:$N$27,IF(BM$2+$F42&lt;=24,2,3),FALSE)),$C$3)*(1+Projection!BO$16)*(1+IF(BM174&gt;0,'Attrition Modeling'!$N$9,0)))</f>
        <v>0</v>
      </c>
      <c r="BN42" s="799">
        <f>(BM42+BN174)*(1-IFERROR(IF(BN$2+$F42&lt;=12,SUMIFS('Attrition Modeling'!$D:$D,'Attrition Modeling'!$B:$B,'IP Attrition'!$D42,'Attrition Modeling'!$C:$C,'IP Attrition'!BN$1),VLOOKUP($F42+BN$2,$A$6:$C$106,2,FALSE)*VLOOKUP(BN$1,'Attrition Modeling'!$L$15:$N$27,IF(BN$2+$F42&lt;=24,2,3),FALSE)),$C$3)*(1+Projection!BP$16)*(1+IF(BN174&gt;0,'Attrition Modeling'!$N$9,0)))</f>
        <v>0</v>
      </c>
      <c r="BO42" s="799">
        <f>(BN42+BO174)*(1-IFERROR(IF(BO$2+$F42&lt;=12,SUMIFS('Attrition Modeling'!$D:$D,'Attrition Modeling'!$B:$B,'IP Attrition'!$D42,'Attrition Modeling'!$C:$C,'IP Attrition'!BO$1),VLOOKUP($F42+BO$2,$A$6:$C$106,2,FALSE)*VLOOKUP(BO$1,'Attrition Modeling'!$L$15:$N$27,IF(BO$2+$F42&lt;=24,2,3),FALSE)),$C$3)*(1+Projection!BV$16)*(1+IF(BO174&gt;0,'Attrition Modeling'!$N$9,0)))</f>
        <v>0</v>
      </c>
      <c r="BP42" s="799">
        <f>(BO42+BP174)*(1-IFERROR(IF(BP$2+$F42&lt;=12,SUMIFS('Attrition Modeling'!$D:$D,'Attrition Modeling'!$B:$B,'IP Attrition'!$D42,'Attrition Modeling'!$C:$C,'IP Attrition'!BP$1),VLOOKUP($F42+BP$2,$A$6:$C$106,2,FALSE)*VLOOKUP(BP$1,'Attrition Modeling'!$L$15:$N$27,IF(BP$2+$F42&lt;=24,2,3),FALSE)),$C$3)*(1+Projection!BW$16)*(1+IF(BP174&gt;0,'Attrition Modeling'!$N$9,0)))</f>
        <v>0</v>
      </c>
      <c r="BQ42" s="799">
        <f>(BP42+BQ174)*(1-IFERROR(IF(BQ$2+$F42&lt;=12,SUMIFS('Attrition Modeling'!$D:$D,'Attrition Modeling'!$B:$B,'IP Attrition'!$D42,'Attrition Modeling'!$C:$C,'IP Attrition'!BQ$1),VLOOKUP($F42+BQ$2,$A$6:$C$106,2,FALSE)*VLOOKUP(BQ$1,'Attrition Modeling'!$L$15:$N$27,IF(BQ$2+$F42&lt;=24,2,3),FALSE)),$C$3)*(1+Projection!BX$16)*(1+IF(BQ174&gt;0,'Attrition Modeling'!$N$9,0)))</f>
        <v>0</v>
      </c>
      <c r="BR42" s="799">
        <f>(BQ42+BR174)*(1-IFERROR(IF(BR$2+$F42&lt;=12,SUMIFS('Attrition Modeling'!$D:$D,'Attrition Modeling'!$B:$B,'IP Attrition'!$D42,'Attrition Modeling'!$C:$C,'IP Attrition'!BR$1),VLOOKUP($F42+BR$2,$A$6:$C$106,2,FALSE)*VLOOKUP(BR$1,'Attrition Modeling'!$L$15:$N$27,IF(BR$2+$F42&lt;=24,2,3),FALSE)),$C$3)*(1+Projection!BY$16)*(1+IF(BR174&gt;0,'Attrition Modeling'!$N$9,0)))</f>
        <v>0</v>
      </c>
      <c r="BS42" s="799">
        <f>(BR42+BS174)*(1-IFERROR(IF(BS$2+$F42&lt;=12,SUMIFS('Attrition Modeling'!$D:$D,'Attrition Modeling'!$B:$B,'IP Attrition'!$D42,'Attrition Modeling'!$C:$C,'IP Attrition'!BS$1),VLOOKUP($F42+BS$2,$A$6:$C$106,2,FALSE)*VLOOKUP(BS$1,'Attrition Modeling'!$L$15:$N$27,IF(BS$2+$F42&lt;=24,2,3),FALSE)),$C$3)*(1+Projection!BZ$16)*(1+IF(BS174&gt;0,'Attrition Modeling'!$N$9,0)))</f>
        <v>0</v>
      </c>
      <c r="BT42" s="799" t="e">
        <f>(BS42+BT174)*(1-IFERROR(IF(BT$2+$F42&lt;=12,SUMIFS('Attrition Modeling'!$D:$D,'Attrition Modeling'!$B:$B,'IP Attrition'!$D42,'Attrition Modeling'!$C:$C,'IP Attrition'!BT$1),VLOOKUP($F42+BT$2,$A$6:$C$106,2,FALSE)*VLOOKUP(BT$1,'Attrition Modeling'!$L$15:$N$27,IF(BT$2+$F42&lt;=24,2,3),FALSE)),$C$3)*(1+Projection!CA$16)*(1+IF(BT174&gt;0,'Attrition Modeling'!$N$9,0)))</f>
        <v>#REF!</v>
      </c>
      <c r="BU42" s="799" t="e">
        <f>(BT42+BU174)*(1-IFERROR(IF(BU$2+$F42&lt;=12,SUMIFS('Attrition Modeling'!$D:$D,'Attrition Modeling'!$B:$B,'IP Attrition'!$D42,'Attrition Modeling'!$C:$C,'IP Attrition'!BU$1),VLOOKUP($F42+BU$2,$A$6:$C$106,2,FALSE)*VLOOKUP(BU$1,'Attrition Modeling'!$L$15:$N$27,IF(BU$2+$F42&lt;=24,2,3),FALSE)),$C$3)*(1+Projection!CB$16)*(1+IF(BU174&gt;0,'Attrition Modeling'!$N$9,0)))</f>
        <v>#REF!</v>
      </c>
    </row>
    <row r="43" spans="1:73" ht="14.25" customHeight="1" x14ac:dyDescent="0.2">
      <c r="A43" s="9">
        <v>36</v>
      </c>
      <c r="B43" s="25">
        <f>MAX('Attrition Modeling'!H40,$C$3)*(1-Summary!$C$20)</f>
        <v>3.0177245030469362E-2</v>
      </c>
      <c r="C43" s="24" t="e">
        <f t="shared" si="3"/>
        <v>#DIV/0!</v>
      </c>
      <c r="D43" s="11">
        <f t="shared" si="1"/>
        <v>-40</v>
      </c>
      <c r="E43" s="807">
        <f t="array" ref="E43">INDEX('Attrition Modeling'!$X$2:$AF$63,MATCH($F43,'Attrition Modeling'!$X$2:$X$63,0),MATCH(Inputs!$C$10,'Attrition Modeling'!$X$2:$AF$2,0))</f>
        <v>0</v>
      </c>
      <c r="F43" s="11">
        <f t="shared" si="2"/>
        <v>40</v>
      </c>
      <c r="G43" s="799">
        <f>Summary!$C$25*$E43</f>
        <v>0</v>
      </c>
      <c r="H43" s="799">
        <f>(G43+H175)*(1-IFERROR(IF(H$2+$F43&lt;=12,SUMIFS('Attrition Modeling'!$D:$D,'Attrition Modeling'!$B:$B,'IP Attrition'!$D43,'Attrition Modeling'!$C:$C,'IP Attrition'!H$1),VLOOKUP($F43+H$2,$A$6:$C$106,2,FALSE)*VLOOKUP(H$1,'Attrition Modeling'!$L$15:$N$27,IF(H$2+$F43&lt;=24,2,3),FALSE)),$C$3)*(1+Projection!J$16)*(1+IF(H175&gt;0,'Attrition Modeling'!$N$9,0)))</f>
        <v>0</v>
      </c>
      <c r="I43" s="799">
        <f>(H43+I175)*(1-IFERROR(IF(I$2+$F43&lt;=12,SUMIFS('Attrition Modeling'!$D:$D,'Attrition Modeling'!$B:$B,'IP Attrition'!$D43,'Attrition Modeling'!$C:$C,'IP Attrition'!I$1),VLOOKUP($F43+I$2,$A$6:$C$106,2,FALSE)*VLOOKUP(I$1,'Attrition Modeling'!$L$15:$N$27,IF(I$2+$F43&lt;=24,2,3),FALSE)),$C$3)*(1+Projection!K$16)*(1+IF(I175&gt;0,'Attrition Modeling'!$N$9,0)))</f>
        <v>0</v>
      </c>
      <c r="J43" s="799">
        <f>(I43+J175)*(1-IFERROR(IF(J$2+$F43&lt;=12,SUMIFS('Attrition Modeling'!$D:$D,'Attrition Modeling'!$B:$B,'IP Attrition'!$D43,'Attrition Modeling'!$C:$C,'IP Attrition'!J$1),VLOOKUP($F43+J$2,$A$6:$C$106,2,FALSE)*VLOOKUP(J$1,'Attrition Modeling'!$L$15:$N$27,IF(J$2+$F43&lt;=24,2,3),FALSE)),$C$3)*(1+Projection!L$16)*(1+IF(J175&gt;0,'Attrition Modeling'!$N$9,0)))</f>
        <v>0</v>
      </c>
      <c r="K43" s="799">
        <f>(J43+K175)*(1-IFERROR(IF(K$2+$F43&lt;=12,SUMIFS('Attrition Modeling'!$D:$D,'Attrition Modeling'!$B:$B,'IP Attrition'!$D43,'Attrition Modeling'!$C:$C,'IP Attrition'!K$1),VLOOKUP($F43+K$2,$A$6:$C$106,2,FALSE)*VLOOKUP(K$1,'Attrition Modeling'!$L$15:$N$27,IF(K$2+$F43&lt;=24,2,3),FALSE)),$C$3)*(1+Projection!M$16)*(1+IF(K175&gt;0,'Attrition Modeling'!$N$9,0)))</f>
        <v>0</v>
      </c>
      <c r="L43" s="799">
        <f>(K43+L175)*(1-IFERROR(IF(L$2+$F43&lt;=12,SUMIFS('Attrition Modeling'!$D:$D,'Attrition Modeling'!$B:$B,'IP Attrition'!$D43,'Attrition Modeling'!$C:$C,'IP Attrition'!L$1),VLOOKUP($F43+L$2,$A$6:$C$106,2,FALSE)*VLOOKUP(L$1,'Attrition Modeling'!$L$15:$N$27,IF(L$2+$F43&lt;=24,2,3),FALSE)),$C$3)*(1+Projection!N$16)*(1+IF(L175&gt;0,'Attrition Modeling'!$N$9,0)))</f>
        <v>0</v>
      </c>
      <c r="M43" s="799">
        <f>(L43+M175)*(1-IFERROR(IF(M$2+$F43&lt;=12,SUMIFS('Attrition Modeling'!$D:$D,'Attrition Modeling'!$B:$B,'IP Attrition'!$D43,'Attrition Modeling'!$C:$C,'IP Attrition'!M$1),VLOOKUP($F43+M$2,$A$6:$C$106,2,FALSE)*VLOOKUP(M$1,'Attrition Modeling'!$L$15:$N$27,IF(M$2+$F43&lt;=24,2,3),FALSE)),$C$3)*(1+Projection!O$16)*(1+IF(M175&gt;0,'Attrition Modeling'!$N$9,0)))</f>
        <v>0</v>
      </c>
      <c r="N43" s="799">
        <f>(M43+N175)*(1-IFERROR(IF(N$2+$F43&lt;=12,SUMIFS('Attrition Modeling'!$D:$D,'Attrition Modeling'!$B:$B,'IP Attrition'!$D43,'Attrition Modeling'!$C:$C,'IP Attrition'!N$1),VLOOKUP($F43+N$2,$A$6:$C$106,2,FALSE)*VLOOKUP(N$1,'Attrition Modeling'!$L$15:$N$27,IF(N$2+$F43&lt;=24,2,3),FALSE)),$C$3)*(1+Projection!P$16)*(1+IF(N175&gt;0,'Attrition Modeling'!$N$9,0)))</f>
        <v>0</v>
      </c>
      <c r="O43" s="799">
        <f>(N43+O175)*(1-IFERROR(IF(O$2+$F43&lt;=12,SUMIFS('Attrition Modeling'!$D:$D,'Attrition Modeling'!$B:$B,'IP Attrition'!$D43,'Attrition Modeling'!$C:$C,'IP Attrition'!O$1),VLOOKUP($F43+O$2,$A$6:$C$106,2,FALSE)*VLOOKUP(O$1,'Attrition Modeling'!$L$15:$N$27,IF(O$2+$F43&lt;=24,2,3),FALSE)),$C$3)*(1+Projection!Q$16)*(1+IF(O175&gt;0,'Attrition Modeling'!$N$9,0)))</f>
        <v>0</v>
      </c>
      <c r="P43" s="799">
        <f>(O43+P175)*(1-IFERROR(IF(P$2+$F43&lt;=12,SUMIFS('Attrition Modeling'!$D:$D,'Attrition Modeling'!$B:$B,'IP Attrition'!$D43,'Attrition Modeling'!$C:$C,'IP Attrition'!P$1),VLOOKUP($F43+P$2,$A$6:$C$106,2,FALSE)*VLOOKUP(P$1,'Attrition Modeling'!$L$15:$N$27,IF(P$2+$F43&lt;=24,2,3),FALSE)),$C$3)*(1+Projection!R$16)*(1+IF(P175&gt;0,'Attrition Modeling'!$N$9,0)))</f>
        <v>0</v>
      </c>
      <c r="Q43" s="799">
        <f>(P43+Q175)*(1-IFERROR(IF(Q$2+$F43&lt;=12,SUMIFS('Attrition Modeling'!$D:$D,'Attrition Modeling'!$B:$B,'IP Attrition'!$D43,'Attrition Modeling'!$C:$C,'IP Attrition'!Q$1),VLOOKUP($F43+Q$2,$A$6:$C$106,2,FALSE)*VLOOKUP(Q$1,'Attrition Modeling'!$L$15:$N$27,IF(Q$2+$F43&lt;=24,2,3),FALSE)),$C$3)*(1+Projection!S$16)*(1+IF(Q175&gt;0,'Attrition Modeling'!$N$9,0)))</f>
        <v>0</v>
      </c>
      <c r="R43" s="799">
        <f>(Q43+R175)*(1-IFERROR(IF(R$2+$F43&lt;=12,SUMIFS('Attrition Modeling'!$D:$D,'Attrition Modeling'!$B:$B,'IP Attrition'!$D43,'Attrition Modeling'!$C:$C,'IP Attrition'!R$1),VLOOKUP($F43+R$2,$A$6:$C$106,2,FALSE)*VLOOKUP(R$1,'Attrition Modeling'!$L$15:$N$27,IF(R$2+$F43&lt;=24,2,3),FALSE)),$C$3)*(1+Projection!T$16)*(1+IF(R175&gt;0,'Attrition Modeling'!$N$9,0)))</f>
        <v>0</v>
      </c>
      <c r="S43" s="799">
        <f>(R43+S175)*(1-IFERROR(IF(S$2+$F43&lt;=12,SUMIFS('Attrition Modeling'!$D:$D,'Attrition Modeling'!$B:$B,'IP Attrition'!$D43,'Attrition Modeling'!$C:$C,'IP Attrition'!S$1),VLOOKUP($F43+S$2,$A$6:$C$106,2,FALSE)*VLOOKUP(S$1,'Attrition Modeling'!$L$15:$N$27,IF(S$2+$F43&lt;=24,2,3),FALSE)),$C$3)*(1+Projection!U$16)*(1+IF(S175&gt;0,'Attrition Modeling'!$N$9,0)))</f>
        <v>0</v>
      </c>
      <c r="T43" s="799">
        <f>(S43+T175)*(1-IFERROR(IF(T$2+$F43&lt;=12,SUMIFS('Attrition Modeling'!$D:$D,'Attrition Modeling'!$B:$B,'IP Attrition'!$D43,'Attrition Modeling'!$C:$C,'IP Attrition'!T$1),VLOOKUP($F43+T$2,$A$6:$C$106,2,FALSE)*VLOOKUP(T$1,'Attrition Modeling'!$L$15:$N$27,IF(T$2+$F43&lt;=24,2,3),FALSE)),$C$3)*(1+Projection!V$16)*(1+IF(T175&gt;0,'Attrition Modeling'!$N$9,0)))</f>
        <v>0</v>
      </c>
      <c r="U43" s="799">
        <f>(T43+U175)*(1-IFERROR(IF(U$2+$F43&lt;=12,SUMIFS('Attrition Modeling'!$D:$D,'Attrition Modeling'!$B:$B,'IP Attrition'!$D43,'Attrition Modeling'!$C:$C,'IP Attrition'!U$1),VLOOKUP($F43+U$2,$A$6:$C$106,2,FALSE)*VLOOKUP(U$1,'Attrition Modeling'!$L$15:$N$27,IF(U$2+$F43&lt;=24,2,3),FALSE)),$C$3)*(1+Projection!W$16)*(1+IF(U175&gt;0,'Attrition Modeling'!$N$9,0)))</f>
        <v>0</v>
      </c>
      <c r="V43" s="799">
        <f>(U43+V175)*(1-IFERROR(IF(V$2+$F43&lt;=12,SUMIFS('Attrition Modeling'!$D:$D,'Attrition Modeling'!$B:$B,'IP Attrition'!$D43,'Attrition Modeling'!$C:$C,'IP Attrition'!V$1),VLOOKUP($F43+V$2,$A$6:$C$106,2,FALSE)*VLOOKUP(V$1,'Attrition Modeling'!$L$15:$N$27,IF(V$2+$F43&lt;=24,2,3),FALSE)),$C$3)*(1+Projection!X$16)*(1+IF(V175&gt;0,'Attrition Modeling'!$N$9,0)))</f>
        <v>0</v>
      </c>
      <c r="W43" s="799">
        <f>(V43+W175)*(1-IFERROR(IF(W$2+$F43&lt;=12,SUMIFS('Attrition Modeling'!$D:$D,'Attrition Modeling'!$B:$B,'IP Attrition'!$D43,'Attrition Modeling'!$C:$C,'IP Attrition'!W$1),VLOOKUP($F43+W$2,$A$6:$C$106,2,FALSE)*VLOOKUP(W$1,'Attrition Modeling'!$L$15:$N$27,IF(W$2+$F43&lt;=24,2,3),FALSE)),$C$3)*(1+Projection!Y$16)*(1+IF(W175&gt;0,'Attrition Modeling'!$N$9,0)))</f>
        <v>0</v>
      </c>
      <c r="X43" s="799">
        <f>(W43+X175)*(1-IFERROR(IF(X$2+$F43&lt;=12,SUMIFS('Attrition Modeling'!$D:$D,'Attrition Modeling'!$B:$B,'IP Attrition'!$D43,'Attrition Modeling'!$C:$C,'IP Attrition'!X$1),VLOOKUP($F43+X$2,$A$6:$C$106,2,FALSE)*VLOOKUP(X$1,'Attrition Modeling'!$L$15:$N$27,IF(X$2+$F43&lt;=24,2,3),FALSE)),$C$3)*(1+Projection!Z$16)*(1+IF(X175&gt;0,'Attrition Modeling'!$N$9,0)))</f>
        <v>0</v>
      </c>
      <c r="Y43" s="799">
        <f>(X43+Y175)*(1-IFERROR(IF(Y$2+$F43&lt;=12,SUMIFS('Attrition Modeling'!$D:$D,'Attrition Modeling'!$B:$B,'IP Attrition'!$D43,'Attrition Modeling'!$C:$C,'IP Attrition'!Y$1),VLOOKUP($F43+Y$2,$A$6:$C$106,2,FALSE)*VLOOKUP(Y$1,'Attrition Modeling'!$L$15:$N$27,IF(Y$2+$F43&lt;=24,2,3),FALSE)),$C$3)*(1+Projection!AA$16)*(1+IF(Y175&gt;0,'Attrition Modeling'!$N$9,0)))</f>
        <v>0</v>
      </c>
      <c r="Z43" s="799">
        <f>(Y43+Z175)*(1-IFERROR(IF(Z$2+$F43&lt;=12,SUMIFS('Attrition Modeling'!$D:$D,'Attrition Modeling'!$B:$B,'IP Attrition'!$D43,'Attrition Modeling'!$C:$C,'IP Attrition'!Z$1),VLOOKUP($F43+Z$2,$A$6:$C$106,2,FALSE)*VLOOKUP(Z$1,'Attrition Modeling'!$L$15:$N$27,IF(Z$2+$F43&lt;=24,2,3),FALSE)),$C$3)*(1+Projection!AB$16)*(1+IF(Z175&gt;0,'Attrition Modeling'!$N$9,0)))</f>
        <v>0</v>
      </c>
      <c r="AA43" s="799">
        <f>(Z43+AA175)*(1-IFERROR(IF(AA$2+$F43&lt;=12,SUMIFS('Attrition Modeling'!$D:$D,'Attrition Modeling'!$B:$B,'IP Attrition'!$D43,'Attrition Modeling'!$C:$C,'IP Attrition'!AA$1),VLOOKUP($F43+AA$2,$A$6:$C$106,2,FALSE)*VLOOKUP(AA$1,'Attrition Modeling'!$L$15:$N$27,IF(AA$2+$F43&lt;=24,2,3),FALSE)),$C$3)*(1+Projection!AC$16)*(1+IF(AA175&gt;0,'Attrition Modeling'!$N$9,0)))</f>
        <v>0</v>
      </c>
      <c r="AB43" s="799">
        <f>(AA43+AB175)*(1-IFERROR(IF(AB$2+$F43&lt;=12,SUMIFS('Attrition Modeling'!$D:$D,'Attrition Modeling'!$B:$B,'IP Attrition'!$D43,'Attrition Modeling'!$C:$C,'IP Attrition'!AB$1),VLOOKUP($F43+AB$2,$A$6:$C$106,2,FALSE)*VLOOKUP(AB$1,'Attrition Modeling'!$L$15:$N$27,IF(AB$2+$F43&lt;=24,2,3),FALSE)),$C$3)*(1+Projection!AD$16)*(1+IF(AB175&gt;0,'Attrition Modeling'!$N$9,0)))</f>
        <v>0</v>
      </c>
      <c r="AC43" s="799">
        <f>(AB43+AC175)*(1-IFERROR(IF(AC$2+$F43&lt;=12,SUMIFS('Attrition Modeling'!$D:$D,'Attrition Modeling'!$B:$B,'IP Attrition'!$D43,'Attrition Modeling'!$C:$C,'IP Attrition'!AC$1),VLOOKUP($F43+AC$2,$A$6:$C$106,2,FALSE)*VLOOKUP(AC$1,'Attrition Modeling'!$L$15:$N$27,IF(AC$2+$F43&lt;=24,2,3),FALSE)),$C$3)*(1+Projection!AE$16)*(1+IF(AC175&gt;0,'Attrition Modeling'!$N$9,0)))</f>
        <v>0</v>
      </c>
      <c r="AD43" s="799">
        <f>(AC43+AD175)*(1-IFERROR(IF(AD$2+$F43&lt;=12,SUMIFS('Attrition Modeling'!$D:$D,'Attrition Modeling'!$B:$B,'IP Attrition'!$D43,'Attrition Modeling'!$C:$C,'IP Attrition'!AD$1),VLOOKUP($F43+AD$2,$A$6:$C$106,2,FALSE)*VLOOKUP(AD$1,'Attrition Modeling'!$L$15:$N$27,IF(AD$2+$F43&lt;=24,2,3),FALSE)),$C$3)*(1+Projection!AF$16)*(1+IF(AD175&gt;0,'Attrition Modeling'!$N$9,0)))</f>
        <v>0</v>
      </c>
      <c r="AE43" s="799">
        <f>(AD43+AE175)*(1-IFERROR(IF(AE$2+$F43&lt;=12,SUMIFS('Attrition Modeling'!$D:$D,'Attrition Modeling'!$B:$B,'IP Attrition'!$D43,'Attrition Modeling'!$C:$C,'IP Attrition'!AE$1),VLOOKUP($F43+AE$2,$A$6:$C$106,2,FALSE)*VLOOKUP(AE$1,'Attrition Modeling'!$L$15:$N$27,IF(AE$2+$F43&lt;=24,2,3),FALSE)),$C$3)*(1+Projection!AG$16)*(1+IF(AE175&gt;0,'Attrition Modeling'!$N$9,0)))</f>
        <v>0</v>
      </c>
      <c r="AF43" s="799">
        <f>(AE43+AF175)*(1-IFERROR(IF(AF$2+$F43&lt;=12,SUMIFS('Attrition Modeling'!$D:$D,'Attrition Modeling'!$B:$B,'IP Attrition'!$D43,'Attrition Modeling'!$C:$C,'IP Attrition'!AF$1),VLOOKUP($F43+AF$2,$A$6:$C$106,2,FALSE)*VLOOKUP(AF$1,'Attrition Modeling'!$L$15:$N$27,IF(AF$2+$F43&lt;=24,2,3),FALSE)),$C$3)*(1+Projection!AH$16)*(1+IF(AF175&gt;0,'Attrition Modeling'!$N$9,0)))</f>
        <v>0</v>
      </c>
      <c r="AG43" s="799">
        <f>(AF43+AG175)*(1-IFERROR(IF(AG$2+$F43&lt;=12,SUMIFS('Attrition Modeling'!$D:$D,'Attrition Modeling'!$B:$B,'IP Attrition'!$D43,'Attrition Modeling'!$C:$C,'IP Attrition'!AG$1),VLOOKUP($F43+AG$2,$A$6:$C$106,2,FALSE)*VLOOKUP(AG$1,'Attrition Modeling'!$L$15:$N$27,IF(AG$2+$F43&lt;=24,2,3),FALSE)),$C$3)*(1+Projection!AI$16)*(1+IF(AG175&gt;0,'Attrition Modeling'!$N$9,0)))</f>
        <v>0</v>
      </c>
      <c r="AH43" s="799">
        <f>(AG43+AH175)*(1-IFERROR(IF(AH$2+$F43&lt;=12,SUMIFS('Attrition Modeling'!$D:$D,'Attrition Modeling'!$B:$B,'IP Attrition'!$D43,'Attrition Modeling'!$C:$C,'IP Attrition'!AH$1),VLOOKUP($F43+AH$2,$A$6:$C$106,2,FALSE)*VLOOKUP(AH$1,'Attrition Modeling'!$L$15:$N$27,IF(AH$2+$F43&lt;=24,2,3),FALSE)),$C$3)*(1+Projection!AJ$16)*(1+IF(AH175&gt;0,'Attrition Modeling'!$N$9,0)))</f>
        <v>0</v>
      </c>
      <c r="AI43" s="799">
        <f>(AH43+AI175)*(1-IFERROR(IF(AI$2+$F43&lt;=12,SUMIFS('Attrition Modeling'!$D:$D,'Attrition Modeling'!$B:$B,'IP Attrition'!$D43,'Attrition Modeling'!$C:$C,'IP Attrition'!AI$1),VLOOKUP($F43+AI$2,$A$6:$C$106,2,FALSE)*VLOOKUP(AI$1,'Attrition Modeling'!$L$15:$N$27,IF(AI$2+$F43&lt;=24,2,3),FALSE)),$C$3)*(1+Projection!AK$16)*(1+IF(AI175&gt;0,'Attrition Modeling'!$N$9,0)))</f>
        <v>0</v>
      </c>
      <c r="AJ43" s="799">
        <f>(AI43+AJ175)*(1-IFERROR(IF(AJ$2+$F43&lt;=12,SUMIFS('Attrition Modeling'!$D:$D,'Attrition Modeling'!$B:$B,'IP Attrition'!$D43,'Attrition Modeling'!$C:$C,'IP Attrition'!AJ$1),VLOOKUP($F43+AJ$2,$A$6:$C$106,2,FALSE)*VLOOKUP(AJ$1,'Attrition Modeling'!$L$15:$N$27,IF(AJ$2+$F43&lt;=24,2,3),FALSE)),$C$3)*(1+Projection!AL$16)*(1+IF(AJ175&gt;0,'Attrition Modeling'!$N$9,0)))</f>
        <v>0</v>
      </c>
      <c r="AK43" s="799">
        <f>(AJ43+AK175)*(1-IFERROR(IF(AK$2+$F43&lt;=12,SUMIFS('Attrition Modeling'!$D:$D,'Attrition Modeling'!$B:$B,'IP Attrition'!$D43,'Attrition Modeling'!$C:$C,'IP Attrition'!AK$1),VLOOKUP($F43+AK$2,$A$6:$C$106,2,FALSE)*VLOOKUP(AK$1,'Attrition Modeling'!$L$15:$N$27,IF(AK$2+$F43&lt;=24,2,3),FALSE)),$C$3)*(1+Projection!AM$16)*(1+IF(AK175&gt;0,'Attrition Modeling'!$N$9,0)))</f>
        <v>0</v>
      </c>
      <c r="AL43" s="799">
        <f>(AK43+AL175)*(1-IFERROR(IF(AL$2+$F43&lt;=12,SUMIFS('Attrition Modeling'!$D:$D,'Attrition Modeling'!$B:$B,'IP Attrition'!$D43,'Attrition Modeling'!$C:$C,'IP Attrition'!AL$1),VLOOKUP($F43+AL$2,$A$6:$C$106,2,FALSE)*VLOOKUP(AL$1,'Attrition Modeling'!$L$15:$N$27,IF(AL$2+$F43&lt;=24,2,3),FALSE)),$C$3)*(1+Projection!AN$16)*(1+IF(AL175&gt;0,'Attrition Modeling'!$N$9,0)))</f>
        <v>0</v>
      </c>
      <c r="AM43" s="799">
        <f>(AL43+AM175)*(1-IFERROR(IF(AM$2+$F43&lt;=12,SUMIFS('Attrition Modeling'!$D:$D,'Attrition Modeling'!$B:$B,'IP Attrition'!$D43,'Attrition Modeling'!$C:$C,'IP Attrition'!AM$1),VLOOKUP($F43+AM$2,$A$6:$C$106,2,FALSE)*VLOOKUP(AM$1,'Attrition Modeling'!$L$15:$N$27,IF(AM$2+$F43&lt;=24,2,3),FALSE)),$C$3)*(1+Projection!AO$16)*(1+IF(AM175&gt;0,'Attrition Modeling'!$N$9,0)))</f>
        <v>0</v>
      </c>
      <c r="AN43" s="799">
        <f>(AM43+AN175)*(1-IFERROR(IF(AN$2+$F43&lt;=12,SUMIFS('Attrition Modeling'!$D:$D,'Attrition Modeling'!$B:$B,'IP Attrition'!$D43,'Attrition Modeling'!$C:$C,'IP Attrition'!AN$1),VLOOKUP($F43+AN$2,$A$6:$C$106,2,FALSE)*VLOOKUP(AN$1,'Attrition Modeling'!$L$15:$N$27,IF(AN$2+$F43&lt;=24,2,3),FALSE)),$C$3)*(1+Projection!AP$16)*(1+IF(AN175&gt;0,'Attrition Modeling'!$N$9,0)))</f>
        <v>0</v>
      </c>
      <c r="AO43" s="799">
        <f>(AN43+AO175)*(1-IFERROR(IF(AO$2+$F43&lt;=12,SUMIFS('Attrition Modeling'!$D:$D,'Attrition Modeling'!$B:$B,'IP Attrition'!$D43,'Attrition Modeling'!$C:$C,'IP Attrition'!AO$1),VLOOKUP($F43+AO$2,$A$6:$C$106,2,FALSE)*VLOOKUP(AO$1,'Attrition Modeling'!$L$15:$N$27,IF(AO$2+$F43&lt;=24,2,3),FALSE)),$C$3)*(1+Projection!AQ$16)*(1+IF(AO175&gt;0,'Attrition Modeling'!$N$9,0)))</f>
        <v>0</v>
      </c>
      <c r="AP43" s="799">
        <f>(AO43+AP175)*(1-IFERROR(IF(AP$2+$F43&lt;=12,SUMIFS('Attrition Modeling'!$D:$D,'Attrition Modeling'!$B:$B,'IP Attrition'!$D43,'Attrition Modeling'!$C:$C,'IP Attrition'!AP$1),VLOOKUP($F43+AP$2,$A$6:$C$106,2,FALSE)*VLOOKUP(AP$1,'Attrition Modeling'!$L$15:$N$27,IF(AP$2+$F43&lt;=24,2,3),FALSE)),$C$3)*(1+Projection!AR$16)*(1+IF(AP175&gt;0,'Attrition Modeling'!$N$9,0)))</f>
        <v>0</v>
      </c>
      <c r="AQ43" s="799">
        <f>(AP43+AQ175)*(1-IFERROR(IF(AQ$2+$F43&lt;=12,SUMIFS('Attrition Modeling'!$D:$D,'Attrition Modeling'!$B:$B,'IP Attrition'!$D43,'Attrition Modeling'!$C:$C,'IP Attrition'!AQ$1),VLOOKUP($F43+AQ$2,$A$6:$C$106,2,FALSE)*VLOOKUP(AQ$1,'Attrition Modeling'!$L$15:$N$27,IF(AQ$2+$F43&lt;=24,2,3),FALSE)),$C$3)*(1+Projection!AS$16)*(1+IF(AQ175&gt;0,'Attrition Modeling'!$N$9,0)))</f>
        <v>0</v>
      </c>
      <c r="AR43" s="799">
        <f>(AQ43+AR175)*(1-IFERROR(IF(AR$2+$F43&lt;=12,SUMIFS('Attrition Modeling'!$D:$D,'Attrition Modeling'!$B:$B,'IP Attrition'!$D43,'Attrition Modeling'!$C:$C,'IP Attrition'!AR$1),VLOOKUP($F43+AR$2,$A$6:$C$106,2,FALSE)*VLOOKUP(AR$1,'Attrition Modeling'!$L$15:$N$27,IF(AR$2+$F43&lt;=24,2,3),FALSE)),$C$3)*(1+Projection!AT$16)*(1+IF(AR175&gt;0,'Attrition Modeling'!$N$9,0)))</f>
        <v>0</v>
      </c>
      <c r="AS43" s="799">
        <f>(AR43+AS175)*(1-IFERROR(IF(AS$2+$F43&lt;=12,SUMIFS('Attrition Modeling'!$D:$D,'Attrition Modeling'!$B:$B,'IP Attrition'!$D43,'Attrition Modeling'!$C:$C,'IP Attrition'!AS$1),VLOOKUP($F43+AS$2,$A$6:$C$106,2,FALSE)*VLOOKUP(AS$1,'Attrition Modeling'!$L$15:$N$27,IF(AS$2+$F43&lt;=24,2,3),FALSE)),$C$3)*(1+Projection!AU$16)*(1+IF(AS175&gt;0,'Attrition Modeling'!$N$9,0)))</f>
        <v>0</v>
      </c>
      <c r="AT43" s="799">
        <f>(AS43+AT175)*(1-IFERROR(IF(AT$2+$F43&lt;=12,SUMIFS('Attrition Modeling'!$D:$D,'Attrition Modeling'!$B:$B,'IP Attrition'!$D43,'Attrition Modeling'!$C:$C,'IP Attrition'!AT$1),VLOOKUP($F43+AT$2,$A$6:$C$106,2,FALSE)*VLOOKUP(AT$1,'Attrition Modeling'!$L$15:$N$27,IF(AT$2+$F43&lt;=24,2,3),FALSE)),$C$3)*(1+Projection!AV$16)*(1+IF(AT175&gt;0,'Attrition Modeling'!$N$9,0)))</f>
        <v>0</v>
      </c>
      <c r="AU43" s="799">
        <f>(AT43+AU175)*(1-IFERROR(IF(AU$2+$F43&lt;=12,SUMIFS('Attrition Modeling'!$D:$D,'Attrition Modeling'!$B:$B,'IP Attrition'!$D43,'Attrition Modeling'!$C:$C,'IP Attrition'!AU$1),VLOOKUP($F43+AU$2,$A$6:$C$106,2,FALSE)*VLOOKUP(AU$1,'Attrition Modeling'!$L$15:$N$27,IF(AU$2+$F43&lt;=24,2,3),FALSE)),$C$3)*(1+Projection!AW$16)*(1+IF(AU175&gt;0,'Attrition Modeling'!$N$9,0)))</f>
        <v>0</v>
      </c>
      <c r="AV43" s="799">
        <f>(AU43+AV175)*(1-IFERROR(IF(AV$2+$F43&lt;=12,SUMIFS('Attrition Modeling'!$D:$D,'Attrition Modeling'!$B:$B,'IP Attrition'!$D43,'Attrition Modeling'!$C:$C,'IP Attrition'!AV$1),VLOOKUP($F43+AV$2,$A$6:$C$106,2,FALSE)*VLOOKUP(AV$1,'Attrition Modeling'!$L$15:$N$27,IF(AV$2+$F43&lt;=24,2,3),FALSE)),$C$3)*(1+Projection!AX$16)*(1+IF(AV175&gt;0,'Attrition Modeling'!$N$9,0)))</f>
        <v>0</v>
      </c>
      <c r="AW43" s="799">
        <f>(AV43+AW175)*(1-IFERROR(IF(AW$2+$F43&lt;=12,SUMIFS('Attrition Modeling'!$D:$D,'Attrition Modeling'!$B:$B,'IP Attrition'!$D43,'Attrition Modeling'!$C:$C,'IP Attrition'!AW$1),VLOOKUP($F43+AW$2,$A$6:$C$106,2,FALSE)*VLOOKUP(AW$1,'Attrition Modeling'!$L$15:$N$27,IF(AW$2+$F43&lt;=24,2,3),FALSE)),$C$3)*(1+Projection!AY$16)*(1+IF(AW175&gt;0,'Attrition Modeling'!$N$9,0)))</f>
        <v>0</v>
      </c>
      <c r="AX43" s="799">
        <f>(AW43+AX175)*(1-IFERROR(IF(AX$2+$F43&lt;=12,SUMIFS('Attrition Modeling'!$D:$D,'Attrition Modeling'!$B:$B,'IP Attrition'!$D43,'Attrition Modeling'!$C:$C,'IP Attrition'!AX$1),VLOOKUP($F43+AX$2,$A$6:$C$106,2,FALSE)*VLOOKUP(AX$1,'Attrition Modeling'!$L$15:$N$27,IF(AX$2+$F43&lt;=24,2,3),FALSE)),$C$3)*(1+Projection!AZ$16)*(1+IF(AX175&gt;0,'Attrition Modeling'!$N$9,0)))</f>
        <v>0</v>
      </c>
      <c r="AY43" s="799">
        <f>(AX43+AY175)*(1-IFERROR(IF(AY$2+$F43&lt;=12,SUMIFS('Attrition Modeling'!$D:$D,'Attrition Modeling'!$B:$B,'IP Attrition'!$D43,'Attrition Modeling'!$C:$C,'IP Attrition'!AY$1),VLOOKUP($F43+AY$2,$A$6:$C$106,2,FALSE)*VLOOKUP(AY$1,'Attrition Modeling'!$L$15:$N$27,IF(AY$2+$F43&lt;=24,2,3),FALSE)),$C$3)*(1+Projection!BA$16)*(1+IF(AY175&gt;0,'Attrition Modeling'!$N$9,0)))</f>
        <v>0</v>
      </c>
      <c r="AZ43" s="799">
        <f>(AY43+AZ175)*(1-IFERROR(IF(AZ$2+$F43&lt;=12,SUMIFS('Attrition Modeling'!$D:$D,'Attrition Modeling'!$B:$B,'IP Attrition'!$D43,'Attrition Modeling'!$C:$C,'IP Attrition'!AZ$1),VLOOKUP($F43+AZ$2,$A$6:$C$106,2,FALSE)*VLOOKUP(AZ$1,'Attrition Modeling'!$L$15:$N$27,IF(AZ$2+$F43&lt;=24,2,3),FALSE)),$C$3)*(1+Projection!BB$16)*(1+IF(AZ175&gt;0,'Attrition Modeling'!$N$9,0)))</f>
        <v>0</v>
      </c>
      <c r="BA43" s="799">
        <f>(AZ43+BA175)*(1-IFERROR(IF(BA$2+$F43&lt;=12,SUMIFS('Attrition Modeling'!$D:$D,'Attrition Modeling'!$B:$B,'IP Attrition'!$D43,'Attrition Modeling'!$C:$C,'IP Attrition'!BA$1),VLOOKUP($F43+BA$2,$A$6:$C$106,2,FALSE)*VLOOKUP(BA$1,'Attrition Modeling'!$L$15:$N$27,IF(BA$2+$F43&lt;=24,2,3),FALSE)),$C$3)*(1+Projection!BC$16)*(1+IF(BA175&gt;0,'Attrition Modeling'!$N$9,0)))</f>
        <v>0</v>
      </c>
      <c r="BB43" s="799">
        <f>(BA43+BB175)*(1-IFERROR(IF(BB$2+$F43&lt;=12,SUMIFS('Attrition Modeling'!$D:$D,'Attrition Modeling'!$B:$B,'IP Attrition'!$D43,'Attrition Modeling'!$C:$C,'IP Attrition'!BB$1),VLOOKUP($F43+BB$2,$A$6:$C$106,2,FALSE)*VLOOKUP(BB$1,'Attrition Modeling'!$L$15:$N$27,IF(BB$2+$F43&lt;=24,2,3),FALSE)),$C$3)*(1+Projection!BD$16)*(1+IF(BB175&gt;0,'Attrition Modeling'!$N$9,0)))</f>
        <v>0</v>
      </c>
      <c r="BC43" s="799">
        <f>(BB43+BC175)*(1-IFERROR(IF(BC$2+$F43&lt;=12,SUMIFS('Attrition Modeling'!$D:$D,'Attrition Modeling'!$B:$B,'IP Attrition'!$D43,'Attrition Modeling'!$C:$C,'IP Attrition'!BC$1),VLOOKUP($F43+BC$2,$A$6:$C$106,2,FALSE)*VLOOKUP(BC$1,'Attrition Modeling'!$L$15:$N$27,IF(BC$2+$F43&lt;=24,2,3),FALSE)),$C$3)*(1+Projection!BE$16)*(1+IF(BC175&gt;0,'Attrition Modeling'!$N$9,0)))</f>
        <v>0</v>
      </c>
      <c r="BD43" s="799">
        <f>(BC43+BD175)*(1-IFERROR(IF(BD$2+$F43&lt;=12,SUMIFS('Attrition Modeling'!$D:$D,'Attrition Modeling'!$B:$B,'IP Attrition'!$D43,'Attrition Modeling'!$C:$C,'IP Attrition'!BD$1),VLOOKUP($F43+BD$2,$A$6:$C$106,2,FALSE)*VLOOKUP(BD$1,'Attrition Modeling'!$L$15:$N$27,IF(BD$2+$F43&lt;=24,2,3),FALSE)),$C$3)*(1+Projection!BF$16)*(1+IF(BD175&gt;0,'Attrition Modeling'!$N$9,0)))</f>
        <v>0</v>
      </c>
      <c r="BE43" s="799">
        <f>(BD43+BE175)*(1-IFERROR(IF(BE$2+$F43&lt;=12,SUMIFS('Attrition Modeling'!$D:$D,'Attrition Modeling'!$B:$B,'IP Attrition'!$D43,'Attrition Modeling'!$C:$C,'IP Attrition'!BE$1),VLOOKUP($F43+BE$2,$A$6:$C$106,2,FALSE)*VLOOKUP(BE$1,'Attrition Modeling'!$L$15:$N$27,IF(BE$2+$F43&lt;=24,2,3),FALSE)),$C$3)*(1+Projection!BG$16)*(1+IF(BE175&gt;0,'Attrition Modeling'!$N$9,0)))</f>
        <v>0</v>
      </c>
      <c r="BF43" s="799">
        <f>(BE43+BF175)*(1-IFERROR(IF(BF$2+$F43&lt;=12,SUMIFS('Attrition Modeling'!$D:$D,'Attrition Modeling'!$B:$B,'IP Attrition'!$D43,'Attrition Modeling'!$C:$C,'IP Attrition'!BF$1),VLOOKUP($F43+BF$2,$A$6:$C$106,2,FALSE)*VLOOKUP(BF$1,'Attrition Modeling'!$L$15:$N$27,IF(BF$2+$F43&lt;=24,2,3),FALSE)),$C$3)*(1+Projection!BH$16)*(1+IF(BF175&gt;0,'Attrition Modeling'!$N$9,0)))</f>
        <v>0</v>
      </c>
      <c r="BG43" s="799">
        <f>(BF43+BG175)*(1-IFERROR(IF(BG$2+$F43&lt;=12,SUMIFS('Attrition Modeling'!$D:$D,'Attrition Modeling'!$B:$B,'IP Attrition'!$D43,'Attrition Modeling'!$C:$C,'IP Attrition'!BG$1),VLOOKUP($F43+BG$2,$A$6:$C$106,2,FALSE)*VLOOKUP(BG$1,'Attrition Modeling'!$L$15:$N$27,IF(BG$2+$F43&lt;=24,2,3),FALSE)),$C$3)*(1+Projection!BI$16)*(1+IF(BG175&gt;0,'Attrition Modeling'!$N$9,0)))</f>
        <v>0</v>
      </c>
      <c r="BH43" s="799">
        <f>(BG43+BH175)*(1-IFERROR(IF(BH$2+$F43&lt;=12,SUMIFS('Attrition Modeling'!$D:$D,'Attrition Modeling'!$B:$B,'IP Attrition'!$D43,'Attrition Modeling'!$C:$C,'IP Attrition'!BH$1),VLOOKUP($F43+BH$2,$A$6:$C$106,2,FALSE)*VLOOKUP(BH$1,'Attrition Modeling'!$L$15:$N$27,IF(BH$2+$F43&lt;=24,2,3),FALSE)),$C$3)*(1+Projection!BJ$16)*(1+IF(BH175&gt;0,'Attrition Modeling'!$N$9,0)))</f>
        <v>0</v>
      </c>
      <c r="BI43" s="799">
        <f>(BH43+BI175)*(1-IFERROR(IF(BI$2+$F43&lt;=12,SUMIFS('Attrition Modeling'!$D:$D,'Attrition Modeling'!$B:$B,'IP Attrition'!$D43,'Attrition Modeling'!$C:$C,'IP Attrition'!BI$1),VLOOKUP($F43+BI$2,$A$6:$C$106,2,FALSE)*VLOOKUP(BI$1,'Attrition Modeling'!$L$15:$N$27,IF(BI$2+$F43&lt;=24,2,3),FALSE)),$C$3)*(1+Projection!BK$16)*(1+IF(BI175&gt;0,'Attrition Modeling'!$N$9,0)))</f>
        <v>0</v>
      </c>
      <c r="BJ43" s="799">
        <f>(BI43+BJ175)*(1-IFERROR(IF(BJ$2+$F43&lt;=12,SUMIFS('Attrition Modeling'!$D:$D,'Attrition Modeling'!$B:$B,'IP Attrition'!$D43,'Attrition Modeling'!$C:$C,'IP Attrition'!BJ$1),VLOOKUP($F43+BJ$2,$A$6:$C$106,2,FALSE)*VLOOKUP(BJ$1,'Attrition Modeling'!$L$15:$N$27,IF(BJ$2+$F43&lt;=24,2,3),FALSE)),$C$3)*(1+Projection!BL$16)*(1+IF(BJ175&gt;0,'Attrition Modeling'!$N$9,0)))</f>
        <v>0</v>
      </c>
      <c r="BK43" s="799">
        <f>(BJ43+BK175)*(1-IFERROR(IF(BK$2+$F43&lt;=12,SUMIFS('Attrition Modeling'!$D:$D,'Attrition Modeling'!$B:$B,'IP Attrition'!$D43,'Attrition Modeling'!$C:$C,'IP Attrition'!BK$1),VLOOKUP($F43+BK$2,$A$6:$C$106,2,FALSE)*VLOOKUP(BK$1,'Attrition Modeling'!$L$15:$N$27,IF(BK$2+$F43&lt;=24,2,3),FALSE)),$C$3)*(1+Projection!BM$16)*(1+IF(BK175&gt;0,'Attrition Modeling'!$N$9,0)))</f>
        <v>0</v>
      </c>
      <c r="BL43" s="799">
        <f>(BK43+BL175)*(1-IFERROR(IF(BL$2+$F43&lt;=12,SUMIFS('Attrition Modeling'!$D:$D,'Attrition Modeling'!$B:$B,'IP Attrition'!$D43,'Attrition Modeling'!$C:$C,'IP Attrition'!BL$1),VLOOKUP($F43+BL$2,$A$6:$C$106,2,FALSE)*VLOOKUP(BL$1,'Attrition Modeling'!$L$15:$N$27,IF(BL$2+$F43&lt;=24,2,3),FALSE)),$C$3)*(1+Projection!BN$16)*(1+IF(BL175&gt;0,'Attrition Modeling'!$N$9,0)))</f>
        <v>0</v>
      </c>
      <c r="BM43" s="799">
        <f>(BL43+BM175)*(1-IFERROR(IF(BM$2+$F43&lt;=12,SUMIFS('Attrition Modeling'!$D:$D,'Attrition Modeling'!$B:$B,'IP Attrition'!$D43,'Attrition Modeling'!$C:$C,'IP Attrition'!BM$1),VLOOKUP($F43+BM$2,$A$6:$C$106,2,FALSE)*VLOOKUP(BM$1,'Attrition Modeling'!$L$15:$N$27,IF(BM$2+$F43&lt;=24,2,3),FALSE)),$C$3)*(1+Projection!BO$16)*(1+IF(BM175&gt;0,'Attrition Modeling'!$N$9,0)))</f>
        <v>0</v>
      </c>
      <c r="BN43" s="799">
        <f>(BM43+BN175)*(1-IFERROR(IF(BN$2+$F43&lt;=12,SUMIFS('Attrition Modeling'!$D:$D,'Attrition Modeling'!$B:$B,'IP Attrition'!$D43,'Attrition Modeling'!$C:$C,'IP Attrition'!BN$1),VLOOKUP($F43+BN$2,$A$6:$C$106,2,FALSE)*VLOOKUP(BN$1,'Attrition Modeling'!$L$15:$N$27,IF(BN$2+$F43&lt;=24,2,3),FALSE)),$C$3)*(1+Projection!BP$16)*(1+IF(BN175&gt;0,'Attrition Modeling'!$N$9,0)))</f>
        <v>0</v>
      </c>
      <c r="BO43" s="799">
        <f>(BN43+BO175)*(1-IFERROR(IF(BO$2+$F43&lt;=12,SUMIFS('Attrition Modeling'!$D:$D,'Attrition Modeling'!$B:$B,'IP Attrition'!$D43,'Attrition Modeling'!$C:$C,'IP Attrition'!BO$1),VLOOKUP($F43+BO$2,$A$6:$C$106,2,FALSE)*VLOOKUP(BO$1,'Attrition Modeling'!$L$15:$N$27,IF(BO$2+$F43&lt;=24,2,3),FALSE)),$C$3)*(1+Projection!BV$16)*(1+IF(BO175&gt;0,'Attrition Modeling'!$N$9,0)))</f>
        <v>0</v>
      </c>
      <c r="BP43" s="799">
        <f>(BO43+BP175)*(1-IFERROR(IF(BP$2+$F43&lt;=12,SUMIFS('Attrition Modeling'!$D:$D,'Attrition Modeling'!$B:$B,'IP Attrition'!$D43,'Attrition Modeling'!$C:$C,'IP Attrition'!BP$1),VLOOKUP($F43+BP$2,$A$6:$C$106,2,FALSE)*VLOOKUP(BP$1,'Attrition Modeling'!$L$15:$N$27,IF(BP$2+$F43&lt;=24,2,3),FALSE)),$C$3)*(1+Projection!BW$16)*(1+IF(BP175&gt;0,'Attrition Modeling'!$N$9,0)))</f>
        <v>0</v>
      </c>
      <c r="BQ43" s="799">
        <f>(BP43+BQ175)*(1-IFERROR(IF(BQ$2+$F43&lt;=12,SUMIFS('Attrition Modeling'!$D:$D,'Attrition Modeling'!$B:$B,'IP Attrition'!$D43,'Attrition Modeling'!$C:$C,'IP Attrition'!BQ$1),VLOOKUP($F43+BQ$2,$A$6:$C$106,2,FALSE)*VLOOKUP(BQ$1,'Attrition Modeling'!$L$15:$N$27,IF(BQ$2+$F43&lt;=24,2,3),FALSE)),$C$3)*(1+Projection!BX$16)*(1+IF(BQ175&gt;0,'Attrition Modeling'!$N$9,0)))</f>
        <v>0</v>
      </c>
      <c r="BR43" s="799">
        <f>(BQ43+BR175)*(1-IFERROR(IF(BR$2+$F43&lt;=12,SUMIFS('Attrition Modeling'!$D:$D,'Attrition Modeling'!$B:$B,'IP Attrition'!$D43,'Attrition Modeling'!$C:$C,'IP Attrition'!BR$1),VLOOKUP($F43+BR$2,$A$6:$C$106,2,FALSE)*VLOOKUP(BR$1,'Attrition Modeling'!$L$15:$N$27,IF(BR$2+$F43&lt;=24,2,3),FALSE)),$C$3)*(1+Projection!BY$16)*(1+IF(BR175&gt;0,'Attrition Modeling'!$N$9,0)))</f>
        <v>0</v>
      </c>
      <c r="BS43" s="799">
        <f>(BR43+BS175)*(1-IFERROR(IF(BS$2+$F43&lt;=12,SUMIFS('Attrition Modeling'!$D:$D,'Attrition Modeling'!$B:$B,'IP Attrition'!$D43,'Attrition Modeling'!$C:$C,'IP Attrition'!BS$1),VLOOKUP($F43+BS$2,$A$6:$C$106,2,FALSE)*VLOOKUP(BS$1,'Attrition Modeling'!$L$15:$N$27,IF(BS$2+$F43&lt;=24,2,3),FALSE)),$C$3)*(1+Projection!BZ$16)*(1+IF(BS175&gt;0,'Attrition Modeling'!$N$9,0)))</f>
        <v>0</v>
      </c>
      <c r="BT43" s="799" t="e">
        <f>(BS43+BT175)*(1-IFERROR(IF(BT$2+$F43&lt;=12,SUMIFS('Attrition Modeling'!$D:$D,'Attrition Modeling'!$B:$B,'IP Attrition'!$D43,'Attrition Modeling'!$C:$C,'IP Attrition'!BT$1),VLOOKUP($F43+BT$2,$A$6:$C$106,2,FALSE)*VLOOKUP(BT$1,'Attrition Modeling'!$L$15:$N$27,IF(BT$2+$F43&lt;=24,2,3),FALSE)),$C$3)*(1+Projection!CA$16)*(1+IF(BT175&gt;0,'Attrition Modeling'!$N$9,0)))</f>
        <v>#REF!</v>
      </c>
      <c r="BU43" s="799" t="e">
        <f>(BT43+BU175)*(1-IFERROR(IF(BU$2+$F43&lt;=12,SUMIFS('Attrition Modeling'!$D:$D,'Attrition Modeling'!$B:$B,'IP Attrition'!$D43,'Attrition Modeling'!$C:$C,'IP Attrition'!BU$1),VLOOKUP($F43+BU$2,$A$6:$C$106,2,FALSE)*VLOOKUP(BU$1,'Attrition Modeling'!$L$15:$N$27,IF(BU$2+$F43&lt;=24,2,3),FALSE)),$C$3)*(1+Projection!CB$16)*(1+IF(BU175&gt;0,'Attrition Modeling'!$N$9,0)))</f>
        <v>#REF!</v>
      </c>
    </row>
    <row r="44" spans="1:73" ht="14.25" customHeight="1" x14ac:dyDescent="0.2">
      <c r="A44" s="9">
        <v>37</v>
      </c>
      <c r="B44" s="25">
        <f>MAX('Attrition Modeling'!H41,$C$3)*(1-Summary!$C$20)</f>
        <v>2.9759608768683998E-2</v>
      </c>
      <c r="C44" s="24" t="e">
        <f t="shared" si="3"/>
        <v>#DIV/0!</v>
      </c>
      <c r="D44" s="11">
        <f t="shared" si="1"/>
        <v>-41</v>
      </c>
      <c r="E44" s="807">
        <f t="array" ref="E44">INDEX('Attrition Modeling'!$X$2:$AF$63,MATCH($F44,'Attrition Modeling'!$X$2:$X$63,0),MATCH(Inputs!$C$10,'Attrition Modeling'!$X$2:$AF$2,0))</f>
        <v>0</v>
      </c>
      <c r="F44" s="11">
        <f t="shared" si="2"/>
        <v>41</v>
      </c>
      <c r="G44" s="799">
        <f>Summary!$C$25*$E44</f>
        <v>0</v>
      </c>
      <c r="H44" s="799">
        <f>(G44+H176)*(1-IFERROR(IF(H$2+$F44&lt;=12,SUMIFS('Attrition Modeling'!$D:$D,'Attrition Modeling'!$B:$B,'IP Attrition'!$D44,'Attrition Modeling'!$C:$C,'IP Attrition'!H$1),VLOOKUP($F44+H$2,$A$6:$C$106,2,FALSE)*VLOOKUP(H$1,'Attrition Modeling'!$L$15:$N$27,IF(H$2+$F44&lt;=24,2,3),FALSE)),$C$3)*(1+Projection!J$16)*(1+IF(H176&gt;0,'Attrition Modeling'!$N$9,0)))</f>
        <v>0</v>
      </c>
      <c r="I44" s="799">
        <f>(H44+I176)*(1-IFERROR(IF(I$2+$F44&lt;=12,SUMIFS('Attrition Modeling'!$D:$D,'Attrition Modeling'!$B:$B,'IP Attrition'!$D44,'Attrition Modeling'!$C:$C,'IP Attrition'!I$1),VLOOKUP($F44+I$2,$A$6:$C$106,2,FALSE)*VLOOKUP(I$1,'Attrition Modeling'!$L$15:$N$27,IF(I$2+$F44&lt;=24,2,3),FALSE)),$C$3)*(1+Projection!K$16)*(1+IF(I176&gt;0,'Attrition Modeling'!$N$9,0)))</f>
        <v>0</v>
      </c>
      <c r="J44" s="799">
        <f>(I44+J176)*(1-IFERROR(IF(J$2+$F44&lt;=12,SUMIFS('Attrition Modeling'!$D:$D,'Attrition Modeling'!$B:$B,'IP Attrition'!$D44,'Attrition Modeling'!$C:$C,'IP Attrition'!J$1),VLOOKUP($F44+J$2,$A$6:$C$106,2,FALSE)*VLOOKUP(J$1,'Attrition Modeling'!$L$15:$N$27,IF(J$2+$F44&lt;=24,2,3),FALSE)),$C$3)*(1+Projection!L$16)*(1+IF(J176&gt;0,'Attrition Modeling'!$N$9,0)))</f>
        <v>0</v>
      </c>
      <c r="K44" s="799">
        <f>(J44+K176)*(1-IFERROR(IF(K$2+$F44&lt;=12,SUMIFS('Attrition Modeling'!$D:$D,'Attrition Modeling'!$B:$B,'IP Attrition'!$D44,'Attrition Modeling'!$C:$C,'IP Attrition'!K$1),VLOOKUP($F44+K$2,$A$6:$C$106,2,FALSE)*VLOOKUP(K$1,'Attrition Modeling'!$L$15:$N$27,IF(K$2+$F44&lt;=24,2,3),FALSE)),$C$3)*(1+Projection!M$16)*(1+IF(K176&gt;0,'Attrition Modeling'!$N$9,0)))</f>
        <v>0</v>
      </c>
      <c r="L44" s="799">
        <f>(K44+L176)*(1-IFERROR(IF(L$2+$F44&lt;=12,SUMIFS('Attrition Modeling'!$D:$D,'Attrition Modeling'!$B:$B,'IP Attrition'!$D44,'Attrition Modeling'!$C:$C,'IP Attrition'!L$1),VLOOKUP($F44+L$2,$A$6:$C$106,2,FALSE)*VLOOKUP(L$1,'Attrition Modeling'!$L$15:$N$27,IF(L$2+$F44&lt;=24,2,3),FALSE)),$C$3)*(1+Projection!N$16)*(1+IF(L176&gt;0,'Attrition Modeling'!$N$9,0)))</f>
        <v>0</v>
      </c>
      <c r="M44" s="799">
        <f>(L44+M176)*(1-IFERROR(IF(M$2+$F44&lt;=12,SUMIFS('Attrition Modeling'!$D:$D,'Attrition Modeling'!$B:$B,'IP Attrition'!$D44,'Attrition Modeling'!$C:$C,'IP Attrition'!M$1),VLOOKUP($F44+M$2,$A$6:$C$106,2,FALSE)*VLOOKUP(M$1,'Attrition Modeling'!$L$15:$N$27,IF(M$2+$F44&lt;=24,2,3),FALSE)),$C$3)*(1+Projection!O$16)*(1+IF(M176&gt;0,'Attrition Modeling'!$N$9,0)))</f>
        <v>0</v>
      </c>
      <c r="N44" s="799">
        <f>(M44+N176)*(1-IFERROR(IF(N$2+$F44&lt;=12,SUMIFS('Attrition Modeling'!$D:$D,'Attrition Modeling'!$B:$B,'IP Attrition'!$D44,'Attrition Modeling'!$C:$C,'IP Attrition'!N$1),VLOOKUP($F44+N$2,$A$6:$C$106,2,FALSE)*VLOOKUP(N$1,'Attrition Modeling'!$L$15:$N$27,IF(N$2+$F44&lt;=24,2,3),FALSE)),$C$3)*(1+Projection!P$16)*(1+IF(N176&gt;0,'Attrition Modeling'!$N$9,0)))</f>
        <v>0</v>
      </c>
      <c r="O44" s="799">
        <f>(N44+O176)*(1-IFERROR(IF(O$2+$F44&lt;=12,SUMIFS('Attrition Modeling'!$D:$D,'Attrition Modeling'!$B:$B,'IP Attrition'!$D44,'Attrition Modeling'!$C:$C,'IP Attrition'!O$1),VLOOKUP($F44+O$2,$A$6:$C$106,2,FALSE)*VLOOKUP(O$1,'Attrition Modeling'!$L$15:$N$27,IF(O$2+$F44&lt;=24,2,3),FALSE)),$C$3)*(1+Projection!Q$16)*(1+IF(O176&gt;0,'Attrition Modeling'!$N$9,0)))</f>
        <v>0</v>
      </c>
      <c r="P44" s="799">
        <f>(O44+P176)*(1-IFERROR(IF(P$2+$F44&lt;=12,SUMIFS('Attrition Modeling'!$D:$D,'Attrition Modeling'!$B:$B,'IP Attrition'!$D44,'Attrition Modeling'!$C:$C,'IP Attrition'!P$1),VLOOKUP($F44+P$2,$A$6:$C$106,2,FALSE)*VLOOKUP(P$1,'Attrition Modeling'!$L$15:$N$27,IF(P$2+$F44&lt;=24,2,3),FALSE)),$C$3)*(1+Projection!R$16)*(1+IF(P176&gt;0,'Attrition Modeling'!$N$9,0)))</f>
        <v>0</v>
      </c>
      <c r="Q44" s="799">
        <f>(P44+Q176)*(1-IFERROR(IF(Q$2+$F44&lt;=12,SUMIFS('Attrition Modeling'!$D:$D,'Attrition Modeling'!$B:$B,'IP Attrition'!$D44,'Attrition Modeling'!$C:$C,'IP Attrition'!Q$1),VLOOKUP($F44+Q$2,$A$6:$C$106,2,FALSE)*VLOOKUP(Q$1,'Attrition Modeling'!$L$15:$N$27,IF(Q$2+$F44&lt;=24,2,3),FALSE)),$C$3)*(1+Projection!S$16)*(1+IF(Q176&gt;0,'Attrition Modeling'!$N$9,0)))</f>
        <v>0</v>
      </c>
      <c r="R44" s="799">
        <f>(Q44+R176)*(1-IFERROR(IF(R$2+$F44&lt;=12,SUMIFS('Attrition Modeling'!$D:$D,'Attrition Modeling'!$B:$B,'IP Attrition'!$D44,'Attrition Modeling'!$C:$C,'IP Attrition'!R$1),VLOOKUP($F44+R$2,$A$6:$C$106,2,FALSE)*VLOOKUP(R$1,'Attrition Modeling'!$L$15:$N$27,IF(R$2+$F44&lt;=24,2,3),FALSE)),$C$3)*(1+Projection!T$16)*(1+IF(R176&gt;0,'Attrition Modeling'!$N$9,0)))</f>
        <v>0</v>
      </c>
      <c r="S44" s="799">
        <f>(R44+S176)*(1-IFERROR(IF(S$2+$F44&lt;=12,SUMIFS('Attrition Modeling'!$D:$D,'Attrition Modeling'!$B:$B,'IP Attrition'!$D44,'Attrition Modeling'!$C:$C,'IP Attrition'!S$1),VLOOKUP($F44+S$2,$A$6:$C$106,2,FALSE)*VLOOKUP(S$1,'Attrition Modeling'!$L$15:$N$27,IF(S$2+$F44&lt;=24,2,3),FALSE)),$C$3)*(1+Projection!U$16)*(1+IF(S176&gt;0,'Attrition Modeling'!$N$9,0)))</f>
        <v>0</v>
      </c>
      <c r="T44" s="799">
        <f>(S44+T176)*(1-IFERROR(IF(T$2+$F44&lt;=12,SUMIFS('Attrition Modeling'!$D:$D,'Attrition Modeling'!$B:$B,'IP Attrition'!$D44,'Attrition Modeling'!$C:$C,'IP Attrition'!T$1),VLOOKUP($F44+T$2,$A$6:$C$106,2,FALSE)*VLOOKUP(T$1,'Attrition Modeling'!$L$15:$N$27,IF(T$2+$F44&lt;=24,2,3),FALSE)),$C$3)*(1+Projection!V$16)*(1+IF(T176&gt;0,'Attrition Modeling'!$N$9,0)))</f>
        <v>0</v>
      </c>
      <c r="U44" s="799">
        <f>(T44+U176)*(1-IFERROR(IF(U$2+$F44&lt;=12,SUMIFS('Attrition Modeling'!$D:$D,'Attrition Modeling'!$B:$B,'IP Attrition'!$D44,'Attrition Modeling'!$C:$C,'IP Attrition'!U$1),VLOOKUP($F44+U$2,$A$6:$C$106,2,FALSE)*VLOOKUP(U$1,'Attrition Modeling'!$L$15:$N$27,IF(U$2+$F44&lt;=24,2,3),FALSE)),$C$3)*(1+Projection!W$16)*(1+IF(U176&gt;0,'Attrition Modeling'!$N$9,0)))</f>
        <v>0</v>
      </c>
      <c r="V44" s="799">
        <f>(U44+V176)*(1-IFERROR(IF(V$2+$F44&lt;=12,SUMIFS('Attrition Modeling'!$D:$D,'Attrition Modeling'!$B:$B,'IP Attrition'!$D44,'Attrition Modeling'!$C:$C,'IP Attrition'!V$1),VLOOKUP($F44+V$2,$A$6:$C$106,2,FALSE)*VLOOKUP(V$1,'Attrition Modeling'!$L$15:$N$27,IF(V$2+$F44&lt;=24,2,3),FALSE)),$C$3)*(1+Projection!X$16)*(1+IF(V176&gt;0,'Attrition Modeling'!$N$9,0)))</f>
        <v>0</v>
      </c>
      <c r="W44" s="799">
        <f>(V44+W176)*(1-IFERROR(IF(W$2+$F44&lt;=12,SUMIFS('Attrition Modeling'!$D:$D,'Attrition Modeling'!$B:$B,'IP Attrition'!$D44,'Attrition Modeling'!$C:$C,'IP Attrition'!W$1),VLOOKUP($F44+W$2,$A$6:$C$106,2,FALSE)*VLOOKUP(W$1,'Attrition Modeling'!$L$15:$N$27,IF(W$2+$F44&lt;=24,2,3),FALSE)),$C$3)*(1+Projection!Y$16)*(1+IF(W176&gt;0,'Attrition Modeling'!$N$9,0)))</f>
        <v>0</v>
      </c>
      <c r="X44" s="799">
        <f>(W44+X176)*(1-IFERROR(IF(X$2+$F44&lt;=12,SUMIFS('Attrition Modeling'!$D:$D,'Attrition Modeling'!$B:$B,'IP Attrition'!$D44,'Attrition Modeling'!$C:$C,'IP Attrition'!X$1),VLOOKUP($F44+X$2,$A$6:$C$106,2,FALSE)*VLOOKUP(X$1,'Attrition Modeling'!$L$15:$N$27,IF(X$2+$F44&lt;=24,2,3),FALSE)),$C$3)*(1+Projection!Z$16)*(1+IF(X176&gt;0,'Attrition Modeling'!$N$9,0)))</f>
        <v>0</v>
      </c>
      <c r="Y44" s="799">
        <f>(X44+Y176)*(1-IFERROR(IF(Y$2+$F44&lt;=12,SUMIFS('Attrition Modeling'!$D:$D,'Attrition Modeling'!$B:$B,'IP Attrition'!$D44,'Attrition Modeling'!$C:$C,'IP Attrition'!Y$1),VLOOKUP($F44+Y$2,$A$6:$C$106,2,FALSE)*VLOOKUP(Y$1,'Attrition Modeling'!$L$15:$N$27,IF(Y$2+$F44&lt;=24,2,3),FALSE)),$C$3)*(1+Projection!AA$16)*(1+IF(Y176&gt;0,'Attrition Modeling'!$N$9,0)))</f>
        <v>0</v>
      </c>
      <c r="Z44" s="799">
        <f>(Y44+Z176)*(1-IFERROR(IF(Z$2+$F44&lt;=12,SUMIFS('Attrition Modeling'!$D:$D,'Attrition Modeling'!$B:$B,'IP Attrition'!$D44,'Attrition Modeling'!$C:$C,'IP Attrition'!Z$1),VLOOKUP($F44+Z$2,$A$6:$C$106,2,FALSE)*VLOOKUP(Z$1,'Attrition Modeling'!$L$15:$N$27,IF(Z$2+$F44&lt;=24,2,3),FALSE)),$C$3)*(1+Projection!AB$16)*(1+IF(Z176&gt;0,'Attrition Modeling'!$N$9,0)))</f>
        <v>0</v>
      </c>
      <c r="AA44" s="799">
        <f>(Z44+AA176)*(1-IFERROR(IF(AA$2+$F44&lt;=12,SUMIFS('Attrition Modeling'!$D:$D,'Attrition Modeling'!$B:$B,'IP Attrition'!$D44,'Attrition Modeling'!$C:$C,'IP Attrition'!AA$1),VLOOKUP($F44+AA$2,$A$6:$C$106,2,FALSE)*VLOOKUP(AA$1,'Attrition Modeling'!$L$15:$N$27,IF(AA$2+$F44&lt;=24,2,3),FALSE)),$C$3)*(1+Projection!AC$16)*(1+IF(AA176&gt;0,'Attrition Modeling'!$N$9,0)))</f>
        <v>0</v>
      </c>
      <c r="AB44" s="799">
        <f>(AA44+AB176)*(1-IFERROR(IF(AB$2+$F44&lt;=12,SUMIFS('Attrition Modeling'!$D:$D,'Attrition Modeling'!$B:$B,'IP Attrition'!$D44,'Attrition Modeling'!$C:$C,'IP Attrition'!AB$1),VLOOKUP($F44+AB$2,$A$6:$C$106,2,FALSE)*VLOOKUP(AB$1,'Attrition Modeling'!$L$15:$N$27,IF(AB$2+$F44&lt;=24,2,3),FALSE)),$C$3)*(1+Projection!AD$16)*(1+IF(AB176&gt;0,'Attrition Modeling'!$N$9,0)))</f>
        <v>0</v>
      </c>
      <c r="AC44" s="799">
        <f>(AB44+AC176)*(1-IFERROR(IF(AC$2+$F44&lt;=12,SUMIFS('Attrition Modeling'!$D:$D,'Attrition Modeling'!$B:$B,'IP Attrition'!$D44,'Attrition Modeling'!$C:$C,'IP Attrition'!AC$1),VLOOKUP($F44+AC$2,$A$6:$C$106,2,FALSE)*VLOOKUP(AC$1,'Attrition Modeling'!$L$15:$N$27,IF(AC$2+$F44&lt;=24,2,3),FALSE)),$C$3)*(1+Projection!AE$16)*(1+IF(AC176&gt;0,'Attrition Modeling'!$N$9,0)))</f>
        <v>0</v>
      </c>
      <c r="AD44" s="799">
        <f>(AC44+AD176)*(1-IFERROR(IF(AD$2+$F44&lt;=12,SUMIFS('Attrition Modeling'!$D:$D,'Attrition Modeling'!$B:$B,'IP Attrition'!$D44,'Attrition Modeling'!$C:$C,'IP Attrition'!AD$1),VLOOKUP($F44+AD$2,$A$6:$C$106,2,FALSE)*VLOOKUP(AD$1,'Attrition Modeling'!$L$15:$N$27,IF(AD$2+$F44&lt;=24,2,3),FALSE)),$C$3)*(1+Projection!AF$16)*(1+IF(AD176&gt;0,'Attrition Modeling'!$N$9,0)))</f>
        <v>0</v>
      </c>
      <c r="AE44" s="799">
        <f>(AD44+AE176)*(1-IFERROR(IF(AE$2+$F44&lt;=12,SUMIFS('Attrition Modeling'!$D:$D,'Attrition Modeling'!$B:$B,'IP Attrition'!$D44,'Attrition Modeling'!$C:$C,'IP Attrition'!AE$1),VLOOKUP($F44+AE$2,$A$6:$C$106,2,FALSE)*VLOOKUP(AE$1,'Attrition Modeling'!$L$15:$N$27,IF(AE$2+$F44&lt;=24,2,3),FALSE)),$C$3)*(1+Projection!AG$16)*(1+IF(AE176&gt;0,'Attrition Modeling'!$N$9,0)))</f>
        <v>0</v>
      </c>
      <c r="AF44" s="799">
        <f>(AE44+AF176)*(1-IFERROR(IF(AF$2+$F44&lt;=12,SUMIFS('Attrition Modeling'!$D:$D,'Attrition Modeling'!$B:$B,'IP Attrition'!$D44,'Attrition Modeling'!$C:$C,'IP Attrition'!AF$1),VLOOKUP($F44+AF$2,$A$6:$C$106,2,FALSE)*VLOOKUP(AF$1,'Attrition Modeling'!$L$15:$N$27,IF(AF$2+$F44&lt;=24,2,3),FALSE)),$C$3)*(1+Projection!AH$16)*(1+IF(AF176&gt;0,'Attrition Modeling'!$N$9,0)))</f>
        <v>0</v>
      </c>
      <c r="AG44" s="799">
        <f>(AF44+AG176)*(1-IFERROR(IF(AG$2+$F44&lt;=12,SUMIFS('Attrition Modeling'!$D:$D,'Attrition Modeling'!$B:$B,'IP Attrition'!$D44,'Attrition Modeling'!$C:$C,'IP Attrition'!AG$1),VLOOKUP($F44+AG$2,$A$6:$C$106,2,FALSE)*VLOOKUP(AG$1,'Attrition Modeling'!$L$15:$N$27,IF(AG$2+$F44&lt;=24,2,3),FALSE)),$C$3)*(1+Projection!AI$16)*(1+IF(AG176&gt;0,'Attrition Modeling'!$N$9,0)))</f>
        <v>0</v>
      </c>
      <c r="AH44" s="799">
        <f>(AG44+AH176)*(1-IFERROR(IF(AH$2+$F44&lt;=12,SUMIFS('Attrition Modeling'!$D:$D,'Attrition Modeling'!$B:$B,'IP Attrition'!$D44,'Attrition Modeling'!$C:$C,'IP Attrition'!AH$1),VLOOKUP($F44+AH$2,$A$6:$C$106,2,FALSE)*VLOOKUP(AH$1,'Attrition Modeling'!$L$15:$N$27,IF(AH$2+$F44&lt;=24,2,3),FALSE)),$C$3)*(1+Projection!AJ$16)*(1+IF(AH176&gt;0,'Attrition Modeling'!$N$9,0)))</f>
        <v>0</v>
      </c>
      <c r="AI44" s="799">
        <f>(AH44+AI176)*(1-IFERROR(IF(AI$2+$F44&lt;=12,SUMIFS('Attrition Modeling'!$D:$D,'Attrition Modeling'!$B:$B,'IP Attrition'!$D44,'Attrition Modeling'!$C:$C,'IP Attrition'!AI$1),VLOOKUP($F44+AI$2,$A$6:$C$106,2,FALSE)*VLOOKUP(AI$1,'Attrition Modeling'!$L$15:$N$27,IF(AI$2+$F44&lt;=24,2,3),FALSE)),$C$3)*(1+Projection!AK$16)*(1+IF(AI176&gt;0,'Attrition Modeling'!$N$9,0)))</f>
        <v>0</v>
      </c>
      <c r="AJ44" s="799">
        <f>(AI44+AJ176)*(1-IFERROR(IF(AJ$2+$F44&lt;=12,SUMIFS('Attrition Modeling'!$D:$D,'Attrition Modeling'!$B:$B,'IP Attrition'!$D44,'Attrition Modeling'!$C:$C,'IP Attrition'!AJ$1),VLOOKUP($F44+AJ$2,$A$6:$C$106,2,FALSE)*VLOOKUP(AJ$1,'Attrition Modeling'!$L$15:$N$27,IF(AJ$2+$F44&lt;=24,2,3),FALSE)),$C$3)*(1+Projection!AL$16)*(1+IF(AJ176&gt;0,'Attrition Modeling'!$N$9,0)))</f>
        <v>0</v>
      </c>
      <c r="AK44" s="799">
        <f>(AJ44+AK176)*(1-IFERROR(IF(AK$2+$F44&lt;=12,SUMIFS('Attrition Modeling'!$D:$D,'Attrition Modeling'!$B:$B,'IP Attrition'!$D44,'Attrition Modeling'!$C:$C,'IP Attrition'!AK$1),VLOOKUP($F44+AK$2,$A$6:$C$106,2,FALSE)*VLOOKUP(AK$1,'Attrition Modeling'!$L$15:$N$27,IF(AK$2+$F44&lt;=24,2,3),FALSE)),$C$3)*(1+Projection!AM$16)*(1+IF(AK176&gt;0,'Attrition Modeling'!$N$9,0)))</f>
        <v>0</v>
      </c>
      <c r="AL44" s="799">
        <f>(AK44+AL176)*(1-IFERROR(IF(AL$2+$F44&lt;=12,SUMIFS('Attrition Modeling'!$D:$D,'Attrition Modeling'!$B:$B,'IP Attrition'!$D44,'Attrition Modeling'!$C:$C,'IP Attrition'!AL$1),VLOOKUP($F44+AL$2,$A$6:$C$106,2,FALSE)*VLOOKUP(AL$1,'Attrition Modeling'!$L$15:$N$27,IF(AL$2+$F44&lt;=24,2,3),FALSE)),$C$3)*(1+Projection!AN$16)*(1+IF(AL176&gt;0,'Attrition Modeling'!$N$9,0)))</f>
        <v>0</v>
      </c>
      <c r="AM44" s="799">
        <f>(AL44+AM176)*(1-IFERROR(IF(AM$2+$F44&lt;=12,SUMIFS('Attrition Modeling'!$D:$D,'Attrition Modeling'!$B:$B,'IP Attrition'!$D44,'Attrition Modeling'!$C:$C,'IP Attrition'!AM$1),VLOOKUP($F44+AM$2,$A$6:$C$106,2,FALSE)*VLOOKUP(AM$1,'Attrition Modeling'!$L$15:$N$27,IF(AM$2+$F44&lt;=24,2,3),FALSE)),$C$3)*(1+Projection!AO$16)*(1+IF(AM176&gt;0,'Attrition Modeling'!$N$9,0)))</f>
        <v>0</v>
      </c>
      <c r="AN44" s="799">
        <f>(AM44+AN176)*(1-IFERROR(IF(AN$2+$F44&lt;=12,SUMIFS('Attrition Modeling'!$D:$D,'Attrition Modeling'!$B:$B,'IP Attrition'!$D44,'Attrition Modeling'!$C:$C,'IP Attrition'!AN$1),VLOOKUP($F44+AN$2,$A$6:$C$106,2,FALSE)*VLOOKUP(AN$1,'Attrition Modeling'!$L$15:$N$27,IF(AN$2+$F44&lt;=24,2,3),FALSE)),$C$3)*(1+Projection!AP$16)*(1+IF(AN176&gt;0,'Attrition Modeling'!$N$9,0)))</f>
        <v>0</v>
      </c>
      <c r="AO44" s="799">
        <f>(AN44+AO176)*(1-IFERROR(IF(AO$2+$F44&lt;=12,SUMIFS('Attrition Modeling'!$D:$D,'Attrition Modeling'!$B:$B,'IP Attrition'!$D44,'Attrition Modeling'!$C:$C,'IP Attrition'!AO$1),VLOOKUP($F44+AO$2,$A$6:$C$106,2,FALSE)*VLOOKUP(AO$1,'Attrition Modeling'!$L$15:$N$27,IF(AO$2+$F44&lt;=24,2,3),FALSE)),$C$3)*(1+Projection!AQ$16)*(1+IF(AO176&gt;0,'Attrition Modeling'!$N$9,0)))</f>
        <v>0</v>
      </c>
      <c r="AP44" s="799">
        <f>(AO44+AP176)*(1-IFERROR(IF(AP$2+$F44&lt;=12,SUMIFS('Attrition Modeling'!$D:$D,'Attrition Modeling'!$B:$B,'IP Attrition'!$D44,'Attrition Modeling'!$C:$C,'IP Attrition'!AP$1),VLOOKUP($F44+AP$2,$A$6:$C$106,2,FALSE)*VLOOKUP(AP$1,'Attrition Modeling'!$L$15:$N$27,IF(AP$2+$F44&lt;=24,2,3),FALSE)),$C$3)*(1+Projection!AR$16)*(1+IF(AP176&gt;0,'Attrition Modeling'!$N$9,0)))</f>
        <v>0</v>
      </c>
      <c r="AQ44" s="799">
        <f>(AP44+AQ176)*(1-IFERROR(IF(AQ$2+$F44&lt;=12,SUMIFS('Attrition Modeling'!$D:$D,'Attrition Modeling'!$B:$B,'IP Attrition'!$D44,'Attrition Modeling'!$C:$C,'IP Attrition'!AQ$1),VLOOKUP($F44+AQ$2,$A$6:$C$106,2,FALSE)*VLOOKUP(AQ$1,'Attrition Modeling'!$L$15:$N$27,IF(AQ$2+$F44&lt;=24,2,3),FALSE)),$C$3)*(1+Projection!AS$16)*(1+IF(AQ176&gt;0,'Attrition Modeling'!$N$9,0)))</f>
        <v>0</v>
      </c>
      <c r="AR44" s="799">
        <f>(AQ44+AR176)*(1-IFERROR(IF(AR$2+$F44&lt;=12,SUMIFS('Attrition Modeling'!$D:$D,'Attrition Modeling'!$B:$B,'IP Attrition'!$D44,'Attrition Modeling'!$C:$C,'IP Attrition'!AR$1),VLOOKUP($F44+AR$2,$A$6:$C$106,2,FALSE)*VLOOKUP(AR$1,'Attrition Modeling'!$L$15:$N$27,IF(AR$2+$F44&lt;=24,2,3),FALSE)),$C$3)*(1+Projection!AT$16)*(1+IF(AR176&gt;0,'Attrition Modeling'!$N$9,0)))</f>
        <v>0</v>
      </c>
      <c r="AS44" s="799">
        <f>(AR44+AS176)*(1-IFERROR(IF(AS$2+$F44&lt;=12,SUMIFS('Attrition Modeling'!$D:$D,'Attrition Modeling'!$B:$B,'IP Attrition'!$D44,'Attrition Modeling'!$C:$C,'IP Attrition'!AS$1),VLOOKUP($F44+AS$2,$A$6:$C$106,2,FALSE)*VLOOKUP(AS$1,'Attrition Modeling'!$L$15:$N$27,IF(AS$2+$F44&lt;=24,2,3),FALSE)),$C$3)*(1+Projection!AU$16)*(1+IF(AS176&gt;0,'Attrition Modeling'!$N$9,0)))</f>
        <v>0</v>
      </c>
      <c r="AT44" s="799">
        <f>(AS44+AT176)*(1-IFERROR(IF(AT$2+$F44&lt;=12,SUMIFS('Attrition Modeling'!$D:$D,'Attrition Modeling'!$B:$B,'IP Attrition'!$D44,'Attrition Modeling'!$C:$C,'IP Attrition'!AT$1),VLOOKUP($F44+AT$2,$A$6:$C$106,2,FALSE)*VLOOKUP(AT$1,'Attrition Modeling'!$L$15:$N$27,IF(AT$2+$F44&lt;=24,2,3),FALSE)),$C$3)*(1+Projection!AV$16)*(1+IF(AT176&gt;0,'Attrition Modeling'!$N$9,0)))</f>
        <v>0</v>
      </c>
      <c r="AU44" s="799">
        <f>(AT44+AU176)*(1-IFERROR(IF(AU$2+$F44&lt;=12,SUMIFS('Attrition Modeling'!$D:$D,'Attrition Modeling'!$B:$B,'IP Attrition'!$D44,'Attrition Modeling'!$C:$C,'IP Attrition'!AU$1),VLOOKUP($F44+AU$2,$A$6:$C$106,2,FALSE)*VLOOKUP(AU$1,'Attrition Modeling'!$L$15:$N$27,IF(AU$2+$F44&lt;=24,2,3),FALSE)),$C$3)*(1+Projection!AW$16)*(1+IF(AU176&gt;0,'Attrition Modeling'!$N$9,0)))</f>
        <v>0</v>
      </c>
      <c r="AV44" s="799">
        <f>(AU44+AV176)*(1-IFERROR(IF(AV$2+$F44&lt;=12,SUMIFS('Attrition Modeling'!$D:$D,'Attrition Modeling'!$B:$B,'IP Attrition'!$D44,'Attrition Modeling'!$C:$C,'IP Attrition'!AV$1),VLOOKUP($F44+AV$2,$A$6:$C$106,2,FALSE)*VLOOKUP(AV$1,'Attrition Modeling'!$L$15:$N$27,IF(AV$2+$F44&lt;=24,2,3),FALSE)),$C$3)*(1+Projection!AX$16)*(1+IF(AV176&gt;0,'Attrition Modeling'!$N$9,0)))</f>
        <v>0</v>
      </c>
      <c r="AW44" s="799">
        <f>(AV44+AW176)*(1-IFERROR(IF(AW$2+$F44&lt;=12,SUMIFS('Attrition Modeling'!$D:$D,'Attrition Modeling'!$B:$B,'IP Attrition'!$D44,'Attrition Modeling'!$C:$C,'IP Attrition'!AW$1),VLOOKUP($F44+AW$2,$A$6:$C$106,2,FALSE)*VLOOKUP(AW$1,'Attrition Modeling'!$L$15:$N$27,IF(AW$2+$F44&lt;=24,2,3),FALSE)),$C$3)*(1+Projection!AY$16)*(1+IF(AW176&gt;0,'Attrition Modeling'!$N$9,0)))</f>
        <v>0</v>
      </c>
      <c r="AX44" s="799">
        <f>(AW44+AX176)*(1-IFERROR(IF(AX$2+$F44&lt;=12,SUMIFS('Attrition Modeling'!$D:$D,'Attrition Modeling'!$B:$B,'IP Attrition'!$D44,'Attrition Modeling'!$C:$C,'IP Attrition'!AX$1),VLOOKUP($F44+AX$2,$A$6:$C$106,2,FALSE)*VLOOKUP(AX$1,'Attrition Modeling'!$L$15:$N$27,IF(AX$2+$F44&lt;=24,2,3),FALSE)),$C$3)*(1+Projection!AZ$16)*(1+IF(AX176&gt;0,'Attrition Modeling'!$N$9,0)))</f>
        <v>0</v>
      </c>
      <c r="AY44" s="799">
        <f>(AX44+AY176)*(1-IFERROR(IF(AY$2+$F44&lt;=12,SUMIFS('Attrition Modeling'!$D:$D,'Attrition Modeling'!$B:$B,'IP Attrition'!$D44,'Attrition Modeling'!$C:$C,'IP Attrition'!AY$1),VLOOKUP($F44+AY$2,$A$6:$C$106,2,FALSE)*VLOOKUP(AY$1,'Attrition Modeling'!$L$15:$N$27,IF(AY$2+$F44&lt;=24,2,3),FALSE)),$C$3)*(1+Projection!BA$16)*(1+IF(AY176&gt;0,'Attrition Modeling'!$N$9,0)))</f>
        <v>0</v>
      </c>
      <c r="AZ44" s="799">
        <f>(AY44+AZ176)*(1-IFERROR(IF(AZ$2+$F44&lt;=12,SUMIFS('Attrition Modeling'!$D:$D,'Attrition Modeling'!$B:$B,'IP Attrition'!$D44,'Attrition Modeling'!$C:$C,'IP Attrition'!AZ$1),VLOOKUP($F44+AZ$2,$A$6:$C$106,2,FALSE)*VLOOKUP(AZ$1,'Attrition Modeling'!$L$15:$N$27,IF(AZ$2+$F44&lt;=24,2,3),FALSE)),$C$3)*(1+Projection!BB$16)*(1+IF(AZ176&gt;0,'Attrition Modeling'!$N$9,0)))</f>
        <v>0</v>
      </c>
      <c r="BA44" s="799">
        <f>(AZ44+BA176)*(1-IFERROR(IF(BA$2+$F44&lt;=12,SUMIFS('Attrition Modeling'!$D:$D,'Attrition Modeling'!$B:$B,'IP Attrition'!$D44,'Attrition Modeling'!$C:$C,'IP Attrition'!BA$1),VLOOKUP($F44+BA$2,$A$6:$C$106,2,FALSE)*VLOOKUP(BA$1,'Attrition Modeling'!$L$15:$N$27,IF(BA$2+$F44&lt;=24,2,3),FALSE)),$C$3)*(1+Projection!BC$16)*(1+IF(BA176&gt;0,'Attrition Modeling'!$N$9,0)))</f>
        <v>0</v>
      </c>
      <c r="BB44" s="799">
        <f>(BA44+BB176)*(1-IFERROR(IF(BB$2+$F44&lt;=12,SUMIFS('Attrition Modeling'!$D:$D,'Attrition Modeling'!$B:$B,'IP Attrition'!$D44,'Attrition Modeling'!$C:$C,'IP Attrition'!BB$1),VLOOKUP($F44+BB$2,$A$6:$C$106,2,FALSE)*VLOOKUP(BB$1,'Attrition Modeling'!$L$15:$N$27,IF(BB$2+$F44&lt;=24,2,3),FALSE)),$C$3)*(1+Projection!BD$16)*(1+IF(BB176&gt;0,'Attrition Modeling'!$N$9,0)))</f>
        <v>0</v>
      </c>
      <c r="BC44" s="799">
        <f>(BB44+BC176)*(1-IFERROR(IF(BC$2+$F44&lt;=12,SUMIFS('Attrition Modeling'!$D:$D,'Attrition Modeling'!$B:$B,'IP Attrition'!$D44,'Attrition Modeling'!$C:$C,'IP Attrition'!BC$1),VLOOKUP($F44+BC$2,$A$6:$C$106,2,FALSE)*VLOOKUP(BC$1,'Attrition Modeling'!$L$15:$N$27,IF(BC$2+$F44&lt;=24,2,3),FALSE)),$C$3)*(1+Projection!BE$16)*(1+IF(BC176&gt;0,'Attrition Modeling'!$N$9,0)))</f>
        <v>0</v>
      </c>
      <c r="BD44" s="799">
        <f>(BC44+BD176)*(1-IFERROR(IF(BD$2+$F44&lt;=12,SUMIFS('Attrition Modeling'!$D:$D,'Attrition Modeling'!$B:$B,'IP Attrition'!$D44,'Attrition Modeling'!$C:$C,'IP Attrition'!BD$1),VLOOKUP($F44+BD$2,$A$6:$C$106,2,FALSE)*VLOOKUP(BD$1,'Attrition Modeling'!$L$15:$N$27,IF(BD$2+$F44&lt;=24,2,3),FALSE)),$C$3)*(1+Projection!BF$16)*(1+IF(BD176&gt;0,'Attrition Modeling'!$N$9,0)))</f>
        <v>0</v>
      </c>
      <c r="BE44" s="799">
        <f>(BD44+BE176)*(1-IFERROR(IF(BE$2+$F44&lt;=12,SUMIFS('Attrition Modeling'!$D:$D,'Attrition Modeling'!$B:$B,'IP Attrition'!$D44,'Attrition Modeling'!$C:$C,'IP Attrition'!BE$1),VLOOKUP($F44+BE$2,$A$6:$C$106,2,FALSE)*VLOOKUP(BE$1,'Attrition Modeling'!$L$15:$N$27,IF(BE$2+$F44&lt;=24,2,3),FALSE)),$C$3)*(1+Projection!BG$16)*(1+IF(BE176&gt;0,'Attrition Modeling'!$N$9,0)))</f>
        <v>0</v>
      </c>
      <c r="BF44" s="799">
        <f>(BE44+BF176)*(1-IFERROR(IF(BF$2+$F44&lt;=12,SUMIFS('Attrition Modeling'!$D:$D,'Attrition Modeling'!$B:$B,'IP Attrition'!$D44,'Attrition Modeling'!$C:$C,'IP Attrition'!BF$1),VLOOKUP($F44+BF$2,$A$6:$C$106,2,FALSE)*VLOOKUP(BF$1,'Attrition Modeling'!$L$15:$N$27,IF(BF$2+$F44&lt;=24,2,3),FALSE)),$C$3)*(1+Projection!BH$16)*(1+IF(BF176&gt;0,'Attrition Modeling'!$N$9,0)))</f>
        <v>0</v>
      </c>
      <c r="BG44" s="799">
        <f>(BF44+BG176)*(1-IFERROR(IF(BG$2+$F44&lt;=12,SUMIFS('Attrition Modeling'!$D:$D,'Attrition Modeling'!$B:$B,'IP Attrition'!$D44,'Attrition Modeling'!$C:$C,'IP Attrition'!BG$1),VLOOKUP($F44+BG$2,$A$6:$C$106,2,FALSE)*VLOOKUP(BG$1,'Attrition Modeling'!$L$15:$N$27,IF(BG$2+$F44&lt;=24,2,3),FALSE)),$C$3)*(1+Projection!BI$16)*(1+IF(BG176&gt;0,'Attrition Modeling'!$N$9,0)))</f>
        <v>0</v>
      </c>
      <c r="BH44" s="799">
        <f>(BG44+BH176)*(1-IFERROR(IF(BH$2+$F44&lt;=12,SUMIFS('Attrition Modeling'!$D:$D,'Attrition Modeling'!$B:$B,'IP Attrition'!$D44,'Attrition Modeling'!$C:$C,'IP Attrition'!BH$1),VLOOKUP($F44+BH$2,$A$6:$C$106,2,FALSE)*VLOOKUP(BH$1,'Attrition Modeling'!$L$15:$N$27,IF(BH$2+$F44&lt;=24,2,3),FALSE)),$C$3)*(1+Projection!BJ$16)*(1+IF(BH176&gt;0,'Attrition Modeling'!$N$9,0)))</f>
        <v>0</v>
      </c>
      <c r="BI44" s="799">
        <f>(BH44+BI176)*(1-IFERROR(IF(BI$2+$F44&lt;=12,SUMIFS('Attrition Modeling'!$D:$D,'Attrition Modeling'!$B:$B,'IP Attrition'!$D44,'Attrition Modeling'!$C:$C,'IP Attrition'!BI$1),VLOOKUP($F44+BI$2,$A$6:$C$106,2,FALSE)*VLOOKUP(BI$1,'Attrition Modeling'!$L$15:$N$27,IF(BI$2+$F44&lt;=24,2,3),FALSE)),$C$3)*(1+Projection!BK$16)*(1+IF(BI176&gt;0,'Attrition Modeling'!$N$9,0)))</f>
        <v>0</v>
      </c>
      <c r="BJ44" s="799">
        <f>(BI44+BJ176)*(1-IFERROR(IF(BJ$2+$F44&lt;=12,SUMIFS('Attrition Modeling'!$D:$D,'Attrition Modeling'!$B:$B,'IP Attrition'!$D44,'Attrition Modeling'!$C:$C,'IP Attrition'!BJ$1),VLOOKUP($F44+BJ$2,$A$6:$C$106,2,FALSE)*VLOOKUP(BJ$1,'Attrition Modeling'!$L$15:$N$27,IF(BJ$2+$F44&lt;=24,2,3),FALSE)),$C$3)*(1+Projection!BL$16)*(1+IF(BJ176&gt;0,'Attrition Modeling'!$N$9,0)))</f>
        <v>0</v>
      </c>
      <c r="BK44" s="799">
        <f>(BJ44+BK176)*(1-IFERROR(IF(BK$2+$F44&lt;=12,SUMIFS('Attrition Modeling'!$D:$D,'Attrition Modeling'!$B:$B,'IP Attrition'!$D44,'Attrition Modeling'!$C:$C,'IP Attrition'!BK$1),VLOOKUP($F44+BK$2,$A$6:$C$106,2,FALSE)*VLOOKUP(BK$1,'Attrition Modeling'!$L$15:$N$27,IF(BK$2+$F44&lt;=24,2,3),FALSE)),$C$3)*(1+Projection!BM$16)*(1+IF(BK176&gt;0,'Attrition Modeling'!$N$9,0)))</f>
        <v>0</v>
      </c>
      <c r="BL44" s="799">
        <f>(BK44+BL176)*(1-IFERROR(IF(BL$2+$F44&lt;=12,SUMIFS('Attrition Modeling'!$D:$D,'Attrition Modeling'!$B:$B,'IP Attrition'!$D44,'Attrition Modeling'!$C:$C,'IP Attrition'!BL$1),VLOOKUP($F44+BL$2,$A$6:$C$106,2,FALSE)*VLOOKUP(BL$1,'Attrition Modeling'!$L$15:$N$27,IF(BL$2+$F44&lt;=24,2,3),FALSE)),$C$3)*(1+Projection!BN$16)*(1+IF(BL176&gt;0,'Attrition Modeling'!$N$9,0)))</f>
        <v>0</v>
      </c>
      <c r="BM44" s="799">
        <f>(BL44+BM176)*(1-IFERROR(IF(BM$2+$F44&lt;=12,SUMIFS('Attrition Modeling'!$D:$D,'Attrition Modeling'!$B:$B,'IP Attrition'!$D44,'Attrition Modeling'!$C:$C,'IP Attrition'!BM$1),VLOOKUP($F44+BM$2,$A$6:$C$106,2,FALSE)*VLOOKUP(BM$1,'Attrition Modeling'!$L$15:$N$27,IF(BM$2+$F44&lt;=24,2,3),FALSE)),$C$3)*(1+Projection!BO$16)*(1+IF(BM176&gt;0,'Attrition Modeling'!$N$9,0)))</f>
        <v>0</v>
      </c>
      <c r="BN44" s="799">
        <f>(BM44+BN176)*(1-IFERROR(IF(BN$2+$F44&lt;=12,SUMIFS('Attrition Modeling'!$D:$D,'Attrition Modeling'!$B:$B,'IP Attrition'!$D44,'Attrition Modeling'!$C:$C,'IP Attrition'!BN$1),VLOOKUP($F44+BN$2,$A$6:$C$106,2,FALSE)*VLOOKUP(BN$1,'Attrition Modeling'!$L$15:$N$27,IF(BN$2+$F44&lt;=24,2,3),FALSE)),$C$3)*(1+Projection!BP$16)*(1+IF(BN176&gt;0,'Attrition Modeling'!$N$9,0)))</f>
        <v>0</v>
      </c>
      <c r="BO44" s="799">
        <f>(BN44+BO176)*(1-IFERROR(IF(BO$2+$F44&lt;=12,SUMIFS('Attrition Modeling'!$D:$D,'Attrition Modeling'!$B:$B,'IP Attrition'!$D44,'Attrition Modeling'!$C:$C,'IP Attrition'!BO$1),VLOOKUP($F44+BO$2,$A$6:$C$106,2,FALSE)*VLOOKUP(BO$1,'Attrition Modeling'!$L$15:$N$27,IF(BO$2+$F44&lt;=24,2,3),FALSE)),$C$3)*(1+Projection!BV$16)*(1+IF(BO176&gt;0,'Attrition Modeling'!$N$9,0)))</f>
        <v>0</v>
      </c>
      <c r="BP44" s="799">
        <f>(BO44+BP176)*(1-IFERROR(IF(BP$2+$F44&lt;=12,SUMIFS('Attrition Modeling'!$D:$D,'Attrition Modeling'!$B:$B,'IP Attrition'!$D44,'Attrition Modeling'!$C:$C,'IP Attrition'!BP$1),VLOOKUP($F44+BP$2,$A$6:$C$106,2,FALSE)*VLOOKUP(BP$1,'Attrition Modeling'!$L$15:$N$27,IF(BP$2+$F44&lt;=24,2,3),FALSE)),$C$3)*(1+Projection!BW$16)*(1+IF(BP176&gt;0,'Attrition Modeling'!$N$9,0)))</f>
        <v>0</v>
      </c>
      <c r="BQ44" s="799">
        <f>(BP44+BQ176)*(1-IFERROR(IF(BQ$2+$F44&lt;=12,SUMIFS('Attrition Modeling'!$D:$D,'Attrition Modeling'!$B:$B,'IP Attrition'!$D44,'Attrition Modeling'!$C:$C,'IP Attrition'!BQ$1),VLOOKUP($F44+BQ$2,$A$6:$C$106,2,FALSE)*VLOOKUP(BQ$1,'Attrition Modeling'!$L$15:$N$27,IF(BQ$2+$F44&lt;=24,2,3),FALSE)),$C$3)*(1+Projection!BX$16)*(1+IF(BQ176&gt;0,'Attrition Modeling'!$N$9,0)))</f>
        <v>0</v>
      </c>
      <c r="BR44" s="799">
        <f>(BQ44+BR176)*(1-IFERROR(IF(BR$2+$F44&lt;=12,SUMIFS('Attrition Modeling'!$D:$D,'Attrition Modeling'!$B:$B,'IP Attrition'!$D44,'Attrition Modeling'!$C:$C,'IP Attrition'!BR$1),VLOOKUP($F44+BR$2,$A$6:$C$106,2,FALSE)*VLOOKUP(BR$1,'Attrition Modeling'!$L$15:$N$27,IF(BR$2+$F44&lt;=24,2,3),FALSE)),$C$3)*(1+Projection!BY$16)*(1+IF(BR176&gt;0,'Attrition Modeling'!$N$9,0)))</f>
        <v>0</v>
      </c>
      <c r="BS44" s="799">
        <f>(BR44+BS176)*(1-IFERROR(IF(BS$2+$F44&lt;=12,SUMIFS('Attrition Modeling'!$D:$D,'Attrition Modeling'!$B:$B,'IP Attrition'!$D44,'Attrition Modeling'!$C:$C,'IP Attrition'!BS$1),VLOOKUP($F44+BS$2,$A$6:$C$106,2,FALSE)*VLOOKUP(BS$1,'Attrition Modeling'!$L$15:$N$27,IF(BS$2+$F44&lt;=24,2,3),FALSE)),$C$3)*(1+Projection!BZ$16)*(1+IF(BS176&gt;0,'Attrition Modeling'!$N$9,0)))</f>
        <v>0</v>
      </c>
      <c r="BT44" s="799" t="e">
        <f>(BS44+BT176)*(1-IFERROR(IF(BT$2+$F44&lt;=12,SUMIFS('Attrition Modeling'!$D:$D,'Attrition Modeling'!$B:$B,'IP Attrition'!$D44,'Attrition Modeling'!$C:$C,'IP Attrition'!BT$1),VLOOKUP($F44+BT$2,$A$6:$C$106,2,FALSE)*VLOOKUP(BT$1,'Attrition Modeling'!$L$15:$N$27,IF(BT$2+$F44&lt;=24,2,3),FALSE)),$C$3)*(1+Projection!CA$16)*(1+IF(BT176&gt;0,'Attrition Modeling'!$N$9,0)))</f>
        <v>#REF!</v>
      </c>
      <c r="BU44" s="799" t="e">
        <f>(BT44+BU176)*(1-IFERROR(IF(BU$2+$F44&lt;=12,SUMIFS('Attrition Modeling'!$D:$D,'Attrition Modeling'!$B:$B,'IP Attrition'!$D44,'Attrition Modeling'!$C:$C,'IP Attrition'!BU$1),VLOOKUP($F44+BU$2,$A$6:$C$106,2,FALSE)*VLOOKUP(BU$1,'Attrition Modeling'!$L$15:$N$27,IF(BU$2+$F44&lt;=24,2,3),FALSE)),$C$3)*(1+Projection!CB$16)*(1+IF(BU176&gt;0,'Attrition Modeling'!$N$9,0)))</f>
        <v>#REF!</v>
      </c>
    </row>
    <row r="45" spans="1:73" ht="14.25" customHeight="1" x14ac:dyDescent="0.2">
      <c r="A45" s="9">
        <v>38</v>
      </c>
      <c r="B45" s="25">
        <f>MAX('Attrition Modeling'!H42,$C$3)*(1-Summary!$C$20)</f>
        <v>2.9353110812107445E-2</v>
      </c>
      <c r="C45" s="24" t="e">
        <f t="shared" si="3"/>
        <v>#DIV/0!</v>
      </c>
      <c r="D45" s="11">
        <f t="shared" si="1"/>
        <v>-42</v>
      </c>
      <c r="E45" s="807">
        <f t="array" ref="E45">INDEX('Attrition Modeling'!$X$2:$AF$63,MATCH($F45,'Attrition Modeling'!$X$2:$X$63,0),MATCH(Inputs!$C$10,'Attrition Modeling'!$X$2:$AF$2,0))</f>
        <v>0</v>
      </c>
      <c r="F45" s="11">
        <f t="shared" si="2"/>
        <v>42</v>
      </c>
      <c r="G45" s="799">
        <f>Summary!$C$25*$E45</f>
        <v>0</v>
      </c>
      <c r="H45" s="799">
        <f>(G45+H177)*(1-IFERROR(IF(H$2+$F45&lt;=12,SUMIFS('Attrition Modeling'!$D:$D,'Attrition Modeling'!$B:$B,'IP Attrition'!$D45,'Attrition Modeling'!$C:$C,'IP Attrition'!H$1),VLOOKUP($F45+H$2,$A$6:$C$106,2,FALSE)*VLOOKUP(H$1,'Attrition Modeling'!$L$15:$N$27,IF(H$2+$F45&lt;=24,2,3),FALSE)),$C$3)*(1+Projection!J$16)*(1+IF(H177&gt;0,'Attrition Modeling'!$N$9,0)))</f>
        <v>0</v>
      </c>
      <c r="I45" s="799">
        <f>(H45+I177)*(1-IFERROR(IF(I$2+$F45&lt;=12,SUMIFS('Attrition Modeling'!$D:$D,'Attrition Modeling'!$B:$B,'IP Attrition'!$D45,'Attrition Modeling'!$C:$C,'IP Attrition'!I$1),VLOOKUP($F45+I$2,$A$6:$C$106,2,FALSE)*VLOOKUP(I$1,'Attrition Modeling'!$L$15:$N$27,IF(I$2+$F45&lt;=24,2,3),FALSE)),$C$3)*(1+Projection!K$16)*(1+IF(I177&gt;0,'Attrition Modeling'!$N$9,0)))</f>
        <v>0</v>
      </c>
      <c r="J45" s="799">
        <f>(I45+J177)*(1-IFERROR(IF(J$2+$F45&lt;=12,SUMIFS('Attrition Modeling'!$D:$D,'Attrition Modeling'!$B:$B,'IP Attrition'!$D45,'Attrition Modeling'!$C:$C,'IP Attrition'!J$1),VLOOKUP($F45+J$2,$A$6:$C$106,2,FALSE)*VLOOKUP(J$1,'Attrition Modeling'!$L$15:$N$27,IF(J$2+$F45&lt;=24,2,3),FALSE)),$C$3)*(1+Projection!L$16)*(1+IF(J177&gt;0,'Attrition Modeling'!$N$9,0)))</f>
        <v>0</v>
      </c>
      <c r="K45" s="799">
        <f>(J45+K177)*(1-IFERROR(IF(K$2+$F45&lt;=12,SUMIFS('Attrition Modeling'!$D:$D,'Attrition Modeling'!$B:$B,'IP Attrition'!$D45,'Attrition Modeling'!$C:$C,'IP Attrition'!K$1),VLOOKUP($F45+K$2,$A$6:$C$106,2,FALSE)*VLOOKUP(K$1,'Attrition Modeling'!$L$15:$N$27,IF(K$2+$F45&lt;=24,2,3),FALSE)),$C$3)*(1+Projection!M$16)*(1+IF(K177&gt;0,'Attrition Modeling'!$N$9,0)))</f>
        <v>0</v>
      </c>
      <c r="L45" s="799">
        <f>(K45+L177)*(1-IFERROR(IF(L$2+$F45&lt;=12,SUMIFS('Attrition Modeling'!$D:$D,'Attrition Modeling'!$B:$B,'IP Attrition'!$D45,'Attrition Modeling'!$C:$C,'IP Attrition'!L$1),VLOOKUP($F45+L$2,$A$6:$C$106,2,FALSE)*VLOOKUP(L$1,'Attrition Modeling'!$L$15:$N$27,IF(L$2+$F45&lt;=24,2,3),FALSE)),$C$3)*(1+Projection!N$16)*(1+IF(L177&gt;0,'Attrition Modeling'!$N$9,0)))</f>
        <v>0</v>
      </c>
      <c r="M45" s="799">
        <f>(L45+M177)*(1-IFERROR(IF(M$2+$F45&lt;=12,SUMIFS('Attrition Modeling'!$D:$D,'Attrition Modeling'!$B:$B,'IP Attrition'!$D45,'Attrition Modeling'!$C:$C,'IP Attrition'!M$1),VLOOKUP($F45+M$2,$A$6:$C$106,2,FALSE)*VLOOKUP(M$1,'Attrition Modeling'!$L$15:$N$27,IF(M$2+$F45&lt;=24,2,3),FALSE)),$C$3)*(1+Projection!O$16)*(1+IF(M177&gt;0,'Attrition Modeling'!$N$9,0)))</f>
        <v>0</v>
      </c>
      <c r="N45" s="799">
        <f>(M45+N177)*(1-IFERROR(IF(N$2+$F45&lt;=12,SUMIFS('Attrition Modeling'!$D:$D,'Attrition Modeling'!$B:$B,'IP Attrition'!$D45,'Attrition Modeling'!$C:$C,'IP Attrition'!N$1),VLOOKUP($F45+N$2,$A$6:$C$106,2,FALSE)*VLOOKUP(N$1,'Attrition Modeling'!$L$15:$N$27,IF(N$2+$F45&lt;=24,2,3),FALSE)),$C$3)*(1+Projection!P$16)*(1+IF(N177&gt;0,'Attrition Modeling'!$N$9,0)))</f>
        <v>0</v>
      </c>
      <c r="O45" s="799">
        <f>(N45+O177)*(1-IFERROR(IF(O$2+$F45&lt;=12,SUMIFS('Attrition Modeling'!$D:$D,'Attrition Modeling'!$B:$B,'IP Attrition'!$D45,'Attrition Modeling'!$C:$C,'IP Attrition'!O$1),VLOOKUP($F45+O$2,$A$6:$C$106,2,FALSE)*VLOOKUP(O$1,'Attrition Modeling'!$L$15:$N$27,IF(O$2+$F45&lt;=24,2,3),FALSE)),$C$3)*(1+Projection!Q$16)*(1+IF(O177&gt;0,'Attrition Modeling'!$N$9,0)))</f>
        <v>0</v>
      </c>
      <c r="P45" s="799">
        <f>(O45+P177)*(1-IFERROR(IF(P$2+$F45&lt;=12,SUMIFS('Attrition Modeling'!$D:$D,'Attrition Modeling'!$B:$B,'IP Attrition'!$D45,'Attrition Modeling'!$C:$C,'IP Attrition'!P$1),VLOOKUP($F45+P$2,$A$6:$C$106,2,FALSE)*VLOOKUP(P$1,'Attrition Modeling'!$L$15:$N$27,IF(P$2+$F45&lt;=24,2,3),FALSE)),$C$3)*(1+Projection!R$16)*(1+IF(P177&gt;0,'Attrition Modeling'!$N$9,0)))</f>
        <v>0</v>
      </c>
      <c r="Q45" s="799">
        <f>(P45+Q177)*(1-IFERROR(IF(Q$2+$F45&lt;=12,SUMIFS('Attrition Modeling'!$D:$D,'Attrition Modeling'!$B:$B,'IP Attrition'!$D45,'Attrition Modeling'!$C:$C,'IP Attrition'!Q$1),VLOOKUP($F45+Q$2,$A$6:$C$106,2,FALSE)*VLOOKUP(Q$1,'Attrition Modeling'!$L$15:$N$27,IF(Q$2+$F45&lt;=24,2,3),FALSE)),$C$3)*(1+Projection!S$16)*(1+IF(Q177&gt;0,'Attrition Modeling'!$N$9,0)))</f>
        <v>0</v>
      </c>
      <c r="R45" s="799">
        <f>(Q45+R177)*(1-IFERROR(IF(R$2+$F45&lt;=12,SUMIFS('Attrition Modeling'!$D:$D,'Attrition Modeling'!$B:$B,'IP Attrition'!$D45,'Attrition Modeling'!$C:$C,'IP Attrition'!R$1),VLOOKUP($F45+R$2,$A$6:$C$106,2,FALSE)*VLOOKUP(R$1,'Attrition Modeling'!$L$15:$N$27,IF(R$2+$F45&lt;=24,2,3),FALSE)),$C$3)*(1+Projection!T$16)*(1+IF(R177&gt;0,'Attrition Modeling'!$N$9,0)))</f>
        <v>0</v>
      </c>
      <c r="S45" s="799">
        <f>(R45+S177)*(1-IFERROR(IF(S$2+$F45&lt;=12,SUMIFS('Attrition Modeling'!$D:$D,'Attrition Modeling'!$B:$B,'IP Attrition'!$D45,'Attrition Modeling'!$C:$C,'IP Attrition'!S$1),VLOOKUP($F45+S$2,$A$6:$C$106,2,FALSE)*VLOOKUP(S$1,'Attrition Modeling'!$L$15:$N$27,IF(S$2+$F45&lt;=24,2,3),FALSE)),$C$3)*(1+Projection!U$16)*(1+IF(S177&gt;0,'Attrition Modeling'!$N$9,0)))</f>
        <v>0</v>
      </c>
      <c r="T45" s="799">
        <f>(S45+T177)*(1-IFERROR(IF(T$2+$F45&lt;=12,SUMIFS('Attrition Modeling'!$D:$D,'Attrition Modeling'!$B:$B,'IP Attrition'!$D45,'Attrition Modeling'!$C:$C,'IP Attrition'!T$1),VLOOKUP($F45+T$2,$A$6:$C$106,2,FALSE)*VLOOKUP(T$1,'Attrition Modeling'!$L$15:$N$27,IF(T$2+$F45&lt;=24,2,3),FALSE)),$C$3)*(1+Projection!V$16)*(1+IF(T177&gt;0,'Attrition Modeling'!$N$9,0)))</f>
        <v>0</v>
      </c>
      <c r="U45" s="799">
        <f>(T45+U177)*(1-IFERROR(IF(U$2+$F45&lt;=12,SUMIFS('Attrition Modeling'!$D:$D,'Attrition Modeling'!$B:$B,'IP Attrition'!$D45,'Attrition Modeling'!$C:$C,'IP Attrition'!U$1),VLOOKUP($F45+U$2,$A$6:$C$106,2,FALSE)*VLOOKUP(U$1,'Attrition Modeling'!$L$15:$N$27,IF(U$2+$F45&lt;=24,2,3),FALSE)),$C$3)*(1+Projection!W$16)*(1+IF(U177&gt;0,'Attrition Modeling'!$N$9,0)))</f>
        <v>0</v>
      </c>
      <c r="V45" s="799">
        <f>(U45+V177)*(1-IFERROR(IF(V$2+$F45&lt;=12,SUMIFS('Attrition Modeling'!$D:$D,'Attrition Modeling'!$B:$B,'IP Attrition'!$D45,'Attrition Modeling'!$C:$C,'IP Attrition'!V$1),VLOOKUP($F45+V$2,$A$6:$C$106,2,FALSE)*VLOOKUP(V$1,'Attrition Modeling'!$L$15:$N$27,IF(V$2+$F45&lt;=24,2,3),FALSE)),$C$3)*(1+Projection!X$16)*(1+IF(V177&gt;0,'Attrition Modeling'!$N$9,0)))</f>
        <v>0</v>
      </c>
      <c r="W45" s="799">
        <f>(V45+W177)*(1-IFERROR(IF(W$2+$F45&lt;=12,SUMIFS('Attrition Modeling'!$D:$D,'Attrition Modeling'!$B:$B,'IP Attrition'!$D45,'Attrition Modeling'!$C:$C,'IP Attrition'!W$1),VLOOKUP($F45+W$2,$A$6:$C$106,2,FALSE)*VLOOKUP(W$1,'Attrition Modeling'!$L$15:$N$27,IF(W$2+$F45&lt;=24,2,3),FALSE)),$C$3)*(1+Projection!Y$16)*(1+IF(W177&gt;0,'Attrition Modeling'!$N$9,0)))</f>
        <v>0</v>
      </c>
      <c r="X45" s="799">
        <f>(W45+X177)*(1-IFERROR(IF(X$2+$F45&lt;=12,SUMIFS('Attrition Modeling'!$D:$D,'Attrition Modeling'!$B:$B,'IP Attrition'!$D45,'Attrition Modeling'!$C:$C,'IP Attrition'!X$1),VLOOKUP($F45+X$2,$A$6:$C$106,2,FALSE)*VLOOKUP(X$1,'Attrition Modeling'!$L$15:$N$27,IF(X$2+$F45&lt;=24,2,3),FALSE)),$C$3)*(1+Projection!Z$16)*(1+IF(X177&gt;0,'Attrition Modeling'!$N$9,0)))</f>
        <v>0</v>
      </c>
      <c r="Y45" s="799">
        <f>(X45+Y177)*(1-IFERROR(IF(Y$2+$F45&lt;=12,SUMIFS('Attrition Modeling'!$D:$D,'Attrition Modeling'!$B:$B,'IP Attrition'!$D45,'Attrition Modeling'!$C:$C,'IP Attrition'!Y$1),VLOOKUP($F45+Y$2,$A$6:$C$106,2,FALSE)*VLOOKUP(Y$1,'Attrition Modeling'!$L$15:$N$27,IF(Y$2+$F45&lt;=24,2,3),FALSE)),$C$3)*(1+Projection!AA$16)*(1+IF(Y177&gt;0,'Attrition Modeling'!$N$9,0)))</f>
        <v>0</v>
      </c>
      <c r="Z45" s="799">
        <f>(Y45+Z177)*(1-IFERROR(IF(Z$2+$F45&lt;=12,SUMIFS('Attrition Modeling'!$D:$D,'Attrition Modeling'!$B:$B,'IP Attrition'!$D45,'Attrition Modeling'!$C:$C,'IP Attrition'!Z$1),VLOOKUP($F45+Z$2,$A$6:$C$106,2,FALSE)*VLOOKUP(Z$1,'Attrition Modeling'!$L$15:$N$27,IF(Z$2+$F45&lt;=24,2,3),FALSE)),$C$3)*(1+Projection!AB$16)*(1+IF(Z177&gt;0,'Attrition Modeling'!$N$9,0)))</f>
        <v>0</v>
      </c>
      <c r="AA45" s="799">
        <f>(Z45+AA177)*(1-IFERROR(IF(AA$2+$F45&lt;=12,SUMIFS('Attrition Modeling'!$D:$D,'Attrition Modeling'!$B:$B,'IP Attrition'!$D45,'Attrition Modeling'!$C:$C,'IP Attrition'!AA$1),VLOOKUP($F45+AA$2,$A$6:$C$106,2,FALSE)*VLOOKUP(AA$1,'Attrition Modeling'!$L$15:$N$27,IF(AA$2+$F45&lt;=24,2,3),FALSE)),$C$3)*(1+Projection!AC$16)*(1+IF(AA177&gt;0,'Attrition Modeling'!$N$9,0)))</f>
        <v>0</v>
      </c>
      <c r="AB45" s="799">
        <f>(AA45+AB177)*(1-IFERROR(IF(AB$2+$F45&lt;=12,SUMIFS('Attrition Modeling'!$D:$D,'Attrition Modeling'!$B:$B,'IP Attrition'!$D45,'Attrition Modeling'!$C:$C,'IP Attrition'!AB$1),VLOOKUP($F45+AB$2,$A$6:$C$106,2,FALSE)*VLOOKUP(AB$1,'Attrition Modeling'!$L$15:$N$27,IF(AB$2+$F45&lt;=24,2,3),FALSE)),$C$3)*(1+Projection!AD$16)*(1+IF(AB177&gt;0,'Attrition Modeling'!$N$9,0)))</f>
        <v>0</v>
      </c>
      <c r="AC45" s="799">
        <f>(AB45+AC177)*(1-IFERROR(IF(AC$2+$F45&lt;=12,SUMIFS('Attrition Modeling'!$D:$D,'Attrition Modeling'!$B:$B,'IP Attrition'!$D45,'Attrition Modeling'!$C:$C,'IP Attrition'!AC$1),VLOOKUP($F45+AC$2,$A$6:$C$106,2,FALSE)*VLOOKUP(AC$1,'Attrition Modeling'!$L$15:$N$27,IF(AC$2+$F45&lt;=24,2,3),FALSE)),$C$3)*(1+Projection!AE$16)*(1+IF(AC177&gt;0,'Attrition Modeling'!$N$9,0)))</f>
        <v>0</v>
      </c>
      <c r="AD45" s="799">
        <f>(AC45+AD177)*(1-IFERROR(IF(AD$2+$F45&lt;=12,SUMIFS('Attrition Modeling'!$D:$D,'Attrition Modeling'!$B:$B,'IP Attrition'!$D45,'Attrition Modeling'!$C:$C,'IP Attrition'!AD$1),VLOOKUP($F45+AD$2,$A$6:$C$106,2,FALSE)*VLOOKUP(AD$1,'Attrition Modeling'!$L$15:$N$27,IF(AD$2+$F45&lt;=24,2,3),FALSE)),$C$3)*(1+Projection!AF$16)*(1+IF(AD177&gt;0,'Attrition Modeling'!$N$9,0)))</f>
        <v>0</v>
      </c>
      <c r="AE45" s="799">
        <f>(AD45+AE177)*(1-IFERROR(IF(AE$2+$F45&lt;=12,SUMIFS('Attrition Modeling'!$D:$D,'Attrition Modeling'!$B:$B,'IP Attrition'!$D45,'Attrition Modeling'!$C:$C,'IP Attrition'!AE$1),VLOOKUP($F45+AE$2,$A$6:$C$106,2,FALSE)*VLOOKUP(AE$1,'Attrition Modeling'!$L$15:$N$27,IF(AE$2+$F45&lt;=24,2,3),FALSE)),$C$3)*(1+Projection!AG$16)*(1+IF(AE177&gt;0,'Attrition Modeling'!$N$9,0)))</f>
        <v>0</v>
      </c>
      <c r="AF45" s="799">
        <f>(AE45+AF177)*(1-IFERROR(IF(AF$2+$F45&lt;=12,SUMIFS('Attrition Modeling'!$D:$D,'Attrition Modeling'!$B:$B,'IP Attrition'!$D45,'Attrition Modeling'!$C:$C,'IP Attrition'!AF$1),VLOOKUP($F45+AF$2,$A$6:$C$106,2,FALSE)*VLOOKUP(AF$1,'Attrition Modeling'!$L$15:$N$27,IF(AF$2+$F45&lt;=24,2,3),FALSE)),$C$3)*(1+Projection!AH$16)*(1+IF(AF177&gt;0,'Attrition Modeling'!$N$9,0)))</f>
        <v>0</v>
      </c>
      <c r="AG45" s="799">
        <f>(AF45+AG177)*(1-IFERROR(IF(AG$2+$F45&lt;=12,SUMIFS('Attrition Modeling'!$D:$D,'Attrition Modeling'!$B:$B,'IP Attrition'!$D45,'Attrition Modeling'!$C:$C,'IP Attrition'!AG$1),VLOOKUP($F45+AG$2,$A$6:$C$106,2,FALSE)*VLOOKUP(AG$1,'Attrition Modeling'!$L$15:$N$27,IF(AG$2+$F45&lt;=24,2,3),FALSE)),$C$3)*(1+Projection!AI$16)*(1+IF(AG177&gt;0,'Attrition Modeling'!$N$9,0)))</f>
        <v>0</v>
      </c>
      <c r="AH45" s="799">
        <f>(AG45+AH177)*(1-IFERROR(IF(AH$2+$F45&lt;=12,SUMIFS('Attrition Modeling'!$D:$D,'Attrition Modeling'!$B:$B,'IP Attrition'!$D45,'Attrition Modeling'!$C:$C,'IP Attrition'!AH$1),VLOOKUP($F45+AH$2,$A$6:$C$106,2,FALSE)*VLOOKUP(AH$1,'Attrition Modeling'!$L$15:$N$27,IF(AH$2+$F45&lt;=24,2,3),FALSE)),$C$3)*(1+Projection!AJ$16)*(1+IF(AH177&gt;0,'Attrition Modeling'!$N$9,0)))</f>
        <v>0</v>
      </c>
      <c r="AI45" s="799">
        <f>(AH45+AI177)*(1-IFERROR(IF(AI$2+$F45&lt;=12,SUMIFS('Attrition Modeling'!$D:$D,'Attrition Modeling'!$B:$B,'IP Attrition'!$D45,'Attrition Modeling'!$C:$C,'IP Attrition'!AI$1),VLOOKUP($F45+AI$2,$A$6:$C$106,2,FALSE)*VLOOKUP(AI$1,'Attrition Modeling'!$L$15:$N$27,IF(AI$2+$F45&lt;=24,2,3),FALSE)),$C$3)*(1+Projection!AK$16)*(1+IF(AI177&gt;0,'Attrition Modeling'!$N$9,0)))</f>
        <v>0</v>
      </c>
      <c r="AJ45" s="799">
        <f>(AI45+AJ177)*(1-IFERROR(IF(AJ$2+$F45&lt;=12,SUMIFS('Attrition Modeling'!$D:$D,'Attrition Modeling'!$B:$B,'IP Attrition'!$D45,'Attrition Modeling'!$C:$C,'IP Attrition'!AJ$1),VLOOKUP($F45+AJ$2,$A$6:$C$106,2,FALSE)*VLOOKUP(AJ$1,'Attrition Modeling'!$L$15:$N$27,IF(AJ$2+$F45&lt;=24,2,3),FALSE)),$C$3)*(1+Projection!AL$16)*(1+IF(AJ177&gt;0,'Attrition Modeling'!$N$9,0)))</f>
        <v>0</v>
      </c>
      <c r="AK45" s="799">
        <f>(AJ45+AK177)*(1-IFERROR(IF(AK$2+$F45&lt;=12,SUMIFS('Attrition Modeling'!$D:$D,'Attrition Modeling'!$B:$B,'IP Attrition'!$D45,'Attrition Modeling'!$C:$C,'IP Attrition'!AK$1),VLOOKUP($F45+AK$2,$A$6:$C$106,2,FALSE)*VLOOKUP(AK$1,'Attrition Modeling'!$L$15:$N$27,IF(AK$2+$F45&lt;=24,2,3),FALSE)),$C$3)*(1+Projection!AM$16)*(1+IF(AK177&gt;0,'Attrition Modeling'!$N$9,0)))</f>
        <v>0</v>
      </c>
      <c r="AL45" s="799">
        <f>(AK45+AL177)*(1-IFERROR(IF(AL$2+$F45&lt;=12,SUMIFS('Attrition Modeling'!$D:$D,'Attrition Modeling'!$B:$B,'IP Attrition'!$D45,'Attrition Modeling'!$C:$C,'IP Attrition'!AL$1),VLOOKUP($F45+AL$2,$A$6:$C$106,2,FALSE)*VLOOKUP(AL$1,'Attrition Modeling'!$L$15:$N$27,IF(AL$2+$F45&lt;=24,2,3),FALSE)),$C$3)*(1+Projection!AN$16)*(1+IF(AL177&gt;0,'Attrition Modeling'!$N$9,0)))</f>
        <v>0</v>
      </c>
      <c r="AM45" s="799">
        <f>(AL45+AM177)*(1-IFERROR(IF(AM$2+$F45&lt;=12,SUMIFS('Attrition Modeling'!$D:$D,'Attrition Modeling'!$B:$B,'IP Attrition'!$D45,'Attrition Modeling'!$C:$C,'IP Attrition'!AM$1),VLOOKUP($F45+AM$2,$A$6:$C$106,2,FALSE)*VLOOKUP(AM$1,'Attrition Modeling'!$L$15:$N$27,IF(AM$2+$F45&lt;=24,2,3),FALSE)),$C$3)*(1+Projection!AO$16)*(1+IF(AM177&gt;0,'Attrition Modeling'!$N$9,0)))</f>
        <v>0</v>
      </c>
      <c r="AN45" s="799">
        <f>(AM45+AN177)*(1-IFERROR(IF(AN$2+$F45&lt;=12,SUMIFS('Attrition Modeling'!$D:$D,'Attrition Modeling'!$B:$B,'IP Attrition'!$D45,'Attrition Modeling'!$C:$C,'IP Attrition'!AN$1),VLOOKUP($F45+AN$2,$A$6:$C$106,2,FALSE)*VLOOKUP(AN$1,'Attrition Modeling'!$L$15:$N$27,IF(AN$2+$F45&lt;=24,2,3),FALSE)),$C$3)*(1+Projection!AP$16)*(1+IF(AN177&gt;0,'Attrition Modeling'!$N$9,0)))</f>
        <v>0</v>
      </c>
      <c r="AO45" s="799">
        <f>(AN45+AO177)*(1-IFERROR(IF(AO$2+$F45&lt;=12,SUMIFS('Attrition Modeling'!$D:$D,'Attrition Modeling'!$B:$B,'IP Attrition'!$D45,'Attrition Modeling'!$C:$C,'IP Attrition'!AO$1),VLOOKUP($F45+AO$2,$A$6:$C$106,2,FALSE)*VLOOKUP(AO$1,'Attrition Modeling'!$L$15:$N$27,IF(AO$2+$F45&lt;=24,2,3),FALSE)),$C$3)*(1+Projection!AQ$16)*(1+IF(AO177&gt;0,'Attrition Modeling'!$N$9,0)))</f>
        <v>0</v>
      </c>
      <c r="AP45" s="799">
        <f>(AO45+AP177)*(1-IFERROR(IF(AP$2+$F45&lt;=12,SUMIFS('Attrition Modeling'!$D:$D,'Attrition Modeling'!$B:$B,'IP Attrition'!$D45,'Attrition Modeling'!$C:$C,'IP Attrition'!AP$1),VLOOKUP($F45+AP$2,$A$6:$C$106,2,FALSE)*VLOOKUP(AP$1,'Attrition Modeling'!$L$15:$N$27,IF(AP$2+$F45&lt;=24,2,3),FALSE)),$C$3)*(1+Projection!AR$16)*(1+IF(AP177&gt;0,'Attrition Modeling'!$N$9,0)))</f>
        <v>0</v>
      </c>
      <c r="AQ45" s="799">
        <f>(AP45+AQ177)*(1-IFERROR(IF(AQ$2+$F45&lt;=12,SUMIFS('Attrition Modeling'!$D:$D,'Attrition Modeling'!$B:$B,'IP Attrition'!$D45,'Attrition Modeling'!$C:$C,'IP Attrition'!AQ$1),VLOOKUP($F45+AQ$2,$A$6:$C$106,2,FALSE)*VLOOKUP(AQ$1,'Attrition Modeling'!$L$15:$N$27,IF(AQ$2+$F45&lt;=24,2,3),FALSE)),$C$3)*(1+Projection!AS$16)*(1+IF(AQ177&gt;0,'Attrition Modeling'!$N$9,0)))</f>
        <v>0</v>
      </c>
      <c r="AR45" s="799">
        <f>(AQ45+AR177)*(1-IFERROR(IF(AR$2+$F45&lt;=12,SUMIFS('Attrition Modeling'!$D:$D,'Attrition Modeling'!$B:$B,'IP Attrition'!$D45,'Attrition Modeling'!$C:$C,'IP Attrition'!AR$1),VLOOKUP($F45+AR$2,$A$6:$C$106,2,FALSE)*VLOOKUP(AR$1,'Attrition Modeling'!$L$15:$N$27,IF(AR$2+$F45&lt;=24,2,3),FALSE)),$C$3)*(1+Projection!AT$16)*(1+IF(AR177&gt;0,'Attrition Modeling'!$N$9,0)))</f>
        <v>0</v>
      </c>
      <c r="AS45" s="799">
        <f>(AR45+AS177)*(1-IFERROR(IF(AS$2+$F45&lt;=12,SUMIFS('Attrition Modeling'!$D:$D,'Attrition Modeling'!$B:$B,'IP Attrition'!$D45,'Attrition Modeling'!$C:$C,'IP Attrition'!AS$1),VLOOKUP($F45+AS$2,$A$6:$C$106,2,FALSE)*VLOOKUP(AS$1,'Attrition Modeling'!$L$15:$N$27,IF(AS$2+$F45&lt;=24,2,3),FALSE)),$C$3)*(1+Projection!AU$16)*(1+IF(AS177&gt;0,'Attrition Modeling'!$N$9,0)))</f>
        <v>0</v>
      </c>
      <c r="AT45" s="799">
        <f>(AS45+AT177)*(1-IFERROR(IF(AT$2+$F45&lt;=12,SUMIFS('Attrition Modeling'!$D:$D,'Attrition Modeling'!$B:$B,'IP Attrition'!$D45,'Attrition Modeling'!$C:$C,'IP Attrition'!AT$1),VLOOKUP($F45+AT$2,$A$6:$C$106,2,FALSE)*VLOOKUP(AT$1,'Attrition Modeling'!$L$15:$N$27,IF(AT$2+$F45&lt;=24,2,3),FALSE)),$C$3)*(1+Projection!AV$16)*(1+IF(AT177&gt;0,'Attrition Modeling'!$N$9,0)))</f>
        <v>0</v>
      </c>
      <c r="AU45" s="799">
        <f>(AT45+AU177)*(1-IFERROR(IF(AU$2+$F45&lt;=12,SUMIFS('Attrition Modeling'!$D:$D,'Attrition Modeling'!$B:$B,'IP Attrition'!$D45,'Attrition Modeling'!$C:$C,'IP Attrition'!AU$1),VLOOKUP($F45+AU$2,$A$6:$C$106,2,FALSE)*VLOOKUP(AU$1,'Attrition Modeling'!$L$15:$N$27,IF(AU$2+$F45&lt;=24,2,3),FALSE)),$C$3)*(1+Projection!AW$16)*(1+IF(AU177&gt;0,'Attrition Modeling'!$N$9,0)))</f>
        <v>0</v>
      </c>
      <c r="AV45" s="799">
        <f>(AU45+AV177)*(1-IFERROR(IF(AV$2+$F45&lt;=12,SUMIFS('Attrition Modeling'!$D:$D,'Attrition Modeling'!$B:$B,'IP Attrition'!$D45,'Attrition Modeling'!$C:$C,'IP Attrition'!AV$1),VLOOKUP($F45+AV$2,$A$6:$C$106,2,FALSE)*VLOOKUP(AV$1,'Attrition Modeling'!$L$15:$N$27,IF(AV$2+$F45&lt;=24,2,3),FALSE)),$C$3)*(1+Projection!AX$16)*(1+IF(AV177&gt;0,'Attrition Modeling'!$N$9,0)))</f>
        <v>0</v>
      </c>
      <c r="AW45" s="799">
        <f>(AV45+AW177)*(1-IFERROR(IF(AW$2+$F45&lt;=12,SUMIFS('Attrition Modeling'!$D:$D,'Attrition Modeling'!$B:$B,'IP Attrition'!$D45,'Attrition Modeling'!$C:$C,'IP Attrition'!AW$1),VLOOKUP($F45+AW$2,$A$6:$C$106,2,FALSE)*VLOOKUP(AW$1,'Attrition Modeling'!$L$15:$N$27,IF(AW$2+$F45&lt;=24,2,3),FALSE)),$C$3)*(1+Projection!AY$16)*(1+IF(AW177&gt;0,'Attrition Modeling'!$N$9,0)))</f>
        <v>0</v>
      </c>
      <c r="AX45" s="799">
        <f>(AW45+AX177)*(1-IFERROR(IF(AX$2+$F45&lt;=12,SUMIFS('Attrition Modeling'!$D:$D,'Attrition Modeling'!$B:$B,'IP Attrition'!$D45,'Attrition Modeling'!$C:$C,'IP Attrition'!AX$1),VLOOKUP($F45+AX$2,$A$6:$C$106,2,FALSE)*VLOOKUP(AX$1,'Attrition Modeling'!$L$15:$N$27,IF(AX$2+$F45&lt;=24,2,3),FALSE)),$C$3)*(1+Projection!AZ$16)*(1+IF(AX177&gt;0,'Attrition Modeling'!$N$9,0)))</f>
        <v>0</v>
      </c>
      <c r="AY45" s="799">
        <f>(AX45+AY177)*(1-IFERROR(IF(AY$2+$F45&lt;=12,SUMIFS('Attrition Modeling'!$D:$D,'Attrition Modeling'!$B:$B,'IP Attrition'!$D45,'Attrition Modeling'!$C:$C,'IP Attrition'!AY$1),VLOOKUP($F45+AY$2,$A$6:$C$106,2,FALSE)*VLOOKUP(AY$1,'Attrition Modeling'!$L$15:$N$27,IF(AY$2+$F45&lt;=24,2,3),FALSE)),$C$3)*(1+Projection!BA$16)*(1+IF(AY177&gt;0,'Attrition Modeling'!$N$9,0)))</f>
        <v>0</v>
      </c>
      <c r="AZ45" s="799">
        <f>(AY45+AZ177)*(1-IFERROR(IF(AZ$2+$F45&lt;=12,SUMIFS('Attrition Modeling'!$D:$D,'Attrition Modeling'!$B:$B,'IP Attrition'!$D45,'Attrition Modeling'!$C:$C,'IP Attrition'!AZ$1),VLOOKUP($F45+AZ$2,$A$6:$C$106,2,FALSE)*VLOOKUP(AZ$1,'Attrition Modeling'!$L$15:$N$27,IF(AZ$2+$F45&lt;=24,2,3),FALSE)),$C$3)*(1+Projection!BB$16)*(1+IF(AZ177&gt;0,'Attrition Modeling'!$N$9,0)))</f>
        <v>0</v>
      </c>
      <c r="BA45" s="799">
        <f>(AZ45+BA177)*(1-IFERROR(IF(BA$2+$F45&lt;=12,SUMIFS('Attrition Modeling'!$D:$D,'Attrition Modeling'!$B:$B,'IP Attrition'!$D45,'Attrition Modeling'!$C:$C,'IP Attrition'!BA$1),VLOOKUP($F45+BA$2,$A$6:$C$106,2,FALSE)*VLOOKUP(BA$1,'Attrition Modeling'!$L$15:$N$27,IF(BA$2+$F45&lt;=24,2,3),FALSE)),$C$3)*(1+Projection!BC$16)*(1+IF(BA177&gt;0,'Attrition Modeling'!$N$9,0)))</f>
        <v>0</v>
      </c>
      <c r="BB45" s="799">
        <f>(BA45+BB177)*(1-IFERROR(IF(BB$2+$F45&lt;=12,SUMIFS('Attrition Modeling'!$D:$D,'Attrition Modeling'!$B:$B,'IP Attrition'!$D45,'Attrition Modeling'!$C:$C,'IP Attrition'!BB$1),VLOOKUP($F45+BB$2,$A$6:$C$106,2,FALSE)*VLOOKUP(BB$1,'Attrition Modeling'!$L$15:$N$27,IF(BB$2+$F45&lt;=24,2,3),FALSE)),$C$3)*(1+Projection!BD$16)*(1+IF(BB177&gt;0,'Attrition Modeling'!$N$9,0)))</f>
        <v>0</v>
      </c>
      <c r="BC45" s="799">
        <f>(BB45+BC177)*(1-IFERROR(IF(BC$2+$F45&lt;=12,SUMIFS('Attrition Modeling'!$D:$D,'Attrition Modeling'!$B:$B,'IP Attrition'!$D45,'Attrition Modeling'!$C:$C,'IP Attrition'!BC$1),VLOOKUP($F45+BC$2,$A$6:$C$106,2,FALSE)*VLOOKUP(BC$1,'Attrition Modeling'!$L$15:$N$27,IF(BC$2+$F45&lt;=24,2,3),FALSE)),$C$3)*(1+Projection!BE$16)*(1+IF(BC177&gt;0,'Attrition Modeling'!$N$9,0)))</f>
        <v>0</v>
      </c>
      <c r="BD45" s="799">
        <f>(BC45+BD177)*(1-IFERROR(IF(BD$2+$F45&lt;=12,SUMIFS('Attrition Modeling'!$D:$D,'Attrition Modeling'!$B:$B,'IP Attrition'!$D45,'Attrition Modeling'!$C:$C,'IP Attrition'!BD$1),VLOOKUP($F45+BD$2,$A$6:$C$106,2,FALSE)*VLOOKUP(BD$1,'Attrition Modeling'!$L$15:$N$27,IF(BD$2+$F45&lt;=24,2,3),FALSE)),$C$3)*(1+Projection!BF$16)*(1+IF(BD177&gt;0,'Attrition Modeling'!$N$9,0)))</f>
        <v>0</v>
      </c>
      <c r="BE45" s="799">
        <f>(BD45+BE177)*(1-IFERROR(IF(BE$2+$F45&lt;=12,SUMIFS('Attrition Modeling'!$D:$D,'Attrition Modeling'!$B:$B,'IP Attrition'!$D45,'Attrition Modeling'!$C:$C,'IP Attrition'!BE$1),VLOOKUP($F45+BE$2,$A$6:$C$106,2,FALSE)*VLOOKUP(BE$1,'Attrition Modeling'!$L$15:$N$27,IF(BE$2+$F45&lt;=24,2,3),FALSE)),$C$3)*(1+Projection!BG$16)*(1+IF(BE177&gt;0,'Attrition Modeling'!$N$9,0)))</f>
        <v>0</v>
      </c>
      <c r="BF45" s="799">
        <f>(BE45+BF177)*(1-IFERROR(IF(BF$2+$F45&lt;=12,SUMIFS('Attrition Modeling'!$D:$D,'Attrition Modeling'!$B:$B,'IP Attrition'!$D45,'Attrition Modeling'!$C:$C,'IP Attrition'!BF$1),VLOOKUP($F45+BF$2,$A$6:$C$106,2,FALSE)*VLOOKUP(BF$1,'Attrition Modeling'!$L$15:$N$27,IF(BF$2+$F45&lt;=24,2,3),FALSE)),$C$3)*(1+Projection!BH$16)*(1+IF(BF177&gt;0,'Attrition Modeling'!$N$9,0)))</f>
        <v>0</v>
      </c>
      <c r="BG45" s="799">
        <f>(BF45+BG177)*(1-IFERROR(IF(BG$2+$F45&lt;=12,SUMIFS('Attrition Modeling'!$D:$D,'Attrition Modeling'!$B:$B,'IP Attrition'!$D45,'Attrition Modeling'!$C:$C,'IP Attrition'!BG$1),VLOOKUP($F45+BG$2,$A$6:$C$106,2,FALSE)*VLOOKUP(BG$1,'Attrition Modeling'!$L$15:$N$27,IF(BG$2+$F45&lt;=24,2,3),FALSE)),$C$3)*(1+Projection!BI$16)*(1+IF(BG177&gt;0,'Attrition Modeling'!$N$9,0)))</f>
        <v>0</v>
      </c>
      <c r="BH45" s="799">
        <f>(BG45+BH177)*(1-IFERROR(IF(BH$2+$F45&lt;=12,SUMIFS('Attrition Modeling'!$D:$D,'Attrition Modeling'!$B:$B,'IP Attrition'!$D45,'Attrition Modeling'!$C:$C,'IP Attrition'!BH$1),VLOOKUP($F45+BH$2,$A$6:$C$106,2,FALSE)*VLOOKUP(BH$1,'Attrition Modeling'!$L$15:$N$27,IF(BH$2+$F45&lt;=24,2,3),FALSE)),$C$3)*(1+Projection!BJ$16)*(1+IF(BH177&gt;0,'Attrition Modeling'!$N$9,0)))</f>
        <v>0</v>
      </c>
      <c r="BI45" s="799">
        <f>(BH45+BI177)*(1-IFERROR(IF(BI$2+$F45&lt;=12,SUMIFS('Attrition Modeling'!$D:$D,'Attrition Modeling'!$B:$B,'IP Attrition'!$D45,'Attrition Modeling'!$C:$C,'IP Attrition'!BI$1),VLOOKUP($F45+BI$2,$A$6:$C$106,2,FALSE)*VLOOKUP(BI$1,'Attrition Modeling'!$L$15:$N$27,IF(BI$2+$F45&lt;=24,2,3),FALSE)),$C$3)*(1+Projection!BK$16)*(1+IF(BI177&gt;0,'Attrition Modeling'!$N$9,0)))</f>
        <v>0</v>
      </c>
      <c r="BJ45" s="799">
        <f>(BI45+BJ177)*(1-IFERROR(IF(BJ$2+$F45&lt;=12,SUMIFS('Attrition Modeling'!$D:$D,'Attrition Modeling'!$B:$B,'IP Attrition'!$D45,'Attrition Modeling'!$C:$C,'IP Attrition'!BJ$1),VLOOKUP($F45+BJ$2,$A$6:$C$106,2,FALSE)*VLOOKUP(BJ$1,'Attrition Modeling'!$L$15:$N$27,IF(BJ$2+$F45&lt;=24,2,3),FALSE)),$C$3)*(1+Projection!BL$16)*(1+IF(BJ177&gt;0,'Attrition Modeling'!$N$9,0)))</f>
        <v>0</v>
      </c>
      <c r="BK45" s="799">
        <f>(BJ45+BK177)*(1-IFERROR(IF(BK$2+$F45&lt;=12,SUMIFS('Attrition Modeling'!$D:$D,'Attrition Modeling'!$B:$B,'IP Attrition'!$D45,'Attrition Modeling'!$C:$C,'IP Attrition'!BK$1),VLOOKUP($F45+BK$2,$A$6:$C$106,2,FALSE)*VLOOKUP(BK$1,'Attrition Modeling'!$L$15:$N$27,IF(BK$2+$F45&lt;=24,2,3),FALSE)),$C$3)*(1+Projection!BM$16)*(1+IF(BK177&gt;0,'Attrition Modeling'!$N$9,0)))</f>
        <v>0</v>
      </c>
      <c r="BL45" s="799">
        <f>(BK45+BL177)*(1-IFERROR(IF(BL$2+$F45&lt;=12,SUMIFS('Attrition Modeling'!$D:$D,'Attrition Modeling'!$B:$B,'IP Attrition'!$D45,'Attrition Modeling'!$C:$C,'IP Attrition'!BL$1),VLOOKUP($F45+BL$2,$A$6:$C$106,2,FALSE)*VLOOKUP(BL$1,'Attrition Modeling'!$L$15:$N$27,IF(BL$2+$F45&lt;=24,2,3),FALSE)),$C$3)*(1+Projection!BN$16)*(1+IF(BL177&gt;0,'Attrition Modeling'!$N$9,0)))</f>
        <v>0</v>
      </c>
      <c r="BM45" s="799">
        <f>(BL45+BM177)*(1-IFERROR(IF(BM$2+$F45&lt;=12,SUMIFS('Attrition Modeling'!$D:$D,'Attrition Modeling'!$B:$B,'IP Attrition'!$D45,'Attrition Modeling'!$C:$C,'IP Attrition'!BM$1),VLOOKUP($F45+BM$2,$A$6:$C$106,2,FALSE)*VLOOKUP(BM$1,'Attrition Modeling'!$L$15:$N$27,IF(BM$2+$F45&lt;=24,2,3),FALSE)),$C$3)*(1+Projection!BO$16)*(1+IF(BM177&gt;0,'Attrition Modeling'!$N$9,0)))</f>
        <v>0</v>
      </c>
      <c r="BN45" s="799">
        <f>(BM45+BN177)*(1-IFERROR(IF(BN$2+$F45&lt;=12,SUMIFS('Attrition Modeling'!$D:$D,'Attrition Modeling'!$B:$B,'IP Attrition'!$D45,'Attrition Modeling'!$C:$C,'IP Attrition'!BN$1),VLOOKUP($F45+BN$2,$A$6:$C$106,2,FALSE)*VLOOKUP(BN$1,'Attrition Modeling'!$L$15:$N$27,IF(BN$2+$F45&lt;=24,2,3),FALSE)),$C$3)*(1+Projection!BP$16)*(1+IF(BN177&gt;0,'Attrition Modeling'!$N$9,0)))</f>
        <v>0</v>
      </c>
      <c r="BO45" s="799">
        <f>(BN45+BO177)*(1-IFERROR(IF(BO$2+$F45&lt;=12,SUMIFS('Attrition Modeling'!$D:$D,'Attrition Modeling'!$B:$B,'IP Attrition'!$D45,'Attrition Modeling'!$C:$C,'IP Attrition'!BO$1),VLOOKUP($F45+BO$2,$A$6:$C$106,2,FALSE)*VLOOKUP(BO$1,'Attrition Modeling'!$L$15:$N$27,IF(BO$2+$F45&lt;=24,2,3),FALSE)),$C$3)*(1+Projection!BV$16)*(1+IF(BO177&gt;0,'Attrition Modeling'!$N$9,0)))</f>
        <v>0</v>
      </c>
      <c r="BP45" s="799">
        <f>(BO45+BP177)*(1-IFERROR(IF(BP$2+$F45&lt;=12,SUMIFS('Attrition Modeling'!$D:$D,'Attrition Modeling'!$B:$B,'IP Attrition'!$D45,'Attrition Modeling'!$C:$C,'IP Attrition'!BP$1),VLOOKUP($F45+BP$2,$A$6:$C$106,2,FALSE)*VLOOKUP(BP$1,'Attrition Modeling'!$L$15:$N$27,IF(BP$2+$F45&lt;=24,2,3),FALSE)),$C$3)*(1+Projection!BW$16)*(1+IF(BP177&gt;0,'Attrition Modeling'!$N$9,0)))</f>
        <v>0</v>
      </c>
      <c r="BQ45" s="799">
        <f>(BP45+BQ177)*(1-IFERROR(IF(BQ$2+$F45&lt;=12,SUMIFS('Attrition Modeling'!$D:$D,'Attrition Modeling'!$B:$B,'IP Attrition'!$D45,'Attrition Modeling'!$C:$C,'IP Attrition'!BQ$1),VLOOKUP($F45+BQ$2,$A$6:$C$106,2,FALSE)*VLOOKUP(BQ$1,'Attrition Modeling'!$L$15:$N$27,IF(BQ$2+$F45&lt;=24,2,3),FALSE)),$C$3)*(1+Projection!BX$16)*(1+IF(BQ177&gt;0,'Attrition Modeling'!$N$9,0)))</f>
        <v>0</v>
      </c>
      <c r="BR45" s="799">
        <f>(BQ45+BR177)*(1-IFERROR(IF(BR$2+$F45&lt;=12,SUMIFS('Attrition Modeling'!$D:$D,'Attrition Modeling'!$B:$B,'IP Attrition'!$D45,'Attrition Modeling'!$C:$C,'IP Attrition'!BR$1),VLOOKUP($F45+BR$2,$A$6:$C$106,2,FALSE)*VLOOKUP(BR$1,'Attrition Modeling'!$L$15:$N$27,IF(BR$2+$F45&lt;=24,2,3),FALSE)),$C$3)*(1+Projection!BY$16)*(1+IF(BR177&gt;0,'Attrition Modeling'!$N$9,0)))</f>
        <v>0</v>
      </c>
      <c r="BS45" s="799">
        <f>(BR45+BS177)*(1-IFERROR(IF(BS$2+$F45&lt;=12,SUMIFS('Attrition Modeling'!$D:$D,'Attrition Modeling'!$B:$B,'IP Attrition'!$D45,'Attrition Modeling'!$C:$C,'IP Attrition'!BS$1),VLOOKUP($F45+BS$2,$A$6:$C$106,2,FALSE)*VLOOKUP(BS$1,'Attrition Modeling'!$L$15:$N$27,IF(BS$2+$F45&lt;=24,2,3),FALSE)),$C$3)*(1+Projection!BZ$16)*(1+IF(BS177&gt;0,'Attrition Modeling'!$N$9,0)))</f>
        <v>0</v>
      </c>
      <c r="BT45" s="799" t="e">
        <f>(BS45+BT177)*(1-IFERROR(IF(BT$2+$F45&lt;=12,SUMIFS('Attrition Modeling'!$D:$D,'Attrition Modeling'!$B:$B,'IP Attrition'!$D45,'Attrition Modeling'!$C:$C,'IP Attrition'!BT$1),VLOOKUP($F45+BT$2,$A$6:$C$106,2,FALSE)*VLOOKUP(BT$1,'Attrition Modeling'!$L$15:$N$27,IF(BT$2+$F45&lt;=24,2,3),FALSE)),$C$3)*(1+Projection!CA$16)*(1+IF(BT177&gt;0,'Attrition Modeling'!$N$9,0)))</f>
        <v>#REF!</v>
      </c>
      <c r="BU45" s="799" t="e">
        <f>(BT45+BU177)*(1-IFERROR(IF(BU$2+$F45&lt;=12,SUMIFS('Attrition Modeling'!$D:$D,'Attrition Modeling'!$B:$B,'IP Attrition'!$D45,'Attrition Modeling'!$C:$C,'IP Attrition'!BU$1),VLOOKUP($F45+BU$2,$A$6:$C$106,2,FALSE)*VLOOKUP(BU$1,'Attrition Modeling'!$L$15:$N$27,IF(BU$2+$F45&lt;=24,2,3),FALSE)),$C$3)*(1+Projection!CB$16)*(1+IF(BU177&gt;0,'Attrition Modeling'!$N$9,0)))</f>
        <v>#REF!</v>
      </c>
    </row>
    <row r="46" spans="1:73" ht="14.25" customHeight="1" x14ac:dyDescent="0.2">
      <c r="A46" s="9">
        <v>39</v>
      </c>
      <c r="B46" s="25">
        <f>MAX('Attrition Modeling'!H43,$C$3)*(1-Summary!$C$20)</f>
        <v>2.8957172447224414E-2</v>
      </c>
      <c r="C46" s="24" t="e">
        <f t="shared" si="3"/>
        <v>#DIV/0!</v>
      </c>
      <c r="D46" s="11">
        <f t="shared" si="1"/>
        <v>-43</v>
      </c>
      <c r="E46" s="807">
        <f t="array" ref="E46">INDEX('Attrition Modeling'!$X$2:$AF$63,MATCH($F46,'Attrition Modeling'!$X$2:$X$63,0),MATCH(Inputs!$C$10,'Attrition Modeling'!$X$2:$AF$2,0))</f>
        <v>0</v>
      </c>
      <c r="F46" s="11">
        <f t="shared" si="2"/>
        <v>43</v>
      </c>
      <c r="G46" s="799">
        <f>Summary!$C$25*$E46</f>
        <v>0</v>
      </c>
      <c r="H46" s="799">
        <f>(G46+H178)*(1-IFERROR(IF(H$2+$F46&lt;=12,SUMIFS('Attrition Modeling'!$D:$D,'Attrition Modeling'!$B:$B,'IP Attrition'!$D46,'Attrition Modeling'!$C:$C,'IP Attrition'!H$1),VLOOKUP($F46+H$2,$A$6:$C$106,2,FALSE)*VLOOKUP(H$1,'Attrition Modeling'!$L$15:$N$27,IF(H$2+$F46&lt;=24,2,3),FALSE)),$C$3)*(1+Projection!J$16)*(1+IF(H178&gt;0,'Attrition Modeling'!$N$9,0)))</f>
        <v>0</v>
      </c>
      <c r="I46" s="799">
        <f>(H46+I178)*(1-IFERROR(IF(I$2+$F46&lt;=12,SUMIFS('Attrition Modeling'!$D:$D,'Attrition Modeling'!$B:$B,'IP Attrition'!$D46,'Attrition Modeling'!$C:$C,'IP Attrition'!I$1),VLOOKUP($F46+I$2,$A$6:$C$106,2,FALSE)*VLOOKUP(I$1,'Attrition Modeling'!$L$15:$N$27,IF(I$2+$F46&lt;=24,2,3),FALSE)),$C$3)*(1+Projection!K$16)*(1+IF(I178&gt;0,'Attrition Modeling'!$N$9,0)))</f>
        <v>0</v>
      </c>
      <c r="J46" s="799">
        <f>(I46+J178)*(1-IFERROR(IF(J$2+$F46&lt;=12,SUMIFS('Attrition Modeling'!$D:$D,'Attrition Modeling'!$B:$B,'IP Attrition'!$D46,'Attrition Modeling'!$C:$C,'IP Attrition'!J$1),VLOOKUP($F46+J$2,$A$6:$C$106,2,FALSE)*VLOOKUP(J$1,'Attrition Modeling'!$L$15:$N$27,IF(J$2+$F46&lt;=24,2,3),FALSE)),$C$3)*(1+Projection!L$16)*(1+IF(J178&gt;0,'Attrition Modeling'!$N$9,0)))</f>
        <v>0</v>
      </c>
      <c r="K46" s="799">
        <f>(J46+K178)*(1-IFERROR(IF(K$2+$F46&lt;=12,SUMIFS('Attrition Modeling'!$D:$D,'Attrition Modeling'!$B:$B,'IP Attrition'!$D46,'Attrition Modeling'!$C:$C,'IP Attrition'!K$1),VLOOKUP($F46+K$2,$A$6:$C$106,2,FALSE)*VLOOKUP(K$1,'Attrition Modeling'!$L$15:$N$27,IF(K$2+$F46&lt;=24,2,3),FALSE)),$C$3)*(1+Projection!M$16)*(1+IF(K178&gt;0,'Attrition Modeling'!$N$9,0)))</f>
        <v>0</v>
      </c>
      <c r="L46" s="799">
        <f>(K46+L178)*(1-IFERROR(IF(L$2+$F46&lt;=12,SUMIFS('Attrition Modeling'!$D:$D,'Attrition Modeling'!$B:$B,'IP Attrition'!$D46,'Attrition Modeling'!$C:$C,'IP Attrition'!L$1),VLOOKUP($F46+L$2,$A$6:$C$106,2,FALSE)*VLOOKUP(L$1,'Attrition Modeling'!$L$15:$N$27,IF(L$2+$F46&lt;=24,2,3),FALSE)),$C$3)*(1+Projection!N$16)*(1+IF(L178&gt;0,'Attrition Modeling'!$N$9,0)))</f>
        <v>0</v>
      </c>
      <c r="M46" s="799">
        <f>(L46+M178)*(1-IFERROR(IF(M$2+$F46&lt;=12,SUMIFS('Attrition Modeling'!$D:$D,'Attrition Modeling'!$B:$B,'IP Attrition'!$D46,'Attrition Modeling'!$C:$C,'IP Attrition'!M$1),VLOOKUP($F46+M$2,$A$6:$C$106,2,FALSE)*VLOOKUP(M$1,'Attrition Modeling'!$L$15:$N$27,IF(M$2+$F46&lt;=24,2,3),FALSE)),$C$3)*(1+Projection!O$16)*(1+IF(M178&gt;0,'Attrition Modeling'!$N$9,0)))</f>
        <v>0</v>
      </c>
      <c r="N46" s="799">
        <f>(M46+N178)*(1-IFERROR(IF(N$2+$F46&lt;=12,SUMIFS('Attrition Modeling'!$D:$D,'Attrition Modeling'!$B:$B,'IP Attrition'!$D46,'Attrition Modeling'!$C:$C,'IP Attrition'!N$1),VLOOKUP($F46+N$2,$A$6:$C$106,2,FALSE)*VLOOKUP(N$1,'Attrition Modeling'!$L$15:$N$27,IF(N$2+$F46&lt;=24,2,3),FALSE)),$C$3)*(1+Projection!P$16)*(1+IF(N178&gt;0,'Attrition Modeling'!$N$9,0)))</f>
        <v>0</v>
      </c>
      <c r="O46" s="799">
        <f>(N46+O178)*(1-IFERROR(IF(O$2+$F46&lt;=12,SUMIFS('Attrition Modeling'!$D:$D,'Attrition Modeling'!$B:$B,'IP Attrition'!$D46,'Attrition Modeling'!$C:$C,'IP Attrition'!O$1),VLOOKUP($F46+O$2,$A$6:$C$106,2,FALSE)*VLOOKUP(O$1,'Attrition Modeling'!$L$15:$N$27,IF(O$2+$F46&lt;=24,2,3),FALSE)),$C$3)*(1+Projection!Q$16)*(1+IF(O178&gt;0,'Attrition Modeling'!$N$9,0)))</f>
        <v>0</v>
      </c>
      <c r="P46" s="799">
        <f>(O46+P178)*(1-IFERROR(IF(P$2+$F46&lt;=12,SUMIFS('Attrition Modeling'!$D:$D,'Attrition Modeling'!$B:$B,'IP Attrition'!$D46,'Attrition Modeling'!$C:$C,'IP Attrition'!P$1),VLOOKUP($F46+P$2,$A$6:$C$106,2,FALSE)*VLOOKUP(P$1,'Attrition Modeling'!$L$15:$N$27,IF(P$2+$F46&lt;=24,2,3),FALSE)),$C$3)*(1+Projection!R$16)*(1+IF(P178&gt;0,'Attrition Modeling'!$N$9,0)))</f>
        <v>0</v>
      </c>
      <c r="Q46" s="799">
        <f>(P46+Q178)*(1-IFERROR(IF(Q$2+$F46&lt;=12,SUMIFS('Attrition Modeling'!$D:$D,'Attrition Modeling'!$B:$B,'IP Attrition'!$D46,'Attrition Modeling'!$C:$C,'IP Attrition'!Q$1),VLOOKUP($F46+Q$2,$A$6:$C$106,2,FALSE)*VLOOKUP(Q$1,'Attrition Modeling'!$L$15:$N$27,IF(Q$2+$F46&lt;=24,2,3),FALSE)),$C$3)*(1+Projection!S$16)*(1+IF(Q178&gt;0,'Attrition Modeling'!$N$9,0)))</f>
        <v>0</v>
      </c>
      <c r="R46" s="799">
        <f>(Q46+R178)*(1-IFERROR(IF(R$2+$F46&lt;=12,SUMIFS('Attrition Modeling'!$D:$D,'Attrition Modeling'!$B:$B,'IP Attrition'!$D46,'Attrition Modeling'!$C:$C,'IP Attrition'!R$1),VLOOKUP($F46+R$2,$A$6:$C$106,2,FALSE)*VLOOKUP(R$1,'Attrition Modeling'!$L$15:$N$27,IF(R$2+$F46&lt;=24,2,3),FALSE)),$C$3)*(1+Projection!T$16)*(1+IF(R178&gt;0,'Attrition Modeling'!$N$9,0)))</f>
        <v>0</v>
      </c>
      <c r="S46" s="799">
        <f>(R46+S178)*(1-IFERROR(IF(S$2+$F46&lt;=12,SUMIFS('Attrition Modeling'!$D:$D,'Attrition Modeling'!$B:$B,'IP Attrition'!$D46,'Attrition Modeling'!$C:$C,'IP Attrition'!S$1),VLOOKUP($F46+S$2,$A$6:$C$106,2,FALSE)*VLOOKUP(S$1,'Attrition Modeling'!$L$15:$N$27,IF(S$2+$F46&lt;=24,2,3),FALSE)),$C$3)*(1+Projection!U$16)*(1+IF(S178&gt;0,'Attrition Modeling'!$N$9,0)))</f>
        <v>0</v>
      </c>
      <c r="T46" s="799">
        <f>(S46+T178)*(1-IFERROR(IF(T$2+$F46&lt;=12,SUMIFS('Attrition Modeling'!$D:$D,'Attrition Modeling'!$B:$B,'IP Attrition'!$D46,'Attrition Modeling'!$C:$C,'IP Attrition'!T$1),VLOOKUP($F46+T$2,$A$6:$C$106,2,FALSE)*VLOOKUP(T$1,'Attrition Modeling'!$L$15:$N$27,IF(T$2+$F46&lt;=24,2,3),FALSE)),$C$3)*(1+Projection!V$16)*(1+IF(T178&gt;0,'Attrition Modeling'!$N$9,0)))</f>
        <v>0</v>
      </c>
      <c r="U46" s="799">
        <f>(T46+U178)*(1-IFERROR(IF(U$2+$F46&lt;=12,SUMIFS('Attrition Modeling'!$D:$D,'Attrition Modeling'!$B:$B,'IP Attrition'!$D46,'Attrition Modeling'!$C:$C,'IP Attrition'!U$1),VLOOKUP($F46+U$2,$A$6:$C$106,2,FALSE)*VLOOKUP(U$1,'Attrition Modeling'!$L$15:$N$27,IF(U$2+$F46&lt;=24,2,3),FALSE)),$C$3)*(1+Projection!W$16)*(1+IF(U178&gt;0,'Attrition Modeling'!$N$9,0)))</f>
        <v>0</v>
      </c>
      <c r="V46" s="799">
        <f>(U46+V178)*(1-IFERROR(IF(V$2+$F46&lt;=12,SUMIFS('Attrition Modeling'!$D:$D,'Attrition Modeling'!$B:$B,'IP Attrition'!$D46,'Attrition Modeling'!$C:$C,'IP Attrition'!V$1),VLOOKUP($F46+V$2,$A$6:$C$106,2,FALSE)*VLOOKUP(V$1,'Attrition Modeling'!$L$15:$N$27,IF(V$2+$F46&lt;=24,2,3),FALSE)),$C$3)*(1+Projection!X$16)*(1+IF(V178&gt;0,'Attrition Modeling'!$N$9,0)))</f>
        <v>0</v>
      </c>
      <c r="W46" s="799">
        <f>(V46+W178)*(1-IFERROR(IF(W$2+$F46&lt;=12,SUMIFS('Attrition Modeling'!$D:$D,'Attrition Modeling'!$B:$B,'IP Attrition'!$D46,'Attrition Modeling'!$C:$C,'IP Attrition'!W$1),VLOOKUP($F46+W$2,$A$6:$C$106,2,FALSE)*VLOOKUP(W$1,'Attrition Modeling'!$L$15:$N$27,IF(W$2+$F46&lt;=24,2,3),FALSE)),$C$3)*(1+Projection!Y$16)*(1+IF(W178&gt;0,'Attrition Modeling'!$N$9,0)))</f>
        <v>0</v>
      </c>
      <c r="X46" s="799">
        <f>(W46+X178)*(1-IFERROR(IF(X$2+$F46&lt;=12,SUMIFS('Attrition Modeling'!$D:$D,'Attrition Modeling'!$B:$B,'IP Attrition'!$D46,'Attrition Modeling'!$C:$C,'IP Attrition'!X$1),VLOOKUP($F46+X$2,$A$6:$C$106,2,FALSE)*VLOOKUP(X$1,'Attrition Modeling'!$L$15:$N$27,IF(X$2+$F46&lt;=24,2,3),FALSE)),$C$3)*(1+Projection!Z$16)*(1+IF(X178&gt;0,'Attrition Modeling'!$N$9,0)))</f>
        <v>0</v>
      </c>
      <c r="Y46" s="799">
        <f>(X46+Y178)*(1-IFERROR(IF(Y$2+$F46&lt;=12,SUMIFS('Attrition Modeling'!$D:$D,'Attrition Modeling'!$B:$B,'IP Attrition'!$D46,'Attrition Modeling'!$C:$C,'IP Attrition'!Y$1),VLOOKUP($F46+Y$2,$A$6:$C$106,2,FALSE)*VLOOKUP(Y$1,'Attrition Modeling'!$L$15:$N$27,IF(Y$2+$F46&lt;=24,2,3),FALSE)),$C$3)*(1+Projection!AA$16)*(1+IF(Y178&gt;0,'Attrition Modeling'!$N$9,0)))</f>
        <v>0</v>
      </c>
      <c r="Z46" s="799">
        <f>(Y46+Z178)*(1-IFERROR(IF(Z$2+$F46&lt;=12,SUMIFS('Attrition Modeling'!$D:$D,'Attrition Modeling'!$B:$B,'IP Attrition'!$D46,'Attrition Modeling'!$C:$C,'IP Attrition'!Z$1),VLOOKUP($F46+Z$2,$A$6:$C$106,2,FALSE)*VLOOKUP(Z$1,'Attrition Modeling'!$L$15:$N$27,IF(Z$2+$F46&lt;=24,2,3),FALSE)),$C$3)*(1+Projection!AB$16)*(1+IF(Z178&gt;0,'Attrition Modeling'!$N$9,0)))</f>
        <v>0</v>
      </c>
      <c r="AA46" s="799">
        <f>(Z46+AA178)*(1-IFERROR(IF(AA$2+$F46&lt;=12,SUMIFS('Attrition Modeling'!$D:$D,'Attrition Modeling'!$B:$B,'IP Attrition'!$D46,'Attrition Modeling'!$C:$C,'IP Attrition'!AA$1),VLOOKUP($F46+AA$2,$A$6:$C$106,2,FALSE)*VLOOKUP(AA$1,'Attrition Modeling'!$L$15:$N$27,IF(AA$2+$F46&lt;=24,2,3),FALSE)),$C$3)*(1+Projection!AC$16)*(1+IF(AA178&gt;0,'Attrition Modeling'!$N$9,0)))</f>
        <v>0</v>
      </c>
      <c r="AB46" s="799">
        <f>(AA46+AB178)*(1-IFERROR(IF(AB$2+$F46&lt;=12,SUMIFS('Attrition Modeling'!$D:$D,'Attrition Modeling'!$B:$B,'IP Attrition'!$D46,'Attrition Modeling'!$C:$C,'IP Attrition'!AB$1),VLOOKUP($F46+AB$2,$A$6:$C$106,2,FALSE)*VLOOKUP(AB$1,'Attrition Modeling'!$L$15:$N$27,IF(AB$2+$F46&lt;=24,2,3),FALSE)),$C$3)*(1+Projection!AD$16)*(1+IF(AB178&gt;0,'Attrition Modeling'!$N$9,0)))</f>
        <v>0</v>
      </c>
      <c r="AC46" s="799">
        <f>(AB46+AC178)*(1-IFERROR(IF(AC$2+$F46&lt;=12,SUMIFS('Attrition Modeling'!$D:$D,'Attrition Modeling'!$B:$B,'IP Attrition'!$D46,'Attrition Modeling'!$C:$C,'IP Attrition'!AC$1),VLOOKUP($F46+AC$2,$A$6:$C$106,2,FALSE)*VLOOKUP(AC$1,'Attrition Modeling'!$L$15:$N$27,IF(AC$2+$F46&lt;=24,2,3),FALSE)),$C$3)*(1+Projection!AE$16)*(1+IF(AC178&gt;0,'Attrition Modeling'!$N$9,0)))</f>
        <v>0</v>
      </c>
      <c r="AD46" s="799">
        <f>(AC46+AD178)*(1-IFERROR(IF(AD$2+$F46&lt;=12,SUMIFS('Attrition Modeling'!$D:$D,'Attrition Modeling'!$B:$B,'IP Attrition'!$D46,'Attrition Modeling'!$C:$C,'IP Attrition'!AD$1),VLOOKUP($F46+AD$2,$A$6:$C$106,2,FALSE)*VLOOKUP(AD$1,'Attrition Modeling'!$L$15:$N$27,IF(AD$2+$F46&lt;=24,2,3),FALSE)),$C$3)*(1+Projection!AF$16)*(1+IF(AD178&gt;0,'Attrition Modeling'!$N$9,0)))</f>
        <v>0</v>
      </c>
      <c r="AE46" s="799">
        <f>(AD46+AE178)*(1-IFERROR(IF(AE$2+$F46&lt;=12,SUMIFS('Attrition Modeling'!$D:$D,'Attrition Modeling'!$B:$B,'IP Attrition'!$D46,'Attrition Modeling'!$C:$C,'IP Attrition'!AE$1),VLOOKUP($F46+AE$2,$A$6:$C$106,2,FALSE)*VLOOKUP(AE$1,'Attrition Modeling'!$L$15:$N$27,IF(AE$2+$F46&lt;=24,2,3),FALSE)),$C$3)*(1+Projection!AG$16)*(1+IF(AE178&gt;0,'Attrition Modeling'!$N$9,0)))</f>
        <v>0</v>
      </c>
      <c r="AF46" s="799">
        <f>(AE46+AF178)*(1-IFERROR(IF(AF$2+$F46&lt;=12,SUMIFS('Attrition Modeling'!$D:$D,'Attrition Modeling'!$B:$B,'IP Attrition'!$D46,'Attrition Modeling'!$C:$C,'IP Attrition'!AF$1),VLOOKUP($F46+AF$2,$A$6:$C$106,2,FALSE)*VLOOKUP(AF$1,'Attrition Modeling'!$L$15:$N$27,IF(AF$2+$F46&lt;=24,2,3),FALSE)),$C$3)*(1+Projection!AH$16)*(1+IF(AF178&gt;0,'Attrition Modeling'!$N$9,0)))</f>
        <v>0</v>
      </c>
      <c r="AG46" s="799">
        <f>(AF46+AG178)*(1-IFERROR(IF(AG$2+$F46&lt;=12,SUMIFS('Attrition Modeling'!$D:$D,'Attrition Modeling'!$B:$B,'IP Attrition'!$D46,'Attrition Modeling'!$C:$C,'IP Attrition'!AG$1),VLOOKUP($F46+AG$2,$A$6:$C$106,2,FALSE)*VLOOKUP(AG$1,'Attrition Modeling'!$L$15:$N$27,IF(AG$2+$F46&lt;=24,2,3),FALSE)),$C$3)*(1+Projection!AI$16)*(1+IF(AG178&gt;0,'Attrition Modeling'!$N$9,0)))</f>
        <v>0</v>
      </c>
      <c r="AH46" s="799">
        <f>(AG46+AH178)*(1-IFERROR(IF(AH$2+$F46&lt;=12,SUMIFS('Attrition Modeling'!$D:$D,'Attrition Modeling'!$B:$B,'IP Attrition'!$D46,'Attrition Modeling'!$C:$C,'IP Attrition'!AH$1),VLOOKUP($F46+AH$2,$A$6:$C$106,2,FALSE)*VLOOKUP(AH$1,'Attrition Modeling'!$L$15:$N$27,IF(AH$2+$F46&lt;=24,2,3),FALSE)),$C$3)*(1+Projection!AJ$16)*(1+IF(AH178&gt;0,'Attrition Modeling'!$N$9,0)))</f>
        <v>0</v>
      </c>
      <c r="AI46" s="799">
        <f>(AH46+AI178)*(1-IFERROR(IF(AI$2+$F46&lt;=12,SUMIFS('Attrition Modeling'!$D:$D,'Attrition Modeling'!$B:$B,'IP Attrition'!$D46,'Attrition Modeling'!$C:$C,'IP Attrition'!AI$1),VLOOKUP($F46+AI$2,$A$6:$C$106,2,FALSE)*VLOOKUP(AI$1,'Attrition Modeling'!$L$15:$N$27,IF(AI$2+$F46&lt;=24,2,3),FALSE)),$C$3)*(1+Projection!AK$16)*(1+IF(AI178&gt;0,'Attrition Modeling'!$N$9,0)))</f>
        <v>0</v>
      </c>
      <c r="AJ46" s="799">
        <f>(AI46+AJ178)*(1-IFERROR(IF(AJ$2+$F46&lt;=12,SUMIFS('Attrition Modeling'!$D:$D,'Attrition Modeling'!$B:$B,'IP Attrition'!$D46,'Attrition Modeling'!$C:$C,'IP Attrition'!AJ$1),VLOOKUP($F46+AJ$2,$A$6:$C$106,2,FALSE)*VLOOKUP(AJ$1,'Attrition Modeling'!$L$15:$N$27,IF(AJ$2+$F46&lt;=24,2,3),FALSE)),$C$3)*(1+Projection!AL$16)*(1+IF(AJ178&gt;0,'Attrition Modeling'!$N$9,0)))</f>
        <v>0</v>
      </c>
      <c r="AK46" s="799">
        <f>(AJ46+AK178)*(1-IFERROR(IF(AK$2+$F46&lt;=12,SUMIFS('Attrition Modeling'!$D:$D,'Attrition Modeling'!$B:$B,'IP Attrition'!$D46,'Attrition Modeling'!$C:$C,'IP Attrition'!AK$1),VLOOKUP($F46+AK$2,$A$6:$C$106,2,FALSE)*VLOOKUP(AK$1,'Attrition Modeling'!$L$15:$N$27,IF(AK$2+$F46&lt;=24,2,3),FALSE)),$C$3)*(1+Projection!AM$16)*(1+IF(AK178&gt;0,'Attrition Modeling'!$N$9,0)))</f>
        <v>0</v>
      </c>
      <c r="AL46" s="799">
        <f>(AK46+AL178)*(1-IFERROR(IF(AL$2+$F46&lt;=12,SUMIFS('Attrition Modeling'!$D:$D,'Attrition Modeling'!$B:$B,'IP Attrition'!$D46,'Attrition Modeling'!$C:$C,'IP Attrition'!AL$1),VLOOKUP($F46+AL$2,$A$6:$C$106,2,FALSE)*VLOOKUP(AL$1,'Attrition Modeling'!$L$15:$N$27,IF(AL$2+$F46&lt;=24,2,3),FALSE)),$C$3)*(1+Projection!AN$16)*(1+IF(AL178&gt;0,'Attrition Modeling'!$N$9,0)))</f>
        <v>0</v>
      </c>
      <c r="AM46" s="799">
        <f>(AL46+AM178)*(1-IFERROR(IF(AM$2+$F46&lt;=12,SUMIFS('Attrition Modeling'!$D:$D,'Attrition Modeling'!$B:$B,'IP Attrition'!$D46,'Attrition Modeling'!$C:$C,'IP Attrition'!AM$1),VLOOKUP($F46+AM$2,$A$6:$C$106,2,FALSE)*VLOOKUP(AM$1,'Attrition Modeling'!$L$15:$N$27,IF(AM$2+$F46&lt;=24,2,3),FALSE)),$C$3)*(1+Projection!AO$16)*(1+IF(AM178&gt;0,'Attrition Modeling'!$N$9,0)))</f>
        <v>0</v>
      </c>
      <c r="AN46" s="799">
        <f>(AM46+AN178)*(1-IFERROR(IF(AN$2+$F46&lt;=12,SUMIFS('Attrition Modeling'!$D:$D,'Attrition Modeling'!$B:$B,'IP Attrition'!$D46,'Attrition Modeling'!$C:$C,'IP Attrition'!AN$1),VLOOKUP($F46+AN$2,$A$6:$C$106,2,FALSE)*VLOOKUP(AN$1,'Attrition Modeling'!$L$15:$N$27,IF(AN$2+$F46&lt;=24,2,3),FALSE)),$C$3)*(1+Projection!AP$16)*(1+IF(AN178&gt;0,'Attrition Modeling'!$N$9,0)))</f>
        <v>0</v>
      </c>
      <c r="AO46" s="799">
        <f>(AN46+AO178)*(1-IFERROR(IF(AO$2+$F46&lt;=12,SUMIFS('Attrition Modeling'!$D:$D,'Attrition Modeling'!$B:$B,'IP Attrition'!$D46,'Attrition Modeling'!$C:$C,'IP Attrition'!AO$1),VLOOKUP($F46+AO$2,$A$6:$C$106,2,FALSE)*VLOOKUP(AO$1,'Attrition Modeling'!$L$15:$N$27,IF(AO$2+$F46&lt;=24,2,3),FALSE)),$C$3)*(1+Projection!AQ$16)*(1+IF(AO178&gt;0,'Attrition Modeling'!$N$9,0)))</f>
        <v>0</v>
      </c>
      <c r="AP46" s="799">
        <f>(AO46+AP178)*(1-IFERROR(IF(AP$2+$F46&lt;=12,SUMIFS('Attrition Modeling'!$D:$D,'Attrition Modeling'!$B:$B,'IP Attrition'!$D46,'Attrition Modeling'!$C:$C,'IP Attrition'!AP$1),VLOOKUP($F46+AP$2,$A$6:$C$106,2,FALSE)*VLOOKUP(AP$1,'Attrition Modeling'!$L$15:$N$27,IF(AP$2+$F46&lt;=24,2,3),FALSE)),$C$3)*(1+Projection!AR$16)*(1+IF(AP178&gt;0,'Attrition Modeling'!$N$9,0)))</f>
        <v>0</v>
      </c>
      <c r="AQ46" s="799">
        <f>(AP46+AQ178)*(1-IFERROR(IF(AQ$2+$F46&lt;=12,SUMIFS('Attrition Modeling'!$D:$D,'Attrition Modeling'!$B:$B,'IP Attrition'!$D46,'Attrition Modeling'!$C:$C,'IP Attrition'!AQ$1),VLOOKUP($F46+AQ$2,$A$6:$C$106,2,FALSE)*VLOOKUP(AQ$1,'Attrition Modeling'!$L$15:$N$27,IF(AQ$2+$F46&lt;=24,2,3),FALSE)),$C$3)*(1+Projection!AS$16)*(1+IF(AQ178&gt;0,'Attrition Modeling'!$N$9,0)))</f>
        <v>0</v>
      </c>
      <c r="AR46" s="799">
        <f>(AQ46+AR178)*(1-IFERROR(IF(AR$2+$F46&lt;=12,SUMIFS('Attrition Modeling'!$D:$D,'Attrition Modeling'!$B:$B,'IP Attrition'!$D46,'Attrition Modeling'!$C:$C,'IP Attrition'!AR$1),VLOOKUP($F46+AR$2,$A$6:$C$106,2,FALSE)*VLOOKUP(AR$1,'Attrition Modeling'!$L$15:$N$27,IF(AR$2+$F46&lt;=24,2,3),FALSE)),$C$3)*(1+Projection!AT$16)*(1+IF(AR178&gt;0,'Attrition Modeling'!$N$9,0)))</f>
        <v>0</v>
      </c>
      <c r="AS46" s="799">
        <f>(AR46+AS178)*(1-IFERROR(IF(AS$2+$F46&lt;=12,SUMIFS('Attrition Modeling'!$D:$D,'Attrition Modeling'!$B:$B,'IP Attrition'!$D46,'Attrition Modeling'!$C:$C,'IP Attrition'!AS$1),VLOOKUP($F46+AS$2,$A$6:$C$106,2,FALSE)*VLOOKUP(AS$1,'Attrition Modeling'!$L$15:$N$27,IF(AS$2+$F46&lt;=24,2,3),FALSE)),$C$3)*(1+Projection!AU$16)*(1+IF(AS178&gt;0,'Attrition Modeling'!$N$9,0)))</f>
        <v>0</v>
      </c>
      <c r="AT46" s="799">
        <f>(AS46+AT178)*(1-IFERROR(IF(AT$2+$F46&lt;=12,SUMIFS('Attrition Modeling'!$D:$D,'Attrition Modeling'!$B:$B,'IP Attrition'!$D46,'Attrition Modeling'!$C:$C,'IP Attrition'!AT$1),VLOOKUP($F46+AT$2,$A$6:$C$106,2,FALSE)*VLOOKUP(AT$1,'Attrition Modeling'!$L$15:$N$27,IF(AT$2+$F46&lt;=24,2,3),FALSE)),$C$3)*(1+Projection!AV$16)*(1+IF(AT178&gt;0,'Attrition Modeling'!$N$9,0)))</f>
        <v>0</v>
      </c>
      <c r="AU46" s="799">
        <f>(AT46+AU178)*(1-IFERROR(IF(AU$2+$F46&lt;=12,SUMIFS('Attrition Modeling'!$D:$D,'Attrition Modeling'!$B:$B,'IP Attrition'!$D46,'Attrition Modeling'!$C:$C,'IP Attrition'!AU$1),VLOOKUP($F46+AU$2,$A$6:$C$106,2,FALSE)*VLOOKUP(AU$1,'Attrition Modeling'!$L$15:$N$27,IF(AU$2+$F46&lt;=24,2,3),FALSE)),$C$3)*(1+Projection!AW$16)*(1+IF(AU178&gt;0,'Attrition Modeling'!$N$9,0)))</f>
        <v>0</v>
      </c>
      <c r="AV46" s="799">
        <f>(AU46+AV178)*(1-IFERROR(IF(AV$2+$F46&lt;=12,SUMIFS('Attrition Modeling'!$D:$D,'Attrition Modeling'!$B:$B,'IP Attrition'!$D46,'Attrition Modeling'!$C:$C,'IP Attrition'!AV$1),VLOOKUP($F46+AV$2,$A$6:$C$106,2,FALSE)*VLOOKUP(AV$1,'Attrition Modeling'!$L$15:$N$27,IF(AV$2+$F46&lt;=24,2,3),FALSE)),$C$3)*(1+Projection!AX$16)*(1+IF(AV178&gt;0,'Attrition Modeling'!$N$9,0)))</f>
        <v>0</v>
      </c>
      <c r="AW46" s="799">
        <f>(AV46+AW178)*(1-IFERROR(IF(AW$2+$F46&lt;=12,SUMIFS('Attrition Modeling'!$D:$D,'Attrition Modeling'!$B:$B,'IP Attrition'!$D46,'Attrition Modeling'!$C:$C,'IP Attrition'!AW$1),VLOOKUP($F46+AW$2,$A$6:$C$106,2,FALSE)*VLOOKUP(AW$1,'Attrition Modeling'!$L$15:$N$27,IF(AW$2+$F46&lt;=24,2,3),FALSE)),$C$3)*(1+Projection!AY$16)*(1+IF(AW178&gt;0,'Attrition Modeling'!$N$9,0)))</f>
        <v>0</v>
      </c>
      <c r="AX46" s="799">
        <f>(AW46+AX178)*(1-IFERROR(IF(AX$2+$F46&lt;=12,SUMIFS('Attrition Modeling'!$D:$D,'Attrition Modeling'!$B:$B,'IP Attrition'!$D46,'Attrition Modeling'!$C:$C,'IP Attrition'!AX$1),VLOOKUP($F46+AX$2,$A$6:$C$106,2,FALSE)*VLOOKUP(AX$1,'Attrition Modeling'!$L$15:$N$27,IF(AX$2+$F46&lt;=24,2,3),FALSE)),$C$3)*(1+Projection!AZ$16)*(1+IF(AX178&gt;0,'Attrition Modeling'!$N$9,0)))</f>
        <v>0</v>
      </c>
      <c r="AY46" s="799">
        <f>(AX46+AY178)*(1-IFERROR(IF(AY$2+$F46&lt;=12,SUMIFS('Attrition Modeling'!$D:$D,'Attrition Modeling'!$B:$B,'IP Attrition'!$D46,'Attrition Modeling'!$C:$C,'IP Attrition'!AY$1),VLOOKUP($F46+AY$2,$A$6:$C$106,2,FALSE)*VLOOKUP(AY$1,'Attrition Modeling'!$L$15:$N$27,IF(AY$2+$F46&lt;=24,2,3),FALSE)),$C$3)*(1+Projection!BA$16)*(1+IF(AY178&gt;0,'Attrition Modeling'!$N$9,0)))</f>
        <v>0</v>
      </c>
      <c r="AZ46" s="799">
        <f>(AY46+AZ178)*(1-IFERROR(IF(AZ$2+$F46&lt;=12,SUMIFS('Attrition Modeling'!$D:$D,'Attrition Modeling'!$B:$B,'IP Attrition'!$D46,'Attrition Modeling'!$C:$C,'IP Attrition'!AZ$1),VLOOKUP($F46+AZ$2,$A$6:$C$106,2,FALSE)*VLOOKUP(AZ$1,'Attrition Modeling'!$L$15:$N$27,IF(AZ$2+$F46&lt;=24,2,3),FALSE)),$C$3)*(1+Projection!BB$16)*(1+IF(AZ178&gt;0,'Attrition Modeling'!$N$9,0)))</f>
        <v>0</v>
      </c>
      <c r="BA46" s="799">
        <f>(AZ46+BA178)*(1-IFERROR(IF(BA$2+$F46&lt;=12,SUMIFS('Attrition Modeling'!$D:$D,'Attrition Modeling'!$B:$B,'IP Attrition'!$D46,'Attrition Modeling'!$C:$C,'IP Attrition'!BA$1),VLOOKUP($F46+BA$2,$A$6:$C$106,2,FALSE)*VLOOKUP(BA$1,'Attrition Modeling'!$L$15:$N$27,IF(BA$2+$F46&lt;=24,2,3),FALSE)),$C$3)*(1+Projection!BC$16)*(1+IF(BA178&gt;0,'Attrition Modeling'!$N$9,0)))</f>
        <v>0</v>
      </c>
      <c r="BB46" s="799">
        <f>(BA46+BB178)*(1-IFERROR(IF(BB$2+$F46&lt;=12,SUMIFS('Attrition Modeling'!$D:$D,'Attrition Modeling'!$B:$B,'IP Attrition'!$D46,'Attrition Modeling'!$C:$C,'IP Attrition'!BB$1),VLOOKUP($F46+BB$2,$A$6:$C$106,2,FALSE)*VLOOKUP(BB$1,'Attrition Modeling'!$L$15:$N$27,IF(BB$2+$F46&lt;=24,2,3),FALSE)),$C$3)*(1+Projection!BD$16)*(1+IF(BB178&gt;0,'Attrition Modeling'!$N$9,0)))</f>
        <v>0</v>
      </c>
      <c r="BC46" s="799">
        <f>(BB46+BC178)*(1-IFERROR(IF(BC$2+$F46&lt;=12,SUMIFS('Attrition Modeling'!$D:$D,'Attrition Modeling'!$B:$B,'IP Attrition'!$D46,'Attrition Modeling'!$C:$C,'IP Attrition'!BC$1),VLOOKUP($F46+BC$2,$A$6:$C$106,2,FALSE)*VLOOKUP(BC$1,'Attrition Modeling'!$L$15:$N$27,IF(BC$2+$F46&lt;=24,2,3),FALSE)),$C$3)*(1+Projection!BE$16)*(1+IF(BC178&gt;0,'Attrition Modeling'!$N$9,0)))</f>
        <v>0</v>
      </c>
      <c r="BD46" s="799">
        <f>(BC46+BD178)*(1-IFERROR(IF(BD$2+$F46&lt;=12,SUMIFS('Attrition Modeling'!$D:$D,'Attrition Modeling'!$B:$B,'IP Attrition'!$D46,'Attrition Modeling'!$C:$C,'IP Attrition'!BD$1),VLOOKUP($F46+BD$2,$A$6:$C$106,2,FALSE)*VLOOKUP(BD$1,'Attrition Modeling'!$L$15:$N$27,IF(BD$2+$F46&lt;=24,2,3),FALSE)),$C$3)*(1+Projection!BF$16)*(1+IF(BD178&gt;0,'Attrition Modeling'!$N$9,0)))</f>
        <v>0</v>
      </c>
      <c r="BE46" s="799">
        <f>(BD46+BE178)*(1-IFERROR(IF(BE$2+$F46&lt;=12,SUMIFS('Attrition Modeling'!$D:$D,'Attrition Modeling'!$B:$B,'IP Attrition'!$D46,'Attrition Modeling'!$C:$C,'IP Attrition'!BE$1),VLOOKUP($F46+BE$2,$A$6:$C$106,2,FALSE)*VLOOKUP(BE$1,'Attrition Modeling'!$L$15:$N$27,IF(BE$2+$F46&lt;=24,2,3),FALSE)),$C$3)*(1+Projection!BG$16)*(1+IF(BE178&gt;0,'Attrition Modeling'!$N$9,0)))</f>
        <v>0</v>
      </c>
      <c r="BF46" s="799">
        <f>(BE46+BF178)*(1-IFERROR(IF(BF$2+$F46&lt;=12,SUMIFS('Attrition Modeling'!$D:$D,'Attrition Modeling'!$B:$B,'IP Attrition'!$D46,'Attrition Modeling'!$C:$C,'IP Attrition'!BF$1),VLOOKUP($F46+BF$2,$A$6:$C$106,2,FALSE)*VLOOKUP(BF$1,'Attrition Modeling'!$L$15:$N$27,IF(BF$2+$F46&lt;=24,2,3),FALSE)),$C$3)*(1+Projection!BH$16)*(1+IF(BF178&gt;0,'Attrition Modeling'!$N$9,0)))</f>
        <v>0</v>
      </c>
      <c r="BG46" s="799">
        <f>(BF46+BG178)*(1-IFERROR(IF(BG$2+$F46&lt;=12,SUMIFS('Attrition Modeling'!$D:$D,'Attrition Modeling'!$B:$B,'IP Attrition'!$D46,'Attrition Modeling'!$C:$C,'IP Attrition'!BG$1),VLOOKUP($F46+BG$2,$A$6:$C$106,2,FALSE)*VLOOKUP(BG$1,'Attrition Modeling'!$L$15:$N$27,IF(BG$2+$F46&lt;=24,2,3),FALSE)),$C$3)*(1+Projection!BI$16)*(1+IF(BG178&gt;0,'Attrition Modeling'!$N$9,0)))</f>
        <v>0</v>
      </c>
      <c r="BH46" s="799">
        <f>(BG46+BH178)*(1-IFERROR(IF(BH$2+$F46&lt;=12,SUMIFS('Attrition Modeling'!$D:$D,'Attrition Modeling'!$B:$B,'IP Attrition'!$D46,'Attrition Modeling'!$C:$C,'IP Attrition'!BH$1),VLOOKUP($F46+BH$2,$A$6:$C$106,2,FALSE)*VLOOKUP(BH$1,'Attrition Modeling'!$L$15:$N$27,IF(BH$2+$F46&lt;=24,2,3),FALSE)),$C$3)*(1+Projection!BJ$16)*(1+IF(BH178&gt;0,'Attrition Modeling'!$N$9,0)))</f>
        <v>0</v>
      </c>
      <c r="BI46" s="799">
        <f>(BH46+BI178)*(1-IFERROR(IF(BI$2+$F46&lt;=12,SUMIFS('Attrition Modeling'!$D:$D,'Attrition Modeling'!$B:$B,'IP Attrition'!$D46,'Attrition Modeling'!$C:$C,'IP Attrition'!BI$1),VLOOKUP($F46+BI$2,$A$6:$C$106,2,FALSE)*VLOOKUP(BI$1,'Attrition Modeling'!$L$15:$N$27,IF(BI$2+$F46&lt;=24,2,3),FALSE)),$C$3)*(1+Projection!BK$16)*(1+IF(BI178&gt;0,'Attrition Modeling'!$N$9,0)))</f>
        <v>0</v>
      </c>
      <c r="BJ46" s="799">
        <f>(BI46+BJ178)*(1-IFERROR(IF(BJ$2+$F46&lt;=12,SUMIFS('Attrition Modeling'!$D:$D,'Attrition Modeling'!$B:$B,'IP Attrition'!$D46,'Attrition Modeling'!$C:$C,'IP Attrition'!BJ$1),VLOOKUP($F46+BJ$2,$A$6:$C$106,2,FALSE)*VLOOKUP(BJ$1,'Attrition Modeling'!$L$15:$N$27,IF(BJ$2+$F46&lt;=24,2,3),FALSE)),$C$3)*(1+Projection!BL$16)*(1+IF(BJ178&gt;0,'Attrition Modeling'!$N$9,0)))</f>
        <v>0</v>
      </c>
      <c r="BK46" s="799">
        <f>(BJ46+BK178)*(1-IFERROR(IF(BK$2+$F46&lt;=12,SUMIFS('Attrition Modeling'!$D:$D,'Attrition Modeling'!$B:$B,'IP Attrition'!$D46,'Attrition Modeling'!$C:$C,'IP Attrition'!BK$1),VLOOKUP($F46+BK$2,$A$6:$C$106,2,FALSE)*VLOOKUP(BK$1,'Attrition Modeling'!$L$15:$N$27,IF(BK$2+$F46&lt;=24,2,3),FALSE)),$C$3)*(1+Projection!BM$16)*(1+IF(BK178&gt;0,'Attrition Modeling'!$N$9,0)))</f>
        <v>0</v>
      </c>
      <c r="BL46" s="799">
        <f>(BK46+BL178)*(1-IFERROR(IF(BL$2+$F46&lt;=12,SUMIFS('Attrition Modeling'!$D:$D,'Attrition Modeling'!$B:$B,'IP Attrition'!$D46,'Attrition Modeling'!$C:$C,'IP Attrition'!BL$1),VLOOKUP($F46+BL$2,$A$6:$C$106,2,FALSE)*VLOOKUP(BL$1,'Attrition Modeling'!$L$15:$N$27,IF(BL$2+$F46&lt;=24,2,3),FALSE)),$C$3)*(1+Projection!BN$16)*(1+IF(BL178&gt;0,'Attrition Modeling'!$N$9,0)))</f>
        <v>0</v>
      </c>
      <c r="BM46" s="799">
        <f>(BL46+BM178)*(1-IFERROR(IF(BM$2+$F46&lt;=12,SUMIFS('Attrition Modeling'!$D:$D,'Attrition Modeling'!$B:$B,'IP Attrition'!$D46,'Attrition Modeling'!$C:$C,'IP Attrition'!BM$1),VLOOKUP($F46+BM$2,$A$6:$C$106,2,FALSE)*VLOOKUP(BM$1,'Attrition Modeling'!$L$15:$N$27,IF(BM$2+$F46&lt;=24,2,3),FALSE)),$C$3)*(1+Projection!BO$16)*(1+IF(BM178&gt;0,'Attrition Modeling'!$N$9,0)))</f>
        <v>0</v>
      </c>
      <c r="BN46" s="799">
        <f>(BM46+BN178)*(1-IFERROR(IF(BN$2+$F46&lt;=12,SUMIFS('Attrition Modeling'!$D:$D,'Attrition Modeling'!$B:$B,'IP Attrition'!$D46,'Attrition Modeling'!$C:$C,'IP Attrition'!BN$1),VLOOKUP($F46+BN$2,$A$6:$C$106,2,FALSE)*VLOOKUP(BN$1,'Attrition Modeling'!$L$15:$N$27,IF(BN$2+$F46&lt;=24,2,3),FALSE)),$C$3)*(1+Projection!BP$16)*(1+IF(BN178&gt;0,'Attrition Modeling'!$N$9,0)))</f>
        <v>0</v>
      </c>
      <c r="BO46" s="799">
        <f>(BN46+BO178)*(1-IFERROR(IF(BO$2+$F46&lt;=12,SUMIFS('Attrition Modeling'!$D:$D,'Attrition Modeling'!$B:$B,'IP Attrition'!$D46,'Attrition Modeling'!$C:$C,'IP Attrition'!BO$1),VLOOKUP($F46+BO$2,$A$6:$C$106,2,FALSE)*VLOOKUP(BO$1,'Attrition Modeling'!$L$15:$N$27,IF(BO$2+$F46&lt;=24,2,3),FALSE)),$C$3)*(1+Projection!BV$16)*(1+IF(BO178&gt;0,'Attrition Modeling'!$N$9,0)))</f>
        <v>0</v>
      </c>
      <c r="BP46" s="799">
        <f>(BO46+BP178)*(1-IFERROR(IF(BP$2+$F46&lt;=12,SUMIFS('Attrition Modeling'!$D:$D,'Attrition Modeling'!$B:$B,'IP Attrition'!$D46,'Attrition Modeling'!$C:$C,'IP Attrition'!BP$1),VLOOKUP($F46+BP$2,$A$6:$C$106,2,FALSE)*VLOOKUP(BP$1,'Attrition Modeling'!$L$15:$N$27,IF(BP$2+$F46&lt;=24,2,3),FALSE)),$C$3)*(1+Projection!BW$16)*(1+IF(BP178&gt;0,'Attrition Modeling'!$N$9,0)))</f>
        <v>0</v>
      </c>
      <c r="BQ46" s="799">
        <f>(BP46+BQ178)*(1-IFERROR(IF(BQ$2+$F46&lt;=12,SUMIFS('Attrition Modeling'!$D:$D,'Attrition Modeling'!$B:$B,'IP Attrition'!$D46,'Attrition Modeling'!$C:$C,'IP Attrition'!BQ$1),VLOOKUP($F46+BQ$2,$A$6:$C$106,2,FALSE)*VLOOKUP(BQ$1,'Attrition Modeling'!$L$15:$N$27,IF(BQ$2+$F46&lt;=24,2,3),FALSE)),$C$3)*(1+Projection!BX$16)*(1+IF(BQ178&gt;0,'Attrition Modeling'!$N$9,0)))</f>
        <v>0</v>
      </c>
      <c r="BR46" s="799">
        <f>(BQ46+BR178)*(1-IFERROR(IF(BR$2+$F46&lt;=12,SUMIFS('Attrition Modeling'!$D:$D,'Attrition Modeling'!$B:$B,'IP Attrition'!$D46,'Attrition Modeling'!$C:$C,'IP Attrition'!BR$1),VLOOKUP($F46+BR$2,$A$6:$C$106,2,FALSE)*VLOOKUP(BR$1,'Attrition Modeling'!$L$15:$N$27,IF(BR$2+$F46&lt;=24,2,3),FALSE)),$C$3)*(1+Projection!BY$16)*(1+IF(BR178&gt;0,'Attrition Modeling'!$N$9,0)))</f>
        <v>0</v>
      </c>
      <c r="BS46" s="799">
        <f>(BR46+BS178)*(1-IFERROR(IF(BS$2+$F46&lt;=12,SUMIFS('Attrition Modeling'!$D:$D,'Attrition Modeling'!$B:$B,'IP Attrition'!$D46,'Attrition Modeling'!$C:$C,'IP Attrition'!BS$1),VLOOKUP($F46+BS$2,$A$6:$C$106,2,FALSE)*VLOOKUP(BS$1,'Attrition Modeling'!$L$15:$N$27,IF(BS$2+$F46&lt;=24,2,3),FALSE)),$C$3)*(1+Projection!BZ$16)*(1+IF(BS178&gt;0,'Attrition Modeling'!$N$9,0)))</f>
        <v>0</v>
      </c>
      <c r="BT46" s="799" t="e">
        <f>(BS46+BT178)*(1-IFERROR(IF(BT$2+$F46&lt;=12,SUMIFS('Attrition Modeling'!$D:$D,'Attrition Modeling'!$B:$B,'IP Attrition'!$D46,'Attrition Modeling'!$C:$C,'IP Attrition'!BT$1),VLOOKUP($F46+BT$2,$A$6:$C$106,2,FALSE)*VLOOKUP(BT$1,'Attrition Modeling'!$L$15:$N$27,IF(BT$2+$F46&lt;=24,2,3),FALSE)),$C$3)*(1+Projection!CA$16)*(1+IF(BT178&gt;0,'Attrition Modeling'!$N$9,0)))</f>
        <v>#REF!</v>
      </c>
      <c r="BU46" s="799" t="e">
        <f>(BT46+BU178)*(1-IFERROR(IF(BU$2+$F46&lt;=12,SUMIFS('Attrition Modeling'!$D:$D,'Attrition Modeling'!$B:$B,'IP Attrition'!$D46,'Attrition Modeling'!$C:$C,'IP Attrition'!BU$1),VLOOKUP($F46+BU$2,$A$6:$C$106,2,FALSE)*VLOOKUP(BU$1,'Attrition Modeling'!$L$15:$N$27,IF(BU$2+$F46&lt;=24,2,3),FALSE)),$C$3)*(1+Projection!CB$16)*(1+IF(BU178&gt;0,'Attrition Modeling'!$N$9,0)))</f>
        <v>#REF!</v>
      </c>
    </row>
    <row r="47" spans="1:73" ht="14.25" customHeight="1" x14ac:dyDescent="0.2">
      <c r="A47" s="9">
        <v>40</v>
      </c>
      <c r="B47" s="25">
        <f>MAX('Attrition Modeling'!H44,$C$3)*(1-Summary!$C$20)</f>
        <v>2.8571258923215721E-2</v>
      </c>
      <c r="C47" s="24" t="e">
        <f t="shared" si="3"/>
        <v>#DIV/0!</v>
      </c>
      <c r="D47" s="11">
        <f t="shared" si="1"/>
        <v>-44</v>
      </c>
      <c r="E47" s="807">
        <f t="array" ref="E47">INDEX('Attrition Modeling'!$X$2:$AF$63,MATCH($F47,'Attrition Modeling'!$X$2:$X$63,0),MATCH(Inputs!$C$10,'Attrition Modeling'!$X$2:$AF$2,0))</f>
        <v>0</v>
      </c>
      <c r="F47" s="11">
        <f t="shared" si="2"/>
        <v>44</v>
      </c>
      <c r="G47" s="799">
        <f>Summary!$C$25*$E47</f>
        <v>0</v>
      </c>
      <c r="H47" s="799">
        <f>(G47+H179)*(1-IFERROR(IF(H$2+$F47&lt;=12,SUMIFS('Attrition Modeling'!$D:$D,'Attrition Modeling'!$B:$B,'IP Attrition'!$D47,'Attrition Modeling'!$C:$C,'IP Attrition'!H$1),VLOOKUP($F47+H$2,$A$6:$C$106,2,FALSE)*VLOOKUP(H$1,'Attrition Modeling'!$L$15:$N$27,IF(H$2+$F47&lt;=24,2,3),FALSE)),$C$3)*(1+Projection!J$16)*(1+IF(H179&gt;0,'Attrition Modeling'!$N$9,0)))</f>
        <v>0</v>
      </c>
      <c r="I47" s="799">
        <f>(H47+I179)*(1-IFERROR(IF(I$2+$F47&lt;=12,SUMIFS('Attrition Modeling'!$D:$D,'Attrition Modeling'!$B:$B,'IP Attrition'!$D47,'Attrition Modeling'!$C:$C,'IP Attrition'!I$1),VLOOKUP($F47+I$2,$A$6:$C$106,2,FALSE)*VLOOKUP(I$1,'Attrition Modeling'!$L$15:$N$27,IF(I$2+$F47&lt;=24,2,3),FALSE)),$C$3)*(1+Projection!K$16)*(1+IF(I179&gt;0,'Attrition Modeling'!$N$9,0)))</f>
        <v>0</v>
      </c>
      <c r="J47" s="799">
        <f>(I47+J179)*(1-IFERROR(IF(J$2+$F47&lt;=12,SUMIFS('Attrition Modeling'!$D:$D,'Attrition Modeling'!$B:$B,'IP Attrition'!$D47,'Attrition Modeling'!$C:$C,'IP Attrition'!J$1),VLOOKUP($F47+J$2,$A$6:$C$106,2,FALSE)*VLOOKUP(J$1,'Attrition Modeling'!$L$15:$N$27,IF(J$2+$F47&lt;=24,2,3),FALSE)),$C$3)*(1+Projection!L$16)*(1+IF(J179&gt;0,'Attrition Modeling'!$N$9,0)))</f>
        <v>0</v>
      </c>
      <c r="K47" s="799">
        <f>(J47+K179)*(1-IFERROR(IF(K$2+$F47&lt;=12,SUMIFS('Attrition Modeling'!$D:$D,'Attrition Modeling'!$B:$B,'IP Attrition'!$D47,'Attrition Modeling'!$C:$C,'IP Attrition'!K$1),VLOOKUP($F47+K$2,$A$6:$C$106,2,FALSE)*VLOOKUP(K$1,'Attrition Modeling'!$L$15:$N$27,IF(K$2+$F47&lt;=24,2,3),FALSE)),$C$3)*(1+Projection!M$16)*(1+IF(K179&gt;0,'Attrition Modeling'!$N$9,0)))</f>
        <v>0</v>
      </c>
      <c r="L47" s="799">
        <f>(K47+L179)*(1-IFERROR(IF(L$2+$F47&lt;=12,SUMIFS('Attrition Modeling'!$D:$D,'Attrition Modeling'!$B:$B,'IP Attrition'!$D47,'Attrition Modeling'!$C:$C,'IP Attrition'!L$1),VLOOKUP($F47+L$2,$A$6:$C$106,2,FALSE)*VLOOKUP(L$1,'Attrition Modeling'!$L$15:$N$27,IF(L$2+$F47&lt;=24,2,3),FALSE)),$C$3)*(1+Projection!N$16)*(1+IF(L179&gt;0,'Attrition Modeling'!$N$9,0)))</f>
        <v>0</v>
      </c>
      <c r="M47" s="799">
        <f>(L47+M179)*(1-IFERROR(IF(M$2+$F47&lt;=12,SUMIFS('Attrition Modeling'!$D:$D,'Attrition Modeling'!$B:$B,'IP Attrition'!$D47,'Attrition Modeling'!$C:$C,'IP Attrition'!M$1),VLOOKUP($F47+M$2,$A$6:$C$106,2,FALSE)*VLOOKUP(M$1,'Attrition Modeling'!$L$15:$N$27,IF(M$2+$F47&lt;=24,2,3),FALSE)),$C$3)*(1+Projection!O$16)*(1+IF(M179&gt;0,'Attrition Modeling'!$N$9,0)))</f>
        <v>0</v>
      </c>
      <c r="N47" s="799">
        <f>(M47+N179)*(1-IFERROR(IF(N$2+$F47&lt;=12,SUMIFS('Attrition Modeling'!$D:$D,'Attrition Modeling'!$B:$B,'IP Attrition'!$D47,'Attrition Modeling'!$C:$C,'IP Attrition'!N$1),VLOOKUP($F47+N$2,$A$6:$C$106,2,FALSE)*VLOOKUP(N$1,'Attrition Modeling'!$L$15:$N$27,IF(N$2+$F47&lt;=24,2,3),FALSE)),$C$3)*(1+Projection!P$16)*(1+IF(N179&gt;0,'Attrition Modeling'!$N$9,0)))</f>
        <v>0</v>
      </c>
      <c r="O47" s="799">
        <f>(N47+O179)*(1-IFERROR(IF(O$2+$F47&lt;=12,SUMIFS('Attrition Modeling'!$D:$D,'Attrition Modeling'!$B:$B,'IP Attrition'!$D47,'Attrition Modeling'!$C:$C,'IP Attrition'!O$1),VLOOKUP($F47+O$2,$A$6:$C$106,2,FALSE)*VLOOKUP(O$1,'Attrition Modeling'!$L$15:$N$27,IF(O$2+$F47&lt;=24,2,3),FALSE)),$C$3)*(1+Projection!Q$16)*(1+IF(O179&gt;0,'Attrition Modeling'!$N$9,0)))</f>
        <v>0</v>
      </c>
      <c r="P47" s="799">
        <f>(O47+P179)*(1-IFERROR(IF(P$2+$F47&lt;=12,SUMIFS('Attrition Modeling'!$D:$D,'Attrition Modeling'!$B:$B,'IP Attrition'!$D47,'Attrition Modeling'!$C:$C,'IP Attrition'!P$1),VLOOKUP($F47+P$2,$A$6:$C$106,2,FALSE)*VLOOKUP(P$1,'Attrition Modeling'!$L$15:$N$27,IF(P$2+$F47&lt;=24,2,3),FALSE)),$C$3)*(1+Projection!R$16)*(1+IF(P179&gt;0,'Attrition Modeling'!$N$9,0)))</f>
        <v>0</v>
      </c>
      <c r="Q47" s="799">
        <f>(P47+Q179)*(1-IFERROR(IF(Q$2+$F47&lt;=12,SUMIFS('Attrition Modeling'!$D:$D,'Attrition Modeling'!$B:$B,'IP Attrition'!$D47,'Attrition Modeling'!$C:$C,'IP Attrition'!Q$1),VLOOKUP($F47+Q$2,$A$6:$C$106,2,FALSE)*VLOOKUP(Q$1,'Attrition Modeling'!$L$15:$N$27,IF(Q$2+$F47&lt;=24,2,3),FALSE)),$C$3)*(1+Projection!S$16)*(1+IF(Q179&gt;0,'Attrition Modeling'!$N$9,0)))</f>
        <v>0</v>
      </c>
      <c r="R47" s="799">
        <f>(Q47+R179)*(1-IFERROR(IF(R$2+$F47&lt;=12,SUMIFS('Attrition Modeling'!$D:$D,'Attrition Modeling'!$B:$B,'IP Attrition'!$D47,'Attrition Modeling'!$C:$C,'IP Attrition'!R$1),VLOOKUP($F47+R$2,$A$6:$C$106,2,FALSE)*VLOOKUP(R$1,'Attrition Modeling'!$L$15:$N$27,IF(R$2+$F47&lt;=24,2,3),FALSE)),$C$3)*(1+Projection!T$16)*(1+IF(R179&gt;0,'Attrition Modeling'!$N$9,0)))</f>
        <v>0</v>
      </c>
      <c r="S47" s="799">
        <f>(R47+S179)*(1-IFERROR(IF(S$2+$F47&lt;=12,SUMIFS('Attrition Modeling'!$D:$D,'Attrition Modeling'!$B:$B,'IP Attrition'!$D47,'Attrition Modeling'!$C:$C,'IP Attrition'!S$1),VLOOKUP($F47+S$2,$A$6:$C$106,2,FALSE)*VLOOKUP(S$1,'Attrition Modeling'!$L$15:$N$27,IF(S$2+$F47&lt;=24,2,3),FALSE)),$C$3)*(1+Projection!U$16)*(1+IF(S179&gt;0,'Attrition Modeling'!$N$9,0)))</f>
        <v>0</v>
      </c>
      <c r="T47" s="799">
        <f>(S47+T179)*(1-IFERROR(IF(T$2+$F47&lt;=12,SUMIFS('Attrition Modeling'!$D:$D,'Attrition Modeling'!$B:$B,'IP Attrition'!$D47,'Attrition Modeling'!$C:$C,'IP Attrition'!T$1),VLOOKUP($F47+T$2,$A$6:$C$106,2,FALSE)*VLOOKUP(T$1,'Attrition Modeling'!$L$15:$N$27,IF(T$2+$F47&lt;=24,2,3),FALSE)),$C$3)*(1+Projection!V$16)*(1+IF(T179&gt;0,'Attrition Modeling'!$N$9,0)))</f>
        <v>0</v>
      </c>
      <c r="U47" s="799">
        <f>(T47+U179)*(1-IFERROR(IF(U$2+$F47&lt;=12,SUMIFS('Attrition Modeling'!$D:$D,'Attrition Modeling'!$B:$B,'IP Attrition'!$D47,'Attrition Modeling'!$C:$C,'IP Attrition'!U$1),VLOOKUP($F47+U$2,$A$6:$C$106,2,FALSE)*VLOOKUP(U$1,'Attrition Modeling'!$L$15:$N$27,IF(U$2+$F47&lt;=24,2,3),FALSE)),$C$3)*(1+Projection!W$16)*(1+IF(U179&gt;0,'Attrition Modeling'!$N$9,0)))</f>
        <v>0</v>
      </c>
      <c r="V47" s="799">
        <f>(U47+V179)*(1-IFERROR(IF(V$2+$F47&lt;=12,SUMIFS('Attrition Modeling'!$D:$D,'Attrition Modeling'!$B:$B,'IP Attrition'!$D47,'Attrition Modeling'!$C:$C,'IP Attrition'!V$1),VLOOKUP($F47+V$2,$A$6:$C$106,2,FALSE)*VLOOKUP(V$1,'Attrition Modeling'!$L$15:$N$27,IF(V$2+$F47&lt;=24,2,3),FALSE)),$C$3)*(1+Projection!X$16)*(1+IF(V179&gt;0,'Attrition Modeling'!$N$9,0)))</f>
        <v>0</v>
      </c>
      <c r="W47" s="799">
        <f>(V47+W179)*(1-IFERROR(IF(W$2+$F47&lt;=12,SUMIFS('Attrition Modeling'!$D:$D,'Attrition Modeling'!$B:$B,'IP Attrition'!$D47,'Attrition Modeling'!$C:$C,'IP Attrition'!W$1),VLOOKUP($F47+W$2,$A$6:$C$106,2,FALSE)*VLOOKUP(W$1,'Attrition Modeling'!$L$15:$N$27,IF(W$2+$F47&lt;=24,2,3),FALSE)),$C$3)*(1+Projection!Y$16)*(1+IF(W179&gt;0,'Attrition Modeling'!$N$9,0)))</f>
        <v>0</v>
      </c>
      <c r="X47" s="799">
        <f>(W47+X179)*(1-IFERROR(IF(X$2+$F47&lt;=12,SUMIFS('Attrition Modeling'!$D:$D,'Attrition Modeling'!$B:$B,'IP Attrition'!$D47,'Attrition Modeling'!$C:$C,'IP Attrition'!X$1),VLOOKUP($F47+X$2,$A$6:$C$106,2,FALSE)*VLOOKUP(X$1,'Attrition Modeling'!$L$15:$N$27,IF(X$2+$F47&lt;=24,2,3),FALSE)),$C$3)*(1+Projection!Z$16)*(1+IF(X179&gt;0,'Attrition Modeling'!$N$9,0)))</f>
        <v>0</v>
      </c>
      <c r="Y47" s="799">
        <f>(X47+Y179)*(1-IFERROR(IF(Y$2+$F47&lt;=12,SUMIFS('Attrition Modeling'!$D:$D,'Attrition Modeling'!$B:$B,'IP Attrition'!$D47,'Attrition Modeling'!$C:$C,'IP Attrition'!Y$1),VLOOKUP($F47+Y$2,$A$6:$C$106,2,FALSE)*VLOOKUP(Y$1,'Attrition Modeling'!$L$15:$N$27,IF(Y$2+$F47&lt;=24,2,3),FALSE)),$C$3)*(1+Projection!AA$16)*(1+IF(Y179&gt;0,'Attrition Modeling'!$N$9,0)))</f>
        <v>0</v>
      </c>
      <c r="Z47" s="799">
        <f>(Y47+Z179)*(1-IFERROR(IF(Z$2+$F47&lt;=12,SUMIFS('Attrition Modeling'!$D:$D,'Attrition Modeling'!$B:$B,'IP Attrition'!$D47,'Attrition Modeling'!$C:$C,'IP Attrition'!Z$1),VLOOKUP($F47+Z$2,$A$6:$C$106,2,FALSE)*VLOOKUP(Z$1,'Attrition Modeling'!$L$15:$N$27,IF(Z$2+$F47&lt;=24,2,3),FALSE)),$C$3)*(1+Projection!AB$16)*(1+IF(Z179&gt;0,'Attrition Modeling'!$N$9,0)))</f>
        <v>0</v>
      </c>
      <c r="AA47" s="799">
        <f>(Z47+AA179)*(1-IFERROR(IF(AA$2+$F47&lt;=12,SUMIFS('Attrition Modeling'!$D:$D,'Attrition Modeling'!$B:$B,'IP Attrition'!$D47,'Attrition Modeling'!$C:$C,'IP Attrition'!AA$1),VLOOKUP($F47+AA$2,$A$6:$C$106,2,FALSE)*VLOOKUP(AA$1,'Attrition Modeling'!$L$15:$N$27,IF(AA$2+$F47&lt;=24,2,3),FALSE)),$C$3)*(1+Projection!AC$16)*(1+IF(AA179&gt;0,'Attrition Modeling'!$N$9,0)))</f>
        <v>0</v>
      </c>
      <c r="AB47" s="799">
        <f>(AA47+AB179)*(1-IFERROR(IF(AB$2+$F47&lt;=12,SUMIFS('Attrition Modeling'!$D:$D,'Attrition Modeling'!$B:$B,'IP Attrition'!$D47,'Attrition Modeling'!$C:$C,'IP Attrition'!AB$1),VLOOKUP($F47+AB$2,$A$6:$C$106,2,FALSE)*VLOOKUP(AB$1,'Attrition Modeling'!$L$15:$N$27,IF(AB$2+$F47&lt;=24,2,3),FALSE)),$C$3)*(1+Projection!AD$16)*(1+IF(AB179&gt;0,'Attrition Modeling'!$N$9,0)))</f>
        <v>0</v>
      </c>
      <c r="AC47" s="799">
        <f>(AB47+AC179)*(1-IFERROR(IF(AC$2+$F47&lt;=12,SUMIFS('Attrition Modeling'!$D:$D,'Attrition Modeling'!$B:$B,'IP Attrition'!$D47,'Attrition Modeling'!$C:$C,'IP Attrition'!AC$1),VLOOKUP($F47+AC$2,$A$6:$C$106,2,FALSE)*VLOOKUP(AC$1,'Attrition Modeling'!$L$15:$N$27,IF(AC$2+$F47&lt;=24,2,3),FALSE)),$C$3)*(1+Projection!AE$16)*(1+IF(AC179&gt;0,'Attrition Modeling'!$N$9,0)))</f>
        <v>0</v>
      </c>
      <c r="AD47" s="799">
        <f>(AC47+AD179)*(1-IFERROR(IF(AD$2+$F47&lt;=12,SUMIFS('Attrition Modeling'!$D:$D,'Attrition Modeling'!$B:$B,'IP Attrition'!$D47,'Attrition Modeling'!$C:$C,'IP Attrition'!AD$1),VLOOKUP($F47+AD$2,$A$6:$C$106,2,FALSE)*VLOOKUP(AD$1,'Attrition Modeling'!$L$15:$N$27,IF(AD$2+$F47&lt;=24,2,3),FALSE)),$C$3)*(1+Projection!AF$16)*(1+IF(AD179&gt;0,'Attrition Modeling'!$N$9,0)))</f>
        <v>0</v>
      </c>
      <c r="AE47" s="799">
        <f>(AD47+AE179)*(1-IFERROR(IF(AE$2+$F47&lt;=12,SUMIFS('Attrition Modeling'!$D:$D,'Attrition Modeling'!$B:$B,'IP Attrition'!$D47,'Attrition Modeling'!$C:$C,'IP Attrition'!AE$1),VLOOKUP($F47+AE$2,$A$6:$C$106,2,FALSE)*VLOOKUP(AE$1,'Attrition Modeling'!$L$15:$N$27,IF(AE$2+$F47&lt;=24,2,3),FALSE)),$C$3)*(1+Projection!AG$16)*(1+IF(AE179&gt;0,'Attrition Modeling'!$N$9,0)))</f>
        <v>0</v>
      </c>
      <c r="AF47" s="799">
        <f>(AE47+AF179)*(1-IFERROR(IF(AF$2+$F47&lt;=12,SUMIFS('Attrition Modeling'!$D:$D,'Attrition Modeling'!$B:$B,'IP Attrition'!$D47,'Attrition Modeling'!$C:$C,'IP Attrition'!AF$1),VLOOKUP($F47+AF$2,$A$6:$C$106,2,FALSE)*VLOOKUP(AF$1,'Attrition Modeling'!$L$15:$N$27,IF(AF$2+$F47&lt;=24,2,3),FALSE)),$C$3)*(1+Projection!AH$16)*(1+IF(AF179&gt;0,'Attrition Modeling'!$N$9,0)))</f>
        <v>0</v>
      </c>
      <c r="AG47" s="799">
        <f>(AF47+AG179)*(1-IFERROR(IF(AG$2+$F47&lt;=12,SUMIFS('Attrition Modeling'!$D:$D,'Attrition Modeling'!$B:$B,'IP Attrition'!$D47,'Attrition Modeling'!$C:$C,'IP Attrition'!AG$1),VLOOKUP($F47+AG$2,$A$6:$C$106,2,FALSE)*VLOOKUP(AG$1,'Attrition Modeling'!$L$15:$N$27,IF(AG$2+$F47&lt;=24,2,3),FALSE)),$C$3)*(1+Projection!AI$16)*(1+IF(AG179&gt;0,'Attrition Modeling'!$N$9,0)))</f>
        <v>0</v>
      </c>
      <c r="AH47" s="799">
        <f>(AG47+AH179)*(1-IFERROR(IF(AH$2+$F47&lt;=12,SUMIFS('Attrition Modeling'!$D:$D,'Attrition Modeling'!$B:$B,'IP Attrition'!$D47,'Attrition Modeling'!$C:$C,'IP Attrition'!AH$1),VLOOKUP($F47+AH$2,$A$6:$C$106,2,FALSE)*VLOOKUP(AH$1,'Attrition Modeling'!$L$15:$N$27,IF(AH$2+$F47&lt;=24,2,3),FALSE)),$C$3)*(1+Projection!AJ$16)*(1+IF(AH179&gt;0,'Attrition Modeling'!$N$9,0)))</f>
        <v>0</v>
      </c>
      <c r="AI47" s="799">
        <f>(AH47+AI179)*(1-IFERROR(IF(AI$2+$F47&lt;=12,SUMIFS('Attrition Modeling'!$D:$D,'Attrition Modeling'!$B:$B,'IP Attrition'!$D47,'Attrition Modeling'!$C:$C,'IP Attrition'!AI$1),VLOOKUP($F47+AI$2,$A$6:$C$106,2,FALSE)*VLOOKUP(AI$1,'Attrition Modeling'!$L$15:$N$27,IF(AI$2+$F47&lt;=24,2,3),FALSE)),$C$3)*(1+Projection!AK$16)*(1+IF(AI179&gt;0,'Attrition Modeling'!$N$9,0)))</f>
        <v>0</v>
      </c>
      <c r="AJ47" s="799">
        <f>(AI47+AJ179)*(1-IFERROR(IF(AJ$2+$F47&lt;=12,SUMIFS('Attrition Modeling'!$D:$D,'Attrition Modeling'!$B:$B,'IP Attrition'!$D47,'Attrition Modeling'!$C:$C,'IP Attrition'!AJ$1),VLOOKUP($F47+AJ$2,$A$6:$C$106,2,FALSE)*VLOOKUP(AJ$1,'Attrition Modeling'!$L$15:$N$27,IF(AJ$2+$F47&lt;=24,2,3),FALSE)),$C$3)*(1+Projection!AL$16)*(1+IF(AJ179&gt;0,'Attrition Modeling'!$N$9,0)))</f>
        <v>0</v>
      </c>
      <c r="AK47" s="799">
        <f>(AJ47+AK179)*(1-IFERROR(IF(AK$2+$F47&lt;=12,SUMIFS('Attrition Modeling'!$D:$D,'Attrition Modeling'!$B:$B,'IP Attrition'!$D47,'Attrition Modeling'!$C:$C,'IP Attrition'!AK$1),VLOOKUP($F47+AK$2,$A$6:$C$106,2,FALSE)*VLOOKUP(AK$1,'Attrition Modeling'!$L$15:$N$27,IF(AK$2+$F47&lt;=24,2,3),FALSE)),$C$3)*(1+Projection!AM$16)*(1+IF(AK179&gt;0,'Attrition Modeling'!$N$9,0)))</f>
        <v>0</v>
      </c>
      <c r="AL47" s="799">
        <f>(AK47+AL179)*(1-IFERROR(IF(AL$2+$F47&lt;=12,SUMIFS('Attrition Modeling'!$D:$D,'Attrition Modeling'!$B:$B,'IP Attrition'!$D47,'Attrition Modeling'!$C:$C,'IP Attrition'!AL$1),VLOOKUP($F47+AL$2,$A$6:$C$106,2,FALSE)*VLOOKUP(AL$1,'Attrition Modeling'!$L$15:$N$27,IF(AL$2+$F47&lt;=24,2,3),FALSE)),$C$3)*(1+Projection!AN$16)*(1+IF(AL179&gt;0,'Attrition Modeling'!$N$9,0)))</f>
        <v>0</v>
      </c>
      <c r="AM47" s="799">
        <f>(AL47+AM179)*(1-IFERROR(IF(AM$2+$F47&lt;=12,SUMIFS('Attrition Modeling'!$D:$D,'Attrition Modeling'!$B:$B,'IP Attrition'!$D47,'Attrition Modeling'!$C:$C,'IP Attrition'!AM$1),VLOOKUP($F47+AM$2,$A$6:$C$106,2,FALSE)*VLOOKUP(AM$1,'Attrition Modeling'!$L$15:$N$27,IF(AM$2+$F47&lt;=24,2,3),FALSE)),$C$3)*(1+Projection!AO$16)*(1+IF(AM179&gt;0,'Attrition Modeling'!$N$9,0)))</f>
        <v>0</v>
      </c>
      <c r="AN47" s="799">
        <f>(AM47+AN179)*(1-IFERROR(IF(AN$2+$F47&lt;=12,SUMIFS('Attrition Modeling'!$D:$D,'Attrition Modeling'!$B:$B,'IP Attrition'!$D47,'Attrition Modeling'!$C:$C,'IP Attrition'!AN$1),VLOOKUP($F47+AN$2,$A$6:$C$106,2,FALSE)*VLOOKUP(AN$1,'Attrition Modeling'!$L$15:$N$27,IF(AN$2+$F47&lt;=24,2,3),FALSE)),$C$3)*(1+Projection!AP$16)*(1+IF(AN179&gt;0,'Attrition Modeling'!$N$9,0)))</f>
        <v>0</v>
      </c>
      <c r="AO47" s="799">
        <f>(AN47+AO179)*(1-IFERROR(IF(AO$2+$F47&lt;=12,SUMIFS('Attrition Modeling'!$D:$D,'Attrition Modeling'!$B:$B,'IP Attrition'!$D47,'Attrition Modeling'!$C:$C,'IP Attrition'!AO$1),VLOOKUP($F47+AO$2,$A$6:$C$106,2,FALSE)*VLOOKUP(AO$1,'Attrition Modeling'!$L$15:$N$27,IF(AO$2+$F47&lt;=24,2,3),FALSE)),$C$3)*(1+Projection!AQ$16)*(1+IF(AO179&gt;0,'Attrition Modeling'!$N$9,0)))</f>
        <v>0</v>
      </c>
      <c r="AP47" s="799">
        <f>(AO47+AP179)*(1-IFERROR(IF(AP$2+$F47&lt;=12,SUMIFS('Attrition Modeling'!$D:$D,'Attrition Modeling'!$B:$B,'IP Attrition'!$D47,'Attrition Modeling'!$C:$C,'IP Attrition'!AP$1),VLOOKUP($F47+AP$2,$A$6:$C$106,2,FALSE)*VLOOKUP(AP$1,'Attrition Modeling'!$L$15:$N$27,IF(AP$2+$F47&lt;=24,2,3),FALSE)),$C$3)*(1+Projection!AR$16)*(1+IF(AP179&gt;0,'Attrition Modeling'!$N$9,0)))</f>
        <v>0</v>
      </c>
      <c r="AQ47" s="799">
        <f>(AP47+AQ179)*(1-IFERROR(IF(AQ$2+$F47&lt;=12,SUMIFS('Attrition Modeling'!$D:$D,'Attrition Modeling'!$B:$B,'IP Attrition'!$D47,'Attrition Modeling'!$C:$C,'IP Attrition'!AQ$1),VLOOKUP($F47+AQ$2,$A$6:$C$106,2,FALSE)*VLOOKUP(AQ$1,'Attrition Modeling'!$L$15:$N$27,IF(AQ$2+$F47&lt;=24,2,3),FALSE)),$C$3)*(1+Projection!AS$16)*(1+IF(AQ179&gt;0,'Attrition Modeling'!$N$9,0)))</f>
        <v>0</v>
      </c>
      <c r="AR47" s="799">
        <f>(AQ47+AR179)*(1-IFERROR(IF(AR$2+$F47&lt;=12,SUMIFS('Attrition Modeling'!$D:$D,'Attrition Modeling'!$B:$B,'IP Attrition'!$D47,'Attrition Modeling'!$C:$C,'IP Attrition'!AR$1),VLOOKUP($F47+AR$2,$A$6:$C$106,2,FALSE)*VLOOKUP(AR$1,'Attrition Modeling'!$L$15:$N$27,IF(AR$2+$F47&lt;=24,2,3),FALSE)),$C$3)*(1+Projection!AT$16)*(1+IF(AR179&gt;0,'Attrition Modeling'!$N$9,0)))</f>
        <v>0</v>
      </c>
      <c r="AS47" s="799">
        <f>(AR47+AS179)*(1-IFERROR(IF(AS$2+$F47&lt;=12,SUMIFS('Attrition Modeling'!$D:$D,'Attrition Modeling'!$B:$B,'IP Attrition'!$D47,'Attrition Modeling'!$C:$C,'IP Attrition'!AS$1),VLOOKUP($F47+AS$2,$A$6:$C$106,2,FALSE)*VLOOKUP(AS$1,'Attrition Modeling'!$L$15:$N$27,IF(AS$2+$F47&lt;=24,2,3),FALSE)),$C$3)*(1+Projection!AU$16)*(1+IF(AS179&gt;0,'Attrition Modeling'!$N$9,0)))</f>
        <v>0</v>
      </c>
      <c r="AT47" s="799">
        <f>(AS47+AT179)*(1-IFERROR(IF(AT$2+$F47&lt;=12,SUMIFS('Attrition Modeling'!$D:$D,'Attrition Modeling'!$B:$B,'IP Attrition'!$D47,'Attrition Modeling'!$C:$C,'IP Attrition'!AT$1),VLOOKUP($F47+AT$2,$A$6:$C$106,2,FALSE)*VLOOKUP(AT$1,'Attrition Modeling'!$L$15:$N$27,IF(AT$2+$F47&lt;=24,2,3),FALSE)),$C$3)*(1+Projection!AV$16)*(1+IF(AT179&gt;0,'Attrition Modeling'!$N$9,0)))</f>
        <v>0</v>
      </c>
      <c r="AU47" s="799">
        <f>(AT47+AU179)*(1-IFERROR(IF(AU$2+$F47&lt;=12,SUMIFS('Attrition Modeling'!$D:$D,'Attrition Modeling'!$B:$B,'IP Attrition'!$D47,'Attrition Modeling'!$C:$C,'IP Attrition'!AU$1),VLOOKUP($F47+AU$2,$A$6:$C$106,2,FALSE)*VLOOKUP(AU$1,'Attrition Modeling'!$L$15:$N$27,IF(AU$2+$F47&lt;=24,2,3),FALSE)),$C$3)*(1+Projection!AW$16)*(1+IF(AU179&gt;0,'Attrition Modeling'!$N$9,0)))</f>
        <v>0</v>
      </c>
      <c r="AV47" s="799">
        <f>(AU47+AV179)*(1-IFERROR(IF(AV$2+$F47&lt;=12,SUMIFS('Attrition Modeling'!$D:$D,'Attrition Modeling'!$B:$B,'IP Attrition'!$D47,'Attrition Modeling'!$C:$C,'IP Attrition'!AV$1),VLOOKUP($F47+AV$2,$A$6:$C$106,2,FALSE)*VLOOKUP(AV$1,'Attrition Modeling'!$L$15:$N$27,IF(AV$2+$F47&lt;=24,2,3),FALSE)),$C$3)*(1+Projection!AX$16)*(1+IF(AV179&gt;0,'Attrition Modeling'!$N$9,0)))</f>
        <v>0</v>
      </c>
      <c r="AW47" s="799">
        <f>(AV47+AW179)*(1-IFERROR(IF(AW$2+$F47&lt;=12,SUMIFS('Attrition Modeling'!$D:$D,'Attrition Modeling'!$B:$B,'IP Attrition'!$D47,'Attrition Modeling'!$C:$C,'IP Attrition'!AW$1),VLOOKUP($F47+AW$2,$A$6:$C$106,2,FALSE)*VLOOKUP(AW$1,'Attrition Modeling'!$L$15:$N$27,IF(AW$2+$F47&lt;=24,2,3),FALSE)),$C$3)*(1+Projection!AY$16)*(1+IF(AW179&gt;0,'Attrition Modeling'!$N$9,0)))</f>
        <v>0</v>
      </c>
      <c r="AX47" s="799">
        <f>(AW47+AX179)*(1-IFERROR(IF(AX$2+$F47&lt;=12,SUMIFS('Attrition Modeling'!$D:$D,'Attrition Modeling'!$B:$B,'IP Attrition'!$D47,'Attrition Modeling'!$C:$C,'IP Attrition'!AX$1),VLOOKUP($F47+AX$2,$A$6:$C$106,2,FALSE)*VLOOKUP(AX$1,'Attrition Modeling'!$L$15:$N$27,IF(AX$2+$F47&lt;=24,2,3),FALSE)),$C$3)*(1+Projection!AZ$16)*(1+IF(AX179&gt;0,'Attrition Modeling'!$N$9,0)))</f>
        <v>0</v>
      </c>
      <c r="AY47" s="799">
        <f>(AX47+AY179)*(1-IFERROR(IF(AY$2+$F47&lt;=12,SUMIFS('Attrition Modeling'!$D:$D,'Attrition Modeling'!$B:$B,'IP Attrition'!$D47,'Attrition Modeling'!$C:$C,'IP Attrition'!AY$1),VLOOKUP($F47+AY$2,$A$6:$C$106,2,FALSE)*VLOOKUP(AY$1,'Attrition Modeling'!$L$15:$N$27,IF(AY$2+$F47&lt;=24,2,3),FALSE)),$C$3)*(1+Projection!BA$16)*(1+IF(AY179&gt;0,'Attrition Modeling'!$N$9,0)))</f>
        <v>0</v>
      </c>
      <c r="AZ47" s="799">
        <f>(AY47+AZ179)*(1-IFERROR(IF(AZ$2+$F47&lt;=12,SUMIFS('Attrition Modeling'!$D:$D,'Attrition Modeling'!$B:$B,'IP Attrition'!$D47,'Attrition Modeling'!$C:$C,'IP Attrition'!AZ$1),VLOOKUP($F47+AZ$2,$A$6:$C$106,2,FALSE)*VLOOKUP(AZ$1,'Attrition Modeling'!$L$15:$N$27,IF(AZ$2+$F47&lt;=24,2,3),FALSE)),$C$3)*(1+Projection!BB$16)*(1+IF(AZ179&gt;0,'Attrition Modeling'!$N$9,0)))</f>
        <v>0</v>
      </c>
      <c r="BA47" s="799">
        <f>(AZ47+BA179)*(1-IFERROR(IF(BA$2+$F47&lt;=12,SUMIFS('Attrition Modeling'!$D:$D,'Attrition Modeling'!$B:$B,'IP Attrition'!$D47,'Attrition Modeling'!$C:$C,'IP Attrition'!BA$1),VLOOKUP($F47+BA$2,$A$6:$C$106,2,FALSE)*VLOOKUP(BA$1,'Attrition Modeling'!$L$15:$N$27,IF(BA$2+$F47&lt;=24,2,3),FALSE)),$C$3)*(1+Projection!BC$16)*(1+IF(BA179&gt;0,'Attrition Modeling'!$N$9,0)))</f>
        <v>0</v>
      </c>
      <c r="BB47" s="799">
        <f>(BA47+BB179)*(1-IFERROR(IF(BB$2+$F47&lt;=12,SUMIFS('Attrition Modeling'!$D:$D,'Attrition Modeling'!$B:$B,'IP Attrition'!$D47,'Attrition Modeling'!$C:$C,'IP Attrition'!BB$1),VLOOKUP($F47+BB$2,$A$6:$C$106,2,FALSE)*VLOOKUP(BB$1,'Attrition Modeling'!$L$15:$N$27,IF(BB$2+$F47&lt;=24,2,3),FALSE)),$C$3)*(1+Projection!BD$16)*(1+IF(BB179&gt;0,'Attrition Modeling'!$N$9,0)))</f>
        <v>0</v>
      </c>
      <c r="BC47" s="799">
        <f>(BB47+BC179)*(1-IFERROR(IF(BC$2+$F47&lt;=12,SUMIFS('Attrition Modeling'!$D:$D,'Attrition Modeling'!$B:$B,'IP Attrition'!$D47,'Attrition Modeling'!$C:$C,'IP Attrition'!BC$1),VLOOKUP($F47+BC$2,$A$6:$C$106,2,FALSE)*VLOOKUP(BC$1,'Attrition Modeling'!$L$15:$N$27,IF(BC$2+$F47&lt;=24,2,3),FALSE)),$C$3)*(1+Projection!BE$16)*(1+IF(BC179&gt;0,'Attrition Modeling'!$N$9,0)))</f>
        <v>0</v>
      </c>
      <c r="BD47" s="799">
        <f>(BC47+BD179)*(1-IFERROR(IF(BD$2+$F47&lt;=12,SUMIFS('Attrition Modeling'!$D:$D,'Attrition Modeling'!$B:$B,'IP Attrition'!$D47,'Attrition Modeling'!$C:$C,'IP Attrition'!BD$1),VLOOKUP($F47+BD$2,$A$6:$C$106,2,FALSE)*VLOOKUP(BD$1,'Attrition Modeling'!$L$15:$N$27,IF(BD$2+$F47&lt;=24,2,3),FALSE)),$C$3)*(1+Projection!BF$16)*(1+IF(BD179&gt;0,'Attrition Modeling'!$N$9,0)))</f>
        <v>0</v>
      </c>
      <c r="BE47" s="799">
        <f>(BD47+BE179)*(1-IFERROR(IF(BE$2+$F47&lt;=12,SUMIFS('Attrition Modeling'!$D:$D,'Attrition Modeling'!$B:$B,'IP Attrition'!$D47,'Attrition Modeling'!$C:$C,'IP Attrition'!BE$1),VLOOKUP($F47+BE$2,$A$6:$C$106,2,FALSE)*VLOOKUP(BE$1,'Attrition Modeling'!$L$15:$N$27,IF(BE$2+$F47&lt;=24,2,3),FALSE)),$C$3)*(1+Projection!BG$16)*(1+IF(BE179&gt;0,'Attrition Modeling'!$N$9,0)))</f>
        <v>0</v>
      </c>
      <c r="BF47" s="799">
        <f>(BE47+BF179)*(1-IFERROR(IF(BF$2+$F47&lt;=12,SUMIFS('Attrition Modeling'!$D:$D,'Attrition Modeling'!$B:$B,'IP Attrition'!$D47,'Attrition Modeling'!$C:$C,'IP Attrition'!BF$1),VLOOKUP($F47+BF$2,$A$6:$C$106,2,FALSE)*VLOOKUP(BF$1,'Attrition Modeling'!$L$15:$N$27,IF(BF$2+$F47&lt;=24,2,3),FALSE)),$C$3)*(1+Projection!BH$16)*(1+IF(BF179&gt;0,'Attrition Modeling'!$N$9,0)))</f>
        <v>0</v>
      </c>
      <c r="BG47" s="799">
        <f>(BF47+BG179)*(1-IFERROR(IF(BG$2+$F47&lt;=12,SUMIFS('Attrition Modeling'!$D:$D,'Attrition Modeling'!$B:$B,'IP Attrition'!$D47,'Attrition Modeling'!$C:$C,'IP Attrition'!BG$1),VLOOKUP($F47+BG$2,$A$6:$C$106,2,FALSE)*VLOOKUP(BG$1,'Attrition Modeling'!$L$15:$N$27,IF(BG$2+$F47&lt;=24,2,3),FALSE)),$C$3)*(1+Projection!BI$16)*(1+IF(BG179&gt;0,'Attrition Modeling'!$N$9,0)))</f>
        <v>0</v>
      </c>
      <c r="BH47" s="799">
        <f>(BG47+BH179)*(1-IFERROR(IF(BH$2+$F47&lt;=12,SUMIFS('Attrition Modeling'!$D:$D,'Attrition Modeling'!$B:$B,'IP Attrition'!$D47,'Attrition Modeling'!$C:$C,'IP Attrition'!BH$1),VLOOKUP($F47+BH$2,$A$6:$C$106,2,FALSE)*VLOOKUP(BH$1,'Attrition Modeling'!$L$15:$N$27,IF(BH$2+$F47&lt;=24,2,3),FALSE)),$C$3)*(1+Projection!BJ$16)*(1+IF(BH179&gt;0,'Attrition Modeling'!$N$9,0)))</f>
        <v>0</v>
      </c>
      <c r="BI47" s="799">
        <f>(BH47+BI179)*(1-IFERROR(IF(BI$2+$F47&lt;=12,SUMIFS('Attrition Modeling'!$D:$D,'Attrition Modeling'!$B:$B,'IP Attrition'!$D47,'Attrition Modeling'!$C:$C,'IP Attrition'!BI$1),VLOOKUP($F47+BI$2,$A$6:$C$106,2,FALSE)*VLOOKUP(BI$1,'Attrition Modeling'!$L$15:$N$27,IF(BI$2+$F47&lt;=24,2,3),FALSE)),$C$3)*(1+Projection!BK$16)*(1+IF(BI179&gt;0,'Attrition Modeling'!$N$9,0)))</f>
        <v>0</v>
      </c>
      <c r="BJ47" s="799">
        <f>(BI47+BJ179)*(1-IFERROR(IF(BJ$2+$F47&lt;=12,SUMIFS('Attrition Modeling'!$D:$D,'Attrition Modeling'!$B:$B,'IP Attrition'!$D47,'Attrition Modeling'!$C:$C,'IP Attrition'!BJ$1),VLOOKUP($F47+BJ$2,$A$6:$C$106,2,FALSE)*VLOOKUP(BJ$1,'Attrition Modeling'!$L$15:$N$27,IF(BJ$2+$F47&lt;=24,2,3),FALSE)),$C$3)*(1+Projection!BL$16)*(1+IF(BJ179&gt;0,'Attrition Modeling'!$N$9,0)))</f>
        <v>0</v>
      </c>
      <c r="BK47" s="799">
        <f>(BJ47+BK179)*(1-IFERROR(IF(BK$2+$F47&lt;=12,SUMIFS('Attrition Modeling'!$D:$D,'Attrition Modeling'!$B:$B,'IP Attrition'!$D47,'Attrition Modeling'!$C:$C,'IP Attrition'!BK$1),VLOOKUP($F47+BK$2,$A$6:$C$106,2,FALSE)*VLOOKUP(BK$1,'Attrition Modeling'!$L$15:$N$27,IF(BK$2+$F47&lt;=24,2,3),FALSE)),$C$3)*(1+Projection!BM$16)*(1+IF(BK179&gt;0,'Attrition Modeling'!$N$9,0)))</f>
        <v>0</v>
      </c>
      <c r="BL47" s="799">
        <f>(BK47+BL179)*(1-IFERROR(IF(BL$2+$F47&lt;=12,SUMIFS('Attrition Modeling'!$D:$D,'Attrition Modeling'!$B:$B,'IP Attrition'!$D47,'Attrition Modeling'!$C:$C,'IP Attrition'!BL$1),VLOOKUP($F47+BL$2,$A$6:$C$106,2,FALSE)*VLOOKUP(BL$1,'Attrition Modeling'!$L$15:$N$27,IF(BL$2+$F47&lt;=24,2,3),FALSE)),$C$3)*(1+Projection!BN$16)*(1+IF(BL179&gt;0,'Attrition Modeling'!$N$9,0)))</f>
        <v>0</v>
      </c>
      <c r="BM47" s="799">
        <f>(BL47+BM179)*(1-IFERROR(IF(BM$2+$F47&lt;=12,SUMIFS('Attrition Modeling'!$D:$D,'Attrition Modeling'!$B:$B,'IP Attrition'!$D47,'Attrition Modeling'!$C:$C,'IP Attrition'!BM$1),VLOOKUP($F47+BM$2,$A$6:$C$106,2,FALSE)*VLOOKUP(BM$1,'Attrition Modeling'!$L$15:$N$27,IF(BM$2+$F47&lt;=24,2,3),FALSE)),$C$3)*(1+Projection!BO$16)*(1+IF(BM179&gt;0,'Attrition Modeling'!$N$9,0)))</f>
        <v>0</v>
      </c>
      <c r="BN47" s="799">
        <f>(BM47+BN179)*(1-IFERROR(IF(BN$2+$F47&lt;=12,SUMIFS('Attrition Modeling'!$D:$D,'Attrition Modeling'!$B:$B,'IP Attrition'!$D47,'Attrition Modeling'!$C:$C,'IP Attrition'!BN$1),VLOOKUP($F47+BN$2,$A$6:$C$106,2,FALSE)*VLOOKUP(BN$1,'Attrition Modeling'!$L$15:$N$27,IF(BN$2+$F47&lt;=24,2,3),FALSE)),$C$3)*(1+Projection!BP$16)*(1+IF(BN179&gt;0,'Attrition Modeling'!$N$9,0)))</f>
        <v>0</v>
      </c>
      <c r="BO47" s="799">
        <f>(BN47+BO179)*(1-IFERROR(IF(BO$2+$F47&lt;=12,SUMIFS('Attrition Modeling'!$D:$D,'Attrition Modeling'!$B:$B,'IP Attrition'!$D47,'Attrition Modeling'!$C:$C,'IP Attrition'!BO$1),VLOOKUP($F47+BO$2,$A$6:$C$106,2,FALSE)*VLOOKUP(BO$1,'Attrition Modeling'!$L$15:$N$27,IF(BO$2+$F47&lt;=24,2,3),FALSE)),$C$3)*(1+Projection!BV$16)*(1+IF(BO179&gt;0,'Attrition Modeling'!$N$9,0)))</f>
        <v>0</v>
      </c>
      <c r="BP47" s="799">
        <f>(BO47+BP179)*(1-IFERROR(IF(BP$2+$F47&lt;=12,SUMIFS('Attrition Modeling'!$D:$D,'Attrition Modeling'!$B:$B,'IP Attrition'!$D47,'Attrition Modeling'!$C:$C,'IP Attrition'!BP$1),VLOOKUP($F47+BP$2,$A$6:$C$106,2,FALSE)*VLOOKUP(BP$1,'Attrition Modeling'!$L$15:$N$27,IF(BP$2+$F47&lt;=24,2,3),FALSE)),$C$3)*(1+Projection!BW$16)*(1+IF(BP179&gt;0,'Attrition Modeling'!$N$9,0)))</f>
        <v>0</v>
      </c>
      <c r="BQ47" s="799">
        <f>(BP47+BQ179)*(1-IFERROR(IF(BQ$2+$F47&lt;=12,SUMIFS('Attrition Modeling'!$D:$D,'Attrition Modeling'!$B:$B,'IP Attrition'!$D47,'Attrition Modeling'!$C:$C,'IP Attrition'!BQ$1),VLOOKUP($F47+BQ$2,$A$6:$C$106,2,FALSE)*VLOOKUP(BQ$1,'Attrition Modeling'!$L$15:$N$27,IF(BQ$2+$F47&lt;=24,2,3),FALSE)),$C$3)*(1+Projection!BX$16)*(1+IF(BQ179&gt;0,'Attrition Modeling'!$N$9,0)))</f>
        <v>0</v>
      </c>
      <c r="BR47" s="799">
        <f>(BQ47+BR179)*(1-IFERROR(IF(BR$2+$F47&lt;=12,SUMIFS('Attrition Modeling'!$D:$D,'Attrition Modeling'!$B:$B,'IP Attrition'!$D47,'Attrition Modeling'!$C:$C,'IP Attrition'!BR$1),VLOOKUP($F47+BR$2,$A$6:$C$106,2,FALSE)*VLOOKUP(BR$1,'Attrition Modeling'!$L$15:$N$27,IF(BR$2+$F47&lt;=24,2,3),FALSE)),$C$3)*(1+Projection!BY$16)*(1+IF(BR179&gt;0,'Attrition Modeling'!$N$9,0)))</f>
        <v>0</v>
      </c>
      <c r="BS47" s="799">
        <f>(BR47+BS179)*(1-IFERROR(IF(BS$2+$F47&lt;=12,SUMIFS('Attrition Modeling'!$D:$D,'Attrition Modeling'!$B:$B,'IP Attrition'!$D47,'Attrition Modeling'!$C:$C,'IP Attrition'!BS$1),VLOOKUP($F47+BS$2,$A$6:$C$106,2,FALSE)*VLOOKUP(BS$1,'Attrition Modeling'!$L$15:$N$27,IF(BS$2+$F47&lt;=24,2,3),FALSE)),$C$3)*(1+Projection!BZ$16)*(1+IF(BS179&gt;0,'Attrition Modeling'!$N$9,0)))</f>
        <v>0</v>
      </c>
      <c r="BT47" s="799" t="e">
        <f>(BS47+BT179)*(1-IFERROR(IF(BT$2+$F47&lt;=12,SUMIFS('Attrition Modeling'!$D:$D,'Attrition Modeling'!$B:$B,'IP Attrition'!$D47,'Attrition Modeling'!$C:$C,'IP Attrition'!BT$1),VLOOKUP($F47+BT$2,$A$6:$C$106,2,FALSE)*VLOOKUP(BT$1,'Attrition Modeling'!$L$15:$N$27,IF(BT$2+$F47&lt;=24,2,3),FALSE)),$C$3)*(1+Projection!CA$16)*(1+IF(BT179&gt;0,'Attrition Modeling'!$N$9,0)))</f>
        <v>#REF!</v>
      </c>
      <c r="BU47" s="799" t="e">
        <f>(BT47+BU179)*(1-IFERROR(IF(BU$2+$F47&lt;=12,SUMIFS('Attrition Modeling'!$D:$D,'Attrition Modeling'!$B:$B,'IP Attrition'!$D47,'Attrition Modeling'!$C:$C,'IP Attrition'!BU$1),VLOOKUP($F47+BU$2,$A$6:$C$106,2,FALSE)*VLOOKUP(BU$1,'Attrition Modeling'!$L$15:$N$27,IF(BU$2+$F47&lt;=24,2,3),FALSE)),$C$3)*(1+Projection!CB$16)*(1+IF(BU179&gt;0,'Attrition Modeling'!$N$9,0)))</f>
        <v>#REF!</v>
      </c>
    </row>
    <row r="48" spans="1:73" ht="14.25" customHeight="1" x14ac:dyDescent="0.2">
      <c r="A48" s="9">
        <v>41</v>
      </c>
      <c r="B48" s="25">
        <f>MAX('Attrition Modeling'!H45,$C$3)*(1-Summary!$C$20)</f>
        <v>2.819487510880158E-2</v>
      </c>
      <c r="C48" s="24" t="e">
        <f t="shared" si="3"/>
        <v>#DIV/0!</v>
      </c>
      <c r="D48" s="11">
        <f t="shared" si="1"/>
        <v>-45</v>
      </c>
      <c r="E48" s="807">
        <f t="array" ref="E48">INDEX('Attrition Modeling'!$X$2:$AF$63,MATCH($F48,'Attrition Modeling'!$X$2:$X$63,0),MATCH(Inputs!$C$10,'Attrition Modeling'!$X$2:$AF$2,0))</f>
        <v>0</v>
      </c>
      <c r="F48" s="11">
        <f t="shared" si="2"/>
        <v>45</v>
      </c>
      <c r="G48" s="799">
        <f>Summary!$C$25*$E48</f>
        <v>0</v>
      </c>
      <c r="H48" s="799">
        <f>(G48+H180)*(1-IFERROR(IF(H$2+$F48&lt;=12,SUMIFS('Attrition Modeling'!$D:$D,'Attrition Modeling'!$B:$B,'IP Attrition'!$D48,'Attrition Modeling'!$C:$C,'IP Attrition'!H$1),VLOOKUP($F48+H$2,$A$6:$C$106,2,FALSE)*VLOOKUP(H$1,'Attrition Modeling'!$L$15:$N$27,IF(H$2+$F48&lt;=24,2,3),FALSE)),$C$3)*(1+Projection!J$16)*(1+IF(H180&gt;0,'Attrition Modeling'!$N$9,0)))</f>
        <v>0</v>
      </c>
      <c r="I48" s="799">
        <f>(H48+I180)*(1-IFERROR(IF(I$2+$F48&lt;=12,SUMIFS('Attrition Modeling'!$D:$D,'Attrition Modeling'!$B:$B,'IP Attrition'!$D48,'Attrition Modeling'!$C:$C,'IP Attrition'!I$1),VLOOKUP($F48+I$2,$A$6:$C$106,2,FALSE)*VLOOKUP(I$1,'Attrition Modeling'!$L$15:$N$27,IF(I$2+$F48&lt;=24,2,3),FALSE)),$C$3)*(1+Projection!K$16)*(1+IF(I180&gt;0,'Attrition Modeling'!$N$9,0)))</f>
        <v>0</v>
      </c>
      <c r="J48" s="799">
        <f>(I48+J180)*(1-IFERROR(IF(J$2+$F48&lt;=12,SUMIFS('Attrition Modeling'!$D:$D,'Attrition Modeling'!$B:$B,'IP Attrition'!$D48,'Attrition Modeling'!$C:$C,'IP Attrition'!J$1),VLOOKUP($F48+J$2,$A$6:$C$106,2,FALSE)*VLOOKUP(J$1,'Attrition Modeling'!$L$15:$N$27,IF(J$2+$F48&lt;=24,2,3),FALSE)),$C$3)*(1+Projection!L$16)*(1+IF(J180&gt;0,'Attrition Modeling'!$N$9,0)))</f>
        <v>0</v>
      </c>
      <c r="K48" s="799">
        <f>(J48+K180)*(1-IFERROR(IF(K$2+$F48&lt;=12,SUMIFS('Attrition Modeling'!$D:$D,'Attrition Modeling'!$B:$B,'IP Attrition'!$D48,'Attrition Modeling'!$C:$C,'IP Attrition'!K$1),VLOOKUP($F48+K$2,$A$6:$C$106,2,FALSE)*VLOOKUP(K$1,'Attrition Modeling'!$L$15:$N$27,IF(K$2+$F48&lt;=24,2,3),FALSE)),$C$3)*(1+Projection!M$16)*(1+IF(K180&gt;0,'Attrition Modeling'!$N$9,0)))</f>
        <v>0</v>
      </c>
      <c r="L48" s="799">
        <f>(K48+L180)*(1-IFERROR(IF(L$2+$F48&lt;=12,SUMIFS('Attrition Modeling'!$D:$D,'Attrition Modeling'!$B:$B,'IP Attrition'!$D48,'Attrition Modeling'!$C:$C,'IP Attrition'!L$1),VLOOKUP($F48+L$2,$A$6:$C$106,2,FALSE)*VLOOKUP(L$1,'Attrition Modeling'!$L$15:$N$27,IF(L$2+$F48&lt;=24,2,3),FALSE)),$C$3)*(1+Projection!N$16)*(1+IF(L180&gt;0,'Attrition Modeling'!$N$9,0)))</f>
        <v>0</v>
      </c>
      <c r="M48" s="799">
        <f>(L48+M180)*(1-IFERROR(IF(M$2+$F48&lt;=12,SUMIFS('Attrition Modeling'!$D:$D,'Attrition Modeling'!$B:$B,'IP Attrition'!$D48,'Attrition Modeling'!$C:$C,'IP Attrition'!M$1),VLOOKUP($F48+M$2,$A$6:$C$106,2,FALSE)*VLOOKUP(M$1,'Attrition Modeling'!$L$15:$N$27,IF(M$2+$F48&lt;=24,2,3),FALSE)),$C$3)*(1+Projection!O$16)*(1+IF(M180&gt;0,'Attrition Modeling'!$N$9,0)))</f>
        <v>0</v>
      </c>
      <c r="N48" s="799">
        <f>(M48+N180)*(1-IFERROR(IF(N$2+$F48&lt;=12,SUMIFS('Attrition Modeling'!$D:$D,'Attrition Modeling'!$B:$B,'IP Attrition'!$D48,'Attrition Modeling'!$C:$C,'IP Attrition'!N$1),VLOOKUP($F48+N$2,$A$6:$C$106,2,FALSE)*VLOOKUP(N$1,'Attrition Modeling'!$L$15:$N$27,IF(N$2+$F48&lt;=24,2,3),FALSE)),$C$3)*(1+Projection!P$16)*(1+IF(N180&gt;0,'Attrition Modeling'!$N$9,0)))</f>
        <v>0</v>
      </c>
      <c r="O48" s="799">
        <f>(N48+O180)*(1-IFERROR(IF(O$2+$F48&lt;=12,SUMIFS('Attrition Modeling'!$D:$D,'Attrition Modeling'!$B:$B,'IP Attrition'!$D48,'Attrition Modeling'!$C:$C,'IP Attrition'!O$1),VLOOKUP($F48+O$2,$A$6:$C$106,2,FALSE)*VLOOKUP(O$1,'Attrition Modeling'!$L$15:$N$27,IF(O$2+$F48&lt;=24,2,3),FALSE)),$C$3)*(1+Projection!Q$16)*(1+IF(O180&gt;0,'Attrition Modeling'!$N$9,0)))</f>
        <v>0</v>
      </c>
      <c r="P48" s="799">
        <f>(O48+P180)*(1-IFERROR(IF(P$2+$F48&lt;=12,SUMIFS('Attrition Modeling'!$D:$D,'Attrition Modeling'!$B:$B,'IP Attrition'!$D48,'Attrition Modeling'!$C:$C,'IP Attrition'!P$1),VLOOKUP($F48+P$2,$A$6:$C$106,2,FALSE)*VLOOKUP(P$1,'Attrition Modeling'!$L$15:$N$27,IF(P$2+$F48&lt;=24,2,3),FALSE)),$C$3)*(1+Projection!R$16)*(1+IF(P180&gt;0,'Attrition Modeling'!$N$9,0)))</f>
        <v>0</v>
      </c>
      <c r="Q48" s="799">
        <f>(P48+Q180)*(1-IFERROR(IF(Q$2+$F48&lt;=12,SUMIFS('Attrition Modeling'!$D:$D,'Attrition Modeling'!$B:$B,'IP Attrition'!$D48,'Attrition Modeling'!$C:$C,'IP Attrition'!Q$1),VLOOKUP($F48+Q$2,$A$6:$C$106,2,FALSE)*VLOOKUP(Q$1,'Attrition Modeling'!$L$15:$N$27,IF(Q$2+$F48&lt;=24,2,3),FALSE)),$C$3)*(1+Projection!S$16)*(1+IF(Q180&gt;0,'Attrition Modeling'!$N$9,0)))</f>
        <v>0</v>
      </c>
      <c r="R48" s="799">
        <f>(Q48+R180)*(1-IFERROR(IF(R$2+$F48&lt;=12,SUMIFS('Attrition Modeling'!$D:$D,'Attrition Modeling'!$B:$B,'IP Attrition'!$D48,'Attrition Modeling'!$C:$C,'IP Attrition'!R$1),VLOOKUP($F48+R$2,$A$6:$C$106,2,FALSE)*VLOOKUP(R$1,'Attrition Modeling'!$L$15:$N$27,IF(R$2+$F48&lt;=24,2,3),FALSE)),$C$3)*(1+Projection!T$16)*(1+IF(R180&gt;0,'Attrition Modeling'!$N$9,0)))</f>
        <v>0</v>
      </c>
      <c r="S48" s="799">
        <f>(R48+S180)*(1-IFERROR(IF(S$2+$F48&lt;=12,SUMIFS('Attrition Modeling'!$D:$D,'Attrition Modeling'!$B:$B,'IP Attrition'!$D48,'Attrition Modeling'!$C:$C,'IP Attrition'!S$1),VLOOKUP($F48+S$2,$A$6:$C$106,2,FALSE)*VLOOKUP(S$1,'Attrition Modeling'!$L$15:$N$27,IF(S$2+$F48&lt;=24,2,3),FALSE)),$C$3)*(1+Projection!U$16)*(1+IF(S180&gt;0,'Attrition Modeling'!$N$9,0)))</f>
        <v>0</v>
      </c>
      <c r="T48" s="799">
        <f>(S48+T180)*(1-IFERROR(IF(T$2+$F48&lt;=12,SUMIFS('Attrition Modeling'!$D:$D,'Attrition Modeling'!$B:$B,'IP Attrition'!$D48,'Attrition Modeling'!$C:$C,'IP Attrition'!T$1),VLOOKUP($F48+T$2,$A$6:$C$106,2,FALSE)*VLOOKUP(T$1,'Attrition Modeling'!$L$15:$N$27,IF(T$2+$F48&lt;=24,2,3),FALSE)),$C$3)*(1+Projection!V$16)*(1+IF(T180&gt;0,'Attrition Modeling'!$N$9,0)))</f>
        <v>0</v>
      </c>
      <c r="U48" s="799">
        <f>(T48+U180)*(1-IFERROR(IF(U$2+$F48&lt;=12,SUMIFS('Attrition Modeling'!$D:$D,'Attrition Modeling'!$B:$B,'IP Attrition'!$D48,'Attrition Modeling'!$C:$C,'IP Attrition'!U$1),VLOOKUP($F48+U$2,$A$6:$C$106,2,FALSE)*VLOOKUP(U$1,'Attrition Modeling'!$L$15:$N$27,IF(U$2+$F48&lt;=24,2,3),FALSE)),$C$3)*(1+Projection!W$16)*(1+IF(U180&gt;0,'Attrition Modeling'!$N$9,0)))</f>
        <v>0</v>
      </c>
      <c r="V48" s="799">
        <f>(U48+V180)*(1-IFERROR(IF(V$2+$F48&lt;=12,SUMIFS('Attrition Modeling'!$D:$D,'Attrition Modeling'!$B:$B,'IP Attrition'!$D48,'Attrition Modeling'!$C:$C,'IP Attrition'!V$1),VLOOKUP($F48+V$2,$A$6:$C$106,2,FALSE)*VLOOKUP(V$1,'Attrition Modeling'!$L$15:$N$27,IF(V$2+$F48&lt;=24,2,3),FALSE)),$C$3)*(1+Projection!X$16)*(1+IF(V180&gt;0,'Attrition Modeling'!$N$9,0)))</f>
        <v>0</v>
      </c>
      <c r="W48" s="799">
        <f>(V48+W180)*(1-IFERROR(IF(W$2+$F48&lt;=12,SUMIFS('Attrition Modeling'!$D:$D,'Attrition Modeling'!$B:$B,'IP Attrition'!$D48,'Attrition Modeling'!$C:$C,'IP Attrition'!W$1),VLOOKUP($F48+W$2,$A$6:$C$106,2,FALSE)*VLOOKUP(W$1,'Attrition Modeling'!$L$15:$N$27,IF(W$2+$F48&lt;=24,2,3),FALSE)),$C$3)*(1+Projection!Y$16)*(1+IF(W180&gt;0,'Attrition Modeling'!$N$9,0)))</f>
        <v>0</v>
      </c>
      <c r="X48" s="799">
        <f>(W48+X180)*(1-IFERROR(IF(X$2+$F48&lt;=12,SUMIFS('Attrition Modeling'!$D:$D,'Attrition Modeling'!$B:$B,'IP Attrition'!$D48,'Attrition Modeling'!$C:$C,'IP Attrition'!X$1),VLOOKUP($F48+X$2,$A$6:$C$106,2,FALSE)*VLOOKUP(X$1,'Attrition Modeling'!$L$15:$N$27,IF(X$2+$F48&lt;=24,2,3),FALSE)),$C$3)*(1+Projection!Z$16)*(1+IF(X180&gt;0,'Attrition Modeling'!$N$9,0)))</f>
        <v>0</v>
      </c>
      <c r="Y48" s="799">
        <f>(X48+Y180)*(1-IFERROR(IF(Y$2+$F48&lt;=12,SUMIFS('Attrition Modeling'!$D:$D,'Attrition Modeling'!$B:$B,'IP Attrition'!$D48,'Attrition Modeling'!$C:$C,'IP Attrition'!Y$1),VLOOKUP($F48+Y$2,$A$6:$C$106,2,FALSE)*VLOOKUP(Y$1,'Attrition Modeling'!$L$15:$N$27,IF(Y$2+$F48&lt;=24,2,3),FALSE)),$C$3)*(1+Projection!AA$16)*(1+IF(Y180&gt;0,'Attrition Modeling'!$N$9,0)))</f>
        <v>0</v>
      </c>
      <c r="Z48" s="799">
        <f>(Y48+Z180)*(1-IFERROR(IF(Z$2+$F48&lt;=12,SUMIFS('Attrition Modeling'!$D:$D,'Attrition Modeling'!$B:$B,'IP Attrition'!$D48,'Attrition Modeling'!$C:$C,'IP Attrition'!Z$1),VLOOKUP($F48+Z$2,$A$6:$C$106,2,FALSE)*VLOOKUP(Z$1,'Attrition Modeling'!$L$15:$N$27,IF(Z$2+$F48&lt;=24,2,3),FALSE)),$C$3)*(1+Projection!AB$16)*(1+IF(Z180&gt;0,'Attrition Modeling'!$N$9,0)))</f>
        <v>0</v>
      </c>
      <c r="AA48" s="799">
        <f>(Z48+AA180)*(1-IFERROR(IF(AA$2+$F48&lt;=12,SUMIFS('Attrition Modeling'!$D:$D,'Attrition Modeling'!$B:$B,'IP Attrition'!$D48,'Attrition Modeling'!$C:$C,'IP Attrition'!AA$1),VLOOKUP($F48+AA$2,$A$6:$C$106,2,FALSE)*VLOOKUP(AA$1,'Attrition Modeling'!$L$15:$N$27,IF(AA$2+$F48&lt;=24,2,3),FALSE)),$C$3)*(1+Projection!AC$16)*(1+IF(AA180&gt;0,'Attrition Modeling'!$N$9,0)))</f>
        <v>0</v>
      </c>
      <c r="AB48" s="799">
        <f>(AA48+AB180)*(1-IFERROR(IF(AB$2+$F48&lt;=12,SUMIFS('Attrition Modeling'!$D:$D,'Attrition Modeling'!$B:$B,'IP Attrition'!$D48,'Attrition Modeling'!$C:$C,'IP Attrition'!AB$1),VLOOKUP($F48+AB$2,$A$6:$C$106,2,FALSE)*VLOOKUP(AB$1,'Attrition Modeling'!$L$15:$N$27,IF(AB$2+$F48&lt;=24,2,3),FALSE)),$C$3)*(1+Projection!AD$16)*(1+IF(AB180&gt;0,'Attrition Modeling'!$N$9,0)))</f>
        <v>0</v>
      </c>
      <c r="AC48" s="799">
        <f>(AB48+AC180)*(1-IFERROR(IF(AC$2+$F48&lt;=12,SUMIFS('Attrition Modeling'!$D:$D,'Attrition Modeling'!$B:$B,'IP Attrition'!$D48,'Attrition Modeling'!$C:$C,'IP Attrition'!AC$1),VLOOKUP($F48+AC$2,$A$6:$C$106,2,FALSE)*VLOOKUP(AC$1,'Attrition Modeling'!$L$15:$N$27,IF(AC$2+$F48&lt;=24,2,3),FALSE)),$C$3)*(1+Projection!AE$16)*(1+IF(AC180&gt;0,'Attrition Modeling'!$N$9,0)))</f>
        <v>0</v>
      </c>
      <c r="AD48" s="799">
        <f>(AC48+AD180)*(1-IFERROR(IF(AD$2+$F48&lt;=12,SUMIFS('Attrition Modeling'!$D:$D,'Attrition Modeling'!$B:$B,'IP Attrition'!$D48,'Attrition Modeling'!$C:$C,'IP Attrition'!AD$1),VLOOKUP($F48+AD$2,$A$6:$C$106,2,FALSE)*VLOOKUP(AD$1,'Attrition Modeling'!$L$15:$N$27,IF(AD$2+$F48&lt;=24,2,3),FALSE)),$C$3)*(1+Projection!AF$16)*(1+IF(AD180&gt;0,'Attrition Modeling'!$N$9,0)))</f>
        <v>0</v>
      </c>
      <c r="AE48" s="799">
        <f>(AD48+AE180)*(1-IFERROR(IF(AE$2+$F48&lt;=12,SUMIFS('Attrition Modeling'!$D:$D,'Attrition Modeling'!$B:$B,'IP Attrition'!$D48,'Attrition Modeling'!$C:$C,'IP Attrition'!AE$1),VLOOKUP($F48+AE$2,$A$6:$C$106,2,FALSE)*VLOOKUP(AE$1,'Attrition Modeling'!$L$15:$N$27,IF(AE$2+$F48&lt;=24,2,3),FALSE)),$C$3)*(1+Projection!AG$16)*(1+IF(AE180&gt;0,'Attrition Modeling'!$N$9,0)))</f>
        <v>0</v>
      </c>
      <c r="AF48" s="799">
        <f>(AE48+AF180)*(1-IFERROR(IF(AF$2+$F48&lt;=12,SUMIFS('Attrition Modeling'!$D:$D,'Attrition Modeling'!$B:$B,'IP Attrition'!$D48,'Attrition Modeling'!$C:$C,'IP Attrition'!AF$1),VLOOKUP($F48+AF$2,$A$6:$C$106,2,FALSE)*VLOOKUP(AF$1,'Attrition Modeling'!$L$15:$N$27,IF(AF$2+$F48&lt;=24,2,3),FALSE)),$C$3)*(1+Projection!AH$16)*(1+IF(AF180&gt;0,'Attrition Modeling'!$N$9,0)))</f>
        <v>0</v>
      </c>
      <c r="AG48" s="799">
        <f>(AF48+AG180)*(1-IFERROR(IF(AG$2+$F48&lt;=12,SUMIFS('Attrition Modeling'!$D:$D,'Attrition Modeling'!$B:$B,'IP Attrition'!$D48,'Attrition Modeling'!$C:$C,'IP Attrition'!AG$1),VLOOKUP($F48+AG$2,$A$6:$C$106,2,FALSE)*VLOOKUP(AG$1,'Attrition Modeling'!$L$15:$N$27,IF(AG$2+$F48&lt;=24,2,3),FALSE)),$C$3)*(1+Projection!AI$16)*(1+IF(AG180&gt;0,'Attrition Modeling'!$N$9,0)))</f>
        <v>0</v>
      </c>
      <c r="AH48" s="799">
        <f>(AG48+AH180)*(1-IFERROR(IF(AH$2+$F48&lt;=12,SUMIFS('Attrition Modeling'!$D:$D,'Attrition Modeling'!$B:$B,'IP Attrition'!$D48,'Attrition Modeling'!$C:$C,'IP Attrition'!AH$1),VLOOKUP($F48+AH$2,$A$6:$C$106,2,FALSE)*VLOOKUP(AH$1,'Attrition Modeling'!$L$15:$N$27,IF(AH$2+$F48&lt;=24,2,3),FALSE)),$C$3)*(1+Projection!AJ$16)*(1+IF(AH180&gt;0,'Attrition Modeling'!$N$9,0)))</f>
        <v>0</v>
      </c>
      <c r="AI48" s="799">
        <f>(AH48+AI180)*(1-IFERROR(IF(AI$2+$F48&lt;=12,SUMIFS('Attrition Modeling'!$D:$D,'Attrition Modeling'!$B:$B,'IP Attrition'!$D48,'Attrition Modeling'!$C:$C,'IP Attrition'!AI$1),VLOOKUP($F48+AI$2,$A$6:$C$106,2,FALSE)*VLOOKUP(AI$1,'Attrition Modeling'!$L$15:$N$27,IF(AI$2+$F48&lt;=24,2,3),FALSE)),$C$3)*(1+Projection!AK$16)*(1+IF(AI180&gt;0,'Attrition Modeling'!$N$9,0)))</f>
        <v>0</v>
      </c>
      <c r="AJ48" s="799">
        <f>(AI48+AJ180)*(1-IFERROR(IF(AJ$2+$F48&lt;=12,SUMIFS('Attrition Modeling'!$D:$D,'Attrition Modeling'!$B:$B,'IP Attrition'!$D48,'Attrition Modeling'!$C:$C,'IP Attrition'!AJ$1),VLOOKUP($F48+AJ$2,$A$6:$C$106,2,FALSE)*VLOOKUP(AJ$1,'Attrition Modeling'!$L$15:$N$27,IF(AJ$2+$F48&lt;=24,2,3),FALSE)),$C$3)*(1+Projection!AL$16)*(1+IF(AJ180&gt;0,'Attrition Modeling'!$N$9,0)))</f>
        <v>0</v>
      </c>
      <c r="AK48" s="799">
        <f>(AJ48+AK180)*(1-IFERROR(IF(AK$2+$F48&lt;=12,SUMIFS('Attrition Modeling'!$D:$D,'Attrition Modeling'!$B:$B,'IP Attrition'!$D48,'Attrition Modeling'!$C:$C,'IP Attrition'!AK$1),VLOOKUP($F48+AK$2,$A$6:$C$106,2,FALSE)*VLOOKUP(AK$1,'Attrition Modeling'!$L$15:$N$27,IF(AK$2+$F48&lt;=24,2,3),FALSE)),$C$3)*(1+Projection!AM$16)*(1+IF(AK180&gt;0,'Attrition Modeling'!$N$9,0)))</f>
        <v>0</v>
      </c>
      <c r="AL48" s="799">
        <f>(AK48+AL180)*(1-IFERROR(IF(AL$2+$F48&lt;=12,SUMIFS('Attrition Modeling'!$D:$D,'Attrition Modeling'!$B:$B,'IP Attrition'!$D48,'Attrition Modeling'!$C:$C,'IP Attrition'!AL$1),VLOOKUP($F48+AL$2,$A$6:$C$106,2,FALSE)*VLOOKUP(AL$1,'Attrition Modeling'!$L$15:$N$27,IF(AL$2+$F48&lt;=24,2,3),FALSE)),$C$3)*(1+Projection!AN$16)*(1+IF(AL180&gt;0,'Attrition Modeling'!$N$9,0)))</f>
        <v>0</v>
      </c>
      <c r="AM48" s="799">
        <f>(AL48+AM180)*(1-IFERROR(IF(AM$2+$F48&lt;=12,SUMIFS('Attrition Modeling'!$D:$D,'Attrition Modeling'!$B:$B,'IP Attrition'!$D48,'Attrition Modeling'!$C:$C,'IP Attrition'!AM$1),VLOOKUP($F48+AM$2,$A$6:$C$106,2,FALSE)*VLOOKUP(AM$1,'Attrition Modeling'!$L$15:$N$27,IF(AM$2+$F48&lt;=24,2,3),FALSE)),$C$3)*(1+Projection!AO$16)*(1+IF(AM180&gt;0,'Attrition Modeling'!$N$9,0)))</f>
        <v>0</v>
      </c>
      <c r="AN48" s="799">
        <f>(AM48+AN180)*(1-IFERROR(IF(AN$2+$F48&lt;=12,SUMIFS('Attrition Modeling'!$D:$D,'Attrition Modeling'!$B:$B,'IP Attrition'!$D48,'Attrition Modeling'!$C:$C,'IP Attrition'!AN$1),VLOOKUP($F48+AN$2,$A$6:$C$106,2,FALSE)*VLOOKUP(AN$1,'Attrition Modeling'!$L$15:$N$27,IF(AN$2+$F48&lt;=24,2,3),FALSE)),$C$3)*(1+Projection!AP$16)*(1+IF(AN180&gt;0,'Attrition Modeling'!$N$9,0)))</f>
        <v>0</v>
      </c>
      <c r="AO48" s="799">
        <f>(AN48+AO180)*(1-IFERROR(IF(AO$2+$F48&lt;=12,SUMIFS('Attrition Modeling'!$D:$D,'Attrition Modeling'!$B:$B,'IP Attrition'!$D48,'Attrition Modeling'!$C:$C,'IP Attrition'!AO$1),VLOOKUP($F48+AO$2,$A$6:$C$106,2,FALSE)*VLOOKUP(AO$1,'Attrition Modeling'!$L$15:$N$27,IF(AO$2+$F48&lt;=24,2,3),FALSE)),$C$3)*(1+Projection!AQ$16)*(1+IF(AO180&gt;0,'Attrition Modeling'!$N$9,0)))</f>
        <v>0</v>
      </c>
      <c r="AP48" s="799">
        <f>(AO48+AP180)*(1-IFERROR(IF(AP$2+$F48&lt;=12,SUMIFS('Attrition Modeling'!$D:$D,'Attrition Modeling'!$B:$B,'IP Attrition'!$D48,'Attrition Modeling'!$C:$C,'IP Attrition'!AP$1),VLOOKUP($F48+AP$2,$A$6:$C$106,2,FALSE)*VLOOKUP(AP$1,'Attrition Modeling'!$L$15:$N$27,IF(AP$2+$F48&lt;=24,2,3),FALSE)),$C$3)*(1+Projection!AR$16)*(1+IF(AP180&gt;0,'Attrition Modeling'!$N$9,0)))</f>
        <v>0</v>
      </c>
      <c r="AQ48" s="799">
        <f>(AP48+AQ180)*(1-IFERROR(IF(AQ$2+$F48&lt;=12,SUMIFS('Attrition Modeling'!$D:$D,'Attrition Modeling'!$B:$B,'IP Attrition'!$D48,'Attrition Modeling'!$C:$C,'IP Attrition'!AQ$1),VLOOKUP($F48+AQ$2,$A$6:$C$106,2,FALSE)*VLOOKUP(AQ$1,'Attrition Modeling'!$L$15:$N$27,IF(AQ$2+$F48&lt;=24,2,3),FALSE)),$C$3)*(1+Projection!AS$16)*(1+IF(AQ180&gt;0,'Attrition Modeling'!$N$9,0)))</f>
        <v>0</v>
      </c>
      <c r="AR48" s="799">
        <f>(AQ48+AR180)*(1-IFERROR(IF(AR$2+$F48&lt;=12,SUMIFS('Attrition Modeling'!$D:$D,'Attrition Modeling'!$B:$B,'IP Attrition'!$D48,'Attrition Modeling'!$C:$C,'IP Attrition'!AR$1),VLOOKUP($F48+AR$2,$A$6:$C$106,2,FALSE)*VLOOKUP(AR$1,'Attrition Modeling'!$L$15:$N$27,IF(AR$2+$F48&lt;=24,2,3),FALSE)),$C$3)*(1+Projection!AT$16)*(1+IF(AR180&gt;0,'Attrition Modeling'!$N$9,0)))</f>
        <v>0</v>
      </c>
      <c r="AS48" s="799">
        <f>(AR48+AS180)*(1-IFERROR(IF(AS$2+$F48&lt;=12,SUMIFS('Attrition Modeling'!$D:$D,'Attrition Modeling'!$B:$B,'IP Attrition'!$D48,'Attrition Modeling'!$C:$C,'IP Attrition'!AS$1),VLOOKUP($F48+AS$2,$A$6:$C$106,2,FALSE)*VLOOKUP(AS$1,'Attrition Modeling'!$L$15:$N$27,IF(AS$2+$F48&lt;=24,2,3),FALSE)),$C$3)*(1+Projection!AU$16)*(1+IF(AS180&gt;0,'Attrition Modeling'!$N$9,0)))</f>
        <v>0</v>
      </c>
      <c r="AT48" s="799">
        <f>(AS48+AT180)*(1-IFERROR(IF(AT$2+$F48&lt;=12,SUMIFS('Attrition Modeling'!$D:$D,'Attrition Modeling'!$B:$B,'IP Attrition'!$D48,'Attrition Modeling'!$C:$C,'IP Attrition'!AT$1),VLOOKUP($F48+AT$2,$A$6:$C$106,2,FALSE)*VLOOKUP(AT$1,'Attrition Modeling'!$L$15:$N$27,IF(AT$2+$F48&lt;=24,2,3),FALSE)),$C$3)*(1+Projection!AV$16)*(1+IF(AT180&gt;0,'Attrition Modeling'!$N$9,0)))</f>
        <v>0</v>
      </c>
      <c r="AU48" s="799">
        <f>(AT48+AU180)*(1-IFERROR(IF(AU$2+$F48&lt;=12,SUMIFS('Attrition Modeling'!$D:$D,'Attrition Modeling'!$B:$B,'IP Attrition'!$D48,'Attrition Modeling'!$C:$C,'IP Attrition'!AU$1),VLOOKUP($F48+AU$2,$A$6:$C$106,2,FALSE)*VLOOKUP(AU$1,'Attrition Modeling'!$L$15:$N$27,IF(AU$2+$F48&lt;=24,2,3),FALSE)),$C$3)*(1+Projection!AW$16)*(1+IF(AU180&gt;0,'Attrition Modeling'!$N$9,0)))</f>
        <v>0</v>
      </c>
      <c r="AV48" s="799">
        <f>(AU48+AV180)*(1-IFERROR(IF(AV$2+$F48&lt;=12,SUMIFS('Attrition Modeling'!$D:$D,'Attrition Modeling'!$B:$B,'IP Attrition'!$D48,'Attrition Modeling'!$C:$C,'IP Attrition'!AV$1),VLOOKUP($F48+AV$2,$A$6:$C$106,2,FALSE)*VLOOKUP(AV$1,'Attrition Modeling'!$L$15:$N$27,IF(AV$2+$F48&lt;=24,2,3),FALSE)),$C$3)*(1+Projection!AX$16)*(1+IF(AV180&gt;0,'Attrition Modeling'!$N$9,0)))</f>
        <v>0</v>
      </c>
      <c r="AW48" s="799">
        <f>(AV48+AW180)*(1-IFERROR(IF(AW$2+$F48&lt;=12,SUMIFS('Attrition Modeling'!$D:$D,'Attrition Modeling'!$B:$B,'IP Attrition'!$D48,'Attrition Modeling'!$C:$C,'IP Attrition'!AW$1),VLOOKUP($F48+AW$2,$A$6:$C$106,2,FALSE)*VLOOKUP(AW$1,'Attrition Modeling'!$L$15:$N$27,IF(AW$2+$F48&lt;=24,2,3),FALSE)),$C$3)*(1+Projection!AY$16)*(1+IF(AW180&gt;0,'Attrition Modeling'!$N$9,0)))</f>
        <v>0</v>
      </c>
      <c r="AX48" s="799">
        <f>(AW48+AX180)*(1-IFERROR(IF(AX$2+$F48&lt;=12,SUMIFS('Attrition Modeling'!$D:$D,'Attrition Modeling'!$B:$B,'IP Attrition'!$D48,'Attrition Modeling'!$C:$C,'IP Attrition'!AX$1),VLOOKUP($F48+AX$2,$A$6:$C$106,2,FALSE)*VLOOKUP(AX$1,'Attrition Modeling'!$L$15:$N$27,IF(AX$2+$F48&lt;=24,2,3),FALSE)),$C$3)*(1+Projection!AZ$16)*(1+IF(AX180&gt;0,'Attrition Modeling'!$N$9,0)))</f>
        <v>0</v>
      </c>
      <c r="AY48" s="799">
        <f>(AX48+AY180)*(1-IFERROR(IF(AY$2+$F48&lt;=12,SUMIFS('Attrition Modeling'!$D:$D,'Attrition Modeling'!$B:$B,'IP Attrition'!$D48,'Attrition Modeling'!$C:$C,'IP Attrition'!AY$1),VLOOKUP($F48+AY$2,$A$6:$C$106,2,FALSE)*VLOOKUP(AY$1,'Attrition Modeling'!$L$15:$N$27,IF(AY$2+$F48&lt;=24,2,3),FALSE)),$C$3)*(1+Projection!BA$16)*(1+IF(AY180&gt;0,'Attrition Modeling'!$N$9,0)))</f>
        <v>0</v>
      </c>
      <c r="AZ48" s="799">
        <f>(AY48+AZ180)*(1-IFERROR(IF(AZ$2+$F48&lt;=12,SUMIFS('Attrition Modeling'!$D:$D,'Attrition Modeling'!$B:$B,'IP Attrition'!$D48,'Attrition Modeling'!$C:$C,'IP Attrition'!AZ$1),VLOOKUP($F48+AZ$2,$A$6:$C$106,2,FALSE)*VLOOKUP(AZ$1,'Attrition Modeling'!$L$15:$N$27,IF(AZ$2+$F48&lt;=24,2,3),FALSE)),$C$3)*(1+Projection!BB$16)*(1+IF(AZ180&gt;0,'Attrition Modeling'!$N$9,0)))</f>
        <v>0</v>
      </c>
      <c r="BA48" s="799">
        <f>(AZ48+BA180)*(1-IFERROR(IF(BA$2+$F48&lt;=12,SUMIFS('Attrition Modeling'!$D:$D,'Attrition Modeling'!$B:$B,'IP Attrition'!$D48,'Attrition Modeling'!$C:$C,'IP Attrition'!BA$1),VLOOKUP($F48+BA$2,$A$6:$C$106,2,FALSE)*VLOOKUP(BA$1,'Attrition Modeling'!$L$15:$N$27,IF(BA$2+$F48&lt;=24,2,3),FALSE)),$C$3)*(1+Projection!BC$16)*(1+IF(BA180&gt;0,'Attrition Modeling'!$N$9,0)))</f>
        <v>0</v>
      </c>
      <c r="BB48" s="799">
        <f>(BA48+BB180)*(1-IFERROR(IF(BB$2+$F48&lt;=12,SUMIFS('Attrition Modeling'!$D:$D,'Attrition Modeling'!$B:$B,'IP Attrition'!$D48,'Attrition Modeling'!$C:$C,'IP Attrition'!BB$1),VLOOKUP($F48+BB$2,$A$6:$C$106,2,FALSE)*VLOOKUP(BB$1,'Attrition Modeling'!$L$15:$N$27,IF(BB$2+$F48&lt;=24,2,3),FALSE)),$C$3)*(1+Projection!BD$16)*(1+IF(BB180&gt;0,'Attrition Modeling'!$N$9,0)))</f>
        <v>0</v>
      </c>
      <c r="BC48" s="799">
        <f>(BB48+BC180)*(1-IFERROR(IF(BC$2+$F48&lt;=12,SUMIFS('Attrition Modeling'!$D:$D,'Attrition Modeling'!$B:$B,'IP Attrition'!$D48,'Attrition Modeling'!$C:$C,'IP Attrition'!BC$1),VLOOKUP($F48+BC$2,$A$6:$C$106,2,FALSE)*VLOOKUP(BC$1,'Attrition Modeling'!$L$15:$N$27,IF(BC$2+$F48&lt;=24,2,3),FALSE)),$C$3)*(1+Projection!BE$16)*(1+IF(BC180&gt;0,'Attrition Modeling'!$N$9,0)))</f>
        <v>0</v>
      </c>
      <c r="BD48" s="799">
        <f>(BC48+BD180)*(1-IFERROR(IF(BD$2+$F48&lt;=12,SUMIFS('Attrition Modeling'!$D:$D,'Attrition Modeling'!$B:$B,'IP Attrition'!$D48,'Attrition Modeling'!$C:$C,'IP Attrition'!BD$1),VLOOKUP($F48+BD$2,$A$6:$C$106,2,FALSE)*VLOOKUP(BD$1,'Attrition Modeling'!$L$15:$N$27,IF(BD$2+$F48&lt;=24,2,3),FALSE)),$C$3)*(1+Projection!BF$16)*(1+IF(BD180&gt;0,'Attrition Modeling'!$N$9,0)))</f>
        <v>0</v>
      </c>
      <c r="BE48" s="799">
        <f>(BD48+BE180)*(1-IFERROR(IF(BE$2+$F48&lt;=12,SUMIFS('Attrition Modeling'!$D:$D,'Attrition Modeling'!$B:$B,'IP Attrition'!$D48,'Attrition Modeling'!$C:$C,'IP Attrition'!BE$1),VLOOKUP($F48+BE$2,$A$6:$C$106,2,FALSE)*VLOOKUP(BE$1,'Attrition Modeling'!$L$15:$N$27,IF(BE$2+$F48&lt;=24,2,3),FALSE)),$C$3)*(1+Projection!BG$16)*(1+IF(BE180&gt;0,'Attrition Modeling'!$N$9,0)))</f>
        <v>0</v>
      </c>
      <c r="BF48" s="799">
        <f>(BE48+BF180)*(1-IFERROR(IF(BF$2+$F48&lt;=12,SUMIFS('Attrition Modeling'!$D:$D,'Attrition Modeling'!$B:$B,'IP Attrition'!$D48,'Attrition Modeling'!$C:$C,'IP Attrition'!BF$1),VLOOKUP($F48+BF$2,$A$6:$C$106,2,FALSE)*VLOOKUP(BF$1,'Attrition Modeling'!$L$15:$N$27,IF(BF$2+$F48&lt;=24,2,3),FALSE)),$C$3)*(1+Projection!BH$16)*(1+IF(BF180&gt;0,'Attrition Modeling'!$N$9,0)))</f>
        <v>0</v>
      </c>
      <c r="BG48" s="799">
        <f>(BF48+BG180)*(1-IFERROR(IF(BG$2+$F48&lt;=12,SUMIFS('Attrition Modeling'!$D:$D,'Attrition Modeling'!$B:$B,'IP Attrition'!$D48,'Attrition Modeling'!$C:$C,'IP Attrition'!BG$1),VLOOKUP($F48+BG$2,$A$6:$C$106,2,FALSE)*VLOOKUP(BG$1,'Attrition Modeling'!$L$15:$N$27,IF(BG$2+$F48&lt;=24,2,3),FALSE)),$C$3)*(1+Projection!BI$16)*(1+IF(BG180&gt;0,'Attrition Modeling'!$N$9,0)))</f>
        <v>0</v>
      </c>
      <c r="BH48" s="799">
        <f>(BG48+BH180)*(1-IFERROR(IF(BH$2+$F48&lt;=12,SUMIFS('Attrition Modeling'!$D:$D,'Attrition Modeling'!$B:$B,'IP Attrition'!$D48,'Attrition Modeling'!$C:$C,'IP Attrition'!BH$1),VLOOKUP($F48+BH$2,$A$6:$C$106,2,FALSE)*VLOOKUP(BH$1,'Attrition Modeling'!$L$15:$N$27,IF(BH$2+$F48&lt;=24,2,3),FALSE)),$C$3)*(1+Projection!BJ$16)*(1+IF(BH180&gt;0,'Attrition Modeling'!$N$9,0)))</f>
        <v>0</v>
      </c>
      <c r="BI48" s="799">
        <f>(BH48+BI180)*(1-IFERROR(IF(BI$2+$F48&lt;=12,SUMIFS('Attrition Modeling'!$D:$D,'Attrition Modeling'!$B:$B,'IP Attrition'!$D48,'Attrition Modeling'!$C:$C,'IP Attrition'!BI$1),VLOOKUP($F48+BI$2,$A$6:$C$106,2,FALSE)*VLOOKUP(BI$1,'Attrition Modeling'!$L$15:$N$27,IF(BI$2+$F48&lt;=24,2,3),FALSE)),$C$3)*(1+Projection!BK$16)*(1+IF(BI180&gt;0,'Attrition Modeling'!$N$9,0)))</f>
        <v>0</v>
      </c>
      <c r="BJ48" s="799">
        <f>(BI48+BJ180)*(1-IFERROR(IF(BJ$2+$F48&lt;=12,SUMIFS('Attrition Modeling'!$D:$D,'Attrition Modeling'!$B:$B,'IP Attrition'!$D48,'Attrition Modeling'!$C:$C,'IP Attrition'!BJ$1),VLOOKUP($F48+BJ$2,$A$6:$C$106,2,FALSE)*VLOOKUP(BJ$1,'Attrition Modeling'!$L$15:$N$27,IF(BJ$2+$F48&lt;=24,2,3),FALSE)),$C$3)*(1+Projection!BL$16)*(1+IF(BJ180&gt;0,'Attrition Modeling'!$N$9,0)))</f>
        <v>0</v>
      </c>
      <c r="BK48" s="799">
        <f>(BJ48+BK180)*(1-IFERROR(IF(BK$2+$F48&lt;=12,SUMIFS('Attrition Modeling'!$D:$D,'Attrition Modeling'!$B:$B,'IP Attrition'!$D48,'Attrition Modeling'!$C:$C,'IP Attrition'!BK$1),VLOOKUP($F48+BK$2,$A$6:$C$106,2,FALSE)*VLOOKUP(BK$1,'Attrition Modeling'!$L$15:$N$27,IF(BK$2+$F48&lt;=24,2,3),FALSE)),$C$3)*(1+Projection!BM$16)*(1+IF(BK180&gt;0,'Attrition Modeling'!$N$9,0)))</f>
        <v>0</v>
      </c>
      <c r="BL48" s="799">
        <f>(BK48+BL180)*(1-IFERROR(IF(BL$2+$F48&lt;=12,SUMIFS('Attrition Modeling'!$D:$D,'Attrition Modeling'!$B:$B,'IP Attrition'!$D48,'Attrition Modeling'!$C:$C,'IP Attrition'!BL$1),VLOOKUP($F48+BL$2,$A$6:$C$106,2,FALSE)*VLOOKUP(BL$1,'Attrition Modeling'!$L$15:$N$27,IF(BL$2+$F48&lt;=24,2,3),FALSE)),$C$3)*(1+Projection!BN$16)*(1+IF(BL180&gt;0,'Attrition Modeling'!$N$9,0)))</f>
        <v>0</v>
      </c>
      <c r="BM48" s="799">
        <f>(BL48+BM180)*(1-IFERROR(IF(BM$2+$F48&lt;=12,SUMIFS('Attrition Modeling'!$D:$D,'Attrition Modeling'!$B:$B,'IP Attrition'!$D48,'Attrition Modeling'!$C:$C,'IP Attrition'!BM$1),VLOOKUP($F48+BM$2,$A$6:$C$106,2,FALSE)*VLOOKUP(BM$1,'Attrition Modeling'!$L$15:$N$27,IF(BM$2+$F48&lt;=24,2,3),FALSE)),$C$3)*(1+Projection!BO$16)*(1+IF(BM180&gt;0,'Attrition Modeling'!$N$9,0)))</f>
        <v>0</v>
      </c>
      <c r="BN48" s="799">
        <f>(BM48+BN180)*(1-IFERROR(IF(BN$2+$F48&lt;=12,SUMIFS('Attrition Modeling'!$D:$D,'Attrition Modeling'!$B:$B,'IP Attrition'!$D48,'Attrition Modeling'!$C:$C,'IP Attrition'!BN$1),VLOOKUP($F48+BN$2,$A$6:$C$106,2,FALSE)*VLOOKUP(BN$1,'Attrition Modeling'!$L$15:$N$27,IF(BN$2+$F48&lt;=24,2,3),FALSE)),$C$3)*(1+Projection!BP$16)*(1+IF(BN180&gt;0,'Attrition Modeling'!$N$9,0)))</f>
        <v>0</v>
      </c>
      <c r="BO48" s="799">
        <f>(BN48+BO180)*(1-IFERROR(IF(BO$2+$F48&lt;=12,SUMIFS('Attrition Modeling'!$D:$D,'Attrition Modeling'!$B:$B,'IP Attrition'!$D48,'Attrition Modeling'!$C:$C,'IP Attrition'!BO$1),VLOOKUP($F48+BO$2,$A$6:$C$106,2,FALSE)*VLOOKUP(BO$1,'Attrition Modeling'!$L$15:$N$27,IF(BO$2+$F48&lt;=24,2,3),FALSE)),$C$3)*(1+Projection!BV$16)*(1+IF(BO180&gt;0,'Attrition Modeling'!$N$9,0)))</f>
        <v>0</v>
      </c>
      <c r="BP48" s="799">
        <f>(BO48+BP180)*(1-IFERROR(IF(BP$2+$F48&lt;=12,SUMIFS('Attrition Modeling'!$D:$D,'Attrition Modeling'!$B:$B,'IP Attrition'!$D48,'Attrition Modeling'!$C:$C,'IP Attrition'!BP$1),VLOOKUP($F48+BP$2,$A$6:$C$106,2,FALSE)*VLOOKUP(BP$1,'Attrition Modeling'!$L$15:$N$27,IF(BP$2+$F48&lt;=24,2,3),FALSE)),$C$3)*(1+Projection!BW$16)*(1+IF(BP180&gt;0,'Attrition Modeling'!$N$9,0)))</f>
        <v>0</v>
      </c>
      <c r="BQ48" s="799">
        <f>(BP48+BQ180)*(1-IFERROR(IF(BQ$2+$F48&lt;=12,SUMIFS('Attrition Modeling'!$D:$D,'Attrition Modeling'!$B:$B,'IP Attrition'!$D48,'Attrition Modeling'!$C:$C,'IP Attrition'!BQ$1),VLOOKUP($F48+BQ$2,$A$6:$C$106,2,FALSE)*VLOOKUP(BQ$1,'Attrition Modeling'!$L$15:$N$27,IF(BQ$2+$F48&lt;=24,2,3),FALSE)),$C$3)*(1+Projection!BX$16)*(1+IF(BQ180&gt;0,'Attrition Modeling'!$N$9,0)))</f>
        <v>0</v>
      </c>
      <c r="BR48" s="799">
        <f>(BQ48+BR180)*(1-IFERROR(IF(BR$2+$F48&lt;=12,SUMIFS('Attrition Modeling'!$D:$D,'Attrition Modeling'!$B:$B,'IP Attrition'!$D48,'Attrition Modeling'!$C:$C,'IP Attrition'!BR$1),VLOOKUP($F48+BR$2,$A$6:$C$106,2,FALSE)*VLOOKUP(BR$1,'Attrition Modeling'!$L$15:$N$27,IF(BR$2+$F48&lt;=24,2,3),FALSE)),$C$3)*(1+Projection!BY$16)*(1+IF(BR180&gt;0,'Attrition Modeling'!$N$9,0)))</f>
        <v>0</v>
      </c>
      <c r="BS48" s="799">
        <f>(BR48+BS180)*(1-IFERROR(IF(BS$2+$F48&lt;=12,SUMIFS('Attrition Modeling'!$D:$D,'Attrition Modeling'!$B:$B,'IP Attrition'!$D48,'Attrition Modeling'!$C:$C,'IP Attrition'!BS$1),VLOOKUP($F48+BS$2,$A$6:$C$106,2,FALSE)*VLOOKUP(BS$1,'Attrition Modeling'!$L$15:$N$27,IF(BS$2+$F48&lt;=24,2,3),FALSE)),$C$3)*(1+Projection!BZ$16)*(1+IF(BS180&gt;0,'Attrition Modeling'!$N$9,0)))</f>
        <v>0</v>
      </c>
      <c r="BT48" s="799" t="e">
        <f>(BS48+BT180)*(1-IFERROR(IF(BT$2+$F48&lt;=12,SUMIFS('Attrition Modeling'!$D:$D,'Attrition Modeling'!$B:$B,'IP Attrition'!$D48,'Attrition Modeling'!$C:$C,'IP Attrition'!BT$1),VLOOKUP($F48+BT$2,$A$6:$C$106,2,FALSE)*VLOOKUP(BT$1,'Attrition Modeling'!$L$15:$N$27,IF(BT$2+$F48&lt;=24,2,3),FALSE)),$C$3)*(1+Projection!CA$16)*(1+IF(BT180&gt;0,'Attrition Modeling'!$N$9,0)))</f>
        <v>#REF!</v>
      </c>
      <c r="BU48" s="799" t="e">
        <f>(BT48+BU180)*(1-IFERROR(IF(BU$2+$F48&lt;=12,SUMIFS('Attrition Modeling'!$D:$D,'Attrition Modeling'!$B:$B,'IP Attrition'!$D48,'Attrition Modeling'!$C:$C,'IP Attrition'!BU$1),VLOOKUP($F48+BU$2,$A$6:$C$106,2,FALSE)*VLOOKUP(BU$1,'Attrition Modeling'!$L$15:$N$27,IF(BU$2+$F48&lt;=24,2,3),FALSE)),$C$3)*(1+Projection!CB$16)*(1+IF(BU180&gt;0,'Attrition Modeling'!$N$9,0)))</f>
        <v>#REF!</v>
      </c>
    </row>
    <row r="49" spans="1:73" ht="14.25" customHeight="1" x14ac:dyDescent="0.2">
      <c r="A49" s="9">
        <v>42</v>
      </c>
      <c r="B49" s="25">
        <f>MAX('Attrition Modeling'!H46,$C$3)*(1-Summary!$C$20)</f>
        <v>2.7827561672518826E-2</v>
      </c>
      <c r="C49" s="24" t="e">
        <f t="shared" si="3"/>
        <v>#DIV/0!</v>
      </c>
      <c r="D49" s="11">
        <f t="shared" si="1"/>
        <v>-46</v>
      </c>
      <c r="E49" s="807">
        <f t="array" ref="E49">INDEX('Attrition Modeling'!$X$2:$AF$63,MATCH($F49,'Attrition Modeling'!$X$2:$X$63,0),MATCH(Inputs!$C$10,'Attrition Modeling'!$X$2:$AF$2,0))</f>
        <v>0</v>
      </c>
      <c r="F49" s="11">
        <f t="shared" si="2"/>
        <v>46</v>
      </c>
      <c r="G49" s="799">
        <f>Summary!$C$25*$E49</f>
        <v>0</v>
      </c>
      <c r="H49" s="799">
        <f>(G49+H181)*(1-IFERROR(IF(H$2+$F49&lt;=12,SUMIFS('Attrition Modeling'!$D:$D,'Attrition Modeling'!$B:$B,'IP Attrition'!$D49,'Attrition Modeling'!$C:$C,'IP Attrition'!H$1),VLOOKUP($F49+H$2,$A$6:$C$106,2,FALSE)*VLOOKUP(H$1,'Attrition Modeling'!$L$15:$N$27,IF(H$2+$F49&lt;=24,2,3),FALSE)),$C$3)*(1+Projection!J$16)*(1+IF(H181&gt;0,'Attrition Modeling'!$N$9,0)))</f>
        <v>0</v>
      </c>
      <c r="I49" s="799">
        <f>(H49+I181)*(1-IFERROR(IF(I$2+$F49&lt;=12,SUMIFS('Attrition Modeling'!$D:$D,'Attrition Modeling'!$B:$B,'IP Attrition'!$D49,'Attrition Modeling'!$C:$C,'IP Attrition'!I$1),VLOOKUP($F49+I$2,$A$6:$C$106,2,FALSE)*VLOOKUP(I$1,'Attrition Modeling'!$L$15:$N$27,IF(I$2+$F49&lt;=24,2,3),FALSE)),$C$3)*(1+Projection!K$16)*(1+IF(I181&gt;0,'Attrition Modeling'!$N$9,0)))</f>
        <v>0</v>
      </c>
      <c r="J49" s="799">
        <f>(I49+J181)*(1-IFERROR(IF(J$2+$F49&lt;=12,SUMIFS('Attrition Modeling'!$D:$D,'Attrition Modeling'!$B:$B,'IP Attrition'!$D49,'Attrition Modeling'!$C:$C,'IP Attrition'!J$1),VLOOKUP($F49+J$2,$A$6:$C$106,2,FALSE)*VLOOKUP(J$1,'Attrition Modeling'!$L$15:$N$27,IF(J$2+$F49&lt;=24,2,3),FALSE)),$C$3)*(1+Projection!L$16)*(1+IF(J181&gt;0,'Attrition Modeling'!$N$9,0)))</f>
        <v>0</v>
      </c>
      <c r="K49" s="799">
        <f>(J49+K181)*(1-IFERROR(IF(K$2+$F49&lt;=12,SUMIFS('Attrition Modeling'!$D:$D,'Attrition Modeling'!$B:$B,'IP Attrition'!$D49,'Attrition Modeling'!$C:$C,'IP Attrition'!K$1),VLOOKUP($F49+K$2,$A$6:$C$106,2,FALSE)*VLOOKUP(K$1,'Attrition Modeling'!$L$15:$N$27,IF(K$2+$F49&lt;=24,2,3),FALSE)),$C$3)*(1+Projection!M$16)*(1+IF(K181&gt;0,'Attrition Modeling'!$N$9,0)))</f>
        <v>0</v>
      </c>
      <c r="L49" s="799">
        <f>(K49+L181)*(1-IFERROR(IF(L$2+$F49&lt;=12,SUMIFS('Attrition Modeling'!$D:$D,'Attrition Modeling'!$B:$B,'IP Attrition'!$D49,'Attrition Modeling'!$C:$C,'IP Attrition'!L$1),VLOOKUP($F49+L$2,$A$6:$C$106,2,FALSE)*VLOOKUP(L$1,'Attrition Modeling'!$L$15:$N$27,IF(L$2+$F49&lt;=24,2,3),FALSE)),$C$3)*(1+Projection!N$16)*(1+IF(L181&gt;0,'Attrition Modeling'!$N$9,0)))</f>
        <v>0</v>
      </c>
      <c r="M49" s="799">
        <f>(L49+M181)*(1-IFERROR(IF(M$2+$F49&lt;=12,SUMIFS('Attrition Modeling'!$D:$D,'Attrition Modeling'!$B:$B,'IP Attrition'!$D49,'Attrition Modeling'!$C:$C,'IP Attrition'!M$1),VLOOKUP($F49+M$2,$A$6:$C$106,2,FALSE)*VLOOKUP(M$1,'Attrition Modeling'!$L$15:$N$27,IF(M$2+$F49&lt;=24,2,3),FALSE)),$C$3)*(1+Projection!O$16)*(1+IF(M181&gt;0,'Attrition Modeling'!$N$9,0)))</f>
        <v>0</v>
      </c>
      <c r="N49" s="799">
        <f>(M49+N181)*(1-IFERROR(IF(N$2+$F49&lt;=12,SUMIFS('Attrition Modeling'!$D:$D,'Attrition Modeling'!$B:$B,'IP Attrition'!$D49,'Attrition Modeling'!$C:$C,'IP Attrition'!N$1),VLOOKUP($F49+N$2,$A$6:$C$106,2,FALSE)*VLOOKUP(N$1,'Attrition Modeling'!$L$15:$N$27,IF(N$2+$F49&lt;=24,2,3),FALSE)),$C$3)*(1+Projection!P$16)*(1+IF(N181&gt;0,'Attrition Modeling'!$N$9,0)))</f>
        <v>0</v>
      </c>
      <c r="O49" s="799">
        <f>(N49+O181)*(1-IFERROR(IF(O$2+$F49&lt;=12,SUMIFS('Attrition Modeling'!$D:$D,'Attrition Modeling'!$B:$B,'IP Attrition'!$D49,'Attrition Modeling'!$C:$C,'IP Attrition'!O$1),VLOOKUP($F49+O$2,$A$6:$C$106,2,FALSE)*VLOOKUP(O$1,'Attrition Modeling'!$L$15:$N$27,IF(O$2+$F49&lt;=24,2,3),FALSE)),$C$3)*(1+Projection!Q$16)*(1+IF(O181&gt;0,'Attrition Modeling'!$N$9,0)))</f>
        <v>0</v>
      </c>
      <c r="P49" s="799">
        <f>(O49+P181)*(1-IFERROR(IF(P$2+$F49&lt;=12,SUMIFS('Attrition Modeling'!$D:$D,'Attrition Modeling'!$B:$B,'IP Attrition'!$D49,'Attrition Modeling'!$C:$C,'IP Attrition'!P$1),VLOOKUP($F49+P$2,$A$6:$C$106,2,FALSE)*VLOOKUP(P$1,'Attrition Modeling'!$L$15:$N$27,IF(P$2+$F49&lt;=24,2,3),FALSE)),$C$3)*(1+Projection!R$16)*(1+IF(P181&gt;0,'Attrition Modeling'!$N$9,0)))</f>
        <v>0</v>
      </c>
      <c r="Q49" s="799">
        <f>(P49+Q181)*(1-IFERROR(IF(Q$2+$F49&lt;=12,SUMIFS('Attrition Modeling'!$D:$D,'Attrition Modeling'!$B:$B,'IP Attrition'!$D49,'Attrition Modeling'!$C:$C,'IP Attrition'!Q$1),VLOOKUP($F49+Q$2,$A$6:$C$106,2,FALSE)*VLOOKUP(Q$1,'Attrition Modeling'!$L$15:$N$27,IF(Q$2+$F49&lt;=24,2,3),FALSE)),$C$3)*(1+Projection!S$16)*(1+IF(Q181&gt;0,'Attrition Modeling'!$N$9,0)))</f>
        <v>0</v>
      </c>
      <c r="R49" s="799">
        <f>(Q49+R181)*(1-IFERROR(IF(R$2+$F49&lt;=12,SUMIFS('Attrition Modeling'!$D:$D,'Attrition Modeling'!$B:$B,'IP Attrition'!$D49,'Attrition Modeling'!$C:$C,'IP Attrition'!R$1),VLOOKUP($F49+R$2,$A$6:$C$106,2,FALSE)*VLOOKUP(R$1,'Attrition Modeling'!$L$15:$N$27,IF(R$2+$F49&lt;=24,2,3),FALSE)),$C$3)*(1+Projection!T$16)*(1+IF(R181&gt;0,'Attrition Modeling'!$N$9,0)))</f>
        <v>0</v>
      </c>
      <c r="S49" s="799">
        <f>(R49+S181)*(1-IFERROR(IF(S$2+$F49&lt;=12,SUMIFS('Attrition Modeling'!$D:$D,'Attrition Modeling'!$B:$B,'IP Attrition'!$D49,'Attrition Modeling'!$C:$C,'IP Attrition'!S$1),VLOOKUP($F49+S$2,$A$6:$C$106,2,FALSE)*VLOOKUP(S$1,'Attrition Modeling'!$L$15:$N$27,IF(S$2+$F49&lt;=24,2,3),FALSE)),$C$3)*(1+Projection!U$16)*(1+IF(S181&gt;0,'Attrition Modeling'!$N$9,0)))</f>
        <v>0</v>
      </c>
      <c r="T49" s="799">
        <f>(S49+T181)*(1-IFERROR(IF(T$2+$F49&lt;=12,SUMIFS('Attrition Modeling'!$D:$D,'Attrition Modeling'!$B:$B,'IP Attrition'!$D49,'Attrition Modeling'!$C:$C,'IP Attrition'!T$1),VLOOKUP($F49+T$2,$A$6:$C$106,2,FALSE)*VLOOKUP(T$1,'Attrition Modeling'!$L$15:$N$27,IF(T$2+$F49&lt;=24,2,3),FALSE)),$C$3)*(1+Projection!V$16)*(1+IF(T181&gt;0,'Attrition Modeling'!$N$9,0)))</f>
        <v>0</v>
      </c>
      <c r="U49" s="799">
        <f>(T49+U181)*(1-IFERROR(IF(U$2+$F49&lt;=12,SUMIFS('Attrition Modeling'!$D:$D,'Attrition Modeling'!$B:$B,'IP Attrition'!$D49,'Attrition Modeling'!$C:$C,'IP Attrition'!U$1),VLOOKUP($F49+U$2,$A$6:$C$106,2,FALSE)*VLOOKUP(U$1,'Attrition Modeling'!$L$15:$N$27,IF(U$2+$F49&lt;=24,2,3),FALSE)),$C$3)*(1+Projection!W$16)*(1+IF(U181&gt;0,'Attrition Modeling'!$N$9,0)))</f>
        <v>0</v>
      </c>
      <c r="V49" s="799">
        <f>(U49+V181)*(1-IFERROR(IF(V$2+$F49&lt;=12,SUMIFS('Attrition Modeling'!$D:$D,'Attrition Modeling'!$B:$B,'IP Attrition'!$D49,'Attrition Modeling'!$C:$C,'IP Attrition'!V$1),VLOOKUP($F49+V$2,$A$6:$C$106,2,FALSE)*VLOOKUP(V$1,'Attrition Modeling'!$L$15:$N$27,IF(V$2+$F49&lt;=24,2,3),FALSE)),$C$3)*(1+Projection!X$16)*(1+IF(V181&gt;0,'Attrition Modeling'!$N$9,0)))</f>
        <v>0</v>
      </c>
      <c r="W49" s="799">
        <f>(V49+W181)*(1-IFERROR(IF(W$2+$F49&lt;=12,SUMIFS('Attrition Modeling'!$D:$D,'Attrition Modeling'!$B:$B,'IP Attrition'!$D49,'Attrition Modeling'!$C:$C,'IP Attrition'!W$1),VLOOKUP($F49+W$2,$A$6:$C$106,2,FALSE)*VLOOKUP(W$1,'Attrition Modeling'!$L$15:$N$27,IF(W$2+$F49&lt;=24,2,3),FALSE)),$C$3)*(1+Projection!Y$16)*(1+IF(W181&gt;0,'Attrition Modeling'!$N$9,0)))</f>
        <v>0</v>
      </c>
      <c r="X49" s="799">
        <f>(W49+X181)*(1-IFERROR(IF(X$2+$F49&lt;=12,SUMIFS('Attrition Modeling'!$D:$D,'Attrition Modeling'!$B:$B,'IP Attrition'!$D49,'Attrition Modeling'!$C:$C,'IP Attrition'!X$1),VLOOKUP($F49+X$2,$A$6:$C$106,2,FALSE)*VLOOKUP(X$1,'Attrition Modeling'!$L$15:$N$27,IF(X$2+$F49&lt;=24,2,3),FALSE)),$C$3)*(1+Projection!Z$16)*(1+IF(X181&gt;0,'Attrition Modeling'!$N$9,0)))</f>
        <v>0</v>
      </c>
      <c r="Y49" s="799">
        <f>(X49+Y181)*(1-IFERROR(IF(Y$2+$F49&lt;=12,SUMIFS('Attrition Modeling'!$D:$D,'Attrition Modeling'!$B:$B,'IP Attrition'!$D49,'Attrition Modeling'!$C:$C,'IP Attrition'!Y$1),VLOOKUP($F49+Y$2,$A$6:$C$106,2,FALSE)*VLOOKUP(Y$1,'Attrition Modeling'!$L$15:$N$27,IF(Y$2+$F49&lt;=24,2,3),FALSE)),$C$3)*(1+Projection!AA$16)*(1+IF(Y181&gt;0,'Attrition Modeling'!$N$9,0)))</f>
        <v>0</v>
      </c>
      <c r="Z49" s="799">
        <f>(Y49+Z181)*(1-IFERROR(IF(Z$2+$F49&lt;=12,SUMIFS('Attrition Modeling'!$D:$D,'Attrition Modeling'!$B:$B,'IP Attrition'!$D49,'Attrition Modeling'!$C:$C,'IP Attrition'!Z$1),VLOOKUP($F49+Z$2,$A$6:$C$106,2,FALSE)*VLOOKUP(Z$1,'Attrition Modeling'!$L$15:$N$27,IF(Z$2+$F49&lt;=24,2,3),FALSE)),$C$3)*(1+Projection!AB$16)*(1+IF(Z181&gt;0,'Attrition Modeling'!$N$9,0)))</f>
        <v>0</v>
      </c>
      <c r="AA49" s="799">
        <f>(Z49+AA181)*(1-IFERROR(IF(AA$2+$F49&lt;=12,SUMIFS('Attrition Modeling'!$D:$D,'Attrition Modeling'!$B:$B,'IP Attrition'!$D49,'Attrition Modeling'!$C:$C,'IP Attrition'!AA$1),VLOOKUP($F49+AA$2,$A$6:$C$106,2,FALSE)*VLOOKUP(AA$1,'Attrition Modeling'!$L$15:$N$27,IF(AA$2+$F49&lt;=24,2,3),FALSE)),$C$3)*(1+Projection!AC$16)*(1+IF(AA181&gt;0,'Attrition Modeling'!$N$9,0)))</f>
        <v>0</v>
      </c>
      <c r="AB49" s="799">
        <f>(AA49+AB181)*(1-IFERROR(IF(AB$2+$F49&lt;=12,SUMIFS('Attrition Modeling'!$D:$D,'Attrition Modeling'!$B:$B,'IP Attrition'!$D49,'Attrition Modeling'!$C:$C,'IP Attrition'!AB$1),VLOOKUP($F49+AB$2,$A$6:$C$106,2,FALSE)*VLOOKUP(AB$1,'Attrition Modeling'!$L$15:$N$27,IF(AB$2+$F49&lt;=24,2,3),FALSE)),$C$3)*(1+Projection!AD$16)*(1+IF(AB181&gt;0,'Attrition Modeling'!$N$9,0)))</f>
        <v>0</v>
      </c>
      <c r="AC49" s="799">
        <f>(AB49+AC181)*(1-IFERROR(IF(AC$2+$F49&lt;=12,SUMIFS('Attrition Modeling'!$D:$D,'Attrition Modeling'!$B:$B,'IP Attrition'!$D49,'Attrition Modeling'!$C:$C,'IP Attrition'!AC$1),VLOOKUP($F49+AC$2,$A$6:$C$106,2,FALSE)*VLOOKUP(AC$1,'Attrition Modeling'!$L$15:$N$27,IF(AC$2+$F49&lt;=24,2,3),FALSE)),$C$3)*(1+Projection!AE$16)*(1+IF(AC181&gt;0,'Attrition Modeling'!$N$9,0)))</f>
        <v>0</v>
      </c>
      <c r="AD49" s="799">
        <f>(AC49+AD181)*(1-IFERROR(IF(AD$2+$F49&lt;=12,SUMIFS('Attrition Modeling'!$D:$D,'Attrition Modeling'!$B:$B,'IP Attrition'!$D49,'Attrition Modeling'!$C:$C,'IP Attrition'!AD$1),VLOOKUP($F49+AD$2,$A$6:$C$106,2,FALSE)*VLOOKUP(AD$1,'Attrition Modeling'!$L$15:$N$27,IF(AD$2+$F49&lt;=24,2,3),FALSE)),$C$3)*(1+Projection!AF$16)*(1+IF(AD181&gt;0,'Attrition Modeling'!$N$9,0)))</f>
        <v>0</v>
      </c>
      <c r="AE49" s="799">
        <f>(AD49+AE181)*(1-IFERROR(IF(AE$2+$F49&lt;=12,SUMIFS('Attrition Modeling'!$D:$D,'Attrition Modeling'!$B:$B,'IP Attrition'!$D49,'Attrition Modeling'!$C:$C,'IP Attrition'!AE$1),VLOOKUP($F49+AE$2,$A$6:$C$106,2,FALSE)*VLOOKUP(AE$1,'Attrition Modeling'!$L$15:$N$27,IF(AE$2+$F49&lt;=24,2,3),FALSE)),$C$3)*(1+Projection!AG$16)*(1+IF(AE181&gt;0,'Attrition Modeling'!$N$9,0)))</f>
        <v>0</v>
      </c>
      <c r="AF49" s="799">
        <f>(AE49+AF181)*(1-IFERROR(IF(AF$2+$F49&lt;=12,SUMIFS('Attrition Modeling'!$D:$D,'Attrition Modeling'!$B:$B,'IP Attrition'!$D49,'Attrition Modeling'!$C:$C,'IP Attrition'!AF$1),VLOOKUP($F49+AF$2,$A$6:$C$106,2,FALSE)*VLOOKUP(AF$1,'Attrition Modeling'!$L$15:$N$27,IF(AF$2+$F49&lt;=24,2,3),FALSE)),$C$3)*(1+Projection!AH$16)*(1+IF(AF181&gt;0,'Attrition Modeling'!$N$9,0)))</f>
        <v>0</v>
      </c>
      <c r="AG49" s="799">
        <f>(AF49+AG181)*(1-IFERROR(IF(AG$2+$F49&lt;=12,SUMIFS('Attrition Modeling'!$D:$D,'Attrition Modeling'!$B:$B,'IP Attrition'!$D49,'Attrition Modeling'!$C:$C,'IP Attrition'!AG$1),VLOOKUP($F49+AG$2,$A$6:$C$106,2,FALSE)*VLOOKUP(AG$1,'Attrition Modeling'!$L$15:$N$27,IF(AG$2+$F49&lt;=24,2,3),FALSE)),$C$3)*(1+Projection!AI$16)*(1+IF(AG181&gt;0,'Attrition Modeling'!$N$9,0)))</f>
        <v>0</v>
      </c>
      <c r="AH49" s="799">
        <f>(AG49+AH181)*(1-IFERROR(IF(AH$2+$F49&lt;=12,SUMIFS('Attrition Modeling'!$D:$D,'Attrition Modeling'!$B:$B,'IP Attrition'!$D49,'Attrition Modeling'!$C:$C,'IP Attrition'!AH$1),VLOOKUP($F49+AH$2,$A$6:$C$106,2,FALSE)*VLOOKUP(AH$1,'Attrition Modeling'!$L$15:$N$27,IF(AH$2+$F49&lt;=24,2,3),FALSE)),$C$3)*(1+Projection!AJ$16)*(1+IF(AH181&gt;0,'Attrition Modeling'!$N$9,0)))</f>
        <v>0</v>
      </c>
      <c r="AI49" s="799">
        <f>(AH49+AI181)*(1-IFERROR(IF(AI$2+$F49&lt;=12,SUMIFS('Attrition Modeling'!$D:$D,'Attrition Modeling'!$B:$B,'IP Attrition'!$D49,'Attrition Modeling'!$C:$C,'IP Attrition'!AI$1),VLOOKUP($F49+AI$2,$A$6:$C$106,2,FALSE)*VLOOKUP(AI$1,'Attrition Modeling'!$L$15:$N$27,IF(AI$2+$F49&lt;=24,2,3),FALSE)),$C$3)*(1+Projection!AK$16)*(1+IF(AI181&gt;0,'Attrition Modeling'!$N$9,0)))</f>
        <v>0</v>
      </c>
      <c r="AJ49" s="799">
        <f>(AI49+AJ181)*(1-IFERROR(IF(AJ$2+$F49&lt;=12,SUMIFS('Attrition Modeling'!$D:$D,'Attrition Modeling'!$B:$B,'IP Attrition'!$D49,'Attrition Modeling'!$C:$C,'IP Attrition'!AJ$1),VLOOKUP($F49+AJ$2,$A$6:$C$106,2,FALSE)*VLOOKUP(AJ$1,'Attrition Modeling'!$L$15:$N$27,IF(AJ$2+$F49&lt;=24,2,3),FALSE)),$C$3)*(1+Projection!AL$16)*(1+IF(AJ181&gt;0,'Attrition Modeling'!$N$9,0)))</f>
        <v>0</v>
      </c>
      <c r="AK49" s="799">
        <f>(AJ49+AK181)*(1-IFERROR(IF(AK$2+$F49&lt;=12,SUMIFS('Attrition Modeling'!$D:$D,'Attrition Modeling'!$B:$B,'IP Attrition'!$D49,'Attrition Modeling'!$C:$C,'IP Attrition'!AK$1),VLOOKUP($F49+AK$2,$A$6:$C$106,2,FALSE)*VLOOKUP(AK$1,'Attrition Modeling'!$L$15:$N$27,IF(AK$2+$F49&lt;=24,2,3),FALSE)),$C$3)*(1+Projection!AM$16)*(1+IF(AK181&gt;0,'Attrition Modeling'!$N$9,0)))</f>
        <v>0</v>
      </c>
      <c r="AL49" s="799">
        <f>(AK49+AL181)*(1-IFERROR(IF(AL$2+$F49&lt;=12,SUMIFS('Attrition Modeling'!$D:$D,'Attrition Modeling'!$B:$B,'IP Attrition'!$D49,'Attrition Modeling'!$C:$C,'IP Attrition'!AL$1),VLOOKUP($F49+AL$2,$A$6:$C$106,2,FALSE)*VLOOKUP(AL$1,'Attrition Modeling'!$L$15:$N$27,IF(AL$2+$F49&lt;=24,2,3),FALSE)),$C$3)*(1+Projection!AN$16)*(1+IF(AL181&gt;0,'Attrition Modeling'!$N$9,0)))</f>
        <v>0</v>
      </c>
      <c r="AM49" s="799">
        <f>(AL49+AM181)*(1-IFERROR(IF(AM$2+$F49&lt;=12,SUMIFS('Attrition Modeling'!$D:$D,'Attrition Modeling'!$B:$B,'IP Attrition'!$D49,'Attrition Modeling'!$C:$C,'IP Attrition'!AM$1),VLOOKUP($F49+AM$2,$A$6:$C$106,2,FALSE)*VLOOKUP(AM$1,'Attrition Modeling'!$L$15:$N$27,IF(AM$2+$F49&lt;=24,2,3),FALSE)),$C$3)*(1+Projection!AO$16)*(1+IF(AM181&gt;0,'Attrition Modeling'!$N$9,0)))</f>
        <v>0</v>
      </c>
      <c r="AN49" s="799">
        <f>(AM49+AN181)*(1-IFERROR(IF(AN$2+$F49&lt;=12,SUMIFS('Attrition Modeling'!$D:$D,'Attrition Modeling'!$B:$B,'IP Attrition'!$D49,'Attrition Modeling'!$C:$C,'IP Attrition'!AN$1),VLOOKUP($F49+AN$2,$A$6:$C$106,2,FALSE)*VLOOKUP(AN$1,'Attrition Modeling'!$L$15:$N$27,IF(AN$2+$F49&lt;=24,2,3),FALSE)),$C$3)*(1+Projection!AP$16)*(1+IF(AN181&gt;0,'Attrition Modeling'!$N$9,0)))</f>
        <v>0</v>
      </c>
      <c r="AO49" s="799">
        <f>(AN49+AO181)*(1-IFERROR(IF(AO$2+$F49&lt;=12,SUMIFS('Attrition Modeling'!$D:$D,'Attrition Modeling'!$B:$B,'IP Attrition'!$D49,'Attrition Modeling'!$C:$C,'IP Attrition'!AO$1),VLOOKUP($F49+AO$2,$A$6:$C$106,2,FALSE)*VLOOKUP(AO$1,'Attrition Modeling'!$L$15:$N$27,IF(AO$2+$F49&lt;=24,2,3),FALSE)),$C$3)*(1+Projection!AQ$16)*(1+IF(AO181&gt;0,'Attrition Modeling'!$N$9,0)))</f>
        <v>0</v>
      </c>
      <c r="AP49" s="799">
        <f>(AO49+AP181)*(1-IFERROR(IF(AP$2+$F49&lt;=12,SUMIFS('Attrition Modeling'!$D:$D,'Attrition Modeling'!$B:$B,'IP Attrition'!$D49,'Attrition Modeling'!$C:$C,'IP Attrition'!AP$1),VLOOKUP($F49+AP$2,$A$6:$C$106,2,FALSE)*VLOOKUP(AP$1,'Attrition Modeling'!$L$15:$N$27,IF(AP$2+$F49&lt;=24,2,3),FALSE)),$C$3)*(1+Projection!AR$16)*(1+IF(AP181&gt;0,'Attrition Modeling'!$N$9,0)))</f>
        <v>0</v>
      </c>
      <c r="AQ49" s="799">
        <f>(AP49+AQ181)*(1-IFERROR(IF(AQ$2+$F49&lt;=12,SUMIFS('Attrition Modeling'!$D:$D,'Attrition Modeling'!$B:$B,'IP Attrition'!$D49,'Attrition Modeling'!$C:$C,'IP Attrition'!AQ$1),VLOOKUP($F49+AQ$2,$A$6:$C$106,2,FALSE)*VLOOKUP(AQ$1,'Attrition Modeling'!$L$15:$N$27,IF(AQ$2+$F49&lt;=24,2,3),FALSE)),$C$3)*(1+Projection!AS$16)*(1+IF(AQ181&gt;0,'Attrition Modeling'!$N$9,0)))</f>
        <v>0</v>
      </c>
      <c r="AR49" s="799">
        <f>(AQ49+AR181)*(1-IFERROR(IF(AR$2+$F49&lt;=12,SUMIFS('Attrition Modeling'!$D:$D,'Attrition Modeling'!$B:$B,'IP Attrition'!$D49,'Attrition Modeling'!$C:$C,'IP Attrition'!AR$1),VLOOKUP($F49+AR$2,$A$6:$C$106,2,FALSE)*VLOOKUP(AR$1,'Attrition Modeling'!$L$15:$N$27,IF(AR$2+$F49&lt;=24,2,3),FALSE)),$C$3)*(1+Projection!AT$16)*(1+IF(AR181&gt;0,'Attrition Modeling'!$N$9,0)))</f>
        <v>0</v>
      </c>
      <c r="AS49" s="799">
        <f>(AR49+AS181)*(1-IFERROR(IF(AS$2+$F49&lt;=12,SUMIFS('Attrition Modeling'!$D:$D,'Attrition Modeling'!$B:$B,'IP Attrition'!$D49,'Attrition Modeling'!$C:$C,'IP Attrition'!AS$1),VLOOKUP($F49+AS$2,$A$6:$C$106,2,FALSE)*VLOOKUP(AS$1,'Attrition Modeling'!$L$15:$N$27,IF(AS$2+$F49&lt;=24,2,3),FALSE)),$C$3)*(1+Projection!AU$16)*(1+IF(AS181&gt;0,'Attrition Modeling'!$N$9,0)))</f>
        <v>0</v>
      </c>
      <c r="AT49" s="799">
        <f>(AS49+AT181)*(1-IFERROR(IF(AT$2+$F49&lt;=12,SUMIFS('Attrition Modeling'!$D:$D,'Attrition Modeling'!$B:$B,'IP Attrition'!$D49,'Attrition Modeling'!$C:$C,'IP Attrition'!AT$1),VLOOKUP($F49+AT$2,$A$6:$C$106,2,FALSE)*VLOOKUP(AT$1,'Attrition Modeling'!$L$15:$N$27,IF(AT$2+$F49&lt;=24,2,3),FALSE)),$C$3)*(1+Projection!AV$16)*(1+IF(AT181&gt;0,'Attrition Modeling'!$N$9,0)))</f>
        <v>0</v>
      </c>
      <c r="AU49" s="799">
        <f>(AT49+AU181)*(1-IFERROR(IF(AU$2+$F49&lt;=12,SUMIFS('Attrition Modeling'!$D:$D,'Attrition Modeling'!$B:$B,'IP Attrition'!$D49,'Attrition Modeling'!$C:$C,'IP Attrition'!AU$1),VLOOKUP($F49+AU$2,$A$6:$C$106,2,FALSE)*VLOOKUP(AU$1,'Attrition Modeling'!$L$15:$N$27,IF(AU$2+$F49&lt;=24,2,3),FALSE)),$C$3)*(1+Projection!AW$16)*(1+IF(AU181&gt;0,'Attrition Modeling'!$N$9,0)))</f>
        <v>0</v>
      </c>
      <c r="AV49" s="799">
        <f>(AU49+AV181)*(1-IFERROR(IF(AV$2+$F49&lt;=12,SUMIFS('Attrition Modeling'!$D:$D,'Attrition Modeling'!$B:$B,'IP Attrition'!$D49,'Attrition Modeling'!$C:$C,'IP Attrition'!AV$1),VLOOKUP($F49+AV$2,$A$6:$C$106,2,FALSE)*VLOOKUP(AV$1,'Attrition Modeling'!$L$15:$N$27,IF(AV$2+$F49&lt;=24,2,3),FALSE)),$C$3)*(1+Projection!AX$16)*(1+IF(AV181&gt;0,'Attrition Modeling'!$N$9,0)))</f>
        <v>0</v>
      </c>
      <c r="AW49" s="799">
        <f>(AV49+AW181)*(1-IFERROR(IF(AW$2+$F49&lt;=12,SUMIFS('Attrition Modeling'!$D:$D,'Attrition Modeling'!$B:$B,'IP Attrition'!$D49,'Attrition Modeling'!$C:$C,'IP Attrition'!AW$1),VLOOKUP($F49+AW$2,$A$6:$C$106,2,FALSE)*VLOOKUP(AW$1,'Attrition Modeling'!$L$15:$N$27,IF(AW$2+$F49&lt;=24,2,3),FALSE)),$C$3)*(1+Projection!AY$16)*(1+IF(AW181&gt;0,'Attrition Modeling'!$N$9,0)))</f>
        <v>0</v>
      </c>
      <c r="AX49" s="799">
        <f>(AW49+AX181)*(1-IFERROR(IF(AX$2+$F49&lt;=12,SUMIFS('Attrition Modeling'!$D:$D,'Attrition Modeling'!$B:$B,'IP Attrition'!$D49,'Attrition Modeling'!$C:$C,'IP Attrition'!AX$1),VLOOKUP($F49+AX$2,$A$6:$C$106,2,FALSE)*VLOOKUP(AX$1,'Attrition Modeling'!$L$15:$N$27,IF(AX$2+$F49&lt;=24,2,3),FALSE)),$C$3)*(1+Projection!AZ$16)*(1+IF(AX181&gt;0,'Attrition Modeling'!$N$9,0)))</f>
        <v>0</v>
      </c>
      <c r="AY49" s="799">
        <f>(AX49+AY181)*(1-IFERROR(IF(AY$2+$F49&lt;=12,SUMIFS('Attrition Modeling'!$D:$D,'Attrition Modeling'!$B:$B,'IP Attrition'!$D49,'Attrition Modeling'!$C:$C,'IP Attrition'!AY$1),VLOOKUP($F49+AY$2,$A$6:$C$106,2,FALSE)*VLOOKUP(AY$1,'Attrition Modeling'!$L$15:$N$27,IF(AY$2+$F49&lt;=24,2,3),FALSE)),$C$3)*(1+Projection!BA$16)*(1+IF(AY181&gt;0,'Attrition Modeling'!$N$9,0)))</f>
        <v>0</v>
      </c>
      <c r="AZ49" s="799">
        <f>(AY49+AZ181)*(1-IFERROR(IF(AZ$2+$F49&lt;=12,SUMIFS('Attrition Modeling'!$D:$D,'Attrition Modeling'!$B:$B,'IP Attrition'!$D49,'Attrition Modeling'!$C:$C,'IP Attrition'!AZ$1),VLOOKUP($F49+AZ$2,$A$6:$C$106,2,FALSE)*VLOOKUP(AZ$1,'Attrition Modeling'!$L$15:$N$27,IF(AZ$2+$F49&lt;=24,2,3),FALSE)),$C$3)*(1+Projection!BB$16)*(1+IF(AZ181&gt;0,'Attrition Modeling'!$N$9,0)))</f>
        <v>0</v>
      </c>
      <c r="BA49" s="799">
        <f>(AZ49+BA181)*(1-IFERROR(IF(BA$2+$F49&lt;=12,SUMIFS('Attrition Modeling'!$D:$D,'Attrition Modeling'!$B:$B,'IP Attrition'!$D49,'Attrition Modeling'!$C:$C,'IP Attrition'!BA$1),VLOOKUP($F49+BA$2,$A$6:$C$106,2,FALSE)*VLOOKUP(BA$1,'Attrition Modeling'!$L$15:$N$27,IF(BA$2+$F49&lt;=24,2,3),FALSE)),$C$3)*(1+Projection!BC$16)*(1+IF(BA181&gt;0,'Attrition Modeling'!$N$9,0)))</f>
        <v>0</v>
      </c>
      <c r="BB49" s="799">
        <f>(BA49+BB181)*(1-IFERROR(IF(BB$2+$F49&lt;=12,SUMIFS('Attrition Modeling'!$D:$D,'Attrition Modeling'!$B:$B,'IP Attrition'!$D49,'Attrition Modeling'!$C:$C,'IP Attrition'!BB$1),VLOOKUP($F49+BB$2,$A$6:$C$106,2,FALSE)*VLOOKUP(BB$1,'Attrition Modeling'!$L$15:$N$27,IF(BB$2+$F49&lt;=24,2,3),FALSE)),$C$3)*(1+Projection!BD$16)*(1+IF(BB181&gt;0,'Attrition Modeling'!$N$9,0)))</f>
        <v>0</v>
      </c>
      <c r="BC49" s="799">
        <f>(BB49+BC181)*(1-IFERROR(IF(BC$2+$F49&lt;=12,SUMIFS('Attrition Modeling'!$D:$D,'Attrition Modeling'!$B:$B,'IP Attrition'!$D49,'Attrition Modeling'!$C:$C,'IP Attrition'!BC$1),VLOOKUP($F49+BC$2,$A$6:$C$106,2,FALSE)*VLOOKUP(BC$1,'Attrition Modeling'!$L$15:$N$27,IF(BC$2+$F49&lt;=24,2,3),FALSE)),$C$3)*(1+Projection!BE$16)*(1+IF(BC181&gt;0,'Attrition Modeling'!$N$9,0)))</f>
        <v>0</v>
      </c>
      <c r="BD49" s="799">
        <f>(BC49+BD181)*(1-IFERROR(IF(BD$2+$F49&lt;=12,SUMIFS('Attrition Modeling'!$D:$D,'Attrition Modeling'!$B:$B,'IP Attrition'!$D49,'Attrition Modeling'!$C:$C,'IP Attrition'!BD$1),VLOOKUP($F49+BD$2,$A$6:$C$106,2,FALSE)*VLOOKUP(BD$1,'Attrition Modeling'!$L$15:$N$27,IF(BD$2+$F49&lt;=24,2,3),FALSE)),$C$3)*(1+Projection!BF$16)*(1+IF(BD181&gt;0,'Attrition Modeling'!$N$9,0)))</f>
        <v>0</v>
      </c>
      <c r="BE49" s="799">
        <f>(BD49+BE181)*(1-IFERROR(IF(BE$2+$F49&lt;=12,SUMIFS('Attrition Modeling'!$D:$D,'Attrition Modeling'!$B:$B,'IP Attrition'!$D49,'Attrition Modeling'!$C:$C,'IP Attrition'!BE$1),VLOOKUP($F49+BE$2,$A$6:$C$106,2,FALSE)*VLOOKUP(BE$1,'Attrition Modeling'!$L$15:$N$27,IF(BE$2+$F49&lt;=24,2,3),FALSE)),$C$3)*(1+Projection!BG$16)*(1+IF(BE181&gt;0,'Attrition Modeling'!$N$9,0)))</f>
        <v>0</v>
      </c>
      <c r="BF49" s="799">
        <f>(BE49+BF181)*(1-IFERROR(IF(BF$2+$F49&lt;=12,SUMIFS('Attrition Modeling'!$D:$D,'Attrition Modeling'!$B:$B,'IP Attrition'!$D49,'Attrition Modeling'!$C:$C,'IP Attrition'!BF$1),VLOOKUP($F49+BF$2,$A$6:$C$106,2,FALSE)*VLOOKUP(BF$1,'Attrition Modeling'!$L$15:$N$27,IF(BF$2+$F49&lt;=24,2,3),FALSE)),$C$3)*(1+Projection!BH$16)*(1+IF(BF181&gt;0,'Attrition Modeling'!$N$9,0)))</f>
        <v>0</v>
      </c>
      <c r="BG49" s="799">
        <f>(BF49+BG181)*(1-IFERROR(IF(BG$2+$F49&lt;=12,SUMIFS('Attrition Modeling'!$D:$D,'Attrition Modeling'!$B:$B,'IP Attrition'!$D49,'Attrition Modeling'!$C:$C,'IP Attrition'!BG$1),VLOOKUP($F49+BG$2,$A$6:$C$106,2,FALSE)*VLOOKUP(BG$1,'Attrition Modeling'!$L$15:$N$27,IF(BG$2+$F49&lt;=24,2,3),FALSE)),$C$3)*(1+Projection!BI$16)*(1+IF(BG181&gt;0,'Attrition Modeling'!$N$9,0)))</f>
        <v>0</v>
      </c>
      <c r="BH49" s="799">
        <f>(BG49+BH181)*(1-IFERROR(IF(BH$2+$F49&lt;=12,SUMIFS('Attrition Modeling'!$D:$D,'Attrition Modeling'!$B:$B,'IP Attrition'!$D49,'Attrition Modeling'!$C:$C,'IP Attrition'!BH$1),VLOOKUP($F49+BH$2,$A$6:$C$106,2,FALSE)*VLOOKUP(BH$1,'Attrition Modeling'!$L$15:$N$27,IF(BH$2+$F49&lt;=24,2,3),FALSE)),$C$3)*(1+Projection!BJ$16)*(1+IF(BH181&gt;0,'Attrition Modeling'!$N$9,0)))</f>
        <v>0</v>
      </c>
      <c r="BI49" s="799">
        <f>(BH49+BI181)*(1-IFERROR(IF(BI$2+$F49&lt;=12,SUMIFS('Attrition Modeling'!$D:$D,'Attrition Modeling'!$B:$B,'IP Attrition'!$D49,'Attrition Modeling'!$C:$C,'IP Attrition'!BI$1),VLOOKUP($F49+BI$2,$A$6:$C$106,2,FALSE)*VLOOKUP(BI$1,'Attrition Modeling'!$L$15:$N$27,IF(BI$2+$F49&lt;=24,2,3),FALSE)),$C$3)*(1+Projection!BK$16)*(1+IF(BI181&gt;0,'Attrition Modeling'!$N$9,0)))</f>
        <v>0</v>
      </c>
      <c r="BJ49" s="799">
        <f>(BI49+BJ181)*(1-IFERROR(IF(BJ$2+$F49&lt;=12,SUMIFS('Attrition Modeling'!$D:$D,'Attrition Modeling'!$B:$B,'IP Attrition'!$D49,'Attrition Modeling'!$C:$C,'IP Attrition'!BJ$1),VLOOKUP($F49+BJ$2,$A$6:$C$106,2,FALSE)*VLOOKUP(BJ$1,'Attrition Modeling'!$L$15:$N$27,IF(BJ$2+$F49&lt;=24,2,3),FALSE)),$C$3)*(1+Projection!BL$16)*(1+IF(BJ181&gt;0,'Attrition Modeling'!$N$9,0)))</f>
        <v>0</v>
      </c>
      <c r="BK49" s="799">
        <f>(BJ49+BK181)*(1-IFERROR(IF(BK$2+$F49&lt;=12,SUMIFS('Attrition Modeling'!$D:$D,'Attrition Modeling'!$B:$B,'IP Attrition'!$D49,'Attrition Modeling'!$C:$C,'IP Attrition'!BK$1),VLOOKUP($F49+BK$2,$A$6:$C$106,2,FALSE)*VLOOKUP(BK$1,'Attrition Modeling'!$L$15:$N$27,IF(BK$2+$F49&lt;=24,2,3),FALSE)),$C$3)*(1+Projection!BM$16)*(1+IF(BK181&gt;0,'Attrition Modeling'!$N$9,0)))</f>
        <v>0</v>
      </c>
      <c r="BL49" s="799">
        <f>(BK49+BL181)*(1-IFERROR(IF(BL$2+$F49&lt;=12,SUMIFS('Attrition Modeling'!$D:$D,'Attrition Modeling'!$B:$B,'IP Attrition'!$D49,'Attrition Modeling'!$C:$C,'IP Attrition'!BL$1),VLOOKUP($F49+BL$2,$A$6:$C$106,2,FALSE)*VLOOKUP(BL$1,'Attrition Modeling'!$L$15:$N$27,IF(BL$2+$F49&lt;=24,2,3),FALSE)),$C$3)*(1+Projection!BN$16)*(1+IF(BL181&gt;0,'Attrition Modeling'!$N$9,0)))</f>
        <v>0</v>
      </c>
      <c r="BM49" s="799">
        <f>(BL49+BM181)*(1-IFERROR(IF(BM$2+$F49&lt;=12,SUMIFS('Attrition Modeling'!$D:$D,'Attrition Modeling'!$B:$B,'IP Attrition'!$D49,'Attrition Modeling'!$C:$C,'IP Attrition'!BM$1),VLOOKUP($F49+BM$2,$A$6:$C$106,2,FALSE)*VLOOKUP(BM$1,'Attrition Modeling'!$L$15:$N$27,IF(BM$2+$F49&lt;=24,2,3),FALSE)),$C$3)*(1+Projection!BO$16)*(1+IF(BM181&gt;0,'Attrition Modeling'!$N$9,0)))</f>
        <v>0</v>
      </c>
      <c r="BN49" s="799">
        <f>(BM49+BN181)*(1-IFERROR(IF(BN$2+$F49&lt;=12,SUMIFS('Attrition Modeling'!$D:$D,'Attrition Modeling'!$B:$B,'IP Attrition'!$D49,'Attrition Modeling'!$C:$C,'IP Attrition'!BN$1),VLOOKUP($F49+BN$2,$A$6:$C$106,2,FALSE)*VLOOKUP(BN$1,'Attrition Modeling'!$L$15:$N$27,IF(BN$2+$F49&lt;=24,2,3),FALSE)),$C$3)*(1+Projection!BP$16)*(1+IF(BN181&gt;0,'Attrition Modeling'!$N$9,0)))</f>
        <v>0</v>
      </c>
      <c r="BO49" s="799">
        <f>(BN49+BO181)*(1-IFERROR(IF(BO$2+$F49&lt;=12,SUMIFS('Attrition Modeling'!$D:$D,'Attrition Modeling'!$B:$B,'IP Attrition'!$D49,'Attrition Modeling'!$C:$C,'IP Attrition'!BO$1),VLOOKUP($F49+BO$2,$A$6:$C$106,2,FALSE)*VLOOKUP(BO$1,'Attrition Modeling'!$L$15:$N$27,IF(BO$2+$F49&lt;=24,2,3),FALSE)),$C$3)*(1+Projection!BV$16)*(1+IF(BO181&gt;0,'Attrition Modeling'!$N$9,0)))</f>
        <v>0</v>
      </c>
      <c r="BP49" s="799">
        <f>(BO49+BP181)*(1-IFERROR(IF(BP$2+$F49&lt;=12,SUMIFS('Attrition Modeling'!$D:$D,'Attrition Modeling'!$B:$B,'IP Attrition'!$D49,'Attrition Modeling'!$C:$C,'IP Attrition'!BP$1),VLOOKUP($F49+BP$2,$A$6:$C$106,2,FALSE)*VLOOKUP(BP$1,'Attrition Modeling'!$L$15:$N$27,IF(BP$2+$F49&lt;=24,2,3),FALSE)),$C$3)*(1+Projection!BW$16)*(1+IF(BP181&gt;0,'Attrition Modeling'!$N$9,0)))</f>
        <v>0</v>
      </c>
      <c r="BQ49" s="799">
        <f>(BP49+BQ181)*(1-IFERROR(IF(BQ$2+$F49&lt;=12,SUMIFS('Attrition Modeling'!$D:$D,'Attrition Modeling'!$B:$B,'IP Attrition'!$D49,'Attrition Modeling'!$C:$C,'IP Attrition'!BQ$1),VLOOKUP($F49+BQ$2,$A$6:$C$106,2,FALSE)*VLOOKUP(BQ$1,'Attrition Modeling'!$L$15:$N$27,IF(BQ$2+$F49&lt;=24,2,3),FALSE)),$C$3)*(1+Projection!BX$16)*(1+IF(BQ181&gt;0,'Attrition Modeling'!$N$9,0)))</f>
        <v>0</v>
      </c>
      <c r="BR49" s="799">
        <f>(BQ49+BR181)*(1-IFERROR(IF(BR$2+$F49&lt;=12,SUMIFS('Attrition Modeling'!$D:$D,'Attrition Modeling'!$B:$B,'IP Attrition'!$D49,'Attrition Modeling'!$C:$C,'IP Attrition'!BR$1),VLOOKUP($F49+BR$2,$A$6:$C$106,2,FALSE)*VLOOKUP(BR$1,'Attrition Modeling'!$L$15:$N$27,IF(BR$2+$F49&lt;=24,2,3),FALSE)),$C$3)*(1+Projection!BY$16)*(1+IF(BR181&gt;0,'Attrition Modeling'!$N$9,0)))</f>
        <v>0</v>
      </c>
      <c r="BS49" s="799">
        <f>(BR49+BS181)*(1-IFERROR(IF(BS$2+$F49&lt;=12,SUMIFS('Attrition Modeling'!$D:$D,'Attrition Modeling'!$B:$B,'IP Attrition'!$D49,'Attrition Modeling'!$C:$C,'IP Attrition'!BS$1),VLOOKUP($F49+BS$2,$A$6:$C$106,2,FALSE)*VLOOKUP(BS$1,'Attrition Modeling'!$L$15:$N$27,IF(BS$2+$F49&lt;=24,2,3),FALSE)),$C$3)*(1+Projection!BZ$16)*(1+IF(BS181&gt;0,'Attrition Modeling'!$N$9,0)))</f>
        <v>0</v>
      </c>
      <c r="BT49" s="799" t="e">
        <f>(BS49+BT181)*(1-IFERROR(IF(BT$2+$F49&lt;=12,SUMIFS('Attrition Modeling'!$D:$D,'Attrition Modeling'!$B:$B,'IP Attrition'!$D49,'Attrition Modeling'!$C:$C,'IP Attrition'!BT$1),VLOOKUP($F49+BT$2,$A$6:$C$106,2,FALSE)*VLOOKUP(BT$1,'Attrition Modeling'!$L$15:$N$27,IF(BT$2+$F49&lt;=24,2,3),FALSE)),$C$3)*(1+Projection!CA$16)*(1+IF(BT181&gt;0,'Attrition Modeling'!$N$9,0)))</f>
        <v>#REF!</v>
      </c>
      <c r="BU49" s="799" t="e">
        <f>(BT49+BU181)*(1-IFERROR(IF(BU$2+$F49&lt;=12,SUMIFS('Attrition Modeling'!$D:$D,'Attrition Modeling'!$B:$B,'IP Attrition'!$D49,'Attrition Modeling'!$C:$C,'IP Attrition'!BU$1),VLOOKUP($F49+BU$2,$A$6:$C$106,2,FALSE)*VLOOKUP(BU$1,'Attrition Modeling'!$L$15:$N$27,IF(BU$2+$F49&lt;=24,2,3),FALSE)),$C$3)*(1+Projection!CB$16)*(1+IF(BU181&gt;0,'Attrition Modeling'!$N$9,0)))</f>
        <v>#REF!</v>
      </c>
    </row>
    <row r="50" spans="1:73" ht="14.25" customHeight="1" x14ac:dyDescent="0.2">
      <c r="A50" s="9">
        <v>43</v>
      </c>
      <c r="B50" s="25">
        <f>MAX('Attrition Modeling'!H47,$C$3)*(1-Summary!$C$20)</f>
        <v>2.7468891712509644E-2</v>
      </c>
      <c r="C50" s="24" t="e">
        <f t="shared" si="3"/>
        <v>#DIV/0!</v>
      </c>
      <c r="D50" s="11">
        <f t="shared" si="1"/>
        <v>-47</v>
      </c>
      <c r="E50" s="807">
        <f t="array" ref="E50">INDEX('Attrition Modeling'!$X$2:$AF$63,MATCH($F50,'Attrition Modeling'!$X$2:$X$63,0),MATCH(Inputs!$C$10,'Attrition Modeling'!$X$2:$AF$2,0))</f>
        <v>0</v>
      </c>
      <c r="F50" s="11">
        <f t="shared" si="2"/>
        <v>47</v>
      </c>
      <c r="G50" s="799">
        <f>Summary!$C$25*$E50</f>
        <v>0</v>
      </c>
      <c r="H50" s="799">
        <f>(G50+H182)*(1-IFERROR(IF(H$2+$F50&lt;=12,SUMIFS('Attrition Modeling'!$D:$D,'Attrition Modeling'!$B:$B,'IP Attrition'!$D50,'Attrition Modeling'!$C:$C,'IP Attrition'!H$1),VLOOKUP($F50+H$2,$A$6:$C$106,2,FALSE)*VLOOKUP(H$1,'Attrition Modeling'!$L$15:$N$27,IF(H$2+$F50&lt;=24,2,3),FALSE)),$C$3)*(1+Projection!J$16)*(1+IF(H182&gt;0,'Attrition Modeling'!$N$9,0)))</f>
        <v>0</v>
      </c>
      <c r="I50" s="799">
        <f>(H50+I182)*(1-IFERROR(IF(I$2+$F50&lt;=12,SUMIFS('Attrition Modeling'!$D:$D,'Attrition Modeling'!$B:$B,'IP Attrition'!$D50,'Attrition Modeling'!$C:$C,'IP Attrition'!I$1),VLOOKUP($F50+I$2,$A$6:$C$106,2,FALSE)*VLOOKUP(I$1,'Attrition Modeling'!$L$15:$N$27,IF(I$2+$F50&lt;=24,2,3),FALSE)),$C$3)*(1+Projection!K$16)*(1+IF(I182&gt;0,'Attrition Modeling'!$N$9,0)))</f>
        <v>0</v>
      </c>
      <c r="J50" s="799">
        <f>(I50+J182)*(1-IFERROR(IF(J$2+$F50&lt;=12,SUMIFS('Attrition Modeling'!$D:$D,'Attrition Modeling'!$B:$B,'IP Attrition'!$D50,'Attrition Modeling'!$C:$C,'IP Attrition'!J$1),VLOOKUP($F50+J$2,$A$6:$C$106,2,FALSE)*VLOOKUP(J$1,'Attrition Modeling'!$L$15:$N$27,IF(J$2+$F50&lt;=24,2,3),FALSE)),$C$3)*(1+Projection!L$16)*(1+IF(J182&gt;0,'Attrition Modeling'!$N$9,0)))</f>
        <v>0</v>
      </c>
      <c r="K50" s="799">
        <f>(J50+K182)*(1-IFERROR(IF(K$2+$F50&lt;=12,SUMIFS('Attrition Modeling'!$D:$D,'Attrition Modeling'!$B:$B,'IP Attrition'!$D50,'Attrition Modeling'!$C:$C,'IP Attrition'!K$1),VLOOKUP($F50+K$2,$A$6:$C$106,2,FALSE)*VLOOKUP(K$1,'Attrition Modeling'!$L$15:$N$27,IF(K$2+$F50&lt;=24,2,3),FALSE)),$C$3)*(1+Projection!M$16)*(1+IF(K182&gt;0,'Attrition Modeling'!$N$9,0)))</f>
        <v>0</v>
      </c>
      <c r="L50" s="799">
        <f>(K50+L182)*(1-IFERROR(IF(L$2+$F50&lt;=12,SUMIFS('Attrition Modeling'!$D:$D,'Attrition Modeling'!$B:$B,'IP Attrition'!$D50,'Attrition Modeling'!$C:$C,'IP Attrition'!L$1),VLOOKUP($F50+L$2,$A$6:$C$106,2,FALSE)*VLOOKUP(L$1,'Attrition Modeling'!$L$15:$N$27,IF(L$2+$F50&lt;=24,2,3),FALSE)),$C$3)*(1+Projection!N$16)*(1+IF(L182&gt;0,'Attrition Modeling'!$N$9,0)))</f>
        <v>0</v>
      </c>
      <c r="M50" s="799">
        <f>(L50+M182)*(1-IFERROR(IF(M$2+$F50&lt;=12,SUMIFS('Attrition Modeling'!$D:$D,'Attrition Modeling'!$B:$B,'IP Attrition'!$D50,'Attrition Modeling'!$C:$C,'IP Attrition'!M$1),VLOOKUP($F50+M$2,$A$6:$C$106,2,FALSE)*VLOOKUP(M$1,'Attrition Modeling'!$L$15:$N$27,IF(M$2+$F50&lt;=24,2,3),FALSE)),$C$3)*(1+Projection!O$16)*(1+IF(M182&gt;0,'Attrition Modeling'!$N$9,0)))</f>
        <v>0</v>
      </c>
      <c r="N50" s="799">
        <f>(M50+N182)*(1-IFERROR(IF(N$2+$F50&lt;=12,SUMIFS('Attrition Modeling'!$D:$D,'Attrition Modeling'!$B:$B,'IP Attrition'!$D50,'Attrition Modeling'!$C:$C,'IP Attrition'!N$1),VLOOKUP($F50+N$2,$A$6:$C$106,2,FALSE)*VLOOKUP(N$1,'Attrition Modeling'!$L$15:$N$27,IF(N$2+$F50&lt;=24,2,3),FALSE)),$C$3)*(1+Projection!P$16)*(1+IF(N182&gt;0,'Attrition Modeling'!$N$9,0)))</f>
        <v>0</v>
      </c>
      <c r="O50" s="799">
        <f>(N50+O182)*(1-IFERROR(IF(O$2+$F50&lt;=12,SUMIFS('Attrition Modeling'!$D:$D,'Attrition Modeling'!$B:$B,'IP Attrition'!$D50,'Attrition Modeling'!$C:$C,'IP Attrition'!O$1),VLOOKUP($F50+O$2,$A$6:$C$106,2,FALSE)*VLOOKUP(O$1,'Attrition Modeling'!$L$15:$N$27,IF(O$2+$F50&lt;=24,2,3),FALSE)),$C$3)*(1+Projection!Q$16)*(1+IF(O182&gt;0,'Attrition Modeling'!$N$9,0)))</f>
        <v>0</v>
      </c>
      <c r="P50" s="799">
        <f>(O50+P182)*(1-IFERROR(IF(P$2+$F50&lt;=12,SUMIFS('Attrition Modeling'!$D:$D,'Attrition Modeling'!$B:$B,'IP Attrition'!$D50,'Attrition Modeling'!$C:$C,'IP Attrition'!P$1),VLOOKUP($F50+P$2,$A$6:$C$106,2,FALSE)*VLOOKUP(P$1,'Attrition Modeling'!$L$15:$N$27,IF(P$2+$F50&lt;=24,2,3),FALSE)),$C$3)*(1+Projection!R$16)*(1+IF(P182&gt;0,'Attrition Modeling'!$N$9,0)))</f>
        <v>0</v>
      </c>
      <c r="Q50" s="799">
        <f>(P50+Q182)*(1-IFERROR(IF(Q$2+$F50&lt;=12,SUMIFS('Attrition Modeling'!$D:$D,'Attrition Modeling'!$B:$B,'IP Attrition'!$D50,'Attrition Modeling'!$C:$C,'IP Attrition'!Q$1),VLOOKUP($F50+Q$2,$A$6:$C$106,2,FALSE)*VLOOKUP(Q$1,'Attrition Modeling'!$L$15:$N$27,IF(Q$2+$F50&lt;=24,2,3),FALSE)),$C$3)*(1+Projection!S$16)*(1+IF(Q182&gt;0,'Attrition Modeling'!$N$9,0)))</f>
        <v>0</v>
      </c>
      <c r="R50" s="799">
        <f>(Q50+R182)*(1-IFERROR(IF(R$2+$F50&lt;=12,SUMIFS('Attrition Modeling'!$D:$D,'Attrition Modeling'!$B:$B,'IP Attrition'!$D50,'Attrition Modeling'!$C:$C,'IP Attrition'!R$1),VLOOKUP($F50+R$2,$A$6:$C$106,2,FALSE)*VLOOKUP(R$1,'Attrition Modeling'!$L$15:$N$27,IF(R$2+$F50&lt;=24,2,3),FALSE)),$C$3)*(1+Projection!T$16)*(1+IF(R182&gt;0,'Attrition Modeling'!$N$9,0)))</f>
        <v>0</v>
      </c>
      <c r="S50" s="799">
        <f>(R50+S182)*(1-IFERROR(IF(S$2+$F50&lt;=12,SUMIFS('Attrition Modeling'!$D:$D,'Attrition Modeling'!$B:$B,'IP Attrition'!$D50,'Attrition Modeling'!$C:$C,'IP Attrition'!S$1),VLOOKUP($F50+S$2,$A$6:$C$106,2,FALSE)*VLOOKUP(S$1,'Attrition Modeling'!$L$15:$N$27,IF(S$2+$F50&lt;=24,2,3),FALSE)),$C$3)*(1+Projection!U$16)*(1+IF(S182&gt;0,'Attrition Modeling'!$N$9,0)))</f>
        <v>0</v>
      </c>
      <c r="T50" s="799">
        <f>(S50+T182)*(1-IFERROR(IF(T$2+$F50&lt;=12,SUMIFS('Attrition Modeling'!$D:$D,'Attrition Modeling'!$B:$B,'IP Attrition'!$D50,'Attrition Modeling'!$C:$C,'IP Attrition'!T$1),VLOOKUP($F50+T$2,$A$6:$C$106,2,FALSE)*VLOOKUP(T$1,'Attrition Modeling'!$L$15:$N$27,IF(T$2+$F50&lt;=24,2,3),FALSE)),$C$3)*(1+Projection!V$16)*(1+IF(T182&gt;0,'Attrition Modeling'!$N$9,0)))</f>
        <v>0</v>
      </c>
      <c r="U50" s="799">
        <f>(T50+U182)*(1-IFERROR(IF(U$2+$F50&lt;=12,SUMIFS('Attrition Modeling'!$D:$D,'Attrition Modeling'!$B:$B,'IP Attrition'!$D50,'Attrition Modeling'!$C:$C,'IP Attrition'!U$1),VLOOKUP($F50+U$2,$A$6:$C$106,2,FALSE)*VLOOKUP(U$1,'Attrition Modeling'!$L$15:$N$27,IF(U$2+$F50&lt;=24,2,3),FALSE)),$C$3)*(1+Projection!W$16)*(1+IF(U182&gt;0,'Attrition Modeling'!$N$9,0)))</f>
        <v>0</v>
      </c>
      <c r="V50" s="799">
        <f>(U50+V182)*(1-IFERROR(IF(V$2+$F50&lt;=12,SUMIFS('Attrition Modeling'!$D:$D,'Attrition Modeling'!$B:$B,'IP Attrition'!$D50,'Attrition Modeling'!$C:$C,'IP Attrition'!V$1),VLOOKUP($F50+V$2,$A$6:$C$106,2,FALSE)*VLOOKUP(V$1,'Attrition Modeling'!$L$15:$N$27,IF(V$2+$F50&lt;=24,2,3),FALSE)),$C$3)*(1+Projection!X$16)*(1+IF(V182&gt;0,'Attrition Modeling'!$N$9,0)))</f>
        <v>0</v>
      </c>
      <c r="W50" s="799">
        <f>(V50+W182)*(1-IFERROR(IF(W$2+$F50&lt;=12,SUMIFS('Attrition Modeling'!$D:$D,'Attrition Modeling'!$B:$B,'IP Attrition'!$D50,'Attrition Modeling'!$C:$C,'IP Attrition'!W$1),VLOOKUP($F50+W$2,$A$6:$C$106,2,FALSE)*VLOOKUP(W$1,'Attrition Modeling'!$L$15:$N$27,IF(W$2+$F50&lt;=24,2,3),FALSE)),$C$3)*(1+Projection!Y$16)*(1+IF(W182&gt;0,'Attrition Modeling'!$N$9,0)))</f>
        <v>0</v>
      </c>
      <c r="X50" s="799">
        <f>(W50+X182)*(1-IFERROR(IF(X$2+$F50&lt;=12,SUMIFS('Attrition Modeling'!$D:$D,'Attrition Modeling'!$B:$B,'IP Attrition'!$D50,'Attrition Modeling'!$C:$C,'IP Attrition'!X$1),VLOOKUP($F50+X$2,$A$6:$C$106,2,FALSE)*VLOOKUP(X$1,'Attrition Modeling'!$L$15:$N$27,IF(X$2+$F50&lt;=24,2,3),FALSE)),$C$3)*(1+Projection!Z$16)*(1+IF(X182&gt;0,'Attrition Modeling'!$N$9,0)))</f>
        <v>0</v>
      </c>
      <c r="Y50" s="799">
        <f>(X50+Y182)*(1-IFERROR(IF(Y$2+$F50&lt;=12,SUMIFS('Attrition Modeling'!$D:$D,'Attrition Modeling'!$B:$B,'IP Attrition'!$D50,'Attrition Modeling'!$C:$C,'IP Attrition'!Y$1),VLOOKUP($F50+Y$2,$A$6:$C$106,2,FALSE)*VLOOKUP(Y$1,'Attrition Modeling'!$L$15:$N$27,IF(Y$2+$F50&lt;=24,2,3),FALSE)),$C$3)*(1+Projection!AA$16)*(1+IF(Y182&gt;0,'Attrition Modeling'!$N$9,0)))</f>
        <v>0</v>
      </c>
      <c r="Z50" s="799">
        <f>(Y50+Z182)*(1-IFERROR(IF(Z$2+$F50&lt;=12,SUMIFS('Attrition Modeling'!$D:$D,'Attrition Modeling'!$B:$B,'IP Attrition'!$D50,'Attrition Modeling'!$C:$C,'IP Attrition'!Z$1),VLOOKUP($F50+Z$2,$A$6:$C$106,2,FALSE)*VLOOKUP(Z$1,'Attrition Modeling'!$L$15:$N$27,IF(Z$2+$F50&lt;=24,2,3),FALSE)),$C$3)*(1+Projection!AB$16)*(1+IF(Z182&gt;0,'Attrition Modeling'!$N$9,0)))</f>
        <v>0</v>
      </c>
      <c r="AA50" s="799">
        <f>(Z50+AA182)*(1-IFERROR(IF(AA$2+$F50&lt;=12,SUMIFS('Attrition Modeling'!$D:$D,'Attrition Modeling'!$B:$B,'IP Attrition'!$D50,'Attrition Modeling'!$C:$C,'IP Attrition'!AA$1),VLOOKUP($F50+AA$2,$A$6:$C$106,2,FALSE)*VLOOKUP(AA$1,'Attrition Modeling'!$L$15:$N$27,IF(AA$2+$F50&lt;=24,2,3),FALSE)),$C$3)*(1+Projection!AC$16)*(1+IF(AA182&gt;0,'Attrition Modeling'!$N$9,0)))</f>
        <v>0</v>
      </c>
      <c r="AB50" s="799">
        <f>(AA50+AB182)*(1-IFERROR(IF(AB$2+$F50&lt;=12,SUMIFS('Attrition Modeling'!$D:$D,'Attrition Modeling'!$B:$B,'IP Attrition'!$D50,'Attrition Modeling'!$C:$C,'IP Attrition'!AB$1),VLOOKUP($F50+AB$2,$A$6:$C$106,2,FALSE)*VLOOKUP(AB$1,'Attrition Modeling'!$L$15:$N$27,IF(AB$2+$F50&lt;=24,2,3),FALSE)),$C$3)*(1+Projection!AD$16)*(1+IF(AB182&gt;0,'Attrition Modeling'!$N$9,0)))</f>
        <v>0</v>
      </c>
      <c r="AC50" s="799">
        <f>(AB50+AC182)*(1-IFERROR(IF(AC$2+$F50&lt;=12,SUMIFS('Attrition Modeling'!$D:$D,'Attrition Modeling'!$B:$B,'IP Attrition'!$D50,'Attrition Modeling'!$C:$C,'IP Attrition'!AC$1),VLOOKUP($F50+AC$2,$A$6:$C$106,2,FALSE)*VLOOKUP(AC$1,'Attrition Modeling'!$L$15:$N$27,IF(AC$2+$F50&lt;=24,2,3),FALSE)),$C$3)*(1+Projection!AE$16)*(1+IF(AC182&gt;0,'Attrition Modeling'!$N$9,0)))</f>
        <v>0</v>
      </c>
      <c r="AD50" s="799">
        <f>(AC50+AD182)*(1-IFERROR(IF(AD$2+$F50&lt;=12,SUMIFS('Attrition Modeling'!$D:$D,'Attrition Modeling'!$B:$B,'IP Attrition'!$D50,'Attrition Modeling'!$C:$C,'IP Attrition'!AD$1),VLOOKUP($F50+AD$2,$A$6:$C$106,2,FALSE)*VLOOKUP(AD$1,'Attrition Modeling'!$L$15:$N$27,IF(AD$2+$F50&lt;=24,2,3),FALSE)),$C$3)*(1+Projection!AF$16)*(1+IF(AD182&gt;0,'Attrition Modeling'!$N$9,0)))</f>
        <v>0</v>
      </c>
      <c r="AE50" s="799">
        <f>(AD50+AE182)*(1-IFERROR(IF(AE$2+$F50&lt;=12,SUMIFS('Attrition Modeling'!$D:$D,'Attrition Modeling'!$B:$B,'IP Attrition'!$D50,'Attrition Modeling'!$C:$C,'IP Attrition'!AE$1),VLOOKUP($F50+AE$2,$A$6:$C$106,2,FALSE)*VLOOKUP(AE$1,'Attrition Modeling'!$L$15:$N$27,IF(AE$2+$F50&lt;=24,2,3),FALSE)),$C$3)*(1+Projection!AG$16)*(1+IF(AE182&gt;0,'Attrition Modeling'!$N$9,0)))</f>
        <v>0</v>
      </c>
      <c r="AF50" s="799">
        <f>(AE50+AF182)*(1-IFERROR(IF(AF$2+$F50&lt;=12,SUMIFS('Attrition Modeling'!$D:$D,'Attrition Modeling'!$B:$B,'IP Attrition'!$D50,'Attrition Modeling'!$C:$C,'IP Attrition'!AF$1),VLOOKUP($F50+AF$2,$A$6:$C$106,2,FALSE)*VLOOKUP(AF$1,'Attrition Modeling'!$L$15:$N$27,IF(AF$2+$F50&lt;=24,2,3),FALSE)),$C$3)*(1+Projection!AH$16)*(1+IF(AF182&gt;0,'Attrition Modeling'!$N$9,0)))</f>
        <v>0</v>
      </c>
      <c r="AG50" s="799">
        <f>(AF50+AG182)*(1-IFERROR(IF(AG$2+$F50&lt;=12,SUMIFS('Attrition Modeling'!$D:$D,'Attrition Modeling'!$B:$B,'IP Attrition'!$D50,'Attrition Modeling'!$C:$C,'IP Attrition'!AG$1),VLOOKUP($F50+AG$2,$A$6:$C$106,2,FALSE)*VLOOKUP(AG$1,'Attrition Modeling'!$L$15:$N$27,IF(AG$2+$F50&lt;=24,2,3),FALSE)),$C$3)*(1+Projection!AI$16)*(1+IF(AG182&gt;0,'Attrition Modeling'!$N$9,0)))</f>
        <v>0</v>
      </c>
      <c r="AH50" s="799">
        <f>(AG50+AH182)*(1-IFERROR(IF(AH$2+$F50&lt;=12,SUMIFS('Attrition Modeling'!$D:$D,'Attrition Modeling'!$B:$B,'IP Attrition'!$D50,'Attrition Modeling'!$C:$C,'IP Attrition'!AH$1),VLOOKUP($F50+AH$2,$A$6:$C$106,2,FALSE)*VLOOKUP(AH$1,'Attrition Modeling'!$L$15:$N$27,IF(AH$2+$F50&lt;=24,2,3),FALSE)),$C$3)*(1+Projection!AJ$16)*(1+IF(AH182&gt;0,'Attrition Modeling'!$N$9,0)))</f>
        <v>0</v>
      </c>
      <c r="AI50" s="799">
        <f>(AH50+AI182)*(1-IFERROR(IF(AI$2+$F50&lt;=12,SUMIFS('Attrition Modeling'!$D:$D,'Attrition Modeling'!$B:$B,'IP Attrition'!$D50,'Attrition Modeling'!$C:$C,'IP Attrition'!AI$1),VLOOKUP($F50+AI$2,$A$6:$C$106,2,FALSE)*VLOOKUP(AI$1,'Attrition Modeling'!$L$15:$N$27,IF(AI$2+$F50&lt;=24,2,3),FALSE)),$C$3)*(1+Projection!AK$16)*(1+IF(AI182&gt;0,'Attrition Modeling'!$N$9,0)))</f>
        <v>0</v>
      </c>
      <c r="AJ50" s="799">
        <f>(AI50+AJ182)*(1-IFERROR(IF(AJ$2+$F50&lt;=12,SUMIFS('Attrition Modeling'!$D:$D,'Attrition Modeling'!$B:$B,'IP Attrition'!$D50,'Attrition Modeling'!$C:$C,'IP Attrition'!AJ$1),VLOOKUP($F50+AJ$2,$A$6:$C$106,2,FALSE)*VLOOKUP(AJ$1,'Attrition Modeling'!$L$15:$N$27,IF(AJ$2+$F50&lt;=24,2,3),FALSE)),$C$3)*(1+Projection!AL$16)*(1+IF(AJ182&gt;0,'Attrition Modeling'!$N$9,0)))</f>
        <v>0</v>
      </c>
      <c r="AK50" s="799">
        <f>(AJ50+AK182)*(1-IFERROR(IF(AK$2+$F50&lt;=12,SUMIFS('Attrition Modeling'!$D:$D,'Attrition Modeling'!$B:$B,'IP Attrition'!$D50,'Attrition Modeling'!$C:$C,'IP Attrition'!AK$1),VLOOKUP($F50+AK$2,$A$6:$C$106,2,FALSE)*VLOOKUP(AK$1,'Attrition Modeling'!$L$15:$N$27,IF(AK$2+$F50&lt;=24,2,3),FALSE)),$C$3)*(1+Projection!AM$16)*(1+IF(AK182&gt;0,'Attrition Modeling'!$N$9,0)))</f>
        <v>0</v>
      </c>
      <c r="AL50" s="799">
        <f>(AK50+AL182)*(1-IFERROR(IF(AL$2+$F50&lt;=12,SUMIFS('Attrition Modeling'!$D:$D,'Attrition Modeling'!$B:$B,'IP Attrition'!$D50,'Attrition Modeling'!$C:$C,'IP Attrition'!AL$1),VLOOKUP($F50+AL$2,$A$6:$C$106,2,FALSE)*VLOOKUP(AL$1,'Attrition Modeling'!$L$15:$N$27,IF(AL$2+$F50&lt;=24,2,3),FALSE)),$C$3)*(1+Projection!AN$16)*(1+IF(AL182&gt;0,'Attrition Modeling'!$N$9,0)))</f>
        <v>0</v>
      </c>
      <c r="AM50" s="799">
        <f>(AL50+AM182)*(1-IFERROR(IF(AM$2+$F50&lt;=12,SUMIFS('Attrition Modeling'!$D:$D,'Attrition Modeling'!$B:$B,'IP Attrition'!$D50,'Attrition Modeling'!$C:$C,'IP Attrition'!AM$1),VLOOKUP($F50+AM$2,$A$6:$C$106,2,FALSE)*VLOOKUP(AM$1,'Attrition Modeling'!$L$15:$N$27,IF(AM$2+$F50&lt;=24,2,3),FALSE)),$C$3)*(1+Projection!AO$16)*(1+IF(AM182&gt;0,'Attrition Modeling'!$N$9,0)))</f>
        <v>0</v>
      </c>
      <c r="AN50" s="799">
        <f>(AM50+AN182)*(1-IFERROR(IF(AN$2+$F50&lt;=12,SUMIFS('Attrition Modeling'!$D:$D,'Attrition Modeling'!$B:$B,'IP Attrition'!$D50,'Attrition Modeling'!$C:$C,'IP Attrition'!AN$1),VLOOKUP($F50+AN$2,$A$6:$C$106,2,FALSE)*VLOOKUP(AN$1,'Attrition Modeling'!$L$15:$N$27,IF(AN$2+$F50&lt;=24,2,3),FALSE)),$C$3)*(1+Projection!AP$16)*(1+IF(AN182&gt;0,'Attrition Modeling'!$N$9,0)))</f>
        <v>0</v>
      </c>
      <c r="AO50" s="799">
        <f>(AN50+AO182)*(1-IFERROR(IF(AO$2+$F50&lt;=12,SUMIFS('Attrition Modeling'!$D:$D,'Attrition Modeling'!$B:$B,'IP Attrition'!$D50,'Attrition Modeling'!$C:$C,'IP Attrition'!AO$1),VLOOKUP($F50+AO$2,$A$6:$C$106,2,FALSE)*VLOOKUP(AO$1,'Attrition Modeling'!$L$15:$N$27,IF(AO$2+$F50&lt;=24,2,3),FALSE)),$C$3)*(1+Projection!AQ$16)*(1+IF(AO182&gt;0,'Attrition Modeling'!$N$9,0)))</f>
        <v>0</v>
      </c>
      <c r="AP50" s="799">
        <f>(AO50+AP182)*(1-IFERROR(IF(AP$2+$F50&lt;=12,SUMIFS('Attrition Modeling'!$D:$D,'Attrition Modeling'!$B:$B,'IP Attrition'!$D50,'Attrition Modeling'!$C:$C,'IP Attrition'!AP$1),VLOOKUP($F50+AP$2,$A$6:$C$106,2,FALSE)*VLOOKUP(AP$1,'Attrition Modeling'!$L$15:$N$27,IF(AP$2+$F50&lt;=24,2,3),FALSE)),$C$3)*(1+Projection!AR$16)*(1+IF(AP182&gt;0,'Attrition Modeling'!$N$9,0)))</f>
        <v>0</v>
      </c>
      <c r="AQ50" s="799">
        <f>(AP50+AQ182)*(1-IFERROR(IF(AQ$2+$F50&lt;=12,SUMIFS('Attrition Modeling'!$D:$D,'Attrition Modeling'!$B:$B,'IP Attrition'!$D50,'Attrition Modeling'!$C:$C,'IP Attrition'!AQ$1),VLOOKUP($F50+AQ$2,$A$6:$C$106,2,FALSE)*VLOOKUP(AQ$1,'Attrition Modeling'!$L$15:$N$27,IF(AQ$2+$F50&lt;=24,2,3),FALSE)),$C$3)*(1+Projection!AS$16)*(1+IF(AQ182&gt;0,'Attrition Modeling'!$N$9,0)))</f>
        <v>0</v>
      </c>
      <c r="AR50" s="799">
        <f>(AQ50+AR182)*(1-IFERROR(IF(AR$2+$F50&lt;=12,SUMIFS('Attrition Modeling'!$D:$D,'Attrition Modeling'!$B:$B,'IP Attrition'!$D50,'Attrition Modeling'!$C:$C,'IP Attrition'!AR$1),VLOOKUP($F50+AR$2,$A$6:$C$106,2,FALSE)*VLOOKUP(AR$1,'Attrition Modeling'!$L$15:$N$27,IF(AR$2+$F50&lt;=24,2,3),FALSE)),$C$3)*(1+Projection!AT$16)*(1+IF(AR182&gt;0,'Attrition Modeling'!$N$9,0)))</f>
        <v>0</v>
      </c>
      <c r="AS50" s="799">
        <f>(AR50+AS182)*(1-IFERROR(IF(AS$2+$F50&lt;=12,SUMIFS('Attrition Modeling'!$D:$D,'Attrition Modeling'!$B:$B,'IP Attrition'!$D50,'Attrition Modeling'!$C:$C,'IP Attrition'!AS$1),VLOOKUP($F50+AS$2,$A$6:$C$106,2,FALSE)*VLOOKUP(AS$1,'Attrition Modeling'!$L$15:$N$27,IF(AS$2+$F50&lt;=24,2,3),FALSE)),$C$3)*(1+Projection!AU$16)*(1+IF(AS182&gt;0,'Attrition Modeling'!$N$9,0)))</f>
        <v>0</v>
      </c>
      <c r="AT50" s="799">
        <f>(AS50+AT182)*(1-IFERROR(IF(AT$2+$F50&lt;=12,SUMIFS('Attrition Modeling'!$D:$D,'Attrition Modeling'!$B:$B,'IP Attrition'!$D50,'Attrition Modeling'!$C:$C,'IP Attrition'!AT$1),VLOOKUP($F50+AT$2,$A$6:$C$106,2,FALSE)*VLOOKUP(AT$1,'Attrition Modeling'!$L$15:$N$27,IF(AT$2+$F50&lt;=24,2,3),FALSE)),$C$3)*(1+Projection!AV$16)*(1+IF(AT182&gt;0,'Attrition Modeling'!$N$9,0)))</f>
        <v>0</v>
      </c>
      <c r="AU50" s="799">
        <f>(AT50+AU182)*(1-IFERROR(IF(AU$2+$F50&lt;=12,SUMIFS('Attrition Modeling'!$D:$D,'Attrition Modeling'!$B:$B,'IP Attrition'!$D50,'Attrition Modeling'!$C:$C,'IP Attrition'!AU$1),VLOOKUP($F50+AU$2,$A$6:$C$106,2,FALSE)*VLOOKUP(AU$1,'Attrition Modeling'!$L$15:$N$27,IF(AU$2+$F50&lt;=24,2,3),FALSE)),$C$3)*(1+Projection!AW$16)*(1+IF(AU182&gt;0,'Attrition Modeling'!$N$9,0)))</f>
        <v>0</v>
      </c>
      <c r="AV50" s="799">
        <f>(AU50+AV182)*(1-IFERROR(IF(AV$2+$F50&lt;=12,SUMIFS('Attrition Modeling'!$D:$D,'Attrition Modeling'!$B:$B,'IP Attrition'!$D50,'Attrition Modeling'!$C:$C,'IP Attrition'!AV$1),VLOOKUP($F50+AV$2,$A$6:$C$106,2,FALSE)*VLOOKUP(AV$1,'Attrition Modeling'!$L$15:$N$27,IF(AV$2+$F50&lt;=24,2,3),FALSE)),$C$3)*(1+Projection!AX$16)*(1+IF(AV182&gt;0,'Attrition Modeling'!$N$9,0)))</f>
        <v>0</v>
      </c>
      <c r="AW50" s="799">
        <f>(AV50+AW182)*(1-IFERROR(IF(AW$2+$F50&lt;=12,SUMIFS('Attrition Modeling'!$D:$D,'Attrition Modeling'!$B:$B,'IP Attrition'!$D50,'Attrition Modeling'!$C:$C,'IP Attrition'!AW$1),VLOOKUP($F50+AW$2,$A$6:$C$106,2,FALSE)*VLOOKUP(AW$1,'Attrition Modeling'!$L$15:$N$27,IF(AW$2+$F50&lt;=24,2,3),FALSE)),$C$3)*(1+Projection!AY$16)*(1+IF(AW182&gt;0,'Attrition Modeling'!$N$9,0)))</f>
        <v>0</v>
      </c>
      <c r="AX50" s="799">
        <f>(AW50+AX182)*(1-IFERROR(IF(AX$2+$F50&lt;=12,SUMIFS('Attrition Modeling'!$D:$D,'Attrition Modeling'!$B:$B,'IP Attrition'!$D50,'Attrition Modeling'!$C:$C,'IP Attrition'!AX$1),VLOOKUP($F50+AX$2,$A$6:$C$106,2,FALSE)*VLOOKUP(AX$1,'Attrition Modeling'!$L$15:$N$27,IF(AX$2+$F50&lt;=24,2,3),FALSE)),$C$3)*(1+Projection!AZ$16)*(1+IF(AX182&gt;0,'Attrition Modeling'!$N$9,0)))</f>
        <v>0</v>
      </c>
      <c r="AY50" s="799">
        <f>(AX50+AY182)*(1-IFERROR(IF(AY$2+$F50&lt;=12,SUMIFS('Attrition Modeling'!$D:$D,'Attrition Modeling'!$B:$B,'IP Attrition'!$D50,'Attrition Modeling'!$C:$C,'IP Attrition'!AY$1),VLOOKUP($F50+AY$2,$A$6:$C$106,2,FALSE)*VLOOKUP(AY$1,'Attrition Modeling'!$L$15:$N$27,IF(AY$2+$F50&lt;=24,2,3),FALSE)),$C$3)*(1+Projection!BA$16)*(1+IF(AY182&gt;0,'Attrition Modeling'!$N$9,0)))</f>
        <v>0</v>
      </c>
      <c r="AZ50" s="799">
        <f>(AY50+AZ182)*(1-IFERROR(IF(AZ$2+$F50&lt;=12,SUMIFS('Attrition Modeling'!$D:$D,'Attrition Modeling'!$B:$B,'IP Attrition'!$D50,'Attrition Modeling'!$C:$C,'IP Attrition'!AZ$1),VLOOKUP($F50+AZ$2,$A$6:$C$106,2,FALSE)*VLOOKUP(AZ$1,'Attrition Modeling'!$L$15:$N$27,IF(AZ$2+$F50&lt;=24,2,3),FALSE)),$C$3)*(1+Projection!BB$16)*(1+IF(AZ182&gt;0,'Attrition Modeling'!$N$9,0)))</f>
        <v>0</v>
      </c>
      <c r="BA50" s="799">
        <f>(AZ50+BA182)*(1-IFERROR(IF(BA$2+$F50&lt;=12,SUMIFS('Attrition Modeling'!$D:$D,'Attrition Modeling'!$B:$B,'IP Attrition'!$D50,'Attrition Modeling'!$C:$C,'IP Attrition'!BA$1),VLOOKUP($F50+BA$2,$A$6:$C$106,2,FALSE)*VLOOKUP(BA$1,'Attrition Modeling'!$L$15:$N$27,IF(BA$2+$F50&lt;=24,2,3),FALSE)),$C$3)*(1+Projection!BC$16)*(1+IF(BA182&gt;0,'Attrition Modeling'!$N$9,0)))</f>
        <v>0</v>
      </c>
      <c r="BB50" s="799">
        <f>(BA50+BB182)*(1-IFERROR(IF(BB$2+$F50&lt;=12,SUMIFS('Attrition Modeling'!$D:$D,'Attrition Modeling'!$B:$B,'IP Attrition'!$D50,'Attrition Modeling'!$C:$C,'IP Attrition'!BB$1),VLOOKUP($F50+BB$2,$A$6:$C$106,2,FALSE)*VLOOKUP(BB$1,'Attrition Modeling'!$L$15:$N$27,IF(BB$2+$F50&lt;=24,2,3),FALSE)),$C$3)*(1+Projection!BD$16)*(1+IF(BB182&gt;0,'Attrition Modeling'!$N$9,0)))</f>
        <v>0</v>
      </c>
      <c r="BC50" s="799">
        <f>(BB50+BC182)*(1-IFERROR(IF(BC$2+$F50&lt;=12,SUMIFS('Attrition Modeling'!$D:$D,'Attrition Modeling'!$B:$B,'IP Attrition'!$D50,'Attrition Modeling'!$C:$C,'IP Attrition'!BC$1),VLOOKUP($F50+BC$2,$A$6:$C$106,2,FALSE)*VLOOKUP(BC$1,'Attrition Modeling'!$L$15:$N$27,IF(BC$2+$F50&lt;=24,2,3),FALSE)),$C$3)*(1+Projection!BE$16)*(1+IF(BC182&gt;0,'Attrition Modeling'!$N$9,0)))</f>
        <v>0</v>
      </c>
      <c r="BD50" s="799">
        <f>(BC50+BD182)*(1-IFERROR(IF(BD$2+$F50&lt;=12,SUMIFS('Attrition Modeling'!$D:$D,'Attrition Modeling'!$B:$B,'IP Attrition'!$D50,'Attrition Modeling'!$C:$C,'IP Attrition'!BD$1),VLOOKUP($F50+BD$2,$A$6:$C$106,2,FALSE)*VLOOKUP(BD$1,'Attrition Modeling'!$L$15:$N$27,IF(BD$2+$F50&lt;=24,2,3),FALSE)),$C$3)*(1+Projection!BF$16)*(1+IF(BD182&gt;0,'Attrition Modeling'!$N$9,0)))</f>
        <v>0</v>
      </c>
      <c r="BE50" s="799">
        <f>(BD50+BE182)*(1-IFERROR(IF(BE$2+$F50&lt;=12,SUMIFS('Attrition Modeling'!$D:$D,'Attrition Modeling'!$B:$B,'IP Attrition'!$D50,'Attrition Modeling'!$C:$C,'IP Attrition'!BE$1),VLOOKUP($F50+BE$2,$A$6:$C$106,2,FALSE)*VLOOKUP(BE$1,'Attrition Modeling'!$L$15:$N$27,IF(BE$2+$F50&lt;=24,2,3),FALSE)),$C$3)*(1+Projection!BG$16)*(1+IF(BE182&gt;0,'Attrition Modeling'!$N$9,0)))</f>
        <v>0</v>
      </c>
      <c r="BF50" s="799">
        <f>(BE50+BF182)*(1-IFERROR(IF(BF$2+$F50&lt;=12,SUMIFS('Attrition Modeling'!$D:$D,'Attrition Modeling'!$B:$B,'IP Attrition'!$D50,'Attrition Modeling'!$C:$C,'IP Attrition'!BF$1),VLOOKUP($F50+BF$2,$A$6:$C$106,2,FALSE)*VLOOKUP(BF$1,'Attrition Modeling'!$L$15:$N$27,IF(BF$2+$F50&lt;=24,2,3),FALSE)),$C$3)*(1+Projection!BH$16)*(1+IF(BF182&gt;0,'Attrition Modeling'!$N$9,0)))</f>
        <v>0</v>
      </c>
      <c r="BG50" s="799">
        <f>(BF50+BG182)*(1-IFERROR(IF(BG$2+$F50&lt;=12,SUMIFS('Attrition Modeling'!$D:$D,'Attrition Modeling'!$B:$B,'IP Attrition'!$D50,'Attrition Modeling'!$C:$C,'IP Attrition'!BG$1),VLOOKUP($F50+BG$2,$A$6:$C$106,2,FALSE)*VLOOKUP(BG$1,'Attrition Modeling'!$L$15:$N$27,IF(BG$2+$F50&lt;=24,2,3),FALSE)),$C$3)*(1+Projection!BI$16)*(1+IF(BG182&gt;0,'Attrition Modeling'!$N$9,0)))</f>
        <v>0</v>
      </c>
      <c r="BH50" s="799">
        <f>(BG50+BH182)*(1-IFERROR(IF(BH$2+$F50&lt;=12,SUMIFS('Attrition Modeling'!$D:$D,'Attrition Modeling'!$B:$B,'IP Attrition'!$D50,'Attrition Modeling'!$C:$C,'IP Attrition'!BH$1),VLOOKUP($F50+BH$2,$A$6:$C$106,2,FALSE)*VLOOKUP(BH$1,'Attrition Modeling'!$L$15:$N$27,IF(BH$2+$F50&lt;=24,2,3),FALSE)),$C$3)*(1+Projection!BJ$16)*(1+IF(BH182&gt;0,'Attrition Modeling'!$N$9,0)))</f>
        <v>0</v>
      </c>
      <c r="BI50" s="799">
        <f>(BH50+BI182)*(1-IFERROR(IF(BI$2+$F50&lt;=12,SUMIFS('Attrition Modeling'!$D:$D,'Attrition Modeling'!$B:$B,'IP Attrition'!$D50,'Attrition Modeling'!$C:$C,'IP Attrition'!BI$1),VLOOKUP($F50+BI$2,$A$6:$C$106,2,FALSE)*VLOOKUP(BI$1,'Attrition Modeling'!$L$15:$N$27,IF(BI$2+$F50&lt;=24,2,3),FALSE)),$C$3)*(1+Projection!BK$16)*(1+IF(BI182&gt;0,'Attrition Modeling'!$N$9,0)))</f>
        <v>0</v>
      </c>
      <c r="BJ50" s="799">
        <f>(BI50+BJ182)*(1-IFERROR(IF(BJ$2+$F50&lt;=12,SUMIFS('Attrition Modeling'!$D:$D,'Attrition Modeling'!$B:$B,'IP Attrition'!$D50,'Attrition Modeling'!$C:$C,'IP Attrition'!BJ$1),VLOOKUP($F50+BJ$2,$A$6:$C$106,2,FALSE)*VLOOKUP(BJ$1,'Attrition Modeling'!$L$15:$N$27,IF(BJ$2+$F50&lt;=24,2,3),FALSE)),$C$3)*(1+Projection!BL$16)*(1+IF(BJ182&gt;0,'Attrition Modeling'!$N$9,0)))</f>
        <v>0</v>
      </c>
      <c r="BK50" s="799">
        <f>(BJ50+BK182)*(1-IFERROR(IF(BK$2+$F50&lt;=12,SUMIFS('Attrition Modeling'!$D:$D,'Attrition Modeling'!$B:$B,'IP Attrition'!$D50,'Attrition Modeling'!$C:$C,'IP Attrition'!BK$1),VLOOKUP($F50+BK$2,$A$6:$C$106,2,FALSE)*VLOOKUP(BK$1,'Attrition Modeling'!$L$15:$N$27,IF(BK$2+$F50&lt;=24,2,3),FALSE)),$C$3)*(1+Projection!BM$16)*(1+IF(BK182&gt;0,'Attrition Modeling'!$N$9,0)))</f>
        <v>0</v>
      </c>
      <c r="BL50" s="799">
        <f>(BK50+BL182)*(1-IFERROR(IF(BL$2+$F50&lt;=12,SUMIFS('Attrition Modeling'!$D:$D,'Attrition Modeling'!$B:$B,'IP Attrition'!$D50,'Attrition Modeling'!$C:$C,'IP Attrition'!BL$1),VLOOKUP($F50+BL$2,$A$6:$C$106,2,FALSE)*VLOOKUP(BL$1,'Attrition Modeling'!$L$15:$N$27,IF(BL$2+$F50&lt;=24,2,3),FALSE)),$C$3)*(1+Projection!BN$16)*(1+IF(BL182&gt;0,'Attrition Modeling'!$N$9,0)))</f>
        <v>0</v>
      </c>
      <c r="BM50" s="799">
        <f>(BL50+BM182)*(1-IFERROR(IF(BM$2+$F50&lt;=12,SUMIFS('Attrition Modeling'!$D:$D,'Attrition Modeling'!$B:$B,'IP Attrition'!$D50,'Attrition Modeling'!$C:$C,'IP Attrition'!BM$1),VLOOKUP($F50+BM$2,$A$6:$C$106,2,FALSE)*VLOOKUP(BM$1,'Attrition Modeling'!$L$15:$N$27,IF(BM$2+$F50&lt;=24,2,3),FALSE)),$C$3)*(1+Projection!BO$16)*(1+IF(BM182&gt;0,'Attrition Modeling'!$N$9,0)))</f>
        <v>0</v>
      </c>
      <c r="BN50" s="799">
        <f>(BM50+BN182)*(1-IFERROR(IF(BN$2+$F50&lt;=12,SUMIFS('Attrition Modeling'!$D:$D,'Attrition Modeling'!$B:$B,'IP Attrition'!$D50,'Attrition Modeling'!$C:$C,'IP Attrition'!BN$1),VLOOKUP($F50+BN$2,$A$6:$C$106,2,FALSE)*VLOOKUP(BN$1,'Attrition Modeling'!$L$15:$N$27,IF(BN$2+$F50&lt;=24,2,3),FALSE)),$C$3)*(1+Projection!BP$16)*(1+IF(BN182&gt;0,'Attrition Modeling'!$N$9,0)))</f>
        <v>0</v>
      </c>
      <c r="BO50" s="799">
        <f>(BN50+BO182)*(1-IFERROR(IF(BO$2+$F50&lt;=12,SUMIFS('Attrition Modeling'!$D:$D,'Attrition Modeling'!$B:$B,'IP Attrition'!$D50,'Attrition Modeling'!$C:$C,'IP Attrition'!BO$1),VLOOKUP($F50+BO$2,$A$6:$C$106,2,FALSE)*VLOOKUP(BO$1,'Attrition Modeling'!$L$15:$N$27,IF(BO$2+$F50&lt;=24,2,3),FALSE)),$C$3)*(1+Projection!BV$16)*(1+IF(BO182&gt;0,'Attrition Modeling'!$N$9,0)))</f>
        <v>0</v>
      </c>
      <c r="BP50" s="799">
        <f>(BO50+BP182)*(1-IFERROR(IF(BP$2+$F50&lt;=12,SUMIFS('Attrition Modeling'!$D:$D,'Attrition Modeling'!$B:$B,'IP Attrition'!$D50,'Attrition Modeling'!$C:$C,'IP Attrition'!BP$1),VLOOKUP($F50+BP$2,$A$6:$C$106,2,FALSE)*VLOOKUP(BP$1,'Attrition Modeling'!$L$15:$N$27,IF(BP$2+$F50&lt;=24,2,3),FALSE)),$C$3)*(1+Projection!BW$16)*(1+IF(BP182&gt;0,'Attrition Modeling'!$N$9,0)))</f>
        <v>0</v>
      </c>
      <c r="BQ50" s="799">
        <f>(BP50+BQ182)*(1-IFERROR(IF(BQ$2+$F50&lt;=12,SUMIFS('Attrition Modeling'!$D:$D,'Attrition Modeling'!$B:$B,'IP Attrition'!$D50,'Attrition Modeling'!$C:$C,'IP Attrition'!BQ$1),VLOOKUP($F50+BQ$2,$A$6:$C$106,2,FALSE)*VLOOKUP(BQ$1,'Attrition Modeling'!$L$15:$N$27,IF(BQ$2+$F50&lt;=24,2,3),FALSE)),$C$3)*(1+Projection!BX$16)*(1+IF(BQ182&gt;0,'Attrition Modeling'!$N$9,0)))</f>
        <v>0</v>
      </c>
      <c r="BR50" s="799">
        <f>(BQ50+BR182)*(1-IFERROR(IF(BR$2+$F50&lt;=12,SUMIFS('Attrition Modeling'!$D:$D,'Attrition Modeling'!$B:$B,'IP Attrition'!$D50,'Attrition Modeling'!$C:$C,'IP Attrition'!BR$1),VLOOKUP($F50+BR$2,$A$6:$C$106,2,FALSE)*VLOOKUP(BR$1,'Attrition Modeling'!$L$15:$N$27,IF(BR$2+$F50&lt;=24,2,3),FALSE)),$C$3)*(1+Projection!BY$16)*(1+IF(BR182&gt;0,'Attrition Modeling'!$N$9,0)))</f>
        <v>0</v>
      </c>
      <c r="BS50" s="799">
        <f>(BR50+BS182)*(1-IFERROR(IF(BS$2+$F50&lt;=12,SUMIFS('Attrition Modeling'!$D:$D,'Attrition Modeling'!$B:$B,'IP Attrition'!$D50,'Attrition Modeling'!$C:$C,'IP Attrition'!BS$1),VLOOKUP($F50+BS$2,$A$6:$C$106,2,FALSE)*VLOOKUP(BS$1,'Attrition Modeling'!$L$15:$N$27,IF(BS$2+$F50&lt;=24,2,3),FALSE)),$C$3)*(1+Projection!BZ$16)*(1+IF(BS182&gt;0,'Attrition Modeling'!$N$9,0)))</f>
        <v>0</v>
      </c>
      <c r="BT50" s="799" t="e">
        <f>(BS50+BT182)*(1-IFERROR(IF(BT$2+$F50&lt;=12,SUMIFS('Attrition Modeling'!$D:$D,'Attrition Modeling'!$B:$B,'IP Attrition'!$D50,'Attrition Modeling'!$C:$C,'IP Attrition'!BT$1),VLOOKUP($F50+BT$2,$A$6:$C$106,2,FALSE)*VLOOKUP(BT$1,'Attrition Modeling'!$L$15:$N$27,IF(BT$2+$F50&lt;=24,2,3),FALSE)),$C$3)*(1+Projection!CA$16)*(1+IF(BT182&gt;0,'Attrition Modeling'!$N$9,0)))</f>
        <v>#REF!</v>
      </c>
      <c r="BU50" s="799" t="e">
        <f>(BT50+BU182)*(1-IFERROR(IF(BU$2+$F50&lt;=12,SUMIFS('Attrition Modeling'!$D:$D,'Attrition Modeling'!$B:$B,'IP Attrition'!$D50,'Attrition Modeling'!$C:$C,'IP Attrition'!BU$1),VLOOKUP($F50+BU$2,$A$6:$C$106,2,FALSE)*VLOOKUP(BU$1,'Attrition Modeling'!$L$15:$N$27,IF(BU$2+$F50&lt;=24,2,3),FALSE)),$C$3)*(1+Projection!CB$16)*(1+IF(BU182&gt;0,'Attrition Modeling'!$N$9,0)))</f>
        <v>#REF!</v>
      </c>
    </row>
    <row r="51" spans="1:73" ht="14.25" customHeight="1" x14ac:dyDescent="0.2">
      <c r="A51" s="9">
        <v>44</v>
      </c>
      <c r="B51" s="25">
        <f>MAX('Attrition Modeling'!H48,$C$3)*(1-Summary!$C$20)</f>
        <v>2.7118467773799754E-2</v>
      </c>
      <c r="C51" s="24" t="e">
        <f t="shared" si="3"/>
        <v>#DIV/0!</v>
      </c>
      <c r="D51" s="11">
        <f t="shared" si="1"/>
        <v>-48</v>
      </c>
      <c r="E51" s="807">
        <f t="array" ref="E51">INDEX('Attrition Modeling'!$X$2:$AF$63,MATCH($F51,'Attrition Modeling'!$X$2:$X$63,0),MATCH(Inputs!$C$10,'Attrition Modeling'!$X$2:$AF$2,0))</f>
        <v>0</v>
      </c>
      <c r="F51" s="11">
        <f t="shared" si="2"/>
        <v>48</v>
      </c>
      <c r="G51" s="799">
        <f>Summary!$C$25*$E51</f>
        <v>0</v>
      </c>
      <c r="H51" s="799">
        <f>(G51+H183)*(1-IFERROR(IF(H$2+$F51&lt;=12,SUMIFS('Attrition Modeling'!$D:$D,'Attrition Modeling'!$B:$B,'IP Attrition'!$D51,'Attrition Modeling'!$C:$C,'IP Attrition'!H$1),VLOOKUP($F51+H$2,$A$6:$C$106,2,FALSE)*VLOOKUP(H$1,'Attrition Modeling'!$L$15:$N$27,IF(H$2+$F51&lt;=24,2,3),FALSE)),$C$3)*(1+Projection!J$16)*(1+IF(H183&gt;0,'Attrition Modeling'!$N$9,0)))</f>
        <v>0</v>
      </c>
      <c r="I51" s="799">
        <f>(H51+I183)*(1-IFERROR(IF(I$2+$F51&lt;=12,SUMIFS('Attrition Modeling'!$D:$D,'Attrition Modeling'!$B:$B,'IP Attrition'!$D51,'Attrition Modeling'!$C:$C,'IP Attrition'!I$1),VLOOKUP($F51+I$2,$A$6:$C$106,2,FALSE)*VLOOKUP(I$1,'Attrition Modeling'!$L$15:$N$27,IF(I$2+$F51&lt;=24,2,3),FALSE)),$C$3)*(1+Projection!K$16)*(1+IF(I183&gt;0,'Attrition Modeling'!$N$9,0)))</f>
        <v>0</v>
      </c>
      <c r="J51" s="799">
        <f>(I51+J183)*(1-IFERROR(IF(J$2+$F51&lt;=12,SUMIFS('Attrition Modeling'!$D:$D,'Attrition Modeling'!$B:$B,'IP Attrition'!$D51,'Attrition Modeling'!$C:$C,'IP Attrition'!J$1),VLOOKUP($F51+J$2,$A$6:$C$106,2,FALSE)*VLOOKUP(J$1,'Attrition Modeling'!$L$15:$N$27,IF(J$2+$F51&lt;=24,2,3),FALSE)),$C$3)*(1+Projection!L$16)*(1+IF(J183&gt;0,'Attrition Modeling'!$N$9,0)))</f>
        <v>0</v>
      </c>
      <c r="K51" s="799">
        <f>(J51+K183)*(1-IFERROR(IF(K$2+$F51&lt;=12,SUMIFS('Attrition Modeling'!$D:$D,'Attrition Modeling'!$B:$B,'IP Attrition'!$D51,'Attrition Modeling'!$C:$C,'IP Attrition'!K$1),VLOOKUP($F51+K$2,$A$6:$C$106,2,FALSE)*VLOOKUP(K$1,'Attrition Modeling'!$L$15:$N$27,IF(K$2+$F51&lt;=24,2,3),FALSE)),$C$3)*(1+Projection!M$16)*(1+IF(K183&gt;0,'Attrition Modeling'!$N$9,0)))</f>
        <v>0</v>
      </c>
      <c r="L51" s="799">
        <f>(K51+L183)*(1-IFERROR(IF(L$2+$F51&lt;=12,SUMIFS('Attrition Modeling'!$D:$D,'Attrition Modeling'!$B:$B,'IP Attrition'!$D51,'Attrition Modeling'!$C:$C,'IP Attrition'!L$1),VLOOKUP($F51+L$2,$A$6:$C$106,2,FALSE)*VLOOKUP(L$1,'Attrition Modeling'!$L$15:$N$27,IF(L$2+$F51&lt;=24,2,3),FALSE)),$C$3)*(1+Projection!N$16)*(1+IF(L183&gt;0,'Attrition Modeling'!$N$9,0)))</f>
        <v>0</v>
      </c>
      <c r="M51" s="799">
        <f>(L51+M183)*(1-IFERROR(IF(M$2+$F51&lt;=12,SUMIFS('Attrition Modeling'!$D:$D,'Attrition Modeling'!$B:$B,'IP Attrition'!$D51,'Attrition Modeling'!$C:$C,'IP Attrition'!M$1),VLOOKUP($F51+M$2,$A$6:$C$106,2,FALSE)*VLOOKUP(M$1,'Attrition Modeling'!$L$15:$N$27,IF(M$2+$F51&lt;=24,2,3),FALSE)),$C$3)*(1+Projection!O$16)*(1+IF(M183&gt;0,'Attrition Modeling'!$N$9,0)))</f>
        <v>0</v>
      </c>
      <c r="N51" s="799">
        <f>(M51+N183)*(1-IFERROR(IF(N$2+$F51&lt;=12,SUMIFS('Attrition Modeling'!$D:$D,'Attrition Modeling'!$B:$B,'IP Attrition'!$D51,'Attrition Modeling'!$C:$C,'IP Attrition'!N$1),VLOOKUP($F51+N$2,$A$6:$C$106,2,FALSE)*VLOOKUP(N$1,'Attrition Modeling'!$L$15:$N$27,IF(N$2+$F51&lt;=24,2,3),FALSE)),$C$3)*(1+Projection!P$16)*(1+IF(N183&gt;0,'Attrition Modeling'!$N$9,0)))</f>
        <v>0</v>
      </c>
      <c r="O51" s="799">
        <f>(N51+O183)*(1-IFERROR(IF(O$2+$F51&lt;=12,SUMIFS('Attrition Modeling'!$D:$D,'Attrition Modeling'!$B:$B,'IP Attrition'!$D51,'Attrition Modeling'!$C:$C,'IP Attrition'!O$1),VLOOKUP($F51+O$2,$A$6:$C$106,2,FALSE)*VLOOKUP(O$1,'Attrition Modeling'!$L$15:$N$27,IF(O$2+$F51&lt;=24,2,3),FALSE)),$C$3)*(1+Projection!Q$16)*(1+IF(O183&gt;0,'Attrition Modeling'!$N$9,0)))</f>
        <v>0</v>
      </c>
      <c r="P51" s="799">
        <f>(O51+P183)*(1-IFERROR(IF(P$2+$F51&lt;=12,SUMIFS('Attrition Modeling'!$D:$D,'Attrition Modeling'!$B:$B,'IP Attrition'!$D51,'Attrition Modeling'!$C:$C,'IP Attrition'!P$1),VLOOKUP($F51+P$2,$A$6:$C$106,2,FALSE)*VLOOKUP(P$1,'Attrition Modeling'!$L$15:$N$27,IF(P$2+$F51&lt;=24,2,3),FALSE)),$C$3)*(1+Projection!R$16)*(1+IF(P183&gt;0,'Attrition Modeling'!$N$9,0)))</f>
        <v>0</v>
      </c>
      <c r="Q51" s="799">
        <f>(P51+Q183)*(1-IFERROR(IF(Q$2+$F51&lt;=12,SUMIFS('Attrition Modeling'!$D:$D,'Attrition Modeling'!$B:$B,'IP Attrition'!$D51,'Attrition Modeling'!$C:$C,'IP Attrition'!Q$1),VLOOKUP($F51+Q$2,$A$6:$C$106,2,FALSE)*VLOOKUP(Q$1,'Attrition Modeling'!$L$15:$N$27,IF(Q$2+$F51&lt;=24,2,3),FALSE)),$C$3)*(1+Projection!S$16)*(1+IF(Q183&gt;0,'Attrition Modeling'!$N$9,0)))</f>
        <v>0</v>
      </c>
      <c r="R51" s="799">
        <f>(Q51+R183)*(1-IFERROR(IF(R$2+$F51&lt;=12,SUMIFS('Attrition Modeling'!$D:$D,'Attrition Modeling'!$B:$B,'IP Attrition'!$D51,'Attrition Modeling'!$C:$C,'IP Attrition'!R$1),VLOOKUP($F51+R$2,$A$6:$C$106,2,FALSE)*VLOOKUP(R$1,'Attrition Modeling'!$L$15:$N$27,IF(R$2+$F51&lt;=24,2,3),FALSE)),$C$3)*(1+Projection!T$16)*(1+IF(R183&gt;0,'Attrition Modeling'!$N$9,0)))</f>
        <v>0</v>
      </c>
      <c r="S51" s="799">
        <f>(R51+S183)*(1-IFERROR(IF(S$2+$F51&lt;=12,SUMIFS('Attrition Modeling'!$D:$D,'Attrition Modeling'!$B:$B,'IP Attrition'!$D51,'Attrition Modeling'!$C:$C,'IP Attrition'!S$1),VLOOKUP($F51+S$2,$A$6:$C$106,2,FALSE)*VLOOKUP(S$1,'Attrition Modeling'!$L$15:$N$27,IF(S$2+$F51&lt;=24,2,3),FALSE)),$C$3)*(1+Projection!U$16)*(1+IF(S183&gt;0,'Attrition Modeling'!$N$9,0)))</f>
        <v>0</v>
      </c>
      <c r="T51" s="799">
        <f>(S51+T183)*(1-IFERROR(IF(T$2+$F51&lt;=12,SUMIFS('Attrition Modeling'!$D:$D,'Attrition Modeling'!$B:$B,'IP Attrition'!$D51,'Attrition Modeling'!$C:$C,'IP Attrition'!T$1),VLOOKUP($F51+T$2,$A$6:$C$106,2,FALSE)*VLOOKUP(T$1,'Attrition Modeling'!$L$15:$N$27,IF(T$2+$F51&lt;=24,2,3),FALSE)),$C$3)*(1+Projection!V$16)*(1+IF(T183&gt;0,'Attrition Modeling'!$N$9,0)))</f>
        <v>0</v>
      </c>
      <c r="U51" s="799">
        <f>(T51+U183)*(1-IFERROR(IF(U$2+$F51&lt;=12,SUMIFS('Attrition Modeling'!$D:$D,'Attrition Modeling'!$B:$B,'IP Attrition'!$D51,'Attrition Modeling'!$C:$C,'IP Attrition'!U$1),VLOOKUP($F51+U$2,$A$6:$C$106,2,FALSE)*VLOOKUP(U$1,'Attrition Modeling'!$L$15:$N$27,IF(U$2+$F51&lt;=24,2,3),FALSE)),$C$3)*(1+Projection!W$16)*(1+IF(U183&gt;0,'Attrition Modeling'!$N$9,0)))</f>
        <v>0</v>
      </c>
      <c r="V51" s="799">
        <f>(U51+V183)*(1-IFERROR(IF(V$2+$F51&lt;=12,SUMIFS('Attrition Modeling'!$D:$D,'Attrition Modeling'!$B:$B,'IP Attrition'!$D51,'Attrition Modeling'!$C:$C,'IP Attrition'!V$1),VLOOKUP($F51+V$2,$A$6:$C$106,2,FALSE)*VLOOKUP(V$1,'Attrition Modeling'!$L$15:$N$27,IF(V$2+$F51&lt;=24,2,3),FALSE)),$C$3)*(1+Projection!X$16)*(1+IF(V183&gt;0,'Attrition Modeling'!$N$9,0)))</f>
        <v>0</v>
      </c>
      <c r="W51" s="799">
        <f>(V51+W183)*(1-IFERROR(IF(W$2+$F51&lt;=12,SUMIFS('Attrition Modeling'!$D:$D,'Attrition Modeling'!$B:$B,'IP Attrition'!$D51,'Attrition Modeling'!$C:$C,'IP Attrition'!W$1),VLOOKUP($F51+W$2,$A$6:$C$106,2,FALSE)*VLOOKUP(W$1,'Attrition Modeling'!$L$15:$N$27,IF(W$2+$F51&lt;=24,2,3),FALSE)),$C$3)*(1+Projection!Y$16)*(1+IF(W183&gt;0,'Attrition Modeling'!$N$9,0)))</f>
        <v>0</v>
      </c>
      <c r="X51" s="799">
        <f>(W51+X183)*(1-IFERROR(IF(X$2+$F51&lt;=12,SUMIFS('Attrition Modeling'!$D:$D,'Attrition Modeling'!$B:$B,'IP Attrition'!$D51,'Attrition Modeling'!$C:$C,'IP Attrition'!X$1),VLOOKUP($F51+X$2,$A$6:$C$106,2,FALSE)*VLOOKUP(X$1,'Attrition Modeling'!$L$15:$N$27,IF(X$2+$F51&lt;=24,2,3),FALSE)),$C$3)*(1+Projection!Z$16)*(1+IF(X183&gt;0,'Attrition Modeling'!$N$9,0)))</f>
        <v>0</v>
      </c>
      <c r="Y51" s="799">
        <f>(X51+Y183)*(1-IFERROR(IF(Y$2+$F51&lt;=12,SUMIFS('Attrition Modeling'!$D:$D,'Attrition Modeling'!$B:$B,'IP Attrition'!$D51,'Attrition Modeling'!$C:$C,'IP Attrition'!Y$1),VLOOKUP($F51+Y$2,$A$6:$C$106,2,FALSE)*VLOOKUP(Y$1,'Attrition Modeling'!$L$15:$N$27,IF(Y$2+$F51&lt;=24,2,3),FALSE)),$C$3)*(1+Projection!AA$16)*(1+IF(Y183&gt;0,'Attrition Modeling'!$N$9,0)))</f>
        <v>0</v>
      </c>
      <c r="Z51" s="799">
        <f>(Y51+Z183)*(1-IFERROR(IF(Z$2+$F51&lt;=12,SUMIFS('Attrition Modeling'!$D:$D,'Attrition Modeling'!$B:$B,'IP Attrition'!$D51,'Attrition Modeling'!$C:$C,'IP Attrition'!Z$1),VLOOKUP($F51+Z$2,$A$6:$C$106,2,FALSE)*VLOOKUP(Z$1,'Attrition Modeling'!$L$15:$N$27,IF(Z$2+$F51&lt;=24,2,3),FALSE)),$C$3)*(1+Projection!AB$16)*(1+IF(Z183&gt;0,'Attrition Modeling'!$N$9,0)))</f>
        <v>0</v>
      </c>
      <c r="AA51" s="799">
        <f>(Z51+AA183)*(1-IFERROR(IF(AA$2+$F51&lt;=12,SUMIFS('Attrition Modeling'!$D:$D,'Attrition Modeling'!$B:$B,'IP Attrition'!$D51,'Attrition Modeling'!$C:$C,'IP Attrition'!AA$1),VLOOKUP($F51+AA$2,$A$6:$C$106,2,FALSE)*VLOOKUP(AA$1,'Attrition Modeling'!$L$15:$N$27,IF(AA$2+$F51&lt;=24,2,3),FALSE)),$C$3)*(1+Projection!AC$16)*(1+IF(AA183&gt;0,'Attrition Modeling'!$N$9,0)))</f>
        <v>0</v>
      </c>
      <c r="AB51" s="799">
        <f>(AA51+AB183)*(1-IFERROR(IF(AB$2+$F51&lt;=12,SUMIFS('Attrition Modeling'!$D:$D,'Attrition Modeling'!$B:$B,'IP Attrition'!$D51,'Attrition Modeling'!$C:$C,'IP Attrition'!AB$1),VLOOKUP($F51+AB$2,$A$6:$C$106,2,FALSE)*VLOOKUP(AB$1,'Attrition Modeling'!$L$15:$N$27,IF(AB$2+$F51&lt;=24,2,3),FALSE)),$C$3)*(1+Projection!AD$16)*(1+IF(AB183&gt;0,'Attrition Modeling'!$N$9,0)))</f>
        <v>0</v>
      </c>
      <c r="AC51" s="799">
        <f>(AB51+AC183)*(1-IFERROR(IF(AC$2+$F51&lt;=12,SUMIFS('Attrition Modeling'!$D:$D,'Attrition Modeling'!$B:$B,'IP Attrition'!$D51,'Attrition Modeling'!$C:$C,'IP Attrition'!AC$1),VLOOKUP($F51+AC$2,$A$6:$C$106,2,FALSE)*VLOOKUP(AC$1,'Attrition Modeling'!$L$15:$N$27,IF(AC$2+$F51&lt;=24,2,3),FALSE)),$C$3)*(1+Projection!AE$16)*(1+IF(AC183&gt;0,'Attrition Modeling'!$N$9,0)))</f>
        <v>0</v>
      </c>
      <c r="AD51" s="799">
        <f>(AC51+AD183)*(1-IFERROR(IF(AD$2+$F51&lt;=12,SUMIFS('Attrition Modeling'!$D:$D,'Attrition Modeling'!$B:$B,'IP Attrition'!$D51,'Attrition Modeling'!$C:$C,'IP Attrition'!AD$1),VLOOKUP($F51+AD$2,$A$6:$C$106,2,FALSE)*VLOOKUP(AD$1,'Attrition Modeling'!$L$15:$N$27,IF(AD$2+$F51&lt;=24,2,3),FALSE)),$C$3)*(1+Projection!AF$16)*(1+IF(AD183&gt;0,'Attrition Modeling'!$N$9,0)))</f>
        <v>0</v>
      </c>
      <c r="AE51" s="799">
        <f>(AD51+AE183)*(1-IFERROR(IF(AE$2+$F51&lt;=12,SUMIFS('Attrition Modeling'!$D:$D,'Attrition Modeling'!$B:$B,'IP Attrition'!$D51,'Attrition Modeling'!$C:$C,'IP Attrition'!AE$1),VLOOKUP($F51+AE$2,$A$6:$C$106,2,FALSE)*VLOOKUP(AE$1,'Attrition Modeling'!$L$15:$N$27,IF(AE$2+$F51&lt;=24,2,3),FALSE)),$C$3)*(1+Projection!AG$16)*(1+IF(AE183&gt;0,'Attrition Modeling'!$N$9,0)))</f>
        <v>0</v>
      </c>
      <c r="AF51" s="799">
        <f>(AE51+AF183)*(1-IFERROR(IF(AF$2+$F51&lt;=12,SUMIFS('Attrition Modeling'!$D:$D,'Attrition Modeling'!$B:$B,'IP Attrition'!$D51,'Attrition Modeling'!$C:$C,'IP Attrition'!AF$1),VLOOKUP($F51+AF$2,$A$6:$C$106,2,FALSE)*VLOOKUP(AF$1,'Attrition Modeling'!$L$15:$N$27,IF(AF$2+$F51&lt;=24,2,3),FALSE)),$C$3)*(1+Projection!AH$16)*(1+IF(AF183&gt;0,'Attrition Modeling'!$N$9,0)))</f>
        <v>0</v>
      </c>
      <c r="AG51" s="799">
        <f>(AF51+AG183)*(1-IFERROR(IF(AG$2+$F51&lt;=12,SUMIFS('Attrition Modeling'!$D:$D,'Attrition Modeling'!$B:$B,'IP Attrition'!$D51,'Attrition Modeling'!$C:$C,'IP Attrition'!AG$1),VLOOKUP($F51+AG$2,$A$6:$C$106,2,FALSE)*VLOOKUP(AG$1,'Attrition Modeling'!$L$15:$N$27,IF(AG$2+$F51&lt;=24,2,3),FALSE)),$C$3)*(1+Projection!AI$16)*(1+IF(AG183&gt;0,'Attrition Modeling'!$N$9,0)))</f>
        <v>0</v>
      </c>
      <c r="AH51" s="799">
        <f>(AG51+AH183)*(1-IFERROR(IF(AH$2+$F51&lt;=12,SUMIFS('Attrition Modeling'!$D:$D,'Attrition Modeling'!$B:$B,'IP Attrition'!$D51,'Attrition Modeling'!$C:$C,'IP Attrition'!AH$1),VLOOKUP($F51+AH$2,$A$6:$C$106,2,FALSE)*VLOOKUP(AH$1,'Attrition Modeling'!$L$15:$N$27,IF(AH$2+$F51&lt;=24,2,3),FALSE)),$C$3)*(1+Projection!AJ$16)*(1+IF(AH183&gt;0,'Attrition Modeling'!$N$9,0)))</f>
        <v>0</v>
      </c>
      <c r="AI51" s="799">
        <f>(AH51+AI183)*(1-IFERROR(IF(AI$2+$F51&lt;=12,SUMIFS('Attrition Modeling'!$D:$D,'Attrition Modeling'!$B:$B,'IP Attrition'!$D51,'Attrition Modeling'!$C:$C,'IP Attrition'!AI$1),VLOOKUP($F51+AI$2,$A$6:$C$106,2,FALSE)*VLOOKUP(AI$1,'Attrition Modeling'!$L$15:$N$27,IF(AI$2+$F51&lt;=24,2,3),FALSE)),$C$3)*(1+Projection!AK$16)*(1+IF(AI183&gt;0,'Attrition Modeling'!$N$9,0)))</f>
        <v>0</v>
      </c>
      <c r="AJ51" s="799">
        <f>(AI51+AJ183)*(1-IFERROR(IF(AJ$2+$F51&lt;=12,SUMIFS('Attrition Modeling'!$D:$D,'Attrition Modeling'!$B:$B,'IP Attrition'!$D51,'Attrition Modeling'!$C:$C,'IP Attrition'!AJ$1),VLOOKUP($F51+AJ$2,$A$6:$C$106,2,FALSE)*VLOOKUP(AJ$1,'Attrition Modeling'!$L$15:$N$27,IF(AJ$2+$F51&lt;=24,2,3),FALSE)),$C$3)*(1+Projection!AL$16)*(1+IF(AJ183&gt;0,'Attrition Modeling'!$N$9,0)))</f>
        <v>0</v>
      </c>
      <c r="AK51" s="799">
        <f>(AJ51+AK183)*(1-IFERROR(IF(AK$2+$F51&lt;=12,SUMIFS('Attrition Modeling'!$D:$D,'Attrition Modeling'!$B:$B,'IP Attrition'!$D51,'Attrition Modeling'!$C:$C,'IP Attrition'!AK$1),VLOOKUP($F51+AK$2,$A$6:$C$106,2,FALSE)*VLOOKUP(AK$1,'Attrition Modeling'!$L$15:$N$27,IF(AK$2+$F51&lt;=24,2,3),FALSE)),$C$3)*(1+Projection!AM$16)*(1+IF(AK183&gt;0,'Attrition Modeling'!$N$9,0)))</f>
        <v>0</v>
      </c>
      <c r="AL51" s="799">
        <f>(AK51+AL183)*(1-IFERROR(IF(AL$2+$F51&lt;=12,SUMIFS('Attrition Modeling'!$D:$D,'Attrition Modeling'!$B:$B,'IP Attrition'!$D51,'Attrition Modeling'!$C:$C,'IP Attrition'!AL$1),VLOOKUP($F51+AL$2,$A$6:$C$106,2,FALSE)*VLOOKUP(AL$1,'Attrition Modeling'!$L$15:$N$27,IF(AL$2+$F51&lt;=24,2,3),FALSE)),$C$3)*(1+Projection!AN$16)*(1+IF(AL183&gt;0,'Attrition Modeling'!$N$9,0)))</f>
        <v>0</v>
      </c>
      <c r="AM51" s="799">
        <f>(AL51+AM183)*(1-IFERROR(IF(AM$2+$F51&lt;=12,SUMIFS('Attrition Modeling'!$D:$D,'Attrition Modeling'!$B:$B,'IP Attrition'!$D51,'Attrition Modeling'!$C:$C,'IP Attrition'!AM$1),VLOOKUP($F51+AM$2,$A$6:$C$106,2,FALSE)*VLOOKUP(AM$1,'Attrition Modeling'!$L$15:$N$27,IF(AM$2+$F51&lt;=24,2,3),FALSE)),$C$3)*(1+Projection!AO$16)*(1+IF(AM183&gt;0,'Attrition Modeling'!$N$9,0)))</f>
        <v>0</v>
      </c>
      <c r="AN51" s="799">
        <f>(AM51+AN183)*(1-IFERROR(IF(AN$2+$F51&lt;=12,SUMIFS('Attrition Modeling'!$D:$D,'Attrition Modeling'!$B:$B,'IP Attrition'!$D51,'Attrition Modeling'!$C:$C,'IP Attrition'!AN$1),VLOOKUP($F51+AN$2,$A$6:$C$106,2,FALSE)*VLOOKUP(AN$1,'Attrition Modeling'!$L$15:$N$27,IF(AN$2+$F51&lt;=24,2,3),FALSE)),$C$3)*(1+Projection!AP$16)*(1+IF(AN183&gt;0,'Attrition Modeling'!$N$9,0)))</f>
        <v>0</v>
      </c>
      <c r="AO51" s="799">
        <f>(AN51+AO183)*(1-IFERROR(IF(AO$2+$F51&lt;=12,SUMIFS('Attrition Modeling'!$D:$D,'Attrition Modeling'!$B:$B,'IP Attrition'!$D51,'Attrition Modeling'!$C:$C,'IP Attrition'!AO$1),VLOOKUP($F51+AO$2,$A$6:$C$106,2,FALSE)*VLOOKUP(AO$1,'Attrition Modeling'!$L$15:$N$27,IF(AO$2+$F51&lt;=24,2,3),FALSE)),$C$3)*(1+Projection!AQ$16)*(1+IF(AO183&gt;0,'Attrition Modeling'!$N$9,0)))</f>
        <v>0</v>
      </c>
      <c r="AP51" s="799">
        <f>(AO51+AP183)*(1-IFERROR(IF(AP$2+$F51&lt;=12,SUMIFS('Attrition Modeling'!$D:$D,'Attrition Modeling'!$B:$B,'IP Attrition'!$D51,'Attrition Modeling'!$C:$C,'IP Attrition'!AP$1),VLOOKUP($F51+AP$2,$A$6:$C$106,2,FALSE)*VLOOKUP(AP$1,'Attrition Modeling'!$L$15:$N$27,IF(AP$2+$F51&lt;=24,2,3),FALSE)),$C$3)*(1+Projection!AR$16)*(1+IF(AP183&gt;0,'Attrition Modeling'!$N$9,0)))</f>
        <v>0</v>
      </c>
      <c r="AQ51" s="799">
        <f>(AP51+AQ183)*(1-IFERROR(IF(AQ$2+$F51&lt;=12,SUMIFS('Attrition Modeling'!$D:$D,'Attrition Modeling'!$B:$B,'IP Attrition'!$D51,'Attrition Modeling'!$C:$C,'IP Attrition'!AQ$1),VLOOKUP($F51+AQ$2,$A$6:$C$106,2,FALSE)*VLOOKUP(AQ$1,'Attrition Modeling'!$L$15:$N$27,IF(AQ$2+$F51&lt;=24,2,3),FALSE)),$C$3)*(1+Projection!AS$16)*(1+IF(AQ183&gt;0,'Attrition Modeling'!$N$9,0)))</f>
        <v>0</v>
      </c>
      <c r="AR51" s="799">
        <f>(AQ51+AR183)*(1-IFERROR(IF(AR$2+$F51&lt;=12,SUMIFS('Attrition Modeling'!$D:$D,'Attrition Modeling'!$B:$B,'IP Attrition'!$D51,'Attrition Modeling'!$C:$C,'IP Attrition'!AR$1),VLOOKUP($F51+AR$2,$A$6:$C$106,2,FALSE)*VLOOKUP(AR$1,'Attrition Modeling'!$L$15:$N$27,IF(AR$2+$F51&lt;=24,2,3),FALSE)),$C$3)*(1+Projection!AT$16)*(1+IF(AR183&gt;0,'Attrition Modeling'!$N$9,0)))</f>
        <v>0</v>
      </c>
      <c r="AS51" s="799">
        <f>(AR51+AS183)*(1-IFERROR(IF(AS$2+$F51&lt;=12,SUMIFS('Attrition Modeling'!$D:$D,'Attrition Modeling'!$B:$B,'IP Attrition'!$D51,'Attrition Modeling'!$C:$C,'IP Attrition'!AS$1),VLOOKUP($F51+AS$2,$A$6:$C$106,2,FALSE)*VLOOKUP(AS$1,'Attrition Modeling'!$L$15:$N$27,IF(AS$2+$F51&lt;=24,2,3),FALSE)),$C$3)*(1+Projection!AU$16)*(1+IF(AS183&gt;0,'Attrition Modeling'!$N$9,0)))</f>
        <v>0</v>
      </c>
      <c r="AT51" s="799">
        <f>(AS51+AT183)*(1-IFERROR(IF(AT$2+$F51&lt;=12,SUMIFS('Attrition Modeling'!$D:$D,'Attrition Modeling'!$B:$B,'IP Attrition'!$D51,'Attrition Modeling'!$C:$C,'IP Attrition'!AT$1),VLOOKUP($F51+AT$2,$A$6:$C$106,2,FALSE)*VLOOKUP(AT$1,'Attrition Modeling'!$L$15:$N$27,IF(AT$2+$F51&lt;=24,2,3),FALSE)),$C$3)*(1+Projection!AV$16)*(1+IF(AT183&gt;0,'Attrition Modeling'!$N$9,0)))</f>
        <v>0</v>
      </c>
      <c r="AU51" s="799">
        <f>(AT51+AU183)*(1-IFERROR(IF(AU$2+$F51&lt;=12,SUMIFS('Attrition Modeling'!$D:$D,'Attrition Modeling'!$B:$B,'IP Attrition'!$D51,'Attrition Modeling'!$C:$C,'IP Attrition'!AU$1),VLOOKUP($F51+AU$2,$A$6:$C$106,2,FALSE)*VLOOKUP(AU$1,'Attrition Modeling'!$L$15:$N$27,IF(AU$2+$F51&lt;=24,2,3),FALSE)),$C$3)*(1+Projection!AW$16)*(1+IF(AU183&gt;0,'Attrition Modeling'!$N$9,0)))</f>
        <v>0</v>
      </c>
      <c r="AV51" s="799">
        <f>(AU51+AV183)*(1-IFERROR(IF(AV$2+$F51&lt;=12,SUMIFS('Attrition Modeling'!$D:$D,'Attrition Modeling'!$B:$B,'IP Attrition'!$D51,'Attrition Modeling'!$C:$C,'IP Attrition'!AV$1),VLOOKUP($F51+AV$2,$A$6:$C$106,2,FALSE)*VLOOKUP(AV$1,'Attrition Modeling'!$L$15:$N$27,IF(AV$2+$F51&lt;=24,2,3),FALSE)),$C$3)*(1+Projection!AX$16)*(1+IF(AV183&gt;0,'Attrition Modeling'!$N$9,0)))</f>
        <v>0</v>
      </c>
      <c r="AW51" s="799">
        <f>(AV51+AW183)*(1-IFERROR(IF(AW$2+$F51&lt;=12,SUMIFS('Attrition Modeling'!$D:$D,'Attrition Modeling'!$B:$B,'IP Attrition'!$D51,'Attrition Modeling'!$C:$C,'IP Attrition'!AW$1),VLOOKUP($F51+AW$2,$A$6:$C$106,2,FALSE)*VLOOKUP(AW$1,'Attrition Modeling'!$L$15:$N$27,IF(AW$2+$F51&lt;=24,2,3),FALSE)),$C$3)*(1+Projection!AY$16)*(1+IF(AW183&gt;0,'Attrition Modeling'!$N$9,0)))</f>
        <v>0</v>
      </c>
      <c r="AX51" s="799">
        <f>(AW51+AX183)*(1-IFERROR(IF(AX$2+$F51&lt;=12,SUMIFS('Attrition Modeling'!$D:$D,'Attrition Modeling'!$B:$B,'IP Attrition'!$D51,'Attrition Modeling'!$C:$C,'IP Attrition'!AX$1),VLOOKUP($F51+AX$2,$A$6:$C$106,2,FALSE)*VLOOKUP(AX$1,'Attrition Modeling'!$L$15:$N$27,IF(AX$2+$F51&lt;=24,2,3),FALSE)),$C$3)*(1+Projection!AZ$16)*(1+IF(AX183&gt;0,'Attrition Modeling'!$N$9,0)))</f>
        <v>0</v>
      </c>
      <c r="AY51" s="799">
        <f>(AX51+AY183)*(1-IFERROR(IF(AY$2+$F51&lt;=12,SUMIFS('Attrition Modeling'!$D:$D,'Attrition Modeling'!$B:$B,'IP Attrition'!$D51,'Attrition Modeling'!$C:$C,'IP Attrition'!AY$1),VLOOKUP($F51+AY$2,$A$6:$C$106,2,FALSE)*VLOOKUP(AY$1,'Attrition Modeling'!$L$15:$N$27,IF(AY$2+$F51&lt;=24,2,3),FALSE)),$C$3)*(1+Projection!BA$16)*(1+IF(AY183&gt;0,'Attrition Modeling'!$N$9,0)))</f>
        <v>0</v>
      </c>
      <c r="AZ51" s="799">
        <f>(AY51+AZ183)*(1-IFERROR(IF(AZ$2+$F51&lt;=12,SUMIFS('Attrition Modeling'!$D:$D,'Attrition Modeling'!$B:$B,'IP Attrition'!$D51,'Attrition Modeling'!$C:$C,'IP Attrition'!AZ$1),VLOOKUP($F51+AZ$2,$A$6:$C$106,2,FALSE)*VLOOKUP(AZ$1,'Attrition Modeling'!$L$15:$N$27,IF(AZ$2+$F51&lt;=24,2,3),FALSE)),$C$3)*(1+Projection!BB$16)*(1+IF(AZ183&gt;0,'Attrition Modeling'!$N$9,0)))</f>
        <v>0</v>
      </c>
      <c r="BA51" s="799">
        <f>(AZ51+BA183)*(1-IFERROR(IF(BA$2+$F51&lt;=12,SUMIFS('Attrition Modeling'!$D:$D,'Attrition Modeling'!$B:$B,'IP Attrition'!$D51,'Attrition Modeling'!$C:$C,'IP Attrition'!BA$1),VLOOKUP($F51+BA$2,$A$6:$C$106,2,FALSE)*VLOOKUP(BA$1,'Attrition Modeling'!$L$15:$N$27,IF(BA$2+$F51&lt;=24,2,3),FALSE)),$C$3)*(1+Projection!BC$16)*(1+IF(BA183&gt;0,'Attrition Modeling'!$N$9,0)))</f>
        <v>0</v>
      </c>
      <c r="BB51" s="799">
        <f>(BA51+BB183)*(1-IFERROR(IF(BB$2+$F51&lt;=12,SUMIFS('Attrition Modeling'!$D:$D,'Attrition Modeling'!$B:$B,'IP Attrition'!$D51,'Attrition Modeling'!$C:$C,'IP Attrition'!BB$1),VLOOKUP($F51+BB$2,$A$6:$C$106,2,FALSE)*VLOOKUP(BB$1,'Attrition Modeling'!$L$15:$N$27,IF(BB$2+$F51&lt;=24,2,3),FALSE)),$C$3)*(1+Projection!BD$16)*(1+IF(BB183&gt;0,'Attrition Modeling'!$N$9,0)))</f>
        <v>0</v>
      </c>
      <c r="BC51" s="799">
        <f>(BB51+BC183)*(1-IFERROR(IF(BC$2+$F51&lt;=12,SUMIFS('Attrition Modeling'!$D:$D,'Attrition Modeling'!$B:$B,'IP Attrition'!$D51,'Attrition Modeling'!$C:$C,'IP Attrition'!BC$1),VLOOKUP($F51+BC$2,$A$6:$C$106,2,FALSE)*VLOOKUP(BC$1,'Attrition Modeling'!$L$15:$N$27,IF(BC$2+$F51&lt;=24,2,3),FALSE)),$C$3)*(1+Projection!BE$16)*(1+IF(BC183&gt;0,'Attrition Modeling'!$N$9,0)))</f>
        <v>0</v>
      </c>
      <c r="BD51" s="799">
        <f>(BC51+BD183)*(1-IFERROR(IF(BD$2+$F51&lt;=12,SUMIFS('Attrition Modeling'!$D:$D,'Attrition Modeling'!$B:$B,'IP Attrition'!$D51,'Attrition Modeling'!$C:$C,'IP Attrition'!BD$1),VLOOKUP($F51+BD$2,$A$6:$C$106,2,FALSE)*VLOOKUP(BD$1,'Attrition Modeling'!$L$15:$N$27,IF(BD$2+$F51&lt;=24,2,3),FALSE)),$C$3)*(1+Projection!BF$16)*(1+IF(BD183&gt;0,'Attrition Modeling'!$N$9,0)))</f>
        <v>0</v>
      </c>
      <c r="BE51" s="799">
        <f>(BD51+BE183)*(1-IFERROR(IF(BE$2+$F51&lt;=12,SUMIFS('Attrition Modeling'!$D:$D,'Attrition Modeling'!$B:$B,'IP Attrition'!$D51,'Attrition Modeling'!$C:$C,'IP Attrition'!BE$1),VLOOKUP($F51+BE$2,$A$6:$C$106,2,FALSE)*VLOOKUP(BE$1,'Attrition Modeling'!$L$15:$N$27,IF(BE$2+$F51&lt;=24,2,3),FALSE)),$C$3)*(1+Projection!BG$16)*(1+IF(BE183&gt;0,'Attrition Modeling'!$N$9,0)))</f>
        <v>0</v>
      </c>
      <c r="BF51" s="799">
        <f>(BE51+BF183)*(1-IFERROR(IF(BF$2+$F51&lt;=12,SUMIFS('Attrition Modeling'!$D:$D,'Attrition Modeling'!$B:$B,'IP Attrition'!$D51,'Attrition Modeling'!$C:$C,'IP Attrition'!BF$1),VLOOKUP($F51+BF$2,$A$6:$C$106,2,FALSE)*VLOOKUP(BF$1,'Attrition Modeling'!$L$15:$N$27,IF(BF$2+$F51&lt;=24,2,3),FALSE)),$C$3)*(1+Projection!BH$16)*(1+IF(BF183&gt;0,'Attrition Modeling'!$N$9,0)))</f>
        <v>0</v>
      </c>
      <c r="BG51" s="799">
        <f>(BF51+BG183)*(1-IFERROR(IF(BG$2+$F51&lt;=12,SUMIFS('Attrition Modeling'!$D:$D,'Attrition Modeling'!$B:$B,'IP Attrition'!$D51,'Attrition Modeling'!$C:$C,'IP Attrition'!BG$1),VLOOKUP($F51+BG$2,$A$6:$C$106,2,FALSE)*VLOOKUP(BG$1,'Attrition Modeling'!$L$15:$N$27,IF(BG$2+$F51&lt;=24,2,3),FALSE)),$C$3)*(1+Projection!BI$16)*(1+IF(BG183&gt;0,'Attrition Modeling'!$N$9,0)))</f>
        <v>0</v>
      </c>
      <c r="BH51" s="799">
        <f>(BG51+BH183)*(1-IFERROR(IF(BH$2+$F51&lt;=12,SUMIFS('Attrition Modeling'!$D:$D,'Attrition Modeling'!$B:$B,'IP Attrition'!$D51,'Attrition Modeling'!$C:$C,'IP Attrition'!BH$1),VLOOKUP($F51+BH$2,$A$6:$C$106,2,FALSE)*VLOOKUP(BH$1,'Attrition Modeling'!$L$15:$N$27,IF(BH$2+$F51&lt;=24,2,3),FALSE)),$C$3)*(1+Projection!BJ$16)*(1+IF(BH183&gt;0,'Attrition Modeling'!$N$9,0)))</f>
        <v>0</v>
      </c>
      <c r="BI51" s="799">
        <f>(BH51+BI183)*(1-IFERROR(IF(BI$2+$F51&lt;=12,SUMIFS('Attrition Modeling'!$D:$D,'Attrition Modeling'!$B:$B,'IP Attrition'!$D51,'Attrition Modeling'!$C:$C,'IP Attrition'!BI$1),VLOOKUP($F51+BI$2,$A$6:$C$106,2,FALSE)*VLOOKUP(BI$1,'Attrition Modeling'!$L$15:$N$27,IF(BI$2+$F51&lt;=24,2,3),FALSE)),$C$3)*(1+Projection!BK$16)*(1+IF(BI183&gt;0,'Attrition Modeling'!$N$9,0)))</f>
        <v>0</v>
      </c>
      <c r="BJ51" s="799">
        <f>(BI51+BJ183)*(1-IFERROR(IF(BJ$2+$F51&lt;=12,SUMIFS('Attrition Modeling'!$D:$D,'Attrition Modeling'!$B:$B,'IP Attrition'!$D51,'Attrition Modeling'!$C:$C,'IP Attrition'!BJ$1),VLOOKUP($F51+BJ$2,$A$6:$C$106,2,FALSE)*VLOOKUP(BJ$1,'Attrition Modeling'!$L$15:$N$27,IF(BJ$2+$F51&lt;=24,2,3),FALSE)),$C$3)*(1+Projection!BL$16)*(1+IF(BJ183&gt;0,'Attrition Modeling'!$N$9,0)))</f>
        <v>0</v>
      </c>
      <c r="BK51" s="799">
        <f>(BJ51+BK183)*(1-IFERROR(IF(BK$2+$F51&lt;=12,SUMIFS('Attrition Modeling'!$D:$D,'Attrition Modeling'!$B:$B,'IP Attrition'!$D51,'Attrition Modeling'!$C:$C,'IP Attrition'!BK$1),VLOOKUP($F51+BK$2,$A$6:$C$106,2,FALSE)*VLOOKUP(BK$1,'Attrition Modeling'!$L$15:$N$27,IF(BK$2+$F51&lt;=24,2,3),FALSE)),$C$3)*(1+Projection!BM$16)*(1+IF(BK183&gt;0,'Attrition Modeling'!$N$9,0)))</f>
        <v>0</v>
      </c>
      <c r="BL51" s="799">
        <f>(BK51+BL183)*(1-IFERROR(IF(BL$2+$F51&lt;=12,SUMIFS('Attrition Modeling'!$D:$D,'Attrition Modeling'!$B:$B,'IP Attrition'!$D51,'Attrition Modeling'!$C:$C,'IP Attrition'!BL$1),VLOOKUP($F51+BL$2,$A$6:$C$106,2,FALSE)*VLOOKUP(BL$1,'Attrition Modeling'!$L$15:$N$27,IF(BL$2+$F51&lt;=24,2,3),FALSE)),$C$3)*(1+Projection!BN$16)*(1+IF(BL183&gt;0,'Attrition Modeling'!$N$9,0)))</f>
        <v>0</v>
      </c>
      <c r="BM51" s="799">
        <f>(BL51+BM183)*(1-IFERROR(IF(BM$2+$F51&lt;=12,SUMIFS('Attrition Modeling'!$D:$D,'Attrition Modeling'!$B:$B,'IP Attrition'!$D51,'Attrition Modeling'!$C:$C,'IP Attrition'!BM$1),VLOOKUP($F51+BM$2,$A$6:$C$106,2,FALSE)*VLOOKUP(BM$1,'Attrition Modeling'!$L$15:$N$27,IF(BM$2+$F51&lt;=24,2,3),FALSE)),$C$3)*(1+Projection!BO$16)*(1+IF(BM183&gt;0,'Attrition Modeling'!$N$9,0)))</f>
        <v>0</v>
      </c>
      <c r="BN51" s="799">
        <f>(BM51+BN183)*(1-IFERROR(IF(BN$2+$F51&lt;=12,SUMIFS('Attrition Modeling'!$D:$D,'Attrition Modeling'!$B:$B,'IP Attrition'!$D51,'Attrition Modeling'!$C:$C,'IP Attrition'!BN$1),VLOOKUP($F51+BN$2,$A$6:$C$106,2,FALSE)*VLOOKUP(BN$1,'Attrition Modeling'!$L$15:$N$27,IF(BN$2+$F51&lt;=24,2,3),FALSE)),$C$3)*(1+Projection!BP$16)*(1+IF(BN183&gt;0,'Attrition Modeling'!$N$9,0)))</f>
        <v>0</v>
      </c>
      <c r="BO51" s="799">
        <f>(BN51+BO183)*(1-IFERROR(IF(BO$2+$F51&lt;=12,SUMIFS('Attrition Modeling'!$D:$D,'Attrition Modeling'!$B:$B,'IP Attrition'!$D51,'Attrition Modeling'!$C:$C,'IP Attrition'!BO$1),VLOOKUP($F51+BO$2,$A$6:$C$106,2,FALSE)*VLOOKUP(BO$1,'Attrition Modeling'!$L$15:$N$27,IF(BO$2+$F51&lt;=24,2,3),FALSE)),$C$3)*(1+Projection!BV$16)*(1+IF(BO183&gt;0,'Attrition Modeling'!$N$9,0)))</f>
        <v>0</v>
      </c>
      <c r="BP51" s="799">
        <f>(BO51+BP183)*(1-IFERROR(IF(BP$2+$F51&lt;=12,SUMIFS('Attrition Modeling'!$D:$D,'Attrition Modeling'!$B:$B,'IP Attrition'!$D51,'Attrition Modeling'!$C:$C,'IP Attrition'!BP$1),VLOOKUP($F51+BP$2,$A$6:$C$106,2,FALSE)*VLOOKUP(BP$1,'Attrition Modeling'!$L$15:$N$27,IF(BP$2+$F51&lt;=24,2,3),FALSE)),$C$3)*(1+Projection!BW$16)*(1+IF(BP183&gt;0,'Attrition Modeling'!$N$9,0)))</f>
        <v>0</v>
      </c>
      <c r="BQ51" s="799">
        <f>(BP51+BQ183)*(1-IFERROR(IF(BQ$2+$F51&lt;=12,SUMIFS('Attrition Modeling'!$D:$D,'Attrition Modeling'!$B:$B,'IP Attrition'!$D51,'Attrition Modeling'!$C:$C,'IP Attrition'!BQ$1),VLOOKUP($F51+BQ$2,$A$6:$C$106,2,FALSE)*VLOOKUP(BQ$1,'Attrition Modeling'!$L$15:$N$27,IF(BQ$2+$F51&lt;=24,2,3),FALSE)),$C$3)*(1+Projection!BX$16)*(1+IF(BQ183&gt;0,'Attrition Modeling'!$N$9,0)))</f>
        <v>0</v>
      </c>
      <c r="BR51" s="799">
        <f>(BQ51+BR183)*(1-IFERROR(IF(BR$2+$F51&lt;=12,SUMIFS('Attrition Modeling'!$D:$D,'Attrition Modeling'!$B:$B,'IP Attrition'!$D51,'Attrition Modeling'!$C:$C,'IP Attrition'!BR$1),VLOOKUP($F51+BR$2,$A$6:$C$106,2,FALSE)*VLOOKUP(BR$1,'Attrition Modeling'!$L$15:$N$27,IF(BR$2+$F51&lt;=24,2,3),FALSE)),$C$3)*(1+Projection!BY$16)*(1+IF(BR183&gt;0,'Attrition Modeling'!$N$9,0)))</f>
        <v>0</v>
      </c>
      <c r="BS51" s="799">
        <f>(BR51+BS183)*(1-IFERROR(IF(BS$2+$F51&lt;=12,SUMIFS('Attrition Modeling'!$D:$D,'Attrition Modeling'!$B:$B,'IP Attrition'!$D51,'Attrition Modeling'!$C:$C,'IP Attrition'!BS$1),VLOOKUP($F51+BS$2,$A$6:$C$106,2,FALSE)*VLOOKUP(BS$1,'Attrition Modeling'!$L$15:$N$27,IF(BS$2+$F51&lt;=24,2,3),FALSE)),$C$3)*(1+Projection!BZ$16)*(1+IF(BS183&gt;0,'Attrition Modeling'!$N$9,0)))</f>
        <v>0</v>
      </c>
      <c r="BT51" s="799" t="e">
        <f>(BS51+BT183)*(1-IFERROR(IF(BT$2+$F51&lt;=12,SUMIFS('Attrition Modeling'!$D:$D,'Attrition Modeling'!$B:$B,'IP Attrition'!$D51,'Attrition Modeling'!$C:$C,'IP Attrition'!BT$1),VLOOKUP($F51+BT$2,$A$6:$C$106,2,FALSE)*VLOOKUP(BT$1,'Attrition Modeling'!$L$15:$N$27,IF(BT$2+$F51&lt;=24,2,3),FALSE)),$C$3)*(1+Projection!CA$16)*(1+IF(BT183&gt;0,'Attrition Modeling'!$N$9,0)))</f>
        <v>#REF!</v>
      </c>
      <c r="BU51" s="799" t="e">
        <f>(BT51+BU183)*(1-IFERROR(IF(BU$2+$F51&lt;=12,SUMIFS('Attrition Modeling'!$D:$D,'Attrition Modeling'!$B:$B,'IP Attrition'!$D51,'Attrition Modeling'!$C:$C,'IP Attrition'!BU$1),VLOOKUP($F51+BU$2,$A$6:$C$106,2,FALSE)*VLOOKUP(BU$1,'Attrition Modeling'!$L$15:$N$27,IF(BU$2+$F51&lt;=24,2,3),FALSE)),$C$3)*(1+Projection!CB$16)*(1+IF(BU183&gt;0,'Attrition Modeling'!$N$9,0)))</f>
        <v>#REF!</v>
      </c>
    </row>
    <row r="52" spans="1:73" ht="14.25" customHeight="1" x14ac:dyDescent="0.2">
      <c r="A52" s="9">
        <v>45</v>
      </c>
      <c r="B52" s="25">
        <f>MAX('Attrition Modeling'!H49,$C$3)*(1-Summary!$C$20)</f>
        <v>2.6775919200803668E-2</v>
      </c>
      <c r="C52" s="24" t="e">
        <f t="shared" si="3"/>
        <v>#DIV/0!</v>
      </c>
      <c r="D52" s="11">
        <f t="shared" si="1"/>
        <v>-49</v>
      </c>
      <c r="E52" s="807">
        <f t="array" ref="E52">INDEX('Attrition Modeling'!$X$2:$AF$63,MATCH($F52,'Attrition Modeling'!$X$2:$X$63,0),MATCH(Inputs!$C$10,'Attrition Modeling'!$X$2:$AF$2,0))</f>
        <v>0</v>
      </c>
      <c r="F52" s="11">
        <f t="shared" si="2"/>
        <v>49</v>
      </c>
      <c r="G52" s="799">
        <f>Summary!$C$25*$E52</f>
        <v>0</v>
      </c>
      <c r="H52" s="799">
        <f>(G52+H184)*(1-IFERROR(IF(H$2+$F52&lt;=12,SUMIFS('Attrition Modeling'!$D:$D,'Attrition Modeling'!$B:$B,'IP Attrition'!$D52,'Attrition Modeling'!$C:$C,'IP Attrition'!H$1),VLOOKUP($F52+H$2,$A$6:$C$106,2,FALSE)*VLOOKUP(H$1,'Attrition Modeling'!$L$15:$N$27,IF(H$2+$F52&lt;=24,2,3),FALSE)),$C$3)*(1+Projection!J$16)*(1+IF(H184&gt;0,'Attrition Modeling'!$N$9,0)))</f>
        <v>0</v>
      </c>
      <c r="I52" s="799">
        <f>(H52+I184)*(1-IFERROR(IF(I$2+$F52&lt;=12,SUMIFS('Attrition Modeling'!$D:$D,'Attrition Modeling'!$B:$B,'IP Attrition'!$D52,'Attrition Modeling'!$C:$C,'IP Attrition'!I$1),VLOOKUP($F52+I$2,$A$6:$C$106,2,FALSE)*VLOOKUP(I$1,'Attrition Modeling'!$L$15:$N$27,IF(I$2+$F52&lt;=24,2,3),FALSE)),$C$3)*(1+Projection!K$16)*(1+IF(I184&gt;0,'Attrition Modeling'!$N$9,0)))</f>
        <v>0</v>
      </c>
      <c r="J52" s="799">
        <f>(I52+J184)*(1-IFERROR(IF(J$2+$F52&lt;=12,SUMIFS('Attrition Modeling'!$D:$D,'Attrition Modeling'!$B:$B,'IP Attrition'!$D52,'Attrition Modeling'!$C:$C,'IP Attrition'!J$1),VLOOKUP($F52+J$2,$A$6:$C$106,2,FALSE)*VLOOKUP(J$1,'Attrition Modeling'!$L$15:$N$27,IF(J$2+$F52&lt;=24,2,3),FALSE)),$C$3)*(1+Projection!L$16)*(1+IF(J184&gt;0,'Attrition Modeling'!$N$9,0)))</f>
        <v>0</v>
      </c>
      <c r="K52" s="799">
        <f>(J52+K184)*(1-IFERROR(IF(K$2+$F52&lt;=12,SUMIFS('Attrition Modeling'!$D:$D,'Attrition Modeling'!$B:$B,'IP Attrition'!$D52,'Attrition Modeling'!$C:$C,'IP Attrition'!K$1),VLOOKUP($F52+K$2,$A$6:$C$106,2,FALSE)*VLOOKUP(K$1,'Attrition Modeling'!$L$15:$N$27,IF(K$2+$F52&lt;=24,2,3),FALSE)),$C$3)*(1+Projection!M$16)*(1+IF(K184&gt;0,'Attrition Modeling'!$N$9,0)))</f>
        <v>0</v>
      </c>
      <c r="L52" s="799">
        <f>(K52+L184)*(1-IFERROR(IF(L$2+$F52&lt;=12,SUMIFS('Attrition Modeling'!$D:$D,'Attrition Modeling'!$B:$B,'IP Attrition'!$D52,'Attrition Modeling'!$C:$C,'IP Attrition'!L$1),VLOOKUP($F52+L$2,$A$6:$C$106,2,FALSE)*VLOOKUP(L$1,'Attrition Modeling'!$L$15:$N$27,IF(L$2+$F52&lt;=24,2,3),FALSE)),$C$3)*(1+Projection!N$16)*(1+IF(L184&gt;0,'Attrition Modeling'!$N$9,0)))</f>
        <v>0</v>
      </c>
      <c r="M52" s="799">
        <f>(L52+M184)*(1-IFERROR(IF(M$2+$F52&lt;=12,SUMIFS('Attrition Modeling'!$D:$D,'Attrition Modeling'!$B:$B,'IP Attrition'!$D52,'Attrition Modeling'!$C:$C,'IP Attrition'!M$1),VLOOKUP($F52+M$2,$A$6:$C$106,2,FALSE)*VLOOKUP(M$1,'Attrition Modeling'!$L$15:$N$27,IF(M$2+$F52&lt;=24,2,3),FALSE)),$C$3)*(1+Projection!O$16)*(1+IF(M184&gt;0,'Attrition Modeling'!$N$9,0)))</f>
        <v>0</v>
      </c>
      <c r="N52" s="799">
        <f>(M52+N184)*(1-IFERROR(IF(N$2+$F52&lt;=12,SUMIFS('Attrition Modeling'!$D:$D,'Attrition Modeling'!$B:$B,'IP Attrition'!$D52,'Attrition Modeling'!$C:$C,'IP Attrition'!N$1),VLOOKUP($F52+N$2,$A$6:$C$106,2,FALSE)*VLOOKUP(N$1,'Attrition Modeling'!$L$15:$N$27,IF(N$2+$F52&lt;=24,2,3),FALSE)),$C$3)*(1+Projection!P$16)*(1+IF(N184&gt;0,'Attrition Modeling'!$N$9,0)))</f>
        <v>0</v>
      </c>
      <c r="O52" s="799">
        <f>(N52+O184)*(1-IFERROR(IF(O$2+$F52&lt;=12,SUMIFS('Attrition Modeling'!$D:$D,'Attrition Modeling'!$B:$B,'IP Attrition'!$D52,'Attrition Modeling'!$C:$C,'IP Attrition'!O$1),VLOOKUP($F52+O$2,$A$6:$C$106,2,FALSE)*VLOOKUP(O$1,'Attrition Modeling'!$L$15:$N$27,IF(O$2+$F52&lt;=24,2,3),FALSE)),$C$3)*(1+Projection!Q$16)*(1+IF(O184&gt;0,'Attrition Modeling'!$N$9,0)))</f>
        <v>0</v>
      </c>
      <c r="P52" s="799">
        <f>(O52+P184)*(1-IFERROR(IF(P$2+$F52&lt;=12,SUMIFS('Attrition Modeling'!$D:$D,'Attrition Modeling'!$B:$B,'IP Attrition'!$D52,'Attrition Modeling'!$C:$C,'IP Attrition'!P$1),VLOOKUP($F52+P$2,$A$6:$C$106,2,FALSE)*VLOOKUP(P$1,'Attrition Modeling'!$L$15:$N$27,IF(P$2+$F52&lt;=24,2,3),FALSE)),$C$3)*(1+Projection!R$16)*(1+IF(P184&gt;0,'Attrition Modeling'!$N$9,0)))</f>
        <v>0</v>
      </c>
      <c r="Q52" s="799">
        <f>(P52+Q184)*(1-IFERROR(IF(Q$2+$F52&lt;=12,SUMIFS('Attrition Modeling'!$D:$D,'Attrition Modeling'!$B:$B,'IP Attrition'!$D52,'Attrition Modeling'!$C:$C,'IP Attrition'!Q$1),VLOOKUP($F52+Q$2,$A$6:$C$106,2,FALSE)*VLOOKUP(Q$1,'Attrition Modeling'!$L$15:$N$27,IF(Q$2+$F52&lt;=24,2,3),FALSE)),$C$3)*(1+Projection!S$16)*(1+IF(Q184&gt;0,'Attrition Modeling'!$N$9,0)))</f>
        <v>0</v>
      </c>
      <c r="R52" s="799">
        <f>(Q52+R184)*(1-IFERROR(IF(R$2+$F52&lt;=12,SUMIFS('Attrition Modeling'!$D:$D,'Attrition Modeling'!$B:$B,'IP Attrition'!$D52,'Attrition Modeling'!$C:$C,'IP Attrition'!R$1),VLOOKUP($F52+R$2,$A$6:$C$106,2,FALSE)*VLOOKUP(R$1,'Attrition Modeling'!$L$15:$N$27,IF(R$2+$F52&lt;=24,2,3),FALSE)),$C$3)*(1+Projection!T$16)*(1+IF(R184&gt;0,'Attrition Modeling'!$N$9,0)))</f>
        <v>0</v>
      </c>
      <c r="S52" s="799">
        <f>(R52+S184)*(1-IFERROR(IF(S$2+$F52&lt;=12,SUMIFS('Attrition Modeling'!$D:$D,'Attrition Modeling'!$B:$B,'IP Attrition'!$D52,'Attrition Modeling'!$C:$C,'IP Attrition'!S$1),VLOOKUP($F52+S$2,$A$6:$C$106,2,FALSE)*VLOOKUP(S$1,'Attrition Modeling'!$L$15:$N$27,IF(S$2+$F52&lt;=24,2,3),FALSE)),$C$3)*(1+Projection!U$16)*(1+IF(S184&gt;0,'Attrition Modeling'!$N$9,0)))</f>
        <v>0</v>
      </c>
      <c r="T52" s="799">
        <f>(S52+T184)*(1-IFERROR(IF(T$2+$F52&lt;=12,SUMIFS('Attrition Modeling'!$D:$D,'Attrition Modeling'!$B:$B,'IP Attrition'!$D52,'Attrition Modeling'!$C:$C,'IP Attrition'!T$1),VLOOKUP($F52+T$2,$A$6:$C$106,2,FALSE)*VLOOKUP(T$1,'Attrition Modeling'!$L$15:$N$27,IF(T$2+$F52&lt;=24,2,3),FALSE)),$C$3)*(1+Projection!V$16)*(1+IF(T184&gt;0,'Attrition Modeling'!$N$9,0)))</f>
        <v>0</v>
      </c>
      <c r="U52" s="799">
        <f>(T52+U184)*(1-IFERROR(IF(U$2+$F52&lt;=12,SUMIFS('Attrition Modeling'!$D:$D,'Attrition Modeling'!$B:$B,'IP Attrition'!$D52,'Attrition Modeling'!$C:$C,'IP Attrition'!U$1),VLOOKUP($F52+U$2,$A$6:$C$106,2,FALSE)*VLOOKUP(U$1,'Attrition Modeling'!$L$15:$N$27,IF(U$2+$F52&lt;=24,2,3),FALSE)),$C$3)*(1+Projection!W$16)*(1+IF(U184&gt;0,'Attrition Modeling'!$N$9,0)))</f>
        <v>0</v>
      </c>
      <c r="V52" s="799">
        <f>(U52+V184)*(1-IFERROR(IF(V$2+$F52&lt;=12,SUMIFS('Attrition Modeling'!$D:$D,'Attrition Modeling'!$B:$B,'IP Attrition'!$D52,'Attrition Modeling'!$C:$C,'IP Attrition'!V$1),VLOOKUP($F52+V$2,$A$6:$C$106,2,FALSE)*VLOOKUP(V$1,'Attrition Modeling'!$L$15:$N$27,IF(V$2+$F52&lt;=24,2,3),FALSE)),$C$3)*(1+Projection!X$16)*(1+IF(V184&gt;0,'Attrition Modeling'!$N$9,0)))</f>
        <v>0</v>
      </c>
      <c r="W52" s="799">
        <f>(V52+W184)*(1-IFERROR(IF(W$2+$F52&lt;=12,SUMIFS('Attrition Modeling'!$D:$D,'Attrition Modeling'!$B:$B,'IP Attrition'!$D52,'Attrition Modeling'!$C:$C,'IP Attrition'!W$1),VLOOKUP($F52+W$2,$A$6:$C$106,2,FALSE)*VLOOKUP(W$1,'Attrition Modeling'!$L$15:$N$27,IF(W$2+$F52&lt;=24,2,3),FALSE)),$C$3)*(1+Projection!Y$16)*(1+IF(W184&gt;0,'Attrition Modeling'!$N$9,0)))</f>
        <v>0</v>
      </c>
      <c r="X52" s="799">
        <f>(W52+X184)*(1-IFERROR(IF(X$2+$F52&lt;=12,SUMIFS('Attrition Modeling'!$D:$D,'Attrition Modeling'!$B:$B,'IP Attrition'!$D52,'Attrition Modeling'!$C:$C,'IP Attrition'!X$1),VLOOKUP($F52+X$2,$A$6:$C$106,2,FALSE)*VLOOKUP(X$1,'Attrition Modeling'!$L$15:$N$27,IF(X$2+$F52&lt;=24,2,3),FALSE)),$C$3)*(1+Projection!Z$16)*(1+IF(X184&gt;0,'Attrition Modeling'!$N$9,0)))</f>
        <v>0</v>
      </c>
      <c r="Y52" s="799">
        <f>(X52+Y184)*(1-IFERROR(IF(Y$2+$F52&lt;=12,SUMIFS('Attrition Modeling'!$D:$D,'Attrition Modeling'!$B:$B,'IP Attrition'!$D52,'Attrition Modeling'!$C:$C,'IP Attrition'!Y$1),VLOOKUP($F52+Y$2,$A$6:$C$106,2,FALSE)*VLOOKUP(Y$1,'Attrition Modeling'!$L$15:$N$27,IF(Y$2+$F52&lt;=24,2,3),FALSE)),$C$3)*(1+Projection!AA$16)*(1+IF(Y184&gt;0,'Attrition Modeling'!$N$9,0)))</f>
        <v>0</v>
      </c>
      <c r="Z52" s="799">
        <f>(Y52+Z184)*(1-IFERROR(IF(Z$2+$F52&lt;=12,SUMIFS('Attrition Modeling'!$D:$D,'Attrition Modeling'!$B:$B,'IP Attrition'!$D52,'Attrition Modeling'!$C:$C,'IP Attrition'!Z$1),VLOOKUP($F52+Z$2,$A$6:$C$106,2,FALSE)*VLOOKUP(Z$1,'Attrition Modeling'!$L$15:$N$27,IF(Z$2+$F52&lt;=24,2,3),FALSE)),$C$3)*(1+Projection!AB$16)*(1+IF(Z184&gt;0,'Attrition Modeling'!$N$9,0)))</f>
        <v>0</v>
      </c>
      <c r="AA52" s="799">
        <f>(Z52+AA184)*(1-IFERROR(IF(AA$2+$F52&lt;=12,SUMIFS('Attrition Modeling'!$D:$D,'Attrition Modeling'!$B:$B,'IP Attrition'!$D52,'Attrition Modeling'!$C:$C,'IP Attrition'!AA$1),VLOOKUP($F52+AA$2,$A$6:$C$106,2,FALSE)*VLOOKUP(AA$1,'Attrition Modeling'!$L$15:$N$27,IF(AA$2+$F52&lt;=24,2,3),FALSE)),$C$3)*(1+Projection!AC$16)*(1+IF(AA184&gt;0,'Attrition Modeling'!$N$9,0)))</f>
        <v>0</v>
      </c>
      <c r="AB52" s="799">
        <f>(AA52+AB184)*(1-IFERROR(IF(AB$2+$F52&lt;=12,SUMIFS('Attrition Modeling'!$D:$D,'Attrition Modeling'!$B:$B,'IP Attrition'!$D52,'Attrition Modeling'!$C:$C,'IP Attrition'!AB$1),VLOOKUP($F52+AB$2,$A$6:$C$106,2,FALSE)*VLOOKUP(AB$1,'Attrition Modeling'!$L$15:$N$27,IF(AB$2+$F52&lt;=24,2,3),FALSE)),$C$3)*(1+Projection!AD$16)*(1+IF(AB184&gt;0,'Attrition Modeling'!$N$9,0)))</f>
        <v>0</v>
      </c>
      <c r="AC52" s="799">
        <f>(AB52+AC184)*(1-IFERROR(IF(AC$2+$F52&lt;=12,SUMIFS('Attrition Modeling'!$D:$D,'Attrition Modeling'!$B:$B,'IP Attrition'!$D52,'Attrition Modeling'!$C:$C,'IP Attrition'!AC$1),VLOOKUP($F52+AC$2,$A$6:$C$106,2,FALSE)*VLOOKUP(AC$1,'Attrition Modeling'!$L$15:$N$27,IF(AC$2+$F52&lt;=24,2,3),FALSE)),$C$3)*(1+Projection!AE$16)*(1+IF(AC184&gt;0,'Attrition Modeling'!$N$9,0)))</f>
        <v>0</v>
      </c>
      <c r="AD52" s="799">
        <f>(AC52+AD184)*(1-IFERROR(IF(AD$2+$F52&lt;=12,SUMIFS('Attrition Modeling'!$D:$D,'Attrition Modeling'!$B:$B,'IP Attrition'!$D52,'Attrition Modeling'!$C:$C,'IP Attrition'!AD$1),VLOOKUP($F52+AD$2,$A$6:$C$106,2,FALSE)*VLOOKUP(AD$1,'Attrition Modeling'!$L$15:$N$27,IF(AD$2+$F52&lt;=24,2,3),FALSE)),$C$3)*(1+Projection!AF$16)*(1+IF(AD184&gt;0,'Attrition Modeling'!$N$9,0)))</f>
        <v>0</v>
      </c>
      <c r="AE52" s="799">
        <f>(AD52+AE184)*(1-IFERROR(IF(AE$2+$F52&lt;=12,SUMIFS('Attrition Modeling'!$D:$D,'Attrition Modeling'!$B:$B,'IP Attrition'!$D52,'Attrition Modeling'!$C:$C,'IP Attrition'!AE$1),VLOOKUP($F52+AE$2,$A$6:$C$106,2,FALSE)*VLOOKUP(AE$1,'Attrition Modeling'!$L$15:$N$27,IF(AE$2+$F52&lt;=24,2,3),FALSE)),$C$3)*(1+Projection!AG$16)*(1+IF(AE184&gt;0,'Attrition Modeling'!$N$9,0)))</f>
        <v>0</v>
      </c>
      <c r="AF52" s="799">
        <f>(AE52+AF184)*(1-IFERROR(IF(AF$2+$F52&lt;=12,SUMIFS('Attrition Modeling'!$D:$D,'Attrition Modeling'!$B:$B,'IP Attrition'!$D52,'Attrition Modeling'!$C:$C,'IP Attrition'!AF$1),VLOOKUP($F52+AF$2,$A$6:$C$106,2,FALSE)*VLOOKUP(AF$1,'Attrition Modeling'!$L$15:$N$27,IF(AF$2+$F52&lt;=24,2,3),FALSE)),$C$3)*(1+Projection!AH$16)*(1+IF(AF184&gt;0,'Attrition Modeling'!$N$9,0)))</f>
        <v>0</v>
      </c>
      <c r="AG52" s="799">
        <f>(AF52+AG184)*(1-IFERROR(IF(AG$2+$F52&lt;=12,SUMIFS('Attrition Modeling'!$D:$D,'Attrition Modeling'!$B:$B,'IP Attrition'!$D52,'Attrition Modeling'!$C:$C,'IP Attrition'!AG$1),VLOOKUP($F52+AG$2,$A$6:$C$106,2,FALSE)*VLOOKUP(AG$1,'Attrition Modeling'!$L$15:$N$27,IF(AG$2+$F52&lt;=24,2,3),FALSE)),$C$3)*(1+Projection!AI$16)*(1+IF(AG184&gt;0,'Attrition Modeling'!$N$9,0)))</f>
        <v>0</v>
      </c>
      <c r="AH52" s="799">
        <f>(AG52+AH184)*(1-IFERROR(IF(AH$2+$F52&lt;=12,SUMIFS('Attrition Modeling'!$D:$D,'Attrition Modeling'!$B:$B,'IP Attrition'!$D52,'Attrition Modeling'!$C:$C,'IP Attrition'!AH$1),VLOOKUP($F52+AH$2,$A$6:$C$106,2,FALSE)*VLOOKUP(AH$1,'Attrition Modeling'!$L$15:$N$27,IF(AH$2+$F52&lt;=24,2,3),FALSE)),$C$3)*(1+Projection!AJ$16)*(1+IF(AH184&gt;0,'Attrition Modeling'!$N$9,0)))</f>
        <v>0</v>
      </c>
      <c r="AI52" s="799">
        <f>(AH52+AI184)*(1-IFERROR(IF(AI$2+$F52&lt;=12,SUMIFS('Attrition Modeling'!$D:$D,'Attrition Modeling'!$B:$B,'IP Attrition'!$D52,'Attrition Modeling'!$C:$C,'IP Attrition'!AI$1),VLOOKUP($F52+AI$2,$A$6:$C$106,2,FALSE)*VLOOKUP(AI$1,'Attrition Modeling'!$L$15:$N$27,IF(AI$2+$F52&lt;=24,2,3),FALSE)),$C$3)*(1+Projection!AK$16)*(1+IF(AI184&gt;0,'Attrition Modeling'!$N$9,0)))</f>
        <v>0</v>
      </c>
      <c r="AJ52" s="799">
        <f>(AI52+AJ184)*(1-IFERROR(IF(AJ$2+$F52&lt;=12,SUMIFS('Attrition Modeling'!$D:$D,'Attrition Modeling'!$B:$B,'IP Attrition'!$D52,'Attrition Modeling'!$C:$C,'IP Attrition'!AJ$1),VLOOKUP($F52+AJ$2,$A$6:$C$106,2,FALSE)*VLOOKUP(AJ$1,'Attrition Modeling'!$L$15:$N$27,IF(AJ$2+$F52&lt;=24,2,3),FALSE)),$C$3)*(1+Projection!AL$16)*(1+IF(AJ184&gt;0,'Attrition Modeling'!$N$9,0)))</f>
        <v>0</v>
      </c>
      <c r="AK52" s="799">
        <f>(AJ52+AK184)*(1-IFERROR(IF(AK$2+$F52&lt;=12,SUMIFS('Attrition Modeling'!$D:$D,'Attrition Modeling'!$B:$B,'IP Attrition'!$D52,'Attrition Modeling'!$C:$C,'IP Attrition'!AK$1),VLOOKUP($F52+AK$2,$A$6:$C$106,2,FALSE)*VLOOKUP(AK$1,'Attrition Modeling'!$L$15:$N$27,IF(AK$2+$F52&lt;=24,2,3),FALSE)),$C$3)*(1+Projection!AM$16)*(1+IF(AK184&gt;0,'Attrition Modeling'!$N$9,0)))</f>
        <v>0</v>
      </c>
      <c r="AL52" s="799">
        <f>(AK52+AL184)*(1-IFERROR(IF(AL$2+$F52&lt;=12,SUMIFS('Attrition Modeling'!$D:$D,'Attrition Modeling'!$B:$B,'IP Attrition'!$D52,'Attrition Modeling'!$C:$C,'IP Attrition'!AL$1),VLOOKUP($F52+AL$2,$A$6:$C$106,2,FALSE)*VLOOKUP(AL$1,'Attrition Modeling'!$L$15:$N$27,IF(AL$2+$F52&lt;=24,2,3),FALSE)),$C$3)*(1+Projection!AN$16)*(1+IF(AL184&gt;0,'Attrition Modeling'!$N$9,0)))</f>
        <v>0</v>
      </c>
      <c r="AM52" s="799">
        <f>(AL52+AM184)*(1-IFERROR(IF(AM$2+$F52&lt;=12,SUMIFS('Attrition Modeling'!$D:$D,'Attrition Modeling'!$B:$B,'IP Attrition'!$D52,'Attrition Modeling'!$C:$C,'IP Attrition'!AM$1),VLOOKUP($F52+AM$2,$A$6:$C$106,2,FALSE)*VLOOKUP(AM$1,'Attrition Modeling'!$L$15:$N$27,IF(AM$2+$F52&lt;=24,2,3),FALSE)),$C$3)*(1+Projection!AO$16)*(1+IF(AM184&gt;0,'Attrition Modeling'!$N$9,0)))</f>
        <v>0</v>
      </c>
      <c r="AN52" s="799">
        <f>(AM52+AN184)*(1-IFERROR(IF(AN$2+$F52&lt;=12,SUMIFS('Attrition Modeling'!$D:$D,'Attrition Modeling'!$B:$B,'IP Attrition'!$D52,'Attrition Modeling'!$C:$C,'IP Attrition'!AN$1),VLOOKUP($F52+AN$2,$A$6:$C$106,2,FALSE)*VLOOKUP(AN$1,'Attrition Modeling'!$L$15:$N$27,IF(AN$2+$F52&lt;=24,2,3),FALSE)),$C$3)*(1+Projection!AP$16)*(1+IF(AN184&gt;0,'Attrition Modeling'!$N$9,0)))</f>
        <v>0</v>
      </c>
      <c r="AO52" s="799">
        <f>(AN52+AO184)*(1-IFERROR(IF(AO$2+$F52&lt;=12,SUMIFS('Attrition Modeling'!$D:$D,'Attrition Modeling'!$B:$B,'IP Attrition'!$D52,'Attrition Modeling'!$C:$C,'IP Attrition'!AO$1),VLOOKUP($F52+AO$2,$A$6:$C$106,2,FALSE)*VLOOKUP(AO$1,'Attrition Modeling'!$L$15:$N$27,IF(AO$2+$F52&lt;=24,2,3),FALSE)),$C$3)*(1+Projection!AQ$16)*(1+IF(AO184&gt;0,'Attrition Modeling'!$N$9,0)))</f>
        <v>0</v>
      </c>
      <c r="AP52" s="799">
        <f>(AO52+AP184)*(1-IFERROR(IF(AP$2+$F52&lt;=12,SUMIFS('Attrition Modeling'!$D:$D,'Attrition Modeling'!$B:$B,'IP Attrition'!$D52,'Attrition Modeling'!$C:$C,'IP Attrition'!AP$1),VLOOKUP($F52+AP$2,$A$6:$C$106,2,FALSE)*VLOOKUP(AP$1,'Attrition Modeling'!$L$15:$N$27,IF(AP$2+$F52&lt;=24,2,3),FALSE)),$C$3)*(1+Projection!AR$16)*(1+IF(AP184&gt;0,'Attrition Modeling'!$N$9,0)))</f>
        <v>0</v>
      </c>
      <c r="AQ52" s="799">
        <f>(AP52+AQ184)*(1-IFERROR(IF(AQ$2+$F52&lt;=12,SUMIFS('Attrition Modeling'!$D:$D,'Attrition Modeling'!$B:$B,'IP Attrition'!$D52,'Attrition Modeling'!$C:$C,'IP Attrition'!AQ$1),VLOOKUP($F52+AQ$2,$A$6:$C$106,2,FALSE)*VLOOKUP(AQ$1,'Attrition Modeling'!$L$15:$N$27,IF(AQ$2+$F52&lt;=24,2,3),FALSE)),$C$3)*(1+Projection!AS$16)*(1+IF(AQ184&gt;0,'Attrition Modeling'!$N$9,0)))</f>
        <v>0</v>
      </c>
      <c r="AR52" s="799">
        <f>(AQ52+AR184)*(1-IFERROR(IF(AR$2+$F52&lt;=12,SUMIFS('Attrition Modeling'!$D:$D,'Attrition Modeling'!$B:$B,'IP Attrition'!$D52,'Attrition Modeling'!$C:$C,'IP Attrition'!AR$1),VLOOKUP($F52+AR$2,$A$6:$C$106,2,FALSE)*VLOOKUP(AR$1,'Attrition Modeling'!$L$15:$N$27,IF(AR$2+$F52&lt;=24,2,3),FALSE)),$C$3)*(1+Projection!AT$16)*(1+IF(AR184&gt;0,'Attrition Modeling'!$N$9,0)))</f>
        <v>0</v>
      </c>
      <c r="AS52" s="799">
        <f>(AR52+AS184)*(1-IFERROR(IF(AS$2+$F52&lt;=12,SUMIFS('Attrition Modeling'!$D:$D,'Attrition Modeling'!$B:$B,'IP Attrition'!$D52,'Attrition Modeling'!$C:$C,'IP Attrition'!AS$1),VLOOKUP($F52+AS$2,$A$6:$C$106,2,FALSE)*VLOOKUP(AS$1,'Attrition Modeling'!$L$15:$N$27,IF(AS$2+$F52&lt;=24,2,3),FALSE)),$C$3)*(1+Projection!AU$16)*(1+IF(AS184&gt;0,'Attrition Modeling'!$N$9,0)))</f>
        <v>0</v>
      </c>
      <c r="AT52" s="799">
        <f>(AS52+AT184)*(1-IFERROR(IF(AT$2+$F52&lt;=12,SUMIFS('Attrition Modeling'!$D:$D,'Attrition Modeling'!$B:$B,'IP Attrition'!$D52,'Attrition Modeling'!$C:$C,'IP Attrition'!AT$1),VLOOKUP($F52+AT$2,$A$6:$C$106,2,FALSE)*VLOOKUP(AT$1,'Attrition Modeling'!$L$15:$N$27,IF(AT$2+$F52&lt;=24,2,3),FALSE)),$C$3)*(1+Projection!AV$16)*(1+IF(AT184&gt;0,'Attrition Modeling'!$N$9,0)))</f>
        <v>0</v>
      </c>
      <c r="AU52" s="799">
        <f>(AT52+AU184)*(1-IFERROR(IF(AU$2+$F52&lt;=12,SUMIFS('Attrition Modeling'!$D:$D,'Attrition Modeling'!$B:$B,'IP Attrition'!$D52,'Attrition Modeling'!$C:$C,'IP Attrition'!AU$1),VLOOKUP($F52+AU$2,$A$6:$C$106,2,FALSE)*VLOOKUP(AU$1,'Attrition Modeling'!$L$15:$N$27,IF(AU$2+$F52&lt;=24,2,3),FALSE)),$C$3)*(1+Projection!AW$16)*(1+IF(AU184&gt;0,'Attrition Modeling'!$N$9,0)))</f>
        <v>0</v>
      </c>
      <c r="AV52" s="799">
        <f>(AU52+AV184)*(1-IFERROR(IF(AV$2+$F52&lt;=12,SUMIFS('Attrition Modeling'!$D:$D,'Attrition Modeling'!$B:$B,'IP Attrition'!$D52,'Attrition Modeling'!$C:$C,'IP Attrition'!AV$1),VLOOKUP($F52+AV$2,$A$6:$C$106,2,FALSE)*VLOOKUP(AV$1,'Attrition Modeling'!$L$15:$N$27,IF(AV$2+$F52&lt;=24,2,3),FALSE)),$C$3)*(1+Projection!AX$16)*(1+IF(AV184&gt;0,'Attrition Modeling'!$N$9,0)))</f>
        <v>0</v>
      </c>
      <c r="AW52" s="799">
        <f>(AV52+AW184)*(1-IFERROR(IF(AW$2+$F52&lt;=12,SUMIFS('Attrition Modeling'!$D:$D,'Attrition Modeling'!$B:$B,'IP Attrition'!$D52,'Attrition Modeling'!$C:$C,'IP Attrition'!AW$1),VLOOKUP($F52+AW$2,$A$6:$C$106,2,FALSE)*VLOOKUP(AW$1,'Attrition Modeling'!$L$15:$N$27,IF(AW$2+$F52&lt;=24,2,3),FALSE)),$C$3)*(1+Projection!AY$16)*(1+IF(AW184&gt;0,'Attrition Modeling'!$N$9,0)))</f>
        <v>0</v>
      </c>
      <c r="AX52" s="799">
        <f>(AW52+AX184)*(1-IFERROR(IF(AX$2+$F52&lt;=12,SUMIFS('Attrition Modeling'!$D:$D,'Attrition Modeling'!$B:$B,'IP Attrition'!$D52,'Attrition Modeling'!$C:$C,'IP Attrition'!AX$1),VLOOKUP($F52+AX$2,$A$6:$C$106,2,FALSE)*VLOOKUP(AX$1,'Attrition Modeling'!$L$15:$N$27,IF(AX$2+$F52&lt;=24,2,3),FALSE)),$C$3)*(1+Projection!AZ$16)*(1+IF(AX184&gt;0,'Attrition Modeling'!$N$9,0)))</f>
        <v>0</v>
      </c>
      <c r="AY52" s="799">
        <f>(AX52+AY184)*(1-IFERROR(IF(AY$2+$F52&lt;=12,SUMIFS('Attrition Modeling'!$D:$D,'Attrition Modeling'!$B:$B,'IP Attrition'!$D52,'Attrition Modeling'!$C:$C,'IP Attrition'!AY$1),VLOOKUP($F52+AY$2,$A$6:$C$106,2,FALSE)*VLOOKUP(AY$1,'Attrition Modeling'!$L$15:$N$27,IF(AY$2+$F52&lt;=24,2,3),FALSE)),$C$3)*(1+Projection!BA$16)*(1+IF(AY184&gt;0,'Attrition Modeling'!$N$9,0)))</f>
        <v>0</v>
      </c>
      <c r="AZ52" s="799">
        <f>(AY52+AZ184)*(1-IFERROR(IF(AZ$2+$F52&lt;=12,SUMIFS('Attrition Modeling'!$D:$D,'Attrition Modeling'!$B:$B,'IP Attrition'!$D52,'Attrition Modeling'!$C:$C,'IP Attrition'!AZ$1),VLOOKUP($F52+AZ$2,$A$6:$C$106,2,FALSE)*VLOOKUP(AZ$1,'Attrition Modeling'!$L$15:$N$27,IF(AZ$2+$F52&lt;=24,2,3),FALSE)),$C$3)*(1+Projection!BB$16)*(1+IF(AZ184&gt;0,'Attrition Modeling'!$N$9,0)))</f>
        <v>0</v>
      </c>
      <c r="BA52" s="799">
        <f>(AZ52+BA184)*(1-IFERROR(IF(BA$2+$F52&lt;=12,SUMIFS('Attrition Modeling'!$D:$D,'Attrition Modeling'!$B:$B,'IP Attrition'!$D52,'Attrition Modeling'!$C:$C,'IP Attrition'!BA$1),VLOOKUP($F52+BA$2,$A$6:$C$106,2,FALSE)*VLOOKUP(BA$1,'Attrition Modeling'!$L$15:$N$27,IF(BA$2+$F52&lt;=24,2,3),FALSE)),$C$3)*(1+Projection!BC$16)*(1+IF(BA184&gt;0,'Attrition Modeling'!$N$9,0)))</f>
        <v>0</v>
      </c>
      <c r="BB52" s="799">
        <f>(BA52+BB184)*(1-IFERROR(IF(BB$2+$F52&lt;=12,SUMIFS('Attrition Modeling'!$D:$D,'Attrition Modeling'!$B:$B,'IP Attrition'!$D52,'Attrition Modeling'!$C:$C,'IP Attrition'!BB$1),VLOOKUP($F52+BB$2,$A$6:$C$106,2,FALSE)*VLOOKUP(BB$1,'Attrition Modeling'!$L$15:$N$27,IF(BB$2+$F52&lt;=24,2,3),FALSE)),$C$3)*(1+Projection!BD$16)*(1+IF(BB184&gt;0,'Attrition Modeling'!$N$9,0)))</f>
        <v>0</v>
      </c>
      <c r="BC52" s="799">
        <f>(BB52+BC184)*(1-IFERROR(IF(BC$2+$F52&lt;=12,SUMIFS('Attrition Modeling'!$D:$D,'Attrition Modeling'!$B:$B,'IP Attrition'!$D52,'Attrition Modeling'!$C:$C,'IP Attrition'!BC$1),VLOOKUP($F52+BC$2,$A$6:$C$106,2,FALSE)*VLOOKUP(BC$1,'Attrition Modeling'!$L$15:$N$27,IF(BC$2+$F52&lt;=24,2,3),FALSE)),$C$3)*(1+Projection!BE$16)*(1+IF(BC184&gt;0,'Attrition Modeling'!$N$9,0)))</f>
        <v>0</v>
      </c>
      <c r="BD52" s="799">
        <f>(BC52+BD184)*(1-IFERROR(IF(BD$2+$F52&lt;=12,SUMIFS('Attrition Modeling'!$D:$D,'Attrition Modeling'!$B:$B,'IP Attrition'!$D52,'Attrition Modeling'!$C:$C,'IP Attrition'!BD$1),VLOOKUP($F52+BD$2,$A$6:$C$106,2,FALSE)*VLOOKUP(BD$1,'Attrition Modeling'!$L$15:$N$27,IF(BD$2+$F52&lt;=24,2,3),FALSE)),$C$3)*(1+Projection!BF$16)*(1+IF(BD184&gt;0,'Attrition Modeling'!$N$9,0)))</f>
        <v>0</v>
      </c>
      <c r="BE52" s="799">
        <f>(BD52+BE184)*(1-IFERROR(IF(BE$2+$F52&lt;=12,SUMIFS('Attrition Modeling'!$D:$D,'Attrition Modeling'!$B:$B,'IP Attrition'!$D52,'Attrition Modeling'!$C:$C,'IP Attrition'!BE$1),VLOOKUP($F52+BE$2,$A$6:$C$106,2,FALSE)*VLOOKUP(BE$1,'Attrition Modeling'!$L$15:$N$27,IF(BE$2+$F52&lt;=24,2,3),FALSE)),$C$3)*(1+Projection!BG$16)*(1+IF(BE184&gt;0,'Attrition Modeling'!$N$9,0)))</f>
        <v>0</v>
      </c>
      <c r="BF52" s="799">
        <f>(BE52+BF184)*(1-IFERROR(IF(BF$2+$F52&lt;=12,SUMIFS('Attrition Modeling'!$D:$D,'Attrition Modeling'!$B:$B,'IP Attrition'!$D52,'Attrition Modeling'!$C:$C,'IP Attrition'!BF$1),VLOOKUP($F52+BF$2,$A$6:$C$106,2,FALSE)*VLOOKUP(BF$1,'Attrition Modeling'!$L$15:$N$27,IF(BF$2+$F52&lt;=24,2,3),FALSE)),$C$3)*(1+Projection!BH$16)*(1+IF(BF184&gt;0,'Attrition Modeling'!$N$9,0)))</f>
        <v>0</v>
      </c>
      <c r="BG52" s="799">
        <f>(BF52+BG184)*(1-IFERROR(IF(BG$2+$F52&lt;=12,SUMIFS('Attrition Modeling'!$D:$D,'Attrition Modeling'!$B:$B,'IP Attrition'!$D52,'Attrition Modeling'!$C:$C,'IP Attrition'!BG$1),VLOOKUP($F52+BG$2,$A$6:$C$106,2,FALSE)*VLOOKUP(BG$1,'Attrition Modeling'!$L$15:$N$27,IF(BG$2+$F52&lt;=24,2,3),FALSE)),$C$3)*(1+Projection!BI$16)*(1+IF(BG184&gt;0,'Attrition Modeling'!$N$9,0)))</f>
        <v>0</v>
      </c>
      <c r="BH52" s="799">
        <f>(BG52+BH184)*(1-IFERROR(IF(BH$2+$F52&lt;=12,SUMIFS('Attrition Modeling'!$D:$D,'Attrition Modeling'!$B:$B,'IP Attrition'!$D52,'Attrition Modeling'!$C:$C,'IP Attrition'!BH$1),VLOOKUP($F52+BH$2,$A$6:$C$106,2,FALSE)*VLOOKUP(BH$1,'Attrition Modeling'!$L$15:$N$27,IF(BH$2+$F52&lt;=24,2,3),FALSE)),$C$3)*(1+Projection!BJ$16)*(1+IF(BH184&gt;0,'Attrition Modeling'!$N$9,0)))</f>
        <v>0</v>
      </c>
      <c r="BI52" s="799">
        <f>(BH52+BI184)*(1-IFERROR(IF(BI$2+$F52&lt;=12,SUMIFS('Attrition Modeling'!$D:$D,'Attrition Modeling'!$B:$B,'IP Attrition'!$D52,'Attrition Modeling'!$C:$C,'IP Attrition'!BI$1),VLOOKUP($F52+BI$2,$A$6:$C$106,2,FALSE)*VLOOKUP(BI$1,'Attrition Modeling'!$L$15:$N$27,IF(BI$2+$F52&lt;=24,2,3),FALSE)),$C$3)*(1+Projection!BK$16)*(1+IF(BI184&gt;0,'Attrition Modeling'!$N$9,0)))</f>
        <v>0</v>
      </c>
      <c r="BJ52" s="799">
        <f>(BI52+BJ184)*(1-IFERROR(IF(BJ$2+$F52&lt;=12,SUMIFS('Attrition Modeling'!$D:$D,'Attrition Modeling'!$B:$B,'IP Attrition'!$D52,'Attrition Modeling'!$C:$C,'IP Attrition'!BJ$1),VLOOKUP($F52+BJ$2,$A$6:$C$106,2,FALSE)*VLOOKUP(BJ$1,'Attrition Modeling'!$L$15:$N$27,IF(BJ$2+$F52&lt;=24,2,3),FALSE)),$C$3)*(1+Projection!BL$16)*(1+IF(BJ184&gt;0,'Attrition Modeling'!$N$9,0)))</f>
        <v>0</v>
      </c>
      <c r="BK52" s="799">
        <f>(BJ52+BK184)*(1-IFERROR(IF(BK$2+$F52&lt;=12,SUMIFS('Attrition Modeling'!$D:$D,'Attrition Modeling'!$B:$B,'IP Attrition'!$D52,'Attrition Modeling'!$C:$C,'IP Attrition'!BK$1),VLOOKUP($F52+BK$2,$A$6:$C$106,2,FALSE)*VLOOKUP(BK$1,'Attrition Modeling'!$L$15:$N$27,IF(BK$2+$F52&lt;=24,2,3),FALSE)),$C$3)*(1+Projection!BM$16)*(1+IF(BK184&gt;0,'Attrition Modeling'!$N$9,0)))</f>
        <v>0</v>
      </c>
      <c r="BL52" s="799">
        <f>(BK52+BL184)*(1-IFERROR(IF(BL$2+$F52&lt;=12,SUMIFS('Attrition Modeling'!$D:$D,'Attrition Modeling'!$B:$B,'IP Attrition'!$D52,'Attrition Modeling'!$C:$C,'IP Attrition'!BL$1),VLOOKUP($F52+BL$2,$A$6:$C$106,2,FALSE)*VLOOKUP(BL$1,'Attrition Modeling'!$L$15:$N$27,IF(BL$2+$F52&lt;=24,2,3),FALSE)),$C$3)*(1+Projection!BN$16)*(1+IF(BL184&gt;0,'Attrition Modeling'!$N$9,0)))</f>
        <v>0</v>
      </c>
      <c r="BM52" s="799">
        <f>(BL52+BM184)*(1-IFERROR(IF(BM$2+$F52&lt;=12,SUMIFS('Attrition Modeling'!$D:$D,'Attrition Modeling'!$B:$B,'IP Attrition'!$D52,'Attrition Modeling'!$C:$C,'IP Attrition'!BM$1),VLOOKUP($F52+BM$2,$A$6:$C$106,2,FALSE)*VLOOKUP(BM$1,'Attrition Modeling'!$L$15:$N$27,IF(BM$2+$F52&lt;=24,2,3),FALSE)),$C$3)*(1+Projection!BO$16)*(1+IF(BM184&gt;0,'Attrition Modeling'!$N$9,0)))</f>
        <v>0</v>
      </c>
      <c r="BN52" s="799">
        <f>(BM52+BN184)*(1-IFERROR(IF(BN$2+$F52&lt;=12,SUMIFS('Attrition Modeling'!$D:$D,'Attrition Modeling'!$B:$B,'IP Attrition'!$D52,'Attrition Modeling'!$C:$C,'IP Attrition'!BN$1),VLOOKUP($F52+BN$2,$A$6:$C$106,2,FALSE)*VLOOKUP(BN$1,'Attrition Modeling'!$L$15:$N$27,IF(BN$2+$F52&lt;=24,2,3),FALSE)),$C$3)*(1+Projection!BP$16)*(1+IF(BN184&gt;0,'Attrition Modeling'!$N$9,0)))</f>
        <v>0</v>
      </c>
      <c r="BO52" s="799">
        <f>(BN52+BO184)*(1-IFERROR(IF(BO$2+$F52&lt;=12,SUMIFS('Attrition Modeling'!$D:$D,'Attrition Modeling'!$B:$B,'IP Attrition'!$D52,'Attrition Modeling'!$C:$C,'IP Attrition'!BO$1),VLOOKUP($F52+BO$2,$A$6:$C$106,2,FALSE)*VLOOKUP(BO$1,'Attrition Modeling'!$L$15:$N$27,IF(BO$2+$F52&lt;=24,2,3),FALSE)),$C$3)*(1+Projection!BV$16)*(1+IF(BO184&gt;0,'Attrition Modeling'!$N$9,0)))</f>
        <v>0</v>
      </c>
      <c r="BP52" s="799">
        <f>(BO52+BP184)*(1-IFERROR(IF(BP$2+$F52&lt;=12,SUMIFS('Attrition Modeling'!$D:$D,'Attrition Modeling'!$B:$B,'IP Attrition'!$D52,'Attrition Modeling'!$C:$C,'IP Attrition'!BP$1),VLOOKUP($F52+BP$2,$A$6:$C$106,2,FALSE)*VLOOKUP(BP$1,'Attrition Modeling'!$L$15:$N$27,IF(BP$2+$F52&lt;=24,2,3),FALSE)),$C$3)*(1+Projection!BW$16)*(1+IF(BP184&gt;0,'Attrition Modeling'!$N$9,0)))</f>
        <v>0</v>
      </c>
      <c r="BQ52" s="799">
        <f>(BP52+BQ184)*(1-IFERROR(IF(BQ$2+$F52&lt;=12,SUMIFS('Attrition Modeling'!$D:$D,'Attrition Modeling'!$B:$B,'IP Attrition'!$D52,'Attrition Modeling'!$C:$C,'IP Attrition'!BQ$1),VLOOKUP($F52+BQ$2,$A$6:$C$106,2,FALSE)*VLOOKUP(BQ$1,'Attrition Modeling'!$L$15:$N$27,IF(BQ$2+$F52&lt;=24,2,3),FALSE)),$C$3)*(1+Projection!BX$16)*(1+IF(BQ184&gt;0,'Attrition Modeling'!$N$9,0)))</f>
        <v>0</v>
      </c>
      <c r="BR52" s="799">
        <f>(BQ52+BR184)*(1-IFERROR(IF(BR$2+$F52&lt;=12,SUMIFS('Attrition Modeling'!$D:$D,'Attrition Modeling'!$B:$B,'IP Attrition'!$D52,'Attrition Modeling'!$C:$C,'IP Attrition'!BR$1),VLOOKUP($F52+BR$2,$A$6:$C$106,2,FALSE)*VLOOKUP(BR$1,'Attrition Modeling'!$L$15:$N$27,IF(BR$2+$F52&lt;=24,2,3),FALSE)),$C$3)*(1+Projection!BY$16)*(1+IF(BR184&gt;0,'Attrition Modeling'!$N$9,0)))</f>
        <v>0</v>
      </c>
      <c r="BS52" s="799">
        <f>(BR52+BS184)*(1-IFERROR(IF(BS$2+$F52&lt;=12,SUMIFS('Attrition Modeling'!$D:$D,'Attrition Modeling'!$B:$B,'IP Attrition'!$D52,'Attrition Modeling'!$C:$C,'IP Attrition'!BS$1),VLOOKUP($F52+BS$2,$A$6:$C$106,2,FALSE)*VLOOKUP(BS$1,'Attrition Modeling'!$L$15:$N$27,IF(BS$2+$F52&lt;=24,2,3),FALSE)),$C$3)*(1+Projection!BZ$16)*(1+IF(BS184&gt;0,'Attrition Modeling'!$N$9,0)))</f>
        <v>0</v>
      </c>
      <c r="BT52" s="799" t="e">
        <f>(BS52+BT184)*(1-IFERROR(IF(BT$2+$F52&lt;=12,SUMIFS('Attrition Modeling'!$D:$D,'Attrition Modeling'!$B:$B,'IP Attrition'!$D52,'Attrition Modeling'!$C:$C,'IP Attrition'!BT$1),VLOOKUP($F52+BT$2,$A$6:$C$106,2,FALSE)*VLOOKUP(BT$1,'Attrition Modeling'!$L$15:$N$27,IF(BT$2+$F52&lt;=24,2,3),FALSE)),$C$3)*(1+Projection!CA$16)*(1+IF(BT184&gt;0,'Attrition Modeling'!$N$9,0)))</f>
        <v>#REF!</v>
      </c>
      <c r="BU52" s="799" t="e">
        <f>(BT52+BU184)*(1-IFERROR(IF(BU$2+$F52&lt;=12,SUMIFS('Attrition Modeling'!$D:$D,'Attrition Modeling'!$B:$B,'IP Attrition'!$D52,'Attrition Modeling'!$C:$C,'IP Attrition'!BU$1),VLOOKUP($F52+BU$2,$A$6:$C$106,2,FALSE)*VLOOKUP(BU$1,'Attrition Modeling'!$L$15:$N$27,IF(BU$2+$F52&lt;=24,2,3),FALSE)),$C$3)*(1+Projection!CB$16)*(1+IF(BU184&gt;0,'Attrition Modeling'!$N$9,0)))</f>
        <v>#REF!</v>
      </c>
    </row>
    <row r="53" spans="1:73" ht="14.25" customHeight="1" x14ac:dyDescent="0.2">
      <c r="A53" s="9">
        <v>46</v>
      </c>
      <c r="B53" s="25">
        <f>MAX('Attrition Modeling'!H50,$C$3)*(1-Summary!$C$20)</f>
        <v>2.6440899780837919E-2</v>
      </c>
      <c r="C53" s="24" t="e">
        <f t="shared" si="3"/>
        <v>#DIV/0!</v>
      </c>
      <c r="D53" s="11">
        <f t="shared" si="1"/>
        <v>-50</v>
      </c>
      <c r="E53" s="807">
        <f t="array" ref="E53">INDEX('Attrition Modeling'!$X$2:$AF$63,MATCH($F53,'Attrition Modeling'!$X$2:$X$63,0),MATCH(Inputs!$C$10,'Attrition Modeling'!$X$2:$AF$2,0))</f>
        <v>0</v>
      </c>
      <c r="F53" s="11">
        <f t="shared" si="2"/>
        <v>50</v>
      </c>
      <c r="G53" s="799">
        <f>Summary!$C$25*$E53</f>
        <v>0</v>
      </c>
      <c r="H53" s="799">
        <f>(G53+H185)*(1-IFERROR(IF(H$2+$F53&lt;=12,SUMIFS('Attrition Modeling'!$D:$D,'Attrition Modeling'!$B:$B,'IP Attrition'!$D53,'Attrition Modeling'!$C:$C,'IP Attrition'!H$1),VLOOKUP($F53+H$2,$A$6:$C$106,2,FALSE)*VLOOKUP(H$1,'Attrition Modeling'!$L$15:$N$27,IF(H$2+$F53&lt;=24,2,3),FALSE)),$C$3)*(1+Projection!J$16)*(1+IF(H185&gt;0,'Attrition Modeling'!$N$9,0)))</f>
        <v>0</v>
      </c>
      <c r="I53" s="799">
        <f>(H53+I185)*(1-IFERROR(IF(I$2+$F53&lt;=12,SUMIFS('Attrition Modeling'!$D:$D,'Attrition Modeling'!$B:$B,'IP Attrition'!$D53,'Attrition Modeling'!$C:$C,'IP Attrition'!I$1),VLOOKUP($F53+I$2,$A$6:$C$106,2,FALSE)*VLOOKUP(I$1,'Attrition Modeling'!$L$15:$N$27,IF(I$2+$F53&lt;=24,2,3),FALSE)),$C$3)*(1+Projection!K$16)*(1+IF(I185&gt;0,'Attrition Modeling'!$N$9,0)))</f>
        <v>0</v>
      </c>
      <c r="J53" s="799">
        <f>(I53+J185)*(1-IFERROR(IF(J$2+$F53&lt;=12,SUMIFS('Attrition Modeling'!$D:$D,'Attrition Modeling'!$B:$B,'IP Attrition'!$D53,'Attrition Modeling'!$C:$C,'IP Attrition'!J$1),VLOOKUP($F53+J$2,$A$6:$C$106,2,FALSE)*VLOOKUP(J$1,'Attrition Modeling'!$L$15:$N$27,IF(J$2+$F53&lt;=24,2,3),FALSE)),$C$3)*(1+Projection!L$16)*(1+IF(J185&gt;0,'Attrition Modeling'!$N$9,0)))</f>
        <v>0</v>
      </c>
      <c r="K53" s="799">
        <f>(J53+K185)*(1-IFERROR(IF(K$2+$F53&lt;=12,SUMIFS('Attrition Modeling'!$D:$D,'Attrition Modeling'!$B:$B,'IP Attrition'!$D53,'Attrition Modeling'!$C:$C,'IP Attrition'!K$1),VLOOKUP($F53+K$2,$A$6:$C$106,2,FALSE)*VLOOKUP(K$1,'Attrition Modeling'!$L$15:$N$27,IF(K$2+$F53&lt;=24,2,3),FALSE)),$C$3)*(1+Projection!M$16)*(1+IF(K185&gt;0,'Attrition Modeling'!$N$9,0)))</f>
        <v>0</v>
      </c>
      <c r="L53" s="799">
        <f>(K53+L185)*(1-IFERROR(IF(L$2+$F53&lt;=12,SUMIFS('Attrition Modeling'!$D:$D,'Attrition Modeling'!$B:$B,'IP Attrition'!$D53,'Attrition Modeling'!$C:$C,'IP Attrition'!L$1),VLOOKUP($F53+L$2,$A$6:$C$106,2,FALSE)*VLOOKUP(L$1,'Attrition Modeling'!$L$15:$N$27,IF(L$2+$F53&lt;=24,2,3),FALSE)),$C$3)*(1+Projection!N$16)*(1+IF(L185&gt;0,'Attrition Modeling'!$N$9,0)))</f>
        <v>0</v>
      </c>
      <c r="M53" s="799">
        <f>(L53+M185)*(1-IFERROR(IF(M$2+$F53&lt;=12,SUMIFS('Attrition Modeling'!$D:$D,'Attrition Modeling'!$B:$B,'IP Attrition'!$D53,'Attrition Modeling'!$C:$C,'IP Attrition'!M$1),VLOOKUP($F53+M$2,$A$6:$C$106,2,FALSE)*VLOOKUP(M$1,'Attrition Modeling'!$L$15:$N$27,IF(M$2+$F53&lt;=24,2,3),FALSE)),$C$3)*(1+Projection!O$16)*(1+IF(M185&gt;0,'Attrition Modeling'!$N$9,0)))</f>
        <v>0</v>
      </c>
      <c r="N53" s="799">
        <f>(M53+N185)*(1-IFERROR(IF(N$2+$F53&lt;=12,SUMIFS('Attrition Modeling'!$D:$D,'Attrition Modeling'!$B:$B,'IP Attrition'!$D53,'Attrition Modeling'!$C:$C,'IP Attrition'!N$1),VLOOKUP($F53+N$2,$A$6:$C$106,2,FALSE)*VLOOKUP(N$1,'Attrition Modeling'!$L$15:$N$27,IF(N$2+$F53&lt;=24,2,3),FALSE)),$C$3)*(1+Projection!P$16)*(1+IF(N185&gt;0,'Attrition Modeling'!$N$9,0)))</f>
        <v>0</v>
      </c>
      <c r="O53" s="799">
        <f>(N53+O185)*(1-IFERROR(IF(O$2+$F53&lt;=12,SUMIFS('Attrition Modeling'!$D:$D,'Attrition Modeling'!$B:$B,'IP Attrition'!$D53,'Attrition Modeling'!$C:$C,'IP Attrition'!O$1),VLOOKUP($F53+O$2,$A$6:$C$106,2,FALSE)*VLOOKUP(O$1,'Attrition Modeling'!$L$15:$N$27,IF(O$2+$F53&lt;=24,2,3),FALSE)),$C$3)*(1+Projection!Q$16)*(1+IF(O185&gt;0,'Attrition Modeling'!$N$9,0)))</f>
        <v>0</v>
      </c>
      <c r="P53" s="799">
        <f>(O53+P185)*(1-IFERROR(IF(P$2+$F53&lt;=12,SUMIFS('Attrition Modeling'!$D:$D,'Attrition Modeling'!$B:$B,'IP Attrition'!$D53,'Attrition Modeling'!$C:$C,'IP Attrition'!P$1),VLOOKUP($F53+P$2,$A$6:$C$106,2,FALSE)*VLOOKUP(P$1,'Attrition Modeling'!$L$15:$N$27,IF(P$2+$F53&lt;=24,2,3),FALSE)),$C$3)*(1+Projection!R$16)*(1+IF(P185&gt;0,'Attrition Modeling'!$N$9,0)))</f>
        <v>0</v>
      </c>
      <c r="Q53" s="799">
        <f>(P53+Q185)*(1-IFERROR(IF(Q$2+$F53&lt;=12,SUMIFS('Attrition Modeling'!$D:$D,'Attrition Modeling'!$B:$B,'IP Attrition'!$D53,'Attrition Modeling'!$C:$C,'IP Attrition'!Q$1),VLOOKUP($F53+Q$2,$A$6:$C$106,2,FALSE)*VLOOKUP(Q$1,'Attrition Modeling'!$L$15:$N$27,IF(Q$2+$F53&lt;=24,2,3),FALSE)),$C$3)*(1+Projection!S$16)*(1+IF(Q185&gt;0,'Attrition Modeling'!$N$9,0)))</f>
        <v>0</v>
      </c>
      <c r="R53" s="799">
        <f>(Q53+R185)*(1-IFERROR(IF(R$2+$F53&lt;=12,SUMIFS('Attrition Modeling'!$D:$D,'Attrition Modeling'!$B:$B,'IP Attrition'!$D53,'Attrition Modeling'!$C:$C,'IP Attrition'!R$1),VLOOKUP($F53+R$2,$A$6:$C$106,2,FALSE)*VLOOKUP(R$1,'Attrition Modeling'!$L$15:$N$27,IF(R$2+$F53&lt;=24,2,3),FALSE)),$C$3)*(1+Projection!T$16)*(1+IF(R185&gt;0,'Attrition Modeling'!$N$9,0)))</f>
        <v>0</v>
      </c>
      <c r="S53" s="799">
        <f>(R53+S185)*(1-IFERROR(IF(S$2+$F53&lt;=12,SUMIFS('Attrition Modeling'!$D:$D,'Attrition Modeling'!$B:$B,'IP Attrition'!$D53,'Attrition Modeling'!$C:$C,'IP Attrition'!S$1),VLOOKUP($F53+S$2,$A$6:$C$106,2,FALSE)*VLOOKUP(S$1,'Attrition Modeling'!$L$15:$N$27,IF(S$2+$F53&lt;=24,2,3),FALSE)),$C$3)*(1+Projection!U$16)*(1+IF(S185&gt;0,'Attrition Modeling'!$N$9,0)))</f>
        <v>0</v>
      </c>
      <c r="T53" s="799">
        <f>(S53+T185)*(1-IFERROR(IF(T$2+$F53&lt;=12,SUMIFS('Attrition Modeling'!$D:$D,'Attrition Modeling'!$B:$B,'IP Attrition'!$D53,'Attrition Modeling'!$C:$C,'IP Attrition'!T$1),VLOOKUP($F53+T$2,$A$6:$C$106,2,FALSE)*VLOOKUP(T$1,'Attrition Modeling'!$L$15:$N$27,IF(T$2+$F53&lt;=24,2,3),FALSE)),$C$3)*(1+Projection!V$16)*(1+IF(T185&gt;0,'Attrition Modeling'!$N$9,0)))</f>
        <v>0</v>
      </c>
      <c r="U53" s="799">
        <f>(T53+U185)*(1-IFERROR(IF(U$2+$F53&lt;=12,SUMIFS('Attrition Modeling'!$D:$D,'Attrition Modeling'!$B:$B,'IP Attrition'!$D53,'Attrition Modeling'!$C:$C,'IP Attrition'!U$1),VLOOKUP($F53+U$2,$A$6:$C$106,2,FALSE)*VLOOKUP(U$1,'Attrition Modeling'!$L$15:$N$27,IF(U$2+$F53&lt;=24,2,3),FALSE)),$C$3)*(1+Projection!W$16)*(1+IF(U185&gt;0,'Attrition Modeling'!$N$9,0)))</f>
        <v>0</v>
      </c>
      <c r="V53" s="799">
        <f>(U53+V185)*(1-IFERROR(IF(V$2+$F53&lt;=12,SUMIFS('Attrition Modeling'!$D:$D,'Attrition Modeling'!$B:$B,'IP Attrition'!$D53,'Attrition Modeling'!$C:$C,'IP Attrition'!V$1),VLOOKUP($F53+V$2,$A$6:$C$106,2,FALSE)*VLOOKUP(V$1,'Attrition Modeling'!$L$15:$N$27,IF(V$2+$F53&lt;=24,2,3),FALSE)),$C$3)*(1+Projection!X$16)*(1+IF(V185&gt;0,'Attrition Modeling'!$N$9,0)))</f>
        <v>0</v>
      </c>
      <c r="W53" s="799">
        <f>(V53+W185)*(1-IFERROR(IF(W$2+$F53&lt;=12,SUMIFS('Attrition Modeling'!$D:$D,'Attrition Modeling'!$B:$B,'IP Attrition'!$D53,'Attrition Modeling'!$C:$C,'IP Attrition'!W$1),VLOOKUP($F53+W$2,$A$6:$C$106,2,FALSE)*VLOOKUP(W$1,'Attrition Modeling'!$L$15:$N$27,IF(W$2+$F53&lt;=24,2,3),FALSE)),$C$3)*(1+Projection!Y$16)*(1+IF(W185&gt;0,'Attrition Modeling'!$N$9,0)))</f>
        <v>0</v>
      </c>
      <c r="X53" s="799">
        <f>(W53+X185)*(1-IFERROR(IF(X$2+$F53&lt;=12,SUMIFS('Attrition Modeling'!$D:$D,'Attrition Modeling'!$B:$B,'IP Attrition'!$D53,'Attrition Modeling'!$C:$C,'IP Attrition'!X$1),VLOOKUP($F53+X$2,$A$6:$C$106,2,FALSE)*VLOOKUP(X$1,'Attrition Modeling'!$L$15:$N$27,IF(X$2+$F53&lt;=24,2,3),FALSE)),$C$3)*(1+Projection!Z$16)*(1+IF(X185&gt;0,'Attrition Modeling'!$N$9,0)))</f>
        <v>0</v>
      </c>
      <c r="Y53" s="799">
        <f>(X53+Y185)*(1-IFERROR(IF(Y$2+$F53&lt;=12,SUMIFS('Attrition Modeling'!$D:$D,'Attrition Modeling'!$B:$B,'IP Attrition'!$D53,'Attrition Modeling'!$C:$C,'IP Attrition'!Y$1),VLOOKUP($F53+Y$2,$A$6:$C$106,2,FALSE)*VLOOKUP(Y$1,'Attrition Modeling'!$L$15:$N$27,IF(Y$2+$F53&lt;=24,2,3),FALSE)),$C$3)*(1+Projection!AA$16)*(1+IF(Y185&gt;0,'Attrition Modeling'!$N$9,0)))</f>
        <v>0</v>
      </c>
      <c r="Z53" s="799">
        <f>(Y53+Z185)*(1-IFERROR(IF(Z$2+$F53&lt;=12,SUMIFS('Attrition Modeling'!$D:$D,'Attrition Modeling'!$B:$B,'IP Attrition'!$D53,'Attrition Modeling'!$C:$C,'IP Attrition'!Z$1),VLOOKUP($F53+Z$2,$A$6:$C$106,2,FALSE)*VLOOKUP(Z$1,'Attrition Modeling'!$L$15:$N$27,IF(Z$2+$F53&lt;=24,2,3),FALSE)),$C$3)*(1+Projection!AB$16)*(1+IF(Z185&gt;0,'Attrition Modeling'!$N$9,0)))</f>
        <v>0</v>
      </c>
      <c r="AA53" s="799">
        <f>(Z53+AA185)*(1-IFERROR(IF(AA$2+$F53&lt;=12,SUMIFS('Attrition Modeling'!$D:$D,'Attrition Modeling'!$B:$B,'IP Attrition'!$D53,'Attrition Modeling'!$C:$C,'IP Attrition'!AA$1),VLOOKUP($F53+AA$2,$A$6:$C$106,2,FALSE)*VLOOKUP(AA$1,'Attrition Modeling'!$L$15:$N$27,IF(AA$2+$F53&lt;=24,2,3),FALSE)),$C$3)*(1+Projection!AC$16)*(1+IF(AA185&gt;0,'Attrition Modeling'!$N$9,0)))</f>
        <v>0</v>
      </c>
      <c r="AB53" s="799">
        <f>(AA53+AB185)*(1-IFERROR(IF(AB$2+$F53&lt;=12,SUMIFS('Attrition Modeling'!$D:$D,'Attrition Modeling'!$B:$B,'IP Attrition'!$D53,'Attrition Modeling'!$C:$C,'IP Attrition'!AB$1),VLOOKUP($F53+AB$2,$A$6:$C$106,2,FALSE)*VLOOKUP(AB$1,'Attrition Modeling'!$L$15:$N$27,IF(AB$2+$F53&lt;=24,2,3),FALSE)),$C$3)*(1+Projection!AD$16)*(1+IF(AB185&gt;0,'Attrition Modeling'!$N$9,0)))</f>
        <v>0</v>
      </c>
      <c r="AC53" s="799">
        <f>(AB53+AC185)*(1-IFERROR(IF(AC$2+$F53&lt;=12,SUMIFS('Attrition Modeling'!$D:$D,'Attrition Modeling'!$B:$B,'IP Attrition'!$D53,'Attrition Modeling'!$C:$C,'IP Attrition'!AC$1),VLOOKUP($F53+AC$2,$A$6:$C$106,2,FALSE)*VLOOKUP(AC$1,'Attrition Modeling'!$L$15:$N$27,IF(AC$2+$F53&lt;=24,2,3),FALSE)),$C$3)*(1+Projection!AE$16)*(1+IF(AC185&gt;0,'Attrition Modeling'!$N$9,0)))</f>
        <v>0</v>
      </c>
      <c r="AD53" s="799">
        <f>(AC53+AD185)*(1-IFERROR(IF(AD$2+$F53&lt;=12,SUMIFS('Attrition Modeling'!$D:$D,'Attrition Modeling'!$B:$B,'IP Attrition'!$D53,'Attrition Modeling'!$C:$C,'IP Attrition'!AD$1),VLOOKUP($F53+AD$2,$A$6:$C$106,2,FALSE)*VLOOKUP(AD$1,'Attrition Modeling'!$L$15:$N$27,IF(AD$2+$F53&lt;=24,2,3),FALSE)),$C$3)*(1+Projection!AF$16)*(1+IF(AD185&gt;0,'Attrition Modeling'!$N$9,0)))</f>
        <v>0</v>
      </c>
      <c r="AE53" s="799">
        <f>(AD53+AE185)*(1-IFERROR(IF(AE$2+$F53&lt;=12,SUMIFS('Attrition Modeling'!$D:$D,'Attrition Modeling'!$B:$B,'IP Attrition'!$D53,'Attrition Modeling'!$C:$C,'IP Attrition'!AE$1),VLOOKUP($F53+AE$2,$A$6:$C$106,2,FALSE)*VLOOKUP(AE$1,'Attrition Modeling'!$L$15:$N$27,IF(AE$2+$F53&lt;=24,2,3),FALSE)),$C$3)*(1+Projection!AG$16)*(1+IF(AE185&gt;0,'Attrition Modeling'!$N$9,0)))</f>
        <v>0</v>
      </c>
      <c r="AF53" s="799">
        <f>(AE53+AF185)*(1-IFERROR(IF(AF$2+$F53&lt;=12,SUMIFS('Attrition Modeling'!$D:$D,'Attrition Modeling'!$B:$B,'IP Attrition'!$D53,'Attrition Modeling'!$C:$C,'IP Attrition'!AF$1),VLOOKUP($F53+AF$2,$A$6:$C$106,2,FALSE)*VLOOKUP(AF$1,'Attrition Modeling'!$L$15:$N$27,IF(AF$2+$F53&lt;=24,2,3),FALSE)),$C$3)*(1+Projection!AH$16)*(1+IF(AF185&gt;0,'Attrition Modeling'!$N$9,0)))</f>
        <v>0</v>
      </c>
      <c r="AG53" s="799">
        <f>(AF53+AG185)*(1-IFERROR(IF(AG$2+$F53&lt;=12,SUMIFS('Attrition Modeling'!$D:$D,'Attrition Modeling'!$B:$B,'IP Attrition'!$D53,'Attrition Modeling'!$C:$C,'IP Attrition'!AG$1),VLOOKUP($F53+AG$2,$A$6:$C$106,2,FALSE)*VLOOKUP(AG$1,'Attrition Modeling'!$L$15:$N$27,IF(AG$2+$F53&lt;=24,2,3),FALSE)),$C$3)*(1+Projection!AI$16)*(1+IF(AG185&gt;0,'Attrition Modeling'!$N$9,0)))</f>
        <v>0</v>
      </c>
      <c r="AH53" s="799">
        <f>(AG53+AH185)*(1-IFERROR(IF(AH$2+$F53&lt;=12,SUMIFS('Attrition Modeling'!$D:$D,'Attrition Modeling'!$B:$B,'IP Attrition'!$D53,'Attrition Modeling'!$C:$C,'IP Attrition'!AH$1),VLOOKUP($F53+AH$2,$A$6:$C$106,2,FALSE)*VLOOKUP(AH$1,'Attrition Modeling'!$L$15:$N$27,IF(AH$2+$F53&lt;=24,2,3),FALSE)),$C$3)*(1+Projection!AJ$16)*(1+IF(AH185&gt;0,'Attrition Modeling'!$N$9,0)))</f>
        <v>0</v>
      </c>
      <c r="AI53" s="799">
        <f>(AH53+AI185)*(1-IFERROR(IF(AI$2+$F53&lt;=12,SUMIFS('Attrition Modeling'!$D:$D,'Attrition Modeling'!$B:$B,'IP Attrition'!$D53,'Attrition Modeling'!$C:$C,'IP Attrition'!AI$1),VLOOKUP($F53+AI$2,$A$6:$C$106,2,FALSE)*VLOOKUP(AI$1,'Attrition Modeling'!$L$15:$N$27,IF(AI$2+$F53&lt;=24,2,3),FALSE)),$C$3)*(1+Projection!AK$16)*(1+IF(AI185&gt;0,'Attrition Modeling'!$N$9,0)))</f>
        <v>0</v>
      </c>
      <c r="AJ53" s="799">
        <f>(AI53+AJ185)*(1-IFERROR(IF(AJ$2+$F53&lt;=12,SUMIFS('Attrition Modeling'!$D:$D,'Attrition Modeling'!$B:$B,'IP Attrition'!$D53,'Attrition Modeling'!$C:$C,'IP Attrition'!AJ$1),VLOOKUP($F53+AJ$2,$A$6:$C$106,2,FALSE)*VLOOKUP(AJ$1,'Attrition Modeling'!$L$15:$N$27,IF(AJ$2+$F53&lt;=24,2,3),FALSE)),$C$3)*(1+Projection!AL$16)*(1+IF(AJ185&gt;0,'Attrition Modeling'!$N$9,0)))</f>
        <v>0</v>
      </c>
      <c r="AK53" s="799">
        <f>(AJ53+AK185)*(1-IFERROR(IF(AK$2+$F53&lt;=12,SUMIFS('Attrition Modeling'!$D:$D,'Attrition Modeling'!$B:$B,'IP Attrition'!$D53,'Attrition Modeling'!$C:$C,'IP Attrition'!AK$1),VLOOKUP($F53+AK$2,$A$6:$C$106,2,FALSE)*VLOOKUP(AK$1,'Attrition Modeling'!$L$15:$N$27,IF(AK$2+$F53&lt;=24,2,3),FALSE)),$C$3)*(1+Projection!AM$16)*(1+IF(AK185&gt;0,'Attrition Modeling'!$N$9,0)))</f>
        <v>0</v>
      </c>
      <c r="AL53" s="799">
        <f>(AK53+AL185)*(1-IFERROR(IF(AL$2+$F53&lt;=12,SUMIFS('Attrition Modeling'!$D:$D,'Attrition Modeling'!$B:$B,'IP Attrition'!$D53,'Attrition Modeling'!$C:$C,'IP Attrition'!AL$1),VLOOKUP($F53+AL$2,$A$6:$C$106,2,FALSE)*VLOOKUP(AL$1,'Attrition Modeling'!$L$15:$N$27,IF(AL$2+$F53&lt;=24,2,3),FALSE)),$C$3)*(1+Projection!AN$16)*(1+IF(AL185&gt;0,'Attrition Modeling'!$N$9,0)))</f>
        <v>0</v>
      </c>
      <c r="AM53" s="799">
        <f>(AL53+AM185)*(1-IFERROR(IF(AM$2+$F53&lt;=12,SUMIFS('Attrition Modeling'!$D:$D,'Attrition Modeling'!$B:$B,'IP Attrition'!$D53,'Attrition Modeling'!$C:$C,'IP Attrition'!AM$1),VLOOKUP($F53+AM$2,$A$6:$C$106,2,FALSE)*VLOOKUP(AM$1,'Attrition Modeling'!$L$15:$N$27,IF(AM$2+$F53&lt;=24,2,3),FALSE)),$C$3)*(1+Projection!AO$16)*(1+IF(AM185&gt;0,'Attrition Modeling'!$N$9,0)))</f>
        <v>0</v>
      </c>
      <c r="AN53" s="799">
        <f>(AM53+AN185)*(1-IFERROR(IF(AN$2+$F53&lt;=12,SUMIFS('Attrition Modeling'!$D:$D,'Attrition Modeling'!$B:$B,'IP Attrition'!$D53,'Attrition Modeling'!$C:$C,'IP Attrition'!AN$1),VLOOKUP($F53+AN$2,$A$6:$C$106,2,FALSE)*VLOOKUP(AN$1,'Attrition Modeling'!$L$15:$N$27,IF(AN$2+$F53&lt;=24,2,3),FALSE)),$C$3)*(1+Projection!AP$16)*(1+IF(AN185&gt;0,'Attrition Modeling'!$N$9,0)))</f>
        <v>0</v>
      </c>
      <c r="AO53" s="799">
        <f>(AN53+AO185)*(1-IFERROR(IF(AO$2+$F53&lt;=12,SUMIFS('Attrition Modeling'!$D:$D,'Attrition Modeling'!$B:$B,'IP Attrition'!$D53,'Attrition Modeling'!$C:$C,'IP Attrition'!AO$1),VLOOKUP($F53+AO$2,$A$6:$C$106,2,FALSE)*VLOOKUP(AO$1,'Attrition Modeling'!$L$15:$N$27,IF(AO$2+$F53&lt;=24,2,3),FALSE)),$C$3)*(1+Projection!AQ$16)*(1+IF(AO185&gt;0,'Attrition Modeling'!$N$9,0)))</f>
        <v>0</v>
      </c>
      <c r="AP53" s="799">
        <f>(AO53+AP185)*(1-IFERROR(IF(AP$2+$F53&lt;=12,SUMIFS('Attrition Modeling'!$D:$D,'Attrition Modeling'!$B:$B,'IP Attrition'!$D53,'Attrition Modeling'!$C:$C,'IP Attrition'!AP$1),VLOOKUP($F53+AP$2,$A$6:$C$106,2,FALSE)*VLOOKUP(AP$1,'Attrition Modeling'!$L$15:$N$27,IF(AP$2+$F53&lt;=24,2,3),FALSE)),$C$3)*(1+Projection!AR$16)*(1+IF(AP185&gt;0,'Attrition Modeling'!$N$9,0)))</f>
        <v>0</v>
      </c>
      <c r="AQ53" s="799">
        <f>(AP53+AQ185)*(1-IFERROR(IF(AQ$2+$F53&lt;=12,SUMIFS('Attrition Modeling'!$D:$D,'Attrition Modeling'!$B:$B,'IP Attrition'!$D53,'Attrition Modeling'!$C:$C,'IP Attrition'!AQ$1),VLOOKUP($F53+AQ$2,$A$6:$C$106,2,FALSE)*VLOOKUP(AQ$1,'Attrition Modeling'!$L$15:$N$27,IF(AQ$2+$F53&lt;=24,2,3),FALSE)),$C$3)*(1+Projection!AS$16)*(1+IF(AQ185&gt;0,'Attrition Modeling'!$N$9,0)))</f>
        <v>0</v>
      </c>
      <c r="AR53" s="799">
        <f>(AQ53+AR185)*(1-IFERROR(IF(AR$2+$F53&lt;=12,SUMIFS('Attrition Modeling'!$D:$D,'Attrition Modeling'!$B:$B,'IP Attrition'!$D53,'Attrition Modeling'!$C:$C,'IP Attrition'!AR$1),VLOOKUP($F53+AR$2,$A$6:$C$106,2,FALSE)*VLOOKUP(AR$1,'Attrition Modeling'!$L$15:$N$27,IF(AR$2+$F53&lt;=24,2,3),FALSE)),$C$3)*(1+Projection!AT$16)*(1+IF(AR185&gt;0,'Attrition Modeling'!$N$9,0)))</f>
        <v>0</v>
      </c>
      <c r="AS53" s="799">
        <f>(AR53+AS185)*(1-IFERROR(IF(AS$2+$F53&lt;=12,SUMIFS('Attrition Modeling'!$D:$D,'Attrition Modeling'!$B:$B,'IP Attrition'!$D53,'Attrition Modeling'!$C:$C,'IP Attrition'!AS$1),VLOOKUP($F53+AS$2,$A$6:$C$106,2,FALSE)*VLOOKUP(AS$1,'Attrition Modeling'!$L$15:$N$27,IF(AS$2+$F53&lt;=24,2,3),FALSE)),$C$3)*(1+Projection!AU$16)*(1+IF(AS185&gt;0,'Attrition Modeling'!$N$9,0)))</f>
        <v>0</v>
      </c>
      <c r="AT53" s="799">
        <f>(AS53+AT185)*(1-IFERROR(IF(AT$2+$F53&lt;=12,SUMIFS('Attrition Modeling'!$D:$D,'Attrition Modeling'!$B:$B,'IP Attrition'!$D53,'Attrition Modeling'!$C:$C,'IP Attrition'!AT$1),VLOOKUP($F53+AT$2,$A$6:$C$106,2,FALSE)*VLOOKUP(AT$1,'Attrition Modeling'!$L$15:$N$27,IF(AT$2+$F53&lt;=24,2,3),FALSE)),$C$3)*(1+Projection!AV$16)*(1+IF(AT185&gt;0,'Attrition Modeling'!$N$9,0)))</f>
        <v>0</v>
      </c>
      <c r="AU53" s="799">
        <f>(AT53+AU185)*(1-IFERROR(IF(AU$2+$F53&lt;=12,SUMIFS('Attrition Modeling'!$D:$D,'Attrition Modeling'!$B:$B,'IP Attrition'!$D53,'Attrition Modeling'!$C:$C,'IP Attrition'!AU$1),VLOOKUP($F53+AU$2,$A$6:$C$106,2,FALSE)*VLOOKUP(AU$1,'Attrition Modeling'!$L$15:$N$27,IF(AU$2+$F53&lt;=24,2,3),FALSE)),$C$3)*(1+Projection!AW$16)*(1+IF(AU185&gt;0,'Attrition Modeling'!$N$9,0)))</f>
        <v>0</v>
      </c>
      <c r="AV53" s="799">
        <f>(AU53+AV185)*(1-IFERROR(IF(AV$2+$F53&lt;=12,SUMIFS('Attrition Modeling'!$D:$D,'Attrition Modeling'!$B:$B,'IP Attrition'!$D53,'Attrition Modeling'!$C:$C,'IP Attrition'!AV$1),VLOOKUP($F53+AV$2,$A$6:$C$106,2,FALSE)*VLOOKUP(AV$1,'Attrition Modeling'!$L$15:$N$27,IF(AV$2+$F53&lt;=24,2,3),FALSE)),$C$3)*(1+Projection!AX$16)*(1+IF(AV185&gt;0,'Attrition Modeling'!$N$9,0)))</f>
        <v>0</v>
      </c>
      <c r="AW53" s="799">
        <f>(AV53+AW185)*(1-IFERROR(IF(AW$2+$F53&lt;=12,SUMIFS('Attrition Modeling'!$D:$D,'Attrition Modeling'!$B:$B,'IP Attrition'!$D53,'Attrition Modeling'!$C:$C,'IP Attrition'!AW$1),VLOOKUP($F53+AW$2,$A$6:$C$106,2,FALSE)*VLOOKUP(AW$1,'Attrition Modeling'!$L$15:$N$27,IF(AW$2+$F53&lt;=24,2,3),FALSE)),$C$3)*(1+Projection!AY$16)*(1+IF(AW185&gt;0,'Attrition Modeling'!$N$9,0)))</f>
        <v>0</v>
      </c>
      <c r="AX53" s="799">
        <f>(AW53+AX185)*(1-IFERROR(IF(AX$2+$F53&lt;=12,SUMIFS('Attrition Modeling'!$D:$D,'Attrition Modeling'!$B:$B,'IP Attrition'!$D53,'Attrition Modeling'!$C:$C,'IP Attrition'!AX$1),VLOOKUP($F53+AX$2,$A$6:$C$106,2,FALSE)*VLOOKUP(AX$1,'Attrition Modeling'!$L$15:$N$27,IF(AX$2+$F53&lt;=24,2,3),FALSE)),$C$3)*(1+Projection!AZ$16)*(1+IF(AX185&gt;0,'Attrition Modeling'!$N$9,0)))</f>
        <v>0</v>
      </c>
      <c r="AY53" s="799">
        <f>(AX53+AY185)*(1-IFERROR(IF(AY$2+$F53&lt;=12,SUMIFS('Attrition Modeling'!$D:$D,'Attrition Modeling'!$B:$B,'IP Attrition'!$D53,'Attrition Modeling'!$C:$C,'IP Attrition'!AY$1),VLOOKUP($F53+AY$2,$A$6:$C$106,2,FALSE)*VLOOKUP(AY$1,'Attrition Modeling'!$L$15:$N$27,IF(AY$2+$F53&lt;=24,2,3),FALSE)),$C$3)*(1+Projection!BA$16)*(1+IF(AY185&gt;0,'Attrition Modeling'!$N$9,0)))</f>
        <v>0</v>
      </c>
      <c r="AZ53" s="799">
        <f>(AY53+AZ185)*(1-IFERROR(IF(AZ$2+$F53&lt;=12,SUMIFS('Attrition Modeling'!$D:$D,'Attrition Modeling'!$B:$B,'IP Attrition'!$D53,'Attrition Modeling'!$C:$C,'IP Attrition'!AZ$1),VLOOKUP($F53+AZ$2,$A$6:$C$106,2,FALSE)*VLOOKUP(AZ$1,'Attrition Modeling'!$L$15:$N$27,IF(AZ$2+$F53&lt;=24,2,3),FALSE)),$C$3)*(1+Projection!BB$16)*(1+IF(AZ185&gt;0,'Attrition Modeling'!$N$9,0)))</f>
        <v>0</v>
      </c>
      <c r="BA53" s="799">
        <f>(AZ53+BA185)*(1-IFERROR(IF(BA$2+$F53&lt;=12,SUMIFS('Attrition Modeling'!$D:$D,'Attrition Modeling'!$B:$B,'IP Attrition'!$D53,'Attrition Modeling'!$C:$C,'IP Attrition'!BA$1),VLOOKUP($F53+BA$2,$A$6:$C$106,2,FALSE)*VLOOKUP(BA$1,'Attrition Modeling'!$L$15:$N$27,IF(BA$2+$F53&lt;=24,2,3),FALSE)),$C$3)*(1+Projection!BC$16)*(1+IF(BA185&gt;0,'Attrition Modeling'!$N$9,0)))</f>
        <v>0</v>
      </c>
      <c r="BB53" s="799">
        <f>(BA53+BB185)*(1-IFERROR(IF(BB$2+$F53&lt;=12,SUMIFS('Attrition Modeling'!$D:$D,'Attrition Modeling'!$B:$B,'IP Attrition'!$D53,'Attrition Modeling'!$C:$C,'IP Attrition'!BB$1),VLOOKUP($F53+BB$2,$A$6:$C$106,2,FALSE)*VLOOKUP(BB$1,'Attrition Modeling'!$L$15:$N$27,IF(BB$2+$F53&lt;=24,2,3),FALSE)),$C$3)*(1+Projection!BD$16)*(1+IF(BB185&gt;0,'Attrition Modeling'!$N$9,0)))</f>
        <v>0</v>
      </c>
      <c r="BC53" s="799">
        <f>(BB53+BC185)*(1-IFERROR(IF(BC$2+$F53&lt;=12,SUMIFS('Attrition Modeling'!$D:$D,'Attrition Modeling'!$B:$B,'IP Attrition'!$D53,'Attrition Modeling'!$C:$C,'IP Attrition'!BC$1),VLOOKUP($F53+BC$2,$A$6:$C$106,2,FALSE)*VLOOKUP(BC$1,'Attrition Modeling'!$L$15:$N$27,IF(BC$2+$F53&lt;=24,2,3),FALSE)),$C$3)*(1+Projection!BE$16)*(1+IF(BC185&gt;0,'Attrition Modeling'!$N$9,0)))</f>
        <v>0</v>
      </c>
      <c r="BD53" s="799">
        <f>(BC53+BD185)*(1-IFERROR(IF(BD$2+$F53&lt;=12,SUMIFS('Attrition Modeling'!$D:$D,'Attrition Modeling'!$B:$B,'IP Attrition'!$D53,'Attrition Modeling'!$C:$C,'IP Attrition'!BD$1),VLOOKUP($F53+BD$2,$A$6:$C$106,2,FALSE)*VLOOKUP(BD$1,'Attrition Modeling'!$L$15:$N$27,IF(BD$2+$F53&lt;=24,2,3),FALSE)),$C$3)*(1+Projection!BF$16)*(1+IF(BD185&gt;0,'Attrition Modeling'!$N$9,0)))</f>
        <v>0</v>
      </c>
      <c r="BE53" s="799">
        <f>(BD53+BE185)*(1-IFERROR(IF(BE$2+$F53&lt;=12,SUMIFS('Attrition Modeling'!$D:$D,'Attrition Modeling'!$B:$B,'IP Attrition'!$D53,'Attrition Modeling'!$C:$C,'IP Attrition'!BE$1),VLOOKUP($F53+BE$2,$A$6:$C$106,2,FALSE)*VLOOKUP(BE$1,'Attrition Modeling'!$L$15:$N$27,IF(BE$2+$F53&lt;=24,2,3),FALSE)),$C$3)*(1+Projection!BG$16)*(1+IF(BE185&gt;0,'Attrition Modeling'!$N$9,0)))</f>
        <v>0</v>
      </c>
      <c r="BF53" s="799">
        <f>(BE53+BF185)*(1-IFERROR(IF(BF$2+$F53&lt;=12,SUMIFS('Attrition Modeling'!$D:$D,'Attrition Modeling'!$B:$B,'IP Attrition'!$D53,'Attrition Modeling'!$C:$C,'IP Attrition'!BF$1),VLOOKUP($F53+BF$2,$A$6:$C$106,2,FALSE)*VLOOKUP(BF$1,'Attrition Modeling'!$L$15:$N$27,IF(BF$2+$F53&lt;=24,2,3),FALSE)),$C$3)*(1+Projection!BH$16)*(1+IF(BF185&gt;0,'Attrition Modeling'!$N$9,0)))</f>
        <v>0</v>
      </c>
      <c r="BG53" s="799">
        <f>(BF53+BG185)*(1-IFERROR(IF(BG$2+$F53&lt;=12,SUMIFS('Attrition Modeling'!$D:$D,'Attrition Modeling'!$B:$B,'IP Attrition'!$D53,'Attrition Modeling'!$C:$C,'IP Attrition'!BG$1),VLOOKUP($F53+BG$2,$A$6:$C$106,2,FALSE)*VLOOKUP(BG$1,'Attrition Modeling'!$L$15:$N$27,IF(BG$2+$F53&lt;=24,2,3),FALSE)),$C$3)*(1+Projection!BI$16)*(1+IF(BG185&gt;0,'Attrition Modeling'!$N$9,0)))</f>
        <v>0</v>
      </c>
      <c r="BH53" s="799">
        <f>(BG53+BH185)*(1-IFERROR(IF(BH$2+$F53&lt;=12,SUMIFS('Attrition Modeling'!$D:$D,'Attrition Modeling'!$B:$B,'IP Attrition'!$D53,'Attrition Modeling'!$C:$C,'IP Attrition'!BH$1),VLOOKUP($F53+BH$2,$A$6:$C$106,2,FALSE)*VLOOKUP(BH$1,'Attrition Modeling'!$L$15:$N$27,IF(BH$2+$F53&lt;=24,2,3),FALSE)),$C$3)*(1+Projection!BJ$16)*(1+IF(BH185&gt;0,'Attrition Modeling'!$N$9,0)))</f>
        <v>0</v>
      </c>
      <c r="BI53" s="799">
        <f>(BH53+BI185)*(1-IFERROR(IF(BI$2+$F53&lt;=12,SUMIFS('Attrition Modeling'!$D:$D,'Attrition Modeling'!$B:$B,'IP Attrition'!$D53,'Attrition Modeling'!$C:$C,'IP Attrition'!BI$1),VLOOKUP($F53+BI$2,$A$6:$C$106,2,FALSE)*VLOOKUP(BI$1,'Attrition Modeling'!$L$15:$N$27,IF(BI$2+$F53&lt;=24,2,3),FALSE)),$C$3)*(1+Projection!BK$16)*(1+IF(BI185&gt;0,'Attrition Modeling'!$N$9,0)))</f>
        <v>0</v>
      </c>
      <c r="BJ53" s="799">
        <f>(BI53+BJ185)*(1-IFERROR(IF(BJ$2+$F53&lt;=12,SUMIFS('Attrition Modeling'!$D:$D,'Attrition Modeling'!$B:$B,'IP Attrition'!$D53,'Attrition Modeling'!$C:$C,'IP Attrition'!BJ$1),VLOOKUP($F53+BJ$2,$A$6:$C$106,2,FALSE)*VLOOKUP(BJ$1,'Attrition Modeling'!$L$15:$N$27,IF(BJ$2+$F53&lt;=24,2,3),FALSE)),$C$3)*(1+Projection!BL$16)*(1+IF(BJ185&gt;0,'Attrition Modeling'!$N$9,0)))</f>
        <v>0</v>
      </c>
      <c r="BK53" s="799">
        <f>(BJ53+BK185)*(1-IFERROR(IF(BK$2+$F53&lt;=12,SUMIFS('Attrition Modeling'!$D:$D,'Attrition Modeling'!$B:$B,'IP Attrition'!$D53,'Attrition Modeling'!$C:$C,'IP Attrition'!BK$1),VLOOKUP($F53+BK$2,$A$6:$C$106,2,FALSE)*VLOOKUP(BK$1,'Attrition Modeling'!$L$15:$N$27,IF(BK$2+$F53&lt;=24,2,3),FALSE)),$C$3)*(1+Projection!BM$16)*(1+IF(BK185&gt;0,'Attrition Modeling'!$N$9,0)))</f>
        <v>0</v>
      </c>
      <c r="BL53" s="799">
        <f>(BK53+BL185)*(1-IFERROR(IF(BL$2+$F53&lt;=12,SUMIFS('Attrition Modeling'!$D:$D,'Attrition Modeling'!$B:$B,'IP Attrition'!$D53,'Attrition Modeling'!$C:$C,'IP Attrition'!BL$1),VLOOKUP($F53+BL$2,$A$6:$C$106,2,FALSE)*VLOOKUP(BL$1,'Attrition Modeling'!$L$15:$N$27,IF(BL$2+$F53&lt;=24,2,3),FALSE)),$C$3)*(1+Projection!BN$16)*(1+IF(BL185&gt;0,'Attrition Modeling'!$N$9,0)))</f>
        <v>0</v>
      </c>
      <c r="BM53" s="799">
        <f>(BL53+BM185)*(1-IFERROR(IF(BM$2+$F53&lt;=12,SUMIFS('Attrition Modeling'!$D:$D,'Attrition Modeling'!$B:$B,'IP Attrition'!$D53,'Attrition Modeling'!$C:$C,'IP Attrition'!BM$1),VLOOKUP($F53+BM$2,$A$6:$C$106,2,FALSE)*VLOOKUP(BM$1,'Attrition Modeling'!$L$15:$N$27,IF(BM$2+$F53&lt;=24,2,3),FALSE)),$C$3)*(1+Projection!BO$16)*(1+IF(BM185&gt;0,'Attrition Modeling'!$N$9,0)))</f>
        <v>0</v>
      </c>
      <c r="BN53" s="799">
        <f>(BM53+BN185)*(1-IFERROR(IF(BN$2+$F53&lt;=12,SUMIFS('Attrition Modeling'!$D:$D,'Attrition Modeling'!$B:$B,'IP Attrition'!$D53,'Attrition Modeling'!$C:$C,'IP Attrition'!BN$1),VLOOKUP($F53+BN$2,$A$6:$C$106,2,FALSE)*VLOOKUP(BN$1,'Attrition Modeling'!$L$15:$N$27,IF(BN$2+$F53&lt;=24,2,3),FALSE)),$C$3)*(1+Projection!BP$16)*(1+IF(BN185&gt;0,'Attrition Modeling'!$N$9,0)))</f>
        <v>0</v>
      </c>
      <c r="BO53" s="799">
        <f>(BN53+BO185)*(1-IFERROR(IF(BO$2+$F53&lt;=12,SUMIFS('Attrition Modeling'!$D:$D,'Attrition Modeling'!$B:$B,'IP Attrition'!$D53,'Attrition Modeling'!$C:$C,'IP Attrition'!BO$1),VLOOKUP($F53+BO$2,$A$6:$C$106,2,FALSE)*VLOOKUP(BO$1,'Attrition Modeling'!$L$15:$N$27,IF(BO$2+$F53&lt;=24,2,3),FALSE)),$C$3)*(1+Projection!BV$16)*(1+IF(BO185&gt;0,'Attrition Modeling'!$N$9,0)))</f>
        <v>0</v>
      </c>
      <c r="BP53" s="799">
        <f>(BO53+BP185)*(1-IFERROR(IF(BP$2+$F53&lt;=12,SUMIFS('Attrition Modeling'!$D:$D,'Attrition Modeling'!$B:$B,'IP Attrition'!$D53,'Attrition Modeling'!$C:$C,'IP Attrition'!BP$1),VLOOKUP($F53+BP$2,$A$6:$C$106,2,FALSE)*VLOOKUP(BP$1,'Attrition Modeling'!$L$15:$N$27,IF(BP$2+$F53&lt;=24,2,3),FALSE)),$C$3)*(1+Projection!BW$16)*(1+IF(BP185&gt;0,'Attrition Modeling'!$N$9,0)))</f>
        <v>0</v>
      </c>
      <c r="BQ53" s="799">
        <f>(BP53+BQ185)*(1-IFERROR(IF(BQ$2+$F53&lt;=12,SUMIFS('Attrition Modeling'!$D:$D,'Attrition Modeling'!$B:$B,'IP Attrition'!$D53,'Attrition Modeling'!$C:$C,'IP Attrition'!BQ$1),VLOOKUP($F53+BQ$2,$A$6:$C$106,2,FALSE)*VLOOKUP(BQ$1,'Attrition Modeling'!$L$15:$N$27,IF(BQ$2+$F53&lt;=24,2,3),FALSE)),$C$3)*(1+Projection!BX$16)*(1+IF(BQ185&gt;0,'Attrition Modeling'!$N$9,0)))</f>
        <v>0</v>
      </c>
      <c r="BR53" s="799">
        <f>(BQ53+BR185)*(1-IFERROR(IF(BR$2+$F53&lt;=12,SUMIFS('Attrition Modeling'!$D:$D,'Attrition Modeling'!$B:$B,'IP Attrition'!$D53,'Attrition Modeling'!$C:$C,'IP Attrition'!BR$1),VLOOKUP($F53+BR$2,$A$6:$C$106,2,FALSE)*VLOOKUP(BR$1,'Attrition Modeling'!$L$15:$N$27,IF(BR$2+$F53&lt;=24,2,3),FALSE)),$C$3)*(1+Projection!BY$16)*(1+IF(BR185&gt;0,'Attrition Modeling'!$N$9,0)))</f>
        <v>0</v>
      </c>
      <c r="BS53" s="799">
        <f>(BR53+BS185)*(1-IFERROR(IF(BS$2+$F53&lt;=12,SUMIFS('Attrition Modeling'!$D:$D,'Attrition Modeling'!$B:$B,'IP Attrition'!$D53,'Attrition Modeling'!$C:$C,'IP Attrition'!BS$1),VLOOKUP($F53+BS$2,$A$6:$C$106,2,FALSE)*VLOOKUP(BS$1,'Attrition Modeling'!$L$15:$N$27,IF(BS$2+$F53&lt;=24,2,3),FALSE)),$C$3)*(1+Projection!BZ$16)*(1+IF(BS185&gt;0,'Attrition Modeling'!$N$9,0)))</f>
        <v>0</v>
      </c>
      <c r="BT53" s="799" t="e">
        <f>(BS53+BT185)*(1-IFERROR(IF(BT$2+$F53&lt;=12,SUMIFS('Attrition Modeling'!$D:$D,'Attrition Modeling'!$B:$B,'IP Attrition'!$D53,'Attrition Modeling'!$C:$C,'IP Attrition'!BT$1),VLOOKUP($F53+BT$2,$A$6:$C$106,2,FALSE)*VLOOKUP(BT$1,'Attrition Modeling'!$L$15:$N$27,IF(BT$2+$F53&lt;=24,2,3),FALSE)),$C$3)*(1+Projection!CA$16)*(1+IF(BT185&gt;0,'Attrition Modeling'!$N$9,0)))</f>
        <v>#REF!</v>
      </c>
      <c r="BU53" s="799" t="e">
        <f>(BT53+BU185)*(1-IFERROR(IF(BU$2+$F53&lt;=12,SUMIFS('Attrition Modeling'!$D:$D,'Attrition Modeling'!$B:$B,'IP Attrition'!$D53,'Attrition Modeling'!$C:$C,'IP Attrition'!BU$1),VLOOKUP($F53+BU$2,$A$6:$C$106,2,FALSE)*VLOOKUP(BU$1,'Attrition Modeling'!$L$15:$N$27,IF(BU$2+$F53&lt;=24,2,3),FALSE)),$C$3)*(1+Projection!CB$16)*(1+IF(BU185&gt;0,'Attrition Modeling'!$N$9,0)))</f>
        <v>#REF!</v>
      </c>
    </row>
    <row r="54" spans="1:73" ht="14.25" customHeight="1" x14ac:dyDescent="0.2">
      <c r="A54" s="9">
        <v>47</v>
      </c>
      <c r="B54" s="25">
        <f>MAX('Attrition Modeling'!H51,$C$3)*(1-Summary!$C$20)</f>
        <v>2.6113085641081973E-2</v>
      </c>
      <c r="C54" s="24" t="e">
        <f t="shared" si="3"/>
        <v>#DIV/0!</v>
      </c>
      <c r="D54" s="11">
        <f t="shared" si="1"/>
        <v>-51</v>
      </c>
      <c r="E54" s="807">
        <f t="array" ref="E54">INDEX('Attrition Modeling'!$X$2:$AF$63,MATCH($F54,'Attrition Modeling'!$X$2:$X$63,0),MATCH(Inputs!$C$10,'Attrition Modeling'!$X$2:$AF$2,0))</f>
        <v>0</v>
      </c>
      <c r="F54" s="11">
        <f t="shared" si="2"/>
        <v>51</v>
      </c>
      <c r="G54" s="799">
        <f>Summary!$C$25*$E54</f>
        <v>0</v>
      </c>
      <c r="H54" s="799">
        <f>(G54+H186)*(1-IFERROR(IF(H$2+$F54&lt;=12,SUMIFS('Attrition Modeling'!$D:$D,'Attrition Modeling'!$B:$B,'IP Attrition'!$D54,'Attrition Modeling'!$C:$C,'IP Attrition'!H$1),VLOOKUP($F54+H$2,$A$6:$C$106,2,FALSE)*VLOOKUP(H$1,'Attrition Modeling'!$L$15:$N$27,IF(H$2+$F54&lt;=24,2,3),FALSE)),$C$3)*(1+Projection!J$16)*(1+IF(H186&gt;0,'Attrition Modeling'!$N$9,0)))</f>
        <v>0</v>
      </c>
      <c r="I54" s="799">
        <f>(H54+I186)*(1-IFERROR(IF(I$2+$F54&lt;=12,SUMIFS('Attrition Modeling'!$D:$D,'Attrition Modeling'!$B:$B,'IP Attrition'!$D54,'Attrition Modeling'!$C:$C,'IP Attrition'!I$1),VLOOKUP($F54+I$2,$A$6:$C$106,2,FALSE)*VLOOKUP(I$1,'Attrition Modeling'!$L$15:$N$27,IF(I$2+$F54&lt;=24,2,3),FALSE)),$C$3)*(1+Projection!K$16)*(1+IF(I186&gt;0,'Attrition Modeling'!$N$9,0)))</f>
        <v>0</v>
      </c>
      <c r="J54" s="799">
        <f>(I54+J186)*(1-IFERROR(IF(J$2+$F54&lt;=12,SUMIFS('Attrition Modeling'!$D:$D,'Attrition Modeling'!$B:$B,'IP Attrition'!$D54,'Attrition Modeling'!$C:$C,'IP Attrition'!J$1),VLOOKUP($F54+J$2,$A$6:$C$106,2,FALSE)*VLOOKUP(J$1,'Attrition Modeling'!$L$15:$N$27,IF(J$2+$F54&lt;=24,2,3),FALSE)),$C$3)*(1+Projection!L$16)*(1+IF(J186&gt;0,'Attrition Modeling'!$N$9,0)))</f>
        <v>0</v>
      </c>
      <c r="K54" s="799">
        <f>(J54+K186)*(1-IFERROR(IF(K$2+$F54&lt;=12,SUMIFS('Attrition Modeling'!$D:$D,'Attrition Modeling'!$B:$B,'IP Attrition'!$D54,'Attrition Modeling'!$C:$C,'IP Attrition'!K$1),VLOOKUP($F54+K$2,$A$6:$C$106,2,FALSE)*VLOOKUP(K$1,'Attrition Modeling'!$L$15:$N$27,IF(K$2+$F54&lt;=24,2,3),FALSE)),$C$3)*(1+Projection!M$16)*(1+IF(K186&gt;0,'Attrition Modeling'!$N$9,0)))</f>
        <v>0</v>
      </c>
      <c r="L54" s="799">
        <f>(K54+L186)*(1-IFERROR(IF(L$2+$F54&lt;=12,SUMIFS('Attrition Modeling'!$D:$D,'Attrition Modeling'!$B:$B,'IP Attrition'!$D54,'Attrition Modeling'!$C:$C,'IP Attrition'!L$1),VLOOKUP($F54+L$2,$A$6:$C$106,2,FALSE)*VLOOKUP(L$1,'Attrition Modeling'!$L$15:$N$27,IF(L$2+$F54&lt;=24,2,3),FALSE)),$C$3)*(1+Projection!N$16)*(1+IF(L186&gt;0,'Attrition Modeling'!$N$9,0)))</f>
        <v>0</v>
      </c>
      <c r="M54" s="799">
        <f>(L54+M186)*(1-IFERROR(IF(M$2+$F54&lt;=12,SUMIFS('Attrition Modeling'!$D:$D,'Attrition Modeling'!$B:$B,'IP Attrition'!$D54,'Attrition Modeling'!$C:$C,'IP Attrition'!M$1),VLOOKUP($F54+M$2,$A$6:$C$106,2,FALSE)*VLOOKUP(M$1,'Attrition Modeling'!$L$15:$N$27,IF(M$2+$F54&lt;=24,2,3),FALSE)),$C$3)*(1+Projection!O$16)*(1+IF(M186&gt;0,'Attrition Modeling'!$N$9,0)))</f>
        <v>0</v>
      </c>
      <c r="N54" s="799">
        <f>(M54+N186)*(1-IFERROR(IF(N$2+$F54&lt;=12,SUMIFS('Attrition Modeling'!$D:$D,'Attrition Modeling'!$B:$B,'IP Attrition'!$D54,'Attrition Modeling'!$C:$C,'IP Attrition'!N$1),VLOOKUP($F54+N$2,$A$6:$C$106,2,FALSE)*VLOOKUP(N$1,'Attrition Modeling'!$L$15:$N$27,IF(N$2+$F54&lt;=24,2,3),FALSE)),$C$3)*(1+Projection!P$16)*(1+IF(N186&gt;0,'Attrition Modeling'!$N$9,0)))</f>
        <v>0</v>
      </c>
      <c r="O54" s="799">
        <f>(N54+O186)*(1-IFERROR(IF(O$2+$F54&lt;=12,SUMIFS('Attrition Modeling'!$D:$D,'Attrition Modeling'!$B:$B,'IP Attrition'!$D54,'Attrition Modeling'!$C:$C,'IP Attrition'!O$1),VLOOKUP($F54+O$2,$A$6:$C$106,2,FALSE)*VLOOKUP(O$1,'Attrition Modeling'!$L$15:$N$27,IF(O$2+$F54&lt;=24,2,3),FALSE)),$C$3)*(1+Projection!Q$16)*(1+IF(O186&gt;0,'Attrition Modeling'!$N$9,0)))</f>
        <v>0</v>
      </c>
      <c r="P54" s="799">
        <f>(O54+P186)*(1-IFERROR(IF(P$2+$F54&lt;=12,SUMIFS('Attrition Modeling'!$D:$D,'Attrition Modeling'!$B:$B,'IP Attrition'!$D54,'Attrition Modeling'!$C:$C,'IP Attrition'!P$1),VLOOKUP($F54+P$2,$A$6:$C$106,2,FALSE)*VLOOKUP(P$1,'Attrition Modeling'!$L$15:$N$27,IF(P$2+$F54&lt;=24,2,3),FALSE)),$C$3)*(1+Projection!R$16)*(1+IF(P186&gt;0,'Attrition Modeling'!$N$9,0)))</f>
        <v>0</v>
      </c>
      <c r="Q54" s="799">
        <f>(P54+Q186)*(1-IFERROR(IF(Q$2+$F54&lt;=12,SUMIFS('Attrition Modeling'!$D:$D,'Attrition Modeling'!$B:$B,'IP Attrition'!$D54,'Attrition Modeling'!$C:$C,'IP Attrition'!Q$1),VLOOKUP($F54+Q$2,$A$6:$C$106,2,FALSE)*VLOOKUP(Q$1,'Attrition Modeling'!$L$15:$N$27,IF(Q$2+$F54&lt;=24,2,3),FALSE)),$C$3)*(1+Projection!S$16)*(1+IF(Q186&gt;0,'Attrition Modeling'!$N$9,0)))</f>
        <v>0</v>
      </c>
      <c r="R54" s="799">
        <f>(Q54+R186)*(1-IFERROR(IF(R$2+$F54&lt;=12,SUMIFS('Attrition Modeling'!$D:$D,'Attrition Modeling'!$B:$B,'IP Attrition'!$D54,'Attrition Modeling'!$C:$C,'IP Attrition'!R$1),VLOOKUP($F54+R$2,$A$6:$C$106,2,FALSE)*VLOOKUP(R$1,'Attrition Modeling'!$L$15:$N$27,IF(R$2+$F54&lt;=24,2,3),FALSE)),$C$3)*(1+Projection!T$16)*(1+IF(R186&gt;0,'Attrition Modeling'!$N$9,0)))</f>
        <v>0</v>
      </c>
      <c r="S54" s="799">
        <f>(R54+S186)*(1-IFERROR(IF(S$2+$F54&lt;=12,SUMIFS('Attrition Modeling'!$D:$D,'Attrition Modeling'!$B:$B,'IP Attrition'!$D54,'Attrition Modeling'!$C:$C,'IP Attrition'!S$1),VLOOKUP($F54+S$2,$A$6:$C$106,2,FALSE)*VLOOKUP(S$1,'Attrition Modeling'!$L$15:$N$27,IF(S$2+$F54&lt;=24,2,3),FALSE)),$C$3)*(1+Projection!U$16)*(1+IF(S186&gt;0,'Attrition Modeling'!$N$9,0)))</f>
        <v>0</v>
      </c>
      <c r="T54" s="799">
        <f>(S54+T186)*(1-IFERROR(IF(T$2+$F54&lt;=12,SUMIFS('Attrition Modeling'!$D:$D,'Attrition Modeling'!$B:$B,'IP Attrition'!$D54,'Attrition Modeling'!$C:$C,'IP Attrition'!T$1),VLOOKUP($F54+T$2,$A$6:$C$106,2,FALSE)*VLOOKUP(T$1,'Attrition Modeling'!$L$15:$N$27,IF(T$2+$F54&lt;=24,2,3),FALSE)),$C$3)*(1+Projection!V$16)*(1+IF(T186&gt;0,'Attrition Modeling'!$N$9,0)))</f>
        <v>0</v>
      </c>
      <c r="U54" s="799">
        <f>(T54+U186)*(1-IFERROR(IF(U$2+$F54&lt;=12,SUMIFS('Attrition Modeling'!$D:$D,'Attrition Modeling'!$B:$B,'IP Attrition'!$D54,'Attrition Modeling'!$C:$C,'IP Attrition'!U$1),VLOOKUP($F54+U$2,$A$6:$C$106,2,FALSE)*VLOOKUP(U$1,'Attrition Modeling'!$L$15:$N$27,IF(U$2+$F54&lt;=24,2,3),FALSE)),$C$3)*(1+Projection!W$16)*(1+IF(U186&gt;0,'Attrition Modeling'!$N$9,0)))</f>
        <v>0</v>
      </c>
      <c r="V54" s="799">
        <f>(U54+V186)*(1-IFERROR(IF(V$2+$F54&lt;=12,SUMIFS('Attrition Modeling'!$D:$D,'Attrition Modeling'!$B:$B,'IP Attrition'!$D54,'Attrition Modeling'!$C:$C,'IP Attrition'!V$1),VLOOKUP($F54+V$2,$A$6:$C$106,2,FALSE)*VLOOKUP(V$1,'Attrition Modeling'!$L$15:$N$27,IF(V$2+$F54&lt;=24,2,3),FALSE)),$C$3)*(1+Projection!X$16)*(1+IF(V186&gt;0,'Attrition Modeling'!$N$9,0)))</f>
        <v>0</v>
      </c>
      <c r="W54" s="799">
        <f>(V54+W186)*(1-IFERROR(IF(W$2+$F54&lt;=12,SUMIFS('Attrition Modeling'!$D:$D,'Attrition Modeling'!$B:$B,'IP Attrition'!$D54,'Attrition Modeling'!$C:$C,'IP Attrition'!W$1),VLOOKUP($F54+W$2,$A$6:$C$106,2,FALSE)*VLOOKUP(W$1,'Attrition Modeling'!$L$15:$N$27,IF(W$2+$F54&lt;=24,2,3),FALSE)),$C$3)*(1+Projection!Y$16)*(1+IF(W186&gt;0,'Attrition Modeling'!$N$9,0)))</f>
        <v>0</v>
      </c>
      <c r="X54" s="799">
        <f>(W54+X186)*(1-IFERROR(IF(X$2+$F54&lt;=12,SUMIFS('Attrition Modeling'!$D:$D,'Attrition Modeling'!$B:$B,'IP Attrition'!$D54,'Attrition Modeling'!$C:$C,'IP Attrition'!X$1),VLOOKUP($F54+X$2,$A$6:$C$106,2,FALSE)*VLOOKUP(X$1,'Attrition Modeling'!$L$15:$N$27,IF(X$2+$F54&lt;=24,2,3),FALSE)),$C$3)*(1+Projection!Z$16)*(1+IF(X186&gt;0,'Attrition Modeling'!$N$9,0)))</f>
        <v>0</v>
      </c>
      <c r="Y54" s="799">
        <f>(X54+Y186)*(1-IFERROR(IF(Y$2+$F54&lt;=12,SUMIFS('Attrition Modeling'!$D:$D,'Attrition Modeling'!$B:$B,'IP Attrition'!$D54,'Attrition Modeling'!$C:$C,'IP Attrition'!Y$1),VLOOKUP($F54+Y$2,$A$6:$C$106,2,FALSE)*VLOOKUP(Y$1,'Attrition Modeling'!$L$15:$N$27,IF(Y$2+$F54&lt;=24,2,3),FALSE)),$C$3)*(1+Projection!AA$16)*(1+IF(Y186&gt;0,'Attrition Modeling'!$N$9,0)))</f>
        <v>0</v>
      </c>
      <c r="Z54" s="799">
        <f>(Y54+Z186)*(1-IFERROR(IF(Z$2+$F54&lt;=12,SUMIFS('Attrition Modeling'!$D:$D,'Attrition Modeling'!$B:$B,'IP Attrition'!$D54,'Attrition Modeling'!$C:$C,'IP Attrition'!Z$1),VLOOKUP($F54+Z$2,$A$6:$C$106,2,FALSE)*VLOOKUP(Z$1,'Attrition Modeling'!$L$15:$N$27,IF(Z$2+$F54&lt;=24,2,3),FALSE)),$C$3)*(1+Projection!AB$16)*(1+IF(Z186&gt;0,'Attrition Modeling'!$N$9,0)))</f>
        <v>0</v>
      </c>
      <c r="AA54" s="799">
        <f>(Z54+AA186)*(1-IFERROR(IF(AA$2+$F54&lt;=12,SUMIFS('Attrition Modeling'!$D:$D,'Attrition Modeling'!$B:$B,'IP Attrition'!$D54,'Attrition Modeling'!$C:$C,'IP Attrition'!AA$1),VLOOKUP($F54+AA$2,$A$6:$C$106,2,FALSE)*VLOOKUP(AA$1,'Attrition Modeling'!$L$15:$N$27,IF(AA$2+$F54&lt;=24,2,3),FALSE)),$C$3)*(1+Projection!AC$16)*(1+IF(AA186&gt;0,'Attrition Modeling'!$N$9,0)))</f>
        <v>0</v>
      </c>
      <c r="AB54" s="799">
        <f>(AA54+AB186)*(1-IFERROR(IF(AB$2+$F54&lt;=12,SUMIFS('Attrition Modeling'!$D:$D,'Attrition Modeling'!$B:$B,'IP Attrition'!$D54,'Attrition Modeling'!$C:$C,'IP Attrition'!AB$1),VLOOKUP($F54+AB$2,$A$6:$C$106,2,FALSE)*VLOOKUP(AB$1,'Attrition Modeling'!$L$15:$N$27,IF(AB$2+$F54&lt;=24,2,3),FALSE)),$C$3)*(1+Projection!AD$16)*(1+IF(AB186&gt;0,'Attrition Modeling'!$N$9,0)))</f>
        <v>0</v>
      </c>
      <c r="AC54" s="799">
        <f>(AB54+AC186)*(1-IFERROR(IF(AC$2+$F54&lt;=12,SUMIFS('Attrition Modeling'!$D:$D,'Attrition Modeling'!$B:$B,'IP Attrition'!$D54,'Attrition Modeling'!$C:$C,'IP Attrition'!AC$1),VLOOKUP($F54+AC$2,$A$6:$C$106,2,FALSE)*VLOOKUP(AC$1,'Attrition Modeling'!$L$15:$N$27,IF(AC$2+$F54&lt;=24,2,3),FALSE)),$C$3)*(1+Projection!AE$16)*(1+IF(AC186&gt;0,'Attrition Modeling'!$N$9,0)))</f>
        <v>0</v>
      </c>
      <c r="AD54" s="799">
        <f>(AC54+AD186)*(1-IFERROR(IF(AD$2+$F54&lt;=12,SUMIFS('Attrition Modeling'!$D:$D,'Attrition Modeling'!$B:$B,'IP Attrition'!$D54,'Attrition Modeling'!$C:$C,'IP Attrition'!AD$1),VLOOKUP($F54+AD$2,$A$6:$C$106,2,FALSE)*VLOOKUP(AD$1,'Attrition Modeling'!$L$15:$N$27,IF(AD$2+$F54&lt;=24,2,3),FALSE)),$C$3)*(1+Projection!AF$16)*(1+IF(AD186&gt;0,'Attrition Modeling'!$N$9,0)))</f>
        <v>0</v>
      </c>
      <c r="AE54" s="799">
        <f>(AD54+AE186)*(1-IFERROR(IF(AE$2+$F54&lt;=12,SUMIFS('Attrition Modeling'!$D:$D,'Attrition Modeling'!$B:$B,'IP Attrition'!$D54,'Attrition Modeling'!$C:$C,'IP Attrition'!AE$1),VLOOKUP($F54+AE$2,$A$6:$C$106,2,FALSE)*VLOOKUP(AE$1,'Attrition Modeling'!$L$15:$N$27,IF(AE$2+$F54&lt;=24,2,3),FALSE)),$C$3)*(1+Projection!AG$16)*(1+IF(AE186&gt;0,'Attrition Modeling'!$N$9,0)))</f>
        <v>0</v>
      </c>
      <c r="AF54" s="799">
        <f>(AE54+AF186)*(1-IFERROR(IF(AF$2+$F54&lt;=12,SUMIFS('Attrition Modeling'!$D:$D,'Attrition Modeling'!$B:$B,'IP Attrition'!$D54,'Attrition Modeling'!$C:$C,'IP Attrition'!AF$1),VLOOKUP($F54+AF$2,$A$6:$C$106,2,FALSE)*VLOOKUP(AF$1,'Attrition Modeling'!$L$15:$N$27,IF(AF$2+$F54&lt;=24,2,3),FALSE)),$C$3)*(1+Projection!AH$16)*(1+IF(AF186&gt;0,'Attrition Modeling'!$N$9,0)))</f>
        <v>0</v>
      </c>
      <c r="AG54" s="799">
        <f>(AF54+AG186)*(1-IFERROR(IF(AG$2+$F54&lt;=12,SUMIFS('Attrition Modeling'!$D:$D,'Attrition Modeling'!$B:$B,'IP Attrition'!$D54,'Attrition Modeling'!$C:$C,'IP Attrition'!AG$1),VLOOKUP($F54+AG$2,$A$6:$C$106,2,FALSE)*VLOOKUP(AG$1,'Attrition Modeling'!$L$15:$N$27,IF(AG$2+$F54&lt;=24,2,3),FALSE)),$C$3)*(1+Projection!AI$16)*(1+IF(AG186&gt;0,'Attrition Modeling'!$N$9,0)))</f>
        <v>0</v>
      </c>
      <c r="AH54" s="799">
        <f>(AG54+AH186)*(1-IFERROR(IF(AH$2+$F54&lt;=12,SUMIFS('Attrition Modeling'!$D:$D,'Attrition Modeling'!$B:$B,'IP Attrition'!$D54,'Attrition Modeling'!$C:$C,'IP Attrition'!AH$1),VLOOKUP($F54+AH$2,$A$6:$C$106,2,FALSE)*VLOOKUP(AH$1,'Attrition Modeling'!$L$15:$N$27,IF(AH$2+$F54&lt;=24,2,3),FALSE)),$C$3)*(1+Projection!AJ$16)*(1+IF(AH186&gt;0,'Attrition Modeling'!$N$9,0)))</f>
        <v>0</v>
      </c>
      <c r="AI54" s="799">
        <f>(AH54+AI186)*(1-IFERROR(IF(AI$2+$F54&lt;=12,SUMIFS('Attrition Modeling'!$D:$D,'Attrition Modeling'!$B:$B,'IP Attrition'!$D54,'Attrition Modeling'!$C:$C,'IP Attrition'!AI$1),VLOOKUP($F54+AI$2,$A$6:$C$106,2,FALSE)*VLOOKUP(AI$1,'Attrition Modeling'!$L$15:$N$27,IF(AI$2+$F54&lt;=24,2,3),FALSE)),$C$3)*(1+Projection!AK$16)*(1+IF(AI186&gt;0,'Attrition Modeling'!$N$9,0)))</f>
        <v>0</v>
      </c>
      <c r="AJ54" s="799">
        <f>(AI54+AJ186)*(1-IFERROR(IF(AJ$2+$F54&lt;=12,SUMIFS('Attrition Modeling'!$D:$D,'Attrition Modeling'!$B:$B,'IP Attrition'!$D54,'Attrition Modeling'!$C:$C,'IP Attrition'!AJ$1),VLOOKUP($F54+AJ$2,$A$6:$C$106,2,FALSE)*VLOOKUP(AJ$1,'Attrition Modeling'!$L$15:$N$27,IF(AJ$2+$F54&lt;=24,2,3),FALSE)),$C$3)*(1+Projection!AL$16)*(1+IF(AJ186&gt;0,'Attrition Modeling'!$N$9,0)))</f>
        <v>0</v>
      </c>
      <c r="AK54" s="799">
        <f>(AJ54+AK186)*(1-IFERROR(IF(AK$2+$F54&lt;=12,SUMIFS('Attrition Modeling'!$D:$D,'Attrition Modeling'!$B:$B,'IP Attrition'!$D54,'Attrition Modeling'!$C:$C,'IP Attrition'!AK$1),VLOOKUP($F54+AK$2,$A$6:$C$106,2,FALSE)*VLOOKUP(AK$1,'Attrition Modeling'!$L$15:$N$27,IF(AK$2+$F54&lt;=24,2,3),FALSE)),$C$3)*(1+Projection!AM$16)*(1+IF(AK186&gt;0,'Attrition Modeling'!$N$9,0)))</f>
        <v>0</v>
      </c>
      <c r="AL54" s="799">
        <f>(AK54+AL186)*(1-IFERROR(IF(AL$2+$F54&lt;=12,SUMIFS('Attrition Modeling'!$D:$D,'Attrition Modeling'!$B:$B,'IP Attrition'!$D54,'Attrition Modeling'!$C:$C,'IP Attrition'!AL$1),VLOOKUP($F54+AL$2,$A$6:$C$106,2,FALSE)*VLOOKUP(AL$1,'Attrition Modeling'!$L$15:$N$27,IF(AL$2+$F54&lt;=24,2,3),FALSE)),$C$3)*(1+Projection!AN$16)*(1+IF(AL186&gt;0,'Attrition Modeling'!$N$9,0)))</f>
        <v>0</v>
      </c>
      <c r="AM54" s="799">
        <f>(AL54+AM186)*(1-IFERROR(IF(AM$2+$F54&lt;=12,SUMIFS('Attrition Modeling'!$D:$D,'Attrition Modeling'!$B:$B,'IP Attrition'!$D54,'Attrition Modeling'!$C:$C,'IP Attrition'!AM$1),VLOOKUP($F54+AM$2,$A$6:$C$106,2,FALSE)*VLOOKUP(AM$1,'Attrition Modeling'!$L$15:$N$27,IF(AM$2+$F54&lt;=24,2,3),FALSE)),$C$3)*(1+Projection!AO$16)*(1+IF(AM186&gt;0,'Attrition Modeling'!$N$9,0)))</f>
        <v>0</v>
      </c>
      <c r="AN54" s="799">
        <f>(AM54+AN186)*(1-IFERROR(IF(AN$2+$F54&lt;=12,SUMIFS('Attrition Modeling'!$D:$D,'Attrition Modeling'!$B:$B,'IP Attrition'!$D54,'Attrition Modeling'!$C:$C,'IP Attrition'!AN$1),VLOOKUP($F54+AN$2,$A$6:$C$106,2,FALSE)*VLOOKUP(AN$1,'Attrition Modeling'!$L$15:$N$27,IF(AN$2+$F54&lt;=24,2,3),FALSE)),$C$3)*(1+Projection!AP$16)*(1+IF(AN186&gt;0,'Attrition Modeling'!$N$9,0)))</f>
        <v>0</v>
      </c>
      <c r="AO54" s="799">
        <f>(AN54+AO186)*(1-IFERROR(IF(AO$2+$F54&lt;=12,SUMIFS('Attrition Modeling'!$D:$D,'Attrition Modeling'!$B:$B,'IP Attrition'!$D54,'Attrition Modeling'!$C:$C,'IP Attrition'!AO$1),VLOOKUP($F54+AO$2,$A$6:$C$106,2,FALSE)*VLOOKUP(AO$1,'Attrition Modeling'!$L$15:$N$27,IF(AO$2+$F54&lt;=24,2,3),FALSE)),$C$3)*(1+Projection!AQ$16)*(1+IF(AO186&gt;0,'Attrition Modeling'!$N$9,0)))</f>
        <v>0</v>
      </c>
      <c r="AP54" s="799">
        <f>(AO54+AP186)*(1-IFERROR(IF(AP$2+$F54&lt;=12,SUMIFS('Attrition Modeling'!$D:$D,'Attrition Modeling'!$B:$B,'IP Attrition'!$D54,'Attrition Modeling'!$C:$C,'IP Attrition'!AP$1),VLOOKUP($F54+AP$2,$A$6:$C$106,2,FALSE)*VLOOKUP(AP$1,'Attrition Modeling'!$L$15:$N$27,IF(AP$2+$F54&lt;=24,2,3),FALSE)),$C$3)*(1+Projection!AR$16)*(1+IF(AP186&gt;0,'Attrition Modeling'!$N$9,0)))</f>
        <v>0</v>
      </c>
      <c r="AQ54" s="799">
        <f>(AP54+AQ186)*(1-IFERROR(IF(AQ$2+$F54&lt;=12,SUMIFS('Attrition Modeling'!$D:$D,'Attrition Modeling'!$B:$B,'IP Attrition'!$D54,'Attrition Modeling'!$C:$C,'IP Attrition'!AQ$1),VLOOKUP($F54+AQ$2,$A$6:$C$106,2,FALSE)*VLOOKUP(AQ$1,'Attrition Modeling'!$L$15:$N$27,IF(AQ$2+$F54&lt;=24,2,3),FALSE)),$C$3)*(1+Projection!AS$16)*(1+IF(AQ186&gt;0,'Attrition Modeling'!$N$9,0)))</f>
        <v>0</v>
      </c>
      <c r="AR54" s="799">
        <f>(AQ54+AR186)*(1-IFERROR(IF(AR$2+$F54&lt;=12,SUMIFS('Attrition Modeling'!$D:$D,'Attrition Modeling'!$B:$B,'IP Attrition'!$D54,'Attrition Modeling'!$C:$C,'IP Attrition'!AR$1),VLOOKUP($F54+AR$2,$A$6:$C$106,2,FALSE)*VLOOKUP(AR$1,'Attrition Modeling'!$L$15:$N$27,IF(AR$2+$F54&lt;=24,2,3),FALSE)),$C$3)*(1+Projection!AT$16)*(1+IF(AR186&gt;0,'Attrition Modeling'!$N$9,0)))</f>
        <v>0</v>
      </c>
      <c r="AS54" s="799">
        <f>(AR54+AS186)*(1-IFERROR(IF(AS$2+$F54&lt;=12,SUMIFS('Attrition Modeling'!$D:$D,'Attrition Modeling'!$B:$B,'IP Attrition'!$D54,'Attrition Modeling'!$C:$C,'IP Attrition'!AS$1),VLOOKUP($F54+AS$2,$A$6:$C$106,2,FALSE)*VLOOKUP(AS$1,'Attrition Modeling'!$L$15:$N$27,IF(AS$2+$F54&lt;=24,2,3),FALSE)),$C$3)*(1+Projection!AU$16)*(1+IF(AS186&gt;0,'Attrition Modeling'!$N$9,0)))</f>
        <v>0</v>
      </c>
      <c r="AT54" s="799">
        <f>(AS54+AT186)*(1-IFERROR(IF(AT$2+$F54&lt;=12,SUMIFS('Attrition Modeling'!$D:$D,'Attrition Modeling'!$B:$B,'IP Attrition'!$D54,'Attrition Modeling'!$C:$C,'IP Attrition'!AT$1),VLOOKUP($F54+AT$2,$A$6:$C$106,2,FALSE)*VLOOKUP(AT$1,'Attrition Modeling'!$L$15:$N$27,IF(AT$2+$F54&lt;=24,2,3),FALSE)),$C$3)*(1+Projection!AV$16)*(1+IF(AT186&gt;0,'Attrition Modeling'!$N$9,0)))</f>
        <v>0</v>
      </c>
      <c r="AU54" s="799">
        <f>(AT54+AU186)*(1-IFERROR(IF(AU$2+$F54&lt;=12,SUMIFS('Attrition Modeling'!$D:$D,'Attrition Modeling'!$B:$B,'IP Attrition'!$D54,'Attrition Modeling'!$C:$C,'IP Attrition'!AU$1),VLOOKUP($F54+AU$2,$A$6:$C$106,2,FALSE)*VLOOKUP(AU$1,'Attrition Modeling'!$L$15:$N$27,IF(AU$2+$F54&lt;=24,2,3),FALSE)),$C$3)*(1+Projection!AW$16)*(1+IF(AU186&gt;0,'Attrition Modeling'!$N$9,0)))</f>
        <v>0</v>
      </c>
      <c r="AV54" s="799">
        <f>(AU54+AV186)*(1-IFERROR(IF(AV$2+$F54&lt;=12,SUMIFS('Attrition Modeling'!$D:$D,'Attrition Modeling'!$B:$B,'IP Attrition'!$D54,'Attrition Modeling'!$C:$C,'IP Attrition'!AV$1),VLOOKUP($F54+AV$2,$A$6:$C$106,2,FALSE)*VLOOKUP(AV$1,'Attrition Modeling'!$L$15:$N$27,IF(AV$2+$F54&lt;=24,2,3),FALSE)),$C$3)*(1+Projection!AX$16)*(1+IF(AV186&gt;0,'Attrition Modeling'!$N$9,0)))</f>
        <v>0</v>
      </c>
      <c r="AW54" s="799">
        <f>(AV54+AW186)*(1-IFERROR(IF(AW$2+$F54&lt;=12,SUMIFS('Attrition Modeling'!$D:$D,'Attrition Modeling'!$B:$B,'IP Attrition'!$D54,'Attrition Modeling'!$C:$C,'IP Attrition'!AW$1),VLOOKUP($F54+AW$2,$A$6:$C$106,2,FALSE)*VLOOKUP(AW$1,'Attrition Modeling'!$L$15:$N$27,IF(AW$2+$F54&lt;=24,2,3),FALSE)),$C$3)*(1+Projection!AY$16)*(1+IF(AW186&gt;0,'Attrition Modeling'!$N$9,0)))</f>
        <v>0</v>
      </c>
      <c r="AX54" s="799">
        <f>(AW54+AX186)*(1-IFERROR(IF(AX$2+$F54&lt;=12,SUMIFS('Attrition Modeling'!$D:$D,'Attrition Modeling'!$B:$B,'IP Attrition'!$D54,'Attrition Modeling'!$C:$C,'IP Attrition'!AX$1),VLOOKUP($F54+AX$2,$A$6:$C$106,2,FALSE)*VLOOKUP(AX$1,'Attrition Modeling'!$L$15:$N$27,IF(AX$2+$F54&lt;=24,2,3),FALSE)),$C$3)*(1+Projection!AZ$16)*(1+IF(AX186&gt;0,'Attrition Modeling'!$N$9,0)))</f>
        <v>0</v>
      </c>
      <c r="AY54" s="799">
        <f>(AX54+AY186)*(1-IFERROR(IF(AY$2+$F54&lt;=12,SUMIFS('Attrition Modeling'!$D:$D,'Attrition Modeling'!$B:$B,'IP Attrition'!$D54,'Attrition Modeling'!$C:$C,'IP Attrition'!AY$1),VLOOKUP($F54+AY$2,$A$6:$C$106,2,FALSE)*VLOOKUP(AY$1,'Attrition Modeling'!$L$15:$N$27,IF(AY$2+$F54&lt;=24,2,3),FALSE)),$C$3)*(1+Projection!BA$16)*(1+IF(AY186&gt;0,'Attrition Modeling'!$N$9,0)))</f>
        <v>0</v>
      </c>
      <c r="AZ54" s="799">
        <f>(AY54+AZ186)*(1-IFERROR(IF(AZ$2+$F54&lt;=12,SUMIFS('Attrition Modeling'!$D:$D,'Attrition Modeling'!$B:$B,'IP Attrition'!$D54,'Attrition Modeling'!$C:$C,'IP Attrition'!AZ$1),VLOOKUP($F54+AZ$2,$A$6:$C$106,2,FALSE)*VLOOKUP(AZ$1,'Attrition Modeling'!$L$15:$N$27,IF(AZ$2+$F54&lt;=24,2,3),FALSE)),$C$3)*(1+Projection!BB$16)*(1+IF(AZ186&gt;0,'Attrition Modeling'!$N$9,0)))</f>
        <v>0</v>
      </c>
      <c r="BA54" s="799">
        <f>(AZ54+BA186)*(1-IFERROR(IF(BA$2+$F54&lt;=12,SUMIFS('Attrition Modeling'!$D:$D,'Attrition Modeling'!$B:$B,'IP Attrition'!$D54,'Attrition Modeling'!$C:$C,'IP Attrition'!BA$1),VLOOKUP($F54+BA$2,$A$6:$C$106,2,FALSE)*VLOOKUP(BA$1,'Attrition Modeling'!$L$15:$N$27,IF(BA$2+$F54&lt;=24,2,3),FALSE)),$C$3)*(1+Projection!BC$16)*(1+IF(BA186&gt;0,'Attrition Modeling'!$N$9,0)))</f>
        <v>0</v>
      </c>
      <c r="BB54" s="799">
        <f>(BA54+BB186)*(1-IFERROR(IF(BB$2+$F54&lt;=12,SUMIFS('Attrition Modeling'!$D:$D,'Attrition Modeling'!$B:$B,'IP Attrition'!$D54,'Attrition Modeling'!$C:$C,'IP Attrition'!BB$1),VLOOKUP($F54+BB$2,$A$6:$C$106,2,FALSE)*VLOOKUP(BB$1,'Attrition Modeling'!$L$15:$N$27,IF(BB$2+$F54&lt;=24,2,3),FALSE)),$C$3)*(1+Projection!BD$16)*(1+IF(BB186&gt;0,'Attrition Modeling'!$N$9,0)))</f>
        <v>0</v>
      </c>
      <c r="BC54" s="799">
        <f>(BB54+BC186)*(1-IFERROR(IF(BC$2+$F54&lt;=12,SUMIFS('Attrition Modeling'!$D:$D,'Attrition Modeling'!$B:$B,'IP Attrition'!$D54,'Attrition Modeling'!$C:$C,'IP Attrition'!BC$1),VLOOKUP($F54+BC$2,$A$6:$C$106,2,FALSE)*VLOOKUP(BC$1,'Attrition Modeling'!$L$15:$N$27,IF(BC$2+$F54&lt;=24,2,3),FALSE)),$C$3)*(1+Projection!BE$16)*(1+IF(BC186&gt;0,'Attrition Modeling'!$N$9,0)))</f>
        <v>0</v>
      </c>
      <c r="BD54" s="799">
        <f>(BC54+BD186)*(1-IFERROR(IF(BD$2+$F54&lt;=12,SUMIFS('Attrition Modeling'!$D:$D,'Attrition Modeling'!$B:$B,'IP Attrition'!$D54,'Attrition Modeling'!$C:$C,'IP Attrition'!BD$1),VLOOKUP($F54+BD$2,$A$6:$C$106,2,FALSE)*VLOOKUP(BD$1,'Attrition Modeling'!$L$15:$N$27,IF(BD$2+$F54&lt;=24,2,3),FALSE)),$C$3)*(1+Projection!BF$16)*(1+IF(BD186&gt;0,'Attrition Modeling'!$N$9,0)))</f>
        <v>0</v>
      </c>
      <c r="BE54" s="799">
        <f>(BD54+BE186)*(1-IFERROR(IF(BE$2+$F54&lt;=12,SUMIFS('Attrition Modeling'!$D:$D,'Attrition Modeling'!$B:$B,'IP Attrition'!$D54,'Attrition Modeling'!$C:$C,'IP Attrition'!BE$1),VLOOKUP($F54+BE$2,$A$6:$C$106,2,FALSE)*VLOOKUP(BE$1,'Attrition Modeling'!$L$15:$N$27,IF(BE$2+$F54&lt;=24,2,3),FALSE)),$C$3)*(1+Projection!BG$16)*(1+IF(BE186&gt;0,'Attrition Modeling'!$N$9,0)))</f>
        <v>0</v>
      </c>
      <c r="BF54" s="799">
        <f>(BE54+BF186)*(1-IFERROR(IF(BF$2+$F54&lt;=12,SUMIFS('Attrition Modeling'!$D:$D,'Attrition Modeling'!$B:$B,'IP Attrition'!$D54,'Attrition Modeling'!$C:$C,'IP Attrition'!BF$1),VLOOKUP($F54+BF$2,$A$6:$C$106,2,FALSE)*VLOOKUP(BF$1,'Attrition Modeling'!$L$15:$N$27,IF(BF$2+$F54&lt;=24,2,3),FALSE)),$C$3)*(1+Projection!BH$16)*(1+IF(BF186&gt;0,'Attrition Modeling'!$N$9,0)))</f>
        <v>0</v>
      </c>
      <c r="BG54" s="799">
        <f>(BF54+BG186)*(1-IFERROR(IF(BG$2+$F54&lt;=12,SUMIFS('Attrition Modeling'!$D:$D,'Attrition Modeling'!$B:$B,'IP Attrition'!$D54,'Attrition Modeling'!$C:$C,'IP Attrition'!BG$1),VLOOKUP($F54+BG$2,$A$6:$C$106,2,FALSE)*VLOOKUP(BG$1,'Attrition Modeling'!$L$15:$N$27,IF(BG$2+$F54&lt;=24,2,3),FALSE)),$C$3)*(1+Projection!BI$16)*(1+IF(BG186&gt;0,'Attrition Modeling'!$N$9,0)))</f>
        <v>0</v>
      </c>
      <c r="BH54" s="799">
        <f>(BG54+BH186)*(1-IFERROR(IF(BH$2+$F54&lt;=12,SUMIFS('Attrition Modeling'!$D:$D,'Attrition Modeling'!$B:$B,'IP Attrition'!$D54,'Attrition Modeling'!$C:$C,'IP Attrition'!BH$1),VLOOKUP($F54+BH$2,$A$6:$C$106,2,FALSE)*VLOOKUP(BH$1,'Attrition Modeling'!$L$15:$N$27,IF(BH$2+$F54&lt;=24,2,3),FALSE)),$C$3)*(1+Projection!BJ$16)*(1+IF(BH186&gt;0,'Attrition Modeling'!$N$9,0)))</f>
        <v>0</v>
      </c>
      <c r="BI54" s="799">
        <f>(BH54+BI186)*(1-IFERROR(IF(BI$2+$F54&lt;=12,SUMIFS('Attrition Modeling'!$D:$D,'Attrition Modeling'!$B:$B,'IP Attrition'!$D54,'Attrition Modeling'!$C:$C,'IP Attrition'!BI$1),VLOOKUP($F54+BI$2,$A$6:$C$106,2,FALSE)*VLOOKUP(BI$1,'Attrition Modeling'!$L$15:$N$27,IF(BI$2+$F54&lt;=24,2,3),FALSE)),$C$3)*(1+Projection!BK$16)*(1+IF(BI186&gt;0,'Attrition Modeling'!$N$9,0)))</f>
        <v>0</v>
      </c>
      <c r="BJ54" s="799">
        <f>(BI54+BJ186)*(1-IFERROR(IF(BJ$2+$F54&lt;=12,SUMIFS('Attrition Modeling'!$D:$D,'Attrition Modeling'!$B:$B,'IP Attrition'!$D54,'Attrition Modeling'!$C:$C,'IP Attrition'!BJ$1),VLOOKUP($F54+BJ$2,$A$6:$C$106,2,FALSE)*VLOOKUP(BJ$1,'Attrition Modeling'!$L$15:$N$27,IF(BJ$2+$F54&lt;=24,2,3),FALSE)),$C$3)*(1+Projection!BL$16)*(1+IF(BJ186&gt;0,'Attrition Modeling'!$N$9,0)))</f>
        <v>0</v>
      </c>
      <c r="BK54" s="799">
        <f>(BJ54+BK186)*(1-IFERROR(IF(BK$2+$F54&lt;=12,SUMIFS('Attrition Modeling'!$D:$D,'Attrition Modeling'!$B:$B,'IP Attrition'!$D54,'Attrition Modeling'!$C:$C,'IP Attrition'!BK$1),VLOOKUP($F54+BK$2,$A$6:$C$106,2,FALSE)*VLOOKUP(BK$1,'Attrition Modeling'!$L$15:$N$27,IF(BK$2+$F54&lt;=24,2,3),FALSE)),$C$3)*(1+Projection!BM$16)*(1+IF(BK186&gt;0,'Attrition Modeling'!$N$9,0)))</f>
        <v>0</v>
      </c>
      <c r="BL54" s="799">
        <f>(BK54+BL186)*(1-IFERROR(IF(BL$2+$F54&lt;=12,SUMIFS('Attrition Modeling'!$D:$D,'Attrition Modeling'!$B:$B,'IP Attrition'!$D54,'Attrition Modeling'!$C:$C,'IP Attrition'!BL$1),VLOOKUP($F54+BL$2,$A$6:$C$106,2,FALSE)*VLOOKUP(BL$1,'Attrition Modeling'!$L$15:$N$27,IF(BL$2+$F54&lt;=24,2,3),FALSE)),$C$3)*(1+Projection!BN$16)*(1+IF(BL186&gt;0,'Attrition Modeling'!$N$9,0)))</f>
        <v>0</v>
      </c>
      <c r="BM54" s="799">
        <f>(BL54+BM186)*(1-IFERROR(IF(BM$2+$F54&lt;=12,SUMIFS('Attrition Modeling'!$D:$D,'Attrition Modeling'!$B:$B,'IP Attrition'!$D54,'Attrition Modeling'!$C:$C,'IP Attrition'!BM$1),VLOOKUP($F54+BM$2,$A$6:$C$106,2,FALSE)*VLOOKUP(BM$1,'Attrition Modeling'!$L$15:$N$27,IF(BM$2+$F54&lt;=24,2,3),FALSE)),$C$3)*(1+Projection!BO$16)*(1+IF(BM186&gt;0,'Attrition Modeling'!$N$9,0)))</f>
        <v>0</v>
      </c>
      <c r="BN54" s="799">
        <f>(BM54+BN186)*(1-IFERROR(IF(BN$2+$F54&lt;=12,SUMIFS('Attrition Modeling'!$D:$D,'Attrition Modeling'!$B:$B,'IP Attrition'!$D54,'Attrition Modeling'!$C:$C,'IP Attrition'!BN$1),VLOOKUP($F54+BN$2,$A$6:$C$106,2,FALSE)*VLOOKUP(BN$1,'Attrition Modeling'!$L$15:$N$27,IF(BN$2+$F54&lt;=24,2,3),FALSE)),$C$3)*(1+Projection!BP$16)*(1+IF(BN186&gt;0,'Attrition Modeling'!$N$9,0)))</f>
        <v>0</v>
      </c>
      <c r="BO54" s="799">
        <f>(BN54+BO186)*(1-IFERROR(IF(BO$2+$F54&lt;=12,SUMIFS('Attrition Modeling'!$D:$D,'Attrition Modeling'!$B:$B,'IP Attrition'!$D54,'Attrition Modeling'!$C:$C,'IP Attrition'!BO$1),VLOOKUP($F54+BO$2,$A$6:$C$106,2,FALSE)*VLOOKUP(BO$1,'Attrition Modeling'!$L$15:$N$27,IF(BO$2+$F54&lt;=24,2,3),FALSE)),$C$3)*(1+Projection!BV$16)*(1+IF(BO186&gt;0,'Attrition Modeling'!$N$9,0)))</f>
        <v>0</v>
      </c>
      <c r="BP54" s="799">
        <f>(BO54+BP186)*(1-IFERROR(IF(BP$2+$F54&lt;=12,SUMIFS('Attrition Modeling'!$D:$D,'Attrition Modeling'!$B:$B,'IP Attrition'!$D54,'Attrition Modeling'!$C:$C,'IP Attrition'!BP$1),VLOOKUP($F54+BP$2,$A$6:$C$106,2,FALSE)*VLOOKUP(BP$1,'Attrition Modeling'!$L$15:$N$27,IF(BP$2+$F54&lt;=24,2,3),FALSE)),$C$3)*(1+Projection!BW$16)*(1+IF(BP186&gt;0,'Attrition Modeling'!$N$9,0)))</f>
        <v>0</v>
      </c>
      <c r="BQ54" s="799">
        <f>(BP54+BQ186)*(1-IFERROR(IF(BQ$2+$F54&lt;=12,SUMIFS('Attrition Modeling'!$D:$D,'Attrition Modeling'!$B:$B,'IP Attrition'!$D54,'Attrition Modeling'!$C:$C,'IP Attrition'!BQ$1),VLOOKUP($F54+BQ$2,$A$6:$C$106,2,FALSE)*VLOOKUP(BQ$1,'Attrition Modeling'!$L$15:$N$27,IF(BQ$2+$F54&lt;=24,2,3),FALSE)),$C$3)*(1+Projection!BX$16)*(1+IF(BQ186&gt;0,'Attrition Modeling'!$N$9,0)))</f>
        <v>0</v>
      </c>
      <c r="BR54" s="799">
        <f>(BQ54+BR186)*(1-IFERROR(IF(BR$2+$F54&lt;=12,SUMIFS('Attrition Modeling'!$D:$D,'Attrition Modeling'!$B:$B,'IP Attrition'!$D54,'Attrition Modeling'!$C:$C,'IP Attrition'!BR$1),VLOOKUP($F54+BR$2,$A$6:$C$106,2,FALSE)*VLOOKUP(BR$1,'Attrition Modeling'!$L$15:$N$27,IF(BR$2+$F54&lt;=24,2,3),FALSE)),$C$3)*(1+Projection!BY$16)*(1+IF(BR186&gt;0,'Attrition Modeling'!$N$9,0)))</f>
        <v>0</v>
      </c>
      <c r="BS54" s="799">
        <f>(BR54+BS186)*(1-IFERROR(IF(BS$2+$F54&lt;=12,SUMIFS('Attrition Modeling'!$D:$D,'Attrition Modeling'!$B:$B,'IP Attrition'!$D54,'Attrition Modeling'!$C:$C,'IP Attrition'!BS$1),VLOOKUP($F54+BS$2,$A$6:$C$106,2,FALSE)*VLOOKUP(BS$1,'Attrition Modeling'!$L$15:$N$27,IF(BS$2+$F54&lt;=24,2,3),FALSE)),$C$3)*(1+Projection!BZ$16)*(1+IF(BS186&gt;0,'Attrition Modeling'!$N$9,0)))</f>
        <v>0</v>
      </c>
      <c r="BT54" s="799" t="e">
        <f>(BS54+BT186)*(1-IFERROR(IF(BT$2+$F54&lt;=12,SUMIFS('Attrition Modeling'!$D:$D,'Attrition Modeling'!$B:$B,'IP Attrition'!$D54,'Attrition Modeling'!$C:$C,'IP Attrition'!BT$1),VLOOKUP($F54+BT$2,$A$6:$C$106,2,FALSE)*VLOOKUP(BT$1,'Attrition Modeling'!$L$15:$N$27,IF(BT$2+$F54&lt;=24,2,3),FALSE)),$C$3)*(1+Projection!CA$16)*(1+IF(BT186&gt;0,'Attrition Modeling'!$N$9,0)))</f>
        <v>#REF!</v>
      </c>
      <c r="BU54" s="799" t="e">
        <f>(BT54+BU186)*(1-IFERROR(IF(BU$2+$F54&lt;=12,SUMIFS('Attrition Modeling'!$D:$D,'Attrition Modeling'!$B:$B,'IP Attrition'!$D54,'Attrition Modeling'!$C:$C,'IP Attrition'!BU$1),VLOOKUP($F54+BU$2,$A$6:$C$106,2,FALSE)*VLOOKUP(BU$1,'Attrition Modeling'!$L$15:$N$27,IF(BU$2+$F54&lt;=24,2,3),FALSE)),$C$3)*(1+Projection!CB$16)*(1+IF(BU186&gt;0,'Attrition Modeling'!$N$9,0)))</f>
        <v>#REF!</v>
      </c>
    </row>
    <row r="55" spans="1:73" ht="14.25" customHeight="1" x14ac:dyDescent="0.2">
      <c r="A55" s="9">
        <v>48</v>
      </c>
      <c r="B55" s="25">
        <f>MAX('Attrition Modeling'!H52,$C$3)*(1-Summary!$C$20)</f>
        <v>2.5618873453481676E-2</v>
      </c>
      <c r="C55" s="24" t="e">
        <f t="shared" si="3"/>
        <v>#DIV/0!</v>
      </c>
      <c r="D55" s="11">
        <f t="shared" si="1"/>
        <v>-52</v>
      </c>
      <c r="E55" s="807">
        <f t="array" ref="E55">INDEX('Attrition Modeling'!$X$2:$AF$63,MATCH($F55,'Attrition Modeling'!$X$2:$X$63,0),MATCH(Inputs!$C$10,'Attrition Modeling'!$X$2:$AF$2,0))</f>
        <v>0</v>
      </c>
      <c r="F55" s="11">
        <f t="shared" si="2"/>
        <v>52</v>
      </c>
      <c r="G55" s="799">
        <f>Summary!$C$25*$E55</f>
        <v>0</v>
      </c>
      <c r="H55" s="799">
        <f>(G55+H187)*(1-IFERROR(IF(H$2+$F55&lt;=12,SUMIFS('Attrition Modeling'!$D:$D,'Attrition Modeling'!$B:$B,'IP Attrition'!$D55,'Attrition Modeling'!$C:$C,'IP Attrition'!H$1),VLOOKUP($F55+H$2,$A$6:$C$106,2,FALSE)*VLOOKUP(H$1,'Attrition Modeling'!$L$15:$N$27,IF(H$2+$F55&lt;=24,2,3),FALSE)),$C$3)*(1+Projection!J$16)*(1+IF(H187&gt;0,'Attrition Modeling'!$N$9,0)))</f>
        <v>0</v>
      </c>
      <c r="I55" s="799">
        <f>(H55+I187)*(1-IFERROR(IF(I$2+$F55&lt;=12,SUMIFS('Attrition Modeling'!$D:$D,'Attrition Modeling'!$B:$B,'IP Attrition'!$D55,'Attrition Modeling'!$C:$C,'IP Attrition'!I$1),VLOOKUP($F55+I$2,$A$6:$C$106,2,FALSE)*VLOOKUP(I$1,'Attrition Modeling'!$L$15:$N$27,IF(I$2+$F55&lt;=24,2,3),FALSE)),$C$3)*(1+Projection!K$16)*(1+IF(I187&gt;0,'Attrition Modeling'!$N$9,0)))</f>
        <v>0</v>
      </c>
      <c r="J55" s="799">
        <f>(I55+J187)*(1-IFERROR(IF(J$2+$F55&lt;=12,SUMIFS('Attrition Modeling'!$D:$D,'Attrition Modeling'!$B:$B,'IP Attrition'!$D55,'Attrition Modeling'!$C:$C,'IP Attrition'!J$1),VLOOKUP($F55+J$2,$A$6:$C$106,2,FALSE)*VLOOKUP(J$1,'Attrition Modeling'!$L$15:$N$27,IF(J$2+$F55&lt;=24,2,3),FALSE)),$C$3)*(1+Projection!L$16)*(1+IF(J187&gt;0,'Attrition Modeling'!$N$9,0)))</f>
        <v>0</v>
      </c>
      <c r="K55" s="799">
        <f>(J55+K187)*(1-IFERROR(IF(K$2+$F55&lt;=12,SUMIFS('Attrition Modeling'!$D:$D,'Attrition Modeling'!$B:$B,'IP Attrition'!$D55,'Attrition Modeling'!$C:$C,'IP Attrition'!K$1),VLOOKUP($F55+K$2,$A$6:$C$106,2,FALSE)*VLOOKUP(K$1,'Attrition Modeling'!$L$15:$N$27,IF(K$2+$F55&lt;=24,2,3),FALSE)),$C$3)*(1+Projection!M$16)*(1+IF(K187&gt;0,'Attrition Modeling'!$N$9,0)))</f>
        <v>0</v>
      </c>
      <c r="L55" s="799">
        <f>(K55+L187)*(1-IFERROR(IF(L$2+$F55&lt;=12,SUMIFS('Attrition Modeling'!$D:$D,'Attrition Modeling'!$B:$B,'IP Attrition'!$D55,'Attrition Modeling'!$C:$C,'IP Attrition'!L$1),VLOOKUP($F55+L$2,$A$6:$C$106,2,FALSE)*VLOOKUP(L$1,'Attrition Modeling'!$L$15:$N$27,IF(L$2+$F55&lt;=24,2,3),FALSE)),$C$3)*(1+Projection!N$16)*(1+IF(L187&gt;0,'Attrition Modeling'!$N$9,0)))</f>
        <v>0</v>
      </c>
      <c r="M55" s="799">
        <f>(L55+M187)*(1-IFERROR(IF(M$2+$F55&lt;=12,SUMIFS('Attrition Modeling'!$D:$D,'Attrition Modeling'!$B:$B,'IP Attrition'!$D55,'Attrition Modeling'!$C:$C,'IP Attrition'!M$1),VLOOKUP($F55+M$2,$A$6:$C$106,2,FALSE)*VLOOKUP(M$1,'Attrition Modeling'!$L$15:$N$27,IF(M$2+$F55&lt;=24,2,3),FALSE)),$C$3)*(1+Projection!O$16)*(1+IF(M187&gt;0,'Attrition Modeling'!$N$9,0)))</f>
        <v>0</v>
      </c>
      <c r="N55" s="799">
        <f>(M55+N187)*(1-IFERROR(IF(N$2+$F55&lt;=12,SUMIFS('Attrition Modeling'!$D:$D,'Attrition Modeling'!$B:$B,'IP Attrition'!$D55,'Attrition Modeling'!$C:$C,'IP Attrition'!N$1),VLOOKUP($F55+N$2,$A$6:$C$106,2,FALSE)*VLOOKUP(N$1,'Attrition Modeling'!$L$15:$N$27,IF(N$2+$F55&lt;=24,2,3),FALSE)),$C$3)*(1+Projection!P$16)*(1+IF(N187&gt;0,'Attrition Modeling'!$N$9,0)))</f>
        <v>0</v>
      </c>
      <c r="O55" s="799">
        <f>(N55+O187)*(1-IFERROR(IF(O$2+$F55&lt;=12,SUMIFS('Attrition Modeling'!$D:$D,'Attrition Modeling'!$B:$B,'IP Attrition'!$D55,'Attrition Modeling'!$C:$C,'IP Attrition'!O$1),VLOOKUP($F55+O$2,$A$6:$C$106,2,FALSE)*VLOOKUP(O$1,'Attrition Modeling'!$L$15:$N$27,IF(O$2+$F55&lt;=24,2,3),FALSE)),$C$3)*(1+Projection!Q$16)*(1+IF(O187&gt;0,'Attrition Modeling'!$N$9,0)))</f>
        <v>0</v>
      </c>
      <c r="P55" s="799">
        <f>(O55+P187)*(1-IFERROR(IF(P$2+$F55&lt;=12,SUMIFS('Attrition Modeling'!$D:$D,'Attrition Modeling'!$B:$B,'IP Attrition'!$D55,'Attrition Modeling'!$C:$C,'IP Attrition'!P$1),VLOOKUP($F55+P$2,$A$6:$C$106,2,FALSE)*VLOOKUP(P$1,'Attrition Modeling'!$L$15:$N$27,IF(P$2+$F55&lt;=24,2,3),FALSE)),$C$3)*(1+Projection!R$16)*(1+IF(P187&gt;0,'Attrition Modeling'!$N$9,0)))</f>
        <v>0</v>
      </c>
      <c r="Q55" s="799">
        <f>(P55+Q187)*(1-IFERROR(IF(Q$2+$F55&lt;=12,SUMIFS('Attrition Modeling'!$D:$D,'Attrition Modeling'!$B:$B,'IP Attrition'!$D55,'Attrition Modeling'!$C:$C,'IP Attrition'!Q$1),VLOOKUP($F55+Q$2,$A$6:$C$106,2,FALSE)*VLOOKUP(Q$1,'Attrition Modeling'!$L$15:$N$27,IF(Q$2+$F55&lt;=24,2,3),FALSE)),$C$3)*(1+Projection!S$16)*(1+IF(Q187&gt;0,'Attrition Modeling'!$N$9,0)))</f>
        <v>0</v>
      </c>
      <c r="R55" s="799">
        <f>(Q55+R187)*(1-IFERROR(IF(R$2+$F55&lt;=12,SUMIFS('Attrition Modeling'!$D:$D,'Attrition Modeling'!$B:$B,'IP Attrition'!$D55,'Attrition Modeling'!$C:$C,'IP Attrition'!R$1),VLOOKUP($F55+R$2,$A$6:$C$106,2,FALSE)*VLOOKUP(R$1,'Attrition Modeling'!$L$15:$N$27,IF(R$2+$F55&lt;=24,2,3),FALSE)),$C$3)*(1+Projection!T$16)*(1+IF(R187&gt;0,'Attrition Modeling'!$N$9,0)))</f>
        <v>0</v>
      </c>
      <c r="S55" s="799">
        <f>(R55+S187)*(1-IFERROR(IF(S$2+$F55&lt;=12,SUMIFS('Attrition Modeling'!$D:$D,'Attrition Modeling'!$B:$B,'IP Attrition'!$D55,'Attrition Modeling'!$C:$C,'IP Attrition'!S$1),VLOOKUP($F55+S$2,$A$6:$C$106,2,FALSE)*VLOOKUP(S$1,'Attrition Modeling'!$L$15:$N$27,IF(S$2+$F55&lt;=24,2,3),FALSE)),$C$3)*(1+Projection!U$16)*(1+IF(S187&gt;0,'Attrition Modeling'!$N$9,0)))</f>
        <v>0</v>
      </c>
      <c r="T55" s="799">
        <f>(S55+T187)*(1-IFERROR(IF(T$2+$F55&lt;=12,SUMIFS('Attrition Modeling'!$D:$D,'Attrition Modeling'!$B:$B,'IP Attrition'!$D55,'Attrition Modeling'!$C:$C,'IP Attrition'!T$1),VLOOKUP($F55+T$2,$A$6:$C$106,2,FALSE)*VLOOKUP(T$1,'Attrition Modeling'!$L$15:$N$27,IF(T$2+$F55&lt;=24,2,3),FALSE)),$C$3)*(1+Projection!V$16)*(1+IF(T187&gt;0,'Attrition Modeling'!$N$9,0)))</f>
        <v>0</v>
      </c>
      <c r="U55" s="799">
        <f>(T55+U187)*(1-IFERROR(IF(U$2+$F55&lt;=12,SUMIFS('Attrition Modeling'!$D:$D,'Attrition Modeling'!$B:$B,'IP Attrition'!$D55,'Attrition Modeling'!$C:$C,'IP Attrition'!U$1),VLOOKUP($F55+U$2,$A$6:$C$106,2,FALSE)*VLOOKUP(U$1,'Attrition Modeling'!$L$15:$N$27,IF(U$2+$F55&lt;=24,2,3),FALSE)),$C$3)*(1+Projection!W$16)*(1+IF(U187&gt;0,'Attrition Modeling'!$N$9,0)))</f>
        <v>0</v>
      </c>
      <c r="V55" s="799">
        <f>(U55+V187)*(1-IFERROR(IF(V$2+$F55&lt;=12,SUMIFS('Attrition Modeling'!$D:$D,'Attrition Modeling'!$B:$B,'IP Attrition'!$D55,'Attrition Modeling'!$C:$C,'IP Attrition'!V$1),VLOOKUP($F55+V$2,$A$6:$C$106,2,FALSE)*VLOOKUP(V$1,'Attrition Modeling'!$L$15:$N$27,IF(V$2+$F55&lt;=24,2,3),FALSE)),$C$3)*(1+Projection!X$16)*(1+IF(V187&gt;0,'Attrition Modeling'!$N$9,0)))</f>
        <v>0</v>
      </c>
      <c r="W55" s="799">
        <f>(V55+W187)*(1-IFERROR(IF(W$2+$F55&lt;=12,SUMIFS('Attrition Modeling'!$D:$D,'Attrition Modeling'!$B:$B,'IP Attrition'!$D55,'Attrition Modeling'!$C:$C,'IP Attrition'!W$1),VLOOKUP($F55+W$2,$A$6:$C$106,2,FALSE)*VLOOKUP(W$1,'Attrition Modeling'!$L$15:$N$27,IF(W$2+$F55&lt;=24,2,3),FALSE)),$C$3)*(1+Projection!Y$16)*(1+IF(W187&gt;0,'Attrition Modeling'!$N$9,0)))</f>
        <v>0</v>
      </c>
      <c r="X55" s="799">
        <f>(W55+X187)*(1-IFERROR(IF(X$2+$F55&lt;=12,SUMIFS('Attrition Modeling'!$D:$D,'Attrition Modeling'!$B:$B,'IP Attrition'!$D55,'Attrition Modeling'!$C:$C,'IP Attrition'!X$1),VLOOKUP($F55+X$2,$A$6:$C$106,2,FALSE)*VLOOKUP(X$1,'Attrition Modeling'!$L$15:$N$27,IF(X$2+$F55&lt;=24,2,3),FALSE)),$C$3)*(1+Projection!Z$16)*(1+IF(X187&gt;0,'Attrition Modeling'!$N$9,0)))</f>
        <v>0</v>
      </c>
      <c r="Y55" s="799">
        <f>(X55+Y187)*(1-IFERROR(IF(Y$2+$F55&lt;=12,SUMIFS('Attrition Modeling'!$D:$D,'Attrition Modeling'!$B:$B,'IP Attrition'!$D55,'Attrition Modeling'!$C:$C,'IP Attrition'!Y$1),VLOOKUP($F55+Y$2,$A$6:$C$106,2,FALSE)*VLOOKUP(Y$1,'Attrition Modeling'!$L$15:$N$27,IF(Y$2+$F55&lt;=24,2,3),FALSE)),$C$3)*(1+Projection!AA$16)*(1+IF(Y187&gt;0,'Attrition Modeling'!$N$9,0)))</f>
        <v>0</v>
      </c>
      <c r="Z55" s="799">
        <f>(Y55+Z187)*(1-IFERROR(IF(Z$2+$F55&lt;=12,SUMIFS('Attrition Modeling'!$D:$D,'Attrition Modeling'!$B:$B,'IP Attrition'!$D55,'Attrition Modeling'!$C:$C,'IP Attrition'!Z$1),VLOOKUP($F55+Z$2,$A$6:$C$106,2,FALSE)*VLOOKUP(Z$1,'Attrition Modeling'!$L$15:$N$27,IF(Z$2+$F55&lt;=24,2,3),FALSE)),$C$3)*(1+Projection!AB$16)*(1+IF(Z187&gt;0,'Attrition Modeling'!$N$9,0)))</f>
        <v>0</v>
      </c>
      <c r="AA55" s="799">
        <f>(Z55+AA187)*(1-IFERROR(IF(AA$2+$F55&lt;=12,SUMIFS('Attrition Modeling'!$D:$D,'Attrition Modeling'!$B:$B,'IP Attrition'!$D55,'Attrition Modeling'!$C:$C,'IP Attrition'!AA$1),VLOOKUP($F55+AA$2,$A$6:$C$106,2,FALSE)*VLOOKUP(AA$1,'Attrition Modeling'!$L$15:$N$27,IF(AA$2+$F55&lt;=24,2,3),FALSE)),$C$3)*(1+Projection!AC$16)*(1+IF(AA187&gt;0,'Attrition Modeling'!$N$9,0)))</f>
        <v>0</v>
      </c>
      <c r="AB55" s="799">
        <f>(AA55+AB187)*(1-IFERROR(IF(AB$2+$F55&lt;=12,SUMIFS('Attrition Modeling'!$D:$D,'Attrition Modeling'!$B:$B,'IP Attrition'!$D55,'Attrition Modeling'!$C:$C,'IP Attrition'!AB$1),VLOOKUP($F55+AB$2,$A$6:$C$106,2,FALSE)*VLOOKUP(AB$1,'Attrition Modeling'!$L$15:$N$27,IF(AB$2+$F55&lt;=24,2,3),FALSE)),$C$3)*(1+Projection!AD$16)*(1+IF(AB187&gt;0,'Attrition Modeling'!$N$9,0)))</f>
        <v>0</v>
      </c>
      <c r="AC55" s="799">
        <f>(AB55+AC187)*(1-IFERROR(IF(AC$2+$F55&lt;=12,SUMIFS('Attrition Modeling'!$D:$D,'Attrition Modeling'!$B:$B,'IP Attrition'!$D55,'Attrition Modeling'!$C:$C,'IP Attrition'!AC$1),VLOOKUP($F55+AC$2,$A$6:$C$106,2,FALSE)*VLOOKUP(AC$1,'Attrition Modeling'!$L$15:$N$27,IF(AC$2+$F55&lt;=24,2,3),FALSE)),$C$3)*(1+Projection!AE$16)*(1+IF(AC187&gt;0,'Attrition Modeling'!$N$9,0)))</f>
        <v>0</v>
      </c>
      <c r="AD55" s="799">
        <f>(AC55+AD187)*(1-IFERROR(IF(AD$2+$F55&lt;=12,SUMIFS('Attrition Modeling'!$D:$D,'Attrition Modeling'!$B:$B,'IP Attrition'!$D55,'Attrition Modeling'!$C:$C,'IP Attrition'!AD$1),VLOOKUP($F55+AD$2,$A$6:$C$106,2,FALSE)*VLOOKUP(AD$1,'Attrition Modeling'!$L$15:$N$27,IF(AD$2+$F55&lt;=24,2,3),FALSE)),$C$3)*(1+Projection!AF$16)*(1+IF(AD187&gt;0,'Attrition Modeling'!$N$9,0)))</f>
        <v>0</v>
      </c>
      <c r="AE55" s="799">
        <f>(AD55+AE187)*(1-IFERROR(IF(AE$2+$F55&lt;=12,SUMIFS('Attrition Modeling'!$D:$D,'Attrition Modeling'!$B:$B,'IP Attrition'!$D55,'Attrition Modeling'!$C:$C,'IP Attrition'!AE$1),VLOOKUP($F55+AE$2,$A$6:$C$106,2,FALSE)*VLOOKUP(AE$1,'Attrition Modeling'!$L$15:$N$27,IF(AE$2+$F55&lt;=24,2,3),FALSE)),$C$3)*(1+Projection!AG$16)*(1+IF(AE187&gt;0,'Attrition Modeling'!$N$9,0)))</f>
        <v>0</v>
      </c>
      <c r="AF55" s="799">
        <f>(AE55+AF187)*(1-IFERROR(IF(AF$2+$F55&lt;=12,SUMIFS('Attrition Modeling'!$D:$D,'Attrition Modeling'!$B:$B,'IP Attrition'!$D55,'Attrition Modeling'!$C:$C,'IP Attrition'!AF$1),VLOOKUP($F55+AF$2,$A$6:$C$106,2,FALSE)*VLOOKUP(AF$1,'Attrition Modeling'!$L$15:$N$27,IF(AF$2+$F55&lt;=24,2,3),FALSE)),$C$3)*(1+Projection!AH$16)*(1+IF(AF187&gt;0,'Attrition Modeling'!$N$9,0)))</f>
        <v>0</v>
      </c>
      <c r="AG55" s="799">
        <f>(AF55+AG187)*(1-IFERROR(IF(AG$2+$F55&lt;=12,SUMIFS('Attrition Modeling'!$D:$D,'Attrition Modeling'!$B:$B,'IP Attrition'!$D55,'Attrition Modeling'!$C:$C,'IP Attrition'!AG$1),VLOOKUP($F55+AG$2,$A$6:$C$106,2,FALSE)*VLOOKUP(AG$1,'Attrition Modeling'!$L$15:$N$27,IF(AG$2+$F55&lt;=24,2,3),FALSE)),$C$3)*(1+Projection!AI$16)*(1+IF(AG187&gt;0,'Attrition Modeling'!$N$9,0)))</f>
        <v>0</v>
      </c>
      <c r="AH55" s="799">
        <f>(AG55+AH187)*(1-IFERROR(IF(AH$2+$F55&lt;=12,SUMIFS('Attrition Modeling'!$D:$D,'Attrition Modeling'!$B:$B,'IP Attrition'!$D55,'Attrition Modeling'!$C:$C,'IP Attrition'!AH$1),VLOOKUP($F55+AH$2,$A$6:$C$106,2,FALSE)*VLOOKUP(AH$1,'Attrition Modeling'!$L$15:$N$27,IF(AH$2+$F55&lt;=24,2,3),FALSE)),$C$3)*(1+Projection!AJ$16)*(1+IF(AH187&gt;0,'Attrition Modeling'!$N$9,0)))</f>
        <v>0</v>
      </c>
      <c r="AI55" s="799">
        <f>(AH55+AI187)*(1-IFERROR(IF(AI$2+$F55&lt;=12,SUMIFS('Attrition Modeling'!$D:$D,'Attrition Modeling'!$B:$B,'IP Attrition'!$D55,'Attrition Modeling'!$C:$C,'IP Attrition'!AI$1),VLOOKUP($F55+AI$2,$A$6:$C$106,2,FALSE)*VLOOKUP(AI$1,'Attrition Modeling'!$L$15:$N$27,IF(AI$2+$F55&lt;=24,2,3),FALSE)),$C$3)*(1+Projection!AK$16)*(1+IF(AI187&gt;0,'Attrition Modeling'!$N$9,0)))</f>
        <v>0</v>
      </c>
      <c r="AJ55" s="799">
        <f>(AI55+AJ187)*(1-IFERROR(IF(AJ$2+$F55&lt;=12,SUMIFS('Attrition Modeling'!$D:$D,'Attrition Modeling'!$B:$B,'IP Attrition'!$D55,'Attrition Modeling'!$C:$C,'IP Attrition'!AJ$1),VLOOKUP($F55+AJ$2,$A$6:$C$106,2,FALSE)*VLOOKUP(AJ$1,'Attrition Modeling'!$L$15:$N$27,IF(AJ$2+$F55&lt;=24,2,3),FALSE)),$C$3)*(1+Projection!AL$16)*(1+IF(AJ187&gt;0,'Attrition Modeling'!$N$9,0)))</f>
        <v>0</v>
      </c>
      <c r="AK55" s="799">
        <f>(AJ55+AK187)*(1-IFERROR(IF(AK$2+$F55&lt;=12,SUMIFS('Attrition Modeling'!$D:$D,'Attrition Modeling'!$B:$B,'IP Attrition'!$D55,'Attrition Modeling'!$C:$C,'IP Attrition'!AK$1),VLOOKUP($F55+AK$2,$A$6:$C$106,2,FALSE)*VLOOKUP(AK$1,'Attrition Modeling'!$L$15:$N$27,IF(AK$2+$F55&lt;=24,2,3),FALSE)),$C$3)*(1+Projection!AM$16)*(1+IF(AK187&gt;0,'Attrition Modeling'!$N$9,0)))</f>
        <v>0</v>
      </c>
      <c r="AL55" s="799">
        <f>(AK55+AL187)*(1-IFERROR(IF(AL$2+$F55&lt;=12,SUMIFS('Attrition Modeling'!$D:$D,'Attrition Modeling'!$B:$B,'IP Attrition'!$D55,'Attrition Modeling'!$C:$C,'IP Attrition'!AL$1),VLOOKUP($F55+AL$2,$A$6:$C$106,2,FALSE)*VLOOKUP(AL$1,'Attrition Modeling'!$L$15:$N$27,IF(AL$2+$F55&lt;=24,2,3),FALSE)),$C$3)*(1+Projection!AN$16)*(1+IF(AL187&gt;0,'Attrition Modeling'!$N$9,0)))</f>
        <v>0</v>
      </c>
      <c r="AM55" s="799">
        <f>(AL55+AM187)*(1-IFERROR(IF(AM$2+$F55&lt;=12,SUMIFS('Attrition Modeling'!$D:$D,'Attrition Modeling'!$B:$B,'IP Attrition'!$D55,'Attrition Modeling'!$C:$C,'IP Attrition'!AM$1),VLOOKUP($F55+AM$2,$A$6:$C$106,2,FALSE)*VLOOKUP(AM$1,'Attrition Modeling'!$L$15:$N$27,IF(AM$2+$F55&lt;=24,2,3),FALSE)),$C$3)*(1+Projection!AO$16)*(1+IF(AM187&gt;0,'Attrition Modeling'!$N$9,0)))</f>
        <v>0</v>
      </c>
      <c r="AN55" s="799">
        <f>(AM55+AN187)*(1-IFERROR(IF(AN$2+$F55&lt;=12,SUMIFS('Attrition Modeling'!$D:$D,'Attrition Modeling'!$B:$B,'IP Attrition'!$D55,'Attrition Modeling'!$C:$C,'IP Attrition'!AN$1),VLOOKUP($F55+AN$2,$A$6:$C$106,2,FALSE)*VLOOKUP(AN$1,'Attrition Modeling'!$L$15:$N$27,IF(AN$2+$F55&lt;=24,2,3),FALSE)),$C$3)*(1+Projection!AP$16)*(1+IF(AN187&gt;0,'Attrition Modeling'!$N$9,0)))</f>
        <v>0</v>
      </c>
      <c r="AO55" s="799">
        <f>(AN55+AO187)*(1-IFERROR(IF(AO$2+$F55&lt;=12,SUMIFS('Attrition Modeling'!$D:$D,'Attrition Modeling'!$B:$B,'IP Attrition'!$D55,'Attrition Modeling'!$C:$C,'IP Attrition'!AO$1),VLOOKUP($F55+AO$2,$A$6:$C$106,2,FALSE)*VLOOKUP(AO$1,'Attrition Modeling'!$L$15:$N$27,IF(AO$2+$F55&lt;=24,2,3),FALSE)),$C$3)*(1+Projection!AQ$16)*(1+IF(AO187&gt;0,'Attrition Modeling'!$N$9,0)))</f>
        <v>0</v>
      </c>
      <c r="AP55" s="799">
        <f>(AO55+AP187)*(1-IFERROR(IF(AP$2+$F55&lt;=12,SUMIFS('Attrition Modeling'!$D:$D,'Attrition Modeling'!$B:$B,'IP Attrition'!$D55,'Attrition Modeling'!$C:$C,'IP Attrition'!AP$1),VLOOKUP($F55+AP$2,$A$6:$C$106,2,FALSE)*VLOOKUP(AP$1,'Attrition Modeling'!$L$15:$N$27,IF(AP$2+$F55&lt;=24,2,3),FALSE)),$C$3)*(1+Projection!AR$16)*(1+IF(AP187&gt;0,'Attrition Modeling'!$N$9,0)))</f>
        <v>0</v>
      </c>
      <c r="AQ55" s="799">
        <f>(AP55+AQ187)*(1-IFERROR(IF(AQ$2+$F55&lt;=12,SUMIFS('Attrition Modeling'!$D:$D,'Attrition Modeling'!$B:$B,'IP Attrition'!$D55,'Attrition Modeling'!$C:$C,'IP Attrition'!AQ$1),VLOOKUP($F55+AQ$2,$A$6:$C$106,2,FALSE)*VLOOKUP(AQ$1,'Attrition Modeling'!$L$15:$N$27,IF(AQ$2+$F55&lt;=24,2,3),FALSE)),$C$3)*(1+Projection!AS$16)*(1+IF(AQ187&gt;0,'Attrition Modeling'!$N$9,0)))</f>
        <v>0</v>
      </c>
      <c r="AR55" s="799">
        <f>(AQ55+AR187)*(1-IFERROR(IF(AR$2+$F55&lt;=12,SUMIFS('Attrition Modeling'!$D:$D,'Attrition Modeling'!$B:$B,'IP Attrition'!$D55,'Attrition Modeling'!$C:$C,'IP Attrition'!AR$1),VLOOKUP($F55+AR$2,$A$6:$C$106,2,FALSE)*VLOOKUP(AR$1,'Attrition Modeling'!$L$15:$N$27,IF(AR$2+$F55&lt;=24,2,3),FALSE)),$C$3)*(1+Projection!AT$16)*(1+IF(AR187&gt;0,'Attrition Modeling'!$N$9,0)))</f>
        <v>0</v>
      </c>
      <c r="AS55" s="799">
        <f>(AR55+AS187)*(1-IFERROR(IF(AS$2+$F55&lt;=12,SUMIFS('Attrition Modeling'!$D:$D,'Attrition Modeling'!$B:$B,'IP Attrition'!$D55,'Attrition Modeling'!$C:$C,'IP Attrition'!AS$1),VLOOKUP($F55+AS$2,$A$6:$C$106,2,FALSE)*VLOOKUP(AS$1,'Attrition Modeling'!$L$15:$N$27,IF(AS$2+$F55&lt;=24,2,3),FALSE)),$C$3)*(1+Projection!AU$16)*(1+IF(AS187&gt;0,'Attrition Modeling'!$N$9,0)))</f>
        <v>0</v>
      </c>
      <c r="AT55" s="799">
        <f>(AS55+AT187)*(1-IFERROR(IF(AT$2+$F55&lt;=12,SUMIFS('Attrition Modeling'!$D:$D,'Attrition Modeling'!$B:$B,'IP Attrition'!$D55,'Attrition Modeling'!$C:$C,'IP Attrition'!AT$1),VLOOKUP($F55+AT$2,$A$6:$C$106,2,FALSE)*VLOOKUP(AT$1,'Attrition Modeling'!$L$15:$N$27,IF(AT$2+$F55&lt;=24,2,3),FALSE)),$C$3)*(1+Projection!AV$16)*(1+IF(AT187&gt;0,'Attrition Modeling'!$N$9,0)))</f>
        <v>0</v>
      </c>
      <c r="AU55" s="799">
        <f>(AT55+AU187)*(1-IFERROR(IF(AU$2+$F55&lt;=12,SUMIFS('Attrition Modeling'!$D:$D,'Attrition Modeling'!$B:$B,'IP Attrition'!$D55,'Attrition Modeling'!$C:$C,'IP Attrition'!AU$1),VLOOKUP($F55+AU$2,$A$6:$C$106,2,FALSE)*VLOOKUP(AU$1,'Attrition Modeling'!$L$15:$N$27,IF(AU$2+$F55&lt;=24,2,3),FALSE)),$C$3)*(1+Projection!AW$16)*(1+IF(AU187&gt;0,'Attrition Modeling'!$N$9,0)))</f>
        <v>0</v>
      </c>
      <c r="AV55" s="799">
        <f>(AU55+AV187)*(1-IFERROR(IF(AV$2+$F55&lt;=12,SUMIFS('Attrition Modeling'!$D:$D,'Attrition Modeling'!$B:$B,'IP Attrition'!$D55,'Attrition Modeling'!$C:$C,'IP Attrition'!AV$1),VLOOKUP($F55+AV$2,$A$6:$C$106,2,FALSE)*VLOOKUP(AV$1,'Attrition Modeling'!$L$15:$N$27,IF(AV$2+$F55&lt;=24,2,3),FALSE)),$C$3)*(1+Projection!AX$16)*(1+IF(AV187&gt;0,'Attrition Modeling'!$N$9,0)))</f>
        <v>0</v>
      </c>
      <c r="AW55" s="799">
        <f>(AV55+AW187)*(1-IFERROR(IF(AW$2+$F55&lt;=12,SUMIFS('Attrition Modeling'!$D:$D,'Attrition Modeling'!$B:$B,'IP Attrition'!$D55,'Attrition Modeling'!$C:$C,'IP Attrition'!AW$1),VLOOKUP($F55+AW$2,$A$6:$C$106,2,FALSE)*VLOOKUP(AW$1,'Attrition Modeling'!$L$15:$N$27,IF(AW$2+$F55&lt;=24,2,3),FALSE)),$C$3)*(1+Projection!AY$16)*(1+IF(AW187&gt;0,'Attrition Modeling'!$N$9,0)))</f>
        <v>0</v>
      </c>
      <c r="AX55" s="799">
        <f>(AW55+AX187)*(1-IFERROR(IF(AX$2+$F55&lt;=12,SUMIFS('Attrition Modeling'!$D:$D,'Attrition Modeling'!$B:$B,'IP Attrition'!$D55,'Attrition Modeling'!$C:$C,'IP Attrition'!AX$1),VLOOKUP($F55+AX$2,$A$6:$C$106,2,FALSE)*VLOOKUP(AX$1,'Attrition Modeling'!$L$15:$N$27,IF(AX$2+$F55&lt;=24,2,3),FALSE)),$C$3)*(1+Projection!AZ$16)*(1+IF(AX187&gt;0,'Attrition Modeling'!$N$9,0)))</f>
        <v>0</v>
      </c>
      <c r="AY55" s="799">
        <f>(AX55+AY187)*(1-IFERROR(IF(AY$2+$F55&lt;=12,SUMIFS('Attrition Modeling'!$D:$D,'Attrition Modeling'!$B:$B,'IP Attrition'!$D55,'Attrition Modeling'!$C:$C,'IP Attrition'!AY$1),VLOOKUP($F55+AY$2,$A$6:$C$106,2,FALSE)*VLOOKUP(AY$1,'Attrition Modeling'!$L$15:$N$27,IF(AY$2+$F55&lt;=24,2,3),FALSE)),$C$3)*(1+Projection!BA$16)*(1+IF(AY187&gt;0,'Attrition Modeling'!$N$9,0)))</f>
        <v>0</v>
      </c>
      <c r="AZ55" s="799">
        <f>(AY55+AZ187)*(1-IFERROR(IF(AZ$2+$F55&lt;=12,SUMIFS('Attrition Modeling'!$D:$D,'Attrition Modeling'!$B:$B,'IP Attrition'!$D55,'Attrition Modeling'!$C:$C,'IP Attrition'!AZ$1),VLOOKUP($F55+AZ$2,$A$6:$C$106,2,FALSE)*VLOOKUP(AZ$1,'Attrition Modeling'!$L$15:$N$27,IF(AZ$2+$F55&lt;=24,2,3),FALSE)),$C$3)*(1+Projection!BB$16)*(1+IF(AZ187&gt;0,'Attrition Modeling'!$N$9,0)))</f>
        <v>0</v>
      </c>
      <c r="BA55" s="799">
        <f>(AZ55+BA187)*(1-IFERROR(IF(BA$2+$F55&lt;=12,SUMIFS('Attrition Modeling'!$D:$D,'Attrition Modeling'!$B:$B,'IP Attrition'!$D55,'Attrition Modeling'!$C:$C,'IP Attrition'!BA$1),VLOOKUP($F55+BA$2,$A$6:$C$106,2,FALSE)*VLOOKUP(BA$1,'Attrition Modeling'!$L$15:$N$27,IF(BA$2+$F55&lt;=24,2,3),FALSE)),$C$3)*(1+Projection!BC$16)*(1+IF(BA187&gt;0,'Attrition Modeling'!$N$9,0)))</f>
        <v>0</v>
      </c>
      <c r="BB55" s="799">
        <f>(BA55+BB187)*(1-IFERROR(IF(BB$2+$F55&lt;=12,SUMIFS('Attrition Modeling'!$D:$D,'Attrition Modeling'!$B:$B,'IP Attrition'!$D55,'Attrition Modeling'!$C:$C,'IP Attrition'!BB$1),VLOOKUP($F55+BB$2,$A$6:$C$106,2,FALSE)*VLOOKUP(BB$1,'Attrition Modeling'!$L$15:$N$27,IF(BB$2+$F55&lt;=24,2,3),FALSE)),$C$3)*(1+Projection!BD$16)*(1+IF(BB187&gt;0,'Attrition Modeling'!$N$9,0)))</f>
        <v>0</v>
      </c>
      <c r="BC55" s="799">
        <f>(BB55+BC187)*(1-IFERROR(IF(BC$2+$F55&lt;=12,SUMIFS('Attrition Modeling'!$D:$D,'Attrition Modeling'!$B:$B,'IP Attrition'!$D55,'Attrition Modeling'!$C:$C,'IP Attrition'!BC$1),VLOOKUP($F55+BC$2,$A$6:$C$106,2,FALSE)*VLOOKUP(BC$1,'Attrition Modeling'!$L$15:$N$27,IF(BC$2+$F55&lt;=24,2,3),FALSE)),$C$3)*(1+Projection!BE$16)*(1+IF(BC187&gt;0,'Attrition Modeling'!$N$9,0)))</f>
        <v>0</v>
      </c>
      <c r="BD55" s="799">
        <f>(BC55+BD187)*(1-IFERROR(IF(BD$2+$F55&lt;=12,SUMIFS('Attrition Modeling'!$D:$D,'Attrition Modeling'!$B:$B,'IP Attrition'!$D55,'Attrition Modeling'!$C:$C,'IP Attrition'!BD$1),VLOOKUP($F55+BD$2,$A$6:$C$106,2,FALSE)*VLOOKUP(BD$1,'Attrition Modeling'!$L$15:$N$27,IF(BD$2+$F55&lt;=24,2,3),FALSE)),$C$3)*(1+Projection!BF$16)*(1+IF(BD187&gt;0,'Attrition Modeling'!$N$9,0)))</f>
        <v>0</v>
      </c>
      <c r="BE55" s="799">
        <f>(BD55+BE187)*(1-IFERROR(IF(BE$2+$F55&lt;=12,SUMIFS('Attrition Modeling'!$D:$D,'Attrition Modeling'!$B:$B,'IP Attrition'!$D55,'Attrition Modeling'!$C:$C,'IP Attrition'!BE$1),VLOOKUP($F55+BE$2,$A$6:$C$106,2,FALSE)*VLOOKUP(BE$1,'Attrition Modeling'!$L$15:$N$27,IF(BE$2+$F55&lt;=24,2,3),FALSE)),$C$3)*(1+Projection!BG$16)*(1+IF(BE187&gt;0,'Attrition Modeling'!$N$9,0)))</f>
        <v>0</v>
      </c>
      <c r="BF55" s="799">
        <f>(BE55+BF187)*(1-IFERROR(IF(BF$2+$F55&lt;=12,SUMIFS('Attrition Modeling'!$D:$D,'Attrition Modeling'!$B:$B,'IP Attrition'!$D55,'Attrition Modeling'!$C:$C,'IP Attrition'!BF$1),VLOOKUP($F55+BF$2,$A$6:$C$106,2,FALSE)*VLOOKUP(BF$1,'Attrition Modeling'!$L$15:$N$27,IF(BF$2+$F55&lt;=24,2,3),FALSE)),$C$3)*(1+Projection!BH$16)*(1+IF(BF187&gt;0,'Attrition Modeling'!$N$9,0)))</f>
        <v>0</v>
      </c>
      <c r="BG55" s="799">
        <f>(BF55+BG187)*(1-IFERROR(IF(BG$2+$F55&lt;=12,SUMIFS('Attrition Modeling'!$D:$D,'Attrition Modeling'!$B:$B,'IP Attrition'!$D55,'Attrition Modeling'!$C:$C,'IP Attrition'!BG$1),VLOOKUP($F55+BG$2,$A$6:$C$106,2,FALSE)*VLOOKUP(BG$1,'Attrition Modeling'!$L$15:$N$27,IF(BG$2+$F55&lt;=24,2,3),FALSE)),$C$3)*(1+Projection!BI$16)*(1+IF(BG187&gt;0,'Attrition Modeling'!$N$9,0)))</f>
        <v>0</v>
      </c>
      <c r="BH55" s="799">
        <f>(BG55+BH187)*(1-IFERROR(IF(BH$2+$F55&lt;=12,SUMIFS('Attrition Modeling'!$D:$D,'Attrition Modeling'!$B:$B,'IP Attrition'!$D55,'Attrition Modeling'!$C:$C,'IP Attrition'!BH$1),VLOOKUP($F55+BH$2,$A$6:$C$106,2,FALSE)*VLOOKUP(BH$1,'Attrition Modeling'!$L$15:$N$27,IF(BH$2+$F55&lt;=24,2,3),FALSE)),$C$3)*(1+Projection!BJ$16)*(1+IF(BH187&gt;0,'Attrition Modeling'!$N$9,0)))</f>
        <v>0</v>
      </c>
      <c r="BI55" s="799">
        <f>(BH55+BI187)*(1-IFERROR(IF(BI$2+$F55&lt;=12,SUMIFS('Attrition Modeling'!$D:$D,'Attrition Modeling'!$B:$B,'IP Attrition'!$D55,'Attrition Modeling'!$C:$C,'IP Attrition'!BI$1),VLOOKUP($F55+BI$2,$A$6:$C$106,2,FALSE)*VLOOKUP(BI$1,'Attrition Modeling'!$L$15:$N$27,IF(BI$2+$F55&lt;=24,2,3),FALSE)),$C$3)*(1+Projection!BK$16)*(1+IF(BI187&gt;0,'Attrition Modeling'!$N$9,0)))</f>
        <v>0</v>
      </c>
      <c r="BJ55" s="799">
        <f>(BI55+BJ187)*(1-IFERROR(IF(BJ$2+$F55&lt;=12,SUMIFS('Attrition Modeling'!$D:$D,'Attrition Modeling'!$B:$B,'IP Attrition'!$D55,'Attrition Modeling'!$C:$C,'IP Attrition'!BJ$1),VLOOKUP($F55+BJ$2,$A$6:$C$106,2,FALSE)*VLOOKUP(BJ$1,'Attrition Modeling'!$L$15:$N$27,IF(BJ$2+$F55&lt;=24,2,3),FALSE)),$C$3)*(1+Projection!BL$16)*(1+IF(BJ187&gt;0,'Attrition Modeling'!$N$9,0)))</f>
        <v>0</v>
      </c>
      <c r="BK55" s="799">
        <f>(BJ55+BK187)*(1-IFERROR(IF(BK$2+$F55&lt;=12,SUMIFS('Attrition Modeling'!$D:$D,'Attrition Modeling'!$B:$B,'IP Attrition'!$D55,'Attrition Modeling'!$C:$C,'IP Attrition'!BK$1),VLOOKUP($F55+BK$2,$A$6:$C$106,2,FALSE)*VLOOKUP(BK$1,'Attrition Modeling'!$L$15:$N$27,IF(BK$2+$F55&lt;=24,2,3),FALSE)),$C$3)*(1+Projection!BM$16)*(1+IF(BK187&gt;0,'Attrition Modeling'!$N$9,0)))</f>
        <v>0</v>
      </c>
      <c r="BL55" s="799">
        <f>(BK55+BL187)*(1-IFERROR(IF(BL$2+$F55&lt;=12,SUMIFS('Attrition Modeling'!$D:$D,'Attrition Modeling'!$B:$B,'IP Attrition'!$D55,'Attrition Modeling'!$C:$C,'IP Attrition'!BL$1),VLOOKUP($F55+BL$2,$A$6:$C$106,2,FALSE)*VLOOKUP(BL$1,'Attrition Modeling'!$L$15:$N$27,IF(BL$2+$F55&lt;=24,2,3),FALSE)),$C$3)*(1+Projection!BN$16)*(1+IF(BL187&gt;0,'Attrition Modeling'!$N$9,0)))</f>
        <v>0</v>
      </c>
      <c r="BM55" s="799">
        <f>(BL55+BM187)*(1-IFERROR(IF(BM$2+$F55&lt;=12,SUMIFS('Attrition Modeling'!$D:$D,'Attrition Modeling'!$B:$B,'IP Attrition'!$D55,'Attrition Modeling'!$C:$C,'IP Attrition'!BM$1),VLOOKUP($F55+BM$2,$A$6:$C$106,2,FALSE)*VLOOKUP(BM$1,'Attrition Modeling'!$L$15:$N$27,IF(BM$2+$F55&lt;=24,2,3),FALSE)),$C$3)*(1+Projection!BO$16)*(1+IF(BM187&gt;0,'Attrition Modeling'!$N$9,0)))</f>
        <v>0</v>
      </c>
      <c r="BN55" s="799">
        <f>(BM55+BN187)*(1-IFERROR(IF(BN$2+$F55&lt;=12,SUMIFS('Attrition Modeling'!$D:$D,'Attrition Modeling'!$B:$B,'IP Attrition'!$D55,'Attrition Modeling'!$C:$C,'IP Attrition'!BN$1),VLOOKUP($F55+BN$2,$A$6:$C$106,2,FALSE)*VLOOKUP(BN$1,'Attrition Modeling'!$L$15:$N$27,IF(BN$2+$F55&lt;=24,2,3),FALSE)),$C$3)*(1+Projection!BP$16)*(1+IF(BN187&gt;0,'Attrition Modeling'!$N$9,0)))</f>
        <v>0</v>
      </c>
      <c r="BO55" s="799">
        <f>(BN55+BO187)*(1-IFERROR(IF(BO$2+$F55&lt;=12,SUMIFS('Attrition Modeling'!$D:$D,'Attrition Modeling'!$B:$B,'IP Attrition'!$D55,'Attrition Modeling'!$C:$C,'IP Attrition'!BO$1),VLOOKUP($F55+BO$2,$A$6:$C$106,2,FALSE)*VLOOKUP(BO$1,'Attrition Modeling'!$L$15:$N$27,IF(BO$2+$F55&lt;=24,2,3),FALSE)),$C$3)*(1+Projection!BV$16)*(1+IF(BO187&gt;0,'Attrition Modeling'!$N$9,0)))</f>
        <v>0</v>
      </c>
      <c r="BP55" s="799">
        <f>(BO55+BP187)*(1-IFERROR(IF(BP$2+$F55&lt;=12,SUMIFS('Attrition Modeling'!$D:$D,'Attrition Modeling'!$B:$B,'IP Attrition'!$D55,'Attrition Modeling'!$C:$C,'IP Attrition'!BP$1),VLOOKUP($F55+BP$2,$A$6:$C$106,2,FALSE)*VLOOKUP(BP$1,'Attrition Modeling'!$L$15:$N$27,IF(BP$2+$F55&lt;=24,2,3),FALSE)),$C$3)*(1+Projection!BW$16)*(1+IF(BP187&gt;0,'Attrition Modeling'!$N$9,0)))</f>
        <v>0</v>
      </c>
      <c r="BQ55" s="799">
        <f>(BP55+BQ187)*(1-IFERROR(IF(BQ$2+$F55&lt;=12,SUMIFS('Attrition Modeling'!$D:$D,'Attrition Modeling'!$B:$B,'IP Attrition'!$D55,'Attrition Modeling'!$C:$C,'IP Attrition'!BQ$1),VLOOKUP($F55+BQ$2,$A$6:$C$106,2,FALSE)*VLOOKUP(BQ$1,'Attrition Modeling'!$L$15:$N$27,IF(BQ$2+$F55&lt;=24,2,3),FALSE)),$C$3)*(1+Projection!BX$16)*(1+IF(BQ187&gt;0,'Attrition Modeling'!$N$9,0)))</f>
        <v>0</v>
      </c>
      <c r="BR55" s="799">
        <f>(BQ55+BR187)*(1-IFERROR(IF(BR$2+$F55&lt;=12,SUMIFS('Attrition Modeling'!$D:$D,'Attrition Modeling'!$B:$B,'IP Attrition'!$D55,'Attrition Modeling'!$C:$C,'IP Attrition'!BR$1),VLOOKUP($F55+BR$2,$A$6:$C$106,2,FALSE)*VLOOKUP(BR$1,'Attrition Modeling'!$L$15:$N$27,IF(BR$2+$F55&lt;=24,2,3),FALSE)),$C$3)*(1+Projection!BY$16)*(1+IF(BR187&gt;0,'Attrition Modeling'!$N$9,0)))</f>
        <v>0</v>
      </c>
      <c r="BS55" s="799">
        <f>(BR55+BS187)*(1-IFERROR(IF(BS$2+$F55&lt;=12,SUMIFS('Attrition Modeling'!$D:$D,'Attrition Modeling'!$B:$B,'IP Attrition'!$D55,'Attrition Modeling'!$C:$C,'IP Attrition'!BS$1),VLOOKUP($F55+BS$2,$A$6:$C$106,2,FALSE)*VLOOKUP(BS$1,'Attrition Modeling'!$L$15:$N$27,IF(BS$2+$F55&lt;=24,2,3),FALSE)),$C$3)*(1+Projection!BZ$16)*(1+IF(BS187&gt;0,'Attrition Modeling'!$N$9,0)))</f>
        <v>0</v>
      </c>
      <c r="BT55" s="799" t="e">
        <f>(BS55+BT187)*(1-IFERROR(IF(BT$2+$F55&lt;=12,SUMIFS('Attrition Modeling'!$D:$D,'Attrition Modeling'!$B:$B,'IP Attrition'!$D55,'Attrition Modeling'!$C:$C,'IP Attrition'!BT$1),VLOOKUP($F55+BT$2,$A$6:$C$106,2,FALSE)*VLOOKUP(BT$1,'Attrition Modeling'!$L$15:$N$27,IF(BT$2+$F55&lt;=24,2,3),FALSE)),$C$3)*(1+Projection!CA$16)*(1+IF(BT187&gt;0,'Attrition Modeling'!$N$9,0)))</f>
        <v>#REF!</v>
      </c>
      <c r="BU55" s="799" t="e">
        <f>(BT55+BU187)*(1-IFERROR(IF(BU$2+$F55&lt;=12,SUMIFS('Attrition Modeling'!$D:$D,'Attrition Modeling'!$B:$B,'IP Attrition'!$D55,'Attrition Modeling'!$C:$C,'IP Attrition'!BU$1),VLOOKUP($F55+BU$2,$A$6:$C$106,2,FALSE)*VLOOKUP(BU$1,'Attrition Modeling'!$L$15:$N$27,IF(BU$2+$F55&lt;=24,2,3),FALSE)),$C$3)*(1+Projection!CB$16)*(1+IF(BU187&gt;0,'Attrition Modeling'!$N$9,0)))</f>
        <v>#REF!</v>
      </c>
    </row>
    <row r="56" spans="1:73" ht="14.25" customHeight="1" x14ac:dyDescent="0.2">
      <c r="A56" s="9">
        <v>49</v>
      </c>
      <c r="B56" s="25">
        <f>MAX('Attrition Modeling'!H53,$C$3)*(1-Summary!$C$20)</f>
        <v>2.5302590083221485E-2</v>
      </c>
      <c r="C56" s="24" t="e">
        <f t="shared" si="3"/>
        <v>#DIV/0!</v>
      </c>
      <c r="D56" s="11">
        <f t="shared" si="1"/>
        <v>-53</v>
      </c>
      <c r="E56" s="807">
        <f t="array" ref="E56">INDEX('Attrition Modeling'!$X$2:$AF$63,MATCH($F56,'Attrition Modeling'!$X$2:$X$63,0),MATCH(Inputs!$C$10,'Attrition Modeling'!$X$2:$AF$2,0))</f>
        <v>0</v>
      </c>
      <c r="F56" s="11">
        <f t="shared" si="2"/>
        <v>53</v>
      </c>
      <c r="G56" s="799">
        <f>Summary!$C$25*$E56</f>
        <v>0</v>
      </c>
      <c r="H56" s="799">
        <f>(G56+H188)*(1-IFERROR(IF(H$2+$F56&lt;=12,SUMIFS('Attrition Modeling'!$D:$D,'Attrition Modeling'!$B:$B,'IP Attrition'!$D56,'Attrition Modeling'!$C:$C,'IP Attrition'!H$1),VLOOKUP($F56+H$2,$A$6:$C$106,2,FALSE)*VLOOKUP(H$1,'Attrition Modeling'!$L$15:$N$27,IF(H$2+$F56&lt;=24,2,3),FALSE)),$C$3)*(1+Projection!J$16)*(1+IF(H188&gt;0,'Attrition Modeling'!$N$9,0)))</f>
        <v>0</v>
      </c>
      <c r="I56" s="799">
        <f>(H56+I188)*(1-IFERROR(IF(I$2+$F56&lt;=12,SUMIFS('Attrition Modeling'!$D:$D,'Attrition Modeling'!$B:$B,'IP Attrition'!$D56,'Attrition Modeling'!$C:$C,'IP Attrition'!I$1),VLOOKUP($F56+I$2,$A$6:$C$106,2,FALSE)*VLOOKUP(I$1,'Attrition Modeling'!$L$15:$N$27,IF(I$2+$F56&lt;=24,2,3),FALSE)),$C$3)*(1+Projection!K$16)*(1+IF(I188&gt;0,'Attrition Modeling'!$N$9,0)))</f>
        <v>0</v>
      </c>
      <c r="J56" s="799">
        <f>(I56+J188)*(1-IFERROR(IF(J$2+$F56&lt;=12,SUMIFS('Attrition Modeling'!$D:$D,'Attrition Modeling'!$B:$B,'IP Attrition'!$D56,'Attrition Modeling'!$C:$C,'IP Attrition'!J$1),VLOOKUP($F56+J$2,$A$6:$C$106,2,FALSE)*VLOOKUP(J$1,'Attrition Modeling'!$L$15:$N$27,IF(J$2+$F56&lt;=24,2,3),FALSE)),$C$3)*(1+Projection!L$16)*(1+IF(J188&gt;0,'Attrition Modeling'!$N$9,0)))</f>
        <v>0</v>
      </c>
      <c r="K56" s="799">
        <f>(J56+K188)*(1-IFERROR(IF(K$2+$F56&lt;=12,SUMIFS('Attrition Modeling'!$D:$D,'Attrition Modeling'!$B:$B,'IP Attrition'!$D56,'Attrition Modeling'!$C:$C,'IP Attrition'!K$1),VLOOKUP($F56+K$2,$A$6:$C$106,2,FALSE)*VLOOKUP(K$1,'Attrition Modeling'!$L$15:$N$27,IF(K$2+$F56&lt;=24,2,3),FALSE)),$C$3)*(1+Projection!M$16)*(1+IF(K188&gt;0,'Attrition Modeling'!$N$9,0)))</f>
        <v>0</v>
      </c>
      <c r="L56" s="799">
        <f>(K56+L188)*(1-IFERROR(IF(L$2+$F56&lt;=12,SUMIFS('Attrition Modeling'!$D:$D,'Attrition Modeling'!$B:$B,'IP Attrition'!$D56,'Attrition Modeling'!$C:$C,'IP Attrition'!L$1),VLOOKUP($F56+L$2,$A$6:$C$106,2,FALSE)*VLOOKUP(L$1,'Attrition Modeling'!$L$15:$N$27,IF(L$2+$F56&lt;=24,2,3),FALSE)),$C$3)*(1+Projection!N$16)*(1+IF(L188&gt;0,'Attrition Modeling'!$N$9,0)))</f>
        <v>0</v>
      </c>
      <c r="M56" s="799">
        <f>(L56+M188)*(1-IFERROR(IF(M$2+$F56&lt;=12,SUMIFS('Attrition Modeling'!$D:$D,'Attrition Modeling'!$B:$B,'IP Attrition'!$D56,'Attrition Modeling'!$C:$C,'IP Attrition'!M$1),VLOOKUP($F56+M$2,$A$6:$C$106,2,FALSE)*VLOOKUP(M$1,'Attrition Modeling'!$L$15:$N$27,IF(M$2+$F56&lt;=24,2,3),FALSE)),$C$3)*(1+Projection!O$16)*(1+IF(M188&gt;0,'Attrition Modeling'!$N$9,0)))</f>
        <v>0</v>
      </c>
      <c r="N56" s="799">
        <f>(M56+N188)*(1-IFERROR(IF(N$2+$F56&lt;=12,SUMIFS('Attrition Modeling'!$D:$D,'Attrition Modeling'!$B:$B,'IP Attrition'!$D56,'Attrition Modeling'!$C:$C,'IP Attrition'!N$1),VLOOKUP($F56+N$2,$A$6:$C$106,2,FALSE)*VLOOKUP(N$1,'Attrition Modeling'!$L$15:$N$27,IF(N$2+$F56&lt;=24,2,3),FALSE)),$C$3)*(1+Projection!P$16)*(1+IF(N188&gt;0,'Attrition Modeling'!$N$9,0)))</f>
        <v>0</v>
      </c>
      <c r="O56" s="799">
        <f>(N56+O188)*(1-IFERROR(IF(O$2+$F56&lt;=12,SUMIFS('Attrition Modeling'!$D:$D,'Attrition Modeling'!$B:$B,'IP Attrition'!$D56,'Attrition Modeling'!$C:$C,'IP Attrition'!O$1),VLOOKUP($F56+O$2,$A$6:$C$106,2,FALSE)*VLOOKUP(O$1,'Attrition Modeling'!$L$15:$N$27,IF(O$2+$F56&lt;=24,2,3),FALSE)),$C$3)*(1+Projection!Q$16)*(1+IF(O188&gt;0,'Attrition Modeling'!$N$9,0)))</f>
        <v>0</v>
      </c>
      <c r="P56" s="799">
        <f>(O56+P188)*(1-IFERROR(IF(P$2+$F56&lt;=12,SUMIFS('Attrition Modeling'!$D:$D,'Attrition Modeling'!$B:$B,'IP Attrition'!$D56,'Attrition Modeling'!$C:$C,'IP Attrition'!P$1),VLOOKUP($F56+P$2,$A$6:$C$106,2,FALSE)*VLOOKUP(P$1,'Attrition Modeling'!$L$15:$N$27,IF(P$2+$F56&lt;=24,2,3),FALSE)),$C$3)*(1+Projection!R$16)*(1+IF(P188&gt;0,'Attrition Modeling'!$N$9,0)))</f>
        <v>0</v>
      </c>
      <c r="Q56" s="799">
        <f>(P56+Q188)*(1-IFERROR(IF(Q$2+$F56&lt;=12,SUMIFS('Attrition Modeling'!$D:$D,'Attrition Modeling'!$B:$B,'IP Attrition'!$D56,'Attrition Modeling'!$C:$C,'IP Attrition'!Q$1),VLOOKUP($F56+Q$2,$A$6:$C$106,2,FALSE)*VLOOKUP(Q$1,'Attrition Modeling'!$L$15:$N$27,IF(Q$2+$F56&lt;=24,2,3),FALSE)),$C$3)*(1+Projection!S$16)*(1+IF(Q188&gt;0,'Attrition Modeling'!$N$9,0)))</f>
        <v>0</v>
      </c>
      <c r="R56" s="799">
        <f>(Q56+R188)*(1-IFERROR(IF(R$2+$F56&lt;=12,SUMIFS('Attrition Modeling'!$D:$D,'Attrition Modeling'!$B:$B,'IP Attrition'!$D56,'Attrition Modeling'!$C:$C,'IP Attrition'!R$1),VLOOKUP($F56+R$2,$A$6:$C$106,2,FALSE)*VLOOKUP(R$1,'Attrition Modeling'!$L$15:$N$27,IF(R$2+$F56&lt;=24,2,3),FALSE)),$C$3)*(1+Projection!T$16)*(1+IF(R188&gt;0,'Attrition Modeling'!$N$9,0)))</f>
        <v>0</v>
      </c>
      <c r="S56" s="799">
        <f>(R56+S188)*(1-IFERROR(IF(S$2+$F56&lt;=12,SUMIFS('Attrition Modeling'!$D:$D,'Attrition Modeling'!$B:$B,'IP Attrition'!$D56,'Attrition Modeling'!$C:$C,'IP Attrition'!S$1),VLOOKUP($F56+S$2,$A$6:$C$106,2,FALSE)*VLOOKUP(S$1,'Attrition Modeling'!$L$15:$N$27,IF(S$2+$F56&lt;=24,2,3),FALSE)),$C$3)*(1+Projection!U$16)*(1+IF(S188&gt;0,'Attrition Modeling'!$N$9,0)))</f>
        <v>0</v>
      </c>
      <c r="T56" s="799">
        <f>(S56+T188)*(1-IFERROR(IF(T$2+$F56&lt;=12,SUMIFS('Attrition Modeling'!$D:$D,'Attrition Modeling'!$B:$B,'IP Attrition'!$D56,'Attrition Modeling'!$C:$C,'IP Attrition'!T$1),VLOOKUP($F56+T$2,$A$6:$C$106,2,FALSE)*VLOOKUP(T$1,'Attrition Modeling'!$L$15:$N$27,IF(T$2+$F56&lt;=24,2,3),FALSE)),$C$3)*(1+Projection!V$16)*(1+IF(T188&gt;0,'Attrition Modeling'!$N$9,0)))</f>
        <v>0</v>
      </c>
      <c r="U56" s="799">
        <f>(T56+U188)*(1-IFERROR(IF(U$2+$F56&lt;=12,SUMIFS('Attrition Modeling'!$D:$D,'Attrition Modeling'!$B:$B,'IP Attrition'!$D56,'Attrition Modeling'!$C:$C,'IP Attrition'!U$1),VLOOKUP($F56+U$2,$A$6:$C$106,2,FALSE)*VLOOKUP(U$1,'Attrition Modeling'!$L$15:$N$27,IF(U$2+$F56&lt;=24,2,3),FALSE)),$C$3)*(1+Projection!W$16)*(1+IF(U188&gt;0,'Attrition Modeling'!$N$9,0)))</f>
        <v>0</v>
      </c>
      <c r="V56" s="799">
        <f>(U56+V188)*(1-IFERROR(IF(V$2+$F56&lt;=12,SUMIFS('Attrition Modeling'!$D:$D,'Attrition Modeling'!$B:$B,'IP Attrition'!$D56,'Attrition Modeling'!$C:$C,'IP Attrition'!V$1),VLOOKUP($F56+V$2,$A$6:$C$106,2,FALSE)*VLOOKUP(V$1,'Attrition Modeling'!$L$15:$N$27,IF(V$2+$F56&lt;=24,2,3),FALSE)),$C$3)*(1+Projection!X$16)*(1+IF(V188&gt;0,'Attrition Modeling'!$N$9,0)))</f>
        <v>0</v>
      </c>
      <c r="W56" s="799">
        <f>(V56+W188)*(1-IFERROR(IF(W$2+$F56&lt;=12,SUMIFS('Attrition Modeling'!$D:$D,'Attrition Modeling'!$B:$B,'IP Attrition'!$D56,'Attrition Modeling'!$C:$C,'IP Attrition'!W$1),VLOOKUP($F56+W$2,$A$6:$C$106,2,FALSE)*VLOOKUP(W$1,'Attrition Modeling'!$L$15:$N$27,IF(W$2+$F56&lt;=24,2,3),FALSE)),$C$3)*(1+Projection!Y$16)*(1+IF(W188&gt;0,'Attrition Modeling'!$N$9,0)))</f>
        <v>0</v>
      </c>
      <c r="X56" s="799">
        <f>(W56+X188)*(1-IFERROR(IF(X$2+$F56&lt;=12,SUMIFS('Attrition Modeling'!$D:$D,'Attrition Modeling'!$B:$B,'IP Attrition'!$D56,'Attrition Modeling'!$C:$C,'IP Attrition'!X$1),VLOOKUP($F56+X$2,$A$6:$C$106,2,FALSE)*VLOOKUP(X$1,'Attrition Modeling'!$L$15:$N$27,IF(X$2+$F56&lt;=24,2,3),FALSE)),$C$3)*(1+Projection!Z$16)*(1+IF(X188&gt;0,'Attrition Modeling'!$N$9,0)))</f>
        <v>0</v>
      </c>
      <c r="Y56" s="799">
        <f>(X56+Y188)*(1-IFERROR(IF(Y$2+$F56&lt;=12,SUMIFS('Attrition Modeling'!$D:$D,'Attrition Modeling'!$B:$B,'IP Attrition'!$D56,'Attrition Modeling'!$C:$C,'IP Attrition'!Y$1),VLOOKUP($F56+Y$2,$A$6:$C$106,2,FALSE)*VLOOKUP(Y$1,'Attrition Modeling'!$L$15:$N$27,IF(Y$2+$F56&lt;=24,2,3),FALSE)),$C$3)*(1+Projection!AA$16)*(1+IF(Y188&gt;0,'Attrition Modeling'!$N$9,0)))</f>
        <v>0</v>
      </c>
      <c r="Z56" s="799">
        <f>(Y56+Z188)*(1-IFERROR(IF(Z$2+$F56&lt;=12,SUMIFS('Attrition Modeling'!$D:$D,'Attrition Modeling'!$B:$B,'IP Attrition'!$D56,'Attrition Modeling'!$C:$C,'IP Attrition'!Z$1),VLOOKUP($F56+Z$2,$A$6:$C$106,2,FALSE)*VLOOKUP(Z$1,'Attrition Modeling'!$L$15:$N$27,IF(Z$2+$F56&lt;=24,2,3),FALSE)),$C$3)*(1+Projection!AB$16)*(1+IF(Z188&gt;0,'Attrition Modeling'!$N$9,0)))</f>
        <v>0</v>
      </c>
      <c r="AA56" s="799">
        <f>(Z56+AA188)*(1-IFERROR(IF(AA$2+$F56&lt;=12,SUMIFS('Attrition Modeling'!$D:$D,'Attrition Modeling'!$B:$B,'IP Attrition'!$D56,'Attrition Modeling'!$C:$C,'IP Attrition'!AA$1),VLOOKUP($F56+AA$2,$A$6:$C$106,2,FALSE)*VLOOKUP(AA$1,'Attrition Modeling'!$L$15:$N$27,IF(AA$2+$F56&lt;=24,2,3),FALSE)),$C$3)*(1+Projection!AC$16)*(1+IF(AA188&gt;0,'Attrition Modeling'!$N$9,0)))</f>
        <v>0</v>
      </c>
      <c r="AB56" s="799">
        <f>(AA56+AB188)*(1-IFERROR(IF(AB$2+$F56&lt;=12,SUMIFS('Attrition Modeling'!$D:$D,'Attrition Modeling'!$B:$B,'IP Attrition'!$D56,'Attrition Modeling'!$C:$C,'IP Attrition'!AB$1),VLOOKUP($F56+AB$2,$A$6:$C$106,2,FALSE)*VLOOKUP(AB$1,'Attrition Modeling'!$L$15:$N$27,IF(AB$2+$F56&lt;=24,2,3),FALSE)),$C$3)*(1+Projection!AD$16)*(1+IF(AB188&gt;0,'Attrition Modeling'!$N$9,0)))</f>
        <v>0</v>
      </c>
      <c r="AC56" s="799">
        <f>(AB56+AC188)*(1-IFERROR(IF(AC$2+$F56&lt;=12,SUMIFS('Attrition Modeling'!$D:$D,'Attrition Modeling'!$B:$B,'IP Attrition'!$D56,'Attrition Modeling'!$C:$C,'IP Attrition'!AC$1),VLOOKUP($F56+AC$2,$A$6:$C$106,2,FALSE)*VLOOKUP(AC$1,'Attrition Modeling'!$L$15:$N$27,IF(AC$2+$F56&lt;=24,2,3),FALSE)),$C$3)*(1+Projection!AE$16)*(1+IF(AC188&gt;0,'Attrition Modeling'!$N$9,0)))</f>
        <v>0</v>
      </c>
      <c r="AD56" s="799">
        <f>(AC56+AD188)*(1-IFERROR(IF(AD$2+$F56&lt;=12,SUMIFS('Attrition Modeling'!$D:$D,'Attrition Modeling'!$B:$B,'IP Attrition'!$D56,'Attrition Modeling'!$C:$C,'IP Attrition'!AD$1),VLOOKUP($F56+AD$2,$A$6:$C$106,2,FALSE)*VLOOKUP(AD$1,'Attrition Modeling'!$L$15:$N$27,IF(AD$2+$F56&lt;=24,2,3),FALSE)),$C$3)*(1+Projection!AF$16)*(1+IF(AD188&gt;0,'Attrition Modeling'!$N$9,0)))</f>
        <v>0</v>
      </c>
      <c r="AE56" s="799">
        <f>(AD56+AE188)*(1-IFERROR(IF(AE$2+$F56&lt;=12,SUMIFS('Attrition Modeling'!$D:$D,'Attrition Modeling'!$B:$B,'IP Attrition'!$D56,'Attrition Modeling'!$C:$C,'IP Attrition'!AE$1),VLOOKUP($F56+AE$2,$A$6:$C$106,2,FALSE)*VLOOKUP(AE$1,'Attrition Modeling'!$L$15:$N$27,IF(AE$2+$F56&lt;=24,2,3),FALSE)),$C$3)*(1+Projection!AG$16)*(1+IF(AE188&gt;0,'Attrition Modeling'!$N$9,0)))</f>
        <v>0</v>
      </c>
      <c r="AF56" s="799">
        <f>(AE56+AF188)*(1-IFERROR(IF(AF$2+$F56&lt;=12,SUMIFS('Attrition Modeling'!$D:$D,'Attrition Modeling'!$B:$B,'IP Attrition'!$D56,'Attrition Modeling'!$C:$C,'IP Attrition'!AF$1),VLOOKUP($F56+AF$2,$A$6:$C$106,2,FALSE)*VLOOKUP(AF$1,'Attrition Modeling'!$L$15:$N$27,IF(AF$2+$F56&lt;=24,2,3),FALSE)),$C$3)*(1+Projection!AH$16)*(1+IF(AF188&gt;0,'Attrition Modeling'!$N$9,0)))</f>
        <v>0</v>
      </c>
      <c r="AG56" s="799">
        <f>(AF56+AG188)*(1-IFERROR(IF(AG$2+$F56&lt;=12,SUMIFS('Attrition Modeling'!$D:$D,'Attrition Modeling'!$B:$B,'IP Attrition'!$D56,'Attrition Modeling'!$C:$C,'IP Attrition'!AG$1),VLOOKUP($F56+AG$2,$A$6:$C$106,2,FALSE)*VLOOKUP(AG$1,'Attrition Modeling'!$L$15:$N$27,IF(AG$2+$F56&lt;=24,2,3),FALSE)),$C$3)*(1+Projection!AI$16)*(1+IF(AG188&gt;0,'Attrition Modeling'!$N$9,0)))</f>
        <v>0</v>
      </c>
      <c r="AH56" s="799">
        <f>(AG56+AH188)*(1-IFERROR(IF(AH$2+$F56&lt;=12,SUMIFS('Attrition Modeling'!$D:$D,'Attrition Modeling'!$B:$B,'IP Attrition'!$D56,'Attrition Modeling'!$C:$C,'IP Attrition'!AH$1),VLOOKUP($F56+AH$2,$A$6:$C$106,2,FALSE)*VLOOKUP(AH$1,'Attrition Modeling'!$L$15:$N$27,IF(AH$2+$F56&lt;=24,2,3),FALSE)),$C$3)*(1+Projection!AJ$16)*(1+IF(AH188&gt;0,'Attrition Modeling'!$N$9,0)))</f>
        <v>0</v>
      </c>
      <c r="AI56" s="799">
        <f>(AH56+AI188)*(1-IFERROR(IF(AI$2+$F56&lt;=12,SUMIFS('Attrition Modeling'!$D:$D,'Attrition Modeling'!$B:$B,'IP Attrition'!$D56,'Attrition Modeling'!$C:$C,'IP Attrition'!AI$1),VLOOKUP($F56+AI$2,$A$6:$C$106,2,FALSE)*VLOOKUP(AI$1,'Attrition Modeling'!$L$15:$N$27,IF(AI$2+$F56&lt;=24,2,3),FALSE)),$C$3)*(1+Projection!AK$16)*(1+IF(AI188&gt;0,'Attrition Modeling'!$N$9,0)))</f>
        <v>0</v>
      </c>
      <c r="AJ56" s="799">
        <f>(AI56+AJ188)*(1-IFERROR(IF(AJ$2+$F56&lt;=12,SUMIFS('Attrition Modeling'!$D:$D,'Attrition Modeling'!$B:$B,'IP Attrition'!$D56,'Attrition Modeling'!$C:$C,'IP Attrition'!AJ$1),VLOOKUP($F56+AJ$2,$A$6:$C$106,2,FALSE)*VLOOKUP(AJ$1,'Attrition Modeling'!$L$15:$N$27,IF(AJ$2+$F56&lt;=24,2,3),FALSE)),$C$3)*(1+Projection!AL$16)*(1+IF(AJ188&gt;0,'Attrition Modeling'!$N$9,0)))</f>
        <v>0</v>
      </c>
      <c r="AK56" s="799">
        <f>(AJ56+AK188)*(1-IFERROR(IF(AK$2+$F56&lt;=12,SUMIFS('Attrition Modeling'!$D:$D,'Attrition Modeling'!$B:$B,'IP Attrition'!$D56,'Attrition Modeling'!$C:$C,'IP Attrition'!AK$1),VLOOKUP($F56+AK$2,$A$6:$C$106,2,FALSE)*VLOOKUP(AK$1,'Attrition Modeling'!$L$15:$N$27,IF(AK$2+$F56&lt;=24,2,3),FALSE)),$C$3)*(1+Projection!AM$16)*(1+IF(AK188&gt;0,'Attrition Modeling'!$N$9,0)))</f>
        <v>0</v>
      </c>
      <c r="AL56" s="799">
        <f>(AK56+AL188)*(1-IFERROR(IF(AL$2+$F56&lt;=12,SUMIFS('Attrition Modeling'!$D:$D,'Attrition Modeling'!$B:$B,'IP Attrition'!$D56,'Attrition Modeling'!$C:$C,'IP Attrition'!AL$1),VLOOKUP($F56+AL$2,$A$6:$C$106,2,FALSE)*VLOOKUP(AL$1,'Attrition Modeling'!$L$15:$N$27,IF(AL$2+$F56&lt;=24,2,3),FALSE)),$C$3)*(1+Projection!AN$16)*(1+IF(AL188&gt;0,'Attrition Modeling'!$N$9,0)))</f>
        <v>0</v>
      </c>
      <c r="AM56" s="799">
        <f>(AL56+AM188)*(1-IFERROR(IF(AM$2+$F56&lt;=12,SUMIFS('Attrition Modeling'!$D:$D,'Attrition Modeling'!$B:$B,'IP Attrition'!$D56,'Attrition Modeling'!$C:$C,'IP Attrition'!AM$1),VLOOKUP($F56+AM$2,$A$6:$C$106,2,FALSE)*VLOOKUP(AM$1,'Attrition Modeling'!$L$15:$N$27,IF(AM$2+$F56&lt;=24,2,3),FALSE)),$C$3)*(1+Projection!AO$16)*(1+IF(AM188&gt;0,'Attrition Modeling'!$N$9,0)))</f>
        <v>0</v>
      </c>
      <c r="AN56" s="799">
        <f>(AM56+AN188)*(1-IFERROR(IF(AN$2+$F56&lt;=12,SUMIFS('Attrition Modeling'!$D:$D,'Attrition Modeling'!$B:$B,'IP Attrition'!$D56,'Attrition Modeling'!$C:$C,'IP Attrition'!AN$1),VLOOKUP($F56+AN$2,$A$6:$C$106,2,FALSE)*VLOOKUP(AN$1,'Attrition Modeling'!$L$15:$N$27,IF(AN$2+$F56&lt;=24,2,3),FALSE)),$C$3)*(1+Projection!AP$16)*(1+IF(AN188&gt;0,'Attrition Modeling'!$N$9,0)))</f>
        <v>0</v>
      </c>
      <c r="AO56" s="799">
        <f>(AN56+AO188)*(1-IFERROR(IF(AO$2+$F56&lt;=12,SUMIFS('Attrition Modeling'!$D:$D,'Attrition Modeling'!$B:$B,'IP Attrition'!$D56,'Attrition Modeling'!$C:$C,'IP Attrition'!AO$1),VLOOKUP($F56+AO$2,$A$6:$C$106,2,FALSE)*VLOOKUP(AO$1,'Attrition Modeling'!$L$15:$N$27,IF(AO$2+$F56&lt;=24,2,3),FALSE)),$C$3)*(1+Projection!AQ$16)*(1+IF(AO188&gt;0,'Attrition Modeling'!$N$9,0)))</f>
        <v>0</v>
      </c>
      <c r="AP56" s="799">
        <f>(AO56+AP188)*(1-IFERROR(IF(AP$2+$F56&lt;=12,SUMIFS('Attrition Modeling'!$D:$D,'Attrition Modeling'!$B:$B,'IP Attrition'!$D56,'Attrition Modeling'!$C:$C,'IP Attrition'!AP$1),VLOOKUP($F56+AP$2,$A$6:$C$106,2,FALSE)*VLOOKUP(AP$1,'Attrition Modeling'!$L$15:$N$27,IF(AP$2+$F56&lt;=24,2,3),FALSE)),$C$3)*(1+Projection!AR$16)*(1+IF(AP188&gt;0,'Attrition Modeling'!$N$9,0)))</f>
        <v>0</v>
      </c>
      <c r="AQ56" s="799">
        <f>(AP56+AQ188)*(1-IFERROR(IF(AQ$2+$F56&lt;=12,SUMIFS('Attrition Modeling'!$D:$D,'Attrition Modeling'!$B:$B,'IP Attrition'!$D56,'Attrition Modeling'!$C:$C,'IP Attrition'!AQ$1),VLOOKUP($F56+AQ$2,$A$6:$C$106,2,FALSE)*VLOOKUP(AQ$1,'Attrition Modeling'!$L$15:$N$27,IF(AQ$2+$F56&lt;=24,2,3),FALSE)),$C$3)*(1+Projection!AS$16)*(1+IF(AQ188&gt;0,'Attrition Modeling'!$N$9,0)))</f>
        <v>0</v>
      </c>
      <c r="AR56" s="799">
        <f>(AQ56+AR188)*(1-IFERROR(IF(AR$2+$F56&lt;=12,SUMIFS('Attrition Modeling'!$D:$D,'Attrition Modeling'!$B:$B,'IP Attrition'!$D56,'Attrition Modeling'!$C:$C,'IP Attrition'!AR$1),VLOOKUP($F56+AR$2,$A$6:$C$106,2,FALSE)*VLOOKUP(AR$1,'Attrition Modeling'!$L$15:$N$27,IF(AR$2+$F56&lt;=24,2,3),FALSE)),$C$3)*(1+Projection!AT$16)*(1+IF(AR188&gt;0,'Attrition Modeling'!$N$9,0)))</f>
        <v>0</v>
      </c>
      <c r="AS56" s="799">
        <f>(AR56+AS188)*(1-IFERROR(IF(AS$2+$F56&lt;=12,SUMIFS('Attrition Modeling'!$D:$D,'Attrition Modeling'!$B:$B,'IP Attrition'!$D56,'Attrition Modeling'!$C:$C,'IP Attrition'!AS$1),VLOOKUP($F56+AS$2,$A$6:$C$106,2,FALSE)*VLOOKUP(AS$1,'Attrition Modeling'!$L$15:$N$27,IF(AS$2+$F56&lt;=24,2,3),FALSE)),$C$3)*(1+Projection!AU$16)*(1+IF(AS188&gt;0,'Attrition Modeling'!$N$9,0)))</f>
        <v>0</v>
      </c>
      <c r="AT56" s="799">
        <f>(AS56+AT188)*(1-IFERROR(IF(AT$2+$F56&lt;=12,SUMIFS('Attrition Modeling'!$D:$D,'Attrition Modeling'!$B:$B,'IP Attrition'!$D56,'Attrition Modeling'!$C:$C,'IP Attrition'!AT$1),VLOOKUP($F56+AT$2,$A$6:$C$106,2,FALSE)*VLOOKUP(AT$1,'Attrition Modeling'!$L$15:$N$27,IF(AT$2+$F56&lt;=24,2,3),FALSE)),$C$3)*(1+Projection!AV$16)*(1+IF(AT188&gt;0,'Attrition Modeling'!$N$9,0)))</f>
        <v>0</v>
      </c>
      <c r="AU56" s="799">
        <f>(AT56+AU188)*(1-IFERROR(IF(AU$2+$F56&lt;=12,SUMIFS('Attrition Modeling'!$D:$D,'Attrition Modeling'!$B:$B,'IP Attrition'!$D56,'Attrition Modeling'!$C:$C,'IP Attrition'!AU$1),VLOOKUP($F56+AU$2,$A$6:$C$106,2,FALSE)*VLOOKUP(AU$1,'Attrition Modeling'!$L$15:$N$27,IF(AU$2+$F56&lt;=24,2,3),FALSE)),$C$3)*(1+Projection!AW$16)*(1+IF(AU188&gt;0,'Attrition Modeling'!$N$9,0)))</f>
        <v>0</v>
      </c>
      <c r="AV56" s="799">
        <f>(AU56+AV188)*(1-IFERROR(IF(AV$2+$F56&lt;=12,SUMIFS('Attrition Modeling'!$D:$D,'Attrition Modeling'!$B:$B,'IP Attrition'!$D56,'Attrition Modeling'!$C:$C,'IP Attrition'!AV$1),VLOOKUP($F56+AV$2,$A$6:$C$106,2,FALSE)*VLOOKUP(AV$1,'Attrition Modeling'!$L$15:$N$27,IF(AV$2+$F56&lt;=24,2,3),FALSE)),$C$3)*(1+Projection!AX$16)*(1+IF(AV188&gt;0,'Attrition Modeling'!$N$9,0)))</f>
        <v>0</v>
      </c>
      <c r="AW56" s="799">
        <f>(AV56+AW188)*(1-IFERROR(IF(AW$2+$F56&lt;=12,SUMIFS('Attrition Modeling'!$D:$D,'Attrition Modeling'!$B:$B,'IP Attrition'!$D56,'Attrition Modeling'!$C:$C,'IP Attrition'!AW$1),VLOOKUP($F56+AW$2,$A$6:$C$106,2,FALSE)*VLOOKUP(AW$1,'Attrition Modeling'!$L$15:$N$27,IF(AW$2+$F56&lt;=24,2,3),FALSE)),$C$3)*(1+Projection!AY$16)*(1+IF(AW188&gt;0,'Attrition Modeling'!$N$9,0)))</f>
        <v>0</v>
      </c>
      <c r="AX56" s="799">
        <f>(AW56+AX188)*(1-IFERROR(IF(AX$2+$F56&lt;=12,SUMIFS('Attrition Modeling'!$D:$D,'Attrition Modeling'!$B:$B,'IP Attrition'!$D56,'Attrition Modeling'!$C:$C,'IP Attrition'!AX$1),VLOOKUP($F56+AX$2,$A$6:$C$106,2,FALSE)*VLOOKUP(AX$1,'Attrition Modeling'!$L$15:$N$27,IF(AX$2+$F56&lt;=24,2,3),FALSE)),$C$3)*(1+Projection!AZ$16)*(1+IF(AX188&gt;0,'Attrition Modeling'!$N$9,0)))</f>
        <v>0</v>
      </c>
      <c r="AY56" s="799">
        <f>(AX56+AY188)*(1-IFERROR(IF(AY$2+$F56&lt;=12,SUMIFS('Attrition Modeling'!$D:$D,'Attrition Modeling'!$B:$B,'IP Attrition'!$D56,'Attrition Modeling'!$C:$C,'IP Attrition'!AY$1),VLOOKUP($F56+AY$2,$A$6:$C$106,2,FALSE)*VLOOKUP(AY$1,'Attrition Modeling'!$L$15:$N$27,IF(AY$2+$F56&lt;=24,2,3),FALSE)),$C$3)*(1+Projection!BA$16)*(1+IF(AY188&gt;0,'Attrition Modeling'!$N$9,0)))</f>
        <v>0</v>
      </c>
      <c r="AZ56" s="799">
        <f>(AY56+AZ188)*(1-IFERROR(IF(AZ$2+$F56&lt;=12,SUMIFS('Attrition Modeling'!$D:$D,'Attrition Modeling'!$B:$B,'IP Attrition'!$D56,'Attrition Modeling'!$C:$C,'IP Attrition'!AZ$1),VLOOKUP($F56+AZ$2,$A$6:$C$106,2,FALSE)*VLOOKUP(AZ$1,'Attrition Modeling'!$L$15:$N$27,IF(AZ$2+$F56&lt;=24,2,3),FALSE)),$C$3)*(1+Projection!BB$16)*(1+IF(AZ188&gt;0,'Attrition Modeling'!$N$9,0)))</f>
        <v>0</v>
      </c>
      <c r="BA56" s="799">
        <f>(AZ56+BA188)*(1-IFERROR(IF(BA$2+$F56&lt;=12,SUMIFS('Attrition Modeling'!$D:$D,'Attrition Modeling'!$B:$B,'IP Attrition'!$D56,'Attrition Modeling'!$C:$C,'IP Attrition'!BA$1),VLOOKUP($F56+BA$2,$A$6:$C$106,2,FALSE)*VLOOKUP(BA$1,'Attrition Modeling'!$L$15:$N$27,IF(BA$2+$F56&lt;=24,2,3),FALSE)),$C$3)*(1+Projection!BC$16)*(1+IF(BA188&gt;0,'Attrition Modeling'!$N$9,0)))</f>
        <v>0</v>
      </c>
      <c r="BB56" s="799">
        <f>(BA56+BB188)*(1-IFERROR(IF(BB$2+$F56&lt;=12,SUMIFS('Attrition Modeling'!$D:$D,'Attrition Modeling'!$B:$B,'IP Attrition'!$D56,'Attrition Modeling'!$C:$C,'IP Attrition'!BB$1),VLOOKUP($F56+BB$2,$A$6:$C$106,2,FALSE)*VLOOKUP(BB$1,'Attrition Modeling'!$L$15:$N$27,IF(BB$2+$F56&lt;=24,2,3),FALSE)),$C$3)*(1+Projection!BD$16)*(1+IF(BB188&gt;0,'Attrition Modeling'!$N$9,0)))</f>
        <v>0</v>
      </c>
      <c r="BC56" s="799">
        <f>(BB56+BC188)*(1-IFERROR(IF(BC$2+$F56&lt;=12,SUMIFS('Attrition Modeling'!$D:$D,'Attrition Modeling'!$B:$B,'IP Attrition'!$D56,'Attrition Modeling'!$C:$C,'IP Attrition'!BC$1),VLOOKUP($F56+BC$2,$A$6:$C$106,2,FALSE)*VLOOKUP(BC$1,'Attrition Modeling'!$L$15:$N$27,IF(BC$2+$F56&lt;=24,2,3),FALSE)),$C$3)*(1+Projection!BE$16)*(1+IF(BC188&gt;0,'Attrition Modeling'!$N$9,0)))</f>
        <v>0</v>
      </c>
      <c r="BD56" s="799">
        <f>(BC56+BD188)*(1-IFERROR(IF(BD$2+$F56&lt;=12,SUMIFS('Attrition Modeling'!$D:$D,'Attrition Modeling'!$B:$B,'IP Attrition'!$D56,'Attrition Modeling'!$C:$C,'IP Attrition'!BD$1),VLOOKUP($F56+BD$2,$A$6:$C$106,2,FALSE)*VLOOKUP(BD$1,'Attrition Modeling'!$L$15:$N$27,IF(BD$2+$F56&lt;=24,2,3),FALSE)),$C$3)*(1+Projection!BF$16)*(1+IF(BD188&gt;0,'Attrition Modeling'!$N$9,0)))</f>
        <v>0</v>
      </c>
      <c r="BE56" s="799">
        <f>(BD56+BE188)*(1-IFERROR(IF(BE$2+$F56&lt;=12,SUMIFS('Attrition Modeling'!$D:$D,'Attrition Modeling'!$B:$B,'IP Attrition'!$D56,'Attrition Modeling'!$C:$C,'IP Attrition'!BE$1),VLOOKUP($F56+BE$2,$A$6:$C$106,2,FALSE)*VLOOKUP(BE$1,'Attrition Modeling'!$L$15:$N$27,IF(BE$2+$F56&lt;=24,2,3),FALSE)),$C$3)*(1+Projection!BG$16)*(1+IF(BE188&gt;0,'Attrition Modeling'!$N$9,0)))</f>
        <v>0</v>
      </c>
      <c r="BF56" s="799">
        <f>(BE56+BF188)*(1-IFERROR(IF(BF$2+$F56&lt;=12,SUMIFS('Attrition Modeling'!$D:$D,'Attrition Modeling'!$B:$B,'IP Attrition'!$D56,'Attrition Modeling'!$C:$C,'IP Attrition'!BF$1),VLOOKUP($F56+BF$2,$A$6:$C$106,2,FALSE)*VLOOKUP(BF$1,'Attrition Modeling'!$L$15:$N$27,IF(BF$2+$F56&lt;=24,2,3),FALSE)),$C$3)*(1+Projection!BH$16)*(1+IF(BF188&gt;0,'Attrition Modeling'!$N$9,0)))</f>
        <v>0</v>
      </c>
      <c r="BG56" s="799">
        <f>(BF56+BG188)*(1-IFERROR(IF(BG$2+$F56&lt;=12,SUMIFS('Attrition Modeling'!$D:$D,'Attrition Modeling'!$B:$B,'IP Attrition'!$D56,'Attrition Modeling'!$C:$C,'IP Attrition'!BG$1),VLOOKUP($F56+BG$2,$A$6:$C$106,2,FALSE)*VLOOKUP(BG$1,'Attrition Modeling'!$L$15:$N$27,IF(BG$2+$F56&lt;=24,2,3),FALSE)),$C$3)*(1+Projection!BI$16)*(1+IF(BG188&gt;0,'Attrition Modeling'!$N$9,0)))</f>
        <v>0</v>
      </c>
      <c r="BH56" s="799">
        <f>(BG56+BH188)*(1-IFERROR(IF(BH$2+$F56&lt;=12,SUMIFS('Attrition Modeling'!$D:$D,'Attrition Modeling'!$B:$B,'IP Attrition'!$D56,'Attrition Modeling'!$C:$C,'IP Attrition'!BH$1),VLOOKUP($F56+BH$2,$A$6:$C$106,2,FALSE)*VLOOKUP(BH$1,'Attrition Modeling'!$L$15:$N$27,IF(BH$2+$F56&lt;=24,2,3),FALSE)),$C$3)*(1+Projection!BJ$16)*(1+IF(BH188&gt;0,'Attrition Modeling'!$N$9,0)))</f>
        <v>0</v>
      </c>
      <c r="BI56" s="799">
        <f>(BH56+BI188)*(1-IFERROR(IF(BI$2+$F56&lt;=12,SUMIFS('Attrition Modeling'!$D:$D,'Attrition Modeling'!$B:$B,'IP Attrition'!$D56,'Attrition Modeling'!$C:$C,'IP Attrition'!BI$1),VLOOKUP($F56+BI$2,$A$6:$C$106,2,FALSE)*VLOOKUP(BI$1,'Attrition Modeling'!$L$15:$N$27,IF(BI$2+$F56&lt;=24,2,3),FALSE)),$C$3)*(1+Projection!BK$16)*(1+IF(BI188&gt;0,'Attrition Modeling'!$N$9,0)))</f>
        <v>0</v>
      </c>
      <c r="BJ56" s="799">
        <f>(BI56+BJ188)*(1-IFERROR(IF(BJ$2+$F56&lt;=12,SUMIFS('Attrition Modeling'!$D:$D,'Attrition Modeling'!$B:$B,'IP Attrition'!$D56,'Attrition Modeling'!$C:$C,'IP Attrition'!BJ$1),VLOOKUP($F56+BJ$2,$A$6:$C$106,2,FALSE)*VLOOKUP(BJ$1,'Attrition Modeling'!$L$15:$N$27,IF(BJ$2+$F56&lt;=24,2,3),FALSE)),$C$3)*(1+Projection!BL$16)*(1+IF(BJ188&gt;0,'Attrition Modeling'!$N$9,0)))</f>
        <v>0</v>
      </c>
      <c r="BK56" s="799">
        <f>(BJ56+BK188)*(1-IFERROR(IF(BK$2+$F56&lt;=12,SUMIFS('Attrition Modeling'!$D:$D,'Attrition Modeling'!$B:$B,'IP Attrition'!$D56,'Attrition Modeling'!$C:$C,'IP Attrition'!BK$1),VLOOKUP($F56+BK$2,$A$6:$C$106,2,FALSE)*VLOOKUP(BK$1,'Attrition Modeling'!$L$15:$N$27,IF(BK$2+$F56&lt;=24,2,3),FALSE)),$C$3)*(1+Projection!BM$16)*(1+IF(BK188&gt;0,'Attrition Modeling'!$N$9,0)))</f>
        <v>0</v>
      </c>
      <c r="BL56" s="799">
        <f>(BK56+BL188)*(1-IFERROR(IF(BL$2+$F56&lt;=12,SUMIFS('Attrition Modeling'!$D:$D,'Attrition Modeling'!$B:$B,'IP Attrition'!$D56,'Attrition Modeling'!$C:$C,'IP Attrition'!BL$1),VLOOKUP($F56+BL$2,$A$6:$C$106,2,FALSE)*VLOOKUP(BL$1,'Attrition Modeling'!$L$15:$N$27,IF(BL$2+$F56&lt;=24,2,3),FALSE)),$C$3)*(1+Projection!BN$16)*(1+IF(BL188&gt;0,'Attrition Modeling'!$N$9,0)))</f>
        <v>0</v>
      </c>
      <c r="BM56" s="799">
        <f>(BL56+BM188)*(1-IFERROR(IF(BM$2+$F56&lt;=12,SUMIFS('Attrition Modeling'!$D:$D,'Attrition Modeling'!$B:$B,'IP Attrition'!$D56,'Attrition Modeling'!$C:$C,'IP Attrition'!BM$1),VLOOKUP($F56+BM$2,$A$6:$C$106,2,FALSE)*VLOOKUP(BM$1,'Attrition Modeling'!$L$15:$N$27,IF(BM$2+$F56&lt;=24,2,3),FALSE)),$C$3)*(1+Projection!BO$16)*(1+IF(BM188&gt;0,'Attrition Modeling'!$N$9,0)))</f>
        <v>0</v>
      </c>
      <c r="BN56" s="799">
        <f>(BM56+BN188)*(1-IFERROR(IF(BN$2+$F56&lt;=12,SUMIFS('Attrition Modeling'!$D:$D,'Attrition Modeling'!$B:$B,'IP Attrition'!$D56,'Attrition Modeling'!$C:$C,'IP Attrition'!BN$1),VLOOKUP($F56+BN$2,$A$6:$C$106,2,FALSE)*VLOOKUP(BN$1,'Attrition Modeling'!$L$15:$N$27,IF(BN$2+$F56&lt;=24,2,3),FALSE)),$C$3)*(1+Projection!BP$16)*(1+IF(BN188&gt;0,'Attrition Modeling'!$N$9,0)))</f>
        <v>0</v>
      </c>
      <c r="BO56" s="799">
        <f>(BN56+BO188)*(1-IFERROR(IF(BO$2+$F56&lt;=12,SUMIFS('Attrition Modeling'!$D:$D,'Attrition Modeling'!$B:$B,'IP Attrition'!$D56,'Attrition Modeling'!$C:$C,'IP Attrition'!BO$1),VLOOKUP($F56+BO$2,$A$6:$C$106,2,FALSE)*VLOOKUP(BO$1,'Attrition Modeling'!$L$15:$N$27,IF(BO$2+$F56&lt;=24,2,3),FALSE)),$C$3)*(1+Projection!BV$16)*(1+IF(BO188&gt;0,'Attrition Modeling'!$N$9,0)))</f>
        <v>0</v>
      </c>
      <c r="BP56" s="799">
        <f>(BO56+BP188)*(1-IFERROR(IF(BP$2+$F56&lt;=12,SUMIFS('Attrition Modeling'!$D:$D,'Attrition Modeling'!$B:$B,'IP Attrition'!$D56,'Attrition Modeling'!$C:$C,'IP Attrition'!BP$1),VLOOKUP($F56+BP$2,$A$6:$C$106,2,FALSE)*VLOOKUP(BP$1,'Attrition Modeling'!$L$15:$N$27,IF(BP$2+$F56&lt;=24,2,3),FALSE)),$C$3)*(1+Projection!BW$16)*(1+IF(BP188&gt;0,'Attrition Modeling'!$N$9,0)))</f>
        <v>0</v>
      </c>
      <c r="BQ56" s="799">
        <f>(BP56+BQ188)*(1-IFERROR(IF(BQ$2+$F56&lt;=12,SUMIFS('Attrition Modeling'!$D:$D,'Attrition Modeling'!$B:$B,'IP Attrition'!$D56,'Attrition Modeling'!$C:$C,'IP Attrition'!BQ$1),VLOOKUP($F56+BQ$2,$A$6:$C$106,2,FALSE)*VLOOKUP(BQ$1,'Attrition Modeling'!$L$15:$N$27,IF(BQ$2+$F56&lt;=24,2,3),FALSE)),$C$3)*(1+Projection!BX$16)*(1+IF(BQ188&gt;0,'Attrition Modeling'!$N$9,0)))</f>
        <v>0</v>
      </c>
      <c r="BR56" s="799">
        <f>(BQ56+BR188)*(1-IFERROR(IF(BR$2+$F56&lt;=12,SUMIFS('Attrition Modeling'!$D:$D,'Attrition Modeling'!$B:$B,'IP Attrition'!$D56,'Attrition Modeling'!$C:$C,'IP Attrition'!BR$1),VLOOKUP($F56+BR$2,$A$6:$C$106,2,FALSE)*VLOOKUP(BR$1,'Attrition Modeling'!$L$15:$N$27,IF(BR$2+$F56&lt;=24,2,3),FALSE)),$C$3)*(1+Projection!BY$16)*(1+IF(BR188&gt;0,'Attrition Modeling'!$N$9,0)))</f>
        <v>0</v>
      </c>
      <c r="BS56" s="799">
        <f>(BR56+BS188)*(1-IFERROR(IF(BS$2+$F56&lt;=12,SUMIFS('Attrition Modeling'!$D:$D,'Attrition Modeling'!$B:$B,'IP Attrition'!$D56,'Attrition Modeling'!$C:$C,'IP Attrition'!BS$1),VLOOKUP($F56+BS$2,$A$6:$C$106,2,FALSE)*VLOOKUP(BS$1,'Attrition Modeling'!$L$15:$N$27,IF(BS$2+$F56&lt;=24,2,3),FALSE)),$C$3)*(1+Projection!BZ$16)*(1+IF(BS188&gt;0,'Attrition Modeling'!$N$9,0)))</f>
        <v>0</v>
      </c>
      <c r="BT56" s="799" t="e">
        <f>(BS56+BT188)*(1-IFERROR(IF(BT$2+$F56&lt;=12,SUMIFS('Attrition Modeling'!$D:$D,'Attrition Modeling'!$B:$B,'IP Attrition'!$D56,'Attrition Modeling'!$C:$C,'IP Attrition'!BT$1),VLOOKUP($F56+BT$2,$A$6:$C$106,2,FALSE)*VLOOKUP(BT$1,'Attrition Modeling'!$L$15:$N$27,IF(BT$2+$F56&lt;=24,2,3),FALSE)),$C$3)*(1+Projection!CA$16)*(1+IF(BT188&gt;0,'Attrition Modeling'!$N$9,0)))</f>
        <v>#REF!</v>
      </c>
      <c r="BU56" s="799" t="e">
        <f>(BT56+BU188)*(1-IFERROR(IF(BU$2+$F56&lt;=12,SUMIFS('Attrition Modeling'!$D:$D,'Attrition Modeling'!$B:$B,'IP Attrition'!$D56,'Attrition Modeling'!$C:$C,'IP Attrition'!BU$1),VLOOKUP($F56+BU$2,$A$6:$C$106,2,FALSE)*VLOOKUP(BU$1,'Attrition Modeling'!$L$15:$N$27,IF(BU$2+$F56&lt;=24,2,3),FALSE)),$C$3)*(1+Projection!CB$16)*(1+IF(BU188&gt;0,'Attrition Modeling'!$N$9,0)))</f>
        <v>#REF!</v>
      </c>
    </row>
    <row r="57" spans="1:73" ht="14.25" customHeight="1" x14ac:dyDescent="0.2">
      <c r="A57" s="9">
        <v>50</v>
      </c>
      <c r="B57" s="25">
        <f>MAX('Attrition Modeling'!H54,$C$3)*(1-Summary!$C$20)</f>
        <v>2.4992696715136584E-2</v>
      </c>
      <c r="C57" s="24" t="e">
        <f t="shared" si="3"/>
        <v>#DIV/0!</v>
      </c>
      <c r="D57" s="11">
        <f t="shared" si="1"/>
        <v>-54</v>
      </c>
      <c r="E57" s="807">
        <f t="array" ref="E57">INDEX('Attrition Modeling'!$X$2:$AF$63,MATCH($F57,'Attrition Modeling'!$X$2:$X$63,0),MATCH(Inputs!$C$10,'Attrition Modeling'!$X$2:$AF$2,0))</f>
        <v>0</v>
      </c>
      <c r="F57" s="11">
        <f t="shared" si="2"/>
        <v>54</v>
      </c>
      <c r="G57" s="799">
        <f>Summary!$C$25*$E57</f>
        <v>0</v>
      </c>
      <c r="H57" s="799">
        <f>(G57+H189)*(1-IFERROR(IF(H$2+$F57&lt;=12,SUMIFS('Attrition Modeling'!$D:$D,'Attrition Modeling'!$B:$B,'IP Attrition'!$D57,'Attrition Modeling'!$C:$C,'IP Attrition'!H$1),VLOOKUP($F57+H$2,$A$6:$C$106,2,FALSE)*VLOOKUP(H$1,'Attrition Modeling'!$L$15:$N$27,IF(H$2+$F57&lt;=24,2,3),FALSE)),$C$3)*(1+Projection!J$16)*(1+IF(H189&gt;0,'Attrition Modeling'!$N$9,0)))</f>
        <v>0</v>
      </c>
      <c r="I57" s="799">
        <f>(H57+I189)*(1-IFERROR(IF(I$2+$F57&lt;=12,SUMIFS('Attrition Modeling'!$D:$D,'Attrition Modeling'!$B:$B,'IP Attrition'!$D57,'Attrition Modeling'!$C:$C,'IP Attrition'!I$1),VLOOKUP($F57+I$2,$A$6:$C$106,2,FALSE)*VLOOKUP(I$1,'Attrition Modeling'!$L$15:$N$27,IF(I$2+$F57&lt;=24,2,3),FALSE)),$C$3)*(1+Projection!K$16)*(1+IF(I189&gt;0,'Attrition Modeling'!$N$9,0)))</f>
        <v>0</v>
      </c>
      <c r="J57" s="799">
        <f>(I57+J189)*(1-IFERROR(IF(J$2+$F57&lt;=12,SUMIFS('Attrition Modeling'!$D:$D,'Attrition Modeling'!$B:$B,'IP Attrition'!$D57,'Attrition Modeling'!$C:$C,'IP Attrition'!J$1),VLOOKUP($F57+J$2,$A$6:$C$106,2,FALSE)*VLOOKUP(J$1,'Attrition Modeling'!$L$15:$N$27,IF(J$2+$F57&lt;=24,2,3),FALSE)),$C$3)*(1+Projection!L$16)*(1+IF(J189&gt;0,'Attrition Modeling'!$N$9,0)))</f>
        <v>0</v>
      </c>
      <c r="K57" s="799">
        <f>(J57+K189)*(1-IFERROR(IF(K$2+$F57&lt;=12,SUMIFS('Attrition Modeling'!$D:$D,'Attrition Modeling'!$B:$B,'IP Attrition'!$D57,'Attrition Modeling'!$C:$C,'IP Attrition'!K$1),VLOOKUP($F57+K$2,$A$6:$C$106,2,FALSE)*VLOOKUP(K$1,'Attrition Modeling'!$L$15:$N$27,IF(K$2+$F57&lt;=24,2,3),FALSE)),$C$3)*(1+Projection!M$16)*(1+IF(K189&gt;0,'Attrition Modeling'!$N$9,0)))</f>
        <v>0</v>
      </c>
      <c r="L57" s="799">
        <f>(K57+L189)*(1-IFERROR(IF(L$2+$F57&lt;=12,SUMIFS('Attrition Modeling'!$D:$D,'Attrition Modeling'!$B:$B,'IP Attrition'!$D57,'Attrition Modeling'!$C:$C,'IP Attrition'!L$1),VLOOKUP($F57+L$2,$A$6:$C$106,2,FALSE)*VLOOKUP(L$1,'Attrition Modeling'!$L$15:$N$27,IF(L$2+$F57&lt;=24,2,3),FALSE)),$C$3)*(1+Projection!N$16)*(1+IF(L189&gt;0,'Attrition Modeling'!$N$9,0)))</f>
        <v>0</v>
      </c>
      <c r="M57" s="799">
        <f>(L57+M189)*(1-IFERROR(IF(M$2+$F57&lt;=12,SUMIFS('Attrition Modeling'!$D:$D,'Attrition Modeling'!$B:$B,'IP Attrition'!$D57,'Attrition Modeling'!$C:$C,'IP Attrition'!M$1),VLOOKUP($F57+M$2,$A$6:$C$106,2,FALSE)*VLOOKUP(M$1,'Attrition Modeling'!$L$15:$N$27,IF(M$2+$F57&lt;=24,2,3),FALSE)),$C$3)*(1+Projection!O$16)*(1+IF(M189&gt;0,'Attrition Modeling'!$N$9,0)))</f>
        <v>0</v>
      </c>
      <c r="N57" s="799">
        <f>(M57+N189)*(1-IFERROR(IF(N$2+$F57&lt;=12,SUMIFS('Attrition Modeling'!$D:$D,'Attrition Modeling'!$B:$B,'IP Attrition'!$D57,'Attrition Modeling'!$C:$C,'IP Attrition'!N$1),VLOOKUP($F57+N$2,$A$6:$C$106,2,FALSE)*VLOOKUP(N$1,'Attrition Modeling'!$L$15:$N$27,IF(N$2+$F57&lt;=24,2,3),FALSE)),$C$3)*(1+Projection!P$16)*(1+IF(N189&gt;0,'Attrition Modeling'!$N$9,0)))</f>
        <v>0</v>
      </c>
      <c r="O57" s="799">
        <f>(N57+O189)*(1-IFERROR(IF(O$2+$F57&lt;=12,SUMIFS('Attrition Modeling'!$D:$D,'Attrition Modeling'!$B:$B,'IP Attrition'!$D57,'Attrition Modeling'!$C:$C,'IP Attrition'!O$1),VLOOKUP($F57+O$2,$A$6:$C$106,2,FALSE)*VLOOKUP(O$1,'Attrition Modeling'!$L$15:$N$27,IF(O$2+$F57&lt;=24,2,3),FALSE)),$C$3)*(1+Projection!Q$16)*(1+IF(O189&gt;0,'Attrition Modeling'!$N$9,0)))</f>
        <v>0</v>
      </c>
      <c r="P57" s="799">
        <f>(O57+P189)*(1-IFERROR(IF(P$2+$F57&lt;=12,SUMIFS('Attrition Modeling'!$D:$D,'Attrition Modeling'!$B:$B,'IP Attrition'!$D57,'Attrition Modeling'!$C:$C,'IP Attrition'!P$1),VLOOKUP($F57+P$2,$A$6:$C$106,2,FALSE)*VLOOKUP(P$1,'Attrition Modeling'!$L$15:$N$27,IF(P$2+$F57&lt;=24,2,3),FALSE)),$C$3)*(1+Projection!R$16)*(1+IF(P189&gt;0,'Attrition Modeling'!$N$9,0)))</f>
        <v>0</v>
      </c>
      <c r="Q57" s="799">
        <f>(P57+Q189)*(1-IFERROR(IF(Q$2+$F57&lt;=12,SUMIFS('Attrition Modeling'!$D:$D,'Attrition Modeling'!$B:$B,'IP Attrition'!$D57,'Attrition Modeling'!$C:$C,'IP Attrition'!Q$1),VLOOKUP($F57+Q$2,$A$6:$C$106,2,FALSE)*VLOOKUP(Q$1,'Attrition Modeling'!$L$15:$N$27,IF(Q$2+$F57&lt;=24,2,3),FALSE)),$C$3)*(1+Projection!S$16)*(1+IF(Q189&gt;0,'Attrition Modeling'!$N$9,0)))</f>
        <v>0</v>
      </c>
      <c r="R57" s="799">
        <f>(Q57+R189)*(1-IFERROR(IF(R$2+$F57&lt;=12,SUMIFS('Attrition Modeling'!$D:$D,'Attrition Modeling'!$B:$B,'IP Attrition'!$D57,'Attrition Modeling'!$C:$C,'IP Attrition'!R$1),VLOOKUP($F57+R$2,$A$6:$C$106,2,FALSE)*VLOOKUP(R$1,'Attrition Modeling'!$L$15:$N$27,IF(R$2+$F57&lt;=24,2,3),FALSE)),$C$3)*(1+Projection!T$16)*(1+IF(R189&gt;0,'Attrition Modeling'!$N$9,0)))</f>
        <v>0</v>
      </c>
      <c r="S57" s="799">
        <f>(R57+S189)*(1-IFERROR(IF(S$2+$F57&lt;=12,SUMIFS('Attrition Modeling'!$D:$D,'Attrition Modeling'!$B:$B,'IP Attrition'!$D57,'Attrition Modeling'!$C:$C,'IP Attrition'!S$1),VLOOKUP($F57+S$2,$A$6:$C$106,2,FALSE)*VLOOKUP(S$1,'Attrition Modeling'!$L$15:$N$27,IF(S$2+$F57&lt;=24,2,3),FALSE)),$C$3)*(1+Projection!U$16)*(1+IF(S189&gt;0,'Attrition Modeling'!$N$9,0)))</f>
        <v>0</v>
      </c>
      <c r="T57" s="799">
        <f>(S57+T189)*(1-IFERROR(IF(T$2+$F57&lt;=12,SUMIFS('Attrition Modeling'!$D:$D,'Attrition Modeling'!$B:$B,'IP Attrition'!$D57,'Attrition Modeling'!$C:$C,'IP Attrition'!T$1),VLOOKUP($F57+T$2,$A$6:$C$106,2,FALSE)*VLOOKUP(T$1,'Attrition Modeling'!$L$15:$N$27,IF(T$2+$F57&lt;=24,2,3),FALSE)),$C$3)*(1+Projection!V$16)*(1+IF(T189&gt;0,'Attrition Modeling'!$N$9,0)))</f>
        <v>0</v>
      </c>
      <c r="U57" s="799">
        <f>(T57+U189)*(1-IFERROR(IF(U$2+$F57&lt;=12,SUMIFS('Attrition Modeling'!$D:$D,'Attrition Modeling'!$B:$B,'IP Attrition'!$D57,'Attrition Modeling'!$C:$C,'IP Attrition'!U$1),VLOOKUP($F57+U$2,$A$6:$C$106,2,FALSE)*VLOOKUP(U$1,'Attrition Modeling'!$L$15:$N$27,IF(U$2+$F57&lt;=24,2,3),FALSE)),$C$3)*(1+Projection!W$16)*(1+IF(U189&gt;0,'Attrition Modeling'!$N$9,0)))</f>
        <v>0</v>
      </c>
      <c r="V57" s="799">
        <f>(U57+V189)*(1-IFERROR(IF(V$2+$F57&lt;=12,SUMIFS('Attrition Modeling'!$D:$D,'Attrition Modeling'!$B:$B,'IP Attrition'!$D57,'Attrition Modeling'!$C:$C,'IP Attrition'!V$1),VLOOKUP($F57+V$2,$A$6:$C$106,2,FALSE)*VLOOKUP(V$1,'Attrition Modeling'!$L$15:$N$27,IF(V$2+$F57&lt;=24,2,3),FALSE)),$C$3)*(1+Projection!X$16)*(1+IF(V189&gt;0,'Attrition Modeling'!$N$9,0)))</f>
        <v>0</v>
      </c>
      <c r="W57" s="799">
        <f>(V57+W189)*(1-IFERROR(IF(W$2+$F57&lt;=12,SUMIFS('Attrition Modeling'!$D:$D,'Attrition Modeling'!$B:$B,'IP Attrition'!$D57,'Attrition Modeling'!$C:$C,'IP Attrition'!W$1),VLOOKUP($F57+W$2,$A$6:$C$106,2,FALSE)*VLOOKUP(W$1,'Attrition Modeling'!$L$15:$N$27,IF(W$2+$F57&lt;=24,2,3),FALSE)),$C$3)*(1+Projection!Y$16)*(1+IF(W189&gt;0,'Attrition Modeling'!$N$9,0)))</f>
        <v>0</v>
      </c>
      <c r="X57" s="799">
        <f>(W57+X189)*(1-IFERROR(IF(X$2+$F57&lt;=12,SUMIFS('Attrition Modeling'!$D:$D,'Attrition Modeling'!$B:$B,'IP Attrition'!$D57,'Attrition Modeling'!$C:$C,'IP Attrition'!X$1),VLOOKUP($F57+X$2,$A$6:$C$106,2,FALSE)*VLOOKUP(X$1,'Attrition Modeling'!$L$15:$N$27,IF(X$2+$F57&lt;=24,2,3),FALSE)),$C$3)*(1+Projection!Z$16)*(1+IF(X189&gt;0,'Attrition Modeling'!$N$9,0)))</f>
        <v>0</v>
      </c>
      <c r="Y57" s="799">
        <f>(X57+Y189)*(1-IFERROR(IF(Y$2+$F57&lt;=12,SUMIFS('Attrition Modeling'!$D:$D,'Attrition Modeling'!$B:$B,'IP Attrition'!$D57,'Attrition Modeling'!$C:$C,'IP Attrition'!Y$1),VLOOKUP($F57+Y$2,$A$6:$C$106,2,FALSE)*VLOOKUP(Y$1,'Attrition Modeling'!$L$15:$N$27,IF(Y$2+$F57&lt;=24,2,3),FALSE)),$C$3)*(1+Projection!AA$16)*(1+IF(Y189&gt;0,'Attrition Modeling'!$N$9,0)))</f>
        <v>0</v>
      </c>
      <c r="Z57" s="799">
        <f>(Y57+Z189)*(1-IFERROR(IF(Z$2+$F57&lt;=12,SUMIFS('Attrition Modeling'!$D:$D,'Attrition Modeling'!$B:$B,'IP Attrition'!$D57,'Attrition Modeling'!$C:$C,'IP Attrition'!Z$1),VLOOKUP($F57+Z$2,$A$6:$C$106,2,FALSE)*VLOOKUP(Z$1,'Attrition Modeling'!$L$15:$N$27,IF(Z$2+$F57&lt;=24,2,3),FALSE)),$C$3)*(1+Projection!AB$16)*(1+IF(Z189&gt;0,'Attrition Modeling'!$N$9,0)))</f>
        <v>0</v>
      </c>
      <c r="AA57" s="799">
        <f>(Z57+AA189)*(1-IFERROR(IF(AA$2+$F57&lt;=12,SUMIFS('Attrition Modeling'!$D:$D,'Attrition Modeling'!$B:$B,'IP Attrition'!$D57,'Attrition Modeling'!$C:$C,'IP Attrition'!AA$1),VLOOKUP($F57+AA$2,$A$6:$C$106,2,FALSE)*VLOOKUP(AA$1,'Attrition Modeling'!$L$15:$N$27,IF(AA$2+$F57&lt;=24,2,3),FALSE)),$C$3)*(1+Projection!AC$16)*(1+IF(AA189&gt;0,'Attrition Modeling'!$N$9,0)))</f>
        <v>0</v>
      </c>
      <c r="AB57" s="799">
        <f>(AA57+AB189)*(1-IFERROR(IF(AB$2+$F57&lt;=12,SUMIFS('Attrition Modeling'!$D:$D,'Attrition Modeling'!$B:$B,'IP Attrition'!$D57,'Attrition Modeling'!$C:$C,'IP Attrition'!AB$1),VLOOKUP($F57+AB$2,$A$6:$C$106,2,FALSE)*VLOOKUP(AB$1,'Attrition Modeling'!$L$15:$N$27,IF(AB$2+$F57&lt;=24,2,3),FALSE)),$C$3)*(1+Projection!AD$16)*(1+IF(AB189&gt;0,'Attrition Modeling'!$N$9,0)))</f>
        <v>0</v>
      </c>
      <c r="AC57" s="799">
        <f>(AB57+AC189)*(1-IFERROR(IF(AC$2+$F57&lt;=12,SUMIFS('Attrition Modeling'!$D:$D,'Attrition Modeling'!$B:$B,'IP Attrition'!$D57,'Attrition Modeling'!$C:$C,'IP Attrition'!AC$1),VLOOKUP($F57+AC$2,$A$6:$C$106,2,FALSE)*VLOOKUP(AC$1,'Attrition Modeling'!$L$15:$N$27,IF(AC$2+$F57&lt;=24,2,3),FALSE)),$C$3)*(1+Projection!AE$16)*(1+IF(AC189&gt;0,'Attrition Modeling'!$N$9,0)))</f>
        <v>0</v>
      </c>
      <c r="AD57" s="799">
        <f>(AC57+AD189)*(1-IFERROR(IF(AD$2+$F57&lt;=12,SUMIFS('Attrition Modeling'!$D:$D,'Attrition Modeling'!$B:$B,'IP Attrition'!$D57,'Attrition Modeling'!$C:$C,'IP Attrition'!AD$1),VLOOKUP($F57+AD$2,$A$6:$C$106,2,FALSE)*VLOOKUP(AD$1,'Attrition Modeling'!$L$15:$N$27,IF(AD$2+$F57&lt;=24,2,3),FALSE)),$C$3)*(1+Projection!AF$16)*(1+IF(AD189&gt;0,'Attrition Modeling'!$N$9,0)))</f>
        <v>0</v>
      </c>
      <c r="AE57" s="799">
        <f>(AD57+AE189)*(1-IFERROR(IF(AE$2+$F57&lt;=12,SUMIFS('Attrition Modeling'!$D:$D,'Attrition Modeling'!$B:$B,'IP Attrition'!$D57,'Attrition Modeling'!$C:$C,'IP Attrition'!AE$1),VLOOKUP($F57+AE$2,$A$6:$C$106,2,FALSE)*VLOOKUP(AE$1,'Attrition Modeling'!$L$15:$N$27,IF(AE$2+$F57&lt;=24,2,3),FALSE)),$C$3)*(1+Projection!AG$16)*(1+IF(AE189&gt;0,'Attrition Modeling'!$N$9,0)))</f>
        <v>0</v>
      </c>
      <c r="AF57" s="799">
        <f>(AE57+AF189)*(1-IFERROR(IF(AF$2+$F57&lt;=12,SUMIFS('Attrition Modeling'!$D:$D,'Attrition Modeling'!$B:$B,'IP Attrition'!$D57,'Attrition Modeling'!$C:$C,'IP Attrition'!AF$1),VLOOKUP($F57+AF$2,$A$6:$C$106,2,FALSE)*VLOOKUP(AF$1,'Attrition Modeling'!$L$15:$N$27,IF(AF$2+$F57&lt;=24,2,3),FALSE)),$C$3)*(1+Projection!AH$16)*(1+IF(AF189&gt;0,'Attrition Modeling'!$N$9,0)))</f>
        <v>0</v>
      </c>
      <c r="AG57" s="799">
        <f>(AF57+AG189)*(1-IFERROR(IF(AG$2+$F57&lt;=12,SUMIFS('Attrition Modeling'!$D:$D,'Attrition Modeling'!$B:$B,'IP Attrition'!$D57,'Attrition Modeling'!$C:$C,'IP Attrition'!AG$1),VLOOKUP($F57+AG$2,$A$6:$C$106,2,FALSE)*VLOOKUP(AG$1,'Attrition Modeling'!$L$15:$N$27,IF(AG$2+$F57&lt;=24,2,3),FALSE)),$C$3)*(1+Projection!AI$16)*(1+IF(AG189&gt;0,'Attrition Modeling'!$N$9,0)))</f>
        <v>0</v>
      </c>
      <c r="AH57" s="799">
        <f>(AG57+AH189)*(1-IFERROR(IF(AH$2+$F57&lt;=12,SUMIFS('Attrition Modeling'!$D:$D,'Attrition Modeling'!$B:$B,'IP Attrition'!$D57,'Attrition Modeling'!$C:$C,'IP Attrition'!AH$1),VLOOKUP($F57+AH$2,$A$6:$C$106,2,FALSE)*VLOOKUP(AH$1,'Attrition Modeling'!$L$15:$N$27,IF(AH$2+$F57&lt;=24,2,3),FALSE)),$C$3)*(1+Projection!AJ$16)*(1+IF(AH189&gt;0,'Attrition Modeling'!$N$9,0)))</f>
        <v>0</v>
      </c>
      <c r="AI57" s="799">
        <f>(AH57+AI189)*(1-IFERROR(IF(AI$2+$F57&lt;=12,SUMIFS('Attrition Modeling'!$D:$D,'Attrition Modeling'!$B:$B,'IP Attrition'!$D57,'Attrition Modeling'!$C:$C,'IP Attrition'!AI$1),VLOOKUP($F57+AI$2,$A$6:$C$106,2,FALSE)*VLOOKUP(AI$1,'Attrition Modeling'!$L$15:$N$27,IF(AI$2+$F57&lt;=24,2,3),FALSE)),$C$3)*(1+Projection!AK$16)*(1+IF(AI189&gt;0,'Attrition Modeling'!$N$9,0)))</f>
        <v>0</v>
      </c>
      <c r="AJ57" s="799">
        <f>(AI57+AJ189)*(1-IFERROR(IF(AJ$2+$F57&lt;=12,SUMIFS('Attrition Modeling'!$D:$D,'Attrition Modeling'!$B:$B,'IP Attrition'!$D57,'Attrition Modeling'!$C:$C,'IP Attrition'!AJ$1),VLOOKUP($F57+AJ$2,$A$6:$C$106,2,FALSE)*VLOOKUP(AJ$1,'Attrition Modeling'!$L$15:$N$27,IF(AJ$2+$F57&lt;=24,2,3),FALSE)),$C$3)*(1+Projection!AL$16)*(1+IF(AJ189&gt;0,'Attrition Modeling'!$N$9,0)))</f>
        <v>0</v>
      </c>
      <c r="AK57" s="799">
        <f>(AJ57+AK189)*(1-IFERROR(IF(AK$2+$F57&lt;=12,SUMIFS('Attrition Modeling'!$D:$D,'Attrition Modeling'!$B:$B,'IP Attrition'!$D57,'Attrition Modeling'!$C:$C,'IP Attrition'!AK$1),VLOOKUP($F57+AK$2,$A$6:$C$106,2,FALSE)*VLOOKUP(AK$1,'Attrition Modeling'!$L$15:$N$27,IF(AK$2+$F57&lt;=24,2,3),FALSE)),$C$3)*(1+Projection!AM$16)*(1+IF(AK189&gt;0,'Attrition Modeling'!$N$9,0)))</f>
        <v>0</v>
      </c>
      <c r="AL57" s="799">
        <f>(AK57+AL189)*(1-IFERROR(IF(AL$2+$F57&lt;=12,SUMIFS('Attrition Modeling'!$D:$D,'Attrition Modeling'!$B:$B,'IP Attrition'!$D57,'Attrition Modeling'!$C:$C,'IP Attrition'!AL$1),VLOOKUP($F57+AL$2,$A$6:$C$106,2,FALSE)*VLOOKUP(AL$1,'Attrition Modeling'!$L$15:$N$27,IF(AL$2+$F57&lt;=24,2,3),FALSE)),$C$3)*(1+Projection!AN$16)*(1+IF(AL189&gt;0,'Attrition Modeling'!$N$9,0)))</f>
        <v>0</v>
      </c>
      <c r="AM57" s="799">
        <f>(AL57+AM189)*(1-IFERROR(IF(AM$2+$F57&lt;=12,SUMIFS('Attrition Modeling'!$D:$D,'Attrition Modeling'!$B:$B,'IP Attrition'!$D57,'Attrition Modeling'!$C:$C,'IP Attrition'!AM$1),VLOOKUP($F57+AM$2,$A$6:$C$106,2,FALSE)*VLOOKUP(AM$1,'Attrition Modeling'!$L$15:$N$27,IF(AM$2+$F57&lt;=24,2,3),FALSE)),$C$3)*(1+Projection!AO$16)*(1+IF(AM189&gt;0,'Attrition Modeling'!$N$9,0)))</f>
        <v>0</v>
      </c>
      <c r="AN57" s="799">
        <f>(AM57+AN189)*(1-IFERROR(IF(AN$2+$F57&lt;=12,SUMIFS('Attrition Modeling'!$D:$D,'Attrition Modeling'!$B:$B,'IP Attrition'!$D57,'Attrition Modeling'!$C:$C,'IP Attrition'!AN$1),VLOOKUP($F57+AN$2,$A$6:$C$106,2,FALSE)*VLOOKUP(AN$1,'Attrition Modeling'!$L$15:$N$27,IF(AN$2+$F57&lt;=24,2,3),FALSE)),$C$3)*(1+Projection!AP$16)*(1+IF(AN189&gt;0,'Attrition Modeling'!$N$9,0)))</f>
        <v>0</v>
      </c>
      <c r="AO57" s="799">
        <f>(AN57+AO189)*(1-IFERROR(IF(AO$2+$F57&lt;=12,SUMIFS('Attrition Modeling'!$D:$D,'Attrition Modeling'!$B:$B,'IP Attrition'!$D57,'Attrition Modeling'!$C:$C,'IP Attrition'!AO$1),VLOOKUP($F57+AO$2,$A$6:$C$106,2,FALSE)*VLOOKUP(AO$1,'Attrition Modeling'!$L$15:$N$27,IF(AO$2+$F57&lt;=24,2,3),FALSE)),$C$3)*(1+Projection!AQ$16)*(1+IF(AO189&gt;0,'Attrition Modeling'!$N$9,0)))</f>
        <v>0</v>
      </c>
      <c r="AP57" s="799">
        <f>(AO57+AP189)*(1-IFERROR(IF(AP$2+$F57&lt;=12,SUMIFS('Attrition Modeling'!$D:$D,'Attrition Modeling'!$B:$B,'IP Attrition'!$D57,'Attrition Modeling'!$C:$C,'IP Attrition'!AP$1),VLOOKUP($F57+AP$2,$A$6:$C$106,2,FALSE)*VLOOKUP(AP$1,'Attrition Modeling'!$L$15:$N$27,IF(AP$2+$F57&lt;=24,2,3),FALSE)),$C$3)*(1+Projection!AR$16)*(1+IF(AP189&gt;0,'Attrition Modeling'!$N$9,0)))</f>
        <v>0</v>
      </c>
      <c r="AQ57" s="799">
        <f>(AP57+AQ189)*(1-IFERROR(IF(AQ$2+$F57&lt;=12,SUMIFS('Attrition Modeling'!$D:$D,'Attrition Modeling'!$B:$B,'IP Attrition'!$D57,'Attrition Modeling'!$C:$C,'IP Attrition'!AQ$1),VLOOKUP($F57+AQ$2,$A$6:$C$106,2,FALSE)*VLOOKUP(AQ$1,'Attrition Modeling'!$L$15:$N$27,IF(AQ$2+$F57&lt;=24,2,3),FALSE)),$C$3)*(1+Projection!AS$16)*(1+IF(AQ189&gt;0,'Attrition Modeling'!$N$9,0)))</f>
        <v>0</v>
      </c>
      <c r="AR57" s="799">
        <f>(AQ57+AR189)*(1-IFERROR(IF(AR$2+$F57&lt;=12,SUMIFS('Attrition Modeling'!$D:$D,'Attrition Modeling'!$B:$B,'IP Attrition'!$D57,'Attrition Modeling'!$C:$C,'IP Attrition'!AR$1),VLOOKUP($F57+AR$2,$A$6:$C$106,2,FALSE)*VLOOKUP(AR$1,'Attrition Modeling'!$L$15:$N$27,IF(AR$2+$F57&lt;=24,2,3),FALSE)),$C$3)*(1+Projection!AT$16)*(1+IF(AR189&gt;0,'Attrition Modeling'!$N$9,0)))</f>
        <v>0</v>
      </c>
      <c r="AS57" s="799">
        <f>(AR57+AS189)*(1-IFERROR(IF(AS$2+$F57&lt;=12,SUMIFS('Attrition Modeling'!$D:$D,'Attrition Modeling'!$B:$B,'IP Attrition'!$D57,'Attrition Modeling'!$C:$C,'IP Attrition'!AS$1),VLOOKUP($F57+AS$2,$A$6:$C$106,2,FALSE)*VLOOKUP(AS$1,'Attrition Modeling'!$L$15:$N$27,IF(AS$2+$F57&lt;=24,2,3),FALSE)),$C$3)*(1+Projection!AU$16)*(1+IF(AS189&gt;0,'Attrition Modeling'!$N$9,0)))</f>
        <v>0</v>
      </c>
      <c r="AT57" s="799">
        <f>(AS57+AT189)*(1-IFERROR(IF(AT$2+$F57&lt;=12,SUMIFS('Attrition Modeling'!$D:$D,'Attrition Modeling'!$B:$B,'IP Attrition'!$D57,'Attrition Modeling'!$C:$C,'IP Attrition'!AT$1),VLOOKUP($F57+AT$2,$A$6:$C$106,2,FALSE)*VLOOKUP(AT$1,'Attrition Modeling'!$L$15:$N$27,IF(AT$2+$F57&lt;=24,2,3),FALSE)),$C$3)*(1+Projection!AV$16)*(1+IF(AT189&gt;0,'Attrition Modeling'!$N$9,0)))</f>
        <v>0</v>
      </c>
      <c r="AU57" s="799">
        <f>(AT57+AU189)*(1-IFERROR(IF(AU$2+$F57&lt;=12,SUMIFS('Attrition Modeling'!$D:$D,'Attrition Modeling'!$B:$B,'IP Attrition'!$D57,'Attrition Modeling'!$C:$C,'IP Attrition'!AU$1),VLOOKUP($F57+AU$2,$A$6:$C$106,2,FALSE)*VLOOKUP(AU$1,'Attrition Modeling'!$L$15:$N$27,IF(AU$2+$F57&lt;=24,2,3),FALSE)),$C$3)*(1+Projection!AW$16)*(1+IF(AU189&gt;0,'Attrition Modeling'!$N$9,0)))</f>
        <v>0</v>
      </c>
      <c r="AV57" s="799">
        <f>(AU57+AV189)*(1-IFERROR(IF(AV$2+$F57&lt;=12,SUMIFS('Attrition Modeling'!$D:$D,'Attrition Modeling'!$B:$B,'IP Attrition'!$D57,'Attrition Modeling'!$C:$C,'IP Attrition'!AV$1),VLOOKUP($F57+AV$2,$A$6:$C$106,2,FALSE)*VLOOKUP(AV$1,'Attrition Modeling'!$L$15:$N$27,IF(AV$2+$F57&lt;=24,2,3),FALSE)),$C$3)*(1+Projection!AX$16)*(1+IF(AV189&gt;0,'Attrition Modeling'!$N$9,0)))</f>
        <v>0</v>
      </c>
      <c r="AW57" s="799">
        <f>(AV57+AW189)*(1-IFERROR(IF(AW$2+$F57&lt;=12,SUMIFS('Attrition Modeling'!$D:$D,'Attrition Modeling'!$B:$B,'IP Attrition'!$D57,'Attrition Modeling'!$C:$C,'IP Attrition'!AW$1),VLOOKUP($F57+AW$2,$A$6:$C$106,2,FALSE)*VLOOKUP(AW$1,'Attrition Modeling'!$L$15:$N$27,IF(AW$2+$F57&lt;=24,2,3),FALSE)),$C$3)*(1+Projection!AY$16)*(1+IF(AW189&gt;0,'Attrition Modeling'!$N$9,0)))</f>
        <v>0</v>
      </c>
      <c r="AX57" s="799">
        <f>(AW57+AX189)*(1-IFERROR(IF(AX$2+$F57&lt;=12,SUMIFS('Attrition Modeling'!$D:$D,'Attrition Modeling'!$B:$B,'IP Attrition'!$D57,'Attrition Modeling'!$C:$C,'IP Attrition'!AX$1),VLOOKUP($F57+AX$2,$A$6:$C$106,2,FALSE)*VLOOKUP(AX$1,'Attrition Modeling'!$L$15:$N$27,IF(AX$2+$F57&lt;=24,2,3),FALSE)),$C$3)*(1+Projection!AZ$16)*(1+IF(AX189&gt;0,'Attrition Modeling'!$N$9,0)))</f>
        <v>0</v>
      </c>
      <c r="AY57" s="799">
        <f>(AX57+AY189)*(1-IFERROR(IF(AY$2+$F57&lt;=12,SUMIFS('Attrition Modeling'!$D:$D,'Attrition Modeling'!$B:$B,'IP Attrition'!$D57,'Attrition Modeling'!$C:$C,'IP Attrition'!AY$1),VLOOKUP($F57+AY$2,$A$6:$C$106,2,FALSE)*VLOOKUP(AY$1,'Attrition Modeling'!$L$15:$N$27,IF(AY$2+$F57&lt;=24,2,3),FALSE)),$C$3)*(1+Projection!BA$16)*(1+IF(AY189&gt;0,'Attrition Modeling'!$N$9,0)))</f>
        <v>0</v>
      </c>
      <c r="AZ57" s="799">
        <f>(AY57+AZ189)*(1-IFERROR(IF(AZ$2+$F57&lt;=12,SUMIFS('Attrition Modeling'!$D:$D,'Attrition Modeling'!$B:$B,'IP Attrition'!$D57,'Attrition Modeling'!$C:$C,'IP Attrition'!AZ$1),VLOOKUP($F57+AZ$2,$A$6:$C$106,2,FALSE)*VLOOKUP(AZ$1,'Attrition Modeling'!$L$15:$N$27,IF(AZ$2+$F57&lt;=24,2,3),FALSE)),$C$3)*(1+Projection!BB$16)*(1+IF(AZ189&gt;0,'Attrition Modeling'!$N$9,0)))</f>
        <v>0</v>
      </c>
      <c r="BA57" s="799">
        <f>(AZ57+BA189)*(1-IFERROR(IF(BA$2+$F57&lt;=12,SUMIFS('Attrition Modeling'!$D:$D,'Attrition Modeling'!$B:$B,'IP Attrition'!$D57,'Attrition Modeling'!$C:$C,'IP Attrition'!BA$1),VLOOKUP($F57+BA$2,$A$6:$C$106,2,FALSE)*VLOOKUP(BA$1,'Attrition Modeling'!$L$15:$N$27,IF(BA$2+$F57&lt;=24,2,3),FALSE)),$C$3)*(1+Projection!BC$16)*(1+IF(BA189&gt;0,'Attrition Modeling'!$N$9,0)))</f>
        <v>0</v>
      </c>
      <c r="BB57" s="799">
        <f>(BA57+BB189)*(1-IFERROR(IF(BB$2+$F57&lt;=12,SUMIFS('Attrition Modeling'!$D:$D,'Attrition Modeling'!$B:$B,'IP Attrition'!$D57,'Attrition Modeling'!$C:$C,'IP Attrition'!BB$1),VLOOKUP($F57+BB$2,$A$6:$C$106,2,FALSE)*VLOOKUP(BB$1,'Attrition Modeling'!$L$15:$N$27,IF(BB$2+$F57&lt;=24,2,3),FALSE)),$C$3)*(1+Projection!BD$16)*(1+IF(BB189&gt;0,'Attrition Modeling'!$N$9,0)))</f>
        <v>0</v>
      </c>
      <c r="BC57" s="799">
        <f>(BB57+BC189)*(1-IFERROR(IF(BC$2+$F57&lt;=12,SUMIFS('Attrition Modeling'!$D:$D,'Attrition Modeling'!$B:$B,'IP Attrition'!$D57,'Attrition Modeling'!$C:$C,'IP Attrition'!BC$1),VLOOKUP($F57+BC$2,$A$6:$C$106,2,FALSE)*VLOOKUP(BC$1,'Attrition Modeling'!$L$15:$N$27,IF(BC$2+$F57&lt;=24,2,3),FALSE)),$C$3)*(1+Projection!BE$16)*(1+IF(BC189&gt;0,'Attrition Modeling'!$N$9,0)))</f>
        <v>0</v>
      </c>
      <c r="BD57" s="799">
        <f>(BC57+BD189)*(1-IFERROR(IF(BD$2+$F57&lt;=12,SUMIFS('Attrition Modeling'!$D:$D,'Attrition Modeling'!$B:$B,'IP Attrition'!$D57,'Attrition Modeling'!$C:$C,'IP Attrition'!BD$1),VLOOKUP($F57+BD$2,$A$6:$C$106,2,FALSE)*VLOOKUP(BD$1,'Attrition Modeling'!$L$15:$N$27,IF(BD$2+$F57&lt;=24,2,3),FALSE)),$C$3)*(1+Projection!BF$16)*(1+IF(BD189&gt;0,'Attrition Modeling'!$N$9,0)))</f>
        <v>0</v>
      </c>
      <c r="BE57" s="799">
        <f>(BD57+BE189)*(1-IFERROR(IF(BE$2+$F57&lt;=12,SUMIFS('Attrition Modeling'!$D:$D,'Attrition Modeling'!$B:$B,'IP Attrition'!$D57,'Attrition Modeling'!$C:$C,'IP Attrition'!BE$1),VLOOKUP($F57+BE$2,$A$6:$C$106,2,FALSE)*VLOOKUP(BE$1,'Attrition Modeling'!$L$15:$N$27,IF(BE$2+$F57&lt;=24,2,3),FALSE)),$C$3)*(1+Projection!BG$16)*(1+IF(BE189&gt;0,'Attrition Modeling'!$N$9,0)))</f>
        <v>0</v>
      </c>
      <c r="BF57" s="799">
        <f>(BE57+BF189)*(1-IFERROR(IF(BF$2+$F57&lt;=12,SUMIFS('Attrition Modeling'!$D:$D,'Attrition Modeling'!$B:$B,'IP Attrition'!$D57,'Attrition Modeling'!$C:$C,'IP Attrition'!BF$1),VLOOKUP($F57+BF$2,$A$6:$C$106,2,FALSE)*VLOOKUP(BF$1,'Attrition Modeling'!$L$15:$N$27,IF(BF$2+$F57&lt;=24,2,3),FALSE)),$C$3)*(1+Projection!BH$16)*(1+IF(BF189&gt;0,'Attrition Modeling'!$N$9,0)))</f>
        <v>0</v>
      </c>
      <c r="BG57" s="799">
        <f>(BF57+BG189)*(1-IFERROR(IF(BG$2+$F57&lt;=12,SUMIFS('Attrition Modeling'!$D:$D,'Attrition Modeling'!$B:$B,'IP Attrition'!$D57,'Attrition Modeling'!$C:$C,'IP Attrition'!BG$1),VLOOKUP($F57+BG$2,$A$6:$C$106,2,FALSE)*VLOOKUP(BG$1,'Attrition Modeling'!$L$15:$N$27,IF(BG$2+$F57&lt;=24,2,3),FALSE)),$C$3)*(1+Projection!BI$16)*(1+IF(BG189&gt;0,'Attrition Modeling'!$N$9,0)))</f>
        <v>0</v>
      </c>
      <c r="BH57" s="799">
        <f>(BG57+BH189)*(1-IFERROR(IF(BH$2+$F57&lt;=12,SUMIFS('Attrition Modeling'!$D:$D,'Attrition Modeling'!$B:$B,'IP Attrition'!$D57,'Attrition Modeling'!$C:$C,'IP Attrition'!BH$1),VLOOKUP($F57+BH$2,$A$6:$C$106,2,FALSE)*VLOOKUP(BH$1,'Attrition Modeling'!$L$15:$N$27,IF(BH$2+$F57&lt;=24,2,3),FALSE)),$C$3)*(1+Projection!BJ$16)*(1+IF(BH189&gt;0,'Attrition Modeling'!$N$9,0)))</f>
        <v>0</v>
      </c>
      <c r="BI57" s="799">
        <f>(BH57+BI189)*(1-IFERROR(IF(BI$2+$F57&lt;=12,SUMIFS('Attrition Modeling'!$D:$D,'Attrition Modeling'!$B:$B,'IP Attrition'!$D57,'Attrition Modeling'!$C:$C,'IP Attrition'!BI$1),VLOOKUP($F57+BI$2,$A$6:$C$106,2,FALSE)*VLOOKUP(BI$1,'Attrition Modeling'!$L$15:$N$27,IF(BI$2+$F57&lt;=24,2,3),FALSE)),$C$3)*(1+Projection!BK$16)*(1+IF(BI189&gt;0,'Attrition Modeling'!$N$9,0)))</f>
        <v>0</v>
      </c>
      <c r="BJ57" s="799">
        <f>(BI57+BJ189)*(1-IFERROR(IF(BJ$2+$F57&lt;=12,SUMIFS('Attrition Modeling'!$D:$D,'Attrition Modeling'!$B:$B,'IP Attrition'!$D57,'Attrition Modeling'!$C:$C,'IP Attrition'!BJ$1),VLOOKUP($F57+BJ$2,$A$6:$C$106,2,FALSE)*VLOOKUP(BJ$1,'Attrition Modeling'!$L$15:$N$27,IF(BJ$2+$F57&lt;=24,2,3),FALSE)),$C$3)*(1+Projection!BL$16)*(1+IF(BJ189&gt;0,'Attrition Modeling'!$N$9,0)))</f>
        <v>0</v>
      </c>
      <c r="BK57" s="799">
        <f>(BJ57+BK189)*(1-IFERROR(IF(BK$2+$F57&lt;=12,SUMIFS('Attrition Modeling'!$D:$D,'Attrition Modeling'!$B:$B,'IP Attrition'!$D57,'Attrition Modeling'!$C:$C,'IP Attrition'!BK$1),VLOOKUP($F57+BK$2,$A$6:$C$106,2,FALSE)*VLOOKUP(BK$1,'Attrition Modeling'!$L$15:$N$27,IF(BK$2+$F57&lt;=24,2,3),FALSE)),$C$3)*(1+Projection!BM$16)*(1+IF(BK189&gt;0,'Attrition Modeling'!$N$9,0)))</f>
        <v>0</v>
      </c>
      <c r="BL57" s="799">
        <f>(BK57+BL189)*(1-IFERROR(IF(BL$2+$F57&lt;=12,SUMIFS('Attrition Modeling'!$D:$D,'Attrition Modeling'!$B:$B,'IP Attrition'!$D57,'Attrition Modeling'!$C:$C,'IP Attrition'!BL$1),VLOOKUP($F57+BL$2,$A$6:$C$106,2,FALSE)*VLOOKUP(BL$1,'Attrition Modeling'!$L$15:$N$27,IF(BL$2+$F57&lt;=24,2,3),FALSE)),$C$3)*(1+Projection!BN$16)*(1+IF(BL189&gt;0,'Attrition Modeling'!$N$9,0)))</f>
        <v>0</v>
      </c>
      <c r="BM57" s="799">
        <f>(BL57+BM189)*(1-IFERROR(IF(BM$2+$F57&lt;=12,SUMIFS('Attrition Modeling'!$D:$D,'Attrition Modeling'!$B:$B,'IP Attrition'!$D57,'Attrition Modeling'!$C:$C,'IP Attrition'!BM$1),VLOOKUP($F57+BM$2,$A$6:$C$106,2,FALSE)*VLOOKUP(BM$1,'Attrition Modeling'!$L$15:$N$27,IF(BM$2+$F57&lt;=24,2,3),FALSE)),$C$3)*(1+Projection!BO$16)*(1+IF(BM189&gt;0,'Attrition Modeling'!$N$9,0)))</f>
        <v>0</v>
      </c>
      <c r="BN57" s="799">
        <f>(BM57+BN189)*(1-IFERROR(IF(BN$2+$F57&lt;=12,SUMIFS('Attrition Modeling'!$D:$D,'Attrition Modeling'!$B:$B,'IP Attrition'!$D57,'Attrition Modeling'!$C:$C,'IP Attrition'!BN$1),VLOOKUP($F57+BN$2,$A$6:$C$106,2,FALSE)*VLOOKUP(BN$1,'Attrition Modeling'!$L$15:$N$27,IF(BN$2+$F57&lt;=24,2,3),FALSE)),$C$3)*(1+Projection!BP$16)*(1+IF(BN189&gt;0,'Attrition Modeling'!$N$9,0)))</f>
        <v>0</v>
      </c>
      <c r="BO57" s="799">
        <f>(BN57+BO189)*(1-IFERROR(IF(BO$2+$F57&lt;=12,SUMIFS('Attrition Modeling'!$D:$D,'Attrition Modeling'!$B:$B,'IP Attrition'!$D57,'Attrition Modeling'!$C:$C,'IP Attrition'!BO$1),VLOOKUP($F57+BO$2,$A$6:$C$106,2,FALSE)*VLOOKUP(BO$1,'Attrition Modeling'!$L$15:$N$27,IF(BO$2+$F57&lt;=24,2,3),FALSE)),$C$3)*(1+Projection!BV$16)*(1+IF(BO189&gt;0,'Attrition Modeling'!$N$9,0)))</f>
        <v>0</v>
      </c>
      <c r="BP57" s="799">
        <f>(BO57+BP189)*(1-IFERROR(IF(BP$2+$F57&lt;=12,SUMIFS('Attrition Modeling'!$D:$D,'Attrition Modeling'!$B:$B,'IP Attrition'!$D57,'Attrition Modeling'!$C:$C,'IP Attrition'!BP$1),VLOOKUP($F57+BP$2,$A$6:$C$106,2,FALSE)*VLOOKUP(BP$1,'Attrition Modeling'!$L$15:$N$27,IF(BP$2+$F57&lt;=24,2,3),FALSE)),$C$3)*(1+Projection!BW$16)*(1+IF(BP189&gt;0,'Attrition Modeling'!$N$9,0)))</f>
        <v>0</v>
      </c>
      <c r="BQ57" s="799">
        <f>(BP57+BQ189)*(1-IFERROR(IF(BQ$2+$F57&lt;=12,SUMIFS('Attrition Modeling'!$D:$D,'Attrition Modeling'!$B:$B,'IP Attrition'!$D57,'Attrition Modeling'!$C:$C,'IP Attrition'!BQ$1),VLOOKUP($F57+BQ$2,$A$6:$C$106,2,FALSE)*VLOOKUP(BQ$1,'Attrition Modeling'!$L$15:$N$27,IF(BQ$2+$F57&lt;=24,2,3),FALSE)),$C$3)*(1+Projection!BX$16)*(1+IF(BQ189&gt;0,'Attrition Modeling'!$N$9,0)))</f>
        <v>0</v>
      </c>
      <c r="BR57" s="799">
        <f>(BQ57+BR189)*(1-IFERROR(IF(BR$2+$F57&lt;=12,SUMIFS('Attrition Modeling'!$D:$D,'Attrition Modeling'!$B:$B,'IP Attrition'!$D57,'Attrition Modeling'!$C:$C,'IP Attrition'!BR$1),VLOOKUP($F57+BR$2,$A$6:$C$106,2,FALSE)*VLOOKUP(BR$1,'Attrition Modeling'!$L$15:$N$27,IF(BR$2+$F57&lt;=24,2,3),FALSE)),$C$3)*(1+Projection!BY$16)*(1+IF(BR189&gt;0,'Attrition Modeling'!$N$9,0)))</f>
        <v>0</v>
      </c>
      <c r="BS57" s="799">
        <f>(BR57+BS189)*(1-IFERROR(IF(BS$2+$F57&lt;=12,SUMIFS('Attrition Modeling'!$D:$D,'Attrition Modeling'!$B:$B,'IP Attrition'!$D57,'Attrition Modeling'!$C:$C,'IP Attrition'!BS$1),VLOOKUP($F57+BS$2,$A$6:$C$106,2,FALSE)*VLOOKUP(BS$1,'Attrition Modeling'!$L$15:$N$27,IF(BS$2+$F57&lt;=24,2,3),FALSE)),$C$3)*(1+Projection!BZ$16)*(1+IF(BS189&gt;0,'Attrition Modeling'!$N$9,0)))</f>
        <v>0</v>
      </c>
      <c r="BT57" s="799" t="e">
        <f>(BS57+BT189)*(1-IFERROR(IF(BT$2+$F57&lt;=12,SUMIFS('Attrition Modeling'!$D:$D,'Attrition Modeling'!$B:$B,'IP Attrition'!$D57,'Attrition Modeling'!$C:$C,'IP Attrition'!BT$1),VLOOKUP($F57+BT$2,$A$6:$C$106,2,FALSE)*VLOOKUP(BT$1,'Attrition Modeling'!$L$15:$N$27,IF(BT$2+$F57&lt;=24,2,3),FALSE)),$C$3)*(1+Projection!CA$16)*(1+IF(BT189&gt;0,'Attrition Modeling'!$N$9,0)))</f>
        <v>#REF!</v>
      </c>
      <c r="BU57" s="799" t="e">
        <f>(BT57+BU189)*(1-IFERROR(IF(BU$2+$F57&lt;=12,SUMIFS('Attrition Modeling'!$D:$D,'Attrition Modeling'!$B:$B,'IP Attrition'!$D57,'Attrition Modeling'!$C:$C,'IP Attrition'!BU$1),VLOOKUP($F57+BU$2,$A$6:$C$106,2,FALSE)*VLOOKUP(BU$1,'Attrition Modeling'!$L$15:$N$27,IF(BU$2+$F57&lt;=24,2,3),FALSE)),$C$3)*(1+Projection!CB$16)*(1+IF(BU189&gt;0,'Attrition Modeling'!$N$9,0)))</f>
        <v>#REF!</v>
      </c>
    </row>
    <row r="58" spans="1:73" ht="14.25" customHeight="1" x14ac:dyDescent="0.2">
      <c r="A58" s="9">
        <v>51</v>
      </c>
      <c r="B58" s="25">
        <f>MAX('Attrition Modeling'!H55,$C$3)*(1-Summary!$C$20)</f>
        <v>2.4688940254515027E-2</v>
      </c>
      <c r="C58" s="24" t="e">
        <f t="shared" si="3"/>
        <v>#DIV/0!</v>
      </c>
      <c r="D58" s="11">
        <f t="shared" si="1"/>
        <v>-55</v>
      </c>
      <c r="E58" s="807">
        <f t="array" ref="E58">INDEX('Attrition Modeling'!$X$2:$AF$63,MATCH($F58,'Attrition Modeling'!$X$2:$X$63,0),MATCH(Inputs!$C$10,'Attrition Modeling'!$X$2:$AF$2,0))</f>
        <v>0</v>
      </c>
      <c r="F58" s="11">
        <f t="shared" si="2"/>
        <v>55</v>
      </c>
      <c r="G58" s="799">
        <f>Summary!$C$25*$E58</f>
        <v>0</v>
      </c>
      <c r="H58" s="799">
        <f>(G58+H190)*(1-IFERROR(IF(H$2+$F58&lt;=12,SUMIFS('Attrition Modeling'!$D:$D,'Attrition Modeling'!$B:$B,'IP Attrition'!$D58,'Attrition Modeling'!$C:$C,'IP Attrition'!H$1),VLOOKUP($F58+H$2,$A$6:$C$106,2,FALSE)*VLOOKUP(H$1,'Attrition Modeling'!$L$15:$N$27,IF(H$2+$F58&lt;=24,2,3),FALSE)),$C$3)*(1+Projection!J$16)*(1+IF(H190&gt;0,'Attrition Modeling'!$N$9,0)))</f>
        <v>0</v>
      </c>
      <c r="I58" s="799">
        <f>(H58+I190)*(1-IFERROR(IF(I$2+$F58&lt;=12,SUMIFS('Attrition Modeling'!$D:$D,'Attrition Modeling'!$B:$B,'IP Attrition'!$D58,'Attrition Modeling'!$C:$C,'IP Attrition'!I$1),VLOOKUP($F58+I$2,$A$6:$C$106,2,FALSE)*VLOOKUP(I$1,'Attrition Modeling'!$L$15:$N$27,IF(I$2+$F58&lt;=24,2,3),FALSE)),$C$3)*(1+Projection!K$16)*(1+IF(I190&gt;0,'Attrition Modeling'!$N$9,0)))</f>
        <v>0</v>
      </c>
      <c r="J58" s="799">
        <f>(I58+J190)*(1-IFERROR(IF(J$2+$F58&lt;=12,SUMIFS('Attrition Modeling'!$D:$D,'Attrition Modeling'!$B:$B,'IP Attrition'!$D58,'Attrition Modeling'!$C:$C,'IP Attrition'!J$1),VLOOKUP($F58+J$2,$A$6:$C$106,2,FALSE)*VLOOKUP(J$1,'Attrition Modeling'!$L$15:$N$27,IF(J$2+$F58&lt;=24,2,3),FALSE)),$C$3)*(1+Projection!L$16)*(1+IF(J190&gt;0,'Attrition Modeling'!$N$9,0)))</f>
        <v>0</v>
      </c>
      <c r="K58" s="799">
        <f>(J58+K190)*(1-IFERROR(IF(K$2+$F58&lt;=12,SUMIFS('Attrition Modeling'!$D:$D,'Attrition Modeling'!$B:$B,'IP Attrition'!$D58,'Attrition Modeling'!$C:$C,'IP Attrition'!K$1),VLOOKUP($F58+K$2,$A$6:$C$106,2,FALSE)*VLOOKUP(K$1,'Attrition Modeling'!$L$15:$N$27,IF(K$2+$F58&lt;=24,2,3),FALSE)),$C$3)*(1+Projection!M$16)*(1+IF(K190&gt;0,'Attrition Modeling'!$N$9,0)))</f>
        <v>0</v>
      </c>
      <c r="L58" s="799">
        <f>(K58+L190)*(1-IFERROR(IF(L$2+$F58&lt;=12,SUMIFS('Attrition Modeling'!$D:$D,'Attrition Modeling'!$B:$B,'IP Attrition'!$D58,'Attrition Modeling'!$C:$C,'IP Attrition'!L$1),VLOOKUP($F58+L$2,$A$6:$C$106,2,FALSE)*VLOOKUP(L$1,'Attrition Modeling'!$L$15:$N$27,IF(L$2+$F58&lt;=24,2,3),FALSE)),$C$3)*(1+Projection!N$16)*(1+IF(L190&gt;0,'Attrition Modeling'!$N$9,0)))</f>
        <v>0</v>
      </c>
      <c r="M58" s="799">
        <f>(L58+M190)*(1-IFERROR(IF(M$2+$F58&lt;=12,SUMIFS('Attrition Modeling'!$D:$D,'Attrition Modeling'!$B:$B,'IP Attrition'!$D58,'Attrition Modeling'!$C:$C,'IP Attrition'!M$1),VLOOKUP($F58+M$2,$A$6:$C$106,2,FALSE)*VLOOKUP(M$1,'Attrition Modeling'!$L$15:$N$27,IF(M$2+$F58&lt;=24,2,3),FALSE)),$C$3)*(1+Projection!O$16)*(1+IF(M190&gt;0,'Attrition Modeling'!$N$9,0)))</f>
        <v>0</v>
      </c>
      <c r="N58" s="799">
        <f>(M58+N190)*(1-IFERROR(IF(N$2+$F58&lt;=12,SUMIFS('Attrition Modeling'!$D:$D,'Attrition Modeling'!$B:$B,'IP Attrition'!$D58,'Attrition Modeling'!$C:$C,'IP Attrition'!N$1),VLOOKUP($F58+N$2,$A$6:$C$106,2,FALSE)*VLOOKUP(N$1,'Attrition Modeling'!$L$15:$N$27,IF(N$2+$F58&lt;=24,2,3),FALSE)),$C$3)*(1+Projection!P$16)*(1+IF(N190&gt;0,'Attrition Modeling'!$N$9,0)))</f>
        <v>0</v>
      </c>
      <c r="O58" s="799">
        <f>(N58+O190)*(1-IFERROR(IF(O$2+$F58&lt;=12,SUMIFS('Attrition Modeling'!$D:$D,'Attrition Modeling'!$B:$B,'IP Attrition'!$D58,'Attrition Modeling'!$C:$C,'IP Attrition'!O$1),VLOOKUP($F58+O$2,$A$6:$C$106,2,FALSE)*VLOOKUP(O$1,'Attrition Modeling'!$L$15:$N$27,IF(O$2+$F58&lt;=24,2,3),FALSE)),$C$3)*(1+Projection!Q$16)*(1+IF(O190&gt;0,'Attrition Modeling'!$N$9,0)))</f>
        <v>0</v>
      </c>
      <c r="P58" s="799">
        <f>(O58+P190)*(1-IFERROR(IF(P$2+$F58&lt;=12,SUMIFS('Attrition Modeling'!$D:$D,'Attrition Modeling'!$B:$B,'IP Attrition'!$D58,'Attrition Modeling'!$C:$C,'IP Attrition'!P$1),VLOOKUP($F58+P$2,$A$6:$C$106,2,FALSE)*VLOOKUP(P$1,'Attrition Modeling'!$L$15:$N$27,IF(P$2+$F58&lt;=24,2,3),FALSE)),$C$3)*(1+Projection!R$16)*(1+IF(P190&gt;0,'Attrition Modeling'!$N$9,0)))</f>
        <v>0</v>
      </c>
      <c r="Q58" s="799">
        <f>(P58+Q190)*(1-IFERROR(IF(Q$2+$F58&lt;=12,SUMIFS('Attrition Modeling'!$D:$D,'Attrition Modeling'!$B:$B,'IP Attrition'!$D58,'Attrition Modeling'!$C:$C,'IP Attrition'!Q$1),VLOOKUP($F58+Q$2,$A$6:$C$106,2,FALSE)*VLOOKUP(Q$1,'Attrition Modeling'!$L$15:$N$27,IF(Q$2+$F58&lt;=24,2,3),FALSE)),$C$3)*(1+Projection!S$16)*(1+IF(Q190&gt;0,'Attrition Modeling'!$N$9,0)))</f>
        <v>0</v>
      </c>
      <c r="R58" s="799">
        <f>(Q58+R190)*(1-IFERROR(IF(R$2+$F58&lt;=12,SUMIFS('Attrition Modeling'!$D:$D,'Attrition Modeling'!$B:$B,'IP Attrition'!$D58,'Attrition Modeling'!$C:$C,'IP Attrition'!R$1),VLOOKUP($F58+R$2,$A$6:$C$106,2,FALSE)*VLOOKUP(R$1,'Attrition Modeling'!$L$15:$N$27,IF(R$2+$F58&lt;=24,2,3),FALSE)),$C$3)*(1+Projection!T$16)*(1+IF(R190&gt;0,'Attrition Modeling'!$N$9,0)))</f>
        <v>0</v>
      </c>
      <c r="S58" s="799">
        <f>(R58+S190)*(1-IFERROR(IF(S$2+$F58&lt;=12,SUMIFS('Attrition Modeling'!$D:$D,'Attrition Modeling'!$B:$B,'IP Attrition'!$D58,'Attrition Modeling'!$C:$C,'IP Attrition'!S$1),VLOOKUP($F58+S$2,$A$6:$C$106,2,FALSE)*VLOOKUP(S$1,'Attrition Modeling'!$L$15:$N$27,IF(S$2+$F58&lt;=24,2,3),FALSE)),$C$3)*(1+Projection!U$16)*(1+IF(S190&gt;0,'Attrition Modeling'!$N$9,0)))</f>
        <v>0</v>
      </c>
      <c r="T58" s="799">
        <f>(S58+T190)*(1-IFERROR(IF(T$2+$F58&lt;=12,SUMIFS('Attrition Modeling'!$D:$D,'Attrition Modeling'!$B:$B,'IP Attrition'!$D58,'Attrition Modeling'!$C:$C,'IP Attrition'!T$1),VLOOKUP($F58+T$2,$A$6:$C$106,2,FALSE)*VLOOKUP(T$1,'Attrition Modeling'!$L$15:$N$27,IF(T$2+$F58&lt;=24,2,3),FALSE)),$C$3)*(1+Projection!V$16)*(1+IF(T190&gt;0,'Attrition Modeling'!$N$9,0)))</f>
        <v>0</v>
      </c>
      <c r="U58" s="799">
        <f>(T58+U190)*(1-IFERROR(IF(U$2+$F58&lt;=12,SUMIFS('Attrition Modeling'!$D:$D,'Attrition Modeling'!$B:$B,'IP Attrition'!$D58,'Attrition Modeling'!$C:$C,'IP Attrition'!U$1),VLOOKUP($F58+U$2,$A$6:$C$106,2,FALSE)*VLOOKUP(U$1,'Attrition Modeling'!$L$15:$N$27,IF(U$2+$F58&lt;=24,2,3),FALSE)),$C$3)*(1+Projection!W$16)*(1+IF(U190&gt;0,'Attrition Modeling'!$N$9,0)))</f>
        <v>0</v>
      </c>
      <c r="V58" s="799">
        <f>(U58+V190)*(1-IFERROR(IF(V$2+$F58&lt;=12,SUMIFS('Attrition Modeling'!$D:$D,'Attrition Modeling'!$B:$B,'IP Attrition'!$D58,'Attrition Modeling'!$C:$C,'IP Attrition'!V$1),VLOOKUP($F58+V$2,$A$6:$C$106,2,FALSE)*VLOOKUP(V$1,'Attrition Modeling'!$L$15:$N$27,IF(V$2+$F58&lt;=24,2,3),FALSE)),$C$3)*(1+Projection!X$16)*(1+IF(V190&gt;0,'Attrition Modeling'!$N$9,0)))</f>
        <v>0</v>
      </c>
      <c r="W58" s="799">
        <f>(V58+W190)*(1-IFERROR(IF(W$2+$F58&lt;=12,SUMIFS('Attrition Modeling'!$D:$D,'Attrition Modeling'!$B:$B,'IP Attrition'!$D58,'Attrition Modeling'!$C:$C,'IP Attrition'!W$1),VLOOKUP($F58+W$2,$A$6:$C$106,2,FALSE)*VLOOKUP(W$1,'Attrition Modeling'!$L$15:$N$27,IF(W$2+$F58&lt;=24,2,3),FALSE)),$C$3)*(1+Projection!Y$16)*(1+IF(W190&gt;0,'Attrition Modeling'!$N$9,0)))</f>
        <v>0</v>
      </c>
      <c r="X58" s="799">
        <f>(W58+X190)*(1-IFERROR(IF(X$2+$F58&lt;=12,SUMIFS('Attrition Modeling'!$D:$D,'Attrition Modeling'!$B:$B,'IP Attrition'!$D58,'Attrition Modeling'!$C:$C,'IP Attrition'!X$1),VLOOKUP($F58+X$2,$A$6:$C$106,2,FALSE)*VLOOKUP(X$1,'Attrition Modeling'!$L$15:$N$27,IF(X$2+$F58&lt;=24,2,3),FALSE)),$C$3)*(1+Projection!Z$16)*(1+IF(X190&gt;0,'Attrition Modeling'!$N$9,0)))</f>
        <v>0</v>
      </c>
      <c r="Y58" s="799">
        <f>(X58+Y190)*(1-IFERROR(IF(Y$2+$F58&lt;=12,SUMIFS('Attrition Modeling'!$D:$D,'Attrition Modeling'!$B:$B,'IP Attrition'!$D58,'Attrition Modeling'!$C:$C,'IP Attrition'!Y$1),VLOOKUP($F58+Y$2,$A$6:$C$106,2,FALSE)*VLOOKUP(Y$1,'Attrition Modeling'!$L$15:$N$27,IF(Y$2+$F58&lt;=24,2,3),FALSE)),$C$3)*(1+Projection!AA$16)*(1+IF(Y190&gt;0,'Attrition Modeling'!$N$9,0)))</f>
        <v>0</v>
      </c>
      <c r="Z58" s="799">
        <f>(Y58+Z190)*(1-IFERROR(IF(Z$2+$F58&lt;=12,SUMIFS('Attrition Modeling'!$D:$D,'Attrition Modeling'!$B:$B,'IP Attrition'!$D58,'Attrition Modeling'!$C:$C,'IP Attrition'!Z$1),VLOOKUP($F58+Z$2,$A$6:$C$106,2,FALSE)*VLOOKUP(Z$1,'Attrition Modeling'!$L$15:$N$27,IF(Z$2+$F58&lt;=24,2,3),FALSE)),$C$3)*(1+Projection!AB$16)*(1+IF(Z190&gt;0,'Attrition Modeling'!$N$9,0)))</f>
        <v>0</v>
      </c>
      <c r="AA58" s="799">
        <f>(Z58+AA190)*(1-IFERROR(IF(AA$2+$F58&lt;=12,SUMIFS('Attrition Modeling'!$D:$D,'Attrition Modeling'!$B:$B,'IP Attrition'!$D58,'Attrition Modeling'!$C:$C,'IP Attrition'!AA$1),VLOOKUP($F58+AA$2,$A$6:$C$106,2,FALSE)*VLOOKUP(AA$1,'Attrition Modeling'!$L$15:$N$27,IF(AA$2+$F58&lt;=24,2,3),FALSE)),$C$3)*(1+Projection!AC$16)*(1+IF(AA190&gt;0,'Attrition Modeling'!$N$9,0)))</f>
        <v>0</v>
      </c>
      <c r="AB58" s="799">
        <f>(AA58+AB190)*(1-IFERROR(IF(AB$2+$F58&lt;=12,SUMIFS('Attrition Modeling'!$D:$D,'Attrition Modeling'!$B:$B,'IP Attrition'!$D58,'Attrition Modeling'!$C:$C,'IP Attrition'!AB$1),VLOOKUP($F58+AB$2,$A$6:$C$106,2,FALSE)*VLOOKUP(AB$1,'Attrition Modeling'!$L$15:$N$27,IF(AB$2+$F58&lt;=24,2,3),FALSE)),$C$3)*(1+Projection!AD$16)*(1+IF(AB190&gt;0,'Attrition Modeling'!$N$9,0)))</f>
        <v>0</v>
      </c>
      <c r="AC58" s="799">
        <f>(AB58+AC190)*(1-IFERROR(IF(AC$2+$F58&lt;=12,SUMIFS('Attrition Modeling'!$D:$D,'Attrition Modeling'!$B:$B,'IP Attrition'!$D58,'Attrition Modeling'!$C:$C,'IP Attrition'!AC$1),VLOOKUP($F58+AC$2,$A$6:$C$106,2,FALSE)*VLOOKUP(AC$1,'Attrition Modeling'!$L$15:$N$27,IF(AC$2+$F58&lt;=24,2,3),FALSE)),$C$3)*(1+Projection!AE$16)*(1+IF(AC190&gt;0,'Attrition Modeling'!$N$9,0)))</f>
        <v>0</v>
      </c>
      <c r="AD58" s="799">
        <f>(AC58+AD190)*(1-IFERROR(IF(AD$2+$F58&lt;=12,SUMIFS('Attrition Modeling'!$D:$D,'Attrition Modeling'!$B:$B,'IP Attrition'!$D58,'Attrition Modeling'!$C:$C,'IP Attrition'!AD$1),VLOOKUP($F58+AD$2,$A$6:$C$106,2,FALSE)*VLOOKUP(AD$1,'Attrition Modeling'!$L$15:$N$27,IF(AD$2+$F58&lt;=24,2,3),FALSE)),$C$3)*(1+Projection!AF$16)*(1+IF(AD190&gt;0,'Attrition Modeling'!$N$9,0)))</f>
        <v>0</v>
      </c>
      <c r="AE58" s="799">
        <f>(AD58+AE190)*(1-IFERROR(IF(AE$2+$F58&lt;=12,SUMIFS('Attrition Modeling'!$D:$D,'Attrition Modeling'!$B:$B,'IP Attrition'!$D58,'Attrition Modeling'!$C:$C,'IP Attrition'!AE$1),VLOOKUP($F58+AE$2,$A$6:$C$106,2,FALSE)*VLOOKUP(AE$1,'Attrition Modeling'!$L$15:$N$27,IF(AE$2+$F58&lt;=24,2,3),FALSE)),$C$3)*(1+Projection!AG$16)*(1+IF(AE190&gt;0,'Attrition Modeling'!$N$9,0)))</f>
        <v>0</v>
      </c>
      <c r="AF58" s="799">
        <f>(AE58+AF190)*(1-IFERROR(IF(AF$2+$F58&lt;=12,SUMIFS('Attrition Modeling'!$D:$D,'Attrition Modeling'!$B:$B,'IP Attrition'!$D58,'Attrition Modeling'!$C:$C,'IP Attrition'!AF$1),VLOOKUP($F58+AF$2,$A$6:$C$106,2,FALSE)*VLOOKUP(AF$1,'Attrition Modeling'!$L$15:$N$27,IF(AF$2+$F58&lt;=24,2,3),FALSE)),$C$3)*(1+Projection!AH$16)*(1+IF(AF190&gt;0,'Attrition Modeling'!$N$9,0)))</f>
        <v>0</v>
      </c>
      <c r="AG58" s="799">
        <f>(AF58+AG190)*(1-IFERROR(IF(AG$2+$F58&lt;=12,SUMIFS('Attrition Modeling'!$D:$D,'Attrition Modeling'!$B:$B,'IP Attrition'!$D58,'Attrition Modeling'!$C:$C,'IP Attrition'!AG$1),VLOOKUP($F58+AG$2,$A$6:$C$106,2,FALSE)*VLOOKUP(AG$1,'Attrition Modeling'!$L$15:$N$27,IF(AG$2+$F58&lt;=24,2,3),FALSE)),$C$3)*(1+Projection!AI$16)*(1+IF(AG190&gt;0,'Attrition Modeling'!$N$9,0)))</f>
        <v>0</v>
      </c>
      <c r="AH58" s="799">
        <f>(AG58+AH190)*(1-IFERROR(IF(AH$2+$F58&lt;=12,SUMIFS('Attrition Modeling'!$D:$D,'Attrition Modeling'!$B:$B,'IP Attrition'!$D58,'Attrition Modeling'!$C:$C,'IP Attrition'!AH$1),VLOOKUP($F58+AH$2,$A$6:$C$106,2,FALSE)*VLOOKUP(AH$1,'Attrition Modeling'!$L$15:$N$27,IF(AH$2+$F58&lt;=24,2,3),FALSE)),$C$3)*(1+Projection!AJ$16)*(1+IF(AH190&gt;0,'Attrition Modeling'!$N$9,0)))</f>
        <v>0</v>
      </c>
      <c r="AI58" s="799">
        <f>(AH58+AI190)*(1-IFERROR(IF(AI$2+$F58&lt;=12,SUMIFS('Attrition Modeling'!$D:$D,'Attrition Modeling'!$B:$B,'IP Attrition'!$D58,'Attrition Modeling'!$C:$C,'IP Attrition'!AI$1),VLOOKUP($F58+AI$2,$A$6:$C$106,2,FALSE)*VLOOKUP(AI$1,'Attrition Modeling'!$L$15:$N$27,IF(AI$2+$F58&lt;=24,2,3),FALSE)),$C$3)*(1+Projection!AK$16)*(1+IF(AI190&gt;0,'Attrition Modeling'!$N$9,0)))</f>
        <v>0</v>
      </c>
      <c r="AJ58" s="799">
        <f>(AI58+AJ190)*(1-IFERROR(IF(AJ$2+$F58&lt;=12,SUMIFS('Attrition Modeling'!$D:$D,'Attrition Modeling'!$B:$B,'IP Attrition'!$D58,'Attrition Modeling'!$C:$C,'IP Attrition'!AJ$1),VLOOKUP($F58+AJ$2,$A$6:$C$106,2,FALSE)*VLOOKUP(AJ$1,'Attrition Modeling'!$L$15:$N$27,IF(AJ$2+$F58&lt;=24,2,3),FALSE)),$C$3)*(1+Projection!AL$16)*(1+IF(AJ190&gt;0,'Attrition Modeling'!$N$9,0)))</f>
        <v>0</v>
      </c>
      <c r="AK58" s="799">
        <f>(AJ58+AK190)*(1-IFERROR(IF(AK$2+$F58&lt;=12,SUMIFS('Attrition Modeling'!$D:$D,'Attrition Modeling'!$B:$B,'IP Attrition'!$D58,'Attrition Modeling'!$C:$C,'IP Attrition'!AK$1),VLOOKUP($F58+AK$2,$A$6:$C$106,2,FALSE)*VLOOKUP(AK$1,'Attrition Modeling'!$L$15:$N$27,IF(AK$2+$F58&lt;=24,2,3),FALSE)),$C$3)*(1+Projection!AM$16)*(1+IF(AK190&gt;0,'Attrition Modeling'!$N$9,0)))</f>
        <v>0</v>
      </c>
      <c r="AL58" s="799">
        <f>(AK58+AL190)*(1-IFERROR(IF(AL$2+$F58&lt;=12,SUMIFS('Attrition Modeling'!$D:$D,'Attrition Modeling'!$B:$B,'IP Attrition'!$D58,'Attrition Modeling'!$C:$C,'IP Attrition'!AL$1),VLOOKUP($F58+AL$2,$A$6:$C$106,2,FALSE)*VLOOKUP(AL$1,'Attrition Modeling'!$L$15:$N$27,IF(AL$2+$F58&lt;=24,2,3),FALSE)),$C$3)*(1+Projection!AN$16)*(1+IF(AL190&gt;0,'Attrition Modeling'!$N$9,0)))</f>
        <v>0</v>
      </c>
      <c r="AM58" s="799">
        <f>(AL58+AM190)*(1-IFERROR(IF(AM$2+$F58&lt;=12,SUMIFS('Attrition Modeling'!$D:$D,'Attrition Modeling'!$B:$B,'IP Attrition'!$D58,'Attrition Modeling'!$C:$C,'IP Attrition'!AM$1),VLOOKUP($F58+AM$2,$A$6:$C$106,2,FALSE)*VLOOKUP(AM$1,'Attrition Modeling'!$L$15:$N$27,IF(AM$2+$F58&lt;=24,2,3),FALSE)),$C$3)*(1+Projection!AO$16)*(1+IF(AM190&gt;0,'Attrition Modeling'!$N$9,0)))</f>
        <v>0</v>
      </c>
      <c r="AN58" s="799">
        <f>(AM58+AN190)*(1-IFERROR(IF(AN$2+$F58&lt;=12,SUMIFS('Attrition Modeling'!$D:$D,'Attrition Modeling'!$B:$B,'IP Attrition'!$D58,'Attrition Modeling'!$C:$C,'IP Attrition'!AN$1),VLOOKUP($F58+AN$2,$A$6:$C$106,2,FALSE)*VLOOKUP(AN$1,'Attrition Modeling'!$L$15:$N$27,IF(AN$2+$F58&lt;=24,2,3),FALSE)),$C$3)*(1+Projection!AP$16)*(1+IF(AN190&gt;0,'Attrition Modeling'!$N$9,0)))</f>
        <v>0</v>
      </c>
      <c r="AO58" s="799">
        <f>(AN58+AO190)*(1-IFERROR(IF(AO$2+$F58&lt;=12,SUMIFS('Attrition Modeling'!$D:$D,'Attrition Modeling'!$B:$B,'IP Attrition'!$D58,'Attrition Modeling'!$C:$C,'IP Attrition'!AO$1),VLOOKUP($F58+AO$2,$A$6:$C$106,2,FALSE)*VLOOKUP(AO$1,'Attrition Modeling'!$L$15:$N$27,IF(AO$2+$F58&lt;=24,2,3),FALSE)),$C$3)*(1+Projection!AQ$16)*(1+IF(AO190&gt;0,'Attrition Modeling'!$N$9,0)))</f>
        <v>0</v>
      </c>
      <c r="AP58" s="799">
        <f>(AO58+AP190)*(1-IFERROR(IF(AP$2+$F58&lt;=12,SUMIFS('Attrition Modeling'!$D:$D,'Attrition Modeling'!$B:$B,'IP Attrition'!$D58,'Attrition Modeling'!$C:$C,'IP Attrition'!AP$1),VLOOKUP($F58+AP$2,$A$6:$C$106,2,FALSE)*VLOOKUP(AP$1,'Attrition Modeling'!$L$15:$N$27,IF(AP$2+$F58&lt;=24,2,3),FALSE)),$C$3)*(1+Projection!AR$16)*(1+IF(AP190&gt;0,'Attrition Modeling'!$N$9,0)))</f>
        <v>0</v>
      </c>
      <c r="AQ58" s="799">
        <f>(AP58+AQ190)*(1-IFERROR(IF(AQ$2+$F58&lt;=12,SUMIFS('Attrition Modeling'!$D:$D,'Attrition Modeling'!$B:$B,'IP Attrition'!$D58,'Attrition Modeling'!$C:$C,'IP Attrition'!AQ$1),VLOOKUP($F58+AQ$2,$A$6:$C$106,2,FALSE)*VLOOKUP(AQ$1,'Attrition Modeling'!$L$15:$N$27,IF(AQ$2+$F58&lt;=24,2,3),FALSE)),$C$3)*(1+Projection!AS$16)*(1+IF(AQ190&gt;0,'Attrition Modeling'!$N$9,0)))</f>
        <v>0</v>
      </c>
      <c r="AR58" s="799">
        <f>(AQ58+AR190)*(1-IFERROR(IF(AR$2+$F58&lt;=12,SUMIFS('Attrition Modeling'!$D:$D,'Attrition Modeling'!$B:$B,'IP Attrition'!$D58,'Attrition Modeling'!$C:$C,'IP Attrition'!AR$1),VLOOKUP($F58+AR$2,$A$6:$C$106,2,FALSE)*VLOOKUP(AR$1,'Attrition Modeling'!$L$15:$N$27,IF(AR$2+$F58&lt;=24,2,3),FALSE)),$C$3)*(1+Projection!AT$16)*(1+IF(AR190&gt;0,'Attrition Modeling'!$N$9,0)))</f>
        <v>0</v>
      </c>
      <c r="AS58" s="799">
        <f>(AR58+AS190)*(1-IFERROR(IF(AS$2+$F58&lt;=12,SUMIFS('Attrition Modeling'!$D:$D,'Attrition Modeling'!$B:$B,'IP Attrition'!$D58,'Attrition Modeling'!$C:$C,'IP Attrition'!AS$1),VLOOKUP($F58+AS$2,$A$6:$C$106,2,FALSE)*VLOOKUP(AS$1,'Attrition Modeling'!$L$15:$N$27,IF(AS$2+$F58&lt;=24,2,3),FALSE)),$C$3)*(1+Projection!AU$16)*(1+IF(AS190&gt;0,'Attrition Modeling'!$N$9,0)))</f>
        <v>0</v>
      </c>
      <c r="AT58" s="799">
        <f>(AS58+AT190)*(1-IFERROR(IF(AT$2+$F58&lt;=12,SUMIFS('Attrition Modeling'!$D:$D,'Attrition Modeling'!$B:$B,'IP Attrition'!$D58,'Attrition Modeling'!$C:$C,'IP Attrition'!AT$1),VLOOKUP($F58+AT$2,$A$6:$C$106,2,FALSE)*VLOOKUP(AT$1,'Attrition Modeling'!$L$15:$N$27,IF(AT$2+$F58&lt;=24,2,3),FALSE)),$C$3)*(1+Projection!AV$16)*(1+IF(AT190&gt;0,'Attrition Modeling'!$N$9,0)))</f>
        <v>0</v>
      </c>
      <c r="AU58" s="799">
        <f>(AT58+AU190)*(1-IFERROR(IF(AU$2+$F58&lt;=12,SUMIFS('Attrition Modeling'!$D:$D,'Attrition Modeling'!$B:$B,'IP Attrition'!$D58,'Attrition Modeling'!$C:$C,'IP Attrition'!AU$1),VLOOKUP($F58+AU$2,$A$6:$C$106,2,FALSE)*VLOOKUP(AU$1,'Attrition Modeling'!$L$15:$N$27,IF(AU$2+$F58&lt;=24,2,3),FALSE)),$C$3)*(1+Projection!AW$16)*(1+IF(AU190&gt;0,'Attrition Modeling'!$N$9,0)))</f>
        <v>0</v>
      </c>
      <c r="AV58" s="799">
        <f>(AU58+AV190)*(1-IFERROR(IF(AV$2+$F58&lt;=12,SUMIFS('Attrition Modeling'!$D:$D,'Attrition Modeling'!$B:$B,'IP Attrition'!$D58,'Attrition Modeling'!$C:$C,'IP Attrition'!AV$1),VLOOKUP($F58+AV$2,$A$6:$C$106,2,FALSE)*VLOOKUP(AV$1,'Attrition Modeling'!$L$15:$N$27,IF(AV$2+$F58&lt;=24,2,3),FALSE)),$C$3)*(1+Projection!AX$16)*(1+IF(AV190&gt;0,'Attrition Modeling'!$N$9,0)))</f>
        <v>0</v>
      </c>
      <c r="AW58" s="799">
        <f>(AV58+AW190)*(1-IFERROR(IF(AW$2+$F58&lt;=12,SUMIFS('Attrition Modeling'!$D:$D,'Attrition Modeling'!$B:$B,'IP Attrition'!$D58,'Attrition Modeling'!$C:$C,'IP Attrition'!AW$1),VLOOKUP($F58+AW$2,$A$6:$C$106,2,FALSE)*VLOOKUP(AW$1,'Attrition Modeling'!$L$15:$N$27,IF(AW$2+$F58&lt;=24,2,3),FALSE)),$C$3)*(1+Projection!AY$16)*(1+IF(AW190&gt;0,'Attrition Modeling'!$N$9,0)))</f>
        <v>0</v>
      </c>
      <c r="AX58" s="799">
        <f>(AW58+AX190)*(1-IFERROR(IF(AX$2+$F58&lt;=12,SUMIFS('Attrition Modeling'!$D:$D,'Attrition Modeling'!$B:$B,'IP Attrition'!$D58,'Attrition Modeling'!$C:$C,'IP Attrition'!AX$1),VLOOKUP($F58+AX$2,$A$6:$C$106,2,FALSE)*VLOOKUP(AX$1,'Attrition Modeling'!$L$15:$N$27,IF(AX$2+$F58&lt;=24,2,3),FALSE)),$C$3)*(1+Projection!AZ$16)*(1+IF(AX190&gt;0,'Attrition Modeling'!$N$9,0)))</f>
        <v>0</v>
      </c>
      <c r="AY58" s="799">
        <f>(AX58+AY190)*(1-IFERROR(IF(AY$2+$F58&lt;=12,SUMIFS('Attrition Modeling'!$D:$D,'Attrition Modeling'!$B:$B,'IP Attrition'!$D58,'Attrition Modeling'!$C:$C,'IP Attrition'!AY$1),VLOOKUP($F58+AY$2,$A$6:$C$106,2,FALSE)*VLOOKUP(AY$1,'Attrition Modeling'!$L$15:$N$27,IF(AY$2+$F58&lt;=24,2,3),FALSE)),$C$3)*(1+Projection!BA$16)*(1+IF(AY190&gt;0,'Attrition Modeling'!$N$9,0)))</f>
        <v>0</v>
      </c>
      <c r="AZ58" s="799">
        <f>(AY58+AZ190)*(1-IFERROR(IF(AZ$2+$F58&lt;=12,SUMIFS('Attrition Modeling'!$D:$D,'Attrition Modeling'!$B:$B,'IP Attrition'!$D58,'Attrition Modeling'!$C:$C,'IP Attrition'!AZ$1),VLOOKUP($F58+AZ$2,$A$6:$C$106,2,FALSE)*VLOOKUP(AZ$1,'Attrition Modeling'!$L$15:$N$27,IF(AZ$2+$F58&lt;=24,2,3),FALSE)),$C$3)*(1+Projection!BB$16)*(1+IF(AZ190&gt;0,'Attrition Modeling'!$N$9,0)))</f>
        <v>0</v>
      </c>
      <c r="BA58" s="799">
        <f>(AZ58+BA190)*(1-IFERROR(IF(BA$2+$F58&lt;=12,SUMIFS('Attrition Modeling'!$D:$D,'Attrition Modeling'!$B:$B,'IP Attrition'!$D58,'Attrition Modeling'!$C:$C,'IP Attrition'!BA$1),VLOOKUP($F58+BA$2,$A$6:$C$106,2,FALSE)*VLOOKUP(BA$1,'Attrition Modeling'!$L$15:$N$27,IF(BA$2+$F58&lt;=24,2,3),FALSE)),$C$3)*(1+Projection!BC$16)*(1+IF(BA190&gt;0,'Attrition Modeling'!$N$9,0)))</f>
        <v>0</v>
      </c>
      <c r="BB58" s="799">
        <f>(BA58+BB190)*(1-IFERROR(IF(BB$2+$F58&lt;=12,SUMIFS('Attrition Modeling'!$D:$D,'Attrition Modeling'!$B:$B,'IP Attrition'!$D58,'Attrition Modeling'!$C:$C,'IP Attrition'!BB$1),VLOOKUP($F58+BB$2,$A$6:$C$106,2,FALSE)*VLOOKUP(BB$1,'Attrition Modeling'!$L$15:$N$27,IF(BB$2+$F58&lt;=24,2,3),FALSE)),$C$3)*(1+Projection!BD$16)*(1+IF(BB190&gt;0,'Attrition Modeling'!$N$9,0)))</f>
        <v>0</v>
      </c>
      <c r="BC58" s="799">
        <f>(BB58+BC190)*(1-IFERROR(IF(BC$2+$F58&lt;=12,SUMIFS('Attrition Modeling'!$D:$D,'Attrition Modeling'!$B:$B,'IP Attrition'!$D58,'Attrition Modeling'!$C:$C,'IP Attrition'!BC$1),VLOOKUP($F58+BC$2,$A$6:$C$106,2,FALSE)*VLOOKUP(BC$1,'Attrition Modeling'!$L$15:$N$27,IF(BC$2+$F58&lt;=24,2,3),FALSE)),$C$3)*(1+Projection!BE$16)*(1+IF(BC190&gt;0,'Attrition Modeling'!$N$9,0)))</f>
        <v>0</v>
      </c>
      <c r="BD58" s="799">
        <f>(BC58+BD190)*(1-IFERROR(IF(BD$2+$F58&lt;=12,SUMIFS('Attrition Modeling'!$D:$D,'Attrition Modeling'!$B:$B,'IP Attrition'!$D58,'Attrition Modeling'!$C:$C,'IP Attrition'!BD$1),VLOOKUP($F58+BD$2,$A$6:$C$106,2,FALSE)*VLOOKUP(BD$1,'Attrition Modeling'!$L$15:$N$27,IF(BD$2+$F58&lt;=24,2,3),FALSE)),$C$3)*(1+Projection!BF$16)*(1+IF(BD190&gt;0,'Attrition Modeling'!$N$9,0)))</f>
        <v>0</v>
      </c>
      <c r="BE58" s="799">
        <f>(BD58+BE190)*(1-IFERROR(IF(BE$2+$F58&lt;=12,SUMIFS('Attrition Modeling'!$D:$D,'Attrition Modeling'!$B:$B,'IP Attrition'!$D58,'Attrition Modeling'!$C:$C,'IP Attrition'!BE$1),VLOOKUP($F58+BE$2,$A$6:$C$106,2,FALSE)*VLOOKUP(BE$1,'Attrition Modeling'!$L$15:$N$27,IF(BE$2+$F58&lt;=24,2,3),FALSE)),$C$3)*(1+Projection!BG$16)*(1+IF(BE190&gt;0,'Attrition Modeling'!$N$9,0)))</f>
        <v>0</v>
      </c>
      <c r="BF58" s="799">
        <f>(BE58+BF190)*(1-IFERROR(IF(BF$2+$F58&lt;=12,SUMIFS('Attrition Modeling'!$D:$D,'Attrition Modeling'!$B:$B,'IP Attrition'!$D58,'Attrition Modeling'!$C:$C,'IP Attrition'!BF$1),VLOOKUP($F58+BF$2,$A$6:$C$106,2,FALSE)*VLOOKUP(BF$1,'Attrition Modeling'!$L$15:$N$27,IF(BF$2+$F58&lt;=24,2,3),FALSE)),$C$3)*(1+Projection!BH$16)*(1+IF(BF190&gt;0,'Attrition Modeling'!$N$9,0)))</f>
        <v>0</v>
      </c>
      <c r="BG58" s="799">
        <f>(BF58+BG190)*(1-IFERROR(IF(BG$2+$F58&lt;=12,SUMIFS('Attrition Modeling'!$D:$D,'Attrition Modeling'!$B:$B,'IP Attrition'!$D58,'Attrition Modeling'!$C:$C,'IP Attrition'!BG$1),VLOOKUP($F58+BG$2,$A$6:$C$106,2,FALSE)*VLOOKUP(BG$1,'Attrition Modeling'!$L$15:$N$27,IF(BG$2+$F58&lt;=24,2,3),FALSE)),$C$3)*(1+Projection!BI$16)*(1+IF(BG190&gt;0,'Attrition Modeling'!$N$9,0)))</f>
        <v>0</v>
      </c>
      <c r="BH58" s="799">
        <f>(BG58+BH190)*(1-IFERROR(IF(BH$2+$F58&lt;=12,SUMIFS('Attrition Modeling'!$D:$D,'Attrition Modeling'!$B:$B,'IP Attrition'!$D58,'Attrition Modeling'!$C:$C,'IP Attrition'!BH$1),VLOOKUP($F58+BH$2,$A$6:$C$106,2,FALSE)*VLOOKUP(BH$1,'Attrition Modeling'!$L$15:$N$27,IF(BH$2+$F58&lt;=24,2,3),FALSE)),$C$3)*(1+Projection!BJ$16)*(1+IF(BH190&gt;0,'Attrition Modeling'!$N$9,0)))</f>
        <v>0</v>
      </c>
      <c r="BI58" s="799">
        <f>(BH58+BI190)*(1-IFERROR(IF(BI$2+$F58&lt;=12,SUMIFS('Attrition Modeling'!$D:$D,'Attrition Modeling'!$B:$B,'IP Attrition'!$D58,'Attrition Modeling'!$C:$C,'IP Attrition'!BI$1),VLOOKUP($F58+BI$2,$A$6:$C$106,2,FALSE)*VLOOKUP(BI$1,'Attrition Modeling'!$L$15:$N$27,IF(BI$2+$F58&lt;=24,2,3),FALSE)),$C$3)*(1+Projection!BK$16)*(1+IF(BI190&gt;0,'Attrition Modeling'!$N$9,0)))</f>
        <v>0</v>
      </c>
      <c r="BJ58" s="799">
        <f>(BI58+BJ190)*(1-IFERROR(IF(BJ$2+$F58&lt;=12,SUMIFS('Attrition Modeling'!$D:$D,'Attrition Modeling'!$B:$B,'IP Attrition'!$D58,'Attrition Modeling'!$C:$C,'IP Attrition'!BJ$1),VLOOKUP($F58+BJ$2,$A$6:$C$106,2,FALSE)*VLOOKUP(BJ$1,'Attrition Modeling'!$L$15:$N$27,IF(BJ$2+$F58&lt;=24,2,3),FALSE)),$C$3)*(1+Projection!BL$16)*(1+IF(BJ190&gt;0,'Attrition Modeling'!$N$9,0)))</f>
        <v>0</v>
      </c>
      <c r="BK58" s="799">
        <f>(BJ58+BK190)*(1-IFERROR(IF(BK$2+$F58&lt;=12,SUMIFS('Attrition Modeling'!$D:$D,'Attrition Modeling'!$B:$B,'IP Attrition'!$D58,'Attrition Modeling'!$C:$C,'IP Attrition'!BK$1),VLOOKUP($F58+BK$2,$A$6:$C$106,2,FALSE)*VLOOKUP(BK$1,'Attrition Modeling'!$L$15:$N$27,IF(BK$2+$F58&lt;=24,2,3),FALSE)),$C$3)*(1+Projection!BM$16)*(1+IF(BK190&gt;0,'Attrition Modeling'!$N$9,0)))</f>
        <v>0</v>
      </c>
      <c r="BL58" s="799">
        <f>(BK58+BL190)*(1-IFERROR(IF(BL$2+$F58&lt;=12,SUMIFS('Attrition Modeling'!$D:$D,'Attrition Modeling'!$B:$B,'IP Attrition'!$D58,'Attrition Modeling'!$C:$C,'IP Attrition'!BL$1),VLOOKUP($F58+BL$2,$A$6:$C$106,2,FALSE)*VLOOKUP(BL$1,'Attrition Modeling'!$L$15:$N$27,IF(BL$2+$F58&lt;=24,2,3),FALSE)),$C$3)*(1+Projection!BN$16)*(1+IF(BL190&gt;0,'Attrition Modeling'!$N$9,0)))</f>
        <v>0</v>
      </c>
      <c r="BM58" s="799">
        <f>(BL58+BM190)*(1-IFERROR(IF(BM$2+$F58&lt;=12,SUMIFS('Attrition Modeling'!$D:$D,'Attrition Modeling'!$B:$B,'IP Attrition'!$D58,'Attrition Modeling'!$C:$C,'IP Attrition'!BM$1),VLOOKUP($F58+BM$2,$A$6:$C$106,2,FALSE)*VLOOKUP(BM$1,'Attrition Modeling'!$L$15:$N$27,IF(BM$2+$F58&lt;=24,2,3),FALSE)),$C$3)*(1+Projection!BO$16)*(1+IF(BM190&gt;0,'Attrition Modeling'!$N$9,0)))</f>
        <v>0</v>
      </c>
      <c r="BN58" s="799">
        <f>(BM58+BN190)*(1-IFERROR(IF(BN$2+$F58&lt;=12,SUMIFS('Attrition Modeling'!$D:$D,'Attrition Modeling'!$B:$B,'IP Attrition'!$D58,'Attrition Modeling'!$C:$C,'IP Attrition'!BN$1),VLOOKUP($F58+BN$2,$A$6:$C$106,2,FALSE)*VLOOKUP(BN$1,'Attrition Modeling'!$L$15:$N$27,IF(BN$2+$F58&lt;=24,2,3),FALSE)),$C$3)*(1+Projection!BP$16)*(1+IF(BN190&gt;0,'Attrition Modeling'!$N$9,0)))</f>
        <v>0</v>
      </c>
      <c r="BO58" s="799">
        <f>(BN58+BO190)*(1-IFERROR(IF(BO$2+$F58&lt;=12,SUMIFS('Attrition Modeling'!$D:$D,'Attrition Modeling'!$B:$B,'IP Attrition'!$D58,'Attrition Modeling'!$C:$C,'IP Attrition'!BO$1),VLOOKUP($F58+BO$2,$A$6:$C$106,2,FALSE)*VLOOKUP(BO$1,'Attrition Modeling'!$L$15:$N$27,IF(BO$2+$F58&lt;=24,2,3),FALSE)),$C$3)*(1+Projection!BV$16)*(1+IF(BO190&gt;0,'Attrition Modeling'!$N$9,0)))</f>
        <v>0</v>
      </c>
      <c r="BP58" s="799">
        <f>(BO58+BP190)*(1-IFERROR(IF(BP$2+$F58&lt;=12,SUMIFS('Attrition Modeling'!$D:$D,'Attrition Modeling'!$B:$B,'IP Attrition'!$D58,'Attrition Modeling'!$C:$C,'IP Attrition'!BP$1),VLOOKUP($F58+BP$2,$A$6:$C$106,2,FALSE)*VLOOKUP(BP$1,'Attrition Modeling'!$L$15:$N$27,IF(BP$2+$F58&lt;=24,2,3),FALSE)),$C$3)*(1+Projection!BW$16)*(1+IF(BP190&gt;0,'Attrition Modeling'!$N$9,0)))</f>
        <v>0</v>
      </c>
      <c r="BQ58" s="799">
        <f>(BP58+BQ190)*(1-IFERROR(IF(BQ$2+$F58&lt;=12,SUMIFS('Attrition Modeling'!$D:$D,'Attrition Modeling'!$B:$B,'IP Attrition'!$D58,'Attrition Modeling'!$C:$C,'IP Attrition'!BQ$1),VLOOKUP($F58+BQ$2,$A$6:$C$106,2,FALSE)*VLOOKUP(BQ$1,'Attrition Modeling'!$L$15:$N$27,IF(BQ$2+$F58&lt;=24,2,3),FALSE)),$C$3)*(1+Projection!BX$16)*(1+IF(BQ190&gt;0,'Attrition Modeling'!$N$9,0)))</f>
        <v>0</v>
      </c>
      <c r="BR58" s="799">
        <f>(BQ58+BR190)*(1-IFERROR(IF(BR$2+$F58&lt;=12,SUMIFS('Attrition Modeling'!$D:$D,'Attrition Modeling'!$B:$B,'IP Attrition'!$D58,'Attrition Modeling'!$C:$C,'IP Attrition'!BR$1),VLOOKUP($F58+BR$2,$A$6:$C$106,2,FALSE)*VLOOKUP(BR$1,'Attrition Modeling'!$L$15:$N$27,IF(BR$2+$F58&lt;=24,2,3),FALSE)),$C$3)*(1+Projection!BY$16)*(1+IF(BR190&gt;0,'Attrition Modeling'!$N$9,0)))</f>
        <v>0</v>
      </c>
      <c r="BS58" s="799">
        <f>(BR58+BS190)*(1-IFERROR(IF(BS$2+$F58&lt;=12,SUMIFS('Attrition Modeling'!$D:$D,'Attrition Modeling'!$B:$B,'IP Attrition'!$D58,'Attrition Modeling'!$C:$C,'IP Attrition'!BS$1),VLOOKUP($F58+BS$2,$A$6:$C$106,2,FALSE)*VLOOKUP(BS$1,'Attrition Modeling'!$L$15:$N$27,IF(BS$2+$F58&lt;=24,2,3),FALSE)),$C$3)*(1+Projection!BZ$16)*(1+IF(BS190&gt;0,'Attrition Modeling'!$N$9,0)))</f>
        <v>0</v>
      </c>
      <c r="BT58" s="799" t="e">
        <f>(BS58+BT190)*(1-IFERROR(IF(BT$2+$F58&lt;=12,SUMIFS('Attrition Modeling'!$D:$D,'Attrition Modeling'!$B:$B,'IP Attrition'!$D58,'Attrition Modeling'!$C:$C,'IP Attrition'!BT$1),VLOOKUP($F58+BT$2,$A$6:$C$106,2,FALSE)*VLOOKUP(BT$1,'Attrition Modeling'!$L$15:$N$27,IF(BT$2+$F58&lt;=24,2,3),FALSE)),$C$3)*(1+Projection!CA$16)*(1+IF(BT190&gt;0,'Attrition Modeling'!$N$9,0)))</f>
        <v>#REF!</v>
      </c>
      <c r="BU58" s="799" t="e">
        <f>(BT58+BU190)*(1-IFERROR(IF(BU$2+$F58&lt;=12,SUMIFS('Attrition Modeling'!$D:$D,'Attrition Modeling'!$B:$B,'IP Attrition'!$D58,'Attrition Modeling'!$C:$C,'IP Attrition'!BU$1),VLOOKUP($F58+BU$2,$A$6:$C$106,2,FALSE)*VLOOKUP(BU$1,'Attrition Modeling'!$L$15:$N$27,IF(BU$2+$F58&lt;=24,2,3),FALSE)),$C$3)*(1+Projection!CB$16)*(1+IF(BU190&gt;0,'Attrition Modeling'!$N$9,0)))</f>
        <v>#REF!</v>
      </c>
    </row>
    <row r="59" spans="1:73" ht="14.25" customHeight="1" x14ac:dyDescent="0.2">
      <c r="A59" s="9">
        <v>52</v>
      </c>
      <c r="B59" s="25">
        <f>MAX('Attrition Modeling'!H56,$C$3)*(1-Summary!$C$20)</f>
        <v>2.4391082351935767E-2</v>
      </c>
      <c r="C59" s="24" t="e">
        <f t="shared" si="3"/>
        <v>#DIV/0!</v>
      </c>
      <c r="D59" s="11">
        <f t="shared" si="1"/>
        <v>-56</v>
      </c>
      <c r="E59" s="807">
        <f t="array" ref="E59">INDEX('Attrition Modeling'!$X$2:$AF$63,MATCH($F59,'Attrition Modeling'!$X$2:$X$63,0),MATCH(Inputs!$C$10,'Attrition Modeling'!$X$2:$AF$2,0))</f>
        <v>0</v>
      </c>
      <c r="F59" s="11">
        <f t="shared" si="2"/>
        <v>56</v>
      </c>
      <c r="G59" s="799">
        <f>Summary!$C$25*$E59</f>
        <v>0</v>
      </c>
      <c r="H59" s="799">
        <f>(G59+H191)*(1-IFERROR(IF(H$2+$F59&lt;=12,SUMIFS('Attrition Modeling'!$D:$D,'Attrition Modeling'!$B:$B,'IP Attrition'!$D59,'Attrition Modeling'!$C:$C,'IP Attrition'!H$1),VLOOKUP($F59+H$2,$A$6:$C$106,2,FALSE)*VLOOKUP(H$1,'Attrition Modeling'!$L$15:$N$27,IF(H$2+$F59&lt;=24,2,3),FALSE)),$C$3)*(1+Projection!J$16)*(1+IF(H191&gt;0,'Attrition Modeling'!$N$9,0)))</f>
        <v>0</v>
      </c>
      <c r="I59" s="799">
        <f>(H59+I191)*(1-IFERROR(IF(I$2+$F59&lt;=12,SUMIFS('Attrition Modeling'!$D:$D,'Attrition Modeling'!$B:$B,'IP Attrition'!$D59,'Attrition Modeling'!$C:$C,'IP Attrition'!I$1),VLOOKUP($F59+I$2,$A$6:$C$106,2,FALSE)*VLOOKUP(I$1,'Attrition Modeling'!$L$15:$N$27,IF(I$2+$F59&lt;=24,2,3),FALSE)),$C$3)*(1+Projection!K$16)*(1+IF(I191&gt;0,'Attrition Modeling'!$N$9,0)))</f>
        <v>0</v>
      </c>
      <c r="J59" s="799">
        <f>(I59+J191)*(1-IFERROR(IF(J$2+$F59&lt;=12,SUMIFS('Attrition Modeling'!$D:$D,'Attrition Modeling'!$B:$B,'IP Attrition'!$D59,'Attrition Modeling'!$C:$C,'IP Attrition'!J$1),VLOOKUP($F59+J$2,$A$6:$C$106,2,FALSE)*VLOOKUP(J$1,'Attrition Modeling'!$L$15:$N$27,IF(J$2+$F59&lt;=24,2,3),FALSE)),$C$3)*(1+Projection!L$16)*(1+IF(J191&gt;0,'Attrition Modeling'!$N$9,0)))</f>
        <v>0</v>
      </c>
      <c r="K59" s="799">
        <f>(J59+K191)*(1-IFERROR(IF(K$2+$F59&lt;=12,SUMIFS('Attrition Modeling'!$D:$D,'Attrition Modeling'!$B:$B,'IP Attrition'!$D59,'Attrition Modeling'!$C:$C,'IP Attrition'!K$1),VLOOKUP($F59+K$2,$A$6:$C$106,2,FALSE)*VLOOKUP(K$1,'Attrition Modeling'!$L$15:$N$27,IF(K$2+$F59&lt;=24,2,3),FALSE)),$C$3)*(1+Projection!M$16)*(1+IF(K191&gt;0,'Attrition Modeling'!$N$9,0)))</f>
        <v>0</v>
      </c>
      <c r="L59" s="799">
        <f>(K59+L191)*(1-IFERROR(IF(L$2+$F59&lt;=12,SUMIFS('Attrition Modeling'!$D:$D,'Attrition Modeling'!$B:$B,'IP Attrition'!$D59,'Attrition Modeling'!$C:$C,'IP Attrition'!L$1),VLOOKUP($F59+L$2,$A$6:$C$106,2,FALSE)*VLOOKUP(L$1,'Attrition Modeling'!$L$15:$N$27,IF(L$2+$F59&lt;=24,2,3),FALSE)),$C$3)*(1+Projection!N$16)*(1+IF(L191&gt;0,'Attrition Modeling'!$N$9,0)))</f>
        <v>0</v>
      </c>
      <c r="M59" s="799">
        <f>(L59+M191)*(1-IFERROR(IF(M$2+$F59&lt;=12,SUMIFS('Attrition Modeling'!$D:$D,'Attrition Modeling'!$B:$B,'IP Attrition'!$D59,'Attrition Modeling'!$C:$C,'IP Attrition'!M$1),VLOOKUP($F59+M$2,$A$6:$C$106,2,FALSE)*VLOOKUP(M$1,'Attrition Modeling'!$L$15:$N$27,IF(M$2+$F59&lt;=24,2,3),FALSE)),$C$3)*(1+Projection!O$16)*(1+IF(M191&gt;0,'Attrition Modeling'!$N$9,0)))</f>
        <v>0</v>
      </c>
      <c r="N59" s="799">
        <f>(M59+N191)*(1-IFERROR(IF(N$2+$F59&lt;=12,SUMIFS('Attrition Modeling'!$D:$D,'Attrition Modeling'!$B:$B,'IP Attrition'!$D59,'Attrition Modeling'!$C:$C,'IP Attrition'!N$1),VLOOKUP($F59+N$2,$A$6:$C$106,2,FALSE)*VLOOKUP(N$1,'Attrition Modeling'!$L$15:$N$27,IF(N$2+$F59&lt;=24,2,3),FALSE)),$C$3)*(1+Projection!P$16)*(1+IF(N191&gt;0,'Attrition Modeling'!$N$9,0)))</f>
        <v>0</v>
      </c>
      <c r="O59" s="799">
        <f>(N59+O191)*(1-IFERROR(IF(O$2+$F59&lt;=12,SUMIFS('Attrition Modeling'!$D:$D,'Attrition Modeling'!$B:$B,'IP Attrition'!$D59,'Attrition Modeling'!$C:$C,'IP Attrition'!O$1),VLOOKUP($F59+O$2,$A$6:$C$106,2,FALSE)*VLOOKUP(O$1,'Attrition Modeling'!$L$15:$N$27,IF(O$2+$F59&lt;=24,2,3),FALSE)),$C$3)*(1+Projection!Q$16)*(1+IF(O191&gt;0,'Attrition Modeling'!$N$9,0)))</f>
        <v>0</v>
      </c>
      <c r="P59" s="799">
        <f>(O59+P191)*(1-IFERROR(IF(P$2+$F59&lt;=12,SUMIFS('Attrition Modeling'!$D:$D,'Attrition Modeling'!$B:$B,'IP Attrition'!$D59,'Attrition Modeling'!$C:$C,'IP Attrition'!P$1),VLOOKUP($F59+P$2,$A$6:$C$106,2,FALSE)*VLOOKUP(P$1,'Attrition Modeling'!$L$15:$N$27,IF(P$2+$F59&lt;=24,2,3),FALSE)),$C$3)*(1+Projection!R$16)*(1+IF(P191&gt;0,'Attrition Modeling'!$N$9,0)))</f>
        <v>0</v>
      </c>
      <c r="Q59" s="799">
        <f>(P59+Q191)*(1-IFERROR(IF(Q$2+$F59&lt;=12,SUMIFS('Attrition Modeling'!$D:$D,'Attrition Modeling'!$B:$B,'IP Attrition'!$D59,'Attrition Modeling'!$C:$C,'IP Attrition'!Q$1),VLOOKUP($F59+Q$2,$A$6:$C$106,2,FALSE)*VLOOKUP(Q$1,'Attrition Modeling'!$L$15:$N$27,IF(Q$2+$F59&lt;=24,2,3),FALSE)),$C$3)*(1+Projection!S$16)*(1+IF(Q191&gt;0,'Attrition Modeling'!$N$9,0)))</f>
        <v>0</v>
      </c>
      <c r="R59" s="799">
        <f>(Q59+R191)*(1-IFERROR(IF(R$2+$F59&lt;=12,SUMIFS('Attrition Modeling'!$D:$D,'Attrition Modeling'!$B:$B,'IP Attrition'!$D59,'Attrition Modeling'!$C:$C,'IP Attrition'!R$1),VLOOKUP($F59+R$2,$A$6:$C$106,2,FALSE)*VLOOKUP(R$1,'Attrition Modeling'!$L$15:$N$27,IF(R$2+$F59&lt;=24,2,3),FALSE)),$C$3)*(1+Projection!T$16)*(1+IF(R191&gt;0,'Attrition Modeling'!$N$9,0)))</f>
        <v>0</v>
      </c>
      <c r="S59" s="799">
        <f>(R59+S191)*(1-IFERROR(IF(S$2+$F59&lt;=12,SUMIFS('Attrition Modeling'!$D:$D,'Attrition Modeling'!$B:$B,'IP Attrition'!$D59,'Attrition Modeling'!$C:$C,'IP Attrition'!S$1),VLOOKUP($F59+S$2,$A$6:$C$106,2,FALSE)*VLOOKUP(S$1,'Attrition Modeling'!$L$15:$N$27,IF(S$2+$F59&lt;=24,2,3),FALSE)),$C$3)*(1+Projection!U$16)*(1+IF(S191&gt;0,'Attrition Modeling'!$N$9,0)))</f>
        <v>0</v>
      </c>
      <c r="T59" s="799">
        <f>(S59+T191)*(1-IFERROR(IF(T$2+$F59&lt;=12,SUMIFS('Attrition Modeling'!$D:$D,'Attrition Modeling'!$B:$B,'IP Attrition'!$D59,'Attrition Modeling'!$C:$C,'IP Attrition'!T$1),VLOOKUP($F59+T$2,$A$6:$C$106,2,FALSE)*VLOOKUP(T$1,'Attrition Modeling'!$L$15:$N$27,IF(T$2+$F59&lt;=24,2,3),FALSE)),$C$3)*(1+Projection!V$16)*(1+IF(T191&gt;0,'Attrition Modeling'!$N$9,0)))</f>
        <v>0</v>
      </c>
      <c r="U59" s="799">
        <f>(T59+U191)*(1-IFERROR(IF(U$2+$F59&lt;=12,SUMIFS('Attrition Modeling'!$D:$D,'Attrition Modeling'!$B:$B,'IP Attrition'!$D59,'Attrition Modeling'!$C:$C,'IP Attrition'!U$1),VLOOKUP($F59+U$2,$A$6:$C$106,2,FALSE)*VLOOKUP(U$1,'Attrition Modeling'!$L$15:$N$27,IF(U$2+$F59&lt;=24,2,3),FALSE)),$C$3)*(1+Projection!W$16)*(1+IF(U191&gt;0,'Attrition Modeling'!$N$9,0)))</f>
        <v>0</v>
      </c>
      <c r="V59" s="799">
        <f>(U59+V191)*(1-IFERROR(IF(V$2+$F59&lt;=12,SUMIFS('Attrition Modeling'!$D:$D,'Attrition Modeling'!$B:$B,'IP Attrition'!$D59,'Attrition Modeling'!$C:$C,'IP Attrition'!V$1),VLOOKUP($F59+V$2,$A$6:$C$106,2,FALSE)*VLOOKUP(V$1,'Attrition Modeling'!$L$15:$N$27,IF(V$2+$F59&lt;=24,2,3),FALSE)),$C$3)*(1+Projection!X$16)*(1+IF(V191&gt;0,'Attrition Modeling'!$N$9,0)))</f>
        <v>0</v>
      </c>
      <c r="W59" s="799">
        <f>(V59+W191)*(1-IFERROR(IF(W$2+$F59&lt;=12,SUMIFS('Attrition Modeling'!$D:$D,'Attrition Modeling'!$B:$B,'IP Attrition'!$D59,'Attrition Modeling'!$C:$C,'IP Attrition'!W$1),VLOOKUP($F59+W$2,$A$6:$C$106,2,FALSE)*VLOOKUP(W$1,'Attrition Modeling'!$L$15:$N$27,IF(W$2+$F59&lt;=24,2,3),FALSE)),$C$3)*(1+Projection!Y$16)*(1+IF(W191&gt;0,'Attrition Modeling'!$N$9,0)))</f>
        <v>0</v>
      </c>
      <c r="X59" s="799">
        <f>(W59+X191)*(1-IFERROR(IF(X$2+$F59&lt;=12,SUMIFS('Attrition Modeling'!$D:$D,'Attrition Modeling'!$B:$B,'IP Attrition'!$D59,'Attrition Modeling'!$C:$C,'IP Attrition'!X$1),VLOOKUP($F59+X$2,$A$6:$C$106,2,FALSE)*VLOOKUP(X$1,'Attrition Modeling'!$L$15:$N$27,IF(X$2+$F59&lt;=24,2,3),FALSE)),$C$3)*(1+Projection!Z$16)*(1+IF(X191&gt;0,'Attrition Modeling'!$N$9,0)))</f>
        <v>0</v>
      </c>
      <c r="Y59" s="799">
        <f>(X59+Y191)*(1-IFERROR(IF(Y$2+$F59&lt;=12,SUMIFS('Attrition Modeling'!$D:$D,'Attrition Modeling'!$B:$B,'IP Attrition'!$D59,'Attrition Modeling'!$C:$C,'IP Attrition'!Y$1),VLOOKUP($F59+Y$2,$A$6:$C$106,2,FALSE)*VLOOKUP(Y$1,'Attrition Modeling'!$L$15:$N$27,IF(Y$2+$F59&lt;=24,2,3),FALSE)),$C$3)*(1+Projection!AA$16)*(1+IF(Y191&gt;0,'Attrition Modeling'!$N$9,0)))</f>
        <v>0</v>
      </c>
      <c r="Z59" s="799">
        <f>(Y59+Z191)*(1-IFERROR(IF(Z$2+$F59&lt;=12,SUMIFS('Attrition Modeling'!$D:$D,'Attrition Modeling'!$B:$B,'IP Attrition'!$D59,'Attrition Modeling'!$C:$C,'IP Attrition'!Z$1),VLOOKUP($F59+Z$2,$A$6:$C$106,2,FALSE)*VLOOKUP(Z$1,'Attrition Modeling'!$L$15:$N$27,IF(Z$2+$F59&lt;=24,2,3),FALSE)),$C$3)*(1+Projection!AB$16)*(1+IF(Z191&gt;0,'Attrition Modeling'!$N$9,0)))</f>
        <v>0</v>
      </c>
      <c r="AA59" s="799">
        <f>(Z59+AA191)*(1-IFERROR(IF(AA$2+$F59&lt;=12,SUMIFS('Attrition Modeling'!$D:$D,'Attrition Modeling'!$B:$B,'IP Attrition'!$D59,'Attrition Modeling'!$C:$C,'IP Attrition'!AA$1),VLOOKUP($F59+AA$2,$A$6:$C$106,2,FALSE)*VLOOKUP(AA$1,'Attrition Modeling'!$L$15:$N$27,IF(AA$2+$F59&lt;=24,2,3),FALSE)),$C$3)*(1+Projection!AC$16)*(1+IF(AA191&gt;0,'Attrition Modeling'!$N$9,0)))</f>
        <v>0</v>
      </c>
      <c r="AB59" s="799">
        <f>(AA59+AB191)*(1-IFERROR(IF(AB$2+$F59&lt;=12,SUMIFS('Attrition Modeling'!$D:$D,'Attrition Modeling'!$B:$B,'IP Attrition'!$D59,'Attrition Modeling'!$C:$C,'IP Attrition'!AB$1),VLOOKUP($F59+AB$2,$A$6:$C$106,2,FALSE)*VLOOKUP(AB$1,'Attrition Modeling'!$L$15:$N$27,IF(AB$2+$F59&lt;=24,2,3),FALSE)),$C$3)*(1+Projection!AD$16)*(1+IF(AB191&gt;0,'Attrition Modeling'!$N$9,0)))</f>
        <v>0</v>
      </c>
      <c r="AC59" s="799">
        <f>(AB59+AC191)*(1-IFERROR(IF(AC$2+$F59&lt;=12,SUMIFS('Attrition Modeling'!$D:$D,'Attrition Modeling'!$B:$B,'IP Attrition'!$D59,'Attrition Modeling'!$C:$C,'IP Attrition'!AC$1),VLOOKUP($F59+AC$2,$A$6:$C$106,2,FALSE)*VLOOKUP(AC$1,'Attrition Modeling'!$L$15:$N$27,IF(AC$2+$F59&lt;=24,2,3),FALSE)),$C$3)*(1+Projection!AE$16)*(1+IF(AC191&gt;0,'Attrition Modeling'!$N$9,0)))</f>
        <v>0</v>
      </c>
      <c r="AD59" s="799">
        <f>(AC59+AD191)*(1-IFERROR(IF(AD$2+$F59&lt;=12,SUMIFS('Attrition Modeling'!$D:$D,'Attrition Modeling'!$B:$B,'IP Attrition'!$D59,'Attrition Modeling'!$C:$C,'IP Attrition'!AD$1),VLOOKUP($F59+AD$2,$A$6:$C$106,2,FALSE)*VLOOKUP(AD$1,'Attrition Modeling'!$L$15:$N$27,IF(AD$2+$F59&lt;=24,2,3),FALSE)),$C$3)*(1+Projection!AF$16)*(1+IF(AD191&gt;0,'Attrition Modeling'!$N$9,0)))</f>
        <v>0</v>
      </c>
      <c r="AE59" s="799">
        <f>(AD59+AE191)*(1-IFERROR(IF(AE$2+$F59&lt;=12,SUMIFS('Attrition Modeling'!$D:$D,'Attrition Modeling'!$B:$B,'IP Attrition'!$D59,'Attrition Modeling'!$C:$C,'IP Attrition'!AE$1),VLOOKUP($F59+AE$2,$A$6:$C$106,2,FALSE)*VLOOKUP(AE$1,'Attrition Modeling'!$L$15:$N$27,IF(AE$2+$F59&lt;=24,2,3),FALSE)),$C$3)*(1+Projection!AG$16)*(1+IF(AE191&gt;0,'Attrition Modeling'!$N$9,0)))</f>
        <v>0</v>
      </c>
      <c r="AF59" s="799">
        <f>(AE59+AF191)*(1-IFERROR(IF(AF$2+$F59&lt;=12,SUMIFS('Attrition Modeling'!$D:$D,'Attrition Modeling'!$B:$B,'IP Attrition'!$D59,'Attrition Modeling'!$C:$C,'IP Attrition'!AF$1),VLOOKUP($F59+AF$2,$A$6:$C$106,2,FALSE)*VLOOKUP(AF$1,'Attrition Modeling'!$L$15:$N$27,IF(AF$2+$F59&lt;=24,2,3),FALSE)),$C$3)*(1+Projection!AH$16)*(1+IF(AF191&gt;0,'Attrition Modeling'!$N$9,0)))</f>
        <v>0</v>
      </c>
      <c r="AG59" s="799">
        <f>(AF59+AG191)*(1-IFERROR(IF(AG$2+$F59&lt;=12,SUMIFS('Attrition Modeling'!$D:$D,'Attrition Modeling'!$B:$B,'IP Attrition'!$D59,'Attrition Modeling'!$C:$C,'IP Attrition'!AG$1),VLOOKUP($F59+AG$2,$A$6:$C$106,2,FALSE)*VLOOKUP(AG$1,'Attrition Modeling'!$L$15:$N$27,IF(AG$2+$F59&lt;=24,2,3),FALSE)),$C$3)*(1+Projection!AI$16)*(1+IF(AG191&gt;0,'Attrition Modeling'!$N$9,0)))</f>
        <v>0</v>
      </c>
      <c r="AH59" s="799">
        <f>(AG59+AH191)*(1-IFERROR(IF(AH$2+$F59&lt;=12,SUMIFS('Attrition Modeling'!$D:$D,'Attrition Modeling'!$B:$B,'IP Attrition'!$D59,'Attrition Modeling'!$C:$C,'IP Attrition'!AH$1),VLOOKUP($F59+AH$2,$A$6:$C$106,2,FALSE)*VLOOKUP(AH$1,'Attrition Modeling'!$L$15:$N$27,IF(AH$2+$F59&lt;=24,2,3),FALSE)),$C$3)*(1+Projection!AJ$16)*(1+IF(AH191&gt;0,'Attrition Modeling'!$N$9,0)))</f>
        <v>0</v>
      </c>
      <c r="AI59" s="799">
        <f>(AH59+AI191)*(1-IFERROR(IF(AI$2+$F59&lt;=12,SUMIFS('Attrition Modeling'!$D:$D,'Attrition Modeling'!$B:$B,'IP Attrition'!$D59,'Attrition Modeling'!$C:$C,'IP Attrition'!AI$1),VLOOKUP($F59+AI$2,$A$6:$C$106,2,FALSE)*VLOOKUP(AI$1,'Attrition Modeling'!$L$15:$N$27,IF(AI$2+$F59&lt;=24,2,3),FALSE)),$C$3)*(1+Projection!AK$16)*(1+IF(AI191&gt;0,'Attrition Modeling'!$N$9,0)))</f>
        <v>0</v>
      </c>
      <c r="AJ59" s="799">
        <f>(AI59+AJ191)*(1-IFERROR(IF(AJ$2+$F59&lt;=12,SUMIFS('Attrition Modeling'!$D:$D,'Attrition Modeling'!$B:$B,'IP Attrition'!$D59,'Attrition Modeling'!$C:$C,'IP Attrition'!AJ$1),VLOOKUP($F59+AJ$2,$A$6:$C$106,2,FALSE)*VLOOKUP(AJ$1,'Attrition Modeling'!$L$15:$N$27,IF(AJ$2+$F59&lt;=24,2,3),FALSE)),$C$3)*(1+Projection!AL$16)*(1+IF(AJ191&gt;0,'Attrition Modeling'!$N$9,0)))</f>
        <v>0</v>
      </c>
      <c r="AK59" s="799">
        <f>(AJ59+AK191)*(1-IFERROR(IF(AK$2+$F59&lt;=12,SUMIFS('Attrition Modeling'!$D:$D,'Attrition Modeling'!$B:$B,'IP Attrition'!$D59,'Attrition Modeling'!$C:$C,'IP Attrition'!AK$1),VLOOKUP($F59+AK$2,$A$6:$C$106,2,FALSE)*VLOOKUP(AK$1,'Attrition Modeling'!$L$15:$N$27,IF(AK$2+$F59&lt;=24,2,3),FALSE)),$C$3)*(1+Projection!AM$16)*(1+IF(AK191&gt;0,'Attrition Modeling'!$N$9,0)))</f>
        <v>0</v>
      </c>
      <c r="AL59" s="799">
        <f>(AK59+AL191)*(1-IFERROR(IF(AL$2+$F59&lt;=12,SUMIFS('Attrition Modeling'!$D:$D,'Attrition Modeling'!$B:$B,'IP Attrition'!$D59,'Attrition Modeling'!$C:$C,'IP Attrition'!AL$1),VLOOKUP($F59+AL$2,$A$6:$C$106,2,FALSE)*VLOOKUP(AL$1,'Attrition Modeling'!$L$15:$N$27,IF(AL$2+$F59&lt;=24,2,3),FALSE)),$C$3)*(1+Projection!AN$16)*(1+IF(AL191&gt;0,'Attrition Modeling'!$N$9,0)))</f>
        <v>0</v>
      </c>
      <c r="AM59" s="799">
        <f>(AL59+AM191)*(1-IFERROR(IF(AM$2+$F59&lt;=12,SUMIFS('Attrition Modeling'!$D:$D,'Attrition Modeling'!$B:$B,'IP Attrition'!$D59,'Attrition Modeling'!$C:$C,'IP Attrition'!AM$1),VLOOKUP($F59+AM$2,$A$6:$C$106,2,FALSE)*VLOOKUP(AM$1,'Attrition Modeling'!$L$15:$N$27,IF(AM$2+$F59&lt;=24,2,3),FALSE)),$C$3)*(1+Projection!AO$16)*(1+IF(AM191&gt;0,'Attrition Modeling'!$N$9,0)))</f>
        <v>0</v>
      </c>
      <c r="AN59" s="799">
        <f>(AM59+AN191)*(1-IFERROR(IF(AN$2+$F59&lt;=12,SUMIFS('Attrition Modeling'!$D:$D,'Attrition Modeling'!$B:$B,'IP Attrition'!$D59,'Attrition Modeling'!$C:$C,'IP Attrition'!AN$1),VLOOKUP($F59+AN$2,$A$6:$C$106,2,FALSE)*VLOOKUP(AN$1,'Attrition Modeling'!$L$15:$N$27,IF(AN$2+$F59&lt;=24,2,3),FALSE)),$C$3)*(1+Projection!AP$16)*(1+IF(AN191&gt;0,'Attrition Modeling'!$N$9,0)))</f>
        <v>0</v>
      </c>
      <c r="AO59" s="799">
        <f>(AN59+AO191)*(1-IFERROR(IF(AO$2+$F59&lt;=12,SUMIFS('Attrition Modeling'!$D:$D,'Attrition Modeling'!$B:$B,'IP Attrition'!$D59,'Attrition Modeling'!$C:$C,'IP Attrition'!AO$1),VLOOKUP($F59+AO$2,$A$6:$C$106,2,FALSE)*VLOOKUP(AO$1,'Attrition Modeling'!$L$15:$N$27,IF(AO$2+$F59&lt;=24,2,3),FALSE)),$C$3)*(1+Projection!AQ$16)*(1+IF(AO191&gt;0,'Attrition Modeling'!$N$9,0)))</f>
        <v>0</v>
      </c>
      <c r="AP59" s="799">
        <f>(AO59+AP191)*(1-IFERROR(IF(AP$2+$F59&lt;=12,SUMIFS('Attrition Modeling'!$D:$D,'Attrition Modeling'!$B:$B,'IP Attrition'!$D59,'Attrition Modeling'!$C:$C,'IP Attrition'!AP$1),VLOOKUP($F59+AP$2,$A$6:$C$106,2,FALSE)*VLOOKUP(AP$1,'Attrition Modeling'!$L$15:$N$27,IF(AP$2+$F59&lt;=24,2,3),FALSE)),$C$3)*(1+Projection!AR$16)*(1+IF(AP191&gt;0,'Attrition Modeling'!$N$9,0)))</f>
        <v>0</v>
      </c>
      <c r="AQ59" s="799">
        <f>(AP59+AQ191)*(1-IFERROR(IF(AQ$2+$F59&lt;=12,SUMIFS('Attrition Modeling'!$D:$D,'Attrition Modeling'!$B:$B,'IP Attrition'!$D59,'Attrition Modeling'!$C:$C,'IP Attrition'!AQ$1),VLOOKUP($F59+AQ$2,$A$6:$C$106,2,FALSE)*VLOOKUP(AQ$1,'Attrition Modeling'!$L$15:$N$27,IF(AQ$2+$F59&lt;=24,2,3),FALSE)),$C$3)*(1+Projection!AS$16)*(1+IF(AQ191&gt;0,'Attrition Modeling'!$N$9,0)))</f>
        <v>0</v>
      </c>
      <c r="AR59" s="799">
        <f>(AQ59+AR191)*(1-IFERROR(IF(AR$2+$F59&lt;=12,SUMIFS('Attrition Modeling'!$D:$D,'Attrition Modeling'!$B:$B,'IP Attrition'!$D59,'Attrition Modeling'!$C:$C,'IP Attrition'!AR$1),VLOOKUP($F59+AR$2,$A$6:$C$106,2,FALSE)*VLOOKUP(AR$1,'Attrition Modeling'!$L$15:$N$27,IF(AR$2+$F59&lt;=24,2,3),FALSE)),$C$3)*(1+Projection!AT$16)*(1+IF(AR191&gt;0,'Attrition Modeling'!$N$9,0)))</f>
        <v>0</v>
      </c>
      <c r="AS59" s="799">
        <f>(AR59+AS191)*(1-IFERROR(IF(AS$2+$F59&lt;=12,SUMIFS('Attrition Modeling'!$D:$D,'Attrition Modeling'!$B:$B,'IP Attrition'!$D59,'Attrition Modeling'!$C:$C,'IP Attrition'!AS$1),VLOOKUP($F59+AS$2,$A$6:$C$106,2,FALSE)*VLOOKUP(AS$1,'Attrition Modeling'!$L$15:$N$27,IF(AS$2+$F59&lt;=24,2,3),FALSE)),$C$3)*(1+Projection!AU$16)*(1+IF(AS191&gt;0,'Attrition Modeling'!$N$9,0)))</f>
        <v>0</v>
      </c>
      <c r="AT59" s="799">
        <f>(AS59+AT191)*(1-IFERROR(IF(AT$2+$F59&lt;=12,SUMIFS('Attrition Modeling'!$D:$D,'Attrition Modeling'!$B:$B,'IP Attrition'!$D59,'Attrition Modeling'!$C:$C,'IP Attrition'!AT$1),VLOOKUP($F59+AT$2,$A$6:$C$106,2,FALSE)*VLOOKUP(AT$1,'Attrition Modeling'!$L$15:$N$27,IF(AT$2+$F59&lt;=24,2,3),FALSE)),$C$3)*(1+Projection!AV$16)*(1+IF(AT191&gt;0,'Attrition Modeling'!$N$9,0)))</f>
        <v>0</v>
      </c>
      <c r="AU59" s="799">
        <f>(AT59+AU191)*(1-IFERROR(IF(AU$2+$F59&lt;=12,SUMIFS('Attrition Modeling'!$D:$D,'Attrition Modeling'!$B:$B,'IP Attrition'!$D59,'Attrition Modeling'!$C:$C,'IP Attrition'!AU$1),VLOOKUP($F59+AU$2,$A$6:$C$106,2,FALSE)*VLOOKUP(AU$1,'Attrition Modeling'!$L$15:$N$27,IF(AU$2+$F59&lt;=24,2,3),FALSE)),$C$3)*(1+Projection!AW$16)*(1+IF(AU191&gt;0,'Attrition Modeling'!$N$9,0)))</f>
        <v>0</v>
      </c>
      <c r="AV59" s="799">
        <f>(AU59+AV191)*(1-IFERROR(IF(AV$2+$F59&lt;=12,SUMIFS('Attrition Modeling'!$D:$D,'Attrition Modeling'!$B:$B,'IP Attrition'!$D59,'Attrition Modeling'!$C:$C,'IP Attrition'!AV$1),VLOOKUP($F59+AV$2,$A$6:$C$106,2,FALSE)*VLOOKUP(AV$1,'Attrition Modeling'!$L$15:$N$27,IF(AV$2+$F59&lt;=24,2,3),FALSE)),$C$3)*(1+Projection!AX$16)*(1+IF(AV191&gt;0,'Attrition Modeling'!$N$9,0)))</f>
        <v>0</v>
      </c>
      <c r="AW59" s="799">
        <f>(AV59+AW191)*(1-IFERROR(IF(AW$2+$F59&lt;=12,SUMIFS('Attrition Modeling'!$D:$D,'Attrition Modeling'!$B:$B,'IP Attrition'!$D59,'Attrition Modeling'!$C:$C,'IP Attrition'!AW$1),VLOOKUP($F59+AW$2,$A$6:$C$106,2,FALSE)*VLOOKUP(AW$1,'Attrition Modeling'!$L$15:$N$27,IF(AW$2+$F59&lt;=24,2,3),FALSE)),$C$3)*(1+Projection!AY$16)*(1+IF(AW191&gt;0,'Attrition Modeling'!$N$9,0)))</f>
        <v>0</v>
      </c>
      <c r="AX59" s="799">
        <f>(AW59+AX191)*(1-IFERROR(IF(AX$2+$F59&lt;=12,SUMIFS('Attrition Modeling'!$D:$D,'Attrition Modeling'!$B:$B,'IP Attrition'!$D59,'Attrition Modeling'!$C:$C,'IP Attrition'!AX$1),VLOOKUP($F59+AX$2,$A$6:$C$106,2,FALSE)*VLOOKUP(AX$1,'Attrition Modeling'!$L$15:$N$27,IF(AX$2+$F59&lt;=24,2,3),FALSE)),$C$3)*(1+Projection!AZ$16)*(1+IF(AX191&gt;0,'Attrition Modeling'!$N$9,0)))</f>
        <v>0</v>
      </c>
      <c r="AY59" s="799">
        <f>(AX59+AY191)*(1-IFERROR(IF(AY$2+$F59&lt;=12,SUMIFS('Attrition Modeling'!$D:$D,'Attrition Modeling'!$B:$B,'IP Attrition'!$D59,'Attrition Modeling'!$C:$C,'IP Attrition'!AY$1),VLOOKUP($F59+AY$2,$A$6:$C$106,2,FALSE)*VLOOKUP(AY$1,'Attrition Modeling'!$L$15:$N$27,IF(AY$2+$F59&lt;=24,2,3),FALSE)),$C$3)*(1+Projection!BA$16)*(1+IF(AY191&gt;0,'Attrition Modeling'!$N$9,0)))</f>
        <v>0</v>
      </c>
      <c r="AZ59" s="799">
        <f>(AY59+AZ191)*(1-IFERROR(IF(AZ$2+$F59&lt;=12,SUMIFS('Attrition Modeling'!$D:$D,'Attrition Modeling'!$B:$B,'IP Attrition'!$D59,'Attrition Modeling'!$C:$C,'IP Attrition'!AZ$1),VLOOKUP($F59+AZ$2,$A$6:$C$106,2,FALSE)*VLOOKUP(AZ$1,'Attrition Modeling'!$L$15:$N$27,IF(AZ$2+$F59&lt;=24,2,3),FALSE)),$C$3)*(1+Projection!BB$16)*(1+IF(AZ191&gt;0,'Attrition Modeling'!$N$9,0)))</f>
        <v>0</v>
      </c>
      <c r="BA59" s="799">
        <f>(AZ59+BA191)*(1-IFERROR(IF(BA$2+$F59&lt;=12,SUMIFS('Attrition Modeling'!$D:$D,'Attrition Modeling'!$B:$B,'IP Attrition'!$D59,'Attrition Modeling'!$C:$C,'IP Attrition'!BA$1),VLOOKUP($F59+BA$2,$A$6:$C$106,2,FALSE)*VLOOKUP(BA$1,'Attrition Modeling'!$L$15:$N$27,IF(BA$2+$F59&lt;=24,2,3),FALSE)),$C$3)*(1+Projection!BC$16)*(1+IF(BA191&gt;0,'Attrition Modeling'!$N$9,0)))</f>
        <v>0</v>
      </c>
      <c r="BB59" s="799">
        <f>(BA59+BB191)*(1-IFERROR(IF(BB$2+$F59&lt;=12,SUMIFS('Attrition Modeling'!$D:$D,'Attrition Modeling'!$B:$B,'IP Attrition'!$D59,'Attrition Modeling'!$C:$C,'IP Attrition'!BB$1),VLOOKUP($F59+BB$2,$A$6:$C$106,2,FALSE)*VLOOKUP(BB$1,'Attrition Modeling'!$L$15:$N$27,IF(BB$2+$F59&lt;=24,2,3),FALSE)),$C$3)*(1+Projection!BD$16)*(1+IF(BB191&gt;0,'Attrition Modeling'!$N$9,0)))</f>
        <v>0</v>
      </c>
      <c r="BC59" s="799">
        <f>(BB59+BC191)*(1-IFERROR(IF(BC$2+$F59&lt;=12,SUMIFS('Attrition Modeling'!$D:$D,'Attrition Modeling'!$B:$B,'IP Attrition'!$D59,'Attrition Modeling'!$C:$C,'IP Attrition'!BC$1),VLOOKUP($F59+BC$2,$A$6:$C$106,2,FALSE)*VLOOKUP(BC$1,'Attrition Modeling'!$L$15:$N$27,IF(BC$2+$F59&lt;=24,2,3),FALSE)),$C$3)*(1+Projection!BE$16)*(1+IF(BC191&gt;0,'Attrition Modeling'!$N$9,0)))</f>
        <v>0</v>
      </c>
      <c r="BD59" s="799">
        <f>(BC59+BD191)*(1-IFERROR(IF(BD$2+$F59&lt;=12,SUMIFS('Attrition Modeling'!$D:$D,'Attrition Modeling'!$B:$B,'IP Attrition'!$D59,'Attrition Modeling'!$C:$C,'IP Attrition'!BD$1),VLOOKUP($F59+BD$2,$A$6:$C$106,2,FALSE)*VLOOKUP(BD$1,'Attrition Modeling'!$L$15:$N$27,IF(BD$2+$F59&lt;=24,2,3),FALSE)),$C$3)*(1+Projection!BF$16)*(1+IF(BD191&gt;0,'Attrition Modeling'!$N$9,0)))</f>
        <v>0</v>
      </c>
      <c r="BE59" s="799">
        <f>(BD59+BE191)*(1-IFERROR(IF(BE$2+$F59&lt;=12,SUMIFS('Attrition Modeling'!$D:$D,'Attrition Modeling'!$B:$B,'IP Attrition'!$D59,'Attrition Modeling'!$C:$C,'IP Attrition'!BE$1),VLOOKUP($F59+BE$2,$A$6:$C$106,2,FALSE)*VLOOKUP(BE$1,'Attrition Modeling'!$L$15:$N$27,IF(BE$2+$F59&lt;=24,2,3),FALSE)),$C$3)*(1+Projection!BG$16)*(1+IF(BE191&gt;0,'Attrition Modeling'!$N$9,0)))</f>
        <v>0</v>
      </c>
      <c r="BF59" s="799">
        <f>(BE59+BF191)*(1-IFERROR(IF(BF$2+$F59&lt;=12,SUMIFS('Attrition Modeling'!$D:$D,'Attrition Modeling'!$B:$B,'IP Attrition'!$D59,'Attrition Modeling'!$C:$C,'IP Attrition'!BF$1),VLOOKUP($F59+BF$2,$A$6:$C$106,2,FALSE)*VLOOKUP(BF$1,'Attrition Modeling'!$L$15:$N$27,IF(BF$2+$F59&lt;=24,2,3),FALSE)),$C$3)*(1+Projection!BH$16)*(1+IF(BF191&gt;0,'Attrition Modeling'!$N$9,0)))</f>
        <v>0</v>
      </c>
      <c r="BG59" s="799">
        <f>(BF59+BG191)*(1-IFERROR(IF(BG$2+$F59&lt;=12,SUMIFS('Attrition Modeling'!$D:$D,'Attrition Modeling'!$B:$B,'IP Attrition'!$D59,'Attrition Modeling'!$C:$C,'IP Attrition'!BG$1),VLOOKUP($F59+BG$2,$A$6:$C$106,2,FALSE)*VLOOKUP(BG$1,'Attrition Modeling'!$L$15:$N$27,IF(BG$2+$F59&lt;=24,2,3),FALSE)),$C$3)*(1+Projection!BI$16)*(1+IF(BG191&gt;0,'Attrition Modeling'!$N$9,0)))</f>
        <v>0</v>
      </c>
      <c r="BH59" s="799">
        <f>(BG59+BH191)*(1-IFERROR(IF(BH$2+$F59&lt;=12,SUMIFS('Attrition Modeling'!$D:$D,'Attrition Modeling'!$B:$B,'IP Attrition'!$D59,'Attrition Modeling'!$C:$C,'IP Attrition'!BH$1),VLOOKUP($F59+BH$2,$A$6:$C$106,2,FALSE)*VLOOKUP(BH$1,'Attrition Modeling'!$L$15:$N$27,IF(BH$2+$F59&lt;=24,2,3),FALSE)),$C$3)*(1+Projection!BJ$16)*(1+IF(BH191&gt;0,'Attrition Modeling'!$N$9,0)))</f>
        <v>0</v>
      </c>
      <c r="BI59" s="799">
        <f>(BH59+BI191)*(1-IFERROR(IF(BI$2+$F59&lt;=12,SUMIFS('Attrition Modeling'!$D:$D,'Attrition Modeling'!$B:$B,'IP Attrition'!$D59,'Attrition Modeling'!$C:$C,'IP Attrition'!BI$1),VLOOKUP($F59+BI$2,$A$6:$C$106,2,FALSE)*VLOOKUP(BI$1,'Attrition Modeling'!$L$15:$N$27,IF(BI$2+$F59&lt;=24,2,3),FALSE)),$C$3)*(1+Projection!BK$16)*(1+IF(BI191&gt;0,'Attrition Modeling'!$N$9,0)))</f>
        <v>0</v>
      </c>
      <c r="BJ59" s="799">
        <f>(BI59+BJ191)*(1-IFERROR(IF(BJ$2+$F59&lt;=12,SUMIFS('Attrition Modeling'!$D:$D,'Attrition Modeling'!$B:$B,'IP Attrition'!$D59,'Attrition Modeling'!$C:$C,'IP Attrition'!BJ$1),VLOOKUP($F59+BJ$2,$A$6:$C$106,2,FALSE)*VLOOKUP(BJ$1,'Attrition Modeling'!$L$15:$N$27,IF(BJ$2+$F59&lt;=24,2,3),FALSE)),$C$3)*(1+Projection!BL$16)*(1+IF(BJ191&gt;0,'Attrition Modeling'!$N$9,0)))</f>
        <v>0</v>
      </c>
      <c r="BK59" s="799">
        <f>(BJ59+BK191)*(1-IFERROR(IF(BK$2+$F59&lt;=12,SUMIFS('Attrition Modeling'!$D:$D,'Attrition Modeling'!$B:$B,'IP Attrition'!$D59,'Attrition Modeling'!$C:$C,'IP Attrition'!BK$1),VLOOKUP($F59+BK$2,$A$6:$C$106,2,FALSE)*VLOOKUP(BK$1,'Attrition Modeling'!$L$15:$N$27,IF(BK$2+$F59&lt;=24,2,3),FALSE)),$C$3)*(1+Projection!BM$16)*(1+IF(BK191&gt;0,'Attrition Modeling'!$N$9,0)))</f>
        <v>0</v>
      </c>
      <c r="BL59" s="799">
        <f>(BK59+BL191)*(1-IFERROR(IF(BL$2+$F59&lt;=12,SUMIFS('Attrition Modeling'!$D:$D,'Attrition Modeling'!$B:$B,'IP Attrition'!$D59,'Attrition Modeling'!$C:$C,'IP Attrition'!BL$1),VLOOKUP($F59+BL$2,$A$6:$C$106,2,FALSE)*VLOOKUP(BL$1,'Attrition Modeling'!$L$15:$N$27,IF(BL$2+$F59&lt;=24,2,3),FALSE)),$C$3)*(1+Projection!BN$16)*(1+IF(BL191&gt;0,'Attrition Modeling'!$N$9,0)))</f>
        <v>0</v>
      </c>
      <c r="BM59" s="799">
        <f>(BL59+BM191)*(1-IFERROR(IF(BM$2+$F59&lt;=12,SUMIFS('Attrition Modeling'!$D:$D,'Attrition Modeling'!$B:$B,'IP Attrition'!$D59,'Attrition Modeling'!$C:$C,'IP Attrition'!BM$1),VLOOKUP($F59+BM$2,$A$6:$C$106,2,FALSE)*VLOOKUP(BM$1,'Attrition Modeling'!$L$15:$N$27,IF(BM$2+$F59&lt;=24,2,3),FALSE)),$C$3)*(1+Projection!BO$16)*(1+IF(BM191&gt;0,'Attrition Modeling'!$N$9,0)))</f>
        <v>0</v>
      </c>
      <c r="BN59" s="799">
        <f>(BM59+BN191)*(1-IFERROR(IF(BN$2+$F59&lt;=12,SUMIFS('Attrition Modeling'!$D:$D,'Attrition Modeling'!$B:$B,'IP Attrition'!$D59,'Attrition Modeling'!$C:$C,'IP Attrition'!BN$1),VLOOKUP($F59+BN$2,$A$6:$C$106,2,FALSE)*VLOOKUP(BN$1,'Attrition Modeling'!$L$15:$N$27,IF(BN$2+$F59&lt;=24,2,3),FALSE)),$C$3)*(1+Projection!BP$16)*(1+IF(BN191&gt;0,'Attrition Modeling'!$N$9,0)))</f>
        <v>0</v>
      </c>
      <c r="BO59" s="799">
        <f>(BN59+BO191)*(1-IFERROR(IF(BO$2+$F59&lt;=12,SUMIFS('Attrition Modeling'!$D:$D,'Attrition Modeling'!$B:$B,'IP Attrition'!$D59,'Attrition Modeling'!$C:$C,'IP Attrition'!BO$1),VLOOKUP($F59+BO$2,$A$6:$C$106,2,FALSE)*VLOOKUP(BO$1,'Attrition Modeling'!$L$15:$N$27,IF(BO$2+$F59&lt;=24,2,3),FALSE)),$C$3)*(1+Projection!BV$16)*(1+IF(BO191&gt;0,'Attrition Modeling'!$N$9,0)))</f>
        <v>0</v>
      </c>
      <c r="BP59" s="799">
        <f>(BO59+BP191)*(1-IFERROR(IF(BP$2+$F59&lt;=12,SUMIFS('Attrition Modeling'!$D:$D,'Attrition Modeling'!$B:$B,'IP Attrition'!$D59,'Attrition Modeling'!$C:$C,'IP Attrition'!BP$1),VLOOKUP($F59+BP$2,$A$6:$C$106,2,FALSE)*VLOOKUP(BP$1,'Attrition Modeling'!$L$15:$N$27,IF(BP$2+$F59&lt;=24,2,3),FALSE)),$C$3)*(1+Projection!BW$16)*(1+IF(BP191&gt;0,'Attrition Modeling'!$N$9,0)))</f>
        <v>0</v>
      </c>
      <c r="BQ59" s="799">
        <f>(BP59+BQ191)*(1-IFERROR(IF(BQ$2+$F59&lt;=12,SUMIFS('Attrition Modeling'!$D:$D,'Attrition Modeling'!$B:$B,'IP Attrition'!$D59,'Attrition Modeling'!$C:$C,'IP Attrition'!BQ$1),VLOOKUP($F59+BQ$2,$A$6:$C$106,2,FALSE)*VLOOKUP(BQ$1,'Attrition Modeling'!$L$15:$N$27,IF(BQ$2+$F59&lt;=24,2,3),FALSE)),$C$3)*(1+Projection!BX$16)*(1+IF(BQ191&gt;0,'Attrition Modeling'!$N$9,0)))</f>
        <v>0</v>
      </c>
      <c r="BR59" s="799">
        <f>(BQ59+BR191)*(1-IFERROR(IF(BR$2+$F59&lt;=12,SUMIFS('Attrition Modeling'!$D:$D,'Attrition Modeling'!$B:$B,'IP Attrition'!$D59,'Attrition Modeling'!$C:$C,'IP Attrition'!BR$1),VLOOKUP($F59+BR$2,$A$6:$C$106,2,FALSE)*VLOOKUP(BR$1,'Attrition Modeling'!$L$15:$N$27,IF(BR$2+$F59&lt;=24,2,3),FALSE)),$C$3)*(1+Projection!BY$16)*(1+IF(BR191&gt;0,'Attrition Modeling'!$N$9,0)))</f>
        <v>0</v>
      </c>
      <c r="BS59" s="799">
        <f>(BR59+BS191)*(1-IFERROR(IF(BS$2+$F59&lt;=12,SUMIFS('Attrition Modeling'!$D:$D,'Attrition Modeling'!$B:$B,'IP Attrition'!$D59,'Attrition Modeling'!$C:$C,'IP Attrition'!BS$1),VLOOKUP($F59+BS$2,$A$6:$C$106,2,FALSE)*VLOOKUP(BS$1,'Attrition Modeling'!$L$15:$N$27,IF(BS$2+$F59&lt;=24,2,3),FALSE)),$C$3)*(1+Projection!BZ$16)*(1+IF(BS191&gt;0,'Attrition Modeling'!$N$9,0)))</f>
        <v>0</v>
      </c>
      <c r="BT59" s="799" t="e">
        <f>(BS59+BT191)*(1-IFERROR(IF(BT$2+$F59&lt;=12,SUMIFS('Attrition Modeling'!$D:$D,'Attrition Modeling'!$B:$B,'IP Attrition'!$D59,'Attrition Modeling'!$C:$C,'IP Attrition'!BT$1),VLOOKUP($F59+BT$2,$A$6:$C$106,2,FALSE)*VLOOKUP(BT$1,'Attrition Modeling'!$L$15:$N$27,IF(BT$2+$F59&lt;=24,2,3),FALSE)),$C$3)*(1+Projection!CA$16)*(1+IF(BT191&gt;0,'Attrition Modeling'!$N$9,0)))</f>
        <v>#REF!</v>
      </c>
      <c r="BU59" s="799" t="e">
        <f>(BT59+BU191)*(1-IFERROR(IF(BU$2+$F59&lt;=12,SUMIFS('Attrition Modeling'!$D:$D,'Attrition Modeling'!$B:$B,'IP Attrition'!$D59,'Attrition Modeling'!$C:$C,'IP Attrition'!BU$1),VLOOKUP($F59+BU$2,$A$6:$C$106,2,FALSE)*VLOOKUP(BU$1,'Attrition Modeling'!$L$15:$N$27,IF(BU$2+$F59&lt;=24,2,3),FALSE)),$C$3)*(1+Projection!CB$16)*(1+IF(BU191&gt;0,'Attrition Modeling'!$N$9,0)))</f>
        <v>#REF!</v>
      </c>
    </row>
    <row r="60" spans="1:73" ht="14.25" customHeight="1" x14ac:dyDescent="0.2">
      <c r="A60" s="9">
        <v>53</v>
      </c>
      <c r="B60" s="25">
        <f>MAX('Attrition Modeling'!H57,$C$3)*(1-Summary!$C$20)</f>
        <v>2.4098898279641297E-2</v>
      </c>
      <c r="C60" s="24" t="e">
        <f t="shared" si="3"/>
        <v>#DIV/0!</v>
      </c>
      <c r="D60" s="11">
        <f t="shared" si="1"/>
        <v>-57</v>
      </c>
      <c r="E60" s="807">
        <f t="array" ref="E60">INDEX('Attrition Modeling'!$X$2:$AF$63,MATCH($F60,'Attrition Modeling'!$X$2:$X$63,0),MATCH(Inputs!$C$10,'Attrition Modeling'!$X$2:$AF$2,0))</f>
        <v>0</v>
      </c>
      <c r="F60" s="11">
        <f t="shared" si="2"/>
        <v>57</v>
      </c>
      <c r="G60" s="799">
        <f>Summary!$C$25*$E60</f>
        <v>0</v>
      </c>
      <c r="H60" s="799">
        <f>(G60+H192)*(1-IFERROR(IF(H$2+$F60&lt;=12,SUMIFS('Attrition Modeling'!$D:$D,'Attrition Modeling'!$B:$B,'IP Attrition'!$D60,'Attrition Modeling'!$C:$C,'IP Attrition'!H$1),VLOOKUP($F60+H$2,$A$6:$C$106,2,FALSE)*VLOOKUP(H$1,'Attrition Modeling'!$L$15:$N$27,IF(H$2+$F60&lt;=24,2,3),FALSE)),$C$3)*(1+Projection!J$16)*(1+IF(H192&gt;0,'Attrition Modeling'!$N$9,0)))</f>
        <v>0</v>
      </c>
      <c r="I60" s="799">
        <f>(H60+I192)*(1-IFERROR(IF(I$2+$F60&lt;=12,SUMIFS('Attrition Modeling'!$D:$D,'Attrition Modeling'!$B:$B,'IP Attrition'!$D60,'Attrition Modeling'!$C:$C,'IP Attrition'!I$1),VLOOKUP($F60+I$2,$A$6:$C$106,2,FALSE)*VLOOKUP(I$1,'Attrition Modeling'!$L$15:$N$27,IF(I$2+$F60&lt;=24,2,3),FALSE)),$C$3)*(1+Projection!K$16)*(1+IF(I192&gt;0,'Attrition Modeling'!$N$9,0)))</f>
        <v>0</v>
      </c>
      <c r="J60" s="799">
        <f>(I60+J192)*(1-IFERROR(IF(J$2+$F60&lt;=12,SUMIFS('Attrition Modeling'!$D:$D,'Attrition Modeling'!$B:$B,'IP Attrition'!$D60,'Attrition Modeling'!$C:$C,'IP Attrition'!J$1),VLOOKUP($F60+J$2,$A$6:$C$106,2,FALSE)*VLOOKUP(J$1,'Attrition Modeling'!$L$15:$N$27,IF(J$2+$F60&lt;=24,2,3),FALSE)),$C$3)*(1+Projection!L$16)*(1+IF(J192&gt;0,'Attrition Modeling'!$N$9,0)))</f>
        <v>0</v>
      </c>
      <c r="K60" s="799">
        <f>(J60+K192)*(1-IFERROR(IF(K$2+$F60&lt;=12,SUMIFS('Attrition Modeling'!$D:$D,'Attrition Modeling'!$B:$B,'IP Attrition'!$D60,'Attrition Modeling'!$C:$C,'IP Attrition'!K$1),VLOOKUP($F60+K$2,$A$6:$C$106,2,FALSE)*VLOOKUP(K$1,'Attrition Modeling'!$L$15:$N$27,IF(K$2+$F60&lt;=24,2,3),FALSE)),$C$3)*(1+Projection!M$16)*(1+IF(K192&gt;0,'Attrition Modeling'!$N$9,0)))</f>
        <v>0</v>
      </c>
      <c r="L60" s="799">
        <f>(K60+L192)*(1-IFERROR(IF(L$2+$F60&lt;=12,SUMIFS('Attrition Modeling'!$D:$D,'Attrition Modeling'!$B:$B,'IP Attrition'!$D60,'Attrition Modeling'!$C:$C,'IP Attrition'!L$1),VLOOKUP($F60+L$2,$A$6:$C$106,2,FALSE)*VLOOKUP(L$1,'Attrition Modeling'!$L$15:$N$27,IF(L$2+$F60&lt;=24,2,3),FALSE)),$C$3)*(1+Projection!N$16)*(1+IF(L192&gt;0,'Attrition Modeling'!$N$9,0)))</f>
        <v>0</v>
      </c>
      <c r="M60" s="799">
        <f>(L60+M192)*(1-IFERROR(IF(M$2+$F60&lt;=12,SUMIFS('Attrition Modeling'!$D:$D,'Attrition Modeling'!$B:$B,'IP Attrition'!$D60,'Attrition Modeling'!$C:$C,'IP Attrition'!M$1),VLOOKUP($F60+M$2,$A$6:$C$106,2,FALSE)*VLOOKUP(M$1,'Attrition Modeling'!$L$15:$N$27,IF(M$2+$F60&lt;=24,2,3),FALSE)),$C$3)*(1+Projection!O$16)*(1+IF(M192&gt;0,'Attrition Modeling'!$N$9,0)))</f>
        <v>0</v>
      </c>
      <c r="N60" s="799">
        <f>(M60+N192)*(1-IFERROR(IF(N$2+$F60&lt;=12,SUMIFS('Attrition Modeling'!$D:$D,'Attrition Modeling'!$B:$B,'IP Attrition'!$D60,'Attrition Modeling'!$C:$C,'IP Attrition'!N$1),VLOOKUP($F60+N$2,$A$6:$C$106,2,FALSE)*VLOOKUP(N$1,'Attrition Modeling'!$L$15:$N$27,IF(N$2+$F60&lt;=24,2,3),FALSE)),$C$3)*(1+Projection!P$16)*(1+IF(N192&gt;0,'Attrition Modeling'!$N$9,0)))</f>
        <v>0</v>
      </c>
      <c r="O60" s="799">
        <f>(N60+O192)*(1-IFERROR(IF(O$2+$F60&lt;=12,SUMIFS('Attrition Modeling'!$D:$D,'Attrition Modeling'!$B:$B,'IP Attrition'!$D60,'Attrition Modeling'!$C:$C,'IP Attrition'!O$1),VLOOKUP($F60+O$2,$A$6:$C$106,2,FALSE)*VLOOKUP(O$1,'Attrition Modeling'!$L$15:$N$27,IF(O$2+$F60&lt;=24,2,3),FALSE)),$C$3)*(1+Projection!Q$16)*(1+IF(O192&gt;0,'Attrition Modeling'!$N$9,0)))</f>
        <v>0</v>
      </c>
      <c r="P60" s="799">
        <f>(O60+P192)*(1-IFERROR(IF(P$2+$F60&lt;=12,SUMIFS('Attrition Modeling'!$D:$D,'Attrition Modeling'!$B:$B,'IP Attrition'!$D60,'Attrition Modeling'!$C:$C,'IP Attrition'!P$1),VLOOKUP($F60+P$2,$A$6:$C$106,2,FALSE)*VLOOKUP(P$1,'Attrition Modeling'!$L$15:$N$27,IF(P$2+$F60&lt;=24,2,3),FALSE)),$C$3)*(1+Projection!R$16)*(1+IF(P192&gt;0,'Attrition Modeling'!$N$9,0)))</f>
        <v>0</v>
      </c>
      <c r="Q60" s="799">
        <f>(P60+Q192)*(1-IFERROR(IF(Q$2+$F60&lt;=12,SUMIFS('Attrition Modeling'!$D:$D,'Attrition Modeling'!$B:$B,'IP Attrition'!$D60,'Attrition Modeling'!$C:$C,'IP Attrition'!Q$1),VLOOKUP($F60+Q$2,$A$6:$C$106,2,FALSE)*VLOOKUP(Q$1,'Attrition Modeling'!$L$15:$N$27,IF(Q$2+$F60&lt;=24,2,3),FALSE)),$C$3)*(1+Projection!S$16)*(1+IF(Q192&gt;0,'Attrition Modeling'!$N$9,0)))</f>
        <v>0</v>
      </c>
      <c r="R60" s="799">
        <f>(Q60+R192)*(1-IFERROR(IF(R$2+$F60&lt;=12,SUMIFS('Attrition Modeling'!$D:$D,'Attrition Modeling'!$B:$B,'IP Attrition'!$D60,'Attrition Modeling'!$C:$C,'IP Attrition'!R$1),VLOOKUP($F60+R$2,$A$6:$C$106,2,FALSE)*VLOOKUP(R$1,'Attrition Modeling'!$L$15:$N$27,IF(R$2+$F60&lt;=24,2,3),FALSE)),$C$3)*(1+Projection!T$16)*(1+IF(R192&gt;0,'Attrition Modeling'!$N$9,0)))</f>
        <v>0</v>
      </c>
      <c r="S60" s="799">
        <f>(R60+S192)*(1-IFERROR(IF(S$2+$F60&lt;=12,SUMIFS('Attrition Modeling'!$D:$D,'Attrition Modeling'!$B:$B,'IP Attrition'!$D60,'Attrition Modeling'!$C:$C,'IP Attrition'!S$1),VLOOKUP($F60+S$2,$A$6:$C$106,2,FALSE)*VLOOKUP(S$1,'Attrition Modeling'!$L$15:$N$27,IF(S$2+$F60&lt;=24,2,3),FALSE)),$C$3)*(1+Projection!U$16)*(1+IF(S192&gt;0,'Attrition Modeling'!$N$9,0)))</f>
        <v>0</v>
      </c>
      <c r="T60" s="799">
        <f>(S60+T192)*(1-IFERROR(IF(T$2+$F60&lt;=12,SUMIFS('Attrition Modeling'!$D:$D,'Attrition Modeling'!$B:$B,'IP Attrition'!$D60,'Attrition Modeling'!$C:$C,'IP Attrition'!T$1),VLOOKUP($F60+T$2,$A$6:$C$106,2,FALSE)*VLOOKUP(T$1,'Attrition Modeling'!$L$15:$N$27,IF(T$2+$F60&lt;=24,2,3),FALSE)),$C$3)*(1+Projection!V$16)*(1+IF(T192&gt;0,'Attrition Modeling'!$N$9,0)))</f>
        <v>0</v>
      </c>
      <c r="U60" s="799">
        <f>(T60+U192)*(1-IFERROR(IF(U$2+$F60&lt;=12,SUMIFS('Attrition Modeling'!$D:$D,'Attrition Modeling'!$B:$B,'IP Attrition'!$D60,'Attrition Modeling'!$C:$C,'IP Attrition'!U$1),VLOOKUP($F60+U$2,$A$6:$C$106,2,FALSE)*VLOOKUP(U$1,'Attrition Modeling'!$L$15:$N$27,IF(U$2+$F60&lt;=24,2,3),FALSE)),$C$3)*(1+Projection!W$16)*(1+IF(U192&gt;0,'Attrition Modeling'!$N$9,0)))</f>
        <v>0</v>
      </c>
      <c r="V60" s="799">
        <f>(U60+V192)*(1-IFERROR(IF(V$2+$F60&lt;=12,SUMIFS('Attrition Modeling'!$D:$D,'Attrition Modeling'!$B:$B,'IP Attrition'!$D60,'Attrition Modeling'!$C:$C,'IP Attrition'!V$1),VLOOKUP($F60+V$2,$A$6:$C$106,2,FALSE)*VLOOKUP(V$1,'Attrition Modeling'!$L$15:$N$27,IF(V$2+$F60&lt;=24,2,3),FALSE)),$C$3)*(1+Projection!X$16)*(1+IF(V192&gt;0,'Attrition Modeling'!$N$9,0)))</f>
        <v>0</v>
      </c>
      <c r="W60" s="799">
        <f>(V60+W192)*(1-IFERROR(IF(W$2+$F60&lt;=12,SUMIFS('Attrition Modeling'!$D:$D,'Attrition Modeling'!$B:$B,'IP Attrition'!$D60,'Attrition Modeling'!$C:$C,'IP Attrition'!W$1),VLOOKUP($F60+W$2,$A$6:$C$106,2,FALSE)*VLOOKUP(W$1,'Attrition Modeling'!$L$15:$N$27,IF(W$2+$F60&lt;=24,2,3),FALSE)),$C$3)*(1+Projection!Y$16)*(1+IF(W192&gt;0,'Attrition Modeling'!$N$9,0)))</f>
        <v>0</v>
      </c>
      <c r="X60" s="799">
        <f>(W60+X192)*(1-IFERROR(IF(X$2+$F60&lt;=12,SUMIFS('Attrition Modeling'!$D:$D,'Attrition Modeling'!$B:$B,'IP Attrition'!$D60,'Attrition Modeling'!$C:$C,'IP Attrition'!X$1),VLOOKUP($F60+X$2,$A$6:$C$106,2,FALSE)*VLOOKUP(X$1,'Attrition Modeling'!$L$15:$N$27,IF(X$2+$F60&lt;=24,2,3),FALSE)),$C$3)*(1+Projection!Z$16)*(1+IF(X192&gt;0,'Attrition Modeling'!$N$9,0)))</f>
        <v>0</v>
      </c>
      <c r="Y60" s="799">
        <f>(X60+Y192)*(1-IFERROR(IF(Y$2+$F60&lt;=12,SUMIFS('Attrition Modeling'!$D:$D,'Attrition Modeling'!$B:$B,'IP Attrition'!$D60,'Attrition Modeling'!$C:$C,'IP Attrition'!Y$1),VLOOKUP($F60+Y$2,$A$6:$C$106,2,FALSE)*VLOOKUP(Y$1,'Attrition Modeling'!$L$15:$N$27,IF(Y$2+$F60&lt;=24,2,3),FALSE)),$C$3)*(1+Projection!AA$16)*(1+IF(Y192&gt;0,'Attrition Modeling'!$N$9,0)))</f>
        <v>0</v>
      </c>
      <c r="Z60" s="799">
        <f>(Y60+Z192)*(1-IFERROR(IF(Z$2+$F60&lt;=12,SUMIFS('Attrition Modeling'!$D:$D,'Attrition Modeling'!$B:$B,'IP Attrition'!$D60,'Attrition Modeling'!$C:$C,'IP Attrition'!Z$1),VLOOKUP($F60+Z$2,$A$6:$C$106,2,FALSE)*VLOOKUP(Z$1,'Attrition Modeling'!$L$15:$N$27,IF(Z$2+$F60&lt;=24,2,3),FALSE)),$C$3)*(1+Projection!AB$16)*(1+IF(Z192&gt;0,'Attrition Modeling'!$N$9,0)))</f>
        <v>0</v>
      </c>
      <c r="AA60" s="799">
        <f>(Z60+AA192)*(1-IFERROR(IF(AA$2+$F60&lt;=12,SUMIFS('Attrition Modeling'!$D:$D,'Attrition Modeling'!$B:$B,'IP Attrition'!$D60,'Attrition Modeling'!$C:$C,'IP Attrition'!AA$1),VLOOKUP($F60+AA$2,$A$6:$C$106,2,FALSE)*VLOOKUP(AA$1,'Attrition Modeling'!$L$15:$N$27,IF(AA$2+$F60&lt;=24,2,3),FALSE)),$C$3)*(1+Projection!AC$16)*(1+IF(AA192&gt;0,'Attrition Modeling'!$N$9,0)))</f>
        <v>0</v>
      </c>
      <c r="AB60" s="799">
        <f>(AA60+AB192)*(1-IFERROR(IF(AB$2+$F60&lt;=12,SUMIFS('Attrition Modeling'!$D:$D,'Attrition Modeling'!$B:$B,'IP Attrition'!$D60,'Attrition Modeling'!$C:$C,'IP Attrition'!AB$1),VLOOKUP($F60+AB$2,$A$6:$C$106,2,FALSE)*VLOOKUP(AB$1,'Attrition Modeling'!$L$15:$N$27,IF(AB$2+$F60&lt;=24,2,3),FALSE)),$C$3)*(1+Projection!AD$16)*(1+IF(AB192&gt;0,'Attrition Modeling'!$N$9,0)))</f>
        <v>0</v>
      </c>
      <c r="AC60" s="799">
        <f>(AB60+AC192)*(1-IFERROR(IF(AC$2+$F60&lt;=12,SUMIFS('Attrition Modeling'!$D:$D,'Attrition Modeling'!$B:$B,'IP Attrition'!$D60,'Attrition Modeling'!$C:$C,'IP Attrition'!AC$1),VLOOKUP($F60+AC$2,$A$6:$C$106,2,FALSE)*VLOOKUP(AC$1,'Attrition Modeling'!$L$15:$N$27,IF(AC$2+$F60&lt;=24,2,3),FALSE)),$C$3)*(1+Projection!AE$16)*(1+IF(AC192&gt;0,'Attrition Modeling'!$N$9,0)))</f>
        <v>0</v>
      </c>
      <c r="AD60" s="799">
        <f>(AC60+AD192)*(1-IFERROR(IF(AD$2+$F60&lt;=12,SUMIFS('Attrition Modeling'!$D:$D,'Attrition Modeling'!$B:$B,'IP Attrition'!$D60,'Attrition Modeling'!$C:$C,'IP Attrition'!AD$1),VLOOKUP($F60+AD$2,$A$6:$C$106,2,FALSE)*VLOOKUP(AD$1,'Attrition Modeling'!$L$15:$N$27,IF(AD$2+$F60&lt;=24,2,3),FALSE)),$C$3)*(1+Projection!AF$16)*(1+IF(AD192&gt;0,'Attrition Modeling'!$N$9,0)))</f>
        <v>0</v>
      </c>
      <c r="AE60" s="799">
        <f>(AD60+AE192)*(1-IFERROR(IF(AE$2+$F60&lt;=12,SUMIFS('Attrition Modeling'!$D:$D,'Attrition Modeling'!$B:$B,'IP Attrition'!$D60,'Attrition Modeling'!$C:$C,'IP Attrition'!AE$1),VLOOKUP($F60+AE$2,$A$6:$C$106,2,FALSE)*VLOOKUP(AE$1,'Attrition Modeling'!$L$15:$N$27,IF(AE$2+$F60&lt;=24,2,3),FALSE)),$C$3)*(1+Projection!AG$16)*(1+IF(AE192&gt;0,'Attrition Modeling'!$N$9,0)))</f>
        <v>0</v>
      </c>
      <c r="AF60" s="799">
        <f>(AE60+AF192)*(1-IFERROR(IF(AF$2+$F60&lt;=12,SUMIFS('Attrition Modeling'!$D:$D,'Attrition Modeling'!$B:$B,'IP Attrition'!$D60,'Attrition Modeling'!$C:$C,'IP Attrition'!AF$1),VLOOKUP($F60+AF$2,$A$6:$C$106,2,FALSE)*VLOOKUP(AF$1,'Attrition Modeling'!$L$15:$N$27,IF(AF$2+$F60&lt;=24,2,3),FALSE)),$C$3)*(1+Projection!AH$16)*(1+IF(AF192&gt;0,'Attrition Modeling'!$N$9,0)))</f>
        <v>0</v>
      </c>
      <c r="AG60" s="799">
        <f>(AF60+AG192)*(1-IFERROR(IF(AG$2+$F60&lt;=12,SUMIFS('Attrition Modeling'!$D:$D,'Attrition Modeling'!$B:$B,'IP Attrition'!$D60,'Attrition Modeling'!$C:$C,'IP Attrition'!AG$1),VLOOKUP($F60+AG$2,$A$6:$C$106,2,FALSE)*VLOOKUP(AG$1,'Attrition Modeling'!$L$15:$N$27,IF(AG$2+$F60&lt;=24,2,3),FALSE)),$C$3)*(1+Projection!AI$16)*(1+IF(AG192&gt;0,'Attrition Modeling'!$N$9,0)))</f>
        <v>0</v>
      </c>
      <c r="AH60" s="799">
        <f>(AG60+AH192)*(1-IFERROR(IF(AH$2+$F60&lt;=12,SUMIFS('Attrition Modeling'!$D:$D,'Attrition Modeling'!$B:$B,'IP Attrition'!$D60,'Attrition Modeling'!$C:$C,'IP Attrition'!AH$1),VLOOKUP($F60+AH$2,$A$6:$C$106,2,FALSE)*VLOOKUP(AH$1,'Attrition Modeling'!$L$15:$N$27,IF(AH$2+$F60&lt;=24,2,3),FALSE)),$C$3)*(1+Projection!AJ$16)*(1+IF(AH192&gt;0,'Attrition Modeling'!$N$9,0)))</f>
        <v>0</v>
      </c>
      <c r="AI60" s="799">
        <f>(AH60+AI192)*(1-IFERROR(IF(AI$2+$F60&lt;=12,SUMIFS('Attrition Modeling'!$D:$D,'Attrition Modeling'!$B:$B,'IP Attrition'!$D60,'Attrition Modeling'!$C:$C,'IP Attrition'!AI$1),VLOOKUP($F60+AI$2,$A$6:$C$106,2,FALSE)*VLOOKUP(AI$1,'Attrition Modeling'!$L$15:$N$27,IF(AI$2+$F60&lt;=24,2,3),FALSE)),$C$3)*(1+Projection!AK$16)*(1+IF(AI192&gt;0,'Attrition Modeling'!$N$9,0)))</f>
        <v>0</v>
      </c>
      <c r="AJ60" s="799">
        <f>(AI60+AJ192)*(1-IFERROR(IF(AJ$2+$F60&lt;=12,SUMIFS('Attrition Modeling'!$D:$D,'Attrition Modeling'!$B:$B,'IP Attrition'!$D60,'Attrition Modeling'!$C:$C,'IP Attrition'!AJ$1),VLOOKUP($F60+AJ$2,$A$6:$C$106,2,FALSE)*VLOOKUP(AJ$1,'Attrition Modeling'!$L$15:$N$27,IF(AJ$2+$F60&lt;=24,2,3),FALSE)),$C$3)*(1+Projection!AL$16)*(1+IF(AJ192&gt;0,'Attrition Modeling'!$N$9,0)))</f>
        <v>0</v>
      </c>
      <c r="AK60" s="799">
        <f>(AJ60+AK192)*(1-IFERROR(IF(AK$2+$F60&lt;=12,SUMIFS('Attrition Modeling'!$D:$D,'Attrition Modeling'!$B:$B,'IP Attrition'!$D60,'Attrition Modeling'!$C:$C,'IP Attrition'!AK$1),VLOOKUP($F60+AK$2,$A$6:$C$106,2,FALSE)*VLOOKUP(AK$1,'Attrition Modeling'!$L$15:$N$27,IF(AK$2+$F60&lt;=24,2,3),FALSE)),$C$3)*(1+Projection!AM$16)*(1+IF(AK192&gt;0,'Attrition Modeling'!$N$9,0)))</f>
        <v>0</v>
      </c>
      <c r="AL60" s="799">
        <f>(AK60+AL192)*(1-IFERROR(IF(AL$2+$F60&lt;=12,SUMIFS('Attrition Modeling'!$D:$D,'Attrition Modeling'!$B:$B,'IP Attrition'!$D60,'Attrition Modeling'!$C:$C,'IP Attrition'!AL$1),VLOOKUP($F60+AL$2,$A$6:$C$106,2,FALSE)*VLOOKUP(AL$1,'Attrition Modeling'!$L$15:$N$27,IF(AL$2+$F60&lt;=24,2,3),FALSE)),$C$3)*(1+Projection!AN$16)*(1+IF(AL192&gt;0,'Attrition Modeling'!$N$9,0)))</f>
        <v>0</v>
      </c>
      <c r="AM60" s="799">
        <f>(AL60+AM192)*(1-IFERROR(IF(AM$2+$F60&lt;=12,SUMIFS('Attrition Modeling'!$D:$D,'Attrition Modeling'!$B:$B,'IP Attrition'!$D60,'Attrition Modeling'!$C:$C,'IP Attrition'!AM$1),VLOOKUP($F60+AM$2,$A$6:$C$106,2,FALSE)*VLOOKUP(AM$1,'Attrition Modeling'!$L$15:$N$27,IF(AM$2+$F60&lt;=24,2,3),FALSE)),$C$3)*(1+Projection!AO$16)*(1+IF(AM192&gt;0,'Attrition Modeling'!$N$9,0)))</f>
        <v>0</v>
      </c>
      <c r="AN60" s="799">
        <f>(AM60+AN192)*(1-IFERROR(IF(AN$2+$F60&lt;=12,SUMIFS('Attrition Modeling'!$D:$D,'Attrition Modeling'!$B:$B,'IP Attrition'!$D60,'Attrition Modeling'!$C:$C,'IP Attrition'!AN$1),VLOOKUP($F60+AN$2,$A$6:$C$106,2,FALSE)*VLOOKUP(AN$1,'Attrition Modeling'!$L$15:$N$27,IF(AN$2+$F60&lt;=24,2,3),FALSE)),$C$3)*(1+Projection!AP$16)*(1+IF(AN192&gt;0,'Attrition Modeling'!$N$9,0)))</f>
        <v>0</v>
      </c>
      <c r="AO60" s="799">
        <f>(AN60+AO192)*(1-IFERROR(IF(AO$2+$F60&lt;=12,SUMIFS('Attrition Modeling'!$D:$D,'Attrition Modeling'!$B:$B,'IP Attrition'!$D60,'Attrition Modeling'!$C:$C,'IP Attrition'!AO$1),VLOOKUP($F60+AO$2,$A$6:$C$106,2,FALSE)*VLOOKUP(AO$1,'Attrition Modeling'!$L$15:$N$27,IF(AO$2+$F60&lt;=24,2,3),FALSE)),$C$3)*(1+Projection!AQ$16)*(1+IF(AO192&gt;0,'Attrition Modeling'!$N$9,0)))</f>
        <v>0</v>
      </c>
      <c r="AP60" s="799">
        <f>(AO60+AP192)*(1-IFERROR(IF(AP$2+$F60&lt;=12,SUMIFS('Attrition Modeling'!$D:$D,'Attrition Modeling'!$B:$B,'IP Attrition'!$D60,'Attrition Modeling'!$C:$C,'IP Attrition'!AP$1),VLOOKUP($F60+AP$2,$A$6:$C$106,2,FALSE)*VLOOKUP(AP$1,'Attrition Modeling'!$L$15:$N$27,IF(AP$2+$F60&lt;=24,2,3),FALSE)),$C$3)*(1+Projection!AR$16)*(1+IF(AP192&gt;0,'Attrition Modeling'!$N$9,0)))</f>
        <v>0</v>
      </c>
      <c r="AQ60" s="799">
        <f>(AP60+AQ192)*(1-IFERROR(IF(AQ$2+$F60&lt;=12,SUMIFS('Attrition Modeling'!$D:$D,'Attrition Modeling'!$B:$B,'IP Attrition'!$D60,'Attrition Modeling'!$C:$C,'IP Attrition'!AQ$1),VLOOKUP($F60+AQ$2,$A$6:$C$106,2,FALSE)*VLOOKUP(AQ$1,'Attrition Modeling'!$L$15:$N$27,IF(AQ$2+$F60&lt;=24,2,3),FALSE)),$C$3)*(1+Projection!AS$16)*(1+IF(AQ192&gt;0,'Attrition Modeling'!$N$9,0)))</f>
        <v>0</v>
      </c>
      <c r="AR60" s="799">
        <f>(AQ60+AR192)*(1-IFERROR(IF(AR$2+$F60&lt;=12,SUMIFS('Attrition Modeling'!$D:$D,'Attrition Modeling'!$B:$B,'IP Attrition'!$D60,'Attrition Modeling'!$C:$C,'IP Attrition'!AR$1),VLOOKUP($F60+AR$2,$A$6:$C$106,2,FALSE)*VLOOKUP(AR$1,'Attrition Modeling'!$L$15:$N$27,IF(AR$2+$F60&lt;=24,2,3),FALSE)),$C$3)*(1+Projection!AT$16)*(1+IF(AR192&gt;0,'Attrition Modeling'!$N$9,0)))</f>
        <v>0</v>
      </c>
      <c r="AS60" s="799">
        <f>(AR60+AS192)*(1-IFERROR(IF(AS$2+$F60&lt;=12,SUMIFS('Attrition Modeling'!$D:$D,'Attrition Modeling'!$B:$B,'IP Attrition'!$D60,'Attrition Modeling'!$C:$C,'IP Attrition'!AS$1),VLOOKUP($F60+AS$2,$A$6:$C$106,2,FALSE)*VLOOKUP(AS$1,'Attrition Modeling'!$L$15:$N$27,IF(AS$2+$F60&lt;=24,2,3),FALSE)),$C$3)*(1+Projection!AU$16)*(1+IF(AS192&gt;0,'Attrition Modeling'!$N$9,0)))</f>
        <v>0</v>
      </c>
      <c r="AT60" s="799">
        <f>(AS60+AT192)*(1-IFERROR(IF(AT$2+$F60&lt;=12,SUMIFS('Attrition Modeling'!$D:$D,'Attrition Modeling'!$B:$B,'IP Attrition'!$D60,'Attrition Modeling'!$C:$C,'IP Attrition'!AT$1),VLOOKUP($F60+AT$2,$A$6:$C$106,2,FALSE)*VLOOKUP(AT$1,'Attrition Modeling'!$L$15:$N$27,IF(AT$2+$F60&lt;=24,2,3),FALSE)),$C$3)*(1+Projection!AV$16)*(1+IF(AT192&gt;0,'Attrition Modeling'!$N$9,0)))</f>
        <v>0</v>
      </c>
      <c r="AU60" s="799">
        <f>(AT60+AU192)*(1-IFERROR(IF(AU$2+$F60&lt;=12,SUMIFS('Attrition Modeling'!$D:$D,'Attrition Modeling'!$B:$B,'IP Attrition'!$D60,'Attrition Modeling'!$C:$C,'IP Attrition'!AU$1),VLOOKUP($F60+AU$2,$A$6:$C$106,2,FALSE)*VLOOKUP(AU$1,'Attrition Modeling'!$L$15:$N$27,IF(AU$2+$F60&lt;=24,2,3),FALSE)),$C$3)*(1+Projection!AW$16)*(1+IF(AU192&gt;0,'Attrition Modeling'!$N$9,0)))</f>
        <v>0</v>
      </c>
      <c r="AV60" s="799">
        <f>(AU60+AV192)*(1-IFERROR(IF(AV$2+$F60&lt;=12,SUMIFS('Attrition Modeling'!$D:$D,'Attrition Modeling'!$B:$B,'IP Attrition'!$D60,'Attrition Modeling'!$C:$C,'IP Attrition'!AV$1),VLOOKUP($F60+AV$2,$A$6:$C$106,2,FALSE)*VLOOKUP(AV$1,'Attrition Modeling'!$L$15:$N$27,IF(AV$2+$F60&lt;=24,2,3),FALSE)),$C$3)*(1+Projection!AX$16)*(1+IF(AV192&gt;0,'Attrition Modeling'!$N$9,0)))</f>
        <v>0</v>
      </c>
      <c r="AW60" s="799">
        <f>(AV60+AW192)*(1-IFERROR(IF(AW$2+$F60&lt;=12,SUMIFS('Attrition Modeling'!$D:$D,'Attrition Modeling'!$B:$B,'IP Attrition'!$D60,'Attrition Modeling'!$C:$C,'IP Attrition'!AW$1),VLOOKUP($F60+AW$2,$A$6:$C$106,2,FALSE)*VLOOKUP(AW$1,'Attrition Modeling'!$L$15:$N$27,IF(AW$2+$F60&lt;=24,2,3),FALSE)),$C$3)*(1+Projection!AY$16)*(1+IF(AW192&gt;0,'Attrition Modeling'!$N$9,0)))</f>
        <v>0</v>
      </c>
      <c r="AX60" s="799">
        <f>(AW60+AX192)*(1-IFERROR(IF(AX$2+$F60&lt;=12,SUMIFS('Attrition Modeling'!$D:$D,'Attrition Modeling'!$B:$B,'IP Attrition'!$D60,'Attrition Modeling'!$C:$C,'IP Attrition'!AX$1),VLOOKUP($F60+AX$2,$A$6:$C$106,2,FALSE)*VLOOKUP(AX$1,'Attrition Modeling'!$L$15:$N$27,IF(AX$2+$F60&lt;=24,2,3),FALSE)),$C$3)*(1+Projection!AZ$16)*(1+IF(AX192&gt;0,'Attrition Modeling'!$N$9,0)))</f>
        <v>0</v>
      </c>
      <c r="AY60" s="799">
        <f>(AX60+AY192)*(1-IFERROR(IF(AY$2+$F60&lt;=12,SUMIFS('Attrition Modeling'!$D:$D,'Attrition Modeling'!$B:$B,'IP Attrition'!$D60,'Attrition Modeling'!$C:$C,'IP Attrition'!AY$1),VLOOKUP($F60+AY$2,$A$6:$C$106,2,FALSE)*VLOOKUP(AY$1,'Attrition Modeling'!$L$15:$N$27,IF(AY$2+$F60&lt;=24,2,3),FALSE)),$C$3)*(1+Projection!BA$16)*(1+IF(AY192&gt;0,'Attrition Modeling'!$N$9,0)))</f>
        <v>0</v>
      </c>
      <c r="AZ60" s="799">
        <f>(AY60+AZ192)*(1-IFERROR(IF(AZ$2+$F60&lt;=12,SUMIFS('Attrition Modeling'!$D:$D,'Attrition Modeling'!$B:$B,'IP Attrition'!$D60,'Attrition Modeling'!$C:$C,'IP Attrition'!AZ$1),VLOOKUP($F60+AZ$2,$A$6:$C$106,2,FALSE)*VLOOKUP(AZ$1,'Attrition Modeling'!$L$15:$N$27,IF(AZ$2+$F60&lt;=24,2,3),FALSE)),$C$3)*(1+Projection!BB$16)*(1+IF(AZ192&gt;0,'Attrition Modeling'!$N$9,0)))</f>
        <v>0</v>
      </c>
      <c r="BA60" s="799">
        <f>(AZ60+BA192)*(1-IFERROR(IF(BA$2+$F60&lt;=12,SUMIFS('Attrition Modeling'!$D:$D,'Attrition Modeling'!$B:$B,'IP Attrition'!$D60,'Attrition Modeling'!$C:$C,'IP Attrition'!BA$1),VLOOKUP($F60+BA$2,$A$6:$C$106,2,FALSE)*VLOOKUP(BA$1,'Attrition Modeling'!$L$15:$N$27,IF(BA$2+$F60&lt;=24,2,3),FALSE)),$C$3)*(1+Projection!BC$16)*(1+IF(BA192&gt;0,'Attrition Modeling'!$N$9,0)))</f>
        <v>0</v>
      </c>
      <c r="BB60" s="799">
        <f>(BA60+BB192)*(1-IFERROR(IF(BB$2+$F60&lt;=12,SUMIFS('Attrition Modeling'!$D:$D,'Attrition Modeling'!$B:$B,'IP Attrition'!$D60,'Attrition Modeling'!$C:$C,'IP Attrition'!BB$1),VLOOKUP($F60+BB$2,$A$6:$C$106,2,FALSE)*VLOOKUP(BB$1,'Attrition Modeling'!$L$15:$N$27,IF(BB$2+$F60&lt;=24,2,3),FALSE)),$C$3)*(1+Projection!BD$16)*(1+IF(BB192&gt;0,'Attrition Modeling'!$N$9,0)))</f>
        <v>0</v>
      </c>
      <c r="BC60" s="799">
        <f>(BB60+BC192)*(1-IFERROR(IF(BC$2+$F60&lt;=12,SUMIFS('Attrition Modeling'!$D:$D,'Attrition Modeling'!$B:$B,'IP Attrition'!$D60,'Attrition Modeling'!$C:$C,'IP Attrition'!BC$1),VLOOKUP($F60+BC$2,$A$6:$C$106,2,FALSE)*VLOOKUP(BC$1,'Attrition Modeling'!$L$15:$N$27,IF(BC$2+$F60&lt;=24,2,3),FALSE)),$C$3)*(1+Projection!BE$16)*(1+IF(BC192&gt;0,'Attrition Modeling'!$N$9,0)))</f>
        <v>0</v>
      </c>
      <c r="BD60" s="799">
        <f>(BC60+BD192)*(1-IFERROR(IF(BD$2+$F60&lt;=12,SUMIFS('Attrition Modeling'!$D:$D,'Attrition Modeling'!$B:$B,'IP Attrition'!$D60,'Attrition Modeling'!$C:$C,'IP Attrition'!BD$1),VLOOKUP($F60+BD$2,$A$6:$C$106,2,FALSE)*VLOOKUP(BD$1,'Attrition Modeling'!$L$15:$N$27,IF(BD$2+$F60&lt;=24,2,3),FALSE)),$C$3)*(1+Projection!BF$16)*(1+IF(BD192&gt;0,'Attrition Modeling'!$N$9,0)))</f>
        <v>0</v>
      </c>
      <c r="BE60" s="799">
        <f>(BD60+BE192)*(1-IFERROR(IF(BE$2+$F60&lt;=12,SUMIFS('Attrition Modeling'!$D:$D,'Attrition Modeling'!$B:$B,'IP Attrition'!$D60,'Attrition Modeling'!$C:$C,'IP Attrition'!BE$1),VLOOKUP($F60+BE$2,$A$6:$C$106,2,FALSE)*VLOOKUP(BE$1,'Attrition Modeling'!$L$15:$N$27,IF(BE$2+$F60&lt;=24,2,3),FALSE)),$C$3)*(1+Projection!BG$16)*(1+IF(BE192&gt;0,'Attrition Modeling'!$N$9,0)))</f>
        <v>0</v>
      </c>
      <c r="BF60" s="799">
        <f>(BE60+BF192)*(1-IFERROR(IF(BF$2+$F60&lt;=12,SUMIFS('Attrition Modeling'!$D:$D,'Attrition Modeling'!$B:$B,'IP Attrition'!$D60,'Attrition Modeling'!$C:$C,'IP Attrition'!BF$1),VLOOKUP($F60+BF$2,$A$6:$C$106,2,FALSE)*VLOOKUP(BF$1,'Attrition Modeling'!$L$15:$N$27,IF(BF$2+$F60&lt;=24,2,3),FALSE)),$C$3)*(1+Projection!BH$16)*(1+IF(BF192&gt;0,'Attrition Modeling'!$N$9,0)))</f>
        <v>0</v>
      </c>
      <c r="BG60" s="799">
        <f>(BF60+BG192)*(1-IFERROR(IF(BG$2+$F60&lt;=12,SUMIFS('Attrition Modeling'!$D:$D,'Attrition Modeling'!$B:$B,'IP Attrition'!$D60,'Attrition Modeling'!$C:$C,'IP Attrition'!BG$1),VLOOKUP($F60+BG$2,$A$6:$C$106,2,FALSE)*VLOOKUP(BG$1,'Attrition Modeling'!$L$15:$N$27,IF(BG$2+$F60&lt;=24,2,3),FALSE)),$C$3)*(1+Projection!BI$16)*(1+IF(BG192&gt;0,'Attrition Modeling'!$N$9,0)))</f>
        <v>0</v>
      </c>
      <c r="BH60" s="799">
        <f>(BG60+BH192)*(1-IFERROR(IF(BH$2+$F60&lt;=12,SUMIFS('Attrition Modeling'!$D:$D,'Attrition Modeling'!$B:$B,'IP Attrition'!$D60,'Attrition Modeling'!$C:$C,'IP Attrition'!BH$1),VLOOKUP($F60+BH$2,$A$6:$C$106,2,FALSE)*VLOOKUP(BH$1,'Attrition Modeling'!$L$15:$N$27,IF(BH$2+$F60&lt;=24,2,3),FALSE)),$C$3)*(1+Projection!BJ$16)*(1+IF(BH192&gt;0,'Attrition Modeling'!$N$9,0)))</f>
        <v>0</v>
      </c>
      <c r="BI60" s="799">
        <f>(BH60+BI192)*(1-IFERROR(IF(BI$2+$F60&lt;=12,SUMIFS('Attrition Modeling'!$D:$D,'Attrition Modeling'!$B:$B,'IP Attrition'!$D60,'Attrition Modeling'!$C:$C,'IP Attrition'!BI$1),VLOOKUP($F60+BI$2,$A$6:$C$106,2,FALSE)*VLOOKUP(BI$1,'Attrition Modeling'!$L$15:$N$27,IF(BI$2+$F60&lt;=24,2,3),FALSE)),$C$3)*(1+Projection!BK$16)*(1+IF(BI192&gt;0,'Attrition Modeling'!$N$9,0)))</f>
        <v>0</v>
      </c>
      <c r="BJ60" s="799">
        <f>(BI60+BJ192)*(1-IFERROR(IF(BJ$2+$F60&lt;=12,SUMIFS('Attrition Modeling'!$D:$D,'Attrition Modeling'!$B:$B,'IP Attrition'!$D60,'Attrition Modeling'!$C:$C,'IP Attrition'!BJ$1),VLOOKUP($F60+BJ$2,$A$6:$C$106,2,FALSE)*VLOOKUP(BJ$1,'Attrition Modeling'!$L$15:$N$27,IF(BJ$2+$F60&lt;=24,2,3),FALSE)),$C$3)*(1+Projection!BL$16)*(1+IF(BJ192&gt;0,'Attrition Modeling'!$N$9,0)))</f>
        <v>0</v>
      </c>
      <c r="BK60" s="799">
        <f>(BJ60+BK192)*(1-IFERROR(IF(BK$2+$F60&lt;=12,SUMIFS('Attrition Modeling'!$D:$D,'Attrition Modeling'!$B:$B,'IP Attrition'!$D60,'Attrition Modeling'!$C:$C,'IP Attrition'!BK$1),VLOOKUP($F60+BK$2,$A$6:$C$106,2,FALSE)*VLOOKUP(BK$1,'Attrition Modeling'!$L$15:$N$27,IF(BK$2+$F60&lt;=24,2,3),FALSE)),$C$3)*(1+Projection!BM$16)*(1+IF(BK192&gt;0,'Attrition Modeling'!$N$9,0)))</f>
        <v>0</v>
      </c>
      <c r="BL60" s="799">
        <f>(BK60+BL192)*(1-IFERROR(IF(BL$2+$F60&lt;=12,SUMIFS('Attrition Modeling'!$D:$D,'Attrition Modeling'!$B:$B,'IP Attrition'!$D60,'Attrition Modeling'!$C:$C,'IP Attrition'!BL$1),VLOOKUP($F60+BL$2,$A$6:$C$106,2,FALSE)*VLOOKUP(BL$1,'Attrition Modeling'!$L$15:$N$27,IF(BL$2+$F60&lt;=24,2,3),FALSE)),$C$3)*(1+Projection!BN$16)*(1+IF(BL192&gt;0,'Attrition Modeling'!$N$9,0)))</f>
        <v>0</v>
      </c>
      <c r="BM60" s="799">
        <f>(BL60+BM192)*(1-IFERROR(IF(BM$2+$F60&lt;=12,SUMIFS('Attrition Modeling'!$D:$D,'Attrition Modeling'!$B:$B,'IP Attrition'!$D60,'Attrition Modeling'!$C:$C,'IP Attrition'!BM$1),VLOOKUP($F60+BM$2,$A$6:$C$106,2,FALSE)*VLOOKUP(BM$1,'Attrition Modeling'!$L$15:$N$27,IF(BM$2+$F60&lt;=24,2,3),FALSE)),$C$3)*(1+Projection!BO$16)*(1+IF(BM192&gt;0,'Attrition Modeling'!$N$9,0)))</f>
        <v>0</v>
      </c>
      <c r="BN60" s="799">
        <f>(BM60+BN192)*(1-IFERROR(IF(BN$2+$F60&lt;=12,SUMIFS('Attrition Modeling'!$D:$D,'Attrition Modeling'!$B:$B,'IP Attrition'!$D60,'Attrition Modeling'!$C:$C,'IP Attrition'!BN$1),VLOOKUP($F60+BN$2,$A$6:$C$106,2,FALSE)*VLOOKUP(BN$1,'Attrition Modeling'!$L$15:$N$27,IF(BN$2+$F60&lt;=24,2,3),FALSE)),$C$3)*(1+Projection!BP$16)*(1+IF(BN192&gt;0,'Attrition Modeling'!$N$9,0)))</f>
        <v>0</v>
      </c>
      <c r="BO60" s="799">
        <f>(BN60+BO192)*(1-IFERROR(IF(BO$2+$F60&lt;=12,SUMIFS('Attrition Modeling'!$D:$D,'Attrition Modeling'!$B:$B,'IP Attrition'!$D60,'Attrition Modeling'!$C:$C,'IP Attrition'!BO$1),VLOOKUP($F60+BO$2,$A$6:$C$106,2,FALSE)*VLOOKUP(BO$1,'Attrition Modeling'!$L$15:$N$27,IF(BO$2+$F60&lt;=24,2,3),FALSE)),$C$3)*(1+Projection!BV$16)*(1+IF(BO192&gt;0,'Attrition Modeling'!$N$9,0)))</f>
        <v>0</v>
      </c>
      <c r="BP60" s="799">
        <f>(BO60+BP192)*(1-IFERROR(IF(BP$2+$F60&lt;=12,SUMIFS('Attrition Modeling'!$D:$D,'Attrition Modeling'!$B:$B,'IP Attrition'!$D60,'Attrition Modeling'!$C:$C,'IP Attrition'!BP$1),VLOOKUP($F60+BP$2,$A$6:$C$106,2,FALSE)*VLOOKUP(BP$1,'Attrition Modeling'!$L$15:$N$27,IF(BP$2+$F60&lt;=24,2,3),FALSE)),$C$3)*(1+Projection!BW$16)*(1+IF(BP192&gt;0,'Attrition Modeling'!$N$9,0)))</f>
        <v>0</v>
      </c>
      <c r="BQ60" s="799">
        <f>(BP60+BQ192)*(1-IFERROR(IF(BQ$2+$F60&lt;=12,SUMIFS('Attrition Modeling'!$D:$D,'Attrition Modeling'!$B:$B,'IP Attrition'!$D60,'Attrition Modeling'!$C:$C,'IP Attrition'!BQ$1),VLOOKUP($F60+BQ$2,$A$6:$C$106,2,FALSE)*VLOOKUP(BQ$1,'Attrition Modeling'!$L$15:$N$27,IF(BQ$2+$F60&lt;=24,2,3),FALSE)),$C$3)*(1+Projection!BX$16)*(1+IF(BQ192&gt;0,'Attrition Modeling'!$N$9,0)))</f>
        <v>0</v>
      </c>
      <c r="BR60" s="799">
        <f>(BQ60+BR192)*(1-IFERROR(IF(BR$2+$F60&lt;=12,SUMIFS('Attrition Modeling'!$D:$D,'Attrition Modeling'!$B:$B,'IP Attrition'!$D60,'Attrition Modeling'!$C:$C,'IP Attrition'!BR$1),VLOOKUP($F60+BR$2,$A$6:$C$106,2,FALSE)*VLOOKUP(BR$1,'Attrition Modeling'!$L$15:$N$27,IF(BR$2+$F60&lt;=24,2,3),FALSE)),$C$3)*(1+Projection!BY$16)*(1+IF(BR192&gt;0,'Attrition Modeling'!$N$9,0)))</f>
        <v>0</v>
      </c>
      <c r="BS60" s="799">
        <f>(BR60+BS192)*(1-IFERROR(IF(BS$2+$F60&lt;=12,SUMIFS('Attrition Modeling'!$D:$D,'Attrition Modeling'!$B:$B,'IP Attrition'!$D60,'Attrition Modeling'!$C:$C,'IP Attrition'!BS$1),VLOOKUP($F60+BS$2,$A$6:$C$106,2,FALSE)*VLOOKUP(BS$1,'Attrition Modeling'!$L$15:$N$27,IF(BS$2+$F60&lt;=24,2,3),FALSE)),$C$3)*(1+Projection!BZ$16)*(1+IF(BS192&gt;0,'Attrition Modeling'!$N$9,0)))</f>
        <v>0</v>
      </c>
      <c r="BT60" s="799" t="e">
        <f>(BS60+BT192)*(1-IFERROR(IF(BT$2+$F60&lt;=12,SUMIFS('Attrition Modeling'!$D:$D,'Attrition Modeling'!$B:$B,'IP Attrition'!$D60,'Attrition Modeling'!$C:$C,'IP Attrition'!BT$1),VLOOKUP($F60+BT$2,$A$6:$C$106,2,FALSE)*VLOOKUP(BT$1,'Attrition Modeling'!$L$15:$N$27,IF(BT$2+$F60&lt;=24,2,3),FALSE)),$C$3)*(1+Projection!CA$16)*(1+IF(BT192&gt;0,'Attrition Modeling'!$N$9,0)))</f>
        <v>#REF!</v>
      </c>
      <c r="BU60" s="799" t="e">
        <f>(BT60+BU192)*(1-IFERROR(IF(BU$2+$F60&lt;=12,SUMIFS('Attrition Modeling'!$D:$D,'Attrition Modeling'!$B:$B,'IP Attrition'!$D60,'Attrition Modeling'!$C:$C,'IP Attrition'!BU$1),VLOOKUP($F60+BU$2,$A$6:$C$106,2,FALSE)*VLOOKUP(BU$1,'Attrition Modeling'!$L$15:$N$27,IF(BU$2+$F60&lt;=24,2,3),FALSE)),$C$3)*(1+Projection!CB$16)*(1+IF(BU192&gt;0,'Attrition Modeling'!$N$9,0)))</f>
        <v>#REF!</v>
      </c>
    </row>
    <row r="61" spans="1:73" ht="14.25" customHeight="1" x14ac:dyDescent="0.2">
      <c r="A61" s="9">
        <v>54</v>
      </c>
      <c r="B61" s="25">
        <f>MAX('Attrition Modeling'!H58,$C$3)*(1-Summary!$C$20)</f>
        <v>2.3812175912941283E-2</v>
      </c>
      <c r="C61" s="24" t="e">
        <f t="shared" si="3"/>
        <v>#DIV/0!</v>
      </c>
      <c r="D61" s="11">
        <f t="shared" si="1"/>
        <v>-58</v>
      </c>
      <c r="E61" s="807">
        <f t="array" ref="E61">INDEX('Attrition Modeling'!$X$2:$AF$63,MATCH($F61,'Attrition Modeling'!$X$2:$X$63,0),MATCH(Inputs!$C$10,'Attrition Modeling'!$X$2:$AF$2,0))</f>
        <v>0</v>
      </c>
      <c r="F61" s="11">
        <f t="shared" si="2"/>
        <v>58</v>
      </c>
      <c r="G61" s="799">
        <f>Summary!$C$25*$E61</f>
        <v>0</v>
      </c>
      <c r="H61" s="799">
        <f>(G61+H193)*(1-IFERROR(IF(H$2+$F61&lt;=12,SUMIFS('Attrition Modeling'!$D:$D,'Attrition Modeling'!$B:$B,'IP Attrition'!$D61,'Attrition Modeling'!$C:$C,'IP Attrition'!H$1),VLOOKUP($F61+H$2,$A$6:$C$106,2,FALSE)*VLOOKUP(H$1,'Attrition Modeling'!$L$15:$N$27,IF(H$2+$F61&lt;=24,2,3),FALSE)),$C$3)*(1+Projection!J$16)*(1+IF(H193&gt;0,'Attrition Modeling'!$N$9,0)))</f>
        <v>0</v>
      </c>
      <c r="I61" s="799">
        <f>(H61+I193)*(1-IFERROR(IF(I$2+$F61&lt;=12,SUMIFS('Attrition Modeling'!$D:$D,'Attrition Modeling'!$B:$B,'IP Attrition'!$D61,'Attrition Modeling'!$C:$C,'IP Attrition'!I$1),VLOOKUP($F61+I$2,$A$6:$C$106,2,FALSE)*VLOOKUP(I$1,'Attrition Modeling'!$L$15:$N$27,IF(I$2+$F61&lt;=24,2,3),FALSE)),$C$3)*(1+Projection!K$16)*(1+IF(I193&gt;0,'Attrition Modeling'!$N$9,0)))</f>
        <v>0</v>
      </c>
      <c r="J61" s="799">
        <f>(I61+J193)*(1-IFERROR(IF(J$2+$F61&lt;=12,SUMIFS('Attrition Modeling'!$D:$D,'Attrition Modeling'!$B:$B,'IP Attrition'!$D61,'Attrition Modeling'!$C:$C,'IP Attrition'!J$1),VLOOKUP($F61+J$2,$A$6:$C$106,2,FALSE)*VLOOKUP(J$1,'Attrition Modeling'!$L$15:$N$27,IF(J$2+$F61&lt;=24,2,3),FALSE)),$C$3)*(1+Projection!L$16)*(1+IF(J193&gt;0,'Attrition Modeling'!$N$9,0)))</f>
        <v>0</v>
      </c>
      <c r="K61" s="799">
        <f>(J61+K193)*(1-IFERROR(IF(K$2+$F61&lt;=12,SUMIFS('Attrition Modeling'!$D:$D,'Attrition Modeling'!$B:$B,'IP Attrition'!$D61,'Attrition Modeling'!$C:$C,'IP Attrition'!K$1),VLOOKUP($F61+K$2,$A$6:$C$106,2,FALSE)*VLOOKUP(K$1,'Attrition Modeling'!$L$15:$N$27,IF(K$2+$F61&lt;=24,2,3),FALSE)),$C$3)*(1+Projection!M$16)*(1+IF(K193&gt;0,'Attrition Modeling'!$N$9,0)))</f>
        <v>0</v>
      </c>
      <c r="L61" s="799">
        <f>(K61+L193)*(1-IFERROR(IF(L$2+$F61&lt;=12,SUMIFS('Attrition Modeling'!$D:$D,'Attrition Modeling'!$B:$B,'IP Attrition'!$D61,'Attrition Modeling'!$C:$C,'IP Attrition'!L$1),VLOOKUP($F61+L$2,$A$6:$C$106,2,FALSE)*VLOOKUP(L$1,'Attrition Modeling'!$L$15:$N$27,IF(L$2+$F61&lt;=24,2,3),FALSE)),$C$3)*(1+Projection!N$16)*(1+IF(L193&gt;0,'Attrition Modeling'!$N$9,0)))</f>
        <v>0</v>
      </c>
      <c r="M61" s="799">
        <f>(L61+M193)*(1-IFERROR(IF(M$2+$F61&lt;=12,SUMIFS('Attrition Modeling'!$D:$D,'Attrition Modeling'!$B:$B,'IP Attrition'!$D61,'Attrition Modeling'!$C:$C,'IP Attrition'!M$1),VLOOKUP($F61+M$2,$A$6:$C$106,2,FALSE)*VLOOKUP(M$1,'Attrition Modeling'!$L$15:$N$27,IF(M$2+$F61&lt;=24,2,3),FALSE)),$C$3)*(1+Projection!O$16)*(1+IF(M193&gt;0,'Attrition Modeling'!$N$9,0)))</f>
        <v>0</v>
      </c>
      <c r="N61" s="799">
        <f>(M61+N193)*(1-IFERROR(IF(N$2+$F61&lt;=12,SUMIFS('Attrition Modeling'!$D:$D,'Attrition Modeling'!$B:$B,'IP Attrition'!$D61,'Attrition Modeling'!$C:$C,'IP Attrition'!N$1),VLOOKUP($F61+N$2,$A$6:$C$106,2,FALSE)*VLOOKUP(N$1,'Attrition Modeling'!$L$15:$N$27,IF(N$2+$F61&lt;=24,2,3),FALSE)),$C$3)*(1+Projection!P$16)*(1+IF(N193&gt;0,'Attrition Modeling'!$N$9,0)))</f>
        <v>0</v>
      </c>
      <c r="O61" s="799">
        <f>(N61+O193)*(1-IFERROR(IF(O$2+$F61&lt;=12,SUMIFS('Attrition Modeling'!$D:$D,'Attrition Modeling'!$B:$B,'IP Attrition'!$D61,'Attrition Modeling'!$C:$C,'IP Attrition'!O$1),VLOOKUP($F61+O$2,$A$6:$C$106,2,FALSE)*VLOOKUP(O$1,'Attrition Modeling'!$L$15:$N$27,IF(O$2+$F61&lt;=24,2,3),FALSE)),$C$3)*(1+Projection!Q$16)*(1+IF(O193&gt;0,'Attrition Modeling'!$N$9,0)))</f>
        <v>0</v>
      </c>
      <c r="P61" s="799">
        <f>(O61+P193)*(1-IFERROR(IF(P$2+$F61&lt;=12,SUMIFS('Attrition Modeling'!$D:$D,'Attrition Modeling'!$B:$B,'IP Attrition'!$D61,'Attrition Modeling'!$C:$C,'IP Attrition'!P$1),VLOOKUP($F61+P$2,$A$6:$C$106,2,FALSE)*VLOOKUP(P$1,'Attrition Modeling'!$L$15:$N$27,IF(P$2+$F61&lt;=24,2,3),FALSE)),$C$3)*(1+Projection!R$16)*(1+IF(P193&gt;0,'Attrition Modeling'!$N$9,0)))</f>
        <v>0</v>
      </c>
      <c r="Q61" s="799">
        <f>(P61+Q193)*(1-IFERROR(IF(Q$2+$F61&lt;=12,SUMIFS('Attrition Modeling'!$D:$D,'Attrition Modeling'!$B:$B,'IP Attrition'!$D61,'Attrition Modeling'!$C:$C,'IP Attrition'!Q$1),VLOOKUP($F61+Q$2,$A$6:$C$106,2,FALSE)*VLOOKUP(Q$1,'Attrition Modeling'!$L$15:$N$27,IF(Q$2+$F61&lt;=24,2,3),FALSE)),$C$3)*(1+Projection!S$16)*(1+IF(Q193&gt;0,'Attrition Modeling'!$N$9,0)))</f>
        <v>0</v>
      </c>
      <c r="R61" s="799">
        <f>(Q61+R193)*(1-IFERROR(IF(R$2+$F61&lt;=12,SUMIFS('Attrition Modeling'!$D:$D,'Attrition Modeling'!$B:$B,'IP Attrition'!$D61,'Attrition Modeling'!$C:$C,'IP Attrition'!R$1),VLOOKUP($F61+R$2,$A$6:$C$106,2,FALSE)*VLOOKUP(R$1,'Attrition Modeling'!$L$15:$N$27,IF(R$2+$F61&lt;=24,2,3),FALSE)),$C$3)*(1+Projection!T$16)*(1+IF(R193&gt;0,'Attrition Modeling'!$N$9,0)))</f>
        <v>0</v>
      </c>
      <c r="S61" s="799">
        <f>(R61+S193)*(1-IFERROR(IF(S$2+$F61&lt;=12,SUMIFS('Attrition Modeling'!$D:$D,'Attrition Modeling'!$B:$B,'IP Attrition'!$D61,'Attrition Modeling'!$C:$C,'IP Attrition'!S$1),VLOOKUP($F61+S$2,$A$6:$C$106,2,FALSE)*VLOOKUP(S$1,'Attrition Modeling'!$L$15:$N$27,IF(S$2+$F61&lt;=24,2,3),FALSE)),$C$3)*(1+Projection!U$16)*(1+IF(S193&gt;0,'Attrition Modeling'!$N$9,0)))</f>
        <v>0</v>
      </c>
      <c r="T61" s="799">
        <f>(S61+T193)*(1-IFERROR(IF(T$2+$F61&lt;=12,SUMIFS('Attrition Modeling'!$D:$D,'Attrition Modeling'!$B:$B,'IP Attrition'!$D61,'Attrition Modeling'!$C:$C,'IP Attrition'!T$1),VLOOKUP($F61+T$2,$A$6:$C$106,2,FALSE)*VLOOKUP(T$1,'Attrition Modeling'!$L$15:$N$27,IF(T$2+$F61&lt;=24,2,3),FALSE)),$C$3)*(1+Projection!V$16)*(1+IF(T193&gt;0,'Attrition Modeling'!$N$9,0)))</f>
        <v>0</v>
      </c>
      <c r="U61" s="799">
        <f>(T61+U193)*(1-IFERROR(IF(U$2+$F61&lt;=12,SUMIFS('Attrition Modeling'!$D:$D,'Attrition Modeling'!$B:$B,'IP Attrition'!$D61,'Attrition Modeling'!$C:$C,'IP Attrition'!U$1),VLOOKUP($F61+U$2,$A$6:$C$106,2,FALSE)*VLOOKUP(U$1,'Attrition Modeling'!$L$15:$N$27,IF(U$2+$F61&lt;=24,2,3),FALSE)),$C$3)*(1+Projection!W$16)*(1+IF(U193&gt;0,'Attrition Modeling'!$N$9,0)))</f>
        <v>0</v>
      </c>
      <c r="V61" s="799">
        <f>(U61+V193)*(1-IFERROR(IF(V$2+$F61&lt;=12,SUMIFS('Attrition Modeling'!$D:$D,'Attrition Modeling'!$B:$B,'IP Attrition'!$D61,'Attrition Modeling'!$C:$C,'IP Attrition'!V$1),VLOOKUP($F61+V$2,$A$6:$C$106,2,FALSE)*VLOOKUP(V$1,'Attrition Modeling'!$L$15:$N$27,IF(V$2+$F61&lt;=24,2,3),FALSE)),$C$3)*(1+Projection!X$16)*(1+IF(V193&gt;0,'Attrition Modeling'!$N$9,0)))</f>
        <v>0</v>
      </c>
      <c r="W61" s="799">
        <f>(V61+W193)*(1-IFERROR(IF(W$2+$F61&lt;=12,SUMIFS('Attrition Modeling'!$D:$D,'Attrition Modeling'!$B:$B,'IP Attrition'!$D61,'Attrition Modeling'!$C:$C,'IP Attrition'!W$1),VLOOKUP($F61+W$2,$A$6:$C$106,2,FALSE)*VLOOKUP(W$1,'Attrition Modeling'!$L$15:$N$27,IF(W$2+$F61&lt;=24,2,3),FALSE)),$C$3)*(1+Projection!Y$16)*(1+IF(W193&gt;0,'Attrition Modeling'!$N$9,0)))</f>
        <v>0</v>
      </c>
      <c r="X61" s="799">
        <f>(W61+X193)*(1-IFERROR(IF(X$2+$F61&lt;=12,SUMIFS('Attrition Modeling'!$D:$D,'Attrition Modeling'!$B:$B,'IP Attrition'!$D61,'Attrition Modeling'!$C:$C,'IP Attrition'!X$1),VLOOKUP($F61+X$2,$A$6:$C$106,2,FALSE)*VLOOKUP(X$1,'Attrition Modeling'!$L$15:$N$27,IF(X$2+$F61&lt;=24,2,3),FALSE)),$C$3)*(1+Projection!Z$16)*(1+IF(X193&gt;0,'Attrition Modeling'!$N$9,0)))</f>
        <v>0</v>
      </c>
      <c r="Y61" s="799">
        <f>(X61+Y193)*(1-IFERROR(IF(Y$2+$F61&lt;=12,SUMIFS('Attrition Modeling'!$D:$D,'Attrition Modeling'!$B:$B,'IP Attrition'!$D61,'Attrition Modeling'!$C:$C,'IP Attrition'!Y$1),VLOOKUP($F61+Y$2,$A$6:$C$106,2,FALSE)*VLOOKUP(Y$1,'Attrition Modeling'!$L$15:$N$27,IF(Y$2+$F61&lt;=24,2,3),FALSE)),$C$3)*(1+Projection!AA$16)*(1+IF(Y193&gt;0,'Attrition Modeling'!$N$9,0)))</f>
        <v>0</v>
      </c>
      <c r="Z61" s="799">
        <f>(Y61+Z193)*(1-IFERROR(IF(Z$2+$F61&lt;=12,SUMIFS('Attrition Modeling'!$D:$D,'Attrition Modeling'!$B:$B,'IP Attrition'!$D61,'Attrition Modeling'!$C:$C,'IP Attrition'!Z$1),VLOOKUP($F61+Z$2,$A$6:$C$106,2,FALSE)*VLOOKUP(Z$1,'Attrition Modeling'!$L$15:$N$27,IF(Z$2+$F61&lt;=24,2,3),FALSE)),$C$3)*(1+Projection!AB$16)*(1+IF(Z193&gt;0,'Attrition Modeling'!$N$9,0)))</f>
        <v>0</v>
      </c>
      <c r="AA61" s="799">
        <f>(Z61+AA193)*(1-IFERROR(IF(AA$2+$F61&lt;=12,SUMIFS('Attrition Modeling'!$D:$D,'Attrition Modeling'!$B:$B,'IP Attrition'!$D61,'Attrition Modeling'!$C:$C,'IP Attrition'!AA$1),VLOOKUP($F61+AA$2,$A$6:$C$106,2,FALSE)*VLOOKUP(AA$1,'Attrition Modeling'!$L$15:$N$27,IF(AA$2+$F61&lt;=24,2,3),FALSE)),$C$3)*(1+Projection!AC$16)*(1+IF(AA193&gt;0,'Attrition Modeling'!$N$9,0)))</f>
        <v>0</v>
      </c>
      <c r="AB61" s="799">
        <f>(AA61+AB193)*(1-IFERROR(IF(AB$2+$F61&lt;=12,SUMIFS('Attrition Modeling'!$D:$D,'Attrition Modeling'!$B:$B,'IP Attrition'!$D61,'Attrition Modeling'!$C:$C,'IP Attrition'!AB$1),VLOOKUP($F61+AB$2,$A$6:$C$106,2,FALSE)*VLOOKUP(AB$1,'Attrition Modeling'!$L$15:$N$27,IF(AB$2+$F61&lt;=24,2,3),FALSE)),$C$3)*(1+Projection!AD$16)*(1+IF(AB193&gt;0,'Attrition Modeling'!$N$9,0)))</f>
        <v>0</v>
      </c>
      <c r="AC61" s="799">
        <f>(AB61+AC193)*(1-IFERROR(IF(AC$2+$F61&lt;=12,SUMIFS('Attrition Modeling'!$D:$D,'Attrition Modeling'!$B:$B,'IP Attrition'!$D61,'Attrition Modeling'!$C:$C,'IP Attrition'!AC$1),VLOOKUP($F61+AC$2,$A$6:$C$106,2,FALSE)*VLOOKUP(AC$1,'Attrition Modeling'!$L$15:$N$27,IF(AC$2+$F61&lt;=24,2,3),FALSE)),$C$3)*(1+Projection!AE$16)*(1+IF(AC193&gt;0,'Attrition Modeling'!$N$9,0)))</f>
        <v>0</v>
      </c>
      <c r="AD61" s="799">
        <f>(AC61+AD193)*(1-IFERROR(IF(AD$2+$F61&lt;=12,SUMIFS('Attrition Modeling'!$D:$D,'Attrition Modeling'!$B:$B,'IP Attrition'!$D61,'Attrition Modeling'!$C:$C,'IP Attrition'!AD$1),VLOOKUP($F61+AD$2,$A$6:$C$106,2,FALSE)*VLOOKUP(AD$1,'Attrition Modeling'!$L$15:$N$27,IF(AD$2+$F61&lt;=24,2,3),FALSE)),$C$3)*(1+Projection!AF$16)*(1+IF(AD193&gt;0,'Attrition Modeling'!$N$9,0)))</f>
        <v>0</v>
      </c>
      <c r="AE61" s="799">
        <f>(AD61+AE193)*(1-IFERROR(IF(AE$2+$F61&lt;=12,SUMIFS('Attrition Modeling'!$D:$D,'Attrition Modeling'!$B:$B,'IP Attrition'!$D61,'Attrition Modeling'!$C:$C,'IP Attrition'!AE$1),VLOOKUP($F61+AE$2,$A$6:$C$106,2,FALSE)*VLOOKUP(AE$1,'Attrition Modeling'!$L$15:$N$27,IF(AE$2+$F61&lt;=24,2,3),FALSE)),$C$3)*(1+Projection!AG$16)*(1+IF(AE193&gt;0,'Attrition Modeling'!$N$9,0)))</f>
        <v>0</v>
      </c>
      <c r="AF61" s="799">
        <f>(AE61+AF193)*(1-IFERROR(IF(AF$2+$F61&lt;=12,SUMIFS('Attrition Modeling'!$D:$D,'Attrition Modeling'!$B:$B,'IP Attrition'!$D61,'Attrition Modeling'!$C:$C,'IP Attrition'!AF$1),VLOOKUP($F61+AF$2,$A$6:$C$106,2,FALSE)*VLOOKUP(AF$1,'Attrition Modeling'!$L$15:$N$27,IF(AF$2+$F61&lt;=24,2,3),FALSE)),$C$3)*(1+Projection!AH$16)*(1+IF(AF193&gt;0,'Attrition Modeling'!$N$9,0)))</f>
        <v>0</v>
      </c>
      <c r="AG61" s="799">
        <f>(AF61+AG193)*(1-IFERROR(IF(AG$2+$F61&lt;=12,SUMIFS('Attrition Modeling'!$D:$D,'Attrition Modeling'!$B:$B,'IP Attrition'!$D61,'Attrition Modeling'!$C:$C,'IP Attrition'!AG$1),VLOOKUP($F61+AG$2,$A$6:$C$106,2,FALSE)*VLOOKUP(AG$1,'Attrition Modeling'!$L$15:$N$27,IF(AG$2+$F61&lt;=24,2,3),FALSE)),$C$3)*(1+Projection!AI$16)*(1+IF(AG193&gt;0,'Attrition Modeling'!$N$9,0)))</f>
        <v>0</v>
      </c>
      <c r="AH61" s="799">
        <f>(AG61+AH193)*(1-IFERROR(IF(AH$2+$F61&lt;=12,SUMIFS('Attrition Modeling'!$D:$D,'Attrition Modeling'!$B:$B,'IP Attrition'!$D61,'Attrition Modeling'!$C:$C,'IP Attrition'!AH$1),VLOOKUP($F61+AH$2,$A$6:$C$106,2,FALSE)*VLOOKUP(AH$1,'Attrition Modeling'!$L$15:$N$27,IF(AH$2+$F61&lt;=24,2,3),FALSE)),$C$3)*(1+Projection!AJ$16)*(1+IF(AH193&gt;0,'Attrition Modeling'!$N$9,0)))</f>
        <v>0</v>
      </c>
      <c r="AI61" s="799">
        <f>(AH61+AI193)*(1-IFERROR(IF(AI$2+$F61&lt;=12,SUMIFS('Attrition Modeling'!$D:$D,'Attrition Modeling'!$B:$B,'IP Attrition'!$D61,'Attrition Modeling'!$C:$C,'IP Attrition'!AI$1),VLOOKUP($F61+AI$2,$A$6:$C$106,2,FALSE)*VLOOKUP(AI$1,'Attrition Modeling'!$L$15:$N$27,IF(AI$2+$F61&lt;=24,2,3),FALSE)),$C$3)*(1+Projection!AK$16)*(1+IF(AI193&gt;0,'Attrition Modeling'!$N$9,0)))</f>
        <v>0</v>
      </c>
      <c r="AJ61" s="799">
        <f>(AI61+AJ193)*(1-IFERROR(IF(AJ$2+$F61&lt;=12,SUMIFS('Attrition Modeling'!$D:$D,'Attrition Modeling'!$B:$B,'IP Attrition'!$D61,'Attrition Modeling'!$C:$C,'IP Attrition'!AJ$1),VLOOKUP($F61+AJ$2,$A$6:$C$106,2,FALSE)*VLOOKUP(AJ$1,'Attrition Modeling'!$L$15:$N$27,IF(AJ$2+$F61&lt;=24,2,3),FALSE)),$C$3)*(1+Projection!AL$16)*(1+IF(AJ193&gt;0,'Attrition Modeling'!$N$9,0)))</f>
        <v>0</v>
      </c>
      <c r="AK61" s="799">
        <f>(AJ61+AK193)*(1-IFERROR(IF(AK$2+$F61&lt;=12,SUMIFS('Attrition Modeling'!$D:$D,'Attrition Modeling'!$B:$B,'IP Attrition'!$D61,'Attrition Modeling'!$C:$C,'IP Attrition'!AK$1),VLOOKUP($F61+AK$2,$A$6:$C$106,2,FALSE)*VLOOKUP(AK$1,'Attrition Modeling'!$L$15:$N$27,IF(AK$2+$F61&lt;=24,2,3),FALSE)),$C$3)*(1+Projection!AM$16)*(1+IF(AK193&gt;0,'Attrition Modeling'!$N$9,0)))</f>
        <v>0</v>
      </c>
      <c r="AL61" s="799">
        <f>(AK61+AL193)*(1-IFERROR(IF(AL$2+$F61&lt;=12,SUMIFS('Attrition Modeling'!$D:$D,'Attrition Modeling'!$B:$B,'IP Attrition'!$D61,'Attrition Modeling'!$C:$C,'IP Attrition'!AL$1),VLOOKUP($F61+AL$2,$A$6:$C$106,2,FALSE)*VLOOKUP(AL$1,'Attrition Modeling'!$L$15:$N$27,IF(AL$2+$F61&lt;=24,2,3),FALSE)),$C$3)*(1+Projection!AN$16)*(1+IF(AL193&gt;0,'Attrition Modeling'!$N$9,0)))</f>
        <v>0</v>
      </c>
      <c r="AM61" s="799">
        <f>(AL61+AM193)*(1-IFERROR(IF(AM$2+$F61&lt;=12,SUMIFS('Attrition Modeling'!$D:$D,'Attrition Modeling'!$B:$B,'IP Attrition'!$D61,'Attrition Modeling'!$C:$C,'IP Attrition'!AM$1),VLOOKUP($F61+AM$2,$A$6:$C$106,2,FALSE)*VLOOKUP(AM$1,'Attrition Modeling'!$L$15:$N$27,IF(AM$2+$F61&lt;=24,2,3),FALSE)),$C$3)*(1+Projection!AO$16)*(1+IF(AM193&gt;0,'Attrition Modeling'!$N$9,0)))</f>
        <v>0</v>
      </c>
      <c r="AN61" s="799">
        <f>(AM61+AN193)*(1-IFERROR(IF(AN$2+$F61&lt;=12,SUMIFS('Attrition Modeling'!$D:$D,'Attrition Modeling'!$B:$B,'IP Attrition'!$D61,'Attrition Modeling'!$C:$C,'IP Attrition'!AN$1),VLOOKUP($F61+AN$2,$A$6:$C$106,2,FALSE)*VLOOKUP(AN$1,'Attrition Modeling'!$L$15:$N$27,IF(AN$2+$F61&lt;=24,2,3),FALSE)),$C$3)*(1+Projection!AP$16)*(1+IF(AN193&gt;0,'Attrition Modeling'!$N$9,0)))</f>
        <v>0</v>
      </c>
      <c r="AO61" s="799">
        <f>(AN61+AO193)*(1-IFERROR(IF(AO$2+$F61&lt;=12,SUMIFS('Attrition Modeling'!$D:$D,'Attrition Modeling'!$B:$B,'IP Attrition'!$D61,'Attrition Modeling'!$C:$C,'IP Attrition'!AO$1),VLOOKUP($F61+AO$2,$A$6:$C$106,2,FALSE)*VLOOKUP(AO$1,'Attrition Modeling'!$L$15:$N$27,IF(AO$2+$F61&lt;=24,2,3),FALSE)),$C$3)*(1+Projection!AQ$16)*(1+IF(AO193&gt;0,'Attrition Modeling'!$N$9,0)))</f>
        <v>0</v>
      </c>
      <c r="AP61" s="799">
        <f>(AO61+AP193)*(1-IFERROR(IF(AP$2+$F61&lt;=12,SUMIFS('Attrition Modeling'!$D:$D,'Attrition Modeling'!$B:$B,'IP Attrition'!$D61,'Attrition Modeling'!$C:$C,'IP Attrition'!AP$1),VLOOKUP($F61+AP$2,$A$6:$C$106,2,FALSE)*VLOOKUP(AP$1,'Attrition Modeling'!$L$15:$N$27,IF(AP$2+$F61&lt;=24,2,3),FALSE)),$C$3)*(1+Projection!AR$16)*(1+IF(AP193&gt;0,'Attrition Modeling'!$N$9,0)))</f>
        <v>0</v>
      </c>
      <c r="AQ61" s="799">
        <f>(AP61+AQ193)*(1-IFERROR(IF(AQ$2+$F61&lt;=12,SUMIFS('Attrition Modeling'!$D:$D,'Attrition Modeling'!$B:$B,'IP Attrition'!$D61,'Attrition Modeling'!$C:$C,'IP Attrition'!AQ$1),VLOOKUP($F61+AQ$2,$A$6:$C$106,2,FALSE)*VLOOKUP(AQ$1,'Attrition Modeling'!$L$15:$N$27,IF(AQ$2+$F61&lt;=24,2,3),FALSE)),$C$3)*(1+Projection!AS$16)*(1+IF(AQ193&gt;0,'Attrition Modeling'!$N$9,0)))</f>
        <v>0</v>
      </c>
      <c r="AR61" s="799">
        <f>(AQ61+AR193)*(1-IFERROR(IF(AR$2+$F61&lt;=12,SUMIFS('Attrition Modeling'!$D:$D,'Attrition Modeling'!$B:$B,'IP Attrition'!$D61,'Attrition Modeling'!$C:$C,'IP Attrition'!AR$1),VLOOKUP($F61+AR$2,$A$6:$C$106,2,FALSE)*VLOOKUP(AR$1,'Attrition Modeling'!$L$15:$N$27,IF(AR$2+$F61&lt;=24,2,3),FALSE)),$C$3)*(1+Projection!AT$16)*(1+IF(AR193&gt;0,'Attrition Modeling'!$N$9,0)))</f>
        <v>0</v>
      </c>
      <c r="AS61" s="799">
        <f>(AR61+AS193)*(1-IFERROR(IF(AS$2+$F61&lt;=12,SUMIFS('Attrition Modeling'!$D:$D,'Attrition Modeling'!$B:$B,'IP Attrition'!$D61,'Attrition Modeling'!$C:$C,'IP Attrition'!AS$1),VLOOKUP($F61+AS$2,$A$6:$C$106,2,FALSE)*VLOOKUP(AS$1,'Attrition Modeling'!$L$15:$N$27,IF(AS$2+$F61&lt;=24,2,3),FALSE)),$C$3)*(1+Projection!AU$16)*(1+IF(AS193&gt;0,'Attrition Modeling'!$N$9,0)))</f>
        <v>0</v>
      </c>
      <c r="AT61" s="799">
        <f>(AS61+AT193)*(1-IFERROR(IF(AT$2+$F61&lt;=12,SUMIFS('Attrition Modeling'!$D:$D,'Attrition Modeling'!$B:$B,'IP Attrition'!$D61,'Attrition Modeling'!$C:$C,'IP Attrition'!AT$1),VLOOKUP($F61+AT$2,$A$6:$C$106,2,FALSE)*VLOOKUP(AT$1,'Attrition Modeling'!$L$15:$N$27,IF(AT$2+$F61&lt;=24,2,3),FALSE)),$C$3)*(1+Projection!AV$16)*(1+IF(AT193&gt;0,'Attrition Modeling'!$N$9,0)))</f>
        <v>0</v>
      </c>
      <c r="AU61" s="799">
        <f>(AT61+AU193)*(1-IFERROR(IF(AU$2+$F61&lt;=12,SUMIFS('Attrition Modeling'!$D:$D,'Attrition Modeling'!$B:$B,'IP Attrition'!$D61,'Attrition Modeling'!$C:$C,'IP Attrition'!AU$1),VLOOKUP($F61+AU$2,$A$6:$C$106,2,FALSE)*VLOOKUP(AU$1,'Attrition Modeling'!$L$15:$N$27,IF(AU$2+$F61&lt;=24,2,3),FALSE)),$C$3)*(1+Projection!AW$16)*(1+IF(AU193&gt;0,'Attrition Modeling'!$N$9,0)))</f>
        <v>0</v>
      </c>
      <c r="AV61" s="799">
        <f>(AU61+AV193)*(1-IFERROR(IF(AV$2+$F61&lt;=12,SUMIFS('Attrition Modeling'!$D:$D,'Attrition Modeling'!$B:$B,'IP Attrition'!$D61,'Attrition Modeling'!$C:$C,'IP Attrition'!AV$1),VLOOKUP($F61+AV$2,$A$6:$C$106,2,FALSE)*VLOOKUP(AV$1,'Attrition Modeling'!$L$15:$N$27,IF(AV$2+$F61&lt;=24,2,3),FALSE)),$C$3)*(1+Projection!AX$16)*(1+IF(AV193&gt;0,'Attrition Modeling'!$N$9,0)))</f>
        <v>0</v>
      </c>
      <c r="AW61" s="799">
        <f>(AV61+AW193)*(1-IFERROR(IF(AW$2+$F61&lt;=12,SUMIFS('Attrition Modeling'!$D:$D,'Attrition Modeling'!$B:$B,'IP Attrition'!$D61,'Attrition Modeling'!$C:$C,'IP Attrition'!AW$1),VLOOKUP($F61+AW$2,$A$6:$C$106,2,FALSE)*VLOOKUP(AW$1,'Attrition Modeling'!$L$15:$N$27,IF(AW$2+$F61&lt;=24,2,3),FALSE)),$C$3)*(1+Projection!AY$16)*(1+IF(AW193&gt;0,'Attrition Modeling'!$N$9,0)))</f>
        <v>0</v>
      </c>
      <c r="AX61" s="799">
        <f>(AW61+AX193)*(1-IFERROR(IF(AX$2+$F61&lt;=12,SUMIFS('Attrition Modeling'!$D:$D,'Attrition Modeling'!$B:$B,'IP Attrition'!$D61,'Attrition Modeling'!$C:$C,'IP Attrition'!AX$1),VLOOKUP($F61+AX$2,$A$6:$C$106,2,FALSE)*VLOOKUP(AX$1,'Attrition Modeling'!$L$15:$N$27,IF(AX$2+$F61&lt;=24,2,3),FALSE)),$C$3)*(1+Projection!AZ$16)*(1+IF(AX193&gt;0,'Attrition Modeling'!$N$9,0)))</f>
        <v>0</v>
      </c>
      <c r="AY61" s="799">
        <f>(AX61+AY193)*(1-IFERROR(IF(AY$2+$F61&lt;=12,SUMIFS('Attrition Modeling'!$D:$D,'Attrition Modeling'!$B:$B,'IP Attrition'!$D61,'Attrition Modeling'!$C:$C,'IP Attrition'!AY$1),VLOOKUP($F61+AY$2,$A$6:$C$106,2,FALSE)*VLOOKUP(AY$1,'Attrition Modeling'!$L$15:$N$27,IF(AY$2+$F61&lt;=24,2,3),FALSE)),$C$3)*(1+Projection!BA$16)*(1+IF(AY193&gt;0,'Attrition Modeling'!$N$9,0)))</f>
        <v>0</v>
      </c>
      <c r="AZ61" s="799">
        <f>(AY61+AZ193)*(1-IFERROR(IF(AZ$2+$F61&lt;=12,SUMIFS('Attrition Modeling'!$D:$D,'Attrition Modeling'!$B:$B,'IP Attrition'!$D61,'Attrition Modeling'!$C:$C,'IP Attrition'!AZ$1),VLOOKUP($F61+AZ$2,$A$6:$C$106,2,FALSE)*VLOOKUP(AZ$1,'Attrition Modeling'!$L$15:$N$27,IF(AZ$2+$F61&lt;=24,2,3),FALSE)),$C$3)*(1+Projection!BB$16)*(1+IF(AZ193&gt;0,'Attrition Modeling'!$N$9,0)))</f>
        <v>0</v>
      </c>
      <c r="BA61" s="799">
        <f>(AZ61+BA193)*(1-IFERROR(IF(BA$2+$F61&lt;=12,SUMIFS('Attrition Modeling'!$D:$D,'Attrition Modeling'!$B:$B,'IP Attrition'!$D61,'Attrition Modeling'!$C:$C,'IP Attrition'!BA$1),VLOOKUP($F61+BA$2,$A$6:$C$106,2,FALSE)*VLOOKUP(BA$1,'Attrition Modeling'!$L$15:$N$27,IF(BA$2+$F61&lt;=24,2,3),FALSE)),$C$3)*(1+Projection!BC$16)*(1+IF(BA193&gt;0,'Attrition Modeling'!$N$9,0)))</f>
        <v>0</v>
      </c>
      <c r="BB61" s="799">
        <f>(BA61+BB193)*(1-IFERROR(IF(BB$2+$F61&lt;=12,SUMIFS('Attrition Modeling'!$D:$D,'Attrition Modeling'!$B:$B,'IP Attrition'!$D61,'Attrition Modeling'!$C:$C,'IP Attrition'!BB$1),VLOOKUP($F61+BB$2,$A$6:$C$106,2,FALSE)*VLOOKUP(BB$1,'Attrition Modeling'!$L$15:$N$27,IF(BB$2+$F61&lt;=24,2,3),FALSE)),$C$3)*(1+Projection!BD$16)*(1+IF(BB193&gt;0,'Attrition Modeling'!$N$9,0)))</f>
        <v>0</v>
      </c>
      <c r="BC61" s="799">
        <f>(BB61+BC193)*(1-IFERROR(IF(BC$2+$F61&lt;=12,SUMIFS('Attrition Modeling'!$D:$D,'Attrition Modeling'!$B:$B,'IP Attrition'!$D61,'Attrition Modeling'!$C:$C,'IP Attrition'!BC$1),VLOOKUP($F61+BC$2,$A$6:$C$106,2,FALSE)*VLOOKUP(BC$1,'Attrition Modeling'!$L$15:$N$27,IF(BC$2+$F61&lt;=24,2,3),FALSE)),$C$3)*(1+Projection!BE$16)*(1+IF(BC193&gt;0,'Attrition Modeling'!$N$9,0)))</f>
        <v>0</v>
      </c>
      <c r="BD61" s="799">
        <f>(BC61+BD193)*(1-IFERROR(IF(BD$2+$F61&lt;=12,SUMIFS('Attrition Modeling'!$D:$D,'Attrition Modeling'!$B:$B,'IP Attrition'!$D61,'Attrition Modeling'!$C:$C,'IP Attrition'!BD$1),VLOOKUP($F61+BD$2,$A$6:$C$106,2,FALSE)*VLOOKUP(BD$1,'Attrition Modeling'!$L$15:$N$27,IF(BD$2+$F61&lt;=24,2,3),FALSE)),$C$3)*(1+Projection!BF$16)*(1+IF(BD193&gt;0,'Attrition Modeling'!$N$9,0)))</f>
        <v>0</v>
      </c>
      <c r="BE61" s="799">
        <f>(BD61+BE193)*(1-IFERROR(IF(BE$2+$F61&lt;=12,SUMIFS('Attrition Modeling'!$D:$D,'Attrition Modeling'!$B:$B,'IP Attrition'!$D61,'Attrition Modeling'!$C:$C,'IP Attrition'!BE$1),VLOOKUP($F61+BE$2,$A$6:$C$106,2,FALSE)*VLOOKUP(BE$1,'Attrition Modeling'!$L$15:$N$27,IF(BE$2+$F61&lt;=24,2,3),FALSE)),$C$3)*(1+Projection!BG$16)*(1+IF(BE193&gt;0,'Attrition Modeling'!$N$9,0)))</f>
        <v>0</v>
      </c>
      <c r="BF61" s="799">
        <f>(BE61+BF193)*(1-IFERROR(IF(BF$2+$F61&lt;=12,SUMIFS('Attrition Modeling'!$D:$D,'Attrition Modeling'!$B:$B,'IP Attrition'!$D61,'Attrition Modeling'!$C:$C,'IP Attrition'!BF$1),VLOOKUP($F61+BF$2,$A$6:$C$106,2,FALSE)*VLOOKUP(BF$1,'Attrition Modeling'!$L$15:$N$27,IF(BF$2+$F61&lt;=24,2,3),FALSE)),$C$3)*(1+Projection!BH$16)*(1+IF(BF193&gt;0,'Attrition Modeling'!$N$9,0)))</f>
        <v>0</v>
      </c>
      <c r="BG61" s="799">
        <f>(BF61+BG193)*(1-IFERROR(IF(BG$2+$F61&lt;=12,SUMIFS('Attrition Modeling'!$D:$D,'Attrition Modeling'!$B:$B,'IP Attrition'!$D61,'Attrition Modeling'!$C:$C,'IP Attrition'!BG$1),VLOOKUP($F61+BG$2,$A$6:$C$106,2,FALSE)*VLOOKUP(BG$1,'Attrition Modeling'!$L$15:$N$27,IF(BG$2+$F61&lt;=24,2,3),FALSE)),$C$3)*(1+Projection!BI$16)*(1+IF(BG193&gt;0,'Attrition Modeling'!$N$9,0)))</f>
        <v>0</v>
      </c>
      <c r="BH61" s="799">
        <f>(BG61+BH193)*(1-IFERROR(IF(BH$2+$F61&lt;=12,SUMIFS('Attrition Modeling'!$D:$D,'Attrition Modeling'!$B:$B,'IP Attrition'!$D61,'Attrition Modeling'!$C:$C,'IP Attrition'!BH$1),VLOOKUP($F61+BH$2,$A$6:$C$106,2,FALSE)*VLOOKUP(BH$1,'Attrition Modeling'!$L$15:$N$27,IF(BH$2+$F61&lt;=24,2,3),FALSE)),$C$3)*(1+Projection!BJ$16)*(1+IF(BH193&gt;0,'Attrition Modeling'!$N$9,0)))</f>
        <v>0</v>
      </c>
      <c r="BI61" s="799">
        <f>(BH61+BI193)*(1-IFERROR(IF(BI$2+$F61&lt;=12,SUMIFS('Attrition Modeling'!$D:$D,'Attrition Modeling'!$B:$B,'IP Attrition'!$D61,'Attrition Modeling'!$C:$C,'IP Attrition'!BI$1),VLOOKUP($F61+BI$2,$A$6:$C$106,2,FALSE)*VLOOKUP(BI$1,'Attrition Modeling'!$L$15:$N$27,IF(BI$2+$F61&lt;=24,2,3),FALSE)),$C$3)*(1+Projection!BK$16)*(1+IF(BI193&gt;0,'Attrition Modeling'!$N$9,0)))</f>
        <v>0</v>
      </c>
      <c r="BJ61" s="799">
        <f>(BI61+BJ193)*(1-IFERROR(IF(BJ$2+$F61&lt;=12,SUMIFS('Attrition Modeling'!$D:$D,'Attrition Modeling'!$B:$B,'IP Attrition'!$D61,'Attrition Modeling'!$C:$C,'IP Attrition'!BJ$1),VLOOKUP($F61+BJ$2,$A$6:$C$106,2,FALSE)*VLOOKUP(BJ$1,'Attrition Modeling'!$L$15:$N$27,IF(BJ$2+$F61&lt;=24,2,3),FALSE)),$C$3)*(1+Projection!BL$16)*(1+IF(BJ193&gt;0,'Attrition Modeling'!$N$9,0)))</f>
        <v>0</v>
      </c>
      <c r="BK61" s="799">
        <f>(BJ61+BK193)*(1-IFERROR(IF(BK$2+$F61&lt;=12,SUMIFS('Attrition Modeling'!$D:$D,'Attrition Modeling'!$B:$B,'IP Attrition'!$D61,'Attrition Modeling'!$C:$C,'IP Attrition'!BK$1),VLOOKUP($F61+BK$2,$A$6:$C$106,2,FALSE)*VLOOKUP(BK$1,'Attrition Modeling'!$L$15:$N$27,IF(BK$2+$F61&lt;=24,2,3),FALSE)),$C$3)*(1+Projection!BM$16)*(1+IF(BK193&gt;0,'Attrition Modeling'!$N$9,0)))</f>
        <v>0</v>
      </c>
      <c r="BL61" s="799">
        <f>(BK61+BL193)*(1-IFERROR(IF(BL$2+$F61&lt;=12,SUMIFS('Attrition Modeling'!$D:$D,'Attrition Modeling'!$B:$B,'IP Attrition'!$D61,'Attrition Modeling'!$C:$C,'IP Attrition'!BL$1),VLOOKUP($F61+BL$2,$A$6:$C$106,2,FALSE)*VLOOKUP(BL$1,'Attrition Modeling'!$L$15:$N$27,IF(BL$2+$F61&lt;=24,2,3),FALSE)),$C$3)*(1+Projection!BN$16)*(1+IF(BL193&gt;0,'Attrition Modeling'!$N$9,0)))</f>
        <v>0</v>
      </c>
      <c r="BM61" s="799">
        <f>(BL61+BM193)*(1-IFERROR(IF(BM$2+$F61&lt;=12,SUMIFS('Attrition Modeling'!$D:$D,'Attrition Modeling'!$B:$B,'IP Attrition'!$D61,'Attrition Modeling'!$C:$C,'IP Attrition'!BM$1),VLOOKUP($F61+BM$2,$A$6:$C$106,2,FALSE)*VLOOKUP(BM$1,'Attrition Modeling'!$L$15:$N$27,IF(BM$2+$F61&lt;=24,2,3),FALSE)),$C$3)*(1+Projection!BO$16)*(1+IF(BM193&gt;0,'Attrition Modeling'!$N$9,0)))</f>
        <v>0</v>
      </c>
      <c r="BN61" s="799">
        <f>(BM61+BN193)*(1-IFERROR(IF(BN$2+$F61&lt;=12,SUMIFS('Attrition Modeling'!$D:$D,'Attrition Modeling'!$B:$B,'IP Attrition'!$D61,'Attrition Modeling'!$C:$C,'IP Attrition'!BN$1),VLOOKUP($F61+BN$2,$A$6:$C$106,2,FALSE)*VLOOKUP(BN$1,'Attrition Modeling'!$L$15:$N$27,IF(BN$2+$F61&lt;=24,2,3),FALSE)),$C$3)*(1+Projection!BP$16)*(1+IF(BN193&gt;0,'Attrition Modeling'!$N$9,0)))</f>
        <v>0</v>
      </c>
      <c r="BO61" s="799">
        <f>(BN61+BO193)*(1-IFERROR(IF(BO$2+$F61&lt;=12,SUMIFS('Attrition Modeling'!$D:$D,'Attrition Modeling'!$B:$B,'IP Attrition'!$D61,'Attrition Modeling'!$C:$C,'IP Attrition'!BO$1),VLOOKUP($F61+BO$2,$A$6:$C$106,2,FALSE)*VLOOKUP(BO$1,'Attrition Modeling'!$L$15:$N$27,IF(BO$2+$F61&lt;=24,2,3),FALSE)),$C$3)*(1+Projection!BV$16)*(1+IF(BO193&gt;0,'Attrition Modeling'!$N$9,0)))</f>
        <v>0</v>
      </c>
      <c r="BP61" s="799">
        <f>(BO61+BP193)*(1-IFERROR(IF(BP$2+$F61&lt;=12,SUMIFS('Attrition Modeling'!$D:$D,'Attrition Modeling'!$B:$B,'IP Attrition'!$D61,'Attrition Modeling'!$C:$C,'IP Attrition'!BP$1),VLOOKUP($F61+BP$2,$A$6:$C$106,2,FALSE)*VLOOKUP(BP$1,'Attrition Modeling'!$L$15:$N$27,IF(BP$2+$F61&lt;=24,2,3),FALSE)),$C$3)*(1+Projection!BW$16)*(1+IF(BP193&gt;0,'Attrition Modeling'!$N$9,0)))</f>
        <v>0</v>
      </c>
      <c r="BQ61" s="799">
        <f>(BP61+BQ193)*(1-IFERROR(IF(BQ$2+$F61&lt;=12,SUMIFS('Attrition Modeling'!$D:$D,'Attrition Modeling'!$B:$B,'IP Attrition'!$D61,'Attrition Modeling'!$C:$C,'IP Attrition'!BQ$1),VLOOKUP($F61+BQ$2,$A$6:$C$106,2,FALSE)*VLOOKUP(BQ$1,'Attrition Modeling'!$L$15:$N$27,IF(BQ$2+$F61&lt;=24,2,3),FALSE)),$C$3)*(1+Projection!BX$16)*(1+IF(BQ193&gt;0,'Attrition Modeling'!$N$9,0)))</f>
        <v>0</v>
      </c>
      <c r="BR61" s="799">
        <f>(BQ61+BR193)*(1-IFERROR(IF(BR$2+$F61&lt;=12,SUMIFS('Attrition Modeling'!$D:$D,'Attrition Modeling'!$B:$B,'IP Attrition'!$D61,'Attrition Modeling'!$C:$C,'IP Attrition'!BR$1),VLOOKUP($F61+BR$2,$A$6:$C$106,2,FALSE)*VLOOKUP(BR$1,'Attrition Modeling'!$L$15:$N$27,IF(BR$2+$F61&lt;=24,2,3),FALSE)),$C$3)*(1+Projection!BY$16)*(1+IF(BR193&gt;0,'Attrition Modeling'!$N$9,0)))</f>
        <v>0</v>
      </c>
      <c r="BS61" s="799">
        <f>(BR61+BS193)*(1-IFERROR(IF(BS$2+$F61&lt;=12,SUMIFS('Attrition Modeling'!$D:$D,'Attrition Modeling'!$B:$B,'IP Attrition'!$D61,'Attrition Modeling'!$C:$C,'IP Attrition'!BS$1),VLOOKUP($F61+BS$2,$A$6:$C$106,2,FALSE)*VLOOKUP(BS$1,'Attrition Modeling'!$L$15:$N$27,IF(BS$2+$F61&lt;=24,2,3),FALSE)),$C$3)*(1+Projection!BZ$16)*(1+IF(BS193&gt;0,'Attrition Modeling'!$N$9,0)))</f>
        <v>0</v>
      </c>
      <c r="BT61" s="799" t="e">
        <f>(BS61+BT193)*(1-IFERROR(IF(BT$2+$F61&lt;=12,SUMIFS('Attrition Modeling'!$D:$D,'Attrition Modeling'!$B:$B,'IP Attrition'!$D61,'Attrition Modeling'!$C:$C,'IP Attrition'!BT$1),VLOOKUP($F61+BT$2,$A$6:$C$106,2,FALSE)*VLOOKUP(BT$1,'Attrition Modeling'!$L$15:$N$27,IF(BT$2+$F61&lt;=24,2,3),FALSE)),$C$3)*(1+Projection!CA$16)*(1+IF(BT193&gt;0,'Attrition Modeling'!$N$9,0)))</f>
        <v>#REF!</v>
      </c>
      <c r="BU61" s="799" t="e">
        <f>(BT61+BU193)*(1-IFERROR(IF(BU$2+$F61&lt;=12,SUMIFS('Attrition Modeling'!$D:$D,'Attrition Modeling'!$B:$B,'IP Attrition'!$D61,'Attrition Modeling'!$C:$C,'IP Attrition'!BU$1),VLOOKUP($F61+BU$2,$A$6:$C$106,2,FALSE)*VLOOKUP(BU$1,'Attrition Modeling'!$L$15:$N$27,IF(BU$2+$F61&lt;=24,2,3),FALSE)),$C$3)*(1+Projection!CB$16)*(1+IF(BU193&gt;0,'Attrition Modeling'!$N$9,0)))</f>
        <v>#REF!</v>
      </c>
    </row>
    <row r="62" spans="1:73" ht="14.25" customHeight="1" x14ac:dyDescent="0.2">
      <c r="A62" s="9">
        <v>55</v>
      </c>
      <c r="B62" s="25">
        <f>MAX('Attrition Modeling'!H59,$C$3)*(1-Summary!$C$20)</f>
        <v>2.3530714805082079E-2</v>
      </c>
      <c r="C62" s="24" t="e">
        <f t="shared" si="3"/>
        <v>#DIV/0!</v>
      </c>
      <c r="D62" s="11">
        <f t="shared" si="1"/>
        <v>-59</v>
      </c>
      <c r="E62" s="807">
        <f t="array" ref="E62">INDEX('Attrition Modeling'!$X$2:$AF$63,MATCH($F62,'Attrition Modeling'!$X$2:$X$63,0),MATCH(Inputs!$C$10,'Attrition Modeling'!$X$2:$AF$2,0))</f>
        <v>0</v>
      </c>
      <c r="F62" s="11">
        <f t="shared" si="2"/>
        <v>59</v>
      </c>
      <c r="G62" s="799">
        <f>Summary!$C$25*$E62</f>
        <v>0</v>
      </c>
      <c r="H62" s="799">
        <f>(G62+H194)*(1-IFERROR(IF(H$2+$F62&lt;=12,SUMIFS('Attrition Modeling'!$D:$D,'Attrition Modeling'!$B:$B,'IP Attrition'!$D62,'Attrition Modeling'!$C:$C,'IP Attrition'!H$1),VLOOKUP($F62+H$2,$A$6:$C$106,2,FALSE)*VLOOKUP(H$1,'Attrition Modeling'!$L$15:$N$27,IF(H$2+$F62&lt;=24,2,3),FALSE)),$C$3)*(1+Projection!J$16)*(1+IF(H194&gt;0,'Attrition Modeling'!$N$9,0)))</f>
        <v>0</v>
      </c>
      <c r="I62" s="799">
        <f>(H62+I194)*(1-IFERROR(IF(I$2+$F62&lt;=12,SUMIFS('Attrition Modeling'!$D:$D,'Attrition Modeling'!$B:$B,'IP Attrition'!$D62,'Attrition Modeling'!$C:$C,'IP Attrition'!I$1),VLOOKUP($F62+I$2,$A$6:$C$106,2,FALSE)*VLOOKUP(I$1,'Attrition Modeling'!$L$15:$N$27,IF(I$2+$F62&lt;=24,2,3),FALSE)),$C$3)*(1+Projection!K$16)*(1+IF(I194&gt;0,'Attrition Modeling'!$N$9,0)))</f>
        <v>0</v>
      </c>
      <c r="J62" s="799">
        <f>(I62+J194)*(1-IFERROR(IF(J$2+$F62&lt;=12,SUMIFS('Attrition Modeling'!$D:$D,'Attrition Modeling'!$B:$B,'IP Attrition'!$D62,'Attrition Modeling'!$C:$C,'IP Attrition'!J$1),VLOOKUP($F62+J$2,$A$6:$C$106,2,FALSE)*VLOOKUP(J$1,'Attrition Modeling'!$L$15:$N$27,IF(J$2+$F62&lt;=24,2,3),FALSE)),$C$3)*(1+Projection!L$16)*(1+IF(J194&gt;0,'Attrition Modeling'!$N$9,0)))</f>
        <v>0</v>
      </c>
      <c r="K62" s="799">
        <f>(J62+K194)*(1-IFERROR(IF(K$2+$F62&lt;=12,SUMIFS('Attrition Modeling'!$D:$D,'Attrition Modeling'!$B:$B,'IP Attrition'!$D62,'Attrition Modeling'!$C:$C,'IP Attrition'!K$1),VLOOKUP($F62+K$2,$A$6:$C$106,2,FALSE)*VLOOKUP(K$1,'Attrition Modeling'!$L$15:$N$27,IF(K$2+$F62&lt;=24,2,3),FALSE)),$C$3)*(1+Projection!M$16)*(1+IF(K194&gt;0,'Attrition Modeling'!$N$9,0)))</f>
        <v>0</v>
      </c>
      <c r="L62" s="799">
        <f>(K62+L194)*(1-IFERROR(IF(L$2+$F62&lt;=12,SUMIFS('Attrition Modeling'!$D:$D,'Attrition Modeling'!$B:$B,'IP Attrition'!$D62,'Attrition Modeling'!$C:$C,'IP Attrition'!L$1),VLOOKUP($F62+L$2,$A$6:$C$106,2,FALSE)*VLOOKUP(L$1,'Attrition Modeling'!$L$15:$N$27,IF(L$2+$F62&lt;=24,2,3),FALSE)),$C$3)*(1+Projection!N$16)*(1+IF(L194&gt;0,'Attrition Modeling'!$N$9,0)))</f>
        <v>0</v>
      </c>
      <c r="M62" s="799">
        <f>(L62+M194)*(1-IFERROR(IF(M$2+$F62&lt;=12,SUMIFS('Attrition Modeling'!$D:$D,'Attrition Modeling'!$B:$B,'IP Attrition'!$D62,'Attrition Modeling'!$C:$C,'IP Attrition'!M$1),VLOOKUP($F62+M$2,$A$6:$C$106,2,FALSE)*VLOOKUP(M$1,'Attrition Modeling'!$L$15:$N$27,IF(M$2+$F62&lt;=24,2,3),FALSE)),$C$3)*(1+Projection!O$16)*(1+IF(M194&gt;0,'Attrition Modeling'!$N$9,0)))</f>
        <v>0</v>
      </c>
      <c r="N62" s="799">
        <f>(M62+N194)*(1-IFERROR(IF(N$2+$F62&lt;=12,SUMIFS('Attrition Modeling'!$D:$D,'Attrition Modeling'!$B:$B,'IP Attrition'!$D62,'Attrition Modeling'!$C:$C,'IP Attrition'!N$1),VLOOKUP($F62+N$2,$A$6:$C$106,2,FALSE)*VLOOKUP(N$1,'Attrition Modeling'!$L$15:$N$27,IF(N$2+$F62&lt;=24,2,3),FALSE)),$C$3)*(1+Projection!P$16)*(1+IF(N194&gt;0,'Attrition Modeling'!$N$9,0)))</f>
        <v>0</v>
      </c>
      <c r="O62" s="799">
        <f>(N62+O194)*(1-IFERROR(IF(O$2+$F62&lt;=12,SUMIFS('Attrition Modeling'!$D:$D,'Attrition Modeling'!$B:$B,'IP Attrition'!$D62,'Attrition Modeling'!$C:$C,'IP Attrition'!O$1),VLOOKUP($F62+O$2,$A$6:$C$106,2,FALSE)*VLOOKUP(O$1,'Attrition Modeling'!$L$15:$N$27,IF(O$2+$F62&lt;=24,2,3),FALSE)),$C$3)*(1+Projection!Q$16)*(1+IF(O194&gt;0,'Attrition Modeling'!$N$9,0)))</f>
        <v>0</v>
      </c>
      <c r="P62" s="799">
        <f>(O62+P194)*(1-IFERROR(IF(P$2+$F62&lt;=12,SUMIFS('Attrition Modeling'!$D:$D,'Attrition Modeling'!$B:$B,'IP Attrition'!$D62,'Attrition Modeling'!$C:$C,'IP Attrition'!P$1),VLOOKUP($F62+P$2,$A$6:$C$106,2,FALSE)*VLOOKUP(P$1,'Attrition Modeling'!$L$15:$N$27,IF(P$2+$F62&lt;=24,2,3),FALSE)),$C$3)*(1+Projection!R$16)*(1+IF(P194&gt;0,'Attrition Modeling'!$N$9,0)))</f>
        <v>0</v>
      </c>
      <c r="Q62" s="799">
        <f>(P62+Q194)*(1-IFERROR(IF(Q$2+$F62&lt;=12,SUMIFS('Attrition Modeling'!$D:$D,'Attrition Modeling'!$B:$B,'IP Attrition'!$D62,'Attrition Modeling'!$C:$C,'IP Attrition'!Q$1),VLOOKUP($F62+Q$2,$A$6:$C$106,2,FALSE)*VLOOKUP(Q$1,'Attrition Modeling'!$L$15:$N$27,IF(Q$2+$F62&lt;=24,2,3),FALSE)),$C$3)*(1+Projection!S$16)*(1+IF(Q194&gt;0,'Attrition Modeling'!$N$9,0)))</f>
        <v>0</v>
      </c>
      <c r="R62" s="799">
        <f>(Q62+R194)*(1-IFERROR(IF(R$2+$F62&lt;=12,SUMIFS('Attrition Modeling'!$D:$D,'Attrition Modeling'!$B:$B,'IP Attrition'!$D62,'Attrition Modeling'!$C:$C,'IP Attrition'!R$1),VLOOKUP($F62+R$2,$A$6:$C$106,2,FALSE)*VLOOKUP(R$1,'Attrition Modeling'!$L$15:$N$27,IF(R$2+$F62&lt;=24,2,3),FALSE)),$C$3)*(1+Projection!T$16)*(1+IF(R194&gt;0,'Attrition Modeling'!$N$9,0)))</f>
        <v>0</v>
      </c>
      <c r="S62" s="799">
        <f>(R62+S194)*(1-IFERROR(IF(S$2+$F62&lt;=12,SUMIFS('Attrition Modeling'!$D:$D,'Attrition Modeling'!$B:$B,'IP Attrition'!$D62,'Attrition Modeling'!$C:$C,'IP Attrition'!S$1),VLOOKUP($F62+S$2,$A$6:$C$106,2,FALSE)*VLOOKUP(S$1,'Attrition Modeling'!$L$15:$N$27,IF(S$2+$F62&lt;=24,2,3),FALSE)),$C$3)*(1+Projection!U$16)*(1+IF(S194&gt;0,'Attrition Modeling'!$N$9,0)))</f>
        <v>0</v>
      </c>
      <c r="T62" s="799">
        <f>(S62+T194)*(1-IFERROR(IF(T$2+$F62&lt;=12,SUMIFS('Attrition Modeling'!$D:$D,'Attrition Modeling'!$B:$B,'IP Attrition'!$D62,'Attrition Modeling'!$C:$C,'IP Attrition'!T$1),VLOOKUP($F62+T$2,$A$6:$C$106,2,FALSE)*VLOOKUP(T$1,'Attrition Modeling'!$L$15:$N$27,IF(T$2+$F62&lt;=24,2,3),FALSE)),$C$3)*(1+Projection!V$16)*(1+IF(T194&gt;0,'Attrition Modeling'!$N$9,0)))</f>
        <v>0</v>
      </c>
      <c r="U62" s="799">
        <f>(T62+U194)*(1-IFERROR(IF(U$2+$F62&lt;=12,SUMIFS('Attrition Modeling'!$D:$D,'Attrition Modeling'!$B:$B,'IP Attrition'!$D62,'Attrition Modeling'!$C:$C,'IP Attrition'!U$1),VLOOKUP($F62+U$2,$A$6:$C$106,2,FALSE)*VLOOKUP(U$1,'Attrition Modeling'!$L$15:$N$27,IF(U$2+$F62&lt;=24,2,3),FALSE)),$C$3)*(1+Projection!W$16)*(1+IF(U194&gt;0,'Attrition Modeling'!$N$9,0)))</f>
        <v>0</v>
      </c>
      <c r="V62" s="799">
        <f>(U62+V194)*(1-IFERROR(IF(V$2+$F62&lt;=12,SUMIFS('Attrition Modeling'!$D:$D,'Attrition Modeling'!$B:$B,'IP Attrition'!$D62,'Attrition Modeling'!$C:$C,'IP Attrition'!V$1),VLOOKUP($F62+V$2,$A$6:$C$106,2,FALSE)*VLOOKUP(V$1,'Attrition Modeling'!$L$15:$N$27,IF(V$2+$F62&lt;=24,2,3),FALSE)),$C$3)*(1+Projection!X$16)*(1+IF(V194&gt;0,'Attrition Modeling'!$N$9,0)))</f>
        <v>0</v>
      </c>
      <c r="W62" s="799">
        <f>(V62+W194)*(1-IFERROR(IF(W$2+$F62&lt;=12,SUMIFS('Attrition Modeling'!$D:$D,'Attrition Modeling'!$B:$B,'IP Attrition'!$D62,'Attrition Modeling'!$C:$C,'IP Attrition'!W$1),VLOOKUP($F62+W$2,$A$6:$C$106,2,FALSE)*VLOOKUP(W$1,'Attrition Modeling'!$L$15:$N$27,IF(W$2+$F62&lt;=24,2,3),FALSE)),$C$3)*(1+Projection!Y$16)*(1+IF(W194&gt;0,'Attrition Modeling'!$N$9,0)))</f>
        <v>0</v>
      </c>
      <c r="X62" s="799">
        <f>(W62+X194)*(1-IFERROR(IF(X$2+$F62&lt;=12,SUMIFS('Attrition Modeling'!$D:$D,'Attrition Modeling'!$B:$B,'IP Attrition'!$D62,'Attrition Modeling'!$C:$C,'IP Attrition'!X$1),VLOOKUP($F62+X$2,$A$6:$C$106,2,FALSE)*VLOOKUP(X$1,'Attrition Modeling'!$L$15:$N$27,IF(X$2+$F62&lt;=24,2,3),FALSE)),$C$3)*(1+Projection!Z$16)*(1+IF(X194&gt;0,'Attrition Modeling'!$N$9,0)))</f>
        <v>0</v>
      </c>
      <c r="Y62" s="799">
        <f>(X62+Y194)*(1-IFERROR(IF(Y$2+$F62&lt;=12,SUMIFS('Attrition Modeling'!$D:$D,'Attrition Modeling'!$B:$B,'IP Attrition'!$D62,'Attrition Modeling'!$C:$C,'IP Attrition'!Y$1),VLOOKUP($F62+Y$2,$A$6:$C$106,2,FALSE)*VLOOKUP(Y$1,'Attrition Modeling'!$L$15:$N$27,IF(Y$2+$F62&lt;=24,2,3),FALSE)),$C$3)*(1+Projection!AA$16)*(1+IF(Y194&gt;0,'Attrition Modeling'!$N$9,0)))</f>
        <v>0</v>
      </c>
      <c r="Z62" s="799">
        <f>(Y62+Z194)*(1-IFERROR(IF(Z$2+$F62&lt;=12,SUMIFS('Attrition Modeling'!$D:$D,'Attrition Modeling'!$B:$B,'IP Attrition'!$D62,'Attrition Modeling'!$C:$C,'IP Attrition'!Z$1),VLOOKUP($F62+Z$2,$A$6:$C$106,2,FALSE)*VLOOKUP(Z$1,'Attrition Modeling'!$L$15:$N$27,IF(Z$2+$F62&lt;=24,2,3),FALSE)),$C$3)*(1+Projection!AB$16)*(1+IF(Z194&gt;0,'Attrition Modeling'!$N$9,0)))</f>
        <v>0</v>
      </c>
      <c r="AA62" s="799">
        <f>(Z62+AA194)*(1-IFERROR(IF(AA$2+$F62&lt;=12,SUMIFS('Attrition Modeling'!$D:$D,'Attrition Modeling'!$B:$B,'IP Attrition'!$D62,'Attrition Modeling'!$C:$C,'IP Attrition'!AA$1),VLOOKUP($F62+AA$2,$A$6:$C$106,2,FALSE)*VLOOKUP(AA$1,'Attrition Modeling'!$L$15:$N$27,IF(AA$2+$F62&lt;=24,2,3),FALSE)),$C$3)*(1+Projection!AC$16)*(1+IF(AA194&gt;0,'Attrition Modeling'!$N$9,0)))</f>
        <v>0</v>
      </c>
      <c r="AB62" s="799">
        <f>(AA62+AB194)*(1-IFERROR(IF(AB$2+$F62&lt;=12,SUMIFS('Attrition Modeling'!$D:$D,'Attrition Modeling'!$B:$B,'IP Attrition'!$D62,'Attrition Modeling'!$C:$C,'IP Attrition'!AB$1),VLOOKUP($F62+AB$2,$A$6:$C$106,2,FALSE)*VLOOKUP(AB$1,'Attrition Modeling'!$L$15:$N$27,IF(AB$2+$F62&lt;=24,2,3),FALSE)),$C$3)*(1+Projection!AD$16)*(1+IF(AB194&gt;0,'Attrition Modeling'!$N$9,0)))</f>
        <v>0</v>
      </c>
      <c r="AC62" s="799">
        <f>(AB62+AC194)*(1-IFERROR(IF(AC$2+$F62&lt;=12,SUMIFS('Attrition Modeling'!$D:$D,'Attrition Modeling'!$B:$B,'IP Attrition'!$D62,'Attrition Modeling'!$C:$C,'IP Attrition'!AC$1),VLOOKUP($F62+AC$2,$A$6:$C$106,2,FALSE)*VLOOKUP(AC$1,'Attrition Modeling'!$L$15:$N$27,IF(AC$2+$F62&lt;=24,2,3),FALSE)),$C$3)*(1+Projection!AE$16)*(1+IF(AC194&gt;0,'Attrition Modeling'!$N$9,0)))</f>
        <v>0</v>
      </c>
      <c r="AD62" s="799">
        <f>(AC62+AD194)*(1-IFERROR(IF(AD$2+$F62&lt;=12,SUMIFS('Attrition Modeling'!$D:$D,'Attrition Modeling'!$B:$B,'IP Attrition'!$D62,'Attrition Modeling'!$C:$C,'IP Attrition'!AD$1),VLOOKUP($F62+AD$2,$A$6:$C$106,2,FALSE)*VLOOKUP(AD$1,'Attrition Modeling'!$L$15:$N$27,IF(AD$2+$F62&lt;=24,2,3),FALSE)),$C$3)*(1+Projection!AF$16)*(1+IF(AD194&gt;0,'Attrition Modeling'!$N$9,0)))</f>
        <v>0</v>
      </c>
      <c r="AE62" s="799">
        <f>(AD62+AE194)*(1-IFERROR(IF(AE$2+$F62&lt;=12,SUMIFS('Attrition Modeling'!$D:$D,'Attrition Modeling'!$B:$B,'IP Attrition'!$D62,'Attrition Modeling'!$C:$C,'IP Attrition'!AE$1),VLOOKUP($F62+AE$2,$A$6:$C$106,2,FALSE)*VLOOKUP(AE$1,'Attrition Modeling'!$L$15:$N$27,IF(AE$2+$F62&lt;=24,2,3),FALSE)),$C$3)*(1+Projection!AG$16)*(1+IF(AE194&gt;0,'Attrition Modeling'!$N$9,0)))</f>
        <v>0</v>
      </c>
      <c r="AF62" s="799">
        <f>(AE62+AF194)*(1-IFERROR(IF(AF$2+$F62&lt;=12,SUMIFS('Attrition Modeling'!$D:$D,'Attrition Modeling'!$B:$B,'IP Attrition'!$D62,'Attrition Modeling'!$C:$C,'IP Attrition'!AF$1),VLOOKUP($F62+AF$2,$A$6:$C$106,2,FALSE)*VLOOKUP(AF$1,'Attrition Modeling'!$L$15:$N$27,IF(AF$2+$F62&lt;=24,2,3),FALSE)),$C$3)*(1+Projection!AH$16)*(1+IF(AF194&gt;0,'Attrition Modeling'!$N$9,0)))</f>
        <v>0</v>
      </c>
      <c r="AG62" s="799">
        <f>(AF62+AG194)*(1-IFERROR(IF(AG$2+$F62&lt;=12,SUMIFS('Attrition Modeling'!$D:$D,'Attrition Modeling'!$B:$B,'IP Attrition'!$D62,'Attrition Modeling'!$C:$C,'IP Attrition'!AG$1),VLOOKUP($F62+AG$2,$A$6:$C$106,2,FALSE)*VLOOKUP(AG$1,'Attrition Modeling'!$L$15:$N$27,IF(AG$2+$F62&lt;=24,2,3),FALSE)),$C$3)*(1+Projection!AI$16)*(1+IF(AG194&gt;0,'Attrition Modeling'!$N$9,0)))</f>
        <v>0</v>
      </c>
      <c r="AH62" s="799">
        <f>(AG62+AH194)*(1-IFERROR(IF(AH$2+$F62&lt;=12,SUMIFS('Attrition Modeling'!$D:$D,'Attrition Modeling'!$B:$B,'IP Attrition'!$D62,'Attrition Modeling'!$C:$C,'IP Attrition'!AH$1),VLOOKUP($F62+AH$2,$A$6:$C$106,2,FALSE)*VLOOKUP(AH$1,'Attrition Modeling'!$L$15:$N$27,IF(AH$2+$F62&lt;=24,2,3),FALSE)),$C$3)*(1+Projection!AJ$16)*(1+IF(AH194&gt;0,'Attrition Modeling'!$N$9,0)))</f>
        <v>0</v>
      </c>
      <c r="AI62" s="799">
        <f>(AH62+AI194)*(1-IFERROR(IF(AI$2+$F62&lt;=12,SUMIFS('Attrition Modeling'!$D:$D,'Attrition Modeling'!$B:$B,'IP Attrition'!$D62,'Attrition Modeling'!$C:$C,'IP Attrition'!AI$1),VLOOKUP($F62+AI$2,$A$6:$C$106,2,FALSE)*VLOOKUP(AI$1,'Attrition Modeling'!$L$15:$N$27,IF(AI$2+$F62&lt;=24,2,3),FALSE)),$C$3)*(1+Projection!AK$16)*(1+IF(AI194&gt;0,'Attrition Modeling'!$N$9,0)))</f>
        <v>0</v>
      </c>
      <c r="AJ62" s="799">
        <f>(AI62+AJ194)*(1-IFERROR(IF(AJ$2+$F62&lt;=12,SUMIFS('Attrition Modeling'!$D:$D,'Attrition Modeling'!$B:$B,'IP Attrition'!$D62,'Attrition Modeling'!$C:$C,'IP Attrition'!AJ$1),VLOOKUP($F62+AJ$2,$A$6:$C$106,2,FALSE)*VLOOKUP(AJ$1,'Attrition Modeling'!$L$15:$N$27,IF(AJ$2+$F62&lt;=24,2,3),FALSE)),$C$3)*(1+Projection!AL$16)*(1+IF(AJ194&gt;0,'Attrition Modeling'!$N$9,0)))</f>
        <v>0</v>
      </c>
      <c r="AK62" s="799">
        <f>(AJ62+AK194)*(1-IFERROR(IF(AK$2+$F62&lt;=12,SUMIFS('Attrition Modeling'!$D:$D,'Attrition Modeling'!$B:$B,'IP Attrition'!$D62,'Attrition Modeling'!$C:$C,'IP Attrition'!AK$1),VLOOKUP($F62+AK$2,$A$6:$C$106,2,FALSE)*VLOOKUP(AK$1,'Attrition Modeling'!$L$15:$N$27,IF(AK$2+$F62&lt;=24,2,3),FALSE)),$C$3)*(1+Projection!AM$16)*(1+IF(AK194&gt;0,'Attrition Modeling'!$N$9,0)))</f>
        <v>0</v>
      </c>
      <c r="AL62" s="799">
        <f>(AK62+AL194)*(1-IFERROR(IF(AL$2+$F62&lt;=12,SUMIFS('Attrition Modeling'!$D:$D,'Attrition Modeling'!$B:$B,'IP Attrition'!$D62,'Attrition Modeling'!$C:$C,'IP Attrition'!AL$1),VLOOKUP($F62+AL$2,$A$6:$C$106,2,FALSE)*VLOOKUP(AL$1,'Attrition Modeling'!$L$15:$N$27,IF(AL$2+$F62&lt;=24,2,3),FALSE)),$C$3)*(1+Projection!AN$16)*(1+IF(AL194&gt;0,'Attrition Modeling'!$N$9,0)))</f>
        <v>0</v>
      </c>
      <c r="AM62" s="799">
        <f>(AL62+AM194)*(1-IFERROR(IF(AM$2+$F62&lt;=12,SUMIFS('Attrition Modeling'!$D:$D,'Attrition Modeling'!$B:$B,'IP Attrition'!$D62,'Attrition Modeling'!$C:$C,'IP Attrition'!AM$1),VLOOKUP($F62+AM$2,$A$6:$C$106,2,FALSE)*VLOOKUP(AM$1,'Attrition Modeling'!$L$15:$N$27,IF(AM$2+$F62&lt;=24,2,3),FALSE)),$C$3)*(1+Projection!AO$16)*(1+IF(AM194&gt;0,'Attrition Modeling'!$N$9,0)))</f>
        <v>0</v>
      </c>
      <c r="AN62" s="799">
        <f>(AM62+AN194)*(1-IFERROR(IF(AN$2+$F62&lt;=12,SUMIFS('Attrition Modeling'!$D:$D,'Attrition Modeling'!$B:$B,'IP Attrition'!$D62,'Attrition Modeling'!$C:$C,'IP Attrition'!AN$1),VLOOKUP($F62+AN$2,$A$6:$C$106,2,FALSE)*VLOOKUP(AN$1,'Attrition Modeling'!$L$15:$N$27,IF(AN$2+$F62&lt;=24,2,3),FALSE)),$C$3)*(1+Projection!AP$16)*(1+IF(AN194&gt;0,'Attrition Modeling'!$N$9,0)))</f>
        <v>0</v>
      </c>
      <c r="AO62" s="799">
        <f>(AN62+AO194)*(1-IFERROR(IF(AO$2+$F62&lt;=12,SUMIFS('Attrition Modeling'!$D:$D,'Attrition Modeling'!$B:$B,'IP Attrition'!$D62,'Attrition Modeling'!$C:$C,'IP Attrition'!AO$1),VLOOKUP($F62+AO$2,$A$6:$C$106,2,FALSE)*VLOOKUP(AO$1,'Attrition Modeling'!$L$15:$N$27,IF(AO$2+$F62&lt;=24,2,3),FALSE)),$C$3)*(1+Projection!AQ$16)*(1+IF(AO194&gt;0,'Attrition Modeling'!$N$9,0)))</f>
        <v>0</v>
      </c>
      <c r="AP62" s="799">
        <f>(AO62+AP194)*(1-IFERROR(IF(AP$2+$F62&lt;=12,SUMIFS('Attrition Modeling'!$D:$D,'Attrition Modeling'!$B:$B,'IP Attrition'!$D62,'Attrition Modeling'!$C:$C,'IP Attrition'!AP$1),VLOOKUP($F62+AP$2,$A$6:$C$106,2,FALSE)*VLOOKUP(AP$1,'Attrition Modeling'!$L$15:$N$27,IF(AP$2+$F62&lt;=24,2,3),FALSE)),$C$3)*(1+Projection!AR$16)*(1+IF(AP194&gt;0,'Attrition Modeling'!$N$9,0)))</f>
        <v>0</v>
      </c>
      <c r="AQ62" s="799">
        <f>(AP62+AQ194)*(1-IFERROR(IF(AQ$2+$F62&lt;=12,SUMIFS('Attrition Modeling'!$D:$D,'Attrition Modeling'!$B:$B,'IP Attrition'!$D62,'Attrition Modeling'!$C:$C,'IP Attrition'!AQ$1),VLOOKUP($F62+AQ$2,$A$6:$C$106,2,FALSE)*VLOOKUP(AQ$1,'Attrition Modeling'!$L$15:$N$27,IF(AQ$2+$F62&lt;=24,2,3),FALSE)),$C$3)*(1+Projection!AS$16)*(1+IF(AQ194&gt;0,'Attrition Modeling'!$N$9,0)))</f>
        <v>0</v>
      </c>
      <c r="AR62" s="799">
        <f>(AQ62+AR194)*(1-IFERROR(IF(AR$2+$F62&lt;=12,SUMIFS('Attrition Modeling'!$D:$D,'Attrition Modeling'!$B:$B,'IP Attrition'!$D62,'Attrition Modeling'!$C:$C,'IP Attrition'!AR$1),VLOOKUP($F62+AR$2,$A$6:$C$106,2,FALSE)*VLOOKUP(AR$1,'Attrition Modeling'!$L$15:$N$27,IF(AR$2+$F62&lt;=24,2,3),FALSE)),$C$3)*(1+Projection!AT$16)*(1+IF(AR194&gt;0,'Attrition Modeling'!$N$9,0)))</f>
        <v>0</v>
      </c>
      <c r="AS62" s="799">
        <f>(AR62+AS194)*(1-IFERROR(IF(AS$2+$F62&lt;=12,SUMIFS('Attrition Modeling'!$D:$D,'Attrition Modeling'!$B:$B,'IP Attrition'!$D62,'Attrition Modeling'!$C:$C,'IP Attrition'!AS$1),VLOOKUP($F62+AS$2,$A$6:$C$106,2,FALSE)*VLOOKUP(AS$1,'Attrition Modeling'!$L$15:$N$27,IF(AS$2+$F62&lt;=24,2,3),FALSE)),$C$3)*(1+Projection!AU$16)*(1+IF(AS194&gt;0,'Attrition Modeling'!$N$9,0)))</f>
        <v>0</v>
      </c>
      <c r="AT62" s="799">
        <f>(AS62+AT194)*(1-IFERROR(IF(AT$2+$F62&lt;=12,SUMIFS('Attrition Modeling'!$D:$D,'Attrition Modeling'!$B:$B,'IP Attrition'!$D62,'Attrition Modeling'!$C:$C,'IP Attrition'!AT$1),VLOOKUP($F62+AT$2,$A$6:$C$106,2,FALSE)*VLOOKUP(AT$1,'Attrition Modeling'!$L$15:$N$27,IF(AT$2+$F62&lt;=24,2,3),FALSE)),$C$3)*(1+Projection!AV$16)*(1+IF(AT194&gt;0,'Attrition Modeling'!$N$9,0)))</f>
        <v>0</v>
      </c>
      <c r="AU62" s="799">
        <f>(AT62+AU194)*(1-IFERROR(IF(AU$2+$F62&lt;=12,SUMIFS('Attrition Modeling'!$D:$D,'Attrition Modeling'!$B:$B,'IP Attrition'!$D62,'Attrition Modeling'!$C:$C,'IP Attrition'!AU$1),VLOOKUP($F62+AU$2,$A$6:$C$106,2,FALSE)*VLOOKUP(AU$1,'Attrition Modeling'!$L$15:$N$27,IF(AU$2+$F62&lt;=24,2,3),FALSE)),$C$3)*(1+Projection!AW$16)*(1+IF(AU194&gt;0,'Attrition Modeling'!$N$9,0)))</f>
        <v>0</v>
      </c>
      <c r="AV62" s="799">
        <f>(AU62+AV194)*(1-IFERROR(IF(AV$2+$F62&lt;=12,SUMIFS('Attrition Modeling'!$D:$D,'Attrition Modeling'!$B:$B,'IP Attrition'!$D62,'Attrition Modeling'!$C:$C,'IP Attrition'!AV$1),VLOOKUP($F62+AV$2,$A$6:$C$106,2,FALSE)*VLOOKUP(AV$1,'Attrition Modeling'!$L$15:$N$27,IF(AV$2+$F62&lt;=24,2,3),FALSE)),$C$3)*(1+Projection!AX$16)*(1+IF(AV194&gt;0,'Attrition Modeling'!$N$9,0)))</f>
        <v>0</v>
      </c>
      <c r="AW62" s="799">
        <f>(AV62+AW194)*(1-IFERROR(IF(AW$2+$F62&lt;=12,SUMIFS('Attrition Modeling'!$D:$D,'Attrition Modeling'!$B:$B,'IP Attrition'!$D62,'Attrition Modeling'!$C:$C,'IP Attrition'!AW$1),VLOOKUP($F62+AW$2,$A$6:$C$106,2,FALSE)*VLOOKUP(AW$1,'Attrition Modeling'!$L$15:$N$27,IF(AW$2+$F62&lt;=24,2,3),FALSE)),$C$3)*(1+Projection!AY$16)*(1+IF(AW194&gt;0,'Attrition Modeling'!$N$9,0)))</f>
        <v>0</v>
      </c>
      <c r="AX62" s="799">
        <f>(AW62+AX194)*(1-IFERROR(IF(AX$2+$F62&lt;=12,SUMIFS('Attrition Modeling'!$D:$D,'Attrition Modeling'!$B:$B,'IP Attrition'!$D62,'Attrition Modeling'!$C:$C,'IP Attrition'!AX$1),VLOOKUP($F62+AX$2,$A$6:$C$106,2,FALSE)*VLOOKUP(AX$1,'Attrition Modeling'!$L$15:$N$27,IF(AX$2+$F62&lt;=24,2,3),FALSE)),$C$3)*(1+Projection!AZ$16)*(1+IF(AX194&gt;0,'Attrition Modeling'!$N$9,0)))</f>
        <v>0</v>
      </c>
      <c r="AY62" s="799">
        <f>(AX62+AY194)*(1-IFERROR(IF(AY$2+$F62&lt;=12,SUMIFS('Attrition Modeling'!$D:$D,'Attrition Modeling'!$B:$B,'IP Attrition'!$D62,'Attrition Modeling'!$C:$C,'IP Attrition'!AY$1),VLOOKUP($F62+AY$2,$A$6:$C$106,2,FALSE)*VLOOKUP(AY$1,'Attrition Modeling'!$L$15:$N$27,IF(AY$2+$F62&lt;=24,2,3),FALSE)),$C$3)*(1+Projection!BA$16)*(1+IF(AY194&gt;0,'Attrition Modeling'!$N$9,0)))</f>
        <v>0</v>
      </c>
      <c r="AZ62" s="799">
        <f>(AY62+AZ194)*(1-IFERROR(IF(AZ$2+$F62&lt;=12,SUMIFS('Attrition Modeling'!$D:$D,'Attrition Modeling'!$B:$B,'IP Attrition'!$D62,'Attrition Modeling'!$C:$C,'IP Attrition'!AZ$1),VLOOKUP($F62+AZ$2,$A$6:$C$106,2,FALSE)*VLOOKUP(AZ$1,'Attrition Modeling'!$L$15:$N$27,IF(AZ$2+$F62&lt;=24,2,3),FALSE)),$C$3)*(1+Projection!BB$16)*(1+IF(AZ194&gt;0,'Attrition Modeling'!$N$9,0)))</f>
        <v>0</v>
      </c>
      <c r="BA62" s="799">
        <f>(AZ62+BA194)*(1-IFERROR(IF(BA$2+$F62&lt;=12,SUMIFS('Attrition Modeling'!$D:$D,'Attrition Modeling'!$B:$B,'IP Attrition'!$D62,'Attrition Modeling'!$C:$C,'IP Attrition'!BA$1),VLOOKUP($F62+BA$2,$A$6:$C$106,2,FALSE)*VLOOKUP(BA$1,'Attrition Modeling'!$L$15:$N$27,IF(BA$2+$F62&lt;=24,2,3),FALSE)),$C$3)*(1+Projection!BC$16)*(1+IF(BA194&gt;0,'Attrition Modeling'!$N$9,0)))</f>
        <v>0</v>
      </c>
      <c r="BB62" s="799">
        <f>(BA62+BB194)*(1-IFERROR(IF(BB$2+$F62&lt;=12,SUMIFS('Attrition Modeling'!$D:$D,'Attrition Modeling'!$B:$B,'IP Attrition'!$D62,'Attrition Modeling'!$C:$C,'IP Attrition'!BB$1),VLOOKUP($F62+BB$2,$A$6:$C$106,2,FALSE)*VLOOKUP(BB$1,'Attrition Modeling'!$L$15:$N$27,IF(BB$2+$F62&lt;=24,2,3),FALSE)),$C$3)*(1+Projection!BD$16)*(1+IF(BB194&gt;0,'Attrition Modeling'!$N$9,0)))</f>
        <v>0</v>
      </c>
      <c r="BC62" s="799">
        <f>(BB62+BC194)*(1-IFERROR(IF(BC$2+$F62&lt;=12,SUMIFS('Attrition Modeling'!$D:$D,'Attrition Modeling'!$B:$B,'IP Attrition'!$D62,'Attrition Modeling'!$C:$C,'IP Attrition'!BC$1),VLOOKUP($F62+BC$2,$A$6:$C$106,2,FALSE)*VLOOKUP(BC$1,'Attrition Modeling'!$L$15:$N$27,IF(BC$2+$F62&lt;=24,2,3),FALSE)),$C$3)*(1+Projection!BE$16)*(1+IF(BC194&gt;0,'Attrition Modeling'!$N$9,0)))</f>
        <v>0</v>
      </c>
      <c r="BD62" s="799">
        <f>(BC62+BD194)*(1-IFERROR(IF(BD$2+$F62&lt;=12,SUMIFS('Attrition Modeling'!$D:$D,'Attrition Modeling'!$B:$B,'IP Attrition'!$D62,'Attrition Modeling'!$C:$C,'IP Attrition'!BD$1),VLOOKUP($F62+BD$2,$A$6:$C$106,2,FALSE)*VLOOKUP(BD$1,'Attrition Modeling'!$L$15:$N$27,IF(BD$2+$F62&lt;=24,2,3),FALSE)),$C$3)*(1+Projection!BF$16)*(1+IF(BD194&gt;0,'Attrition Modeling'!$N$9,0)))</f>
        <v>0</v>
      </c>
      <c r="BE62" s="799">
        <f>(BD62+BE194)*(1-IFERROR(IF(BE$2+$F62&lt;=12,SUMIFS('Attrition Modeling'!$D:$D,'Attrition Modeling'!$B:$B,'IP Attrition'!$D62,'Attrition Modeling'!$C:$C,'IP Attrition'!BE$1),VLOOKUP($F62+BE$2,$A$6:$C$106,2,FALSE)*VLOOKUP(BE$1,'Attrition Modeling'!$L$15:$N$27,IF(BE$2+$F62&lt;=24,2,3),FALSE)),$C$3)*(1+Projection!BG$16)*(1+IF(BE194&gt;0,'Attrition Modeling'!$N$9,0)))</f>
        <v>0</v>
      </c>
      <c r="BF62" s="799">
        <f>(BE62+BF194)*(1-IFERROR(IF(BF$2+$F62&lt;=12,SUMIFS('Attrition Modeling'!$D:$D,'Attrition Modeling'!$B:$B,'IP Attrition'!$D62,'Attrition Modeling'!$C:$C,'IP Attrition'!BF$1),VLOOKUP($F62+BF$2,$A$6:$C$106,2,FALSE)*VLOOKUP(BF$1,'Attrition Modeling'!$L$15:$N$27,IF(BF$2+$F62&lt;=24,2,3),FALSE)),$C$3)*(1+Projection!BH$16)*(1+IF(BF194&gt;0,'Attrition Modeling'!$N$9,0)))</f>
        <v>0</v>
      </c>
      <c r="BG62" s="799">
        <f>(BF62+BG194)*(1-IFERROR(IF(BG$2+$F62&lt;=12,SUMIFS('Attrition Modeling'!$D:$D,'Attrition Modeling'!$B:$B,'IP Attrition'!$D62,'Attrition Modeling'!$C:$C,'IP Attrition'!BG$1),VLOOKUP($F62+BG$2,$A$6:$C$106,2,FALSE)*VLOOKUP(BG$1,'Attrition Modeling'!$L$15:$N$27,IF(BG$2+$F62&lt;=24,2,3),FALSE)),$C$3)*(1+Projection!BI$16)*(1+IF(BG194&gt;0,'Attrition Modeling'!$N$9,0)))</f>
        <v>0</v>
      </c>
      <c r="BH62" s="799">
        <f>(BG62+BH194)*(1-IFERROR(IF(BH$2+$F62&lt;=12,SUMIFS('Attrition Modeling'!$D:$D,'Attrition Modeling'!$B:$B,'IP Attrition'!$D62,'Attrition Modeling'!$C:$C,'IP Attrition'!BH$1),VLOOKUP($F62+BH$2,$A$6:$C$106,2,FALSE)*VLOOKUP(BH$1,'Attrition Modeling'!$L$15:$N$27,IF(BH$2+$F62&lt;=24,2,3),FALSE)),$C$3)*(1+Projection!BJ$16)*(1+IF(BH194&gt;0,'Attrition Modeling'!$N$9,0)))</f>
        <v>0</v>
      </c>
      <c r="BI62" s="799">
        <f>(BH62+BI194)*(1-IFERROR(IF(BI$2+$F62&lt;=12,SUMIFS('Attrition Modeling'!$D:$D,'Attrition Modeling'!$B:$B,'IP Attrition'!$D62,'Attrition Modeling'!$C:$C,'IP Attrition'!BI$1),VLOOKUP($F62+BI$2,$A$6:$C$106,2,FALSE)*VLOOKUP(BI$1,'Attrition Modeling'!$L$15:$N$27,IF(BI$2+$F62&lt;=24,2,3),FALSE)),$C$3)*(1+Projection!BK$16)*(1+IF(BI194&gt;0,'Attrition Modeling'!$N$9,0)))</f>
        <v>0</v>
      </c>
      <c r="BJ62" s="799">
        <f>(BI62+BJ194)*(1-IFERROR(IF(BJ$2+$F62&lt;=12,SUMIFS('Attrition Modeling'!$D:$D,'Attrition Modeling'!$B:$B,'IP Attrition'!$D62,'Attrition Modeling'!$C:$C,'IP Attrition'!BJ$1),VLOOKUP($F62+BJ$2,$A$6:$C$106,2,FALSE)*VLOOKUP(BJ$1,'Attrition Modeling'!$L$15:$N$27,IF(BJ$2+$F62&lt;=24,2,3),FALSE)),$C$3)*(1+Projection!BL$16)*(1+IF(BJ194&gt;0,'Attrition Modeling'!$N$9,0)))</f>
        <v>0</v>
      </c>
      <c r="BK62" s="799">
        <f>(BJ62+BK194)*(1-IFERROR(IF(BK$2+$F62&lt;=12,SUMIFS('Attrition Modeling'!$D:$D,'Attrition Modeling'!$B:$B,'IP Attrition'!$D62,'Attrition Modeling'!$C:$C,'IP Attrition'!BK$1),VLOOKUP($F62+BK$2,$A$6:$C$106,2,FALSE)*VLOOKUP(BK$1,'Attrition Modeling'!$L$15:$N$27,IF(BK$2+$F62&lt;=24,2,3),FALSE)),$C$3)*(1+Projection!BM$16)*(1+IF(BK194&gt;0,'Attrition Modeling'!$N$9,0)))</f>
        <v>0</v>
      </c>
      <c r="BL62" s="799">
        <f>(BK62+BL194)*(1-IFERROR(IF(BL$2+$F62&lt;=12,SUMIFS('Attrition Modeling'!$D:$D,'Attrition Modeling'!$B:$B,'IP Attrition'!$D62,'Attrition Modeling'!$C:$C,'IP Attrition'!BL$1),VLOOKUP($F62+BL$2,$A$6:$C$106,2,FALSE)*VLOOKUP(BL$1,'Attrition Modeling'!$L$15:$N$27,IF(BL$2+$F62&lt;=24,2,3),FALSE)),$C$3)*(1+Projection!BN$16)*(1+IF(BL194&gt;0,'Attrition Modeling'!$N$9,0)))</f>
        <v>0</v>
      </c>
      <c r="BM62" s="799">
        <f>(BL62+BM194)*(1-IFERROR(IF(BM$2+$F62&lt;=12,SUMIFS('Attrition Modeling'!$D:$D,'Attrition Modeling'!$B:$B,'IP Attrition'!$D62,'Attrition Modeling'!$C:$C,'IP Attrition'!BM$1),VLOOKUP($F62+BM$2,$A$6:$C$106,2,FALSE)*VLOOKUP(BM$1,'Attrition Modeling'!$L$15:$N$27,IF(BM$2+$F62&lt;=24,2,3),FALSE)),$C$3)*(1+Projection!BO$16)*(1+IF(BM194&gt;0,'Attrition Modeling'!$N$9,0)))</f>
        <v>0</v>
      </c>
      <c r="BN62" s="799">
        <f>(BM62+BN194)*(1-IFERROR(IF(BN$2+$F62&lt;=12,SUMIFS('Attrition Modeling'!$D:$D,'Attrition Modeling'!$B:$B,'IP Attrition'!$D62,'Attrition Modeling'!$C:$C,'IP Attrition'!BN$1),VLOOKUP($F62+BN$2,$A$6:$C$106,2,FALSE)*VLOOKUP(BN$1,'Attrition Modeling'!$L$15:$N$27,IF(BN$2+$F62&lt;=24,2,3),FALSE)),$C$3)*(1+Projection!BP$16)*(1+IF(BN194&gt;0,'Attrition Modeling'!$N$9,0)))</f>
        <v>0</v>
      </c>
      <c r="BO62" s="799">
        <f>(BN62+BO194)*(1-IFERROR(IF(BO$2+$F62&lt;=12,SUMIFS('Attrition Modeling'!$D:$D,'Attrition Modeling'!$B:$B,'IP Attrition'!$D62,'Attrition Modeling'!$C:$C,'IP Attrition'!BO$1),VLOOKUP($F62+BO$2,$A$6:$C$106,2,FALSE)*VLOOKUP(BO$1,'Attrition Modeling'!$L$15:$N$27,IF(BO$2+$F62&lt;=24,2,3),FALSE)),$C$3)*(1+Projection!BV$16)*(1+IF(BO194&gt;0,'Attrition Modeling'!$N$9,0)))</f>
        <v>0</v>
      </c>
      <c r="BP62" s="799">
        <f>(BO62+BP194)*(1-IFERROR(IF(BP$2+$F62&lt;=12,SUMIFS('Attrition Modeling'!$D:$D,'Attrition Modeling'!$B:$B,'IP Attrition'!$D62,'Attrition Modeling'!$C:$C,'IP Attrition'!BP$1),VLOOKUP($F62+BP$2,$A$6:$C$106,2,FALSE)*VLOOKUP(BP$1,'Attrition Modeling'!$L$15:$N$27,IF(BP$2+$F62&lt;=24,2,3),FALSE)),$C$3)*(1+Projection!BW$16)*(1+IF(BP194&gt;0,'Attrition Modeling'!$N$9,0)))</f>
        <v>0</v>
      </c>
      <c r="BQ62" s="799">
        <f>(BP62+BQ194)*(1-IFERROR(IF(BQ$2+$F62&lt;=12,SUMIFS('Attrition Modeling'!$D:$D,'Attrition Modeling'!$B:$B,'IP Attrition'!$D62,'Attrition Modeling'!$C:$C,'IP Attrition'!BQ$1),VLOOKUP($F62+BQ$2,$A$6:$C$106,2,FALSE)*VLOOKUP(BQ$1,'Attrition Modeling'!$L$15:$N$27,IF(BQ$2+$F62&lt;=24,2,3),FALSE)),$C$3)*(1+Projection!BX$16)*(1+IF(BQ194&gt;0,'Attrition Modeling'!$N$9,0)))</f>
        <v>0</v>
      </c>
      <c r="BR62" s="799">
        <f>(BQ62+BR194)*(1-IFERROR(IF(BR$2+$F62&lt;=12,SUMIFS('Attrition Modeling'!$D:$D,'Attrition Modeling'!$B:$B,'IP Attrition'!$D62,'Attrition Modeling'!$C:$C,'IP Attrition'!BR$1),VLOOKUP($F62+BR$2,$A$6:$C$106,2,FALSE)*VLOOKUP(BR$1,'Attrition Modeling'!$L$15:$N$27,IF(BR$2+$F62&lt;=24,2,3),FALSE)),$C$3)*(1+Projection!BY$16)*(1+IF(BR194&gt;0,'Attrition Modeling'!$N$9,0)))</f>
        <v>0</v>
      </c>
      <c r="BS62" s="799">
        <f>(BR62+BS194)*(1-IFERROR(IF(BS$2+$F62&lt;=12,SUMIFS('Attrition Modeling'!$D:$D,'Attrition Modeling'!$B:$B,'IP Attrition'!$D62,'Attrition Modeling'!$C:$C,'IP Attrition'!BS$1),VLOOKUP($F62+BS$2,$A$6:$C$106,2,FALSE)*VLOOKUP(BS$1,'Attrition Modeling'!$L$15:$N$27,IF(BS$2+$F62&lt;=24,2,3),FALSE)),$C$3)*(1+Projection!BZ$16)*(1+IF(BS194&gt;0,'Attrition Modeling'!$N$9,0)))</f>
        <v>0</v>
      </c>
      <c r="BT62" s="799" t="e">
        <f>(BS62+BT194)*(1-IFERROR(IF(BT$2+$F62&lt;=12,SUMIFS('Attrition Modeling'!$D:$D,'Attrition Modeling'!$B:$B,'IP Attrition'!$D62,'Attrition Modeling'!$C:$C,'IP Attrition'!BT$1),VLOOKUP($F62+BT$2,$A$6:$C$106,2,FALSE)*VLOOKUP(BT$1,'Attrition Modeling'!$L$15:$N$27,IF(BT$2+$F62&lt;=24,2,3),FALSE)),$C$3)*(1+Projection!CA$16)*(1+IF(BT194&gt;0,'Attrition Modeling'!$N$9,0)))</f>
        <v>#REF!</v>
      </c>
      <c r="BU62" s="799" t="e">
        <f>(BT62+BU194)*(1-IFERROR(IF(BU$2+$F62&lt;=12,SUMIFS('Attrition Modeling'!$D:$D,'Attrition Modeling'!$B:$B,'IP Attrition'!$D62,'Attrition Modeling'!$C:$C,'IP Attrition'!BU$1),VLOOKUP($F62+BU$2,$A$6:$C$106,2,FALSE)*VLOOKUP(BU$1,'Attrition Modeling'!$L$15:$N$27,IF(BU$2+$F62&lt;=24,2,3),FALSE)),$C$3)*(1+Projection!CB$16)*(1+IF(BU194&gt;0,'Attrition Modeling'!$N$9,0)))</f>
        <v>#REF!</v>
      </c>
    </row>
    <row r="63" spans="1:73" ht="14.25" customHeight="1" x14ac:dyDescent="0.2">
      <c r="A63" s="9">
        <v>56</v>
      </c>
      <c r="B63" s="25">
        <f>MAX('Attrition Modeling'!H60,$C$3)*(1-Summary!$C$20)</f>
        <v>2.3254325345475398E-2</v>
      </c>
      <c r="C63" s="24" t="e">
        <f t="shared" si="3"/>
        <v>#DIV/0!</v>
      </c>
      <c r="D63" s="11">
        <f t="shared" si="1"/>
        <v>-60</v>
      </c>
      <c r="E63" s="807">
        <f t="array" ref="E63">INDEX('Attrition Modeling'!$X$2:$AF$63,MATCH($F63,'Attrition Modeling'!$X$2:$X$63,0),MATCH(Inputs!$C$10,'Attrition Modeling'!$X$2:$AF$2,0))</f>
        <v>0</v>
      </c>
      <c r="F63" s="11">
        <f t="shared" si="2"/>
        <v>60</v>
      </c>
      <c r="G63" s="801">
        <f>Summary!$C$25*$E63</f>
        <v>0</v>
      </c>
      <c r="H63" s="810">
        <f>(G63+H195)*(1-IFERROR(IF(H$2+$F63&lt;=12,SUMIFS('Attrition Modeling'!$D:$D,'Attrition Modeling'!$B:$B,'IP Attrition'!$D63,'Attrition Modeling'!$C:$C,'IP Attrition'!H$1),VLOOKUP($F63+H$2,$A$6:$C$106,2,FALSE)*VLOOKUP(H$1,'Attrition Modeling'!$L$15:$N$27,IF(H$2+$F63&lt;=24,2,3),FALSE)),$C$3)*(1+Projection!J$16)*(1+IF(H195&gt;0,'Attrition Modeling'!$N$9,0)))</f>
        <v>0</v>
      </c>
      <c r="I63" s="810">
        <f>(H63+I195)*(1-IFERROR(IF(I$2+$F63&lt;=12,SUMIFS('Attrition Modeling'!$D:$D,'Attrition Modeling'!$B:$B,'IP Attrition'!$D63,'Attrition Modeling'!$C:$C,'IP Attrition'!I$1),VLOOKUP($F63+I$2,$A$6:$C$106,2,FALSE)*VLOOKUP(I$1,'Attrition Modeling'!$L$15:$N$27,IF(I$2+$F63&lt;=24,2,3),FALSE)),$C$3)*(1+Projection!K$16)*(1+IF(I195&gt;0,'Attrition Modeling'!$N$9,0)))</f>
        <v>0</v>
      </c>
      <c r="J63" s="810">
        <f>(I63+J195)*(1-IFERROR(IF(J$2+$F63&lt;=12,SUMIFS('Attrition Modeling'!$D:$D,'Attrition Modeling'!$B:$B,'IP Attrition'!$D63,'Attrition Modeling'!$C:$C,'IP Attrition'!J$1),VLOOKUP($F63+J$2,$A$6:$C$106,2,FALSE)*VLOOKUP(J$1,'Attrition Modeling'!$L$15:$N$27,IF(J$2+$F63&lt;=24,2,3),FALSE)),$C$3)*(1+Projection!L$16)*(1+IF(J195&gt;0,'Attrition Modeling'!$N$9,0)))</f>
        <v>0</v>
      </c>
      <c r="K63" s="810">
        <f>(J63+K195)*(1-IFERROR(IF(K$2+$F63&lt;=12,SUMIFS('Attrition Modeling'!$D:$D,'Attrition Modeling'!$B:$B,'IP Attrition'!$D63,'Attrition Modeling'!$C:$C,'IP Attrition'!K$1),VLOOKUP($F63+K$2,$A$6:$C$106,2,FALSE)*VLOOKUP(K$1,'Attrition Modeling'!$L$15:$N$27,IF(K$2+$F63&lt;=24,2,3),FALSE)),$C$3)*(1+Projection!M$16)*(1+IF(K195&gt;0,'Attrition Modeling'!$N$9,0)))</f>
        <v>0</v>
      </c>
      <c r="L63" s="810">
        <f>(K63+L195)*(1-IFERROR(IF(L$2+$F63&lt;=12,SUMIFS('Attrition Modeling'!$D:$D,'Attrition Modeling'!$B:$B,'IP Attrition'!$D63,'Attrition Modeling'!$C:$C,'IP Attrition'!L$1),VLOOKUP($F63+L$2,$A$6:$C$106,2,FALSE)*VLOOKUP(L$1,'Attrition Modeling'!$L$15:$N$27,IF(L$2+$F63&lt;=24,2,3),FALSE)),$C$3)*(1+Projection!N$16)*(1+IF(L195&gt;0,'Attrition Modeling'!$N$9,0)))</f>
        <v>0</v>
      </c>
      <c r="M63" s="810">
        <f>(L63+M195)*(1-IFERROR(IF(M$2+$F63&lt;=12,SUMIFS('Attrition Modeling'!$D:$D,'Attrition Modeling'!$B:$B,'IP Attrition'!$D63,'Attrition Modeling'!$C:$C,'IP Attrition'!M$1),VLOOKUP($F63+M$2,$A$6:$C$106,2,FALSE)*VLOOKUP(M$1,'Attrition Modeling'!$L$15:$N$27,IF(M$2+$F63&lt;=24,2,3),FALSE)),$C$3)*(1+Projection!O$16)*(1+IF(M195&gt;0,'Attrition Modeling'!$N$9,0)))</f>
        <v>0</v>
      </c>
      <c r="N63" s="810">
        <f>(M63+N195)*(1-IFERROR(IF(N$2+$F63&lt;=12,SUMIFS('Attrition Modeling'!$D:$D,'Attrition Modeling'!$B:$B,'IP Attrition'!$D63,'Attrition Modeling'!$C:$C,'IP Attrition'!N$1),VLOOKUP($F63+N$2,$A$6:$C$106,2,FALSE)*VLOOKUP(N$1,'Attrition Modeling'!$L$15:$N$27,IF(N$2+$F63&lt;=24,2,3),FALSE)),$C$3)*(1+Projection!P$16)*(1+IF(N195&gt;0,'Attrition Modeling'!$N$9,0)))</f>
        <v>0</v>
      </c>
      <c r="O63" s="810">
        <f>(N63+O195)*(1-IFERROR(IF(O$2+$F63&lt;=12,SUMIFS('Attrition Modeling'!$D:$D,'Attrition Modeling'!$B:$B,'IP Attrition'!$D63,'Attrition Modeling'!$C:$C,'IP Attrition'!O$1),VLOOKUP($F63+O$2,$A$6:$C$106,2,FALSE)*VLOOKUP(O$1,'Attrition Modeling'!$L$15:$N$27,IF(O$2+$F63&lt;=24,2,3),FALSE)),$C$3)*(1+Projection!Q$16)*(1+IF(O195&gt;0,'Attrition Modeling'!$N$9,0)))</f>
        <v>0</v>
      </c>
      <c r="P63" s="810">
        <f>(O63+P195)*(1-IFERROR(IF(P$2+$F63&lt;=12,SUMIFS('Attrition Modeling'!$D:$D,'Attrition Modeling'!$B:$B,'IP Attrition'!$D63,'Attrition Modeling'!$C:$C,'IP Attrition'!P$1),VLOOKUP($F63+P$2,$A$6:$C$106,2,FALSE)*VLOOKUP(P$1,'Attrition Modeling'!$L$15:$N$27,IF(P$2+$F63&lt;=24,2,3),FALSE)),$C$3)*(1+Projection!R$16)*(1+IF(P195&gt;0,'Attrition Modeling'!$N$9,0)))</f>
        <v>0</v>
      </c>
      <c r="Q63" s="810">
        <f>(P63+Q195)*(1-IFERROR(IF(Q$2+$F63&lt;=12,SUMIFS('Attrition Modeling'!$D:$D,'Attrition Modeling'!$B:$B,'IP Attrition'!$D63,'Attrition Modeling'!$C:$C,'IP Attrition'!Q$1),VLOOKUP($F63+Q$2,$A$6:$C$106,2,FALSE)*VLOOKUP(Q$1,'Attrition Modeling'!$L$15:$N$27,IF(Q$2+$F63&lt;=24,2,3),FALSE)),$C$3)*(1+Projection!S$16)*(1+IF(Q195&gt;0,'Attrition Modeling'!$N$9,0)))</f>
        <v>0</v>
      </c>
      <c r="R63" s="810">
        <f>(Q63+R195)*(1-IFERROR(IF(R$2+$F63&lt;=12,SUMIFS('Attrition Modeling'!$D:$D,'Attrition Modeling'!$B:$B,'IP Attrition'!$D63,'Attrition Modeling'!$C:$C,'IP Attrition'!R$1),VLOOKUP($F63+R$2,$A$6:$C$106,2,FALSE)*VLOOKUP(R$1,'Attrition Modeling'!$L$15:$N$27,IF(R$2+$F63&lt;=24,2,3),FALSE)),$C$3)*(1+Projection!T$16)*(1+IF(R195&gt;0,'Attrition Modeling'!$N$9,0)))</f>
        <v>0</v>
      </c>
      <c r="S63" s="810">
        <f>(R63+S195)*(1-IFERROR(IF(S$2+$F63&lt;=12,SUMIFS('Attrition Modeling'!$D:$D,'Attrition Modeling'!$B:$B,'IP Attrition'!$D63,'Attrition Modeling'!$C:$C,'IP Attrition'!S$1),VLOOKUP($F63+S$2,$A$6:$C$106,2,FALSE)*VLOOKUP(S$1,'Attrition Modeling'!$L$15:$N$27,IF(S$2+$F63&lt;=24,2,3),FALSE)),$C$3)*(1+Projection!U$16)*(1+IF(S195&gt;0,'Attrition Modeling'!$N$9,0)))</f>
        <v>0</v>
      </c>
      <c r="T63" s="810">
        <f>(S63+T195)*(1-IFERROR(IF(T$2+$F63&lt;=12,SUMIFS('Attrition Modeling'!$D:$D,'Attrition Modeling'!$B:$B,'IP Attrition'!$D63,'Attrition Modeling'!$C:$C,'IP Attrition'!T$1),VLOOKUP($F63+T$2,$A$6:$C$106,2,FALSE)*VLOOKUP(T$1,'Attrition Modeling'!$L$15:$N$27,IF(T$2+$F63&lt;=24,2,3),FALSE)),$C$3)*(1+Projection!V$16)*(1+IF(T195&gt;0,'Attrition Modeling'!$N$9,0)))</f>
        <v>0</v>
      </c>
      <c r="U63" s="810">
        <f>(T63+U195)*(1-IFERROR(IF(U$2+$F63&lt;=12,SUMIFS('Attrition Modeling'!$D:$D,'Attrition Modeling'!$B:$B,'IP Attrition'!$D63,'Attrition Modeling'!$C:$C,'IP Attrition'!U$1),VLOOKUP($F63+U$2,$A$6:$C$106,2,FALSE)*VLOOKUP(U$1,'Attrition Modeling'!$L$15:$N$27,IF(U$2+$F63&lt;=24,2,3),FALSE)),$C$3)*(1+Projection!W$16)*(1+IF(U195&gt;0,'Attrition Modeling'!$N$9,0)))</f>
        <v>0</v>
      </c>
      <c r="V63" s="810">
        <f>(U63+V195)*(1-IFERROR(IF(V$2+$F63&lt;=12,SUMIFS('Attrition Modeling'!$D:$D,'Attrition Modeling'!$B:$B,'IP Attrition'!$D63,'Attrition Modeling'!$C:$C,'IP Attrition'!V$1),VLOOKUP($F63+V$2,$A$6:$C$106,2,FALSE)*VLOOKUP(V$1,'Attrition Modeling'!$L$15:$N$27,IF(V$2+$F63&lt;=24,2,3),FALSE)),$C$3)*(1+Projection!X$16)*(1+IF(V195&gt;0,'Attrition Modeling'!$N$9,0)))</f>
        <v>0</v>
      </c>
      <c r="W63" s="810">
        <f>(V63+W195)*(1-IFERROR(IF(W$2+$F63&lt;=12,SUMIFS('Attrition Modeling'!$D:$D,'Attrition Modeling'!$B:$B,'IP Attrition'!$D63,'Attrition Modeling'!$C:$C,'IP Attrition'!W$1),VLOOKUP($F63+W$2,$A$6:$C$106,2,FALSE)*VLOOKUP(W$1,'Attrition Modeling'!$L$15:$N$27,IF(W$2+$F63&lt;=24,2,3),FALSE)),$C$3)*(1+Projection!Y$16)*(1+IF(W195&gt;0,'Attrition Modeling'!$N$9,0)))</f>
        <v>0</v>
      </c>
      <c r="X63" s="810">
        <f>(W63+X195)*(1-IFERROR(IF(X$2+$F63&lt;=12,SUMIFS('Attrition Modeling'!$D:$D,'Attrition Modeling'!$B:$B,'IP Attrition'!$D63,'Attrition Modeling'!$C:$C,'IP Attrition'!X$1),VLOOKUP($F63+X$2,$A$6:$C$106,2,FALSE)*VLOOKUP(X$1,'Attrition Modeling'!$L$15:$N$27,IF(X$2+$F63&lt;=24,2,3),FALSE)),$C$3)*(1+Projection!Z$16)*(1+IF(X195&gt;0,'Attrition Modeling'!$N$9,0)))</f>
        <v>0</v>
      </c>
      <c r="Y63" s="810">
        <f>(X63+Y195)*(1-IFERROR(IF(Y$2+$F63&lt;=12,SUMIFS('Attrition Modeling'!$D:$D,'Attrition Modeling'!$B:$B,'IP Attrition'!$D63,'Attrition Modeling'!$C:$C,'IP Attrition'!Y$1),VLOOKUP($F63+Y$2,$A$6:$C$106,2,FALSE)*VLOOKUP(Y$1,'Attrition Modeling'!$L$15:$N$27,IF(Y$2+$F63&lt;=24,2,3),FALSE)),$C$3)*(1+Projection!AA$16)*(1+IF(Y195&gt;0,'Attrition Modeling'!$N$9,0)))</f>
        <v>0</v>
      </c>
      <c r="Z63" s="810">
        <f>(Y63+Z195)*(1-IFERROR(IF(Z$2+$F63&lt;=12,SUMIFS('Attrition Modeling'!$D:$D,'Attrition Modeling'!$B:$B,'IP Attrition'!$D63,'Attrition Modeling'!$C:$C,'IP Attrition'!Z$1),VLOOKUP($F63+Z$2,$A$6:$C$106,2,FALSE)*VLOOKUP(Z$1,'Attrition Modeling'!$L$15:$N$27,IF(Z$2+$F63&lt;=24,2,3),FALSE)),$C$3)*(1+Projection!AB$16)*(1+IF(Z195&gt;0,'Attrition Modeling'!$N$9,0)))</f>
        <v>0</v>
      </c>
      <c r="AA63" s="810">
        <f>(Z63+AA195)*(1-IFERROR(IF(AA$2+$F63&lt;=12,SUMIFS('Attrition Modeling'!$D:$D,'Attrition Modeling'!$B:$B,'IP Attrition'!$D63,'Attrition Modeling'!$C:$C,'IP Attrition'!AA$1),VLOOKUP($F63+AA$2,$A$6:$C$106,2,FALSE)*VLOOKUP(AA$1,'Attrition Modeling'!$L$15:$N$27,IF(AA$2+$F63&lt;=24,2,3),FALSE)),$C$3)*(1+Projection!AC$16)*(1+IF(AA195&gt;0,'Attrition Modeling'!$N$9,0)))</f>
        <v>0</v>
      </c>
      <c r="AB63" s="810">
        <f>(AA63+AB195)*(1-IFERROR(IF(AB$2+$F63&lt;=12,SUMIFS('Attrition Modeling'!$D:$D,'Attrition Modeling'!$B:$B,'IP Attrition'!$D63,'Attrition Modeling'!$C:$C,'IP Attrition'!AB$1),VLOOKUP($F63+AB$2,$A$6:$C$106,2,FALSE)*VLOOKUP(AB$1,'Attrition Modeling'!$L$15:$N$27,IF(AB$2+$F63&lt;=24,2,3),FALSE)),$C$3)*(1+Projection!AD$16)*(1+IF(AB195&gt;0,'Attrition Modeling'!$N$9,0)))</f>
        <v>0</v>
      </c>
      <c r="AC63" s="810">
        <f>(AB63+AC195)*(1-IFERROR(IF(AC$2+$F63&lt;=12,SUMIFS('Attrition Modeling'!$D:$D,'Attrition Modeling'!$B:$B,'IP Attrition'!$D63,'Attrition Modeling'!$C:$C,'IP Attrition'!AC$1),VLOOKUP($F63+AC$2,$A$6:$C$106,2,FALSE)*VLOOKUP(AC$1,'Attrition Modeling'!$L$15:$N$27,IF(AC$2+$F63&lt;=24,2,3),FALSE)),$C$3)*(1+Projection!AE$16)*(1+IF(AC195&gt;0,'Attrition Modeling'!$N$9,0)))</f>
        <v>0</v>
      </c>
      <c r="AD63" s="810">
        <f>(AC63+AD195)*(1-IFERROR(IF(AD$2+$F63&lt;=12,SUMIFS('Attrition Modeling'!$D:$D,'Attrition Modeling'!$B:$B,'IP Attrition'!$D63,'Attrition Modeling'!$C:$C,'IP Attrition'!AD$1),VLOOKUP($F63+AD$2,$A$6:$C$106,2,FALSE)*VLOOKUP(AD$1,'Attrition Modeling'!$L$15:$N$27,IF(AD$2+$F63&lt;=24,2,3),FALSE)),$C$3)*(1+Projection!AF$16)*(1+IF(AD195&gt;0,'Attrition Modeling'!$N$9,0)))</f>
        <v>0</v>
      </c>
      <c r="AE63" s="810">
        <f>(AD63+AE195)*(1-IFERROR(IF(AE$2+$F63&lt;=12,SUMIFS('Attrition Modeling'!$D:$D,'Attrition Modeling'!$B:$B,'IP Attrition'!$D63,'Attrition Modeling'!$C:$C,'IP Attrition'!AE$1),VLOOKUP($F63+AE$2,$A$6:$C$106,2,FALSE)*VLOOKUP(AE$1,'Attrition Modeling'!$L$15:$N$27,IF(AE$2+$F63&lt;=24,2,3),FALSE)),$C$3)*(1+Projection!AG$16)*(1+IF(AE195&gt;0,'Attrition Modeling'!$N$9,0)))</f>
        <v>0</v>
      </c>
      <c r="AF63" s="810">
        <f>(AE63+AF195)*(1-IFERROR(IF(AF$2+$F63&lt;=12,SUMIFS('Attrition Modeling'!$D:$D,'Attrition Modeling'!$B:$B,'IP Attrition'!$D63,'Attrition Modeling'!$C:$C,'IP Attrition'!AF$1),VLOOKUP($F63+AF$2,$A$6:$C$106,2,FALSE)*VLOOKUP(AF$1,'Attrition Modeling'!$L$15:$N$27,IF(AF$2+$F63&lt;=24,2,3),FALSE)),$C$3)*(1+Projection!AH$16)*(1+IF(AF195&gt;0,'Attrition Modeling'!$N$9,0)))</f>
        <v>0</v>
      </c>
      <c r="AG63" s="810">
        <f>(AF63+AG195)*(1-IFERROR(IF(AG$2+$F63&lt;=12,SUMIFS('Attrition Modeling'!$D:$D,'Attrition Modeling'!$B:$B,'IP Attrition'!$D63,'Attrition Modeling'!$C:$C,'IP Attrition'!AG$1),VLOOKUP($F63+AG$2,$A$6:$C$106,2,FALSE)*VLOOKUP(AG$1,'Attrition Modeling'!$L$15:$N$27,IF(AG$2+$F63&lt;=24,2,3),FALSE)),$C$3)*(1+Projection!AI$16)*(1+IF(AG195&gt;0,'Attrition Modeling'!$N$9,0)))</f>
        <v>0</v>
      </c>
      <c r="AH63" s="810">
        <f>(AG63+AH195)*(1-IFERROR(IF(AH$2+$F63&lt;=12,SUMIFS('Attrition Modeling'!$D:$D,'Attrition Modeling'!$B:$B,'IP Attrition'!$D63,'Attrition Modeling'!$C:$C,'IP Attrition'!AH$1),VLOOKUP($F63+AH$2,$A$6:$C$106,2,FALSE)*VLOOKUP(AH$1,'Attrition Modeling'!$L$15:$N$27,IF(AH$2+$F63&lt;=24,2,3),FALSE)),$C$3)*(1+Projection!AJ$16)*(1+IF(AH195&gt;0,'Attrition Modeling'!$N$9,0)))</f>
        <v>0</v>
      </c>
      <c r="AI63" s="810">
        <f>(AH63+AI195)*(1-IFERROR(IF(AI$2+$F63&lt;=12,SUMIFS('Attrition Modeling'!$D:$D,'Attrition Modeling'!$B:$B,'IP Attrition'!$D63,'Attrition Modeling'!$C:$C,'IP Attrition'!AI$1),VLOOKUP($F63+AI$2,$A$6:$C$106,2,FALSE)*VLOOKUP(AI$1,'Attrition Modeling'!$L$15:$N$27,IF(AI$2+$F63&lt;=24,2,3),FALSE)),$C$3)*(1+Projection!AK$16)*(1+IF(AI195&gt;0,'Attrition Modeling'!$N$9,0)))</f>
        <v>0</v>
      </c>
      <c r="AJ63" s="810">
        <f>(AI63+AJ195)*(1-IFERROR(IF(AJ$2+$F63&lt;=12,SUMIFS('Attrition Modeling'!$D:$D,'Attrition Modeling'!$B:$B,'IP Attrition'!$D63,'Attrition Modeling'!$C:$C,'IP Attrition'!AJ$1),VLOOKUP($F63+AJ$2,$A$6:$C$106,2,FALSE)*VLOOKUP(AJ$1,'Attrition Modeling'!$L$15:$N$27,IF(AJ$2+$F63&lt;=24,2,3),FALSE)),$C$3)*(1+Projection!AL$16)*(1+IF(AJ195&gt;0,'Attrition Modeling'!$N$9,0)))</f>
        <v>0</v>
      </c>
      <c r="AK63" s="810">
        <f>(AJ63+AK195)*(1-IFERROR(IF(AK$2+$F63&lt;=12,SUMIFS('Attrition Modeling'!$D:$D,'Attrition Modeling'!$B:$B,'IP Attrition'!$D63,'Attrition Modeling'!$C:$C,'IP Attrition'!AK$1),VLOOKUP($F63+AK$2,$A$6:$C$106,2,FALSE)*VLOOKUP(AK$1,'Attrition Modeling'!$L$15:$N$27,IF(AK$2+$F63&lt;=24,2,3),FALSE)),$C$3)*(1+Projection!AM$16)*(1+IF(AK195&gt;0,'Attrition Modeling'!$N$9,0)))</f>
        <v>0</v>
      </c>
      <c r="AL63" s="810">
        <f>(AK63+AL195)*(1-IFERROR(IF(AL$2+$F63&lt;=12,SUMIFS('Attrition Modeling'!$D:$D,'Attrition Modeling'!$B:$B,'IP Attrition'!$D63,'Attrition Modeling'!$C:$C,'IP Attrition'!AL$1),VLOOKUP($F63+AL$2,$A$6:$C$106,2,FALSE)*VLOOKUP(AL$1,'Attrition Modeling'!$L$15:$N$27,IF(AL$2+$F63&lt;=24,2,3),FALSE)),$C$3)*(1+Projection!AN$16)*(1+IF(AL195&gt;0,'Attrition Modeling'!$N$9,0)))</f>
        <v>0</v>
      </c>
      <c r="AM63" s="810">
        <f>(AL63+AM195)*(1-IFERROR(IF(AM$2+$F63&lt;=12,SUMIFS('Attrition Modeling'!$D:$D,'Attrition Modeling'!$B:$B,'IP Attrition'!$D63,'Attrition Modeling'!$C:$C,'IP Attrition'!AM$1),VLOOKUP($F63+AM$2,$A$6:$C$106,2,FALSE)*VLOOKUP(AM$1,'Attrition Modeling'!$L$15:$N$27,IF(AM$2+$F63&lt;=24,2,3),FALSE)),$C$3)*(1+Projection!AO$16)*(1+IF(AM195&gt;0,'Attrition Modeling'!$N$9,0)))</f>
        <v>0</v>
      </c>
      <c r="AN63" s="810">
        <f>(AM63+AN195)*(1-IFERROR(IF(AN$2+$F63&lt;=12,SUMIFS('Attrition Modeling'!$D:$D,'Attrition Modeling'!$B:$B,'IP Attrition'!$D63,'Attrition Modeling'!$C:$C,'IP Attrition'!AN$1),VLOOKUP($F63+AN$2,$A$6:$C$106,2,FALSE)*VLOOKUP(AN$1,'Attrition Modeling'!$L$15:$N$27,IF(AN$2+$F63&lt;=24,2,3),FALSE)),$C$3)*(1+Projection!AP$16)*(1+IF(AN195&gt;0,'Attrition Modeling'!$N$9,0)))</f>
        <v>0</v>
      </c>
      <c r="AO63" s="810">
        <f>(AN63+AO195)*(1-IFERROR(IF(AO$2+$F63&lt;=12,SUMIFS('Attrition Modeling'!$D:$D,'Attrition Modeling'!$B:$B,'IP Attrition'!$D63,'Attrition Modeling'!$C:$C,'IP Attrition'!AO$1),VLOOKUP($F63+AO$2,$A$6:$C$106,2,FALSE)*VLOOKUP(AO$1,'Attrition Modeling'!$L$15:$N$27,IF(AO$2+$F63&lt;=24,2,3),FALSE)),$C$3)*(1+Projection!AQ$16)*(1+IF(AO195&gt;0,'Attrition Modeling'!$N$9,0)))</f>
        <v>0</v>
      </c>
      <c r="AP63" s="810">
        <f>(AO63+AP195)*(1-IFERROR(IF(AP$2+$F63&lt;=12,SUMIFS('Attrition Modeling'!$D:$D,'Attrition Modeling'!$B:$B,'IP Attrition'!$D63,'Attrition Modeling'!$C:$C,'IP Attrition'!AP$1),VLOOKUP($F63+AP$2,$A$6:$C$106,2,FALSE)*VLOOKUP(AP$1,'Attrition Modeling'!$L$15:$N$27,IF(AP$2+$F63&lt;=24,2,3),FALSE)),$C$3)*(1+Projection!AR$16)*(1+IF(AP195&gt;0,'Attrition Modeling'!$N$9,0)))</f>
        <v>0</v>
      </c>
      <c r="AQ63" s="810">
        <f>(AP63+AQ195)*(1-IFERROR(IF(AQ$2+$F63&lt;=12,SUMIFS('Attrition Modeling'!$D:$D,'Attrition Modeling'!$B:$B,'IP Attrition'!$D63,'Attrition Modeling'!$C:$C,'IP Attrition'!AQ$1),VLOOKUP($F63+AQ$2,$A$6:$C$106,2,FALSE)*VLOOKUP(AQ$1,'Attrition Modeling'!$L$15:$N$27,IF(AQ$2+$F63&lt;=24,2,3),FALSE)),$C$3)*(1+Projection!AS$16)*(1+IF(AQ195&gt;0,'Attrition Modeling'!$N$9,0)))</f>
        <v>0</v>
      </c>
      <c r="AR63" s="810">
        <f>(AQ63+AR195)*(1-IFERROR(IF(AR$2+$F63&lt;=12,SUMIFS('Attrition Modeling'!$D:$D,'Attrition Modeling'!$B:$B,'IP Attrition'!$D63,'Attrition Modeling'!$C:$C,'IP Attrition'!AR$1),VLOOKUP($F63+AR$2,$A$6:$C$106,2,FALSE)*VLOOKUP(AR$1,'Attrition Modeling'!$L$15:$N$27,IF(AR$2+$F63&lt;=24,2,3),FALSE)),$C$3)*(1+Projection!AT$16)*(1+IF(AR195&gt;0,'Attrition Modeling'!$N$9,0)))</f>
        <v>0</v>
      </c>
      <c r="AS63" s="810">
        <f>(AR63+AS195)*(1-IFERROR(IF(AS$2+$F63&lt;=12,SUMIFS('Attrition Modeling'!$D:$D,'Attrition Modeling'!$B:$B,'IP Attrition'!$D63,'Attrition Modeling'!$C:$C,'IP Attrition'!AS$1),VLOOKUP($F63+AS$2,$A$6:$C$106,2,FALSE)*VLOOKUP(AS$1,'Attrition Modeling'!$L$15:$N$27,IF(AS$2+$F63&lt;=24,2,3),FALSE)),$C$3)*(1+Projection!AU$16)*(1+IF(AS195&gt;0,'Attrition Modeling'!$N$9,0)))</f>
        <v>0</v>
      </c>
      <c r="AT63" s="810">
        <f>(AS63+AT195)*(1-IFERROR(IF(AT$2+$F63&lt;=12,SUMIFS('Attrition Modeling'!$D:$D,'Attrition Modeling'!$B:$B,'IP Attrition'!$D63,'Attrition Modeling'!$C:$C,'IP Attrition'!AT$1),VLOOKUP($F63+AT$2,$A$6:$C$106,2,FALSE)*VLOOKUP(AT$1,'Attrition Modeling'!$L$15:$N$27,IF(AT$2+$F63&lt;=24,2,3),FALSE)),$C$3)*(1+Projection!AV$16)*(1+IF(AT195&gt;0,'Attrition Modeling'!$N$9,0)))</f>
        <v>0</v>
      </c>
      <c r="AU63" s="810">
        <f>(AT63+AU195)*(1-IFERROR(IF(AU$2+$F63&lt;=12,SUMIFS('Attrition Modeling'!$D:$D,'Attrition Modeling'!$B:$B,'IP Attrition'!$D63,'Attrition Modeling'!$C:$C,'IP Attrition'!AU$1),VLOOKUP($F63+AU$2,$A$6:$C$106,2,FALSE)*VLOOKUP(AU$1,'Attrition Modeling'!$L$15:$N$27,IF(AU$2+$F63&lt;=24,2,3),FALSE)),$C$3)*(1+Projection!AW$16)*(1+IF(AU195&gt;0,'Attrition Modeling'!$N$9,0)))</f>
        <v>0</v>
      </c>
      <c r="AV63" s="810">
        <f>(AU63+AV195)*(1-IFERROR(IF(AV$2+$F63&lt;=12,SUMIFS('Attrition Modeling'!$D:$D,'Attrition Modeling'!$B:$B,'IP Attrition'!$D63,'Attrition Modeling'!$C:$C,'IP Attrition'!AV$1),VLOOKUP($F63+AV$2,$A$6:$C$106,2,FALSE)*VLOOKUP(AV$1,'Attrition Modeling'!$L$15:$N$27,IF(AV$2+$F63&lt;=24,2,3),FALSE)),$C$3)*(1+Projection!AX$16)*(1+IF(AV195&gt;0,'Attrition Modeling'!$N$9,0)))</f>
        <v>0</v>
      </c>
      <c r="AW63" s="810">
        <f>(AV63+AW195)*(1-IFERROR(IF(AW$2+$F63&lt;=12,SUMIFS('Attrition Modeling'!$D:$D,'Attrition Modeling'!$B:$B,'IP Attrition'!$D63,'Attrition Modeling'!$C:$C,'IP Attrition'!AW$1),VLOOKUP($F63+AW$2,$A$6:$C$106,2,FALSE)*VLOOKUP(AW$1,'Attrition Modeling'!$L$15:$N$27,IF(AW$2+$F63&lt;=24,2,3),FALSE)),$C$3)*(1+Projection!AY$16)*(1+IF(AW195&gt;0,'Attrition Modeling'!$N$9,0)))</f>
        <v>0</v>
      </c>
      <c r="AX63" s="810">
        <f>(AW63+AX195)*(1-IFERROR(IF(AX$2+$F63&lt;=12,SUMIFS('Attrition Modeling'!$D:$D,'Attrition Modeling'!$B:$B,'IP Attrition'!$D63,'Attrition Modeling'!$C:$C,'IP Attrition'!AX$1),VLOOKUP($F63+AX$2,$A$6:$C$106,2,FALSE)*VLOOKUP(AX$1,'Attrition Modeling'!$L$15:$N$27,IF(AX$2+$F63&lt;=24,2,3),FALSE)),$C$3)*(1+Projection!AZ$16)*(1+IF(AX195&gt;0,'Attrition Modeling'!$N$9,0)))</f>
        <v>0</v>
      </c>
      <c r="AY63" s="810">
        <f>(AX63+AY195)*(1-IFERROR(IF(AY$2+$F63&lt;=12,SUMIFS('Attrition Modeling'!$D:$D,'Attrition Modeling'!$B:$B,'IP Attrition'!$D63,'Attrition Modeling'!$C:$C,'IP Attrition'!AY$1),VLOOKUP($F63+AY$2,$A$6:$C$106,2,FALSE)*VLOOKUP(AY$1,'Attrition Modeling'!$L$15:$N$27,IF(AY$2+$F63&lt;=24,2,3),FALSE)),$C$3)*(1+Projection!BA$16)*(1+IF(AY195&gt;0,'Attrition Modeling'!$N$9,0)))</f>
        <v>0</v>
      </c>
      <c r="AZ63" s="810">
        <f>(AY63+AZ195)*(1-IFERROR(IF(AZ$2+$F63&lt;=12,SUMIFS('Attrition Modeling'!$D:$D,'Attrition Modeling'!$B:$B,'IP Attrition'!$D63,'Attrition Modeling'!$C:$C,'IP Attrition'!AZ$1),VLOOKUP($F63+AZ$2,$A$6:$C$106,2,FALSE)*VLOOKUP(AZ$1,'Attrition Modeling'!$L$15:$N$27,IF(AZ$2+$F63&lt;=24,2,3),FALSE)),$C$3)*(1+Projection!BB$16)*(1+IF(AZ195&gt;0,'Attrition Modeling'!$N$9,0)))</f>
        <v>0</v>
      </c>
      <c r="BA63" s="810">
        <f>(AZ63+BA195)*(1-IFERROR(IF(BA$2+$F63&lt;=12,SUMIFS('Attrition Modeling'!$D:$D,'Attrition Modeling'!$B:$B,'IP Attrition'!$D63,'Attrition Modeling'!$C:$C,'IP Attrition'!BA$1),VLOOKUP($F63+BA$2,$A$6:$C$106,2,FALSE)*VLOOKUP(BA$1,'Attrition Modeling'!$L$15:$N$27,IF(BA$2+$F63&lt;=24,2,3),FALSE)),$C$3)*(1+Projection!BC$16)*(1+IF(BA195&gt;0,'Attrition Modeling'!$N$9,0)))</f>
        <v>0</v>
      </c>
      <c r="BB63" s="810">
        <f>(BA63+BB195)*(1-IFERROR(IF(BB$2+$F63&lt;=12,SUMIFS('Attrition Modeling'!$D:$D,'Attrition Modeling'!$B:$B,'IP Attrition'!$D63,'Attrition Modeling'!$C:$C,'IP Attrition'!BB$1),VLOOKUP($F63+BB$2,$A$6:$C$106,2,FALSE)*VLOOKUP(BB$1,'Attrition Modeling'!$L$15:$N$27,IF(BB$2+$F63&lt;=24,2,3),FALSE)),$C$3)*(1+Projection!BD$16)*(1+IF(BB195&gt;0,'Attrition Modeling'!$N$9,0)))</f>
        <v>0</v>
      </c>
      <c r="BC63" s="810">
        <f>(BB63+BC195)*(1-IFERROR(IF(BC$2+$F63&lt;=12,SUMIFS('Attrition Modeling'!$D:$D,'Attrition Modeling'!$B:$B,'IP Attrition'!$D63,'Attrition Modeling'!$C:$C,'IP Attrition'!BC$1),VLOOKUP($F63+BC$2,$A$6:$C$106,2,FALSE)*VLOOKUP(BC$1,'Attrition Modeling'!$L$15:$N$27,IF(BC$2+$F63&lt;=24,2,3),FALSE)),$C$3)*(1+Projection!BE$16)*(1+IF(BC195&gt;0,'Attrition Modeling'!$N$9,0)))</f>
        <v>0</v>
      </c>
      <c r="BD63" s="810">
        <f>(BC63+BD195)*(1-IFERROR(IF(BD$2+$F63&lt;=12,SUMIFS('Attrition Modeling'!$D:$D,'Attrition Modeling'!$B:$B,'IP Attrition'!$D63,'Attrition Modeling'!$C:$C,'IP Attrition'!BD$1),VLOOKUP($F63+BD$2,$A$6:$C$106,2,FALSE)*VLOOKUP(BD$1,'Attrition Modeling'!$L$15:$N$27,IF(BD$2+$F63&lt;=24,2,3),FALSE)),$C$3)*(1+Projection!BF$16)*(1+IF(BD195&gt;0,'Attrition Modeling'!$N$9,0)))</f>
        <v>0</v>
      </c>
      <c r="BE63" s="810">
        <f>(BD63+BE195)*(1-IFERROR(IF(BE$2+$F63&lt;=12,SUMIFS('Attrition Modeling'!$D:$D,'Attrition Modeling'!$B:$B,'IP Attrition'!$D63,'Attrition Modeling'!$C:$C,'IP Attrition'!BE$1),VLOOKUP($F63+BE$2,$A$6:$C$106,2,FALSE)*VLOOKUP(BE$1,'Attrition Modeling'!$L$15:$N$27,IF(BE$2+$F63&lt;=24,2,3),FALSE)),$C$3)*(1+Projection!BG$16)*(1+IF(BE195&gt;0,'Attrition Modeling'!$N$9,0)))</f>
        <v>0</v>
      </c>
      <c r="BF63" s="810">
        <f>(BE63+BF195)*(1-IFERROR(IF(BF$2+$F63&lt;=12,SUMIFS('Attrition Modeling'!$D:$D,'Attrition Modeling'!$B:$B,'IP Attrition'!$D63,'Attrition Modeling'!$C:$C,'IP Attrition'!BF$1),VLOOKUP($F63+BF$2,$A$6:$C$106,2,FALSE)*VLOOKUP(BF$1,'Attrition Modeling'!$L$15:$N$27,IF(BF$2+$F63&lt;=24,2,3),FALSE)),$C$3)*(1+Projection!BH$16)*(1+IF(BF195&gt;0,'Attrition Modeling'!$N$9,0)))</f>
        <v>0</v>
      </c>
      <c r="BG63" s="810">
        <f>(BF63+BG195)*(1-IFERROR(IF(BG$2+$F63&lt;=12,SUMIFS('Attrition Modeling'!$D:$D,'Attrition Modeling'!$B:$B,'IP Attrition'!$D63,'Attrition Modeling'!$C:$C,'IP Attrition'!BG$1),VLOOKUP($F63+BG$2,$A$6:$C$106,2,FALSE)*VLOOKUP(BG$1,'Attrition Modeling'!$L$15:$N$27,IF(BG$2+$F63&lt;=24,2,3),FALSE)),$C$3)*(1+Projection!BI$16)*(1+IF(BG195&gt;0,'Attrition Modeling'!$N$9,0)))</f>
        <v>0</v>
      </c>
      <c r="BH63" s="810">
        <f>(BG63+BH195)*(1-IFERROR(IF(BH$2+$F63&lt;=12,SUMIFS('Attrition Modeling'!$D:$D,'Attrition Modeling'!$B:$B,'IP Attrition'!$D63,'Attrition Modeling'!$C:$C,'IP Attrition'!BH$1),VLOOKUP($F63+BH$2,$A$6:$C$106,2,FALSE)*VLOOKUP(BH$1,'Attrition Modeling'!$L$15:$N$27,IF(BH$2+$F63&lt;=24,2,3),FALSE)),$C$3)*(1+Projection!BJ$16)*(1+IF(BH195&gt;0,'Attrition Modeling'!$N$9,0)))</f>
        <v>0</v>
      </c>
      <c r="BI63" s="810">
        <f>(BH63+BI195)*(1-IFERROR(IF(BI$2+$F63&lt;=12,SUMIFS('Attrition Modeling'!$D:$D,'Attrition Modeling'!$B:$B,'IP Attrition'!$D63,'Attrition Modeling'!$C:$C,'IP Attrition'!BI$1),VLOOKUP($F63+BI$2,$A$6:$C$106,2,FALSE)*VLOOKUP(BI$1,'Attrition Modeling'!$L$15:$N$27,IF(BI$2+$F63&lt;=24,2,3),FALSE)),$C$3)*(1+Projection!BK$16)*(1+IF(BI195&gt;0,'Attrition Modeling'!$N$9,0)))</f>
        <v>0</v>
      </c>
      <c r="BJ63" s="810">
        <f>(BI63+BJ195)*(1-IFERROR(IF(BJ$2+$F63&lt;=12,SUMIFS('Attrition Modeling'!$D:$D,'Attrition Modeling'!$B:$B,'IP Attrition'!$D63,'Attrition Modeling'!$C:$C,'IP Attrition'!BJ$1),VLOOKUP($F63+BJ$2,$A$6:$C$106,2,FALSE)*VLOOKUP(BJ$1,'Attrition Modeling'!$L$15:$N$27,IF(BJ$2+$F63&lt;=24,2,3),FALSE)),$C$3)*(1+Projection!BL$16)*(1+IF(BJ195&gt;0,'Attrition Modeling'!$N$9,0)))</f>
        <v>0</v>
      </c>
      <c r="BK63" s="810">
        <f>(BJ63+BK195)*(1-IFERROR(IF(BK$2+$F63&lt;=12,SUMIFS('Attrition Modeling'!$D:$D,'Attrition Modeling'!$B:$B,'IP Attrition'!$D63,'Attrition Modeling'!$C:$C,'IP Attrition'!BK$1),VLOOKUP($F63+BK$2,$A$6:$C$106,2,FALSE)*VLOOKUP(BK$1,'Attrition Modeling'!$L$15:$N$27,IF(BK$2+$F63&lt;=24,2,3),FALSE)),$C$3)*(1+Projection!BM$16)*(1+IF(BK195&gt;0,'Attrition Modeling'!$N$9,0)))</f>
        <v>0</v>
      </c>
      <c r="BL63" s="810">
        <f>(BK63+BL195)*(1-IFERROR(IF(BL$2+$F63&lt;=12,SUMIFS('Attrition Modeling'!$D:$D,'Attrition Modeling'!$B:$B,'IP Attrition'!$D63,'Attrition Modeling'!$C:$C,'IP Attrition'!BL$1),VLOOKUP($F63+BL$2,$A$6:$C$106,2,FALSE)*VLOOKUP(BL$1,'Attrition Modeling'!$L$15:$N$27,IF(BL$2+$F63&lt;=24,2,3),FALSE)),$C$3)*(1+Projection!BN$16)*(1+IF(BL195&gt;0,'Attrition Modeling'!$N$9,0)))</f>
        <v>0</v>
      </c>
      <c r="BM63" s="810">
        <f>(BL63+BM195)*(1-IFERROR(IF(BM$2+$F63&lt;=12,SUMIFS('Attrition Modeling'!$D:$D,'Attrition Modeling'!$B:$B,'IP Attrition'!$D63,'Attrition Modeling'!$C:$C,'IP Attrition'!BM$1),VLOOKUP($F63+BM$2,$A$6:$C$106,2,FALSE)*VLOOKUP(BM$1,'Attrition Modeling'!$L$15:$N$27,IF(BM$2+$F63&lt;=24,2,3),FALSE)),$C$3)*(1+Projection!BO$16)*(1+IF(BM195&gt;0,'Attrition Modeling'!$N$9,0)))</f>
        <v>0</v>
      </c>
      <c r="BN63" s="810">
        <f>(BM63+BN195)*(1-IFERROR(IF(BN$2+$F63&lt;=12,SUMIFS('Attrition Modeling'!$D:$D,'Attrition Modeling'!$B:$B,'IP Attrition'!$D63,'Attrition Modeling'!$C:$C,'IP Attrition'!BN$1),VLOOKUP($F63+BN$2,$A$6:$C$106,2,FALSE)*VLOOKUP(BN$1,'Attrition Modeling'!$L$15:$N$27,IF(BN$2+$F63&lt;=24,2,3),FALSE)),$C$3)*(1+Projection!BP$16)*(1+IF(BN195&gt;0,'Attrition Modeling'!$N$9,0)))</f>
        <v>0</v>
      </c>
      <c r="BO63" s="810">
        <f>(BN63+BO195)*(1-IFERROR(IF(BO$2+$F63&lt;=12,SUMIFS('Attrition Modeling'!$D:$D,'Attrition Modeling'!$B:$B,'IP Attrition'!$D63,'Attrition Modeling'!$C:$C,'IP Attrition'!BO$1),VLOOKUP($F63+BO$2,$A$6:$C$106,2,FALSE)*VLOOKUP(BO$1,'Attrition Modeling'!$L$15:$N$27,IF(BO$2+$F63&lt;=24,2,3),FALSE)),$C$3)*(1+Projection!BV$16)*(1+IF(BO195&gt;0,'Attrition Modeling'!$N$9,0)))</f>
        <v>0</v>
      </c>
      <c r="BP63" s="810">
        <f>(BO63+BP195)*(1-IFERROR(IF(BP$2+$F63&lt;=12,SUMIFS('Attrition Modeling'!$D:$D,'Attrition Modeling'!$B:$B,'IP Attrition'!$D63,'Attrition Modeling'!$C:$C,'IP Attrition'!BP$1),VLOOKUP($F63+BP$2,$A$6:$C$106,2,FALSE)*VLOOKUP(BP$1,'Attrition Modeling'!$L$15:$N$27,IF(BP$2+$F63&lt;=24,2,3),FALSE)),$C$3)*(1+Projection!BW$16)*(1+IF(BP195&gt;0,'Attrition Modeling'!$N$9,0)))</f>
        <v>0</v>
      </c>
      <c r="BQ63" s="810">
        <f>(BP63+BQ195)*(1-IFERROR(IF(BQ$2+$F63&lt;=12,SUMIFS('Attrition Modeling'!$D:$D,'Attrition Modeling'!$B:$B,'IP Attrition'!$D63,'Attrition Modeling'!$C:$C,'IP Attrition'!BQ$1),VLOOKUP($F63+BQ$2,$A$6:$C$106,2,FALSE)*VLOOKUP(BQ$1,'Attrition Modeling'!$L$15:$N$27,IF(BQ$2+$F63&lt;=24,2,3),FALSE)),$C$3)*(1+Projection!BX$16)*(1+IF(BQ195&gt;0,'Attrition Modeling'!$N$9,0)))</f>
        <v>0</v>
      </c>
      <c r="BR63" s="810">
        <f>(BQ63+BR195)*(1-IFERROR(IF(BR$2+$F63&lt;=12,SUMIFS('Attrition Modeling'!$D:$D,'Attrition Modeling'!$B:$B,'IP Attrition'!$D63,'Attrition Modeling'!$C:$C,'IP Attrition'!BR$1),VLOOKUP($F63+BR$2,$A$6:$C$106,2,FALSE)*VLOOKUP(BR$1,'Attrition Modeling'!$L$15:$N$27,IF(BR$2+$F63&lt;=24,2,3),FALSE)),$C$3)*(1+Projection!BY$16)*(1+IF(BR195&gt;0,'Attrition Modeling'!$N$9,0)))</f>
        <v>0</v>
      </c>
      <c r="BS63" s="810">
        <f>(BR63+BS195)*(1-IFERROR(IF(BS$2+$F63&lt;=12,SUMIFS('Attrition Modeling'!$D:$D,'Attrition Modeling'!$B:$B,'IP Attrition'!$D63,'Attrition Modeling'!$C:$C,'IP Attrition'!BS$1),VLOOKUP($F63+BS$2,$A$6:$C$106,2,FALSE)*VLOOKUP(BS$1,'Attrition Modeling'!$L$15:$N$27,IF(BS$2+$F63&lt;=24,2,3),FALSE)),$C$3)*(1+Projection!BZ$16)*(1+IF(BS195&gt;0,'Attrition Modeling'!$N$9,0)))</f>
        <v>0</v>
      </c>
      <c r="BT63" s="810" t="e">
        <f>(BS63+BT195)*(1-IFERROR(IF(BT$2+$F63&lt;=12,SUMIFS('Attrition Modeling'!$D:$D,'Attrition Modeling'!$B:$B,'IP Attrition'!$D63,'Attrition Modeling'!$C:$C,'IP Attrition'!BT$1),VLOOKUP($F63+BT$2,$A$6:$C$106,2,FALSE)*VLOOKUP(BT$1,'Attrition Modeling'!$L$15:$N$27,IF(BT$2+$F63&lt;=24,2,3),FALSE)),$C$3)*(1+Projection!CA$16)*(1+IF(BT195&gt;0,'Attrition Modeling'!$N$9,0)))</f>
        <v>#REF!</v>
      </c>
      <c r="BU63" s="810" t="e">
        <f>(BT63+BU195)*(1-IFERROR(IF(BU$2+$F63&lt;=12,SUMIFS('Attrition Modeling'!$D:$D,'Attrition Modeling'!$B:$B,'IP Attrition'!$D63,'Attrition Modeling'!$C:$C,'IP Attrition'!BU$1),VLOOKUP($F63+BU$2,$A$6:$C$106,2,FALSE)*VLOOKUP(BU$1,'Attrition Modeling'!$L$15:$N$27,IF(BU$2+$F63&lt;=24,2,3),FALSE)),$C$3)*(1+Projection!CB$16)*(1+IF(BU195&gt;0,'Attrition Modeling'!$N$9,0)))</f>
        <v>#REF!</v>
      </c>
    </row>
    <row r="64" spans="1:73" ht="14.25" customHeight="1" x14ac:dyDescent="0.2">
      <c r="A64" s="9">
        <v>57</v>
      </c>
      <c r="B64" s="25">
        <f>MAX('Attrition Modeling'!H61,$C$3)*(1-Summary!$C$20)</f>
        <v>2.2982827992432273E-2</v>
      </c>
      <c r="C64" s="24" t="e">
        <f t="shared" si="3"/>
        <v>#DIV/0!</v>
      </c>
      <c r="F64" s="802" t="s">
        <v>697</v>
      </c>
      <c r="G64" s="803"/>
      <c r="H64" s="804">
        <f t="shared" ref="H64:BU64" si="4">SUM(H3:H63)-SUM(G3:G63)-H196</f>
        <v>0</v>
      </c>
      <c r="I64" s="804">
        <f t="shared" si="4"/>
        <v>0</v>
      </c>
      <c r="J64" s="804">
        <f t="shared" si="4"/>
        <v>0</v>
      </c>
      <c r="K64" s="804">
        <f t="shared" si="4"/>
        <v>0</v>
      </c>
      <c r="L64" s="804">
        <f t="shared" si="4"/>
        <v>0</v>
      </c>
      <c r="M64" s="804">
        <f t="shared" si="4"/>
        <v>0</v>
      </c>
      <c r="N64" s="804">
        <f t="shared" si="4"/>
        <v>0</v>
      </c>
      <c r="O64" s="804">
        <f t="shared" si="4"/>
        <v>0</v>
      </c>
      <c r="P64" s="804">
        <f t="shared" si="4"/>
        <v>0</v>
      </c>
      <c r="Q64" s="804">
        <f t="shared" si="4"/>
        <v>0</v>
      </c>
      <c r="R64" s="804">
        <f t="shared" si="4"/>
        <v>0</v>
      </c>
      <c r="S64" s="804">
        <f t="shared" si="4"/>
        <v>0</v>
      </c>
      <c r="T64" s="804">
        <f t="shared" si="4"/>
        <v>0</v>
      </c>
      <c r="U64" s="804">
        <f t="shared" si="4"/>
        <v>0</v>
      </c>
      <c r="V64" s="804">
        <f t="shared" si="4"/>
        <v>0</v>
      </c>
      <c r="W64" s="804">
        <f t="shared" si="4"/>
        <v>0</v>
      </c>
      <c r="X64" s="804">
        <f t="shared" si="4"/>
        <v>0</v>
      </c>
      <c r="Y64" s="804">
        <f t="shared" si="4"/>
        <v>0</v>
      </c>
      <c r="Z64" s="804">
        <f t="shared" si="4"/>
        <v>0</v>
      </c>
      <c r="AA64" s="804">
        <f t="shared" si="4"/>
        <v>0</v>
      </c>
      <c r="AB64" s="804">
        <f t="shared" si="4"/>
        <v>0</v>
      </c>
      <c r="AC64" s="804">
        <f t="shared" si="4"/>
        <v>0</v>
      </c>
      <c r="AD64" s="804">
        <f t="shared" si="4"/>
        <v>0</v>
      </c>
      <c r="AE64" s="804">
        <f t="shared" si="4"/>
        <v>0</v>
      </c>
      <c r="AF64" s="804">
        <f t="shared" si="4"/>
        <v>0</v>
      </c>
      <c r="AG64" s="804">
        <f t="shared" si="4"/>
        <v>0</v>
      </c>
      <c r="AH64" s="804">
        <f t="shared" si="4"/>
        <v>0</v>
      </c>
      <c r="AI64" s="804">
        <f t="shared" si="4"/>
        <v>0</v>
      </c>
      <c r="AJ64" s="804">
        <f t="shared" si="4"/>
        <v>0</v>
      </c>
      <c r="AK64" s="804">
        <f t="shared" si="4"/>
        <v>0</v>
      </c>
      <c r="AL64" s="804">
        <f t="shared" si="4"/>
        <v>0</v>
      </c>
      <c r="AM64" s="804">
        <f t="shared" si="4"/>
        <v>0</v>
      </c>
      <c r="AN64" s="804">
        <f t="shared" si="4"/>
        <v>0</v>
      </c>
      <c r="AO64" s="804">
        <f t="shared" si="4"/>
        <v>0</v>
      </c>
      <c r="AP64" s="804">
        <f t="shared" si="4"/>
        <v>0</v>
      </c>
      <c r="AQ64" s="804">
        <f t="shared" si="4"/>
        <v>0</v>
      </c>
      <c r="AR64" s="804">
        <f t="shared" si="4"/>
        <v>0</v>
      </c>
      <c r="AS64" s="804">
        <f t="shared" si="4"/>
        <v>0</v>
      </c>
      <c r="AT64" s="804">
        <f t="shared" si="4"/>
        <v>0</v>
      </c>
      <c r="AU64" s="804">
        <f t="shared" si="4"/>
        <v>0</v>
      </c>
      <c r="AV64" s="804">
        <f t="shared" si="4"/>
        <v>0</v>
      </c>
      <c r="AW64" s="804">
        <f t="shared" si="4"/>
        <v>0</v>
      </c>
      <c r="AX64" s="804">
        <f t="shared" si="4"/>
        <v>0</v>
      </c>
      <c r="AY64" s="804">
        <f t="shared" si="4"/>
        <v>0</v>
      </c>
      <c r="AZ64" s="804">
        <f t="shared" si="4"/>
        <v>0</v>
      </c>
      <c r="BA64" s="804">
        <f t="shared" si="4"/>
        <v>0</v>
      </c>
      <c r="BB64" s="804">
        <f t="shared" si="4"/>
        <v>0</v>
      </c>
      <c r="BC64" s="804">
        <f t="shared" si="4"/>
        <v>0</v>
      </c>
      <c r="BD64" s="804">
        <f t="shared" si="4"/>
        <v>0</v>
      </c>
      <c r="BE64" s="804">
        <f t="shared" si="4"/>
        <v>0</v>
      </c>
      <c r="BF64" s="804">
        <f t="shared" si="4"/>
        <v>0</v>
      </c>
      <c r="BG64" s="804">
        <f t="shared" si="4"/>
        <v>0</v>
      </c>
      <c r="BH64" s="804">
        <f t="shared" si="4"/>
        <v>0</v>
      </c>
      <c r="BI64" s="804">
        <f t="shared" si="4"/>
        <v>0</v>
      </c>
      <c r="BJ64" s="804">
        <f t="shared" si="4"/>
        <v>0</v>
      </c>
      <c r="BK64" s="804">
        <f t="shared" si="4"/>
        <v>0</v>
      </c>
      <c r="BL64" s="804">
        <f t="shared" si="4"/>
        <v>0</v>
      </c>
      <c r="BM64" s="804">
        <f t="shared" si="4"/>
        <v>0</v>
      </c>
      <c r="BN64" s="804">
        <f t="shared" si="4"/>
        <v>0</v>
      </c>
      <c r="BO64" s="804">
        <f t="shared" si="4"/>
        <v>0</v>
      </c>
      <c r="BP64" s="804">
        <f t="shared" si="4"/>
        <v>0</v>
      </c>
      <c r="BQ64" s="804">
        <f t="shared" si="4"/>
        <v>0</v>
      </c>
      <c r="BR64" s="804">
        <f t="shared" si="4"/>
        <v>0</v>
      </c>
      <c r="BS64" s="804">
        <f t="shared" si="4"/>
        <v>0</v>
      </c>
      <c r="BT64" s="804" t="e">
        <f t="shared" si="4"/>
        <v>#REF!</v>
      </c>
      <c r="BU64" s="804" t="e">
        <f t="shared" si="4"/>
        <v>#REF!</v>
      </c>
    </row>
    <row r="65" spans="1:73" ht="14.25" customHeight="1" x14ac:dyDescent="0.2">
      <c r="A65" s="9">
        <v>58</v>
      </c>
      <c r="B65" s="25">
        <f>MAX('Attrition Modeling'!H62,$C$3)*(1-Summary!$C$20)</f>
        <v>2.271605257262637E-2</v>
      </c>
      <c r="C65" s="24" t="e">
        <f t="shared" si="3"/>
        <v>#DIV/0!</v>
      </c>
      <c r="H65" s="75"/>
      <c r="I65" s="29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</row>
    <row r="66" spans="1:73" ht="14.25" customHeight="1" x14ac:dyDescent="0.2">
      <c r="A66" s="9">
        <v>59</v>
      </c>
      <c r="B66" s="25">
        <f>MAX('Attrition Modeling'!H63,$C$3)*(1-Summary!$C$20)</f>
        <v>2.2453837640441385E-2</v>
      </c>
      <c r="C66" s="24" t="e">
        <f t="shared" si="3"/>
        <v>#DIV/0!</v>
      </c>
      <c r="I66" s="25"/>
    </row>
    <row r="67" spans="1:73" ht="14.25" customHeight="1" x14ac:dyDescent="0.2">
      <c r="A67" s="9">
        <v>60</v>
      </c>
      <c r="B67" s="25">
        <f>MAX('Attrition Modeling'!H64,$C$3)*(1-Summary!$C$20)</f>
        <v>2.2196029891162761E-2</v>
      </c>
      <c r="C67" s="24" t="e">
        <f t="shared" si="3"/>
        <v>#DIV/0!</v>
      </c>
    </row>
    <row r="68" spans="1:73" ht="14.25" customHeight="1" x14ac:dyDescent="0.2">
      <c r="A68" s="9">
        <v>61</v>
      </c>
      <c r="B68" s="25">
        <f>MAX('Attrition Modeling'!H65,$C$3)*(1-Summary!$C$20)</f>
        <v>2.1942483622672745E-2</v>
      </c>
      <c r="C68" s="24" t="e">
        <f t="shared" si="3"/>
        <v>#DIV/0!</v>
      </c>
      <c r="F68" s="795" t="s">
        <v>698</v>
      </c>
      <c r="G68" s="811">
        <f t="shared" ref="G68:BU68" si="5">G1</f>
        <v>0</v>
      </c>
      <c r="H68" s="811">
        <f t="shared" si="5"/>
        <v>1</v>
      </c>
      <c r="I68" s="811">
        <f t="shared" si="5"/>
        <v>2</v>
      </c>
      <c r="J68" s="811">
        <f t="shared" si="5"/>
        <v>3</v>
      </c>
      <c r="K68" s="811">
        <f t="shared" si="5"/>
        <v>4</v>
      </c>
      <c r="L68" s="811">
        <f t="shared" si="5"/>
        <v>5</v>
      </c>
      <c r="M68" s="811">
        <f t="shared" si="5"/>
        <v>6</v>
      </c>
      <c r="N68" s="811">
        <f t="shared" si="5"/>
        <v>7</v>
      </c>
      <c r="O68" s="811">
        <f t="shared" si="5"/>
        <v>8</v>
      </c>
      <c r="P68" s="811">
        <f t="shared" si="5"/>
        <v>9</v>
      </c>
      <c r="Q68" s="811">
        <f t="shared" si="5"/>
        <v>10</v>
      </c>
      <c r="R68" s="811">
        <f t="shared" si="5"/>
        <v>11</v>
      </c>
      <c r="S68" s="811">
        <f t="shared" si="5"/>
        <v>12</v>
      </c>
      <c r="T68" s="811">
        <f t="shared" si="5"/>
        <v>1</v>
      </c>
      <c r="U68" s="811">
        <f t="shared" si="5"/>
        <v>2</v>
      </c>
      <c r="V68" s="811">
        <f t="shared" si="5"/>
        <v>3</v>
      </c>
      <c r="W68" s="811">
        <f t="shared" si="5"/>
        <v>4</v>
      </c>
      <c r="X68" s="811">
        <f t="shared" si="5"/>
        <v>5</v>
      </c>
      <c r="Y68" s="811">
        <f t="shared" si="5"/>
        <v>6</v>
      </c>
      <c r="Z68" s="811">
        <f t="shared" si="5"/>
        <v>7</v>
      </c>
      <c r="AA68" s="811">
        <f t="shared" si="5"/>
        <v>8</v>
      </c>
      <c r="AB68" s="811">
        <f t="shared" si="5"/>
        <v>9</v>
      </c>
      <c r="AC68" s="811">
        <f t="shared" si="5"/>
        <v>10</v>
      </c>
      <c r="AD68" s="811">
        <f t="shared" si="5"/>
        <v>11</v>
      </c>
      <c r="AE68" s="811">
        <f t="shared" si="5"/>
        <v>12</v>
      </c>
      <c r="AF68" s="811">
        <f t="shared" si="5"/>
        <v>1</v>
      </c>
      <c r="AG68" s="811">
        <f t="shared" si="5"/>
        <v>2</v>
      </c>
      <c r="AH68" s="811">
        <f t="shared" si="5"/>
        <v>3</v>
      </c>
      <c r="AI68" s="811">
        <f t="shared" si="5"/>
        <v>4</v>
      </c>
      <c r="AJ68" s="811">
        <f t="shared" si="5"/>
        <v>5</v>
      </c>
      <c r="AK68" s="811">
        <f t="shared" si="5"/>
        <v>6</v>
      </c>
      <c r="AL68" s="811">
        <f t="shared" si="5"/>
        <v>7</v>
      </c>
      <c r="AM68" s="811">
        <f t="shared" si="5"/>
        <v>8</v>
      </c>
      <c r="AN68" s="811">
        <f t="shared" si="5"/>
        <v>9</v>
      </c>
      <c r="AO68" s="811">
        <f t="shared" si="5"/>
        <v>10</v>
      </c>
      <c r="AP68" s="811">
        <f t="shared" si="5"/>
        <v>11</v>
      </c>
      <c r="AQ68" s="811">
        <f t="shared" si="5"/>
        <v>12</v>
      </c>
      <c r="AR68" s="811">
        <f t="shared" si="5"/>
        <v>1</v>
      </c>
      <c r="AS68" s="811">
        <f t="shared" si="5"/>
        <v>2</v>
      </c>
      <c r="AT68" s="811">
        <f t="shared" si="5"/>
        <v>3</v>
      </c>
      <c r="AU68" s="811">
        <f t="shared" si="5"/>
        <v>4</v>
      </c>
      <c r="AV68" s="811">
        <f t="shared" si="5"/>
        <v>5</v>
      </c>
      <c r="AW68" s="811">
        <f t="shared" si="5"/>
        <v>6</v>
      </c>
      <c r="AX68" s="811">
        <f t="shared" si="5"/>
        <v>7</v>
      </c>
      <c r="AY68" s="811">
        <f t="shared" si="5"/>
        <v>8</v>
      </c>
      <c r="AZ68" s="811">
        <f t="shared" si="5"/>
        <v>9</v>
      </c>
      <c r="BA68" s="811">
        <f t="shared" si="5"/>
        <v>10</v>
      </c>
      <c r="BB68" s="811">
        <f t="shared" si="5"/>
        <v>11</v>
      </c>
      <c r="BC68" s="811">
        <f t="shared" si="5"/>
        <v>12</v>
      </c>
      <c r="BD68" s="811">
        <f t="shared" si="5"/>
        <v>1</v>
      </c>
      <c r="BE68" s="811">
        <f t="shared" si="5"/>
        <v>2</v>
      </c>
      <c r="BF68" s="811">
        <f t="shared" si="5"/>
        <v>3</v>
      </c>
      <c r="BG68" s="811">
        <f t="shared" si="5"/>
        <v>4</v>
      </c>
      <c r="BH68" s="811">
        <f t="shared" si="5"/>
        <v>5</v>
      </c>
      <c r="BI68" s="811">
        <f t="shared" si="5"/>
        <v>6</v>
      </c>
      <c r="BJ68" s="811">
        <f t="shared" si="5"/>
        <v>7</v>
      </c>
      <c r="BK68" s="811">
        <f t="shared" si="5"/>
        <v>8</v>
      </c>
      <c r="BL68" s="811">
        <f t="shared" si="5"/>
        <v>9</v>
      </c>
      <c r="BM68" s="811">
        <f t="shared" si="5"/>
        <v>10</v>
      </c>
      <c r="BN68" s="811">
        <f t="shared" si="5"/>
        <v>11</v>
      </c>
      <c r="BO68" s="811">
        <f t="shared" si="5"/>
        <v>12</v>
      </c>
      <c r="BP68" s="811">
        <f t="shared" si="5"/>
        <v>1</v>
      </c>
      <c r="BQ68" s="811">
        <f t="shared" si="5"/>
        <v>2</v>
      </c>
      <c r="BR68" s="811">
        <f t="shared" si="5"/>
        <v>3</v>
      </c>
      <c r="BS68" s="811">
        <f t="shared" si="5"/>
        <v>4</v>
      </c>
      <c r="BT68" s="811">
        <f t="shared" si="5"/>
        <v>5</v>
      </c>
      <c r="BU68" s="811">
        <f t="shared" si="5"/>
        <v>6</v>
      </c>
    </row>
    <row r="69" spans="1:73" ht="14.25" customHeight="1" x14ac:dyDescent="0.2">
      <c r="A69" s="9">
        <v>62</v>
      </c>
      <c r="B69" s="25">
        <f>MAX('Attrition Modeling'!H66,$C$3)*(1-Summary!$C$20)</f>
        <v>2.1693060240916329E-2</v>
      </c>
      <c r="C69" s="24" t="e">
        <f t="shared" si="3"/>
        <v>#DIV/0!</v>
      </c>
      <c r="E69" s="11" t="s">
        <v>702</v>
      </c>
      <c r="F69" s="11" t="s">
        <v>679</v>
      </c>
      <c r="G69" s="797">
        <v>0</v>
      </c>
      <c r="H69" s="797">
        <v>1</v>
      </c>
      <c r="I69" s="797">
        <f t="shared" ref="I69:BU69" si="6">H69+1</f>
        <v>2</v>
      </c>
      <c r="J69" s="797">
        <f t="shared" si="6"/>
        <v>3</v>
      </c>
      <c r="K69" s="797">
        <f t="shared" si="6"/>
        <v>4</v>
      </c>
      <c r="L69" s="797">
        <f t="shared" si="6"/>
        <v>5</v>
      </c>
      <c r="M69" s="797">
        <f t="shared" si="6"/>
        <v>6</v>
      </c>
      <c r="N69" s="797">
        <f t="shared" si="6"/>
        <v>7</v>
      </c>
      <c r="O69" s="797">
        <f t="shared" si="6"/>
        <v>8</v>
      </c>
      <c r="P69" s="797">
        <f t="shared" si="6"/>
        <v>9</v>
      </c>
      <c r="Q69" s="797">
        <f t="shared" si="6"/>
        <v>10</v>
      </c>
      <c r="R69" s="797">
        <f t="shared" si="6"/>
        <v>11</v>
      </c>
      <c r="S69" s="797">
        <f t="shared" si="6"/>
        <v>12</v>
      </c>
      <c r="T69" s="797">
        <f t="shared" si="6"/>
        <v>13</v>
      </c>
      <c r="U69" s="797">
        <f t="shared" si="6"/>
        <v>14</v>
      </c>
      <c r="V69" s="797">
        <f t="shared" si="6"/>
        <v>15</v>
      </c>
      <c r="W69" s="797">
        <f t="shared" si="6"/>
        <v>16</v>
      </c>
      <c r="X69" s="797">
        <f t="shared" si="6"/>
        <v>17</v>
      </c>
      <c r="Y69" s="797">
        <f t="shared" si="6"/>
        <v>18</v>
      </c>
      <c r="Z69" s="797">
        <f t="shared" si="6"/>
        <v>19</v>
      </c>
      <c r="AA69" s="797">
        <f t="shared" si="6"/>
        <v>20</v>
      </c>
      <c r="AB69" s="797">
        <f t="shared" si="6"/>
        <v>21</v>
      </c>
      <c r="AC69" s="797">
        <f t="shared" si="6"/>
        <v>22</v>
      </c>
      <c r="AD69" s="797">
        <f t="shared" si="6"/>
        <v>23</v>
      </c>
      <c r="AE69" s="797">
        <f t="shared" si="6"/>
        <v>24</v>
      </c>
      <c r="AF69" s="797">
        <f t="shared" si="6"/>
        <v>25</v>
      </c>
      <c r="AG69" s="797">
        <f t="shared" si="6"/>
        <v>26</v>
      </c>
      <c r="AH69" s="797">
        <f t="shared" si="6"/>
        <v>27</v>
      </c>
      <c r="AI69" s="797">
        <f t="shared" si="6"/>
        <v>28</v>
      </c>
      <c r="AJ69" s="797">
        <f t="shared" si="6"/>
        <v>29</v>
      </c>
      <c r="AK69" s="797">
        <f t="shared" si="6"/>
        <v>30</v>
      </c>
      <c r="AL69" s="797">
        <f t="shared" si="6"/>
        <v>31</v>
      </c>
      <c r="AM69" s="797">
        <f t="shared" si="6"/>
        <v>32</v>
      </c>
      <c r="AN69" s="797">
        <f t="shared" si="6"/>
        <v>33</v>
      </c>
      <c r="AO69" s="797">
        <f t="shared" si="6"/>
        <v>34</v>
      </c>
      <c r="AP69" s="797">
        <f t="shared" si="6"/>
        <v>35</v>
      </c>
      <c r="AQ69" s="797">
        <f t="shared" si="6"/>
        <v>36</v>
      </c>
      <c r="AR69" s="797">
        <f t="shared" si="6"/>
        <v>37</v>
      </c>
      <c r="AS69" s="797">
        <f t="shared" si="6"/>
        <v>38</v>
      </c>
      <c r="AT69" s="797">
        <f t="shared" si="6"/>
        <v>39</v>
      </c>
      <c r="AU69" s="797">
        <f t="shared" si="6"/>
        <v>40</v>
      </c>
      <c r="AV69" s="797">
        <f t="shared" si="6"/>
        <v>41</v>
      </c>
      <c r="AW69" s="797">
        <f t="shared" si="6"/>
        <v>42</v>
      </c>
      <c r="AX69" s="797">
        <f t="shared" si="6"/>
        <v>43</v>
      </c>
      <c r="AY69" s="797">
        <f t="shared" si="6"/>
        <v>44</v>
      </c>
      <c r="AZ69" s="797">
        <f t="shared" si="6"/>
        <v>45</v>
      </c>
      <c r="BA69" s="797">
        <f t="shared" si="6"/>
        <v>46</v>
      </c>
      <c r="BB69" s="797">
        <f t="shared" si="6"/>
        <v>47</v>
      </c>
      <c r="BC69" s="797">
        <f t="shared" si="6"/>
        <v>48</v>
      </c>
      <c r="BD69" s="797">
        <f t="shared" si="6"/>
        <v>49</v>
      </c>
      <c r="BE69" s="797">
        <f t="shared" si="6"/>
        <v>50</v>
      </c>
      <c r="BF69" s="797">
        <f t="shared" si="6"/>
        <v>51</v>
      </c>
      <c r="BG69" s="797">
        <f t="shared" si="6"/>
        <v>52</v>
      </c>
      <c r="BH69" s="797">
        <f t="shared" si="6"/>
        <v>53</v>
      </c>
      <c r="BI69" s="797">
        <f t="shared" si="6"/>
        <v>54</v>
      </c>
      <c r="BJ69" s="797">
        <f t="shared" si="6"/>
        <v>55</v>
      </c>
      <c r="BK69" s="797">
        <f t="shared" si="6"/>
        <v>56</v>
      </c>
      <c r="BL69" s="797">
        <f t="shared" si="6"/>
        <v>57</v>
      </c>
      <c r="BM69" s="797">
        <f t="shared" si="6"/>
        <v>58</v>
      </c>
      <c r="BN69" s="797">
        <f t="shared" si="6"/>
        <v>59</v>
      </c>
      <c r="BO69" s="797">
        <f t="shared" si="6"/>
        <v>60</v>
      </c>
      <c r="BP69" s="797">
        <f t="shared" si="6"/>
        <v>61</v>
      </c>
      <c r="BQ69" s="797">
        <f t="shared" si="6"/>
        <v>62</v>
      </c>
      <c r="BR69" s="797">
        <f t="shared" si="6"/>
        <v>63</v>
      </c>
      <c r="BS69" s="797">
        <f t="shared" si="6"/>
        <v>64</v>
      </c>
      <c r="BT69" s="797">
        <f t="shared" si="6"/>
        <v>65</v>
      </c>
      <c r="BU69" s="797">
        <f t="shared" si="6"/>
        <v>66</v>
      </c>
    </row>
    <row r="70" spans="1:73" ht="14.25" customHeight="1" x14ac:dyDescent="0.2">
      <c r="A70" s="9">
        <v>63</v>
      </c>
      <c r="B70" s="25">
        <f>MAX('Attrition Modeling'!H67,$C$3)*(1-Summary!$C$20)</f>
        <v>2.1447627804935004E-2</v>
      </c>
      <c r="C70" s="24" t="e">
        <f t="shared" si="3"/>
        <v>#DIV/0!</v>
      </c>
      <c r="D70" s="11">
        <f t="shared" ref="D70:E70" si="7">D3</f>
        <v>0</v>
      </c>
      <c r="E70" s="25">
        <f t="shared" si="7"/>
        <v>0.12937802129018236</v>
      </c>
      <c r="F70" s="11">
        <v>0</v>
      </c>
      <c r="G70" s="799">
        <f>Summary!$C$24*$E70</f>
        <v>0</v>
      </c>
      <c r="H70" s="799">
        <f>G70*(1-IFERROR(IF(H$69+$F70&lt;=12,SUMIFS('Attrition Modeling'!$D:$D,'Attrition Modeling'!$C:$C,'IP Attrition'!$D70,'Attrition Modeling'!$B:$B,'IP Attrition'!H$68),VLOOKUP($F70+H$2,$A$6:$C$106,2,FALSE)*VLOOKUP(H$1,'Attrition Modeling'!$L$15:$N$27,IF(H$2+$F3&lt;=24,2,3),FALSE)),$C$3)*(1+Projection!J$16)*(1+IF(H135&gt;0,'Attrition Modeling'!$N$9,0)))</f>
        <v>0</v>
      </c>
      <c r="I70" s="799">
        <f>H70*(1-IFERROR(IF(I$69+$F70&lt;=12,SUMIFS('Attrition Modeling'!$D:$D,'Attrition Modeling'!$C:$C,'IP Attrition'!$D70,'Attrition Modeling'!$B:$B,'IP Attrition'!I$68),VLOOKUP($F70+I$2,$A$6:$C$106,2,FALSE)*VLOOKUP(I$1,'Attrition Modeling'!$L$15:$N$27,IF(I$2+$F3&lt;=24,2,3),FALSE)),$C$3)*(1+Projection!K$16)*(1+IF(I135&gt;0,'Attrition Modeling'!$N$9,0)))</f>
        <v>0</v>
      </c>
      <c r="J70" s="799">
        <f>I70*(1-IFERROR(IF(J$69+$F70&lt;=12,SUMIFS('Attrition Modeling'!$D:$D,'Attrition Modeling'!$C:$C,'IP Attrition'!$D70,'Attrition Modeling'!$B:$B,'IP Attrition'!J$68),VLOOKUP($F70+J$2,$A$6:$C$106,2,FALSE)*VLOOKUP(J$1,'Attrition Modeling'!$L$15:$N$27,IF(J$2+$F3&lt;=24,2,3),FALSE)),$C$3)*(1+Projection!L$16)*(1+IF(J135&gt;0,'Attrition Modeling'!$N$9,0)))</f>
        <v>0</v>
      </c>
      <c r="K70" s="799">
        <f>J70*(1-IFERROR(IF(K$69+$F70&lt;=12,SUMIFS('Attrition Modeling'!$D:$D,'Attrition Modeling'!$C:$C,'IP Attrition'!$D70,'Attrition Modeling'!$B:$B,'IP Attrition'!K$68),VLOOKUP($F70+K$2,$A$6:$C$106,2,FALSE)*VLOOKUP(K$1,'Attrition Modeling'!$L$15:$N$27,IF(K$2+$F3&lt;=24,2,3),FALSE)),$C$3)*(1+Projection!M$16)*(1+IF(K135&gt;0,'Attrition Modeling'!$N$9,0)))</f>
        <v>0</v>
      </c>
      <c r="L70" s="799">
        <f>K70*(1-IFERROR(IF(L$69+$F70&lt;=12,SUMIFS('Attrition Modeling'!$D:$D,'Attrition Modeling'!$C:$C,'IP Attrition'!$D70,'Attrition Modeling'!$B:$B,'IP Attrition'!L$68),VLOOKUP($F70+L$2,$A$6:$C$106,2,FALSE)*VLOOKUP(L$1,'Attrition Modeling'!$L$15:$N$27,IF(L$2+$F3&lt;=24,2,3),FALSE)),$C$3)*(1+Projection!N$16)*(1+IF(L135&gt;0,'Attrition Modeling'!$N$9,0)))</f>
        <v>0</v>
      </c>
      <c r="M70" s="799">
        <f>L70*(1-IFERROR(IF(M$69+$F70&lt;=12,SUMIFS('Attrition Modeling'!$D:$D,'Attrition Modeling'!$C:$C,'IP Attrition'!$D70,'Attrition Modeling'!$B:$B,'IP Attrition'!M$68),VLOOKUP($F70+M$2,$A$6:$C$106,2,FALSE)*VLOOKUP(M$1,'Attrition Modeling'!$L$15:$N$27,IF(M$2+$F3&lt;=24,2,3),FALSE)),$C$3)*(1+Projection!O$16)*(1+IF(M135&gt;0,'Attrition Modeling'!$N$9,0)))</f>
        <v>0</v>
      </c>
      <c r="N70" s="799">
        <f>M70*(1-IFERROR(IF(N$69+$F70&lt;=12,SUMIFS('Attrition Modeling'!$D:$D,'Attrition Modeling'!$C:$C,'IP Attrition'!$D70,'Attrition Modeling'!$B:$B,'IP Attrition'!N$68),VLOOKUP($F70+N$2,$A$6:$C$106,2,FALSE)*VLOOKUP(N$1,'Attrition Modeling'!$L$15:$N$27,IF(N$2+$F3&lt;=24,2,3),FALSE)),$C$3)*(1+Projection!P$16)*(1+IF(N135&gt;0,'Attrition Modeling'!$N$9,0)))</f>
        <v>0</v>
      </c>
      <c r="O70" s="799">
        <f>N70*(1-IFERROR(IF(O$69+$F70&lt;=12,SUMIFS('Attrition Modeling'!$D:$D,'Attrition Modeling'!$C:$C,'IP Attrition'!$D70,'Attrition Modeling'!$B:$B,'IP Attrition'!O$68),VLOOKUP($F70+O$2,$A$6:$C$106,2,FALSE)*VLOOKUP(O$1,'Attrition Modeling'!$L$15:$N$27,IF(O$2+$F3&lt;=24,2,3),FALSE)),$C$3)*(1+Projection!Q$16)*(1+IF(O135&gt;0,'Attrition Modeling'!$N$9,0)))</f>
        <v>0</v>
      </c>
      <c r="P70" s="799">
        <f>O70*(1-IFERROR(IF(P$69+$F70&lt;=12,SUMIFS('Attrition Modeling'!$D:$D,'Attrition Modeling'!$C:$C,'IP Attrition'!$D70,'Attrition Modeling'!$B:$B,'IP Attrition'!P$68),VLOOKUP($F70+P$2,$A$6:$C$106,2,FALSE)*VLOOKUP(P$1,'Attrition Modeling'!$L$15:$N$27,IF(P$2+$F3&lt;=24,2,3),FALSE)),$C$3)*(1+Projection!R$16)*(1+IF(P135&gt;0,'Attrition Modeling'!$N$9,0)))</f>
        <v>0</v>
      </c>
      <c r="Q70" s="799">
        <f>P70*(1-IFERROR(IF(Q$69+$F70&lt;=12,SUMIFS('Attrition Modeling'!$D:$D,'Attrition Modeling'!$C:$C,'IP Attrition'!$D70,'Attrition Modeling'!$B:$B,'IP Attrition'!Q$68),VLOOKUP($F70+Q$2,$A$6:$C$106,2,FALSE)*VLOOKUP(Q$1,'Attrition Modeling'!$L$15:$N$27,IF(Q$2+$F3&lt;=24,2,3),FALSE)),$C$3)*(1+Projection!S$16)*(1+IF(Q135&gt;0,'Attrition Modeling'!$N$9,0)))</f>
        <v>0</v>
      </c>
      <c r="R70" s="799">
        <f>Q70*(1-IFERROR(IF(R$69+$F70&lt;=12,SUMIFS('Attrition Modeling'!$D:$D,'Attrition Modeling'!$C:$C,'IP Attrition'!$D70,'Attrition Modeling'!$B:$B,'IP Attrition'!R$68),VLOOKUP($F70+R$2,$A$6:$C$106,2,FALSE)*VLOOKUP(R$1,'Attrition Modeling'!$L$15:$N$27,IF(R$2+$F3&lt;=24,2,3),FALSE)),$C$3)*(1+Projection!T$16)*(1+IF(R135&gt;0,'Attrition Modeling'!$N$9,0)))</f>
        <v>0</v>
      </c>
      <c r="S70" s="799">
        <f>R70*(1-IFERROR(IF(S$69+$F70&lt;=12,SUMIFS('Attrition Modeling'!$D:$D,'Attrition Modeling'!$C:$C,'IP Attrition'!$D70,'Attrition Modeling'!$B:$B,'IP Attrition'!S$68),VLOOKUP($F70+S$2,$A$6:$C$106,2,FALSE)*VLOOKUP(S$1,'Attrition Modeling'!$L$15:$N$27,IF(S$2+$F3&lt;=24,2,3),FALSE)),$C$3)*(1+Projection!U$16)*(1+IF(S135&gt;0,'Attrition Modeling'!$N$9,0)))</f>
        <v>0</v>
      </c>
      <c r="T70" s="799">
        <f>S70*(1-IFERROR(IF(T$69+$F70&lt;=12,SUMIFS('Attrition Modeling'!$D:$D,'Attrition Modeling'!$C:$C,'IP Attrition'!$D70,'Attrition Modeling'!$B:$B,'IP Attrition'!T$68),VLOOKUP($F70+T$2,$A$6:$C$106,2,FALSE)*VLOOKUP(T$1,'Attrition Modeling'!$L$15:$N$27,IF(T$2+$F3&lt;=24,2,3),FALSE)),$C$3)*(1+Projection!V$16)*(1+IF(T135&gt;0,'Attrition Modeling'!$N$9,0)))</f>
        <v>0</v>
      </c>
      <c r="U70" s="799">
        <f>T70*(1-IFERROR(IF(U$69+$F70&lt;=12,SUMIFS('Attrition Modeling'!$D:$D,'Attrition Modeling'!$C:$C,'IP Attrition'!$D70,'Attrition Modeling'!$B:$B,'IP Attrition'!U$68),VLOOKUP($F70+U$2,$A$6:$C$106,2,FALSE)*VLOOKUP(U$1,'Attrition Modeling'!$L$15:$N$27,IF(U$2+$F3&lt;=24,2,3),FALSE)),$C$3)*(1+Projection!W$16)*(1+IF(U135&gt;0,'Attrition Modeling'!$N$9,0)))</f>
        <v>0</v>
      </c>
      <c r="V70" s="799">
        <f>U70*(1-IFERROR(IF(V$69+$F70&lt;=12,SUMIFS('Attrition Modeling'!$D:$D,'Attrition Modeling'!$C:$C,'IP Attrition'!$D70,'Attrition Modeling'!$B:$B,'IP Attrition'!V$68),VLOOKUP($F70+V$2,$A$6:$C$106,2,FALSE)*VLOOKUP(V$1,'Attrition Modeling'!$L$15:$N$27,IF(V$2+$F3&lt;=24,2,3),FALSE)),$C$3)*(1+Projection!X$16)*(1+IF(V135&gt;0,'Attrition Modeling'!$N$9,0)))</f>
        <v>0</v>
      </c>
      <c r="W70" s="799">
        <f>V70*(1-IFERROR(IF(W$69+$F70&lt;=12,SUMIFS('Attrition Modeling'!$D:$D,'Attrition Modeling'!$C:$C,'IP Attrition'!$D70,'Attrition Modeling'!$B:$B,'IP Attrition'!W$68),VLOOKUP($F70+W$2,$A$6:$C$106,2,FALSE)*VLOOKUP(W$1,'Attrition Modeling'!$L$15:$N$27,IF(W$2+$F3&lt;=24,2,3),FALSE)),$C$3)*(1+Projection!Y$16)*(1+IF(W135&gt;0,'Attrition Modeling'!$N$9,0)))</f>
        <v>0</v>
      </c>
      <c r="X70" s="799">
        <f>W70*(1-IFERROR(IF(X$69+$F70&lt;=12,SUMIFS('Attrition Modeling'!$D:$D,'Attrition Modeling'!$C:$C,'IP Attrition'!$D70,'Attrition Modeling'!$B:$B,'IP Attrition'!X$68),VLOOKUP($F70+X$2,$A$6:$C$106,2,FALSE)*VLOOKUP(X$1,'Attrition Modeling'!$L$15:$N$27,IF(X$2+$F3&lt;=24,2,3),FALSE)),$C$3)*(1+Projection!Z$16)*(1+IF(X135&gt;0,'Attrition Modeling'!$N$9,0)))</f>
        <v>0</v>
      </c>
      <c r="Y70" s="799">
        <f>X70*(1-IFERROR(IF(Y$69+$F70&lt;=12,SUMIFS('Attrition Modeling'!$D:$D,'Attrition Modeling'!$C:$C,'IP Attrition'!$D70,'Attrition Modeling'!$B:$B,'IP Attrition'!Y$68),VLOOKUP($F70+Y$2,$A$6:$C$106,2,FALSE)*VLOOKUP(Y$1,'Attrition Modeling'!$L$15:$N$27,IF(Y$2+$F3&lt;=24,2,3),FALSE)),$C$3)*(1+Projection!AA$16)*(1+IF(Y135&gt;0,'Attrition Modeling'!$N$9,0)))</f>
        <v>0</v>
      </c>
      <c r="Z70" s="799">
        <f>Y70*(1-IFERROR(IF(Z$69+$F70&lt;=12,SUMIFS('Attrition Modeling'!$D:$D,'Attrition Modeling'!$C:$C,'IP Attrition'!$D70,'Attrition Modeling'!$B:$B,'IP Attrition'!Z$68),VLOOKUP($F70+Z$2,$A$6:$C$106,2,FALSE)*VLOOKUP(Z$1,'Attrition Modeling'!$L$15:$N$27,IF(Z$2+$F3&lt;=24,2,3),FALSE)),$C$3)*(1+Projection!AB$16)*(1+IF(Z135&gt;0,'Attrition Modeling'!$N$9,0)))</f>
        <v>0</v>
      </c>
      <c r="AA70" s="799">
        <f>Z70*(1-IFERROR(IF(AA$69+$F70&lt;=12,SUMIFS('Attrition Modeling'!$D:$D,'Attrition Modeling'!$C:$C,'IP Attrition'!$D70,'Attrition Modeling'!$B:$B,'IP Attrition'!AA$68),VLOOKUP($F70+AA$2,$A$6:$C$106,2,FALSE)*VLOOKUP(AA$1,'Attrition Modeling'!$L$15:$N$27,IF(AA$2+$F3&lt;=24,2,3),FALSE)),$C$3)*(1+Projection!AC$16)*(1+IF(AA135&gt;0,'Attrition Modeling'!$N$9,0)))</f>
        <v>0</v>
      </c>
      <c r="AB70" s="799">
        <f>AA70*(1-IFERROR(IF(AB$69+$F70&lt;=12,SUMIFS('Attrition Modeling'!$D:$D,'Attrition Modeling'!$C:$C,'IP Attrition'!$D70,'Attrition Modeling'!$B:$B,'IP Attrition'!AB$68),VLOOKUP($F70+AB$2,$A$6:$C$106,2,FALSE)*VLOOKUP(AB$1,'Attrition Modeling'!$L$15:$N$27,IF(AB$2+$F3&lt;=24,2,3),FALSE)),$C$3)*(1+Projection!AD$16)*(1+IF(AB135&gt;0,'Attrition Modeling'!$N$9,0)))</f>
        <v>0</v>
      </c>
      <c r="AC70" s="799">
        <f>AB70*(1-IFERROR(IF(AC$69+$F70&lt;=12,SUMIFS('Attrition Modeling'!$D:$D,'Attrition Modeling'!$C:$C,'IP Attrition'!$D70,'Attrition Modeling'!$B:$B,'IP Attrition'!AC$68),VLOOKUP($F70+AC$2,$A$6:$C$106,2,FALSE)*VLOOKUP(AC$1,'Attrition Modeling'!$L$15:$N$27,IF(AC$2+$F3&lt;=24,2,3),FALSE)),$C$3)*(1+Projection!AE$16)*(1+IF(AC135&gt;0,'Attrition Modeling'!$N$9,0)))</f>
        <v>0</v>
      </c>
      <c r="AD70" s="799">
        <f>AC70*(1-IFERROR(IF(AD$69+$F70&lt;=12,SUMIFS('Attrition Modeling'!$D:$D,'Attrition Modeling'!$C:$C,'IP Attrition'!$D70,'Attrition Modeling'!$B:$B,'IP Attrition'!AD$68),VLOOKUP($F70+AD$2,$A$6:$C$106,2,FALSE)*VLOOKUP(AD$1,'Attrition Modeling'!$L$15:$N$27,IF(AD$2+$F3&lt;=24,2,3),FALSE)),$C$3)*(1+Projection!AF$16)*(1+IF(AD135&gt;0,'Attrition Modeling'!$N$9,0)))</f>
        <v>0</v>
      </c>
      <c r="AE70" s="799">
        <f>AD70*(1-IFERROR(IF(AE$69+$F70&lt;=12,SUMIFS('Attrition Modeling'!$D:$D,'Attrition Modeling'!$C:$C,'IP Attrition'!$D70,'Attrition Modeling'!$B:$B,'IP Attrition'!AE$68),VLOOKUP($F70+AE$2,$A$6:$C$106,2,FALSE)*VLOOKUP(AE$1,'Attrition Modeling'!$L$15:$N$27,IF(AE$2+$F3&lt;=24,2,3),FALSE)),$C$3)*(1+Projection!AG$16)*(1+IF(AE135&gt;0,'Attrition Modeling'!$N$9,0)))</f>
        <v>0</v>
      </c>
      <c r="AF70" s="799">
        <f>AE70*(1-IFERROR(IF(AF$69+$F70&lt;=12,SUMIFS('Attrition Modeling'!$D:$D,'Attrition Modeling'!$C:$C,'IP Attrition'!$D70,'Attrition Modeling'!$B:$B,'IP Attrition'!AF$68),VLOOKUP($F70+AF$2,$A$6:$C$106,2,FALSE)*VLOOKUP(AF$1,'Attrition Modeling'!$L$15:$N$27,IF(AF$2+$F3&lt;=24,2,3),FALSE)),$C$3)*(1+Projection!AH$16)*(1+IF(AF135&gt;0,'Attrition Modeling'!$N$9,0)))</f>
        <v>0</v>
      </c>
      <c r="AG70" s="799">
        <f>AF70*(1-IFERROR(IF(AG$69+$F70&lt;=12,SUMIFS('Attrition Modeling'!$D:$D,'Attrition Modeling'!$C:$C,'IP Attrition'!$D70,'Attrition Modeling'!$B:$B,'IP Attrition'!AG$68),VLOOKUP($F70+AG$2,$A$6:$C$106,2,FALSE)*VLOOKUP(AG$1,'Attrition Modeling'!$L$15:$N$27,IF(AG$2+$F3&lt;=24,2,3),FALSE)),$C$3)*(1+Projection!AI$16)*(1+IF(AG135&gt;0,'Attrition Modeling'!$N$9,0)))</f>
        <v>0</v>
      </c>
      <c r="AH70" s="799">
        <f>AG70*(1-IFERROR(IF(AH$69+$F70&lt;=12,SUMIFS('Attrition Modeling'!$D:$D,'Attrition Modeling'!$C:$C,'IP Attrition'!$D70,'Attrition Modeling'!$B:$B,'IP Attrition'!AH$68),VLOOKUP($F70+AH$2,$A$6:$C$106,2,FALSE)*VLOOKUP(AH$1,'Attrition Modeling'!$L$15:$N$27,IF(AH$2+$F3&lt;=24,2,3),FALSE)),$C$3)*(1+Projection!AJ$16)*(1+IF(AH135&gt;0,'Attrition Modeling'!$N$9,0)))</f>
        <v>0</v>
      </c>
      <c r="AI70" s="799">
        <f>AH70*(1-IFERROR(IF(AI$69+$F70&lt;=12,SUMIFS('Attrition Modeling'!$D:$D,'Attrition Modeling'!$C:$C,'IP Attrition'!$D70,'Attrition Modeling'!$B:$B,'IP Attrition'!AI$68),VLOOKUP($F70+AI$2,$A$6:$C$106,2,FALSE)*VLOOKUP(AI$1,'Attrition Modeling'!$L$15:$N$27,IF(AI$2+$F3&lt;=24,2,3),FALSE)),$C$3)*(1+Projection!AK$16)*(1+IF(AI135&gt;0,'Attrition Modeling'!$N$9,0)))</f>
        <v>0</v>
      </c>
      <c r="AJ70" s="799">
        <f>AI70*(1-IFERROR(IF(AJ$69+$F70&lt;=12,SUMIFS('Attrition Modeling'!$D:$D,'Attrition Modeling'!$C:$C,'IP Attrition'!$D70,'Attrition Modeling'!$B:$B,'IP Attrition'!AJ$68),VLOOKUP($F70+AJ$2,$A$6:$C$106,2,FALSE)*VLOOKUP(AJ$1,'Attrition Modeling'!$L$15:$N$27,IF(AJ$2+$F3&lt;=24,2,3),FALSE)),$C$3)*(1+Projection!AL$16)*(1+IF(AJ135&gt;0,'Attrition Modeling'!$N$9,0)))</f>
        <v>0</v>
      </c>
      <c r="AK70" s="799">
        <f>AJ70*(1-IFERROR(IF(AK$69+$F70&lt;=12,SUMIFS('Attrition Modeling'!$D:$D,'Attrition Modeling'!$C:$C,'IP Attrition'!$D70,'Attrition Modeling'!$B:$B,'IP Attrition'!AK$68),VLOOKUP($F70+AK$2,$A$6:$C$106,2,FALSE)*VLOOKUP(AK$1,'Attrition Modeling'!$L$15:$N$27,IF(AK$2+$F3&lt;=24,2,3),FALSE)),$C$3)*(1+Projection!AM$16)*(1+IF(AK135&gt;0,'Attrition Modeling'!$N$9,0)))</f>
        <v>0</v>
      </c>
      <c r="AL70" s="799">
        <f>AK70*(1-IFERROR(IF(AL$69+$F70&lt;=12,SUMIFS('Attrition Modeling'!$D:$D,'Attrition Modeling'!$C:$C,'IP Attrition'!$D70,'Attrition Modeling'!$B:$B,'IP Attrition'!AL$68),VLOOKUP($F70+AL$2,$A$6:$C$106,2,FALSE)*VLOOKUP(AL$1,'Attrition Modeling'!$L$15:$N$27,IF(AL$2+$F3&lt;=24,2,3),FALSE)),$C$3)*(1+Projection!AN$16)*(1+IF(AL135&gt;0,'Attrition Modeling'!$N$9,0)))</f>
        <v>0</v>
      </c>
      <c r="AM70" s="799">
        <f>AL70*(1-IFERROR(IF(AM$69+$F70&lt;=12,SUMIFS('Attrition Modeling'!$D:$D,'Attrition Modeling'!$C:$C,'IP Attrition'!$D70,'Attrition Modeling'!$B:$B,'IP Attrition'!AM$68),VLOOKUP($F70+AM$2,$A$6:$C$106,2,FALSE)*VLOOKUP(AM$1,'Attrition Modeling'!$L$15:$N$27,IF(AM$2+$F3&lt;=24,2,3),FALSE)),$C$3)*(1+Projection!AO$16)*(1+IF(AM135&gt;0,'Attrition Modeling'!$N$9,0)))</f>
        <v>0</v>
      </c>
      <c r="AN70" s="799">
        <f>AM70*(1-IFERROR(IF(AN$69+$F70&lt;=12,SUMIFS('Attrition Modeling'!$D:$D,'Attrition Modeling'!$C:$C,'IP Attrition'!$D70,'Attrition Modeling'!$B:$B,'IP Attrition'!AN$68),VLOOKUP($F70+AN$2,$A$6:$C$106,2,FALSE)*VLOOKUP(AN$1,'Attrition Modeling'!$L$15:$N$27,IF(AN$2+$F3&lt;=24,2,3),FALSE)),$C$3)*(1+Projection!AP$16)*(1+IF(AN135&gt;0,'Attrition Modeling'!$N$9,0)))</f>
        <v>0</v>
      </c>
      <c r="AO70" s="799">
        <f>AN70*(1-IFERROR(IF(AO$69+$F70&lt;=12,SUMIFS('Attrition Modeling'!$D:$D,'Attrition Modeling'!$C:$C,'IP Attrition'!$D70,'Attrition Modeling'!$B:$B,'IP Attrition'!AO$68),VLOOKUP($F70+AO$2,$A$6:$C$106,2,FALSE)*VLOOKUP(AO$1,'Attrition Modeling'!$L$15:$N$27,IF(AO$2+$F3&lt;=24,2,3),FALSE)),$C$3)*(1+Projection!AQ$16)*(1+IF(AO135&gt;0,'Attrition Modeling'!$N$9,0)))</f>
        <v>0</v>
      </c>
      <c r="AP70" s="799">
        <f>AO70*(1-IFERROR(IF(AP$69+$F70&lt;=12,SUMIFS('Attrition Modeling'!$D:$D,'Attrition Modeling'!$C:$C,'IP Attrition'!$D70,'Attrition Modeling'!$B:$B,'IP Attrition'!AP$68),VLOOKUP($F70+AP$2,$A$6:$C$106,2,FALSE)*VLOOKUP(AP$1,'Attrition Modeling'!$L$15:$N$27,IF(AP$2+$F3&lt;=24,2,3),FALSE)),$C$3)*(1+Projection!AR$16)*(1+IF(AP135&gt;0,'Attrition Modeling'!$N$9,0)))</f>
        <v>0</v>
      </c>
      <c r="AQ70" s="799">
        <f>AP70*(1-IFERROR(IF(AQ$69+$F70&lt;=12,SUMIFS('Attrition Modeling'!$D:$D,'Attrition Modeling'!$C:$C,'IP Attrition'!$D70,'Attrition Modeling'!$B:$B,'IP Attrition'!AQ$68),VLOOKUP($F70+AQ$2,$A$6:$C$106,2,FALSE)*VLOOKUP(AQ$1,'Attrition Modeling'!$L$15:$N$27,IF(AQ$2+$F3&lt;=24,2,3),FALSE)),$C$3)*(1+Projection!AS$16)*(1+IF(AQ135&gt;0,'Attrition Modeling'!$N$9,0)))</f>
        <v>0</v>
      </c>
      <c r="AR70" s="799">
        <f>AQ70*(1-IFERROR(IF(AR$69+$F70&lt;=12,SUMIFS('Attrition Modeling'!$D:$D,'Attrition Modeling'!$C:$C,'IP Attrition'!$D70,'Attrition Modeling'!$B:$B,'IP Attrition'!AR$68),VLOOKUP($F70+AR$2,$A$6:$C$106,2,FALSE)*VLOOKUP(AR$1,'Attrition Modeling'!$L$15:$N$27,IF(AR$2+$F3&lt;=24,2,3),FALSE)),$C$3)*(1+Projection!AT$16)*(1+IF(AR135&gt;0,'Attrition Modeling'!$N$9,0)))</f>
        <v>0</v>
      </c>
      <c r="AS70" s="799">
        <f>AR70*(1-IFERROR(IF(AS$69+$F70&lt;=12,SUMIFS('Attrition Modeling'!$D:$D,'Attrition Modeling'!$C:$C,'IP Attrition'!$D70,'Attrition Modeling'!$B:$B,'IP Attrition'!AS$68),VLOOKUP($F70+AS$2,$A$6:$C$106,2,FALSE)*VLOOKUP(AS$1,'Attrition Modeling'!$L$15:$N$27,IF(AS$2+$F3&lt;=24,2,3),FALSE)),$C$3)*(1+Projection!AU$16)*(1+IF(AS135&gt;0,'Attrition Modeling'!$N$9,0)))</f>
        <v>0</v>
      </c>
      <c r="AT70" s="799">
        <f>AS70*(1-IFERROR(IF(AT$69+$F70&lt;=12,SUMIFS('Attrition Modeling'!$D:$D,'Attrition Modeling'!$C:$C,'IP Attrition'!$D70,'Attrition Modeling'!$B:$B,'IP Attrition'!AT$68),VLOOKUP($F70+AT$2,$A$6:$C$106,2,FALSE)*VLOOKUP(AT$1,'Attrition Modeling'!$L$15:$N$27,IF(AT$2+$F3&lt;=24,2,3),FALSE)),$C$3)*(1+Projection!AV$16)*(1+IF(AT135&gt;0,'Attrition Modeling'!$N$9,0)))</f>
        <v>0</v>
      </c>
      <c r="AU70" s="799">
        <f>AT70*(1-IFERROR(IF(AU$69+$F70&lt;=12,SUMIFS('Attrition Modeling'!$D:$D,'Attrition Modeling'!$C:$C,'IP Attrition'!$D70,'Attrition Modeling'!$B:$B,'IP Attrition'!AU$68),VLOOKUP($F70+AU$2,$A$6:$C$106,2,FALSE)*VLOOKUP(AU$1,'Attrition Modeling'!$L$15:$N$27,IF(AU$2+$F3&lt;=24,2,3),FALSE)),$C$3)*(1+Projection!AW$16)*(1+IF(AU135&gt;0,'Attrition Modeling'!$N$9,0)))</f>
        <v>0</v>
      </c>
      <c r="AV70" s="799">
        <f>AU70*(1-IFERROR(IF(AV$69+$F70&lt;=12,SUMIFS('Attrition Modeling'!$D:$D,'Attrition Modeling'!$C:$C,'IP Attrition'!$D70,'Attrition Modeling'!$B:$B,'IP Attrition'!AV$68),VLOOKUP($F70+AV$2,$A$6:$C$106,2,FALSE)*VLOOKUP(AV$1,'Attrition Modeling'!$L$15:$N$27,IF(AV$2+$F3&lt;=24,2,3),FALSE)),$C$3)*(1+Projection!AX$16)*(1+IF(AV135&gt;0,'Attrition Modeling'!$N$9,0)))</f>
        <v>0</v>
      </c>
      <c r="AW70" s="799">
        <f>AV70*(1-IFERROR(IF(AW$69+$F70&lt;=12,SUMIFS('Attrition Modeling'!$D:$D,'Attrition Modeling'!$C:$C,'IP Attrition'!$D70,'Attrition Modeling'!$B:$B,'IP Attrition'!AW$68),VLOOKUP($F70+AW$2,$A$6:$C$106,2,FALSE)*VLOOKUP(AW$1,'Attrition Modeling'!$L$15:$N$27,IF(AW$2+$F3&lt;=24,2,3),FALSE)),$C$3)*(1+Projection!AY$16)*(1+IF(AW135&gt;0,'Attrition Modeling'!$N$9,0)))</f>
        <v>0</v>
      </c>
      <c r="AX70" s="799">
        <f>AW70*(1-IFERROR(IF(AX$69+$F70&lt;=12,SUMIFS('Attrition Modeling'!$D:$D,'Attrition Modeling'!$C:$C,'IP Attrition'!$D70,'Attrition Modeling'!$B:$B,'IP Attrition'!AX$68),VLOOKUP($F70+AX$2,$A$6:$C$106,2,FALSE)*VLOOKUP(AX$1,'Attrition Modeling'!$L$15:$N$27,IF(AX$2+$F3&lt;=24,2,3),FALSE)),$C$3)*(1+Projection!AZ$16)*(1+IF(AX135&gt;0,'Attrition Modeling'!$N$9,0)))</f>
        <v>0</v>
      </c>
      <c r="AY70" s="799">
        <f>AX70*(1-IFERROR(IF(AY$69+$F70&lt;=12,SUMIFS('Attrition Modeling'!$D:$D,'Attrition Modeling'!$C:$C,'IP Attrition'!$D70,'Attrition Modeling'!$B:$B,'IP Attrition'!AY$68),VLOOKUP($F70+AY$2,$A$6:$C$106,2,FALSE)*VLOOKUP(AY$1,'Attrition Modeling'!$L$15:$N$27,IF(AY$2+$F3&lt;=24,2,3),FALSE)),$C$3)*(1+Projection!BA$16)*(1+IF(AY135&gt;0,'Attrition Modeling'!$N$9,0)))</f>
        <v>0</v>
      </c>
      <c r="AZ70" s="799">
        <f>AY70*(1-IFERROR(IF(AZ$69+$F70&lt;=12,SUMIFS('Attrition Modeling'!$D:$D,'Attrition Modeling'!$C:$C,'IP Attrition'!$D70,'Attrition Modeling'!$B:$B,'IP Attrition'!AZ$68),VLOOKUP($F70+AZ$2,$A$6:$C$106,2,FALSE)*VLOOKUP(AZ$1,'Attrition Modeling'!$L$15:$N$27,IF(AZ$2+$F3&lt;=24,2,3),FALSE)),$C$3)*(1+Projection!BB$16)*(1+IF(AZ135&gt;0,'Attrition Modeling'!$N$9,0)))</f>
        <v>0</v>
      </c>
      <c r="BA70" s="799">
        <f>AZ70*(1-IFERROR(IF(BA$69+$F70&lt;=12,SUMIFS('Attrition Modeling'!$D:$D,'Attrition Modeling'!$C:$C,'IP Attrition'!$D70,'Attrition Modeling'!$B:$B,'IP Attrition'!BA$68),VLOOKUP($F70+BA$2,$A$6:$C$106,2,FALSE)*VLOOKUP(BA$1,'Attrition Modeling'!$L$15:$N$27,IF(BA$2+$F3&lt;=24,2,3),FALSE)),$C$3)*(1+Projection!BC$16)*(1+IF(BA135&gt;0,'Attrition Modeling'!$N$9,0)))</f>
        <v>0</v>
      </c>
      <c r="BB70" s="799">
        <f>BA70*(1-IFERROR(IF(BB$69+$F70&lt;=12,SUMIFS('Attrition Modeling'!$D:$D,'Attrition Modeling'!$C:$C,'IP Attrition'!$D70,'Attrition Modeling'!$B:$B,'IP Attrition'!BB$68),VLOOKUP($F70+BB$2,$A$6:$C$106,2,FALSE)*VLOOKUP(BB$1,'Attrition Modeling'!$L$15:$N$27,IF(BB$2+$F3&lt;=24,2,3),FALSE)),$C$3)*(1+Projection!BD$16)*(1+IF(BB135&gt;0,'Attrition Modeling'!$N$9,0)))</f>
        <v>0</v>
      </c>
      <c r="BC70" s="799">
        <f>BB70*(1-IFERROR(IF(BC$69+$F70&lt;=12,SUMIFS('Attrition Modeling'!$D:$D,'Attrition Modeling'!$C:$C,'IP Attrition'!$D70,'Attrition Modeling'!$B:$B,'IP Attrition'!BC$68),VLOOKUP($F70+BC$2,$A$6:$C$106,2,FALSE)*VLOOKUP(BC$1,'Attrition Modeling'!$L$15:$N$27,IF(BC$2+$F3&lt;=24,2,3),FALSE)),$C$3)*(1+Projection!BE$16)*(1+IF(BC135&gt;0,'Attrition Modeling'!$N$9,0)))</f>
        <v>0</v>
      </c>
      <c r="BD70" s="799">
        <f>BC70*(1-IFERROR(IF(BD$69+$F70&lt;=12,SUMIFS('Attrition Modeling'!$D:$D,'Attrition Modeling'!$C:$C,'IP Attrition'!$D70,'Attrition Modeling'!$B:$B,'IP Attrition'!BD$68),VLOOKUP($F70+BD$2,$A$6:$C$106,2,FALSE)*VLOOKUP(BD$1,'Attrition Modeling'!$L$15:$N$27,IF(BD$2+$F3&lt;=24,2,3),FALSE)),$C$3)*(1+Projection!BF$16)*(1+IF(BD135&gt;0,'Attrition Modeling'!$N$9,0)))</f>
        <v>0</v>
      </c>
      <c r="BE70" s="799">
        <f>BD70*(1-IFERROR(IF(BE$69+$F70&lt;=12,SUMIFS('Attrition Modeling'!$D:$D,'Attrition Modeling'!$C:$C,'IP Attrition'!$D70,'Attrition Modeling'!$B:$B,'IP Attrition'!BE$68),VLOOKUP($F70+BE$2,$A$6:$C$106,2,FALSE)*VLOOKUP(BE$1,'Attrition Modeling'!$L$15:$N$27,IF(BE$2+$F3&lt;=24,2,3),FALSE)),$C$3)*(1+Projection!BG$16)*(1+IF(BE135&gt;0,'Attrition Modeling'!$N$9,0)))</f>
        <v>0</v>
      </c>
      <c r="BF70" s="799">
        <f>BE70*(1-IFERROR(IF(BF$69+$F70&lt;=12,SUMIFS('Attrition Modeling'!$D:$D,'Attrition Modeling'!$C:$C,'IP Attrition'!$D70,'Attrition Modeling'!$B:$B,'IP Attrition'!BF$68),VLOOKUP($F70+BF$2,$A$6:$C$106,2,FALSE)*VLOOKUP(BF$1,'Attrition Modeling'!$L$15:$N$27,IF(BF$2+$F3&lt;=24,2,3),FALSE)),$C$3)*(1+Projection!BH$16)*(1+IF(BF135&gt;0,'Attrition Modeling'!$N$9,0)))</f>
        <v>0</v>
      </c>
      <c r="BG70" s="799">
        <f>BF70*(1-IFERROR(IF(BG$69+$F70&lt;=12,SUMIFS('Attrition Modeling'!$D:$D,'Attrition Modeling'!$C:$C,'IP Attrition'!$D70,'Attrition Modeling'!$B:$B,'IP Attrition'!BG$68),VLOOKUP($F70+BG$2,$A$6:$C$106,2,FALSE)*VLOOKUP(BG$1,'Attrition Modeling'!$L$15:$N$27,IF(BG$2+$F3&lt;=24,2,3),FALSE)),$C$3)*(1+Projection!BI$16)*(1+IF(BG135&gt;0,'Attrition Modeling'!$N$9,0)))</f>
        <v>0</v>
      </c>
      <c r="BH70" s="799">
        <f>BG70*(1-IFERROR(IF(BH$69+$F70&lt;=12,SUMIFS('Attrition Modeling'!$D:$D,'Attrition Modeling'!$C:$C,'IP Attrition'!$D70,'Attrition Modeling'!$B:$B,'IP Attrition'!BH$68),VLOOKUP($F70+BH$2,$A$6:$C$106,2,FALSE)*VLOOKUP(BH$1,'Attrition Modeling'!$L$15:$N$27,IF(BH$2+$F3&lt;=24,2,3),FALSE)),$C$3)*(1+Projection!BJ$16)*(1+IF(BH135&gt;0,'Attrition Modeling'!$N$9,0)))</f>
        <v>0</v>
      </c>
      <c r="BI70" s="799">
        <f>BH70*(1-IFERROR(IF(BI$69+$F70&lt;=12,SUMIFS('Attrition Modeling'!$D:$D,'Attrition Modeling'!$C:$C,'IP Attrition'!$D70,'Attrition Modeling'!$B:$B,'IP Attrition'!BI$68),VLOOKUP($F70+BI$2,$A$6:$C$106,2,FALSE)*VLOOKUP(BI$1,'Attrition Modeling'!$L$15:$N$27,IF(BI$2+$F3&lt;=24,2,3),FALSE)),$C$3)*(1+Projection!BK$16)*(1+IF(BI135&gt;0,'Attrition Modeling'!$N$9,0)))</f>
        <v>0</v>
      </c>
      <c r="BJ70" s="799">
        <f>BI70*(1-IFERROR(IF(BJ$69+$F70&lt;=12,SUMIFS('Attrition Modeling'!$D:$D,'Attrition Modeling'!$C:$C,'IP Attrition'!$D70,'Attrition Modeling'!$B:$B,'IP Attrition'!BJ$68),VLOOKUP($F70+BJ$2,$A$6:$C$106,2,FALSE)*VLOOKUP(BJ$1,'Attrition Modeling'!$L$15:$N$27,IF(BJ$2+$F3&lt;=24,2,3),FALSE)),$C$3)*(1+Projection!BL$16)*(1+IF(BJ135&gt;0,'Attrition Modeling'!$N$9,0)))</f>
        <v>0</v>
      </c>
      <c r="BK70" s="799">
        <f>BJ70*(1-IFERROR(IF(BK$69+$F70&lt;=12,SUMIFS('Attrition Modeling'!$D:$D,'Attrition Modeling'!$C:$C,'IP Attrition'!$D70,'Attrition Modeling'!$B:$B,'IP Attrition'!BK$68),VLOOKUP($F70+BK$2,$A$6:$C$106,2,FALSE)*VLOOKUP(BK$1,'Attrition Modeling'!$L$15:$N$27,IF(BK$2+$F3&lt;=24,2,3),FALSE)),$C$3)*(1+Projection!BM$16)*(1+IF(BK135&gt;0,'Attrition Modeling'!$N$9,0)))</f>
        <v>0</v>
      </c>
      <c r="BL70" s="799">
        <f>BK70*(1-IFERROR(IF(BL$69+$F70&lt;=12,SUMIFS('Attrition Modeling'!$D:$D,'Attrition Modeling'!$C:$C,'IP Attrition'!$D70,'Attrition Modeling'!$B:$B,'IP Attrition'!BL$68),VLOOKUP($F70+BL$2,$A$6:$C$106,2,FALSE)*VLOOKUP(BL$1,'Attrition Modeling'!$L$15:$N$27,IF(BL$2+$F3&lt;=24,2,3),FALSE)),$C$3)*(1+Projection!BN$16)*(1+IF(BL135&gt;0,'Attrition Modeling'!$N$9,0)))</f>
        <v>0</v>
      </c>
      <c r="BM70" s="799">
        <f>BL70*(1-IFERROR(IF(BM$69+$F70&lt;=12,SUMIFS('Attrition Modeling'!$D:$D,'Attrition Modeling'!$C:$C,'IP Attrition'!$D70,'Attrition Modeling'!$B:$B,'IP Attrition'!BM$68),VLOOKUP($F70+BM$2,$A$6:$C$106,2,FALSE)*VLOOKUP(BM$1,'Attrition Modeling'!$L$15:$N$27,IF(BM$2+$F3&lt;=24,2,3),FALSE)),$C$3)*(1+Projection!BO$16)*(1+IF(BM135&gt;0,'Attrition Modeling'!$N$9,0)))</f>
        <v>0</v>
      </c>
      <c r="BN70" s="799">
        <f>BM70*(1-IFERROR(IF(BN$69+$F70&lt;=12,SUMIFS('Attrition Modeling'!$D:$D,'Attrition Modeling'!$C:$C,'IP Attrition'!$D70,'Attrition Modeling'!$B:$B,'IP Attrition'!BN$68),VLOOKUP($F70+BN$2,$A$6:$C$106,2,FALSE)*VLOOKUP(BN$1,'Attrition Modeling'!$L$15:$N$27,IF(BN$2+$F3&lt;=24,2,3),FALSE)),$C$3)*(1+Projection!BP$16)*(1+IF(BN135&gt;0,'Attrition Modeling'!$N$9,0)))</f>
        <v>0</v>
      </c>
      <c r="BO70" s="799">
        <f>BN70*(1-IFERROR(IF(BO$69+$F70&lt;=12,SUMIFS('Attrition Modeling'!$D:$D,'Attrition Modeling'!$C:$C,'IP Attrition'!$D70,'Attrition Modeling'!$B:$B,'IP Attrition'!BO$68),VLOOKUP($F70+BO$2,$A$6:$C$106,2,FALSE)*VLOOKUP(BO$1,'Attrition Modeling'!$L$15:$N$27,IF(BO$2+$F3&lt;=24,2,3),FALSE)),$C$3)*(1+Projection!BV$16)*(1+IF(BO135&gt;0,'Attrition Modeling'!$N$9,0)))</f>
        <v>0</v>
      </c>
      <c r="BP70" s="799">
        <f>BO70*(1-IFERROR(IF(BP$69+$F70&lt;=12,SUMIFS('Attrition Modeling'!$D:$D,'Attrition Modeling'!$C:$C,'IP Attrition'!$D70,'Attrition Modeling'!$B:$B,'IP Attrition'!BP$68),VLOOKUP($F70+BP$2,$A$6:$C$106,2,FALSE)*VLOOKUP(BP$1,'Attrition Modeling'!$L$15:$N$27,IF(BP$2+$F3&lt;=24,2,3),FALSE)),$C$3)*(1+Projection!BW$16)*(1+IF(BP135&gt;0,'Attrition Modeling'!$N$9,0)))</f>
        <v>0</v>
      </c>
      <c r="BQ70" s="799">
        <f>BP70*(1-IFERROR(IF(BQ$69+$F70&lt;=12,SUMIFS('Attrition Modeling'!$D:$D,'Attrition Modeling'!$C:$C,'IP Attrition'!$D70,'Attrition Modeling'!$B:$B,'IP Attrition'!BQ$68),VLOOKUP($F70+BQ$2,$A$6:$C$106,2,FALSE)*VLOOKUP(BQ$1,'Attrition Modeling'!$L$15:$N$27,IF(BQ$2+$F3&lt;=24,2,3),FALSE)),$C$3)*(1+Projection!BX$16)*(1+IF(BQ135&gt;0,'Attrition Modeling'!$N$9,0)))</f>
        <v>0</v>
      </c>
      <c r="BR70" s="799">
        <f>BQ70*(1-IFERROR(IF(BR$69+$F70&lt;=12,SUMIFS('Attrition Modeling'!$D:$D,'Attrition Modeling'!$C:$C,'IP Attrition'!$D70,'Attrition Modeling'!$B:$B,'IP Attrition'!BR$68),VLOOKUP($F70+BR$2,$A$6:$C$106,2,FALSE)*VLOOKUP(BR$1,'Attrition Modeling'!$L$15:$N$27,IF(BR$2+$F3&lt;=24,2,3),FALSE)),$C$3)*(1+Projection!BY$16)*(1+IF(BR135&gt;0,'Attrition Modeling'!$N$9,0)))</f>
        <v>0</v>
      </c>
      <c r="BS70" s="799">
        <f>BR70*(1-IFERROR(IF(BS$69+$F70&lt;=12,SUMIFS('Attrition Modeling'!$D:$D,'Attrition Modeling'!$C:$C,'IP Attrition'!$D70,'Attrition Modeling'!$B:$B,'IP Attrition'!BS$68),VLOOKUP($F70+BS$2,$A$6:$C$106,2,FALSE)*VLOOKUP(BS$1,'Attrition Modeling'!$L$15:$N$27,IF(BS$2+$F3&lt;=24,2,3),FALSE)),$C$3)*(1+Projection!BZ$16)*(1+IF(BS135&gt;0,'Attrition Modeling'!$N$9,0)))</f>
        <v>0</v>
      </c>
      <c r="BT70" s="799" t="e">
        <f>BS70*(1-IFERROR(IF(BT$69+$F70&lt;=12,SUMIFS('Attrition Modeling'!$D:$D,'Attrition Modeling'!$C:$C,'IP Attrition'!$D70,'Attrition Modeling'!$B:$B,'IP Attrition'!BT$68),VLOOKUP($F70+BT$2,$A$6:$C$106,2,FALSE)*VLOOKUP(BT$1,'Attrition Modeling'!$L$15:$N$27,IF(BT$2+$F3&lt;=24,2,3),FALSE)),$C$3)*(1+Projection!CA$16)*(1+IF(BT135&gt;0,'Attrition Modeling'!$N$9,0)))</f>
        <v>#REF!</v>
      </c>
      <c r="BU70" s="799" t="e">
        <f>BT70*(1-IFERROR(IF(BU$69+$F70&lt;=12,SUMIFS('Attrition Modeling'!$D:$D,'Attrition Modeling'!$C:$C,'IP Attrition'!$D70,'Attrition Modeling'!$B:$B,'IP Attrition'!BU$68),VLOOKUP($F70+BU$2,$A$6:$C$106,2,FALSE)*VLOOKUP(BU$1,'Attrition Modeling'!$L$15:$N$27,IF(BU$2+$F3&lt;=24,2,3),FALSE)),$C$3)*(1+Projection!CB$16)*(1+IF(BU135&gt;0,'Attrition Modeling'!$N$9,0)))</f>
        <v>#REF!</v>
      </c>
    </row>
    <row r="71" spans="1:73" ht="14.25" customHeight="1" x14ac:dyDescent="0.2">
      <c r="A71" s="9">
        <v>64</v>
      </c>
      <c r="B71" s="25">
        <f>MAX('Attrition Modeling'!H68,$C$3)*(1-Summary!$C$20)</f>
        <v>2.1206060607729324E-2</v>
      </c>
      <c r="C71" s="24" t="e">
        <f t="shared" si="3"/>
        <v>#DIV/0!</v>
      </c>
      <c r="D71" s="11">
        <f t="shared" ref="D71:E71" si="8">D4</f>
        <v>-1</v>
      </c>
      <c r="E71" s="25">
        <f t="shared" si="8"/>
        <v>0.15998048074127216</v>
      </c>
      <c r="F71" s="11">
        <f t="shared" ref="F71:F130" si="9">F70+1</f>
        <v>1</v>
      </c>
      <c r="G71" s="799">
        <f>Summary!$C$24*$E71</f>
        <v>0</v>
      </c>
      <c r="H71" s="799">
        <f>G71*(1-IFERROR(IF(H$69+$F71&lt;=12,SUMIFS('Attrition Modeling'!$D:$D,'Attrition Modeling'!$C:$C,'IP Attrition'!$D71,'Attrition Modeling'!$B:$B,'IP Attrition'!H$68),VLOOKUP($F71+H$2,$A$6:$C$106,2,FALSE)*VLOOKUP(H$1,'Attrition Modeling'!$L$15:$N$27,IF(H$2+$F4&lt;=24,2,3),FALSE)),$C$3)*(1+Projection!J$16)*(1+IF(H136&gt;0,'Attrition Modeling'!$N$9,0)))</f>
        <v>0</v>
      </c>
      <c r="I71" s="799">
        <f>H71*(1-IFERROR(IF(I$69+$F71&lt;=12,SUMIFS('Attrition Modeling'!$D:$D,'Attrition Modeling'!$C:$C,'IP Attrition'!$D71,'Attrition Modeling'!$B:$B,'IP Attrition'!I$68),VLOOKUP($F71+I$2,$A$6:$C$106,2,FALSE)*VLOOKUP(I$1,'Attrition Modeling'!$L$15:$N$27,IF(I$2+$F4&lt;=24,2,3),FALSE)),$C$3)*(1+Projection!K$16)*(1+IF(I136&gt;0,'Attrition Modeling'!$N$9,0)))</f>
        <v>0</v>
      </c>
      <c r="J71" s="799">
        <f>I71*(1-IFERROR(IF(J$69+$F71&lt;=12,SUMIFS('Attrition Modeling'!$D:$D,'Attrition Modeling'!$C:$C,'IP Attrition'!$D71,'Attrition Modeling'!$B:$B,'IP Attrition'!J$68),VLOOKUP($F71+J$2,$A$6:$C$106,2,FALSE)*VLOOKUP(J$1,'Attrition Modeling'!$L$15:$N$27,IF(J$2+$F4&lt;=24,2,3),FALSE)),$C$3)*(1+Projection!L$16)*(1+IF(J136&gt;0,'Attrition Modeling'!$N$9,0)))</f>
        <v>0</v>
      </c>
      <c r="K71" s="799">
        <f>J71*(1-IFERROR(IF(K$69+$F71&lt;=12,SUMIFS('Attrition Modeling'!$D:$D,'Attrition Modeling'!$C:$C,'IP Attrition'!$D71,'Attrition Modeling'!$B:$B,'IP Attrition'!K$68),VLOOKUP($F71+K$2,$A$6:$C$106,2,FALSE)*VLOOKUP(K$1,'Attrition Modeling'!$L$15:$N$27,IF(K$2+$F4&lt;=24,2,3),FALSE)),$C$3)*(1+Projection!M$16)*(1+IF(K136&gt;0,'Attrition Modeling'!$N$9,0)))</f>
        <v>0</v>
      </c>
      <c r="L71" s="799">
        <f>K71*(1-IFERROR(IF(L$69+$F71&lt;=12,SUMIFS('Attrition Modeling'!$D:$D,'Attrition Modeling'!$C:$C,'IP Attrition'!$D71,'Attrition Modeling'!$B:$B,'IP Attrition'!L$68),VLOOKUP($F71+L$2,$A$6:$C$106,2,FALSE)*VLOOKUP(L$1,'Attrition Modeling'!$L$15:$N$27,IF(L$2+$F4&lt;=24,2,3),FALSE)),$C$3)*(1+Projection!N$16)*(1+IF(L136&gt;0,'Attrition Modeling'!$N$9,0)))</f>
        <v>0</v>
      </c>
      <c r="M71" s="799">
        <f>L71*(1-IFERROR(IF(M$69+$F71&lt;=12,SUMIFS('Attrition Modeling'!$D:$D,'Attrition Modeling'!$C:$C,'IP Attrition'!$D71,'Attrition Modeling'!$B:$B,'IP Attrition'!M$68),VLOOKUP($F71+M$2,$A$6:$C$106,2,FALSE)*VLOOKUP(M$1,'Attrition Modeling'!$L$15:$N$27,IF(M$2+$F4&lt;=24,2,3),FALSE)),$C$3)*(1+Projection!O$16)*(1+IF(M136&gt;0,'Attrition Modeling'!$N$9,0)))</f>
        <v>0</v>
      </c>
      <c r="N71" s="799">
        <f>M71*(1-IFERROR(IF(N$69+$F71&lt;=12,SUMIFS('Attrition Modeling'!$D:$D,'Attrition Modeling'!$C:$C,'IP Attrition'!$D71,'Attrition Modeling'!$B:$B,'IP Attrition'!N$68),VLOOKUP($F71+N$2,$A$6:$C$106,2,FALSE)*VLOOKUP(N$1,'Attrition Modeling'!$L$15:$N$27,IF(N$2+$F4&lt;=24,2,3),FALSE)),$C$3)*(1+Projection!P$16)*(1+IF(N136&gt;0,'Attrition Modeling'!$N$9,0)))</f>
        <v>0</v>
      </c>
      <c r="O71" s="799">
        <f>N71*(1-IFERROR(IF(O$69+$F71&lt;=12,SUMIFS('Attrition Modeling'!$D:$D,'Attrition Modeling'!$C:$C,'IP Attrition'!$D71,'Attrition Modeling'!$B:$B,'IP Attrition'!O$68),VLOOKUP($F71+O$2,$A$6:$C$106,2,FALSE)*VLOOKUP(O$1,'Attrition Modeling'!$L$15:$N$27,IF(O$2+$F4&lt;=24,2,3),FALSE)),$C$3)*(1+Projection!Q$16)*(1+IF(O136&gt;0,'Attrition Modeling'!$N$9,0)))</f>
        <v>0</v>
      </c>
      <c r="P71" s="799">
        <f>O71*(1-IFERROR(IF(P$69+$F71&lt;=12,SUMIFS('Attrition Modeling'!$D:$D,'Attrition Modeling'!$C:$C,'IP Attrition'!$D71,'Attrition Modeling'!$B:$B,'IP Attrition'!P$68),VLOOKUP($F71+P$2,$A$6:$C$106,2,FALSE)*VLOOKUP(P$1,'Attrition Modeling'!$L$15:$N$27,IF(P$2+$F4&lt;=24,2,3),FALSE)),$C$3)*(1+Projection!R$16)*(1+IF(P136&gt;0,'Attrition Modeling'!$N$9,0)))</f>
        <v>0</v>
      </c>
      <c r="Q71" s="799">
        <f>P71*(1-IFERROR(IF(Q$69+$F71&lt;=12,SUMIFS('Attrition Modeling'!$D:$D,'Attrition Modeling'!$C:$C,'IP Attrition'!$D71,'Attrition Modeling'!$B:$B,'IP Attrition'!Q$68),VLOOKUP($F71+Q$2,$A$6:$C$106,2,FALSE)*VLOOKUP(Q$1,'Attrition Modeling'!$L$15:$N$27,IF(Q$2+$F4&lt;=24,2,3),FALSE)),$C$3)*(1+Projection!S$16)*(1+IF(Q136&gt;0,'Attrition Modeling'!$N$9,0)))</f>
        <v>0</v>
      </c>
      <c r="R71" s="799">
        <f>Q71*(1-IFERROR(IF(R$69+$F71&lt;=12,SUMIFS('Attrition Modeling'!$D:$D,'Attrition Modeling'!$C:$C,'IP Attrition'!$D71,'Attrition Modeling'!$B:$B,'IP Attrition'!R$68),VLOOKUP($F71+R$2,$A$6:$C$106,2,FALSE)*VLOOKUP(R$1,'Attrition Modeling'!$L$15:$N$27,IF(R$2+$F4&lt;=24,2,3),FALSE)),$C$3)*(1+Projection!T$16)*(1+IF(R136&gt;0,'Attrition Modeling'!$N$9,0)))</f>
        <v>0</v>
      </c>
      <c r="S71" s="799">
        <f>R71*(1-IFERROR(IF(S$69+$F71&lt;=12,SUMIFS('Attrition Modeling'!$D:$D,'Attrition Modeling'!$C:$C,'IP Attrition'!$D71,'Attrition Modeling'!$B:$B,'IP Attrition'!S$68),VLOOKUP($F71+S$2,$A$6:$C$106,2,FALSE)*VLOOKUP(S$1,'Attrition Modeling'!$L$15:$N$27,IF(S$2+$F4&lt;=24,2,3),FALSE)),$C$3)*(1+Projection!U$16)*(1+IF(S136&gt;0,'Attrition Modeling'!$N$9,0)))</f>
        <v>0</v>
      </c>
      <c r="T71" s="799">
        <f>S71*(1-IFERROR(IF(T$69+$F71&lt;=12,SUMIFS('Attrition Modeling'!$D:$D,'Attrition Modeling'!$C:$C,'IP Attrition'!$D71,'Attrition Modeling'!$B:$B,'IP Attrition'!T$68),VLOOKUP($F71+T$2,$A$6:$C$106,2,FALSE)*VLOOKUP(T$1,'Attrition Modeling'!$L$15:$N$27,IF(T$2+$F4&lt;=24,2,3),FALSE)),$C$3)*(1+Projection!V$16)*(1+IF(T136&gt;0,'Attrition Modeling'!$N$9,0)))</f>
        <v>0</v>
      </c>
      <c r="U71" s="799">
        <f>T71*(1-IFERROR(IF(U$69+$F71&lt;=12,SUMIFS('Attrition Modeling'!$D:$D,'Attrition Modeling'!$C:$C,'IP Attrition'!$D71,'Attrition Modeling'!$B:$B,'IP Attrition'!U$68),VLOOKUP($F71+U$2,$A$6:$C$106,2,FALSE)*VLOOKUP(U$1,'Attrition Modeling'!$L$15:$N$27,IF(U$2+$F4&lt;=24,2,3),FALSE)),$C$3)*(1+Projection!W$16)*(1+IF(U136&gt;0,'Attrition Modeling'!$N$9,0)))</f>
        <v>0</v>
      </c>
      <c r="V71" s="799">
        <f>U71*(1-IFERROR(IF(V$69+$F71&lt;=12,SUMIFS('Attrition Modeling'!$D:$D,'Attrition Modeling'!$C:$C,'IP Attrition'!$D71,'Attrition Modeling'!$B:$B,'IP Attrition'!V$68),VLOOKUP($F71+V$2,$A$6:$C$106,2,FALSE)*VLOOKUP(V$1,'Attrition Modeling'!$L$15:$N$27,IF(V$2+$F4&lt;=24,2,3),FALSE)),$C$3)*(1+Projection!X$16)*(1+IF(V136&gt;0,'Attrition Modeling'!$N$9,0)))</f>
        <v>0</v>
      </c>
      <c r="W71" s="799">
        <f>V71*(1-IFERROR(IF(W$69+$F71&lt;=12,SUMIFS('Attrition Modeling'!$D:$D,'Attrition Modeling'!$C:$C,'IP Attrition'!$D71,'Attrition Modeling'!$B:$B,'IP Attrition'!W$68),VLOOKUP($F71+W$2,$A$6:$C$106,2,FALSE)*VLOOKUP(W$1,'Attrition Modeling'!$L$15:$N$27,IF(W$2+$F4&lt;=24,2,3),FALSE)),$C$3)*(1+Projection!Y$16)*(1+IF(W136&gt;0,'Attrition Modeling'!$N$9,0)))</f>
        <v>0</v>
      </c>
      <c r="X71" s="799">
        <f>W71*(1-IFERROR(IF(X$69+$F71&lt;=12,SUMIFS('Attrition Modeling'!$D:$D,'Attrition Modeling'!$C:$C,'IP Attrition'!$D71,'Attrition Modeling'!$B:$B,'IP Attrition'!X$68),VLOOKUP($F71+X$2,$A$6:$C$106,2,FALSE)*VLOOKUP(X$1,'Attrition Modeling'!$L$15:$N$27,IF(X$2+$F4&lt;=24,2,3),FALSE)),$C$3)*(1+Projection!Z$16)*(1+IF(X136&gt;0,'Attrition Modeling'!$N$9,0)))</f>
        <v>0</v>
      </c>
      <c r="Y71" s="799">
        <f>X71*(1-IFERROR(IF(Y$69+$F71&lt;=12,SUMIFS('Attrition Modeling'!$D:$D,'Attrition Modeling'!$C:$C,'IP Attrition'!$D71,'Attrition Modeling'!$B:$B,'IP Attrition'!Y$68),VLOOKUP($F71+Y$2,$A$6:$C$106,2,FALSE)*VLOOKUP(Y$1,'Attrition Modeling'!$L$15:$N$27,IF(Y$2+$F4&lt;=24,2,3),FALSE)),$C$3)*(1+Projection!AA$16)*(1+IF(Y136&gt;0,'Attrition Modeling'!$N$9,0)))</f>
        <v>0</v>
      </c>
      <c r="Z71" s="799">
        <f>Y71*(1-IFERROR(IF(Z$69+$F71&lt;=12,SUMIFS('Attrition Modeling'!$D:$D,'Attrition Modeling'!$C:$C,'IP Attrition'!$D71,'Attrition Modeling'!$B:$B,'IP Attrition'!Z$68),VLOOKUP($F71+Z$2,$A$6:$C$106,2,FALSE)*VLOOKUP(Z$1,'Attrition Modeling'!$L$15:$N$27,IF(Z$2+$F4&lt;=24,2,3),FALSE)),$C$3)*(1+Projection!AB$16)*(1+IF(Z136&gt;0,'Attrition Modeling'!$N$9,0)))</f>
        <v>0</v>
      </c>
      <c r="AA71" s="799">
        <f>Z71*(1-IFERROR(IF(AA$69+$F71&lt;=12,SUMIFS('Attrition Modeling'!$D:$D,'Attrition Modeling'!$C:$C,'IP Attrition'!$D71,'Attrition Modeling'!$B:$B,'IP Attrition'!AA$68),VLOOKUP($F71+AA$2,$A$6:$C$106,2,FALSE)*VLOOKUP(AA$1,'Attrition Modeling'!$L$15:$N$27,IF(AA$2+$F4&lt;=24,2,3),FALSE)),$C$3)*(1+Projection!AC$16)*(1+IF(AA136&gt;0,'Attrition Modeling'!$N$9,0)))</f>
        <v>0</v>
      </c>
      <c r="AB71" s="799">
        <f>AA71*(1-IFERROR(IF(AB$69+$F71&lt;=12,SUMIFS('Attrition Modeling'!$D:$D,'Attrition Modeling'!$C:$C,'IP Attrition'!$D71,'Attrition Modeling'!$B:$B,'IP Attrition'!AB$68),VLOOKUP($F71+AB$2,$A$6:$C$106,2,FALSE)*VLOOKUP(AB$1,'Attrition Modeling'!$L$15:$N$27,IF(AB$2+$F4&lt;=24,2,3),FALSE)),$C$3)*(1+Projection!AD$16)*(1+IF(AB136&gt;0,'Attrition Modeling'!$N$9,0)))</f>
        <v>0</v>
      </c>
      <c r="AC71" s="799">
        <f>AB71*(1-IFERROR(IF(AC$69+$F71&lt;=12,SUMIFS('Attrition Modeling'!$D:$D,'Attrition Modeling'!$C:$C,'IP Attrition'!$D71,'Attrition Modeling'!$B:$B,'IP Attrition'!AC$68),VLOOKUP($F71+AC$2,$A$6:$C$106,2,FALSE)*VLOOKUP(AC$1,'Attrition Modeling'!$L$15:$N$27,IF(AC$2+$F4&lt;=24,2,3),FALSE)),$C$3)*(1+Projection!AE$16)*(1+IF(AC136&gt;0,'Attrition Modeling'!$N$9,0)))</f>
        <v>0</v>
      </c>
      <c r="AD71" s="799">
        <f>AC71*(1-IFERROR(IF(AD$69+$F71&lt;=12,SUMIFS('Attrition Modeling'!$D:$D,'Attrition Modeling'!$C:$C,'IP Attrition'!$D71,'Attrition Modeling'!$B:$B,'IP Attrition'!AD$68),VLOOKUP($F71+AD$2,$A$6:$C$106,2,FALSE)*VLOOKUP(AD$1,'Attrition Modeling'!$L$15:$N$27,IF(AD$2+$F4&lt;=24,2,3),FALSE)),$C$3)*(1+Projection!AF$16)*(1+IF(AD136&gt;0,'Attrition Modeling'!$N$9,0)))</f>
        <v>0</v>
      </c>
      <c r="AE71" s="799">
        <f>AD71*(1-IFERROR(IF(AE$69+$F71&lt;=12,SUMIFS('Attrition Modeling'!$D:$D,'Attrition Modeling'!$C:$C,'IP Attrition'!$D71,'Attrition Modeling'!$B:$B,'IP Attrition'!AE$68),VLOOKUP($F71+AE$2,$A$6:$C$106,2,FALSE)*VLOOKUP(AE$1,'Attrition Modeling'!$L$15:$N$27,IF(AE$2+$F4&lt;=24,2,3),FALSE)),$C$3)*(1+Projection!AG$16)*(1+IF(AE136&gt;0,'Attrition Modeling'!$N$9,0)))</f>
        <v>0</v>
      </c>
      <c r="AF71" s="799">
        <f>AE71*(1-IFERROR(IF(AF$69+$F71&lt;=12,SUMIFS('Attrition Modeling'!$D:$D,'Attrition Modeling'!$C:$C,'IP Attrition'!$D71,'Attrition Modeling'!$B:$B,'IP Attrition'!AF$68),VLOOKUP($F71+AF$2,$A$6:$C$106,2,FALSE)*VLOOKUP(AF$1,'Attrition Modeling'!$L$15:$N$27,IF(AF$2+$F4&lt;=24,2,3),FALSE)),$C$3)*(1+Projection!AH$16)*(1+IF(AF136&gt;0,'Attrition Modeling'!$N$9,0)))</f>
        <v>0</v>
      </c>
      <c r="AG71" s="799">
        <f>AF71*(1-IFERROR(IF(AG$69+$F71&lt;=12,SUMIFS('Attrition Modeling'!$D:$D,'Attrition Modeling'!$C:$C,'IP Attrition'!$D71,'Attrition Modeling'!$B:$B,'IP Attrition'!AG$68),VLOOKUP($F71+AG$2,$A$6:$C$106,2,FALSE)*VLOOKUP(AG$1,'Attrition Modeling'!$L$15:$N$27,IF(AG$2+$F4&lt;=24,2,3),FALSE)),$C$3)*(1+Projection!AI$16)*(1+IF(AG136&gt;0,'Attrition Modeling'!$N$9,0)))</f>
        <v>0</v>
      </c>
      <c r="AH71" s="799">
        <f>AG71*(1-IFERROR(IF(AH$69+$F71&lt;=12,SUMIFS('Attrition Modeling'!$D:$D,'Attrition Modeling'!$C:$C,'IP Attrition'!$D71,'Attrition Modeling'!$B:$B,'IP Attrition'!AH$68),VLOOKUP($F71+AH$2,$A$6:$C$106,2,FALSE)*VLOOKUP(AH$1,'Attrition Modeling'!$L$15:$N$27,IF(AH$2+$F4&lt;=24,2,3),FALSE)),$C$3)*(1+Projection!AJ$16)*(1+IF(AH136&gt;0,'Attrition Modeling'!$N$9,0)))</f>
        <v>0</v>
      </c>
      <c r="AI71" s="799">
        <f>AH71*(1-IFERROR(IF(AI$69+$F71&lt;=12,SUMIFS('Attrition Modeling'!$D:$D,'Attrition Modeling'!$C:$C,'IP Attrition'!$D71,'Attrition Modeling'!$B:$B,'IP Attrition'!AI$68),VLOOKUP($F71+AI$2,$A$6:$C$106,2,FALSE)*VLOOKUP(AI$1,'Attrition Modeling'!$L$15:$N$27,IF(AI$2+$F4&lt;=24,2,3),FALSE)),$C$3)*(1+Projection!AK$16)*(1+IF(AI136&gt;0,'Attrition Modeling'!$N$9,0)))</f>
        <v>0</v>
      </c>
      <c r="AJ71" s="799">
        <f>AI71*(1-IFERROR(IF(AJ$69+$F71&lt;=12,SUMIFS('Attrition Modeling'!$D:$D,'Attrition Modeling'!$C:$C,'IP Attrition'!$D71,'Attrition Modeling'!$B:$B,'IP Attrition'!AJ$68),VLOOKUP($F71+AJ$2,$A$6:$C$106,2,FALSE)*VLOOKUP(AJ$1,'Attrition Modeling'!$L$15:$N$27,IF(AJ$2+$F4&lt;=24,2,3),FALSE)),$C$3)*(1+Projection!AL$16)*(1+IF(AJ136&gt;0,'Attrition Modeling'!$N$9,0)))</f>
        <v>0</v>
      </c>
      <c r="AK71" s="799">
        <f>AJ71*(1-IFERROR(IF(AK$69+$F71&lt;=12,SUMIFS('Attrition Modeling'!$D:$D,'Attrition Modeling'!$C:$C,'IP Attrition'!$D71,'Attrition Modeling'!$B:$B,'IP Attrition'!AK$68),VLOOKUP($F71+AK$2,$A$6:$C$106,2,FALSE)*VLOOKUP(AK$1,'Attrition Modeling'!$L$15:$N$27,IF(AK$2+$F4&lt;=24,2,3),FALSE)),$C$3)*(1+Projection!AM$16)*(1+IF(AK136&gt;0,'Attrition Modeling'!$N$9,0)))</f>
        <v>0</v>
      </c>
      <c r="AL71" s="799">
        <f>AK71*(1-IFERROR(IF(AL$69+$F71&lt;=12,SUMIFS('Attrition Modeling'!$D:$D,'Attrition Modeling'!$C:$C,'IP Attrition'!$D71,'Attrition Modeling'!$B:$B,'IP Attrition'!AL$68),VLOOKUP($F71+AL$2,$A$6:$C$106,2,FALSE)*VLOOKUP(AL$1,'Attrition Modeling'!$L$15:$N$27,IF(AL$2+$F4&lt;=24,2,3),FALSE)),$C$3)*(1+Projection!AN$16)*(1+IF(AL136&gt;0,'Attrition Modeling'!$N$9,0)))</f>
        <v>0</v>
      </c>
      <c r="AM71" s="799">
        <f>AL71*(1-IFERROR(IF(AM$69+$F71&lt;=12,SUMIFS('Attrition Modeling'!$D:$D,'Attrition Modeling'!$C:$C,'IP Attrition'!$D71,'Attrition Modeling'!$B:$B,'IP Attrition'!AM$68),VLOOKUP($F71+AM$2,$A$6:$C$106,2,FALSE)*VLOOKUP(AM$1,'Attrition Modeling'!$L$15:$N$27,IF(AM$2+$F4&lt;=24,2,3),FALSE)),$C$3)*(1+Projection!AO$16)*(1+IF(AM136&gt;0,'Attrition Modeling'!$N$9,0)))</f>
        <v>0</v>
      </c>
      <c r="AN71" s="799">
        <f>AM71*(1-IFERROR(IF(AN$69+$F71&lt;=12,SUMIFS('Attrition Modeling'!$D:$D,'Attrition Modeling'!$C:$C,'IP Attrition'!$D71,'Attrition Modeling'!$B:$B,'IP Attrition'!AN$68),VLOOKUP($F71+AN$2,$A$6:$C$106,2,FALSE)*VLOOKUP(AN$1,'Attrition Modeling'!$L$15:$N$27,IF(AN$2+$F4&lt;=24,2,3),FALSE)),$C$3)*(1+Projection!AP$16)*(1+IF(AN136&gt;0,'Attrition Modeling'!$N$9,0)))</f>
        <v>0</v>
      </c>
      <c r="AO71" s="799">
        <f>AN71*(1-IFERROR(IF(AO$69+$F71&lt;=12,SUMIFS('Attrition Modeling'!$D:$D,'Attrition Modeling'!$C:$C,'IP Attrition'!$D71,'Attrition Modeling'!$B:$B,'IP Attrition'!AO$68),VLOOKUP($F71+AO$2,$A$6:$C$106,2,FALSE)*VLOOKUP(AO$1,'Attrition Modeling'!$L$15:$N$27,IF(AO$2+$F4&lt;=24,2,3),FALSE)),$C$3)*(1+Projection!AQ$16)*(1+IF(AO136&gt;0,'Attrition Modeling'!$N$9,0)))</f>
        <v>0</v>
      </c>
      <c r="AP71" s="799">
        <f>AO71*(1-IFERROR(IF(AP$69+$F71&lt;=12,SUMIFS('Attrition Modeling'!$D:$D,'Attrition Modeling'!$C:$C,'IP Attrition'!$D71,'Attrition Modeling'!$B:$B,'IP Attrition'!AP$68),VLOOKUP($F71+AP$2,$A$6:$C$106,2,FALSE)*VLOOKUP(AP$1,'Attrition Modeling'!$L$15:$N$27,IF(AP$2+$F4&lt;=24,2,3),FALSE)),$C$3)*(1+Projection!AR$16)*(1+IF(AP136&gt;0,'Attrition Modeling'!$N$9,0)))</f>
        <v>0</v>
      </c>
      <c r="AQ71" s="799">
        <f>AP71*(1-IFERROR(IF(AQ$69+$F71&lt;=12,SUMIFS('Attrition Modeling'!$D:$D,'Attrition Modeling'!$C:$C,'IP Attrition'!$D71,'Attrition Modeling'!$B:$B,'IP Attrition'!AQ$68),VLOOKUP($F71+AQ$2,$A$6:$C$106,2,FALSE)*VLOOKUP(AQ$1,'Attrition Modeling'!$L$15:$N$27,IF(AQ$2+$F4&lt;=24,2,3),FALSE)),$C$3)*(1+Projection!AS$16)*(1+IF(AQ136&gt;0,'Attrition Modeling'!$N$9,0)))</f>
        <v>0</v>
      </c>
      <c r="AR71" s="799">
        <f>AQ71*(1-IFERROR(IF(AR$69+$F71&lt;=12,SUMIFS('Attrition Modeling'!$D:$D,'Attrition Modeling'!$C:$C,'IP Attrition'!$D71,'Attrition Modeling'!$B:$B,'IP Attrition'!AR$68),VLOOKUP($F71+AR$2,$A$6:$C$106,2,FALSE)*VLOOKUP(AR$1,'Attrition Modeling'!$L$15:$N$27,IF(AR$2+$F4&lt;=24,2,3),FALSE)),$C$3)*(1+Projection!AT$16)*(1+IF(AR136&gt;0,'Attrition Modeling'!$N$9,0)))</f>
        <v>0</v>
      </c>
      <c r="AS71" s="799">
        <f>AR71*(1-IFERROR(IF(AS$69+$F71&lt;=12,SUMIFS('Attrition Modeling'!$D:$D,'Attrition Modeling'!$C:$C,'IP Attrition'!$D71,'Attrition Modeling'!$B:$B,'IP Attrition'!AS$68),VLOOKUP($F71+AS$2,$A$6:$C$106,2,FALSE)*VLOOKUP(AS$1,'Attrition Modeling'!$L$15:$N$27,IF(AS$2+$F4&lt;=24,2,3),FALSE)),$C$3)*(1+Projection!AU$16)*(1+IF(AS136&gt;0,'Attrition Modeling'!$N$9,0)))</f>
        <v>0</v>
      </c>
      <c r="AT71" s="799">
        <f>AS71*(1-IFERROR(IF(AT$69+$F71&lt;=12,SUMIFS('Attrition Modeling'!$D:$D,'Attrition Modeling'!$C:$C,'IP Attrition'!$D71,'Attrition Modeling'!$B:$B,'IP Attrition'!AT$68),VLOOKUP($F71+AT$2,$A$6:$C$106,2,FALSE)*VLOOKUP(AT$1,'Attrition Modeling'!$L$15:$N$27,IF(AT$2+$F4&lt;=24,2,3),FALSE)),$C$3)*(1+Projection!AV$16)*(1+IF(AT136&gt;0,'Attrition Modeling'!$N$9,0)))</f>
        <v>0</v>
      </c>
      <c r="AU71" s="799">
        <f>AT71*(1-IFERROR(IF(AU$69+$F71&lt;=12,SUMIFS('Attrition Modeling'!$D:$D,'Attrition Modeling'!$C:$C,'IP Attrition'!$D71,'Attrition Modeling'!$B:$B,'IP Attrition'!AU$68),VLOOKUP($F71+AU$2,$A$6:$C$106,2,FALSE)*VLOOKUP(AU$1,'Attrition Modeling'!$L$15:$N$27,IF(AU$2+$F4&lt;=24,2,3),FALSE)),$C$3)*(1+Projection!AW$16)*(1+IF(AU136&gt;0,'Attrition Modeling'!$N$9,0)))</f>
        <v>0</v>
      </c>
      <c r="AV71" s="799">
        <f>AU71*(1-IFERROR(IF(AV$69+$F71&lt;=12,SUMIFS('Attrition Modeling'!$D:$D,'Attrition Modeling'!$C:$C,'IP Attrition'!$D71,'Attrition Modeling'!$B:$B,'IP Attrition'!AV$68),VLOOKUP($F71+AV$2,$A$6:$C$106,2,FALSE)*VLOOKUP(AV$1,'Attrition Modeling'!$L$15:$N$27,IF(AV$2+$F4&lt;=24,2,3),FALSE)),$C$3)*(1+Projection!AX$16)*(1+IF(AV136&gt;0,'Attrition Modeling'!$N$9,0)))</f>
        <v>0</v>
      </c>
      <c r="AW71" s="799">
        <f>AV71*(1-IFERROR(IF(AW$69+$F71&lt;=12,SUMIFS('Attrition Modeling'!$D:$D,'Attrition Modeling'!$C:$C,'IP Attrition'!$D71,'Attrition Modeling'!$B:$B,'IP Attrition'!AW$68),VLOOKUP($F71+AW$2,$A$6:$C$106,2,FALSE)*VLOOKUP(AW$1,'Attrition Modeling'!$L$15:$N$27,IF(AW$2+$F4&lt;=24,2,3),FALSE)),$C$3)*(1+Projection!AY$16)*(1+IF(AW136&gt;0,'Attrition Modeling'!$N$9,0)))</f>
        <v>0</v>
      </c>
      <c r="AX71" s="799">
        <f>AW71*(1-IFERROR(IF(AX$69+$F71&lt;=12,SUMIFS('Attrition Modeling'!$D:$D,'Attrition Modeling'!$C:$C,'IP Attrition'!$D71,'Attrition Modeling'!$B:$B,'IP Attrition'!AX$68),VLOOKUP($F71+AX$2,$A$6:$C$106,2,FALSE)*VLOOKUP(AX$1,'Attrition Modeling'!$L$15:$N$27,IF(AX$2+$F4&lt;=24,2,3),FALSE)),$C$3)*(1+Projection!AZ$16)*(1+IF(AX136&gt;0,'Attrition Modeling'!$N$9,0)))</f>
        <v>0</v>
      </c>
      <c r="AY71" s="799">
        <f>AX71*(1-IFERROR(IF(AY$69+$F71&lt;=12,SUMIFS('Attrition Modeling'!$D:$D,'Attrition Modeling'!$C:$C,'IP Attrition'!$D71,'Attrition Modeling'!$B:$B,'IP Attrition'!AY$68),VLOOKUP($F71+AY$2,$A$6:$C$106,2,FALSE)*VLOOKUP(AY$1,'Attrition Modeling'!$L$15:$N$27,IF(AY$2+$F4&lt;=24,2,3),FALSE)),$C$3)*(1+Projection!BA$16)*(1+IF(AY136&gt;0,'Attrition Modeling'!$N$9,0)))</f>
        <v>0</v>
      </c>
      <c r="AZ71" s="799">
        <f>AY71*(1-IFERROR(IF(AZ$69+$F71&lt;=12,SUMIFS('Attrition Modeling'!$D:$D,'Attrition Modeling'!$C:$C,'IP Attrition'!$D71,'Attrition Modeling'!$B:$B,'IP Attrition'!AZ$68),VLOOKUP($F71+AZ$2,$A$6:$C$106,2,FALSE)*VLOOKUP(AZ$1,'Attrition Modeling'!$L$15:$N$27,IF(AZ$2+$F4&lt;=24,2,3),FALSE)),$C$3)*(1+Projection!BB$16)*(1+IF(AZ136&gt;0,'Attrition Modeling'!$N$9,0)))</f>
        <v>0</v>
      </c>
      <c r="BA71" s="799">
        <f>AZ71*(1-IFERROR(IF(BA$69+$F71&lt;=12,SUMIFS('Attrition Modeling'!$D:$D,'Attrition Modeling'!$C:$C,'IP Attrition'!$D71,'Attrition Modeling'!$B:$B,'IP Attrition'!BA$68),VLOOKUP($F71+BA$2,$A$6:$C$106,2,FALSE)*VLOOKUP(BA$1,'Attrition Modeling'!$L$15:$N$27,IF(BA$2+$F4&lt;=24,2,3),FALSE)),$C$3)*(1+Projection!BC$16)*(1+IF(BA136&gt;0,'Attrition Modeling'!$N$9,0)))</f>
        <v>0</v>
      </c>
      <c r="BB71" s="799">
        <f>BA71*(1-IFERROR(IF(BB$69+$F71&lt;=12,SUMIFS('Attrition Modeling'!$D:$D,'Attrition Modeling'!$C:$C,'IP Attrition'!$D71,'Attrition Modeling'!$B:$B,'IP Attrition'!BB$68),VLOOKUP($F71+BB$2,$A$6:$C$106,2,FALSE)*VLOOKUP(BB$1,'Attrition Modeling'!$L$15:$N$27,IF(BB$2+$F4&lt;=24,2,3),FALSE)),$C$3)*(1+Projection!BD$16)*(1+IF(BB136&gt;0,'Attrition Modeling'!$N$9,0)))</f>
        <v>0</v>
      </c>
      <c r="BC71" s="799">
        <f>BB71*(1-IFERROR(IF(BC$69+$F71&lt;=12,SUMIFS('Attrition Modeling'!$D:$D,'Attrition Modeling'!$C:$C,'IP Attrition'!$D71,'Attrition Modeling'!$B:$B,'IP Attrition'!BC$68),VLOOKUP($F71+BC$2,$A$6:$C$106,2,FALSE)*VLOOKUP(BC$1,'Attrition Modeling'!$L$15:$N$27,IF(BC$2+$F4&lt;=24,2,3),FALSE)),$C$3)*(1+Projection!BE$16)*(1+IF(BC136&gt;0,'Attrition Modeling'!$N$9,0)))</f>
        <v>0</v>
      </c>
      <c r="BD71" s="799">
        <f>BC71*(1-IFERROR(IF(BD$69+$F71&lt;=12,SUMIFS('Attrition Modeling'!$D:$D,'Attrition Modeling'!$C:$C,'IP Attrition'!$D71,'Attrition Modeling'!$B:$B,'IP Attrition'!BD$68),VLOOKUP($F71+BD$2,$A$6:$C$106,2,FALSE)*VLOOKUP(BD$1,'Attrition Modeling'!$L$15:$N$27,IF(BD$2+$F4&lt;=24,2,3),FALSE)),$C$3)*(1+Projection!BF$16)*(1+IF(BD136&gt;0,'Attrition Modeling'!$N$9,0)))</f>
        <v>0</v>
      </c>
      <c r="BE71" s="799">
        <f>BD71*(1-IFERROR(IF(BE$69+$F71&lt;=12,SUMIFS('Attrition Modeling'!$D:$D,'Attrition Modeling'!$C:$C,'IP Attrition'!$D71,'Attrition Modeling'!$B:$B,'IP Attrition'!BE$68),VLOOKUP($F71+BE$2,$A$6:$C$106,2,FALSE)*VLOOKUP(BE$1,'Attrition Modeling'!$L$15:$N$27,IF(BE$2+$F4&lt;=24,2,3),FALSE)),$C$3)*(1+Projection!BG$16)*(1+IF(BE136&gt;0,'Attrition Modeling'!$N$9,0)))</f>
        <v>0</v>
      </c>
      <c r="BF71" s="799">
        <f>BE71*(1-IFERROR(IF(BF$69+$F71&lt;=12,SUMIFS('Attrition Modeling'!$D:$D,'Attrition Modeling'!$C:$C,'IP Attrition'!$D71,'Attrition Modeling'!$B:$B,'IP Attrition'!BF$68),VLOOKUP($F71+BF$2,$A$6:$C$106,2,FALSE)*VLOOKUP(BF$1,'Attrition Modeling'!$L$15:$N$27,IF(BF$2+$F4&lt;=24,2,3),FALSE)),$C$3)*(1+Projection!BH$16)*(1+IF(BF136&gt;0,'Attrition Modeling'!$N$9,0)))</f>
        <v>0</v>
      </c>
      <c r="BG71" s="799">
        <f>BF71*(1-IFERROR(IF(BG$69+$F71&lt;=12,SUMIFS('Attrition Modeling'!$D:$D,'Attrition Modeling'!$C:$C,'IP Attrition'!$D71,'Attrition Modeling'!$B:$B,'IP Attrition'!BG$68),VLOOKUP($F71+BG$2,$A$6:$C$106,2,FALSE)*VLOOKUP(BG$1,'Attrition Modeling'!$L$15:$N$27,IF(BG$2+$F4&lt;=24,2,3),FALSE)),$C$3)*(1+Projection!BI$16)*(1+IF(BG136&gt;0,'Attrition Modeling'!$N$9,0)))</f>
        <v>0</v>
      </c>
      <c r="BH71" s="799">
        <f>BG71*(1-IFERROR(IF(BH$69+$F71&lt;=12,SUMIFS('Attrition Modeling'!$D:$D,'Attrition Modeling'!$C:$C,'IP Attrition'!$D71,'Attrition Modeling'!$B:$B,'IP Attrition'!BH$68),VLOOKUP($F71+BH$2,$A$6:$C$106,2,FALSE)*VLOOKUP(BH$1,'Attrition Modeling'!$L$15:$N$27,IF(BH$2+$F4&lt;=24,2,3),FALSE)),$C$3)*(1+Projection!BJ$16)*(1+IF(BH136&gt;0,'Attrition Modeling'!$N$9,0)))</f>
        <v>0</v>
      </c>
      <c r="BI71" s="799">
        <f>BH71*(1-IFERROR(IF(BI$69+$F71&lt;=12,SUMIFS('Attrition Modeling'!$D:$D,'Attrition Modeling'!$C:$C,'IP Attrition'!$D71,'Attrition Modeling'!$B:$B,'IP Attrition'!BI$68),VLOOKUP($F71+BI$2,$A$6:$C$106,2,FALSE)*VLOOKUP(BI$1,'Attrition Modeling'!$L$15:$N$27,IF(BI$2+$F4&lt;=24,2,3),FALSE)),$C$3)*(1+Projection!BK$16)*(1+IF(BI136&gt;0,'Attrition Modeling'!$N$9,0)))</f>
        <v>0</v>
      </c>
      <c r="BJ71" s="799">
        <f>BI71*(1-IFERROR(IF(BJ$69+$F71&lt;=12,SUMIFS('Attrition Modeling'!$D:$D,'Attrition Modeling'!$C:$C,'IP Attrition'!$D71,'Attrition Modeling'!$B:$B,'IP Attrition'!BJ$68),VLOOKUP($F71+BJ$2,$A$6:$C$106,2,FALSE)*VLOOKUP(BJ$1,'Attrition Modeling'!$L$15:$N$27,IF(BJ$2+$F4&lt;=24,2,3),FALSE)),$C$3)*(1+Projection!BL$16)*(1+IF(BJ136&gt;0,'Attrition Modeling'!$N$9,0)))</f>
        <v>0</v>
      </c>
      <c r="BK71" s="799">
        <f>BJ71*(1-IFERROR(IF(BK$69+$F71&lt;=12,SUMIFS('Attrition Modeling'!$D:$D,'Attrition Modeling'!$C:$C,'IP Attrition'!$D71,'Attrition Modeling'!$B:$B,'IP Attrition'!BK$68),VLOOKUP($F71+BK$2,$A$6:$C$106,2,FALSE)*VLOOKUP(BK$1,'Attrition Modeling'!$L$15:$N$27,IF(BK$2+$F4&lt;=24,2,3),FALSE)),$C$3)*(1+Projection!BM$16)*(1+IF(BK136&gt;0,'Attrition Modeling'!$N$9,0)))</f>
        <v>0</v>
      </c>
      <c r="BL71" s="799">
        <f>BK71*(1-IFERROR(IF(BL$69+$F71&lt;=12,SUMIFS('Attrition Modeling'!$D:$D,'Attrition Modeling'!$C:$C,'IP Attrition'!$D71,'Attrition Modeling'!$B:$B,'IP Attrition'!BL$68),VLOOKUP($F71+BL$2,$A$6:$C$106,2,FALSE)*VLOOKUP(BL$1,'Attrition Modeling'!$L$15:$N$27,IF(BL$2+$F4&lt;=24,2,3),FALSE)),$C$3)*(1+Projection!BN$16)*(1+IF(BL136&gt;0,'Attrition Modeling'!$N$9,0)))</f>
        <v>0</v>
      </c>
      <c r="BM71" s="799">
        <f>BL71*(1-IFERROR(IF(BM$69+$F71&lt;=12,SUMIFS('Attrition Modeling'!$D:$D,'Attrition Modeling'!$C:$C,'IP Attrition'!$D71,'Attrition Modeling'!$B:$B,'IP Attrition'!BM$68),VLOOKUP($F71+BM$2,$A$6:$C$106,2,FALSE)*VLOOKUP(BM$1,'Attrition Modeling'!$L$15:$N$27,IF(BM$2+$F4&lt;=24,2,3),FALSE)),$C$3)*(1+Projection!BO$16)*(1+IF(BM136&gt;0,'Attrition Modeling'!$N$9,0)))</f>
        <v>0</v>
      </c>
      <c r="BN71" s="799">
        <f>BM71*(1-IFERROR(IF(BN$69+$F71&lt;=12,SUMIFS('Attrition Modeling'!$D:$D,'Attrition Modeling'!$C:$C,'IP Attrition'!$D71,'Attrition Modeling'!$B:$B,'IP Attrition'!BN$68),VLOOKUP($F71+BN$2,$A$6:$C$106,2,FALSE)*VLOOKUP(BN$1,'Attrition Modeling'!$L$15:$N$27,IF(BN$2+$F4&lt;=24,2,3),FALSE)),$C$3)*(1+Projection!BP$16)*(1+IF(BN136&gt;0,'Attrition Modeling'!$N$9,0)))</f>
        <v>0</v>
      </c>
      <c r="BO71" s="799">
        <f>BN71*(1-IFERROR(IF(BO$69+$F71&lt;=12,SUMIFS('Attrition Modeling'!$D:$D,'Attrition Modeling'!$C:$C,'IP Attrition'!$D71,'Attrition Modeling'!$B:$B,'IP Attrition'!BO$68),VLOOKUP($F71+BO$2,$A$6:$C$106,2,FALSE)*VLOOKUP(BO$1,'Attrition Modeling'!$L$15:$N$27,IF(BO$2+$F4&lt;=24,2,3),FALSE)),$C$3)*(1+Projection!BV$16)*(1+IF(BO136&gt;0,'Attrition Modeling'!$N$9,0)))</f>
        <v>0</v>
      </c>
      <c r="BP71" s="799">
        <f>BO71*(1-IFERROR(IF(BP$69+$F71&lt;=12,SUMIFS('Attrition Modeling'!$D:$D,'Attrition Modeling'!$C:$C,'IP Attrition'!$D71,'Attrition Modeling'!$B:$B,'IP Attrition'!BP$68),VLOOKUP($F71+BP$2,$A$6:$C$106,2,FALSE)*VLOOKUP(BP$1,'Attrition Modeling'!$L$15:$N$27,IF(BP$2+$F4&lt;=24,2,3),FALSE)),$C$3)*(1+Projection!BW$16)*(1+IF(BP136&gt;0,'Attrition Modeling'!$N$9,0)))</f>
        <v>0</v>
      </c>
      <c r="BQ71" s="799">
        <f>BP71*(1-IFERROR(IF(BQ$69+$F71&lt;=12,SUMIFS('Attrition Modeling'!$D:$D,'Attrition Modeling'!$C:$C,'IP Attrition'!$D71,'Attrition Modeling'!$B:$B,'IP Attrition'!BQ$68),VLOOKUP($F71+BQ$2,$A$6:$C$106,2,FALSE)*VLOOKUP(BQ$1,'Attrition Modeling'!$L$15:$N$27,IF(BQ$2+$F4&lt;=24,2,3),FALSE)),$C$3)*(1+Projection!BX$16)*(1+IF(BQ136&gt;0,'Attrition Modeling'!$N$9,0)))</f>
        <v>0</v>
      </c>
      <c r="BR71" s="799">
        <f>BQ71*(1-IFERROR(IF(BR$69+$F71&lt;=12,SUMIFS('Attrition Modeling'!$D:$D,'Attrition Modeling'!$C:$C,'IP Attrition'!$D71,'Attrition Modeling'!$B:$B,'IP Attrition'!BR$68),VLOOKUP($F71+BR$2,$A$6:$C$106,2,FALSE)*VLOOKUP(BR$1,'Attrition Modeling'!$L$15:$N$27,IF(BR$2+$F4&lt;=24,2,3),FALSE)),$C$3)*(1+Projection!BY$16)*(1+IF(BR136&gt;0,'Attrition Modeling'!$N$9,0)))</f>
        <v>0</v>
      </c>
      <c r="BS71" s="799">
        <f>BR71*(1-IFERROR(IF(BS$69+$F71&lt;=12,SUMIFS('Attrition Modeling'!$D:$D,'Attrition Modeling'!$C:$C,'IP Attrition'!$D71,'Attrition Modeling'!$B:$B,'IP Attrition'!BS$68),VLOOKUP($F71+BS$2,$A$6:$C$106,2,FALSE)*VLOOKUP(BS$1,'Attrition Modeling'!$L$15:$N$27,IF(BS$2+$F4&lt;=24,2,3),FALSE)),$C$3)*(1+Projection!BZ$16)*(1+IF(BS136&gt;0,'Attrition Modeling'!$N$9,0)))</f>
        <v>0</v>
      </c>
      <c r="BT71" s="799" t="e">
        <f>BS71*(1-IFERROR(IF(BT$69+$F71&lt;=12,SUMIFS('Attrition Modeling'!$D:$D,'Attrition Modeling'!$C:$C,'IP Attrition'!$D71,'Attrition Modeling'!$B:$B,'IP Attrition'!BT$68),VLOOKUP($F71+BT$2,$A$6:$C$106,2,FALSE)*VLOOKUP(BT$1,'Attrition Modeling'!$L$15:$N$27,IF(BT$2+$F4&lt;=24,2,3),FALSE)),$C$3)*(1+Projection!CA$16)*(1+IF(BT136&gt;0,'Attrition Modeling'!$N$9,0)))</f>
        <v>#REF!</v>
      </c>
      <c r="BU71" s="799" t="e">
        <f>BT71*(1-IFERROR(IF(BU$69+$F71&lt;=12,SUMIFS('Attrition Modeling'!$D:$D,'Attrition Modeling'!$C:$C,'IP Attrition'!$D71,'Attrition Modeling'!$B:$B,'IP Attrition'!BU$68),VLOOKUP($F71+BU$2,$A$6:$C$106,2,FALSE)*VLOOKUP(BU$1,'Attrition Modeling'!$L$15:$N$27,IF(BU$2+$F4&lt;=24,2,3),FALSE)),$C$3)*(1+Projection!CB$16)*(1+IF(BU136&gt;0,'Attrition Modeling'!$N$9,0)))</f>
        <v>#REF!</v>
      </c>
    </row>
    <row r="72" spans="1:73" ht="14.25" customHeight="1" x14ac:dyDescent="0.2">
      <c r="A72" s="9">
        <v>65</v>
      </c>
      <c r="B72" s="25">
        <f>MAX('Attrition Modeling'!H69,$C$3)*(1-Summary!$C$20)</f>
        <v>2.0968238789616844E-2</v>
      </c>
      <c r="C72" s="24" t="e">
        <f t="shared" si="3"/>
        <v>#DIV/0!</v>
      </c>
      <c r="D72" s="11">
        <f t="shared" ref="D72:E72" si="10">D5</f>
        <v>-2</v>
      </c>
      <c r="E72" s="25">
        <f t="shared" si="10"/>
        <v>0.10839302007867074</v>
      </c>
      <c r="F72" s="11">
        <f t="shared" si="9"/>
        <v>2</v>
      </c>
      <c r="G72" s="799">
        <f>Summary!$C$24*$E72</f>
        <v>0</v>
      </c>
      <c r="H72" s="799">
        <f>G72*(1-IFERROR(IF(H$69+$F72&lt;=12,SUMIFS('Attrition Modeling'!$D:$D,'Attrition Modeling'!$C:$C,'IP Attrition'!$D72,'Attrition Modeling'!$B:$B,'IP Attrition'!H$68),VLOOKUP($F72+H$2,$A$6:$C$106,2,FALSE)*VLOOKUP(H$1,'Attrition Modeling'!$L$15:$N$27,IF(H$2+$F5&lt;=24,2,3),FALSE)),$C$3)*(1+Projection!J$16)*(1+IF(H137&gt;0,'Attrition Modeling'!$N$9,0)))</f>
        <v>0</v>
      </c>
      <c r="I72" s="799">
        <f>H72*(1-IFERROR(IF(I$69+$F72&lt;=12,SUMIFS('Attrition Modeling'!$D:$D,'Attrition Modeling'!$C:$C,'IP Attrition'!$D72,'Attrition Modeling'!$B:$B,'IP Attrition'!I$68),VLOOKUP($F72+I$2,$A$6:$C$106,2,FALSE)*VLOOKUP(I$1,'Attrition Modeling'!$L$15:$N$27,IF(I$2+$F5&lt;=24,2,3),FALSE)),$C$3)*(1+Projection!K$16)*(1+IF(I137&gt;0,'Attrition Modeling'!$N$9,0)))</f>
        <v>0</v>
      </c>
      <c r="J72" s="799">
        <f>I72*(1-IFERROR(IF(J$69+$F72&lt;=12,SUMIFS('Attrition Modeling'!$D:$D,'Attrition Modeling'!$C:$C,'IP Attrition'!$D72,'Attrition Modeling'!$B:$B,'IP Attrition'!J$68),VLOOKUP($F72+J$2,$A$6:$C$106,2,FALSE)*VLOOKUP(J$1,'Attrition Modeling'!$L$15:$N$27,IF(J$2+$F5&lt;=24,2,3),FALSE)),$C$3)*(1+Projection!L$16)*(1+IF(J137&gt;0,'Attrition Modeling'!$N$9,0)))</f>
        <v>0</v>
      </c>
      <c r="K72" s="799">
        <f>J72*(1-IFERROR(IF(K$69+$F72&lt;=12,SUMIFS('Attrition Modeling'!$D:$D,'Attrition Modeling'!$C:$C,'IP Attrition'!$D72,'Attrition Modeling'!$B:$B,'IP Attrition'!K$68),VLOOKUP($F72+K$2,$A$6:$C$106,2,FALSE)*VLOOKUP(K$1,'Attrition Modeling'!$L$15:$N$27,IF(K$2+$F5&lt;=24,2,3),FALSE)),$C$3)*(1+Projection!M$16)*(1+IF(K137&gt;0,'Attrition Modeling'!$N$9,0)))</f>
        <v>0</v>
      </c>
      <c r="L72" s="799">
        <f>K72*(1-IFERROR(IF(L$69+$F72&lt;=12,SUMIFS('Attrition Modeling'!$D:$D,'Attrition Modeling'!$C:$C,'IP Attrition'!$D72,'Attrition Modeling'!$B:$B,'IP Attrition'!L$68),VLOOKUP($F72+L$2,$A$6:$C$106,2,FALSE)*VLOOKUP(L$1,'Attrition Modeling'!$L$15:$N$27,IF(L$2+$F5&lt;=24,2,3),FALSE)),$C$3)*(1+Projection!N$16)*(1+IF(L137&gt;0,'Attrition Modeling'!$N$9,0)))</f>
        <v>0</v>
      </c>
      <c r="M72" s="799">
        <f>L72*(1-IFERROR(IF(M$69+$F72&lt;=12,SUMIFS('Attrition Modeling'!$D:$D,'Attrition Modeling'!$C:$C,'IP Attrition'!$D72,'Attrition Modeling'!$B:$B,'IP Attrition'!M$68),VLOOKUP($F72+M$2,$A$6:$C$106,2,FALSE)*VLOOKUP(M$1,'Attrition Modeling'!$L$15:$N$27,IF(M$2+$F5&lt;=24,2,3),FALSE)),$C$3)*(1+Projection!O$16)*(1+IF(M137&gt;0,'Attrition Modeling'!$N$9,0)))</f>
        <v>0</v>
      </c>
      <c r="N72" s="799">
        <f>M72*(1-IFERROR(IF(N$69+$F72&lt;=12,SUMIFS('Attrition Modeling'!$D:$D,'Attrition Modeling'!$C:$C,'IP Attrition'!$D72,'Attrition Modeling'!$B:$B,'IP Attrition'!N$68),VLOOKUP($F72+N$2,$A$6:$C$106,2,FALSE)*VLOOKUP(N$1,'Attrition Modeling'!$L$15:$N$27,IF(N$2+$F5&lt;=24,2,3),FALSE)),$C$3)*(1+Projection!P$16)*(1+IF(N137&gt;0,'Attrition Modeling'!$N$9,0)))</f>
        <v>0</v>
      </c>
      <c r="O72" s="799">
        <f>N72*(1-IFERROR(IF(O$69+$F72&lt;=12,SUMIFS('Attrition Modeling'!$D:$D,'Attrition Modeling'!$C:$C,'IP Attrition'!$D72,'Attrition Modeling'!$B:$B,'IP Attrition'!O$68),VLOOKUP($F72+O$2,$A$6:$C$106,2,FALSE)*VLOOKUP(O$1,'Attrition Modeling'!$L$15:$N$27,IF(O$2+$F5&lt;=24,2,3),FALSE)),$C$3)*(1+Projection!Q$16)*(1+IF(O137&gt;0,'Attrition Modeling'!$N$9,0)))</f>
        <v>0</v>
      </c>
      <c r="P72" s="799">
        <f>O72*(1-IFERROR(IF(P$69+$F72&lt;=12,SUMIFS('Attrition Modeling'!$D:$D,'Attrition Modeling'!$C:$C,'IP Attrition'!$D72,'Attrition Modeling'!$B:$B,'IP Attrition'!P$68),VLOOKUP($F72+P$2,$A$6:$C$106,2,FALSE)*VLOOKUP(P$1,'Attrition Modeling'!$L$15:$N$27,IF(P$2+$F5&lt;=24,2,3),FALSE)),$C$3)*(1+Projection!R$16)*(1+IF(P137&gt;0,'Attrition Modeling'!$N$9,0)))</f>
        <v>0</v>
      </c>
      <c r="Q72" s="799">
        <f>P72*(1-IFERROR(IF(Q$69+$F72&lt;=12,SUMIFS('Attrition Modeling'!$D:$D,'Attrition Modeling'!$C:$C,'IP Attrition'!$D72,'Attrition Modeling'!$B:$B,'IP Attrition'!Q$68),VLOOKUP($F72+Q$2,$A$6:$C$106,2,FALSE)*VLOOKUP(Q$1,'Attrition Modeling'!$L$15:$N$27,IF(Q$2+$F5&lt;=24,2,3),FALSE)),$C$3)*(1+Projection!S$16)*(1+IF(Q137&gt;0,'Attrition Modeling'!$N$9,0)))</f>
        <v>0</v>
      </c>
      <c r="R72" s="799">
        <f>Q72*(1-IFERROR(IF(R$69+$F72&lt;=12,SUMIFS('Attrition Modeling'!$D:$D,'Attrition Modeling'!$C:$C,'IP Attrition'!$D72,'Attrition Modeling'!$B:$B,'IP Attrition'!R$68),VLOOKUP($F72+R$2,$A$6:$C$106,2,FALSE)*VLOOKUP(R$1,'Attrition Modeling'!$L$15:$N$27,IF(R$2+$F5&lt;=24,2,3),FALSE)),$C$3)*(1+Projection!T$16)*(1+IF(R137&gt;0,'Attrition Modeling'!$N$9,0)))</f>
        <v>0</v>
      </c>
      <c r="S72" s="799">
        <f>R72*(1-IFERROR(IF(S$69+$F72&lt;=12,SUMIFS('Attrition Modeling'!$D:$D,'Attrition Modeling'!$C:$C,'IP Attrition'!$D72,'Attrition Modeling'!$B:$B,'IP Attrition'!S$68),VLOOKUP($F72+S$2,$A$6:$C$106,2,FALSE)*VLOOKUP(S$1,'Attrition Modeling'!$L$15:$N$27,IF(S$2+$F5&lt;=24,2,3),FALSE)),$C$3)*(1+Projection!U$16)*(1+IF(S137&gt;0,'Attrition Modeling'!$N$9,0)))</f>
        <v>0</v>
      </c>
      <c r="T72" s="799">
        <f>S72*(1-IFERROR(IF(T$69+$F72&lt;=12,SUMIFS('Attrition Modeling'!$D:$D,'Attrition Modeling'!$C:$C,'IP Attrition'!$D72,'Attrition Modeling'!$B:$B,'IP Attrition'!T$68),VLOOKUP($F72+T$2,$A$6:$C$106,2,FALSE)*VLOOKUP(T$1,'Attrition Modeling'!$L$15:$N$27,IF(T$2+$F5&lt;=24,2,3),FALSE)),$C$3)*(1+Projection!V$16)*(1+IF(T137&gt;0,'Attrition Modeling'!$N$9,0)))</f>
        <v>0</v>
      </c>
      <c r="U72" s="799">
        <f>T72*(1-IFERROR(IF(U$69+$F72&lt;=12,SUMIFS('Attrition Modeling'!$D:$D,'Attrition Modeling'!$C:$C,'IP Attrition'!$D72,'Attrition Modeling'!$B:$B,'IP Attrition'!U$68),VLOOKUP($F72+U$2,$A$6:$C$106,2,FALSE)*VLOOKUP(U$1,'Attrition Modeling'!$L$15:$N$27,IF(U$2+$F5&lt;=24,2,3),FALSE)),$C$3)*(1+Projection!W$16)*(1+IF(U137&gt;0,'Attrition Modeling'!$N$9,0)))</f>
        <v>0</v>
      </c>
      <c r="V72" s="799">
        <f>U72*(1-IFERROR(IF(V$69+$F72&lt;=12,SUMIFS('Attrition Modeling'!$D:$D,'Attrition Modeling'!$C:$C,'IP Attrition'!$D72,'Attrition Modeling'!$B:$B,'IP Attrition'!V$68),VLOOKUP($F72+V$2,$A$6:$C$106,2,FALSE)*VLOOKUP(V$1,'Attrition Modeling'!$L$15:$N$27,IF(V$2+$F5&lt;=24,2,3),FALSE)),$C$3)*(1+Projection!X$16)*(1+IF(V137&gt;0,'Attrition Modeling'!$N$9,0)))</f>
        <v>0</v>
      </c>
      <c r="W72" s="799">
        <f>V72*(1-IFERROR(IF(W$69+$F72&lt;=12,SUMIFS('Attrition Modeling'!$D:$D,'Attrition Modeling'!$C:$C,'IP Attrition'!$D72,'Attrition Modeling'!$B:$B,'IP Attrition'!W$68),VLOOKUP($F72+W$2,$A$6:$C$106,2,FALSE)*VLOOKUP(W$1,'Attrition Modeling'!$L$15:$N$27,IF(W$2+$F5&lt;=24,2,3),FALSE)),$C$3)*(1+Projection!Y$16)*(1+IF(W137&gt;0,'Attrition Modeling'!$N$9,0)))</f>
        <v>0</v>
      </c>
      <c r="X72" s="799">
        <f>W72*(1-IFERROR(IF(X$69+$F72&lt;=12,SUMIFS('Attrition Modeling'!$D:$D,'Attrition Modeling'!$C:$C,'IP Attrition'!$D72,'Attrition Modeling'!$B:$B,'IP Attrition'!X$68),VLOOKUP($F72+X$2,$A$6:$C$106,2,FALSE)*VLOOKUP(X$1,'Attrition Modeling'!$L$15:$N$27,IF(X$2+$F5&lt;=24,2,3),FALSE)),$C$3)*(1+Projection!Z$16)*(1+IF(X137&gt;0,'Attrition Modeling'!$N$9,0)))</f>
        <v>0</v>
      </c>
      <c r="Y72" s="799">
        <f>X72*(1-IFERROR(IF(Y$69+$F72&lt;=12,SUMIFS('Attrition Modeling'!$D:$D,'Attrition Modeling'!$C:$C,'IP Attrition'!$D72,'Attrition Modeling'!$B:$B,'IP Attrition'!Y$68),VLOOKUP($F72+Y$2,$A$6:$C$106,2,FALSE)*VLOOKUP(Y$1,'Attrition Modeling'!$L$15:$N$27,IF(Y$2+$F5&lt;=24,2,3),FALSE)),$C$3)*(1+Projection!AA$16)*(1+IF(Y137&gt;0,'Attrition Modeling'!$N$9,0)))</f>
        <v>0</v>
      </c>
      <c r="Z72" s="799">
        <f>Y72*(1-IFERROR(IF(Z$69+$F72&lt;=12,SUMIFS('Attrition Modeling'!$D:$D,'Attrition Modeling'!$C:$C,'IP Attrition'!$D72,'Attrition Modeling'!$B:$B,'IP Attrition'!Z$68),VLOOKUP($F72+Z$2,$A$6:$C$106,2,FALSE)*VLOOKUP(Z$1,'Attrition Modeling'!$L$15:$N$27,IF(Z$2+$F5&lt;=24,2,3),FALSE)),$C$3)*(1+Projection!AB$16)*(1+IF(Z137&gt;0,'Attrition Modeling'!$N$9,0)))</f>
        <v>0</v>
      </c>
      <c r="AA72" s="799">
        <f>Z72*(1-IFERROR(IF(AA$69+$F72&lt;=12,SUMIFS('Attrition Modeling'!$D:$D,'Attrition Modeling'!$C:$C,'IP Attrition'!$D72,'Attrition Modeling'!$B:$B,'IP Attrition'!AA$68),VLOOKUP($F72+AA$2,$A$6:$C$106,2,FALSE)*VLOOKUP(AA$1,'Attrition Modeling'!$L$15:$N$27,IF(AA$2+$F5&lt;=24,2,3),FALSE)),$C$3)*(1+Projection!AC$16)*(1+IF(AA137&gt;0,'Attrition Modeling'!$N$9,0)))</f>
        <v>0</v>
      </c>
      <c r="AB72" s="799">
        <f>AA72*(1-IFERROR(IF(AB$69+$F72&lt;=12,SUMIFS('Attrition Modeling'!$D:$D,'Attrition Modeling'!$C:$C,'IP Attrition'!$D72,'Attrition Modeling'!$B:$B,'IP Attrition'!AB$68),VLOOKUP($F72+AB$2,$A$6:$C$106,2,FALSE)*VLOOKUP(AB$1,'Attrition Modeling'!$L$15:$N$27,IF(AB$2+$F5&lt;=24,2,3),FALSE)),$C$3)*(1+Projection!AD$16)*(1+IF(AB137&gt;0,'Attrition Modeling'!$N$9,0)))</f>
        <v>0</v>
      </c>
      <c r="AC72" s="799">
        <f>AB72*(1-IFERROR(IF(AC$69+$F72&lt;=12,SUMIFS('Attrition Modeling'!$D:$D,'Attrition Modeling'!$C:$C,'IP Attrition'!$D72,'Attrition Modeling'!$B:$B,'IP Attrition'!AC$68),VLOOKUP($F72+AC$2,$A$6:$C$106,2,FALSE)*VLOOKUP(AC$1,'Attrition Modeling'!$L$15:$N$27,IF(AC$2+$F5&lt;=24,2,3),FALSE)),$C$3)*(1+Projection!AE$16)*(1+IF(AC137&gt;0,'Attrition Modeling'!$N$9,0)))</f>
        <v>0</v>
      </c>
      <c r="AD72" s="799">
        <f>AC72*(1-IFERROR(IF(AD$69+$F72&lt;=12,SUMIFS('Attrition Modeling'!$D:$D,'Attrition Modeling'!$C:$C,'IP Attrition'!$D72,'Attrition Modeling'!$B:$B,'IP Attrition'!AD$68),VLOOKUP($F72+AD$2,$A$6:$C$106,2,FALSE)*VLOOKUP(AD$1,'Attrition Modeling'!$L$15:$N$27,IF(AD$2+$F5&lt;=24,2,3),FALSE)),$C$3)*(1+Projection!AF$16)*(1+IF(AD137&gt;0,'Attrition Modeling'!$N$9,0)))</f>
        <v>0</v>
      </c>
      <c r="AE72" s="799">
        <f>AD72*(1-IFERROR(IF(AE$69+$F72&lt;=12,SUMIFS('Attrition Modeling'!$D:$D,'Attrition Modeling'!$C:$C,'IP Attrition'!$D72,'Attrition Modeling'!$B:$B,'IP Attrition'!AE$68),VLOOKUP($F72+AE$2,$A$6:$C$106,2,FALSE)*VLOOKUP(AE$1,'Attrition Modeling'!$L$15:$N$27,IF(AE$2+$F5&lt;=24,2,3),FALSE)),$C$3)*(1+Projection!AG$16)*(1+IF(AE137&gt;0,'Attrition Modeling'!$N$9,0)))</f>
        <v>0</v>
      </c>
      <c r="AF72" s="799">
        <f>AE72*(1-IFERROR(IF(AF$69+$F72&lt;=12,SUMIFS('Attrition Modeling'!$D:$D,'Attrition Modeling'!$C:$C,'IP Attrition'!$D72,'Attrition Modeling'!$B:$B,'IP Attrition'!AF$68),VLOOKUP($F72+AF$2,$A$6:$C$106,2,FALSE)*VLOOKUP(AF$1,'Attrition Modeling'!$L$15:$N$27,IF(AF$2+$F5&lt;=24,2,3),FALSE)),$C$3)*(1+Projection!AH$16)*(1+IF(AF137&gt;0,'Attrition Modeling'!$N$9,0)))</f>
        <v>0</v>
      </c>
      <c r="AG72" s="799">
        <f>AF72*(1-IFERROR(IF(AG$69+$F72&lt;=12,SUMIFS('Attrition Modeling'!$D:$D,'Attrition Modeling'!$C:$C,'IP Attrition'!$D72,'Attrition Modeling'!$B:$B,'IP Attrition'!AG$68),VLOOKUP($F72+AG$2,$A$6:$C$106,2,FALSE)*VLOOKUP(AG$1,'Attrition Modeling'!$L$15:$N$27,IF(AG$2+$F5&lt;=24,2,3),FALSE)),$C$3)*(1+Projection!AI$16)*(1+IF(AG137&gt;0,'Attrition Modeling'!$N$9,0)))</f>
        <v>0</v>
      </c>
      <c r="AH72" s="799">
        <f>AG72*(1-IFERROR(IF(AH$69+$F72&lt;=12,SUMIFS('Attrition Modeling'!$D:$D,'Attrition Modeling'!$C:$C,'IP Attrition'!$D72,'Attrition Modeling'!$B:$B,'IP Attrition'!AH$68),VLOOKUP($F72+AH$2,$A$6:$C$106,2,FALSE)*VLOOKUP(AH$1,'Attrition Modeling'!$L$15:$N$27,IF(AH$2+$F5&lt;=24,2,3),FALSE)),$C$3)*(1+Projection!AJ$16)*(1+IF(AH137&gt;0,'Attrition Modeling'!$N$9,0)))</f>
        <v>0</v>
      </c>
      <c r="AI72" s="799">
        <f>AH72*(1-IFERROR(IF(AI$69+$F72&lt;=12,SUMIFS('Attrition Modeling'!$D:$D,'Attrition Modeling'!$C:$C,'IP Attrition'!$D72,'Attrition Modeling'!$B:$B,'IP Attrition'!AI$68),VLOOKUP($F72+AI$2,$A$6:$C$106,2,FALSE)*VLOOKUP(AI$1,'Attrition Modeling'!$L$15:$N$27,IF(AI$2+$F5&lt;=24,2,3),FALSE)),$C$3)*(1+Projection!AK$16)*(1+IF(AI137&gt;0,'Attrition Modeling'!$N$9,0)))</f>
        <v>0</v>
      </c>
      <c r="AJ72" s="799">
        <f>AI72*(1-IFERROR(IF(AJ$69+$F72&lt;=12,SUMIFS('Attrition Modeling'!$D:$D,'Attrition Modeling'!$C:$C,'IP Attrition'!$D72,'Attrition Modeling'!$B:$B,'IP Attrition'!AJ$68),VLOOKUP($F72+AJ$2,$A$6:$C$106,2,FALSE)*VLOOKUP(AJ$1,'Attrition Modeling'!$L$15:$N$27,IF(AJ$2+$F5&lt;=24,2,3),FALSE)),$C$3)*(1+Projection!AL$16)*(1+IF(AJ137&gt;0,'Attrition Modeling'!$N$9,0)))</f>
        <v>0</v>
      </c>
      <c r="AK72" s="799">
        <f>AJ72*(1-IFERROR(IF(AK$69+$F72&lt;=12,SUMIFS('Attrition Modeling'!$D:$D,'Attrition Modeling'!$C:$C,'IP Attrition'!$D72,'Attrition Modeling'!$B:$B,'IP Attrition'!AK$68),VLOOKUP($F72+AK$2,$A$6:$C$106,2,FALSE)*VLOOKUP(AK$1,'Attrition Modeling'!$L$15:$N$27,IF(AK$2+$F5&lt;=24,2,3),FALSE)),$C$3)*(1+Projection!AM$16)*(1+IF(AK137&gt;0,'Attrition Modeling'!$N$9,0)))</f>
        <v>0</v>
      </c>
      <c r="AL72" s="799">
        <f>AK72*(1-IFERROR(IF(AL$69+$F72&lt;=12,SUMIFS('Attrition Modeling'!$D:$D,'Attrition Modeling'!$C:$C,'IP Attrition'!$D72,'Attrition Modeling'!$B:$B,'IP Attrition'!AL$68),VLOOKUP($F72+AL$2,$A$6:$C$106,2,FALSE)*VLOOKUP(AL$1,'Attrition Modeling'!$L$15:$N$27,IF(AL$2+$F5&lt;=24,2,3),FALSE)),$C$3)*(1+Projection!AN$16)*(1+IF(AL137&gt;0,'Attrition Modeling'!$N$9,0)))</f>
        <v>0</v>
      </c>
      <c r="AM72" s="799">
        <f>AL72*(1-IFERROR(IF(AM$69+$F72&lt;=12,SUMIFS('Attrition Modeling'!$D:$D,'Attrition Modeling'!$C:$C,'IP Attrition'!$D72,'Attrition Modeling'!$B:$B,'IP Attrition'!AM$68),VLOOKUP($F72+AM$2,$A$6:$C$106,2,FALSE)*VLOOKUP(AM$1,'Attrition Modeling'!$L$15:$N$27,IF(AM$2+$F5&lt;=24,2,3),FALSE)),$C$3)*(1+Projection!AO$16)*(1+IF(AM137&gt;0,'Attrition Modeling'!$N$9,0)))</f>
        <v>0</v>
      </c>
      <c r="AN72" s="799">
        <f>AM72*(1-IFERROR(IF(AN$69+$F72&lt;=12,SUMIFS('Attrition Modeling'!$D:$D,'Attrition Modeling'!$C:$C,'IP Attrition'!$D72,'Attrition Modeling'!$B:$B,'IP Attrition'!AN$68),VLOOKUP($F72+AN$2,$A$6:$C$106,2,FALSE)*VLOOKUP(AN$1,'Attrition Modeling'!$L$15:$N$27,IF(AN$2+$F5&lt;=24,2,3),FALSE)),$C$3)*(1+Projection!AP$16)*(1+IF(AN137&gt;0,'Attrition Modeling'!$N$9,0)))</f>
        <v>0</v>
      </c>
      <c r="AO72" s="799">
        <f>AN72*(1-IFERROR(IF(AO$69+$F72&lt;=12,SUMIFS('Attrition Modeling'!$D:$D,'Attrition Modeling'!$C:$C,'IP Attrition'!$D72,'Attrition Modeling'!$B:$B,'IP Attrition'!AO$68),VLOOKUP($F72+AO$2,$A$6:$C$106,2,FALSE)*VLOOKUP(AO$1,'Attrition Modeling'!$L$15:$N$27,IF(AO$2+$F5&lt;=24,2,3),FALSE)),$C$3)*(1+Projection!AQ$16)*(1+IF(AO137&gt;0,'Attrition Modeling'!$N$9,0)))</f>
        <v>0</v>
      </c>
      <c r="AP72" s="799">
        <f>AO72*(1-IFERROR(IF(AP$69+$F72&lt;=12,SUMIFS('Attrition Modeling'!$D:$D,'Attrition Modeling'!$C:$C,'IP Attrition'!$D72,'Attrition Modeling'!$B:$B,'IP Attrition'!AP$68),VLOOKUP($F72+AP$2,$A$6:$C$106,2,FALSE)*VLOOKUP(AP$1,'Attrition Modeling'!$L$15:$N$27,IF(AP$2+$F5&lt;=24,2,3),FALSE)),$C$3)*(1+Projection!AR$16)*(1+IF(AP137&gt;0,'Attrition Modeling'!$N$9,0)))</f>
        <v>0</v>
      </c>
      <c r="AQ72" s="799">
        <f>AP72*(1-IFERROR(IF(AQ$69+$F72&lt;=12,SUMIFS('Attrition Modeling'!$D:$D,'Attrition Modeling'!$C:$C,'IP Attrition'!$D72,'Attrition Modeling'!$B:$B,'IP Attrition'!AQ$68),VLOOKUP($F72+AQ$2,$A$6:$C$106,2,FALSE)*VLOOKUP(AQ$1,'Attrition Modeling'!$L$15:$N$27,IF(AQ$2+$F5&lt;=24,2,3),FALSE)),$C$3)*(1+Projection!AS$16)*(1+IF(AQ137&gt;0,'Attrition Modeling'!$N$9,0)))</f>
        <v>0</v>
      </c>
      <c r="AR72" s="799">
        <f>AQ72*(1-IFERROR(IF(AR$69+$F72&lt;=12,SUMIFS('Attrition Modeling'!$D:$D,'Attrition Modeling'!$C:$C,'IP Attrition'!$D72,'Attrition Modeling'!$B:$B,'IP Attrition'!AR$68),VLOOKUP($F72+AR$2,$A$6:$C$106,2,FALSE)*VLOOKUP(AR$1,'Attrition Modeling'!$L$15:$N$27,IF(AR$2+$F5&lt;=24,2,3),FALSE)),$C$3)*(1+Projection!AT$16)*(1+IF(AR137&gt;0,'Attrition Modeling'!$N$9,0)))</f>
        <v>0</v>
      </c>
      <c r="AS72" s="799">
        <f>AR72*(1-IFERROR(IF(AS$69+$F72&lt;=12,SUMIFS('Attrition Modeling'!$D:$D,'Attrition Modeling'!$C:$C,'IP Attrition'!$D72,'Attrition Modeling'!$B:$B,'IP Attrition'!AS$68),VLOOKUP($F72+AS$2,$A$6:$C$106,2,FALSE)*VLOOKUP(AS$1,'Attrition Modeling'!$L$15:$N$27,IF(AS$2+$F5&lt;=24,2,3),FALSE)),$C$3)*(1+Projection!AU$16)*(1+IF(AS137&gt;0,'Attrition Modeling'!$N$9,0)))</f>
        <v>0</v>
      </c>
      <c r="AT72" s="799">
        <f>AS72*(1-IFERROR(IF(AT$69+$F72&lt;=12,SUMIFS('Attrition Modeling'!$D:$D,'Attrition Modeling'!$C:$C,'IP Attrition'!$D72,'Attrition Modeling'!$B:$B,'IP Attrition'!AT$68),VLOOKUP($F72+AT$2,$A$6:$C$106,2,FALSE)*VLOOKUP(AT$1,'Attrition Modeling'!$L$15:$N$27,IF(AT$2+$F5&lt;=24,2,3),FALSE)),$C$3)*(1+Projection!AV$16)*(1+IF(AT137&gt;0,'Attrition Modeling'!$N$9,0)))</f>
        <v>0</v>
      </c>
      <c r="AU72" s="799">
        <f>AT72*(1-IFERROR(IF(AU$69+$F72&lt;=12,SUMIFS('Attrition Modeling'!$D:$D,'Attrition Modeling'!$C:$C,'IP Attrition'!$D72,'Attrition Modeling'!$B:$B,'IP Attrition'!AU$68),VLOOKUP($F72+AU$2,$A$6:$C$106,2,FALSE)*VLOOKUP(AU$1,'Attrition Modeling'!$L$15:$N$27,IF(AU$2+$F5&lt;=24,2,3),FALSE)),$C$3)*(1+Projection!AW$16)*(1+IF(AU137&gt;0,'Attrition Modeling'!$N$9,0)))</f>
        <v>0</v>
      </c>
      <c r="AV72" s="799">
        <f>AU72*(1-IFERROR(IF(AV$69+$F72&lt;=12,SUMIFS('Attrition Modeling'!$D:$D,'Attrition Modeling'!$C:$C,'IP Attrition'!$D72,'Attrition Modeling'!$B:$B,'IP Attrition'!AV$68),VLOOKUP($F72+AV$2,$A$6:$C$106,2,FALSE)*VLOOKUP(AV$1,'Attrition Modeling'!$L$15:$N$27,IF(AV$2+$F5&lt;=24,2,3),FALSE)),$C$3)*(1+Projection!AX$16)*(1+IF(AV137&gt;0,'Attrition Modeling'!$N$9,0)))</f>
        <v>0</v>
      </c>
      <c r="AW72" s="799">
        <f>AV72*(1-IFERROR(IF(AW$69+$F72&lt;=12,SUMIFS('Attrition Modeling'!$D:$D,'Attrition Modeling'!$C:$C,'IP Attrition'!$D72,'Attrition Modeling'!$B:$B,'IP Attrition'!AW$68),VLOOKUP($F72+AW$2,$A$6:$C$106,2,FALSE)*VLOOKUP(AW$1,'Attrition Modeling'!$L$15:$N$27,IF(AW$2+$F5&lt;=24,2,3),FALSE)),$C$3)*(1+Projection!AY$16)*(1+IF(AW137&gt;0,'Attrition Modeling'!$N$9,0)))</f>
        <v>0</v>
      </c>
      <c r="AX72" s="799">
        <f>AW72*(1-IFERROR(IF(AX$69+$F72&lt;=12,SUMIFS('Attrition Modeling'!$D:$D,'Attrition Modeling'!$C:$C,'IP Attrition'!$D72,'Attrition Modeling'!$B:$B,'IP Attrition'!AX$68),VLOOKUP($F72+AX$2,$A$6:$C$106,2,FALSE)*VLOOKUP(AX$1,'Attrition Modeling'!$L$15:$N$27,IF(AX$2+$F5&lt;=24,2,3),FALSE)),$C$3)*(1+Projection!AZ$16)*(1+IF(AX137&gt;0,'Attrition Modeling'!$N$9,0)))</f>
        <v>0</v>
      </c>
      <c r="AY72" s="799">
        <f>AX72*(1-IFERROR(IF(AY$69+$F72&lt;=12,SUMIFS('Attrition Modeling'!$D:$D,'Attrition Modeling'!$C:$C,'IP Attrition'!$D72,'Attrition Modeling'!$B:$B,'IP Attrition'!AY$68),VLOOKUP($F72+AY$2,$A$6:$C$106,2,FALSE)*VLOOKUP(AY$1,'Attrition Modeling'!$L$15:$N$27,IF(AY$2+$F5&lt;=24,2,3),FALSE)),$C$3)*(1+Projection!BA$16)*(1+IF(AY137&gt;0,'Attrition Modeling'!$N$9,0)))</f>
        <v>0</v>
      </c>
      <c r="AZ72" s="799">
        <f>AY72*(1-IFERROR(IF(AZ$69+$F72&lt;=12,SUMIFS('Attrition Modeling'!$D:$D,'Attrition Modeling'!$C:$C,'IP Attrition'!$D72,'Attrition Modeling'!$B:$B,'IP Attrition'!AZ$68),VLOOKUP($F72+AZ$2,$A$6:$C$106,2,FALSE)*VLOOKUP(AZ$1,'Attrition Modeling'!$L$15:$N$27,IF(AZ$2+$F5&lt;=24,2,3),FALSE)),$C$3)*(1+Projection!BB$16)*(1+IF(AZ137&gt;0,'Attrition Modeling'!$N$9,0)))</f>
        <v>0</v>
      </c>
      <c r="BA72" s="799">
        <f>AZ72*(1-IFERROR(IF(BA$69+$F72&lt;=12,SUMIFS('Attrition Modeling'!$D:$D,'Attrition Modeling'!$C:$C,'IP Attrition'!$D72,'Attrition Modeling'!$B:$B,'IP Attrition'!BA$68),VLOOKUP($F72+BA$2,$A$6:$C$106,2,FALSE)*VLOOKUP(BA$1,'Attrition Modeling'!$L$15:$N$27,IF(BA$2+$F5&lt;=24,2,3),FALSE)),$C$3)*(1+Projection!BC$16)*(1+IF(BA137&gt;0,'Attrition Modeling'!$N$9,0)))</f>
        <v>0</v>
      </c>
      <c r="BB72" s="799">
        <f>BA72*(1-IFERROR(IF(BB$69+$F72&lt;=12,SUMIFS('Attrition Modeling'!$D:$D,'Attrition Modeling'!$C:$C,'IP Attrition'!$D72,'Attrition Modeling'!$B:$B,'IP Attrition'!BB$68),VLOOKUP($F72+BB$2,$A$6:$C$106,2,FALSE)*VLOOKUP(BB$1,'Attrition Modeling'!$L$15:$N$27,IF(BB$2+$F5&lt;=24,2,3),FALSE)),$C$3)*(1+Projection!BD$16)*(1+IF(BB137&gt;0,'Attrition Modeling'!$N$9,0)))</f>
        <v>0</v>
      </c>
      <c r="BC72" s="799">
        <f>BB72*(1-IFERROR(IF(BC$69+$F72&lt;=12,SUMIFS('Attrition Modeling'!$D:$D,'Attrition Modeling'!$C:$C,'IP Attrition'!$D72,'Attrition Modeling'!$B:$B,'IP Attrition'!BC$68),VLOOKUP($F72+BC$2,$A$6:$C$106,2,FALSE)*VLOOKUP(BC$1,'Attrition Modeling'!$L$15:$N$27,IF(BC$2+$F5&lt;=24,2,3),FALSE)),$C$3)*(1+Projection!BE$16)*(1+IF(BC137&gt;0,'Attrition Modeling'!$N$9,0)))</f>
        <v>0</v>
      </c>
      <c r="BD72" s="799">
        <f>BC72*(1-IFERROR(IF(BD$69+$F72&lt;=12,SUMIFS('Attrition Modeling'!$D:$D,'Attrition Modeling'!$C:$C,'IP Attrition'!$D72,'Attrition Modeling'!$B:$B,'IP Attrition'!BD$68),VLOOKUP($F72+BD$2,$A$6:$C$106,2,FALSE)*VLOOKUP(BD$1,'Attrition Modeling'!$L$15:$N$27,IF(BD$2+$F5&lt;=24,2,3),FALSE)),$C$3)*(1+Projection!BF$16)*(1+IF(BD137&gt;0,'Attrition Modeling'!$N$9,0)))</f>
        <v>0</v>
      </c>
      <c r="BE72" s="799">
        <f>BD72*(1-IFERROR(IF(BE$69+$F72&lt;=12,SUMIFS('Attrition Modeling'!$D:$D,'Attrition Modeling'!$C:$C,'IP Attrition'!$D72,'Attrition Modeling'!$B:$B,'IP Attrition'!BE$68),VLOOKUP($F72+BE$2,$A$6:$C$106,2,FALSE)*VLOOKUP(BE$1,'Attrition Modeling'!$L$15:$N$27,IF(BE$2+$F5&lt;=24,2,3),FALSE)),$C$3)*(1+Projection!BG$16)*(1+IF(BE137&gt;0,'Attrition Modeling'!$N$9,0)))</f>
        <v>0</v>
      </c>
      <c r="BF72" s="799">
        <f>BE72*(1-IFERROR(IF(BF$69+$F72&lt;=12,SUMIFS('Attrition Modeling'!$D:$D,'Attrition Modeling'!$C:$C,'IP Attrition'!$D72,'Attrition Modeling'!$B:$B,'IP Attrition'!BF$68),VLOOKUP($F72+BF$2,$A$6:$C$106,2,FALSE)*VLOOKUP(BF$1,'Attrition Modeling'!$L$15:$N$27,IF(BF$2+$F5&lt;=24,2,3),FALSE)),$C$3)*(1+Projection!BH$16)*(1+IF(BF137&gt;0,'Attrition Modeling'!$N$9,0)))</f>
        <v>0</v>
      </c>
      <c r="BG72" s="799">
        <f>BF72*(1-IFERROR(IF(BG$69+$F72&lt;=12,SUMIFS('Attrition Modeling'!$D:$D,'Attrition Modeling'!$C:$C,'IP Attrition'!$D72,'Attrition Modeling'!$B:$B,'IP Attrition'!BG$68),VLOOKUP($F72+BG$2,$A$6:$C$106,2,FALSE)*VLOOKUP(BG$1,'Attrition Modeling'!$L$15:$N$27,IF(BG$2+$F5&lt;=24,2,3),FALSE)),$C$3)*(1+Projection!BI$16)*(1+IF(BG137&gt;0,'Attrition Modeling'!$N$9,0)))</f>
        <v>0</v>
      </c>
      <c r="BH72" s="799">
        <f>BG72*(1-IFERROR(IF(BH$69+$F72&lt;=12,SUMIFS('Attrition Modeling'!$D:$D,'Attrition Modeling'!$C:$C,'IP Attrition'!$D72,'Attrition Modeling'!$B:$B,'IP Attrition'!BH$68),VLOOKUP($F72+BH$2,$A$6:$C$106,2,FALSE)*VLOOKUP(BH$1,'Attrition Modeling'!$L$15:$N$27,IF(BH$2+$F5&lt;=24,2,3),FALSE)),$C$3)*(1+Projection!BJ$16)*(1+IF(BH137&gt;0,'Attrition Modeling'!$N$9,0)))</f>
        <v>0</v>
      </c>
      <c r="BI72" s="799">
        <f>BH72*(1-IFERROR(IF(BI$69+$F72&lt;=12,SUMIFS('Attrition Modeling'!$D:$D,'Attrition Modeling'!$C:$C,'IP Attrition'!$D72,'Attrition Modeling'!$B:$B,'IP Attrition'!BI$68),VLOOKUP($F72+BI$2,$A$6:$C$106,2,FALSE)*VLOOKUP(BI$1,'Attrition Modeling'!$L$15:$N$27,IF(BI$2+$F5&lt;=24,2,3),FALSE)),$C$3)*(1+Projection!BK$16)*(1+IF(BI137&gt;0,'Attrition Modeling'!$N$9,0)))</f>
        <v>0</v>
      </c>
      <c r="BJ72" s="799">
        <f>BI72*(1-IFERROR(IF(BJ$69+$F72&lt;=12,SUMIFS('Attrition Modeling'!$D:$D,'Attrition Modeling'!$C:$C,'IP Attrition'!$D72,'Attrition Modeling'!$B:$B,'IP Attrition'!BJ$68),VLOOKUP($F72+BJ$2,$A$6:$C$106,2,FALSE)*VLOOKUP(BJ$1,'Attrition Modeling'!$L$15:$N$27,IF(BJ$2+$F5&lt;=24,2,3),FALSE)),$C$3)*(1+Projection!BL$16)*(1+IF(BJ137&gt;0,'Attrition Modeling'!$N$9,0)))</f>
        <v>0</v>
      </c>
      <c r="BK72" s="799">
        <f>BJ72*(1-IFERROR(IF(BK$69+$F72&lt;=12,SUMIFS('Attrition Modeling'!$D:$D,'Attrition Modeling'!$C:$C,'IP Attrition'!$D72,'Attrition Modeling'!$B:$B,'IP Attrition'!BK$68),VLOOKUP($F72+BK$2,$A$6:$C$106,2,FALSE)*VLOOKUP(BK$1,'Attrition Modeling'!$L$15:$N$27,IF(BK$2+$F5&lt;=24,2,3),FALSE)),$C$3)*(1+Projection!BM$16)*(1+IF(BK137&gt;0,'Attrition Modeling'!$N$9,0)))</f>
        <v>0</v>
      </c>
      <c r="BL72" s="799">
        <f>BK72*(1-IFERROR(IF(BL$69+$F72&lt;=12,SUMIFS('Attrition Modeling'!$D:$D,'Attrition Modeling'!$C:$C,'IP Attrition'!$D72,'Attrition Modeling'!$B:$B,'IP Attrition'!BL$68),VLOOKUP($F72+BL$2,$A$6:$C$106,2,FALSE)*VLOOKUP(BL$1,'Attrition Modeling'!$L$15:$N$27,IF(BL$2+$F5&lt;=24,2,3),FALSE)),$C$3)*(1+Projection!BN$16)*(1+IF(BL137&gt;0,'Attrition Modeling'!$N$9,0)))</f>
        <v>0</v>
      </c>
      <c r="BM72" s="799">
        <f>BL72*(1-IFERROR(IF(BM$69+$F72&lt;=12,SUMIFS('Attrition Modeling'!$D:$D,'Attrition Modeling'!$C:$C,'IP Attrition'!$D72,'Attrition Modeling'!$B:$B,'IP Attrition'!BM$68),VLOOKUP($F72+BM$2,$A$6:$C$106,2,FALSE)*VLOOKUP(BM$1,'Attrition Modeling'!$L$15:$N$27,IF(BM$2+$F5&lt;=24,2,3),FALSE)),$C$3)*(1+Projection!BO$16)*(1+IF(BM137&gt;0,'Attrition Modeling'!$N$9,0)))</f>
        <v>0</v>
      </c>
      <c r="BN72" s="799">
        <f>BM72*(1-IFERROR(IF(BN$69+$F72&lt;=12,SUMIFS('Attrition Modeling'!$D:$D,'Attrition Modeling'!$C:$C,'IP Attrition'!$D72,'Attrition Modeling'!$B:$B,'IP Attrition'!BN$68),VLOOKUP($F72+BN$2,$A$6:$C$106,2,FALSE)*VLOOKUP(BN$1,'Attrition Modeling'!$L$15:$N$27,IF(BN$2+$F5&lt;=24,2,3),FALSE)),$C$3)*(1+Projection!BP$16)*(1+IF(BN137&gt;0,'Attrition Modeling'!$N$9,0)))</f>
        <v>0</v>
      </c>
      <c r="BO72" s="799">
        <f>BN72*(1-IFERROR(IF(BO$69+$F72&lt;=12,SUMIFS('Attrition Modeling'!$D:$D,'Attrition Modeling'!$C:$C,'IP Attrition'!$D72,'Attrition Modeling'!$B:$B,'IP Attrition'!BO$68),VLOOKUP($F72+BO$2,$A$6:$C$106,2,FALSE)*VLOOKUP(BO$1,'Attrition Modeling'!$L$15:$N$27,IF(BO$2+$F5&lt;=24,2,3),FALSE)),$C$3)*(1+Projection!BV$16)*(1+IF(BO137&gt;0,'Attrition Modeling'!$N$9,0)))</f>
        <v>0</v>
      </c>
      <c r="BP72" s="799">
        <f>BO72*(1-IFERROR(IF(BP$69+$F72&lt;=12,SUMIFS('Attrition Modeling'!$D:$D,'Attrition Modeling'!$C:$C,'IP Attrition'!$D72,'Attrition Modeling'!$B:$B,'IP Attrition'!BP$68),VLOOKUP($F72+BP$2,$A$6:$C$106,2,FALSE)*VLOOKUP(BP$1,'Attrition Modeling'!$L$15:$N$27,IF(BP$2+$F5&lt;=24,2,3),FALSE)),$C$3)*(1+Projection!BW$16)*(1+IF(BP137&gt;0,'Attrition Modeling'!$N$9,0)))</f>
        <v>0</v>
      </c>
      <c r="BQ72" s="799">
        <f>BP72*(1-IFERROR(IF(BQ$69+$F72&lt;=12,SUMIFS('Attrition Modeling'!$D:$D,'Attrition Modeling'!$C:$C,'IP Attrition'!$D72,'Attrition Modeling'!$B:$B,'IP Attrition'!BQ$68),VLOOKUP($F72+BQ$2,$A$6:$C$106,2,FALSE)*VLOOKUP(BQ$1,'Attrition Modeling'!$L$15:$N$27,IF(BQ$2+$F5&lt;=24,2,3),FALSE)),$C$3)*(1+Projection!BX$16)*(1+IF(BQ137&gt;0,'Attrition Modeling'!$N$9,0)))</f>
        <v>0</v>
      </c>
      <c r="BR72" s="799">
        <f>BQ72*(1-IFERROR(IF(BR$69+$F72&lt;=12,SUMIFS('Attrition Modeling'!$D:$D,'Attrition Modeling'!$C:$C,'IP Attrition'!$D72,'Attrition Modeling'!$B:$B,'IP Attrition'!BR$68),VLOOKUP($F72+BR$2,$A$6:$C$106,2,FALSE)*VLOOKUP(BR$1,'Attrition Modeling'!$L$15:$N$27,IF(BR$2+$F5&lt;=24,2,3),FALSE)),$C$3)*(1+Projection!BY$16)*(1+IF(BR137&gt;0,'Attrition Modeling'!$N$9,0)))</f>
        <v>0</v>
      </c>
      <c r="BS72" s="799">
        <f>BR72*(1-IFERROR(IF(BS$69+$F72&lt;=12,SUMIFS('Attrition Modeling'!$D:$D,'Attrition Modeling'!$C:$C,'IP Attrition'!$D72,'Attrition Modeling'!$B:$B,'IP Attrition'!BS$68),VLOOKUP($F72+BS$2,$A$6:$C$106,2,FALSE)*VLOOKUP(BS$1,'Attrition Modeling'!$L$15:$N$27,IF(BS$2+$F5&lt;=24,2,3),FALSE)),$C$3)*(1+Projection!BZ$16)*(1+IF(BS137&gt;0,'Attrition Modeling'!$N$9,0)))</f>
        <v>0</v>
      </c>
      <c r="BT72" s="799" t="e">
        <f>BS72*(1-IFERROR(IF(BT$69+$F72&lt;=12,SUMIFS('Attrition Modeling'!$D:$D,'Attrition Modeling'!$C:$C,'IP Attrition'!$D72,'Attrition Modeling'!$B:$B,'IP Attrition'!BT$68),VLOOKUP($F72+BT$2,$A$6:$C$106,2,FALSE)*VLOOKUP(BT$1,'Attrition Modeling'!$L$15:$N$27,IF(BT$2+$F5&lt;=24,2,3),FALSE)),$C$3)*(1+Projection!CA$16)*(1+IF(BT137&gt;0,'Attrition Modeling'!$N$9,0)))</f>
        <v>#REF!</v>
      </c>
      <c r="BU72" s="799" t="e">
        <f>BT72*(1-IFERROR(IF(BU$69+$F72&lt;=12,SUMIFS('Attrition Modeling'!$D:$D,'Attrition Modeling'!$C:$C,'IP Attrition'!$D72,'Attrition Modeling'!$B:$B,'IP Attrition'!BU$68),VLOOKUP($F72+BU$2,$A$6:$C$106,2,FALSE)*VLOOKUP(BU$1,'Attrition Modeling'!$L$15:$N$27,IF(BU$2+$F5&lt;=24,2,3),FALSE)),$C$3)*(1+Projection!CB$16)*(1+IF(BU137&gt;0,'Attrition Modeling'!$N$9,0)))</f>
        <v>#REF!</v>
      </c>
    </row>
    <row r="73" spans="1:73" ht="14.25" customHeight="1" x14ac:dyDescent="0.2">
      <c r="A73" s="9">
        <v>66</v>
      </c>
      <c r="B73" s="25">
        <f>MAX('Attrition Modeling'!H70,$C$3)*(1-Summary!$C$20)</f>
        <v>2.0734047981108256E-2</v>
      </c>
      <c r="C73" s="24" t="e">
        <f t="shared" si="3"/>
        <v>#DIV/0!</v>
      </c>
      <c r="D73" s="11">
        <f t="shared" ref="D73:E73" si="11">D6</f>
        <v>-3</v>
      </c>
      <c r="E73" s="25">
        <f t="shared" si="11"/>
        <v>0.13610718415204701</v>
      </c>
      <c r="F73" s="11">
        <f t="shared" si="9"/>
        <v>3</v>
      </c>
      <c r="G73" s="799">
        <f>Summary!$C$24*$E73</f>
        <v>0</v>
      </c>
      <c r="H73" s="799">
        <f>G73*(1-IFERROR(IF(H$69+$F73&lt;=12,SUMIFS('Attrition Modeling'!$D:$D,'Attrition Modeling'!$C:$C,'IP Attrition'!$D73,'Attrition Modeling'!$B:$B,'IP Attrition'!H$68),VLOOKUP($F73+H$2,$A$6:$C$106,2,FALSE)*VLOOKUP(H$1,'Attrition Modeling'!$L$15:$N$27,IF(H$2+$F6&lt;=24,2,3),FALSE)),$C$3)*(1+Projection!J$16)*(1+IF(H138&gt;0,'Attrition Modeling'!$N$9,0)))</f>
        <v>0</v>
      </c>
      <c r="I73" s="799">
        <f>H73*(1-IFERROR(IF(I$69+$F73&lt;=12,SUMIFS('Attrition Modeling'!$D:$D,'Attrition Modeling'!$C:$C,'IP Attrition'!$D73,'Attrition Modeling'!$B:$B,'IP Attrition'!I$68),VLOOKUP($F73+I$2,$A$6:$C$106,2,FALSE)*VLOOKUP(I$1,'Attrition Modeling'!$L$15:$N$27,IF(I$2+$F6&lt;=24,2,3),FALSE)),$C$3)*(1+Projection!K$16)*(1+IF(I138&gt;0,'Attrition Modeling'!$N$9,0)))</f>
        <v>0</v>
      </c>
      <c r="J73" s="799">
        <f>I73*(1-IFERROR(IF(J$69+$F73&lt;=12,SUMIFS('Attrition Modeling'!$D:$D,'Attrition Modeling'!$C:$C,'IP Attrition'!$D73,'Attrition Modeling'!$B:$B,'IP Attrition'!J$68),VLOOKUP($F73+J$2,$A$6:$C$106,2,FALSE)*VLOOKUP(J$1,'Attrition Modeling'!$L$15:$N$27,IF(J$2+$F6&lt;=24,2,3),FALSE)),$C$3)*(1+Projection!L$16)*(1+IF(J138&gt;0,'Attrition Modeling'!$N$9,0)))</f>
        <v>0</v>
      </c>
      <c r="K73" s="799">
        <f>J73*(1-IFERROR(IF(K$69+$F73&lt;=12,SUMIFS('Attrition Modeling'!$D:$D,'Attrition Modeling'!$C:$C,'IP Attrition'!$D73,'Attrition Modeling'!$B:$B,'IP Attrition'!K$68),VLOOKUP($F73+K$2,$A$6:$C$106,2,FALSE)*VLOOKUP(K$1,'Attrition Modeling'!$L$15:$N$27,IF(K$2+$F6&lt;=24,2,3),FALSE)),$C$3)*(1+Projection!M$16)*(1+IF(K138&gt;0,'Attrition Modeling'!$N$9,0)))</f>
        <v>0</v>
      </c>
      <c r="L73" s="799">
        <f>K73*(1-IFERROR(IF(L$69+$F73&lt;=12,SUMIFS('Attrition Modeling'!$D:$D,'Attrition Modeling'!$C:$C,'IP Attrition'!$D73,'Attrition Modeling'!$B:$B,'IP Attrition'!L$68),VLOOKUP($F73+L$2,$A$6:$C$106,2,FALSE)*VLOOKUP(L$1,'Attrition Modeling'!$L$15:$N$27,IF(L$2+$F6&lt;=24,2,3),FALSE)),$C$3)*(1+Projection!N$16)*(1+IF(L138&gt;0,'Attrition Modeling'!$N$9,0)))</f>
        <v>0</v>
      </c>
      <c r="M73" s="799">
        <f>L73*(1-IFERROR(IF(M$69+$F73&lt;=12,SUMIFS('Attrition Modeling'!$D:$D,'Attrition Modeling'!$C:$C,'IP Attrition'!$D73,'Attrition Modeling'!$B:$B,'IP Attrition'!M$68),VLOOKUP($F73+M$2,$A$6:$C$106,2,FALSE)*VLOOKUP(M$1,'Attrition Modeling'!$L$15:$N$27,IF(M$2+$F6&lt;=24,2,3),FALSE)),$C$3)*(1+Projection!O$16)*(1+IF(M138&gt;0,'Attrition Modeling'!$N$9,0)))</f>
        <v>0</v>
      </c>
      <c r="N73" s="799">
        <f>M73*(1-IFERROR(IF(N$69+$F73&lt;=12,SUMIFS('Attrition Modeling'!$D:$D,'Attrition Modeling'!$C:$C,'IP Attrition'!$D73,'Attrition Modeling'!$B:$B,'IP Attrition'!N$68),VLOOKUP($F73+N$2,$A$6:$C$106,2,FALSE)*VLOOKUP(N$1,'Attrition Modeling'!$L$15:$N$27,IF(N$2+$F6&lt;=24,2,3),FALSE)),$C$3)*(1+Projection!P$16)*(1+IF(N138&gt;0,'Attrition Modeling'!$N$9,0)))</f>
        <v>0</v>
      </c>
      <c r="O73" s="799">
        <f>N73*(1-IFERROR(IF(O$69+$F73&lt;=12,SUMIFS('Attrition Modeling'!$D:$D,'Attrition Modeling'!$C:$C,'IP Attrition'!$D73,'Attrition Modeling'!$B:$B,'IP Attrition'!O$68),VLOOKUP($F73+O$2,$A$6:$C$106,2,FALSE)*VLOOKUP(O$1,'Attrition Modeling'!$L$15:$N$27,IF(O$2+$F6&lt;=24,2,3),FALSE)),$C$3)*(1+Projection!Q$16)*(1+IF(O138&gt;0,'Attrition Modeling'!$N$9,0)))</f>
        <v>0</v>
      </c>
      <c r="P73" s="799">
        <f>O73*(1-IFERROR(IF(P$69+$F73&lt;=12,SUMIFS('Attrition Modeling'!$D:$D,'Attrition Modeling'!$C:$C,'IP Attrition'!$D73,'Attrition Modeling'!$B:$B,'IP Attrition'!P$68),VLOOKUP($F73+P$2,$A$6:$C$106,2,FALSE)*VLOOKUP(P$1,'Attrition Modeling'!$L$15:$N$27,IF(P$2+$F6&lt;=24,2,3),FALSE)),$C$3)*(1+Projection!R$16)*(1+IF(P138&gt;0,'Attrition Modeling'!$N$9,0)))</f>
        <v>0</v>
      </c>
      <c r="Q73" s="799">
        <f>P73*(1-IFERROR(IF(Q$69+$F73&lt;=12,SUMIFS('Attrition Modeling'!$D:$D,'Attrition Modeling'!$C:$C,'IP Attrition'!$D73,'Attrition Modeling'!$B:$B,'IP Attrition'!Q$68),VLOOKUP($F73+Q$2,$A$6:$C$106,2,FALSE)*VLOOKUP(Q$1,'Attrition Modeling'!$L$15:$N$27,IF(Q$2+$F6&lt;=24,2,3),FALSE)),$C$3)*(1+Projection!S$16)*(1+IF(Q138&gt;0,'Attrition Modeling'!$N$9,0)))</f>
        <v>0</v>
      </c>
      <c r="R73" s="799">
        <f>Q73*(1-IFERROR(IF(R$69+$F73&lt;=12,SUMIFS('Attrition Modeling'!$D:$D,'Attrition Modeling'!$C:$C,'IP Attrition'!$D73,'Attrition Modeling'!$B:$B,'IP Attrition'!R$68),VLOOKUP($F73+R$2,$A$6:$C$106,2,FALSE)*VLOOKUP(R$1,'Attrition Modeling'!$L$15:$N$27,IF(R$2+$F6&lt;=24,2,3),FALSE)),$C$3)*(1+Projection!T$16)*(1+IF(R138&gt;0,'Attrition Modeling'!$N$9,0)))</f>
        <v>0</v>
      </c>
      <c r="S73" s="799">
        <f>R73*(1-IFERROR(IF(S$69+$F73&lt;=12,SUMIFS('Attrition Modeling'!$D:$D,'Attrition Modeling'!$C:$C,'IP Attrition'!$D73,'Attrition Modeling'!$B:$B,'IP Attrition'!S$68),VLOOKUP($F73+S$2,$A$6:$C$106,2,FALSE)*VLOOKUP(S$1,'Attrition Modeling'!$L$15:$N$27,IF(S$2+$F6&lt;=24,2,3),FALSE)),$C$3)*(1+Projection!U$16)*(1+IF(S138&gt;0,'Attrition Modeling'!$N$9,0)))</f>
        <v>0</v>
      </c>
      <c r="T73" s="799">
        <f>S73*(1-IFERROR(IF(T$69+$F73&lt;=12,SUMIFS('Attrition Modeling'!$D:$D,'Attrition Modeling'!$C:$C,'IP Attrition'!$D73,'Attrition Modeling'!$B:$B,'IP Attrition'!T$68),VLOOKUP($F73+T$2,$A$6:$C$106,2,FALSE)*VLOOKUP(T$1,'Attrition Modeling'!$L$15:$N$27,IF(T$2+$F6&lt;=24,2,3),FALSE)),$C$3)*(1+Projection!V$16)*(1+IF(T138&gt;0,'Attrition Modeling'!$N$9,0)))</f>
        <v>0</v>
      </c>
      <c r="U73" s="799">
        <f>T73*(1-IFERROR(IF(U$69+$F73&lt;=12,SUMIFS('Attrition Modeling'!$D:$D,'Attrition Modeling'!$C:$C,'IP Attrition'!$D73,'Attrition Modeling'!$B:$B,'IP Attrition'!U$68),VLOOKUP($F73+U$2,$A$6:$C$106,2,FALSE)*VLOOKUP(U$1,'Attrition Modeling'!$L$15:$N$27,IF(U$2+$F6&lt;=24,2,3),FALSE)),$C$3)*(1+Projection!W$16)*(1+IF(U138&gt;0,'Attrition Modeling'!$N$9,0)))</f>
        <v>0</v>
      </c>
      <c r="V73" s="799">
        <f>U73*(1-IFERROR(IF(V$69+$F73&lt;=12,SUMIFS('Attrition Modeling'!$D:$D,'Attrition Modeling'!$C:$C,'IP Attrition'!$D73,'Attrition Modeling'!$B:$B,'IP Attrition'!V$68),VLOOKUP($F73+V$2,$A$6:$C$106,2,FALSE)*VLOOKUP(V$1,'Attrition Modeling'!$L$15:$N$27,IF(V$2+$F6&lt;=24,2,3),FALSE)),$C$3)*(1+Projection!X$16)*(1+IF(V138&gt;0,'Attrition Modeling'!$N$9,0)))</f>
        <v>0</v>
      </c>
      <c r="W73" s="799">
        <f>V73*(1-IFERROR(IF(W$69+$F73&lt;=12,SUMIFS('Attrition Modeling'!$D:$D,'Attrition Modeling'!$C:$C,'IP Attrition'!$D73,'Attrition Modeling'!$B:$B,'IP Attrition'!W$68),VLOOKUP($F73+W$2,$A$6:$C$106,2,FALSE)*VLOOKUP(W$1,'Attrition Modeling'!$L$15:$N$27,IF(W$2+$F6&lt;=24,2,3),FALSE)),$C$3)*(1+Projection!Y$16)*(1+IF(W138&gt;0,'Attrition Modeling'!$N$9,0)))</f>
        <v>0</v>
      </c>
      <c r="X73" s="799">
        <f>W73*(1-IFERROR(IF(X$69+$F73&lt;=12,SUMIFS('Attrition Modeling'!$D:$D,'Attrition Modeling'!$C:$C,'IP Attrition'!$D73,'Attrition Modeling'!$B:$B,'IP Attrition'!X$68),VLOOKUP($F73+X$2,$A$6:$C$106,2,FALSE)*VLOOKUP(X$1,'Attrition Modeling'!$L$15:$N$27,IF(X$2+$F6&lt;=24,2,3),FALSE)),$C$3)*(1+Projection!Z$16)*(1+IF(X138&gt;0,'Attrition Modeling'!$N$9,0)))</f>
        <v>0</v>
      </c>
      <c r="Y73" s="799">
        <f>X73*(1-IFERROR(IF(Y$69+$F73&lt;=12,SUMIFS('Attrition Modeling'!$D:$D,'Attrition Modeling'!$C:$C,'IP Attrition'!$D73,'Attrition Modeling'!$B:$B,'IP Attrition'!Y$68),VLOOKUP($F73+Y$2,$A$6:$C$106,2,FALSE)*VLOOKUP(Y$1,'Attrition Modeling'!$L$15:$N$27,IF(Y$2+$F6&lt;=24,2,3),FALSE)),$C$3)*(1+Projection!AA$16)*(1+IF(Y138&gt;0,'Attrition Modeling'!$N$9,0)))</f>
        <v>0</v>
      </c>
      <c r="Z73" s="799">
        <f>Y73*(1-IFERROR(IF(Z$69+$F73&lt;=12,SUMIFS('Attrition Modeling'!$D:$D,'Attrition Modeling'!$C:$C,'IP Attrition'!$D73,'Attrition Modeling'!$B:$B,'IP Attrition'!Z$68),VLOOKUP($F73+Z$2,$A$6:$C$106,2,FALSE)*VLOOKUP(Z$1,'Attrition Modeling'!$L$15:$N$27,IF(Z$2+$F6&lt;=24,2,3),FALSE)),$C$3)*(1+Projection!AB$16)*(1+IF(Z138&gt;0,'Attrition Modeling'!$N$9,0)))</f>
        <v>0</v>
      </c>
      <c r="AA73" s="799">
        <f>Z73*(1-IFERROR(IF(AA$69+$F73&lt;=12,SUMIFS('Attrition Modeling'!$D:$D,'Attrition Modeling'!$C:$C,'IP Attrition'!$D73,'Attrition Modeling'!$B:$B,'IP Attrition'!AA$68),VLOOKUP($F73+AA$2,$A$6:$C$106,2,FALSE)*VLOOKUP(AA$1,'Attrition Modeling'!$L$15:$N$27,IF(AA$2+$F6&lt;=24,2,3),FALSE)),$C$3)*(1+Projection!AC$16)*(1+IF(AA138&gt;0,'Attrition Modeling'!$N$9,0)))</f>
        <v>0</v>
      </c>
      <c r="AB73" s="799">
        <f>AA73*(1-IFERROR(IF(AB$69+$F73&lt;=12,SUMIFS('Attrition Modeling'!$D:$D,'Attrition Modeling'!$C:$C,'IP Attrition'!$D73,'Attrition Modeling'!$B:$B,'IP Attrition'!AB$68),VLOOKUP($F73+AB$2,$A$6:$C$106,2,FALSE)*VLOOKUP(AB$1,'Attrition Modeling'!$L$15:$N$27,IF(AB$2+$F6&lt;=24,2,3),FALSE)),$C$3)*(1+Projection!AD$16)*(1+IF(AB138&gt;0,'Attrition Modeling'!$N$9,0)))</f>
        <v>0</v>
      </c>
      <c r="AC73" s="799">
        <f>AB73*(1-IFERROR(IF(AC$69+$F73&lt;=12,SUMIFS('Attrition Modeling'!$D:$D,'Attrition Modeling'!$C:$C,'IP Attrition'!$D73,'Attrition Modeling'!$B:$B,'IP Attrition'!AC$68),VLOOKUP($F73+AC$2,$A$6:$C$106,2,FALSE)*VLOOKUP(AC$1,'Attrition Modeling'!$L$15:$N$27,IF(AC$2+$F6&lt;=24,2,3),FALSE)),$C$3)*(1+Projection!AE$16)*(1+IF(AC138&gt;0,'Attrition Modeling'!$N$9,0)))</f>
        <v>0</v>
      </c>
      <c r="AD73" s="799">
        <f>AC73*(1-IFERROR(IF(AD$69+$F73&lt;=12,SUMIFS('Attrition Modeling'!$D:$D,'Attrition Modeling'!$C:$C,'IP Attrition'!$D73,'Attrition Modeling'!$B:$B,'IP Attrition'!AD$68),VLOOKUP($F73+AD$2,$A$6:$C$106,2,FALSE)*VLOOKUP(AD$1,'Attrition Modeling'!$L$15:$N$27,IF(AD$2+$F6&lt;=24,2,3),FALSE)),$C$3)*(1+Projection!AF$16)*(1+IF(AD138&gt;0,'Attrition Modeling'!$N$9,0)))</f>
        <v>0</v>
      </c>
      <c r="AE73" s="799">
        <f>AD73*(1-IFERROR(IF(AE$69+$F73&lt;=12,SUMIFS('Attrition Modeling'!$D:$D,'Attrition Modeling'!$C:$C,'IP Attrition'!$D73,'Attrition Modeling'!$B:$B,'IP Attrition'!AE$68),VLOOKUP($F73+AE$2,$A$6:$C$106,2,FALSE)*VLOOKUP(AE$1,'Attrition Modeling'!$L$15:$N$27,IF(AE$2+$F6&lt;=24,2,3),FALSE)),$C$3)*(1+Projection!AG$16)*(1+IF(AE138&gt;0,'Attrition Modeling'!$N$9,0)))</f>
        <v>0</v>
      </c>
      <c r="AF73" s="799">
        <f>AE73*(1-IFERROR(IF(AF$69+$F73&lt;=12,SUMIFS('Attrition Modeling'!$D:$D,'Attrition Modeling'!$C:$C,'IP Attrition'!$D73,'Attrition Modeling'!$B:$B,'IP Attrition'!AF$68),VLOOKUP($F73+AF$2,$A$6:$C$106,2,FALSE)*VLOOKUP(AF$1,'Attrition Modeling'!$L$15:$N$27,IF(AF$2+$F6&lt;=24,2,3),FALSE)),$C$3)*(1+Projection!AH$16)*(1+IF(AF138&gt;0,'Attrition Modeling'!$N$9,0)))</f>
        <v>0</v>
      </c>
      <c r="AG73" s="799">
        <f>AF73*(1-IFERROR(IF(AG$69+$F73&lt;=12,SUMIFS('Attrition Modeling'!$D:$D,'Attrition Modeling'!$C:$C,'IP Attrition'!$D73,'Attrition Modeling'!$B:$B,'IP Attrition'!AG$68),VLOOKUP($F73+AG$2,$A$6:$C$106,2,FALSE)*VLOOKUP(AG$1,'Attrition Modeling'!$L$15:$N$27,IF(AG$2+$F6&lt;=24,2,3),FALSE)),$C$3)*(1+Projection!AI$16)*(1+IF(AG138&gt;0,'Attrition Modeling'!$N$9,0)))</f>
        <v>0</v>
      </c>
      <c r="AH73" s="799">
        <f>AG73*(1-IFERROR(IF(AH$69+$F73&lt;=12,SUMIFS('Attrition Modeling'!$D:$D,'Attrition Modeling'!$C:$C,'IP Attrition'!$D73,'Attrition Modeling'!$B:$B,'IP Attrition'!AH$68),VLOOKUP($F73+AH$2,$A$6:$C$106,2,FALSE)*VLOOKUP(AH$1,'Attrition Modeling'!$L$15:$N$27,IF(AH$2+$F6&lt;=24,2,3),FALSE)),$C$3)*(1+Projection!AJ$16)*(1+IF(AH138&gt;0,'Attrition Modeling'!$N$9,0)))</f>
        <v>0</v>
      </c>
      <c r="AI73" s="799">
        <f>AH73*(1-IFERROR(IF(AI$69+$F73&lt;=12,SUMIFS('Attrition Modeling'!$D:$D,'Attrition Modeling'!$C:$C,'IP Attrition'!$D73,'Attrition Modeling'!$B:$B,'IP Attrition'!AI$68),VLOOKUP($F73+AI$2,$A$6:$C$106,2,FALSE)*VLOOKUP(AI$1,'Attrition Modeling'!$L$15:$N$27,IF(AI$2+$F6&lt;=24,2,3),FALSE)),$C$3)*(1+Projection!AK$16)*(1+IF(AI138&gt;0,'Attrition Modeling'!$N$9,0)))</f>
        <v>0</v>
      </c>
      <c r="AJ73" s="799">
        <f>AI73*(1-IFERROR(IF(AJ$69+$F73&lt;=12,SUMIFS('Attrition Modeling'!$D:$D,'Attrition Modeling'!$C:$C,'IP Attrition'!$D73,'Attrition Modeling'!$B:$B,'IP Attrition'!AJ$68),VLOOKUP($F73+AJ$2,$A$6:$C$106,2,FALSE)*VLOOKUP(AJ$1,'Attrition Modeling'!$L$15:$N$27,IF(AJ$2+$F6&lt;=24,2,3),FALSE)),$C$3)*(1+Projection!AL$16)*(1+IF(AJ138&gt;0,'Attrition Modeling'!$N$9,0)))</f>
        <v>0</v>
      </c>
      <c r="AK73" s="799">
        <f>AJ73*(1-IFERROR(IF(AK$69+$F73&lt;=12,SUMIFS('Attrition Modeling'!$D:$D,'Attrition Modeling'!$C:$C,'IP Attrition'!$D73,'Attrition Modeling'!$B:$B,'IP Attrition'!AK$68),VLOOKUP($F73+AK$2,$A$6:$C$106,2,FALSE)*VLOOKUP(AK$1,'Attrition Modeling'!$L$15:$N$27,IF(AK$2+$F6&lt;=24,2,3),FALSE)),$C$3)*(1+Projection!AM$16)*(1+IF(AK138&gt;0,'Attrition Modeling'!$N$9,0)))</f>
        <v>0</v>
      </c>
      <c r="AL73" s="799">
        <f>AK73*(1-IFERROR(IF(AL$69+$F73&lt;=12,SUMIFS('Attrition Modeling'!$D:$D,'Attrition Modeling'!$C:$C,'IP Attrition'!$D73,'Attrition Modeling'!$B:$B,'IP Attrition'!AL$68),VLOOKUP($F73+AL$2,$A$6:$C$106,2,FALSE)*VLOOKUP(AL$1,'Attrition Modeling'!$L$15:$N$27,IF(AL$2+$F6&lt;=24,2,3),FALSE)),$C$3)*(1+Projection!AN$16)*(1+IF(AL138&gt;0,'Attrition Modeling'!$N$9,0)))</f>
        <v>0</v>
      </c>
      <c r="AM73" s="799">
        <f>AL73*(1-IFERROR(IF(AM$69+$F73&lt;=12,SUMIFS('Attrition Modeling'!$D:$D,'Attrition Modeling'!$C:$C,'IP Attrition'!$D73,'Attrition Modeling'!$B:$B,'IP Attrition'!AM$68),VLOOKUP($F73+AM$2,$A$6:$C$106,2,FALSE)*VLOOKUP(AM$1,'Attrition Modeling'!$L$15:$N$27,IF(AM$2+$F6&lt;=24,2,3),FALSE)),$C$3)*(1+Projection!AO$16)*(1+IF(AM138&gt;0,'Attrition Modeling'!$N$9,0)))</f>
        <v>0</v>
      </c>
      <c r="AN73" s="799">
        <f>AM73*(1-IFERROR(IF(AN$69+$F73&lt;=12,SUMIFS('Attrition Modeling'!$D:$D,'Attrition Modeling'!$C:$C,'IP Attrition'!$D73,'Attrition Modeling'!$B:$B,'IP Attrition'!AN$68),VLOOKUP($F73+AN$2,$A$6:$C$106,2,FALSE)*VLOOKUP(AN$1,'Attrition Modeling'!$L$15:$N$27,IF(AN$2+$F6&lt;=24,2,3),FALSE)),$C$3)*(1+Projection!AP$16)*(1+IF(AN138&gt;0,'Attrition Modeling'!$N$9,0)))</f>
        <v>0</v>
      </c>
      <c r="AO73" s="799">
        <f>AN73*(1-IFERROR(IF(AO$69+$F73&lt;=12,SUMIFS('Attrition Modeling'!$D:$D,'Attrition Modeling'!$C:$C,'IP Attrition'!$D73,'Attrition Modeling'!$B:$B,'IP Attrition'!AO$68),VLOOKUP($F73+AO$2,$A$6:$C$106,2,FALSE)*VLOOKUP(AO$1,'Attrition Modeling'!$L$15:$N$27,IF(AO$2+$F6&lt;=24,2,3),FALSE)),$C$3)*(1+Projection!AQ$16)*(1+IF(AO138&gt;0,'Attrition Modeling'!$N$9,0)))</f>
        <v>0</v>
      </c>
      <c r="AP73" s="799">
        <f>AO73*(1-IFERROR(IF(AP$69+$F73&lt;=12,SUMIFS('Attrition Modeling'!$D:$D,'Attrition Modeling'!$C:$C,'IP Attrition'!$D73,'Attrition Modeling'!$B:$B,'IP Attrition'!AP$68),VLOOKUP($F73+AP$2,$A$6:$C$106,2,FALSE)*VLOOKUP(AP$1,'Attrition Modeling'!$L$15:$N$27,IF(AP$2+$F6&lt;=24,2,3),FALSE)),$C$3)*(1+Projection!AR$16)*(1+IF(AP138&gt;0,'Attrition Modeling'!$N$9,0)))</f>
        <v>0</v>
      </c>
      <c r="AQ73" s="799">
        <f>AP73*(1-IFERROR(IF(AQ$69+$F73&lt;=12,SUMIFS('Attrition Modeling'!$D:$D,'Attrition Modeling'!$C:$C,'IP Attrition'!$D73,'Attrition Modeling'!$B:$B,'IP Attrition'!AQ$68),VLOOKUP($F73+AQ$2,$A$6:$C$106,2,FALSE)*VLOOKUP(AQ$1,'Attrition Modeling'!$L$15:$N$27,IF(AQ$2+$F6&lt;=24,2,3),FALSE)),$C$3)*(1+Projection!AS$16)*(1+IF(AQ138&gt;0,'Attrition Modeling'!$N$9,0)))</f>
        <v>0</v>
      </c>
      <c r="AR73" s="799">
        <f>AQ73*(1-IFERROR(IF(AR$69+$F73&lt;=12,SUMIFS('Attrition Modeling'!$D:$D,'Attrition Modeling'!$C:$C,'IP Attrition'!$D73,'Attrition Modeling'!$B:$B,'IP Attrition'!AR$68),VLOOKUP($F73+AR$2,$A$6:$C$106,2,FALSE)*VLOOKUP(AR$1,'Attrition Modeling'!$L$15:$N$27,IF(AR$2+$F6&lt;=24,2,3),FALSE)),$C$3)*(1+Projection!AT$16)*(1+IF(AR138&gt;0,'Attrition Modeling'!$N$9,0)))</f>
        <v>0</v>
      </c>
      <c r="AS73" s="799">
        <f>AR73*(1-IFERROR(IF(AS$69+$F73&lt;=12,SUMIFS('Attrition Modeling'!$D:$D,'Attrition Modeling'!$C:$C,'IP Attrition'!$D73,'Attrition Modeling'!$B:$B,'IP Attrition'!AS$68),VLOOKUP($F73+AS$2,$A$6:$C$106,2,FALSE)*VLOOKUP(AS$1,'Attrition Modeling'!$L$15:$N$27,IF(AS$2+$F6&lt;=24,2,3),FALSE)),$C$3)*(1+Projection!AU$16)*(1+IF(AS138&gt;0,'Attrition Modeling'!$N$9,0)))</f>
        <v>0</v>
      </c>
      <c r="AT73" s="799">
        <f>AS73*(1-IFERROR(IF(AT$69+$F73&lt;=12,SUMIFS('Attrition Modeling'!$D:$D,'Attrition Modeling'!$C:$C,'IP Attrition'!$D73,'Attrition Modeling'!$B:$B,'IP Attrition'!AT$68),VLOOKUP($F73+AT$2,$A$6:$C$106,2,FALSE)*VLOOKUP(AT$1,'Attrition Modeling'!$L$15:$N$27,IF(AT$2+$F6&lt;=24,2,3),FALSE)),$C$3)*(1+Projection!AV$16)*(1+IF(AT138&gt;0,'Attrition Modeling'!$N$9,0)))</f>
        <v>0</v>
      </c>
      <c r="AU73" s="799">
        <f>AT73*(1-IFERROR(IF(AU$69+$F73&lt;=12,SUMIFS('Attrition Modeling'!$D:$D,'Attrition Modeling'!$C:$C,'IP Attrition'!$D73,'Attrition Modeling'!$B:$B,'IP Attrition'!AU$68),VLOOKUP($F73+AU$2,$A$6:$C$106,2,FALSE)*VLOOKUP(AU$1,'Attrition Modeling'!$L$15:$N$27,IF(AU$2+$F6&lt;=24,2,3),FALSE)),$C$3)*(1+Projection!AW$16)*(1+IF(AU138&gt;0,'Attrition Modeling'!$N$9,0)))</f>
        <v>0</v>
      </c>
      <c r="AV73" s="799">
        <f>AU73*(1-IFERROR(IF(AV$69+$F73&lt;=12,SUMIFS('Attrition Modeling'!$D:$D,'Attrition Modeling'!$C:$C,'IP Attrition'!$D73,'Attrition Modeling'!$B:$B,'IP Attrition'!AV$68),VLOOKUP($F73+AV$2,$A$6:$C$106,2,FALSE)*VLOOKUP(AV$1,'Attrition Modeling'!$L$15:$N$27,IF(AV$2+$F6&lt;=24,2,3),FALSE)),$C$3)*(1+Projection!AX$16)*(1+IF(AV138&gt;0,'Attrition Modeling'!$N$9,0)))</f>
        <v>0</v>
      </c>
      <c r="AW73" s="799">
        <f>AV73*(1-IFERROR(IF(AW$69+$F73&lt;=12,SUMIFS('Attrition Modeling'!$D:$D,'Attrition Modeling'!$C:$C,'IP Attrition'!$D73,'Attrition Modeling'!$B:$B,'IP Attrition'!AW$68),VLOOKUP($F73+AW$2,$A$6:$C$106,2,FALSE)*VLOOKUP(AW$1,'Attrition Modeling'!$L$15:$N$27,IF(AW$2+$F6&lt;=24,2,3),FALSE)),$C$3)*(1+Projection!AY$16)*(1+IF(AW138&gt;0,'Attrition Modeling'!$N$9,0)))</f>
        <v>0</v>
      </c>
      <c r="AX73" s="799">
        <f>AW73*(1-IFERROR(IF(AX$69+$F73&lt;=12,SUMIFS('Attrition Modeling'!$D:$D,'Attrition Modeling'!$C:$C,'IP Attrition'!$D73,'Attrition Modeling'!$B:$B,'IP Attrition'!AX$68),VLOOKUP($F73+AX$2,$A$6:$C$106,2,FALSE)*VLOOKUP(AX$1,'Attrition Modeling'!$L$15:$N$27,IF(AX$2+$F6&lt;=24,2,3),FALSE)),$C$3)*(1+Projection!AZ$16)*(1+IF(AX138&gt;0,'Attrition Modeling'!$N$9,0)))</f>
        <v>0</v>
      </c>
      <c r="AY73" s="799">
        <f>AX73*(1-IFERROR(IF(AY$69+$F73&lt;=12,SUMIFS('Attrition Modeling'!$D:$D,'Attrition Modeling'!$C:$C,'IP Attrition'!$D73,'Attrition Modeling'!$B:$B,'IP Attrition'!AY$68),VLOOKUP($F73+AY$2,$A$6:$C$106,2,FALSE)*VLOOKUP(AY$1,'Attrition Modeling'!$L$15:$N$27,IF(AY$2+$F6&lt;=24,2,3),FALSE)),$C$3)*(1+Projection!BA$16)*(1+IF(AY138&gt;0,'Attrition Modeling'!$N$9,0)))</f>
        <v>0</v>
      </c>
      <c r="AZ73" s="799">
        <f>AY73*(1-IFERROR(IF(AZ$69+$F73&lt;=12,SUMIFS('Attrition Modeling'!$D:$D,'Attrition Modeling'!$C:$C,'IP Attrition'!$D73,'Attrition Modeling'!$B:$B,'IP Attrition'!AZ$68),VLOOKUP($F73+AZ$2,$A$6:$C$106,2,FALSE)*VLOOKUP(AZ$1,'Attrition Modeling'!$L$15:$N$27,IF(AZ$2+$F6&lt;=24,2,3),FALSE)),$C$3)*(1+Projection!BB$16)*(1+IF(AZ138&gt;0,'Attrition Modeling'!$N$9,0)))</f>
        <v>0</v>
      </c>
      <c r="BA73" s="799">
        <f>AZ73*(1-IFERROR(IF(BA$69+$F73&lt;=12,SUMIFS('Attrition Modeling'!$D:$D,'Attrition Modeling'!$C:$C,'IP Attrition'!$D73,'Attrition Modeling'!$B:$B,'IP Attrition'!BA$68),VLOOKUP($F73+BA$2,$A$6:$C$106,2,FALSE)*VLOOKUP(BA$1,'Attrition Modeling'!$L$15:$N$27,IF(BA$2+$F6&lt;=24,2,3),FALSE)),$C$3)*(1+Projection!BC$16)*(1+IF(BA138&gt;0,'Attrition Modeling'!$N$9,0)))</f>
        <v>0</v>
      </c>
      <c r="BB73" s="799">
        <f>BA73*(1-IFERROR(IF(BB$69+$F73&lt;=12,SUMIFS('Attrition Modeling'!$D:$D,'Attrition Modeling'!$C:$C,'IP Attrition'!$D73,'Attrition Modeling'!$B:$B,'IP Attrition'!BB$68),VLOOKUP($F73+BB$2,$A$6:$C$106,2,FALSE)*VLOOKUP(BB$1,'Attrition Modeling'!$L$15:$N$27,IF(BB$2+$F6&lt;=24,2,3),FALSE)),$C$3)*(1+Projection!BD$16)*(1+IF(BB138&gt;0,'Attrition Modeling'!$N$9,0)))</f>
        <v>0</v>
      </c>
      <c r="BC73" s="799">
        <f>BB73*(1-IFERROR(IF(BC$69+$F73&lt;=12,SUMIFS('Attrition Modeling'!$D:$D,'Attrition Modeling'!$C:$C,'IP Attrition'!$D73,'Attrition Modeling'!$B:$B,'IP Attrition'!BC$68),VLOOKUP($F73+BC$2,$A$6:$C$106,2,FALSE)*VLOOKUP(BC$1,'Attrition Modeling'!$L$15:$N$27,IF(BC$2+$F6&lt;=24,2,3),FALSE)),$C$3)*(1+Projection!BE$16)*(1+IF(BC138&gt;0,'Attrition Modeling'!$N$9,0)))</f>
        <v>0</v>
      </c>
      <c r="BD73" s="799">
        <f>BC73*(1-IFERROR(IF(BD$69+$F73&lt;=12,SUMIFS('Attrition Modeling'!$D:$D,'Attrition Modeling'!$C:$C,'IP Attrition'!$D73,'Attrition Modeling'!$B:$B,'IP Attrition'!BD$68),VLOOKUP($F73+BD$2,$A$6:$C$106,2,FALSE)*VLOOKUP(BD$1,'Attrition Modeling'!$L$15:$N$27,IF(BD$2+$F6&lt;=24,2,3),FALSE)),$C$3)*(1+Projection!BF$16)*(1+IF(BD138&gt;0,'Attrition Modeling'!$N$9,0)))</f>
        <v>0</v>
      </c>
      <c r="BE73" s="799">
        <f>BD73*(1-IFERROR(IF(BE$69+$F73&lt;=12,SUMIFS('Attrition Modeling'!$D:$D,'Attrition Modeling'!$C:$C,'IP Attrition'!$D73,'Attrition Modeling'!$B:$B,'IP Attrition'!BE$68),VLOOKUP($F73+BE$2,$A$6:$C$106,2,FALSE)*VLOOKUP(BE$1,'Attrition Modeling'!$L$15:$N$27,IF(BE$2+$F6&lt;=24,2,3),FALSE)),$C$3)*(1+Projection!BG$16)*(1+IF(BE138&gt;0,'Attrition Modeling'!$N$9,0)))</f>
        <v>0</v>
      </c>
      <c r="BF73" s="799">
        <f>BE73*(1-IFERROR(IF(BF$69+$F73&lt;=12,SUMIFS('Attrition Modeling'!$D:$D,'Attrition Modeling'!$C:$C,'IP Attrition'!$D73,'Attrition Modeling'!$B:$B,'IP Attrition'!BF$68),VLOOKUP($F73+BF$2,$A$6:$C$106,2,FALSE)*VLOOKUP(BF$1,'Attrition Modeling'!$L$15:$N$27,IF(BF$2+$F6&lt;=24,2,3),FALSE)),$C$3)*(1+Projection!BH$16)*(1+IF(BF138&gt;0,'Attrition Modeling'!$N$9,0)))</f>
        <v>0</v>
      </c>
      <c r="BG73" s="799">
        <f>BF73*(1-IFERROR(IF(BG$69+$F73&lt;=12,SUMIFS('Attrition Modeling'!$D:$D,'Attrition Modeling'!$C:$C,'IP Attrition'!$D73,'Attrition Modeling'!$B:$B,'IP Attrition'!BG$68),VLOOKUP($F73+BG$2,$A$6:$C$106,2,FALSE)*VLOOKUP(BG$1,'Attrition Modeling'!$L$15:$N$27,IF(BG$2+$F6&lt;=24,2,3),FALSE)),$C$3)*(1+Projection!BI$16)*(1+IF(BG138&gt;0,'Attrition Modeling'!$N$9,0)))</f>
        <v>0</v>
      </c>
      <c r="BH73" s="799">
        <f>BG73*(1-IFERROR(IF(BH$69+$F73&lt;=12,SUMIFS('Attrition Modeling'!$D:$D,'Attrition Modeling'!$C:$C,'IP Attrition'!$D73,'Attrition Modeling'!$B:$B,'IP Attrition'!BH$68),VLOOKUP($F73+BH$2,$A$6:$C$106,2,FALSE)*VLOOKUP(BH$1,'Attrition Modeling'!$L$15:$N$27,IF(BH$2+$F6&lt;=24,2,3),FALSE)),$C$3)*(1+Projection!BJ$16)*(1+IF(BH138&gt;0,'Attrition Modeling'!$N$9,0)))</f>
        <v>0</v>
      </c>
      <c r="BI73" s="799">
        <f>BH73*(1-IFERROR(IF(BI$69+$F73&lt;=12,SUMIFS('Attrition Modeling'!$D:$D,'Attrition Modeling'!$C:$C,'IP Attrition'!$D73,'Attrition Modeling'!$B:$B,'IP Attrition'!BI$68),VLOOKUP($F73+BI$2,$A$6:$C$106,2,FALSE)*VLOOKUP(BI$1,'Attrition Modeling'!$L$15:$N$27,IF(BI$2+$F6&lt;=24,2,3),FALSE)),$C$3)*(1+Projection!BK$16)*(1+IF(BI138&gt;0,'Attrition Modeling'!$N$9,0)))</f>
        <v>0</v>
      </c>
      <c r="BJ73" s="799">
        <f>BI73*(1-IFERROR(IF(BJ$69+$F73&lt;=12,SUMIFS('Attrition Modeling'!$D:$D,'Attrition Modeling'!$C:$C,'IP Attrition'!$D73,'Attrition Modeling'!$B:$B,'IP Attrition'!BJ$68),VLOOKUP($F73+BJ$2,$A$6:$C$106,2,FALSE)*VLOOKUP(BJ$1,'Attrition Modeling'!$L$15:$N$27,IF(BJ$2+$F6&lt;=24,2,3),FALSE)),$C$3)*(1+Projection!BL$16)*(1+IF(BJ138&gt;0,'Attrition Modeling'!$N$9,0)))</f>
        <v>0</v>
      </c>
      <c r="BK73" s="799">
        <f>BJ73*(1-IFERROR(IF(BK$69+$F73&lt;=12,SUMIFS('Attrition Modeling'!$D:$D,'Attrition Modeling'!$C:$C,'IP Attrition'!$D73,'Attrition Modeling'!$B:$B,'IP Attrition'!BK$68),VLOOKUP($F73+BK$2,$A$6:$C$106,2,FALSE)*VLOOKUP(BK$1,'Attrition Modeling'!$L$15:$N$27,IF(BK$2+$F6&lt;=24,2,3),FALSE)),$C$3)*(1+Projection!BM$16)*(1+IF(BK138&gt;0,'Attrition Modeling'!$N$9,0)))</f>
        <v>0</v>
      </c>
      <c r="BL73" s="799">
        <f>BK73*(1-IFERROR(IF(BL$69+$F73&lt;=12,SUMIFS('Attrition Modeling'!$D:$D,'Attrition Modeling'!$C:$C,'IP Attrition'!$D73,'Attrition Modeling'!$B:$B,'IP Attrition'!BL$68),VLOOKUP($F73+BL$2,$A$6:$C$106,2,FALSE)*VLOOKUP(BL$1,'Attrition Modeling'!$L$15:$N$27,IF(BL$2+$F6&lt;=24,2,3),FALSE)),$C$3)*(1+Projection!BN$16)*(1+IF(BL138&gt;0,'Attrition Modeling'!$N$9,0)))</f>
        <v>0</v>
      </c>
      <c r="BM73" s="799">
        <f>BL73*(1-IFERROR(IF(BM$69+$F73&lt;=12,SUMIFS('Attrition Modeling'!$D:$D,'Attrition Modeling'!$C:$C,'IP Attrition'!$D73,'Attrition Modeling'!$B:$B,'IP Attrition'!BM$68),VLOOKUP($F73+BM$2,$A$6:$C$106,2,FALSE)*VLOOKUP(BM$1,'Attrition Modeling'!$L$15:$N$27,IF(BM$2+$F6&lt;=24,2,3),FALSE)),$C$3)*(1+Projection!BO$16)*(1+IF(BM138&gt;0,'Attrition Modeling'!$N$9,0)))</f>
        <v>0</v>
      </c>
      <c r="BN73" s="799">
        <f>BM73*(1-IFERROR(IF(BN$69+$F73&lt;=12,SUMIFS('Attrition Modeling'!$D:$D,'Attrition Modeling'!$C:$C,'IP Attrition'!$D73,'Attrition Modeling'!$B:$B,'IP Attrition'!BN$68),VLOOKUP($F73+BN$2,$A$6:$C$106,2,FALSE)*VLOOKUP(BN$1,'Attrition Modeling'!$L$15:$N$27,IF(BN$2+$F6&lt;=24,2,3),FALSE)),$C$3)*(1+Projection!BP$16)*(1+IF(BN138&gt;0,'Attrition Modeling'!$N$9,0)))</f>
        <v>0</v>
      </c>
      <c r="BO73" s="799">
        <f>BN73*(1-IFERROR(IF(BO$69+$F73&lt;=12,SUMIFS('Attrition Modeling'!$D:$D,'Attrition Modeling'!$C:$C,'IP Attrition'!$D73,'Attrition Modeling'!$B:$B,'IP Attrition'!BO$68),VLOOKUP($F73+BO$2,$A$6:$C$106,2,FALSE)*VLOOKUP(BO$1,'Attrition Modeling'!$L$15:$N$27,IF(BO$2+$F6&lt;=24,2,3),FALSE)),$C$3)*(1+Projection!BV$16)*(1+IF(BO138&gt;0,'Attrition Modeling'!$N$9,0)))</f>
        <v>0</v>
      </c>
      <c r="BP73" s="799">
        <f>BO73*(1-IFERROR(IF(BP$69+$F73&lt;=12,SUMIFS('Attrition Modeling'!$D:$D,'Attrition Modeling'!$C:$C,'IP Attrition'!$D73,'Attrition Modeling'!$B:$B,'IP Attrition'!BP$68),VLOOKUP($F73+BP$2,$A$6:$C$106,2,FALSE)*VLOOKUP(BP$1,'Attrition Modeling'!$L$15:$N$27,IF(BP$2+$F6&lt;=24,2,3),FALSE)),$C$3)*(1+Projection!BW$16)*(1+IF(BP138&gt;0,'Attrition Modeling'!$N$9,0)))</f>
        <v>0</v>
      </c>
      <c r="BQ73" s="799">
        <f>BP73*(1-IFERROR(IF(BQ$69+$F73&lt;=12,SUMIFS('Attrition Modeling'!$D:$D,'Attrition Modeling'!$C:$C,'IP Attrition'!$D73,'Attrition Modeling'!$B:$B,'IP Attrition'!BQ$68),VLOOKUP($F73+BQ$2,$A$6:$C$106,2,FALSE)*VLOOKUP(BQ$1,'Attrition Modeling'!$L$15:$N$27,IF(BQ$2+$F6&lt;=24,2,3),FALSE)),$C$3)*(1+Projection!BX$16)*(1+IF(BQ138&gt;0,'Attrition Modeling'!$N$9,0)))</f>
        <v>0</v>
      </c>
      <c r="BR73" s="799">
        <f>BQ73*(1-IFERROR(IF(BR$69+$F73&lt;=12,SUMIFS('Attrition Modeling'!$D:$D,'Attrition Modeling'!$C:$C,'IP Attrition'!$D73,'Attrition Modeling'!$B:$B,'IP Attrition'!BR$68),VLOOKUP($F73+BR$2,$A$6:$C$106,2,FALSE)*VLOOKUP(BR$1,'Attrition Modeling'!$L$15:$N$27,IF(BR$2+$F6&lt;=24,2,3),FALSE)),$C$3)*(1+Projection!BY$16)*(1+IF(BR138&gt;0,'Attrition Modeling'!$N$9,0)))</f>
        <v>0</v>
      </c>
      <c r="BS73" s="799">
        <f>BR73*(1-IFERROR(IF(BS$69+$F73&lt;=12,SUMIFS('Attrition Modeling'!$D:$D,'Attrition Modeling'!$C:$C,'IP Attrition'!$D73,'Attrition Modeling'!$B:$B,'IP Attrition'!BS$68),VLOOKUP($F73+BS$2,$A$6:$C$106,2,FALSE)*VLOOKUP(BS$1,'Attrition Modeling'!$L$15:$N$27,IF(BS$2+$F6&lt;=24,2,3),FALSE)),$C$3)*(1+Projection!BZ$16)*(1+IF(BS138&gt;0,'Attrition Modeling'!$N$9,0)))</f>
        <v>0</v>
      </c>
      <c r="BT73" s="799" t="e">
        <f>BS73*(1-IFERROR(IF(BT$69+$F73&lt;=12,SUMIFS('Attrition Modeling'!$D:$D,'Attrition Modeling'!$C:$C,'IP Attrition'!$D73,'Attrition Modeling'!$B:$B,'IP Attrition'!BT$68),VLOOKUP($F73+BT$2,$A$6:$C$106,2,FALSE)*VLOOKUP(BT$1,'Attrition Modeling'!$L$15:$N$27,IF(BT$2+$F6&lt;=24,2,3),FALSE)),$C$3)*(1+Projection!CA$16)*(1+IF(BT138&gt;0,'Attrition Modeling'!$N$9,0)))</f>
        <v>#REF!</v>
      </c>
      <c r="BU73" s="799" t="e">
        <f>BT73*(1-IFERROR(IF(BU$69+$F73&lt;=12,SUMIFS('Attrition Modeling'!$D:$D,'Attrition Modeling'!$C:$C,'IP Attrition'!$D73,'Attrition Modeling'!$B:$B,'IP Attrition'!BU$68),VLOOKUP($F73+BU$2,$A$6:$C$106,2,FALSE)*VLOOKUP(BU$1,'Attrition Modeling'!$L$15:$N$27,IF(BU$2+$F6&lt;=24,2,3),FALSE)),$C$3)*(1+Projection!CB$16)*(1+IF(BU138&gt;0,'Attrition Modeling'!$N$9,0)))</f>
        <v>#REF!</v>
      </c>
    </row>
    <row r="74" spans="1:73" ht="14.25" customHeight="1" x14ac:dyDescent="0.2">
      <c r="A74" s="9">
        <v>67</v>
      </c>
      <c r="B74" s="25">
        <f>MAX('Attrition Modeling'!H71,$C$3)*(1-Summary!$C$20)</f>
        <v>2.0503378972638098E-2</v>
      </c>
      <c r="C74" s="24" t="e">
        <f t="shared" si="3"/>
        <v>#DIV/0!</v>
      </c>
      <c r="D74" s="11">
        <f t="shared" ref="D74:E74" si="12">D7</f>
        <v>-4</v>
      </c>
      <c r="E74" s="25">
        <f t="shared" si="12"/>
        <v>0.15294356027295372</v>
      </c>
      <c r="F74" s="11">
        <f t="shared" si="9"/>
        <v>4</v>
      </c>
      <c r="G74" s="799">
        <f>Summary!$C$24*$E74</f>
        <v>0</v>
      </c>
      <c r="H74" s="799">
        <f>G74*(1-IFERROR(IF(H$69+$F74&lt;=12,SUMIFS('Attrition Modeling'!$D:$D,'Attrition Modeling'!$C:$C,'IP Attrition'!$D74,'Attrition Modeling'!$B:$B,'IP Attrition'!H$68),VLOOKUP($F74+H$2,$A$6:$C$106,2,FALSE)*VLOOKUP(H$1,'Attrition Modeling'!$L$15:$N$27,IF(H$2+$F7&lt;=24,2,3),FALSE)),$C$3)*(1+Projection!J$16)*(1+IF(H139&gt;0,'Attrition Modeling'!$N$9,0)))</f>
        <v>0</v>
      </c>
      <c r="I74" s="799">
        <f>H74*(1-IFERROR(IF(I$69+$F74&lt;=12,SUMIFS('Attrition Modeling'!$D:$D,'Attrition Modeling'!$C:$C,'IP Attrition'!$D74,'Attrition Modeling'!$B:$B,'IP Attrition'!I$68),VLOOKUP($F74+I$2,$A$6:$C$106,2,FALSE)*VLOOKUP(I$1,'Attrition Modeling'!$L$15:$N$27,IF(I$2+$F7&lt;=24,2,3),FALSE)),$C$3)*(1+Projection!K$16)*(1+IF(I139&gt;0,'Attrition Modeling'!$N$9,0)))</f>
        <v>0</v>
      </c>
      <c r="J74" s="799">
        <f>I74*(1-IFERROR(IF(J$69+$F74&lt;=12,SUMIFS('Attrition Modeling'!$D:$D,'Attrition Modeling'!$C:$C,'IP Attrition'!$D74,'Attrition Modeling'!$B:$B,'IP Attrition'!J$68),VLOOKUP($F74+J$2,$A$6:$C$106,2,FALSE)*VLOOKUP(J$1,'Attrition Modeling'!$L$15:$N$27,IF(J$2+$F7&lt;=24,2,3),FALSE)),$C$3)*(1+Projection!L$16)*(1+IF(J139&gt;0,'Attrition Modeling'!$N$9,0)))</f>
        <v>0</v>
      </c>
      <c r="K74" s="799">
        <f>J74*(1-IFERROR(IF(K$69+$F74&lt;=12,SUMIFS('Attrition Modeling'!$D:$D,'Attrition Modeling'!$C:$C,'IP Attrition'!$D74,'Attrition Modeling'!$B:$B,'IP Attrition'!K$68),VLOOKUP($F74+K$2,$A$6:$C$106,2,FALSE)*VLOOKUP(K$1,'Attrition Modeling'!$L$15:$N$27,IF(K$2+$F7&lt;=24,2,3),FALSE)),$C$3)*(1+Projection!M$16)*(1+IF(K139&gt;0,'Attrition Modeling'!$N$9,0)))</f>
        <v>0</v>
      </c>
      <c r="L74" s="799">
        <f>K74*(1-IFERROR(IF(L$69+$F74&lt;=12,SUMIFS('Attrition Modeling'!$D:$D,'Attrition Modeling'!$C:$C,'IP Attrition'!$D74,'Attrition Modeling'!$B:$B,'IP Attrition'!L$68),VLOOKUP($F74+L$2,$A$6:$C$106,2,FALSE)*VLOOKUP(L$1,'Attrition Modeling'!$L$15:$N$27,IF(L$2+$F7&lt;=24,2,3),FALSE)),$C$3)*(1+Projection!N$16)*(1+IF(L139&gt;0,'Attrition Modeling'!$N$9,0)))</f>
        <v>0</v>
      </c>
      <c r="M74" s="799">
        <f>L74*(1-IFERROR(IF(M$69+$F74&lt;=12,SUMIFS('Attrition Modeling'!$D:$D,'Attrition Modeling'!$C:$C,'IP Attrition'!$D74,'Attrition Modeling'!$B:$B,'IP Attrition'!M$68),VLOOKUP($F74+M$2,$A$6:$C$106,2,FALSE)*VLOOKUP(M$1,'Attrition Modeling'!$L$15:$N$27,IF(M$2+$F7&lt;=24,2,3),FALSE)),$C$3)*(1+Projection!O$16)*(1+IF(M139&gt;0,'Attrition Modeling'!$N$9,0)))</f>
        <v>0</v>
      </c>
      <c r="N74" s="799">
        <f>M74*(1-IFERROR(IF(N$69+$F74&lt;=12,SUMIFS('Attrition Modeling'!$D:$D,'Attrition Modeling'!$C:$C,'IP Attrition'!$D74,'Attrition Modeling'!$B:$B,'IP Attrition'!N$68),VLOOKUP($F74+N$2,$A$6:$C$106,2,FALSE)*VLOOKUP(N$1,'Attrition Modeling'!$L$15:$N$27,IF(N$2+$F7&lt;=24,2,3),FALSE)),$C$3)*(1+Projection!P$16)*(1+IF(N139&gt;0,'Attrition Modeling'!$N$9,0)))</f>
        <v>0</v>
      </c>
      <c r="O74" s="799">
        <f>N74*(1-IFERROR(IF(O$69+$F74&lt;=12,SUMIFS('Attrition Modeling'!$D:$D,'Attrition Modeling'!$C:$C,'IP Attrition'!$D74,'Attrition Modeling'!$B:$B,'IP Attrition'!O$68),VLOOKUP($F74+O$2,$A$6:$C$106,2,FALSE)*VLOOKUP(O$1,'Attrition Modeling'!$L$15:$N$27,IF(O$2+$F7&lt;=24,2,3),FALSE)),$C$3)*(1+Projection!Q$16)*(1+IF(O139&gt;0,'Attrition Modeling'!$N$9,0)))</f>
        <v>0</v>
      </c>
      <c r="P74" s="799">
        <f>O74*(1-IFERROR(IF(P$69+$F74&lt;=12,SUMIFS('Attrition Modeling'!$D:$D,'Attrition Modeling'!$C:$C,'IP Attrition'!$D74,'Attrition Modeling'!$B:$B,'IP Attrition'!P$68),VLOOKUP($F74+P$2,$A$6:$C$106,2,FALSE)*VLOOKUP(P$1,'Attrition Modeling'!$L$15:$N$27,IF(P$2+$F7&lt;=24,2,3),FALSE)),$C$3)*(1+Projection!R$16)*(1+IF(P139&gt;0,'Attrition Modeling'!$N$9,0)))</f>
        <v>0</v>
      </c>
      <c r="Q74" s="799">
        <f>P74*(1-IFERROR(IF(Q$69+$F74&lt;=12,SUMIFS('Attrition Modeling'!$D:$D,'Attrition Modeling'!$C:$C,'IP Attrition'!$D74,'Attrition Modeling'!$B:$B,'IP Attrition'!Q$68),VLOOKUP($F74+Q$2,$A$6:$C$106,2,FALSE)*VLOOKUP(Q$1,'Attrition Modeling'!$L$15:$N$27,IF(Q$2+$F7&lt;=24,2,3),FALSE)),$C$3)*(1+Projection!S$16)*(1+IF(Q139&gt;0,'Attrition Modeling'!$N$9,0)))</f>
        <v>0</v>
      </c>
      <c r="R74" s="799">
        <f>Q74*(1-IFERROR(IF(R$69+$F74&lt;=12,SUMIFS('Attrition Modeling'!$D:$D,'Attrition Modeling'!$C:$C,'IP Attrition'!$D74,'Attrition Modeling'!$B:$B,'IP Attrition'!R$68),VLOOKUP($F74+R$2,$A$6:$C$106,2,FALSE)*VLOOKUP(R$1,'Attrition Modeling'!$L$15:$N$27,IF(R$2+$F7&lt;=24,2,3),FALSE)),$C$3)*(1+Projection!T$16)*(1+IF(R139&gt;0,'Attrition Modeling'!$N$9,0)))</f>
        <v>0</v>
      </c>
      <c r="S74" s="799">
        <f>R74*(1-IFERROR(IF(S$69+$F74&lt;=12,SUMIFS('Attrition Modeling'!$D:$D,'Attrition Modeling'!$C:$C,'IP Attrition'!$D74,'Attrition Modeling'!$B:$B,'IP Attrition'!S$68),VLOOKUP($F74+S$2,$A$6:$C$106,2,FALSE)*VLOOKUP(S$1,'Attrition Modeling'!$L$15:$N$27,IF(S$2+$F7&lt;=24,2,3),FALSE)),$C$3)*(1+Projection!U$16)*(1+IF(S139&gt;0,'Attrition Modeling'!$N$9,0)))</f>
        <v>0</v>
      </c>
      <c r="T74" s="799">
        <f>S74*(1-IFERROR(IF(T$69+$F74&lt;=12,SUMIFS('Attrition Modeling'!$D:$D,'Attrition Modeling'!$C:$C,'IP Attrition'!$D74,'Attrition Modeling'!$B:$B,'IP Attrition'!T$68),VLOOKUP($F74+T$2,$A$6:$C$106,2,FALSE)*VLOOKUP(T$1,'Attrition Modeling'!$L$15:$N$27,IF(T$2+$F7&lt;=24,2,3),FALSE)),$C$3)*(1+Projection!V$16)*(1+IF(T139&gt;0,'Attrition Modeling'!$N$9,0)))</f>
        <v>0</v>
      </c>
      <c r="U74" s="799">
        <f>T74*(1-IFERROR(IF(U$69+$F74&lt;=12,SUMIFS('Attrition Modeling'!$D:$D,'Attrition Modeling'!$C:$C,'IP Attrition'!$D74,'Attrition Modeling'!$B:$B,'IP Attrition'!U$68),VLOOKUP($F74+U$2,$A$6:$C$106,2,FALSE)*VLOOKUP(U$1,'Attrition Modeling'!$L$15:$N$27,IF(U$2+$F7&lt;=24,2,3),FALSE)),$C$3)*(1+Projection!W$16)*(1+IF(U139&gt;0,'Attrition Modeling'!$N$9,0)))</f>
        <v>0</v>
      </c>
      <c r="V74" s="799">
        <f>U74*(1-IFERROR(IF(V$69+$F74&lt;=12,SUMIFS('Attrition Modeling'!$D:$D,'Attrition Modeling'!$C:$C,'IP Attrition'!$D74,'Attrition Modeling'!$B:$B,'IP Attrition'!V$68),VLOOKUP($F74+V$2,$A$6:$C$106,2,FALSE)*VLOOKUP(V$1,'Attrition Modeling'!$L$15:$N$27,IF(V$2+$F7&lt;=24,2,3),FALSE)),$C$3)*(1+Projection!X$16)*(1+IF(V139&gt;0,'Attrition Modeling'!$N$9,0)))</f>
        <v>0</v>
      </c>
      <c r="W74" s="799">
        <f>V74*(1-IFERROR(IF(W$69+$F74&lt;=12,SUMIFS('Attrition Modeling'!$D:$D,'Attrition Modeling'!$C:$C,'IP Attrition'!$D74,'Attrition Modeling'!$B:$B,'IP Attrition'!W$68),VLOOKUP($F74+W$2,$A$6:$C$106,2,FALSE)*VLOOKUP(W$1,'Attrition Modeling'!$L$15:$N$27,IF(W$2+$F7&lt;=24,2,3),FALSE)),$C$3)*(1+Projection!Y$16)*(1+IF(W139&gt;0,'Attrition Modeling'!$N$9,0)))</f>
        <v>0</v>
      </c>
      <c r="X74" s="799">
        <f>W74*(1-IFERROR(IF(X$69+$F74&lt;=12,SUMIFS('Attrition Modeling'!$D:$D,'Attrition Modeling'!$C:$C,'IP Attrition'!$D74,'Attrition Modeling'!$B:$B,'IP Attrition'!X$68),VLOOKUP($F74+X$2,$A$6:$C$106,2,FALSE)*VLOOKUP(X$1,'Attrition Modeling'!$L$15:$N$27,IF(X$2+$F7&lt;=24,2,3),FALSE)),$C$3)*(1+Projection!Z$16)*(1+IF(X139&gt;0,'Attrition Modeling'!$N$9,0)))</f>
        <v>0</v>
      </c>
      <c r="Y74" s="799">
        <f>X74*(1-IFERROR(IF(Y$69+$F74&lt;=12,SUMIFS('Attrition Modeling'!$D:$D,'Attrition Modeling'!$C:$C,'IP Attrition'!$D74,'Attrition Modeling'!$B:$B,'IP Attrition'!Y$68),VLOOKUP($F74+Y$2,$A$6:$C$106,2,FALSE)*VLOOKUP(Y$1,'Attrition Modeling'!$L$15:$N$27,IF(Y$2+$F7&lt;=24,2,3),FALSE)),$C$3)*(1+Projection!AA$16)*(1+IF(Y139&gt;0,'Attrition Modeling'!$N$9,0)))</f>
        <v>0</v>
      </c>
      <c r="Z74" s="799">
        <f>Y74*(1-IFERROR(IF(Z$69+$F74&lt;=12,SUMIFS('Attrition Modeling'!$D:$D,'Attrition Modeling'!$C:$C,'IP Attrition'!$D74,'Attrition Modeling'!$B:$B,'IP Attrition'!Z$68),VLOOKUP($F74+Z$2,$A$6:$C$106,2,FALSE)*VLOOKUP(Z$1,'Attrition Modeling'!$L$15:$N$27,IF(Z$2+$F7&lt;=24,2,3),FALSE)),$C$3)*(1+Projection!AB$16)*(1+IF(Z139&gt;0,'Attrition Modeling'!$N$9,0)))</f>
        <v>0</v>
      </c>
      <c r="AA74" s="799">
        <f>Z74*(1-IFERROR(IF(AA$69+$F74&lt;=12,SUMIFS('Attrition Modeling'!$D:$D,'Attrition Modeling'!$C:$C,'IP Attrition'!$D74,'Attrition Modeling'!$B:$B,'IP Attrition'!AA$68),VLOOKUP($F74+AA$2,$A$6:$C$106,2,FALSE)*VLOOKUP(AA$1,'Attrition Modeling'!$L$15:$N$27,IF(AA$2+$F7&lt;=24,2,3),FALSE)),$C$3)*(1+Projection!AC$16)*(1+IF(AA139&gt;0,'Attrition Modeling'!$N$9,0)))</f>
        <v>0</v>
      </c>
      <c r="AB74" s="799">
        <f>AA74*(1-IFERROR(IF(AB$69+$F74&lt;=12,SUMIFS('Attrition Modeling'!$D:$D,'Attrition Modeling'!$C:$C,'IP Attrition'!$D74,'Attrition Modeling'!$B:$B,'IP Attrition'!AB$68),VLOOKUP($F74+AB$2,$A$6:$C$106,2,FALSE)*VLOOKUP(AB$1,'Attrition Modeling'!$L$15:$N$27,IF(AB$2+$F7&lt;=24,2,3),FALSE)),$C$3)*(1+Projection!AD$16)*(1+IF(AB139&gt;0,'Attrition Modeling'!$N$9,0)))</f>
        <v>0</v>
      </c>
      <c r="AC74" s="799">
        <f>AB74*(1-IFERROR(IF(AC$69+$F74&lt;=12,SUMIFS('Attrition Modeling'!$D:$D,'Attrition Modeling'!$C:$C,'IP Attrition'!$D74,'Attrition Modeling'!$B:$B,'IP Attrition'!AC$68),VLOOKUP($F74+AC$2,$A$6:$C$106,2,FALSE)*VLOOKUP(AC$1,'Attrition Modeling'!$L$15:$N$27,IF(AC$2+$F7&lt;=24,2,3),FALSE)),$C$3)*(1+Projection!AE$16)*(1+IF(AC139&gt;0,'Attrition Modeling'!$N$9,0)))</f>
        <v>0</v>
      </c>
      <c r="AD74" s="799">
        <f>AC74*(1-IFERROR(IF(AD$69+$F74&lt;=12,SUMIFS('Attrition Modeling'!$D:$D,'Attrition Modeling'!$C:$C,'IP Attrition'!$D74,'Attrition Modeling'!$B:$B,'IP Attrition'!AD$68),VLOOKUP($F74+AD$2,$A$6:$C$106,2,FALSE)*VLOOKUP(AD$1,'Attrition Modeling'!$L$15:$N$27,IF(AD$2+$F7&lt;=24,2,3),FALSE)),$C$3)*(1+Projection!AF$16)*(1+IF(AD139&gt;0,'Attrition Modeling'!$N$9,0)))</f>
        <v>0</v>
      </c>
      <c r="AE74" s="799">
        <f>AD74*(1-IFERROR(IF(AE$69+$F74&lt;=12,SUMIFS('Attrition Modeling'!$D:$D,'Attrition Modeling'!$C:$C,'IP Attrition'!$D74,'Attrition Modeling'!$B:$B,'IP Attrition'!AE$68),VLOOKUP($F74+AE$2,$A$6:$C$106,2,FALSE)*VLOOKUP(AE$1,'Attrition Modeling'!$L$15:$N$27,IF(AE$2+$F7&lt;=24,2,3),FALSE)),$C$3)*(1+Projection!AG$16)*(1+IF(AE139&gt;0,'Attrition Modeling'!$N$9,0)))</f>
        <v>0</v>
      </c>
      <c r="AF74" s="799">
        <f>AE74*(1-IFERROR(IF(AF$69+$F74&lt;=12,SUMIFS('Attrition Modeling'!$D:$D,'Attrition Modeling'!$C:$C,'IP Attrition'!$D74,'Attrition Modeling'!$B:$B,'IP Attrition'!AF$68),VLOOKUP($F74+AF$2,$A$6:$C$106,2,FALSE)*VLOOKUP(AF$1,'Attrition Modeling'!$L$15:$N$27,IF(AF$2+$F7&lt;=24,2,3),FALSE)),$C$3)*(1+Projection!AH$16)*(1+IF(AF139&gt;0,'Attrition Modeling'!$N$9,0)))</f>
        <v>0</v>
      </c>
      <c r="AG74" s="799">
        <f>AF74*(1-IFERROR(IF(AG$69+$F74&lt;=12,SUMIFS('Attrition Modeling'!$D:$D,'Attrition Modeling'!$C:$C,'IP Attrition'!$D74,'Attrition Modeling'!$B:$B,'IP Attrition'!AG$68),VLOOKUP($F74+AG$2,$A$6:$C$106,2,FALSE)*VLOOKUP(AG$1,'Attrition Modeling'!$L$15:$N$27,IF(AG$2+$F7&lt;=24,2,3),FALSE)),$C$3)*(1+Projection!AI$16)*(1+IF(AG139&gt;0,'Attrition Modeling'!$N$9,0)))</f>
        <v>0</v>
      </c>
      <c r="AH74" s="799">
        <f>AG74*(1-IFERROR(IF(AH$69+$F74&lt;=12,SUMIFS('Attrition Modeling'!$D:$D,'Attrition Modeling'!$C:$C,'IP Attrition'!$D74,'Attrition Modeling'!$B:$B,'IP Attrition'!AH$68),VLOOKUP($F74+AH$2,$A$6:$C$106,2,FALSE)*VLOOKUP(AH$1,'Attrition Modeling'!$L$15:$N$27,IF(AH$2+$F7&lt;=24,2,3),FALSE)),$C$3)*(1+Projection!AJ$16)*(1+IF(AH139&gt;0,'Attrition Modeling'!$N$9,0)))</f>
        <v>0</v>
      </c>
      <c r="AI74" s="799">
        <f>AH74*(1-IFERROR(IF(AI$69+$F74&lt;=12,SUMIFS('Attrition Modeling'!$D:$D,'Attrition Modeling'!$C:$C,'IP Attrition'!$D74,'Attrition Modeling'!$B:$B,'IP Attrition'!AI$68),VLOOKUP($F74+AI$2,$A$6:$C$106,2,FALSE)*VLOOKUP(AI$1,'Attrition Modeling'!$L$15:$N$27,IF(AI$2+$F7&lt;=24,2,3),FALSE)),$C$3)*(1+Projection!AK$16)*(1+IF(AI139&gt;0,'Attrition Modeling'!$N$9,0)))</f>
        <v>0</v>
      </c>
      <c r="AJ74" s="799">
        <f>AI74*(1-IFERROR(IF(AJ$69+$F74&lt;=12,SUMIFS('Attrition Modeling'!$D:$D,'Attrition Modeling'!$C:$C,'IP Attrition'!$D74,'Attrition Modeling'!$B:$B,'IP Attrition'!AJ$68),VLOOKUP($F74+AJ$2,$A$6:$C$106,2,FALSE)*VLOOKUP(AJ$1,'Attrition Modeling'!$L$15:$N$27,IF(AJ$2+$F7&lt;=24,2,3),FALSE)),$C$3)*(1+Projection!AL$16)*(1+IF(AJ139&gt;0,'Attrition Modeling'!$N$9,0)))</f>
        <v>0</v>
      </c>
      <c r="AK74" s="799">
        <f>AJ74*(1-IFERROR(IF(AK$69+$F74&lt;=12,SUMIFS('Attrition Modeling'!$D:$D,'Attrition Modeling'!$C:$C,'IP Attrition'!$D74,'Attrition Modeling'!$B:$B,'IP Attrition'!AK$68),VLOOKUP($F74+AK$2,$A$6:$C$106,2,FALSE)*VLOOKUP(AK$1,'Attrition Modeling'!$L$15:$N$27,IF(AK$2+$F7&lt;=24,2,3),FALSE)),$C$3)*(1+Projection!AM$16)*(1+IF(AK139&gt;0,'Attrition Modeling'!$N$9,0)))</f>
        <v>0</v>
      </c>
      <c r="AL74" s="799">
        <f>AK74*(1-IFERROR(IF(AL$69+$F74&lt;=12,SUMIFS('Attrition Modeling'!$D:$D,'Attrition Modeling'!$C:$C,'IP Attrition'!$D74,'Attrition Modeling'!$B:$B,'IP Attrition'!AL$68),VLOOKUP($F74+AL$2,$A$6:$C$106,2,FALSE)*VLOOKUP(AL$1,'Attrition Modeling'!$L$15:$N$27,IF(AL$2+$F7&lt;=24,2,3),FALSE)),$C$3)*(1+Projection!AN$16)*(1+IF(AL139&gt;0,'Attrition Modeling'!$N$9,0)))</f>
        <v>0</v>
      </c>
      <c r="AM74" s="799">
        <f>AL74*(1-IFERROR(IF(AM$69+$F74&lt;=12,SUMIFS('Attrition Modeling'!$D:$D,'Attrition Modeling'!$C:$C,'IP Attrition'!$D74,'Attrition Modeling'!$B:$B,'IP Attrition'!AM$68),VLOOKUP($F74+AM$2,$A$6:$C$106,2,FALSE)*VLOOKUP(AM$1,'Attrition Modeling'!$L$15:$N$27,IF(AM$2+$F7&lt;=24,2,3),FALSE)),$C$3)*(1+Projection!AO$16)*(1+IF(AM139&gt;0,'Attrition Modeling'!$N$9,0)))</f>
        <v>0</v>
      </c>
      <c r="AN74" s="799">
        <f>AM74*(1-IFERROR(IF(AN$69+$F74&lt;=12,SUMIFS('Attrition Modeling'!$D:$D,'Attrition Modeling'!$C:$C,'IP Attrition'!$D74,'Attrition Modeling'!$B:$B,'IP Attrition'!AN$68),VLOOKUP($F74+AN$2,$A$6:$C$106,2,FALSE)*VLOOKUP(AN$1,'Attrition Modeling'!$L$15:$N$27,IF(AN$2+$F7&lt;=24,2,3),FALSE)),$C$3)*(1+Projection!AP$16)*(1+IF(AN139&gt;0,'Attrition Modeling'!$N$9,0)))</f>
        <v>0</v>
      </c>
      <c r="AO74" s="799">
        <f>AN74*(1-IFERROR(IF(AO$69+$F74&lt;=12,SUMIFS('Attrition Modeling'!$D:$D,'Attrition Modeling'!$C:$C,'IP Attrition'!$D74,'Attrition Modeling'!$B:$B,'IP Attrition'!AO$68),VLOOKUP($F74+AO$2,$A$6:$C$106,2,FALSE)*VLOOKUP(AO$1,'Attrition Modeling'!$L$15:$N$27,IF(AO$2+$F7&lt;=24,2,3),FALSE)),$C$3)*(1+Projection!AQ$16)*(1+IF(AO139&gt;0,'Attrition Modeling'!$N$9,0)))</f>
        <v>0</v>
      </c>
      <c r="AP74" s="799">
        <f>AO74*(1-IFERROR(IF(AP$69+$F74&lt;=12,SUMIFS('Attrition Modeling'!$D:$D,'Attrition Modeling'!$C:$C,'IP Attrition'!$D74,'Attrition Modeling'!$B:$B,'IP Attrition'!AP$68),VLOOKUP($F74+AP$2,$A$6:$C$106,2,FALSE)*VLOOKUP(AP$1,'Attrition Modeling'!$L$15:$N$27,IF(AP$2+$F7&lt;=24,2,3),FALSE)),$C$3)*(1+Projection!AR$16)*(1+IF(AP139&gt;0,'Attrition Modeling'!$N$9,0)))</f>
        <v>0</v>
      </c>
      <c r="AQ74" s="799">
        <f>AP74*(1-IFERROR(IF(AQ$69+$F74&lt;=12,SUMIFS('Attrition Modeling'!$D:$D,'Attrition Modeling'!$C:$C,'IP Attrition'!$D74,'Attrition Modeling'!$B:$B,'IP Attrition'!AQ$68),VLOOKUP($F74+AQ$2,$A$6:$C$106,2,FALSE)*VLOOKUP(AQ$1,'Attrition Modeling'!$L$15:$N$27,IF(AQ$2+$F7&lt;=24,2,3),FALSE)),$C$3)*(1+Projection!AS$16)*(1+IF(AQ139&gt;0,'Attrition Modeling'!$N$9,0)))</f>
        <v>0</v>
      </c>
      <c r="AR74" s="799">
        <f>AQ74*(1-IFERROR(IF(AR$69+$F74&lt;=12,SUMIFS('Attrition Modeling'!$D:$D,'Attrition Modeling'!$C:$C,'IP Attrition'!$D74,'Attrition Modeling'!$B:$B,'IP Attrition'!AR$68),VLOOKUP($F74+AR$2,$A$6:$C$106,2,FALSE)*VLOOKUP(AR$1,'Attrition Modeling'!$L$15:$N$27,IF(AR$2+$F7&lt;=24,2,3),FALSE)),$C$3)*(1+Projection!AT$16)*(1+IF(AR139&gt;0,'Attrition Modeling'!$N$9,0)))</f>
        <v>0</v>
      </c>
      <c r="AS74" s="799">
        <f>AR74*(1-IFERROR(IF(AS$69+$F74&lt;=12,SUMIFS('Attrition Modeling'!$D:$D,'Attrition Modeling'!$C:$C,'IP Attrition'!$D74,'Attrition Modeling'!$B:$B,'IP Attrition'!AS$68),VLOOKUP($F74+AS$2,$A$6:$C$106,2,FALSE)*VLOOKUP(AS$1,'Attrition Modeling'!$L$15:$N$27,IF(AS$2+$F7&lt;=24,2,3),FALSE)),$C$3)*(1+Projection!AU$16)*(1+IF(AS139&gt;0,'Attrition Modeling'!$N$9,0)))</f>
        <v>0</v>
      </c>
      <c r="AT74" s="799">
        <f>AS74*(1-IFERROR(IF(AT$69+$F74&lt;=12,SUMIFS('Attrition Modeling'!$D:$D,'Attrition Modeling'!$C:$C,'IP Attrition'!$D74,'Attrition Modeling'!$B:$B,'IP Attrition'!AT$68),VLOOKUP($F74+AT$2,$A$6:$C$106,2,FALSE)*VLOOKUP(AT$1,'Attrition Modeling'!$L$15:$N$27,IF(AT$2+$F7&lt;=24,2,3),FALSE)),$C$3)*(1+Projection!AV$16)*(1+IF(AT139&gt;0,'Attrition Modeling'!$N$9,0)))</f>
        <v>0</v>
      </c>
      <c r="AU74" s="799">
        <f>AT74*(1-IFERROR(IF(AU$69+$F74&lt;=12,SUMIFS('Attrition Modeling'!$D:$D,'Attrition Modeling'!$C:$C,'IP Attrition'!$D74,'Attrition Modeling'!$B:$B,'IP Attrition'!AU$68),VLOOKUP($F74+AU$2,$A$6:$C$106,2,FALSE)*VLOOKUP(AU$1,'Attrition Modeling'!$L$15:$N$27,IF(AU$2+$F7&lt;=24,2,3),FALSE)),$C$3)*(1+Projection!AW$16)*(1+IF(AU139&gt;0,'Attrition Modeling'!$N$9,0)))</f>
        <v>0</v>
      </c>
      <c r="AV74" s="799">
        <f>AU74*(1-IFERROR(IF(AV$69+$F74&lt;=12,SUMIFS('Attrition Modeling'!$D:$D,'Attrition Modeling'!$C:$C,'IP Attrition'!$D74,'Attrition Modeling'!$B:$B,'IP Attrition'!AV$68),VLOOKUP($F74+AV$2,$A$6:$C$106,2,FALSE)*VLOOKUP(AV$1,'Attrition Modeling'!$L$15:$N$27,IF(AV$2+$F7&lt;=24,2,3),FALSE)),$C$3)*(1+Projection!AX$16)*(1+IF(AV139&gt;0,'Attrition Modeling'!$N$9,0)))</f>
        <v>0</v>
      </c>
      <c r="AW74" s="799">
        <f>AV74*(1-IFERROR(IF(AW$69+$F74&lt;=12,SUMIFS('Attrition Modeling'!$D:$D,'Attrition Modeling'!$C:$C,'IP Attrition'!$D74,'Attrition Modeling'!$B:$B,'IP Attrition'!AW$68),VLOOKUP($F74+AW$2,$A$6:$C$106,2,FALSE)*VLOOKUP(AW$1,'Attrition Modeling'!$L$15:$N$27,IF(AW$2+$F7&lt;=24,2,3),FALSE)),$C$3)*(1+Projection!AY$16)*(1+IF(AW139&gt;0,'Attrition Modeling'!$N$9,0)))</f>
        <v>0</v>
      </c>
      <c r="AX74" s="799">
        <f>AW74*(1-IFERROR(IF(AX$69+$F74&lt;=12,SUMIFS('Attrition Modeling'!$D:$D,'Attrition Modeling'!$C:$C,'IP Attrition'!$D74,'Attrition Modeling'!$B:$B,'IP Attrition'!AX$68),VLOOKUP($F74+AX$2,$A$6:$C$106,2,FALSE)*VLOOKUP(AX$1,'Attrition Modeling'!$L$15:$N$27,IF(AX$2+$F7&lt;=24,2,3),FALSE)),$C$3)*(1+Projection!AZ$16)*(1+IF(AX139&gt;0,'Attrition Modeling'!$N$9,0)))</f>
        <v>0</v>
      </c>
      <c r="AY74" s="799">
        <f>AX74*(1-IFERROR(IF(AY$69+$F74&lt;=12,SUMIFS('Attrition Modeling'!$D:$D,'Attrition Modeling'!$C:$C,'IP Attrition'!$D74,'Attrition Modeling'!$B:$B,'IP Attrition'!AY$68),VLOOKUP($F74+AY$2,$A$6:$C$106,2,FALSE)*VLOOKUP(AY$1,'Attrition Modeling'!$L$15:$N$27,IF(AY$2+$F7&lt;=24,2,3),FALSE)),$C$3)*(1+Projection!BA$16)*(1+IF(AY139&gt;0,'Attrition Modeling'!$N$9,0)))</f>
        <v>0</v>
      </c>
      <c r="AZ74" s="799">
        <f>AY74*(1-IFERROR(IF(AZ$69+$F74&lt;=12,SUMIFS('Attrition Modeling'!$D:$D,'Attrition Modeling'!$C:$C,'IP Attrition'!$D74,'Attrition Modeling'!$B:$B,'IP Attrition'!AZ$68),VLOOKUP($F74+AZ$2,$A$6:$C$106,2,FALSE)*VLOOKUP(AZ$1,'Attrition Modeling'!$L$15:$N$27,IF(AZ$2+$F7&lt;=24,2,3),FALSE)),$C$3)*(1+Projection!BB$16)*(1+IF(AZ139&gt;0,'Attrition Modeling'!$N$9,0)))</f>
        <v>0</v>
      </c>
      <c r="BA74" s="799">
        <f>AZ74*(1-IFERROR(IF(BA$69+$F74&lt;=12,SUMIFS('Attrition Modeling'!$D:$D,'Attrition Modeling'!$C:$C,'IP Attrition'!$D74,'Attrition Modeling'!$B:$B,'IP Attrition'!BA$68),VLOOKUP($F74+BA$2,$A$6:$C$106,2,FALSE)*VLOOKUP(BA$1,'Attrition Modeling'!$L$15:$N$27,IF(BA$2+$F7&lt;=24,2,3),FALSE)),$C$3)*(1+Projection!BC$16)*(1+IF(BA139&gt;0,'Attrition Modeling'!$N$9,0)))</f>
        <v>0</v>
      </c>
      <c r="BB74" s="799">
        <f>BA74*(1-IFERROR(IF(BB$69+$F74&lt;=12,SUMIFS('Attrition Modeling'!$D:$D,'Attrition Modeling'!$C:$C,'IP Attrition'!$D74,'Attrition Modeling'!$B:$B,'IP Attrition'!BB$68),VLOOKUP($F74+BB$2,$A$6:$C$106,2,FALSE)*VLOOKUP(BB$1,'Attrition Modeling'!$L$15:$N$27,IF(BB$2+$F7&lt;=24,2,3),FALSE)),$C$3)*(1+Projection!BD$16)*(1+IF(BB139&gt;0,'Attrition Modeling'!$N$9,0)))</f>
        <v>0</v>
      </c>
      <c r="BC74" s="799">
        <f>BB74*(1-IFERROR(IF(BC$69+$F74&lt;=12,SUMIFS('Attrition Modeling'!$D:$D,'Attrition Modeling'!$C:$C,'IP Attrition'!$D74,'Attrition Modeling'!$B:$B,'IP Attrition'!BC$68),VLOOKUP($F74+BC$2,$A$6:$C$106,2,FALSE)*VLOOKUP(BC$1,'Attrition Modeling'!$L$15:$N$27,IF(BC$2+$F7&lt;=24,2,3),FALSE)),$C$3)*(1+Projection!BE$16)*(1+IF(BC139&gt;0,'Attrition Modeling'!$N$9,0)))</f>
        <v>0</v>
      </c>
      <c r="BD74" s="799">
        <f>BC74*(1-IFERROR(IF(BD$69+$F74&lt;=12,SUMIFS('Attrition Modeling'!$D:$D,'Attrition Modeling'!$C:$C,'IP Attrition'!$D74,'Attrition Modeling'!$B:$B,'IP Attrition'!BD$68),VLOOKUP($F74+BD$2,$A$6:$C$106,2,FALSE)*VLOOKUP(BD$1,'Attrition Modeling'!$L$15:$N$27,IF(BD$2+$F7&lt;=24,2,3),FALSE)),$C$3)*(1+Projection!BF$16)*(1+IF(BD139&gt;0,'Attrition Modeling'!$N$9,0)))</f>
        <v>0</v>
      </c>
      <c r="BE74" s="799">
        <f>BD74*(1-IFERROR(IF(BE$69+$F74&lt;=12,SUMIFS('Attrition Modeling'!$D:$D,'Attrition Modeling'!$C:$C,'IP Attrition'!$D74,'Attrition Modeling'!$B:$B,'IP Attrition'!BE$68),VLOOKUP($F74+BE$2,$A$6:$C$106,2,FALSE)*VLOOKUP(BE$1,'Attrition Modeling'!$L$15:$N$27,IF(BE$2+$F7&lt;=24,2,3),FALSE)),$C$3)*(1+Projection!BG$16)*(1+IF(BE139&gt;0,'Attrition Modeling'!$N$9,0)))</f>
        <v>0</v>
      </c>
      <c r="BF74" s="799">
        <f>BE74*(1-IFERROR(IF(BF$69+$F74&lt;=12,SUMIFS('Attrition Modeling'!$D:$D,'Attrition Modeling'!$C:$C,'IP Attrition'!$D74,'Attrition Modeling'!$B:$B,'IP Attrition'!BF$68),VLOOKUP($F74+BF$2,$A$6:$C$106,2,FALSE)*VLOOKUP(BF$1,'Attrition Modeling'!$L$15:$N$27,IF(BF$2+$F7&lt;=24,2,3),FALSE)),$C$3)*(1+Projection!BH$16)*(1+IF(BF139&gt;0,'Attrition Modeling'!$N$9,0)))</f>
        <v>0</v>
      </c>
      <c r="BG74" s="799">
        <f>BF74*(1-IFERROR(IF(BG$69+$F74&lt;=12,SUMIFS('Attrition Modeling'!$D:$D,'Attrition Modeling'!$C:$C,'IP Attrition'!$D74,'Attrition Modeling'!$B:$B,'IP Attrition'!BG$68),VLOOKUP($F74+BG$2,$A$6:$C$106,2,FALSE)*VLOOKUP(BG$1,'Attrition Modeling'!$L$15:$N$27,IF(BG$2+$F7&lt;=24,2,3),FALSE)),$C$3)*(1+Projection!BI$16)*(1+IF(BG139&gt;0,'Attrition Modeling'!$N$9,0)))</f>
        <v>0</v>
      </c>
      <c r="BH74" s="799">
        <f>BG74*(1-IFERROR(IF(BH$69+$F74&lt;=12,SUMIFS('Attrition Modeling'!$D:$D,'Attrition Modeling'!$C:$C,'IP Attrition'!$D74,'Attrition Modeling'!$B:$B,'IP Attrition'!BH$68),VLOOKUP($F74+BH$2,$A$6:$C$106,2,FALSE)*VLOOKUP(BH$1,'Attrition Modeling'!$L$15:$N$27,IF(BH$2+$F7&lt;=24,2,3),FALSE)),$C$3)*(1+Projection!BJ$16)*(1+IF(BH139&gt;0,'Attrition Modeling'!$N$9,0)))</f>
        <v>0</v>
      </c>
      <c r="BI74" s="799">
        <f>BH74*(1-IFERROR(IF(BI$69+$F74&lt;=12,SUMIFS('Attrition Modeling'!$D:$D,'Attrition Modeling'!$C:$C,'IP Attrition'!$D74,'Attrition Modeling'!$B:$B,'IP Attrition'!BI$68),VLOOKUP($F74+BI$2,$A$6:$C$106,2,FALSE)*VLOOKUP(BI$1,'Attrition Modeling'!$L$15:$N$27,IF(BI$2+$F7&lt;=24,2,3),FALSE)),$C$3)*(1+Projection!BK$16)*(1+IF(BI139&gt;0,'Attrition Modeling'!$N$9,0)))</f>
        <v>0</v>
      </c>
      <c r="BJ74" s="799">
        <f>BI74*(1-IFERROR(IF(BJ$69+$F74&lt;=12,SUMIFS('Attrition Modeling'!$D:$D,'Attrition Modeling'!$C:$C,'IP Attrition'!$D74,'Attrition Modeling'!$B:$B,'IP Attrition'!BJ$68),VLOOKUP($F74+BJ$2,$A$6:$C$106,2,FALSE)*VLOOKUP(BJ$1,'Attrition Modeling'!$L$15:$N$27,IF(BJ$2+$F7&lt;=24,2,3),FALSE)),$C$3)*(1+Projection!BL$16)*(1+IF(BJ139&gt;0,'Attrition Modeling'!$N$9,0)))</f>
        <v>0</v>
      </c>
      <c r="BK74" s="799">
        <f>BJ74*(1-IFERROR(IF(BK$69+$F74&lt;=12,SUMIFS('Attrition Modeling'!$D:$D,'Attrition Modeling'!$C:$C,'IP Attrition'!$D74,'Attrition Modeling'!$B:$B,'IP Attrition'!BK$68),VLOOKUP($F74+BK$2,$A$6:$C$106,2,FALSE)*VLOOKUP(BK$1,'Attrition Modeling'!$L$15:$N$27,IF(BK$2+$F7&lt;=24,2,3),FALSE)),$C$3)*(1+Projection!BM$16)*(1+IF(BK139&gt;0,'Attrition Modeling'!$N$9,0)))</f>
        <v>0</v>
      </c>
      <c r="BL74" s="799">
        <f>BK74*(1-IFERROR(IF(BL$69+$F74&lt;=12,SUMIFS('Attrition Modeling'!$D:$D,'Attrition Modeling'!$C:$C,'IP Attrition'!$D74,'Attrition Modeling'!$B:$B,'IP Attrition'!BL$68),VLOOKUP($F74+BL$2,$A$6:$C$106,2,FALSE)*VLOOKUP(BL$1,'Attrition Modeling'!$L$15:$N$27,IF(BL$2+$F7&lt;=24,2,3),FALSE)),$C$3)*(1+Projection!BN$16)*(1+IF(BL139&gt;0,'Attrition Modeling'!$N$9,0)))</f>
        <v>0</v>
      </c>
      <c r="BM74" s="799">
        <f>BL74*(1-IFERROR(IF(BM$69+$F74&lt;=12,SUMIFS('Attrition Modeling'!$D:$D,'Attrition Modeling'!$C:$C,'IP Attrition'!$D74,'Attrition Modeling'!$B:$B,'IP Attrition'!BM$68),VLOOKUP($F74+BM$2,$A$6:$C$106,2,FALSE)*VLOOKUP(BM$1,'Attrition Modeling'!$L$15:$N$27,IF(BM$2+$F7&lt;=24,2,3),FALSE)),$C$3)*(1+Projection!BO$16)*(1+IF(BM139&gt;0,'Attrition Modeling'!$N$9,0)))</f>
        <v>0</v>
      </c>
      <c r="BN74" s="799">
        <f>BM74*(1-IFERROR(IF(BN$69+$F74&lt;=12,SUMIFS('Attrition Modeling'!$D:$D,'Attrition Modeling'!$C:$C,'IP Attrition'!$D74,'Attrition Modeling'!$B:$B,'IP Attrition'!BN$68),VLOOKUP($F74+BN$2,$A$6:$C$106,2,FALSE)*VLOOKUP(BN$1,'Attrition Modeling'!$L$15:$N$27,IF(BN$2+$F7&lt;=24,2,3),FALSE)),$C$3)*(1+Projection!BP$16)*(1+IF(BN139&gt;0,'Attrition Modeling'!$N$9,0)))</f>
        <v>0</v>
      </c>
      <c r="BO74" s="799">
        <f>BN74*(1-IFERROR(IF(BO$69+$F74&lt;=12,SUMIFS('Attrition Modeling'!$D:$D,'Attrition Modeling'!$C:$C,'IP Attrition'!$D74,'Attrition Modeling'!$B:$B,'IP Attrition'!BO$68),VLOOKUP($F74+BO$2,$A$6:$C$106,2,FALSE)*VLOOKUP(BO$1,'Attrition Modeling'!$L$15:$N$27,IF(BO$2+$F7&lt;=24,2,3),FALSE)),$C$3)*(1+Projection!BV$16)*(1+IF(BO139&gt;0,'Attrition Modeling'!$N$9,0)))</f>
        <v>0</v>
      </c>
      <c r="BP74" s="799">
        <f>BO74*(1-IFERROR(IF(BP$69+$F74&lt;=12,SUMIFS('Attrition Modeling'!$D:$D,'Attrition Modeling'!$C:$C,'IP Attrition'!$D74,'Attrition Modeling'!$B:$B,'IP Attrition'!BP$68),VLOOKUP($F74+BP$2,$A$6:$C$106,2,FALSE)*VLOOKUP(BP$1,'Attrition Modeling'!$L$15:$N$27,IF(BP$2+$F7&lt;=24,2,3),FALSE)),$C$3)*(1+Projection!BW$16)*(1+IF(BP139&gt;0,'Attrition Modeling'!$N$9,0)))</f>
        <v>0</v>
      </c>
      <c r="BQ74" s="799">
        <f>BP74*(1-IFERROR(IF(BQ$69+$F74&lt;=12,SUMIFS('Attrition Modeling'!$D:$D,'Attrition Modeling'!$C:$C,'IP Attrition'!$D74,'Attrition Modeling'!$B:$B,'IP Attrition'!BQ$68),VLOOKUP($F74+BQ$2,$A$6:$C$106,2,FALSE)*VLOOKUP(BQ$1,'Attrition Modeling'!$L$15:$N$27,IF(BQ$2+$F7&lt;=24,2,3),FALSE)),$C$3)*(1+Projection!BX$16)*(1+IF(BQ139&gt;0,'Attrition Modeling'!$N$9,0)))</f>
        <v>0</v>
      </c>
      <c r="BR74" s="799">
        <f>BQ74*(1-IFERROR(IF(BR$69+$F74&lt;=12,SUMIFS('Attrition Modeling'!$D:$D,'Attrition Modeling'!$C:$C,'IP Attrition'!$D74,'Attrition Modeling'!$B:$B,'IP Attrition'!BR$68),VLOOKUP($F74+BR$2,$A$6:$C$106,2,FALSE)*VLOOKUP(BR$1,'Attrition Modeling'!$L$15:$N$27,IF(BR$2+$F7&lt;=24,2,3),FALSE)),$C$3)*(1+Projection!BY$16)*(1+IF(BR139&gt;0,'Attrition Modeling'!$N$9,0)))</f>
        <v>0</v>
      </c>
      <c r="BS74" s="799">
        <f>BR74*(1-IFERROR(IF(BS$69+$F74&lt;=12,SUMIFS('Attrition Modeling'!$D:$D,'Attrition Modeling'!$C:$C,'IP Attrition'!$D74,'Attrition Modeling'!$B:$B,'IP Attrition'!BS$68),VLOOKUP($F74+BS$2,$A$6:$C$106,2,FALSE)*VLOOKUP(BS$1,'Attrition Modeling'!$L$15:$N$27,IF(BS$2+$F7&lt;=24,2,3),FALSE)),$C$3)*(1+Projection!BZ$16)*(1+IF(BS139&gt;0,'Attrition Modeling'!$N$9,0)))</f>
        <v>0</v>
      </c>
      <c r="BT74" s="799" t="e">
        <f>BS74*(1-IFERROR(IF(BT$69+$F74&lt;=12,SUMIFS('Attrition Modeling'!$D:$D,'Attrition Modeling'!$C:$C,'IP Attrition'!$D74,'Attrition Modeling'!$B:$B,'IP Attrition'!BT$68),VLOOKUP($F74+BT$2,$A$6:$C$106,2,FALSE)*VLOOKUP(BT$1,'Attrition Modeling'!$L$15:$N$27,IF(BT$2+$F7&lt;=24,2,3),FALSE)),$C$3)*(1+Projection!CA$16)*(1+IF(BT139&gt;0,'Attrition Modeling'!$N$9,0)))</f>
        <v>#REF!</v>
      </c>
      <c r="BU74" s="799" t="e">
        <f>BT74*(1-IFERROR(IF(BU$69+$F74&lt;=12,SUMIFS('Attrition Modeling'!$D:$D,'Attrition Modeling'!$C:$C,'IP Attrition'!$D74,'Attrition Modeling'!$B:$B,'IP Attrition'!BU$68),VLOOKUP($F74+BU$2,$A$6:$C$106,2,FALSE)*VLOOKUP(BU$1,'Attrition Modeling'!$L$15:$N$27,IF(BU$2+$F7&lt;=24,2,3),FALSE)),$C$3)*(1+Projection!CB$16)*(1+IF(BU139&gt;0,'Attrition Modeling'!$N$9,0)))</f>
        <v>#REF!</v>
      </c>
    </row>
    <row r="75" spans="1:73" ht="14.25" customHeight="1" x14ac:dyDescent="0.2">
      <c r="A75" s="9">
        <v>68</v>
      </c>
      <c r="B75" s="25">
        <f>MAX('Attrition Modeling'!H72,$C$3)*(1-Summary!$C$20)</f>
        <v>2.0276127408762668E-2</v>
      </c>
      <c r="C75" s="24" t="e">
        <f t="shared" si="3"/>
        <v>#DIV/0!</v>
      </c>
      <c r="D75" s="11">
        <f t="shared" ref="D75:E75" si="13">D8</f>
        <v>-5</v>
      </c>
      <c r="E75" s="25">
        <f t="shared" si="13"/>
        <v>7.2768090632364085E-2</v>
      </c>
      <c r="F75" s="11">
        <f t="shared" si="9"/>
        <v>5</v>
      </c>
      <c r="G75" s="799">
        <f>Summary!$C$24*$E75</f>
        <v>0</v>
      </c>
      <c r="H75" s="799">
        <f>G75*(1-IFERROR(IF(H$69+$F75&lt;=12,SUMIFS('Attrition Modeling'!$D:$D,'Attrition Modeling'!$C:$C,'IP Attrition'!$D75,'Attrition Modeling'!$B:$B,'IP Attrition'!H$68),VLOOKUP($F75+H$2,$A$6:$C$106,2,FALSE)*VLOOKUP(H$1,'Attrition Modeling'!$L$15:$N$27,IF(H$2+$F8&lt;=24,2,3),FALSE)),$C$3)*(1+Projection!J$16)*(1+IF(H140&gt;0,'Attrition Modeling'!$N$9,0)))</f>
        <v>0</v>
      </c>
      <c r="I75" s="799">
        <f>H75*(1-IFERROR(IF(I$69+$F75&lt;=12,SUMIFS('Attrition Modeling'!$D:$D,'Attrition Modeling'!$C:$C,'IP Attrition'!$D75,'Attrition Modeling'!$B:$B,'IP Attrition'!I$68),VLOOKUP($F75+I$2,$A$6:$C$106,2,FALSE)*VLOOKUP(I$1,'Attrition Modeling'!$L$15:$N$27,IF(I$2+$F8&lt;=24,2,3),FALSE)),$C$3)*(1+Projection!K$16)*(1+IF(I140&gt;0,'Attrition Modeling'!$N$9,0)))</f>
        <v>0</v>
      </c>
      <c r="J75" s="799">
        <f>I75*(1-IFERROR(IF(J$69+$F75&lt;=12,SUMIFS('Attrition Modeling'!$D:$D,'Attrition Modeling'!$C:$C,'IP Attrition'!$D75,'Attrition Modeling'!$B:$B,'IP Attrition'!J$68),VLOOKUP($F75+J$2,$A$6:$C$106,2,FALSE)*VLOOKUP(J$1,'Attrition Modeling'!$L$15:$N$27,IF(J$2+$F8&lt;=24,2,3),FALSE)),$C$3)*(1+Projection!L$16)*(1+IF(J140&gt;0,'Attrition Modeling'!$N$9,0)))</f>
        <v>0</v>
      </c>
      <c r="K75" s="799">
        <f>J75*(1-IFERROR(IF(K$69+$F75&lt;=12,SUMIFS('Attrition Modeling'!$D:$D,'Attrition Modeling'!$C:$C,'IP Attrition'!$D75,'Attrition Modeling'!$B:$B,'IP Attrition'!K$68),VLOOKUP($F75+K$2,$A$6:$C$106,2,FALSE)*VLOOKUP(K$1,'Attrition Modeling'!$L$15:$N$27,IF(K$2+$F8&lt;=24,2,3),FALSE)),$C$3)*(1+Projection!M$16)*(1+IF(K140&gt;0,'Attrition Modeling'!$N$9,0)))</f>
        <v>0</v>
      </c>
      <c r="L75" s="799">
        <f>K75*(1-IFERROR(IF(L$69+$F75&lt;=12,SUMIFS('Attrition Modeling'!$D:$D,'Attrition Modeling'!$C:$C,'IP Attrition'!$D75,'Attrition Modeling'!$B:$B,'IP Attrition'!L$68),VLOOKUP($F75+L$2,$A$6:$C$106,2,FALSE)*VLOOKUP(L$1,'Attrition Modeling'!$L$15:$N$27,IF(L$2+$F8&lt;=24,2,3),FALSE)),$C$3)*(1+Projection!N$16)*(1+IF(L140&gt;0,'Attrition Modeling'!$N$9,0)))</f>
        <v>0</v>
      </c>
      <c r="M75" s="799">
        <f>L75*(1-IFERROR(IF(M$69+$F75&lt;=12,SUMIFS('Attrition Modeling'!$D:$D,'Attrition Modeling'!$C:$C,'IP Attrition'!$D75,'Attrition Modeling'!$B:$B,'IP Attrition'!M$68),VLOOKUP($F75+M$2,$A$6:$C$106,2,FALSE)*VLOOKUP(M$1,'Attrition Modeling'!$L$15:$N$27,IF(M$2+$F8&lt;=24,2,3),FALSE)),$C$3)*(1+Projection!O$16)*(1+IF(M140&gt;0,'Attrition Modeling'!$N$9,0)))</f>
        <v>0</v>
      </c>
      <c r="N75" s="799">
        <f>M75*(1-IFERROR(IF(N$69+$F75&lt;=12,SUMIFS('Attrition Modeling'!$D:$D,'Attrition Modeling'!$C:$C,'IP Attrition'!$D75,'Attrition Modeling'!$B:$B,'IP Attrition'!N$68),VLOOKUP($F75+N$2,$A$6:$C$106,2,FALSE)*VLOOKUP(N$1,'Attrition Modeling'!$L$15:$N$27,IF(N$2+$F8&lt;=24,2,3),FALSE)),$C$3)*(1+Projection!P$16)*(1+IF(N140&gt;0,'Attrition Modeling'!$N$9,0)))</f>
        <v>0</v>
      </c>
      <c r="O75" s="799">
        <f>N75*(1-IFERROR(IF(O$69+$F75&lt;=12,SUMIFS('Attrition Modeling'!$D:$D,'Attrition Modeling'!$C:$C,'IP Attrition'!$D75,'Attrition Modeling'!$B:$B,'IP Attrition'!O$68),VLOOKUP($F75+O$2,$A$6:$C$106,2,FALSE)*VLOOKUP(O$1,'Attrition Modeling'!$L$15:$N$27,IF(O$2+$F8&lt;=24,2,3),FALSE)),$C$3)*(1+Projection!Q$16)*(1+IF(O140&gt;0,'Attrition Modeling'!$N$9,0)))</f>
        <v>0</v>
      </c>
      <c r="P75" s="799">
        <f>O75*(1-IFERROR(IF(P$69+$F75&lt;=12,SUMIFS('Attrition Modeling'!$D:$D,'Attrition Modeling'!$C:$C,'IP Attrition'!$D75,'Attrition Modeling'!$B:$B,'IP Attrition'!P$68),VLOOKUP($F75+P$2,$A$6:$C$106,2,FALSE)*VLOOKUP(P$1,'Attrition Modeling'!$L$15:$N$27,IF(P$2+$F8&lt;=24,2,3),FALSE)),$C$3)*(1+Projection!R$16)*(1+IF(P140&gt;0,'Attrition Modeling'!$N$9,0)))</f>
        <v>0</v>
      </c>
      <c r="Q75" s="799">
        <f>P75*(1-IFERROR(IF(Q$69+$F75&lt;=12,SUMIFS('Attrition Modeling'!$D:$D,'Attrition Modeling'!$C:$C,'IP Attrition'!$D75,'Attrition Modeling'!$B:$B,'IP Attrition'!Q$68),VLOOKUP($F75+Q$2,$A$6:$C$106,2,FALSE)*VLOOKUP(Q$1,'Attrition Modeling'!$L$15:$N$27,IF(Q$2+$F8&lt;=24,2,3),FALSE)),$C$3)*(1+Projection!S$16)*(1+IF(Q140&gt;0,'Attrition Modeling'!$N$9,0)))</f>
        <v>0</v>
      </c>
      <c r="R75" s="799">
        <f>Q75*(1-IFERROR(IF(R$69+$F75&lt;=12,SUMIFS('Attrition Modeling'!$D:$D,'Attrition Modeling'!$C:$C,'IP Attrition'!$D75,'Attrition Modeling'!$B:$B,'IP Attrition'!R$68),VLOOKUP($F75+R$2,$A$6:$C$106,2,FALSE)*VLOOKUP(R$1,'Attrition Modeling'!$L$15:$N$27,IF(R$2+$F8&lt;=24,2,3),FALSE)),$C$3)*(1+Projection!T$16)*(1+IF(R140&gt;0,'Attrition Modeling'!$N$9,0)))</f>
        <v>0</v>
      </c>
      <c r="S75" s="799">
        <f>R75*(1-IFERROR(IF(S$69+$F75&lt;=12,SUMIFS('Attrition Modeling'!$D:$D,'Attrition Modeling'!$C:$C,'IP Attrition'!$D75,'Attrition Modeling'!$B:$B,'IP Attrition'!S$68),VLOOKUP($F75+S$2,$A$6:$C$106,2,FALSE)*VLOOKUP(S$1,'Attrition Modeling'!$L$15:$N$27,IF(S$2+$F8&lt;=24,2,3),FALSE)),$C$3)*(1+Projection!U$16)*(1+IF(S140&gt;0,'Attrition Modeling'!$N$9,0)))</f>
        <v>0</v>
      </c>
      <c r="T75" s="799">
        <f>S75*(1-IFERROR(IF(T$69+$F75&lt;=12,SUMIFS('Attrition Modeling'!$D:$D,'Attrition Modeling'!$C:$C,'IP Attrition'!$D75,'Attrition Modeling'!$B:$B,'IP Attrition'!T$68),VLOOKUP($F75+T$2,$A$6:$C$106,2,FALSE)*VLOOKUP(T$1,'Attrition Modeling'!$L$15:$N$27,IF(T$2+$F8&lt;=24,2,3),FALSE)),$C$3)*(1+Projection!V$16)*(1+IF(T140&gt;0,'Attrition Modeling'!$N$9,0)))</f>
        <v>0</v>
      </c>
      <c r="U75" s="799">
        <f>T75*(1-IFERROR(IF(U$69+$F75&lt;=12,SUMIFS('Attrition Modeling'!$D:$D,'Attrition Modeling'!$C:$C,'IP Attrition'!$D75,'Attrition Modeling'!$B:$B,'IP Attrition'!U$68),VLOOKUP($F75+U$2,$A$6:$C$106,2,FALSE)*VLOOKUP(U$1,'Attrition Modeling'!$L$15:$N$27,IF(U$2+$F8&lt;=24,2,3),FALSE)),$C$3)*(1+Projection!W$16)*(1+IF(U140&gt;0,'Attrition Modeling'!$N$9,0)))</f>
        <v>0</v>
      </c>
      <c r="V75" s="799">
        <f>U75*(1-IFERROR(IF(V$69+$F75&lt;=12,SUMIFS('Attrition Modeling'!$D:$D,'Attrition Modeling'!$C:$C,'IP Attrition'!$D75,'Attrition Modeling'!$B:$B,'IP Attrition'!V$68),VLOOKUP($F75+V$2,$A$6:$C$106,2,FALSE)*VLOOKUP(V$1,'Attrition Modeling'!$L$15:$N$27,IF(V$2+$F8&lt;=24,2,3),FALSE)),$C$3)*(1+Projection!X$16)*(1+IF(V140&gt;0,'Attrition Modeling'!$N$9,0)))</f>
        <v>0</v>
      </c>
      <c r="W75" s="799">
        <f>V75*(1-IFERROR(IF(W$69+$F75&lt;=12,SUMIFS('Attrition Modeling'!$D:$D,'Attrition Modeling'!$C:$C,'IP Attrition'!$D75,'Attrition Modeling'!$B:$B,'IP Attrition'!W$68),VLOOKUP($F75+W$2,$A$6:$C$106,2,FALSE)*VLOOKUP(W$1,'Attrition Modeling'!$L$15:$N$27,IF(W$2+$F8&lt;=24,2,3),FALSE)),$C$3)*(1+Projection!Y$16)*(1+IF(W140&gt;0,'Attrition Modeling'!$N$9,0)))</f>
        <v>0</v>
      </c>
      <c r="X75" s="799">
        <f>W75*(1-IFERROR(IF(X$69+$F75&lt;=12,SUMIFS('Attrition Modeling'!$D:$D,'Attrition Modeling'!$C:$C,'IP Attrition'!$D75,'Attrition Modeling'!$B:$B,'IP Attrition'!X$68),VLOOKUP($F75+X$2,$A$6:$C$106,2,FALSE)*VLOOKUP(X$1,'Attrition Modeling'!$L$15:$N$27,IF(X$2+$F8&lt;=24,2,3),FALSE)),$C$3)*(1+Projection!Z$16)*(1+IF(X140&gt;0,'Attrition Modeling'!$N$9,0)))</f>
        <v>0</v>
      </c>
      <c r="Y75" s="799">
        <f>X75*(1-IFERROR(IF(Y$69+$F75&lt;=12,SUMIFS('Attrition Modeling'!$D:$D,'Attrition Modeling'!$C:$C,'IP Attrition'!$D75,'Attrition Modeling'!$B:$B,'IP Attrition'!Y$68),VLOOKUP($F75+Y$2,$A$6:$C$106,2,FALSE)*VLOOKUP(Y$1,'Attrition Modeling'!$L$15:$N$27,IF(Y$2+$F8&lt;=24,2,3),FALSE)),$C$3)*(1+Projection!AA$16)*(1+IF(Y140&gt;0,'Attrition Modeling'!$N$9,0)))</f>
        <v>0</v>
      </c>
      <c r="Z75" s="799">
        <f>Y75*(1-IFERROR(IF(Z$69+$F75&lt;=12,SUMIFS('Attrition Modeling'!$D:$D,'Attrition Modeling'!$C:$C,'IP Attrition'!$D75,'Attrition Modeling'!$B:$B,'IP Attrition'!Z$68),VLOOKUP($F75+Z$2,$A$6:$C$106,2,FALSE)*VLOOKUP(Z$1,'Attrition Modeling'!$L$15:$N$27,IF(Z$2+$F8&lt;=24,2,3),FALSE)),$C$3)*(1+Projection!AB$16)*(1+IF(Z140&gt;0,'Attrition Modeling'!$N$9,0)))</f>
        <v>0</v>
      </c>
      <c r="AA75" s="799">
        <f>Z75*(1-IFERROR(IF(AA$69+$F75&lt;=12,SUMIFS('Attrition Modeling'!$D:$D,'Attrition Modeling'!$C:$C,'IP Attrition'!$D75,'Attrition Modeling'!$B:$B,'IP Attrition'!AA$68),VLOOKUP($F75+AA$2,$A$6:$C$106,2,FALSE)*VLOOKUP(AA$1,'Attrition Modeling'!$L$15:$N$27,IF(AA$2+$F8&lt;=24,2,3),FALSE)),$C$3)*(1+Projection!AC$16)*(1+IF(AA140&gt;0,'Attrition Modeling'!$N$9,0)))</f>
        <v>0</v>
      </c>
      <c r="AB75" s="799">
        <f>AA75*(1-IFERROR(IF(AB$69+$F75&lt;=12,SUMIFS('Attrition Modeling'!$D:$D,'Attrition Modeling'!$C:$C,'IP Attrition'!$D75,'Attrition Modeling'!$B:$B,'IP Attrition'!AB$68),VLOOKUP($F75+AB$2,$A$6:$C$106,2,FALSE)*VLOOKUP(AB$1,'Attrition Modeling'!$L$15:$N$27,IF(AB$2+$F8&lt;=24,2,3),FALSE)),$C$3)*(1+Projection!AD$16)*(1+IF(AB140&gt;0,'Attrition Modeling'!$N$9,0)))</f>
        <v>0</v>
      </c>
      <c r="AC75" s="799">
        <f>AB75*(1-IFERROR(IF(AC$69+$F75&lt;=12,SUMIFS('Attrition Modeling'!$D:$D,'Attrition Modeling'!$C:$C,'IP Attrition'!$D75,'Attrition Modeling'!$B:$B,'IP Attrition'!AC$68),VLOOKUP($F75+AC$2,$A$6:$C$106,2,FALSE)*VLOOKUP(AC$1,'Attrition Modeling'!$L$15:$N$27,IF(AC$2+$F8&lt;=24,2,3),FALSE)),$C$3)*(1+Projection!AE$16)*(1+IF(AC140&gt;0,'Attrition Modeling'!$N$9,0)))</f>
        <v>0</v>
      </c>
      <c r="AD75" s="799">
        <f>AC75*(1-IFERROR(IF(AD$69+$F75&lt;=12,SUMIFS('Attrition Modeling'!$D:$D,'Attrition Modeling'!$C:$C,'IP Attrition'!$D75,'Attrition Modeling'!$B:$B,'IP Attrition'!AD$68),VLOOKUP($F75+AD$2,$A$6:$C$106,2,FALSE)*VLOOKUP(AD$1,'Attrition Modeling'!$L$15:$N$27,IF(AD$2+$F8&lt;=24,2,3),FALSE)),$C$3)*(1+Projection!AF$16)*(1+IF(AD140&gt;0,'Attrition Modeling'!$N$9,0)))</f>
        <v>0</v>
      </c>
      <c r="AE75" s="799">
        <f>AD75*(1-IFERROR(IF(AE$69+$F75&lt;=12,SUMIFS('Attrition Modeling'!$D:$D,'Attrition Modeling'!$C:$C,'IP Attrition'!$D75,'Attrition Modeling'!$B:$B,'IP Attrition'!AE$68),VLOOKUP($F75+AE$2,$A$6:$C$106,2,FALSE)*VLOOKUP(AE$1,'Attrition Modeling'!$L$15:$N$27,IF(AE$2+$F8&lt;=24,2,3),FALSE)),$C$3)*(1+Projection!AG$16)*(1+IF(AE140&gt;0,'Attrition Modeling'!$N$9,0)))</f>
        <v>0</v>
      </c>
      <c r="AF75" s="799">
        <f>AE75*(1-IFERROR(IF(AF$69+$F75&lt;=12,SUMIFS('Attrition Modeling'!$D:$D,'Attrition Modeling'!$C:$C,'IP Attrition'!$D75,'Attrition Modeling'!$B:$B,'IP Attrition'!AF$68),VLOOKUP($F75+AF$2,$A$6:$C$106,2,FALSE)*VLOOKUP(AF$1,'Attrition Modeling'!$L$15:$N$27,IF(AF$2+$F8&lt;=24,2,3),FALSE)),$C$3)*(1+Projection!AH$16)*(1+IF(AF140&gt;0,'Attrition Modeling'!$N$9,0)))</f>
        <v>0</v>
      </c>
      <c r="AG75" s="799">
        <f>AF75*(1-IFERROR(IF(AG$69+$F75&lt;=12,SUMIFS('Attrition Modeling'!$D:$D,'Attrition Modeling'!$C:$C,'IP Attrition'!$D75,'Attrition Modeling'!$B:$B,'IP Attrition'!AG$68),VLOOKUP($F75+AG$2,$A$6:$C$106,2,FALSE)*VLOOKUP(AG$1,'Attrition Modeling'!$L$15:$N$27,IF(AG$2+$F8&lt;=24,2,3),FALSE)),$C$3)*(1+Projection!AI$16)*(1+IF(AG140&gt;0,'Attrition Modeling'!$N$9,0)))</f>
        <v>0</v>
      </c>
      <c r="AH75" s="799">
        <f>AG75*(1-IFERROR(IF(AH$69+$F75&lt;=12,SUMIFS('Attrition Modeling'!$D:$D,'Attrition Modeling'!$C:$C,'IP Attrition'!$D75,'Attrition Modeling'!$B:$B,'IP Attrition'!AH$68),VLOOKUP($F75+AH$2,$A$6:$C$106,2,FALSE)*VLOOKUP(AH$1,'Attrition Modeling'!$L$15:$N$27,IF(AH$2+$F8&lt;=24,2,3),FALSE)),$C$3)*(1+Projection!AJ$16)*(1+IF(AH140&gt;0,'Attrition Modeling'!$N$9,0)))</f>
        <v>0</v>
      </c>
      <c r="AI75" s="799">
        <f>AH75*(1-IFERROR(IF(AI$69+$F75&lt;=12,SUMIFS('Attrition Modeling'!$D:$D,'Attrition Modeling'!$C:$C,'IP Attrition'!$D75,'Attrition Modeling'!$B:$B,'IP Attrition'!AI$68),VLOOKUP($F75+AI$2,$A$6:$C$106,2,FALSE)*VLOOKUP(AI$1,'Attrition Modeling'!$L$15:$N$27,IF(AI$2+$F8&lt;=24,2,3),FALSE)),$C$3)*(1+Projection!AK$16)*(1+IF(AI140&gt;0,'Attrition Modeling'!$N$9,0)))</f>
        <v>0</v>
      </c>
      <c r="AJ75" s="799">
        <f>AI75*(1-IFERROR(IF(AJ$69+$F75&lt;=12,SUMIFS('Attrition Modeling'!$D:$D,'Attrition Modeling'!$C:$C,'IP Attrition'!$D75,'Attrition Modeling'!$B:$B,'IP Attrition'!AJ$68),VLOOKUP($F75+AJ$2,$A$6:$C$106,2,FALSE)*VLOOKUP(AJ$1,'Attrition Modeling'!$L$15:$N$27,IF(AJ$2+$F8&lt;=24,2,3),FALSE)),$C$3)*(1+Projection!AL$16)*(1+IF(AJ140&gt;0,'Attrition Modeling'!$N$9,0)))</f>
        <v>0</v>
      </c>
      <c r="AK75" s="799">
        <f>AJ75*(1-IFERROR(IF(AK$69+$F75&lt;=12,SUMIFS('Attrition Modeling'!$D:$D,'Attrition Modeling'!$C:$C,'IP Attrition'!$D75,'Attrition Modeling'!$B:$B,'IP Attrition'!AK$68),VLOOKUP($F75+AK$2,$A$6:$C$106,2,FALSE)*VLOOKUP(AK$1,'Attrition Modeling'!$L$15:$N$27,IF(AK$2+$F8&lt;=24,2,3),FALSE)),$C$3)*(1+Projection!AM$16)*(1+IF(AK140&gt;0,'Attrition Modeling'!$N$9,0)))</f>
        <v>0</v>
      </c>
      <c r="AL75" s="799">
        <f>AK75*(1-IFERROR(IF(AL$69+$F75&lt;=12,SUMIFS('Attrition Modeling'!$D:$D,'Attrition Modeling'!$C:$C,'IP Attrition'!$D75,'Attrition Modeling'!$B:$B,'IP Attrition'!AL$68),VLOOKUP($F75+AL$2,$A$6:$C$106,2,FALSE)*VLOOKUP(AL$1,'Attrition Modeling'!$L$15:$N$27,IF(AL$2+$F8&lt;=24,2,3),FALSE)),$C$3)*(1+Projection!AN$16)*(1+IF(AL140&gt;0,'Attrition Modeling'!$N$9,0)))</f>
        <v>0</v>
      </c>
      <c r="AM75" s="799">
        <f>AL75*(1-IFERROR(IF(AM$69+$F75&lt;=12,SUMIFS('Attrition Modeling'!$D:$D,'Attrition Modeling'!$C:$C,'IP Attrition'!$D75,'Attrition Modeling'!$B:$B,'IP Attrition'!AM$68),VLOOKUP($F75+AM$2,$A$6:$C$106,2,FALSE)*VLOOKUP(AM$1,'Attrition Modeling'!$L$15:$N$27,IF(AM$2+$F8&lt;=24,2,3),FALSE)),$C$3)*(1+Projection!AO$16)*(1+IF(AM140&gt;0,'Attrition Modeling'!$N$9,0)))</f>
        <v>0</v>
      </c>
      <c r="AN75" s="799">
        <f>AM75*(1-IFERROR(IF(AN$69+$F75&lt;=12,SUMIFS('Attrition Modeling'!$D:$D,'Attrition Modeling'!$C:$C,'IP Attrition'!$D75,'Attrition Modeling'!$B:$B,'IP Attrition'!AN$68),VLOOKUP($F75+AN$2,$A$6:$C$106,2,FALSE)*VLOOKUP(AN$1,'Attrition Modeling'!$L$15:$N$27,IF(AN$2+$F8&lt;=24,2,3),FALSE)),$C$3)*(1+Projection!AP$16)*(1+IF(AN140&gt;0,'Attrition Modeling'!$N$9,0)))</f>
        <v>0</v>
      </c>
      <c r="AO75" s="799">
        <f>AN75*(1-IFERROR(IF(AO$69+$F75&lt;=12,SUMIFS('Attrition Modeling'!$D:$D,'Attrition Modeling'!$C:$C,'IP Attrition'!$D75,'Attrition Modeling'!$B:$B,'IP Attrition'!AO$68),VLOOKUP($F75+AO$2,$A$6:$C$106,2,FALSE)*VLOOKUP(AO$1,'Attrition Modeling'!$L$15:$N$27,IF(AO$2+$F8&lt;=24,2,3),FALSE)),$C$3)*(1+Projection!AQ$16)*(1+IF(AO140&gt;0,'Attrition Modeling'!$N$9,0)))</f>
        <v>0</v>
      </c>
      <c r="AP75" s="799">
        <f>AO75*(1-IFERROR(IF(AP$69+$F75&lt;=12,SUMIFS('Attrition Modeling'!$D:$D,'Attrition Modeling'!$C:$C,'IP Attrition'!$D75,'Attrition Modeling'!$B:$B,'IP Attrition'!AP$68),VLOOKUP($F75+AP$2,$A$6:$C$106,2,FALSE)*VLOOKUP(AP$1,'Attrition Modeling'!$L$15:$N$27,IF(AP$2+$F8&lt;=24,2,3),FALSE)),$C$3)*(1+Projection!AR$16)*(1+IF(AP140&gt;0,'Attrition Modeling'!$N$9,0)))</f>
        <v>0</v>
      </c>
      <c r="AQ75" s="799">
        <f>AP75*(1-IFERROR(IF(AQ$69+$F75&lt;=12,SUMIFS('Attrition Modeling'!$D:$D,'Attrition Modeling'!$C:$C,'IP Attrition'!$D75,'Attrition Modeling'!$B:$B,'IP Attrition'!AQ$68),VLOOKUP($F75+AQ$2,$A$6:$C$106,2,FALSE)*VLOOKUP(AQ$1,'Attrition Modeling'!$L$15:$N$27,IF(AQ$2+$F8&lt;=24,2,3),FALSE)),$C$3)*(1+Projection!AS$16)*(1+IF(AQ140&gt;0,'Attrition Modeling'!$N$9,0)))</f>
        <v>0</v>
      </c>
      <c r="AR75" s="799">
        <f>AQ75*(1-IFERROR(IF(AR$69+$F75&lt;=12,SUMIFS('Attrition Modeling'!$D:$D,'Attrition Modeling'!$C:$C,'IP Attrition'!$D75,'Attrition Modeling'!$B:$B,'IP Attrition'!AR$68),VLOOKUP($F75+AR$2,$A$6:$C$106,2,FALSE)*VLOOKUP(AR$1,'Attrition Modeling'!$L$15:$N$27,IF(AR$2+$F8&lt;=24,2,3),FALSE)),$C$3)*(1+Projection!AT$16)*(1+IF(AR140&gt;0,'Attrition Modeling'!$N$9,0)))</f>
        <v>0</v>
      </c>
      <c r="AS75" s="799">
        <f>AR75*(1-IFERROR(IF(AS$69+$F75&lt;=12,SUMIFS('Attrition Modeling'!$D:$D,'Attrition Modeling'!$C:$C,'IP Attrition'!$D75,'Attrition Modeling'!$B:$B,'IP Attrition'!AS$68),VLOOKUP($F75+AS$2,$A$6:$C$106,2,FALSE)*VLOOKUP(AS$1,'Attrition Modeling'!$L$15:$N$27,IF(AS$2+$F8&lt;=24,2,3),FALSE)),$C$3)*(1+Projection!AU$16)*(1+IF(AS140&gt;0,'Attrition Modeling'!$N$9,0)))</f>
        <v>0</v>
      </c>
      <c r="AT75" s="799">
        <f>AS75*(1-IFERROR(IF(AT$69+$F75&lt;=12,SUMIFS('Attrition Modeling'!$D:$D,'Attrition Modeling'!$C:$C,'IP Attrition'!$D75,'Attrition Modeling'!$B:$B,'IP Attrition'!AT$68),VLOOKUP($F75+AT$2,$A$6:$C$106,2,FALSE)*VLOOKUP(AT$1,'Attrition Modeling'!$L$15:$N$27,IF(AT$2+$F8&lt;=24,2,3),FALSE)),$C$3)*(1+Projection!AV$16)*(1+IF(AT140&gt;0,'Attrition Modeling'!$N$9,0)))</f>
        <v>0</v>
      </c>
      <c r="AU75" s="799">
        <f>AT75*(1-IFERROR(IF(AU$69+$F75&lt;=12,SUMIFS('Attrition Modeling'!$D:$D,'Attrition Modeling'!$C:$C,'IP Attrition'!$D75,'Attrition Modeling'!$B:$B,'IP Attrition'!AU$68),VLOOKUP($F75+AU$2,$A$6:$C$106,2,FALSE)*VLOOKUP(AU$1,'Attrition Modeling'!$L$15:$N$27,IF(AU$2+$F8&lt;=24,2,3),FALSE)),$C$3)*(1+Projection!AW$16)*(1+IF(AU140&gt;0,'Attrition Modeling'!$N$9,0)))</f>
        <v>0</v>
      </c>
      <c r="AV75" s="799">
        <f>AU75*(1-IFERROR(IF(AV$69+$F75&lt;=12,SUMIFS('Attrition Modeling'!$D:$D,'Attrition Modeling'!$C:$C,'IP Attrition'!$D75,'Attrition Modeling'!$B:$B,'IP Attrition'!AV$68),VLOOKUP($F75+AV$2,$A$6:$C$106,2,FALSE)*VLOOKUP(AV$1,'Attrition Modeling'!$L$15:$N$27,IF(AV$2+$F8&lt;=24,2,3),FALSE)),$C$3)*(1+Projection!AX$16)*(1+IF(AV140&gt;0,'Attrition Modeling'!$N$9,0)))</f>
        <v>0</v>
      </c>
      <c r="AW75" s="799">
        <f>AV75*(1-IFERROR(IF(AW$69+$F75&lt;=12,SUMIFS('Attrition Modeling'!$D:$D,'Attrition Modeling'!$C:$C,'IP Attrition'!$D75,'Attrition Modeling'!$B:$B,'IP Attrition'!AW$68),VLOOKUP($F75+AW$2,$A$6:$C$106,2,FALSE)*VLOOKUP(AW$1,'Attrition Modeling'!$L$15:$N$27,IF(AW$2+$F8&lt;=24,2,3),FALSE)),$C$3)*(1+Projection!AY$16)*(1+IF(AW140&gt;0,'Attrition Modeling'!$N$9,0)))</f>
        <v>0</v>
      </c>
      <c r="AX75" s="799">
        <f>AW75*(1-IFERROR(IF(AX$69+$F75&lt;=12,SUMIFS('Attrition Modeling'!$D:$D,'Attrition Modeling'!$C:$C,'IP Attrition'!$D75,'Attrition Modeling'!$B:$B,'IP Attrition'!AX$68),VLOOKUP($F75+AX$2,$A$6:$C$106,2,FALSE)*VLOOKUP(AX$1,'Attrition Modeling'!$L$15:$N$27,IF(AX$2+$F8&lt;=24,2,3),FALSE)),$C$3)*(1+Projection!AZ$16)*(1+IF(AX140&gt;0,'Attrition Modeling'!$N$9,0)))</f>
        <v>0</v>
      </c>
      <c r="AY75" s="799">
        <f>AX75*(1-IFERROR(IF(AY$69+$F75&lt;=12,SUMIFS('Attrition Modeling'!$D:$D,'Attrition Modeling'!$C:$C,'IP Attrition'!$D75,'Attrition Modeling'!$B:$B,'IP Attrition'!AY$68),VLOOKUP($F75+AY$2,$A$6:$C$106,2,FALSE)*VLOOKUP(AY$1,'Attrition Modeling'!$L$15:$N$27,IF(AY$2+$F8&lt;=24,2,3),FALSE)),$C$3)*(1+Projection!BA$16)*(1+IF(AY140&gt;0,'Attrition Modeling'!$N$9,0)))</f>
        <v>0</v>
      </c>
      <c r="AZ75" s="799">
        <f>AY75*(1-IFERROR(IF(AZ$69+$F75&lt;=12,SUMIFS('Attrition Modeling'!$D:$D,'Attrition Modeling'!$C:$C,'IP Attrition'!$D75,'Attrition Modeling'!$B:$B,'IP Attrition'!AZ$68),VLOOKUP($F75+AZ$2,$A$6:$C$106,2,FALSE)*VLOOKUP(AZ$1,'Attrition Modeling'!$L$15:$N$27,IF(AZ$2+$F8&lt;=24,2,3),FALSE)),$C$3)*(1+Projection!BB$16)*(1+IF(AZ140&gt;0,'Attrition Modeling'!$N$9,0)))</f>
        <v>0</v>
      </c>
      <c r="BA75" s="799">
        <f>AZ75*(1-IFERROR(IF(BA$69+$F75&lt;=12,SUMIFS('Attrition Modeling'!$D:$D,'Attrition Modeling'!$C:$C,'IP Attrition'!$D75,'Attrition Modeling'!$B:$B,'IP Attrition'!BA$68),VLOOKUP($F75+BA$2,$A$6:$C$106,2,FALSE)*VLOOKUP(BA$1,'Attrition Modeling'!$L$15:$N$27,IF(BA$2+$F8&lt;=24,2,3),FALSE)),$C$3)*(1+Projection!BC$16)*(1+IF(BA140&gt;0,'Attrition Modeling'!$N$9,0)))</f>
        <v>0</v>
      </c>
      <c r="BB75" s="799">
        <f>BA75*(1-IFERROR(IF(BB$69+$F75&lt;=12,SUMIFS('Attrition Modeling'!$D:$D,'Attrition Modeling'!$C:$C,'IP Attrition'!$D75,'Attrition Modeling'!$B:$B,'IP Attrition'!BB$68),VLOOKUP($F75+BB$2,$A$6:$C$106,2,FALSE)*VLOOKUP(BB$1,'Attrition Modeling'!$L$15:$N$27,IF(BB$2+$F8&lt;=24,2,3),FALSE)),$C$3)*(1+Projection!BD$16)*(1+IF(BB140&gt;0,'Attrition Modeling'!$N$9,0)))</f>
        <v>0</v>
      </c>
      <c r="BC75" s="799">
        <f>BB75*(1-IFERROR(IF(BC$69+$F75&lt;=12,SUMIFS('Attrition Modeling'!$D:$D,'Attrition Modeling'!$C:$C,'IP Attrition'!$D75,'Attrition Modeling'!$B:$B,'IP Attrition'!BC$68),VLOOKUP($F75+BC$2,$A$6:$C$106,2,FALSE)*VLOOKUP(BC$1,'Attrition Modeling'!$L$15:$N$27,IF(BC$2+$F8&lt;=24,2,3),FALSE)),$C$3)*(1+Projection!BE$16)*(1+IF(BC140&gt;0,'Attrition Modeling'!$N$9,0)))</f>
        <v>0</v>
      </c>
      <c r="BD75" s="799">
        <f>BC75*(1-IFERROR(IF(BD$69+$F75&lt;=12,SUMIFS('Attrition Modeling'!$D:$D,'Attrition Modeling'!$C:$C,'IP Attrition'!$D75,'Attrition Modeling'!$B:$B,'IP Attrition'!BD$68),VLOOKUP($F75+BD$2,$A$6:$C$106,2,FALSE)*VLOOKUP(BD$1,'Attrition Modeling'!$L$15:$N$27,IF(BD$2+$F8&lt;=24,2,3),FALSE)),$C$3)*(1+Projection!BF$16)*(1+IF(BD140&gt;0,'Attrition Modeling'!$N$9,0)))</f>
        <v>0</v>
      </c>
      <c r="BE75" s="799">
        <f>BD75*(1-IFERROR(IF(BE$69+$F75&lt;=12,SUMIFS('Attrition Modeling'!$D:$D,'Attrition Modeling'!$C:$C,'IP Attrition'!$D75,'Attrition Modeling'!$B:$B,'IP Attrition'!BE$68),VLOOKUP($F75+BE$2,$A$6:$C$106,2,FALSE)*VLOOKUP(BE$1,'Attrition Modeling'!$L$15:$N$27,IF(BE$2+$F8&lt;=24,2,3),FALSE)),$C$3)*(1+Projection!BG$16)*(1+IF(BE140&gt;0,'Attrition Modeling'!$N$9,0)))</f>
        <v>0</v>
      </c>
      <c r="BF75" s="799">
        <f>BE75*(1-IFERROR(IF(BF$69+$F75&lt;=12,SUMIFS('Attrition Modeling'!$D:$D,'Attrition Modeling'!$C:$C,'IP Attrition'!$D75,'Attrition Modeling'!$B:$B,'IP Attrition'!BF$68),VLOOKUP($F75+BF$2,$A$6:$C$106,2,FALSE)*VLOOKUP(BF$1,'Attrition Modeling'!$L$15:$N$27,IF(BF$2+$F8&lt;=24,2,3),FALSE)),$C$3)*(1+Projection!BH$16)*(1+IF(BF140&gt;0,'Attrition Modeling'!$N$9,0)))</f>
        <v>0</v>
      </c>
      <c r="BG75" s="799">
        <f>BF75*(1-IFERROR(IF(BG$69+$F75&lt;=12,SUMIFS('Attrition Modeling'!$D:$D,'Attrition Modeling'!$C:$C,'IP Attrition'!$D75,'Attrition Modeling'!$B:$B,'IP Attrition'!BG$68),VLOOKUP($F75+BG$2,$A$6:$C$106,2,FALSE)*VLOOKUP(BG$1,'Attrition Modeling'!$L$15:$N$27,IF(BG$2+$F8&lt;=24,2,3),FALSE)),$C$3)*(1+Projection!BI$16)*(1+IF(BG140&gt;0,'Attrition Modeling'!$N$9,0)))</f>
        <v>0</v>
      </c>
      <c r="BH75" s="799">
        <f>BG75*(1-IFERROR(IF(BH$69+$F75&lt;=12,SUMIFS('Attrition Modeling'!$D:$D,'Attrition Modeling'!$C:$C,'IP Attrition'!$D75,'Attrition Modeling'!$B:$B,'IP Attrition'!BH$68),VLOOKUP($F75+BH$2,$A$6:$C$106,2,FALSE)*VLOOKUP(BH$1,'Attrition Modeling'!$L$15:$N$27,IF(BH$2+$F8&lt;=24,2,3),FALSE)),$C$3)*(1+Projection!BJ$16)*(1+IF(BH140&gt;0,'Attrition Modeling'!$N$9,0)))</f>
        <v>0</v>
      </c>
      <c r="BI75" s="799">
        <f>BH75*(1-IFERROR(IF(BI$69+$F75&lt;=12,SUMIFS('Attrition Modeling'!$D:$D,'Attrition Modeling'!$C:$C,'IP Attrition'!$D75,'Attrition Modeling'!$B:$B,'IP Attrition'!BI$68),VLOOKUP($F75+BI$2,$A$6:$C$106,2,FALSE)*VLOOKUP(BI$1,'Attrition Modeling'!$L$15:$N$27,IF(BI$2+$F8&lt;=24,2,3),FALSE)),$C$3)*(1+Projection!BK$16)*(1+IF(BI140&gt;0,'Attrition Modeling'!$N$9,0)))</f>
        <v>0</v>
      </c>
      <c r="BJ75" s="799">
        <f>BI75*(1-IFERROR(IF(BJ$69+$F75&lt;=12,SUMIFS('Attrition Modeling'!$D:$D,'Attrition Modeling'!$C:$C,'IP Attrition'!$D75,'Attrition Modeling'!$B:$B,'IP Attrition'!BJ$68),VLOOKUP($F75+BJ$2,$A$6:$C$106,2,FALSE)*VLOOKUP(BJ$1,'Attrition Modeling'!$L$15:$N$27,IF(BJ$2+$F8&lt;=24,2,3),FALSE)),$C$3)*(1+Projection!BL$16)*(1+IF(BJ140&gt;0,'Attrition Modeling'!$N$9,0)))</f>
        <v>0</v>
      </c>
      <c r="BK75" s="799">
        <f>BJ75*(1-IFERROR(IF(BK$69+$F75&lt;=12,SUMIFS('Attrition Modeling'!$D:$D,'Attrition Modeling'!$C:$C,'IP Attrition'!$D75,'Attrition Modeling'!$B:$B,'IP Attrition'!BK$68),VLOOKUP($F75+BK$2,$A$6:$C$106,2,FALSE)*VLOOKUP(BK$1,'Attrition Modeling'!$L$15:$N$27,IF(BK$2+$F8&lt;=24,2,3),FALSE)),$C$3)*(1+Projection!BM$16)*(1+IF(BK140&gt;0,'Attrition Modeling'!$N$9,0)))</f>
        <v>0</v>
      </c>
      <c r="BL75" s="799">
        <f>BK75*(1-IFERROR(IF(BL$69+$F75&lt;=12,SUMIFS('Attrition Modeling'!$D:$D,'Attrition Modeling'!$C:$C,'IP Attrition'!$D75,'Attrition Modeling'!$B:$B,'IP Attrition'!BL$68),VLOOKUP($F75+BL$2,$A$6:$C$106,2,FALSE)*VLOOKUP(BL$1,'Attrition Modeling'!$L$15:$N$27,IF(BL$2+$F8&lt;=24,2,3),FALSE)),$C$3)*(1+Projection!BN$16)*(1+IF(BL140&gt;0,'Attrition Modeling'!$N$9,0)))</f>
        <v>0</v>
      </c>
      <c r="BM75" s="799">
        <f>BL75*(1-IFERROR(IF(BM$69+$F75&lt;=12,SUMIFS('Attrition Modeling'!$D:$D,'Attrition Modeling'!$C:$C,'IP Attrition'!$D75,'Attrition Modeling'!$B:$B,'IP Attrition'!BM$68),VLOOKUP($F75+BM$2,$A$6:$C$106,2,FALSE)*VLOOKUP(BM$1,'Attrition Modeling'!$L$15:$N$27,IF(BM$2+$F8&lt;=24,2,3),FALSE)),$C$3)*(1+Projection!BO$16)*(1+IF(BM140&gt;0,'Attrition Modeling'!$N$9,0)))</f>
        <v>0</v>
      </c>
      <c r="BN75" s="799">
        <f>BM75*(1-IFERROR(IF(BN$69+$F75&lt;=12,SUMIFS('Attrition Modeling'!$D:$D,'Attrition Modeling'!$C:$C,'IP Attrition'!$D75,'Attrition Modeling'!$B:$B,'IP Attrition'!BN$68),VLOOKUP($F75+BN$2,$A$6:$C$106,2,FALSE)*VLOOKUP(BN$1,'Attrition Modeling'!$L$15:$N$27,IF(BN$2+$F8&lt;=24,2,3),FALSE)),$C$3)*(1+Projection!BP$16)*(1+IF(BN140&gt;0,'Attrition Modeling'!$N$9,0)))</f>
        <v>0</v>
      </c>
      <c r="BO75" s="799">
        <f>BN75*(1-IFERROR(IF(BO$69+$F75&lt;=12,SUMIFS('Attrition Modeling'!$D:$D,'Attrition Modeling'!$C:$C,'IP Attrition'!$D75,'Attrition Modeling'!$B:$B,'IP Attrition'!BO$68),VLOOKUP($F75+BO$2,$A$6:$C$106,2,FALSE)*VLOOKUP(BO$1,'Attrition Modeling'!$L$15:$N$27,IF(BO$2+$F8&lt;=24,2,3),FALSE)),$C$3)*(1+Projection!BV$16)*(1+IF(BO140&gt;0,'Attrition Modeling'!$N$9,0)))</f>
        <v>0</v>
      </c>
      <c r="BP75" s="799">
        <f>BO75*(1-IFERROR(IF(BP$69+$F75&lt;=12,SUMIFS('Attrition Modeling'!$D:$D,'Attrition Modeling'!$C:$C,'IP Attrition'!$D75,'Attrition Modeling'!$B:$B,'IP Attrition'!BP$68),VLOOKUP($F75+BP$2,$A$6:$C$106,2,FALSE)*VLOOKUP(BP$1,'Attrition Modeling'!$L$15:$N$27,IF(BP$2+$F8&lt;=24,2,3),FALSE)),$C$3)*(1+Projection!BW$16)*(1+IF(BP140&gt;0,'Attrition Modeling'!$N$9,0)))</f>
        <v>0</v>
      </c>
      <c r="BQ75" s="799">
        <f>BP75*(1-IFERROR(IF(BQ$69+$F75&lt;=12,SUMIFS('Attrition Modeling'!$D:$D,'Attrition Modeling'!$C:$C,'IP Attrition'!$D75,'Attrition Modeling'!$B:$B,'IP Attrition'!BQ$68),VLOOKUP($F75+BQ$2,$A$6:$C$106,2,FALSE)*VLOOKUP(BQ$1,'Attrition Modeling'!$L$15:$N$27,IF(BQ$2+$F8&lt;=24,2,3),FALSE)),$C$3)*(1+Projection!BX$16)*(1+IF(BQ140&gt;0,'Attrition Modeling'!$N$9,0)))</f>
        <v>0</v>
      </c>
      <c r="BR75" s="799">
        <f>BQ75*(1-IFERROR(IF(BR$69+$F75&lt;=12,SUMIFS('Attrition Modeling'!$D:$D,'Attrition Modeling'!$C:$C,'IP Attrition'!$D75,'Attrition Modeling'!$B:$B,'IP Attrition'!BR$68),VLOOKUP($F75+BR$2,$A$6:$C$106,2,FALSE)*VLOOKUP(BR$1,'Attrition Modeling'!$L$15:$N$27,IF(BR$2+$F8&lt;=24,2,3),FALSE)),$C$3)*(1+Projection!BY$16)*(1+IF(BR140&gt;0,'Attrition Modeling'!$N$9,0)))</f>
        <v>0</v>
      </c>
      <c r="BS75" s="799">
        <f>BR75*(1-IFERROR(IF(BS$69+$F75&lt;=12,SUMIFS('Attrition Modeling'!$D:$D,'Attrition Modeling'!$C:$C,'IP Attrition'!$D75,'Attrition Modeling'!$B:$B,'IP Attrition'!BS$68),VLOOKUP($F75+BS$2,$A$6:$C$106,2,FALSE)*VLOOKUP(BS$1,'Attrition Modeling'!$L$15:$N$27,IF(BS$2+$F8&lt;=24,2,3),FALSE)),$C$3)*(1+Projection!BZ$16)*(1+IF(BS140&gt;0,'Attrition Modeling'!$N$9,0)))</f>
        <v>0</v>
      </c>
      <c r="BT75" s="799" t="e">
        <f>BS75*(1-IFERROR(IF(BT$69+$F75&lt;=12,SUMIFS('Attrition Modeling'!$D:$D,'Attrition Modeling'!$C:$C,'IP Attrition'!$D75,'Attrition Modeling'!$B:$B,'IP Attrition'!BT$68),VLOOKUP($F75+BT$2,$A$6:$C$106,2,FALSE)*VLOOKUP(BT$1,'Attrition Modeling'!$L$15:$N$27,IF(BT$2+$F8&lt;=24,2,3),FALSE)),$C$3)*(1+Projection!CA$16)*(1+IF(BT140&gt;0,'Attrition Modeling'!$N$9,0)))</f>
        <v>#REF!</v>
      </c>
      <c r="BU75" s="799" t="e">
        <f>BT75*(1-IFERROR(IF(BU$69+$F75&lt;=12,SUMIFS('Attrition Modeling'!$D:$D,'Attrition Modeling'!$C:$C,'IP Attrition'!$D75,'Attrition Modeling'!$B:$B,'IP Attrition'!BU$68),VLOOKUP($F75+BU$2,$A$6:$C$106,2,FALSE)*VLOOKUP(BU$1,'Attrition Modeling'!$L$15:$N$27,IF(BU$2+$F8&lt;=24,2,3),FALSE)),$C$3)*(1+Projection!CB$16)*(1+IF(BU140&gt;0,'Attrition Modeling'!$N$9,0)))</f>
        <v>#REF!</v>
      </c>
    </row>
    <row r="76" spans="1:73" ht="14.25" customHeight="1" x14ac:dyDescent="0.2">
      <c r="A76" s="9">
        <v>69</v>
      </c>
      <c r="B76" s="25">
        <f>MAX('Attrition Modeling'!H73,$C$3)*(1-Summary!$C$20)</f>
        <v>2.0052193504681723E-2</v>
      </c>
      <c r="C76" s="24" t="e">
        <f t="shared" si="3"/>
        <v>#DIV/0!</v>
      </c>
      <c r="D76" s="11">
        <f t="shared" ref="D76:E76" si="14">D9</f>
        <v>-6</v>
      </c>
      <c r="E76" s="25">
        <f t="shared" si="14"/>
        <v>5.9587919617418876E-2</v>
      </c>
      <c r="F76" s="11">
        <f t="shared" si="9"/>
        <v>6</v>
      </c>
      <c r="G76" s="799">
        <f>Summary!$C$24*$E76</f>
        <v>0</v>
      </c>
      <c r="H76" s="799">
        <f>G76*(1-IFERROR(IF(H$69+$F76&lt;=12,SUMIFS('Attrition Modeling'!$D:$D,'Attrition Modeling'!$C:$C,'IP Attrition'!$D76,'Attrition Modeling'!$B:$B,'IP Attrition'!H$68),VLOOKUP($F76+H$2,$A$6:$C$106,2,FALSE)*VLOOKUP(H$1,'Attrition Modeling'!$L$15:$N$27,IF(H$2+$F9&lt;=24,2,3),FALSE)),$C$3)*(1+Projection!J$16)*(1+IF(H141&gt;0,'Attrition Modeling'!$N$9,0)))</f>
        <v>0</v>
      </c>
      <c r="I76" s="799">
        <f>H76*(1-IFERROR(IF(I$69+$F76&lt;=12,SUMIFS('Attrition Modeling'!$D:$D,'Attrition Modeling'!$C:$C,'IP Attrition'!$D76,'Attrition Modeling'!$B:$B,'IP Attrition'!I$68),VLOOKUP($F76+I$2,$A$6:$C$106,2,FALSE)*VLOOKUP(I$1,'Attrition Modeling'!$L$15:$N$27,IF(I$2+$F9&lt;=24,2,3),FALSE)),$C$3)*(1+Projection!K$16)*(1+IF(I141&gt;0,'Attrition Modeling'!$N$9,0)))</f>
        <v>0</v>
      </c>
      <c r="J76" s="799">
        <f>I76*(1-IFERROR(IF(J$69+$F76&lt;=12,SUMIFS('Attrition Modeling'!$D:$D,'Attrition Modeling'!$C:$C,'IP Attrition'!$D76,'Attrition Modeling'!$B:$B,'IP Attrition'!J$68),VLOOKUP($F76+J$2,$A$6:$C$106,2,FALSE)*VLOOKUP(J$1,'Attrition Modeling'!$L$15:$N$27,IF(J$2+$F9&lt;=24,2,3),FALSE)),$C$3)*(1+Projection!L$16)*(1+IF(J141&gt;0,'Attrition Modeling'!$N$9,0)))</f>
        <v>0</v>
      </c>
      <c r="K76" s="799">
        <f>J76*(1-IFERROR(IF(K$69+$F76&lt;=12,SUMIFS('Attrition Modeling'!$D:$D,'Attrition Modeling'!$C:$C,'IP Attrition'!$D76,'Attrition Modeling'!$B:$B,'IP Attrition'!K$68),VLOOKUP($F76+K$2,$A$6:$C$106,2,FALSE)*VLOOKUP(K$1,'Attrition Modeling'!$L$15:$N$27,IF(K$2+$F9&lt;=24,2,3),FALSE)),$C$3)*(1+Projection!M$16)*(1+IF(K141&gt;0,'Attrition Modeling'!$N$9,0)))</f>
        <v>0</v>
      </c>
      <c r="L76" s="799">
        <f>K76*(1-IFERROR(IF(L$69+$F76&lt;=12,SUMIFS('Attrition Modeling'!$D:$D,'Attrition Modeling'!$C:$C,'IP Attrition'!$D76,'Attrition Modeling'!$B:$B,'IP Attrition'!L$68),VLOOKUP($F76+L$2,$A$6:$C$106,2,FALSE)*VLOOKUP(L$1,'Attrition Modeling'!$L$15:$N$27,IF(L$2+$F9&lt;=24,2,3),FALSE)),$C$3)*(1+Projection!N$16)*(1+IF(L141&gt;0,'Attrition Modeling'!$N$9,0)))</f>
        <v>0</v>
      </c>
      <c r="M76" s="799">
        <f>L76*(1-IFERROR(IF(M$69+$F76&lt;=12,SUMIFS('Attrition Modeling'!$D:$D,'Attrition Modeling'!$C:$C,'IP Attrition'!$D76,'Attrition Modeling'!$B:$B,'IP Attrition'!M$68),VLOOKUP($F76+M$2,$A$6:$C$106,2,FALSE)*VLOOKUP(M$1,'Attrition Modeling'!$L$15:$N$27,IF(M$2+$F9&lt;=24,2,3),FALSE)),$C$3)*(1+Projection!O$16)*(1+IF(M141&gt;0,'Attrition Modeling'!$N$9,0)))</f>
        <v>0</v>
      </c>
      <c r="N76" s="799">
        <f>M76*(1-IFERROR(IF(N$69+$F76&lt;=12,SUMIFS('Attrition Modeling'!$D:$D,'Attrition Modeling'!$C:$C,'IP Attrition'!$D76,'Attrition Modeling'!$B:$B,'IP Attrition'!N$68),VLOOKUP($F76+N$2,$A$6:$C$106,2,FALSE)*VLOOKUP(N$1,'Attrition Modeling'!$L$15:$N$27,IF(N$2+$F9&lt;=24,2,3),FALSE)),$C$3)*(1+Projection!P$16)*(1+IF(N141&gt;0,'Attrition Modeling'!$N$9,0)))</f>
        <v>0</v>
      </c>
      <c r="O76" s="799">
        <f>N76*(1-IFERROR(IF(O$69+$F76&lt;=12,SUMIFS('Attrition Modeling'!$D:$D,'Attrition Modeling'!$C:$C,'IP Attrition'!$D76,'Attrition Modeling'!$B:$B,'IP Attrition'!O$68),VLOOKUP($F76+O$2,$A$6:$C$106,2,FALSE)*VLOOKUP(O$1,'Attrition Modeling'!$L$15:$N$27,IF(O$2+$F9&lt;=24,2,3),FALSE)),$C$3)*(1+Projection!Q$16)*(1+IF(O141&gt;0,'Attrition Modeling'!$N$9,0)))</f>
        <v>0</v>
      </c>
      <c r="P76" s="799">
        <f>O76*(1-IFERROR(IF(P$69+$F76&lt;=12,SUMIFS('Attrition Modeling'!$D:$D,'Attrition Modeling'!$C:$C,'IP Attrition'!$D76,'Attrition Modeling'!$B:$B,'IP Attrition'!P$68),VLOOKUP($F76+P$2,$A$6:$C$106,2,FALSE)*VLOOKUP(P$1,'Attrition Modeling'!$L$15:$N$27,IF(P$2+$F9&lt;=24,2,3),FALSE)),$C$3)*(1+Projection!R$16)*(1+IF(P141&gt;0,'Attrition Modeling'!$N$9,0)))</f>
        <v>0</v>
      </c>
      <c r="Q76" s="799">
        <f>P76*(1-IFERROR(IF(Q$69+$F76&lt;=12,SUMIFS('Attrition Modeling'!$D:$D,'Attrition Modeling'!$C:$C,'IP Attrition'!$D76,'Attrition Modeling'!$B:$B,'IP Attrition'!Q$68),VLOOKUP($F76+Q$2,$A$6:$C$106,2,FALSE)*VLOOKUP(Q$1,'Attrition Modeling'!$L$15:$N$27,IF(Q$2+$F9&lt;=24,2,3),FALSE)),$C$3)*(1+Projection!S$16)*(1+IF(Q141&gt;0,'Attrition Modeling'!$N$9,0)))</f>
        <v>0</v>
      </c>
      <c r="R76" s="799">
        <f>Q76*(1-IFERROR(IF(R$69+$F76&lt;=12,SUMIFS('Attrition Modeling'!$D:$D,'Attrition Modeling'!$C:$C,'IP Attrition'!$D76,'Attrition Modeling'!$B:$B,'IP Attrition'!R$68),VLOOKUP($F76+R$2,$A$6:$C$106,2,FALSE)*VLOOKUP(R$1,'Attrition Modeling'!$L$15:$N$27,IF(R$2+$F9&lt;=24,2,3),FALSE)),$C$3)*(1+Projection!T$16)*(1+IF(R141&gt;0,'Attrition Modeling'!$N$9,0)))</f>
        <v>0</v>
      </c>
      <c r="S76" s="799">
        <f>R76*(1-IFERROR(IF(S$69+$F76&lt;=12,SUMIFS('Attrition Modeling'!$D:$D,'Attrition Modeling'!$C:$C,'IP Attrition'!$D76,'Attrition Modeling'!$B:$B,'IP Attrition'!S$68),VLOOKUP($F76+S$2,$A$6:$C$106,2,FALSE)*VLOOKUP(S$1,'Attrition Modeling'!$L$15:$N$27,IF(S$2+$F9&lt;=24,2,3),FALSE)),$C$3)*(1+Projection!U$16)*(1+IF(S141&gt;0,'Attrition Modeling'!$N$9,0)))</f>
        <v>0</v>
      </c>
      <c r="T76" s="799">
        <f>S76*(1-IFERROR(IF(T$69+$F76&lt;=12,SUMIFS('Attrition Modeling'!$D:$D,'Attrition Modeling'!$C:$C,'IP Attrition'!$D76,'Attrition Modeling'!$B:$B,'IP Attrition'!T$68),VLOOKUP($F76+T$2,$A$6:$C$106,2,FALSE)*VLOOKUP(T$1,'Attrition Modeling'!$L$15:$N$27,IF(T$2+$F9&lt;=24,2,3),FALSE)),$C$3)*(1+Projection!V$16)*(1+IF(T141&gt;0,'Attrition Modeling'!$N$9,0)))</f>
        <v>0</v>
      </c>
      <c r="U76" s="799">
        <f>T76*(1-IFERROR(IF(U$69+$F76&lt;=12,SUMIFS('Attrition Modeling'!$D:$D,'Attrition Modeling'!$C:$C,'IP Attrition'!$D76,'Attrition Modeling'!$B:$B,'IP Attrition'!U$68),VLOOKUP($F76+U$2,$A$6:$C$106,2,FALSE)*VLOOKUP(U$1,'Attrition Modeling'!$L$15:$N$27,IF(U$2+$F9&lt;=24,2,3),FALSE)),$C$3)*(1+Projection!W$16)*(1+IF(U141&gt;0,'Attrition Modeling'!$N$9,0)))</f>
        <v>0</v>
      </c>
      <c r="V76" s="799">
        <f>U76*(1-IFERROR(IF(V$69+$F76&lt;=12,SUMIFS('Attrition Modeling'!$D:$D,'Attrition Modeling'!$C:$C,'IP Attrition'!$D76,'Attrition Modeling'!$B:$B,'IP Attrition'!V$68),VLOOKUP($F76+V$2,$A$6:$C$106,2,FALSE)*VLOOKUP(V$1,'Attrition Modeling'!$L$15:$N$27,IF(V$2+$F9&lt;=24,2,3),FALSE)),$C$3)*(1+Projection!X$16)*(1+IF(V141&gt;0,'Attrition Modeling'!$N$9,0)))</f>
        <v>0</v>
      </c>
      <c r="W76" s="799">
        <f>V76*(1-IFERROR(IF(W$69+$F76&lt;=12,SUMIFS('Attrition Modeling'!$D:$D,'Attrition Modeling'!$C:$C,'IP Attrition'!$D76,'Attrition Modeling'!$B:$B,'IP Attrition'!W$68),VLOOKUP($F76+W$2,$A$6:$C$106,2,FALSE)*VLOOKUP(W$1,'Attrition Modeling'!$L$15:$N$27,IF(W$2+$F9&lt;=24,2,3),FALSE)),$C$3)*(1+Projection!Y$16)*(1+IF(W141&gt;0,'Attrition Modeling'!$N$9,0)))</f>
        <v>0</v>
      </c>
      <c r="X76" s="799">
        <f>W76*(1-IFERROR(IF(X$69+$F76&lt;=12,SUMIFS('Attrition Modeling'!$D:$D,'Attrition Modeling'!$C:$C,'IP Attrition'!$D76,'Attrition Modeling'!$B:$B,'IP Attrition'!X$68),VLOOKUP($F76+X$2,$A$6:$C$106,2,FALSE)*VLOOKUP(X$1,'Attrition Modeling'!$L$15:$N$27,IF(X$2+$F9&lt;=24,2,3),FALSE)),$C$3)*(1+Projection!Z$16)*(1+IF(X141&gt;0,'Attrition Modeling'!$N$9,0)))</f>
        <v>0</v>
      </c>
      <c r="Y76" s="799">
        <f>X76*(1-IFERROR(IF(Y$69+$F76&lt;=12,SUMIFS('Attrition Modeling'!$D:$D,'Attrition Modeling'!$C:$C,'IP Attrition'!$D76,'Attrition Modeling'!$B:$B,'IP Attrition'!Y$68),VLOOKUP($F76+Y$2,$A$6:$C$106,2,FALSE)*VLOOKUP(Y$1,'Attrition Modeling'!$L$15:$N$27,IF(Y$2+$F9&lt;=24,2,3),FALSE)),$C$3)*(1+Projection!AA$16)*(1+IF(Y141&gt;0,'Attrition Modeling'!$N$9,0)))</f>
        <v>0</v>
      </c>
      <c r="Z76" s="799">
        <f>Y76*(1-IFERROR(IF(Z$69+$F76&lt;=12,SUMIFS('Attrition Modeling'!$D:$D,'Attrition Modeling'!$C:$C,'IP Attrition'!$D76,'Attrition Modeling'!$B:$B,'IP Attrition'!Z$68),VLOOKUP($F76+Z$2,$A$6:$C$106,2,FALSE)*VLOOKUP(Z$1,'Attrition Modeling'!$L$15:$N$27,IF(Z$2+$F9&lt;=24,2,3),FALSE)),$C$3)*(1+Projection!AB$16)*(1+IF(Z141&gt;0,'Attrition Modeling'!$N$9,0)))</f>
        <v>0</v>
      </c>
      <c r="AA76" s="799">
        <f>Z76*(1-IFERROR(IF(AA$69+$F76&lt;=12,SUMIFS('Attrition Modeling'!$D:$D,'Attrition Modeling'!$C:$C,'IP Attrition'!$D76,'Attrition Modeling'!$B:$B,'IP Attrition'!AA$68),VLOOKUP($F76+AA$2,$A$6:$C$106,2,FALSE)*VLOOKUP(AA$1,'Attrition Modeling'!$L$15:$N$27,IF(AA$2+$F9&lt;=24,2,3),FALSE)),$C$3)*(1+Projection!AC$16)*(1+IF(AA141&gt;0,'Attrition Modeling'!$N$9,0)))</f>
        <v>0</v>
      </c>
      <c r="AB76" s="799">
        <f>AA76*(1-IFERROR(IF(AB$69+$F76&lt;=12,SUMIFS('Attrition Modeling'!$D:$D,'Attrition Modeling'!$C:$C,'IP Attrition'!$D76,'Attrition Modeling'!$B:$B,'IP Attrition'!AB$68),VLOOKUP($F76+AB$2,$A$6:$C$106,2,FALSE)*VLOOKUP(AB$1,'Attrition Modeling'!$L$15:$N$27,IF(AB$2+$F9&lt;=24,2,3),FALSE)),$C$3)*(1+Projection!AD$16)*(1+IF(AB141&gt;0,'Attrition Modeling'!$N$9,0)))</f>
        <v>0</v>
      </c>
      <c r="AC76" s="799">
        <f>AB76*(1-IFERROR(IF(AC$69+$F76&lt;=12,SUMIFS('Attrition Modeling'!$D:$D,'Attrition Modeling'!$C:$C,'IP Attrition'!$D76,'Attrition Modeling'!$B:$B,'IP Attrition'!AC$68),VLOOKUP($F76+AC$2,$A$6:$C$106,2,FALSE)*VLOOKUP(AC$1,'Attrition Modeling'!$L$15:$N$27,IF(AC$2+$F9&lt;=24,2,3),FALSE)),$C$3)*(1+Projection!AE$16)*(1+IF(AC141&gt;0,'Attrition Modeling'!$N$9,0)))</f>
        <v>0</v>
      </c>
      <c r="AD76" s="799">
        <f>AC76*(1-IFERROR(IF(AD$69+$F76&lt;=12,SUMIFS('Attrition Modeling'!$D:$D,'Attrition Modeling'!$C:$C,'IP Attrition'!$D76,'Attrition Modeling'!$B:$B,'IP Attrition'!AD$68),VLOOKUP($F76+AD$2,$A$6:$C$106,2,FALSE)*VLOOKUP(AD$1,'Attrition Modeling'!$L$15:$N$27,IF(AD$2+$F9&lt;=24,2,3),FALSE)),$C$3)*(1+Projection!AF$16)*(1+IF(AD141&gt;0,'Attrition Modeling'!$N$9,0)))</f>
        <v>0</v>
      </c>
      <c r="AE76" s="799">
        <f>AD76*(1-IFERROR(IF(AE$69+$F76&lt;=12,SUMIFS('Attrition Modeling'!$D:$D,'Attrition Modeling'!$C:$C,'IP Attrition'!$D76,'Attrition Modeling'!$B:$B,'IP Attrition'!AE$68),VLOOKUP($F76+AE$2,$A$6:$C$106,2,FALSE)*VLOOKUP(AE$1,'Attrition Modeling'!$L$15:$N$27,IF(AE$2+$F9&lt;=24,2,3),FALSE)),$C$3)*(1+Projection!AG$16)*(1+IF(AE141&gt;0,'Attrition Modeling'!$N$9,0)))</f>
        <v>0</v>
      </c>
      <c r="AF76" s="799">
        <f>AE76*(1-IFERROR(IF(AF$69+$F76&lt;=12,SUMIFS('Attrition Modeling'!$D:$D,'Attrition Modeling'!$C:$C,'IP Attrition'!$D76,'Attrition Modeling'!$B:$B,'IP Attrition'!AF$68),VLOOKUP($F76+AF$2,$A$6:$C$106,2,FALSE)*VLOOKUP(AF$1,'Attrition Modeling'!$L$15:$N$27,IF(AF$2+$F9&lt;=24,2,3),FALSE)),$C$3)*(1+Projection!AH$16)*(1+IF(AF141&gt;0,'Attrition Modeling'!$N$9,0)))</f>
        <v>0</v>
      </c>
      <c r="AG76" s="799">
        <f>AF76*(1-IFERROR(IF(AG$69+$F76&lt;=12,SUMIFS('Attrition Modeling'!$D:$D,'Attrition Modeling'!$C:$C,'IP Attrition'!$D76,'Attrition Modeling'!$B:$B,'IP Attrition'!AG$68),VLOOKUP($F76+AG$2,$A$6:$C$106,2,FALSE)*VLOOKUP(AG$1,'Attrition Modeling'!$L$15:$N$27,IF(AG$2+$F9&lt;=24,2,3),FALSE)),$C$3)*(1+Projection!AI$16)*(1+IF(AG141&gt;0,'Attrition Modeling'!$N$9,0)))</f>
        <v>0</v>
      </c>
      <c r="AH76" s="799">
        <f>AG76*(1-IFERROR(IF(AH$69+$F76&lt;=12,SUMIFS('Attrition Modeling'!$D:$D,'Attrition Modeling'!$C:$C,'IP Attrition'!$D76,'Attrition Modeling'!$B:$B,'IP Attrition'!AH$68),VLOOKUP($F76+AH$2,$A$6:$C$106,2,FALSE)*VLOOKUP(AH$1,'Attrition Modeling'!$L$15:$N$27,IF(AH$2+$F9&lt;=24,2,3),FALSE)),$C$3)*(1+Projection!AJ$16)*(1+IF(AH141&gt;0,'Attrition Modeling'!$N$9,0)))</f>
        <v>0</v>
      </c>
      <c r="AI76" s="799">
        <f>AH76*(1-IFERROR(IF(AI$69+$F76&lt;=12,SUMIFS('Attrition Modeling'!$D:$D,'Attrition Modeling'!$C:$C,'IP Attrition'!$D76,'Attrition Modeling'!$B:$B,'IP Attrition'!AI$68),VLOOKUP($F76+AI$2,$A$6:$C$106,2,FALSE)*VLOOKUP(AI$1,'Attrition Modeling'!$L$15:$N$27,IF(AI$2+$F9&lt;=24,2,3),FALSE)),$C$3)*(1+Projection!AK$16)*(1+IF(AI141&gt;0,'Attrition Modeling'!$N$9,0)))</f>
        <v>0</v>
      </c>
      <c r="AJ76" s="799">
        <f>AI76*(1-IFERROR(IF(AJ$69+$F76&lt;=12,SUMIFS('Attrition Modeling'!$D:$D,'Attrition Modeling'!$C:$C,'IP Attrition'!$D76,'Attrition Modeling'!$B:$B,'IP Attrition'!AJ$68),VLOOKUP($F76+AJ$2,$A$6:$C$106,2,FALSE)*VLOOKUP(AJ$1,'Attrition Modeling'!$L$15:$N$27,IF(AJ$2+$F9&lt;=24,2,3),FALSE)),$C$3)*(1+Projection!AL$16)*(1+IF(AJ141&gt;0,'Attrition Modeling'!$N$9,0)))</f>
        <v>0</v>
      </c>
      <c r="AK76" s="799">
        <f>AJ76*(1-IFERROR(IF(AK$69+$F76&lt;=12,SUMIFS('Attrition Modeling'!$D:$D,'Attrition Modeling'!$C:$C,'IP Attrition'!$D76,'Attrition Modeling'!$B:$B,'IP Attrition'!AK$68),VLOOKUP($F76+AK$2,$A$6:$C$106,2,FALSE)*VLOOKUP(AK$1,'Attrition Modeling'!$L$15:$N$27,IF(AK$2+$F9&lt;=24,2,3),FALSE)),$C$3)*(1+Projection!AM$16)*(1+IF(AK141&gt;0,'Attrition Modeling'!$N$9,0)))</f>
        <v>0</v>
      </c>
      <c r="AL76" s="799">
        <f>AK76*(1-IFERROR(IF(AL$69+$F76&lt;=12,SUMIFS('Attrition Modeling'!$D:$D,'Attrition Modeling'!$C:$C,'IP Attrition'!$D76,'Attrition Modeling'!$B:$B,'IP Attrition'!AL$68),VLOOKUP($F76+AL$2,$A$6:$C$106,2,FALSE)*VLOOKUP(AL$1,'Attrition Modeling'!$L$15:$N$27,IF(AL$2+$F9&lt;=24,2,3),FALSE)),$C$3)*(1+Projection!AN$16)*(1+IF(AL141&gt;0,'Attrition Modeling'!$N$9,0)))</f>
        <v>0</v>
      </c>
      <c r="AM76" s="799">
        <f>AL76*(1-IFERROR(IF(AM$69+$F76&lt;=12,SUMIFS('Attrition Modeling'!$D:$D,'Attrition Modeling'!$C:$C,'IP Attrition'!$D76,'Attrition Modeling'!$B:$B,'IP Attrition'!AM$68),VLOOKUP($F76+AM$2,$A$6:$C$106,2,FALSE)*VLOOKUP(AM$1,'Attrition Modeling'!$L$15:$N$27,IF(AM$2+$F9&lt;=24,2,3),FALSE)),$C$3)*(1+Projection!AO$16)*(1+IF(AM141&gt;0,'Attrition Modeling'!$N$9,0)))</f>
        <v>0</v>
      </c>
      <c r="AN76" s="799">
        <f>AM76*(1-IFERROR(IF(AN$69+$F76&lt;=12,SUMIFS('Attrition Modeling'!$D:$D,'Attrition Modeling'!$C:$C,'IP Attrition'!$D76,'Attrition Modeling'!$B:$B,'IP Attrition'!AN$68),VLOOKUP($F76+AN$2,$A$6:$C$106,2,FALSE)*VLOOKUP(AN$1,'Attrition Modeling'!$L$15:$N$27,IF(AN$2+$F9&lt;=24,2,3),FALSE)),$C$3)*(1+Projection!AP$16)*(1+IF(AN141&gt;0,'Attrition Modeling'!$N$9,0)))</f>
        <v>0</v>
      </c>
      <c r="AO76" s="799">
        <f>AN76*(1-IFERROR(IF(AO$69+$F76&lt;=12,SUMIFS('Attrition Modeling'!$D:$D,'Attrition Modeling'!$C:$C,'IP Attrition'!$D76,'Attrition Modeling'!$B:$B,'IP Attrition'!AO$68),VLOOKUP($F76+AO$2,$A$6:$C$106,2,FALSE)*VLOOKUP(AO$1,'Attrition Modeling'!$L$15:$N$27,IF(AO$2+$F9&lt;=24,2,3),FALSE)),$C$3)*(1+Projection!AQ$16)*(1+IF(AO141&gt;0,'Attrition Modeling'!$N$9,0)))</f>
        <v>0</v>
      </c>
      <c r="AP76" s="799">
        <f>AO76*(1-IFERROR(IF(AP$69+$F76&lt;=12,SUMIFS('Attrition Modeling'!$D:$D,'Attrition Modeling'!$C:$C,'IP Attrition'!$D76,'Attrition Modeling'!$B:$B,'IP Attrition'!AP$68),VLOOKUP($F76+AP$2,$A$6:$C$106,2,FALSE)*VLOOKUP(AP$1,'Attrition Modeling'!$L$15:$N$27,IF(AP$2+$F9&lt;=24,2,3),FALSE)),$C$3)*(1+Projection!AR$16)*(1+IF(AP141&gt;0,'Attrition Modeling'!$N$9,0)))</f>
        <v>0</v>
      </c>
      <c r="AQ76" s="799">
        <f>AP76*(1-IFERROR(IF(AQ$69+$F76&lt;=12,SUMIFS('Attrition Modeling'!$D:$D,'Attrition Modeling'!$C:$C,'IP Attrition'!$D76,'Attrition Modeling'!$B:$B,'IP Attrition'!AQ$68),VLOOKUP($F76+AQ$2,$A$6:$C$106,2,FALSE)*VLOOKUP(AQ$1,'Attrition Modeling'!$L$15:$N$27,IF(AQ$2+$F9&lt;=24,2,3),FALSE)),$C$3)*(1+Projection!AS$16)*(1+IF(AQ141&gt;0,'Attrition Modeling'!$N$9,0)))</f>
        <v>0</v>
      </c>
      <c r="AR76" s="799">
        <f>AQ76*(1-IFERROR(IF(AR$69+$F76&lt;=12,SUMIFS('Attrition Modeling'!$D:$D,'Attrition Modeling'!$C:$C,'IP Attrition'!$D76,'Attrition Modeling'!$B:$B,'IP Attrition'!AR$68),VLOOKUP($F76+AR$2,$A$6:$C$106,2,FALSE)*VLOOKUP(AR$1,'Attrition Modeling'!$L$15:$N$27,IF(AR$2+$F9&lt;=24,2,3),FALSE)),$C$3)*(1+Projection!AT$16)*(1+IF(AR141&gt;0,'Attrition Modeling'!$N$9,0)))</f>
        <v>0</v>
      </c>
      <c r="AS76" s="799">
        <f>AR76*(1-IFERROR(IF(AS$69+$F76&lt;=12,SUMIFS('Attrition Modeling'!$D:$D,'Attrition Modeling'!$C:$C,'IP Attrition'!$D76,'Attrition Modeling'!$B:$B,'IP Attrition'!AS$68),VLOOKUP($F76+AS$2,$A$6:$C$106,2,FALSE)*VLOOKUP(AS$1,'Attrition Modeling'!$L$15:$N$27,IF(AS$2+$F9&lt;=24,2,3),FALSE)),$C$3)*(1+Projection!AU$16)*(1+IF(AS141&gt;0,'Attrition Modeling'!$N$9,0)))</f>
        <v>0</v>
      </c>
      <c r="AT76" s="799">
        <f>AS76*(1-IFERROR(IF(AT$69+$F76&lt;=12,SUMIFS('Attrition Modeling'!$D:$D,'Attrition Modeling'!$C:$C,'IP Attrition'!$D76,'Attrition Modeling'!$B:$B,'IP Attrition'!AT$68),VLOOKUP($F76+AT$2,$A$6:$C$106,2,FALSE)*VLOOKUP(AT$1,'Attrition Modeling'!$L$15:$N$27,IF(AT$2+$F9&lt;=24,2,3),FALSE)),$C$3)*(1+Projection!AV$16)*(1+IF(AT141&gt;0,'Attrition Modeling'!$N$9,0)))</f>
        <v>0</v>
      </c>
      <c r="AU76" s="799">
        <f>AT76*(1-IFERROR(IF(AU$69+$F76&lt;=12,SUMIFS('Attrition Modeling'!$D:$D,'Attrition Modeling'!$C:$C,'IP Attrition'!$D76,'Attrition Modeling'!$B:$B,'IP Attrition'!AU$68),VLOOKUP($F76+AU$2,$A$6:$C$106,2,FALSE)*VLOOKUP(AU$1,'Attrition Modeling'!$L$15:$N$27,IF(AU$2+$F9&lt;=24,2,3),FALSE)),$C$3)*(1+Projection!AW$16)*(1+IF(AU141&gt;0,'Attrition Modeling'!$N$9,0)))</f>
        <v>0</v>
      </c>
      <c r="AV76" s="799">
        <f>AU76*(1-IFERROR(IF(AV$69+$F76&lt;=12,SUMIFS('Attrition Modeling'!$D:$D,'Attrition Modeling'!$C:$C,'IP Attrition'!$D76,'Attrition Modeling'!$B:$B,'IP Attrition'!AV$68),VLOOKUP($F76+AV$2,$A$6:$C$106,2,FALSE)*VLOOKUP(AV$1,'Attrition Modeling'!$L$15:$N$27,IF(AV$2+$F9&lt;=24,2,3),FALSE)),$C$3)*(1+Projection!AX$16)*(1+IF(AV141&gt;0,'Attrition Modeling'!$N$9,0)))</f>
        <v>0</v>
      </c>
      <c r="AW76" s="799">
        <f>AV76*(1-IFERROR(IF(AW$69+$F76&lt;=12,SUMIFS('Attrition Modeling'!$D:$D,'Attrition Modeling'!$C:$C,'IP Attrition'!$D76,'Attrition Modeling'!$B:$B,'IP Attrition'!AW$68),VLOOKUP($F76+AW$2,$A$6:$C$106,2,FALSE)*VLOOKUP(AW$1,'Attrition Modeling'!$L$15:$N$27,IF(AW$2+$F9&lt;=24,2,3),FALSE)),$C$3)*(1+Projection!AY$16)*(1+IF(AW141&gt;0,'Attrition Modeling'!$N$9,0)))</f>
        <v>0</v>
      </c>
      <c r="AX76" s="799">
        <f>AW76*(1-IFERROR(IF(AX$69+$F76&lt;=12,SUMIFS('Attrition Modeling'!$D:$D,'Attrition Modeling'!$C:$C,'IP Attrition'!$D76,'Attrition Modeling'!$B:$B,'IP Attrition'!AX$68),VLOOKUP($F76+AX$2,$A$6:$C$106,2,FALSE)*VLOOKUP(AX$1,'Attrition Modeling'!$L$15:$N$27,IF(AX$2+$F9&lt;=24,2,3),FALSE)),$C$3)*(1+Projection!AZ$16)*(1+IF(AX141&gt;0,'Attrition Modeling'!$N$9,0)))</f>
        <v>0</v>
      </c>
      <c r="AY76" s="799">
        <f>AX76*(1-IFERROR(IF(AY$69+$F76&lt;=12,SUMIFS('Attrition Modeling'!$D:$D,'Attrition Modeling'!$C:$C,'IP Attrition'!$D76,'Attrition Modeling'!$B:$B,'IP Attrition'!AY$68),VLOOKUP($F76+AY$2,$A$6:$C$106,2,FALSE)*VLOOKUP(AY$1,'Attrition Modeling'!$L$15:$N$27,IF(AY$2+$F9&lt;=24,2,3),FALSE)),$C$3)*(1+Projection!BA$16)*(1+IF(AY141&gt;0,'Attrition Modeling'!$N$9,0)))</f>
        <v>0</v>
      </c>
      <c r="AZ76" s="799">
        <f>AY76*(1-IFERROR(IF(AZ$69+$F76&lt;=12,SUMIFS('Attrition Modeling'!$D:$D,'Attrition Modeling'!$C:$C,'IP Attrition'!$D76,'Attrition Modeling'!$B:$B,'IP Attrition'!AZ$68),VLOOKUP($F76+AZ$2,$A$6:$C$106,2,FALSE)*VLOOKUP(AZ$1,'Attrition Modeling'!$L$15:$N$27,IF(AZ$2+$F9&lt;=24,2,3),FALSE)),$C$3)*(1+Projection!BB$16)*(1+IF(AZ141&gt;0,'Attrition Modeling'!$N$9,0)))</f>
        <v>0</v>
      </c>
      <c r="BA76" s="799">
        <f>AZ76*(1-IFERROR(IF(BA$69+$F76&lt;=12,SUMIFS('Attrition Modeling'!$D:$D,'Attrition Modeling'!$C:$C,'IP Attrition'!$D76,'Attrition Modeling'!$B:$B,'IP Attrition'!BA$68),VLOOKUP($F76+BA$2,$A$6:$C$106,2,FALSE)*VLOOKUP(BA$1,'Attrition Modeling'!$L$15:$N$27,IF(BA$2+$F9&lt;=24,2,3),FALSE)),$C$3)*(1+Projection!BC$16)*(1+IF(BA141&gt;0,'Attrition Modeling'!$N$9,0)))</f>
        <v>0</v>
      </c>
      <c r="BB76" s="799">
        <f>BA76*(1-IFERROR(IF(BB$69+$F76&lt;=12,SUMIFS('Attrition Modeling'!$D:$D,'Attrition Modeling'!$C:$C,'IP Attrition'!$D76,'Attrition Modeling'!$B:$B,'IP Attrition'!BB$68),VLOOKUP($F76+BB$2,$A$6:$C$106,2,FALSE)*VLOOKUP(BB$1,'Attrition Modeling'!$L$15:$N$27,IF(BB$2+$F9&lt;=24,2,3),FALSE)),$C$3)*(1+Projection!BD$16)*(1+IF(BB141&gt;0,'Attrition Modeling'!$N$9,0)))</f>
        <v>0</v>
      </c>
      <c r="BC76" s="799">
        <f>BB76*(1-IFERROR(IF(BC$69+$F76&lt;=12,SUMIFS('Attrition Modeling'!$D:$D,'Attrition Modeling'!$C:$C,'IP Attrition'!$D76,'Attrition Modeling'!$B:$B,'IP Attrition'!BC$68),VLOOKUP($F76+BC$2,$A$6:$C$106,2,FALSE)*VLOOKUP(BC$1,'Attrition Modeling'!$L$15:$N$27,IF(BC$2+$F9&lt;=24,2,3),FALSE)),$C$3)*(1+Projection!BE$16)*(1+IF(BC141&gt;0,'Attrition Modeling'!$N$9,0)))</f>
        <v>0</v>
      </c>
      <c r="BD76" s="799">
        <f>BC76*(1-IFERROR(IF(BD$69+$F76&lt;=12,SUMIFS('Attrition Modeling'!$D:$D,'Attrition Modeling'!$C:$C,'IP Attrition'!$D76,'Attrition Modeling'!$B:$B,'IP Attrition'!BD$68),VLOOKUP($F76+BD$2,$A$6:$C$106,2,FALSE)*VLOOKUP(BD$1,'Attrition Modeling'!$L$15:$N$27,IF(BD$2+$F9&lt;=24,2,3),FALSE)),$C$3)*(1+Projection!BF$16)*(1+IF(BD141&gt;0,'Attrition Modeling'!$N$9,0)))</f>
        <v>0</v>
      </c>
      <c r="BE76" s="799">
        <f>BD76*(1-IFERROR(IF(BE$69+$F76&lt;=12,SUMIFS('Attrition Modeling'!$D:$D,'Attrition Modeling'!$C:$C,'IP Attrition'!$D76,'Attrition Modeling'!$B:$B,'IP Attrition'!BE$68),VLOOKUP($F76+BE$2,$A$6:$C$106,2,FALSE)*VLOOKUP(BE$1,'Attrition Modeling'!$L$15:$N$27,IF(BE$2+$F9&lt;=24,2,3),FALSE)),$C$3)*(1+Projection!BG$16)*(1+IF(BE141&gt;0,'Attrition Modeling'!$N$9,0)))</f>
        <v>0</v>
      </c>
      <c r="BF76" s="799">
        <f>BE76*(1-IFERROR(IF(BF$69+$F76&lt;=12,SUMIFS('Attrition Modeling'!$D:$D,'Attrition Modeling'!$C:$C,'IP Attrition'!$D76,'Attrition Modeling'!$B:$B,'IP Attrition'!BF$68),VLOOKUP($F76+BF$2,$A$6:$C$106,2,FALSE)*VLOOKUP(BF$1,'Attrition Modeling'!$L$15:$N$27,IF(BF$2+$F9&lt;=24,2,3),FALSE)),$C$3)*(1+Projection!BH$16)*(1+IF(BF141&gt;0,'Attrition Modeling'!$N$9,0)))</f>
        <v>0</v>
      </c>
      <c r="BG76" s="799">
        <f>BF76*(1-IFERROR(IF(BG$69+$F76&lt;=12,SUMIFS('Attrition Modeling'!$D:$D,'Attrition Modeling'!$C:$C,'IP Attrition'!$D76,'Attrition Modeling'!$B:$B,'IP Attrition'!BG$68),VLOOKUP($F76+BG$2,$A$6:$C$106,2,FALSE)*VLOOKUP(BG$1,'Attrition Modeling'!$L$15:$N$27,IF(BG$2+$F9&lt;=24,2,3),FALSE)),$C$3)*(1+Projection!BI$16)*(1+IF(BG141&gt;0,'Attrition Modeling'!$N$9,0)))</f>
        <v>0</v>
      </c>
      <c r="BH76" s="799">
        <f>BG76*(1-IFERROR(IF(BH$69+$F76&lt;=12,SUMIFS('Attrition Modeling'!$D:$D,'Attrition Modeling'!$C:$C,'IP Attrition'!$D76,'Attrition Modeling'!$B:$B,'IP Attrition'!BH$68),VLOOKUP($F76+BH$2,$A$6:$C$106,2,FALSE)*VLOOKUP(BH$1,'Attrition Modeling'!$L$15:$N$27,IF(BH$2+$F9&lt;=24,2,3),FALSE)),$C$3)*(1+Projection!BJ$16)*(1+IF(BH141&gt;0,'Attrition Modeling'!$N$9,0)))</f>
        <v>0</v>
      </c>
      <c r="BI76" s="799">
        <f>BH76*(1-IFERROR(IF(BI$69+$F76&lt;=12,SUMIFS('Attrition Modeling'!$D:$D,'Attrition Modeling'!$C:$C,'IP Attrition'!$D76,'Attrition Modeling'!$B:$B,'IP Attrition'!BI$68),VLOOKUP($F76+BI$2,$A$6:$C$106,2,FALSE)*VLOOKUP(BI$1,'Attrition Modeling'!$L$15:$N$27,IF(BI$2+$F9&lt;=24,2,3),FALSE)),$C$3)*(1+Projection!BK$16)*(1+IF(BI141&gt;0,'Attrition Modeling'!$N$9,0)))</f>
        <v>0</v>
      </c>
      <c r="BJ76" s="799">
        <f>BI76*(1-IFERROR(IF(BJ$69+$F76&lt;=12,SUMIFS('Attrition Modeling'!$D:$D,'Attrition Modeling'!$C:$C,'IP Attrition'!$D76,'Attrition Modeling'!$B:$B,'IP Attrition'!BJ$68),VLOOKUP($F76+BJ$2,$A$6:$C$106,2,FALSE)*VLOOKUP(BJ$1,'Attrition Modeling'!$L$15:$N$27,IF(BJ$2+$F9&lt;=24,2,3),FALSE)),$C$3)*(1+Projection!BL$16)*(1+IF(BJ141&gt;0,'Attrition Modeling'!$N$9,0)))</f>
        <v>0</v>
      </c>
      <c r="BK76" s="799">
        <f>BJ76*(1-IFERROR(IF(BK$69+$F76&lt;=12,SUMIFS('Attrition Modeling'!$D:$D,'Attrition Modeling'!$C:$C,'IP Attrition'!$D76,'Attrition Modeling'!$B:$B,'IP Attrition'!BK$68),VLOOKUP($F76+BK$2,$A$6:$C$106,2,FALSE)*VLOOKUP(BK$1,'Attrition Modeling'!$L$15:$N$27,IF(BK$2+$F9&lt;=24,2,3),FALSE)),$C$3)*(1+Projection!BM$16)*(1+IF(BK141&gt;0,'Attrition Modeling'!$N$9,0)))</f>
        <v>0</v>
      </c>
      <c r="BL76" s="799">
        <f>BK76*(1-IFERROR(IF(BL$69+$F76&lt;=12,SUMIFS('Attrition Modeling'!$D:$D,'Attrition Modeling'!$C:$C,'IP Attrition'!$D76,'Attrition Modeling'!$B:$B,'IP Attrition'!BL$68),VLOOKUP($F76+BL$2,$A$6:$C$106,2,FALSE)*VLOOKUP(BL$1,'Attrition Modeling'!$L$15:$N$27,IF(BL$2+$F9&lt;=24,2,3),FALSE)),$C$3)*(1+Projection!BN$16)*(1+IF(BL141&gt;0,'Attrition Modeling'!$N$9,0)))</f>
        <v>0</v>
      </c>
      <c r="BM76" s="799">
        <f>BL76*(1-IFERROR(IF(BM$69+$F76&lt;=12,SUMIFS('Attrition Modeling'!$D:$D,'Attrition Modeling'!$C:$C,'IP Attrition'!$D76,'Attrition Modeling'!$B:$B,'IP Attrition'!BM$68),VLOOKUP($F76+BM$2,$A$6:$C$106,2,FALSE)*VLOOKUP(BM$1,'Attrition Modeling'!$L$15:$N$27,IF(BM$2+$F9&lt;=24,2,3),FALSE)),$C$3)*(1+Projection!BO$16)*(1+IF(BM141&gt;0,'Attrition Modeling'!$N$9,0)))</f>
        <v>0</v>
      </c>
      <c r="BN76" s="799">
        <f>BM76*(1-IFERROR(IF(BN$69+$F76&lt;=12,SUMIFS('Attrition Modeling'!$D:$D,'Attrition Modeling'!$C:$C,'IP Attrition'!$D76,'Attrition Modeling'!$B:$B,'IP Attrition'!BN$68),VLOOKUP($F76+BN$2,$A$6:$C$106,2,FALSE)*VLOOKUP(BN$1,'Attrition Modeling'!$L$15:$N$27,IF(BN$2+$F9&lt;=24,2,3),FALSE)),$C$3)*(1+Projection!BP$16)*(1+IF(BN141&gt;0,'Attrition Modeling'!$N$9,0)))</f>
        <v>0</v>
      </c>
      <c r="BO76" s="799">
        <f>BN76*(1-IFERROR(IF(BO$69+$F76&lt;=12,SUMIFS('Attrition Modeling'!$D:$D,'Attrition Modeling'!$C:$C,'IP Attrition'!$D76,'Attrition Modeling'!$B:$B,'IP Attrition'!BO$68),VLOOKUP($F76+BO$2,$A$6:$C$106,2,FALSE)*VLOOKUP(BO$1,'Attrition Modeling'!$L$15:$N$27,IF(BO$2+$F9&lt;=24,2,3),FALSE)),$C$3)*(1+Projection!BV$16)*(1+IF(BO141&gt;0,'Attrition Modeling'!$N$9,0)))</f>
        <v>0</v>
      </c>
      <c r="BP76" s="799">
        <f>BO76*(1-IFERROR(IF(BP$69+$F76&lt;=12,SUMIFS('Attrition Modeling'!$D:$D,'Attrition Modeling'!$C:$C,'IP Attrition'!$D76,'Attrition Modeling'!$B:$B,'IP Attrition'!BP$68),VLOOKUP($F76+BP$2,$A$6:$C$106,2,FALSE)*VLOOKUP(BP$1,'Attrition Modeling'!$L$15:$N$27,IF(BP$2+$F9&lt;=24,2,3),FALSE)),$C$3)*(1+Projection!BW$16)*(1+IF(BP141&gt;0,'Attrition Modeling'!$N$9,0)))</f>
        <v>0</v>
      </c>
      <c r="BQ76" s="799">
        <f>BP76*(1-IFERROR(IF(BQ$69+$F76&lt;=12,SUMIFS('Attrition Modeling'!$D:$D,'Attrition Modeling'!$C:$C,'IP Attrition'!$D76,'Attrition Modeling'!$B:$B,'IP Attrition'!BQ$68),VLOOKUP($F76+BQ$2,$A$6:$C$106,2,FALSE)*VLOOKUP(BQ$1,'Attrition Modeling'!$L$15:$N$27,IF(BQ$2+$F9&lt;=24,2,3),FALSE)),$C$3)*(1+Projection!BX$16)*(1+IF(BQ141&gt;0,'Attrition Modeling'!$N$9,0)))</f>
        <v>0</v>
      </c>
      <c r="BR76" s="799">
        <f>BQ76*(1-IFERROR(IF(BR$69+$F76&lt;=12,SUMIFS('Attrition Modeling'!$D:$D,'Attrition Modeling'!$C:$C,'IP Attrition'!$D76,'Attrition Modeling'!$B:$B,'IP Attrition'!BR$68),VLOOKUP($F76+BR$2,$A$6:$C$106,2,FALSE)*VLOOKUP(BR$1,'Attrition Modeling'!$L$15:$N$27,IF(BR$2+$F9&lt;=24,2,3),FALSE)),$C$3)*(1+Projection!BY$16)*(1+IF(BR141&gt;0,'Attrition Modeling'!$N$9,0)))</f>
        <v>0</v>
      </c>
      <c r="BS76" s="799">
        <f>BR76*(1-IFERROR(IF(BS$69+$F76&lt;=12,SUMIFS('Attrition Modeling'!$D:$D,'Attrition Modeling'!$C:$C,'IP Attrition'!$D76,'Attrition Modeling'!$B:$B,'IP Attrition'!BS$68),VLOOKUP($F76+BS$2,$A$6:$C$106,2,FALSE)*VLOOKUP(BS$1,'Attrition Modeling'!$L$15:$N$27,IF(BS$2+$F9&lt;=24,2,3),FALSE)),$C$3)*(1+Projection!BZ$16)*(1+IF(BS141&gt;0,'Attrition Modeling'!$N$9,0)))</f>
        <v>0</v>
      </c>
      <c r="BT76" s="799" t="e">
        <f>BS76*(1-IFERROR(IF(BT$69+$F76&lt;=12,SUMIFS('Attrition Modeling'!$D:$D,'Attrition Modeling'!$C:$C,'IP Attrition'!$D76,'Attrition Modeling'!$B:$B,'IP Attrition'!BT$68),VLOOKUP($F76+BT$2,$A$6:$C$106,2,FALSE)*VLOOKUP(BT$1,'Attrition Modeling'!$L$15:$N$27,IF(BT$2+$F9&lt;=24,2,3),FALSE)),$C$3)*(1+Projection!CA$16)*(1+IF(BT141&gt;0,'Attrition Modeling'!$N$9,0)))</f>
        <v>#REF!</v>
      </c>
      <c r="BU76" s="799" t="e">
        <f>BT76*(1-IFERROR(IF(BU$69+$F76&lt;=12,SUMIFS('Attrition Modeling'!$D:$D,'Attrition Modeling'!$C:$C,'IP Attrition'!$D76,'Attrition Modeling'!$B:$B,'IP Attrition'!BU$68),VLOOKUP($F76+BU$2,$A$6:$C$106,2,FALSE)*VLOOKUP(BU$1,'Attrition Modeling'!$L$15:$N$27,IF(BU$2+$F9&lt;=24,2,3),FALSE)),$C$3)*(1+Projection!CB$16)*(1+IF(BU141&gt;0,'Attrition Modeling'!$N$9,0)))</f>
        <v>#REF!</v>
      </c>
    </row>
    <row r="77" spans="1:73" ht="14.25" customHeight="1" x14ac:dyDescent="0.2">
      <c r="A77" s="9">
        <v>70</v>
      </c>
      <c r="B77" s="25">
        <f>MAX('Attrition Modeling'!H74,$C$3)*(1-Summary!$C$20)</f>
        <v>0.02</v>
      </c>
      <c r="C77" s="24" t="e">
        <f t="shared" si="3"/>
        <v>#DIV/0!</v>
      </c>
      <c r="D77" s="11">
        <f t="shared" ref="D77:E77" si="15">D10</f>
        <v>-7</v>
      </c>
      <c r="E77" s="25">
        <f t="shared" si="15"/>
        <v>6.8484235087677175E-2</v>
      </c>
      <c r="F77" s="11">
        <f t="shared" si="9"/>
        <v>7</v>
      </c>
      <c r="G77" s="799">
        <f>Summary!$C$24*$E77</f>
        <v>0</v>
      </c>
      <c r="H77" s="799">
        <f>G77*(1-IFERROR(IF(H$69+$F77&lt;=12,SUMIFS('Attrition Modeling'!$D:$D,'Attrition Modeling'!$C:$C,'IP Attrition'!$D77,'Attrition Modeling'!$B:$B,'IP Attrition'!H$68),VLOOKUP($F77+H$2,$A$6:$C$106,2,FALSE)*VLOOKUP(H$1,'Attrition Modeling'!$L$15:$N$27,IF(H$2+$F10&lt;=24,2,3),FALSE)),$C$3)*(1+Projection!J$16)*(1+IF(H142&gt;0,'Attrition Modeling'!$N$9,0)))</f>
        <v>0</v>
      </c>
      <c r="I77" s="799">
        <f>H77*(1-IFERROR(IF(I$69+$F77&lt;=12,SUMIFS('Attrition Modeling'!$D:$D,'Attrition Modeling'!$C:$C,'IP Attrition'!$D77,'Attrition Modeling'!$B:$B,'IP Attrition'!I$68),VLOOKUP($F77+I$2,$A$6:$C$106,2,FALSE)*VLOOKUP(I$1,'Attrition Modeling'!$L$15:$N$27,IF(I$2+$F10&lt;=24,2,3),FALSE)),$C$3)*(1+Projection!K$16)*(1+IF(I142&gt;0,'Attrition Modeling'!$N$9,0)))</f>
        <v>0</v>
      </c>
      <c r="J77" s="799">
        <f>I77*(1-IFERROR(IF(J$69+$F77&lt;=12,SUMIFS('Attrition Modeling'!$D:$D,'Attrition Modeling'!$C:$C,'IP Attrition'!$D77,'Attrition Modeling'!$B:$B,'IP Attrition'!J$68),VLOOKUP($F77+J$2,$A$6:$C$106,2,FALSE)*VLOOKUP(J$1,'Attrition Modeling'!$L$15:$N$27,IF(J$2+$F10&lt;=24,2,3),FALSE)),$C$3)*(1+Projection!L$16)*(1+IF(J142&gt;0,'Attrition Modeling'!$N$9,0)))</f>
        <v>0</v>
      </c>
      <c r="K77" s="799">
        <f>J77*(1-IFERROR(IF(K$69+$F77&lt;=12,SUMIFS('Attrition Modeling'!$D:$D,'Attrition Modeling'!$C:$C,'IP Attrition'!$D77,'Attrition Modeling'!$B:$B,'IP Attrition'!K$68),VLOOKUP($F77+K$2,$A$6:$C$106,2,FALSE)*VLOOKUP(K$1,'Attrition Modeling'!$L$15:$N$27,IF(K$2+$F10&lt;=24,2,3),FALSE)),$C$3)*(1+Projection!M$16)*(1+IF(K142&gt;0,'Attrition Modeling'!$N$9,0)))</f>
        <v>0</v>
      </c>
      <c r="L77" s="799">
        <f>K77*(1-IFERROR(IF(L$69+$F77&lt;=12,SUMIFS('Attrition Modeling'!$D:$D,'Attrition Modeling'!$C:$C,'IP Attrition'!$D77,'Attrition Modeling'!$B:$B,'IP Attrition'!L$68),VLOOKUP($F77+L$2,$A$6:$C$106,2,FALSE)*VLOOKUP(L$1,'Attrition Modeling'!$L$15:$N$27,IF(L$2+$F10&lt;=24,2,3),FALSE)),$C$3)*(1+Projection!N$16)*(1+IF(L142&gt;0,'Attrition Modeling'!$N$9,0)))</f>
        <v>0</v>
      </c>
      <c r="M77" s="799">
        <f>L77*(1-IFERROR(IF(M$69+$F77&lt;=12,SUMIFS('Attrition Modeling'!$D:$D,'Attrition Modeling'!$C:$C,'IP Attrition'!$D77,'Attrition Modeling'!$B:$B,'IP Attrition'!M$68),VLOOKUP($F77+M$2,$A$6:$C$106,2,FALSE)*VLOOKUP(M$1,'Attrition Modeling'!$L$15:$N$27,IF(M$2+$F10&lt;=24,2,3),FALSE)),$C$3)*(1+Projection!O$16)*(1+IF(M142&gt;0,'Attrition Modeling'!$N$9,0)))</f>
        <v>0</v>
      </c>
      <c r="N77" s="799">
        <f>M77*(1-IFERROR(IF(N$69+$F77&lt;=12,SUMIFS('Attrition Modeling'!$D:$D,'Attrition Modeling'!$C:$C,'IP Attrition'!$D77,'Attrition Modeling'!$B:$B,'IP Attrition'!N$68),VLOOKUP($F77+N$2,$A$6:$C$106,2,FALSE)*VLOOKUP(N$1,'Attrition Modeling'!$L$15:$N$27,IF(N$2+$F10&lt;=24,2,3),FALSE)),$C$3)*(1+Projection!P$16)*(1+IF(N142&gt;0,'Attrition Modeling'!$N$9,0)))</f>
        <v>0</v>
      </c>
      <c r="O77" s="799">
        <f>N77*(1-IFERROR(IF(O$69+$F77&lt;=12,SUMIFS('Attrition Modeling'!$D:$D,'Attrition Modeling'!$C:$C,'IP Attrition'!$D77,'Attrition Modeling'!$B:$B,'IP Attrition'!O$68),VLOOKUP($F77+O$2,$A$6:$C$106,2,FALSE)*VLOOKUP(O$1,'Attrition Modeling'!$L$15:$N$27,IF(O$2+$F10&lt;=24,2,3),FALSE)),$C$3)*(1+Projection!Q$16)*(1+IF(O142&gt;0,'Attrition Modeling'!$N$9,0)))</f>
        <v>0</v>
      </c>
      <c r="P77" s="799">
        <f>O77*(1-IFERROR(IF(P$69+$F77&lt;=12,SUMIFS('Attrition Modeling'!$D:$D,'Attrition Modeling'!$C:$C,'IP Attrition'!$D77,'Attrition Modeling'!$B:$B,'IP Attrition'!P$68),VLOOKUP($F77+P$2,$A$6:$C$106,2,FALSE)*VLOOKUP(P$1,'Attrition Modeling'!$L$15:$N$27,IF(P$2+$F10&lt;=24,2,3),FALSE)),$C$3)*(1+Projection!R$16)*(1+IF(P142&gt;0,'Attrition Modeling'!$N$9,0)))</f>
        <v>0</v>
      </c>
      <c r="Q77" s="799">
        <f>P77*(1-IFERROR(IF(Q$69+$F77&lt;=12,SUMIFS('Attrition Modeling'!$D:$D,'Attrition Modeling'!$C:$C,'IP Attrition'!$D77,'Attrition Modeling'!$B:$B,'IP Attrition'!Q$68),VLOOKUP($F77+Q$2,$A$6:$C$106,2,FALSE)*VLOOKUP(Q$1,'Attrition Modeling'!$L$15:$N$27,IF(Q$2+$F10&lt;=24,2,3),FALSE)),$C$3)*(1+Projection!S$16)*(1+IF(Q142&gt;0,'Attrition Modeling'!$N$9,0)))</f>
        <v>0</v>
      </c>
      <c r="R77" s="799">
        <f>Q77*(1-IFERROR(IF(R$69+$F77&lt;=12,SUMIFS('Attrition Modeling'!$D:$D,'Attrition Modeling'!$C:$C,'IP Attrition'!$D77,'Attrition Modeling'!$B:$B,'IP Attrition'!R$68),VLOOKUP($F77+R$2,$A$6:$C$106,2,FALSE)*VLOOKUP(R$1,'Attrition Modeling'!$L$15:$N$27,IF(R$2+$F10&lt;=24,2,3),FALSE)),$C$3)*(1+Projection!T$16)*(1+IF(R142&gt;0,'Attrition Modeling'!$N$9,0)))</f>
        <v>0</v>
      </c>
      <c r="S77" s="799">
        <f>R77*(1-IFERROR(IF(S$69+$F77&lt;=12,SUMIFS('Attrition Modeling'!$D:$D,'Attrition Modeling'!$C:$C,'IP Attrition'!$D77,'Attrition Modeling'!$B:$B,'IP Attrition'!S$68),VLOOKUP($F77+S$2,$A$6:$C$106,2,FALSE)*VLOOKUP(S$1,'Attrition Modeling'!$L$15:$N$27,IF(S$2+$F10&lt;=24,2,3),FALSE)),$C$3)*(1+Projection!U$16)*(1+IF(S142&gt;0,'Attrition Modeling'!$N$9,0)))</f>
        <v>0</v>
      </c>
      <c r="T77" s="799">
        <f>S77*(1-IFERROR(IF(T$69+$F77&lt;=12,SUMIFS('Attrition Modeling'!$D:$D,'Attrition Modeling'!$C:$C,'IP Attrition'!$D77,'Attrition Modeling'!$B:$B,'IP Attrition'!T$68),VLOOKUP($F77+T$2,$A$6:$C$106,2,FALSE)*VLOOKUP(T$1,'Attrition Modeling'!$L$15:$N$27,IF(T$2+$F10&lt;=24,2,3),FALSE)),$C$3)*(1+Projection!V$16)*(1+IF(T142&gt;0,'Attrition Modeling'!$N$9,0)))</f>
        <v>0</v>
      </c>
      <c r="U77" s="799">
        <f>T77*(1-IFERROR(IF(U$69+$F77&lt;=12,SUMIFS('Attrition Modeling'!$D:$D,'Attrition Modeling'!$C:$C,'IP Attrition'!$D77,'Attrition Modeling'!$B:$B,'IP Attrition'!U$68),VLOOKUP($F77+U$2,$A$6:$C$106,2,FALSE)*VLOOKUP(U$1,'Attrition Modeling'!$L$15:$N$27,IF(U$2+$F10&lt;=24,2,3),FALSE)),$C$3)*(1+Projection!W$16)*(1+IF(U142&gt;0,'Attrition Modeling'!$N$9,0)))</f>
        <v>0</v>
      </c>
      <c r="V77" s="799">
        <f>U77*(1-IFERROR(IF(V$69+$F77&lt;=12,SUMIFS('Attrition Modeling'!$D:$D,'Attrition Modeling'!$C:$C,'IP Attrition'!$D77,'Attrition Modeling'!$B:$B,'IP Attrition'!V$68),VLOOKUP($F77+V$2,$A$6:$C$106,2,FALSE)*VLOOKUP(V$1,'Attrition Modeling'!$L$15:$N$27,IF(V$2+$F10&lt;=24,2,3),FALSE)),$C$3)*(1+Projection!X$16)*(1+IF(V142&gt;0,'Attrition Modeling'!$N$9,0)))</f>
        <v>0</v>
      </c>
      <c r="W77" s="799">
        <f>V77*(1-IFERROR(IF(W$69+$F77&lt;=12,SUMIFS('Attrition Modeling'!$D:$D,'Attrition Modeling'!$C:$C,'IP Attrition'!$D77,'Attrition Modeling'!$B:$B,'IP Attrition'!W$68),VLOOKUP($F77+W$2,$A$6:$C$106,2,FALSE)*VLOOKUP(W$1,'Attrition Modeling'!$L$15:$N$27,IF(W$2+$F10&lt;=24,2,3),FALSE)),$C$3)*(1+Projection!Y$16)*(1+IF(W142&gt;0,'Attrition Modeling'!$N$9,0)))</f>
        <v>0</v>
      </c>
      <c r="X77" s="799">
        <f>W77*(1-IFERROR(IF(X$69+$F77&lt;=12,SUMIFS('Attrition Modeling'!$D:$D,'Attrition Modeling'!$C:$C,'IP Attrition'!$D77,'Attrition Modeling'!$B:$B,'IP Attrition'!X$68),VLOOKUP($F77+X$2,$A$6:$C$106,2,FALSE)*VLOOKUP(X$1,'Attrition Modeling'!$L$15:$N$27,IF(X$2+$F10&lt;=24,2,3),FALSE)),$C$3)*(1+Projection!Z$16)*(1+IF(X142&gt;0,'Attrition Modeling'!$N$9,0)))</f>
        <v>0</v>
      </c>
      <c r="Y77" s="799">
        <f>X77*(1-IFERROR(IF(Y$69+$F77&lt;=12,SUMIFS('Attrition Modeling'!$D:$D,'Attrition Modeling'!$C:$C,'IP Attrition'!$D77,'Attrition Modeling'!$B:$B,'IP Attrition'!Y$68),VLOOKUP($F77+Y$2,$A$6:$C$106,2,FALSE)*VLOOKUP(Y$1,'Attrition Modeling'!$L$15:$N$27,IF(Y$2+$F10&lt;=24,2,3),FALSE)),$C$3)*(1+Projection!AA$16)*(1+IF(Y142&gt;0,'Attrition Modeling'!$N$9,0)))</f>
        <v>0</v>
      </c>
      <c r="Z77" s="799">
        <f>Y77*(1-IFERROR(IF(Z$69+$F77&lt;=12,SUMIFS('Attrition Modeling'!$D:$D,'Attrition Modeling'!$C:$C,'IP Attrition'!$D77,'Attrition Modeling'!$B:$B,'IP Attrition'!Z$68),VLOOKUP($F77+Z$2,$A$6:$C$106,2,FALSE)*VLOOKUP(Z$1,'Attrition Modeling'!$L$15:$N$27,IF(Z$2+$F10&lt;=24,2,3),FALSE)),$C$3)*(1+Projection!AB$16)*(1+IF(Z142&gt;0,'Attrition Modeling'!$N$9,0)))</f>
        <v>0</v>
      </c>
      <c r="AA77" s="799">
        <f>Z77*(1-IFERROR(IF(AA$69+$F77&lt;=12,SUMIFS('Attrition Modeling'!$D:$D,'Attrition Modeling'!$C:$C,'IP Attrition'!$D77,'Attrition Modeling'!$B:$B,'IP Attrition'!AA$68),VLOOKUP($F77+AA$2,$A$6:$C$106,2,FALSE)*VLOOKUP(AA$1,'Attrition Modeling'!$L$15:$N$27,IF(AA$2+$F10&lt;=24,2,3),FALSE)),$C$3)*(1+Projection!AC$16)*(1+IF(AA142&gt;0,'Attrition Modeling'!$N$9,0)))</f>
        <v>0</v>
      </c>
      <c r="AB77" s="799">
        <f>AA77*(1-IFERROR(IF(AB$69+$F77&lt;=12,SUMIFS('Attrition Modeling'!$D:$D,'Attrition Modeling'!$C:$C,'IP Attrition'!$D77,'Attrition Modeling'!$B:$B,'IP Attrition'!AB$68),VLOOKUP($F77+AB$2,$A$6:$C$106,2,FALSE)*VLOOKUP(AB$1,'Attrition Modeling'!$L$15:$N$27,IF(AB$2+$F10&lt;=24,2,3),FALSE)),$C$3)*(1+Projection!AD$16)*(1+IF(AB142&gt;0,'Attrition Modeling'!$N$9,0)))</f>
        <v>0</v>
      </c>
      <c r="AC77" s="799">
        <f>AB77*(1-IFERROR(IF(AC$69+$F77&lt;=12,SUMIFS('Attrition Modeling'!$D:$D,'Attrition Modeling'!$C:$C,'IP Attrition'!$D77,'Attrition Modeling'!$B:$B,'IP Attrition'!AC$68),VLOOKUP($F77+AC$2,$A$6:$C$106,2,FALSE)*VLOOKUP(AC$1,'Attrition Modeling'!$L$15:$N$27,IF(AC$2+$F10&lt;=24,2,3),FALSE)),$C$3)*(1+Projection!AE$16)*(1+IF(AC142&gt;0,'Attrition Modeling'!$N$9,0)))</f>
        <v>0</v>
      </c>
      <c r="AD77" s="799">
        <f>AC77*(1-IFERROR(IF(AD$69+$F77&lt;=12,SUMIFS('Attrition Modeling'!$D:$D,'Attrition Modeling'!$C:$C,'IP Attrition'!$D77,'Attrition Modeling'!$B:$B,'IP Attrition'!AD$68),VLOOKUP($F77+AD$2,$A$6:$C$106,2,FALSE)*VLOOKUP(AD$1,'Attrition Modeling'!$L$15:$N$27,IF(AD$2+$F10&lt;=24,2,3),FALSE)),$C$3)*(1+Projection!AF$16)*(1+IF(AD142&gt;0,'Attrition Modeling'!$N$9,0)))</f>
        <v>0</v>
      </c>
      <c r="AE77" s="799">
        <f>AD77*(1-IFERROR(IF(AE$69+$F77&lt;=12,SUMIFS('Attrition Modeling'!$D:$D,'Attrition Modeling'!$C:$C,'IP Attrition'!$D77,'Attrition Modeling'!$B:$B,'IP Attrition'!AE$68),VLOOKUP($F77+AE$2,$A$6:$C$106,2,FALSE)*VLOOKUP(AE$1,'Attrition Modeling'!$L$15:$N$27,IF(AE$2+$F10&lt;=24,2,3),FALSE)),$C$3)*(1+Projection!AG$16)*(1+IF(AE142&gt;0,'Attrition Modeling'!$N$9,0)))</f>
        <v>0</v>
      </c>
      <c r="AF77" s="799">
        <f>AE77*(1-IFERROR(IF(AF$69+$F77&lt;=12,SUMIFS('Attrition Modeling'!$D:$D,'Attrition Modeling'!$C:$C,'IP Attrition'!$D77,'Attrition Modeling'!$B:$B,'IP Attrition'!AF$68),VLOOKUP($F77+AF$2,$A$6:$C$106,2,FALSE)*VLOOKUP(AF$1,'Attrition Modeling'!$L$15:$N$27,IF(AF$2+$F10&lt;=24,2,3),FALSE)),$C$3)*(1+Projection!AH$16)*(1+IF(AF142&gt;0,'Attrition Modeling'!$N$9,0)))</f>
        <v>0</v>
      </c>
      <c r="AG77" s="799">
        <f>AF77*(1-IFERROR(IF(AG$69+$F77&lt;=12,SUMIFS('Attrition Modeling'!$D:$D,'Attrition Modeling'!$C:$C,'IP Attrition'!$D77,'Attrition Modeling'!$B:$B,'IP Attrition'!AG$68),VLOOKUP($F77+AG$2,$A$6:$C$106,2,FALSE)*VLOOKUP(AG$1,'Attrition Modeling'!$L$15:$N$27,IF(AG$2+$F10&lt;=24,2,3),FALSE)),$C$3)*(1+Projection!AI$16)*(1+IF(AG142&gt;0,'Attrition Modeling'!$N$9,0)))</f>
        <v>0</v>
      </c>
      <c r="AH77" s="799">
        <f>AG77*(1-IFERROR(IF(AH$69+$F77&lt;=12,SUMIFS('Attrition Modeling'!$D:$D,'Attrition Modeling'!$C:$C,'IP Attrition'!$D77,'Attrition Modeling'!$B:$B,'IP Attrition'!AH$68),VLOOKUP($F77+AH$2,$A$6:$C$106,2,FALSE)*VLOOKUP(AH$1,'Attrition Modeling'!$L$15:$N$27,IF(AH$2+$F10&lt;=24,2,3),FALSE)),$C$3)*(1+Projection!AJ$16)*(1+IF(AH142&gt;0,'Attrition Modeling'!$N$9,0)))</f>
        <v>0</v>
      </c>
      <c r="AI77" s="799">
        <f>AH77*(1-IFERROR(IF(AI$69+$F77&lt;=12,SUMIFS('Attrition Modeling'!$D:$D,'Attrition Modeling'!$C:$C,'IP Attrition'!$D77,'Attrition Modeling'!$B:$B,'IP Attrition'!AI$68),VLOOKUP($F77+AI$2,$A$6:$C$106,2,FALSE)*VLOOKUP(AI$1,'Attrition Modeling'!$L$15:$N$27,IF(AI$2+$F10&lt;=24,2,3),FALSE)),$C$3)*(1+Projection!AK$16)*(1+IF(AI142&gt;0,'Attrition Modeling'!$N$9,0)))</f>
        <v>0</v>
      </c>
      <c r="AJ77" s="799">
        <f>AI77*(1-IFERROR(IF(AJ$69+$F77&lt;=12,SUMIFS('Attrition Modeling'!$D:$D,'Attrition Modeling'!$C:$C,'IP Attrition'!$D77,'Attrition Modeling'!$B:$B,'IP Attrition'!AJ$68),VLOOKUP($F77+AJ$2,$A$6:$C$106,2,FALSE)*VLOOKUP(AJ$1,'Attrition Modeling'!$L$15:$N$27,IF(AJ$2+$F10&lt;=24,2,3),FALSE)),$C$3)*(1+Projection!AL$16)*(1+IF(AJ142&gt;0,'Attrition Modeling'!$N$9,0)))</f>
        <v>0</v>
      </c>
      <c r="AK77" s="799">
        <f>AJ77*(1-IFERROR(IF(AK$69+$F77&lt;=12,SUMIFS('Attrition Modeling'!$D:$D,'Attrition Modeling'!$C:$C,'IP Attrition'!$D77,'Attrition Modeling'!$B:$B,'IP Attrition'!AK$68),VLOOKUP($F77+AK$2,$A$6:$C$106,2,FALSE)*VLOOKUP(AK$1,'Attrition Modeling'!$L$15:$N$27,IF(AK$2+$F10&lt;=24,2,3),FALSE)),$C$3)*(1+Projection!AM$16)*(1+IF(AK142&gt;0,'Attrition Modeling'!$N$9,0)))</f>
        <v>0</v>
      </c>
      <c r="AL77" s="799">
        <f>AK77*(1-IFERROR(IF(AL$69+$F77&lt;=12,SUMIFS('Attrition Modeling'!$D:$D,'Attrition Modeling'!$C:$C,'IP Attrition'!$D77,'Attrition Modeling'!$B:$B,'IP Attrition'!AL$68),VLOOKUP($F77+AL$2,$A$6:$C$106,2,FALSE)*VLOOKUP(AL$1,'Attrition Modeling'!$L$15:$N$27,IF(AL$2+$F10&lt;=24,2,3),FALSE)),$C$3)*(1+Projection!AN$16)*(1+IF(AL142&gt;0,'Attrition Modeling'!$N$9,0)))</f>
        <v>0</v>
      </c>
      <c r="AM77" s="799">
        <f>AL77*(1-IFERROR(IF(AM$69+$F77&lt;=12,SUMIFS('Attrition Modeling'!$D:$D,'Attrition Modeling'!$C:$C,'IP Attrition'!$D77,'Attrition Modeling'!$B:$B,'IP Attrition'!AM$68),VLOOKUP($F77+AM$2,$A$6:$C$106,2,FALSE)*VLOOKUP(AM$1,'Attrition Modeling'!$L$15:$N$27,IF(AM$2+$F10&lt;=24,2,3),FALSE)),$C$3)*(1+Projection!AO$16)*(1+IF(AM142&gt;0,'Attrition Modeling'!$N$9,0)))</f>
        <v>0</v>
      </c>
      <c r="AN77" s="799">
        <f>AM77*(1-IFERROR(IF(AN$69+$F77&lt;=12,SUMIFS('Attrition Modeling'!$D:$D,'Attrition Modeling'!$C:$C,'IP Attrition'!$D77,'Attrition Modeling'!$B:$B,'IP Attrition'!AN$68),VLOOKUP($F77+AN$2,$A$6:$C$106,2,FALSE)*VLOOKUP(AN$1,'Attrition Modeling'!$L$15:$N$27,IF(AN$2+$F10&lt;=24,2,3),FALSE)),$C$3)*(1+Projection!AP$16)*(1+IF(AN142&gt;0,'Attrition Modeling'!$N$9,0)))</f>
        <v>0</v>
      </c>
      <c r="AO77" s="799">
        <f>AN77*(1-IFERROR(IF(AO$69+$F77&lt;=12,SUMIFS('Attrition Modeling'!$D:$D,'Attrition Modeling'!$C:$C,'IP Attrition'!$D77,'Attrition Modeling'!$B:$B,'IP Attrition'!AO$68),VLOOKUP($F77+AO$2,$A$6:$C$106,2,FALSE)*VLOOKUP(AO$1,'Attrition Modeling'!$L$15:$N$27,IF(AO$2+$F10&lt;=24,2,3),FALSE)),$C$3)*(1+Projection!AQ$16)*(1+IF(AO142&gt;0,'Attrition Modeling'!$N$9,0)))</f>
        <v>0</v>
      </c>
      <c r="AP77" s="799">
        <f>AO77*(1-IFERROR(IF(AP$69+$F77&lt;=12,SUMIFS('Attrition Modeling'!$D:$D,'Attrition Modeling'!$C:$C,'IP Attrition'!$D77,'Attrition Modeling'!$B:$B,'IP Attrition'!AP$68),VLOOKUP($F77+AP$2,$A$6:$C$106,2,FALSE)*VLOOKUP(AP$1,'Attrition Modeling'!$L$15:$N$27,IF(AP$2+$F10&lt;=24,2,3),FALSE)),$C$3)*(1+Projection!AR$16)*(1+IF(AP142&gt;0,'Attrition Modeling'!$N$9,0)))</f>
        <v>0</v>
      </c>
      <c r="AQ77" s="799">
        <f>AP77*(1-IFERROR(IF(AQ$69+$F77&lt;=12,SUMIFS('Attrition Modeling'!$D:$D,'Attrition Modeling'!$C:$C,'IP Attrition'!$D77,'Attrition Modeling'!$B:$B,'IP Attrition'!AQ$68),VLOOKUP($F77+AQ$2,$A$6:$C$106,2,FALSE)*VLOOKUP(AQ$1,'Attrition Modeling'!$L$15:$N$27,IF(AQ$2+$F10&lt;=24,2,3),FALSE)),$C$3)*(1+Projection!AS$16)*(1+IF(AQ142&gt;0,'Attrition Modeling'!$N$9,0)))</f>
        <v>0</v>
      </c>
      <c r="AR77" s="799">
        <f>AQ77*(1-IFERROR(IF(AR$69+$F77&lt;=12,SUMIFS('Attrition Modeling'!$D:$D,'Attrition Modeling'!$C:$C,'IP Attrition'!$D77,'Attrition Modeling'!$B:$B,'IP Attrition'!AR$68),VLOOKUP($F77+AR$2,$A$6:$C$106,2,FALSE)*VLOOKUP(AR$1,'Attrition Modeling'!$L$15:$N$27,IF(AR$2+$F10&lt;=24,2,3),FALSE)),$C$3)*(1+Projection!AT$16)*(1+IF(AR142&gt;0,'Attrition Modeling'!$N$9,0)))</f>
        <v>0</v>
      </c>
      <c r="AS77" s="799">
        <f>AR77*(1-IFERROR(IF(AS$69+$F77&lt;=12,SUMIFS('Attrition Modeling'!$D:$D,'Attrition Modeling'!$C:$C,'IP Attrition'!$D77,'Attrition Modeling'!$B:$B,'IP Attrition'!AS$68),VLOOKUP($F77+AS$2,$A$6:$C$106,2,FALSE)*VLOOKUP(AS$1,'Attrition Modeling'!$L$15:$N$27,IF(AS$2+$F10&lt;=24,2,3),FALSE)),$C$3)*(1+Projection!AU$16)*(1+IF(AS142&gt;0,'Attrition Modeling'!$N$9,0)))</f>
        <v>0</v>
      </c>
      <c r="AT77" s="799">
        <f>AS77*(1-IFERROR(IF(AT$69+$F77&lt;=12,SUMIFS('Attrition Modeling'!$D:$D,'Attrition Modeling'!$C:$C,'IP Attrition'!$D77,'Attrition Modeling'!$B:$B,'IP Attrition'!AT$68),VLOOKUP($F77+AT$2,$A$6:$C$106,2,FALSE)*VLOOKUP(AT$1,'Attrition Modeling'!$L$15:$N$27,IF(AT$2+$F10&lt;=24,2,3),FALSE)),$C$3)*(1+Projection!AV$16)*(1+IF(AT142&gt;0,'Attrition Modeling'!$N$9,0)))</f>
        <v>0</v>
      </c>
      <c r="AU77" s="799">
        <f>AT77*(1-IFERROR(IF(AU$69+$F77&lt;=12,SUMIFS('Attrition Modeling'!$D:$D,'Attrition Modeling'!$C:$C,'IP Attrition'!$D77,'Attrition Modeling'!$B:$B,'IP Attrition'!AU$68),VLOOKUP($F77+AU$2,$A$6:$C$106,2,FALSE)*VLOOKUP(AU$1,'Attrition Modeling'!$L$15:$N$27,IF(AU$2+$F10&lt;=24,2,3),FALSE)),$C$3)*(1+Projection!AW$16)*(1+IF(AU142&gt;0,'Attrition Modeling'!$N$9,0)))</f>
        <v>0</v>
      </c>
      <c r="AV77" s="799">
        <f>AU77*(1-IFERROR(IF(AV$69+$F77&lt;=12,SUMIFS('Attrition Modeling'!$D:$D,'Attrition Modeling'!$C:$C,'IP Attrition'!$D77,'Attrition Modeling'!$B:$B,'IP Attrition'!AV$68),VLOOKUP($F77+AV$2,$A$6:$C$106,2,FALSE)*VLOOKUP(AV$1,'Attrition Modeling'!$L$15:$N$27,IF(AV$2+$F10&lt;=24,2,3),FALSE)),$C$3)*(1+Projection!AX$16)*(1+IF(AV142&gt;0,'Attrition Modeling'!$N$9,0)))</f>
        <v>0</v>
      </c>
      <c r="AW77" s="799">
        <f>AV77*(1-IFERROR(IF(AW$69+$F77&lt;=12,SUMIFS('Attrition Modeling'!$D:$D,'Attrition Modeling'!$C:$C,'IP Attrition'!$D77,'Attrition Modeling'!$B:$B,'IP Attrition'!AW$68),VLOOKUP($F77+AW$2,$A$6:$C$106,2,FALSE)*VLOOKUP(AW$1,'Attrition Modeling'!$L$15:$N$27,IF(AW$2+$F10&lt;=24,2,3),FALSE)),$C$3)*(1+Projection!AY$16)*(1+IF(AW142&gt;0,'Attrition Modeling'!$N$9,0)))</f>
        <v>0</v>
      </c>
      <c r="AX77" s="799">
        <f>AW77*(1-IFERROR(IF(AX$69+$F77&lt;=12,SUMIFS('Attrition Modeling'!$D:$D,'Attrition Modeling'!$C:$C,'IP Attrition'!$D77,'Attrition Modeling'!$B:$B,'IP Attrition'!AX$68),VLOOKUP($F77+AX$2,$A$6:$C$106,2,FALSE)*VLOOKUP(AX$1,'Attrition Modeling'!$L$15:$N$27,IF(AX$2+$F10&lt;=24,2,3),FALSE)),$C$3)*(1+Projection!AZ$16)*(1+IF(AX142&gt;0,'Attrition Modeling'!$N$9,0)))</f>
        <v>0</v>
      </c>
      <c r="AY77" s="799">
        <f>AX77*(1-IFERROR(IF(AY$69+$F77&lt;=12,SUMIFS('Attrition Modeling'!$D:$D,'Attrition Modeling'!$C:$C,'IP Attrition'!$D77,'Attrition Modeling'!$B:$B,'IP Attrition'!AY$68),VLOOKUP($F77+AY$2,$A$6:$C$106,2,FALSE)*VLOOKUP(AY$1,'Attrition Modeling'!$L$15:$N$27,IF(AY$2+$F10&lt;=24,2,3),FALSE)),$C$3)*(1+Projection!BA$16)*(1+IF(AY142&gt;0,'Attrition Modeling'!$N$9,0)))</f>
        <v>0</v>
      </c>
      <c r="AZ77" s="799">
        <f>AY77*(1-IFERROR(IF(AZ$69+$F77&lt;=12,SUMIFS('Attrition Modeling'!$D:$D,'Attrition Modeling'!$C:$C,'IP Attrition'!$D77,'Attrition Modeling'!$B:$B,'IP Attrition'!AZ$68),VLOOKUP($F77+AZ$2,$A$6:$C$106,2,FALSE)*VLOOKUP(AZ$1,'Attrition Modeling'!$L$15:$N$27,IF(AZ$2+$F10&lt;=24,2,3),FALSE)),$C$3)*(1+Projection!BB$16)*(1+IF(AZ142&gt;0,'Attrition Modeling'!$N$9,0)))</f>
        <v>0</v>
      </c>
      <c r="BA77" s="799">
        <f>AZ77*(1-IFERROR(IF(BA$69+$F77&lt;=12,SUMIFS('Attrition Modeling'!$D:$D,'Attrition Modeling'!$C:$C,'IP Attrition'!$D77,'Attrition Modeling'!$B:$B,'IP Attrition'!BA$68),VLOOKUP($F77+BA$2,$A$6:$C$106,2,FALSE)*VLOOKUP(BA$1,'Attrition Modeling'!$L$15:$N$27,IF(BA$2+$F10&lt;=24,2,3),FALSE)),$C$3)*(1+Projection!BC$16)*(1+IF(BA142&gt;0,'Attrition Modeling'!$N$9,0)))</f>
        <v>0</v>
      </c>
      <c r="BB77" s="799">
        <f>BA77*(1-IFERROR(IF(BB$69+$F77&lt;=12,SUMIFS('Attrition Modeling'!$D:$D,'Attrition Modeling'!$C:$C,'IP Attrition'!$D77,'Attrition Modeling'!$B:$B,'IP Attrition'!BB$68),VLOOKUP($F77+BB$2,$A$6:$C$106,2,FALSE)*VLOOKUP(BB$1,'Attrition Modeling'!$L$15:$N$27,IF(BB$2+$F10&lt;=24,2,3),FALSE)),$C$3)*(1+Projection!BD$16)*(1+IF(BB142&gt;0,'Attrition Modeling'!$N$9,0)))</f>
        <v>0</v>
      </c>
      <c r="BC77" s="799">
        <f>BB77*(1-IFERROR(IF(BC$69+$F77&lt;=12,SUMIFS('Attrition Modeling'!$D:$D,'Attrition Modeling'!$C:$C,'IP Attrition'!$D77,'Attrition Modeling'!$B:$B,'IP Attrition'!BC$68),VLOOKUP($F77+BC$2,$A$6:$C$106,2,FALSE)*VLOOKUP(BC$1,'Attrition Modeling'!$L$15:$N$27,IF(BC$2+$F10&lt;=24,2,3),FALSE)),$C$3)*(1+Projection!BE$16)*(1+IF(BC142&gt;0,'Attrition Modeling'!$N$9,0)))</f>
        <v>0</v>
      </c>
      <c r="BD77" s="799">
        <f>BC77*(1-IFERROR(IF(BD$69+$F77&lt;=12,SUMIFS('Attrition Modeling'!$D:$D,'Attrition Modeling'!$C:$C,'IP Attrition'!$D77,'Attrition Modeling'!$B:$B,'IP Attrition'!BD$68),VLOOKUP($F77+BD$2,$A$6:$C$106,2,FALSE)*VLOOKUP(BD$1,'Attrition Modeling'!$L$15:$N$27,IF(BD$2+$F10&lt;=24,2,3),FALSE)),$C$3)*(1+Projection!BF$16)*(1+IF(BD142&gt;0,'Attrition Modeling'!$N$9,0)))</f>
        <v>0</v>
      </c>
      <c r="BE77" s="799">
        <f>BD77*(1-IFERROR(IF(BE$69+$F77&lt;=12,SUMIFS('Attrition Modeling'!$D:$D,'Attrition Modeling'!$C:$C,'IP Attrition'!$D77,'Attrition Modeling'!$B:$B,'IP Attrition'!BE$68),VLOOKUP($F77+BE$2,$A$6:$C$106,2,FALSE)*VLOOKUP(BE$1,'Attrition Modeling'!$L$15:$N$27,IF(BE$2+$F10&lt;=24,2,3),FALSE)),$C$3)*(1+Projection!BG$16)*(1+IF(BE142&gt;0,'Attrition Modeling'!$N$9,0)))</f>
        <v>0</v>
      </c>
      <c r="BF77" s="799">
        <f>BE77*(1-IFERROR(IF(BF$69+$F77&lt;=12,SUMIFS('Attrition Modeling'!$D:$D,'Attrition Modeling'!$C:$C,'IP Attrition'!$D77,'Attrition Modeling'!$B:$B,'IP Attrition'!BF$68),VLOOKUP($F77+BF$2,$A$6:$C$106,2,FALSE)*VLOOKUP(BF$1,'Attrition Modeling'!$L$15:$N$27,IF(BF$2+$F10&lt;=24,2,3),FALSE)),$C$3)*(1+Projection!BH$16)*(1+IF(BF142&gt;0,'Attrition Modeling'!$N$9,0)))</f>
        <v>0</v>
      </c>
      <c r="BG77" s="799">
        <f>BF77*(1-IFERROR(IF(BG$69+$F77&lt;=12,SUMIFS('Attrition Modeling'!$D:$D,'Attrition Modeling'!$C:$C,'IP Attrition'!$D77,'Attrition Modeling'!$B:$B,'IP Attrition'!BG$68),VLOOKUP($F77+BG$2,$A$6:$C$106,2,FALSE)*VLOOKUP(BG$1,'Attrition Modeling'!$L$15:$N$27,IF(BG$2+$F10&lt;=24,2,3),FALSE)),$C$3)*(1+Projection!BI$16)*(1+IF(BG142&gt;0,'Attrition Modeling'!$N$9,0)))</f>
        <v>0</v>
      </c>
      <c r="BH77" s="799">
        <f>BG77*(1-IFERROR(IF(BH$69+$F77&lt;=12,SUMIFS('Attrition Modeling'!$D:$D,'Attrition Modeling'!$C:$C,'IP Attrition'!$D77,'Attrition Modeling'!$B:$B,'IP Attrition'!BH$68),VLOOKUP($F77+BH$2,$A$6:$C$106,2,FALSE)*VLOOKUP(BH$1,'Attrition Modeling'!$L$15:$N$27,IF(BH$2+$F10&lt;=24,2,3),FALSE)),$C$3)*(1+Projection!BJ$16)*(1+IF(BH142&gt;0,'Attrition Modeling'!$N$9,0)))</f>
        <v>0</v>
      </c>
      <c r="BI77" s="799">
        <f>BH77*(1-IFERROR(IF(BI$69+$F77&lt;=12,SUMIFS('Attrition Modeling'!$D:$D,'Attrition Modeling'!$C:$C,'IP Attrition'!$D77,'Attrition Modeling'!$B:$B,'IP Attrition'!BI$68),VLOOKUP($F77+BI$2,$A$6:$C$106,2,FALSE)*VLOOKUP(BI$1,'Attrition Modeling'!$L$15:$N$27,IF(BI$2+$F10&lt;=24,2,3),FALSE)),$C$3)*(1+Projection!BK$16)*(1+IF(BI142&gt;0,'Attrition Modeling'!$N$9,0)))</f>
        <v>0</v>
      </c>
      <c r="BJ77" s="799">
        <f>BI77*(1-IFERROR(IF(BJ$69+$F77&lt;=12,SUMIFS('Attrition Modeling'!$D:$D,'Attrition Modeling'!$C:$C,'IP Attrition'!$D77,'Attrition Modeling'!$B:$B,'IP Attrition'!BJ$68),VLOOKUP($F77+BJ$2,$A$6:$C$106,2,FALSE)*VLOOKUP(BJ$1,'Attrition Modeling'!$L$15:$N$27,IF(BJ$2+$F10&lt;=24,2,3),FALSE)),$C$3)*(1+Projection!BL$16)*(1+IF(BJ142&gt;0,'Attrition Modeling'!$N$9,0)))</f>
        <v>0</v>
      </c>
      <c r="BK77" s="799">
        <f>BJ77*(1-IFERROR(IF(BK$69+$F77&lt;=12,SUMIFS('Attrition Modeling'!$D:$D,'Attrition Modeling'!$C:$C,'IP Attrition'!$D77,'Attrition Modeling'!$B:$B,'IP Attrition'!BK$68),VLOOKUP($F77+BK$2,$A$6:$C$106,2,FALSE)*VLOOKUP(BK$1,'Attrition Modeling'!$L$15:$N$27,IF(BK$2+$F10&lt;=24,2,3),FALSE)),$C$3)*(1+Projection!BM$16)*(1+IF(BK142&gt;0,'Attrition Modeling'!$N$9,0)))</f>
        <v>0</v>
      </c>
      <c r="BL77" s="799">
        <f>BK77*(1-IFERROR(IF(BL$69+$F77&lt;=12,SUMIFS('Attrition Modeling'!$D:$D,'Attrition Modeling'!$C:$C,'IP Attrition'!$D77,'Attrition Modeling'!$B:$B,'IP Attrition'!BL$68),VLOOKUP($F77+BL$2,$A$6:$C$106,2,FALSE)*VLOOKUP(BL$1,'Attrition Modeling'!$L$15:$N$27,IF(BL$2+$F10&lt;=24,2,3),FALSE)),$C$3)*(1+Projection!BN$16)*(1+IF(BL142&gt;0,'Attrition Modeling'!$N$9,0)))</f>
        <v>0</v>
      </c>
      <c r="BM77" s="799">
        <f>BL77*(1-IFERROR(IF(BM$69+$F77&lt;=12,SUMIFS('Attrition Modeling'!$D:$D,'Attrition Modeling'!$C:$C,'IP Attrition'!$D77,'Attrition Modeling'!$B:$B,'IP Attrition'!BM$68),VLOOKUP($F77+BM$2,$A$6:$C$106,2,FALSE)*VLOOKUP(BM$1,'Attrition Modeling'!$L$15:$N$27,IF(BM$2+$F10&lt;=24,2,3),FALSE)),$C$3)*(1+Projection!BO$16)*(1+IF(BM142&gt;0,'Attrition Modeling'!$N$9,0)))</f>
        <v>0</v>
      </c>
      <c r="BN77" s="799">
        <f>BM77*(1-IFERROR(IF(BN$69+$F77&lt;=12,SUMIFS('Attrition Modeling'!$D:$D,'Attrition Modeling'!$C:$C,'IP Attrition'!$D77,'Attrition Modeling'!$B:$B,'IP Attrition'!BN$68),VLOOKUP($F77+BN$2,$A$6:$C$106,2,FALSE)*VLOOKUP(BN$1,'Attrition Modeling'!$L$15:$N$27,IF(BN$2+$F10&lt;=24,2,3),FALSE)),$C$3)*(1+Projection!BP$16)*(1+IF(BN142&gt;0,'Attrition Modeling'!$N$9,0)))</f>
        <v>0</v>
      </c>
      <c r="BO77" s="799">
        <f>BN77*(1-IFERROR(IF(BO$69+$F77&lt;=12,SUMIFS('Attrition Modeling'!$D:$D,'Attrition Modeling'!$C:$C,'IP Attrition'!$D77,'Attrition Modeling'!$B:$B,'IP Attrition'!BO$68),VLOOKUP($F77+BO$2,$A$6:$C$106,2,FALSE)*VLOOKUP(BO$1,'Attrition Modeling'!$L$15:$N$27,IF(BO$2+$F10&lt;=24,2,3),FALSE)),$C$3)*(1+Projection!BV$16)*(1+IF(BO142&gt;0,'Attrition Modeling'!$N$9,0)))</f>
        <v>0</v>
      </c>
      <c r="BP77" s="799">
        <f>BO77*(1-IFERROR(IF(BP$69+$F77&lt;=12,SUMIFS('Attrition Modeling'!$D:$D,'Attrition Modeling'!$C:$C,'IP Attrition'!$D77,'Attrition Modeling'!$B:$B,'IP Attrition'!BP$68),VLOOKUP($F77+BP$2,$A$6:$C$106,2,FALSE)*VLOOKUP(BP$1,'Attrition Modeling'!$L$15:$N$27,IF(BP$2+$F10&lt;=24,2,3),FALSE)),$C$3)*(1+Projection!BW$16)*(1+IF(BP142&gt;0,'Attrition Modeling'!$N$9,0)))</f>
        <v>0</v>
      </c>
      <c r="BQ77" s="799">
        <f>BP77*(1-IFERROR(IF(BQ$69+$F77&lt;=12,SUMIFS('Attrition Modeling'!$D:$D,'Attrition Modeling'!$C:$C,'IP Attrition'!$D77,'Attrition Modeling'!$B:$B,'IP Attrition'!BQ$68),VLOOKUP($F77+BQ$2,$A$6:$C$106,2,FALSE)*VLOOKUP(BQ$1,'Attrition Modeling'!$L$15:$N$27,IF(BQ$2+$F10&lt;=24,2,3),FALSE)),$C$3)*(1+Projection!BX$16)*(1+IF(BQ142&gt;0,'Attrition Modeling'!$N$9,0)))</f>
        <v>0</v>
      </c>
      <c r="BR77" s="799">
        <f>BQ77*(1-IFERROR(IF(BR$69+$F77&lt;=12,SUMIFS('Attrition Modeling'!$D:$D,'Attrition Modeling'!$C:$C,'IP Attrition'!$D77,'Attrition Modeling'!$B:$B,'IP Attrition'!BR$68),VLOOKUP($F77+BR$2,$A$6:$C$106,2,FALSE)*VLOOKUP(BR$1,'Attrition Modeling'!$L$15:$N$27,IF(BR$2+$F10&lt;=24,2,3),FALSE)),$C$3)*(1+Projection!BY$16)*(1+IF(BR142&gt;0,'Attrition Modeling'!$N$9,0)))</f>
        <v>0</v>
      </c>
      <c r="BS77" s="799">
        <f>BR77*(1-IFERROR(IF(BS$69+$F77&lt;=12,SUMIFS('Attrition Modeling'!$D:$D,'Attrition Modeling'!$C:$C,'IP Attrition'!$D77,'Attrition Modeling'!$B:$B,'IP Attrition'!BS$68),VLOOKUP($F77+BS$2,$A$6:$C$106,2,FALSE)*VLOOKUP(BS$1,'Attrition Modeling'!$L$15:$N$27,IF(BS$2+$F10&lt;=24,2,3),FALSE)),$C$3)*(1+Projection!BZ$16)*(1+IF(BS142&gt;0,'Attrition Modeling'!$N$9,0)))</f>
        <v>0</v>
      </c>
      <c r="BT77" s="799" t="e">
        <f>BS77*(1-IFERROR(IF(BT$69+$F77&lt;=12,SUMIFS('Attrition Modeling'!$D:$D,'Attrition Modeling'!$C:$C,'IP Attrition'!$D77,'Attrition Modeling'!$B:$B,'IP Attrition'!BT$68),VLOOKUP($F77+BT$2,$A$6:$C$106,2,FALSE)*VLOOKUP(BT$1,'Attrition Modeling'!$L$15:$N$27,IF(BT$2+$F10&lt;=24,2,3),FALSE)),$C$3)*(1+Projection!CA$16)*(1+IF(BT142&gt;0,'Attrition Modeling'!$N$9,0)))</f>
        <v>#REF!</v>
      </c>
      <c r="BU77" s="799" t="e">
        <f>BT77*(1-IFERROR(IF(BU$69+$F77&lt;=12,SUMIFS('Attrition Modeling'!$D:$D,'Attrition Modeling'!$C:$C,'IP Attrition'!$D77,'Attrition Modeling'!$B:$B,'IP Attrition'!BU$68),VLOOKUP($F77+BU$2,$A$6:$C$106,2,FALSE)*VLOOKUP(BU$1,'Attrition Modeling'!$L$15:$N$27,IF(BU$2+$F10&lt;=24,2,3),FALSE)),$C$3)*(1+Projection!CB$16)*(1+IF(BU142&gt;0,'Attrition Modeling'!$N$9,0)))</f>
        <v>#REF!</v>
      </c>
    </row>
    <row r="78" spans="1:73" ht="14.25" customHeight="1" x14ac:dyDescent="0.2">
      <c r="A78" s="9">
        <v>71</v>
      </c>
      <c r="B78" s="25">
        <f>MAX('Attrition Modeling'!H75,$C$3)*(1-Summary!$C$20)</f>
        <v>0.02</v>
      </c>
      <c r="C78" s="24" t="e">
        <f t="shared" si="3"/>
        <v>#DIV/0!</v>
      </c>
      <c r="D78" s="11">
        <f t="shared" ref="D78:E78" si="16">D11</f>
        <v>-8</v>
      </c>
      <c r="E78" s="25">
        <f t="shared" si="16"/>
        <v>7.2136667938139415E-2</v>
      </c>
      <c r="F78" s="11">
        <f t="shared" si="9"/>
        <v>8</v>
      </c>
      <c r="G78" s="799">
        <f>Summary!$C$24*$E78</f>
        <v>0</v>
      </c>
      <c r="H78" s="799">
        <f>G78*(1-IFERROR(IF(H$69+$F78&lt;=12,SUMIFS('Attrition Modeling'!$D:$D,'Attrition Modeling'!$C:$C,'IP Attrition'!$D78,'Attrition Modeling'!$B:$B,'IP Attrition'!H$68),VLOOKUP($F78+H$2,$A$6:$C$106,2,FALSE)*VLOOKUP(H$1,'Attrition Modeling'!$L$15:$N$27,IF(H$2+$F11&lt;=24,2,3),FALSE)),$C$3)*(1+Projection!J$16)*(1+IF(H143&gt;0,'Attrition Modeling'!$N$9,0)))</f>
        <v>0</v>
      </c>
      <c r="I78" s="799">
        <f>H78*(1-IFERROR(IF(I$69+$F78&lt;=12,SUMIFS('Attrition Modeling'!$D:$D,'Attrition Modeling'!$C:$C,'IP Attrition'!$D78,'Attrition Modeling'!$B:$B,'IP Attrition'!I$68),VLOOKUP($F78+I$2,$A$6:$C$106,2,FALSE)*VLOOKUP(I$1,'Attrition Modeling'!$L$15:$N$27,IF(I$2+$F11&lt;=24,2,3),FALSE)),$C$3)*(1+Projection!K$16)*(1+IF(I143&gt;0,'Attrition Modeling'!$N$9,0)))</f>
        <v>0</v>
      </c>
      <c r="J78" s="799">
        <f>I78*(1-IFERROR(IF(J$69+$F78&lt;=12,SUMIFS('Attrition Modeling'!$D:$D,'Attrition Modeling'!$C:$C,'IP Attrition'!$D78,'Attrition Modeling'!$B:$B,'IP Attrition'!J$68),VLOOKUP($F78+J$2,$A$6:$C$106,2,FALSE)*VLOOKUP(J$1,'Attrition Modeling'!$L$15:$N$27,IF(J$2+$F11&lt;=24,2,3),FALSE)),$C$3)*(1+Projection!L$16)*(1+IF(J143&gt;0,'Attrition Modeling'!$N$9,0)))</f>
        <v>0</v>
      </c>
      <c r="K78" s="799">
        <f>J78*(1-IFERROR(IF(K$69+$F78&lt;=12,SUMIFS('Attrition Modeling'!$D:$D,'Attrition Modeling'!$C:$C,'IP Attrition'!$D78,'Attrition Modeling'!$B:$B,'IP Attrition'!K$68),VLOOKUP($F78+K$2,$A$6:$C$106,2,FALSE)*VLOOKUP(K$1,'Attrition Modeling'!$L$15:$N$27,IF(K$2+$F11&lt;=24,2,3),FALSE)),$C$3)*(1+Projection!M$16)*(1+IF(K143&gt;0,'Attrition Modeling'!$N$9,0)))</f>
        <v>0</v>
      </c>
      <c r="L78" s="799">
        <f>K78*(1-IFERROR(IF(L$69+$F78&lt;=12,SUMIFS('Attrition Modeling'!$D:$D,'Attrition Modeling'!$C:$C,'IP Attrition'!$D78,'Attrition Modeling'!$B:$B,'IP Attrition'!L$68),VLOOKUP($F78+L$2,$A$6:$C$106,2,FALSE)*VLOOKUP(L$1,'Attrition Modeling'!$L$15:$N$27,IF(L$2+$F11&lt;=24,2,3),FALSE)),$C$3)*(1+Projection!N$16)*(1+IF(L143&gt;0,'Attrition Modeling'!$N$9,0)))</f>
        <v>0</v>
      </c>
      <c r="M78" s="799">
        <f>L78*(1-IFERROR(IF(M$69+$F78&lt;=12,SUMIFS('Attrition Modeling'!$D:$D,'Attrition Modeling'!$C:$C,'IP Attrition'!$D78,'Attrition Modeling'!$B:$B,'IP Attrition'!M$68),VLOOKUP($F78+M$2,$A$6:$C$106,2,FALSE)*VLOOKUP(M$1,'Attrition Modeling'!$L$15:$N$27,IF(M$2+$F11&lt;=24,2,3),FALSE)),$C$3)*(1+Projection!O$16)*(1+IF(M143&gt;0,'Attrition Modeling'!$N$9,0)))</f>
        <v>0</v>
      </c>
      <c r="N78" s="799">
        <f>M78*(1-IFERROR(IF(N$69+$F78&lt;=12,SUMIFS('Attrition Modeling'!$D:$D,'Attrition Modeling'!$C:$C,'IP Attrition'!$D78,'Attrition Modeling'!$B:$B,'IP Attrition'!N$68),VLOOKUP($F78+N$2,$A$6:$C$106,2,FALSE)*VLOOKUP(N$1,'Attrition Modeling'!$L$15:$N$27,IF(N$2+$F11&lt;=24,2,3),FALSE)),$C$3)*(1+Projection!P$16)*(1+IF(N143&gt;0,'Attrition Modeling'!$N$9,0)))</f>
        <v>0</v>
      </c>
      <c r="O78" s="799">
        <f>N78*(1-IFERROR(IF(O$69+$F78&lt;=12,SUMIFS('Attrition Modeling'!$D:$D,'Attrition Modeling'!$C:$C,'IP Attrition'!$D78,'Attrition Modeling'!$B:$B,'IP Attrition'!O$68),VLOOKUP($F78+O$2,$A$6:$C$106,2,FALSE)*VLOOKUP(O$1,'Attrition Modeling'!$L$15:$N$27,IF(O$2+$F11&lt;=24,2,3),FALSE)),$C$3)*(1+Projection!Q$16)*(1+IF(O143&gt;0,'Attrition Modeling'!$N$9,0)))</f>
        <v>0</v>
      </c>
      <c r="P78" s="799">
        <f>O78*(1-IFERROR(IF(P$69+$F78&lt;=12,SUMIFS('Attrition Modeling'!$D:$D,'Attrition Modeling'!$C:$C,'IP Attrition'!$D78,'Attrition Modeling'!$B:$B,'IP Attrition'!P$68),VLOOKUP($F78+P$2,$A$6:$C$106,2,FALSE)*VLOOKUP(P$1,'Attrition Modeling'!$L$15:$N$27,IF(P$2+$F11&lt;=24,2,3),FALSE)),$C$3)*(1+Projection!R$16)*(1+IF(P143&gt;0,'Attrition Modeling'!$N$9,0)))</f>
        <v>0</v>
      </c>
      <c r="Q78" s="799">
        <f>P78*(1-IFERROR(IF(Q$69+$F78&lt;=12,SUMIFS('Attrition Modeling'!$D:$D,'Attrition Modeling'!$C:$C,'IP Attrition'!$D78,'Attrition Modeling'!$B:$B,'IP Attrition'!Q$68),VLOOKUP($F78+Q$2,$A$6:$C$106,2,FALSE)*VLOOKUP(Q$1,'Attrition Modeling'!$L$15:$N$27,IF(Q$2+$F11&lt;=24,2,3),FALSE)),$C$3)*(1+Projection!S$16)*(1+IF(Q143&gt;0,'Attrition Modeling'!$N$9,0)))</f>
        <v>0</v>
      </c>
      <c r="R78" s="799">
        <f>Q78*(1-IFERROR(IF(R$69+$F78&lt;=12,SUMIFS('Attrition Modeling'!$D:$D,'Attrition Modeling'!$C:$C,'IP Attrition'!$D78,'Attrition Modeling'!$B:$B,'IP Attrition'!R$68),VLOOKUP($F78+R$2,$A$6:$C$106,2,FALSE)*VLOOKUP(R$1,'Attrition Modeling'!$L$15:$N$27,IF(R$2+$F11&lt;=24,2,3),FALSE)),$C$3)*(1+Projection!T$16)*(1+IF(R143&gt;0,'Attrition Modeling'!$N$9,0)))</f>
        <v>0</v>
      </c>
      <c r="S78" s="799">
        <f>R78*(1-IFERROR(IF(S$69+$F78&lt;=12,SUMIFS('Attrition Modeling'!$D:$D,'Attrition Modeling'!$C:$C,'IP Attrition'!$D78,'Attrition Modeling'!$B:$B,'IP Attrition'!S$68),VLOOKUP($F78+S$2,$A$6:$C$106,2,FALSE)*VLOOKUP(S$1,'Attrition Modeling'!$L$15:$N$27,IF(S$2+$F11&lt;=24,2,3),FALSE)),$C$3)*(1+Projection!U$16)*(1+IF(S143&gt;0,'Attrition Modeling'!$N$9,0)))</f>
        <v>0</v>
      </c>
      <c r="T78" s="799">
        <f>S78*(1-IFERROR(IF(T$69+$F78&lt;=12,SUMIFS('Attrition Modeling'!$D:$D,'Attrition Modeling'!$C:$C,'IP Attrition'!$D78,'Attrition Modeling'!$B:$B,'IP Attrition'!T$68),VLOOKUP($F78+T$2,$A$6:$C$106,2,FALSE)*VLOOKUP(T$1,'Attrition Modeling'!$L$15:$N$27,IF(T$2+$F11&lt;=24,2,3),FALSE)),$C$3)*(1+Projection!V$16)*(1+IF(T143&gt;0,'Attrition Modeling'!$N$9,0)))</f>
        <v>0</v>
      </c>
      <c r="U78" s="799">
        <f>T78*(1-IFERROR(IF(U$69+$F78&lt;=12,SUMIFS('Attrition Modeling'!$D:$D,'Attrition Modeling'!$C:$C,'IP Attrition'!$D78,'Attrition Modeling'!$B:$B,'IP Attrition'!U$68),VLOOKUP($F78+U$2,$A$6:$C$106,2,FALSE)*VLOOKUP(U$1,'Attrition Modeling'!$L$15:$N$27,IF(U$2+$F11&lt;=24,2,3),FALSE)),$C$3)*(1+Projection!W$16)*(1+IF(U143&gt;0,'Attrition Modeling'!$N$9,0)))</f>
        <v>0</v>
      </c>
      <c r="V78" s="799">
        <f>U78*(1-IFERROR(IF(V$69+$F78&lt;=12,SUMIFS('Attrition Modeling'!$D:$D,'Attrition Modeling'!$C:$C,'IP Attrition'!$D78,'Attrition Modeling'!$B:$B,'IP Attrition'!V$68),VLOOKUP($F78+V$2,$A$6:$C$106,2,FALSE)*VLOOKUP(V$1,'Attrition Modeling'!$L$15:$N$27,IF(V$2+$F11&lt;=24,2,3),FALSE)),$C$3)*(1+Projection!X$16)*(1+IF(V143&gt;0,'Attrition Modeling'!$N$9,0)))</f>
        <v>0</v>
      </c>
      <c r="W78" s="799">
        <f>V78*(1-IFERROR(IF(W$69+$F78&lt;=12,SUMIFS('Attrition Modeling'!$D:$D,'Attrition Modeling'!$C:$C,'IP Attrition'!$D78,'Attrition Modeling'!$B:$B,'IP Attrition'!W$68),VLOOKUP($F78+W$2,$A$6:$C$106,2,FALSE)*VLOOKUP(W$1,'Attrition Modeling'!$L$15:$N$27,IF(W$2+$F11&lt;=24,2,3),FALSE)),$C$3)*(1+Projection!Y$16)*(1+IF(W143&gt;0,'Attrition Modeling'!$N$9,0)))</f>
        <v>0</v>
      </c>
      <c r="X78" s="799">
        <f>W78*(1-IFERROR(IF(X$69+$F78&lt;=12,SUMIFS('Attrition Modeling'!$D:$D,'Attrition Modeling'!$C:$C,'IP Attrition'!$D78,'Attrition Modeling'!$B:$B,'IP Attrition'!X$68),VLOOKUP($F78+X$2,$A$6:$C$106,2,FALSE)*VLOOKUP(X$1,'Attrition Modeling'!$L$15:$N$27,IF(X$2+$F11&lt;=24,2,3),FALSE)),$C$3)*(1+Projection!Z$16)*(1+IF(X143&gt;0,'Attrition Modeling'!$N$9,0)))</f>
        <v>0</v>
      </c>
      <c r="Y78" s="799">
        <f>X78*(1-IFERROR(IF(Y$69+$F78&lt;=12,SUMIFS('Attrition Modeling'!$D:$D,'Attrition Modeling'!$C:$C,'IP Attrition'!$D78,'Attrition Modeling'!$B:$B,'IP Attrition'!Y$68),VLOOKUP($F78+Y$2,$A$6:$C$106,2,FALSE)*VLOOKUP(Y$1,'Attrition Modeling'!$L$15:$N$27,IF(Y$2+$F11&lt;=24,2,3),FALSE)),$C$3)*(1+Projection!AA$16)*(1+IF(Y143&gt;0,'Attrition Modeling'!$N$9,0)))</f>
        <v>0</v>
      </c>
      <c r="Z78" s="799">
        <f>Y78*(1-IFERROR(IF(Z$69+$F78&lt;=12,SUMIFS('Attrition Modeling'!$D:$D,'Attrition Modeling'!$C:$C,'IP Attrition'!$D78,'Attrition Modeling'!$B:$B,'IP Attrition'!Z$68),VLOOKUP($F78+Z$2,$A$6:$C$106,2,FALSE)*VLOOKUP(Z$1,'Attrition Modeling'!$L$15:$N$27,IF(Z$2+$F11&lt;=24,2,3),FALSE)),$C$3)*(1+Projection!AB$16)*(1+IF(Z143&gt;0,'Attrition Modeling'!$N$9,0)))</f>
        <v>0</v>
      </c>
      <c r="AA78" s="799">
        <f>Z78*(1-IFERROR(IF(AA$69+$F78&lt;=12,SUMIFS('Attrition Modeling'!$D:$D,'Attrition Modeling'!$C:$C,'IP Attrition'!$D78,'Attrition Modeling'!$B:$B,'IP Attrition'!AA$68),VLOOKUP($F78+AA$2,$A$6:$C$106,2,FALSE)*VLOOKUP(AA$1,'Attrition Modeling'!$L$15:$N$27,IF(AA$2+$F11&lt;=24,2,3),FALSE)),$C$3)*(1+Projection!AC$16)*(1+IF(AA143&gt;0,'Attrition Modeling'!$N$9,0)))</f>
        <v>0</v>
      </c>
      <c r="AB78" s="799">
        <f>AA78*(1-IFERROR(IF(AB$69+$F78&lt;=12,SUMIFS('Attrition Modeling'!$D:$D,'Attrition Modeling'!$C:$C,'IP Attrition'!$D78,'Attrition Modeling'!$B:$B,'IP Attrition'!AB$68),VLOOKUP($F78+AB$2,$A$6:$C$106,2,FALSE)*VLOOKUP(AB$1,'Attrition Modeling'!$L$15:$N$27,IF(AB$2+$F11&lt;=24,2,3),FALSE)),$C$3)*(1+Projection!AD$16)*(1+IF(AB143&gt;0,'Attrition Modeling'!$N$9,0)))</f>
        <v>0</v>
      </c>
      <c r="AC78" s="799">
        <f>AB78*(1-IFERROR(IF(AC$69+$F78&lt;=12,SUMIFS('Attrition Modeling'!$D:$D,'Attrition Modeling'!$C:$C,'IP Attrition'!$D78,'Attrition Modeling'!$B:$B,'IP Attrition'!AC$68),VLOOKUP($F78+AC$2,$A$6:$C$106,2,FALSE)*VLOOKUP(AC$1,'Attrition Modeling'!$L$15:$N$27,IF(AC$2+$F11&lt;=24,2,3),FALSE)),$C$3)*(1+Projection!AE$16)*(1+IF(AC143&gt;0,'Attrition Modeling'!$N$9,0)))</f>
        <v>0</v>
      </c>
      <c r="AD78" s="799">
        <f>AC78*(1-IFERROR(IF(AD$69+$F78&lt;=12,SUMIFS('Attrition Modeling'!$D:$D,'Attrition Modeling'!$C:$C,'IP Attrition'!$D78,'Attrition Modeling'!$B:$B,'IP Attrition'!AD$68),VLOOKUP($F78+AD$2,$A$6:$C$106,2,FALSE)*VLOOKUP(AD$1,'Attrition Modeling'!$L$15:$N$27,IF(AD$2+$F11&lt;=24,2,3),FALSE)),$C$3)*(1+Projection!AF$16)*(1+IF(AD143&gt;0,'Attrition Modeling'!$N$9,0)))</f>
        <v>0</v>
      </c>
      <c r="AE78" s="799">
        <f>AD78*(1-IFERROR(IF(AE$69+$F78&lt;=12,SUMIFS('Attrition Modeling'!$D:$D,'Attrition Modeling'!$C:$C,'IP Attrition'!$D78,'Attrition Modeling'!$B:$B,'IP Attrition'!AE$68),VLOOKUP($F78+AE$2,$A$6:$C$106,2,FALSE)*VLOOKUP(AE$1,'Attrition Modeling'!$L$15:$N$27,IF(AE$2+$F11&lt;=24,2,3),FALSE)),$C$3)*(1+Projection!AG$16)*(1+IF(AE143&gt;0,'Attrition Modeling'!$N$9,0)))</f>
        <v>0</v>
      </c>
      <c r="AF78" s="799">
        <f>AE78*(1-IFERROR(IF(AF$69+$F78&lt;=12,SUMIFS('Attrition Modeling'!$D:$D,'Attrition Modeling'!$C:$C,'IP Attrition'!$D78,'Attrition Modeling'!$B:$B,'IP Attrition'!AF$68),VLOOKUP($F78+AF$2,$A$6:$C$106,2,FALSE)*VLOOKUP(AF$1,'Attrition Modeling'!$L$15:$N$27,IF(AF$2+$F11&lt;=24,2,3),FALSE)),$C$3)*(1+Projection!AH$16)*(1+IF(AF143&gt;0,'Attrition Modeling'!$N$9,0)))</f>
        <v>0</v>
      </c>
      <c r="AG78" s="799">
        <f>AF78*(1-IFERROR(IF(AG$69+$F78&lt;=12,SUMIFS('Attrition Modeling'!$D:$D,'Attrition Modeling'!$C:$C,'IP Attrition'!$D78,'Attrition Modeling'!$B:$B,'IP Attrition'!AG$68),VLOOKUP($F78+AG$2,$A$6:$C$106,2,FALSE)*VLOOKUP(AG$1,'Attrition Modeling'!$L$15:$N$27,IF(AG$2+$F11&lt;=24,2,3),FALSE)),$C$3)*(1+Projection!AI$16)*(1+IF(AG143&gt;0,'Attrition Modeling'!$N$9,0)))</f>
        <v>0</v>
      </c>
      <c r="AH78" s="799">
        <f>AG78*(1-IFERROR(IF(AH$69+$F78&lt;=12,SUMIFS('Attrition Modeling'!$D:$D,'Attrition Modeling'!$C:$C,'IP Attrition'!$D78,'Attrition Modeling'!$B:$B,'IP Attrition'!AH$68),VLOOKUP($F78+AH$2,$A$6:$C$106,2,FALSE)*VLOOKUP(AH$1,'Attrition Modeling'!$L$15:$N$27,IF(AH$2+$F11&lt;=24,2,3),FALSE)),$C$3)*(1+Projection!AJ$16)*(1+IF(AH143&gt;0,'Attrition Modeling'!$N$9,0)))</f>
        <v>0</v>
      </c>
      <c r="AI78" s="799">
        <f>AH78*(1-IFERROR(IF(AI$69+$F78&lt;=12,SUMIFS('Attrition Modeling'!$D:$D,'Attrition Modeling'!$C:$C,'IP Attrition'!$D78,'Attrition Modeling'!$B:$B,'IP Attrition'!AI$68),VLOOKUP($F78+AI$2,$A$6:$C$106,2,FALSE)*VLOOKUP(AI$1,'Attrition Modeling'!$L$15:$N$27,IF(AI$2+$F11&lt;=24,2,3),FALSE)),$C$3)*(1+Projection!AK$16)*(1+IF(AI143&gt;0,'Attrition Modeling'!$N$9,0)))</f>
        <v>0</v>
      </c>
      <c r="AJ78" s="799">
        <f>AI78*(1-IFERROR(IF(AJ$69+$F78&lt;=12,SUMIFS('Attrition Modeling'!$D:$D,'Attrition Modeling'!$C:$C,'IP Attrition'!$D78,'Attrition Modeling'!$B:$B,'IP Attrition'!AJ$68),VLOOKUP($F78+AJ$2,$A$6:$C$106,2,FALSE)*VLOOKUP(AJ$1,'Attrition Modeling'!$L$15:$N$27,IF(AJ$2+$F11&lt;=24,2,3),FALSE)),$C$3)*(1+Projection!AL$16)*(1+IF(AJ143&gt;0,'Attrition Modeling'!$N$9,0)))</f>
        <v>0</v>
      </c>
      <c r="AK78" s="799">
        <f>AJ78*(1-IFERROR(IF(AK$69+$F78&lt;=12,SUMIFS('Attrition Modeling'!$D:$D,'Attrition Modeling'!$C:$C,'IP Attrition'!$D78,'Attrition Modeling'!$B:$B,'IP Attrition'!AK$68),VLOOKUP($F78+AK$2,$A$6:$C$106,2,FALSE)*VLOOKUP(AK$1,'Attrition Modeling'!$L$15:$N$27,IF(AK$2+$F11&lt;=24,2,3),FALSE)),$C$3)*(1+Projection!AM$16)*(1+IF(AK143&gt;0,'Attrition Modeling'!$N$9,0)))</f>
        <v>0</v>
      </c>
      <c r="AL78" s="799">
        <f>AK78*(1-IFERROR(IF(AL$69+$F78&lt;=12,SUMIFS('Attrition Modeling'!$D:$D,'Attrition Modeling'!$C:$C,'IP Attrition'!$D78,'Attrition Modeling'!$B:$B,'IP Attrition'!AL$68),VLOOKUP($F78+AL$2,$A$6:$C$106,2,FALSE)*VLOOKUP(AL$1,'Attrition Modeling'!$L$15:$N$27,IF(AL$2+$F11&lt;=24,2,3),FALSE)),$C$3)*(1+Projection!AN$16)*(1+IF(AL143&gt;0,'Attrition Modeling'!$N$9,0)))</f>
        <v>0</v>
      </c>
      <c r="AM78" s="799">
        <f>AL78*(1-IFERROR(IF(AM$69+$F78&lt;=12,SUMIFS('Attrition Modeling'!$D:$D,'Attrition Modeling'!$C:$C,'IP Attrition'!$D78,'Attrition Modeling'!$B:$B,'IP Attrition'!AM$68),VLOOKUP($F78+AM$2,$A$6:$C$106,2,FALSE)*VLOOKUP(AM$1,'Attrition Modeling'!$L$15:$N$27,IF(AM$2+$F11&lt;=24,2,3),FALSE)),$C$3)*(1+Projection!AO$16)*(1+IF(AM143&gt;0,'Attrition Modeling'!$N$9,0)))</f>
        <v>0</v>
      </c>
      <c r="AN78" s="799">
        <f>AM78*(1-IFERROR(IF(AN$69+$F78&lt;=12,SUMIFS('Attrition Modeling'!$D:$D,'Attrition Modeling'!$C:$C,'IP Attrition'!$D78,'Attrition Modeling'!$B:$B,'IP Attrition'!AN$68),VLOOKUP($F78+AN$2,$A$6:$C$106,2,FALSE)*VLOOKUP(AN$1,'Attrition Modeling'!$L$15:$N$27,IF(AN$2+$F11&lt;=24,2,3),FALSE)),$C$3)*(1+Projection!AP$16)*(1+IF(AN143&gt;0,'Attrition Modeling'!$N$9,0)))</f>
        <v>0</v>
      </c>
      <c r="AO78" s="799">
        <f>AN78*(1-IFERROR(IF(AO$69+$F78&lt;=12,SUMIFS('Attrition Modeling'!$D:$D,'Attrition Modeling'!$C:$C,'IP Attrition'!$D78,'Attrition Modeling'!$B:$B,'IP Attrition'!AO$68),VLOOKUP($F78+AO$2,$A$6:$C$106,2,FALSE)*VLOOKUP(AO$1,'Attrition Modeling'!$L$15:$N$27,IF(AO$2+$F11&lt;=24,2,3),FALSE)),$C$3)*(1+Projection!AQ$16)*(1+IF(AO143&gt;0,'Attrition Modeling'!$N$9,0)))</f>
        <v>0</v>
      </c>
      <c r="AP78" s="799">
        <f>AO78*(1-IFERROR(IF(AP$69+$F78&lt;=12,SUMIFS('Attrition Modeling'!$D:$D,'Attrition Modeling'!$C:$C,'IP Attrition'!$D78,'Attrition Modeling'!$B:$B,'IP Attrition'!AP$68),VLOOKUP($F78+AP$2,$A$6:$C$106,2,FALSE)*VLOOKUP(AP$1,'Attrition Modeling'!$L$15:$N$27,IF(AP$2+$F11&lt;=24,2,3),FALSE)),$C$3)*(1+Projection!AR$16)*(1+IF(AP143&gt;0,'Attrition Modeling'!$N$9,0)))</f>
        <v>0</v>
      </c>
      <c r="AQ78" s="799">
        <f>AP78*(1-IFERROR(IF(AQ$69+$F78&lt;=12,SUMIFS('Attrition Modeling'!$D:$D,'Attrition Modeling'!$C:$C,'IP Attrition'!$D78,'Attrition Modeling'!$B:$B,'IP Attrition'!AQ$68),VLOOKUP($F78+AQ$2,$A$6:$C$106,2,FALSE)*VLOOKUP(AQ$1,'Attrition Modeling'!$L$15:$N$27,IF(AQ$2+$F11&lt;=24,2,3),FALSE)),$C$3)*(1+Projection!AS$16)*(1+IF(AQ143&gt;0,'Attrition Modeling'!$N$9,0)))</f>
        <v>0</v>
      </c>
      <c r="AR78" s="799">
        <f>AQ78*(1-IFERROR(IF(AR$69+$F78&lt;=12,SUMIFS('Attrition Modeling'!$D:$D,'Attrition Modeling'!$C:$C,'IP Attrition'!$D78,'Attrition Modeling'!$B:$B,'IP Attrition'!AR$68),VLOOKUP($F78+AR$2,$A$6:$C$106,2,FALSE)*VLOOKUP(AR$1,'Attrition Modeling'!$L$15:$N$27,IF(AR$2+$F11&lt;=24,2,3),FALSE)),$C$3)*(1+Projection!AT$16)*(1+IF(AR143&gt;0,'Attrition Modeling'!$N$9,0)))</f>
        <v>0</v>
      </c>
      <c r="AS78" s="799">
        <f>AR78*(1-IFERROR(IF(AS$69+$F78&lt;=12,SUMIFS('Attrition Modeling'!$D:$D,'Attrition Modeling'!$C:$C,'IP Attrition'!$D78,'Attrition Modeling'!$B:$B,'IP Attrition'!AS$68),VLOOKUP($F78+AS$2,$A$6:$C$106,2,FALSE)*VLOOKUP(AS$1,'Attrition Modeling'!$L$15:$N$27,IF(AS$2+$F11&lt;=24,2,3),FALSE)),$C$3)*(1+Projection!AU$16)*(1+IF(AS143&gt;0,'Attrition Modeling'!$N$9,0)))</f>
        <v>0</v>
      </c>
      <c r="AT78" s="799">
        <f>AS78*(1-IFERROR(IF(AT$69+$F78&lt;=12,SUMIFS('Attrition Modeling'!$D:$D,'Attrition Modeling'!$C:$C,'IP Attrition'!$D78,'Attrition Modeling'!$B:$B,'IP Attrition'!AT$68),VLOOKUP($F78+AT$2,$A$6:$C$106,2,FALSE)*VLOOKUP(AT$1,'Attrition Modeling'!$L$15:$N$27,IF(AT$2+$F11&lt;=24,2,3),FALSE)),$C$3)*(1+Projection!AV$16)*(1+IF(AT143&gt;0,'Attrition Modeling'!$N$9,0)))</f>
        <v>0</v>
      </c>
      <c r="AU78" s="799">
        <f>AT78*(1-IFERROR(IF(AU$69+$F78&lt;=12,SUMIFS('Attrition Modeling'!$D:$D,'Attrition Modeling'!$C:$C,'IP Attrition'!$D78,'Attrition Modeling'!$B:$B,'IP Attrition'!AU$68),VLOOKUP($F78+AU$2,$A$6:$C$106,2,FALSE)*VLOOKUP(AU$1,'Attrition Modeling'!$L$15:$N$27,IF(AU$2+$F11&lt;=24,2,3),FALSE)),$C$3)*(1+Projection!AW$16)*(1+IF(AU143&gt;0,'Attrition Modeling'!$N$9,0)))</f>
        <v>0</v>
      </c>
      <c r="AV78" s="799">
        <f>AU78*(1-IFERROR(IF(AV$69+$F78&lt;=12,SUMIFS('Attrition Modeling'!$D:$D,'Attrition Modeling'!$C:$C,'IP Attrition'!$D78,'Attrition Modeling'!$B:$B,'IP Attrition'!AV$68),VLOOKUP($F78+AV$2,$A$6:$C$106,2,FALSE)*VLOOKUP(AV$1,'Attrition Modeling'!$L$15:$N$27,IF(AV$2+$F11&lt;=24,2,3),FALSE)),$C$3)*(1+Projection!AX$16)*(1+IF(AV143&gt;0,'Attrition Modeling'!$N$9,0)))</f>
        <v>0</v>
      </c>
      <c r="AW78" s="799">
        <f>AV78*(1-IFERROR(IF(AW$69+$F78&lt;=12,SUMIFS('Attrition Modeling'!$D:$D,'Attrition Modeling'!$C:$C,'IP Attrition'!$D78,'Attrition Modeling'!$B:$B,'IP Attrition'!AW$68),VLOOKUP($F78+AW$2,$A$6:$C$106,2,FALSE)*VLOOKUP(AW$1,'Attrition Modeling'!$L$15:$N$27,IF(AW$2+$F11&lt;=24,2,3),FALSE)),$C$3)*(1+Projection!AY$16)*(1+IF(AW143&gt;0,'Attrition Modeling'!$N$9,0)))</f>
        <v>0</v>
      </c>
      <c r="AX78" s="799">
        <f>AW78*(1-IFERROR(IF(AX$69+$F78&lt;=12,SUMIFS('Attrition Modeling'!$D:$D,'Attrition Modeling'!$C:$C,'IP Attrition'!$D78,'Attrition Modeling'!$B:$B,'IP Attrition'!AX$68),VLOOKUP($F78+AX$2,$A$6:$C$106,2,FALSE)*VLOOKUP(AX$1,'Attrition Modeling'!$L$15:$N$27,IF(AX$2+$F11&lt;=24,2,3),FALSE)),$C$3)*(1+Projection!AZ$16)*(1+IF(AX143&gt;0,'Attrition Modeling'!$N$9,0)))</f>
        <v>0</v>
      </c>
      <c r="AY78" s="799">
        <f>AX78*(1-IFERROR(IF(AY$69+$F78&lt;=12,SUMIFS('Attrition Modeling'!$D:$D,'Attrition Modeling'!$C:$C,'IP Attrition'!$D78,'Attrition Modeling'!$B:$B,'IP Attrition'!AY$68),VLOOKUP($F78+AY$2,$A$6:$C$106,2,FALSE)*VLOOKUP(AY$1,'Attrition Modeling'!$L$15:$N$27,IF(AY$2+$F11&lt;=24,2,3),FALSE)),$C$3)*(1+Projection!BA$16)*(1+IF(AY143&gt;0,'Attrition Modeling'!$N$9,0)))</f>
        <v>0</v>
      </c>
      <c r="AZ78" s="799">
        <f>AY78*(1-IFERROR(IF(AZ$69+$F78&lt;=12,SUMIFS('Attrition Modeling'!$D:$D,'Attrition Modeling'!$C:$C,'IP Attrition'!$D78,'Attrition Modeling'!$B:$B,'IP Attrition'!AZ$68),VLOOKUP($F78+AZ$2,$A$6:$C$106,2,FALSE)*VLOOKUP(AZ$1,'Attrition Modeling'!$L$15:$N$27,IF(AZ$2+$F11&lt;=24,2,3),FALSE)),$C$3)*(1+Projection!BB$16)*(1+IF(AZ143&gt;0,'Attrition Modeling'!$N$9,0)))</f>
        <v>0</v>
      </c>
      <c r="BA78" s="799">
        <f>AZ78*(1-IFERROR(IF(BA$69+$F78&lt;=12,SUMIFS('Attrition Modeling'!$D:$D,'Attrition Modeling'!$C:$C,'IP Attrition'!$D78,'Attrition Modeling'!$B:$B,'IP Attrition'!BA$68),VLOOKUP($F78+BA$2,$A$6:$C$106,2,FALSE)*VLOOKUP(BA$1,'Attrition Modeling'!$L$15:$N$27,IF(BA$2+$F11&lt;=24,2,3),FALSE)),$C$3)*(1+Projection!BC$16)*(1+IF(BA143&gt;0,'Attrition Modeling'!$N$9,0)))</f>
        <v>0</v>
      </c>
      <c r="BB78" s="799">
        <f>BA78*(1-IFERROR(IF(BB$69+$F78&lt;=12,SUMIFS('Attrition Modeling'!$D:$D,'Attrition Modeling'!$C:$C,'IP Attrition'!$D78,'Attrition Modeling'!$B:$B,'IP Attrition'!BB$68),VLOOKUP($F78+BB$2,$A$6:$C$106,2,FALSE)*VLOOKUP(BB$1,'Attrition Modeling'!$L$15:$N$27,IF(BB$2+$F11&lt;=24,2,3),FALSE)),$C$3)*(1+Projection!BD$16)*(1+IF(BB143&gt;0,'Attrition Modeling'!$N$9,0)))</f>
        <v>0</v>
      </c>
      <c r="BC78" s="799">
        <f>BB78*(1-IFERROR(IF(BC$69+$F78&lt;=12,SUMIFS('Attrition Modeling'!$D:$D,'Attrition Modeling'!$C:$C,'IP Attrition'!$D78,'Attrition Modeling'!$B:$B,'IP Attrition'!BC$68),VLOOKUP($F78+BC$2,$A$6:$C$106,2,FALSE)*VLOOKUP(BC$1,'Attrition Modeling'!$L$15:$N$27,IF(BC$2+$F11&lt;=24,2,3),FALSE)),$C$3)*(1+Projection!BE$16)*(1+IF(BC143&gt;0,'Attrition Modeling'!$N$9,0)))</f>
        <v>0</v>
      </c>
      <c r="BD78" s="799">
        <f>BC78*(1-IFERROR(IF(BD$69+$F78&lt;=12,SUMIFS('Attrition Modeling'!$D:$D,'Attrition Modeling'!$C:$C,'IP Attrition'!$D78,'Attrition Modeling'!$B:$B,'IP Attrition'!BD$68),VLOOKUP($F78+BD$2,$A$6:$C$106,2,FALSE)*VLOOKUP(BD$1,'Attrition Modeling'!$L$15:$N$27,IF(BD$2+$F11&lt;=24,2,3),FALSE)),$C$3)*(1+Projection!BF$16)*(1+IF(BD143&gt;0,'Attrition Modeling'!$N$9,0)))</f>
        <v>0</v>
      </c>
      <c r="BE78" s="799">
        <f>BD78*(1-IFERROR(IF(BE$69+$F78&lt;=12,SUMIFS('Attrition Modeling'!$D:$D,'Attrition Modeling'!$C:$C,'IP Attrition'!$D78,'Attrition Modeling'!$B:$B,'IP Attrition'!BE$68),VLOOKUP($F78+BE$2,$A$6:$C$106,2,FALSE)*VLOOKUP(BE$1,'Attrition Modeling'!$L$15:$N$27,IF(BE$2+$F11&lt;=24,2,3),FALSE)),$C$3)*(1+Projection!BG$16)*(1+IF(BE143&gt;0,'Attrition Modeling'!$N$9,0)))</f>
        <v>0</v>
      </c>
      <c r="BF78" s="799">
        <f>BE78*(1-IFERROR(IF(BF$69+$F78&lt;=12,SUMIFS('Attrition Modeling'!$D:$D,'Attrition Modeling'!$C:$C,'IP Attrition'!$D78,'Attrition Modeling'!$B:$B,'IP Attrition'!BF$68),VLOOKUP($F78+BF$2,$A$6:$C$106,2,FALSE)*VLOOKUP(BF$1,'Attrition Modeling'!$L$15:$N$27,IF(BF$2+$F11&lt;=24,2,3),FALSE)),$C$3)*(1+Projection!BH$16)*(1+IF(BF143&gt;0,'Attrition Modeling'!$N$9,0)))</f>
        <v>0</v>
      </c>
      <c r="BG78" s="799">
        <f>BF78*(1-IFERROR(IF(BG$69+$F78&lt;=12,SUMIFS('Attrition Modeling'!$D:$D,'Attrition Modeling'!$C:$C,'IP Attrition'!$D78,'Attrition Modeling'!$B:$B,'IP Attrition'!BG$68),VLOOKUP($F78+BG$2,$A$6:$C$106,2,FALSE)*VLOOKUP(BG$1,'Attrition Modeling'!$L$15:$N$27,IF(BG$2+$F11&lt;=24,2,3),FALSE)),$C$3)*(1+Projection!BI$16)*(1+IF(BG143&gt;0,'Attrition Modeling'!$N$9,0)))</f>
        <v>0</v>
      </c>
      <c r="BH78" s="799">
        <f>BG78*(1-IFERROR(IF(BH$69+$F78&lt;=12,SUMIFS('Attrition Modeling'!$D:$D,'Attrition Modeling'!$C:$C,'IP Attrition'!$D78,'Attrition Modeling'!$B:$B,'IP Attrition'!BH$68),VLOOKUP($F78+BH$2,$A$6:$C$106,2,FALSE)*VLOOKUP(BH$1,'Attrition Modeling'!$L$15:$N$27,IF(BH$2+$F11&lt;=24,2,3),FALSE)),$C$3)*(1+Projection!BJ$16)*(1+IF(BH143&gt;0,'Attrition Modeling'!$N$9,0)))</f>
        <v>0</v>
      </c>
      <c r="BI78" s="799">
        <f>BH78*(1-IFERROR(IF(BI$69+$F78&lt;=12,SUMIFS('Attrition Modeling'!$D:$D,'Attrition Modeling'!$C:$C,'IP Attrition'!$D78,'Attrition Modeling'!$B:$B,'IP Attrition'!BI$68),VLOOKUP($F78+BI$2,$A$6:$C$106,2,FALSE)*VLOOKUP(BI$1,'Attrition Modeling'!$L$15:$N$27,IF(BI$2+$F11&lt;=24,2,3),FALSE)),$C$3)*(1+Projection!BK$16)*(1+IF(BI143&gt;0,'Attrition Modeling'!$N$9,0)))</f>
        <v>0</v>
      </c>
      <c r="BJ78" s="799">
        <f>BI78*(1-IFERROR(IF(BJ$69+$F78&lt;=12,SUMIFS('Attrition Modeling'!$D:$D,'Attrition Modeling'!$C:$C,'IP Attrition'!$D78,'Attrition Modeling'!$B:$B,'IP Attrition'!BJ$68),VLOOKUP($F78+BJ$2,$A$6:$C$106,2,FALSE)*VLOOKUP(BJ$1,'Attrition Modeling'!$L$15:$N$27,IF(BJ$2+$F11&lt;=24,2,3),FALSE)),$C$3)*(1+Projection!BL$16)*(1+IF(BJ143&gt;0,'Attrition Modeling'!$N$9,0)))</f>
        <v>0</v>
      </c>
      <c r="BK78" s="799">
        <f>BJ78*(1-IFERROR(IF(BK$69+$F78&lt;=12,SUMIFS('Attrition Modeling'!$D:$D,'Attrition Modeling'!$C:$C,'IP Attrition'!$D78,'Attrition Modeling'!$B:$B,'IP Attrition'!BK$68),VLOOKUP($F78+BK$2,$A$6:$C$106,2,FALSE)*VLOOKUP(BK$1,'Attrition Modeling'!$L$15:$N$27,IF(BK$2+$F11&lt;=24,2,3),FALSE)),$C$3)*(1+Projection!BM$16)*(1+IF(BK143&gt;0,'Attrition Modeling'!$N$9,0)))</f>
        <v>0</v>
      </c>
      <c r="BL78" s="799">
        <f>BK78*(1-IFERROR(IF(BL$69+$F78&lt;=12,SUMIFS('Attrition Modeling'!$D:$D,'Attrition Modeling'!$C:$C,'IP Attrition'!$D78,'Attrition Modeling'!$B:$B,'IP Attrition'!BL$68),VLOOKUP($F78+BL$2,$A$6:$C$106,2,FALSE)*VLOOKUP(BL$1,'Attrition Modeling'!$L$15:$N$27,IF(BL$2+$F11&lt;=24,2,3),FALSE)),$C$3)*(1+Projection!BN$16)*(1+IF(BL143&gt;0,'Attrition Modeling'!$N$9,0)))</f>
        <v>0</v>
      </c>
      <c r="BM78" s="799">
        <f>BL78*(1-IFERROR(IF(BM$69+$F78&lt;=12,SUMIFS('Attrition Modeling'!$D:$D,'Attrition Modeling'!$C:$C,'IP Attrition'!$D78,'Attrition Modeling'!$B:$B,'IP Attrition'!BM$68),VLOOKUP($F78+BM$2,$A$6:$C$106,2,FALSE)*VLOOKUP(BM$1,'Attrition Modeling'!$L$15:$N$27,IF(BM$2+$F11&lt;=24,2,3),FALSE)),$C$3)*(1+Projection!BO$16)*(1+IF(BM143&gt;0,'Attrition Modeling'!$N$9,0)))</f>
        <v>0</v>
      </c>
      <c r="BN78" s="799">
        <f>BM78*(1-IFERROR(IF(BN$69+$F78&lt;=12,SUMIFS('Attrition Modeling'!$D:$D,'Attrition Modeling'!$C:$C,'IP Attrition'!$D78,'Attrition Modeling'!$B:$B,'IP Attrition'!BN$68),VLOOKUP($F78+BN$2,$A$6:$C$106,2,FALSE)*VLOOKUP(BN$1,'Attrition Modeling'!$L$15:$N$27,IF(BN$2+$F11&lt;=24,2,3),FALSE)),$C$3)*(1+Projection!BP$16)*(1+IF(BN143&gt;0,'Attrition Modeling'!$N$9,0)))</f>
        <v>0</v>
      </c>
      <c r="BO78" s="799">
        <f>BN78*(1-IFERROR(IF(BO$69+$F78&lt;=12,SUMIFS('Attrition Modeling'!$D:$D,'Attrition Modeling'!$C:$C,'IP Attrition'!$D78,'Attrition Modeling'!$B:$B,'IP Attrition'!BO$68),VLOOKUP($F78+BO$2,$A$6:$C$106,2,FALSE)*VLOOKUP(BO$1,'Attrition Modeling'!$L$15:$N$27,IF(BO$2+$F11&lt;=24,2,3),FALSE)),$C$3)*(1+Projection!BV$16)*(1+IF(BO143&gt;0,'Attrition Modeling'!$N$9,0)))</f>
        <v>0</v>
      </c>
      <c r="BP78" s="799">
        <f>BO78*(1-IFERROR(IF(BP$69+$F78&lt;=12,SUMIFS('Attrition Modeling'!$D:$D,'Attrition Modeling'!$C:$C,'IP Attrition'!$D78,'Attrition Modeling'!$B:$B,'IP Attrition'!BP$68),VLOOKUP($F78+BP$2,$A$6:$C$106,2,FALSE)*VLOOKUP(BP$1,'Attrition Modeling'!$L$15:$N$27,IF(BP$2+$F11&lt;=24,2,3),FALSE)),$C$3)*(1+Projection!BW$16)*(1+IF(BP143&gt;0,'Attrition Modeling'!$N$9,0)))</f>
        <v>0</v>
      </c>
      <c r="BQ78" s="799">
        <f>BP78*(1-IFERROR(IF(BQ$69+$F78&lt;=12,SUMIFS('Attrition Modeling'!$D:$D,'Attrition Modeling'!$C:$C,'IP Attrition'!$D78,'Attrition Modeling'!$B:$B,'IP Attrition'!BQ$68),VLOOKUP($F78+BQ$2,$A$6:$C$106,2,FALSE)*VLOOKUP(BQ$1,'Attrition Modeling'!$L$15:$N$27,IF(BQ$2+$F11&lt;=24,2,3),FALSE)),$C$3)*(1+Projection!BX$16)*(1+IF(BQ143&gt;0,'Attrition Modeling'!$N$9,0)))</f>
        <v>0</v>
      </c>
      <c r="BR78" s="799">
        <f>BQ78*(1-IFERROR(IF(BR$69+$F78&lt;=12,SUMIFS('Attrition Modeling'!$D:$D,'Attrition Modeling'!$C:$C,'IP Attrition'!$D78,'Attrition Modeling'!$B:$B,'IP Attrition'!BR$68),VLOOKUP($F78+BR$2,$A$6:$C$106,2,FALSE)*VLOOKUP(BR$1,'Attrition Modeling'!$L$15:$N$27,IF(BR$2+$F11&lt;=24,2,3),FALSE)),$C$3)*(1+Projection!BY$16)*(1+IF(BR143&gt;0,'Attrition Modeling'!$N$9,0)))</f>
        <v>0</v>
      </c>
      <c r="BS78" s="799">
        <f>BR78*(1-IFERROR(IF(BS$69+$F78&lt;=12,SUMIFS('Attrition Modeling'!$D:$D,'Attrition Modeling'!$C:$C,'IP Attrition'!$D78,'Attrition Modeling'!$B:$B,'IP Attrition'!BS$68),VLOOKUP($F78+BS$2,$A$6:$C$106,2,FALSE)*VLOOKUP(BS$1,'Attrition Modeling'!$L$15:$N$27,IF(BS$2+$F11&lt;=24,2,3),FALSE)),$C$3)*(1+Projection!BZ$16)*(1+IF(BS143&gt;0,'Attrition Modeling'!$N$9,0)))</f>
        <v>0</v>
      </c>
      <c r="BT78" s="799" t="e">
        <f>BS78*(1-IFERROR(IF(BT$69+$F78&lt;=12,SUMIFS('Attrition Modeling'!$D:$D,'Attrition Modeling'!$C:$C,'IP Attrition'!$D78,'Attrition Modeling'!$B:$B,'IP Attrition'!BT$68),VLOOKUP($F78+BT$2,$A$6:$C$106,2,FALSE)*VLOOKUP(BT$1,'Attrition Modeling'!$L$15:$N$27,IF(BT$2+$F11&lt;=24,2,3),FALSE)),$C$3)*(1+Projection!CA$16)*(1+IF(BT143&gt;0,'Attrition Modeling'!$N$9,0)))</f>
        <v>#REF!</v>
      </c>
      <c r="BU78" s="799" t="e">
        <f>BT78*(1-IFERROR(IF(BU$69+$F78&lt;=12,SUMIFS('Attrition Modeling'!$D:$D,'Attrition Modeling'!$C:$C,'IP Attrition'!$D78,'Attrition Modeling'!$B:$B,'IP Attrition'!BU$68),VLOOKUP($F78+BU$2,$A$6:$C$106,2,FALSE)*VLOOKUP(BU$1,'Attrition Modeling'!$L$15:$N$27,IF(BU$2+$F11&lt;=24,2,3),FALSE)),$C$3)*(1+Projection!CB$16)*(1+IF(BU143&gt;0,'Attrition Modeling'!$N$9,0)))</f>
        <v>#REF!</v>
      </c>
    </row>
    <row r="79" spans="1:73" ht="14.25" customHeight="1" x14ac:dyDescent="0.2">
      <c r="A79" s="9">
        <v>72</v>
      </c>
      <c r="B79" s="25">
        <f>MAX('Attrition Modeling'!H76,$C$3)*(1-Summary!$C$20)</f>
        <v>2.1155441792258291E-2</v>
      </c>
      <c r="C79" s="24" t="e">
        <f t="shared" si="3"/>
        <v>#DIV/0!</v>
      </c>
      <c r="D79" s="11">
        <f t="shared" ref="D79:E79" si="17">D12</f>
        <v>-9</v>
      </c>
      <c r="E79" s="25">
        <f t="shared" si="17"/>
        <v>3.5488958990536279E-2</v>
      </c>
      <c r="F79" s="11">
        <f t="shared" si="9"/>
        <v>9</v>
      </c>
      <c r="G79" s="799">
        <f>Summary!$C$24*$E79</f>
        <v>0</v>
      </c>
      <c r="H79" s="799">
        <f>G79*(1-IFERROR(IF(H$69+$F79&lt;=12,SUMIFS('Attrition Modeling'!$D:$D,'Attrition Modeling'!$C:$C,'IP Attrition'!$D79,'Attrition Modeling'!$B:$B,'IP Attrition'!H$68),VLOOKUP($F79+H$2,$A$6:$C$106,2,FALSE)*VLOOKUP(H$1,'Attrition Modeling'!$L$15:$N$27,IF(H$2+$F12&lt;=24,2,3),FALSE)),$C$3)*(1+Projection!J$16)*(1+IF(H144&gt;0,'Attrition Modeling'!$N$9,0)))</f>
        <v>0</v>
      </c>
      <c r="I79" s="799">
        <f>H79*(1-IFERROR(IF(I$69+$F79&lt;=12,SUMIFS('Attrition Modeling'!$D:$D,'Attrition Modeling'!$C:$C,'IP Attrition'!$D79,'Attrition Modeling'!$B:$B,'IP Attrition'!I$68),VLOOKUP($F79+I$2,$A$6:$C$106,2,FALSE)*VLOOKUP(I$1,'Attrition Modeling'!$L$15:$N$27,IF(I$2+$F12&lt;=24,2,3),FALSE)),$C$3)*(1+Projection!K$16)*(1+IF(I144&gt;0,'Attrition Modeling'!$N$9,0)))</f>
        <v>0</v>
      </c>
      <c r="J79" s="799">
        <f>I79*(1-IFERROR(IF(J$69+$F79&lt;=12,SUMIFS('Attrition Modeling'!$D:$D,'Attrition Modeling'!$C:$C,'IP Attrition'!$D79,'Attrition Modeling'!$B:$B,'IP Attrition'!J$68),VLOOKUP($F79+J$2,$A$6:$C$106,2,FALSE)*VLOOKUP(J$1,'Attrition Modeling'!$L$15:$N$27,IF(J$2+$F12&lt;=24,2,3),FALSE)),$C$3)*(1+Projection!L$16)*(1+IF(J144&gt;0,'Attrition Modeling'!$N$9,0)))</f>
        <v>0</v>
      </c>
      <c r="K79" s="799">
        <f>J79*(1-IFERROR(IF(K$69+$F79&lt;=12,SUMIFS('Attrition Modeling'!$D:$D,'Attrition Modeling'!$C:$C,'IP Attrition'!$D79,'Attrition Modeling'!$B:$B,'IP Attrition'!K$68),VLOOKUP($F79+K$2,$A$6:$C$106,2,FALSE)*VLOOKUP(K$1,'Attrition Modeling'!$L$15:$N$27,IF(K$2+$F12&lt;=24,2,3),FALSE)),$C$3)*(1+Projection!M$16)*(1+IF(K144&gt;0,'Attrition Modeling'!$N$9,0)))</f>
        <v>0</v>
      </c>
      <c r="L79" s="799">
        <f>K79*(1-IFERROR(IF(L$69+$F79&lt;=12,SUMIFS('Attrition Modeling'!$D:$D,'Attrition Modeling'!$C:$C,'IP Attrition'!$D79,'Attrition Modeling'!$B:$B,'IP Attrition'!L$68),VLOOKUP($F79+L$2,$A$6:$C$106,2,FALSE)*VLOOKUP(L$1,'Attrition Modeling'!$L$15:$N$27,IF(L$2+$F12&lt;=24,2,3),FALSE)),$C$3)*(1+Projection!N$16)*(1+IF(L144&gt;0,'Attrition Modeling'!$N$9,0)))</f>
        <v>0</v>
      </c>
      <c r="M79" s="799">
        <f>L79*(1-IFERROR(IF(M$69+$F79&lt;=12,SUMIFS('Attrition Modeling'!$D:$D,'Attrition Modeling'!$C:$C,'IP Attrition'!$D79,'Attrition Modeling'!$B:$B,'IP Attrition'!M$68),VLOOKUP($F79+M$2,$A$6:$C$106,2,FALSE)*VLOOKUP(M$1,'Attrition Modeling'!$L$15:$N$27,IF(M$2+$F12&lt;=24,2,3),FALSE)),$C$3)*(1+Projection!O$16)*(1+IF(M144&gt;0,'Attrition Modeling'!$N$9,0)))</f>
        <v>0</v>
      </c>
      <c r="N79" s="799">
        <f>M79*(1-IFERROR(IF(N$69+$F79&lt;=12,SUMIFS('Attrition Modeling'!$D:$D,'Attrition Modeling'!$C:$C,'IP Attrition'!$D79,'Attrition Modeling'!$B:$B,'IP Attrition'!N$68),VLOOKUP($F79+N$2,$A$6:$C$106,2,FALSE)*VLOOKUP(N$1,'Attrition Modeling'!$L$15:$N$27,IF(N$2+$F12&lt;=24,2,3),FALSE)),$C$3)*(1+Projection!P$16)*(1+IF(N144&gt;0,'Attrition Modeling'!$N$9,0)))</f>
        <v>0</v>
      </c>
      <c r="O79" s="799">
        <f>N79*(1-IFERROR(IF(O$69+$F79&lt;=12,SUMIFS('Attrition Modeling'!$D:$D,'Attrition Modeling'!$C:$C,'IP Attrition'!$D79,'Attrition Modeling'!$B:$B,'IP Attrition'!O$68),VLOOKUP($F79+O$2,$A$6:$C$106,2,FALSE)*VLOOKUP(O$1,'Attrition Modeling'!$L$15:$N$27,IF(O$2+$F12&lt;=24,2,3),FALSE)),$C$3)*(1+Projection!Q$16)*(1+IF(O144&gt;0,'Attrition Modeling'!$N$9,0)))</f>
        <v>0</v>
      </c>
      <c r="P79" s="799">
        <f>O79*(1-IFERROR(IF(P$69+$F79&lt;=12,SUMIFS('Attrition Modeling'!$D:$D,'Attrition Modeling'!$C:$C,'IP Attrition'!$D79,'Attrition Modeling'!$B:$B,'IP Attrition'!P$68),VLOOKUP($F79+P$2,$A$6:$C$106,2,FALSE)*VLOOKUP(P$1,'Attrition Modeling'!$L$15:$N$27,IF(P$2+$F12&lt;=24,2,3),FALSE)),$C$3)*(1+Projection!R$16)*(1+IF(P144&gt;0,'Attrition Modeling'!$N$9,0)))</f>
        <v>0</v>
      </c>
      <c r="Q79" s="799">
        <f>P79*(1-IFERROR(IF(Q$69+$F79&lt;=12,SUMIFS('Attrition Modeling'!$D:$D,'Attrition Modeling'!$C:$C,'IP Attrition'!$D79,'Attrition Modeling'!$B:$B,'IP Attrition'!Q$68),VLOOKUP($F79+Q$2,$A$6:$C$106,2,FALSE)*VLOOKUP(Q$1,'Attrition Modeling'!$L$15:$N$27,IF(Q$2+$F12&lt;=24,2,3),FALSE)),$C$3)*(1+Projection!S$16)*(1+IF(Q144&gt;0,'Attrition Modeling'!$N$9,0)))</f>
        <v>0</v>
      </c>
      <c r="R79" s="799">
        <f>Q79*(1-IFERROR(IF(R$69+$F79&lt;=12,SUMIFS('Attrition Modeling'!$D:$D,'Attrition Modeling'!$C:$C,'IP Attrition'!$D79,'Attrition Modeling'!$B:$B,'IP Attrition'!R$68),VLOOKUP($F79+R$2,$A$6:$C$106,2,FALSE)*VLOOKUP(R$1,'Attrition Modeling'!$L$15:$N$27,IF(R$2+$F12&lt;=24,2,3),FALSE)),$C$3)*(1+Projection!T$16)*(1+IF(R144&gt;0,'Attrition Modeling'!$N$9,0)))</f>
        <v>0</v>
      </c>
      <c r="S79" s="799">
        <f>R79*(1-IFERROR(IF(S$69+$F79&lt;=12,SUMIFS('Attrition Modeling'!$D:$D,'Attrition Modeling'!$C:$C,'IP Attrition'!$D79,'Attrition Modeling'!$B:$B,'IP Attrition'!S$68),VLOOKUP($F79+S$2,$A$6:$C$106,2,FALSE)*VLOOKUP(S$1,'Attrition Modeling'!$L$15:$N$27,IF(S$2+$F12&lt;=24,2,3),FALSE)),$C$3)*(1+Projection!U$16)*(1+IF(S144&gt;0,'Attrition Modeling'!$N$9,0)))</f>
        <v>0</v>
      </c>
      <c r="T79" s="799">
        <f>S79*(1-IFERROR(IF(T$69+$F79&lt;=12,SUMIFS('Attrition Modeling'!$D:$D,'Attrition Modeling'!$C:$C,'IP Attrition'!$D79,'Attrition Modeling'!$B:$B,'IP Attrition'!T$68),VLOOKUP($F79+T$2,$A$6:$C$106,2,FALSE)*VLOOKUP(T$1,'Attrition Modeling'!$L$15:$N$27,IF(T$2+$F12&lt;=24,2,3),FALSE)),$C$3)*(1+Projection!V$16)*(1+IF(T144&gt;0,'Attrition Modeling'!$N$9,0)))</f>
        <v>0</v>
      </c>
      <c r="U79" s="799">
        <f>T79*(1-IFERROR(IF(U$69+$F79&lt;=12,SUMIFS('Attrition Modeling'!$D:$D,'Attrition Modeling'!$C:$C,'IP Attrition'!$D79,'Attrition Modeling'!$B:$B,'IP Attrition'!U$68),VLOOKUP($F79+U$2,$A$6:$C$106,2,FALSE)*VLOOKUP(U$1,'Attrition Modeling'!$L$15:$N$27,IF(U$2+$F12&lt;=24,2,3),FALSE)),$C$3)*(1+Projection!W$16)*(1+IF(U144&gt;0,'Attrition Modeling'!$N$9,0)))</f>
        <v>0</v>
      </c>
      <c r="V79" s="799">
        <f>U79*(1-IFERROR(IF(V$69+$F79&lt;=12,SUMIFS('Attrition Modeling'!$D:$D,'Attrition Modeling'!$C:$C,'IP Attrition'!$D79,'Attrition Modeling'!$B:$B,'IP Attrition'!V$68),VLOOKUP($F79+V$2,$A$6:$C$106,2,FALSE)*VLOOKUP(V$1,'Attrition Modeling'!$L$15:$N$27,IF(V$2+$F12&lt;=24,2,3),FALSE)),$C$3)*(1+Projection!X$16)*(1+IF(V144&gt;0,'Attrition Modeling'!$N$9,0)))</f>
        <v>0</v>
      </c>
      <c r="W79" s="799">
        <f>V79*(1-IFERROR(IF(W$69+$F79&lt;=12,SUMIFS('Attrition Modeling'!$D:$D,'Attrition Modeling'!$C:$C,'IP Attrition'!$D79,'Attrition Modeling'!$B:$B,'IP Attrition'!W$68),VLOOKUP($F79+W$2,$A$6:$C$106,2,FALSE)*VLOOKUP(W$1,'Attrition Modeling'!$L$15:$N$27,IF(W$2+$F12&lt;=24,2,3),FALSE)),$C$3)*(1+Projection!Y$16)*(1+IF(W144&gt;0,'Attrition Modeling'!$N$9,0)))</f>
        <v>0</v>
      </c>
      <c r="X79" s="799">
        <f>W79*(1-IFERROR(IF(X$69+$F79&lt;=12,SUMIFS('Attrition Modeling'!$D:$D,'Attrition Modeling'!$C:$C,'IP Attrition'!$D79,'Attrition Modeling'!$B:$B,'IP Attrition'!X$68),VLOOKUP($F79+X$2,$A$6:$C$106,2,FALSE)*VLOOKUP(X$1,'Attrition Modeling'!$L$15:$N$27,IF(X$2+$F12&lt;=24,2,3),FALSE)),$C$3)*(1+Projection!Z$16)*(1+IF(X144&gt;0,'Attrition Modeling'!$N$9,0)))</f>
        <v>0</v>
      </c>
      <c r="Y79" s="799">
        <f>X79*(1-IFERROR(IF(Y$69+$F79&lt;=12,SUMIFS('Attrition Modeling'!$D:$D,'Attrition Modeling'!$C:$C,'IP Attrition'!$D79,'Attrition Modeling'!$B:$B,'IP Attrition'!Y$68),VLOOKUP($F79+Y$2,$A$6:$C$106,2,FALSE)*VLOOKUP(Y$1,'Attrition Modeling'!$L$15:$N$27,IF(Y$2+$F12&lt;=24,2,3),FALSE)),$C$3)*(1+Projection!AA$16)*(1+IF(Y144&gt;0,'Attrition Modeling'!$N$9,0)))</f>
        <v>0</v>
      </c>
      <c r="Z79" s="799">
        <f>Y79*(1-IFERROR(IF(Z$69+$F79&lt;=12,SUMIFS('Attrition Modeling'!$D:$D,'Attrition Modeling'!$C:$C,'IP Attrition'!$D79,'Attrition Modeling'!$B:$B,'IP Attrition'!Z$68),VLOOKUP($F79+Z$2,$A$6:$C$106,2,FALSE)*VLOOKUP(Z$1,'Attrition Modeling'!$L$15:$N$27,IF(Z$2+$F12&lt;=24,2,3),FALSE)),$C$3)*(1+Projection!AB$16)*(1+IF(Z144&gt;0,'Attrition Modeling'!$N$9,0)))</f>
        <v>0</v>
      </c>
      <c r="AA79" s="799">
        <f>Z79*(1-IFERROR(IF(AA$69+$F79&lt;=12,SUMIFS('Attrition Modeling'!$D:$D,'Attrition Modeling'!$C:$C,'IP Attrition'!$D79,'Attrition Modeling'!$B:$B,'IP Attrition'!AA$68),VLOOKUP($F79+AA$2,$A$6:$C$106,2,FALSE)*VLOOKUP(AA$1,'Attrition Modeling'!$L$15:$N$27,IF(AA$2+$F12&lt;=24,2,3),FALSE)),$C$3)*(1+Projection!AC$16)*(1+IF(AA144&gt;0,'Attrition Modeling'!$N$9,0)))</f>
        <v>0</v>
      </c>
      <c r="AB79" s="799">
        <f>AA79*(1-IFERROR(IF(AB$69+$F79&lt;=12,SUMIFS('Attrition Modeling'!$D:$D,'Attrition Modeling'!$C:$C,'IP Attrition'!$D79,'Attrition Modeling'!$B:$B,'IP Attrition'!AB$68),VLOOKUP($F79+AB$2,$A$6:$C$106,2,FALSE)*VLOOKUP(AB$1,'Attrition Modeling'!$L$15:$N$27,IF(AB$2+$F12&lt;=24,2,3),FALSE)),$C$3)*(1+Projection!AD$16)*(1+IF(AB144&gt;0,'Attrition Modeling'!$N$9,0)))</f>
        <v>0</v>
      </c>
      <c r="AC79" s="799">
        <f>AB79*(1-IFERROR(IF(AC$69+$F79&lt;=12,SUMIFS('Attrition Modeling'!$D:$D,'Attrition Modeling'!$C:$C,'IP Attrition'!$D79,'Attrition Modeling'!$B:$B,'IP Attrition'!AC$68),VLOOKUP($F79+AC$2,$A$6:$C$106,2,FALSE)*VLOOKUP(AC$1,'Attrition Modeling'!$L$15:$N$27,IF(AC$2+$F12&lt;=24,2,3),FALSE)),$C$3)*(1+Projection!AE$16)*(1+IF(AC144&gt;0,'Attrition Modeling'!$N$9,0)))</f>
        <v>0</v>
      </c>
      <c r="AD79" s="799">
        <f>AC79*(1-IFERROR(IF(AD$69+$F79&lt;=12,SUMIFS('Attrition Modeling'!$D:$D,'Attrition Modeling'!$C:$C,'IP Attrition'!$D79,'Attrition Modeling'!$B:$B,'IP Attrition'!AD$68),VLOOKUP($F79+AD$2,$A$6:$C$106,2,FALSE)*VLOOKUP(AD$1,'Attrition Modeling'!$L$15:$N$27,IF(AD$2+$F12&lt;=24,2,3),FALSE)),$C$3)*(1+Projection!AF$16)*(1+IF(AD144&gt;0,'Attrition Modeling'!$N$9,0)))</f>
        <v>0</v>
      </c>
      <c r="AE79" s="799">
        <f>AD79*(1-IFERROR(IF(AE$69+$F79&lt;=12,SUMIFS('Attrition Modeling'!$D:$D,'Attrition Modeling'!$C:$C,'IP Attrition'!$D79,'Attrition Modeling'!$B:$B,'IP Attrition'!AE$68),VLOOKUP($F79+AE$2,$A$6:$C$106,2,FALSE)*VLOOKUP(AE$1,'Attrition Modeling'!$L$15:$N$27,IF(AE$2+$F12&lt;=24,2,3),FALSE)),$C$3)*(1+Projection!AG$16)*(1+IF(AE144&gt;0,'Attrition Modeling'!$N$9,0)))</f>
        <v>0</v>
      </c>
      <c r="AF79" s="799">
        <f>AE79*(1-IFERROR(IF(AF$69+$F79&lt;=12,SUMIFS('Attrition Modeling'!$D:$D,'Attrition Modeling'!$C:$C,'IP Attrition'!$D79,'Attrition Modeling'!$B:$B,'IP Attrition'!AF$68),VLOOKUP($F79+AF$2,$A$6:$C$106,2,FALSE)*VLOOKUP(AF$1,'Attrition Modeling'!$L$15:$N$27,IF(AF$2+$F12&lt;=24,2,3),FALSE)),$C$3)*(1+Projection!AH$16)*(1+IF(AF144&gt;0,'Attrition Modeling'!$N$9,0)))</f>
        <v>0</v>
      </c>
      <c r="AG79" s="799">
        <f>AF79*(1-IFERROR(IF(AG$69+$F79&lt;=12,SUMIFS('Attrition Modeling'!$D:$D,'Attrition Modeling'!$C:$C,'IP Attrition'!$D79,'Attrition Modeling'!$B:$B,'IP Attrition'!AG$68),VLOOKUP($F79+AG$2,$A$6:$C$106,2,FALSE)*VLOOKUP(AG$1,'Attrition Modeling'!$L$15:$N$27,IF(AG$2+$F12&lt;=24,2,3),FALSE)),$C$3)*(1+Projection!AI$16)*(1+IF(AG144&gt;0,'Attrition Modeling'!$N$9,0)))</f>
        <v>0</v>
      </c>
      <c r="AH79" s="799">
        <f>AG79*(1-IFERROR(IF(AH$69+$F79&lt;=12,SUMIFS('Attrition Modeling'!$D:$D,'Attrition Modeling'!$C:$C,'IP Attrition'!$D79,'Attrition Modeling'!$B:$B,'IP Attrition'!AH$68),VLOOKUP($F79+AH$2,$A$6:$C$106,2,FALSE)*VLOOKUP(AH$1,'Attrition Modeling'!$L$15:$N$27,IF(AH$2+$F12&lt;=24,2,3),FALSE)),$C$3)*(1+Projection!AJ$16)*(1+IF(AH144&gt;0,'Attrition Modeling'!$N$9,0)))</f>
        <v>0</v>
      </c>
      <c r="AI79" s="799">
        <f>AH79*(1-IFERROR(IF(AI$69+$F79&lt;=12,SUMIFS('Attrition Modeling'!$D:$D,'Attrition Modeling'!$C:$C,'IP Attrition'!$D79,'Attrition Modeling'!$B:$B,'IP Attrition'!AI$68),VLOOKUP($F79+AI$2,$A$6:$C$106,2,FALSE)*VLOOKUP(AI$1,'Attrition Modeling'!$L$15:$N$27,IF(AI$2+$F12&lt;=24,2,3),FALSE)),$C$3)*(1+Projection!AK$16)*(1+IF(AI144&gt;0,'Attrition Modeling'!$N$9,0)))</f>
        <v>0</v>
      </c>
      <c r="AJ79" s="799">
        <f>AI79*(1-IFERROR(IF(AJ$69+$F79&lt;=12,SUMIFS('Attrition Modeling'!$D:$D,'Attrition Modeling'!$C:$C,'IP Attrition'!$D79,'Attrition Modeling'!$B:$B,'IP Attrition'!AJ$68),VLOOKUP($F79+AJ$2,$A$6:$C$106,2,FALSE)*VLOOKUP(AJ$1,'Attrition Modeling'!$L$15:$N$27,IF(AJ$2+$F12&lt;=24,2,3),FALSE)),$C$3)*(1+Projection!AL$16)*(1+IF(AJ144&gt;0,'Attrition Modeling'!$N$9,0)))</f>
        <v>0</v>
      </c>
      <c r="AK79" s="799">
        <f>AJ79*(1-IFERROR(IF(AK$69+$F79&lt;=12,SUMIFS('Attrition Modeling'!$D:$D,'Attrition Modeling'!$C:$C,'IP Attrition'!$D79,'Attrition Modeling'!$B:$B,'IP Attrition'!AK$68),VLOOKUP($F79+AK$2,$A$6:$C$106,2,FALSE)*VLOOKUP(AK$1,'Attrition Modeling'!$L$15:$N$27,IF(AK$2+$F12&lt;=24,2,3),FALSE)),$C$3)*(1+Projection!AM$16)*(1+IF(AK144&gt;0,'Attrition Modeling'!$N$9,0)))</f>
        <v>0</v>
      </c>
      <c r="AL79" s="799">
        <f>AK79*(1-IFERROR(IF(AL$69+$F79&lt;=12,SUMIFS('Attrition Modeling'!$D:$D,'Attrition Modeling'!$C:$C,'IP Attrition'!$D79,'Attrition Modeling'!$B:$B,'IP Attrition'!AL$68),VLOOKUP($F79+AL$2,$A$6:$C$106,2,FALSE)*VLOOKUP(AL$1,'Attrition Modeling'!$L$15:$N$27,IF(AL$2+$F12&lt;=24,2,3),FALSE)),$C$3)*(1+Projection!AN$16)*(1+IF(AL144&gt;0,'Attrition Modeling'!$N$9,0)))</f>
        <v>0</v>
      </c>
      <c r="AM79" s="799">
        <f>AL79*(1-IFERROR(IF(AM$69+$F79&lt;=12,SUMIFS('Attrition Modeling'!$D:$D,'Attrition Modeling'!$C:$C,'IP Attrition'!$D79,'Attrition Modeling'!$B:$B,'IP Attrition'!AM$68),VLOOKUP($F79+AM$2,$A$6:$C$106,2,FALSE)*VLOOKUP(AM$1,'Attrition Modeling'!$L$15:$N$27,IF(AM$2+$F12&lt;=24,2,3),FALSE)),$C$3)*(1+Projection!AO$16)*(1+IF(AM144&gt;0,'Attrition Modeling'!$N$9,0)))</f>
        <v>0</v>
      </c>
      <c r="AN79" s="799">
        <f>AM79*(1-IFERROR(IF(AN$69+$F79&lt;=12,SUMIFS('Attrition Modeling'!$D:$D,'Attrition Modeling'!$C:$C,'IP Attrition'!$D79,'Attrition Modeling'!$B:$B,'IP Attrition'!AN$68),VLOOKUP($F79+AN$2,$A$6:$C$106,2,FALSE)*VLOOKUP(AN$1,'Attrition Modeling'!$L$15:$N$27,IF(AN$2+$F12&lt;=24,2,3),FALSE)),$C$3)*(1+Projection!AP$16)*(1+IF(AN144&gt;0,'Attrition Modeling'!$N$9,0)))</f>
        <v>0</v>
      </c>
      <c r="AO79" s="799">
        <f>AN79*(1-IFERROR(IF(AO$69+$F79&lt;=12,SUMIFS('Attrition Modeling'!$D:$D,'Attrition Modeling'!$C:$C,'IP Attrition'!$D79,'Attrition Modeling'!$B:$B,'IP Attrition'!AO$68),VLOOKUP($F79+AO$2,$A$6:$C$106,2,FALSE)*VLOOKUP(AO$1,'Attrition Modeling'!$L$15:$N$27,IF(AO$2+$F12&lt;=24,2,3),FALSE)),$C$3)*(1+Projection!AQ$16)*(1+IF(AO144&gt;0,'Attrition Modeling'!$N$9,0)))</f>
        <v>0</v>
      </c>
      <c r="AP79" s="799">
        <f>AO79*(1-IFERROR(IF(AP$69+$F79&lt;=12,SUMIFS('Attrition Modeling'!$D:$D,'Attrition Modeling'!$C:$C,'IP Attrition'!$D79,'Attrition Modeling'!$B:$B,'IP Attrition'!AP$68),VLOOKUP($F79+AP$2,$A$6:$C$106,2,FALSE)*VLOOKUP(AP$1,'Attrition Modeling'!$L$15:$N$27,IF(AP$2+$F12&lt;=24,2,3),FALSE)),$C$3)*(1+Projection!AR$16)*(1+IF(AP144&gt;0,'Attrition Modeling'!$N$9,0)))</f>
        <v>0</v>
      </c>
      <c r="AQ79" s="799">
        <f>AP79*(1-IFERROR(IF(AQ$69+$F79&lt;=12,SUMIFS('Attrition Modeling'!$D:$D,'Attrition Modeling'!$C:$C,'IP Attrition'!$D79,'Attrition Modeling'!$B:$B,'IP Attrition'!AQ$68),VLOOKUP($F79+AQ$2,$A$6:$C$106,2,FALSE)*VLOOKUP(AQ$1,'Attrition Modeling'!$L$15:$N$27,IF(AQ$2+$F12&lt;=24,2,3),FALSE)),$C$3)*(1+Projection!AS$16)*(1+IF(AQ144&gt;0,'Attrition Modeling'!$N$9,0)))</f>
        <v>0</v>
      </c>
      <c r="AR79" s="799">
        <f>AQ79*(1-IFERROR(IF(AR$69+$F79&lt;=12,SUMIFS('Attrition Modeling'!$D:$D,'Attrition Modeling'!$C:$C,'IP Attrition'!$D79,'Attrition Modeling'!$B:$B,'IP Attrition'!AR$68),VLOOKUP($F79+AR$2,$A$6:$C$106,2,FALSE)*VLOOKUP(AR$1,'Attrition Modeling'!$L$15:$N$27,IF(AR$2+$F12&lt;=24,2,3),FALSE)),$C$3)*(1+Projection!AT$16)*(1+IF(AR144&gt;0,'Attrition Modeling'!$N$9,0)))</f>
        <v>0</v>
      </c>
      <c r="AS79" s="799">
        <f>AR79*(1-IFERROR(IF(AS$69+$F79&lt;=12,SUMIFS('Attrition Modeling'!$D:$D,'Attrition Modeling'!$C:$C,'IP Attrition'!$D79,'Attrition Modeling'!$B:$B,'IP Attrition'!AS$68),VLOOKUP($F79+AS$2,$A$6:$C$106,2,FALSE)*VLOOKUP(AS$1,'Attrition Modeling'!$L$15:$N$27,IF(AS$2+$F12&lt;=24,2,3),FALSE)),$C$3)*(1+Projection!AU$16)*(1+IF(AS144&gt;0,'Attrition Modeling'!$N$9,0)))</f>
        <v>0</v>
      </c>
      <c r="AT79" s="799">
        <f>AS79*(1-IFERROR(IF(AT$69+$F79&lt;=12,SUMIFS('Attrition Modeling'!$D:$D,'Attrition Modeling'!$C:$C,'IP Attrition'!$D79,'Attrition Modeling'!$B:$B,'IP Attrition'!AT$68),VLOOKUP($F79+AT$2,$A$6:$C$106,2,FALSE)*VLOOKUP(AT$1,'Attrition Modeling'!$L$15:$N$27,IF(AT$2+$F12&lt;=24,2,3),FALSE)),$C$3)*(1+Projection!AV$16)*(1+IF(AT144&gt;0,'Attrition Modeling'!$N$9,0)))</f>
        <v>0</v>
      </c>
      <c r="AU79" s="799">
        <f>AT79*(1-IFERROR(IF(AU$69+$F79&lt;=12,SUMIFS('Attrition Modeling'!$D:$D,'Attrition Modeling'!$C:$C,'IP Attrition'!$D79,'Attrition Modeling'!$B:$B,'IP Attrition'!AU$68),VLOOKUP($F79+AU$2,$A$6:$C$106,2,FALSE)*VLOOKUP(AU$1,'Attrition Modeling'!$L$15:$N$27,IF(AU$2+$F12&lt;=24,2,3),FALSE)),$C$3)*(1+Projection!AW$16)*(1+IF(AU144&gt;0,'Attrition Modeling'!$N$9,0)))</f>
        <v>0</v>
      </c>
      <c r="AV79" s="799">
        <f>AU79*(1-IFERROR(IF(AV$69+$F79&lt;=12,SUMIFS('Attrition Modeling'!$D:$D,'Attrition Modeling'!$C:$C,'IP Attrition'!$D79,'Attrition Modeling'!$B:$B,'IP Attrition'!AV$68),VLOOKUP($F79+AV$2,$A$6:$C$106,2,FALSE)*VLOOKUP(AV$1,'Attrition Modeling'!$L$15:$N$27,IF(AV$2+$F12&lt;=24,2,3),FALSE)),$C$3)*(1+Projection!AX$16)*(1+IF(AV144&gt;0,'Attrition Modeling'!$N$9,0)))</f>
        <v>0</v>
      </c>
      <c r="AW79" s="799">
        <f>AV79*(1-IFERROR(IF(AW$69+$F79&lt;=12,SUMIFS('Attrition Modeling'!$D:$D,'Attrition Modeling'!$C:$C,'IP Attrition'!$D79,'Attrition Modeling'!$B:$B,'IP Attrition'!AW$68),VLOOKUP($F79+AW$2,$A$6:$C$106,2,FALSE)*VLOOKUP(AW$1,'Attrition Modeling'!$L$15:$N$27,IF(AW$2+$F12&lt;=24,2,3),FALSE)),$C$3)*(1+Projection!AY$16)*(1+IF(AW144&gt;0,'Attrition Modeling'!$N$9,0)))</f>
        <v>0</v>
      </c>
      <c r="AX79" s="799">
        <f>AW79*(1-IFERROR(IF(AX$69+$F79&lt;=12,SUMIFS('Attrition Modeling'!$D:$D,'Attrition Modeling'!$C:$C,'IP Attrition'!$D79,'Attrition Modeling'!$B:$B,'IP Attrition'!AX$68),VLOOKUP($F79+AX$2,$A$6:$C$106,2,FALSE)*VLOOKUP(AX$1,'Attrition Modeling'!$L$15:$N$27,IF(AX$2+$F12&lt;=24,2,3),FALSE)),$C$3)*(1+Projection!AZ$16)*(1+IF(AX144&gt;0,'Attrition Modeling'!$N$9,0)))</f>
        <v>0</v>
      </c>
      <c r="AY79" s="799">
        <f>AX79*(1-IFERROR(IF(AY$69+$F79&lt;=12,SUMIFS('Attrition Modeling'!$D:$D,'Attrition Modeling'!$C:$C,'IP Attrition'!$D79,'Attrition Modeling'!$B:$B,'IP Attrition'!AY$68),VLOOKUP($F79+AY$2,$A$6:$C$106,2,FALSE)*VLOOKUP(AY$1,'Attrition Modeling'!$L$15:$N$27,IF(AY$2+$F12&lt;=24,2,3),FALSE)),$C$3)*(1+Projection!BA$16)*(1+IF(AY144&gt;0,'Attrition Modeling'!$N$9,0)))</f>
        <v>0</v>
      </c>
      <c r="AZ79" s="799">
        <f>AY79*(1-IFERROR(IF(AZ$69+$F79&lt;=12,SUMIFS('Attrition Modeling'!$D:$D,'Attrition Modeling'!$C:$C,'IP Attrition'!$D79,'Attrition Modeling'!$B:$B,'IP Attrition'!AZ$68),VLOOKUP($F79+AZ$2,$A$6:$C$106,2,FALSE)*VLOOKUP(AZ$1,'Attrition Modeling'!$L$15:$N$27,IF(AZ$2+$F12&lt;=24,2,3),FALSE)),$C$3)*(1+Projection!BB$16)*(1+IF(AZ144&gt;0,'Attrition Modeling'!$N$9,0)))</f>
        <v>0</v>
      </c>
      <c r="BA79" s="799">
        <f>AZ79*(1-IFERROR(IF(BA$69+$F79&lt;=12,SUMIFS('Attrition Modeling'!$D:$D,'Attrition Modeling'!$C:$C,'IP Attrition'!$D79,'Attrition Modeling'!$B:$B,'IP Attrition'!BA$68),VLOOKUP($F79+BA$2,$A$6:$C$106,2,FALSE)*VLOOKUP(BA$1,'Attrition Modeling'!$L$15:$N$27,IF(BA$2+$F12&lt;=24,2,3),FALSE)),$C$3)*(1+Projection!BC$16)*(1+IF(BA144&gt;0,'Attrition Modeling'!$N$9,0)))</f>
        <v>0</v>
      </c>
      <c r="BB79" s="799">
        <f>BA79*(1-IFERROR(IF(BB$69+$F79&lt;=12,SUMIFS('Attrition Modeling'!$D:$D,'Attrition Modeling'!$C:$C,'IP Attrition'!$D79,'Attrition Modeling'!$B:$B,'IP Attrition'!BB$68),VLOOKUP($F79+BB$2,$A$6:$C$106,2,FALSE)*VLOOKUP(BB$1,'Attrition Modeling'!$L$15:$N$27,IF(BB$2+$F12&lt;=24,2,3),FALSE)),$C$3)*(1+Projection!BD$16)*(1+IF(BB144&gt;0,'Attrition Modeling'!$N$9,0)))</f>
        <v>0</v>
      </c>
      <c r="BC79" s="799">
        <f>BB79*(1-IFERROR(IF(BC$69+$F79&lt;=12,SUMIFS('Attrition Modeling'!$D:$D,'Attrition Modeling'!$C:$C,'IP Attrition'!$D79,'Attrition Modeling'!$B:$B,'IP Attrition'!BC$68),VLOOKUP($F79+BC$2,$A$6:$C$106,2,FALSE)*VLOOKUP(BC$1,'Attrition Modeling'!$L$15:$N$27,IF(BC$2+$F12&lt;=24,2,3),FALSE)),$C$3)*(1+Projection!BE$16)*(1+IF(BC144&gt;0,'Attrition Modeling'!$N$9,0)))</f>
        <v>0</v>
      </c>
      <c r="BD79" s="799">
        <f>BC79*(1-IFERROR(IF(BD$69+$F79&lt;=12,SUMIFS('Attrition Modeling'!$D:$D,'Attrition Modeling'!$C:$C,'IP Attrition'!$D79,'Attrition Modeling'!$B:$B,'IP Attrition'!BD$68),VLOOKUP($F79+BD$2,$A$6:$C$106,2,FALSE)*VLOOKUP(BD$1,'Attrition Modeling'!$L$15:$N$27,IF(BD$2+$F12&lt;=24,2,3),FALSE)),$C$3)*(1+Projection!BF$16)*(1+IF(BD144&gt;0,'Attrition Modeling'!$N$9,0)))</f>
        <v>0</v>
      </c>
      <c r="BE79" s="799">
        <f>BD79*(1-IFERROR(IF(BE$69+$F79&lt;=12,SUMIFS('Attrition Modeling'!$D:$D,'Attrition Modeling'!$C:$C,'IP Attrition'!$D79,'Attrition Modeling'!$B:$B,'IP Attrition'!BE$68),VLOOKUP($F79+BE$2,$A$6:$C$106,2,FALSE)*VLOOKUP(BE$1,'Attrition Modeling'!$L$15:$N$27,IF(BE$2+$F12&lt;=24,2,3),FALSE)),$C$3)*(1+Projection!BG$16)*(1+IF(BE144&gt;0,'Attrition Modeling'!$N$9,0)))</f>
        <v>0</v>
      </c>
      <c r="BF79" s="799">
        <f>BE79*(1-IFERROR(IF(BF$69+$F79&lt;=12,SUMIFS('Attrition Modeling'!$D:$D,'Attrition Modeling'!$C:$C,'IP Attrition'!$D79,'Attrition Modeling'!$B:$B,'IP Attrition'!BF$68),VLOOKUP($F79+BF$2,$A$6:$C$106,2,FALSE)*VLOOKUP(BF$1,'Attrition Modeling'!$L$15:$N$27,IF(BF$2+$F12&lt;=24,2,3),FALSE)),$C$3)*(1+Projection!BH$16)*(1+IF(BF144&gt;0,'Attrition Modeling'!$N$9,0)))</f>
        <v>0</v>
      </c>
      <c r="BG79" s="799">
        <f>BF79*(1-IFERROR(IF(BG$69+$F79&lt;=12,SUMIFS('Attrition Modeling'!$D:$D,'Attrition Modeling'!$C:$C,'IP Attrition'!$D79,'Attrition Modeling'!$B:$B,'IP Attrition'!BG$68),VLOOKUP($F79+BG$2,$A$6:$C$106,2,FALSE)*VLOOKUP(BG$1,'Attrition Modeling'!$L$15:$N$27,IF(BG$2+$F12&lt;=24,2,3),FALSE)),$C$3)*(1+Projection!BI$16)*(1+IF(BG144&gt;0,'Attrition Modeling'!$N$9,0)))</f>
        <v>0</v>
      </c>
      <c r="BH79" s="799">
        <f>BG79*(1-IFERROR(IF(BH$69+$F79&lt;=12,SUMIFS('Attrition Modeling'!$D:$D,'Attrition Modeling'!$C:$C,'IP Attrition'!$D79,'Attrition Modeling'!$B:$B,'IP Attrition'!BH$68),VLOOKUP($F79+BH$2,$A$6:$C$106,2,FALSE)*VLOOKUP(BH$1,'Attrition Modeling'!$L$15:$N$27,IF(BH$2+$F12&lt;=24,2,3),FALSE)),$C$3)*(1+Projection!BJ$16)*(1+IF(BH144&gt;0,'Attrition Modeling'!$N$9,0)))</f>
        <v>0</v>
      </c>
      <c r="BI79" s="799">
        <f>BH79*(1-IFERROR(IF(BI$69+$F79&lt;=12,SUMIFS('Attrition Modeling'!$D:$D,'Attrition Modeling'!$C:$C,'IP Attrition'!$D79,'Attrition Modeling'!$B:$B,'IP Attrition'!BI$68),VLOOKUP($F79+BI$2,$A$6:$C$106,2,FALSE)*VLOOKUP(BI$1,'Attrition Modeling'!$L$15:$N$27,IF(BI$2+$F12&lt;=24,2,3),FALSE)),$C$3)*(1+Projection!BK$16)*(1+IF(BI144&gt;0,'Attrition Modeling'!$N$9,0)))</f>
        <v>0</v>
      </c>
      <c r="BJ79" s="799">
        <f>BI79*(1-IFERROR(IF(BJ$69+$F79&lt;=12,SUMIFS('Attrition Modeling'!$D:$D,'Attrition Modeling'!$C:$C,'IP Attrition'!$D79,'Attrition Modeling'!$B:$B,'IP Attrition'!BJ$68),VLOOKUP($F79+BJ$2,$A$6:$C$106,2,FALSE)*VLOOKUP(BJ$1,'Attrition Modeling'!$L$15:$N$27,IF(BJ$2+$F12&lt;=24,2,3),FALSE)),$C$3)*(1+Projection!BL$16)*(1+IF(BJ144&gt;0,'Attrition Modeling'!$N$9,0)))</f>
        <v>0</v>
      </c>
      <c r="BK79" s="799">
        <f>BJ79*(1-IFERROR(IF(BK$69+$F79&lt;=12,SUMIFS('Attrition Modeling'!$D:$D,'Attrition Modeling'!$C:$C,'IP Attrition'!$D79,'Attrition Modeling'!$B:$B,'IP Attrition'!BK$68),VLOOKUP($F79+BK$2,$A$6:$C$106,2,FALSE)*VLOOKUP(BK$1,'Attrition Modeling'!$L$15:$N$27,IF(BK$2+$F12&lt;=24,2,3),FALSE)),$C$3)*(1+Projection!BM$16)*(1+IF(BK144&gt;0,'Attrition Modeling'!$N$9,0)))</f>
        <v>0</v>
      </c>
      <c r="BL79" s="799">
        <f>BK79*(1-IFERROR(IF(BL$69+$F79&lt;=12,SUMIFS('Attrition Modeling'!$D:$D,'Attrition Modeling'!$C:$C,'IP Attrition'!$D79,'Attrition Modeling'!$B:$B,'IP Attrition'!BL$68),VLOOKUP($F79+BL$2,$A$6:$C$106,2,FALSE)*VLOOKUP(BL$1,'Attrition Modeling'!$L$15:$N$27,IF(BL$2+$F12&lt;=24,2,3),FALSE)),$C$3)*(1+Projection!BN$16)*(1+IF(BL144&gt;0,'Attrition Modeling'!$N$9,0)))</f>
        <v>0</v>
      </c>
      <c r="BM79" s="799">
        <f>BL79*(1-IFERROR(IF(BM$69+$F79&lt;=12,SUMIFS('Attrition Modeling'!$D:$D,'Attrition Modeling'!$C:$C,'IP Attrition'!$D79,'Attrition Modeling'!$B:$B,'IP Attrition'!BM$68),VLOOKUP($F79+BM$2,$A$6:$C$106,2,FALSE)*VLOOKUP(BM$1,'Attrition Modeling'!$L$15:$N$27,IF(BM$2+$F12&lt;=24,2,3),FALSE)),$C$3)*(1+Projection!BO$16)*(1+IF(BM144&gt;0,'Attrition Modeling'!$N$9,0)))</f>
        <v>0</v>
      </c>
      <c r="BN79" s="799">
        <f>BM79*(1-IFERROR(IF(BN$69+$F79&lt;=12,SUMIFS('Attrition Modeling'!$D:$D,'Attrition Modeling'!$C:$C,'IP Attrition'!$D79,'Attrition Modeling'!$B:$B,'IP Attrition'!BN$68),VLOOKUP($F79+BN$2,$A$6:$C$106,2,FALSE)*VLOOKUP(BN$1,'Attrition Modeling'!$L$15:$N$27,IF(BN$2+$F12&lt;=24,2,3),FALSE)),$C$3)*(1+Projection!BP$16)*(1+IF(BN144&gt;0,'Attrition Modeling'!$N$9,0)))</f>
        <v>0</v>
      </c>
      <c r="BO79" s="799">
        <f>BN79*(1-IFERROR(IF(BO$69+$F79&lt;=12,SUMIFS('Attrition Modeling'!$D:$D,'Attrition Modeling'!$C:$C,'IP Attrition'!$D79,'Attrition Modeling'!$B:$B,'IP Attrition'!BO$68),VLOOKUP($F79+BO$2,$A$6:$C$106,2,FALSE)*VLOOKUP(BO$1,'Attrition Modeling'!$L$15:$N$27,IF(BO$2+$F12&lt;=24,2,3),FALSE)),$C$3)*(1+Projection!BV$16)*(1+IF(BO144&gt;0,'Attrition Modeling'!$N$9,0)))</f>
        <v>0</v>
      </c>
      <c r="BP79" s="799">
        <f>BO79*(1-IFERROR(IF(BP$69+$F79&lt;=12,SUMIFS('Attrition Modeling'!$D:$D,'Attrition Modeling'!$C:$C,'IP Attrition'!$D79,'Attrition Modeling'!$B:$B,'IP Attrition'!BP$68),VLOOKUP($F79+BP$2,$A$6:$C$106,2,FALSE)*VLOOKUP(BP$1,'Attrition Modeling'!$L$15:$N$27,IF(BP$2+$F12&lt;=24,2,3),FALSE)),$C$3)*(1+Projection!BW$16)*(1+IF(BP144&gt;0,'Attrition Modeling'!$N$9,0)))</f>
        <v>0</v>
      </c>
      <c r="BQ79" s="799">
        <f>BP79*(1-IFERROR(IF(BQ$69+$F79&lt;=12,SUMIFS('Attrition Modeling'!$D:$D,'Attrition Modeling'!$C:$C,'IP Attrition'!$D79,'Attrition Modeling'!$B:$B,'IP Attrition'!BQ$68),VLOOKUP($F79+BQ$2,$A$6:$C$106,2,FALSE)*VLOOKUP(BQ$1,'Attrition Modeling'!$L$15:$N$27,IF(BQ$2+$F12&lt;=24,2,3),FALSE)),$C$3)*(1+Projection!BX$16)*(1+IF(BQ144&gt;0,'Attrition Modeling'!$N$9,0)))</f>
        <v>0</v>
      </c>
      <c r="BR79" s="799">
        <f>BQ79*(1-IFERROR(IF(BR$69+$F79&lt;=12,SUMIFS('Attrition Modeling'!$D:$D,'Attrition Modeling'!$C:$C,'IP Attrition'!$D79,'Attrition Modeling'!$B:$B,'IP Attrition'!BR$68),VLOOKUP($F79+BR$2,$A$6:$C$106,2,FALSE)*VLOOKUP(BR$1,'Attrition Modeling'!$L$15:$N$27,IF(BR$2+$F12&lt;=24,2,3),FALSE)),$C$3)*(1+Projection!BY$16)*(1+IF(BR144&gt;0,'Attrition Modeling'!$N$9,0)))</f>
        <v>0</v>
      </c>
      <c r="BS79" s="799">
        <f>BR79*(1-IFERROR(IF(BS$69+$F79&lt;=12,SUMIFS('Attrition Modeling'!$D:$D,'Attrition Modeling'!$C:$C,'IP Attrition'!$D79,'Attrition Modeling'!$B:$B,'IP Attrition'!BS$68),VLOOKUP($F79+BS$2,$A$6:$C$106,2,FALSE)*VLOOKUP(BS$1,'Attrition Modeling'!$L$15:$N$27,IF(BS$2+$F12&lt;=24,2,3),FALSE)),$C$3)*(1+Projection!BZ$16)*(1+IF(BS144&gt;0,'Attrition Modeling'!$N$9,0)))</f>
        <v>0</v>
      </c>
      <c r="BT79" s="799" t="e">
        <f>BS79*(1-IFERROR(IF(BT$69+$F79&lt;=12,SUMIFS('Attrition Modeling'!$D:$D,'Attrition Modeling'!$C:$C,'IP Attrition'!$D79,'Attrition Modeling'!$B:$B,'IP Attrition'!BT$68),VLOOKUP($F79+BT$2,$A$6:$C$106,2,FALSE)*VLOOKUP(BT$1,'Attrition Modeling'!$L$15:$N$27,IF(BT$2+$F12&lt;=24,2,3),FALSE)),$C$3)*(1+Projection!CA$16)*(1+IF(BT144&gt;0,'Attrition Modeling'!$N$9,0)))</f>
        <v>#REF!</v>
      </c>
      <c r="BU79" s="799" t="e">
        <f>BT79*(1-IFERROR(IF(BU$69+$F79&lt;=12,SUMIFS('Attrition Modeling'!$D:$D,'Attrition Modeling'!$C:$C,'IP Attrition'!$D79,'Attrition Modeling'!$B:$B,'IP Attrition'!BU$68),VLOOKUP($F79+BU$2,$A$6:$C$106,2,FALSE)*VLOOKUP(BU$1,'Attrition Modeling'!$L$15:$N$27,IF(BU$2+$F12&lt;=24,2,3),FALSE)),$C$3)*(1+Projection!CB$16)*(1+IF(BU144&gt;0,'Attrition Modeling'!$N$9,0)))</f>
        <v>#REF!</v>
      </c>
    </row>
    <row r="80" spans="1:73" ht="14.25" customHeight="1" x14ac:dyDescent="0.2">
      <c r="A80" s="9">
        <v>73</v>
      </c>
      <c r="B80" s="25">
        <f>MAX('Attrition Modeling'!H77,$C$3)*(1-Summary!$C$20)</f>
        <v>2.0975974119330047E-2</v>
      </c>
      <c r="C80" s="24" t="e">
        <f t="shared" si="3"/>
        <v>#DIV/0!</v>
      </c>
      <c r="D80" s="11">
        <f t="shared" ref="D80:E80" si="18">D13</f>
        <v>-10</v>
      </c>
      <c r="E80" s="25">
        <f t="shared" si="18"/>
        <v>4.7318611987381704E-3</v>
      </c>
      <c r="F80" s="11">
        <f t="shared" si="9"/>
        <v>10</v>
      </c>
      <c r="G80" s="799">
        <f>Summary!$C$24*$E80</f>
        <v>0</v>
      </c>
      <c r="H80" s="799">
        <f>G80*(1-IFERROR(IF(H$69+$F80&lt;=12,SUMIFS('Attrition Modeling'!$D:$D,'Attrition Modeling'!$C:$C,'IP Attrition'!$D80,'Attrition Modeling'!$B:$B,'IP Attrition'!H$68),VLOOKUP($F80+H$2,$A$6:$C$106,2,FALSE)*VLOOKUP(H$1,'Attrition Modeling'!$L$15:$N$27,IF(H$2+$F13&lt;=24,2,3),FALSE)),$C$3)*(1+Projection!J$16)*(1+IF(H145&gt;0,'Attrition Modeling'!$N$9,0)))</f>
        <v>0</v>
      </c>
      <c r="I80" s="799">
        <f>H80*(1-IFERROR(IF(I$69+$F80&lt;=12,SUMIFS('Attrition Modeling'!$D:$D,'Attrition Modeling'!$C:$C,'IP Attrition'!$D80,'Attrition Modeling'!$B:$B,'IP Attrition'!I$68),VLOOKUP($F80+I$2,$A$6:$C$106,2,FALSE)*VLOOKUP(I$1,'Attrition Modeling'!$L$15:$N$27,IF(I$2+$F13&lt;=24,2,3),FALSE)),$C$3)*(1+Projection!K$16)*(1+IF(I145&gt;0,'Attrition Modeling'!$N$9,0)))</f>
        <v>0</v>
      </c>
      <c r="J80" s="799">
        <f>I80*(1-IFERROR(IF(J$69+$F80&lt;=12,SUMIFS('Attrition Modeling'!$D:$D,'Attrition Modeling'!$C:$C,'IP Attrition'!$D80,'Attrition Modeling'!$B:$B,'IP Attrition'!J$68),VLOOKUP($F80+J$2,$A$6:$C$106,2,FALSE)*VLOOKUP(J$1,'Attrition Modeling'!$L$15:$N$27,IF(J$2+$F13&lt;=24,2,3),FALSE)),$C$3)*(1+Projection!L$16)*(1+IF(J145&gt;0,'Attrition Modeling'!$N$9,0)))</f>
        <v>0</v>
      </c>
      <c r="K80" s="799">
        <f>J80*(1-IFERROR(IF(K$69+$F80&lt;=12,SUMIFS('Attrition Modeling'!$D:$D,'Attrition Modeling'!$C:$C,'IP Attrition'!$D80,'Attrition Modeling'!$B:$B,'IP Attrition'!K$68),VLOOKUP($F80+K$2,$A$6:$C$106,2,FALSE)*VLOOKUP(K$1,'Attrition Modeling'!$L$15:$N$27,IF(K$2+$F13&lt;=24,2,3),FALSE)),$C$3)*(1+Projection!M$16)*(1+IF(K145&gt;0,'Attrition Modeling'!$N$9,0)))</f>
        <v>0</v>
      </c>
      <c r="L80" s="799">
        <f>K80*(1-IFERROR(IF(L$69+$F80&lt;=12,SUMIFS('Attrition Modeling'!$D:$D,'Attrition Modeling'!$C:$C,'IP Attrition'!$D80,'Attrition Modeling'!$B:$B,'IP Attrition'!L$68),VLOOKUP($F80+L$2,$A$6:$C$106,2,FALSE)*VLOOKUP(L$1,'Attrition Modeling'!$L$15:$N$27,IF(L$2+$F13&lt;=24,2,3),FALSE)),$C$3)*(1+Projection!N$16)*(1+IF(L145&gt;0,'Attrition Modeling'!$N$9,0)))</f>
        <v>0</v>
      </c>
      <c r="M80" s="799">
        <f>L80*(1-IFERROR(IF(M$69+$F80&lt;=12,SUMIFS('Attrition Modeling'!$D:$D,'Attrition Modeling'!$C:$C,'IP Attrition'!$D80,'Attrition Modeling'!$B:$B,'IP Attrition'!M$68),VLOOKUP($F80+M$2,$A$6:$C$106,2,FALSE)*VLOOKUP(M$1,'Attrition Modeling'!$L$15:$N$27,IF(M$2+$F13&lt;=24,2,3),FALSE)),$C$3)*(1+Projection!O$16)*(1+IF(M145&gt;0,'Attrition Modeling'!$N$9,0)))</f>
        <v>0</v>
      </c>
      <c r="N80" s="799">
        <f>M80*(1-IFERROR(IF(N$69+$F80&lt;=12,SUMIFS('Attrition Modeling'!$D:$D,'Attrition Modeling'!$C:$C,'IP Attrition'!$D80,'Attrition Modeling'!$B:$B,'IP Attrition'!N$68),VLOOKUP($F80+N$2,$A$6:$C$106,2,FALSE)*VLOOKUP(N$1,'Attrition Modeling'!$L$15:$N$27,IF(N$2+$F13&lt;=24,2,3),FALSE)),$C$3)*(1+Projection!P$16)*(1+IF(N145&gt;0,'Attrition Modeling'!$N$9,0)))</f>
        <v>0</v>
      </c>
      <c r="O80" s="799">
        <f>N80*(1-IFERROR(IF(O$69+$F80&lt;=12,SUMIFS('Attrition Modeling'!$D:$D,'Attrition Modeling'!$C:$C,'IP Attrition'!$D80,'Attrition Modeling'!$B:$B,'IP Attrition'!O$68),VLOOKUP($F80+O$2,$A$6:$C$106,2,FALSE)*VLOOKUP(O$1,'Attrition Modeling'!$L$15:$N$27,IF(O$2+$F13&lt;=24,2,3),FALSE)),$C$3)*(1+Projection!Q$16)*(1+IF(O145&gt;0,'Attrition Modeling'!$N$9,0)))</f>
        <v>0</v>
      </c>
      <c r="P80" s="799">
        <f>O80*(1-IFERROR(IF(P$69+$F80&lt;=12,SUMIFS('Attrition Modeling'!$D:$D,'Attrition Modeling'!$C:$C,'IP Attrition'!$D80,'Attrition Modeling'!$B:$B,'IP Attrition'!P$68),VLOOKUP($F80+P$2,$A$6:$C$106,2,FALSE)*VLOOKUP(P$1,'Attrition Modeling'!$L$15:$N$27,IF(P$2+$F13&lt;=24,2,3),FALSE)),$C$3)*(1+Projection!R$16)*(1+IF(P145&gt;0,'Attrition Modeling'!$N$9,0)))</f>
        <v>0</v>
      </c>
      <c r="Q80" s="799">
        <f>P80*(1-IFERROR(IF(Q$69+$F80&lt;=12,SUMIFS('Attrition Modeling'!$D:$D,'Attrition Modeling'!$C:$C,'IP Attrition'!$D80,'Attrition Modeling'!$B:$B,'IP Attrition'!Q$68),VLOOKUP($F80+Q$2,$A$6:$C$106,2,FALSE)*VLOOKUP(Q$1,'Attrition Modeling'!$L$15:$N$27,IF(Q$2+$F13&lt;=24,2,3),FALSE)),$C$3)*(1+Projection!S$16)*(1+IF(Q145&gt;0,'Attrition Modeling'!$N$9,0)))</f>
        <v>0</v>
      </c>
      <c r="R80" s="799">
        <f>Q80*(1-IFERROR(IF(R$69+$F80&lt;=12,SUMIFS('Attrition Modeling'!$D:$D,'Attrition Modeling'!$C:$C,'IP Attrition'!$D80,'Attrition Modeling'!$B:$B,'IP Attrition'!R$68),VLOOKUP($F80+R$2,$A$6:$C$106,2,FALSE)*VLOOKUP(R$1,'Attrition Modeling'!$L$15:$N$27,IF(R$2+$F13&lt;=24,2,3),FALSE)),$C$3)*(1+Projection!T$16)*(1+IF(R145&gt;0,'Attrition Modeling'!$N$9,0)))</f>
        <v>0</v>
      </c>
      <c r="S80" s="799">
        <f>R80*(1-IFERROR(IF(S$69+$F80&lt;=12,SUMIFS('Attrition Modeling'!$D:$D,'Attrition Modeling'!$C:$C,'IP Attrition'!$D80,'Attrition Modeling'!$B:$B,'IP Attrition'!S$68),VLOOKUP($F80+S$2,$A$6:$C$106,2,FALSE)*VLOOKUP(S$1,'Attrition Modeling'!$L$15:$N$27,IF(S$2+$F13&lt;=24,2,3),FALSE)),$C$3)*(1+Projection!U$16)*(1+IF(S145&gt;0,'Attrition Modeling'!$N$9,0)))</f>
        <v>0</v>
      </c>
      <c r="T80" s="799">
        <f>S80*(1-IFERROR(IF(T$69+$F80&lt;=12,SUMIFS('Attrition Modeling'!$D:$D,'Attrition Modeling'!$C:$C,'IP Attrition'!$D80,'Attrition Modeling'!$B:$B,'IP Attrition'!T$68),VLOOKUP($F80+T$2,$A$6:$C$106,2,FALSE)*VLOOKUP(T$1,'Attrition Modeling'!$L$15:$N$27,IF(T$2+$F13&lt;=24,2,3),FALSE)),$C$3)*(1+Projection!V$16)*(1+IF(T145&gt;0,'Attrition Modeling'!$N$9,0)))</f>
        <v>0</v>
      </c>
      <c r="U80" s="799">
        <f>T80*(1-IFERROR(IF(U$69+$F80&lt;=12,SUMIFS('Attrition Modeling'!$D:$D,'Attrition Modeling'!$C:$C,'IP Attrition'!$D80,'Attrition Modeling'!$B:$B,'IP Attrition'!U$68),VLOOKUP($F80+U$2,$A$6:$C$106,2,FALSE)*VLOOKUP(U$1,'Attrition Modeling'!$L$15:$N$27,IF(U$2+$F13&lt;=24,2,3),FALSE)),$C$3)*(1+Projection!W$16)*(1+IF(U145&gt;0,'Attrition Modeling'!$N$9,0)))</f>
        <v>0</v>
      </c>
      <c r="V80" s="799">
        <f>U80*(1-IFERROR(IF(V$69+$F80&lt;=12,SUMIFS('Attrition Modeling'!$D:$D,'Attrition Modeling'!$C:$C,'IP Attrition'!$D80,'Attrition Modeling'!$B:$B,'IP Attrition'!V$68),VLOOKUP($F80+V$2,$A$6:$C$106,2,FALSE)*VLOOKUP(V$1,'Attrition Modeling'!$L$15:$N$27,IF(V$2+$F13&lt;=24,2,3),FALSE)),$C$3)*(1+Projection!X$16)*(1+IF(V145&gt;0,'Attrition Modeling'!$N$9,0)))</f>
        <v>0</v>
      </c>
      <c r="W80" s="799">
        <f>V80*(1-IFERROR(IF(W$69+$F80&lt;=12,SUMIFS('Attrition Modeling'!$D:$D,'Attrition Modeling'!$C:$C,'IP Attrition'!$D80,'Attrition Modeling'!$B:$B,'IP Attrition'!W$68),VLOOKUP($F80+W$2,$A$6:$C$106,2,FALSE)*VLOOKUP(W$1,'Attrition Modeling'!$L$15:$N$27,IF(W$2+$F13&lt;=24,2,3),FALSE)),$C$3)*(1+Projection!Y$16)*(1+IF(W145&gt;0,'Attrition Modeling'!$N$9,0)))</f>
        <v>0</v>
      </c>
      <c r="X80" s="799">
        <f>W80*(1-IFERROR(IF(X$69+$F80&lt;=12,SUMIFS('Attrition Modeling'!$D:$D,'Attrition Modeling'!$C:$C,'IP Attrition'!$D80,'Attrition Modeling'!$B:$B,'IP Attrition'!X$68),VLOOKUP($F80+X$2,$A$6:$C$106,2,FALSE)*VLOOKUP(X$1,'Attrition Modeling'!$L$15:$N$27,IF(X$2+$F13&lt;=24,2,3),FALSE)),$C$3)*(1+Projection!Z$16)*(1+IF(X145&gt;0,'Attrition Modeling'!$N$9,0)))</f>
        <v>0</v>
      </c>
      <c r="Y80" s="799">
        <f>X80*(1-IFERROR(IF(Y$69+$F80&lt;=12,SUMIFS('Attrition Modeling'!$D:$D,'Attrition Modeling'!$C:$C,'IP Attrition'!$D80,'Attrition Modeling'!$B:$B,'IP Attrition'!Y$68),VLOOKUP($F80+Y$2,$A$6:$C$106,2,FALSE)*VLOOKUP(Y$1,'Attrition Modeling'!$L$15:$N$27,IF(Y$2+$F13&lt;=24,2,3),FALSE)),$C$3)*(1+Projection!AA$16)*(1+IF(Y145&gt;0,'Attrition Modeling'!$N$9,0)))</f>
        <v>0</v>
      </c>
      <c r="Z80" s="799">
        <f>Y80*(1-IFERROR(IF(Z$69+$F80&lt;=12,SUMIFS('Attrition Modeling'!$D:$D,'Attrition Modeling'!$C:$C,'IP Attrition'!$D80,'Attrition Modeling'!$B:$B,'IP Attrition'!Z$68),VLOOKUP($F80+Z$2,$A$6:$C$106,2,FALSE)*VLOOKUP(Z$1,'Attrition Modeling'!$L$15:$N$27,IF(Z$2+$F13&lt;=24,2,3),FALSE)),$C$3)*(1+Projection!AB$16)*(1+IF(Z145&gt;0,'Attrition Modeling'!$N$9,0)))</f>
        <v>0</v>
      </c>
      <c r="AA80" s="799">
        <f>Z80*(1-IFERROR(IF(AA$69+$F80&lt;=12,SUMIFS('Attrition Modeling'!$D:$D,'Attrition Modeling'!$C:$C,'IP Attrition'!$D80,'Attrition Modeling'!$B:$B,'IP Attrition'!AA$68),VLOOKUP($F80+AA$2,$A$6:$C$106,2,FALSE)*VLOOKUP(AA$1,'Attrition Modeling'!$L$15:$N$27,IF(AA$2+$F13&lt;=24,2,3),FALSE)),$C$3)*(1+Projection!AC$16)*(1+IF(AA145&gt;0,'Attrition Modeling'!$N$9,0)))</f>
        <v>0</v>
      </c>
      <c r="AB80" s="799">
        <f>AA80*(1-IFERROR(IF(AB$69+$F80&lt;=12,SUMIFS('Attrition Modeling'!$D:$D,'Attrition Modeling'!$C:$C,'IP Attrition'!$D80,'Attrition Modeling'!$B:$B,'IP Attrition'!AB$68),VLOOKUP($F80+AB$2,$A$6:$C$106,2,FALSE)*VLOOKUP(AB$1,'Attrition Modeling'!$L$15:$N$27,IF(AB$2+$F13&lt;=24,2,3),FALSE)),$C$3)*(1+Projection!AD$16)*(1+IF(AB145&gt;0,'Attrition Modeling'!$N$9,0)))</f>
        <v>0</v>
      </c>
      <c r="AC80" s="799">
        <f>AB80*(1-IFERROR(IF(AC$69+$F80&lt;=12,SUMIFS('Attrition Modeling'!$D:$D,'Attrition Modeling'!$C:$C,'IP Attrition'!$D80,'Attrition Modeling'!$B:$B,'IP Attrition'!AC$68),VLOOKUP($F80+AC$2,$A$6:$C$106,2,FALSE)*VLOOKUP(AC$1,'Attrition Modeling'!$L$15:$N$27,IF(AC$2+$F13&lt;=24,2,3),FALSE)),$C$3)*(1+Projection!AE$16)*(1+IF(AC145&gt;0,'Attrition Modeling'!$N$9,0)))</f>
        <v>0</v>
      </c>
      <c r="AD80" s="799">
        <f>AC80*(1-IFERROR(IF(AD$69+$F80&lt;=12,SUMIFS('Attrition Modeling'!$D:$D,'Attrition Modeling'!$C:$C,'IP Attrition'!$D80,'Attrition Modeling'!$B:$B,'IP Attrition'!AD$68),VLOOKUP($F80+AD$2,$A$6:$C$106,2,FALSE)*VLOOKUP(AD$1,'Attrition Modeling'!$L$15:$N$27,IF(AD$2+$F13&lt;=24,2,3),FALSE)),$C$3)*(1+Projection!AF$16)*(1+IF(AD145&gt;0,'Attrition Modeling'!$N$9,0)))</f>
        <v>0</v>
      </c>
      <c r="AE80" s="799">
        <f>AD80*(1-IFERROR(IF(AE$69+$F80&lt;=12,SUMIFS('Attrition Modeling'!$D:$D,'Attrition Modeling'!$C:$C,'IP Attrition'!$D80,'Attrition Modeling'!$B:$B,'IP Attrition'!AE$68),VLOOKUP($F80+AE$2,$A$6:$C$106,2,FALSE)*VLOOKUP(AE$1,'Attrition Modeling'!$L$15:$N$27,IF(AE$2+$F13&lt;=24,2,3),FALSE)),$C$3)*(1+Projection!AG$16)*(1+IF(AE145&gt;0,'Attrition Modeling'!$N$9,0)))</f>
        <v>0</v>
      </c>
      <c r="AF80" s="799">
        <f>AE80*(1-IFERROR(IF(AF$69+$F80&lt;=12,SUMIFS('Attrition Modeling'!$D:$D,'Attrition Modeling'!$C:$C,'IP Attrition'!$D80,'Attrition Modeling'!$B:$B,'IP Attrition'!AF$68),VLOOKUP($F80+AF$2,$A$6:$C$106,2,FALSE)*VLOOKUP(AF$1,'Attrition Modeling'!$L$15:$N$27,IF(AF$2+$F13&lt;=24,2,3),FALSE)),$C$3)*(1+Projection!AH$16)*(1+IF(AF145&gt;0,'Attrition Modeling'!$N$9,0)))</f>
        <v>0</v>
      </c>
      <c r="AG80" s="799">
        <f>AF80*(1-IFERROR(IF(AG$69+$F80&lt;=12,SUMIFS('Attrition Modeling'!$D:$D,'Attrition Modeling'!$C:$C,'IP Attrition'!$D80,'Attrition Modeling'!$B:$B,'IP Attrition'!AG$68),VLOOKUP($F80+AG$2,$A$6:$C$106,2,FALSE)*VLOOKUP(AG$1,'Attrition Modeling'!$L$15:$N$27,IF(AG$2+$F13&lt;=24,2,3),FALSE)),$C$3)*(1+Projection!AI$16)*(1+IF(AG145&gt;0,'Attrition Modeling'!$N$9,0)))</f>
        <v>0</v>
      </c>
      <c r="AH80" s="799">
        <f>AG80*(1-IFERROR(IF(AH$69+$F80&lt;=12,SUMIFS('Attrition Modeling'!$D:$D,'Attrition Modeling'!$C:$C,'IP Attrition'!$D80,'Attrition Modeling'!$B:$B,'IP Attrition'!AH$68),VLOOKUP($F80+AH$2,$A$6:$C$106,2,FALSE)*VLOOKUP(AH$1,'Attrition Modeling'!$L$15:$N$27,IF(AH$2+$F13&lt;=24,2,3),FALSE)),$C$3)*(1+Projection!AJ$16)*(1+IF(AH145&gt;0,'Attrition Modeling'!$N$9,0)))</f>
        <v>0</v>
      </c>
      <c r="AI80" s="799">
        <f>AH80*(1-IFERROR(IF(AI$69+$F80&lt;=12,SUMIFS('Attrition Modeling'!$D:$D,'Attrition Modeling'!$C:$C,'IP Attrition'!$D80,'Attrition Modeling'!$B:$B,'IP Attrition'!AI$68),VLOOKUP($F80+AI$2,$A$6:$C$106,2,FALSE)*VLOOKUP(AI$1,'Attrition Modeling'!$L$15:$N$27,IF(AI$2+$F13&lt;=24,2,3),FALSE)),$C$3)*(1+Projection!AK$16)*(1+IF(AI145&gt;0,'Attrition Modeling'!$N$9,0)))</f>
        <v>0</v>
      </c>
      <c r="AJ80" s="799">
        <f>AI80*(1-IFERROR(IF(AJ$69+$F80&lt;=12,SUMIFS('Attrition Modeling'!$D:$D,'Attrition Modeling'!$C:$C,'IP Attrition'!$D80,'Attrition Modeling'!$B:$B,'IP Attrition'!AJ$68),VLOOKUP($F80+AJ$2,$A$6:$C$106,2,FALSE)*VLOOKUP(AJ$1,'Attrition Modeling'!$L$15:$N$27,IF(AJ$2+$F13&lt;=24,2,3),FALSE)),$C$3)*(1+Projection!AL$16)*(1+IF(AJ145&gt;0,'Attrition Modeling'!$N$9,0)))</f>
        <v>0</v>
      </c>
      <c r="AK80" s="799">
        <f>AJ80*(1-IFERROR(IF(AK$69+$F80&lt;=12,SUMIFS('Attrition Modeling'!$D:$D,'Attrition Modeling'!$C:$C,'IP Attrition'!$D80,'Attrition Modeling'!$B:$B,'IP Attrition'!AK$68),VLOOKUP($F80+AK$2,$A$6:$C$106,2,FALSE)*VLOOKUP(AK$1,'Attrition Modeling'!$L$15:$N$27,IF(AK$2+$F13&lt;=24,2,3),FALSE)),$C$3)*(1+Projection!AM$16)*(1+IF(AK145&gt;0,'Attrition Modeling'!$N$9,0)))</f>
        <v>0</v>
      </c>
      <c r="AL80" s="799">
        <f>AK80*(1-IFERROR(IF(AL$69+$F80&lt;=12,SUMIFS('Attrition Modeling'!$D:$D,'Attrition Modeling'!$C:$C,'IP Attrition'!$D80,'Attrition Modeling'!$B:$B,'IP Attrition'!AL$68),VLOOKUP($F80+AL$2,$A$6:$C$106,2,FALSE)*VLOOKUP(AL$1,'Attrition Modeling'!$L$15:$N$27,IF(AL$2+$F13&lt;=24,2,3),FALSE)),$C$3)*(1+Projection!AN$16)*(1+IF(AL145&gt;0,'Attrition Modeling'!$N$9,0)))</f>
        <v>0</v>
      </c>
      <c r="AM80" s="799">
        <f>AL80*(1-IFERROR(IF(AM$69+$F80&lt;=12,SUMIFS('Attrition Modeling'!$D:$D,'Attrition Modeling'!$C:$C,'IP Attrition'!$D80,'Attrition Modeling'!$B:$B,'IP Attrition'!AM$68),VLOOKUP($F80+AM$2,$A$6:$C$106,2,FALSE)*VLOOKUP(AM$1,'Attrition Modeling'!$L$15:$N$27,IF(AM$2+$F13&lt;=24,2,3),FALSE)),$C$3)*(1+Projection!AO$16)*(1+IF(AM145&gt;0,'Attrition Modeling'!$N$9,0)))</f>
        <v>0</v>
      </c>
      <c r="AN80" s="799">
        <f>AM80*(1-IFERROR(IF(AN$69+$F80&lt;=12,SUMIFS('Attrition Modeling'!$D:$D,'Attrition Modeling'!$C:$C,'IP Attrition'!$D80,'Attrition Modeling'!$B:$B,'IP Attrition'!AN$68),VLOOKUP($F80+AN$2,$A$6:$C$106,2,FALSE)*VLOOKUP(AN$1,'Attrition Modeling'!$L$15:$N$27,IF(AN$2+$F13&lt;=24,2,3),FALSE)),$C$3)*(1+Projection!AP$16)*(1+IF(AN145&gt;0,'Attrition Modeling'!$N$9,0)))</f>
        <v>0</v>
      </c>
      <c r="AO80" s="799">
        <f>AN80*(1-IFERROR(IF(AO$69+$F80&lt;=12,SUMIFS('Attrition Modeling'!$D:$D,'Attrition Modeling'!$C:$C,'IP Attrition'!$D80,'Attrition Modeling'!$B:$B,'IP Attrition'!AO$68),VLOOKUP($F80+AO$2,$A$6:$C$106,2,FALSE)*VLOOKUP(AO$1,'Attrition Modeling'!$L$15:$N$27,IF(AO$2+$F13&lt;=24,2,3),FALSE)),$C$3)*(1+Projection!AQ$16)*(1+IF(AO145&gt;0,'Attrition Modeling'!$N$9,0)))</f>
        <v>0</v>
      </c>
      <c r="AP80" s="799">
        <f>AO80*(1-IFERROR(IF(AP$69+$F80&lt;=12,SUMIFS('Attrition Modeling'!$D:$D,'Attrition Modeling'!$C:$C,'IP Attrition'!$D80,'Attrition Modeling'!$B:$B,'IP Attrition'!AP$68),VLOOKUP($F80+AP$2,$A$6:$C$106,2,FALSE)*VLOOKUP(AP$1,'Attrition Modeling'!$L$15:$N$27,IF(AP$2+$F13&lt;=24,2,3),FALSE)),$C$3)*(1+Projection!AR$16)*(1+IF(AP145&gt;0,'Attrition Modeling'!$N$9,0)))</f>
        <v>0</v>
      </c>
      <c r="AQ80" s="799">
        <f>AP80*(1-IFERROR(IF(AQ$69+$F80&lt;=12,SUMIFS('Attrition Modeling'!$D:$D,'Attrition Modeling'!$C:$C,'IP Attrition'!$D80,'Attrition Modeling'!$B:$B,'IP Attrition'!AQ$68),VLOOKUP($F80+AQ$2,$A$6:$C$106,2,FALSE)*VLOOKUP(AQ$1,'Attrition Modeling'!$L$15:$N$27,IF(AQ$2+$F13&lt;=24,2,3),FALSE)),$C$3)*(1+Projection!AS$16)*(1+IF(AQ145&gt;0,'Attrition Modeling'!$N$9,0)))</f>
        <v>0</v>
      </c>
      <c r="AR80" s="799">
        <f>AQ80*(1-IFERROR(IF(AR$69+$F80&lt;=12,SUMIFS('Attrition Modeling'!$D:$D,'Attrition Modeling'!$C:$C,'IP Attrition'!$D80,'Attrition Modeling'!$B:$B,'IP Attrition'!AR$68),VLOOKUP($F80+AR$2,$A$6:$C$106,2,FALSE)*VLOOKUP(AR$1,'Attrition Modeling'!$L$15:$N$27,IF(AR$2+$F13&lt;=24,2,3),FALSE)),$C$3)*(1+Projection!AT$16)*(1+IF(AR145&gt;0,'Attrition Modeling'!$N$9,0)))</f>
        <v>0</v>
      </c>
      <c r="AS80" s="799">
        <f>AR80*(1-IFERROR(IF(AS$69+$F80&lt;=12,SUMIFS('Attrition Modeling'!$D:$D,'Attrition Modeling'!$C:$C,'IP Attrition'!$D80,'Attrition Modeling'!$B:$B,'IP Attrition'!AS$68),VLOOKUP($F80+AS$2,$A$6:$C$106,2,FALSE)*VLOOKUP(AS$1,'Attrition Modeling'!$L$15:$N$27,IF(AS$2+$F13&lt;=24,2,3),FALSE)),$C$3)*(1+Projection!AU$16)*(1+IF(AS145&gt;0,'Attrition Modeling'!$N$9,0)))</f>
        <v>0</v>
      </c>
      <c r="AT80" s="799">
        <f>AS80*(1-IFERROR(IF(AT$69+$F80&lt;=12,SUMIFS('Attrition Modeling'!$D:$D,'Attrition Modeling'!$C:$C,'IP Attrition'!$D80,'Attrition Modeling'!$B:$B,'IP Attrition'!AT$68),VLOOKUP($F80+AT$2,$A$6:$C$106,2,FALSE)*VLOOKUP(AT$1,'Attrition Modeling'!$L$15:$N$27,IF(AT$2+$F13&lt;=24,2,3),FALSE)),$C$3)*(1+Projection!AV$16)*(1+IF(AT145&gt;0,'Attrition Modeling'!$N$9,0)))</f>
        <v>0</v>
      </c>
      <c r="AU80" s="799">
        <f>AT80*(1-IFERROR(IF(AU$69+$F80&lt;=12,SUMIFS('Attrition Modeling'!$D:$D,'Attrition Modeling'!$C:$C,'IP Attrition'!$D80,'Attrition Modeling'!$B:$B,'IP Attrition'!AU$68),VLOOKUP($F80+AU$2,$A$6:$C$106,2,FALSE)*VLOOKUP(AU$1,'Attrition Modeling'!$L$15:$N$27,IF(AU$2+$F13&lt;=24,2,3),FALSE)),$C$3)*(1+Projection!AW$16)*(1+IF(AU145&gt;0,'Attrition Modeling'!$N$9,0)))</f>
        <v>0</v>
      </c>
      <c r="AV80" s="799">
        <f>AU80*(1-IFERROR(IF(AV$69+$F80&lt;=12,SUMIFS('Attrition Modeling'!$D:$D,'Attrition Modeling'!$C:$C,'IP Attrition'!$D80,'Attrition Modeling'!$B:$B,'IP Attrition'!AV$68),VLOOKUP($F80+AV$2,$A$6:$C$106,2,FALSE)*VLOOKUP(AV$1,'Attrition Modeling'!$L$15:$N$27,IF(AV$2+$F13&lt;=24,2,3),FALSE)),$C$3)*(1+Projection!AX$16)*(1+IF(AV145&gt;0,'Attrition Modeling'!$N$9,0)))</f>
        <v>0</v>
      </c>
      <c r="AW80" s="799">
        <f>AV80*(1-IFERROR(IF(AW$69+$F80&lt;=12,SUMIFS('Attrition Modeling'!$D:$D,'Attrition Modeling'!$C:$C,'IP Attrition'!$D80,'Attrition Modeling'!$B:$B,'IP Attrition'!AW$68),VLOOKUP($F80+AW$2,$A$6:$C$106,2,FALSE)*VLOOKUP(AW$1,'Attrition Modeling'!$L$15:$N$27,IF(AW$2+$F13&lt;=24,2,3),FALSE)),$C$3)*(1+Projection!AY$16)*(1+IF(AW145&gt;0,'Attrition Modeling'!$N$9,0)))</f>
        <v>0</v>
      </c>
      <c r="AX80" s="799">
        <f>AW80*(1-IFERROR(IF(AX$69+$F80&lt;=12,SUMIFS('Attrition Modeling'!$D:$D,'Attrition Modeling'!$C:$C,'IP Attrition'!$D80,'Attrition Modeling'!$B:$B,'IP Attrition'!AX$68),VLOOKUP($F80+AX$2,$A$6:$C$106,2,FALSE)*VLOOKUP(AX$1,'Attrition Modeling'!$L$15:$N$27,IF(AX$2+$F13&lt;=24,2,3),FALSE)),$C$3)*(1+Projection!AZ$16)*(1+IF(AX145&gt;0,'Attrition Modeling'!$N$9,0)))</f>
        <v>0</v>
      </c>
      <c r="AY80" s="799">
        <f>AX80*(1-IFERROR(IF(AY$69+$F80&lt;=12,SUMIFS('Attrition Modeling'!$D:$D,'Attrition Modeling'!$C:$C,'IP Attrition'!$D80,'Attrition Modeling'!$B:$B,'IP Attrition'!AY$68),VLOOKUP($F80+AY$2,$A$6:$C$106,2,FALSE)*VLOOKUP(AY$1,'Attrition Modeling'!$L$15:$N$27,IF(AY$2+$F13&lt;=24,2,3),FALSE)),$C$3)*(1+Projection!BA$16)*(1+IF(AY145&gt;0,'Attrition Modeling'!$N$9,0)))</f>
        <v>0</v>
      </c>
      <c r="AZ80" s="799">
        <f>AY80*(1-IFERROR(IF(AZ$69+$F80&lt;=12,SUMIFS('Attrition Modeling'!$D:$D,'Attrition Modeling'!$C:$C,'IP Attrition'!$D80,'Attrition Modeling'!$B:$B,'IP Attrition'!AZ$68),VLOOKUP($F80+AZ$2,$A$6:$C$106,2,FALSE)*VLOOKUP(AZ$1,'Attrition Modeling'!$L$15:$N$27,IF(AZ$2+$F13&lt;=24,2,3),FALSE)),$C$3)*(1+Projection!BB$16)*(1+IF(AZ145&gt;0,'Attrition Modeling'!$N$9,0)))</f>
        <v>0</v>
      </c>
      <c r="BA80" s="799">
        <f>AZ80*(1-IFERROR(IF(BA$69+$F80&lt;=12,SUMIFS('Attrition Modeling'!$D:$D,'Attrition Modeling'!$C:$C,'IP Attrition'!$D80,'Attrition Modeling'!$B:$B,'IP Attrition'!BA$68),VLOOKUP($F80+BA$2,$A$6:$C$106,2,FALSE)*VLOOKUP(BA$1,'Attrition Modeling'!$L$15:$N$27,IF(BA$2+$F13&lt;=24,2,3),FALSE)),$C$3)*(1+Projection!BC$16)*(1+IF(BA145&gt;0,'Attrition Modeling'!$N$9,0)))</f>
        <v>0</v>
      </c>
      <c r="BB80" s="799">
        <f>BA80*(1-IFERROR(IF(BB$69+$F80&lt;=12,SUMIFS('Attrition Modeling'!$D:$D,'Attrition Modeling'!$C:$C,'IP Attrition'!$D80,'Attrition Modeling'!$B:$B,'IP Attrition'!BB$68),VLOOKUP($F80+BB$2,$A$6:$C$106,2,FALSE)*VLOOKUP(BB$1,'Attrition Modeling'!$L$15:$N$27,IF(BB$2+$F13&lt;=24,2,3),FALSE)),$C$3)*(1+Projection!BD$16)*(1+IF(BB145&gt;0,'Attrition Modeling'!$N$9,0)))</f>
        <v>0</v>
      </c>
      <c r="BC80" s="799">
        <f>BB80*(1-IFERROR(IF(BC$69+$F80&lt;=12,SUMIFS('Attrition Modeling'!$D:$D,'Attrition Modeling'!$C:$C,'IP Attrition'!$D80,'Attrition Modeling'!$B:$B,'IP Attrition'!BC$68),VLOOKUP($F80+BC$2,$A$6:$C$106,2,FALSE)*VLOOKUP(BC$1,'Attrition Modeling'!$L$15:$N$27,IF(BC$2+$F13&lt;=24,2,3),FALSE)),$C$3)*(1+Projection!BE$16)*(1+IF(BC145&gt;0,'Attrition Modeling'!$N$9,0)))</f>
        <v>0</v>
      </c>
      <c r="BD80" s="799">
        <f>BC80*(1-IFERROR(IF(BD$69+$F80&lt;=12,SUMIFS('Attrition Modeling'!$D:$D,'Attrition Modeling'!$C:$C,'IP Attrition'!$D80,'Attrition Modeling'!$B:$B,'IP Attrition'!BD$68),VLOOKUP($F80+BD$2,$A$6:$C$106,2,FALSE)*VLOOKUP(BD$1,'Attrition Modeling'!$L$15:$N$27,IF(BD$2+$F13&lt;=24,2,3),FALSE)),$C$3)*(1+Projection!BF$16)*(1+IF(BD145&gt;0,'Attrition Modeling'!$N$9,0)))</f>
        <v>0</v>
      </c>
      <c r="BE80" s="799">
        <f>BD80*(1-IFERROR(IF(BE$69+$F80&lt;=12,SUMIFS('Attrition Modeling'!$D:$D,'Attrition Modeling'!$C:$C,'IP Attrition'!$D80,'Attrition Modeling'!$B:$B,'IP Attrition'!BE$68),VLOOKUP($F80+BE$2,$A$6:$C$106,2,FALSE)*VLOOKUP(BE$1,'Attrition Modeling'!$L$15:$N$27,IF(BE$2+$F13&lt;=24,2,3),FALSE)),$C$3)*(1+Projection!BG$16)*(1+IF(BE145&gt;0,'Attrition Modeling'!$N$9,0)))</f>
        <v>0</v>
      </c>
      <c r="BF80" s="799">
        <f>BE80*(1-IFERROR(IF(BF$69+$F80&lt;=12,SUMIFS('Attrition Modeling'!$D:$D,'Attrition Modeling'!$C:$C,'IP Attrition'!$D80,'Attrition Modeling'!$B:$B,'IP Attrition'!BF$68),VLOOKUP($F80+BF$2,$A$6:$C$106,2,FALSE)*VLOOKUP(BF$1,'Attrition Modeling'!$L$15:$N$27,IF(BF$2+$F13&lt;=24,2,3),FALSE)),$C$3)*(1+Projection!BH$16)*(1+IF(BF145&gt;0,'Attrition Modeling'!$N$9,0)))</f>
        <v>0</v>
      </c>
      <c r="BG80" s="799">
        <f>BF80*(1-IFERROR(IF(BG$69+$F80&lt;=12,SUMIFS('Attrition Modeling'!$D:$D,'Attrition Modeling'!$C:$C,'IP Attrition'!$D80,'Attrition Modeling'!$B:$B,'IP Attrition'!BG$68),VLOOKUP($F80+BG$2,$A$6:$C$106,2,FALSE)*VLOOKUP(BG$1,'Attrition Modeling'!$L$15:$N$27,IF(BG$2+$F13&lt;=24,2,3),FALSE)),$C$3)*(1+Projection!BI$16)*(1+IF(BG145&gt;0,'Attrition Modeling'!$N$9,0)))</f>
        <v>0</v>
      </c>
      <c r="BH80" s="799">
        <f>BG80*(1-IFERROR(IF(BH$69+$F80&lt;=12,SUMIFS('Attrition Modeling'!$D:$D,'Attrition Modeling'!$C:$C,'IP Attrition'!$D80,'Attrition Modeling'!$B:$B,'IP Attrition'!BH$68),VLOOKUP($F80+BH$2,$A$6:$C$106,2,FALSE)*VLOOKUP(BH$1,'Attrition Modeling'!$L$15:$N$27,IF(BH$2+$F13&lt;=24,2,3),FALSE)),$C$3)*(1+Projection!BJ$16)*(1+IF(BH145&gt;0,'Attrition Modeling'!$N$9,0)))</f>
        <v>0</v>
      </c>
      <c r="BI80" s="799">
        <f>BH80*(1-IFERROR(IF(BI$69+$F80&lt;=12,SUMIFS('Attrition Modeling'!$D:$D,'Attrition Modeling'!$C:$C,'IP Attrition'!$D80,'Attrition Modeling'!$B:$B,'IP Attrition'!BI$68),VLOOKUP($F80+BI$2,$A$6:$C$106,2,FALSE)*VLOOKUP(BI$1,'Attrition Modeling'!$L$15:$N$27,IF(BI$2+$F13&lt;=24,2,3),FALSE)),$C$3)*(1+Projection!BK$16)*(1+IF(BI145&gt;0,'Attrition Modeling'!$N$9,0)))</f>
        <v>0</v>
      </c>
      <c r="BJ80" s="799">
        <f>BI80*(1-IFERROR(IF(BJ$69+$F80&lt;=12,SUMIFS('Attrition Modeling'!$D:$D,'Attrition Modeling'!$C:$C,'IP Attrition'!$D80,'Attrition Modeling'!$B:$B,'IP Attrition'!BJ$68),VLOOKUP($F80+BJ$2,$A$6:$C$106,2,FALSE)*VLOOKUP(BJ$1,'Attrition Modeling'!$L$15:$N$27,IF(BJ$2+$F13&lt;=24,2,3),FALSE)),$C$3)*(1+Projection!BL$16)*(1+IF(BJ145&gt;0,'Attrition Modeling'!$N$9,0)))</f>
        <v>0</v>
      </c>
      <c r="BK80" s="799">
        <f>BJ80*(1-IFERROR(IF(BK$69+$F80&lt;=12,SUMIFS('Attrition Modeling'!$D:$D,'Attrition Modeling'!$C:$C,'IP Attrition'!$D80,'Attrition Modeling'!$B:$B,'IP Attrition'!BK$68),VLOOKUP($F80+BK$2,$A$6:$C$106,2,FALSE)*VLOOKUP(BK$1,'Attrition Modeling'!$L$15:$N$27,IF(BK$2+$F13&lt;=24,2,3),FALSE)),$C$3)*(1+Projection!BM$16)*(1+IF(BK145&gt;0,'Attrition Modeling'!$N$9,0)))</f>
        <v>0</v>
      </c>
      <c r="BL80" s="799">
        <f>BK80*(1-IFERROR(IF(BL$69+$F80&lt;=12,SUMIFS('Attrition Modeling'!$D:$D,'Attrition Modeling'!$C:$C,'IP Attrition'!$D80,'Attrition Modeling'!$B:$B,'IP Attrition'!BL$68),VLOOKUP($F80+BL$2,$A$6:$C$106,2,FALSE)*VLOOKUP(BL$1,'Attrition Modeling'!$L$15:$N$27,IF(BL$2+$F13&lt;=24,2,3),FALSE)),$C$3)*(1+Projection!BN$16)*(1+IF(BL145&gt;0,'Attrition Modeling'!$N$9,0)))</f>
        <v>0</v>
      </c>
      <c r="BM80" s="799">
        <f>BL80*(1-IFERROR(IF(BM$69+$F80&lt;=12,SUMIFS('Attrition Modeling'!$D:$D,'Attrition Modeling'!$C:$C,'IP Attrition'!$D80,'Attrition Modeling'!$B:$B,'IP Attrition'!BM$68),VLOOKUP($F80+BM$2,$A$6:$C$106,2,FALSE)*VLOOKUP(BM$1,'Attrition Modeling'!$L$15:$N$27,IF(BM$2+$F13&lt;=24,2,3),FALSE)),$C$3)*(1+Projection!BO$16)*(1+IF(BM145&gt;0,'Attrition Modeling'!$N$9,0)))</f>
        <v>0</v>
      </c>
      <c r="BN80" s="799">
        <f>BM80*(1-IFERROR(IF(BN$69+$F80&lt;=12,SUMIFS('Attrition Modeling'!$D:$D,'Attrition Modeling'!$C:$C,'IP Attrition'!$D80,'Attrition Modeling'!$B:$B,'IP Attrition'!BN$68),VLOOKUP($F80+BN$2,$A$6:$C$106,2,FALSE)*VLOOKUP(BN$1,'Attrition Modeling'!$L$15:$N$27,IF(BN$2+$F13&lt;=24,2,3),FALSE)),$C$3)*(1+Projection!BP$16)*(1+IF(BN145&gt;0,'Attrition Modeling'!$N$9,0)))</f>
        <v>0</v>
      </c>
      <c r="BO80" s="799">
        <f>BN80*(1-IFERROR(IF(BO$69+$F80&lt;=12,SUMIFS('Attrition Modeling'!$D:$D,'Attrition Modeling'!$C:$C,'IP Attrition'!$D80,'Attrition Modeling'!$B:$B,'IP Attrition'!BO$68),VLOOKUP($F80+BO$2,$A$6:$C$106,2,FALSE)*VLOOKUP(BO$1,'Attrition Modeling'!$L$15:$N$27,IF(BO$2+$F13&lt;=24,2,3),FALSE)),$C$3)*(1+Projection!BV$16)*(1+IF(BO145&gt;0,'Attrition Modeling'!$N$9,0)))</f>
        <v>0</v>
      </c>
      <c r="BP80" s="799">
        <f>BO80*(1-IFERROR(IF(BP$69+$F80&lt;=12,SUMIFS('Attrition Modeling'!$D:$D,'Attrition Modeling'!$C:$C,'IP Attrition'!$D80,'Attrition Modeling'!$B:$B,'IP Attrition'!BP$68),VLOOKUP($F80+BP$2,$A$6:$C$106,2,FALSE)*VLOOKUP(BP$1,'Attrition Modeling'!$L$15:$N$27,IF(BP$2+$F13&lt;=24,2,3),FALSE)),$C$3)*(1+Projection!BW$16)*(1+IF(BP145&gt;0,'Attrition Modeling'!$N$9,0)))</f>
        <v>0</v>
      </c>
      <c r="BQ80" s="799">
        <f>BP80*(1-IFERROR(IF(BQ$69+$F80&lt;=12,SUMIFS('Attrition Modeling'!$D:$D,'Attrition Modeling'!$C:$C,'IP Attrition'!$D80,'Attrition Modeling'!$B:$B,'IP Attrition'!BQ$68),VLOOKUP($F80+BQ$2,$A$6:$C$106,2,FALSE)*VLOOKUP(BQ$1,'Attrition Modeling'!$L$15:$N$27,IF(BQ$2+$F13&lt;=24,2,3),FALSE)),$C$3)*(1+Projection!BX$16)*(1+IF(BQ145&gt;0,'Attrition Modeling'!$N$9,0)))</f>
        <v>0</v>
      </c>
      <c r="BR80" s="799">
        <f>BQ80*(1-IFERROR(IF(BR$69+$F80&lt;=12,SUMIFS('Attrition Modeling'!$D:$D,'Attrition Modeling'!$C:$C,'IP Attrition'!$D80,'Attrition Modeling'!$B:$B,'IP Attrition'!BR$68),VLOOKUP($F80+BR$2,$A$6:$C$106,2,FALSE)*VLOOKUP(BR$1,'Attrition Modeling'!$L$15:$N$27,IF(BR$2+$F13&lt;=24,2,3),FALSE)),$C$3)*(1+Projection!BY$16)*(1+IF(BR145&gt;0,'Attrition Modeling'!$N$9,0)))</f>
        <v>0</v>
      </c>
      <c r="BS80" s="799">
        <f>BR80*(1-IFERROR(IF(BS$69+$F80&lt;=12,SUMIFS('Attrition Modeling'!$D:$D,'Attrition Modeling'!$C:$C,'IP Attrition'!$D80,'Attrition Modeling'!$B:$B,'IP Attrition'!BS$68),VLOOKUP($F80+BS$2,$A$6:$C$106,2,FALSE)*VLOOKUP(BS$1,'Attrition Modeling'!$L$15:$N$27,IF(BS$2+$F13&lt;=24,2,3),FALSE)),$C$3)*(1+Projection!BZ$16)*(1+IF(BS145&gt;0,'Attrition Modeling'!$N$9,0)))</f>
        <v>0</v>
      </c>
      <c r="BT80" s="799" t="e">
        <f>BS80*(1-IFERROR(IF(BT$69+$F80&lt;=12,SUMIFS('Attrition Modeling'!$D:$D,'Attrition Modeling'!$C:$C,'IP Attrition'!$D80,'Attrition Modeling'!$B:$B,'IP Attrition'!BT$68),VLOOKUP($F80+BT$2,$A$6:$C$106,2,FALSE)*VLOOKUP(BT$1,'Attrition Modeling'!$L$15:$N$27,IF(BT$2+$F13&lt;=24,2,3),FALSE)),$C$3)*(1+Projection!CA$16)*(1+IF(BT145&gt;0,'Attrition Modeling'!$N$9,0)))</f>
        <v>#REF!</v>
      </c>
      <c r="BU80" s="799" t="e">
        <f>BT80*(1-IFERROR(IF(BU$69+$F80&lt;=12,SUMIFS('Attrition Modeling'!$D:$D,'Attrition Modeling'!$C:$C,'IP Attrition'!$D80,'Attrition Modeling'!$B:$B,'IP Attrition'!BU$68),VLOOKUP($F80+BU$2,$A$6:$C$106,2,FALSE)*VLOOKUP(BU$1,'Attrition Modeling'!$L$15:$N$27,IF(BU$2+$F13&lt;=24,2,3),FALSE)),$C$3)*(1+Projection!CB$16)*(1+IF(BU145&gt;0,'Attrition Modeling'!$N$9,0)))</f>
        <v>#REF!</v>
      </c>
    </row>
    <row r="81" spans="1:73" ht="14.25" customHeight="1" x14ac:dyDescent="0.2">
      <c r="A81" s="9">
        <v>74</v>
      </c>
      <c r="B81" s="25">
        <f>MAX('Attrition Modeling'!H78,$C$3)*(1-Summary!$C$20)</f>
        <v>2.079894825930189E-2</v>
      </c>
      <c r="C81" s="24" t="e">
        <f t="shared" si="3"/>
        <v>#DIV/0!</v>
      </c>
      <c r="D81" s="11">
        <f t="shared" ref="D81:E81" si="19">D14</f>
        <v>-11</v>
      </c>
      <c r="E81" s="25">
        <f t="shared" si="19"/>
        <v>0</v>
      </c>
      <c r="F81" s="11">
        <f t="shared" si="9"/>
        <v>11</v>
      </c>
      <c r="G81" s="799">
        <f>Summary!$C$24*$E81</f>
        <v>0</v>
      </c>
      <c r="H81" s="799">
        <f>G81*(1-IFERROR(IF(H$69+$F81&lt;=12,SUMIFS('Attrition Modeling'!$D:$D,'Attrition Modeling'!$C:$C,'IP Attrition'!$D81,'Attrition Modeling'!$B:$B,'IP Attrition'!H$68),VLOOKUP($F81+H$2,$A$6:$C$106,2,FALSE)*VLOOKUP(H$1,'Attrition Modeling'!$L$15:$N$27,IF(H$2+$F14&lt;=24,2,3),FALSE)),$C$3)*(1+Projection!J$16)*(1+IF(H146&gt;0,'Attrition Modeling'!$N$9,0)))</f>
        <v>0</v>
      </c>
      <c r="I81" s="799">
        <f>H81*(1-IFERROR(IF(I$69+$F81&lt;=12,SUMIFS('Attrition Modeling'!$D:$D,'Attrition Modeling'!$C:$C,'IP Attrition'!$D81,'Attrition Modeling'!$B:$B,'IP Attrition'!I$68),VLOOKUP($F81+I$2,$A$6:$C$106,2,FALSE)*VLOOKUP(I$1,'Attrition Modeling'!$L$15:$N$27,IF(I$2+$F14&lt;=24,2,3),FALSE)),$C$3)*(1+Projection!K$16)*(1+IF(I146&gt;0,'Attrition Modeling'!$N$9,0)))</f>
        <v>0</v>
      </c>
      <c r="J81" s="799">
        <f>I81*(1-IFERROR(IF(J$69+$F81&lt;=12,SUMIFS('Attrition Modeling'!$D:$D,'Attrition Modeling'!$C:$C,'IP Attrition'!$D81,'Attrition Modeling'!$B:$B,'IP Attrition'!J$68),VLOOKUP($F81+J$2,$A$6:$C$106,2,FALSE)*VLOOKUP(J$1,'Attrition Modeling'!$L$15:$N$27,IF(J$2+$F14&lt;=24,2,3),FALSE)),$C$3)*(1+Projection!L$16)*(1+IF(J146&gt;0,'Attrition Modeling'!$N$9,0)))</f>
        <v>0</v>
      </c>
      <c r="K81" s="799">
        <f>J81*(1-IFERROR(IF(K$69+$F81&lt;=12,SUMIFS('Attrition Modeling'!$D:$D,'Attrition Modeling'!$C:$C,'IP Attrition'!$D81,'Attrition Modeling'!$B:$B,'IP Attrition'!K$68),VLOOKUP($F81+K$2,$A$6:$C$106,2,FALSE)*VLOOKUP(K$1,'Attrition Modeling'!$L$15:$N$27,IF(K$2+$F14&lt;=24,2,3),FALSE)),$C$3)*(1+Projection!M$16)*(1+IF(K146&gt;0,'Attrition Modeling'!$N$9,0)))</f>
        <v>0</v>
      </c>
      <c r="L81" s="799">
        <f>K81*(1-IFERROR(IF(L$69+$F81&lt;=12,SUMIFS('Attrition Modeling'!$D:$D,'Attrition Modeling'!$C:$C,'IP Attrition'!$D81,'Attrition Modeling'!$B:$B,'IP Attrition'!L$68),VLOOKUP($F81+L$2,$A$6:$C$106,2,FALSE)*VLOOKUP(L$1,'Attrition Modeling'!$L$15:$N$27,IF(L$2+$F14&lt;=24,2,3),FALSE)),$C$3)*(1+Projection!N$16)*(1+IF(L146&gt;0,'Attrition Modeling'!$N$9,0)))</f>
        <v>0</v>
      </c>
      <c r="M81" s="799">
        <f>L81*(1-IFERROR(IF(M$69+$F81&lt;=12,SUMIFS('Attrition Modeling'!$D:$D,'Attrition Modeling'!$C:$C,'IP Attrition'!$D81,'Attrition Modeling'!$B:$B,'IP Attrition'!M$68),VLOOKUP($F81+M$2,$A$6:$C$106,2,FALSE)*VLOOKUP(M$1,'Attrition Modeling'!$L$15:$N$27,IF(M$2+$F14&lt;=24,2,3),FALSE)),$C$3)*(1+Projection!O$16)*(1+IF(M146&gt;0,'Attrition Modeling'!$N$9,0)))</f>
        <v>0</v>
      </c>
      <c r="N81" s="799">
        <f>M81*(1-IFERROR(IF(N$69+$F81&lt;=12,SUMIFS('Attrition Modeling'!$D:$D,'Attrition Modeling'!$C:$C,'IP Attrition'!$D81,'Attrition Modeling'!$B:$B,'IP Attrition'!N$68),VLOOKUP($F81+N$2,$A$6:$C$106,2,FALSE)*VLOOKUP(N$1,'Attrition Modeling'!$L$15:$N$27,IF(N$2+$F14&lt;=24,2,3),FALSE)),$C$3)*(1+Projection!P$16)*(1+IF(N146&gt;0,'Attrition Modeling'!$N$9,0)))</f>
        <v>0</v>
      </c>
      <c r="O81" s="799">
        <f>N81*(1-IFERROR(IF(O$69+$F81&lt;=12,SUMIFS('Attrition Modeling'!$D:$D,'Attrition Modeling'!$C:$C,'IP Attrition'!$D81,'Attrition Modeling'!$B:$B,'IP Attrition'!O$68),VLOOKUP($F81+O$2,$A$6:$C$106,2,FALSE)*VLOOKUP(O$1,'Attrition Modeling'!$L$15:$N$27,IF(O$2+$F14&lt;=24,2,3),FALSE)),$C$3)*(1+Projection!Q$16)*(1+IF(O146&gt;0,'Attrition Modeling'!$N$9,0)))</f>
        <v>0</v>
      </c>
      <c r="P81" s="799">
        <f>O81*(1-IFERROR(IF(P$69+$F81&lt;=12,SUMIFS('Attrition Modeling'!$D:$D,'Attrition Modeling'!$C:$C,'IP Attrition'!$D81,'Attrition Modeling'!$B:$B,'IP Attrition'!P$68),VLOOKUP($F81+P$2,$A$6:$C$106,2,FALSE)*VLOOKUP(P$1,'Attrition Modeling'!$L$15:$N$27,IF(P$2+$F14&lt;=24,2,3),FALSE)),$C$3)*(1+Projection!R$16)*(1+IF(P146&gt;0,'Attrition Modeling'!$N$9,0)))</f>
        <v>0</v>
      </c>
      <c r="Q81" s="799">
        <f>P81*(1-IFERROR(IF(Q$69+$F81&lt;=12,SUMIFS('Attrition Modeling'!$D:$D,'Attrition Modeling'!$C:$C,'IP Attrition'!$D81,'Attrition Modeling'!$B:$B,'IP Attrition'!Q$68),VLOOKUP($F81+Q$2,$A$6:$C$106,2,FALSE)*VLOOKUP(Q$1,'Attrition Modeling'!$L$15:$N$27,IF(Q$2+$F14&lt;=24,2,3),FALSE)),$C$3)*(1+Projection!S$16)*(1+IF(Q146&gt;0,'Attrition Modeling'!$N$9,0)))</f>
        <v>0</v>
      </c>
      <c r="R81" s="799">
        <f>Q81*(1-IFERROR(IF(R$69+$F81&lt;=12,SUMIFS('Attrition Modeling'!$D:$D,'Attrition Modeling'!$C:$C,'IP Attrition'!$D81,'Attrition Modeling'!$B:$B,'IP Attrition'!R$68),VLOOKUP($F81+R$2,$A$6:$C$106,2,FALSE)*VLOOKUP(R$1,'Attrition Modeling'!$L$15:$N$27,IF(R$2+$F14&lt;=24,2,3),FALSE)),$C$3)*(1+Projection!T$16)*(1+IF(R146&gt;0,'Attrition Modeling'!$N$9,0)))</f>
        <v>0</v>
      </c>
      <c r="S81" s="799">
        <f>R81*(1-IFERROR(IF(S$69+$F81&lt;=12,SUMIFS('Attrition Modeling'!$D:$D,'Attrition Modeling'!$C:$C,'IP Attrition'!$D81,'Attrition Modeling'!$B:$B,'IP Attrition'!S$68),VLOOKUP($F81+S$2,$A$6:$C$106,2,FALSE)*VLOOKUP(S$1,'Attrition Modeling'!$L$15:$N$27,IF(S$2+$F14&lt;=24,2,3),FALSE)),$C$3)*(1+Projection!U$16)*(1+IF(S146&gt;0,'Attrition Modeling'!$N$9,0)))</f>
        <v>0</v>
      </c>
      <c r="T81" s="799">
        <f>S81*(1-IFERROR(IF(T$69+$F81&lt;=12,SUMIFS('Attrition Modeling'!$D:$D,'Attrition Modeling'!$C:$C,'IP Attrition'!$D81,'Attrition Modeling'!$B:$B,'IP Attrition'!T$68),VLOOKUP($F81+T$2,$A$6:$C$106,2,FALSE)*VLOOKUP(T$1,'Attrition Modeling'!$L$15:$N$27,IF(T$2+$F14&lt;=24,2,3),FALSE)),$C$3)*(1+Projection!V$16)*(1+IF(T146&gt;0,'Attrition Modeling'!$N$9,0)))</f>
        <v>0</v>
      </c>
      <c r="U81" s="799">
        <f>T81*(1-IFERROR(IF(U$69+$F81&lt;=12,SUMIFS('Attrition Modeling'!$D:$D,'Attrition Modeling'!$C:$C,'IP Attrition'!$D81,'Attrition Modeling'!$B:$B,'IP Attrition'!U$68),VLOOKUP($F81+U$2,$A$6:$C$106,2,FALSE)*VLOOKUP(U$1,'Attrition Modeling'!$L$15:$N$27,IF(U$2+$F14&lt;=24,2,3),FALSE)),$C$3)*(1+Projection!W$16)*(1+IF(U146&gt;0,'Attrition Modeling'!$N$9,0)))</f>
        <v>0</v>
      </c>
      <c r="V81" s="799">
        <f>U81*(1-IFERROR(IF(V$69+$F81&lt;=12,SUMIFS('Attrition Modeling'!$D:$D,'Attrition Modeling'!$C:$C,'IP Attrition'!$D81,'Attrition Modeling'!$B:$B,'IP Attrition'!V$68),VLOOKUP($F81+V$2,$A$6:$C$106,2,FALSE)*VLOOKUP(V$1,'Attrition Modeling'!$L$15:$N$27,IF(V$2+$F14&lt;=24,2,3),FALSE)),$C$3)*(1+Projection!X$16)*(1+IF(V146&gt;0,'Attrition Modeling'!$N$9,0)))</f>
        <v>0</v>
      </c>
      <c r="W81" s="799">
        <f>V81*(1-IFERROR(IF(W$69+$F81&lt;=12,SUMIFS('Attrition Modeling'!$D:$D,'Attrition Modeling'!$C:$C,'IP Attrition'!$D81,'Attrition Modeling'!$B:$B,'IP Attrition'!W$68),VLOOKUP($F81+W$2,$A$6:$C$106,2,FALSE)*VLOOKUP(W$1,'Attrition Modeling'!$L$15:$N$27,IF(W$2+$F14&lt;=24,2,3),FALSE)),$C$3)*(1+Projection!Y$16)*(1+IF(W146&gt;0,'Attrition Modeling'!$N$9,0)))</f>
        <v>0</v>
      </c>
      <c r="X81" s="799">
        <f>W81*(1-IFERROR(IF(X$69+$F81&lt;=12,SUMIFS('Attrition Modeling'!$D:$D,'Attrition Modeling'!$C:$C,'IP Attrition'!$D81,'Attrition Modeling'!$B:$B,'IP Attrition'!X$68),VLOOKUP($F81+X$2,$A$6:$C$106,2,FALSE)*VLOOKUP(X$1,'Attrition Modeling'!$L$15:$N$27,IF(X$2+$F14&lt;=24,2,3),FALSE)),$C$3)*(1+Projection!Z$16)*(1+IF(X146&gt;0,'Attrition Modeling'!$N$9,0)))</f>
        <v>0</v>
      </c>
      <c r="Y81" s="799">
        <f>X81*(1-IFERROR(IF(Y$69+$F81&lt;=12,SUMIFS('Attrition Modeling'!$D:$D,'Attrition Modeling'!$C:$C,'IP Attrition'!$D81,'Attrition Modeling'!$B:$B,'IP Attrition'!Y$68),VLOOKUP($F81+Y$2,$A$6:$C$106,2,FALSE)*VLOOKUP(Y$1,'Attrition Modeling'!$L$15:$N$27,IF(Y$2+$F14&lt;=24,2,3),FALSE)),$C$3)*(1+Projection!AA$16)*(1+IF(Y146&gt;0,'Attrition Modeling'!$N$9,0)))</f>
        <v>0</v>
      </c>
      <c r="Z81" s="799">
        <f>Y81*(1-IFERROR(IF(Z$69+$F81&lt;=12,SUMIFS('Attrition Modeling'!$D:$D,'Attrition Modeling'!$C:$C,'IP Attrition'!$D81,'Attrition Modeling'!$B:$B,'IP Attrition'!Z$68),VLOOKUP($F81+Z$2,$A$6:$C$106,2,FALSE)*VLOOKUP(Z$1,'Attrition Modeling'!$L$15:$N$27,IF(Z$2+$F14&lt;=24,2,3),FALSE)),$C$3)*(1+Projection!AB$16)*(1+IF(Z146&gt;0,'Attrition Modeling'!$N$9,0)))</f>
        <v>0</v>
      </c>
      <c r="AA81" s="799">
        <f>Z81*(1-IFERROR(IF(AA$69+$F81&lt;=12,SUMIFS('Attrition Modeling'!$D:$D,'Attrition Modeling'!$C:$C,'IP Attrition'!$D81,'Attrition Modeling'!$B:$B,'IP Attrition'!AA$68),VLOOKUP($F81+AA$2,$A$6:$C$106,2,FALSE)*VLOOKUP(AA$1,'Attrition Modeling'!$L$15:$N$27,IF(AA$2+$F14&lt;=24,2,3),FALSE)),$C$3)*(1+Projection!AC$16)*(1+IF(AA146&gt;0,'Attrition Modeling'!$N$9,0)))</f>
        <v>0</v>
      </c>
      <c r="AB81" s="799">
        <f>AA81*(1-IFERROR(IF(AB$69+$F81&lt;=12,SUMIFS('Attrition Modeling'!$D:$D,'Attrition Modeling'!$C:$C,'IP Attrition'!$D81,'Attrition Modeling'!$B:$B,'IP Attrition'!AB$68),VLOOKUP($F81+AB$2,$A$6:$C$106,2,FALSE)*VLOOKUP(AB$1,'Attrition Modeling'!$L$15:$N$27,IF(AB$2+$F14&lt;=24,2,3),FALSE)),$C$3)*(1+Projection!AD$16)*(1+IF(AB146&gt;0,'Attrition Modeling'!$N$9,0)))</f>
        <v>0</v>
      </c>
      <c r="AC81" s="799">
        <f>AB81*(1-IFERROR(IF(AC$69+$F81&lt;=12,SUMIFS('Attrition Modeling'!$D:$D,'Attrition Modeling'!$C:$C,'IP Attrition'!$D81,'Attrition Modeling'!$B:$B,'IP Attrition'!AC$68),VLOOKUP($F81+AC$2,$A$6:$C$106,2,FALSE)*VLOOKUP(AC$1,'Attrition Modeling'!$L$15:$N$27,IF(AC$2+$F14&lt;=24,2,3),FALSE)),$C$3)*(1+Projection!AE$16)*(1+IF(AC146&gt;0,'Attrition Modeling'!$N$9,0)))</f>
        <v>0</v>
      </c>
      <c r="AD81" s="799">
        <f>AC81*(1-IFERROR(IF(AD$69+$F81&lt;=12,SUMIFS('Attrition Modeling'!$D:$D,'Attrition Modeling'!$C:$C,'IP Attrition'!$D81,'Attrition Modeling'!$B:$B,'IP Attrition'!AD$68),VLOOKUP($F81+AD$2,$A$6:$C$106,2,FALSE)*VLOOKUP(AD$1,'Attrition Modeling'!$L$15:$N$27,IF(AD$2+$F14&lt;=24,2,3),FALSE)),$C$3)*(1+Projection!AF$16)*(1+IF(AD146&gt;0,'Attrition Modeling'!$N$9,0)))</f>
        <v>0</v>
      </c>
      <c r="AE81" s="799">
        <f>AD81*(1-IFERROR(IF(AE$69+$F81&lt;=12,SUMIFS('Attrition Modeling'!$D:$D,'Attrition Modeling'!$C:$C,'IP Attrition'!$D81,'Attrition Modeling'!$B:$B,'IP Attrition'!AE$68),VLOOKUP($F81+AE$2,$A$6:$C$106,2,FALSE)*VLOOKUP(AE$1,'Attrition Modeling'!$L$15:$N$27,IF(AE$2+$F14&lt;=24,2,3),FALSE)),$C$3)*(1+Projection!AG$16)*(1+IF(AE146&gt;0,'Attrition Modeling'!$N$9,0)))</f>
        <v>0</v>
      </c>
      <c r="AF81" s="799">
        <f>AE81*(1-IFERROR(IF(AF$69+$F81&lt;=12,SUMIFS('Attrition Modeling'!$D:$D,'Attrition Modeling'!$C:$C,'IP Attrition'!$D81,'Attrition Modeling'!$B:$B,'IP Attrition'!AF$68),VLOOKUP($F81+AF$2,$A$6:$C$106,2,FALSE)*VLOOKUP(AF$1,'Attrition Modeling'!$L$15:$N$27,IF(AF$2+$F14&lt;=24,2,3),FALSE)),$C$3)*(1+Projection!AH$16)*(1+IF(AF146&gt;0,'Attrition Modeling'!$N$9,0)))</f>
        <v>0</v>
      </c>
      <c r="AG81" s="799">
        <f>AF81*(1-IFERROR(IF(AG$69+$F81&lt;=12,SUMIFS('Attrition Modeling'!$D:$D,'Attrition Modeling'!$C:$C,'IP Attrition'!$D81,'Attrition Modeling'!$B:$B,'IP Attrition'!AG$68),VLOOKUP($F81+AG$2,$A$6:$C$106,2,FALSE)*VLOOKUP(AG$1,'Attrition Modeling'!$L$15:$N$27,IF(AG$2+$F14&lt;=24,2,3),FALSE)),$C$3)*(1+Projection!AI$16)*(1+IF(AG146&gt;0,'Attrition Modeling'!$N$9,0)))</f>
        <v>0</v>
      </c>
      <c r="AH81" s="799">
        <f>AG81*(1-IFERROR(IF(AH$69+$F81&lt;=12,SUMIFS('Attrition Modeling'!$D:$D,'Attrition Modeling'!$C:$C,'IP Attrition'!$D81,'Attrition Modeling'!$B:$B,'IP Attrition'!AH$68),VLOOKUP($F81+AH$2,$A$6:$C$106,2,FALSE)*VLOOKUP(AH$1,'Attrition Modeling'!$L$15:$N$27,IF(AH$2+$F14&lt;=24,2,3),FALSE)),$C$3)*(1+Projection!AJ$16)*(1+IF(AH146&gt;0,'Attrition Modeling'!$N$9,0)))</f>
        <v>0</v>
      </c>
      <c r="AI81" s="799">
        <f>AH81*(1-IFERROR(IF(AI$69+$F81&lt;=12,SUMIFS('Attrition Modeling'!$D:$D,'Attrition Modeling'!$C:$C,'IP Attrition'!$D81,'Attrition Modeling'!$B:$B,'IP Attrition'!AI$68),VLOOKUP($F81+AI$2,$A$6:$C$106,2,FALSE)*VLOOKUP(AI$1,'Attrition Modeling'!$L$15:$N$27,IF(AI$2+$F14&lt;=24,2,3),FALSE)),$C$3)*(1+Projection!AK$16)*(1+IF(AI146&gt;0,'Attrition Modeling'!$N$9,0)))</f>
        <v>0</v>
      </c>
      <c r="AJ81" s="799">
        <f>AI81*(1-IFERROR(IF(AJ$69+$F81&lt;=12,SUMIFS('Attrition Modeling'!$D:$D,'Attrition Modeling'!$C:$C,'IP Attrition'!$D81,'Attrition Modeling'!$B:$B,'IP Attrition'!AJ$68),VLOOKUP($F81+AJ$2,$A$6:$C$106,2,FALSE)*VLOOKUP(AJ$1,'Attrition Modeling'!$L$15:$N$27,IF(AJ$2+$F14&lt;=24,2,3),FALSE)),$C$3)*(1+Projection!AL$16)*(1+IF(AJ146&gt;0,'Attrition Modeling'!$N$9,0)))</f>
        <v>0</v>
      </c>
      <c r="AK81" s="799">
        <f>AJ81*(1-IFERROR(IF(AK$69+$F81&lt;=12,SUMIFS('Attrition Modeling'!$D:$D,'Attrition Modeling'!$C:$C,'IP Attrition'!$D81,'Attrition Modeling'!$B:$B,'IP Attrition'!AK$68),VLOOKUP($F81+AK$2,$A$6:$C$106,2,FALSE)*VLOOKUP(AK$1,'Attrition Modeling'!$L$15:$N$27,IF(AK$2+$F14&lt;=24,2,3),FALSE)),$C$3)*(1+Projection!AM$16)*(1+IF(AK146&gt;0,'Attrition Modeling'!$N$9,0)))</f>
        <v>0</v>
      </c>
      <c r="AL81" s="799">
        <f>AK81*(1-IFERROR(IF(AL$69+$F81&lt;=12,SUMIFS('Attrition Modeling'!$D:$D,'Attrition Modeling'!$C:$C,'IP Attrition'!$D81,'Attrition Modeling'!$B:$B,'IP Attrition'!AL$68),VLOOKUP($F81+AL$2,$A$6:$C$106,2,FALSE)*VLOOKUP(AL$1,'Attrition Modeling'!$L$15:$N$27,IF(AL$2+$F14&lt;=24,2,3),FALSE)),$C$3)*(1+Projection!AN$16)*(1+IF(AL146&gt;0,'Attrition Modeling'!$N$9,0)))</f>
        <v>0</v>
      </c>
      <c r="AM81" s="799">
        <f>AL81*(1-IFERROR(IF(AM$69+$F81&lt;=12,SUMIFS('Attrition Modeling'!$D:$D,'Attrition Modeling'!$C:$C,'IP Attrition'!$D81,'Attrition Modeling'!$B:$B,'IP Attrition'!AM$68),VLOOKUP($F81+AM$2,$A$6:$C$106,2,FALSE)*VLOOKUP(AM$1,'Attrition Modeling'!$L$15:$N$27,IF(AM$2+$F14&lt;=24,2,3),FALSE)),$C$3)*(1+Projection!AO$16)*(1+IF(AM146&gt;0,'Attrition Modeling'!$N$9,0)))</f>
        <v>0</v>
      </c>
      <c r="AN81" s="799">
        <f>AM81*(1-IFERROR(IF(AN$69+$F81&lt;=12,SUMIFS('Attrition Modeling'!$D:$D,'Attrition Modeling'!$C:$C,'IP Attrition'!$D81,'Attrition Modeling'!$B:$B,'IP Attrition'!AN$68),VLOOKUP($F81+AN$2,$A$6:$C$106,2,FALSE)*VLOOKUP(AN$1,'Attrition Modeling'!$L$15:$N$27,IF(AN$2+$F14&lt;=24,2,3),FALSE)),$C$3)*(1+Projection!AP$16)*(1+IF(AN146&gt;0,'Attrition Modeling'!$N$9,0)))</f>
        <v>0</v>
      </c>
      <c r="AO81" s="799">
        <f>AN81*(1-IFERROR(IF(AO$69+$F81&lt;=12,SUMIFS('Attrition Modeling'!$D:$D,'Attrition Modeling'!$C:$C,'IP Attrition'!$D81,'Attrition Modeling'!$B:$B,'IP Attrition'!AO$68),VLOOKUP($F81+AO$2,$A$6:$C$106,2,FALSE)*VLOOKUP(AO$1,'Attrition Modeling'!$L$15:$N$27,IF(AO$2+$F14&lt;=24,2,3),FALSE)),$C$3)*(1+Projection!AQ$16)*(1+IF(AO146&gt;0,'Attrition Modeling'!$N$9,0)))</f>
        <v>0</v>
      </c>
      <c r="AP81" s="799">
        <f>AO81*(1-IFERROR(IF(AP$69+$F81&lt;=12,SUMIFS('Attrition Modeling'!$D:$D,'Attrition Modeling'!$C:$C,'IP Attrition'!$D81,'Attrition Modeling'!$B:$B,'IP Attrition'!AP$68),VLOOKUP($F81+AP$2,$A$6:$C$106,2,FALSE)*VLOOKUP(AP$1,'Attrition Modeling'!$L$15:$N$27,IF(AP$2+$F14&lt;=24,2,3),FALSE)),$C$3)*(1+Projection!AR$16)*(1+IF(AP146&gt;0,'Attrition Modeling'!$N$9,0)))</f>
        <v>0</v>
      </c>
      <c r="AQ81" s="799">
        <f>AP81*(1-IFERROR(IF(AQ$69+$F81&lt;=12,SUMIFS('Attrition Modeling'!$D:$D,'Attrition Modeling'!$C:$C,'IP Attrition'!$D81,'Attrition Modeling'!$B:$B,'IP Attrition'!AQ$68),VLOOKUP($F81+AQ$2,$A$6:$C$106,2,FALSE)*VLOOKUP(AQ$1,'Attrition Modeling'!$L$15:$N$27,IF(AQ$2+$F14&lt;=24,2,3),FALSE)),$C$3)*(1+Projection!AS$16)*(1+IF(AQ146&gt;0,'Attrition Modeling'!$N$9,0)))</f>
        <v>0</v>
      </c>
      <c r="AR81" s="799">
        <f>AQ81*(1-IFERROR(IF(AR$69+$F81&lt;=12,SUMIFS('Attrition Modeling'!$D:$D,'Attrition Modeling'!$C:$C,'IP Attrition'!$D81,'Attrition Modeling'!$B:$B,'IP Attrition'!AR$68),VLOOKUP($F81+AR$2,$A$6:$C$106,2,FALSE)*VLOOKUP(AR$1,'Attrition Modeling'!$L$15:$N$27,IF(AR$2+$F14&lt;=24,2,3),FALSE)),$C$3)*(1+Projection!AT$16)*(1+IF(AR146&gt;0,'Attrition Modeling'!$N$9,0)))</f>
        <v>0</v>
      </c>
      <c r="AS81" s="799">
        <f>AR81*(1-IFERROR(IF(AS$69+$F81&lt;=12,SUMIFS('Attrition Modeling'!$D:$D,'Attrition Modeling'!$C:$C,'IP Attrition'!$D81,'Attrition Modeling'!$B:$B,'IP Attrition'!AS$68),VLOOKUP($F81+AS$2,$A$6:$C$106,2,FALSE)*VLOOKUP(AS$1,'Attrition Modeling'!$L$15:$N$27,IF(AS$2+$F14&lt;=24,2,3),FALSE)),$C$3)*(1+Projection!AU$16)*(1+IF(AS146&gt;0,'Attrition Modeling'!$N$9,0)))</f>
        <v>0</v>
      </c>
      <c r="AT81" s="799">
        <f>AS81*(1-IFERROR(IF(AT$69+$F81&lt;=12,SUMIFS('Attrition Modeling'!$D:$D,'Attrition Modeling'!$C:$C,'IP Attrition'!$D81,'Attrition Modeling'!$B:$B,'IP Attrition'!AT$68),VLOOKUP($F81+AT$2,$A$6:$C$106,2,FALSE)*VLOOKUP(AT$1,'Attrition Modeling'!$L$15:$N$27,IF(AT$2+$F14&lt;=24,2,3),FALSE)),$C$3)*(1+Projection!AV$16)*(1+IF(AT146&gt;0,'Attrition Modeling'!$N$9,0)))</f>
        <v>0</v>
      </c>
      <c r="AU81" s="799">
        <f>AT81*(1-IFERROR(IF(AU$69+$F81&lt;=12,SUMIFS('Attrition Modeling'!$D:$D,'Attrition Modeling'!$C:$C,'IP Attrition'!$D81,'Attrition Modeling'!$B:$B,'IP Attrition'!AU$68),VLOOKUP($F81+AU$2,$A$6:$C$106,2,FALSE)*VLOOKUP(AU$1,'Attrition Modeling'!$L$15:$N$27,IF(AU$2+$F14&lt;=24,2,3),FALSE)),$C$3)*(1+Projection!AW$16)*(1+IF(AU146&gt;0,'Attrition Modeling'!$N$9,0)))</f>
        <v>0</v>
      </c>
      <c r="AV81" s="799">
        <f>AU81*(1-IFERROR(IF(AV$69+$F81&lt;=12,SUMIFS('Attrition Modeling'!$D:$D,'Attrition Modeling'!$C:$C,'IP Attrition'!$D81,'Attrition Modeling'!$B:$B,'IP Attrition'!AV$68),VLOOKUP($F81+AV$2,$A$6:$C$106,2,FALSE)*VLOOKUP(AV$1,'Attrition Modeling'!$L$15:$N$27,IF(AV$2+$F14&lt;=24,2,3),FALSE)),$C$3)*(1+Projection!AX$16)*(1+IF(AV146&gt;0,'Attrition Modeling'!$N$9,0)))</f>
        <v>0</v>
      </c>
      <c r="AW81" s="799">
        <f>AV81*(1-IFERROR(IF(AW$69+$F81&lt;=12,SUMIFS('Attrition Modeling'!$D:$D,'Attrition Modeling'!$C:$C,'IP Attrition'!$D81,'Attrition Modeling'!$B:$B,'IP Attrition'!AW$68),VLOOKUP($F81+AW$2,$A$6:$C$106,2,FALSE)*VLOOKUP(AW$1,'Attrition Modeling'!$L$15:$N$27,IF(AW$2+$F14&lt;=24,2,3),FALSE)),$C$3)*(1+Projection!AY$16)*(1+IF(AW146&gt;0,'Attrition Modeling'!$N$9,0)))</f>
        <v>0</v>
      </c>
      <c r="AX81" s="799">
        <f>AW81*(1-IFERROR(IF(AX$69+$F81&lt;=12,SUMIFS('Attrition Modeling'!$D:$D,'Attrition Modeling'!$C:$C,'IP Attrition'!$D81,'Attrition Modeling'!$B:$B,'IP Attrition'!AX$68),VLOOKUP($F81+AX$2,$A$6:$C$106,2,FALSE)*VLOOKUP(AX$1,'Attrition Modeling'!$L$15:$N$27,IF(AX$2+$F14&lt;=24,2,3),FALSE)),$C$3)*(1+Projection!AZ$16)*(1+IF(AX146&gt;0,'Attrition Modeling'!$N$9,0)))</f>
        <v>0</v>
      </c>
      <c r="AY81" s="799">
        <f>AX81*(1-IFERROR(IF(AY$69+$F81&lt;=12,SUMIFS('Attrition Modeling'!$D:$D,'Attrition Modeling'!$C:$C,'IP Attrition'!$D81,'Attrition Modeling'!$B:$B,'IP Attrition'!AY$68),VLOOKUP($F81+AY$2,$A$6:$C$106,2,FALSE)*VLOOKUP(AY$1,'Attrition Modeling'!$L$15:$N$27,IF(AY$2+$F14&lt;=24,2,3),FALSE)),$C$3)*(1+Projection!BA$16)*(1+IF(AY146&gt;0,'Attrition Modeling'!$N$9,0)))</f>
        <v>0</v>
      </c>
      <c r="AZ81" s="799">
        <f>AY81*(1-IFERROR(IF(AZ$69+$F81&lt;=12,SUMIFS('Attrition Modeling'!$D:$D,'Attrition Modeling'!$C:$C,'IP Attrition'!$D81,'Attrition Modeling'!$B:$B,'IP Attrition'!AZ$68),VLOOKUP($F81+AZ$2,$A$6:$C$106,2,FALSE)*VLOOKUP(AZ$1,'Attrition Modeling'!$L$15:$N$27,IF(AZ$2+$F14&lt;=24,2,3),FALSE)),$C$3)*(1+Projection!BB$16)*(1+IF(AZ146&gt;0,'Attrition Modeling'!$N$9,0)))</f>
        <v>0</v>
      </c>
      <c r="BA81" s="799">
        <f>AZ81*(1-IFERROR(IF(BA$69+$F81&lt;=12,SUMIFS('Attrition Modeling'!$D:$D,'Attrition Modeling'!$C:$C,'IP Attrition'!$D81,'Attrition Modeling'!$B:$B,'IP Attrition'!BA$68),VLOOKUP($F81+BA$2,$A$6:$C$106,2,FALSE)*VLOOKUP(BA$1,'Attrition Modeling'!$L$15:$N$27,IF(BA$2+$F14&lt;=24,2,3),FALSE)),$C$3)*(1+Projection!BC$16)*(1+IF(BA146&gt;0,'Attrition Modeling'!$N$9,0)))</f>
        <v>0</v>
      </c>
      <c r="BB81" s="799">
        <f>BA81*(1-IFERROR(IF(BB$69+$F81&lt;=12,SUMIFS('Attrition Modeling'!$D:$D,'Attrition Modeling'!$C:$C,'IP Attrition'!$D81,'Attrition Modeling'!$B:$B,'IP Attrition'!BB$68),VLOOKUP($F81+BB$2,$A$6:$C$106,2,FALSE)*VLOOKUP(BB$1,'Attrition Modeling'!$L$15:$N$27,IF(BB$2+$F14&lt;=24,2,3),FALSE)),$C$3)*(1+Projection!BD$16)*(1+IF(BB146&gt;0,'Attrition Modeling'!$N$9,0)))</f>
        <v>0</v>
      </c>
      <c r="BC81" s="799">
        <f>BB81*(1-IFERROR(IF(BC$69+$F81&lt;=12,SUMIFS('Attrition Modeling'!$D:$D,'Attrition Modeling'!$C:$C,'IP Attrition'!$D81,'Attrition Modeling'!$B:$B,'IP Attrition'!BC$68),VLOOKUP($F81+BC$2,$A$6:$C$106,2,FALSE)*VLOOKUP(BC$1,'Attrition Modeling'!$L$15:$N$27,IF(BC$2+$F14&lt;=24,2,3),FALSE)),$C$3)*(1+Projection!BE$16)*(1+IF(BC146&gt;0,'Attrition Modeling'!$N$9,0)))</f>
        <v>0</v>
      </c>
      <c r="BD81" s="799">
        <f>BC81*(1-IFERROR(IF(BD$69+$F81&lt;=12,SUMIFS('Attrition Modeling'!$D:$D,'Attrition Modeling'!$C:$C,'IP Attrition'!$D81,'Attrition Modeling'!$B:$B,'IP Attrition'!BD$68),VLOOKUP($F81+BD$2,$A$6:$C$106,2,FALSE)*VLOOKUP(BD$1,'Attrition Modeling'!$L$15:$N$27,IF(BD$2+$F14&lt;=24,2,3),FALSE)),$C$3)*(1+Projection!BF$16)*(1+IF(BD146&gt;0,'Attrition Modeling'!$N$9,0)))</f>
        <v>0</v>
      </c>
      <c r="BE81" s="799">
        <f>BD81*(1-IFERROR(IF(BE$69+$F81&lt;=12,SUMIFS('Attrition Modeling'!$D:$D,'Attrition Modeling'!$C:$C,'IP Attrition'!$D81,'Attrition Modeling'!$B:$B,'IP Attrition'!BE$68),VLOOKUP($F81+BE$2,$A$6:$C$106,2,FALSE)*VLOOKUP(BE$1,'Attrition Modeling'!$L$15:$N$27,IF(BE$2+$F14&lt;=24,2,3),FALSE)),$C$3)*(1+Projection!BG$16)*(1+IF(BE146&gt;0,'Attrition Modeling'!$N$9,0)))</f>
        <v>0</v>
      </c>
      <c r="BF81" s="799">
        <f>BE81*(1-IFERROR(IF(BF$69+$F81&lt;=12,SUMIFS('Attrition Modeling'!$D:$D,'Attrition Modeling'!$C:$C,'IP Attrition'!$D81,'Attrition Modeling'!$B:$B,'IP Attrition'!BF$68),VLOOKUP($F81+BF$2,$A$6:$C$106,2,FALSE)*VLOOKUP(BF$1,'Attrition Modeling'!$L$15:$N$27,IF(BF$2+$F14&lt;=24,2,3),FALSE)),$C$3)*(1+Projection!BH$16)*(1+IF(BF146&gt;0,'Attrition Modeling'!$N$9,0)))</f>
        <v>0</v>
      </c>
      <c r="BG81" s="799">
        <f>BF81*(1-IFERROR(IF(BG$69+$F81&lt;=12,SUMIFS('Attrition Modeling'!$D:$D,'Attrition Modeling'!$C:$C,'IP Attrition'!$D81,'Attrition Modeling'!$B:$B,'IP Attrition'!BG$68),VLOOKUP($F81+BG$2,$A$6:$C$106,2,FALSE)*VLOOKUP(BG$1,'Attrition Modeling'!$L$15:$N$27,IF(BG$2+$F14&lt;=24,2,3),FALSE)),$C$3)*(1+Projection!BI$16)*(1+IF(BG146&gt;0,'Attrition Modeling'!$N$9,0)))</f>
        <v>0</v>
      </c>
      <c r="BH81" s="799">
        <f>BG81*(1-IFERROR(IF(BH$69+$F81&lt;=12,SUMIFS('Attrition Modeling'!$D:$D,'Attrition Modeling'!$C:$C,'IP Attrition'!$D81,'Attrition Modeling'!$B:$B,'IP Attrition'!BH$68),VLOOKUP($F81+BH$2,$A$6:$C$106,2,FALSE)*VLOOKUP(BH$1,'Attrition Modeling'!$L$15:$N$27,IF(BH$2+$F14&lt;=24,2,3),FALSE)),$C$3)*(1+Projection!BJ$16)*(1+IF(BH146&gt;0,'Attrition Modeling'!$N$9,0)))</f>
        <v>0</v>
      </c>
      <c r="BI81" s="799">
        <f>BH81*(1-IFERROR(IF(BI$69+$F81&lt;=12,SUMIFS('Attrition Modeling'!$D:$D,'Attrition Modeling'!$C:$C,'IP Attrition'!$D81,'Attrition Modeling'!$B:$B,'IP Attrition'!BI$68),VLOOKUP($F81+BI$2,$A$6:$C$106,2,FALSE)*VLOOKUP(BI$1,'Attrition Modeling'!$L$15:$N$27,IF(BI$2+$F14&lt;=24,2,3),FALSE)),$C$3)*(1+Projection!BK$16)*(1+IF(BI146&gt;0,'Attrition Modeling'!$N$9,0)))</f>
        <v>0</v>
      </c>
      <c r="BJ81" s="799">
        <f>BI81*(1-IFERROR(IF(BJ$69+$F81&lt;=12,SUMIFS('Attrition Modeling'!$D:$D,'Attrition Modeling'!$C:$C,'IP Attrition'!$D81,'Attrition Modeling'!$B:$B,'IP Attrition'!BJ$68),VLOOKUP($F81+BJ$2,$A$6:$C$106,2,FALSE)*VLOOKUP(BJ$1,'Attrition Modeling'!$L$15:$N$27,IF(BJ$2+$F14&lt;=24,2,3),FALSE)),$C$3)*(1+Projection!BL$16)*(1+IF(BJ146&gt;0,'Attrition Modeling'!$N$9,0)))</f>
        <v>0</v>
      </c>
      <c r="BK81" s="799">
        <f>BJ81*(1-IFERROR(IF(BK$69+$F81&lt;=12,SUMIFS('Attrition Modeling'!$D:$D,'Attrition Modeling'!$C:$C,'IP Attrition'!$D81,'Attrition Modeling'!$B:$B,'IP Attrition'!BK$68),VLOOKUP($F81+BK$2,$A$6:$C$106,2,FALSE)*VLOOKUP(BK$1,'Attrition Modeling'!$L$15:$N$27,IF(BK$2+$F14&lt;=24,2,3),FALSE)),$C$3)*(1+Projection!BM$16)*(1+IF(BK146&gt;0,'Attrition Modeling'!$N$9,0)))</f>
        <v>0</v>
      </c>
      <c r="BL81" s="799">
        <f>BK81*(1-IFERROR(IF(BL$69+$F81&lt;=12,SUMIFS('Attrition Modeling'!$D:$D,'Attrition Modeling'!$C:$C,'IP Attrition'!$D81,'Attrition Modeling'!$B:$B,'IP Attrition'!BL$68),VLOOKUP($F81+BL$2,$A$6:$C$106,2,FALSE)*VLOOKUP(BL$1,'Attrition Modeling'!$L$15:$N$27,IF(BL$2+$F14&lt;=24,2,3),FALSE)),$C$3)*(1+Projection!BN$16)*(1+IF(BL146&gt;0,'Attrition Modeling'!$N$9,0)))</f>
        <v>0</v>
      </c>
      <c r="BM81" s="799">
        <f>BL81*(1-IFERROR(IF(BM$69+$F81&lt;=12,SUMIFS('Attrition Modeling'!$D:$D,'Attrition Modeling'!$C:$C,'IP Attrition'!$D81,'Attrition Modeling'!$B:$B,'IP Attrition'!BM$68),VLOOKUP($F81+BM$2,$A$6:$C$106,2,FALSE)*VLOOKUP(BM$1,'Attrition Modeling'!$L$15:$N$27,IF(BM$2+$F14&lt;=24,2,3),FALSE)),$C$3)*(1+Projection!BO$16)*(1+IF(BM146&gt;0,'Attrition Modeling'!$N$9,0)))</f>
        <v>0</v>
      </c>
      <c r="BN81" s="799">
        <f>BM81*(1-IFERROR(IF(BN$69+$F81&lt;=12,SUMIFS('Attrition Modeling'!$D:$D,'Attrition Modeling'!$C:$C,'IP Attrition'!$D81,'Attrition Modeling'!$B:$B,'IP Attrition'!BN$68),VLOOKUP($F81+BN$2,$A$6:$C$106,2,FALSE)*VLOOKUP(BN$1,'Attrition Modeling'!$L$15:$N$27,IF(BN$2+$F14&lt;=24,2,3),FALSE)),$C$3)*(1+Projection!BP$16)*(1+IF(BN146&gt;0,'Attrition Modeling'!$N$9,0)))</f>
        <v>0</v>
      </c>
      <c r="BO81" s="799">
        <f>BN81*(1-IFERROR(IF(BO$69+$F81&lt;=12,SUMIFS('Attrition Modeling'!$D:$D,'Attrition Modeling'!$C:$C,'IP Attrition'!$D81,'Attrition Modeling'!$B:$B,'IP Attrition'!BO$68),VLOOKUP($F81+BO$2,$A$6:$C$106,2,FALSE)*VLOOKUP(BO$1,'Attrition Modeling'!$L$15:$N$27,IF(BO$2+$F14&lt;=24,2,3),FALSE)),$C$3)*(1+Projection!BV$16)*(1+IF(BO146&gt;0,'Attrition Modeling'!$N$9,0)))</f>
        <v>0</v>
      </c>
      <c r="BP81" s="799">
        <f>BO81*(1-IFERROR(IF(BP$69+$F81&lt;=12,SUMIFS('Attrition Modeling'!$D:$D,'Attrition Modeling'!$C:$C,'IP Attrition'!$D81,'Attrition Modeling'!$B:$B,'IP Attrition'!BP$68),VLOOKUP($F81+BP$2,$A$6:$C$106,2,FALSE)*VLOOKUP(BP$1,'Attrition Modeling'!$L$15:$N$27,IF(BP$2+$F14&lt;=24,2,3),FALSE)),$C$3)*(1+Projection!BW$16)*(1+IF(BP146&gt;0,'Attrition Modeling'!$N$9,0)))</f>
        <v>0</v>
      </c>
      <c r="BQ81" s="799">
        <f>BP81*(1-IFERROR(IF(BQ$69+$F81&lt;=12,SUMIFS('Attrition Modeling'!$D:$D,'Attrition Modeling'!$C:$C,'IP Attrition'!$D81,'Attrition Modeling'!$B:$B,'IP Attrition'!BQ$68),VLOOKUP($F81+BQ$2,$A$6:$C$106,2,FALSE)*VLOOKUP(BQ$1,'Attrition Modeling'!$L$15:$N$27,IF(BQ$2+$F14&lt;=24,2,3),FALSE)),$C$3)*(1+Projection!BX$16)*(1+IF(BQ146&gt;0,'Attrition Modeling'!$N$9,0)))</f>
        <v>0</v>
      </c>
      <c r="BR81" s="799">
        <f>BQ81*(1-IFERROR(IF(BR$69+$F81&lt;=12,SUMIFS('Attrition Modeling'!$D:$D,'Attrition Modeling'!$C:$C,'IP Attrition'!$D81,'Attrition Modeling'!$B:$B,'IP Attrition'!BR$68),VLOOKUP($F81+BR$2,$A$6:$C$106,2,FALSE)*VLOOKUP(BR$1,'Attrition Modeling'!$L$15:$N$27,IF(BR$2+$F14&lt;=24,2,3),FALSE)),$C$3)*(1+Projection!BY$16)*(1+IF(BR146&gt;0,'Attrition Modeling'!$N$9,0)))</f>
        <v>0</v>
      </c>
      <c r="BS81" s="799">
        <f>BR81*(1-IFERROR(IF(BS$69+$F81&lt;=12,SUMIFS('Attrition Modeling'!$D:$D,'Attrition Modeling'!$C:$C,'IP Attrition'!$D81,'Attrition Modeling'!$B:$B,'IP Attrition'!BS$68),VLOOKUP($F81+BS$2,$A$6:$C$106,2,FALSE)*VLOOKUP(BS$1,'Attrition Modeling'!$L$15:$N$27,IF(BS$2+$F14&lt;=24,2,3),FALSE)),$C$3)*(1+Projection!BZ$16)*(1+IF(BS146&gt;0,'Attrition Modeling'!$N$9,0)))</f>
        <v>0</v>
      </c>
      <c r="BT81" s="799" t="e">
        <f>BS81*(1-IFERROR(IF(BT$69+$F81&lt;=12,SUMIFS('Attrition Modeling'!$D:$D,'Attrition Modeling'!$C:$C,'IP Attrition'!$D81,'Attrition Modeling'!$B:$B,'IP Attrition'!BT$68),VLOOKUP($F81+BT$2,$A$6:$C$106,2,FALSE)*VLOOKUP(BT$1,'Attrition Modeling'!$L$15:$N$27,IF(BT$2+$F14&lt;=24,2,3),FALSE)),$C$3)*(1+Projection!CA$16)*(1+IF(BT146&gt;0,'Attrition Modeling'!$N$9,0)))</f>
        <v>#REF!</v>
      </c>
      <c r="BU81" s="799" t="e">
        <f>BT81*(1-IFERROR(IF(BU$69+$F81&lt;=12,SUMIFS('Attrition Modeling'!$D:$D,'Attrition Modeling'!$C:$C,'IP Attrition'!$D81,'Attrition Modeling'!$B:$B,'IP Attrition'!BU$68),VLOOKUP($F81+BU$2,$A$6:$C$106,2,FALSE)*VLOOKUP(BU$1,'Attrition Modeling'!$L$15:$N$27,IF(BU$2+$F14&lt;=24,2,3),FALSE)),$C$3)*(1+Projection!CB$16)*(1+IF(BU146&gt;0,'Attrition Modeling'!$N$9,0)))</f>
        <v>#REF!</v>
      </c>
    </row>
    <row r="82" spans="1:73" ht="14.25" customHeight="1" x14ac:dyDescent="0.2">
      <c r="A82" s="9">
        <v>75</v>
      </c>
      <c r="B82" s="25">
        <f>MAX('Attrition Modeling'!H79,$C$3)*(1-Summary!$C$20)</f>
        <v>2.0624298657156349E-2</v>
      </c>
      <c r="C82" s="24" t="e">
        <f t="shared" si="3"/>
        <v>#DIV/0!</v>
      </c>
      <c r="D82" s="11">
        <f t="shared" ref="D82:E82" si="20">D15</f>
        <v>-12</v>
      </c>
      <c r="E82" s="25">
        <f t="shared" si="20"/>
        <v>0</v>
      </c>
      <c r="F82" s="11">
        <f t="shared" si="9"/>
        <v>12</v>
      </c>
      <c r="G82" s="799">
        <f>Summary!$C$24*$E82</f>
        <v>0</v>
      </c>
      <c r="H82" s="799">
        <f>G82*(1-IFERROR(IF(H$69+$F82&lt;=12,SUMIFS('Attrition Modeling'!$D:$D,'Attrition Modeling'!$C:$C,'IP Attrition'!$D82,'Attrition Modeling'!$B:$B,'IP Attrition'!H$68),VLOOKUP($F82+H$2,$A$6:$C$106,2,FALSE)*VLOOKUP(H$1,'Attrition Modeling'!$L$15:$N$27,IF(H$2+$F15&lt;=24,2,3),FALSE)),$C$3)*(1+Projection!J$16)*(1+IF(H147&gt;0,'Attrition Modeling'!$N$9,0)))</f>
        <v>0</v>
      </c>
      <c r="I82" s="799">
        <f>H82*(1-IFERROR(IF(I$69+$F82&lt;=12,SUMIFS('Attrition Modeling'!$D:$D,'Attrition Modeling'!$C:$C,'IP Attrition'!$D82,'Attrition Modeling'!$B:$B,'IP Attrition'!I$68),VLOOKUP($F82+I$2,$A$6:$C$106,2,FALSE)*VLOOKUP(I$1,'Attrition Modeling'!$L$15:$N$27,IF(I$2+$F15&lt;=24,2,3),FALSE)),$C$3)*(1+Projection!K$16)*(1+IF(I147&gt;0,'Attrition Modeling'!$N$9,0)))</f>
        <v>0</v>
      </c>
      <c r="J82" s="799">
        <f>I82*(1-IFERROR(IF(J$69+$F82&lt;=12,SUMIFS('Attrition Modeling'!$D:$D,'Attrition Modeling'!$C:$C,'IP Attrition'!$D82,'Attrition Modeling'!$B:$B,'IP Attrition'!J$68),VLOOKUP($F82+J$2,$A$6:$C$106,2,FALSE)*VLOOKUP(J$1,'Attrition Modeling'!$L$15:$N$27,IF(J$2+$F15&lt;=24,2,3),FALSE)),$C$3)*(1+Projection!L$16)*(1+IF(J147&gt;0,'Attrition Modeling'!$N$9,0)))</f>
        <v>0</v>
      </c>
      <c r="K82" s="799">
        <f>J82*(1-IFERROR(IF(K$69+$F82&lt;=12,SUMIFS('Attrition Modeling'!$D:$D,'Attrition Modeling'!$C:$C,'IP Attrition'!$D82,'Attrition Modeling'!$B:$B,'IP Attrition'!K$68),VLOOKUP($F82+K$2,$A$6:$C$106,2,FALSE)*VLOOKUP(K$1,'Attrition Modeling'!$L$15:$N$27,IF(K$2+$F15&lt;=24,2,3),FALSE)),$C$3)*(1+Projection!M$16)*(1+IF(K147&gt;0,'Attrition Modeling'!$N$9,0)))</f>
        <v>0</v>
      </c>
      <c r="L82" s="799">
        <f>K82*(1-IFERROR(IF(L$69+$F82&lt;=12,SUMIFS('Attrition Modeling'!$D:$D,'Attrition Modeling'!$C:$C,'IP Attrition'!$D82,'Attrition Modeling'!$B:$B,'IP Attrition'!L$68),VLOOKUP($F82+L$2,$A$6:$C$106,2,FALSE)*VLOOKUP(L$1,'Attrition Modeling'!$L$15:$N$27,IF(L$2+$F15&lt;=24,2,3),FALSE)),$C$3)*(1+Projection!N$16)*(1+IF(L147&gt;0,'Attrition Modeling'!$N$9,0)))</f>
        <v>0</v>
      </c>
      <c r="M82" s="799">
        <f>L82*(1-IFERROR(IF(M$69+$F82&lt;=12,SUMIFS('Attrition Modeling'!$D:$D,'Attrition Modeling'!$C:$C,'IP Attrition'!$D82,'Attrition Modeling'!$B:$B,'IP Attrition'!M$68),VLOOKUP($F82+M$2,$A$6:$C$106,2,FALSE)*VLOOKUP(M$1,'Attrition Modeling'!$L$15:$N$27,IF(M$2+$F15&lt;=24,2,3),FALSE)),$C$3)*(1+Projection!O$16)*(1+IF(M147&gt;0,'Attrition Modeling'!$N$9,0)))</f>
        <v>0</v>
      </c>
      <c r="N82" s="799">
        <f>M82*(1-IFERROR(IF(N$69+$F82&lt;=12,SUMIFS('Attrition Modeling'!$D:$D,'Attrition Modeling'!$C:$C,'IP Attrition'!$D82,'Attrition Modeling'!$B:$B,'IP Attrition'!N$68),VLOOKUP($F82+N$2,$A$6:$C$106,2,FALSE)*VLOOKUP(N$1,'Attrition Modeling'!$L$15:$N$27,IF(N$2+$F15&lt;=24,2,3),FALSE)),$C$3)*(1+Projection!P$16)*(1+IF(N147&gt;0,'Attrition Modeling'!$N$9,0)))</f>
        <v>0</v>
      </c>
      <c r="O82" s="799">
        <f>N82*(1-IFERROR(IF(O$69+$F82&lt;=12,SUMIFS('Attrition Modeling'!$D:$D,'Attrition Modeling'!$C:$C,'IP Attrition'!$D82,'Attrition Modeling'!$B:$B,'IP Attrition'!O$68),VLOOKUP($F82+O$2,$A$6:$C$106,2,FALSE)*VLOOKUP(O$1,'Attrition Modeling'!$L$15:$N$27,IF(O$2+$F15&lt;=24,2,3),FALSE)),$C$3)*(1+Projection!Q$16)*(1+IF(O147&gt;0,'Attrition Modeling'!$N$9,0)))</f>
        <v>0</v>
      </c>
      <c r="P82" s="799">
        <f>O82*(1-IFERROR(IF(P$69+$F82&lt;=12,SUMIFS('Attrition Modeling'!$D:$D,'Attrition Modeling'!$C:$C,'IP Attrition'!$D82,'Attrition Modeling'!$B:$B,'IP Attrition'!P$68),VLOOKUP($F82+P$2,$A$6:$C$106,2,FALSE)*VLOOKUP(P$1,'Attrition Modeling'!$L$15:$N$27,IF(P$2+$F15&lt;=24,2,3),FALSE)),$C$3)*(1+Projection!R$16)*(1+IF(P147&gt;0,'Attrition Modeling'!$N$9,0)))</f>
        <v>0</v>
      </c>
      <c r="Q82" s="799">
        <f>P82*(1-IFERROR(IF(Q$69+$F82&lt;=12,SUMIFS('Attrition Modeling'!$D:$D,'Attrition Modeling'!$C:$C,'IP Attrition'!$D82,'Attrition Modeling'!$B:$B,'IP Attrition'!Q$68),VLOOKUP($F82+Q$2,$A$6:$C$106,2,FALSE)*VLOOKUP(Q$1,'Attrition Modeling'!$L$15:$N$27,IF(Q$2+$F15&lt;=24,2,3),FALSE)),$C$3)*(1+Projection!S$16)*(1+IF(Q147&gt;0,'Attrition Modeling'!$N$9,0)))</f>
        <v>0</v>
      </c>
      <c r="R82" s="799">
        <f>Q82*(1-IFERROR(IF(R$69+$F82&lt;=12,SUMIFS('Attrition Modeling'!$D:$D,'Attrition Modeling'!$C:$C,'IP Attrition'!$D82,'Attrition Modeling'!$B:$B,'IP Attrition'!R$68),VLOOKUP($F82+R$2,$A$6:$C$106,2,FALSE)*VLOOKUP(R$1,'Attrition Modeling'!$L$15:$N$27,IF(R$2+$F15&lt;=24,2,3),FALSE)),$C$3)*(1+Projection!T$16)*(1+IF(R147&gt;0,'Attrition Modeling'!$N$9,0)))</f>
        <v>0</v>
      </c>
      <c r="S82" s="799">
        <f>R82*(1-IFERROR(IF(S$69+$F82&lt;=12,SUMIFS('Attrition Modeling'!$D:$D,'Attrition Modeling'!$C:$C,'IP Attrition'!$D82,'Attrition Modeling'!$B:$B,'IP Attrition'!S$68),VLOOKUP($F82+S$2,$A$6:$C$106,2,FALSE)*VLOOKUP(S$1,'Attrition Modeling'!$L$15:$N$27,IF(S$2+$F15&lt;=24,2,3),FALSE)),$C$3)*(1+Projection!U$16)*(1+IF(S147&gt;0,'Attrition Modeling'!$N$9,0)))</f>
        <v>0</v>
      </c>
      <c r="T82" s="799">
        <f>S82*(1-IFERROR(IF(T$69+$F82&lt;=12,SUMIFS('Attrition Modeling'!$D:$D,'Attrition Modeling'!$C:$C,'IP Attrition'!$D82,'Attrition Modeling'!$B:$B,'IP Attrition'!T$68),VLOOKUP($F82+T$2,$A$6:$C$106,2,FALSE)*VLOOKUP(T$1,'Attrition Modeling'!$L$15:$N$27,IF(T$2+$F15&lt;=24,2,3),FALSE)),$C$3)*(1+Projection!V$16)*(1+IF(T147&gt;0,'Attrition Modeling'!$N$9,0)))</f>
        <v>0</v>
      </c>
      <c r="U82" s="799">
        <f>T82*(1-IFERROR(IF(U$69+$F82&lt;=12,SUMIFS('Attrition Modeling'!$D:$D,'Attrition Modeling'!$C:$C,'IP Attrition'!$D82,'Attrition Modeling'!$B:$B,'IP Attrition'!U$68),VLOOKUP($F82+U$2,$A$6:$C$106,2,FALSE)*VLOOKUP(U$1,'Attrition Modeling'!$L$15:$N$27,IF(U$2+$F15&lt;=24,2,3),FALSE)),$C$3)*(1+Projection!W$16)*(1+IF(U147&gt;0,'Attrition Modeling'!$N$9,0)))</f>
        <v>0</v>
      </c>
      <c r="V82" s="799">
        <f>U82*(1-IFERROR(IF(V$69+$F82&lt;=12,SUMIFS('Attrition Modeling'!$D:$D,'Attrition Modeling'!$C:$C,'IP Attrition'!$D82,'Attrition Modeling'!$B:$B,'IP Attrition'!V$68),VLOOKUP($F82+V$2,$A$6:$C$106,2,FALSE)*VLOOKUP(V$1,'Attrition Modeling'!$L$15:$N$27,IF(V$2+$F15&lt;=24,2,3),FALSE)),$C$3)*(1+Projection!X$16)*(1+IF(V147&gt;0,'Attrition Modeling'!$N$9,0)))</f>
        <v>0</v>
      </c>
      <c r="W82" s="799">
        <f>V82*(1-IFERROR(IF(W$69+$F82&lt;=12,SUMIFS('Attrition Modeling'!$D:$D,'Attrition Modeling'!$C:$C,'IP Attrition'!$D82,'Attrition Modeling'!$B:$B,'IP Attrition'!W$68),VLOOKUP($F82+W$2,$A$6:$C$106,2,FALSE)*VLOOKUP(W$1,'Attrition Modeling'!$L$15:$N$27,IF(W$2+$F15&lt;=24,2,3),FALSE)),$C$3)*(1+Projection!Y$16)*(1+IF(W147&gt;0,'Attrition Modeling'!$N$9,0)))</f>
        <v>0</v>
      </c>
      <c r="X82" s="799">
        <f>W82*(1-IFERROR(IF(X$69+$F82&lt;=12,SUMIFS('Attrition Modeling'!$D:$D,'Attrition Modeling'!$C:$C,'IP Attrition'!$D82,'Attrition Modeling'!$B:$B,'IP Attrition'!X$68),VLOOKUP($F82+X$2,$A$6:$C$106,2,FALSE)*VLOOKUP(X$1,'Attrition Modeling'!$L$15:$N$27,IF(X$2+$F15&lt;=24,2,3),FALSE)),$C$3)*(1+Projection!Z$16)*(1+IF(X147&gt;0,'Attrition Modeling'!$N$9,0)))</f>
        <v>0</v>
      </c>
      <c r="Y82" s="799">
        <f>X82*(1-IFERROR(IF(Y$69+$F82&lt;=12,SUMIFS('Attrition Modeling'!$D:$D,'Attrition Modeling'!$C:$C,'IP Attrition'!$D82,'Attrition Modeling'!$B:$B,'IP Attrition'!Y$68),VLOOKUP($F82+Y$2,$A$6:$C$106,2,FALSE)*VLOOKUP(Y$1,'Attrition Modeling'!$L$15:$N$27,IF(Y$2+$F15&lt;=24,2,3),FALSE)),$C$3)*(1+Projection!AA$16)*(1+IF(Y147&gt;0,'Attrition Modeling'!$N$9,0)))</f>
        <v>0</v>
      </c>
      <c r="Z82" s="799">
        <f>Y82*(1-IFERROR(IF(Z$69+$F82&lt;=12,SUMIFS('Attrition Modeling'!$D:$D,'Attrition Modeling'!$C:$C,'IP Attrition'!$D82,'Attrition Modeling'!$B:$B,'IP Attrition'!Z$68),VLOOKUP($F82+Z$2,$A$6:$C$106,2,FALSE)*VLOOKUP(Z$1,'Attrition Modeling'!$L$15:$N$27,IF(Z$2+$F15&lt;=24,2,3),FALSE)),$C$3)*(1+Projection!AB$16)*(1+IF(Z147&gt;0,'Attrition Modeling'!$N$9,0)))</f>
        <v>0</v>
      </c>
      <c r="AA82" s="799">
        <f>Z82*(1-IFERROR(IF(AA$69+$F82&lt;=12,SUMIFS('Attrition Modeling'!$D:$D,'Attrition Modeling'!$C:$C,'IP Attrition'!$D82,'Attrition Modeling'!$B:$B,'IP Attrition'!AA$68),VLOOKUP($F82+AA$2,$A$6:$C$106,2,FALSE)*VLOOKUP(AA$1,'Attrition Modeling'!$L$15:$N$27,IF(AA$2+$F15&lt;=24,2,3),FALSE)),$C$3)*(1+Projection!AC$16)*(1+IF(AA147&gt;0,'Attrition Modeling'!$N$9,0)))</f>
        <v>0</v>
      </c>
      <c r="AB82" s="799">
        <f>AA82*(1-IFERROR(IF(AB$69+$F82&lt;=12,SUMIFS('Attrition Modeling'!$D:$D,'Attrition Modeling'!$C:$C,'IP Attrition'!$D82,'Attrition Modeling'!$B:$B,'IP Attrition'!AB$68),VLOOKUP($F82+AB$2,$A$6:$C$106,2,FALSE)*VLOOKUP(AB$1,'Attrition Modeling'!$L$15:$N$27,IF(AB$2+$F15&lt;=24,2,3),FALSE)),$C$3)*(1+Projection!AD$16)*(1+IF(AB147&gt;0,'Attrition Modeling'!$N$9,0)))</f>
        <v>0</v>
      </c>
      <c r="AC82" s="799">
        <f>AB82*(1-IFERROR(IF(AC$69+$F82&lt;=12,SUMIFS('Attrition Modeling'!$D:$D,'Attrition Modeling'!$C:$C,'IP Attrition'!$D82,'Attrition Modeling'!$B:$B,'IP Attrition'!AC$68),VLOOKUP($F82+AC$2,$A$6:$C$106,2,FALSE)*VLOOKUP(AC$1,'Attrition Modeling'!$L$15:$N$27,IF(AC$2+$F15&lt;=24,2,3),FALSE)),$C$3)*(1+Projection!AE$16)*(1+IF(AC147&gt;0,'Attrition Modeling'!$N$9,0)))</f>
        <v>0</v>
      </c>
      <c r="AD82" s="799">
        <f>AC82*(1-IFERROR(IF(AD$69+$F82&lt;=12,SUMIFS('Attrition Modeling'!$D:$D,'Attrition Modeling'!$C:$C,'IP Attrition'!$D82,'Attrition Modeling'!$B:$B,'IP Attrition'!AD$68),VLOOKUP($F82+AD$2,$A$6:$C$106,2,FALSE)*VLOOKUP(AD$1,'Attrition Modeling'!$L$15:$N$27,IF(AD$2+$F15&lt;=24,2,3),FALSE)),$C$3)*(1+Projection!AF$16)*(1+IF(AD147&gt;0,'Attrition Modeling'!$N$9,0)))</f>
        <v>0</v>
      </c>
      <c r="AE82" s="799">
        <f>AD82*(1-IFERROR(IF(AE$69+$F82&lt;=12,SUMIFS('Attrition Modeling'!$D:$D,'Attrition Modeling'!$C:$C,'IP Attrition'!$D82,'Attrition Modeling'!$B:$B,'IP Attrition'!AE$68),VLOOKUP($F82+AE$2,$A$6:$C$106,2,FALSE)*VLOOKUP(AE$1,'Attrition Modeling'!$L$15:$N$27,IF(AE$2+$F15&lt;=24,2,3),FALSE)),$C$3)*(1+Projection!AG$16)*(1+IF(AE147&gt;0,'Attrition Modeling'!$N$9,0)))</f>
        <v>0</v>
      </c>
      <c r="AF82" s="799">
        <f>AE82*(1-IFERROR(IF(AF$69+$F82&lt;=12,SUMIFS('Attrition Modeling'!$D:$D,'Attrition Modeling'!$C:$C,'IP Attrition'!$D82,'Attrition Modeling'!$B:$B,'IP Attrition'!AF$68),VLOOKUP($F82+AF$2,$A$6:$C$106,2,FALSE)*VLOOKUP(AF$1,'Attrition Modeling'!$L$15:$N$27,IF(AF$2+$F15&lt;=24,2,3),FALSE)),$C$3)*(1+Projection!AH$16)*(1+IF(AF147&gt;0,'Attrition Modeling'!$N$9,0)))</f>
        <v>0</v>
      </c>
      <c r="AG82" s="799">
        <f>AF82*(1-IFERROR(IF(AG$69+$F82&lt;=12,SUMIFS('Attrition Modeling'!$D:$D,'Attrition Modeling'!$C:$C,'IP Attrition'!$D82,'Attrition Modeling'!$B:$B,'IP Attrition'!AG$68),VLOOKUP($F82+AG$2,$A$6:$C$106,2,FALSE)*VLOOKUP(AG$1,'Attrition Modeling'!$L$15:$N$27,IF(AG$2+$F15&lt;=24,2,3),FALSE)),$C$3)*(1+Projection!AI$16)*(1+IF(AG147&gt;0,'Attrition Modeling'!$N$9,0)))</f>
        <v>0</v>
      </c>
      <c r="AH82" s="799">
        <f>AG82*(1-IFERROR(IF(AH$69+$F82&lt;=12,SUMIFS('Attrition Modeling'!$D:$D,'Attrition Modeling'!$C:$C,'IP Attrition'!$D82,'Attrition Modeling'!$B:$B,'IP Attrition'!AH$68),VLOOKUP($F82+AH$2,$A$6:$C$106,2,FALSE)*VLOOKUP(AH$1,'Attrition Modeling'!$L$15:$N$27,IF(AH$2+$F15&lt;=24,2,3),FALSE)),$C$3)*(1+Projection!AJ$16)*(1+IF(AH147&gt;0,'Attrition Modeling'!$N$9,0)))</f>
        <v>0</v>
      </c>
      <c r="AI82" s="799">
        <f>AH82*(1-IFERROR(IF(AI$69+$F82&lt;=12,SUMIFS('Attrition Modeling'!$D:$D,'Attrition Modeling'!$C:$C,'IP Attrition'!$D82,'Attrition Modeling'!$B:$B,'IP Attrition'!AI$68),VLOOKUP($F82+AI$2,$A$6:$C$106,2,FALSE)*VLOOKUP(AI$1,'Attrition Modeling'!$L$15:$N$27,IF(AI$2+$F15&lt;=24,2,3),FALSE)),$C$3)*(1+Projection!AK$16)*(1+IF(AI147&gt;0,'Attrition Modeling'!$N$9,0)))</f>
        <v>0</v>
      </c>
      <c r="AJ82" s="799">
        <f>AI82*(1-IFERROR(IF(AJ$69+$F82&lt;=12,SUMIFS('Attrition Modeling'!$D:$D,'Attrition Modeling'!$C:$C,'IP Attrition'!$D82,'Attrition Modeling'!$B:$B,'IP Attrition'!AJ$68),VLOOKUP($F82+AJ$2,$A$6:$C$106,2,FALSE)*VLOOKUP(AJ$1,'Attrition Modeling'!$L$15:$N$27,IF(AJ$2+$F15&lt;=24,2,3),FALSE)),$C$3)*(1+Projection!AL$16)*(1+IF(AJ147&gt;0,'Attrition Modeling'!$N$9,0)))</f>
        <v>0</v>
      </c>
      <c r="AK82" s="799">
        <f>AJ82*(1-IFERROR(IF(AK$69+$F82&lt;=12,SUMIFS('Attrition Modeling'!$D:$D,'Attrition Modeling'!$C:$C,'IP Attrition'!$D82,'Attrition Modeling'!$B:$B,'IP Attrition'!AK$68),VLOOKUP($F82+AK$2,$A$6:$C$106,2,FALSE)*VLOOKUP(AK$1,'Attrition Modeling'!$L$15:$N$27,IF(AK$2+$F15&lt;=24,2,3),FALSE)),$C$3)*(1+Projection!AM$16)*(1+IF(AK147&gt;0,'Attrition Modeling'!$N$9,0)))</f>
        <v>0</v>
      </c>
      <c r="AL82" s="799">
        <f>AK82*(1-IFERROR(IF(AL$69+$F82&lt;=12,SUMIFS('Attrition Modeling'!$D:$D,'Attrition Modeling'!$C:$C,'IP Attrition'!$D82,'Attrition Modeling'!$B:$B,'IP Attrition'!AL$68),VLOOKUP($F82+AL$2,$A$6:$C$106,2,FALSE)*VLOOKUP(AL$1,'Attrition Modeling'!$L$15:$N$27,IF(AL$2+$F15&lt;=24,2,3),FALSE)),$C$3)*(1+Projection!AN$16)*(1+IF(AL147&gt;0,'Attrition Modeling'!$N$9,0)))</f>
        <v>0</v>
      </c>
      <c r="AM82" s="799">
        <f>AL82*(1-IFERROR(IF(AM$69+$F82&lt;=12,SUMIFS('Attrition Modeling'!$D:$D,'Attrition Modeling'!$C:$C,'IP Attrition'!$D82,'Attrition Modeling'!$B:$B,'IP Attrition'!AM$68),VLOOKUP($F82+AM$2,$A$6:$C$106,2,FALSE)*VLOOKUP(AM$1,'Attrition Modeling'!$L$15:$N$27,IF(AM$2+$F15&lt;=24,2,3),FALSE)),$C$3)*(1+Projection!AO$16)*(1+IF(AM147&gt;0,'Attrition Modeling'!$N$9,0)))</f>
        <v>0</v>
      </c>
      <c r="AN82" s="799">
        <f>AM82*(1-IFERROR(IF(AN$69+$F82&lt;=12,SUMIFS('Attrition Modeling'!$D:$D,'Attrition Modeling'!$C:$C,'IP Attrition'!$D82,'Attrition Modeling'!$B:$B,'IP Attrition'!AN$68),VLOOKUP($F82+AN$2,$A$6:$C$106,2,FALSE)*VLOOKUP(AN$1,'Attrition Modeling'!$L$15:$N$27,IF(AN$2+$F15&lt;=24,2,3),FALSE)),$C$3)*(1+Projection!AP$16)*(1+IF(AN147&gt;0,'Attrition Modeling'!$N$9,0)))</f>
        <v>0</v>
      </c>
      <c r="AO82" s="799">
        <f>AN82*(1-IFERROR(IF(AO$69+$F82&lt;=12,SUMIFS('Attrition Modeling'!$D:$D,'Attrition Modeling'!$C:$C,'IP Attrition'!$D82,'Attrition Modeling'!$B:$B,'IP Attrition'!AO$68),VLOOKUP($F82+AO$2,$A$6:$C$106,2,FALSE)*VLOOKUP(AO$1,'Attrition Modeling'!$L$15:$N$27,IF(AO$2+$F15&lt;=24,2,3),FALSE)),$C$3)*(1+Projection!AQ$16)*(1+IF(AO147&gt;0,'Attrition Modeling'!$N$9,0)))</f>
        <v>0</v>
      </c>
      <c r="AP82" s="799">
        <f>AO82*(1-IFERROR(IF(AP$69+$F82&lt;=12,SUMIFS('Attrition Modeling'!$D:$D,'Attrition Modeling'!$C:$C,'IP Attrition'!$D82,'Attrition Modeling'!$B:$B,'IP Attrition'!AP$68),VLOOKUP($F82+AP$2,$A$6:$C$106,2,FALSE)*VLOOKUP(AP$1,'Attrition Modeling'!$L$15:$N$27,IF(AP$2+$F15&lt;=24,2,3),FALSE)),$C$3)*(1+Projection!AR$16)*(1+IF(AP147&gt;0,'Attrition Modeling'!$N$9,0)))</f>
        <v>0</v>
      </c>
      <c r="AQ82" s="799">
        <f>AP82*(1-IFERROR(IF(AQ$69+$F82&lt;=12,SUMIFS('Attrition Modeling'!$D:$D,'Attrition Modeling'!$C:$C,'IP Attrition'!$D82,'Attrition Modeling'!$B:$B,'IP Attrition'!AQ$68),VLOOKUP($F82+AQ$2,$A$6:$C$106,2,FALSE)*VLOOKUP(AQ$1,'Attrition Modeling'!$L$15:$N$27,IF(AQ$2+$F15&lt;=24,2,3),FALSE)),$C$3)*(1+Projection!AS$16)*(1+IF(AQ147&gt;0,'Attrition Modeling'!$N$9,0)))</f>
        <v>0</v>
      </c>
      <c r="AR82" s="799">
        <f>AQ82*(1-IFERROR(IF(AR$69+$F82&lt;=12,SUMIFS('Attrition Modeling'!$D:$D,'Attrition Modeling'!$C:$C,'IP Attrition'!$D82,'Attrition Modeling'!$B:$B,'IP Attrition'!AR$68),VLOOKUP($F82+AR$2,$A$6:$C$106,2,FALSE)*VLOOKUP(AR$1,'Attrition Modeling'!$L$15:$N$27,IF(AR$2+$F15&lt;=24,2,3),FALSE)),$C$3)*(1+Projection!AT$16)*(1+IF(AR147&gt;0,'Attrition Modeling'!$N$9,0)))</f>
        <v>0</v>
      </c>
      <c r="AS82" s="799">
        <f>AR82*(1-IFERROR(IF(AS$69+$F82&lt;=12,SUMIFS('Attrition Modeling'!$D:$D,'Attrition Modeling'!$C:$C,'IP Attrition'!$D82,'Attrition Modeling'!$B:$B,'IP Attrition'!AS$68),VLOOKUP($F82+AS$2,$A$6:$C$106,2,FALSE)*VLOOKUP(AS$1,'Attrition Modeling'!$L$15:$N$27,IF(AS$2+$F15&lt;=24,2,3),FALSE)),$C$3)*(1+Projection!AU$16)*(1+IF(AS147&gt;0,'Attrition Modeling'!$N$9,0)))</f>
        <v>0</v>
      </c>
      <c r="AT82" s="799">
        <f>AS82*(1-IFERROR(IF(AT$69+$F82&lt;=12,SUMIFS('Attrition Modeling'!$D:$D,'Attrition Modeling'!$C:$C,'IP Attrition'!$D82,'Attrition Modeling'!$B:$B,'IP Attrition'!AT$68),VLOOKUP($F82+AT$2,$A$6:$C$106,2,FALSE)*VLOOKUP(AT$1,'Attrition Modeling'!$L$15:$N$27,IF(AT$2+$F15&lt;=24,2,3),FALSE)),$C$3)*(1+Projection!AV$16)*(1+IF(AT147&gt;0,'Attrition Modeling'!$N$9,0)))</f>
        <v>0</v>
      </c>
      <c r="AU82" s="799">
        <f>AT82*(1-IFERROR(IF(AU$69+$F82&lt;=12,SUMIFS('Attrition Modeling'!$D:$D,'Attrition Modeling'!$C:$C,'IP Attrition'!$D82,'Attrition Modeling'!$B:$B,'IP Attrition'!AU$68),VLOOKUP($F82+AU$2,$A$6:$C$106,2,FALSE)*VLOOKUP(AU$1,'Attrition Modeling'!$L$15:$N$27,IF(AU$2+$F15&lt;=24,2,3),FALSE)),$C$3)*(1+Projection!AW$16)*(1+IF(AU147&gt;0,'Attrition Modeling'!$N$9,0)))</f>
        <v>0</v>
      </c>
      <c r="AV82" s="799">
        <f>AU82*(1-IFERROR(IF(AV$69+$F82&lt;=12,SUMIFS('Attrition Modeling'!$D:$D,'Attrition Modeling'!$C:$C,'IP Attrition'!$D82,'Attrition Modeling'!$B:$B,'IP Attrition'!AV$68),VLOOKUP($F82+AV$2,$A$6:$C$106,2,FALSE)*VLOOKUP(AV$1,'Attrition Modeling'!$L$15:$N$27,IF(AV$2+$F15&lt;=24,2,3),FALSE)),$C$3)*(1+Projection!AX$16)*(1+IF(AV147&gt;0,'Attrition Modeling'!$N$9,0)))</f>
        <v>0</v>
      </c>
      <c r="AW82" s="799">
        <f>AV82*(1-IFERROR(IF(AW$69+$F82&lt;=12,SUMIFS('Attrition Modeling'!$D:$D,'Attrition Modeling'!$C:$C,'IP Attrition'!$D82,'Attrition Modeling'!$B:$B,'IP Attrition'!AW$68),VLOOKUP($F82+AW$2,$A$6:$C$106,2,FALSE)*VLOOKUP(AW$1,'Attrition Modeling'!$L$15:$N$27,IF(AW$2+$F15&lt;=24,2,3),FALSE)),$C$3)*(1+Projection!AY$16)*(1+IF(AW147&gt;0,'Attrition Modeling'!$N$9,0)))</f>
        <v>0</v>
      </c>
      <c r="AX82" s="799">
        <f>AW82*(1-IFERROR(IF(AX$69+$F82&lt;=12,SUMIFS('Attrition Modeling'!$D:$D,'Attrition Modeling'!$C:$C,'IP Attrition'!$D82,'Attrition Modeling'!$B:$B,'IP Attrition'!AX$68),VLOOKUP($F82+AX$2,$A$6:$C$106,2,FALSE)*VLOOKUP(AX$1,'Attrition Modeling'!$L$15:$N$27,IF(AX$2+$F15&lt;=24,2,3),FALSE)),$C$3)*(1+Projection!AZ$16)*(1+IF(AX147&gt;0,'Attrition Modeling'!$N$9,0)))</f>
        <v>0</v>
      </c>
      <c r="AY82" s="799">
        <f>AX82*(1-IFERROR(IF(AY$69+$F82&lt;=12,SUMIFS('Attrition Modeling'!$D:$D,'Attrition Modeling'!$C:$C,'IP Attrition'!$D82,'Attrition Modeling'!$B:$B,'IP Attrition'!AY$68),VLOOKUP($F82+AY$2,$A$6:$C$106,2,FALSE)*VLOOKUP(AY$1,'Attrition Modeling'!$L$15:$N$27,IF(AY$2+$F15&lt;=24,2,3),FALSE)),$C$3)*(1+Projection!BA$16)*(1+IF(AY147&gt;0,'Attrition Modeling'!$N$9,0)))</f>
        <v>0</v>
      </c>
      <c r="AZ82" s="799">
        <f>AY82*(1-IFERROR(IF(AZ$69+$F82&lt;=12,SUMIFS('Attrition Modeling'!$D:$D,'Attrition Modeling'!$C:$C,'IP Attrition'!$D82,'Attrition Modeling'!$B:$B,'IP Attrition'!AZ$68),VLOOKUP($F82+AZ$2,$A$6:$C$106,2,FALSE)*VLOOKUP(AZ$1,'Attrition Modeling'!$L$15:$N$27,IF(AZ$2+$F15&lt;=24,2,3),FALSE)),$C$3)*(1+Projection!BB$16)*(1+IF(AZ147&gt;0,'Attrition Modeling'!$N$9,0)))</f>
        <v>0</v>
      </c>
      <c r="BA82" s="799">
        <f>AZ82*(1-IFERROR(IF(BA$69+$F82&lt;=12,SUMIFS('Attrition Modeling'!$D:$D,'Attrition Modeling'!$C:$C,'IP Attrition'!$D82,'Attrition Modeling'!$B:$B,'IP Attrition'!BA$68),VLOOKUP($F82+BA$2,$A$6:$C$106,2,FALSE)*VLOOKUP(BA$1,'Attrition Modeling'!$L$15:$N$27,IF(BA$2+$F15&lt;=24,2,3),FALSE)),$C$3)*(1+Projection!BC$16)*(1+IF(BA147&gt;0,'Attrition Modeling'!$N$9,0)))</f>
        <v>0</v>
      </c>
      <c r="BB82" s="799">
        <f>BA82*(1-IFERROR(IF(BB$69+$F82&lt;=12,SUMIFS('Attrition Modeling'!$D:$D,'Attrition Modeling'!$C:$C,'IP Attrition'!$D82,'Attrition Modeling'!$B:$B,'IP Attrition'!BB$68),VLOOKUP($F82+BB$2,$A$6:$C$106,2,FALSE)*VLOOKUP(BB$1,'Attrition Modeling'!$L$15:$N$27,IF(BB$2+$F15&lt;=24,2,3),FALSE)),$C$3)*(1+Projection!BD$16)*(1+IF(BB147&gt;0,'Attrition Modeling'!$N$9,0)))</f>
        <v>0</v>
      </c>
      <c r="BC82" s="799">
        <f>BB82*(1-IFERROR(IF(BC$69+$F82&lt;=12,SUMIFS('Attrition Modeling'!$D:$D,'Attrition Modeling'!$C:$C,'IP Attrition'!$D82,'Attrition Modeling'!$B:$B,'IP Attrition'!BC$68),VLOOKUP($F82+BC$2,$A$6:$C$106,2,FALSE)*VLOOKUP(BC$1,'Attrition Modeling'!$L$15:$N$27,IF(BC$2+$F15&lt;=24,2,3),FALSE)),$C$3)*(1+Projection!BE$16)*(1+IF(BC147&gt;0,'Attrition Modeling'!$N$9,0)))</f>
        <v>0</v>
      </c>
      <c r="BD82" s="799">
        <f>BC82*(1-IFERROR(IF(BD$69+$F82&lt;=12,SUMIFS('Attrition Modeling'!$D:$D,'Attrition Modeling'!$C:$C,'IP Attrition'!$D82,'Attrition Modeling'!$B:$B,'IP Attrition'!BD$68),VLOOKUP($F82+BD$2,$A$6:$C$106,2,FALSE)*VLOOKUP(BD$1,'Attrition Modeling'!$L$15:$N$27,IF(BD$2+$F15&lt;=24,2,3),FALSE)),$C$3)*(1+Projection!BF$16)*(1+IF(BD147&gt;0,'Attrition Modeling'!$N$9,0)))</f>
        <v>0</v>
      </c>
      <c r="BE82" s="799">
        <f>BD82*(1-IFERROR(IF(BE$69+$F82&lt;=12,SUMIFS('Attrition Modeling'!$D:$D,'Attrition Modeling'!$C:$C,'IP Attrition'!$D82,'Attrition Modeling'!$B:$B,'IP Attrition'!BE$68),VLOOKUP($F82+BE$2,$A$6:$C$106,2,FALSE)*VLOOKUP(BE$1,'Attrition Modeling'!$L$15:$N$27,IF(BE$2+$F15&lt;=24,2,3),FALSE)),$C$3)*(1+Projection!BG$16)*(1+IF(BE147&gt;0,'Attrition Modeling'!$N$9,0)))</f>
        <v>0</v>
      </c>
      <c r="BF82" s="799">
        <f>BE82*(1-IFERROR(IF(BF$69+$F82&lt;=12,SUMIFS('Attrition Modeling'!$D:$D,'Attrition Modeling'!$C:$C,'IP Attrition'!$D82,'Attrition Modeling'!$B:$B,'IP Attrition'!BF$68),VLOOKUP($F82+BF$2,$A$6:$C$106,2,FALSE)*VLOOKUP(BF$1,'Attrition Modeling'!$L$15:$N$27,IF(BF$2+$F15&lt;=24,2,3),FALSE)),$C$3)*(1+Projection!BH$16)*(1+IF(BF147&gt;0,'Attrition Modeling'!$N$9,0)))</f>
        <v>0</v>
      </c>
      <c r="BG82" s="799">
        <f>BF82*(1-IFERROR(IF(BG$69+$F82&lt;=12,SUMIFS('Attrition Modeling'!$D:$D,'Attrition Modeling'!$C:$C,'IP Attrition'!$D82,'Attrition Modeling'!$B:$B,'IP Attrition'!BG$68),VLOOKUP($F82+BG$2,$A$6:$C$106,2,FALSE)*VLOOKUP(BG$1,'Attrition Modeling'!$L$15:$N$27,IF(BG$2+$F15&lt;=24,2,3),FALSE)),$C$3)*(1+Projection!BI$16)*(1+IF(BG147&gt;0,'Attrition Modeling'!$N$9,0)))</f>
        <v>0</v>
      </c>
      <c r="BH82" s="799">
        <f>BG82*(1-IFERROR(IF(BH$69+$F82&lt;=12,SUMIFS('Attrition Modeling'!$D:$D,'Attrition Modeling'!$C:$C,'IP Attrition'!$D82,'Attrition Modeling'!$B:$B,'IP Attrition'!BH$68),VLOOKUP($F82+BH$2,$A$6:$C$106,2,FALSE)*VLOOKUP(BH$1,'Attrition Modeling'!$L$15:$N$27,IF(BH$2+$F15&lt;=24,2,3),FALSE)),$C$3)*(1+Projection!BJ$16)*(1+IF(BH147&gt;0,'Attrition Modeling'!$N$9,0)))</f>
        <v>0</v>
      </c>
      <c r="BI82" s="799">
        <f>BH82*(1-IFERROR(IF(BI$69+$F82&lt;=12,SUMIFS('Attrition Modeling'!$D:$D,'Attrition Modeling'!$C:$C,'IP Attrition'!$D82,'Attrition Modeling'!$B:$B,'IP Attrition'!BI$68),VLOOKUP($F82+BI$2,$A$6:$C$106,2,FALSE)*VLOOKUP(BI$1,'Attrition Modeling'!$L$15:$N$27,IF(BI$2+$F15&lt;=24,2,3),FALSE)),$C$3)*(1+Projection!BK$16)*(1+IF(BI147&gt;0,'Attrition Modeling'!$N$9,0)))</f>
        <v>0</v>
      </c>
      <c r="BJ82" s="799">
        <f>BI82*(1-IFERROR(IF(BJ$69+$F82&lt;=12,SUMIFS('Attrition Modeling'!$D:$D,'Attrition Modeling'!$C:$C,'IP Attrition'!$D82,'Attrition Modeling'!$B:$B,'IP Attrition'!BJ$68),VLOOKUP($F82+BJ$2,$A$6:$C$106,2,FALSE)*VLOOKUP(BJ$1,'Attrition Modeling'!$L$15:$N$27,IF(BJ$2+$F15&lt;=24,2,3),FALSE)),$C$3)*(1+Projection!BL$16)*(1+IF(BJ147&gt;0,'Attrition Modeling'!$N$9,0)))</f>
        <v>0</v>
      </c>
      <c r="BK82" s="799">
        <f>BJ82*(1-IFERROR(IF(BK$69+$F82&lt;=12,SUMIFS('Attrition Modeling'!$D:$D,'Attrition Modeling'!$C:$C,'IP Attrition'!$D82,'Attrition Modeling'!$B:$B,'IP Attrition'!BK$68),VLOOKUP($F82+BK$2,$A$6:$C$106,2,FALSE)*VLOOKUP(BK$1,'Attrition Modeling'!$L$15:$N$27,IF(BK$2+$F15&lt;=24,2,3),FALSE)),$C$3)*(1+Projection!BM$16)*(1+IF(BK147&gt;0,'Attrition Modeling'!$N$9,0)))</f>
        <v>0</v>
      </c>
      <c r="BL82" s="799">
        <f>BK82*(1-IFERROR(IF(BL$69+$F82&lt;=12,SUMIFS('Attrition Modeling'!$D:$D,'Attrition Modeling'!$C:$C,'IP Attrition'!$D82,'Attrition Modeling'!$B:$B,'IP Attrition'!BL$68),VLOOKUP($F82+BL$2,$A$6:$C$106,2,FALSE)*VLOOKUP(BL$1,'Attrition Modeling'!$L$15:$N$27,IF(BL$2+$F15&lt;=24,2,3),FALSE)),$C$3)*(1+Projection!BN$16)*(1+IF(BL147&gt;0,'Attrition Modeling'!$N$9,0)))</f>
        <v>0</v>
      </c>
      <c r="BM82" s="799">
        <f>BL82*(1-IFERROR(IF(BM$69+$F82&lt;=12,SUMIFS('Attrition Modeling'!$D:$D,'Attrition Modeling'!$C:$C,'IP Attrition'!$D82,'Attrition Modeling'!$B:$B,'IP Attrition'!BM$68),VLOOKUP($F82+BM$2,$A$6:$C$106,2,FALSE)*VLOOKUP(BM$1,'Attrition Modeling'!$L$15:$N$27,IF(BM$2+$F15&lt;=24,2,3),FALSE)),$C$3)*(1+Projection!BO$16)*(1+IF(BM147&gt;0,'Attrition Modeling'!$N$9,0)))</f>
        <v>0</v>
      </c>
      <c r="BN82" s="799">
        <f>BM82*(1-IFERROR(IF(BN$69+$F82&lt;=12,SUMIFS('Attrition Modeling'!$D:$D,'Attrition Modeling'!$C:$C,'IP Attrition'!$D82,'Attrition Modeling'!$B:$B,'IP Attrition'!BN$68),VLOOKUP($F82+BN$2,$A$6:$C$106,2,FALSE)*VLOOKUP(BN$1,'Attrition Modeling'!$L$15:$N$27,IF(BN$2+$F15&lt;=24,2,3),FALSE)),$C$3)*(1+Projection!BP$16)*(1+IF(BN147&gt;0,'Attrition Modeling'!$N$9,0)))</f>
        <v>0</v>
      </c>
      <c r="BO82" s="799">
        <f>BN82*(1-IFERROR(IF(BO$69+$F82&lt;=12,SUMIFS('Attrition Modeling'!$D:$D,'Attrition Modeling'!$C:$C,'IP Attrition'!$D82,'Attrition Modeling'!$B:$B,'IP Attrition'!BO$68),VLOOKUP($F82+BO$2,$A$6:$C$106,2,FALSE)*VLOOKUP(BO$1,'Attrition Modeling'!$L$15:$N$27,IF(BO$2+$F15&lt;=24,2,3),FALSE)),$C$3)*(1+Projection!BV$16)*(1+IF(BO147&gt;0,'Attrition Modeling'!$N$9,0)))</f>
        <v>0</v>
      </c>
      <c r="BP82" s="799">
        <f>BO82*(1-IFERROR(IF(BP$69+$F82&lt;=12,SUMIFS('Attrition Modeling'!$D:$D,'Attrition Modeling'!$C:$C,'IP Attrition'!$D82,'Attrition Modeling'!$B:$B,'IP Attrition'!BP$68),VLOOKUP($F82+BP$2,$A$6:$C$106,2,FALSE)*VLOOKUP(BP$1,'Attrition Modeling'!$L$15:$N$27,IF(BP$2+$F15&lt;=24,2,3),FALSE)),$C$3)*(1+Projection!BW$16)*(1+IF(BP147&gt;0,'Attrition Modeling'!$N$9,0)))</f>
        <v>0</v>
      </c>
      <c r="BQ82" s="799">
        <f>BP82*(1-IFERROR(IF(BQ$69+$F82&lt;=12,SUMIFS('Attrition Modeling'!$D:$D,'Attrition Modeling'!$C:$C,'IP Attrition'!$D82,'Attrition Modeling'!$B:$B,'IP Attrition'!BQ$68),VLOOKUP($F82+BQ$2,$A$6:$C$106,2,FALSE)*VLOOKUP(BQ$1,'Attrition Modeling'!$L$15:$N$27,IF(BQ$2+$F15&lt;=24,2,3),FALSE)),$C$3)*(1+Projection!BX$16)*(1+IF(BQ147&gt;0,'Attrition Modeling'!$N$9,0)))</f>
        <v>0</v>
      </c>
      <c r="BR82" s="799">
        <f>BQ82*(1-IFERROR(IF(BR$69+$F82&lt;=12,SUMIFS('Attrition Modeling'!$D:$D,'Attrition Modeling'!$C:$C,'IP Attrition'!$D82,'Attrition Modeling'!$B:$B,'IP Attrition'!BR$68),VLOOKUP($F82+BR$2,$A$6:$C$106,2,FALSE)*VLOOKUP(BR$1,'Attrition Modeling'!$L$15:$N$27,IF(BR$2+$F15&lt;=24,2,3),FALSE)),$C$3)*(1+Projection!BY$16)*(1+IF(BR147&gt;0,'Attrition Modeling'!$N$9,0)))</f>
        <v>0</v>
      </c>
      <c r="BS82" s="799">
        <f>BR82*(1-IFERROR(IF(BS$69+$F82&lt;=12,SUMIFS('Attrition Modeling'!$D:$D,'Attrition Modeling'!$C:$C,'IP Attrition'!$D82,'Attrition Modeling'!$B:$B,'IP Attrition'!BS$68),VLOOKUP($F82+BS$2,$A$6:$C$106,2,FALSE)*VLOOKUP(BS$1,'Attrition Modeling'!$L$15:$N$27,IF(BS$2+$F15&lt;=24,2,3),FALSE)),$C$3)*(1+Projection!BZ$16)*(1+IF(BS147&gt;0,'Attrition Modeling'!$N$9,0)))</f>
        <v>0</v>
      </c>
      <c r="BT82" s="799" t="e">
        <f>BS82*(1-IFERROR(IF(BT$69+$F82&lt;=12,SUMIFS('Attrition Modeling'!$D:$D,'Attrition Modeling'!$C:$C,'IP Attrition'!$D82,'Attrition Modeling'!$B:$B,'IP Attrition'!BT$68),VLOOKUP($F82+BT$2,$A$6:$C$106,2,FALSE)*VLOOKUP(BT$1,'Attrition Modeling'!$L$15:$N$27,IF(BT$2+$F15&lt;=24,2,3),FALSE)),$C$3)*(1+Projection!CA$16)*(1+IF(BT147&gt;0,'Attrition Modeling'!$N$9,0)))</f>
        <v>#REF!</v>
      </c>
      <c r="BU82" s="799" t="e">
        <f>BT82*(1-IFERROR(IF(BU$69+$F82&lt;=12,SUMIFS('Attrition Modeling'!$D:$D,'Attrition Modeling'!$C:$C,'IP Attrition'!$D82,'Attrition Modeling'!$B:$B,'IP Attrition'!BU$68),VLOOKUP($F82+BU$2,$A$6:$C$106,2,FALSE)*VLOOKUP(BU$1,'Attrition Modeling'!$L$15:$N$27,IF(BU$2+$F15&lt;=24,2,3),FALSE)),$C$3)*(1+Projection!CB$16)*(1+IF(BU147&gt;0,'Attrition Modeling'!$N$9,0)))</f>
        <v>#REF!</v>
      </c>
    </row>
    <row r="83" spans="1:73" ht="14.25" customHeight="1" x14ac:dyDescent="0.2">
      <c r="A83" s="9">
        <v>76</v>
      </c>
      <c r="B83" s="25">
        <f>MAX('Attrition Modeling'!H80,$C$3)*(1-Summary!$C$20)</f>
        <v>2.0451962362866477E-2</v>
      </c>
      <c r="C83" s="24" t="e">
        <f t="shared" si="3"/>
        <v>#DIV/0!</v>
      </c>
      <c r="D83" s="11">
        <f t="shared" ref="D83:E83" si="21">D16</f>
        <v>-13</v>
      </c>
      <c r="E83" s="25">
        <f t="shared" si="21"/>
        <v>0</v>
      </c>
      <c r="F83" s="11">
        <f t="shared" si="9"/>
        <v>13</v>
      </c>
      <c r="G83" s="799">
        <f>Summary!$C$24*$E83</f>
        <v>0</v>
      </c>
      <c r="H83" s="799">
        <f>G83*(1-IFERROR(IF(H$69+$F83&lt;=12,SUMIFS('Attrition Modeling'!$D:$D,'Attrition Modeling'!$C:$C,'IP Attrition'!$D83,'Attrition Modeling'!$B:$B,'IP Attrition'!H$68),VLOOKUP($F83+H$2,$A$6:$C$106,2,FALSE)*VLOOKUP(H$1,'Attrition Modeling'!$L$15:$N$27,IF(H$2+$F16&lt;=24,2,3),FALSE)),$C$3)*(1+Projection!J$16)*(1+IF(H148&gt;0,'Attrition Modeling'!$N$9,0)))</f>
        <v>0</v>
      </c>
      <c r="I83" s="799">
        <f>H83*(1-IFERROR(IF(I$69+$F83&lt;=12,SUMIFS('Attrition Modeling'!$D:$D,'Attrition Modeling'!$C:$C,'IP Attrition'!$D83,'Attrition Modeling'!$B:$B,'IP Attrition'!I$68),VLOOKUP($F83+I$2,$A$6:$C$106,2,FALSE)*VLOOKUP(I$1,'Attrition Modeling'!$L$15:$N$27,IF(I$2+$F16&lt;=24,2,3),FALSE)),$C$3)*(1+Projection!K$16)*(1+IF(I148&gt;0,'Attrition Modeling'!$N$9,0)))</f>
        <v>0</v>
      </c>
      <c r="J83" s="799">
        <f>I83*(1-IFERROR(IF(J$69+$F83&lt;=12,SUMIFS('Attrition Modeling'!$D:$D,'Attrition Modeling'!$C:$C,'IP Attrition'!$D83,'Attrition Modeling'!$B:$B,'IP Attrition'!J$68),VLOOKUP($F83+J$2,$A$6:$C$106,2,FALSE)*VLOOKUP(J$1,'Attrition Modeling'!$L$15:$N$27,IF(J$2+$F16&lt;=24,2,3),FALSE)),$C$3)*(1+Projection!L$16)*(1+IF(J148&gt;0,'Attrition Modeling'!$N$9,0)))</f>
        <v>0</v>
      </c>
      <c r="K83" s="799">
        <f>J83*(1-IFERROR(IF(K$69+$F83&lt;=12,SUMIFS('Attrition Modeling'!$D:$D,'Attrition Modeling'!$C:$C,'IP Attrition'!$D83,'Attrition Modeling'!$B:$B,'IP Attrition'!K$68),VLOOKUP($F83+K$2,$A$6:$C$106,2,FALSE)*VLOOKUP(K$1,'Attrition Modeling'!$L$15:$N$27,IF(K$2+$F16&lt;=24,2,3),FALSE)),$C$3)*(1+Projection!M$16)*(1+IF(K148&gt;0,'Attrition Modeling'!$N$9,0)))</f>
        <v>0</v>
      </c>
      <c r="L83" s="799">
        <f>K83*(1-IFERROR(IF(L$69+$F83&lt;=12,SUMIFS('Attrition Modeling'!$D:$D,'Attrition Modeling'!$C:$C,'IP Attrition'!$D83,'Attrition Modeling'!$B:$B,'IP Attrition'!L$68),VLOOKUP($F83+L$2,$A$6:$C$106,2,FALSE)*VLOOKUP(L$1,'Attrition Modeling'!$L$15:$N$27,IF(L$2+$F16&lt;=24,2,3),FALSE)),$C$3)*(1+Projection!N$16)*(1+IF(L148&gt;0,'Attrition Modeling'!$N$9,0)))</f>
        <v>0</v>
      </c>
      <c r="M83" s="799">
        <f>L83*(1-IFERROR(IF(M$69+$F83&lt;=12,SUMIFS('Attrition Modeling'!$D:$D,'Attrition Modeling'!$C:$C,'IP Attrition'!$D83,'Attrition Modeling'!$B:$B,'IP Attrition'!M$68),VLOOKUP($F83+M$2,$A$6:$C$106,2,FALSE)*VLOOKUP(M$1,'Attrition Modeling'!$L$15:$N$27,IF(M$2+$F16&lt;=24,2,3),FALSE)),$C$3)*(1+Projection!O$16)*(1+IF(M148&gt;0,'Attrition Modeling'!$N$9,0)))</f>
        <v>0</v>
      </c>
      <c r="N83" s="799">
        <f>M83*(1-IFERROR(IF(N$69+$F83&lt;=12,SUMIFS('Attrition Modeling'!$D:$D,'Attrition Modeling'!$C:$C,'IP Attrition'!$D83,'Attrition Modeling'!$B:$B,'IP Attrition'!N$68),VLOOKUP($F83+N$2,$A$6:$C$106,2,FALSE)*VLOOKUP(N$1,'Attrition Modeling'!$L$15:$N$27,IF(N$2+$F16&lt;=24,2,3),FALSE)),$C$3)*(1+Projection!P$16)*(1+IF(N148&gt;0,'Attrition Modeling'!$N$9,0)))</f>
        <v>0</v>
      </c>
      <c r="O83" s="799">
        <f>N83*(1-IFERROR(IF(O$69+$F83&lt;=12,SUMIFS('Attrition Modeling'!$D:$D,'Attrition Modeling'!$C:$C,'IP Attrition'!$D83,'Attrition Modeling'!$B:$B,'IP Attrition'!O$68),VLOOKUP($F83+O$2,$A$6:$C$106,2,FALSE)*VLOOKUP(O$1,'Attrition Modeling'!$L$15:$N$27,IF(O$2+$F16&lt;=24,2,3),FALSE)),$C$3)*(1+Projection!Q$16)*(1+IF(O148&gt;0,'Attrition Modeling'!$N$9,0)))</f>
        <v>0</v>
      </c>
      <c r="P83" s="799">
        <f>O83*(1-IFERROR(IF(P$69+$F83&lt;=12,SUMIFS('Attrition Modeling'!$D:$D,'Attrition Modeling'!$C:$C,'IP Attrition'!$D83,'Attrition Modeling'!$B:$B,'IP Attrition'!P$68),VLOOKUP($F83+P$2,$A$6:$C$106,2,FALSE)*VLOOKUP(P$1,'Attrition Modeling'!$L$15:$N$27,IF(P$2+$F16&lt;=24,2,3),FALSE)),$C$3)*(1+Projection!R$16)*(1+IF(P148&gt;0,'Attrition Modeling'!$N$9,0)))</f>
        <v>0</v>
      </c>
      <c r="Q83" s="799">
        <f>P83*(1-IFERROR(IF(Q$69+$F83&lt;=12,SUMIFS('Attrition Modeling'!$D:$D,'Attrition Modeling'!$C:$C,'IP Attrition'!$D83,'Attrition Modeling'!$B:$B,'IP Attrition'!Q$68),VLOOKUP($F83+Q$2,$A$6:$C$106,2,FALSE)*VLOOKUP(Q$1,'Attrition Modeling'!$L$15:$N$27,IF(Q$2+$F16&lt;=24,2,3),FALSE)),$C$3)*(1+Projection!S$16)*(1+IF(Q148&gt;0,'Attrition Modeling'!$N$9,0)))</f>
        <v>0</v>
      </c>
      <c r="R83" s="799">
        <f>Q83*(1-IFERROR(IF(R$69+$F83&lt;=12,SUMIFS('Attrition Modeling'!$D:$D,'Attrition Modeling'!$C:$C,'IP Attrition'!$D83,'Attrition Modeling'!$B:$B,'IP Attrition'!R$68),VLOOKUP($F83+R$2,$A$6:$C$106,2,FALSE)*VLOOKUP(R$1,'Attrition Modeling'!$L$15:$N$27,IF(R$2+$F16&lt;=24,2,3),FALSE)),$C$3)*(1+Projection!T$16)*(1+IF(R148&gt;0,'Attrition Modeling'!$N$9,0)))</f>
        <v>0</v>
      </c>
      <c r="S83" s="799">
        <f>R83*(1-IFERROR(IF(S$69+$F83&lt;=12,SUMIFS('Attrition Modeling'!$D:$D,'Attrition Modeling'!$C:$C,'IP Attrition'!$D83,'Attrition Modeling'!$B:$B,'IP Attrition'!S$68),VLOOKUP($F83+S$2,$A$6:$C$106,2,FALSE)*VLOOKUP(S$1,'Attrition Modeling'!$L$15:$N$27,IF(S$2+$F16&lt;=24,2,3),FALSE)),$C$3)*(1+Projection!U$16)*(1+IF(S148&gt;0,'Attrition Modeling'!$N$9,0)))</f>
        <v>0</v>
      </c>
      <c r="T83" s="799">
        <f>S83*(1-IFERROR(IF(T$69+$F83&lt;=12,SUMIFS('Attrition Modeling'!$D:$D,'Attrition Modeling'!$C:$C,'IP Attrition'!$D83,'Attrition Modeling'!$B:$B,'IP Attrition'!T$68),VLOOKUP($F83+T$2,$A$6:$C$106,2,FALSE)*VLOOKUP(T$1,'Attrition Modeling'!$L$15:$N$27,IF(T$2+$F16&lt;=24,2,3),FALSE)),$C$3)*(1+Projection!V$16)*(1+IF(T148&gt;0,'Attrition Modeling'!$N$9,0)))</f>
        <v>0</v>
      </c>
      <c r="U83" s="799">
        <f>T83*(1-IFERROR(IF(U$69+$F83&lt;=12,SUMIFS('Attrition Modeling'!$D:$D,'Attrition Modeling'!$C:$C,'IP Attrition'!$D83,'Attrition Modeling'!$B:$B,'IP Attrition'!U$68),VLOOKUP($F83+U$2,$A$6:$C$106,2,FALSE)*VLOOKUP(U$1,'Attrition Modeling'!$L$15:$N$27,IF(U$2+$F16&lt;=24,2,3),FALSE)),$C$3)*(1+Projection!W$16)*(1+IF(U148&gt;0,'Attrition Modeling'!$N$9,0)))</f>
        <v>0</v>
      </c>
      <c r="V83" s="799">
        <f>U83*(1-IFERROR(IF(V$69+$F83&lt;=12,SUMIFS('Attrition Modeling'!$D:$D,'Attrition Modeling'!$C:$C,'IP Attrition'!$D83,'Attrition Modeling'!$B:$B,'IP Attrition'!V$68),VLOOKUP($F83+V$2,$A$6:$C$106,2,FALSE)*VLOOKUP(V$1,'Attrition Modeling'!$L$15:$N$27,IF(V$2+$F16&lt;=24,2,3),FALSE)),$C$3)*(1+Projection!X$16)*(1+IF(V148&gt;0,'Attrition Modeling'!$N$9,0)))</f>
        <v>0</v>
      </c>
      <c r="W83" s="799">
        <f>V83*(1-IFERROR(IF(W$69+$F83&lt;=12,SUMIFS('Attrition Modeling'!$D:$D,'Attrition Modeling'!$C:$C,'IP Attrition'!$D83,'Attrition Modeling'!$B:$B,'IP Attrition'!W$68),VLOOKUP($F83+W$2,$A$6:$C$106,2,FALSE)*VLOOKUP(W$1,'Attrition Modeling'!$L$15:$N$27,IF(W$2+$F16&lt;=24,2,3),FALSE)),$C$3)*(1+Projection!Y$16)*(1+IF(W148&gt;0,'Attrition Modeling'!$N$9,0)))</f>
        <v>0</v>
      </c>
      <c r="X83" s="799">
        <f>W83*(1-IFERROR(IF(X$69+$F83&lt;=12,SUMIFS('Attrition Modeling'!$D:$D,'Attrition Modeling'!$C:$C,'IP Attrition'!$D83,'Attrition Modeling'!$B:$B,'IP Attrition'!X$68),VLOOKUP($F83+X$2,$A$6:$C$106,2,FALSE)*VLOOKUP(X$1,'Attrition Modeling'!$L$15:$N$27,IF(X$2+$F16&lt;=24,2,3),FALSE)),$C$3)*(1+Projection!Z$16)*(1+IF(X148&gt;0,'Attrition Modeling'!$N$9,0)))</f>
        <v>0</v>
      </c>
      <c r="Y83" s="799">
        <f>X83*(1-IFERROR(IF(Y$69+$F83&lt;=12,SUMIFS('Attrition Modeling'!$D:$D,'Attrition Modeling'!$C:$C,'IP Attrition'!$D83,'Attrition Modeling'!$B:$B,'IP Attrition'!Y$68),VLOOKUP($F83+Y$2,$A$6:$C$106,2,FALSE)*VLOOKUP(Y$1,'Attrition Modeling'!$L$15:$N$27,IF(Y$2+$F16&lt;=24,2,3),FALSE)),$C$3)*(1+Projection!AA$16)*(1+IF(Y148&gt;0,'Attrition Modeling'!$N$9,0)))</f>
        <v>0</v>
      </c>
      <c r="Z83" s="799">
        <f>Y83*(1-IFERROR(IF(Z$69+$F83&lt;=12,SUMIFS('Attrition Modeling'!$D:$D,'Attrition Modeling'!$C:$C,'IP Attrition'!$D83,'Attrition Modeling'!$B:$B,'IP Attrition'!Z$68),VLOOKUP($F83+Z$2,$A$6:$C$106,2,FALSE)*VLOOKUP(Z$1,'Attrition Modeling'!$L$15:$N$27,IF(Z$2+$F16&lt;=24,2,3),FALSE)),$C$3)*(1+Projection!AB$16)*(1+IF(Z148&gt;0,'Attrition Modeling'!$N$9,0)))</f>
        <v>0</v>
      </c>
      <c r="AA83" s="799">
        <f>Z83*(1-IFERROR(IF(AA$69+$F83&lt;=12,SUMIFS('Attrition Modeling'!$D:$D,'Attrition Modeling'!$C:$C,'IP Attrition'!$D83,'Attrition Modeling'!$B:$B,'IP Attrition'!AA$68),VLOOKUP($F83+AA$2,$A$6:$C$106,2,FALSE)*VLOOKUP(AA$1,'Attrition Modeling'!$L$15:$N$27,IF(AA$2+$F16&lt;=24,2,3),FALSE)),$C$3)*(1+Projection!AC$16)*(1+IF(AA148&gt;0,'Attrition Modeling'!$N$9,0)))</f>
        <v>0</v>
      </c>
      <c r="AB83" s="799">
        <f>AA83*(1-IFERROR(IF(AB$69+$F83&lt;=12,SUMIFS('Attrition Modeling'!$D:$D,'Attrition Modeling'!$C:$C,'IP Attrition'!$D83,'Attrition Modeling'!$B:$B,'IP Attrition'!AB$68),VLOOKUP($F83+AB$2,$A$6:$C$106,2,FALSE)*VLOOKUP(AB$1,'Attrition Modeling'!$L$15:$N$27,IF(AB$2+$F16&lt;=24,2,3),FALSE)),$C$3)*(1+Projection!AD$16)*(1+IF(AB148&gt;0,'Attrition Modeling'!$N$9,0)))</f>
        <v>0</v>
      </c>
      <c r="AC83" s="799">
        <f>AB83*(1-IFERROR(IF(AC$69+$F83&lt;=12,SUMIFS('Attrition Modeling'!$D:$D,'Attrition Modeling'!$C:$C,'IP Attrition'!$D83,'Attrition Modeling'!$B:$B,'IP Attrition'!AC$68),VLOOKUP($F83+AC$2,$A$6:$C$106,2,FALSE)*VLOOKUP(AC$1,'Attrition Modeling'!$L$15:$N$27,IF(AC$2+$F16&lt;=24,2,3),FALSE)),$C$3)*(1+Projection!AE$16)*(1+IF(AC148&gt;0,'Attrition Modeling'!$N$9,0)))</f>
        <v>0</v>
      </c>
      <c r="AD83" s="799">
        <f>AC83*(1-IFERROR(IF(AD$69+$F83&lt;=12,SUMIFS('Attrition Modeling'!$D:$D,'Attrition Modeling'!$C:$C,'IP Attrition'!$D83,'Attrition Modeling'!$B:$B,'IP Attrition'!AD$68),VLOOKUP($F83+AD$2,$A$6:$C$106,2,FALSE)*VLOOKUP(AD$1,'Attrition Modeling'!$L$15:$N$27,IF(AD$2+$F16&lt;=24,2,3),FALSE)),$C$3)*(1+Projection!AF$16)*(1+IF(AD148&gt;0,'Attrition Modeling'!$N$9,0)))</f>
        <v>0</v>
      </c>
      <c r="AE83" s="799">
        <f>AD83*(1-IFERROR(IF(AE$69+$F83&lt;=12,SUMIFS('Attrition Modeling'!$D:$D,'Attrition Modeling'!$C:$C,'IP Attrition'!$D83,'Attrition Modeling'!$B:$B,'IP Attrition'!AE$68),VLOOKUP($F83+AE$2,$A$6:$C$106,2,FALSE)*VLOOKUP(AE$1,'Attrition Modeling'!$L$15:$N$27,IF(AE$2+$F16&lt;=24,2,3),FALSE)),$C$3)*(1+Projection!AG$16)*(1+IF(AE148&gt;0,'Attrition Modeling'!$N$9,0)))</f>
        <v>0</v>
      </c>
      <c r="AF83" s="799">
        <f>AE83*(1-IFERROR(IF(AF$69+$F83&lt;=12,SUMIFS('Attrition Modeling'!$D:$D,'Attrition Modeling'!$C:$C,'IP Attrition'!$D83,'Attrition Modeling'!$B:$B,'IP Attrition'!AF$68),VLOOKUP($F83+AF$2,$A$6:$C$106,2,FALSE)*VLOOKUP(AF$1,'Attrition Modeling'!$L$15:$N$27,IF(AF$2+$F16&lt;=24,2,3),FALSE)),$C$3)*(1+Projection!AH$16)*(1+IF(AF148&gt;0,'Attrition Modeling'!$N$9,0)))</f>
        <v>0</v>
      </c>
      <c r="AG83" s="799">
        <f>AF83*(1-IFERROR(IF(AG$69+$F83&lt;=12,SUMIFS('Attrition Modeling'!$D:$D,'Attrition Modeling'!$C:$C,'IP Attrition'!$D83,'Attrition Modeling'!$B:$B,'IP Attrition'!AG$68),VLOOKUP($F83+AG$2,$A$6:$C$106,2,FALSE)*VLOOKUP(AG$1,'Attrition Modeling'!$L$15:$N$27,IF(AG$2+$F16&lt;=24,2,3),FALSE)),$C$3)*(1+Projection!AI$16)*(1+IF(AG148&gt;0,'Attrition Modeling'!$N$9,0)))</f>
        <v>0</v>
      </c>
      <c r="AH83" s="799">
        <f>AG83*(1-IFERROR(IF(AH$69+$F83&lt;=12,SUMIFS('Attrition Modeling'!$D:$D,'Attrition Modeling'!$C:$C,'IP Attrition'!$D83,'Attrition Modeling'!$B:$B,'IP Attrition'!AH$68),VLOOKUP($F83+AH$2,$A$6:$C$106,2,FALSE)*VLOOKUP(AH$1,'Attrition Modeling'!$L$15:$N$27,IF(AH$2+$F16&lt;=24,2,3),FALSE)),$C$3)*(1+Projection!AJ$16)*(1+IF(AH148&gt;0,'Attrition Modeling'!$N$9,0)))</f>
        <v>0</v>
      </c>
      <c r="AI83" s="799">
        <f>AH83*(1-IFERROR(IF(AI$69+$F83&lt;=12,SUMIFS('Attrition Modeling'!$D:$D,'Attrition Modeling'!$C:$C,'IP Attrition'!$D83,'Attrition Modeling'!$B:$B,'IP Attrition'!AI$68),VLOOKUP($F83+AI$2,$A$6:$C$106,2,FALSE)*VLOOKUP(AI$1,'Attrition Modeling'!$L$15:$N$27,IF(AI$2+$F16&lt;=24,2,3),FALSE)),$C$3)*(1+Projection!AK$16)*(1+IF(AI148&gt;0,'Attrition Modeling'!$N$9,0)))</f>
        <v>0</v>
      </c>
      <c r="AJ83" s="799">
        <f>AI83*(1-IFERROR(IF(AJ$69+$F83&lt;=12,SUMIFS('Attrition Modeling'!$D:$D,'Attrition Modeling'!$C:$C,'IP Attrition'!$D83,'Attrition Modeling'!$B:$B,'IP Attrition'!AJ$68),VLOOKUP($F83+AJ$2,$A$6:$C$106,2,FALSE)*VLOOKUP(AJ$1,'Attrition Modeling'!$L$15:$N$27,IF(AJ$2+$F16&lt;=24,2,3),FALSE)),$C$3)*(1+Projection!AL$16)*(1+IF(AJ148&gt;0,'Attrition Modeling'!$N$9,0)))</f>
        <v>0</v>
      </c>
      <c r="AK83" s="799">
        <f>AJ83*(1-IFERROR(IF(AK$69+$F83&lt;=12,SUMIFS('Attrition Modeling'!$D:$D,'Attrition Modeling'!$C:$C,'IP Attrition'!$D83,'Attrition Modeling'!$B:$B,'IP Attrition'!AK$68),VLOOKUP($F83+AK$2,$A$6:$C$106,2,FALSE)*VLOOKUP(AK$1,'Attrition Modeling'!$L$15:$N$27,IF(AK$2+$F16&lt;=24,2,3),FALSE)),$C$3)*(1+Projection!AM$16)*(1+IF(AK148&gt;0,'Attrition Modeling'!$N$9,0)))</f>
        <v>0</v>
      </c>
      <c r="AL83" s="799">
        <f>AK83*(1-IFERROR(IF(AL$69+$F83&lt;=12,SUMIFS('Attrition Modeling'!$D:$D,'Attrition Modeling'!$C:$C,'IP Attrition'!$D83,'Attrition Modeling'!$B:$B,'IP Attrition'!AL$68),VLOOKUP($F83+AL$2,$A$6:$C$106,2,FALSE)*VLOOKUP(AL$1,'Attrition Modeling'!$L$15:$N$27,IF(AL$2+$F16&lt;=24,2,3),FALSE)),$C$3)*(1+Projection!AN$16)*(1+IF(AL148&gt;0,'Attrition Modeling'!$N$9,0)))</f>
        <v>0</v>
      </c>
      <c r="AM83" s="799">
        <f>AL83*(1-IFERROR(IF(AM$69+$F83&lt;=12,SUMIFS('Attrition Modeling'!$D:$D,'Attrition Modeling'!$C:$C,'IP Attrition'!$D83,'Attrition Modeling'!$B:$B,'IP Attrition'!AM$68),VLOOKUP($F83+AM$2,$A$6:$C$106,2,FALSE)*VLOOKUP(AM$1,'Attrition Modeling'!$L$15:$N$27,IF(AM$2+$F16&lt;=24,2,3),FALSE)),$C$3)*(1+Projection!AO$16)*(1+IF(AM148&gt;0,'Attrition Modeling'!$N$9,0)))</f>
        <v>0</v>
      </c>
      <c r="AN83" s="799">
        <f>AM83*(1-IFERROR(IF(AN$69+$F83&lt;=12,SUMIFS('Attrition Modeling'!$D:$D,'Attrition Modeling'!$C:$C,'IP Attrition'!$D83,'Attrition Modeling'!$B:$B,'IP Attrition'!AN$68),VLOOKUP($F83+AN$2,$A$6:$C$106,2,FALSE)*VLOOKUP(AN$1,'Attrition Modeling'!$L$15:$N$27,IF(AN$2+$F16&lt;=24,2,3),FALSE)),$C$3)*(1+Projection!AP$16)*(1+IF(AN148&gt;0,'Attrition Modeling'!$N$9,0)))</f>
        <v>0</v>
      </c>
      <c r="AO83" s="799">
        <f>AN83*(1-IFERROR(IF(AO$69+$F83&lt;=12,SUMIFS('Attrition Modeling'!$D:$D,'Attrition Modeling'!$C:$C,'IP Attrition'!$D83,'Attrition Modeling'!$B:$B,'IP Attrition'!AO$68),VLOOKUP($F83+AO$2,$A$6:$C$106,2,FALSE)*VLOOKUP(AO$1,'Attrition Modeling'!$L$15:$N$27,IF(AO$2+$F16&lt;=24,2,3),FALSE)),$C$3)*(1+Projection!AQ$16)*(1+IF(AO148&gt;0,'Attrition Modeling'!$N$9,0)))</f>
        <v>0</v>
      </c>
      <c r="AP83" s="799">
        <f>AO83*(1-IFERROR(IF(AP$69+$F83&lt;=12,SUMIFS('Attrition Modeling'!$D:$D,'Attrition Modeling'!$C:$C,'IP Attrition'!$D83,'Attrition Modeling'!$B:$B,'IP Attrition'!AP$68),VLOOKUP($F83+AP$2,$A$6:$C$106,2,FALSE)*VLOOKUP(AP$1,'Attrition Modeling'!$L$15:$N$27,IF(AP$2+$F16&lt;=24,2,3),FALSE)),$C$3)*(1+Projection!AR$16)*(1+IF(AP148&gt;0,'Attrition Modeling'!$N$9,0)))</f>
        <v>0</v>
      </c>
      <c r="AQ83" s="799">
        <f>AP83*(1-IFERROR(IF(AQ$69+$F83&lt;=12,SUMIFS('Attrition Modeling'!$D:$D,'Attrition Modeling'!$C:$C,'IP Attrition'!$D83,'Attrition Modeling'!$B:$B,'IP Attrition'!AQ$68),VLOOKUP($F83+AQ$2,$A$6:$C$106,2,FALSE)*VLOOKUP(AQ$1,'Attrition Modeling'!$L$15:$N$27,IF(AQ$2+$F16&lt;=24,2,3),FALSE)),$C$3)*(1+Projection!AS$16)*(1+IF(AQ148&gt;0,'Attrition Modeling'!$N$9,0)))</f>
        <v>0</v>
      </c>
      <c r="AR83" s="799">
        <f>AQ83*(1-IFERROR(IF(AR$69+$F83&lt;=12,SUMIFS('Attrition Modeling'!$D:$D,'Attrition Modeling'!$C:$C,'IP Attrition'!$D83,'Attrition Modeling'!$B:$B,'IP Attrition'!AR$68),VLOOKUP($F83+AR$2,$A$6:$C$106,2,FALSE)*VLOOKUP(AR$1,'Attrition Modeling'!$L$15:$N$27,IF(AR$2+$F16&lt;=24,2,3),FALSE)),$C$3)*(1+Projection!AT$16)*(1+IF(AR148&gt;0,'Attrition Modeling'!$N$9,0)))</f>
        <v>0</v>
      </c>
      <c r="AS83" s="799">
        <f>AR83*(1-IFERROR(IF(AS$69+$F83&lt;=12,SUMIFS('Attrition Modeling'!$D:$D,'Attrition Modeling'!$C:$C,'IP Attrition'!$D83,'Attrition Modeling'!$B:$B,'IP Attrition'!AS$68),VLOOKUP($F83+AS$2,$A$6:$C$106,2,FALSE)*VLOOKUP(AS$1,'Attrition Modeling'!$L$15:$N$27,IF(AS$2+$F16&lt;=24,2,3),FALSE)),$C$3)*(1+Projection!AU$16)*(1+IF(AS148&gt;0,'Attrition Modeling'!$N$9,0)))</f>
        <v>0</v>
      </c>
      <c r="AT83" s="799">
        <f>AS83*(1-IFERROR(IF(AT$69+$F83&lt;=12,SUMIFS('Attrition Modeling'!$D:$D,'Attrition Modeling'!$C:$C,'IP Attrition'!$D83,'Attrition Modeling'!$B:$B,'IP Attrition'!AT$68),VLOOKUP($F83+AT$2,$A$6:$C$106,2,FALSE)*VLOOKUP(AT$1,'Attrition Modeling'!$L$15:$N$27,IF(AT$2+$F16&lt;=24,2,3),FALSE)),$C$3)*(1+Projection!AV$16)*(1+IF(AT148&gt;0,'Attrition Modeling'!$N$9,0)))</f>
        <v>0</v>
      </c>
      <c r="AU83" s="799">
        <f>AT83*(1-IFERROR(IF(AU$69+$F83&lt;=12,SUMIFS('Attrition Modeling'!$D:$D,'Attrition Modeling'!$C:$C,'IP Attrition'!$D83,'Attrition Modeling'!$B:$B,'IP Attrition'!AU$68),VLOOKUP($F83+AU$2,$A$6:$C$106,2,FALSE)*VLOOKUP(AU$1,'Attrition Modeling'!$L$15:$N$27,IF(AU$2+$F16&lt;=24,2,3),FALSE)),$C$3)*(1+Projection!AW$16)*(1+IF(AU148&gt;0,'Attrition Modeling'!$N$9,0)))</f>
        <v>0</v>
      </c>
      <c r="AV83" s="799">
        <f>AU83*(1-IFERROR(IF(AV$69+$F83&lt;=12,SUMIFS('Attrition Modeling'!$D:$D,'Attrition Modeling'!$C:$C,'IP Attrition'!$D83,'Attrition Modeling'!$B:$B,'IP Attrition'!AV$68),VLOOKUP($F83+AV$2,$A$6:$C$106,2,FALSE)*VLOOKUP(AV$1,'Attrition Modeling'!$L$15:$N$27,IF(AV$2+$F16&lt;=24,2,3),FALSE)),$C$3)*(1+Projection!AX$16)*(1+IF(AV148&gt;0,'Attrition Modeling'!$N$9,0)))</f>
        <v>0</v>
      </c>
      <c r="AW83" s="799">
        <f>AV83*(1-IFERROR(IF(AW$69+$F83&lt;=12,SUMIFS('Attrition Modeling'!$D:$D,'Attrition Modeling'!$C:$C,'IP Attrition'!$D83,'Attrition Modeling'!$B:$B,'IP Attrition'!AW$68),VLOOKUP($F83+AW$2,$A$6:$C$106,2,FALSE)*VLOOKUP(AW$1,'Attrition Modeling'!$L$15:$N$27,IF(AW$2+$F16&lt;=24,2,3),FALSE)),$C$3)*(1+Projection!AY$16)*(1+IF(AW148&gt;0,'Attrition Modeling'!$N$9,0)))</f>
        <v>0</v>
      </c>
      <c r="AX83" s="799">
        <f>AW83*(1-IFERROR(IF(AX$69+$F83&lt;=12,SUMIFS('Attrition Modeling'!$D:$D,'Attrition Modeling'!$C:$C,'IP Attrition'!$D83,'Attrition Modeling'!$B:$B,'IP Attrition'!AX$68),VLOOKUP($F83+AX$2,$A$6:$C$106,2,FALSE)*VLOOKUP(AX$1,'Attrition Modeling'!$L$15:$N$27,IF(AX$2+$F16&lt;=24,2,3),FALSE)),$C$3)*(1+Projection!AZ$16)*(1+IF(AX148&gt;0,'Attrition Modeling'!$N$9,0)))</f>
        <v>0</v>
      </c>
      <c r="AY83" s="799">
        <f>AX83*(1-IFERROR(IF(AY$69+$F83&lt;=12,SUMIFS('Attrition Modeling'!$D:$D,'Attrition Modeling'!$C:$C,'IP Attrition'!$D83,'Attrition Modeling'!$B:$B,'IP Attrition'!AY$68),VLOOKUP($F83+AY$2,$A$6:$C$106,2,FALSE)*VLOOKUP(AY$1,'Attrition Modeling'!$L$15:$N$27,IF(AY$2+$F16&lt;=24,2,3),FALSE)),$C$3)*(1+Projection!BA$16)*(1+IF(AY148&gt;0,'Attrition Modeling'!$N$9,0)))</f>
        <v>0</v>
      </c>
      <c r="AZ83" s="799">
        <f>AY83*(1-IFERROR(IF(AZ$69+$F83&lt;=12,SUMIFS('Attrition Modeling'!$D:$D,'Attrition Modeling'!$C:$C,'IP Attrition'!$D83,'Attrition Modeling'!$B:$B,'IP Attrition'!AZ$68),VLOOKUP($F83+AZ$2,$A$6:$C$106,2,FALSE)*VLOOKUP(AZ$1,'Attrition Modeling'!$L$15:$N$27,IF(AZ$2+$F16&lt;=24,2,3),FALSE)),$C$3)*(1+Projection!BB$16)*(1+IF(AZ148&gt;0,'Attrition Modeling'!$N$9,0)))</f>
        <v>0</v>
      </c>
      <c r="BA83" s="799">
        <f>AZ83*(1-IFERROR(IF(BA$69+$F83&lt;=12,SUMIFS('Attrition Modeling'!$D:$D,'Attrition Modeling'!$C:$C,'IP Attrition'!$D83,'Attrition Modeling'!$B:$B,'IP Attrition'!BA$68),VLOOKUP($F83+BA$2,$A$6:$C$106,2,FALSE)*VLOOKUP(BA$1,'Attrition Modeling'!$L$15:$N$27,IF(BA$2+$F16&lt;=24,2,3),FALSE)),$C$3)*(1+Projection!BC$16)*(1+IF(BA148&gt;0,'Attrition Modeling'!$N$9,0)))</f>
        <v>0</v>
      </c>
      <c r="BB83" s="799">
        <f>BA83*(1-IFERROR(IF(BB$69+$F83&lt;=12,SUMIFS('Attrition Modeling'!$D:$D,'Attrition Modeling'!$C:$C,'IP Attrition'!$D83,'Attrition Modeling'!$B:$B,'IP Attrition'!BB$68),VLOOKUP($F83+BB$2,$A$6:$C$106,2,FALSE)*VLOOKUP(BB$1,'Attrition Modeling'!$L$15:$N$27,IF(BB$2+$F16&lt;=24,2,3),FALSE)),$C$3)*(1+Projection!BD$16)*(1+IF(BB148&gt;0,'Attrition Modeling'!$N$9,0)))</f>
        <v>0</v>
      </c>
      <c r="BC83" s="799">
        <f>BB83*(1-IFERROR(IF(BC$69+$F83&lt;=12,SUMIFS('Attrition Modeling'!$D:$D,'Attrition Modeling'!$C:$C,'IP Attrition'!$D83,'Attrition Modeling'!$B:$B,'IP Attrition'!BC$68),VLOOKUP($F83+BC$2,$A$6:$C$106,2,FALSE)*VLOOKUP(BC$1,'Attrition Modeling'!$L$15:$N$27,IF(BC$2+$F16&lt;=24,2,3),FALSE)),$C$3)*(1+Projection!BE$16)*(1+IF(BC148&gt;0,'Attrition Modeling'!$N$9,0)))</f>
        <v>0</v>
      </c>
      <c r="BD83" s="799">
        <f>BC83*(1-IFERROR(IF(BD$69+$F83&lt;=12,SUMIFS('Attrition Modeling'!$D:$D,'Attrition Modeling'!$C:$C,'IP Attrition'!$D83,'Attrition Modeling'!$B:$B,'IP Attrition'!BD$68),VLOOKUP($F83+BD$2,$A$6:$C$106,2,FALSE)*VLOOKUP(BD$1,'Attrition Modeling'!$L$15:$N$27,IF(BD$2+$F16&lt;=24,2,3),FALSE)),$C$3)*(1+Projection!BF$16)*(1+IF(BD148&gt;0,'Attrition Modeling'!$N$9,0)))</f>
        <v>0</v>
      </c>
      <c r="BE83" s="799">
        <f>BD83*(1-IFERROR(IF(BE$69+$F83&lt;=12,SUMIFS('Attrition Modeling'!$D:$D,'Attrition Modeling'!$C:$C,'IP Attrition'!$D83,'Attrition Modeling'!$B:$B,'IP Attrition'!BE$68),VLOOKUP($F83+BE$2,$A$6:$C$106,2,FALSE)*VLOOKUP(BE$1,'Attrition Modeling'!$L$15:$N$27,IF(BE$2+$F16&lt;=24,2,3),FALSE)),$C$3)*(1+Projection!BG$16)*(1+IF(BE148&gt;0,'Attrition Modeling'!$N$9,0)))</f>
        <v>0</v>
      </c>
      <c r="BF83" s="799">
        <f>BE83*(1-IFERROR(IF(BF$69+$F83&lt;=12,SUMIFS('Attrition Modeling'!$D:$D,'Attrition Modeling'!$C:$C,'IP Attrition'!$D83,'Attrition Modeling'!$B:$B,'IP Attrition'!BF$68),VLOOKUP($F83+BF$2,$A$6:$C$106,2,FALSE)*VLOOKUP(BF$1,'Attrition Modeling'!$L$15:$N$27,IF(BF$2+$F16&lt;=24,2,3),FALSE)),$C$3)*(1+Projection!BH$16)*(1+IF(BF148&gt;0,'Attrition Modeling'!$N$9,0)))</f>
        <v>0</v>
      </c>
      <c r="BG83" s="799">
        <f>BF83*(1-IFERROR(IF(BG$69+$F83&lt;=12,SUMIFS('Attrition Modeling'!$D:$D,'Attrition Modeling'!$C:$C,'IP Attrition'!$D83,'Attrition Modeling'!$B:$B,'IP Attrition'!BG$68),VLOOKUP($F83+BG$2,$A$6:$C$106,2,FALSE)*VLOOKUP(BG$1,'Attrition Modeling'!$L$15:$N$27,IF(BG$2+$F16&lt;=24,2,3),FALSE)),$C$3)*(1+Projection!BI$16)*(1+IF(BG148&gt;0,'Attrition Modeling'!$N$9,0)))</f>
        <v>0</v>
      </c>
      <c r="BH83" s="799">
        <f>BG83*(1-IFERROR(IF(BH$69+$F83&lt;=12,SUMIFS('Attrition Modeling'!$D:$D,'Attrition Modeling'!$C:$C,'IP Attrition'!$D83,'Attrition Modeling'!$B:$B,'IP Attrition'!BH$68),VLOOKUP($F83+BH$2,$A$6:$C$106,2,FALSE)*VLOOKUP(BH$1,'Attrition Modeling'!$L$15:$N$27,IF(BH$2+$F16&lt;=24,2,3),FALSE)),$C$3)*(1+Projection!BJ$16)*(1+IF(BH148&gt;0,'Attrition Modeling'!$N$9,0)))</f>
        <v>0</v>
      </c>
      <c r="BI83" s="799">
        <f>BH83*(1-IFERROR(IF(BI$69+$F83&lt;=12,SUMIFS('Attrition Modeling'!$D:$D,'Attrition Modeling'!$C:$C,'IP Attrition'!$D83,'Attrition Modeling'!$B:$B,'IP Attrition'!BI$68),VLOOKUP($F83+BI$2,$A$6:$C$106,2,FALSE)*VLOOKUP(BI$1,'Attrition Modeling'!$L$15:$N$27,IF(BI$2+$F16&lt;=24,2,3),FALSE)),$C$3)*(1+Projection!BK$16)*(1+IF(BI148&gt;0,'Attrition Modeling'!$N$9,0)))</f>
        <v>0</v>
      </c>
      <c r="BJ83" s="799">
        <f>BI83*(1-IFERROR(IF(BJ$69+$F83&lt;=12,SUMIFS('Attrition Modeling'!$D:$D,'Attrition Modeling'!$C:$C,'IP Attrition'!$D83,'Attrition Modeling'!$B:$B,'IP Attrition'!BJ$68),VLOOKUP($F83+BJ$2,$A$6:$C$106,2,FALSE)*VLOOKUP(BJ$1,'Attrition Modeling'!$L$15:$N$27,IF(BJ$2+$F16&lt;=24,2,3),FALSE)),$C$3)*(1+Projection!BL$16)*(1+IF(BJ148&gt;0,'Attrition Modeling'!$N$9,0)))</f>
        <v>0</v>
      </c>
      <c r="BK83" s="799">
        <f>BJ83*(1-IFERROR(IF(BK$69+$F83&lt;=12,SUMIFS('Attrition Modeling'!$D:$D,'Attrition Modeling'!$C:$C,'IP Attrition'!$D83,'Attrition Modeling'!$B:$B,'IP Attrition'!BK$68),VLOOKUP($F83+BK$2,$A$6:$C$106,2,FALSE)*VLOOKUP(BK$1,'Attrition Modeling'!$L$15:$N$27,IF(BK$2+$F16&lt;=24,2,3),FALSE)),$C$3)*(1+Projection!BM$16)*(1+IF(BK148&gt;0,'Attrition Modeling'!$N$9,0)))</f>
        <v>0</v>
      </c>
      <c r="BL83" s="799">
        <f>BK83*(1-IFERROR(IF(BL$69+$F83&lt;=12,SUMIFS('Attrition Modeling'!$D:$D,'Attrition Modeling'!$C:$C,'IP Attrition'!$D83,'Attrition Modeling'!$B:$B,'IP Attrition'!BL$68),VLOOKUP($F83+BL$2,$A$6:$C$106,2,FALSE)*VLOOKUP(BL$1,'Attrition Modeling'!$L$15:$N$27,IF(BL$2+$F16&lt;=24,2,3),FALSE)),$C$3)*(1+Projection!BN$16)*(1+IF(BL148&gt;0,'Attrition Modeling'!$N$9,0)))</f>
        <v>0</v>
      </c>
      <c r="BM83" s="799">
        <f>BL83*(1-IFERROR(IF(BM$69+$F83&lt;=12,SUMIFS('Attrition Modeling'!$D:$D,'Attrition Modeling'!$C:$C,'IP Attrition'!$D83,'Attrition Modeling'!$B:$B,'IP Attrition'!BM$68),VLOOKUP($F83+BM$2,$A$6:$C$106,2,FALSE)*VLOOKUP(BM$1,'Attrition Modeling'!$L$15:$N$27,IF(BM$2+$F16&lt;=24,2,3),FALSE)),$C$3)*(1+Projection!BO$16)*(1+IF(BM148&gt;0,'Attrition Modeling'!$N$9,0)))</f>
        <v>0</v>
      </c>
      <c r="BN83" s="799">
        <f>BM83*(1-IFERROR(IF(BN$69+$F83&lt;=12,SUMIFS('Attrition Modeling'!$D:$D,'Attrition Modeling'!$C:$C,'IP Attrition'!$D83,'Attrition Modeling'!$B:$B,'IP Attrition'!BN$68),VLOOKUP($F83+BN$2,$A$6:$C$106,2,FALSE)*VLOOKUP(BN$1,'Attrition Modeling'!$L$15:$N$27,IF(BN$2+$F16&lt;=24,2,3),FALSE)),$C$3)*(1+Projection!BP$16)*(1+IF(BN148&gt;0,'Attrition Modeling'!$N$9,0)))</f>
        <v>0</v>
      </c>
      <c r="BO83" s="799">
        <f>BN83*(1-IFERROR(IF(BO$69+$F83&lt;=12,SUMIFS('Attrition Modeling'!$D:$D,'Attrition Modeling'!$C:$C,'IP Attrition'!$D83,'Attrition Modeling'!$B:$B,'IP Attrition'!BO$68),VLOOKUP($F83+BO$2,$A$6:$C$106,2,FALSE)*VLOOKUP(BO$1,'Attrition Modeling'!$L$15:$N$27,IF(BO$2+$F16&lt;=24,2,3),FALSE)),$C$3)*(1+Projection!BV$16)*(1+IF(BO148&gt;0,'Attrition Modeling'!$N$9,0)))</f>
        <v>0</v>
      </c>
      <c r="BP83" s="799">
        <f>BO83*(1-IFERROR(IF(BP$69+$F83&lt;=12,SUMIFS('Attrition Modeling'!$D:$D,'Attrition Modeling'!$C:$C,'IP Attrition'!$D83,'Attrition Modeling'!$B:$B,'IP Attrition'!BP$68),VLOOKUP($F83+BP$2,$A$6:$C$106,2,FALSE)*VLOOKUP(BP$1,'Attrition Modeling'!$L$15:$N$27,IF(BP$2+$F16&lt;=24,2,3),FALSE)),$C$3)*(1+Projection!BW$16)*(1+IF(BP148&gt;0,'Attrition Modeling'!$N$9,0)))</f>
        <v>0</v>
      </c>
      <c r="BQ83" s="799">
        <f>BP83*(1-IFERROR(IF(BQ$69+$F83&lt;=12,SUMIFS('Attrition Modeling'!$D:$D,'Attrition Modeling'!$C:$C,'IP Attrition'!$D83,'Attrition Modeling'!$B:$B,'IP Attrition'!BQ$68),VLOOKUP($F83+BQ$2,$A$6:$C$106,2,FALSE)*VLOOKUP(BQ$1,'Attrition Modeling'!$L$15:$N$27,IF(BQ$2+$F16&lt;=24,2,3),FALSE)),$C$3)*(1+Projection!BX$16)*(1+IF(BQ148&gt;0,'Attrition Modeling'!$N$9,0)))</f>
        <v>0</v>
      </c>
      <c r="BR83" s="799">
        <f>BQ83*(1-IFERROR(IF(BR$69+$F83&lt;=12,SUMIFS('Attrition Modeling'!$D:$D,'Attrition Modeling'!$C:$C,'IP Attrition'!$D83,'Attrition Modeling'!$B:$B,'IP Attrition'!BR$68),VLOOKUP($F83+BR$2,$A$6:$C$106,2,FALSE)*VLOOKUP(BR$1,'Attrition Modeling'!$L$15:$N$27,IF(BR$2+$F16&lt;=24,2,3),FALSE)),$C$3)*(1+Projection!BY$16)*(1+IF(BR148&gt;0,'Attrition Modeling'!$N$9,0)))</f>
        <v>0</v>
      </c>
      <c r="BS83" s="799">
        <f>BR83*(1-IFERROR(IF(BS$69+$F83&lt;=12,SUMIFS('Attrition Modeling'!$D:$D,'Attrition Modeling'!$C:$C,'IP Attrition'!$D83,'Attrition Modeling'!$B:$B,'IP Attrition'!BS$68),VLOOKUP($F83+BS$2,$A$6:$C$106,2,FALSE)*VLOOKUP(BS$1,'Attrition Modeling'!$L$15:$N$27,IF(BS$2+$F16&lt;=24,2,3),FALSE)),$C$3)*(1+Projection!BZ$16)*(1+IF(BS148&gt;0,'Attrition Modeling'!$N$9,0)))</f>
        <v>0</v>
      </c>
      <c r="BT83" s="799" t="e">
        <f>BS83*(1-IFERROR(IF(BT$69+$F83&lt;=12,SUMIFS('Attrition Modeling'!$D:$D,'Attrition Modeling'!$C:$C,'IP Attrition'!$D83,'Attrition Modeling'!$B:$B,'IP Attrition'!BT$68),VLOOKUP($F83+BT$2,$A$6:$C$106,2,FALSE)*VLOOKUP(BT$1,'Attrition Modeling'!$L$15:$N$27,IF(BT$2+$F16&lt;=24,2,3),FALSE)),$C$3)*(1+Projection!CA$16)*(1+IF(BT148&gt;0,'Attrition Modeling'!$N$9,0)))</f>
        <v>#REF!</v>
      </c>
      <c r="BU83" s="799" t="e">
        <f>BT83*(1-IFERROR(IF(BU$69+$F83&lt;=12,SUMIFS('Attrition Modeling'!$D:$D,'Attrition Modeling'!$C:$C,'IP Attrition'!$D83,'Attrition Modeling'!$B:$B,'IP Attrition'!BU$68),VLOOKUP($F83+BU$2,$A$6:$C$106,2,FALSE)*VLOOKUP(BU$1,'Attrition Modeling'!$L$15:$N$27,IF(BU$2+$F16&lt;=24,2,3),FALSE)),$C$3)*(1+Projection!CB$16)*(1+IF(BU148&gt;0,'Attrition Modeling'!$N$9,0)))</f>
        <v>#REF!</v>
      </c>
    </row>
    <row r="84" spans="1:73" ht="14.25" customHeight="1" x14ac:dyDescent="0.2">
      <c r="A84" s="9">
        <v>77</v>
      </c>
      <c r="B84" s="25">
        <f>MAX('Attrition Modeling'!H81,$C$3)*(1-Summary!$C$20)</f>
        <v>2.0281878895177338E-2</v>
      </c>
      <c r="C84" s="24" t="e">
        <f t="shared" si="3"/>
        <v>#DIV/0!</v>
      </c>
      <c r="D84" s="11">
        <f t="shared" ref="D84:E84" si="22">D17</f>
        <v>-14</v>
      </c>
      <c r="E84" s="25">
        <f t="shared" si="22"/>
        <v>0</v>
      </c>
      <c r="F84" s="11">
        <f t="shared" si="9"/>
        <v>14</v>
      </c>
      <c r="G84" s="799">
        <f>Summary!$C$24*$E84</f>
        <v>0</v>
      </c>
      <c r="H84" s="799">
        <f>G84*(1-IFERROR(IF(H$69+$F84&lt;=12,SUMIFS('Attrition Modeling'!$D:$D,'Attrition Modeling'!$C:$C,'IP Attrition'!$D84,'Attrition Modeling'!$B:$B,'IP Attrition'!H$68),VLOOKUP($F84+H$2,$A$6:$C$106,2,FALSE)*VLOOKUP(H$1,'Attrition Modeling'!$L$15:$N$27,IF(H$2+$F17&lt;=24,2,3),FALSE)),$C$3)*(1+Projection!J$16)*(1+IF(H149&gt;0,'Attrition Modeling'!$N$9,0)))</f>
        <v>0</v>
      </c>
      <c r="I84" s="799">
        <f>H84*(1-IFERROR(IF(I$69+$F84&lt;=12,SUMIFS('Attrition Modeling'!$D:$D,'Attrition Modeling'!$C:$C,'IP Attrition'!$D84,'Attrition Modeling'!$B:$B,'IP Attrition'!I$68),VLOOKUP($F84+I$2,$A$6:$C$106,2,FALSE)*VLOOKUP(I$1,'Attrition Modeling'!$L$15:$N$27,IF(I$2+$F17&lt;=24,2,3),FALSE)),$C$3)*(1+Projection!K$16)*(1+IF(I149&gt;0,'Attrition Modeling'!$N$9,0)))</f>
        <v>0</v>
      </c>
      <c r="J84" s="799">
        <f>I84*(1-IFERROR(IF(J$69+$F84&lt;=12,SUMIFS('Attrition Modeling'!$D:$D,'Attrition Modeling'!$C:$C,'IP Attrition'!$D84,'Attrition Modeling'!$B:$B,'IP Attrition'!J$68),VLOOKUP($F84+J$2,$A$6:$C$106,2,FALSE)*VLOOKUP(J$1,'Attrition Modeling'!$L$15:$N$27,IF(J$2+$F17&lt;=24,2,3),FALSE)),$C$3)*(1+Projection!L$16)*(1+IF(J149&gt;0,'Attrition Modeling'!$N$9,0)))</f>
        <v>0</v>
      </c>
      <c r="K84" s="799">
        <f>J84*(1-IFERROR(IF(K$69+$F84&lt;=12,SUMIFS('Attrition Modeling'!$D:$D,'Attrition Modeling'!$C:$C,'IP Attrition'!$D84,'Attrition Modeling'!$B:$B,'IP Attrition'!K$68),VLOOKUP($F84+K$2,$A$6:$C$106,2,FALSE)*VLOOKUP(K$1,'Attrition Modeling'!$L$15:$N$27,IF(K$2+$F17&lt;=24,2,3),FALSE)),$C$3)*(1+Projection!M$16)*(1+IF(K149&gt;0,'Attrition Modeling'!$N$9,0)))</f>
        <v>0</v>
      </c>
      <c r="L84" s="799">
        <f>K84*(1-IFERROR(IF(L$69+$F84&lt;=12,SUMIFS('Attrition Modeling'!$D:$D,'Attrition Modeling'!$C:$C,'IP Attrition'!$D84,'Attrition Modeling'!$B:$B,'IP Attrition'!L$68),VLOOKUP($F84+L$2,$A$6:$C$106,2,FALSE)*VLOOKUP(L$1,'Attrition Modeling'!$L$15:$N$27,IF(L$2+$F17&lt;=24,2,3),FALSE)),$C$3)*(1+Projection!N$16)*(1+IF(L149&gt;0,'Attrition Modeling'!$N$9,0)))</f>
        <v>0</v>
      </c>
      <c r="M84" s="799">
        <f>L84*(1-IFERROR(IF(M$69+$F84&lt;=12,SUMIFS('Attrition Modeling'!$D:$D,'Attrition Modeling'!$C:$C,'IP Attrition'!$D84,'Attrition Modeling'!$B:$B,'IP Attrition'!M$68),VLOOKUP($F84+M$2,$A$6:$C$106,2,FALSE)*VLOOKUP(M$1,'Attrition Modeling'!$L$15:$N$27,IF(M$2+$F17&lt;=24,2,3),FALSE)),$C$3)*(1+Projection!O$16)*(1+IF(M149&gt;0,'Attrition Modeling'!$N$9,0)))</f>
        <v>0</v>
      </c>
      <c r="N84" s="799">
        <f>M84*(1-IFERROR(IF(N$69+$F84&lt;=12,SUMIFS('Attrition Modeling'!$D:$D,'Attrition Modeling'!$C:$C,'IP Attrition'!$D84,'Attrition Modeling'!$B:$B,'IP Attrition'!N$68),VLOOKUP($F84+N$2,$A$6:$C$106,2,FALSE)*VLOOKUP(N$1,'Attrition Modeling'!$L$15:$N$27,IF(N$2+$F17&lt;=24,2,3),FALSE)),$C$3)*(1+Projection!P$16)*(1+IF(N149&gt;0,'Attrition Modeling'!$N$9,0)))</f>
        <v>0</v>
      </c>
      <c r="O84" s="799">
        <f>N84*(1-IFERROR(IF(O$69+$F84&lt;=12,SUMIFS('Attrition Modeling'!$D:$D,'Attrition Modeling'!$C:$C,'IP Attrition'!$D84,'Attrition Modeling'!$B:$B,'IP Attrition'!O$68),VLOOKUP($F84+O$2,$A$6:$C$106,2,FALSE)*VLOOKUP(O$1,'Attrition Modeling'!$L$15:$N$27,IF(O$2+$F17&lt;=24,2,3),FALSE)),$C$3)*(1+Projection!Q$16)*(1+IF(O149&gt;0,'Attrition Modeling'!$N$9,0)))</f>
        <v>0</v>
      </c>
      <c r="P84" s="799">
        <f>O84*(1-IFERROR(IF(P$69+$F84&lt;=12,SUMIFS('Attrition Modeling'!$D:$D,'Attrition Modeling'!$C:$C,'IP Attrition'!$D84,'Attrition Modeling'!$B:$B,'IP Attrition'!P$68),VLOOKUP($F84+P$2,$A$6:$C$106,2,FALSE)*VLOOKUP(P$1,'Attrition Modeling'!$L$15:$N$27,IF(P$2+$F17&lt;=24,2,3),FALSE)),$C$3)*(1+Projection!R$16)*(1+IF(P149&gt;0,'Attrition Modeling'!$N$9,0)))</f>
        <v>0</v>
      </c>
      <c r="Q84" s="799">
        <f>P84*(1-IFERROR(IF(Q$69+$F84&lt;=12,SUMIFS('Attrition Modeling'!$D:$D,'Attrition Modeling'!$C:$C,'IP Attrition'!$D84,'Attrition Modeling'!$B:$B,'IP Attrition'!Q$68),VLOOKUP($F84+Q$2,$A$6:$C$106,2,FALSE)*VLOOKUP(Q$1,'Attrition Modeling'!$L$15:$N$27,IF(Q$2+$F17&lt;=24,2,3),FALSE)),$C$3)*(1+Projection!S$16)*(1+IF(Q149&gt;0,'Attrition Modeling'!$N$9,0)))</f>
        <v>0</v>
      </c>
      <c r="R84" s="799">
        <f>Q84*(1-IFERROR(IF(R$69+$F84&lt;=12,SUMIFS('Attrition Modeling'!$D:$D,'Attrition Modeling'!$C:$C,'IP Attrition'!$D84,'Attrition Modeling'!$B:$B,'IP Attrition'!R$68),VLOOKUP($F84+R$2,$A$6:$C$106,2,FALSE)*VLOOKUP(R$1,'Attrition Modeling'!$L$15:$N$27,IF(R$2+$F17&lt;=24,2,3),FALSE)),$C$3)*(1+Projection!T$16)*(1+IF(R149&gt;0,'Attrition Modeling'!$N$9,0)))</f>
        <v>0</v>
      </c>
      <c r="S84" s="799">
        <f>R84*(1-IFERROR(IF(S$69+$F84&lt;=12,SUMIFS('Attrition Modeling'!$D:$D,'Attrition Modeling'!$C:$C,'IP Attrition'!$D84,'Attrition Modeling'!$B:$B,'IP Attrition'!S$68),VLOOKUP($F84+S$2,$A$6:$C$106,2,FALSE)*VLOOKUP(S$1,'Attrition Modeling'!$L$15:$N$27,IF(S$2+$F17&lt;=24,2,3),FALSE)),$C$3)*(1+Projection!U$16)*(1+IF(S149&gt;0,'Attrition Modeling'!$N$9,0)))</f>
        <v>0</v>
      </c>
      <c r="T84" s="799">
        <f>S84*(1-IFERROR(IF(T$69+$F84&lt;=12,SUMIFS('Attrition Modeling'!$D:$D,'Attrition Modeling'!$C:$C,'IP Attrition'!$D84,'Attrition Modeling'!$B:$B,'IP Attrition'!T$68),VLOOKUP($F84+T$2,$A$6:$C$106,2,FALSE)*VLOOKUP(T$1,'Attrition Modeling'!$L$15:$N$27,IF(T$2+$F17&lt;=24,2,3),FALSE)),$C$3)*(1+Projection!V$16)*(1+IF(T149&gt;0,'Attrition Modeling'!$N$9,0)))</f>
        <v>0</v>
      </c>
      <c r="U84" s="799">
        <f>T84*(1-IFERROR(IF(U$69+$F84&lt;=12,SUMIFS('Attrition Modeling'!$D:$D,'Attrition Modeling'!$C:$C,'IP Attrition'!$D84,'Attrition Modeling'!$B:$B,'IP Attrition'!U$68),VLOOKUP($F84+U$2,$A$6:$C$106,2,FALSE)*VLOOKUP(U$1,'Attrition Modeling'!$L$15:$N$27,IF(U$2+$F17&lt;=24,2,3),FALSE)),$C$3)*(1+Projection!W$16)*(1+IF(U149&gt;0,'Attrition Modeling'!$N$9,0)))</f>
        <v>0</v>
      </c>
      <c r="V84" s="799">
        <f>U84*(1-IFERROR(IF(V$69+$F84&lt;=12,SUMIFS('Attrition Modeling'!$D:$D,'Attrition Modeling'!$C:$C,'IP Attrition'!$D84,'Attrition Modeling'!$B:$B,'IP Attrition'!V$68),VLOOKUP($F84+V$2,$A$6:$C$106,2,FALSE)*VLOOKUP(V$1,'Attrition Modeling'!$L$15:$N$27,IF(V$2+$F17&lt;=24,2,3),FALSE)),$C$3)*(1+Projection!X$16)*(1+IF(V149&gt;0,'Attrition Modeling'!$N$9,0)))</f>
        <v>0</v>
      </c>
      <c r="W84" s="799">
        <f>V84*(1-IFERROR(IF(W$69+$F84&lt;=12,SUMIFS('Attrition Modeling'!$D:$D,'Attrition Modeling'!$C:$C,'IP Attrition'!$D84,'Attrition Modeling'!$B:$B,'IP Attrition'!W$68),VLOOKUP($F84+W$2,$A$6:$C$106,2,FALSE)*VLOOKUP(W$1,'Attrition Modeling'!$L$15:$N$27,IF(W$2+$F17&lt;=24,2,3),FALSE)),$C$3)*(1+Projection!Y$16)*(1+IF(W149&gt;0,'Attrition Modeling'!$N$9,0)))</f>
        <v>0</v>
      </c>
      <c r="X84" s="799">
        <f>W84*(1-IFERROR(IF(X$69+$F84&lt;=12,SUMIFS('Attrition Modeling'!$D:$D,'Attrition Modeling'!$C:$C,'IP Attrition'!$D84,'Attrition Modeling'!$B:$B,'IP Attrition'!X$68),VLOOKUP($F84+X$2,$A$6:$C$106,2,FALSE)*VLOOKUP(X$1,'Attrition Modeling'!$L$15:$N$27,IF(X$2+$F17&lt;=24,2,3),FALSE)),$C$3)*(1+Projection!Z$16)*(1+IF(X149&gt;0,'Attrition Modeling'!$N$9,0)))</f>
        <v>0</v>
      </c>
      <c r="Y84" s="799">
        <f>X84*(1-IFERROR(IF(Y$69+$F84&lt;=12,SUMIFS('Attrition Modeling'!$D:$D,'Attrition Modeling'!$C:$C,'IP Attrition'!$D84,'Attrition Modeling'!$B:$B,'IP Attrition'!Y$68),VLOOKUP($F84+Y$2,$A$6:$C$106,2,FALSE)*VLOOKUP(Y$1,'Attrition Modeling'!$L$15:$N$27,IF(Y$2+$F17&lt;=24,2,3),FALSE)),$C$3)*(1+Projection!AA$16)*(1+IF(Y149&gt;0,'Attrition Modeling'!$N$9,0)))</f>
        <v>0</v>
      </c>
      <c r="Z84" s="799">
        <f>Y84*(1-IFERROR(IF(Z$69+$F84&lt;=12,SUMIFS('Attrition Modeling'!$D:$D,'Attrition Modeling'!$C:$C,'IP Attrition'!$D84,'Attrition Modeling'!$B:$B,'IP Attrition'!Z$68),VLOOKUP($F84+Z$2,$A$6:$C$106,2,FALSE)*VLOOKUP(Z$1,'Attrition Modeling'!$L$15:$N$27,IF(Z$2+$F17&lt;=24,2,3),FALSE)),$C$3)*(1+Projection!AB$16)*(1+IF(Z149&gt;0,'Attrition Modeling'!$N$9,0)))</f>
        <v>0</v>
      </c>
      <c r="AA84" s="799">
        <f>Z84*(1-IFERROR(IF(AA$69+$F84&lt;=12,SUMIFS('Attrition Modeling'!$D:$D,'Attrition Modeling'!$C:$C,'IP Attrition'!$D84,'Attrition Modeling'!$B:$B,'IP Attrition'!AA$68),VLOOKUP($F84+AA$2,$A$6:$C$106,2,FALSE)*VLOOKUP(AA$1,'Attrition Modeling'!$L$15:$N$27,IF(AA$2+$F17&lt;=24,2,3),FALSE)),$C$3)*(1+Projection!AC$16)*(1+IF(AA149&gt;0,'Attrition Modeling'!$N$9,0)))</f>
        <v>0</v>
      </c>
      <c r="AB84" s="799">
        <f>AA84*(1-IFERROR(IF(AB$69+$F84&lt;=12,SUMIFS('Attrition Modeling'!$D:$D,'Attrition Modeling'!$C:$C,'IP Attrition'!$D84,'Attrition Modeling'!$B:$B,'IP Attrition'!AB$68),VLOOKUP($F84+AB$2,$A$6:$C$106,2,FALSE)*VLOOKUP(AB$1,'Attrition Modeling'!$L$15:$N$27,IF(AB$2+$F17&lt;=24,2,3),FALSE)),$C$3)*(1+Projection!AD$16)*(1+IF(AB149&gt;0,'Attrition Modeling'!$N$9,0)))</f>
        <v>0</v>
      </c>
      <c r="AC84" s="799">
        <f>AB84*(1-IFERROR(IF(AC$69+$F84&lt;=12,SUMIFS('Attrition Modeling'!$D:$D,'Attrition Modeling'!$C:$C,'IP Attrition'!$D84,'Attrition Modeling'!$B:$B,'IP Attrition'!AC$68),VLOOKUP($F84+AC$2,$A$6:$C$106,2,FALSE)*VLOOKUP(AC$1,'Attrition Modeling'!$L$15:$N$27,IF(AC$2+$F17&lt;=24,2,3),FALSE)),$C$3)*(1+Projection!AE$16)*(1+IF(AC149&gt;0,'Attrition Modeling'!$N$9,0)))</f>
        <v>0</v>
      </c>
      <c r="AD84" s="799">
        <f>AC84*(1-IFERROR(IF(AD$69+$F84&lt;=12,SUMIFS('Attrition Modeling'!$D:$D,'Attrition Modeling'!$C:$C,'IP Attrition'!$D84,'Attrition Modeling'!$B:$B,'IP Attrition'!AD$68),VLOOKUP($F84+AD$2,$A$6:$C$106,2,FALSE)*VLOOKUP(AD$1,'Attrition Modeling'!$L$15:$N$27,IF(AD$2+$F17&lt;=24,2,3),FALSE)),$C$3)*(1+Projection!AF$16)*(1+IF(AD149&gt;0,'Attrition Modeling'!$N$9,0)))</f>
        <v>0</v>
      </c>
      <c r="AE84" s="799">
        <f>AD84*(1-IFERROR(IF(AE$69+$F84&lt;=12,SUMIFS('Attrition Modeling'!$D:$D,'Attrition Modeling'!$C:$C,'IP Attrition'!$D84,'Attrition Modeling'!$B:$B,'IP Attrition'!AE$68),VLOOKUP($F84+AE$2,$A$6:$C$106,2,FALSE)*VLOOKUP(AE$1,'Attrition Modeling'!$L$15:$N$27,IF(AE$2+$F17&lt;=24,2,3),FALSE)),$C$3)*(1+Projection!AG$16)*(1+IF(AE149&gt;0,'Attrition Modeling'!$N$9,0)))</f>
        <v>0</v>
      </c>
      <c r="AF84" s="799">
        <f>AE84*(1-IFERROR(IF(AF$69+$F84&lt;=12,SUMIFS('Attrition Modeling'!$D:$D,'Attrition Modeling'!$C:$C,'IP Attrition'!$D84,'Attrition Modeling'!$B:$B,'IP Attrition'!AF$68),VLOOKUP($F84+AF$2,$A$6:$C$106,2,FALSE)*VLOOKUP(AF$1,'Attrition Modeling'!$L$15:$N$27,IF(AF$2+$F17&lt;=24,2,3),FALSE)),$C$3)*(1+Projection!AH$16)*(1+IF(AF149&gt;0,'Attrition Modeling'!$N$9,0)))</f>
        <v>0</v>
      </c>
      <c r="AG84" s="799">
        <f>AF84*(1-IFERROR(IF(AG$69+$F84&lt;=12,SUMIFS('Attrition Modeling'!$D:$D,'Attrition Modeling'!$C:$C,'IP Attrition'!$D84,'Attrition Modeling'!$B:$B,'IP Attrition'!AG$68),VLOOKUP($F84+AG$2,$A$6:$C$106,2,FALSE)*VLOOKUP(AG$1,'Attrition Modeling'!$L$15:$N$27,IF(AG$2+$F17&lt;=24,2,3),FALSE)),$C$3)*(1+Projection!AI$16)*(1+IF(AG149&gt;0,'Attrition Modeling'!$N$9,0)))</f>
        <v>0</v>
      </c>
      <c r="AH84" s="799">
        <f>AG84*(1-IFERROR(IF(AH$69+$F84&lt;=12,SUMIFS('Attrition Modeling'!$D:$D,'Attrition Modeling'!$C:$C,'IP Attrition'!$D84,'Attrition Modeling'!$B:$B,'IP Attrition'!AH$68),VLOOKUP($F84+AH$2,$A$6:$C$106,2,FALSE)*VLOOKUP(AH$1,'Attrition Modeling'!$L$15:$N$27,IF(AH$2+$F17&lt;=24,2,3),FALSE)),$C$3)*(1+Projection!AJ$16)*(1+IF(AH149&gt;0,'Attrition Modeling'!$N$9,0)))</f>
        <v>0</v>
      </c>
      <c r="AI84" s="799">
        <f>AH84*(1-IFERROR(IF(AI$69+$F84&lt;=12,SUMIFS('Attrition Modeling'!$D:$D,'Attrition Modeling'!$C:$C,'IP Attrition'!$D84,'Attrition Modeling'!$B:$B,'IP Attrition'!AI$68),VLOOKUP($F84+AI$2,$A$6:$C$106,2,FALSE)*VLOOKUP(AI$1,'Attrition Modeling'!$L$15:$N$27,IF(AI$2+$F17&lt;=24,2,3),FALSE)),$C$3)*(1+Projection!AK$16)*(1+IF(AI149&gt;0,'Attrition Modeling'!$N$9,0)))</f>
        <v>0</v>
      </c>
      <c r="AJ84" s="799">
        <f>AI84*(1-IFERROR(IF(AJ$69+$F84&lt;=12,SUMIFS('Attrition Modeling'!$D:$D,'Attrition Modeling'!$C:$C,'IP Attrition'!$D84,'Attrition Modeling'!$B:$B,'IP Attrition'!AJ$68),VLOOKUP($F84+AJ$2,$A$6:$C$106,2,FALSE)*VLOOKUP(AJ$1,'Attrition Modeling'!$L$15:$N$27,IF(AJ$2+$F17&lt;=24,2,3),FALSE)),$C$3)*(1+Projection!AL$16)*(1+IF(AJ149&gt;0,'Attrition Modeling'!$N$9,0)))</f>
        <v>0</v>
      </c>
      <c r="AK84" s="799">
        <f>AJ84*(1-IFERROR(IF(AK$69+$F84&lt;=12,SUMIFS('Attrition Modeling'!$D:$D,'Attrition Modeling'!$C:$C,'IP Attrition'!$D84,'Attrition Modeling'!$B:$B,'IP Attrition'!AK$68),VLOOKUP($F84+AK$2,$A$6:$C$106,2,FALSE)*VLOOKUP(AK$1,'Attrition Modeling'!$L$15:$N$27,IF(AK$2+$F17&lt;=24,2,3),FALSE)),$C$3)*(1+Projection!AM$16)*(1+IF(AK149&gt;0,'Attrition Modeling'!$N$9,0)))</f>
        <v>0</v>
      </c>
      <c r="AL84" s="799">
        <f>AK84*(1-IFERROR(IF(AL$69+$F84&lt;=12,SUMIFS('Attrition Modeling'!$D:$D,'Attrition Modeling'!$C:$C,'IP Attrition'!$D84,'Attrition Modeling'!$B:$B,'IP Attrition'!AL$68),VLOOKUP($F84+AL$2,$A$6:$C$106,2,FALSE)*VLOOKUP(AL$1,'Attrition Modeling'!$L$15:$N$27,IF(AL$2+$F17&lt;=24,2,3),FALSE)),$C$3)*(1+Projection!AN$16)*(1+IF(AL149&gt;0,'Attrition Modeling'!$N$9,0)))</f>
        <v>0</v>
      </c>
      <c r="AM84" s="799">
        <f>AL84*(1-IFERROR(IF(AM$69+$F84&lt;=12,SUMIFS('Attrition Modeling'!$D:$D,'Attrition Modeling'!$C:$C,'IP Attrition'!$D84,'Attrition Modeling'!$B:$B,'IP Attrition'!AM$68),VLOOKUP($F84+AM$2,$A$6:$C$106,2,FALSE)*VLOOKUP(AM$1,'Attrition Modeling'!$L$15:$N$27,IF(AM$2+$F17&lt;=24,2,3),FALSE)),$C$3)*(1+Projection!AO$16)*(1+IF(AM149&gt;0,'Attrition Modeling'!$N$9,0)))</f>
        <v>0</v>
      </c>
      <c r="AN84" s="799">
        <f>AM84*(1-IFERROR(IF(AN$69+$F84&lt;=12,SUMIFS('Attrition Modeling'!$D:$D,'Attrition Modeling'!$C:$C,'IP Attrition'!$D84,'Attrition Modeling'!$B:$B,'IP Attrition'!AN$68),VLOOKUP($F84+AN$2,$A$6:$C$106,2,FALSE)*VLOOKUP(AN$1,'Attrition Modeling'!$L$15:$N$27,IF(AN$2+$F17&lt;=24,2,3),FALSE)),$C$3)*(1+Projection!AP$16)*(1+IF(AN149&gt;0,'Attrition Modeling'!$N$9,0)))</f>
        <v>0</v>
      </c>
      <c r="AO84" s="799">
        <f>AN84*(1-IFERROR(IF(AO$69+$F84&lt;=12,SUMIFS('Attrition Modeling'!$D:$D,'Attrition Modeling'!$C:$C,'IP Attrition'!$D84,'Attrition Modeling'!$B:$B,'IP Attrition'!AO$68),VLOOKUP($F84+AO$2,$A$6:$C$106,2,FALSE)*VLOOKUP(AO$1,'Attrition Modeling'!$L$15:$N$27,IF(AO$2+$F17&lt;=24,2,3),FALSE)),$C$3)*(1+Projection!AQ$16)*(1+IF(AO149&gt;0,'Attrition Modeling'!$N$9,0)))</f>
        <v>0</v>
      </c>
      <c r="AP84" s="799">
        <f>AO84*(1-IFERROR(IF(AP$69+$F84&lt;=12,SUMIFS('Attrition Modeling'!$D:$D,'Attrition Modeling'!$C:$C,'IP Attrition'!$D84,'Attrition Modeling'!$B:$B,'IP Attrition'!AP$68),VLOOKUP($F84+AP$2,$A$6:$C$106,2,FALSE)*VLOOKUP(AP$1,'Attrition Modeling'!$L$15:$N$27,IF(AP$2+$F17&lt;=24,2,3),FALSE)),$C$3)*(1+Projection!AR$16)*(1+IF(AP149&gt;0,'Attrition Modeling'!$N$9,0)))</f>
        <v>0</v>
      </c>
      <c r="AQ84" s="799">
        <f>AP84*(1-IFERROR(IF(AQ$69+$F84&lt;=12,SUMIFS('Attrition Modeling'!$D:$D,'Attrition Modeling'!$C:$C,'IP Attrition'!$D84,'Attrition Modeling'!$B:$B,'IP Attrition'!AQ$68),VLOOKUP($F84+AQ$2,$A$6:$C$106,2,FALSE)*VLOOKUP(AQ$1,'Attrition Modeling'!$L$15:$N$27,IF(AQ$2+$F17&lt;=24,2,3),FALSE)),$C$3)*(1+Projection!AS$16)*(1+IF(AQ149&gt;0,'Attrition Modeling'!$N$9,0)))</f>
        <v>0</v>
      </c>
      <c r="AR84" s="799">
        <f>AQ84*(1-IFERROR(IF(AR$69+$F84&lt;=12,SUMIFS('Attrition Modeling'!$D:$D,'Attrition Modeling'!$C:$C,'IP Attrition'!$D84,'Attrition Modeling'!$B:$B,'IP Attrition'!AR$68),VLOOKUP($F84+AR$2,$A$6:$C$106,2,FALSE)*VLOOKUP(AR$1,'Attrition Modeling'!$L$15:$N$27,IF(AR$2+$F17&lt;=24,2,3),FALSE)),$C$3)*(1+Projection!AT$16)*(1+IF(AR149&gt;0,'Attrition Modeling'!$N$9,0)))</f>
        <v>0</v>
      </c>
      <c r="AS84" s="799">
        <f>AR84*(1-IFERROR(IF(AS$69+$F84&lt;=12,SUMIFS('Attrition Modeling'!$D:$D,'Attrition Modeling'!$C:$C,'IP Attrition'!$D84,'Attrition Modeling'!$B:$B,'IP Attrition'!AS$68),VLOOKUP($F84+AS$2,$A$6:$C$106,2,FALSE)*VLOOKUP(AS$1,'Attrition Modeling'!$L$15:$N$27,IF(AS$2+$F17&lt;=24,2,3),FALSE)),$C$3)*(1+Projection!AU$16)*(1+IF(AS149&gt;0,'Attrition Modeling'!$N$9,0)))</f>
        <v>0</v>
      </c>
      <c r="AT84" s="799">
        <f>AS84*(1-IFERROR(IF(AT$69+$F84&lt;=12,SUMIFS('Attrition Modeling'!$D:$D,'Attrition Modeling'!$C:$C,'IP Attrition'!$D84,'Attrition Modeling'!$B:$B,'IP Attrition'!AT$68),VLOOKUP($F84+AT$2,$A$6:$C$106,2,FALSE)*VLOOKUP(AT$1,'Attrition Modeling'!$L$15:$N$27,IF(AT$2+$F17&lt;=24,2,3),FALSE)),$C$3)*(1+Projection!AV$16)*(1+IF(AT149&gt;0,'Attrition Modeling'!$N$9,0)))</f>
        <v>0</v>
      </c>
      <c r="AU84" s="799">
        <f>AT84*(1-IFERROR(IF(AU$69+$F84&lt;=12,SUMIFS('Attrition Modeling'!$D:$D,'Attrition Modeling'!$C:$C,'IP Attrition'!$D84,'Attrition Modeling'!$B:$B,'IP Attrition'!AU$68),VLOOKUP($F84+AU$2,$A$6:$C$106,2,FALSE)*VLOOKUP(AU$1,'Attrition Modeling'!$L$15:$N$27,IF(AU$2+$F17&lt;=24,2,3),FALSE)),$C$3)*(1+Projection!AW$16)*(1+IF(AU149&gt;0,'Attrition Modeling'!$N$9,0)))</f>
        <v>0</v>
      </c>
      <c r="AV84" s="799">
        <f>AU84*(1-IFERROR(IF(AV$69+$F84&lt;=12,SUMIFS('Attrition Modeling'!$D:$D,'Attrition Modeling'!$C:$C,'IP Attrition'!$D84,'Attrition Modeling'!$B:$B,'IP Attrition'!AV$68),VLOOKUP($F84+AV$2,$A$6:$C$106,2,FALSE)*VLOOKUP(AV$1,'Attrition Modeling'!$L$15:$N$27,IF(AV$2+$F17&lt;=24,2,3),FALSE)),$C$3)*(1+Projection!AX$16)*(1+IF(AV149&gt;0,'Attrition Modeling'!$N$9,0)))</f>
        <v>0</v>
      </c>
      <c r="AW84" s="799">
        <f>AV84*(1-IFERROR(IF(AW$69+$F84&lt;=12,SUMIFS('Attrition Modeling'!$D:$D,'Attrition Modeling'!$C:$C,'IP Attrition'!$D84,'Attrition Modeling'!$B:$B,'IP Attrition'!AW$68),VLOOKUP($F84+AW$2,$A$6:$C$106,2,FALSE)*VLOOKUP(AW$1,'Attrition Modeling'!$L$15:$N$27,IF(AW$2+$F17&lt;=24,2,3),FALSE)),$C$3)*(1+Projection!AY$16)*(1+IF(AW149&gt;0,'Attrition Modeling'!$N$9,0)))</f>
        <v>0</v>
      </c>
      <c r="AX84" s="799">
        <f>AW84*(1-IFERROR(IF(AX$69+$F84&lt;=12,SUMIFS('Attrition Modeling'!$D:$D,'Attrition Modeling'!$C:$C,'IP Attrition'!$D84,'Attrition Modeling'!$B:$B,'IP Attrition'!AX$68),VLOOKUP($F84+AX$2,$A$6:$C$106,2,FALSE)*VLOOKUP(AX$1,'Attrition Modeling'!$L$15:$N$27,IF(AX$2+$F17&lt;=24,2,3),FALSE)),$C$3)*(1+Projection!AZ$16)*(1+IF(AX149&gt;0,'Attrition Modeling'!$N$9,0)))</f>
        <v>0</v>
      </c>
      <c r="AY84" s="799">
        <f>AX84*(1-IFERROR(IF(AY$69+$F84&lt;=12,SUMIFS('Attrition Modeling'!$D:$D,'Attrition Modeling'!$C:$C,'IP Attrition'!$D84,'Attrition Modeling'!$B:$B,'IP Attrition'!AY$68),VLOOKUP($F84+AY$2,$A$6:$C$106,2,FALSE)*VLOOKUP(AY$1,'Attrition Modeling'!$L$15:$N$27,IF(AY$2+$F17&lt;=24,2,3),FALSE)),$C$3)*(1+Projection!BA$16)*(1+IF(AY149&gt;0,'Attrition Modeling'!$N$9,0)))</f>
        <v>0</v>
      </c>
      <c r="AZ84" s="799">
        <f>AY84*(1-IFERROR(IF(AZ$69+$F84&lt;=12,SUMIFS('Attrition Modeling'!$D:$D,'Attrition Modeling'!$C:$C,'IP Attrition'!$D84,'Attrition Modeling'!$B:$B,'IP Attrition'!AZ$68),VLOOKUP($F84+AZ$2,$A$6:$C$106,2,FALSE)*VLOOKUP(AZ$1,'Attrition Modeling'!$L$15:$N$27,IF(AZ$2+$F17&lt;=24,2,3),FALSE)),$C$3)*(1+Projection!BB$16)*(1+IF(AZ149&gt;0,'Attrition Modeling'!$N$9,0)))</f>
        <v>0</v>
      </c>
      <c r="BA84" s="799">
        <f>AZ84*(1-IFERROR(IF(BA$69+$F84&lt;=12,SUMIFS('Attrition Modeling'!$D:$D,'Attrition Modeling'!$C:$C,'IP Attrition'!$D84,'Attrition Modeling'!$B:$B,'IP Attrition'!BA$68),VLOOKUP($F84+BA$2,$A$6:$C$106,2,FALSE)*VLOOKUP(BA$1,'Attrition Modeling'!$L$15:$N$27,IF(BA$2+$F17&lt;=24,2,3),FALSE)),$C$3)*(1+Projection!BC$16)*(1+IF(BA149&gt;0,'Attrition Modeling'!$N$9,0)))</f>
        <v>0</v>
      </c>
      <c r="BB84" s="799">
        <f>BA84*(1-IFERROR(IF(BB$69+$F84&lt;=12,SUMIFS('Attrition Modeling'!$D:$D,'Attrition Modeling'!$C:$C,'IP Attrition'!$D84,'Attrition Modeling'!$B:$B,'IP Attrition'!BB$68),VLOOKUP($F84+BB$2,$A$6:$C$106,2,FALSE)*VLOOKUP(BB$1,'Attrition Modeling'!$L$15:$N$27,IF(BB$2+$F17&lt;=24,2,3),FALSE)),$C$3)*(1+Projection!BD$16)*(1+IF(BB149&gt;0,'Attrition Modeling'!$N$9,0)))</f>
        <v>0</v>
      </c>
      <c r="BC84" s="799">
        <f>BB84*(1-IFERROR(IF(BC$69+$F84&lt;=12,SUMIFS('Attrition Modeling'!$D:$D,'Attrition Modeling'!$C:$C,'IP Attrition'!$D84,'Attrition Modeling'!$B:$B,'IP Attrition'!BC$68),VLOOKUP($F84+BC$2,$A$6:$C$106,2,FALSE)*VLOOKUP(BC$1,'Attrition Modeling'!$L$15:$N$27,IF(BC$2+$F17&lt;=24,2,3),FALSE)),$C$3)*(1+Projection!BE$16)*(1+IF(BC149&gt;0,'Attrition Modeling'!$N$9,0)))</f>
        <v>0</v>
      </c>
      <c r="BD84" s="799">
        <f>BC84*(1-IFERROR(IF(BD$69+$F84&lt;=12,SUMIFS('Attrition Modeling'!$D:$D,'Attrition Modeling'!$C:$C,'IP Attrition'!$D84,'Attrition Modeling'!$B:$B,'IP Attrition'!BD$68),VLOOKUP($F84+BD$2,$A$6:$C$106,2,FALSE)*VLOOKUP(BD$1,'Attrition Modeling'!$L$15:$N$27,IF(BD$2+$F17&lt;=24,2,3),FALSE)),$C$3)*(1+Projection!BF$16)*(1+IF(BD149&gt;0,'Attrition Modeling'!$N$9,0)))</f>
        <v>0</v>
      </c>
      <c r="BE84" s="799">
        <f>BD84*(1-IFERROR(IF(BE$69+$F84&lt;=12,SUMIFS('Attrition Modeling'!$D:$D,'Attrition Modeling'!$C:$C,'IP Attrition'!$D84,'Attrition Modeling'!$B:$B,'IP Attrition'!BE$68),VLOOKUP($F84+BE$2,$A$6:$C$106,2,FALSE)*VLOOKUP(BE$1,'Attrition Modeling'!$L$15:$N$27,IF(BE$2+$F17&lt;=24,2,3),FALSE)),$C$3)*(1+Projection!BG$16)*(1+IF(BE149&gt;0,'Attrition Modeling'!$N$9,0)))</f>
        <v>0</v>
      </c>
      <c r="BF84" s="799">
        <f>BE84*(1-IFERROR(IF(BF$69+$F84&lt;=12,SUMIFS('Attrition Modeling'!$D:$D,'Attrition Modeling'!$C:$C,'IP Attrition'!$D84,'Attrition Modeling'!$B:$B,'IP Attrition'!BF$68),VLOOKUP($F84+BF$2,$A$6:$C$106,2,FALSE)*VLOOKUP(BF$1,'Attrition Modeling'!$L$15:$N$27,IF(BF$2+$F17&lt;=24,2,3),FALSE)),$C$3)*(1+Projection!BH$16)*(1+IF(BF149&gt;0,'Attrition Modeling'!$N$9,0)))</f>
        <v>0</v>
      </c>
      <c r="BG84" s="799">
        <f>BF84*(1-IFERROR(IF(BG$69+$F84&lt;=12,SUMIFS('Attrition Modeling'!$D:$D,'Attrition Modeling'!$C:$C,'IP Attrition'!$D84,'Attrition Modeling'!$B:$B,'IP Attrition'!BG$68),VLOOKUP($F84+BG$2,$A$6:$C$106,2,FALSE)*VLOOKUP(BG$1,'Attrition Modeling'!$L$15:$N$27,IF(BG$2+$F17&lt;=24,2,3),FALSE)),$C$3)*(1+Projection!BI$16)*(1+IF(BG149&gt;0,'Attrition Modeling'!$N$9,0)))</f>
        <v>0</v>
      </c>
      <c r="BH84" s="799">
        <f>BG84*(1-IFERROR(IF(BH$69+$F84&lt;=12,SUMIFS('Attrition Modeling'!$D:$D,'Attrition Modeling'!$C:$C,'IP Attrition'!$D84,'Attrition Modeling'!$B:$B,'IP Attrition'!BH$68),VLOOKUP($F84+BH$2,$A$6:$C$106,2,FALSE)*VLOOKUP(BH$1,'Attrition Modeling'!$L$15:$N$27,IF(BH$2+$F17&lt;=24,2,3),FALSE)),$C$3)*(1+Projection!BJ$16)*(1+IF(BH149&gt;0,'Attrition Modeling'!$N$9,0)))</f>
        <v>0</v>
      </c>
      <c r="BI84" s="799">
        <f>BH84*(1-IFERROR(IF(BI$69+$F84&lt;=12,SUMIFS('Attrition Modeling'!$D:$D,'Attrition Modeling'!$C:$C,'IP Attrition'!$D84,'Attrition Modeling'!$B:$B,'IP Attrition'!BI$68),VLOOKUP($F84+BI$2,$A$6:$C$106,2,FALSE)*VLOOKUP(BI$1,'Attrition Modeling'!$L$15:$N$27,IF(BI$2+$F17&lt;=24,2,3),FALSE)),$C$3)*(1+Projection!BK$16)*(1+IF(BI149&gt;0,'Attrition Modeling'!$N$9,0)))</f>
        <v>0</v>
      </c>
      <c r="BJ84" s="799">
        <f>BI84*(1-IFERROR(IF(BJ$69+$F84&lt;=12,SUMIFS('Attrition Modeling'!$D:$D,'Attrition Modeling'!$C:$C,'IP Attrition'!$D84,'Attrition Modeling'!$B:$B,'IP Attrition'!BJ$68),VLOOKUP($F84+BJ$2,$A$6:$C$106,2,FALSE)*VLOOKUP(BJ$1,'Attrition Modeling'!$L$15:$N$27,IF(BJ$2+$F17&lt;=24,2,3),FALSE)),$C$3)*(1+Projection!BL$16)*(1+IF(BJ149&gt;0,'Attrition Modeling'!$N$9,0)))</f>
        <v>0</v>
      </c>
      <c r="BK84" s="799">
        <f>BJ84*(1-IFERROR(IF(BK$69+$F84&lt;=12,SUMIFS('Attrition Modeling'!$D:$D,'Attrition Modeling'!$C:$C,'IP Attrition'!$D84,'Attrition Modeling'!$B:$B,'IP Attrition'!BK$68),VLOOKUP($F84+BK$2,$A$6:$C$106,2,FALSE)*VLOOKUP(BK$1,'Attrition Modeling'!$L$15:$N$27,IF(BK$2+$F17&lt;=24,2,3),FALSE)),$C$3)*(1+Projection!BM$16)*(1+IF(BK149&gt;0,'Attrition Modeling'!$N$9,0)))</f>
        <v>0</v>
      </c>
      <c r="BL84" s="799">
        <f>BK84*(1-IFERROR(IF(BL$69+$F84&lt;=12,SUMIFS('Attrition Modeling'!$D:$D,'Attrition Modeling'!$C:$C,'IP Attrition'!$D84,'Attrition Modeling'!$B:$B,'IP Attrition'!BL$68),VLOOKUP($F84+BL$2,$A$6:$C$106,2,FALSE)*VLOOKUP(BL$1,'Attrition Modeling'!$L$15:$N$27,IF(BL$2+$F17&lt;=24,2,3),FALSE)),$C$3)*(1+Projection!BN$16)*(1+IF(BL149&gt;0,'Attrition Modeling'!$N$9,0)))</f>
        <v>0</v>
      </c>
      <c r="BM84" s="799">
        <f>BL84*(1-IFERROR(IF(BM$69+$F84&lt;=12,SUMIFS('Attrition Modeling'!$D:$D,'Attrition Modeling'!$C:$C,'IP Attrition'!$D84,'Attrition Modeling'!$B:$B,'IP Attrition'!BM$68),VLOOKUP($F84+BM$2,$A$6:$C$106,2,FALSE)*VLOOKUP(BM$1,'Attrition Modeling'!$L$15:$N$27,IF(BM$2+$F17&lt;=24,2,3),FALSE)),$C$3)*(1+Projection!BO$16)*(1+IF(BM149&gt;0,'Attrition Modeling'!$N$9,0)))</f>
        <v>0</v>
      </c>
      <c r="BN84" s="799">
        <f>BM84*(1-IFERROR(IF(BN$69+$F84&lt;=12,SUMIFS('Attrition Modeling'!$D:$D,'Attrition Modeling'!$C:$C,'IP Attrition'!$D84,'Attrition Modeling'!$B:$B,'IP Attrition'!BN$68),VLOOKUP($F84+BN$2,$A$6:$C$106,2,FALSE)*VLOOKUP(BN$1,'Attrition Modeling'!$L$15:$N$27,IF(BN$2+$F17&lt;=24,2,3),FALSE)),$C$3)*(1+Projection!BP$16)*(1+IF(BN149&gt;0,'Attrition Modeling'!$N$9,0)))</f>
        <v>0</v>
      </c>
      <c r="BO84" s="799">
        <f>BN84*(1-IFERROR(IF(BO$69+$F84&lt;=12,SUMIFS('Attrition Modeling'!$D:$D,'Attrition Modeling'!$C:$C,'IP Attrition'!$D84,'Attrition Modeling'!$B:$B,'IP Attrition'!BO$68),VLOOKUP($F84+BO$2,$A$6:$C$106,2,FALSE)*VLOOKUP(BO$1,'Attrition Modeling'!$L$15:$N$27,IF(BO$2+$F17&lt;=24,2,3),FALSE)),$C$3)*(1+Projection!BV$16)*(1+IF(BO149&gt;0,'Attrition Modeling'!$N$9,0)))</f>
        <v>0</v>
      </c>
      <c r="BP84" s="799">
        <f>BO84*(1-IFERROR(IF(BP$69+$F84&lt;=12,SUMIFS('Attrition Modeling'!$D:$D,'Attrition Modeling'!$C:$C,'IP Attrition'!$D84,'Attrition Modeling'!$B:$B,'IP Attrition'!BP$68),VLOOKUP($F84+BP$2,$A$6:$C$106,2,FALSE)*VLOOKUP(BP$1,'Attrition Modeling'!$L$15:$N$27,IF(BP$2+$F17&lt;=24,2,3),FALSE)),$C$3)*(1+Projection!BW$16)*(1+IF(BP149&gt;0,'Attrition Modeling'!$N$9,0)))</f>
        <v>0</v>
      </c>
      <c r="BQ84" s="799">
        <f>BP84*(1-IFERROR(IF(BQ$69+$F84&lt;=12,SUMIFS('Attrition Modeling'!$D:$D,'Attrition Modeling'!$C:$C,'IP Attrition'!$D84,'Attrition Modeling'!$B:$B,'IP Attrition'!BQ$68),VLOOKUP($F84+BQ$2,$A$6:$C$106,2,FALSE)*VLOOKUP(BQ$1,'Attrition Modeling'!$L$15:$N$27,IF(BQ$2+$F17&lt;=24,2,3),FALSE)),$C$3)*(1+Projection!BX$16)*(1+IF(BQ149&gt;0,'Attrition Modeling'!$N$9,0)))</f>
        <v>0</v>
      </c>
      <c r="BR84" s="799">
        <f>BQ84*(1-IFERROR(IF(BR$69+$F84&lt;=12,SUMIFS('Attrition Modeling'!$D:$D,'Attrition Modeling'!$C:$C,'IP Attrition'!$D84,'Attrition Modeling'!$B:$B,'IP Attrition'!BR$68),VLOOKUP($F84+BR$2,$A$6:$C$106,2,FALSE)*VLOOKUP(BR$1,'Attrition Modeling'!$L$15:$N$27,IF(BR$2+$F17&lt;=24,2,3),FALSE)),$C$3)*(1+Projection!BY$16)*(1+IF(BR149&gt;0,'Attrition Modeling'!$N$9,0)))</f>
        <v>0</v>
      </c>
      <c r="BS84" s="799">
        <f>BR84*(1-IFERROR(IF(BS$69+$F84&lt;=12,SUMIFS('Attrition Modeling'!$D:$D,'Attrition Modeling'!$C:$C,'IP Attrition'!$D84,'Attrition Modeling'!$B:$B,'IP Attrition'!BS$68),VLOOKUP($F84+BS$2,$A$6:$C$106,2,FALSE)*VLOOKUP(BS$1,'Attrition Modeling'!$L$15:$N$27,IF(BS$2+$F17&lt;=24,2,3),FALSE)),$C$3)*(1+Projection!BZ$16)*(1+IF(BS149&gt;0,'Attrition Modeling'!$N$9,0)))</f>
        <v>0</v>
      </c>
      <c r="BT84" s="799" t="e">
        <f>BS84*(1-IFERROR(IF(BT$69+$F84&lt;=12,SUMIFS('Attrition Modeling'!$D:$D,'Attrition Modeling'!$C:$C,'IP Attrition'!$D84,'Attrition Modeling'!$B:$B,'IP Attrition'!BT$68),VLOOKUP($F84+BT$2,$A$6:$C$106,2,FALSE)*VLOOKUP(BT$1,'Attrition Modeling'!$L$15:$N$27,IF(BT$2+$F17&lt;=24,2,3),FALSE)),$C$3)*(1+Projection!CA$16)*(1+IF(BT149&gt;0,'Attrition Modeling'!$N$9,0)))</f>
        <v>#REF!</v>
      </c>
      <c r="BU84" s="799" t="e">
        <f>BT84*(1-IFERROR(IF(BU$69+$F84&lt;=12,SUMIFS('Attrition Modeling'!$D:$D,'Attrition Modeling'!$C:$C,'IP Attrition'!$D84,'Attrition Modeling'!$B:$B,'IP Attrition'!BU$68),VLOOKUP($F84+BU$2,$A$6:$C$106,2,FALSE)*VLOOKUP(BU$1,'Attrition Modeling'!$L$15:$N$27,IF(BU$2+$F17&lt;=24,2,3),FALSE)),$C$3)*(1+Projection!CB$16)*(1+IF(BU149&gt;0,'Attrition Modeling'!$N$9,0)))</f>
        <v>#REF!</v>
      </c>
    </row>
    <row r="85" spans="1:73" ht="14.25" customHeight="1" x14ac:dyDescent="0.2">
      <c r="A85" s="9">
        <v>78</v>
      </c>
      <c r="B85" s="25">
        <f>MAX('Attrition Modeling'!H82,$C$3)*(1-Summary!$C$20)</f>
        <v>2.0113990114176375E-2</v>
      </c>
      <c r="C85" s="24" t="e">
        <f t="shared" si="3"/>
        <v>#DIV/0!</v>
      </c>
      <c r="D85" s="11">
        <f t="shared" ref="D85:E85" si="23">D18</f>
        <v>-15</v>
      </c>
      <c r="E85" s="25">
        <f t="shared" si="23"/>
        <v>0</v>
      </c>
      <c r="F85" s="11">
        <f t="shared" si="9"/>
        <v>15</v>
      </c>
      <c r="G85" s="799">
        <f>Summary!$C$24*$E85</f>
        <v>0</v>
      </c>
      <c r="H85" s="799">
        <f>G85*(1-IFERROR(IF(H$69+$F85&lt;=12,SUMIFS('Attrition Modeling'!$D:$D,'Attrition Modeling'!$C:$C,'IP Attrition'!$D85,'Attrition Modeling'!$B:$B,'IP Attrition'!H$68),VLOOKUP($F85+H$2,$A$6:$C$106,2,FALSE)*VLOOKUP(H$1,'Attrition Modeling'!$L$15:$N$27,IF(H$2+$F18&lt;=24,2,3),FALSE)),$C$3)*(1+Projection!J$16)*(1+IF(H150&gt;0,'Attrition Modeling'!$N$9,0)))</f>
        <v>0</v>
      </c>
      <c r="I85" s="799">
        <f>H85*(1-IFERROR(IF(I$69+$F85&lt;=12,SUMIFS('Attrition Modeling'!$D:$D,'Attrition Modeling'!$C:$C,'IP Attrition'!$D85,'Attrition Modeling'!$B:$B,'IP Attrition'!I$68),VLOOKUP($F85+I$2,$A$6:$C$106,2,FALSE)*VLOOKUP(I$1,'Attrition Modeling'!$L$15:$N$27,IF(I$2+$F18&lt;=24,2,3),FALSE)),$C$3)*(1+Projection!K$16)*(1+IF(I150&gt;0,'Attrition Modeling'!$N$9,0)))</f>
        <v>0</v>
      </c>
      <c r="J85" s="799">
        <f>I85*(1-IFERROR(IF(J$69+$F85&lt;=12,SUMIFS('Attrition Modeling'!$D:$D,'Attrition Modeling'!$C:$C,'IP Attrition'!$D85,'Attrition Modeling'!$B:$B,'IP Attrition'!J$68),VLOOKUP($F85+J$2,$A$6:$C$106,2,FALSE)*VLOOKUP(J$1,'Attrition Modeling'!$L$15:$N$27,IF(J$2+$F18&lt;=24,2,3),FALSE)),$C$3)*(1+Projection!L$16)*(1+IF(J150&gt;0,'Attrition Modeling'!$N$9,0)))</f>
        <v>0</v>
      </c>
      <c r="K85" s="799">
        <f>J85*(1-IFERROR(IF(K$69+$F85&lt;=12,SUMIFS('Attrition Modeling'!$D:$D,'Attrition Modeling'!$C:$C,'IP Attrition'!$D85,'Attrition Modeling'!$B:$B,'IP Attrition'!K$68),VLOOKUP($F85+K$2,$A$6:$C$106,2,FALSE)*VLOOKUP(K$1,'Attrition Modeling'!$L$15:$N$27,IF(K$2+$F18&lt;=24,2,3),FALSE)),$C$3)*(1+Projection!M$16)*(1+IF(K150&gt;0,'Attrition Modeling'!$N$9,0)))</f>
        <v>0</v>
      </c>
      <c r="L85" s="799">
        <f>K85*(1-IFERROR(IF(L$69+$F85&lt;=12,SUMIFS('Attrition Modeling'!$D:$D,'Attrition Modeling'!$C:$C,'IP Attrition'!$D85,'Attrition Modeling'!$B:$B,'IP Attrition'!L$68),VLOOKUP($F85+L$2,$A$6:$C$106,2,FALSE)*VLOOKUP(L$1,'Attrition Modeling'!$L$15:$N$27,IF(L$2+$F18&lt;=24,2,3),FALSE)),$C$3)*(1+Projection!N$16)*(1+IF(L150&gt;0,'Attrition Modeling'!$N$9,0)))</f>
        <v>0</v>
      </c>
      <c r="M85" s="799">
        <f>L85*(1-IFERROR(IF(M$69+$F85&lt;=12,SUMIFS('Attrition Modeling'!$D:$D,'Attrition Modeling'!$C:$C,'IP Attrition'!$D85,'Attrition Modeling'!$B:$B,'IP Attrition'!M$68),VLOOKUP($F85+M$2,$A$6:$C$106,2,FALSE)*VLOOKUP(M$1,'Attrition Modeling'!$L$15:$N$27,IF(M$2+$F18&lt;=24,2,3),FALSE)),$C$3)*(1+Projection!O$16)*(1+IF(M150&gt;0,'Attrition Modeling'!$N$9,0)))</f>
        <v>0</v>
      </c>
      <c r="N85" s="799">
        <f>M85*(1-IFERROR(IF(N$69+$F85&lt;=12,SUMIFS('Attrition Modeling'!$D:$D,'Attrition Modeling'!$C:$C,'IP Attrition'!$D85,'Attrition Modeling'!$B:$B,'IP Attrition'!N$68),VLOOKUP($F85+N$2,$A$6:$C$106,2,FALSE)*VLOOKUP(N$1,'Attrition Modeling'!$L$15:$N$27,IF(N$2+$F18&lt;=24,2,3),FALSE)),$C$3)*(1+Projection!P$16)*(1+IF(N150&gt;0,'Attrition Modeling'!$N$9,0)))</f>
        <v>0</v>
      </c>
      <c r="O85" s="799">
        <f>N85*(1-IFERROR(IF(O$69+$F85&lt;=12,SUMIFS('Attrition Modeling'!$D:$D,'Attrition Modeling'!$C:$C,'IP Attrition'!$D85,'Attrition Modeling'!$B:$B,'IP Attrition'!O$68),VLOOKUP($F85+O$2,$A$6:$C$106,2,FALSE)*VLOOKUP(O$1,'Attrition Modeling'!$L$15:$N$27,IF(O$2+$F18&lt;=24,2,3),FALSE)),$C$3)*(1+Projection!Q$16)*(1+IF(O150&gt;0,'Attrition Modeling'!$N$9,0)))</f>
        <v>0</v>
      </c>
      <c r="P85" s="799">
        <f>O85*(1-IFERROR(IF(P$69+$F85&lt;=12,SUMIFS('Attrition Modeling'!$D:$D,'Attrition Modeling'!$C:$C,'IP Attrition'!$D85,'Attrition Modeling'!$B:$B,'IP Attrition'!P$68),VLOOKUP($F85+P$2,$A$6:$C$106,2,FALSE)*VLOOKUP(P$1,'Attrition Modeling'!$L$15:$N$27,IF(P$2+$F18&lt;=24,2,3),FALSE)),$C$3)*(1+Projection!R$16)*(1+IF(P150&gt;0,'Attrition Modeling'!$N$9,0)))</f>
        <v>0</v>
      </c>
      <c r="Q85" s="799">
        <f>P85*(1-IFERROR(IF(Q$69+$F85&lt;=12,SUMIFS('Attrition Modeling'!$D:$D,'Attrition Modeling'!$C:$C,'IP Attrition'!$D85,'Attrition Modeling'!$B:$B,'IP Attrition'!Q$68),VLOOKUP($F85+Q$2,$A$6:$C$106,2,FALSE)*VLOOKUP(Q$1,'Attrition Modeling'!$L$15:$N$27,IF(Q$2+$F18&lt;=24,2,3),FALSE)),$C$3)*(1+Projection!S$16)*(1+IF(Q150&gt;0,'Attrition Modeling'!$N$9,0)))</f>
        <v>0</v>
      </c>
      <c r="R85" s="799">
        <f>Q85*(1-IFERROR(IF(R$69+$F85&lt;=12,SUMIFS('Attrition Modeling'!$D:$D,'Attrition Modeling'!$C:$C,'IP Attrition'!$D85,'Attrition Modeling'!$B:$B,'IP Attrition'!R$68),VLOOKUP($F85+R$2,$A$6:$C$106,2,FALSE)*VLOOKUP(R$1,'Attrition Modeling'!$L$15:$N$27,IF(R$2+$F18&lt;=24,2,3),FALSE)),$C$3)*(1+Projection!T$16)*(1+IF(R150&gt;0,'Attrition Modeling'!$N$9,0)))</f>
        <v>0</v>
      </c>
      <c r="S85" s="799">
        <f>R85*(1-IFERROR(IF(S$69+$F85&lt;=12,SUMIFS('Attrition Modeling'!$D:$D,'Attrition Modeling'!$C:$C,'IP Attrition'!$D85,'Attrition Modeling'!$B:$B,'IP Attrition'!S$68),VLOOKUP($F85+S$2,$A$6:$C$106,2,FALSE)*VLOOKUP(S$1,'Attrition Modeling'!$L$15:$N$27,IF(S$2+$F18&lt;=24,2,3),FALSE)),$C$3)*(1+Projection!U$16)*(1+IF(S150&gt;0,'Attrition Modeling'!$N$9,0)))</f>
        <v>0</v>
      </c>
      <c r="T85" s="799">
        <f>S85*(1-IFERROR(IF(T$69+$F85&lt;=12,SUMIFS('Attrition Modeling'!$D:$D,'Attrition Modeling'!$C:$C,'IP Attrition'!$D85,'Attrition Modeling'!$B:$B,'IP Attrition'!T$68),VLOOKUP($F85+T$2,$A$6:$C$106,2,FALSE)*VLOOKUP(T$1,'Attrition Modeling'!$L$15:$N$27,IF(T$2+$F18&lt;=24,2,3),FALSE)),$C$3)*(1+Projection!V$16)*(1+IF(T150&gt;0,'Attrition Modeling'!$N$9,0)))</f>
        <v>0</v>
      </c>
      <c r="U85" s="799">
        <f>T85*(1-IFERROR(IF(U$69+$F85&lt;=12,SUMIFS('Attrition Modeling'!$D:$D,'Attrition Modeling'!$C:$C,'IP Attrition'!$D85,'Attrition Modeling'!$B:$B,'IP Attrition'!U$68),VLOOKUP($F85+U$2,$A$6:$C$106,2,FALSE)*VLOOKUP(U$1,'Attrition Modeling'!$L$15:$N$27,IF(U$2+$F18&lt;=24,2,3),FALSE)),$C$3)*(1+Projection!W$16)*(1+IF(U150&gt;0,'Attrition Modeling'!$N$9,0)))</f>
        <v>0</v>
      </c>
      <c r="V85" s="799">
        <f>U85*(1-IFERROR(IF(V$69+$F85&lt;=12,SUMIFS('Attrition Modeling'!$D:$D,'Attrition Modeling'!$C:$C,'IP Attrition'!$D85,'Attrition Modeling'!$B:$B,'IP Attrition'!V$68),VLOOKUP($F85+V$2,$A$6:$C$106,2,FALSE)*VLOOKUP(V$1,'Attrition Modeling'!$L$15:$N$27,IF(V$2+$F18&lt;=24,2,3),FALSE)),$C$3)*(1+Projection!X$16)*(1+IF(V150&gt;0,'Attrition Modeling'!$N$9,0)))</f>
        <v>0</v>
      </c>
      <c r="W85" s="799">
        <f>V85*(1-IFERROR(IF(W$69+$F85&lt;=12,SUMIFS('Attrition Modeling'!$D:$D,'Attrition Modeling'!$C:$C,'IP Attrition'!$D85,'Attrition Modeling'!$B:$B,'IP Attrition'!W$68),VLOOKUP($F85+W$2,$A$6:$C$106,2,FALSE)*VLOOKUP(W$1,'Attrition Modeling'!$L$15:$N$27,IF(W$2+$F18&lt;=24,2,3),FALSE)),$C$3)*(1+Projection!Y$16)*(1+IF(W150&gt;0,'Attrition Modeling'!$N$9,0)))</f>
        <v>0</v>
      </c>
      <c r="X85" s="799">
        <f>W85*(1-IFERROR(IF(X$69+$F85&lt;=12,SUMIFS('Attrition Modeling'!$D:$D,'Attrition Modeling'!$C:$C,'IP Attrition'!$D85,'Attrition Modeling'!$B:$B,'IP Attrition'!X$68),VLOOKUP($F85+X$2,$A$6:$C$106,2,FALSE)*VLOOKUP(X$1,'Attrition Modeling'!$L$15:$N$27,IF(X$2+$F18&lt;=24,2,3),FALSE)),$C$3)*(1+Projection!Z$16)*(1+IF(X150&gt;0,'Attrition Modeling'!$N$9,0)))</f>
        <v>0</v>
      </c>
      <c r="Y85" s="799">
        <f>X85*(1-IFERROR(IF(Y$69+$F85&lt;=12,SUMIFS('Attrition Modeling'!$D:$D,'Attrition Modeling'!$C:$C,'IP Attrition'!$D85,'Attrition Modeling'!$B:$B,'IP Attrition'!Y$68),VLOOKUP($F85+Y$2,$A$6:$C$106,2,FALSE)*VLOOKUP(Y$1,'Attrition Modeling'!$L$15:$N$27,IF(Y$2+$F18&lt;=24,2,3),FALSE)),$C$3)*(1+Projection!AA$16)*(1+IF(Y150&gt;0,'Attrition Modeling'!$N$9,0)))</f>
        <v>0</v>
      </c>
      <c r="Z85" s="799">
        <f>Y85*(1-IFERROR(IF(Z$69+$F85&lt;=12,SUMIFS('Attrition Modeling'!$D:$D,'Attrition Modeling'!$C:$C,'IP Attrition'!$D85,'Attrition Modeling'!$B:$B,'IP Attrition'!Z$68),VLOOKUP($F85+Z$2,$A$6:$C$106,2,FALSE)*VLOOKUP(Z$1,'Attrition Modeling'!$L$15:$N$27,IF(Z$2+$F18&lt;=24,2,3),FALSE)),$C$3)*(1+Projection!AB$16)*(1+IF(Z150&gt;0,'Attrition Modeling'!$N$9,0)))</f>
        <v>0</v>
      </c>
      <c r="AA85" s="799">
        <f>Z85*(1-IFERROR(IF(AA$69+$F85&lt;=12,SUMIFS('Attrition Modeling'!$D:$D,'Attrition Modeling'!$C:$C,'IP Attrition'!$D85,'Attrition Modeling'!$B:$B,'IP Attrition'!AA$68),VLOOKUP($F85+AA$2,$A$6:$C$106,2,FALSE)*VLOOKUP(AA$1,'Attrition Modeling'!$L$15:$N$27,IF(AA$2+$F18&lt;=24,2,3),FALSE)),$C$3)*(1+Projection!AC$16)*(1+IF(AA150&gt;0,'Attrition Modeling'!$N$9,0)))</f>
        <v>0</v>
      </c>
      <c r="AB85" s="799">
        <f>AA85*(1-IFERROR(IF(AB$69+$F85&lt;=12,SUMIFS('Attrition Modeling'!$D:$D,'Attrition Modeling'!$C:$C,'IP Attrition'!$D85,'Attrition Modeling'!$B:$B,'IP Attrition'!AB$68),VLOOKUP($F85+AB$2,$A$6:$C$106,2,FALSE)*VLOOKUP(AB$1,'Attrition Modeling'!$L$15:$N$27,IF(AB$2+$F18&lt;=24,2,3),FALSE)),$C$3)*(1+Projection!AD$16)*(1+IF(AB150&gt;0,'Attrition Modeling'!$N$9,0)))</f>
        <v>0</v>
      </c>
      <c r="AC85" s="799">
        <f>AB85*(1-IFERROR(IF(AC$69+$F85&lt;=12,SUMIFS('Attrition Modeling'!$D:$D,'Attrition Modeling'!$C:$C,'IP Attrition'!$D85,'Attrition Modeling'!$B:$B,'IP Attrition'!AC$68),VLOOKUP($F85+AC$2,$A$6:$C$106,2,FALSE)*VLOOKUP(AC$1,'Attrition Modeling'!$L$15:$N$27,IF(AC$2+$F18&lt;=24,2,3),FALSE)),$C$3)*(1+Projection!AE$16)*(1+IF(AC150&gt;0,'Attrition Modeling'!$N$9,0)))</f>
        <v>0</v>
      </c>
      <c r="AD85" s="799">
        <f>AC85*(1-IFERROR(IF(AD$69+$F85&lt;=12,SUMIFS('Attrition Modeling'!$D:$D,'Attrition Modeling'!$C:$C,'IP Attrition'!$D85,'Attrition Modeling'!$B:$B,'IP Attrition'!AD$68),VLOOKUP($F85+AD$2,$A$6:$C$106,2,FALSE)*VLOOKUP(AD$1,'Attrition Modeling'!$L$15:$N$27,IF(AD$2+$F18&lt;=24,2,3),FALSE)),$C$3)*(1+Projection!AF$16)*(1+IF(AD150&gt;0,'Attrition Modeling'!$N$9,0)))</f>
        <v>0</v>
      </c>
      <c r="AE85" s="799">
        <f>AD85*(1-IFERROR(IF(AE$69+$F85&lt;=12,SUMIFS('Attrition Modeling'!$D:$D,'Attrition Modeling'!$C:$C,'IP Attrition'!$D85,'Attrition Modeling'!$B:$B,'IP Attrition'!AE$68),VLOOKUP($F85+AE$2,$A$6:$C$106,2,FALSE)*VLOOKUP(AE$1,'Attrition Modeling'!$L$15:$N$27,IF(AE$2+$F18&lt;=24,2,3),FALSE)),$C$3)*(1+Projection!AG$16)*(1+IF(AE150&gt;0,'Attrition Modeling'!$N$9,0)))</f>
        <v>0</v>
      </c>
      <c r="AF85" s="799">
        <f>AE85*(1-IFERROR(IF(AF$69+$F85&lt;=12,SUMIFS('Attrition Modeling'!$D:$D,'Attrition Modeling'!$C:$C,'IP Attrition'!$D85,'Attrition Modeling'!$B:$B,'IP Attrition'!AF$68),VLOOKUP($F85+AF$2,$A$6:$C$106,2,FALSE)*VLOOKUP(AF$1,'Attrition Modeling'!$L$15:$N$27,IF(AF$2+$F18&lt;=24,2,3),FALSE)),$C$3)*(1+Projection!AH$16)*(1+IF(AF150&gt;0,'Attrition Modeling'!$N$9,0)))</f>
        <v>0</v>
      </c>
      <c r="AG85" s="799">
        <f>AF85*(1-IFERROR(IF(AG$69+$F85&lt;=12,SUMIFS('Attrition Modeling'!$D:$D,'Attrition Modeling'!$C:$C,'IP Attrition'!$D85,'Attrition Modeling'!$B:$B,'IP Attrition'!AG$68),VLOOKUP($F85+AG$2,$A$6:$C$106,2,FALSE)*VLOOKUP(AG$1,'Attrition Modeling'!$L$15:$N$27,IF(AG$2+$F18&lt;=24,2,3),FALSE)),$C$3)*(1+Projection!AI$16)*(1+IF(AG150&gt;0,'Attrition Modeling'!$N$9,0)))</f>
        <v>0</v>
      </c>
      <c r="AH85" s="799">
        <f>AG85*(1-IFERROR(IF(AH$69+$F85&lt;=12,SUMIFS('Attrition Modeling'!$D:$D,'Attrition Modeling'!$C:$C,'IP Attrition'!$D85,'Attrition Modeling'!$B:$B,'IP Attrition'!AH$68),VLOOKUP($F85+AH$2,$A$6:$C$106,2,FALSE)*VLOOKUP(AH$1,'Attrition Modeling'!$L$15:$N$27,IF(AH$2+$F18&lt;=24,2,3),FALSE)),$C$3)*(1+Projection!AJ$16)*(1+IF(AH150&gt;0,'Attrition Modeling'!$N$9,0)))</f>
        <v>0</v>
      </c>
      <c r="AI85" s="799">
        <f>AH85*(1-IFERROR(IF(AI$69+$F85&lt;=12,SUMIFS('Attrition Modeling'!$D:$D,'Attrition Modeling'!$C:$C,'IP Attrition'!$D85,'Attrition Modeling'!$B:$B,'IP Attrition'!AI$68),VLOOKUP($F85+AI$2,$A$6:$C$106,2,FALSE)*VLOOKUP(AI$1,'Attrition Modeling'!$L$15:$N$27,IF(AI$2+$F18&lt;=24,2,3),FALSE)),$C$3)*(1+Projection!AK$16)*(1+IF(AI150&gt;0,'Attrition Modeling'!$N$9,0)))</f>
        <v>0</v>
      </c>
      <c r="AJ85" s="799">
        <f>AI85*(1-IFERROR(IF(AJ$69+$F85&lt;=12,SUMIFS('Attrition Modeling'!$D:$D,'Attrition Modeling'!$C:$C,'IP Attrition'!$D85,'Attrition Modeling'!$B:$B,'IP Attrition'!AJ$68),VLOOKUP($F85+AJ$2,$A$6:$C$106,2,FALSE)*VLOOKUP(AJ$1,'Attrition Modeling'!$L$15:$N$27,IF(AJ$2+$F18&lt;=24,2,3),FALSE)),$C$3)*(1+Projection!AL$16)*(1+IF(AJ150&gt;0,'Attrition Modeling'!$N$9,0)))</f>
        <v>0</v>
      </c>
      <c r="AK85" s="799">
        <f>AJ85*(1-IFERROR(IF(AK$69+$F85&lt;=12,SUMIFS('Attrition Modeling'!$D:$D,'Attrition Modeling'!$C:$C,'IP Attrition'!$D85,'Attrition Modeling'!$B:$B,'IP Attrition'!AK$68),VLOOKUP($F85+AK$2,$A$6:$C$106,2,FALSE)*VLOOKUP(AK$1,'Attrition Modeling'!$L$15:$N$27,IF(AK$2+$F18&lt;=24,2,3),FALSE)),$C$3)*(1+Projection!AM$16)*(1+IF(AK150&gt;0,'Attrition Modeling'!$N$9,0)))</f>
        <v>0</v>
      </c>
      <c r="AL85" s="799">
        <f>AK85*(1-IFERROR(IF(AL$69+$F85&lt;=12,SUMIFS('Attrition Modeling'!$D:$D,'Attrition Modeling'!$C:$C,'IP Attrition'!$D85,'Attrition Modeling'!$B:$B,'IP Attrition'!AL$68),VLOOKUP($F85+AL$2,$A$6:$C$106,2,FALSE)*VLOOKUP(AL$1,'Attrition Modeling'!$L$15:$N$27,IF(AL$2+$F18&lt;=24,2,3),FALSE)),$C$3)*(1+Projection!AN$16)*(1+IF(AL150&gt;0,'Attrition Modeling'!$N$9,0)))</f>
        <v>0</v>
      </c>
      <c r="AM85" s="799">
        <f>AL85*(1-IFERROR(IF(AM$69+$F85&lt;=12,SUMIFS('Attrition Modeling'!$D:$D,'Attrition Modeling'!$C:$C,'IP Attrition'!$D85,'Attrition Modeling'!$B:$B,'IP Attrition'!AM$68),VLOOKUP($F85+AM$2,$A$6:$C$106,2,FALSE)*VLOOKUP(AM$1,'Attrition Modeling'!$L$15:$N$27,IF(AM$2+$F18&lt;=24,2,3),FALSE)),$C$3)*(1+Projection!AO$16)*(1+IF(AM150&gt;0,'Attrition Modeling'!$N$9,0)))</f>
        <v>0</v>
      </c>
      <c r="AN85" s="799">
        <f>AM85*(1-IFERROR(IF(AN$69+$F85&lt;=12,SUMIFS('Attrition Modeling'!$D:$D,'Attrition Modeling'!$C:$C,'IP Attrition'!$D85,'Attrition Modeling'!$B:$B,'IP Attrition'!AN$68),VLOOKUP($F85+AN$2,$A$6:$C$106,2,FALSE)*VLOOKUP(AN$1,'Attrition Modeling'!$L$15:$N$27,IF(AN$2+$F18&lt;=24,2,3),FALSE)),$C$3)*(1+Projection!AP$16)*(1+IF(AN150&gt;0,'Attrition Modeling'!$N$9,0)))</f>
        <v>0</v>
      </c>
      <c r="AO85" s="799">
        <f>AN85*(1-IFERROR(IF(AO$69+$F85&lt;=12,SUMIFS('Attrition Modeling'!$D:$D,'Attrition Modeling'!$C:$C,'IP Attrition'!$D85,'Attrition Modeling'!$B:$B,'IP Attrition'!AO$68),VLOOKUP($F85+AO$2,$A$6:$C$106,2,FALSE)*VLOOKUP(AO$1,'Attrition Modeling'!$L$15:$N$27,IF(AO$2+$F18&lt;=24,2,3),FALSE)),$C$3)*(1+Projection!AQ$16)*(1+IF(AO150&gt;0,'Attrition Modeling'!$N$9,0)))</f>
        <v>0</v>
      </c>
      <c r="AP85" s="799">
        <f>AO85*(1-IFERROR(IF(AP$69+$F85&lt;=12,SUMIFS('Attrition Modeling'!$D:$D,'Attrition Modeling'!$C:$C,'IP Attrition'!$D85,'Attrition Modeling'!$B:$B,'IP Attrition'!AP$68),VLOOKUP($F85+AP$2,$A$6:$C$106,2,FALSE)*VLOOKUP(AP$1,'Attrition Modeling'!$L$15:$N$27,IF(AP$2+$F18&lt;=24,2,3),FALSE)),$C$3)*(1+Projection!AR$16)*(1+IF(AP150&gt;0,'Attrition Modeling'!$N$9,0)))</f>
        <v>0</v>
      </c>
      <c r="AQ85" s="799">
        <f>AP85*(1-IFERROR(IF(AQ$69+$F85&lt;=12,SUMIFS('Attrition Modeling'!$D:$D,'Attrition Modeling'!$C:$C,'IP Attrition'!$D85,'Attrition Modeling'!$B:$B,'IP Attrition'!AQ$68),VLOOKUP($F85+AQ$2,$A$6:$C$106,2,FALSE)*VLOOKUP(AQ$1,'Attrition Modeling'!$L$15:$N$27,IF(AQ$2+$F18&lt;=24,2,3),FALSE)),$C$3)*(1+Projection!AS$16)*(1+IF(AQ150&gt;0,'Attrition Modeling'!$N$9,0)))</f>
        <v>0</v>
      </c>
      <c r="AR85" s="799">
        <f>AQ85*(1-IFERROR(IF(AR$69+$F85&lt;=12,SUMIFS('Attrition Modeling'!$D:$D,'Attrition Modeling'!$C:$C,'IP Attrition'!$D85,'Attrition Modeling'!$B:$B,'IP Attrition'!AR$68),VLOOKUP($F85+AR$2,$A$6:$C$106,2,FALSE)*VLOOKUP(AR$1,'Attrition Modeling'!$L$15:$N$27,IF(AR$2+$F18&lt;=24,2,3),FALSE)),$C$3)*(1+Projection!AT$16)*(1+IF(AR150&gt;0,'Attrition Modeling'!$N$9,0)))</f>
        <v>0</v>
      </c>
      <c r="AS85" s="799">
        <f>AR85*(1-IFERROR(IF(AS$69+$F85&lt;=12,SUMIFS('Attrition Modeling'!$D:$D,'Attrition Modeling'!$C:$C,'IP Attrition'!$D85,'Attrition Modeling'!$B:$B,'IP Attrition'!AS$68),VLOOKUP($F85+AS$2,$A$6:$C$106,2,FALSE)*VLOOKUP(AS$1,'Attrition Modeling'!$L$15:$N$27,IF(AS$2+$F18&lt;=24,2,3),FALSE)),$C$3)*(1+Projection!AU$16)*(1+IF(AS150&gt;0,'Attrition Modeling'!$N$9,0)))</f>
        <v>0</v>
      </c>
      <c r="AT85" s="799">
        <f>AS85*(1-IFERROR(IF(AT$69+$F85&lt;=12,SUMIFS('Attrition Modeling'!$D:$D,'Attrition Modeling'!$C:$C,'IP Attrition'!$D85,'Attrition Modeling'!$B:$B,'IP Attrition'!AT$68),VLOOKUP($F85+AT$2,$A$6:$C$106,2,FALSE)*VLOOKUP(AT$1,'Attrition Modeling'!$L$15:$N$27,IF(AT$2+$F18&lt;=24,2,3),FALSE)),$C$3)*(1+Projection!AV$16)*(1+IF(AT150&gt;0,'Attrition Modeling'!$N$9,0)))</f>
        <v>0</v>
      </c>
      <c r="AU85" s="799">
        <f>AT85*(1-IFERROR(IF(AU$69+$F85&lt;=12,SUMIFS('Attrition Modeling'!$D:$D,'Attrition Modeling'!$C:$C,'IP Attrition'!$D85,'Attrition Modeling'!$B:$B,'IP Attrition'!AU$68),VLOOKUP($F85+AU$2,$A$6:$C$106,2,FALSE)*VLOOKUP(AU$1,'Attrition Modeling'!$L$15:$N$27,IF(AU$2+$F18&lt;=24,2,3),FALSE)),$C$3)*(1+Projection!AW$16)*(1+IF(AU150&gt;0,'Attrition Modeling'!$N$9,0)))</f>
        <v>0</v>
      </c>
      <c r="AV85" s="799">
        <f>AU85*(1-IFERROR(IF(AV$69+$F85&lt;=12,SUMIFS('Attrition Modeling'!$D:$D,'Attrition Modeling'!$C:$C,'IP Attrition'!$D85,'Attrition Modeling'!$B:$B,'IP Attrition'!AV$68),VLOOKUP($F85+AV$2,$A$6:$C$106,2,FALSE)*VLOOKUP(AV$1,'Attrition Modeling'!$L$15:$N$27,IF(AV$2+$F18&lt;=24,2,3),FALSE)),$C$3)*(1+Projection!AX$16)*(1+IF(AV150&gt;0,'Attrition Modeling'!$N$9,0)))</f>
        <v>0</v>
      </c>
      <c r="AW85" s="799">
        <f>AV85*(1-IFERROR(IF(AW$69+$F85&lt;=12,SUMIFS('Attrition Modeling'!$D:$D,'Attrition Modeling'!$C:$C,'IP Attrition'!$D85,'Attrition Modeling'!$B:$B,'IP Attrition'!AW$68),VLOOKUP($F85+AW$2,$A$6:$C$106,2,FALSE)*VLOOKUP(AW$1,'Attrition Modeling'!$L$15:$N$27,IF(AW$2+$F18&lt;=24,2,3),FALSE)),$C$3)*(1+Projection!AY$16)*(1+IF(AW150&gt;0,'Attrition Modeling'!$N$9,0)))</f>
        <v>0</v>
      </c>
      <c r="AX85" s="799">
        <f>AW85*(1-IFERROR(IF(AX$69+$F85&lt;=12,SUMIFS('Attrition Modeling'!$D:$D,'Attrition Modeling'!$C:$C,'IP Attrition'!$D85,'Attrition Modeling'!$B:$B,'IP Attrition'!AX$68),VLOOKUP($F85+AX$2,$A$6:$C$106,2,FALSE)*VLOOKUP(AX$1,'Attrition Modeling'!$L$15:$N$27,IF(AX$2+$F18&lt;=24,2,3),FALSE)),$C$3)*(1+Projection!AZ$16)*(1+IF(AX150&gt;0,'Attrition Modeling'!$N$9,0)))</f>
        <v>0</v>
      </c>
      <c r="AY85" s="799">
        <f>AX85*(1-IFERROR(IF(AY$69+$F85&lt;=12,SUMIFS('Attrition Modeling'!$D:$D,'Attrition Modeling'!$C:$C,'IP Attrition'!$D85,'Attrition Modeling'!$B:$B,'IP Attrition'!AY$68),VLOOKUP($F85+AY$2,$A$6:$C$106,2,FALSE)*VLOOKUP(AY$1,'Attrition Modeling'!$L$15:$N$27,IF(AY$2+$F18&lt;=24,2,3),FALSE)),$C$3)*(1+Projection!BA$16)*(1+IF(AY150&gt;0,'Attrition Modeling'!$N$9,0)))</f>
        <v>0</v>
      </c>
      <c r="AZ85" s="799">
        <f>AY85*(1-IFERROR(IF(AZ$69+$F85&lt;=12,SUMIFS('Attrition Modeling'!$D:$D,'Attrition Modeling'!$C:$C,'IP Attrition'!$D85,'Attrition Modeling'!$B:$B,'IP Attrition'!AZ$68),VLOOKUP($F85+AZ$2,$A$6:$C$106,2,FALSE)*VLOOKUP(AZ$1,'Attrition Modeling'!$L$15:$N$27,IF(AZ$2+$F18&lt;=24,2,3),FALSE)),$C$3)*(1+Projection!BB$16)*(1+IF(AZ150&gt;0,'Attrition Modeling'!$N$9,0)))</f>
        <v>0</v>
      </c>
      <c r="BA85" s="799">
        <f>AZ85*(1-IFERROR(IF(BA$69+$F85&lt;=12,SUMIFS('Attrition Modeling'!$D:$D,'Attrition Modeling'!$C:$C,'IP Attrition'!$D85,'Attrition Modeling'!$B:$B,'IP Attrition'!BA$68),VLOOKUP($F85+BA$2,$A$6:$C$106,2,FALSE)*VLOOKUP(BA$1,'Attrition Modeling'!$L$15:$N$27,IF(BA$2+$F18&lt;=24,2,3),FALSE)),$C$3)*(1+Projection!BC$16)*(1+IF(BA150&gt;0,'Attrition Modeling'!$N$9,0)))</f>
        <v>0</v>
      </c>
      <c r="BB85" s="799">
        <f>BA85*(1-IFERROR(IF(BB$69+$F85&lt;=12,SUMIFS('Attrition Modeling'!$D:$D,'Attrition Modeling'!$C:$C,'IP Attrition'!$D85,'Attrition Modeling'!$B:$B,'IP Attrition'!BB$68),VLOOKUP($F85+BB$2,$A$6:$C$106,2,FALSE)*VLOOKUP(BB$1,'Attrition Modeling'!$L$15:$N$27,IF(BB$2+$F18&lt;=24,2,3),FALSE)),$C$3)*(1+Projection!BD$16)*(1+IF(BB150&gt;0,'Attrition Modeling'!$N$9,0)))</f>
        <v>0</v>
      </c>
      <c r="BC85" s="799">
        <f>BB85*(1-IFERROR(IF(BC$69+$F85&lt;=12,SUMIFS('Attrition Modeling'!$D:$D,'Attrition Modeling'!$C:$C,'IP Attrition'!$D85,'Attrition Modeling'!$B:$B,'IP Attrition'!BC$68),VLOOKUP($F85+BC$2,$A$6:$C$106,2,FALSE)*VLOOKUP(BC$1,'Attrition Modeling'!$L$15:$N$27,IF(BC$2+$F18&lt;=24,2,3),FALSE)),$C$3)*(1+Projection!BE$16)*(1+IF(BC150&gt;0,'Attrition Modeling'!$N$9,0)))</f>
        <v>0</v>
      </c>
      <c r="BD85" s="799">
        <f>BC85*(1-IFERROR(IF(BD$69+$F85&lt;=12,SUMIFS('Attrition Modeling'!$D:$D,'Attrition Modeling'!$C:$C,'IP Attrition'!$D85,'Attrition Modeling'!$B:$B,'IP Attrition'!BD$68),VLOOKUP($F85+BD$2,$A$6:$C$106,2,FALSE)*VLOOKUP(BD$1,'Attrition Modeling'!$L$15:$N$27,IF(BD$2+$F18&lt;=24,2,3),FALSE)),$C$3)*(1+Projection!BF$16)*(1+IF(BD150&gt;0,'Attrition Modeling'!$N$9,0)))</f>
        <v>0</v>
      </c>
      <c r="BE85" s="799">
        <f>BD85*(1-IFERROR(IF(BE$69+$F85&lt;=12,SUMIFS('Attrition Modeling'!$D:$D,'Attrition Modeling'!$C:$C,'IP Attrition'!$D85,'Attrition Modeling'!$B:$B,'IP Attrition'!BE$68),VLOOKUP($F85+BE$2,$A$6:$C$106,2,FALSE)*VLOOKUP(BE$1,'Attrition Modeling'!$L$15:$N$27,IF(BE$2+$F18&lt;=24,2,3),FALSE)),$C$3)*(1+Projection!BG$16)*(1+IF(BE150&gt;0,'Attrition Modeling'!$N$9,0)))</f>
        <v>0</v>
      </c>
      <c r="BF85" s="799">
        <f>BE85*(1-IFERROR(IF(BF$69+$F85&lt;=12,SUMIFS('Attrition Modeling'!$D:$D,'Attrition Modeling'!$C:$C,'IP Attrition'!$D85,'Attrition Modeling'!$B:$B,'IP Attrition'!BF$68),VLOOKUP($F85+BF$2,$A$6:$C$106,2,FALSE)*VLOOKUP(BF$1,'Attrition Modeling'!$L$15:$N$27,IF(BF$2+$F18&lt;=24,2,3),FALSE)),$C$3)*(1+Projection!BH$16)*(1+IF(BF150&gt;0,'Attrition Modeling'!$N$9,0)))</f>
        <v>0</v>
      </c>
      <c r="BG85" s="799">
        <f>BF85*(1-IFERROR(IF(BG$69+$F85&lt;=12,SUMIFS('Attrition Modeling'!$D:$D,'Attrition Modeling'!$C:$C,'IP Attrition'!$D85,'Attrition Modeling'!$B:$B,'IP Attrition'!BG$68),VLOOKUP($F85+BG$2,$A$6:$C$106,2,FALSE)*VLOOKUP(BG$1,'Attrition Modeling'!$L$15:$N$27,IF(BG$2+$F18&lt;=24,2,3),FALSE)),$C$3)*(1+Projection!BI$16)*(1+IF(BG150&gt;0,'Attrition Modeling'!$N$9,0)))</f>
        <v>0</v>
      </c>
      <c r="BH85" s="799">
        <f>BG85*(1-IFERROR(IF(BH$69+$F85&lt;=12,SUMIFS('Attrition Modeling'!$D:$D,'Attrition Modeling'!$C:$C,'IP Attrition'!$D85,'Attrition Modeling'!$B:$B,'IP Attrition'!BH$68),VLOOKUP($F85+BH$2,$A$6:$C$106,2,FALSE)*VLOOKUP(BH$1,'Attrition Modeling'!$L$15:$N$27,IF(BH$2+$F18&lt;=24,2,3),FALSE)),$C$3)*(1+Projection!BJ$16)*(1+IF(BH150&gt;0,'Attrition Modeling'!$N$9,0)))</f>
        <v>0</v>
      </c>
      <c r="BI85" s="799">
        <f>BH85*(1-IFERROR(IF(BI$69+$F85&lt;=12,SUMIFS('Attrition Modeling'!$D:$D,'Attrition Modeling'!$C:$C,'IP Attrition'!$D85,'Attrition Modeling'!$B:$B,'IP Attrition'!BI$68),VLOOKUP($F85+BI$2,$A$6:$C$106,2,FALSE)*VLOOKUP(BI$1,'Attrition Modeling'!$L$15:$N$27,IF(BI$2+$F18&lt;=24,2,3),FALSE)),$C$3)*(1+Projection!BK$16)*(1+IF(BI150&gt;0,'Attrition Modeling'!$N$9,0)))</f>
        <v>0</v>
      </c>
      <c r="BJ85" s="799">
        <f>BI85*(1-IFERROR(IF(BJ$69+$F85&lt;=12,SUMIFS('Attrition Modeling'!$D:$D,'Attrition Modeling'!$C:$C,'IP Attrition'!$D85,'Attrition Modeling'!$B:$B,'IP Attrition'!BJ$68),VLOOKUP($F85+BJ$2,$A$6:$C$106,2,FALSE)*VLOOKUP(BJ$1,'Attrition Modeling'!$L$15:$N$27,IF(BJ$2+$F18&lt;=24,2,3),FALSE)),$C$3)*(1+Projection!BL$16)*(1+IF(BJ150&gt;0,'Attrition Modeling'!$N$9,0)))</f>
        <v>0</v>
      </c>
      <c r="BK85" s="799">
        <f>BJ85*(1-IFERROR(IF(BK$69+$F85&lt;=12,SUMIFS('Attrition Modeling'!$D:$D,'Attrition Modeling'!$C:$C,'IP Attrition'!$D85,'Attrition Modeling'!$B:$B,'IP Attrition'!BK$68),VLOOKUP($F85+BK$2,$A$6:$C$106,2,FALSE)*VLOOKUP(BK$1,'Attrition Modeling'!$L$15:$N$27,IF(BK$2+$F18&lt;=24,2,3),FALSE)),$C$3)*(1+Projection!BM$16)*(1+IF(BK150&gt;0,'Attrition Modeling'!$N$9,0)))</f>
        <v>0</v>
      </c>
      <c r="BL85" s="799">
        <f>BK85*(1-IFERROR(IF(BL$69+$F85&lt;=12,SUMIFS('Attrition Modeling'!$D:$D,'Attrition Modeling'!$C:$C,'IP Attrition'!$D85,'Attrition Modeling'!$B:$B,'IP Attrition'!BL$68),VLOOKUP($F85+BL$2,$A$6:$C$106,2,FALSE)*VLOOKUP(BL$1,'Attrition Modeling'!$L$15:$N$27,IF(BL$2+$F18&lt;=24,2,3),FALSE)),$C$3)*(1+Projection!BN$16)*(1+IF(BL150&gt;0,'Attrition Modeling'!$N$9,0)))</f>
        <v>0</v>
      </c>
      <c r="BM85" s="799">
        <f>BL85*(1-IFERROR(IF(BM$69+$F85&lt;=12,SUMIFS('Attrition Modeling'!$D:$D,'Attrition Modeling'!$C:$C,'IP Attrition'!$D85,'Attrition Modeling'!$B:$B,'IP Attrition'!BM$68),VLOOKUP($F85+BM$2,$A$6:$C$106,2,FALSE)*VLOOKUP(BM$1,'Attrition Modeling'!$L$15:$N$27,IF(BM$2+$F18&lt;=24,2,3),FALSE)),$C$3)*(1+Projection!BO$16)*(1+IF(BM150&gt;0,'Attrition Modeling'!$N$9,0)))</f>
        <v>0</v>
      </c>
      <c r="BN85" s="799">
        <f>BM85*(1-IFERROR(IF(BN$69+$F85&lt;=12,SUMIFS('Attrition Modeling'!$D:$D,'Attrition Modeling'!$C:$C,'IP Attrition'!$D85,'Attrition Modeling'!$B:$B,'IP Attrition'!BN$68),VLOOKUP($F85+BN$2,$A$6:$C$106,2,FALSE)*VLOOKUP(BN$1,'Attrition Modeling'!$L$15:$N$27,IF(BN$2+$F18&lt;=24,2,3),FALSE)),$C$3)*(1+Projection!BP$16)*(1+IF(BN150&gt;0,'Attrition Modeling'!$N$9,0)))</f>
        <v>0</v>
      </c>
      <c r="BO85" s="799">
        <f>BN85*(1-IFERROR(IF(BO$69+$F85&lt;=12,SUMIFS('Attrition Modeling'!$D:$D,'Attrition Modeling'!$C:$C,'IP Attrition'!$D85,'Attrition Modeling'!$B:$B,'IP Attrition'!BO$68),VLOOKUP($F85+BO$2,$A$6:$C$106,2,FALSE)*VLOOKUP(BO$1,'Attrition Modeling'!$L$15:$N$27,IF(BO$2+$F18&lt;=24,2,3),FALSE)),$C$3)*(1+Projection!BV$16)*(1+IF(BO150&gt;0,'Attrition Modeling'!$N$9,0)))</f>
        <v>0</v>
      </c>
      <c r="BP85" s="799">
        <f>BO85*(1-IFERROR(IF(BP$69+$F85&lt;=12,SUMIFS('Attrition Modeling'!$D:$D,'Attrition Modeling'!$C:$C,'IP Attrition'!$D85,'Attrition Modeling'!$B:$B,'IP Attrition'!BP$68),VLOOKUP($F85+BP$2,$A$6:$C$106,2,FALSE)*VLOOKUP(BP$1,'Attrition Modeling'!$L$15:$N$27,IF(BP$2+$F18&lt;=24,2,3),FALSE)),$C$3)*(1+Projection!BW$16)*(1+IF(BP150&gt;0,'Attrition Modeling'!$N$9,0)))</f>
        <v>0</v>
      </c>
      <c r="BQ85" s="799">
        <f>BP85*(1-IFERROR(IF(BQ$69+$F85&lt;=12,SUMIFS('Attrition Modeling'!$D:$D,'Attrition Modeling'!$C:$C,'IP Attrition'!$D85,'Attrition Modeling'!$B:$B,'IP Attrition'!BQ$68),VLOOKUP($F85+BQ$2,$A$6:$C$106,2,FALSE)*VLOOKUP(BQ$1,'Attrition Modeling'!$L$15:$N$27,IF(BQ$2+$F18&lt;=24,2,3),FALSE)),$C$3)*(1+Projection!BX$16)*(1+IF(BQ150&gt;0,'Attrition Modeling'!$N$9,0)))</f>
        <v>0</v>
      </c>
      <c r="BR85" s="799">
        <f>BQ85*(1-IFERROR(IF(BR$69+$F85&lt;=12,SUMIFS('Attrition Modeling'!$D:$D,'Attrition Modeling'!$C:$C,'IP Attrition'!$D85,'Attrition Modeling'!$B:$B,'IP Attrition'!BR$68),VLOOKUP($F85+BR$2,$A$6:$C$106,2,FALSE)*VLOOKUP(BR$1,'Attrition Modeling'!$L$15:$N$27,IF(BR$2+$F18&lt;=24,2,3),FALSE)),$C$3)*(1+Projection!BY$16)*(1+IF(BR150&gt;0,'Attrition Modeling'!$N$9,0)))</f>
        <v>0</v>
      </c>
      <c r="BS85" s="799">
        <f>BR85*(1-IFERROR(IF(BS$69+$F85&lt;=12,SUMIFS('Attrition Modeling'!$D:$D,'Attrition Modeling'!$C:$C,'IP Attrition'!$D85,'Attrition Modeling'!$B:$B,'IP Attrition'!BS$68),VLOOKUP($F85+BS$2,$A$6:$C$106,2,FALSE)*VLOOKUP(BS$1,'Attrition Modeling'!$L$15:$N$27,IF(BS$2+$F18&lt;=24,2,3),FALSE)),$C$3)*(1+Projection!BZ$16)*(1+IF(BS150&gt;0,'Attrition Modeling'!$N$9,0)))</f>
        <v>0</v>
      </c>
      <c r="BT85" s="799" t="e">
        <f>BS85*(1-IFERROR(IF(BT$69+$F85&lt;=12,SUMIFS('Attrition Modeling'!$D:$D,'Attrition Modeling'!$C:$C,'IP Attrition'!$D85,'Attrition Modeling'!$B:$B,'IP Attrition'!BT$68),VLOOKUP($F85+BT$2,$A$6:$C$106,2,FALSE)*VLOOKUP(BT$1,'Attrition Modeling'!$L$15:$N$27,IF(BT$2+$F18&lt;=24,2,3),FALSE)),$C$3)*(1+Projection!CA$16)*(1+IF(BT150&gt;0,'Attrition Modeling'!$N$9,0)))</f>
        <v>#REF!</v>
      </c>
      <c r="BU85" s="799" t="e">
        <f>BT85*(1-IFERROR(IF(BU$69+$F85&lt;=12,SUMIFS('Attrition Modeling'!$D:$D,'Attrition Modeling'!$C:$C,'IP Attrition'!$D85,'Attrition Modeling'!$B:$B,'IP Attrition'!BU$68),VLOOKUP($F85+BU$2,$A$6:$C$106,2,FALSE)*VLOOKUP(BU$1,'Attrition Modeling'!$L$15:$N$27,IF(BU$2+$F18&lt;=24,2,3),FALSE)),$C$3)*(1+Projection!CB$16)*(1+IF(BU150&gt;0,'Attrition Modeling'!$N$9,0)))</f>
        <v>#REF!</v>
      </c>
    </row>
    <row r="86" spans="1:73" ht="14.25" customHeight="1" x14ac:dyDescent="0.2">
      <c r="A86" s="9">
        <v>79</v>
      </c>
      <c r="B86" s="25">
        <f>MAX('Attrition Modeling'!H83,$C$3)*(1-Summary!$C$20)</f>
        <v>0.02</v>
      </c>
      <c r="C86" s="24" t="e">
        <f t="shared" si="3"/>
        <v>#DIV/0!</v>
      </c>
      <c r="D86" s="11">
        <f t="shared" ref="D86:E86" si="24">D19</f>
        <v>-16</v>
      </c>
      <c r="E86" s="25">
        <f t="shared" si="24"/>
        <v>0</v>
      </c>
      <c r="F86" s="11">
        <f t="shared" si="9"/>
        <v>16</v>
      </c>
      <c r="G86" s="799">
        <f>Summary!$C$24*$E86</f>
        <v>0</v>
      </c>
      <c r="H86" s="799">
        <f>G86*(1-IFERROR(IF(H$69+$F86&lt;=12,SUMIFS('Attrition Modeling'!$D:$D,'Attrition Modeling'!$C:$C,'IP Attrition'!$D86,'Attrition Modeling'!$B:$B,'IP Attrition'!H$68),VLOOKUP($F86+H$2,$A$6:$C$106,2,FALSE)*VLOOKUP(H$1,'Attrition Modeling'!$L$15:$N$27,IF(H$2+$F19&lt;=24,2,3),FALSE)),$C$3)*(1+Projection!J$16)*(1+IF(H151&gt;0,'Attrition Modeling'!$N$9,0)))</f>
        <v>0</v>
      </c>
      <c r="I86" s="799">
        <f>H86*(1-IFERROR(IF(I$69+$F86&lt;=12,SUMIFS('Attrition Modeling'!$D:$D,'Attrition Modeling'!$C:$C,'IP Attrition'!$D86,'Attrition Modeling'!$B:$B,'IP Attrition'!I$68),VLOOKUP($F86+I$2,$A$6:$C$106,2,FALSE)*VLOOKUP(I$1,'Attrition Modeling'!$L$15:$N$27,IF(I$2+$F19&lt;=24,2,3),FALSE)),$C$3)*(1+Projection!K$16)*(1+IF(I151&gt;0,'Attrition Modeling'!$N$9,0)))</f>
        <v>0</v>
      </c>
      <c r="J86" s="799">
        <f>I86*(1-IFERROR(IF(J$69+$F86&lt;=12,SUMIFS('Attrition Modeling'!$D:$D,'Attrition Modeling'!$C:$C,'IP Attrition'!$D86,'Attrition Modeling'!$B:$B,'IP Attrition'!J$68),VLOOKUP($F86+J$2,$A$6:$C$106,2,FALSE)*VLOOKUP(J$1,'Attrition Modeling'!$L$15:$N$27,IF(J$2+$F19&lt;=24,2,3),FALSE)),$C$3)*(1+Projection!L$16)*(1+IF(J151&gt;0,'Attrition Modeling'!$N$9,0)))</f>
        <v>0</v>
      </c>
      <c r="K86" s="799">
        <f>J86*(1-IFERROR(IF(K$69+$F86&lt;=12,SUMIFS('Attrition Modeling'!$D:$D,'Attrition Modeling'!$C:$C,'IP Attrition'!$D86,'Attrition Modeling'!$B:$B,'IP Attrition'!K$68),VLOOKUP($F86+K$2,$A$6:$C$106,2,FALSE)*VLOOKUP(K$1,'Attrition Modeling'!$L$15:$N$27,IF(K$2+$F19&lt;=24,2,3),FALSE)),$C$3)*(1+Projection!M$16)*(1+IF(K151&gt;0,'Attrition Modeling'!$N$9,0)))</f>
        <v>0</v>
      </c>
      <c r="L86" s="799">
        <f>K86*(1-IFERROR(IF(L$69+$F86&lt;=12,SUMIFS('Attrition Modeling'!$D:$D,'Attrition Modeling'!$C:$C,'IP Attrition'!$D86,'Attrition Modeling'!$B:$B,'IP Attrition'!L$68),VLOOKUP($F86+L$2,$A$6:$C$106,2,FALSE)*VLOOKUP(L$1,'Attrition Modeling'!$L$15:$N$27,IF(L$2+$F19&lt;=24,2,3),FALSE)),$C$3)*(1+Projection!N$16)*(1+IF(L151&gt;0,'Attrition Modeling'!$N$9,0)))</f>
        <v>0</v>
      </c>
      <c r="M86" s="799">
        <f>L86*(1-IFERROR(IF(M$69+$F86&lt;=12,SUMIFS('Attrition Modeling'!$D:$D,'Attrition Modeling'!$C:$C,'IP Attrition'!$D86,'Attrition Modeling'!$B:$B,'IP Attrition'!M$68),VLOOKUP($F86+M$2,$A$6:$C$106,2,FALSE)*VLOOKUP(M$1,'Attrition Modeling'!$L$15:$N$27,IF(M$2+$F19&lt;=24,2,3),FALSE)),$C$3)*(1+Projection!O$16)*(1+IF(M151&gt;0,'Attrition Modeling'!$N$9,0)))</f>
        <v>0</v>
      </c>
      <c r="N86" s="799">
        <f>M86*(1-IFERROR(IF(N$69+$F86&lt;=12,SUMIFS('Attrition Modeling'!$D:$D,'Attrition Modeling'!$C:$C,'IP Attrition'!$D86,'Attrition Modeling'!$B:$B,'IP Attrition'!N$68),VLOOKUP($F86+N$2,$A$6:$C$106,2,FALSE)*VLOOKUP(N$1,'Attrition Modeling'!$L$15:$N$27,IF(N$2+$F19&lt;=24,2,3),FALSE)),$C$3)*(1+Projection!P$16)*(1+IF(N151&gt;0,'Attrition Modeling'!$N$9,0)))</f>
        <v>0</v>
      </c>
      <c r="O86" s="799">
        <f>N86*(1-IFERROR(IF(O$69+$F86&lt;=12,SUMIFS('Attrition Modeling'!$D:$D,'Attrition Modeling'!$C:$C,'IP Attrition'!$D86,'Attrition Modeling'!$B:$B,'IP Attrition'!O$68),VLOOKUP($F86+O$2,$A$6:$C$106,2,FALSE)*VLOOKUP(O$1,'Attrition Modeling'!$L$15:$N$27,IF(O$2+$F19&lt;=24,2,3),FALSE)),$C$3)*(1+Projection!Q$16)*(1+IF(O151&gt;0,'Attrition Modeling'!$N$9,0)))</f>
        <v>0</v>
      </c>
      <c r="P86" s="799">
        <f>O86*(1-IFERROR(IF(P$69+$F86&lt;=12,SUMIFS('Attrition Modeling'!$D:$D,'Attrition Modeling'!$C:$C,'IP Attrition'!$D86,'Attrition Modeling'!$B:$B,'IP Attrition'!P$68),VLOOKUP($F86+P$2,$A$6:$C$106,2,FALSE)*VLOOKUP(P$1,'Attrition Modeling'!$L$15:$N$27,IF(P$2+$F19&lt;=24,2,3),FALSE)),$C$3)*(1+Projection!R$16)*(1+IF(P151&gt;0,'Attrition Modeling'!$N$9,0)))</f>
        <v>0</v>
      </c>
      <c r="Q86" s="799">
        <f>P86*(1-IFERROR(IF(Q$69+$F86&lt;=12,SUMIFS('Attrition Modeling'!$D:$D,'Attrition Modeling'!$C:$C,'IP Attrition'!$D86,'Attrition Modeling'!$B:$B,'IP Attrition'!Q$68),VLOOKUP($F86+Q$2,$A$6:$C$106,2,FALSE)*VLOOKUP(Q$1,'Attrition Modeling'!$L$15:$N$27,IF(Q$2+$F19&lt;=24,2,3),FALSE)),$C$3)*(1+Projection!S$16)*(1+IF(Q151&gt;0,'Attrition Modeling'!$N$9,0)))</f>
        <v>0</v>
      </c>
      <c r="R86" s="799">
        <f>Q86*(1-IFERROR(IF(R$69+$F86&lt;=12,SUMIFS('Attrition Modeling'!$D:$D,'Attrition Modeling'!$C:$C,'IP Attrition'!$D86,'Attrition Modeling'!$B:$B,'IP Attrition'!R$68),VLOOKUP($F86+R$2,$A$6:$C$106,2,FALSE)*VLOOKUP(R$1,'Attrition Modeling'!$L$15:$N$27,IF(R$2+$F19&lt;=24,2,3),FALSE)),$C$3)*(1+Projection!T$16)*(1+IF(R151&gt;0,'Attrition Modeling'!$N$9,0)))</f>
        <v>0</v>
      </c>
      <c r="S86" s="799">
        <f>R86*(1-IFERROR(IF(S$69+$F86&lt;=12,SUMIFS('Attrition Modeling'!$D:$D,'Attrition Modeling'!$C:$C,'IP Attrition'!$D86,'Attrition Modeling'!$B:$B,'IP Attrition'!S$68),VLOOKUP($F86+S$2,$A$6:$C$106,2,FALSE)*VLOOKUP(S$1,'Attrition Modeling'!$L$15:$N$27,IF(S$2+$F19&lt;=24,2,3),FALSE)),$C$3)*(1+Projection!U$16)*(1+IF(S151&gt;0,'Attrition Modeling'!$N$9,0)))</f>
        <v>0</v>
      </c>
      <c r="T86" s="799">
        <f>S86*(1-IFERROR(IF(T$69+$F86&lt;=12,SUMIFS('Attrition Modeling'!$D:$D,'Attrition Modeling'!$C:$C,'IP Attrition'!$D86,'Attrition Modeling'!$B:$B,'IP Attrition'!T$68),VLOOKUP($F86+T$2,$A$6:$C$106,2,FALSE)*VLOOKUP(T$1,'Attrition Modeling'!$L$15:$N$27,IF(T$2+$F19&lt;=24,2,3),FALSE)),$C$3)*(1+Projection!V$16)*(1+IF(T151&gt;0,'Attrition Modeling'!$N$9,0)))</f>
        <v>0</v>
      </c>
      <c r="U86" s="799">
        <f>T86*(1-IFERROR(IF(U$69+$F86&lt;=12,SUMIFS('Attrition Modeling'!$D:$D,'Attrition Modeling'!$C:$C,'IP Attrition'!$D86,'Attrition Modeling'!$B:$B,'IP Attrition'!U$68),VLOOKUP($F86+U$2,$A$6:$C$106,2,FALSE)*VLOOKUP(U$1,'Attrition Modeling'!$L$15:$N$27,IF(U$2+$F19&lt;=24,2,3),FALSE)),$C$3)*(1+Projection!W$16)*(1+IF(U151&gt;0,'Attrition Modeling'!$N$9,0)))</f>
        <v>0</v>
      </c>
      <c r="V86" s="799">
        <f>U86*(1-IFERROR(IF(V$69+$F86&lt;=12,SUMIFS('Attrition Modeling'!$D:$D,'Attrition Modeling'!$C:$C,'IP Attrition'!$D86,'Attrition Modeling'!$B:$B,'IP Attrition'!V$68),VLOOKUP($F86+V$2,$A$6:$C$106,2,FALSE)*VLOOKUP(V$1,'Attrition Modeling'!$L$15:$N$27,IF(V$2+$F19&lt;=24,2,3),FALSE)),$C$3)*(1+Projection!X$16)*(1+IF(V151&gt;0,'Attrition Modeling'!$N$9,0)))</f>
        <v>0</v>
      </c>
      <c r="W86" s="799">
        <f>V86*(1-IFERROR(IF(W$69+$F86&lt;=12,SUMIFS('Attrition Modeling'!$D:$D,'Attrition Modeling'!$C:$C,'IP Attrition'!$D86,'Attrition Modeling'!$B:$B,'IP Attrition'!W$68),VLOOKUP($F86+W$2,$A$6:$C$106,2,FALSE)*VLOOKUP(W$1,'Attrition Modeling'!$L$15:$N$27,IF(W$2+$F19&lt;=24,2,3),FALSE)),$C$3)*(1+Projection!Y$16)*(1+IF(W151&gt;0,'Attrition Modeling'!$N$9,0)))</f>
        <v>0</v>
      </c>
      <c r="X86" s="799">
        <f>W86*(1-IFERROR(IF(X$69+$F86&lt;=12,SUMIFS('Attrition Modeling'!$D:$D,'Attrition Modeling'!$C:$C,'IP Attrition'!$D86,'Attrition Modeling'!$B:$B,'IP Attrition'!X$68),VLOOKUP($F86+X$2,$A$6:$C$106,2,FALSE)*VLOOKUP(X$1,'Attrition Modeling'!$L$15:$N$27,IF(X$2+$F19&lt;=24,2,3),FALSE)),$C$3)*(1+Projection!Z$16)*(1+IF(X151&gt;0,'Attrition Modeling'!$N$9,0)))</f>
        <v>0</v>
      </c>
      <c r="Y86" s="799">
        <f>X86*(1-IFERROR(IF(Y$69+$F86&lt;=12,SUMIFS('Attrition Modeling'!$D:$D,'Attrition Modeling'!$C:$C,'IP Attrition'!$D86,'Attrition Modeling'!$B:$B,'IP Attrition'!Y$68),VLOOKUP($F86+Y$2,$A$6:$C$106,2,FALSE)*VLOOKUP(Y$1,'Attrition Modeling'!$L$15:$N$27,IF(Y$2+$F19&lt;=24,2,3),FALSE)),$C$3)*(1+Projection!AA$16)*(1+IF(Y151&gt;0,'Attrition Modeling'!$N$9,0)))</f>
        <v>0</v>
      </c>
      <c r="Z86" s="799">
        <f>Y86*(1-IFERROR(IF(Z$69+$F86&lt;=12,SUMIFS('Attrition Modeling'!$D:$D,'Attrition Modeling'!$C:$C,'IP Attrition'!$D86,'Attrition Modeling'!$B:$B,'IP Attrition'!Z$68),VLOOKUP($F86+Z$2,$A$6:$C$106,2,FALSE)*VLOOKUP(Z$1,'Attrition Modeling'!$L$15:$N$27,IF(Z$2+$F19&lt;=24,2,3),FALSE)),$C$3)*(1+Projection!AB$16)*(1+IF(Z151&gt;0,'Attrition Modeling'!$N$9,0)))</f>
        <v>0</v>
      </c>
      <c r="AA86" s="799">
        <f>Z86*(1-IFERROR(IF(AA$69+$F86&lt;=12,SUMIFS('Attrition Modeling'!$D:$D,'Attrition Modeling'!$C:$C,'IP Attrition'!$D86,'Attrition Modeling'!$B:$B,'IP Attrition'!AA$68),VLOOKUP($F86+AA$2,$A$6:$C$106,2,FALSE)*VLOOKUP(AA$1,'Attrition Modeling'!$L$15:$N$27,IF(AA$2+$F19&lt;=24,2,3),FALSE)),$C$3)*(1+Projection!AC$16)*(1+IF(AA151&gt;0,'Attrition Modeling'!$N$9,0)))</f>
        <v>0</v>
      </c>
      <c r="AB86" s="799">
        <f>AA86*(1-IFERROR(IF(AB$69+$F86&lt;=12,SUMIFS('Attrition Modeling'!$D:$D,'Attrition Modeling'!$C:$C,'IP Attrition'!$D86,'Attrition Modeling'!$B:$B,'IP Attrition'!AB$68),VLOOKUP($F86+AB$2,$A$6:$C$106,2,FALSE)*VLOOKUP(AB$1,'Attrition Modeling'!$L$15:$N$27,IF(AB$2+$F19&lt;=24,2,3),FALSE)),$C$3)*(1+Projection!AD$16)*(1+IF(AB151&gt;0,'Attrition Modeling'!$N$9,0)))</f>
        <v>0</v>
      </c>
      <c r="AC86" s="799">
        <f>AB86*(1-IFERROR(IF(AC$69+$F86&lt;=12,SUMIFS('Attrition Modeling'!$D:$D,'Attrition Modeling'!$C:$C,'IP Attrition'!$D86,'Attrition Modeling'!$B:$B,'IP Attrition'!AC$68),VLOOKUP($F86+AC$2,$A$6:$C$106,2,FALSE)*VLOOKUP(AC$1,'Attrition Modeling'!$L$15:$N$27,IF(AC$2+$F19&lt;=24,2,3),FALSE)),$C$3)*(1+Projection!AE$16)*(1+IF(AC151&gt;0,'Attrition Modeling'!$N$9,0)))</f>
        <v>0</v>
      </c>
      <c r="AD86" s="799">
        <f>AC86*(1-IFERROR(IF(AD$69+$F86&lt;=12,SUMIFS('Attrition Modeling'!$D:$D,'Attrition Modeling'!$C:$C,'IP Attrition'!$D86,'Attrition Modeling'!$B:$B,'IP Attrition'!AD$68),VLOOKUP($F86+AD$2,$A$6:$C$106,2,FALSE)*VLOOKUP(AD$1,'Attrition Modeling'!$L$15:$N$27,IF(AD$2+$F19&lt;=24,2,3),FALSE)),$C$3)*(1+Projection!AF$16)*(1+IF(AD151&gt;0,'Attrition Modeling'!$N$9,0)))</f>
        <v>0</v>
      </c>
      <c r="AE86" s="799">
        <f>AD86*(1-IFERROR(IF(AE$69+$F86&lt;=12,SUMIFS('Attrition Modeling'!$D:$D,'Attrition Modeling'!$C:$C,'IP Attrition'!$D86,'Attrition Modeling'!$B:$B,'IP Attrition'!AE$68),VLOOKUP($F86+AE$2,$A$6:$C$106,2,FALSE)*VLOOKUP(AE$1,'Attrition Modeling'!$L$15:$N$27,IF(AE$2+$F19&lt;=24,2,3),FALSE)),$C$3)*(1+Projection!AG$16)*(1+IF(AE151&gt;0,'Attrition Modeling'!$N$9,0)))</f>
        <v>0</v>
      </c>
      <c r="AF86" s="799">
        <f>AE86*(1-IFERROR(IF(AF$69+$F86&lt;=12,SUMIFS('Attrition Modeling'!$D:$D,'Attrition Modeling'!$C:$C,'IP Attrition'!$D86,'Attrition Modeling'!$B:$B,'IP Attrition'!AF$68),VLOOKUP($F86+AF$2,$A$6:$C$106,2,FALSE)*VLOOKUP(AF$1,'Attrition Modeling'!$L$15:$N$27,IF(AF$2+$F19&lt;=24,2,3),FALSE)),$C$3)*(1+Projection!AH$16)*(1+IF(AF151&gt;0,'Attrition Modeling'!$N$9,0)))</f>
        <v>0</v>
      </c>
      <c r="AG86" s="799">
        <f>AF86*(1-IFERROR(IF(AG$69+$F86&lt;=12,SUMIFS('Attrition Modeling'!$D:$D,'Attrition Modeling'!$C:$C,'IP Attrition'!$D86,'Attrition Modeling'!$B:$B,'IP Attrition'!AG$68),VLOOKUP($F86+AG$2,$A$6:$C$106,2,FALSE)*VLOOKUP(AG$1,'Attrition Modeling'!$L$15:$N$27,IF(AG$2+$F19&lt;=24,2,3),FALSE)),$C$3)*(1+Projection!AI$16)*(1+IF(AG151&gt;0,'Attrition Modeling'!$N$9,0)))</f>
        <v>0</v>
      </c>
      <c r="AH86" s="799">
        <f>AG86*(1-IFERROR(IF(AH$69+$F86&lt;=12,SUMIFS('Attrition Modeling'!$D:$D,'Attrition Modeling'!$C:$C,'IP Attrition'!$D86,'Attrition Modeling'!$B:$B,'IP Attrition'!AH$68),VLOOKUP($F86+AH$2,$A$6:$C$106,2,FALSE)*VLOOKUP(AH$1,'Attrition Modeling'!$L$15:$N$27,IF(AH$2+$F19&lt;=24,2,3),FALSE)),$C$3)*(1+Projection!AJ$16)*(1+IF(AH151&gt;0,'Attrition Modeling'!$N$9,0)))</f>
        <v>0</v>
      </c>
      <c r="AI86" s="799">
        <f>AH86*(1-IFERROR(IF(AI$69+$F86&lt;=12,SUMIFS('Attrition Modeling'!$D:$D,'Attrition Modeling'!$C:$C,'IP Attrition'!$D86,'Attrition Modeling'!$B:$B,'IP Attrition'!AI$68),VLOOKUP($F86+AI$2,$A$6:$C$106,2,FALSE)*VLOOKUP(AI$1,'Attrition Modeling'!$L$15:$N$27,IF(AI$2+$F19&lt;=24,2,3),FALSE)),$C$3)*(1+Projection!AK$16)*(1+IF(AI151&gt;0,'Attrition Modeling'!$N$9,0)))</f>
        <v>0</v>
      </c>
      <c r="AJ86" s="799">
        <f>AI86*(1-IFERROR(IF(AJ$69+$F86&lt;=12,SUMIFS('Attrition Modeling'!$D:$D,'Attrition Modeling'!$C:$C,'IP Attrition'!$D86,'Attrition Modeling'!$B:$B,'IP Attrition'!AJ$68),VLOOKUP($F86+AJ$2,$A$6:$C$106,2,FALSE)*VLOOKUP(AJ$1,'Attrition Modeling'!$L$15:$N$27,IF(AJ$2+$F19&lt;=24,2,3),FALSE)),$C$3)*(1+Projection!AL$16)*(1+IF(AJ151&gt;0,'Attrition Modeling'!$N$9,0)))</f>
        <v>0</v>
      </c>
      <c r="AK86" s="799">
        <f>AJ86*(1-IFERROR(IF(AK$69+$F86&lt;=12,SUMIFS('Attrition Modeling'!$D:$D,'Attrition Modeling'!$C:$C,'IP Attrition'!$D86,'Attrition Modeling'!$B:$B,'IP Attrition'!AK$68),VLOOKUP($F86+AK$2,$A$6:$C$106,2,FALSE)*VLOOKUP(AK$1,'Attrition Modeling'!$L$15:$N$27,IF(AK$2+$F19&lt;=24,2,3),FALSE)),$C$3)*(1+Projection!AM$16)*(1+IF(AK151&gt;0,'Attrition Modeling'!$N$9,0)))</f>
        <v>0</v>
      </c>
      <c r="AL86" s="799">
        <f>AK86*(1-IFERROR(IF(AL$69+$F86&lt;=12,SUMIFS('Attrition Modeling'!$D:$D,'Attrition Modeling'!$C:$C,'IP Attrition'!$D86,'Attrition Modeling'!$B:$B,'IP Attrition'!AL$68),VLOOKUP($F86+AL$2,$A$6:$C$106,2,FALSE)*VLOOKUP(AL$1,'Attrition Modeling'!$L$15:$N$27,IF(AL$2+$F19&lt;=24,2,3),FALSE)),$C$3)*(1+Projection!AN$16)*(1+IF(AL151&gt;0,'Attrition Modeling'!$N$9,0)))</f>
        <v>0</v>
      </c>
      <c r="AM86" s="799">
        <f>AL86*(1-IFERROR(IF(AM$69+$F86&lt;=12,SUMIFS('Attrition Modeling'!$D:$D,'Attrition Modeling'!$C:$C,'IP Attrition'!$D86,'Attrition Modeling'!$B:$B,'IP Attrition'!AM$68),VLOOKUP($F86+AM$2,$A$6:$C$106,2,FALSE)*VLOOKUP(AM$1,'Attrition Modeling'!$L$15:$N$27,IF(AM$2+$F19&lt;=24,2,3),FALSE)),$C$3)*(1+Projection!AO$16)*(1+IF(AM151&gt;0,'Attrition Modeling'!$N$9,0)))</f>
        <v>0</v>
      </c>
      <c r="AN86" s="799">
        <f>AM86*(1-IFERROR(IF(AN$69+$F86&lt;=12,SUMIFS('Attrition Modeling'!$D:$D,'Attrition Modeling'!$C:$C,'IP Attrition'!$D86,'Attrition Modeling'!$B:$B,'IP Attrition'!AN$68),VLOOKUP($F86+AN$2,$A$6:$C$106,2,FALSE)*VLOOKUP(AN$1,'Attrition Modeling'!$L$15:$N$27,IF(AN$2+$F19&lt;=24,2,3),FALSE)),$C$3)*(1+Projection!AP$16)*(1+IF(AN151&gt;0,'Attrition Modeling'!$N$9,0)))</f>
        <v>0</v>
      </c>
      <c r="AO86" s="799">
        <f>AN86*(1-IFERROR(IF(AO$69+$F86&lt;=12,SUMIFS('Attrition Modeling'!$D:$D,'Attrition Modeling'!$C:$C,'IP Attrition'!$D86,'Attrition Modeling'!$B:$B,'IP Attrition'!AO$68),VLOOKUP($F86+AO$2,$A$6:$C$106,2,FALSE)*VLOOKUP(AO$1,'Attrition Modeling'!$L$15:$N$27,IF(AO$2+$F19&lt;=24,2,3),FALSE)),$C$3)*(1+Projection!AQ$16)*(1+IF(AO151&gt;0,'Attrition Modeling'!$N$9,0)))</f>
        <v>0</v>
      </c>
      <c r="AP86" s="799">
        <f>AO86*(1-IFERROR(IF(AP$69+$F86&lt;=12,SUMIFS('Attrition Modeling'!$D:$D,'Attrition Modeling'!$C:$C,'IP Attrition'!$D86,'Attrition Modeling'!$B:$B,'IP Attrition'!AP$68),VLOOKUP($F86+AP$2,$A$6:$C$106,2,FALSE)*VLOOKUP(AP$1,'Attrition Modeling'!$L$15:$N$27,IF(AP$2+$F19&lt;=24,2,3),FALSE)),$C$3)*(1+Projection!AR$16)*(1+IF(AP151&gt;0,'Attrition Modeling'!$N$9,0)))</f>
        <v>0</v>
      </c>
      <c r="AQ86" s="799">
        <f>AP86*(1-IFERROR(IF(AQ$69+$F86&lt;=12,SUMIFS('Attrition Modeling'!$D:$D,'Attrition Modeling'!$C:$C,'IP Attrition'!$D86,'Attrition Modeling'!$B:$B,'IP Attrition'!AQ$68),VLOOKUP($F86+AQ$2,$A$6:$C$106,2,FALSE)*VLOOKUP(AQ$1,'Attrition Modeling'!$L$15:$N$27,IF(AQ$2+$F19&lt;=24,2,3),FALSE)),$C$3)*(1+Projection!AS$16)*(1+IF(AQ151&gt;0,'Attrition Modeling'!$N$9,0)))</f>
        <v>0</v>
      </c>
      <c r="AR86" s="799">
        <f>AQ86*(1-IFERROR(IF(AR$69+$F86&lt;=12,SUMIFS('Attrition Modeling'!$D:$D,'Attrition Modeling'!$C:$C,'IP Attrition'!$D86,'Attrition Modeling'!$B:$B,'IP Attrition'!AR$68),VLOOKUP($F86+AR$2,$A$6:$C$106,2,FALSE)*VLOOKUP(AR$1,'Attrition Modeling'!$L$15:$N$27,IF(AR$2+$F19&lt;=24,2,3),FALSE)),$C$3)*(1+Projection!AT$16)*(1+IF(AR151&gt;0,'Attrition Modeling'!$N$9,0)))</f>
        <v>0</v>
      </c>
      <c r="AS86" s="799">
        <f>AR86*(1-IFERROR(IF(AS$69+$F86&lt;=12,SUMIFS('Attrition Modeling'!$D:$D,'Attrition Modeling'!$C:$C,'IP Attrition'!$D86,'Attrition Modeling'!$B:$B,'IP Attrition'!AS$68),VLOOKUP($F86+AS$2,$A$6:$C$106,2,FALSE)*VLOOKUP(AS$1,'Attrition Modeling'!$L$15:$N$27,IF(AS$2+$F19&lt;=24,2,3),FALSE)),$C$3)*(1+Projection!AU$16)*(1+IF(AS151&gt;0,'Attrition Modeling'!$N$9,0)))</f>
        <v>0</v>
      </c>
      <c r="AT86" s="799">
        <f>AS86*(1-IFERROR(IF(AT$69+$F86&lt;=12,SUMIFS('Attrition Modeling'!$D:$D,'Attrition Modeling'!$C:$C,'IP Attrition'!$D86,'Attrition Modeling'!$B:$B,'IP Attrition'!AT$68),VLOOKUP($F86+AT$2,$A$6:$C$106,2,FALSE)*VLOOKUP(AT$1,'Attrition Modeling'!$L$15:$N$27,IF(AT$2+$F19&lt;=24,2,3),FALSE)),$C$3)*(1+Projection!AV$16)*(1+IF(AT151&gt;0,'Attrition Modeling'!$N$9,0)))</f>
        <v>0</v>
      </c>
      <c r="AU86" s="799">
        <f>AT86*(1-IFERROR(IF(AU$69+$F86&lt;=12,SUMIFS('Attrition Modeling'!$D:$D,'Attrition Modeling'!$C:$C,'IP Attrition'!$D86,'Attrition Modeling'!$B:$B,'IP Attrition'!AU$68),VLOOKUP($F86+AU$2,$A$6:$C$106,2,FALSE)*VLOOKUP(AU$1,'Attrition Modeling'!$L$15:$N$27,IF(AU$2+$F19&lt;=24,2,3),FALSE)),$C$3)*(1+Projection!AW$16)*(1+IF(AU151&gt;0,'Attrition Modeling'!$N$9,0)))</f>
        <v>0</v>
      </c>
      <c r="AV86" s="799">
        <f>AU86*(1-IFERROR(IF(AV$69+$F86&lt;=12,SUMIFS('Attrition Modeling'!$D:$D,'Attrition Modeling'!$C:$C,'IP Attrition'!$D86,'Attrition Modeling'!$B:$B,'IP Attrition'!AV$68),VLOOKUP($F86+AV$2,$A$6:$C$106,2,FALSE)*VLOOKUP(AV$1,'Attrition Modeling'!$L$15:$N$27,IF(AV$2+$F19&lt;=24,2,3),FALSE)),$C$3)*(1+Projection!AX$16)*(1+IF(AV151&gt;0,'Attrition Modeling'!$N$9,0)))</f>
        <v>0</v>
      </c>
      <c r="AW86" s="799">
        <f>AV86*(1-IFERROR(IF(AW$69+$F86&lt;=12,SUMIFS('Attrition Modeling'!$D:$D,'Attrition Modeling'!$C:$C,'IP Attrition'!$D86,'Attrition Modeling'!$B:$B,'IP Attrition'!AW$68),VLOOKUP($F86+AW$2,$A$6:$C$106,2,FALSE)*VLOOKUP(AW$1,'Attrition Modeling'!$L$15:$N$27,IF(AW$2+$F19&lt;=24,2,3),FALSE)),$C$3)*(1+Projection!AY$16)*(1+IF(AW151&gt;0,'Attrition Modeling'!$N$9,0)))</f>
        <v>0</v>
      </c>
      <c r="AX86" s="799">
        <f>AW86*(1-IFERROR(IF(AX$69+$F86&lt;=12,SUMIFS('Attrition Modeling'!$D:$D,'Attrition Modeling'!$C:$C,'IP Attrition'!$D86,'Attrition Modeling'!$B:$B,'IP Attrition'!AX$68),VLOOKUP($F86+AX$2,$A$6:$C$106,2,FALSE)*VLOOKUP(AX$1,'Attrition Modeling'!$L$15:$N$27,IF(AX$2+$F19&lt;=24,2,3),FALSE)),$C$3)*(1+Projection!AZ$16)*(1+IF(AX151&gt;0,'Attrition Modeling'!$N$9,0)))</f>
        <v>0</v>
      </c>
      <c r="AY86" s="799">
        <f>AX86*(1-IFERROR(IF(AY$69+$F86&lt;=12,SUMIFS('Attrition Modeling'!$D:$D,'Attrition Modeling'!$C:$C,'IP Attrition'!$D86,'Attrition Modeling'!$B:$B,'IP Attrition'!AY$68),VLOOKUP($F86+AY$2,$A$6:$C$106,2,FALSE)*VLOOKUP(AY$1,'Attrition Modeling'!$L$15:$N$27,IF(AY$2+$F19&lt;=24,2,3),FALSE)),$C$3)*(1+Projection!BA$16)*(1+IF(AY151&gt;0,'Attrition Modeling'!$N$9,0)))</f>
        <v>0</v>
      </c>
      <c r="AZ86" s="799">
        <f>AY86*(1-IFERROR(IF(AZ$69+$F86&lt;=12,SUMIFS('Attrition Modeling'!$D:$D,'Attrition Modeling'!$C:$C,'IP Attrition'!$D86,'Attrition Modeling'!$B:$B,'IP Attrition'!AZ$68),VLOOKUP($F86+AZ$2,$A$6:$C$106,2,FALSE)*VLOOKUP(AZ$1,'Attrition Modeling'!$L$15:$N$27,IF(AZ$2+$F19&lt;=24,2,3),FALSE)),$C$3)*(1+Projection!BB$16)*(1+IF(AZ151&gt;0,'Attrition Modeling'!$N$9,0)))</f>
        <v>0</v>
      </c>
      <c r="BA86" s="799">
        <f>AZ86*(1-IFERROR(IF(BA$69+$F86&lt;=12,SUMIFS('Attrition Modeling'!$D:$D,'Attrition Modeling'!$C:$C,'IP Attrition'!$D86,'Attrition Modeling'!$B:$B,'IP Attrition'!BA$68),VLOOKUP($F86+BA$2,$A$6:$C$106,2,FALSE)*VLOOKUP(BA$1,'Attrition Modeling'!$L$15:$N$27,IF(BA$2+$F19&lt;=24,2,3),FALSE)),$C$3)*(1+Projection!BC$16)*(1+IF(BA151&gt;0,'Attrition Modeling'!$N$9,0)))</f>
        <v>0</v>
      </c>
      <c r="BB86" s="799">
        <f>BA86*(1-IFERROR(IF(BB$69+$F86&lt;=12,SUMIFS('Attrition Modeling'!$D:$D,'Attrition Modeling'!$C:$C,'IP Attrition'!$D86,'Attrition Modeling'!$B:$B,'IP Attrition'!BB$68),VLOOKUP($F86+BB$2,$A$6:$C$106,2,FALSE)*VLOOKUP(BB$1,'Attrition Modeling'!$L$15:$N$27,IF(BB$2+$F19&lt;=24,2,3),FALSE)),$C$3)*(1+Projection!BD$16)*(1+IF(BB151&gt;0,'Attrition Modeling'!$N$9,0)))</f>
        <v>0</v>
      </c>
      <c r="BC86" s="799">
        <f>BB86*(1-IFERROR(IF(BC$69+$F86&lt;=12,SUMIFS('Attrition Modeling'!$D:$D,'Attrition Modeling'!$C:$C,'IP Attrition'!$D86,'Attrition Modeling'!$B:$B,'IP Attrition'!BC$68),VLOOKUP($F86+BC$2,$A$6:$C$106,2,FALSE)*VLOOKUP(BC$1,'Attrition Modeling'!$L$15:$N$27,IF(BC$2+$F19&lt;=24,2,3),FALSE)),$C$3)*(1+Projection!BE$16)*(1+IF(BC151&gt;0,'Attrition Modeling'!$N$9,0)))</f>
        <v>0</v>
      </c>
      <c r="BD86" s="799">
        <f>BC86*(1-IFERROR(IF(BD$69+$F86&lt;=12,SUMIFS('Attrition Modeling'!$D:$D,'Attrition Modeling'!$C:$C,'IP Attrition'!$D86,'Attrition Modeling'!$B:$B,'IP Attrition'!BD$68),VLOOKUP($F86+BD$2,$A$6:$C$106,2,FALSE)*VLOOKUP(BD$1,'Attrition Modeling'!$L$15:$N$27,IF(BD$2+$F19&lt;=24,2,3),FALSE)),$C$3)*(1+Projection!BF$16)*(1+IF(BD151&gt;0,'Attrition Modeling'!$N$9,0)))</f>
        <v>0</v>
      </c>
      <c r="BE86" s="799">
        <f>BD86*(1-IFERROR(IF(BE$69+$F86&lt;=12,SUMIFS('Attrition Modeling'!$D:$D,'Attrition Modeling'!$C:$C,'IP Attrition'!$D86,'Attrition Modeling'!$B:$B,'IP Attrition'!BE$68),VLOOKUP($F86+BE$2,$A$6:$C$106,2,FALSE)*VLOOKUP(BE$1,'Attrition Modeling'!$L$15:$N$27,IF(BE$2+$F19&lt;=24,2,3),FALSE)),$C$3)*(1+Projection!BG$16)*(1+IF(BE151&gt;0,'Attrition Modeling'!$N$9,0)))</f>
        <v>0</v>
      </c>
      <c r="BF86" s="799">
        <f>BE86*(1-IFERROR(IF(BF$69+$F86&lt;=12,SUMIFS('Attrition Modeling'!$D:$D,'Attrition Modeling'!$C:$C,'IP Attrition'!$D86,'Attrition Modeling'!$B:$B,'IP Attrition'!BF$68),VLOOKUP($F86+BF$2,$A$6:$C$106,2,FALSE)*VLOOKUP(BF$1,'Attrition Modeling'!$L$15:$N$27,IF(BF$2+$F19&lt;=24,2,3),FALSE)),$C$3)*(1+Projection!BH$16)*(1+IF(BF151&gt;0,'Attrition Modeling'!$N$9,0)))</f>
        <v>0</v>
      </c>
      <c r="BG86" s="799">
        <f>BF86*(1-IFERROR(IF(BG$69+$F86&lt;=12,SUMIFS('Attrition Modeling'!$D:$D,'Attrition Modeling'!$C:$C,'IP Attrition'!$D86,'Attrition Modeling'!$B:$B,'IP Attrition'!BG$68),VLOOKUP($F86+BG$2,$A$6:$C$106,2,FALSE)*VLOOKUP(BG$1,'Attrition Modeling'!$L$15:$N$27,IF(BG$2+$F19&lt;=24,2,3),FALSE)),$C$3)*(1+Projection!BI$16)*(1+IF(BG151&gt;0,'Attrition Modeling'!$N$9,0)))</f>
        <v>0</v>
      </c>
      <c r="BH86" s="799">
        <f>BG86*(1-IFERROR(IF(BH$69+$F86&lt;=12,SUMIFS('Attrition Modeling'!$D:$D,'Attrition Modeling'!$C:$C,'IP Attrition'!$D86,'Attrition Modeling'!$B:$B,'IP Attrition'!BH$68),VLOOKUP($F86+BH$2,$A$6:$C$106,2,FALSE)*VLOOKUP(BH$1,'Attrition Modeling'!$L$15:$N$27,IF(BH$2+$F19&lt;=24,2,3),FALSE)),$C$3)*(1+Projection!BJ$16)*(1+IF(BH151&gt;0,'Attrition Modeling'!$N$9,0)))</f>
        <v>0</v>
      </c>
      <c r="BI86" s="799">
        <f>BH86*(1-IFERROR(IF(BI$69+$F86&lt;=12,SUMIFS('Attrition Modeling'!$D:$D,'Attrition Modeling'!$C:$C,'IP Attrition'!$D86,'Attrition Modeling'!$B:$B,'IP Attrition'!BI$68),VLOOKUP($F86+BI$2,$A$6:$C$106,2,FALSE)*VLOOKUP(BI$1,'Attrition Modeling'!$L$15:$N$27,IF(BI$2+$F19&lt;=24,2,3),FALSE)),$C$3)*(1+Projection!BK$16)*(1+IF(BI151&gt;0,'Attrition Modeling'!$N$9,0)))</f>
        <v>0</v>
      </c>
      <c r="BJ86" s="799">
        <f>BI86*(1-IFERROR(IF(BJ$69+$F86&lt;=12,SUMIFS('Attrition Modeling'!$D:$D,'Attrition Modeling'!$C:$C,'IP Attrition'!$D86,'Attrition Modeling'!$B:$B,'IP Attrition'!BJ$68),VLOOKUP($F86+BJ$2,$A$6:$C$106,2,FALSE)*VLOOKUP(BJ$1,'Attrition Modeling'!$L$15:$N$27,IF(BJ$2+$F19&lt;=24,2,3),FALSE)),$C$3)*(1+Projection!BL$16)*(1+IF(BJ151&gt;0,'Attrition Modeling'!$N$9,0)))</f>
        <v>0</v>
      </c>
      <c r="BK86" s="799">
        <f>BJ86*(1-IFERROR(IF(BK$69+$F86&lt;=12,SUMIFS('Attrition Modeling'!$D:$D,'Attrition Modeling'!$C:$C,'IP Attrition'!$D86,'Attrition Modeling'!$B:$B,'IP Attrition'!BK$68),VLOOKUP($F86+BK$2,$A$6:$C$106,2,FALSE)*VLOOKUP(BK$1,'Attrition Modeling'!$L$15:$N$27,IF(BK$2+$F19&lt;=24,2,3),FALSE)),$C$3)*(1+Projection!BM$16)*(1+IF(BK151&gt;0,'Attrition Modeling'!$N$9,0)))</f>
        <v>0</v>
      </c>
      <c r="BL86" s="799">
        <f>BK86*(1-IFERROR(IF(BL$69+$F86&lt;=12,SUMIFS('Attrition Modeling'!$D:$D,'Attrition Modeling'!$C:$C,'IP Attrition'!$D86,'Attrition Modeling'!$B:$B,'IP Attrition'!BL$68),VLOOKUP($F86+BL$2,$A$6:$C$106,2,FALSE)*VLOOKUP(BL$1,'Attrition Modeling'!$L$15:$N$27,IF(BL$2+$F19&lt;=24,2,3),FALSE)),$C$3)*(1+Projection!BN$16)*(1+IF(BL151&gt;0,'Attrition Modeling'!$N$9,0)))</f>
        <v>0</v>
      </c>
      <c r="BM86" s="799">
        <f>BL86*(1-IFERROR(IF(BM$69+$F86&lt;=12,SUMIFS('Attrition Modeling'!$D:$D,'Attrition Modeling'!$C:$C,'IP Attrition'!$D86,'Attrition Modeling'!$B:$B,'IP Attrition'!BM$68),VLOOKUP($F86+BM$2,$A$6:$C$106,2,FALSE)*VLOOKUP(BM$1,'Attrition Modeling'!$L$15:$N$27,IF(BM$2+$F19&lt;=24,2,3),FALSE)),$C$3)*(1+Projection!BO$16)*(1+IF(BM151&gt;0,'Attrition Modeling'!$N$9,0)))</f>
        <v>0</v>
      </c>
      <c r="BN86" s="799">
        <f>BM86*(1-IFERROR(IF(BN$69+$F86&lt;=12,SUMIFS('Attrition Modeling'!$D:$D,'Attrition Modeling'!$C:$C,'IP Attrition'!$D86,'Attrition Modeling'!$B:$B,'IP Attrition'!BN$68),VLOOKUP($F86+BN$2,$A$6:$C$106,2,FALSE)*VLOOKUP(BN$1,'Attrition Modeling'!$L$15:$N$27,IF(BN$2+$F19&lt;=24,2,3),FALSE)),$C$3)*(1+Projection!BP$16)*(1+IF(BN151&gt;0,'Attrition Modeling'!$N$9,0)))</f>
        <v>0</v>
      </c>
      <c r="BO86" s="799">
        <f>BN86*(1-IFERROR(IF(BO$69+$F86&lt;=12,SUMIFS('Attrition Modeling'!$D:$D,'Attrition Modeling'!$C:$C,'IP Attrition'!$D86,'Attrition Modeling'!$B:$B,'IP Attrition'!BO$68),VLOOKUP($F86+BO$2,$A$6:$C$106,2,FALSE)*VLOOKUP(BO$1,'Attrition Modeling'!$L$15:$N$27,IF(BO$2+$F19&lt;=24,2,3),FALSE)),$C$3)*(1+Projection!BV$16)*(1+IF(BO151&gt;0,'Attrition Modeling'!$N$9,0)))</f>
        <v>0</v>
      </c>
      <c r="BP86" s="799">
        <f>BO86*(1-IFERROR(IF(BP$69+$F86&lt;=12,SUMIFS('Attrition Modeling'!$D:$D,'Attrition Modeling'!$C:$C,'IP Attrition'!$D86,'Attrition Modeling'!$B:$B,'IP Attrition'!BP$68),VLOOKUP($F86+BP$2,$A$6:$C$106,2,FALSE)*VLOOKUP(BP$1,'Attrition Modeling'!$L$15:$N$27,IF(BP$2+$F19&lt;=24,2,3),FALSE)),$C$3)*(1+Projection!BW$16)*(1+IF(BP151&gt;0,'Attrition Modeling'!$N$9,0)))</f>
        <v>0</v>
      </c>
      <c r="BQ86" s="799">
        <f>BP86*(1-IFERROR(IF(BQ$69+$F86&lt;=12,SUMIFS('Attrition Modeling'!$D:$D,'Attrition Modeling'!$C:$C,'IP Attrition'!$D86,'Attrition Modeling'!$B:$B,'IP Attrition'!BQ$68),VLOOKUP($F86+BQ$2,$A$6:$C$106,2,FALSE)*VLOOKUP(BQ$1,'Attrition Modeling'!$L$15:$N$27,IF(BQ$2+$F19&lt;=24,2,3),FALSE)),$C$3)*(1+Projection!BX$16)*(1+IF(BQ151&gt;0,'Attrition Modeling'!$N$9,0)))</f>
        <v>0</v>
      </c>
      <c r="BR86" s="799">
        <f>BQ86*(1-IFERROR(IF(BR$69+$F86&lt;=12,SUMIFS('Attrition Modeling'!$D:$D,'Attrition Modeling'!$C:$C,'IP Attrition'!$D86,'Attrition Modeling'!$B:$B,'IP Attrition'!BR$68),VLOOKUP($F86+BR$2,$A$6:$C$106,2,FALSE)*VLOOKUP(BR$1,'Attrition Modeling'!$L$15:$N$27,IF(BR$2+$F19&lt;=24,2,3),FALSE)),$C$3)*(1+Projection!BY$16)*(1+IF(BR151&gt;0,'Attrition Modeling'!$N$9,0)))</f>
        <v>0</v>
      </c>
      <c r="BS86" s="799">
        <f>BR86*(1-IFERROR(IF(BS$69+$F86&lt;=12,SUMIFS('Attrition Modeling'!$D:$D,'Attrition Modeling'!$C:$C,'IP Attrition'!$D86,'Attrition Modeling'!$B:$B,'IP Attrition'!BS$68),VLOOKUP($F86+BS$2,$A$6:$C$106,2,FALSE)*VLOOKUP(BS$1,'Attrition Modeling'!$L$15:$N$27,IF(BS$2+$F19&lt;=24,2,3),FALSE)),$C$3)*(1+Projection!BZ$16)*(1+IF(BS151&gt;0,'Attrition Modeling'!$N$9,0)))</f>
        <v>0</v>
      </c>
      <c r="BT86" s="799" t="e">
        <f>BS86*(1-IFERROR(IF(BT$69+$F86&lt;=12,SUMIFS('Attrition Modeling'!$D:$D,'Attrition Modeling'!$C:$C,'IP Attrition'!$D86,'Attrition Modeling'!$B:$B,'IP Attrition'!BT$68),VLOOKUP($F86+BT$2,$A$6:$C$106,2,FALSE)*VLOOKUP(BT$1,'Attrition Modeling'!$L$15:$N$27,IF(BT$2+$F19&lt;=24,2,3),FALSE)),$C$3)*(1+Projection!CA$16)*(1+IF(BT151&gt;0,'Attrition Modeling'!$N$9,0)))</f>
        <v>#REF!</v>
      </c>
      <c r="BU86" s="799" t="e">
        <f>BT86*(1-IFERROR(IF(BU$69+$F86&lt;=12,SUMIFS('Attrition Modeling'!$D:$D,'Attrition Modeling'!$C:$C,'IP Attrition'!$D86,'Attrition Modeling'!$B:$B,'IP Attrition'!BU$68),VLOOKUP($F86+BU$2,$A$6:$C$106,2,FALSE)*VLOOKUP(BU$1,'Attrition Modeling'!$L$15:$N$27,IF(BU$2+$F19&lt;=24,2,3),FALSE)),$C$3)*(1+Projection!CB$16)*(1+IF(BU151&gt;0,'Attrition Modeling'!$N$9,0)))</f>
        <v>#REF!</v>
      </c>
    </row>
    <row r="87" spans="1:73" ht="14.25" customHeight="1" x14ac:dyDescent="0.2">
      <c r="A87" s="9">
        <v>80</v>
      </c>
      <c r="B87" s="25">
        <f>MAX('Attrition Modeling'!H84,$C$3)*(1-Summary!$C$20)</f>
        <v>0.02</v>
      </c>
      <c r="C87" s="24" t="e">
        <f t="shared" si="3"/>
        <v>#DIV/0!</v>
      </c>
      <c r="D87" s="11">
        <f t="shared" ref="D87:E87" si="25">D20</f>
        <v>-17</v>
      </c>
      <c r="E87" s="25">
        <f t="shared" si="25"/>
        <v>0</v>
      </c>
      <c r="F87" s="11">
        <f t="shared" si="9"/>
        <v>17</v>
      </c>
      <c r="G87" s="799">
        <f>Summary!$C$24*$E87</f>
        <v>0</v>
      </c>
      <c r="H87" s="799">
        <f>G87*(1-IFERROR(IF(H$69+$F87&lt;=12,SUMIFS('Attrition Modeling'!$D:$D,'Attrition Modeling'!$C:$C,'IP Attrition'!$D87,'Attrition Modeling'!$B:$B,'IP Attrition'!H$68),VLOOKUP($F87+H$2,$A$6:$C$106,2,FALSE)*VLOOKUP(H$1,'Attrition Modeling'!$L$15:$N$27,IF(H$2+$F20&lt;=24,2,3),FALSE)),$C$3)*(1+Projection!J$16)*(1+IF(H152&gt;0,'Attrition Modeling'!$N$9,0)))</f>
        <v>0</v>
      </c>
      <c r="I87" s="799">
        <f>H87*(1-IFERROR(IF(I$69+$F87&lt;=12,SUMIFS('Attrition Modeling'!$D:$D,'Attrition Modeling'!$C:$C,'IP Attrition'!$D87,'Attrition Modeling'!$B:$B,'IP Attrition'!I$68),VLOOKUP($F87+I$2,$A$6:$C$106,2,FALSE)*VLOOKUP(I$1,'Attrition Modeling'!$L$15:$N$27,IF(I$2+$F20&lt;=24,2,3),FALSE)),$C$3)*(1+Projection!K$16)*(1+IF(I152&gt;0,'Attrition Modeling'!$N$9,0)))</f>
        <v>0</v>
      </c>
      <c r="J87" s="799">
        <f>I87*(1-IFERROR(IF(J$69+$F87&lt;=12,SUMIFS('Attrition Modeling'!$D:$D,'Attrition Modeling'!$C:$C,'IP Attrition'!$D87,'Attrition Modeling'!$B:$B,'IP Attrition'!J$68),VLOOKUP($F87+J$2,$A$6:$C$106,2,FALSE)*VLOOKUP(J$1,'Attrition Modeling'!$L$15:$N$27,IF(J$2+$F20&lt;=24,2,3),FALSE)),$C$3)*(1+Projection!L$16)*(1+IF(J152&gt;0,'Attrition Modeling'!$N$9,0)))</f>
        <v>0</v>
      </c>
      <c r="K87" s="799">
        <f>J87*(1-IFERROR(IF(K$69+$F87&lt;=12,SUMIFS('Attrition Modeling'!$D:$D,'Attrition Modeling'!$C:$C,'IP Attrition'!$D87,'Attrition Modeling'!$B:$B,'IP Attrition'!K$68),VLOOKUP($F87+K$2,$A$6:$C$106,2,FALSE)*VLOOKUP(K$1,'Attrition Modeling'!$L$15:$N$27,IF(K$2+$F20&lt;=24,2,3),FALSE)),$C$3)*(1+Projection!M$16)*(1+IF(K152&gt;0,'Attrition Modeling'!$N$9,0)))</f>
        <v>0</v>
      </c>
      <c r="L87" s="799">
        <f>K87*(1-IFERROR(IF(L$69+$F87&lt;=12,SUMIFS('Attrition Modeling'!$D:$D,'Attrition Modeling'!$C:$C,'IP Attrition'!$D87,'Attrition Modeling'!$B:$B,'IP Attrition'!L$68),VLOOKUP($F87+L$2,$A$6:$C$106,2,FALSE)*VLOOKUP(L$1,'Attrition Modeling'!$L$15:$N$27,IF(L$2+$F20&lt;=24,2,3),FALSE)),$C$3)*(1+Projection!N$16)*(1+IF(L152&gt;0,'Attrition Modeling'!$N$9,0)))</f>
        <v>0</v>
      </c>
      <c r="M87" s="799">
        <f>L87*(1-IFERROR(IF(M$69+$F87&lt;=12,SUMIFS('Attrition Modeling'!$D:$D,'Attrition Modeling'!$C:$C,'IP Attrition'!$D87,'Attrition Modeling'!$B:$B,'IP Attrition'!M$68),VLOOKUP($F87+M$2,$A$6:$C$106,2,FALSE)*VLOOKUP(M$1,'Attrition Modeling'!$L$15:$N$27,IF(M$2+$F20&lt;=24,2,3),FALSE)),$C$3)*(1+Projection!O$16)*(1+IF(M152&gt;0,'Attrition Modeling'!$N$9,0)))</f>
        <v>0</v>
      </c>
      <c r="N87" s="799">
        <f>M87*(1-IFERROR(IF(N$69+$F87&lt;=12,SUMIFS('Attrition Modeling'!$D:$D,'Attrition Modeling'!$C:$C,'IP Attrition'!$D87,'Attrition Modeling'!$B:$B,'IP Attrition'!N$68),VLOOKUP($F87+N$2,$A$6:$C$106,2,FALSE)*VLOOKUP(N$1,'Attrition Modeling'!$L$15:$N$27,IF(N$2+$F20&lt;=24,2,3),FALSE)),$C$3)*(1+Projection!P$16)*(1+IF(N152&gt;0,'Attrition Modeling'!$N$9,0)))</f>
        <v>0</v>
      </c>
      <c r="O87" s="799">
        <f>N87*(1-IFERROR(IF(O$69+$F87&lt;=12,SUMIFS('Attrition Modeling'!$D:$D,'Attrition Modeling'!$C:$C,'IP Attrition'!$D87,'Attrition Modeling'!$B:$B,'IP Attrition'!O$68),VLOOKUP($F87+O$2,$A$6:$C$106,2,FALSE)*VLOOKUP(O$1,'Attrition Modeling'!$L$15:$N$27,IF(O$2+$F20&lt;=24,2,3),FALSE)),$C$3)*(1+Projection!Q$16)*(1+IF(O152&gt;0,'Attrition Modeling'!$N$9,0)))</f>
        <v>0</v>
      </c>
      <c r="P87" s="799">
        <f>O87*(1-IFERROR(IF(P$69+$F87&lt;=12,SUMIFS('Attrition Modeling'!$D:$D,'Attrition Modeling'!$C:$C,'IP Attrition'!$D87,'Attrition Modeling'!$B:$B,'IP Attrition'!P$68),VLOOKUP($F87+P$2,$A$6:$C$106,2,FALSE)*VLOOKUP(P$1,'Attrition Modeling'!$L$15:$N$27,IF(P$2+$F20&lt;=24,2,3),FALSE)),$C$3)*(1+Projection!R$16)*(1+IF(P152&gt;0,'Attrition Modeling'!$N$9,0)))</f>
        <v>0</v>
      </c>
      <c r="Q87" s="799">
        <f>P87*(1-IFERROR(IF(Q$69+$F87&lt;=12,SUMIFS('Attrition Modeling'!$D:$D,'Attrition Modeling'!$C:$C,'IP Attrition'!$D87,'Attrition Modeling'!$B:$B,'IP Attrition'!Q$68),VLOOKUP($F87+Q$2,$A$6:$C$106,2,FALSE)*VLOOKUP(Q$1,'Attrition Modeling'!$L$15:$N$27,IF(Q$2+$F20&lt;=24,2,3),FALSE)),$C$3)*(1+Projection!S$16)*(1+IF(Q152&gt;0,'Attrition Modeling'!$N$9,0)))</f>
        <v>0</v>
      </c>
      <c r="R87" s="799">
        <f>Q87*(1-IFERROR(IF(R$69+$F87&lt;=12,SUMIFS('Attrition Modeling'!$D:$D,'Attrition Modeling'!$C:$C,'IP Attrition'!$D87,'Attrition Modeling'!$B:$B,'IP Attrition'!R$68),VLOOKUP($F87+R$2,$A$6:$C$106,2,FALSE)*VLOOKUP(R$1,'Attrition Modeling'!$L$15:$N$27,IF(R$2+$F20&lt;=24,2,3),FALSE)),$C$3)*(1+Projection!T$16)*(1+IF(R152&gt;0,'Attrition Modeling'!$N$9,0)))</f>
        <v>0</v>
      </c>
      <c r="S87" s="799">
        <f>R87*(1-IFERROR(IF(S$69+$F87&lt;=12,SUMIFS('Attrition Modeling'!$D:$D,'Attrition Modeling'!$C:$C,'IP Attrition'!$D87,'Attrition Modeling'!$B:$B,'IP Attrition'!S$68),VLOOKUP($F87+S$2,$A$6:$C$106,2,FALSE)*VLOOKUP(S$1,'Attrition Modeling'!$L$15:$N$27,IF(S$2+$F20&lt;=24,2,3),FALSE)),$C$3)*(1+Projection!U$16)*(1+IF(S152&gt;0,'Attrition Modeling'!$N$9,0)))</f>
        <v>0</v>
      </c>
      <c r="T87" s="799">
        <f>S87*(1-IFERROR(IF(T$69+$F87&lt;=12,SUMIFS('Attrition Modeling'!$D:$D,'Attrition Modeling'!$C:$C,'IP Attrition'!$D87,'Attrition Modeling'!$B:$B,'IP Attrition'!T$68),VLOOKUP($F87+T$2,$A$6:$C$106,2,FALSE)*VLOOKUP(T$1,'Attrition Modeling'!$L$15:$N$27,IF(T$2+$F20&lt;=24,2,3),FALSE)),$C$3)*(1+Projection!V$16)*(1+IF(T152&gt;0,'Attrition Modeling'!$N$9,0)))</f>
        <v>0</v>
      </c>
      <c r="U87" s="799">
        <f>T87*(1-IFERROR(IF(U$69+$F87&lt;=12,SUMIFS('Attrition Modeling'!$D:$D,'Attrition Modeling'!$C:$C,'IP Attrition'!$D87,'Attrition Modeling'!$B:$B,'IP Attrition'!U$68),VLOOKUP($F87+U$2,$A$6:$C$106,2,FALSE)*VLOOKUP(U$1,'Attrition Modeling'!$L$15:$N$27,IF(U$2+$F20&lt;=24,2,3),FALSE)),$C$3)*(1+Projection!W$16)*(1+IF(U152&gt;0,'Attrition Modeling'!$N$9,0)))</f>
        <v>0</v>
      </c>
      <c r="V87" s="799">
        <f>U87*(1-IFERROR(IF(V$69+$F87&lt;=12,SUMIFS('Attrition Modeling'!$D:$D,'Attrition Modeling'!$C:$C,'IP Attrition'!$D87,'Attrition Modeling'!$B:$B,'IP Attrition'!V$68),VLOOKUP($F87+V$2,$A$6:$C$106,2,FALSE)*VLOOKUP(V$1,'Attrition Modeling'!$L$15:$N$27,IF(V$2+$F20&lt;=24,2,3),FALSE)),$C$3)*(1+Projection!X$16)*(1+IF(V152&gt;0,'Attrition Modeling'!$N$9,0)))</f>
        <v>0</v>
      </c>
      <c r="W87" s="799">
        <f>V87*(1-IFERROR(IF(W$69+$F87&lt;=12,SUMIFS('Attrition Modeling'!$D:$D,'Attrition Modeling'!$C:$C,'IP Attrition'!$D87,'Attrition Modeling'!$B:$B,'IP Attrition'!W$68),VLOOKUP($F87+W$2,$A$6:$C$106,2,FALSE)*VLOOKUP(W$1,'Attrition Modeling'!$L$15:$N$27,IF(W$2+$F20&lt;=24,2,3),FALSE)),$C$3)*(1+Projection!Y$16)*(1+IF(W152&gt;0,'Attrition Modeling'!$N$9,0)))</f>
        <v>0</v>
      </c>
      <c r="X87" s="799">
        <f>W87*(1-IFERROR(IF(X$69+$F87&lt;=12,SUMIFS('Attrition Modeling'!$D:$D,'Attrition Modeling'!$C:$C,'IP Attrition'!$D87,'Attrition Modeling'!$B:$B,'IP Attrition'!X$68),VLOOKUP($F87+X$2,$A$6:$C$106,2,FALSE)*VLOOKUP(X$1,'Attrition Modeling'!$L$15:$N$27,IF(X$2+$F20&lt;=24,2,3),FALSE)),$C$3)*(1+Projection!Z$16)*(1+IF(X152&gt;0,'Attrition Modeling'!$N$9,0)))</f>
        <v>0</v>
      </c>
      <c r="Y87" s="799">
        <f>X87*(1-IFERROR(IF(Y$69+$F87&lt;=12,SUMIFS('Attrition Modeling'!$D:$D,'Attrition Modeling'!$C:$C,'IP Attrition'!$D87,'Attrition Modeling'!$B:$B,'IP Attrition'!Y$68),VLOOKUP($F87+Y$2,$A$6:$C$106,2,FALSE)*VLOOKUP(Y$1,'Attrition Modeling'!$L$15:$N$27,IF(Y$2+$F20&lt;=24,2,3),FALSE)),$C$3)*(1+Projection!AA$16)*(1+IF(Y152&gt;0,'Attrition Modeling'!$N$9,0)))</f>
        <v>0</v>
      </c>
      <c r="Z87" s="799">
        <f>Y87*(1-IFERROR(IF(Z$69+$F87&lt;=12,SUMIFS('Attrition Modeling'!$D:$D,'Attrition Modeling'!$C:$C,'IP Attrition'!$D87,'Attrition Modeling'!$B:$B,'IP Attrition'!Z$68),VLOOKUP($F87+Z$2,$A$6:$C$106,2,FALSE)*VLOOKUP(Z$1,'Attrition Modeling'!$L$15:$N$27,IF(Z$2+$F20&lt;=24,2,3),FALSE)),$C$3)*(1+Projection!AB$16)*(1+IF(Z152&gt;0,'Attrition Modeling'!$N$9,0)))</f>
        <v>0</v>
      </c>
      <c r="AA87" s="799">
        <f>Z87*(1-IFERROR(IF(AA$69+$F87&lt;=12,SUMIFS('Attrition Modeling'!$D:$D,'Attrition Modeling'!$C:$C,'IP Attrition'!$D87,'Attrition Modeling'!$B:$B,'IP Attrition'!AA$68),VLOOKUP($F87+AA$2,$A$6:$C$106,2,FALSE)*VLOOKUP(AA$1,'Attrition Modeling'!$L$15:$N$27,IF(AA$2+$F20&lt;=24,2,3),FALSE)),$C$3)*(1+Projection!AC$16)*(1+IF(AA152&gt;0,'Attrition Modeling'!$N$9,0)))</f>
        <v>0</v>
      </c>
      <c r="AB87" s="799">
        <f>AA87*(1-IFERROR(IF(AB$69+$F87&lt;=12,SUMIFS('Attrition Modeling'!$D:$D,'Attrition Modeling'!$C:$C,'IP Attrition'!$D87,'Attrition Modeling'!$B:$B,'IP Attrition'!AB$68),VLOOKUP($F87+AB$2,$A$6:$C$106,2,FALSE)*VLOOKUP(AB$1,'Attrition Modeling'!$L$15:$N$27,IF(AB$2+$F20&lt;=24,2,3),FALSE)),$C$3)*(1+Projection!AD$16)*(1+IF(AB152&gt;0,'Attrition Modeling'!$N$9,0)))</f>
        <v>0</v>
      </c>
      <c r="AC87" s="799">
        <f>AB87*(1-IFERROR(IF(AC$69+$F87&lt;=12,SUMIFS('Attrition Modeling'!$D:$D,'Attrition Modeling'!$C:$C,'IP Attrition'!$D87,'Attrition Modeling'!$B:$B,'IP Attrition'!AC$68),VLOOKUP($F87+AC$2,$A$6:$C$106,2,FALSE)*VLOOKUP(AC$1,'Attrition Modeling'!$L$15:$N$27,IF(AC$2+$F20&lt;=24,2,3),FALSE)),$C$3)*(1+Projection!AE$16)*(1+IF(AC152&gt;0,'Attrition Modeling'!$N$9,0)))</f>
        <v>0</v>
      </c>
      <c r="AD87" s="799">
        <f>AC87*(1-IFERROR(IF(AD$69+$F87&lt;=12,SUMIFS('Attrition Modeling'!$D:$D,'Attrition Modeling'!$C:$C,'IP Attrition'!$D87,'Attrition Modeling'!$B:$B,'IP Attrition'!AD$68),VLOOKUP($F87+AD$2,$A$6:$C$106,2,FALSE)*VLOOKUP(AD$1,'Attrition Modeling'!$L$15:$N$27,IF(AD$2+$F20&lt;=24,2,3),FALSE)),$C$3)*(1+Projection!AF$16)*(1+IF(AD152&gt;0,'Attrition Modeling'!$N$9,0)))</f>
        <v>0</v>
      </c>
      <c r="AE87" s="799">
        <f>AD87*(1-IFERROR(IF(AE$69+$F87&lt;=12,SUMIFS('Attrition Modeling'!$D:$D,'Attrition Modeling'!$C:$C,'IP Attrition'!$D87,'Attrition Modeling'!$B:$B,'IP Attrition'!AE$68),VLOOKUP($F87+AE$2,$A$6:$C$106,2,FALSE)*VLOOKUP(AE$1,'Attrition Modeling'!$L$15:$N$27,IF(AE$2+$F20&lt;=24,2,3),FALSE)),$C$3)*(1+Projection!AG$16)*(1+IF(AE152&gt;0,'Attrition Modeling'!$N$9,0)))</f>
        <v>0</v>
      </c>
      <c r="AF87" s="799">
        <f>AE87*(1-IFERROR(IF(AF$69+$F87&lt;=12,SUMIFS('Attrition Modeling'!$D:$D,'Attrition Modeling'!$C:$C,'IP Attrition'!$D87,'Attrition Modeling'!$B:$B,'IP Attrition'!AF$68),VLOOKUP($F87+AF$2,$A$6:$C$106,2,FALSE)*VLOOKUP(AF$1,'Attrition Modeling'!$L$15:$N$27,IF(AF$2+$F20&lt;=24,2,3),FALSE)),$C$3)*(1+Projection!AH$16)*(1+IF(AF152&gt;0,'Attrition Modeling'!$N$9,0)))</f>
        <v>0</v>
      </c>
      <c r="AG87" s="799">
        <f>AF87*(1-IFERROR(IF(AG$69+$F87&lt;=12,SUMIFS('Attrition Modeling'!$D:$D,'Attrition Modeling'!$C:$C,'IP Attrition'!$D87,'Attrition Modeling'!$B:$B,'IP Attrition'!AG$68),VLOOKUP($F87+AG$2,$A$6:$C$106,2,FALSE)*VLOOKUP(AG$1,'Attrition Modeling'!$L$15:$N$27,IF(AG$2+$F20&lt;=24,2,3),FALSE)),$C$3)*(1+Projection!AI$16)*(1+IF(AG152&gt;0,'Attrition Modeling'!$N$9,0)))</f>
        <v>0</v>
      </c>
      <c r="AH87" s="799">
        <f>AG87*(1-IFERROR(IF(AH$69+$F87&lt;=12,SUMIFS('Attrition Modeling'!$D:$D,'Attrition Modeling'!$C:$C,'IP Attrition'!$D87,'Attrition Modeling'!$B:$B,'IP Attrition'!AH$68),VLOOKUP($F87+AH$2,$A$6:$C$106,2,FALSE)*VLOOKUP(AH$1,'Attrition Modeling'!$L$15:$N$27,IF(AH$2+$F20&lt;=24,2,3),FALSE)),$C$3)*(1+Projection!AJ$16)*(1+IF(AH152&gt;0,'Attrition Modeling'!$N$9,0)))</f>
        <v>0</v>
      </c>
      <c r="AI87" s="799">
        <f>AH87*(1-IFERROR(IF(AI$69+$F87&lt;=12,SUMIFS('Attrition Modeling'!$D:$D,'Attrition Modeling'!$C:$C,'IP Attrition'!$D87,'Attrition Modeling'!$B:$B,'IP Attrition'!AI$68),VLOOKUP($F87+AI$2,$A$6:$C$106,2,FALSE)*VLOOKUP(AI$1,'Attrition Modeling'!$L$15:$N$27,IF(AI$2+$F20&lt;=24,2,3),FALSE)),$C$3)*(1+Projection!AK$16)*(1+IF(AI152&gt;0,'Attrition Modeling'!$N$9,0)))</f>
        <v>0</v>
      </c>
      <c r="AJ87" s="799">
        <f>AI87*(1-IFERROR(IF(AJ$69+$F87&lt;=12,SUMIFS('Attrition Modeling'!$D:$D,'Attrition Modeling'!$C:$C,'IP Attrition'!$D87,'Attrition Modeling'!$B:$B,'IP Attrition'!AJ$68),VLOOKUP($F87+AJ$2,$A$6:$C$106,2,FALSE)*VLOOKUP(AJ$1,'Attrition Modeling'!$L$15:$N$27,IF(AJ$2+$F20&lt;=24,2,3),FALSE)),$C$3)*(1+Projection!AL$16)*(1+IF(AJ152&gt;0,'Attrition Modeling'!$N$9,0)))</f>
        <v>0</v>
      </c>
      <c r="AK87" s="799">
        <f>AJ87*(1-IFERROR(IF(AK$69+$F87&lt;=12,SUMIFS('Attrition Modeling'!$D:$D,'Attrition Modeling'!$C:$C,'IP Attrition'!$D87,'Attrition Modeling'!$B:$B,'IP Attrition'!AK$68),VLOOKUP($F87+AK$2,$A$6:$C$106,2,FALSE)*VLOOKUP(AK$1,'Attrition Modeling'!$L$15:$N$27,IF(AK$2+$F20&lt;=24,2,3),FALSE)),$C$3)*(1+Projection!AM$16)*(1+IF(AK152&gt;0,'Attrition Modeling'!$N$9,0)))</f>
        <v>0</v>
      </c>
      <c r="AL87" s="799">
        <f>AK87*(1-IFERROR(IF(AL$69+$F87&lt;=12,SUMIFS('Attrition Modeling'!$D:$D,'Attrition Modeling'!$C:$C,'IP Attrition'!$D87,'Attrition Modeling'!$B:$B,'IP Attrition'!AL$68),VLOOKUP($F87+AL$2,$A$6:$C$106,2,FALSE)*VLOOKUP(AL$1,'Attrition Modeling'!$L$15:$N$27,IF(AL$2+$F20&lt;=24,2,3),FALSE)),$C$3)*(1+Projection!AN$16)*(1+IF(AL152&gt;0,'Attrition Modeling'!$N$9,0)))</f>
        <v>0</v>
      </c>
      <c r="AM87" s="799">
        <f>AL87*(1-IFERROR(IF(AM$69+$F87&lt;=12,SUMIFS('Attrition Modeling'!$D:$D,'Attrition Modeling'!$C:$C,'IP Attrition'!$D87,'Attrition Modeling'!$B:$B,'IP Attrition'!AM$68),VLOOKUP($F87+AM$2,$A$6:$C$106,2,FALSE)*VLOOKUP(AM$1,'Attrition Modeling'!$L$15:$N$27,IF(AM$2+$F20&lt;=24,2,3),FALSE)),$C$3)*(1+Projection!AO$16)*(1+IF(AM152&gt;0,'Attrition Modeling'!$N$9,0)))</f>
        <v>0</v>
      </c>
      <c r="AN87" s="799">
        <f>AM87*(1-IFERROR(IF(AN$69+$F87&lt;=12,SUMIFS('Attrition Modeling'!$D:$D,'Attrition Modeling'!$C:$C,'IP Attrition'!$D87,'Attrition Modeling'!$B:$B,'IP Attrition'!AN$68),VLOOKUP($F87+AN$2,$A$6:$C$106,2,FALSE)*VLOOKUP(AN$1,'Attrition Modeling'!$L$15:$N$27,IF(AN$2+$F20&lt;=24,2,3),FALSE)),$C$3)*(1+Projection!AP$16)*(1+IF(AN152&gt;0,'Attrition Modeling'!$N$9,0)))</f>
        <v>0</v>
      </c>
      <c r="AO87" s="799">
        <f>AN87*(1-IFERROR(IF(AO$69+$F87&lt;=12,SUMIFS('Attrition Modeling'!$D:$D,'Attrition Modeling'!$C:$C,'IP Attrition'!$D87,'Attrition Modeling'!$B:$B,'IP Attrition'!AO$68),VLOOKUP($F87+AO$2,$A$6:$C$106,2,FALSE)*VLOOKUP(AO$1,'Attrition Modeling'!$L$15:$N$27,IF(AO$2+$F20&lt;=24,2,3),FALSE)),$C$3)*(1+Projection!AQ$16)*(1+IF(AO152&gt;0,'Attrition Modeling'!$N$9,0)))</f>
        <v>0</v>
      </c>
      <c r="AP87" s="799">
        <f>AO87*(1-IFERROR(IF(AP$69+$F87&lt;=12,SUMIFS('Attrition Modeling'!$D:$D,'Attrition Modeling'!$C:$C,'IP Attrition'!$D87,'Attrition Modeling'!$B:$B,'IP Attrition'!AP$68),VLOOKUP($F87+AP$2,$A$6:$C$106,2,FALSE)*VLOOKUP(AP$1,'Attrition Modeling'!$L$15:$N$27,IF(AP$2+$F20&lt;=24,2,3),FALSE)),$C$3)*(1+Projection!AR$16)*(1+IF(AP152&gt;0,'Attrition Modeling'!$N$9,0)))</f>
        <v>0</v>
      </c>
      <c r="AQ87" s="799">
        <f>AP87*(1-IFERROR(IF(AQ$69+$F87&lt;=12,SUMIFS('Attrition Modeling'!$D:$D,'Attrition Modeling'!$C:$C,'IP Attrition'!$D87,'Attrition Modeling'!$B:$B,'IP Attrition'!AQ$68),VLOOKUP($F87+AQ$2,$A$6:$C$106,2,FALSE)*VLOOKUP(AQ$1,'Attrition Modeling'!$L$15:$N$27,IF(AQ$2+$F20&lt;=24,2,3),FALSE)),$C$3)*(1+Projection!AS$16)*(1+IF(AQ152&gt;0,'Attrition Modeling'!$N$9,0)))</f>
        <v>0</v>
      </c>
      <c r="AR87" s="799">
        <f>AQ87*(1-IFERROR(IF(AR$69+$F87&lt;=12,SUMIFS('Attrition Modeling'!$D:$D,'Attrition Modeling'!$C:$C,'IP Attrition'!$D87,'Attrition Modeling'!$B:$B,'IP Attrition'!AR$68),VLOOKUP($F87+AR$2,$A$6:$C$106,2,FALSE)*VLOOKUP(AR$1,'Attrition Modeling'!$L$15:$N$27,IF(AR$2+$F20&lt;=24,2,3),FALSE)),$C$3)*(1+Projection!AT$16)*(1+IF(AR152&gt;0,'Attrition Modeling'!$N$9,0)))</f>
        <v>0</v>
      </c>
      <c r="AS87" s="799">
        <f>AR87*(1-IFERROR(IF(AS$69+$F87&lt;=12,SUMIFS('Attrition Modeling'!$D:$D,'Attrition Modeling'!$C:$C,'IP Attrition'!$D87,'Attrition Modeling'!$B:$B,'IP Attrition'!AS$68),VLOOKUP($F87+AS$2,$A$6:$C$106,2,FALSE)*VLOOKUP(AS$1,'Attrition Modeling'!$L$15:$N$27,IF(AS$2+$F20&lt;=24,2,3),FALSE)),$C$3)*(1+Projection!AU$16)*(1+IF(AS152&gt;0,'Attrition Modeling'!$N$9,0)))</f>
        <v>0</v>
      </c>
      <c r="AT87" s="799">
        <f>AS87*(1-IFERROR(IF(AT$69+$F87&lt;=12,SUMIFS('Attrition Modeling'!$D:$D,'Attrition Modeling'!$C:$C,'IP Attrition'!$D87,'Attrition Modeling'!$B:$B,'IP Attrition'!AT$68),VLOOKUP($F87+AT$2,$A$6:$C$106,2,FALSE)*VLOOKUP(AT$1,'Attrition Modeling'!$L$15:$N$27,IF(AT$2+$F20&lt;=24,2,3),FALSE)),$C$3)*(1+Projection!AV$16)*(1+IF(AT152&gt;0,'Attrition Modeling'!$N$9,0)))</f>
        <v>0</v>
      </c>
      <c r="AU87" s="799">
        <f>AT87*(1-IFERROR(IF(AU$69+$F87&lt;=12,SUMIFS('Attrition Modeling'!$D:$D,'Attrition Modeling'!$C:$C,'IP Attrition'!$D87,'Attrition Modeling'!$B:$B,'IP Attrition'!AU$68),VLOOKUP($F87+AU$2,$A$6:$C$106,2,FALSE)*VLOOKUP(AU$1,'Attrition Modeling'!$L$15:$N$27,IF(AU$2+$F20&lt;=24,2,3),FALSE)),$C$3)*(1+Projection!AW$16)*(1+IF(AU152&gt;0,'Attrition Modeling'!$N$9,0)))</f>
        <v>0</v>
      </c>
      <c r="AV87" s="799">
        <f>AU87*(1-IFERROR(IF(AV$69+$F87&lt;=12,SUMIFS('Attrition Modeling'!$D:$D,'Attrition Modeling'!$C:$C,'IP Attrition'!$D87,'Attrition Modeling'!$B:$B,'IP Attrition'!AV$68),VLOOKUP($F87+AV$2,$A$6:$C$106,2,FALSE)*VLOOKUP(AV$1,'Attrition Modeling'!$L$15:$N$27,IF(AV$2+$F20&lt;=24,2,3),FALSE)),$C$3)*(1+Projection!AX$16)*(1+IF(AV152&gt;0,'Attrition Modeling'!$N$9,0)))</f>
        <v>0</v>
      </c>
      <c r="AW87" s="799">
        <f>AV87*(1-IFERROR(IF(AW$69+$F87&lt;=12,SUMIFS('Attrition Modeling'!$D:$D,'Attrition Modeling'!$C:$C,'IP Attrition'!$D87,'Attrition Modeling'!$B:$B,'IP Attrition'!AW$68),VLOOKUP($F87+AW$2,$A$6:$C$106,2,FALSE)*VLOOKUP(AW$1,'Attrition Modeling'!$L$15:$N$27,IF(AW$2+$F20&lt;=24,2,3),FALSE)),$C$3)*(1+Projection!AY$16)*(1+IF(AW152&gt;0,'Attrition Modeling'!$N$9,0)))</f>
        <v>0</v>
      </c>
      <c r="AX87" s="799">
        <f>AW87*(1-IFERROR(IF(AX$69+$F87&lt;=12,SUMIFS('Attrition Modeling'!$D:$D,'Attrition Modeling'!$C:$C,'IP Attrition'!$D87,'Attrition Modeling'!$B:$B,'IP Attrition'!AX$68),VLOOKUP($F87+AX$2,$A$6:$C$106,2,FALSE)*VLOOKUP(AX$1,'Attrition Modeling'!$L$15:$N$27,IF(AX$2+$F20&lt;=24,2,3),FALSE)),$C$3)*(1+Projection!AZ$16)*(1+IF(AX152&gt;0,'Attrition Modeling'!$N$9,0)))</f>
        <v>0</v>
      </c>
      <c r="AY87" s="799">
        <f>AX87*(1-IFERROR(IF(AY$69+$F87&lt;=12,SUMIFS('Attrition Modeling'!$D:$D,'Attrition Modeling'!$C:$C,'IP Attrition'!$D87,'Attrition Modeling'!$B:$B,'IP Attrition'!AY$68),VLOOKUP($F87+AY$2,$A$6:$C$106,2,FALSE)*VLOOKUP(AY$1,'Attrition Modeling'!$L$15:$N$27,IF(AY$2+$F20&lt;=24,2,3),FALSE)),$C$3)*(1+Projection!BA$16)*(1+IF(AY152&gt;0,'Attrition Modeling'!$N$9,0)))</f>
        <v>0</v>
      </c>
      <c r="AZ87" s="799">
        <f>AY87*(1-IFERROR(IF(AZ$69+$F87&lt;=12,SUMIFS('Attrition Modeling'!$D:$D,'Attrition Modeling'!$C:$C,'IP Attrition'!$D87,'Attrition Modeling'!$B:$B,'IP Attrition'!AZ$68),VLOOKUP($F87+AZ$2,$A$6:$C$106,2,FALSE)*VLOOKUP(AZ$1,'Attrition Modeling'!$L$15:$N$27,IF(AZ$2+$F20&lt;=24,2,3),FALSE)),$C$3)*(1+Projection!BB$16)*(1+IF(AZ152&gt;0,'Attrition Modeling'!$N$9,0)))</f>
        <v>0</v>
      </c>
      <c r="BA87" s="799">
        <f>AZ87*(1-IFERROR(IF(BA$69+$F87&lt;=12,SUMIFS('Attrition Modeling'!$D:$D,'Attrition Modeling'!$C:$C,'IP Attrition'!$D87,'Attrition Modeling'!$B:$B,'IP Attrition'!BA$68),VLOOKUP($F87+BA$2,$A$6:$C$106,2,FALSE)*VLOOKUP(BA$1,'Attrition Modeling'!$L$15:$N$27,IF(BA$2+$F20&lt;=24,2,3),FALSE)),$C$3)*(1+Projection!BC$16)*(1+IF(BA152&gt;0,'Attrition Modeling'!$N$9,0)))</f>
        <v>0</v>
      </c>
      <c r="BB87" s="799">
        <f>BA87*(1-IFERROR(IF(BB$69+$F87&lt;=12,SUMIFS('Attrition Modeling'!$D:$D,'Attrition Modeling'!$C:$C,'IP Attrition'!$D87,'Attrition Modeling'!$B:$B,'IP Attrition'!BB$68),VLOOKUP($F87+BB$2,$A$6:$C$106,2,FALSE)*VLOOKUP(BB$1,'Attrition Modeling'!$L$15:$N$27,IF(BB$2+$F20&lt;=24,2,3),FALSE)),$C$3)*(1+Projection!BD$16)*(1+IF(BB152&gt;0,'Attrition Modeling'!$N$9,0)))</f>
        <v>0</v>
      </c>
      <c r="BC87" s="799">
        <f>BB87*(1-IFERROR(IF(BC$69+$F87&lt;=12,SUMIFS('Attrition Modeling'!$D:$D,'Attrition Modeling'!$C:$C,'IP Attrition'!$D87,'Attrition Modeling'!$B:$B,'IP Attrition'!BC$68),VLOOKUP($F87+BC$2,$A$6:$C$106,2,FALSE)*VLOOKUP(BC$1,'Attrition Modeling'!$L$15:$N$27,IF(BC$2+$F20&lt;=24,2,3),FALSE)),$C$3)*(1+Projection!BE$16)*(1+IF(BC152&gt;0,'Attrition Modeling'!$N$9,0)))</f>
        <v>0</v>
      </c>
      <c r="BD87" s="799">
        <f>BC87*(1-IFERROR(IF(BD$69+$F87&lt;=12,SUMIFS('Attrition Modeling'!$D:$D,'Attrition Modeling'!$C:$C,'IP Attrition'!$D87,'Attrition Modeling'!$B:$B,'IP Attrition'!BD$68),VLOOKUP($F87+BD$2,$A$6:$C$106,2,FALSE)*VLOOKUP(BD$1,'Attrition Modeling'!$L$15:$N$27,IF(BD$2+$F20&lt;=24,2,3),FALSE)),$C$3)*(1+Projection!BF$16)*(1+IF(BD152&gt;0,'Attrition Modeling'!$N$9,0)))</f>
        <v>0</v>
      </c>
      <c r="BE87" s="799">
        <f>BD87*(1-IFERROR(IF(BE$69+$F87&lt;=12,SUMIFS('Attrition Modeling'!$D:$D,'Attrition Modeling'!$C:$C,'IP Attrition'!$D87,'Attrition Modeling'!$B:$B,'IP Attrition'!BE$68),VLOOKUP($F87+BE$2,$A$6:$C$106,2,FALSE)*VLOOKUP(BE$1,'Attrition Modeling'!$L$15:$N$27,IF(BE$2+$F20&lt;=24,2,3),FALSE)),$C$3)*(1+Projection!BG$16)*(1+IF(BE152&gt;0,'Attrition Modeling'!$N$9,0)))</f>
        <v>0</v>
      </c>
      <c r="BF87" s="799">
        <f>BE87*(1-IFERROR(IF(BF$69+$F87&lt;=12,SUMIFS('Attrition Modeling'!$D:$D,'Attrition Modeling'!$C:$C,'IP Attrition'!$D87,'Attrition Modeling'!$B:$B,'IP Attrition'!BF$68),VLOOKUP($F87+BF$2,$A$6:$C$106,2,FALSE)*VLOOKUP(BF$1,'Attrition Modeling'!$L$15:$N$27,IF(BF$2+$F20&lt;=24,2,3),FALSE)),$C$3)*(1+Projection!BH$16)*(1+IF(BF152&gt;0,'Attrition Modeling'!$N$9,0)))</f>
        <v>0</v>
      </c>
      <c r="BG87" s="799">
        <f>BF87*(1-IFERROR(IF(BG$69+$F87&lt;=12,SUMIFS('Attrition Modeling'!$D:$D,'Attrition Modeling'!$C:$C,'IP Attrition'!$D87,'Attrition Modeling'!$B:$B,'IP Attrition'!BG$68),VLOOKUP($F87+BG$2,$A$6:$C$106,2,FALSE)*VLOOKUP(BG$1,'Attrition Modeling'!$L$15:$N$27,IF(BG$2+$F20&lt;=24,2,3),FALSE)),$C$3)*(1+Projection!BI$16)*(1+IF(BG152&gt;0,'Attrition Modeling'!$N$9,0)))</f>
        <v>0</v>
      </c>
      <c r="BH87" s="799">
        <f>BG87*(1-IFERROR(IF(BH$69+$F87&lt;=12,SUMIFS('Attrition Modeling'!$D:$D,'Attrition Modeling'!$C:$C,'IP Attrition'!$D87,'Attrition Modeling'!$B:$B,'IP Attrition'!BH$68),VLOOKUP($F87+BH$2,$A$6:$C$106,2,FALSE)*VLOOKUP(BH$1,'Attrition Modeling'!$L$15:$N$27,IF(BH$2+$F20&lt;=24,2,3),FALSE)),$C$3)*(1+Projection!BJ$16)*(1+IF(BH152&gt;0,'Attrition Modeling'!$N$9,0)))</f>
        <v>0</v>
      </c>
      <c r="BI87" s="799">
        <f>BH87*(1-IFERROR(IF(BI$69+$F87&lt;=12,SUMIFS('Attrition Modeling'!$D:$D,'Attrition Modeling'!$C:$C,'IP Attrition'!$D87,'Attrition Modeling'!$B:$B,'IP Attrition'!BI$68),VLOOKUP($F87+BI$2,$A$6:$C$106,2,FALSE)*VLOOKUP(BI$1,'Attrition Modeling'!$L$15:$N$27,IF(BI$2+$F20&lt;=24,2,3),FALSE)),$C$3)*(1+Projection!BK$16)*(1+IF(BI152&gt;0,'Attrition Modeling'!$N$9,0)))</f>
        <v>0</v>
      </c>
      <c r="BJ87" s="799">
        <f>BI87*(1-IFERROR(IF(BJ$69+$F87&lt;=12,SUMIFS('Attrition Modeling'!$D:$D,'Attrition Modeling'!$C:$C,'IP Attrition'!$D87,'Attrition Modeling'!$B:$B,'IP Attrition'!BJ$68),VLOOKUP($F87+BJ$2,$A$6:$C$106,2,FALSE)*VLOOKUP(BJ$1,'Attrition Modeling'!$L$15:$N$27,IF(BJ$2+$F20&lt;=24,2,3),FALSE)),$C$3)*(1+Projection!BL$16)*(1+IF(BJ152&gt;0,'Attrition Modeling'!$N$9,0)))</f>
        <v>0</v>
      </c>
      <c r="BK87" s="799">
        <f>BJ87*(1-IFERROR(IF(BK$69+$F87&lt;=12,SUMIFS('Attrition Modeling'!$D:$D,'Attrition Modeling'!$C:$C,'IP Attrition'!$D87,'Attrition Modeling'!$B:$B,'IP Attrition'!BK$68),VLOOKUP($F87+BK$2,$A$6:$C$106,2,FALSE)*VLOOKUP(BK$1,'Attrition Modeling'!$L$15:$N$27,IF(BK$2+$F20&lt;=24,2,3),FALSE)),$C$3)*(1+Projection!BM$16)*(1+IF(BK152&gt;0,'Attrition Modeling'!$N$9,0)))</f>
        <v>0</v>
      </c>
      <c r="BL87" s="799">
        <f>BK87*(1-IFERROR(IF(BL$69+$F87&lt;=12,SUMIFS('Attrition Modeling'!$D:$D,'Attrition Modeling'!$C:$C,'IP Attrition'!$D87,'Attrition Modeling'!$B:$B,'IP Attrition'!BL$68),VLOOKUP($F87+BL$2,$A$6:$C$106,2,FALSE)*VLOOKUP(BL$1,'Attrition Modeling'!$L$15:$N$27,IF(BL$2+$F20&lt;=24,2,3),FALSE)),$C$3)*(1+Projection!BN$16)*(1+IF(BL152&gt;0,'Attrition Modeling'!$N$9,0)))</f>
        <v>0</v>
      </c>
      <c r="BM87" s="799">
        <f>BL87*(1-IFERROR(IF(BM$69+$F87&lt;=12,SUMIFS('Attrition Modeling'!$D:$D,'Attrition Modeling'!$C:$C,'IP Attrition'!$D87,'Attrition Modeling'!$B:$B,'IP Attrition'!BM$68),VLOOKUP($F87+BM$2,$A$6:$C$106,2,FALSE)*VLOOKUP(BM$1,'Attrition Modeling'!$L$15:$N$27,IF(BM$2+$F20&lt;=24,2,3),FALSE)),$C$3)*(1+Projection!BO$16)*(1+IF(BM152&gt;0,'Attrition Modeling'!$N$9,0)))</f>
        <v>0</v>
      </c>
      <c r="BN87" s="799">
        <f>BM87*(1-IFERROR(IF(BN$69+$F87&lt;=12,SUMIFS('Attrition Modeling'!$D:$D,'Attrition Modeling'!$C:$C,'IP Attrition'!$D87,'Attrition Modeling'!$B:$B,'IP Attrition'!BN$68),VLOOKUP($F87+BN$2,$A$6:$C$106,2,FALSE)*VLOOKUP(BN$1,'Attrition Modeling'!$L$15:$N$27,IF(BN$2+$F20&lt;=24,2,3),FALSE)),$C$3)*(1+Projection!BP$16)*(1+IF(BN152&gt;0,'Attrition Modeling'!$N$9,0)))</f>
        <v>0</v>
      </c>
      <c r="BO87" s="799">
        <f>BN87*(1-IFERROR(IF(BO$69+$F87&lt;=12,SUMIFS('Attrition Modeling'!$D:$D,'Attrition Modeling'!$C:$C,'IP Attrition'!$D87,'Attrition Modeling'!$B:$B,'IP Attrition'!BO$68),VLOOKUP($F87+BO$2,$A$6:$C$106,2,FALSE)*VLOOKUP(BO$1,'Attrition Modeling'!$L$15:$N$27,IF(BO$2+$F20&lt;=24,2,3),FALSE)),$C$3)*(1+Projection!BV$16)*(1+IF(BO152&gt;0,'Attrition Modeling'!$N$9,0)))</f>
        <v>0</v>
      </c>
      <c r="BP87" s="799">
        <f>BO87*(1-IFERROR(IF(BP$69+$F87&lt;=12,SUMIFS('Attrition Modeling'!$D:$D,'Attrition Modeling'!$C:$C,'IP Attrition'!$D87,'Attrition Modeling'!$B:$B,'IP Attrition'!BP$68),VLOOKUP($F87+BP$2,$A$6:$C$106,2,FALSE)*VLOOKUP(BP$1,'Attrition Modeling'!$L$15:$N$27,IF(BP$2+$F20&lt;=24,2,3),FALSE)),$C$3)*(1+Projection!BW$16)*(1+IF(BP152&gt;0,'Attrition Modeling'!$N$9,0)))</f>
        <v>0</v>
      </c>
      <c r="BQ87" s="799">
        <f>BP87*(1-IFERROR(IF(BQ$69+$F87&lt;=12,SUMIFS('Attrition Modeling'!$D:$D,'Attrition Modeling'!$C:$C,'IP Attrition'!$D87,'Attrition Modeling'!$B:$B,'IP Attrition'!BQ$68),VLOOKUP($F87+BQ$2,$A$6:$C$106,2,FALSE)*VLOOKUP(BQ$1,'Attrition Modeling'!$L$15:$N$27,IF(BQ$2+$F20&lt;=24,2,3),FALSE)),$C$3)*(1+Projection!BX$16)*(1+IF(BQ152&gt;0,'Attrition Modeling'!$N$9,0)))</f>
        <v>0</v>
      </c>
      <c r="BR87" s="799">
        <f>BQ87*(1-IFERROR(IF(BR$69+$F87&lt;=12,SUMIFS('Attrition Modeling'!$D:$D,'Attrition Modeling'!$C:$C,'IP Attrition'!$D87,'Attrition Modeling'!$B:$B,'IP Attrition'!BR$68),VLOOKUP($F87+BR$2,$A$6:$C$106,2,FALSE)*VLOOKUP(BR$1,'Attrition Modeling'!$L$15:$N$27,IF(BR$2+$F20&lt;=24,2,3),FALSE)),$C$3)*(1+Projection!BY$16)*(1+IF(BR152&gt;0,'Attrition Modeling'!$N$9,0)))</f>
        <v>0</v>
      </c>
      <c r="BS87" s="799">
        <f>BR87*(1-IFERROR(IF(BS$69+$F87&lt;=12,SUMIFS('Attrition Modeling'!$D:$D,'Attrition Modeling'!$C:$C,'IP Attrition'!$D87,'Attrition Modeling'!$B:$B,'IP Attrition'!BS$68),VLOOKUP($F87+BS$2,$A$6:$C$106,2,FALSE)*VLOOKUP(BS$1,'Attrition Modeling'!$L$15:$N$27,IF(BS$2+$F20&lt;=24,2,3),FALSE)),$C$3)*(1+Projection!BZ$16)*(1+IF(BS152&gt;0,'Attrition Modeling'!$N$9,0)))</f>
        <v>0</v>
      </c>
      <c r="BT87" s="799" t="e">
        <f>BS87*(1-IFERROR(IF(BT$69+$F87&lt;=12,SUMIFS('Attrition Modeling'!$D:$D,'Attrition Modeling'!$C:$C,'IP Attrition'!$D87,'Attrition Modeling'!$B:$B,'IP Attrition'!BT$68),VLOOKUP($F87+BT$2,$A$6:$C$106,2,FALSE)*VLOOKUP(BT$1,'Attrition Modeling'!$L$15:$N$27,IF(BT$2+$F20&lt;=24,2,3),FALSE)),$C$3)*(1+Projection!CA$16)*(1+IF(BT152&gt;0,'Attrition Modeling'!$N$9,0)))</f>
        <v>#REF!</v>
      </c>
      <c r="BU87" s="799" t="e">
        <f>BT87*(1-IFERROR(IF(BU$69+$F87&lt;=12,SUMIFS('Attrition Modeling'!$D:$D,'Attrition Modeling'!$C:$C,'IP Attrition'!$D87,'Attrition Modeling'!$B:$B,'IP Attrition'!BU$68),VLOOKUP($F87+BU$2,$A$6:$C$106,2,FALSE)*VLOOKUP(BU$1,'Attrition Modeling'!$L$15:$N$27,IF(BU$2+$F20&lt;=24,2,3),FALSE)),$C$3)*(1+Projection!CB$16)*(1+IF(BU152&gt;0,'Attrition Modeling'!$N$9,0)))</f>
        <v>#REF!</v>
      </c>
    </row>
    <row r="88" spans="1:73" ht="14.25" customHeight="1" x14ac:dyDescent="0.2">
      <c r="A88" s="9">
        <v>81</v>
      </c>
      <c r="B88" s="25">
        <f>MAX('Attrition Modeling'!H85,$C$3)*(1-Summary!$C$20)</f>
        <v>0.02</v>
      </c>
      <c r="C88" s="24" t="e">
        <f t="shared" si="3"/>
        <v>#DIV/0!</v>
      </c>
      <c r="D88" s="11">
        <f t="shared" ref="D88:E88" si="26">D21</f>
        <v>-18</v>
      </c>
      <c r="E88" s="25">
        <f t="shared" si="26"/>
        <v>0</v>
      </c>
      <c r="F88" s="11">
        <f t="shared" si="9"/>
        <v>18</v>
      </c>
      <c r="G88" s="799">
        <f>Summary!$C$24*$E88</f>
        <v>0</v>
      </c>
      <c r="H88" s="799">
        <f>G88*(1-IFERROR(IF(H$69+$F88&lt;=12,SUMIFS('Attrition Modeling'!$D:$D,'Attrition Modeling'!$C:$C,'IP Attrition'!$D88,'Attrition Modeling'!$B:$B,'IP Attrition'!H$68),VLOOKUP($F88+H$2,$A$6:$C$106,2,FALSE)*VLOOKUP(H$1,'Attrition Modeling'!$L$15:$N$27,IF(H$2+$F21&lt;=24,2,3),FALSE)),$C$3)*(1+Projection!J$16)*(1+IF(H153&gt;0,'Attrition Modeling'!$N$9,0)))</f>
        <v>0</v>
      </c>
      <c r="I88" s="799">
        <f>H88*(1-IFERROR(IF(I$69+$F88&lt;=12,SUMIFS('Attrition Modeling'!$D:$D,'Attrition Modeling'!$C:$C,'IP Attrition'!$D88,'Attrition Modeling'!$B:$B,'IP Attrition'!I$68),VLOOKUP($F88+I$2,$A$6:$C$106,2,FALSE)*VLOOKUP(I$1,'Attrition Modeling'!$L$15:$N$27,IF(I$2+$F21&lt;=24,2,3),FALSE)),$C$3)*(1+Projection!K$16)*(1+IF(I153&gt;0,'Attrition Modeling'!$N$9,0)))</f>
        <v>0</v>
      </c>
      <c r="J88" s="799">
        <f>I88*(1-IFERROR(IF(J$69+$F88&lt;=12,SUMIFS('Attrition Modeling'!$D:$D,'Attrition Modeling'!$C:$C,'IP Attrition'!$D88,'Attrition Modeling'!$B:$B,'IP Attrition'!J$68),VLOOKUP($F88+J$2,$A$6:$C$106,2,FALSE)*VLOOKUP(J$1,'Attrition Modeling'!$L$15:$N$27,IF(J$2+$F21&lt;=24,2,3),FALSE)),$C$3)*(1+Projection!L$16)*(1+IF(J153&gt;0,'Attrition Modeling'!$N$9,0)))</f>
        <v>0</v>
      </c>
      <c r="K88" s="799">
        <f>J88*(1-IFERROR(IF(K$69+$F88&lt;=12,SUMIFS('Attrition Modeling'!$D:$D,'Attrition Modeling'!$C:$C,'IP Attrition'!$D88,'Attrition Modeling'!$B:$B,'IP Attrition'!K$68),VLOOKUP($F88+K$2,$A$6:$C$106,2,FALSE)*VLOOKUP(K$1,'Attrition Modeling'!$L$15:$N$27,IF(K$2+$F21&lt;=24,2,3),FALSE)),$C$3)*(1+Projection!M$16)*(1+IF(K153&gt;0,'Attrition Modeling'!$N$9,0)))</f>
        <v>0</v>
      </c>
      <c r="L88" s="799">
        <f>K88*(1-IFERROR(IF(L$69+$F88&lt;=12,SUMIFS('Attrition Modeling'!$D:$D,'Attrition Modeling'!$C:$C,'IP Attrition'!$D88,'Attrition Modeling'!$B:$B,'IP Attrition'!L$68),VLOOKUP($F88+L$2,$A$6:$C$106,2,FALSE)*VLOOKUP(L$1,'Attrition Modeling'!$L$15:$N$27,IF(L$2+$F21&lt;=24,2,3),FALSE)),$C$3)*(1+Projection!N$16)*(1+IF(L153&gt;0,'Attrition Modeling'!$N$9,0)))</f>
        <v>0</v>
      </c>
      <c r="M88" s="799">
        <f>L88*(1-IFERROR(IF(M$69+$F88&lt;=12,SUMIFS('Attrition Modeling'!$D:$D,'Attrition Modeling'!$C:$C,'IP Attrition'!$D88,'Attrition Modeling'!$B:$B,'IP Attrition'!M$68),VLOOKUP($F88+M$2,$A$6:$C$106,2,FALSE)*VLOOKUP(M$1,'Attrition Modeling'!$L$15:$N$27,IF(M$2+$F21&lt;=24,2,3),FALSE)),$C$3)*(1+Projection!O$16)*(1+IF(M153&gt;0,'Attrition Modeling'!$N$9,0)))</f>
        <v>0</v>
      </c>
      <c r="N88" s="799">
        <f>M88*(1-IFERROR(IF(N$69+$F88&lt;=12,SUMIFS('Attrition Modeling'!$D:$D,'Attrition Modeling'!$C:$C,'IP Attrition'!$D88,'Attrition Modeling'!$B:$B,'IP Attrition'!N$68),VLOOKUP($F88+N$2,$A$6:$C$106,2,FALSE)*VLOOKUP(N$1,'Attrition Modeling'!$L$15:$N$27,IF(N$2+$F21&lt;=24,2,3),FALSE)),$C$3)*(1+Projection!P$16)*(1+IF(N153&gt;0,'Attrition Modeling'!$N$9,0)))</f>
        <v>0</v>
      </c>
      <c r="O88" s="799">
        <f>N88*(1-IFERROR(IF(O$69+$F88&lt;=12,SUMIFS('Attrition Modeling'!$D:$D,'Attrition Modeling'!$C:$C,'IP Attrition'!$D88,'Attrition Modeling'!$B:$B,'IP Attrition'!O$68),VLOOKUP($F88+O$2,$A$6:$C$106,2,FALSE)*VLOOKUP(O$1,'Attrition Modeling'!$L$15:$N$27,IF(O$2+$F21&lt;=24,2,3),FALSE)),$C$3)*(1+Projection!Q$16)*(1+IF(O153&gt;0,'Attrition Modeling'!$N$9,0)))</f>
        <v>0</v>
      </c>
      <c r="P88" s="799">
        <f>O88*(1-IFERROR(IF(P$69+$F88&lt;=12,SUMIFS('Attrition Modeling'!$D:$D,'Attrition Modeling'!$C:$C,'IP Attrition'!$D88,'Attrition Modeling'!$B:$B,'IP Attrition'!P$68),VLOOKUP($F88+P$2,$A$6:$C$106,2,FALSE)*VLOOKUP(P$1,'Attrition Modeling'!$L$15:$N$27,IF(P$2+$F21&lt;=24,2,3),FALSE)),$C$3)*(1+Projection!R$16)*(1+IF(P153&gt;0,'Attrition Modeling'!$N$9,0)))</f>
        <v>0</v>
      </c>
      <c r="Q88" s="799">
        <f>P88*(1-IFERROR(IF(Q$69+$F88&lt;=12,SUMIFS('Attrition Modeling'!$D:$D,'Attrition Modeling'!$C:$C,'IP Attrition'!$D88,'Attrition Modeling'!$B:$B,'IP Attrition'!Q$68),VLOOKUP($F88+Q$2,$A$6:$C$106,2,FALSE)*VLOOKUP(Q$1,'Attrition Modeling'!$L$15:$N$27,IF(Q$2+$F21&lt;=24,2,3),FALSE)),$C$3)*(1+Projection!S$16)*(1+IF(Q153&gt;0,'Attrition Modeling'!$N$9,0)))</f>
        <v>0</v>
      </c>
      <c r="R88" s="799">
        <f>Q88*(1-IFERROR(IF(R$69+$F88&lt;=12,SUMIFS('Attrition Modeling'!$D:$D,'Attrition Modeling'!$C:$C,'IP Attrition'!$D88,'Attrition Modeling'!$B:$B,'IP Attrition'!R$68),VLOOKUP($F88+R$2,$A$6:$C$106,2,FALSE)*VLOOKUP(R$1,'Attrition Modeling'!$L$15:$N$27,IF(R$2+$F21&lt;=24,2,3),FALSE)),$C$3)*(1+Projection!T$16)*(1+IF(R153&gt;0,'Attrition Modeling'!$N$9,0)))</f>
        <v>0</v>
      </c>
      <c r="S88" s="799">
        <f>R88*(1-IFERROR(IF(S$69+$F88&lt;=12,SUMIFS('Attrition Modeling'!$D:$D,'Attrition Modeling'!$C:$C,'IP Attrition'!$D88,'Attrition Modeling'!$B:$B,'IP Attrition'!S$68),VLOOKUP($F88+S$2,$A$6:$C$106,2,FALSE)*VLOOKUP(S$1,'Attrition Modeling'!$L$15:$N$27,IF(S$2+$F21&lt;=24,2,3),FALSE)),$C$3)*(1+Projection!U$16)*(1+IF(S153&gt;0,'Attrition Modeling'!$N$9,0)))</f>
        <v>0</v>
      </c>
      <c r="T88" s="799">
        <f>S88*(1-IFERROR(IF(T$69+$F88&lt;=12,SUMIFS('Attrition Modeling'!$D:$D,'Attrition Modeling'!$C:$C,'IP Attrition'!$D88,'Attrition Modeling'!$B:$B,'IP Attrition'!T$68),VLOOKUP($F88+T$2,$A$6:$C$106,2,FALSE)*VLOOKUP(T$1,'Attrition Modeling'!$L$15:$N$27,IF(T$2+$F21&lt;=24,2,3),FALSE)),$C$3)*(1+Projection!V$16)*(1+IF(T153&gt;0,'Attrition Modeling'!$N$9,0)))</f>
        <v>0</v>
      </c>
      <c r="U88" s="799">
        <f>T88*(1-IFERROR(IF(U$69+$F88&lt;=12,SUMIFS('Attrition Modeling'!$D:$D,'Attrition Modeling'!$C:$C,'IP Attrition'!$D88,'Attrition Modeling'!$B:$B,'IP Attrition'!U$68),VLOOKUP($F88+U$2,$A$6:$C$106,2,FALSE)*VLOOKUP(U$1,'Attrition Modeling'!$L$15:$N$27,IF(U$2+$F21&lt;=24,2,3),FALSE)),$C$3)*(1+Projection!W$16)*(1+IF(U153&gt;0,'Attrition Modeling'!$N$9,0)))</f>
        <v>0</v>
      </c>
      <c r="V88" s="799">
        <f>U88*(1-IFERROR(IF(V$69+$F88&lt;=12,SUMIFS('Attrition Modeling'!$D:$D,'Attrition Modeling'!$C:$C,'IP Attrition'!$D88,'Attrition Modeling'!$B:$B,'IP Attrition'!V$68),VLOOKUP($F88+V$2,$A$6:$C$106,2,FALSE)*VLOOKUP(V$1,'Attrition Modeling'!$L$15:$N$27,IF(V$2+$F21&lt;=24,2,3),FALSE)),$C$3)*(1+Projection!X$16)*(1+IF(V153&gt;0,'Attrition Modeling'!$N$9,0)))</f>
        <v>0</v>
      </c>
      <c r="W88" s="799">
        <f>V88*(1-IFERROR(IF(W$69+$F88&lt;=12,SUMIFS('Attrition Modeling'!$D:$D,'Attrition Modeling'!$C:$C,'IP Attrition'!$D88,'Attrition Modeling'!$B:$B,'IP Attrition'!W$68),VLOOKUP($F88+W$2,$A$6:$C$106,2,FALSE)*VLOOKUP(W$1,'Attrition Modeling'!$L$15:$N$27,IF(W$2+$F21&lt;=24,2,3),FALSE)),$C$3)*(1+Projection!Y$16)*(1+IF(W153&gt;0,'Attrition Modeling'!$N$9,0)))</f>
        <v>0</v>
      </c>
      <c r="X88" s="799">
        <f>W88*(1-IFERROR(IF(X$69+$F88&lt;=12,SUMIFS('Attrition Modeling'!$D:$D,'Attrition Modeling'!$C:$C,'IP Attrition'!$D88,'Attrition Modeling'!$B:$B,'IP Attrition'!X$68),VLOOKUP($F88+X$2,$A$6:$C$106,2,FALSE)*VLOOKUP(X$1,'Attrition Modeling'!$L$15:$N$27,IF(X$2+$F21&lt;=24,2,3),FALSE)),$C$3)*(1+Projection!Z$16)*(1+IF(X153&gt;0,'Attrition Modeling'!$N$9,0)))</f>
        <v>0</v>
      </c>
      <c r="Y88" s="799">
        <f>X88*(1-IFERROR(IF(Y$69+$F88&lt;=12,SUMIFS('Attrition Modeling'!$D:$D,'Attrition Modeling'!$C:$C,'IP Attrition'!$D88,'Attrition Modeling'!$B:$B,'IP Attrition'!Y$68),VLOOKUP($F88+Y$2,$A$6:$C$106,2,FALSE)*VLOOKUP(Y$1,'Attrition Modeling'!$L$15:$N$27,IF(Y$2+$F21&lt;=24,2,3),FALSE)),$C$3)*(1+Projection!AA$16)*(1+IF(Y153&gt;0,'Attrition Modeling'!$N$9,0)))</f>
        <v>0</v>
      </c>
      <c r="Z88" s="799">
        <f>Y88*(1-IFERROR(IF(Z$69+$F88&lt;=12,SUMIFS('Attrition Modeling'!$D:$D,'Attrition Modeling'!$C:$C,'IP Attrition'!$D88,'Attrition Modeling'!$B:$B,'IP Attrition'!Z$68),VLOOKUP($F88+Z$2,$A$6:$C$106,2,FALSE)*VLOOKUP(Z$1,'Attrition Modeling'!$L$15:$N$27,IF(Z$2+$F21&lt;=24,2,3),FALSE)),$C$3)*(1+Projection!AB$16)*(1+IF(Z153&gt;0,'Attrition Modeling'!$N$9,0)))</f>
        <v>0</v>
      </c>
      <c r="AA88" s="799">
        <f>Z88*(1-IFERROR(IF(AA$69+$F88&lt;=12,SUMIFS('Attrition Modeling'!$D:$D,'Attrition Modeling'!$C:$C,'IP Attrition'!$D88,'Attrition Modeling'!$B:$B,'IP Attrition'!AA$68),VLOOKUP($F88+AA$2,$A$6:$C$106,2,FALSE)*VLOOKUP(AA$1,'Attrition Modeling'!$L$15:$N$27,IF(AA$2+$F21&lt;=24,2,3),FALSE)),$C$3)*(1+Projection!AC$16)*(1+IF(AA153&gt;0,'Attrition Modeling'!$N$9,0)))</f>
        <v>0</v>
      </c>
      <c r="AB88" s="799">
        <f>AA88*(1-IFERROR(IF(AB$69+$F88&lt;=12,SUMIFS('Attrition Modeling'!$D:$D,'Attrition Modeling'!$C:$C,'IP Attrition'!$D88,'Attrition Modeling'!$B:$B,'IP Attrition'!AB$68),VLOOKUP($F88+AB$2,$A$6:$C$106,2,FALSE)*VLOOKUP(AB$1,'Attrition Modeling'!$L$15:$N$27,IF(AB$2+$F21&lt;=24,2,3),FALSE)),$C$3)*(1+Projection!AD$16)*(1+IF(AB153&gt;0,'Attrition Modeling'!$N$9,0)))</f>
        <v>0</v>
      </c>
      <c r="AC88" s="799">
        <f>AB88*(1-IFERROR(IF(AC$69+$F88&lt;=12,SUMIFS('Attrition Modeling'!$D:$D,'Attrition Modeling'!$C:$C,'IP Attrition'!$D88,'Attrition Modeling'!$B:$B,'IP Attrition'!AC$68),VLOOKUP($F88+AC$2,$A$6:$C$106,2,FALSE)*VLOOKUP(AC$1,'Attrition Modeling'!$L$15:$N$27,IF(AC$2+$F21&lt;=24,2,3),FALSE)),$C$3)*(1+Projection!AE$16)*(1+IF(AC153&gt;0,'Attrition Modeling'!$N$9,0)))</f>
        <v>0</v>
      </c>
      <c r="AD88" s="799">
        <f>AC88*(1-IFERROR(IF(AD$69+$F88&lt;=12,SUMIFS('Attrition Modeling'!$D:$D,'Attrition Modeling'!$C:$C,'IP Attrition'!$D88,'Attrition Modeling'!$B:$B,'IP Attrition'!AD$68),VLOOKUP($F88+AD$2,$A$6:$C$106,2,FALSE)*VLOOKUP(AD$1,'Attrition Modeling'!$L$15:$N$27,IF(AD$2+$F21&lt;=24,2,3),FALSE)),$C$3)*(1+Projection!AF$16)*(1+IF(AD153&gt;0,'Attrition Modeling'!$N$9,0)))</f>
        <v>0</v>
      </c>
      <c r="AE88" s="799">
        <f>AD88*(1-IFERROR(IF(AE$69+$F88&lt;=12,SUMIFS('Attrition Modeling'!$D:$D,'Attrition Modeling'!$C:$C,'IP Attrition'!$D88,'Attrition Modeling'!$B:$B,'IP Attrition'!AE$68),VLOOKUP($F88+AE$2,$A$6:$C$106,2,FALSE)*VLOOKUP(AE$1,'Attrition Modeling'!$L$15:$N$27,IF(AE$2+$F21&lt;=24,2,3),FALSE)),$C$3)*(1+Projection!AG$16)*(1+IF(AE153&gt;0,'Attrition Modeling'!$N$9,0)))</f>
        <v>0</v>
      </c>
      <c r="AF88" s="799">
        <f>AE88*(1-IFERROR(IF(AF$69+$F88&lt;=12,SUMIFS('Attrition Modeling'!$D:$D,'Attrition Modeling'!$C:$C,'IP Attrition'!$D88,'Attrition Modeling'!$B:$B,'IP Attrition'!AF$68),VLOOKUP($F88+AF$2,$A$6:$C$106,2,FALSE)*VLOOKUP(AF$1,'Attrition Modeling'!$L$15:$N$27,IF(AF$2+$F21&lt;=24,2,3),FALSE)),$C$3)*(1+Projection!AH$16)*(1+IF(AF153&gt;0,'Attrition Modeling'!$N$9,0)))</f>
        <v>0</v>
      </c>
      <c r="AG88" s="799">
        <f>AF88*(1-IFERROR(IF(AG$69+$F88&lt;=12,SUMIFS('Attrition Modeling'!$D:$D,'Attrition Modeling'!$C:$C,'IP Attrition'!$D88,'Attrition Modeling'!$B:$B,'IP Attrition'!AG$68),VLOOKUP($F88+AG$2,$A$6:$C$106,2,FALSE)*VLOOKUP(AG$1,'Attrition Modeling'!$L$15:$N$27,IF(AG$2+$F21&lt;=24,2,3),FALSE)),$C$3)*(1+Projection!AI$16)*(1+IF(AG153&gt;0,'Attrition Modeling'!$N$9,0)))</f>
        <v>0</v>
      </c>
      <c r="AH88" s="799">
        <f>AG88*(1-IFERROR(IF(AH$69+$F88&lt;=12,SUMIFS('Attrition Modeling'!$D:$D,'Attrition Modeling'!$C:$C,'IP Attrition'!$D88,'Attrition Modeling'!$B:$B,'IP Attrition'!AH$68),VLOOKUP($F88+AH$2,$A$6:$C$106,2,FALSE)*VLOOKUP(AH$1,'Attrition Modeling'!$L$15:$N$27,IF(AH$2+$F21&lt;=24,2,3),FALSE)),$C$3)*(1+Projection!AJ$16)*(1+IF(AH153&gt;0,'Attrition Modeling'!$N$9,0)))</f>
        <v>0</v>
      </c>
      <c r="AI88" s="799">
        <f>AH88*(1-IFERROR(IF(AI$69+$F88&lt;=12,SUMIFS('Attrition Modeling'!$D:$D,'Attrition Modeling'!$C:$C,'IP Attrition'!$D88,'Attrition Modeling'!$B:$B,'IP Attrition'!AI$68),VLOOKUP($F88+AI$2,$A$6:$C$106,2,FALSE)*VLOOKUP(AI$1,'Attrition Modeling'!$L$15:$N$27,IF(AI$2+$F21&lt;=24,2,3),FALSE)),$C$3)*(1+Projection!AK$16)*(1+IF(AI153&gt;0,'Attrition Modeling'!$N$9,0)))</f>
        <v>0</v>
      </c>
      <c r="AJ88" s="799">
        <f>AI88*(1-IFERROR(IF(AJ$69+$F88&lt;=12,SUMIFS('Attrition Modeling'!$D:$D,'Attrition Modeling'!$C:$C,'IP Attrition'!$D88,'Attrition Modeling'!$B:$B,'IP Attrition'!AJ$68),VLOOKUP($F88+AJ$2,$A$6:$C$106,2,FALSE)*VLOOKUP(AJ$1,'Attrition Modeling'!$L$15:$N$27,IF(AJ$2+$F21&lt;=24,2,3),FALSE)),$C$3)*(1+Projection!AL$16)*(1+IF(AJ153&gt;0,'Attrition Modeling'!$N$9,0)))</f>
        <v>0</v>
      </c>
      <c r="AK88" s="799">
        <f>AJ88*(1-IFERROR(IF(AK$69+$F88&lt;=12,SUMIFS('Attrition Modeling'!$D:$D,'Attrition Modeling'!$C:$C,'IP Attrition'!$D88,'Attrition Modeling'!$B:$B,'IP Attrition'!AK$68),VLOOKUP($F88+AK$2,$A$6:$C$106,2,FALSE)*VLOOKUP(AK$1,'Attrition Modeling'!$L$15:$N$27,IF(AK$2+$F21&lt;=24,2,3),FALSE)),$C$3)*(1+Projection!AM$16)*(1+IF(AK153&gt;0,'Attrition Modeling'!$N$9,0)))</f>
        <v>0</v>
      </c>
      <c r="AL88" s="799">
        <f>AK88*(1-IFERROR(IF(AL$69+$F88&lt;=12,SUMIFS('Attrition Modeling'!$D:$D,'Attrition Modeling'!$C:$C,'IP Attrition'!$D88,'Attrition Modeling'!$B:$B,'IP Attrition'!AL$68),VLOOKUP($F88+AL$2,$A$6:$C$106,2,FALSE)*VLOOKUP(AL$1,'Attrition Modeling'!$L$15:$N$27,IF(AL$2+$F21&lt;=24,2,3),FALSE)),$C$3)*(1+Projection!AN$16)*(1+IF(AL153&gt;0,'Attrition Modeling'!$N$9,0)))</f>
        <v>0</v>
      </c>
      <c r="AM88" s="799">
        <f>AL88*(1-IFERROR(IF(AM$69+$F88&lt;=12,SUMIFS('Attrition Modeling'!$D:$D,'Attrition Modeling'!$C:$C,'IP Attrition'!$D88,'Attrition Modeling'!$B:$B,'IP Attrition'!AM$68),VLOOKUP($F88+AM$2,$A$6:$C$106,2,FALSE)*VLOOKUP(AM$1,'Attrition Modeling'!$L$15:$N$27,IF(AM$2+$F21&lt;=24,2,3),FALSE)),$C$3)*(1+Projection!AO$16)*(1+IF(AM153&gt;0,'Attrition Modeling'!$N$9,0)))</f>
        <v>0</v>
      </c>
      <c r="AN88" s="799">
        <f>AM88*(1-IFERROR(IF(AN$69+$F88&lt;=12,SUMIFS('Attrition Modeling'!$D:$D,'Attrition Modeling'!$C:$C,'IP Attrition'!$D88,'Attrition Modeling'!$B:$B,'IP Attrition'!AN$68),VLOOKUP($F88+AN$2,$A$6:$C$106,2,FALSE)*VLOOKUP(AN$1,'Attrition Modeling'!$L$15:$N$27,IF(AN$2+$F21&lt;=24,2,3),FALSE)),$C$3)*(1+Projection!AP$16)*(1+IF(AN153&gt;0,'Attrition Modeling'!$N$9,0)))</f>
        <v>0</v>
      </c>
      <c r="AO88" s="799">
        <f>AN88*(1-IFERROR(IF(AO$69+$F88&lt;=12,SUMIFS('Attrition Modeling'!$D:$D,'Attrition Modeling'!$C:$C,'IP Attrition'!$D88,'Attrition Modeling'!$B:$B,'IP Attrition'!AO$68),VLOOKUP($F88+AO$2,$A$6:$C$106,2,FALSE)*VLOOKUP(AO$1,'Attrition Modeling'!$L$15:$N$27,IF(AO$2+$F21&lt;=24,2,3),FALSE)),$C$3)*(1+Projection!AQ$16)*(1+IF(AO153&gt;0,'Attrition Modeling'!$N$9,0)))</f>
        <v>0</v>
      </c>
      <c r="AP88" s="799">
        <f>AO88*(1-IFERROR(IF(AP$69+$F88&lt;=12,SUMIFS('Attrition Modeling'!$D:$D,'Attrition Modeling'!$C:$C,'IP Attrition'!$D88,'Attrition Modeling'!$B:$B,'IP Attrition'!AP$68),VLOOKUP($F88+AP$2,$A$6:$C$106,2,FALSE)*VLOOKUP(AP$1,'Attrition Modeling'!$L$15:$N$27,IF(AP$2+$F21&lt;=24,2,3),FALSE)),$C$3)*(1+Projection!AR$16)*(1+IF(AP153&gt;0,'Attrition Modeling'!$N$9,0)))</f>
        <v>0</v>
      </c>
      <c r="AQ88" s="799">
        <f>AP88*(1-IFERROR(IF(AQ$69+$F88&lt;=12,SUMIFS('Attrition Modeling'!$D:$D,'Attrition Modeling'!$C:$C,'IP Attrition'!$D88,'Attrition Modeling'!$B:$B,'IP Attrition'!AQ$68),VLOOKUP($F88+AQ$2,$A$6:$C$106,2,FALSE)*VLOOKUP(AQ$1,'Attrition Modeling'!$L$15:$N$27,IF(AQ$2+$F21&lt;=24,2,3),FALSE)),$C$3)*(1+Projection!AS$16)*(1+IF(AQ153&gt;0,'Attrition Modeling'!$N$9,0)))</f>
        <v>0</v>
      </c>
      <c r="AR88" s="799">
        <f>AQ88*(1-IFERROR(IF(AR$69+$F88&lt;=12,SUMIFS('Attrition Modeling'!$D:$D,'Attrition Modeling'!$C:$C,'IP Attrition'!$D88,'Attrition Modeling'!$B:$B,'IP Attrition'!AR$68),VLOOKUP($F88+AR$2,$A$6:$C$106,2,FALSE)*VLOOKUP(AR$1,'Attrition Modeling'!$L$15:$N$27,IF(AR$2+$F21&lt;=24,2,3),FALSE)),$C$3)*(1+Projection!AT$16)*(1+IF(AR153&gt;0,'Attrition Modeling'!$N$9,0)))</f>
        <v>0</v>
      </c>
      <c r="AS88" s="799">
        <f>AR88*(1-IFERROR(IF(AS$69+$F88&lt;=12,SUMIFS('Attrition Modeling'!$D:$D,'Attrition Modeling'!$C:$C,'IP Attrition'!$D88,'Attrition Modeling'!$B:$B,'IP Attrition'!AS$68),VLOOKUP($F88+AS$2,$A$6:$C$106,2,FALSE)*VLOOKUP(AS$1,'Attrition Modeling'!$L$15:$N$27,IF(AS$2+$F21&lt;=24,2,3),FALSE)),$C$3)*(1+Projection!AU$16)*(1+IF(AS153&gt;0,'Attrition Modeling'!$N$9,0)))</f>
        <v>0</v>
      </c>
      <c r="AT88" s="799">
        <f>AS88*(1-IFERROR(IF(AT$69+$F88&lt;=12,SUMIFS('Attrition Modeling'!$D:$D,'Attrition Modeling'!$C:$C,'IP Attrition'!$D88,'Attrition Modeling'!$B:$B,'IP Attrition'!AT$68),VLOOKUP($F88+AT$2,$A$6:$C$106,2,FALSE)*VLOOKUP(AT$1,'Attrition Modeling'!$L$15:$N$27,IF(AT$2+$F21&lt;=24,2,3),FALSE)),$C$3)*(1+Projection!AV$16)*(1+IF(AT153&gt;0,'Attrition Modeling'!$N$9,0)))</f>
        <v>0</v>
      </c>
      <c r="AU88" s="799">
        <f>AT88*(1-IFERROR(IF(AU$69+$F88&lt;=12,SUMIFS('Attrition Modeling'!$D:$D,'Attrition Modeling'!$C:$C,'IP Attrition'!$D88,'Attrition Modeling'!$B:$B,'IP Attrition'!AU$68),VLOOKUP($F88+AU$2,$A$6:$C$106,2,FALSE)*VLOOKUP(AU$1,'Attrition Modeling'!$L$15:$N$27,IF(AU$2+$F21&lt;=24,2,3),FALSE)),$C$3)*(1+Projection!AW$16)*(1+IF(AU153&gt;0,'Attrition Modeling'!$N$9,0)))</f>
        <v>0</v>
      </c>
      <c r="AV88" s="799">
        <f>AU88*(1-IFERROR(IF(AV$69+$F88&lt;=12,SUMIFS('Attrition Modeling'!$D:$D,'Attrition Modeling'!$C:$C,'IP Attrition'!$D88,'Attrition Modeling'!$B:$B,'IP Attrition'!AV$68),VLOOKUP($F88+AV$2,$A$6:$C$106,2,FALSE)*VLOOKUP(AV$1,'Attrition Modeling'!$L$15:$N$27,IF(AV$2+$F21&lt;=24,2,3),FALSE)),$C$3)*(1+Projection!AX$16)*(1+IF(AV153&gt;0,'Attrition Modeling'!$N$9,0)))</f>
        <v>0</v>
      </c>
      <c r="AW88" s="799">
        <f>AV88*(1-IFERROR(IF(AW$69+$F88&lt;=12,SUMIFS('Attrition Modeling'!$D:$D,'Attrition Modeling'!$C:$C,'IP Attrition'!$D88,'Attrition Modeling'!$B:$B,'IP Attrition'!AW$68),VLOOKUP($F88+AW$2,$A$6:$C$106,2,FALSE)*VLOOKUP(AW$1,'Attrition Modeling'!$L$15:$N$27,IF(AW$2+$F21&lt;=24,2,3),FALSE)),$C$3)*(1+Projection!AY$16)*(1+IF(AW153&gt;0,'Attrition Modeling'!$N$9,0)))</f>
        <v>0</v>
      </c>
      <c r="AX88" s="799">
        <f>AW88*(1-IFERROR(IF(AX$69+$F88&lt;=12,SUMIFS('Attrition Modeling'!$D:$D,'Attrition Modeling'!$C:$C,'IP Attrition'!$D88,'Attrition Modeling'!$B:$B,'IP Attrition'!AX$68),VLOOKUP($F88+AX$2,$A$6:$C$106,2,FALSE)*VLOOKUP(AX$1,'Attrition Modeling'!$L$15:$N$27,IF(AX$2+$F21&lt;=24,2,3),FALSE)),$C$3)*(1+Projection!AZ$16)*(1+IF(AX153&gt;0,'Attrition Modeling'!$N$9,0)))</f>
        <v>0</v>
      </c>
      <c r="AY88" s="799">
        <f>AX88*(1-IFERROR(IF(AY$69+$F88&lt;=12,SUMIFS('Attrition Modeling'!$D:$D,'Attrition Modeling'!$C:$C,'IP Attrition'!$D88,'Attrition Modeling'!$B:$B,'IP Attrition'!AY$68),VLOOKUP($F88+AY$2,$A$6:$C$106,2,FALSE)*VLOOKUP(AY$1,'Attrition Modeling'!$L$15:$N$27,IF(AY$2+$F21&lt;=24,2,3),FALSE)),$C$3)*(1+Projection!BA$16)*(1+IF(AY153&gt;0,'Attrition Modeling'!$N$9,0)))</f>
        <v>0</v>
      </c>
      <c r="AZ88" s="799">
        <f>AY88*(1-IFERROR(IF(AZ$69+$F88&lt;=12,SUMIFS('Attrition Modeling'!$D:$D,'Attrition Modeling'!$C:$C,'IP Attrition'!$D88,'Attrition Modeling'!$B:$B,'IP Attrition'!AZ$68),VLOOKUP($F88+AZ$2,$A$6:$C$106,2,FALSE)*VLOOKUP(AZ$1,'Attrition Modeling'!$L$15:$N$27,IF(AZ$2+$F21&lt;=24,2,3),FALSE)),$C$3)*(1+Projection!BB$16)*(1+IF(AZ153&gt;0,'Attrition Modeling'!$N$9,0)))</f>
        <v>0</v>
      </c>
      <c r="BA88" s="799">
        <f>AZ88*(1-IFERROR(IF(BA$69+$F88&lt;=12,SUMIFS('Attrition Modeling'!$D:$D,'Attrition Modeling'!$C:$C,'IP Attrition'!$D88,'Attrition Modeling'!$B:$B,'IP Attrition'!BA$68),VLOOKUP($F88+BA$2,$A$6:$C$106,2,FALSE)*VLOOKUP(BA$1,'Attrition Modeling'!$L$15:$N$27,IF(BA$2+$F21&lt;=24,2,3),FALSE)),$C$3)*(1+Projection!BC$16)*(1+IF(BA153&gt;0,'Attrition Modeling'!$N$9,0)))</f>
        <v>0</v>
      </c>
      <c r="BB88" s="799">
        <f>BA88*(1-IFERROR(IF(BB$69+$F88&lt;=12,SUMIFS('Attrition Modeling'!$D:$D,'Attrition Modeling'!$C:$C,'IP Attrition'!$D88,'Attrition Modeling'!$B:$B,'IP Attrition'!BB$68),VLOOKUP($F88+BB$2,$A$6:$C$106,2,FALSE)*VLOOKUP(BB$1,'Attrition Modeling'!$L$15:$N$27,IF(BB$2+$F21&lt;=24,2,3),FALSE)),$C$3)*(1+Projection!BD$16)*(1+IF(BB153&gt;0,'Attrition Modeling'!$N$9,0)))</f>
        <v>0</v>
      </c>
      <c r="BC88" s="799">
        <f>BB88*(1-IFERROR(IF(BC$69+$F88&lt;=12,SUMIFS('Attrition Modeling'!$D:$D,'Attrition Modeling'!$C:$C,'IP Attrition'!$D88,'Attrition Modeling'!$B:$B,'IP Attrition'!BC$68),VLOOKUP($F88+BC$2,$A$6:$C$106,2,FALSE)*VLOOKUP(BC$1,'Attrition Modeling'!$L$15:$N$27,IF(BC$2+$F21&lt;=24,2,3),FALSE)),$C$3)*(1+Projection!BE$16)*(1+IF(BC153&gt;0,'Attrition Modeling'!$N$9,0)))</f>
        <v>0</v>
      </c>
      <c r="BD88" s="799">
        <f>BC88*(1-IFERROR(IF(BD$69+$F88&lt;=12,SUMIFS('Attrition Modeling'!$D:$D,'Attrition Modeling'!$C:$C,'IP Attrition'!$D88,'Attrition Modeling'!$B:$B,'IP Attrition'!BD$68),VLOOKUP($F88+BD$2,$A$6:$C$106,2,FALSE)*VLOOKUP(BD$1,'Attrition Modeling'!$L$15:$N$27,IF(BD$2+$F21&lt;=24,2,3),FALSE)),$C$3)*(1+Projection!BF$16)*(1+IF(BD153&gt;0,'Attrition Modeling'!$N$9,0)))</f>
        <v>0</v>
      </c>
      <c r="BE88" s="799">
        <f>BD88*(1-IFERROR(IF(BE$69+$F88&lt;=12,SUMIFS('Attrition Modeling'!$D:$D,'Attrition Modeling'!$C:$C,'IP Attrition'!$D88,'Attrition Modeling'!$B:$B,'IP Attrition'!BE$68),VLOOKUP($F88+BE$2,$A$6:$C$106,2,FALSE)*VLOOKUP(BE$1,'Attrition Modeling'!$L$15:$N$27,IF(BE$2+$F21&lt;=24,2,3),FALSE)),$C$3)*(1+Projection!BG$16)*(1+IF(BE153&gt;0,'Attrition Modeling'!$N$9,0)))</f>
        <v>0</v>
      </c>
      <c r="BF88" s="799">
        <f>BE88*(1-IFERROR(IF(BF$69+$F88&lt;=12,SUMIFS('Attrition Modeling'!$D:$D,'Attrition Modeling'!$C:$C,'IP Attrition'!$D88,'Attrition Modeling'!$B:$B,'IP Attrition'!BF$68),VLOOKUP($F88+BF$2,$A$6:$C$106,2,FALSE)*VLOOKUP(BF$1,'Attrition Modeling'!$L$15:$N$27,IF(BF$2+$F21&lt;=24,2,3),FALSE)),$C$3)*(1+Projection!BH$16)*(1+IF(BF153&gt;0,'Attrition Modeling'!$N$9,0)))</f>
        <v>0</v>
      </c>
      <c r="BG88" s="799">
        <f>BF88*(1-IFERROR(IF(BG$69+$F88&lt;=12,SUMIFS('Attrition Modeling'!$D:$D,'Attrition Modeling'!$C:$C,'IP Attrition'!$D88,'Attrition Modeling'!$B:$B,'IP Attrition'!BG$68),VLOOKUP($F88+BG$2,$A$6:$C$106,2,FALSE)*VLOOKUP(BG$1,'Attrition Modeling'!$L$15:$N$27,IF(BG$2+$F21&lt;=24,2,3),FALSE)),$C$3)*(1+Projection!BI$16)*(1+IF(BG153&gt;0,'Attrition Modeling'!$N$9,0)))</f>
        <v>0</v>
      </c>
      <c r="BH88" s="799">
        <f>BG88*(1-IFERROR(IF(BH$69+$F88&lt;=12,SUMIFS('Attrition Modeling'!$D:$D,'Attrition Modeling'!$C:$C,'IP Attrition'!$D88,'Attrition Modeling'!$B:$B,'IP Attrition'!BH$68),VLOOKUP($F88+BH$2,$A$6:$C$106,2,FALSE)*VLOOKUP(BH$1,'Attrition Modeling'!$L$15:$N$27,IF(BH$2+$F21&lt;=24,2,3),FALSE)),$C$3)*(1+Projection!BJ$16)*(1+IF(BH153&gt;0,'Attrition Modeling'!$N$9,0)))</f>
        <v>0</v>
      </c>
      <c r="BI88" s="799">
        <f>BH88*(1-IFERROR(IF(BI$69+$F88&lt;=12,SUMIFS('Attrition Modeling'!$D:$D,'Attrition Modeling'!$C:$C,'IP Attrition'!$D88,'Attrition Modeling'!$B:$B,'IP Attrition'!BI$68),VLOOKUP($F88+BI$2,$A$6:$C$106,2,FALSE)*VLOOKUP(BI$1,'Attrition Modeling'!$L$15:$N$27,IF(BI$2+$F21&lt;=24,2,3),FALSE)),$C$3)*(1+Projection!BK$16)*(1+IF(BI153&gt;0,'Attrition Modeling'!$N$9,0)))</f>
        <v>0</v>
      </c>
      <c r="BJ88" s="799">
        <f>BI88*(1-IFERROR(IF(BJ$69+$F88&lt;=12,SUMIFS('Attrition Modeling'!$D:$D,'Attrition Modeling'!$C:$C,'IP Attrition'!$D88,'Attrition Modeling'!$B:$B,'IP Attrition'!BJ$68),VLOOKUP($F88+BJ$2,$A$6:$C$106,2,FALSE)*VLOOKUP(BJ$1,'Attrition Modeling'!$L$15:$N$27,IF(BJ$2+$F21&lt;=24,2,3),FALSE)),$C$3)*(1+Projection!BL$16)*(1+IF(BJ153&gt;0,'Attrition Modeling'!$N$9,0)))</f>
        <v>0</v>
      </c>
      <c r="BK88" s="799">
        <f>BJ88*(1-IFERROR(IF(BK$69+$F88&lt;=12,SUMIFS('Attrition Modeling'!$D:$D,'Attrition Modeling'!$C:$C,'IP Attrition'!$D88,'Attrition Modeling'!$B:$B,'IP Attrition'!BK$68),VLOOKUP($F88+BK$2,$A$6:$C$106,2,FALSE)*VLOOKUP(BK$1,'Attrition Modeling'!$L$15:$N$27,IF(BK$2+$F21&lt;=24,2,3),FALSE)),$C$3)*(1+Projection!BM$16)*(1+IF(BK153&gt;0,'Attrition Modeling'!$N$9,0)))</f>
        <v>0</v>
      </c>
      <c r="BL88" s="799">
        <f>BK88*(1-IFERROR(IF(BL$69+$F88&lt;=12,SUMIFS('Attrition Modeling'!$D:$D,'Attrition Modeling'!$C:$C,'IP Attrition'!$D88,'Attrition Modeling'!$B:$B,'IP Attrition'!BL$68),VLOOKUP($F88+BL$2,$A$6:$C$106,2,FALSE)*VLOOKUP(BL$1,'Attrition Modeling'!$L$15:$N$27,IF(BL$2+$F21&lt;=24,2,3),FALSE)),$C$3)*(1+Projection!BN$16)*(1+IF(BL153&gt;0,'Attrition Modeling'!$N$9,0)))</f>
        <v>0</v>
      </c>
      <c r="BM88" s="799">
        <f>BL88*(1-IFERROR(IF(BM$69+$F88&lt;=12,SUMIFS('Attrition Modeling'!$D:$D,'Attrition Modeling'!$C:$C,'IP Attrition'!$D88,'Attrition Modeling'!$B:$B,'IP Attrition'!BM$68),VLOOKUP($F88+BM$2,$A$6:$C$106,2,FALSE)*VLOOKUP(BM$1,'Attrition Modeling'!$L$15:$N$27,IF(BM$2+$F21&lt;=24,2,3),FALSE)),$C$3)*(1+Projection!BO$16)*(1+IF(BM153&gt;0,'Attrition Modeling'!$N$9,0)))</f>
        <v>0</v>
      </c>
      <c r="BN88" s="799">
        <f>BM88*(1-IFERROR(IF(BN$69+$F88&lt;=12,SUMIFS('Attrition Modeling'!$D:$D,'Attrition Modeling'!$C:$C,'IP Attrition'!$D88,'Attrition Modeling'!$B:$B,'IP Attrition'!BN$68),VLOOKUP($F88+BN$2,$A$6:$C$106,2,FALSE)*VLOOKUP(BN$1,'Attrition Modeling'!$L$15:$N$27,IF(BN$2+$F21&lt;=24,2,3),FALSE)),$C$3)*(1+Projection!BP$16)*(1+IF(BN153&gt;0,'Attrition Modeling'!$N$9,0)))</f>
        <v>0</v>
      </c>
      <c r="BO88" s="799">
        <f>BN88*(1-IFERROR(IF(BO$69+$F88&lt;=12,SUMIFS('Attrition Modeling'!$D:$D,'Attrition Modeling'!$C:$C,'IP Attrition'!$D88,'Attrition Modeling'!$B:$B,'IP Attrition'!BO$68),VLOOKUP($F88+BO$2,$A$6:$C$106,2,FALSE)*VLOOKUP(BO$1,'Attrition Modeling'!$L$15:$N$27,IF(BO$2+$F21&lt;=24,2,3),FALSE)),$C$3)*(1+Projection!BV$16)*(1+IF(BO153&gt;0,'Attrition Modeling'!$N$9,0)))</f>
        <v>0</v>
      </c>
      <c r="BP88" s="799">
        <f>BO88*(1-IFERROR(IF(BP$69+$F88&lt;=12,SUMIFS('Attrition Modeling'!$D:$D,'Attrition Modeling'!$C:$C,'IP Attrition'!$D88,'Attrition Modeling'!$B:$B,'IP Attrition'!BP$68),VLOOKUP($F88+BP$2,$A$6:$C$106,2,FALSE)*VLOOKUP(BP$1,'Attrition Modeling'!$L$15:$N$27,IF(BP$2+$F21&lt;=24,2,3),FALSE)),$C$3)*(1+Projection!BW$16)*(1+IF(BP153&gt;0,'Attrition Modeling'!$N$9,0)))</f>
        <v>0</v>
      </c>
      <c r="BQ88" s="799">
        <f>BP88*(1-IFERROR(IF(BQ$69+$F88&lt;=12,SUMIFS('Attrition Modeling'!$D:$D,'Attrition Modeling'!$C:$C,'IP Attrition'!$D88,'Attrition Modeling'!$B:$B,'IP Attrition'!BQ$68),VLOOKUP($F88+BQ$2,$A$6:$C$106,2,FALSE)*VLOOKUP(BQ$1,'Attrition Modeling'!$L$15:$N$27,IF(BQ$2+$F21&lt;=24,2,3),FALSE)),$C$3)*(1+Projection!BX$16)*(1+IF(BQ153&gt;0,'Attrition Modeling'!$N$9,0)))</f>
        <v>0</v>
      </c>
      <c r="BR88" s="799">
        <f>BQ88*(1-IFERROR(IF(BR$69+$F88&lt;=12,SUMIFS('Attrition Modeling'!$D:$D,'Attrition Modeling'!$C:$C,'IP Attrition'!$D88,'Attrition Modeling'!$B:$B,'IP Attrition'!BR$68),VLOOKUP($F88+BR$2,$A$6:$C$106,2,FALSE)*VLOOKUP(BR$1,'Attrition Modeling'!$L$15:$N$27,IF(BR$2+$F21&lt;=24,2,3),FALSE)),$C$3)*(1+Projection!BY$16)*(1+IF(BR153&gt;0,'Attrition Modeling'!$N$9,0)))</f>
        <v>0</v>
      </c>
      <c r="BS88" s="799">
        <f>BR88*(1-IFERROR(IF(BS$69+$F88&lt;=12,SUMIFS('Attrition Modeling'!$D:$D,'Attrition Modeling'!$C:$C,'IP Attrition'!$D88,'Attrition Modeling'!$B:$B,'IP Attrition'!BS$68),VLOOKUP($F88+BS$2,$A$6:$C$106,2,FALSE)*VLOOKUP(BS$1,'Attrition Modeling'!$L$15:$N$27,IF(BS$2+$F21&lt;=24,2,3),FALSE)),$C$3)*(1+Projection!BZ$16)*(1+IF(BS153&gt;0,'Attrition Modeling'!$N$9,0)))</f>
        <v>0</v>
      </c>
      <c r="BT88" s="799" t="e">
        <f>BS88*(1-IFERROR(IF(BT$69+$F88&lt;=12,SUMIFS('Attrition Modeling'!$D:$D,'Attrition Modeling'!$C:$C,'IP Attrition'!$D88,'Attrition Modeling'!$B:$B,'IP Attrition'!BT$68),VLOOKUP($F88+BT$2,$A$6:$C$106,2,FALSE)*VLOOKUP(BT$1,'Attrition Modeling'!$L$15:$N$27,IF(BT$2+$F21&lt;=24,2,3),FALSE)),$C$3)*(1+Projection!CA$16)*(1+IF(BT153&gt;0,'Attrition Modeling'!$N$9,0)))</f>
        <v>#REF!</v>
      </c>
      <c r="BU88" s="799" t="e">
        <f>BT88*(1-IFERROR(IF(BU$69+$F88&lt;=12,SUMIFS('Attrition Modeling'!$D:$D,'Attrition Modeling'!$C:$C,'IP Attrition'!$D88,'Attrition Modeling'!$B:$B,'IP Attrition'!BU$68),VLOOKUP($F88+BU$2,$A$6:$C$106,2,FALSE)*VLOOKUP(BU$1,'Attrition Modeling'!$L$15:$N$27,IF(BU$2+$F21&lt;=24,2,3),FALSE)),$C$3)*(1+Projection!CB$16)*(1+IF(BU153&gt;0,'Attrition Modeling'!$N$9,0)))</f>
        <v>#REF!</v>
      </c>
    </row>
    <row r="89" spans="1:73" ht="14.25" customHeight="1" x14ac:dyDescent="0.2">
      <c r="A89" s="9">
        <v>82</v>
      </c>
      <c r="B89" s="25">
        <f>MAX('Attrition Modeling'!H86,$C$3)*(1-Summary!$C$20)</f>
        <v>0.02</v>
      </c>
      <c r="C89" s="24" t="e">
        <f t="shared" si="3"/>
        <v>#DIV/0!</v>
      </c>
      <c r="D89" s="11">
        <f t="shared" ref="D89:E89" si="27">D22</f>
        <v>-19</v>
      </c>
      <c r="E89" s="25">
        <f t="shared" si="27"/>
        <v>0</v>
      </c>
      <c r="F89" s="11">
        <f t="shared" si="9"/>
        <v>19</v>
      </c>
      <c r="G89" s="799">
        <f>Summary!$C$24*$E89</f>
        <v>0</v>
      </c>
      <c r="H89" s="799">
        <f>G89*(1-IFERROR(IF(H$69+$F89&lt;=12,SUMIFS('Attrition Modeling'!$D:$D,'Attrition Modeling'!$C:$C,'IP Attrition'!$D89,'Attrition Modeling'!$B:$B,'IP Attrition'!H$68),VLOOKUP($F89+H$2,$A$6:$C$106,2,FALSE)*VLOOKUP(H$1,'Attrition Modeling'!$L$15:$N$27,IF(H$2+$F22&lt;=24,2,3),FALSE)),$C$3)*(1+Projection!J$16)*(1+IF(H154&gt;0,'Attrition Modeling'!$N$9,0)))</f>
        <v>0</v>
      </c>
      <c r="I89" s="799">
        <f>H89*(1-IFERROR(IF(I$69+$F89&lt;=12,SUMIFS('Attrition Modeling'!$D:$D,'Attrition Modeling'!$C:$C,'IP Attrition'!$D89,'Attrition Modeling'!$B:$B,'IP Attrition'!I$68),VLOOKUP($F89+I$2,$A$6:$C$106,2,FALSE)*VLOOKUP(I$1,'Attrition Modeling'!$L$15:$N$27,IF(I$2+$F22&lt;=24,2,3),FALSE)),$C$3)*(1+Projection!K$16)*(1+IF(I154&gt;0,'Attrition Modeling'!$N$9,0)))</f>
        <v>0</v>
      </c>
      <c r="J89" s="799">
        <f>I89*(1-IFERROR(IF(J$69+$F89&lt;=12,SUMIFS('Attrition Modeling'!$D:$D,'Attrition Modeling'!$C:$C,'IP Attrition'!$D89,'Attrition Modeling'!$B:$B,'IP Attrition'!J$68),VLOOKUP($F89+J$2,$A$6:$C$106,2,FALSE)*VLOOKUP(J$1,'Attrition Modeling'!$L$15:$N$27,IF(J$2+$F22&lt;=24,2,3),FALSE)),$C$3)*(1+Projection!L$16)*(1+IF(J154&gt;0,'Attrition Modeling'!$N$9,0)))</f>
        <v>0</v>
      </c>
      <c r="K89" s="799">
        <f>J89*(1-IFERROR(IF(K$69+$F89&lt;=12,SUMIFS('Attrition Modeling'!$D:$D,'Attrition Modeling'!$C:$C,'IP Attrition'!$D89,'Attrition Modeling'!$B:$B,'IP Attrition'!K$68),VLOOKUP($F89+K$2,$A$6:$C$106,2,FALSE)*VLOOKUP(K$1,'Attrition Modeling'!$L$15:$N$27,IF(K$2+$F22&lt;=24,2,3),FALSE)),$C$3)*(1+Projection!M$16)*(1+IF(K154&gt;0,'Attrition Modeling'!$N$9,0)))</f>
        <v>0</v>
      </c>
      <c r="L89" s="799">
        <f>K89*(1-IFERROR(IF(L$69+$F89&lt;=12,SUMIFS('Attrition Modeling'!$D:$D,'Attrition Modeling'!$C:$C,'IP Attrition'!$D89,'Attrition Modeling'!$B:$B,'IP Attrition'!L$68),VLOOKUP($F89+L$2,$A$6:$C$106,2,FALSE)*VLOOKUP(L$1,'Attrition Modeling'!$L$15:$N$27,IF(L$2+$F22&lt;=24,2,3),FALSE)),$C$3)*(1+Projection!N$16)*(1+IF(L154&gt;0,'Attrition Modeling'!$N$9,0)))</f>
        <v>0</v>
      </c>
      <c r="M89" s="799">
        <f>L89*(1-IFERROR(IF(M$69+$F89&lt;=12,SUMIFS('Attrition Modeling'!$D:$D,'Attrition Modeling'!$C:$C,'IP Attrition'!$D89,'Attrition Modeling'!$B:$B,'IP Attrition'!M$68),VLOOKUP($F89+M$2,$A$6:$C$106,2,FALSE)*VLOOKUP(M$1,'Attrition Modeling'!$L$15:$N$27,IF(M$2+$F22&lt;=24,2,3),FALSE)),$C$3)*(1+Projection!O$16)*(1+IF(M154&gt;0,'Attrition Modeling'!$N$9,0)))</f>
        <v>0</v>
      </c>
      <c r="N89" s="799">
        <f>M89*(1-IFERROR(IF(N$69+$F89&lt;=12,SUMIFS('Attrition Modeling'!$D:$D,'Attrition Modeling'!$C:$C,'IP Attrition'!$D89,'Attrition Modeling'!$B:$B,'IP Attrition'!N$68),VLOOKUP($F89+N$2,$A$6:$C$106,2,FALSE)*VLOOKUP(N$1,'Attrition Modeling'!$L$15:$N$27,IF(N$2+$F22&lt;=24,2,3),FALSE)),$C$3)*(1+Projection!P$16)*(1+IF(N154&gt;0,'Attrition Modeling'!$N$9,0)))</f>
        <v>0</v>
      </c>
      <c r="O89" s="799">
        <f>N89*(1-IFERROR(IF(O$69+$F89&lt;=12,SUMIFS('Attrition Modeling'!$D:$D,'Attrition Modeling'!$C:$C,'IP Attrition'!$D89,'Attrition Modeling'!$B:$B,'IP Attrition'!O$68),VLOOKUP($F89+O$2,$A$6:$C$106,2,FALSE)*VLOOKUP(O$1,'Attrition Modeling'!$L$15:$N$27,IF(O$2+$F22&lt;=24,2,3),FALSE)),$C$3)*(1+Projection!Q$16)*(1+IF(O154&gt;0,'Attrition Modeling'!$N$9,0)))</f>
        <v>0</v>
      </c>
      <c r="P89" s="799">
        <f>O89*(1-IFERROR(IF(P$69+$F89&lt;=12,SUMIFS('Attrition Modeling'!$D:$D,'Attrition Modeling'!$C:$C,'IP Attrition'!$D89,'Attrition Modeling'!$B:$B,'IP Attrition'!P$68),VLOOKUP($F89+P$2,$A$6:$C$106,2,FALSE)*VLOOKUP(P$1,'Attrition Modeling'!$L$15:$N$27,IF(P$2+$F22&lt;=24,2,3),FALSE)),$C$3)*(1+Projection!R$16)*(1+IF(P154&gt;0,'Attrition Modeling'!$N$9,0)))</f>
        <v>0</v>
      </c>
      <c r="Q89" s="799">
        <f>P89*(1-IFERROR(IF(Q$69+$F89&lt;=12,SUMIFS('Attrition Modeling'!$D:$D,'Attrition Modeling'!$C:$C,'IP Attrition'!$D89,'Attrition Modeling'!$B:$B,'IP Attrition'!Q$68),VLOOKUP($F89+Q$2,$A$6:$C$106,2,FALSE)*VLOOKUP(Q$1,'Attrition Modeling'!$L$15:$N$27,IF(Q$2+$F22&lt;=24,2,3),FALSE)),$C$3)*(1+Projection!S$16)*(1+IF(Q154&gt;0,'Attrition Modeling'!$N$9,0)))</f>
        <v>0</v>
      </c>
      <c r="R89" s="799">
        <f>Q89*(1-IFERROR(IF(R$69+$F89&lt;=12,SUMIFS('Attrition Modeling'!$D:$D,'Attrition Modeling'!$C:$C,'IP Attrition'!$D89,'Attrition Modeling'!$B:$B,'IP Attrition'!R$68),VLOOKUP($F89+R$2,$A$6:$C$106,2,FALSE)*VLOOKUP(R$1,'Attrition Modeling'!$L$15:$N$27,IF(R$2+$F22&lt;=24,2,3),FALSE)),$C$3)*(1+Projection!T$16)*(1+IF(R154&gt;0,'Attrition Modeling'!$N$9,0)))</f>
        <v>0</v>
      </c>
      <c r="S89" s="799">
        <f>R89*(1-IFERROR(IF(S$69+$F89&lt;=12,SUMIFS('Attrition Modeling'!$D:$D,'Attrition Modeling'!$C:$C,'IP Attrition'!$D89,'Attrition Modeling'!$B:$B,'IP Attrition'!S$68),VLOOKUP($F89+S$2,$A$6:$C$106,2,FALSE)*VLOOKUP(S$1,'Attrition Modeling'!$L$15:$N$27,IF(S$2+$F22&lt;=24,2,3),FALSE)),$C$3)*(1+Projection!U$16)*(1+IF(S154&gt;0,'Attrition Modeling'!$N$9,0)))</f>
        <v>0</v>
      </c>
      <c r="T89" s="799">
        <f>S89*(1-IFERROR(IF(T$69+$F89&lt;=12,SUMIFS('Attrition Modeling'!$D:$D,'Attrition Modeling'!$C:$C,'IP Attrition'!$D89,'Attrition Modeling'!$B:$B,'IP Attrition'!T$68),VLOOKUP($F89+T$2,$A$6:$C$106,2,FALSE)*VLOOKUP(T$1,'Attrition Modeling'!$L$15:$N$27,IF(T$2+$F22&lt;=24,2,3),FALSE)),$C$3)*(1+Projection!V$16)*(1+IF(T154&gt;0,'Attrition Modeling'!$N$9,0)))</f>
        <v>0</v>
      </c>
      <c r="U89" s="799">
        <f>T89*(1-IFERROR(IF(U$69+$F89&lt;=12,SUMIFS('Attrition Modeling'!$D:$D,'Attrition Modeling'!$C:$C,'IP Attrition'!$D89,'Attrition Modeling'!$B:$B,'IP Attrition'!U$68),VLOOKUP($F89+U$2,$A$6:$C$106,2,FALSE)*VLOOKUP(U$1,'Attrition Modeling'!$L$15:$N$27,IF(U$2+$F22&lt;=24,2,3),FALSE)),$C$3)*(1+Projection!W$16)*(1+IF(U154&gt;0,'Attrition Modeling'!$N$9,0)))</f>
        <v>0</v>
      </c>
      <c r="V89" s="799">
        <f>U89*(1-IFERROR(IF(V$69+$F89&lt;=12,SUMIFS('Attrition Modeling'!$D:$D,'Attrition Modeling'!$C:$C,'IP Attrition'!$D89,'Attrition Modeling'!$B:$B,'IP Attrition'!V$68),VLOOKUP($F89+V$2,$A$6:$C$106,2,FALSE)*VLOOKUP(V$1,'Attrition Modeling'!$L$15:$N$27,IF(V$2+$F22&lt;=24,2,3),FALSE)),$C$3)*(1+Projection!X$16)*(1+IF(V154&gt;0,'Attrition Modeling'!$N$9,0)))</f>
        <v>0</v>
      </c>
      <c r="W89" s="799">
        <f>V89*(1-IFERROR(IF(W$69+$F89&lt;=12,SUMIFS('Attrition Modeling'!$D:$D,'Attrition Modeling'!$C:$C,'IP Attrition'!$D89,'Attrition Modeling'!$B:$B,'IP Attrition'!W$68),VLOOKUP($F89+W$2,$A$6:$C$106,2,FALSE)*VLOOKUP(W$1,'Attrition Modeling'!$L$15:$N$27,IF(W$2+$F22&lt;=24,2,3),FALSE)),$C$3)*(1+Projection!Y$16)*(1+IF(W154&gt;0,'Attrition Modeling'!$N$9,0)))</f>
        <v>0</v>
      </c>
      <c r="X89" s="799">
        <f>W89*(1-IFERROR(IF(X$69+$F89&lt;=12,SUMIFS('Attrition Modeling'!$D:$D,'Attrition Modeling'!$C:$C,'IP Attrition'!$D89,'Attrition Modeling'!$B:$B,'IP Attrition'!X$68),VLOOKUP($F89+X$2,$A$6:$C$106,2,FALSE)*VLOOKUP(X$1,'Attrition Modeling'!$L$15:$N$27,IF(X$2+$F22&lt;=24,2,3),FALSE)),$C$3)*(1+Projection!Z$16)*(1+IF(X154&gt;0,'Attrition Modeling'!$N$9,0)))</f>
        <v>0</v>
      </c>
      <c r="Y89" s="799">
        <f>X89*(1-IFERROR(IF(Y$69+$F89&lt;=12,SUMIFS('Attrition Modeling'!$D:$D,'Attrition Modeling'!$C:$C,'IP Attrition'!$D89,'Attrition Modeling'!$B:$B,'IP Attrition'!Y$68),VLOOKUP($F89+Y$2,$A$6:$C$106,2,FALSE)*VLOOKUP(Y$1,'Attrition Modeling'!$L$15:$N$27,IF(Y$2+$F22&lt;=24,2,3),FALSE)),$C$3)*(1+Projection!AA$16)*(1+IF(Y154&gt;0,'Attrition Modeling'!$N$9,0)))</f>
        <v>0</v>
      </c>
      <c r="Z89" s="799">
        <f>Y89*(1-IFERROR(IF(Z$69+$F89&lt;=12,SUMIFS('Attrition Modeling'!$D:$D,'Attrition Modeling'!$C:$C,'IP Attrition'!$D89,'Attrition Modeling'!$B:$B,'IP Attrition'!Z$68),VLOOKUP($F89+Z$2,$A$6:$C$106,2,FALSE)*VLOOKUP(Z$1,'Attrition Modeling'!$L$15:$N$27,IF(Z$2+$F22&lt;=24,2,3),FALSE)),$C$3)*(1+Projection!AB$16)*(1+IF(Z154&gt;0,'Attrition Modeling'!$N$9,0)))</f>
        <v>0</v>
      </c>
      <c r="AA89" s="799">
        <f>Z89*(1-IFERROR(IF(AA$69+$F89&lt;=12,SUMIFS('Attrition Modeling'!$D:$D,'Attrition Modeling'!$C:$C,'IP Attrition'!$D89,'Attrition Modeling'!$B:$B,'IP Attrition'!AA$68),VLOOKUP($F89+AA$2,$A$6:$C$106,2,FALSE)*VLOOKUP(AA$1,'Attrition Modeling'!$L$15:$N$27,IF(AA$2+$F22&lt;=24,2,3),FALSE)),$C$3)*(1+Projection!AC$16)*(1+IF(AA154&gt;0,'Attrition Modeling'!$N$9,0)))</f>
        <v>0</v>
      </c>
      <c r="AB89" s="799">
        <f>AA89*(1-IFERROR(IF(AB$69+$F89&lt;=12,SUMIFS('Attrition Modeling'!$D:$D,'Attrition Modeling'!$C:$C,'IP Attrition'!$D89,'Attrition Modeling'!$B:$B,'IP Attrition'!AB$68),VLOOKUP($F89+AB$2,$A$6:$C$106,2,FALSE)*VLOOKUP(AB$1,'Attrition Modeling'!$L$15:$N$27,IF(AB$2+$F22&lt;=24,2,3),FALSE)),$C$3)*(1+Projection!AD$16)*(1+IF(AB154&gt;0,'Attrition Modeling'!$N$9,0)))</f>
        <v>0</v>
      </c>
      <c r="AC89" s="799">
        <f>AB89*(1-IFERROR(IF(AC$69+$F89&lt;=12,SUMIFS('Attrition Modeling'!$D:$D,'Attrition Modeling'!$C:$C,'IP Attrition'!$D89,'Attrition Modeling'!$B:$B,'IP Attrition'!AC$68),VLOOKUP($F89+AC$2,$A$6:$C$106,2,FALSE)*VLOOKUP(AC$1,'Attrition Modeling'!$L$15:$N$27,IF(AC$2+$F22&lt;=24,2,3),FALSE)),$C$3)*(1+Projection!AE$16)*(1+IF(AC154&gt;0,'Attrition Modeling'!$N$9,0)))</f>
        <v>0</v>
      </c>
      <c r="AD89" s="799">
        <f>AC89*(1-IFERROR(IF(AD$69+$F89&lt;=12,SUMIFS('Attrition Modeling'!$D:$D,'Attrition Modeling'!$C:$C,'IP Attrition'!$D89,'Attrition Modeling'!$B:$B,'IP Attrition'!AD$68),VLOOKUP($F89+AD$2,$A$6:$C$106,2,FALSE)*VLOOKUP(AD$1,'Attrition Modeling'!$L$15:$N$27,IF(AD$2+$F22&lt;=24,2,3),FALSE)),$C$3)*(1+Projection!AF$16)*(1+IF(AD154&gt;0,'Attrition Modeling'!$N$9,0)))</f>
        <v>0</v>
      </c>
      <c r="AE89" s="799">
        <f>AD89*(1-IFERROR(IF(AE$69+$F89&lt;=12,SUMIFS('Attrition Modeling'!$D:$D,'Attrition Modeling'!$C:$C,'IP Attrition'!$D89,'Attrition Modeling'!$B:$B,'IP Attrition'!AE$68),VLOOKUP($F89+AE$2,$A$6:$C$106,2,FALSE)*VLOOKUP(AE$1,'Attrition Modeling'!$L$15:$N$27,IF(AE$2+$F22&lt;=24,2,3),FALSE)),$C$3)*(1+Projection!AG$16)*(1+IF(AE154&gt;0,'Attrition Modeling'!$N$9,0)))</f>
        <v>0</v>
      </c>
      <c r="AF89" s="799">
        <f>AE89*(1-IFERROR(IF(AF$69+$F89&lt;=12,SUMIFS('Attrition Modeling'!$D:$D,'Attrition Modeling'!$C:$C,'IP Attrition'!$D89,'Attrition Modeling'!$B:$B,'IP Attrition'!AF$68),VLOOKUP($F89+AF$2,$A$6:$C$106,2,FALSE)*VLOOKUP(AF$1,'Attrition Modeling'!$L$15:$N$27,IF(AF$2+$F22&lt;=24,2,3),FALSE)),$C$3)*(1+Projection!AH$16)*(1+IF(AF154&gt;0,'Attrition Modeling'!$N$9,0)))</f>
        <v>0</v>
      </c>
      <c r="AG89" s="799">
        <f>AF89*(1-IFERROR(IF(AG$69+$F89&lt;=12,SUMIFS('Attrition Modeling'!$D:$D,'Attrition Modeling'!$C:$C,'IP Attrition'!$D89,'Attrition Modeling'!$B:$B,'IP Attrition'!AG$68),VLOOKUP($F89+AG$2,$A$6:$C$106,2,FALSE)*VLOOKUP(AG$1,'Attrition Modeling'!$L$15:$N$27,IF(AG$2+$F22&lt;=24,2,3),FALSE)),$C$3)*(1+Projection!AI$16)*(1+IF(AG154&gt;0,'Attrition Modeling'!$N$9,0)))</f>
        <v>0</v>
      </c>
      <c r="AH89" s="799">
        <f>AG89*(1-IFERROR(IF(AH$69+$F89&lt;=12,SUMIFS('Attrition Modeling'!$D:$D,'Attrition Modeling'!$C:$C,'IP Attrition'!$D89,'Attrition Modeling'!$B:$B,'IP Attrition'!AH$68),VLOOKUP($F89+AH$2,$A$6:$C$106,2,FALSE)*VLOOKUP(AH$1,'Attrition Modeling'!$L$15:$N$27,IF(AH$2+$F22&lt;=24,2,3),FALSE)),$C$3)*(1+Projection!AJ$16)*(1+IF(AH154&gt;0,'Attrition Modeling'!$N$9,0)))</f>
        <v>0</v>
      </c>
      <c r="AI89" s="799">
        <f>AH89*(1-IFERROR(IF(AI$69+$F89&lt;=12,SUMIFS('Attrition Modeling'!$D:$D,'Attrition Modeling'!$C:$C,'IP Attrition'!$D89,'Attrition Modeling'!$B:$B,'IP Attrition'!AI$68),VLOOKUP($F89+AI$2,$A$6:$C$106,2,FALSE)*VLOOKUP(AI$1,'Attrition Modeling'!$L$15:$N$27,IF(AI$2+$F22&lt;=24,2,3),FALSE)),$C$3)*(1+Projection!AK$16)*(1+IF(AI154&gt;0,'Attrition Modeling'!$N$9,0)))</f>
        <v>0</v>
      </c>
      <c r="AJ89" s="799">
        <f>AI89*(1-IFERROR(IF(AJ$69+$F89&lt;=12,SUMIFS('Attrition Modeling'!$D:$D,'Attrition Modeling'!$C:$C,'IP Attrition'!$D89,'Attrition Modeling'!$B:$B,'IP Attrition'!AJ$68),VLOOKUP($F89+AJ$2,$A$6:$C$106,2,FALSE)*VLOOKUP(AJ$1,'Attrition Modeling'!$L$15:$N$27,IF(AJ$2+$F22&lt;=24,2,3),FALSE)),$C$3)*(1+Projection!AL$16)*(1+IF(AJ154&gt;0,'Attrition Modeling'!$N$9,0)))</f>
        <v>0</v>
      </c>
      <c r="AK89" s="799">
        <f>AJ89*(1-IFERROR(IF(AK$69+$F89&lt;=12,SUMIFS('Attrition Modeling'!$D:$D,'Attrition Modeling'!$C:$C,'IP Attrition'!$D89,'Attrition Modeling'!$B:$B,'IP Attrition'!AK$68),VLOOKUP($F89+AK$2,$A$6:$C$106,2,FALSE)*VLOOKUP(AK$1,'Attrition Modeling'!$L$15:$N$27,IF(AK$2+$F22&lt;=24,2,3),FALSE)),$C$3)*(1+Projection!AM$16)*(1+IF(AK154&gt;0,'Attrition Modeling'!$N$9,0)))</f>
        <v>0</v>
      </c>
      <c r="AL89" s="799">
        <f>AK89*(1-IFERROR(IF(AL$69+$F89&lt;=12,SUMIFS('Attrition Modeling'!$D:$D,'Attrition Modeling'!$C:$C,'IP Attrition'!$D89,'Attrition Modeling'!$B:$B,'IP Attrition'!AL$68),VLOOKUP($F89+AL$2,$A$6:$C$106,2,FALSE)*VLOOKUP(AL$1,'Attrition Modeling'!$L$15:$N$27,IF(AL$2+$F22&lt;=24,2,3),FALSE)),$C$3)*(1+Projection!AN$16)*(1+IF(AL154&gt;0,'Attrition Modeling'!$N$9,0)))</f>
        <v>0</v>
      </c>
      <c r="AM89" s="799">
        <f>AL89*(1-IFERROR(IF(AM$69+$F89&lt;=12,SUMIFS('Attrition Modeling'!$D:$D,'Attrition Modeling'!$C:$C,'IP Attrition'!$D89,'Attrition Modeling'!$B:$B,'IP Attrition'!AM$68),VLOOKUP($F89+AM$2,$A$6:$C$106,2,FALSE)*VLOOKUP(AM$1,'Attrition Modeling'!$L$15:$N$27,IF(AM$2+$F22&lt;=24,2,3),FALSE)),$C$3)*(1+Projection!AO$16)*(1+IF(AM154&gt;0,'Attrition Modeling'!$N$9,0)))</f>
        <v>0</v>
      </c>
      <c r="AN89" s="799">
        <f>AM89*(1-IFERROR(IF(AN$69+$F89&lt;=12,SUMIFS('Attrition Modeling'!$D:$D,'Attrition Modeling'!$C:$C,'IP Attrition'!$D89,'Attrition Modeling'!$B:$B,'IP Attrition'!AN$68),VLOOKUP($F89+AN$2,$A$6:$C$106,2,FALSE)*VLOOKUP(AN$1,'Attrition Modeling'!$L$15:$N$27,IF(AN$2+$F22&lt;=24,2,3),FALSE)),$C$3)*(1+Projection!AP$16)*(1+IF(AN154&gt;0,'Attrition Modeling'!$N$9,0)))</f>
        <v>0</v>
      </c>
      <c r="AO89" s="799">
        <f>AN89*(1-IFERROR(IF(AO$69+$F89&lt;=12,SUMIFS('Attrition Modeling'!$D:$D,'Attrition Modeling'!$C:$C,'IP Attrition'!$D89,'Attrition Modeling'!$B:$B,'IP Attrition'!AO$68),VLOOKUP($F89+AO$2,$A$6:$C$106,2,FALSE)*VLOOKUP(AO$1,'Attrition Modeling'!$L$15:$N$27,IF(AO$2+$F22&lt;=24,2,3),FALSE)),$C$3)*(1+Projection!AQ$16)*(1+IF(AO154&gt;0,'Attrition Modeling'!$N$9,0)))</f>
        <v>0</v>
      </c>
      <c r="AP89" s="799">
        <f>AO89*(1-IFERROR(IF(AP$69+$F89&lt;=12,SUMIFS('Attrition Modeling'!$D:$D,'Attrition Modeling'!$C:$C,'IP Attrition'!$D89,'Attrition Modeling'!$B:$B,'IP Attrition'!AP$68),VLOOKUP($F89+AP$2,$A$6:$C$106,2,FALSE)*VLOOKUP(AP$1,'Attrition Modeling'!$L$15:$N$27,IF(AP$2+$F22&lt;=24,2,3),FALSE)),$C$3)*(1+Projection!AR$16)*(1+IF(AP154&gt;0,'Attrition Modeling'!$N$9,0)))</f>
        <v>0</v>
      </c>
      <c r="AQ89" s="799">
        <f>AP89*(1-IFERROR(IF(AQ$69+$F89&lt;=12,SUMIFS('Attrition Modeling'!$D:$D,'Attrition Modeling'!$C:$C,'IP Attrition'!$D89,'Attrition Modeling'!$B:$B,'IP Attrition'!AQ$68),VLOOKUP($F89+AQ$2,$A$6:$C$106,2,FALSE)*VLOOKUP(AQ$1,'Attrition Modeling'!$L$15:$N$27,IF(AQ$2+$F22&lt;=24,2,3),FALSE)),$C$3)*(1+Projection!AS$16)*(1+IF(AQ154&gt;0,'Attrition Modeling'!$N$9,0)))</f>
        <v>0</v>
      </c>
      <c r="AR89" s="799">
        <f>AQ89*(1-IFERROR(IF(AR$69+$F89&lt;=12,SUMIFS('Attrition Modeling'!$D:$D,'Attrition Modeling'!$C:$C,'IP Attrition'!$D89,'Attrition Modeling'!$B:$B,'IP Attrition'!AR$68),VLOOKUP($F89+AR$2,$A$6:$C$106,2,FALSE)*VLOOKUP(AR$1,'Attrition Modeling'!$L$15:$N$27,IF(AR$2+$F22&lt;=24,2,3),FALSE)),$C$3)*(1+Projection!AT$16)*(1+IF(AR154&gt;0,'Attrition Modeling'!$N$9,0)))</f>
        <v>0</v>
      </c>
      <c r="AS89" s="799">
        <f>AR89*(1-IFERROR(IF(AS$69+$F89&lt;=12,SUMIFS('Attrition Modeling'!$D:$D,'Attrition Modeling'!$C:$C,'IP Attrition'!$D89,'Attrition Modeling'!$B:$B,'IP Attrition'!AS$68),VLOOKUP($F89+AS$2,$A$6:$C$106,2,FALSE)*VLOOKUP(AS$1,'Attrition Modeling'!$L$15:$N$27,IF(AS$2+$F22&lt;=24,2,3),FALSE)),$C$3)*(1+Projection!AU$16)*(1+IF(AS154&gt;0,'Attrition Modeling'!$N$9,0)))</f>
        <v>0</v>
      </c>
      <c r="AT89" s="799">
        <f>AS89*(1-IFERROR(IF(AT$69+$F89&lt;=12,SUMIFS('Attrition Modeling'!$D:$D,'Attrition Modeling'!$C:$C,'IP Attrition'!$D89,'Attrition Modeling'!$B:$B,'IP Attrition'!AT$68),VLOOKUP($F89+AT$2,$A$6:$C$106,2,FALSE)*VLOOKUP(AT$1,'Attrition Modeling'!$L$15:$N$27,IF(AT$2+$F22&lt;=24,2,3),FALSE)),$C$3)*(1+Projection!AV$16)*(1+IF(AT154&gt;0,'Attrition Modeling'!$N$9,0)))</f>
        <v>0</v>
      </c>
      <c r="AU89" s="799">
        <f>AT89*(1-IFERROR(IF(AU$69+$F89&lt;=12,SUMIFS('Attrition Modeling'!$D:$D,'Attrition Modeling'!$C:$C,'IP Attrition'!$D89,'Attrition Modeling'!$B:$B,'IP Attrition'!AU$68),VLOOKUP($F89+AU$2,$A$6:$C$106,2,FALSE)*VLOOKUP(AU$1,'Attrition Modeling'!$L$15:$N$27,IF(AU$2+$F22&lt;=24,2,3),FALSE)),$C$3)*(1+Projection!AW$16)*(1+IF(AU154&gt;0,'Attrition Modeling'!$N$9,0)))</f>
        <v>0</v>
      </c>
      <c r="AV89" s="799">
        <f>AU89*(1-IFERROR(IF(AV$69+$F89&lt;=12,SUMIFS('Attrition Modeling'!$D:$D,'Attrition Modeling'!$C:$C,'IP Attrition'!$D89,'Attrition Modeling'!$B:$B,'IP Attrition'!AV$68),VLOOKUP($F89+AV$2,$A$6:$C$106,2,FALSE)*VLOOKUP(AV$1,'Attrition Modeling'!$L$15:$N$27,IF(AV$2+$F22&lt;=24,2,3),FALSE)),$C$3)*(1+Projection!AX$16)*(1+IF(AV154&gt;0,'Attrition Modeling'!$N$9,0)))</f>
        <v>0</v>
      </c>
      <c r="AW89" s="799">
        <f>AV89*(1-IFERROR(IF(AW$69+$F89&lt;=12,SUMIFS('Attrition Modeling'!$D:$D,'Attrition Modeling'!$C:$C,'IP Attrition'!$D89,'Attrition Modeling'!$B:$B,'IP Attrition'!AW$68),VLOOKUP($F89+AW$2,$A$6:$C$106,2,FALSE)*VLOOKUP(AW$1,'Attrition Modeling'!$L$15:$N$27,IF(AW$2+$F22&lt;=24,2,3),FALSE)),$C$3)*(1+Projection!AY$16)*(1+IF(AW154&gt;0,'Attrition Modeling'!$N$9,0)))</f>
        <v>0</v>
      </c>
      <c r="AX89" s="799">
        <f>AW89*(1-IFERROR(IF(AX$69+$F89&lt;=12,SUMIFS('Attrition Modeling'!$D:$D,'Attrition Modeling'!$C:$C,'IP Attrition'!$D89,'Attrition Modeling'!$B:$B,'IP Attrition'!AX$68),VLOOKUP($F89+AX$2,$A$6:$C$106,2,FALSE)*VLOOKUP(AX$1,'Attrition Modeling'!$L$15:$N$27,IF(AX$2+$F22&lt;=24,2,3),FALSE)),$C$3)*(1+Projection!AZ$16)*(1+IF(AX154&gt;0,'Attrition Modeling'!$N$9,0)))</f>
        <v>0</v>
      </c>
      <c r="AY89" s="799">
        <f>AX89*(1-IFERROR(IF(AY$69+$F89&lt;=12,SUMIFS('Attrition Modeling'!$D:$D,'Attrition Modeling'!$C:$C,'IP Attrition'!$D89,'Attrition Modeling'!$B:$B,'IP Attrition'!AY$68),VLOOKUP($F89+AY$2,$A$6:$C$106,2,FALSE)*VLOOKUP(AY$1,'Attrition Modeling'!$L$15:$N$27,IF(AY$2+$F22&lt;=24,2,3),FALSE)),$C$3)*(1+Projection!BA$16)*(1+IF(AY154&gt;0,'Attrition Modeling'!$N$9,0)))</f>
        <v>0</v>
      </c>
      <c r="AZ89" s="799">
        <f>AY89*(1-IFERROR(IF(AZ$69+$F89&lt;=12,SUMIFS('Attrition Modeling'!$D:$D,'Attrition Modeling'!$C:$C,'IP Attrition'!$D89,'Attrition Modeling'!$B:$B,'IP Attrition'!AZ$68),VLOOKUP($F89+AZ$2,$A$6:$C$106,2,FALSE)*VLOOKUP(AZ$1,'Attrition Modeling'!$L$15:$N$27,IF(AZ$2+$F22&lt;=24,2,3),FALSE)),$C$3)*(1+Projection!BB$16)*(1+IF(AZ154&gt;0,'Attrition Modeling'!$N$9,0)))</f>
        <v>0</v>
      </c>
      <c r="BA89" s="799">
        <f>AZ89*(1-IFERROR(IF(BA$69+$F89&lt;=12,SUMIFS('Attrition Modeling'!$D:$D,'Attrition Modeling'!$C:$C,'IP Attrition'!$D89,'Attrition Modeling'!$B:$B,'IP Attrition'!BA$68),VLOOKUP($F89+BA$2,$A$6:$C$106,2,FALSE)*VLOOKUP(BA$1,'Attrition Modeling'!$L$15:$N$27,IF(BA$2+$F22&lt;=24,2,3),FALSE)),$C$3)*(1+Projection!BC$16)*(1+IF(BA154&gt;0,'Attrition Modeling'!$N$9,0)))</f>
        <v>0</v>
      </c>
      <c r="BB89" s="799">
        <f>BA89*(1-IFERROR(IF(BB$69+$F89&lt;=12,SUMIFS('Attrition Modeling'!$D:$D,'Attrition Modeling'!$C:$C,'IP Attrition'!$D89,'Attrition Modeling'!$B:$B,'IP Attrition'!BB$68),VLOOKUP($F89+BB$2,$A$6:$C$106,2,FALSE)*VLOOKUP(BB$1,'Attrition Modeling'!$L$15:$N$27,IF(BB$2+$F22&lt;=24,2,3),FALSE)),$C$3)*(1+Projection!BD$16)*(1+IF(BB154&gt;0,'Attrition Modeling'!$N$9,0)))</f>
        <v>0</v>
      </c>
      <c r="BC89" s="799">
        <f>BB89*(1-IFERROR(IF(BC$69+$F89&lt;=12,SUMIFS('Attrition Modeling'!$D:$D,'Attrition Modeling'!$C:$C,'IP Attrition'!$D89,'Attrition Modeling'!$B:$B,'IP Attrition'!BC$68),VLOOKUP($F89+BC$2,$A$6:$C$106,2,FALSE)*VLOOKUP(BC$1,'Attrition Modeling'!$L$15:$N$27,IF(BC$2+$F22&lt;=24,2,3),FALSE)),$C$3)*(1+Projection!BE$16)*(1+IF(BC154&gt;0,'Attrition Modeling'!$N$9,0)))</f>
        <v>0</v>
      </c>
      <c r="BD89" s="799">
        <f>BC89*(1-IFERROR(IF(BD$69+$F89&lt;=12,SUMIFS('Attrition Modeling'!$D:$D,'Attrition Modeling'!$C:$C,'IP Attrition'!$D89,'Attrition Modeling'!$B:$B,'IP Attrition'!BD$68),VLOOKUP($F89+BD$2,$A$6:$C$106,2,FALSE)*VLOOKUP(BD$1,'Attrition Modeling'!$L$15:$N$27,IF(BD$2+$F22&lt;=24,2,3),FALSE)),$C$3)*(1+Projection!BF$16)*(1+IF(BD154&gt;0,'Attrition Modeling'!$N$9,0)))</f>
        <v>0</v>
      </c>
      <c r="BE89" s="799">
        <f>BD89*(1-IFERROR(IF(BE$69+$F89&lt;=12,SUMIFS('Attrition Modeling'!$D:$D,'Attrition Modeling'!$C:$C,'IP Attrition'!$D89,'Attrition Modeling'!$B:$B,'IP Attrition'!BE$68),VLOOKUP($F89+BE$2,$A$6:$C$106,2,FALSE)*VLOOKUP(BE$1,'Attrition Modeling'!$L$15:$N$27,IF(BE$2+$F22&lt;=24,2,3),FALSE)),$C$3)*(1+Projection!BG$16)*(1+IF(BE154&gt;0,'Attrition Modeling'!$N$9,0)))</f>
        <v>0</v>
      </c>
      <c r="BF89" s="799">
        <f>BE89*(1-IFERROR(IF(BF$69+$F89&lt;=12,SUMIFS('Attrition Modeling'!$D:$D,'Attrition Modeling'!$C:$C,'IP Attrition'!$D89,'Attrition Modeling'!$B:$B,'IP Attrition'!BF$68),VLOOKUP($F89+BF$2,$A$6:$C$106,2,FALSE)*VLOOKUP(BF$1,'Attrition Modeling'!$L$15:$N$27,IF(BF$2+$F22&lt;=24,2,3),FALSE)),$C$3)*(1+Projection!BH$16)*(1+IF(BF154&gt;0,'Attrition Modeling'!$N$9,0)))</f>
        <v>0</v>
      </c>
      <c r="BG89" s="799">
        <f>BF89*(1-IFERROR(IF(BG$69+$F89&lt;=12,SUMIFS('Attrition Modeling'!$D:$D,'Attrition Modeling'!$C:$C,'IP Attrition'!$D89,'Attrition Modeling'!$B:$B,'IP Attrition'!BG$68),VLOOKUP($F89+BG$2,$A$6:$C$106,2,FALSE)*VLOOKUP(BG$1,'Attrition Modeling'!$L$15:$N$27,IF(BG$2+$F22&lt;=24,2,3),FALSE)),$C$3)*(1+Projection!BI$16)*(1+IF(BG154&gt;0,'Attrition Modeling'!$N$9,0)))</f>
        <v>0</v>
      </c>
      <c r="BH89" s="799">
        <f>BG89*(1-IFERROR(IF(BH$69+$F89&lt;=12,SUMIFS('Attrition Modeling'!$D:$D,'Attrition Modeling'!$C:$C,'IP Attrition'!$D89,'Attrition Modeling'!$B:$B,'IP Attrition'!BH$68),VLOOKUP($F89+BH$2,$A$6:$C$106,2,FALSE)*VLOOKUP(BH$1,'Attrition Modeling'!$L$15:$N$27,IF(BH$2+$F22&lt;=24,2,3),FALSE)),$C$3)*(1+Projection!BJ$16)*(1+IF(BH154&gt;0,'Attrition Modeling'!$N$9,0)))</f>
        <v>0</v>
      </c>
      <c r="BI89" s="799">
        <f>BH89*(1-IFERROR(IF(BI$69+$F89&lt;=12,SUMIFS('Attrition Modeling'!$D:$D,'Attrition Modeling'!$C:$C,'IP Attrition'!$D89,'Attrition Modeling'!$B:$B,'IP Attrition'!BI$68),VLOOKUP($F89+BI$2,$A$6:$C$106,2,FALSE)*VLOOKUP(BI$1,'Attrition Modeling'!$L$15:$N$27,IF(BI$2+$F22&lt;=24,2,3),FALSE)),$C$3)*(1+Projection!BK$16)*(1+IF(BI154&gt;0,'Attrition Modeling'!$N$9,0)))</f>
        <v>0</v>
      </c>
      <c r="BJ89" s="799">
        <f>BI89*(1-IFERROR(IF(BJ$69+$F89&lt;=12,SUMIFS('Attrition Modeling'!$D:$D,'Attrition Modeling'!$C:$C,'IP Attrition'!$D89,'Attrition Modeling'!$B:$B,'IP Attrition'!BJ$68),VLOOKUP($F89+BJ$2,$A$6:$C$106,2,FALSE)*VLOOKUP(BJ$1,'Attrition Modeling'!$L$15:$N$27,IF(BJ$2+$F22&lt;=24,2,3),FALSE)),$C$3)*(1+Projection!BL$16)*(1+IF(BJ154&gt;0,'Attrition Modeling'!$N$9,0)))</f>
        <v>0</v>
      </c>
      <c r="BK89" s="799">
        <f>BJ89*(1-IFERROR(IF(BK$69+$F89&lt;=12,SUMIFS('Attrition Modeling'!$D:$D,'Attrition Modeling'!$C:$C,'IP Attrition'!$D89,'Attrition Modeling'!$B:$B,'IP Attrition'!BK$68),VLOOKUP($F89+BK$2,$A$6:$C$106,2,FALSE)*VLOOKUP(BK$1,'Attrition Modeling'!$L$15:$N$27,IF(BK$2+$F22&lt;=24,2,3),FALSE)),$C$3)*(1+Projection!BM$16)*(1+IF(BK154&gt;0,'Attrition Modeling'!$N$9,0)))</f>
        <v>0</v>
      </c>
      <c r="BL89" s="799">
        <f>BK89*(1-IFERROR(IF(BL$69+$F89&lt;=12,SUMIFS('Attrition Modeling'!$D:$D,'Attrition Modeling'!$C:$C,'IP Attrition'!$D89,'Attrition Modeling'!$B:$B,'IP Attrition'!BL$68),VLOOKUP($F89+BL$2,$A$6:$C$106,2,FALSE)*VLOOKUP(BL$1,'Attrition Modeling'!$L$15:$N$27,IF(BL$2+$F22&lt;=24,2,3),FALSE)),$C$3)*(1+Projection!BN$16)*(1+IF(BL154&gt;0,'Attrition Modeling'!$N$9,0)))</f>
        <v>0</v>
      </c>
      <c r="BM89" s="799">
        <f>BL89*(1-IFERROR(IF(BM$69+$F89&lt;=12,SUMIFS('Attrition Modeling'!$D:$D,'Attrition Modeling'!$C:$C,'IP Attrition'!$D89,'Attrition Modeling'!$B:$B,'IP Attrition'!BM$68),VLOOKUP($F89+BM$2,$A$6:$C$106,2,FALSE)*VLOOKUP(BM$1,'Attrition Modeling'!$L$15:$N$27,IF(BM$2+$F22&lt;=24,2,3),FALSE)),$C$3)*(1+Projection!BO$16)*(1+IF(BM154&gt;0,'Attrition Modeling'!$N$9,0)))</f>
        <v>0</v>
      </c>
      <c r="BN89" s="799">
        <f>BM89*(1-IFERROR(IF(BN$69+$F89&lt;=12,SUMIFS('Attrition Modeling'!$D:$D,'Attrition Modeling'!$C:$C,'IP Attrition'!$D89,'Attrition Modeling'!$B:$B,'IP Attrition'!BN$68),VLOOKUP($F89+BN$2,$A$6:$C$106,2,FALSE)*VLOOKUP(BN$1,'Attrition Modeling'!$L$15:$N$27,IF(BN$2+$F22&lt;=24,2,3),FALSE)),$C$3)*(1+Projection!BP$16)*(1+IF(BN154&gt;0,'Attrition Modeling'!$N$9,0)))</f>
        <v>0</v>
      </c>
      <c r="BO89" s="799">
        <f>BN89*(1-IFERROR(IF(BO$69+$F89&lt;=12,SUMIFS('Attrition Modeling'!$D:$D,'Attrition Modeling'!$C:$C,'IP Attrition'!$D89,'Attrition Modeling'!$B:$B,'IP Attrition'!BO$68),VLOOKUP($F89+BO$2,$A$6:$C$106,2,FALSE)*VLOOKUP(BO$1,'Attrition Modeling'!$L$15:$N$27,IF(BO$2+$F22&lt;=24,2,3),FALSE)),$C$3)*(1+Projection!BV$16)*(1+IF(BO154&gt;0,'Attrition Modeling'!$N$9,0)))</f>
        <v>0</v>
      </c>
      <c r="BP89" s="799">
        <f>BO89*(1-IFERROR(IF(BP$69+$F89&lt;=12,SUMIFS('Attrition Modeling'!$D:$D,'Attrition Modeling'!$C:$C,'IP Attrition'!$D89,'Attrition Modeling'!$B:$B,'IP Attrition'!BP$68),VLOOKUP($F89+BP$2,$A$6:$C$106,2,FALSE)*VLOOKUP(BP$1,'Attrition Modeling'!$L$15:$N$27,IF(BP$2+$F22&lt;=24,2,3),FALSE)),$C$3)*(1+Projection!BW$16)*(1+IF(BP154&gt;0,'Attrition Modeling'!$N$9,0)))</f>
        <v>0</v>
      </c>
      <c r="BQ89" s="799">
        <f>BP89*(1-IFERROR(IF(BQ$69+$F89&lt;=12,SUMIFS('Attrition Modeling'!$D:$D,'Attrition Modeling'!$C:$C,'IP Attrition'!$D89,'Attrition Modeling'!$B:$B,'IP Attrition'!BQ$68),VLOOKUP($F89+BQ$2,$A$6:$C$106,2,FALSE)*VLOOKUP(BQ$1,'Attrition Modeling'!$L$15:$N$27,IF(BQ$2+$F22&lt;=24,2,3),FALSE)),$C$3)*(1+Projection!BX$16)*(1+IF(BQ154&gt;0,'Attrition Modeling'!$N$9,0)))</f>
        <v>0</v>
      </c>
      <c r="BR89" s="799">
        <f>BQ89*(1-IFERROR(IF(BR$69+$F89&lt;=12,SUMIFS('Attrition Modeling'!$D:$D,'Attrition Modeling'!$C:$C,'IP Attrition'!$D89,'Attrition Modeling'!$B:$B,'IP Attrition'!BR$68),VLOOKUP($F89+BR$2,$A$6:$C$106,2,FALSE)*VLOOKUP(BR$1,'Attrition Modeling'!$L$15:$N$27,IF(BR$2+$F22&lt;=24,2,3),FALSE)),$C$3)*(1+Projection!BY$16)*(1+IF(BR154&gt;0,'Attrition Modeling'!$N$9,0)))</f>
        <v>0</v>
      </c>
      <c r="BS89" s="799">
        <f>BR89*(1-IFERROR(IF(BS$69+$F89&lt;=12,SUMIFS('Attrition Modeling'!$D:$D,'Attrition Modeling'!$C:$C,'IP Attrition'!$D89,'Attrition Modeling'!$B:$B,'IP Attrition'!BS$68),VLOOKUP($F89+BS$2,$A$6:$C$106,2,FALSE)*VLOOKUP(BS$1,'Attrition Modeling'!$L$15:$N$27,IF(BS$2+$F22&lt;=24,2,3),FALSE)),$C$3)*(1+Projection!BZ$16)*(1+IF(BS154&gt;0,'Attrition Modeling'!$N$9,0)))</f>
        <v>0</v>
      </c>
      <c r="BT89" s="799" t="e">
        <f>BS89*(1-IFERROR(IF(BT$69+$F89&lt;=12,SUMIFS('Attrition Modeling'!$D:$D,'Attrition Modeling'!$C:$C,'IP Attrition'!$D89,'Attrition Modeling'!$B:$B,'IP Attrition'!BT$68),VLOOKUP($F89+BT$2,$A$6:$C$106,2,FALSE)*VLOOKUP(BT$1,'Attrition Modeling'!$L$15:$N$27,IF(BT$2+$F22&lt;=24,2,3),FALSE)),$C$3)*(1+Projection!CA$16)*(1+IF(BT154&gt;0,'Attrition Modeling'!$N$9,0)))</f>
        <v>#REF!</v>
      </c>
      <c r="BU89" s="799" t="e">
        <f>BT89*(1-IFERROR(IF(BU$69+$F89&lt;=12,SUMIFS('Attrition Modeling'!$D:$D,'Attrition Modeling'!$C:$C,'IP Attrition'!$D89,'Attrition Modeling'!$B:$B,'IP Attrition'!BU$68),VLOOKUP($F89+BU$2,$A$6:$C$106,2,FALSE)*VLOOKUP(BU$1,'Attrition Modeling'!$L$15:$N$27,IF(BU$2+$F22&lt;=24,2,3),FALSE)),$C$3)*(1+Projection!CB$16)*(1+IF(BU154&gt;0,'Attrition Modeling'!$N$9,0)))</f>
        <v>#REF!</v>
      </c>
    </row>
    <row r="90" spans="1:73" ht="14.25" customHeight="1" x14ac:dyDescent="0.2">
      <c r="A90" s="9">
        <v>83</v>
      </c>
      <c r="B90" s="25">
        <f>MAX('Attrition Modeling'!H87,$C$3)*(1-Summary!$C$20)</f>
        <v>0.02</v>
      </c>
      <c r="C90" s="24" t="e">
        <f t="shared" si="3"/>
        <v>#DIV/0!</v>
      </c>
      <c r="D90" s="11">
        <f t="shared" ref="D90:E90" si="28">D23</f>
        <v>-20</v>
      </c>
      <c r="E90" s="25">
        <f t="shared" si="28"/>
        <v>0</v>
      </c>
      <c r="F90" s="11">
        <f t="shared" si="9"/>
        <v>20</v>
      </c>
      <c r="G90" s="799">
        <f>Summary!$C$24*$E90</f>
        <v>0</v>
      </c>
      <c r="H90" s="799">
        <f>G90*(1-IFERROR(IF(H$69+$F90&lt;=12,SUMIFS('Attrition Modeling'!$D:$D,'Attrition Modeling'!$C:$C,'IP Attrition'!$D90,'Attrition Modeling'!$B:$B,'IP Attrition'!H$68),VLOOKUP($F90+H$2,$A$6:$C$106,2,FALSE)*VLOOKUP(H$1,'Attrition Modeling'!$L$15:$N$27,IF(H$2+$F23&lt;=24,2,3),FALSE)),$C$3)*(1+Projection!J$16)*(1+IF(H155&gt;0,'Attrition Modeling'!$N$9,0)))</f>
        <v>0</v>
      </c>
      <c r="I90" s="799">
        <f>H90*(1-IFERROR(IF(I$69+$F90&lt;=12,SUMIFS('Attrition Modeling'!$D:$D,'Attrition Modeling'!$C:$C,'IP Attrition'!$D90,'Attrition Modeling'!$B:$B,'IP Attrition'!I$68),VLOOKUP($F90+I$2,$A$6:$C$106,2,FALSE)*VLOOKUP(I$1,'Attrition Modeling'!$L$15:$N$27,IF(I$2+$F23&lt;=24,2,3),FALSE)),$C$3)*(1+Projection!K$16)*(1+IF(I155&gt;0,'Attrition Modeling'!$N$9,0)))</f>
        <v>0</v>
      </c>
      <c r="J90" s="799">
        <f>I90*(1-IFERROR(IF(J$69+$F90&lt;=12,SUMIFS('Attrition Modeling'!$D:$D,'Attrition Modeling'!$C:$C,'IP Attrition'!$D90,'Attrition Modeling'!$B:$B,'IP Attrition'!J$68),VLOOKUP($F90+J$2,$A$6:$C$106,2,FALSE)*VLOOKUP(J$1,'Attrition Modeling'!$L$15:$N$27,IF(J$2+$F23&lt;=24,2,3),FALSE)),$C$3)*(1+Projection!L$16)*(1+IF(J155&gt;0,'Attrition Modeling'!$N$9,0)))</f>
        <v>0</v>
      </c>
      <c r="K90" s="799">
        <f>J90*(1-IFERROR(IF(K$69+$F90&lt;=12,SUMIFS('Attrition Modeling'!$D:$D,'Attrition Modeling'!$C:$C,'IP Attrition'!$D90,'Attrition Modeling'!$B:$B,'IP Attrition'!K$68),VLOOKUP($F90+K$2,$A$6:$C$106,2,FALSE)*VLOOKUP(K$1,'Attrition Modeling'!$L$15:$N$27,IF(K$2+$F23&lt;=24,2,3),FALSE)),$C$3)*(1+Projection!M$16)*(1+IF(K155&gt;0,'Attrition Modeling'!$N$9,0)))</f>
        <v>0</v>
      </c>
      <c r="L90" s="799">
        <f>K90*(1-IFERROR(IF(L$69+$F90&lt;=12,SUMIFS('Attrition Modeling'!$D:$D,'Attrition Modeling'!$C:$C,'IP Attrition'!$D90,'Attrition Modeling'!$B:$B,'IP Attrition'!L$68),VLOOKUP($F90+L$2,$A$6:$C$106,2,FALSE)*VLOOKUP(L$1,'Attrition Modeling'!$L$15:$N$27,IF(L$2+$F23&lt;=24,2,3),FALSE)),$C$3)*(1+Projection!N$16)*(1+IF(L155&gt;0,'Attrition Modeling'!$N$9,0)))</f>
        <v>0</v>
      </c>
      <c r="M90" s="799">
        <f>L90*(1-IFERROR(IF(M$69+$F90&lt;=12,SUMIFS('Attrition Modeling'!$D:$D,'Attrition Modeling'!$C:$C,'IP Attrition'!$D90,'Attrition Modeling'!$B:$B,'IP Attrition'!M$68),VLOOKUP($F90+M$2,$A$6:$C$106,2,FALSE)*VLOOKUP(M$1,'Attrition Modeling'!$L$15:$N$27,IF(M$2+$F23&lt;=24,2,3),FALSE)),$C$3)*(1+Projection!O$16)*(1+IF(M155&gt;0,'Attrition Modeling'!$N$9,0)))</f>
        <v>0</v>
      </c>
      <c r="N90" s="799">
        <f>M90*(1-IFERROR(IF(N$69+$F90&lt;=12,SUMIFS('Attrition Modeling'!$D:$D,'Attrition Modeling'!$C:$C,'IP Attrition'!$D90,'Attrition Modeling'!$B:$B,'IP Attrition'!N$68),VLOOKUP($F90+N$2,$A$6:$C$106,2,FALSE)*VLOOKUP(N$1,'Attrition Modeling'!$L$15:$N$27,IF(N$2+$F23&lt;=24,2,3),FALSE)),$C$3)*(1+Projection!P$16)*(1+IF(N155&gt;0,'Attrition Modeling'!$N$9,0)))</f>
        <v>0</v>
      </c>
      <c r="O90" s="799">
        <f>N90*(1-IFERROR(IF(O$69+$F90&lt;=12,SUMIFS('Attrition Modeling'!$D:$D,'Attrition Modeling'!$C:$C,'IP Attrition'!$D90,'Attrition Modeling'!$B:$B,'IP Attrition'!O$68),VLOOKUP($F90+O$2,$A$6:$C$106,2,FALSE)*VLOOKUP(O$1,'Attrition Modeling'!$L$15:$N$27,IF(O$2+$F23&lt;=24,2,3),FALSE)),$C$3)*(1+Projection!Q$16)*(1+IF(O155&gt;0,'Attrition Modeling'!$N$9,0)))</f>
        <v>0</v>
      </c>
      <c r="P90" s="799">
        <f>O90*(1-IFERROR(IF(P$69+$F90&lt;=12,SUMIFS('Attrition Modeling'!$D:$D,'Attrition Modeling'!$C:$C,'IP Attrition'!$D90,'Attrition Modeling'!$B:$B,'IP Attrition'!P$68),VLOOKUP($F90+P$2,$A$6:$C$106,2,FALSE)*VLOOKUP(P$1,'Attrition Modeling'!$L$15:$N$27,IF(P$2+$F23&lt;=24,2,3),FALSE)),$C$3)*(1+Projection!R$16)*(1+IF(P155&gt;0,'Attrition Modeling'!$N$9,0)))</f>
        <v>0</v>
      </c>
      <c r="Q90" s="799">
        <f>P90*(1-IFERROR(IF(Q$69+$F90&lt;=12,SUMIFS('Attrition Modeling'!$D:$D,'Attrition Modeling'!$C:$C,'IP Attrition'!$D90,'Attrition Modeling'!$B:$B,'IP Attrition'!Q$68),VLOOKUP($F90+Q$2,$A$6:$C$106,2,FALSE)*VLOOKUP(Q$1,'Attrition Modeling'!$L$15:$N$27,IF(Q$2+$F23&lt;=24,2,3),FALSE)),$C$3)*(1+Projection!S$16)*(1+IF(Q155&gt;0,'Attrition Modeling'!$N$9,0)))</f>
        <v>0</v>
      </c>
      <c r="R90" s="799">
        <f>Q90*(1-IFERROR(IF(R$69+$F90&lt;=12,SUMIFS('Attrition Modeling'!$D:$D,'Attrition Modeling'!$C:$C,'IP Attrition'!$D90,'Attrition Modeling'!$B:$B,'IP Attrition'!R$68),VLOOKUP($F90+R$2,$A$6:$C$106,2,FALSE)*VLOOKUP(R$1,'Attrition Modeling'!$L$15:$N$27,IF(R$2+$F23&lt;=24,2,3),FALSE)),$C$3)*(1+Projection!T$16)*(1+IF(R155&gt;0,'Attrition Modeling'!$N$9,0)))</f>
        <v>0</v>
      </c>
      <c r="S90" s="799">
        <f>R90*(1-IFERROR(IF(S$69+$F90&lt;=12,SUMIFS('Attrition Modeling'!$D:$D,'Attrition Modeling'!$C:$C,'IP Attrition'!$D90,'Attrition Modeling'!$B:$B,'IP Attrition'!S$68),VLOOKUP($F90+S$2,$A$6:$C$106,2,FALSE)*VLOOKUP(S$1,'Attrition Modeling'!$L$15:$N$27,IF(S$2+$F23&lt;=24,2,3),FALSE)),$C$3)*(1+Projection!U$16)*(1+IF(S155&gt;0,'Attrition Modeling'!$N$9,0)))</f>
        <v>0</v>
      </c>
      <c r="T90" s="799">
        <f>S90*(1-IFERROR(IF(T$69+$F90&lt;=12,SUMIFS('Attrition Modeling'!$D:$D,'Attrition Modeling'!$C:$C,'IP Attrition'!$D90,'Attrition Modeling'!$B:$B,'IP Attrition'!T$68),VLOOKUP($F90+T$2,$A$6:$C$106,2,FALSE)*VLOOKUP(T$1,'Attrition Modeling'!$L$15:$N$27,IF(T$2+$F23&lt;=24,2,3),FALSE)),$C$3)*(1+Projection!V$16)*(1+IF(T155&gt;0,'Attrition Modeling'!$N$9,0)))</f>
        <v>0</v>
      </c>
      <c r="U90" s="799">
        <f>T90*(1-IFERROR(IF(U$69+$F90&lt;=12,SUMIFS('Attrition Modeling'!$D:$D,'Attrition Modeling'!$C:$C,'IP Attrition'!$D90,'Attrition Modeling'!$B:$B,'IP Attrition'!U$68),VLOOKUP($F90+U$2,$A$6:$C$106,2,FALSE)*VLOOKUP(U$1,'Attrition Modeling'!$L$15:$N$27,IF(U$2+$F23&lt;=24,2,3),FALSE)),$C$3)*(1+Projection!W$16)*(1+IF(U155&gt;0,'Attrition Modeling'!$N$9,0)))</f>
        <v>0</v>
      </c>
      <c r="V90" s="799">
        <f>U90*(1-IFERROR(IF(V$69+$F90&lt;=12,SUMIFS('Attrition Modeling'!$D:$D,'Attrition Modeling'!$C:$C,'IP Attrition'!$D90,'Attrition Modeling'!$B:$B,'IP Attrition'!V$68),VLOOKUP($F90+V$2,$A$6:$C$106,2,FALSE)*VLOOKUP(V$1,'Attrition Modeling'!$L$15:$N$27,IF(V$2+$F23&lt;=24,2,3),FALSE)),$C$3)*(1+Projection!X$16)*(1+IF(V155&gt;0,'Attrition Modeling'!$N$9,0)))</f>
        <v>0</v>
      </c>
      <c r="W90" s="799">
        <f>V90*(1-IFERROR(IF(W$69+$F90&lt;=12,SUMIFS('Attrition Modeling'!$D:$D,'Attrition Modeling'!$C:$C,'IP Attrition'!$D90,'Attrition Modeling'!$B:$B,'IP Attrition'!W$68),VLOOKUP($F90+W$2,$A$6:$C$106,2,FALSE)*VLOOKUP(W$1,'Attrition Modeling'!$L$15:$N$27,IF(W$2+$F23&lt;=24,2,3),FALSE)),$C$3)*(1+Projection!Y$16)*(1+IF(W155&gt;0,'Attrition Modeling'!$N$9,0)))</f>
        <v>0</v>
      </c>
      <c r="X90" s="799">
        <f>W90*(1-IFERROR(IF(X$69+$F90&lt;=12,SUMIFS('Attrition Modeling'!$D:$D,'Attrition Modeling'!$C:$C,'IP Attrition'!$D90,'Attrition Modeling'!$B:$B,'IP Attrition'!X$68),VLOOKUP($F90+X$2,$A$6:$C$106,2,FALSE)*VLOOKUP(X$1,'Attrition Modeling'!$L$15:$N$27,IF(X$2+$F23&lt;=24,2,3),FALSE)),$C$3)*(1+Projection!Z$16)*(1+IF(X155&gt;0,'Attrition Modeling'!$N$9,0)))</f>
        <v>0</v>
      </c>
      <c r="Y90" s="799">
        <f>X90*(1-IFERROR(IF(Y$69+$F90&lt;=12,SUMIFS('Attrition Modeling'!$D:$D,'Attrition Modeling'!$C:$C,'IP Attrition'!$D90,'Attrition Modeling'!$B:$B,'IP Attrition'!Y$68),VLOOKUP($F90+Y$2,$A$6:$C$106,2,FALSE)*VLOOKUP(Y$1,'Attrition Modeling'!$L$15:$N$27,IF(Y$2+$F23&lt;=24,2,3),FALSE)),$C$3)*(1+Projection!AA$16)*(1+IF(Y155&gt;0,'Attrition Modeling'!$N$9,0)))</f>
        <v>0</v>
      </c>
      <c r="Z90" s="799">
        <f>Y90*(1-IFERROR(IF(Z$69+$F90&lt;=12,SUMIFS('Attrition Modeling'!$D:$D,'Attrition Modeling'!$C:$C,'IP Attrition'!$D90,'Attrition Modeling'!$B:$B,'IP Attrition'!Z$68),VLOOKUP($F90+Z$2,$A$6:$C$106,2,FALSE)*VLOOKUP(Z$1,'Attrition Modeling'!$L$15:$N$27,IF(Z$2+$F23&lt;=24,2,3),FALSE)),$C$3)*(1+Projection!AB$16)*(1+IF(Z155&gt;0,'Attrition Modeling'!$N$9,0)))</f>
        <v>0</v>
      </c>
      <c r="AA90" s="799">
        <f>Z90*(1-IFERROR(IF(AA$69+$F90&lt;=12,SUMIFS('Attrition Modeling'!$D:$D,'Attrition Modeling'!$C:$C,'IP Attrition'!$D90,'Attrition Modeling'!$B:$B,'IP Attrition'!AA$68),VLOOKUP($F90+AA$2,$A$6:$C$106,2,FALSE)*VLOOKUP(AA$1,'Attrition Modeling'!$L$15:$N$27,IF(AA$2+$F23&lt;=24,2,3),FALSE)),$C$3)*(1+Projection!AC$16)*(1+IF(AA155&gt;0,'Attrition Modeling'!$N$9,0)))</f>
        <v>0</v>
      </c>
      <c r="AB90" s="799">
        <f>AA90*(1-IFERROR(IF(AB$69+$F90&lt;=12,SUMIFS('Attrition Modeling'!$D:$D,'Attrition Modeling'!$C:$C,'IP Attrition'!$D90,'Attrition Modeling'!$B:$B,'IP Attrition'!AB$68),VLOOKUP($F90+AB$2,$A$6:$C$106,2,FALSE)*VLOOKUP(AB$1,'Attrition Modeling'!$L$15:$N$27,IF(AB$2+$F23&lt;=24,2,3),FALSE)),$C$3)*(1+Projection!AD$16)*(1+IF(AB155&gt;0,'Attrition Modeling'!$N$9,0)))</f>
        <v>0</v>
      </c>
      <c r="AC90" s="799">
        <f>AB90*(1-IFERROR(IF(AC$69+$F90&lt;=12,SUMIFS('Attrition Modeling'!$D:$D,'Attrition Modeling'!$C:$C,'IP Attrition'!$D90,'Attrition Modeling'!$B:$B,'IP Attrition'!AC$68),VLOOKUP($F90+AC$2,$A$6:$C$106,2,FALSE)*VLOOKUP(AC$1,'Attrition Modeling'!$L$15:$N$27,IF(AC$2+$F23&lt;=24,2,3),FALSE)),$C$3)*(1+Projection!AE$16)*(1+IF(AC155&gt;0,'Attrition Modeling'!$N$9,0)))</f>
        <v>0</v>
      </c>
      <c r="AD90" s="799">
        <f>AC90*(1-IFERROR(IF(AD$69+$F90&lt;=12,SUMIFS('Attrition Modeling'!$D:$D,'Attrition Modeling'!$C:$C,'IP Attrition'!$D90,'Attrition Modeling'!$B:$B,'IP Attrition'!AD$68),VLOOKUP($F90+AD$2,$A$6:$C$106,2,FALSE)*VLOOKUP(AD$1,'Attrition Modeling'!$L$15:$N$27,IF(AD$2+$F23&lt;=24,2,3),FALSE)),$C$3)*(1+Projection!AF$16)*(1+IF(AD155&gt;0,'Attrition Modeling'!$N$9,0)))</f>
        <v>0</v>
      </c>
      <c r="AE90" s="799">
        <f>AD90*(1-IFERROR(IF(AE$69+$F90&lt;=12,SUMIFS('Attrition Modeling'!$D:$D,'Attrition Modeling'!$C:$C,'IP Attrition'!$D90,'Attrition Modeling'!$B:$B,'IP Attrition'!AE$68),VLOOKUP($F90+AE$2,$A$6:$C$106,2,FALSE)*VLOOKUP(AE$1,'Attrition Modeling'!$L$15:$N$27,IF(AE$2+$F23&lt;=24,2,3),FALSE)),$C$3)*(1+Projection!AG$16)*(1+IF(AE155&gt;0,'Attrition Modeling'!$N$9,0)))</f>
        <v>0</v>
      </c>
      <c r="AF90" s="799">
        <f>AE90*(1-IFERROR(IF(AF$69+$F90&lt;=12,SUMIFS('Attrition Modeling'!$D:$D,'Attrition Modeling'!$C:$C,'IP Attrition'!$D90,'Attrition Modeling'!$B:$B,'IP Attrition'!AF$68),VLOOKUP($F90+AF$2,$A$6:$C$106,2,FALSE)*VLOOKUP(AF$1,'Attrition Modeling'!$L$15:$N$27,IF(AF$2+$F23&lt;=24,2,3),FALSE)),$C$3)*(1+Projection!AH$16)*(1+IF(AF155&gt;0,'Attrition Modeling'!$N$9,0)))</f>
        <v>0</v>
      </c>
      <c r="AG90" s="799">
        <f>AF90*(1-IFERROR(IF(AG$69+$F90&lt;=12,SUMIFS('Attrition Modeling'!$D:$D,'Attrition Modeling'!$C:$C,'IP Attrition'!$D90,'Attrition Modeling'!$B:$B,'IP Attrition'!AG$68),VLOOKUP($F90+AG$2,$A$6:$C$106,2,FALSE)*VLOOKUP(AG$1,'Attrition Modeling'!$L$15:$N$27,IF(AG$2+$F23&lt;=24,2,3),FALSE)),$C$3)*(1+Projection!AI$16)*(1+IF(AG155&gt;0,'Attrition Modeling'!$N$9,0)))</f>
        <v>0</v>
      </c>
      <c r="AH90" s="799">
        <f>AG90*(1-IFERROR(IF(AH$69+$F90&lt;=12,SUMIFS('Attrition Modeling'!$D:$D,'Attrition Modeling'!$C:$C,'IP Attrition'!$D90,'Attrition Modeling'!$B:$B,'IP Attrition'!AH$68),VLOOKUP($F90+AH$2,$A$6:$C$106,2,FALSE)*VLOOKUP(AH$1,'Attrition Modeling'!$L$15:$N$27,IF(AH$2+$F23&lt;=24,2,3),FALSE)),$C$3)*(1+Projection!AJ$16)*(1+IF(AH155&gt;0,'Attrition Modeling'!$N$9,0)))</f>
        <v>0</v>
      </c>
      <c r="AI90" s="799">
        <f>AH90*(1-IFERROR(IF(AI$69+$F90&lt;=12,SUMIFS('Attrition Modeling'!$D:$D,'Attrition Modeling'!$C:$C,'IP Attrition'!$D90,'Attrition Modeling'!$B:$B,'IP Attrition'!AI$68),VLOOKUP($F90+AI$2,$A$6:$C$106,2,FALSE)*VLOOKUP(AI$1,'Attrition Modeling'!$L$15:$N$27,IF(AI$2+$F23&lt;=24,2,3),FALSE)),$C$3)*(1+Projection!AK$16)*(1+IF(AI155&gt;0,'Attrition Modeling'!$N$9,0)))</f>
        <v>0</v>
      </c>
      <c r="AJ90" s="799">
        <f>AI90*(1-IFERROR(IF(AJ$69+$F90&lt;=12,SUMIFS('Attrition Modeling'!$D:$D,'Attrition Modeling'!$C:$C,'IP Attrition'!$D90,'Attrition Modeling'!$B:$B,'IP Attrition'!AJ$68),VLOOKUP($F90+AJ$2,$A$6:$C$106,2,FALSE)*VLOOKUP(AJ$1,'Attrition Modeling'!$L$15:$N$27,IF(AJ$2+$F23&lt;=24,2,3),FALSE)),$C$3)*(1+Projection!AL$16)*(1+IF(AJ155&gt;0,'Attrition Modeling'!$N$9,0)))</f>
        <v>0</v>
      </c>
      <c r="AK90" s="799">
        <f>AJ90*(1-IFERROR(IF(AK$69+$F90&lt;=12,SUMIFS('Attrition Modeling'!$D:$D,'Attrition Modeling'!$C:$C,'IP Attrition'!$D90,'Attrition Modeling'!$B:$B,'IP Attrition'!AK$68),VLOOKUP($F90+AK$2,$A$6:$C$106,2,FALSE)*VLOOKUP(AK$1,'Attrition Modeling'!$L$15:$N$27,IF(AK$2+$F23&lt;=24,2,3),FALSE)),$C$3)*(1+Projection!AM$16)*(1+IF(AK155&gt;0,'Attrition Modeling'!$N$9,0)))</f>
        <v>0</v>
      </c>
      <c r="AL90" s="799">
        <f>AK90*(1-IFERROR(IF(AL$69+$F90&lt;=12,SUMIFS('Attrition Modeling'!$D:$D,'Attrition Modeling'!$C:$C,'IP Attrition'!$D90,'Attrition Modeling'!$B:$B,'IP Attrition'!AL$68),VLOOKUP($F90+AL$2,$A$6:$C$106,2,FALSE)*VLOOKUP(AL$1,'Attrition Modeling'!$L$15:$N$27,IF(AL$2+$F23&lt;=24,2,3),FALSE)),$C$3)*(1+Projection!AN$16)*(1+IF(AL155&gt;0,'Attrition Modeling'!$N$9,0)))</f>
        <v>0</v>
      </c>
      <c r="AM90" s="799">
        <f>AL90*(1-IFERROR(IF(AM$69+$F90&lt;=12,SUMIFS('Attrition Modeling'!$D:$D,'Attrition Modeling'!$C:$C,'IP Attrition'!$D90,'Attrition Modeling'!$B:$B,'IP Attrition'!AM$68),VLOOKUP($F90+AM$2,$A$6:$C$106,2,FALSE)*VLOOKUP(AM$1,'Attrition Modeling'!$L$15:$N$27,IF(AM$2+$F23&lt;=24,2,3),FALSE)),$C$3)*(1+Projection!AO$16)*(1+IF(AM155&gt;0,'Attrition Modeling'!$N$9,0)))</f>
        <v>0</v>
      </c>
      <c r="AN90" s="799">
        <f>AM90*(1-IFERROR(IF(AN$69+$F90&lt;=12,SUMIFS('Attrition Modeling'!$D:$D,'Attrition Modeling'!$C:$C,'IP Attrition'!$D90,'Attrition Modeling'!$B:$B,'IP Attrition'!AN$68),VLOOKUP($F90+AN$2,$A$6:$C$106,2,FALSE)*VLOOKUP(AN$1,'Attrition Modeling'!$L$15:$N$27,IF(AN$2+$F23&lt;=24,2,3),FALSE)),$C$3)*(1+Projection!AP$16)*(1+IF(AN155&gt;0,'Attrition Modeling'!$N$9,0)))</f>
        <v>0</v>
      </c>
      <c r="AO90" s="799">
        <f>AN90*(1-IFERROR(IF(AO$69+$F90&lt;=12,SUMIFS('Attrition Modeling'!$D:$D,'Attrition Modeling'!$C:$C,'IP Attrition'!$D90,'Attrition Modeling'!$B:$B,'IP Attrition'!AO$68),VLOOKUP($F90+AO$2,$A$6:$C$106,2,FALSE)*VLOOKUP(AO$1,'Attrition Modeling'!$L$15:$N$27,IF(AO$2+$F23&lt;=24,2,3),FALSE)),$C$3)*(1+Projection!AQ$16)*(1+IF(AO155&gt;0,'Attrition Modeling'!$N$9,0)))</f>
        <v>0</v>
      </c>
      <c r="AP90" s="799">
        <f>AO90*(1-IFERROR(IF(AP$69+$F90&lt;=12,SUMIFS('Attrition Modeling'!$D:$D,'Attrition Modeling'!$C:$C,'IP Attrition'!$D90,'Attrition Modeling'!$B:$B,'IP Attrition'!AP$68),VLOOKUP($F90+AP$2,$A$6:$C$106,2,FALSE)*VLOOKUP(AP$1,'Attrition Modeling'!$L$15:$N$27,IF(AP$2+$F23&lt;=24,2,3),FALSE)),$C$3)*(1+Projection!AR$16)*(1+IF(AP155&gt;0,'Attrition Modeling'!$N$9,0)))</f>
        <v>0</v>
      </c>
      <c r="AQ90" s="799">
        <f>AP90*(1-IFERROR(IF(AQ$69+$F90&lt;=12,SUMIFS('Attrition Modeling'!$D:$D,'Attrition Modeling'!$C:$C,'IP Attrition'!$D90,'Attrition Modeling'!$B:$B,'IP Attrition'!AQ$68),VLOOKUP($F90+AQ$2,$A$6:$C$106,2,FALSE)*VLOOKUP(AQ$1,'Attrition Modeling'!$L$15:$N$27,IF(AQ$2+$F23&lt;=24,2,3),FALSE)),$C$3)*(1+Projection!AS$16)*(1+IF(AQ155&gt;0,'Attrition Modeling'!$N$9,0)))</f>
        <v>0</v>
      </c>
      <c r="AR90" s="799">
        <f>AQ90*(1-IFERROR(IF(AR$69+$F90&lt;=12,SUMIFS('Attrition Modeling'!$D:$D,'Attrition Modeling'!$C:$C,'IP Attrition'!$D90,'Attrition Modeling'!$B:$B,'IP Attrition'!AR$68),VLOOKUP($F90+AR$2,$A$6:$C$106,2,FALSE)*VLOOKUP(AR$1,'Attrition Modeling'!$L$15:$N$27,IF(AR$2+$F23&lt;=24,2,3),FALSE)),$C$3)*(1+Projection!AT$16)*(1+IF(AR155&gt;0,'Attrition Modeling'!$N$9,0)))</f>
        <v>0</v>
      </c>
      <c r="AS90" s="799">
        <f>AR90*(1-IFERROR(IF(AS$69+$F90&lt;=12,SUMIFS('Attrition Modeling'!$D:$D,'Attrition Modeling'!$C:$C,'IP Attrition'!$D90,'Attrition Modeling'!$B:$B,'IP Attrition'!AS$68),VLOOKUP($F90+AS$2,$A$6:$C$106,2,FALSE)*VLOOKUP(AS$1,'Attrition Modeling'!$L$15:$N$27,IF(AS$2+$F23&lt;=24,2,3),FALSE)),$C$3)*(1+Projection!AU$16)*(1+IF(AS155&gt;0,'Attrition Modeling'!$N$9,0)))</f>
        <v>0</v>
      </c>
      <c r="AT90" s="799">
        <f>AS90*(1-IFERROR(IF(AT$69+$F90&lt;=12,SUMIFS('Attrition Modeling'!$D:$D,'Attrition Modeling'!$C:$C,'IP Attrition'!$D90,'Attrition Modeling'!$B:$B,'IP Attrition'!AT$68),VLOOKUP($F90+AT$2,$A$6:$C$106,2,FALSE)*VLOOKUP(AT$1,'Attrition Modeling'!$L$15:$N$27,IF(AT$2+$F23&lt;=24,2,3),FALSE)),$C$3)*(1+Projection!AV$16)*(1+IF(AT155&gt;0,'Attrition Modeling'!$N$9,0)))</f>
        <v>0</v>
      </c>
      <c r="AU90" s="799">
        <f>AT90*(1-IFERROR(IF(AU$69+$F90&lt;=12,SUMIFS('Attrition Modeling'!$D:$D,'Attrition Modeling'!$C:$C,'IP Attrition'!$D90,'Attrition Modeling'!$B:$B,'IP Attrition'!AU$68),VLOOKUP($F90+AU$2,$A$6:$C$106,2,FALSE)*VLOOKUP(AU$1,'Attrition Modeling'!$L$15:$N$27,IF(AU$2+$F23&lt;=24,2,3),FALSE)),$C$3)*(1+Projection!AW$16)*(1+IF(AU155&gt;0,'Attrition Modeling'!$N$9,0)))</f>
        <v>0</v>
      </c>
      <c r="AV90" s="799">
        <f>AU90*(1-IFERROR(IF(AV$69+$F90&lt;=12,SUMIFS('Attrition Modeling'!$D:$D,'Attrition Modeling'!$C:$C,'IP Attrition'!$D90,'Attrition Modeling'!$B:$B,'IP Attrition'!AV$68),VLOOKUP($F90+AV$2,$A$6:$C$106,2,FALSE)*VLOOKUP(AV$1,'Attrition Modeling'!$L$15:$N$27,IF(AV$2+$F23&lt;=24,2,3),FALSE)),$C$3)*(1+Projection!AX$16)*(1+IF(AV155&gt;0,'Attrition Modeling'!$N$9,0)))</f>
        <v>0</v>
      </c>
      <c r="AW90" s="799">
        <f>AV90*(1-IFERROR(IF(AW$69+$F90&lt;=12,SUMIFS('Attrition Modeling'!$D:$D,'Attrition Modeling'!$C:$C,'IP Attrition'!$D90,'Attrition Modeling'!$B:$B,'IP Attrition'!AW$68),VLOOKUP($F90+AW$2,$A$6:$C$106,2,FALSE)*VLOOKUP(AW$1,'Attrition Modeling'!$L$15:$N$27,IF(AW$2+$F23&lt;=24,2,3),FALSE)),$C$3)*(1+Projection!AY$16)*(1+IF(AW155&gt;0,'Attrition Modeling'!$N$9,0)))</f>
        <v>0</v>
      </c>
      <c r="AX90" s="799">
        <f>AW90*(1-IFERROR(IF(AX$69+$F90&lt;=12,SUMIFS('Attrition Modeling'!$D:$D,'Attrition Modeling'!$C:$C,'IP Attrition'!$D90,'Attrition Modeling'!$B:$B,'IP Attrition'!AX$68),VLOOKUP($F90+AX$2,$A$6:$C$106,2,FALSE)*VLOOKUP(AX$1,'Attrition Modeling'!$L$15:$N$27,IF(AX$2+$F23&lt;=24,2,3),FALSE)),$C$3)*(1+Projection!AZ$16)*(1+IF(AX155&gt;0,'Attrition Modeling'!$N$9,0)))</f>
        <v>0</v>
      </c>
      <c r="AY90" s="799">
        <f>AX90*(1-IFERROR(IF(AY$69+$F90&lt;=12,SUMIFS('Attrition Modeling'!$D:$D,'Attrition Modeling'!$C:$C,'IP Attrition'!$D90,'Attrition Modeling'!$B:$B,'IP Attrition'!AY$68),VLOOKUP($F90+AY$2,$A$6:$C$106,2,FALSE)*VLOOKUP(AY$1,'Attrition Modeling'!$L$15:$N$27,IF(AY$2+$F23&lt;=24,2,3),FALSE)),$C$3)*(1+Projection!BA$16)*(1+IF(AY155&gt;0,'Attrition Modeling'!$N$9,0)))</f>
        <v>0</v>
      </c>
      <c r="AZ90" s="799">
        <f>AY90*(1-IFERROR(IF(AZ$69+$F90&lt;=12,SUMIFS('Attrition Modeling'!$D:$D,'Attrition Modeling'!$C:$C,'IP Attrition'!$D90,'Attrition Modeling'!$B:$B,'IP Attrition'!AZ$68),VLOOKUP($F90+AZ$2,$A$6:$C$106,2,FALSE)*VLOOKUP(AZ$1,'Attrition Modeling'!$L$15:$N$27,IF(AZ$2+$F23&lt;=24,2,3),FALSE)),$C$3)*(1+Projection!BB$16)*(1+IF(AZ155&gt;0,'Attrition Modeling'!$N$9,0)))</f>
        <v>0</v>
      </c>
      <c r="BA90" s="799">
        <f>AZ90*(1-IFERROR(IF(BA$69+$F90&lt;=12,SUMIFS('Attrition Modeling'!$D:$D,'Attrition Modeling'!$C:$C,'IP Attrition'!$D90,'Attrition Modeling'!$B:$B,'IP Attrition'!BA$68),VLOOKUP($F90+BA$2,$A$6:$C$106,2,FALSE)*VLOOKUP(BA$1,'Attrition Modeling'!$L$15:$N$27,IF(BA$2+$F23&lt;=24,2,3),FALSE)),$C$3)*(1+Projection!BC$16)*(1+IF(BA155&gt;0,'Attrition Modeling'!$N$9,0)))</f>
        <v>0</v>
      </c>
      <c r="BB90" s="799">
        <f>BA90*(1-IFERROR(IF(BB$69+$F90&lt;=12,SUMIFS('Attrition Modeling'!$D:$D,'Attrition Modeling'!$C:$C,'IP Attrition'!$D90,'Attrition Modeling'!$B:$B,'IP Attrition'!BB$68),VLOOKUP($F90+BB$2,$A$6:$C$106,2,FALSE)*VLOOKUP(BB$1,'Attrition Modeling'!$L$15:$N$27,IF(BB$2+$F23&lt;=24,2,3),FALSE)),$C$3)*(1+Projection!BD$16)*(1+IF(BB155&gt;0,'Attrition Modeling'!$N$9,0)))</f>
        <v>0</v>
      </c>
      <c r="BC90" s="799">
        <f>BB90*(1-IFERROR(IF(BC$69+$F90&lt;=12,SUMIFS('Attrition Modeling'!$D:$D,'Attrition Modeling'!$C:$C,'IP Attrition'!$D90,'Attrition Modeling'!$B:$B,'IP Attrition'!BC$68),VLOOKUP($F90+BC$2,$A$6:$C$106,2,FALSE)*VLOOKUP(BC$1,'Attrition Modeling'!$L$15:$N$27,IF(BC$2+$F23&lt;=24,2,3),FALSE)),$C$3)*(1+Projection!BE$16)*(1+IF(BC155&gt;0,'Attrition Modeling'!$N$9,0)))</f>
        <v>0</v>
      </c>
      <c r="BD90" s="799">
        <f>BC90*(1-IFERROR(IF(BD$69+$F90&lt;=12,SUMIFS('Attrition Modeling'!$D:$D,'Attrition Modeling'!$C:$C,'IP Attrition'!$D90,'Attrition Modeling'!$B:$B,'IP Attrition'!BD$68),VLOOKUP($F90+BD$2,$A$6:$C$106,2,FALSE)*VLOOKUP(BD$1,'Attrition Modeling'!$L$15:$N$27,IF(BD$2+$F23&lt;=24,2,3),FALSE)),$C$3)*(1+Projection!BF$16)*(1+IF(BD155&gt;0,'Attrition Modeling'!$N$9,0)))</f>
        <v>0</v>
      </c>
      <c r="BE90" s="799">
        <f>BD90*(1-IFERROR(IF(BE$69+$F90&lt;=12,SUMIFS('Attrition Modeling'!$D:$D,'Attrition Modeling'!$C:$C,'IP Attrition'!$D90,'Attrition Modeling'!$B:$B,'IP Attrition'!BE$68),VLOOKUP($F90+BE$2,$A$6:$C$106,2,FALSE)*VLOOKUP(BE$1,'Attrition Modeling'!$L$15:$N$27,IF(BE$2+$F23&lt;=24,2,3),FALSE)),$C$3)*(1+Projection!BG$16)*(1+IF(BE155&gt;0,'Attrition Modeling'!$N$9,0)))</f>
        <v>0</v>
      </c>
      <c r="BF90" s="799">
        <f>BE90*(1-IFERROR(IF(BF$69+$F90&lt;=12,SUMIFS('Attrition Modeling'!$D:$D,'Attrition Modeling'!$C:$C,'IP Attrition'!$D90,'Attrition Modeling'!$B:$B,'IP Attrition'!BF$68),VLOOKUP($F90+BF$2,$A$6:$C$106,2,FALSE)*VLOOKUP(BF$1,'Attrition Modeling'!$L$15:$N$27,IF(BF$2+$F23&lt;=24,2,3),FALSE)),$C$3)*(1+Projection!BH$16)*(1+IF(BF155&gt;0,'Attrition Modeling'!$N$9,0)))</f>
        <v>0</v>
      </c>
      <c r="BG90" s="799">
        <f>BF90*(1-IFERROR(IF(BG$69+$F90&lt;=12,SUMIFS('Attrition Modeling'!$D:$D,'Attrition Modeling'!$C:$C,'IP Attrition'!$D90,'Attrition Modeling'!$B:$B,'IP Attrition'!BG$68),VLOOKUP($F90+BG$2,$A$6:$C$106,2,FALSE)*VLOOKUP(BG$1,'Attrition Modeling'!$L$15:$N$27,IF(BG$2+$F23&lt;=24,2,3),FALSE)),$C$3)*(1+Projection!BI$16)*(1+IF(BG155&gt;0,'Attrition Modeling'!$N$9,0)))</f>
        <v>0</v>
      </c>
      <c r="BH90" s="799">
        <f>BG90*(1-IFERROR(IF(BH$69+$F90&lt;=12,SUMIFS('Attrition Modeling'!$D:$D,'Attrition Modeling'!$C:$C,'IP Attrition'!$D90,'Attrition Modeling'!$B:$B,'IP Attrition'!BH$68),VLOOKUP($F90+BH$2,$A$6:$C$106,2,FALSE)*VLOOKUP(BH$1,'Attrition Modeling'!$L$15:$N$27,IF(BH$2+$F23&lt;=24,2,3),FALSE)),$C$3)*(1+Projection!BJ$16)*(1+IF(BH155&gt;0,'Attrition Modeling'!$N$9,0)))</f>
        <v>0</v>
      </c>
      <c r="BI90" s="799">
        <f>BH90*(1-IFERROR(IF(BI$69+$F90&lt;=12,SUMIFS('Attrition Modeling'!$D:$D,'Attrition Modeling'!$C:$C,'IP Attrition'!$D90,'Attrition Modeling'!$B:$B,'IP Attrition'!BI$68),VLOOKUP($F90+BI$2,$A$6:$C$106,2,FALSE)*VLOOKUP(BI$1,'Attrition Modeling'!$L$15:$N$27,IF(BI$2+$F23&lt;=24,2,3),FALSE)),$C$3)*(1+Projection!BK$16)*(1+IF(BI155&gt;0,'Attrition Modeling'!$N$9,0)))</f>
        <v>0</v>
      </c>
      <c r="BJ90" s="799">
        <f>BI90*(1-IFERROR(IF(BJ$69+$F90&lt;=12,SUMIFS('Attrition Modeling'!$D:$D,'Attrition Modeling'!$C:$C,'IP Attrition'!$D90,'Attrition Modeling'!$B:$B,'IP Attrition'!BJ$68),VLOOKUP($F90+BJ$2,$A$6:$C$106,2,FALSE)*VLOOKUP(BJ$1,'Attrition Modeling'!$L$15:$N$27,IF(BJ$2+$F23&lt;=24,2,3),FALSE)),$C$3)*(1+Projection!BL$16)*(1+IF(BJ155&gt;0,'Attrition Modeling'!$N$9,0)))</f>
        <v>0</v>
      </c>
      <c r="BK90" s="799">
        <f>BJ90*(1-IFERROR(IF(BK$69+$F90&lt;=12,SUMIFS('Attrition Modeling'!$D:$D,'Attrition Modeling'!$C:$C,'IP Attrition'!$D90,'Attrition Modeling'!$B:$B,'IP Attrition'!BK$68),VLOOKUP($F90+BK$2,$A$6:$C$106,2,FALSE)*VLOOKUP(BK$1,'Attrition Modeling'!$L$15:$N$27,IF(BK$2+$F23&lt;=24,2,3),FALSE)),$C$3)*(1+Projection!BM$16)*(1+IF(BK155&gt;0,'Attrition Modeling'!$N$9,0)))</f>
        <v>0</v>
      </c>
      <c r="BL90" s="799">
        <f>BK90*(1-IFERROR(IF(BL$69+$F90&lt;=12,SUMIFS('Attrition Modeling'!$D:$D,'Attrition Modeling'!$C:$C,'IP Attrition'!$D90,'Attrition Modeling'!$B:$B,'IP Attrition'!BL$68),VLOOKUP($F90+BL$2,$A$6:$C$106,2,FALSE)*VLOOKUP(BL$1,'Attrition Modeling'!$L$15:$N$27,IF(BL$2+$F23&lt;=24,2,3),FALSE)),$C$3)*(1+Projection!BN$16)*(1+IF(BL155&gt;0,'Attrition Modeling'!$N$9,0)))</f>
        <v>0</v>
      </c>
      <c r="BM90" s="799">
        <f>BL90*(1-IFERROR(IF(BM$69+$F90&lt;=12,SUMIFS('Attrition Modeling'!$D:$D,'Attrition Modeling'!$C:$C,'IP Attrition'!$D90,'Attrition Modeling'!$B:$B,'IP Attrition'!BM$68),VLOOKUP($F90+BM$2,$A$6:$C$106,2,FALSE)*VLOOKUP(BM$1,'Attrition Modeling'!$L$15:$N$27,IF(BM$2+$F23&lt;=24,2,3),FALSE)),$C$3)*(1+Projection!BO$16)*(1+IF(BM155&gt;0,'Attrition Modeling'!$N$9,0)))</f>
        <v>0</v>
      </c>
      <c r="BN90" s="799">
        <f>BM90*(1-IFERROR(IF(BN$69+$F90&lt;=12,SUMIFS('Attrition Modeling'!$D:$D,'Attrition Modeling'!$C:$C,'IP Attrition'!$D90,'Attrition Modeling'!$B:$B,'IP Attrition'!BN$68),VLOOKUP($F90+BN$2,$A$6:$C$106,2,FALSE)*VLOOKUP(BN$1,'Attrition Modeling'!$L$15:$N$27,IF(BN$2+$F23&lt;=24,2,3),FALSE)),$C$3)*(1+Projection!BP$16)*(1+IF(BN155&gt;0,'Attrition Modeling'!$N$9,0)))</f>
        <v>0</v>
      </c>
      <c r="BO90" s="799">
        <f>BN90*(1-IFERROR(IF(BO$69+$F90&lt;=12,SUMIFS('Attrition Modeling'!$D:$D,'Attrition Modeling'!$C:$C,'IP Attrition'!$D90,'Attrition Modeling'!$B:$B,'IP Attrition'!BO$68),VLOOKUP($F90+BO$2,$A$6:$C$106,2,FALSE)*VLOOKUP(BO$1,'Attrition Modeling'!$L$15:$N$27,IF(BO$2+$F23&lt;=24,2,3),FALSE)),$C$3)*(1+Projection!BV$16)*(1+IF(BO155&gt;0,'Attrition Modeling'!$N$9,0)))</f>
        <v>0</v>
      </c>
      <c r="BP90" s="799">
        <f>BO90*(1-IFERROR(IF(BP$69+$F90&lt;=12,SUMIFS('Attrition Modeling'!$D:$D,'Attrition Modeling'!$C:$C,'IP Attrition'!$D90,'Attrition Modeling'!$B:$B,'IP Attrition'!BP$68),VLOOKUP($F90+BP$2,$A$6:$C$106,2,FALSE)*VLOOKUP(BP$1,'Attrition Modeling'!$L$15:$N$27,IF(BP$2+$F23&lt;=24,2,3),FALSE)),$C$3)*(1+Projection!BW$16)*(1+IF(BP155&gt;0,'Attrition Modeling'!$N$9,0)))</f>
        <v>0</v>
      </c>
      <c r="BQ90" s="799">
        <f>BP90*(1-IFERROR(IF(BQ$69+$F90&lt;=12,SUMIFS('Attrition Modeling'!$D:$D,'Attrition Modeling'!$C:$C,'IP Attrition'!$D90,'Attrition Modeling'!$B:$B,'IP Attrition'!BQ$68),VLOOKUP($F90+BQ$2,$A$6:$C$106,2,FALSE)*VLOOKUP(BQ$1,'Attrition Modeling'!$L$15:$N$27,IF(BQ$2+$F23&lt;=24,2,3),FALSE)),$C$3)*(1+Projection!BX$16)*(1+IF(BQ155&gt;0,'Attrition Modeling'!$N$9,0)))</f>
        <v>0</v>
      </c>
      <c r="BR90" s="799">
        <f>BQ90*(1-IFERROR(IF(BR$69+$F90&lt;=12,SUMIFS('Attrition Modeling'!$D:$D,'Attrition Modeling'!$C:$C,'IP Attrition'!$D90,'Attrition Modeling'!$B:$B,'IP Attrition'!BR$68),VLOOKUP($F90+BR$2,$A$6:$C$106,2,FALSE)*VLOOKUP(BR$1,'Attrition Modeling'!$L$15:$N$27,IF(BR$2+$F23&lt;=24,2,3),FALSE)),$C$3)*(1+Projection!BY$16)*(1+IF(BR155&gt;0,'Attrition Modeling'!$N$9,0)))</f>
        <v>0</v>
      </c>
      <c r="BS90" s="799">
        <f>BR90*(1-IFERROR(IF(BS$69+$F90&lt;=12,SUMIFS('Attrition Modeling'!$D:$D,'Attrition Modeling'!$C:$C,'IP Attrition'!$D90,'Attrition Modeling'!$B:$B,'IP Attrition'!BS$68),VLOOKUP($F90+BS$2,$A$6:$C$106,2,FALSE)*VLOOKUP(BS$1,'Attrition Modeling'!$L$15:$N$27,IF(BS$2+$F23&lt;=24,2,3),FALSE)),$C$3)*(1+Projection!BZ$16)*(1+IF(BS155&gt;0,'Attrition Modeling'!$N$9,0)))</f>
        <v>0</v>
      </c>
      <c r="BT90" s="799" t="e">
        <f>BS90*(1-IFERROR(IF(BT$69+$F90&lt;=12,SUMIFS('Attrition Modeling'!$D:$D,'Attrition Modeling'!$C:$C,'IP Attrition'!$D90,'Attrition Modeling'!$B:$B,'IP Attrition'!BT$68),VLOOKUP($F90+BT$2,$A$6:$C$106,2,FALSE)*VLOOKUP(BT$1,'Attrition Modeling'!$L$15:$N$27,IF(BT$2+$F23&lt;=24,2,3),FALSE)),$C$3)*(1+Projection!CA$16)*(1+IF(BT155&gt;0,'Attrition Modeling'!$N$9,0)))</f>
        <v>#REF!</v>
      </c>
      <c r="BU90" s="799" t="e">
        <f>BT90*(1-IFERROR(IF(BU$69+$F90&lt;=12,SUMIFS('Attrition Modeling'!$D:$D,'Attrition Modeling'!$C:$C,'IP Attrition'!$D90,'Attrition Modeling'!$B:$B,'IP Attrition'!BU$68),VLOOKUP($F90+BU$2,$A$6:$C$106,2,FALSE)*VLOOKUP(BU$1,'Attrition Modeling'!$L$15:$N$27,IF(BU$2+$F23&lt;=24,2,3),FALSE)),$C$3)*(1+Projection!CB$16)*(1+IF(BU155&gt;0,'Attrition Modeling'!$N$9,0)))</f>
        <v>#REF!</v>
      </c>
    </row>
    <row r="91" spans="1:73" ht="14.25" customHeight="1" x14ac:dyDescent="0.2">
      <c r="A91" s="9">
        <v>84</v>
      </c>
      <c r="B91" s="25">
        <f>MAX('Attrition Modeling'!H88,$C$3)*(1-Summary!$C$20)</f>
        <v>0.02</v>
      </c>
      <c r="C91" s="24" t="e">
        <f t="shared" si="3"/>
        <v>#DIV/0!</v>
      </c>
      <c r="D91" s="11">
        <f t="shared" ref="D91:E91" si="29">D24</f>
        <v>-21</v>
      </c>
      <c r="E91" s="25">
        <f t="shared" si="29"/>
        <v>0</v>
      </c>
      <c r="F91" s="11">
        <f t="shared" si="9"/>
        <v>21</v>
      </c>
      <c r="G91" s="799">
        <f>Summary!$C$24*$E91</f>
        <v>0</v>
      </c>
      <c r="H91" s="799">
        <f>G91*(1-IFERROR(IF(H$69+$F91&lt;=12,SUMIFS('Attrition Modeling'!$D:$D,'Attrition Modeling'!$C:$C,'IP Attrition'!$D91,'Attrition Modeling'!$B:$B,'IP Attrition'!H$68),VLOOKUP($F91+H$2,$A$6:$C$106,2,FALSE)*VLOOKUP(H$1,'Attrition Modeling'!$L$15:$N$27,IF(H$2+$F24&lt;=24,2,3),FALSE)),$C$3)*(1+Projection!J$16)*(1+IF(H156&gt;0,'Attrition Modeling'!$N$9,0)))</f>
        <v>0</v>
      </c>
      <c r="I91" s="799">
        <f>H91*(1-IFERROR(IF(I$69+$F91&lt;=12,SUMIFS('Attrition Modeling'!$D:$D,'Attrition Modeling'!$C:$C,'IP Attrition'!$D91,'Attrition Modeling'!$B:$B,'IP Attrition'!I$68),VLOOKUP($F91+I$2,$A$6:$C$106,2,FALSE)*VLOOKUP(I$1,'Attrition Modeling'!$L$15:$N$27,IF(I$2+$F24&lt;=24,2,3),FALSE)),$C$3)*(1+Projection!K$16)*(1+IF(I156&gt;0,'Attrition Modeling'!$N$9,0)))</f>
        <v>0</v>
      </c>
      <c r="J91" s="799">
        <f>I91*(1-IFERROR(IF(J$69+$F91&lt;=12,SUMIFS('Attrition Modeling'!$D:$D,'Attrition Modeling'!$C:$C,'IP Attrition'!$D91,'Attrition Modeling'!$B:$B,'IP Attrition'!J$68),VLOOKUP($F91+J$2,$A$6:$C$106,2,FALSE)*VLOOKUP(J$1,'Attrition Modeling'!$L$15:$N$27,IF(J$2+$F24&lt;=24,2,3),FALSE)),$C$3)*(1+Projection!L$16)*(1+IF(J156&gt;0,'Attrition Modeling'!$N$9,0)))</f>
        <v>0</v>
      </c>
      <c r="K91" s="799">
        <f>J91*(1-IFERROR(IF(K$69+$F91&lt;=12,SUMIFS('Attrition Modeling'!$D:$D,'Attrition Modeling'!$C:$C,'IP Attrition'!$D91,'Attrition Modeling'!$B:$B,'IP Attrition'!K$68),VLOOKUP($F91+K$2,$A$6:$C$106,2,FALSE)*VLOOKUP(K$1,'Attrition Modeling'!$L$15:$N$27,IF(K$2+$F24&lt;=24,2,3),FALSE)),$C$3)*(1+Projection!M$16)*(1+IF(K156&gt;0,'Attrition Modeling'!$N$9,0)))</f>
        <v>0</v>
      </c>
      <c r="L91" s="799">
        <f>K91*(1-IFERROR(IF(L$69+$F91&lt;=12,SUMIFS('Attrition Modeling'!$D:$D,'Attrition Modeling'!$C:$C,'IP Attrition'!$D91,'Attrition Modeling'!$B:$B,'IP Attrition'!L$68),VLOOKUP($F91+L$2,$A$6:$C$106,2,FALSE)*VLOOKUP(L$1,'Attrition Modeling'!$L$15:$N$27,IF(L$2+$F24&lt;=24,2,3),FALSE)),$C$3)*(1+Projection!N$16)*(1+IF(L156&gt;0,'Attrition Modeling'!$N$9,0)))</f>
        <v>0</v>
      </c>
      <c r="M91" s="799">
        <f>L91*(1-IFERROR(IF(M$69+$F91&lt;=12,SUMIFS('Attrition Modeling'!$D:$D,'Attrition Modeling'!$C:$C,'IP Attrition'!$D91,'Attrition Modeling'!$B:$B,'IP Attrition'!M$68),VLOOKUP($F91+M$2,$A$6:$C$106,2,FALSE)*VLOOKUP(M$1,'Attrition Modeling'!$L$15:$N$27,IF(M$2+$F24&lt;=24,2,3),FALSE)),$C$3)*(1+Projection!O$16)*(1+IF(M156&gt;0,'Attrition Modeling'!$N$9,0)))</f>
        <v>0</v>
      </c>
      <c r="N91" s="799">
        <f>M91*(1-IFERROR(IF(N$69+$F91&lt;=12,SUMIFS('Attrition Modeling'!$D:$D,'Attrition Modeling'!$C:$C,'IP Attrition'!$D91,'Attrition Modeling'!$B:$B,'IP Attrition'!N$68),VLOOKUP($F91+N$2,$A$6:$C$106,2,FALSE)*VLOOKUP(N$1,'Attrition Modeling'!$L$15:$N$27,IF(N$2+$F24&lt;=24,2,3),FALSE)),$C$3)*(1+Projection!P$16)*(1+IF(N156&gt;0,'Attrition Modeling'!$N$9,0)))</f>
        <v>0</v>
      </c>
      <c r="O91" s="799">
        <f>N91*(1-IFERROR(IF(O$69+$F91&lt;=12,SUMIFS('Attrition Modeling'!$D:$D,'Attrition Modeling'!$C:$C,'IP Attrition'!$D91,'Attrition Modeling'!$B:$B,'IP Attrition'!O$68),VLOOKUP($F91+O$2,$A$6:$C$106,2,FALSE)*VLOOKUP(O$1,'Attrition Modeling'!$L$15:$N$27,IF(O$2+$F24&lt;=24,2,3),FALSE)),$C$3)*(1+Projection!Q$16)*(1+IF(O156&gt;0,'Attrition Modeling'!$N$9,0)))</f>
        <v>0</v>
      </c>
      <c r="P91" s="799">
        <f>O91*(1-IFERROR(IF(P$69+$F91&lt;=12,SUMIFS('Attrition Modeling'!$D:$D,'Attrition Modeling'!$C:$C,'IP Attrition'!$D91,'Attrition Modeling'!$B:$B,'IP Attrition'!P$68),VLOOKUP($F91+P$2,$A$6:$C$106,2,FALSE)*VLOOKUP(P$1,'Attrition Modeling'!$L$15:$N$27,IF(P$2+$F24&lt;=24,2,3),FALSE)),$C$3)*(1+Projection!R$16)*(1+IF(P156&gt;0,'Attrition Modeling'!$N$9,0)))</f>
        <v>0</v>
      </c>
      <c r="Q91" s="799">
        <f>P91*(1-IFERROR(IF(Q$69+$F91&lt;=12,SUMIFS('Attrition Modeling'!$D:$D,'Attrition Modeling'!$C:$C,'IP Attrition'!$D91,'Attrition Modeling'!$B:$B,'IP Attrition'!Q$68),VLOOKUP($F91+Q$2,$A$6:$C$106,2,FALSE)*VLOOKUP(Q$1,'Attrition Modeling'!$L$15:$N$27,IF(Q$2+$F24&lt;=24,2,3),FALSE)),$C$3)*(1+Projection!S$16)*(1+IF(Q156&gt;0,'Attrition Modeling'!$N$9,0)))</f>
        <v>0</v>
      </c>
      <c r="R91" s="799">
        <f>Q91*(1-IFERROR(IF(R$69+$F91&lt;=12,SUMIFS('Attrition Modeling'!$D:$D,'Attrition Modeling'!$C:$C,'IP Attrition'!$D91,'Attrition Modeling'!$B:$B,'IP Attrition'!R$68),VLOOKUP($F91+R$2,$A$6:$C$106,2,FALSE)*VLOOKUP(R$1,'Attrition Modeling'!$L$15:$N$27,IF(R$2+$F24&lt;=24,2,3),FALSE)),$C$3)*(1+Projection!T$16)*(1+IF(R156&gt;0,'Attrition Modeling'!$N$9,0)))</f>
        <v>0</v>
      </c>
      <c r="S91" s="799">
        <f>R91*(1-IFERROR(IF(S$69+$F91&lt;=12,SUMIFS('Attrition Modeling'!$D:$D,'Attrition Modeling'!$C:$C,'IP Attrition'!$D91,'Attrition Modeling'!$B:$B,'IP Attrition'!S$68),VLOOKUP($F91+S$2,$A$6:$C$106,2,FALSE)*VLOOKUP(S$1,'Attrition Modeling'!$L$15:$N$27,IF(S$2+$F24&lt;=24,2,3),FALSE)),$C$3)*(1+Projection!U$16)*(1+IF(S156&gt;0,'Attrition Modeling'!$N$9,0)))</f>
        <v>0</v>
      </c>
      <c r="T91" s="799">
        <f>S91*(1-IFERROR(IF(T$69+$F91&lt;=12,SUMIFS('Attrition Modeling'!$D:$D,'Attrition Modeling'!$C:$C,'IP Attrition'!$D91,'Attrition Modeling'!$B:$B,'IP Attrition'!T$68),VLOOKUP($F91+T$2,$A$6:$C$106,2,FALSE)*VLOOKUP(T$1,'Attrition Modeling'!$L$15:$N$27,IF(T$2+$F24&lt;=24,2,3),FALSE)),$C$3)*(1+Projection!V$16)*(1+IF(T156&gt;0,'Attrition Modeling'!$N$9,0)))</f>
        <v>0</v>
      </c>
      <c r="U91" s="799">
        <f>T91*(1-IFERROR(IF(U$69+$F91&lt;=12,SUMIFS('Attrition Modeling'!$D:$D,'Attrition Modeling'!$C:$C,'IP Attrition'!$D91,'Attrition Modeling'!$B:$B,'IP Attrition'!U$68),VLOOKUP($F91+U$2,$A$6:$C$106,2,FALSE)*VLOOKUP(U$1,'Attrition Modeling'!$L$15:$N$27,IF(U$2+$F24&lt;=24,2,3),FALSE)),$C$3)*(1+Projection!W$16)*(1+IF(U156&gt;0,'Attrition Modeling'!$N$9,0)))</f>
        <v>0</v>
      </c>
      <c r="V91" s="799">
        <f>U91*(1-IFERROR(IF(V$69+$F91&lt;=12,SUMIFS('Attrition Modeling'!$D:$D,'Attrition Modeling'!$C:$C,'IP Attrition'!$D91,'Attrition Modeling'!$B:$B,'IP Attrition'!V$68),VLOOKUP($F91+V$2,$A$6:$C$106,2,FALSE)*VLOOKUP(V$1,'Attrition Modeling'!$L$15:$N$27,IF(V$2+$F24&lt;=24,2,3),FALSE)),$C$3)*(1+Projection!X$16)*(1+IF(V156&gt;0,'Attrition Modeling'!$N$9,0)))</f>
        <v>0</v>
      </c>
      <c r="W91" s="799">
        <f>V91*(1-IFERROR(IF(W$69+$F91&lt;=12,SUMIFS('Attrition Modeling'!$D:$D,'Attrition Modeling'!$C:$C,'IP Attrition'!$D91,'Attrition Modeling'!$B:$B,'IP Attrition'!W$68),VLOOKUP($F91+W$2,$A$6:$C$106,2,FALSE)*VLOOKUP(W$1,'Attrition Modeling'!$L$15:$N$27,IF(W$2+$F24&lt;=24,2,3),FALSE)),$C$3)*(1+Projection!Y$16)*(1+IF(W156&gt;0,'Attrition Modeling'!$N$9,0)))</f>
        <v>0</v>
      </c>
      <c r="X91" s="799">
        <f>W91*(1-IFERROR(IF(X$69+$F91&lt;=12,SUMIFS('Attrition Modeling'!$D:$D,'Attrition Modeling'!$C:$C,'IP Attrition'!$D91,'Attrition Modeling'!$B:$B,'IP Attrition'!X$68),VLOOKUP($F91+X$2,$A$6:$C$106,2,FALSE)*VLOOKUP(X$1,'Attrition Modeling'!$L$15:$N$27,IF(X$2+$F24&lt;=24,2,3),FALSE)),$C$3)*(1+Projection!Z$16)*(1+IF(X156&gt;0,'Attrition Modeling'!$N$9,0)))</f>
        <v>0</v>
      </c>
      <c r="Y91" s="799">
        <f>X91*(1-IFERROR(IF(Y$69+$F91&lt;=12,SUMIFS('Attrition Modeling'!$D:$D,'Attrition Modeling'!$C:$C,'IP Attrition'!$D91,'Attrition Modeling'!$B:$B,'IP Attrition'!Y$68),VLOOKUP($F91+Y$2,$A$6:$C$106,2,FALSE)*VLOOKUP(Y$1,'Attrition Modeling'!$L$15:$N$27,IF(Y$2+$F24&lt;=24,2,3),FALSE)),$C$3)*(1+Projection!AA$16)*(1+IF(Y156&gt;0,'Attrition Modeling'!$N$9,0)))</f>
        <v>0</v>
      </c>
      <c r="Z91" s="799">
        <f>Y91*(1-IFERROR(IF(Z$69+$F91&lt;=12,SUMIFS('Attrition Modeling'!$D:$D,'Attrition Modeling'!$C:$C,'IP Attrition'!$D91,'Attrition Modeling'!$B:$B,'IP Attrition'!Z$68),VLOOKUP($F91+Z$2,$A$6:$C$106,2,FALSE)*VLOOKUP(Z$1,'Attrition Modeling'!$L$15:$N$27,IF(Z$2+$F24&lt;=24,2,3),FALSE)),$C$3)*(1+Projection!AB$16)*(1+IF(Z156&gt;0,'Attrition Modeling'!$N$9,0)))</f>
        <v>0</v>
      </c>
      <c r="AA91" s="799">
        <f>Z91*(1-IFERROR(IF(AA$69+$F91&lt;=12,SUMIFS('Attrition Modeling'!$D:$D,'Attrition Modeling'!$C:$C,'IP Attrition'!$D91,'Attrition Modeling'!$B:$B,'IP Attrition'!AA$68),VLOOKUP($F91+AA$2,$A$6:$C$106,2,FALSE)*VLOOKUP(AA$1,'Attrition Modeling'!$L$15:$N$27,IF(AA$2+$F24&lt;=24,2,3),FALSE)),$C$3)*(1+Projection!AC$16)*(1+IF(AA156&gt;0,'Attrition Modeling'!$N$9,0)))</f>
        <v>0</v>
      </c>
      <c r="AB91" s="799">
        <f>AA91*(1-IFERROR(IF(AB$69+$F91&lt;=12,SUMIFS('Attrition Modeling'!$D:$D,'Attrition Modeling'!$C:$C,'IP Attrition'!$D91,'Attrition Modeling'!$B:$B,'IP Attrition'!AB$68),VLOOKUP($F91+AB$2,$A$6:$C$106,2,FALSE)*VLOOKUP(AB$1,'Attrition Modeling'!$L$15:$N$27,IF(AB$2+$F24&lt;=24,2,3),FALSE)),$C$3)*(1+Projection!AD$16)*(1+IF(AB156&gt;0,'Attrition Modeling'!$N$9,0)))</f>
        <v>0</v>
      </c>
      <c r="AC91" s="799">
        <f>AB91*(1-IFERROR(IF(AC$69+$F91&lt;=12,SUMIFS('Attrition Modeling'!$D:$D,'Attrition Modeling'!$C:$C,'IP Attrition'!$D91,'Attrition Modeling'!$B:$B,'IP Attrition'!AC$68),VLOOKUP($F91+AC$2,$A$6:$C$106,2,FALSE)*VLOOKUP(AC$1,'Attrition Modeling'!$L$15:$N$27,IF(AC$2+$F24&lt;=24,2,3),FALSE)),$C$3)*(1+Projection!AE$16)*(1+IF(AC156&gt;0,'Attrition Modeling'!$N$9,0)))</f>
        <v>0</v>
      </c>
      <c r="AD91" s="799">
        <f>AC91*(1-IFERROR(IF(AD$69+$F91&lt;=12,SUMIFS('Attrition Modeling'!$D:$D,'Attrition Modeling'!$C:$C,'IP Attrition'!$D91,'Attrition Modeling'!$B:$B,'IP Attrition'!AD$68),VLOOKUP($F91+AD$2,$A$6:$C$106,2,FALSE)*VLOOKUP(AD$1,'Attrition Modeling'!$L$15:$N$27,IF(AD$2+$F24&lt;=24,2,3),FALSE)),$C$3)*(1+Projection!AF$16)*(1+IF(AD156&gt;0,'Attrition Modeling'!$N$9,0)))</f>
        <v>0</v>
      </c>
      <c r="AE91" s="799">
        <f>AD91*(1-IFERROR(IF(AE$69+$F91&lt;=12,SUMIFS('Attrition Modeling'!$D:$D,'Attrition Modeling'!$C:$C,'IP Attrition'!$D91,'Attrition Modeling'!$B:$B,'IP Attrition'!AE$68),VLOOKUP($F91+AE$2,$A$6:$C$106,2,FALSE)*VLOOKUP(AE$1,'Attrition Modeling'!$L$15:$N$27,IF(AE$2+$F24&lt;=24,2,3),FALSE)),$C$3)*(1+Projection!AG$16)*(1+IF(AE156&gt;0,'Attrition Modeling'!$N$9,0)))</f>
        <v>0</v>
      </c>
      <c r="AF91" s="799">
        <f>AE91*(1-IFERROR(IF(AF$69+$F91&lt;=12,SUMIFS('Attrition Modeling'!$D:$D,'Attrition Modeling'!$C:$C,'IP Attrition'!$D91,'Attrition Modeling'!$B:$B,'IP Attrition'!AF$68),VLOOKUP($F91+AF$2,$A$6:$C$106,2,FALSE)*VLOOKUP(AF$1,'Attrition Modeling'!$L$15:$N$27,IF(AF$2+$F24&lt;=24,2,3),FALSE)),$C$3)*(1+Projection!AH$16)*(1+IF(AF156&gt;0,'Attrition Modeling'!$N$9,0)))</f>
        <v>0</v>
      </c>
      <c r="AG91" s="799">
        <f>AF91*(1-IFERROR(IF(AG$69+$F91&lt;=12,SUMIFS('Attrition Modeling'!$D:$D,'Attrition Modeling'!$C:$C,'IP Attrition'!$D91,'Attrition Modeling'!$B:$B,'IP Attrition'!AG$68),VLOOKUP($F91+AG$2,$A$6:$C$106,2,FALSE)*VLOOKUP(AG$1,'Attrition Modeling'!$L$15:$N$27,IF(AG$2+$F24&lt;=24,2,3),FALSE)),$C$3)*(1+Projection!AI$16)*(1+IF(AG156&gt;0,'Attrition Modeling'!$N$9,0)))</f>
        <v>0</v>
      </c>
      <c r="AH91" s="799">
        <f>AG91*(1-IFERROR(IF(AH$69+$F91&lt;=12,SUMIFS('Attrition Modeling'!$D:$D,'Attrition Modeling'!$C:$C,'IP Attrition'!$D91,'Attrition Modeling'!$B:$B,'IP Attrition'!AH$68),VLOOKUP($F91+AH$2,$A$6:$C$106,2,FALSE)*VLOOKUP(AH$1,'Attrition Modeling'!$L$15:$N$27,IF(AH$2+$F24&lt;=24,2,3),FALSE)),$C$3)*(1+Projection!AJ$16)*(1+IF(AH156&gt;0,'Attrition Modeling'!$N$9,0)))</f>
        <v>0</v>
      </c>
      <c r="AI91" s="799">
        <f>AH91*(1-IFERROR(IF(AI$69+$F91&lt;=12,SUMIFS('Attrition Modeling'!$D:$D,'Attrition Modeling'!$C:$C,'IP Attrition'!$D91,'Attrition Modeling'!$B:$B,'IP Attrition'!AI$68),VLOOKUP($F91+AI$2,$A$6:$C$106,2,FALSE)*VLOOKUP(AI$1,'Attrition Modeling'!$L$15:$N$27,IF(AI$2+$F24&lt;=24,2,3),FALSE)),$C$3)*(1+Projection!AK$16)*(1+IF(AI156&gt;0,'Attrition Modeling'!$N$9,0)))</f>
        <v>0</v>
      </c>
      <c r="AJ91" s="799">
        <f>AI91*(1-IFERROR(IF(AJ$69+$F91&lt;=12,SUMIFS('Attrition Modeling'!$D:$D,'Attrition Modeling'!$C:$C,'IP Attrition'!$D91,'Attrition Modeling'!$B:$B,'IP Attrition'!AJ$68),VLOOKUP($F91+AJ$2,$A$6:$C$106,2,FALSE)*VLOOKUP(AJ$1,'Attrition Modeling'!$L$15:$N$27,IF(AJ$2+$F24&lt;=24,2,3),FALSE)),$C$3)*(1+Projection!AL$16)*(1+IF(AJ156&gt;0,'Attrition Modeling'!$N$9,0)))</f>
        <v>0</v>
      </c>
      <c r="AK91" s="799">
        <f>AJ91*(1-IFERROR(IF(AK$69+$F91&lt;=12,SUMIFS('Attrition Modeling'!$D:$D,'Attrition Modeling'!$C:$C,'IP Attrition'!$D91,'Attrition Modeling'!$B:$B,'IP Attrition'!AK$68),VLOOKUP($F91+AK$2,$A$6:$C$106,2,FALSE)*VLOOKUP(AK$1,'Attrition Modeling'!$L$15:$N$27,IF(AK$2+$F24&lt;=24,2,3),FALSE)),$C$3)*(1+Projection!AM$16)*(1+IF(AK156&gt;0,'Attrition Modeling'!$N$9,0)))</f>
        <v>0</v>
      </c>
      <c r="AL91" s="799">
        <f>AK91*(1-IFERROR(IF(AL$69+$F91&lt;=12,SUMIFS('Attrition Modeling'!$D:$D,'Attrition Modeling'!$C:$C,'IP Attrition'!$D91,'Attrition Modeling'!$B:$B,'IP Attrition'!AL$68),VLOOKUP($F91+AL$2,$A$6:$C$106,2,FALSE)*VLOOKUP(AL$1,'Attrition Modeling'!$L$15:$N$27,IF(AL$2+$F24&lt;=24,2,3),FALSE)),$C$3)*(1+Projection!AN$16)*(1+IF(AL156&gt;0,'Attrition Modeling'!$N$9,0)))</f>
        <v>0</v>
      </c>
      <c r="AM91" s="799">
        <f>AL91*(1-IFERROR(IF(AM$69+$F91&lt;=12,SUMIFS('Attrition Modeling'!$D:$D,'Attrition Modeling'!$C:$C,'IP Attrition'!$D91,'Attrition Modeling'!$B:$B,'IP Attrition'!AM$68),VLOOKUP($F91+AM$2,$A$6:$C$106,2,FALSE)*VLOOKUP(AM$1,'Attrition Modeling'!$L$15:$N$27,IF(AM$2+$F24&lt;=24,2,3),FALSE)),$C$3)*(1+Projection!AO$16)*(1+IF(AM156&gt;0,'Attrition Modeling'!$N$9,0)))</f>
        <v>0</v>
      </c>
      <c r="AN91" s="799">
        <f>AM91*(1-IFERROR(IF(AN$69+$F91&lt;=12,SUMIFS('Attrition Modeling'!$D:$D,'Attrition Modeling'!$C:$C,'IP Attrition'!$D91,'Attrition Modeling'!$B:$B,'IP Attrition'!AN$68),VLOOKUP($F91+AN$2,$A$6:$C$106,2,FALSE)*VLOOKUP(AN$1,'Attrition Modeling'!$L$15:$N$27,IF(AN$2+$F24&lt;=24,2,3),FALSE)),$C$3)*(1+Projection!AP$16)*(1+IF(AN156&gt;0,'Attrition Modeling'!$N$9,0)))</f>
        <v>0</v>
      </c>
      <c r="AO91" s="799">
        <f>AN91*(1-IFERROR(IF(AO$69+$F91&lt;=12,SUMIFS('Attrition Modeling'!$D:$D,'Attrition Modeling'!$C:$C,'IP Attrition'!$D91,'Attrition Modeling'!$B:$B,'IP Attrition'!AO$68),VLOOKUP($F91+AO$2,$A$6:$C$106,2,FALSE)*VLOOKUP(AO$1,'Attrition Modeling'!$L$15:$N$27,IF(AO$2+$F24&lt;=24,2,3),FALSE)),$C$3)*(1+Projection!AQ$16)*(1+IF(AO156&gt;0,'Attrition Modeling'!$N$9,0)))</f>
        <v>0</v>
      </c>
      <c r="AP91" s="799">
        <f>AO91*(1-IFERROR(IF(AP$69+$F91&lt;=12,SUMIFS('Attrition Modeling'!$D:$D,'Attrition Modeling'!$C:$C,'IP Attrition'!$D91,'Attrition Modeling'!$B:$B,'IP Attrition'!AP$68),VLOOKUP($F91+AP$2,$A$6:$C$106,2,FALSE)*VLOOKUP(AP$1,'Attrition Modeling'!$L$15:$N$27,IF(AP$2+$F24&lt;=24,2,3),FALSE)),$C$3)*(1+Projection!AR$16)*(1+IF(AP156&gt;0,'Attrition Modeling'!$N$9,0)))</f>
        <v>0</v>
      </c>
      <c r="AQ91" s="799">
        <f>AP91*(1-IFERROR(IF(AQ$69+$F91&lt;=12,SUMIFS('Attrition Modeling'!$D:$D,'Attrition Modeling'!$C:$C,'IP Attrition'!$D91,'Attrition Modeling'!$B:$B,'IP Attrition'!AQ$68),VLOOKUP($F91+AQ$2,$A$6:$C$106,2,FALSE)*VLOOKUP(AQ$1,'Attrition Modeling'!$L$15:$N$27,IF(AQ$2+$F24&lt;=24,2,3),FALSE)),$C$3)*(1+Projection!AS$16)*(1+IF(AQ156&gt;0,'Attrition Modeling'!$N$9,0)))</f>
        <v>0</v>
      </c>
      <c r="AR91" s="799">
        <f>AQ91*(1-IFERROR(IF(AR$69+$F91&lt;=12,SUMIFS('Attrition Modeling'!$D:$D,'Attrition Modeling'!$C:$C,'IP Attrition'!$D91,'Attrition Modeling'!$B:$B,'IP Attrition'!AR$68),VLOOKUP($F91+AR$2,$A$6:$C$106,2,FALSE)*VLOOKUP(AR$1,'Attrition Modeling'!$L$15:$N$27,IF(AR$2+$F24&lt;=24,2,3),FALSE)),$C$3)*(1+Projection!AT$16)*(1+IF(AR156&gt;0,'Attrition Modeling'!$N$9,0)))</f>
        <v>0</v>
      </c>
      <c r="AS91" s="799">
        <f>AR91*(1-IFERROR(IF(AS$69+$F91&lt;=12,SUMIFS('Attrition Modeling'!$D:$D,'Attrition Modeling'!$C:$C,'IP Attrition'!$D91,'Attrition Modeling'!$B:$B,'IP Attrition'!AS$68),VLOOKUP($F91+AS$2,$A$6:$C$106,2,FALSE)*VLOOKUP(AS$1,'Attrition Modeling'!$L$15:$N$27,IF(AS$2+$F24&lt;=24,2,3),FALSE)),$C$3)*(1+Projection!AU$16)*(1+IF(AS156&gt;0,'Attrition Modeling'!$N$9,0)))</f>
        <v>0</v>
      </c>
      <c r="AT91" s="799">
        <f>AS91*(1-IFERROR(IF(AT$69+$F91&lt;=12,SUMIFS('Attrition Modeling'!$D:$D,'Attrition Modeling'!$C:$C,'IP Attrition'!$D91,'Attrition Modeling'!$B:$B,'IP Attrition'!AT$68),VLOOKUP($F91+AT$2,$A$6:$C$106,2,FALSE)*VLOOKUP(AT$1,'Attrition Modeling'!$L$15:$N$27,IF(AT$2+$F24&lt;=24,2,3),FALSE)),$C$3)*(1+Projection!AV$16)*(1+IF(AT156&gt;0,'Attrition Modeling'!$N$9,0)))</f>
        <v>0</v>
      </c>
      <c r="AU91" s="799">
        <f>AT91*(1-IFERROR(IF(AU$69+$F91&lt;=12,SUMIFS('Attrition Modeling'!$D:$D,'Attrition Modeling'!$C:$C,'IP Attrition'!$D91,'Attrition Modeling'!$B:$B,'IP Attrition'!AU$68),VLOOKUP($F91+AU$2,$A$6:$C$106,2,FALSE)*VLOOKUP(AU$1,'Attrition Modeling'!$L$15:$N$27,IF(AU$2+$F24&lt;=24,2,3),FALSE)),$C$3)*(1+Projection!AW$16)*(1+IF(AU156&gt;0,'Attrition Modeling'!$N$9,0)))</f>
        <v>0</v>
      </c>
      <c r="AV91" s="799">
        <f>AU91*(1-IFERROR(IF(AV$69+$F91&lt;=12,SUMIFS('Attrition Modeling'!$D:$D,'Attrition Modeling'!$C:$C,'IP Attrition'!$D91,'Attrition Modeling'!$B:$B,'IP Attrition'!AV$68),VLOOKUP($F91+AV$2,$A$6:$C$106,2,FALSE)*VLOOKUP(AV$1,'Attrition Modeling'!$L$15:$N$27,IF(AV$2+$F24&lt;=24,2,3),FALSE)),$C$3)*(1+Projection!AX$16)*(1+IF(AV156&gt;0,'Attrition Modeling'!$N$9,0)))</f>
        <v>0</v>
      </c>
      <c r="AW91" s="799">
        <f>AV91*(1-IFERROR(IF(AW$69+$F91&lt;=12,SUMIFS('Attrition Modeling'!$D:$D,'Attrition Modeling'!$C:$C,'IP Attrition'!$D91,'Attrition Modeling'!$B:$B,'IP Attrition'!AW$68),VLOOKUP($F91+AW$2,$A$6:$C$106,2,FALSE)*VLOOKUP(AW$1,'Attrition Modeling'!$L$15:$N$27,IF(AW$2+$F24&lt;=24,2,3),FALSE)),$C$3)*(1+Projection!AY$16)*(1+IF(AW156&gt;0,'Attrition Modeling'!$N$9,0)))</f>
        <v>0</v>
      </c>
      <c r="AX91" s="799">
        <f>AW91*(1-IFERROR(IF(AX$69+$F91&lt;=12,SUMIFS('Attrition Modeling'!$D:$D,'Attrition Modeling'!$C:$C,'IP Attrition'!$D91,'Attrition Modeling'!$B:$B,'IP Attrition'!AX$68),VLOOKUP($F91+AX$2,$A$6:$C$106,2,FALSE)*VLOOKUP(AX$1,'Attrition Modeling'!$L$15:$N$27,IF(AX$2+$F24&lt;=24,2,3),FALSE)),$C$3)*(1+Projection!AZ$16)*(1+IF(AX156&gt;0,'Attrition Modeling'!$N$9,0)))</f>
        <v>0</v>
      </c>
      <c r="AY91" s="799">
        <f>AX91*(1-IFERROR(IF(AY$69+$F91&lt;=12,SUMIFS('Attrition Modeling'!$D:$D,'Attrition Modeling'!$C:$C,'IP Attrition'!$D91,'Attrition Modeling'!$B:$B,'IP Attrition'!AY$68),VLOOKUP($F91+AY$2,$A$6:$C$106,2,FALSE)*VLOOKUP(AY$1,'Attrition Modeling'!$L$15:$N$27,IF(AY$2+$F24&lt;=24,2,3),FALSE)),$C$3)*(1+Projection!BA$16)*(1+IF(AY156&gt;0,'Attrition Modeling'!$N$9,0)))</f>
        <v>0</v>
      </c>
      <c r="AZ91" s="799">
        <f>AY91*(1-IFERROR(IF(AZ$69+$F91&lt;=12,SUMIFS('Attrition Modeling'!$D:$D,'Attrition Modeling'!$C:$C,'IP Attrition'!$D91,'Attrition Modeling'!$B:$B,'IP Attrition'!AZ$68),VLOOKUP($F91+AZ$2,$A$6:$C$106,2,FALSE)*VLOOKUP(AZ$1,'Attrition Modeling'!$L$15:$N$27,IF(AZ$2+$F24&lt;=24,2,3),FALSE)),$C$3)*(1+Projection!BB$16)*(1+IF(AZ156&gt;0,'Attrition Modeling'!$N$9,0)))</f>
        <v>0</v>
      </c>
      <c r="BA91" s="799">
        <f>AZ91*(1-IFERROR(IF(BA$69+$F91&lt;=12,SUMIFS('Attrition Modeling'!$D:$D,'Attrition Modeling'!$C:$C,'IP Attrition'!$D91,'Attrition Modeling'!$B:$B,'IP Attrition'!BA$68),VLOOKUP($F91+BA$2,$A$6:$C$106,2,FALSE)*VLOOKUP(BA$1,'Attrition Modeling'!$L$15:$N$27,IF(BA$2+$F24&lt;=24,2,3),FALSE)),$C$3)*(1+Projection!BC$16)*(1+IF(BA156&gt;0,'Attrition Modeling'!$N$9,0)))</f>
        <v>0</v>
      </c>
      <c r="BB91" s="799">
        <f>BA91*(1-IFERROR(IF(BB$69+$F91&lt;=12,SUMIFS('Attrition Modeling'!$D:$D,'Attrition Modeling'!$C:$C,'IP Attrition'!$D91,'Attrition Modeling'!$B:$B,'IP Attrition'!BB$68),VLOOKUP($F91+BB$2,$A$6:$C$106,2,FALSE)*VLOOKUP(BB$1,'Attrition Modeling'!$L$15:$N$27,IF(BB$2+$F24&lt;=24,2,3),FALSE)),$C$3)*(1+Projection!BD$16)*(1+IF(BB156&gt;0,'Attrition Modeling'!$N$9,0)))</f>
        <v>0</v>
      </c>
      <c r="BC91" s="799">
        <f>BB91*(1-IFERROR(IF(BC$69+$F91&lt;=12,SUMIFS('Attrition Modeling'!$D:$D,'Attrition Modeling'!$C:$C,'IP Attrition'!$D91,'Attrition Modeling'!$B:$B,'IP Attrition'!BC$68),VLOOKUP($F91+BC$2,$A$6:$C$106,2,FALSE)*VLOOKUP(BC$1,'Attrition Modeling'!$L$15:$N$27,IF(BC$2+$F24&lt;=24,2,3),FALSE)),$C$3)*(1+Projection!BE$16)*(1+IF(BC156&gt;0,'Attrition Modeling'!$N$9,0)))</f>
        <v>0</v>
      </c>
      <c r="BD91" s="799">
        <f>BC91*(1-IFERROR(IF(BD$69+$F91&lt;=12,SUMIFS('Attrition Modeling'!$D:$D,'Attrition Modeling'!$C:$C,'IP Attrition'!$D91,'Attrition Modeling'!$B:$B,'IP Attrition'!BD$68),VLOOKUP($F91+BD$2,$A$6:$C$106,2,FALSE)*VLOOKUP(BD$1,'Attrition Modeling'!$L$15:$N$27,IF(BD$2+$F24&lt;=24,2,3),FALSE)),$C$3)*(1+Projection!BF$16)*(1+IF(BD156&gt;0,'Attrition Modeling'!$N$9,0)))</f>
        <v>0</v>
      </c>
      <c r="BE91" s="799">
        <f>BD91*(1-IFERROR(IF(BE$69+$F91&lt;=12,SUMIFS('Attrition Modeling'!$D:$D,'Attrition Modeling'!$C:$C,'IP Attrition'!$D91,'Attrition Modeling'!$B:$B,'IP Attrition'!BE$68),VLOOKUP($F91+BE$2,$A$6:$C$106,2,FALSE)*VLOOKUP(BE$1,'Attrition Modeling'!$L$15:$N$27,IF(BE$2+$F24&lt;=24,2,3),FALSE)),$C$3)*(1+Projection!BG$16)*(1+IF(BE156&gt;0,'Attrition Modeling'!$N$9,0)))</f>
        <v>0</v>
      </c>
      <c r="BF91" s="799">
        <f>BE91*(1-IFERROR(IF(BF$69+$F91&lt;=12,SUMIFS('Attrition Modeling'!$D:$D,'Attrition Modeling'!$C:$C,'IP Attrition'!$D91,'Attrition Modeling'!$B:$B,'IP Attrition'!BF$68),VLOOKUP($F91+BF$2,$A$6:$C$106,2,FALSE)*VLOOKUP(BF$1,'Attrition Modeling'!$L$15:$N$27,IF(BF$2+$F24&lt;=24,2,3),FALSE)),$C$3)*(1+Projection!BH$16)*(1+IF(BF156&gt;0,'Attrition Modeling'!$N$9,0)))</f>
        <v>0</v>
      </c>
      <c r="BG91" s="799">
        <f>BF91*(1-IFERROR(IF(BG$69+$F91&lt;=12,SUMIFS('Attrition Modeling'!$D:$D,'Attrition Modeling'!$C:$C,'IP Attrition'!$D91,'Attrition Modeling'!$B:$B,'IP Attrition'!BG$68),VLOOKUP($F91+BG$2,$A$6:$C$106,2,FALSE)*VLOOKUP(BG$1,'Attrition Modeling'!$L$15:$N$27,IF(BG$2+$F24&lt;=24,2,3),FALSE)),$C$3)*(1+Projection!BI$16)*(1+IF(BG156&gt;0,'Attrition Modeling'!$N$9,0)))</f>
        <v>0</v>
      </c>
      <c r="BH91" s="799">
        <f>BG91*(1-IFERROR(IF(BH$69+$F91&lt;=12,SUMIFS('Attrition Modeling'!$D:$D,'Attrition Modeling'!$C:$C,'IP Attrition'!$D91,'Attrition Modeling'!$B:$B,'IP Attrition'!BH$68),VLOOKUP($F91+BH$2,$A$6:$C$106,2,FALSE)*VLOOKUP(BH$1,'Attrition Modeling'!$L$15:$N$27,IF(BH$2+$F24&lt;=24,2,3),FALSE)),$C$3)*(1+Projection!BJ$16)*(1+IF(BH156&gt;0,'Attrition Modeling'!$N$9,0)))</f>
        <v>0</v>
      </c>
      <c r="BI91" s="799">
        <f>BH91*(1-IFERROR(IF(BI$69+$F91&lt;=12,SUMIFS('Attrition Modeling'!$D:$D,'Attrition Modeling'!$C:$C,'IP Attrition'!$D91,'Attrition Modeling'!$B:$B,'IP Attrition'!BI$68),VLOOKUP($F91+BI$2,$A$6:$C$106,2,FALSE)*VLOOKUP(BI$1,'Attrition Modeling'!$L$15:$N$27,IF(BI$2+$F24&lt;=24,2,3),FALSE)),$C$3)*(1+Projection!BK$16)*(1+IF(BI156&gt;0,'Attrition Modeling'!$N$9,0)))</f>
        <v>0</v>
      </c>
      <c r="BJ91" s="799">
        <f>BI91*(1-IFERROR(IF(BJ$69+$F91&lt;=12,SUMIFS('Attrition Modeling'!$D:$D,'Attrition Modeling'!$C:$C,'IP Attrition'!$D91,'Attrition Modeling'!$B:$B,'IP Attrition'!BJ$68),VLOOKUP($F91+BJ$2,$A$6:$C$106,2,FALSE)*VLOOKUP(BJ$1,'Attrition Modeling'!$L$15:$N$27,IF(BJ$2+$F24&lt;=24,2,3),FALSE)),$C$3)*(1+Projection!BL$16)*(1+IF(BJ156&gt;0,'Attrition Modeling'!$N$9,0)))</f>
        <v>0</v>
      </c>
      <c r="BK91" s="799">
        <f>BJ91*(1-IFERROR(IF(BK$69+$F91&lt;=12,SUMIFS('Attrition Modeling'!$D:$D,'Attrition Modeling'!$C:$C,'IP Attrition'!$D91,'Attrition Modeling'!$B:$B,'IP Attrition'!BK$68),VLOOKUP($F91+BK$2,$A$6:$C$106,2,FALSE)*VLOOKUP(BK$1,'Attrition Modeling'!$L$15:$N$27,IF(BK$2+$F24&lt;=24,2,3),FALSE)),$C$3)*(1+Projection!BM$16)*(1+IF(BK156&gt;0,'Attrition Modeling'!$N$9,0)))</f>
        <v>0</v>
      </c>
      <c r="BL91" s="799">
        <f>BK91*(1-IFERROR(IF(BL$69+$F91&lt;=12,SUMIFS('Attrition Modeling'!$D:$D,'Attrition Modeling'!$C:$C,'IP Attrition'!$D91,'Attrition Modeling'!$B:$B,'IP Attrition'!BL$68),VLOOKUP($F91+BL$2,$A$6:$C$106,2,FALSE)*VLOOKUP(BL$1,'Attrition Modeling'!$L$15:$N$27,IF(BL$2+$F24&lt;=24,2,3),FALSE)),$C$3)*(1+Projection!BN$16)*(1+IF(BL156&gt;0,'Attrition Modeling'!$N$9,0)))</f>
        <v>0</v>
      </c>
      <c r="BM91" s="799">
        <f>BL91*(1-IFERROR(IF(BM$69+$F91&lt;=12,SUMIFS('Attrition Modeling'!$D:$D,'Attrition Modeling'!$C:$C,'IP Attrition'!$D91,'Attrition Modeling'!$B:$B,'IP Attrition'!BM$68),VLOOKUP($F91+BM$2,$A$6:$C$106,2,FALSE)*VLOOKUP(BM$1,'Attrition Modeling'!$L$15:$N$27,IF(BM$2+$F24&lt;=24,2,3),FALSE)),$C$3)*(1+Projection!BO$16)*(1+IF(BM156&gt;0,'Attrition Modeling'!$N$9,0)))</f>
        <v>0</v>
      </c>
      <c r="BN91" s="799">
        <f>BM91*(1-IFERROR(IF(BN$69+$F91&lt;=12,SUMIFS('Attrition Modeling'!$D:$D,'Attrition Modeling'!$C:$C,'IP Attrition'!$D91,'Attrition Modeling'!$B:$B,'IP Attrition'!BN$68),VLOOKUP($F91+BN$2,$A$6:$C$106,2,FALSE)*VLOOKUP(BN$1,'Attrition Modeling'!$L$15:$N$27,IF(BN$2+$F24&lt;=24,2,3),FALSE)),$C$3)*(1+Projection!BP$16)*(1+IF(BN156&gt;0,'Attrition Modeling'!$N$9,0)))</f>
        <v>0</v>
      </c>
      <c r="BO91" s="799">
        <f>BN91*(1-IFERROR(IF(BO$69+$F91&lt;=12,SUMIFS('Attrition Modeling'!$D:$D,'Attrition Modeling'!$C:$C,'IP Attrition'!$D91,'Attrition Modeling'!$B:$B,'IP Attrition'!BO$68),VLOOKUP($F91+BO$2,$A$6:$C$106,2,FALSE)*VLOOKUP(BO$1,'Attrition Modeling'!$L$15:$N$27,IF(BO$2+$F24&lt;=24,2,3),FALSE)),$C$3)*(1+Projection!BV$16)*(1+IF(BO156&gt;0,'Attrition Modeling'!$N$9,0)))</f>
        <v>0</v>
      </c>
      <c r="BP91" s="799">
        <f>BO91*(1-IFERROR(IF(BP$69+$F91&lt;=12,SUMIFS('Attrition Modeling'!$D:$D,'Attrition Modeling'!$C:$C,'IP Attrition'!$D91,'Attrition Modeling'!$B:$B,'IP Attrition'!BP$68),VLOOKUP($F91+BP$2,$A$6:$C$106,2,FALSE)*VLOOKUP(BP$1,'Attrition Modeling'!$L$15:$N$27,IF(BP$2+$F24&lt;=24,2,3),FALSE)),$C$3)*(1+Projection!BW$16)*(1+IF(BP156&gt;0,'Attrition Modeling'!$N$9,0)))</f>
        <v>0</v>
      </c>
      <c r="BQ91" s="799">
        <f>BP91*(1-IFERROR(IF(BQ$69+$F91&lt;=12,SUMIFS('Attrition Modeling'!$D:$D,'Attrition Modeling'!$C:$C,'IP Attrition'!$D91,'Attrition Modeling'!$B:$B,'IP Attrition'!BQ$68),VLOOKUP($F91+BQ$2,$A$6:$C$106,2,FALSE)*VLOOKUP(BQ$1,'Attrition Modeling'!$L$15:$N$27,IF(BQ$2+$F24&lt;=24,2,3),FALSE)),$C$3)*(1+Projection!BX$16)*(1+IF(BQ156&gt;0,'Attrition Modeling'!$N$9,0)))</f>
        <v>0</v>
      </c>
      <c r="BR91" s="799">
        <f>BQ91*(1-IFERROR(IF(BR$69+$F91&lt;=12,SUMIFS('Attrition Modeling'!$D:$D,'Attrition Modeling'!$C:$C,'IP Attrition'!$D91,'Attrition Modeling'!$B:$B,'IP Attrition'!BR$68),VLOOKUP($F91+BR$2,$A$6:$C$106,2,FALSE)*VLOOKUP(BR$1,'Attrition Modeling'!$L$15:$N$27,IF(BR$2+$F24&lt;=24,2,3),FALSE)),$C$3)*(1+Projection!BY$16)*(1+IF(BR156&gt;0,'Attrition Modeling'!$N$9,0)))</f>
        <v>0</v>
      </c>
      <c r="BS91" s="799">
        <f>BR91*(1-IFERROR(IF(BS$69+$F91&lt;=12,SUMIFS('Attrition Modeling'!$D:$D,'Attrition Modeling'!$C:$C,'IP Attrition'!$D91,'Attrition Modeling'!$B:$B,'IP Attrition'!BS$68),VLOOKUP($F91+BS$2,$A$6:$C$106,2,FALSE)*VLOOKUP(BS$1,'Attrition Modeling'!$L$15:$N$27,IF(BS$2+$F24&lt;=24,2,3),FALSE)),$C$3)*(1+Projection!BZ$16)*(1+IF(BS156&gt;0,'Attrition Modeling'!$N$9,0)))</f>
        <v>0</v>
      </c>
      <c r="BT91" s="799" t="e">
        <f>BS91*(1-IFERROR(IF(BT$69+$F91&lt;=12,SUMIFS('Attrition Modeling'!$D:$D,'Attrition Modeling'!$C:$C,'IP Attrition'!$D91,'Attrition Modeling'!$B:$B,'IP Attrition'!BT$68),VLOOKUP($F91+BT$2,$A$6:$C$106,2,FALSE)*VLOOKUP(BT$1,'Attrition Modeling'!$L$15:$N$27,IF(BT$2+$F24&lt;=24,2,3),FALSE)),$C$3)*(1+Projection!CA$16)*(1+IF(BT156&gt;0,'Attrition Modeling'!$N$9,0)))</f>
        <v>#REF!</v>
      </c>
      <c r="BU91" s="799" t="e">
        <f>BT91*(1-IFERROR(IF(BU$69+$F91&lt;=12,SUMIFS('Attrition Modeling'!$D:$D,'Attrition Modeling'!$C:$C,'IP Attrition'!$D91,'Attrition Modeling'!$B:$B,'IP Attrition'!BU$68),VLOOKUP($F91+BU$2,$A$6:$C$106,2,FALSE)*VLOOKUP(BU$1,'Attrition Modeling'!$L$15:$N$27,IF(BU$2+$F24&lt;=24,2,3),FALSE)),$C$3)*(1+Projection!CB$16)*(1+IF(BU156&gt;0,'Attrition Modeling'!$N$9,0)))</f>
        <v>#REF!</v>
      </c>
    </row>
    <row r="92" spans="1:73" ht="14.25" customHeight="1" x14ac:dyDescent="0.2">
      <c r="A92" s="9">
        <v>85</v>
      </c>
      <c r="B92" s="25">
        <f>MAX('Attrition Modeling'!H89,$C$3)*(1-Summary!$C$20)</f>
        <v>0.02</v>
      </c>
      <c r="C92" s="24" t="e">
        <f t="shared" si="3"/>
        <v>#DIV/0!</v>
      </c>
      <c r="D92" s="11">
        <f t="shared" ref="D92:E92" si="30">D25</f>
        <v>-22</v>
      </c>
      <c r="E92" s="25">
        <f t="shared" si="30"/>
        <v>0</v>
      </c>
      <c r="F92" s="11">
        <f t="shared" si="9"/>
        <v>22</v>
      </c>
      <c r="G92" s="799">
        <f>Summary!$C$24*$E92</f>
        <v>0</v>
      </c>
      <c r="H92" s="799">
        <f>G92*(1-IFERROR(IF(H$69+$F92&lt;=12,SUMIFS('Attrition Modeling'!$D:$D,'Attrition Modeling'!$C:$C,'IP Attrition'!$D92,'Attrition Modeling'!$B:$B,'IP Attrition'!H$68),VLOOKUP($F92+H$2,$A$6:$C$106,2,FALSE)*VLOOKUP(H$1,'Attrition Modeling'!$L$15:$N$27,IF(H$2+$F25&lt;=24,2,3),FALSE)),$C$3)*(1+Projection!J$16)*(1+IF(H157&gt;0,'Attrition Modeling'!$N$9,0)))</f>
        <v>0</v>
      </c>
      <c r="I92" s="799">
        <f>H92*(1-IFERROR(IF(I$69+$F92&lt;=12,SUMIFS('Attrition Modeling'!$D:$D,'Attrition Modeling'!$C:$C,'IP Attrition'!$D92,'Attrition Modeling'!$B:$B,'IP Attrition'!I$68),VLOOKUP($F92+I$2,$A$6:$C$106,2,FALSE)*VLOOKUP(I$1,'Attrition Modeling'!$L$15:$N$27,IF(I$2+$F25&lt;=24,2,3),FALSE)),$C$3)*(1+Projection!K$16)*(1+IF(I157&gt;0,'Attrition Modeling'!$N$9,0)))</f>
        <v>0</v>
      </c>
      <c r="J92" s="799">
        <f>I92*(1-IFERROR(IF(J$69+$F92&lt;=12,SUMIFS('Attrition Modeling'!$D:$D,'Attrition Modeling'!$C:$C,'IP Attrition'!$D92,'Attrition Modeling'!$B:$B,'IP Attrition'!J$68),VLOOKUP($F92+J$2,$A$6:$C$106,2,FALSE)*VLOOKUP(J$1,'Attrition Modeling'!$L$15:$N$27,IF(J$2+$F25&lt;=24,2,3),FALSE)),$C$3)*(1+Projection!L$16)*(1+IF(J157&gt;0,'Attrition Modeling'!$N$9,0)))</f>
        <v>0</v>
      </c>
      <c r="K92" s="799">
        <f>J92*(1-IFERROR(IF(K$69+$F92&lt;=12,SUMIFS('Attrition Modeling'!$D:$D,'Attrition Modeling'!$C:$C,'IP Attrition'!$D92,'Attrition Modeling'!$B:$B,'IP Attrition'!K$68),VLOOKUP($F92+K$2,$A$6:$C$106,2,FALSE)*VLOOKUP(K$1,'Attrition Modeling'!$L$15:$N$27,IF(K$2+$F25&lt;=24,2,3),FALSE)),$C$3)*(1+Projection!M$16)*(1+IF(K157&gt;0,'Attrition Modeling'!$N$9,0)))</f>
        <v>0</v>
      </c>
      <c r="L92" s="799">
        <f>K92*(1-IFERROR(IF(L$69+$F92&lt;=12,SUMIFS('Attrition Modeling'!$D:$D,'Attrition Modeling'!$C:$C,'IP Attrition'!$D92,'Attrition Modeling'!$B:$B,'IP Attrition'!L$68),VLOOKUP($F92+L$2,$A$6:$C$106,2,FALSE)*VLOOKUP(L$1,'Attrition Modeling'!$L$15:$N$27,IF(L$2+$F25&lt;=24,2,3),FALSE)),$C$3)*(1+Projection!N$16)*(1+IF(L157&gt;0,'Attrition Modeling'!$N$9,0)))</f>
        <v>0</v>
      </c>
      <c r="M92" s="799">
        <f>L92*(1-IFERROR(IF(M$69+$F92&lt;=12,SUMIFS('Attrition Modeling'!$D:$D,'Attrition Modeling'!$C:$C,'IP Attrition'!$D92,'Attrition Modeling'!$B:$B,'IP Attrition'!M$68),VLOOKUP($F92+M$2,$A$6:$C$106,2,FALSE)*VLOOKUP(M$1,'Attrition Modeling'!$L$15:$N$27,IF(M$2+$F25&lt;=24,2,3),FALSE)),$C$3)*(1+Projection!O$16)*(1+IF(M157&gt;0,'Attrition Modeling'!$N$9,0)))</f>
        <v>0</v>
      </c>
      <c r="N92" s="799">
        <f>M92*(1-IFERROR(IF(N$69+$F92&lt;=12,SUMIFS('Attrition Modeling'!$D:$D,'Attrition Modeling'!$C:$C,'IP Attrition'!$D92,'Attrition Modeling'!$B:$B,'IP Attrition'!N$68),VLOOKUP($F92+N$2,$A$6:$C$106,2,FALSE)*VLOOKUP(N$1,'Attrition Modeling'!$L$15:$N$27,IF(N$2+$F25&lt;=24,2,3),FALSE)),$C$3)*(1+Projection!P$16)*(1+IF(N157&gt;0,'Attrition Modeling'!$N$9,0)))</f>
        <v>0</v>
      </c>
      <c r="O92" s="799">
        <f>N92*(1-IFERROR(IF(O$69+$F92&lt;=12,SUMIFS('Attrition Modeling'!$D:$D,'Attrition Modeling'!$C:$C,'IP Attrition'!$D92,'Attrition Modeling'!$B:$B,'IP Attrition'!O$68),VLOOKUP($F92+O$2,$A$6:$C$106,2,FALSE)*VLOOKUP(O$1,'Attrition Modeling'!$L$15:$N$27,IF(O$2+$F25&lt;=24,2,3),FALSE)),$C$3)*(1+Projection!Q$16)*(1+IF(O157&gt;0,'Attrition Modeling'!$N$9,0)))</f>
        <v>0</v>
      </c>
      <c r="P92" s="799">
        <f>O92*(1-IFERROR(IF(P$69+$F92&lt;=12,SUMIFS('Attrition Modeling'!$D:$D,'Attrition Modeling'!$C:$C,'IP Attrition'!$D92,'Attrition Modeling'!$B:$B,'IP Attrition'!P$68),VLOOKUP($F92+P$2,$A$6:$C$106,2,FALSE)*VLOOKUP(P$1,'Attrition Modeling'!$L$15:$N$27,IF(P$2+$F25&lt;=24,2,3),FALSE)),$C$3)*(1+Projection!R$16)*(1+IF(P157&gt;0,'Attrition Modeling'!$N$9,0)))</f>
        <v>0</v>
      </c>
      <c r="Q92" s="799">
        <f>P92*(1-IFERROR(IF(Q$69+$F92&lt;=12,SUMIFS('Attrition Modeling'!$D:$D,'Attrition Modeling'!$C:$C,'IP Attrition'!$D92,'Attrition Modeling'!$B:$B,'IP Attrition'!Q$68),VLOOKUP($F92+Q$2,$A$6:$C$106,2,FALSE)*VLOOKUP(Q$1,'Attrition Modeling'!$L$15:$N$27,IF(Q$2+$F25&lt;=24,2,3),FALSE)),$C$3)*(1+Projection!S$16)*(1+IF(Q157&gt;0,'Attrition Modeling'!$N$9,0)))</f>
        <v>0</v>
      </c>
      <c r="R92" s="799">
        <f>Q92*(1-IFERROR(IF(R$69+$F92&lt;=12,SUMIFS('Attrition Modeling'!$D:$D,'Attrition Modeling'!$C:$C,'IP Attrition'!$D92,'Attrition Modeling'!$B:$B,'IP Attrition'!R$68),VLOOKUP($F92+R$2,$A$6:$C$106,2,FALSE)*VLOOKUP(R$1,'Attrition Modeling'!$L$15:$N$27,IF(R$2+$F25&lt;=24,2,3),FALSE)),$C$3)*(1+Projection!T$16)*(1+IF(R157&gt;0,'Attrition Modeling'!$N$9,0)))</f>
        <v>0</v>
      </c>
      <c r="S92" s="799">
        <f>R92*(1-IFERROR(IF(S$69+$F92&lt;=12,SUMIFS('Attrition Modeling'!$D:$D,'Attrition Modeling'!$C:$C,'IP Attrition'!$D92,'Attrition Modeling'!$B:$B,'IP Attrition'!S$68),VLOOKUP($F92+S$2,$A$6:$C$106,2,FALSE)*VLOOKUP(S$1,'Attrition Modeling'!$L$15:$N$27,IF(S$2+$F25&lt;=24,2,3),FALSE)),$C$3)*(1+Projection!U$16)*(1+IF(S157&gt;0,'Attrition Modeling'!$N$9,0)))</f>
        <v>0</v>
      </c>
      <c r="T92" s="799">
        <f>S92*(1-IFERROR(IF(T$69+$F92&lt;=12,SUMIFS('Attrition Modeling'!$D:$D,'Attrition Modeling'!$C:$C,'IP Attrition'!$D92,'Attrition Modeling'!$B:$B,'IP Attrition'!T$68),VLOOKUP($F92+T$2,$A$6:$C$106,2,FALSE)*VLOOKUP(T$1,'Attrition Modeling'!$L$15:$N$27,IF(T$2+$F25&lt;=24,2,3),FALSE)),$C$3)*(1+Projection!V$16)*(1+IF(T157&gt;0,'Attrition Modeling'!$N$9,0)))</f>
        <v>0</v>
      </c>
      <c r="U92" s="799">
        <f>T92*(1-IFERROR(IF(U$69+$F92&lt;=12,SUMIFS('Attrition Modeling'!$D:$D,'Attrition Modeling'!$C:$C,'IP Attrition'!$D92,'Attrition Modeling'!$B:$B,'IP Attrition'!U$68),VLOOKUP($F92+U$2,$A$6:$C$106,2,FALSE)*VLOOKUP(U$1,'Attrition Modeling'!$L$15:$N$27,IF(U$2+$F25&lt;=24,2,3),FALSE)),$C$3)*(1+Projection!W$16)*(1+IF(U157&gt;0,'Attrition Modeling'!$N$9,0)))</f>
        <v>0</v>
      </c>
      <c r="V92" s="799">
        <f>U92*(1-IFERROR(IF(V$69+$F92&lt;=12,SUMIFS('Attrition Modeling'!$D:$D,'Attrition Modeling'!$C:$C,'IP Attrition'!$D92,'Attrition Modeling'!$B:$B,'IP Attrition'!V$68),VLOOKUP($F92+V$2,$A$6:$C$106,2,FALSE)*VLOOKUP(V$1,'Attrition Modeling'!$L$15:$N$27,IF(V$2+$F25&lt;=24,2,3),FALSE)),$C$3)*(1+Projection!X$16)*(1+IF(V157&gt;0,'Attrition Modeling'!$N$9,0)))</f>
        <v>0</v>
      </c>
      <c r="W92" s="799">
        <f>V92*(1-IFERROR(IF(W$69+$F92&lt;=12,SUMIFS('Attrition Modeling'!$D:$D,'Attrition Modeling'!$C:$C,'IP Attrition'!$D92,'Attrition Modeling'!$B:$B,'IP Attrition'!W$68),VLOOKUP($F92+W$2,$A$6:$C$106,2,FALSE)*VLOOKUP(W$1,'Attrition Modeling'!$L$15:$N$27,IF(W$2+$F25&lt;=24,2,3),FALSE)),$C$3)*(1+Projection!Y$16)*(1+IF(W157&gt;0,'Attrition Modeling'!$N$9,0)))</f>
        <v>0</v>
      </c>
      <c r="X92" s="799">
        <f>W92*(1-IFERROR(IF(X$69+$F92&lt;=12,SUMIFS('Attrition Modeling'!$D:$D,'Attrition Modeling'!$C:$C,'IP Attrition'!$D92,'Attrition Modeling'!$B:$B,'IP Attrition'!X$68),VLOOKUP($F92+X$2,$A$6:$C$106,2,FALSE)*VLOOKUP(X$1,'Attrition Modeling'!$L$15:$N$27,IF(X$2+$F25&lt;=24,2,3),FALSE)),$C$3)*(1+Projection!Z$16)*(1+IF(X157&gt;0,'Attrition Modeling'!$N$9,0)))</f>
        <v>0</v>
      </c>
      <c r="Y92" s="799">
        <f>X92*(1-IFERROR(IF(Y$69+$F92&lt;=12,SUMIFS('Attrition Modeling'!$D:$D,'Attrition Modeling'!$C:$C,'IP Attrition'!$D92,'Attrition Modeling'!$B:$B,'IP Attrition'!Y$68),VLOOKUP($F92+Y$2,$A$6:$C$106,2,FALSE)*VLOOKUP(Y$1,'Attrition Modeling'!$L$15:$N$27,IF(Y$2+$F25&lt;=24,2,3),FALSE)),$C$3)*(1+Projection!AA$16)*(1+IF(Y157&gt;0,'Attrition Modeling'!$N$9,0)))</f>
        <v>0</v>
      </c>
      <c r="Z92" s="799">
        <f>Y92*(1-IFERROR(IF(Z$69+$F92&lt;=12,SUMIFS('Attrition Modeling'!$D:$D,'Attrition Modeling'!$C:$C,'IP Attrition'!$D92,'Attrition Modeling'!$B:$B,'IP Attrition'!Z$68),VLOOKUP($F92+Z$2,$A$6:$C$106,2,FALSE)*VLOOKUP(Z$1,'Attrition Modeling'!$L$15:$N$27,IF(Z$2+$F25&lt;=24,2,3),FALSE)),$C$3)*(1+Projection!AB$16)*(1+IF(Z157&gt;0,'Attrition Modeling'!$N$9,0)))</f>
        <v>0</v>
      </c>
      <c r="AA92" s="799">
        <f>Z92*(1-IFERROR(IF(AA$69+$F92&lt;=12,SUMIFS('Attrition Modeling'!$D:$D,'Attrition Modeling'!$C:$C,'IP Attrition'!$D92,'Attrition Modeling'!$B:$B,'IP Attrition'!AA$68),VLOOKUP($F92+AA$2,$A$6:$C$106,2,FALSE)*VLOOKUP(AA$1,'Attrition Modeling'!$L$15:$N$27,IF(AA$2+$F25&lt;=24,2,3),FALSE)),$C$3)*(1+Projection!AC$16)*(1+IF(AA157&gt;0,'Attrition Modeling'!$N$9,0)))</f>
        <v>0</v>
      </c>
      <c r="AB92" s="799">
        <f>AA92*(1-IFERROR(IF(AB$69+$F92&lt;=12,SUMIFS('Attrition Modeling'!$D:$D,'Attrition Modeling'!$C:$C,'IP Attrition'!$D92,'Attrition Modeling'!$B:$B,'IP Attrition'!AB$68),VLOOKUP($F92+AB$2,$A$6:$C$106,2,FALSE)*VLOOKUP(AB$1,'Attrition Modeling'!$L$15:$N$27,IF(AB$2+$F25&lt;=24,2,3),FALSE)),$C$3)*(1+Projection!AD$16)*(1+IF(AB157&gt;0,'Attrition Modeling'!$N$9,0)))</f>
        <v>0</v>
      </c>
      <c r="AC92" s="799">
        <f>AB92*(1-IFERROR(IF(AC$69+$F92&lt;=12,SUMIFS('Attrition Modeling'!$D:$D,'Attrition Modeling'!$C:$C,'IP Attrition'!$D92,'Attrition Modeling'!$B:$B,'IP Attrition'!AC$68),VLOOKUP($F92+AC$2,$A$6:$C$106,2,FALSE)*VLOOKUP(AC$1,'Attrition Modeling'!$L$15:$N$27,IF(AC$2+$F25&lt;=24,2,3),FALSE)),$C$3)*(1+Projection!AE$16)*(1+IF(AC157&gt;0,'Attrition Modeling'!$N$9,0)))</f>
        <v>0</v>
      </c>
      <c r="AD92" s="799">
        <f>AC92*(1-IFERROR(IF(AD$69+$F92&lt;=12,SUMIFS('Attrition Modeling'!$D:$D,'Attrition Modeling'!$C:$C,'IP Attrition'!$D92,'Attrition Modeling'!$B:$B,'IP Attrition'!AD$68),VLOOKUP($F92+AD$2,$A$6:$C$106,2,FALSE)*VLOOKUP(AD$1,'Attrition Modeling'!$L$15:$N$27,IF(AD$2+$F25&lt;=24,2,3),FALSE)),$C$3)*(1+Projection!AF$16)*(1+IF(AD157&gt;0,'Attrition Modeling'!$N$9,0)))</f>
        <v>0</v>
      </c>
      <c r="AE92" s="799">
        <f>AD92*(1-IFERROR(IF(AE$69+$F92&lt;=12,SUMIFS('Attrition Modeling'!$D:$D,'Attrition Modeling'!$C:$C,'IP Attrition'!$D92,'Attrition Modeling'!$B:$B,'IP Attrition'!AE$68),VLOOKUP($F92+AE$2,$A$6:$C$106,2,FALSE)*VLOOKUP(AE$1,'Attrition Modeling'!$L$15:$N$27,IF(AE$2+$F25&lt;=24,2,3),FALSE)),$C$3)*(1+Projection!AG$16)*(1+IF(AE157&gt;0,'Attrition Modeling'!$N$9,0)))</f>
        <v>0</v>
      </c>
      <c r="AF92" s="799">
        <f>AE92*(1-IFERROR(IF(AF$69+$F92&lt;=12,SUMIFS('Attrition Modeling'!$D:$D,'Attrition Modeling'!$C:$C,'IP Attrition'!$D92,'Attrition Modeling'!$B:$B,'IP Attrition'!AF$68),VLOOKUP($F92+AF$2,$A$6:$C$106,2,FALSE)*VLOOKUP(AF$1,'Attrition Modeling'!$L$15:$N$27,IF(AF$2+$F25&lt;=24,2,3),FALSE)),$C$3)*(1+Projection!AH$16)*(1+IF(AF157&gt;0,'Attrition Modeling'!$N$9,0)))</f>
        <v>0</v>
      </c>
      <c r="AG92" s="799">
        <f>AF92*(1-IFERROR(IF(AG$69+$F92&lt;=12,SUMIFS('Attrition Modeling'!$D:$D,'Attrition Modeling'!$C:$C,'IP Attrition'!$D92,'Attrition Modeling'!$B:$B,'IP Attrition'!AG$68),VLOOKUP($F92+AG$2,$A$6:$C$106,2,FALSE)*VLOOKUP(AG$1,'Attrition Modeling'!$L$15:$N$27,IF(AG$2+$F25&lt;=24,2,3),FALSE)),$C$3)*(1+Projection!AI$16)*(1+IF(AG157&gt;0,'Attrition Modeling'!$N$9,0)))</f>
        <v>0</v>
      </c>
      <c r="AH92" s="799">
        <f>AG92*(1-IFERROR(IF(AH$69+$F92&lt;=12,SUMIFS('Attrition Modeling'!$D:$D,'Attrition Modeling'!$C:$C,'IP Attrition'!$D92,'Attrition Modeling'!$B:$B,'IP Attrition'!AH$68),VLOOKUP($F92+AH$2,$A$6:$C$106,2,FALSE)*VLOOKUP(AH$1,'Attrition Modeling'!$L$15:$N$27,IF(AH$2+$F25&lt;=24,2,3),FALSE)),$C$3)*(1+Projection!AJ$16)*(1+IF(AH157&gt;0,'Attrition Modeling'!$N$9,0)))</f>
        <v>0</v>
      </c>
      <c r="AI92" s="799">
        <f>AH92*(1-IFERROR(IF(AI$69+$F92&lt;=12,SUMIFS('Attrition Modeling'!$D:$D,'Attrition Modeling'!$C:$C,'IP Attrition'!$D92,'Attrition Modeling'!$B:$B,'IP Attrition'!AI$68),VLOOKUP($F92+AI$2,$A$6:$C$106,2,FALSE)*VLOOKUP(AI$1,'Attrition Modeling'!$L$15:$N$27,IF(AI$2+$F25&lt;=24,2,3),FALSE)),$C$3)*(1+Projection!AK$16)*(1+IF(AI157&gt;0,'Attrition Modeling'!$N$9,0)))</f>
        <v>0</v>
      </c>
      <c r="AJ92" s="799">
        <f>AI92*(1-IFERROR(IF(AJ$69+$F92&lt;=12,SUMIFS('Attrition Modeling'!$D:$D,'Attrition Modeling'!$C:$C,'IP Attrition'!$D92,'Attrition Modeling'!$B:$B,'IP Attrition'!AJ$68),VLOOKUP($F92+AJ$2,$A$6:$C$106,2,FALSE)*VLOOKUP(AJ$1,'Attrition Modeling'!$L$15:$N$27,IF(AJ$2+$F25&lt;=24,2,3),FALSE)),$C$3)*(1+Projection!AL$16)*(1+IF(AJ157&gt;0,'Attrition Modeling'!$N$9,0)))</f>
        <v>0</v>
      </c>
      <c r="AK92" s="799">
        <f>AJ92*(1-IFERROR(IF(AK$69+$F92&lt;=12,SUMIFS('Attrition Modeling'!$D:$D,'Attrition Modeling'!$C:$C,'IP Attrition'!$D92,'Attrition Modeling'!$B:$B,'IP Attrition'!AK$68),VLOOKUP($F92+AK$2,$A$6:$C$106,2,FALSE)*VLOOKUP(AK$1,'Attrition Modeling'!$L$15:$N$27,IF(AK$2+$F25&lt;=24,2,3),FALSE)),$C$3)*(1+Projection!AM$16)*(1+IF(AK157&gt;0,'Attrition Modeling'!$N$9,0)))</f>
        <v>0</v>
      </c>
      <c r="AL92" s="799">
        <f>AK92*(1-IFERROR(IF(AL$69+$F92&lt;=12,SUMIFS('Attrition Modeling'!$D:$D,'Attrition Modeling'!$C:$C,'IP Attrition'!$D92,'Attrition Modeling'!$B:$B,'IP Attrition'!AL$68),VLOOKUP($F92+AL$2,$A$6:$C$106,2,FALSE)*VLOOKUP(AL$1,'Attrition Modeling'!$L$15:$N$27,IF(AL$2+$F25&lt;=24,2,3),FALSE)),$C$3)*(1+Projection!AN$16)*(1+IF(AL157&gt;0,'Attrition Modeling'!$N$9,0)))</f>
        <v>0</v>
      </c>
      <c r="AM92" s="799">
        <f>AL92*(1-IFERROR(IF(AM$69+$F92&lt;=12,SUMIFS('Attrition Modeling'!$D:$D,'Attrition Modeling'!$C:$C,'IP Attrition'!$D92,'Attrition Modeling'!$B:$B,'IP Attrition'!AM$68),VLOOKUP($F92+AM$2,$A$6:$C$106,2,FALSE)*VLOOKUP(AM$1,'Attrition Modeling'!$L$15:$N$27,IF(AM$2+$F25&lt;=24,2,3),FALSE)),$C$3)*(1+Projection!AO$16)*(1+IF(AM157&gt;0,'Attrition Modeling'!$N$9,0)))</f>
        <v>0</v>
      </c>
      <c r="AN92" s="799">
        <f>AM92*(1-IFERROR(IF(AN$69+$F92&lt;=12,SUMIFS('Attrition Modeling'!$D:$D,'Attrition Modeling'!$C:$C,'IP Attrition'!$D92,'Attrition Modeling'!$B:$B,'IP Attrition'!AN$68),VLOOKUP($F92+AN$2,$A$6:$C$106,2,FALSE)*VLOOKUP(AN$1,'Attrition Modeling'!$L$15:$N$27,IF(AN$2+$F25&lt;=24,2,3),FALSE)),$C$3)*(1+Projection!AP$16)*(1+IF(AN157&gt;0,'Attrition Modeling'!$N$9,0)))</f>
        <v>0</v>
      </c>
      <c r="AO92" s="799">
        <f>AN92*(1-IFERROR(IF(AO$69+$F92&lt;=12,SUMIFS('Attrition Modeling'!$D:$D,'Attrition Modeling'!$C:$C,'IP Attrition'!$D92,'Attrition Modeling'!$B:$B,'IP Attrition'!AO$68),VLOOKUP($F92+AO$2,$A$6:$C$106,2,FALSE)*VLOOKUP(AO$1,'Attrition Modeling'!$L$15:$N$27,IF(AO$2+$F25&lt;=24,2,3),FALSE)),$C$3)*(1+Projection!AQ$16)*(1+IF(AO157&gt;0,'Attrition Modeling'!$N$9,0)))</f>
        <v>0</v>
      </c>
      <c r="AP92" s="799">
        <f>AO92*(1-IFERROR(IF(AP$69+$F92&lt;=12,SUMIFS('Attrition Modeling'!$D:$D,'Attrition Modeling'!$C:$C,'IP Attrition'!$D92,'Attrition Modeling'!$B:$B,'IP Attrition'!AP$68),VLOOKUP($F92+AP$2,$A$6:$C$106,2,FALSE)*VLOOKUP(AP$1,'Attrition Modeling'!$L$15:$N$27,IF(AP$2+$F25&lt;=24,2,3),FALSE)),$C$3)*(1+Projection!AR$16)*(1+IF(AP157&gt;0,'Attrition Modeling'!$N$9,0)))</f>
        <v>0</v>
      </c>
      <c r="AQ92" s="799">
        <f>AP92*(1-IFERROR(IF(AQ$69+$F92&lt;=12,SUMIFS('Attrition Modeling'!$D:$D,'Attrition Modeling'!$C:$C,'IP Attrition'!$D92,'Attrition Modeling'!$B:$B,'IP Attrition'!AQ$68),VLOOKUP($F92+AQ$2,$A$6:$C$106,2,FALSE)*VLOOKUP(AQ$1,'Attrition Modeling'!$L$15:$N$27,IF(AQ$2+$F25&lt;=24,2,3),FALSE)),$C$3)*(1+Projection!AS$16)*(1+IF(AQ157&gt;0,'Attrition Modeling'!$N$9,0)))</f>
        <v>0</v>
      </c>
      <c r="AR92" s="799">
        <f>AQ92*(1-IFERROR(IF(AR$69+$F92&lt;=12,SUMIFS('Attrition Modeling'!$D:$D,'Attrition Modeling'!$C:$C,'IP Attrition'!$D92,'Attrition Modeling'!$B:$B,'IP Attrition'!AR$68),VLOOKUP($F92+AR$2,$A$6:$C$106,2,FALSE)*VLOOKUP(AR$1,'Attrition Modeling'!$L$15:$N$27,IF(AR$2+$F25&lt;=24,2,3),FALSE)),$C$3)*(1+Projection!AT$16)*(1+IF(AR157&gt;0,'Attrition Modeling'!$N$9,0)))</f>
        <v>0</v>
      </c>
      <c r="AS92" s="799">
        <f>AR92*(1-IFERROR(IF(AS$69+$F92&lt;=12,SUMIFS('Attrition Modeling'!$D:$D,'Attrition Modeling'!$C:$C,'IP Attrition'!$D92,'Attrition Modeling'!$B:$B,'IP Attrition'!AS$68),VLOOKUP($F92+AS$2,$A$6:$C$106,2,FALSE)*VLOOKUP(AS$1,'Attrition Modeling'!$L$15:$N$27,IF(AS$2+$F25&lt;=24,2,3),FALSE)),$C$3)*(1+Projection!AU$16)*(1+IF(AS157&gt;0,'Attrition Modeling'!$N$9,0)))</f>
        <v>0</v>
      </c>
      <c r="AT92" s="799">
        <f>AS92*(1-IFERROR(IF(AT$69+$F92&lt;=12,SUMIFS('Attrition Modeling'!$D:$D,'Attrition Modeling'!$C:$C,'IP Attrition'!$D92,'Attrition Modeling'!$B:$B,'IP Attrition'!AT$68),VLOOKUP($F92+AT$2,$A$6:$C$106,2,FALSE)*VLOOKUP(AT$1,'Attrition Modeling'!$L$15:$N$27,IF(AT$2+$F25&lt;=24,2,3),FALSE)),$C$3)*(1+Projection!AV$16)*(1+IF(AT157&gt;0,'Attrition Modeling'!$N$9,0)))</f>
        <v>0</v>
      </c>
      <c r="AU92" s="799">
        <f>AT92*(1-IFERROR(IF(AU$69+$F92&lt;=12,SUMIFS('Attrition Modeling'!$D:$D,'Attrition Modeling'!$C:$C,'IP Attrition'!$D92,'Attrition Modeling'!$B:$B,'IP Attrition'!AU$68),VLOOKUP($F92+AU$2,$A$6:$C$106,2,FALSE)*VLOOKUP(AU$1,'Attrition Modeling'!$L$15:$N$27,IF(AU$2+$F25&lt;=24,2,3),FALSE)),$C$3)*(1+Projection!AW$16)*(1+IF(AU157&gt;0,'Attrition Modeling'!$N$9,0)))</f>
        <v>0</v>
      </c>
      <c r="AV92" s="799">
        <f>AU92*(1-IFERROR(IF(AV$69+$F92&lt;=12,SUMIFS('Attrition Modeling'!$D:$D,'Attrition Modeling'!$C:$C,'IP Attrition'!$D92,'Attrition Modeling'!$B:$B,'IP Attrition'!AV$68),VLOOKUP($F92+AV$2,$A$6:$C$106,2,FALSE)*VLOOKUP(AV$1,'Attrition Modeling'!$L$15:$N$27,IF(AV$2+$F25&lt;=24,2,3),FALSE)),$C$3)*(1+Projection!AX$16)*(1+IF(AV157&gt;0,'Attrition Modeling'!$N$9,0)))</f>
        <v>0</v>
      </c>
      <c r="AW92" s="799">
        <f>AV92*(1-IFERROR(IF(AW$69+$F92&lt;=12,SUMIFS('Attrition Modeling'!$D:$D,'Attrition Modeling'!$C:$C,'IP Attrition'!$D92,'Attrition Modeling'!$B:$B,'IP Attrition'!AW$68),VLOOKUP($F92+AW$2,$A$6:$C$106,2,FALSE)*VLOOKUP(AW$1,'Attrition Modeling'!$L$15:$N$27,IF(AW$2+$F25&lt;=24,2,3),FALSE)),$C$3)*(1+Projection!AY$16)*(1+IF(AW157&gt;0,'Attrition Modeling'!$N$9,0)))</f>
        <v>0</v>
      </c>
      <c r="AX92" s="799">
        <f>AW92*(1-IFERROR(IF(AX$69+$F92&lt;=12,SUMIFS('Attrition Modeling'!$D:$D,'Attrition Modeling'!$C:$C,'IP Attrition'!$D92,'Attrition Modeling'!$B:$B,'IP Attrition'!AX$68),VLOOKUP($F92+AX$2,$A$6:$C$106,2,FALSE)*VLOOKUP(AX$1,'Attrition Modeling'!$L$15:$N$27,IF(AX$2+$F25&lt;=24,2,3),FALSE)),$C$3)*(1+Projection!AZ$16)*(1+IF(AX157&gt;0,'Attrition Modeling'!$N$9,0)))</f>
        <v>0</v>
      </c>
      <c r="AY92" s="799">
        <f>AX92*(1-IFERROR(IF(AY$69+$F92&lt;=12,SUMIFS('Attrition Modeling'!$D:$D,'Attrition Modeling'!$C:$C,'IP Attrition'!$D92,'Attrition Modeling'!$B:$B,'IP Attrition'!AY$68),VLOOKUP($F92+AY$2,$A$6:$C$106,2,FALSE)*VLOOKUP(AY$1,'Attrition Modeling'!$L$15:$N$27,IF(AY$2+$F25&lt;=24,2,3),FALSE)),$C$3)*(1+Projection!BA$16)*(1+IF(AY157&gt;0,'Attrition Modeling'!$N$9,0)))</f>
        <v>0</v>
      </c>
      <c r="AZ92" s="799">
        <f>AY92*(1-IFERROR(IF(AZ$69+$F92&lt;=12,SUMIFS('Attrition Modeling'!$D:$D,'Attrition Modeling'!$C:$C,'IP Attrition'!$D92,'Attrition Modeling'!$B:$B,'IP Attrition'!AZ$68),VLOOKUP($F92+AZ$2,$A$6:$C$106,2,FALSE)*VLOOKUP(AZ$1,'Attrition Modeling'!$L$15:$N$27,IF(AZ$2+$F25&lt;=24,2,3),FALSE)),$C$3)*(1+Projection!BB$16)*(1+IF(AZ157&gt;0,'Attrition Modeling'!$N$9,0)))</f>
        <v>0</v>
      </c>
      <c r="BA92" s="799">
        <f>AZ92*(1-IFERROR(IF(BA$69+$F92&lt;=12,SUMIFS('Attrition Modeling'!$D:$D,'Attrition Modeling'!$C:$C,'IP Attrition'!$D92,'Attrition Modeling'!$B:$B,'IP Attrition'!BA$68),VLOOKUP($F92+BA$2,$A$6:$C$106,2,FALSE)*VLOOKUP(BA$1,'Attrition Modeling'!$L$15:$N$27,IF(BA$2+$F25&lt;=24,2,3),FALSE)),$C$3)*(1+Projection!BC$16)*(1+IF(BA157&gt;0,'Attrition Modeling'!$N$9,0)))</f>
        <v>0</v>
      </c>
      <c r="BB92" s="799">
        <f>BA92*(1-IFERROR(IF(BB$69+$F92&lt;=12,SUMIFS('Attrition Modeling'!$D:$D,'Attrition Modeling'!$C:$C,'IP Attrition'!$D92,'Attrition Modeling'!$B:$B,'IP Attrition'!BB$68),VLOOKUP($F92+BB$2,$A$6:$C$106,2,FALSE)*VLOOKUP(BB$1,'Attrition Modeling'!$L$15:$N$27,IF(BB$2+$F25&lt;=24,2,3),FALSE)),$C$3)*(1+Projection!BD$16)*(1+IF(BB157&gt;0,'Attrition Modeling'!$N$9,0)))</f>
        <v>0</v>
      </c>
      <c r="BC92" s="799">
        <f>BB92*(1-IFERROR(IF(BC$69+$F92&lt;=12,SUMIFS('Attrition Modeling'!$D:$D,'Attrition Modeling'!$C:$C,'IP Attrition'!$D92,'Attrition Modeling'!$B:$B,'IP Attrition'!BC$68),VLOOKUP($F92+BC$2,$A$6:$C$106,2,FALSE)*VLOOKUP(BC$1,'Attrition Modeling'!$L$15:$N$27,IF(BC$2+$F25&lt;=24,2,3),FALSE)),$C$3)*(1+Projection!BE$16)*(1+IF(BC157&gt;0,'Attrition Modeling'!$N$9,0)))</f>
        <v>0</v>
      </c>
      <c r="BD92" s="799">
        <f>BC92*(1-IFERROR(IF(BD$69+$F92&lt;=12,SUMIFS('Attrition Modeling'!$D:$D,'Attrition Modeling'!$C:$C,'IP Attrition'!$D92,'Attrition Modeling'!$B:$B,'IP Attrition'!BD$68),VLOOKUP($F92+BD$2,$A$6:$C$106,2,FALSE)*VLOOKUP(BD$1,'Attrition Modeling'!$L$15:$N$27,IF(BD$2+$F25&lt;=24,2,3),FALSE)),$C$3)*(1+Projection!BF$16)*(1+IF(BD157&gt;0,'Attrition Modeling'!$N$9,0)))</f>
        <v>0</v>
      </c>
      <c r="BE92" s="799">
        <f>BD92*(1-IFERROR(IF(BE$69+$F92&lt;=12,SUMIFS('Attrition Modeling'!$D:$D,'Attrition Modeling'!$C:$C,'IP Attrition'!$D92,'Attrition Modeling'!$B:$B,'IP Attrition'!BE$68),VLOOKUP($F92+BE$2,$A$6:$C$106,2,FALSE)*VLOOKUP(BE$1,'Attrition Modeling'!$L$15:$N$27,IF(BE$2+$F25&lt;=24,2,3),FALSE)),$C$3)*(1+Projection!BG$16)*(1+IF(BE157&gt;0,'Attrition Modeling'!$N$9,0)))</f>
        <v>0</v>
      </c>
      <c r="BF92" s="799">
        <f>BE92*(1-IFERROR(IF(BF$69+$F92&lt;=12,SUMIFS('Attrition Modeling'!$D:$D,'Attrition Modeling'!$C:$C,'IP Attrition'!$D92,'Attrition Modeling'!$B:$B,'IP Attrition'!BF$68),VLOOKUP($F92+BF$2,$A$6:$C$106,2,FALSE)*VLOOKUP(BF$1,'Attrition Modeling'!$L$15:$N$27,IF(BF$2+$F25&lt;=24,2,3),FALSE)),$C$3)*(1+Projection!BH$16)*(1+IF(BF157&gt;0,'Attrition Modeling'!$N$9,0)))</f>
        <v>0</v>
      </c>
      <c r="BG92" s="799">
        <f>BF92*(1-IFERROR(IF(BG$69+$F92&lt;=12,SUMIFS('Attrition Modeling'!$D:$D,'Attrition Modeling'!$C:$C,'IP Attrition'!$D92,'Attrition Modeling'!$B:$B,'IP Attrition'!BG$68),VLOOKUP($F92+BG$2,$A$6:$C$106,2,FALSE)*VLOOKUP(BG$1,'Attrition Modeling'!$L$15:$N$27,IF(BG$2+$F25&lt;=24,2,3),FALSE)),$C$3)*(1+Projection!BI$16)*(1+IF(BG157&gt;0,'Attrition Modeling'!$N$9,0)))</f>
        <v>0</v>
      </c>
      <c r="BH92" s="799">
        <f>BG92*(1-IFERROR(IF(BH$69+$F92&lt;=12,SUMIFS('Attrition Modeling'!$D:$D,'Attrition Modeling'!$C:$C,'IP Attrition'!$D92,'Attrition Modeling'!$B:$B,'IP Attrition'!BH$68),VLOOKUP($F92+BH$2,$A$6:$C$106,2,FALSE)*VLOOKUP(BH$1,'Attrition Modeling'!$L$15:$N$27,IF(BH$2+$F25&lt;=24,2,3),FALSE)),$C$3)*(1+Projection!BJ$16)*(1+IF(BH157&gt;0,'Attrition Modeling'!$N$9,0)))</f>
        <v>0</v>
      </c>
      <c r="BI92" s="799">
        <f>BH92*(1-IFERROR(IF(BI$69+$F92&lt;=12,SUMIFS('Attrition Modeling'!$D:$D,'Attrition Modeling'!$C:$C,'IP Attrition'!$D92,'Attrition Modeling'!$B:$B,'IP Attrition'!BI$68),VLOOKUP($F92+BI$2,$A$6:$C$106,2,FALSE)*VLOOKUP(BI$1,'Attrition Modeling'!$L$15:$N$27,IF(BI$2+$F25&lt;=24,2,3),FALSE)),$C$3)*(1+Projection!BK$16)*(1+IF(BI157&gt;0,'Attrition Modeling'!$N$9,0)))</f>
        <v>0</v>
      </c>
      <c r="BJ92" s="799">
        <f>BI92*(1-IFERROR(IF(BJ$69+$F92&lt;=12,SUMIFS('Attrition Modeling'!$D:$D,'Attrition Modeling'!$C:$C,'IP Attrition'!$D92,'Attrition Modeling'!$B:$B,'IP Attrition'!BJ$68),VLOOKUP($F92+BJ$2,$A$6:$C$106,2,FALSE)*VLOOKUP(BJ$1,'Attrition Modeling'!$L$15:$N$27,IF(BJ$2+$F25&lt;=24,2,3),FALSE)),$C$3)*(1+Projection!BL$16)*(1+IF(BJ157&gt;0,'Attrition Modeling'!$N$9,0)))</f>
        <v>0</v>
      </c>
      <c r="BK92" s="799">
        <f>BJ92*(1-IFERROR(IF(BK$69+$F92&lt;=12,SUMIFS('Attrition Modeling'!$D:$D,'Attrition Modeling'!$C:$C,'IP Attrition'!$D92,'Attrition Modeling'!$B:$B,'IP Attrition'!BK$68),VLOOKUP($F92+BK$2,$A$6:$C$106,2,FALSE)*VLOOKUP(BK$1,'Attrition Modeling'!$L$15:$N$27,IF(BK$2+$F25&lt;=24,2,3),FALSE)),$C$3)*(1+Projection!BM$16)*(1+IF(BK157&gt;0,'Attrition Modeling'!$N$9,0)))</f>
        <v>0</v>
      </c>
      <c r="BL92" s="799">
        <f>BK92*(1-IFERROR(IF(BL$69+$F92&lt;=12,SUMIFS('Attrition Modeling'!$D:$D,'Attrition Modeling'!$C:$C,'IP Attrition'!$D92,'Attrition Modeling'!$B:$B,'IP Attrition'!BL$68),VLOOKUP($F92+BL$2,$A$6:$C$106,2,FALSE)*VLOOKUP(BL$1,'Attrition Modeling'!$L$15:$N$27,IF(BL$2+$F25&lt;=24,2,3),FALSE)),$C$3)*(1+Projection!BN$16)*(1+IF(BL157&gt;0,'Attrition Modeling'!$N$9,0)))</f>
        <v>0</v>
      </c>
      <c r="BM92" s="799">
        <f>BL92*(1-IFERROR(IF(BM$69+$F92&lt;=12,SUMIFS('Attrition Modeling'!$D:$D,'Attrition Modeling'!$C:$C,'IP Attrition'!$D92,'Attrition Modeling'!$B:$B,'IP Attrition'!BM$68),VLOOKUP($F92+BM$2,$A$6:$C$106,2,FALSE)*VLOOKUP(BM$1,'Attrition Modeling'!$L$15:$N$27,IF(BM$2+$F25&lt;=24,2,3),FALSE)),$C$3)*(1+Projection!BO$16)*(1+IF(BM157&gt;0,'Attrition Modeling'!$N$9,0)))</f>
        <v>0</v>
      </c>
      <c r="BN92" s="799">
        <f>BM92*(1-IFERROR(IF(BN$69+$F92&lt;=12,SUMIFS('Attrition Modeling'!$D:$D,'Attrition Modeling'!$C:$C,'IP Attrition'!$D92,'Attrition Modeling'!$B:$B,'IP Attrition'!BN$68),VLOOKUP($F92+BN$2,$A$6:$C$106,2,FALSE)*VLOOKUP(BN$1,'Attrition Modeling'!$L$15:$N$27,IF(BN$2+$F25&lt;=24,2,3),FALSE)),$C$3)*(1+Projection!BP$16)*(1+IF(BN157&gt;0,'Attrition Modeling'!$N$9,0)))</f>
        <v>0</v>
      </c>
      <c r="BO92" s="799">
        <f>BN92*(1-IFERROR(IF(BO$69+$F92&lt;=12,SUMIFS('Attrition Modeling'!$D:$D,'Attrition Modeling'!$C:$C,'IP Attrition'!$D92,'Attrition Modeling'!$B:$B,'IP Attrition'!BO$68),VLOOKUP($F92+BO$2,$A$6:$C$106,2,FALSE)*VLOOKUP(BO$1,'Attrition Modeling'!$L$15:$N$27,IF(BO$2+$F25&lt;=24,2,3),FALSE)),$C$3)*(1+Projection!BV$16)*(1+IF(BO157&gt;0,'Attrition Modeling'!$N$9,0)))</f>
        <v>0</v>
      </c>
      <c r="BP92" s="799">
        <f>BO92*(1-IFERROR(IF(BP$69+$F92&lt;=12,SUMIFS('Attrition Modeling'!$D:$D,'Attrition Modeling'!$C:$C,'IP Attrition'!$D92,'Attrition Modeling'!$B:$B,'IP Attrition'!BP$68),VLOOKUP($F92+BP$2,$A$6:$C$106,2,FALSE)*VLOOKUP(BP$1,'Attrition Modeling'!$L$15:$N$27,IF(BP$2+$F25&lt;=24,2,3),FALSE)),$C$3)*(1+Projection!BW$16)*(1+IF(BP157&gt;0,'Attrition Modeling'!$N$9,0)))</f>
        <v>0</v>
      </c>
      <c r="BQ92" s="799">
        <f>BP92*(1-IFERROR(IF(BQ$69+$F92&lt;=12,SUMIFS('Attrition Modeling'!$D:$D,'Attrition Modeling'!$C:$C,'IP Attrition'!$D92,'Attrition Modeling'!$B:$B,'IP Attrition'!BQ$68),VLOOKUP($F92+BQ$2,$A$6:$C$106,2,FALSE)*VLOOKUP(BQ$1,'Attrition Modeling'!$L$15:$N$27,IF(BQ$2+$F25&lt;=24,2,3),FALSE)),$C$3)*(1+Projection!BX$16)*(1+IF(BQ157&gt;0,'Attrition Modeling'!$N$9,0)))</f>
        <v>0</v>
      </c>
      <c r="BR92" s="799">
        <f>BQ92*(1-IFERROR(IF(BR$69+$F92&lt;=12,SUMIFS('Attrition Modeling'!$D:$D,'Attrition Modeling'!$C:$C,'IP Attrition'!$D92,'Attrition Modeling'!$B:$B,'IP Attrition'!BR$68),VLOOKUP($F92+BR$2,$A$6:$C$106,2,FALSE)*VLOOKUP(BR$1,'Attrition Modeling'!$L$15:$N$27,IF(BR$2+$F25&lt;=24,2,3),FALSE)),$C$3)*(1+Projection!BY$16)*(1+IF(BR157&gt;0,'Attrition Modeling'!$N$9,0)))</f>
        <v>0</v>
      </c>
      <c r="BS92" s="799">
        <f>BR92*(1-IFERROR(IF(BS$69+$F92&lt;=12,SUMIFS('Attrition Modeling'!$D:$D,'Attrition Modeling'!$C:$C,'IP Attrition'!$D92,'Attrition Modeling'!$B:$B,'IP Attrition'!BS$68),VLOOKUP($F92+BS$2,$A$6:$C$106,2,FALSE)*VLOOKUP(BS$1,'Attrition Modeling'!$L$15:$N$27,IF(BS$2+$F25&lt;=24,2,3),FALSE)),$C$3)*(1+Projection!BZ$16)*(1+IF(BS157&gt;0,'Attrition Modeling'!$N$9,0)))</f>
        <v>0</v>
      </c>
      <c r="BT92" s="799" t="e">
        <f>BS92*(1-IFERROR(IF(BT$69+$F92&lt;=12,SUMIFS('Attrition Modeling'!$D:$D,'Attrition Modeling'!$C:$C,'IP Attrition'!$D92,'Attrition Modeling'!$B:$B,'IP Attrition'!BT$68),VLOOKUP($F92+BT$2,$A$6:$C$106,2,FALSE)*VLOOKUP(BT$1,'Attrition Modeling'!$L$15:$N$27,IF(BT$2+$F25&lt;=24,2,3),FALSE)),$C$3)*(1+Projection!CA$16)*(1+IF(BT157&gt;0,'Attrition Modeling'!$N$9,0)))</f>
        <v>#REF!</v>
      </c>
      <c r="BU92" s="799" t="e">
        <f>BT92*(1-IFERROR(IF(BU$69+$F92&lt;=12,SUMIFS('Attrition Modeling'!$D:$D,'Attrition Modeling'!$C:$C,'IP Attrition'!$D92,'Attrition Modeling'!$B:$B,'IP Attrition'!BU$68),VLOOKUP($F92+BU$2,$A$6:$C$106,2,FALSE)*VLOOKUP(BU$1,'Attrition Modeling'!$L$15:$N$27,IF(BU$2+$F25&lt;=24,2,3),FALSE)),$C$3)*(1+Projection!CB$16)*(1+IF(BU157&gt;0,'Attrition Modeling'!$N$9,0)))</f>
        <v>#REF!</v>
      </c>
    </row>
    <row r="93" spans="1:73" ht="14.25" customHeight="1" x14ac:dyDescent="0.2">
      <c r="A93" s="9">
        <v>86</v>
      </c>
      <c r="B93" s="25">
        <f>MAX('Attrition Modeling'!H90,$C$3)*(1-Summary!$C$20)</f>
        <v>0.02</v>
      </c>
      <c r="C93" s="24" t="e">
        <f t="shared" si="3"/>
        <v>#DIV/0!</v>
      </c>
      <c r="D93" s="11">
        <f t="shared" ref="D93:E93" si="31">D26</f>
        <v>-23</v>
      </c>
      <c r="E93" s="25">
        <f t="shared" si="31"/>
        <v>0</v>
      </c>
      <c r="F93" s="11">
        <f t="shared" si="9"/>
        <v>23</v>
      </c>
      <c r="G93" s="799">
        <f>Summary!$C$24*$E93</f>
        <v>0</v>
      </c>
      <c r="H93" s="799">
        <f>G93*(1-IFERROR(IF(H$69+$F93&lt;=12,SUMIFS('Attrition Modeling'!$D:$D,'Attrition Modeling'!$C:$C,'IP Attrition'!$D93,'Attrition Modeling'!$B:$B,'IP Attrition'!H$68),VLOOKUP($F93+H$2,$A$6:$C$106,2,FALSE)*VLOOKUP(H$1,'Attrition Modeling'!$L$15:$N$27,IF(H$2+$F26&lt;=24,2,3),FALSE)),$C$3)*(1+Projection!J$16)*(1+IF(H158&gt;0,'Attrition Modeling'!$N$9,0)))</f>
        <v>0</v>
      </c>
      <c r="I93" s="799">
        <f>H93*(1-IFERROR(IF(I$69+$F93&lt;=12,SUMIFS('Attrition Modeling'!$D:$D,'Attrition Modeling'!$C:$C,'IP Attrition'!$D93,'Attrition Modeling'!$B:$B,'IP Attrition'!I$68),VLOOKUP($F93+I$2,$A$6:$C$106,2,FALSE)*VLOOKUP(I$1,'Attrition Modeling'!$L$15:$N$27,IF(I$2+$F26&lt;=24,2,3),FALSE)),$C$3)*(1+Projection!K$16)*(1+IF(I158&gt;0,'Attrition Modeling'!$N$9,0)))</f>
        <v>0</v>
      </c>
      <c r="J93" s="799">
        <f>I93*(1-IFERROR(IF(J$69+$F93&lt;=12,SUMIFS('Attrition Modeling'!$D:$D,'Attrition Modeling'!$C:$C,'IP Attrition'!$D93,'Attrition Modeling'!$B:$B,'IP Attrition'!J$68),VLOOKUP($F93+J$2,$A$6:$C$106,2,FALSE)*VLOOKUP(J$1,'Attrition Modeling'!$L$15:$N$27,IF(J$2+$F26&lt;=24,2,3),FALSE)),$C$3)*(1+Projection!L$16)*(1+IF(J158&gt;0,'Attrition Modeling'!$N$9,0)))</f>
        <v>0</v>
      </c>
      <c r="K93" s="799">
        <f>J93*(1-IFERROR(IF(K$69+$F93&lt;=12,SUMIFS('Attrition Modeling'!$D:$D,'Attrition Modeling'!$C:$C,'IP Attrition'!$D93,'Attrition Modeling'!$B:$B,'IP Attrition'!K$68),VLOOKUP($F93+K$2,$A$6:$C$106,2,FALSE)*VLOOKUP(K$1,'Attrition Modeling'!$L$15:$N$27,IF(K$2+$F26&lt;=24,2,3),FALSE)),$C$3)*(1+Projection!M$16)*(1+IF(K158&gt;0,'Attrition Modeling'!$N$9,0)))</f>
        <v>0</v>
      </c>
      <c r="L93" s="799">
        <f>K93*(1-IFERROR(IF(L$69+$F93&lt;=12,SUMIFS('Attrition Modeling'!$D:$D,'Attrition Modeling'!$C:$C,'IP Attrition'!$D93,'Attrition Modeling'!$B:$B,'IP Attrition'!L$68),VLOOKUP($F93+L$2,$A$6:$C$106,2,FALSE)*VLOOKUP(L$1,'Attrition Modeling'!$L$15:$N$27,IF(L$2+$F26&lt;=24,2,3),FALSE)),$C$3)*(1+Projection!N$16)*(1+IF(L158&gt;0,'Attrition Modeling'!$N$9,0)))</f>
        <v>0</v>
      </c>
      <c r="M93" s="799">
        <f>L93*(1-IFERROR(IF(M$69+$F93&lt;=12,SUMIFS('Attrition Modeling'!$D:$D,'Attrition Modeling'!$C:$C,'IP Attrition'!$D93,'Attrition Modeling'!$B:$B,'IP Attrition'!M$68),VLOOKUP($F93+M$2,$A$6:$C$106,2,FALSE)*VLOOKUP(M$1,'Attrition Modeling'!$L$15:$N$27,IF(M$2+$F26&lt;=24,2,3),FALSE)),$C$3)*(1+Projection!O$16)*(1+IF(M158&gt;0,'Attrition Modeling'!$N$9,0)))</f>
        <v>0</v>
      </c>
      <c r="N93" s="799">
        <f>M93*(1-IFERROR(IF(N$69+$F93&lt;=12,SUMIFS('Attrition Modeling'!$D:$D,'Attrition Modeling'!$C:$C,'IP Attrition'!$D93,'Attrition Modeling'!$B:$B,'IP Attrition'!N$68),VLOOKUP($F93+N$2,$A$6:$C$106,2,FALSE)*VLOOKUP(N$1,'Attrition Modeling'!$L$15:$N$27,IF(N$2+$F26&lt;=24,2,3),FALSE)),$C$3)*(1+Projection!P$16)*(1+IF(N158&gt;0,'Attrition Modeling'!$N$9,0)))</f>
        <v>0</v>
      </c>
      <c r="O93" s="799">
        <f>N93*(1-IFERROR(IF(O$69+$F93&lt;=12,SUMIFS('Attrition Modeling'!$D:$D,'Attrition Modeling'!$C:$C,'IP Attrition'!$D93,'Attrition Modeling'!$B:$B,'IP Attrition'!O$68),VLOOKUP($F93+O$2,$A$6:$C$106,2,FALSE)*VLOOKUP(O$1,'Attrition Modeling'!$L$15:$N$27,IF(O$2+$F26&lt;=24,2,3),FALSE)),$C$3)*(1+Projection!Q$16)*(1+IF(O158&gt;0,'Attrition Modeling'!$N$9,0)))</f>
        <v>0</v>
      </c>
      <c r="P93" s="799">
        <f>O93*(1-IFERROR(IF(P$69+$F93&lt;=12,SUMIFS('Attrition Modeling'!$D:$D,'Attrition Modeling'!$C:$C,'IP Attrition'!$D93,'Attrition Modeling'!$B:$B,'IP Attrition'!P$68),VLOOKUP($F93+P$2,$A$6:$C$106,2,FALSE)*VLOOKUP(P$1,'Attrition Modeling'!$L$15:$N$27,IF(P$2+$F26&lt;=24,2,3),FALSE)),$C$3)*(1+Projection!R$16)*(1+IF(P158&gt;0,'Attrition Modeling'!$N$9,0)))</f>
        <v>0</v>
      </c>
      <c r="Q93" s="799">
        <f>P93*(1-IFERROR(IF(Q$69+$F93&lt;=12,SUMIFS('Attrition Modeling'!$D:$D,'Attrition Modeling'!$C:$C,'IP Attrition'!$D93,'Attrition Modeling'!$B:$B,'IP Attrition'!Q$68),VLOOKUP($F93+Q$2,$A$6:$C$106,2,FALSE)*VLOOKUP(Q$1,'Attrition Modeling'!$L$15:$N$27,IF(Q$2+$F26&lt;=24,2,3),FALSE)),$C$3)*(1+Projection!S$16)*(1+IF(Q158&gt;0,'Attrition Modeling'!$N$9,0)))</f>
        <v>0</v>
      </c>
      <c r="R93" s="799">
        <f>Q93*(1-IFERROR(IF(R$69+$F93&lt;=12,SUMIFS('Attrition Modeling'!$D:$D,'Attrition Modeling'!$C:$C,'IP Attrition'!$D93,'Attrition Modeling'!$B:$B,'IP Attrition'!R$68),VLOOKUP($F93+R$2,$A$6:$C$106,2,FALSE)*VLOOKUP(R$1,'Attrition Modeling'!$L$15:$N$27,IF(R$2+$F26&lt;=24,2,3),FALSE)),$C$3)*(1+Projection!T$16)*(1+IF(R158&gt;0,'Attrition Modeling'!$N$9,0)))</f>
        <v>0</v>
      </c>
      <c r="S93" s="799">
        <f>R93*(1-IFERROR(IF(S$69+$F93&lt;=12,SUMIFS('Attrition Modeling'!$D:$D,'Attrition Modeling'!$C:$C,'IP Attrition'!$D93,'Attrition Modeling'!$B:$B,'IP Attrition'!S$68),VLOOKUP($F93+S$2,$A$6:$C$106,2,FALSE)*VLOOKUP(S$1,'Attrition Modeling'!$L$15:$N$27,IF(S$2+$F26&lt;=24,2,3),FALSE)),$C$3)*(1+Projection!U$16)*(1+IF(S158&gt;0,'Attrition Modeling'!$N$9,0)))</f>
        <v>0</v>
      </c>
      <c r="T93" s="799">
        <f>S93*(1-IFERROR(IF(T$69+$F93&lt;=12,SUMIFS('Attrition Modeling'!$D:$D,'Attrition Modeling'!$C:$C,'IP Attrition'!$D93,'Attrition Modeling'!$B:$B,'IP Attrition'!T$68),VLOOKUP($F93+T$2,$A$6:$C$106,2,FALSE)*VLOOKUP(T$1,'Attrition Modeling'!$L$15:$N$27,IF(T$2+$F26&lt;=24,2,3),FALSE)),$C$3)*(1+Projection!V$16)*(1+IF(T158&gt;0,'Attrition Modeling'!$N$9,0)))</f>
        <v>0</v>
      </c>
      <c r="U93" s="799">
        <f>T93*(1-IFERROR(IF(U$69+$F93&lt;=12,SUMIFS('Attrition Modeling'!$D:$D,'Attrition Modeling'!$C:$C,'IP Attrition'!$D93,'Attrition Modeling'!$B:$B,'IP Attrition'!U$68),VLOOKUP($F93+U$2,$A$6:$C$106,2,FALSE)*VLOOKUP(U$1,'Attrition Modeling'!$L$15:$N$27,IF(U$2+$F26&lt;=24,2,3),FALSE)),$C$3)*(1+Projection!W$16)*(1+IF(U158&gt;0,'Attrition Modeling'!$N$9,0)))</f>
        <v>0</v>
      </c>
      <c r="V93" s="799">
        <f>U93*(1-IFERROR(IF(V$69+$F93&lt;=12,SUMIFS('Attrition Modeling'!$D:$D,'Attrition Modeling'!$C:$C,'IP Attrition'!$D93,'Attrition Modeling'!$B:$B,'IP Attrition'!V$68),VLOOKUP($F93+V$2,$A$6:$C$106,2,FALSE)*VLOOKUP(V$1,'Attrition Modeling'!$L$15:$N$27,IF(V$2+$F26&lt;=24,2,3),FALSE)),$C$3)*(1+Projection!X$16)*(1+IF(V158&gt;0,'Attrition Modeling'!$N$9,0)))</f>
        <v>0</v>
      </c>
      <c r="W93" s="799">
        <f>V93*(1-IFERROR(IF(W$69+$F93&lt;=12,SUMIFS('Attrition Modeling'!$D:$D,'Attrition Modeling'!$C:$C,'IP Attrition'!$D93,'Attrition Modeling'!$B:$B,'IP Attrition'!W$68),VLOOKUP($F93+W$2,$A$6:$C$106,2,FALSE)*VLOOKUP(W$1,'Attrition Modeling'!$L$15:$N$27,IF(W$2+$F26&lt;=24,2,3),FALSE)),$C$3)*(1+Projection!Y$16)*(1+IF(W158&gt;0,'Attrition Modeling'!$N$9,0)))</f>
        <v>0</v>
      </c>
      <c r="X93" s="799">
        <f>W93*(1-IFERROR(IF(X$69+$F93&lt;=12,SUMIFS('Attrition Modeling'!$D:$D,'Attrition Modeling'!$C:$C,'IP Attrition'!$D93,'Attrition Modeling'!$B:$B,'IP Attrition'!X$68),VLOOKUP($F93+X$2,$A$6:$C$106,2,FALSE)*VLOOKUP(X$1,'Attrition Modeling'!$L$15:$N$27,IF(X$2+$F26&lt;=24,2,3),FALSE)),$C$3)*(1+Projection!Z$16)*(1+IF(X158&gt;0,'Attrition Modeling'!$N$9,0)))</f>
        <v>0</v>
      </c>
      <c r="Y93" s="799">
        <f>X93*(1-IFERROR(IF(Y$69+$F93&lt;=12,SUMIFS('Attrition Modeling'!$D:$D,'Attrition Modeling'!$C:$C,'IP Attrition'!$D93,'Attrition Modeling'!$B:$B,'IP Attrition'!Y$68),VLOOKUP($F93+Y$2,$A$6:$C$106,2,FALSE)*VLOOKUP(Y$1,'Attrition Modeling'!$L$15:$N$27,IF(Y$2+$F26&lt;=24,2,3),FALSE)),$C$3)*(1+Projection!AA$16)*(1+IF(Y158&gt;0,'Attrition Modeling'!$N$9,0)))</f>
        <v>0</v>
      </c>
      <c r="Z93" s="799">
        <f>Y93*(1-IFERROR(IF(Z$69+$F93&lt;=12,SUMIFS('Attrition Modeling'!$D:$D,'Attrition Modeling'!$C:$C,'IP Attrition'!$D93,'Attrition Modeling'!$B:$B,'IP Attrition'!Z$68),VLOOKUP($F93+Z$2,$A$6:$C$106,2,FALSE)*VLOOKUP(Z$1,'Attrition Modeling'!$L$15:$N$27,IF(Z$2+$F26&lt;=24,2,3),FALSE)),$C$3)*(1+Projection!AB$16)*(1+IF(Z158&gt;0,'Attrition Modeling'!$N$9,0)))</f>
        <v>0</v>
      </c>
      <c r="AA93" s="799">
        <f>Z93*(1-IFERROR(IF(AA$69+$F93&lt;=12,SUMIFS('Attrition Modeling'!$D:$D,'Attrition Modeling'!$C:$C,'IP Attrition'!$D93,'Attrition Modeling'!$B:$B,'IP Attrition'!AA$68),VLOOKUP($F93+AA$2,$A$6:$C$106,2,FALSE)*VLOOKUP(AA$1,'Attrition Modeling'!$L$15:$N$27,IF(AA$2+$F26&lt;=24,2,3),FALSE)),$C$3)*(1+Projection!AC$16)*(1+IF(AA158&gt;0,'Attrition Modeling'!$N$9,0)))</f>
        <v>0</v>
      </c>
      <c r="AB93" s="799">
        <f>AA93*(1-IFERROR(IF(AB$69+$F93&lt;=12,SUMIFS('Attrition Modeling'!$D:$D,'Attrition Modeling'!$C:$C,'IP Attrition'!$D93,'Attrition Modeling'!$B:$B,'IP Attrition'!AB$68),VLOOKUP($F93+AB$2,$A$6:$C$106,2,FALSE)*VLOOKUP(AB$1,'Attrition Modeling'!$L$15:$N$27,IF(AB$2+$F26&lt;=24,2,3),FALSE)),$C$3)*(1+Projection!AD$16)*(1+IF(AB158&gt;0,'Attrition Modeling'!$N$9,0)))</f>
        <v>0</v>
      </c>
      <c r="AC93" s="799">
        <f>AB93*(1-IFERROR(IF(AC$69+$F93&lt;=12,SUMIFS('Attrition Modeling'!$D:$D,'Attrition Modeling'!$C:$C,'IP Attrition'!$D93,'Attrition Modeling'!$B:$B,'IP Attrition'!AC$68),VLOOKUP($F93+AC$2,$A$6:$C$106,2,FALSE)*VLOOKUP(AC$1,'Attrition Modeling'!$L$15:$N$27,IF(AC$2+$F26&lt;=24,2,3),FALSE)),$C$3)*(1+Projection!AE$16)*(1+IF(AC158&gt;0,'Attrition Modeling'!$N$9,0)))</f>
        <v>0</v>
      </c>
      <c r="AD93" s="799">
        <f>AC93*(1-IFERROR(IF(AD$69+$F93&lt;=12,SUMIFS('Attrition Modeling'!$D:$D,'Attrition Modeling'!$C:$C,'IP Attrition'!$D93,'Attrition Modeling'!$B:$B,'IP Attrition'!AD$68),VLOOKUP($F93+AD$2,$A$6:$C$106,2,FALSE)*VLOOKUP(AD$1,'Attrition Modeling'!$L$15:$N$27,IF(AD$2+$F26&lt;=24,2,3),FALSE)),$C$3)*(1+Projection!AF$16)*(1+IF(AD158&gt;0,'Attrition Modeling'!$N$9,0)))</f>
        <v>0</v>
      </c>
      <c r="AE93" s="799">
        <f>AD93*(1-IFERROR(IF(AE$69+$F93&lt;=12,SUMIFS('Attrition Modeling'!$D:$D,'Attrition Modeling'!$C:$C,'IP Attrition'!$D93,'Attrition Modeling'!$B:$B,'IP Attrition'!AE$68),VLOOKUP($F93+AE$2,$A$6:$C$106,2,FALSE)*VLOOKUP(AE$1,'Attrition Modeling'!$L$15:$N$27,IF(AE$2+$F26&lt;=24,2,3),FALSE)),$C$3)*(1+Projection!AG$16)*(1+IF(AE158&gt;0,'Attrition Modeling'!$N$9,0)))</f>
        <v>0</v>
      </c>
      <c r="AF93" s="799">
        <f>AE93*(1-IFERROR(IF(AF$69+$F93&lt;=12,SUMIFS('Attrition Modeling'!$D:$D,'Attrition Modeling'!$C:$C,'IP Attrition'!$D93,'Attrition Modeling'!$B:$B,'IP Attrition'!AF$68),VLOOKUP($F93+AF$2,$A$6:$C$106,2,FALSE)*VLOOKUP(AF$1,'Attrition Modeling'!$L$15:$N$27,IF(AF$2+$F26&lt;=24,2,3),FALSE)),$C$3)*(1+Projection!AH$16)*(1+IF(AF158&gt;0,'Attrition Modeling'!$N$9,0)))</f>
        <v>0</v>
      </c>
      <c r="AG93" s="799">
        <f>AF93*(1-IFERROR(IF(AG$69+$F93&lt;=12,SUMIFS('Attrition Modeling'!$D:$D,'Attrition Modeling'!$C:$C,'IP Attrition'!$D93,'Attrition Modeling'!$B:$B,'IP Attrition'!AG$68),VLOOKUP($F93+AG$2,$A$6:$C$106,2,FALSE)*VLOOKUP(AG$1,'Attrition Modeling'!$L$15:$N$27,IF(AG$2+$F26&lt;=24,2,3),FALSE)),$C$3)*(1+Projection!AI$16)*(1+IF(AG158&gt;0,'Attrition Modeling'!$N$9,0)))</f>
        <v>0</v>
      </c>
      <c r="AH93" s="799">
        <f>AG93*(1-IFERROR(IF(AH$69+$F93&lt;=12,SUMIFS('Attrition Modeling'!$D:$D,'Attrition Modeling'!$C:$C,'IP Attrition'!$D93,'Attrition Modeling'!$B:$B,'IP Attrition'!AH$68),VLOOKUP($F93+AH$2,$A$6:$C$106,2,FALSE)*VLOOKUP(AH$1,'Attrition Modeling'!$L$15:$N$27,IF(AH$2+$F26&lt;=24,2,3),FALSE)),$C$3)*(1+Projection!AJ$16)*(1+IF(AH158&gt;0,'Attrition Modeling'!$N$9,0)))</f>
        <v>0</v>
      </c>
      <c r="AI93" s="799">
        <f>AH93*(1-IFERROR(IF(AI$69+$F93&lt;=12,SUMIFS('Attrition Modeling'!$D:$D,'Attrition Modeling'!$C:$C,'IP Attrition'!$D93,'Attrition Modeling'!$B:$B,'IP Attrition'!AI$68),VLOOKUP($F93+AI$2,$A$6:$C$106,2,FALSE)*VLOOKUP(AI$1,'Attrition Modeling'!$L$15:$N$27,IF(AI$2+$F26&lt;=24,2,3),FALSE)),$C$3)*(1+Projection!AK$16)*(1+IF(AI158&gt;0,'Attrition Modeling'!$N$9,0)))</f>
        <v>0</v>
      </c>
      <c r="AJ93" s="799">
        <f>AI93*(1-IFERROR(IF(AJ$69+$F93&lt;=12,SUMIFS('Attrition Modeling'!$D:$D,'Attrition Modeling'!$C:$C,'IP Attrition'!$D93,'Attrition Modeling'!$B:$B,'IP Attrition'!AJ$68),VLOOKUP($F93+AJ$2,$A$6:$C$106,2,FALSE)*VLOOKUP(AJ$1,'Attrition Modeling'!$L$15:$N$27,IF(AJ$2+$F26&lt;=24,2,3),FALSE)),$C$3)*(1+Projection!AL$16)*(1+IF(AJ158&gt;0,'Attrition Modeling'!$N$9,0)))</f>
        <v>0</v>
      </c>
      <c r="AK93" s="799">
        <f>AJ93*(1-IFERROR(IF(AK$69+$F93&lt;=12,SUMIFS('Attrition Modeling'!$D:$D,'Attrition Modeling'!$C:$C,'IP Attrition'!$D93,'Attrition Modeling'!$B:$B,'IP Attrition'!AK$68),VLOOKUP($F93+AK$2,$A$6:$C$106,2,FALSE)*VLOOKUP(AK$1,'Attrition Modeling'!$L$15:$N$27,IF(AK$2+$F26&lt;=24,2,3),FALSE)),$C$3)*(1+Projection!AM$16)*(1+IF(AK158&gt;0,'Attrition Modeling'!$N$9,0)))</f>
        <v>0</v>
      </c>
      <c r="AL93" s="799">
        <f>AK93*(1-IFERROR(IF(AL$69+$F93&lt;=12,SUMIFS('Attrition Modeling'!$D:$D,'Attrition Modeling'!$C:$C,'IP Attrition'!$D93,'Attrition Modeling'!$B:$B,'IP Attrition'!AL$68),VLOOKUP($F93+AL$2,$A$6:$C$106,2,FALSE)*VLOOKUP(AL$1,'Attrition Modeling'!$L$15:$N$27,IF(AL$2+$F26&lt;=24,2,3),FALSE)),$C$3)*(1+Projection!AN$16)*(1+IF(AL158&gt;0,'Attrition Modeling'!$N$9,0)))</f>
        <v>0</v>
      </c>
      <c r="AM93" s="799">
        <f>AL93*(1-IFERROR(IF(AM$69+$F93&lt;=12,SUMIFS('Attrition Modeling'!$D:$D,'Attrition Modeling'!$C:$C,'IP Attrition'!$D93,'Attrition Modeling'!$B:$B,'IP Attrition'!AM$68),VLOOKUP($F93+AM$2,$A$6:$C$106,2,FALSE)*VLOOKUP(AM$1,'Attrition Modeling'!$L$15:$N$27,IF(AM$2+$F26&lt;=24,2,3),FALSE)),$C$3)*(1+Projection!AO$16)*(1+IF(AM158&gt;0,'Attrition Modeling'!$N$9,0)))</f>
        <v>0</v>
      </c>
      <c r="AN93" s="799">
        <f>AM93*(1-IFERROR(IF(AN$69+$F93&lt;=12,SUMIFS('Attrition Modeling'!$D:$D,'Attrition Modeling'!$C:$C,'IP Attrition'!$D93,'Attrition Modeling'!$B:$B,'IP Attrition'!AN$68),VLOOKUP($F93+AN$2,$A$6:$C$106,2,FALSE)*VLOOKUP(AN$1,'Attrition Modeling'!$L$15:$N$27,IF(AN$2+$F26&lt;=24,2,3),FALSE)),$C$3)*(1+Projection!AP$16)*(1+IF(AN158&gt;0,'Attrition Modeling'!$N$9,0)))</f>
        <v>0</v>
      </c>
      <c r="AO93" s="799">
        <f>AN93*(1-IFERROR(IF(AO$69+$F93&lt;=12,SUMIFS('Attrition Modeling'!$D:$D,'Attrition Modeling'!$C:$C,'IP Attrition'!$D93,'Attrition Modeling'!$B:$B,'IP Attrition'!AO$68),VLOOKUP($F93+AO$2,$A$6:$C$106,2,FALSE)*VLOOKUP(AO$1,'Attrition Modeling'!$L$15:$N$27,IF(AO$2+$F26&lt;=24,2,3),FALSE)),$C$3)*(1+Projection!AQ$16)*(1+IF(AO158&gt;0,'Attrition Modeling'!$N$9,0)))</f>
        <v>0</v>
      </c>
      <c r="AP93" s="799">
        <f>AO93*(1-IFERROR(IF(AP$69+$F93&lt;=12,SUMIFS('Attrition Modeling'!$D:$D,'Attrition Modeling'!$C:$C,'IP Attrition'!$D93,'Attrition Modeling'!$B:$B,'IP Attrition'!AP$68),VLOOKUP($F93+AP$2,$A$6:$C$106,2,FALSE)*VLOOKUP(AP$1,'Attrition Modeling'!$L$15:$N$27,IF(AP$2+$F26&lt;=24,2,3),FALSE)),$C$3)*(1+Projection!AR$16)*(1+IF(AP158&gt;0,'Attrition Modeling'!$N$9,0)))</f>
        <v>0</v>
      </c>
      <c r="AQ93" s="799">
        <f>AP93*(1-IFERROR(IF(AQ$69+$F93&lt;=12,SUMIFS('Attrition Modeling'!$D:$D,'Attrition Modeling'!$C:$C,'IP Attrition'!$D93,'Attrition Modeling'!$B:$B,'IP Attrition'!AQ$68),VLOOKUP($F93+AQ$2,$A$6:$C$106,2,FALSE)*VLOOKUP(AQ$1,'Attrition Modeling'!$L$15:$N$27,IF(AQ$2+$F26&lt;=24,2,3),FALSE)),$C$3)*(1+Projection!AS$16)*(1+IF(AQ158&gt;0,'Attrition Modeling'!$N$9,0)))</f>
        <v>0</v>
      </c>
      <c r="AR93" s="799">
        <f>AQ93*(1-IFERROR(IF(AR$69+$F93&lt;=12,SUMIFS('Attrition Modeling'!$D:$D,'Attrition Modeling'!$C:$C,'IP Attrition'!$D93,'Attrition Modeling'!$B:$B,'IP Attrition'!AR$68),VLOOKUP($F93+AR$2,$A$6:$C$106,2,FALSE)*VLOOKUP(AR$1,'Attrition Modeling'!$L$15:$N$27,IF(AR$2+$F26&lt;=24,2,3),FALSE)),$C$3)*(1+Projection!AT$16)*(1+IF(AR158&gt;0,'Attrition Modeling'!$N$9,0)))</f>
        <v>0</v>
      </c>
      <c r="AS93" s="799">
        <f>AR93*(1-IFERROR(IF(AS$69+$F93&lt;=12,SUMIFS('Attrition Modeling'!$D:$D,'Attrition Modeling'!$C:$C,'IP Attrition'!$D93,'Attrition Modeling'!$B:$B,'IP Attrition'!AS$68),VLOOKUP($F93+AS$2,$A$6:$C$106,2,FALSE)*VLOOKUP(AS$1,'Attrition Modeling'!$L$15:$N$27,IF(AS$2+$F26&lt;=24,2,3),FALSE)),$C$3)*(1+Projection!AU$16)*(1+IF(AS158&gt;0,'Attrition Modeling'!$N$9,0)))</f>
        <v>0</v>
      </c>
      <c r="AT93" s="799">
        <f>AS93*(1-IFERROR(IF(AT$69+$F93&lt;=12,SUMIFS('Attrition Modeling'!$D:$D,'Attrition Modeling'!$C:$C,'IP Attrition'!$D93,'Attrition Modeling'!$B:$B,'IP Attrition'!AT$68),VLOOKUP($F93+AT$2,$A$6:$C$106,2,FALSE)*VLOOKUP(AT$1,'Attrition Modeling'!$L$15:$N$27,IF(AT$2+$F26&lt;=24,2,3),FALSE)),$C$3)*(1+Projection!AV$16)*(1+IF(AT158&gt;0,'Attrition Modeling'!$N$9,0)))</f>
        <v>0</v>
      </c>
      <c r="AU93" s="799">
        <f>AT93*(1-IFERROR(IF(AU$69+$F93&lt;=12,SUMIFS('Attrition Modeling'!$D:$D,'Attrition Modeling'!$C:$C,'IP Attrition'!$D93,'Attrition Modeling'!$B:$B,'IP Attrition'!AU$68),VLOOKUP($F93+AU$2,$A$6:$C$106,2,FALSE)*VLOOKUP(AU$1,'Attrition Modeling'!$L$15:$N$27,IF(AU$2+$F26&lt;=24,2,3),FALSE)),$C$3)*(1+Projection!AW$16)*(1+IF(AU158&gt;0,'Attrition Modeling'!$N$9,0)))</f>
        <v>0</v>
      </c>
      <c r="AV93" s="799">
        <f>AU93*(1-IFERROR(IF(AV$69+$F93&lt;=12,SUMIFS('Attrition Modeling'!$D:$D,'Attrition Modeling'!$C:$C,'IP Attrition'!$D93,'Attrition Modeling'!$B:$B,'IP Attrition'!AV$68),VLOOKUP($F93+AV$2,$A$6:$C$106,2,FALSE)*VLOOKUP(AV$1,'Attrition Modeling'!$L$15:$N$27,IF(AV$2+$F26&lt;=24,2,3),FALSE)),$C$3)*(1+Projection!AX$16)*(1+IF(AV158&gt;0,'Attrition Modeling'!$N$9,0)))</f>
        <v>0</v>
      </c>
      <c r="AW93" s="799">
        <f>AV93*(1-IFERROR(IF(AW$69+$F93&lt;=12,SUMIFS('Attrition Modeling'!$D:$D,'Attrition Modeling'!$C:$C,'IP Attrition'!$D93,'Attrition Modeling'!$B:$B,'IP Attrition'!AW$68),VLOOKUP($F93+AW$2,$A$6:$C$106,2,FALSE)*VLOOKUP(AW$1,'Attrition Modeling'!$L$15:$N$27,IF(AW$2+$F26&lt;=24,2,3),FALSE)),$C$3)*(1+Projection!AY$16)*(1+IF(AW158&gt;0,'Attrition Modeling'!$N$9,0)))</f>
        <v>0</v>
      </c>
      <c r="AX93" s="799">
        <f>AW93*(1-IFERROR(IF(AX$69+$F93&lt;=12,SUMIFS('Attrition Modeling'!$D:$D,'Attrition Modeling'!$C:$C,'IP Attrition'!$D93,'Attrition Modeling'!$B:$B,'IP Attrition'!AX$68),VLOOKUP($F93+AX$2,$A$6:$C$106,2,FALSE)*VLOOKUP(AX$1,'Attrition Modeling'!$L$15:$N$27,IF(AX$2+$F26&lt;=24,2,3),FALSE)),$C$3)*(1+Projection!AZ$16)*(1+IF(AX158&gt;0,'Attrition Modeling'!$N$9,0)))</f>
        <v>0</v>
      </c>
      <c r="AY93" s="799">
        <f>AX93*(1-IFERROR(IF(AY$69+$F93&lt;=12,SUMIFS('Attrition Modeling'!$D:$D,'Attrition Modeling'!$C:$C,'IP Attrition'!$D93,'Attrition Modeling'!$B:$B,'IP Attrition'!AY$68),VLOOKUP($F93+AY$2,$A$6:$C$106,2,FALSE)*VLOOKUP(AY$1,'Attrition Modeling'!$L$15:$N$27,IF(AY$2+$F26&lt;=24,2,3),FALSE)),$C$3)*(1+Projection!BA$16)*(1+IF(AY158&gt;0,'Attrition Modeling'!$N$9,0)))</f>
        <v>0</v>
      </c>
      <c r="AZ93" s="799">
        <f>AY93*(1-IFERROR(IF(AZ$69+$F93&lt;=12,SUMIFS('Attrition Modeling'!$D:$D,'Attrition Modeling'!$C:$C,'IP Attrition'!$D93,'Attrition Modeling'!$B:$B,'IP Attrition'!AZ$68),VLOOKUP($F93+AZ$2,$A$6:$C$106,2,FALSE)*VLOOKUP(AZ$1,'Attrition Modeling'!$L$15:$N$27,IF(AZ$2+$F26&lt;=24,2,3),FALSE)),$C$3)*(1+Projection!BB$16)*(1+IF(AZ158&gt;0,'Attrition Modeling'!$N$9,0)))</f>
        <v>0</v>
      </c>
      <c r="BA93" s="799">
        <f>AZ93*(1-IFERROR(IF(BA$69+$F93&lt;=12,SUMIFS('Attrition Modeling'!$D:$D,'Attrition Modeling'!$C:$C,'IP Attrition'!$D93,'Attrition Modeling'!$B:$B,'IP Attrition'!BA$68),VLOOKUP($F93+BA$2,$A$6:$C$106,2,FALSE)*VLOOKUP(BA$1,'Attrition Modeling'!$L$15:$N$27,IF(BA$2+$F26&lt;=24,2,3),FALSE)),$C$3)*(1+Projection!BC$16)*(1+IF(BA158&gt;0,'Attrition Modeling'!$N$9,0)))</f>
        <v>0</v>
      </c>
      <c r="BB93" s="799">
        <f>BA93*(1-IFERROR(IF(BB$69+$F93&lt;=12,SUMIFS('Attrition Modeling'!$D:$D,'Attrition Modeling'!$C:$C,'IP Attrition'!$D93,'Attrition Modeling'!$B:$B,'IP Attrition'!BB$68),VLOOKUP($F93+BB$2,$A$6:$C$106,2,FALSE)*VLOOKUP(BB$1,'Attrition Modeling'!$L$15:$N$27,IF(BB$2+$F26&lt;=24,2,3),FALSE)),$C$3)*(1+Projection!BD$16)*(1+IF(BB158&gt;0,'Attrition Modeling'!$N$9,0)))</f>
        <v>0</v>
      </c>
      <c r="BC93" s="799">
        <f>BB93*(1-IFERROR(IF(BC$69+$F93&lt;=12,SUMIFS('Attrition Modeling'!$D:$D,'Attrition Modeling'!$C:$C,'IP Attrition'!$D93,'Attrition Modeling'!$B:$B,'IP Attrition'!BC$68),VLOOKUP($F93+BC$2,$A$6:$C$106,2,FALSE)*VLOOKUP(BC$1,'Attrition Modeling'!$L$15:$N$27,IF(BC$2+$F26&lt;=24,2,3),FALSE)),$C$3)*(1+Projection!BE$16)*(1+IF(BC158&gt;0,'Attrition Modeling'!$N$9,0)))</f>
        <v>0</v>
      </c>
      <c r="BD93" s="799">
        <f>BC93*(1-IFERROR(IF(BD$69+$F93&lt;=12,SUMIFS('Attrition Modeling'!$D:$D,'Attrition Modeling'!$C:$C,'IP Attrition'!$D93,'Attrition Modeling'!$B:$B,'IP Attrition'!BD$68),VLOOKUP($F93+BD$2,$A$6:$C$106,2,FALSE)*VLOOKUP(BD$1,'Attrition Modeling'!$L$15:$N$27,IF(BD$2+$F26&lt;=24,2,3),FALSE)),$C$3)*(1+Projection!BF$16)*(1+IF(BD158&gt;0,'Attrition Modeling'!$N$9,0)))</f>
        <v>0</v>
      </c>
      <c r="BE93" s="799">
        <f>BD93*(1-IFERROR(IF(BE$69+$F93&lt;=12,SUMIFS('Attrition Modeling'!$D:$D,'Attrition Modeling'!$C:$C,'IP Attrition'!$D93,'Attrition Modeling'!$B:$B,'IP Attrition'!BE$68),VLOOKUP($F93+BE$2,$A$6:$C$106,2,FALSE)*VLOOKUP(BE$1,'Attrition Modeling'!$L$15:$N$27,IF(BE$2+$F26&lt;=24,2,3),FALSE)),$C$3)*(1+Projection!BG$16)*(1+IF(BE158&gt;0,'Attrition Modeling'!$N$9,0)))</f>
        <v>0</v>
      </c>
      <c r="BF93" s="799">
        <f>BE93*(1-IFERROR(IF(BF$69+$F93&lt;=12,SUMIFS('Attrition Modeling'!$D:$D,'Attrition Modeling'!$C:$C,'IP Attrition'!$D93,'Attrition Modeling'!$B:$B,'IP Attrition'!BF$68),VLOOKUP($F93+BF$2,$A$6:$C$106,2,FALSE)*VLOOKUP(BF$1,'Attrition Modeling'!$L$15:$N$27,IF(BF$2+$F26&lt;=24,2,3),FALSE)),$C$3)*(1+Projection!BH$16)*(1+IF(BF158&gt;0,'Attrition Modeling'!$N$9,0)))</f>
        <v>0</v>
      </c>
      <c r="BG93" s="799">
        <f>BF93*(1-IFERROR(IF(BG$69+$F93&lt;=12,SUMIFS('Attrition Modeling'!$D:$D,'Attrition Modeling'!$C:$C,'IP Attrition'!$D93,'Attrition Modeling'!$B:$B,'IP Attrition'!BG$68),VLOOKUP($F93+BG$2,$A$6:$C$106,2,FALSE)*VLOOKUP(BG$1,'Attrition Modeling'!$L$15:$N$27,IF(BG$2+$F26&lt;=24,2,3),FALSE)),$C$3)*(1+Projection!BI$16)*(1+IF(BG158&gt;0,'Attrition Modeling'!$N$9,0)))</f>
        <v>0</v>
      </c>
      <c r="BH93" s="799">
        <f>BG93*(1-IFERROR(IF(BH$69+$F93&lt;=12,SUMIFS('Attrition Modeling'!$D:$D,'Attrition Modeling'!$C:$C,'IP Attrition'!$D93,'Attrition Modeling'!$B:$B,'IP Attrition'!BH$68),VLOOKUP($F93+BH$2,$A$6:$C$106,2,FALSE)*VLOOKUP(BH$1,'Attrition Modeling'!$L$15:$N$27,IF(BH$2+$F26&lt;=24,2,3),FALSE)),$C$3)*(1+Projection!BJ$16)*(1+IF(BH158&gt;0,'Attrition Modeling'!$N$9,0)))</f>
        <v>0</v>
      </c>
      <c r="BI93" s="799">
        <f>BH93*(1-IFERROR(IF(BI$69+$F93&lt;=12,SUMIFS('Attrition Modeling'!$D:$D,'Attrition Modeling'!$C:$C,'IP Attrition'!$D93,'Attrition Modeling'!$B:$B,'IP Attrition'!BI$68),VLOOKUP($F93+BI$2,$A$6:$C$106,2,FALSE)*VLOOKUP(BI$1,'Attrition Modeling'!$L$15:$N$27,IF(BI$2+$F26&lt;=24,2,3),FALSE)),$C$3)*(1+Projection!BK$16)*(1+IF(BI158&gt;0,'Attrition Modeling'!$N$9,0)))</f>
        <v>0</v>
      </c>
      <c r="BJ93" s="799">
        <f>BI93*(1-IFERROR(IF(BJ$69+$F93&lt;=12,SUMIFS('Attrition Modeling'!$D:$D,'Attrition Modeling'!$C:$C,'IP Attrition'!$D93,'Attrition Modeling'!$B:$B,'IP Attrition'!BJ$68),VLOOKUP($F93+BJ$2,$A$6:$C$106,2,FALSE)*VLOOKUP(BJ$1,'Attrition Modeling'!$L$15:$N$27,IF(BJ$2+$F26&lt;=24,2,3),FALSE)),$C$3)*(1+Projection!BL$16)*(1+IF(BJ158&gt;0,'Attrition Modeling'!$N$9,0)))</f>
        <v>0</v>
      </c>
      <c r="BK93" s="799">
        <f>BJ93*(1-IFERROR(IF(BK$69+$F93&lt;=12,SUMIFS('Attrition Modeling'!$D:$D,'Attrition Modeling'!$C:$C,'IP Attrition'!$D93,'Attrition Modeling'!$B:$B,'IP Attrition'!BK$68),VLOOKUP($F93+BK$2,$A$6:$C$106,2,FALSE)*VLOOKUP(BK$1,'Attrition Modeling'!$L$15:$N$27,IF(BK$2+$F26&lt;=24,2,3),FALSE)),$C$3)*(1+Projection!BM$16)*(1+IF(BK158&gt;0,'Attrition Modeling'!$N$9,0)))</f>
        <v>0</v>
      </c>
      <c r="BL93" s="799">
        <f>BK93*(1-IFERROR(IF(BL$69+$F93&lt;=12,SUMIFS('Attrition Modeling'!$D:$D,'Attrition Modeling'!$C:$C,'IP Attrition'!$D93,'Attrition Modeling'!$B:$B,'IP Attrition'!BL$68),VLOOKUP($F93+BL$2,$A$6:$C$106,2,FALSE)*VLOOKUP(BL$1,'Attrition Modeling'!$L$15:$N$27,IF(BL$2+$F26&lt;=24,2,3),FALSE)),$C$3)*(1+Projection!BN$16)*(1+IF(BL158&gt;0,'Attrition Modeling'!$N$9,0)))</f>
        <v>0</v>
      </c>
      <c r="BM93" s="799">
        <f>BL93*(1-IFERROR(IF(BM$69+$F93&lt;=12,SUMIFS('Attrition Modeling'!$D:$D,'Attrition Modeling'!$C:$C,'IP Attrition'!$D93,'Attrition Modeling'!$B:$B,'IP Attrition'!BM$68),VLOOKUP($F93+BM$2,$A$6:$C$106,2,FALSE)*VLOOKUP(BM$1,'Attrition Modeling'!$L$15:$N$27,IF(BM$2+$F26&lt;=24,2,3),FALSE)),$C$3)*(1+Projection!BO$16)*(1+IF(BM158&gt;0,'Attrition Modeling'!$N$9,0)))</f>
        <v>0</v>
      </c>
      <c r="BN93" s="799">
        <f>BM93*(1-IFERROR(IF(BN$69+$F93&lt;=12,SUMIFS('Attrition Modeling'!$D:$D,'Attrition Modeling'!$C:$C,'IP Attrition'!$D93,'Attrition Modeling'!$B:$B,'IP Attrition'!BN$68),VLOOKUP($F93+BN$2,$A$6:$C$106,2,FALSE)*VLOOKUP(BN$1,'Attrition Modeling'!$L$15:$N$27,IF(BN$2+$F26&lt;=24,2,3),FALSE)),$C$3)*(1+Projection!BP$16)*(1+IF(BN158&gt;0,'Attrition Modeling'!$N$9,0)))</f>
        <v>0</v>
      </c>
      <c r="BO93" s="799">
        <f>BN93*(1-IFERROR(IF(BO$69+$F93&lt;=12,SUMIFS('Attrition Modeling'!$D:$D,'Attrition Modeling'!$C:$C,'IP Attrition'!$D93,'Attrition Modeling'!$B:$B,'IP Attrition'!BO$68),VLOOKUP($F93+BO$2,$A$6:$C$106,2,FALSE)*VLOOKUP(BO$1,'Attrition Modeling'!$L$15:$N$27,IF(BO$2+$F26&lt;=24,2,3),FALSE)),$C$3)*(1+Projection!BV$16)*(1+IF(BO158&gt;0,'Attrition Modeling'!$N$9,0)))</f>
        <v>0</v>
      </c>
      <c r="BP93" s="799">
        <f>BO93*(1-IFERROR(IF(BP$69+$F93&lt;=12,SUMIFS('Attrition Modeling'!$D:$D,'Attrition Modeling'!$C:$C,'IP Attrition'!$D93,'Attrition Modeling'!$B:$B,'IP Attrition'!BP$68),VLOOKUP($F93+BP$2,$A$6:$C$106,2,FALSE)*VLOOKUP(BP$1,'Attrition Modeling'!$L$15:$N$27,IF(BP$2+$F26&lt;=24,2,3),FALSE)),$C$3)*(1+Projection!BW$16)*(1+IF(BP158&gt;0,'Attrition Modeling'!$N$9,0)))</f>
        <v>0</v>
      </c>
      <c r="BQ93" s="799">
        <f>BP93*(1-IFERROR(IF(BQ$69+$F93&lt;=12,SUMIFS('Attrition Modeling'!$D:$D,'Attrition Modeling'!$C:$C,'IP Attrition'!$D93,'Attrition Modeling'!$B:$B,'IP Attrition'!BQ$68),VLOOKUP($F93+BQ$2,$A$6:$C$106,2,FALSE)*VLOOKUP(BQ$1,'Attrition Modeling'!$L$15:$N$27,IF(BQ$2+$F26&lt;=24,2,3),FALSE)),$C$3)*(1+Projection!BX$16)*(1+IF(BQ158&gt;0,'Attrition Modeling'!$N$9,0)))</f>
        <v>0</v>
      </c>
      <c r="BR93" s="799">
        <f>BQ93*(1-IFERROR(IF(BR$69+$F93&lt;=12,SUMIFS('Attrition Modeling'!$D:$D,'Attrition Modeling'!$C:$C,'IP Attrition'!$D93,'Attrition Modeling'!$B:$B,'IP Attrition'!BR$68),VLOOKUP($F93+BR$2,$A$6:$C$106,2,FALSE)*VLOOKUP(BR$1,'Attrition Modeling'!$L$15:$N$27,IF(BR$2+$F26&lt;=24,2,3),FALSE)),$C$3)*(1+Projection!BY$16)*(1+IF(BR158&gt;0,'Attrition Modeling'!$N$9,0)))</f>
        <v>0</v>
      </c>
      <c r="BS93" s="799">
        <f>BR93*(1-IFERROR(IF(BS$69+$F93&lt;=12,SUMIFS('Attrition Modeling'!$D:$D,'Attrition Modeling'!$C:$C,'IP Attrition'!$D93,'Attrition Modeling'!$B:$B,'IP Attrition'!BS$68),VLOOKUP($F93+BS$2,$A$6:$C$106,2,FALSE)*VLOOKUP(BS$1,'Attrition Modeling'!$L$15:$N$27,IF(BS$2+$F26&lt;=24,2,3),FALSE)),$C$3)*(1+Projection!BZ$16)*(1+IF(BS158&gt;0,'Attrition Modeling'!$N$9,0)))</f>
        <v>0</v>
      </c>
      <c r="BT93" s="799" t="e">
        <f>BS93*(1-IFERROR(IF(BT$69+$F93&lt;=12,SUMIFS('Attrition Modeling'!$D:$D,'Attrition Modeling'!$C:$C,'IP Attrition'!$D93,'Attrition Modeling'!$B:$B,'IP Attrition'!BT$68),VLOOKUP($F93+BT$2,$A$6:$C$106,2,FALSE)*VLOOKUP(BT$1,'Attrition Modeling'!$L$15:$N$27,IF(BT$2+$F26&lt;=24,2,3),FALSE)),$C$3)*(1+Projection!CA$16)*(1+IF(BT158&gt;0,'Attrition Modeling'!$N$9,0)))</f>
        <v>#REF!</v>
      </c>
      <c r="BU93" s="799" t="e">
        <f>BT93*(1-IFERROR(IF(BU$69+$F93&lt;=12,SUMIFS('Attrition Modeling'!$D:$D,'Attrition Modeling'!$C:$C,'IP Attrition'!$D93,'Attrition Modeling'!$B:$B,'IP Attrition'!BU$68),VLOOKUP($F93+BU$2,$A$6:$C$106,2,FALSE)*VLOOKUP(BU$1,'Attrition Modeling'!$L$15:$N$27,IF(BU$2+$F26&lt;=24,2,3),FALSE)),$C$3)*(1+Projection!CB$16)*(1+IF(BU158&gt;0,'Attrition Modeling'!$N$9,0)))</f>
        <v>#REF!</v>
      </c>
    </row>
    <row r="94" spans="1:73" ht="14.25" customHeight="1" x14ac:dyDescent="0.2">
      <c r="A94" s="9">
        <v>87</v>
      </c>
      <c r="B94" s="25">
        <f>MAX('Attrition Modeling'!H91,$C$3)*(1-Summary!$C$20)</f>
        <v>0.02</v>
      </c>
      <c r="C94" s="24" t="e">
        <f t="shared" si="3"/>
        <v>#DIV/0!</v>
      </c>
      <c r="D94" s="11">
        <f t="shared" ref="D94:E94" si="32">D27</f>
        <v>-24</v>
      </c>
      <c r="E94" s="25">
        <f t="shared" si="32"/>
        <v>0</v>
      </c>
      <c r="F94" s="11">
        <f t="shared" si="9"/>
        <v>24</v>
      </c>
      <c r="G94" s="799">
        <f>Summary!$C$24*$E94</f>
        <v>0</v>
      </c>
      <c r="H94" s="799">
        <f>G94*(1-IFERROR(IF(H$69+$F94&lt;=12,SUMIFS('Attrition Modeling'!$D:$D,'Attrition Modeling'!$C:$C,'IP Attrition'!$D94,'Attrition Modeling'!$B:$B,'IP Attrition'!H$68),VLOOKUP($F94+H$2,$A$6:$C$106,2,FALSE)*VLOOKUP(H$1,'Attrition Modeling'!$L$15:$N$27,IF(H$2+$F27&lt;=24,2,3),FALSE)),$C$3)*(1+Projection!J$16)*(1+IF(H159&gt;0,'Attrition Modeling'!$N$9,0)))</f>
        <v>0</v>
      </c>
      <c r="I94" s="799">
        <f>H94*(1-IFERROR(IF(I$69+$F94&lt;=12,SUMIFS('Attrition Modeling'!$D:$D,'Attrition Modeling'!$C:$C,'IP Attrition'!$D94,'Attrition Modeling'!$B:$B,'IP Attrition'!I$68),VLOOKUP($F94+I$2,$A$6:$C$106,2,FALSE)*VLOOKUP(I$1,'Attrition Modeling'!$L$15:$N$27,IF(I$2+$F27&lt;=24,2,3),FALSE)),$C$3)*(1+Projection!K$16)*(1+IF(I159&gt;0,'Attrition Modeling'!$N$9,0)))</f>
        <v>0</v>
      </c>
      <c r="J94" s="799">
        <f>I94*(1-IFERROR(IF(J$69+$F94&lt;=12,SUMIFS('Attrition Modeling'!$D:$D,'Attrition Modeling'!$C:$C,'IP Attrition'!$D94,'Attrition Modeling'!$B:$B,'IP Attrition'!J$68),VLOOKUP($F94+J$2,$A$6:$C$106,2,FALSE)*VLOOKUP(J$1,'Attrition Modeling'!$L$15:$N$27,IF(J$2+$F27&lt;=24,2,3),FALSE)),$C$3)*(1+Projection!L$16)*(1+IF(J159&gt;0,'Attrition Modeling'!$N$9,0)))</f>
        <v>0</v>
      </c>
      <c r="K94" s="799">
        <f>J94*(1-IFERROR(IF(K$69+$F94&lt;=12,SUMIFS('Attrition Modeling'!$D:$D,'Attrition Modeling'!$C:$C,'IP Attrition'!$D94,'Attrition Modeling'!$B:$B,'IP Attrition'!K$68),VLOOKUP($F94+K$2,$A$6:$C$106,2,FALSE)*VLOOKUP(K$1,'Attrition Modeling'!$L$15:$N$27,IF(K$2+$F27&lt;=24,2,3),FALSE)),$C$3)*(1+Projection!M$16)*(1+IF(K159&gt;0,'Attrition Modeling'!$N$9,0)))</f>
        <v>0</v>
      </c>
      <c r="L94" s="799">
        <f>K94*(1-IFERROR(IF(L$69+$F94&lt;=12,SUMIFS('Attrition Modeling'!$D:$D,'Attrition Modeling'!$C:$C,'IP Attrition'!$D94,'Attrition Modeling'!$B:$B,'IP Attrition'!L$68),VLOOKUP($F94+L$2,$A$6:$C$106,2,FALSE)*VLOOKUP(L$1,'Attrition Modeling'!$L$15:$N$27,IF(L$2+$F27&lt;=24,2,3),FALSE)),$C$3)*(1+Projection!N$16)*(1+IF(L159&gt;0,'Attrition Modeling'!$N$9,0)))</f>
        <v>0</v>
      </c>
      <c r="M94" s="799">
        <f>L94*(1-IFERROR(IF(M$69+$F94&lt;=12,SUMIFS('Attrition Modeling'!$D:$D,'Attrition Modeling'!$C:$C,'IP Attrition'!$D94,'Attrition Modeling'!$B:$B,'IP Attrition'!M$68),VLOOKUP($F94+M$2,$A$6:$C$106,2,FALSE)*VLOOKUP(M$1,'Attrition Modeling'!$L$15:$N$27,IF(M$2+$F27&lt;=24,2,3),FALSE)),$C$3)*(1+Projection!O$16)*(1+IF(M159&gt;0,'Attrition Modeling'!$N$9,0)))</f>
        <v>0</v>
      </c>
      <c r="N94" s="799">
        <f>M94*(1-IFERROR(IF(N$69+$F94&lt;=12,SUMIFS('Attrition Modeling'!$D:$D,'Attrition Modeling'!$C:$C,'IP Attrition'!$D94,'Attrition Modeling'!$B:$B,'IP Attrition'!N$68),VLOOKUP($F94+N$2,$A$6:$C$106,2,FALSE)*VLOOKUP(N$1,'Attrition Modeling'!$L$15:$N$27,IF(N$2+$F27&lt;=24,2,3),FALSE)),$C$3)*(1+Projection!P$16)*(1+IF(N159&gt;0,'Attrition Modeling'!$N$9,0)))</f>
        <v>0</v>
      </c>
      <c r="O94" s="799">
        <f>N94*(1-IFERROR(IF(O$69+$F94&lt;=12,SUMIFS('Attrition Modeling'!$D:$D,'Attrition Modeling'!$C:$C,'IP Attrition'!$D94,'Attrition Modeling'!$B:$B,'IP Attrition'!O$68),VLOOKUP($F94+O$2,$A$6:$C$106,2,FALSE)*VLOOKUP(O$1,'Attrition Modeling'!$L$15:$N$27,IF(O$2+$F27&lt;=24,2,3),FALSE)),$C$3)*(1+Projection!Q$16)*(1+IF(O159&gt;0,'Attrition Modeling'!$N$9,0)))</f>
        <v>0</v>
      </c>
      <c r="P94" s="799">
        <f>O94*(1-IFERROR(IF(P$69+$F94&lt;=12,SUMIFS('Attrition Modeling'!$D:$D,'Attrition Modeling'!$C:$C,'IP Attrition'!$D94,'Attrition Modeling'!$B:$B,'IP Attrition'!P$68),VLOOKUP($F94+P$2,$A$6:$C$106,2,FALSE)*VLOOKUP(P$1,'Attrition Modeling'!$L$15:$N$27,IF(P$2+$F27&lt;=24,2,3),FALSE)),$C$3)*(1+Projection!R$16)*(1+IF(P159&gt;0,'Attrition Modeling'!$N$9,0)))</f>
        <v>0</v>
      </c>
      <c r="Q94" s="799">
        <f>P94*(1-IFERROR(IF(Q$69+$F94&lt;=12,SUMIFS('Attrition Modeling'!$D:$D,'Attrition Modeling'!$C:$C,'IP Attrition'!$D94,'Attrition Modeling'!$B:$B,'IP Attrition'!Q$68),VLOOKUP($F94+Q$2,$A$6:$C$106,2,FALSE)*VLOOKUP(Q$1,'Attrition Modeling'!$L$15:$N$27,IF(Q$2+$F27&lt;=24,2,3),FALSE)),$C$3)*(1+Projection!S$16)*(1+IF(Q159&gt;0,'Attrition Modeling'!$N$9,0)))</f>
        <v>0</v>
      </c>
      <c r="R94" s="799">
        <f>Q94*(1-IFERROR(IF(R$69+$F94&lt;=12,SUMIFS('Attrition Modeling'!$D:$D,'Attrition Modeling'!$C:$C,'IP Attrition'!$D94,'Attrition Modeling'!$B:$B,'IP Attrition'!R$68),VLOOKUP($F94+R$2,$A$6:$C$106,2,FALSE)*VLOOKUP(R$1,'Attrition Modeling'!$L$15:$N$27,IF(R$2+$F27&lt;=24,2,3),FALSE)),$C$3)*(1+Projection!T$16)*(1+IF(R159&gt;0,'Attrition Modeling'!$N$9,0)))</f>
        <v>0</v>
      </c>
      <c r="S94" s="799">
        <f>R94*(1-IFERROR(IF(S$69+$F94&lt;=12,SUMIFS('Attrition Modeling'!$D:$D,'Attrition Modeling'!$C:$C,'IP Attrition'!$D94,'Attrition Modeling'!$B:$B,'IP Attrition'!S$68),VLOOKUP($F94+S$2,$A$6:$C$106,2,FALSE)*VLOOKUP(S$1,'Attrition Modeling'!$L$15:$N$27,IF(S$2+$F27&lt;=24,2,3),FALSE)),$C$3)*(1+Projection!U$16)*(1+IF(S159&gt;0,'Attrition Modeling'!$N$9,0)))</f>
        <v>0</v>
      </c>
      <c r="T94" s="799">
        <f>S94*(1-IFERROR(IF(T$69+$F94&lt;=12,SUMIFS('Attrition Modeling'!$D:$D,'Attrition Modeling'!$C:$C,'IP Attrition'!$D94,'Attrition Modeling'!$B:$B,'IP Attrition'!T$68),VLOOKUP($F94+T$2,$A$6:$C$106,2,FALSE)*VLOOKUP(T$1,'Attrition Modeling'!$L$15:$N$27,IF(T$2+$F27&lt;=24,2,3),FALSE)),$C$3)*(1+Projection!V$16)*(1+IF(T159&gt;0,'Attrition Modeling'!$N$9,0)))</f>
        <v>0</v>
      </c>
      <c r="U94" s="799">
        <f>T94*(1-IFERROR(IF(U$69+$F94&lt;=12,SUMIFS('Attrition Modeling'!$D:$D,'Attrition Modeling'!$C:$C,'IP Attrition'!$D94,'Attrition Modeling'!$B:$B,'IP Attrition'!U$68),VLOOKUP($F94+U$2,$A$6:$C$106,2,FALSE)*VLOOKUP(U$1,'Attrition Modeling'!$L$15:$N$27,IF(U$2+$F27&lt;=24,2,3),FALSE)),$C$3)*(1+Projection!W$16)*(1+IF(U159&gt;0,'Attrition Modeling'!$N$9,0)))</f>
        <v>0</v>
      </c>
      <c r="V94" s="799">
        <f>U94*(1-IFERROR(IF(V$69+$F94&lt;=12,SUMIFS('Attrition Modeling'!$D:$D,'Attrition Modeling'!$C:$C,'IP Attrition'!$D94,'Attrition Modeling'!$B:$B,'IP Attrition'!V$68),VLOOKUP($F94+V$2,$A$6:$C$106,2,FALSE)*VLOOKUP(V$1,'Attrition Modeling'!$L$15:$N$27,IF(V$2+$F27&lt;=24,2,3),FALSE)),$C$3)*(1+Projection!X$16)*(1+IF(V159&gt;0,'Attrition Modeling'!$N$9,0)))</f>
        <v>0</v>
      </c>
      <c r="W94" s="799">
        <f>V94*(1-IFERROR(IF(W$69+$F94&lt;=12,SUMIFS('Attrition Modeling'!$D:$D,'Attrition Modeling'!$C:$C,'IP Attrition'!$D94,'Attrition Modeling'!$B:$B,'IP Attrition'!W$68),VLOOKUP($F94+W$2,$A$6:$C$106,2,FALSE)*VLOOKUP(W$1,'Attrition Modeling'!$L$15:$N$27,IF(W$2+$F27&lt;=24,2,3),FALSE)),$C$3)*(1+Projection!Y$16)*(1+IF(W159&gt;0,'Attrition Modeling'!$N$9,0)))</f>
        <v>0</v>
      </c>
      <c r="X94" s="799">
        <f>W94*(1-IFERROR(IF(X$69+$F94&lt;=12,SUMIFS('Attrition Modeling'!$D:$D,'Attrition Modeling'!$C:$C,'IP Attrition'!$D94,'Attrition Modeling'!$B:$B,'IP Attrition'!X$68),VLOOKUP($F94+X$2,$A$6:$C$106,2,FALSE)*VLOOKUP(X$1,'Attrition Modeling'!$L$15:$N$27,IF(X$2+$F27&lt;=24,2,3),FALSE)),$C$3)*(1+Projection!Z$16)*(1+IF(X159&gt;0,'Attrition Modeling'!$N$9,0)))</f>
        <v>0</v>
      </c>
      <c r="Y94" s="799">
        <f>X94*(1-IFERROR(IF(Y$69+$F94&lt;=12,SUMIFS('Attrition Modeling'!$D:$D,'Attrition Modeling'!$C:$C,'IP Attrition'!$D94,'Attrition Modeling'!$B:$B,'IP Attrition'!Y$68),VLOOKUP($F94+Y$2,$A$6:$C$106,2,FALSE)*VLOOKUP(Y$1,'Attrition Modeling'!$L$15:$N$27,IF(Y$2+$F27&lt;=24,2,3),FALSE)),$C$3)*(1+Projection!AA$16)*(1+IF(Y159&gt;0,'Attrition Modeling'!$N$9,0)))</f>
        <v>0</v>
      </c>
      <c r="Z94" s="799">
        <f>Y94*(1-IFERROR(IF(Z$69+$F94&lt;=12,SUMIFS('Attrition Modeling'!$D:$D,'Attrition Modeling'!$C:$C,'IP Attrition'!$D94,'Attrition Modeling'!$B:$B,'IP Attrition'!Z$68),VLOOKUP($F94+Z$2,$A$6:$C$106,2,FALSE)*VLOOKUP(Z$1,'Attrition Modeling'!$L$15:$N$27,IF(Z$2+$F27&lt;=24,2,3),FALSE)),$C$3)*(1+Projection!AB$16)*(1+IF(Z159&gt;0,'Attrition Modeling'!$N$9,0)))</f>
        <v>0</v>
      </c>
      <c r="AA94" s="799">
        <f>Z94*(1-IFERROR(IF(AA$69+$F94&lt;=12,SUMIFS('Attrition Modeling'!$D:$D,'Attrition Modeling'!$C:$C,'IP Attrition'!$D94,'Attrition Modeling'!$B:$B,'IP Attrition'!AA$68),VLOOKUP($F94+AA$2,$A$6:$C$106,2,FALSE)*VLOOKUP(AA$1,'Attrition Modeling'!$L$15:$N$27,IF(AA$2+$F27&lt;=24,2,3),FALSE)),$C$3)*(1+Projection!AC$16)*(1+IF(AA159&gt;0,'Attrition Modeling'!$N$9,0)))</f>
        <v>0</v>
      </c>
      <c r="AB94" s="799">
        <f>AA94*(1-IFERROR(IF(AB$69+$F94&lt;=12,SUMIFS('Attrition Modeling'!$D:$D,'Attrition Modeling'!$C:$C,'IP Attrition'!$D94,'Attrition Modeling'!$B:$B,'IP Attrition'!AB$68),VLOOKUP($F94+AB$2,$A$6:$C$106,2,FALSE)*VLOOKUP(AB$1,'Attrition Modeling'!$L$15:$N$27,IF(AB$2+$F27&lt;=24,2,3),FALSE)),$C$3)*(1+Projection!AD$16)*(1+IF(AB159&gt;0,'Attrition Modeling'!$N$9,0)))</f>
        <v>0</v>
      </c>
      <c r="AC94" s="799">
        <f>AB94*(1-IFERROR(IF(AC$69+$F94&lt;=12,SUMIFS('Attrition Modeling'!$D:$D,'Attrition Modeling'!$C:$C,'IP Attrition'!$D94,'Attrition Modeling'!$B:$B,'IP Attrition'!AC$68),VLOOKUP($F94+AC$2,$A$6:$C$106,2,FALSE)*VLOOKUP(AC$1,'Attrition Modeling'!$L$15:$N$27,IF(AC$2+$F27&lt;=24,2,3),FALSE)),$C$3)*(1+Projection!AE$16)*(1+IF(AC159&gt;0,'Attrition Modeling'!$N$9,0)))</f>
        <v>0</v>
      </c>
      <c r="AD94" s="799">
        <f>AC94*(1-IFERROR(IF(AD$69+$F94&lt;=12,SUMIFS('Attrition Modeling'!$D:$D,'Attrition Modeling'!$C:$C,'IP Attrition'!$D94,'Attrition Modeling'!$B:$B,'IP Attrition'!AD$68),VLOOKUP($F94+AD$2,$A$6:$C$106,2,FALSE)*VLOOKUP(AD$1,'Attrition Modeling'!$L$15:$N$27,IF(AD$2+$F27&lt;=24,2,3),FALSE)),$C$3)*(1+Projection!AF$16)*(1+IF(AD159&gt;0,'Attrition Modeling'!$N$9,0)))</f>
        <v>0</v>
      </c>
      <c r="AE94" s="799">
        <f>AD94*(1-IFERROR(IF(AE$69+$F94&lt;=12,SUMIFS('Attrition Modeling'!$D:$D,'Attrition Modeling'!$C:$C,'IP Attrition'!$D94,'Attrition Modeling'!$B:$B,'IP Attrition'!AE$68),VLOOKUP($F94+AE$2,$A$6:$C$106,2,FALSE)*VLOOKUP(AE$1,'Attrition Modeling'!$L$15:$N$27,IF(AE$2+$F27&lt;=24,2,3),FALSE)),$C$3)*(1+Projection!AG$16)*(1+IF(AE159&gt;0,'Attrition Modeling'!$N$9,0)))</f>
        <v>0</v>
      </c>
      <c r="AF94" s="799">
        <f>AE94*(1-IFERROR(IF(AF$69+$F94&lt;=12,SUMIFS('Attrition Modeling'!$D:$D,'Attrition Modeling'!$C:$C,'IP Attrition'!$D94,'Attrition Modeling'!$B:$B,'IP Attrition'!AF$68),VLOOKUP($F94+AF$2,$A$6:$C$106,2,FALSE)*VLOOKUP(AF$1,'Attrition Modeling'!$L$15:$N$27,IF(AF$2+$F27&lt;=24,2,3),FALSE)),$C$3)*(1+Projection!AH$16)*(1+IF(AF159&gt;0,'Attrition Modeling'!$N$9,0)))</f>
        <v>0</v>
      </c>
      <c r="AG94" s="799">
        <f>AF94*(1-IFERROR(IF(AG$69+$F94&lt;=12,SUMIFS('Attrition Modeling'!$D:$D,'Attrition Modeling'!$C:$C,'IP Attrition'!$D94,'Attrition Modeling'!$B:$B,'IP Attrition'!AG$68),VLOOKUP($F94+AG$2,$A$6:$C$106,2,FALSE)*VLOOKUP(AG$1,'Attrition Modeling'!$L$15:$N$27,IF(AG$2+$F27&lt;=24,2,3),FALSE)),$C$3)*(1+Projection!AI$16)*(1+IF(AG159&gt;0,'Attrition Modeling'!$N$9,0)))</f>
        <v>0</v>
      </c>
      <c r="AH94" s="799">
        <f>AG94*(1-IFERROR(IF(AH$69+$F94&lt;=12,SUMIFS('Attrition Modeling'!$D:$D,'Attrition Modeling'!$C:$C,'IP Attrition'!$D94,'Attrition Modeling'!$B:$B,'IP Attrition'!AH$68),VLOOKUP($F94+AH$2,$A$6:$C$106,2,FALSE)*VLOOKUP(AH$1,'Attrition Modeling'!$L$15:$N$27,IF(AH$2+$F27&lt;=24,2,3),FALSE)),$C$3)*(1+Projection!AJ$16)*(1+IF(AH159&gt;0,'Attrition Modeling'!$N$9,0)))</f>
        <v>0</v>
      </c>
      <c r="AI94" s="799">
        <f>AH94*(1-IFERROR(IF(AI$69+$F94&lt;=12,SUMIFS('Attrition Modeling'!$D:$D,'Attrition Modeling'!$C:$C,'IP Attrition'!$D94,'Attrition Modeling'!$B:$B,'IP Attrition'!AI$68),VLOOKUP($F94+AI$2,$A$6:$C$106,2,FALSE)*VLOOKUP(AI$1,'Attrition Modeling'!$L$15:$N$27,IF(AI$2+$F27&lt;=24,2,3),FALSE)),$C$3)*(1+Projection!AK$16)*(1+IF(AI159&gt;0,'Attrition Modeling'!$N$9,0)))</f>
        <v>0</v>
      </c>
      <c r="AJ94" s="799">
        <f>AI94*(1-IFERROR(IF(AJ$69+$F94&lt;=12,SUMIFS('Attrition Modeling'!$D:$D,'Attrition Modeling'!$C:$C,'IP Attrition'!$D94,'Attrition Modeling'!$B:$B,'IP Attrition'!AJ$68),VLOOKUP($F94+AJ$2,$A$6:$C$106,2,FALSE)*VLOOKUP(AJ$1,'Attrition Modeling'!$L$15:$N$27,IF(AJ$2+$F27&lt;=24,2,3),FALSE)),$C$3)*(1+Projection!AL$16)*(1+IF(AJ159&gt;0,'Attrition Modeling'!$N$9,0)))</f>
        <v>0</v>
      </c>
      <c r="AK94" s="799">
        <f>AJ94*(1-IFERROR(IF(AK$69+$F94&lt;=12,SUMIFS('Attrition Modeling'!$D:$D,'Attrition Modeling'!$C:$C,'IP Attrition'!$D94,'Attrition Modeling'!$B:$B,'IP Attrition'!AK$68),VLOOKUP($F94+AK$2,$A$6:$C$106,2,FALSE)*VLOOKUP(AK$1,'Attrition Modeling'!$L$15:$N$27,IF(AK$2+$F27&lt;=24,2,3),FALSE)),$C$3)*(1+Projection!AM$16)*(1+IF(AK159&gt;0,'Attrition Modeling'!$N$9,0)))</f>
        <v>0</v>
      </c>
      <c r="AL94" s="799">
        <f>AK94*(1-IFERROR(IF(AL$69+$F94&lt;=12,SUMIFS('Attrition Modeling'!$D:$D,'Attrition Modeling'!$C:$C,'IP Attrition'!$D94,'Attrition Modeling'!$B:$B,'IP Attrition'!AL$68),VLOOKUP($F94+AL$2,$A$6:$C$106,2,FALSE)*VLOOKUP(AL$1,'Attrition Modeling'!$L$15:$N$27,IF(AL$2+$F27&lt;=24,2,3),FALSE)),$C$3)*(1+Projection!AN$16)*(1+IF(AL159&gt;0,'Attrition Modeling'!$N$9,0)))</f>
        <v>0</v>
      </c>
      <c r="AM94" s="799">
        <f>AL94*(1-IFERROR(IF(AM$69+$F94&lt;=12,SUMIFS('Attrition Modeling'!$D:$D,'Attrition Modeling'!$C:$C,'IP Attrition'!$D94,'Attrition Modeling'!$B:$B,'IP Attrition'!AM$68),VLOOKUP($F94+AM$2,$A$6:$C$106,2,FALSE)*VLOOKUP(AM$1,'Attrition Modeling'!$L$15:$N$27,IF(AM$2+$F27&lt;=24,2,3),FALSE)),$C$3)*(1+Projection!AO$16)*(1+IF(AM159&gt;0,'Attrition Modeling'!$N$9,0)))</f>
        <v>0</v>
      </c>
      <c r="AN94" s="799">
        <f>AM94*(1-IFERROR(IF(AN$69+$F94&lt;=12,SUMIFS('Attrition Modeling'!$D:$D,'Attrition Modeling'!$C:$C,'IP Attrition'!$D94,'Attrition Modeling'!$B:$B,'IP Attrition'!AN$68),VLOOKUP($F94+AN$2,$A$6:$C$106,2,FALSE)*VLOOKUP(AN$1,'Attrition Modeling'!$L$15:$N$27,IF(AN$2+$F27&lt;=24,2,3),FALSE)),$C$3)*(1+Projection!AP$16)*(1+IF(AN159&gt;0,'Attrition Modeling'!$N$9,0)))</f>
        <v>0</v>
      </c>
      <c r="AO94" s="799">
        <f>AN94*(1-IFERROR(IF(AO$69+$F94&lt;=12,SUMIFS('Attrition Modeling'!$D:$D,'Attrition Modeling'!$C:$C,'IP Attrition'!$D94,'Attrition Modeling'!$B:$B,'IP Attrition'!AO$68),VLOOKUP($F94+AO$2,$A$6:$C$106,2,FALSE)*VLOOKUP(AO$1,'Attrition Modeling'!$L$15:$N$27,IF(AO$2+$F27&lt;=24,2,3),FALSE)),$C$3)*(1+Projection!AQ$16)*(1+IF(AO159&gt;0,'Attrition Modeling'!$N$9,0)))</f>
        <v>0</v>
      </c>
      <c r="AP94" s="799">
        <f>AO94*(1-IFERROR(IF(AP$69+$F94&lt;=12,SUMIFS('Attrition Modeling'!$D:$D,'Attrition Modeling'!$C:$C,'IP Attrition'!$D94,'Attrition Modeling'!$B:$B,'IP Attrition'!AP$68),VLOOKUP($F94+AP$2,$A$6:$C$106,2,FALSE)*VLOOKUP(AP$1,'Attrition Modeling'!$L$15:$N$27,IF(AP$2+$F27&lt;=24,2,3),FALSE)),$C$3)*(1+Projection!AR$16)*(1+IF(AP159&gt;0,'Attrition Modeling'!$N$9,0)))</f>
        <v>0</v>
      </c>
      <c r="AQ94" s="799">
        <f>AP94*(1-IFERROR(IF(AQ$69+$F94&lt;=12,SUMIFS('Attrition Modeling'!$D:$D,'Attrition Modeling'!$C:$C,'IP Attrition'!$D94,'Attrition Modeling'!$B:$B,'IP Attrition'!AQ$68),VLOOKUP($F94+AQ$2,$A$6:$C$106,2,FALSE)*VLOOKUP(AQ$1,'Attrition Modeling'!$L$15:$N$27,IF(AQ$2+$F27&lt;=24,2,3),FALSE)),$C$3)*(1+Projection!AS$16)*(1+IF(AQ159&gt;0,'Attrition Modeling'!$N$9,0)))</f>
        <v>0</v>
      </c>
      <c r="AR94" s="799">
        <f>AQ94*(1-IFERROR(IF(AR$69+$F94&lt;=12,SUMIFS('Attrition Modeling'!$D:$D,'Attrition Modeling'!$C:$C,'IP Attrition'!$D94,'Attrition Modeling'!$B:$B,'IP Attrition'!AR$68),VLOOKUP($F94+AR$2,$A$6:$C$106,2,FALSE)*VLOOKUP(AR$1,'Attrition Modeling'!$L$15:$N$27,IF(AR$2+$F27&lt;=24,2,3),FALSE)),$C$3)*(1+Projection!AT$16)*(1+IF(AR159&gt;0,'Attrition Modeling'!$N$9,0)))</f>
        <v>0</v>
      </c>
      <c r="AS94" s="799">
        <f>AR94*(1-IFERROR(IF(AS$69+$F94&lt;=12,SUMIFS('Attrition Modeling'!$D:$D,'Attrition Modeling'!$C:$C,'IP Attrition'!$D94,'Attrition Modeling'!$B:$B,'IP Attrition'!AS$68),VLOOKUP($F94+AS$2,$A$6:$C$106,2,FALSE)*VLOOKUP(AS$1,'Attrition Modeling'!$L$15:$N$27,IF(AS$2+$F27&lt;=24,2,3),FALSE)),$C$3)*(1+Projection!AU$16)*(1+IF(AS159&gt;0,'Attrition Modeling'!$N$9,0)))</f>
        <v>0</v>
      </c>
      <c r="AT94" s="799">
        <f>AS94*(1-IFERROR(IF(AT$69+$F94&lt;=12,SUMIFS('Attrition Modeling'!$D:$D,'Attrition Modeling'!$C:$C,'IP Attrition'!$D94,'Attrition Modeling'!$B:$B,'IP Attrition'!AT$68),VLOOKUP($F94+AT$2,$A$6:$C$106,2,FALSE)*VLOOKUP(AT$1,'Attrition Modeling'!$L$15:$N$27,IF(AT$2+$F27&lt;=24,2,3),FALSE)),$C$3)*(1+Projection!AV$16)*(1+IF(AT159&gt;0,'Attrition Modeling'!$N$9,0)))</f>
        <v>0</v>
      </c>
      <c r="AU94" s="799">
        <f>AT94*(1-IFERROR(IF(AU$69+$F94&lt;=12,SUMIFS('Attrition Modeling'!$D:$D,'Attrition Modeling'!$C:$C,'IP Attrition'!$D94,'Attrition Modeling'!$B:$B,'IP Attrition'!AU$68),VLOOKUP($F94+AU$2,$A$6:$C$106,2,FALSE)*VLOOKUP(AU$1,'Attrition Modeling'!$L$15:$N$27,IF(AU$2+$F27&lt;=24,2,3),FALSE)),$C$3)*(1+Projection!AW$16)*(1+IF(AU159&gt;0,'Attrition Modeling'!$N$9,0)))</f>
        <v>0</v>
      </c>
      <c r="AV94" s="799">
        <f>AU94*(1-IFERROR(IF(AV$69+$F94&lt;=12,SUMIFS('Attrition Modeling'!$D:$D,'Attrition Modeling'!$C:$C,'IP Attrition'!$D94,'Attrition Modeling'!$B:$B,'IP Attrition'!AV$68),VLOOKUP($F94+AV$2,$A$6:$C$106,2,FALSE)*VLOOKUP(AV$1,'Attrition Modeling'!$L$15:$N$27,IF(AV$2+$F27&lt;=24,2,3),FALSE)),$C$3)*(1+Projection!AX$16)*(1+IF(AV159&gt;0,'Attrition Modeling'!$N$9,0)))</f>
        <v>0</v>
      </c>
      <c r="AW94" s="799">
        <f>AV94*(1-IFERROR(IF(AW$69+$F94&lt;=12,SUMIFS('Attrition Modeling'!$D:$D,'Attrition Modeling'!$C:$C,'IP Attrition'!$D94,'Attrition Modeling'!$B:$B,'IP Attrition'!AW$68),VLOOKUP($F94+AW$2,$A$6:$C$106,2,FALSE)*VLOOKUP(AW$1,'Attrition Modeling'!$L$15:$N$27,IF(AW$2+$F27&lt;=24,2,3),FALSE)),$C$3)*(1+Projection!AY$16)*(1+IF(AW159&gt;0,'Attrition Modeling'!$N$9,0)))</f>
        <v>0</v>
      </c>
      <c r="AX94" s="799">
        <f>AW94*(1-IFERROR(IF(AX$69+$F94&lt;=12,SUMIFS('Attrition Modeling'!$D:$D,'Attrition Modeling'!$C:$C,'IP Attrition'!$D94,'Attrition Modeling'!$B:$B,'IP Attrition'!AX$68),VLOOKUP($F94+AX$2,$A$6:$C$106,2,FALSE)*VLOOKUP(AX$1,'Attrition Modeling'!$L$15:$N$27,IF(AX$2+$F27&lt;=24,2,3),FALSE)),$C$3)*(1+Projection!AZ$16)*(1+IF(AX159&gt;0,'Attrition Modeling'!$N$9,0)))</f>
        <v>0</v>
      </c>
      <c r="AY94" s="799">
        <f>AX94*(1-IFERROR(IF(AY$69+$F94&lt;=12,SUMIFS('Attrition Modeling'!$D:$D,'Attrition Modeling'!$C:$C,'IP Attrition'!$D94,'Attrition Modeling'!$B:$B,'IP Attrition'!AY$68),VLOOKUP($F94+AY$2,$A$6:$C$106,2,FALSE)*VLOOKUP(AY$1,'Attrition Modeling'!$L$15:$N$27,IF(AY$2+$F27&lt;=24,2,3),FALSE)),$C$3)*(1+Projection!BA$16)*(1+IF(AY159&gt;0,'Attrition Modeling'!$N$9,0)))</f>
        <v>0</v>
      </c>
      <c r="AZ94" s="799">
        <f>AY94*(1-IFERROR(IF(AZ$69+$F94&lt;=12,SUMIFS('Attrition Modeling'!$D:$D,'Attrition Modeling'!$C:$C,'IP Attrition'!$D94,'Attrition Modeling'!$B:$B,'IP Attrition'!AZ$68),VLOOKUP($F94+AZ$2,$A$6:$C$106,2,FALSE)*VLOOKUP(AZ$1,'Attrition Modeling'!$L$15:$N$27,IF(AZ$2+$F27&lt;=24,2,3),FALSE)),$C$3)*(1+Projection!BB$16)*(1+IF(AZ159&gt;0,'Attrition Modeling'!$N$9,0)))</f>
        <v>0</v>
      </c>
      <c r="BA94" s="799">
        <f>AZ94*(1-IFERROR(IF(BA$69+$F94&lt;=12,SUMIFS('Attrition Modeling'!$D:$D,'Attrition Modeling'!$C:$C,'IP Attrition'!$D94,'Attrition Modeling'!$B:$B,'IP Attrition'!BA$68),VLOOKUP($F94+BA$2,$A$6:$C$106,2,FALSE)*VLOOKUP(BA$1,'Attrition Modeling'!$L$15:$N$27,IF(BA$2+$F27&lt;=24,2,3),FALSE)),$C$3)*(1+Projection!BC$16)*(1+IF(BA159&gt;0,'Attrition Modeling'!$N$9,0)))</f>
        <v>0</v>
      </c>
      <c r="BB94" s="799">
        <f>BA94*(1-IFERROR(IF(BB$69+$F94&lt;=12,SUMIFS('Attrition Modeling'!$D:$D,'Attrition Modeling'!$C:$C,'IP Attrition'!$D94,'Attrition Modeling'!$B:$B,'IP Attrition'!BB$68),VLOOKUP($F94+BB$2,$A$6:$C$106,2,FALSE)*VLOOKUP(BB$1,'Attrition Modeling'!$L$15:$N$27,IF(BB$2+$F27&lt;=24,2,3),FALSE)),$C$3)*(1+Projection!BD$16)*(1+IF(BB159&gt;0,'Attrition Modeling'!$N$9,0)))</f>
        <v>0</v>
      </c>
      <c r="BC94" s="799">
        <f>BB94*(1-IFERROR(IF(BC$69+$F94&lt;=12,SUMIFS('Attrition Modeling'!$D:$D,'Attrition Modeling'!$C:$C,'IP Attrition'!$D94,'Attrition Modeling'!$B:$B,'IP Attrition'!BC$68),VLOOKUP($F94+BC$2,$A$6:$C$106,2,FALSE)*VLOOKUP(BC$1,'Attrition Modeling'!$L$15:$N$27,IF(BC$2+$F27&lt;=24,2,3),FALSE)),$C$3)*(1+Projection!BE$16)*(1+IF(BC159&gt;0,'Attrition Modeling'!$N$9,0)))</f>
        <v>0</v>
      </c>
      <c r="BD94" s="799">
        <f>BC94*(1-IFERROR(IF(BD$69+$F94&lt;=12,SUMIFS('Attrition Modeling'!$D:$D,'Attrition Modeling'!$C:$C,'IP Attrition'!$D94,'Attrition Modeling'!$B:$B,'IP Attrition'!BD$68),VLOOKUP($F94+BD$2,$A$6:$C$106,2,FALSE)*VLOOKUP(BD$1,'Attrition Modeling'!$L$15:$N$27,IF(BD$2+$F27&lt;=24,2,3),FALSE)),$C$3)*(1+Projection!BF$16)*(1+IF(BD159&gt;0,'Attrition Modeling'!$N$9,0)))</f>
        <v>0</v>
      </c>
      <c r="BE94" s="799">
        <f>BD94*(1-IFERROR(IF(BE$69+$F94&lt;=12,SUMIFS('Attrition Modeling'!$D:$D,'Attrition Modeling'!$C:$C,'IP Attrition'!$D94,'Attrition Modeling'!$B:$B,'IP Attrition'!BE$68),VLOOKUP($F94+BE$2,$A$6:$C$106,2,FALSE)*VLOOKUP(BE$1,'Attrition Modeling'!$L$15:$N$27,IF(BE$2+$F27&lt;=24,2,3),FALSE)),$C$3)*(1+Projection!BG$16)*(1+IF(BE159&gt;0,'Attrition Modeling'!$N$9,0)))</f>
        <v>0</v>
      </c>
      <c r="BF94" s="799">
        <f>BE94*(1-IFERROR(IF(BF$69+$F94&lt;=12,SUMIFS('Attrition Modeling'!$D:$D,'Attrition Modeling'!$C:$C,'IP Attrition'!$D94,'Attrition Modeling'!$B:$B,'IP Attrition'!BF$68),VLOOKUP($F94+BF$2,$A$6:$C$106,2,FALSE)*VLOOKUP(BF$1,'Attrition Modeling'!$L$15:$N$27,IF(BF$2+$F27&lt;=24,2,3),FALSE)),$C$3)*(1+Projection!BH$16)*(1+IF(BF159&gt;0,'Attrition Modeling'!$N$9,0)))</f>
        <v>0</v>
      </c>
      <c r="BG94" s="799">
        <f>BF94*(1-IFERROR(IF(BG$69+$F94&lt;=12,SUMIFS('Attrition Modeling'!$D:$D,'Attrition Modeling'!$C:$C,'IP Attrition'!$D94,'Attrition Modeling'!$B:$B,'IP Attrition'!BG$68),VLOOKUP($F94+BG$2,$A$6:$C$106,2,FALSE)*VLOOKUP(BG$1,'Attrition Modeling'!$L$15:$N$27,IF(BG$2+$F27&lt;=24,2,3),FALSE)),$C$3)*(1+Projection!BI$16)*(1+IF(BG159&gt;0,'Attrition Modeling'!$N$9,0)))</f>
        <v>0</v>
      </c>
      <c r="BH94" s="799">
        <f>BG94*(1-IFERROR(IF(BH$69+$F94&lt;=12,SUMIFS('Attrition Modeling'!$D:$D,'Attrition Modeling'!$C:$C,'IP Attrition'!$D94,'Attrition Modeling'!$B:$B,'IP Attrition'!BH$68),VLOOKUP($F94+BH$2,$A$6:$C$106,2,FALSE)*VLOOKUP(BH$1,'Attrition Modeling'!$L$15:$N$27,IF(BH$2+$F27&lt;=24,2,3),FALSE)),$C$3)*(1+Projection!BJ$16)*(1+IF(BH159&gt;0,'Attrition Modeling'!$N$9,0)))</f>
        <v>0</v>
      </c>
      <c r="BI94" s="799">
        <f>BH94*(1-IFERROR(IF(BI$69+$F94&lt;=12,SUMIFS('Attrition Modeling'!$D:$D,'Attrition Modeling'!$C:$C,'IP Attrition'!$D94,'Attrition Modeling'!$B:$B,'IP Attrition'!BI$68),VLOOKUP($F94+BI$2,$A$6:$C$106,2,FALSE)*VLOOKUP(BI$1,'Attrition Modeling'!$L$15:$N$27,IF(BI$2+$F27&lt;=24,2,3),FALSE)),$C$3)*(1+Projection!BK$16)*(1+IF(BI159&gt;0,'Attrition Modeling'!$N$9,0)))</f>
        <v>0</v>
      </c>
      <c r="BJ94" s="799">
        <f>BI94*(1-IFERROR(IF(BJ$69+$F94&lt;=12,SUMIFS('Attrition Modeling'!$D:$D,'Attrition Modeling'!$C:$C,'IP Attrition'!$D94,'Attrition Modeling'!$B:$B,'IP Attrition'!BJ$68),VLOOKUP($F94+BJ$2,$A$6:$C$106,2,FALSE)*VLOOKUP(BJ$1,'Attrition Modeling'!$L$15:$N$27,IF(BJ$2+$F27&lt;=24,2,3),FALSE)),$C$3)*(1+Projection!BL$16)*(1+IF(BJ159&gt;0,'Attrition Modeling'!$N$9,0)))</f>
        <v>0</v>
      </c>
      <c r="BK94" s="799">
        <f>BJ94*(1-IFERROR(IF(BK$69+$F94&lt;=12,SUMIFS('Attrition Modeling'!$D:$D,'Attrition Modeling'!$C:$C,'IP Attrition'!$D94,'Attrition Modeling'!$B:$B,'IP Attrition'!BK$68),VLOOKUP($F94+BK$2,$A$6:$C$106,2,FALSE)*VLOOKUP(BK$1,'Attrition Modeling'!$L$15:$N$27,IF(BK$2+$F27&lt;=24,2,3),FALSE)),$C$3)*(1+Projection!BM$16)*(1+IF(BK159&gt;0,'Attrition Modeling'!$N$9,0)))</f>
        <v>0</v>
      </c>
      <c r="BL94" s="799">
        <f>BK94*(1-IFERROR(IF(BL$69+$F94&lt;=12,SUMIFS('Attrition Modeling'!$D:$D,'Attrition Modeling'!$C:$C,'IP Attrition'!$D94,'Attrition Modeling'!$B:$B,'IP Attrition'!BL$68),VLOOKUP($F94+BL$2,$A$6:$C$106,2,FALSE)*VLOOKUP(BL$1,'Attrition Modeling'!$L$15:$N$27,IF(BL$2+$F27&lt;=24,2,3),FALSE)),$C$3)*(1+Projection!BN$16)*(1+IF(BL159&gt;0,'Attrition Modeling'!$N$9,0)))</f>
        <v>0</v>
      </c>
      <c r="BM94" s="799">
        <f>BL94*(1-IFERROR(IF(BM$69+$F94&lt;=12,SUMIFS('Attrition Modeling'!$D:$D,'Attrition Modeling'!$C:$C,'IP Attrition'!$D94,'Attrition Modeling'!$B:$B,'IP Attrition'!BM$68),VLOOKUP($F94+BM$2,$A$6:$C$106,2,FALSE)*VLOOKUP(BM$1,'Attrition Modeling'!$L$15:$N$27,IF(BM$2+$F27&lt;=24,2,3),FALSE)),$C$3)*(1+Projection!BO$16)*(1+IF(BM159&gt;0,'Attrition Modeling'!$N$9,0)))</f>
        <v>0</v>
      </c>
      <c r="BN94" s="799">
        <f>BM94*(1-IFERROR(IF(BN$69+$F94&lt;=12,SUMIFS('Attrition Modeling'!$D:$D,'Attrition Modeling'!$C:$C,'IP Attrition'!$D94,'Attrition Modeling'!$B:$B,'IP Attrition'!BN$68),VLOOKUP($F94+BN$2,$A$6:$C$106,2,FALSE)*VLOOKUP(BN$1,'Attrition Modeling'!$L$15:$N$27,IF(BN$2+$F27&lt;=24,2,3),FALSE)),$C$3)*(1+Projection!BP$16)*(1+IF(BN159&gt;0,'Attrition Modeling'!$N$9,0)))</f>
        <v>0</v>
      </c>
      <c r="BO94" s="799">
        <f>BN94*(1-IFERROR(IF(BO$69+$F94&lt;=12,SUMIFS('Attrition Modeling'!$D:$D,'Attrition Modeling'!$C:$C,'IP Attrition'!$D94,'Attrition Modeling'!$B:$B,'IP Attrition'!BO$68),VLOOKUP($F94+BO$2,$A$6:$C$106,2,FALSE)*VLOOKUP(BO$1,'Attrition Modeling'!$L$15:$N$27,IF(BO$2+$F27&lt;=24,2,3),FALSE)),$C$3)*(1+Projection!BV$16)*(1+IF(BO159&gt;0,'Attrition Modeling'!$N$9,0)))</f>
        <v>0</v>
      </c>
      <c r="BP94" s="799">
        <f>BO94*(1-IFERROR(IF(BP$69+$F94&lt;=12,SUMIFS('Attrition Modeling'!$D:$D,'Attrition Modeling'!$C:$C,'IP Attrition'!$D94,'Attrition Modeling'!$B:$B,'IP Attrition'!BP$68),VLOOKUP($F94+BP$2,$A$6:$C$106,2,FALSE)*VLOOKUP(BP$1,'Attrition Modeling'!$L$15:$N$27,IF(BP$2+$F27&lt;=24,2,3),FALSE)),$C$3)*(1+Projection!BW$16)*(1+IF(BP159&gt;0,'Attrition Modeling'!$N$9,0)))</f>
        <v>0</v>
      </c>
      <c r="BQ94" s="799">
        <f>BP94*(1-IFERROR(IF(BQ$69+$F94&lt;=12,SUMIFS('Attrition Modeling'!$D:$D,'Attrition Modeling'!$C:$C,'IP Attrition'!$D94,'Attrition Modeling'!$B:$B,'IP Attrition'!BQ$68),VLOOKUP($F94+BQ$2,$A$6:$C$106,2,FALSE)*VLOOKUP(BQ$1,'Attrition Modeling'!$L$15:$N$27,IF(BQ$2+$F27&lt;=24,2,3),FALSE)),$C$3)*(1+Projection!BX$16)*(1+IF(BQ159&gt;0,'Attrition Modeling'!$N$9,0)))</f>
        <v>0</v>
      </c>
      <c r="BR94" s="799">
        <f>BQ94*(1-IFERROR(IF(BR$69+$F94&lt;=12,SUMIFS('Attrition Modeling'!$D:$D,'Attrition Modeling'!$C:$C,'IP Attrition'!$D94,'Attrition Modeling'!$B:$B,'IP Attrition'!BR$68),VLOOKUP($F94+BR$2,$A$6:$C$106,2,FALSE)*VLOOKUP(BR$1,'Attrition Modeling'!$L$15:$N$27,IF(BR$2+$F27&lt;=24,2,3),FALSE)),$C$3)*(1+Projection!BY$16)*(1+IF(BR159&gt;0,'Attrition Modeling'!$N$9,0)))</f>
        <v>0</v>
      </c>
      <c r="BS94" s="799">
        <f>BR94*(1-IFERROR(IF(BS$69+$F94&lt;=12,SUMIFS('Attrition Modeling'!$D:$D,'Attrition Modeling'!$C:$C,'IP Attrition'!$D94,'Attrition Modeling'!$B:$B,'IP Attrition'!BS$68),VLOOKUP($F94+BS$2,$A$6:$C$106,2,FALSE)*VLOOKUP(BS$1,'Attrition Modeling'!$L$15:$N$27,IF(BS$2+$F27&lt;=24,2,3),FALSE)),$C$3)*(1+Projection!BZ$16)*(1+IF(BS159&gt;0,'Attrition Modeling'!$N$9,0)))</f>
        <v>0</v>
      </c>
      <c r="BT94" s="799" t="e">
        <f>BS94*(1-IFERROR(IF(BT$69+$F94&lt;=12,SUMIFS('Attrition Modeling'!$D:$D,'Attrition Modeling'!$C:$C,'IP Attrition'!$D94,'Attrition Modeling'!$B:$B,'IP Attrition'!BT$68),VLOOKUP($F94+BT$2,$A$6:$C$106,2,FALSE)*VLOOKUP(BT$1,'Attrition Modeling'!$L$15:$N$27,IF(BT$2+$F27&lt;=24,2,3),FALSE)),$C$3)*(1+Projection!CA$16)*(1+IF(BT159&gt;0,'Attrition Modeling'!$N$9,0)))</f>
        <v>#REF!</v>
      </c>
      <c r="BU94" s="799" t="e">
        <f>BT94*(1-IFERROR(IF(BU$69+$F94&lt;=12,SUMIFS('Attrition Modeling'!$D:$D,'Attrition Modeling'!$C:$C,'IP Attrition'!$D94,'Attrition Modeling'!$B:$B,'IP Attrition'!BU$68),VLOOKUP($F94+BU$2,$A$6:$C$106,2,FALSE)*VLOOKUP(BU$1,'Attrition Modeling'!$L$15:$N$27,IF(BU$2+$F27&lt;=24,2,3),FALSE)),$C$3)*(1+Projection!CB$16)*(1+IF(BU159&gt;0,'Attrition Modeling'!$N$9,0)))</f>
        <v>#REF!</v>
      </c>
    </row>
    <row r="95" spans="1:73" ht="14.25" customHeight="1" x14ac:dyDescent="0.2">
      <c r="A95" s="9">
        <v>88</v>
      </c>
      <c r="B95" s="25">
        <f>MAX('Attrition Modeling'!H92,$C$3)*(1-Summary!$C$20)</f>
        <v>0.02</v>
      </c>
      <c r="C95" s="24" t="e">
        <f t="shared" si="3"/>
        <v>#DIV/0!</v>
      </c>
      <c r="D95" s="11">
        <f t="shared" ref="D95:E95" si="33">D28</f>
        <v>-25</v>
      </c>
      <c r="E95" s="25">
        <f t="shared" si="33"/>
        <v>0</v>
      </c>
      <c r="F95" s="11">
        <f t="shared" si="9"/>
        <v>25</v>
      </c>
      <c r="G95" s="799">
        <f>Summary!$C$24*$E95</f>
        <v>0</v>
      </c>
      <c r="H95" s="799">
        <f>G95*(1-IFERROR(IF(H$69+$F95&lt;=12,SUMIFS('Attrition Modeling'!$D:$D,'Attrition Modeling'!$C:$C,'IP Attrition'!$D95,'Attrition Modeling'!$B:$B,'IP Attrition'!H$68),VLOOKUP($F95+H$2,$A$6:$C$106,2,FALSE)*VLOOKUP(H$1,'Attrition Modeling'!$L$15:$N$27,IF(H$2+$F28&lt;=24,2,3),FALSE)),$C$3)*(1+Projection!J$16)*(1+IF(H160&gt;0,'Attrition Modeling'!$N$9,0)))</f>
        <v>0</v>
      </c>
      <c r="I95" s="799">
        <f>H95*(1-IFERROR(IF(I$69+$F95&lt;=12,SUMIFS('Attrition Modeling'!$D:$D,'Attrition Modeling'!$C:$C,'IP Attrition'!$D95,'Attrition Modeling'!$B:$B,'IP Attrition'!I$68),VLOOKUP($F95+I$2,$A$6:$C$106,2,FALSE)*VLOOKUP(I$1,'Attrition Modeling'!$L$15:$N$27,IF(I$2+$F28&lt;=24,2,3),FALSE)),$C$3)*(1+Projection!K$16)*(1+IF(I160&gt;0,'Attrition Modeling'!$N$9,0)))</f>
        <v>0</v>
      </c>
      <c r="J95" s="799">
        <f>I95*(1-IFERROR(IF(J$69+$F95&lt;=12,SUMIFS('Attrition Modeling'!$D:$D,'Attrition Modeling'!$C:$C,'IP Attrition'!$D95,'Attrition Modeling'!$B:$B,'IP Attrition'!J$68),VLOOKUP($F95+J$2,$A$6:$C$106,2,FALSE)*VLOOKUP(J$1,'Attrition Modeling'!$L$15:$N$27,IF(J$2+$F28&lt;=24,2,3),FALSE)),$C$3)*(1+Projection!L$16)*(1+IF(J160&gt;0,'Attrition Modeling'!$N$9,0)))</f>
        <v>0</v>
      </c>
      <c r="K95" s="799">
        <f>J95*(1-IFERROR(IF(K$69+$F95&lt;=12,SUMIFS('Attrition Modeling'!$D:$D,'Attrition Modeling'!$C:$C,'IP Attrition'!$D95,'Attrition Modeling'!$B:$B,'IP Attrition'!K$68),VLOOKUP($F95+K$2,$A$6:$C$106,2,FALSE)*VLOOKUP(K$1,'Attrition Modeling'!$L$15:$N$27,IF(K$2+$F28&lt;=24,2,3),FALSE)),$C$3)*(1+Projection!M$16)*(1+IF(K160&gt;0,'Attrition Modeling'!$N$9,0)))</f>
        <v>0</v>
      </c>
      <c r="L95" s="799">
        <f>K95*(1-IFERROR(IF(L$69+$F95&lt;=12,SUMIFS('Attrition Modeling'!$D:$D,'Attrition Modeling'!$C:$C,'IP Attrition'!$D95,'Attrition Modeling'!$B:$B,'IP Attrition'!L$68),VLOOKUP($F95+L$2,$A$6:$C$106,2,FALSE)*VLOOKUP(L$1,'Attrition Modeling'!$L$15:$N$27,IF(L$2+$F28&lt;=24,2,3),FALSE)),$C$3)*(1+Projection!N$16)*(1+IF(L160&gt;0,'Attrition Modeling'!$N$9,0)))</f>
        <v>0</v>
      </c>
      <c r="M95" s="799">
        <f>L95*(1-IFERROR(IF(M$69+$F95&lt;=12,SUMIFS('Attrition Modeling'!$D:$D,'Attrition Modeling'!$C:$C,'IP Attrition'!$D95,'Attrition Modeling'!$B:$B,'IP Attrition'!M$68),VLOOKUP($F95+M$2,$A$6:$C$106,2,FALSE)*VLOOKUP(M$1,'Attrition Modeling'!$L$15:$N$27,IF(M$2+$F28&lt;=24,2,3),FALSE)),$C$3)*(1+Projection!O$16)*(1+IF(M160&gt;0,'Attrition Modeling'!$N$9,0)))</f>
        <v>0</v>
      </c>
      <c r="N95" s="799">
        <f>M95*(1-IFERROR(IF(N$69+$F95&lt;=12,SUMIFS('Attrition Modeling'!$D:$D,'Attrition Modeling'!$C:$C,'IP Attrition'!$D95,'Attrition Modeling'!$B:$B,'IP Attrition'!N$68),VLOOKUP($F95+N$2,$A$6:$C$106,2,FALSE)*VLOOKUP(N$1,'Attrition Modeling'!$L$15:$N$27,IF(N$2+$F28&lt;=24,2,3),FALSE)),$C$3)*(1+Projection!P$16)*(1+IF(N160&gt;0,'Attrition Modeling'!$N$9,0)))</f>
        <v>0</v>
      </c>
      <c r="O95" s="799">
        <f>N95*(1-IFERROR(IF(O$69+$F95&lt;=12,SUMIFS('Attrition Modeling'!$D:$D,'Attrition Modeling'!$C:$C,'IP Attrition'!$D95,'Attrition Modeling'!$B:$B,'IP Attrition'!O$68),VLOOKUP($F95+O$2,$A$6:$C$106,2,FALSE)*VLOOKUP(O$1,'Attrition Modeling'!$L$15:$N$27,IF(O$2+$F28&lt;=24,2,3),FALSE)),$C$3)*(1+Projection!Q$16)*(1+IF(O160&gt;0,'Attrition Modeling'!$N$9,0)))</f>
        <v>0</v>
      </c>
      <c r="P95" s="799">
        <f>O95*(1-IFERROR(IF(P$69+$F95&lt;=12,SUMIFS('Attrition Modeling'!$D:$D,'Attrition Modeling'!$C:$C,'IP Attrition'!$D95,'Attrition Modeling'!$B:$B,'IP Attrition'!P$68),VLOOKUP($F95+P$2,$A$6:$C$106,2,FALSE)*VLOOKUP(P$1,'Attrition Modeling'!$L$15:$N$27,IF(P$2+$F28&lt;=24,2,3),FALSE)),$C$3)*(1+Projection!R$16)*(1+IF(P160&gt;0,'Attrition Modeling'!$N$9,0)))</f>
        <v>0</v>
      </c>
      <c r="Q95" s="799">
        <f>P95*(1-IFERROR(IF(Q$69+$F95&lt;=12,SUMIFS('Attrition Modeling'!$D:$D,'Attrition Modeling'!$C:$C,'IP Attrition'!$D95,'Attrition Modeling'!$B:$B,'IP Attrition'!Q$68),VLOOKUP($F95+Q$2,$A$6:$C$106,2,FALSE)*VLOOKUP(Q$1,'Attrition Modeling'!$L$15:$N$27,IF(Q$2+$F28&lt;=24,2,3),FALSE)),$C$3)*(1+Projection!S$16)*(1+IF(Q160&gt;0,'Attrition Modeling'!$N$9,0)))</f>
        <v>0</v>
      </c>
      <c r="R95" s="799">
        <f>Q95*(1-IFERROR(IF(R$69+$F95&lt;=12,SUMIFS('Attrition Modeling'!$D:$D,'Attrition Modeling'!$C:$C,'IP Attrition'!$D95,'Attrition Modeling'!$B:$B,'IP Attrition'!R$68),VLOOKUP($F95+R$2,$A$6:$C$106,2,FALSE)*VLOOKUP(R$1,'Attrition Modeling'!$L$15:$N$27,IF(R$2+$F28&lt;=24,2,3),FALSE)),$C$3)*(1+Projection!T$16)*(1+IF(R160&gt;0,'Attrition Modeling'!$N$9,0)))</f>
        <v>0</v>
      </c>
      <c r="S95" s="799">
        <f>R95*(1-IFERROR(IF(S$69+$F95&lt;=12,SUMIFS('Attrition Modeling'!$D:$D,'Attrition Modeling'!$C:$C,'IP Attrition'!$D95,'Attrition Modeling'!$B:$B,'IP Attrition'!S$68),VLOOKUP($F95+S$2,$A$6:$C$106,2,FALSE)*VLOOKUP(S$1,'Attrition Modeling'!$L$15:$N$27,IF(S$2+$F28&lt;=24,2,3),FALSE)),$C$3)*(1+Projection!U$16)*(1+IF(S160&gt;0,'Attrition Modeling'!$N$9,0)))</f>
        <v>0</v>
      </c>
      <c r="T95" s="799">
        <f>S95*(1-IFERROR(IF(T$69+$F95&lt;=12,SUMIFS('Attrition Modeling'!$D:$D,'Attrition Modeling'!$C:$C,'IP Attrition'!$D95,'Attrition Modeling'!$B:$B,'IP Attrition'!T$68),VLOOKUP($F95+T$2,$A$6:$C$106,2,FALSE)*VLOOKUP(T$1,'Attrition Modeling'!$L$15:$N$27,IF(T$2+$F28&lt;=24,2,3),FALSE)),$C$3)*(1+Projection!V$16)*(1+IF(T160&gt;0,'Attrition Modeling'!$N$9,0)))</f>
        <v>0</v>
      </c>
      <c r="U95" s="799">
        <f>T95*(1-IFERROR(IF(U$69+$F95&lt;=12,SUMIFS('Attrition Modeling'!$D:$D,'Attrition Modeling'!$C:$C,'IP Attrition'!$D95,'Attrition Modeling'!$B:$B,'IP Attrition'!U$68),VLOOKUP($F95+U$2,$A$6:$C$106,2,FALSE)*VLOOKUP(U$1,'Attrition Modeling'!$L$15:$N$27,IF(U$2+$F28&lt;=24,2,3),FALSE)),$C$3)*(1+Projection!W$16)*(1+IF(U160&gt;0,'Attrition Modeling'!$N$9,0)))</f>
        <v>0</v>
      </c>
      <c r="V95" s="799">
        <f>U95*(1-IFERROR(IF(V$69+$F95&lt;=12,SUMIFS('Attrition Modeling'!$D:$D,'Attrition Modeling'!$C:$C,'IP Attrition'!$D95,'Attrition Modeling'!$B:$B,'IP Attrition'!V$68),VLOOKUP($F95+V$2,$A$6:$C$106,2,FALSE)*VLOOKUP(V$1,'Attrition Modeling'!$L$15:$N$27,IF(V$2+$F28&lt;=24,2,3),FALSE)),$C$3)*(1+Projection!X$16)*(1+IF(V160&gt;0,'Attrition Modeling'!$N$9,0)))</f>
        <v>0</v>
      </c>
      <c r="W95" s="799">
        <f>V95*(1-IFERROR(IF(W$69+$F95&lt;=12,SUMIFS('Attrition Modeling'!$D:$D,'Attrition Modeling'!$C:$C,'IP Attrition'!$D95,'Attrition Modeling'!$B:$B,'IP Attrition'!W$68),VLOOKUP($F95+W$2,$A$6:$C$106,2,FALSE)*VLOOKUP(W$1,'Attrition Modeling'!$L$15:$N$27,IF(W$2+$F28&lt;=24,2,3),FALSE)),$C$3)*(1+Projection!Y$16)*(1+IF(W160&gt;0,'Attrition Modeling'!$N$9,0)))</f>
        <v>0</v>
      </c>
      <c r="X95" s="799">
        <f>W95*(1-IFERROR(IF(X$69+$F95&lt;=12,SUMIFS('Attrition Modeling'!$D:$D,'Attrition Modeling'!$C:$C,'IP Attrition'!$D95,'Attrition Modeling'!$B:$B,'IP Attrition'!X$68),VLOOKUP($F95+X$2,$A$6:$C$106,2,FALSE)*VLOOKUP(X$1,'Attrition Modeling'!$L$15:$N$27,IF(X$2+$F28&lt;=24,2,3),FALSE)),$C$3)*(1+Projection!Z$16)*(1+IF(X160&gt;0,'Attrition Modeling'!$N$9,0)))</f>
        <v>0</v>
      </c>
      <c r="Y95" s="799">
        <f>X95*(1-IFERROR(IF(Y$69+$F95&lt;=12,SUMIFS('Attrition Modeling'!$D:$D,'Attrition Modeling'!$C:$C,'IP Attrition'!$D95,'Attrition Modeling'!$B:$B,'IP Attrition'!Y$68),VLOOKUP($F95+Y$2,$A$6:$C$106,2,FALSE)*VLOOKUP(Y$1,'Attrition Modeling'!$L$15:$N$27,IF(Y$2+$F28&lt;=24,2,3),FALSE)),$C$3)*(1+Projection!AA$16)*(1+IF(Y160&gt;0,'Attrition Modeling'!$N$9,0)))</f>
        <v>0</v>
      </c>
      <c r="Z95" s="799">
        <f>Y95*(1-IFERROR(IF(Z$69+$F95&lt;=12,SUMIFS('Attrition Modeling'!$D:$D,'Attrition Modeling'!$C:$C,'IP Attrition'!$D95,'Attrition Modeling'!$B:$B,'IP Attrition'!Z$68),VLOOKUP($F95+Z$2,$A$6:$C$106,2,FALSE)*VLOOKUP(Z$1,'Attrition Modeling'!$L$15:$N$27,IF(Z$2+$F28&lt;=24,2,3),FALSE)),$C$3)*(1+Projection!AB$16)*(1+IF(Z160&gt;0,'Attrition Modeling'!$N$9,0)))</f>
        <v>0</v>
      </c>
      <c r="AA95" s="799">
        <f>Z95*(1-IFERROR(IF(AA$69+$F95&lt;=12,SUMIFS('Attrition Modeling'!$D:$D,'Attrition Modeling'!$C:$C,'IP Attrition'!$D95,'Attrition Modeling'!$B:$B,'IP Attrition'!AA$68),VLOOKUP($F95+AA$2,$A$6:$C$106,2,FALSE)*VLOOKUP(AA$1,'Attrition Modeling'!$L$15:$N$27,IF(AA$2+$F28&lt;=24,2,3),FALSE)),$C$3)*(1+Projection!AC$16)*(1+IF(AA160&gt;0,'Attrition Modeling'!$N$9,0)))</f>
        <v>0</v>
      </c>
      <c r="AB95" s="799">
        <f>AA95*(1-IFERROR(IF(AB$69+$F95&lt;=12,SUMIFS('Attrition Modeling'!$D:$D,'Attrition Modeling'!$C:$C,'IP Attrition'!$D95,'Attrition Modeling'!$B:$B,'IP Attrition'!AB$68),VLOOKUP($F95+AB$2,$A$6:$C$106,2,FALSE)*VLOOKUP(AB$1,'Attrition Modeling'!$L$15:$N$27,IF(AB$2+$F28&lt;=24,2,3),FALSE)),$C$3)*(1+Projection!AD$16)*(1+IF(AB160&gt;0,'Attrition Modeling'!$N$9,0)))</f>
        <v>0</v>
      </c>
      <c r="AC95" s="799">
        <f>AB95*(1-IFERROR(IF(AC$69+$F95&lt;=12,SUMIFS('Attrition Modeling'!$D:$D,'Attrition Modeling'!$C:$C,'IP Attrition'!$D95,'Attrition Modeling'!$B:$B,'IP Attrition'!AC$68),VLOOKUP($F95+AC$2,$A$6:$C$106,2,FALSE)*VLOOKUP(AC$1,'Attrition Modeling'!$L$15:$N$27,IF(AC$2+$F28&lt;=24,2,3),FALSE)),$C$3)*(1+Projection!AE$16)*(1+IF(AC160&gt;0,'Attrition Modeling'!$N$9,0)))</f>
        <v>0</v>
      </c>
      <c r="AD95" s="799">
        <f>AC95*(1-IFERROR(IF(AD$69+$F95&lt;=12,SUMIFS('Attrition Modeling'!$D:$D,'Attrition Modeling'!$C:$C,'IP Attrition'!$D95,'Attrition Modeling'!$B:$B,'IP Attrition'!AD$68),VLOOKUP($F95+AD$2,$A$6:$C$106,2,FALSE)*VLOOKUP(AD$1,'Attrition Modeling'!$L$15:$N$27,IF(AD$2+$F28&lt;=24,2,3),FALSE)),$C$3)*(1+Projection!AF$16)*(1+IF(AD160&gt;0,'Attrition Modeling'!$N$9,0)))</f>
        <v>0</v>
      </c>
      <c r="AE95" s="799">
        <f>AD95*(1-IFERROR(IF(AE$69+$F95&lt;=12,SUMIFS('Attrition Modeling'!$D:$D,'Attrition Modeling'!$C:$C,'IP Attrition'!$D95,'Attrition Modeling'!$B:$B,'IP Attrition'!AE$68),VLOOKUP($F95+AE$2,$A$6:$C$106,2,FALSE)*VLOOKUP(AE$1,'Attrition Modeling'!$L$15:$N$27,IF(AE$2+$F28&lt;=24,2,3),FALSE)),$C$3)*(1+Projection!AG$16)*(1+IF(AE160&gt;0,'Attrition Modeling'!$N$9,0)))</f>
        <v>0</v>
      </c>
      <c r="AF95" s="799">
        <f>AE95*(1-IFERROR(IF(AF$69+$F95&lt;=12,SUMIFS('Attrition Modeling'!$D:$D,'Attrition Modeling'!$C:$C,'IP Attrition'!$D95,'Attrition Modeling'!$B:$B,'IP Attrition'!AF$68),VLOOKUP($F95+AF$2,$A$6:$C$106,2,FALSE)*VLOOKUP(AF$1,'Attrition Modeling'!$L$15:$N$27,IF(AF$2+$F28&lt;=24,2,3),FALSE)),$C$3)*(1+Projection!AH$16)*(1+IF(AF160&gt;0,'Attrition Modeling'!$N$9,0)))</f>
        <v>0</v>
      </c>
      <c r="AG95" s="799">
        <f>AF95*(1-IFERROR(IF(AG$69+$F95&lt;=12,SUMIFS('Attrition Modeling'!$D:$D,'Attrition Modeling'!$C:$C,'IP Attrition'!$D95,'Attrition Modeling'!$B:$B,'IP Attrition'!AG$68),VLOOKUP($F95+AG$2,$A$6:$C$106,2,FALSE)*VLOOKUP(AG$1,'Attrition Modeling'!$L$15:$N$27,IF(AG$2+$F28&lt;=24,2,3),FALSE)),$C$3)*(1+Projection!AI$16)*(1+IF(AG160&gt;0,'Attrition Modeling'!$N$9,0)))</f>
        <v>0</v>
      </c>
      <c r="AH95" s="799">
        <f>AG95*(1-IFERROR(IF(AH$69+$F95&lt;=12,SUMIFS('Attrition Modeling'!$D:$D,'Attrition Modeling'!$C:$C,'IP Attrition'!$D95,'Attrition Modeling'!$B:$B,'IP Attrition'!AH$68),VLOOKUP($F95+AH$2,$A$6:$C$106,2,FALSE)*VLOOKUP(AH$1,'Attrition Modeling'!$L$15:$N$27,IF(AH$2+$F28&lt;=24,2,3),FALSE)),$C$3)*(1+Projection!AJ$16)*(1+IF(AH160&gt;0,'Attrition Modeling'!$N$9,0)))</f>
        <v>0</v>
      </c>
      <c r="AI95" s="799">
        <f>AH95*(1-IFERROR(IF(AI$69+$F95&lt;=12,SUMIFS('Attrition Modeling'!$D:$D,'Attrition Modeling'!$C:$C,'IP Attrition'!$D95,'Attrition Modeling'!$B:$B,'IP Attrition'!AI$68),VLOOKUP($F95+AI$2,$A$6:$C$106,2,FALSE)*VLOOKUP(AI$1,'Attrition Modeling'!$L$15:$N$27,IF(AI$2+$F28&lt;=24,2,3),FALSE)),$C$3)*(1+Projection!AK$16)*(1+IF(AI160&gt;0,'Attrition Modeling'!$N$9,0)))</f>
        <v>0</v>
      </c>
      <c r="AJ95" s="799">
        <f>AI95*(1-IFERROR(IF(AJ$69+$F95&lt;=12,SUMIFS('Attrition Modeling'!$D:$D,'Attrition Modeling'!$C:$C,'IP Attrition'!$D95,'Attrition Modeling'!$B:$B,'IP Attrition'!AJ$68),VLOOKUP($F95+AJ$2,$A$6:$C$106,2,FALSE)*VLOOKUP(AJ$1,'Attrition Modeling'!$L$15:$N$27,IF(AJ$2+$F28&lt;=24,2,3),FALSE)),$C$3)*(1+Projection!AL$16)*(1+IF(AJ160&gt;0,'Attrition Modeling'!$N$9,0)))</f>
        <v>0</v>
      </c>
      <c r="AK95" s="799">
        <f>AJ95*(1-IFERROR(IF(AK$69+$F95&lt;=12,SUMIFS('Attrition Modeling'!$D:$D,'Attrition Modeling'!$C:$C,'IP Attrition'!$D95,'Attrition Modeling'!$B:$B,'IP Attrition'!AK$68),VLOOKUP($F95+AK$2,$A$6:$C$106,2,FALSE)*VLOOKUP(AK$1,'Attrition Modeling'!$L$15:$N$27,IF(AK$2+$F28&lt;=24,2,3),FALSE)),$C$3)*(1+Projection!AM$16)*(1+IF(AK160&gt;0,'Attrition Modeling'!$N$9,0)))</f>
        <v>0</v>
      </c>
      <c r="AL95" s="799">
        <f>AK95*(1-IFERROR(IF(AL$69+$F95&lt;=12,SUMIFS('Attrition Modeling'!$D:$D,'Attrition Modeling'!$C:$C,'IP Attrition'!$D95,'Attrition Modeling'!$B:$B,'IP Attrition'!AL$68),VLOOKUP($F95+AL$2,$A$6:$C$106,2,FALSE)*VLOOKUP(AL$1,'Attrition Modeling'!$L$15:$N$27,IF(AL$2+$F28&lt;=24,2,3),FALSE)),$C$3)*(1+Projection!AN$16)*(1+IF(AL160&gt;0,'Attrition Modeling'!$N$9,0)))</f>
        <v>0</v>
      </c>
      <c r="AM95" s="799">
        <f>AL95*(1-IFERROR(IF(AM$69+$F95&lt;=12,SUMIFS('Attrition Modeling'!$D:$D,'Attrition Modeling'!$C:$C,'IP Attrition'!$D95,'Attrition Modeling'!$B:$B,'IP Attrition'!AM$68),VLOOKUP($F95+AM$2,$A$6:$C$106,2,FALSE)*VLOOKUP(AM$1,'Attrition Modeling'!$L$15:$N$27,IF(AM$2+$F28&lt;=24,2,3),FALSE)),$C$3)*(1+Projection!AO$16)*(1+IF(AM160&gt;0,'Attrition Modeling'!$N$9,0)))</f>
        <v>0</v>
      </c>
      <c r="AN95" s="799">
        <f>AM95*(1-IFERROR(IF(AN$69+$F95&lt;=12,SUMIFS('Attrition Modeling'!$D:$D,'Attrition Modeling'!$C:$C,'IP Attrition'!$D95,'Attrition Modeling'!$B:$B,'IP Attrition'!AN$68),VLOOKUP($F95+AN$2,$A$6:$C$106,2,FALSE)*VLOOKUP(AN$1,'Attrition Modeling'!$L$15:$N$27,IF(AN$2+$F28&lt;=24,2,3),FALSE)),$C$3)*(1+Projection!AP$16)*(1+IF(AN160&gt;0,'Attrition Modeling'!$N$9,0)))</f>
        <v>0</v>
      </c>
      <c r="AO95" s="799">
        <f>AN95*(1-IFERROR(IF(AO$69+$F95&lt;=12,SUMIFS('Attrition Modeling'!$D:$D,'Attrition Modeling'!$C:$C,'IP Attrition'!$D95,'Attrition Modeling'!$B:$B,'IP Attrition'!AO$68),VLOOKUP($F95+AO$2,$A$6:$C$106,2,FALSE)*VLOOKUP(AO$1,'Attrition Modeling'!$L$15:$N$27,IF(AO$2+$F28&lt;=24,2,3),FALSE)),$C$3)*(1+Projection!AQ$16)*(1+IF(AO160&gt;0,'Attrition Modeling'!$N$9,0)))</f>
        <v>0</v>
      </c>
      <c r="AP95" s="799">
        <f>AO95*(1-IFERROR(IF(AP$69+$F95&lt;=12,SUMIFS('Attrition Modeling'!$D:$D,'Attrition Modeling'!$C:$C,'IP Attrition'!$D95,'Attrition Modeling'!$B:$B,'IP Attrition'!AP$68),VLOOKUP($F95+AP$2,$A$6:$C$106,2,FALSE)*VLOOKUP(AP$1,'Attrition Modeling'!$L$15:$N$27,IF(AP$2+$F28&lt;=24,2,3),FALSE)),$C$3)*(1+Projection!AR$16)*(1+IF(AP160&gt;0,'Attrition Modeling'!$N$9,0)))</f>
        <v>0</v>
      </c>
      <c r="AQ95" s="799">
        <f>AP95*(1-IFERROR(IF(AQ$69+$F95&lt;=12,SUMIFS('Attrition Modeling'!$D:$D,'Attrition Modeling'!$C:$C,'IP Attrition'!$D95,'Attrition Modeling'!$B:$B,'IP Attrition'!AQ$68),VLOOKUP($F95+AQ$2,$A$6:$C$106,2,FALSE)*VLOOKUP(AQ$1,'Attrition Modeling'!$L$15:$N$27,IF(AQ$2+$F28&lt;=24,2,3),FALSE)),$C$3)*(1+Projection!AS$16)*(1+IF(AQ160&gt;0,'Attrition Modeling'!$N$9,0)))</f>
        <v>0</v>
      </c>
      <c r="AR95" s="799">
        <f>AQ95*(1-IFERROR(IF(AR$69+$F95&lt;=12,SUMIFS('Attrition Modeling'!$D:$D,'Attrition Modeling'!$C:$C,'IP Attrition'!$D95,'Attrition Modeling'!$B:$B,'IP Attrition'!AR$68),VLOOKUP($F95+AR$2,$A$6:$C$106,2,FALSE)*VLOOKUP(AR$1,'Attrition Modeling'!$L$15:$N$27,IF(AR$2+$F28&lt;=24,2,3),FALSE)),$C$3)*(1+Projection!AT$16)*(1+IF(AR160&gt;0,'Attrition Modeling'!$N$9,0)))</f>
        <v>0</v>
      </c>
      <c r="AS95" s="799">
        <f>AR95*(1-IFERROR(IF(AS$69+$F95&lt;=12,SUMIFS('Attrition Modeling'!$D:$D,'Attrition Modeling'!$C:$C,'IP Attrition'!$D95,'Attrition Modeling'!$B:$B,'IP Attrition'!AS$68),VLOOKUP($F95+AS$2,$A$6:$C$106,2,FALSE)*VLOOKUP(AS$1,'Attrition Modeling'!$L$15:$N$27,IF(AS$2+$F28&lt;=24,2,3),FALSE)),$C$3)*(1+Projection!AU$16)*(1+IF(AS160&gt;0,'Attrition Modeling'!$N$9,0)))</f>
        <v>0</v>
      </c>
      <c r="AT95" s="799">
        <f>AS95*(1-IFERROR(IF(AT$69+$F95&lt;=12,SUMIFS('Attrition Modeling'!$D:$D,'Attrition Modeling'!$C:$C,'IP Attrition'!$D95,'Attrition Modeling'!$B:$B,'IP Attrition'!AT$68),VLOOKUP($F95+AT$2,$A$6:$C$106,2,FALSE)*VLOOKUP(AT$1,'Attrition Modeling'!$L$15:$N$27,IF(AT$2+$F28&lt;=24,2,3),FALSE)),$C$3)*(1+Projection!AV$16)*(1+IF(AT160&gt;0,'Attrition Modeling'!$N$9,0)))</f>
        <v>0</v>
      </c>
      <c r="AU95" s="799">
        <f>AT95*(1-IFERROR(IF(AU$69+$F95&lt;=12,SUMIFS('Attrition Modeling'!$D:$D,'Attrition Modeling'!$C:$C,'IP Attrition'!$D95,'Attrition Modeling'!$B:$B,'IP Attrition'!AU$68),VLOOKUP($F95+AU$2,$A$6:$C$106,2,FALSE)*VLOOKUP(AU$1,'Attrition Modeling'!$L$15:$N$27,IF(AU$2+$F28&lt;=24,2,3),FALSE)),$C$3)*(1+Projection!AW$16)*(1+IF(AU160&gt;0,'Attrition Modeling'!$N$9,0)))</f>
        <v>0</v>
      </c>
      <c r="AV95" s="799">
        <f>AU95*(1-IFERROR(IF(AV$69+$F95&lt;=12,SUMIFS('Attrition Modeling'!$D:$D,'Attrition Modeling'!$C:$C,'IP Attrition'!$D95,'Attrition Modeling'!$B:$B,'IP Attrition'!AV$68),VLOOKUP($F95+AV$2,$A$6:$C$106,2,FALSE)*VLOOKUP(AV$1,'Attrition Modeling'!$L$15:$N$27,IF(AV$2+$F28&lt;=24,2,3),FALSE)),$C$3)*(1+Projection!AX$16)*(1+IF(AV160&gt;0,'Attrition Modeling'!$N$9,0)))</f>
        <v>0</v>
      </c>
      <c r="AW95" s="799">
        <f>AV95*(1-IFERROR(IF(AW$69+$F95&lt;=12,SUMIFS('Attrition Modeling'!$D:$D,'Attrition Modeling'!$C:$C,'IP Attrition'!$D95,'Attrition Modeling'!$B:$B,'IP Attrition'!AW$68),VLOOKUP($F95+AW$2,$A$6:$C$106,2,FALSE)*VLOOKUP(AW$1,'Attrition Modeling'!$L$15:$N$27,IF(AW$2+$F28&lt;=24,2,3),FALSE)),$C$3)*(1+Projection!AY$16)*(1+IF(AW160&gt;0,'Attrition Modeling'!$N$9,0)))</f>
        <v>0</v>
      </c>
      <c r="AX95" s="799">
        <f>AW95*(1-IFERROR(IF(AX$69+$F95&lt;=12,SUMIFS('Attrition Modeling'!$D:$D,'Attrition Modeling'!$C:$C,'IP Attrition'!$D95,'Attrition Modeling'!$B:$B,'IP Attrition'!AX$68),VLOOKUP($F95+AX$2,$A$6:$C$106,2,FALSE)*VLOOKUP(AX$1,'Attrition Modeling'!$L$15:$N$27,IF(AX$2+$F28&lt;=24,2,3),FALSE)),$C$3)*(1+Projection!AZ$16)*(1+IF(AX160&gt;0,'Attrition Modeling'!$N$9,0)))</f>
        <v>0</v>
      </c>
      <c r="AY95" s="799">
        <f>AX95*(1-IFERROR(IF(AY$69+$F95&lt;=12,SUMIFS('Attrition Modeling'!$D:$D,'Attrition Modeling'!$C:$C,'IP Attrition'!$D95,'Attrition Modeling'!$B:$B,'IP Attrition'!AY$68),VLOOKUP($F95+AY$2,$A$6:$C$106,2,FALSE)*VLOOKUP(AY$1,'Attrition Modeling'!$L$15:$N$27,IF(AY$2+$F28&lt;=24,2,3),FALSE)),$C$3)*(1+Projection!BA$16)*(1+IF(AY160&gt;0,'Attrition Modeling'!$N$9,0)))</f>
        <v>0</v>
      </c>
      <c r="AZ95" s="799">
        <f>AY95*(1-IFERROR(IF(AZ$69+$F95&lt;=12,SUMIFS('Attrition Modeling'!$D:$D,'Attrition Modeling'!$C:$C,'IP Attrition'!$D95,'Attrition Modeling'!$B:$B,'IP Attrition'!AZ$68),VLOOKUP($F95+AZ$2,$A$6:$C$106,2,FALSE)*VLOOKUP(AZ$1,'Attrition Modeling'!$L$15:$N$27,IF(AZ$2+$F28&lt;=24,2,3),FALSE)),$C$3)*(1+Projection!BB$16)*(1+IF(AZ160&gt;0,'Attrition Modeling'!$N$9,0)))</f>
        <v>0</v>
      </c>
      <c r="BA95" s="799">
        <f>AZ95*(1-IFERROR(IF(BA$69+$F95&lt;=12,SUMIFS('Attrition Modeling'!$D:$D,'Attrition Modeling'!$C:$C,'IP Attrition'!$D95,'Attrition Modeling'!$B:$B,'IP Attrition'!BA$68),VLOOKUP($F95+BA$2,$A$6:$C$106,2,FALSE)*VLOOKUP(BA$1,'Attrition Modeling'!$L$15:$N$27,IF(BA$2+$F28&lt;=24,2,3),FALSE)),$C$3)*(1+Projection!BC$16)*(1+IF(BA160&gt;0,'Attrition Modeling'!$N$9,0)))</f>
        <v>0</v>
      </c>
      <c r="BB95" s="799">
        <f>BA95*(1-IFERROR(IF(BB$69+$F95&lt;=12,SUMIFS('Attrition Modeling'!$D:$D,'Attrition Modeling'!$C:$C,'IP Attrition'!$D95,'Attrition Modeling'!$B:$B,'IP Attrition'!BB$68),VLOOKUP($F95+BB$2,$A$6:$C$106,2,FALSE)*VLOOKUP(BB$1,'Attrition Modeling'!$L$15:$N$27,IF(BB$2+$F28&lt;=24,2,3),FALSE)),$C$3)*(1+Projection!BD$16)*(1+IF(BB160&gt;0,'Attrition Modeling'!$N$9,0)))</f>
        <v>0</v>
      </c>
      <c r="BC95" s="799">
        <f>BB95*(1-IFERROR(IF(BC$69+$F95&lt;=12,SUMIFS('Attrition Modeling'!$D:$D,'Attrition Modeling'!$C:$C,'IP Attrition'!$D95,'Attrition Modeling'!$B:$B,'IP Attrition'!BC$68),VLOOKUP($F95+BC$2,$A$6:$C$106,2,FALSE)*VLOOKUP(BC$1,'Attrition Modeling'!$L$15:$N$27,IF(BC$2+$F28&lt;=24,2,3),FALSE)),$C$3)*(1+Projection!BE$16)*(1+IF(BC160&gt;0,'Attrition Modeling'!$N$9,0)))</f>
        <v>0</v>
      </c>
      <c r="BD95" s="799">
        <f>BC95*(1-IFERROR(IF(BD$69+$F95&lt;=12,SUMIFS('Attrition Modeling'!$D:$D,'Attrition Modeling'!$C:$C,'IP Attrition'!$D95,'Attrition Modeling'!$B:$B,'IP Attrition'!BD$68),VLOOKUP($F95+BD$2,$A$6:$C$106,2,FALSE)*VLOOKUP(BD$1,'Attrition Modeling'!$L$15:$N$27,IF(BD$2+$F28&lt;=24,2,3),FALSE)),$C$3)*(1+Projection!BF$16)*(1+IF(BD160&gt;0,'Attrition Modeling'!$N$9,0)))</f>
        <v>0</v>
      </c>
      <c r="BE95" s="799">
        <f>BD95*(1-IFERROR(IF(BE$69+$F95&lt;=12,SUMIFS('Attrition Modeling'!$D:$D,'Attrition Modeling'!$C:$C,'IP Attrition'!$D95,'Attrition Modeling'!$B:$B,'IP Attrition'!BE$68),VLOOKUP($F95+BE$2,$A$6:$C$106,2,FALSE)*VLOOKUP(BE$1,'Attrition Modeling'!$L$15:$N$27,IF(BE$2+$F28&lt;=24,2,3),FALSE)),$C$3)*(1+Projection!BG$16)*(1+IF(BE160&gt;0,'Attrition Modeling'!$N$9,0)))</f>
        <v>0</v>
      </c>
      <c r="BF95" s="799">
        <f>BE95*(1-IFERROR(IF(BF$69+$F95&lt;=12,SUMIFS('Attrition Modeling'!$D:$D,'Attrition Modeling'!$C:$C,'IP Attrition'!$D95,'Attrition Modeling'!$B:$B,'IP Attrition'!BF$68),VLOOKUP($F95+BF$2,$A$6:$C$106,2,FALSE)*VLOOKUP(BF$1,'Attrition Modeling'!$L$15:$N$27,IF(BF$2+$F28&lt;=24,2,3),FALSE)),$C$3)*(1+Projection!BH$16)*(1+IF(BF160&gt;0,'Attrition Modeling'!$N$9,0)))</f>
        <v>0</v>
      </c>
      <c r="BG95" s="799">
        <f>BF95*(1-IFERROR(IF(BG$69+$F95&lt;=12,SUMIFS('Attrition Modeling'!$D:$D,'Attrition Modeling'!$C:$C,'IP Attrition'!$D95,'Attrition Modeling'!$B:$B,'IP Attrition'!BG$68),VLOOKUP($F95+BG$2,$A$6:$C$106,2,FALSE)*VLOOKUP(BG$1,'Attrition Modeling'!$L$15:$N$27,IF(BG$2+$F28&lt;=24,2,3),FALSE)),$C$3)*(1+Projection!BI$16)*(1+IF(BG160&gt;0,'Attrition Modeling'!$N$9,0)))</f>
        <v>0</v>
      </c>
      <c r="BH95" s="799">
        <f>BG95*(1-IFERROR(IF(BH$69+$F95&lt;=12,SUMIFS('Attrition Modeling'!$D:$D,'Attrition Modeling'!$C:$C,'IP Attrition'!$D95,'Attrition Modeling'!$B:$B,'IP Attrition'!BH$68),VLOOKUP($F95+BH$2,$A$6:$C$106,2,FALSE)*VLOOKUP(BH$1,'Attrition Modeling'!$L$15:$N$27,IF(BH$2+$F28&lt;=24,2,3),FALSE)),$C$3)*(1+Projection!BJ$16)*(1+IF(BH160&gt;0,'Attrition Modeling'!$N$9,0)))</f>
        <v>0</v>
      </c>
      <c r="BI95" s="799">
        <f>BH95*(1-IFERROR(IF(BI$69+$F95&lt;=12,SUMIFS('Attrition Modeling'!$D:$D,'Attrition Modeling'!$C:$C,'IP Attrition'!$D95,'Attrition Modeling'!$B:$B,'IP Attrition'!BI$68),VLOOKUP($F95+BI$2,$A$6:$C$106,2,FALSE)*VLOOKUP(BI$1,'Attrition Modeling'!$L$15:$N$27,IF(BI$2+$F28&lt;=24,2,3),FALSE)),$C$3)*(1+Projection!BK$16)*(1+IF(BI160&gt;0,'Attrition Modeling'!$N$9,0)))</f>
        <v>0</v>
      </c>
      <c r="BJ95" s="799">
        <f>BI95*(1-IFERROR(IF(BJ$69+$F95&lt;=12,SUMIFS('Attrition Modeling'!$D:$D,'Attrition Modeling'!$C:$C,'IP Attrition'!$D95,'Attrition Modeling'!$B:$B,'IP Attrition'!BJ$68),VLOOKUP($F95+BJ$2,$A$6:$C$106,2,FALSE)*VLOOKUP(BJ$1,'Attrition Modeling'!$L$15:$N$27,IF(BJ$2+$F28&lt;=24,2,3),FALSE)),$C$3)*(1+Projection!BL$16)*(1+IF(BJ160&gt;0,'Attrition Modeling'!$N$9,0)))</f>
        <v>0</v>
      </c>
      <c r="BK95" s="799">
        <f>BJ95*(1-IFERROR(IF(BK$69+$F95&lt;=12,SUMIFS('Attrition Modeling'!$D:$D,'Attrition Modeling'!$C:$C,'IP Attrition'!$D95,'Attrition Modeling'!$B:$B,'IP Attrition'!BK$68),VLOOKUP($F95+BK$2,$A$6:$C$106,2,FALSE)*VLOOKUP(BK$1,'Attrition Modeling'!$L$15:$N$27,IF(BK$2+$F28&lt;=24,2,3),FALSE)),$C$3)*(1+Projection!BM$16)*(1+IF(BK160&gt;0,'Attrition Modeling'!$N$9,0)))</f>
        <v>0</v>
      </c>
      <c r="BL95" s="799">
        <f>BK95*(1-IFERROR(IF(BL$69+$F95&lt;=12,SUMIFS('Attrition Modeling'!$D:$D,'Attrition Modeling'!$C:$C,'IP Attrition'!$D95,'Attrition Modeling'!$B:$B,'IP Attrition'!BL$68),VLOOKUP($F95+BL$2,$A$6:$C$106,2,FALSE)*VLOOKUP(BL$1,'Attrition Modeling'!$L$15:$N$27,IF(BL$2+$F28&lt;=24,2,3),FALSE)),$C$3)*(1+Projection!BN$16)*(1+IF(BL160&gt;0,'Attrition Modeling'!$N$9,0)))</f>
        <v>0</v>
      </c>
      <c r="BM95" s="799">
        <f>BL95*(1-IFERROR(IF(BM$69+$F95&lt;=12,SUMIFS('Attrition Modeling'!$D:$D,'Attrition Modeling'!$C:$C,'IP Attrition'!$D95,'Attrition Modeling'!$B:$B,'IP Attrition'!BM$68),VLOOKUP($F95+BM$2,$A$6:$C$106,2,FALSE)*VLOOKUP(BM$1,'Attrition Modeling'!$L$15:$N$27,IF(BM$2+$F28&lt;=24,2,3),FALSE)),$C$3)*(1+Projection!BO$16)*(1+IF(BM160&gt;0,'Attrition Modeling'!$N$9,0)))</f>
        <v>0</v>
      </c>
      <c r="BN95" s="799">
        <f>BM95*(1-IFERROR(IF(BN$69+$F95&lt;=12,SUMIFS('Attrition Modeling'!$D:$D,'Attrition Modeling'!$C:$C,'IP Attrition'!$D95,'Attrition Modeling'!$B:$B,'IP Attrition'!BN$68),VLOOKUP($F95+BN$2,$A$6:$C$106,2,FALSE)*VLOOKUP(BN$1,'Attrition Modeling'!$L$15:$N$27,IF(BN$2+$F28&lt;=24,2,3),FALSE)),$C$3)*(1+Projection!BP$16)*(1+IF(BN160&gt;0,'Attrition Modeling'!$N$9,0)))</f>
        <v>0</v>
      </c>
      <c r="BO95" s="799">
        <f>BN95*(1-IFERROR(IF(BO$69+$F95&lt;=12,SUMIFS('Attrition Modeling'!$D:$D,'Attrition Modeling'!$C:$C,'IP Attrition'!$D95,'Attrition Modeling'!$B:$B,'IP Attrition'!BO$68),VLOOKUP($F95+BO$2,$A$6:$C$106,2,FALSE)*VLOOKUP(BO$1,'Attrition Modeling'!$L$15:$N$27,IF(BO$2+$F28&lt;=24,2,3),FALSE)),$C$3)*(1+Projection!BV$16)*(1+IF(BO160&gt;0,'Attrition Modeling'!$N$9,0)))</f>
        <v>0</v>
      </c>
      <c r="BP95" s="799">
        <f>BO95*(1-IFERROR(IF(BP$69+$F95&lt;=12,SUMIFS('Attrition Modeling'!$D:$D,'Attrition Modeling'!$C:$C,'IP Attrition'!$D95,'Attrition Modeling'!$B:$B,'IP Attrition'!BP$68),VLOOKUP($F95+BP$2,$A$6:$C$106,2,FALSE)*VLOOKUP(BP$1,'Attrition Modeling'!$L$15:$N$27,IF(BP$2+$F28&lt;=24,2,3),FALSE)),$C$3)*(1+Projection!BW$16)*(1+IF(BP160&gt;0,'Attrition Modeling'!$N$9,0)))</f>
        <v>0</v>
      </c>
      <c r="BQ95" s="799">
        <f>BP95*(1-IFERROR(IF(BQ$69+$F95&lt;=12,SUMIFS('Attrition Modeling'!$D:$D,'Attrition Modeling'!$C:$C,'IP Attrition'!$D95,'Attrition Modeling'!$B:$B,'IP Attrition'!BQ$68),VLOOKUP($F95+BQ$2,$A$6:$C$106,2,FALSE)*VLOOKUP(BQ$1,'Attrition Modeling'!$L$15:$N$27,IF(BQ$2+$F28&lt;=24,2,3),FALSE)),$C$3)*(1+Projection!BX$16)*(1+IF(BQ160&gt;0,'Attrition Modeling'!$N$9,0)))</f>
        <v>0</v>
      </c>
      <c r="BR95" s="799">
        <f>BQ95*(1-IFERROR(IF(BR$69+$F95&lt;=12,SUMIFS('Attrition Modeling'!$D:$D,'Attrition Modeling'!$C:$C,'IP Attrition'!$D95,'Attrition Modeling'!$B:$B,'IP Attrition'!BR$68),VLOOKUP($F95+BR$2,$A$6:$C$106,2,FALSE)*VLOOKUP(BR$1,'Attrition Modeling'!$L$15:$N$27,IF(BR$2+$F28&lt;=24,2,3),FALSE)),$C$3)*(1+Projection!BY$16)*(1+IF(BR160&gt;0,'Attrition Modeling'!$N$9,0)))</f>
        <v>0</v>
      </c>
      <c r="BS95" s="799">
        <f>BR95*(1-IFERROR(IF(BS$69+$F95&lt;=12,SUMIFS('Attrition Modeling'!$D:$D,'Attrition Modeling'!$C:$C,'IP Attrition'!$D95,'Attrition Modeling'!$B:$B,'IP Attrition'!BS$68),VLOOKUP($F95+BS$2,$A$6:$C$106,2,FALSE)*VLOOKUP(BS$1,'Attrition Modeling'!$L$15:$N$27,IF(BS$2+$F28&lt;=24,2,3),FALSE)),$C$3)*(1+Projection!BZ$16)*(1+IF(BS160&gt;0,'Attrition Modeling'!$N$9,0)))</f>
        <v>0</v>
      </c>
      <c r="BT95" s="799" t="e">
        <f>BS95*(1-IFERROR(IF(BT$69+$F95&lt;=12,SUMIFS('Attrition Modeling'!$D:$D,'Attrition Modeling'!$C:$C,'IP Attrition'!$D95,'Attrition Modeling'!$B:$B,'IP Attrition'!BT$68),VLOOKUP($F95+BT$2,$A$6:$C$106,2,FALSE)*VLOOKUP(BT$1,'Attrition Modeling'!$L$15:$N$27,IF(BT$2+$F28&lt;=24,2,3),FALSE)),$C$3)*(1+Projection!CA$16)*(1+IF(BT160&gt;0,'Attrition Modeling'!$N$9,0)))</f>
        <v>#REF!</v>
      </c>
      <c r="BU95" s="799" t="e">
        <f>BT95*(1-IFERROR(IF(BU$69+$F95&lt;=12,SUMIFS('Attrition Modeling'!$D:$D,'Attrition Modeling'!$C:$C,'IP Attrition'!$D95,'Attrition Modeling'!$B:$B,'IP Attrition'!BU$68),VLOOKUP($F95+BU$2,$A$6:$C$106,2,FALSE)*VLOOKUP(BU$1,'Attrition Modeling'!$L$15:$N$27,IF(BU$2+$F28&lt;=24,2,3),FALSE)),$C$3)*(1+Projection!CB$16)*(1+IF(BU160&gt;0,'Attrition Modeling'!$N$9,0)))</f>
        <v>#REF!</v>
      </c>
    </row>
    <row r="96" spans="1:73" ht="14.25" customHeight="1" x14ac:dyDescent="0.2">
      <c r="A96" s="9">
        <v>89</v>
      </c>
      <c r="B96" s="25">
        <f>MAX('Attrition Modeling'!H93,$C$3)*(1-Summary!$C$20)</f>
        <v>0.02</v>
      </c>
      <c r="C96" s="24" t="e">
        <f t="shared" si="3"/>
        <v>#DIV/0!</v>
      </c>
      <c r="D96" s="11">
        <f t="shared" ref="D96:E96" si="34">D29</f>
        <v>-26</v>
      </c>
      <c r="E96" s="25">
        <f t="shared" si="34"/>
        <v>0</v>
      </c>
      <c r="F96" s="11">
        <f t="shared" si="9"/>
        <v>26</v>
      </c>
      <c r="G96" s="799">
        <f>Summary!$C$24*$E96</f>
        <v>0</v>
      </c>
      <c r="H96" s="799">
        <f>G96*(1-IFERROR(IF(H$69+$F96&lt;=12,SUMIFS('Attrition Modeling'!$D:$D,'Attrition Modeling'!$C:$C,'IP Attrition'!$D96,'Attrition Modeling'!$B:$B,'IP Attrition'!H$68),VLOOKUP($F96+H$2,$A$6:$C$106,2,FALSE)*VLOOKUP(H$1,'Attrition Modeling'!$L$15:$N$27,IF(H$2+$F29&lt;=24,2,3),FALSE)),$C$3)*(1+Projection!J$16)*(1+IF(H161&gt;0,'Attrition Modeling'!$N$9,0)))</f>
        <v>0</v>
      </c>
      <c r="I96" s="799">
        <f>H96*(1-IFERROR(IF(I$69+$F96&lt;=12,SUMIFS('Attrition Modeling'!$D:$D,'Attrition Modeling'!$C:$C,'IP Attrition'!$D96,'Attrition Modeling'!$B:$B,'IP Attrition'!I$68),VLOOKUP($F96+I$2,$A$6:$C$106,2,FALSE)*VLOOKUP(I$1,'Attrition Modeling'!$L$15:$N$27,IF(I$2+$F29&lt;=24,2,3),FALSE)),$C$3)*(1+Projection!K$16)*(1+IF(I161&gt;0,'Attrition Modeling'!$N$9,0)))</f>
        <v>0</v>
      </c>
      <c r="J96" s="799">
        <f>I96*(1-IFERROR(IF(J$69+$F96&lt;=12,SUMIFS('Attrition Modeling'!$D:$D,'Attrition Modeling'!$C:$C,'IP Attrition'!$D96,'Attrition Modeling'!$B:$B,'IP Attrition'!J$68),VLOOKUP($F96+J$2,$A$6:$C$106,2,FALSE)*VLOOKUP(J$1,'Attrition Modeling'!$L$15:$N$27,IF(J$2+$F29&lt;=24,2,3),FALSE)),$C$3)*(1+Projection!L$16)*(1+IF(J161&gt;0,'Attrition Modeling'!$N$9,0)))</f>
        <v>0</v>
      </c>
      <c r="K96" s="799">
        <f>J96*(1-IFERROR(IF(K$69+$F96&lt;=12,SUMIFS('Attrition Modeling'!$D:$D,'Attrition Modeling'!$C:$C,'IP Attrition'!$D96,'Attrition Modeling'!$B:$B,'IP Attrition'!K$68),VLOOKUP($F96+K$2,$A$6:$C$106,2,FALSE)*VLOOKUP(K$1,'Attrition Modeling'!$L$15:$N$27,IF(K$2+$F29&lt;=24,2,3),FALSE)),$C$3)*(1+Projection!M$16)*(1+IF(K161&gt;0,'Attrition Modeling'!$N$9,0)))</f>
        <v>0</v>
      </c>
      <c r="L96" s="799">
        <f>K96*(1-IFERROR(IF(L$69+$F96&lt;=12,SUMIFS('Attrition Modeling'!$D:$D,'Attrition Modeling'!$C:$C,'IP Attrition'!$D96,'Attrition Modeling'!$B:$B,'IP Attrition'!L$68),VLOOKUP($F96+L$2,$A$6:$C$106,2,FALSE)*VLOOKUP(L$1,'Attrition Modeling'!$L$15:$N$27,IF(L$2+$F29&lt;=24,2,3),FALSE)),$C$3)*(1+Projection!N$16)*(1+IF(L161&gt;0,'Attrition Modeling'!$N$9,0)))</f>
        <v>0</v>
      </c>
      <c r="M96" s="799">
        <f>L96*(1-IFERROR(IF(M$69+$F96&lt;=12,SUMIFS('Attrition Modeling'!$D:$D,'Attrition Modeling'!$C:$C,'IP Attrition'!$D96,'Attrition Modeling'!$B:$B,'IP Attrition'!M$68),VLOOKUP($F96+M$2,$A$6:$C$106,2,FALSE)*VLOOKUP(M$1,'Attrition Modeling'!$L$15:$N$27,IF(M$2+$F29&lt;=24,2,3),FALSE)),$C$3)*(1+Projection!O$16)*(1+IF(M161&gt;0,'Attrition Modeling'!$N$9,0)))</f>
        <v>0</v>
      </c>
      <c r="N96" s="799">
        <f>M96*(1-IFERROR(IF(N$69+$F96&lt;=12,SUMIFS('Attrition Modeling'!$D:$D,'Attrition Modeling'!$C:$C,'IP Attrition'!$D96,'Attrition Modeling'!$B:$B,'IP Attrition'!N$68),VLOOKUP($F96+N$2,$A$6:$C$106,2,FALSE)*VLOOKUP(N$1,'Attrition Modeling'!$L$15:$N$27,IF(N$2+$F29&lt;=24,2,3),FALSE)),$C$3)*(1+Projection!P$16)*(1+IF(N161&gt;0,'Attrition Modeling'!$N$9,0)))</f>
        <v>0</v>
      </c>
      <c r="O96" s="799">
        <f>N96*(1-IFERROR(IF(O$69+$F96&lt;=12,SUMIFS('Attrition Modeling'!$D:$D,'Attrition Modeling'!$C:$C,'IP Attrition'!$D96,'Attrition Modeling'!$B:$B,'IP Attrition'!O$68),VLOOKUP($F96+O$2,$A$6:$C$106,2,FALSE)*VLOOKUP(O$1,'Attrition Modeling'!$L$15:$N$27,IF(O$2+$F29&lt;=24,2,3),FALSE)),$C$3)*(1+Projection!Q$16)*(1+IF(O161&gt;0,'Attrition Modeling'!$N$9,0)))</f>
        <v>0</v>
      </c>
      <c r="P96" s="799">
        <f>O96*(1-IFERROR(IF(P$69+$F96&lt;=12,SUMIFS('Attrition Modeling'!$D:$D,'Attrition Modeling'!$C:$C,'IP Attrition'!$D96,'Attrition Modeling'!$B:$B,'IP Attrition'!P$68),VLOOKUP($F96+P$2,$A$6:$C$106,2,FALSE)*VLOOKUP(P$1,'Attrition Modeling'!$L$15:$N$27,IF(P$2+$F29&lt;=24,2,3),FALSE)),$C$3)*(1+Projection!R$16)*(1+IF(P161&gt;0,'Attrition Modeling'!$N$9,0)))</f>
        <v>0</v>
      </c>
      <c r="Q96" s="799">
        <f>P96*(1-IFERROR(IF(Q$69+$F96&lt;=12,SUMIFS('Attrition Modeling'!$D:$D,'Attrition Modeling'!$C:$C,'IP Attrition'!$D96,'Attrition Modeling'!$B:$B,'IP Attrition'!Q$68),VLOOKUP($F96+Q$2,$A$6:$C$106,2,FALSE)*VLOOKUP(Q$1,'Attrition Modeling'!$L$15:$N$27,IF(Q$2+$F29&lt;=24,2,3),FALSE)),$C$3)*(1+Projection!S$16)*(1+IF(Q161&gt;0,'Attrition Modeling'!$N$9,0)))</f>
        <v>0</v>
      </c>
      <c r="R96" s="799">
        <f>Q96*(1-IFERROR(IF(R$69+$F96&lt;=12,SUMIFS('Attrition Modeling'!$D:$D,'Attrition Modeling'!$C:$C,'IP Attrition'!$D96,'Attrition Modeling'!$B:$B,'IP Attrition'!R$68),VLOOKUP($F96+R$2,$A$6:$C$106,2,FALSE)*VLOOKUP(R$1,'Attrition Modeling'!$L$15:$N$27,IF(R$2+$F29&lt;=24,2,3),FALSE)),$C$3)*(1+Projection!T$16)*(1+IF(R161&gt;0,'Attrition Modeling'!$N$9,0)))</f>
        <v>0</v>
      </c>
      <c r="S96" s="799">
        <f>R96*(1-IFERROR(IF(S$69+$F96&lt;=12,SUMIFS('Attrition Modeling'!$D:$D,'Attrition Modeling'!$C:$C,'IP Attrition'!$D96,'Attrition Modeling'!$B:$B,'IP Attrition'!S$68),VLOOKUP($F96+S$2,$A$6:$C$106,2,FALSE)*VLOOKUP(S$1,'Attrition Modeling'!$L$15:$N$27,IF(S$2+$F29&lt;=24,2,3),FALSE)),$C$3)*(1+Projection!U$16)*(1+IF(S161&gt;0,'Attrition Modeling'!$N$9,0)))</f>
        <v>0</v>
      </c>
      <c r="T96" s="799">
        <f>S96*(1-IFERROR(IF(T$69+$F96&lt;=12,SUMIFS('Attrition Modeling'!$D:$D,'Attrition Modeling'!$C:$C,'IP Attrition'!$D96,'Attrition Modeling'!$B:$B,'IP Attrition'!T$68),VLOOKUP($F96+T$2,$A$6:$C$106,2,FALSE)*VLOOKUP(T$1,'Attrition Modeling'!$L$15:$N$27,IF(T$2+$F29&lt;=24,2,3),FALSE)),$C$3)*(1+Projection!V$16)*(1+IF(T161&gt;0,'Attrition Modeling'!$N$9,0)))</f>
        <v>0</v>
      </c>
      <c r="U96" s="799">
        <f>T96*(1-IFERROR(IF(U$69+$F96&lt;=12,SUMIFS('Attrition Modeling'!$D:$D,'Attrition Modeling'!$C:$C,'IP Attrition'!$D96,'Attrition Modeling'!$B:$B,'IP Attrition'!U$68),VLOOKUP($F96+U$2,$A$6:$C$106,2,FALSE)*VLOOKUP(U$1,'Attrition Modeling'!$L$15:$N$27,IF(U$2+$F29&lt;=24,2,3),FALSE)),$C$3)*(1+Projection!W$16)*(1+IF(U161&gt;0,'Attrition Modeling'!$N$9,0)))</f>
        <v>0</v>
      </c>
      <c r="V96" s="799">
        <f>U96*(1-IFERROR(IF(V$69+$F96&lt;=12,SUMIFS('Attrition Modeling'!$D:$D,'Attrition Modeling'!$C:$C,'IP Attrition'!$D96,'Attrition Modeling'!$B:$B,'IP Attrition'!V$68),VLOOKUP($F96+V$2,$A$6:$C$106,2,FALSE)*VLOOKUP(V$1,'Attrition Modeling'!$L$15:$N$27,IF(V$2+$F29&lt;=24,2,3),FALSE)),$C$3)*(1+Projection!X$16)*(1+IF(V161&gt;0,'Attrition Modeling'!$N$9,0)))</f>
        <v>0</v>
      </c>
      <c r="W96" s="799">
        <f>V96*(1-IFERROR(IF(W$69+$F96&lt;=12,SUMIFS('Attrition Modeling'!$D:$D,'Attrition Modeling'!$C:$C,'IP Attrition'!$D96,'Attrition Modeling'!$B:$B,'IP Attrition'!W$68),VLOOKUP($F96+W$2,$A$6:$C$106,2,FALSE)*VLOOKUP(W$1,'Attrition Modeling'!$L$15:$N$27,IF(W$2+$F29&lt;=24,2,3),FALSE)),$C$3)*(1+Projection!Y$16)*(1+IF(W161&gt;0,'Attrition Modeling'!$N$9,0)))</f>
        <v>0</v>
      </c>
      <c r="X96" s="799">
        <f>W96*(1-IFERROR(IF(X$69+$F96&lt;=12,SUMIFS('Attrition Modeling'!$D:$D,'Attrition Modeling'!$C:$C,'IP Attrition'!$D96,'Attrition Modeling'!$B:$B,'IP Attrition'!X$68),VLOOKUP($F96+X$2,$A$6:$C$106,2,FALSE)*VLOOKUP(X$1,'Attrition Modeling'!$L$15:$N$27,IF(X$2+$F29&lt;=24,2,3),FALSE)),$C$3)*(1+Projection!Z$16)*(1+IF(X161&gt;0,'Attrition Modeling'!$N$9,0)))</f>
        <v>0</v>
      </c>
      <c r="Y96" s="799">
        <f>X96*(1-IFERROR(IF(Y$69+$F96&lt;=12,SUMIFS('Attrition Modeling'!$D:$D,'Attrition Modeling'!$C:$C,'IP Attrition'!$D96,'Attrition Modeling'!$B:$B,'IP Attrition'!Y$68),VLOOKUP($F96+Y$2,$A$6:$C$106,2,FALSE)*VLOOKUP(Y$1,'Attrition Modeling'!$L$15:$N$27,IF(Y$2+$F29&lt;=24,2,3),FALSE)),$C$3)*(1+Projection!AA$16)*(1+IF(Y161&gt;0,'Attrition Modeling'!$N$9,0)))</f>
        <v>0</v>
      </c>
      <c r="Z96" s="799">
        <f>Y96*(1-IFERROR(IF(Z$69+$F96&lt;=12,SUMIFS('Attrition Modeling'!$D:$D,'Attrition Modeling'!$C:$C,'IP Attrition'!$D96,'Attrition Modeling'!$B:$B,'IP Attrition'!Z$68),VLOOKUP($F96+Z$2,$A$6:$C$106,2,FALSE)*VLOOKUP(Z$1,'Attrition Modeling'!$L$15:$N$27,IF(Z$2+$F29&lt;=24,2,3),FALSE)),$C$3)*(1+Projection!AB$16)*(1+IF(Z161&gt;0,'Attrition Modeling'!$N$9,0)))</f>
        <v>0</v>
      </c>
      <c r="AA96" s="799">
        <f>Z96*(1-IFERROR(IF(AA$69+$F96&lt;=12,SUMIFS('Attrition Modeling'!$D:$D,'Attrition Modeling'!$C:$C,'IP Attrition'!$D96,'Attrition Modeling'!$B:$B,'IP Attrition'!AA$68),VLOOKUP($F96+AA$2,$A$6:$C$106,2,FALSE)*VLOOKUP(AA$1,'Attrition Modeling'!$L$15:$N$27,IF(AA$2+$F29&lt;=24,2,3),FALSE)),$C$3)*(1+Projection!AC$16)*(1+IF(AA161&gt;0,'Attrition Modeling'!$N$9,0)))</f>
        <v>0</v>
      </c>
      <c r="AB96" s="799">
        <f>AA96*(1-IFERROR(IF(AB$69+$F96&lt;=12,SUMIFS('Attrition Modeling'!$D:$D,'Attrition Modeling'!$C:$C,'IP Attrition'!$D96,'Attrition Modeling'!$B:$B,'IP Attrition'!AB$68),VLOOKUP($F96+AB$2,$A$6:$C$106,2,FALSE)*VLOOKUP(AB$1,'Attrition Modeling'!$L$15:$N$27,IF(AB$2+$F29&lt;=24,2,3),FALSE)),$C$3)*(1+Projection!AD$16)*(1+IF(AB161&gt;0,'Attrition Modeling'!$N$9,0)))</f>
        <v>0</v>
      </c>
      <c r="AC96" s="799">
        <f>AB96*(1-IFERROR(IF(AC$69+$F96&lt;=12,SUMIFS('Attrition Modeling'!$D:$D,'Attrition Modeling'!$C:$C,'IP Attrition'!$D96,'Attrition Modeling'!$B:$B,'IP Attrition'!AC$68),VLOOKUP($F96+AC$2,$A$6:$C$106,2,FALSE)*VLOOKUP(AC$1,'Attrition Modeling'!$L$15:$N$27,IF(AC$2+$F29&lt;=24,2,3),FALSE)),$C$3)*(1+Projection!AE$16)*(1+IF(AC161&gt;0,'Attrition Modeling'!$N$9,0)))</f>
        <v>0</v>
      </c>
      <c r="AD96" s="799">
        <f>AC96*(1-IFERROR(IF(AD$69+$F96&lt;=12,SUMIFS('Attrition Modeling'!$D:$D,'Attrition Modeling'!$C:$C,'IP Attrition'!$D96,'Attrition Modeling'!$B:$B,'IP Attrition'!AD$68),VLOOKUP($F96+AD$2,$A$6:$C$106,2,FALSE)*VLOOKUP(AD$1,'Attrition Modeling'!$L$15:$N$27,IF(AD$2+$F29&lt;=24,2,3),FALSE)),$C$3)*(1+Projection!AF$16)*(1+IF(AD161&gt;0,'Attrition Modeling'!$N$9,0)))</f>
        <v>0</v>
      </c>
      <c r="AE96" s="799">
        <f>AD96*(1-IFERROR(IF(AE$69+$F96&lt;=12,SUMIFS('Attrition Modeling'!$D:$D,'Attrition Modeling'!$C:$C,'IP Attrition'!$D96,'Attrition Modeling'!$B:$B,'IP Attrition'!AE$68),VLOOKUP($F96+AE$2,$A$6:$C$106,2,FALSE)*VLOOKUP(AE$1,'Attrition Modeling'!$L$15:$N$27,IF(AE$2+$F29&lt;=24,2,3),FALSE)),$C$3)*(1+Projection!AG$16)*(1+IF(AE161&gt;0,'Attrition Modeling'!$N$9,0)))</f>
        <v>0</v>
      </c>
      <c r="AF96" s="799">
        <f>AE96*(1-IFERROR(IF(AF$69+$F96&lt;=12,SUMIFS('Attrition Modeling'!$D:$D,'Attrition Modeling'!$C:$C,'IP Attrition'!$D96,'Attrition Modeling'!$B:$B,'IP Attrition'!AF$68),VLOOKUP($F96+AF$2,$A$6:$C$106,2,FALSE)*VLOOKUP(AF$1,'Attrition Modeling'!$L$15:$N$27,IF(AF$2+$F29&lt;=24,2,3),FALSE)),$C$3)*(1+Projection!AH$16)*(1+IF(AF161&gt;0,'Attrition Modeling'!$N$9,0)))</f>
        <v>0</v>
      </c>
      <c r="AG96" s="799">
        <f>AF96*(1-IFERROR(IF(AG$69+$F96&lt;=12,SUMIFS('Attrition Modeling'!$D:$D,'Attrition Modeling'!$C:$C,'IP Attrition'!$D96,'Attrition Modeling'!$B:$B,'IP Attrition'!AG$68),VLOOKUP($F96+AG$2,$A$6:$C$106,2,FALSE)*VLOOKUP(AG$1,'Attrition Modeling'!$L$15:$N$27,IF(AG$2+$F29&lt;=24,2,3),FALSE)),$C$3)*(1+Projection!AI$16)*(1+IF(AG161&gt;0,'Attrition Modeling'!$N$9,0)))</f>
        <v>0</v>
      </c>
      <c r="AH96" s="799">
        <f>AG96*(1-IFERROR(IF(AH$69+$F96&lt;=12,SUMIFS('Attrition Modeling'!$D:$D,'Attrition Modeling'!$C:$C,'IP Attrition'!$D96,'Attrition Modeling'!$B:$B,'IP Attrition'!AH$68),VLOOKUP($F96+AH$2,$A$6:$C$106,2,FALSE)*VLOOKUP(AH$1,'Attrition Modeling'!$L$15:$N$27,IF(AH$2+$F29&lt;=24,2,3),FALSE)),$C$3)*(1+Projection!AJ$16)*(1+IF(AH161&gt;0,'Attrition Modeling'!$N$9,0)))</f>
        <v>0</v>
      </c>
      <c r="AI96" s="799">
        <f>AH96*(1-IFERROR(IF(AI$69+$F96&lt;=12,SUMIFS('Attrition Modeling'!$D:$D,'Attrition Modeling'!$C:$C,'IP Attrition'!$D96,'Attrition Modeling'!$B:$B,'IP Attrition'!AI$68),VLOOKUP($F96+AI$2,$A$6:$C$106,2,FALSE)*VLOOKUP(AI$1,'Attrition Modeling'!$L$15:$N$27,IF(AI$2+$F29&lt;=24,2,3),FALSE)),$C$3)*(1+Projection!AK$16)*(1+IF(AI161&gt;0,'Attrition Modeling'!$N$9,0)))</f>
        <v>0</v>
      </c>
      <c r="AJ96" s="799">
        <f>AI96*(1-IFERROR(IF(AJ$69+$F96&lt;=12,SUMIFS('Attrition Modeling'!$D:$D,'Attrition Modeling'!$C:$C,'IP Attrition'!$D96,'Attrition Modeling'!$B:$B,'IP Attrition'!AJ$68),VLOOKUP($F96+AJ$2,$A$6:$C$106,2,FALSE)*VLOOKUP(AJ$1,'Attrition Modeling'!$L$15:$N$27,IF(AJ$2+$F29&lt;=24,2,3),FALSE)),$C$3)*(1+Projection!AL$16)*(1+IF(AJ161&gt;0,'Attrition Modeling'!$N$9,0)))</f>
        <v>0</v>
      </c>
      <c r="AK96" s="799">
        <f>AJ96*(1-IFERROR(IF(AK$69+$F96&lt;=12,SUMIFS('Attrition Modeling'!$D:$D,'Attrition Modeling'!$C:$C,'IP Attrition'!$D96,'Attrition Modeling'!$B:$B,'IP Attrition'!AK$68),VLOOKUP($F96+AK$2,$A$6:$C$106,2,FALSE)*VLOOKUP(AK$1,'Attrition Modeling'!$L$15:$N$27,IF(AK$2+$F29&lt;=24,2,3),FALSE)),$C$3)*(1+Projection!AM$16)*(1+IF(AK161&gt;0,'Attrition Modeling'!$N$9,0)))</f>
        <v>0</v>
      </c>
      <c r="AL96" s="799">
        <f>AK96*(1-IFERROR(IF(AL$69+$F96&lt;=12,SUMIFS('Attrition Modeling'!$D:$D,'Attrition Modeling'!$C:$C,'IP Attrition'!$D96,'Attrition Modeling'!$B:$B,'IP Attrition'!AL$68),VLOOKUP($F96+AL$2,$A$6:$C$106,2,FALSE)*VLOOKUP(AL$1,'Attrition Modeling'!$L$15:$N$27,IF(AL$2+$F29&lt;=24,2,3),FALSE)),$C$3)*(1+Projection!AN$16)*(1+IF(AL161&gt;0,'Attrition Modeling'!$N$9,0)))</f>
        <v>0</v>
      </c>
      <c r="AM96" s="799">
        <f>AL96*(1-IFERROR(IF(AM$69+$F96&lt;=12,SUMIFS('Attrition Modeling'!$D:$D,'Attrition Modeling'!$C:$C,'IP Attrition'!$D96,'Attrition Modeling'!$B:$B,'IP Attrition'!AM$68),VLOOKUP($F96+AM$2,$A$6:$C$106,2,FALSE)*VLOOKUP(AM$1,'Attrition Modeling'!$L$15:$N$27,IF(AM$2+$F29&lt;=24,2,3),FALSE)),$C$3)*(1+Projection!AO$16)*(1+IF(AM161&gt;0,'Attrition Modeling'!$N$9,0)))</f>
        <v>0</v>
      </c>
      <c r="AN96" s="799">
        <f>AM96*(1-IFERROR(IF(AN$69+$F96&lt;=12,SUMIFS('Attrition Modeling'!$D:$D,'Attrition Modeling'!$C:$C,'IP Attrition'!$D96,'Attrition Modeling'!$B:$B,'IP Attrition'!AN$68),VLOOKUP($F96+AN$2,$A$6:$C$106,2,FALSE)*VLOOKUP(AN$1,'Attrition Modeling'!$L$15:$N$27,IF(AN$2+$F29&lt;=24,2,3),FALSE)),$C$3)*(1+Projection!AP$16)*(1+IF(AN161&gt;0,'Attrition Modeling'!$N$9,0)))</f>
        <v>0</v>
      </c>
      <c r="AO96" s="799">
        <f>AN96*(1-IFERROR(IF(AO$69+$F96&lt;=12,SUMIFS('Attrition Modeling'!$D:$D,'Attrition Modeling'!$C:$C,'IP Attrition'!$D96,'Attrition Modeling'!$B:$B,'IP Attrition'!AO$68),VLOOKUP($F96+AO$2,$A$6:$C$106,2,FALSE)*VLOOKUP(AO$1,'Attrition Modeling'!$L$15:$N$27,IF(AO$2+$F29&lt;=24,2,3),FALSE)),$C$3)*(1+Projection!AQ$16)*(1+IF(AO161&gt;0,'Attrition Modeling'!$N$9,0)))</f>
        <v>0</v>
      </c>
      <c r="AP96" s="799">
        <f>AO96*(1-IFERROR(IF(AP$69+$F96&lt;=12,SUMIFS('Attrition Modeling'!$D:$D,'Attrition Modeling'!$C:$C,'IP Attrition'!$D96,'Attrition Modeling'!$B:$B,'IP Attrition'!AP$68),VLOOKUP($F96+AP$2,$A$6:$C$106,2,FALSE)*VLOOKUP(AP$1,'Attrition Modeling'!$L$15:$N$27,IF(AP$2+$F29&lt;=24,2,3),FALSE)),$C$3)*(1+Projection!AR$16)*(1+IF(AP161&gt;0,'Attrition Modeling'!$N$9,0)))</f>
        <v>0</v>
      </c>
      <c r="AQ96" s="799">
        <f>AP96*(1-IFERROR(IF(AQ$69+$F96&lt;=12,SUMIFS('Attrition Modeling'!$D:$D,'Attrition Modeling'!$C:$C,'IP Attrition'!$D96,'Attrition Modeling'!$B:$B,'IP Attrition'!AQ$68),VLOOKUP($F96+AQ$2,$A$6:$C$106,2,FALSE)*VLOOKUP(AQ$1,'Attrition Modeling'!$L$15:$N$27,IF(AQ$2+$F29&lt;=24,2,3),FALSE)),$C$3)*(1+Projection!AS$16)*(1+IF(AQ161&gt;0,'Attrition Modeling'!$N$9,0)))</f>
        <v>0</v>
      </c>
      <c r="AR96" s="799">
        <f>AQ96*(1-IFERROR(IF(AR$69+$F96&lt;=12,SUMIFS('Attrition Modeling'!$D:$D,'Attrition Modeling'!$C:$C,'IP Attrition'!$D96,'Attrition Modeling'!$B:$B,'IP Attrition'!AR$68),VLOOKUP($F96+AR$2,$A$6:$C$106,2,FALSE)*VLOOKUP(AR$1,'Attrition Modeling'!$L$15:$N$27,IF(AR$2+$F29&lt;=24,2,3),FALSE)),$C$3)*(1+Projection!AT$16)*(1+IF(AR161&gt;0,'Attrition Modeling'!$N$9,0)))</f>
        <v>0</v>
      </c>
      <c r="AS96" s="799">
        <f>AR96*(1-IFERROR(IF(AS$69+$F96&lt;=12,SUMIFS('Attrition Modeling'!$D:$D,'Attrition Modeling'!$C:$C,'IP Attrition'!$D96,'Attrition Modeling'!$B:$B,'IP Attrition'!AS$68),VLOOKUP($F96+AS$2,$A$6:$C$106,2,FALSE)*VLOOKUP(AS$1,'Attrition Modeling'!$L$15:$N$27,IF(AS$2+$F29&lt;=24,2,3),FALSE)),$C$3)*(1+Projection!AU$16)*(1+IF(AS161&gt;0,'Attrition Modeling'!$N$9,0)))</f>
        <v>0</v>
      </c>
      <c r="AT96" s="799">
        <f>AS96*(1-IFERROR(IF(AT$69+$F96&lt;=12,SUMIFS('Attrition Modeling'!$D:$D,'Attrition Modeling'!$C:$C,'IP Attrition'!$D96,'Attrition Modeling'!$B:$B,'IP Attrition'!AT$68),VLOOKUP($F96+AT$2,$A$6:$C$106,2,FALSE)*VLOOKUP(AT$1,'Attrition Modeling'!$L$15:$N$27,IF(AT$2+$F29&lt;=24,2,3),FALSE)),$C$3)*(1+Projection!AV$16)*(1+IF(AT161&gt;0,'Attrition Modeling'!$N$9,0)))</f>
        <v>0</v>
      </c>
      <c r="AU96" s="799">
        <f>AT96*(1-IFERROR(IF(AU$69+$F96&lt;=12,SUMIFS('Attrition Modeling'!$D:$D,'Attrition Modeling'!$C:$C,'IP Attrition'!$D96,'Attrition Modeling'!$B:$B,'IP Attrition'!AU$68),VLOOKUP($F96+AU$2,$A$6:$C$106,2,FALSE)*VLOOKUP(AU$1,'Attrition Modeling'!$L$15:$N$27,IF(AU$2+$F29&lt;=24,2,3),FALSE)),$C$3)*(1+Projection!AW$16)*(1+IF(AU161&gt;0,'Attrition Modeling'!$N$9,0)))</f>
        <v>0</v>
      </c>
      <c r="AV96" s="799">
        <f>AU96*(1-IFERROR(IF(AV$69+$F96&lt;=12,SUMIFS('Attrition Modeling'!$D:$D,'Attrition Modeling'!$C:$C,'IP Attrition'!$D96,'Attrition Modeling'!$B:$B,'IP Attrition'!AV$68),VLOOKUP($F96+AV$2,$A$6:$C$106,2,FALSE)*VLOOKUP(AV$1,'Attrition Modeling'!$L$15:$N$27,IF(AV$2+$F29&lt;=24,2,3),FALSE)),$C$3)*(1+Projection!AX$16)*(1+IF(AV161&gt;0,'Attrition Modeling'!$N$9,0)))</f>
        <v>0</v>
      </c>
      <c r="AW96" s="799">
        <f>AV96*(1-IFERROR(IF(AW$69+$F96&lt;=12,SUMIFS('Attrition Modeling'!$D:$D,'Attrition Modeling'!$C:$C,'IP Attrition'!$D96,'Attrition Modeling'!$B:$B,'IP Attrition'!AW$68),VLOOKUP($F96+AW$2,$A$6:$C$106,2,FALSE)*VLOOKUP(AW$1,'Attrition Modeling'!$L$15:$N$27,IF(AW$2+$F29&lt;=24,2,3),FALSE)),$C$3)*(1+Projection!AY$16)*(1+IF(AW161&gt;0,'Attrition Modeling'!$N$9,0)))</f>
        <v>0</v>
      </c>
      <c r="AX96" s="799">
        <f>AW96*(1-IFERROR(IF(AX$69+$F96&lt;=12,SUMIFS('Attrition Modeling'!$D:$D,'Attrition Modeling'!$C:$C,'IP Attrition'!$D96,'Attrition Modeling'!$B:$B,'IP Attrition'!AX$68),VLOOKUP($F96+AX$2,$A$6:$C$106,2,FALSE)*VLOOKUP(AX$1,'Attrition Modeling'!$L$15:$N$27,IF(AX$2+$F29&lt;=24,2,3),FALSE)),$C$3)*(1+Projection!AZ$16)*(1+IF(AX161&gt;0,'Attrition Modeling'!$N$9,0)))</f>
        <v>0</v>
      </c>
      <c r="AY96" s="799">
        <f>AX96*(1-IFERROR(IF(AY$69+$F96&lt;=12,SUMIFS('Attrition Modeling'!$D:$D,'Attrition Modeling'!$C:$C,'IP Attrition'!$D96,'Attrition Modeling'!$B:$B,'IP Attrition'!AY$68),VLOOKUP($F96+AY$2,$A$6:$C$106,2,FALSE)*VLOOKUP(AY$1,'Attrition Modeling'!$L$15:$N$27,IF(AY$2+$F29&lt;=24,2,3),FALSE)),$C$3)*(1+Projection!BA$16)*(1+IF(AY161&gt;0,'Attrition Modeling'!$N$9,0)))</f>
        <v>0</v>
      </c>
      <c r="AZ96" s="799">
        <f>AY96*(1-IFERROR(IF(AZ$69+$F96&lt;=12,SUMIFS('Attrition Modeling'!$D:$D,'Attrition Modeling'!$C:$C,'IP Attrition'!$D96,'Attrition Modeling'!$B:$B,'IP Attrition'!AZ$68),VLOOKUP($F96+AZ$2,$A$6:$C$106,2,FALSE)*VLOOKUP(AZ$1,'Attrition Modeling'!$L$15:$N$27,IF(AZ$2+$F29&lt;=24,2,3),FALSE)),$C$3)*(1+Projection!BB$16)*(1+IF(AZ161&gt;0,'Attrition Modeling'!$N$9,0)))</f>
        <v>0</v>
      </c>
      <c r="BA96" s="799">
        <f>AZ96*(1-IFERROR(IF(BA$69+$F96&lt;=12,SUMIFS('Attrition Modeling'!$D:$D,'Attrition Modeling'!$C:$C,'IP Attrition'!$D96,'Attrition Modeling'!$B:$B,'IP Attrition'!BA$68),VLOOKUP($F96+BA$2,$A$6:$C$106,2,FALSE)*VLOOKUP(BA$1,'Attrition Modeling'!$L$15:$N$27,IF(BA$2+$F29&lt;=24,2,3),FALSE)),$C$3)*(1+Projection!BC$16)*(1+IF(BA161&gt;0,'Attrition Modeling'!$N$9,0)))</f>
        <v>0</v>
      </c>
      <c r="BB96" s="799">
        <f>BA96*(1-IFERROR(IF(BB$69+$F96&lt;=12,SUMIFS('Attrition Modeling'!$D:$D,'Attrition Modeling'!$C:$C,'IP Attrition'!$D96,'Attrition Modeling'!$B:$B,'IP Attrition'!BB$68),VLOOKUP($F96+BB$2,$A$6:$C$106,2,FALSE)*VLOOKUP(BB$1,'Attrition Modeling'!$L$15:$N$27,IF(BB$2+$F29&lt;=24,2,3),FALSE)),$C$3)*(1+Projection!BD$16)*(1+IF(BB161&gt;0,'Attrition Modeling'!$N$9,0)))</f>
        <v>0</v>
      </c>
      <c r="BC96" s="799">
        <f>BB96*(1-IFERROR(IF(BC$69+$F96&lt;=12,SUMIFS('Attrition Modeling'!$D:$D,'Attrition Modeling'!$C:$C,'IP Attrition'!$D96,'Attrition Modeling'!$B:$B,'IP Attrition'!BC$68),VLOOKUP($F96+BC$2,$A$6:$C$106,2,FALSE)*VLOOKUP(BC$1,'Attrition Modeling'!$L$15:$N$27,IF(BC$2+$F29&lt;=24,2,3),FALSE)),$C$3)*(1+Projection!BE$16)*(1+IF(BC161&gt;0,'Attrition Modeling'!$N$9,0)))</f>
        <v>0</v>
      </c>
      <c r="BD96" s="799">
        <f>BC96*(1-IFERROR(IF(BD$69+$F96&lt;=12,SUMIFS('Attrition Modeling'!$D:$D,'Attrition Modeling'!$C:$C,'IP Attrition'!$D96,'Attrition Modeling'!$B:$B,'IP Attrition'!BD$68),VLOOKUP($F96+BD$2,$A$6:$C$106,2,FALSE)*VLOOKUP(BD$1,'Attrition Modeling'!$L$15:$N$27,IF(BD$2+$F29&lt;=24,2,3),FALSE)),$C$3)*(1+Projection!BF$16)*(1+IF(BD161&gt;0,'Attrition Modeling'!$N$9,0)))</f>
        <v>0</v>
      </c>
      <c r="BE96" s="799">
        <f>BD96*(1-IFERROR(IF(BE$69+$F96&lt;=12,SUMIFS('Attrition Modeling'!$D:$D,'Attrition Modeling'!$C:$C,'IP Attrition'!$D96,'Attrition Modeling'!$B:$B,'IP Attrition'!BE$68),VLOOKUP($F96+BE$2,$A$6:$C$106,2,FALSE)*VLOOKUP(BE$1,'Attrition Modeling'!$L$15:$N$27,IF(BE$2+$F29&lt;=24,2,3),FALSE)),$C$3)*(1+Projection!BG$16)*(1+IF(BE161&gt;0,'Attrition Modeling'!$N$9,0)))</f>
        <v>0</v>
      </c>
      <c r="BF96" s="799">
        <f>BE96*(1-IFERROR(IF(BF$69+$F96&lt;=12,SUMIFS('Attrition Modeling'!$D:$D,'Attrition Modeling'!$C:$C,'IP Attrition'!$D96,'Attrition Modeling'!$B:$B,'IP Attrition'!BF$68),VLOOKUP($F96+BF$2,$A$6:$C$106,2,FALSE)*VLOOKUP(BF$1,'Attrition Modeling'!$L$15:$N$27,IF(BF$2+$F29&lt;=24,2,3),FALSE)),$C$3)*(1+Projection!BH$16)*(1+IF(BF161&gt;0,'Attrition Modeling'!$N$9,0)))</f>
        <v>0</v>
      </c>
      <c r="BG96" s="799">
        <f>BF96*(1-IFERROR(IF(BG$69+$F96&lt;=12,SUMIFS('Attrition Modeling'!$D:$D,'Attrition Modeling'!$C:$C,'IP Attrition'!$D96,'Attrition Modeling'!$B:$B,'IP Attrition'!BG$68),VLOOKUP($F96+BG$2,$A$6:$C$106,2,FALSE)*VLOOKUP(BG$1,'Attrition Modeling'!$L$15:$N$27,IF(BG$2+$F29&lt;=24,2,3),FALSE)),$C$3)*(1+Projection!BI$16)*(1+IF(BG161&gt;0,'Attrition Modeling'!$N$9,0)))</f>
        <v>0</v>
      </c>
      <c r="BH96" s="799">
        <f>BG96*(1-IFERROR(IF(BH$69+$F96&lt;=12,SUMIFS('Attrition Modeling'!$D:$D,'Attrition Modeling'!$C:$C,'IP Attrition'!$D96,'Attrition Modeling'!$B:$B,'IP Attrition'!BH$68),VLOOKUP($F96+BH$2,$A$6:$C$106,2,FALSE)*VLOOKUP(BH$1,'Attrition Modeling'!$L$15:$N$27,IF(BH$2+$F29&lt;=24,2,3),FALSE)),$C$3)*(1+Projection!BJ$16)*(1+IF(BH161&gt;0,'Attrition Modeling'!$N$9,0)))</f>
        <v>0</v>
      </c>
      <c r="BI96" s="799">
        <f>BH96*(1-IFERROR(IF(BI$69+$F96&lt;=12,SUMIFS('Attrition Modeling'!$D:$D,'Attrition Modeling'!$C:$C,'IP Attrition'!$D96,'Attrition Modeling'!$B:$B,'IP Attrition'!BI$68),VLOOKUP($F96+BI$2,$A$6:$C$106,2,FALSE)*VLOOKUP(BI$1,'Attrition Modeling'!$L$15:$N$27,IF(BI$2+$F29&lt;=24,2,3),FALSE)),$C$3)*(1+Projection!BK$16)*(1+IF(BI161&gt;0,'Attrition Modeling'!$N$9,0)))</f>
        <v>0</v>
      </c>
      <c r="BJ96" s="799">
        <f>BI96*(1-IFERROR(IF(BJ$69+$F96&lt;=12,SUMIFS('Attrition Modeling'!$D:$D,'Attrition Modeling'!$C:$C,'IP Attrition'!$D96,'Attrition Modeling'!$B:$B,'IP Attrition'!BJ$68),VLOOKUP($F96+BJ$2,$A$6:$C$106,2,FALSE)*VLOOKUP(BJ$1,'Attrition Modeling'!$L$15:$N$27,IF(BJ$2+$F29&lt;=24,2,3),FALSE)),$C$3)*(1+Projection!BL$16)*(1+IF(BJ161&gt;0,'Attrition Modeling'!$N$9,0)))</f>
        <v>0</v>
      </c>
      <c r="BK96" s="799">
        <f>BJ96*(1-IFERROR(IF(BK$69+$F96&lt;=12,SUMIFS('Attrition Modeling'!$D:$D,'Attrition Modeling'!$C:$C,'IP Attrition'!$D96,'Attrition Modeling'!$B:$B,'IP Attrition'!BK$68),VLOOKUP($F96+BK$2,$A$6:$C$106,2,FALSE)*VLOOKUP(BK$1,'Attrition Modeling'!$L$15:$N$27,IF(BK$2+$F29&lt;=24,2,3),FALSE)),$C$3)*(1+Projection!BM$16)*(1+IF(BK161&gt;0,'Attrition Modeling'!$N$9,0)))</f>
        <v>0</v>
      </c>
      <c r="BL96" s="799">
        <f>BK96*(1-IFERROR(IF(BL$69+$F96&lt;=12,SUMIFS('Attrition Modeling'!$D:$D,'Attrition Modeling'!$C:$C,'IP Attrition'!$D96,'Attrition Modeling'!$B:$B,'IP Attrition'!BL$68),VLOOKUP($F96+BL$2,$A$6:$C$106,2,FALSE)*VLOOKUP(BL$1,'Attrition Modeling'!$L$15:$N$27,IF(BL$2+$F29&lt;=24,2,3),FALSE)),$C$3)*(1+Projection!BN$16)*(1+IF(BL161&gt;0,'Attrition Modeling'!$N$9,0)))</f>
        <v>0</v>
      </c>
      <c r="BM96" s="799">
        <f>BL96*(1-IFERROR(IF(BM$69+$F96&lt;=12,SUMIFS('Attrition Modeling'!$D:$D,'Attrition Modeling'!$C:$C,'IP Attrition'!$D96,'Attrition Modeling'!$B:$B,'IP Attrition'!BM$68),VLOOKUP($F96+BM$2,$A$6:$C$106,2,FALSE)*VLOOKUP(BM$1,'Attrition Modeling'!$L$15:$N$27,IF(BM$2+$F29&lt;=24,2,3),FALSE)),$C$3)*(1+Projection!BO$16)*(1+IF(BM161&gt;0,'Attrition Modeling'!$N$9,0)))</f>
        <v>0</v>
      </c>
      <c r="BN96" s="799">
        <f>BM96*(1-IFERROR(IF(BN$69+$F96&lt;=12,SUMIFS('Attrition Modeling'!$D:$D,'Attrition Modeling'!$C:$C,'IP Attrition'!$D96,'Attrition Modeling'!$B:$B,'IP Attrition'!BN$68),VLOOKUP($F96+BN$2,$A$6:$C$106,2,FALSE)*VLOOKUP(BN$1,'Attrition Modeling'!$L$15:$N$27,IF(BN$2+$F29&lt;=24,2,3),FALSE)),$C$3)*(1+Projection!BP$16)*(1+IF(BN161&gt;0,'Attrition Modeling'!$N$9,0)))</f>
        <v>0</v>
      </c>
      <c r="BO96" s="799">
        <f>BN96*(1-IFERROR(IF(BO$69+$F96&lt;=12,SUMIFS('Attrition Modeling'!$D:$D,'Attrition Modeling'!$C:$C,'IP Attrition'!$D96,'Attrition Modeling'!$B:$B,'IP Attrition'!BO$68),VLOOKUP($F96+BO$2,$A$6:$C$106,2,FALSE)*VLOOKUP(BO$1,'Attrition Modeling'!$L$15:$N$27,IF(BO$2+$F29&lt;=24,2,3),FALSE)),$C$3)*(1+Projection!BV$16)*(1+IF(BO161&gt;0,'Attrition Modeling'!$N$9,0)))</f>
        <v>0</v>
      </c>
      <c r="BP96" s="799">
        <f>BO96*(1-IFERROR(IF(BP$69+$F96&lt;=12,SUMIFS('Attrition Modeling'!$D:$D,'Attrition Modeling'!$C:$C,'IP Attrition'!$D96,'Attrition Modeling'!$B:$B,'IP Attrition'!BP$68),VLOOKUP($F96+BP$2,$A$6:$C$106,2,FALSE)*VLOOKUP(BP$1,'Attrition Modeling'!$L$15:$N$27,IF(BP$2+$F29&lt;=24,2,3),FALSE)),$C$3)*(1+Projection!BW$16)*(1+IF(BP161&gt;0,'Attrition Modeling'!$N$9,0)))</f>
        <v>0</v>
      </c>
      <c r="BQ96" s="799">
        <f>BP96*(1-IFERROR(IF(BQ$69+$F96&lt;=12,SUMIFS('Attrition Modeling'!$D:$D,'Attrition Modeling'!$C:$C,'IP Attrition'!$D96,'Attrition Modeling'!$B:$B,'IP Attrition'!BQ$68),VLOOKUP($F96+BQ$2,$A$6:$C$106,2,FALSE)*VLOOKUP(BQ$1,'Attrition Modeling'!$L$15:$N$27,IF(BQ$2+$F29&lt;=24,2,3),FALSE)),$C$3)*(1+Projection!BX$16)*(1+IF(BQ161&gt;0,'Attrition Modeling'!$N$9,0)))</f>
        <v>0</v>
      </c>
      <c r="BR96" s="799">
        <f>BQ96*(1-IFERROR(IF(BR$69+$F96&lt;=12,SUMIFS('Attrition Modeling'!$D:$D,'Attrition Modeling'!$C:$C,'IP Attrition'!$D96,'Attrition Modeling'!$B:$B,'IP Attrition'!BR$68),VLOOKUP($F96+BR$2,$A$6:$C$106,2,FALSE)*VLOOKUP(BR$1,'Attrition Modeling'!$L$15:$N$27,IF(BR$2+$F29&lt;=24,2,3),FALSE)),$C$3)*(1+Projection!BY$16)*(1+IF(BR161&gt;0,'Attrition Modeling'!$N$9,0)))</f>
        <v>0</v>
      </c>
      <c r="BS96" s="799">
        <f>BR96*(1-IFERROR(IF(BS$69+$F96&lt;=12,SUMIFS('Attrition Modeling'!$D:$D,'Attrition Modeling'!$C:$C,'IP Attrition'!$D96,'Attrition Modeling'!$B:$B,'IP Attrition'!BS$68),VLOOKUP($F96+BS$2,$A$6:$C$106,2,FALSE)*VLOOKUP(BS$1,'Attrition Modeling'!$L$15:$N$27,IF(BS$2+$F29&lt;=24,2,3),FALSE)),$C$3)*(1+Projection!BZ$16)*(1+IF(BS161&gt;0,'Attrition Modeling'!$N$9,0)))</f>
        <v>0</v>
      </c>
      <c r="BT96" s="799" t="e">
        <f>BS96*(1-IFERROR(IF(BT$69+$F96&lt;=12,SUMIFS('Attrition Modeling'!$D:$D,'Attrition Modeling'!$C:$C,'IP Attrition'!$D96,'Attrition Modeling'!$B:$B,'IP Attrition'!BT$68),VLOOKUP($F96+BT$2,$A$6:$C$106,2,FALSE)*VLOOKUP(BT$1,'Attrition Modeling'!$L$15:$N$27,IF(BT$2+$F29&lt;=24,2,3),FALSE)),$C$3)*(1+Projection!CA$16)*(1+IF(BT161&gt;0,'Attrition Modeling'!$N$9,0)))</f>
        <v>#REF!</v>
      </c>
      <c r="BU96" s="799" t="e">
        <f>BT96*(1-IFERROR(IF(BU$69+$F96&lt;=12,SUMIFS('Attrition Modeling'!$D:$D,'Attrition Modeling'!$C:$C,'IP Attrition'!$D96,'Attrition Modeling'!$B:$B,'IP Attrition'!BU$68),VLOOKUP($F96+BU$2,$A$6:$C$106,2,FALSE)*VLOOKUP(BU$1,'Attrition Modeling'!$L$15:$N$27,IF(BU$2+$F29&lt;=24,2,3),FALSE)),$C$3)*(1+Projection!CB$16)*(1+IF(BU161&gt;0,'Attrition Modeling'!$N$9,0)))</f>
        <v>#REF!</v>
      </c>
    </row>
    <row r="97" spans="1:73" ht="14.25" customHeight="1" x14ac:dyDescent="0.2">
      <c r="A97" s="9">
        <v>90</v>
      </c>
      <c r="B97" s="25">
        <f>MAX('Attrition Modeling'!H94,$C$3)*(1-Summary!$C$20)</f>
        <v>0.02</v>
      </c>
      <c r="C97" s="24" t="e">
        <f t="shared" si="3"/>
        <v>#DIV/0!</v>
      </c>
      <c r="D97" s="11">
        <f t="shared" ref="D97:E97" si="35">D30</f>
        <v>-27</v>
      </c>
      <c r="E97" s="25">
        <f t="shared" si="35"/>
        <v>0</v>
      </c>
      <c r="F97" s="11">
        <f t="shared" si="9"/>
        <v>27</v>
      </c>
      <c r="G97" s="799">
        <f>Summary!$C$24*$E97</f>
        <v>0</v>
      </c>
      <c r="H97" s="799">
        <f>G97*(1-IFERROR(IF(H$69+$F97&lt;=12,SUMIFS('Attrition Modeling'!$D:$D,'Attrition Modeling'!$C:$C,'IP Attrition'!$D97,'Attrition Modeling'!$B:$B,'IP Attrition'!H$68),VLOOKUP($F97+H$2,$A$6:$C$106,2,FALSE)*VLOOKUP(H$1,'Attrition Modeling'!$L$15:$N$27,IF(H$2+$F30&lt;=24,2,3),FALSE)),$C$3)*(1+Projection!J$16)*(1+IF(H162&gt;0,'Attrition Modeling'!$N$9,0)))</f>
        <v>0</v>
      </c>
      <c r="I97" s="799">
        <f>H97*(1-IFERROR(IF(I$69+$F97&lt;=12,SUMIFS('Attrition Modeling'!$D:$D,'Attrition Modeling'!$C:$C,'IP Attrition'!$D97,'Attrition Modeling'!$B:$B,'IP Attrition'!I$68),VLOOKUP($F97+I$2,$A$6:$C$106,2,FALSE)*VLOOKUP(I$1,'Attrition Modeling'!$L$15:$N$27,IF(I$2+$F30&lt;=24,2,3),FALSE)),$C$3)*(1+Projection!K$16)*(1+IF(I162&gt;0,'Attrition Modeling'!$N$9,0)))</f>
        <v>0</v>
      </c>
      <c r="J97" s="799">
        <f>I97*(1-IFERROR(IF(J$69+$F97&lt;=12,SUMIFS('Attrition Modeling'!$D:$D,'Attrition Modeling'!$C:$C,'IP Attrition'!$D97,'Attrition Modeling'!$B:$B,'IP Attrition'!J$68),VLOOKUP($F97+J$2,$A$6:$C$106,2,FALSE)*VLOOKUP(J$1,'Attrition Modeling'!$L$15:$N$27,IF(J$2+$F30&lt;=24,2,3),FALSE)),$C$3)*(1+Projection!L$16)*(1+IF(J162&gt;0,'Attrition Modeling'!$N$9,0)))</f>
        <v>0</v>
      </c>
      <c r="K97" s="799">
        <f>J97*(1-IFERROR(IF(K$69+$F97&lt;=12,SUMIFS('Attrition Modeling'!$D:$D,'Attrition Modeling'!$C:$C,'IP Attrition'!$D97,'Attrition Modeling'!$B:$B,'IP Attrition'!K$68),VLOOKUP($F97+K$2,$A$6:$C$106,2,FALSE)*VLOOKUP(K$1,'Attrition Modeling'!$L$15:$N$27,IF(K$2+$F30&lt;=24,2,3),FALSE)),$C$3)*(1+Projection!M$16)*(1+IF(K162&gt;0,'Attrition Modeling'!$N$9,0)))</f>
        <v>0</v>
      </c>
      <c r="L97" s="799">
        <f>K97*(1-IFERROR(IF(L$69+$F97&lt;=12,SUMIFS('Attrition Modeling'!$D:$D,'Attrition Modeling'!$C:$C,'IP Attrition'!$D97,'Attrition Modeling'!$B:$B,'IP Attrition'!L$68),VLOOKUP($F97+L$2,$A$6:$C$106,2,FALSE)*VLOOKUP(L$1,'Attrition Modeling'!$L$15:$N$27,IF(L$2+$F30&lt;=24,2,3),FALSE)),$C$3)*(1+Projection!N$16)*(1+IF(L162&gt;0,'Attrition Modeling'!$N$9,0)))</f>
        <v>0</v>
      </c>
      <c r="M97" s="799">
        <f>L97*(1-IFERROR(IF(M$69+$F97&lt;=12,SUMIFS('Attrition Modeling'!$D:$D,'Attrition Modeling'!$C:$C,'IP Attrition'!$D97,'Attrition Modeling'!$B:$B,'IP Attrition'!M$68),VLOOKUP($F97+M$2,$A$6:$C$106,2,FALSE)*VLOOKUP(M$1,'Attrition Modeling'!$L$15:$N$27,IF(M$2+$F30&lt;=24,2,3),FALSE)),$C$3)*(1+Projection!O$16)*(1+IF(M162&gt;0,'Attrition Modeling'!$N$9,0)))</f>
        <v>0</v>
      </c>
      <c r="N97" s="799">
        <f>M97*(1-IFERROR(IF(N$69+$F97&lt;=12,SUMIFS('Attrition Modeling'!$D:$D,'Attrition Modeling'!$C:$C,'IP Attrition'!$D97,'Attrition Modeling'!$B:$B,'IP Attrition'!N$68),VLOOKUP($F97+N$2,$A$6:$C$106,2,FALSE)*VLOOKUP(N$1,'Attrition Modeling'!$L$15:$N$27,IF(N$2+$F30&lt;=24,2,3),FALSE)),$C$3)*(1+Projection!P$16)*(1+IF(N162&gt;0,'Attrition Modeling'!$N$9,0)))</f>
        <v>0</v>
      </c>
      <c r="O97" s="799">
        <f>N97*(1-IFERROR(IF(O$69+$F97&lt;=12,SUMIFS('Attrition Modeling'!$D:$D,'Attrition Modeling'!$C:$C,'IP Attrition'!$D97,'Attrition Modeling'!$B:$B,'IP Attrition'!O$68),VLOOKUP($F97+O$2,$A$6:$C$106,2,FALSE)*VLOOKUP(O$1,'Attrition Modeling'!$L$15:$N$27,IF(O$2+$F30&lt;=24,2,3),FALSE)),$C$3)*(1+Projection!Q$16)*(1+IF(O162&gt;0,'Attrition Modeling'!$N$9,0)))</f>
        <v>0</v>
      </c>
      <c r="P97" s="799">
        <f>O97*(1-IFERROR(IF(P$69+$F97&lt;=12,SUMIFS('Attrition Modeling'!$D:$D,'Attrition Modeling'!$C:$C,'IP Attrition'!$D97,'Attrition Modeling'!$B:$B,'IP Attrition'!P$68),VLOOKUP($F97+P$2,$A$6:$C$106,2,FALSE)*VLOOKUP(P$1,'Attrition Modeling'!$L$15:$N$27,IF(P$2+$F30&lt;=24,2,3),FALSE)),$C$3)*(1+Projection!R$16)*(1+IF(P162&gt;0,'Attrition Modeling'!$N$9,0)))</f>
        <v>0</v>
      </c>
      <c r="Q97" s="799">
        <f>P97*(1-IFERROR(IF(Q$69+$F97&lt;=12,SUMIFS('Attrition Modeling'!$D:$D,'Attrition Modeling'!$C:$C,'IP Attrition'!$D97,'Attrition Modeling'!$B:$B,'IP Attrition'!Q$68),VLOOKUP($F97+Q$2,$A$6:$C$106,2,FALSE)*VLOOKUP(Q$1,'Attrition Modeling'!$L$15:$N$27,IF(Q$2+$F30&lt;=24,2,3),FALSE)),$C$3)*(1+Projection!S$16)*(1+IF(Q162&gt;0,'Attrition Modeling'!$N$9,0)))</f>
        <v>0</v>
      </c>
      <c r="R97" s="799">
        <f>Q97*(1-IFERROR(IF(R$69+$F97&lt;=12,SUMIFS('Attrition Modeling'!$D:$D,'Attrition Modeling'!$C:$C,'IP Attrition'!$D97,'Attrition Modeling'!$B:$B,'IP Attrition'!R$68),VLOOKUP($F97+R$2,$A$6:$C$106,2,FALSE)*VLOOKUP(R$1,'Attrition Modeling'!$L$15:$N$27,IF(R$2+$F30&lt;=24,2,3),FALSE)),$C$3)*(1+Projection!T$16)*(1+IF(R162&gt;0,'Attrition Modeling'!$N$9,0)))</f>
        <v>0</v>
      </c>
      <c r="S97" s="799">
        <f>R97*(1-IFERROR(IF(S$69+$F97&lt;=12,SUMIFS('Attrition Modeling'!$D:$D,'Attrition Modeling'!$C:$C,'IP Attrition'!$D97,'Attrition Modeling'!$B:$B,'IP Attrition'!S$68),VLOOKUP($F97+S$2,$A$6:$C$106,2,FALSE)*VLOOKUP(S$1,'Attrition Modeling'!$L$15:$N$27,IF(S$2+$F30&lt;=24,2,3),FALSE)),$C$3)*(1+Projection!U$16)*(1+IF(S162&gt;0,'Attrition Modeling'!$N$9,0)))</f>
        <v>0</v>
      </c>
      <c r="T97" s="799">
        <f>S97*(1-IFERROR(IF(T$69+$F97&lt;=12,SUMIFS('Attrition Modeling'!$D:$D,'Attrition Modeling'!$C:$C,'IP Attrition'!$D97,'Attrition Modeling'!$B:$B,'IP Attrition'!T$68),VLOOKUP($F97+T$2,$A$6:$C$106,2,FALSE)*VLOOKUP(T$1,'Attrition Modeling'!$L$15:$N$27,IF(T$2+$F30&lt;=24,2,3),FALSE)),$C$3)*(1+Projection!V$16)*(1+IF(T162&gt;0,'Attrition Modeling'!$N$9,0)))</f>
        <v>0</v>
      </c>
      <c r="U97" s="799">
        <f>T97*(1-IFERROR(IF(U$69+$F97&lt;=12,SUMIFS('Attrition Modeling'!$D:$D,'Attrition Modeling'!$C:$C,'IP Attrition'!$D97,'Attrition Modeling'!$B:$B,'IP Attrition'!U$68),VLOOKUP($F97+U$2,$A$6:$C$106,2,FALSE)*VLOOKUP(U$1,'Attrition Modeling'!$L$15:$N$27,IF(U$2+$F30&lt;=24,2,3),FALSE)),$C$3)*(1+Projection!W$16)*(1+IF(U162&gt;0,'Attrition Modeling'!$N$9,0)))</f>
        <v>0</v>
      </c>
      <c r="V97" s="799">
        <f>U97*(1-IFERROR(IF(V$69+$F97&lt;=12,SUMIFS('Attrition Modeling'!$D:$D,'Attrition Modeling'!$C:$C,'IP Attrition'!$D97,'Attrition Modeling'!$B:$B,'IP Attrition'!V$68),VLOOKUP($F97+V$2,$A$6:$C$106,2,FALSE)*VLOOKUP(V$1,'Attrition Modeling'!$L$15:$N$27,IF(V$2+$F30&lt;=24,2,3),FALSE)),$C$3)*(1+Projection!X$16)*(1+IF(V162&gt;0,'Attrition Modeling'!$N$9,0)))</f>
        <v>0</v>
      </c>
      <c r="W97" s="799">
        <f>V97*(1-IFERROR(IF(W$69+$F97&lt;=12,SUMIFS('Attrition Modeling'!$D:$D,'Attrition Modeling'!$C:$C,'IP Attrition'!$D97,'Attrition Modeling'!$B:$B,'IP Attrition'!W$68),VLOOKUP($F97+W$2,$A$6:$C$106,2,FALSE)*VLOOKUP(W$1,'Attrition Modeling'!$L$15:$N$27,IF(W$2+$F30&lt;=24,2,3),FALSE)),$C$3)*(1+Projection!Y$16)*(1+IF(W162&gt;0,'Attrition Modeling'!$N$9,0)))</f>
        <v>0</v>
      </c>
      <c r="X97" s="799">
        <f>W97*(1-IFERROR(IF(X$69+$F97&lt;=12,SUMIFS('Attrition Modeling'!$D:$D,'Attrition Modeling'!$C:$C,'IP Attrition'!$D97,'Attrition Modeling'!$B:$B,'IP Attrition'!X$68),VLOOKUP($F97+X$2,$A$6:$C$106,2,FALSE)*VLOOKUP(X$1,'Attrition Modeling'!$L$15:$N$27,IF(X$2+$F30&lt;=24,2,3),FALSE)),$C$3)*(1+Projection!Z$16)*(1+IF(X162&gt;0,'Attrition Modeling'!$N$9,0)))</f>
        <v>0</v>
      </c>
      <c r="Y97" s="799">
        <f>X97*(1-IFERROR(IF(Y$69+$F97&lt;=12,SUMIFS('Attrition Modeling'!$D:$D,'Attrition Modeling'!$C:$C,'IP Attrition'!$D97,'Attrition Modeling'!$B:$B,'IP Attrition'!Y$68),VLOOKUP($F97+Y$2,$A$6:$C$106,2,FALSE)*VLOOKUP(Y$1,'Attrition Modeling'!$L$15:$N$27,IF(Y$2+$F30&lt;=24,2,3),FALSE)),$C$3)*(1+Projection!AA$16)*(1+IF(Y162&gt;0,'Attrition Modeling'!$N$9,0)))</f>
        <v>0</v>
      </c>
      <c r="Z97" s="799">
        <f>Y97*(1-IFERROR(IF(Z$69+$F97&lt;=12,SUMIFS('Attrition Modeling'!$D:$D,'Attrition Modeling'!$C:$C,'IP Attrition'!$D97,'Attrition Modeling'!$B:$B,'IP Attrition'!Z$68),VLOOKUP($F97+Z$2,$A$6:$C$106,2,FALSE)*VLOOKUP(Z$1,'Attrition Modeling'!$L$15:$N$27,IF(Z$2+$F30&lt;=24,2,3),FALSE)),$C$3)*(1+Projection!AB$16)*(1+IF(Z162&gt;0,'Attrition Modeling'!$N$9,0)))</f>
        <v>0</v>
      </c>
      <c r="AA97" s="799">
        <f>Z97*(1-IFERROR(IF(AA$69+$F97&lt;=12,SUMIFS('Attrition Modeling'!$D:$D,'Attrition Modeling'!$C:$C,'IP Attrition'!$D97,'Attrition Modeling'!$B:$B,'IP Attrition'!AA$68),VLOOKUP($F97+AA$2,$A$6:$C$106,2,FALSE)*VLOOKUP(AA$1,'Attrition Modeling'!$L$15:$N$27,IF(AA$2+$F30&lt;=24,2,3),FALSE)),$C$3)*(1+Projection!AC$16)*(1+IF(AA162&gt;0,'Attrition Modeling'!$N$9,0)))</f>
        <v>0</v>
      </c>
      <c r="AB97" s="799">
        <f>AA97*(1-IFERROR(IF(AB$69+$F97&lt;=12,SUMIFS('Attrition Modeling'!$D:$D,'Attrition Modeling'!$C:$C,'IP Attrition'!$D97,'Attrition Modeling'!$B:$B,'IP Attrition'!AB$68),VLOOKUP($F97+AB$2,$A$6:$C$106,2,FALSE)*VLOOKUP(AB$1,'Attrition Modeling'!$L$15:$N$27,IF(AB$2+$F30&lt;=24,2,3),FALSE)),$C$3)*(1+Projection!AD$16)*(1+IF(AB162&gt;0,'Attrition Modeling'!$N$9,0)))</f>
        <v>0</v>
      </c>
      <c r="AC97" s="799">
        <f>AB97*(1-IFERROR(IF(AC$69+$F97&lt;=12,SUMIFS('Attrition Modeling'!$D:$D,'Attrition Modeling'!$C:$C,'IP Attrition'!$D97,'Attrition Modeling'!$B:$B,'IP Attrition'!AC$68),VLOOKUP($F97+AC$2,$A$6:$C$106,2,FALSE)*VLOOKUP(AC$1,'Attrition Modeling'!$L$15:$N$27,IF(AC$2+$F30&lt;=24,2,3),FALSE)),$C$3)*(1+Projection!AE$16)*(1+IF(AC162&gt;0,'Attrition Modeling'!$N$9,0)))</f>
        <v>0</v>
      </c>
      <c r="AD97" s="799">
        <f>AC97*(1-IFERROR(IF(AD$69+$F97&lt;=12,SUMIFS('Attrition Modeling'!$D:$D,'Attrition Modeling'!$C:$C,'IP Attrition'!$D97,'Attrition Modeling'!$B:$B,'IP Attrition'!AD$68),VLOOKUP($F97+AD$2,$A$6:$C$106,2,FALSE)*VLOOKUP(AD$1,'Attrition Modeling'!$L$15:$N$27,IF(AD$2+$F30&lt;=24,2,3),FALSE)),$C$3)*(1+Projection!AF$16)*(1+IF(AD162&gt;0,'Attrition Modeling'!$N$9,0)))</f>
        <v>0</v>
      </c>
      <c r="AE97" s="799">
        <f>AD97*(1-IFERROR(IF(AE$69+$F97&lt;=12,SUMIFS('Attrition Modeling'!$D:$D,'Attrition Modeling'!$C:$C,'IP Attrition'!$D97,'Attrition Modeling'!$B:$B,'IP Attrition'!AE$68),VLOOKUP($F97+AE$2,$A$6:$C$106,2,FALSE)*VLOOKUP(AE$1,'Attrition Modeling'!$L$15:$N$27,IF(AE$2+$F30&lt;=24,2,3),FALSE)),$C$3)*(1+Projection!AG$16)*(1+IF(AE162&gt;0,'Attrition Modeling'!$N$9,0)))</f>
        <v>0</v>
      </c>
      <c r="AF97" s="799">
        <f>AE97*(1-IFERROR(IF(AF$69+$F97&lt;=12,SUMIFS('Attrition Modeling'!$D:$D,'Attrition Modeling'!$C:$C,'IP Attrition'!$D97,'Attrition Modeling'!$B:$B,'IP Attrition'!AF$68),VLOOKUP($F97+AF$2,$A$6:$C$106,2,FALSE)*VLOOKUP(AF$1,'Attrition Modeling'!$L$15:$N$27,IF(AF$2+$F30&lt;=24,2,3),FALSE)),$C$3)*(1+Projection!AH$16)*(1+IF(AF162&gt;0,'Attrition Modeling'!$N$9,0)))</f>
        <v>0</v>
      </c>
      <c r="AG97" s="799">
        <f>AF97*(1-IFERROR(IF(AG$69+$F97&lt;=12,SUMIFS('Attrition Modeling'!$D:$D,'Attrition Modeling'!$C:$C,'IP Attrition'!$D97,'Attrition Modeling'!$B:$B,'IP Attrition'!AG$68),VLOOKUP($F97+AG$2,$A$6:$C$106,2,FALSE)*VLOOKUP(AG$1,'Attrition Modeling'!$L$15:$N$27,IF(AG$2+$F30&lt;=24,2,3),FALSE)),$C$3)*(1+Projection!AI$16)*(1+IF(AG162&gt;0,'Attrition Modeling'!$N$9,0)))</f>
        <v>0</v>
      </c>
      <c r="AH97" s="799">
        <f>AG97*(1-IFERROR(IF(AH$69+$F97&lt;=12,SUMIFS('Attrition Modeling'!$D:$D,'Attrition Modeling'!$C:$C,'IP Attrition'!$D97,'Attrition Modeling'!$B:$B,'IP Attrition'!AH$68),VLOOKUP($F97+AH$2,$A$6:$C$106,2,FALSE)*VLOOKUP(AH$1,'Attrition Modeling'!$L$15:$N$27,IF(AH$2+$F30&lt;=24,2,3),FALSE)),$C$3)*(1+Projection!AJ$16)*(1+IF(AH162&gt;0,'Attrition Modeling'!$N$9,0)))</f>
        <v>0</v>
      </c>
      <c r="AI97" s="799">
        <f>AH97*(1-IFERROR(IF(AI$69+$F97&lt;=12,SUMIFS('Attrition Modeling'!$D:$D,'Attrition Modeling'!$C:$C,'IP Attrition'!$D97,'Attrition Modeling'!$B:$B,'IP Attrition'!AI$68),VLOOKUP($F97+AI$2,$A$6:$C$106,2,FALSE)*VLOOKUP(AI$1,'Attrition Modeling'!$L$15:$N$27,IF(AI$2+$F30&lt;=24,2,3),FALSE)),$C$3)*(1+Projection!AK$16)*(1+IF(AI162&gt;0,'Attrition Modeling'!$N$9,0)))</f>
        <v>0</v>
      </c>
      <c r="AJ97" s="799">
        <f>AI97*(1-IFERROR(IF(AJ$69+$F97&lt;=12,SUMIFS('Attrition Modeling'!$D:$D,'Attrition Modeling'!$C:$C,'IP Attrition'!$D97,'Attrition Modeling'!$B:$B,'IP Attrition'!AJ$68),VLOOKUP($F97+AJ$2,$A$6:$C$106,2,FALSE)*VLOOKUP(AJ$1,'Attrition Modeling'!$L$15:$N$27,IF(AJ$2+$F30&lt;=24,2,3),FALSE)),$C$3)*(1+Projection!AL$16)*(1+IF(AJ162&gt;0,'Attrition Modeling'!$N$9,0)))</f>
        <v>0</v>
      </c>
      <c r="AK97" s="799">
        <f>AJ97*(1-IFERROR(IF(AK$69+$F97&lt;=12,SUMIFS('Attrition Modeling'!$D:$D,'Attrition Modeling'!$C:$C,'IP Attrition'!$D97,'Attrition Modeling'!$B:$B,'IP Attrition'!AK$68),VLOOKUP($F97+AK$2,$A$6:$C$106,2,FALSE)*VLOOKUP(AK$1,'Attrition Modeling'!$L$15:$N$27,IF(AK$2+$F30&lt;=24,2,3),FALSE)),$C$3)*(1+Projection!AM$16)*(1+IF(AK162&gt;0,'Attrition Modeling'!$N$9,0)))</f>
        <v>0</v>
      </c>
      <c r="AL97" s="799">
        <f>AK97*(1-IFERROR(IF(AL$69+$F97&lt;=12,SUMIFS('Attrition Modeling'!$D:$D,'Attrition Modeling'!$C:$C,'IP Attrition'!$D97,'Attrition Modeling'!$B:$B,'IP Attrition'!AL$68),VLOOKUP($F97+AL$2,$A$6:$C$106,2,FALSE)*VLOOKUP(AL$1,'Attrition Modeling'!$L$15:$N$27,IF(AL$2+$F30&lt;=24,2,3),FALSE)),$C$3)*(1+Projection!AN$16)*(1+IF(AL162&gt;0,'Attrition Modeling'!$N$9,0)))</f>
        <v>0</v>
      </c>
      <c r="AM97" s="799">
        <f>AL97*(1-IFERROR(IF(AM$69+$F97&lt;=12,SUMIFS('Attrition Modeling'!$D:$D,'Attrition Modeling'!$C:$C,'IP Attrition'!$D97,'Attrition Modeling'!$B:$B,'IP Attrition'!AM$68),VLOOKUP($F97+AM$2,$A$6:$C$106,2,FALSE)*VLOOKUP(AM$1,'Attrition Modeling'!$L$15:$N$27,IF(AM$2+$F30&lt;=24,2,3),FALSE)),$C$3)*(1+Projection!AO$16)*(1+IF(AM162&gt;0,'Attrition Modeling'!$N$9,0)))</f>
        <v>0</v>
      </c>
      <c r="AN97" s="799">
        <f>AM97*(1-IFERROR(IF(AN$69+$F97&lt;=12,SUMIFS('Attrition Modeling'!$D:$D,'Attrition Modeling'!$C:$C,'IP Attrition'!$D97,'Attrition Modeling'!$B:$B,'IP Attrition'!AN$68),VLOOKUP($F97+AN$2,$A$6:$C$106,2,FALSE)*VLOOKUP(AN$1,'Attrition Modeling'!$L$15:$N$27,IF(AN$2+$F30&lt;=24,2,3),FALSE)),$C$3)*(1+Projection!AP$16)*(1+IF(AN162&gt;0,'Attrition Modeling'!$N$9,0)))</f>
        <v>0</v>
      </c>
      <c r="AO97" s="799">
        <f>AN97*(1-IFERROR(IF(AO$69+$F97&lt;=12,SUMIFS('Attrition Modeling'!$D:$D,'Attrition Modeling'!$C:$C,'IP Attrition'!$D97,'Attrition Modeling'!$B:$B,'IP Attrition'!AO$68),VLOOKUP($F97+AO$2,$A$6:$C$106,2,FALSE)*VLOOKUP(AO$1,'Attrition Modeling'!$L$15:$N$27,IF(AO$2+$F30&lt;=24,2,3),FALSE)),$C$3)*(1+Projection!AQ$16)*(1+IF(AO162&gt;0,'Attrition Modeling'!$N$9,0)))</f>
        <v>0</v>
      </c>
      <c r="AP97" s="799">
        <f>AO97*(1-IFERROR(IF(AP$69+$F97&lt;=12,SUMIFS('Attrition Modeling'!$D:$D,'Attrition Modeling'!$C:$C,'IP Attrition'!$D97,'Attrition Modeling'!$B:$B,'IP Attrition'!AP$68),VLOOKUP($F97+AP$2,$A$6:$C$106,2,FALSE)*VLOOKUP(AP$1,'Attrition Modeling'!$L$15:$N$27,IF(AP$2+$F30&lt;=24,2,3),FALSE)),$C$3)*(1+Projection!AR$16)*(1+IF(AP162&gt;0,'Attrition Modeling'!$N$9,0)))</f>
        <v>0</v>
      </c>
      <c r="AQ97" s="799">
        <f>AP97*(1-IFERROR(IF(AQ$69+$F97&lt;=12,SUMIFS('Attrition Modeling'!$D:$D,'Attrition Modeling'!$C:$C,'IP Attrition'!$D97,'Attrition Modeling'!$B:$B,'IP Attrition'!AQ$68),VLOOKUP($F97+AQ$2,$A$6:$C$106,2,FALSE)*VLOOKUP(AQ$1,'Attrition Modeling'!$L$15:$N$27,IF(AQ$2+$F30&lt;=24,2,3),FALSE)),$C$3)*(1+Projection!AS$16)*(1+IF(AQ162&gt;0,'Attrition Modeling'!$N$9,0)))</f>
        <v>0</v>
      </c>
      <c r="AR97" s="799">
        <f>AQ97*(1-IFERROR(IF(AR$69+$F97&lt;=12,SUMIFS('Attrition Modeling'!$D:$D,'Attrition Modeling'!$C:$C,'IP Attrition'!$D97,'Attrition Modeling'!$B:$B,'IP Attrition'!AR$68),VLOOKUP($F97+AR$2,$A$6:$C$106,2,FALSE)*VLOOKUP(AR$1,'Attrition Modeling'!$L$15:$N$27,IF(AR$2+$F30&lt;=24,2,3),FALSE)),$C$3)*(1+Projection!AT$16)*(1+IF(AR162&gt;0,'Attrition Modeling'!$N$9,0)))</f>
        <v>0</v>
      </c>
      <c r="AS97" s="799">
        <f>AR97*(1-IFERROR(IF(AS$69+$F97&lt;=12,SUMIFS('Attrition Modeling'!$D:$D,'Attrition Modeling'!$C:$C,'IP Attrition'!$D97,'Attrition Modeling'!$B:$B,'IP Attrition'!AS$68),VLOOKUP($F97+AS$2,$A$6:$C$106,2,FALSE)*VLOOKUP(AS$1,'Attrition Modeling'!$L$15:$N$27,IF(AS$2+$F30&lt;=24,2,3),FALSE)),$C$3)*(1+Projection!AU$16)*(1+IF(AS162&gt;0,'Attrition Modeling'!$N$9,0)))</f>
        <v>0</v>
      </c>
      <c r="AT97" s="799">
        <f>AS97*(1-IFERROR(IF(AT$69+$F97&lt;=12,SUMIFS('Attrition Modeling'!$D:$D,'Attrition Modeling'!$C:$C,'IP Attrition'!$D97,'Attrition Modeling'!$B:$B,'IP Attrition'!AT$68),VLOOKUP($F97+AT$2,$A$6:$C$106,2,FALSE)*VLOOKUP(AT$1,'Attrition Modeling'!$L$15:$N$27,IF(AT$2+$F30&lt;=24,2,3),FALSE)),$C$3)*(1+Projection!AV$16)*(1+IF(AT162&gt;0,'Attrition Modeling'!$N$9,0)))</f>
        <v>0</v>
      </c>
      <c r="AU97" s="799">
        <f>AT97*(1-IFERROR(IF(AU$69+$F97&lt;=12,SUMIFS('Attrition Modeling'!$D:$D,'Attrition Modeling'!$C:$C,'IP Attrition'!$D97,'Attrition Modeling'!$B:$B,'IP Attrition'!AU$68),VLOOKUP($F97+AU$2,$A$6:$C$106,2,FALSE)*VLOOKUP(AU$1,'Attrition Modeling'!$L$15:$N$27,IF(AU$2+$F30&lt;=24,2,3),FALSE)),$C$3)*(1+Projection!AW$16)*(1+IF(AU162&gt;0,'Attrition Modeling'!$N$9,0)))</f>
        <v>0</v>
      </c>
      <c r="AV97" s="799">
        <f>AU97*(1-IFERROR(IF(AV$69+$F97&lt;=12,SUMIFS('Attrition Modeling'!$D:$D,'Attrition Modeling'!$C:$C,'IP Attrition'!$D97,'Attrition Modeling'!$B:$B,'IP Attrition'!AV$68),VLOOKUP($F97+AV$2,$A$6:$C$106,2,FALSE)*VLOOKUP(AV$1,'Attrition Modeling'!$L$15:$N$27,IF(AV$2+$F30&lt;=24,2,3),FALSE)),$C$3)*(1+Projection!AX$16)*(1+IF(AV162&gt;0,'Attrition Modeling'!$N$9,0)))</f>
        <v>0</v>
      </c>
      <c r="AW97" s="799">
        <f>AV97*(1-IFERROR(IF(AW$69+$F97&lt;=12,SUMIFS('Attrition Modeling'!$D:$D,'Attrition Modeling'!$C:$C,'IP Attrition'!$D97,'Attrition Modeling'!$B:$B,'IP Attrition'!AW$68),VLOOKUP($F97+AW$2,$A$6:$C$106,2,FALSE)*VLOOKUP(AW$1,'Attrition Modeling'!$L$15:$N$27,IF(AW$2+$F30&lt;=24,2,3),FALSE)),$C$3)*(1+Projection!AY$16)*(1+IF(AW162&gt;0,'Attrition Modeling'!$N$9,0)))</f>
        <v>0</v>
      </c>
      <c r="AX97" s="799">
        <f>AW97*(1-IFERROR(IF(AX$69+$F97&lt;=12,SUMIFS('Attrition Modeling'!$D:$D,'Attrition Modeling'!$C:$C,'IP Attrition'!$D97,'Attrition Modeling'!$B:$B,'IP Attrition'!AX$68),VLOOKUP($F97+AX$2,$A$6:$C$106,2,FALSE)*VLOOKUP(AX$1,'Attrition Modeling'!$L$15:$N$27,IF(AX$2+$F30&lt;=24,2,3),FALSE)),$C$3)*(1+Projection!AZ$16)*(1+IF(AX162&gt;0,'Attrition Modeling'!$N$9,0)))</f>
        <v>0</v>
      </c>
      <c r="AY97" s="799">
        <f>AX97*(1-IFERROR(IF(AY$69+$F97&lt;=12,SUMIFS('Attrition Modeling'!$D:$D,'Attrition Modeling'!$C:$C,'IP Attrition'!$D97,'Attrition Modeling'!$B:$B,'IP Attrition'!AY$68),VLOOKUP($F97+AY$2,$A$6:$C$106,2,FALSE)*VLOOKUP(AY$1,'Attrition Modeling'!$L$15:$N$27,IF(AY$2+$F30&lt;=24,2,3),FALSE)),$C$3)*(1+Projection!BA$16)*(1+IF(AY162&gt;0,'Attrition Modeling'!$N$9,0)))</f>
        <v>0</v>
      </c>
      <c r="AZ97" s="799">
        <f>AY97*(1-IFERROR(IF(AZ$69+$F97&lt;=12,SUMIFS('Attrition Modeling'!$D:$D,'Attrition Modeling'!$C:$C,'IP Attrition'!$D97,'Attrition Modeling'!$B:$B,'IP Attrition'!AZ$68),VLOOKUP($F97+AZ$2,$A$6:$C$106,2,FALSE)*VLOOKUP(AZ$1,'Attrition Modeling'!$L$15:$N$27,IF(AZ$2+$F30&lt;=24,2,3),FALSE)),$C$3)*(1+Projection!BB$16)*(1+IF(AZ162&gt;0,'Attrition Modeling'!$N$9,0)))</f>
        <v>0</v>
      </c>
      <c r="BA97" s="799">
        <f>AZ97*(1-IFERROR(IF(BA$69+$F97&lt;=12,SUMIFS('Attrition Modeling'!$D:$D,'Attrition Modeling'!$C:$C,'IP Attrition'!$D97,'Attrition Modeling'!$B:$B,'IP Attrition'!BA$68),VLOOKUP($F97+BA$2,$A$6:$C$106,2,FALSE)*VLOOKUP(BA$1,'Attrition Modeling'!$L$15:$N$27,IF(BA$2+$F30&lt;=24,2,3),FALSE)),$C$3)*(1+Projection!BC$16)*(1+IF(BA162&gt;0,'Attrition Modeling'!$N$9,0)))</f>
        <v>0</v>
      </c>
      <c r="BB97" s="799">
        <f>BA97*(1-IFERROR(IF(BB$69+$F97&lt;=12,SUMIFS('Attrition Modeling'!$D:$D,'Attrition Modeling'!$C:$C,'IP Attrition'!$D97,'Attrition Modeling'!$B:$B,'IP Attrition'!BB$68),VLOOKUP($F97+BB$2,$A$6:$C$106,2,FALSE)*VLOOKUP(BB$1,'Attrition Modeling'!$L$15:$N$27,IF(BB$2+$F30&lt;=24,2,3),FALSE)),$C$3)*(1+Projection!BD$16)*(1+IF(BB162&gt;0,'Attrition Modeling'!$N$9,0)))</f>
        <v>0</v>
      </c>
      <c r="BC97" s="799">
        <f>BB97*(1-IFERROR(IF(BC$69+$F97&lt;=12,SUMIFS('Attrition Modeling'!$D:$D,'Attrition Modeling'!$C:$C,'IP Attrition'!$D97,'Attrition Modeling'!$B:$B,'IP Attrition'!BC$68),VLOOKUP($F97+BC$2,$A$6:$C$106,2,FALSE)*VLOOKUP(BC$1,'Attrition Modeling'!$L$15:$N$27,IF(BC$2+$F30&lt;=24,2,3),FALSE)),$C$3)*(1+Projection!BE$16)*(1+IF(BC162&gt;0,'Attrition Modeling'!$N$9,0)))</f>
        <v>0</v>
      </c>
      <c r="BD97" s="799">
        <f>BC97*(1-IFERROR(IF(BD$69+$F97&lt;=12,SUMIFS('Attrition Modeling'!$D:$D,'Attrition Modeling'!$C:$C,'IP Attrition'!$D97,'Attrition Modeling'!$B:$B,'IP Attrition'!BD$68),VLOOKUP($F97+BD$2,$A$6:$C$106,2,FALSE)*VLOOKUP(BD$1,'Attrition Modeling'!$L$15:$N$27,IF(BD$2+$F30&lt;=24,2,3),FALSE)),$C$3)*(1+Projection!BF$16)*(1+IF(BD162&gt;0,'Attrition Modeling'!$N$9,0)))</f>
        <v>0</v>
      </c>
      <c r="BE97" s="799">
        <f>BD97*(1-IFERROR(IF(BE$69+$F97&lt;=12,SUMIFS('Attrition Modeling'!$D:$D,'Attrition Modeling'!$C:$C,'IP Attrition'!$D97,'Attrition Modeling'!$B:$B,'IP Attrition'!BE$68),VLOOKUP($F97+BE$2,$A$6:$C$106,2,FALSE)*VLOOKUP(BE$1,'Attrition Modeling'!$L$15:$N$27,IF(BE$2+$F30&lt;=24,2,3),FALSE)),$C$3)*(1+Projection!BG$16)*(1+IF(BE162&gt;0,'Attrition Modeling'!$N$9,0)))</f>
        <v>0</v>
      </c>
      <c r="BF97" s="799">
        <f>BE97*(1-IFERROR(IF(BF$69+$F97&lt;=12,SUMIFS('Attrition Modeling'!$D:$D,'Attrition Modeling'!$C:$C,'IP Attrition'!$D97,'Attrition Modeling'!$B:$B,'IP Attrition'!BF$68),VLOOKUP($F97+BF$2,$A$6:$C$106,2,FALSE)*VLOOKUP(BF$1,'Attrition Modeling'!$L$15:$N$27,IF(BF$2+$F30&lt;=24,2,3),FALSE)),$C$3)*(1+Projection!BH$16)*(1+IF(BF162&gt;0,'Attrition Modeling'!$N$9,0)))</f>
        <v>0</v>
      </c>
      <c r="BG97" s="799">
        <f>BF97*(1-IFERROR(IF(BG$69+$F97&lt;=12,SUMIFS('Attrition Modeling'!$D:$D,'Attrition Modeling'!$C:$C,'IP Attrition'!$D97,'Attrition Modeling'!$B:$B,'IP Attrition'!BG$68),VLOOKUP($F97+BG$2,$A$6:$C$106,2,FALSE)*VLOOKUP(BG$1,'Attrition Modeling'!$L$15:$N$27,IF(BG$2+$F30&lt;=24,2,3),FALSE)),$C$3)*(1+Projection!BI$16)*(1+IF(BG162&gt;0,'Attrition Modeling'!$N$9,0)))</f>
        <v>0</v>
      </c>
      <c r="BH97" s="799">
        <f>BG97*(1-IFERROR(IF(BH$69+$F97&lt;=12,SUMIFS('Attrition Modeling'!$D:$D,'Attrition Modeling'!$C:$C,'IP Attrition'!$D97,'Attrition Modeling'!$B:$B,'IP Attrition'!BH$68),VLOOKUP($F97+BH$2,$A$6:$C$106,2,FALSE)*VLOOKUP(BH$1,'Attrition Modeling'!$L$15:$N$27,IF(BH$2+$F30&lt;=24,2,3),FALSE)),$C$3)*(1+Projection!BJ$16)*(1+IF(BH162&gt;0,'Attrition Modeling'!$N$9,0)))</f>
        <v>0</v>
      </c>
      <c r="BI97" s="799">
        <f>BH97*(1-IFERROR(IF(BI$69+$F97&lt;=12,SUMIFS('Attrition Modeling'!$D:$D,'Attrition Modeling'!$C:$C,'IP Attrition'!$D97,'Attrition Modeling'!$B:$B,'IP Attrition'!BI$68),VLOOKUP($F97+BI$2,$A$6:$C$106,2,FALSE)*VLOOKUP(BI$1,'Attrition Modeling'!$L$15:$N$27,IF(BI$2+$F30&lt;=24,2,3),FALSE)),$C$3)*(1+Projection!BK$16)*(1+IF(BI162&gt;0,'Attrition Modeling'!$N$9,0)))</f>
        <v>0</v>
      </c>
      <c r="BJ97" s="799">
        <f>BI97*(1-IFERROR(IF(BJ$69+$F97&lt;=12,SUMIFS('Attrition Modeling'!$D:$D,'Attrition Modeling'!$C:$C,'IP Attrition'!$D97,'Attrition Modeling'!$B:$B,'IP Attrition'!BJ$68),VLOOKUP($F97+BJ$2,$A$6:$C$106,2,FALSE)*VLOOKUP(BJ$1,'Attrition Modeling'!$L$15:$N$27,IF(BJ$2+$F30&lt;=24,2,3),FALSE)),$C$3)*(1+Projection!BL$16)*(1+IF(BJ162&gt;0,'Attrition Modeling'!$N$9,0)))</f>
        <v>0</v>
      </c>
      <c r="BK97" s="799">
        <f>BJ97*(1-IFERROR(IF(BK$69+$F97&lt;=12,SUMIFS('Attrition Modeling'!$D:$D,'Attrition Modeling'!$C:$C,'IP Attrition'!$D97,'Attrition Modeling'!$B:$B,'IP Attrition'!BK$68),VLOOKUP($F97+BK$2,$A$6:$C$106,2,FALSE)*VLOOKUP(BK$1,'Attrition Modeling'!$L$15:$N$27,IF(BK$2+$F30&lt;=24,2,3),FALSE)),$C$3)*(1+Projection!BM$16)*(1+IF(BK162&gt;0,'Attrition Modeling'!$N$9,0)))</f>
        <v>0</v>
      </c>
      <c r="BL97" s="799">
        <f>BK97*(1-IFERROR(IF(BL$69+$F97&lt;=12,SUMIFS('Attrition Modeling'!$D:$D,'Attrition Modeling'!$C:$C,'IP Attrition'!$D97,'Attrition Modeling'!$B:$B,'IP Attrition'!BL$68),VLOOKUP($F97+BL$2,$A$6:$C$106,2,FALSE)*VLOOKUP(BL$1,'Attrition Modeling'!$L$15:$N$27,IF(BL$2+$F30&lt;=24,2,3),FALSE)),$C$3)*(1+Projection!BN$16)*(1+IF(BL162&gt;0,'Attrition Modeling'!$N$9,0)))</f>
        <v>0</v>
      </c>
      <c r="BM97" s="799">
        <f>BL97*(1-IFERROR(IF(BM$69+$F97&lt;=12,SUMIFS('Attrition Modeling'!$D:$D,'Attrition Modeling'!$C:$C,'IP Attrition'!$D97,'Attrition Modeling'!$B:$B,'IP Attrition'!BM$68),VLOOKUP($F97+BM$2,$A$6:$C$106,2,FALSE)*VLOOKUP(BM$1,'Attrition Modeling'!$L$15:$N$27,IF(BM$2+$F30&lt;=24,2,3),FALSE)),$C$3)*(1+Projection!BO$16)*(1+IF(BM162&gt;0,'Attrition Modeling'!$N$9,0)))</f>
        <v>0</v>
      </c>
      <c r="BN97" s="799">
        <f>BM97*(1-IFERROR(IF(BN$69+$F97&lt;=12,SUMIFS('Attrition Modeling'!$D:$D,'Attrition Modeling'!$C:$C,'IP Attrition'!$D97,'Attrition Modeling'!$B:$B,'IP Attrition'!BN$68),VLOOKUP($F97+BN$2,$A$6:$C$106,2,FALSE)*VLOOKUP(BN$1,'Attrition Modeling'!$L$15:$N$27,IF(BN$2+$F30&lt;=24,2,3),FALSE)),$C$3)*(1+Projection!BP$16)*(1+IF(BN162&gt;0,'Attrition Modeling'!$N$9,0)))</f>
        <v>0</v>
      </c>
      <c r="BO97" s="799">
        <f>BN97*(1-IFERROR(IF(BO$69+$F97&lt;=12,SUMIFS('Attrition Modeling'!$D:$D,'Attrition Modeling'!$C:$C,'IP Attrition'!$D97,'Attrition Modeling'!$B:$B,'IP Attrition'!BO$68),VLOOKUP($F97+BO$2,$A$6:$C$106,2,FALSE)*VLOOKUP(BO$1,'Attrition Modeling'!$L$15:$N$27,IF(BO$2+$F30&lt;=24,2,3),FALSE)),$C$3)*(1+Projection!BV$16)*(1+IF(BO162&gt;0,'Attrition Modeling'!$N$9,0)))</f>
        <v>0</v>
      </c>
      <c r="BP97" s="799">
        <f>BO97*(1-IFERROR(IF(BP$69+$F97&lt;=12,SUMIFS('Attrition Modeling'!$D:$D,'Attrition Modeling'!$C:$C,'IP Attrition'!$D97,'Attrition Modeling'!$B:$B,'IP Attrition'!BP$68),VLOOKUP($F97+BP$2,$A$6:$C$106,2,FALSE)*VLOOKUP(BP$1,'Attrition Modeling'!$L$15:$N$27,IF(BP$2+$F30&lt;=24,2,3),FALSE)),$C$3)*(1+Projection!BW$16)*(1+IF(BP162&gt;0,'Attrition Modeling'!$N$9,0)))</f>
        <v>0</v>
      </c>
      <c r="BQ97" s="799">
        <f>BP97*(1-IFERROR(IF(BQ$69+$F97&lt;=12,SUMIFS('Attrition Modeling'!$D:$D,'Attrition Modeling'!$C:$C,'IP Attrition'!$D97,'Attrition Modeling'!$B:$B,'IP Attrition'!BQ$68),VLOOKUP($F97+BQ$2,$A$6:$C$106,2,FALSE)*VLOOKUP(BQ$1,'Attrition Modeling'!$L$15:$N$27,IF(BQ$2+$F30&lt;=24,2,3),FALSE)),$C$3)*(1+Projection!BX$16)*(1+IF(BQ162&gt;0,'Attrition Modeling'!$N$9,0)))</f>
        <v>0</v>
      </c>
      <c r="BR97" s="799">
        <f>BQ97*(1-IFERROR(IF(BR$69+$F97&lt;=12,SUMIFS('Attrition Modeling'!$D:$D,'Attrition Modeling'!$C:$C,'IP Attrition'!$D97,'Attrition Modeling'!$B:$B,'IP Attrition'!BR$68),VLOOKUP($F97+BR$2,$A$6:$C$106,2,FALSE)*VLOOKUP(BR$1,'Attrition Modeling'!$L$15:$N$27,IF(BR$2+$F30&lt;=24,2,3),FALSE)),$C$3)*(1+Projection!BY$16)*(1+IF(BR162&gt;0,'Attrition Modeling'!$N$9,0)))</f>
        <v>0</v>
      </c>
      <c r="BS97" s="799">
        <f>BR97*(1-IFERROR(IF(BS$69+$F97&lt;=12,SUMIFS('Attrition Modeling'!$D:$D,'Attrition Modeling'!$C:$C,'IP Attrition'!$D97,'Attrition Modeling'!$B:$B,'IP Attrition'!BS$68),VLOOKUP($F97+BS$2,$A$6:$C$106,2,FALSE)*VLOOKUP(BS$1,'Attrition Modeling'!$L$15:$N$27,IF(BS$2+$F30&lt;=24,2,3),FALSE)),$C$3)*(1+Projection!BZ$16)*(1+IF(BS162&gt;0,'Attrition Modeling'!$N$9,0)))</f>
        <v>0</v>
      </c>
      <c r="BT97" s="799" t="e">
        <f>BS97*(1-IFERROR(IF(BT$69+$F97&lt;=12,SUMIFS('Attrition Modeling'!$D:$D,'Attrition Modeling'!$C:$C,'IP Attrition'!$D97,'Attrition Modeling'!$B:$B,'IP Attrition'!BT$68),VLOOKUP($F97+BT$2,$A$6:$C$106,2,FALSE)*VLOOKUP(BT$1,'Attrition Modeling'!$L$15:$N$27,IF(BT$2+$F30&lt;=24,2,3),FALSE)),$C$3)*(1+Projection!CA$16)*(1+IF(BT162&gt;0,'Attrition Modeling'!$N$9,0)))</f>
        <v>#REF!</v>
      </c>
      <c r="BU97" s="799" t="e">
        <f>BT97*(1-IFERROR(IF(BU$69+$F97&lt;=12,SUMIFS('Attrition Modeling'!$D:$D,'Attrition Modeling'!$C:$C,'IP Attrition'!$D97,'Attrition Modeling'!$B:$B,'IP Attrition'!BU$68),VLOOKUP($F97+BU$2,$A$6:$C$106,2,FALSE)*VLOOKUP(BU$1,'Attrition Modeling'!$L$15:$N$27,IF(BU$2+$F30&lt;=24,2,3),FALSE)),$C$3)*(1+Projection!CB$16)*(1+IF(BU162&gt;0,'Attrition Modeling'!$N$9,0)))</f>
        <v>#REF!</v>
      </c>
    </row>
    <row r="98" spans="1:73" ht="14.25" customHeight="1" x14ac:dyDescent="0.2">
      <c r="A98" s="9">
        <v>91</v>
      </c>
      <c r="B98" s="25">
        <f>MAX('Attrition Modeling'!H95,$C$3)*(1-Summary!$C$20)</f>
        <v>0.02</v>
      </c>
      <c r="C98" s="24" t="e">
        <f t="shared" si="3"/>
        <v>#DIV/0!</v>
      </c>
      <c r="D98" s="11">
        <f t="shared" ref="D98:E98" si="36">D31</f>
        <v>-28</v>
      </c>
      <c r="E98" s="25">
        <f t="shared" si="36"/>
        <v>0</v>
      </c>
      <c r="F98" s="11">
        <f t="shared" si="9"/>
        <v>28</v>
      </c>
      <c r="G98" s="799">
        <f>Summary!$C$24*$E98</f>
        <v>0</v>
      </c>
      <c r="H98" s="799">
        <f>G98*(1-IFERROR(IF(H$69+$F98&lt;=12,SUMIFS('Attrition Modeling'!$D:$D,'Attrition Modeling'!$C:$C,'IP Attrition'!$D98,'Attrition Modeling'!$B:$B,'IP Attrition'!H$68),VLOOKUP($F98+H$2,$A$6:$C$106,2,FALSE)*VLOOKUP(H$1,'Attrition Modeling'!$L$15:$N$27,IF(H$2+$F31&lt;=24,2,3),FALSE)),$C$3)*(1+Projection!J$16)*(1+IF(H163&gt;0,'Attrition Modeling'!$N$9,0)))</f>
        <v>0</v>
      </c>
      <c r="I98" s="799">
        <f>H98*(1-IFERROR(IF(I$69+$F98&lt;=12,SUMIFS('Attrition Modeling'!$D:$D,'Attrition Modeling'!$C:$C,'IP Attrition'!$D98,'Attrition Modeling'!$B:$B,'IP Attrition'!I$68),VLOOKUP($F98+I$2,$A$6:$C$106,2,FALSE)*VLOOKUP(I$1,'Attrition Modeling'!$L$15:$N$27,IF(I$2+$F31&lt;=24,2,3),FALSE)),$C$3)*(1+Projection!K$16)*(1+IF(I163&gt;0,'Attrition Modeling'!$N$9,0)))</f>
        <v>0</v>
      </c>
      <c r="J98" s="799">
        <f>I98*(1-IFERROR(IF(J$69+$F98&lt;=12,SUMIFS('Attrition Modeling'!$D:$D,'Attrition Modeling'!$C:$C,'IP Attrition'!$D98,'Attrition Modeling'!$B:$B,'IP Attrition'!J$68),VLOOKUP($F98+J$2,$A$6:$C$106,2,FALSE)*VLOOKUP(J$1,'Attrition Modeling'!$L$15:$N$27,IF(J$2+$F31&lt;=24,2,3),FALSE)),$C$3)*(1+Projection!L$16)*(1+IF(J163&gt;0,'Attrition Modeling'!$N$9,0)))</f>
        <v>0</v>
      </c>
      <c r="K98" s="799">
        <f>J98*(1-IFERROR(IF(K$69+$F98&lt;=12,SUMIFS('Attrition Modeling'!$D:$D,'Attrition Modeling'!$C:$C,'IP Attrition'!$D98,'Attrition Modeling'!$B:$B,'IP Attrition'!K$68),VLOOKUP($F98+K$2,$A$6:$C$106,2,FALSE)*VLOOKUP(K$1,'Attrition Modeling'!$L$15:$N$27,IF(K$2+$F31&lt;=24,2,3),FALSE)),$C$3)*(1+Projection!M$16)*(1+IF(K163&gt;0,'Attrition Modeling'!$N$9,0)))</f>
        <v>0</v>
      </c>
      <c r="L98" s="799">
        <f>K98*(1-IFERROR(IF(L$69+$F98&lt;=12,SUMIFS('Attrition Modeling'!$D:$D,'Attrition Modeling'!$C:$C,'IP Attrition'!$D98,'Attrition Modeling'!$B:$B,'IP Attrition'!L$68),VLOOKUP($F98+L$2,$A$6:$C$106,2,FALSE)*VLOOKUP(L$1,'Attrition Modeling'!$L$15:$N$27,IF(L$2+$F31&lt;=24,2,3),FALSE)),$C$3)*(1+Projection!N$16)*(1+IF(L163&gt;0,'Attrition Modeling'!$N$9,0)))</f>
        <v>0</v>
      </c>
      <c r="M98" s="799">
        <f>L98*(1-IFERROR(IF(M$69+$F98&lt;=12,SUMIFS('Attrition Modeling'!$D:$D,'Attrition Modeling'!$C:$C,'IP Attrition'!$D98,'Attrition Modeling'!$B:$B,'IP Attrition'!M$68),VLOOKUP($F98+M$2,$A$6:$C$106,2,FALSE)*VLOOKUP(M$1,'Attrition Modeling'!$L$15:$N$27,IF(M$2+$F31&lt;=24,2,3),FALSE)),$C$3)*(1+Projection!O$16)*(1+IF(M163&gt;0,'Attrition Modeling'!$N$9,0)))</f>
        <v>0</v>
      </c>
      <c r="N98" s="799">
        <f>M98*(1-IFERROR(IF(N$69+$F98&lt;=12,SUMIFS('Attrition Modeling'!$D:$D,'Attrition Modeling'!$C:$C,'IP Attrition'!$D98,'Attrition Modeling'!$B:$B,'IP Attrition'!N$68),VLOOKUP($F98+N$2,$A$6:$C$106,2,FALSE)*VLOOKUP(N$1,'Attrition Modeling'!$L$15:$N$27,IF(N$2+$F31&lt;=24,2,3),FALSE)),$C$3)*(1+Projection!P$16)*(1+IF(N163&gt;0,'Attrition Modeling'!$N$9,0)))</f>
        <v>0</v>
      </c>
      <c r="O98" s="799">
        <f>N98*(1-IFERROR(IF(O$69+$F98&lt;=12,SUMIFS('Attrition Modeling'!$D:$D,'Attrition Modeling'!$C:$C,'IP Attrition'!$D98,'Attrition Modeling'!$B:$B,'IP Attrition'!O$68),VLOOKUP($F98+O$2,$A$6:$C$106,2,FALSE)*VLOOKUP(O$1,'Attrition Modeling'!$L$15:$N$27,IF(O$2+$F31&lt;=24,2,3),FALSE)),$C$3)*(1+Projection!Q$16)*(1+IF(O163&gt;0,'Attrition Modeling'!$N$9,0)))</f>
        <v>0</v>
      </c>
      <c r="P98" s="799">
        <f>O98*(1-IFERROR(IF(P$69+$F98&lt;=12,SUMIFS('Attrition Modeling'!$D:$D,'Attrition Modeling'!$C:$C,'IP Attrition'!$D98,'Attrition Modeling'!$B:$B,'IP Attrition'!P$68),VLOOKUP($F98+P$2,$A$6:$C$106,2,FALSE)*VLOOKUP(P$1,'Attrition Modeling'!$L$15:$N$27,IF(P$2+$F31&lt;=24,2,3),FALSE)),$C$3)*(1+Projection!R$16)*(1+IF(P163&gt;0,'Attrition Modeling'!$N$9,0)))</f>
        <v>0</v>
      </c>
      <c r="Q98" s="799">
        <f>P98*(1-IFERROR(IF(Q$69+$F98&lt;=12,SUMIFS('Attrition Modeling'!$D:$D,'Attrition Modeling'!$C:$C,'IP Attrition'!$D98,'Attrition Modeling'!$B:$B,'IP Attrition'!Q$68),VLOOKUP($F98+Q$2,$A$6:$C$106,2,FALSE)*VLOOKUP(Q$1,'Attrition Modeling'!$L$15:$N$27,IF(Q$2+$F31&lt;=24,2,3),FALSE)),$C$3)*(1+Projection!S$16)*(1+IF(Q163&gt;0,'Attrition Modeling'!$N$9,0)))</f>
        <v>0</v>
      </c>
      <c r="R98" s="799">
        <f>Q98*(1-IFERROR(IF(R$69+$F98&lt;=12,SUMIFS('Attrition Modeling'!$D:$D,'Attrition Modeling'!$C:$C,'IP Attrition'!$D98,'Attrition Modeling'!$B:$B,'IP Attrition'!R$68),VLOOKUP($F98+R$2,$A$6:$C$106,2,FALSE)*VLOOKUP(R$1,'Attrition Modeling'!$L$15:$N$27,IF(R$2+$F31&lt;=24,2,3),FALSE)),$C$3)*(1+Projection!T$16)*(1+IF(R163&gt;0,'Attrition Modeling'!$N$9,0)))</f>
        <v>0</v>
      </c>
      <c r="S98" s="799">
        <f>R98*(1-IFERROR(IF(S$69+$F98&lt;=12,SUMIFS('Attrition Modeling'!$D:$D,'Attrition Modeling'!$C:$C,'IP Attrition'!$D98,'Attrition Modeling'!$B:$B,'IP Attrition'!S$68),VLOOKUP($F98+S$2,$A$6:$C$106,2,FALSE)*VLOOKUP(S$1,'Attrition Modeling'!$L$15:$N$27,IF(S$2+$F31&lt;=24,2,3),FALSE)),$C$3)*(1+Projection!U$16)*(1+IF(S163&gt;0,'Attrition Modeling'!$N$9,0)))</f>
        <v>0</v>
      </c>
      <c r="T98" s="799">
        <f>S98*(1-IFERROR(IF(T$69+$F98&lt;=12,SUMIFS('Attrition Modeling'!$D:$D,'Attrition Modeling'!$C:$C,'IP Attrition'!$D98,'Attrition Modeling'!$B:$B,'IP Attrition'!T$68),VLOOKUP($F98+T$2,$A$6:$C$106,2,FALSE)*VLOOKUP(T$1,'Attrition Modeling'!$L$15:$N$27,IF(T$2+$F31&lt;=24,2,3),FALSE)),$C$3)*(1+Projection!V$16)*(1+IF(T163&gt;0,'Attrition Modeling'!$N$9,0)))</f>
        <v>0</v>
      </c>
      <c r="U98" s="799">
        <f>T98*(1-IFERROR(IF(U$69+$F98&lt;=12,SUMIFS('Attrition Modeling'!$D:$D,'Attrition Modeling'!$C:$C,'IP Attrition'!$D98,'Attrition Modeling'!$B:$B,'IP Attrition'!U$68),VLOOKUP($F98+U$2,$A$6:$C$106,2,FALSE)*VLOOKUP(U$1,'Attrition Modeling'!$L$15:$N$27,IF(U$2+$F31&lt;=24,2,3),FALSE)),$C$3)*(1+Projection!W$16)*(1+IF(U163&gt;0,'Attrition Modeling'!$N$9,0)))</f>
        <v>0</v>
      </c>
      <c r="V98" s="799">
        <f>U98*(1-IFERROR(IF(V$69+$F98&lt;=12,SUMIFS('Attrition Modeling'!$D:$D,'Attrition Modeling'!$C:$C,'IP Attrition'!$D98,'Attrition Modeling'!$B:$B,'IP Attrition'!V$68),VLOOKUP($F98+V$2,$A$6:$C$106,2,FALSE)*VLOOKUP(V$1,'Attrition Modeling'!$L$15:$N$27,IF(V$2+$F31&lt;=24,2,3),FALSE)),$C$3)*(1+Projection!X$16)*(1+IF(V163&gt;0,'Attrition Modeling'!$N$9,0)))</f>
        <v>0</v>
      </c>
      <c r="W98" s="799">
        <f>V98*(1-IFERROR(IF(W$69+$F98&lt;=12,SUMIFS('Attrition Modeling'!$D:$D,'Attrition Modeling'!$C:$C,'IP Attrition'!$D98,'Attrition Modeling'!$B:$B,'IP Attrition'!W$68),VLOOKUP($F98+W$2,$A$6:$C$106,2,FALSE)*VLOOKUP(W$1,'Attrition Modeling'!$L$15:$N$27,IF(W$2+$F31&lt;=24,2,3),FALSE)),$C$3)*(1+Projection!Y$16)*(1+IF(W163&gt;0,'Attrition Modeling'!$N$9,0)))</f>
        <v>0</v>
      </c>
      <c r="X98" s="799">
        <f>W98*(1-IFERROR(IF(X$69+$F98&lt;=12,SUMIFS('Attrition Modeling'!$D:$D,'Attrition Modeling'!$C:$C,'IP Attrition'!$D98,'Attrition Modeling'!$B:$B,'IP Attrition'!X$68),VLOOKUP($F98+X$2,$A$6:$C$106,2,FALSE)*VLOOKUP(X$1,'Attrition Modeling'!$L$15:$N$27,IF(X$2+$F31&lt;=24,2,3),FALSE)),$C$3)*(1+Projection!Z$16)*(1+IF(X163&gt;0,'Attrition Modeling'!$N$9,0)))</f>
        <v>0</v>
      </c>
      <c r="Y98" s="799">
        <f>X98*(1-IFERROR(IF(Y$69+$F98&lt;=12,SUMIFS('Attrition Modeling'!$D:$D,'Attrition Modeling'!$C:$C,'IP Attrition'!$D98,'Attrition Modeling'!$B:$B,'IP Attrition'!Y$68),VLOOKUP($F98+Y$2,$A$6:$C$106,2,FALSE)*VLOOKUP(Y$1,'Attrition Modeling'!$L$15:$N$27,IF(Y$2+$F31&lt;=24,2,3),FALSE)),$C$3)*(1+Projection!AA$16)*(1+IF(Y163&gt;0,'Attrition Modeling'!$N$9,0)))</f>
        <v>0</v>
      </c>
      <c r="Z98" s="799">
        <f>Y98*(1-IFERROR(IF(Z$69+$F98&lt;=12,SUMIFS('Attrition Modeling'!$D:$D,'Attrition Modeling'!$C:$C,'IP Attrition'!$D98,'Attrition Modeling'!$B:$B,'IP Attrition'!Z$68),VLOOKUP($F98+Z$2,$A$6:$C$106,2,FALSE)*VLOOKUP(Z$1,'Attrition Modeling'!$L$15:$N$27,IF(Z$2+$F31&lt;=24,2,3),FALSE)),$C$3)*(1+Projection!AB$16)*(1+IF(Z163&gt;0,'Attrition Modeling'!$N$9,0)))</f>
        <v>0</v>
      </c>
      <c r="AA98" s="799">
        <f>Z98*(1-IFERROR(IF(AA$69+$F98&lt;=12,SUMIFS('Attrition Modeling'!$D:$D,'Attrition Modeling'!$C:$C,'IP Attrition'!$D98,'Attrition Modeling'!$B:$B,'IP Attrition'!AA$68),VLOOKUP($F98+AA$2,$A$6:$C$106,2,FALSE)*VLOOKUP(AA$1,'Attrition Modeling'!$L$15:$N$27,IF(AA$2+$F31&lt;=24,2,3),FALSE)),$C$3)*(1+Projection!AC$16)*(1+IF(AA163&gt;0,'Attrition Modeling'!$N$9,0)))</f>
        <v>0</v>
      </c>
      <c r="AB98" s="799">
        <f>AA98*(1-IFERROR(IF(AB$69+$F98&lt;=12,SUMIFS('Attrition Modeling'!$D:$D,'Attrition Modeling'!$C:$C,'IP Attrition'!$D98,'Attrition Modeling'!$B:$B,'IP Attrition'!AB$68),VLOOKUP($F98+AB$2,$A$6:$C$106,2,FALSE)*VLOOKUP(AB$1,'Attrition Modeling'!$L$15:$N$27,IF(AB$2+$F31&lt;=24,2,3),FALSE)),$C$3)*(1+Projection!AD$16)*(1+IF(AB163&gt;0,'Attrition Modeling'!$N$9,0)))</f>
        <v>0</v>
      </c>
      <c r="AC98" s="799">
        <f>AB98*(1-IFERROR(IF(AC$69+$F98&lt;=12,SUMIFS('Attrition Modeling'!$D:$D,'Attrition Modeling'!$C:$C,'IP Attrition'!$D98,'Attrition Modeling'!$B:$B,'IP Attrition'!AC$68),VLOOKUP($F98+AC$2,$A$6:$C$106,2,FALSE)*VLOOKUP(AC$1,'Attrition Modeling'!$L$15:$N$27,IF(AC$2+$F31&lt;=24,2,3),FALSE)),$C$3)*(1+Projection!AE$16)*(1+IF(AC163&gt;0,'Attrition Modeling'!$N$9,0)))</f>
        <v>0</v>
      </c>
      <c r="AD98" s="799">
        <f>AC98*(1-IFERROR(IF(AD$69+$F98&lt;=12,SUMIFS('Attrition Modeling'!$D:$D,'Attrition Modeling'!$C:$C,'IP Attrition'!$D98,'Attrition Modeling'!$B:$B,'IP Attrition'!AD$68),VLOOKUP($F98+AD$2,$A$6:$C$106,2,FALSE)*VLOOKUP(AD$1,'Attrition Modeling'!$L$15:$N$27,IF(AD$2+$F31&lt;=24,2,3),FALSE)),$C$3)*(1+Projection!AF$16)*(1+IF(AD163&gt;0,'Attrition Modeling'!$N$9,0)))</f>
        <v>0</v>
      </c>
      <c r="AE98" s="799">
        <f>AD98*(1-IFERROR(IF(AE$69+$F98&lt;=12,SUMIFS('Attrition Modeling'!$D:$D,'Attrition Modeling'!$C:$C,'IP Attrition'!$D98,'Attrition Modeling'!$B:$B,'IP Attrition'!AE$68),VLOOKUP($F98+AE$2,$A$6:$C$106,2,FALSE)*VLOOKUP(AE$1,'Attrition Modeling'!$L$15:$N$27,IF(AE$2+$F31&lt;=24,2,3),FALSE)),$C$3)*(1+Projection!AG$16)*(1+IF(AE163&gt;0,'Attrition Modeling'!$N$9,0)))</f>
        <v>0</v>
      </c>
      <c r="AF98" s="799">
        <f>AE98*(1-IFERROR(IF(AF$69+$F98&lt;=12,SUMIFS('Attrition Modeling'!$D:$D,'Attrition Modeling'!$C:$C,'IP Attrition'!$D98,'Attrition Modeling'!$B:$B,'IP Attrition'!AF$68),VLOOKUP($F98+AF$2,$A$6:$C$106,2,FALSE)*VLOOKUP(AF$1,'Attrition Modeling'!$L$15:$N$27,IF(AF$2+$F31&lt;=24,2,3),FALSE)),$C$3)*(1+Projection!AH$16)*(1+IF(AF163&gt;0,'Attrition Modeling'!$N$9,0)))</f>
        <v>0</v>
      </c>
      <c r="AG98" s="799">
        <f>AF98*(1-IFERROR(IF(AG$69+$F98&lt;=12,SUMIFS('Attrition Modeling'!$D:$D,'Attrition Modeling'!$C:$C,'IP Attrition'!$D98,'Attrition Modeling'!$B:$B,'IP Attrition'!AG$68),VLOOKUP($F98+AG$2,$A$6:$C$106,2,FALSE)*VLOOKUP(AG$1,'Attrition Modeling'!$L$15:$N$27,IF(AG$2+$F31&lt;=24,2,3),FALSE)),$C$3)*(1+Projection!AI$16)*(1+IF(AG163&gt;0,'Attrition Modeling'!$N$9,0)))</f>
        <v>0</v>
      </c>
      <c r="AH98" s="799">
        <f>AG98*(1-IFERROR(IF(AH$69+$F98&lt;=12,SUMIFS('Attrition Modeling'!$D:$D,'Attrition Modeling'!$C:$C,'IP Attrition'!$D98,'Attrition Modeling'!$B:$B,'IP Attrition'!AH$68),VLOOKUP($F98+AH$2,$A$6:$C$106,2,FALSE)*VLOOKUP(AH$1,'Attrition Modeling'!$L$15:$N$27,IF(AH$2+$F31&lt;=24,2,3),FALSE)),$C$3)*(1+Projection!AJ$16)*(1+IF(AH163&gt;0,'Attrition Modeling'!$N$9,0)))</f>
        <v>0</v>
      </c>
      <c r="AI98" s="799">
        <f>AH98*(1-IFERROR(IF(AI$69+$F98&lt;=12,SUMIFS('Attrition Modeling'!$D:$D,'Attrition Modeling'!$C:$C,'IP Attrition'!$D98,'Attrition Modeling'!$B:$B,'IP Attrition'!AI$68),VLOOKUP($F98+AI$2,$A$6:$C$106,2,FALSE)*VLOOKUP(AI$1,'Attrition Modeling'!$L$15:$N$27,IF(AI$2+$F31&lt;=24,2,3),FALSE)),$C$3)*(1+Projection!AK$16)*(1+IF(AI163&gt;0,'Attrition Modeling'!$N$9,0)))</f>
        <v>0</v>
      </c>
      <c r="AJ98" s="799">
        <f>AI98*(1-IFERROR(IF(AJ$69+$F98&lt;=12,SUMIFS('Attrition Modeling'!$D:$D,'Attrition Modeling'!$C:$C,'IP Attrition'!$D98,'Attrition Modeling'!$B:$B,'IP Attrition'!AJ$68),VLOOKUP($F98+AJ$2,$A$6:$C$106,2,FALSE)*VLOOKUP(AJ$1,'Attrition Modeling'!$L$15:$N$27,IF(AJ$2+$F31&lt;=24,2,3),FALSE)),$C$3)*(1+Projection!AL$16)*(1+IF(AJ163&gt;0,'Attrition Modeling'!$N$9,0)))</f>
        <v>0</v>
      </c>
      <c r="AK98" s="799">
        <f>AJ98*(1-IFERROR(IF(AK$69+$F98&lt;=12,SUMIFS('Attrition Modeling'!$D:$D,'Attrition Modeling'!$C:$C,'IP Attrition'!$D98,'Attrition Modeling'!$B:$B,'IP Attrition'!AK$68),VLOOKUP($F98+AK$2,$A$6:$C$106,2,FALSE)*VLOOKUP(AK$1,'Attrition Modeling'!$L$15:$N$27,IF(AK$2+$F31&lt;=24,2,3),FALSE)),$C$3)*(1+Projection!AM$16)*(1+IF(AK163&gt;0,'Attrition Modeling'!$N$9,0)))</f>
        <v>0</v>
      </c>
      <c r="AL98" s="799">
        <f>AK98*(1-IFERROR(IF(AL$69+$F98&lt;=12,SUMIFS('Attrition Modeling'!$D:$D,'Attrition Modeling'!$C:$C,'IP Attrition'!$D98,'Attrition Modeling'!$B:$B,'IP Attrition'!AL$68),VLOOKUP($F98+AL$2,$A$6:$C$106,2,FALSE)*VLOOKUP(AL$1,'Attrition Modeling'!$L$15:$N$27,IF(AL$2+$F31&lt;=24,2,3),FALSE)),$C$3)*(1+Projection!AN$16)*(1+IF(AL163&gt;0,'Attrition Modeling'!$N$9,0)))</f>
        <v>0</v>
      </c>
      <c r="AM98" s="799">
        <f>AL98*(1-IFERROR(IF(AM$69+$F98&lt;=12,SUMIFS('Attrition Modeling'!$D:$D,'Attrition Modeling'!$C:$C,'IP Attrition'!$D98,'Attrition Modeling'!$B:$B,'IP Attrition'!AM$68),VLOOKUP($F98+AM$2,$A$6:$C$106,2,FALSE)*VLOOKUP(AM$1,'Attrition Modeling'!$L$15:$N$27,IF(AM$2+$F31&lt;=24,2,3),FALSE)),$C$3)*(1+Projection!AO$16)*(1+IF(AM163&gt;0,'Attrition Modeling'!$N$9,0)))</f>
        <v>0</v>
      </c>
      <c r="AN98" s="799">
        <f>AM98*(1-IFERROR(IF(AN$69+$F98&lt;=12,SUMIFS('Attrition Modeling'!$D:$D,'Attrition Modeling'!$C:$C,'IP Attrition'!$D98,'Attrition Modeling'!$B:$B,'IP Attrition'!AN$68),VLOOKUP($F98+AN$2,$A$6:$C$106,2,FALSE)*VLOOKUP(AN$1,'Attrition Modeling'!$L$15:$N$27,IF(AN$2+$F31&lt;=24,2,3),FALSE)),$C$3)*(1+Projection!AP$16)*(1+IF(AN163&gt;0,'Attrition Modeling'!$N$9,0)))</f>
        <v>0</v>
      </c>
      <c r="AO98" s="799">
        <f>AN98*(1-IFERROR(IF(AO$69+$F98&lt;=12,SUMIFS('Attrition Modeling'!$D:$D,'Attrition Modeling'!$C:$C,'IP Attrition'!$D98,'Attrition Modeling'!$B:$B,'IP Attrition'!AO$68),VLOOKUP($F98+AO$2,$A$6:$C$106,2,FALSE)*VLOOKUP(AO$1,'Attrition Modeling'!$L$15:$N$27,IF(AO$2+$F31&lt;=24,2,3),FALSE)),$C$3)*(1+Projection!AQ$16)*(1+IF(AO163&gt;0,'Attrition Modeling'!$N$9,0)))</f>
        <v>0</v>
      </c>
      <c r="AP98" s="799">
        <f>AO98*(1-IFERROR(IF(AP$69+$F98&lt;=12,SUMIFS('Attrition Modeling'!$D:$D,'Attrition Modeling'!$C:$C,'IP Attrition'!$D98,'Attrition Modeling'!$B:$B,'IP Attrition'!AP$68),VLOOKUP($F98+AP$2,$A$6:$C$106,2,FALSE)*VLOOKUP(AP$1,'Attrition Modeling'!$L$15:$N$27,IF(AP$2+$F31&lt;=24,2,3),FALSE)),$C$3)*(1+Projection!AR$16)*(1+IF(AP163&gt;0,'Attrition Modeling'!$N$9,0)))</f>
        <v>0</v>
      </c>
      <c r="AQ98" s="799">
        <f>AP98*(1-IFERROR(IF(AQ$69+$F98&lt;=12,SUMIFS('Attrition Modeling'!$D:$D,'Attrition Modeling'!$C:$C,'IP Attrition'!$D98,'Attrition Modeling'!$B:$B,'IP Attrition'!AQ$68),VLOOKUP($F98+AQ$2,$A$6:$C$106,2,FALSE)*VLOOKUP(AQ$1,'Attrition Modeling'!$L$15:$N$27,IF(AQ$2+$F31&lt;=24,2,3),FALSE)),$C$3)*(1+Projection!AS$16)*(1+IF(AQ163&gt;0,'Attrition Modeling'!$N$9,0)))</f>
        <v>0</v>
      </c>
      <c r="AR98" s="799">
        <f>AQ98*(1-IFERROR(IF(AR$69+$F98&lt;=12,SUMIFS('Attrition Modeling'!$D:$D,'Attrition Modeling'!$C:$C,'IP Attrition'!$D98,'Attrition Modeling'!$B:$B,'IP Attrition'!AR$68),VLOOKUP($F98+AR$2,$A$6:$C$106,2,FALSE)*VLOOKUP(AR$1,'Attrition Modeling'!$L$15:$N$27,IF(AR$2+$F31&lt;=24,2,3),FALSE)),$C$3)*(1+Projection!AT$16)*(1+IF(AR163&gt;0,'Attrition Modeling'!$N$9,0)))</f>
        <v>0</v>
      </c>
      <c r="AS98" s="799">
        <f>AR98*(1-IFERROR(IF(AS$69+$F98&lt;=12,SUMIFS('Attrition Modeling'!$D:$D,'Attrition Modeling'!$C:$C,'IP Attrition'!$D98,'Attrition Modeling'!$B:$B,'IP Attrition'!AS$68),VLOOKUP($F98+AS$2,$A$6:$C$106,2,FALSE)*VLOOKUP(AS$1,'Attrition Modeling'!$L$15:$N$27,IF(AS$2+$F31&lt;=24,2,3),FALSE)),$C$3)*(1+Projection!AU$16)*(1+IF(AS163&gt;0,'Attrition Modeling'!$N$9,0)))</f>
        <v>0</v>
      </c>
      <c r="AT98" s="799">
        <f>AS98*(1-IFERROR(IF(AT$69+$F98&lt;=12,SUMIFS('Attrition Modeling'!$D:$D,'Attrition Modeling'!$C:$C,'IP Attrition'!$D98,'Attrition Modeling'!$B:$B,'IP Attrition'!AT$68),VLOOKUP($F98+AT$2,$A$6:$C$106,2,FALSE)*VLOOKUP(AT$1,'Attrition Modeling'!$L$15:$N$27,IF(AT$2+$F31&lt;=24,2,3),FALSE)),$C$3)*(1+Projection!AV$16)*(1+IF(AT163&gt;0,'Attrition Modeling'!$N$9,0)))</f>
        <v>0</v>
      </c>
      <c r="AU98" s="799">
        <f>AT98*(1-IFERROR(IF(AU$69+$F98&lt;=12,SUMIFS('Attrition Modeling'!$D:$D,'Attrition Modeling'!$C:$C,'IP Attrition'!$D98,'Attrition Modeling'!$B:$B,'IP Attrition'!AU$68),VLOOKUP($F98+AU$2,$A$6:$C$106,2,FALSE)*VLOOKUP(AU$1,'Attrition Modeling'!$L$15:$N$27,IF(AU$2+$F31&lt;=24,2,3),FALSE)),$C$3)*(1+Projection!AW$16)*(1+IF(AU163&gt;0,'Attrition Modeling'!$N$9,0)))</f>
        <v>0</v>
      </c>
      <c r="AV98" s="799">
        <f>AU98*(1-IFERROR(IF(AV$69+$F98&lt;=12,SUMIFS('Attrition Modeling'!$D:$D,'Attrition Modeling'!$C:$C,'IP Attrition'!$D98,'Attrition Modeling'!$B:$B,'IP Attrition'!AV$68),VLOOKUP($F98+AV$2,$A$6:$C$106,2,FALSE)*VLOOKUP(AV$1,'Attrition Modeling'!$L$15:$N$27,IF(AV$2+$F31&lt;=24,2,3),FALSE)),$C$3)*(1+Projection!AX$16)*(1+IF(AV163&gt;0,'Attrition Modeling'!$N$9,0)))</f>
        <v>0</v>
      </c>
      <c r="AW98" s="799">
        <f>AV98*(1-IFERROR(IF(AW$69+$F98&lt;=12,SUMIFS('Attrition Modeling'!$D:$D,'Attrition Modeling'!$C:$C,'IP Attrition'!$D98,'Attrition Modeling'!$B:$B,'IP Attrition'!AW$68),VLOOKUP($F98+AW$2,$A$6:$C$106,2,FALSE)*VLOOKUP(AW$1,'Attrition Modeling'!$L$15:$N$27,IF(AW$2+$F31&lt;=24,2,3),FALSE)),$C$3)*(1+Projection!AY$16)*(1+IF(AW163&gt;0,'Attrition Modeling'!$N$9,0)))</f>
        <v>0</v>
      </c>
      <c r="AX98" s="799">
        <f>AW98*(1-IFERROR(IF(AX$69+$F98&lt;=12,SUMIFS('Attrition Modeling'!$D:$D,'Attrition Modeling'!$C:$C,'IP Attrition'!$D98,'Attrition Modeling'!$B:$B,'IP Attrition'!AX$68),VLOOKUP($F98+AX$2,$A$6:$C$106,2,FALSE)*VLOOKUP(AX$1,'Attrition Modeling'!$L$15:$N$27,IF(AX$2+$F31&lt;=24,2,3),FALSE)),$C$3)*(1+Projection!AZ$16)*(1+IF(AX163&gt;0,'Attrition Modeling'!$N$9,0)))</f>
        <v>0</v>
      </c>
      <c r="AY98" s="799">
        <f>AX98*(1-IFERROR(IF(AY$69+$F98&lt;=12,SUMIFS('Attrition Modeling'!$D:$D,'Attrition Modeling'!$C:$C,'IP Attrition'!$D98,'Attrition Modeling'!$B:$B,'IP Attrition'!AY$68),VLOOKUP($F98+AY$2,$A$6:$C$106,2,FALSE)*VLOOKUP(AY$1,'Attrition Modeling'!$L$15:$N$27,IF(AY$2+$F31&lt;=24,2,3),FALSE)),$C$3)*(1+Projection!BA$16)*(1+IF(AY163&gt;0,'Attrition Modeling'!$N$9,0)))</f>
        <v>0</v>
      </c>
      <c r="AZ98" s="799">
        <f>AY98*(1-IFERROR(IF(AZ$69+$F98&lt;=12,SUMIFS('Attrition Modeling'!$D:$D,'Attrition Modeling'!$C:$C,'IP Attrition'!$D98,'Attrition Modeling'!$B:$B,'IP Attrition'!AZ$68),VLOOKUP($F98+AZ$2,$A$6:$C$106,2,FALSE)*VLOOKUP(AZ$1,'Attrition Modeling'!$L$15:$N$27,IF(AZ$2+$F31&lt;=24,2,3),FALSE)),$C$3)*(1+Projection!BB$16)*(1+IF(AZ163&gt;0,'Attrition Modeling'!$N$9,0)))</f>
        <v>0</v>
      </c>
      <c r="BA98" s="799">
        <f>AZ98*(1-IFERROR(IF(BA$69+$F98&lt;=12,SUMIFS('Attrition Modeling'!$D:$D,'Attrition Modeling'!$C:$C,'IP Attrition'!$D98,'Attrition Modeling'!$B:$B,'IP Attrition'!BA$68),VLOOKUP($F98+BA$2,$A$6:$C$106,2,FALSE)*VLOOKUP(BA$1,'Attrition Modeling'!$L$15:$N$27,IF(BA$2+$F31&lt;=24,2,3),FALSE)),$C$3)*(1+Projection!BC$16)*(1+IF(BA163&gt;0,'Attrition Modeling'!$N$9,0)))</f>
        <v>0</v>
      </c>
      <c r="BB98" s="799">
        <f>BA98*(1-IFERROR(IF(BB$69+$F98&lt;=12,SUMIFS('Attrition Modeling'!$D:$D,'Attrition Modeling'!$C:$C,'IP Attrition'!$D98,'Attrition Modeling'!$B:$B,'IP Attrition'!BB$68),VLOOKUP($F98+BB$2,$A$6:$C$106,2,FALSE)*VLOOKUP(BB$1,'Attrition Modeling'!$L$15:$N$27,IF(BB$2+$F31&lt;=24,2,3),FALSE)),$C$3)*(1+Projection!BD$16)*(1+IF(BB163&gt;0,'Attrition Modeling'!$N$9,0)))</f>
        <v>0</v>
      </c>
      <c r="BC98" s="799">
        <f>BB98*(1-IFERROR(IF(BC$69+$F98&lt;=12,SUMIFS('Attrition Modeling'!$D:$D,'Attrition Modeling'!$C:$C,'IP Attrition'!$D98,'Attrition Modeling'!$B:$B,'IP Attrition'!BC$68),VLOOKUP($F98+BC$2,$A$6:$C$106,2,FALSE)*VLOOKUP(BC$1,'Attrition Modeling'!$L$15:$N$27,IF(BC$2+$F31&lt;=24,2,3),FALSE)),$C$3)*(1+Projection!BE$16)*(1+IF(BC163&gt;0,'Attrition Modeling'!$N$9,0)))</f>
        <v>0</v>
      </c>
      <c r="BD98" s="799">
        <f>BC98*(1-IFERROR(IF(BD$69+$F98&lt;=12,SUMIFS('Attrition Modeling'!$D:$D,'Attrition Modeling'!$C:$C,'IP Attrition'!$D98,'Attrition Modeling'!$B:$B,'IP Attrition'!BD$68),VLOOKUP($F98+BD$2,$A$6:$C$106,2,FALSE)*VLOOKUP(BD$1,'Attrition Modeling'!$L$15:$N$27,IF(BD$2+$F31&lt;=24,2,3),FALSE)),$C$3)*(1+Projection!BF$16)*(1+IF(BD163&gt;0,'Attrition Modeling'!$N$9,0)))</f>
        <v>0</v>
      </c>
      <c r="BE98" s="799">
        <f>BD98*(1-IFERROR(IF(BE$69+$F98&lt;=12,SUMIFS('Attrition Modeling'!$D:$D,'Attrition Modeling'!$C:$C,'IP Attrition'!$D98,'Attrition Modeling'!$B:$B,'IP Attrition'!BE$68),VLOOKUP($F98+BE$2,$A$6:$C$106,2,FALSE)*VLOOKUP(BE$1,'Attrition Modeling'!$L$15:$N$27,IF(BE$2+$F31&lt;=24,2,3),FALSE)),$C$3)*(1+Projection!BG$16)*(1+IF(BE163&gt;0,'Attrition Modeling'!$N$9,0)))</f>
        <v>0</v>
      </c>
      <c r="BF98" s="799">
        <f>BE98*(1-IFERROR(IF(BF$69+$F98&lt;=12,SUMIFS('Attrition Modeling'!$D:$D,'Attrition Modeling'!$C:$C,'IP Attrition'!$D98,'Attrition Modeling'!$B:$B,'IP Attrition'!BF$68),VLOOKUP($F98+BF$2,$A$6:$C$106,2,FALSE)*VLOOKUP(BF$1,'Attrition Modeling'!$L$15:$N$27,IF(BF$2+$F31&lt;=24,2,3),FALSE)),$C$3)*(1+Projection!BH$16)*(1+IF(BF163&gt;0,'Attrition Modeling'!$N$9,0)))</f>
        <v>0</v>
      </c>
      <c r="BG98" s="799">
        <f>BF98*(1-IFERROR(IF(BG$69+$F98&lt;=12,SUMIFS('Attrition Modeling'!$D:$D,'Attrition Modeling'!$C:$C,'IP Attrition'!$D98,'Attrition Modeling'!$B:$B,'IP Attrition'!BG$68),VLOOKUP($F98+BG$2,$A$6:$C$106,2,FALSE)*VLOOKUP(BG$1,'Attrition Modeling'!$L$15:$N$27,IF(BG$2+$F31&lt;=24,2,3),FALSE)),$C$3)*(1+Projection!BI$16)*(1+IF(BG163&gt;0,'Attrition Modeling'!$N$9,0)))</f>
        <v>0</v>
      </c>
      <c r="BH98" s="799">
        <f>BG98*(1-IFERROR(IF(BH$69+$F98&lt;=12,SUMIFS('Attrition Modeling'!$D:$D,'Attrition Modeling'!$C:$C,'IP Attrition'!$D98,'Attrition Modeling'!$B:$B,'IP Attrition'!BH$68),VLOOKUP($F98+BH$2,$A$6:$C$106,2,FALSE)*VLOOKUP(BH$1,'Attrition Modeling'!$L$15:$N$27,IF(BH$2+$F31&lt;=24,2,3),FALSE)),$C$3)*(1+Projection!BJ$16)*(1+IF(BH163&gt;0,'Attrition Modeling'!$N$9,0)))</f>
        <v>0</v>
      </c>
      <c r="BI98" s="799">
        <f>BH98*(1-IFERROR(IF(BI$69+$F98&lt;=12,SUMIFS('Attrition Modeling'!$D:$D,'Attrition Modeling'!$C:$C,'IP Attrition'!$D98,'Attrition Modeling'!$B:$B,'IP Attrition'!BI$68),VLOOKUP($F98+BI$2,$A$6:$C$106,2,FALSE)*VLOOKUP(BI$1,'Attrition Modeling'!$L$15:$N$27,IF(BI$2+$F31&lt;=24,2,3),FALSE)),$C$3)*(1+Projection!BK$16)*(1+IF(BI163&gt;0,'Attrition Modeling'!$N$9,0)))</f>
        <v>0</v>
      </c>
      <c r="BJ98" s="799">
        <f>BI98*(1-IFERROR(IF(BJ$69+$F98&lt;=12,SUMIFS('Attrition Modeling'!$D:$D,'Attrition Modeling'!$C:$C,'IP Attrition'!$D98,'Attrition Modeling'!$B:$B,'IP Attrition'!BJ$68),VLOOKUP($F98+BJ$2,$A$6:$C$106,2,FALSE)*VLOOKUP(BJ$1,'Attrition Modeling'!$L$15:$N$27,IF(BJ$2+$F31&lt;=24,2,3),FALSE)),$C$3)*(1+Projection!BL$16)*(1+IF(BJ163&gt;0,'Attrition Modeling'!$N$9,0)))</f>
        <v>0</v>
      </c>
      <c r="BK98" s="799">
        <f>BJ98*(1-IFERROR(IF(BK$69+$F98&lt;=12,SUMIFS('Attrition Modeling'!$D:$D,'Attrition Modeling'!$C:$C,'IP Attrition'!$D98,'Attrition Modeling'!$B:$B,'IP Attrition'!BK$68),VLOOKUP($F98+BK$2,$A$6:$C$106,2,FALSE)*VLOOKUP(BK$1,'Attrition Modeling'!$L$15:$N$27,IF(BK$2+$F31&lt;=24,2,3),FALSE)),$C$3)*(1+Projection!BM$16)*(1+IF(BK163&gt;0,'Attrition Modeling'!$N$9,0)))</f>
        <v>0</v>
      </c>
      <c r="BL98" s="799">
        <f>BK98*(1-IFERROR(IF(BL$69+$F98&lt;=12,SUMIFS('Attrition Modeling'!$D:$D,'Attrition Modeling'!$C:$C,'IP Attrition'!$D98,'Attrition Modeling'!$B:$B,'IP Attrition'!BL$68),VLOOKUP($F98+BL$2,$A$6:$C$106,2,FALSE)*VLOOKUP(BL$1,'Attrition Modeling'!$L$15:$N$27,IF(BL$2+$F31&lt;=24,2,3),FALSE)),$C$3)*(1+Projection!BN$16)*(1+IF(BL163&gt;0,'Attrition Modeling'!$N$9,0)))</f>
        <v>0</v>
      </c>
      <c r="BM98" s="799">
        <f>BL98*(1-IFERROR(IF(BM$69+$F98&lt;=12,SUMIFS('Attrition Modeling'!$D:$D,'Attrition Modeling'!$C:$C,'IP Attrition'!$D98,'Attrition Modeling'!$B:$B,'IP Attrition'!BM$68),VLOOKUP($F98+BM$2,$A$6:$C$106,2,FALSE)*VLOOKUP(BM$1,'Attrition Modeling'!$L$15:$N$27,IF(BM$2+$F31&lt;=24,2,3),FALSE)),$C$3)*(1+Projection!BO$16)*(1+IF(BM163&gt;0,'Attrition Modeling'!$N$9,0)))</f>
        <v>0</v>
      </c>
      <c r="BN98" s="799">
        <f>BM98*(1-IFERROR(IF(BN$69+$F98&lt;=12,SUMIFS('Attrition Modeling'!$D:$D,'Attrition Modeling'!$C:$C,'IP Attrition'!$D98,'Attrition Modeling'!$B:$B,'IP Attrition'!BN$68),VLOOKUP($F98+BN$2,$A$6:$C$106,2,FALSE)*VLOOKUP(BN$1,'Attrition Modeling'!$L$15:$N$27,IF(BN$2+$F31&lt;=24,2,3),FALSE)),$C$3)*(1+Projection!BP$16)*(1+IF(BN163&gt;0,'Attrition Modeling'!$N$9,0)))</f>
        <v>0</v>
      </c>
      <c r="BO98" s="799">
        <f>BN98*(1-IFERROR(IF(BO$69+$F98&lt;=12,SUMIFS('Attrition Modeling'!$D:$D,'Attrition Modeling'!$C:$C,'IP Attrition'!$D98,'Attrition Modeling'!$B:$B,'IP Attrition'!BO$68),VLOOKUP($F98+BO$2,$A$6:$C$106,2,FALSE)*VLOOKUP(BO$1,'Attrition Modeling'!$L$15:$N$27,IF(BO$2+$F31&lt;=24,2,3),FALSE)),$C$3)*(1+Projection!BV$16)*(1+IF(BO163&gt;0,'Attrition Modeling'!$N$9,0)))</f>
        <v>0</v>
      </c>
      <c r="BP98" s="799">
        <f>BO98*(1-IFERROR(IF(BP$69+$F98&lt;=12,SUMIFS('Attrition Modeling'!$D:$D,'Attrition Modeling'!$C:$C,'IP Attrition'!$D98,'Attrition Modeling'!$B:$B,'IP Attrition'!BP$68),VLOOKUP($F98+BP$2,$A$6:$C$106,2,FALSE)*VLOOKUP(BP$1,'Attrition Modeling'!$L$15:$N$27,IF(BP$2+$F31&lt;=24,2,3),FALSE)),$C$3)*(1+Projection!BW$16)*(1+IF(BP163&gt;0,'Attrition Modeling'!$N$9,0)))</f>
        <v>0</v>
      </c>
      <c r="BQ98" s="799">
        <f>BP98*(1-IFERROR(IF(BQ$69+$F98&lt;=12,SUMIFS('Attrition Modeling'!$D:$D,'Attrition Modeling'!$C:$C,'IP Attrition'!$D98,'Attrition Modeling'!$B:$B,'IP Attrition'!BQ$68),VLOOKUP($F98+BQ$2,$A$6:$C$106,2,FALSE)*VLOOKUP(BQ$1,'Attrition Modeling'!$L$15:$N$27,IF(BQ$2+$F31&lt;=24,2,3),FALSE)),$C$3)*(1+Projection!BX$16)*(1+IF(BQ163&gt;0,'Attrition Modeling'!$N$9,0)))</f>
        <v>0</v>
      </c>
      <c r="BR98" s="799">
        <f>BQ98*(1-IFERROR(IF(BR$69+$F98&lt;=12,SUMIFS('Attrition Modeling'!$D:$D,'Attrition Modeling'!$C:$C,'IP Attrition'!$D98,'Attrition Modeling'!$B:$B,'IP Attrition'!BR$68),VLOOKUP($F98+BR$2,$A$6:$C$106,2,FALSE)*VLOOKUP(BR$1,'Attrition Modeling'!$L$15:$N$27,IF(BR$2+$F31&lt;=24,2,3),FALSE)),$C$3)*(1+Projection!BY$16)*(1+IF(BR163&gt;0,'Attrition Modeling'!$N$9,0)))</f>
        <v>0</v>
      </c>
      <c r="BS98" s="799">
        <f>BR98*(1-IFERROR(IF(BS$69+$F98&lt;=12,SUMIFS('Attrition Modeling'!$D:$D,'Attrition Modeling'!$C:$C,'IP Attrition'!$D98,'Attrition Modeling'!$B:$B,'IP Attrition'!BS$68),VLOOKUP($F98+BS$2,$A$6:$C$106,2,FALSE)*VLOOKUP(BS$1,'Attrition Modeling'!$L$15:$N$27,IF(BS$2+$F31&lt;=24,2,3),FALSE)),$C$3)*(1+Projection!BZ$16)*(1+IF(BS163&gt;0,'Attrition Modeling'!$N$9,0)))</f>
        <v>0</v>
      </c>
      <c r="BT98" s="799" t="e">
        <f>BS98*(1-IFERROR(IF(BT$69+$F98&lt;=12,SUMIFS('Attrition Modeling'!$D:$D,'Attrition Modeling'!$C:$C,'IP Attrition'!$D98,'Attrition Modeling'!$B:$B,'IP Attrition'!BT$68),VLOOKUP($F98+BT$2,$A$6:$C$106,2,FALSE)*VLOOKUP(BT$1,'Attrition Modeling'!$L$15:$N$27,IF(BT$2+$F31&lt;=24,2,3),FALSE)),$C$3)*(1+Projection!CA$16)*(1+IF(BT163&gt;0,'Attrition Modeling'!$N$9,0)))</f>
        <v>#REF!</v>
      </c>
      <c r="BU98" s="799" t="e">
        <f>BT98*(1-IFERROR(IF(BU$69+$F98&lt;=12,SUMIFS('Attrition Modeling'!$D:$D,'Attrition Modeling'!$C:$C,'IP Attrition'!$D98,'Attrition Modeling'!$B:$B,'IP Attrition'!BU$68),VLOOKUP($F98+BU$2,$A$6:$C$106,2,FALSE)*VLOOKUP(BU$1,'Attrition Modeling'!$L$15:$N$27,IF(BU$2+$F31&lt;=24,2,3),FALSE)),$C$3)*(1+Projection!CB$16)*(1+IF(BU163&gt;0,'Attrition Modeling'!$N$9,0)))</f>
        <v>#REF!</v>
      </c>
    </row>
    <row r="99" spans="1:73" ht="14.25" customHeight="1" x14ac:dyDescent="0.2">
      <c r="A99" s="9">
        <v>92</v>
      </c>
      <c r="B99" s="25">
        <f>MAX('Attrition Modeling'!H96,$C$3)*(1-Summary!$C$20)</f>
        <v>0.02</v>
      </c>
      <c r="C99" s="24" t="e">
        <f t="shared" si="3"/>
        <v>#DIV/0!</v>
      </c>
      <c r="D99" s="11">
        <f t="shared" ref="D99:E99" si="37">D32</f>
        <v>-29</v>
      </c>
      <c r="E99" s="25">
        <f t="shared" si="37"/>
        <v>0</v>
      </c>
      <c r="F99" s="11">
        <f t="shared" si="9"/>
        <v>29</v>
      </c>
      <c r="G99" s="799">
        <f>Summary!$C$24*$E99</f>
        <v>0</v>
      </c>
      <c r="H99" s="799">
        <f>G99*(1-IFERROR(IF(H$69+$F99&lt;=12,SUMIFS('Attrition Modeling'!$D:$D,'Attrition Modeling'!$C:$C,'IP Attrition'!$D99,'Attrition Modeling'!$B:$B,'IP Attrition'!H$68),VLOOKUP($F99+H$2,$A$6:$C$106,2,FALSE)*VLOOKUP(H$1,'Attrition Modeling'!$L$15:$N$27,IF(H$2+$F32&lt;=24,2,3),FALSE)),$C$3)*(1+Projection!J$16)*(1+IF(H164&gt;0,'Attrition Modeling'!$N$9,0)))</f>
        <v>0</v>
      </c>
      <c r="I99" s="799">
        <f>H99*(1-IFERROR(IF(I$69+$F99&lt;=12,SUMIFS('Attrition Modeling'!$D:$D,'Attrition Modeling'!$C:$C,'IP Attrition'!$D99,'Attrition Modeling'!$B:$B,'IP Attrition'!I$68),VLOOKUP($F99+I$2,$A$6:$C$106,2,FALSE)*VLOOKUP(I$1,'Attrition Modeling'!$L$15:$N$27,IF(I$2+$F32&lt;=24,2,3),FALSE)),$C$3)*(1+Projection!K$16)*(1+IF(I164&gt;0,'Attrition Modeling'!$N$9,0)))</f>
        <v>0</v>
      </c>
      <c r="J99" s="799">
        <f>I99*(1-IFERROR(IF(J$69+$F99&lt;=12,SUMIFS('Attrition Modeling'!$D:$D,'Attrition Modeling'!$C:$C,'IP Attrition'!$D99,'Attrition Modeling'!$B:$B,'IP Attrition'!J$68),VLOOKUP($F99+J$2,$A$6:$C$106,2,FALSE)*VLOOKUP(J$1,'Attrition Modeling'!$L$15:$N$27,IF(J$2+$F32&lt;=24,2,3),FALSE)),$C$3)*(1+Projection!L$16)*(1+IF(J164&gt;0,'Attrition Modeling'!$N$9,0)))</f>
        <v>0</v>
      </c>
      <c r="K99" s="799">
        <f>J99*(1-IFERROR(IF(K$69+$F99&lt;=12,SUMIFS('Attrition Modeling'!$D:$D,'Attrition Modeling'!$C:$C,'IP Attrition'!$D99,'Attrition Modeling'!$B:$B,'IP Attrition'!K$68),VLOOKUP($F99+K$2,$A$6:$C$106,2,FALSE)*VLOOKUP(K$1,'Attrition Modeling'!$L$15:$N$27,IF(K$2+$F32&lt;=24,2,3),FALSE)),$C$3)*(1+Projection!M$16)*(1+IF(K164&gt;0,'Attrition Modeling'!$N$9,0)))</f>
        <v>0</v>
      </c>
      <c r="L99" s="799">
        <f>K99*(1-IFERROR(IF(L$69+$F99&lt;=12,SUMIFS('Attrition Modeling'!$D:$D,'Attrition Modeling'!$C:$C,'IP Attrition'!$D99,'Attrition Modeling'!$B:$B,'IP Attrition'!L$68),VLOOKUP($F99+L$2,$A$6:$C$106,2,FALSE)*VLOOKUP(L$1,'Attrition Modeling'!$L$15:$N$27,IF(L$2+$F32&lt;=24,2,3),FALSE)),$C$3)*(1+Projection!N$16)*(1+IF(L164&gt;0,'Attrition Modeling'!$N$9,0)))</f>
        <v>0</v>
      </c>
      <c r="M99" s="799">
        <f>L99*(1-IFERROR(IF(M$69+$F99&lt;=12,SUMIFS('Attrition Modeling'!$D:$D,'Attrition Modeling'!$C:$C,'IP Attrition'!$D99,'Attrition Modeling'!$B:$B,'IP Attrition'!M$68),VLOOKUP($F99+M$2,$A$6:$C$106,2,FALSE)*VLOOKUP(M$1,'Attrition Modeling'!$L$15:$N$27,IF(M$2+$F32&lt;=24,2,3),FALSE)),$C$3)*(1+Projection!O$16)*(1+IF(M164&gt;0,'Attrition Modeling'!$N$9,0)))</f>
        <v>0</v>
      </c>
      <c r="N99" s="799">
        <f>M99*(1-IFERROR(IF(N$69+$F99&lt;=12,SUMIFS('Attrition Modeling'!$D:$D,'Attrition Modeling'!$C:$C,'IP Attrition'!$D99,'Attrition Modeling'!$B:$B,'IP Attrition'!N$68),VLOOKUP($F99+N$2,$A$6:$C$106,2,FALSE)*VLOOKUP(N$1,'Attrition Modeling'!$L$15:$N$27,IF(N$2+$F32&lt;=24,2,3),FALSE)),$C$3)*(1+Projection!P$16)*(1+IF(N164&gt;0,'Attrition Modeling'!$N$9,0)))</f>
        <v>0</v>
      </c>
      <c r="O99" s="799">
        <f>N99*(1-IFERROR(IF(O$69+$F99&lt;=12,SUMIFS('Attrition Modeling'!$D:$D,'Attrition Modeling'!$C:$C,'IP Attrition'!$D99,'Attrition Modeling'!$B:$B,'IP Attrition'!O$68),VLOOKUP($F99+O$2,$A$6:$C$106,2,FALSE)*VLOOKUP(O$1,'Attrition Modeling'!$L$15:$N$27,IF(O$2+$F32&lt;=24,2,3),FALSE)),$C$3)*(1+Projection!Q$16)*(1+IF(O164&gt;0,'Attrition Modeling'!$N$9,0)))</f>
        <v>0</v>
      </c>
      <c r="P99" s="799">
        <f>O99*(1-IFERROR(IF(P$69+$F99&lt;=12,SUMIFS('Attrition Modeling'!$D:$D,'Attrition Modeling'!$C:$C,'IP Attrition'!$D99,'Attrition Modeling'!$B:$B,'IP Attrition'!P$68),VLOOKUP($F99+P$2,$A$6:$C$106,2,FALSE)*VLOOKUP(P$1,'Attrition Modeling'!$L$15:$N$27,IF(P$2+$F32&lt;=24,2,3),FALSE)),$C$3)*(1+Projection!R$16)*(1+IF(P164&gt;0,'Attrition Modeling'!$N$9,0)))</f>
        <v>0</v>
      </c>
      <c r="Q99" s="799">
        <f>P99*(1-IFERROR(IF(Q$69+$F99&lt;=12,SUMIFS('Attrition Modeling'!$D:$D,'Attrition Modeling'!$C:$C,'IP Attrition'!$D99,'Attrition Modeling'!$B:$B,'IP Attrition'!Q$68),VLOOKUP($F99+Q$2,$A$6:$C$106,2,FALSE)*VLOOKUP(Q$1,'Attrition Modeling'!$L$15:$N$27,IF(Q$2+$F32&lt;=24,2,3),FALSE)),$C$3)*(1+Projection!S$16)*(1+IF(Q164&gt;0,'Attrition Modeling'!$N$9,0)))</f>
        <v>0</v>
      </c>
      <c r="R99" s="799">
        <f>Q99*(1-IFERROR(IF(R$69+$F99&lt;=12,SUMIFS('Attrition Modeling'!$D:$D,'Attrition Modeling'!$C:$C,'IP Attrition'!$D99,'Attrition Modeling'!$B:$B,'IP Attrition'!R$68),VLOOKUP($F99+R$2,$A$6:$C$106,2,FALSE)*VLOOKUP(R$1,'Attrition Modeling'!$L$15:$N$27,IF(R$2+$F32&lt;=24,2,3),FALSE)),$C$3)*(1+Projection!T$16)*(1+IF(R164&gt;0,'Attrition Modeling'!$N$9,0)))</f>
        <v>0</v>
      </c>
      <c r="S99" s="799">
        <f>R99*(1-IFERROR(IF(S$69+$F99&lt;=12,SUMIFS('Attrition Modeling'!$D:$D,'Attrition Modeling'!$C:$C,'IP Attrition'!$D99,'Attrition Modeling'!$B:$B,'IP Attrition'!S$68),VLOOKUP($F99+S$2,$A$6:$C$106,2,FALSE)*VLOOKUP(S$1,'Attrition Modeling'!$L$15:$N$27,IF(S$2+$F32&lt;=24,2,3),FALSE)),$C$3)*(1+Projection!U$16)*(1+IF(S164&gt;0,'Attrition Modeling'!$N$9,0)))</f>
        <v>0</v>
      </c>
      <c r="T99" s="799">
        <f>S99*(1-IFERROR(IF(T$69+$F99&lt;=12,SUMIFS('Attrition Modeling'!$D:$D,'Attrition Modeling'!$C:$C,'IP Attrition'!$D99,'Attrition Modeling'!$B:$B,'IP Attrition'!T$68),VLOOKUP($F99+T$2,$A$6:$C$106,2,FALSE)*VLOOKUP(T$1,'Attrition Modeling'!$L$15:$N$27,IF(T$2+$F32&lt;=24,2,3),FALSE)),$C$3)*(1+Projection!V$16)*(1+IF(T164&gt;0,'Attrition Modeling'!$N$9,0)))</f>
        <v>0</v>
      </c>
      <c r="U99" s="799">
        <f>T99*(1-IFERROR(IF(U$69+$F99&lt;=12,SUMIFS('Attrition Modeling'!$D:$D,'Attrition Modeling'!$C:$C,'IP Attrition'!$D99,'Attrition Modeling'!$B:$B,'IP Attrition'!U$68),VLOOKUP($F99+U$2,$A$6:$C$106,2,FALSE)*VLOOKUP(U$1,'Attrition Modeling'!$L$15:$N$27,IF(U$2+$F32&lt;=24,2,3),FALSE)),$C$3)*(1+Projection!W$16)*(1+IF(U164&gt;0,'Attrition Modeling'!$N$9,0)))</f>
        <v>0</v>
      </c>
      <c r="V99" s="799">
        <f>U99*(1-IFERROR(IF(V$69+$F99&lt;=12,SUMIFS('Attrition Modeling'!$D:$D,'Attrition Modeling'!$C:$C,'IP Attrition'!$D99,'Attrition Modeling'!$B:$B,'IP Attrition'!V$68),VLOOKUP($F99+V$2,$A$6:$C$106,2,FALSE)*VLOOKUP(V$1,'Attrition Modeling'!$L$15:$N$27,IF(V$2+$F32&lt;=24,2,3),FALSE)),$C$3)*(1+Projection!X$16)*(1+IF(V164&gt;0,'Attrition Modeling'!$N$9,0)))</f>
        <v>0</v>
      </c>
      <c r="W99" s="799">
        <f>V99*(1-IFERROR(IF(W$69+$F99&lt;=12,SUMIFS('Attrition Modeling'!$D:$D,'Attrition Modeling'!$C:$C,'IP Attrition'!$D99,'Attrition Modeling'!$B:$B,'IP Attrition'!W$68),VLOOKUP($F99+W$2,$A$6:$C$106,2,FALSE)*VLOOKUP(W$1,'Attrition Modeling'!$L$15:$N$27,IF(W$2+$F32&lt;=24,2,3),FALSE)),$C$3)*(1+Projection!Y$16)*(1+IF(W164&gt;0,'Attrition Modeling'!$N$9,0)))</f>
        <v>0</v>
      </c>
      <c r="X99" s="799">
        <f>W99*(1-IFERROR(IF(X$69+$F99&lt;=12,SUMIFS('Attrition Modeling'!$D:$D,'Attrition Modeling'!$C:$C,'IP Attrition'!$D99,'Attrition Modeling'!$B:$B,'IP Attrition'!X$68),VLOOKUP($F99+X$2,$A$6:$C$106,2,FALSE)*VLOOKUP(X$1,'Attrition Modeling'!$L$15:$N$27,IF(X$2+$F32&lt;=24,2,3),FALSE)),$C$3)*(1+Projection!Z$16)*(1+IF(X164&gt;0,'Attrition Modeling'!$N$9,0)))</f>
        <v>0</v>
      </c>
      <c r="Y99" s="799">
        <f>X99*(1-IFERROR(IF(Y$69+$F99&lt;=12,SUMIFS('Attrition Modeling'!$D:$D,'Attrition Modeling'!$C:$C,'IP Attrition'!$D99,'Attrition Modeling'!$B:$B,'IP Attrition'!Y$68),VLOOKUP($F99+Y$2,$A$6:$C$106,2,FALSE)*VLOOKUP(Y$1,'Attrition Modeling'!$L$15:$N$27,IF(Y$2+$F32&lt;=24,2,3),FALSE)),$C$3)*(1+Projection!AA$16)*(1+IF(Y164&gt;0,'Attrition Modeling'!$N$9,0)))</f>
        <v>0</v>
      </c>
      <c r="Z99" s="799">
        <f>Y99*(1-IFERROR(IF(Z$69+$F99&lt;=12,SUMIFS('Attrition Modeling'!$D:$D,'Attrition Modeling'!$C:$C,'IP Attrition'!$D99,'Attrition Modeling'!$B:$B,'IP Attrition'!Z$68),VLOOKUP($F99+Z$2,$A$6:$C$106,2,FALSE)*VLOOKUP(Z$1,'Attrition Modeling'!$L$15:$N$27,IF(Z$2+$F32&lt;=24,2,3),FALSE)),$C$3)*(1+Projection!AB$16)*(1+IF(Z164&gt;0,'Attrition Modeling'!$N$9,0)))</f>
        <v>0</v>
      </c>
      <c r="AA99" s="799">
        <f>Z99*(1-IFERROR(IF(AA$69+$F99&lt;=12,SUMIFS('Attrition Modeling'!$D:$D,'Attrition Modeling'!$C:$C,'IP Attrition'!$D99,'Attrition Modeling'!$B:$B,'IP Attrition'!AA$68),VLOOKUP($F99+AA$2,$A$6:$C$106,2,FALSE)*VLOOKUP(AA$1,'Attrition Modeling'!$L$15:$N$27,IF(AA$2+$F32&lt;=24,2,3),FALSE)),$C$3)*(1+Projection!AC$16)*(1+IF(AA164&gt;0,'Attrition Modeling'!$N$9,0)))</f>
        <v>0</v>
      </c>
      <c r="AB99" s="799">
        <f>AA99*(1-IFERROR(IF(AB$69+$F99&lt;=12,SUMIFS('Attrition Modeling'!$D:$D,'Attrition Modeling'!$C:$C,'IP Attrition'!$D99,'Attrition Modeling'!$B:$B,'IP Attrition'!AB$68),VLOOKUP($F99+AB$2,$A$6:$C$106,2,FALSE)*VLOOKUP(AB$1,'Attrition Modeling'!$L$15:$N$27,IF(AB$2+$F32&lt;=24,2,3),FALSE)),$C$3)*(1+Projection!AD$16)*(1+IF(AB164&gt;0,'Attrition Modeling'!$N$9,0)))</f>
        <v>0</v>
      </c>
      <c r="AC99" s="799">
        <f>AB99*(1-IFERROR(IF(AC$69+$F99&lt;=12,SUMIFS('Attrition Modeling'!$D:$D,'Attrition Modeling'!$C:$C,'IP Attrition'!$D99,'Attrition Modeling'!$B:$B,'IP Attrition'!AC$68),VLOOKUP($F99+AC$2,$A$6:$C$106,2,FALSE)*VLOOKUP(AC$1,'Attrition Modeling'!$L$15:$N$27,IF(AC$2+$F32&lt;=24,2,3),FALSE)),$C$3)*(1+Projection!AE$16)*(1+IF(AC164&gt;0,'Attrition Modeling'!$N$9,0)))</f>
        <v>0</v>
      </c>
      <c r="AD99" s="799">
        <f>AC99*(1-IFERROR(IF(AD$69+$F99&lt;=12,SUMIFS('Attrition Modeling'!$D:$D,'Attrition Modeling'!$C:$C,'IP Attrition'!$D99,'Attrition Modeling'!$B:$B,'IP Attrition'!AD$68),VLOOKUP($F99+AD$2,$A$6:$C$106,2,FALSE)*VLOOKUP(AD$1,'Attrition Modeling'!$L$15:$N$27,IF(AD$2+$F32&lt;=24,2,3),FALSE)),$C$3)*(1+Projection!AF$16)*(1+IF(AD164&gt;0,'Attrition Modeling'!$N$9,0)))</f>
        <v>0</v>
      </c>
      <c r="AE99" s="799">
        <f>AD99*(1-IFERROR(IF(AE$69+$F99&lt;=12,SUMIFS('Attrition Modeling'!$D:$D,'Attrition Modeling'!$C:$C,'IP Attrition'!$D99,'Attrition Modeling'!$B:$B,'IP Attrition'!AE$68),VLOOKUP($F99+AE$2,$A$6:$C$106,2,FALSE)*VLOOKUP(AE$1,'Attrition Modeling'!$L$15:$N$27,IF(AE$2+$F32&lt;=24,2,3),FALSE)),$C$3)*(1+Projection!AG$16)*(1+IF(AE164&gt;0,'Attrition Modeling'!$N$9,0)))</f>
        <v>0</v>
      </c>
      <c r="AF99" s="799">
        <f>AE99*(1-IFERROR(IF(AF$69+$F99&lt;=12,SUMIFS('Attrition Modeling'!$D:$D,'Attrition Modeling'!$C:$C,'IP Attrition'!$D99,'Attrition Modeling'!$B:$B,'IP Attrition'!AF$68),VLOOKUP($F99+AF$2,$A$6:$C$106,2,FALSE)*VLOOKUP(AF$1,'Attrition Modeling'!$L$15:$N$27,IF(AF$2+$F32&lt;=24,2,3),FALSE)),$C$3)*(1+Projection!AH$16)*(1+IF(AF164&gt;0,'Attrition Modeling'!$N$9,0)))</f>
        <v>0</v>
      </c>
      <c r="AG99" s="799">
        <f>AF99*(1-IFERROR(IF(AG$69+$F99&lt;=12,SUMIFS('Attrition Modeling'!$D:$D,'Attrition Modeling'!$C:$C,'IP Attrition'!$D99,'Attrition Modeling'!$B:$B,'IP Attrition'!AG$68),VLOOKUP($F99+AG$2,$A$6:$C$106,2,FALSE)*VLOOKUP(AG$1,'Attrition Modeling'!$L$15:$N$27,IF(AG$2+$F32&lt;=24,2,3),FALSE)),$C$3)*(1+Projection!AI$16)*(1+IF(AG164&gt;0,'Attrition Modeling'!$N$9,0)))</f>
        <v>0</v>
      </c>
      <c r="AH99" s="799">
        <f>AG99*(1-IFERROR(IF(AH$69+$F99&lt;=12,SUMIFS('Attrition Modeling'!$D:$D,'Attrition Modeling'!$C:$C,'IP Attrition'!$D99,'Attrition Modeling'!$B:$B,'IP Attrition'!AH$68),VLOOKUP($F99+AH$2,$A$6:$C$106,2,FALSE)*VLOOKUP(AH$1,'Attrition Modeling'!$L$15:$N$27,IF(AH$2+$F32&lt;=24,2,3),FALSE)),$C$3)*(1+Projection!AJ$16)*(1+IF(AH164&gt;0,'Attrition Modeling'!$N$9,0)))</f>
        <v>0</v>
      </c>
      <c r="AI99" s="799">
        <f>AH99*(1-IFERROR(IF(AI$69+$F99&lt;=12,SUMIFS('Attrition Modeling'!$D:$D,'Attrition Modeling'!$C:$C,'IP Attrition'!$D99,'Attrition Modeling'!$B:$B,'IP Attrition'!AI$68),VLOOKUP($F99+AI$2,$A$6:$C$106,2,FALSE)*VLOOKUP(AI$1,'Attrition Modeling'!$L$15:$N$27,IF(AI$2+$F32&lt;=24,2,3),FALSE)),$C$3)*(1+Projection!AK$16)*(1+IF(AI164&gt;0,'Attrition Modeling'!$N$9,0)))</f>
        <v>0</v>
      </c>
      <c r="AJ99" s="799">
        <f>AI99*(1-IFERROR(IF(AJ$69+$F99&lt;=12,SUMIFS('Attrition Modeling'!$D:$D,'Attrition Modeling'!$C:$C,'IP Attrition'!$D99,'Attrition Modeling'!$B:$B,'IP Attrition'!AJ$68),VLOOKUP($F99+AJ$2,$A$6:$C$106,2,FALSE)*VLOOKUP(AJ$1,'Attrition Modeling'!$L$15:$N$27,IF(AJ$2+$F32&lt;=24,2,3),FALSE)),$C$3)*(1+Projection!AL$16)*(1+IF(AJ164&gt;0,'Attrition Modeling'!$N$9,0)))</f>
        <v>0</v>
      </c>
      <c r="AK99" s="799">
        <f>AJ99*(1-IFERROR(IF(AK$69+$F99&lt;=12,SUMIFS('Attrition Modeling'!$D:$D,'Attrition Modeling'!$C:$C,'IP Attrition'!$D99,'Attrition Modeling'!$B:$B,'IP Attrition'!AK$68),VLOOKUP($F99+AK$2,$A$6:$C$106,2,FALSE)*VLOOKUP(AK$1,'Attrition Modeling'!$L$15:$N$27,IF(AK$2+$F32&lt;=24,2,3),FALSE)),$C$3)*(1+Projection!AM$16)*(1+IF(AK164&gt;0,'Attrition Modeling'!$N$9,0)))</f>
        <v>0</v>
      </c>
      <c r="AL99" s="799">
        <f>AK99*(1-IFERROR(IF(AL$69+$F99&lt;=12,SUMIFS('Attrition Modeling'!$D:$D,'Attrition Modeling'!$C:$C,'IP Attrition'!$D99,'Attrition Modeling'!$B:$B,'IP Attrition'!AL$68),VLOOKUP($F99+AL$2,$A$6:$C$106,2,FALSE)*VLOOKUP(AL$1,'Attrition Modeling'!$L$15:$N$27,IF(AL$2+$F32&lt;=24,2,3),FALSE)),$C$3)*(1+Projection!AN$16)*(1+IF(AL164&gt;0,'Attrition Modeling'!$N$9,0)))</f>
        <v>0</v>
      </c>
      <c r="AM99" s="799">
        <f>AL99*(1-IFERROR(IF(AM$69+$F99&lt;=12,SUMIFS('Attrition Modeling'!$D:$D,'Attrition Modeling'!$C:$C,'IP Attrition'!$D99,'Attrition Modeling'!$B:$B,'IP Attrition'!AM$68),VLOOKUP($F99+AM$2,$A$6:$C$106,2,FALSE)*VLOOKUP(AM$1,'Attrition Modeling'!$L$15:$N$27,IF(AM$2+$F32&lt;=24,2,3),FALSE)),$C$3)*(1+Projection!AO$16)*(1+IF(AM164&gt;0,'Attrition Modeling'!$N$9,0)))</f>
        <v>0</v>
      </c>
      <c r="AN99" s="799">
        <f>AM99*(1-IFERROR(IF(AN$69+$F99&lt;=12,SUMIFS('Attrition Modeling'!$D:$D,'Attrition Modeling'!$C:$C,'IP Attrition'!$D99,'Attrition Modeling'!$B:$B,'IP Attrition'!AN$68),VLOOKUP($F99+AN$2,$A$6:$C$106,2,FALSE)*VLOOKUP(AN$1,'Attrition Modeling'!$L$15:$N$27,IF(AN$2+$F32&lt;=24,2,3),FALSE)),$C$3)*(1+Projection!AP$16)*(1+IF(AN164&gt;0,'Attrition Modeling'!$N$9,0)))</f>
        <v>0</v>
      </c>
      <c r="AO99" s="799">
        <f>AN99*(1-IFERROR(IF(AO$69+$F99&lt;=12,SUMIFS('Attrition Modeling'!$D:$D,'Attrition Modeling'!$C:$C,'IP Attrition'!$D99,'Attrition Modeling'!$B:$B,'IP Attrition'!AO$68),VLOOKUP($F99+AO$2,$A$6:$C$106,2,FALSE)*VLOOKUP(AO$1,'Attrition Modeling'!$L$15:$N$27,IF(AO$2+$F32&lt;=24,2,3),FALSE)),$C$3)*(1+Projection!AQ$16)*(1+IF(AO164&gt;0,'Attrition Modeling'!$N$9,0)))</f>
        <v>0</v>
      </c>
      <c r="AP99" s="799">
        <f>AO99*(1-IFERROR(IF(AP$69+$F99&lt;=12,SUMIFS('Attrition Modeling'!$D:$D,'Attrition Modeling'!$C:$C,'IP Attrition'!$D99,'Attrition Modeling'!$B:$B,'IP Attrition'!AP$68),VLOOKUP($F99+AP$2,$A$6:$C$106,2,FALSE)*VLOOKUP(AP$1,'Attrition Modeling'!$L$15:$N$27,IF(AP$2+$F32&lt;=24,2,3),FALSE)),$C$3)*(1+Projection!AR$16)*(1+IF(AP164&gt;0,'Attrition Modeling'!$N$9,0)))</f>
        <v>0</v>
      </c>
      <c r="AQ99" s="799">
        <f>AP99*(1-IFERROR(IF(AQ$69+$F99&lt;=12,SUMIFS('Attrition Modeling'!$D:$D,'Attrition Modeling'!$C:$C,'IP Attrition'!$D99,'Attrition Modeling'!$B:$B,'IP Attrition'!AQ$68),VLOOKUP($F99+AQ$2,$A$6:$C$106,2,FALSE)*VLOOKUP(AQ$1,'Attrition Modeling'!$L$15:$N$27,IF(AQ$2+$F32&lt;=24,2,3),FALSE)),$C$3)*(1+Projection!AS$16)*(1+IF(AQ164&gt;0,'Attrition Modeling'!$N$9,0)))</f>
        <v>0</v>
      </c>
      <c r="AR99" s="799">
        <f>AQ99*(1-IFERROR(IF(AR$69+$F99&lt;=12,SUMIFS('Attrition Modeling'!$D:$D,'Attrition Modeling'!$C:$C,'IP Attrition'!$D99,'Attrition Modeling'!$B:$B,'IP Attrition'!AR$68),VLOOKUP($F99+AR$2,$A$6:$C$106,2,FALSE)*VLOOKUP(AR$1,'Attrition Modeling'!$L$15:$N$27,IF(AR$2+$F32&lt;=24,2,3),FALSE)),$C$3)*(1+Projection!AT$16)*(1+IF(AR164&gt;0,'Attrition Modeling'!$N$9,0)))</f>
        <v>0</v>
      </c>
      <c r="AS99" s="799">
        <f>AR99*(1-IFERROR(IF(AS$69+$F99&lt;=12,SUMIFS('Attrition Modeling'!$D:$D,'Attrition Modeling'!$C:$C,'IP Attrition'!$D99,'Attrition Modeling'!$B:$B,'IP Attrition'!AS$68),VLOOKUP($F99+AS$2,$A$6:$C$106,2,FALSE)*VLOOKUP(AS$1,'Attrition Modeling'!$L$15:$N$27,IF(AS$2+$F32&lt;=24,2,3),FALSE)),$C$3)*(1+Projection!AU$16)*(1+IF(AS164&gt;0,'Attrition Modeling'!$N$9,0)))</f>
        <v>0</v>
      </c>
      <c r="AT99" s="799">
        <f>AS99*(1-IFERROR(IF(AT$69+$F99&lt;=12,SUMIFS('Attrition Modeling'!$D:$D,'Attrition Modeling'!$C:$C,'IP Attrition'!$D99,'Attrition Modeling'!$B:$B,'IP Attrition'!AT$68),VLOOKUP($F99+AT$2,$A$6:$C$106,2,FALSE)*VLOOKUP(AT$1,'Attrition Modeling'!$L$15:$N$27,IF(AT$2+$F32&lt;=24,2,3),FALSE)),$C$3)*(1+Projection!AV$16)*(1+IF(AT164&gt;0,'Attrition Modeling'!$N$9,0)))</f>
        <v>0</v>
      </c>
      <c r="AU99" s="799">
        <f>AT99*(1-IFERROR(IF(AU$69+$F99&lt;=12,SUMIFS('Attrition Modeling'!$D:$D,'Attrition Modeling'!$C:$C,'IP Attrition'!$D99,'Attrition Modeling'!$B:$B,'IP Attrition'!AU$68),VLOOKUP($F99+AU$2,$A$6:$C$106,2,FALSE)*VLOOKUP(AU$1,'Attrition Modeling'!$L$15:$N$27,IF(AU$2+$F32&lt;=24,2,3),FALSE)),$C$3)*(1+Projection!AW$16)*(1+IF(AU164&gt;0,'Attrition Modeling'!$N$9,0)))</f>
        <v>0</v>
      </c>
      <c r="AV99" s="799">
        <f>AU99*(1-IFERROR(IF(AV$69+$F99&lt;=12,SUMIFS('Attrition Modeling'!$D:$D,'Attrition Modeling'!$C:$C,'IP Attrition'!$D99,'Attrition Modeling'!$B:$B,'IP Attrition'!AV$68),VLOOKUP($F99+AV$2,$A$6:$C$106,2,FALSE)*VLOOKUP(AV$1,'Attrition Modeling'!$L$15:$N$27,IF(AV$2+$F32&lt;=24,2,3),FALSE)),$C$3)*(1+Projection!AX$16)*(1+IF(AV164&gt;0,'Attrition Modeling'!$N$9,0)))</f>
        <v>0</v>
      </c>
      <c r="AW99" s="799">
        <f>AV99*(1-IFERROR(IF(AW$69+$F99&lt;=12,SUMIFS('Attrition Modeling'!$D:$D,'Attrition Modeling'!$C:$C,'IP Attrition'!$D99,'Attrition Modeling'!$B:$B,'IP Attrition'!AW$68),VLOOKUP($F99+AW$2,$A$6:$C$106,2,FALSE)*VLOOKUP(AW$1,'Attrition Modeling'!$L$15:$N$27,IF(AW$2+$F32&lt;=24,2,3),FALSE)),$C$3)*(1+Projection!AY$16)*(1+IF(AW164&gt;0,'Attrition Modeling'!$N$9,0)))</f>
        <v>0</v>
      </c>
      <c r="AX99" s="799">
        <f>AW99*(1-IFERROR(IF(AX$69+$F99&lt;=12,SUMIFS('Attrition Modeling'!$D:$D,'Attrition Modeling'!$C:$C,'IP Attrition'!$D99,'Attrition Modeling'!$B:$B,'IP Attrition'!AX$68),VLOOKUP($F99+AX$2,$A$6:$C$106,2,FALSE)*VLOOKUP(AX$1,'Attrition Modeling'!$L$15:$N$27,IF(AX$2+$F32&lt;=24,2,3),FALSE)),$C$3)*(1+Projection!AZ$16)*(1+IF(AX164&gt;0,'Attrition Modeling'!$N$9,0)))</f>
        <v>0</v>
      </c>
      <c r="AY99" s="799">
        <f>AX99*(1-IFERROR(IF(AY$69+$F99&lt;=12,SUMIFS('Attrition Modeling'!$D:$D,'Attrition Modeling'!$C:$C,'IP Attrition'!$D99,'Attrition Modeling'!$B:$B,'IP Attrition'!AY$68),VLOOKUP($F99+AY$2,$A$6:$C$106,2,FALSE)*VLOOKUP(AY$1,'Attrition Modeling'!$L$15:$N$27,IF(AY$2+$F32&lt;=24,2,3),FALSE)),$C$3)*(1+Projection!BA$16)*(1+IF(AY164&gt;0,'Attrition Modeling'!$N$9,0)))</f>
        <v>0</v>
      </c>
      <c r="AZ99" s="799">
        <f>AY99*(1-IFERROR(IF(AZ$69+$F99&lt;=12,SUMIFS('Attrition Modeling'!$D:$D,'Attrition Modeling'!$C:$C,'IP Attrition'!$D99,'Attrition Modeling'!$B:$B,'IP Attrition'!AZ$68),VLOOKUP($F99+AZ$2,$A$6:$C$106,2,FALSE)*VLOOKUP(AZ$1,'Attrition Modeling'!$L$15:$N$27,IF(AZ$2+$F32&lt;=24,2,3),FALSE)),$C$3)*(1+Projection!BB$16)*(1+IF(AZ164&gt;0,'Attrition Modeling'!$N$9,0)))</f>
        <v>0</v>
      </c>
      <c r="BA99" s="799">
        <f>AZ99*(1-IFERROR(IF(BA$69+$F99&lt;=12,SUMIFS('Attrition Modeling'!$D:$D,'Attrition Modeling'!$C:$C,'IP Attrition'!$D99,'Attrition Modeling'!$B:$B,'IP Attrition'!BA$68),VLOOKUP($F99+BA$2,$A$6:$C$106,2,FALSE)*VLOOKUP(BA$1,'Attrition Modeling'!$L$15:$N$27,IF(BA$2+$F32&lt;=24,2,3),FALSE)),$C$3)*(1+Projection!BC$16)*(1+IF(BA164&gt;0,'Attrition Modeling'!$N$9,0)))</f>
        <v>0</v>
      </c>
      <c r="BB99" s="799">
        <f>BA99*(1-IFERROR(IF(BB$69+$F99&lt;=12,SUMIFS('Attrition Modeling'!$D:$D,'Attrition Modeling'!$C:$C,'IP Attrition'!$D99,'Attrition Modeling'!$B:$B,'IP Attrition'!BB$68),VLOOKUP($F99+BB$2,$A$6:$C$106,2,FALSE)*VLOOKUP(BB$1,'Attrition Modeling'!$L$15:$N$27,IF(BB$2+$F32&lt;=24,2,3),FALSE)),$C$3)*(1+Projection!BD$16)*(1+IF(BB164&gt;0,'Attrition Modeling'!$N$9,0)))</f>
        <v>0</v>
      </c>
      <c r="BC99" s="799">
        <f>BB99*(1-IFERROR(IF(BC$69+$F99&lt;=12,SUMIFS('Attrition Modeling'!$D:$D,'Attrition Modeling'!$C:$C,'IP Attrition'!$D99,'Attrition Modeling'!$B:$B,'IP Attrition'!BC$68),VLOOKUP($F99+BC$2,$A$6:$C$106,2,FALSE)*VLOOKUP(BC$1,'Attrition Modeling'!$L$15:$N$27,IF(BC$2+$F32&lt;=24,2,3),FALSE)),$C$3)*(1+Projection!BE$16)*(1+IF(BC164&gt;0,'Attrition Modeling'!$N$9,0)))</f>
        <v>0</v>
      </c>
      <c r="BD99" s="799">
        <f>BC99*(1-IFERROR(IF(BD$69+$F99&lt;=12,SUMIFS('Attrition Modeling'!$D:$D,'Attrition Modeling'!$C:$C,'IP Attrition'!$D99,'Attrition Modeling'!$B:$B,'IP Attrition'!BD$68),VLOOKUP($F99+BD$2,$A$6:$C$106,2,FALSE)*VLOOKUP(BD$1,'Attrition Modeling'!$L$15:$N$27,IF(BD$2+$F32&lt;=24,2,3),FALSE)),$C$3)*(1+Projection!BF$16)*(1+IF(BD164&gt;0,'Attrition Modeling'!$N$9,0)))</f>
        <v>0</v>
      </c>
      <c r="BE99" s="799">
        <f>BD99*(1-IFERROR(IF(BE$69+$F99&lt;=12,SUMIFS('Attrition Modeling'!$D:$D,'Attrition Modeling'!$C:$C,'IP Attrition'!$D99,'Attrition Modeling'!$B:$B,'IP Attrition'!BE$68),VLOOKUP($F99+BE$2,$A$6:$C$106,2,FALSE)*VLOOKUP(BE$1,'Attrition Modeling'!$L$15:$N$27,IF(BE$2+$F32&lt;=24,2,3),FALSE)),$C$3)*(1+Projection!BG$16)*(1+IF(BE164&gt;0,'Attrition Modeling'!$N$9,0)))</f>
        <v>0</v>
      </c>
      <c r="BF99" s="799">
        <f>BE99*(1-IFERROR(IF(BF$69+$F99&lt;=12,SUMIFS('Attrition Modeling'!$D:$D,'Attrition Modeling'!$C:$C,'IP Attrition'!$D99,'Attrition Modeling'!$B:$B,'IP Attrition'!BF$68),VLOOKUP($F99+BF$2,$A$6:$C$106,2,FALSE)*VLOOKUP(BF$1,'Attrition Modeling'!$L$15:$N$27,IF(BF$2+$F32&lt;=24,2,3),FALSE)),$C$3)*(1+Projection!BH$16)*(1+IF(BF164&gt;0,'Attrition Modeling'!$N$9,0)))</f>
        <v>0</v>
      </c>
      <c r="BG99" s="799">
        <f>BF99*(1-IFERROR(IF(BG$69+$F99&lt;=12,SUMIFS('Attrition Modeling'!$D:$D,'Attrition Modeling'!$C:$C,'IP Attrition'!$D99,'Attrition Modeling'!$B:$B,'IP Attrition'!BG$68),VLOOKUP($F99+BG$2,$A$6:$C$106,2,FALSE)*VLOOKUP(BG$1,'Attrition Modeling'!$L$15:$N$27,IF(BG$2+$F32&lt;=24,2,3),FALSE)),$C$3)*(1+Projection!BI$16)*(1+IF(BG164&gt;0,'Attrition Modeling'!$N$9,0)))</f>
        <v>0</v>
      </c>
      <c r="BH99" s="799">
        <f>BG99*(1-IFERROR(IF(BH$69+$F99&lt;=12,SUMIFS('Attrition Modeling'!$D:$D,'Attrition Modeling'!$C:$C,'IP Attrition'!$D99,'Attrition Modeling'!$B:$B,'IP Attrition'!BH$68),VLOOKUP($F99+BH$2,$A$6:$C$106,2,FALSE)*VLOOKUP(BH$1,'Attrition Modeling'!$L$15:$N$27,IF(BH$2+$F32&lt;=24,2,3),FALSE)),$C$3)*(1+Projection!BJ$16)*(1+IF(BH164&gt;0,'Attrition Modeling'!$N$9,0)))</f>
        <v>0</v>
      </c>
      <c r="BI99" s="799">
        <f>BH99*(1-IFERROR(IF(BI$69+$F99&lt;=12,SUMIFS('Attrition Modeling'!$D:$D,'Attrition Modeling'!$C:$C,'IP Attrition'!$D99,'Attrition Modeling'!$B:$B,'IP Attrition'!BI$68),VLOOKUP($F99+BI$2,$A$6:$C$106,2,FALSE)*VLOOKUP(BI$1,'Attrition Modeling'!$L$15:$N$27,IF(BI$2+$F32&lt;=24,2,3),FALSE)),$C$3)*(1+Projection!BK$16)*(1+IF(BI164&gt;0,'Attrition Modeling'!$N$9,0)))</f>
        <v>0</v>
      </c>
      <c r="BJ99" s="799">
        <f>BI99*(1-IFERROR(IF(BJ$69+$F99&lt;=12,SUMIFS('Attrition Modeling'!$D:$D,'Attrition Modeling'!$C:$C,'IP Attrition'!$D99,'Attrition Modeling'!$B:$B,'IP Attrition'!BJ$68),VLOOKUP($F99+BJ$2,$A$6:$C$106,2,FALSE)*VLOOKUP(BJ$1,'Attrition Modeling'!$L$15:$N$27,IF(BJ$2+$F32&lt;=24,2,3),FALSE)),$C$3)*(1+Projection!BL$16)*(1+IF(BJ164&gt;0,'Attrition Modeling'!$N$9,0)))</f>
        <v>0</v>
      </c>
      <c r="BK99" s="799">
        <f>BJ99*(1-IFERROR(IF(BK$69+$F99&lt;=12,SUMIFS('Attrition Modeling'!$D:$D,'Attrition Modeling'!$C:$C,'IP Attrition'!$D99,'Attrition Modeling'!$B:$B,'IP Attrition'!BK$68),VLOOKUP($F99+BK$2,$A$6:$C$106,2,FALSE)*VLOOKUP(BK$1,'Attrition Modeling'!$L$15:$N$27,IF(BK$2+$F32&lt;=24,2,3),FALSE)),$C$3)*(1+Projection!BM$16)*(1+IF(BK164&gt;0,'Attrition Modeling'!$N$9,0)))</f>
        <v>0</v>
      </c>
      <c r="BL99" s="799">
        <f>BK99*(1-IFERROR(IF(BL$69+$F99&lt;=12,SUMIFS('Attrition Modeling'!$D:$D,'Attrition Modeling'!$C:$C,'IP Attrition'!$D99,'Attrition Modeling'!$B:$B,'IP Attrition'!BL$68),VLOOKUP($F99+BL$2,$A$6:$C$106,2,FALSE)*VLOOKUP(BL$1,'Attrition Modeling'!$L$15:$N$27,IF(BL$2+$F32&lt;=24,2,3),FALSE)),$C$3)*(1+Projection!BN$16)*(1+IF(BL164&gt;0,'Attrition Modeling'!$N$9,0)))</f>
        <v>0</v>
      </c>
      <c r="BM99" s="799">
        <f>BL99*(1-IFERROR(IF(BM$69+$F99&lt;=12,SUMIFS('Attrition Modeling'!$D:$D,'Attrition Modeling'!$C:$C,'IP Attrition'!$D99,'Attrition Modeling'!$B:$B,'IP Attrition'!BM$68),VLOOKUP($F99+BM$2,$A$6:$C$106,2,FALSE)*VLOOKUP(BM$1,'Attrition Modeling'!$L$15:$N$27,IF(BM$2+$F32&lt;=24,2,3),FALSE)),$C$3)*(1+Projection!BO$16)*(1+IF(BM164&gt;0,'Attrition Modeling'!$N$9,0)))</f>
        <v>0</v>
      </c>
      <c r="BN99" s="799">
        <f>BM99*(1-IFERROR(IF(BN$69+$F99&lt;=12,SUMIFS('Attrition Modeling'!$D:$D,'Attrition Modeling'!$C:$C,'IP Attrition'!$D99,'Attrition Modeling'!$B:$B,'IP Attrition'!BN$68),VLOOKUP($F99+BN$2,$A$6:$C$106,2,FALSE)*VLOOKUP(BN$1,'Attrition Modeling'!$L$15:$N$27,IF(BN$2+$F32&lt;=24,2,3),FALSE)),$C$3)*(1+Projection!BP$16)*(1+IF(BN164&gt;0,'Attrition Modeling'!$N$9,0)))</f>
        <v>0</v>
      </c>
      <c r="BO99" s="799">
        <f>BN99*(1-IFERROR(IF(BO$69+$F99&lt;=12,SUMIFS('Attrition Modeling'!$D:$D,'Attrition Modeling'!$C:$C,'IP Attrition'!$D99,'Attrition Modeling'!$B:$B,'IP Attrition'!BO$68),VLOOKUP($F99+BO$2,$A$6:$C$106,2,FALSE)*VLOOKUP(BO$1,'Attrition Modeling'!$L$15:$N$27,IF(BO$2+$F32&lt;=24,2,3),FALSE)),$C$3)*(1+Projection!BV$16)*(1+IF(BO164&gt;0,'Attrition Modeling'!$N$9,0)))</f>
        <v>0</v>
      </c>
      <c r="BP99" s="799">
        <f>BO99*(1-IFERROR(IF(BP$69+$F99&lt;=12,SUMIFS('Attrition Modeling'!$D:$D,'Attrition Modeling'!$C:$C,'IP Attrition'!$D99,'Attrition Modeling'!$B:$B,'IP Attrition'!BP$68),VLOOKUP($F99+BP$2,$A$6:$C$106,2,FALSE)*VLOOKUP(BP$1,'Attrition Modeling'!$L$15:$N$27,IF(BP$2+$F32&lt;=24,2,3),FALSE)),$C$3)*(1+Projection!BW$16)*(1+IF(BP164&gt;0,'Attrition Modeling'!$N$9,0)))</f>
        <v>0</v>
      </c>
      <c r="BQ99" s="799">
        <f>BP99*(1-IFERROR(IF(BQ$69+$F99&lt;=12,SUMIFS('Attrition Modeling'!$D:$D,'Attrition Modeling'!$C:$C,'IP Attrition'!$D99,'Attrition Modeling'!$B:$B,'IP Attrition'!BQ$68),VLOOKUP($F99+BQ$2,$A$6:$C$106,2,FALSE)*VLOOKUP(BQ$1,'Attrition Modeling'!$L$15:$N$27,IF(BQ$2+$F32&lt;=24,2,3),FALSE)),$C$3)*(1+Projection!BX$16)*(1+IF(BQ164&gt;0,'Attrition Modeling'!$N$9,0)))</f>
        <v>0</v>
      </c>
      <c r="BR99" s="799">
        <f>BQ99*(1-IFERROR(IF(BR$69+$F99&lt;=12,SUMIFS('Attrition Modeling'!$D:$D,'Attrition Modeling'!$C:$C,'IP Attrition'!$D99,'Attrition Modeling'!$B:$B,'IP Attrition'!BR$68),VLOOKUP($F99+BR$2,$A$6:$C$106,2,FALSE)*VLOOKUP(BR$1,'Attrition Modeling'!$L$15:$N$27,IF(BR$2+$F32&lt;=24,2,3),FALSE)),$C$3)*(1+Projection!BY$16)*(1+IF(BR164&gt;0,'Attrition Modeling'!$N$9,0)))</f>
        <v>0</v>
      </c>
      <c r="BS99" s="799">
        <f>BR99*(1-IFERROR(IF(BS$69+$F99&lt;=12,SUMIFS('Attrition Modeling'!$D:$D,'Attrition Modeling'!$C:$C,'IP Attrition'!$D99,'Attrition Modeling'!$B:$B,'IP Attrition'!BS$68),VLOOKUP($F99+BS$2,$A$6:$C$106,2,FALSE)*VLOOKUP(BS$1,'Attrition Modeling'!$L$15:$N$27,IF(BS$2+$F32&lt;=24,2,3),FALSE)),$C$3)*(1+Projection!BZ$16)*(1+IF(BS164&gt;0,'Attrition Modeling'!$N$9,0)))</f>
        <v>0</v>
      </c>
      <c r="BT99" s="799" t="e">
        <f>BS99*(1-IFERROR(IF(BT$69+$F99&lt;=12,SUMIFS('Attrition Modeling'!$D:$D,'Attrition Modeling'!$C:$C,'IP Attrition'!$D99,'Attrition Modeling'!$B:$B,'IP Attrition'!BT$68),VLOOKUP($F99+BT$2,$A$6:$C$106,2,FALSE)*VLOOKUP(BT$1,'Attrition Modeling'!$L$15:$N$27,IF(BT$2+$F32&lt;=24,2,3),FALSE)),$C$3)*(1+Projection!CA$16)*(1+IF(BT164&gt;0,'Attrition Modeling'!$N$9,0)))</f>
        <v>#REF!</v>
      </c>
      <c r="BU99" s="799" t="e">
        <f>BT99*(1-IFERROR(IF(BU$69+$F99&lt;=12,SUMIFS('Attrition Modeling'!$D:$D,'Attrition Modeling'!$C:$C,'IP Attrition'!$D99,'Attrition Modeling'!$B:$B,'IP Attrition'!BU$68),VLOOKUP($F99+BU$2,$A$6:$C$106,2,FALSE)*VLOOKUP(BU$1,'Attrition Modeling'!$L$15:$N$27,IF(BU$2+$F32&lt;=24,2,3),FALSE)),$C$3)*(1+Projection!CB$16)*(1+IF(BU164&gt;0,'Attrition Modeling'!$N$9,0)))</f>
        <v>#REF!</v>
      </c>
    </row>
    <row r="100" spans="1:73" ht="14.25" customHeight="1" x14ac:dyDescent="0.2">
      <c r="A100" s="9">
        <v>93</v>
      </c>
      <c r="B100" s="25">
        <f>MAX('Attrition Modeling'!H97,$C$3)*(1-Summary!$C$20)</f>
        <v>0.02</v>
      </c>
      <c r="C100" s="24" t="e">
        <f t="shared" si="3"/>
        <v>#DIV/0!</v>
      </c>
      <c r="D100" s="11">
        <f t="shared" ref="D100:E100" si="38">D33</f>
        <v>-30</v>
      </c>
      <c r="E100" s="25">
        <f t="shared" si="38"/>
        <v>0</v>
      </c>
      <c r="F100" s="11">
        <f t="shared" si="9"/>
        <v>30</v>
      </c>
      <c r="G100" s="799">
        <f>Summary!$C$24*$E100</f>
        <v>0</v>
      </c>
      <c r="H100" s="799">
        <f>G100*(1-IFERROR(IF(H$69+$F100&lt;=12,SUMIFS('Attrition Modeling'!$D:$D,'Attrition Modeling'!$C:$C,'IP Attrition'!$D100,'Attrition Modeling'!$B:$B,'IP Attrition'!H$68),VLOOKUP($F100+H$2,$A$6:$C$106,2,FALSE)*VLOOKUP(H$1,'Attrition Modeling'!$L$15:$N$27,IF(H$2+$F33&lt;=24,2,3),FALSE)),$C$3)*(1+Projection!J$16)*(1+IF(H165&gt;0,'Attrition Modeling'!$N$9,0)))</f>
        <v>0</v>
      </c>
      <c r="I100" s="799">
        <f>H100*(1-IFERROR(IF(I$69+$F100&lt;=12,SUMIFS('Attrition Modeling'!$D:$D,'Attrition Modeling'!$C:$C,'IP Attrition'!$D100,'Attrition Modeling'!$B:$B,'IP Attrition'!I$68),VLOOKUP($F100+I$2,$A$6:$C$106,2,FALSE)*VLOOKUP(I$1,'Attrition Modeling'!$L$15:$N$27,IF(I$2+$F33&lt;=24,2,3),FALSE)),$C$3)*(1+Projection!K$16)*(1+IF(I165&gt;0,'Attrition Modeling'!$N$9,0)))</f>
        <v>0</v>
      </c>
      <c r="J100" s="799">
        <f>I100*(1-IFERROR(IF(J$69+$F100&lt;=12,SUMIFS('Attrition Modeling'!$D:$D,'Attrition Modeling'!$C:$C,'IP Attrition'!$D100,'Attrition Modeling'!$B:$B,'IP Attrition'!J$68),VLOOKUP($F100+J$2,$A$6:$C$106,2,FALSE)*VLOOKUP(J$1,'Attrition Modeling'!$L$15:$N$27,IF(J$2+$F33&lt;=24,2,3),FALSE)),$C$3)*(1+Projection!L$16)*(1+IF(J165&gt;0,'Attrition Modeling'!$N$9,0)))</f>
        <v>0</v>
      </c>
      <c r="K100" s="799">
        <f>J100*(1-IFERROR(IF(K$69+$F100&lt;=12,SUMIFS('Attrition Modeling'!$D:$D,'Attrition Modeling'!$C:$C,'IP Attrition'!$D100,'Attrition Modeling'!$B:$B,'IP Attrition'!K$68),VLOOKUP($F100+K$2,$A$6:$C$106,2,FALSE)*VLOOKUP(K$1,'Attrition Modeling'!$L$15:$N$27,IF(K$2+$F33&lt;=24,2,3),FALSE)),$C$3)*(1+Projection!M$16)*(1+IF(K165&gt;0,'Attrition Modeling'!$N$9,0)))</f>
        <v>0</v>
      </c>
      <c r="L100" s="799">
        <f>K100*(1-IFERROR(IF(L$69+$F100&lt;=12,SUMIFS('Attrition Modeling'!$D:$D,'Attrition Modeling'!$C:$C,'IP Attrition'!$D100,'Attrition Modeling'!$B:$B,'IP Attrition'!L$68),VLOOKUP($F100+L$2,$A$6:$C$106,2,FALSE)*VLOOKUP(L$1,'Attrition Modeling'!$L$15:$N$27,IF(L$2+$F33&lt;=24,2,3),FALSE)),$C$3)*(1+Projection!N$16)*(1+IF(L165&gt;0,'Attrition Modeling'!$N$9,0)))</f>
        <v>0</v>
      </c>
      <c r="M100" s="799">
        <f>L100*(1-IFERROR(IF(M$69+$F100&lt;=12,SUMIFS('Attrition Modeling'!$D:$D,'Attrition Modeling'!$C:$C,'IP Attrition'!$D100,'Attrition Modeling'!$B:$B,'IP Attrition'!M$68),VLOOKUP($F100+M$2,$A$6:$C$106,2,FALSE)*VLOOKUP(M$1,'Attrition Modeling'!$L$15:$N$27,IF(M$2+$F33&lt;=24,2,3),FALSE)),$C$3)*(1+Projection!O$16)*(1+IF(M165&gt;0,'Attrition Modeling'!$N$9,0)))</f>
        <v>0</v>
      </c>
      <c r="N100" s="799">
        <f>M100*(1-IFERROR(IF(N$69+$F100&lt;=12,SUMIFS('Attrition Modeling'!$D:$D,'Attrition Modeling'!$C:$C,'IP Attrition'!$D100,'Attrition Modeling'!$B:$B,'IP Attrition'!N$68),VLOOKUP($F100+N$2,$A$6:$C$106,2,FALSE)*VLOOKUP(N$1,'Attrition Modeling'!$L$15:$N$27,IF(N$2+$F33&lt;=24,2,3),FALSE)),$C$3)*(1+Projection!P$16)*(1+IF(N165&gt;0,'Attrition Modeling'!$N$9,0)))</f>
        <v>0</v>
      </c>
      <c r="O100" s="799">
        <f>N100*(1-IFERROR(IF(O$69+$F100&lt;=12,SUMIFS('Attrition Modeling'!$D:$D,'Attrition Modeling'!$C:$C,'IP Attrition'!$D100,'Attrition Modeling'!$B:$B,'IP Attrition'!O$68),VLOOKUP($F100+O$2,$A$6:$C$106,2,FALSE)*VLOOKUP(O$1,'Attrition Modeling'!$L$15:$N$27,IF(O$2+$F33&lt;=24,2,3),FALSE)),$C$3)*(1+Projection!Q$16)*(1+IF(O165&gt;0,'Attrition Modeling'!$N$9,0)))</f>
        <v>0</v>
      </c>
      <c r="P100" s="799">
        <f>O100*(1-IFERROR(IF(P$69+$F100&lt;=12,SUMIFS('Attrition Modeling'!$D:$D,'Attrition Modeling'!$C:$C,'IP Attrition'!$D100,'Attrition Modeling'!$B:$B,'IP Attrition'!P$68),VLOOKUP($F100+P$2,$A$6:$C$106,2,FALSE)*VLOOKUP(P$1,'Attrition Modeling'!$L$15:$N$27,IF(P$2+$F33&lt;=24,2,3),FALSE)),$C$3)*(1+Projection!R$16)*(1+IF(P165&gt;0,'Attrition Modeling'!$N$9,0)))</f>
        <v>0</v>
      </c>
      <c r="Q100" s="799">
        <f>P100*(1-IFERROR(IF(Q$69+$F100&lt;=12,SUMIFS('Attrition Modeling'!$D:$D,'Attrition Modeling'!$C:$C,'IP Attrition'!$D100,'Attrition Modeling'!$B:$B,'IP Attrition'!Q$68),VLOOKUP($F100+Q$2,$A$6:$C$106,2,FALSE)*VLOOKUP(Q$1,'Attrition Modeling'!$L$15:$N$27,IF(Q$2+$F33&lt;=24,2,3),FALSE)),$C$3)*(1+Projection!S$16)*(1+IF(Q165&gt;0,'Attrition Modeling'!$N$9,0)))</f>
        <v>0</v>
      </c>
      <c r="R100" s="799">
        <f>Q100*(1-IFERROR(IF(R$69+$F100&lt;=12,SUMIFS('Attrition Modeling'!$D:$D,'Attrition Modeling'!$C:$C,'IP Attrition'!$D100,'Attrition Modeling'!$B:$B,'IP Attrition'!R$68),VLOOKUP($F100+R$2,$A$6:$C$106,2,FALSE)*VLOOKUP(R$1,'Attrition Modeling'!$L$15:$N$27,IF(R$2+$F33&lt;=24,2,3),FALSE)),$C$3)*(1+Projection!T$16)*(1+IF(R165&gt;0,'Attrition Modeling'!$N$9,0)))</f>
        <v>0</v>
      </c>
      <c r="S100" s="799">
        <f>R100*(1-IFERROR(IF(S$69+$F100&lt;=12,SUMIFS('Attrition Modeling'!$D:$D,'Attrition Modeling'!$C:$C,'IP Attrition'!$D100,'Attrition Modeling'!$B:$B,'IP Attrition'!S$68),VLOOKUP($F100+S$2,$A$6:$C$106,2,FALSE)*VLOOKUP(S$1,'Attrition Modeling'!$L$15:$N$27,IF(S$2+$F33&lt;=24,2,3),FALSE)),$C$3)*(1+Projection!U$16)*(1+IF(S165&gt;0,'Attrition Modeling'!$N$9,0)))</f>
        <v>0</v>
      </c>
      <c r="T100" s="799">
        <f>S100*(1-IFERROR(IF(T$69+$F100&lt;=12,SUMIFS('Attrition Modeling'!$D:$D,'Attrition Modeling'!$C:$C,'IP Attrition'!$D100,'Attrition Modeling'!$B:$B,'IP Attrition'!T$68),VLOOKUP($F100+T$2,$A$6:$C$106,2,FALSE)*VLOOKUP(T$1,'Attrition Modeling'!$L$15:$N$27,IF(T$2+$F33&lt;=24,2,3),FALSE)),$C$3)*(1+Projection!V$16)*(1+IF(T165&gt;0,'Attrition Modeling'!$N$9,0)))</f>
        <v>0</v>
      </c>
      <c r="U100" s="799">
        <f>T100*(1-IFERROR(IF(U$69+$F100&lt;=12,SUMIFS('Attrition Modeling'!$D:$D,'Attrition Modeling'!$C:$C,'IP Attrition'!$D100,'Attrition Modeling'!$B:$B,'IP Attrition'!U$68),VLOOKUP($F100+U$2,$A$6:$C$106,2,FALSE)*VLOOKUP(U$1,'Attrition Modeling'!$L$15:$N$27,IF(U$2+$F33&lt;=24,2,3),FALSE)),$C$3)*(1+Projection!W$16)*(1+IF(U165&gt;0,'Attrition Modeling'!$N$9,0)))</f>
        <v>0</v>
      </c>
      <c r="V100" s="799">
        <f>U100*(1-IFERROR(IF(V$69+$F100&lt;=12,SUMIFS('Attrition Modeling'!$D:$D,'Attrition Modeling'!$C:$C,'IP Attrition'!$D100,'Attrition Modeling'!$B:$B,'IP Attrition'!V$68),VLOOKUP($F100+V$2,$A$6:$C$106,2,FALSE)*VLOOKUP(V$1,'Attrition Modeling'!$L$15:$N$27,IF(V$2+$F33&lt;=24,2,3),FALSE)),$C$3)*(1+Projection!X$16)*(1+IF(V165&gt;0,'Attrition Modeling'!$N$9,0)))</f>
        <v>0</v>
      </c>
      <c r="W100" s="799">
        <f>V100*(1-IFERROR(IF(W$69+$F100&lt;=12,SUMIFS('Attrition Modeling'!$D:$D,'Attrition Modeling'!$C:$C,'IP Attrition'!$D100,'Attrition Modeling'!$B:$B,'IP Attrition'!W$68),VLOOKUP($F100+W$2,$A$6:$C$106,2,FALSE)*VLOOKUP(W$1,'Attrition Modeling'!$L$15:$N$27,IF(W$2+$F33&lt;=24,2,3),FALSE)),$C$3)*(1+Projection!Y$16)*(1+IF(W165&gt;0,'Attrition Modeling'!$N$9,0)))</f>
        <v>0</v>
      </c>
      <c r="X100" s="799">
        <f>W100*(1-IFERROR(IF(X$69+$F100&lt;=12,SUMIFS('Attrition Modeling'!$D:$D,'Attrition Modeling'!$C:$C,'IP Attrition'!$D100,'Attrition Modeling'!$B:$B,'IP Attrition'!X$68),VLOOKUP($F100+X$2,$A$6:$C$106,2,FALSE)*VLOOKUP(X$1,'Attrition Modeling'!$L$15:$N$27,IF(X$2+$F33&lt;=24,2,3),FALSE)),$C$3)*(1+Projection!Z$16)*(1+IF(X165&gt;0,'Attrition Modeling'!$N$9,0)))</f>
        <v>0</v>
      </c>
      <c r="Y100" s="799">
        <f>X100*(1-IFERROR(IF(Y$69+$F100&lt;=12,SUMIFS('Attrition Modeling'!$D:$D,'Attrition Modeling'!$C:$C,'IP Attrition'!$D100,'Attrition Modeling'!$B:$B,'IP Attrition'!Y$68),VLOOKUP($F100+Y$2,$A$6:$C$106,2,FALSE)*VLOOKUP(Y$1,'Attrition Modeling'!$L$15:$N$27,IF(Y$2+$F33&lt;=24,2,3),FALSE)),$C$3)*(1+Projection!AA$16)*(1+IF(Y165&gt;0,'Attrition Modeling'!$N$9,0)))</f>
        <v>0</v>
      </c>
      <c r="Z100" s="799">
        <f>Y100*(1-IFERROR(IF(Z$69+$F100&lt;=12,SUMIFS('Attrition Modeling'!$D:$D,'Attrition Modeling'!$C:$C,'IP Attrition'!$D100,'Attrition Modeling'!$B:$B,'IP Attrition'!Z$68),VLOOKUP($F100+Z$2,$A$6:$C$106,2,FALSE)*VLOOKUP(Z$1,'Attrition Modeling'!$L$15:$N$27,IF(Z$2+$F33&lt;=24,2,3),FALSE)),$C$3)*(1+Projection!AB$16)*(1+IF(Z165&gt;0,'Attrition Modeling'!$N$9,0)))</f>
        <v>0</v>
      </c>
      <c r="AA100" s="799">
        <f>Z100*(1-IFERROR(IF(AA$69+$F100&lt;=12,SUMIFS('Attrition Modeling'!$D:$D,'Attrition Modeling'!$C:$C,'IP Attrition'!$D100,'Attrition Modeling'!$B:$B,'IP Attrition'!AA$68),VLOOKUP($F100+AA$2,$A$6:$C$106,2,FALSE)*VLOOKUP(AA$1,'Attrition Modeling'!$L$15:$N$27,IF(AA$2+$F33&lt;=24,2,3),FALSE)),$C$3)*(1+Projection!AC$16)*(1+IF(AA165&gt;0,'Attrition Modeling'!$N$9,0)))</f>
        <v>0</v>
      </c>
      <c r="AB100" s="799">
        <f>AA100*(1-IFERROR(IF(AB$69+$F100&lt;=12,SUMIFS('Attrition Modeling'!$D:$D,'Attrition Modeling'!$C:$C,'IP Attrition'!$D100,'Attrition Modeling'!$B:$B,'IP Attrition'!AB$68),VLOOKUP($F100+AB$2,$A$6:$C$106,2,FALSE)*VLOOKUP(AB$1,'Attrition Modeling'!$L$15:$N$27,IF(AB$2+$F33&lt;=24,2,3),FALSE)),$C$3)*(1+Projection!AD$16)*(1+IF(AB165&gt;0,'Attrition Modeling'!$N$9,0)))</f>
        <v>0</v>
      </c>
      <c r="AC100" s="799">
        <f>AB100*(1-IFERROR(IF(AC$69+$F100&lt;=12,SUMIFS('Attrition Modeling'!$D:$D,'Attrition Modeling'!$C:$C,'IP Attrition'!$D100,'Attrition Modeling'!$B:$B,'IP Attrition'!AC$68),VLOOKUP($F100+AC$2,$A$6:$C$106,2,FALSE)*VLOOKUP(AC$1,'Attrition Modeling'!$L$15:$N$27,IF(AC$2+$F33&lt;=24,2,3),FALSE)),$C$3)*(1+Projection!AE$16)*(1+IF(AC165&gt;0,'Attrition Modeling'!$N$9,0)))</f>
        <v>0</v>
      </c>
      <c r="AD100" s="799">
        <f>AC100*(1-IFERROR(IF(AD$69+$F100&lt;=12,SUMIFS('Attrition Modeling'!$D:$D,'Attrition Modeling'!$C:$C,'IP Attrition'!$D100,'Attrition Modeling'!$B:$B,'IP Attrition'!AD$68),VLOOKUP($F100+AD$2,$A$6:$C$106,2,FALSE)*VLOOKUP(AD$1,'Attrition Modeling'!$L$15:$N$27,IF(AD$2+$F33&lt;=24,2,3),FALSE)),$C$3)*(1+Projection!AF$16)*(1+IF(AD165&gt;0,'Attrition Modeling'!$N$9,0)))</f>
        <v>0</v>
      </c>
      <c r="AE100" s="799">
        <f>AD100*(1-IFERROR(IF(AE$69+$F100&lt;=12,SUMIFS('Attrition Modeling'!$D:$D,'Attrition Modeling'!$C:$C,'IP Attrition'!$D100,'Attrition Modeling'!$B:$B,'IP Attrition'!AE$68),VLOOKUP($F100+AE$2,$A$6:$C$106,2,FALSE)*VLOOKUP(AE$1,'Attrition Modeling'!$L$15:$N$27,IF(AE$2+$F33&lt;=24,2,3),FALSE)),$C$3)*(1+Projection!AG$16)*(1+IF(AE165&gt;0,'Attrition Modeling'!$N$9,0)))</f>
        <v>0</v>
      </c>
      <c r="AF100" s="799">
        <f>AE100*(1-IFERROR(IF(AF$69+$F100&lt;=12,SUMIFS('Attrition Modeling'!$D:$D,'Attrition Modeling'!$C:$C,'IP Attrition'!$D100,'Attrition Modeling'!$B:$B,'IP Attrition'!AF$68),VLOOKUP($F100+AF$2,$A$6:$C$106,2,FALSE)*VLOOKUP(AF$1,'Attrition Modeling'!$L$15:$N$27,IF(AF$2+$F33&lt;=24,2,3),FALSE)),$C$3)*(1+Projection!AH$16)*(1+IF(AF165&gt;0,'Attrition Modeling'!$N$9,0)))</f>
        <v>0</v>
      </c>
      <c r="AG100" s="799">
        <f>AF100*(1-IFERROR(IF(AG$69+$F100&lt;=12,SUMIFS('Attrition Modeling'!$D:$D,'Attrition Modeling'!$C:$C,'IP Attrition'!$D100,'Attrition Modeling'!$B:$B,'IP Attrition'!AG$68),VLOOKUP($F100+AG$2,$A$6:$C$106,2,FALSE)*VLOOKUP(AG$1,'Attrition Modeling'!$L$15:$N$27,IF(AG$2+$F33&lt;=24,2,3),FALSE)),$C$3)*(1+Projection!AI$16)*(1+IF(AG165&gt;0,'Attrition Modeling'!$N$9,0)))</f>
        <v>0</v>
      </c>
      <c r="AH100" s="799">
        <f>AG100*(1-IFERROR(IF(AH$69+$F100&lt;=12,SUMIFS('Attrition Modeling'!$D:$D,'Attrition Modeling'!$C:$C,'IP Attrition'!$D100,'Attrition Modeling'!$B:$B,'IP Attrition'!AH$68),VLOOKUP($F100+AH$2,$A$6:$C$106,2,FALSE)*VLOOKUP(AH$1,'Attrition Modeling'!$L$15:$N$27,IF(AH$2+$F33&lt;=24,2,3),FALSE)),$C$3)*(1+Projection!AJ$16)*(1+IF(AH165&gt;0,'Attrition Modeling'!$N$9,0)))</f>
        <v>0</v>
      </c>
      <c r="AI100" s="799">
        <f>AH100*(1-IFERROR(IF(AI$69+$F100&lt;=12,SUMIFS('Attrition Modeling'!$D:$D,'Attrition Modeling'!$C:$C,'IP Attrition'!$D100,'Attrition Modeling'!$B:$B,'IP Attrition'!AI$68),VLOOKUP($F100+AI$2,$A$6:$C$106,2,FALSE)*VLOOKUP(AI$1,'Attrition Modeling'!$L$15:$N$27,IF(AI$2+$F33&lt;=24,2,3),FALSE)),$C$3)*(1+Projection!AK$16)*(1+IF(AI165&gt;0,'Attrition Modeling'!$N$9,0)))</f>
        <v>0</v>
      </c>
      <c r="AJ100" s="799">
        <f>AI100*(1-IFERROR(IF(AJ$69+$F100&lt;=12,SUMIFS('Attrition Modeling'!$D:$D,'Attrition Modeling'!$C:$C,'IP Attrition'!$D100,'Attrition Modeling'!$B:$B,'IP Attrition'!AJ$68),VLOOKUP($F100+AJ$2,$A$6:$C$106,2,FALSE)*VLOOKUP(AJ$1,'Attrition Modeling'!$L$15:$N$27,IF(AJ$2+$F33&lt;=24,2,3),FALSE)),$C$3)*(1+Projection!AL$16)*(1+IF(AJ165&gt;0,'Attrition Modeling'!$N$9,0)))</f>
        <v>0</v>
      </c>
      <c r="AK100" s="799">
        <f>AJ100*(1-IFERROR(IF(AK$69+$F100&lt;=12,SUMIFS('Attrition Modeling'!$D:$D,'Attrition Modeling'!$C:$C,'IP Attrition'!$D100,'Attrition Modeling'!$B:$B,'IP Attrition'!AK$68),VLOOKUP($F100+AK$2,$A$6:$C$106,2,FALSE)*VLOOKUP(AK$1,'Attrition Modeling'!$L$15:$N$27,IF(AK$2+$F33&lt;=24,2,3),FALSE)),$C$3)*(1+Projection!AM$16)*(1+IF(AK165&gt;0,'Attrition Modeling'!$N$9,0)))</f>
        <v>0</v>
      </c>
      <c r="AL100" s="799">
        <f>AK100*(1-IFERROR(IF(AL$69+$F100&lt;=12,SUMIFS('Attrition Modeling'!$D:$D,'Attrition Modeling'!$C:$C,'IP Attrition'!$D100,'Attrition Modeling'!$B:$B,'IP Attrition'!AL$68),VLOOKUP($F100+AL$2,$A$6:$C$106,2,FALSE)*VLOOKUP(AL$1,'Attrition Modeling'!$L$15:$N$27,IF(AL$2+$F33&lt;=24,2,3),FALSE)),$C$3)*(1+Projection!AN$16)*(1+IF(AL165&gt;0,'Attrition Modeling'!$N$9,0)))</f>
        <v>0</v>
      </c>
      <c r="AM100" s="799">
        <f>AL100*(1-IFERROR(IF(AM$69+$F100&lt;=12,SUMIFS('Attrition Modeling'!$D:$D,'Attrition Modeling'!$C:$C,'IP Attrition'!$D100,'Attrition Modeling'!$B:$B,'IP Attrition'!AM$68),VLOOKUP($F100+AM$2,$A$6:$C$106,2,FALSE)*VLOOKUP(AM$1,'Attrition Modeling'!$L$15:$N$27,IF(AM$2+$F33&lt;=24,2,3),FALSE)),$C$3)*(1+Projection!AO$16)*(1+IF(AM165&gt;0,'Attrition Modeling'!$N$9,0)))</f>
        <v>0</v>
      </c>
      <c r="AN100" s="799">
        <f>AM100*(1-IFERROR(IF(AN$69+$F100&lt;=12,SUMIFS('Attrition Modeling'!$D:$D,'Attrition Modeling'!$C:$C,'IP Attrition'!$D100,'Attrition Modeling'!$B:$B,'IP Attrition'!AN$68),VLOOKUP($F100+AN$2,$A$6:$C$106,2,FALSE)*VLOOKUP(AN$1,'Attrition Modeling'!$L$15:$N$27,IF(AN$2+$F33&lt;=24,2,3),FALSE)),$C$3)*(1+Projection!AP$16)*(1+IF(AN165&gt;0,'Attrition Modeling'!$N$9,0)))</f>
        <v>0</v>
      </c>
      <c r="AO100" s="799">
        <f>AN100*(1-IFERROR(IF(AO$69+$F100&lt;=12,SUMIFS('Attrition Modeling'!$D:$D,'Attrition Modeling'!$C:$C,'IP Attrition'!$D100,'Attrition Modeling'!$B:$B,'IP Attrition'!AO$68),VLOOKUP($F100+AO$2,$A$6:$C$106,2,FALSE)*VLOOKUP(AO$1,'Attrition Modeling'!$L$15:$N$27,IF(AO$2+$F33&lt;=24,2,3),FALSE)),$C$3)*(1+Projection!AQ$16)*(1+IF(AO165&gt;0,'Attrition Modeling'!$N$9,0)))</f>
        <v>0</v>
      </c>
      <c r="AP100" s="799">
        <f>AO100*(1-IFERROR(IF(AP$69+$F100&lt;=12,SUMIFS('Attrition Modeling'!$D:$D,'Attrition Modeling'!$C:$C,'IP Attrition'!$D100,'Attrition Modeling'!$B:$B,'IP Attrition'!AP$68),VLOOKUP($F100+AP$2,$A$6:$C$106,2,FALSE)*VLOOKUP(AP$1,'Attrition Modeling'!$L$15:$N$27,IF(AP$2+$F33&lt;=24,2,3),FALSE)),$C$3)*(1+Projection!AR$16)*(1+IF(AP165&gt;0,'Attrition Modeling'!$N$9,0)))</f>
        <v>0</v>
      </c>
      <c r="AQ100" s="799">
        <f>AP100*(1-IFERROR(IF(AQ$69+$F100&lt;=12,SUMIFS('Attrition Modeling'!$D:$D,'Attrition Modeling'!$C:$C,'IP Attrition'!$D100,'Attrition Modeling'!$B:$B,'IP Attrition'!AQ$68),VLOOKUP($F100+AQ$2,$A$6:$C$106,2,FALSE)*VLOOKUP(AQ$1,'Attrition Modeling'!$L$15:$N$27,IF(AQ$2+$F33&lt;=24,2,3),FALSE)),$C$3)*(1+Projection!AS$16)*(1+IF(AQ165&gt;0,'Attrition Modeling'!$N$9,0)))</f>
        <v>0</v>
      </c>
      <c r="AR100" s="799">
        <f>AQ100*(1-IFERROR(IF(AR$69+$F100&lt;=12,SUMIFS('Attrition Modeling'!$D:$D,'Attrition Modeling'!$C:$C,'IP Attrition'!$D100,'Attrition Modeling'!$B:$B,'IP Attrition'!AR$68),VLOOKUP($F100+AR$2,$A$6:$C$106,2,FALSE)*VLOOKUP(AR$1,'Attrition Modeling'!$L$15:$N$27,IF(AR$2+$F33&lt;=24,2,3),FALSE)),$C$3)*(1+Projection!AT$16)*(1+IF(AR165&gt;0,'Attrition Modeling'!$N$9,0)))</f>
        <v>0</v>
      </c>
      <c r="AS100" s="799">
        <f>AR100*(1-IFERROR(IF(AS$69+$F100&lt;=12,SUMIFS('Attrition Modeling'!$D:$D,'Attrition Modeling'!$C:$C,'IP Attrition'!$D100,'Attrition Modeling'!$B:$B,'IP Attrition'!AS$68),VLOOKUP($F100+AS$2,$A$6:$C$106,2,FALSE)*VLOOKUP(AS$1,'Attrition Modeling'!$L$15:$N$27,IF(AS$2+$F33&lt;=24,2,3),FALSE)),$C$3)*(1+Projection!AU$16)*(1+IF(AS165&gt;0,'Attrition Modeling'!$N$9,0)))</f>
        <v>0</v>
      </c>
      <c r="AT100" s="799">
        <f>AS100*(1-IFERROR(IF(AT$69+$F100&lt;=12,SUMIFS('Attrition Modeling'!$D:$D,'Attrition Modeling'!$C:$C,'IP Attrition'!$D100,'Attrition Modeling'!$B:$B,'IP Attrition'!AT$68),VLOOKUP($F100+AT$2,$A$6:$C$106,2,FALSE)*VLOOKUP(AT$1,'Attrition Modeling'!$L$15:$N$27,IF(AT$2+$F33&lt;=24,2,3),FALSE)),$C$3)*(1+Projection!AV$16)*(1+IF(AT165&gt;0,'Attrition Modeling'!$N$9,0)))</f>
        <v>0</v>
      </c>
      <c r="AU100" s="799">
        <f>AT100*(1-IFERROR(IF(AU$69+$F100&lt;=12,SUMIFS('Attrition Modeling'!$D:$D,'Attrition Modeling'!$C:$C,'IP Attrition'!$D100,'Attrition Modeling'!$B:$B,'IP Attrition'!AU$68),VLOOKUP($F100+AU$2,$A$6:$C$106,2,FALSE)*VLOOKUP(AU$1,'Attrition Modeling'!$L$15:$N$27,IF(AU$2+$F33&lt;=24,2,3),FALSE)),$C$3)*(1+Projection!AW$16)*(1+IF(AU165&gt;0,'Attrition Modeling'!$N$9,0)))</f>
        <v>0</v>
      </c>
      <c r="AV100" s="799">
        <f>AU100*(1-IFERROR(IF(AV$69+$F100&lt;=12,SUMIFS('Attrition Modeling'!$D:$D,'Attrition Modeling'!$C:$C,'IP Attrition'!$D100,'Attrition Modeling'!$B:$B,'IP Attrition'!AV$68),VLOOKUP($F100+AV$2,$A$6:$C$106,2,FALSE)*VLOOKUP(AV$1,'Attrition Modeling'!$L$15:$N$27,IF(AV$2+$F33&lt;=24,2,3),FALSE)),$C$3)*(1+Projection!AX$16)*(1+IF(AV165&gt;0,'Attrition Modeling'!$N$9,0)))</f>
        <v>0</v>
      </c>
      <c r="AW100" s="799">
        <f>AV100*(1-IFERROR(IF(AW$69+$F100&lt;=12,SUMIFS('Attrition Modeling'!$D:$D,'Attrition Modeling'!$C:$C,'IP Attrition'!$D100,'Attrition Modeling'!$B:$B,'IP Attrition'!AW$68),VLOOKUP($F100+AW$2,$A$6:$C$106,2,FALSE)*VLOOKUP(AW$1,'Attrition Modeling'!$L$15:$N$27,IF(AW$2+$F33&lt;=24,2,3),FALSE)),$C$3)*(1+Projection!AY$16)*(1+IF(AW165&gt;0,'Attrition Modeling'!$N$9,0)))</f>
        <v>0</v>
      </c>
      <c r="AX100" s="799">
        <f>AW100*(1-IFERROR(IF(AX$69+$F100&lt;=12,SUMIFS('Attrition Modeling'!$D:$D,'Attrition Modeling'!$C:$C,'IP Attrition'!$D100,'Attrition Modeling'!$B:$B,'IP Attrition'!AX$68),VLOOKUP($F100+AX$2,$A$6:$C$106,2,FALSE)*VLOOKUP(AX$1,'Attrition Modeling'!$L$15:$N$27,IF(AX$2+$F33&lt;=24,2,3),FALSE)),$C$3)*(1+Projection!AZ$16)*(1+IF(AX165&gt;0,'Attrition Modeling'!$N$9,0)))</f>
        <v>0</v>
      </c>
      <c r="AY100" s="799">
        <f>AX100*(1-IFERROR(IF(AY$69+$F100&lt;=12,SUMIFS('Attrition Modeling'!$D:$D,'Attrition Modeling'!$C:$C,'IP Attrition'!$D100,'Attrition Modeling'!$B:$B,'IP Attrition'!AY$68),VLOOKUP($F100+AY$2,$A$6:$C$106,2,FALSE)*VLOOKUP(AY$1,'Attrition Modeling'!$L$15:$N$27,IF(AY$2+$F33&lt;=24,2,3),FALSE)),$C$3)*(1+Projection!BA$16)*(1+IF(AY165&gt;0,'Attrition Modeling'!$N$9,0)))</f>
        <v>0</v>
      </c>
      <c r="AZ100" s="799">
        <f>AY100*(1-IFERROR(IF(AZ$69+$F100&lt;=12,SUMIFS('Attrition Modeling'!$D:$D,'Attrition Modeling'!$C:$C,'IP Attrition'!$D100,'Attrition Modeling'!$B:$B,'IP Attrition'!AZ$68),VLOOKUP($F100+AZ$2,$A$6:$C$106,2,FALSE)*VLOOKUP(AZ$1,'Attrition Modeling'!$L$15:$N$27,IF(AZ$2+$F33&lt;=24,2,3),FALSE)),$C$3)*(1+Projection!BB$16)*(1+IF(AZ165&gt;0,'Attrition Modeling'!$N$9,0)))</f>
        <v>0</v>
      </c>
      <c r="BA100" s="799">
        <f>AZ100*(1-IFERROR(IF(BA$69+$F100&lt;=12,SUMIFS('Attrition Modeling'!$D:$D,'Attrition Modeling'!$C:$C,'IP Attrition'!$D100,'Attrition Modeling'!$B:$B,'IP Attrition'!BA$68),VLOOKUP($F100+BA$2,$A$6:$C$106,2,FALSE)*VLOOKUP(BA$1,'Attrition Modeling'!$L$15:$N$27,IF(BA$2+$F33&lt;=24,2,3),FALSE)),$C$3)*(1+Projection!BC$16)*(1+IF(BA165&gt;0,'Attrition Modeling'!$N$9,0)))</f>
        <v>0</v>
      </c>
      <c r="BB100" s="799">
        <f>BA100*(1-IFERROR(IF(BB$69+$F100&lt;=12,SUMIFS('Attrition Modeling'!$D:$D,'Attrition Modeling'!$C:$C,'IP Attrition'!$D100,'Attrition Modeling'!$B:$B,'IP Attrition'!BB$68),VLOOKUP($F100+BB$2,$A$6:$C$106,2,FALSE)*VLOOKUP(BB$1,'Attrition Modeling'!$L$15:$N$27,IF(BB$2+$F33&lt;=24,2,3),FALSE)),$C$3)*(1+Projection!BD$16)*(1+IF(BB165&gt;0,'Attrition Modeling'!$N$9,0)))</f>
        <v>0</v>
      </c>
      <c r="BC100" s="799">
        <f>BB100*(1-IFERROR(IF(BC$69+$F100&lt;=12,SUMIFS('Attrition Modeling'!$D:$D,'Attrition Modeling'!$C:$C,'IP Attrition'!$D100,'Attrition Modeling'!$B:$B,'IP Attrition'!BC$68),VLOOKUP($F100+BC$2,$A$6:$C$106,2,FALSE)*VLOOKUP(BC$1,'Attrition Modeling'!$L$15:$N$27,IF(BC$2+$F33&lt;=24,2,3),FALSE)),$C$3)*(1+Projection!BE$16)*(1+IF(BC165&gt;0,'Attrition Modeling'!$N$9,0)))</f>
        <v>0</v>
      </c>
      <c r="BD100" s="799">
        <f>BC100*(1-IFERROR(IF(BD$69+$F100&lt;=12,SUMIFS('Attrition Modeling'!$D:$D,'Attrition Modeling'!$C:$C,'IP Attrition'!$D100,'Attrition Modeling'!$B:$B,'IP Attrition'!BD$68),VLOOKUP($F100+BD$2,$A$6:$C$106,2,FALSE)*VLOOKUP(BD$1,'Attrition Modeling'!$L$15:$N$27,IF(BD$2+$F33&lt;=24,2,3),FALSE)),$C$3)*(1+Projection!BF$16)*(1+IF(BD165&gt;0,'Attrition Modeling'!$N$9,0)))</f>
        <v>0</v>
      </c>
      <c r="BE100" s="799">
        <f>BD100*(1-IFERROR(IF(BE$69+$F100&lt;=12,SUMIFS('Attrition Modeling'!$D:$D,'Attrition Modeling'!$C:$C,'IP Attrition'!$D100,'Attrition Modeling'!$B:$B,'IP Attrition'!BE$68),VLOOKUP($F100+BE$2,$A$6:$C$106,2,FALSE)*VLOOKUP(BE$1,'Attrition Modeling'!$L$15:$N$27,IF(BE$2+$F33&lt;=24,2,3),FALSE)),$C$3)*(1+Projection!BG$16)*(1+IF(BE165&gt;0,'Attrition Modeling'!$N$9,0)))</f>
        <v>0</v>
      </c>
      <c r="BF100" s="799">
        <f>BE100*(1-IFERROR(IF(BF$69+$F100&lt;=12,SUMIFS('Attrition Modeling'!$D:$D,'Attrition Modeling'!$C:$C,'IP Attrition'!$D100,'Attrition Modeling'!$B:$B,'IP Attrition'!BF$68),VLOOKUP($F100+BF$2,$A$6:$C$106,2,FALSE)*VLOOKUP(BF$1,'Attrition Modeling'!$L$15:$N$27,IF(BF$2+$F33&lt;=24,2,3),FALSE)),$C$3)*(1+Projection!BH$16)*(1+IF(BF165&gt;0,'Attrition Modeling'!$N$9,0)))</f>
        <v>0</v>
      </c>
      <c r="BG100" s="799">
        <f>BF100*(1-IFERROR(IF(BG$69+$F100&lt;=12,SUMIFS('Attrition Modeling'!$D:$D,'Attrition Modeling'!$C:$C,'IP Attrition'!$D100,'Attrition Modeling'!$B:$B,'IP Attrition'!BG$68),VLOOKUP($F100+BG$2,$A$6:$C$106,2,FALSE)*VLOOKUP(BG$1,'Attrition Modeling'!$L$15:$N$27,IF(BG$2+$F33&lt;=24,2,3),FALSE)),$C$3)*(1+Projection!BI$16)*(1+IF(BG165&gt;0,'Attrition Modeling'!$N$9,0)))</f>
        <v>0</v>
      </c>
      <c r="BH100" s="799">
        <f>BG100*(1-IFERROR(IF(BH$69+$F100&lt;=12,SUMIFS('Attrition Modeling'!$D:$D,'Attrition Modeling'!$C:$C,'IP Attrition'!$D100,'Attrition Modeling'!$B:$B,'IP Attrition'!BH$68),VLOOKUP($F100+BH$2,$A$6:$C$106,2,FALSE)*VLOOKUP(BH$1,'Attrition Modeling'!$L$15:$N$27,IF(BH$2+$F33&lt;=24,2,3),FALSE)),$C$3)*(1+Projection!BJ$16)*(1+IF(BH165&gt;0,'Attrition Modeling'!$N$9,0)))</f>
        <v>0</v>
      </c>
      <c r="BI100" s="799">
        <f>BH100*(1-IFERROR(IF(BI$69+$F100&lt;=12,SUMIFS('Attrition Modeling'!$D:$D,'Attrition Modeling'!$C:$C,'IP Attrition'!$D100,'Attrition Modeling'!$B:$B,'IP Attrition'!BI$68),VLOOKUP($F100+BI$2,$A$6:$C$106,2,FALSE)*VLOOKUP(BI$1,'Attrition Modeling'!$L$15:$N$27,IF(BI$2+$F33&lt;=24,2,3),FALSE)),$C$3)*(1+Projection!BK$16)*(1+IF(BI165&gt;0,'Attrition Modeling'!$N$9,0)))</f>
        <v>0</v>
      </c>
      <c r="BJ100" s="799">
        <f>BI100*(1-IFERROR(IF(BJ$69+$F100&lt;=12,SUMIFS('Attrition Modeling'!$D:$D,'Attrition Modeling'!$C:$C,'IP Attrition'!$D100,'Attrition Modeling'!$B:$B,'IP Attrition'!BJ$68),VLOOKUP($F100+BJ$2,$A$6:$C$106,2,FALSE)*VLOOKUP(BJ$1,'Attrition Modeling'!$L$15:$N$27,IF(BJ$2+$F33&lt;=24,2,3),FALSE)),$C$3)*(1+Projection!BL$16)*(1+IF(BJ165&gt;0,'Attrition Modeling'!$N$9,0)))</f>
        <v>0</v>
      </c>
      <c r="BK100" s="799">
        <f>BJ100*(1-IFERROR(IF(BK$69+$F100&lt;=12,SUMIFS('Attrition Modeling'!$D:$D,'Attrition Modeling'!$C:$C,'IP Attrition'!$D100,'Attrition Modeling'!$B:$B,'IP Attrition'!BK$68),VLOOKUP($F100+BK$2,$A$6:$C$106,2,FALSE)*VLOOKUP(BK$1,'Attrition Modeling'!$L$15:$N$27,IF(BK$2+$F33&lt;=24,2,3),FALSE)),$C$3)*(1+Projection!BM$16)*(1+IF(BK165&gt;0,'Attrition Modeling'!$N$9,0)))</f>
        <v>0</v>
      </c>
      <c r="BL100" s="799">
        <f>BK100*(1-IFERROR(IF(BL$69+$F100&lt;=12,SUMIFS('Attrition Modeling'!$D:$D,'Attrition Modeling'!$C:$C,'IP Attrition'!$D100,'Attrition Modeling'!$B:$B,'IP Attrition'!BL$68),VLOOKUP($F100+BL$2,$A$6:$C$106,2,FALSE)*VLOOKUP(BL$1,'Attrition Modeling'!$L$15:$N$27,IF(BL$2+$F33&lt;=24,2,3),FALSE)),$C$3)*(1+Projection!BN$16)*(1+IF(BL165&gt;0,'Attrition Modeling'!$N$9,0)))</f>
        <v>0</v>
      </c>
      <c r="BM100" s="799">
        <f>BL100*(1-IFERROR(IF(BM$69+$F100&lt;=12,SUMIFS('Attrition Modeling'!$D:$D,'Attrition Modeling'!$C:$C,'IP Attrition'!$D100,'Attrition Modeling'!$B:$B,'IP Attrition'!BM$68),VLOOKUP($F100+BM$2,$A$6:$C$106,2,FALSE)*VLOOKUP(BM$1,'Attrition Modeling'!$L$15:$N$27,IF(BM$2+$F33&lt;=24,2,3),FALSE)),$C$3)*(1+Projection!BO$16)*(1+IF(BM165&gt;0,'Attrition Modeling'!$N$9,0)))</f>
        <v>0</v>
      </c>
      <c r="BN100" s="799">
        <f>BM100*(1-IFERROR(IF(BN$69+$F100&lt;=12,SUMIFS('Attrition Modeling'!$D:$D,'Attrition Modeling'!$C:$C,'IP Attrition'!$D100,'Attrition Modeling'!$B:$B,'IP Attrition'!BN$68),VLOOKUP($F100+BN$2,$A$6:$C$106,2,FALSE)*VLOOKUP(BN$1,'Attrition Modeling'!$L$15:$N$27,IF(BN$2+$F33&lt;=24,2,3),FALSE)),$C$3)*(1+Projection!BP$16)*(1+IF(BN165&gt;0,'Attrition Modeling'!$N$9,0)))</f>
        <v>0</v>
      </c>
      <c r="BO100" s="799">
        <f>BN100*(1-IFERROR(IF(BO$69+$F100&lt;=12,SUMIFS('Attrition Modeling'!$D:$D,'Attrition Modeling'!$C:$C,'IP Attrition'!$D100,'Attrition Modeling'!$B:$B,'IP Attrition'!BO$68),VLOOKUP($F100+BO$2,$A$6:$C$106,2,FALSE)*VLOOKUP(BO$1,'Attrition Modeling'!$L$15:$N$27,IF(BO$2+$F33&lt;=24,2,3),FALSE)),$C$3)*(1+Projection!BV$16)*(1+IF(BO165&gt;0,'Attrition Modeling'!$N$9,0)))</f>
        <v>0</v>
      </c>
      <c r="BP100" s="799">
        <f>BO100*(1-IFERROR(IF(BP$69+$F100&lt;=12,SUMIFS('Attrition Modeling'!$D:$D,'Attrition Modeling'!$C:$C,'IP Attrition'!$D100,'Attrition Modeling'!$B:$B,'IP Attrition'!BP$68),VLOOKUP($F100+BP$2,$A$6:$C$106,2,FALSE)*VLOOKUP(BP$1,'Attrition Modeling'!$L$15:$N$27,IF(BP$2+$F33&lt;=24,2,3),FALSE)),$C$3)*(1+Projection!BW$16)*(1+IF(BP165&gt;0,'Attrition Modeling'!$N$9,0)))</f>
        <v>0</v>
      </c>
      <c r="BQ100" s="799">
        <f>BP100*(1-IFERROR(IF(BQ$69+$F100&lt;=12,SUMIFS('Attrition Modeling'!$D:$D,'Attrition Modeling'!$C:$C,'IP Attrition'!$D100,'Attrition Modeling'!$B:$B,'IP Attrition'!BQ$68),VLOOKUP($F100+BQ$2,$A$6:$C$106,2,FALSE)*VLOOKUP(BQ$1,'Attrition Modeling'!$L$15:$N$27,IF(BQ$2+$F33&lt;=24,2,3),FALSE)),$C$3)*(1+Projection!BX$16)*(1+IF(BQ165&gt;0,'Attrition Modeling'!$N$9,0)))</f>
        <v>0</v>
      </c>
      <c r="BR100" s="799">
        <f>BQ100*(1-IFERROR(IF(BR$69+$F100&lt;=12,SUMIFS('Attrition Modeling'!$D:$D,'Attrition Modeling'!$C:$C,'IP Attrition'!$D100,'Attrition Modeling'!$B:$B,'IP Attrition'!BR$68),VLOOKUP($F100+BR$2,$A$6:$C$106,2,FALSE)*VLOOKUP(BR$1,'Attrition Modeling'!$L$15:$N$27,IF(BR$2+$F33&lt;=24,2,3),FALSE)),$C$3)*(1+Projection!BY$16)*(1+IF(BR165&gt;0,'Attrition Modeling'!$N$9,0)))</f>
        <v>0</v>
      </c>
      <c r="BS100" s="799">
        <f>BR100*(1-IFERROR(IF(BS$69+$F100&lt;=12,SUMIFS('Attrition Modeling'!$D:$D,'Attrition Modeling'!$C:$C,'IP Attrition'!$D100,'Attrition Modeling'!$B:$B,'IP Attrition'!BS$68),VLOOKUP($F100+BS$2,$A$6:$C$106,2,FALSE)*VLOOKUP(BS$1,'Attrition Modeling'!$L$15:$N$27,IF(BS$2+$F33&lt;=24,2,3),FALSE)),$C$3)*(1+Projection!BZ$16)*(1+IF(BS165&gt;0,'Attrition Modeling'!$N$9,0)))</f>
        <v>0</v>
      </c>
      <c r="BT100" s="799" t="e">
        <f>BS100*(1-IFERROR(IF(BT$69+$F100&lt;=12,SUMIFS('Attrition Modeling'!$D:$D,'Attrition Modeling'!$C:$C,'IP Attrition'!$D100,'Attrition Modeling'!$B:$B,'IP Attrition'!BT$68),VLOOKUP($F100+BT$2,$A$6:$C$106,2,FALSE)*VLOOKUP(BT$1,'Attrition Modeling'!$L$15:$N$27,IF(BT$2+$F33&lt;=24,2,3),FALSE)),$C$3)*(1+Projection!CA$16)*(1+IF(BT165&gt;0,'Attrition Modeling'!$N$9,0)))</f>
        <v>#REF!</v>
      </c>
      <c r="BU100" s="799" t="e">
        <f>BT100*(1-IFERROR(IF(BU$69+$F100&lt;=12,SUMIFS('Attrition Modeling'!$D:$D,'Attrition Modeling'!$C:$C,'IP Attrition'!$D100,'Attrition Modeling'!$B:$B,'IP Attrition'!BU$68),VLOOKUP($F100+BU$2,$A$6:$C$106,2,FALSE)*VLOOKUP(BU$1,'Attrition Modeling'!$L$15:$N$27,IF(BU$2+$F33&lt;=24,2,3),FALSE)),$C$3)*(1+Projection!CB$16)*(1+IF(BU165&gt;0,'Attrition Modeling'!$N$9,0)))</f>
        <v>#REF!</v>
      </c>
    </row>
    <row r="101" spans="1:73" ht="14.25" customHeight="1" x14ac:dyDescent="0.2">
      <c r="A101" s="9">
        <v>94</v>
      </c>
      <c r="B101" s="25">
        <f>MAX('Attrition Modeling'!H98,$C$3)*(1-Summary!$C$20)</f>
        <v>0.02</v>
      </c>
      <c r="C101" s="24" t="e">
        <f t="shared" si="3"/>
        <v>#DIV/0!</v>
      </c>
      <c r="D101" s="11">
        <f t="shared" ref="D101:E101" si="39">D34</f>
        <v>-31</v>
      </c>
      <c r="E101" s="25">
        <f t="shared" si="39"/>
        <v>0</v>
      </c>
      <c r="F101" s="11">
        <f t="shared" si="9"/>
        <v>31</v>
      </c>
      <c r="G101" s="799">
        <f>Summary!$C$24*$E101</f>
        <v>0</v>
      </c>
      <c r="H101" s="799">
        <f>G101*(1-IFERROR(IF(H$69+$F101&lt;=12,SUMIFS('Attrition Modeling'!$D:$D,'Attrition Modeling'!$C:$C,'IP Attrition'!$D101,'Attrition Modeling'!$B:$B,'IP Attrition'!H$68),VLOOKUP($F101+H$2,$A$6:$C$106,2,FALSE)*VLOOKUP(H$1,'Attrition Modeling'!$L$15:$N$27,IF(H$2+$F34&lt;=24,2,3),FALSE)),$C$3)*(1+Projection!J$16)*(1+IF(H166&gt;0,'Attrition Modeling'!$N$9,0)))</f>
        <v>0</v>
      </c>
      <c r="I101" s="799">
        <f>H101*(1-IFERROR(IF(I$69+$F101&lt;=12,SUMIFS('Attrition Modeling'!$D:$D,'Attrition Modeling'!$C:$C,'IP Attrition'!$D101,'Attrition Modeling'!$B:$B,'IP Attrition'!I$68),VLOOKUP($F101+I$2,$A$6:$C$106,2,FALSE)*VLOOKUP(I$1,'Attrition Modeling'!$L$15:$N$27,IF(I$2+$F34&lt;=24,2,3),FALSE)),$C$3)*(1+Projection!K$16)*(1+IF(I166&gt;0,'Attrition Modeling'!$N$9,0)))</f>
        <v>0</v>
      </c>
      <c r="J101" s="799">
        <f>I101*(1-IFERROR(IF(J$69+$F101&lt;=12,SUMIFS('Attrition Modeling'!$D:$D,'Attrition Modeling'!$C:$C,'IP Attrition'!$D101,'Attrition Modeling'!$B:$B,'IP Attrition'!J$68),VLOOKUP($F101+J$2,$A$6:$C$106,2,FALSE)*VLOOKUP(J$1,'Attrition Modeling'!$L$15:$N$27,IF(J$2+$F34&lt;=24,2,3),FALSE)),$C$3)*(1+Projection!L$16)*(1+IF(J166&gt;0,'Attrition Modeling'!$N$9,0)))</f>
        <v>0</v>
      </c>
      <c r="K101" s="799">
        <f>J101*(1-IFERROR(IF(K$69+$F101&lt;=12,SUMIFS('Attrition Modeling'!$D:$D,'Attrition Modeling'!$C:$C,'IP Attrition'!$D101,'Attrition Modeling'!$B:$B,'IP Attrition'!K$68),VLOOKUP($F101+K$2,$A$6:$C$106,2,FALSE)*VLOOKUP(K$1,'Attrition Modeling'!$L$15:$N$27,IF(K$2+$F34&lt;=24,2,3),FALSE)),$C$3)*(1+Projection!M$16)*(1+IF(K166&gt;0,'Attrition Modeling'!$N$9,0)))</f>
        <v>0</v>
      </c>
      <c r="L101" s="799">
        <f>K101*(1-IFERROR(IF(L$69+$F101&lt;=12,SUMIFS('Attrition Modeling'!$D:$D,'Attrition Modeling'!$C:$C,'IP Attrition'!$D101,'Attrition Modeling'!$B:$B,'IP Attrition'!L$68),VLOOKUP($F101+L$2,$A$6:$C$106,2,FALSE)*VLOOKUP(L$1,'Attrition Modeling'!$L$15:$N$27,IF(L$2+$F34&lt;=24,2,3),FALSE)),$C$3)*(1+Projection!N$16)*(1+IF(L166&gt;0,'Attrition Modeling'!$N$9,0)))</f>
        <v>0</v>
      </c>
      <c r="M101" s="799">
        <f>L101*(1-IFERROR(IF(M$69+$F101&lt;=12,SUMIFS('Attrition Modeling'!$D:$D,'Attrition Modeling'!$C:$C,'IP Attrition'!$D101,'Attrition Modeling'!$B:$B,'IP Attrition'!M$68),VLOOKUP($F101+M$2,$A$6:$C$106,2,FALSE)*VLOOKUP(M$1,'Attrition Modeling'!$L$15:$N$27,IF(M$2+$F34&lt;=24,2,3),FALSE)),$C$3)*(1+Projection!O$16)*(1+IF(M166&gt;0,'Attrition Modeling'!$N$9,0)))</f>
        <v>0</v>
      </c>
      <c r="N101" s="799">
        <f>M101*(1-IFERROR(IF(N$69+$F101&lt;=12,SUMIFS('Attrition Modeling'!$D:$D,'Attrition Modeling'!$C:$C,'IP Attrition'!$D101,'Attrition Modeling'!$B:$B,'IP Attrition'!N$68),VLOOKUP($F101+N$2,$A$6:$C$106,2,FALSE)*VLOOKUP(N$1,'Attrition Modeling'!$L$15:$N$27,IF(N$2+$F34&lt;=24,2,3),FALSE)),$C$3)*(1+Projection!P$16)*(1+IF(N166&gt;0,'Attrition Modeling'!$N$9,0)))</f>
        <v>0</v>
      </c>
      <c r="O101" s="799">
        <f>N101*(1-IFERROR(IF(O$69+$F101&lt;=12,SUMIFS('Attrition Modeling'!$D:$D,'Attrition Modeling'!$C:$C,'IP Attrition'!$D101,'Attrition Modeling'!$B:$B,'IP Attrition'!O$68),VLOOKUP($F101+O$2,$A$6:$C$106,2,FALSE)*VLOOKUP(O$1,'Attrition Modeling'!$L$15:$N$27,IF(O$2+$F34&lt;=24,2,3),FALSE)),$C$3)*(1+Projection!Q$16)*(1+IF(O166&gt;0,'Attrition Modeling'!$N$9,0)))</f>
        <v>0</v>
      </c>
      <c r="P101" s="799">
        <f>O101*(1-IFERROR(IF(P$69+$F101&lt;=12,SUMIFS('Attrition Modeling'!$D:$D,'Attrition Modeling'!$C:$C,'IP Attrition'!$D101,'Attrition Modeling'!$B:$B,'IP Attrition'!P$68),VLOOKUP($F101+P$2,$A$6:$C$106,2,FALSE)*VLOOKUP(P$1,'Attrition Modeling'!$L$15:$N$27,IF(P$2+$F34&lt;=24,2,3),FALSE)),$C$3)*(1+Projection!R$16)*(1+IF(P166&gt;0,'Attrition Modeling'!$N$9,0)))</f>
        <v>0</v>
      </c>
      <c r="Q101" s="799">
        <f>P101*(1-IFERROR(IF(Q$69+$F101&lt;=12,SUMIFS('Attrition Modeling'!$D:$D,'Attrition Modeling'!$C:$C,'IP Attrition'!$D101,'Attrition Modeling'!$B:$B,'IP Attrition'!Q$68),VLOOKUP($F101+Q$2,$A$6:$C$106,2,FALSE)*VLOOKUP(Q$1,'Attrition Modeling'!$L$15:$N$27,IF(Q$2+$F34&lt;=24,2,3),FALSE)),$C$3)*(1+Projection!S$16)*(1+IF(Q166&gt;0,'Attrition Modeling'!$N$9,0)))</f>
        <v>0</v>
      </c>
      <c r="R101" s="799">
        <f>Q101*(1-IFERROR(IF(R$69+$F101&lt;=12,SUMIFS('Attrition Modeling'!$D:$D,'Attrition Modeling'!$C:$C,'IP Attrition'!$D101,'Attrition Modeling'!$B:$B,'IP Attrition'!R$68),VLOOKUP($F101+R$2,$A$6:$C$106,2,FALSE)*VLOOKUP(R$1,'Attrition Modeling'!$L$15:$N$27,IF(R$2+$F34&lt;=24,2,3),FALSE)),$C$3)*(1+Projection!T$16)*(1+IF(R166&gt;0,'Attrition Modeling'!$N$9,0)))</f>
        <v>0</v>
      </c>
      <c r="S101" s="799">
        <f>R101*(1-IFERROR(IF(S$69+$F101&lt;=12,SUMIFS('Attrition Modeling'!$D:$D,'Attrition Modeling'!$C:$C,'IP Attrition'!$D101,'Attrition Modeling'!$B:$B,'IP Attrition'!S$68),VLOOKUP($F101+S$2,$A$6:$C$106,2,FALSE)*VLOOKUP(S$1,'Attrition Modeling'!$L$15:$N$27,IF(S$2+$F34&lt;=24,2,3),FALSE)),$C$3)*(1+Projection!U$16)*(1+IF(S166&gt;0,'Attrition Modeling'!$N$9,0)))</f>
        <v>0</v>
      </c>
      <c r="T101" s="799">
        <f>S101*(1-IFERROR(IF(T$69+$F101&lt;=12,SUMIFS('Attrition Modeling'!$D:$D,'Attrition Modeling'!$C:$C,'IP Attrition'!$D101,'Attrition Modeling'!$B:$B,'IP Attrition'!T$68),VLOOKUP($F101+T$2,$A$6:$C$106,2,FALSE)*VLOOKUP(T$1,'Attrition Modeling'!$L$15:$N$27,IF(T$2+$F34&lt;=24,2,3),FALSE)),$C$3)*(1+Projection!V$16)*(1+IF(T166&gt;0,'Attrition Modeling'!$N$9,0)))</f>
        <v>0</v>
      </c>
      <c r="U101" s="799">
        <f>T101*(1-IFERROR(IF(U$69+$F101&lt;=12,SUMIFS('Attrition Modeling'!$D:$D,'Attrition Modeling'!$C:$C,'IP Attrition'!$D101,'Attrition Modeling'!$B:$B,'IP Attrition'!U$68),VLOOKUP($F101+U$2,$A$6:$C$106,2,FALSE)*VLOOKUP(U$1,'Attrition Modeling'!$L$15:$N$27,IF(U$2+$F34&lt;=24,2,3),FALSE)),$C$3)*(1+Projection!W$16)*(1+IF(U166&gt;0,'Attrition Modeling'!$N$9,0)))</f>
        <v>0</v>
      </c>
      <c r="V101" s="799">
        <f>U101*(1-IFERROR(IF(V$69+$F101&lt;=12,SUMIFS('Attrition Modeling'!$D:$D,'Attrition Modeling'!$C:$C,'IP Attrition'!$D101,'Attrition Modeling'!$B:$B,'IP Attrition'!V$68),VLOOKUP($F101+V$2,$A$6:$C$106,2,FALSE)*VLOOKUP(V$1,'Attrition Modeling'!$L$15:$N$27,IF(V$2+$F34&lt;=24,2,3),FALSE)),$C$3)*(1+Projection!X$16)*(1+IF(V166&gt;0,'Attrition Modeling'!$N$9,0)))</f>
        <v>0</v>
      </c>
      <c r="W101" s="799">
        <f>V101*(1-IFERROR(IF(W$69+$F101&lt;=12,SUMIFS('Attrition Modeling'!$D:$D,'Attrition Modeling'!$C:$C,'IP Attrition'!$D101,'Attrition Modeling'!$B:$B,'IP Attrition'!W$68),VLOOKUP($F101+W$2,$A$6:$C$106,2,FALSE)*VLOOKUP(W$1,'Attrition Modeling'!$L$15:$N$27,IF(W$2+$F34&lt;=24,2,3),FALSE)),$C$3)*(1+Projection!Y$16)*(1+IF(W166&gt;0,'Attrition Modeling'!$N$9,0)))</f>
        <v>0</v>
      </c>
      <c r="X101" s="799">
        <f>W101*(1-IFERROR(IF(X$69+$F101&lt;=12,SUMIFS('Attrition Modeling'!$D:$D,'Attrition Modeling'!$C:$C,'IP Attrition'!$D101,'Attrition Modeling'!$B:$B,'IP Attrition'!X$68),VLOOKUP($F101+X$2,$A$6:$C$106,2,FALSE)*VLOOKUP(X$1,'Attrition Modeling'!$L$15:$N$27,IF(X$2+$F34&lt;=24,2,3),FALSE)),$C$3)*(1+Projection!Z$16)*(1+IF(X166&gt;0,'Attrition Modeling'!$N$9,0)))</f>
        <v>0</v>
      </c>
      <c r="Y101" s="799">
        <f>X101*(1-IFERROR(IF(Y$69+$F101&lt;=12,SUMIFS('Attrition Modeling'!$D:$D,'Attrition Modeling'!$C:$C,'IP Attrition'!$D101,'Attrition Modeling'!$B:$B,'IP Attrition'!Y$68),VLOOKUP($F101+Y$2,$A$6:$C$106,2,FALSE)*VLOOKUP(Y$1,'Attrition Modeling'!$L$15:$N$27,IF(Y$2+$F34&lt;=24,2,3),FALSE)),$C$3)*(1+Projection!AA$16)*(1+IF(Y166&gt;0,'Attrition Modeling'!$N$9,0)))</f>
        <v>0</v>
      </c>
      <c r="Z101" s="799">
        <f>Y101*(1-IFERROR(IF(Z$69+$F101&lt;=12,SUMIFS('Attrition Modeling'!$D:$D,'Attrition Modeling'!$C:$C,'IP Attrition'!$D101,'Attrition Modeling'!$B:$B,'IP Attrition'!Z$68),VLOOKUP($F101+Z$2,$A$6:$C$106,2,FALSE)*VLOOKUP(Z$1,'Attrition Modeling'!$L$15:$N$27,IF(Z$2+$F34&lt;=24,2,3),FALSE)),$C$3)*(1+Projection!AB$16)*(1+IF(Z166&gt;0,'Attrition Modeling'!$N$9,0)))</f>
        <v>0</v>
      </c>
      <c r="AA101" s="799">
        <f>Z101*(1-IFERROR(IF(AA$69+$F101&lt;=12,SUMIFS('Attrition Modeling'!$D:$D,'Attrition Modeling'!$C:$C,'IP Attrition'!$D101,'Attrition Modeling'!$B:$B,'IP Attrition'!AA$68),VLOOKUP($F101+AA$2,$A$6:$C$106,2,FALSE)*VLOOKUP(AA$1,'Attrition Modeling'!$L$15:$N$27,IF(AA$2+$F34&lt;=24,2,3),FALSE)),$C$3)*(1+Projection!AC$16)*(1+IF(AA166&gt;0,'Attrition Modeling'!$N$9,0)))</f>
        <v>0</v>
      </c>
      <c r="AB101" s="799">
        <f>AA101*(1-IFERROR(IF(AB$69+$F101&lt;=12,SUMIFS('Attrition Modeling'!$D:$D,'Attrition Modeling'!$C:$C,'IP Attrition'!$D101,'Attrition Modeling'!$B:$B,'IP Attrition'!AB$68),VLOOKUP($F101+AB$2,$A$6:$C$106,2,FALSE)*VLOOKUP(AB$1,'Attrition Modeling'!$L$15:$N$27,IF(AB$2+$F34&lt;=24,2,3),FALSE)),$C$3)*(1+Projection!AD$16)*(1+IF(AB166&gt;0,'Attrition Modeling'!$N$9,0)))</f>
        <v>0</v>
      </c>
      <c r="AC101" s="799">
        <f>AB101*(1-IFERROR(IF(AC$69+$F101&lt;=12,SUMIFS('Attrition Modeling'!$D:$D,'Attrition Modeling'!$C:$C,'IP Attrition'!$D101,'Attrition Modeling'!$B:$B,'IP Attrition'!AC$68),VLOOKUP($F101+AC$2,$A$6:$C$106,2,FALSE)*VLOOKUP(AC$1,'Attrition Modeling'!$L$15:$N$27,IF(AC$2+$F34&lt;=24,2,3),FALSE)),$C$3)*(1+Projection!AE$16)*(1+IF(AC166&gt;0,'Attrition Modeling'!$N$9,0)))</f>
        <v>0</v>
      </c>
      <c r="AD101" s="799">
        <f>AC101*(1-IFERROR(IF(AD$69+$F101&lt;=12,SUMIFS('Attrition Modeling'!$D:$D,'Attrition Modeling'!$C:$C,'IP Attrition'!$D101,'Attrition Modeling'!$B:$B,'IP Attrition'!AD$68),VLOOKUP($F101+AD$2,$A$6:$C$106,2,FALSE)*VLOOKUP(AD$1,'Attrition Modeling'!$L$15:$N$27,IF(AD$2+$F34&lt;=24,2,3),FALSE)),$C$3)*(1+Projection!AF$16)*(1+IF(AD166&gt;0,'Attrition Modeling'!$N$9,0)))</f>
        <v>0</v>
      </c>
      <c r="AE101" s="799">
        <f>AD101*(1-IFERROR(IF(AE$69+$F101&lt;=12,SUMIFS('Attrition Modeling'!$D:$D,'Attrition Modeling'!$C:$C,'IP Attrition'!$D101,'Attrition Modeling'!$B:$B,'IP Attrition'!AE$68),VLOOKUP($F101+AE$2,$A$6:$C$106,2,FALSE)*VLOOKUP(AE$1,'Attrition Modeling'!$L$15:$N$27,IF(AE$2+$F34&lt;=24,2,3),FALSE)),$C$3)*(1+Projection!AG$16)*(1+IF(AE166&gt;0,'Attrition Modeling'!$N$9,0)))</f>
        <v>0</v>
      </c>
      <c r="AF101" s="799">
        <f>AE101*(1-IFERROR(IF(AF$69+$F101&lt;=12,SUMIFS('Attrition Modeling'!$D:$D,'Attrition Modeling'!$C:$C,'IP Attrition'!$D101,'Attrition Modeling'!$B:$B,'IP Attrition'!AF$68),VLOOKUP($F101+AF$2,$A$6:$C$106,2,FALSE)*VLOOKUP(AF$1,'Attrition Modeling'!$L$15:$N$27,IF(AF$2+$F34&lt;=24,2,3),FALSE)),$C$3)*(1+Projection!AH$16)*(1+IF(AF166&gt;0,'Attrition Modeling'!$N$9,0)))</f>
        <v>0</v>
      </c>
      <c r="AG101" s="799">
        <f>AF101*(1-IFERROR(IF(AG$69+$F101&lt;=12,SUMIFS('Attrition Modeling'!$D:$D,'Attrition Modeling'!$C:$C,'IP Attrition'!$D101,'Attrition Modeling'!$B:$B,'IP Attrition'!AG$68),VLOOKUP($F101+AG$2,$A$6:$C$106,2,FALSE)*VLOOKUP(AG$1,'Attrition Modeling'!$L$15:$N$27,IF(AG$2+$F34&lt;=24,2,3),FALSE)),$C$3)*(1+Projection!AI$16)*(1+IF(AG166&gt;0,'Attrition Modeling'!$N$9,0)))</f>
        <v>0</v>
      </c>
      <c r="AH101" s="799">
        <f>AG101*(1-IFERROR(IF(AH$69+$F101&lt;=12,SUMIFS('Attrition Modeling'!$D:$D,'Attrition Modeling'!$C:$C,'IP Attrition'!$D101,'Attrition Modeling'!$B:$B,'IP Attrition'!AH$68),VLOOKUP($F101+AH$2,$A$6:$C$106,2,FALSE)*VLOOKUP(AH$1,'Attrition Modeling'!$L$15:$N$27,IF(AH$2+$F34&lt;=24,2,3),FALSE)),$C$3)*(1+Projection!AJ$16)*(1+IF(AH166&gt;0,'Attrition Modeling'!$N$9,0)))</f>
        <v>0</v>
      </c>
      <c r="AI101" s="799">
        <f>AH101*(1-IFERROR(IF(AI$69+$F101&lt;=12,SUMIFS('Attrition Modeling'!$D:$D,'Attrition Modeling'!$C:$C,'IP Attrition'!$D101,'Attrition Modeling'!$B:$B,'IP Attrition'!AI$68),VLOOKUP($F101+AI$2,$A$6:$C$106,2,FALSE)*VLOOKUP(AI$1,'Attrition Modeling'!$L$15:$N$27,IF(AI$2+$F34&lt;=24,2,3),FALSE)),$C$3)*(1+Projection!AK$16)*(1+IF(AI166&gt;0,'Attrition Modeling'!$N$9,0)))</f>
        <v>0</v>
      </c>
      <c r="AJ101" s="799">
        <f>AI101*(1-IFERROR(IF(AJ$69+$F101&lt;=12,SUMIFS('Attrition Modeling'!$D:$D,'Attrition Modeling'!$C:$C,'IP Attrition'!$D101,'Attrition Modeling'!$B:$B,'IP Attrition'!AJ$68),VLOOKUP($F101+AJ$2,$A$6:$C$106,2,FALSE)*VLOOKUP(AJ$1,'Attrition Modeling'!$L$15:$N$27,IF(AJ$2+$F34&lt;=24,2,3),FALSE)),$C$3)*(1+Projection!AL$16)*(1+IF(AJ166&gt;0,'Attrition Modeling'!$N$9,0)))</f>
        <v>0</v>
      </c>
      <c r="AK101" s="799">
        <f>AJ101*(1-IFERROR(IF(AK$69+$F101&lt;=12,SUMIFS('Attrition Modeling'!$D:$D,'Attrition Modeling'!$C:$C,'IP Attrition'!$D101,'Attrition Modeling'!$B:$B,'IP Attrition'!AK$68),VLOOKUP($F101+AK$2,$A$6:$C$106,2,FALSE)*VLOOKUP(AK$1,'Attrition Modeling'!$L$15:$N$27,IF(AK$2+$F34&lt;=24,2,3),FALSE)),$C$3)*(1+Projection!AM$16)*(1+IF(AK166&gt;0,'Attrition Modeling'!$N$9,0)))</f>
        <v>0</v>
      </c>
      <c r="AL101" s="799">
        <f>AK101*(1-IFERROR(IF(AL$69+$F101&lt;=12,SUMIFS('Attrition Modeling'!$D:$D,'Attrition Modeling'!$C:$C,'IP Attrition'!$D101,'Attrition Modeling'!$B:$B,'IP Attrition'!AL$68),VLOOKUP($F101+AL$2,$A$6:$C$106,2,FALSE)*VLOOKUP(AL$1,'Attrition Modeling'!$L$15:$N$27,IF(AL$2+$F34&lt;=24,2,3),FALSE)),$C$3)*(1+Projection!AN$16)*(1+IF(AL166&gt;0,'Attrition Modeling'!$N$9,0)))</f>
        <v>0</v>
      </c>
      <c r="AM101" s="799">
        <f>AL101*(1-IFERROR(IF(AM$69+$F101&lt;=12,SUMIFS('Attrition Modeling'!$D:$D,'Attrition Modeling'!$C:$C,'IP Attrition'!$D101,'Attrition Modeling'!$B:$B,'IP Attrition'!AM$68),VLOOKUP($F101+AM$2,$A$6:$C$106,2,FALSE)*VLOOKUP(AM$1,'Attrition Modeling'!$L$15:$N$27,IF(AM$2+$F34&lt;=24,2,3),FALSE)),$C$3)*(1+Projection!AO$16)*(1+IF(AM166&gt;0,'Attrition Modeling'!$N$9,0)))</f>
        <v>0</v>
      </c>
      <c r="AN101" s="799">
        <f>AM101*(1-IFERROR(IF(AN$69+$F101&lt;=12,SUMIFS('Attrition Modeling'!$D:$D,'Attrition Modeling'!$C:$C,'IP Attrition'!$D101,'Attrition Modeling'!$B:$B,'IP Attrition'!AN$68),VLOOKUP($F101+AN$2,$A$6:$C$106,2,FALSE)*VLOOKUP(AN$1,'Attrition Modeling'!$L$15:$N$27,IF(AN$2+$F34&lt;=24,2,3),FALSE)),$C$3)*(1+Projection!AP$16)*(1+IF(AN166&gt;0,'Attrition Modeling'!$N$9,0)))</f>
        <v>0</v>
      </c>
      <c r="AO101" s="799">
        <f>AN101*(1-IFERROR(IF(AO$69+$F101&lt;=12,SUMIFS('Attrition Modeling'!$D:$D,'Attrition Modeling'!$C:$C,'IP Attrition'!$D101,'Attrition Modeling'!$B:$B,'IP Attrition'!AO$68),VLOOKUP($F101+AO$2,$A$6:$C$106,2,FALSE)*VLOOKUP(AO$1,'Attrition Modeling'!$L$15:$N$27,IF(AO$2+$F34&lt;=24,2,3),FALSE)),$C$3)*(1+Projection!AQ$16)*(1+IF(AO166&gt;0,'Attrition Modeling'!$N$9,0)))</f>
        <v>0</v>
      </c>
      <c r="AP101" s="799">
        <f>AO101*(1-IFERROR(IF(AP$69+$F101&lt;=12,SUMIFS('Attrition Modeling'!$D:$D,'Attrition Modeling'!$C:$C,'IP Attrition'!$D101,'Attrition Modeling'!$B:$B,'IP Attrition'!AP$68),VLOOKUP($F101+AP$2,$A$6:$C$106,2,FALSE)*VLOOKUP(AP$1,'Attrition Modeling'!$L$15:$N$27,IF(AP$2+$F34&lt;=24,2,3),FALSE)),$C$3)*(1+Projection!AR$16)*(1+IF(AP166&gt;0,'Attrition Modeling'!$N$9,0)))</f>
        <v>0</v>
      </c>
      <c r="AQ101" s="799">
        <f>AP101*(1-IFERROR(IF(AQ$69+$F101&lt;=12,SUMIFS('Attrition Modeling'!$D:$D,'Attrition Modeling'!$C:$C,'IP Attrition'!$D101,'Attrition Modeling'!$B:$B,'IP Attrition'!AQ$68),VLOOKUP($F101+AQ$2,$A$6:$C$106,2,FALSE)*VLOOKUP(AQ$1,'Attrition Modeling'!$L$15:$N$27,IF(AQ$2+$F34&lt;=24,2,3),FALSE)),$C$3)*(1+Projection!AS$16)*(1+IF(AQ166&gt;0,'Attrition Modeling'!$N$9,0)))</f>
        <v>0</v>
      </c>
      <c r="AR101" s="799">
        <f>AQ101*(1-IFERROR(IF(AR$69+$F101&lt;=12,SUMIFS('Attrition Modeling'!$D:$D,'Attrition Modeling'!$C:$C,'IP Attrition'!$D101,'Attrition Modeling'!$B:$B,'IP Attrition'!AR$68),VLOOKUP($F101+AR$2,$A$6:$C$106,2,FALSE)*VLOOKUP(AR$1,'Attrition Modeling'!$L$15:$N$27,IF(AR$2+$F34&lt;=24,2,3),FALSE)),$C$3)*(1+Projection!AT$16)*(1+IF(AR166&gt;0,'Attrition Modeling'!$N$9,0)))</f>
        <v>0</v>
      </c>
      <c r="AS101" s="799">
        <f>AR101*(1-IFERROR(IF(AS$69+$F101&lt;=12,SUMIFS('Attrition Modeling'!$D:$D,'Attrition Modeling'!$C:$C,'IP Attrition'!$D101,'Attrition Modeling'!$B:$B,'IP Attrition'!AS$68),VLOOKUP($F101+AS$2,$A$6:$C$106,2,FALSE)*VLOOKUP(AS$1,'Attrition Modeling'!$L$15:$N$27,IF(AS$2+$F34&lt;=24,2,3),FALSE)),$C$3)*(1+Projection!AU$16)*(1+IF(AS166&gt;0,'Attrition Modeling'!$N$9,0)))</f>
        <v>0</v>
      </c>
      <c r="AT101" s="799">
        <f>AS101*(1-IFERROR(IF(AT$69+$F101&lt;=12,SUMIFS('Attrition Modeling'!$D:$D,'Attrition Modeling'!$C:$C,'IP Attrition'!$D101,'Attrition Modeling'!$B:$B,'IP Attrition'!AT$68),VLOOKUP($F101+AT$2,$A$6:$C$106,2,FALSE)*VLOOKUP(AT$1,'Attrition Modeling'!$L$15:$N$27,IF(AT$2+$F34&lt;=24,2,3),FALSE)),$C$3)*(1+Projection!AV$16)*(1+IF(AT166&gt;0,'Attrition Modeling'!$N$9,0)))</f>
        <v>0</v>
      </c>
      <c r="AU101" s="799">
        <f>AT101*(1-IFERROR(IF(AU$69+$F101&lt;=12,SUMIFS('Attrition Modeling'!$D:$D,'Attrition Modeling'!$C:$C,'IP Attrition'!$D101,'Attrition Modeling'!$B:$B,'IP Attrition'!AU$68),VLOOKUP($F101+AU$2,$A$6:$C$106,2,FALSE)*VLOOKUP(AU$1,'Attrition Modeling'!$L$15:$N$27,IF(AU$2+$F34&lt;=24,2,3),FALSE)),$C$3)*(1+Projection!AW$16)*(1+IF(AU166&gt;0,'Attrition Modeling'!$N$9,0)))</f>
        <v>0</v>
      </c>
      <c r="AV101" s="799">
        <f>AU101*(1-IFERROR(IF(AV$69+$F101&lt;=12,SUMIFS('Attrition Modeling'!$D:$D,'Attrition Modeling'!$C:$C,'IP Attrition'!$D101,'Attrition Modeling'!$B:$B,'IP Attrition'!AV$68),VLOOKUP($F101+AV$2,$A$6:$C$106,2,FALSE)*VLOOKUP(AV$1,'Attrition Modeling'!$L$15:$N$27,IF(AV$2+$F34&lt;=24,2,3),FALSE)),$C$3)*(1+Projection!AX$16)*(1+IF(AV166&gt;0,'Attrition Modeling'!$N$9,0)))</f>
        <v>0</v>
      </c>
      <c r="AW101" s="799">
        <f>AV101*(1-IFERROR(IF(AW$69+$F101&lt;=12,SUMIFS('Attrition Modeling'!$D:$D,'Attrition Modeling'!$C:$C,'IP Attrition'!$D101,'Attrition Modeling'!$B:$B,'IP Attrition'!AW$68),VLOOKUP($F101+AW$2,$A$6:$C$106,2,FALSE)*VLOOKUP(AW$1,'Attrition Modeling'!$L$15:$N$27,IF(AW$2+$F34&lt;=24,2,3),FALSE)),$C$3)*(1+Projection!AY$16)*(1+IF(AW166&gt;0,'Attrition Modeling'!$N$9,0)))</f>
        <v>0</v>
      </c>
      <c r="AX101" s="799">
        <f>AW101*(1-IFERROR(IF(AX$69+$F101&lt;=12,SUMIFS('Attrition Modeling'!$D:$D,'Attrition Modeling'!$C:$C,'IP Attrition'!$D101,'Attrition Modeling'!$B:$B,'IP Attrition'!AX$68),VLOOKUP($F101+AX$2,$A$6:$C$106,2,FALSE)*VLOOKUP(AX$1,'Attrition Modeling'!$L$15:$N$27,IF(AX$2+$F34&lt;=24,2,3),FALSE)),$C$3)*(1+Projection!AZ$16)*(1+IF(AX166&gt;0,'Attrition Modeling'!$N$9,0)))</f>
        <v>0</v>
      </c>
      <c r="AY101" s="799">
        <f>AX101*(1-IFERROR(IF(AY$69+$F101&lt;=12,SUMIFS('Attrition Modeling'!$D:$D,'Attrition Modeling'!$C:$C,'IP Attrition'!$D101,'Attrition Modeling'!$B:$B,'IP Attrition'!AY$68),VLOOKUP($F101+AY$2,$A$6:$C$106,2,FALSE)*VLOOKUP(AY$1,'Attrition Modeling'!$L$15:$N$27,IF(AY$2+$F34&lt;=24,2,3),FALSE)),$C$3)*(1+Projection!BA$16)*(1+IF(AY166&gt;0,'Attrition Modeling'!$N$9,0)))</f>
        <v>0</v>
      </c>
      <c r="AZ101" s="799">
        <f>AY101*(1-IFERROR(IF(AZ$69+$F101&lt;=12,SUMIFS('Attrition Modeling'!$D:$D,'Attrition Modeling'!$C:$C,'IP Attrition'!$D101,'Attrition Modeling'!$B:$B,'IP Attrition'!AZ$68),VLOOKUP($F101+AZ$2,$A$6:$C$106,2,FALSE)*VLOOKUP(AZ$1,'Attrition Modeling'!$L$15:$N$27,IF(AZ$2+$F34&lt;=24,2,3),FALSE)),$C$3)*(1+Projection!BB$16)*(1+IF(AZ166&gt;0,'Attrition Modeling'!$N$9,0)))</f>
        <v>0</v>
      </c>
      <c r="BA101" s="799">
        <f>AZ101*(1-IFERROR(IF(BA$69+$F101&lt;=12,SUMIFS('Attrition Modeling'!$D:$D,'Attrition Modeling'!$C:$C,'IP Attrition'!$D101,'Attrition Modeling'!$B:$B,'IP Attrition'!BA$68),VLOOKUP($F101+BA$2,$A$6:$C$106,2,FALSE)*VLOOKUP(BA$1,'Attrition Modeling'!$L$15:$N$27,IF(BA$2+$F34&lt;=24,2,3),FALSE)),$C$3)*(1+Projection!BC$16)*(1+IF(BA166&gt;0,'Attrition Modeling'!$N$9,0)))</f>
        <v>0</v>
      </c>
      <c r="BB101" s="799">
        <f>BA101*(1-IFERROR(IF(BB$69+$F101&lt;=12,SUMIFS('Attrition Modeling'!$D:$D,'Attrition Modeling'!$C:$C,'IP Attrition'!$D101,'Attrition Modeling'!$B:$B,'IP Attrition'!BB$68),VLOOKUP($F101+BB$2,$A$6:$C$106,2,FALSE)*VLOOKUP(BB$1,'Attrition Modeling'!$L$15:$N$27,IF(BB$2+$F34&lt;=24,2,3),FALSE)),$C$3)*(1+Projection!BD$16)*(1+IF(BB166&gt;0,'Attrition Modeling'!$N$9,0)))</f>
        <v>0</v>
      </c>
      <c r="BC101" s="799">
        <f>BB101*(1-IFERROR(IF(BC$69+$F101&lt;=12,SUMIFS('Attrition Modeling'!$D:$D,'Attrition Modeling'!$C:$C,'IP Attrition'!$D101,'Attrition Modeling'!$B:$B,'IP Attrition'!BC$68),VLOOKUP($F101+BC$2,$A$6:$C$106,2,FALSE)*VLOOKUP(BC$1,'Attrition Modeling'!$L$15:$N$27,IF(BC$2+$F34&lt;=24,2,3),FALSE)),$C$3)*(1+Projection!BE$16)*(1+IF(BC166&gt;0,'Attrition Modeling'!$N$9,0)))</f>
        <v>0</v>
      </c>
      <c r="BD101" s="799">
        <f>BC101*(1-IFERROR(IF(BD$69+$F101&lt;=12,SUMIFS('Attrition Modeling'!$D:$D,'Attrition Modeling'!$C:$C,'IP Attrition'!$D101,'Attrition Modeling'!$B:$B,'IP Attrition'!BD$68),VLOOKUP($F101+BD$2,$A$6:$C$106,2,FALSE)*VLOOKUP(BD$1,'Attrition Modeling'!$L$15:$N$27,IF(BD$2+$F34&lt;=24,2,3),FALSE)),$C$3)*(1+Projection!BF$16)*(1+IF(BD166&gt;0,'Attrition Modeling'!$N$9,0)))</f>
        <v>0</v>
      </c>
      <c r="BE101" s="799">
        <f>BD101*(1-IFERROR(IF(BE$69+$F101&lt;=12,SUMIFS('Attrition Modeling'!$D:$D,'Attrition Modeling'!$C:$C,'IP Attrition'!$D101,'Attrition Modeling'!$B:$B,'IP Attrition'!BE$68),VLOOKUP($F101+BE$2,$A$6:$C$106,2,FALSE)*VLOOKUP(BE$1,'Attrition Modeling'!$L$15:$N$27,IF(BE$2+$F34&lt;=24,2,3),FALSE)),$C$3)*(1+Projection!BG$16)*(1+IF(BE166&gt;0,'Attrition Modeling'!$N$9,0)))</f>
        <v>0</v>
      </c>
      <c r="BF101" s="799">
        <f>BE101*(1-IFERROR(IF(BF$69+$F101&lt;=12,SUMIFS('Attrition Modeling'!$D:$D,'Attrition Modeling'!$C:$C,'IP Attrition'!$D101,'Attrition Modeling'!$B:$B,'IP Attrition'!BF$68),VLOOKUP($F101+BF$2,$A$6:$C$106,2,FALSE)*VLOOKUP(BF$1,'Attrition Modeling'!$L$15:$N$27,IF(BF$2+$F34&lt;=24,2,3),FALSE)),$C$3)*(1+Projection!BH$16)*(1+IF(BF166&gt;0,'Attrition Modeling'!$N$9,0)))</f>
        <v>0</v>
      </c>
      <c r="BG101" s="799">
        <f>BF101*(1-IFERROR(IF(BG$69+$F101&lt;=12,SUMIFS('Attrition Modeling'!$D:$D,'Attrition Modeling'!$C:$C,'IP Attrition'!$D101,'Attrition Modeling'!$B:$B,'IP Attrition'!BG$68),VLOOKUP($F101+BG$2,$A$6:$C$106,2,FALSE)*VLOOKUP(BG$1,'Attrition Modeling'!$L$15:$N$27,IF(BG$2+$F34&lt;=24,2,3),FALSE)),$C$3)*(1+Projection!BI$16)*(1+IF(BG166&gt;0,'Attrition Modeling'!$N$9,0)))</f>
        <v>0</v>
      </c>
      <c r="BH101" s="799">
        <f>BG101*(1-IFERROR(IF(BH$69+$F101&lt;=12,SUMIFS('Attrition Modeling'!$D:$D,'Attrition Modeling'!$C:$C,'IP Attrition'!$D101,'Attrition Modeling'!$B:$B,'IP Attrition'!BH$68),VLOOKUP($F101+BH$2,$A$6:$C$106,2,FALSE)*VLOOKUP(BH$1,'Attrition Modeling'!$L$15:$N$27,IF(BH$2+$F34&lt;=24,2,3),FALSE)),$C$3)*(1+Projection!BJ$16)*(1+IF(BH166&gt;0,'Attrition Modeling'!$N$9,0)))</f>
        <v>0</v>
      </c>
      <c r="BI101" s="799">
        <f>BH101*(1-IFERROR(IF(BI$69+$F101&lt;=12,SUMIFS('Attrition Modeling'!$D:$D,'Attrition Modeling'!$C:$C,'IP Attrition'!$D101,'Attrition Modeling'!$B:$B,'IP Attrition'!BI$68),VLOOKUP($F101+BI$2,$A$6:$C$106,2,FALSE)*VLOOKUP(BI$1,'Attrition Modeling'!$L$15:$N$27,IF(BI$2+$F34&lt;=24,2,3),FALSE)),$C$3)*(1+Projection!BK$16)*(1+IF(BI166&gt;0,'Attrition Modeling'!$N$9,0)))</f>
        <v>0</v>
      </c>
      <c r="BJ101" s="799">
        <f>BI101*(1-IFERROR(IF(BJ$69+$F101&lt;=12,SUMIFS('Attrition Modeling'!$D:$D,'Attrition Modeling'!$C:$C,'IP Attrition'!$D101,'Attrition Modeling'!$B:$B,'IP Attrition'!BJ$68),VLOOKUP($F101+BJ$2,$A$6:$C$106,2,FALSE)*VLOOKUP(BJ$1,'Attrition Modeling'!$L$15:$N$27,IF(BJ$2+$F34&lt;=24,2,3),FALSE)),$C$3)*(1+Projection!BL$16)*(1+IF(BJ166&gt;0,'Attrition Modeling'!$N$9,0)))</f>
        <v>0</v>
      </c>
      <c r="BK101" s="799">
        <f>BJ101*(1-IFERROR(IF(BK$69+$F101&lt;=12,SUMIFS('Attrition Modeling'!$D:$D,'Attrition Modeling'!$C:$C,'IP Attrition'!$D101,'Attrition Modeling'!$B:$B,'IP Attrition'!BK$68),VLOOKUP($F101+BK$2,$A$6:$C$106,2,FALSE)*VLOOKUP(BK$1,'Attrition Modeling'!$L$15:$N$27,IF(BK$2+$F34&lt;=24,2,3),FALSE)),$C$3)*(1+Projection!BM$16)*(1+IF(BK166&gt;0,'Attrition Modeling'!$N$9,0)))</f>
        <v>0</v>
      </c>
      <c r="BL101" s="799">
        <f>BK101*(1-IFERROR(IF(BL$69+$F101&lt;=12,SUMIFS('Attrition Modeling'!$D:$D,'Attrition Modeling'!$C:$C,'IP Attrition'!$D101,'Attrition Modeling'!$B:$B,'IP Attrition'!BL$68),VLOOKUP($F101+BL$2,$A$6:$C$106,2,FALSE)*VLOOKUP(BL$1,'Attrition Modeling'!$L$15:$N$27,IF(BL$2+$F34&lt;=24,2,3),FALSE)),$C$3)*(1+Projection!BN$16)*(1+IF(BL166&gt;0,'Attrition Modeling'!$N$9,0)))</f>
        <v>0</v>
      </c>
      <c r="BM101" s="799">
        <f>BL101*(1-IFERROR(IF(BM$69+$F101&lt;=12,SUMIFS('Attrition Modeling'!$D:$D,'Attrition Modeling'!$C:$C,'IP Attrition'!$D101,'Attrition Modeling'!$B:$B,'IP Attrition'!BM$68),VLOOKUP($F101+BM$2,$A$6:$C$106,2,FALSE)*VLOOKUP(BM$1,'Attrition Modeling'!$L$15:$N$27,IF(BM$2+$F34&lt;=24,2,3),FALSE)),$C$3)*(1+Projection!BO$16)*(1+IF(BM166&gt;0,'Attrition Modeling'!$N$9,0)))</f>
        <v>0</v>
      </c>
      <c r="BN101" s="799">
        <f>BM101*(1-IFERROR(IF(BN$69+$F101&lt;=12,SUMIFS('Attrition Modeling'!$D:$D,'Attrition Modeling'!$C:$C,'IP Attrition'!$D101,'Attrition Modeling'!$B:$B,'IP Attrition'!BN$68),VLOOKUP($F101+BN$2,$A$6:$C$106,2,FALSE)*VLOOKUP(BN$1,'Attrition Modeling'!$L$15:$N$27,IF(BN$2+$F34&lt;=24,2,3),FALSE)),$C$3)*(1+Projection!BP$16)*(1+IF(BN166&gt;0,'Attrition Modeling'!$N$9,0)))</f>
        <v>0</v>
      </c>
      <c r="BO101" s="799">
        <f>BN101*(1-IFERROR(IF(BO$69+$F101&lt;=12,SUMIFS('Attrition Modeling'!$D:$D,'Attrition Modeling'!$C:$C,'IP Attrition'!$D101,'Attrition Modeling'!$B:$B,'IP Attrition'!BO$68),VLOOKUP($F101+BO$2,$A$6:$C$106,2,FALSE)*VLOOKUP(BO$1,'Attrition Modeling'!$L$15:$N$27,IF(BO$2+$F34&lt;=24,2,3),FALSE)),$C$3)*(1+Projection!BV$16)*(1+IF(BO166&gt;0,'Attrition Modeling'!$N$9,0)))</f>
        <v>0</v>
      </c>
      <c r="BP101" s="799">
        <f>BO101*(1-IFERROR(IF(BP$69+$F101&lt;=12,SUMIFS('Attrition Modeling'!$D:$D,'Attrition Modeling'!$C:$C,'IP Attrition'!$D101,'Attrition Modeling'!$B:$B,'IP Attrition'!BP$68),VLOOKUP($F101+BP$2,$A$6:$C$106,2,FALSE)*VLOOKUP(BP$1,'Attrition Modeling'!$L$15:$N$27,IF(BP$2+$F34&lt;=24,2,3),FALSE)),$C$3)*(1+Projection!BW$16)*(1+IF(BP166&gt;0,'Attrition Modeling'!$N$9,0)))</f>
        <v>0</v>
      </c>
      <c r="BQ101" s="799">
        <f>BP101*(1-IFERROR(IF(BQ$69+$F101&lt;=12,SUMIFS('Attrition Modeling'!$D:$D,'Attrition Modeling'!$C:$C,'IP Attrition'!$D101,'Attrition Modeling'!$B:$B,'IP Attrition'!BQ$68),VLOOKUP($F101+BQ$2,$A$6:$C$106,2,FALSE)*VLOOKUP(BQ$1,'Attrition Modeling'!$L$15:$N$27,IF(BQ$2+$F34&lt;=24,2,3),FALSE)),$C$3)*(1+Projection!BX$16)*(1+IF(BQ166&gt;0,'Attrition Modeling'!$N$9,0)))</f>
        <v>0</v>
      </c>
      <c r="BR101" s="799">
        <f>BQ101*(1-IFERROR(IF(BR$69+$F101&lt;=12,SUMIFS('Attrition Modeling'!$D:$D,'Attrition Modeling'!$C:$C,'IP Attrition'!$D101,'Attrition Modeling'!$B:$B,'IP Attrition'!BR$68),VLOOKUP($F101+BR$2,$A$6:$C$106,2,FALSE)*VLOOKUP(BR$1,'Attrition Modeling'!$L$15:$N$27,IF(BR$2+$F34&lt;=24,2,3),FALSE)),$C$3)*(1+Projection!BY$16)*(1+IF(BR166&gt;0,'Attrition Modeling'!$N$9,0)))</f>
        <v>0</v>
      </c>
      <c r="BS101" s="799">
        <f>BR101*(1-IFERROR(IF(BS$69+$F101&lt;=12,SUMIFS('Attrition Modeling'!$D:$D,'Attrition Modeling'!$C:$C,'IP Attrition'!$D101,'Attrition Modeling'!$B:$B,'IP Attrition'!BS$68),VLOOKUP($F101+BS$2,$A$6:$C$106,2,FALSE)*VLOOKUP(BS$1,'Attrition Modeling'!$L$15:$N$27,IF(BS$2+$F34&lt;=24,2,3),FALSE)),$C$3)*(1+Projection!BZ$16)*(1+IF(BS166&gt;0,'Attrition Modeling'!$N$9,0)))</f>
        <v>0</v>
      </c>
      <c r="BT101" s="799" t="e">
        <f>BS101*(1-IFERROR(IF(BT$69+$F101&lt;=12,SUMIFS('Attrition Modeling'!$D:$D,'Attrition Modeling'!$C:$C,'IP Attrition'!$D101,'Attrition Modeling'!$B:$B,'IP Attrition'!BT$68),VLOOKUP($F101+BT$2,$A$6:$C$106,2,FALSE)*VLOOKUP(BT$1,'Attrition Modeling'!$L$15:$N$27,IF(BT$2+$F34&lt;=24,2,3),FALSE)),$C$3)*(1+Projection!CA$16)*(1+IF(BT166&gt;0,'Attrition Modeling'!$N$9,0)))</f>
        <v>#REF!</v>
      </c>
      <c r="BU101" s="799" t="e">
        <f>BT101*(1-IFERROR(IF(BU$69+$F101&lt;=12,SUMIFS('Attrition Modeling'!$D:$D,'Attrition Modeling'!$C:$C,'IP Attrition'!$D101,'Attrition Modeling'!$B:$B,'IP Attrition'!BU$68),VLOOKUP($F101+BU$2,$A$6:$C$106,2,FALSE)*VLOOKUP(BU$1,'Attrition Modeling'!$L$15:$N$27,IF(BU$2+$F34&lt;=24,2,3),FALSE)),$C$3)*(1+Projection!CB$16)*(1+IF(BU166&gt;0,'Attrition Modeling'!$N$9,0)))</f>
        <v>#REF!</v>
      </c>
    </row>
    <row r="102" spans="1:73" ht="14.25" customHeight="1" x14ac:dyDescent="0.2">
      <c r="A102" s="9">
        <v>95</v>
      </c>
      <c r="B102" s="25">
        <f>MAX('Attrition Modeling'!H99,$C$3)*(1-Summary!$C$20)</f>
        <v>0.02</v>
      </c>
      <c r="C102" s="24" t="e">
        <f t="shared" si="3"/>
        <v>#DIV/0!</v>
      </c>
      <c r="D102" s="11">
        <f t="shared" ref="D102:E102" si="40">D35</f>
        <v>-32</v>
      </c>
      <c r="E102" s="25">
        <f t="shared" si="40"/>
        <v>0</v>
      </c>
      <c r="F102" s="11">
        <f t="shared" si="9"/>
        <v>32</v>
      </c>
      <c r="G102" s="799">
        <f>Summary!$C$24*$E102</f>
        <v>0</v>
      </c>
      <c r="H102" s="799">
        <f>G102*(1-IFERROR(IF(H$69+$F102&lt;=12,SUMIFS('Attrition Modeling'!$D:$D,'Attrition Modeling'!$C:$C,'IP Attrition'!$D102,'Attrition Modeling'!$B:$B,'IP Attrition'!H$68),VLOOKUP($F102+H$2,$A$6:$C$106,2,FALSE)*VLOOKUP(H$1,'Attrition Modeling'!$L$15:$N$27,IF(H$2+$F35&lt;=24,2,3),FALSE)),$C$3)*(1+Projection!J$16)*(1+IF(H167&gt;0,'Attrition Modeling'!$N$9,0)))</f>
        <v>0</v>
      </c>
      <c r="I102" s="799">
        <f>H102*(1-IFERROR(IF(I$69+$F102&lt;=12,SUMIFS('Attrition Modeling'!$D:$D,'Attrition Modeling'!$C:$C,'IP Attrition'!$D102,'Attrition Modeling'!$B:$B,'IP Attrition'!I$68),VLOOKUP($F102+I$2,$A$6:$C$106,2,FALSE)*VLOOKUP(I$1,'Attrition Modeling'!$L$15:$N$27,IF(I$2+$F35&lt;=24,2,3),FALSE)),$C$3)*(1+Projection!K$16)*(1+IF(I167&gt;0,'Attrition Modeling'!$N$9,0)))</f>
        <v>0</v>
      </c>
      <c r="J102" s="799">
        <f>I102*(1-IFERROR(IF(J$69+$F102&lt;=12,SUMIFS('Attrition Modeling'!$D:$D,'Attrition Modeling'!$C:$C,'IP Attrition'!$D102,'Attrition Modeling'!$B:$B,'IP Attrition'!J$68),VLOOKUP($F102+J$2,$A$6:$C$106,2,FALSE)*VLOOKUP(J$1,'Attrition Modeling'!$L$15:$N$27,IF(J$2+$F35&lt;=24,2,3),FALSE)),$C$3)*(1+Projection!L$16)*(1+IF(J167&gt;0,'Attrition Modeling'!$N$9,0)))</f>
        <v>0</v>
      </c>
      <c r="K102" s="799">
        <f>J102*(1-IFERROR(IF(K$69+$F102&lt;=12,SUMIFS('Attrition Modeling'!$D:$D,'Attrition Modeling'!$C:$C,'IP Attrition'!$D102,'Attrition Modeling'!$B:$B,'IP Attrition'!K$68),VLOOKUP($F102+K$2,$A$6:$C$106,2,FALSE)*VLOOKUP(K$1,'Attrition Modeling'!$L$15:$N$27,IF(K$2+$F35&lt;=24,2,3),FALSE)),$C$3)*(1+Projection!M$16)*(1+IF(K167&gt;0,'Attrition Modeling'!$N$9,0)))</f>
        <v>0</v>
      </c>
      <c r="L102" s="799">
        <f>K102*(1-IFERROR(IF(L$69+$F102&lt;=12,SUMIFS('Attrition Modeling'!$D:$D,'Attrition Modeling'!$C:$C,'IP Attrition'!$D102,'Attrition Modeling'!$B:$B,'IP Attrition'!L$68),VLOOKUP($F102+L$2,$A$6:$C$106,2,FALSE)*VLOOKUP(L$1,'Attrition Modeling'!$L$15:$N$27,IF(L$2+$F35&lt;=24,2,3),FALSE)),$C$3)*(1+Projection!N$16)*(1+IF(L167&gt;0,'Attrition Modeling'!$N$9,0)))</f>
        <v>0</v>
      </c>
      <c r="M102" s="799">
        <f>L102*(1-IFERROR(IF(M$69+$F102&lt;=12,SUMIFS('Attrition Modeling'!$D:$D,'Attrition Modeling'!$C:$C,'IP Attrition'!$D102,'Attrition Modeling'!$B:$B,'IP Attrition'!M$68),VLOOKUP($F102+M$2,$A$6:$C$106,2,FALSE)*VLOOKUP(M$1,'Attrition Modeling'!$L$15:$N$27,IF(M$2+$F35&lt;=24,2,3),FALSE)),$C$3)*(1+Projection!O$16)*(1+IF(M167&gt;0,'Attrition Modeling'!$N$9,0)))</f>
        <v>0</v>
      </c>
      <c r="N102" s="799">
        <f>M102*(1-IFERROR(IF(N$69+$F102&lt;=12,SUMIFS('Attrition Modeling'!$D:$D,'Attrition Modeling'!$C:$C,'IP Attrition'!$D102,'Attrition Modeling'!$B:$B,'IP Attrition'!N$68),VLOOKUP($F102+N$2,$A$6:$C$106,2,FALSE)*VLOOKUP(N$1,'Attrition Modeling'!$L$15:$N$27,IF(N$2+$F35&lt;=24,2,3),FALSE)),$C$3)*(1+Projection!P$16)*(1+IF(N167&gt;0,'Attrition Modeling'!$N$9,0)))</f>
        <v>0</v>
      </c>
      <c r="O102" s="799">
        <f>N102*(1-IFERROR(IF(O$69+$F102&lt;=12,SUMIFS('Attrition Modeling'!$D:$D,'Attrition Modeling'!$C:$C,'IP Attrition'!$D102,'Attrition Modeling'!$B:$B,'IP Attrition'!O$68),VLOOKUP($F102+O$2,$A$6:$C$106,2,FALSE)*VLOOKUP(O$1,'Attrition Modeling'!$L$15:$N$27,IF(O$2+$F35&lt;=24,2,3),FALSE)),$C$3)*(1+Projection!Q$16)*(1+IF(O167&gt;0,'Attrition Modeling'!$N$9,0)))</f>
        <v>0</v>
      </c>
      <c r="P102" s="799">
        <f>O102*(1-IFERROR(IF(P$69+$F102&lt;=12,SUMIFS('Attrition Modeling'!$D:$D,'Attrition Modeling'!$C:$C,'IP Attrition'!$D102,'Attrition Modeling'!$B:$B,'IP Attrition'!P$68),VLOOKUP($F102+P$2,$A$6:$C$106,2,FALSE)*VLOOKUP(P$1,'Attrition Modeling'!$L$15:$N$27,IF(P$2+$F35&lt;=24,2,3),FALSE)),$C$3)*(1+Projection!R$16)*(1+IF(P167&gt;0,'Attrition Modeling'!$N$9,0)))</f>
        <v>0</v>
      </c>
      <c r="Q102" s="799">
        <f>P102*(1-IFERROR(IF(Q$69+$F102&lt;=12,SUMIFS('Attrition Modeling'!$D:$D,'Attrition Modeling'!$C:$C,'IP Attrition'!$D102,'Attrition Modeling'!$B:$B,'IP Attrition'!Q$68),VLOOKUP($F102+Q$2,$A$6:$C$106,2,FALSE)*VLOOKUP(Q$1,'Attrition Modeling'!$L$15:$N$27,IF(Q$2+$F35&lt;=24,2,3),FALSE)),$C$3)*(1+Projection!S$16)*(1+IF(Q167&gt;0,'Attrition Modeling'!$N$9,0)))</f>
        <v>0</v>
      </c>
      <c r="R102" s="799">
        <f>Q102*(1-IFERROR(IF(R$69+$F102&lt;=12,SUMIFS('Attrition Modeling'!$D:$D,'Attrition Modeling'!$C:$C,'IP Attrition'!$D102,'Attrition Modeling'!$B:$B,'IP Attrition'!R$68),VLOOKUP($F102+R$2,$A$6:$C$106,2,FALSE)*VLOOKUP(R$1,'Attrition Modeling'!$L$15:$N$27,IF(R$2+$F35&lt;=24,2,3),FALSE)),$C$3)*(1+Projection!T$16)*(1+IF(R167&gt;0,'Attrition Modeling'!$N$9,0)))</f>
        <v>0</v>
      </c>
      <c r="S102" s="799">
        <f>R102*(1-IFERROR(IF(S$69+$F102&lt;=12,SUMIFS('Attrition Modeling'!$D:$D,'Attrition Modeling'!$C:$C,'IP Attrition'!$D102,'Attrition Modeling'!$B:$B,'IP Attrition'!S$68),VLOOKUP($F102+S$2,$A$6:$C$106,2,FALSE)*VLOOKUP(S$1,'Attrition Modeling'!$L$15:$N$27,IF(S$2+$F35&lt;=24,2,3),FALSE)),$C$3)*(1+Projection!U$16)*(1+IF(S167&gt;0,'Attrition Modeling'!$N$9,0)))</f>
        <v>0</v>
      </c>
      <c r="T102" s="799">
        <f>S102*(1-IFERROR(IF(T$69+$F102&lt;=12,SUMIFS('Attrition Modeling'!$D:$D,'Attrition Modeling'!$C:$C,'IP Attrition'!$D102,'Attrition Modeling'!$B:$B,'IP Attrition'!T$68),VLOOKUP($F102+T$2,$A$6:$C$106,2,FALSE)*VLOOKUP(T$1,'Attrition Modeling'!$L$15:$N$27,IF(T$2+$F35&lt;=24,2,3),FALSE)),$C$3)*(1+Projection!V$16)*(1+IF(T167&gt;0,'Attrition Modeling'!$N$9,0)))</f>
        <v>0</v>
      </c>
      <c r="U102" s="799">
        <f>T102*(1-IFERROR(IF(U$69+$F102&lt;=12,SUMIFS('Attrition Modeling'!$D:$D,'Attrition Modeling'!$C:$C,'IP Attrition'!$D102,'Attrition Modeling'!$B:$B,'IP Attrition'!U$68),VLOOKUP($F102+U$2,$A$6:$C$106,2,FALSE)*VLOOKUP(U$1,'Attrition Modeling'!$L$15:$N$27,IF(U$2+$F35&lt;=24,2,3),FALSE)),$C$3)*(1+Projection!W$16)*(1+IF(U167&gt;0,'Attrition Modeling'!$N$9,0)))</f>
        <v>0</v>
      </c>
      <c r="V102" s="799">
        <f>U102*(1-IFERROR(IF(V$69+$F102&lt;=12,SUMIFS('Attrition Modeling'!$D:$D,'Attrition Modeling'!$C:$C,'IP Attrition'!$D102,'Attrition Modeling'!$B:$B,'IP Attrition'!V$68),VLOOKUP($F102+V$2,$A$6:$C$106,2,FALSE)*VLOOKUP(V$1,'Attrition Modeling'!$L$15:$N$27,IF(V$2+$F35&lt;=24,2,3),FALSE)),$C$3)*(1+Projection!X$16)*(1+IF(V167&gt;0,'Attrition Modeling'!$N$9,0)))</f>
        <v>0</v>
      </c>
      <c r="W102" s="799">
        <f>V102*(1-IFERROR(IF(W$69+$F102&lt;=12,SUMIFS('Attrition Modeling'!$D:$D,'Attrition Modeling'!$C:$C,'IP Attrition'!$D102,'Attrition Modeling'!$B:$B,'IP Attrition'!W$68),VLOOKUP($F102+W$2,$A$6:$C$106,2,FALSE)*VLOOKUP(W$1,'Attrition Modeling'!$L$15:$N$27,IF(W$2+$F35&lt;=24,2,3),FALSE)),$C$3)*(1+Projection!Y$16)*(1+IF(W167&gt;0,'Attrition Modeling'!$N$9,0)))</f>
        <v>0</v>
      </c>
      <c r="X102" s="799">
        <f>W102*(1-IFERROR(IF(X$69+$F102&lt;=12,SUMIFS('Attrition Modeling'!$D:$D,'Attrition Modeling'!$C:$C,'IP Attrition'!$D102,'Attrition Modeling'!$B:$B,'IP Attrition'!X$68),VLOOKUP($F102+X$2,$A$6:$C$106,2,FALSE)*VLOOKUP(X$1,'Attrition Modeling'!$L$15:$N$27,IF(X$2+$F35&lt;=24,2,3),FALSE)),$C$3)*(1+Projection!Z$16)*(1+IF(X167&gt;0,'Attrition Modeling'!$N$9,0)))</f>
        <v>0</v>
      </c>
      <c r="Y102" s="799">
        <f>X102*(1-IFERROR(IF(Y$69+$F102&lt;=12,SUMIFS('Attrition Modeling'!$D:$D,'Attrition Modeling'!$C:$C,'IP Attrition'!$D102,'Attrition Modeling'!$B:$B,'IP Attrition'!Y$68),VLOOKUP($F102+Y$2,$A$6:$C$106,2,FALSE)*VLOOKUP(Y$1,'Attrition Modeling'!$L$15:$N$27,IF(Y$2+$F35&lt;=24,2,3),FALSE)),$C$3)*(1+Projection!AA$16)*(1+IF(Y167&gt;0,'Attrition Modeling'!$N$9,0)))</f>
        <v>0</v>
      </c>
      <c r="Z102" s="799">
        <f>Y102*(1-IFERROR(IF(Z$69+$F102&lt;=12,SUMIFS('Attrition Modeling'!$D:$D,'Attrition Modeling'!$C:$C,'IP Attrition'!$D102,'Attrition Modeling'!$B:$B,'IP Attrition'!Z$68),VLOOKUP($F102+Z$2,$A$6:$C$106,2,FALSE)*VLOOKUP(Z$1,'Attrition Modeling'!$L$15:$N$27,IF(Z$2+$F35&lt;=24,2,3),FALSE)),$C$3)*(1+Projection!AB$16)*(1+IF(Z167&gt;0,'Attrition Modeling'!$N$9,0)))</f>
        <v>0</v>
      </c>
      <c r="AA102" s="799">
        <f>Z102*(1-IFERROR(IF(AA$69+$F102&lt;=12,SUMIFS('Attrition Modeling'!$D:$D,'Attrition Modeling'!$C:$C,'IP Attrition'!$D102,'Attrition Modeling'!$B:$B,'IP Attrition'!AA$68),VLOOKUP($F102+AA$2,$A$6:$C$106,2,FALSE)*VLOOKUP(AA$1,'Attrition Modeling'!$L$15:$N$27,IF(AA$2+$F35&lt;=24,2,3),FALSE)),$C$3)*(1+Projection!AC$16)*(1+IF(AA167&gt;0,'Attrition Modeling'!$N$9,0)))</f>
        <v>0</v>
      </c>
      <c r="AB102" s="799">
        <f>AA102*(1-IFERROR(IF(AB$69+$F102&lt;=12,SUMIFS('Attrition Modeling'!$D:$D,'Attrition Modeling'!$C:$C,'IP Attrition'!$D102,'Attrition Modeling'!$B:$B,'IP Attrition'!AB$68),VLOOKUP($F102+AB$2,$A$6:$C$106,2,FALSE)*VLOOKUP(AB$1,'Attrition Modeling'!$L$15:$N$27,IF(AB$2+$F35&lt;=24,2,3),FALSE)),$C$3)*(1+Projection!AD$16)*(1+IF(AB167&gt;0,'Attrition Modeling'!$N$9,0)))</f>
        <v>0</v>
      </c>
      <c r="AC102" s="799">
        <f>AB102*(1-IFERROR(IF(AC$69+$F102&lt;=12,SUMIFS('Attrition Modeling'!$D:$D,'Attrition Modeling'!$C:$C,'IP Attrition'!$D102,'Attrition Modeling'!$B:$B,'IP Attrition'!AC$68),VLOOKUP($F102+AC$2,$A$6:$C$106,2,FALSE)*VLOOKUP(AC$1,'Attrition Modeling'!$L$15:$N$27,IF(AC$2+$F35&lt;=24,2,3),FALSE)),$C$3)*(1+Projection!AE$16)*(1+IF(AC167&gt;0,'Attrition Modeling'!$N$9,0)))</f>
        <v>0</v>
      </c>
      <c r="AD102" s="799">
        <f>AC102*(1-IFERROR(IF(AD$69+$F102&lt;=12,SUMIFS('Attrition Modeling'!$D:$D,'Attrition Modeling'!$C:$C,'IP Attrition'!$D102,'Attrition Modeling'!$B:$B,'IP Attrition'!AD$68),VLOOKUP($F102+AD$2,$A$6:$C$106,2,FALSE)*VLOOKUP(AD$1,'Attrition Modeling'!$L$15:$N$27,IF(AD$2+$F35&lt;=24,2,3),FALSE)),$C$3)*(1+Projection!AF$16)*(1+IF(AD167&gt;0,'Attrition Modeling'!$N$9,0)))</f>
        <v>0</v>
      </c>
      <c r="AE102" s="799">
        <f>AD102*(1-IFERROR(IF(AE$69+$F102&lt;=12,SUMIFS('Attrition Modeling'!$D:$D,'Attrition Modeling'!$C:$C,'IP Attrition'!$D102,'Attrition Modeling'!$B:$B,'IP Attrition'!AE$68),VLOOKUP($F102+AE$2,$A$6:$C$106,2,FALSE)*VLOOKUP(AE$1,'Attrition Modeling'!$L$15:$N$27,IF(AE$2+$F35&lt;=24,2,3),FALSE)),$C$3)*(1+Projection!AG$16)*(1+IF(AE167&gt;0,'Attrition Modeling'!$N$9,0)))</f>
        <v>0</v>
      </c>
      <c r="AF102" s="799">
        <f>AE102*(1-IFERROR(IF(AF$69+$F102&lt;=12,SUMIFS('Attrition Modeling'!$D:$D,'Attrition Modeling'!$C:$C,'IP Attrition'!$D102,'Attrition Modeling'!$B:$B,'IP Attrition'!AF$68),VLOOKUP($F102+AF$2,$A$6:$C$106,2,FALSE)*VLOOKUP(AF$1,'Attrition Modeling'!$L$15:$N$27,IF(AF$2+$F35&lt;=24,2,3),FALSE)),$C$3)*(1+Projection!AH$16)*(1+IF(AF167&gt;0,'Attrition Modeling'!$N$9,0)))</f>
        <v>0</v>
      </c>
      <c r="AG102" s="799">
        <f>AF102*(1-IFERROR(IF(AG$69+$F102&lt;=12,SUMIFS('Attrition Modeling'!$D:$D,'Attrition Modeling'!$C:$C,'IP Attrition'!$D102,'Attrition Modeling'!$B:$B,'IP Attrition'!AG$68),VLOOKUP($F102+AG$2,$A$6:$C$106,2,FALSE)*VLOOKUP(AG$1,'Attrition Modeling'!$L$15:$N$27,IF(AG$2+$F35&lt;=24,2,3),FALSE)),$C$3)*(1+Projection!AI$16)*(1+IF(AG167&gt;0,'Attrition Modeling'!$N$9,0)))</f>
        <v>0</v>
      </c>
      <c r="AH102" s="799">
        <f>AG102*(1-IFERROR(IF(AH$69+$F102&lt;=12,SUMIFS('Attrition Modeling'!$D:$D,'Attrition Modeling'!$C:$C,'IP Attrition'!$D102,'Attrition Modeling'!$B:$B,'IP Attrition'!AH$68),VLOOKUP($F102+AH$2,$A$6:$C$106,2,FALSE)*VLOOKUP(AH$1,'Attrition Modeling'!$L$15:$N$27,IF(AH$2+$F35&lt;=24,2,3),FALSE)),$C$3)*(1+Projection!AJ$16)*(1+IF(AH167&gt;0,'Attrition Modeling'!$N$9,0)))</f>
        <v>0</v>
      </c>
      <c r="AI102" s="799">
        <f>AH102*(1-IFERROR(IF(AI$69+$F102&lt;=12,SUMIFS('Attrition Modeling'!$D:$D,'Attrition Modeling'!$C:$C,'IP Attrition'!$D102,'Attrition Modeling'!$B:$B,'IP Attrition'!AI$68),VLOOKUP($F102+AI$2,$A$6:$C$106,2,FALSE)*VLOOKUP(AI$1,'Attrition Modeling'!$L$15:$N$27,IF(AI$2+$F35&lt;=24,2,3),FALSE)),$C$3)*(1+Projection!AK$16)*(1+IF(AI167&gt;0,'Attrition Modeling'!$N$9,0)))</f>
        <v>0</v>
      </c>
      <c r="AJ102" s="799">
        <f>AI102*(1-IFERROR(IF(AJ$69+$F102&lt;=12,SUMIFS('Attrition Modeling'!$D:$D,'Attrition Modeling'!$C:$C,'IP Attrition'!$D102,'Attrition Modeling'!$B:$B,'IP Attrition'!AJ$68),VLOOKUP($F102+AJ$2,$A$6:$C$106,2,FALSE)*VLOOKUP(AJ$1,'Attrition Modeling'!$L$15:$N$27,IF(AJ$2+$F35&lt;=24,2,3),FALSE)),$C$3)*(1+Projection!AL$16)*(1+IF(AJ167&gt;0,'Attrition Modeling'!$N$9,0)))</f>
        <v>0</v>
      </c>
      <c r="AK102" s="799">
        <f>AJ102*(1-IFERROR(IF(AK$69+$F102&lt;=12,SUMIFS('Attrition Modeling'!$D:$D,'Attrition Modeling'!$C:$C,'IP Attrition'!$D102,'Attrition Modeling'!$B:$B,'IP Attrition'!AK$68),VLOOKUP($F102+AK$2,$A$6:$C$106,2,FALSE)*VLOOKUP(AK$1,'Attrition Modeling'!$L$15:$N$27,IF(AK$2+$F35&lt;=24,2,3),FALSE)),$C$3)*(1+Projection!AM$16)*(1+IF(AK167&gt;0,'Attrition Modeling'!$N$9,0)))</f>
        <v>0</v>
      </c>
      <c r="AL102" s="799">
        <f>AK102*(1-IFERROR(IF(AL$69+$F102&lt;=12,SUMIFS('Attrition Modeling'!$D:$D,'Attrition Modeling'!$C:$C,'IP Attrition'!$D102,'Attrition Modeling'!$B:$B,'IP Attrition'!AL$68),VLOOKUP($F102+AL$2,$A$6:$C$106,2,FALSE)*VLOOKUP(AL$1,'Attrition Modeling'!$L$15:$N$27,IF(AL$2+$F35&lt;=24,2,3),FALSE)),$C$3)*(1+Projection!AN$16)*(1+IF(AL167&gt;0,'Attrition Modeling'!$N$9,0)))</f>
        <v>0</v>
      </c>
      <c r="AM102" s="799">
        <f>AL102*(1-IFERROR(IF(AM$69+$F102&lt;=12,SUMIFS('Attrition Modeling'!$D:$D,'Attrition Modeling'!$C:$C,'IP Attrition'!$D102,'Attrition Modeling'!$B:$B,'IP Attrition'!AM$68),VLOOKUP($F102+AM$2,$A$6:$C$106,2,FALSE)*VLOOKUP(AM$1,'Attrition Modeling'!$L$15:$N$27,IF(AM$2+$F35&lt;=24,2,3),FALSE)),$C$3)*(1+Projection!AO$16)*(1+IF(AM167&gt;0,'Attrition Modeling'!$N$9,0)))</f>
        <v>0</v>
      </c>
      <c r="AN102" s="799">
        <f>AM102*(1-IFERROR(IF(AN$69+$F102&lt;=12,SUMIFS('Attrition Modeling'!$D:$D,'Attrition Modeling'!$C:$C,'IP Attrition'!$D102,'Attrition Modeling'!$B:$B,'IP Attrition'!AN$68),VLOOKUP($F102+AN$2,$A$6:$C$106,2,FALSE)*VLOOKUP(AN$1,'Attrition Modeling'!$L$15:$N$27,IF(AN$2+$F35&lt;=24,2,3),FALSE)),$C$3)*(1+Projection!AP$16)*(1+IF(AN167&gt;0,'Attrition Modeling'!$N$9,0)))</f>
        <v>0</v>
      </c>
      <c r="AO102" s="799">
        <f>AN102*(1-IFERROR(IF(AO$69+$F102&lt;=12,SUMIFS('Attrition Modeling'!$D:$D,'Attrition Modeling'!$C:$C,'IP Attrition'!$D102,'Attrition Modeling'!$B:$B,'IP Attrition'!AO$68),VLOOKUP($F102+AO$2,$A$6:$C$106,2,FALSE)*VLOOKUP(AO$1,'Attrition Modeling'!$L$15:$N$27,IF(AO$2+$F35&lt;=24,2,3),FALSE)),$C$3)*(1+Projection!AQ$16)*(1+IF(AO167&gt;0,'Attrition Modeling'!$N$9,0)))</f>
        <v>0</v>
      </c>
      <c r="AP102" s="799">
        <f>AO102*(1-IFERROR(IF(AP$69+$F102&lt;=12,SUMIFS('Attrition Modeling'!$D:$D,'Attrition Modeling'!$C:$C,'IP Attrition'!$D102,'Attrition Modeling'!$B:$B,'IP Attrition'!AP$68),VLOOKUP($F102+AP$2,$A$6:$C$106,2,FALSE)*VLOOKUP(AP$1,'Attrition Modeling'!$L$15:$N$27,IF(AP$2+$F35&lt;=24,2,3),FALSE)),$C$3)*(1+Projection!AR$16)*(1+IF(AP167&gt;0,'Attrition Modeling'!$N$9,0)))</f>
        <v>0</v>
      </c>
      <c r="AQ102" s="799">
        <f>AP102*(1-IFERROR(IF(AQ$69+$F102&lt;=12,SUMIFS('Attrition Modeling'!$D:$D,'Attrition Modeling'!$C:$C,'IP Attrition'!$D102,'Attrition Modeling'!$B:$B,'IP Attrition'!AQ$68),VLOOKUP($F102+AQ$2,$A$6:$C$106,2,FALSE)*VLOOKUP(AQ$1,'Attrition Modeling'!$L$15:$N$27,IF(AQ$2+$F35&lt;=24,2,3),FALSE)),$C$3)*(1+Projection!AS$16)*(1+IF(AQ167&gt;0,'Attrition Modeling'!$N$9,0)))</f>
        <v>0</v>
      </c>
      <c r="AR102" s="799">
        <f>AQ102*(1-IFERROR(IF(AR$69+$F102&lt;=12,SUMIFS('Attrition Modeling'!$D:$D,'Attrition Modeling'!$C:$C,'IP Attrition'!$D102,'Attrition Modeling'!$B:$B,'IP Attrition'!AR$68),VLOOKUP($F102+AR$2,$A$6:$C$106,2,FALSE)*VLOOKUP(AR$1,'Attrition Modeling'!$L$15:$N$27,IF(AR$2+$F35&lt;=24,2,3),FALSE)),$C$3)*(1+Projection!AT$16)*(1+IF(AR167&gt;0,'Attrition Modeling'!$N$9,0)))</f>
        <v>0</v>
      </c>
      <c r="AS102" s="799">
        <f>AR102*(1-IFERROR(IF(AS$69+$F102&lt;=12,SUMIFS('Attrition Modeling'!$D:$D,'Attrition Modeling'!$C:$C,'IP Attrition'!$D102,'Attrition Modeling'!$B:$B,'IP Attrition'!AS$68),VLOOKUP($F102+AS$2,$A$6:$C$106,2,FALSE)*VLOOKUP(AS$1,'Attrition Modeling'!$L$15:$N$27,IF(AS$2+$F35&lt;=24,2,3),FALSE)),$C$3)*(1+Projection!AU$16)*(1+IF(AS167&gt;0,'Attrition Modeling'!$N$9,0)))</f>
        <v>0</v>
      </c>
      <c r="AT102" s="799">
        <f>AS102*(1-IFERROR(IF(AT$69+$F102&lt;=12,SUMIFS('Attrition Modeling'!$D:$D,'Attrition Modeling'!$C:$C,'IP Attrition'!$D102,'Attrition Modeling'!$B:$B,'IP Attrition'!AT$68),VLOOKUP($F102+AT$2,$A$6:$C$106,2,FALSE)*VLOOKUP(AT$1,'Attrition Modeling'!$L$15:$N$27,IF(AT$2+$F35&lt;=24,2,3),FALSE)),$C$3)*(1+Projection!AV$16)*(1+IF(AT167&gt;0,'Attrition Modeling'!$N$9,0)))</f>
        <v>0</v>
      </c>
      <c r="AU102" s="799">
        <f>AT102*(1-IFERROR(IF(AU$69+$F102&lt;=12,SUMIFS('Attrition Modeling'!$D:$D,'Attrition Modeling'!$C:$C,'IP Attrition'!$D102,'Attrition Modeling'!$B:$B,'IP Attrition'!AU$68),VLOOKUP($F102+AU$2,$A$6:$C$106,2,FALSE)*VLOOKUP(AU$1,'Attrition Modeling'!$L$15:$N$27,IF(AU$2+$F35&lt;=24,2,3),FALSE)),$C$3)*(1+Projection!AW$16)*(1+IF(AU167&gt;0,'Attrition Modeling'!$N$9,0)))</f>
        <v>0</v>
      </c>
      <c r="AV102" s="799">
        <f>AU102*(1-IFERROR(IF(AV$69+$F102&lt;=12,SUMIFS('Attrition Modeling'!$D:$D,'Attrition Modeling'!$C:$C,'IP Attrition'!$D102,'Attrition Modeling'!$B:$B,'IP Attrition'!AV$68),VLOOKUP($F102+AV$2,$A$6:$C$106,2,FALSE)*VLOOKUP(AV$1,'Attrition Modeling'!$L$15:$N$27,IF(AV$2+$F35&lt;=24,2,3),FALSE)),$C$3)*(1+Projection!AX$16)*(1+IF(AV167&gt;0,'Attrition Modeling'!$N$9,0)))</f>
        <v>0</v>
      </c>
      <c r="AW102" s="799">
        <f>AV102*(1-IFERROR(IF(AW$69+$F102&lt;=12,SUMIFS('Attrition Modeling'!$D:$D,'Attrition Modeling'!$C:$C,'IP Attrition'!$D102,'Attrition Modeling'!$B:$B,'IP Attrition'!AW$68),VLOOKUP($F102+AW$2,$A$6:$C$106,2,FALSE)*VLOOKUP(AW$1,'Attrition Modeling'!$L$15:$N$27,IF(AW$2+$F35&lt;=24,2,3),FALSE)),$C$3)*(1+Projection!AY$16)*(1+IF(AW167&gt;0,'Attrition Modeling'!$N$9,0)))</f>
        <v>0</v>
      </c>
      <c r="AX102" s="799">
        <f>AW102*(1-IFERROR(IF(AX$69+$F102&lt;=12,SUMIFS('Attrition Modeling'!$D:$D,'Attrition Modeling'!$C:$C,'IP Attrition'!$D102,'Attrition Modeling'!$B:$B,'IP Attrition'!AX$68),VLOOKUP($F102+AX$2,$A$6:$C$106,2,FALSE)*VLOOKUP(AX$1,'Attrition Modeling'!$L$15:$N$27,IF(AX$2+$F35&lt;=24,2,3),FALSE)),$C$3)*(1+Projection!AZ$16)*(1+IF(AX167&gt;0,'Attrition Modeling'!$N$9,0)))</f>
        <v>0</v>
      </c>
      <c r="AY102" s="799">
        <f>AX102*(1-IFERROR(IF(AY$69+$F102&lt;=12,SUMIFS('Attrition Modeling'!$D:$D,'Attrition Modeling'!$C:$C,'IP Attrition'!$D102,'Attrition Modeling'!$B:$B,'IP Attrition'!AY$68),VLOOKUP($F102+AY$2,$A$6:$C$106,2,FALSE)*VLOOKUP(AY$1,'Attrition Modeling'!$L$15:$N$27,IF(AY$2+$F35&lt;=24,2,3),FALSE)),$C$3)*(1+Projection!BA$16)*(1+IF(AY167&gt;0,'Attrition Modeling'!$N$9,0)))</f>
        <v>0</v>
      </c>
      <c r="AZ102" s="799">
        <f>AY102*(1-IFERROR(IF(AZ$69+$F102&lt;=12,SUMIFS('Attrition Modeling'!$D:$D,'Attrition Modeling'!$C:$C,'IP Attrition'!$D102,'Attrition Modeling'!$B:$B,'IP Attrition'!AZ$68),VLOOKUP($F102+AZ$2,$A$6:$C$106,2,FALSE)*VLOOKUP(AZ$1,'Attrition Modeling'!$L$15:$N$27,IF(AZ$2+$F35&lt;=24,2,3),FALSE)),$C$3)*(1+Projection!BB$16)*(1+IF(AZ167&gt;0,'Attrition Modeling'!$N$9,0)))</f>
        <v>0</v>
      </c>
      <c r="BA102" s="799">
        <f>AZ102*(1-IFERROR(IF(BA$69+$F102&lt;=12,SUMIFS('Attrition Modeling'!$D:$D,'Attrition Modeling'!$C:$C,'IP Attrition'!$D102,'Attrition Modeling'!$B:$B,'IP Attrition'!BA$68),VLOOKUP($F102+BA$2,$A$6:$C$106,2,FALSE)*VLOOKUP(BA$1,'Attrition Modeling'!$L$15:$N$27,IF(BA$2+$F35&lt;=24,2,3),FALSE)),$C$3)*(1+Projection!BC$16)*(1+IF(BA167&gt;0,'Attrition Modeling'!$N$9,0)))</f>
        <v>0</v>
      </c>
      <c r="BB102" s="799">
        <f>BA102*(1-IFERROR(IF(BB$69+$F102&lt;=12,SUMIFS('Attrition Modeling'!$D:$D,'Attrition Modeling'!$C:$C,'IP Attrition'!$D102,'Attrition Modeling'!$B:$B,'IP Attrition'!BB$68),VLOOKUP($F102+BB$2,$A$6:$C$106,2,FALSE)*VLOOKUP(BB$1,'Attrition Modeling'!$L$15:$N$27,IF(BB$2+$F35&lt;=24,2,3),FALSE)),$C$3)*(1+Projection!BD$16)*(1+IF(BB167&gt;0,'Attrition Modeling'!$N$9,0)))</f>
        <v>0</v>
      </c>
      <c r="BC102" s="799">
        <f>BB102*(1-IFERROR(IF(BC$69+$F102&lt;=12,SUMIFS('Attrition Modeling'!$D:$D,'Attrition Modeling'!$C:$C,'IP Attrition'!$D102,'Attrition Modeling'!$B:$B,'IP Attrition'!BC$68),VLOOKUP($F102+BC$2,$A$6:$C$106,2,FALSE)*VLOOKUP(BC$1,'Attrition Modeling'!$L$15:$N$27,IF(BC$2+$F35&lt;=24,2,3),FALSE)),$C$3)*(1+Projection!BE$16)*(1+IF(BC167&gt;0,'Attrition Modeling'!$N$9,0)))</f>
        <v>0</v>
      </c>
      <c r="BD102" s="799">
        <f>BC102*(1-IFERROR(IF(BD$69+$F102&lt;=12,SUMIFS('Attrition Modeling'!$D:$D,'Attrition Modeling'!$C:$C,'IP Attrition'!$D102,'Attrition Modeling'!$B:$B,'IP Attrition'!BD$68),VLOOKUP($F102+BD$2,$A$6:$C$106,2,FALSE)*VLOOKUP(BD$1,'Attrition Modeling'!$L$15:$N$27,IF(BD$2+$F35&lt;=24,2,3),FALSE)),$C$3)*(1+Projection!BF$16)*(1+IF(BD167&gt;0,'Attrition Modeling'!$N$9,0)))</f>
        <v>0</v>
      </c>
      <c r="BE102" s="799">
        <f>BD102*(1-IFERROR(IF(BE$69+$F102&lt;=12,SUMIFS('Attrition Modeling'!$D:$D,'Attrition Modeling'!$C:$C,'IP Attrition'!$D102,'Attrition Modeling'!$B:$B,'IP Attrition'!BE$68),VLOOKUP($F102+BE$2,$A$6:$C$106,2,FALSE)*VLOOKUP(BE$1,'Attrition Modeling'!$L$15:$N$27,IF(BE$2+$F35&lt;=24,2,3),FALSE)),$C$3)*(1+Projection!BG$16)*(1+IF(BE167&gt;0,'Attrition Modeling'!$N$9,0)))</f>
        <v>0</v>
      </c>
      <c r="BF102" s="799">
        <f>BE102*(1-IFERROR(IF(BF$69+$F102&lt;=12,SUMIFS('Attrition Modeling'!$D:$D,'Attrition Modeling'!$C:$C,'IP Attrition'!$D102,'Attrition Modeling'!$B:$B,'IP Attrition'!BF$68),VLOOKUP($F102+BF$2,$A$6:$C$106,2,FALSE)*VLOOKUP(BF$1,'Attrition Modeling'!$L$15:$N$27,IF(BF$2+$F35&lt;=24,2,3),FALSE)),$C$3)*(1+Projection!BH$16)*(1+IF(BF167&gt;0,'Attrition Modeling'!$N$9,0)))</f>
        <v>0</v>
      </c>
      <c r="BG102" s="799">
        <f>BF102*(1-IFERROR(IF(BG$69+$F102&lt;=12,SUMIFS('Attrition Modeling'!$D:$D,'Attrition Modeling'!$C:$C,'IP Attrition'!$D102,'Attrition Modeling'!$B:$B,'IP Attrition'!BG$68),VLOOKUP($F102+BG$2,$A$6:$C$106,2,FALSE)*VLOOKUP(BG$1,'Attrition Modeling'!$L$15:$N$27,IF(BG$2+$F35&lt;=24,2,3),FALSE)),$C$3)*(1+Projection!BI$16)*(1+IF(BG167&gt;0,'Attrition Modeling'!$N$9,0)))</f>
        <v>0</v>
      </c>
      <c r="BH102" s="799">
        <f>BG102*(1-IFERROR(IF(BH$69+$F102&lt;=12,SUMIFS('Attrition Modeling'!$D:$D,'Attrition Modeling'!$C:$C,'IP Attrition'!$D102,'Attrition Modeling'!$B:$B,'IP Attrition'!BH$68),VLOOKUP($F102+BH$2,$A$6:$C$106,2,FALSE)*VLOOKUP(BH$1,'Attrition Modeling'!$L$15:$N$27,IF(BH$2+$F35&lt;=24,2,3),FALSE)),$C$3)*(1+Projection!BJ$16)*(1+IF(BH167&gt;0,'Attrition Modeling'!$N$9,0)))</f>
        <v>0</v>
      </c>
      <c r="BI102" s="799">
        <f>BH102*(1-IFERROR(IF(BI$69+$F102&lt;=12,SUMIFS('Attrition Modeling'!$D:$D,'Attrition Modeling'!$C:$C,'IP Attrition'!$D102,'Attrition Modeling'!$B:$B,'IP Attrition'!BI$68),VLOOKUP($F102+BI$2,$A$6:$C$106,2,FALSE)*VLOOKUP(BI$1,'Attrition Modeling'!$L$15:$N$27,IF(BI$2+$F35&lt;=24,2,3),FALSE)),$C$3)*(1+Projection!BK$16)*(1+IF(BI167&gt;0,'Attrition Modeling'!$N$9,0)))</f>
        <v>0</v>
      </c>
      <c r="BJ102" s="799">
        <f>BI102*(1-IFERROR(IF(BJ$69+$F102&lt;=12,SUMIFS('Attrition Modeling'!$D:$D,'Attrition Modeling'!$C:$C,'IP Attrition'!$D102,'Attrition Modeling'!$B:$B,'IP Attrition'!BJ$68),VLOOKUP($F102+BJ$2,$A$6:$C$106,2,FALSE)*VLOOKUP(BJ$1,'Attrition Modeling'!$L$15:$N$27,IF(BJ$2+$F35&lt;=24,2,3),FALSE)),$C$3)*(1+Projection!BL$16)*(1+IF(BJ167&gt;0,'Attrition Modeling'!$N$9,0)))</f>
        <v>0</v>
      </c>
      <c r="BK102" s="799">
        <f>BJ102*(1-IFERROR(IF(BK$69+$F102&lt;=12,SUMIFS('Attrition Modeling'!$D:$D,'Attrition Modeling'!$C:$C,'IP Attrition'!$D102,'Attrition Modeling'!$B:$B,'IP Attrition'!BK$68),VLOOKUP($F102+BK$2,$A$6:$C$106,2,FALSE)*VLOOKUP(BK$1,'Attrition Modeling'!$L$15:$N$27,IF(BK$2+$F35&lt;=24,2,3),FALSE)),$C$3)*(1+Projection!BM$16)*(1+IF(BK167&gt;0,'Attrition Modeling'!$N$9,0)))</f>
        <v>0</v>
      </c>
      <c r="BL102" s="799">
        <f>BK102*(1-IFERROR(IF(BL$69+$F102&lt;=12,SUMIFS('Attrition Modeling'!$D:$D,'Attrition Modeling'!$C:$C,'IP Attrition'!$D102,'Attrition Modeling'!$B:$B,'IP Attrition'!BL$68),VLOOKUP($F102+BL$2,$A$6:$C$106,2,FALSE)*VLOOKUP(BL$1,'Attrition Modeling'!$L$15:$N$27,IF(BL$2+$F35&lt;=24,2,3),FALSE)),$C$3)*(1+Projection!BN$16)*(1+IF(BL167&gt;0,'Attrition Modeling'!$N$9,0)))</f>
        <v>0</v>
      </c>
      <c r="BM102" s="799">
        <f>BL102*(1-IFERROR(IF(BM$69+$F102&lt;=12,SUMIFS('Attrition Modeling'!$D:$D,'Attrition Modeling'!$C:$C,'IP Attrition'!$D102,'Attrition Modeling'!$B:$B,'IP Attrition'!BM$68),VLOOKUP($F102+BM$2,$A$6:$C$106,2,FALSE)*VLOOKUP(BM$1,'Attrition Modeling'!$L$15:$N$27,IF(BM$2+$F35&lt;=24,2,3),FALSE)),$C$3)*(1+Projection!BO$16)*(1+IF(BM167&gt;0,'Attrition Modeling'!$N$9,0)))</f>
        <v>0</v>
      </c>
      <c r="BN102" s="799">
        <f>BM102*(1-IFERROR(IF(BN$69+$F102&lt;=12,SUMIFS('Attrition Modeling'!$D:$D,'Attrition Modeling'!$C:$C,'IP Attrition'!$D102,'Attrition Modeling'!$B:$B,'IP Attrition'!BN$68),VLOOKUP($F102+BN$2,$A$6:$C$106,2,FALSE)*VLOOKUP(BN$1,'Attrition Modeling'!$L$15:$N$27,IF(BN$2+$F35&lt;=24,2,3),FALSE)),$C$3)*(1+Projection!BP$16)*(1+IF(BN167&gt;0,'Attrition Modeling'!$N$9,0)))</f>
        <v>0</v>
      </c>
      <c r="BO102" s="799">
        <f>BN102*(1-IFERROR(IF(BO$69+$F102&lt;=12,SUMIFS('Attrition Modeling'!$D:$D,'Attrition Modeling'!$C:$C,'IP Attrition'!$D102,'Attrition Modeling'!$B:$B,'IP Attrition'!BO$68),VLOOKUP($F102+BO$2,$A$6:$C$106,2,FALSE)*VLOOKUP(BO$1,'Attrition Modeling'!$L$15:$N$27,IF(BO$2+$F35&lt;=24,2,3),FALSE)),$C$3)*(1+Projection!BV$16)*(1+IF(BO167&gt;0,'Attrition Modeling'!$N$9,0)))</f>
        <v>0</v>
      </c>
      <c r="BP102" s="799">
        <f>BO102*(1-IFERROR(IF(BP$69+$F102&lt;=12,SUMIFS('Attrition Modeling'!$D:$D,'Attrition Modeling'!$C:$C,'IP Attrition'!$D102,'Attrition Modeling'!$B:$B,'IP Attrition'!BP$68),VLOOKUP($F102+BP$2,$A$6:$C$106,2,FALSE)*VLOOKUP(BP$1,'Attrition Modeling'!$L$15:$N$27,IF(BP$2+$F35&lt;=24,2,3),FALSE)),$C$3)*(1+Projection!BW$16)*(1+IF(BP167&gt;0,'Attrition Modeling'!$N$9,0)))</f>
        <v>0</v>
      </c>
      <c r="BQ102" s="799">
        <f>BP102*(1-IFERROR(IF(BQ$69+$F102&lt;=12,SUMIFS('Attrition Modeling'!$D:$D,'Attrition Modeling'!$C:$C,'IP Attrition'!$D102,'Attrition Modeling'!$B:$B,'IP Attrition'!BQ$68),VLOOKUP($F102+BQ$2,$A$6:$C$106,2,FALSE)*VLOOKUP(BQ$1,'Attrition Modeling'!$L$15:$N$27,IF(BQ$2+$F35&lt;=24,2,3),FALSE)),$C$3)*(1+Projection!BX$16)*(1+IF(BQ167&gt;0,'Attrition Modeling'!$N$9,0)))</f>
        <v>0</v>
      </c>
      <c r="BR102" s="799">
        <f>BQ102*(1-IFERROR(IF(BR$69+$F102&lt;=12,SUMIFS('Attrition Modeling'!$D:$D,'Attrition Modeling'!$C:$C,'IP Attrition'!$D102,'Attrition Modeling'!$B:$B,'IP Attrition'!BR$68),VLOOKUP($F102+BR$2,$A$6:$C$106,2,FALSE)*VLOOKUP(BR$1,'Attrition Modeling'!$L$15:$N$27,IF(BR$2+$F35&lt;=24,2,3),FALSE)),$C$3)*(1+Projection!BY$16)*(1+IF(BR167&gt;0,'Attrition Modeling'!$N$9,0)))</f>
        <v>0</v>
      </c>
      <c r="BS102" s="799">
        <f>BR102*(1-IFERROR(IF(BS$69+$F102&lt;=12,SUMIFS('Attrition Modeling'!$D:$D,'Attrition Modeling'!$C:$C,'IP Attrition'!$D102,'Attrition Modeling'!$B:$B,'IP Attrition'!BS$68),VLOOKUP($F102+BS$2,$A$6:$C$106,2,FALSE)*VLOOKUP(BS$1,'Attrition Modeling'!$L$15:$N$27,IF(BS$2+$F35&lt;=24,2,3),FALSE)),$C$3)*(1+Projection!BZ$16)*(1+IF(BS167&gt;0,'Attrition Modeling'!$N$9,0)))</f>
        <v>0</v>
      </c>
      <c r="BT102" s="799" t="e">
        <f>BS102*(1-IFERROR(IF(BT$69+$F102&lt;=12,SUMIFS('Attrition Modeling'!$D:$D,'Attrition Modeling'!$C:$C,'IP Attrition'!$D102,'Attrition Modeling'!$B:$B,'IP Attrition'!BT$68),VLOOKUP($F102+BT$2,$A$6:$C$106,2,FALSE)*VLOOKUP(BT$1,'Attrition Modeling'!$L$15:$N$27,IF(BT$2+$F35&lt;=24,2,3),FALSE)),$C$3)*(1+Projection!CA$16)*(1+IF(BT167&gt;0,'Attrition Modeling'!$N$9,0)))</f>
        <v>#REF!</v>
      </c>
      <c r="BU102" s="799" t="e">
        <f>BT102*(1-IFERROR(IF(BU$69+$F102&lt;=12,SUMIFS('Attrition Modeling'!$D:$D,'Attrition Modeling'!$C:$C,'IP Attrition'!$D102,'Attrition Modeling'!$B:$B,'IP Attrition'!BU$68),VLOOKUP($F102+BU$2,$A$6:$C$106,2,FALSE)*VLOOKUP(BU$1,'Attrition Modeling'!$L$15:$N$27,IF(BU$2+$F35&lt;=24,2,3),FALSE)),$C$3)*(1+Projection!CB$16)*(1+IF(BU167&gt;0,'Attrition Modeling'!$N$9,0)))</f>
        <v>#REF!</v>
      </c>
    </row>
    <row r="103" spans="1:73" ht="14.25" customHeight="1" x14ac:dyDescent="0.2">
      <c r="A103" s="9">
        <v>96</v>
      </c>
      <c r="B103" s="25">
        <f>MAX('Attrition Modeling'!H100,$C$3)*(1-Summary!$C$20)</f>
        <v>0.02</v>
      </c>
      <c r="C103" s="24" t="e">
        <f t="shared" si="3"/>
        <v>#DIV/0!</v>
      </c>
      <c r="D103" s="11">
        <f t="shared" ref="D103:E103" si="41">D36</f>
        <v>-33</v>
      </c>
      <c r="E103" s="25">
        <f t="shared" si="41"/>
        <v>0</v>
      </c>
      <c r="F103" s="11">
        <f t="shared" si="9"/>
        <v>33</v>
      </c>
      <c r="G103" s="799">
        <f>Summary!$C$24*$E103</f>
        <v>0</v>
      </c>
      <c r="H103" s="799">
        <f>G103*(1-IFERROR(IF(H$69+$F103&lt;=12,SUMIFS('Attrition Modeling'!$D:$D,'Attrition Modeling'!$C:$C,'IP Attrition'!$D103,'Attrition Modeling'!$B:$B,'IP Attrition'!H$68),VLOOKUP($F103+H$2,$A$6:$C$106,2,FALSE)*VLOOKUP(H$1,'Attrition Modeling'!$L$15:$N$27,IF(H$2+$F36&lt;=24,2,3),FALSE)),$C$3)*(1+Projection!J$16)*(1+IF(H168&gt;0,'Attrition Modeling'!$N$9,0)))</f>
        <v>0</v>
      </c>
      <c r="I103" s="799">
        <f>H103*(1-IFERROR(IF(I$69+$F103&lt;=12,SUMIFS('Attrition Modeling'!$D:$D,'Attrition Modeling'!$C:$C,'IP Attrition'!$D103,'Attrition Modeling'!$B:$B,'IP Attrition'!I$68),VLOOKUP($F103+I$2,$A$6:$C$106,2,FALSE)*VLOOKUP(I$1,'Attrition Modeling'!$L$15:$N$27,IF(I$2+$F36&lt;=24,2,3),FALSE)),$C$3)*(1+Projection!K$16)*(1+IF(I168&gt;0,'Attrition Modeling'!$N$9,0)))</f>
        <v>0</v>
      </c>
      <c r="J103" s="799">
        <f>I103*(1-IFERROR(IF(J$69+$F103&lt;=12,SUMIFS('Attrition Modeling'!$D:$D,'Attrition Modeling'!$C:$C,'IP Attrition'!$D103,'Attrition Modeling'!$B:$B,'IP Attrition'!J$68),VLOOKUP($F103+J$2,$A$6:$C$106,2,FALSE)*VLOOKUP(J$1,'Attrition Modeling'!$L$15:$N$27,IF(J$2+$F36&lt;=24,2,3),FALSE)),$C$3)*(1+Projection!L$16)*(1+IF(J168&gt;0,'Attrition Modeling'!$N$9,0)))</f>
        <v>0</v>
      </c>
      <c r="K103" s="799">
        <f>J103*(1-IFERROR(IF(K$69+$F103&lt;=12,SUMIFS('Attrition Modeling'!$D:$D,'Attrition Modeling'!$C:$C,'IP Attrition'!$D103,'Attrition Modeling'!$B:$B,'IP Attrition'!K$68),VLOOKUP($F103+K$2,$A$6:$C$106,2,FALSE)*VLOOKUP(K$1,'Attrition Modeling'!$L$15:$N$27,IF(K$2+$F36&lt;=24,2,3),FALSE)),$C$3)*(1+Projection!M$16)*(1+IF(K168&gt;0,'Attrition Modeling'!$N$9,0)))</f>
        <v>0</v>
      </c>
      <c r="L103" s="799">
        <f>K103*(1-IFERROR(IF(L$69+$F103&lt;=12,SUMIFS('Attrition Modeling'!$D:$D,'Attrition Modeling'!$C:$C,'IP Attrition'!$D103,'Attrition Modeling'!$B:$B,'IP Attrition'!L$68),VLOOKUP($F103+L$2,$A$6:$C$106,2,FALSE)*VLOOKUP(L$1,'Attrition Modeling'!$L$15:$N$27,IF(L$2+$F36&lt;=24,2,3),FALSE)),$C$3)*(1+Projection!N$16)*(1+IF(L168&gt;0,'Attrition Modeling'!$N$9,0)))</f>
        <v>0</v>
      </c>
      <c r="M103" s="799">
        <f>L103*(1-IFERROR(IF(M$69+$F103&lt;=12,SUMIFS('Attrition Modeling'!$D:$D,'Attrition Modeling'!$C:$C,'IP Attrition'!$D103,'Attrition Modeling'!$B:$B,'IP Attrition'!M$68),VLOOKUP($F103+M$2,$A$6:$C$106,2,FALSE)*VLOOKUP(M$1,'Attrition Modeling'!$L$15:$N$27,IF(M$2+$F36&lt;=24,2,3),FALSE)),$C$3)*(1+Projection!O$16)*(1+IF(M168&gt;0,'Attrition Modeling'!$N$9,0)))</f>
        <v>0</v>
      </c>
      <c r="N103" s="799">
        <f>M103*(1-IFERROR(IF(N$69+$F103&lt;=12,SUMIFS('Attrition Modeling'!$D:$D,'Attrition Modeling'!$C:$C,'IP Attrition'!$D103,'Attrition Modeling'!$B:$B,'IP Attrition'!N$68),VLOOKUP($F103+N$2,$A$6:$C$106,2,FALSE)*VLOOKUP(N$1,'Attrition Modeling'!$L$15:$N$27,IF(N$2+$F36&lt;=24,2,3),FALSE)),$C$3)*(1+Projection!P$16)*(1+IF(N168&gt;0,'Attrition Modeling'!$N$9,0)))</f>
        <v>0</v>
      </c>
      <c r="O103" s="799">
        <f>N103*(1-IFERROR(IF(O$69+$F103&lt;=12,SUMIFS('Attrition Modeling'!$D:$D,'Attrition Modeling'!$C:$C,'IP Attrition'!$D103,'Attrition Modeling'!$B:$B,'IP Attrition'!O$68),VLOOKUP($F103+O$2,$A$6:$C$106,2,FALSE)*VLOOKUP(O$1,'Attrition Modeling'!$L$15:$N$27,IF(O$2+$F36&lt;=24,2,3),FALSE)),$C$3)*(1+Projection!Q$16)*(1+IF(O168&gt;0,'Attrition Modeling'!$N$9,0)))</f>
        <v>0</v>
      </c>
      <c r="P103" s="799">
        <f>O103*(1-IFERROR(IF(P$69+$F103&lt;=12,SUMIFS('Attrition Modeling'!$D:$D,'Attrition Modeling'!$C:$C,'IP Attrition'!$D103,'Attrition Modeling'!$B:$B,'IP Attrition'!P$68),VLOOKUP($F103+P$2,$A$6:$C$106,2,FALSE)*VLOOKUP(P$1,'Attrition Modeling'!$L$15:$N$27,IF(P$2+$F36&lt;=24,2,3),FALSE)),$C$3)*(1+Projection!R$16)*(1+IF(P168&gt;0,'Attrition Modeling'!$N$9,0)))</f>
        <v>0</v>
      </c>
      <c r="Q103" s="799">
        <f>P103*(1-IFERROR(IF(Q$69+$F103&lt;=12,SUMIFS('Attrition Modeling'!$D:$D,'Attrition Modeling'!$C:$C,'IP Attrition'!$D103,'Attrition Modeling'!$B:$B,'IP Attrition'!Q$68),VLOOKUP($F103+Q$2,$A$6:$C$106,2,FALSE)*VLOOKUP(Q$1,'Attrition Modeling'!$L$15:$N$27,IF(Q$2+$F36&lt;=24,2,3),FALSE)),$C$3)*(1+Projection!S$16)*(1+IF(Q168&gt;0,'Attrition Modeling'!$N$9,0)))</f>
        <v>0</v>
      </c>
      <c r="R103" s="799">
        <f>Q103*(1-IFERROR(IF(R$69+$F103&lt;=12,SUMIFS('Attrition Modeling'!$D:$D,'Attrition Modeling'!$C:$C,'IP Attrition'!$D103,'Attrition Modeling'!$B:$B,'IP Attrition'!R$68),VLOOKUP($F103+R$2,$A$6:$C$106,2,FALSE)*VLOOKUP(R$1,'Attrition Modeling'!$L$15:$N$27,IF(R$2+$F36&lt;=24,2,3),FALSE)),$C$3)*(1+Projection!T$16)*(1+IF(R168&gt;0,'Attrition Modeling'!$N$9,0)))</f>
        <v>0</v>
      </c>
      <c r="S103" s="799">
        <f>R103*(1-IFERROR(IF(S$69+$F103&lt;=12,SUMIFS('Attrition Modeling'!$D:$D,'Attrition Modeling'!$C:$C,'IP Attrition'!$D103,'Attrition Modeling'!$B:$B,'IP Attrition'!S$68),VLOOKUP($F103+S$2,$A$6:$C$106,2,FALSE)*VLOOKUP(S$1,'Attrition Modeling'!$L$15:$N$27,IF(S$2+$F36&lt;=24,2,3),FALSE)),$C$3)*(1+Projection!U$16)*(1+IF(S168&gt;0,'Attrition Modeling'!$N$9,0)))</f>
        <v>0</v>
      </c>
      <c r="T103" s="799">
        <f>S103*(1-IFERROR(IF(T$69+$F103&lt;=12,SUMIFS('Attrition Modeling'!$D:$D,'Attrition Modeling'!$C:$C,'IP Attrition'!$D103,'Attrition Modeling'!$B:$B,'IP Attrition'!T$68),VLOOKUP($F103+T$2,$A$6:$C$106,2,FALSE)*VLOOKUP(T$1,'Attrition Modeling'!$L$15:$N$27,IF(T$2+$F36&lt;=24,2,3),FALSE)),$C$3)*(1+Projection!V$16)*(1+IF(T168&gt;0,'Attrition Modeling'!$N$9,0)))</f>
        <v>0</v>
      </c>
      <c r="U103" s="799">
        <f>T103*(1-IFERROR(IF(U$69+$F103&lt;=12,SUMIFS('Attrition Modeling'!$D:$D,'Attrition Modeling'!$C:$C,'IP Attrition'!$D103,'Attrition Modeling'!$B:$B,'IP Attrition'!U$68),VLOOKUP($F103+U$2,$A$6:$C$106,2,FALSE)*VLOOKUP(U$1,'Attrition Modeling'!$L$15:$N$27,IF(U$2+$F36&lt;=24,2,3),FALSE)),$C$3)*(1+Projection!W$16)*(1+IF(U168&gt;0,'Attrition Modeling'!$N$9,0)))</f>
        <v>0</v>
      </c>
      <c r="V103" s="799">
        <f>U103*(1-IFERROR(IF(V$69+$F103&lt;=12,SUMIFS('Attrition Modeling'!$D:$D,'Attrition Modeling'!$C:$C,'IP Attrition'!$D103,'Attrition Modeling'!$B:$B,'IP Attrition'!V$68),VLOOKUP($F103+V$2,$A$6:$C$106,2,FALSE)*VLOOKUP(V$1,'Attrition Modeling'!$L$15:$N$27,IF(V$2+$F36&lt;=24,2,3),FALSE)),$C$3)*(1+Projection!X$16)*(1+IF(V168&gt;0,'Attrition Modeling'!$N$9,0)))</f>
        <v>0</v>
      </c>
      <c r="W103" s="799">
        <f>V103*(1-IFERROR(IF(W$69+$F103&lt;=12,SUMIFS('Attrition Modeling'!$D:$D,'Attrition Modeling'!$C:$C,'IP Attrition'!$D103,'Attrition Modeling'!$B:$B,'IP Attrition'!W$68),VLOOKUP($F103+W$2,$A$6:$C$106,2,FALSE)*VLOOKUP(W$1,'Attrition Modeling'!$L$15:$N$27,IF(W$2+$F36&lt;=24,2,3),FALSE)),$C$3)*(1+Projection!Y$16)*(1+IF(W168&gt;0,'Attrition Modeling'!$N$9,0)))</f>
        <v>0</v>
      </c>
      <c r="X103" s="799">
        <f>W103*(1-IFERROR(IF(X$69+$F103&lt;=12,SUMIFS('Attrition Modeling'!$D:$D,'Attrition Modeling'!$C:$C,'IP Attrition'!$D103,'Attrition Modeling'!$B:$B,'IP Attrition'!X$68),VLOOKUP($F103+X$2,$A$6:$C$106,2,FALSE)*VLOOKUP(X$1,'Attrition Modeling'!$L$15:$N$27,IF(X$2+$F36&lt;=24,2,3),FALSE)),$C$3)*(1+Projection!Z$16)*(1+IF(X168&gt;0,'Attrition Modeling'!$N$9,0)))</f>
        <v>0</v>
      </c>
      <c r="Y103" s="799">
        <f>X103*(1-IFERROR(IF(Y$69+$F103&lt;=12,SUMIFS('Attrition Modeling'!$D:$D,'Attrition Modeling'!$C:$C,'IP Attrition'!$D103,'Attrition Modeling'!$B:$B,'IP Attrition'!Y$68),VLOOKUP($F103+Y$2,$A$6:$C$106,2,FALSE)*VLOOKUP(Y$1,'Attrition Modeling'!$L$15:$N$27,IF(Y$2+$F36&lt;=24,2,3),FALSE)),$C$3)*(1+Projection!AA$16)*(1+IF(Y168&gt;0,'Attrition Modeling'!$N$9,0)))</f>
        <v>0</v>
      </c>
      <c r="Z103" s="799">
        <f>Y103*(1-IFERROR(IF(Z$69+$F103&lt;=12,SUMIFS('Attrition Modeling'!$D:$D,'Attrition Modeling'!$C:$C,'IP Attrition'!$D103,'Attrition Modeling'!$B:$B,'IP Attrition'!Z$68),VLOOKUP($F103+Z$2,$A$6:$C$106,2,FALSE)*VLOOKUP(Z$1,'Attrition Modeling'!$L$15:$N$27,IF(Z$2+$F36&lt;=24,2,3),FALSE)),$C$3)*(1+Projection!AB$16)*(1+IF(Z168&gt;0,'Attrition Modeling'!$N$9,0)))</f>
        <v>0</v>
      </c>
      <c r="AA103" s="799">
        <f>Z103*(1-IFERROR(IF(AA$69+$F103&lt;=12,SUMIFS('Attrition Modeling'!$D:$D,'Attrition Modeling'!$C:$C,'IP Attrition'!$D103,'Attrition Modeling'!$B:$B,'IP Attrition'!AA$68),VLOOKUP($F103+AA$2,$A$6:$C$106,2,FALSE)*VLOOKUP(AA$1,'Attrition Modeling'!$L$15:$N$27,IF(AA$2+$F36&lt;=24,2,3),FALSE)),$C$3)*(1+Projection!AC$16)*(1+IF(AA168&gt;0,'Attrition Modeling'!$N$9,0)))</f>
        <v>0</v>
      </c>
      <c r="AB103" s="799">
        <f>AA103*(1-IFERROR(IF(AB$69+$F103&lt;=12,SUMIFS('Attrition Modeling'!$D:$D,'Attrition Modeling'!$C:$C,'IP Attrition'!$D103,'Attrition Modeling'!$B:$B,'IP Attrition'!AB$68),VLOOKUP($F103+AB$2,$A$6:$C$106,2,FALSE)*VLOOKUP(AB$1,'Attrition Modeling'!$L$15:$N$27,IF(AB$2+$F36&lt;=24,2,3),FALSE)),$C$3)*(1+Projection!AD$16)*(1+IF(AB168&gt;0,'Attrition Modeling'!$N$9,0)))</f>
        <v>0</v>
      </c>
      <c r="AC103" s="799">
        <f>AB103*(1-IFERROR(IF(AC$69+$F103&lt;=12,SUMIFS('Attrition Modeling'!$D:$D,'Attrition Modeling'!$C:$C,'IP Attrition'!$D103,'Attrition Modeling'!$B:$B,'IP Attrition'!AC$68),VLOOKUP($F103+AC$2,$A$6:$C$106,2,FALSE)*VLOOKUP(AC$1,'Attrition Modeling'!$L$15:$N$27,IF(AC$2+$F36&lt;=24,2,3),FALSE)),$C$3)*(1+Projection!AE$16)*(1+IF(AC168&gt;0,'Attrition Modeling'!$N$9,0)))</f>
        <v>0</v>
      </c>
      <c r="AD103" s="799">
        <f>AC103*(1-IFERROR(IF(AD$69+$F103&lt;=12,SUMIFS('Attrition Modeling'!$D:$D,'Attrition Modeling'!$C:$C,'IP Attrition'!$D103,'Attrition Modeling'!$B:$B,'IP Attrition'!AD$68),VLOOKUP($F103+AD$2,$A$6:$C$106,2,FALSE)*VLOOKUP(AD$1,'Attrition Modeling'!$L$15:$N$27,IF(AD$2+$F36&lt;=24,2,3),FALSE)),$C$3)*(1+Projection!AF$16)*(1+IF(AD168&gt;0,'Attrition Modeling'!$N$9,0)))</f>
        <v>0</v>
      </c>
      <c r="AE103" s="799">
        <f>AD103*(1-IFERROR(IF(AE$69+$F103&lt;=12,SUMIFS('Attrition Modeling'!$D:$D,'Attrition Modeling'!$C:$C,'IP Attrition'!$D103,'Attrition Modeling'!$B:$B,'IP Attrition'!AE$68),VLOOKUP($F103+AE$2,$A$6:$C$106,2,FALSE)*VLOOKUP(AE$1,'Attrition Modeling'!$L$15:$N$27,IF(AE$2+$F36&lt;=24,2,3),FALSE)),$C$3)*(1+Projection!AG$16)*(1+IF(AE168&gt;0,'Attrition Modeling'!$N$9,0)))</f>
        <v>0</v>
      </c>
      <c r="AF103" s="799">
        <f>AE103*(1-IFERROR(IF(AF$69+$F103&lt;=12,SUMIFS('Attrition Modeling'!$D:$D,'Attrition Modeling'!$C:$C,'IP Attrition'!$D103,'Attrition Modeling'!$B:$B,'IP Attrition'!AF$68),VLOOKUP($F103+AF$2,$A$6:$C$106,2,FALSE)*VLOOKUP(AF$1,'Attrition Modeling'!$L$15:$N$27,IF(AF$2+$F36&lt;=24,2,3),FALSE)),$C$3)*(1+Projection!AH$16)*(1+IF(AF168&gt;0,'Attrition Modeling'!$N$9,0)))</f>
        <v>0</v>
      </c>
      <c r="AG103" s="799">
        <f>AF103*(1-IFERROR(IF(AG$69+$F103&lt;=12,SUMIFS('Attrition Modeling'!$D:$D,'Attrition Modeling'!$C:$C,'IP Attrition'!$D103,'Attrition Modeling'!$B:$B,'IP Attrition'!AG$68),VLOOKUP($F103+AG$2,$A$6:$C$106,2,FALSE)*VLOOKUP(AG$1,'Attrition Modeling'!$L$15:$N$27,IF(AG$2+$F36&lt;=24,2,3),FALSE)),$C$3)*(1+Projection!AI$16)*(1+IF(AG168&gt;0,'Attrition Modeling'!$N$9,0)))</f>
        <v>0</v>
      </c>
      <c r="AH103" s="799">
        <f>AG103*(1-IFERROR(IF(AH$69+$F103&lt;=12,SUMIFS('Attrition Modeling'!$D:$D,'Attrition Modeling'!$C:$C,'IP Attrition'!$D103,'Attrition Modeling'!$B:$B,'IP Attrition'!AH$68),VLOOKUP($F103+AH$2,$A$6:$C$106,2,FALSE)*VLOOKUP(AH$1,'Attrition Modeling'!$L$15:$N$27,IF(AH$2+$F36&lt;=24,2,3),FALSE)),$C$3)*(1+Projection!AJ$16)*(1+IF(AH168&gt;0,'Attrition Modeling'!$N$9,0)))</f>
        <v>0</v>
      </c>
      <c r="AI103" s="799">
        <f>AH103*(1-IFERROR(IF(AI$69+$F103&lt;=12,SUMIFS('Attrition Modeling'!$D:$D,'Attrition Modeling'!$C:$C,'IP Attrition'!$D103,'Attrition Modeling'!$B:$B,'IP Attrition'!AI$68),VLOOKUP($F103+AI$2,$A$6:$C$106,2,FALSE)*VLOOKUP(AI$1,'Attrition Modeling'!$L$15:$N$27,IF(AI$2+$F36&lt;=24,2,3),FALSE)),$C$3)*(1+Projection!AK$16)*(1+IF(AI168&gt;0,'Attrition Modeling'!$N$9,0)))</f>
        <v>0</v>
      </c>
      <c r="AJ103" s="799">
        <f>AI103*(1-IFERROR(IF(AJ$69+$F103&lt;=12,SUMIFS('Attrition Modeling'!$D:$D,'Attrition Modeling'!$C:$C,'IP Attrition'!$D103,'Attrition Modeling'!$B:$B,'IP Attrition'!AJ$68),VLOOKUP($F103+AJ$2,$A$6:$C$106,2,FALSE)*VLOOKUP(AJ$1,'Attrition Modeling'!$L$15:$N$27,IF(AJ$2+$F36&lt;=24,2,3),FALSE)),$C$3)*(1+Projection!AL$16)*(1+IF(AJ168&gt;0,'Attrition Modeling'!$N$9,0)))</f>
        <v>0</v>
      </c>
      <c r="AK103" s="799">
        <f>AJ103*(1-IFERROR(IF(AK$69+$F103&lt;=12,SUMIFS('Attrition Modeling'!$D:$D,'Attrition Modeling'!$C:$C,'IP Attrition'!$D103,'Attrition Modeling'!$B:$B,'IP Attrition'!AK$68),VLOOKUP($F103+AK$2,$A$6:$C$106,2,FALSE)*VLOOKUP(AK$1,'Attrition Modeling'!$L$15:$N$27,IF(AK$2+$F36&lt;=24,2,3),FALSE)),$C$3)*(1+Projection!AM$16)*(1+IF(AK168&gt;0,'Attrition Modeling'!$N$9,0)))</f>
        <v>0</v>
      </c>
      <c r="AL103" s="799">
        <f>AK103*(1-IFERROR(IF(AL$69+$F103&lt;=12,SUMIFS('Attrition Modeling'!$D:$D,'Attrition Modeling'!$C:$C,'IP Attrition'!$D103,'Attrition Modeling'!$B:$B,'IP Attrition'!AL$68),VLOOKUP($F103+AL$2,$A$6:$C$106,2,FALSE)*VLOOKUP(AL$1,'Attrition Modeling'!$L$15:$N$27,IF(AL$2+$F36&lt;=24,2,3),FALSE)),$C$3)*(1+Projection!AN$16)*(1+IF(AL168&gt;0,'Attrition Modeling'!$N$9,0)))</f>
        <v>0</v>
      </c>
      <c r="AM103" s="799">
        <f>AL103*(1-IFERROR(IF(AM$69+$F103&lt;=12,SUMIFS('Attrition Modeling'!$D:$D,'Attrition Modeling'!$C:$C,'IP Attrition'!$D103,'Attrition Modeling'!$B:$B,'IP Attrition'!AM$68),VLOOKUP($F103+AM$2,$A$6:$C$106,2,FALSE)*VLOOKUP(AM$1,'Attrition Modeling'!$L$15:$N$27,IF(AM$2+$F36&lt;=24,2,3),FALSE)),$C$3)*(1+Projection!AO$16)*(1+IF(AM168&gt;0,'Attrition Modeling'!$N$9,0)))</f>
        <v>0</v>
      </c>
      <c r="AN103" s="799">
        <f>AM103*(1-IFERROR(IF(AN$69+$F103&lt;=12,SUMIFS('Attrition Modeling'!$D:$D,'Attrition Modeling'!$C:$C,'IP Attrition'!$D103,'Attrition Modeling'!$B:$B,'IP Attrition'!AN$68),VLOOKUP($F103+AN$2,$A$6:$C$106,2,FALSE)*VLOOKUP(AN$1,'Attrition Modeling'!$L$15:$N$27,IF(AN$2+$F36&lt;=24,2,3),FALSE)),$C$3)*(1+Projection!AP$16)*(1+IF(AN168&gt;0,'Attrition Modeling'!$N$9,0)))</f>
        <v>0</v>
      </c>
      <c r="AO103" s="799">
        <f>AN103*(1-IFERROR(IF(AO$69+$F103&lt;=12,SUMIFS('Attrition Modeling'!$D:$D,'Attrition Modeling'!$C:$C,'IP Attrition'!$D103,'Attrition Modeling'!$B:$B,'IP Attrition'!AO$68),VLOOKUP($F103+AO$2,$A$6:$C$106,2,FALSE)*VLOOKUP(AO$1,'Attrition Modeling'!$L$15:$N$27,IF(AO$2+$F36&lt;=24,2,3),FALSE)),$C$3)*(1+Projection!AQ$16)*(1+IF(AO168&gt;0,'Attrition Modeling'!$N$9,0)))</f>
        <v>0</v>
      </c>
      <c r="AP103" s="799">
        <f>AO103*(1-IFERROR(IF(AP$69+$F103&lt;=12,SUMIFS('Attrition Modeling'!$D:$D,'Attrition Modeling'!$C:$C,'IP Attrition'!$D103,'Attrition Modeling'!$B:$B,'IP Attrition'!AP$68),VLOOKUP($F103+AP$2,$A$6:$C$106,2,FALSE)*VLOOKUP(AP$1,'Attrition Modeling'!$L$15:$N$27,IF(AP$2+$F36&lt;=24,2,3),FALSE)),$C$3)*(1+Projection!AR$16)*(1+IF(AP168&gt;0,'Attrition Modeling'!$N$9,0)))</f>
        <v>0</v>
      </c>
      <c r="AQ103" s="799">
        <f>AP103*(1-IFERROR(IF(AQ$69+$F103&lt;=12,SUMIFS('Attrition Modeling'!$D:$D,'Attrition Modeling'!$C:$C,'IP Attrition'!$D103,'Attrition Modeling'!$B:$B,'IP Attrition'!AQ$68),VLOOKUP($F103+AQ$2,$A$6:$C$106,2,FALSE)*VLOOKUP(AQ$1,'Attrition Modeling'!$L$15:$N$27,IF(AQ$2+$F36&lt;=24,2,3),FALSE)),$C$3)*(1+Projection!AS$16)*(1+IF(AQ168&gt;0,'Attrition Modeling'!$N$9,0)))</f>
        <v>0</v>
      </c>
      <c r="AR103" s="799">
        <f>AQ103*(1-IFERROR(IF(AR$69+$F103&lt;=12,SUMIFS('Attrition Modeling'!$D:$D,'Attrition Modeling'!$C:$C,'IP Attrition'!$D103,'Attrition Modeling'!$B:$B,'IP Attrition'!AR$68),VLOOKUP($F103+AR$2,$A$6:$C$106,2,FALSE)*VLOOKUP(AR$1,'Attrition Modeling'!$L$15:$N$27,IF(AR$2+$F36&lt;=24,2,3),FALSE)),$C$3)*(1+Projection!AT$16)*(1+IF(AR168&gt;0,'Attrition Modeling'!$N$9,0)))</f>
        <v>0</v>
      </c>
      <c r="AS103" s="799">
        <f>AR103*(1-IFERROR(IF(AS$69+$F103&lt;=12,SUMIFS('Attrition Modeling'!$D:$D,'Attrition Modeling'!$C:$C,'IP Attrition'!$D103,'Attrition Modeling'!$B:$B,'IP Attrition'!AS$68),VLOOKUP($F103+AS$2,$A$6:$C$106,2,FALSE)*VLOOKUP(AS$1,'Attrition Modeling'!$L$15:$N$27,IF(AS$2+$F36&lt;=24,2,3),FALSE)),$C$3)*(1+Projection!AU$16)*(1+IF(AS168&gt;0,'Attrition Modeling'!$N$9,0)))</f>
        <v>0</v>
      </c>
      <c r="AT103" s="799">
        <f>AS103*(1-IFERROR(IF(AT$69+$F103&lt;=12,SUMIFS('Attrition Modeling'!$D:$D,'Attrition Modeling'!$C:$C,'IP Attrition'!$D103,'Attrition Modeling'!$B:$B,'IP Attrition'!AT$68),VLOOKUP($F103+AT$2,$A$6:$C$106,2,FALSE)*VLOOKUP(AT$1,'Attrition Modeling'!$L$15:$N$27,IF(AT$2+$F36&lt;=24,2,3),FALSE)),$C$3)*(1+Projection!AV$16)*(1+IF(AT168&gt;0,'Attrition Modeling'!$N$9,0)))</f>
        <v>0</v>
      </c>
      <c r="AU103" s="799">
        <f>AT103*(1-IFERROR(IF(AU$69+$F103&lt;=12,SUMIFS('Attrition Modeling'!$D:$D,'Attrition Modeling'!$C:$C,'IP Attrition'!$D103,'Attrition Modeling'!$B:$B,'IP Attrition'!AU$68),VLOOKUP($F103+AU$2,$A$6:$C$106,2,FALSE)*VLOOKUP(AU$1,'Attrition Modeling'!$L$15:$N$27,IF(AU$2+$F36&lt;=24,2,3),FALSE)),$C$3)*(1+Projection!AW$16)*(1+IF(AU168&gt;0,'Attrition Modeling'!$N$9,0)))</f>
        <v>0</v>
      </c>
      <c r="AV103" s="799">
        <f>AU103*(1-IFERROR(IF(AV$69+$F103&lt;=12,SUMIFS('Attrition Modeling'!$D:$D,'Attrition Modeling'!$C:$C,'IP Attrition'!$D103,'Attrition Modeling'!$B:$B,'IP Attrition'!AV$68),VLOOKUP($F103+AV$2,$A$6:$C$106,2,FALSE)*VLOOKUP(AV$1,'Attrition Modeling'!$L$15:$N$27,IF(AV$2+$F36&lt;=24,2,3),FALSE)),$C$3)*(1+Projection!AX$16)*(1+IF(AV168&gt;0,'Attrition Modeling'!$N$9,0)))</f>
        <v>0</v>
      </c>
      <c r="AW103" s="799">
        <f>AV103*(1-IFERROR(IF(AW$69+$F103&lt;=12,SUMIFS('Attrition Modeling'!$D:$D,'Attrition Modeling'!$C:$C,'IP Attrition'!$D103,'Attrition Modeling'!$B:$B,'IP Attrition'!AW$68),VLOOKUP($F103+AW$2,$A$6:$C$106,2,FALSE)*VLOOKUP(AW$1,'Attrition Modeling'!$L$15:$N$27,IF(AW$2+$F36&lt;=24,2,3),FALSE)),$C$3)*(1+Projection!AY$16)*(1+IF(AW168&gt;0,'Attrition Modeling'!$N$9,0)))</f>
        <v>0</v>
      </c>
      <c r="AX103" s="799">
        <f>AW103*(1-IFERROR(IF(AX$69+$F103&lt;=12,SUMIFS('Attrition Modeling'!$D:$D,'Attrition Modeling'!$C:$C,'IP Attrition'!$D103,'Attrition Modeling'!$B:$B,'IP Attrition'!AX$68),VLOOKUP($F103+AX$2,$A$6:$C$106,2,FALSE)*VLOOKUP(AX$1,'Attrition Modeling'!$L$15:$N$27,IF(AX$2+$F36&lt;=24,2,3),FALSE)),$C$3)*(1+Projection!AZ$16)*(1+IF(AX168&gt;0,'Attrition Modeling'!$N$9,0)))</f>
        <v>0</v>
      </c>
      <c r="AY103" s="799">
        <f>AX103*(1-IFERROR(IF(AY$69+$F103&lt;=12,SUMIFS('Attrition Modeling'!$D:$D,'Attrition Modeling'!$C:$C,'IP Attrition'!$D103,'Attrition Modeling'!$B:$B,'IP Attrition'!AY$68),VLOOKUP($F103+AY$2,$A$6:$C$106,2,FALSE)*VLOOKUP(AY$1,'Attrition Modeling'!$L$15:$N$27,IF(AY$2+$F36&lt;=24,2,3),FALSE)),$C$3)*(1+Projection!BA$16)*(1+IF(AY168&gt;0,'Attrition Modeling'!$N$9,0)))</f>
        <v>0</v>
      </c>
      <c r="AZ103" s="799">
        <f>AY103*(1-IFERROR(IF(AZ$69+$F103&lt;=12,SUMIFS('Attrition Modeling'!$D:$D,'Attrition Modeling'!$C:$C,'IP Attrition'!$D103,'Attrition Modeling'!$B:$B,'IP Attrition'!AZ$68),VLOOKUP($F103+AZ$2,$A$6:$C$106,2,FALSE)*VLOOKUP(AZ$1,'Attrition Modeling'!$L$15:$N$27,IF(AZ$2+$F36&lt;=24,2,3),FALSE)),$C$3)*(1+Projection!BB$16)*(1+IF(AZ168&gt;0,'Attrition Modeling'!$N$9,0)))</f>
        <v>0</v>
      </c>
      <c r="BA103" s="799">
        <f>AZ103*(1-IFERROR(IF(BA$69+$F103&lt;=12,SUMIFS('Attrition Modeling'!$D:$D,'Attrition Modeling'!$C:$C,'IP Attrition'!$D103,'Attrition Modeling'!$B:$B,'IP Attrition'!BA$68),VLOOKUP($F103+BA$2,$A$6:$C$106,2,FALSE)*VLOOKUP(BA$1,'Attrition Modeling'!$L$15:$N$27,IF(BA$2+$F36&lt;=24,2,3),FALSE)),$C$3)*(1+Projection!BC$16)*(1+IF(BA168&gt;0,'Attrition Modeling'!$N$9,0)))</f>
        <v>0</v>
      </c>
      <c r="BB103" s="799">
        <f>BA103*(1-IFERROR(IF(BB$69+$F103&lt;=12,SUMIFS('Attrition Modeling'!$D:$D,'Attrition Modeling'!$C:$C,'IP Attrition'!$D103,'Attrition Modeling'!$B:$B,'IP Attrition'!BB$68),VLOOKUP($F103+BB$2,$A$6:$C$106,2,FALSE)*VLOOKUP(BB$1,'Attrition Modeling'!$L$15:$N$27,IF(BB$2+$F36&lt;=24,2,3),FALSE)),$C$3)*(1+Projection!BD$16)*(1+IF(BB168&gt;0,'Attrition Modeling'!$N$9,0)))</f>
        <v>0</v>
      </c>
      <c r="BC103" s="799">
        <f>BB103*(1-IFERROR(IF(BC$69+$F103&lt;=12,SUMIFS('Attrition Modeling'!$D:$D,'Attrition Modeling'!$C:$C,'IP Attrition'!$D103,'Attrition Modeling'!$B:$B,'IP Attrition'!BC$68),VLOOKUP($F103+BC$2,$A$6:$C$106,2,FALSE)*VLOOKUP(BC$1,'Attrition Modeling'!$L$15:$N$27,IF(BC$2+$F36&lt;=24,2,3),FALSE)),$C$3)*(1+Projection!BE$16)*(1+IF(BC168&gt;0,'Attrition Modeling'!$N$9,0)))</f>
        <v>0</v>
      </c>
      <c r="BD103" s="799">
        <f>BC103*(1-IFERROR(IF(BD$69+$F103&lt;=12,SUMIFS('Attrition Modeling'!$D:$D,'Attrition Modeling'!$C:$C,'IP Attrition'!$D103,'Attrition Modeling'!$B:$B,'IP Attrition'!BD$68),VLOOKUP($F103+BD$2,$A$6:$C$106,2,FALSE)*VLOOKUP(BD$1,'Attrition Modeling'!$L$15:$N$27,IF(BD$2+$F36&lt;=24,2,3),FALSE)),$C$3)*(1+Projection!BF$16)*(1+IF(BD168&gt;0,'Attrition Modeling'!$N$9,0)))</f>
        <v>0</v>
      </c>
      <c r="BE103" s="799">
        <f>BD103*(1-IFERROR(IF(BE$69+$F103&lt;=12,SUMIFS('Attrition Modeling'!$D:$D,'Attrition Modeling'!$C:$C,'IP Attrition'!$D103,'Attrition Modeling'!$B:$B,'IP Attrition'!BE$68),VLOOKUP($F103+BE$2,$A$6:$C$106,2,FALSE)*VLOOKUP(BE$1,'Attrition Modeling'!$L$15:$N$27,IF(BE$2+$F36&lt;=24,2,3),FALSE)),$C$3)*(1+Projection!BG$16)*(1+IF(BE168&gt;0,'Attrition Modeling'!$N$9,0)))</f>
        <v>0</v>
      </c>
      <c r="BF103" s="799">
        <f>BE103*(1-IFERROR(IF(BF$69+$F103&lt;=12,SUMIFS('Attrition Modeling'!$D:$D,'Attrition Modeling'!$C:$C,'IP Attrition'!$D103,'Attrition Modeling'!$B:$B,'IP Attrition'!BF$68),VLOOKUP($F103+BF$2,$A$6:$C$106,2,FALSE)*VLOOKUP(BF$1,'Attrition Modeling'!$L$15:$N$27,IF(BF$2+$F36&lt;=24,2,3),FALSE)),$C$3)*(1+Projection!BH$16)*(1+IF(BF168&gt;0,'Attrition Modeling'!$N$9,0)))</f>
        <v>0</v>
      </c>
      <c r="BG103" s="799">
        <f>BF103*(1-IFERROR(IF(BG$69+$F103&lt;=12,SUMIFS('Attrition Modeling'!$D:$D,'Attrition Modeling'!$C:$C,'IP Attrition'!$D103,'Attrition Modeling'!$B:$B,'IP Attrition'!BG$68),VLOOKUP($F103+BG$2,$A$6:$C$106,2,FALSE)*VLOOKUP(BG$1,'Attrition Modeling'!$L$15:$N$27,IF(BG$2+$F36&lt;=24,2,3),FALSE)),$C$3)*(1+Projection!BI$16)*(1+IF(BG168&gt;0,'Attrition Modeling'!$N$9,0)))</f>
        <v>0</v>
      </c>
      <c r="BH103" s="799">
        <f>BG103*(1-IFERROR(IF(BH$69+$F103&lt;=12,SUMIFS('Attrition Modeling'!$D:$D,'Attrition Modeling'!$C:$C,'IP Attrition'!$D103,'Attrition Modeling'!$B:$B,'IP Attrition'!BH$68),VLOOKUP($F103+BH$2,$A$6:$C$106,2,FALSE)*VLOOKUP(BH$1,'Attrition Modeling'!$L$15:$N$27,IF(BH$2+$F36&lt;=24,2,3),FALSE)),$C$3)*(1+Projection!BJ$16)*(1+IF(BH168&gt;0,'Attrition Modeling'!$N$9,0)))</f>
        <v>0</v>
      </c>
      <c r="BI103" s="799">
        <f>BH103*(1-IFERROR(IF(BI$69+$F103&lt;=12,SUMIFS('Attrition Modeling'!$D:$D,'Attrition Modeling'!$C:$C,'IP Attrition'!$D103,'Attrition Modeling'!$B:$B,'IP Attrition'!BI$68),VLOOKUP($F103+BI$2,$A$6:$C$106,2,FALSE)*VLOOKUP(BI$1,'Attrition Modeling'!$L$15:$N$27,IF(BI$2+$F36&lt;=24,2,3),FALSE)),$C$3)*(1+Projection!BK$16)*(1+IF(BI168&gt;0,'Attrition Modeling'!$N$9,0)))</f>
        <v>0</v>
      </c>
      <c r="BJ103" s="799">
        <f>BI103*(1-IFERROR(IF(BJ$69+$F103&lt;=12,SUMIFS('Attrition Modeling'!$D:$D,'Attrition Modeling'!$C:$C,'IP Attrition'!$D103,'Attrition Modeling'!$B:$B,'IP Attrition'!BJ$68),VLOOKUP($F103+BJ$2,$A$6:$C$106,2,FALSE)*VLOOKUP(BJ$1,'Attrition Modeling'!$L$15:$N$27,IF(BJ$2+$F36&lt;=24,2,3),FALSE)),$C$3)*(1+Projection!BL$16)*(1+IF(BJ168&gt;0,'Attrition Modeling'!$N$9,0)))</f>
        <v>0</v>
      </c>
      <c r="BK103" s="799">
        <f>BJ103*(1-IFERROR(IF(BK$69+$F103&lt;=12,SUMIFS('Attrition Modeling'!$D:$D,'Attrition Modeling'!$C:$C,'IP Attrition'!$D103,'Attrition Modeling'!$B:$B,'IP Attrition'!BK$68),VLOOKUP($F103+BK$2,$A$6:$C$106,2,FALSE)*VLOOKUP(BK$1,'Attrition Modeling'!$L$15:$N$27,IF(BK$2+$F36&lt;=24,2,3),FALSE)),$C$3)*(1+Projection!BM$16)*(1+IF(BK168&gt;0,'Attrition Modeling'!$N$9,0)))</f>
        <v>0</v>
      </c>
      <c r="BL103" s="799">
        <f>BK103*(1-IFERROR(IF(BL$69+$F103&lt;=12,SUMIFS('Attrition Modeling'!$D:$D,'Attrition Modeling'!$C:$C,'IP Attrition'!$D103,'Attrition Modeling'!$B:$B,'IP Attrition'!BL$68),VLOOKUP($F103+BL$2,$A$6:$C$106,2,FALSE)*VLOOKUP(BL$1,'Attrition Modeling'!$L$15:$N$27,IF(BL$2+$F36&lt;=24,2,3),FALSE)),$C$3)*(1+Projection!BN$16)*(1+IF(BL168&gt;0,'Attrition Modeling'!$N$9,0)))</f>
        <v>0</v>
      </c>
      <c r="BM103" s="799">
        <f>BL103*(1-IFERROR(IF(BM$69+$F103&lt;=12,SUMIFS('Attrition Modeling'!$D:$D,'Attrition Modeling'!$C:$C,'IP Attrition'!$D103,'Attrition Modeling'!$B:$B,'IP Attrition'!BM$68),VLOOKUP($F103+BM$2,$A$6:$C$106,2,FALSE)*VLOOKUP(BM$1,'Attrition Modeling'!$L$15:$N$27,IF(BM$2+$F36&lt;=24,2,3),FALSE)),$C$3)*(1+Projection!BO$16)*(1+IF(BM168&gt;0,'Attrition Modeling'!$N$9,0)))</f>
        <v>0</v>
      </c>
      <c r="BN103" s="799">
        <f>BM103*(1-IFERROR(IF(BN$69+$F103&lt;=12,SUMIFS('Attrition Modeling'!$D:$D,'Attrition Modeling'!$C:$C,'IP Attrition'!$D103,'Attrition Modeling'!$B:$B,'IP Attrition'!BN$68),VLOOKUP($F103+BN$2,$A$6:$C$106,2,FALSE)*VLOOKUP(BN$1,'Attrition Modeling'!$L$15:$N$27,IF(BN$2+$F36&lt;=24,2,3),FALSE)),$C$3)*(1+Projection!BP$16)*(1+IF(BN168&gt;0,'Attrition Modeling'!$N$9,0)))</f>
        <v>0</v>
      </c>
      <c r="BO103" s="799">
        <f>BN103*(1-IFERROR(IF(BO$69+$F103&lt;=12,SUMIFS('Attrition Modeling'!$D:$D,'Attrition Modeling'!$C:$C,'IP Attrition'!$D103,'Attrition Modeling'!$B:$B,'IP Attrition'!BO$68),VLOOKUP($F103+BO$2,$A$6:$C$106,2,FALSE)*VLOOKUP(BO$1,'Attrition Modeling'!$L$15:$N$27,IF(BO$2+$F36&lt;=24,2,3),FALSE)),$C$3)*(1+Projection!BV$16)*(1+IF(BO168&gt;0,'Attrition Modeling'!$N$9,0)))</f>
        <v>0</v>
      </c>
      <c r="BP103" s="799">
        <f>BO103*(1-IFERROR(IF(BP$69+$F103&lt;=12,SUMIFS('Attrition Modeling'!$D:$D,'Attrition Modeling'!$C:$C,'IP Attrition'!$D103,'Attrition Modeling'!$B:$B,'IP Attrition'!BP$68),VLOOKUP($F103+BP$2,$A$6:$C$106,2,FALSE)*VLOOKUP(BP$1,'Attrition Modeling'!$L$15:$N$27,IF(BP$2+$F36&lt;=24,2,3),FALSE)),$C$3)*(1+Projection!BW$16)*(1+IF(BP168&gt;0,'Attrition Modeling'!$N$9,0)))</f>
        <v>0</v>
      </c>
      <c r="BQ103" s="799">
        <f>BP103*(1-IFERROR(IF(BQ$69+$F103&lt;=12,SUMIFS('Attrition Modeling'!$D:$D,'Attrition Modeling'!$C:$C,'IP Attrition'!$D103,'Attrition Modeling'!$B:$B,'IP Attrition'!BQ$68),VLOOKUP($F103+BQ$2,$A$6:$C$106,2,FALSE)*VLOOKUP(BQ$1,'Attrition Modeling'!$L$15:$N$27,IF(BQ$2+$F36&lt;=24,2,3),FALSE)),$C$3)*(1+Projection!BX$16)*(1+IF(BQ168&gt;0,'Attrition Modeling'!$N$9,0)))</f>
        <v>0</v>
      </c>
      <c r="BR103" s="799">
        <f>BQ103*(1-IFERROR(IF(BR$69+$F103&lt;=12,SUMIFS('Attrition Modeling'!$D:$D,'Attrition Modeling'!$C:$C,'IP Attrition'!$D103,'Attrition Modeling'!$B:$B,'IP Attrition'!BR$68),VLOOKUP($F103+BR$2,$A$6:$C$106,2,FALSE)*VLOOKUP(BR$1,'Attrition Modeling'!$L$15:$N$27,IF(BR$2+$F36&lt;=24,2,3),FALSE)),$C$3)*(1+Projection!BY$16)*(1+IF(BR168&gt;0,'Attrition Modeling'!$N$9,0)))</f>
        <v>0</v>
      </c>
      <c r="BS103" s="799">
        <f>BR103*(1-IFERROR(IF(BS$69+$F103&lt;=12,SUMIFS('Attrition Modeling'!$D:$D,'Attrition Modeling'!$C:$C,'IP Attrition'!$D103,'Attrition Modeling'!$B:$B,'IP Attrition'!BS$68),VLOOKUP($F103+BS$2,$A$6:$C$106,2,FALSE)*VLOOKUP(BS$1,'Attrition Modeling'!$L$15:$N$27,IF(BS$2+$F36&lt;=24,2,3),FALSE)),$C$3)*(1+Projection!BZ$16)*(1+IF(BS168&gt;0,'Attrition Modeling'!$N$9,0)))</f>
        <v>0</v>
      </c>
      <c r="BT103" s="799" t="e">
        <f>BS103*(1-IFERROR(IF(BT$69+$F103&lt;=12,SUMIFS('Attrition Modeling'!$D:$D,'Attrition Modeling'!$C:$C,'IP Attrition'!$D103,'Attrition Modeling'!$B:$B,'IP Attrition'!BT$68),VLOOKUP($F103+BT$2,$A$6:$C$106,2,FALSE)*VLOOKUP(BT$1,'Attrition Modeling'!$L$15:$N$27,IF(BT$2+$F36&lt;=24,2,3),FALSE)),$C$3)*(1+Projection!CA$16)*(1+IF(BT168&gt;0,'Attrition Modeling'!$N$9,0)))</f>
        <v>#REF!</v>
      </c>
      <c r="BU103" s="799" t="e">
        <f>BT103*(1-IFERROR(IF(BU$69+$F103&lt;=12,SUMIFS('Attrition Modeling'!$D:$D,'Attrition Modeling'!$C:$C,'IP Attrition'!$D103,'Attrition Modeling'!$B:$B,'IP Attrition'!BU$68),VLOOKUP($F103+BU$2,$A$6:$C$106,2,FALSE)*VLOOKUP(BU$1,'Attrition Modeling'!$L$15:$N$27,IF(BU$2+$F36&lt;=24,2,3),FALSE)),$C$3)*(1+Projection!CB$16)*(1+IF(BU168&gt;0,'Attrition Modeling'!$N$9,0)))</f>
        <v>#REF!</v>
      </c>
    </row>
    <row r="104" spans="1:73" ht="14.25" customHeight="1" x14ac:dyDescent="0.2">
      <c r="A104" s="9">
        <v>97</v>
      </c>
      <c r="B104" s="25">
        <f>MAX('Attrition Modeling'!H101,$C$3)*(1-Summary!$C$20)</f>
        <v>0.02</v>
      </c>
      <c r="C104" s="24" t="e">
        <f t="shared" si="3"/>
        <v>#DIV/0!</v>
      </c>
      <c r="D104" s="11">
        <f t="shared" ref="D104:E104" si="42">D37</f>
        <v>-34</v>
      </c>
      <c r="E104" s="25">
        <f t="shared" si="42"/>
        <v>0</v>
      </c>
      <c r="F104" s="11">
        <f t="shared" si="9"/>
        <v>34</v>
      </c>
      <c r="G104" s="799">
        <f>Summary!$C$24*$E104</f>
        <v>0</v>
      </c>
      <c r="H104" s="799">
        <f>G104*(1-IFERROR(IF(H$69+$F104&lt;=12,SUMIFS('Attrition Modeling'!$D:$D,'Attrition Modeling'!$C:$C,'IP Attrition'!$D104,'Attrition Modeling'!$B:$B,'IP Attrition'!H$68),VLOOKUP($F104+H$2,$A$6:$C$106,2,FALSE)*VLOOKUP(H$1,'Attrition Modeling'!$L$15:$N$27,IF(H$2+$F37&lt;=24,2,3),FALSE)),$C$3)*(1+Projection!J$16)*(1+IF(H169&gt;0,'Attrition Modeling'!$N$9,0)))</f>
        <v>0</v>
      </c>
      <c r="I104" s="799">
        <f>H104*(1-IFERROR(IF(I$69+$F104&lt;=12,SUMIFS('Attrition Modeling'!$D:$D,'Attrition Modeling'!$C:$C,'IP Attrition'!$D104,'Attrition Modeling'!$B:$B,'IP Attrition'!I$68),VLOOKUP($F104+I$2,$A$6:$C$106,2,FALSE)*VLOOKUP(I$1,'Attrition Modeling'!$L$15:$N$27,IF(I$2+$F37&lt;=24,2,3),FALSE)),$C$3)*(1+Projection!K$16)*(1+IF(I169&gt;0,'Attrition Modeling'!$N$9,0)))</f>
        <v>0</v>
      </c>
      <c r="J104" s="799">
        <f>I104*(1-IFERROR(IF(J$69+$F104&lt;=12,SUMIFS('Attrition Modeling'!$D:$D,'Attrition Modeling'!$C:$C,'IP Attrition'!$D104,'Attrition Modeling'!$B:$B,'IP Attrition'!J$68),VLOOKUP($F104+J$2,$A$6:$C$106,2,FALSE)*VLOOKUP(J$1,'Attrition Modeling'!$L$15:$N$27,IF(J$2+$F37&lt;=24,2,3),FALSE)),$C$3)*(1+Projection!L$16)*(1+IF(J169&gt;0,'Attrition Modeling'!$N$9,0)))</f>
        <v>0</v>
      </c>
      <c r="K104" s="799">
        <f>J104*(1-IFERROR(IF(K$69+$F104&lt;=12,SUMIFS('Attrition Modeling'!$D:$D,'Attrition Modeling'!$C:$C,'IP Attrition'!$D104,'Attrition Modeling'!$B:$B,'IP Attrition'!K$68),VLOOKUP($F104+K$2,$A$6:$C$106,2,FALSE)*VLOOKUP(K$1,'Attrition Modeling'!$L$15:$N$27,IF(K$2+$F37&lt;=24,2,3),FALSE)),$C$3)*(1+Projection!M$16)*(1+IF(K169&gt;0,'Attrition Modeling'!$N$9,0)))</f>
        <v>0</v>
      </c>
      <c r="L104" s="799">
        <f>K104*(1-IFERROR(IF(L$69+$F104&lt;=12,SUMIFS('Attrition Modeling'!$D:$D,'Attrition Modeling'!$C:$C,'IP Attrition'!$D104,'Attrition Modeling'!$B:$B,'IP Attrition'!L$68),VLOOKUP($F104+L$2,$A$6:$C$106,2,FALSE)*VLOOKUP(L$1,'Attrition Modeling'!$L$15:$N$27,IF(L$2+$F37&lt;=24,2,3),FALSE)),$C$3)*(1+Projection!N$16)*(1+IF(L169&gt;0,'Attrition Modeling'!$N$9,0)))</f>
        <v>0</v>
      </c>
      <c r="M104" s="799">
        <f>L104*(1-IFERROR(IF(M$69+$F104&lt;=12,SUMIFS('Attrition Modeling'!$D:$D,'Attrition Modeling'!$C:$C,'IP Attrition'!$D104,'Attrition Modeling'!$B:$B,'IP Attrition'!M$68),VLOOKUP($F104+M$2,$A$6:$C$106,2,FALSE)*VLOOKUP(M$1,'Attrition Modeling'!$L$15:$N$27,IF(M$2+$F37&lt;=24,2,3),FALSE)),$C$3)*(1+Projection!O$16)*(1+IF(M169&gt;0,'Attrition Modeling'!$N$9,0)))</f>
        <v>0</v>
      </c>
      <c r="N104" s="799">
        <f>M104*(1-IFERROR(IF(N$69+$F104&lt;=12,SUMIFS('Attrition Modeling'!$D:$D,'Attrition Modeling'!$C:$C,'IP Attrition'!$D104,'Attrition Modeling'!$B:$B,'IP Attrition'!N$68),VLOOKUP($F104+N$2,$A$6:$C$106,2,FALSE)*VLOOKUP(N$1,'Attrition Modeling'!$L$15:$N$27,IF(N$2+$F37&lt;=24,2,3),FALSE)),$C$3)*(1+Projection!P$16)*(1+IF(N169&gt;0,'Attrition Modeling'!$N$9,0)))</f>
        <v>0</v>
      </c>
      <c r="O104" s="799">
        <f>N104*(1-IFERROR(IF(O$69+$F104&lt;=12,SUMIFS('Attrition Modeling'!$D:$D,'Attrition Modeling'!$C:$C,'IP Attrition'!$D104,'Attrition Modeling'!$B:$B,'IP Attrition'!O$68),VLOOKUP($F104+O$2,$A$6:$C$106,2,FALSE)*VLOOKUP(O$1,'Attrition Modeling'!$L$15:$N$27,IF(O$2+$F37&lt;=24,2,3),FALSE)),$C$3)*(1+Projection!Q$16)*(1+IF(O169&gt;0,'Attrition Modeling'!$N$9,0)))</f>
        <v>0</v>
      </c>
      <c r="P104" s="799">
        <f>O104*(1-IFERROR(IF(P$69+$F104&lt;=12,SUMIFS('Attrition Modeling'!$D:$D,'Attrition Modeling'!$C:$C,'IP Attrition'!$D104,'Attrition Modeling'!$B:$B,'IP Attrition'!P$68),VLOOKUP($F104+P$2,$A$6:$C$106,2,FALSE)*VLOOKUP(P$1,'Attrition Modeling'!$L$15:$N$27,IF(P$2+$F37&lt;=24,2,3),FALSE)),$C$3)*(1+Projection!R$16)*(1+IF(P169&gt;0,'Attrition Modeling'!$N$9,0)))</f>
        <v>0</v>
      </c>
      <c r="Q104" s="799">
        <f>P104*(1-IFERROR(IF(Q$69+$F104&lt;=12,SUMIFS('Attrition Modeling'!$D:$D,'Attrition Modeling'!$C:$C,'IP Attrition'!$D104,'Attrition Modeling'!$B:$B,'IP Attrition'!Q$68),VLOOKUP($F104+Q$2,$A$6:$C$106,2,FALSE)*VLOOKUP(Q$1,'Attrition Modeling'!$L$15:$N$27,IF(Q$2+$F37&lt;=24,2,3),FALSE)),$C$3)*(1+Projection!S$16)*(1+IF(Q169&gt;0,'Attrition Modeling'!$N$9,0)))</f>
        <v>0</v>
      </c>
      <c r="R104" s="799">
        <f>Q104*(1-IFERROR(IF(R$69+$F104&lt;=12,SUMIFS('Attrition Modeling'!$D:$D,'Attrition Modeling'!$C:$C,'IP Attrition'!$D104,'Attrition Modeling'!$B:$B,'IP Attrition'!R$68),VLOOKUP($F104+R$2,$A$6:$C$106,2,FALSE)*VLOOKUP(R$1,'Attrition Modeling'!$L$15:$N$27,IF(R$2+$F37&lt;=24,2,3),FALSE)),$C$3)*(1+Projection!T$16)*(1+IF(R169&gt;0,'Attrition Modeling'!$N$9,0)))</f>
        <v>0</v>
      </c>
      <c r="S104" s="799">
        <f>R104*(1-IFERROR(IF(S$69+$F104&lt;=12,SUMIFS('Attrition Modeling'!$D:$D,'Attrition Modeling'!$C:$C,'IP Attrition'!$D104,'Attrition Modeling'!$B:$B,'IP Attrition'!S$68),VLOOKUP($F104+S$2,$A$6:$C$106,2,FALSE)*VLOOKUP(S$1,'Attrition Modeling'!$L$15:$N$27,IF(S$2+$F37&lt;=24,2,3),FALSE)),$C$3)*(1+Projection!U$16)*(1+IF(S169&gt;0,'Attrition Modeling'!$N$9,0)))</f>
        <v>0</v>
      </c>
      <c r="T104" s="799">
        <f>S104*(1-IFERROR(IF(T$69+$F104&lt;=12,SUMIFS('Attrition Modeling'!$D:$D,'Attrition Modeling'!$C:$C,'IP Attrition'!$D104,'Attrition Modeling'!$B:$B,'IP Attrition'!T$68),VLOOKUP($F104+T$2,$A$6:$C$106,2,FALSE)*VLOOKUP(T$1,'Attrition Modeling'!$L$15:$N$27,IF(T$2+$F37&lt;=24,2,3),FALSE)),$C$3)*(1+Projection!V$16)*(1+IF(T169&gt;0,'Attrition Modeling'!$N$9,0)))</f>
        <v>0</v>
      </c>
      <c r="U104" s="799">
        <f>T104*(1-IFERROR(IF(U$69+$F104&lt;=12,SUMIFS('Attrition Modeling'!$D:$D,'Attrition Modeling'!$C:$C,'IP Attrition'!$D104,'Attrition Modeling'!$B:$B,'IP Attrition'!U$68),VLOOKUP($F104+U$2,$A$6:$C$106,2,FALSE)*VLOOKUP(U$1,'Attrition Modeling'!$L$15:$N$27,IF(U$2+$F37&lt;=24,2,3),FALSE)),$C$3)*(1+Projection!W$16)*(1+IF(U169&gt;0,'Attrition Modeling'!$N$9,0)))</f>
        <v>0</v>
      </c>
      <c r="V104" s="799">
        <f>U104*(1-IFERROR(IF(V$69+$F104&lt;=12,SUMIFS('Attrition Modeling'!$D:$D,'Attrition Modeling'!$C:$C,'IP Attrition'!$D104,'Attrition Modeling'!$B:$B,'IP Attrition'!V$68),VLOOKUP($F104+V$2,$A$6:$C$106,2,FALSE)*VLOOKUP(V$1,'Attrition Modeling'!$L$15:$N$27,IF(V$2+$F37&lt;=24,2,3),FALSE)),$C$3)*(1+Projection!X$16)*(1+IF(V169&gt;0,'Attrition Modeling'!$N$9,0)))</f>
        <v>0</v>
      </c>
      <c r="W104" s="799">
        <f>V104*(1-IFERROR(IF(W$69+$F104&lt;=12,SUMIFS('Attrition Modeling'!$D:$D,'Attrition Modeling'!$C:$C,'IP Attrition'!$D104,'Attrition Modeling'!$B:$B,'IP Attrition'!W$68),VLOOKUP($F104+W$2,$A$6:$C$106,2,FALSE)*VLOOKUP(W$1,'Attrition Modeling'!$L$15:$N$27,IF(W$2+$F37&lt;=24,2,3),FALSE)),$C$3)*(1+Projection!Y$16)*(1+IF(W169&gt;0,'Attrition Modeling'!$N$9,0)))</f>
        <v>0</v>
      </c>
      <c r="X104" s="799">
        <f>W104*(1-IFERROR(IF(X$69+$F104&lt;=12,SUMIFS('Attrition Modeling'!$D:$D,'Attrition Modeling'!$C:$C,'IP Attrition'!$D104,'Attrition Modeling'!$B:$B,'IP Attrition'!X$68),VLOOKUP($F104+X$2,$A$6:$C$106,2,FALSE)*VLOOKUP(X$1,'Attrition Modeling'!$L$15:$N$27,IF(X$2+$F37&lt;=24,2,3),FALSE)),$C$3)*(1+Projection!Z$16)*(1+IF(X169&gt;0,'Attrition Modeling'!$N$9,0)))</f>
        <v>0</v>
      </c>
      <c r="Y104" s="799">
        <f>X104*(1-IFERROR(IF(Y$69+$F104&lt;=12,SUMIFS('Attrition Modeling'!$D:$D,'Attrition Modeling'!$C:$C,'IP Attrition'!$D104,'Attrition Modeling'!$B:$B,'IP Attrition'!Y$68),VLOOKUP($F104+Y$2,$A$6:$C$106,2,FALSE)*VLOOKUP(Y$1,'Attrition Modeling'!$L$15:$N$27,IF(Y$2+$F37&lt;=24,2,3),FALSE)),$C$3)*(1+Projection!AA$16)*(1+IF(Y169&gt;0,'Attrition Modeling'!$N$9,0)))</f>
        <v>0</v>
      </c>
      <c r="Z104" s="799">
        <f>Y104*(1-IFERROR(IF(Z$69+$F104&lt;=12,SUMIFS('Attrition Modeling'!$D:$D,'Attrition Modeling'!$C:$C,'IP Attrition'!$D104,'Attrition Modeling'!$B:$B,'IP Attrition'!Z$68),VLOOKUP($F104+Z$2,$A$6:$C$106,2,FALSE)*VLOOKUP(Z$1,'Attrition Modeling'!$L$15:$N$27,IF(Z$2+$F37&lt;=24,2,3),FALSE)),$C$3)*(1+Projection!AB$16)*(1+IF(Z169&gt;0,'Attrition Modeling'!$N$9,0)))</f>
        <v>0</v>
      </c>
      <c r="AA104" s="799">
        <f>Z104*(1-IFERROR(IF(AA$69+$F104&lt;=12,SUMIFS('Attrition Modeling'!$D:$D,'Attrition Modeling'!$C:$C,'IP Attrition'!$D104,'Attrition Modeling'!$B:$B,'IP Attrition'!AA$68),VLOOKUP($F104+AA$2,$A$6:$C$106,2,FALSE)*VLOOKUP(AA$1,'Attrition Modeling'!$L$15:$N$27,IF(AA$2+$F37&lt;=24,2,3),FALSE)),$C$3)*(1+Projection!AC$16)*(1+IF(AA169&gt;0,'Attrition Modeling'!$N$9,0)))</f>
        <v>0</v>
      </c>
      <c r="AB104" s="799">
        <f>AA104*(1-IFERROR(IF(AB$69+$F104&lt;=12,SUMIFS('Attrition Modeling'!$D:$D,'Attrition Modeling'!$C:$C,'IP Attrition'!$D104,'Attrition Modeling'!$B:$B,'IP Attrition'!AB$68),VLOOKUP($F104+AB$2,$A$6:$C$106,2,FALSE)*VLOOKUP(AB$1,'Attrition Modeling'!$L$15:$N$27,IF(AB$2+$F37&lt;=24,2,3),FALSE)),$C$3)*(1+Projection!AD$16)*(1+IF(AB169&gt;0,'Attrition Modeling'!$N$9,0)))</f>
        <v>0</v>
      </c>
      <c r="AC104" s="799">
        <f>AB104*(1-IFERROR(IF(AC$69+$F104&lt;=12,SUMIFS('Attrition Modeling'!$D:$D,'Attrition Modeling'!$C:$C,'IP Attrition'!$D104,'Attrition Modeling'!$B:$B,'IP Attrition'!AC$68),VLOOKUP($F104+AC$2,$A$6:$C$106,2,FALSE)*VLOOKUP(AC$1,'Attrition Modeling'!$L$15:$N$27,IF(AC$2+$F37&lt;=24,2,3),FALSE)),$C$3)*(1+Projection!AE$16)*(1+IF(AC169&gt;0,'Attrition Modeling'!$N$9,0)))</f>
        <v>0</v>
      </c>
      <c r="AD104" s="799">
        <f>AC104*(1-IFERROR(IF(AD$69+$F104&lt;=12,SUMIFS('Attrition Modeling'!$D:$D,'Attrition Modeling'!$C:$C,'IP Attrition'!$D104,'Attrition Modeling'!$B:$B,'IP Attrition'!AD$68),VLOOKUP($F104+AD$2,$A$6:$C$106,2,FALSE)*VLOOKUP(AD$1,'Attrition Modeling'!$L$15:$N$27,IF(AD$2+$F37&lt;=24,2,3),FALSE)),$C$3)*(1+Projection!AF$16)*(1+IF(AD169&gt;0,'Attrition Modeling'!$N$9,0)))</f>
        <v>0</v>
      </c>
      <c r="AE104" s="799">
        <f>AD104*(1-IFERROR(IF(AE$69+$F104&lt;=12,SUMIFS('Attrition Modeling'!$D:$D,'Attrition Modeling'!$C:$C,'IP Attrition'!$D104,'Attrition Modeling'!$B:$B,'IP Attrition'!AE$68),VLOOKUP($F104+AE$2,$A$6:$C$106,2,FALSE)*VLOOKUP(AE$1,'Attrition Modeling'!$L$15:$N$27,IF(AE$2+$F37&lt;=24,2,3),FALSE)),$C$3)*(1+Projection!AG$16)*(1+IF(AE169&gt;0,'Attrition Modeling'!$N$9,0)))</f>
        <v>0</v>
      </c>
      <c r="AF104" s="799">
        <f>AE104*(1-IFERROR(IF(AF$69+$F104&lt;=12,SUMIFS('Attrition Modeling'!$D:$D,'Attrition Modeling'!$C:$C,'IP Attrition'!$D104,'Attrition Modeling'!$B:$B,'IP Attrition'!AF$68),VLOOKUP($F104+AF$2,$A$6:$C$106,2,FALSE)*VLOOKUP(AF$1,'Attrition Modeling'!$L$15:$N$27,IF(AF$2+$F37&lt;=24,2,3),FALSE)),$C$3)*(1+Projection!AH$16)*(1+IF(AF169&gt;0,'Attrition Modeling'!$N$9,0)))</f>
        <v>0</v>
      </c>
      <c r="AG104" s="799">
        <f>AF104*(1-IFERROR(IF(AG$69+$F104&lt;=12,SUMIFS('Attrition Modeling'!$D:$D,'Attrition Modeling'!$C:$C,'IP Attrition'!$D104,'Attrition Modeling'!$B:$B,'IP Attrition'!AG$68),VLOOKUP($F104+AG$2,$A$6:$C$106,2,FALSE)*VLOOKUP(AG$1,'Attrition Modeling'!$L$15:$N$27,IF(AG$2+$F37&lt;=24,2,3),FALSE)),$C$3)*(1+Projection!AI$16)*(1+IF(AG169&gt;0,'Attrition Modeling'!$N$9,0)))</f>
        <v>0</v>
      </c>
      <c r="AH104" s="799">
        <f>AG104*(1-IFERROR(IF(AH$69+$F104&lt;=12,SUMIFS('Attrition Modeling'!$D:$D,'Attrition Modeling'!$C:$C,'IP Attrition'!$D104,'Attrition Modeling'!$B:$B,'IP Attrition'!AH$68),VLOOKUP($F104+AH$2,$A$6:$C$106,2,FALSE)*VLOOKUP(AH$1,'Attrition Modeling'!$L$15:$N$27,IF(AH$2+$F37&lt;=24,2,3),FALSE)),$C$3)*(1+Projection!AJ$16)*(1+IF(AH169&gt;0,'Attrition Modeling'!$N$9,0)))</f>
        <v>0</v>
      </c>
      <c r="AI104" s="799">
        <f>AH104*(1-IFERROR(IF(AI$69+$F104&lt;=12,SUMIFS('Attrition Modeling'!$D:$D,'Attrition Modeling'!$C:$C,'IP Attrition'!$D104,'Attrition Modeling'!$B:$B,'IP Attrition'!AI$68),VLOOKUP($F104+AI$2,$A$6:$C$106,2,FALSE)*VLOOKUP(AI$1,'Attrition Modeling'!$L$15:$N$27,IF(AI$2+$F37&lt;=24,2,3),FALSE)),$C$3)*(1+Projection!AK$16)*(1+IF(AI169&gt;0,'Attrition Modeling'!$N$9,0)))</f>
        <v>0</v>
      </c>
      <c r="AJ104" s="799">
        <f>AI104*(1-IFERROR(IF(AJ$69+$F104&lt;=12,SUMIFS('Attrition Modeling'!$D:$D,'Attrition Modeling'!$C:$C,'IP Attrition'!$D104,'Attrition Modeling'!$B:$B,'IP Attrition'!AJ$68),VLOOKUP($F104+AJ$2,$A$6:$C$106,2,FALSE)*VLOOKUP(AJ$1,'Attrition Modeling'!$L$15:$N$27,IF(AJ$2+$F37&lt;=24,2,3),FALSE)),$C$3)*(1+Projection!AL$16)*(1+IF(AJ169&gt;0,'Attrition Modeling'!$N$9,0)))</f>
        <v>0</v>
      </c>
      <c r="AK104" s="799">
        <f>AJ104*(1-IFERROR(IF(AK$69+$F104&lt;=12,SUMIFS('Attrition Modeling'!$D:$D,'Attrition Modeling'!$C:$C,'IP Attrition'!$D104,'Attrition Modeling'!$B:$B,'IP Attrition'!AK$68),VLOOKUP($F104+AK$2,$A$6:$C$106,2,FALSE)*VLOOKUP(AK$1,'Attrition Modeling'!$L$15:$N$27,IF(AK$2+$F37&lt;=24,2,3),FALSE)),$C$3)*(1+Projection!AM$16)*(1+IF(AK169&gt;0,'Attrition Modeling'!$N$9,0)))</f>
        <v>0</v>
      </c>
      <c r="AL104" s="799">
        <f>AK104*(1-IFERROR(IF(AL$69+$F104&lt;=12,SUMIFS('Attrition Modeling'!$D:$D,'Attrition Modeling'!$C:$C,'IP Attrition'!$D104,'Attrition Modeling'!$B:$B,'IP Attrition'!AL$68),VLOOKUP($F104+AL$2,$A$6:$C$106,2,FALSE)*VLOOKUP(AL$1,'Attrition Modeling'!$L$15:$N$27,IF(AL$2+$F37&lt;=24,2,3),FALSE)),$C$3)*(1+Projection!AN$16)*(1+IF(AL169&gt;0,'Attrition Modeling'!$N$9,0)))</f>
        <v>0</v>
      </c>
      <c r="AM104" s="799">
        <f>AL104*(1-IFERROR(IF(AM$69+$F104&lt;=12,SUMIFS('Attrition Modeling'!$D:$D,'Attrition Modeling'!$C:$C,'IP Attrition'!$D104,'Attrition Modeling'!$B:$B,'IP Attrition'!AM$68),VLOOKUP($F104+AM$2,$A$6:$C$106,2,FALSE)*VLOOKUP(AM$1,'Attrition Modeling'!$L$15:$N$27,IF(AM$2+$F37&lt;=24,2,3),FALSE)),$C$3)*(1+Projection!AO$16)*(1+IF(AM169&gt;0,'Attrition Modeling'!$N$9,0)))</f>
        <v>0</v>
      </c>
      <c r="AN104" s="799">
        <f>AM104*(1-IFERROR(IF(AN$69+$F104&lt;=12,SUMIFS('Attrition Modeling'!$D:$D,'Attrition Modeling'!$C:$C,'IP Attrition'!$D104,'Attrition Modeling'!$B:$B,'IP Attrition'!AN$68),VLOOKUP($F104+AN$2,$A$6:$C$106,2,FALSE)*VLOOKUP(AN$1,'Attrition Modeling'!$L$15:$N$27,IF(AN$2+$F37&lt;=24,2,3),FALSE)),$C$3)*(1+Projection!AP$16)*(1+IF(AN169&gt;0,'Attrition Modeling'!$N$9,0)))</f>
        <v>0</v>
      </c>
      <c r="AO104" s="799">
        <f>AN104*(1-IFERROR(IF(AO$69+$F104&lt;=12,SUMIFS('Attrition Modeling'!$D:$D,'Attrition Modeling'!$C:$C,'IP Attrition'!$D104,'Attrition Modeling'!$B:$B,'IP Attrition'!AO$68),VLOOKUP($F104+AO$2,$A$6:$C$106,2,FALSE)*VLOOKUP(AO$1,'Attrition Modeling'!$L$15:$N$27,IF(AO$2+$F37&lt;=24,2,3),FALSE)),$C$3)*(1+Projection!AQ$16)*(1+IF(AO169&gt;0,'Attrition Modeling'!$N$9,0)))</f>
        <v>0</v>
      </c>
      <c r="AP104" s="799">
        <f>AO104*(1-IFERROR(IF(AP$69+$F104&lt;=12,SUMIFS('Attrition Modeling'!$D:$D,'Attrition Modeling'!$C:$C,'IP Attrition'!$D104,'Attrition Modeling'!$B:$B,'IP Attrition'!AP$68),VLOOKUP($F104+AP$2,$A$6:$C$106,2,FALSE)*VLOOKUP(AP$1,'Attrition Modeling'!$L$15:$N$27,IF(AP$2+$F37&lt;=24,2,3),FALSE)),$C$3)*(1+Projection!AR$16)*(1+IF(AP169&gt;0,'Attrition Modeling'!$N$9,0)))</f>
        <v>0</v>
      </c>
      <c r="AQ104" s="799">
        <f>AP104*(1-IFERROR(IF(AQ$69+$F104&lt;=12,SUMIFS('Attrition Modeling'!$D:$D,'Attrition Modeling'!$C:$C,'IP Attrition'!$D104,'Attrition Modeling'!$B:$B,'IP Attrition'!AQ$68),VLOOKUP($F104+AQ$2,$A$6:$C$106,2,FALSE)*VLOOKUP(AQ$1,'Attrition Modeling'!$L$15:$N$27,IF(AQ$2+$F37&lt;=24,2,3),FALSE)),$C$3)*(1+Projection!AS$16)*(1+IF(AQ169&gt;0,'Attrition Modeling'!$N$9,0)))</f>
        <v>0</v>
      </c>
      <c r="AR104" s="799">
        <f>AQ104*(1-IFERROR(IF(AR$69+$F104&lt;=12,SUMIFS('Attrition Modeling'!$D:$D,'Attrition Modeling'!$C:$C,'IP Attrition'!$D104,'Attrition Modeling'!$B:$B,'IP Attrition'!AR$68),VLOOKUP($F104+AR$2,$A$6:$C$106,2,FALSE)*VLOOKUP(AR$1,'Attrition Modeling'!$L$15:$N$27,IF(AR$2+$F37&lt;=24,2,3),FALSE)),$C$3)*(1+Projection!AT$16)*(1+IF(AR169&gt;0,'Attrition Modeling'!$N$9,0)))</f>
        <v>0</v>
      </c>
      <c r="AS104" s="799">
        <f>AR104*(1-IFERROR(IF(AS$69+$F104&lt;=12,SUMIFS('Attrition Modeling'!$D:$D,'Attrition Modeling'!$C:$C,'IP Attrition'!$D104,'Attrition Modeling'!$B:$B,'IP Attrition'!AS$68),VLOOKUP($F104+AS$2,$A$6:$C$106,2,FALSE)*VLOOKUP(AS$1,'Attrition Modeling'!$L$15:$N$27,IF(AS$2+$F37&lt;=24,2,3),FALSE)),$C$3)*(1+Projection!AU$16)*(1+IF(AS169&gt;0,'Attrition Modeling'!$N$9,0)))</f>
        <v>0</v>
      </c>
      <c r="AT104" s="799">
        <f>AS104*(1-IFERROR(IF(AT$69+$F104&lt;=12,SUMIFS('Attrition Modeling'!$D:$D,'Attrition Modeling'!$C:$C,'IP Attrition'!$D104,'Attrition Modeling'!$B:$B,'IP Attrition'!AT$68),VLOOKUP($F104+AT$2,$A$6:$C$106,2,FALSE)*VLOOKUP(AT$1,'Attrition Modeling'!$L$15:$N$27,IF(AT$2+$F37&lt;=24,2,3),FALSE)),$C$3)*(1+Projection!AV$16)*(1+IF(AT169&gt;0,'Attrition Modeling'!$N$9,0)))</f>
        <v>0</v>
      </c>
      <c r="AU104" s="799">
        <f>AT104*(1-IFERROR(IF(AU$69+$F104&lt;=12,SUMIFS('Attrition Modeling'!$D:$D,'Attrition Modeling'!$C:$C,'IP Attrition'!$D104,'Attrition Modeling'!$B:$B,'IP Attrition'!AU$68),VLOOKUP($F104+AU$2,$A$6:$C$106,2,FALSE)*VLOOKUP(AU$1,'Attrition Modeling'!$L$15:$N$27,IF(AU$2+$F37&lt;=24,2,3),FALSE)),$C$3)*(1+Projection!AW$16)*(1+IF(AU169&gt;0,'Attrition Modeling'!$N$9,0)))</f>
        <v>0</v>
      </c>
      <c r="AV104" s="799">
        <f>AU104*(1-IFERROR(IF(AV$69+$F104&lt;=12,SUMIFS('Attrition Modeling'!$D:$D,'Attrition Modeling'!$C:$C,'IP Attrition'!$D104,'Attrition Modeling'!$B:$B,'IP Attrition'!AV$68),VLOOKUP($F104+AV$2,$A$6:$C$106,2,FALSE)*VLOOKUP(AV$1,'Attrition Modeling'!$L$15:$N$27,IF(AV$2+$F37&lt;=24,2,3),FALSE)),$C$3)*(1+Projection!AX$16)*(1+IF(AV169&gt;0,'Attrition Modeling'!$N$9,0)))</f>
        <v>0</v>
      </c>
      <c r="AW104" s="799">
        <f>AV104*(1-IFERROR(IF(AW$69+$F104&lt;=12,SUMIFS('Attrition Modeling'!$D:$D,'Attrition Modeling'!$C:$C,'IP Attrition'!$D104,'Attrition Modeling'!$B:$B,'IP Attrition'!AW$68),VLOOKUP($F104+AW$2,$A$6:$C$106,2,FALSE)*VLOOKUP(AW$1,'Attrition Modeling'!$L$15:$N$27,IF(AW$2+$F37&lt;=24,2,3),FALSE)),$C$3)*(1+Projection!AY$16)*(1+IF(AW169&gt;0,'Attrition Modeling'!$N$9,0)))</f>
        <v>0</v>
      </c>
      <c r="AX104" s="799">
        <f>AW104*(1-IFERROR(IF(AX$69+$F104&lt;=12,SUMIFS('Attrition Modeling'!$D:$D,'Attrition Modeling'!$C:$C,'IP Attrition'!$D104,'Attrition Modeling'!$B:$B,'IP Attrition'!AX$68),VLOOKUP($F104+AX$2,$A$6:$C$106,2,FALSE)*VLOOKUP(AX$1,'Attrition Modeling'!$L$15:$N$27,IF(AX$2+$F37&lt;=24,2,3),FALSE)),$C$3)*(1+Projection!AZ$16)*(1+IF(AX169&gt;0,'Attrition Modeling'!$N$9,0)))</f>
        <v>0</v>
      </c>
      <c r="AY104" s="799">
        <f>AX104*(1-IFERROR(IF(AY$69+$F104&lt;=12,SUMIFS('Attrition Modeling'!$D:$D,'Attrition Modeling'!$C:$C,'IP Attrition'!$D104,'Attrition Modeling'!$B:$B,'IP Attrition'!AY$68),VLOOKUP($F104+AY$2,$A$6:$C$106,2,FALSE)*VLOOKUP(AY$1,'Attrition Modeling'!$L$15:$N$27,IF(AY$2+$F37&lt;=24,2,3),FALSE)),$C$3)*(1+Projection!BA$16)*(1+IF(AY169&gt;0,'Attrition Modeling'!$N$9,0)))</f>
        <v>0</v>
      </c>
      <c r="AZ104" s="799">
        <f>AY104*(1-IFERROR(IF(AZ$69+$F104&lt;=12,SUMIFS('Attrition Modeling'!$D:$D,'Attrition Modeling'!$C:$C,'IP Attrition'!$D104,'Attrition Modeling'!$B:$B,'IP Attrition'!AZ$68),VLOOKUP($F104+AZ$2,$A$6:$C$106,2,FALSE)*VLOOKUP(AZ$1,'Attrition Modeling'!$L$15:$N$27,IF(AZ$2+$F37&lt;=24,2,3),FALSE)),$C$3)*(1+Projection!BB$16)*(1+IF(AZ169&gt;0,'Attrition Modeling'!$N$9,0)))</f>
        <v>0</v>
      </c>
      <c r="BA104" s="799">
        <f>AZ104*(1-IFERROR(IF(BA$69+$F104&lt;=12,SUMIFS('Attrition Modeling'!$D:$D,'Attrition Modeling'!$C:$C,'IP Attrition'!$D104,'Attrition Modeling'!$B:$B,'IP Attrition'!BA$68),VLOOKUP($F104+BA$2,$A$6:$C$106,2,FALSE)*VLOOKUP(BA$1,'Attrition Modeling'!$L$15:$N$27,IF(BA$2+$F37&lt;=24,2,3),FALSE)),$C$3)*(1+Projection!BC$16)*(1+IF(BA169&gt;0,'Attrition Modeling'!$N$9,0)))</f>
        <v>0</v>
      </c>
      <c r="BB104" s="799">
        <f>BA104*(1-IFERROR(IF(BB$69+$F104&lt;=12,SUMIFS('Attrition Modeling'!$D:$D,'Attrition Modeling'!$C:$C,'IP Attrition'!$D104,'Attrition Modeling'!$B:$B,'IP Attrition'!BB$68),VLOOKUP($F104+BB$2,$A$6:$C$106,2,FALSE)*VLOOKUP(BB$1,'Attrition Modeling'!$L$15:$N$27,IF(BB$2+$F37&lt;=24,2,3),FALSE)),$C$3)*(1+Projection!BD$16)*(1+IF(BB169&gt;0,'Attrition Modeling'!$N$9,0)))</f>
        <v>0</v>
      </c>
      <c r="BC104" s="799">
        <f>BB104*(1-IFERROR(IF(BC$69+$F104&lt;=12,SUMIFS('Attrition Modeling'!$D:$D,'Attrition Modeling'!$C:$C,'IP Attrition'!$D104,'Attrition Modeling'!$B:$B,'IP Attrition'!BC$68),VLOOKUP($F104+BC$2,$A$6:$C$106,2,FALSE)*VLOOKUP(BC$1,'Attrition Modeling'!$L$15:$N$27,IF(BC$2+$F37&lt;=24,2,3),FALSE)),$C$3)*(1+Projection!BE$16)*(1+IF(BC169&gt;0,'Attrition Modeling'!$N$9,0)))</f>
        <v>0</v>
      </c>
      <c r="BD104" s="799">
        <f>BC104*(1-IFERROR(IF(BD$69+$F104&lt;=12,SUMIFS('Attrition Modeling'!$D:$D,'Attrition Modeling'!$C:$C,'IP Attrition'!$D104,'Attrition Modeling'!$B:$B,'IP Attrition'!BD$68),VLOOKUP($F104+BD$2,$A$6:$C$106,2,FALSE)*VLOOKUP(BD$1,'Attrition Modeling'!$L$15:$N$27,IF(BD$2+$F37&lt;=24,2,3),FALSE)),$C$3)*(1+Projection!BF$16)*(1+IF(BD169&gt;0,'Attrition Modeling'!$N$9,0)))</f>
        <v>0</v>
      </c>
      <c r="BE104" s="799">
        <f>BD104*(1-IFERROR(IF(BE$69+$F104&lt;=12,SUMIFS('Attrition Modeling'!$D:$D,'Attrition Modeling'!$C:$C,'IP Attrition'!$D104,'Attrition Modeling'!$B:$B,'IP Attrition'!BE$68),VLOOKUP($F104+BE$2,$A$6:$C$106,2,FALSE)*VLOOKUP(BE$1,'Attrition Modeling'!$L$15:$N$27,IF(BE$2+$F37&lt;=24,2,3),FALSE)),$C$3)*(1+Projection!BG$16)*(1+IF(BE169&gt;0,'Attrition Modeling'!$N$9,0)))</f>
        <v>0</v>
      </c>
      <c r="BF104" s="799">
        <f>BE104*(1-IFERROR(IF(BF$69+$F104&lt;=12,SUMIFS('Attrition Modeling'!$D:$D,'Attrition Modeling'!$C:$C,'IP Attrition'!$D104,'Attrition Modeling'!$B:$B,'IP Attrition'!BF$68),VLOOKUP($F104+BF$2,$A$6:$C$106,2,FALSE)*VLOOKUP(BF$1,'Attrition Modeling'!$L$15:$N$27,IF(BF$2+$F37&lt;=24,2,3),FALSE)),$C$3)*(1+Projection!BH$16)*(1+IF(BF169&gt;0,'Attrition Modeling'!$N$9,0)))</f>
        <v>0</v>
      </c>
      <c r="BG104" s="799">
        <f>BF104*(1-IFERROR(IF(BG$69+$F104&lt;=12,SUMIFS('Attrition Modeling'!$D:$D,'Attrition Modeling'!$C:$C,'IP Attrition'!$D104,'Attrition Modeling'!$B:$B,'IP Attrition'!BG$68),VLOOKUP($F104+BG$2,$A$6:$C$106,2,FALSE)*VLOOKUP(BG$1,'Attrition Modeling'!$L$15:$N$27,IF(BG$2+$F37&lt;=24,2,3),FALSE)),$C$3)*(1+Projection!BI$16)*(1+IF(BG169&gt;0,'Attrition Modeling'!$N$9,0)))</f>
        <v>0</v>
      </c>
      <c r="BH104" s="799">
        <f>BG104*(1-IFERROR(IF(BH$69+$F104&lt;=12,SUMIFS('Attrition Modeling'!$D:$D,'Attrition Modeling'!$C:$C,'IP Attrition'!$D104,'Attrition Modeling'!$B:$B,'IP Attrition'!BH$68),VLOOKUP($F104+BH$2,$A$6:$C$106,2,FALSE)*VLOOKUP(BH$1,'Attrition Modeling'!$L$15:$N$27,IF(BH$2+$F37&lt;=24,2,3),FALSE)),$C$3)*(1+Projection!BJ$16)*(1+IF(BH169&gt;0,'Attrition Modeling'!$N$9,0)))</f>
        <v>0</v>
      </c>
      <c r="BI104" s="799">
        <f>BH104*(1-IFERROR(IF(BI$69+$F104&lt;=12,SUMIFS('Attrition Modeling'!$D:$D,'Attrition Modeling'!$C:$C,'IP Attrition'!$D104,'Attrition Modeling'!$B:$B,'IP Attrition'!BI$68),VLOOKUP($F104+BI$2,$A$6:$C$106,2,FALSE)*VLOOKUP(BI$1,'Attrition Modeling'!$L$15:$N$27,IF(BI$2+$F37&lt;=24,2,3),FALSE)),$C$3)*(1+Projection!BK$16)*(1+IF(BI169&gt;0,'Attrition Modeling'!$N$9,0)))</f>
        <v>0</v>
      </c>
      <c r="BJ104" s="799">
        <f>BI104*(1-IFERROR(IF(BJ$69+$F104&lt;=12,SUMIFS('Attrition Modeling'!$D:$D,'Attrition Modeling'!$C:$C,'IP Attrition'!$D104,'Attrition Modeling'!$B:$B,'IP Attrition'!BJ$68),VLOOKUP($F104+BJ$2,$A$6:$C$106,2,FALSE)*VLOOKUP(BJ$1,'Attrition Modeling'!$L$15:$N$27,IF(BJ$2+$F37&lt;=24,2,3),FALSE)),$C$3)*(1+Projection!BL$16)*(1+IF(BJ169&gt;0,'Attrition Modeling'!$N$9,0)))</f>
        <v>0</v>
      </c>
      <c r="BK104" s="799">
        <f>BJ104*(1-IFERROR(IF(BK$69+$F104&lt;=12,SUMIFS('Attrition Modeling'!$D:$D,'Attrition Modeling'!$C:$C,'IP Attrition'!$D104,'Attrition Modeling'!$B:$B,'IP Attrition'!BK$68),VLOOKUP($F104+BK$2,$A$6:$C$106,2,FALSE)*VLOOKUP(BK$1,'Attrition Modeling'!$L$15:$N$27,IF(BK$2+$F37&lt;=24,2,3),FALSE)),$C$3)*(1+Projection!BM$16)*(1+IF(BK169&gt;0,'Attrition Modeling'!$N$9,0)))</f>
        <v>0</v>
      </c>
      <c r="BL104" s="799">
        <f>BK104*(1-IFERROR(IF(BL$69+$F104&lt;=12,SUMIFS('Attrition Modeling'!$D:$D,'Attrition Modeling'!$C:$C,'IP Attrition'!$D104,'Attrition Modeling'!$B:$B,'IP Attrition'!BL$68),VLOOKUP($F104+BL$2,$A$6:$C$106,2,FALSE)*VLOOKUP(BL$1,'Attrition Modeling'!$L$15:$N$27,IF(BL$2+$F37&lt;=24,2,3),FALSE)),$C$3)*(1+Projection!BN$16)*(1+IF(BL169&gt;0,'Attrition Modeling'!$N$9,0)))</f>
        <v>0</v>
      </c>
      <c r="BM104" s="799">
        <f>BL104*(1-IFERROR(IF(BM$69+$F104&lt;=12,SUMIFS('Attrition Modeling'!$D:$D,'Attrition Modeling'!$C:$C,'IP Attrition'!$D104,'Attrition Modeling'!$B:$B,'IP Attrition'!BM$68),VLOOKUP($F104+BM$2,$A$6:$C$106,2,FALSE)*VLOOKUP(BM$1,'Attrition Modeling'!$L$15:$N$27,IF(BM$2+$F37&lt;=24,2,3),FALSE)),$C$3)*(1+Projection!BO$16)*(1+IF(BM169&gt;0,'Attrition Modeling'!$N$9,0)))</f>
        <v>0</v>
      </c>
      <c r="BN104" s="799">
        <f>BM104*(1-IFERROR(IF(BN$69+$F104&lt;=12,SUMIFS('Attrition Modeling'!$D:$D,'Attrition Modeling'!$C:$C,'IP Attrition'!$D104,'Attrition Modeling'!$B:$B,'IP Attrition'!BN$68),VLOOKUP($F104+BN$2,$A$6:$C$106,2,FALSE)*VLOOKUP(BN$1,'Attrition Modeling'!$L$15:$N$27,IF(BN$2+$F37&lt;=24,2,3),FALSE)),$C$3)*(1+Projection!BP$16)*(1+IF(BN169&gt;0,'Attrition Modeling'!$N$9,0)))</f>
        <v>0</v>
      </c>
      <c r="BO104" s="799">
        <f>BN104*(1-IFERROR(IF(BO$69+$F104&lt;=12,SUMIFS('Attrition Modeling'!$D:$D,'Attrition Modeling'!$C:$C,'IP Attrition'!$D104,'Attrition Modeling'!$B:$B,'IP Attrition'!BO$68),VLOOKUP($F104+BO$2,$A$6:$C$106,2,FALSE)*VLOOKUP(BO$1,'Attrition Modeling'!$L$15:$N$27,IF(BO$2+$F37&lt;=24,2,3),FALSE)),$C$3)*(1+Projection!BV$16)*(1+IF(BO169&gt;0,'Attrition Modeling'!$N$9,0)))</f>
        <v>0</v>
      </c>
      <c r="BP104" s="799">
        <f>BO104*(1-IFERROR(IF(BP$69+$F104&lt;=12,SUMIFS('Attrition Modeling'!$D:$D,'Attrition Modeling'!$C:$C,'IP Attrition'!$D104,'Attrition Modeling'!$B:$B,'IP Attrition'!BP$68),VLOOKUP($F104+BP$2,$A$6:$C$106,2,FALSE)*VLOOKUP(BP$1,'Attrition Modeling'!$L$15:$N$27,IF(BP$2+$F37&lt;=24,2,3),FALSE)),$C$3)*(1+Projection!BW$16)*(1+IF(BP169&gt;0,'Attrition Modeling'!$N$9,0)))</f>
        <v>0</v>
      </c>
      <c r="BQ104" s="799">
        <f>BP104*(1-IFERROR(IF(BQ$69+$F104&lt;=12,SUMIFS('Attrition Modeling'!$D:$D,'Attrition Modeling'!$C:$C,'IP Attrition'!$D104,'Attrition Modeling'!$B:$B,'IP Attrition'!BQ$68),VLOOKUP($F104+BQ$2,$A$6:$C$106,2,FALSE)*VLOOKUP(BQ$1,'Attrition Modeling'!$L$15:$N$27,IF(BQ$2+$F37&lt;=24,2,3),FALSE)),$C$3)*(1+Projection!BX$16)*(1+IF(BQ169&gt;0,'Attrition Modeling'!$N$9,0)))</f>
        <v>0</v>
      </c>
      <c r="BR104" s="799">
        <f>BQ104*(1-IFERROR(IF(BR$69+$F104&lt;=12,SUMIFS('Attrition Modeling'!$D:$D,'Attrition Modeling'!$C:$C,'IP Attrition'!$D104,'Attrition Modeling'!$B:$B,'IP Attrition'!BR$68),VLOOKUP($F104+BR$2,$A$6:$C$106,2,FALSE)*VLOOKUP(BR$1,'Attrition Modeling'!$L$15:$N$27,IF(BR$2+$F37&lt;=24,2,3),FALSE)),$C$3)*(1+Projection!BY$16)*(1+IF(BR169&gt;0,'Attrition Modeling'!$N$9,0)))</f>
        <v>0</v>
      </c>
      <c r="BS104" s="799">
        <f>BR104*(1-IFERROR(IF(BS$69+$F104&lt;=12,SUMIFS('Attrition Modeling'!$D:$D,'Attrition Modeling'!$C:$C,'IP Attrition'!$D104,'Attrition Modeling'!$B:$B,'IP Attrition'!BS$68),VLOOKUP($F104+BS$2,$A$6:$C$106,2,FALSE)*VLOOKUP(BS$1,'Attrition Modeling'!$L$15:$N$27,IF(BS$2+$F37&lt;=24,2,3),FALSE)),$C$3)*(1+Projection!BZ$16)*(1+IF(BS169&gt;0,'Attrition Modeling'!$N$9,0)))</f>
        <v>0</v>
      </c>
      <c r="BT104" s="799" t="e">
        <f>BS104*(1-IFERROR(IF(BT$69+$F104&lt;=12,SUMIFS('Attrition Modeling'!$D:$D,'Attrition Modeling'!$C:$C,'IP Attrition'!$D104,'Attrition Modeling'!$B:$B,'IP Attrition'!BT$68),VLOOKUP($F104+BT$2,$A$6:$C$106,2,FALSE)*VLOOKUP(BT$1,'Attrition Modeling'!$L$15:$N$27,IF(BT$2+$F37&lt;=24,2,3),FALSE)),$C$3)*(1+Projection!CA$16)*(1+IF(BT169&gt;0,'Attrition Modeling'!$N$9,0)))</f>
        <v>#REF!</v>
      </c>
      <c r="BU104" s="799" t="e">
        <f>BT104*(1-IFERROR(IF(BU$69+$F104&lt;=12,SUMIFS('Attrition Modeling'!$D:$D,'Attrition Modeling'!$C:$C,'IP Attrition'!$D104,'Attrition Modeling'!$B:$B,'IP Attrition'!BU$68),VLOOKUP($F104+BU$2,$A$6:$C$106,2,FALSE)*VLOOKUP(BU$1,'Attrition Modeling'!$L$15:$N$27,IF(BU$2+$F37&lt;=24,2,3),FALSE)),$C$3)*(1+Projection!CB$16)*(1+IF(BU169&gt;0,'Attrition Modeling'!$N$9,0)))</f>
        <v>#REF!</v>
      </c>
    </row>
    <row r="105" spans="1:73" ht="14.25" customHeight="1" x14ac:dyDescent="0.2">
      <c r="A105" s="9">
        <v>98</v>
      </c>
      <c r="B105" s="25">
        <f>MAX('Attrition Modeling'!H102,$C$3)*(1-Summary!$C$20)</f>
        <v>0.02</v>
      </c>
      <c r="C105" s="24" t="e">
        <f t="shared" si="3"/>
        <v>#DIV/0!</v>
      </c>
      <c r="D105" s="11">
        <f t="shared" ref="D105:E105" si="43">D38</f>
        <v>-35</v>
      </c>
      <c r="E105" s="25">
        <f t="shared" si="43"/>
        <v>0</v>
      </c>
      <c r="F105" s="11">
        <f t="shared" si="9"/>
        <v>35</v>
      </c>
      <c r="G105" s="799">
        <f>Summary!$C$24*$E105</f>
        <v>0</v>
      </c>
      <c r="H105" s="799">
        <f>G105*(1-IFERROR(IF(H$69+$F105&lt;=12,SUMIFS('Attrition Modeling'!$D:$D,'Attrition Modeling'!$C:$C,'IP Attrition'!$D105,'Attrition Modeling'!$B:$B,'IP Attrition'!H$68),VLOOKUP($F105+H$2,$A$6:$C$106,2,FALSE)*VLOOKUP(H$1,'Attrition Modeling'!$L$15:$N$27,IF(H$2+$F38&lt;=24,2,3),FALSE)),$C$3)*(1+Projection!J$16)*(1+IF(H170&gt;0,'Attrition Modeling'!$N$9,0)))</f>
        <v>0</v>
      </c>
      <c r="I105" s="799">
        <f>H105*(1-IFERROR(IF(I$69+$F105&lt;=12,SUMIFS('Attrition Modeling'!$D:$D,'Attrition Modeling'!$C:$C,'IP Attrition'!$D105,'Attrition Modeling'!$B:$B,'IP Attrition'!I$68),VLOOKUP($F105+I$2,$A$6:$C$106,2,FALSE)*VLOOKUP(I$1,'Attrition Modeling'!$L$15:$N$27,IF(I$2+$F38&lt;=24,2,3),FALSE)),$C$3)*(1+Projection!K$16)*(1+IF(I170&gt;0,'Attrition Modeling'!$N$9,0)))</f>
        <v>0</v>
      </c>
      <c r="J105" s="799">
        <f>I105*(1-IFERROR(IF(J$69+$F105&lt;=12,SUMIFS('Attrition Modeling'!$D:$D,'Attrition Modeling'!$C:$C,'IP Attrition'!$D105,'Attrition Modeling'!$B:$B,'IP Attrition'!J$68),VLOOKUP($F105+J$2,$A$6:$C$106,2,FALSE)*VLOOKUP(J$1,'Attrition Modeling'!$L$15:$N$27,IF(J$2+$F38&lt;=24,2,3),FALSE)),$C$3)*(1+Projection!L$16)*(1+IF(J170&gt;0,'Attrition Modeling'!$N$9,0)))</f>
        <v>0</v>
      </c>
      <c r="K105" s="799">
        <f>J105*(1-IFERROR(IF(K$69+$F105&lt;=12,SUMIFS('Attrition Modeling'!$D:$D,'Attrition Modeling'!$C:$C,'IP Attrition'!$D105,'Attrition Modeling'!$B:$B,'IP Attrition'!K$68),VLOOKUP($F105+K$2,$A$6:$C$106,2,FALSE)*VLOOKUP(K$1,'Attrition Modeling'!$L$15:$N$27,IF(K$2+$F38&lt;=24,2,3),FALSE)),$C$3)*(1+Projection!M$16)*(1+IF(K170&gt;0,'Attrition Modeling'!$N$9,0)))</f>
        <v>0</v>
      </c>
      <c r="L105" s="799">
        <f>K105*(1-IFERROR(IF(L$69+$F105&lt;=12,SUMIFS('Attrition Modeling'!$D:$D,'Attrition Modeling'!$C:$C,'IP Attrition'!$D105,'Attrition Modeling'!$B:$B,'IP Attrition'!L$68),VLOOKUP($F105+L$2,$A$6:$C$106,2,FALSE)*VLOOKUP(L$1,'Attrition Modeling'!$L$15:$N$27,IF(L$2+$F38&lt;=24,2,3),FALSE)),$C$3)*(1+Projection!N$16)*(1+IF(L170&gt;0,'Attrition Modeling'!$N$9,0)))</f>
        <v>0</v>
      </c>
      <c r="M105" s="799">
        <f>L105*(1-IFERROR(IF(M$69+$F105&lt;=12,SUMIFS('Attrition Modeling'!$D:$D,'Attrition Modeling'!$C:$C,'IP Attrition'!$D105,'Attrition Modeling'!$B:$B,'IP Attrition'!M$68),VLOOKUP($F105+M$2,$A$6:$C$106,2,FALSE)*VLOOKUP(M$1,'Attrition Modeling'!$L$15:$N$27,IF(M$2+$F38&lt;=24,2,3),FALSE)),$C$3)*(1+Projection!O$16)*(1+IF(M170&gt;0,'Attrition Modeling'!$N$9,0)))</f>
        <v>0</v>
      </c>
      <c r="N105" s="799">
        <f>M105*(1-IFERROR(IF(N$69+$F105&lt;=12,SUMIFS('Attrition Modeling'!$D:$D,'Attrition Modeling'!$C:$C,'IP Attrition'!$D105,'Attrition Modeling'!$B:$B,'IP Attrition'!N$68),VLOOKUP($F105+N$2,$A$6:$C$106,2,FALSE)*VLOOKUP(N$1,'Attrition Modeling'!$L$15:$N$27,IF(N$2+$F38&lt;=24,2,3),FALSE)),$C$3)*(1+Projection!P$16)*(1+IF(N170&gt;0,'Attrition Modeling'!$N$9,0)))</f>
        <v>0</v>
      </c>
      <c r="O105" s="799">
        <f>N105*(1-IFERROR(IF(O$69+$F105&lt;=12,SUMIFS('Attrition Modeling'!$D:$D,'Attrition Modeling'!$C:$C,'IP Attrition'!$D105,'Attrition Modeling'!$B:$B,'IP Attrition'!O$68),VLOOKUP($F105+O$2,$A$6:$C$106,2,FALSE)*VLOOKUP(O$1,'Attrition Modeling'!$L$15:$N$27,IF(O$2+$F38&lt;=24,2,3),FALSE)),$C$3)*(1+Projection!Q$16)*(1+IF(O170&gt;0,'Attrition Modeling'!$N$9,0)))</f>
        <v>0</v>
      </c>
      <c r="P105" s="799">
        <f>O105*(1-IFERROR(IF(P$69+$F105&lt;=12,SUMIFS('Attrition Modeling'!$D:$D,'Attrition Modeling'!$C:$C,'IP Attrition'!$D105,'Attrition Modeling'!$B:$B,'IP Attrition'!P$68),VLOOKUP($F105+P$2,$A$6:$C$106,2,FALSE)*VLOOKUP(P$1,'Attrition Modeling'!$L$15:$N$27,IF(P$2+$F38&lt;=24,2,3),FALSE)),$C$3)*(1+Projection!R$16)*(1+IF(P170&gt;0,'Attrition Modeling'!$N$9,0)))</f>
        <v>0</v>
      </c>
      <c r="Q105" s="799">
        <f>P105*(1-IFERROR(IF(Q$69+$F105&lt;=12,SUMIFS('Attrition Modeling'!$D:$D,'Attrition Modeling'!$C:$C,'IP Attrition'!$D105,'Attrition Modeling'!$B:$B,'IP Attrition'!Q$68),VLOOKUP($F105+Q$2,$A$6:$C$106,2,FALSE)*VLOOKUP(Q$1,'Attrition Modeling'!$L$15:$N$27,IF(Q$2+$F38&lt;=24,2,3),FALSE)),$C$3)*(1+Projection!S$16)*(1+IF(Q170&gt;0,'Attrition Modeling'!$N$9,0)))</f>
        <v>0</v>
      </c>
      <c r="R105" s="799">
        <f>Q105*(1-IFERROR(IF(R$69+$F105&lt;=12,SUMIFS('Attrition Modeling'!$D:$D,'Attrition Modeling'!$C:$C,'IP Attrition'!$D105,'Attrition Modeling'!$B:$B,'IP Attrition'!R$68),VLOOKUP($F105+R$2,$A$6:$C$106,2,FALSE)*VLOOKUP(R$1,'Attrition Modeling'!$L$15:$N$27,IF(R$2+$F38&lt;=24,2,3),FALSE)),$C$3)*(1+Projection!T$16)*(1+IF(R170&gt;0,'Attrition Modeling'!$N$9,0)))</f>
        <v>0</v>
      </c>
      <c r="S105" s="799">
        <f>R105*(1-IFERROR(IF(S$69+$F105&lt;=12,SUMIFS('Attrition Modeling'!$D:$D,'Attrition Modeling'!$C:$C,'IP Attrition'!$D105,'Attrition Modeling'!$B:$B,'IP Attrition'!S$68),VLOOKUP($F105+S$2,$A$6:$C$106,2,FALSE)*VLOOKUP(S$1,'Attrition Modeling'!$L$15:$N$27,IF(S$2+$F38&lt;=24,2,3),FALSE)),$C$3)*(1+Projection!U$16)*(1+IF(S170&gt;0,'Attrition Modeling'!$N$9,0)))</f>
        <v>0</v>
      </c>
      <c r="T105" s="799">
        <f>S105*(1-IFERROR(IF(T$69+$F105&lt;=12,SUMIFS('Attrition Modeling'!$D:$D,'Attrition Modeling'!$C:$C,'IP Attrition'!$D105,'Attrition Modeling'!$B:$B,'IP Attrition'!T$68),VLOOKUP($F105+T$2,$A$6:$C$106,2,FALSE)*VLOOKUP(T$1,'Attrition Modeling'!$L$15:$N$27,IF(T$2+$F38&lt;=24,2,3),FALSE)),$C$3)*(1+Projection!V$16)*(1+IF(T170&gt;0,'Attrition Modeling'!$N$9,0)))</f>
        <v>0</v>
      </c>
      <c r="U105" s="799">
        <f>T105*(1-IFERROR(IF(U$69+$F105&lt;=12,SUMIFS('Attrition Modeling'!$D:$D,'Attrition Modeling'!$C:$C,'IP Attrition'!$D105,'Attrition Modeling'!$B:$B,'IP Attrition'!U$68),VLOOKUP($F105+U$2,$A$6:$C$106,2,FALSE)*VLOOKUP(U$1,'Attrition Modeling'!$L$15:$N$27,IF(U$2+$F38&lt;=24,2,3),FALSE)),$C$3)*(1+Projection!W$16)*(1+IF(U170&gt;0,'Attrition Modeling'!$N$9,0)))</f>
        <v>0</v>
      </c>
      <c r="V105" s="799">
        <f>U105*(1-IFERROR(IF(V$69+$F105&lt;=12,SUMIFS('Attrition Modeling'!$D:$D,'Attrition Modeling'!$C:$C,'IP Attrition'!$D105,'Attrition Modeling'!$B:$B,'IP Attrition'!V$68),VLOOKUP($F105+V$2,$A$6:$C$106,2,FALSE)*VLOOKUP(V$1,'Attrition Modeling'!$L$15:$N$27,IF(V$2+$F38&lt;=24,2,3),FALSE)),$C$3)*(1+Projection!X$16)*(1+IF(V170&gt;0,'Attrition Modeling'!$N$9,0)))</f>
        <v>0</v>
      </c>
      <c r="W105" s="799">
        <f>V105*(1-IFERROR(IF(W$69+$F105&lt;=12,SUMIFS('Attrition Modeling'!$D:$D,'Attrition Modeling'!$C:$C,'IP Attrition'!$D105,'Attrition Modeling'!$B:$B,'IP Attrition'!W$68),VLOOKUP($F105+W$2,$A$6:$C$106,2,FALSE)*VLOOKUP(W$1,'Attrition Modeling'!$L$15:$N$27,IF(W$2+$F38&lt;=24,2,3),FALSE)),$C$3)*(1+Projection!Y$16)*(1+IF(W170&gt;0,'Attrition Modeling'!$N$9,0)))</f>
        <v>0</v>
      </c>
      <c r="X105" s="799">
        <f>W105*(1-IFERROR(IF(X$69+$F105&lt;=12,SUMIFS('Attrition Modeling'!$D:$D,'Attrition Modeling'!$C:$C,'IP Attrition'!$D105,'Attrition Modeling'!$B:$B,'IP Attrition'!X$68),VLOOKUP($F105+X$2,$A$6:$C$106,2,FALSE)*VLOOKUP(X$1,'Attrition Modeling'!$L$15:$N$27,IF(X$2+$F38&lt;=24,2,3),FALSE)),$C$3)*(1+Projection!Z$16)*(1+IF(X170&gt;0,'Attrition Modeling'!$N$9,0)))</f>
        <v>0</v>
      </c>
      <c r="Y105" s="799">
        <f>X105*(1-IFERROR(IF(Y$69+$F105&lt;=12,SUMIFS('Attrition Modeling'!$D:$D,'Attrition Modeling'!$C:$C,'IP Attrition'!$D105,'Attrition Modeling'!$B:$B,'IP Attrition'!Y$68),VLOOKUP($F105+Y$2,$A$6:$C$106,2,FALSE)*VLOOKUP(Y$1,'Attrition Modeling'!$L$15:$N$27,IF(Y$2+$F38&lt;=24,2,3),FALSE)),$C$3)*(1+Projection!AA$16)*(1+IF(Y170&gt;0,'Attrition Modeling'!$N$9,0)))</f>
        <v>0</v>
      </c>
      <c r="Z105" s="799">
        <f>Y105*(1-IFERROR(IF(Z$69+$F105&lt;=12,SUMIFS('Attrition Modeling'!$D:$D,'Attrition Modeling'!$C:$C,'IP Attrition'!$D105,'Attrition Modeling'!$B:$B,'IP Attrition'!Z$68),VLOOKUP($F105+Z$2,$A$6:$C$106,2,FALSE)*VLOOKUP(Z$1,'Attrition Modeling'!$L$15:$N$27,IF(Z$2+$F38&lt;=24,2,3),FALSE)),$C$3)*(1+Projection!AB$16)*(1+IF(Z170&gt;0,'Attrition Modeling'!$N$9,0)))</f>
        <v>0</v>
      </c>
      <c r="AA105" s="799">
        <f>Z105*(1-IFERROR(IF(AA$69+$F105&lt;=12,SUMIFS('Attrition Modeling'!$D:$D,'Attrition Modeling'!$C:$C,'IP Attrition'!$D105,'Attrition Modeling'!$B:$B,'IP Attrition'!AA$68),VLOOKUP($F105+AA$2,$A$6:$C$106,2,FALSE)*VLOOKUP(AA$1,'Attrition Modeling'!$L$15:$N$27,IF(AA$2+$F38&lt;=24,2,3),FALSE)),$C$3)*(1+Projection!AC$16)*(1+IF(AA170&gt;0,'Attrition Modeling'!$N$9,0)))</f>
        <v>0</v>
      </c>
      <c r="AB105" s="799">
        <f>AA105*(1-IFERROR(IF(AB$69+$F105&lt;=12,SUMIFS('Attrition Modeling'!$D:$D,'Attrition Modeling'!$C:$C,'IP Attrition'!$D105,'Attrition Modeling'!$B:$B,'IP Attrition'!AB$68),VLOOKUP($F105+AB$2,$A$6:$C$106,2,FALSE)*VLOOKUP(AB$1,'Attrition Modeling'!$L$15:$N$27,IF(AB$2+$F38&lt;=24,2,3),FALSE)),$C$3)*(1+Projection!AD$16)*(1+IF(AB170&gt;0,'Attrition Modeling'!$N$9,0)))</f>
        <v>0</v>
      </c>
      <c r="AC105" s="799">
        <f>AB105*(1-IFERROR(IF(AC$69+$F105&lt;=12,SUMIFS('Attrition Modeling'!$D:$D,'Attrition Modeling'!$C:$C,'IP Attrition'!$D105,'Attrition Modeling'!$B:$B,'IP Attrition'!AC$68),VLOOKUP($F105+AC$2,$A$6:$C$106,2,FALSE)*VLOOKUP(AC$1,'Attrition Modeling'!$L$15:$N$27,IF(AC$2+$F38&lt;=24,2,3),FALSE)),$C$3)*(1+Projection!AE$16)*(1+IF(AC170&gt;0,'Attrition Modeling'!$N$9,0)))</f>
        <v>0</v>
      </c>
      <c r="AD105" s="799">
        <f>AC105*(1-IFERROR(IF(AD$69+$F105&lt;=12,SUMIFS('Attrition Modeling'!$D:$D,'Attrition Modeling'!$C:$C,'IP Attrition'!$D105,'Attrition Modeling'!$B:$B,'IP Attrition'!AD$68),VLOOKUP($F105+AD$2,$A$6:$C$106,2,FALSE)*VLOOKUP(AD$1,'Attrition Modeling'!$L$15:$N$27,IF(AD$2+$F38&lt;=24,2,3),FALSE)),$C$3)*(1+Projection!AF$16)*(1+IF(AD170&gt;0,'Attrition Modeling'!$N$9,0)))</f>
        <v>0</v>
      </c>
      <c r="AE105" s="799">
        <f>AD105*(1-IFERROR(IF(AE$69+$F105&lt;=12,SUMIFS('Attrition Modeling'!$D:$D,'Attrition Modeling'!$C:$C,'IP Attrition'!$D105,'Attrition Modeling'!$B:$B,'IP Attrition'!AE$68),VLOOKUP($F105+AE$2,$A$6:$C$106,2,FALSE)*VLOOKUP(AE$1,'Attrition Modeling'!$L$15:$N$27,IF(AE$2+$F38&lt;=24,2,3),FALSE)),$C$3)*(1+Projection!AG$16)*(1+IF(AE170&gt;0,'Attrition Modeling'!$N$9,0)))</f>
        <v>0</v>
      </c>
      <c r="AF105" s="799">
        <f>AE105*(1-IFERROR(IF(AF$69+$F105&lt;=12,SUMIFS('Attrition Modeling'!$D:$D,'Attrition Modeling'!$C:$C,'IP Attrition'!$D105,'Attrition Modeling'!$B:$B,'IP Attrition'!AF$68),VLOOKUP($F105+AF$2,$A$6:$C$106,2,FALSE)*VLOOKUP(AF$1,'Attrition Modeling'!$L$15:$N$27,IF(AF$2+$F38&lt;=24,2,3),FALSE)),$C$3)*(1+Projection!AH$16)*(1+IF(AF170&gt;0,'Attrition Modeling'!$N$9,0)))</f>
        <v>0</v>
      </c>
      <c r="AG105" s="799">
        <f>AF105*(1-IFERROR(IF(AG$69+$F105&lt;=12,SUMIFS('Attrition Modeling'!$D:$D,'Attrition Modeling'!$C:$C,'IP Attrition'!$D105,'Attrition Modeling'!$B:$B,'IP Attrition'!AG$68),VLOOKUP($F105+AG$2,$A$6:$C$106,2,FALSE)*VLOOKUP(AG$1,'Attrition Modeling'!$L$15:$N$27,IF(AG$2+$F38&lt;=24,2,3),FALSE)),$C$3)*(1+Projection!AI$16)*(1+IF(AG170&gt;0,'Attrition Modeling'!$N$9,0)))</f>
        <v>0</v>
      </c>
      <c r="AH105" s="799">
        <f>AG105*(1-IFERROR(IF(AH$69+$F105&lt;=12,SUMIFS('Attrition Modeling'!$D:$D,'Attrition Modeling'!$C:$C,'IP Attrition'!$D105,'Attrition Modeling'!$B:$B,'IP Attrition'!AH$68),VLOOKUP($F105+AH$2,$A$6:$C$106,2,FALSE)*VLOOKUP(AH$1,'Attrition Modeling'!$L$15:$N$27,IF(AH$2+$F38&lt;=24,2,3),FALSE)),$C$3)*(1+Projection!AJ$16)*(1+IF(AH170&gt;0,'Attrition Modeling'!$N$9,0)))</f>
        <v>0</v>
      </c>
      <c r="AI105" s="799">
        <f>AH105*(1-IFERROR(IF(AI$69+$F105&lt;=12,SUMIFS('Attrition Modeling'!$D:$D,'Attrition Modeling'!$C:$C,'IP Attrition'!$D105,'Attrition Modeling'!$B:$B,'IP Attrition'!AI$68),VLOOKUP($F105+AI$2,$A$6:$C$106,2,FALSE)*VLOOKUP(AI$1,'Attrition Modeling'!$L$15:$N$27,IF(AI$2+$F38&lt;=24,2,3),FALSE)),$C$3)*(1+Projection!AK$16)*(1+IF(AI170&gt;0,'Attrition Modeling'!$N$9,0)))</f>
        <v>0</v>
      </c>
      <c r="AJ105" s="799">
        <f>AI105*(1-IFERROR(IF(AJ$69+$F105&lt;=12,SUMIFS('Attrition Modeling'!$D:$D,'Attrition Modeling'!$C:$C,'IP Attrition'!$D105,'Attrition Modeling'!$B:$B,'IP Attrition'!AJ$68),VLOOKUP($F105+AJ$2,$A$6:$C$106,2,FALSE)*VLOOKUP(AJ$1,'Attrition Modeling'!$L$15:$N$27,IF(AJ$2+$F38&lt;=24,2,3),FALSE)),$C$3)*(1+Projection!AL$16)*(1+IF(AJ170&gt;0,'Attrition Modeling'!$N$9,0)))</f>
        <v>0</v>
      </c>
      <c r="AK105" s="799">
        <f>AJ105*(1-IFERROR(IF(AK$69+$F105&lt;=12,SUMIFS('Attrition Modeling'!$D:$D,'Attrition Modeling'!$C:$C,'IP Attrition'!$D105,'Attrition Modeling'!$B:$B,'IP Attrition'!AK$68),VLOOKUP($F105+AK$2,$A$6:$C$106,2,FALSE)*VLOOKUP(AK$1,'Attrition Modeling'!$L$15:$N$27,IF(AK$2+$F38&lt;=24,2,3),FALSE)),$C$3)*(1+Projection!AM$16)*(1+IF(AK170&gt;0,'Attrition Modeling'!$N$9,0)))</f>
        <v>0</v>
      </c>
      <c r="AL105" s="799">
        <f>AK105*(1-IFERROR(IF(AL$69+$F105&lt;=12,SUMIFS('Attrition Modeling'!$D:$D,'Attrition Modeling'!$C:$C,'IP Attrition'!$D105,'Attrition Modeling'!$B:$B,'IP Attrition'!AL$68),VLOOKUP($F105+AL$2,$A$6:$C$106,2,FALSE)*VLOOKUP(AL$1,'Attrition Modeling'!$L$15:$N$27,IF(AL$2+$F38&lt;=24,2,3),FALSE)),$C$3)*(1+Projection!AN$16)*(1+IF(AL170&gt;0,'Attrition Modeling'!$N$9,0)))</f>
        <v>0</v>
      </c>
      <c r="AM105" s="799">
        <f>AL105*(1-IFERROR(IF(AM$69+$F105&lt;=12,SUMIFS('Attrition Modeling'!$D:$D,'Attrition Modeling'!$C:$C,'IP Attrition'!$D105,'Attrition Modeling'!$B:$B,'IP Attrition'!AM$68),VLOOKUP($F105+AM$2,$A$6:$C$106,2,FALSE)*VLOOKUP(AM$1,'Attrition Modeling'!$L$15:$N$27,IF(AM$2+$F38&lt;=24,2,3),FALSE)),$C$3)*(1+Projection!AO$16)*(1+IF(AM170&gt;0,'Attrition Modeling'!$N$9,0)))</f>
        <v>0</v>
      </c>
      <c r="AN105" s="799">
        <f>AM105*(1-IFERROR(IF(AN$69+$F105&lt;=12,SUMIFS('Attrition Modeling'!$D:$D,'Attrition Modeling'!$C:$C,'IP Attrition'!$D105,'Attrition Modeling'!$B:$B,'IP Attrition'!AN$68),VLOOKUP($F105+AN$2,$A$6:$C$106,2,FALSE)*VLOOKUP(AN$1,'Attrition Modeling'!$L$15:$N$27,IF(AN$2+$F38&lt;=24,2,3),FALSE)),$C$3)*(1+Projection!AP$16)*(1+IF(AN170&gt;0,'Attrition Modeling'!$N$9,0)))</f>
        <v>0</v>
      </c>
      <c r="AO105" s="799">
        <f>AN105*(1-IFERROR(IF(AO$69+$F105&lt;=12,SUMIFS('Attrition Modeling'!$D:$D,'Attrition Modeling'!$C:$C,'IP Attrition'!$D105,'Attrition Modeling'!$B:$B,'IP Attrition'!AO$68),VLOOKUP($F105+AO$2,$A$6:$C$106,2,FALSE)*VLOOKUP(AO$1,'Attrition Modeling'!$L$15:$N$27,IF(AO$2+$F38&lt;=24,2,3),FALSE)),$C$3)*(1+Projection!AQ$16)*(1+IF(AO170&gt;0,'Attrition Modeling'!$N$9,0)))</f>
        <v>0</v>
      </c>
      <c r="AP105" s="799">
        <f>AO105*(1-IFERROR(IF(AP$69+$F105&lt;=12,SUMIFS('Attrition Modeling'!$D:$D,'Attrition Modeling'!$C:$C,'IP Attrition'!$D105,'Attrition Modeling'!$B:$B,'IP Attrition'!AP$68),VLOOKUP($F105+AP$2,$A$6:$C$106,2,FALSE)*VLOOKUP(AP$1,'Attrition Modeling'!$L$15:$N$27,IF(AP$2+$F38&lt;=24,2,3),FALSE)),$C$3)*(1+Projection!AR$16)*(1+IF(AP170&gt;0,'Attrition Modeling'!$N$9,0)))</f>
        <v>0</v>
      </c>
      <c r="AQ105" s="799">
        <f>AP105*(1-IFERROR(IF(AQ$69+$F105&lt;=12,SUMIFS('Attrition Modeling'!$D:$D,'Attrition Modeling'!$C:$C,'IP Attrition'!$D105,'Attrition Modeling'!$B:$B,'IP Attrition'!AQ$68),VLOOKUP($F105+AQ$2,$A$6:$C$106,2,FALSE)*VLOOKUP(AQ$1,'Attrition Modeling'!$L$15:$N$27,IF(AQ$2+$F38&lt;=24,2,3),FALSE)),$C$3)*(1+Projection!AS$16)*(1+IF(AQ170&gt;0,'Attrition Modeling'!$N$9,0)))</f>
        <v>0</v>
      </c>
      <c r="AR105" s="799">
        <f>AQ105*(1-IFERROR(IF(AR$69+$F105&lt;=12,SUMIFS('Attrition Modeling'!$D:$D,'Attrition Modeling'!$C:$C,'IP Attrition'!$D105,'Attrition Modeling'!$B:$B,'IP Attrition'!AR$68),VLOOKUP($F105+AR$2,$A$6:$C$106,2,FALSE)*VLOOKUP(AR$1,'Attrition Modeling'!$L$15:$N$27,IF(AR$2+$F38&lt;=24,2,3),FALSE)),$C$3)*(1+Projection!AT$16)*(1+IF(AR170&gt;0,'Attrition Modeling'!$N$9,0)))</f>
        <v>0</v>
      </c>
      <c r="AS105" s="799">
        <f>AR105*(1-IFERROR(IF(AS$69+$F105&lt;=12,SUMIFS('Attrition Modeling'!$D:$D,'Attrition Modeling'!$C:$C,'IP Attrition'!$D105,'Attrition Modeling'!$B:$B,'IP Attrition'!AS$68),VLOOKUP($F105+AS$2,$A$6:$C$106,2,FALSE)*VLOOKUP(AS$1,'Attrition Modeling'!$L$15:$N$27,IF(AS$2+$F38&lt;=24,2,3),FALSE)),$C$3)*(1+Projection!AU$16)*(1+IF(AS170&gt;0,'Attrition Modeling'!$N$9,0)))</f>
        <v>0</v>
      </c>
      <c r="AT105" s="799">
        <f>AS105*(1-IFERROR(IF(AT$69+$F105&lt;=12,SUMIFS('Attrition Modeling'!$D:$D,'Attrition Modeling'!$C:$C,'IP Attrition'!$D105,'Attrition Modeling'!$B:$B,'IP Attrition'!AT$68),VLOOKUP($F105+AT$2,$A$6:$C$106,2,FALSE)*VLOOKUP(AT$1,'Attrition Modeling'!$L$15:$N$27,IF(AT$2+$F38&lt;=24,2,3),FALSE)),$C$3)*(1+Projection!AV$16)*(1+IF(AT170&gt;0,'Attrition Modeling'!$N$9,0)))</f>
        <v>0</v>
      </c>
      <c r="AU105" s="799">
        <f>AT105*(1-IFERROR(IF(AU$69+$F105&lt;=12,SUMIFS('Attrition Modeling'!$D:$D,'Attrition Modeling'!$C:$C,'IP Attrition'!$D105,'Attrition Modeling'!$B:$B,'IP Attrition'!AU$68),VLOOKUP($F105+AU$2,$A$6:$C$106,2,FALSE)*VLOOKUP(AU$1,'Attrition Modeling'!$L$15:$N$27,IF(AU$2+$F38&lt;=24,2,3),FALSE)),$C$3)*(1+Projection!AW$16)*(1+IF(AU170&gt;0,'Attrition Modeling'!$N$9,0)))</f>
        <v>0</v>
      </c>
      <c r="AV105" s="799">
        <f>AU105*(1-IFERROR(IF(AV$69+$F105&lt;=12,SUMIFS('Attrition Modeling'!$D:$D,'Attrition Modeling'!$C:$C,'IP Attrition'!$D105,'Attrition Modeling'!$B:$B,'IP Attrition'!AV$68),VLOOKUP($F105+AV$2,$A$6:$C$106,2,FALSE)*VLOOKUP(AV$1,'Attrition Modeling'!$L$15:$N$27,IF(AV$2+$F38&lt;=24,2,3),FALSE)),$C$3)*(1+Projection!AX$16)*(1+IF(AV170&gt;0,'Attrition Modeling'!$N$9,0)))</f>
        <v>0</v>
      </c>
      <c r="AW105" s="799">
        <f>AV105*(1-IFERROR(IF(AW$69+$F105&lt;=12,SUMIFS('Attrition Modeling'!$D:$D,'Attrition Modeling'!$C:$C,'IP Attrition'!$D105,'Attrition Modeling'!$B:$B,'IP Attrition'!AW$68),VLOOKUP($F105+AW$2,$A$6:$C$106,2,FALSE)*VLOOKUP(AW$1,'Attrition Modeling'!$L$15:$N$27,IF(AW$2+$F38&lt;=24,2,3),FALSE)),$C$3)*(1+Projection!AY$16)*(1+IF(AW170&gt;0,'Attrition Modeling'!$N$9,0)))</f>
        <v>0</v>
      </c>
      <c r="AX105" s="799">
        <f>AW105*(1-IFERROR(IF(AX$69+$F105&lt;=12,SUMIFS('Attrition Modeling'!$D:$D,'Attrition Modeling'!$C:$C,'IP Attrition'!$D105,'Attrition Modeling'!$B:$B,'IP Attrition'!AX$68),VLOOKUP($F105+AX$2,$A$6:$C$106,2,FALSE)*VLOOKUP(AX$1,'Attrition Modeling'!$L$15:$N$27,IF(AX$2+$F38&lt;=24,2,3),FALSE)),$C$3)*(1+Projection!AZ$16)*(1+IF(AX170&gt;0,'Attrition Modeling'!$N$9,0)))</f>
        <v>0</v>
      </c>
      <c r="AY105" s="799">
        <f>AX105*(1-IFERROR(IF(AY$69+$F105&lt;=12,SUMIFS('Attrition Modeling'!$D:$D,'Attrition Modeling'!$C:$C,'IP Attrition'!$D105,'Attrition Modeling'!$B:$B,'IP Attrition'!AY$68),VLOOKUP($F105+AY$2,$A$6:$C$106,2,FALSE)*VLOOKUP(AY$1,'Attrition Modeling'!$L$15:$N$27,IF(AY$2+$F38&lt;=24,2,3),FALSE)),$C$3)*(1+Projection!BA$16)*(1+IF(AY170&gt;0,'Attrition Modeling'!$N$9,0)))</f>
        <v>0</v>
      </c>
      <c r="AZ105" s="799">
        <f>AY105*(1-IFERROR(IF(AZ$69+$F105&lt;=12,SUMIFS('Attrition Modeling'!$D:$D,'Attrition Modeling'!$C:$C,'IP Attrition'!$D105,'Attrition Modeling'!$B:$B,'IP Attrition'!AZ$68),VLOOKUP($F105+AZ$2,$A$6:$C$106,2,FALSE)*VLOOKUP(AZ$1,'Attrition Modeling'!$L$15:$N$27,IF(AZ$2+$F38&lt;=24,2,3),FALSE)),$C$3)*(1+Projection!BB$16)*(1+IF(AZ170&gt;0,'Attrition Modeling'!$N$9,0)))</f>
        <v>0</v>
      </c>
      <c r="BA105" s="799">
        <f>AZ105*(1-IFERROR(IF(BA$69+$F105&lt;=12,SUMIFS('Attrition Modeling'!$D:$D,'Attrition Modeling'!$C:$C,'IP Attrition'!$D105,'Attrition Modeling'!$B:$B,'IP Attrition'!BA$68),VLOOKUP($F105+BA$2,$A$6:$C$106,2,FALSE)*VLOOKUP(BA$1,'Attrition Modeling'!$L$15:$N$27,IF(BA$2+$F38&lt;=24,2,3),FALSE)),$C$3)*(1+Projection!BC$16)*(1+IF(BA170&gt;0,'Attrition Modeling'!$N$9,0)))</f>
        <v>0</v>
      </c>
      <c r="BB105" s="799">
        <f>BA105*(1-IFERROR(IF(BB$69+$F105&lt;=12,SUMIFS('Attrition Modeling'!$D:$D,'Attrition Modeling'!$C:$C,'IP Attrition'!$D105,'Attrition Modeling'!$B:$B,'IP Attrition'!BB$68),VLOOKUP($F105+BB$2,$A$6:$C$106,2,FALSE)*VLOOKUP(BB$1,'Attrition Modeling'!$L$15:$N$27,IF(BB$2+$F38&lt;=24,2,3),FALSE)),$C$3)*(1+Projection!BD$16)*(1+IF(BB170&gt;0,'Attrition Modeling'!$N$9,0)))</f>
        <v>0</v>
      </c>
      <c r="BC105" s="799">
        <f>BB105*(1-IFERROR(IF(BC$69+$F105&lt;=12,SUMIFS('Attrition Modeling'!$D:$D,'Attrition Modeling'!$C:$C,'IP Attrition'!$D105,'Attrition Modeling'!$B:$B,'IP Attrition'!BC$68),VLOOKUP($F105+BC$2,$A$6:$C$106,2,FALSE)*VLOOKUP(BC$1,'Attrition Modeling'!$L$15:$N$27,IF(BC$2+$F38&lt;=24,2,3),FALSE)),$C$3)*(1+Projection!BE$16)*(1+IF(BC170&gt;0,'Attrition Modeling'!$N$9,0)))</f>
        <v>0</v>
      </c>
      <c r="BD105" s="799">
        <f>BC105*(1-IFERROR(IF(BD$69+$F105&lt;=12,SUMIFS('Attrition Modeling'!$D:$D,'Attrition Modeling'!$C:$C,'IP Attrition'!$D105,'Attrition Modeling'!$B:$B,'IP Attrition'!BD$68),VLOOKUP($F105+BD$2,$A$6:$C$106,2,FALSE)*VLOOKUP(BD$1,'Attrition Modeling'!$L$15:$N$27,IF(BD$2+$F38&lt;=24,2,3),FALSE)),$C$3)*(1+Projection!BF$16)*(1+IF(BD170&gt;0,'Attrition Modeling'!$N$9,0)))</f>
        <v>0</v>
      </c>
      <c r="BE105" s="799">
        <f>BD105*(1-IFERROR(IF(BE$69+$F105&lt;=12,SUMIFS('Attrition Modeling'!$D:$D,'Attrition Modeling'!$C:$C,'IP Attrition'!$D105,'Attrition Modeling'!$B:$B,'IP Attrition'!BE$68),VLOOKUP($F105+BE$2,$A$6:$C$106,2,FALSE)*VLOOKUP(BE$1,'Attrition Modeling'!$L$15:$N$27,IF(BE$2+$F38&lt;=24,2,3),FALSE)),$C$3)*(1+Projection!BG$16)*(1+IF(BE170&gt;0,'Attrition Modeling'!$N$9,0)))</f>
        <v>0</v>
      </c>
      <c r="BF105" s="799">
        <f>BE105*(1-IFERROR(IF(BF$69+$F105&lt;=12,SUMIFS('Attrition Modeling'!$D:$D,'Attrition Modeling'!$C:$C,'IP Attrition'!$D105,'Attrition Modeling'!$B:$B,'IP Attrition'!BF$68),VLOOKUP($F105+BF$2,$A$6:$C$106,2,FALSE)*VLOOKUP(BF$1,'Attrition Modeling'!$L$15:$N$27,IF(BF$2+$F38&lt;=24,2,3),FALSE)),$C$3)*(1+Projection!BH$16)*(1+IF(BF170&gt;0,'Attrition Modeling'!$N$9,0)))</f>
        <v>0</v>
      </c>
      <c r="BG105" s="799">
        <f>BF105*(1-IFERROR(IF(BG$69+$F105&lt;=12,SUMIFS('Attrition Modeling'!$D:$D,'Attrition Modeling'!$C:$C,'IP Attrition'!$D105,'Attrition Modeling'!$B:$B,'IP Attrition'!BG$68),VLOOKUP($F105+BG$2,$A$6:$C$106,2,FALSE)*VLOOKUP(BG$1,'Attrition Modeling'!$L$15:$N$27,IF(BG$2+$F38&lt;=24,2,3),FALSE)),$C$3)*(1+Projection!BI$16)*(1+IF(BG170&gt;0,'Attrition Modeling'!$N$9,0)))</f>
        <v>0</v>
      </c>
      <c r="BH105" s="799">
        <f>BG105*(1-IFERROR(IF(BH$69+$F105&lt;=12,SUMIFS('Attrition Modeling'!$D:$D,'Attrition Modeling'!$C:$C,'IP Attrition'!$D105,'Attrition Modeling'!$B:$B,'IP Attrition'!BH$68),VLOOKUP($F105+BH$2,$A$6:$C$106,2,FALSE)*VLOOKUP(BH$1,'Attrition Modeling'!$L$15:$N$27,IF(BH$2+$F38&lt;=24,2,3),FALSE)),$C$3)*(1+Projection!BJ$16)*(1+IF(BH170&gt;0,'Attrition Modeling'!$N$9,0)))</f>
        <v>0</v>
      </c>
      <c r="BI105" s="799">
        <f>BH105*(1-IFERROR(IF(BI$69+$F105&lt;=12,SUMIFS('Attrition Modeling'!$D:$D,'Attrition Modeling'!$C:$C,'IP Attrition'!$D105,'Attrition Modeling'!$B:$B,'IP Attrition'!BI$68),VLOOKUP($F105+BI$2,$A$6:$C$106,2,FALSE)*VLOOKUP(BI$1,'Attrition Modeling'!$L$15:$N$27,IF(BI$2+$F38&lt;=24,2,3),FALSE)),$C$3)*(1+Projection!BK$16)*(1+IF(BI170&gt;0,'Attrition Modeling'!$N$9,0)))</f>
        <v>0</v>
      </c>
      <c r="BJ105" s="799">
        <f>BI105*(1-IFERROR(IF(BJ$69+$F105&lt;=12,SUMIFS('Attrition Modeling'!$D:$D,'Attrition Modeling'!$C:$C,'IP Attrition'!$D105,'Attrition Modeling'!$B:$B,'IP Attrition'!BJ$68),VLOOKUP($F105+BJ$2,$A$6:$C$106,2,FALSE)*VLOOKUP(BJ$1,'Attrition Modeling'!$L$15:$N$27,IF(BJ$2+$F38&lt;=24,2,3),FALSE)),$C$3)*(1+Projection!BL$16)*(1+IF(BJ170&gt;0,'Attrition Modeling'!$N$9,0)))</f>
        <v>0</v>
      </c>
      <c r="BK105" s="799">
        <f>BJ105*(1-IFERROR(IF(BK$69+$F105&lt;=12,SUMIFS('Attrition Modeling'!$D:$D,'Attrition Modeling'!$C:$C,'IP Attrition'!$D105,'Attrition Modeling'!$B:$B,'IP Attrition'!BK$68),VLOOKUP($F105+BK$2,$A$6:$C$106,2,FALSE)*VLOOKUP(BK$1,'Attrition Modeling'!$L$15:$N$27,IF(BK$2+$F38&lt;=24,2,3),FALSE)),$C$3)*(1+Projection!BM$16)*(1+IF(BK170&gt;0,'Attrition Modeling'!$N$9,0)))</f>
        <v>0</v>
      </c>
      <c r="BL105" s="799">
        <f>BK105*(1-IFERROR(IF(BL$69+$F105&lt;=12,SUMIFS('Attrition Modeling'!$D:$D,'Attrition Modeling'!$C:$C,'IP Attrition'!$D105,'Attrition Modeling'!$B:$B,'IP Attrition'!BL$68),VLOOKUP($F105+BL$2,$A$6:$C$106,2,FALSE)*VLOOKUP(BL$1,'Attrition Modeling'!$L$15:$N$27,IF(BL$2+$F38&lt;=24,2,3),FALSE)),$C$3)*(1+Projection!BN$16)*(1+IF(BL170&gt;0,'Attrition Modeling'!$N$9,0)))</f>
        <v>0</v>
      </c>
      <c r="BM105" s="799">
        <f>BL105*(1-IFERROR(IF(BM$69+$F105&lt;=12,SUMIFS('Attrition Modeling'!$D:$D,'Attrition Modeling'!$C:$C,'IP Attrition'!$D105,'Attrition Modeling'!$B:$B,'IP Attrition'!BM$68),VLOOKUP($F105+BM$2,$A$6:$C$106,2,FALSE)*VLOOKUP(BM$1,'Attrition Modeling'!$L$15:$N$27,IF(BM$2+$F38&lt;=24,2,3),FALSE)),$C$3)*(1+Projection!BO$16)*(1+IF(BM170&gt;0,'Attrition Modeling'!$N$9,0)))</f>
        <v>0</v>
      </c>
      <c r="BN105" s="799">
        <f>BM105*(1-IFERROR(IF(BN$69+$F105&lt;=12,SUMIFS('Attrition Modeling'!$D:$D,'Attrition Modeling'!$C:$C,'IP Attrition'!$D105,'Attrition Modeling'!$B:$B,'IP Attrition'!BN$68),VLOOKUP($F105+BN$2,$A$6:$C$106,2,FALSE)*VLOOKUP(BN$1,'Attrition Modeling'!$L$15:$N$27,IF(BN$2+$F38&lt;=24,2,3),FALSE)),$C$3)*(1+Projection!BP$16)*(1+IF(BN170&gt;0,'Attrition Modeling'!$N$9,0)))</f>
        <v>0</v>
      </c>
      <c r="BO105" s="799">
        <f>BN105*(1-IFERROR(IF(BO$69+$F105&lt;=12,SUMIFS('Attrition Modeling'!$D:$D,'Attrition Modeling'!$C:$C,'IP Attrition'!$D105,'Attrition Modeling'!$B:$B,'IP Attrition'!BO$68),VLOOKUP($F105+BO$2,$A$6:$C$106,2,FALSE)*VLOOKUP(BO$1,'Attrition Modeling'!$L$15:$N$27,IF(BO$2+$F38&lt;=24,2,3),FALSE)),$C$3)*(1+Projection!BV$16)*(1+IF(BO170&gt;0,'Attrition Modeling'!$N$9,0)))</f>
        <v>0</v>
      </c>
      <c r="BP105" s="799">
        <f>BO105*(1-IFERROR(IF(BP$69+$F105&lt;=12,SUMIFS('Attrition Modeling'!$D:$D,'Attrition Modeling'!$C:$C,'IP Attrition'!$D105,'Attrition Modeling'!$B:$B,'IP Attrition'!BP$68),VLOOKUP($F105+BP$2,$A$6:$C$106,2,FALSE)*VLOOKUP(BP$1,'Attrition Modeling'!$L$15:$N$27,IF(BP$2+$F38&lt;=24,2,3),FALSE)),$C$3)*(1+Projection!BW$16)*(1+IF(BP170&gt;0,'Attrition Modeling'!$N$9,0)))</f>
        <v>0</v>
      </c>
      <c r="BQ105" s="799">
        <f>BP105*(1-IFERROR(IF(BQ$69+$F105&lt;=12,SUMIFS('Attrition Modeling'!$D:$D,'Attrition Modeling'!$C:$C,'IP Attrition'!$D105,'Attrition Modeling'!$B:$B,'IP Attrition'!BQ$68),VLOOKUP($F105+BQ$2,$A$6:$C$106,2,FALSE)*VLOOKUP(BQ$1,'Attrition Modeling'!$L$15:$N$27,IF(BQ$2+$F38&lt;=24,2,3),FALSE)),$C$3)*(1+Projection!BX$16)*(1+IF(BQ170&gt;0,'Attrition Modeling'!$N$9,0)))</f>
        <v>0</v>
      </c>
      <c r="BR105" s="799">
        <f>BQ105*(1-IFERROR(IF(BR$69+$F105&lt;=12,SUMIFS('Attrition Modeling'!$D:$D,'Attrition Modeling'!$C:$C,'IP Attrition'!$D105,'Attrition Modeling'!$B:$B,'IP Attrition'!BR$68),VLOOKUP($F105+BR$2,$A$6:$C$106,2,FALSE)*VLOOKUP(BR$1,'Attrition Modeling'!$L$15:$N$27,IF(BR$2+$F38&lt;=24,2,3),FALSE)),$C$3)*(1+Projection!BY$16)*(1+IF(BR170&gt;0,'Attrition Modeling'!$N$9,0)))</f>
        <v>0</v>
      </c>
      <c r="BS105" s="799">
        <f>BR105*(1-IFERROR(IF(BS$69+$F105&lt;=12,SUMIFS('Attrition Modeling'!$D:$D,'Attrition Modeling'!$C:$C,'IP Attrition'!$D105,'Attrition Modeling'!$B:$B,'IP Attrition'!BS$68),VLOOKUP($F105+BS$2,$A$6:$C$106,2,FALSE)*VLOOKUP(BS$1,'Attrition Modeling'!$L$15:$N$27,IF(BS$2+$F38&lt;=24,2,3),FALSE)),$C$3)*(1+Projection!BZ$16)*(1+IF(BS170&gt;0,'Attrition Modeling'!$N$9,0)))</f>
        <v>0</v>
      </c>
      <c r="BT105" s="799" t="e">
        <f>BS105*(1-IFERROR(IF(BT$69+$F105&lt;=12,SUMIFS('Attrition Modeling'!$D:$D,'Attrition Modeling'!$C:$C,'IP Attrition'!$D105,'Attrition Modeling'!$B:$B,'IP Attrition'!BT$68),VLOOKUP($F105+BT$2,$A$6:$C$106,2,FALSE)*VLOOKUP(BT$1,'Attrition Modeling'!$L$15:$N$27,IF(BT$2+$F38&lt;=24,2,3),FALSE)),$C$3)*(1+Projection!CA$16)*(1+IF(BT170&gt;0,'Attrition Modeling'!$N$9,0)))</f>
        <v>#REF!</v>
      </c>
      <c r="BU105" s="799" t="e">
        <f>BT105*(1-IFERROR(IF(BU$69+$F105&lt;=12,SUMIFS('Attrition Modeling'!$D:$D,'Attrition Modeling'!$C:$C,'IP Attrition'!$D105,'Attrition Modeling'!$B:$B,'IP Attrition'!BU$68),VLOOKUP($F105+BU$2,$A$6:$C$106,2,FALSE)*VLOOKUP(BU$1,'Attrition Modeling'!$L$15:$N$27,IF(BU$2+$F38&lt;=24,2,3),FALSE)),$C$3)*(1+Projection!CB$16)*(1+IF(BU170&gt;0,'Attrition Modeling'!$N$9,0)))</f>
        <v>#REF!</v>
      </c>
    </row>
    <row r="106" spans="1:73" ht="14.25" customHeight="1" x14ac:dyDescent="0.2">
      <c r="A106" s="9">
        <v>99</v>
      </c>
      <c r="B106" s="25">
        <f>MAX('Attrition Modeling'!H103,$C$3)*(1-Summary!$C$20)</f>
        <v>0.02</v>
      </c>
      <c r="C106" s="24" t="e">
        <f t="shared" si="3"/>
        <v>#DIV/0!</v>
      </c>
      <c r="D106" s="11">
        <f t="shared" ref="D106:E106" si="44">D39</f>
        <v>-36</v>
      </c>
      <c r="E106" s="25">
        <f t="shared" si="44"/>
        <v>0</v>
      </c>
      <c r="F106" s="11">
        <f t="shared" si="9"/>
        <v>36</v>
      </c>
      <c r="G106" s="799">
        <f>Summary!$C$24*$E106</f>
        <v>0</v>
      </c>
      <c r="H106" s="799">
        <f>G106*(1-IFERROR(IF(H$69+$F106&lt;=12,SUMIFS('Attrition Modeling'!$D:$D,'Attrition Modeling'!$C:$C,'IP Attrition'!$D106,'Attrition Modeling'!$B:$B,'IP Attrition'!H$68),VLOOKUP($F106+H$2,$A$6:$C$106,2,FALSE)*VLOOKUP(H$1,'Attrition Modeling'!$L$15:$N$27,IF(H$2+$F39&lt;=24,2,3),FALSE)),$C$3)*(1+Projection!J$16)*(1+IF(H171&gt;0,'Attrition Modeling'!$N$9,0)))</f>
        <v>0</v>
      </c>
      <c r="I106" s="799">
        <f>H106*(1-IFERROR(IF(I$69+$F106&lt;=12,SUMIFS('Attrition Modeling'!$D:$D,'Attrition Modeling'!$C:$C,'IP Attrition'!$D106,'Attrition Modeling'!$B:$B,'IP Attrition'!I$68),VLOOKUP($F106+I$2,$A$6:$C$106,2,FALSE)*VLOOKUP(I$1,'Attrition Modeling'!$L$15:$N$27,IF(I$2+$F39&lt;=24,2,3),FALSE)),$C$3)*(1+Projection!K$16)*(1+IF(I171&gt;0,'Attrition Modeling'!$N$9,0)))</f>
        <v>0</v>
      </c>
      <c r="J106" s="799">
        <f>I106*(1-IFERROR(IF(J$69+$F106&lt;=12,SUMIFS('Attrition Modeling'!$D:$D,'Attrition Modeling'!$C:$C,'IP Attrition'!$D106,'Attrition Modeling'!$B:$B,'IP Attrition'!J$68),VLOOKUP($F106+J$2,$A$6:$C$106,2,FALSE)*VLOOKUP(J$1,'Attrition Modeling'!$L$15:$N$27,IF(J$2+$F39&lt;=24,2,3),FALSE)),$C$3)*(1+Projection!L$16)*(1+IF(J171&gt;0,'Attrition Modeling'!$N$9,0)))</f>
        <v>0</v>
      </c>
      <c r="K106" s="799">
        <f>J106*(1-IFERROR(IF(K$69+$F106&lt;=12,SUMIFS('Attrition Modeling'!$D:$D,'Attrition Modeling'!$C:$C,'IP Attrition'!$D106,'Attrition Modeling'!$B:$B,'IP Attrition'!K$68),VLOOKUP($F106+K$2,$A$6:$C$106,2,FALSE)*VLOOKUP(K$1,'Attrition Modeling'!$L$15:$N$27,IF(K$2+$F39&lt;=24,2,3),FALSE)),$C$3)*(1+Projection!M$16)*(1+IF(K171&gt;0,'Attrition Modeling'!$N$9,0)))</f>
        <v>0</v>
      </c>
      <c r="L106" s="799">
        <f>K106*(1-IFERROR(IF(L$69+$F106&lt;=12,SUMIFS('Attrition Modeling'!$D:$D,'Attrition Modeling'!$C:$C,'IP Attrition'!$D106,'Attrition Modeling'!$B:$B,'IP Attrition'!L$68),VLOOKUP($F106+L$2,$A$6:$C$106,2,FALSE)*VLOOKUP(L$1,'Attrition Modeling'!$L$15:$N$27,IF(L$2+$F39&lt;=24,2,3),FALSE)),$C$3)*(1+Projection!N$16)*(1+IF(L171&gt;0,'Attrition Modeling'!$N$9,0)))</f>
        <v>0</v>
      </c>
      <c r="M106" s="799">
        <f>L106*(1-IFERROR(IF(M$69+$F106&lt;=12,SUMIFS('Attrition Modeling'!$D:$D,'Attrition Modeling'!$C:$C,'IP Attrition'!$D106,'Attrition Modeling'!$B:$B,'IP Attrition'!M$68),VLOOKUP($F106+M$2,$A$6:$C$106,2,FALSE)*VLOOKUP(M$1,'Attrition Modeling'!$L$15:$N$27,IF(M$2+$F39&lt;=24,2,3),FALSE)),$C$3)*(1+Projection!O$16)*(1+IF(M171&gt;0,'Attrition Modeling'!$N$9,0)))</f>
        <v>0</v>
      </c>
      <c r="N106" s="799">
        <f>M106*(1-IFERROR(IF(N$69+$F106&lt;=12,SUMIFS('Attrition Modeling'!$D:$D,'Attrition Modeling'!$C:$C,'IP Attrition'!$D106,'Attrition Modeling'!$B:$B,'IP Attrition'!N$68),VLOOKUP($F106+N$2,$A$6:$C$106,2,FALSE)*VLOOKUP(N$1,'Attrition Modeling'!$L$15:$N$27,IF(N$2+$F39&lt;=24,2,3),FALSE)),$C$3)*(1+Projection!P$16)*(1+IF(N171&gt;0,'Attrition Modeling'!$N$9,0)))</f>
        <v>0</v>
      </c>
      <c r="O106" s="799">
        <f>N106*(1-IFERROR(IF(O$69+$F106&lt;=12,SUMIFS('Attrition Modeling'!$D:$D,'Attrition Modeling'!$C:$C,'IP Attrition'!$D106,'Attrition Modeling'!$B:$B,'IP Attrition'!O$68),VLOOKUP($F106+O$2,$A$6:$C$106,2,FALSE)*VLOOKUP(O$1,'Attrition Modeling'!$L$15:$N$27,IF(O$2+$F39&lt;=24,2,3),FALSE)),$C$3)*(1+Projection!Q$16)*(1+IF(O171&gt;0,'Attrition Modeling'!$N$9,0)))</f>
        <v>0</v>
      </c>
      <c r="P106" s="799">
        <f>O106*(1-IFERROR(IF(P$69+$F106&lt;=12,SUMIFS('Attrition Modeling'!$D:$D,'Attrition Modeling'!$C:$C,'IP Attrition'!$D106,'Attrition Modeling'!$B:$B,'IP Attrition'!P$68),VLOOKUP($F106+P$2,$A$6:$C$106,2,FALSE)*VLOOKUP(P$1,'Attrition Modeling'!$L$15:$N$27,IF(P$2+$F39&lt;=24,2,3),FALSE)),$C$3)*(1+Projection!R$16)*(1+IF(P171&gt;0,'Attrition Modeling'!$N$9,0)))</f>
        <v>0</v>
      </c>
      <c r="Q106" s="799">
        <f>P106*(1-IFERROR(IF(Q$69+$F106&lt;=12,SUMIFS('Attrition Modeling'!$D:$D,'Attrition Modeling'!$C:$C,'IP Attrition'!$D106,'Attrition Modeling'!$B:$B,'IP Attrition'!Q$68),VLOOKUP($F106+Q$2,$A$6:$C$106,2,FALSE)*VLOOKUP(Q$1,'Attrition Modeling'!$L$15:$N$27,IF(Q$2+$F39&lt;=24,2,3),FALSE)),$C$3)*(1+Projection!S$16)*(1+IF(Q171&gt;0,'Attrition Modeling'!$N$9,0)))</f>
        <v>0</v>
      </c>
      <c r="R106" s="799">
        <f>Q106*(1-IFERROR(IF(R$69+$F106&lt;=12,SUMIFS('Attrition Modeling'!$D:$D,'Attrition Modeling'!$C:$C,'IP Attrition'!$D106,'Attrition Modeling'!$B:$B,'IP Attrition'!R$68),VLOOKUP($F106+R$2,$A$6:$C$106,2,FALSE)*VLOOKUP(R$1,'Attrition Modeling'!$L$15:$N$27,IF(R$2+$F39&lt;=24,2,3),FALSE)),$C$3)*(1+Projection!T$16)*(1+IF(R171&gt;0,'Attrition Modeling'!$N$9,0)))</f>
        <v>0</v>
      </c>
      <c r="S106" s="799">
        <f>R106*(1-IFERROR(IF(S$69+$F106&lt;=12,SUMIFS('Attrition Modeling'!$D:$D,'Attrition Modeling'!$C:$C,'IP Attrition'!$D106,'Attrition Modeling'!$B:$B,'IP Attrition'!S$68),VLOOKUP($F106+S$2,$A$6:$C$106,2,FALSE)*VLOOKUP(S$1,'Attrition Modeling'!$L$15:$N$27,IF(S$2+$F39&lt;=24,2,3),FALSE)),$C$3)*(1+Projection!U$16)*(1+IF(S171&gt;0,'Attrition Modeling'!$N$9,0)))</f>
        <v>0</v>
      </c>
      <c r="T106" s="799">
        <f>S106*(1-IFERROR(IF(T$69+$F106&lt;=12,SUMIFS('Attrition Modeling'!$D:$D,'Attrition Modeling'!$C:$C,'IP Attrition'!$D106,'Attrition Modeling'!$B:$B,'IP Attrition'!T$68),VLOOKUP($F106+T$2,$A$6:$C$106,2,FALSE)*VLOOKUP(T$1,'Attrition Modeling'!$L$15:$N$27,IF(T$2+$F39&lt;=24,2,3),FALSE)),$C$3)*(1+Projection!V$16)*(1+IF(T171&gt;0,'Attrition Modeling'!$N$9,0)))</f>
        <v>0</v>
      </c>
      <c r="U106" s="799">
        <f>T106*(1-IFERROR(IF(U$69+$F106&lt;=12,SUMIFS('Attrition Modeling'!$D:$D,'Attrition Modeling'!$C:$C,'IP Attrition'!$D106,'Attrition Modeling'!$B:$B,'IP Attrition'!U$68),VLOOKUP($F106+U$2,$A$6:$C$106,2,FALSE)*VLOOKUP(U$1,'Attrition Modeling'!$L$15:$N$27,IF(U$2+$F39&lt;=24,2,3),FALSE)),$C$3)*(1+Projection!W$16)*(1+IF(U171&gt;0,'Attrition Modeling'!$N$9,0)))</f>
        <v>0</v>
      </c>
      <c r="V106" s="799">
        <f>U106*(1-IFERROR(IF(V$69+$F106&lt;=12,SUMIFS('Attrition Modeling'!$D:$D,'Attrition Modeling'!$C:$C,'IP Attrition'!$D106,'Attrition Modeling'!$B:$B,'IP Attrition'!V$68),VLOOKUP($F106+V$2,$A$6:$C$106,2,FALSE)*VLOOKUP(V$1,'Attrition Modeling'!$L$15:$N$27,IF(V$2+$F39&lt;=24,2,3),FALSE)),$C$3)*(1+Projection!X$16)*(1+IF(V171&gt;0,'Attrition Modeling'!$N$9,0)))</f>
        <v>0</v>
      </c>
      <c r="W106" s="799">
        <f>V106*(1-IFERROR(IF(W$69+$F106&lt;=12,SUMIFS('Attrition Modeling'!$D:$D,'Attrition Modeling'!$C:$C,'IP Attrition'!$D106,'Attrition Modeling'!$B:$B,'IP Attrition'!W$68),VLOOKUP($F106+W$2,$A$6:$C$106,2,FALSE)*VLOOKUP(W$1,'Attrition Modeling'!$L$15:$N$27,IF(W$2+$F39&lt;=24,2,3),FALSE)),$C$3)*(1+Projection!Y$16)*(1+IF(W171&gt;0,'Attrition Modeling'!$N$9,0)))</f>
        <v>0</v>
      </c>
      <c r="X106" s="799">
        <f>W106*(1-IFERROR(IF(X$69+$F106&lt;=12,SUMIFS('Attrition Modeling'!$D:$D,'Attrition Modeling'!$C:$C,'IP Attrition'!$D106,'Attrition Modeling'!$B:$B,'IP Attrition'!X$68),VLOOKUP($F106+X$2,$A$6:$C$106,2,FALSE)*VLOOKUP(X$1,'Attrition Modeling'!$L$15:$N$27,IF(X$2+$F39&lt;=24,2,3),FALSE)),$C$3)*(1+Projection!Z$16)*(1+IF(X171&gt;0,'Attrition Modeling'!$N$9,0)))</f>
        <v>0</v>
      </c>
      <c r="Y106" s="799">
        <f>X106*(1-IFERROR(IF(Y$69+$F106&lt;=12,SUMIFS('Attrition Modeling'!$D:$D,'Attrition Modeling'!$C:$C,'IP Attrition'!$D106,'Attrition Modeling'!$B:$B,'IP Attrition'!Y$68),VLOOKUP($F106+Y$2,$A$6:$C$106,2,FALSE)*VLOOKUP(Y$1,'Attrition Modeling'!$L$15:$N$27,IF(Y$2+$F39&lt;=24,2,3),FALSE)),$C$3)*(1+Projection!AA$16)*(1+IF(Y171&gt;0,'Attrition Modeling'!$N$9,0)))</f>
        <v>0</v>
      </c>
      <c r="Z106" s="799">
        <f>Y106*(1-IFERROR(IF(Z$69+$F106&lt;=12,SUMIFS('Attrition Modeling'!$D:$D,'Attrition Modeling'!$C:$C,'IP Attrition'!$D106,'Attrition Modeling'!$B:$B,'IP Attrition'!Z$68),VLOOKUP($F106+Z$2,$A$6:$C$106,2,FALSE)*VLOOKUP(Z$1,'Attrition Modeling'!$L$15:$N$27,IF(Z$2+$F39&lt;=24,2,3),FALSE)),$C$3)*(1+Projection!AB$16)*(1+IF(Z171&gt;0,'Attrition Modeling'!$N$9,0)))</f>
        <v>0</v>
      </c>
      <c r="AA106" s="799">
        <f>Z106*(1-IFERROR(IF(AA$69+$F106&lt;=12,SUMIFS('Attrition Modeling'!$D:$D,'Attrition Modeling'!$C:$C,'IP Attrition'!$D106,'Attrition Modeling'!$B:$B,'IP Attrition'!AA$68),VLOOKUP($F106+AA$2,$A$6:$C$106,2,FALSE)*VLOOKUP(AA$1,'Attrition Modeling'!$L$15:$N$27,IF(AA$2+$F39&lt;=24,2,3),FALSE)),$C$3)*(1+Projection!AC$16)*(1+IF(AA171&gt;0,'Attrition Modeling'!$N$9,0)))</f>
        <v>0</v>
      </c>
      <c r="AB106" s="799">
        <f>AA106*(1-IFERROR(IF(AB$69+$F106&lt;=12,SUMIFS('Attrition Modeling'!$D:$D,'Attrition Modeling'!$C:$C,'IP Attrition'!$D106,'Attrition Modeling'!$B:$B,'IP Attrition'!AB$68),VLOOKUP($F106+AB$2,$A$6:$C$106,2,FALSE)*VLOOKUP(AB$1,'Attrition Modeling'!$L$15:$N$27,IF(AB$2+$F39&lt;=24,2,3),FALSE)),$C$3)*(1+Projection!AD$16)*(1+IF(AB171&gt;0,'Attrition Modeling'!$N$9,0)))</f>
        <v>0</v>
      </c>
      <c r="AC106" s="799">
        <f>AB106*(1-IFERROR(IF(AC$69+$F106&lt;=12,SUMIFS('Attrition Modeling'!$D:$D,'Attrition Modeling'!$C:$C,'IP Attrition'!$D106,'Attrition Modeling'!$B:$B,'IP Attrition'!AC$68),VLOOKUP($F106+AC$2,$A$6:$C$106,2,FALSE)*VLOOKUP(AC$1,'Attrition Modeling'!$L$15:$N$27,IF(AC$2+$F39&lt;=24,2,3),FALSE)),$C$3)*(1+Projection!AE$16)*(1+IF(AC171&gt;0,'Attrition Modeling'!$N$9,0)))</f>
        <v>0</v>
      </c>
      <c r="AD106" s="799">
        <f>AC106*(1-IFERROR(IF(AD$69+$F106&lt;=12,SUMIFS('Attrition Modeling'!$D:$D,'Attrition Modeling'!$C:$C,'IP Attrition'!$D106,'Attrition Modeling'!$B:$B,'IP Attrition'!AD$68),VLOOKUP($F106+AD$2,$A$6:$C$106,2,FALSE)*VLOOKUP(AD$1,'Attrition Modeling'!$L$15:$N$27,IF(AD$2+$F39&lt;=24,2,3),FALSE)),$C$3)*(1+Projection!AF$16)*(1+IF(AD171&gt;0,'Attrition Modeling'!$N$9,0)))</f>
        <v>0</v>
      </c>
      <c r="AE106" s="799">
        <f>AD106*(1-IFERROR(IF(AE$69+$F106&lt;=12,SUMIFS('Attrition Modeling'!$D:$D,'Attrition Modeling'!$C:$C,'IP Attrition'!$D106,'Attrition Modeling'!$B:$B,'IP Attrition'!AE$68),VLOOKUP($F106+AE$2,$A$6:$C$106,2,FALSE)*VLOOKUP(AE$1,'Attrition Modeling'!$L$15:$N$27,IF(AE$2+$F39&lt;=24,2,3),FALSE)),$C$3)*(1+Projection!AG$16)*(1+IF(AE171&gt;0,'Attrition Modeling'!$N$9,0)))</f>
        <v>0</v>
      </c>
      <c r="AF106" s="799">
        <f>AE106*(1-IFERROR(IF(AF$69+$F106&lt;=12,SUMIFS('Attrition Modeling'!$D:$D,'Attrition Modeling'!$C:$C,'IP Attrition'!$D106,'Attrition Modeling'!$B:$B,'IP Attrition'!AF$68),VLOOKUP($F106+AF$2,$A$6:$C$106,2,FALSE)*VLOOKUP(AF$1,'Attrition Modeling'!$L$15:$N$27,IF(AF$2+$F39&lt;=24,2,3),FALSE)),$C$3)*(1+Projection!AH$16)*(1+IF(AF171&gt;0,'Attrition Modeling'!$N$9,0)))</f>
        <v>0</v>
      </c>
      <c r="AG106" s="799">
        <f>AF106*(1-IFERROR(IF(AG$69+$F106&lt;=12,SUMIFS('Attrition Modeling'!$D:$D,'Attrition Modeling'!$C:$C,'IP Attrition'!$D106,'Attrition Modeling'!$B:$B,'IP Attrition'!AG$68),VLOOKUP($F106+AG$2,$A$6:$C$106,2,FALSE)*VLOOKUP(AG$1,'Attrition Modeling'!$L$15:$N$27,IF(AG$2+$F39&lt;=24,2,3),FALSE)),$C$3)*(1+Projection!AI$16)*(1+IF(AG171&gt;0,'Attrition Modeling'!$N$9,0)))</f>
        <v>0</v>
      </c>
      <c r="AH106" s="799">
        <f>AG106*(1-IFERROR(IF(AH$69+$F106&lt;=12,SUMIFS('Attrition Modeling'!$D:$D,'Attrition Modeling'!$C:$C,'IP Attrition'!$D106,'Attrition Modeling'!$B:$B,'IP Attrition'!AH$68),VLOOKUP($F106+AH$2,$A$6:$C$106,2,FALSE)*VLOOKUP(AH$1,'Attrition Modeling'!$L$15:$N$27,IF(AH$2+$F39&lt;=24,2,3),FALSE)),$C$3)*(1+Projection!AJ$16)*(1+IF(AH171&gt;0,'Attrition Modeling'!$N$9,0)))</f>
        <v>0</v>
      </c>
      <c r="AI106" s="799">
        <f>AH106*(1-IFERROR(IF(AI$69+$F106&lt;=12,SUMIFS('Attrition Modeling'!$D:$D,'Attrition Modeling'!$C:$C,'IP Attrition'!$D106,'Attrition Modeling'!$B:$B,'IP Attrition'!AI$68),VLOOKUP($F106+AI$2,$A$6:$C$106,2,FALSE)*VLOOKUP(AI$1,'Attrition Modeling'!$L$15:$N$27,IF(AI$2+$F39&lt;=24,2,3),FALSE)),$C$3)*(1+Projection!AK$16)*(1+IF(AI171&gt;0,'Attrition Modeling'!$N$9,0)))</f>
        <v>0</v>
      </c>
      <c r="AJ106" s="799">
        <f>AI106*(1-IFERROR(IF(AJ$69+$F106&lt;=12,SUMIFS('Attrition Modeling'!$D:$D,'Attrition Modeling'!$C:$C,'IP Attrition'!$D106,'Attrition Modeling'!$B:$B,'IP Attrition'!AJ$68),VLOOKUP($F106+AJ$2,$A$6:$C$106,2,FALSE)*VLOOKUP(AJ$1,'Attrition Modeling'!$L$15:$N$27,IF(AJ$2+$F39&lt;=24,2,3),FALSE)),$C$3)*(1+Projection!AL$16)*(1+IF(AJ171&gt;0,'Attrition Modeling'!$N$9,0)))</f>
        <v>0</v>
      </c>
      <c r="AK106" s="799">
        <f>AJ106*(1-IFERROR(IF(AK$69+$F106&lt;=12,SUMIFS('Attrition Modeling'!$D:$D,'Attrition Modeling'!$C:$C,'IP Attrition'!$D106,'Attrition Modeling'!$B:$B,'IP Attrition'!AK$68),VLOOKUP($F106+AK$2,$A$6:$C$106,2,FALSE)*VLOOKUP(AK$1,'Attrition Modeling'!$L$15:$N$27,IF(AK$2+$F39&lt;=24,2,3),FALSE)),$C$3)*(1+Projection!AM$16)*(1+IF(AK171&gt;0,'Attrition Modeling'!$N$9,0)))</f>
        <v>0</v>
      </c>
      <c r="AL106" s="799">
        <f>AK106*(1-IFERROR(IF(AL$69+$F106&lt;=12,SUMIFS('Attrition Modeling'!$D:$D,'Attrition Modeling'!$C:$C,'IP Attrition'!$D106,'Attrition Modeling'!$B:$B,'IP Attrition'!AL$68),VLOOKUP($F106+AL$2,$A$6:$C$106,2,FALSE)*VLOOKUP(AL$1,'Attrition Modeling'!$L$15:$N$27,IF(AL$2+$F39&lt;=24,2,3),FALSE)),$C$3)*(1+Projection!AN$16)*(1+IF(AL171&gt;0,'Attrition Modeling'!$N$9,0)))</f>
        <v>0</v>
      </c>
      <c r="AM106" s="799">
        <f>AL106*(1-IFERROR(IF(AM$69+$F106&lt;=12,SUMIFS('Attrition Modeling'!$D:$D,'Attrition Modeling'!$C:$C,'IP Attrition'!$D106,'Attrition Modeling'!$B:$B,'IP Attrition'!AM$68),VLOOKUP($F106+AM$2,$A$6:$C$106,2,FALSE)*VLOOKUP(AM$1,'Attrition Modeling'!$L$15:$N$27,IF(AM$2+$F39&lt;=24,2,3),FALSE)),$C$3)*(1+Projection!AO$16)*(1+IF(AM171&gt;0,'Attrition Modeling'!$N$9,0)))</f>
        <v>0</v>
      </c>
      <c r="AN106" s="799">
        <f>AM106*(1-IFERROR(IF(AN$69+$F106&lt;=12,SUMIFS('Attrition Modeling'!$D:$D,'Attrition Modeling'!$C:$C,'IP Attrition'!$D106,'Attrition Modeling'!$B:$B,'IP Attrition'!AN$68),VLOOKUP($F106+AN$2,$A$6:$C$106,2,FALSE)*VLOOKUP(AN$1,'Attrition Modeling'!$L$15:$N$27,IF(AN$2+$F39&lt;=24,2,3),FALSE)),$C$3)*(1+Projection!AP$16)*(1+IF(AN171&gt;0,'Attrition Modeling'!$N$9,0)))</f>
        <v>0</v>
      </c>
      <c r="AO106" s="799">
        <f>AN106*(1-IFERROR(IF(AO$69+$F106&lt;=12,SUMIFS('Attrition Modeling'!$D:$D,'Attrition Modeling'!$C:$C,'IP Attrition'!$D106,'Attrition Modeling'!$B:$B,'IP Attrition'!AO$68),VLOOKUP($F106+AO$2,$A$6:$C$106,2,FALSE)*VLOOKUP(AO$1,'Attrition Modeling'!$L$15:$N$27,IF(AO$2+$F39&lt;=24,2,3),FALSE)),$C$3)*(1+Projection!AQ$16)*(1+IF(AO171&gt;0,'Attrition Modeling'!$N$9,0)))</f>
        <v>0</v>
      </c>
      <c r="AP106" s="799">
        <f>AO106*(1-IFERROR(IF(AP$69+$F106&lt;=12,SUMIFS('Attrition Modeling'!$D:$D,'Attrition Modeling'!$C:$C,'IP Attrition'!$D106,'Attrition Modeling'!$B:$B,'IP Attrition'!AP$68),VLOOKUP($F106+AP$2,$A$6:$C$106,2,FALSE)*VLOOKUP(AP$1,'Attrition Modeling'!$L$15:$N$27,IF(AP$2+$F39&lt;=24,2,3),FALSE)),$C$3)*(1+Projection!AR$16)*(1+IF(AP171&gt;0,'Attrition Modeling'!$N$9,0)))</f>
        <v>0</v>
      </c>
      <c r="AQ106" s="799">
        <f>AP106*(1-IFERROR(IF(AQ$69+$F106&lt;=12,SUMIFS('Attrition Modeling'!$D:$D,'Attrition Modeling'!$C:$C,'IP Attrition'!$D106,'Attrition Modeling'!$B:$B,'IP Attrition'!AQ$68),VLOOKUP($F106+AQ$2,$A$6:$C$106,2,FALSE)*VLOOKUP(AQ$1,'Attrition Modeling'!$L$15:$N$27,IF(AQ$2+$F39&lt;=24,2,3),FALSE)),$C$3)*(1+Projection!AS$16)*(1+IF(AQ171&gt;0,'Attrition Modeling'!$N$9,0)))</f>
        <v>0</v>
      </c>
      <c r="AR106" s="799">
        <f>AQ106*(1-IFERROR(IF(AR$69+$F106&lt;=12,SUMIFS('Attrition Modeling'!$D:$D,'Attrition Modeling'!$C:$C,'IP Attrition'!$D106,'Attrition Modeling'!$B:$B,'IP Attrition'!AR$68),VLOOKUP($F106+AR$2,$A$6:$C$106,2,FALSE)*VLOOKUP(AR$1,'Attrition Modeling'!$L$15:$N$27,IF(AR$2+$F39&lt;=24,2,3),FALSE)),$C$3)*(1+Projection!AT$16)*(1+IF(AR171&gt;0,'Attrition Modeling'!$N$9,0)))</f>
        <v>0</v>
      </c>
      <c r="AS106" s="799">
        <f>AR106*(1-IFERROR(IF(AS$69+$F106&lt;=12,SUMIFS('Attrition Modeling'!$D:$D,'Attrition Modeling'!$C:$C,'IP Attrition'!$D106,'Attrition Modeling'!$B:$B,'IP Attrition'!AS$68),VLOOKUP($F106+AS$2,$A$6:$C$106,2,FALSE)*VLOOKUP(AS$1,'Attrition Modeling'!$L$15:$N$27,IF(AS$2+$F39&lt;=24,2,3),FALSE)),$C$3)*(1+Projection!AU$16)*(1+IF(AS171&gt;0,'Attrition Modeling'!$N$9,0)))</f>
        <v>0</v>
      </c>
      <c r="AT106" s="799">
        <f>AS106*(1-IFERROR(IF(AT$69+$F106&lt;=12,SUMIFS('Attrition Modeling'!$D:$D,'Attrition Modeling'!$C:$C,'IP Attrition'!$D106,'Attrition Modeling'!$B:$B,'IP Attrition'!AT$68),VLOOKUP($F106+AT$2,$A$6:$C$106,2,FALSE)*VLOOKUP(AT$1,'Attrition Modeling'!$L$15:$N$27,IF(AT$2+$F39&lt;=24,2,3),FALSE)),$C$3)*(1+Projection!AV$16)*(1+IF(AT171&gt;0,'Attrition Modeling'!$N$9,0)))</f>
        <v>0</v>
      </c>
      <c r="AU106" s="799">
        <f>AT106*(1-IFERROR(IF(AU$69+$F106&lt;=12,SUMIFS('Attrition Modeling'!$D:$D,'Attrition Modeling'!$C:$C,'IP Attrition'!$D106,'Attrition Modeling'!$B:$B,'IP Attrition'!AU$68),VLOOKUP($F106+AU$2,$A$6:$C$106,2,FALSE)*VLOOKUP(AU$1,'Attrition Modeling'!$L$15:$N$27,IF(AU$2+$F39&lt;=24,2,3),FALSE)),$C$3)*(1+Projection!AW$16)*(1+IF(AU171&gt;0,'Attrition Modeling'!$N$9,0)))</f>
        <v>0</v>
      </c>
      <c r="AV106" s="799">
        <f>AU106*(1-IFERROR(IF(AV$69+$F106&lt;=12,SUMIFS('Attrition Modeling'!$D:$D,'Attrition Modeling'!$C:$C,'IP Attrition'!$D106,'Attrition Modeling'!$B:$B,'IP Attrition'!AV$68),VLOOKUP($F106+AV$2,$A$6:$C$106,2,FALSE)*VLOOKUP(AV$1,'Attrition Modeling'!$L$15:$N$27,IF(AV$2+$F39&lt;=24,2,3),FALSE)),$C$3)*(1+Projection!AX$16)*(1+IF(AV171&gt;0,'Attrition Modeling'!$N$9,0)))</f>
        <v>0</v>
      </c>
      <c r="AW106" s="799">
        <f>AV106*(1-IFERROR(IF(AW$69+$F106&lt;=12,SUMIFS('Attrition Modeling'!$D:$D,'Attrition Modeling'!$C:$C,'IP Attrition'!$D106,'Attrition Modeling'!$B:$B,'IP Attrition'!AW$68),VLOOKUP($F106+AW$2,$A$6:$C$106,2,FALSE)*VLOOKUP(AW$1,'Attrition Modeling'!$L$15:$N$27,IF(AW$2+$F39&lt;=24,2,3),FALSE)),$C$3)*(1+Projection!AY$16)*(1+IF(AW171&gt;0,'Attrition Modeling'!$N$9,0)))</f>
        <v>0</v>
      </c>
      <c r="AX106" s="799">
        <f>AW106*(1-IFERROR(IF(AX$69+$F106&lt;=12,SUMIFS('Attrition Modeling'!$D:$D,'Attrition Modeling'!$C:$C,'IP Attrition'!$D106,'Attrition Modeling'!$B:$B,'IP Attrition'!AX$68),VLOOKUP($F106+AX$2,$A$6:$C$106,2,FALSE)*VLOOKUP(AX$1,'Attrition Modeling'!$L$15:$N$27,IF(AX$2+$F39&lt;=24,2,3),FALSE)),$C$3)*(1+Projection!AZ$16)*(1+IF(AX171&gt;0,'Attrition Modeling'!$N$9,0)))</f>
        <v>0</v>
      </c>
      <c r="AY106" s="799">
        <f>AX106*(1-IFERROR(IF(AY$69+$F106&lt;=12,SUMIFS('Attrition Modeling'!$D:$D,'Attrition Modeling'!$C:$C,'IP Attrition'!$D106,'Attrition Modeling'!$B:$B,'IP Attrition'!AY$68),VLOOKUP($F106+AY$2,$A$6:$C$106,2,FALSE)*VLOOKUP(AY$1,'Attrition Modeling'!$L$15:$N$27,IF(AY$2+$F39&lt;=24,2,3),FALSE)),$C$3)*(1+Projection!BA$16)*(1+IF(AY171&gt;0,'Attrition Modeling'!$N$9,0)))</f>
        <v>0</v>
      </c>
      <c r="AZ106" s="799">
        <f>AY106*(1-IFERROR(IF(AZ$69+$F106&lt;=12,SUMIFS('Attrition Modeling'!$D:$D,'Attrition Modeling'!$C:$C,'IP Attrition'!$D106,'Attrition Modeling'!$B:$B,'IP Attrition'!AZ$68),VLOOKUP($F106+AZ$2,$A$6:$C$106,2,FALSE)*VLOOKUP(AZ$1,'Attrition Modeling'!$L$15:$N$27,IF(AZ$2+$F39&lt;=24,2,3),FALSE)),$C$3)*(1+Projection!BB$16)*(1+IF(AZ171&gt;0,'Attrition Modeling'!$N$9,0)))</f>
        <v>0</v>
      </c>
      <c r="BA106" s="799">
        <f>AZ106*(1-IFERROR(IF(BA$69+$F106&lt;=12,SUMIFS('Attrition Modeling'!$D:$D,'Attrition Modeling'!$C:$C,'IP Attrition'!$D106,'Attrition Modeling'!$B:$B,'IP Attrition'!BA$68),VLOOKUP($F106+BA$2,$A$6:$C$106,2,FALSE)*VLOOKUP(BA$1,'Attrition Modeling'!$L$15:$N$27,IF(BA$2+$F39&lt;=24,2,3),FALSE)),$C$3)*(1+Projection!BC$16)*(1+IF(BA171&gt;0,'Attrition Modeling'!$N$9,0)))</f>
        <v>0</v>
      </c>
      <c r="BB106" s="799">
        <f>BA106*(1-IFERROR(IF(BB$69+$F106&lt;=12,SUMIFS('Attrition Modeling'!$D:$D,'Attrition Modeling'!$C:$C,'IP Attrition'!$D106,'Attrition Modeling'!$B:$B,'IP Attrition'!BB$68),VLOOKUP($F106+BB$2,$A$6:$C$106,2,FALSE)*VLOOKUP(BB$1,'Attrition Modeling'!$L$15:$N$27,IF(BB$2+$F39&lt;=24,2,3),FALSE)),$C$3)*(1+Projection!BD$16)*(1+IF(BB171&gt;0,'Attrition Modeling'!$N$9,0)))</f>
        <v>0</v>
      </c>
      <c r="BC106" s="799">
        <f>BB106*(1-IFERROR(IF(BC$69+$F106&lt;=12,SUMIFS('Attrition Modeling'!$D:$D,'Attrition Modeling'!$C:$C,'IP Attrition'!$D106,'Attrition Modeling'!$B:$B,'IP Attrition'!BC$68),VLOOKUP($F106+BC$2,$A$6:$C$106,2,FALSE)*VLOOKUP(BC$1,'Attrition Modeling'!$L$15:$N$27,IF(BC$2+$F39&lt;=24,2,3),FALSE)),$C$3)*(1+Projection!BE$16)*(1+IF(BC171&gt;0,'Attrition Modeling'!$N$9,0)))</f>
        <v>0</v>
      </c>
      <c r="BD106" s="799">
        <f>BC106*(1-IFERROR(IF(BD$69+$F106&lt;=12,SUMIFS('Attrition Modeling'!$D:$D,'Attrition Modeling'!$C:$C,'IP Attrition'!$D106,'Attrition Modeling'!$B:$B,'IP Attrition'!BD$68),VLOOKUP($F106+BD$2,$A$6:$C$106,2,FALSE)*VLOOKUP(BD$1,'Attrition Modeling'!$L$15:$N$27,IF(BD$2+$F39&lt;=24,2,3),FALSE)),$C$3)*(1+Projection!BF$16)*(1+IF(BD171&gt;0,'Attrition Modeling'!$N$9,0)))</f>
        <v>0</v>
      </c>
      <c r="BE106" s="799">
        <f>BD106*(1-IFERROR(IF(BE$69+$F106&lt;=12,SUMIFS('Attrition Modeling'!$D:$D,'Attrition Modeling'!$C:$C,'IP Attrition'!$D106,'Attrition Modeling'!$B:$B,'IP Attrition'!BE$68),VLOOKUP($F106+BE$2,$A$6:$C$106,2,FALSE)*VLOOKUP(BE$1,'Attrition Modeling'!$L$15:$N$27,IF(BE$2+$F39&lt;=24,2,3),FALSE)),$C$3)*(1+Projection!BG$16)*(1+IF(BE171&gt;0,'Attrition Modeling'!$N$9,0)))</f>
        <v>0</v>
      </c>
      <c r="BF106" s="799">
        <f>BE106*(1-IFERROR(IF(BF$69+$F106&lt;=12,SUMIFS('Attrition Modeling'!$D:$D,'Attrition Modeling'!$C:$C,'IP Attrition'!$D106,'Attrition Modeling'!$B:$B,'IP Attrition'!BF$68),VLOOKUP($F106+BF$2,$A$6:$C$106,2,FALSE)*VLOOKUP(BF$1,'Attrition Modeling'!$L$15:$N$27,IF(BF$2+$F39&lt;=24,2,3),FALSE)),$C$3)*(1+Projection!BH$16)*(1+IF(BF171&gt;0,'Attrition Modeling'!$N$9,0)))</f>
        <v>0</v>
      </c>
      <c r="BG106" s="799">
        <f>BF106*(1-IFERROR(IF(BG$69+$F106&lt;=12,SUMIFS('Attrition Modeling'!$D:$D,'Attrition Modeling'!$C:$C,'IP Attrition'!$D106,'Attrition Modeling'!$B:$B,'IP Attrition'!BG$68),VLOOKUP($F106+BG$2,$A$6:$C$106,2,FALSE)*VLOOKUP(BG$1,'Attrition Modeling'!$L$15:$N$27,IF(BG$2+$F39&lt;=24,2,3),FALSE)),$C$3)*(1+Projection!BI$16)*(1+IF(BG171&gt;0,'Attrition Modeling'!$N$9,0)))</f>
        <v>0</v>
      </c>
      <c r="BH106" s="799">
        <f>BG106*(1-IFERROR(IF(BH$69+$F106&lt;=12,SUMIFS('Attrition Modeling'!$D:$D,'Attrition Modeling'!$C:$C,'IP Attrition'!$D106,'Attrition Modeling'!$B:$B,'IP Attrition'!BH$68),VLOOKUP($F106+BH$2,$A$6:$C$106,2,FALSE)*VLOOKUP(BH$1,'Attrition Modeling'!$L$15:$N$27,IF(BH$2+$F39&lt;=24,2,3),FALSE)),$C$3)*(1+Projection!BJ$16)*(1+IF(BH171&gt;0,'Attrition Modeling'!$N$9,0)))</f>
        <v>0</v>
      </c>
      <c r="BI106" s="799">
        <f>BH106*(1-IFERROR(IF(BI$69+$F106&lt;=12,SUMIFS('Attrition Modeling'!$D:$D,'Attrition Modeling'!$C:$C,'IP Attrition'!$D106,'Attrition Modeling'!$B:$B,'IP Attrition'!BI$68),VLOOKUP($F106+BI$2,$A$6:$C$106,2,FALSE)*VLOOKUP(BI$1,'Attrition Modeling'!$L$15:$N$27,IF(BI$2+$F39&lt;=24,2,3),FALSE)),$C$3)*(1+Projection!BK$16)*(1+IF(BI171&gt;0,'Attrition Modeling'!$N$9,0)))</f>
        <v>0</v>
      </c>
      <c r="BJ106" s="799">
        <f>BI106*(1-IFERROR(IF(BJ$69+$F106&lt;=12,SUMIFS('Attrition Modeling'!$D:$D,'Attrition Modeling'!$C:$C,'IP Attrition'!$D106,'Attrition Modeling'!$B:$B,'IP Attrition'!BJ$68),VLOOKUP($F106+BJ$2,$A$6:$C$106,2,FALSE)*VLOOKUP(BJ$1,'Attrition Modeling'!$L$15:$N$27,IF(BJ$2+$F39&lt;=24,2,3),FALSE)),$C$3)*(1+Projection!BL$16)*(1+IF(BJ171&gt;0,'Attrition Modeling'!$N$9,0)))</f>
        <v>0</v>
      </c>
      <c r="BK106" s="799">
        <f>BJ106*(1-IFERROR(IF(BK$69+$F106&lt;=12,SUMIFS('Attrition Modeling'!$D:$D,'Attrition Modeling'!$C:$C,'IP Attrition'!$D106,'Attrition Modeling'!$B:$B,'IP Attrition'!BK$68),VLOOKUP($F106+BK$2,$A$6:$C$106,2,FALSE)*VLOOKUP(BK$1,'Attrition Modeling'!$L$15:$N$27,IF(BK$2+$F39&lt;=24,2,3),FALSE)),$C$3)*(1+Projection!BM$16)*(1+IF(BK171&gt;0,'Attrition Modeling'!$N$9,0)))</f>
        <v>0</v>
      </c>
      <c r="BL106" s="799">
        <f>BK106*(1-IFERROR(IF(BL$69+$F106&lt;=12,SUMIFS('Attrition Modeling'!$D:$D,'Attrition Modeling'!$C:$C,'IP Attrition'!$D106,'Attrition Modeling'!$B:$B,'IP Attrition'!BL$68),VLOOKUP($F106+BL$2,$A$6:$C$106,2,FALSE)*VLOOKUP(BL$1,'Attrition Modeling'!$L$15:$N$27,IF(BL$2+$F39&lt;=24,2,3),FALSE)),$C$3)*(1+Projection!BN$16)*(1+IF(BL171&gt;0,'Attrition Modeling'!$N$9,0)))</f>
        <v>0</v>
      </c>
      <c r="BM106" s="799">
        <f>BL106*(1-IFERROR(IF(BM$69+$F106&lt;=12,SUMIFS('Attrition Modeling'!$D:$D,'Attrition Modeling'!$C:$C,'IP Attrition'!$D106,'Attrition Modeling'!$B:$B,'IP Attrition'!BM$68),VLOOKUP($F106+BM$2,$A$6:$C$106,2,FALSE)*VLOOKUP(BM$1,'Attrition Modeling'!$L$15:$N$27,IF(BM$2+$F39&lt;=24,2,3),FALSE)),$C$3)*(1+Projection!BO$16)*(1+IF(BM171&gt;0,'Attrition Modeling'!$N$9,0)))</f>
        <v>0</v>
      </c>
      <c r="BN106" s="799">
        <f>BM106*(1-IFERROR(IF(BN$69+$F106&lt;=12,SUMIFS('Attrition Modeling'!$D:$D,'Attrition Modeling'!$C:$C,'IP Attrition'!$D106,'Attrition Modeling'!$B:$B,'IP Attrition'!BN$68),VLOOKUP($F106+BN$2,$A$6:$C$106,2,FALSE)*VLOOKUP(BN$1,'Attrition Modeling'!$L$15:$N$27,IF(BN$2+$F39&lt;=24,2,3),FALSE)),$C$3)*(1+Projection!BP$16)*(1+IF(BN171&gt;0,'Attrition Modeling'!$N$9,0)))</f>
        <v>0</v>
      </c>
      <c r="BO106" s="799">
        <f>BN106*(1-IFERROR(IF(BO$69+$F106&lt;=12,SUMIFS('Attrition Modeling'!$D:$D,'Attrition Modeling'!$C:$C,'IP Attrition'!$D106,'Attrition Modeling'!$B:$B,'IP Attrition'!BO$68),VLOOKUP($F106+BO$2,$A$6:$C$106,2,FALSE)*VLOOKUP(BO$1,'Attrition Modeling'!$L$15:$N$27,IF(BO$2+$F39&lt;=24,2,3),FALSE)),$C$3)*(1+Projection!BV$16)*(1+IF(BO171&gt;0,'Attrition Modeling'!$N$9,0)))</f>
        <v>0</v>
      </c>
      <c r="BP106" s="799">
        <f>BO106*(1-IFERROR(IF(BP$69+$F106&lt;=12,SUMIFS('Attrition Modeling'!$D:$D,'Attrition Modeling'!$C:$C,'IP Attrition'!$D106,'Attrition Modeling'!$B:$B,'IP Attrition'!BP$68),VLOOKUP($F106+BP$2,$A$6:$C$106,2,FALSE)*VLOOKUP(BP$1,'Attrition Modeling'!$L$15:$N$27,IF(BP$2+$F39&lt;=24,2,3),FALSE)),$C$3)*(1+Projection!BW$16)*(1+IF(BP171&gt;0,'Attrition Modeling'!$N$9,0)))</f>
        <v>0</v>
      </c>
      <c r="BQ106" s="799">
        <f>BP106*(1-IFERROR(IF(BQ$69+$F106&lt;=12,SUMIFS('Attrition Modeling'!$D:$D,'Attrition Modeling'!$C:$C,'IP Attrition'!$D106,'Attrition Modeling'!$B:$B,'IP Attrition'!BQ$68),VLOOKUP($F106+BQ$2,$A$6:$C$106,2,FALSE)*VLOOKUP(BQ$1,'Attrition Modeling'!$L$15:$N$27,IF(BQ$2+$F39&lt;=24,2,3),FALSE)),$C$3)*(1+Projection!BX$16)*(1+IF(BQ171&gt;0,'Attrition Modeling'!$N$9,0)))</f>
        <v>0</v>
      </c>
      <c r="BR106" s="799">
        <f>BQ106*(1-IFERROR(IF(BR$69+$F106&lt;=12,SUMIFS('Attrition Modeling'!$D:$D,'Attrition Modeling'!$C:$C,'IP Attrition'!$D106,'Attrition Modeling'!$B:$B,'IP Attrition'!BR$68),VLOOKUP($F106+BR$2,$A$6:$C$106,2,FALSE)*VLOOKUP(BR$1,'Attrition Modeling'!$L$15:$N$27,IF(BR$2+$F39&lt;=24,2,3),FALSE)),$C$3)*(1+Projection!BY$16)*(1+IF(BR171&gt;0,'Attrition Modeling'!$N$9,0)))</f>
        <v>0</v>
      </c>
      <c r="BS106" s="799">
        <f>BR106*(1-IFERROR(IF(BS$69+$F106&lt;=12,SUMIFS('Attrition Modeling'!$D:$D,'Attrition Modeling'!$C:$C,'IP Attrition'!$D106,'Attrition Modeling'!$B:$B,'IP Attrition'!BS$68),VLOOKUP($F106+BS$2,$A$6:$C$106,2,FALSE)*VLOOKUP(BS$1,'Attrition Modeling'!$L$15:$N$27,IF(BS$2+$F39&lt;=24,2,3),FALSE)),$C$3)*(1+Projection!BZ$16)*(1+IF(BS171&gt;0,'Attrition Modeling'!$N$9,0)))</f>
        <v>0</v>
      </c>
      <c r="BT106" s="799" t="e">
        <f>BS106*(1-IFERROR(IF(BT$69+$F106&lt;=12,SUMIFS('Attrition Modeling'!$D:$D,'Attrition Modeling'!$C:$C,'IP Attrition'!$D106,'Attrition Modeling'!$B:$B,'IP Attrition'!BT$68),VLOOKUP($F106+BT$2,$A$6:$C$106,2,FALSE)*VLOOKUP(BT$1,'Attrition Modeling'!$L$15:$N$27,IF(BT$2+$F39&lt;=24,2,3),FALSE)),$C$3)*(1+Projection!CA$16)*(1+IF(BT171&gt;0,'Attrition Modeling'!$N$9,0)))</f>
        <v>#REF!</v>
      </c>
      <c r="BU106" s="799" t="e">
        <f>BT106*(1-IFERROR(IF(BU$69+$F106&lt;=12,SUMIFS('Attrition Modeling'!$D:$D,'Attrition Modeling'!$C:$C,'IP Attrition'!$D106,'Attrition Modeling'!$B:$B,'IP Attrition'!BU$68),VLOOKUP($F106+BU$2,$A$6:$C$106,2,FALSE)*VLOOKUP(BU$1,'Attrition Modeling'!$L$15:$N$27,IF(BU$2+$F39&lt;=24,2,3),FALSE)),$C$3)*(1+Projection!CB$16)*(1+IF(BU171&gt;0,'Attrition Modeling'!$N$9,0)))</f>
        <v>#REF!</v>
      </c>
    </row>
    <row r="107" spans="1:73" ht="14.25" customHeight="1" x14ac:dyDescent="0.2">
      <c r="A107" s="9">
        <v>100</v>
      </c>
      <c r="B107" s="25">
        <f>MAX('Attrition Modeling'!H104,$C$3)*(1-Summary!$C$20)</f>
        <v>0.02</v>
      </c>
      <c r="C107" s="24" t="e">
        <f t="shared" si="3"/>
        <v>#DIV/0!</v>
      </c>
      <c r="D107" s="11">
        <f t="shared" ref="D107:E107" si="45">D40</f>
        <v>-37</v>
      </c>
      <c r="E107" s="25">
        <f t="shared" si="45"/>
        <v>0</v>
      </c>
      <c r="F107" s="11">
        <f t="shared" si="9"/>
        <v>37</v>
      </c>
      <c r="G107" s="799">
        <f>Summary!$C$24*$E107</f>
        <v>0</v>
      </c>
      <c r="H107" s="799">
        <f>G107*(1-IFERROR(IF(H$69+$F107&lt;=12,SUMIFS('Attrition Modeling'!$D:$D,'Attrition Modeling'!$C:$C,'IP Attrition'!$D107,'Attrition Modeling'!$B:$B,'IP Attrition'!H$68),VLOOKUP($F107+H$2,$A$6:$C$106,2,FALSE)*VLOOKUP(H$1,'Attrition Modeling'!$L$15:$N$27,IF(H$2+$F40&lt;=24,2,3),FALSE)),$C$3)*(1+Projection!J$16)*(1+IF(H172&gt;0,'Attrition Modeling'!$N$9,0)))</f>
        <v>0</v>
      </c>
      <c r="I107" s="799">
        <f>H107*(1-IFERROR(IF(I$69+$F107&lt;=12,SUMIFS('Attrition Modeling'!$D:$D,'Attrition Modeling'!$C:$C,'IP Attrition'!$D107,'Attrition Modeling'!$B:$B,'IP Attrition'!I$68),VLOOKUP($F107+I$2,$A$6:$C$106,2,FALSE)*VLOOKUP(I$1,'Attrition Modeling'!$L$15:$N$27,IF(I$2+$F40&lt;=24,2,3),FALSE)),$C$3)*(1+Projection!K$16)*(1+IF(I172&gt;0,'Attrition Modeling'!$N$9,0)))</f>
        <v>0</v>
      </c>
      <c r="J107" s="799">
        <f>I107*(1-IFERROR(IF(J$69+$F107&lt;=12,SUMIFS('Attrition Modeling'!$D:$D,'Attrition Modeling'!$C:$C,'IP Attrition'!$D107,'Attrition Modeling'!$B:$B,'IP Attrition'!J$68),VLOOKUP($F107+J$2,$A$6:$C$106,2,FALSE)*VLOOKUP(J$1,'Attrition Modeling'!$L$15:$N$27,IF(J$2+$F40&lt;=24,2,3),FALSE)),$C$3)*(1+Projection!L$16)*(1+IF(J172&gt;0,'Attrition Modeling'!$N$9,0)))</f>
        <v>0</v>
      </c>
      <c r="K107" s="799">
        <f>J107*(1-IFERROR(IF(K$69+$F107&lt;=12,SUMIFS('Attrition Modeling'!$D:$D,'Attrition Modeling'!$C:$C,'IP Attrition'!$D107,'Attrition Modeling'!$B:$B,'IP Attrition'!K$68),VLOOKUP($F107+K$2,$A$6:$C$106,2,FALSE)*VLOOKUP(K$1,'Attrition Modeling'!$L$15:$N$27,IF(K$2+$F40&lt;=24,2,3),FALSE)),$C$3)*(1+Projection!M$16)*(1+IF(K172&gt;0,'Attrition Modeling'!$N$9,0)))</f>
        <v>0</v>
      </c>
      <c r="L107" s="799">
        <f>K107*(1-IFERROR(IF(L$69+$F107&lt;=12,SUMIFS('Attrition Modeling'!$D:$D,'Attrition Modeling'!$C:$C,'IP Attrition'!$D107,'Attrition Modeling'!$B:$B,'IP Attrition'!L$68),VLOOKUP($F107+L$2,$A$6:$C$106,2,FALSE)*VLOOKUP(L$1,'Attrition Modeling'!$L$15:$N$27,IF(L$2+$F40&lt;=24,2,3),FALSE)),$C$3)*(1+Projection!N$16)*(1+IF(L172&gt;0,'Attrition Modeling'!$N$9,0)))</f>
        <v>0</v>
      </c>
      <c r="M107" s="799">
        <f>L107*(1-IFERROR(IF(M$69+$F107&lt;=12,SUMIFS('Attrition Modeling'!$D:$D,'Attrition Modeling'!$C:$C,'IP Attrition'!$D107,'Attrition Modeling'!$B:$B,'IP Attrition'!M$68),VLOOKUP($F107+M$2,$A$6:$C$106,2,FALSE)*VLOOKUP(M$1,'Attrition Modeling'!$L$15:$N$27,IF(M$2+$F40&lt;=24,2,3),FALSE)),$C$3)*(1+Projection!O$16)*(1+IF(M172&gt;0,'Attrition Modeling'!$N$9,0)))</f>
        <v>0</v>
      </c>
      <c r="N107" s="799">
        <f>M107*(1-IFERROR(IF(N$69+$F107&lt;=12,SUMIFS('Attrition Modeling'!$D:$D,'Attrition Modeling'!$C:$C,'IP Attrition'!$D107,'Attrition Modeling'!$B:$B,'IP Attrition'!N$68),VLOOKUP($F107+N$2,$A$6:$C$106,2,FALSE)*VLOOKUP(N$1,'Attrition Modeling'!$L$15:$N$27,IF(N$2+$F40&lt;=24,2,3),FALSE)),$C$3)*(1+Projection!P$16)*(1+IF(N172&gt;0,'Attrition Modeling'!$N$9,0)))</f>
        <v>0</v>
      </c>
      <c r="O107" s="799">
        <f>N107*(1-IFERROR(IF(O$69+$F107&lt;=12,SUMIFS('Attrition Modeling'!$D:$D,'Attrition Modeling'!$C:$C,'IP Attrition'!$D107,'Attrition Modeling'!$B:$B,'IP Attrition'!O$68),VLOOKUP($F107+O$2,$A$6:$C$106,2,FALSE)*VLOOKUP(O$1,'Attrition Modeling'!$L$15:$N$27,IF(O$2+$F40&lt;=24,2,3),FALSE)),$C$3)*(1+Projection!Q$16)*(1+IF(O172&gt;0,'Attrition Modeling'!$N$9,0)))</f>
        <v>0</v>
      </c>
      <c r="P107" s="799">
        <f>O107*(1-IFERROR(IF(P$69+$F107&lt;=12,SUMIFS('Attrition Modeling'!$D:$D,'Attrition Modeling'!$C:$C,'IP Attrition'!$D107,'Attrition Modeling'!$B:$B,'IP Attrition'!P$68),VLOOKUP($F107+P$2,$A$6:$C$106,2,FALSE)*VLOOKUP(P$1,'Attrition Modeling'!$L$15:$N$27,IF(P$2+$F40&lt;=24,2,3),FALSE)),$C$3)*(1+Projection!R$16)*(1+IF(P172&gt;0,'Attrition Modeling'!$N$9,0)))</f>
        <v>0</v>
      </c>
      <c r="Q107" s="799">
        <f>P107*(1-IFERROR(IF(Q$69+$F107&lt;=12,SUMIFS('Attrition Modeling'!$D:$D,'Attrition Modeling'!$C:$C,'IP Attrition'!$D107,'Attrition Modeling'!$B:$B,'IP Attrition'!Q$68),VLOOKUP($F107+Q$2,$A$6:$C$106,2,FALSE)*VLOOKUP(Q$1,'Attrition Modeling'!$L$15:$N$27,IF(Q$2+$F40&lt;=24,2,3),FALSE)),$C$3)*(1+Projection!S$16)*(1+IF(Q172&gt;0,'Attrition Modeling'!$N$9,0)))</f>
        <v>0</v>
      </c>
      <c r="R107" s="799">
        <f>Q107*(1-IFERROR(IF(R$69+$F107&lt;=12,SUMIFS('Attrition Modeling'!$D:$D,'Attrition Modeling'!$C:$C,'IP Attrition'!$D107,'Attrition Modeling'!$B:$B,'IP Attrition'!R$68),VLOOKUP($F107+R$2,$A$6:$C$106,2,FALSE)*VLOOKUP(R$1,'Attrition Modeling'!$L$15:$N$27,IF(R$2+$F40&lt;=24,2,3),FALSE)),$C$3)*(1+Projection!T$16)*(1+IF(R172&gt;0,'Attrition Modeling'!$N$9,0)))</f>
        <v>0</v>
      </c>
      <c r="S107" s="799">
        <f>R107*(1-IFERROR(IF(S$69+$F107&lt;=12,SUMIFS('Attrition Modeling'!$D:$D,'Attrition Modeling'!$C:$C,'IP Attrition'!$D107,'Attrition Modeling'!$B:$B,'IP Attrition'!S$68),VLOOKUP($F107+S$2,$A$6:$C$106,2,FALSE)*VLOOKUP(S$1,'Attrition Modeling'!$L$15:$N$27,IF(S$2+$F40&lt;=24,2,3),FALSE)),$C$3)*(1+Projection!U$16)*(1+IF(S172&gt;0,'Attrition Modeling'!$N$9,0)))</f>
        <v>0</v>
      </c>
      <c r="T107" s="799">
        <f>S107*(1-IFERROR(IF(T$69+$F107&lt;=12,SUMIFS('Attrition Modeling'!$D:$D,'Attrition Modeling'!$C:$C,'IP Attrition'!$D107,'Attrition Modeling'!$B:$B,'IP Attrition'!T$68),VLOOKUP($F107+T$2,$A$6:$C$106,2,FALSE)*VLOOKUP(T$1,'Attrition Modeling'!$L$15:$N$27,IF(T$2+$F40&lt;=24,2,3),FALSE)),$C$3)*(1+Projection!V$16)*(1+IF(T172&gt;0,'Attrition Modeling'!$N$9,0)))</f>
        <v>0</v>
      </c>
      <c r="U107" s="799">
        <f>T107*(1-IFERROR(IF(U$69+$F107&lt;=12,SUMIFS('Attrition Modeling'!$D:$D,'Attrition Modeling'!$C:$C,'IP Attrition'!$D107,'Attrition Modeling'!$B:$B,'IP Attrition'!U$68),VLOOKUP($F107+U$2,$A$6:$C$106,2,FALSE)*VLOOKUP(U$1,'Attrition Modeling'!$L$15:$N$27,IF(U$2+$F40&lt;=24,2,3),FALSE)),$C$3)*(1+Projection!W$16)*(1+IF(U172&gt;0,'Attrition Modeling'!$N$9,0)))</f>
        <v>0</v>
      </c>
      <c r="V107" s="799">
        <f>U107*(1-IFERROR(IF(V$69+$F107&lt;=12,SUMIFS('Attrition Modeling'!$D:$D,'Attrition Modeling'!$C:$C,'IP Attrition'!$D107,'Attrition Modeling'!$B:$B,'IP Attrition'!V$68),VLOOKUP($F107+V$2,$A$6:$C$106,2,FALSE)*VLOOKUP(V$1,'Attrition Modeling'!$L$15:$N$27,IF(V$2+$F40&lt;=24,2,3),FALSE)),$C$3)*(1+Projection!X$16)*(1+IF(V172&gt;0,'Attrition Modeling'!$N$9,0)))</f>
        <v>0</v>
      </c>
      <c r="W107" s="799">
        <f>V107*(1-IFERROR(IF(W$69+$F107&lt;=12,SUMIFS('Attrition Modeling'!$D:$D,'Attrition Modeling'!$C:$C,'IP Attrition'!$D107,'Attrition Modeling'!$B:$B,'IP Attrition'!W$68),VLOOKUP($F107+W$2,$A$6:$C$106,2,FALSE)*VLOOKUP(W$1,'Attrition Modeling'!$L$15:$N$27,IF(W$2+$F40&lt;=24,2,3),FALSE)),$C$3)*(1+Projection!Y$16)*(1+IF(W172&gt;0,'Attrition Modeling'!$N$9,0)))</f>
        <v>0</v>
      </c>
      <c r="X107" s="799">
        <f>W107*(1-IFERROR(IF(X$69+$F107&lt;=12,SUMIFS('Attrition Modeling'!$D:$D,'Attrition Modeling'!$C:$C,'IP Attrition'!$D107,'Attrition Modeling'!$B:$B,'IP Attrition'!X$68),VLOOKUP($F107+X$2,$A$6:$C$106,2,FALSE)*VLOOKUP(X$1,'Attrition Modeling'!$L$15:$N$27,IF(X$2+$F40&lt;=24,2,3),FALSE)),$C$3)*(1+Projection!Z$16)*(1+IF(X172&gt;0,'Attrition Modeling'!$N$9,0)))</f>
        <v>0</v>
      </c>
      <c r="Y107" s="799">
        <f>X107*(1-IFERROR(IF(Y$69+$F107&lt;=12,SUMIFS('Attrition Modeling'!$D:$D,'Attrition Modeling'!$C:$C,'IP Attrition'!$D107,'Attrition Modeling'!$B:$B,'IP Attrition'!Y$68),VLOOKUP($F107+Y$2,$A$6:$C$106,2,FALSE)*VLOOKUP(Y$1,'Attrition Modeling'!$L$15:$N$27,IF(Y$2+$F40&lt;=24,2,3),FALSE)),$C$3)*(1+Projection!AA$16)*(1+IF(Y172&gt;0,'Attrition Modeling'!$N$9,0)))</f>
        <v>0</v>
      </c>
      <c r="Z107" s="799">
        <f>Y107*(1-IFERROR(IF(Z$69+$F107&lt;=12,SUMIFS('Attrition Modeling'!$D:$D,'Attrition Modeling'!$C:$C,'IP Attrition'!$D107,'Attrition Modeling'!$B:$B,'IP Attrition'!Z$68),VLOOKUP($F107+Z$2,$A$6:$C$106,2,FALSE)*VLOOKUP(Z$1,'Attrition Modeling'!$L$15:$N$27,IF(Z$2+$F40&lt;=24,2,3),FALSE)),$C$3)*(1+Projection!AB$16)*(1+IF(Z172&gt;0,'Attrition Modeling'!$N$9,0)))</f>
        <v>0</v>
      </c>
      <c r="AA107" s="799">
        <f>Z107*(1-IFERROR(IF(AA$69+$F107&lt;=12,SUMIFS('Attrition Modeling'!$D:$D,'Attrition Modeling'!$C:$C,'IP Attrition'!$D107,'Attrition Modeling'!$B:$B,'IP Attrition'!AA$68),VLOOKUP($F107+AA$2,$A$6:$C$106,2,FALSE)*VLOOKUP(AA$1,'Attrition Modeling'!$L$15:$N$27,IF(AA$2+$F40&lt;=24,2,3),FALSE)),$C$3)*(1+Projection!AC$16)*(1+IF(AA172&gt;0,'Attrition Modeling'!$N$9,0)))</f>
        <v>0</v>
      </c>
      <c r="AB107" s="799">
        <f>AA107*(1-IFERROR(IF(AB$69+$F107&lt;=12,SUMIFS('Attrition Modeling'!$D:$D,'Attrition Modeling'!$C:$C,'IP Attrition'!$D107,'Attrition Modeling'!$B:$B,'IP Attrition'!AB$68),VLOOKUP($F107+AB$2,$A$6:$C$106,2,FALSE)*VLOOKUP(AB$1,'Attrition Modeling'!$L$15:$N$27,IF(AB$2+$F40&lt;=24,2,3),FALSE)),$C$3)*(1+Projection!AD$16)*(1+IF(AB172&gt;0,'Attrition Modeling'!$N$9,0)))</f>
        <v>0</v>
      </c>
      <c r="AC107" s="799">
        <f>AB107*(1-IFERROR(IF(AC$69+$F107&lt;=12,SUMIFS('Attrition Modeling'!$D:$D,'Attrition Modeling'!$C:$C,'IP Attrition'!$D107,'Attrition Modeling'!$B:$B,'IP Attrition'!AC$68),VLOOKUP($F107+AC$2,$A$6:$C$106,2,FALSE)*VLOOKUP(AC$1,'Attrition Modeling'!$L$15:$N$27,IF(AC$2+$F40&lt;=24,2,3),FALSE)),$C$3)*(1+Projection!AE$16)*(1+IF(AC172&gt;0,'Attrition Modeling'!$N$9,0)))</f>
        <v>0</v>
      </c>
      <c r="AD107" s="799">
        <f>AC107*(1-IFERROR(IF(AD$69+$F107&lt;=12,SUMIFS('Attrition Modeling'!$D:$D,'Attrition Modeling'!$C:$C,'IP Attrition'!$D107,'Attrition Modeling'!$B:$B,'IP Attrition'!AD$68),VLOOKUP($F107+AD$2,$A$6:$C$106,2,FALSE)*VLOOKUP(AD$1,'Attrition Modeling'!$L$15:$N$27,IF(AD$2+$F40&lt;=24,2,3),FALSE)),$C$3)*(1+Projection!AF$16)*(1+IF(AD172&gt;0,'Attrition Modeling'!$N$9,0)))</f>
        <v>0</v>
      </c>
      <c r="AE107" s="799">
        <f>AD107*(1-IFERROR(IF(AE$69+$F107&lt;=12,SUMIFS('Attrition Modeling'!$D:$D,'Attrition Modeling'!$C:$C,'IP Attrition'!$D107,'Attrition Modeling'!$B:$B,'IP Attrition'!AE$68),VLOOKUP($F107+AE$2,$A$6:$C$106,2,FALSE)*VLOOKUP(AE$1,'Attrition Modeling'!$L$15:$N$27,IF(AE$2+$F40&lt;=24,2,3),FALSE)),$C$3)*(1+Projection!AG$16)*(1+IF(AE172&gt;0,'Attrition Modeling'!$N$9,0)))</f>
        <v>0</v>
      </c>
      <c r="AF107" s="799">
        <f>AE107*(1-IFERROR(IF(AF$69+$F107&lt;=12,SUMIFS('Attrition Modeling'!$D:$D,'Attrition Modeling'!$C:$C,'IP Attrition'!$D107,'Attrition Modeling'!$B:$B,'IP Attrition'!AF$68),VLOOKUP($F107+AF$2,$A$6:$C$106,2,FALSE)*VLOOKUP(AF$1,'Attrition Modeling'!$L$15:$N$27,IF(AF$2+$F40&lt;=24,2,3),FALSE)),$C$3)*(1+Projection!AH$16)*(1+IF(AF172&gt;0,'Attrition Modeling'!$N$9,0)))</f>
        <v>0</v>
      </c>
      <c r="AG107" s="799">
        <f>AF107*(1-IFERROR(IF(AG$69+$F107&lt;=12,SUMIFS('Attrition Modeling'!$D:$D,'Attrition Modeling'!$C:$C,'IP Attrition'!$D107,'Attrition Modeling'!$B:$B,'IP Attrition'!AG$68),VLOOKUP($F107+AG$2,$A$6:$C$106,2,FALSE)*VLOOKUP(AG$1,'Attrition Modeling'!$L$15:$N$27,IF(AG$2+$F40&lt;=24,2,3),FALSE)),$C$3)*(1+Projection!AI$16)*(1+IF(AG172&gt;0,'Attrition Modeling'!$N$9,0)))</f>
        <v>0</v>
      </c>
      <c r="AH107" s="799">
        <f>AG107*(1-IFERROR(IF(AH$69+$F107&lt;=12,SUMIFS('Attrition Modeling'!$D:$D,'Attrition Modeling'!$C:$C,'IP Attrition'!$D107,'Attrition Modeling'!$B:$B,'IP Attrition'!AH$68),VLOOKUP($F107+AH$2,$A$6:$C$106,2,FALSE)*VLOOKUP(AH$1,'Attrition Modeling'!$L$15:$N$27,IF(AH$2+$F40&lt;=24,2,3),FALSE)),$C$3)*(1+Projection!AJ$16)*(1+IF(AH172&gt;0,'Attrition Modeling'!$N$9,0)))</f>
        <v>0</v>
      </c>
      <c r="AI107" s="799">
        <f>AH107*(1-IFERROR(IF(AI$69+$F107&lt;=12,SUMIFS('Attrition Modeling'!$D:$D,'Attrition Modeling'!$C:$C,'IP Attrition'!$D107,'Attrition Modeling'!$B:$B,'IP Attrition'!AI$68),VLOOKUP($F107+AI$2,$A$6:$C$106,2,FALSE)*VLOOKUP(AI$1,'Attrition Modeling'!$L$15:$N$27,IF(AI$2+$F40&lt;=24,2,3),FALSE)),$C$3)*(1+Projection!AK$16)*(1+IF(AI172&gt;0,'Attrition Modeling'!$N$9,0)))</f>
        <v>0</v>
      </c>
      <c r="AJ107" s="799">
        <f>AI107*(1-IFERROR(IF(AJ$69+$F107&lt;=12,SUMIFS('Attrition Modeling'!$D:$D,'Attrition Modeling'!$C:$C,'IP Attrition'!$D107,'Attrition Modeling'!$B:$B,'IP Attrition'!AJ$68),VLOOKUP($F107+AJ$2,$A$6:$C$106,2,FALSE)*VLOOKUP(AJ$1,'Attrition Modeling'!$L$15:$N$27,IF(AJ$2+$F40&lt;=24,2,3),FALSE)),$C$3)*(1+Projection!AL$16)*(1+IF(AJ172&gt;0,'Attrition Modeling'!$N$9,0)))</f>
        <v>0</v>
      </c>
      <c r="AK107" s="799">
        <f>AJ107*(1-IFERROR(IF(AK$69+$F107&lt;=12,SUMIFS('Attrition Modeling'!$D:$D,'Attrition Modeling'!$C:$C,'IP Attrition'!$D107,'Attrition Modeling'!$B:$B,'IP Attrition'!AK$68),VLOOKUP($F107+AK$2,$A$6:$C$106,2,FALSE)*VLOOKUP(AK$1,'Attrition Modeling'!$L$15:$N$27,IF(AK$2+$F40&lt;=24,2,3),FALSE)),$C$3)*(1+Projection!AM$16)*(1+IF(AK172&gt;0,'Attrition Modeling'!$N$9,0)))</f>
        <v>0</v>
      </c>
      <c r="AL107" s="799">
        <f>AK107*(1-IFERROR(IF(AL$69+$F107&lt;=12,SUMIFS('Attrition Modeling'!$D:$D,'Attrition Modeling'!$C:$C,'IP Attrition'!$D107,'Attrition Modeling'!$B:$B,'IP Attrition'!AL$68),VLOOKUP($F107+AL$2,$A$6:$C$106,2,FALSE)*VLOOKUP(AL$1,'Attrition Modeling'!$L$15:$N$27,IF(AL$2+$F40&lt;=24,2,3),FALSE)),$C$3)*(1+Projection!AN$16)*(1+IF(AL172&gt;0,'Attrition Modeling'!$N$9,0)))</f>
        <v>0</v>
      </c>
      <c r="AM107" s="799">
        <f>AL107*(1-IFERROR(IF(AM$69+$F107&lt;=12,SUMIFS('Attrition Modeling'!$D:$D,'Attrition Modeling'!$C:$C,'IP Attrition'!$D107,'Attrition Modeling'!$B:$B,'IP Attrition'!AM$68),VLOOKUP($F107+AM$2,$A$6:$C$106,2,FALSE)*VLOOKUP(AM$1,'Attrition Modeling'!$L$15:$N$27,IF(AM$2+$F40&lt;=24,2,3),FALSE)),$C$3)*(1+Projection!AO$16)*(1+IF(AM172&gt;0,'Attrition Modeling'!$N$9,0)))</f>
        <v>0</v>
      </c>
      <c r="AN107" s="799">
        <f>AM107*(1-IFERROR(IF(AN$69+$F107&lt;=12,SUMIFS('Attrition Modeling'!$D:$D,'Attrition Modeling'!$C:$C,'IP Attrition'!$D107,'Attrition Modeling'!$B:$B,'IP Attrition'!AN$68),VLOOKUP($F107+AN$2,$A$6:$C$106,2,FALSE)*VLOOKUP(AN$1,'Attrition Modeling'!$L$15:$N$27,IF(AN$2+$F40&lt;=24,2,3),FALSE)),$C$3)*(1+Projection!AP$16)*(1+IF(AN172&gt;0,'Attrition Modeling'!$N$9,0)))</f>
        <v>0</v>
      </c>
      <c r="AO107" s="799">
        <f>AN107*(1-IFERROR(IF(AO$69+$F107&lt;=12,SUMIFS('Attrition Modeling'!$D:$D,'Attrition Modeling'!$C:$C,'IP Attrition'!$D107,'Attrition Modeling'!$B:$B,'IP Attrition'!AO$68),VLOOKUP($F107+AO$2,$A$6:$C$106,2,FALSE)*VLOOKUP(AO$1,'Attrition Modeling'!$L$15:$N$27,IF(AO$2+$F40&lt;=24,2,3),FALSE)),$C$3)*(1+Projection!AQ$16)*(1+IF(AO172&gt;0,'Attrition Modeling'!$N$9,0)))</f>
        <v>0</v>
      </c>
      <c r="AP107" s="799">
        <f>AO107*(1-IFERROR(IF(AP$69+$F107&lt;=12,SUMIFS('Attrition Modeling'!$D:$D,'Attrition Modeling'!$C:$C,'IP Attrition'!$D107,'Attrition Modeling'!$B:$B,'IP Attrition'!AP$68),VLOOKUP($F107+AP$2,$A$6:$C$106,2,FALSE)*VLOOKUP(AP$1,'Attrition Modeling'!$L$15:$N$27,IF(AP$2+$F40&lt;=24,2,3),FALSE)),$C$3)*(1+Projection!AR$16)*(1+IF(AP172&gt;0,'Attrition Modeling'!$N$9,0)))</f>
        <v>0</v>
      </c>
      <c r="AQ107" s="799">
        <f>AP107*(1-IFERROR(IF(AQ$69+$F107&lt;=12,SUMIFS('Attrition Modeling'!$D:$D,'Attrition Modeling'!$C:$C,'IP Attrition'!$D107,'Attrition Modeling'!$B:$B,'IP Attrition'!AQ$68),VLOOKUP($F107+AQ$2,$A$6:$C$106,2,FALSE)*VLOOKUP(AQ$1,'Attrition Modeling'!$L$15:$N$27,IF(AQ$2+$F40&lt;=24,2,3),FALSE)),$C$3)*(1+Projection!AS$16)*(1+IF(AQ172&gt;0,'Attrition Modeling'!$N$9,0)))</f>
        <v>0</v>
      </c>
      <c r="AR107" s="799">
        <f>AQ107*(1-IFERROR(IF(AR$69+$F107&lt;=12,SUMIFS('Attrition Modeling'!$D:$D,'Attrition Modeling'!$C:$C,'IP Attrition'!$D107,'Attrition Modeling'!$B:$B,'IP Attrition'!AR$68),VLOOKUP($F107+AR$2,$A$6:$C$106,2,FALSE)*VLOOKUP(AR$1,'Attrition Modeling'!$L$15:$N$27,IF(AR$2+$F40&lt;=24,2,3),FALSE)),$C$3)*(1+Projection!AT$16)*(1+IF(AR172&gt;0,'Attrition Modeling'!$N$9,0)))</f>
        <v>0</v>
      </c>
      <c r="AS107" s="799">
        <f>AR107*(1-IFERROR(IF(AS$69+$F107&lt;=12,SUMIFS('Attrition Modeling'!$D:$D,'Attrition Modeling'!$C:$C,'IP Attrition'!$D107,'Attrition Modeling'!$B:$B,'IP Attrition'!AS$68),VLOOKUP($F107+AS$2,$A$6:$C$106,2,FALSE)*VLOOKUP(AS$1,'Attrition Modeling'!$L$15:$N$27,IF(AS$2+$F40&lt;=24,2,3),FALSE)),$C$3)*(1+Projection!AU$16)*(1+IF(AS172&gt;0,'Attrition Modeling'!$N$9,0)))</f>
        <v>0</v>
      </c>
      <c r="AT107" s="799">
        <f>AS107*(1-IFERROR(IF(AT$69+$F107&lt;=12,SUMIFS('Attrition Modeling'!$D:$D,'Attrition Modeling'!$C:$C,'IP Attrition'!$D107,'Attrition Modeling'!$B:$B,'IP Attrition'!AT$68),VLOOKUP($F107+AT$2,$A$6:$C$106,2,FALSE)*VLOOKUP(AT$1,'Attrition Modeling'!$L$15:$N$27,IF(AT$2+$F40&lt;=24,2,3),FALSE)),$C$3)*(1+Projection!AV$16)*(1+IF(AT172&gt;0,'Attrition Modeling'!$N$9,0)))</f>
        <v>0</v>
      </c>
      <c r="AU107" s="799">
        <f>AT107*(1-IFERROR(IF(AU$69+$F107&lt;=12,SUMIFS('Attrition Modeling'!$D:$D,'Attrition Modeling'!$C:$C,'IP Attrition'!$D107,'Attrition Modeling'!$B:$B,'IP Attrition'!AU$68),VLOOKUP($F107+AU$2,$A$6:$C$106,2,FALSE)*VLOOKUP(AU$1,'Attrition Modeling'!$L$15:$N$27,IF(AU$2+$F40&lt;=24,2,3),FALSE)),$C$3)*(1+Projection!AW$16)*(1+IF(AU172&gt;0,'Attrition Modeling'!$N$9,0)))</f>
        <v>0</v>
      </c>
      <c r="AV107" s="799">
        <f>AU107*(1-IFERROR(IF(AV$69+$F107&lt;=12,SUMIFS('Attrition Modeling'!$D:$D,'Attrition Modeling'!$C:$C,'IP Attrition'!$D107,'Attrition Modeling'!$B:$B,'IP Attrition'!AV$68),VLOOKUP($F107+AV$2,$A$6:$C$106,2,FALSE)*VLOOKUP(AV$1,'Attrition Modeling'!$L$15:$N$27,IF(AV$2+$F40&lt;=24,2,3),FALSE)),$C$3)*(1+Projection!AX$16)*(1+IF(AV172&gt;0,'Attrition Modeling'!$N$9,0)))</f>
        <v>0</v>
      </c>
      <c r="AW107" s="799">
        <f>AV107*(1-IFERROR(IF(AW$69+$F107&lt;=12,SUMIFS('Attrition Modeling'!$D:$D,'Attrition Modeling'!$C:$C,'IP Attrition'!$D107,'Attrition Modeling'!$B:$B,'IP Attrition'!AW$68),VLOOKUP($F107+AW$2,$A$6:$C$106,2,FALSE)*VLOOKUP(AW$1,'Attrition Modeling'!$L$15:$N$27,IF(AW$2+$F40&lt;=24,2,3),FALSE)),$C$3)*(1+Projection!AY$16)*(1+IF(AW172&gt;0,'Attrition Modeling'!$N$9,0)))</f>
        <v>0</v>
      </c>
      <c r="AX107" s="799">
        <f>AW107*(1-IFERROR(IF(AX$69+$F107&lt;=12,SUMIFS('Attrition Modeling'!$D:$D,'Attrition Modeling'!$C:$C,'IP Attrition'!$D107,'Attrition Modeling'!$B:$B,'IP Attrition'!AX$68),VLOOKUP($F107+AX$2,$A$6:$C$106,2,FALSE)*VLOOKUP(AX$1,'Attrition Modeling'!$L$15:$N$27,IF(AX$2+$F40&lt;=24,2,3),FALSE)),$C$3)*(1+Projection!AZ$16)*(1+IF(AX172&gt;0,'Attrition Modeling'!$N$9,0)))</f>
        <v>0</v>
      </c>
      <c r="AY107" s="799">
        <f>AX107*(1-IFERROR(IF(AY$69+$F107&lt;=12,SUMIFS('Attrition Modeling'!$D:$D,'Attrition Modeling'!$C:$C,'IP Attrition'!$D107,'Attrition Modeling'!$B:$B,'IP Attrition'!AY$68),VLOOKUP($F107+AY$2,$A$6:$C$106,2,FALSE)*VLOOKUP(AY$1,'Attrition Modeling'!$L$15:$N$27,IF(AY$2+$F40&lt;=24,2,3),FALSE)),$C$3)*(1+Projection!BA$16)*(1+IF(AY172&gt;0,'Attrition Modeling'!$N$9,0)))</f>
        <v>0</v>
      </c>
      <c r="AZ107" s="799">
        <f>AY107*(1-IFERROR(IF(AZ$69+$F107&lt;=12,SUMIFS('Attrition Modeling'!$D:$D,'Attrition Modeling'!$C:$C,'IP Attrition'!$D107,'Attrition Modeling'!$B:$B,'IP Attrition'!AZ$68),VLOOKUP($F107+AZ$2,$A$6:$C$106,2,FALSE)*VLOOKUP(AZ$1,'Attrition Modeling'!$L$15:$N$27,IF(AZ$2+$F40&lt;=24,2,3),FALSE)),$C$3)*(1+Projection!BB$16)*(1+IF(AZ172&gt;0,'Attrition Modeling'!$N$9,0)))</f>
        <v>0</v>
      </c>
      <c r="BA107" s="799">
        <f>AZ107*(1-IFERROR(IF(BA$69+$F107&lt;=12,SUMIFS('Attrition Modeling'!$D:$D,'Attrition Modeling'!$C:$C,'IP Attrition'!$D107,'Attrition Modeling'!$B:$B,'IP Attrition'!BA$68),VLOOKUP($F107+BA$2,$A$6:$C$106,2,FALSE)*VLOOKUP(BA$1,'Attrition Modeling'!$L$15:$N$27,IF(BA$2+$F40&lt;=24,2,3),FALSE)),$C$3)*(1+Projection!BC$16)*(1+IF(BA172&gt;0,'Attrition Modeling'!$N$9,0)))</f>
        <v>0</v>
      </c>
      <c r="BB107" s="799">
        <f>BA107*(1-IFERROR(IF(BB$69+$F107&lt;=12,SUMIFS('Attrition Modeling'!$D:$D,'Attrition Modeling'!$C:$C,'IP Attrition'!$D107,'Attrition Modeling'!$B:$B,'IP Attrition'!BB$68),VLOOKUP($F107+BB$2,$A$6:$C$106,2,FALSE)*VLOOKUP(BB$1,'Attrition Modeling'!$L$15:$N$27,IF(BB$2+$F40&lt;=24,2,3),FALSE)),$C$3)*(1+Projection!BD$16)*(1+IF(BB172&gt;0,'Attrition Modeling'!$N$9,0)))</f>
        <v>0</v>
      </c>
      <c r="BC107" s="799">
        <f>BB107*(1-IFERROR(IF(BC$69+$F107&lt;=12,SUMIFS('Attrition Modeling'!$D:$D,'Attrition Modeling'!$C:$C,'IP Attrition'!$D107,'Attrition Modeling'!$B:$B,'IP Attrition'!BC$68),VLOOKUP($F107+BC$2,$A$6:$C$106,2,FALSE)*VLOOKUP(BC$1,'Attrition Modeling'!$L$15:$N$27,IF(BC$2+$F40&lt;=24,2,3),FALSE)),$C$3)*(1+Projection!BE$16)*(1+IF(BC172&gt;0,'Attrition Modeling'!$N$9,0)))</f>
        <v>0</v>
      </c>
      <c r="BD107" s="799">
        <f>BC107*(1-IFERROR(IF(BD$69+$F107&lt;=12,SUMIFS('Attrition Modeling'!$D:$D,'Attrition Modeling'!$C:$C,'IP Attrition'!$D107,'Attrition Modeling'!$B:$B,'IP Attrition'!BD$68),VLOOKUP($F107+BD$2,$A$6:$C$106,2,FALSE)*VLOOKUP(BD$1,'Attrition Modeling'!$L$15:$N$27,IF(BD$2+$F40&lt;=24,2,3),FALSE)),$C$3)*(1+Projection!BF$16)*(1+IF(BD172&gt;0,'Attrition Modeling'!$N$9,0)))</f>
        <v>0</v>
      </c>
      <c r="BE107" s="799">
        <f>BD107*(1-IFERROR(IF(BE$69+$F107&lt;=12,SUMIFS('Attrition Modeling'!$D:$D,'Attrition Modeling'!$C:$C,'IP Attrition'!$D107,'Attrition Modeling'!$B:$B,'IP Attrition'!BE$68),VLOOKUP($F107+BE$2,$A$6:$C$106,2,FALSE)*VLOOKUP(BE$1,'Attrition Modeling'!$L$15:$N$27,IF(BE$2+$F40&lt;=24,2,3),FALSE)),$C$3)*(1+Projection!BG$16)*(1+IF(BE172&gt;0,'Attrition Modeling'!$N$9,0)))</f>
        <v>0</v>
      </c>
      <c r="BF107" s="799">
        <f>BE107*(1-IFERROR(IF(BF$69+$F107&lt;=12,SUMIFS('Attrition Modeling'!$D:$D,'Attrition Modeling'!$C:$C,'IP Attrition'!$D107,'Attrition Modeling'!$B:$B,'IP Attrition'!BF$68),VLOOKUP($F107+BF$2,$A$6:$C$106,2,FALSE)*VLOOKUP(BF$1,'Attrition Modeling'!$L$15:$N$27,IF(BF$2+$F40&lt;=24,2,3),FALSE)),$C$3)*(1+Projection!BH$16)*(1+IF(BF172&gt;0,'Attrition Modeling'!$N$9,0)))</f>
        <v>0</v>
      </c>
      <c r="BG107" s="799">
        <f>BF107*(1-IFERROR(IF(BG$69+$F107&lt;=12,SUMIFS('Attrition Modeling'!$D:$D,'Attrition Modeling'!$C:$C,'IP Attrition'!$D107,'Attrition Modeling'!$B:$B,'IP Attrition'!BG$68),VLOOKUP($F107+BG$2,$A$6:$C$106,2,FALSE)*VLOOKUP(BG$1,'Attrition Modeling'!$L$15:$N$27,IF(BG$2+$F40&lt;=24,2,3),FALSE)),$C$3)*(1+Projection!BI$16)*(1+IF(BG172&gt;0,'Attrition Modeling'!$N$9,0)))</f>
        <v>0</v>
      </c>
      <c r="BH107" s="799">
        <f>BG107*(1-IFERROR(IF(BH$69+$F107&lt;=12,SUMIFS('Attrition Modeling'!$D:$D,'Attrition Modeling'!$C:$C,'IP Attrition'!$D107,'Attrition Modeling'!$B:$B,'IP Attrition'!BH$68),VLOOKUP($F107+BH$2,$A$6:$C$106,2,FALSE)*VLOOKUP(BH$1,'Attrition Modeling'!$L$15:$N$27,IF(BH$2+$F40&lt;=24,2,3),FALSE)),$C$3)*(1+Projection!BJ$16)*(1+IF(BH172&gt;0,'Attrition Modeling'!$N$9,0)))</f>
        <v>0</v>
      </c>
      <c r="BI107" s="799">
        <f>BH107*(1-IFERROR(IF(BI$69+$F107&lt;=12,SUMIFS('Attrition Modeling'!$D:$D,'Attrition Modeling'!$C:$C,'IP Attrition'!$D107,'Attrition Modeling'!$B:$B,'IP Attrition'!BI$68),VLOOKUP($F107+BI$2,$A$6:$C$106,2,FALSE)*VLOOKUP(BI$1,'Attrition Modeling'!$L$15:$N$27,IF(BI$2+$F40&lt;=24,2,3),FALSE)),$C$3)*(1+Projection!BK$16)*(1+IF(BI172&gt;0,'Attrition Modeling'!$N$9,0)))</f>
        <v>0</v>
      </c>
      <c r="BJ107" s="799">
        <f>BI107*(1-IFERROR(IF(BJ$69+$F107&lt;=12,SUMIFS('Attrition Modeling'!$D:$D,'Attrition Modeling'!$C:$C,'IP Attrition'!$D107,'Attrition Modeling'!$B:$B,'IP Attrition'!BJ$68),VLOOKUP($F107+BJ$2,$A$6:$C$106,2,FALSE)*VLOOKUP(BJ$1,'Attrition Modeling'!$L$15:$N$27,IF(BJ$2+$F40&lt;=24,2,3),FALSE)),$C$3)*(1+Projection!BL$16)*(1+IF(BJ172&gt;0,'Attrition Modeling'!$N$9,0)))</f>
        <v>0</v>
      </c>
      <c r="BK107" s="799">
        <f>BJ107*(1-IFERROR(IF(BK$69+$F107&lt;=12,SUMIFS('Attrition Modeling'!$D:$D,'Attrition Modeling'!$C:$C,'IP Attrition'!$D107,'Attrition Modeling'!$B:$B,'IP Attrition'!BK$68),VLOOKUP($F107+BK$2,$A$6:$C$106,2,FALSE)*VLOOKUP(BK$1,'Attrition Modeling'!$L$15:$N$27,IF(BK$2+$F40&lt;=24,2,3),FALSE)),$C$3)*(1+Projection!BM$16)*(1+IF(BK172&gt;0,'Attrition Modeling'!$N$9,0)))</f>
        <v>0</v>
      </c>
      <c r="BL107" s="799">
        <f>BK107*(1-IFERROR(IF(BL$69+$F107&lt;=12,SUMIFS('Attrition Modeling'!$D:$D,'Attrition Modeling'!$C:$C,'IP Attrition'!$D107,'Attrition Modeling'!$B:$B,'IP Attrition'!BL$68),VLOOKUP($F107+BL$2,$A$6:$C$106,2,FALSE)*VLOOKUP(BL$1,'Attrition Modeling'!$L$15:$N$27,IF(BL$2+$F40&lt;=24,2,3),FALSE)),$C$3)*(1+Projection!BN$16)*(1+IF(BL172&gt;0,'Attrition Modeling'!$N$9,0)))</f>
        <v>0</v>
      </c>
      <c r="BM107" s="799">
        <f>BL107*(1-IFERROR(IF(BM$69+$F107&lt;=12,SUMIFS('Attrition Modeling'!$D:$D,'Attrition Modeling'!$C:$C,'IP Attrition'!$D107,'Attrition Modeling'!$B:$B,'IP Attrition'!BM$68),VLOOKUP($F107+BM$2,$A$6:$C$106,2,FALSE)*VLOOKUP(BM$1,'Attrition Modeling'!$L$15:$N$27,IF(BM$2+$F40&lt;=24,2,3),FALSE)),$C$3)*(1+Projection!BO$16)*(1+IF(BM172&gt;0,'Attrition Modeling'!$N$9,0)))</f>
        <v>0</v>
      </c>
      <c r="BN107" s="799">
        <f>BM107*(1-IFERROR(IF(BN$69+$F107&lt;=12,SUMIFS('Attrition Modeling'!$D:$D,'Attrition Modeling'!$C:$C,'IP Attrition'!$D107,'Attrition Modeling'!$B:$B,'IP Attrition'!BN$68),VLOOKUP($F107+BN$2,$A$6:$C$106,2,FALSE)*VLOOKUP(BN$1,'Attrition Modeling'!$L$15:$N$27,IF(BN$2+$F40&lt;=24,2,3),FALSE)),$C$3)*(1+Projection!BP$16)*(1+IF(BN172&gt;0,'Attrition Modeling'!$N$9,0)))</f>
        <v>0</v>
      </c>
      <c r="BO107" s="799">
        <f>BN107*(1-IFERROR(IF(BO$69+$F107&lt;=12,SUMIFS('Attrition Modeling'!$D:$D,'Attrition Modeling'!$C:$C,'IP Attrition'!$D107,'Attrition Modeling'!$B:$B,'IP Attrition'!BO$68),VLOOKUP($F107+BO$2,$A$6:$C$106,2,FALSE)*VLOOKUP(BO$1,'Attrition Modeling'!$L$15:$N$27,IF(BO$2+$F40&lt;=24,2,3),FALSE)),$C$3)*(1+Projection!BV$16)*(1+IF(BO172&gt;0,'Attrition Modeling'!$N$9,0)))</f>
        <v>0</v>
      </c>
      <c r="BP107" s="799">
        <f>BO107*(1-IFERROR(IF(BP$69+$F107&lt;=12,SUMIFS('Attrition Modeling'!$D:$D,'Attrition Modeling'!$C:$C,'IP Attrition'!$D107,'Attrition Modeling'!$B:$B,'IP Attrition'!BP$68),VLOOKUP($F107+BP$2,$A$6:$C$106,2,FALSE)*VLOOKUP(BP$1,'Attrition Modeling'!$L$15:$N$27,IF(BP$2+$F40&lt;=24,2,3),FALSE)),$C$3)*(1+Projection!BW$16)*(1+IF(BP172&gt;0,'Attrition Modeling'!$N$9,0)))</f>
        <v>0</v>
      </c>
      <c r="BQ107" s="799">
        <f>BP107*(1-IFERROR(IF(BQ$69+$F107&lt;=12,SUMIFS('Attrition Modeling'!$D:$D,'Attrition Modeling'!$C:$C,'IP Attrition'!$D107,'Attrition Modeling'!$B:$B,'IP Attrition'!BQ$68),VLOOKUP($F107+BQ$2,$A$6:$C$106,2,FALSE)*VLOOKUP(BQ$1,'Attrition Modeling'!$L$15:$N$27,IF(BQ$2+$F40&lt;=24,2,3),FALSE)),$C$3)*(1+Projection!BX$16)*(1+IF(BQ172&gt;0,'Attrition Modeling'!$N$9,0)))</f>
        <v>0</v>
      </c>
      <c r="BR107" s="799">
        <f>BQ107*(1-IFERROR(IF(BR$69+$F107&lt;=12,SUMIFS('Attrition Modeling'!$D:$D,'Attrition Modeling'!$C:$C,'IP Attrition'!$D107,'Attrition Modeling'!$B:$B,'IP Attrition'!BR$68),VLOOKUP($F107+BR$2,$A$6:$C$106,2,FALSE)*VLOOKUP(BR$1,'Attrition Modeling'!$L$15:$N$27,IF(BR$2+$F40&lt;=24,2,3),FALSE)),$C$3)*(1+Projection!BY$16)*(1+IF(BR172&gt;0,'Attrition Modeling'!$N$9,0)))</f>
        <v>0</v>
      </c>
      <c r="BS107" s="799">
        <f>BR107*(1-IFERROR(IF(BS$69+$F107&lt;=12,SUMIFS('Attrition Modeling'!$D:$D,'Attrition Modeling'!$C:$C,'IP Attrition'!$D107,'Attrition Modeling'!$B:$B,'IP Attrition'!BS$68),VLOOKUP($F107+BS$2,$A$6:$C$106,2,FALSE)*VLOOKUP(BS$1,'Attrition Modeling'!$L$15:$N$27,IF(BS$2+$F40&lt;=24,2,3),FALSE)),$C$3)*(1+Projection!BZ$16)*(1+IF(BS172&gt;0,'Attrition Modeling'!$N$9,0)))</f>
        <v>0</v>
      </c>
      <c r="BT107" s="799" t="e">
        <f>BS107*(1-IFERROR(IF(BT$69+$F107&lt;=12,SUMIFS('Attrition Modeling'!$D:$D,'Attrition Modeling'!$C:$C,'IP Attrition'!$D107,'Attrition Modeling'!$B:$B,'IP Attrition'!BT$68),VLOOKUP($F107+BT$2,$A$6:$C$106,2,FALSE)*VLOOKUP(BT$1,'Attrition Modeling'!$L$15:$N$27,IF(BT$2+$F40&lt;=24,2,3),FALSE)),$C$3)*(1+Projection!CA$16)*(1+IF(BT172&gt;0,'Attrition Modeling'!$N$9,0)))</f>
        <v>#REF!</v>
      </c>
      <c r="BU107" s="799" t="e">
        <f>BT107*(1-IFERROR(IF(BU$69+$F107&lt;=12,SUMIFS('Attrition Modeling'!$D:$D,'Attrition Modeling'!$C:$C,'IP Attrition'!$D107,'Attrition Modeling'!$B:$B,'IP Attrition'!BU$68),VLOOKUP($F107+BU$2,$A$6:$C$106,2,FALSE)*VLOOKUP(BU$1,'Attrition Modeling'!$L$15:$N$27,IF(BU$2+$F40&lt;=24,2,3),FALSE)),$C$3)*(1+Projection!CB$16)*(1+IF(BU172&gt;0,'Attrition Modeling'!$N$9,0)))</f>
        <v>#REF!</v>
      </c>
    </row>
    <row r="108" spans="1:73" ht="14.25" customHeight="1" x14ac:dyDescent="0.2">
      <c r="A108" s="9">
        <v>101</v>
      </c>
      <c r="B108" s="25">
        <f>MAX('Attrition Modeling'!H105,$C$3)*(1-Summary!$C$20)</f>
        <v>0.02</v>
      </c>
      <c r="C108" s="24" t="e">
        <f t="shared" si="3"/>
        <v>#DIV/0!</v>
      </c>
      <c r="D108" s="11">
        <f t="shared" ref="D108:E108" si="46">D41</f>
        <v>-38</v>
      </c>
      <c r="E108" s="25">
        <f t="shared" si="46"/>
        <v>0</v>
      </c>
      <c r="F108" s="11">
        <f t="shared" si="9"/>
        <v>38</v>
      </c>
      <c r="G108" s="799">
        <f>Summary!$C$24*$E108</f>
        <v>0</v>
      </c>
      <c r="H108" s="799">
        <f>G108*(1-IFERROR(IF(H$69+$F108&lt;=12,SUMIFS('Attrition Modeling'!$D:$D,'Attrition Modeling'!$C:$C,'IP Attrition'!$D108,'Attrition Modeling'!$B:$B,'IP Attrition'!H$68),VLOOKUP($F108+H$2,$A$6:$C$106,2,FALSE)*VLOOKUP(H$1,'Attrition Modeling'!$L$15:$N$27,IF(H$2+$F41&lt;=24,2,3),FALSE)),$C$3)*(1+Projection!J$16)*(1+IF(H173&gt;0,'Attrition Modeling'!$N$9,0)))</f>
        <v>0</v>
      </c>
      <c r="I108" s="799">
        <f>H108*(1-IFERROR(IF(I$69+$F108&lt;=12,SUMIFS('Attrition Modeling'!$D:$D,'Attrition Modeling'!$C:$C,'IP Attrition'!$D108,'Attrition Modeling'!$B:$B,'IP Attrition'!I$68),VLOOKUP($F108+I$2,$A$6:$C$106,2,FALSE)*VLOOKUP(I$1,'Attrition Modeling'!$L$15:$N$27,IF(I$2+$F41&lt;=24,2,3),FALSE)),$C$3)*(1+Projection!K$16)*(1+IF(I173&gt;0,'Attrition Modeling'!$N$9,0)))</f>
        <v>0</v>
      </c>
      <c r="J108" s="799">
        <f>I108*(1-IFERROR(IF(J$69+$F108&lt;=12,SUMIFS('Attrition Modeling'!$D:$D,'Attrition Modeling'!$C:$C,'IP Attrition'!$D108,'Attrition Modeling'!$B:$B,'IP Attrition'!J$68),VLOOKUP($F108+J$2,$A$6:$C$106,2,FALSE)*VLOOKUP(J$1,'Attrition Modeling'!$L$15:$N$27,IF(J$2+$F41&lt;=24,2,3),FALSE)),$C$3)*(1+Projection!L$16)*(1+IF(J173&gt;0,'Attrition Modeling'!$N$9,0)))</f>
        <v>0</v>
      </c>
      <c r="K108" s="799">
        <f>J108*(1-IFERROR(IF(K$69+$F108&lt;=12,SUMIFS('Attrition Modeling'!$D:$D,'Attrition Modeling'!$C:$C,'IP Attrition'!$D108,'Attrition Modeling'!$B:$B,'IP Attrition'!K$68),VLOOKUP($F108+K$2,$A$6:$C$106,2,FALSE)*VLOOKUP(K$1,'Attrition Modeling'!$L$15:$N$27,IF(K$2+$F41&lt;=24,2,3),FALSE)),$C$3)*(1+Projection!M$16)*(1+IF(K173&gt;0,'Attrition Modeling'!$N$9,0)))</f>
        <v>0</v>
      </c>
      <c r="L108" s="799">
        <f>K108*(1-IFERROR(IF(L$69+$F108&lt;=12,SUMIFS('Attrition Modeling'!$D:$D,'Attrition Modeling'!$C:$C,'IP Attrition'!$D108,'Attrition Modeling'!$B:$B,'IP Attrition'!L$68),VLOOKUP($F108+L$2,$A$6:$C$106,2,FALSE)*VLOOKUP(L$1,'Attrition Modeling'!$L$15:$N$27,IF(L$2+$F41&lt;=24,2,3),FALSE)),$C$3)*(1+Projection!N$16)*(1+IF(L173&gt;0,'Attrition Modeling'!$N$9,0)))</f>
        <v>0</v>
      </c>
      <c r="M108" s="799">
        <f>L108*(1-IFERROR(IF(M$69+$F108&lt;=12,SUMIFS('Attrition Modeling'!$D:$D,'Attrition Modeling'!$C:$C,'IP Attrition'!$D108,'Attrition Modeling'!$B:$B,'IP Attrition'!M$68),VLOOKUP($F108+M$2,$A$6:$C$106,2,FALSE)*VLOOKUP(M$1,'Attrition Modeling'!$L$15:$N$27,IF(M$2+$F41&lt;=24,2,3),FALSE)),$C$3)*(1+Projection!O$16)*(1+IF(M173&gt;0,'Attrition Modeling'!$N$9,0)))</f>
        <v>0</v>
      </c>
      <c r="N108" s="799">
        <f>M108*(1-IFERROR(IF(N$69+$F108&lt;=12,SUMIFS('Attrition Modeling'!$D:$D,'Attrition Modeling'!$C:$C,'IP Attrition'!$D108,'Attrition Modeling'!$B:$B,'IP Attrition'!N$68),VLOOKUP($F108+N$2,$A$6:$C$106,2,FALSE)*VLOOKUP(N$1,'Attrition Modeling'!$L$15:$N$27,IF(N$2+$F41&lt;=24,2,3),FALSE)),$C$3)*(1+Projection!P$16)*(1+IF(N173&gt;0,'Attrition Modeling'!$N$9,0)))</f>
        <v>0</v>
      </c>
      <c r="O108" s="799">
        <f>N108*(1-IFERROR(IF(O$69+$F108&lt;=12,SUMIFS('Attrition Modeling'!$D:$D,'Attrition Modeling'!$C:$C,'IP Attrition'!$D108,'Attrition Modeling'!$B:$B,'IP Attrition'!O$68),VLOOKUP($F108+O$2,$A$6:$C$106,2,FALSE)*VLOOKUP(O$1,'Attrition Modeling'!$L$15:$N$27,IF(O$2+$F41&lt;=24,2,3),FALSE)),$C$3)*(1+Projection!Q$16)*(1+IF(O173&gt;0,'Attrition Modeling'!$N$9,0)))</f>
        <v>0</v>
      </c>
      <c r="P108" s="799">
        <f>O108*(1-IFERROR(IF(P$69+$F108&lt;=12,SUMIFS('Attrition Modeling'!$D:$D,'Attrition Modeling'!$C:$C,'IP Attrition'!$D108,'Attrition Modeling'!$B:$B,'IP Attrition'!P$68),VLOOKUP($F108+P$2,$A$6:$C$106,2,FALSE)*VLOOKUP(P$1,'Attrition Modeling'!$L$15:$N$27,IF(P$2+$F41&lt;=24,2,3),FALSE)),$C$3)*(1+Projection!R$16)*(1+IF(P173&gt;0,'Attrition Modeling'!$N$9,0)))</f>
        <v>0</v>
      </c>
      <c r="Q108" s="799">
        <f>P108*(1-IFERROR(IF(Q$69+$F108&lt;=12,SUMIFS('Attrition Modeling'!$D:$D,'Attrition Modeling'!$C:$C,'IP Attrition'!$D108,'Attrition Modeling'!$B:$B,'IP Attrition'!Q$68),VLOOKUP($F108+Q$2,$A$6:$C$106,2,FALSE)*VLOOKUP(Q$1,'Attrition Modeling'!$L$15:$N$27,IF(Q$2+$F41&lt;=24,2,3),FALSE)),$C$3)*(1+Projection!S$16)*(1+IF(Q173&gt;0,'Attrition Modeling'!$N$9,0)))</f>
        <v>0</v>
      </c>
      <c r="R108" s="799">
        <f>Q108*(1-IFERROR(IF(R$69+$F108&lt;=12,SUMIFS('Attrition Modeling'!$D:$D,'Attrition Modeling'!$C:$C,'IP Attrition'!$D108,'Attrition Modeling'!$B:$B,'IP Attrition'!R$68),VLOOKUP($F108+R$2,$A$6:$C$106,2,FALSE)*VLOOKUP(R$1,'Attrition Modeling'!$L$15:$N$27,IF(R$2+$F41&lt;=24,2,3),FALSE)),$C$3)*(1+Projection!T$16)*(1+IF(R173&gt;0,'Attrition Modeling'!$N$9,0)))</f>
        <v>0</v>
      </c>
      <c r="S108" s="799">
        <f>R108*(1-IFERROR(IF(S$69+$F108&lt;=12,SUMIFS('Attrition Modeling'!$D:$D,'Attrition Modeling'!$C:$C,'IP Attrition'!$D108,'Attrition Modeling'!$B:$B,'IP Attrition'!S$68),VLOOKUP($F108+S$2,$A$6:$C$106,2,FALSE)*VLOOKUP(S$1,'Attrition Modeling'!$L$15:$N$27,IF(S$2+$F41&lt;=24,2,3),FALSE)),$C$3)*(1+Projection!U$16)*(1+IF(S173&gt;0,'Attrition Modeling'!$N$9,0)))</f>
        <v>0</v>
      </c>
      <c r="T108" s="799">
        <f>S108*(1-IFERROR(IF(T$69+$F108&lt;=12,SUMIFS('Attrition Modeling'!$D:$D,'Attrition Modeling'!$C:$C,'IP Attrition'!$D108,'Attrition Modeling'!$B:$B,'IP Attrition'!T$68),VLOOKUP($F108+T$2,$A$6:$C$106,2,FALSE)*VLOOKUP(T$1,'Attrition Modeling'!$L$15:$N$27,IF(T$2+$F41&lt;=24,2,3),FALSE)),$C$3)*(1+Projection!V$16)*(1+IF(T173&gt;0,'Attrition Modeling'!$N$9,0)))</f>
        <v>0</v>
      </c>
      <c r="U108" s="799">
        <f>T108*(1-IFERROR(IF(U$69+$F108&lt;=12,SUMIFS('Attrition Modeling'!$D:$D,'Attrition Modeling'!$C:$C,'IP Attrition'!$D108,'Attrition Modeling'!$B:$B,'IP Attrition'!U$68),VLOOKUP($F108+U$2,$A$6:$C$106,2,FALSE)*VLOOKUP(U$1,'Attrition Modeling'!$L$15:$N$27,IF(U$2+$F41&lt;=24,2,3),FALSE)),$C$3)*(1+Projection!W$16)*(1+IF(U173&gt;0,'Attrition Modeling'!$N$9,0)))</f>
        <v>0</v>
      </c>
      <c r="V108" s="799">
        <f>U108*(1-IFERROR(IF(V$69+$F108&lt;=12,SUMIFS('Attrition Modeling'!$D:$D,'Attrition Modeling'!$C:$C,'IP Attrition'!$D108,'Attrition Modeling'!$B:$B,'IP Attrition'!V$68),VLOOKUP($F108+V$2,$A$6:$C$106,2,FALSE)*VLOOKUP(V$1,'Attrition Modeling'!$L$15:$N$27,IF(V$2+$F41&lt;=24,2,3),FALSE)),$C$3)*(1+Projection!X$16)*(1+IF(V173&gt;0,'Attrition Modeling'!$N$9,0)))</f>
        <v>0</v>
      </c>
      <c r="W108" s="799">
        <f>V108*(1-IFERROR(IF(W$69+$F108&lt;=12,SUMIFS('Attrition Modeling'!$D:$D,'Attrition Modeling'!$C:$C,'IP Attrition'!$D108,'Attrition Modeling'!$B:$B,'IP Attrition'!W$68),VLOOKUP($F108+W$2,$A$6:$C$106,2,FALSE)*VLOOKUP(W$1,'Attrition Modeling'!$L$15:$N$27,IF(W$2+$F41&lt;=24,2,3),FALSE)),$C$3)*(1+Projection!Y$16)*(1+IF(W173&gt;0,'Attrition Modeling'!$N$9,0)))</f>
        <v>0</v>
      </c>
      <c r="X108" s="799">
        <f>W108*(1-IFERROR(IF(X$69+$F108&lt;=12,SUMIFS('Attrition Modeling'!$D:$D,'Attrition Modeling'!$C:$C,'IP Attrition'!$D108,'Attrition Modeling'!$B:$B,'IP Attrition'!X$68),VLOOKUP($F108+X$2,$A$6:$C$106,2,FALSE)*VLOOKUP(X$1,'Attrition Modeling'!$L$15:$N$27,IF(X$2+$F41&lt;=24,2,3),FALSE)),$C$3)*(1+Projection!Z$16)*(1+IF(X173&gt;0,'Attrition Modeling'!$N$9,0)))</f>
        <v>0</v>
      </c>
      <c r="Y108" s="799">
        <f>X108*(1-IFERROR(IF(Y$69+$F108&lt;=12,SUMIFS('Attrition Modeling'!$D:$D,'Attrition Modeling'!$C:$C,'IP Attrition'!$D108,'Attrition Modeling'!$B:$B,'IP Attrition'!Y$68),VLOOKUP($F108+Y$2,$A$6:$C$106,2,FALSE)*VLOOKUP(Y$1,'Attrition Modeling'!$L$15:$N$27,IF(Y$2+$F41&lt;=24,2,3),FALSE)),$C$3)*(1+Projection!AA$16)*(1+IF(Y173&gt;0,'Attrition Modeling'!$N$9,0)))</f>
        <v>0</v>
      </c>
      <c r="Z108" s="799">
        <f>Y108*(1-IFERROR(IF(Z$69+$F108&lt;=12,SUMIFS('Attrition Modeling'!$D:$D,'Attrition Modeling'!$C:$C,'IP Attrition'!$D108,'Attrition Modeling'!$B:$B,'IP Attrition'!Z$68),VLOOKUP($F108+Z$2,$A$6:$C$106,2,FALSE)*VLOOKUP(Z$1,'Attrition Modeling'!$L$15:$N$27,IF(Z$2+$F41&lt;=24,2,3),FALSE)),$C$3)*(1+Projection!AB$16)*(1+IF(Z173&gt;0,'Attrition Modeling'!$N$9,0)))</f>
        <v>0</v>
      </c>
      <c r="AA108" s="799">
        <f>Z108*(1-IFERROR(IF(AA$69+$F108&lt;=12,SUMIFS('Attrition Modeling'!$D:$D,'Attrition Modeling'!$C:$C,'IP Attrition'!$D108,'Attrition Modeling'!$B:$B,'IP Attrition'!AA$68),VLOOKUP($F108+AA$2,$A$6:$C$106,2,FALSE)*VLOOKUP(AA$1,'Attrition Modeling'!$L$15:$N$27,IF(AA$2+$F41&lt;=24,2,3),FALSE)),$C$3)*(1+Projection!AC$16)*(1+IF(AA173&gt;0,'Attrition Modeling'!$N$9,0)))</f>
        <v>0</v>
      </c>
      <c r="AB108" s="799">
        <f>AA108*(1-IFERROR(IF(AB$69+$F108&lt;=12,SUMIFS('Attrition Modeling'!$D:$D,'Attrition Modeling'!$C:$C,'IP Attrition'!$D108,'Attrition Modeling'!$B:$B,'IP Attrition'!AB$68),VLOOKUP($F108+AB$2,$A$6:$C$106,2,FALSE)*VLOOKUP(AB$1,'Attrition Modeling'!$L$15:$N$27,IF(AB$2+$F41&lt;=24,2,3),FALSE)),$C$3)*(1+Projection!AD$16)*(1+IF(AB173&gt;0,'Attrition Modeling'!$N$9,0)))</f>
        <v>0</v>
      </c>
      <c r="AC108" s="799">
        <f>AB108*(1-IFERROR(IF(AC$69+$F108&lt;=12,SUMIFS('Attrition Modeling'!$D:$D,'Attrition Modeling'!$C:$C,'IP Attrition'!$D108,'Attrition Modeling'!$B:$B,'IP Attrition'!AC$68),VLOOKUP($F108+AC$2,$A$6:$C$106,2,FALSE)*VLOOKUP(AC$1,'Attrition Modeling'!$L$15:$N$27,IF(AC$2+$F41&lt;=24,2,3),FALSE)),$C$3)*(1+Projection!AE$16)*(1+IF(AC173&gt;0,'Attrition Modeling'!$N$9,0)))</f>
        <v>0</v>
      </c>
      <c r="AD108" s="799">
        <f>AC108*(1-IFERROR(IF(AD$69+$F108&lt;=12,SUMIFS('Attrition Modeling'!$D:$D,'Attrition Modeling'!$C:$C,'IP Attrition'!$D108,'Attrition Modeling'!$B:$B,'IP Attrition'!AD$68),VLOOKUP($F108+AD$2,$A$6:$C$106,2,FALSE)*VLOOKUP(AD$1,'Attrition Modeling'!$L$15:$N$27,IF(AD$2+$F41&lt;=24,2,3),FALSE)),$C$3)*(1+Projection!AF$16)*(1+IF(AD173&gt;0,'Attrition Modeling'!$N$9,0)))</f>
        <v>0</v>
      </c>
      <c r="AE108" s="799">
        <f>AD108*(1-IFERROR(IF(AE$69+$F108&lt;=12,SUMIFS('Attrition Modeling'!$D:$D,'Attrition Modeling'!$C:$C,'IP Attrition'!$D108,'Attrition Modeling'!$B:$B,'IP Attrition'!AE$68),VLOOKUP($F108+AE$2,$A$6:$C$106,2,FALSE)*VLOOKUP(AE$1,'Attrition Modeling'!$L$15:$N$27,IF(AE$2+$F41&lt;=24,2,3),FALSE)),$C$3)*(1+Projection!AG$16)*(1+IF(AE173&gt;0,'Attrition Modeling'!$N$9,0)))</f>
        <v>0</v>
      </c>
      <c r="AF108" s="799">
        <f>AE108*(1-IFERROR(IF(AF$69+$F108&lt;=12,SUMIFS('Attrition Modeling'!$D:$D,'Attrition Modeling'!$C:$C,'IP Attrition'!$D108,'Attrition Modeling'!$B:$B,'IP Attrition'!AF$68),VLOOKUP($F108+AF$2,$A$6:$C$106,2,FALSE)*VLOOKUP(AF$1,'Attrition Modeling'!$L$15:$N$27,IF(AF$2+$F41&lt;=24,2,3),FALSE)),$C$3)*(1+Projection!AH$16)*(1+IF(AF173&gt;0,'Attrition Modeling'!$N$9,0)))</f>
        <v>0</v>
      </c>
      <c r="AG108" s="799">
        <f>AF108*(1-IFERROR(IF(AG$69+$F108&lt;=12,SUMIFS('Attrition Modeling'!$D:$D,'Attrition Modeling'!$C:$C,'IP Attrition'!$D108,'Attrition Modeling'!$B:$B,'IP Attrition'!AG$68),VLOOKUP($F108+AG$2,$A$6:$C$106,2,FALSE)*VLOOKUP(AG$1,'Attrition Modeling'!$L$15:$N$27,IF(AG$2+$F41&lt;=24,2,3),FALSE)),$C$3)*(1+Projection!AI$16)*(1+IF(AG173&gt;0,'Attrition Modeling'!$N$9,0)))</f>
        <v>0</v>
      </c>
      <c r="AH108" s="799">
        <f>AG108*(1-IFERROR(IF(AH$69+$F108&lt;=12,SUMIFS('Attrition Modeling'!$D:$D,'Attrition Modeling'!$C:$C,'IP Attrition'!$D108,'Attrition Modeling'!$B:$B,'IP Attrition'!AH$68),VLOOKUP($F108+AH$2,$A$6:$C$106,2,FALSE)*VLOOKUP(AH$1,'Attrition Modeling'!$L$15:$N$27,IF(AH$2+$F41&lt;=24,2,3),FALSE)),$C$3)*(1+Projection!AJ$16)*(1+IF(AH173&gt;0,'Attrition Modeling'!$N$9,0)))</f>
        <v>0</v>
      </c>
      <c r="AI108" s="799">
        <f>AH108*(1-IFERROR(IF(AI$69+$F108&lt;=12,SUMIFS('Attrition Modeling'!$D:$D,'Attrition Modeling'!$C:$C,'IP Attrition'!$D108,'Attrition Modeling'!$B:$B,'IP Attrition'!AI$68),VLOOKUP($F108+AI$2,$A$6:$C$106,2,FALSE)*VLOOKUP(AI$1,'Attrition Modeling'!$L$15:$N$27,IF(AI$2+$F41&lt;=24,2,3),FALSE)),$C$3)*(1+Projection!AK$16)*(1+IF(AI173&gt;0,'Attrition Modeling'!$N$9,0)))</f>
        <v>0</v>
      </c>
      <c r="AJ108" s="799">
        <f>AI108*(1-IFERROR(IF(AJ$69+$F108&lt;=12,SUMIFS('Attrition Modeling'!$D:$D,'Attrition Modeling'!$C:$C,'IP Attrition'!$D108,'Attrition Modeling'!$B:$B,'IP Attrition'!AJ$68),VLOOKUP($F108+AJ$2,$A$6:$C$106,2,FALSE)*VLOOKUP(AJ$1,'Attrition Modeling'!$L$15:$N$27,IF(AJ$2+$F41&lt;=24,2,3),FALSE)),$C$3)*(1+Projection!AL$16)*(1+IF(AJ173&gt;0,'Attrition Modeling'!$N$9,0)))</f>
        <v>0</v>
      </c>
      <c r="AK108" s="799">
        <f>AJ108*(1-IFERROR(IF(AK$69+$F108&lt;=12,SUMIFS('Attrition Modeling'!$D:$D,'Attrition Modeling'!$C:$C,'IP Attrition'!$D108,'Attrition Modeling'!$B:$B,'IP Attrition'!AK$68),VLOOKUP($F108+AK$2,$A$6:$C$106,2,FALSE)*VLOOKUP(AK$1,'Attrition Modeling'!$L$15:$N$27,IF(AK$2+$F41&lt;=24,2,3),FALSE)),$C$3)*(1+Projection!AM$16)*(1+IF(AK173&gt;0,'Attrition Modeling'!$N$9,0)))</f>
        <v>0</v>
      </c>
      <c r="AL108" s="799">
        <f>AK108*(1-IFERROR(IF(AL$69+$F108&lt;=12,SUMIFS('Attrition Modeling'!$D:$D,'Attrition Modeling'!$C:$C,'IP Attrition'!$D108,'Attrition Modeling'!$B:$B,'IP Attrition'!AL$68),VLOOKUP($F108+AL$2,$A$6:$C$106,2,FALSE)*VLOOKUP(AL$1,'Attrition Modeling'!$L$15:$N$27,IF(AL$2+$F41&lt;=24,2,3),FALSE)),$C$3)*(1+Projection!AN$16)*(1+IF(AL173&gt;0,'Attrition Modeling'!$N$9,0)))</f>
        <v>0</v>
      </c>
      <c r="AM108" s="799">
        <f>AL108*(1-IFERROR(IF(AM$69+$F108&lt;=12,SUMIFS('Attrition Modeling'!$D:$D,'Attrition Modeling'!$C:$C,'IP Attrition'!$D108,'Attrition Modeling'!$B:$B,'IP Attrition'!AM$68),VLOOKUP($F108+AM$2,$A$6:$C$106,2,FALSE)*VLOOKUP(AM$1,'Attrition Modeling'!$L$15:$N$27,IF(AM$2+$F41&lt;=24,2,3),FALSE)),$C$3)*(1+Projection!AO$16)*(1+IF(AM173&gt;0,'Attrition Modeling'!$N$9,0)))</f>
        <v>0</v>
      </c>
      <c r="AN108" s="799">
        <f>AM108*(1-IFERROR(IF(AN$69+$F108&lt;=12,SUMIFS('Attrition Modeling'!$D:$D,'Attrition Modeling'!$C:$C,'IP Attrition'!$D108,'Attrition Modeling'!$B:$B,'IP Attrition'!AN$68),VLOOKUP($F108+AN$2,$A$6:$C$106,2,FALSE)*VLOOKUP(AN$1,'Attrition Modeling'!$L$15:$N$27,IF(AN$2+$F41&lt;=24,2,3),FALSE)),$C$3)*(1+Projection!AP$16)*(1+IF(AN173&gt;0,'Attrition Modeling'!$N$9,0)))</f>
        <v>0</v>
      </c>
      <c r="AO108" s="799">
        <f>AN108*(1-IFERROR(IF(AO$69+$F108&lt;=12,SUMIFS('Attrition Modeling'!$D:$D,'Attrition Modeling'!$C:$C,'IP Attrition'!$D108,'Attrition Modeling'!$B:$B,'IP Attrition'!AO$68),VLOOKUP($F108+AO$2,$A$6:$C$106,2,FALSE)*VLOOKUP(AO$1,'Attrition Modeling'!$L$15:$N$27,IF(AO$2+$F41&lt;=24,2,3),FALSE)),$C$3)*(1+Projection!AQ$16)*(1+IF(AO173&gt;0,'Attrition Modeling'!$N$9,0)))</f>
        <v>0</v>
      </c>
      <c r="AP108" s="799">
        <f>AO108*(1-IFERROR(IF(AP$69+$F108&lt;=12,SUMIFS('Attrition Modeling'!$D:$D,'Attrition Modeling'!$C:$C,'IP Attrition'!$D108,'Attrition Modeling'!$B:$B,'IP Attrition'!AP$68),VLOOKUP($F108+AP$2,$A$6:$C$106,2,FALSE)*VLOOKUP(AP$1,'Attrition Modeling'!$L$15:$N$27,IF(AP$2+$F41&lt;=24,2,3),FALSE)),$C$3)*(1+Projection!AR$16)*(1+IF(AP173&gt;0,'Attrition Modeling'!$N$9,0)))</f>
        <v>0</v>
      </c>
      <c r="AQ108" s="799">
        <f>AP108*(1-IFERROR(IF(AQ$69+$F108&lt;=12,SUMIFS('Attrition Modeling'!$D:$D,'Attrition Modeling'!$C:$C,'IP Attrition'!$D108,'Attrition Modeling'!$B:$B,'IP Attrition'!AQ$68),VLOOKUP($F108+AQ$2,$A$6:$C$106,2,FALSE)*VLOOKUP(AQ$1,'Attrition Modeling'!$L$15:$N$27,IF(AQ$2+$F41&lt;=24,2,3),FALSE)),$C$3)*(1+Projection!AS$16)*(1+IF(AQ173&gt;0,'Attrition Modeling'!$N$9,0)))</f>
        <v>0</v>
      </c>
      <c r="AR108" s="799">
        <f>AQ108*(1-IFERROR(IF(AR$69+$F108&lt;=12,SUMIFS('Attrition Modeling'!$D:$D,'Attrition Modeling'!$C:$C,'IP Attrition'!$D108,'Attrition Modeling'!$B:$B,'IP Attrition'!AR$68),VLOOKUP($F108+AR$2,$A$6:$C$106,2,FALSE)*VLOOKUP(AR$1,'Attrition Modeling'!$L$15:$N$27,IF(AR$2+$F41&lt;=24,2,3),FALSE)),$C$3)*(1+Projection!AT$16)*(1+IF(AR173&gt;0,'Attrition Modeling'!$N$9,0)))</f>
        <v>0</v>
      </c>
      <c r="AS108" s="799">
        <f>AR108*(1-IFERROR(IF(AS$69+$F108&lt;=12,SUMIFS('Attrition Modeling'!$D:$D,'Attrition Modeling'!$C:$C,'IP Attrition'!$D108,'Attrition Modeling'!$B:$B,'IP Attrition'!AS$68),VLOOKUP($F108+AS$2,$A$6:$C$106,2,FALSE)*VLOOKUP(AS$1,'Attrition Modeling'!$L$15:$N$27,IF(AS$2+$F41&lt;=24,2,3),FALSE)),$C$3)*(1+Projection!AU$16)*(1+IF(AS173&gt;0,'Attrition Modeling'!$N$9,0)))</f>
        <v>0</v>
      </c>
      <c r="AT108" s="799">
        <f>AS108*(1-IFERROR(IF(AT$69+$F108&lt;=12,SUMIFS('Attrition Modeling'!$D:$D,'Attrition Modeling'!$C:$C,'IP Attrition'!$D108,'Attrition Modeling'!$B:$B,'IP Attrition'!AT$68),VLOOKUP($F108+AT$2,$A$6:$C$106,2,FALSE)*VLOOKUP(AT$1,'Attrition Modeling'!$L$15:$N$27,IF(AT$2+$F41&lt;=24,2,3),FALSE)),$C$3)*(1+Projection!AV$16)*(1+IF(AT173&gt;0,'Attrition Modeling'!$N$9,0)))</f>
        <v>0</v>
      </c>
      <c r="AU108" s="799">
        <f>AT108*(1-IFERROR(IF(AU$69+$F108&lt;=12,SUMIFS('Attrition Modeling'!$D:$D,'Attrition Modeling'!$C:$C,'IP Attrition'!$D108,'Attrition Modeling'!$B:$B,'IP Attrition'!AU$68),VLOOKUP($F108+AU$2,$A$6:$C$106,2,FALSE)*VLOOKUP(AU$1,'Attrition Modeling'!$L$15:$N$27,IF(AU$2+$F41&lt;=24,2,3),FALSE)),$C$3)*(1+Projection!AW$16)*(1+IF(AU173&gt;0,'Attrition Modeling'!$N$9,0)))</f>
        <v>0</v>
      </c>
      <c r="AV108" s="799">
        <f>AU108*(1-IFERROR(IF(AV$69+$F108&lt;=12,SUMIFS('Attrition Modeling'!$D:$D,'Attrition Modeling'!$C:$C,'IP Attrition'!$D108,'Attrition Modeling'!$B:$B,'IP Attrition'!AV$68),VLOOKUP($F108+AV$2,$A$6:$C$106,2,FALSE)*VLOOKUP(AV$1,'Attrition Modeling'!$L$15:$N$27,IF(AV$2+$F41&lt;=24,2,3),FALSE)),$C$3)*(1+Projection!AX$16)*(1+IF(AV173&gt;0,'Attrition Modeling'!$N$9,0)))</f>
        <v>0</v>
      </c>
      <c r="AW108" s="799">
        <f>AV108*(1-IFERROR(IF(AW$69+$F108&lt;=12,SUMIFS('Attrition Modeling'!$D:$D,'Attrition Modeling'!$C:$C,'IP Attrition'!$D108,'Attrition Modeling'!$B:$B,'IP Attrition'!AW$68),VLOOKUP($F108+AW$2,$A$6:$C$106,2,FALSE)*VLOOKUP(AW$1,'Attrition Modeling'!$L$15:$N$27,IF(AW$2+$F41&lt;=24,2,3),FALSE)),$C$3)*(1+Projection!AY$16)*(1+IF(AW173&gt;0,'Attrition Modeling'!$N$9,0)))</f>
        <v>0</v>
      </c>
      <c r="AX108" s="799">
        <f>AW108*(1-IFERROR(IF(AX$69+$F108&lt;=12,SUMIFS('Attrition Modeling'!$D:$D,'Attrition Modeling'!$C:$C,'IP Attrition'!$D108,'Attrition Modeling'!$B:$B,'IP Attrition'!AX$68),VLOOKUP($F108+AX$2,$A$6:$C$106,2,FALSE)*VLOOKUP(AX$1,'Attrition Modeling'!$L$15:$N$27,IF(AX$2+$F41&lt;=24,2,3),FALSE)),$C$3)*(1+Projection!AZ$16)*(1+IF(AX173&gt;0,'Attrition Modeling'!$N$9,0)))</f>
        <v>0</v>
      </c>
      <c r="AY108" s="799">
        <f>AX108*(1-IFERROR(IF(AY$69+$F108&lt;=12,SUMIFS('Attrition Modeling'!$D:$D,'Attrition Modeling'!$C:$C,'IP Attrition'!$D108,'Attrition Modeling'!$B:$B,'IP Attrition'!AY$68),VLOOKUP($F108+AY$2,$A$6:$C$106,2,FALSE)*VLOOKUP(AY$1,'Attrition Modeling'!$L$15:$N$27,IF(AY$2+$F41&lt;=24,2,3),FALSE)),$C$3)*(1+Projection!BA$16)*(1+IF(AY173&gt;0,'Attrition Modeling'!$N$9,0)))</f>
        <v>0</v>
      </c>
      <c r="AZ108" s="799">
        <f>AY108*(1-IFERROR(IF(AZ$69+$F108&lt;=12,SUMIFS('Attrition Modeling'!$D:$D,'Attrition Modeling'!$C:$C,'IP Attrition'!$D108,'Attrition Modeling'!$B:$B,'IP Attrition'!AZ$68),VLOOKUP($F108+AZ$2,$A$6:$C$106,2,FALSE)*VLOOKUP(AZ$1,'Attrition Modeling'!$L$15:$N$27,IF(AZ$2+$F41&lt;=24,2,3),FALSE)),$C$3)*(1+Projection!BB$16)*(1+IF(AZ173&gt;0,'Attrition Modeling'!$N$9,0)))</f>
        <v>0</v>
      </c>
      <c r="BA108" s="799">
        <f>AZ108*(1-IFERROR(IF(BA$69+$F108&lt;=12,SUMIFS('Attrition Modeling'!$D:$D,'Attrition Modeling'!$C:$C,'IP Attrition'!$D108,'Attrition Modeling'!$B:$B,'IP Attrition'!BA$68),VLOOKUP($F108+BA$2,$A$6:$C$106,2,FALSE)*VLOOKUP(BA$1,'Attrition Modeling'!$L$15:$N$27,IF(BA$2+$F41&lt;=24,2,3),FALSE)),$C$3)*(1+Projection!BC$16)*(1+IF(BA173&gt;0,'Attrition Modeling'!$N$9,0)))</f>
        <v>0</v>
      </c>
      <c r="BB108" s="799">
        <f>BA108*(1-IFERROR(IF(BB$69+$F108&lt;=12,SUMIFS('Attrition Modeling'!$D:$D,'Attrition Modeling'!$C:$C,'IP Attrition'!$D108,'Attrition Modeling'!$B:$B,'IP Attrition'!BB$68),VLOOKUP($F108+BB$2,$A$6:$C$106,2,FALSE)*VLOOKUP(BB$1,'Attrition Modeling'!$L$15:$N$27,IF(BB$2+$F41&lt;=24,2,3),FALSE)),$C$3)*(1+Projection!BD$16)*(1+IF(BB173&gt;0,'Attrition Modeling'!$N$9,0)))</f>
        <v>0</v>
      </c>
      <c r="BC108" s="799">
        <f>BB108*(1-IFERROR(IF(BC$69+$F108&lt;=12,SUMIFS('Attrition Modeling'!$D:$D,'Attrition Modeling'!$C:$C,'IP Attrition'!$D108,'Attrition Modeling'!$B:$B,'IP Attrition'!BC$68),VLOOKUP($F108+BC$2,$A$6:$C$106,2,FALSE)*VLOOKUP(BC$1,'Attrition Modeling'!$L$15:$N$27,IF(BC$2+$F41&lt;=24,2,3),FALSE)),$C$3)*(1+Projection!BE$16)*(1+IF(BC173&gt;0,'Attrition Modeling'!$N$9,0)))</f>
        <v>0</v>
      </c>
      <c r="BD108" s="799">
        <f>BC108*(1-IFERROR(IF(BD$69+$F108&lt;=12,SUMIFS('Attrition Modeling'!$D:$D,'Attrition Modeling'!$C:$C,'IP Attrition'!$D108,'Attrition Modeling'!$B:$B,'IP Attrition'!BD$68),VLOOKUP($F108+BD$2,$A$6:$C$106,2,FALSE)*VLOOKUP(BD$1,'Attrition Modeling'!$L$15:$N$27,IF(BD$2+$F41&lt;=24,2,3),FALSE)),$C$3)*(1+Projection!BF$16)*(1+IF(BD173&gt;0,'Attrition Modeling'!$N$9,0)))</f>
        <v>0</v>
      </c>
      <c r="BE108" s="799">
        <f>BD108*(1-IFERROR(IF(BE$69+$F108&lt;=12,SUMIFS('Attrition Modeling'!$D:$D,'Attrition Modeling'!$C:$C,'IP Attrition'!$D108,'Attrition Modeling'!$B:$B,'IP Attrition'!BE$68),VLOOKUP($F108+BE$2,$A$6:$C$106,2,FALSE)*VLOOKUP(BE$1,'Attrition Modeling'!$L$15:$N$27,IF(BE$2+$F41&lt;=24,2,3),FALSE)),$C$3)*(1+Projection!BG$16)*(1+IF(BE173&gt;0,'Attrition Modeling'!$N$9,0)))</f>
        <v>0</v>
      </c>
      <c r="BF108" s="799">
        <f>BE108*(1-IFERROR(IF(BF$69+$F108&lt;=12,SUMIFS('Attrition Modeling'!$D:$D,'Attrition Modeling'!$C:$C,'IP Attrition'!$D108,'Attrition Modeling'!$B:$B,'IP Attrition'!BF$68),VLOOKUP($F108+BF$2,$A$6:$C$106,2,FALSE)*VLOOKUP(BF$1,'Attrition Modeling'!$L$15:$N$27,IF(BF$2+$F41&lt;=24,2,3),FALSE)),$C$3)*(1+Projection!BH$16)*(1+IF(BF173&gt;0,'Attrition Modeling'!$N$9,0)))</f>
        <v>0</v>
      </c>
      <c r="BG108" s="799">
        <f>BF108*(1-IFERROR(IF(BG$69+$F108&lt;=12,SUMIFS('Attrition Modeling'!$D:$D,'Attrition Modeling'!$C:$C,'IP Attrition'!$D108,'Attrition Modeling'!$B:$B,'IP Attrition'!BG$68),VLOOKUP($F108+BG$2,$A$6:$C$106,2,FALSE)*VLOOKUP(BG$1,'Attrition Modeling'!$L$15:$N$27,IF(BG$2+$F41&lt;=24,2,3),FALSE)),$C$3)*(1+Projection!BI$16)*(1+IF(BG173&gt;0,'Attrition Modeling'!$N$9,0)))</f>
        <v>0</v>
      </c>
      <c r="BH108" s="799">
        <f>BG108*(1-IFERROR(IF(BH$69+$F108&lt;=12,SUMIFS('Attrition Modeling'!$D:$D,'Attrition Modeling'!$C:$C,'IP Attrition'!$D108,'Attrition Modeling'!$B:$B,'IP Attrition'!BH$68),VLOOKUP($F108+BH$2,$A$6:$C$106,2,FALSE)*VLOOKUP(BH$1,'Attrition Modeling'!$L$15:$N$27,IF(BH$2+$F41&lt;=24,2,3),FALSE)),$C$3)*(1+Projection!BJ$16)*(1+IF(BH173&gt;0,'Attrition Modeling'!$N$9,0)))</f>
        <v>0</v>
      </c>
      <c r="BI108" s="799">
        <f>BH108*(1-IFERROR(IF(BI$69+$F108&lt;=12,SUMIFS('Attrition Modeling'!$D:$D,'Attrition Modeling'!$C:$C,'IP Attrition'!$D108,'Attrition Modeling'!$B:$B,'IP Attrition'!BI$68),VLOOKUP($F108+BI$2,$A$6:$C$106,2,FALSE)*VLOOKUP(BI$1,'Attrition Modeling'!$L$15:$N$27,IF(BI$2+$F41&lt;=24,2,3),FALSE)),$C$3)*(1+Projection!BK$16)*(1+IF(BI173&gt;0,'Attrition Modeling'!$N$9,0)))</f>
        <v>0</v>
      </c>
      <c r="BJ108" s="799">
        <f>BI108*(1-IFERROR(IF(BJ$69+$F108&lt;=12,SUMIFS('Attrition Modeling'!$D:$D,'Attrition Modeling'!$C:$C,'IP Attrition'!$D108,'Attrition Modeling'!$B:$B,'IP Attrition'!BJ$68),VLOOKUP($F108+BJ$2,$A$6:$C$106,2,FALSE)*VLOOKUP(BJ$1,'Attrition Modeling'!$L$15:$N$27,IF(BJ$2+$F41&lt;=24,2,3),FALSE)),$C$3)*(1+Projection!BL$16)*(1+IF(BJ173&gt;0,'Attrition Modeling'!$N$9,0)))</f>
        <v>0</v>
      </c>
      <c r="BK108" s="799">
        <f>BJ108*(1-IFERROR(IF(BK$69+$F108&lt;=12,SUMIFS('Attrition Modeling'!$D:$D,'Attrition Modeling'!$C:$C,'IP Attrition'!$D108,'Attrition Modeling'!$B:$B,'IP Attrition'!BK$68),VLOOKUP($F108+BK$2,$A$6:$C$106,2,FALSE)*VLOOKUP(BK$1,'Attrition Modeling'!$L$15:$N$27,IF(BK$2+$F41&lt;=24,2,3),FALSE)),$C$3)*(1+Projection!BM$16)*(1+IF(BK173&gt;0,'Attrition Modeling'!$N$9,0)))</f>
        <v>0</v>
      </c>
      <c r="BL108" s="799">
        <f>BK108*(1-IFERROR(IF(BL$69+$F108&lt;=12,SUMIFS('Attrition Modeling'!$D:$D,'Attrition Modeling'!$C:$C,'IP Attrition'!$D108,'Attrition Modeling'!$B:$B,'IP Attrition'!BL$68),VLOOKUP($F108+BL$2,$A$6:$C$106,2,FALSE)*VLOOKUP(BL$1,'Attrition Modeling'!$L$15:$N$27,IF(BL$2+$F41&lt;=24,2,3),FALSE)),$C$3)*(1+Projection!BN$16)*(1+IF(BL173&gt;0,'Attrition Modeling'!$N$9,0)))</f>
        <v>0</v>
      </c>
      <c r="BM108" s="799">
        <f>BL108*(1-IFERROR(IF(BM$69+$F108&lt;=12,SUMIFS('Attrition Modeling'!$D:$D,'Attrition Modeling'!$C:$C,'IP Attrition'!$D108,'Attrition Modeling'!$B:$B,'IP Attrition'!BM$68),VLOOKUP($F108+BM$2,$A$6:$C$106,2,FALSE)*VLOOKUP(BM$1,'Attrition Modeling'!$L$15:$N$27,IF(BM$2+$F41&lt;=24,2,3),FALSE)),$C$3)*(1+Projection!BO$16)*(1+IF(BM173&gt;0,'Attrition Modeling'!$N$9,0)))</f>
        <v>0</v>
      </c>
      <c r="BN108" s="799">
        <f>BM108*(1-IFERROR(IF(BN$69+$F108&lt;=12,SUMIFS('Attrition Modeling'!$D:$D,'Attrition Modeling'!$C:$C,'IP Attrition'!$D108,'Attrition Modeling'!$B:$B,'IP Attrition'!BN$68),VLOOKUP($F108+BN$2,$A$6:$C$106,2,FALSE)*VLOOKUP(BN$1,'Attrition Modeling'!$L$15:$N$27,IF(BN$2+$F41&lt;=24,2,3),FALSE)),$C$3)*(1+Projection!BP$16)*(1+IF(BN173&gt;0,'Attrition Modeling'!$N$9,0)))</f>
        <v>0</v>
      </c>
      <c r="BO108" s="799">
        <f>BN108*(1-IFERROR(IF(BO$69+$F108&lt;=12,SUMIFS('Attrition Modeling'!$D:$D,'Attrition Modeling'!$C:$C,'IP Attrition'!$D108,'Attrition Modeling'!$B:$B,'IP Attrition'!BO$68),VLOOKUP($F108+BO$2,$A$6:$C$106,2,FALSE)*VLOOKUP(BO$1,'Attrition Modeling'!$L$15:$N$27,IF(BO$2+$F41&lt;=24,2,3),FALSE)),$C$3)*(1+Projection!BV$16)*(1+IF(BO173&gt;0,'Attrition Modeling'!$N$9,0)))</f>
        <v>0</v>
      </c>
      <c r="BP108" s="799">
        <f>BO108*(1-IFERROR(IF(BP$69+$F108&lt;=12,SUMIFS('Attrition Modeling'!$D:$D,'Attrition Modeling'!$C:$C,'IP Attrition'!$D108,'Attrition Modeling'!$B:$B,'IP Attrition'!BP$68),VLOOKUP($F108+BP$2,$A$6:$C$106,2,FALSE)*VLOOKUP(BP$1,'Attrition Modeling'!$L$15:$N$27,IF(BP$2+$F41&lt;=24,2,3),FALSE)),$C$3)*(1+Projection!BW$16)*(1+IF(BP173&gt;0,'Attrition Modeling'!$N$9,0)))</f>
        <v>0</v>
      </c>
      <c r="BQ108" s="799">
        <f>BP108*(1-IFERROR(IF(BQ$69+$F108&lt;=12,SUMIFS('Attrition Modeling'!$D:$D,'Attrition Modeling'!$C:$C,'IP Attrition'!$D108,'Attrition Modeling'!$B:$B,'IP Attrition'!BQ$68),VLOOKUP($F108+BQ$2,$A$6:$C$106,2,FALSE)*VLOOKUP(BQ$1,'Attrition Modeling'!$L$15:$N$27,IF(BQ$2+$F41&lt;=24,2,3),FALSE)),$C$3)*(1+Projection!BX$16)*(1+IF(BQ173&gt;0,'Attrition Modeling'!$N$9,0)))</f>
        <v>0</v>
      </c>
      <c r="BR108" s="799">
        <f>BQ108*(1-IFERROR(IF(BR$69+$F108&lt;=12,SUMIFS('Attrition Modeling'!$D:$D,'Attrition Modeling'!$C:$C,'IP Attrition'!$D108,'Attrition Modeling'!$B:$B,'IP Attrition'!BR$68),VLOOKUP($F108+BR$2,$A$6:$C$106,2,FALSE)*VLOOKUP(BR$1,'Attrition Modeling'!$L$15:$N$27,IF(BR$2+$F41&lt;=24,2,3),FALSE)),$C$3)*(1+Projection!BY$16)*(1+IF(BR173&gt;0,'Attrition Modeling'!$N$9,0)))</f>
        <v>0</v>
      </c>
      <c r="BS108" s="799">
        <f>BR108*(1-IFERROR(IF(BS$69+$F108&lt;=12,SUMIFS('Attrition Modeling'!$D:$D,'Attrition Modeling'!$C:$C,'IP Attrition'!$D108,'Attrition Modeling'!$B:$B,'IP Attrition'!BS$68),VLOOKUP($F108+BS$2,$A$6:$C$106,2,FALSE)*VLOOKUP(BS$1,'Attrition Modeling'!$L$15:$N$27,IF(BS$2+$F41&lt;=24,2,3),FALSE)),$C$3)*(1+Projection!BZ$16)*(1+IF(BS173&gt;0,'Attrition Modeling'!$N$9,0)))</f>
        <v>0</v>
      </c>
      <c r="BT108" s="799" t="e">
        <f>BS108*(1-IFERROR(IF(BT$69+$F108&lt;=12,SUMIFS('Attrition Modeling'!$D:$D,'Attrition Modeling'!$C:$C,'IP Attrition'!$D108,'Attrition Modeling'!$B:$B,'IP Attrition'!BT$68),VLOOKUP($F108+BT$2,$A$6:$C$106,2,FALSE)*VLOOKUP(BT$1,'Attrition Modeling'!$L$15:$N$27,IF(BT$2+$F41&lt;=24,2,3),FALSE)),$C$3)*(1+Projection!CA$16)*(1+IF(BT173&gt;0,'Attrition Modeling'!$N$9,0)))</f>
        <v>#REF!</v>
      </c>
      <c r="BU108" s="799" t="e">
        <f>BT108*(1-IFERROR(IF(BU$69+$F108&lt;=12,SUMIFS('Attrition Modeling'!$D:$D,'Attrition Modeling'!$C:$C,'IP Attrition'!$D108,'Attrition Modeling'!$B:$B,'IP Attrition'!BU$68),VLOOKUP($F108+BU$2,$A$6:$C$106,2,FALSE)*VLOOKUP(BU$1,'Attrition Modeling'!$L$15:$N$27,IF(BU$2+$F41&lt;=24,2,3),FALSE)),$C$3)*(1+Projection!CB$16)*(1+IF(BU173&gt;0,'Attrition Modeling'!$N$9,0)))</f>
        <v>#REF!</v>
      </c>
    </row>
    <row r="109" spans="1:73" ht="14.25" customHeight="1" x14ac:dyDescent="0.2">
      <c r="A109" s="9">
        <v>102</v>
      </c>
      <c r="B109" s="25">
        <f>MAX('Attrition Modeling'!H106,$C$3)*(1-Summary!$C$20)</f>
        <v>0.02</v>
      </c>
      <c r="C109" s="24" t="e">
        <f t="shared" si="3"/>
        <v>#DIV/0!</v>
      </c>
      <c r="D109" s="11">
        <f t="shared" ref="D109:E109" si="47">D42</f>
        <v>-39</v>
      </c>
      <c r="E109" s="25">
        <f t="shared" si="47"/>
        <v>0</v>
      </c>
      <c r="F109" s="11">
        <f t="shared" si="9"/>
        <v>39</v>
      </c>
      <c r="G109" s="799">
        <f>Summary!$C$24*$E109</f>
        <v>0</v>
      </c>
      <c r="H109" s="799">
        <f>G109*(1-IFERROR(IF(H$69+$F109&lt;=12,SUMIFS('Attrition Modeling'!$D:$D,'Attrition Modeling'!$C:$C,'IP Attrition'!$D109,'Attrition Modeling'!$B:$B,'IP Attrition'!H$68),VLOOKUP($F109+H$2,$A$6:$C$106,2,FALSE)*VLOOKUP(H$1,'Attrition Modeling'!$L$15:$N$27,IF(H$2+$F42&lt;=24,2,3),FALSE)),$C$3)*(1+Projection!J$16)*(1+IF(H174&gt;0,'Attrition Modeling'!$N$9,0)))</f>
        <v>0</v>
      </c>
      <c r="I109" s="799">
        <f>H109*(1-IFERROR(IF(I$69+$F109&lt;=12,SUMIFS('Attrition Modeling'!$D:$D,'Attrition Modeling'!$C:$C,'IP Attrition'!$D109,'Attrition Modeling'!$B:$B,'IP Attrition'!I$68),VLOOKUP($F109+I$2,$A$6:$C$106,2,FALSE)*VLOOKUP(I$1,'Attrition Modeling'!$L$15:$N$27,IF(I$2+$F42&lt;=24,2,3),FALSE)),$C$3)*(1+Projection!K$16)*(1+IF(I174&gt;0,'Attrition Modeling'!$N$9,0)))</f>
        <v>0</v>
      </c>
      <c r="J109" s="799">
        <f>I109*(1-IFERROR(IF(J$69+$F109&lt;=12,SUMIFS('Attrition Modeling'!$D:$D,'Attrition Modeling'!$C:$C,'IP Attrition'!$D109,'Attrition Modeling'!$B:$B,'IP Attrition'!J$68),VLOOKUP($F109+J$2,$A$6:$C$106,2,FALSE)*VLOOKUP(J$1,'Attrition Modeling'!$L$15:$N$27,IF(J$2+$F42&lt;=24,2,3),FALSE)),$C$3)*(1+Projection!L$16)*(1+IF(J174&gt;0,'Attrition Modeling'!$N$9,0)))</f>
        <v>0</v>
      </c>
      <c r="K109" s="799">
        <f>J109*(1-IFERROR(IF(K$69+$F109&lt;=12,SUMIFS('Attrition Modeling'!$D:$D,'Attrition Modeling'!$C:$C,'IP Attrition'!$D109,'Attrition Modeling'!$B:$B,'IP Attrition'!K$68),VLOOKUP($F109+K$2,$A$6:$C$106,2,FALSE)*VLOOKUP(K$1,'Attrition Modeling'!$L$15:$N$27,IF(K$2+$F42&lt;=24,2,3),FALSE)),$C$3)*(1+Projection!M$16)*(1+IF(K174&gt;0,'Attrition Modeling'!$N$9,0)))</f>
        <v>0</v>
      </c>
      <c r="L109" s="799">
        <f>K109*(1-IFERROR(IF(L$69+$F109&lt;=12,SUMIFS('Attrition Modeling'!$D:$D,'Attrition Modeling'!$C:$C,'IP Attrition'!$D109,'Attrition Modeling'!$B:$B,'IP Attrition'!L$68),VLOOKUP($F109+L$2,$A$6:$C$106,2,FALSE)*VLOOKUP(L$1,'Attrition Modeling'!$L$15:$N$27,IF(L$2+$F42&lt;=24,2,3),FALSE)),$C$3)*(1+Projection!N$16)*(1+IF(L174&gt;0,'Attrition Modeling'!$N$9,0)))</f>
        <v>0</v>
      </c>
      <c r="M109" s="799">
        <f>L109*(1-IFERROR(IF(M$69+$F109&lt;=12,SUMIFS('Attrition Modeling'!$D:$D,'Attrition Modeling'!$C:$C,'IP Attrition'!$D109,'Attrition Modeling'!$B:$B,'IP Attrition'!M$68),VLOOKUP($F109+M$2,$A$6:$C$106,2,FALSE)*VLOOKUP(M$1,'Attrition Modeling'!$L$15:$N$27,IF(M$2+$F42&lt;=24,2,3),FALSE)),$C$3)*(1+Projection!O$16)*(1+IF(M174&gt;0,'Attrition Modeling'!$N$9,0)))</f>
        <v>0</v>
      </c>
      <c r="N109" s="799">
        <f>M109*(1-IFERROR(IF(N$69+$F109&lt;=12,SUMIFS('Attrition Modeling'!$D:$D,'Attrition Modeling'!$C:$C,'IP Attrition'!$D109,'Attrition Modeling'!$B:$B,'IP Attrition'!N$68),VLOOKUP($F109+N$2,$A$6:$C$106,2,FALSE)*VLOOKUP(N$1,'Attrition Modeling'!$L$15:$N$27,IF(N$2+$F42&lt;=24,2,3),FALSE)),$C$3)*(1+Projection!P$16)*(1+IF(N174&gt;0,'Attrition Modeling'!$N$9,0)))</f>
        <v>0</v>
      </c>
      <c r="O109" s="799">
        <f>N109*(1-IFERROR(IF(O$69+$F109&lt;=12,SUMIFS('Attrition Modeling'!$D:$D,'Attrition Modeling'!$C:$C,'IP Attrition'!$D109,'Attrition Modeling'!$B:$B,'IP Attrition'!O$68),VLOOKUP($F109+O$2,$A$6:$C$106,2,FALSE)*VLOOKUP(O$1,'Attrition Modeling'!$L$15:$N$27,IF(O$2+$F42&lt;=24,2,3),FALSE)),$C$3)*(1+Projection!Q$16)*(1+IF(O174&gt;0,'Attrition Modeling'!$N$9,0)))</f>
        <v>0</v>
      </c>
      <c r="P109" s="799">
        <f>O109*(1-IFERROR(IF(P$69+$F109&lt;=12,SUMIFS('Attrition Modeling'!$D:$D,'Attrition Modeling'!$C:$C,'IP Attrition'!$D109,'Attrition Modeling'!$B:$B,'IP Attrition'!P$68),VLOOKUP($F109+P$2,$A$6:$C$106,2,FALSE)*VLOOKUP(P$1,'Attrition Modeling'!$L$15:$N$27,IF(P$2+$F42&lt;=24,2,3),FALSE)),$C$3)*(1+Projection!R$16)*(1+IF(P174&gt;0,'Attrition Modeling'!$N$9,0)))</f>
        <v>0</v>
      </c>
      <c r="Q109" s="799">
        <f>P109*(1-IFERROR(IF(Q$69+$F109&lt;=12,SUMIFS('Attrition Modeling'!$D:$D,'Attrition Modeling'!$C:$C,'IP Attrition'!$D109,'Attrition Modeling'!$B:$B,'IP Attrition'!Q$68),VLOOKUP($F109+Q$2,$A$6:$C$106,2,FALSE)*VLOOKUP(Q$1,'Attrition Modeling'!$L$15:$N$27,IF(Q$2+$F42&lt;=24,2,3),FALSE)),$C$3)*(1+Projection!S$16)*(1+IF(Q174&gt;0,'Attrition Modeling'!$N$9,0)))</f>
        <v>0</v>
      </c>
      <c r="R109" s="799">
        <f>Q109*(1-IFERROR(IF(R$69+$F109&lt;=12,SUMIFS('Attrition Modeling'!$D:$D,'Attrition Modeling'!$C:$C,'IP Attrition'!$D109,'Attrition Modeling'!$B:$B,'IP Attrition'!R$68),VLOOKUP($F109+R$2,$A$6:$C$106,2,FALSE)*VLOOKUP(R$1,'Attrition Modeling'!$L$15:$N$27,IF(R$2+$F42&lt;=24,2,3),FALSE)),$C$3)*(1+Projection!T$16)*(1+IF(R174&gt;0,'Attrition Modeling'!$N$9,0)))</f>
        <v>0</v>
      </c>
      <c r="S109" s="799">
        <f>R109*(1-IFERROR(IF(S$69+$F109&lt;=12,SUMIFS('Attrition Modeling'!$D:$D,'Attrition Modeling'!$C:$C,'IP Attrition'!$D109,'Attrition Modeling'!$B:$B,'IP Attrition'!S$68),VLOOKUP($F109+S$2,$A$6:$C$106,2,FALSE)*VLOOKUP(S$1,'Attrition Modeling'!$L$15:$N$27,IF(S$2+$F42&lt;=24,2,3),FALSE)),$C$3)*(1+Projection!U$16)*(1+IF(S174&gt;0,'Attrition Modeling'!$N$9,0)))</f>
        <v>0</v>
      </c>
      <c r="T109" s="799">
        <f>S109*(1-IFERROR(IF(T$69+$F109&lt;=12,SUMIFS('Attrition Modeling'!$D:$D,'Attrition Modeling'!$C:$C,'IP Attrition'!$D109,'Attrition Modeling'!$B:$B,'IP Attrition'!T$68),VLOOKUP($F109+T$2,$A$6:$C$106,2,FALSE)*VLOOKUP(T$1,'Attrition Modeling'!$L$15:$N$27,IF(T$2+$F42&lt;=24,2,3),FALSE)),$C$3)*(1+Projection!V$16)*(1+IF(T174&gt;0,'Attrition Modeling'!$N$9,0)))</f>
        <v>0</v>
      </c>
      <c r="U109" s="799">
        <f>T109*(1-IFERROR(IF(U$69+$F109&lt;=12,SUMIFS('Attrition Modeling'!$D:$D,'Attrition Modeling'!$C:$C,'IP Attrition'!$D109,'Attrition Modeling'!$B:$B,'IP Attrition'!U$68),VLOOKUP($F109+U$2,$A$6:$C$106,2,FALSE)*VLOOKUP(U$1,'Attrition Modeling'!$L$15:$N$27,IF(U$2+$F42&lt;=24,2,3),FALSE)),$C$3)*(1+Projection!W$16)*(1+IF(U174&gt;0,'Attrition Modeling'!$N$9,0)))</f>
        <v>0</v>
      </c>
      <c r="V109" s="799">
        <f>U109*(1-IFERROR(IF(V$69+$F109&lt;=12,SUMIFS('Attrition Modeling'!$D:$D,'Attrition Modeling'!$C:$C,'IP Attrition'!$D109,'Attrition Modeling'!$B:$B,'IP Attrition'!V$68),VLOOKUP($F109+V$2,$A$6:$C$106,2,FALSE)*VLOOKUP(V$1,'Attrition Modeling'!$L$15:$N$27,IF(V$2+$F42&lt;=24,2,3),FALSE)),$C$3)*(1+Projection!X$16)*(1+IF(V174&gt;0,'Attrition Modeling'!$N$9,0)))</f>
        <v>0</v>
      </c>
      <c r="W109" s="799">
        <f>V109*(1-IFERROR(IF(W$69+$F109&lt;=12,SUMIFS('Attrition Modeling'!$D:$D,'Attrition Modeling'!$C:$C,'IP Attrition'!$D109,'Attrition Modeling'!$B:$B,'IP Attrition'!W$68),VLOOKUP($F109+W$2,$A$6:$C$106,2,FALSE)*VLOOKUP(W$1,'Attrition Modeling'!$L$15:$N$27,IF(W$2+$F42&lt;=24,2,3),FALSE)),$C$3)*(1+Projection!Y$16)*(1+IF(W174&gt;0,'Attrition Modeling'!$N$9,0)))</f>
        <v>0</v>
      </c>
      <c r="X109" s="799">
        <f>W109*(1-IFERROR(IF(X$69+$F109&lt;=12,SUMIFS('Attrition Modeling'!$D:$D,'Attrition Modeling'!$C:$C,'IP Attrition'!$D109,'Attrition Modeling'!$B:$B,'IP Attrition'!X$68),VLOOKUP($F109+X$2,$A$6:$C$106,2,FALSE)*VLOOKUP(X$1,'Attrition Modeling'!$L$15:$N$27,IF(X$2+$F42&lt;=24,2,3),FALSE)),$C$3)*(1+Projection!Z$16)*(1+IF(X174&gt;0,'Attrition Modeling'!$N$9,0)))</f>
        <v>0</v>
      </c>
      <c r="Y109" s="799">
        <f>X109*(1-IFERROR(IF(Y$69+$F109&lt;=12,SUMIFS('Attrition Modeling'!$D:$D,'Attrition Modeling'!$C:$C,'IP Attrition'!$D109,'Attrition Modeling'!$B:$B,'IP Attrition'!Y$68),VLOOKUP($F109+Y$2,$A$6:$C$106,2,FALSE)*VLOOKUP(Y$1,'Attrition Modeling'!$L$15:$N$27,IF(Y$2+$F42&lt;=24,2,3),FALSE)),$C$3)*(1+Projection!AA$16)*(1+IF(Y174&gt;0,'Attrition Modeling'!$N$9,0)))</f>
        <v>0</v>
      </c>
      <c r="Z109" s="799">
        <f>Y109*(1-IFERROR(IF(Z$69+$F109&lt;=12,SUMIFS('Attrition Modeling'!$D:$D,'Attrition Modeling'!$C:$C,'IP Attrition'!$D109,'Attrition Modeling'!$B:$B,'IP Attrition'!Z$68),VLOOKUP($F109+Z$2,$A$6:$C$106,2,FALSE)*VLOOKUP(Z$1,'Attrition Modeling'!$L$15:$N$27,IF(Z$2+$F42&lt;=24,2,3),FALSE)),$C$3)*(1+Projection!AB$16)*(1+IF(Z174&gt;0,'Attrition Modeling'!$N$9,0)))</f>
        <v>0</v>
      </c>
      <c r="AA109" s="799">
        <f>Z109*(1-IFERROR(IF(AA$69+$F109&lt;=12,SUMIFS('Attrition Modeling'!$D:$D,'Attrition Modeling'!$C:$C,'IP Attrition'!$D109,'Attrition Modeling'!$B:$B,'IP Attrition'!AA$68),VLOOKUP($F109+AA$2,$A$6:$C$106,2,FALSE)*VLOOKUP(AA$1,'Attrition Modeling'!$L$15:$N$27,IF(AA$2+$F42&lt;=24,2,3),FALSE)),$C$3)*(1+Projection!AC$16)*(1+IF(AA174&gt;0,'Attrition Modeling'!$N$9,0)))</f>
        <v>0</v>
      </c>
      <c r="AB109" s="799">
        <f>AA109*(1-IFERROR(IF(AB$69+$F109&lt;=12,SUMIFS('Attrition Modeling'!$D:$D,'Attrition Modeling'!$C:$C,'IP Attrition'!$D109,'Attrition Modeling'!$B:$B,'IP Attrition'!AB$68),VLOOKUP($F109+AB$2,$A$6:$C$106,2,FALSE)*VLOOKUP(AB$1,'Attrition Modeling'!$L$15:$N$27,IF(AB$2+$F42&lt;=24,2,3),FALSE)),$C$3)*(1+Projection!AD$16)*(1+IF(AB174&gt;0,'Attrition Modeling'!$N$9,0)))</f>
        <v>0</v>
      </c>
      <c r="AC109" s="799">
        <f>AB109*(1-IFERROR(IF(AC$69+$F109&lt;=12,SUMIFS('Attrition Modeling'!$D:$D,'Attrition Modeling'!$C:$C,'IP Attrition'!$D109,'Attrition Modeling'!$B:$B,'IP Attrition'!AC$68),VLOOKUP($F109+AC$2,$A$6:$C$106,2,FALSE)*VLOOKUP(AC$1,'Attrition Modeling'!$L$15:$N$27,IF(AC$2+$F42&lt;=24,2,3),FALSE)),$C$3)*(1+Projection!AE$16)*(1+IF(AC174&gt;0,'Attrition Modeling'!$N$9,0)))</f>
        <v>0</v>
      </c>
      <c r="AD109" s="799">
        <f>AC109*(1-IFERROR(IF(AD$69+$F109&lt;=12,SUMIFS('Attrition Modeling'!$D:$D,'Attrition Modeling'!$C:$C,'IP Attrition'!$D109,'Attrition Modeling'!$B:$B,'IP Attrition'!AD$68),VLOOKUP($F109+AD$2,$A$6:$C$106,2,FALSE)*VLOOKUP(AD$1,'Attrition Modeling'!$L$15:$N$27,IF(AD$2+$F42&lt;=24,2,3),FALSE)),$C$3)*(1+Projection!AF$16)*(1+IF(AD174&gt;0,'Attrition Modeling'!$N$9,0)))</f>
        <v>0</v>
      </c>
      <c r="AE109" s="799">
        <f>AD109*(1-IFERROR(IF(AE$69+$F109&lt;=12,SUMIFS('Attrition Modeling'!$D:$D,'Attrition Modeling'!$C:$C,'IP Attrition'!$D109,'Attrition Modeling'!$B:$B,'IP Attrition'!AE$68),VLOOKUP($F109+AE$2,$A$6:$C$106,2,FALSE)*VLOOKUP(AE$1,'Attrition Modeling'!$L$15:$N$27,IF(AE$2+$F42&lt;=24,2,3),FALSE)),$C$3)*(1+Projection!AG$16)*(1+IF(AE174&gt;0,'Attrition Modeling'!$N$9,0)))</f>
        <v>0</v>
      </c>
      <c r="AF109" s="799">
        <f>AE109*(1-IFERROR(IF(AF$69+$F109&lt;=12,SUMIFS('Attrition Modeling'!$D:$D,'Attrition Modeling'!$C:$C,'IP Attrition'!$D109,'Attrition Modeling'!$B:$B,'IP Attrition'!AF$68),VLOOKUP($F109+AF$2,$A$6:$C$106,2,FALSE)*VLOOKUP(AF$1,'Attrition Modeling'!$L$15:$N$27,IF(AF$2+$F42&lt;=24,2,3),FALSE)),$C$3)*(1+Projection!AH$16)*(1+IF(AF174&gt;0,'Attrition Modeling'!$N$9,0)))</f>
        <v>0</v>
      </c>
      <c r="AG109" s="799">
        <f>AF109*(1-IFERROR(IF(AG$69+$F109&lt;=12,SUMIFS('Attrition Modeling'!$D:$D,'Attrition Modeling'!$C:$C,'IP Attrition'!$D109,'Attrition Modeling'!$B:$B,'IP Attrition'!AG$68),VLOOKUP($F109+AG$2,$A$6:$C$106,2,FALSE)*VLOOKUP(AG$1,'Attrition Modeling'!$L$15:$N$27,IF(AG$2+$F42&lt;=24,2,3),FALSE)),$C$3)*(1+Projection!AI$16)*(1+IF(AG174&gt;0,'Attrition Modeling'!$N$9,0)))</f>
        <v>0</v>
      </c>
      <c r="AH109" s="799">
        <f>AG109*(1-IFERROR(IF(AH$69+$F109&lt;=12,SUMIFS('Attrition Modeling'!$D:$D,'Attrition Modeling'!$C:$C,'IP Attrition'!$D109,'Attrition Modeling'!$B:$B,'IP Attrition'!AH$68),VLOOKUP($F109+AH$2,$A$6:$C$106,2,FALSE)*VLOOKUP(AH$1,'Attrition Modeling'!$L$15:$N$27,IF(AH$2+$F42&lt;=24,2,3),FALSE)),$C$3)*(1+Projection!AJ$16)*(1+IF(AH174&gt;0,'Attrition Modeling'!$N$9,0)))</f>
        <v>0</v>
      </c>
      <c r="AI109" s="799">
        <f>AH109*(1-IFERROR(IF(AI$69+$F109&lt;=12,SUMIFS('Attrition Modeling'!$D:$D,'Attrition Modeling'!$C:$C,'IP Attrition'!$D109,'Attrition Modeling'!$B:$B,'IP Attrition'!AI$68),VLOOKUP($F109+AI$2,$A$6:$C$106,2,FALSE)*VLOOKUP(AI$1,'Attrition Modeling'!$L$15:$N$27,IF(AI$2+$F42&lt;=24,2,3),FALSE)),$C$3)*(1+Projection!AK$16)*(1+IF(AI174&gt;0,'Attrition Modeling'!$N$9,0)))</f>
        <v>0</v>
      </c>
      <c r="AJ109" s="799">
        <f>AI109*(1-IFERROR(IF(AJ$69+$F109&lt;=12,SUMIFS('Attrition Modeling'!$D:$D,'Attrition Modeling'!$C:$C,'IP Attrition'!$D109,'Attrition Modeling'!$B:$B,'IP Attrition'!AJ$68),VLOOKUP($F109+AJ$2,$A$6:$C$106,2,FALSE)*VLOOKUP(AJ$1,'Attrition Modeling'!$L$15:$N$27,IF(AJ$2+$F42&lt;=24,2,3),FALSE)),$C$3)*(1+Projection!AL$16)*(1+IF(AJ174&gt;0,'Attrition Modeling'!$N$9,0)))</f>
        <v>0</v>
      </c>
      <c r="AK109" s="799">
        <f>AJ109*(1-IFERROR(IF(AK$69+$F109&lt;=12,SUMIFS('Attrition Modeling'!$D:$D,'Attrition Modeling'!$C:$C,'IP Attrition'!$D109,'Attrition Modeling'!$B:$B,'IP Attrition'!AK$68),VLOOKUP($F109+AK$2,$A$6:$C$106,2,FALSE)*VLOOKUP(AK$1,'Attrition Modeling'!$L$15:$N$27,IF(AK$2+$F42&lt;=24,2,3),FALSE)),$C$3)*(1+Projection!AM$16)*(1+IF(AK174&gt;0,'Attrition Modeling'!$N$9,0)))</f>
        <v>0</v>
      </c>
      <c r="AL109" s="799">
        <f>AK109*(1-IFERROR(IF(AL$69+$F109&lt;=12,SUMIFS('Attrition Modeling'!$D:$D,'Attrition Modeling'!$C:$C,'IP Attrition'!$D109,'Attrition Modeling'!$B:$B,'IP Attrition'!AL$68),VLOOKUP($F109+AL$2,$A$6:$C$106,2,FALSE)*VLOOKUP(AL$1,'Attrition Modeling'!$L$15:$N$27,IF(AL$2+$F42&lt;=24,2,3),FALSE)),$C$3)*(1+Projection!AN$16)*(1+IF(AL174&gt;0,'Attrition Modeling'!$N$9,0)))</f>
        <v>0</v>
      </c>
      <c r="AM109" s="799">
        <f>AL109*(1-IFERROR(IF(AM$69+$F109&lt;=12,SUMIFS('Attrition Modeling'!$D:$D,'Attrition Modeling'!$C:$C,'IP Attrition'!$D109,'Attrition Modeling'!$B:$B,'IP Attrition'!AM$68),VLOOKUP($F109+AM$2,$A$6:$C$106,2,FALSE)*VLOOKUP(AM$1,'Attrition Modeling'!$L$15:$N$27,IF(AM$2+$F42&lt;=24,2,3),FALSE)),$C$3)*(1+Projection!AO$16)*(1+IF(AM174&gt;0,'Attrition Modeling'!$N$9,0)))</f>
        <v>0</v>
      </c>
      <c r="AN109" s="799">
        <f>AM109*(1-IFERROR(IF(AN$69+$F109&lt;=12,SUMIFS('Attrition Modeling'!$D:$D,'Attrition Modeling'!$C:$C,'IP Attrition'!$D109,'Attrition Modeling'!$B:$B,'IP Attrition'!AN$68),VLOOKUP($F109+AN$2,$A$6:$C$106,2,FALSE)*VLOOKUP(AN$1,'Attrition Modeling'!$L$15:$N$27,IF(AN$2+$F42&lt;=24,2,3),FALSE)),$C$3)*(1+Projection!AP$16)*(1+IF(AN174&gt;0,'Attrition Modeling'!$N$9,0)))</f>
        <v>0</v>
      </c>
      <c r="AO109" s="799">
        <f>AN109*(1-IFERROR(IF(AO$69+$F109&lt;=12,SUMIFS('Attrition Modeling'!$D:$D,'Attrition Modeling'!$C:$C,'IP Attrition'!$D109,'Attrition Modeling'!$B:$B,'IP Attrition'!AO$68),VLOOKUP($F109+AO$2,$A$6:$C$106,2,FALSE)*VLOOKUP(AO$1,'Attrition Modeling'!$L$15:$N$27,IF(AO$2+$F42&lt;=24,2,3),FALSE)),$C$3)*(1+Projection!AQ$16)*(1+IF(AO174&gt;0,'Attrition Modeling'!$N$9,0)))</f>
        <v>0</v>
      </c>
      <c r="AP109" s="799">
        <f>AO109*(1-IFERROR(IF(AP$69+$F109&lt;=12,SUMIFS('Attrition Modeling'!$D:$D,'Attrition Modeling'!$C:$C,'IP Attrition'!$D109,'Attrition Modeling'!$B:$B,'IP Attrition'!AP$68),VLOOKUP($F109+AP$2,$A$6:$C$106,2,FALSE)*VLOOKUP(AP$1,'Attrition Modeling'!$L$15:$N$27,IF(AP$2+$F42&lt;=24,2,3),FALSE)),$C$3)*(1+Projection!AR$16)*(1+IF(AP174&gt;0,'Attrition Modeling'!$N$9,0)))</f>
        <v>0</v>
      </c>
      <c r="AQ109" s="799">
        <f>AP109*(1-IFERROR(IF(AQ$69+$F109&lt;=12,SUMIFS('Attrition Modeling'!$D:$D,'Attrition Modeling'!$C:$C,'IP Attrition'!$D109,'Attrition Modeling'!$B:$B,'IP Attrition'!AQ$68),VLOOKUP($F109+AQ$2,$A$6:$C$106,2,FALSE)*VLOOKUP(AQ$1,'Attrition Modeling'!$L$15:$N$27,IF(AQ$2+$F42&lt;=24,2,3),FALSE)),$C$3)*(1+Projection!AS$16)*(1+IF(AQ174&gt;0,'Attrition Modeling'!$N$9,0)))</f>
        <v>0</v>
      </c>
      <c r="AR109" s="799">
        <f>AQ109*(1-IFERROR(IF(AR$69+$F109&lt;=12,SUMIFS('Attrition Modeling'!$D:$D,'Attrition Modeling'!$C:$C,'IP Attrition'!$D109,'Attrition Modeling'!$B:$B,'IP Attrition'!AR$68),VLOOKUP($F109+AR$2,$A$6:$C$106,2,FALSE)*VLOOKUP(AR$1,'Attrition Modeling'!$L$15:$N$27,IF(AR$2+$F42&lt;=24,2,3),FALSE)),$C$3)*(1+Projection!AT$16)*(1+IF(AR174&gt;0,'Attrition Modeling'!$N$9,0)))</f>
        <v>0</v>
      </c>
      <c r="AS109" s="799">
        <f>AR109*(1-IFERROR(IF(AS$69+$F109&lt;=12,SUMIFS('Attrition Modeling'!$D:$D,'Attrition Modeling'!$C:$C,'IP Attrition'!$D109,'Attrition Modeling'!$B:$B,'IP Attrition'!AS$68),VLOOKUP($F109+AS$2,$A$6:$C$106,2,FALSE)*VLOOKUP(AS$1,'Attrition Modeling'!$L$15:$N$27,IF(AS$2+$F42&lt;=24,2,3),FALSE)),$C$3)*(1+Projection!AU$16)*(1+IF(AS174&gt;0,'Attrition Modeling'!$N$9,0)))</f>
        <v>0</v>
      </c>
      <c r="AT109" s="799">
        <f>AS109*(1-IFERROR(IF(AT$69+$F109&lt;=12,SUMIFS('Attrition Modeling'!$D:$D,'Attrition Modeling'!$C:$C,'IP Attrition'!$D109,'Attrition Modeling'!$B:$B,'IP Attrition'!AT$68),VLOOKUP($F109+AT$2,$A$6:$C$106,2,FALSE)*VLOOKUP(AT$1,'Attrition Modeling'!$L$15:$N$27,IF(AT$2+$F42&lt;=24,2,3),FALSE)),$C$3)*(1+Projection!AV$16)*(1+IF(AT174&gt;0,'Attrition Modeling'!$N$9,0)))</f>
        <v>0</v>
      </c>
      <c r="AU109" s="799">
        <f>AT109*(1-IFERROR(IF(AU$69+$F109&lt;=12,SUMIFS('Attrition Modeling'!$D:$D,'Attrition Modeling'!$C:$C,'IP Attrition'!$D109,'Attrition Modeling'!$B:$B,'IP Attrition'!AU$68),VLOOKUP($F109+AU$2,$A$6:$C$106,2,FALSE)*VLOOKUP(AU$1,'Attrition Modeling'!$L$15:$N$27,IF(AU$2+$F42&lt;=24,2,3),FALSE)),$C$3)*(1+Projection!AW$16)*(1+IF(AU174&gt;0,'Attrition Modeling'!$N$9,0)))</f>
        <v>0</v>
      </c>
      <c r="AV109" s="799">
        <f>AU109*(1-IFERROR(IF(AV$69+$F109&lt;=12,SUMIFS('Attrition Modeling'!$D:$D,'Attrition Modeling'!$C:$C,'IP Attrition'!$D109,'Attrition Modeling'!$B:$B,'IP Attrition'!AV$68),VLOOKUP($F109+AV$2,$A$6:$C$106,2,FALSE)*VLOOKUP(AV$1,'Attrition Modeling'!$L$15:$N$27,IF(AV$2+$F42&lt;=24,2,3),FALSE)),$C$3)*(1+Projection!AX$16)*(1+IF(AV174&gt;0,'Attrition Modeling'!$N$9,0)))</f>
        <v>0</v>
      </c>
      <c r="AW109" s="799">
        <f>AV109*(1-IFERROR(IF(AW$69+$F109&lt;=12,SUMIFS('Attrition Modeling'!$D:$D,'Attrition Modeling'!$C:$C,'IP Attrition'!$D109,'Attrition Modeling'!$B:$B,'IP Attrition'!AW$68),VLOOKUP($F109+AW$2,$A$6:$C$106,2,FALSE)*VLOOKUP(AW$1,'Attrition Modeling'!$L$15:$N$27,IF(AW$2+$F42&lt;=24,2,3),FALSE)),$C$3)*(1+Projection!AY$16)*(1+IF(AW174&gt;0,'Attrition Modeling'!$N$9,0)))</f>
        <v>0</v>
      </c>
      <c r="AX109" s="799">
        <f>AW109*(1-IFERROR(IF(AX$69+$F109&lt;=12,SUMIFS('Attrition Modeling'!$D:$D,'Attrition Modeling'!$C:$C,'IP Attrition'!$D109,'Attrition Modeling'!$B:$B,'IP Attrition'!AX$68),VLOOKUP($F109+AX$2,$A$6:$C$106,2,FALSE)*VLOOKUP(AX$1,'Attrition Modeling'!$L$15:$N$27,IF(AX$2+$F42&lt;=24,2,3),FALSE)),$C$3)*(1+Projection!AZ$16)*(1+IF(AX174&gt;0,'Attrition Modeling'!$N$9,0)))</f>
        <v>0</v>
      </c>
      <c r="AY109" s="799">
        <f>AX109*(1-IFERROR(IF(AY$69+$F109&lt;=12,SUMIFS('Attrition Modeling'!$D:$D,'Attrition Modeling'!$C:$C,'IP Attrition'!$D109,'Attrition Modeling'!$B:$B,'IP Attrition'!AY$68),VLOOKUP($F109+AY$2,$A$6:$C$106,2,FALSE)*VLOOKUP(AY$1,'Attrition Modeling'!$L$15:$N$27,IF(AY$2+$F42&lt;=24,2,3),FALSE)),$C$3)*(1+Projection!BA$16)*(1+IF(AY174&gt;0,'Attrition Modeling'!$N$9,0)))</f>
        <v>0</v>
      </c>
      <c r="AZ109" s="799">
        <f>AY109*(1-IFERROR(IF(AZ$69+$F109&lt;=12,SUMIFS('Attrition Modeling'!$D:$D,'Attrition Modeling'!$C:$C,'IP Attrition'!$D109,'Attrition Modeling'!$B:$B,'IP Attrition'!AZ$68),VLOOKUP($F109+AZ$2,$A$6:$C$106,2,FALSE)*VLOOKUP(AZ$1,'Attrition Modeling'!$L$15:$N$27,IF(AZ$2+$F42&lt;=24,2,3),FALSE)),$C$3)*(1+Projection!BB$16)*(1+IF(AZ174&gt;0,'Attrition Modeling'!$N$9,0)))</f>
        <v>0</v>
      </c>
      <c r="BA109" s="799">
        <f>AZ109*(1-IFERROR(IF(BA$69+$F109&lt;=12,SUMIFS('Attrition Modeling'!$D:$D,'Attrition Modeling'!$C:$C,'IP Attrition'!$D109,'Attrition Modeling'!$B:$B,'IP Attrition'!BA$68),VLOOKUP($F109+BA$2,$A$6:$C$106,2,FALSE)*VLOOKUP(BA$1,'Attrition Modeling'!$L$15:$N$27,IF(BA$2+$F42&lt;=24,2,3),FALSE)),$C$3)*(1+Projection!BC$16)*(1+IF(BA174&gt;0,'Attrition Modeling'!$N$9,0)))</f>
        <v>0</v>
      </c>
      <c r="BB109" s="799">
        <f>BA109*(1-IFERROR(IF(BB$69+$F109&lt;=12,SUMIFS('Attrition Modeling'!$D:$D,'Attrition Modeling'!$C:$C,'IP Attrition'!$D109,'Attrition Modeling'!$B:$B,'IP Attrition'!BB$68),VLOOKUP($F109+BB$2,$A$6:$C$106,2,FALSE)*VLOOKUP(BB$1,'Attrition Modeling'!$L$15:$N$27,IF(BB$2+$F42&lt;=24,2,3),FALSE)),$C$3)*(1+Projection!BD$16)*(1+IF(BB174&gt;0,'Attrition Modeling'!$N$9,0)))</f>
        <v>0</v>
      </c>
      <c r="BC109" s="799">
        <f>BB109*(1-IFERROR(IF(BC$69+$F109&lt;=12,SUMIFS('Attrition Modeling'!$D:$D,'Attrition Modeling'!$C:$C,'IP Attrition'!$D109,'Attrition Modeling'!$B:$B,'IP Attrition'!BC$68),VLOOKUP($F109+BC$2,$A$6:$C$106,2,FALSE)*VLOOKUP(BC$1,'Attrition Modeling'!$L$15:$N$27,IF(BC$2+$F42&lt;=24,2,3),FALSE)),$C$3)*(1+Projection!BE$16)*(1+IF(BC174&gt;0,'Attrition Modeling'!$N$9,0)))</f>
        <v>0</v>
      </c>
      <c r="BD109" s="799">
        <f>BC109*(1-IFERROR(IF(BD$69+$F109&lt;=12,SUMIFS('Attrition Modeling'!$D:$D,'Attrition Modeling'!$C:$C,'IP Attrition'!$D109,'Attrition Modeling'!$B:$B,'IP Attrition'!BD$68),VLOOKUP($F109+BD$2,$A$6:$C$106,2,FALSE)*VLOOKUP(BD$1,'Attrition Modeling'!$L$15:$N$27,IF(BD$2+$F42&lt;=24,2,3),FALSE)),$C$3)*(1+Projection!BF$16)*(1+IF(BD174&gt;0,'Attrition Modeling'!$N$9,0)))</f>
        <v>0</v>
      </c>
      <c r="BE109" s="799">
        <f>BD109*(1-IFERROR(IF(BE$69+$F109&lt;=12,SUMIFS('Attrition Modeling'!$D:$D,'Attrition Modeling'!$C:$C,'IP Attrition'!$D109,'Attrition Modeling'!$B:$B,'IP Attrition'!BE$68),VLOOKUP($F109+BE$2,$A$6:$C$106,2,FALSE)*VLOOKUP(BE$1,'Attrition Modeling'!$L$15:$N$27,IF(BE$2+$F42&lt;=24,2,3),FALSE)),$C$3)*(1+Projection!BG$16)*(1+IF(BE174&gt;0,'Attrition Modeling'!$N$9,0)))</f>
        <v>0</v>
      </c>
      <c r="BF109" s="799">
        <f>BE109*(1-IFERROR(IF(BF$69+$F109&lt;=12,SUMIFS('Attrition Modeling'!$D:$D,'Attrition Modeling'!$C:$C,'IP Attrition'!$D109,'Attrition Modeling'!$B:$B,'IP Attrition'!BF$68),VLOOKUP($F109+BF$2,$A$6:$C$106,2,FALSE)*VLOOKUP(BF$1,'Attrition Modeling'!$L$15:$N$27,IF(BF$2+$F42&lt;=24,2,3),FALSE)),$C$3)*(1+Projection!BH$16)*(1+IF(BF174&gt;0,'Attrition Modeling'!$N$9,0)))</f>
        <v>0</v>
      </c>
      <c r="BG109" s="799">
        <f>BF109*(1-IFERROR(IF(BG$69+$F109&lt;=12,SUMIFS('Attrition Modeling'!$D:$D,'Attrition Modeling'!$C:$C,'IP Attrition'!$D109,'Attrition Modeling'!$B:$B,'IP Attrition'!BG$68),VLOOKUP($F109+BG$2,$A$6:$C$106,2,FALSE)*VLOOKUP(BG$1,'Attrition Modeling'!$L$15:$N$27,IF(BG$2+$F42&lt;=24,2,3),FALSE)),$C$3)*(1+Projection!BI$16)*(1+IF(BG174&gt;0,'Attrition Modeling'!$N$9,0)))</f>
        <v>0</v>
      </c>
      <c r="BH109" s="799">
        <f>BG109*(1-IFERROR(IF(BH$69+$F109&lt;=12,SUMIFS('Attrition Modeling'!$D:$D,'Attrition Modeling'!$C:$C,'IP Attrition'!$D109,'Attrition Modeling'!$B:$B,'IP Attrition'!BH$68),VLOOKUP($F109+BH$2,$A$6:$C$106,2,FALSE)*VLOOKUP(BH$1,'Attrition Modeling'!$L$15:$N$27,IF(BH$2+$F42&lt;=24,2,3),FALSE)),$C$3)*(1+Projection!BJ$16)*(1+IF(BH174&gt;0,'Attrition Modeling'!$N$9,0)))</f>
        <v>0</v>
      </c>
      <c r="BI109" s="799">
        <f>BH109*(1-IFERROR(IF(BI$69+$F109&lt;=12,SUMIFS('Attrition Modeling'!$D:$D,'Attrition Modeling'!$C:$C,'IP Attrition'!$D109,'Attrition Modeling'!$B:$B,'IP Attrition'!BI$68),VLOOKUP($F109+BI$2,$A$6:$C$106,2,FALSE)*VLOOKUP(BI$1,'Attrition Modeling'!$L$15:$N$27,IF(BI$2+$F42&lt;=24,2,3),FALSE)),$C$3)*(1+Projection!BK$16)*(1+IF(BI174&gt;0,'Attrition Modeling'!$N$9,0)))</f>
        <v>0</v>
      </c>
      <c r="BJ109" s="799">
        <f>BI109*(1-IFERROR(IF(BJ$69+$F109&lt;=12,SUMIFS('Attrition Modeling'!$D:$D,'Attrition Modeling'!$C:$C,'IP Attrition'!$D109,'Attrition Modeling'!$B:$B,'IP Attrition'!BJ$68),VLOOKUP($F109+BJ$2,$A$6:$C$106,2,FALSE)*VLOOKUP(BJ$1,'Attrition Modeling'!$L$15:$N$27,IF(BJ$2+$F42&lt;=24,2,3),FALSE)),$C$3)*(1+Projection!BL$16)*(1+IF(BJ174&gt;0,'Attrition Modeling'!$N$9,0)))</f>
        <v>0</v>
      </c>
      <c r="BK109" s="799">
        <f>BJ109*(1-IFERROR(IF(BK$69+$F109&lt;=12,SUMIFS('Attrition Modeling'!$D:$D,'Attrition Modeling'!$C:$C,'IP Attrition'!$D109,'Attrition Modeling'!$B:$B,'IP Attrition'!BK$68),VLOOKUP($F109+BK$2,$A$6:$C$106,2,FALSE)*VLOOKUP(BK$1,'Attrition Modeling'!$L$15:$N$27,IF(BK$2+$F42&lt;=24,2,3),FALSE)),$C$3)*(1+Projection!BM$16)*(1+IF(BK174&gt;0,'Attrition Modeling'!$N$9,0)))</f>
        <v>0</v>
      </c>
      <c r="BL109" s="799">
        <f>BK109*(1-IFERROR(IF(BL$69+$F109&lt;=12,SUMIFS('Attrition Modeling'!$D:$D,'Attrition Modeling'!$C:$C,'IP Attrition'!$D109,'Attrition Modeling'!$B:$B,'IP Attrition'!BL$68),VLOOKUP($F109+BL$2,$A$6:$C$106,2,FALSE)*VLOOKUP(BL$1,'Attrition Modeling'!$L$15:$N$27,IF(BL$2+$F42&lt;=24,2,3),FALSE)),$C$3)*(1+Projection!BN$16)*(1+IF(BL174&gt;0,'Attrition Modeling'!$N$9,0)))</f>
        <v>0</v>
      </c>
      <c r="BM109" s="799">
        <f>BL109*(1-IFERROR(IF(BM$69+$F109&lt;=12,SUMIFS('Attrition Modeling'!$D:$D,'Attrition Modeling'!$C:$C,'IP Attrition'!$D109,'Attrition Modeling'!$B:$B,'IP Attrition'!BM$68),VLOOKUP($F109+BM$2,$A$6:$C$106,2,FALSE)*VLOOKUP(BM$1,'Attrition Modeling'!$L$15:$N$27,IF(BM$2+$F42&lt;=24,2,3),FALSE)),$C$3)*(1+Projection!BO$16)*(1+IF(BM174&gt;0,'Attrition Modeling'!$N$9,0)))</f>
        <v>0</v>
      </c>
      <c r="BN109" s="799">
        <f>BM109*(1-IFERROR(IF(BN$69+$F109&lt;=12,SUMIFS('Attrition Modeling'!$D:$D,'Attrition Modeling'!$C:$C,'IP Attrition'!$D109,'Attrition Modeling'!$B:$B,'IP Attrition'!BN$68),VLOOKUP($F109+BN$2,$A$6:$C$106,2,FALSE)*VLOOKUP(BN$1,'Attrition Modeling'!$L$15:$N$27,IF(BN$2+$F42&lt;=24,2,3),FALSE)),$C$3)*(1+Projection!BP$16)*(1+IF(BN174&gt;0,'Attrition Modeling'!$N$9,0)))</f>
        <v>0</v>
      </c>
      <c r="BO109" s="799">
        <f>BN109*(1-IFERROR(IF(BO$69+$F109&lt;=12,SUMIFS('Attrition Modeling'!$D:$D,'Attrition Modeling'!$C:$C,'IP Attrition'!$D109,'Attrition Modeling'!$B:$B,'IP Attrition'!BO$68),VLOOKUP($F109+BO$2,$A$6:$C$106,2,FALSE)*VLOOKUP(BO$1,'Attrition Modeling'!$L$15:$N$27,IF(BO$2+$F42&lt;=24,2,3),FALSE)),$C$3)*(1+Projection!BV$16)*(1+IF(BO174&gt;0,'Attrition Modeling'!$N$9,0)))</f>
        <v>0</v>
      </c>
      <c r="BP109" s="799">
        <f>BO109*(1-IFERROR(IF(BP$69+$F109&lt;=12,SUMIFS('Attrition Modeling'!$D:$D,'Attrition Modeling'!$C:$C,'IP Attrition'!$D109,'Attrition Modeling'!$B:$B,'IP Attrition'!BP$68),VLOOKUP($F109+BP$2,$A$6:$C$106,2,FALSE)*VLOOKUP(BP$1,'Attrition Modeling'!$L$15:$N$27,IF(BP$2+$F42&lt;=24,2,3),FALSE)),$C$3)*(1+Projection!BW$16)*(1+IF(BP174&gt;0,'Attrition Modeling'!$N$9,0)))</f>
        <v>0</v>
      </c>
      <c r="BQ109" s="799">
        <f>BP109*(1-IFERROR(IF(BQ$69+$F109&lt;=12,SUMIFS('Attrition Modeling'!$D:$D,'Attrition Modeling'!$C:$C,'IP Attrition'!$D109,'Attrition Modeling'!$B:$B,'IP Attrition'!BQ$68),VLOOKUP($F109+BQ$2,$A$6:$C$106,2,FALSE)*VLOOKUP(BQ$1,'Attrition Modeling'!$L$15:$N$27,IF(BQ$2+$F42&lt;=24,2,3),FALSE)),$C$3)*(1+Projection!BX$16)*(1+IF(BQ174&gt;0,'Attrition Modeling'!$N$9,0)))</f>
        <v>0</v>
      </c>
      <c r="BR109" s="799">
        <f>BQ109*(1-IFERROR(IF(BR$69+$F109&lt;=12,SUMIFS('Attrition Modeling'!$D:$D,'Attrition Modeling'!$C:$C,'IP Attrition'!$D109,'Attrition Modeling'!$B:$B,'IP Attrition'!BR$68),VLOOKUP($F109+BR$2,$A$6:$C$106,2,FALSE)*VLOOKUP(BR$1,'Attrition Modeling'!$L$15:$N$27,IF(BR$2+$F42&lt;=24,2,3),FALSE)),$C$3)*(1+Projection!BY$16)*(1+IF(BR174&gt;0,'Attrition Modeling'!$N$9,0)))</f>
        <v>0</v>
      </c>
      <c r="BS109" s="799">
        <f>BR109*(1-IFERROR(IF(BS$69+$F109&lt;=12,SUMIFS('Attrition Modeling'!$D:$D,'Attrition Modeling'!$C:$C,'IP Attrition'!$D109,'Attrition Modeling'!$B:$B,'IP Attrition'!BS$68),VLOOKUP($F109+BS$2,$A$6:$C$106,2,FALSE)*VLOOKUP(BS$1,'Attrition Modeling'!$L$15:$N$27,IF(BS$2+$F42&lt;=24,2,3),FALSE)),$C$3)*(1+Projection!BZ$16)*(1+IF(BS174&gt;0,'Attrition Modeling'!$N$9,0)))</f>
        <v>0</v>
      </c>
      <c r="BT109" s="799" t="e">
        <f>BS109*(1-IFERROR(IF(BT$69+$F109&lt;=12,SUMIFS('Attrition Modeling'!$D:$D,'Attrition Modeling'!$C:$C,'IP Attrition'!$D109,'Attrition Modeling'!$B:$B,'IP Attrition'!BT$68),VLOOKUP($F109+BT$2,$A$6:$C$106,2,FALSE)*VLOOKUP(BT$1,'Attrition Modeling'!$L$15:$N$27,IF(BT$2+$F42&lt;=24,2,3),FALSE)),$C$3)*(1+Projection!CA$16)*(1+IF(BT174&gt;0,'Attrition Modeling'!$N$9,0)))</f>
        <v>#REF!</v>
      </c>
      <c r="BU109" s="799" t="e">
        <f>BT109*(1-IFERROR(IF(BU$69+$F109&lt;=12,SUMIFS('Attrition Modeling'!$D:$D,'Attrition Modeling'!$C:$C,'IP Attrition'!$D109,'Attrition Modeling'!$B:$B,'IP Attrition'!BU$68),VLOOKUP($F109+BU$2,$A$6:$C$106,2,FALSE)*VLOOKUP(BU$1,'Attrition Modeling'!$L$15:$N$27,IF(BU$2+$F42&lt;=24,2,3),FALSE)),$C$3)*(1+Projection!CB$16)*(1+IF(BU174&gt;0,'Attrition Modeling'!$N$9,0)))</f>
        <v>#REF!</v>
      </c>
    </row>
    <row r="110" spans="1:73" ht="14.25" customHeight="1" x14ac:dyDescent="0.2">
      <c r="A110" s="9">
        <v>103</v>
      </c>
      <c r="B110" s="25">
        <f>MAX('Attrition Modeling'!H107,$C$3)*(1-Summary!$C$20)</f>
        <v>0.02</v>
      </c>
      <c r="C110" s="24" t="e">
        <f t="shared" si="3"/>
        <v>#DIV/0!</v>
      </c>
      <c r="D110" s="11">
        <f t="shared" ref="D110:E110" si="48">D43</f>
        <v>-40</v>
      </c>
      <c r="E110" s="25">
        <f t="shared" si="48"/>
        <v>0</v>
      </c>
      <c r="F110" s="11">
        <f t="shared" si="9"/>
        <v>40</v>
      </c>
      <c r="G110" s="799">
        <f>Summary!$C$24*$E110</f>
        <v>0</v>
      </c>
      <c r="H110" s="799">
        <f>G110*(1-IFERROR(IF(H$69+$F110&lt;=12,SUMIFS('Attrition Modeling'!$D:$D,'Attrition Modeling'!$C:$C,'IP Attrition'!$D110,'Attrition Modeling'!$B:$B,'IP Attrition'!H$68),VLOOKUP($F110+H$2,$A$6:$C$106,2,FALSE)*VLOOKUP(H$1,'Attrition Modeling'!$L$15:$N$27,IF(H$2+$F43&lt;=24,2,3),FALSE)),$C$3)*(1+Projection!J$16)*(1+IF(H175&gt;0,'Attrition Modeling'!$N$9,0)))</f>
        <v>0</v>
      </c>
      <c r="I110" s="799">
        <f>H110*(1-IFERROR(IF(I$69+$F110&lt;=12,SUMIFS('Attrition Modeling'!$D:$D,'Attrition Modeling'!$C:$C,'IP Attrition'!$D110,'Attrition Modeling'!$B:$B,'IP Attrition'!I$68),VLOOKUP($F110+I$2,$A$6:$C$106,2,FALSE)*VLOOKUP(I$1,'Attrition Modeling'!$L$15:$N$27,IF(I$2+$F43&lt;=24,2,3),FALSE)),$C$3)*(1+Projection!K$16)*(1+IF(I175&gt;0,'Attrition Modeling'!$N$9,0)))</f>
        <v>0</v>
      </c>
      <c r="J110" s="799">
        <f>I110*(1-IFERROR(IF(J$69+$F110&lt;=12,SUMIFS('Attrition Modeling'!$D:$D,'Attrition Modeling'!$C:$C,'IP Attrition'!$D110,'Attrition Modeling'!$B:$B,'IP Attrition'!J$68),VLOOKUP($F110+J$2,$A$6:$C$106,2,FALSE)*VLOOKUP(J$1,'Attrition Modeling'!$L$15:$N$27,IF(J$2+$F43&lt;=24,2,3),FALSE)),$C$3)*(1+Projection!L$16)*(1+IF(J175&gt;0,'Attrition Modeling'!$N$9,0)))</f>
        <v>0</v>
      </c>
      <c r="K110" s="799">
        <f>J110*(1-IFERROR(IF(K$69+$F110&lt;=12,SUMIFS('Attrition Modeling'!$D:$D,'Attrition Modeling'!$C:$C,'IP Attrition'!$D110,'Attrition Modeling'!$B:$B,'IP Attrition'!K$68),VLOOKUP($F110+K$2,$A$6:$C$106,2,FALSE)*VLOOKUP(K$1,'Attrition Modeling'!$L$15:$N$27,IF(K$2+$F43&lt;=24,2,3),FALSE)),$C$3)*(1+Projection!M$16)*(1+IF(K175&gt;0,'Attrition Modeling'!$N$9,0)))</f>
        <v>0</v>
      </c>
      <c r="L110" s="799">
        <f>K110*(1-IFERROR(IF(L$69+$F110&lt;=12,SUMIFS('Attrition Modeling'!$D:$D,'Attrition Modeling'!$C:$C,'IP Attrition'!$D110,'Attrition Modeling'!$B:$B,'IP Attrition'!L$68),VLOOKUP($F110+L$2,$A$6:$C$106,2,FALSE)*VLOOKUP(L$1,'Attrition Modeling'!$L$15:$N$27,IF(L$2+$F43&lt;=24,2,3),FALSE)),$C$3)*(1+Projection!N$16)*(1+IF(L175&gt;0,'Attrition Modeling'!$N$9,0)))</f>
        <v>0</v>
      </c>
      <c r="M110" s="799">
        <f>L110*(1-IFERROR(IF(M$69+$F110&lt;=12,SUMIFS('Attrition Modeling'!$D:$D,'Attrition Modeling'!$C:$C,'IP Attrition'!$D110,'Attrition Modeling'!$B:$B,'IP Attrition'!M$68),VLOOKUP($F110+M$2,$A$6:$C$106,2,FALSE)*VLOOKUP(M$1,'Attrition Modeling'!$L$15:$N$27,IF(M$2+$F43&lt;=24,2,3),FALSE)),$C$3)*(1+Projection!O$16)*(1+IF(M175&gt;0,'Attrition Modeling'!$N$9,0)))</f>
        <v>0</v>
      </c>
      <c r="N110" s="799">
        <f>M110*(1-IFERROR(IF(N$69+$F110&lt;=12,SUMIFS('Attrition Modeling'!$D:$D,'Attrition Modeling'!$C:$C,'IP Attrition'!$D110,'Attrition Modeling'!$B:$B,'IP Attrition'!N$68),VLOOKUP($F110+N$2,$A$6:$C$106,2,FALSE)*VLOOKUP(N$1,'Attrition Modeling'!$L$15:$N$27,IF(N$2+$F43&lt;=24,2,3),FALSE)),$C$3)*(1+Projection!P$16)*(1+IF(N175&gt;0,'Attrition Modeling'!$N$9,0)))</f>
        <v>0</v>
      </c>
      <c r="O110" s="799">
        <f>N110*(1-IFERROR(IF(O$69+$F110&lt;=12,SUMIFS('Attrition Modeling'!$D:$D,'Attrition Modeling'!$C:$C,'IP Attrition'!$D110,'Attrition Modeling'!$B:$B,'IP Attrition'!O$68),VLOOKUP($F110+O$2,$A$6:$C$106,2,FALSE)*VLOOKUP(O$1,'Attrition Modeling'!$L$15:$N$27,IF(O$2+$F43&lt;=24,2,3),FALSE)),$C$3)*(1+Projection!Q$16)*(1+IF(O175&gt;0,'Attrition Modeling'!$N$9,0)))</f>
        <v>0</v>
      </c>
      <c r="P110" s="799">
        <f>O110*(1-IFERROR(IF(P$69+$F110&lt;=12,SUMIFS('Attrition Modeling'!$D:$D,'Attrition Modeling'!$C:$C,'IP Attrition'!$D110,'Attrition Modeling'!$B:$B,'IP Attrition'!P$68),VLOOKUP($F110+P$2,$A$6:$C$106,2,FALSE)*VLOOKUP(P$1,'Attrition Modeling'!$L$15:$N$27,IF(P$2+$F43&lt;=24,2,3),FALSE)),$C$3)*(1+Projection!R$16)*(1+IF(P175&gt;0,'Attrition Modeling'!$N$9,0)))</f>
        <v>0</v>
      </c>
      <c r="Q110" s="799">
        <f>P110*(1-IFERROR(IF(Q$69+$F110&lt;=12,SUMIFS('Attrition Modeling'!$D:$D,'Attrition Modeling'!$C:$C,'IP Attrition'!$D110,'Attrition Modeling'!$B:$B,'IP Attrition'!Q$68),VLOOKUP($F110+Q$2,$A$6:$C$106,2,FALSE)*VLOOKUP(Q$1,'Attrition Modeling'!$L$15:$N$27,IF(Q$2+$F43&lt;=24,2,3),FALSE)),$C$3)*(1+Projection!S$16)*(1+IF(Q175&gt;0,'Attrition Modeling'!$N$9,0)))</f>
        <v>0</v>
      </c>
      <c r="R110" s="799">
        <f>Q110*(1-IFERROR(IF(R$69+$F110&lt;=12,SUMIFS('Attrition Modeling'!$D:$D,'Attrition Modeling'!$C:$C,'IP Attrition'!$D110,'Attrition Modeling'!$B:$B,'IP Attrition'!R$68),VLOOKUP($F110+R$2,$A$6:$C$106,2,FALSE)*VLOOKUP(R$1,'Attrition Modeling'!$L$15:$N$27,IF(R$2+$F43&lt;=24,2,3),FALSE)),$C$3)*(1+Projection!T$16)*(1+IF(R175&gt;0,'Attrition Modeling'!$N$9,0)))</f>
        <v>0</v>
      </c>
      <c r="S110" s="799">
        <f>R110*(1-IFERROR(IF(S$69+$F110&lt;=12,SUMIFS('Attrition Modeling'!$D:$D,'Attrition Modeling'!$C:$C,'IP Attrition'!$D110,'Attrition Modeling'!$B:$B,'IP Attrition'!S$68),VLOOKUP($F110+S$2,$A$6:$C$106,2,FALSE)*VLOOKUP(S$1,'Attrition Modeling'!$L$15:$N$27,IF(S$2+$F43&lt;=24,2,3),FALSE)),$C$3)*(1+Projection!U$16)*(1+IF(S175&gt;0,'Attrition Modeling'!$N$9,0)))</f>
        <v>0</v>
      </c>
      <c r="T110" s="799">
        <f>S110*(1-IFERROR(IF(T$69+$F110&lt;=12,SUMIFS('Attrition Modeling'!$D:$D,'Attrition Modeling'!$C:$C,'IP Attrition'!$D110,'Attrition Modeling'!$B:$B,'IP Attrition'!T$68),VLOOKUP($F110+T$2,$A$6:$C$106,2,FALSE)*VLOOKUP(T$1,'Attrition Modeling'!$L$15:$N$27,IF(T$2+$F43&lt;=24,2,3),FALSE)),$C$3)*(1+Projection!V$16)*(1+IF(T175&gt;0,'Attrition Modeling'!$N$9,0)))</f>
        <v>0</v>
      </c>
      <c r="U110" s="799">
        <f>T110*(1-IFERROR(IF(U$69+$F110&lt;=12,SUMIFS('Attrition Modeling'!$D:$D,'Attrition Modeling'!$C:$C,'IP Attrition'!$D110,'Attrition Modeling'!$B:$B,'IP Attrition'!U$68),VLOOKUP($F110+U$2,$A$6:$C$106,2,FALSE)*VLOOKUP(U$1,'Attrition Modeling'!$L$15:$N$27,IF(U$2+$F43&lt;=24,2,3),FALSE)),$C$3)*(1+Projection!W$16)*(1+IF(U175&gt;0,'Attrition Modeling'!$N$9,0)))</f>
        <v>0</v>
      </c>
      <c r="V110" s="799">
        <f>U110*(1-IFERROR(IF(V$69+$F110&lt;=12,SUMIFS('Attrition Modeling'!$D:$D,'Attrition Modeling'!$C:$C,'IP Attrition'!$D110,'Attrition Modeling'!$B:$B,'IP Attrition'!V$68),VLOOKUP($F110+V$2,$A$6:$C$106,2,FALSE)*VLOOKUP(V$1,'Attrition Modeling'!$L$15:$N$27,IF(V$2+$F43&lt;=24,2,3),FALSE)),$C$3)*(1+Projection!X$16)*(1+IF(V175&gt;0,'Attrition Modeling'!$N$9,0)))</f>
        <v>0</v>
      </c>
      <c r="W110" s="799">
        <f>V110*(1-IFERROR(IF(W$69+$F110&lt;=12,SUMIFS('Attrition Modeling'!$D:$D,'Attrition Modeling'!$C:$C,'IP Attrition'!$D110,'Attrition Modeling'!$B:$B,'IP Attrition'!W$68),VLOOKUP($F110+W$2,$A$6:$C$106,2,FALSE)*VLOOKUP(W$1,'Attrition Modeling'!$L$15:$N$27,IF(W$2+$F43&lt;=24,2,3),FALSE)),$C$3)*(1+Projection!Y$16)*(1+IF(W175&gt;0,'Attrition Modeling'!$N$9,0)))</f>
        <v>0</v>
      </c>
      <c r="X110" s="799">
        <f>W110*(1-IFERROR(IF(X$69+$F110&lt;=12,SUMIFS('Attrition Modeling'!$D:$D,'Attrition Modeling'!$C:$C,'IP Attrition'!$D110,'Attrition Modeling'!$B:$B,'IP Attrition'!X$68),VLOOKUP($F110+X$2,$A$6:$C$106,2,FALSE)*VLOOKUP(X$1,'Attrition Modeling'!$L$15:$N$27,IF(X$2+$F43&lt;=24,2,3),FALSE)),$C$3)*(1+Projection!Z$16)*(1+IF(X175&gt;0,'Attrition Modeling'!$N$9,0)))</f>
        <v>0</v>
      </c>
      <c r="Y110" s="799">
        <f>X110*(1-IFERROR(IF(Y$69+$F110&lt;=12,SUMIFS('Attrition Modeling'!$D:$D,'Attrition Modeling'!$C:$C,'IP Attrition'!$D110,'Attrition Modeling'!$B:$B,'IP Attrition'!Y$68),VLOOKUP($F110+Y$2,$A$6:$C$106,2,FALSE)*VLOOKUP(Y$1,'Attrition Modeling'!$L$15:$N$27,IF(Y$2+$F43&lt;=24,2,3),FALSE)),$C$3)*(1+Projection!AA$16)*(1+IF(Y175&gt;0,'Attrition Modeling'!$N$9,0)))</f>
        <v>0</v>
      </c>
      <c r="Z110" s="799">
        <f>Y110*(1-IFERROR(IF(Z$69+$F110&lt;=12,SUMIFS('Attrition Modeling'!$D:$D,'Attrition Modeling'!$C:$C,'IP Attrition'!$D110,'Attrition Modeling'!$B:$B,'IP Attrition'!Z$68),VLOOKUP($F110+Z$2,$A$6:$C$106,2,FALSE)*VLOOKUP(Z$1,'Attrition Modeling'!$L$15:$N$27,IF(Z$2+$F43&lt;=24,2,3),FALSE)),$C$3)*(1+Projection!AB$16)*(1+IF(Z175&gt;0,'Attrition Modeling'!$N$9,0)))</f>
        <v>0</v>
      </c>
      <c r="AA110" s="799">
        <f>Z110*(1-IFERROR(IF(AA$69+$F110&lt;=12,SUMIFS('Attrition Modeling'!$D:$D,'Attrition Modeling'!$C:$C,'IP Attrition'!$D110,'Attrition Modeling'!$B:$B,'IP Attrition'!AA$68),VLOOKUP($F110+AA$2,$A$6:$C$106,2,FALSE)*VLOOKUP(AA$1,'Attrition Modeling'!$L$15:$N$27,IF(AA$2+$F43&lt;=24,2,3),FALSE)),$C$3)*(1+Projection!AC$16)*(1+IF(AA175&gt;0,'Attrition Modeling'!$N$9,0)))</f>
        <v>0</v>
      </c>
      <c r="AB110" s="799">
        <f>AA110*(1-IFERROR(IF(AB$69+$F110&lt;=12,SUMIFS('Attrition Modeling'!$D:$D,'Attrition Modeling'!$C:$C,'IP Attrition'!$D110,'Attrition Modeling'!$B:$B,'IP Attrition'!AB$68),VLOOKUP($F110+AB$2,$A$6:$C$106,2,FALSE)*VLOOKUP(AB$1,'Attrition Modeling'!$L$15:$N$27,IF(AB$2+$F43&lt;=24,2,3),FALSE)),$C$3)*(1+Projection!AD$16)*(1+IF(AB175&gt;0,'Attrition Modeling'!$N$9,0)))</f>
        <v>0</v>
      </c>
      <c r="AC110" s="799">
        <f>AB110*(1-IFERROR(IF(AC$69+$F110&lt;=12,SUMIFS('Attrition Modeling'!$D:$D,'Attrition Modeling'!$C:$C,'IP Attrition'!$D110,'Attrition Modeling'!$B:$B,'IP Attrition'!AC$68),VLOOKUP($F110+AC$2,$A$6:$C$106,2,FALSE)*VLOOKUP(AC$1,'Attrition Modeling'!$L$15:$N$27,IF(AC$2+$F43&lt;=24,2,3),FALSE)),$C$3)*(1+Projection!AE$16)*(1+IF(AC175&gt;0,'Attrition Modeling'!$N$9,0)))</f>
        <v>0</v>
      </c>
      <c r="AD110" s="799">
        <f>AC110*(1-IFERROR(IF(AD$69+$F110&lt;=12,SUMIFS('Attrition Modeling'!$D:$D,'Attrition Modeling'!$C:$C,'IP Attrition'!$D110,'Attrition Modeling'!$B:$B,'IP Attrition'!AD$68),VLOOKUP($F110+AD$2,$A$6:$C$106,2,FALSE)*VLOOKUP(AD$1,'Attrition Modeling'!$L$15:$N$27,IF(AD$2+$F43&lt;=24,2,3),FALSE)),$C$3)*(1+Projection!AF$16)*(1+IF(AD175&gt;0,'Attrition Modeling'!$N$9,0)))</f>
        <v>0</v>
      </c>
      <c r="AE110" s="799">
        <f>AD110*(1-IFERROR(IF(AE$69+$F110&lt;=12,SUMIFS('Attrition Modeling'!$D:$D,'Attrition Modeling'!$C:$C,'IP Attrition'!$D110,'Attrition Modeling'!$B:$B,'IP Attrition'!AE$68),VLOOKUP($F110+AE$2,$A$6:$C$106,2,FALSE)*VLOOKUP(AE$1,'Attrition Modeling'!$L$15:$N$27,IF(AE$2+$F43&lt;=24,2,3),FALSE)),$C$3)*(1+Projection!AG$16)*(1+IF(AE175&gt;0,'Attrition Modeling'!$N$9,0)))</f>
        <v>0</v>
      </c>
      <c r="AF110" s="799">
        <f>AE110*(1-IFERROR(IF(AF$69+$F110&lt;=12,SUMIFS('Attrition Modeling'!$D:$D,'Attrition Modeling'!$C:$C,'IP Attrition'!$D110,'Attrition Modeling'!$B:$B,'IP Attrition'!AF$68),VLOOKUP($F110+AF$2,$A$6:$C$106,2,FALSE)*VLOOKUP(AF$1,'Attrition Modeling'!$L$15:$N$27,IF(AF$2+$F43&lt;=24,2,3),FALSE)),$C$3)*(1+Projection!AH$16)*(1+IF(AF175&gt;0,'Attrition Modeling'!$N$9,0)))</f>
        <v>0</v>
      </c>
      <c r="AG110" s="799">
        <f>AF110*(1-IFERROR(IF(AG$69+$F110&lt;=12,SUMIFS('Attrition Modeling'!$D:$D,'Attrition Modeling'!$C:$C,'IP Attrition'!$D110,'Attrition Modeling'!$B:$B,'IP Attrition'!AG$68),VLOOKUP($F110+AG$2,$A$6:$C$106,2,FALSE)*VLOOKUP(AG$1,'Attrition Modeling'!$L$15:$N$27,IF(AG$2+$F43&lt;=24,2,3),FALSE)),$C$3)*(1+Projection!AI$16)*(1+IF(AG175&gt;0,'Attrition Modeling'!$N$9,0)))</f>
        <v>0</v>
      </c>
      <c r="AH110" s="799">
        <f>AG110*(1-IFERROR(IF(AH$69+$F110&lt;=12,SUMIFS('Attrition Modeling'!$D:$D,'Attrition Modeling'!$C:$C,'IP Attrition'!$D110,'Attrition Modeling'!$B:$B,'IP Attrition'!AH$68),VLOOKUP($F110+AH$2,$A$6:$C$106,2,FALSE)*VLOOKUP(AH$1,'Attrition Modeling'!$L$15:$N$27,IF(AH$2+$F43&lt;=24,2,3),FALSE)),$C$3)*(1+Projection!AJ$16)*(1+IF(AH175&gt;0,'Attrition Modeling'!$N$9,0)))</f>
        <v>0</v>
      </c>
      <c r="AI110" s="799">
        <f>AH110*(1-IFERROR(IF(AI$69+$F110&lt;=12,SUMIFS('Attrition Modeling'!$D:$D,'Attrition Modeling'!$C:$C,'IP Attrition'!$D110,'Attrition Modeling'!$B:$B,'IP Attrition'!AI$68),VLOOKUP($F110+AI$2,$A$6:$C$106,2,FALSE)*VLOOKUP(AI$1,'Attrition Modeling'!$L$15:$N$27,IF(AI$2+$F43&lt;=24,2,3),FALSE)),$C$3)*(1+Projection!AK$16)*(1+IF(AI175&gt;0,'Attrition Modeling'!$N$9,0)))</f>
        <v>0</v>
      </c>
      <c r="AJ110" s="799">
        <f>AI110*(1-IFERROR(IF(AJ$69+$F110&lt;=12,SUMIFS('Attrition Modeling'!$D:$D,'Attrition Modeling'!$C:$C,'IP Attrition'!$D110,'Attrition Modeling'!$B:$B,'IP Attrition'!AJ$68),VLOOKUP($F110+AJ$2,$A$6:$C$106,2,FALSE)*VLOOKUP(AJ$1,'Attrition Modeling'!$L$15:$N$27,IF(AJ$2+$F43&lt;=24,2,3),FALSE)),$C$3)*(1+Projection!AL$16)*(1+IF(AJ175&gt;0,'Attrition Modeling'!$N$9,0)))</f>
        <v>0</v>
      </c>
      <c r="AK110" s="799">
        <f>AJ110*(1-IFERROR(IF(AK$69+$F110&lt;=12,SUMIFS('Attrition Modeling'!$D:$D,'Attrition Modeling'!$C:$C,'IP Attrition'!$D110,'Attrition Modeling'!$B:$B,'IP Attrition'!AK$68),VLOOKUP($F110+AK$2,$A$6:$C$106,2,FALSE)*VLOOKUP(AK$1,'Attrition Modeling'!$L$15:$N$27,IF(AK$2+$F43&lt;=24,2,3),FALSE)),$C$3)*(1+Projection!AM$16)*(1+IF(AK175&gt;0,'Attrition Modeling'!$N$9,0)))</f>
        <v>0</v>
      </c>
      <c r="AL110" s="799">
        <f>AK110*(1-IFERROR(IF(AL$69+$F110&lt;=12,SUMIFS('Attrition Modeling'!$D:$D,'Attrition Modeling'!$C:$C,'IP Attrition'!$D110,'Attrition Modeling'!$B:$B,'IP Attrition'!AL$68),VLOOKUP($F110+AL$2,$A$6:$C$106,2,FALSE)*VLOOKUP(AL$1,'Attrition Modeling'!$L$15:$N$27,IF(AL$2+$F43&lt;=24,2,3),FALSE)),$C$3)*(1+Projection!AN$16)*(1+IF(AL175&gt;0,'Attrition Modeling'!$N$9,0)))</f>
        <v>0</v>
      </c>
      <c r="AM110" s="799">
        <f>AL110*(1-IFERROR(IF(AM$69+$F110&lt;=12,SUMIFS('Attrition Modeling'!$D:$D,'Attrition Modeling'!$C:$C,'IP Attrition'!$D110,'Attrition Modeling'!$B:$B,'IP Attrition'!AM$68),VLOOKUP($F110+AM$2,$A$6:$C$106,2,FALSE)*VLOOKUP(AM$1,'Attrition Modeling'!$L$15:$N$27,IF(AM$2+$F43&lt;=24,2,3),FALSE)),$C$3)*(1+Projection!AO$16)*(1+IF(AM175&gt;0,'Attrition Modeling'!$N$9,0)))</f>
        <v>0</v>
      </c>
      <c r="AN110" s="799">
        <f>AM110*(1-IFERROR(IF(AN$69+$F110&lt;=12,SUMIFS('Attrition Modeling'!$D:$D,'Attrition Modeling'!$C:$C,'IP Attrition'!$D110,'Attrition Modeling'!$B:$B,'IP Attrition'!AN$68),VLOOKUP($F110+AN$2,$A$6:$C$106,2,FALSE)*VLOOKUP(AN$1,'Attrition Modeling'!$L$15:$N$27,IF(AN$2+$F43&lt;=24,2,3),FALSE)),$C$3)*(1+Projection!AP$16)*(1+IF(AN175&gt;0,'Attrition Modeling'!$N$9,0)))</f>
        <v>0</v>
      </c>
      <c r="AO110" s="799">
        <f>AN110*(1-IFERROR(IF(AO$69+$F110&lt;=12,SUMIFS('Attrition Modeling'!$D:$D,'Attrition Modeling'!$C:$C,'IP Attrition'!$D110,'Attrition Modeling'!$B:$B,'IP Attrition'!AO$68),VLOOKUP($F110+AO$2,$A$6:$C$106,2,FALSE)*VLOOKUP(AO$1,'Attrition Modeling'!$L$15:$N$27,IF(AO$2+$F43&lt;=24,2,3),FALSE)),$C$3)*(1+Projection!AQ$16)*(1+IF(AO175&gt;0,'Attrition Modeling'!$N$9,0)))</f>
        <v>0</v>
      </c>
      <c r="AP110" s="799">
        <f>AO110*(1-IFERROR(IF(AP$69+$F110&lt;=12,SUMIFS('Attrition Modeling'!$D:$D,'Attrition Modeling'!$C:$C,'IP Attrition'!$D110,'Attrition Modeling'!$B:$B,'IP Attrition'!AP$68),VLOOKUP($F110+AP$2,$A$6:$C$106,2,FALSE)*VLOOKUP(AP$1,'Attrition Modeling'!$L$15:$N$27,IF(AP$2+$F43&lt;=24,2,3),FALSE)),$C$3)*(1+Projection!AR$16)*(1+IF(AP175&gt;0,'Attrition Modeling'!$N$9,0)))</f>
        <v>0</v>
      </c>
      <c r="AQ110" s="799">
        <f>AP110*(1-IFERROR(IF(AQ$69+$F110&lt;=12,SUMIFS('Attrition Modeling'!$D:$D,'Attrition Modeling'!$C:$C,'IP Attrition'!$D110,'Attrition Modeling'!$B:$B,'IP Attrition'!AQ$68),VLOOKUP($F110+AQ$2,$A$6:$C$106,2,FALSE)*VLOOKUP(AQ$1,'Attrition Modeling'!$L$15:$N$27,IF(AQ$2+$F43&lt;=24,2,3),FALSE)),$C$3)*(1+Projection!AS$16)*(1+IF(AQ175&gt;0,'Attrition Modeling'!$N$9,0)))</f>
        <v>0</v>
      </c>
      <c r="AR110" s="799">
        <f>AQ110*(1-IFERROR(IF(AR$69+$F110&lt;=12,SUMIFS('Attrition Modeling'!$D:$D,'Attrition Modeling'!$C:$C,'IP Attrition'!$D110,'Attrition Modeling'!$B:$B,'IP Attrition'!AR$68),VLOOKUP($F110+AR$2,$A$6:$C$106,2,FALSE)*VLOOKUP(AR$1,'Attrition Modeling'!$L$15:$N$27,IF(AR$2+$F43&lt;=24,2,3),FALSE)),$C$3)*(1+Projection!AT$16)*(1+IF(AR175&gt;0,'Attrition Modeling'!$N$9,0)))</f>
        <v>0</v>
      </c>
      <c r="AS110" s="799">
        <f>AR110*(1-IFERROR(IF(AS$69+$F110&lt;=12,SUMIFS('Attrition Modeling'!$D:$D,'Attrition Modeling'!$C:$C,'IP Attrition'!$D110,'Attrition Modeling'!$B:$B,'IP Attrition'!AS$68),VLOOKUP($F110+AS$2,$A$6:$C$106,2,FALSE)*VLOOKUP(AS$1,'Attrition Modeling'!$L$15:$N$27,IF(AS$2+$F43&lt;=24,2,3),FALSE)),$C$3)*(1+Projection!AU$16)*(1+IF(AS175&gt;0,'Attrition Modeling'!$N$9,0)))</f>
        <v>0</v>
      </c>
      <c r="AT110" s="799">
        <f>AS110*(1-IFERROR(IF(AT$69+$F110&lt;=12,SUMIFS('Attrition Modeling'!$D:$D,'Attrition Modeling'!$C:$C,'IP Attrition'!$D110,'Attrition Modeling'!$B:$B,'IP Attrition'!AT$68),VLOOKUP($F110+AT$2,$A$6:$C$106,2,FALSE)*VLOOKUP(AT$1,'Attrition Modeling'!$L$15:$N$27,IF(AT$2+$F43&lt;=24,2,3),FALSE)),$C$3)*(1+Projection!AV$16)*(1+IF(AT175&gt;0,'Attrition Modeling'!$N$9,0)))</f>
        <v>0</v>
      </c>
      <c r="AU110" s="799">
        <f>AT110*(1-IFERROR(IF(AU$69+$F110&lt;=12,SUMIFS('Attrition Modeling'!$D:$D,'Attrition Modeling'!$C:$C,'IP Attrition'!$D110,'Attrition Modeling'!$B:$B,'IP Attrition'!AU$68),VLOOKUP($F110+AU$2,$A$6:$C$106,2,FALSE)*VLOOKUP(AU$1,'Attrition Modeling'!$L$15:$N$27,IF(AU$2+$F43&lt;=24,2,3),FALSE)),$C$3)*(1+Projection!AW$16)*(1+IF(AU175&gt;0,'Attrition Modeling'!$N$9,0)))</f>
        <v>0</v>
      </c>
      <c r="AV110" s="799">
        <f>AU110*(1-IFERROR(IF(AV$69+$F110&lt;=12,SUMIFS('Attrition Modeling'!$D:$D,'Attrition Modeling'!$C:$C,'IP Attrition'!$D110,'Attrition Modeling'!$B:$B,'IP Attrition'!AV$68),VLOOKUP($F110+AV$2,$A$6:$C$106,2,FALSE)*VLOOKUP(AV$1,'Attrition Modeling'!$L$15:$N$27,IF(AV$2+$F43&lt;=24,2,3),FALSE)),$C$3)*(1+Projection!AX$16)*(1+IF(AV175&gt;0,'Attrition Modeling'!$N$9,0)))</f>
        <v>0</v>
      </c>
      <c r="AW110" s="799">
        <f>AV110*(1-IFERROR(IF(AW$69+$F110&lt;=12,SUMIFS('Attrition Modeling'!$D:$D,'Attrition Modeling'!$C:$C,'IP Attrition'!$D110,'Attrition Modeling'!$B:$B,'IP Attrition'!AW$68),VLOOKUP($F110+AW$2,$A$6:$C$106,2,FALSE)*VLOOKUP(AW$1,'Attrition Modeling'!$L$15:$N$27,IF(AW$2+$F43&lt;=24,2,3),FALSE)),$C$3)*(1+Projection!AY$16)*(1+IF(AW175&gt;0,'Attrition Modeling'!$N$9,0)))</f>
        <v>0</v>
      </c>
      <c r="AX110" s="799">
        <f>AW110*(1-IFERROR(IF(AX$69+$F110&lt;=12,SUMIFS('Attrition Modeling'!$D:$D,'Attrition Modeling'!$C:$C,'IP Attrition'!$D110,'Attrition Modeling'!$B:$B,'IP Attrition'!AX$68),VLOOKUP($F110+AX$2,$A$6:$C$106,2,FALSE)*VLOOKUP(AX$1,'Attrition Modeling'!$L$15:$N$27,IF(AX$2+$F43&lt;=24,2,3),FALSE)),$C$3)*(1+Projection!AZ$16)*(1+IF(AX175&gt;0,'Attrition Modeling'!$N$9,0)))</f>
        <v>0</v>
      </c>
      <c r="AY110" s="799">
        <f>AX110*(1-IFERROR(IF(AY$69+$F110&lt;=12,SUMIFS('Attrition Modeling'!$D:$D,'Attrition Modeling'!$C:$C,'IP Attrition'!$D110,'Attrition Modeling'!$B:$B,'IP Attrition'!AY$68),VLOOKUP($F110+AY$2,$A$6:$C$106,2,FALSE)*VLOOKUP(AY$1,'Attrition Modeling'!$L$15:$N$27,IF(AY$2+$F43&lt;=24,2,3),FALSE)),$C$3)*(1+Projection!BA$16)*(1+IF(AY175&gt;0,'Attrition Modeling'!$N$9,0)))</f>
        <v>0</v>
      </c>
      <c r="AZ110" s="799">
        <f>AY110*(1-IFERROR(IF(AZ$69+$F110&lt;=12,SUMIFS('Attrition Modeling'!$D:$D,'Attrition Modeling'!$C:$C,'IP Attrition'!$D110,'Attrition Modeling'!$B:$B,'IP Attrition'!AZ$68),VLOOKUP($F110+AZ$2,$A$6:$C$106,2,FALSE)*VLOOKUP(AZ$1,'Attrition Modeling'!$L$15:$N$27,IF(AZ$2+$F43&lt;=24,2,3),FALSE)),$C$3)*(1+Projection!BB$16)*(1+IF(AZ175&gt;0,'Attrition Modeling'!$N$9,0)))</f>
        <v>0</v>
      </c>
      <c r="BA110" s="799">
        <f>AZ110*(1-IFERROR(IF(BA$69+$F110&lt;=12,SUMIFS('Attrition Modeling'!$D:$D,'Attrition Modeling'!$C:$C,'IP Attrition'!$D110,'Attrition Modeling'!$B:$B,'IP Attrition'!BA$68),VLOOKUP($F110+BA$2,$A$6:$C$106,2,FALSE)*VLOOKUP(BA$1,'Attrition Modeling'!$L$15:$N$27,IF(BA$2+$F43&lt;=24,2,3),FALSE)),$C$3)*(1+Projection!BC$16)*(1+IF(BA175&gt;0,'Attrition Modeling'!$N$9,0)))</f>
        <v>0</v>
      </c>
      <c r="BB110" s="799">
        <f>BA110*(1-IFERROR(IF(BB$69+$F110&lt;=12,SUMIFS('Attrition Modeling'!$D:$D,'Attrition Modeling'!$C:$C,'IP Attrition'!$D110,'Attrition Modeling'!$B:$B,'IP Attrition'!BB$68),VLOOKUP($F110+BB$2,$A$6:$C$106,2,FALSE)*VLOOKUP(BB$1,'Attrition Modeling'!$L$15:$N$27,IF(BB$2+$F43&lt;=24,2,3),FALSE)),$C$3)*(1+Projection!BD$16)*(1+IF(BB175&gt;0,'Attrition Modeling'!$N$9,0)))</f>
        <v>0</v>
      </c>
      <c r="BC110" s="799">
        <f>BB110*(1-IFERROR(IF(BC$69+$F110&lt;=12,SUMIFS('Attrition Modeling'!$D:$D,'Attrition Modeling'!$C:$C,'IP Attrition'!$D110,'Attrition Modeling'!$B:$B,'IP Attrition'!BC$68),VLOOKUP($F110+BC$2,$A$6:$C$106,2,FALSE)*VLOOKUP(BC$1,'Attrition Modeling'!$L$15:$N$27,IF(BC$2+$F43&lt;=24,2,3),FALSE)),$C$3)*(1+Projection!BE$16)*(1+IF(BC175&gt;0,'Attrition Modeling'!$N$9,0)))</f>
        <v>0</v>
      </c>
      <c r="BD110" s="799">
        <f>BC110*(1-IFERROR(IF(BD$69+$F110&lt;=12,SUMIFS('Attrition Modeling'!$D:$D,'Attrition Modeling'!$C:$C,'IP Attrition'!$D110,'Attrition Modeling'!$B:$B,'IP Attrition'!BD$68),VLOOKUP($F110+BD$2,$A$6:$C$106,2,FALSE)*VLOOKUP(BD$1,'Attrition Modeling'!$L$15:$N$27,IF(BD$2+$F43&lt;=24,2,3),FALSE)),$C$3)*(1+Projection!BF$16)*(1+IF(BD175&gt;0,'Attrition Modeling'!$N$9,0)))</f>
        <v>0</v>
      </c>
      <c r="BE110" s="799">
        <f>BD110*(1-IFERROR(IF(BE$69+$F110&lt;=12,SUMIFS('Attrition Modeling'!$D:$D,'Attrition Modeling'!$C:$C,'IP Attrition'!$D110,'Attrition Modeling'!$B:$B,'IP Attrition'!BE$68),VLOOKUP($F110+BE$2,$A$6:$C$106,2,FALSE)*VLOOKUP(BE$1,'Attrition Modeling'!$L$15:$N$27,IF(BE$2+$F43&lt;=24,2,3),FALSE)),$C$3)*(1+Projection!BG$16)*(1+IF(BE175&gt;0,'Attrition Modeling'!$N$9,0)))</f>
        <v>0</v>
      </c>
      <c r="BF110" s="799">
        <f>BE110*(1-IFERROR(IF(BF$69+$F110&lt;=12,SUMIFS('Attrition Modeling'!$D:$D,'Attrition Modeling'!$C:$C,'IP Attrition'!$D110,'Attrition Modeling'!$B:$B,'IP Attrition'!BF$68),VLOOKUP($F110+BF$2,$A$6:$C$106,2,FALSE)*VLOOKUP(BF$1,'Attrition Modeling'!$L$15:$N$27,IF(BF$2+$F43&lt;=24,2,3),FALSE)),$C$3)*(1+Projection!BH$16)*(1+IF(BF175&gt;0,'Attrition Modeling'!$N$9,0)))</f>
        <v>0</v>
      </c>
      <c r="BG110" s="799">
        <f>BF110*(1-IFERROR(IF(BG$69+$F110&lt;=12,SUMIFS('Attrition Modeling'!$D:$D,'Attrition Modeling'!$C:$C,'IP Attrition'!$D110,'Attrition Modeling'!$B:$B,'IP Attrition'!BG$68),VLOOKUP($F110+BG$2,$A$6:$C$106,2,FALSE)*VLOOKUP(BG$1,'Attrition Modeling'!$L$15:$N$27,IF(BG$2+$F43&lt;=24,2,3),FALSE)),$C$3)*(1+Projection!BI$16)*(1+IF(BG175&gt;0,'Attrition Modeling'!$N$9,0)))</f>
        <v>0</v>
      </c>
      <c r="BH110" s="799">
        <f>BG110*(1-IFERROR(IF(BH$69+$F110&lt;=12,SUMIFS('Attrition Modeling'!$D:$D,'Attrition Modeling'!$C:$C,'IP Attrition'!$D110,'Attrition Modeling'!$B:$B,'IP Attrition'!BH$68),VLOOKUP($F110+BH$2,$A$6:$C$106,2,FALSE)*VLOOKUP(BH$1,'Attrition Modeling'!$L$15:$N$27,IF(BH$2+$F43&lt;=24,2,3),FALSE)),$C$3)*(1+Projection!BJ$16)*(1+IF(BH175&gt;0,'Attrition Modeling'!$N$9,0)))</f>
        <v>0</v>
      </c>
      <c r="BI110" s="799">
        <f>BH110*(1-IFERROR(IF(BI$69+$F110&lt;=12,SUMIFS('Attrition Modeling'!$D:$D,'Attrition Modeling'!$C:$C,'IP Attrition'!$D110,'Attrition Modeling'!$B:$B,'IP Attrition'!BI$68),VLOOKUP($F110+BI$2,$A$6:$C$106,2,FALSE)*VLOOKUP(BI$1,'Attrition Modeling'!$L$15:$N$27,IF(BI$2+$F43&lt;=24,2,3),FALSE)),$C$3)*(1+Projection!BK$16)*(1+IF(BI175&gt;0,'Attrition Modeling'!$N$9,0)))</f>
        <v>0</v>
      </c>
      <c r="BJ110" s="799">
        <f>BI110*(1-IFERROR(IF(BJ$69+$F110&lt;=12,SUMIFS('Attrition Modeling'!$D:$D,'Attrition Modeling'!$C:$C,'IP Attrition'!$D110,'Attrition Modeling'!$B:$B,'IP Attrition'!BJ$68),VLOOKUP($F110+BJ$2,$A$6:$C$106,2,FALSE)*VLOOKUP(BJ$1,'Attrition Modeling'!$L$15:$N$27,IF(BJ$2+$F43&lt;=24,2,3),FALSE)),$C$3)*(1+Projection!BL$16)*(1+IF(BJ175&gt;0,'Attrition Modeling'!$N$9,0)))</f>
        <v>0</v>
      </c>
      <c r="BK110" s="799">
        <f>BJ110*(1-IFERROR(IF(BK$69+$F110&lt;=12,SUMIFS('Attrition Modeling'!$D:$D,'Attrition Modeling'!$C:$C,'IP Attrition'!$D110,'Attrition Modeling'!$B:$B,'IP Attrition'!BK$68),VLOOKUP($F110+BK$2,$A$6:$C$106,2,FALSE)*VLOOKUP(BK$1,'Attrition Modeling'!$L$15:$N$27,IF(BK$2+$F43&lt;=24,2,3),FALSE)),$C$3)*(1+Projection!BM$16)*(1+IF(BK175&gt;0,'Attrition Modeling'!$N$9,0)))</f>
        <v>0</v>
      </c>
      <c r="BL110" s="799">
        <f>BK110*(1-IFERROR(IF(BL$69+$F110&lt;=12,SUMIFS('Attrition Modeling'!$D:$D,'Attrition Modeling'!$C:$C,'IP Attrition'!$D110,'Attrition Modeling'!$B:$B,'IP Attrition'!BL$68),VLOOKUP($F110+BL$2,$A$6:$C$106,2,FALSE)*VLOOKUP(BL$1,'Attrition Modeling'!$L$15:$N$27,IF(BL$2+$F43&lt;=24,2,3),FALSE)),$C$3)*(1+Projection!BN$16)*(1+IF(BL175&gt;0,'Attrition Modeling'!$N$9,0)))</f>
        <v>0</v>
      </c>
      <c r="BM110" s="799">
        <f>BL110*(1-IFERROR(IF(BM$69+$F110&lt;=12,SUMIFS('Attrition Modeling'!$D:$D,'Attrition Modeling'!$C:$C,'IP Attrition'!$D110,'Attrition Modeling'!$B:$B,'IP Attrition'!BM$68),VLOOKUP($F110+BM$2,$A$6:$C$106,2,FALSE)*VLOOKUP(BM$1,'Attrition Modeling'!$L$15:$N$27,IF(BM$2+$F43&lt;=24,2,3),FALSE)),$C$3)*(1+Projection!BO$16)*(1+IF(BM175&gt;0,'Attrition Modeling'!$N$9,0)))</f>
        <v>0</v>
      </c>
      <c r="BN110" s="799">
        <f>BM110*(1-IFERROR(IF(BN$69+$F110&lt;=12,SUMIFS('Attrition Modeling'!$D:$D,'Attrition Modeling'!$C:$C,'IP Attrition'!$D110,'Attrition Modeling'!$B:$B,'IP Attrition'!BN$68),VLOOKUP($F110+BN$2,$A$6:$C$106,2,FALSE)*VLOOKUP(BN$1,'Attrition Modeling'!$L$15:$N$27,IF(BN$2+$F43&lt;=24,2,3),FALSE)),$C$3)*(1+Projection!BP$16)*(1+IF(BN175&gt;0,'Attrition Modeling'!$N$9,0)))</f>
        <v>0</v>
      </c>
      <c r="BO110" s="799">
        <f>BN110*(1-IFERROR(IF(BO$69+$F110&lt;=12,SUMIFS('Attrition Modeling'!$D:$D,'Attrition Modeling'!$C:$C,'IP Attrition'!$D110,'Attrition Modeling'!$B:$B,'IP Attrition'!BO$68),VLOOKUP($F110+BO$2,$A$6:$C$106,2,FALSE)*VLOOKUP(BO$1,'Attrition Modeling'!$L$15:$N$27,IF(BO$2+$F43&lt;=24,2,3),FALSE)),$C$3)*(1+Projection!BV$16)*(1+IF(BO175&gt;0,'Attrition Modeling'!$N$9,0)))</f>
        <v>0</v>
      </c>
      <c r="BP110" s="799">
        <f>BO110*(1-IFERROR(IF(BP$69+$F110&lt;=12,SUMIFS('Attrition Modeling'!$D:$D,'Attrition Modeling'!$C:$C,'IP Attrition'!$D110,'Attrition Modeling'!$B:$B,'IP Attrition'!BP$68),VLOOKUP($F110+BP$2,$A$6:$C$106,2,FALSE)*VLOOKUP(BP$1,'Attrition Modeling'!$L$15:$N$27,IF(BP$2+$F43&lt;=24,2,3),FALSE)),$C$3)*(1+Projection!BW$16)*(1+IF(BP175&gt;0,'Attrition Modeling'!$N$9,0)))</f>
        <v>0</v>
      </c>
      <c r="BQ110" s="799">
        <f>BP110*(1-IFERROR(IF(BQ$69+$F110&lt;=12,SUMIFS('Attrition Modeling'!$D:$D,'Attrition Modeling'!$C:$C,'IP Attrition'!$D110,'Attrition Modeling'!$B:$B,'IP Attrition'!BQ$68),VLOOKUP($F110+BQ$2,$A$6:$C$106,2,FALSE)*VLOOKUP(BQ$1,'Attrition Modeling'!$L$15:$N$27,IF(BQ$2+$F43&lt;=24,2,3),FALSE)),$C$3)*(1+Projection!BX$16)*(1+IF(BQ175&gt;0,'Attrition Modeling'!$N$9,0)))</f>
        <v>0</v>
      </c>
      <c r="BR110" s="799">
        <f>BQ110*(1-IFERROR(IF(BR$69+$F110&lt;=12,SUMIFS('Attrition Modeling'!$D:$D,'Attrition Modeling'!$C:$C,'IP Attrition'!$D110,'Attrition Modeling'!$B:$B,'IP Attrition'!BR$68),VLOOKUP($F110+BR$2,$A$6:$C$106,2,FALSE)*VLOOKUP(BR$1,'Attrition Modeling'!$L$15:$N$27,IF(BR$2+$F43&lt;=24,2,3),FALSE)),$C$3)*(1+Projection!BY$16)*(1+IF(BR175&gt;0,'Attrition Modeling'!$N$9,0)))</f>
        <v>0</v>
      </c>
      <c r="BS110" s="799">
        <f>BR110*(1-IFERROR(IF(BS$69+$F110&lt;=12,SUMIFS('Attrition Modeling'!$D:$D,'Attrition Modeling'!$C:$C,'IP Attrition'!$D110,'Attrition Modeling'!$B:$B,'IP Attrition'!BS$68),VLOOKUP($F110+BS$2,$A$6:$C$106,2,FALSE)*VLOOKUP(BS$1,'Attrition Modeling'!$L$15:$N$27,IF(BS$2+$F43&lt;=24,2,3),FALSE)),$C$3)*(1+Projection!BZ$16)*(1+IF(BS175&gt;0,'Attrition Modeling'!$N$9,0)))</f>
        <v>0</v>
      </c>
      <c r="BT110" s="799" t="e">
        <f>BS110*(1-IFERROR(IF(BT$69+$F110&lt;=12,SUMIFS('Attrition Modeling'!$D:$D,'Attrition Modeling'!$C:$C,'IP Attrition'!$D110,'Attrition Modeling'!$B:$B,'IP Attrition'!BT$68),VLOOKUP($F110+BT$2,$A$6:$C$106,2,FALSE)*VLOOKUP(BT$1,'Attrition Modeling'!$L$15:$N$27,IF(BT$2+$F43&lt;=24,2,3),FALSE)),$C$3)*(1+Projection!CA$16)*(1+IF(BT175&gt;0,'Attrition Modeling'!$N$9,0)))</f>
        <v>#REF!</v>
      </c>
      <c r="BU110" s="799" t="e">
        <f>BT110*(1-IFERROR(IF(BU$69+$F110&lt;=12,SUMIFS('Attrition Modeling'!$D:$D,'Attrition Modeling'!$C:$C,'IP Attrition'!$D110,'Attrition Modeling'!$B:$B,'IP Attrition'!BU$68),VLOOKUP($F110+BU$2,$A$6:$C$106,2,FALSE)*VLOOKUP(BU$1,'Attrition Modeling'!$L$15:$N$27,IF(BU$2+$F43&lt;=24,2,3),FALSE)),$C$3)*(1+Projection!CB$16)*(1+IF(BU175&gt;0,'Attrition Modeling'!$N$9,0)))</f>
        <v>#REF!</v>
      </c>
    </row>
    <row r="111" spans="1:73" ht="14.25" customHeight="1" x14ac:dyDescent="0.2">
      <c r="A111" s="9">
        <v>104</v>
      </c>
      <c r="B111" s="25">
        <f>MAX('Attrition Modeling'!H108,$C$3)*(1-Summary!$C$20)</f>
        <v>0.02</v>
      </c>
      <c r="C111" s="24" t="e">
        <f t="shared" si="3"/>
        <v>#DIV/0!</v>
      </c>
      <c r="D111" s="11">
        <f t="shared" ref="D111:E111" si="49">D44</f>
        <v>-41</v>
      </c>
      <c r="E111" s="25">
        <f t="shared" si="49"/>
        <v>0</v>
      </c>
      <c r="F111" s="11">
        <f t="shared" si="9"/>
        <v>41</v>
      </c>
      <c r="G111" s="799">
        <f>Summary!$C$24*$E111</f>
        <v>0</v>
      </c>
      <c r="H111" s="799">
        <f>G111*(1-IFERROR(IF(H$69+$F111&lt;=12,SUMIFS('Attrition Modeling'!$D:$D,'Attrition Modeling'!$C:$C,'IP Attrition'!$D111,'Attrition Modeling'!$B:$B,'IP Attrition'!H$68),VLOOKUP($F111+H$2,$A$6:$C$106,2,FALSE)*VLOOKUP(H$1,'Attrition Modeling'!$L$15:$N$27,IF(H$2+$F44&lt;=24,2,3),FALSE)),$C$3)*(1+Projection!J$16)*(1+IF(H176&gt;0,'Attrition Modeling'!$N$9,0)))</f>
        <v>0</v>
      </c>
      <c r="I111" s="799">
        <f>H111*(1-IFERROR(IF(I$69+$F111&lt;=12,SUMIFS('Attrition Modeling'!$D:$D,'Attrition Modeling'!$C:$C,'IP Attrition'!$D111,'Attrition Modeling'!$B:$B,'IP Attrition'!I$68),VLOOKUP($F111+I$2,$A$6:$C$106,2,FALSE)*VLOOKUP(I$1,'Attrition Modeling'!$L$15:$N$27,IF(I$2+$F44&lt;=24,2,3),FALSE)),$C$3)*(1+Projection!K$16)*(1+IF(I176&gt;0,'Attrition Modeling'!$N$9,0)))</f>
        <v>0</v>
      </c>
      <c r="J111" s="799">
        <f>I111*(1-IFERROR(IF(J$69+$F111&lt;=12,SUMIFS('Attrition Modeling'!$D:$D,'Attrition Modeling'!$C:$C,'IP Attrition'!$D111,'Attrition Modeling'!$B:$B,'IP Attrition'!J$68),VLOOKUP($F111+J$2,$A$6:$C$106,2,FALSE)*VLOOKUP(J$1,'Attrition Modeling'!$L$15:$N$27,IF(J$2+$F44&lt;=24,2,3),FALSE)),$C$3)*(1+Projection!L$16)*(1+IF(J176&gt;0,'Attrition Modeling'!$N$9,0)))</f>
        <v>0</v>
      </c>
      <c r="K111" s="799">
        <f>J111*(1-IFERROR(IF(K$69+$F111&lt;=12,SUMIFS('Attrition Modeling'!$D:$D,'Attrition Modeling'!$C:$C,'IP Attrition'!$D111,'Attrition Modeling'!$B:$B,'IP Attrition'!K$68),VLOOKUP($F111+K$2,$A$6:$C$106,2,FALSE)*VLOOKUP(K$1,'Attrition Modeling'!$L$15:$N$27,IF(K$2+$F44&lt;=24,2,3),FALSE)),$C$3)*(1+Projection!M$16)*(1+IF(K176&gt;0,'Attrition Modeling'!$N$9,0)))</f>
        <v>0</v>
      </c>
      <c r="L111" s="799">
        <f>K111*(1-IFERROR(IF(L$69+$F111&lt;=12,SUMIFS('Attrition Modeling'!$D:$D,'Attrition Modeling'!$C:$C,'IP Attrition'!$D111,'Attrition Modeling'!$B:$B,'IP Attrition'!L$68),VLOOKUP($F111+L$2,$A$6:$C$106,2,FALSE)*VLOOKUP(L$1,'Attrition Modeling'!$L$15:$N$27,IF(L$2+$F44&lt;=24,2,3),FALSE)),$C$3)*(1+Projection!N$16)*(1+IF(L176&gt;0,'Attrition Modeling'!$N$9,0)))</f>
        <v>0</v>
      </c>
      <c r="M111" s="799">
        <f>L111*(1-IFERROR(IF(M$69+$F111&lt;=12,SUMIFS('Attrition Modeling'!$D:$D,'Attrition Modeling'!$C:$C,'IP Attrition'!$D111,'Attrition Modeling'!$B:$B,'IP Attrition'!M$68),VLOOKUP($F111+M$2,$A$6:$C$106,2,FALSE)*VLOOKUP(M$1,'Attrition Modeling'!$L$15:$N$27,IF(M$2+$F44&lt;=24,2,3),FALSE)),$C$3)*(1+Projection!O$16)*(1+IF(M176&gt;0,'Attrition Modeling'!$N$9,0)))</f>
        <v>0</v>
      </c>
      <c r="N111" s="799">
        <f>M111*(1-IFERROR(IF(N$69+$F111&lt;=12,SUMIFS('Attrition Modeling'!$D:$D,'Attrition Modeling'!$C:$C,'IP Attrition'!$D111,'Attrition Modeling'!$B:$B,'IP Attrition'!N$68),VLOOKUP($F111+N$2,$A$6:$C$106,2,FALSE)*VLOOKUP(N$1,'Attrition Modeling'!$L$15:$N$27,IF(N$2+$F44&lt;=24,2,3),FALSE)),$C$3)*(1+Projection!P$16)*(1+IF(N176&gt;0,'Attrition Modeling'!$N$9,0)))</f>
        <v>0</v>
      </c>
      <c r="O111" s="799">
        <f>N111*(1-IFERROR(IF(O$69+$F111&lt;=12,SUMIFS('Attrition Modeling'!$D:$D,'Attrition Modeling'!$C:$C,'IP Attrition'!$D111,'Attrition Modeling'!$B:$B,'IP Attrition'!O$68),VLOOKUP($F111+O$2,$A$6:$C$106,2,FALSE)*VLOOKUP(O$1,'Attrition Modeling'!$L$15:$N$27,IF(O$2+$F44&lt;=24,2,3),FALSE)),$C$3)*(1+Projection!Q$16)*(1+IF(O176&gt;0,'Attrition Modeling'!$N$9,0)))</f>
        <v>0</v>
      </c>
      <c r="P111" s="799">
        <f>O111*(1-IFERROR(IF(P$69+$F111&lt;=12,SUMIFS('Attrition Modeling'!$D:$D,'Attrition Modeling'!$C:$C,'IP Attrition'!$D111,'Attrition Modeling'!$B:$B,'IP Attrition'!P$68),VLOOKUP($F111+P$2,$A$6:$C$106,2,FALSE)*VLOOKUP(P$1,'Attrition Modeling'!$L$15:$N$27,IF(P$2+$F44&lt;=24,2,3),FALSE)),$C$3)*(1+Projection!R$16)*(1+IF(P176&gt;0,'Attrition Modeling'!$N$9,0)))</f>
        <v>0</v>
      </c>
      <c r="Q111" s="799">
        <f>P111*(1-IFERROR(IF(Q$69+$F111&lt;=12,SUMIFS('Attrition Modeling'!$D:$D,'Attrition Modeling'!$C:$C,'IP Attrition'!$D111,'Attrition Modeling'!$B:$B,'IP Attrition'!Q$68),VLOOKUP($F111+Q$2,$A$6:$C$106,2,FALSE)*VLOOKUP(Q$1,'Attrition Modeling'!$L$15:$N$27,IF(Q$2+$F44&lt;=24,2,3),FALSE)),$C$3)*(1+Projection!S$16)*(1+IF(Q176&gt;0,'Attrition Modeling'!$N$9,0)))</f>
        <v>0</v>
      </c>
      <c r="R111" s="799">
        <f>Q111*(1-IFERROR(IF(R$69+$F111&lt;=12,SUMIFS('Attrition Modeling'!$D:$D,'Attrition Modeling'!$C:$C,'IP Attrition'!$D111,'Attrition Modeling'!$B:$B,'IP Attrition'!R$68),VLOOKUP($F111+R$2,$A$6:$C$106,2,FALSE)*VLOOKUP(R$1,'Attrition Modeling'!$L$15:$N$27,IF(R$2+$F44&lt;=24,2,3),FALSE)),$C$3)*(1+Projection!T$16)*(1+IF(R176&gt;0,'Attrition Modeling'!$N$9,0)))</f>
        <v>0</v>
      </c>
      <c r="S111" s="799">
        <f>R111*(1-IFERROR(IF(S$69+$F111&lt;=12,SUMIFS('Attrition Modeling'!$D:$D,'Attrition Modeling'!$C:$C,'IP Attrition'!$D111,'Attrition Modeling'!$B:$B,'IP Attrition'!S$68),VLOOKUP($F111+S$2,$A$6:$C$106,2,FALSE)*VLOOKUP(S$1,'Attrition Modeling'!$L$15:$N$27,IF(S$2+$F44&lt;=24,2,3),FALSE)),$C$3)*(1+Projection!U$16)*(1+IF(S176&gt;0,'Attrition Modeling'!$N$9,0)))</f>
        <v>0</v>
      </c>
      <c r="T111" s="799">
        <f>S111*(1-IFERROR(IF(T$69+$F111&lt;=12,SUMIFS('Attrition Modeling'!$D:$D,'Attrition Modeling'!$C:$C,'IP Attrition'!$D111,'Attrition Modeling'!$B:$B,'IP Attrition'!T$68),VLOOKUP($F111+T$2,$A$6:$C$106,2,FALSE)*VLOOKUP(T$1,'Attrition Modeling'!$L$15:$N$27,IF(T$2+$F44&lt;=24,2,3),FALSE)),$C$3)*(1+Projection!V$16)*(1+IF(T176&gt;0,'Attrition Modeling'!$N$9,0)))</f>
        <v>0</v>
      </c>
      <c r="U111" s="799">
        <f>T111*(1-IFERROR(IF(U$69+$F111&lt;=12,SUMIFS('Attrition Modeling'!$D:$D,'Attrition Modeling'!$C:$C,'IP Attrition'!$D111,'Attrition Modeling'!$B:$B,'IP Attrition'!U$68),VLOOKUP($F111+U$2,$A$6:$C$106,2,FALSE)*VLOOKUP(U$1,'Attrition Modeling'!$L$15:$N$27,IF(U$2+$F44&lt;=24,2,3),FALSE)),$C$3)*(1+Projection!W$16)*(1+IF(U176&gt;0,'Attrition Modeling'!$N$9,0)))</f>
        <v>0</v>
      </c>
      <c r="V111" s="799">
        <f>U111*(1-IFERROR(IF(V$69+$F111&lt;=12,SUMIFS('Attrition Modeling'!$D:$D,'Attrition Modeling'!$C:$C,'IP Attrition'!$D111,'Attrition Modeling'!$B:$B,'IP Attrition'!V$68),VLOOKUP($F111+V$2,$A$6:$C$106,2,FALSE)*VLOOKUP(V$1,'Attrition Modeling'!$L$15:$N$27,IF(V$2+$F44&lt;=24,2,3),FALSE)),$C$3)*(1+Projection!X$16)*(1+IF(V176&gt;0,'Attrition Modeling'!$N$9,0)))</f>
        <v>0</v>
      </c>
      <c r="W111" s="799">
        <f>V111*(1-IFERROR(IF(W$69+$F111&lt;=12,SUMIFS('Attrition Modeling'!$D:$D,'Attrition Modeling'!$C:$C,'IP Attrition'!$D111,'Attrition Modeling'!$B:$B,'IP Attrition'!W$68),VLOOKUP($F111+W$2,$A$6:$C$106,2,FALSE)*VLOOKUP(W$1,'Attrition Modeling'!$L$15:$N$27,IF(W$2+$F44&lt;=24,2,3),FALSE)),$C$3)*(1+Projection!Y$16)*(1+IF(W176&gt;0,'Attrition Modeling'!$N$9,0)))</f>
        <v>0</v>
      </c>
      <c r="X111" s="799">
        <f>W111*(1-IFERROR(IF(X$69+$F111&lt;=12,SUMIFS('Attrition Modeling'!$D:$D,'Attrition Modeling'!$C:$C,'IP Attrition'!$D111,'Attrition Modeling'!$B:$B,'IP Attrition'!X$68),VLOOKUP($F111+X$2,$A$6:$C$106,2,FALSE)*VLOOKUP(X$1,'Attrition Modeling'!$L$15:$N$27,IF(X$2+$F44&lt;=24,2,3),FALSE)),$C$3)*(1+Projection!Z$16)*(1+IF(X176&gt;0,'Attrition Modeling'!$N$9,0)))</f>
        <v>0</v>
      </c>
      <c r="Y111" s="799">
        <f>X111*(1-IFERROR(IF(Y$69+$F111&lt;=12,SUMIFS('Attrition Modeling'!$D:$D,'Attrition Modeling'!$C:$C,'IP Attrition'!$D111,'Attrition Modeling'!$B:$B,'IP Attrition'!Y$68),VLOOKUP($F111+Y$2,$A$6:$C$106,2,FALSE)*VLOOKUP(Y$1,'Attrition Modeling'!$L$15:$N$27,IF(Y$2+$F44&lt;=24,2,3),FALSE)),$C$3)*(1+Projection!AA$16)*(1+IF(Y176&gt;0,'Attrition Modeling'!$N$9,0)))</f>
        <v>0</v>
      </c>
      <c r="Z111" s="799">
        <f>Y111*(1-IFERROR(IF(Z$69+$F111&lt;=12,SUMIFS('Attrition Modeling'!$D:$D,'Attrition Modeling'!$C:$C,'IP Attrition'!$D111,'Attrition Modeling'!$B:$B,'IP Attrition'!Z$68),VLOOKUP($F111+Z$2,$A$6:$C$106,2,FALSE)*VLOOKUP(Z$1,'Attrition Modeling'!$L$15:$N$27,IF(Z$2+$F44&lt;=24,2,3),FALSE)),$C$3)*(1+Projection!AB$16)*(1+IF(Z176&gt;0,'Attrition Modeling'!$N$9,0)))</f>
        <v>0</v>
      </c>
      <c r="AA111" s="799">
        <f>Z111*(1-IFERROR(IF(AA$69+$F111&lt;=12,SUMIFS('Attrition Modeling'!$D:$D,'Attrition Modeling'!$C:$C,'IP Attrition'!$D111,'Attrition Modeling'!$B:$B,'IP Attrition'!AA$68),VLOOKUP($F111+AA$2,$A$6:$C$106,2,FALSE)*VLOOKUP(AA$1,'Attrition Modeling'!$L$15:$N$27,IF(AA$2+$F44&lt;=24,2,3),FALSE)),$C$3)*(1+Projection!AC$16)*(1+IF(AA176&gt;0,'Attrition Modeling'!$N$9,0)))</f>
        <v>0</v>
      </c>
      <c r="AB111" s="799">
        <f>AA111*(1-IFERROR(IF(AB$69+$F111&lt;=12,SUMIFS('Attrition Modeling'!$D:$D,'Attrition Modeling'!$C:$C,'IP Attrition'!$D111,'Attrition Modeling'!$B:$B,'IP Attrition'!AB$68),VLOOKUP($F111+AB$2,$A$6:$C$106,2,FALSE)*VLOOKUP(AB$1,'Attrition Modeling'!$L$15:$N$27,IF(AB$2+$F44&lt;=24,2,3),FALSE)),$C$3)*(1+Projection!AD$16)*(1+IF(AB176&gt;0,'Attrition Modeling'!$N$9,0)))</f>
        <v>0</v>
      </c>
      <c r="AC111" s="799">
        <f>AB111*(1-IFERROR(IF(AC$69+$F111&lt;=12,SUMIFS('Attrition Modeling'!$D:$D,'Attrition Modeling'!$C:$C,'IP Attrition'!$D111,'Attrition Modeling'!$B:$B,'IP Attrition'!AC$68),VLOOKUP($F111+AC$2,$A$6:$C$106,2,FALSE)*VLOOKUP(AC$1,'Attrition Modeling'!$L$15:$N$27,IF(AC$2+$F44&lt;=24,2,3),FALSE)),$C$3)*(1+Projection!AE$16)*(1+IF(AC176&gt;0,'Attrition Modeling'!$N$9,0)))</f>
        <v>0</v>
      </c>
      <c r="AD111" s="799">
        <f>AC111*(1-IFERROR(IF(AD$69+$F111&lt;=12,SUMIFS('Attrition Modeling'!$D:$D,'Attrition Modeling'!$C:$C,'IP Attrition'!$D111,'Attrition Modeling'!$B:$B,'IP Attrition'!AD$68),VLOOKUP($F111+AD$2,$A$6:$C$106,2,FALSE)*VLOOKUP(AD$1,'Attrition Modeling'!$L$15:$N$27,IF(AD$2+$F44&lt;=24,2,3),FALSE)),$C$3)*(1+Projection!AF$16)*(1+IF(AD176&gt;0,'Attrition Modeling'!$N$9,0)))</f>
        <v>0</v>
      </c>
      <c r="AE111" s="799">
        <f>AD111*(1-IFERROR(IF(AE$69+$F111&lt;=12,SUMIFS('Attrition Modeling'!$D:$D,'Attrition Modeling'!$C:$C,'IP Attrition'!$D111,'Attrition Modeling'!$B:$B,'IP Attrition'!AE$68),VLOOKUP($F111+AE$2,$A$6:$C$106,2,FALSE)*VLOOKUP(AE$1,'Attrition Modeling'!$L$15:$N$27,IF(AE$2+$F44&lt;=24,2,3),FALSE)),$C$3)*(1+Projection!AG$16)*(1+IF(AE176&gt;0,'Attrition Modeling'!$N$9,0)))</f>
        <v>0</v>
      </c>
      <c r="AF111" s="799">
        <f>AE111*(1-IFERROR(IF(AF$69+$F111&lt;=12,SUMIFS('Attrition Modeling'!$D:$D,'Attrition Modeling'!$C:$C,'IP Attrition'!$D111,'Attrition Modeling'!$B:$B,'IP Attrition'!AF$68),VLOOKUP($F111+AF$2,$A$6:$C$106,2,FALSE)*VLOOKUP(AF$1,'Attrition Modeling'!$L$15:$N$27,IF(AF$2+$F44&lt;=24,2,3),FALSE)),$C$3)*(1+Projection!AH$16)*(1+IF(AF176&gt;0,'Attrition Modeling'!$N$9,0)))</f>
        <v>0</v>
      </c>
      <c r="AG111" s="799">
        <f>AF111*(1-IFERROR(IF(AG$69+$F111&lt;=12,SUMIFS('Attrition Modeling'!$D:$D,'Attrition Modeling'!$C:$C,'IP Attrition'!$D111,'Attrition Modeling'!$B:$B,'IP Attrition'!AG$68),VLOOKUP($F111+AG$2,$A$6:$C$106,2,FALSE)*VLOOKUP(AG$1,'Attrition Modeling'!$L$15:$N$27,IF(AG$2+$F44&lt;=24,2,3),FALSE)),$C$3)*(1+Projection!AI$16)*(1+IF(AG176&gt;0,'Attrition Modeling'!$N$9,0)))</f>
        <v>0</v>
      </c>
      <c r="AH111" s="799">
        <f>AG111*(1-IFERROR(IF(AH$69+$F111&lt;=12,SUMIFS('Attrition Modeling'!$D:$D,'Attrition Modeling'!$C:$C,'IP Attrition'!$D111,'Attrition Modeling'!$B:$B,'IP Attrition'!AH$68),VLOOKUP($F111+AH$2,$A$6:$C$106,2,FALSE)*VLOOKUP(AH$1,'Attrition Modeling'!$L$15:$N$27,IF(AH$2+$F44&lt;=24,2,3),FALSE)),$C$3)*(1+Projection!AJ$16)*(1+IF(AH176&gt;0,'Attrition Modeling'!$N$9,0)))</f>
        <v>0</v>
      </c>
      <c r="AI111" s="799">
        <f>AH111*(1-IFERROR(IF(AI$69+$F111&lt;=12,SUMIFS('Attrition Modeling'!$D:$D,'Attrition Modeling'!$C:$C,'IP Attrition'!$D111,'Attrition Modeling'!$B:$B,'IP Attrition'!AI$68),VLOOKUP($F111+AI$2,$A$6:$C$106,2,FALSE)*VLOOKUP(AI$1,'Attrition Modeling'!$L$15:$N$27,IF(AI$2+$F44&lt;=24,2,3),FALSE)),$C$3)*(1+Projection!AK$16)*(1+IF(AI176&gt;0,'Attrition Modeling'!$N$9,0)))</f>
        <v>0</v>
      </c>
      <c r="AJ111" s="799">
        <f>AI111*(1-IFERROR(IF(AJ$69+$F111&lt;=12,SUMIFS('Attrition Modeling'!$D:$D,'Attrition Modeling'!$C:$C,'IP Attrition'!$D111,'Attrition Modeling'!$B:$B,'IP Attrition'!AJ$68),VLOOKUP($F111+AJ$2,$A$6:$C$106,2,FALSE)*VLOOKUP(AJ$1,'Attrition Modeling'!$L$15:$N$27,IF(AJ$2+$F44&lt;=24,2,3),FALSE)),$C$3)*(1+Projection!AL$16)*(1+IF(AJ176&gt;0,'Attrition Modeling'!$N$9,0)))</f>
        <v>0</v>
      </c>
      <c r="AK111" s="799">
        <f>AJ111*(1-IFERROR(IF(AK$69+$F111&lt;=12,SUMIFS('Attrition Modeling'!$D:$D,'Attrition Modeling'!$C:$C,'IP Attrition'!$D111,'Attrition Modeling'!$B:$B,'IP Attrition'!AK$68),VLOOKUP($F111+AK$2,$A$6:$C$106,2,FALSE)*VLOOKUP(AK$1,'Attrition Modeling'!$L$15:$N$27,IF(AK$2+$F44&lt;=24,2,3),FALSE)),$C$3)*(1+Projection!AM$16)*(1+IF(AK176&gt;0,'Attrition Modeling'!$N$9,0)))</f>
        <v>0</v>
      </c>
      <c r="AL111" s="799">
        <f>AK111*(1-IFERROR(IF(AL$69+$F111&lt;=12,SUMIFS('Attrition Modeling'!$D:$D,'Attrition Modeling'!$C:$C,'IP Attrition'!$D111,'Attrition Modeling'!$B:$B,'IP Attrition'!AL$68),VLOOKUP($F111+AL$2,$A$6:$C$106,2,FALSE)*VLOOKUP(AL$1,'Attrition Modeling'!$L$15:$N$27,IF(AL$2+$F44&lt;=24,2,3),FALSE)),$C$3)*(1+Projection!AN$16)*(1+IF(AL176&gt;0,'Attrition Modeling'!$N$9,0)))</f>
        <v>0</v>
      </c>
      <c r="AM111" s="799">
        <f>AL111*(1-IFERROR(IF(AM$69+$F111&lt;=12,SUMIFS('Attrition Modeling'!$D:$D,'Attrition Modeling'!$C:$C,'IP Attrition'!$D111,'Attrition Modeling'!$B:$B,'IP Attrition'!AM$68),VLOOKUP($F111+AM$2,$A$6:$C$106,2,FALSE)*VLOOKUP(AM$1,'Attrition Modeling'!$L$15:$N$27,IF(AM$2+$F44&lt;=24,2,3),FALSE)),$C$3)*(1+Projection!AO$16)*(1+IF(AM176&gt;0,'Attrition Modeling'!$N$9,0)))</f>
        <v>0</v>
      </c>
      <c r="AN111" s="799">
        <f>AM111*(1-IFERROR(IF(AN$69+$F111&lt;=12,SUMIFS('Attrition Modeling'!$D:$D,'Attrition Modeling'!$C:$C,'IP Attrition'!$D111,'Attrition Modeling'!$B:$B,'IP Attrition'!AN$68),VLOOKUP($F111+AN$2,$A$6:$C$106,2,FALSE)*VLOOKUP(AN$1,'Attrition Modeling'!$L$15:$N$27,IF(AN$2+$F44&lt;=24,2,3),FALSE)),$C$3)*(1+Projection!AP$16)*(1+IF(AN176&gt;0,'Attrition Modeling'!$N$9,0)))</f>
        <v>0</v>
      </c>
      <c r="AO111" s="799">
        <f>AN111*(1-IFERROR(IF(AO$69+$F111&lt;=12,SUMIFS('Attrition Modeling'!$D:$D,'Attrition Modeling'!$C:$C,'IP Attrition'!$D111,'Attrition Modeling'!$B:$B,'IP Attrition'!AO$68),VLOOKUP($F111+AO$2,$A$6:$C$106,2,FALSE)*VLOOKUP(AO$1,'Attrition Modeling'!$L$15:$N$27,IF(AO$2+$F44&lt;=24,2,3),FALSE)),$C$3)*(1+Projection!AQ$16)*(1+IF(AO176&gt;0,'Attrition Modeling'!$N$9,0)))</f>
        <v>0</v>
      </c>
      <c r="AP111" s="799">
        <f>AO111*(1-IFERROR(IF(AP$69+$F111&lt;=12,SUMIFS('Attrition Modeling'!$D:$D,'Attrition Modeling'!$C:$C,'IP Attrition'!$D111,'Attrition Modeling'!$B:$B,'IP Attrition'!AP$68),VLOOKUP($F111+AP$2,$A$6:$C$106,2,FALSE)*VLOOKUP(AP$1,'Attrition Modeling'!$L$15:$N$27,IF(AP$2+$F44&lt;=24,2,3),FALSE)),$C$3)*(1+Projection!AR$16)*(1+IF(AP176&gt;0,'Attrition Modeling'!$N$9,0)))</f>
        <v>0</v>
      </c>
      <c r="AQ111" s="799">
        <f>AP111*(1-IFERROR(IF(AQ$69+$F111&lt;=12,SUMIFS('Attrition Modeling'!$D:$D,'Attrition Modeling'!$C:$C,'IP Attrition'!$D111,'Attrition Modeling'!$B:$B,'IP Attrition'!AQ$68),VLOOKUP($F111+AQ$2,$A$6:$C$106,2,FALSE)*VLOOKUP(AQ$1,'Attrition Modeling'!$L$15:$N$27,IF(AQ$2+$F44&lt;=24,2,3),FALSE)),$C$3)*(1+Projection!AS$16)*(1+IF(AQ176&gt;0,'Attrition Modeling'!$N$9,0)))</f>
        <v>0</v>
      </c>
      <c r="AR111" s="799">
        <f>AQ111*(1-IFERROR(IF(AR$69+$F111&lt;=12,SUMIFS('Attrition Modeling'!$D:$D,'Attrition Modeling'!$C:$C,'IP Attrition'!$D111,'Attrition Modeling'!$B:$B,'IP Attrition'!AR$68),VLOOKUP($F111+AR$2,$A$6:$C$106,2,FALSE)*VLOOKUP(AR$1,'Attrition Modeling'!$L$15:$N$27,IF(AR$2+$F44&lt;=24,2,3),FALSE)),$C$3)*(1+Projection!AT$16)*(1+IF(AR176&gt;0,'Attrition Modeling'!$N$9,0)))</f>
        <v>0</v>
      </c>
      <c r="AS111" s="799">
        <f>AR111*(1-IFERROR(IF(AS$69+$F111&lt;=12,SUMIFS('Attrition Modeling'!$D:$D,'Attrition Modeling'!$C:$C,'IP Attrition'!$D111,'Attrition Modeling'!$B:$B,'IP Attrition'!AS$68),VLOOKUP($F111+AS$2,$A$6:$C$106,2,FALSE)*VLOOKUP(AS$1,'Attrition Modeling'!$L$15:$N$27,IF(AS$2+$F44&lt;=24,2,3),FALSE)),$C$3)*(1+Projection!AU$16)*(1+IF(AS176&gt;0,'Attrition Modeling'!$N$9,0)))</f>
        <v>0</v>
      </c>
      <c r="AT111" s="799">
        <f>AS111*(1-IFERROR(IF(AT$69+$F111&lt;=12,SUMIFS('Attrition Modeling'!$D:$D,'Attrition Modeling'!$C:$C,'IP Attrition'!$D111,'Attrition Modeling'!$B:$B,'IP Attrition'!AT$68),VLOOKUP($F111+AT$2,$A$6:$C$106,2,FALSE)*VLOOKUP(AT$1,'Attrition Modeling'!$L$15:$N$27,IF(AT$2+$F44&lt;=24,2,3),FALSE)),$C$3)*(1+Projection!AV$16)*(1+IF(AT176&gt;0,'Attrition Modeling'!$N$9,0)))</f>
        <v>0</v>
      </c>
      <c r="AU111" s="799">
        <f>AT111*(1-IFERROR(IF(AU$69+$F111&lt;=12,SUMIFS('Attrition Modeling'!$D:$D,'Attrition Modeling'!$C:$C,'IP Attrition'!$D111,'Attrition Modeling'!$B:$B,'IP Attrition'!AU$68),VLOOKUP($F111+AU$2,$A$6:$C$106,2,FALSE)*VLOOKUP(AU$1,'Attrition Modeling'!$L$15:$N$27,IF(AU$2+$F44&lt;=24,2,3),FALSE)),$C$3)*(1+Projection!AW$16)*(1+IF(AU176&gt;0,'Attrition Modeling'!$N$9,0)))</f>
        <v>0</v>
      </c>
      <c r="AV111" s="799">
        <f>AU111*(1-IFERROR(IF(AV$69+$F111&lt;=12,SUMIFS('Attrition Modeling'!$D:$D,'Attrition Modeling'!$C:$C,'IP Attrition'!$D111,'Attrition Modeling'!$B:$B,'IP Attrition'!AV$68),VLOOKUP($F111+AV$2,$A$6:$C$106,2,FALSE)*VLOOKUP(AV$1,'Attrition Modeling'!$L$15:$N$27,IF(AV$2+$F44&lt;=24,2,3),FALSE)),$C$3)*(1+Projection!AX$16)*(1+IF(AV176&gt;0,'Attrition Modeling'!$N$9,0)))</f>
        <v>0</v>
      </c>
      <c r="AW111" s="799">
        <f>AV111*(1-IFERROR(IF(AW$69+$F111&lt;=12,SUMIFS('Attrition Modeling'!$D:$D,'Attrition Modeling'!$C:$C,'IP Attrition'!$D111,'Attrition Modeling'!$B:$B,'IP Attrition'!AW$68),VLOOKUP($F111+AW$2,$A$6:$C$106,2,FALSE)*VLOOKUP(AW$1,'Attrition Modeling'!$L$15:$N$27,IF(AW$2+$F44&lt;=24,2,3),FALSE)),$C$3)*(1+Projection!AY$16)*(1+IF(AW176&gt;0,'Attrition Modeling'!$N$9,0)))</f>
        <v>0</v>
      </c>
      <c r="AX111" s="799">
        <f>AW111*(1-IFERROR(IF(AX$69+$F111&lt;=12,SUMIFS('Attrition Modeling'!$D:$D,'Attrition Modeling'!$C:$C,'IP Attrition'!$D111,'Attrition Modeling'!$B:$B,'IP Attrition'!AX$68),VLOOKUP($F111+AX$2,$A$6:$C$106,2,FALSE)*VLOOKUP(AX$1,'Attrition Modeling'!$L$15:$N$27,IF(AX$2+$F44&lt;=24,2,3),FALSE)),$C$3)*(1+Projection!AZ$16)*(1+IF(AX176&gt;0,'Attrition Modeling'!$N$9,0)))</f>
        <v>0</v>
      </c>
      <c r="AY111" s="799">
        <f>AX111*(1-IFERROR(IF(AY$69+$F111&lt;=12,SUMIFS('Attrition Modeling'!$D:$D,'Attrition Modeling'!$C:$C,'IP Attrition'!$D111,'Attrition Modeling'!$B:$B,'IP Attrition'!AY$68),VLOOKUP($F111+AY$2,$A$6:$C$106,2,FALSE)*VLOOKUP(AY$1,'Attrition Modeling'!$L$15:$N$27,IF(AY$2+$F44&lt;=24,2,3),FALSE)),$C$3)*(1+Projection!BA$16)*(1+IF(AY176&gt;0,'Attrition Modeling'!$N$9,0)))</f>
        <v>0</v>
      </c>
      <c r="AZ111" s="799">
        <f>AY111*(1-IFERROR(IF(AZ$69+$F111&lt;=12,SUMIFS('Attrition Modeling'!$D:$D,'Attrition Modeling'!$C:$C,'IP Attrition'!$D111,'Attrition Modeling'!$B:$B,'IP Attrition'!AZ$68),VLOOKUP($F111+AZ$2,$A$6:$C$106,2,FALSE)*VLOOKUP(AZ$1,'Attrition Modeling'!$L$15:$N$27,IF(AZ$2+$F44&lt;=24,2,3),FALSE)),$C$3)*(1+Projection!BB$16)*(1+IF(AZ176&gt;0,'Attrition Modeling'!$N$9,0)))</f>
        <v>0</v>
      </c>
      <c r="BA111" s="799">
        <f>AZ111*(1-IFERROR(IF(BA$69+$F111&lt;=12,SUMIFS('Attrition Modeling'!$D:$D,'Attrition Modeling'!$C:$C,'IP Attrition'!$D111,'Attrition Modeling'!$B:$B,'IP Attrition'!BA$68),VLOOKUP($F111+BA$2,$A$6:$C$106,2,FALSE)*VLOOKUP(BA$1,'Attrition Modeling'!$L$15:$N$27,IF(BA$2+$F44&lt;=24,2,3),FALSE)),$C$3)*(1+Projection!BC$16)*(1+IF(BA176&gt;0,'Attrition Modeling'!$N$9,0)))</f>
        <v>0</v>
      </c>
      <c r="BB111" s="799">
        <f>BA111*(1-IFERROR(IF(BB$69+$F111&lt;=12,SUMIFS('Attrition Modeling'!$D:$D,'Attrition Modeling'!$C:$C,'IP Attrition'!$D111,'Attrition Modeling'!$B:$B,'IP Attrition'!BB$68),VLOOKUP($F111+BB$2,$A$6:$C$106,2,FALSE)*VLOOKUP(BB$1,'Attrition Modeling'!$L$15:$N$27,IF(BB$2+$F44&lt;=24,2,3),FALSE)),$C$3)*(1+Projection!BD$16)*(1+IF(BB176&gt;0,'Attrition Modeling'!$N$9,0)))</f>
        <v>0</v>
      </c>
      <c r="BC111" s="799">
        <f>BB111*(1-IFERROR(IF(BC$69+$F111&lt;=12,SUMIFS('Attrition Modeling'!$D:$D,'Attrition Modeling'!$C:$C,'IP Attrition'!$D111,'Attrition Modeling'!$B:$B,'IP Attrition'!BC$68),VLOOKUP($F111+BC$2,$A$6:$C$106,2,FALSE)*VLOOKUP(BC$1,'Attrition Modeling'!$L$15:$N$27,IF(BC$2+$F44&lt;=24,2,3),FALSE)),$C$3)*(1+Projection!BE$16)*(1+IF(BC176&gt;0,'Attrition Modeling'!$N$9,0)))</f>
        <v>0</v>
      </c>
      <c r="BD111" s="799">
        <f>BC111*(1-IFERROR(IF(BD$69+$F111&lt;=12,SUMIFS('Attrition Modeling'!$D:$D,'Attrition Modeling'!$C:$C,'IP Attrition'!$D111,'Attrition Modeling'!$B:$B,'IP Attrition'!BD$68),VLOOKUP($F111+BD$2,$A$6:$C$106,2,FALSE)*VLOOKUP(BD$1,'Attrition Modeling'!$L$15:$N$27,IF(BD$2+$F44&lt;=24,2,3),FALSE)),$C$3)*(1+Projection!BF$16)*(1+IF(BD176&gt;0,'Attrition Modeling'!$N$9,0)))</f>
        <v>0</v>
      </c>
      <c r="BE111" s="799">
        <f>BD111*(1-IFERROR(IF(BE$69+$F111&lt;=12,SUMIFS('Attrition Modeling'!$D:$D,'Attrition Modeling'!$C:$C,'IP Attrition'!$D111,'Attrition Modeling'!$B:$B,'IP Attrition'!BE$68),VLOOKUP($F111+BE$2,$A$6:$C$106,2,FALSE)*VLOOKUP(BE$1,'Attrition Modeling'!$L$15:$N$27,IF(BE$2+$F44&lt;=24,2,3),FALSE)),$C$3)*(1+Projection!BG$16)*(1+IF(BE176&gt;0,'Attrition Modeling'!$N$9,0)))</f>
        <v>0</v>
      </c>
      <c r="BF111" s="799">
        <f>BE111*(1-IFERROR(IF(BF$69+$F111&lt;=12,SUMIFS('Attrition Modeling'!$D:$D,'Attrition Modeling'!$C:$C,'IP Attrition'!$D111,'Attrition Modeling'!$B:$B,'IP Attrition'!BF$68),VLOOKUP($F111+BF$2,$A$6:$C$106,2,FALSE)*VLOOKUP(BF$1,'Attrition Modeling'!$L$15:$N$27,IF(BF$2+$F44&lt;=24,2,3),FALSE)),$C$3)*(1+Projection!BH$16)*(1+IF(BF176&gt;0,'Attrition Modeling'!$N$9,0)))</f>
        <v>0</v>
      </c>
      <c r="BG111" s="799">
        <f>BF111*(1-IFERROR(IF(BG$69+$F111&lt;=12,SUMIFS('Attrition Modeling'!$D:$D,'Attrition Modeling'!$C:$C,'IP Attrition'!$D111,'Attrition Modeling'!$B:$B,'IP Attrition'!BG$68),VLOOKUP($F111+BG$2,$A$6:$C$106,2,FALSE)*VLOOKUP(BG$1,'Attrition Modeling'!$L$15:$N$27,IF(BG$2+$F44&lt;=24,2,3),FALSE)),$C$3)*(1+Projection!BI$16)*(1+IF(BG176&gt;0,'Attrition Modeling'!$N$9,0)))</f>
        <v>0</v>
      </c>
      <c r="BH111" s="799">
        <f>BG111*(1-IFERROR(IF(BH$69+$F111&lt;=12,SUMIFS('Attrition Modeling'!$D:$D,'Attrition Modeling'!$C:$C,'IP Attrition'!$D111,'Attrition Modeling'!$B:$B,'IP Attrition'!BH$68),VLOOKUP($F111+BH$2,$A$6:$C$106,2,FALSE)*VLOOKUP(BH$1,'Attrition Modeling'!$L$15:$N$27,IF(BH$2+$F44&lt;=24,2,3),FALSE)),$C$3)*(1+Projection!BJ$16)*(1+IF(BH176&gt;0,'Attrition Modeling'!$N$9,0)))</f>
        <v>0</v>
      </c>
      <c r="BI111" s="799">
        <f>BH111*(1-IFERROR(IF(BI$69+$F111&lt;=12,SUMIFS('Attrition Modeling'!$D:$D,'Attrition Modeling'!$C:$C,'IP Attrition'!$D111,'Attrition Modeling'!$B:$B,'IP Attrition'!BI$68),VLOOKUP($F111+BI$2,$A$6:$C$106,2,FALSE)*VLOOKUP(BI$1,'Attrition Modeling'!$L$15:$N$27,IF(BI$2+$F44&lt;=24,2,3),FALSE)),$C$3)*(1+Projection!BK$16)*(1+IF(BI176&gt;0,'Attrition Modeling'!$N$9,0)))</f>
        <v>0</v>
      </c>
      <c r="BJ111" s="799">
        <f>BI111*(1-IFERROR(IF(BJ$69+$F111&lt;=12,SUMIFS('Attrition Modeling'!$D:$D,'Attrition Modeling'!$C:$C,'IP Attrition'!$D111,'Attrition Modeling'!$B:$B,'IP Attrition'!BJ$68),VLOOKUP($F111+BJ$2,$A$6:$C$106,2,FALSE)*VLOOKUP(BJ$1,'Attrition Modeling'!$L$15:$N$27,IF(BJ$2+$F44&lt;=24,2,3),FALSE)),$C$3)*(1+Projection!BL$16)*(1+IF(BJ176&gt;0,'Attrition Modeling'!$N$9,0)))</f>
        <v>0</v>
      </c>
      <c r="BK111" s="799">
        <f>BJ111*(1-IFERROR(IF(BK$69+$F111&lt;=12,SUMIFS('Attrition Modeling'!$D:$D,'Attrition Modeling'!$C:$C,'IP Attrition'!$D111,'Attrition Modeling'!$B:$B,'IP Attrition'!BK$68),VLOOKUP($F111+BK$2,$A$6:$C$106,2,FALSE)*VLOOKUP(BK$1,'Attrition Modeling'!$L$15:$N$27,IF(BK$2+$F44&lt;=24,2,3),FALSE)),$C$3)*(1+Projection!BM$16)*(1+IF(BK176&gt;0,'Attrition Modeling'!$N$9,0)))</f>
        <v>0</v>
      </c>
      <c r="BL111" s="799">
        <f>BK111*(1-IFERROR(IF(BL$69+$F111&lt;=12,SUMIFS('Attrition Modeling'!$D:$D,'Attrition Modeling'!$C:$C,'IP Attrition'!$D111,'Attrition Modeling'!$B:$B,'IP Attrition'!BL$68),VLOOKUP($F111+BL$2,$A$6:$C$106,2,FALSE)*VLOOKUP(BL$1,'Attrition Modeling'!$L$15:$N$27,IF(BL$2+$F44&lt;=24,2,3),FALSE)),$C$3)*(1+Projection!BN$16)*(1+IF(BL176&gt;0,'Attrition Modeling'!$N$9,0)))</f>
        <v>0</v>
      </c>
      <c r="BM111" s="799">
        <f>BL111*(1-IFERROR(IF(BM$69+$F111&lt;=12,SUMIFS('Attrition Modeling'!$D:$D,'Attrition Modeling'!$C:$C,'IP Attrition'!$D111,'Attrition Modeling'!$B:$B,'IP Attrition'!BM$68),VLOOKUP($F111+BM$2,$A$6:$C$106,2,FALSE)*VLOOKUP(BM$1,'Attrition Modeling'!$L$15:$N$27,IF(BM$2+$F44&lt;=24,2,3),FALSE)),$C$3)*(1+Projection!BO$16)*(1+IF(BM176&gt;0,'Attrition Modeling'!$N$9,0)))</f>
        <v>0</v>
      </c>
      <c r="BN111" s="799">
        <f>BM111*(1-IFERROR(IF(BN$69+$F111&lt;=12,SUMIFS('Attrition Modeling'!$D:$D,'Attrition Modeling'!$C:$C,'IP Attrition'!$D111,'Attrition Modeling'!$B:$B,'IP Attrition'!BN$68),VLOOKUP($F111+BN$2,$A$6:$C$106,2,FALSE)*VLOOKUP(BN$1,'Attrition Modeling'!$L$15:$N$27,IF(BN$2+$F44&lt;=24,2,3),FALSE)),$C$3)*(1+Projection!BP$16)*(1+IF(BN176&gt;0,'Attrition Modeling'!$N$9,0)))</f>
        <v>0</v>
      </c>
      <c r="BO111" s="799">
        <f>BN111*(1-IFERROR(IF(BO$69+$F111&lt;=12,SUMIFS('Attrition Modeling'!$D:$D,'Attrition Modeling'!$C:$C,'IP Attrition'!$D111,'Attrition Modeling'!$B:$B,'IP Attrition'!BO$68),VLOOKUP($F111+BO$2,$A$6:$C$106,2,FALSE)*VLOOKUP(BO$1,'Attrition Modeling'!$L$15:$N$27,IF(BO$2+$F44&lt;=24,2,3),FALSE)),$C$3)*(1+Projection!BV$16)*(1+IF(BO176&gt;0,'Attrition Modeling'!$N$9,0)))</f>
        <v>0</v>
      </c>
      <c r="BP111" s="799">
        <f>BO111*(1-IFERROR(IF(BP$69+$F111&lt;=12,SUMIFS('Attrition Modeling'!$D:$D,'Attrition Modeling'!$C:$C,'IP Attrition'!$D111,'Attrition Modeling'!$B:$B,'IP Attrition'!BP$68),VLOOKUP($F111+BP$2,$A$6:$C$106,2,FALSE)*VLOOKUP(BP$1,'Attrition Modeling'!$L$15:$N$27,IF(BP$2+$F44&lt;=24,2,3),FALSE)),$C$3)*(1+Projection!BW$16)*(1+IF(BP176&gt;0,'Attrition Modeling'!$N$9,0)))</f>
        <v>0</v>
      </c>
      <c r="BQ111" s="799">
        <f>BP111*(1-IFERROR(IF(BQ$69+$F111&lt;=12,SUMIFS('Attrition Modeling'!$D:$D,'Attrition Modeling'!$C:$C,'IP Attrition'!$D111,'Attrition Modeling'!$B:$B,'IP Attrition'!BQ$68),VLOOKUP($F111+BQ$2,$A$6:$C$106,2,FALSE)*VLOOKUP(BQ$1,'Attrition Modeling'!$L$15:$N$27,IF(BQ$2+$F44&lt;=24,2,3),FALSE)),$C$3)*(1+Projection!BX$16)*(1+IF(BQ176&gt;0,'Attrition Modeling'!$N$9,0)))</f>
        <v>0</v>
      </c>
      <c r="BR111" s="799">
        <f>BQ111*(1-IFERROR(IF(BR$69+$F111&lt;=12,SUMIFS('Attrition Modeling'!$D:$D,'Attrition Modeling'!$C:$C,'IP Attrition'!$D111,'Attrition Modeling'!$B:$B,'IP Attrition'!BR$68),VLOOKUP($F111+BR$2,$A$6:$C$106,2,FALSE)*VLOOKUP(BR$1,'Attrition Modeling'!$L$15:$N$27,IF(BR$2+$F44&lt;=24,2,3),FALSE)),$C$3)*(1+Projection!BY$16)*(1+IF(BR176&gt;0,'Attrition Modeling'!$N$9,0)))</f>
        <v>0</v>
      </c>
      <c r="BS111" s="799">
        <f>BR111*(1-IFERROR(IF(BS$69+$F111&lt;=12,SUMIFS('Attrition Modeling'!$D:$D,'Attrition Modeling'!$C:$C,'IP Attrition'!$D111,'Attrition Modeling'!$B:$B,'IP Attrition'!BS$68),VLOOKUP($F111+BS$2,$A$6:$C$106,2,FALSE)*VLOOKUP(BS$1,'Attrition Modeling'!$L$15:$N$27,IF(BS$2+$F44&lt;=24,2,3),FALSE)),$C$3)*(1+Projection!BZ$16)*(1+IF(BS176&gt;0,'Attrition Modeling'!$N$9,0)))</f>
        <v>0</v>
      </c>
      <c r="BT111" s="799" t="e">
        <f>BS111*(1-IFERROR(IF(BT$69+$F111&lt;=12,SUMIFS('Attrition Modeling'!$D:$D,'Attrition Modeling'!$C:$C,'IP Attrition'!$D111,'Attrition Modeling'!$B:$B,'IP Attrition'!BT$68),VLOOKUP($F111+BT$2,$A$6:$C$106,2,FALSE)*VLOOKUP(BT$1,'Attrition Modeling'!$L$15:$N$27,IF(BT$2+$F44&lt;=24,2,3),FALSE)),$C$3)*(1+Projection!CA$16)*(1+IF(BT176&gt;0,'Attrition Modeling'!$N$9,0)))</f>
        <v>#REF!</v>
      </c>
      <c r="BU111" s="799" t="e">
        <f>BT111*(1-IFERROR(IF(BU$69+$F111&lt;=12,SUMIFS('Attrition Modeling'!$D:$D,'Attrition Modeling'!$C:$C,'IP Attrition'!$D111,'Attrition Modeling'!$B:$B,'IP Attrition'!BU$68),VLOOKUP($F111+BU$2,$A$6:$C$106,2,FALSE)*VLOOKUP(BU$1,'Attrition Modeling'!$L$15:$N$27,IF(BU$2+$F44&lt;=24,2,3),FALSE)),$C$3)*(1+Projection!CB$16)*(1+IF(BU176&gt;0,'Attrition Modeling'!$N$9,0)))</f>
        <v>#REF!</v>
      </c>
    </row>
    <row r="112" spans="1:73" ht="14.25" customHeight="1" x14ac:dyDescent="0.2">
      <c r="A112" s="9">
        <v>105</v>
      </c>
      <c r="B112" s="25">
        <f>MAX('Attrition Modeling'!H109,$C$3)*(1-Summary!$C$20)</f>
        <v>0.02</v>
      </c>
      <c r="C112" s="24" t="e">
        <f t="shared" si="3"/>
        <v>#DIV/0!</v>
      </c>
      <c r="D112" s="11">
        <f t="shared" ref="D112:E112" si="50">D45</f>
        <v>-42</v>
      </c>
      <c r="E112" s="25">
        <f t="shared" si="50"/>
        <v>0</v>
      </c>
      <c r="F112" s="11">
        <f t="shared" si="9"/>
        <v>42</v>
      </c>
      <c r="G112" s="799">
        <f>Summary!$C$24*$E112</f>
        <v>0</v>
      </c>
      <c r="H112" s="799">
        <f>G112*(1-IFERROR(IF(H$69+$F112&lt;=12,SUMIFS('Attrition Modeling'!$D:$D,'Attrition Modeling'!$C:$C,'IP Attrition'!$D112,'Attrition Modeling'!$B:$B,'IP Attrition'!H$68),VLOOKUP($F112+H$2,$A$6:$C$106,2,FALSE)*VLOOKUP(H$1,'Attrition Modeling'!$L$15:$N$27,IF(H$2+$F45&lt;=24,2,3),FALSE)),$C$3)*(1+Projection!J$16)*(1+IF(H177&gt;0,'Attrition Modeling'!$N$9,0)))</f>
        <v>0</v>
      </c>
      <c r="I112" s="799">
        <f>H112*(1-IFERROR(IF(I$69+$F112&lt;=12,SUMIFS('Attrition Modeling'!$D:$D,'Attrition Modeling'!$C:$C,'IP Attrition'!$D112,'Attrition Modeling'!$B:$B,'IP Attrition'!I$68),VLOOKUP($F112+I$2,$A$6:$C$106,2,FALSE)*VLOOKUP(I$1,'Attrition Modeling'!$L$15:$N$27,IF(I$2+$F45&lt;=24,2,3),FALSE)),$C$3)*(1+Projection!K$16)*(1+IF(I177&gt;0,'Attrition Modeling'!$N$9,0)))</f>
        <v>0</v>
      </c>
      <c r="J112" s="799">
        <f>I112*(1-IFERROR(IF(J$69+$F112&lt;=12,SUMIFS('Attrition Modeling'!$D:$D,'Attrition Modeling'!$C:$C,'IP Attrition'!$D112,'Attrition Modeling'!$B:$B,'IP Attrition'!J$68),VLOOKUP($F112+J$2,$A$6:$C$106,2,FALSE)*VLOOKUP(J$1,'Attrition Modeling'!$L$15:$N$27,IF(J$2+$F45&lt;=24,2,3),FALSE)),$C$3)*(1+Projection!L$16)*(1+IF(J177&gt;0,'Attrition Modeling'!$N$9,0)))</f>
        <v>0</v>
      </c>
      <c r="K112" s="799">
        <f>J112*(1-IFERROR(IF(K$69+$F112&lt;=12,SUMIFS('Attrition Modeling'!$D:$D,'Attrition Modeling'!$C:$C,'IP Attrition'!$D112,'Attrition Modeling'!$B:$B,'IP Attrition'!K$68),VLOOKUP($F112+K$2,$A$6:$C$106,2,FALSE)*VLOOKUP(K$1,'Attrition Modeling'!$L$15:$N$27,IF(K$2+$F45&lt;=24,2,3),FALSE)),$C$3)*(1+Projection!M$16)*(1+IF(K177&gt;0,'Attrition Modeling'!$N$9,0)))</f>
        <v>0</v>
      </c>
      <c r="L112" s="799">
        <f>K112*(1-IFERROR(IF(L$69+$F112&lt;=12,SUMIFS('Attrition Modeling'!$D:$D,'Attrition Modeling'!$C:$C,'IP Attrition'!$D112,'Attrition Modeling'!$B:$B,'IP Attrition'!L$68),VLOOKUP($F112+L$2,$A$6:$C$106,2,FALSE)*VLOOKUP(L$1,'Attrition Modeling'!$L$15:$N$27,IF(L$2+$F45&lt;=24,2,3),FALSE)),$C$3)*(1+Projection!N$16)*(1+IF(L177&gt;0,'Attrition Modeling'!$N$9,0)))</f>
        <v>0</v>
      </c>
      <c r="M112" s="799">
        <f>L112*(1-IFERROR(IF(M$69+$F112&lt;=12,SUMIFS('Attrition Modeling'!$D:$D,'Attrition Modeling'!$C:$C,'IP Attrition'!$D112,'Attrition Modeling'!$B:$B,'IP Attrition'!M$68),VLOOKUP($F112+M$2,$A$6:$C$106,2,FALSE)*VLOOKUP(M$1,'Attrition Modeling'!$L$15:$N$27,IF(M$2+$F45&lt;=24,2,3),FALSE)),$C$3)*(1+Projection!O$16)*(1+IF(M177&gt;0,'Attrition Modeling'!$N$9,0)))</f>
        <v>0</v>
      </c>
      <c r="N112" s="799">
        <f>M112*(1-IFERROR(IF(N$69+$F112&lt;=12,SUMIFS('Attrition Modeling'!$D:$D,'Attrition Modeling'!$C:$C,'IP Attrition'!$D112,'Attrition Modeling'!$B:$B,'IP Attrition'!N$68),VLOOKUP($F112+N$2,$A$6:$C$106,2,FALSE)*VLOOKUP(N$1,'Attrition Modeling'!$L$15:$N$27,IF(N$2+$F45&lt;=24,2,3),FALSE)),$C$3)*(1+Projection!P$16)*(1+IF(N177&gt;0,'Attrition Modeling'!$N$9,0)))</f>
        <v>0</v>
      </c>
      <c r="O112" s="799">
        <f>N112*(1-IFERROR(IF(O$69+$F112&lt;=12,SUMIFS('Attrition Modeling'!$D:$D,'Attrition Modeling'!$C:$C,'IP Attrition'!$D112,'Attrition Modeling'!$B:$B,'IP Attrition'!O$68),VLOOKUP($F112+O$2,$A$6:$C$106,2,FALSE)*VLOOKUP(O$1,'Attrition Modeling'!$L$15:$N$27,IF(O$2+$F45&lt;=24,2,3),FALSE)),$C$3)*(1+Projection!Q$16)*(1+IF(O177&gt;0,'Attrition Modeling'!$N$9,0)))</f>
        <v>0</v>
      </c>
      <c r="P112" s="799">
        <f>O112*(1-IFERROR(IF(P$69+$F112&lt;=12,SUMIFS('Attrition Modeling'!$D:$D,'Attrition Modeling'!$C:$C,'IP Attrition'!$D112,'Attrition Modeling'!$B:$B,'IP Attrition'!P$68),VLOOKUP($F112+P$2,$A$6:$C$106,2,FALSE)*VLOOKUP(P$1,'Attrition Modeling'!$L$15:$N$27,IF(P$2+$F45&lt;=24,2,3),FALSE)),$C$3)*(1+Projection!R$16)*(1+IF(P177&gt;0,'Attrition Modeling'!$N$9,0)))</f>
        <v>0</v>
      </c>
      <c r="Q112" s="799">
        <f>P112*(1-IFERROR(IF(Q$69+$F112&lt;=12,SUMIFS('Attrition Modeling'!$D:$D,'Attrition Modeling'!$C:$C,'IP Attrition'!$D112,'Attrition Modeling'!$B:$B,'IP Attrition'!Q$68),VLOOKUP($F112+Q$2,$A$6:$C$106,2,FALSE)*VLOOKUP(Q$1,'Attrition Modeling'!$L$15:$N$27,IF(Q$2+$F45&lt;=24,2,3),FALSE)),$C$3)*(1+Projection!S$16)*(1+IF(Q177&gt;0,'Attrition Modeling'!$N$9,0)))</f>
        <v>0</v>
      </c>
      <c r="R112" s="799">
        <f>Q112*(1-IFERROR(IF(R$69+$F112&lt;=12,SUMIFS('Attrition Modeling'!$D:$D,'Attrition Modeling'!$C:$C,'IP Attrition'!$D112,'Attrition Modeling'!$B:$B,'IP Attrition'!R$68),VLOOKUP($F112+R$2,$A$6:$C$106,2,FALSE)*VLOOKUP(R$1,'Attrition Modeling'!$L$15:$N$27,IF(R$2+$F45&lt;=24,2,3),FALSE)),$C$3)*(1+Projection!T$16)*(1+IF(R177&gt;0,'Attrition Modeling'!$N$9,0)))</f>
        <v>0</v>
      </c>
      <c r="S112" s="799">
        <f>R112*(1-IFERROR(IF(S$69+$F112&lt;=12,SUMIFS('Attrition Modeling'!$D:$D,'Attrition Modeling'!$C:$C,'IP Attrition'!$D112,'Attrition Modeling'!$B:$B,'IP Attrition'!S$68),VLOOKUP($F112+S$2,$A$6:$C$106,2,FALSE)*VLOOKUP(S$1,'Attrition Modeling'!$L$15:$N$27,IF(S$2+$F45&lt;=24,2,3),FALSE)),$C$3)*(1+Projection!U$16)*(1+IF(S177&gt;0,'Attrition Modeling'!$N$9,0)))</f>
        <v>0</v>
      </c>
      <c r="T112" s="799">
        <f>S112*(1-IFERROR(IF(T$69+$F112&lt;=12,SUMIFS('Attrition Modeling'!$D:$D,'Attrition Modeling'!$C:$C,'IP Attrition'!$D112,'Attrition Modeling'!$B:$B,'IP Attrition'!T$68),VLOOKUP($F112+T$2,$A$6:$C$106,2,FALSE)*VLOOKUP(T$1,'Attrition Modeling'!$L$15:$N$27,IF(T$2+$F45&lt;=24,2,3),FALSE)),$C$3)*(1+Projection!V$16)*(1+IF(T177&gt;0,'Attrition Modeling'!$N$9,0)))</f>
        <v>0</v>
      </c>
      <c r="U112" s="799">
        <f>T112*(1-IFERROR(IF(U$69+$F112&lt;=12,SUMIFS('Attrition Modeling'!$D:$D,'Attrition Modeling'!$C:$C,'IP Attrition'!$D112,'Attrition Modeling'!$B:$B,'IP Attrition'!U$68),VLOOKUP($F112+U$2,$A$6:$C$106,2,FALSE)*VLOOKUP(U$1,'Attrition Modeling'!$L$15:$N$27,IF(U$2+$F45&lt;=24,2,3),FALSE)),$C$3)*(1+Projection!W$16)*(1+IF(U177&gt;0,'Attrition Modeling'!$N$9,0)))</f>
        <v>0</v>
      </c>
      <c r="V112" s="799">
        <f>U112*(1-IFERROR(IF(V$69+$F112&lt;=12,SUMIFS('Attrition Modeling'!$D:$D,'Attrition Modeling'!$C:$C,'IP Attrition'!$D112,'Attrition Modeling'!$B:$B,'IP Attrition'!V$68),VLOOKUP($F112+V$2,$A$6:$C$106,2,FALSE)*VLOOKUP(V$1,'Attrition Modeling'!$L$15:$N$27,IF(V$2+$F45&lt;=24,2,3),FALSE)),$C$3)*(1+Projection!X$16)*(1+IF(V177&gt;0,'Attrition Modeling'!$N$9,0)))</f>
        <v>0</v>
      </c>
      <c r="W112" s="799">
        <f>V112*(1-IFERROR(IF(W$69+$F112&lt;=12,SUMIFS('Attrition Modeling'!$D:$D,'Attrition Modeling'!$C:$C,'IP Attrition'!$D112,'Attrition Modeling'!$B:$B,'IP Attrition'!W$68),VLOOKUP($F112+W$2,$A$6:$C$106,2,FALSE)*VLOOKUP(W$1,'Attrition Modeling'!$L$15:$N$27,IF(W$2+$F45&lt;=24,2,3),FALSE)),$C$3)*(1+Projection!Y$16)*(1+IF(W177&gt;0,'Attrition Modeling'!$N$9,0)))</f>
        <v>0</v>
      </c>
      <c r="X112" s="799">
        <f>W112*(1-IFERROR(IF(X$69+$F112&lt;=12,SUMIFS('Attrition Modeling'!$D:$D,'Attrition Modeling'!$C:$C,'IP Attrition'!$D112,'Attrition Modeling'!$B:$B,'IP Attrition'!X$68),VLOOKUP($F112+X$2,$A$6:$C$106,2,FALSE)*VLOOKUP(X$1,'Attrition Modeling'!$L$15:$N$27,IF(X$2+$F45&lt;=24,2,3),FALSE)),$C$3)*(1+Projection!Z$16)*(1+IF(X177&gt;0,'Attrition Modeling'!$N$9,0)))</f>
        <v>0</v>
      </c>
      <c r="Y112" s="799">
        <f>X112*(1-IFERROR(IF(Y$69+$F112&lt;=12,SUMIFS('Attrition Modeling'!$D:$D,'Attrition Modeling'!$C:$C,'IP Attrition'!$D112,'Attrition Modeling'!$B:$B,'IP Attrition'!Y$68),VLOOKUP($F112+Y$2,$A$6:$C$106,2,FALSE)*VLOOKUP(Y$1,'Attrition Modeling'!$L$15:$N$27,IF(Y$2+$F45&lt;=24,2,3),FALSE)),$C$3)*(1+Projection!AA$16)*(1+IF(Y177&gt;0,'Attrition Modeling'!$N$9,0)))</f>
        <v>0</v>
      </c>
      <c r="Z112" s="799">
        <f>Y112*(1-IFERROR(IF(Z$69+$F112&lt;=12,SUMIFS('Attrition Modeling'!$D:$D,'Attrition Modeling'!$C:$C,'IP Attrition'!$D112,'Attrition Modeling'!$B:$B,'IP Attrition'!Z$68),VLOOKUP($F112+Z$2,$A$6:$C$106,2,FALSE)*VLOOKUP(Z$1,'Attrition Modeling'!$L$15:$N$27,IF(Z$2+$F45&lt;=24,2,3),FALSE)),$C$3)*(1+Projection!AB$16)*(1+IF(Z177&gt;0,'Attrition Modeling'!$N$9,0)))</f>
        <v>0</v>
      </c>
      <c r="AA112" s="799">
        <f>Z112*(1-IFERROR(IF(AA$69+$F112&lt;=12,SUMIFS('Attrition Modeling'!$D:$D,'Attrition Modeling'!$C:$C,'IP Attrition'!$D112,'Attrition Modeling'!$B:$B,'IP Attrition'!AA$68),VLOOKUP($F112+AA$2,$A$6:$C$106,2,FALSE)*VLOOKUP(AA$1,'Attrition Modeling'!$L$15:$N$27,IF(AA$2+$F45&lt;=24,2,3),FALSE)),$C$3)*(1+Projection!AC$16)*(1+IF(AA177&gt;0,'Attrition Modeling'!$N$9,0)))</f>
        <v>0</v>
      </c>
      <c r="AB112" s="799">
        <f>AA112*(1-IFERROR(IF(AB$69+$F112&lt;=12,SUMIFS('Attrition Modeling'!$D:$D,'Attrition Modeling'!$C:$C,'IP Attrition'!$D112,'Attrition Modeling'!$B:$B,'IP Attrition'!AB$68),VLOOKUP($F112+AB$2,$A$6:$C$106,2,FALSE)*VLOOKUP(AB$1,'Attrition Modeling'!$L$15:$N$27,IF(AB$2+$F45&lt;=24,2,3),FALSE)),$C$3)*(1+Projection!AD$16)*(1+IF(AB177&gt;0,'Attrition Modeling'!$N$9,0)))</f>
        <v>0</v>
      </c>
      <c r="AC112" s="799">
        <f>AB112*(1-IFERROR(IF(AC$69+$F112&lt;=12,SUMIFS('Attrition Modeling'!$D:$D,'Attrition Modeling'!$C:$C,'IP Attrition'!$D112,'Attrition Modeling'!$B:$B,'IP Attrition'!AC$68),VLOOKUP($F112+AC$2,$A$6:$C$106,2,FALSE)*VLOOKUP(AC$1,'Attrition Modeling'!$L$15:$N$27,IF(AC$2+$F45&lt;=24,2,3),FALSE)),$C$3)*(1+Projection!AE$16)*(1+IF(AC177&gt;0,'Attrition Modeling'!$N$9,0)))</f>
        <v>0</v>
      </c>
      <c r="AD112" s="799">
        <f>AC112*(1-IFERROR(IF(AD$69+$F112&lt;=12,SUMIFS('Attrition Modeling'!$D:$D,'Attrition Modeling'!$C:$C,'IP Attrition'!$D112,'Attrition Modeling'!$B:$B,'IP Attrition'!AD$68),VLOOKUP($F112+AD$2,$A$6:$C$106,2,FALSE)*VLOOKUP(AD$1,'Attrition Modeling'!$L$15:$N$27,IF(AD$2+$F45&lt;=24,2,3),FALSE)),$C$3)*(1+Projection!AF$16)*(1+IF(AD177&gt;0,'Attrition Modeling'!$N$9,0)))</f>
        <v>0</v>
      </c>
      <c r="AE112" s="799">
        <f>AD112*(1-IFERROR(IF(AE$69+$F112&lt;=12,SUMIFS('Attrition Modeling'!$D:$D,'Attrition Modeling'!$C:$C,'IP Attrition'!$D112,'Attrition Modeling'!$B:$B,'IP Attrition'!AE$68),VLOOKUP($F112+AE$2,$A$6:$C$106,2,FALSE)*VLOOKUP(AE$1,'Attrition Modeling'!$L$15:$N$27,IF(AE$2+$F45&lt;=24,2,3),FALSE)),$C$3)*(1+Projection!AG$16)*(1+IF(AE177&gt;0,'Attrition Modeling'!$N$9,0)))</f>
        <v>0</v>
      </c>
      <c r="AF112" s="799">
        <f>AE112*(1-IFERROR(IF(AF$69+$F112&lt;=12,SUMIFS('Attrition Modeling'!$D:$D,'Attrition Modeling'!$C:$C,'IP Attrition'!$D112,'Attrition Modeling'!$B:$B,'IP Attrition'!AF$68),VLOOKUP($F112+AF$2,$A$6:$C$106,2,FALSE)*VLOOKUP(AF$1,'Attrition Modeling'!$L$15:$N$27,IF(AF$2+$F45&lt;=24,2,3),FALSE)),$C$3)*(1+Projection!AH$16)*(1+IF(AF177&gt;0,'Attrition Modeling'!$N$9,0)))</f>
        <v>0</v>
      </c>
      <c r="AG112" s="799">
        <f>AF112*(1-IFERROR(IF(AG$69+$F112&lt;=12,SUMIFS('Attrition Modeling'!$D:$D,'Attrition Modeling'!$C:$C,'IP Attrition'!$D112,'Attrition Modeling'!$B:$B,'IP Attrition'!AG$68),VLOOKUP($F112+AG$2,$A$6:$C$106,2,FALSE)*VLOOKUP(AG$1,'Attrition Modeling'!$L$15:$N$27,IF(AG$2+$F45&lt;=24,2,3),FALSE)),$C$3)*(1+Projection!AI$16)*(1+IF(AG177&gt;0,'Attrition Modeling'!$N$9,0)))</f>
        <v>0</v>
      </c>
      <c r="AH112" s="799">
        <f>AG112*(1-IFERROR(IF(AH$69+$F112&lt;=12,SUMIFS('Attrition Modeling'!$D:$D,'Attrition Modeling'!$C:$C,'IP Attrition'!$D112,'Attrition Modeling'!$B:$B,'IP Attrition'!AH$68),VLOOKUP($F112+AH$2,$A$6:$C$106,2,FALSE)*VLOOKUP(AH$1,'Attrition Modeling'!$L$15:$N$27,IF(AH$2+$F45&lt;=24,2,3),FALSE)),$C$3)*(1+Projection!AJ$16)*(1+IF(AH177&gt;0,'Attrition Modeling'!$N$9,0)))</f>
        <v>0</v>
      </c>
      <c r="AI112" s="799">
        <f>AH112*(1-IFERROR(IF(AI$69+$F112&lt;=12,SUMIFS('Attrition Modeling'!$D:$D,'Attrition Modeling'!$C:$C,'IP Attrition'!$D112,'Attrition Modeling'!$B:$B,'IP Attrition'!AI$68),VLOOKUP($F112+AI$2,$A$6:$C$106,2,FALSE)*VLOOKUP(AI$1,'Attrition Modeling'!$L$15:$N$27,IF(AI$2+$F45&lt;=24,2,3),FALSE)),$C$3)*(1+Projection!AK$16)*(1+IF(AI177&gt;0,'Attrition Modeling'!$N$9,0)))</f>
        <v>0</v>
      </c>
      <c r="AJ112" s="799">
        <f>AI112*(1-IFERROR(IF(AJ$69+$F112&lt;=12,SUMIFS('Attrition Modeling'!$D:$D,'Attrition Modeling'!$C:$C,'IP Attrition'!$D112,'Attrition Modeling'!$B:$B,'IP Attrition'!AJ$68),VLOOKUP($F112+AJ$2,$A$6:$C$106,2,FALSE)*VLOOKUP(AJ$1,'Attrition Modeling'!$L$15:$N$27,IF(AJ$2+$F45&lt;=24,2,3),FALSE)),$C$3)*(1+Projection!AL$16)*(1+IF(AJ177&gt;0,'Attrition Modeling'!$N$9,0)))</f>
        <v>0</v>
      </c>
      <c r="AK112" s="799">
        <f>AJ112*(1-IFERROR(IF(AK$69+$F112&lt;=12,SUMIFS('Attrition Modeling'!$D:$D,'Attrition Modeling'!$C:$C,'IP Attrition'!$D112,'Attrition Modeling'!$B:$B,'IP Attrition'!AK$68),VLOOKUP($F112+AK$2,$A$6:$C$106,2,FALSE)*VLOOKUP(AK$1,'Attrition Modeling'!$L$15:$N$27,IF(AK$2+$F45&lt;=24,2,3),FALSE)),$C$3)*(1+Projection!AM$16)*(1+IF(AK177&gt;0,'Attrition Modeling'!$N$9,0)))</f>
        <v>0</v>
      </c>
      <c r="AL112" s="799">
        <f>AK112*(1-IFERROR(IF(AL$69+$F112&lt;=12,SUMIFS('Attrition Modeling'!$D:$D,'Attrition Modeling'!$C:$C,'IP Attrition'!$D112,'Attrition Modeling'!$B:$B,'IP Attrition'!AL$68),VLOOKUP($F112+AL$2,$A$6:$C$106,2,FALSE)*VLOOKUP(AL$1,'Attrition Modeling'!$L$15:$N$27,IF(AL$2+$F45&lt;=24,2,3),FALSE)),$C$3)*(1+Projection!AN$16)*(1+IF(AL177&gt;0,'Attrition Modeling'!$N$9,0)))</f>
        <v>0</v>
      </c>
      <c r="AM112" s="799">
        <f>AL112*(1-IFERROR(IF(AM$69+$F112&lt;=12,SUMIFS('Attrition Modeling'!$D:$D,'Attrition Modeling'!$C:$C,'IP Attrition'!$D112,'Attrition Modeling'!$B:$B,'IP Attrition'!AM$68),VLOOKUP($F112+AM$2,$A$6:$C$106,2,FALSE)*VLOOKUP(AM$1,'Attrition Modeling'!$L$15:$N$27,IF(AM$2+$F45&lt;=24,2,3),FALSE)),$C$3)*(1+Projection!AO$16)*(1+IF(AM177&gt;0,'Attrition Modeling'!$N$9,0)))</f>
        <v>0</v>
      </c>
      <c r="AN112" s="799">
        <f>AM112*(1-IFERROR(IF(AN$69+$F112&lt;=12,SUMIFS('Attrition Modeling'!$D:$D,'Attrition Modeling'!$C:$C,'IP Attrition'!$D112,'Attrition Modeling'!$B:$B,'IP Attrition'!AN$68),VLOOKUP($F112+AN$2,$A$6:$C$106,2,FALSE)*VLOOKUP(AN$1,'Attrition Modeling'!$L$15:$N$27,IF(AN$2+$F45&lt;=24,2,3),FALSE)),$C$3)*(1+Projection!AP$16)*(1+IF(AN177&gt;0,'Attrition Modeling'!$N$9,0)))</f>
        <v>0</v>
      </c>
      <c r="AO112" s="799">
        <f>AN112*(1-IFERROR(IF(AO$69+$F112&lt;=12,SUMIFS('Attrition Modeling'!$D:$D,'Attrition Modeling'!$C:$C,'IP Attrition'!$D112,'Attrition Modeling'!$B:$B,'IP Attrition'!AO$68),VLOOKUP($F112+AO$2,$A$6:$C$106,2,FALSE)*VLOOKUP(AO$1,'Attrition Modeling'!$L$15:$N$27,IF(AO$2+$F45&lt;=24,2,3),FALSE)),$C$3)*(1+Projection!AQ$16)*(1+IF(AO177&gt;0,'Attrition Modeling'!$N$9,0)))</f>
        <v>0</v>
      </c>
      <c r="AP112" s="799">
        <f>AO112*(1-IFERROR(IF(AP$69+$F112&lt;=12,SUMIFS('Attrition Modeling'!$D:$D,'Attrition Modeling'!$C:$C,'IP Attrition'!$D112,'Attrition Modeling'!$B:$B,'IP Attrition'!AP$68),VLOOKUP($F112+AP$2,$A$6:$C$106,2,FALSE)*VLOOKUP(AP$1,'Attrition Modeling'!$L$15:$N$27,IF(AP$2+$F45&lt;=24,2,3),FALSE)),$C$3)*(1+Projection!AR$16)*(1+IF(AP177&gt;0,'Attrition Modeling'!$N$9,0)))</f>
        <v>0</v>
      </c>
      <c r="AQ112" s="799">
        <f>AP112*(1-IFERROR(IF(AQ$69+$F112&lt;=12,SUMIFS('Attrition Modeling'!$D:$D,'Attrition Modeling'!$C:$C,'IP Attrition'!$D112,'Attrition Modeling'!$B:$B,'IP Attrition'!AQ$68),VLOOKUP($F112+AQ$2,$A$6:$C$106,2,FALSE)*VLOOKUP(AQ$1,'Attrition Modeling'!$L$15:$N$27,IF(AQ$2+$F45&lt;=24,2,3),FALSE)),$C$3)*(1+Projection!AS$16)*(1+IF(AQ177&gt;0,'Attrition Modeling'!$N$9,0)))</f>
        <v>0</v>
      </c>
      <c r="AR112" s="799">
        <f>AQ112*(1-IFERROR(IF(AR$69+$F112&lt;=12,SUMIFS('Attrition Modeling'!$D:$D,'Attrition Modeling'!$C:$C,'IP Attrition'!$D112,'Attrition Modeling'!$B:$B,'IP Attrition'!AR$68),VLOOKUP($F112+AR$2,$A$6:$C$106,2,FALSE)*VLOOKUP(AR$1,'Attrition Modeling'!$L$15:$N$27,IF(AR$2+$F45&lt;=24,2,3),FALSE)),$C$3)*(1+Projection!AT$16)*(1+IF(AR177&gt;0,'Attrition Modeling'!$N$9,0)))</f>
        <v>0</v>
      </c>
      <c r="AS112" s="799">
        <f>AR112*(1-IFERROR(IF(AS$69+$F112&lt;=12,SUMIFS('Attrition Modeling'!$D:$D,'Attrition Modeling'!$C:$C,'IP Attrition'!$D112,'Attrition Modeling'!$B:$B,'IP Attrition'!AS$68),VLOOKUP($F112+AS$2,$A$6:$C$106,2,FALSE)*VLOOKUP(AS$1,'Attrition Modeling'!$L$15:$N$27,IF(AS$2+$F45&lt;=24,2,3),FALSE)),$C$3)*(1+Projection!AU$16)*(1+IF(AS177&gt;0,'Attrition Modeling'!$N$9,0)))</f>
        <v>0</v>
      </c>
      <c r="AT112" s="799">
        <f>AS112*(1-IFERROR(IF(AT$69+$F112&lt;=12,SUMIFS('Attrition Modeling'!$D:$D,'Attrition Modeling'!$C:$C,'IP Attrition'!$D112,'Attrition Modeling'!$B:$B,'IP Attrition'!AT$68),VLOOKUP($F112+AT$2,$A$6:$C$106,2,FALSE)*VLOOKUP(AT$1,'Attrition Modeling'!$L$15:$N$27,IF(AT$2+$F45&lt;=24,2,3),FALSE)),$C$3)*(1+Projection!AV$16)*(1+IF(AT177&gt;0,'Attrition Modeling'!$N$9,0)))</f>
        <v>0</v>
      </c>
      <c r="AU112" s="799">
        <f>AT112*(1-IFERROR(IF(AU$69+$F112&lt;=12,SUMIFS('Attrition Modeling'!$D:$D,'Attrition Modeling'!$C:$C,'IP Attrition'!$D112,'Attrition Modeling'!$B:$B,'IP Attrition'!AU$68),VLOOKUP($F112+AU$2,$A$6:$C$106,2,FALSE)*VLOOKUP(AU$1,'Attrition Modeling'!$L$15:$N$27,IF(AU$2+$F45&lt;=24,2,3),FALSE)),$C$3)*(1+Projection!AW$16)*(1+IF(AU177&gt;0,'Attrition Modeling'!$N$9,0)))</f>
        <v>0</v>
      </c>
      <c r="AV112" s="799">
        <f>AU112*(1-IFERROR(IF(AV$69+$F112&lt;=12,SUMIFS('Attrition Modeling'!$D:$D,'Attrition Modeling'!$C:$C,'IP Attrition'!$D112,'Attrition Modeling'!$B:$B,'IP Attrition'!AV$68),VLOOKUP($F112+AV$2,$A$6:$C$106,2,FALSE)*VLOOKUP(AV$1,'Attrition Modeling'!$L$15:$N$27,IF(AV$2+$F45&lt;=24,2,3),FALSE)),$C$3)*(1+Projection!AX$16)*(1+IF(AV177&gt;0,'Attrition Modeling'!$N$9,0)))</f>
        <v>0</v>
      </c>
      <c r="AW112" s="799">
        <f>AV112*(1-IFERROR(IF(AW$69+$F112&lt;=12,SUMIFS('Attrition Modeling'!$D:$D,'Attrition Modeling'!$C:$C,'IP Attrition'!$D112,'Attrition Modeling'!$B:$B,'IP Attrition'!AW$68),VLOOKUP($F112+AW$2,$A$6:$C$106,2,FALSE)*VLOOKUP(AW$1,'Attrition Modeling'!$L$15:$N$27,IF(AW$2+$F45&lt;=24,2,3),FALSE)),$C$3)*(1+Projection!AY$16)*(1+IF(AW177&gt;0,'Attrition Modeling'!$N$9,0)))</f>
        <v>0</v>
      </c>
      <c r="AX112" s="799">
        <f>AW112*(1-IFERROR(IF(AX$69+$F112&lt;=12,SUMIFS('Attrition Modeling'!$D:$D,'Attrition Modeling'!$C:$C,'IP Attrition'!$D112,'Attrition Modeling'!$B:$B,'IP Attrition'!AX$68),VLOOKUP($F112+AX$2,$A$6:$C$106,2,FALSE)*VLOOKUP(AX$1,'Attrition Modeling'!$L$15:$N$27,IF(AX$2+$F45&lt;=24,2,3),FALSE)),$C$3)*(1+Projection!AZ$16)*(1+IF(AX177&gt;0,'Attrition Modeling'!$N$9,0)))</f>
        <v>0</v>
      </c>
      <c r="AY112" s="799">
        <f>AX112*(1-IFERROR(IF(AY$69+$F112&lt;=12,SUMIFS('Attrition Modeling'!$D:$D,'Attrition Modeling'!$C:$C,'IP Attrition'!$D112,'Attrition Modeling'!$B:$B,'IP Attrition'!AY$68),VLOOKUP($F112+AY$2,$A$6:$C$106,2,FALSE)*VLOOKUP(AY$1,'Attrition Modeling'!$L$15:$N$27,IF(AY$2+$F45&lt;=24,2,3),FALSE)),$C$3)*(1+Projection!BA$16)*(1+IF(AY177&gt;0,'Attrition Modeling'!$N$9,0)))</f>
        <v>0</v>
      </c>
      <c r="AZ112" s="799">
        <f>AY112*(1-IFERROR(IF(AZ$69+$F112&lt;=12,SUMIFS('Attrition Modeling'!$D:$D,'Attrition Modeling'!$C:$C,'IP Attrition'!$D112,'Attrition Modeling'!$B:$B,'IP Attrition'!AZ$68),VLOOKUP($F112+AZ$2,$A$6:$C$106,2,FALSE)*VLOOKUP(AZ$1,'Attrition Modeling'!$L$15:$N$27,IF(AZ$2+$F45&lt;=24,2,3),FALSE)),$C$3)*(1+Projection!BB$16)*(1+IF(AZ177&gt;0,'Attrition Modeling'!$N$9,0)))</f>
        <v>0</v>
      </c>
      <c r="BA112" s="799">
        <f>AZ112*(1-IFERROR(IF(BA$69+$F112&lt;=12,SUMIFS('Attrition Modeling'!$D:$D,'Attrition Modeling'!$C:$C,'IP Attrition'!$D112,'Attrition Modeling'!$B:$B,'IP Attrition'!BA$68),VLOOKUP($F112+BA$2,$A$6:$C$106,2,FALSE)*VLOOKUP(BA$1,'Attrition Modeling'!$L$15:$N$27,IF(BA$2+$F45&lt;=24,2,3),FALSE)),$C$3)*(1+Projection!BC$16)*(1+IF(BA177&gt;0,'Attrition Modeling'!$N$9,0)))</f>
        <v>0</v>
      </c>
      <c r="BB112" s="799">
        <f>BA112*(1-IFERROR(IF(BB$69+$F112&lt;=12,SUMIFS('Attrition Modeling'!$D:$D,'Attrition Modeling'!$C:$C,'IP Attrition'!$D112,'Attrition Modeling'!$B:$B,'IP Attrition'!BB$68),VLOOKUP($F112+BB$2,$A$6:$C$106,2,FALSE)*VLOOKUP(BB$1,'Attrition Modeling'!$L$15:$N$27,IF(BB$2+$F45&lt;=24,2,3),FALSE)),$C$3)*(1+Projection!BD$16)*(1+IF(BB177&gt;0,'Attrition Modeling'!$N$9,0)))</f>
        <v>0</v>
      </c>
      <c r="BC112" s="799">
        <f>BB112*(1-IFERROR(IF(BC$69+$F112&lt;=12,SUMIFS('Attrition Modeling'!$D:$D,'Attrition Modeling'!$C:$C,'IP Attrition'!$D112,'Attrition Modeling'!$B:$B,'IP Attrition'!BC$68),VLOOKUP($F112+BC$2,$A$6:$C$106,2,FALSE)*VLOOKUP(BC$1,'Attrition Modeling'!$L$15:$N$27,IF(BC$2+$F45&lt;=24,2,3),FALSE)),$C$3)*(1+Projection!BE$16)*(1+IF(BC177&gt;0,'Attrition Modeling'!$N$9,0)))</f>
        <v>0</v>
      </c>
      <c r="BD112" s="799">
        <f>BC112*(1-IFERROR(IF(BD$69+$F112&lt;=12,SUMIFS('Attrition Modeling'!$D:$D,'Attrition Modeling'!$C:$C,'IP Attrition'!$D112,'Attrition Modeling'!$B:$B,'IP Attrition'!BD$68),VLOOKUP($F112+BD$2,$A$6:$C$106,2,FALSE)*VLOOKUP(BD$1,'Attrition Modeling'!$L$15:$N$27,IF(BD$2+$F45&lt;=24,2,3),FALSE)),$C$3)*(1+Projection!BF$16)*(1+IF(BD177&gt;0,'Attrition Modeling'!$N$9,0)))</f>
        <v>0</v>
      </c>
      <c r="BE112" s="799">
        <f>BD112*(1-IFERROR(IF(BE$69+$F112&lt;=12,SUMIFS('Attrition Modeling'!$D:$D,'Attrition Modeling'!$C:$C,'IP Attrition'!$D112,'Attrition Modeling'!$B:$B,'IP Attrition'!BE$68),VLOOKUP($F112+BE$2,$A$6:$C$106,2,FALSE)*VLOOKUP(BE$1,'Attrition Modeling'!$L$15:$N$27,IF(BE$2+$F45&lt;=24,2,3),FALSE)),$C$3)*(1+Projection!BG$16)*(1+IF(BE177&gt;0,'Attrition Modeling'!$N$9,0)))</f>
        <v>0</v>
      </c>
      <c r="BF112" s="799">
        <f>BE112*(1-IFERROR(IF(BF$69+$F112&lt;=12,SUMIFS('Attrition Modeling'!$D:$D,'Attrition Modeling'!$C:$C,'IP Attrition'!$D112,'Attrition Modeling'!$B:$B,'IP Attrition'!BF$68),VLOOKUP($F112+BF$2,$A$6:$C$106,2,FALSE)*VLOOKUP(BF$1,'Attrition Modeling'!$L$15:$N$27,IF(BF$2+$F45&lt;=24,2,3),FALSE)),$C$3)*(1+Projection!BH$16)*(1+IF(BF177&gt;0,'Attrition Modeling'!$N$9,0)))</f>
        <v>0</v>
      </c>
      <c r="BG112" s="799">
        <f>BF112*(1-IFERROR(IF(BG$69+$F112&lt;=12,SUMIFS('Attrition Modeling'!$D:$D,'Attrition Modeling'!$C:$C,'IP Attrition'!$D112,'Attrition Modeling'!$B:$B,'IP Attrition'!BG$68),VLOOKUP($F112+BG$2,$A$6:$C$106,2,FALSE)*VLOOKUP(BG$1,'Attrition Modeling'!$L$15:$N$27,IF(BG$2+$F45&lt;=24,2,3),FALSE)),$C$3)*(1+Projection!BI$16)*(1+IF(BG177&gt;0,'Attrition Modeling'!$N$9,0)))</f>
        <v>0</v>
      </c>
      <c r="BH112" s="799">
        <f>BG112*(1-IFERROR(IF(BH$69+$F112&lt;=12,SUMIFS('Attrition Modeling'!$D:$D,'Attrition Modeling'!$C:$C,'IP Attrition'!$D112,'Attrition Modeling'!$B:$B,'IP Attrition'!BH$68),VLOOKUP($F112+BH$2,$A$6:$C$106,2,FALSE)*VLOOKUP(BH$1,'Attrition Modeling'!$L$15:$N$27,IF(BH$2+$F45&lt;=24,2,3),FALSE)),$C$3)*(1+Projection!BJ$16)*(1+IF(BH177&gt;0,'Attrition Modeling'!$N$9,0)))</f>
        <v>0</v>
      </c>
      <c r="BI112" s="799">
        <f>BH112*(1-IFERROR(IF(BI$69+$F112&lt;=12,SUMIFS('Attrition Modeling'!$D:$D,'Attrition Modeling'!$C:$C,'IP Attrition'!$D112,'Attrition Modeling'!$B:$B,'IP Attrition'!BI$68),VLOOKUP($F112+BI$2,$A$6:$C$106,2,FALSE)*VLOOKUP(BI$1,'Attrition Modeling'!$L$15:$N$27,IF(BI$2+$F45&lt;=24,2,3),FALSE)),$C$3)*(1+Projection!BK$16)*(1+IF(BI177&gt;0,'Attrition Modeling'!$N$9,0)))</f>
        <v>0</v>
      </c>
      <c r="BJ112" s="799">
        <f>BI112*(1-IFERROR(IF(BJ$69+$F112&lt;=12,SUMIFS('Attrition Modeling'!$D:$D,'Attrition Modeling'!$C:$C,'IP Attrition'!$D112,'Attrition Modeling'!$B:$B,'IP Attrition'!BJ$68),VLOOKUP($F112+BJ$2,$A$6:$C$106,2,FALSE)*VLOOKUP(BJ$1,'Attrition Modeling'!$L$15:$N$27,IF(BJ$2+$F45&lt;=24,2,3),FALSE)),$C$3)*(1+Projection!BL$16)*(1+IF(BJ177&gt;0,'Attrition Modeling'!$N$9,0)))</f>
        <v>0</v>
      </c>
      <c r="BK112" s="799">
        <f>BJ112*(1-IFERROR(IF(BK$69+$F112&lt;=12,SUMIFS('Attrition Modeling'!$D:$D,'Attrition Modeling'!$C:$C,'IP Attrition'!$D112,'Attrition Modeling'!$B:$B,'IP Attrition'!BK$68),VLOOKUP($F112+BK$2,$A$6:$C$106,2,FALSE)*VLOOKUP(BK$1,'Attrition Modeling'!$L$15:$N$27,IF(BK$2+$F45&lt;=24,2,3),FALSE)),$C$3)*(1+Projection!BM$16)*(1+IF(BK177&gt;0,'Attrition Modeling'!$N$9,0)))</f>
        <v>0</v>
      </c>
      <c r="BL112" s="799">
        <f>BK112*(1-IFERROR(IF(BL$69+$F112&lt;=12,SUMIFS('Attrition Modeling'!$D:$D,'Attrition Modeling'!$C:$C,'IP Attrition'!$D112,'Attrition Modeling'!$B:$B,'IP Attrition'!BL$68),VLOOKUP($F112+BL$2,$A$6:$C$106,2,FALSE)*VLOOKUP(BL$1,'Attrition Modeling'!$L$15:$N$27,IF(BL$2+$F45&lt;=24,2,3),FALSE)),$C$3)*(1+Projection!BN$16)*(1+IF(BL177&gt;0,'Attrition Modeling'!$N$9,0)))</f>
        <v>0</v>
      </c>
      <c r="BM112" s="799">
        <f>BL112*(1-IFERROR(IF(BM$69+$F112&lt;=12,SUMIFS('Attrition Modeling'!$D:$D,'Attrition Modeling'!$C:$C,'IP Attrition'!$D112,'Attrition Modeling'!$B:$B,'IP Attrition'!BM$68),VLOOKUP($F112+BM$2,$A$6:$C$106,2,FALSE)*VLOOKUP(BM$1,'Attrition Modeling'!$L$15:$N$27,IF(BM$2+$F45&lt;=24,2,3),FALSE)),$C$3)*(1+Projection!BO$16)*(1+IF(BM177&gt;0,'Attrition Modeling'!$N$9,0)))</f>
        <v>0</v>
      </c>
      <c r="BN112" s="799">
        <f>BM112*(1-IFERROR(IF(BN$69+$F112&lt;=12,SUMIFS('Attrition Modeling'!$D:$D,'Attrition Modeling'!$C:$C,'IP Attrition'!$D112,'Attrition Modeling'!$B:$B,'IP Attrition'!BN$68),VLOOKUP($F112+BN$2,$A$6:$C$106,2,FALSE)*VLOOKUP(BN$1,'Attrition Modeling'!$L$15:$N$27,IF(BN$2+$F45&lt;=24,2,3),FALSE)),$C$3)*(1+Projection!BP$16)*(1+IF(BN177&gt;0,'Attrition Modeling'!$N$9,0)))</f>
        <v>0</v>
      </c>
      <c r="BO112" s="799">
        <f>BN112*(1-IFERROR(IF(BO$69+$F112&lt;=12,SUMIFS('Attrition Modeling'!$D:$D,'Attrition Modeling'!$C:$C,'IP Attrition'!$D112,'Attrition Modeling'!$B:$B,'IP Attrition'!BO$68),VLOOKUP($F112+BO$2,$A$6:$C$106,2,FALSE)*VLOOKUP(BO$1,'Attrition Modeling'!$L$15:$N$27,IF(BO$2+$F45&lt;=24,2,3),FALSE)),$C$3)*(1+Projection!BV$16)*(1+IF(BO177&gt;0,'Attrition Modeling'!$N$9,0)))</f>
        <v>0</v>
      </c>
      <c r="BP112" s="799">
        <f>BO112*(1-IFERROR(IF(BP$69+$F112&lt;=12,SUMIFS('Attrition Modeling'!$D:$D,'Attrition Modeling'!$C:$C,'IP Attrition'!$D112,'Attrition Modeling'!$B:$B,'IP Attrition'!BP$68),VLOOKUP($F112+BP$2,$A$6:$C$106,2,FALSE)*VLOOKUP(BP$1,'Attrition Modeling'!$L$15:$N$27,IF(BP$2+$F45&lt;=24,2,3),FALSE)),$C$3)*(1+Projection!BW$16)*(1+IF(BP177&gt;0,'Attrition Modeling'!$N$9,0)))</f>
        <v>0</v>
      </c>
      <c r="BQ112" s="799">
        <f>BP112*(1-IFERROR(IF(BQ$69+$F112&lt;=12,SUMIFS('Attrition Modeling'!$D:$D,'Attrition Modeling'!$C:$C,'IP Attrition'!$D112,'Attrition Modeling'!$B:$B,'IP Attrition'!BQ$68),VLOOKUP($F112+BQ$2,$A$6:$C$106,2,FALSE)*VLOOKUP(BQ$1,'Attrition Modeling'!$L$15:$N$27,IF(BQ$2+$F45&lt;=24,2,3),FALSE)),$C$3)*(1+Projection!BX$16)*(1+IF(BQ177&gt;0,'Attrition Modeling'!$N$9,0)))</f>
        <v>0</v>
      </c>
      <c r="BR112" s="799">
        <f>BQ112*(1-IFERROR(IF(BR$69+$F112&lt;=12,SUMIFS('Attrition Modeling'!$D:$D,'Attrition Modeling'!$C:$C,'IP Attrition'!$D112,'Attrition Modeling'!$B:$B,'IP Attrition'!BR$68),VLOOKUP($F112+BR$2,$A$6:$C$106,2,FALSE)*VLOOKUP(BR$1,'Attrition Modeling'!$L$15:$N$27,IF(BR$2+$F45&lt;=24,2,3),FALSE)),$C$3)*(1+Projection!BY$16)*(1+IF(BR177&gt;0,'Attrition Modeling'!$N$9,0)))</f>
        <v>0</v>
      </c>
      <c r="BS112" s="799">
        <f>BR112*(1-IFERROR(IF(BS$69+$F112&lt;=12,SUMIFS('Attrition Modeling'!$D:$D,'Attrition Modeling'!$C:$C,'IP Attrition'!$D112,'Attrition Modeling'!$B:$B,'IP Attrition'!BS$68),VLOOKUP($F112+BS$2,$A$6:$C$106,2,FALSE)*VLOOKUP(BS$1,'Attrition Modeling'!$L$15:$N$27,IF(BS$2+$F45&lt;=24,2,3),FALSE)),$C$3)*(1+Projection!BZ$16)*(1+IF(BS177&gt;0,'Attrition Modeling'!$N$9,0)))</f>
        <v>0</v>
      </c>
      <c r="BT112" s="799" t="e">
        <f>BS112*(1-IFERROR(IF(BT$69+$F112&lt;=12,SUMIFS('Attrition Modeling'!$D:$D,'Attrition Modeling'!$C:$C,'IP Attrition'!$D112,'Attrition Modeling'!$B:$B,'IP Attrition'!BT$68),VLOOKUP($F112+BT$2,$A$6:$C$106,2,FALSE)*VLOOKUP(BT$1,'Attrition Modeling'!$L$15:$N$27,IF(BT$2+$F45&lt;=24,2,3),FALSE)),$C$3)*(1+Projection!CA$16)*(1+IF(BT177&gt;0,'Attrition Modeling'!$N$9,0)))</f>
        <v>#REF!</v>
      </c>
      <c r="BU112" s="799" t="e">
        <f>BT112*(1-IFERROR(IF(BU$69+$F112&lt;=12,SUMIFS('Attrition Modeling'!$D:$D,'Attrition Modeling'!$C:$C,'IP Attrition'!$D112,'Attrition Modeling'!$B:$B,'IP Attrition'!BU$68),VLOOKUP($F112+BU$2,$A$6:$C$106,2,FALSE)*VLOOKUP(BU$1,'Attrition Modeling'!$L$15:$N$27,IF(BU$2+$F45&lt;=24,2,3),FALSE)),$C$3)*(1+Projection!CB$16)*(1+IF(BU177&gt;0,'Attrition Modeling'!$N$9,0)))</f>
        <v>#REF!</v>
      </c>
    </row>
    <row r="113" spans="1:73" ht="14.25" customHeight="1" x14ac:dyDescent="0.2">
      <c r="A113" s="9">
        <v>106</v>
      </c>
      <c r="B113" s="25">
        <f>MAX('Attrition Modeling'!H110,$C$3)*(1-Summary!$C$20)</f>
        <v>0.02</v>
      </c>
      <c r="C113" s="24" t="e">
        <f t="shared" si="3"/>
        <v>#DIV/0!</v>
      </c>
      <c r="D113" s="11">
        <f t="shared" ref="D113:E113" si="51">D46</f>
        <v>-43</v>
      </c>
      <c r="E113" s="25">
        <f t="shared" si="51"/>
        <v>0</v>
      </c>
      <c r="F113" s="11">
        <f t="shared" si="9"/>
        <v>43</v>
      </c>
      <c r="G113" s="799">
        <f>Summary!$C$24*$E113</f>
        <v>0</v>
      </c>
      <c r="H113" s="799">
        <f>G113*(1-IFERROR(IF(H$69+$F113&lt;=12,SUMIFS('Attrition Modeling'!$D:$D,'Attrition Modeling'!$C:$C,'IP Attrition'!$D113,'Attrition Modeling'!$B:$B,'IP Attrition'!H$68),VLOOKUP($F113+H$2,$A$6:$C$106,2,FALSE)*VLOOKUP(H$1,'Attrition Modeling'!$L$15:$N$27,IF(H$2+$F46&lt;=24,2,3),FALSE)),$C$3)*(1+Projection!J$16)*(1+IF(H178&gt;0,'Attrition Modeling'!$N$9,0)))</f>
        <v>0</v>
      </c>
      <c r="I113" s="799">
        <f>H113*(1-IFERROR(IF(I$69+$F113&lt;=12,SUMIFS('Attrition Modeling'!$D:$D,'Attrition Modeling'!$C:$C,'IP Attrition'!$D113,'Attrition Modeling'!$B:$B,'IP Attrition'!I$68),VLOOKUP($F113+I$2,$A$6:$C$106,2,FALSE)*VLOOKUP(I$1,'Attrition Modeling'!$L$15:$N$27,IF(I$2+$F46&lt;=24,2,3),FALSE)),$C$3)*(1+Projection!K$16)*(1+IF(I178&gt;0,'Attrition Modeling'!$N$9,0)))</f>
        <v>0</v>
      </c>
      <c r="J113" s="799">
        <f>I113*(1-IFERROR(IF(J$69+$F113&lt;=12,SUMIFS('Attrition Modeling'!$D:$D,'Attrition Modeling'!$C:$C,'IP Attrition'!$D113,'Attrition Modeling'!$B:$B,'IP Attrition'!J$68),VLOOKUP($F113+J$2,$A$6:$C$106,2,FALSE)*VLOOKUP(J$1,'Attrition Modeling'!$L$15:$N$27,IF(J$2+$F46&lt;=24,2,3),FALSE)),$C$3)*(1+Projection!L$16)*(1+IF(J178&gt;0,'Attrition Modeling'!$N$9,0)))</f>
        <v>0</v>
      </c>
      <c r="K113" s="799">
        <f>J113*(1-IFERROR(IF(K$69+$F113&lt;=12,SUMIFS('Attrition Modeling'!$D:$D,'Attrition Modeling'!$C:$C,'IP Attrition'!$D113,'Attrition Modeling'!$B:$B,'IP Attrition'!K$68),VLOOKUP($F113+K$2,$A$6:$C$106,2,FALSE)*VLOOKUP(K$1,'Attrition Modeling'!$L$15:$N$27,IF(K$2+$F46&lt;=24,2,3),FALSE)),$C$3)*(1+Projection!M$16)*(1+IF(K178&gt;0,'Attrition Modeling'!$N$9,0)))</f>
        <v>0</v>
      </c>
      <c r="L113" s="799">
        <f>K113*(1-IFERROR(IF(L$69+$F113&lt;=12,SUMIFS('Attrition Modeling'!$D:$D,'Attrition Modeling'!$C:$C,'IP Attrition'!$D113,'Attrition Modeling'!$B:$B,'IP Attrition'!L$68),VLOOKUP($F113+L$2,$A$6:$C$106,2,FALSE)*VLOOKUP(L$1,'Attrition Modeling'!$L$15:$N$27,IF(L$2+$F46&lt;=24,2,3),FALSE)),$C$3)*(1+Projection!N$16)*(1+IF(L178&gt;0,'Attrition Modeling'!$N$9,0)))</f>
        <v>0</v>
      </c>
      <c r="M113" s="799">
        <f>L113*(1-IFERROR(IF(M$69+$F113&lt;=12,SUMIFS('Attrition Modeling'!$D:$D,'Attrition Modeling'!$C:$C,'IP Attrition'!$D113,'Attrition Modeling'!$B:$B,'IP Attrition'!M$68),VLOOKUP($F113+M$2,$A$6:$C$106,2,FALSE)*VLOOKUP(M$1,'Attrition Modeling'!$L$15:$N$27,IF(M$2+$F46&lt;=24,2,3),FALSE)),$C$3)*(1+Projection!O$16)*(1+IF(M178&gt;0,'Attrition Modeling'!$N$9,0)))</f>
        <v>0</v>
      </c>
      <c r="N113" s="799">
        <f>M113*(1-IFERROR(IF(N$69+$F113&lt;=12,SUMIFS('Attrition Modeling'!$D:$D,'Attrition Modeling'!$C:$C,'IP Attrition'!$D113,'Attrition Modeling'!$B:$B,'IP Attrition'!N$68),VLOOKUP($F113+N$2,$A$6:$C$106,2,FALSE)*VLOOKUP(N$1,'Attrition Modeling'!$L$15:$N$27,IF(N$2+$F46&lt;=24,2,3),FALSE)),$C$3)*(1+Projection!P$16)*(1+IF(N178&gt;0,'Attrition Modeling'!$N$9,0)))</f>
        <v>0</v>
      </c>
      <c r="O113" s="799">
        <f>N113*(1-IFERROR(IF(O$69+$F113&lt;=12,SUMIFS('Attrition Modeling'!$D:$D,'Attrition Modeling'!$C:$C,'IP Attrition'!$D113,'Attrition Modeling'!$B:$B,'IP Attrition'!O$68),VLOOKUP($F113+O$2,$A$6:$C$106,2,FALSE)*VLOOKUP(O$1,'Attrition Modeling'!$L$15:$N$27,IF(O$2+$F46&lt;=24,2,3),FALSE)),$C$3)*(1+Projection!Q$16)*(1+IF(O178&gt;0,'Attrition Modeling'!$N$9,0)))</f>
        <v>0</v>
      </c>
      <c r="P113" s="799">
        <f>O113*(1-IFERROR(IF(P$69+$F113&lt;=12,SUMIFS('Attrition Modeling'!$D:$D,'Attrition Modeling'!$C:$C,'IP Attrition'!$D113,'Attrition Modeling'!$B:$B,'IP Attrition'!P$68),VLOOKUP($F113+P$2,$A$6:$C$106,2,FALSE)*VLOOKUP(P$1,'Attrition Modeling'!$L$15:$N$27,IF(P$2+$F46&lt;=24,2,3),FALSE)),$C$3)*(1+Projection!R$16)*(1+IF(P178&gt;0,'Attrition Modeling'!$N$9,0)))</f>
        <v>0</v>
      </c>
      <c r="Q113" s="799">
        <f>P113*(1-IFERROR(IF(Q$69+$F113&lt;=12,SUMIFS('Attrition Modeling'!$D:$D,'Attrition Modeling'!$C:$C,'IP Attrition'!$D113,'Attrition Modeling'!$B:$B,'IP Attrition'!Q$68),VLOOKUP($F113+Q$2,$A$6:$C$106,2,FALSE)*VLOOKUP(Q$1,'Attrition Modeling'!$L$15:$N$27,IF(Q$2+$F46&lt;=24,2,3),FALSE)),$C$3)*(1+Projection!S$16)*(1+IF(Q178&gt;0,'Attrition Modeling'!$N$9,0)))</f>
        <v>0</v>
      </c>
      <c r="R113" s="799">
        <f>Q113*(1-IFERROR(IF(R$69+$F113&lt;=12,SUMIFS('Attrition Modeling'!$D:$D,'Attrition Modeling'!$C:$C,'IP Attrition'!$D113,'Attrition Modeling'!$B:$B,'IP Attrition'!R$68),VLOOKUP($F113+R$2,$A$6:$C$106,2,FALSE)*VLOOKUP(R$1,'Attrition Modeling'!$L$15:$N$27,IF(R$2+$F46&lt;=24,2,3),FALSE)),$C$3)*(1+Projection!T$16)*(1+IF(R178&gt;0,'Attrition Modeling'!$N$9,0)))</f>
        <v>0</v>
      </c>
      <c r="S113" s="799">
        <f>R113*(1-IFERROR(IF(S$69+$F113&lt;=12,SUMIFS('Attrition Modeling'!$D:$D,'Attrition Modeling'!$C:$C,'IP Attrition'!$D113,'Attrition Modeling'!$B:$B,'IP Attrition'!S$68),VLOOKUP($F113+S$2,$A$6:$C$106,2,FALSE)*VLOOKUP(S$1,'Attrition Modeling'!$L$15:$N$27,IF(S$2+$F46&lt;=24,2,3),FALSE)),$C$3)*(1+Projection!U$16)*(1+IF(S178&gt;0,'Attrition Modeling'!$N$9,0)))</f>
        <v>0</v>
      </c>
      <c r="T113" s="799">
        <f>S113*(1-IFERROR(IF(T$69+$F113&lt;=12,SUMIFS('Attrition Modeling'!$D:$D,'Attrition Modeling'!$C:$C,'IP Attrition'!$D113,'Attrition Modeling'!$B:$B,'IP Attrition'!T$68),VLOOKUP($F113+T$2,$A$6:$C$106,2,FALSE)*VLOOKUP(T$1,'Attrition Modeling'!$L$15:$N$27,IF(T$2+$F46&lt;=24,2,3),FALSE)),$C$3)*(1+Projection!V$16)*(1+IF(T178&gt;0,'Attrition Modeling'!$N$9,0)))</f>
        <v>0</v>
      </c>
      <c r="U113" s="799">
        <f>T113*(1-IFERROR(IF(U$69+$F113&lt;=12,SUMIFS('Attrition Modeling'!$D:$D,'Attrition Modeling'!$C:$C,'IP Attrition'!$D113,'Attrition Modeling'!$B:$B,'IP Attrition'!U$68),VLOOKUP($F113+U$2,$A$6:$C$106,2,FALSE)*VLOOKUP(U$1,'Attrition Modeling'!$L$15:$N$27,IF(U$2+$F46&lt;=24,2,3),FALSE)),$C$3)*(1+Projection!W$16)*(1+IF(U178&gt;0,'Attrition Modeling'!$N$9,0)))</f>
        <v>0</v>
      </c>
      <c r="V113" s="799">
        <f>U113*(1-IFERROR(IF(V$69+$F113&lt;=12,SUMIFS('Attrition Modeling'!$D:$D,'Attrition Modeling'!$C:$C,'IP Attrition'!$D113,'Attrition Modeling'!$B:$B,'IP Attrition'!V$68),VLOOKUP($F113+V$2,$A$6:$C$106,2,FALSE)*VLOOKUP(V$1,'Attrition Modeling'!$L$15:$N$27,IF(V$2+$F46&lt;=24,2,3),FALSE)),$C$3)*(1+Projection!X$16)*(1+IF(V178&gt;0,'Attrition Modeling'!$N$9,0)))</f>
        <v>0</v>
      </c>
      <c r="W113" s="799">
        <f>V113*(1-IFERROR(IF(W$69+$F113&lt;=12,SUMIFS('Attrition Modeling'!$D:$D,'Attrition Modeling'!$C:$C,'IP Attrition'!$D113,'Attrition Modeling'!$B:$B,'IP Attrition'!W$68),VLOOKUP($F113+W$2,$A$6:$C$106,2,FALSE)*VLOOKUP(W$1,'Attrition Modeling'!$L$15:$N$27,IF(W$2+$F46&lt;=24,2,3),FALSE)),$C$3)*(1+Projection!Y$16)*(1+IF(W178&gt;0,'Attrition Modeling'!$N$9,0)))</f>
        <v>0</v>
      </c>
      <c r="X113" s="799">
        <f>W113*(1-IFERROR(IF(X$69+$F113&lt;=12,SUMIFS('Attrition Modeling'!$D:$D,'Attrition Modeling'!$C:$C,'IP Attrition'!$D113,'Attrition Modeling'!$B:$B,'IP Attrition'!X$68),VLOOKUP($F113+X$2,$A$6:$C$106,2,FALSE)*VLOOKUP(X$1,'Attrition Modeling'!$L$15:$N$27,IF(X$2+$F46&lt;=24,2,3),FALSE)),$C$3)*(1+Projection!Z$16)*(1+IF(X178&gt;0,'Attrition Modeling'!$N$9,0)))</f>
        <v>0</v>
      </c>
      <c r="Y113" s="799">
        <f>X113*(1-IFERROR(IF(Y$69+$F113&lt;=12,SUMIFS('Attrition Modeling'!$D:$D,'Attrition Modeling'!$C:$C,'IP Attrition'!$D113,'Attrition Modeling'!$B:$B,'IP Attrition'!Y$68),VLOOKUP($F113+Y$2,$A$6:$C$106,2,FALSE)*VLOOKUP(Y$1,'Attrition Modeling'!$L$15:$N$27,IF(Y$2+$F46&lt;=24,2,3),FALSE)),$C$3)*(1+Projection!AA$16)*(1+IF(Y178&gt;0,'Attrition Modeling'!$N$9,0)))</f>
        <v>0</v>
      </c>
      <c r="Z113" s="799">
        <f>Y113*(1-IFERROR(IF(Z$69+$F113&lt;=12,SUMIFS('Attrition Modeling'!$D:$D,'Attrition Modeling'!$C:$C,'IP Attrition'!$D113,'Attrition Modeling'!$B:$B,'IP Attrition'!Z$68),VLOOKUP($F113+Z$2,$A$6:$C$106,2,FALSE)*VLOOKUP(Z$1,'Attrition Modeling'!$L$15:$N$27,IF(Z$2+$F46&lt;=24,2,3),FALSE)),$C$3)*(1+Projection!AB$16)*(1+IF(Z178&gt;0,'Attrition Modeling'!$N$9,0)))</f>
        <v>0</v>
      </c>
      <c r="AA113" s="799">
        <f>Z113*(1-IFERROR(IF(AA$69+$F113&lt;=12,SUMIFS('Attrition Modeling'!$D:$D,'Attrition Modeling'!$C:$C,'IP Attrition'!$D113,'Attrition Modeling'!$B:$B,'IP Attrition'!AA$68),VLOOKUP($F113+AA$2,$A$6:$C$106,2,FALSE)*VLOOKUP(AA$1,'Attrition Modeling'!$L$15:$N$27,IF(AA$2+$F46&lt;=24,2,3),FALSE)),$C$3)*(1+Projection!AC$16)*(1+IF(AA178&gt;0,'Attrition Modeling'!$N$9,0)))</f>
        <v>0</v>
      </c>
      <c r="AB113" s="799">
        <f>AA113*(1-IFERROR(IF(AB$69+$F113&lt;=12,SUMIFS('Attrition Modeling'!$D:$D,'Attrition Modeling'!$C:$C,'IP Attrition'!$D113,'Attrition Modeling'!$B:$B,'IP Attrition'!AB$68),VLOOKUP($F113+AB$2,$A$6:$C$106,2,FALSE)*VLOOKUP(AB$1,'Attrition Modeling'!$L$15:$N$27,IF(AB$2+$F46&lt;=24,2,3),FALSE)),$C$3)*(1+Projection!AD$16)*(1+IF(AB178&gt;0,'Attrition Modeling'!$N$9,0)))</f>
        <v>0</v>
      </c>
      <c r="AC113" s="799">
        <f>AB113*(1-IFERROR(IF(AC$69+$F113&lt;=12,SUMIFS('Attrition Modeling'!$D:$D,'Attrition Modeling'!$C:$C,'IP Attrition'!$D113,'Attrition Modeling'!$B:$B,'IP Attrition'!AC$68),VLOOKUP($F113+AC$2,$A$6:$C$106,2,FALSE)*VLOOKUP(AC$1,'Attrition Modeling'!$L$15:$N$27,IF(AC$2+$F46&lt;=24,2,3),FALSE)),$C$3)*(1+Projection!AE$16)*(1+IF(AC178&gt;0,'Attrition Modeling'!$N$9,0)))</f>
        <v>0</v>
      </c>
      <c r="AD113" s="799">
        <f>AC113*(1-IFERROR(IF(AD$69+$F113&lt;=12,SUMIFS('Attrition Modeling'!$D:$D,'Attrition Modeling'!$C:$C,'IP Attrition'!$D113,'Attrition Modeling'!$B:$B,'IP Attrition'!AD$68),VLOOKUP($F113+AD$2,$A$6:$C$106,2,FALSE)*VLOOKUP(AD$1,'Attrition Modeling'!$L$15:$N$27,IF(AD$2+$F46&lt;=24,2,3),FALSE)),$C$3)*(1+Projection!AF$16)*(1+IF(AD178&gt;0,'Attrition Modeling'!$N$9,0)))</f>
        <v>0</v>
      </c>
      <c r="AE113" s="799">
        <f>AD113*(1-IFERROR(IF(AE$69+$F113&lt;=12,SUMIFS('Attrition Modeling'!$D:$D,'Attrition Modeling'!$C:$C,'IP Attrition'!$D113,'Attrition Modeling'!$B:$B,'IP Attrition'!AE$68),VLOOKUP($F113+AE$2,$A$6:$C$106,2,FALSE)*VLOOKUP(AE$1,'Attrition Modeling'!$L$15:$N$27,IF(AE$2+$F46&lt;=24,2,3),FALSE)),$C$3)*(1+Projection!AG$16)*(1+IF(AE178&gt;0,'Attrition Modeling'!$N$9,0)))</f>
        <v>0</v>
      </c>
      <c r="AF113" s="799">
        <f>AE113*(1-IFERROR(IF(AF$69+$F113&lt;=12,SUMIFS('Attrition Modeling'!$D:$D,'Attrition Modeling'!$C:$C,'IP Attrition'!$D113,'Attrition Modeling'!$B:$B,'IP Attrition'!AF$68),VLOOKUP($F113+AF$2,$A$6:$C$106,2,FALSE)*VLOOKUP(AF$1,'Attrition Modeling'!$L$15:$N$27,IF(AF$2+$F46&lt;=24,2,3),FALSE)),$C$3)*(1+Projection!AH$16)*(1+IF(AF178&gt;0,'Attrition Modeling'!$N$9,0)))</f>
        <v>0</v>
      </c>
      <c r="AG113" s="799">
        <f>AF113*(1-IFERROR(IF(AG$69+$F113&lt;=12,SUMIFS('Attrition Modeling'!$D:$D,'Attrition Modeling'!$C:$C,'IP Attrition'!$D113,'Attrition Modeling'!$B:$B,'IP Attrition'!AG$68),VLOOKUP($F113+AG$2,$A$6:$C$106,2,FALSE)*VLOOKUP(AG$1,'Attrition Modeling'!$L$15:$N$27,IF(AG$2+$F46&lt;=24,2,3),FALSE)),$C$3)*(1+Projection!AI$16)*(1+IF(AG178&gt;0,'Attrition Modeling'!$N$9,0)))</f>
        <v>0</v>
      </c>
      <c r="AH113" s="799">
        <f>AG113*(1-IFERROR(IF(AH$69+$F113&lt;=12,SUMIFS('Attrition Modeling'!$D:$D,'Attrition Modeling'!$C:$C,'IP Attrition'!$D113,'Attrition Modeling'!$B:$B,'IP Attrition'!AH$68),VLOOKUP($F113+AH$2,$A$6:$C$106,2,FALSE)*VLOOKUP(AH$1,'Attrition Modeling'!$L$15:$N$27,IF(AH$2+$F46&lt;=24,2,3),FALSE)),$C$3)*(1+Projection!AJ$16)*(1+IF(AH178&gt;0,'Attrition Modeling'!$N$9,0)))</f>
        <v>0</v>
      </c>
      <c r="AI113" s="799">
        <f>AH113*(1-IFERROR(IF(AI$69+$F113&lt;=12,SUMIFS('Attrition Modeling'!$D:$D,'Attrition Modeling'!$C:$C,'IP Attrition'!$D113,'Attrition Modeling'!$B:$B,'IP Attrition'!AI$68),VLOOKUP($F113+AI$2,$A$6:$C$106,2,FALSE)*VLOOKUP(AI$1,'Attrition Modeling'!$L$15:$N$27,IF(AI$2+$F46&lt;=24,2,3),FALSE)),$C$3)*(1+Projection!AK$16)*(1+IF(AI178&gt;0,'Attrition Modeling'!$N$9,0)))</f>
        <v>0</v>
      </c>
      <c r="AJ113" s="799">
        <f>AI113*(1-IFERROR(IF(AJ$69+$F113&lt;=12,SUMIFS('Attrition Modeling'!$D:$D,'Attrition Modeling'!$C:$C,'IP Attrition'!$D113,'Attrition Modeling'!$B:$B,'IP Attrition'!AJ$68),VLOOKUP($F113+AJ$2,$A$6:$C$106,2,FALSE)*VLOOKUP(AJ$1,'Attrition Modeling'!$L$15:$N$27,IF(AJ$2+$F46&lt;=24,2,3),FALSE)),$C$3)*(1+Projection!AL$16)*(1+IF(AJ178&gt;0,'Attrition Modeling'!$N$9,0)))</f>
        <v>0</v>
      </c>
      <c r="AK113" s="799">
        <f>AJ113*(1-IFERROR(IF(AK$69+$F113&lt;=12,SUMIFS('Attrition Modeling'!$D:$D,'Attrition Modeling'!$C:$C,'IP Attrition'!$D113,'Attrition Modeling'!$B:$B,'IP Attrition'!AK$68),VLOOKUP($F113+AK$2,$A$6:$C$106,2,FALSE)*VLOOKUP(AK$1,'Attrition Modeling'!$L$15:$N$27,IF(AK$2+$F46&lt;=24,2,3),FALSE)),$C$3)*(1+Projection!AM$16)*(1+IF(AK178&gt;0,'Attrition Modeling'!$N$9,0)))</f>
        <v>0</v>
      </c>
      <c r="AL113" s="799">
        <f>AK113*(1-IFERROR(IF(AL$69+$F113&lt;=12,SUMIFS('Attrition Modeling'!$D:$D,'Attrition Modeling'!$C:$C,'IP Attrition'!$D113,'Attrition Modeling'!$B:$B,'IP Attrition'!AL$68),VLOOKUP($F113+AL$2,$A$6:$C$106,2,FALSE)*VLOOKUP(AL$1,'Attrition Modeling'!$L$15:$N$27,IF(AL$2+$F46&lt;=24,2,3),FALSE)),$C$3)*(1+Projection!AN$16)*(1+IF(AL178&gt;0,'Attrition Modeling'!$N$9,0)))</f>
        <v>0</v>
      </c>
      <c r="AM113" s="799">
        <f>AL113*(1-IFERROR(IF(AM$69+$F113&lt;=12,SUMIFS('Attrition Modeling'!$D:$D,'Attrition Modeling'!$C:$C,'IP Attrition'!$D113,'Attrition Modeling'!$B:$B,'IP Attrition'!AM$68),VLOOKUP($F113+AM$2,$A$6:$C$106,2,FALSE)*VLOOKUP(AM$1,'Attrition Modeling'!$L$15:$N$27,IF(AM$2+$F46&lt;=24,2,3),FALSE)),$C$3)*(1+Projection!AO$16)*(1+IF(AM178&gt;0,'Attrition Modeling'!$N$9,0)))</f>
        <v>0</v>
      </c>
      <c r="AN113" s="799">
        <f>AM113*(1-IFERROR(IF(AN$69+$F113&lt;=12,SUMIFS('Attrition Modeling'!$D:$D,'Attrition Modeling'!$C:$C,'IP Attrition'!$D113,'Attrition Modeling'!$B:$B,'IP Attrition'!AN$68),VLOOKUP($F113+AN$2,$A$6:$C$106,2,FALSE)*VLOOKUP(AN$1,'Attrition Modeling'!$L$15:$N$27,IF(AN$2+$F46&lt;=24,2,3),FALSE)),$C$3)*(1+Projection!AP$16)*(1+IF(AN178&gt;0,'Attrition Modeling'!$N$9,0)))</f>
        <v>0</v>
      </c>
      <c r="AO113" s="799">
        <f>AN113*(1-IFERROR(IF(AO$69+$F113&lt;=12,SUMIFS('Attrition Modeling'!$D:$D,'Attrition Modeling'!$C:$C,'IP Attrition'!$D113,'Attrition Modeling'!$B:$B,'IP Attrition'!AO$68),VLOOKUP($F113+AO$2,$A$6:$C$106,2,FALSE)*VLOOKUP(AO$1,'Attrition Modeling'!$L$15:$N$27,IF(AO$2+$F46&lt;=24,2,3),FALSE)),$C$3)*(1+Projection!AQ$16)*(1+IF(AO178&gt;0,'Attrition Modeling'!$N$9,0)))</f>
        <v>0</v>
      </c>
      <c r="AP113" s="799">
        <f>AO113*(1-IFERROR(IF(AP$69+$F113&lt;=12,SUMIFS('Attrition Modeling'!$D:$D,'Attrition Modeling'!$C:$C,'IP Attrition'!$D113,'Attrition Modeling'!$B:$B,'IP Attrition'!AP$68),VLOOKUP($F113+AP$2,$A$6:$C$106,2,FALSE)*VLOOKUP(AP$1,'Attrition Modeling'!$L$15:$N$27,IF(AP$2+$F46&lt;=24,2,3),FALSE)),$C$3)*(1+Projection!AR$16)*(1+IF(AP178&gt;0,'Attrition Modeling'!$N$9,0)))</f>
        <v>0</v>
      </c>
      <c r="AQ113" s="799">
        <f>AP113*(1-IFERROR(IF(AQ$69+$F113&lt;=12,SUMIFS('Attrition Modeling'!$D:$D,'Attrition Modeling'!$C:$C,'IP Attrition'!$D113,'Attrition Modeling'!$B:$B,'IP Attrition'!AQ$68),VLOOKUP($F113+AQ$2,$A$6:$C$106,2,FALSE)*VLOOKUP(AQ$1,'Attrition Modeling'!$L$15:$N$27,IF(AQ$2+$F46&lt;=24,2,3),FALSE)),$C$3)*(1+Projection!AS$16)*(1+IF(AQ178&gt;0,'Attrition Modeling'!$N$9,0)))</f>
        <v>0</v>
      </c>
      <c r="AR113" s="799">
        <f>AQ113*(1-IFERROR(IF(AR$69+$F113&lt;=12,SUMIFS('Attrition Modeling'!$D:$D,'Attrition Modeling'!$C:$C,'IP Attrition'!$D113,'Attrition Modeling'!$B:$B,'IP Attrition'!AR$68),VLOOKUP($F113+AR$2,$A$6:$C$106,2,FALSE)*VLOOKUP(AR$1,'Attrition Modeling'!$L$15:$N$27,IF(AR$2+$F46&lt;=24,2,3),FALSE)),$C$3)*(1+Projection!AT$16)*(1+IF(AR178&gt;0,'Attrition Modeling'!$N$9,0)))</f>
        <v>0</v>
      </c>
      <c r="AS113" s="799">
        <f>AR113*(1-IFERROR(IF(AS$69+$F113&lt;=12,SUMIFS('Attrition Modeling'!$D:$D,'Attrition Modeling'!$C:$C,'IP Attrition'!$D113,'Attrition Modeling'!$B:$B,'IP Attrition'!AS$68),VLOOKUP($F113+AS$2,$A$6:$C$106,2,FALSE)*VLOOKUP(AS$1,'Attrition Modeling'!$L$15:$N$27,IF(AS$2+$F46&lt;=24,2,3),FALSE)),$C$3)*(1+Projection!AU$16)*(1+IF(AS178&gt;0,'Attrition Modeling'!$N$9,0)))</f>
        <v>0</v>
      </c>
      <c r="AT113" s="799">
        <f>AS113*(1-IFERROR(IF(AT$69+$F113&lt;=12,SUMIFS('Attrition Modeling'!$D:$D,'Attrition Modeling'!$C:$C,'IP Attrition'!$D113,'Attrition Modeling'!$B:$B,'IP Attrition'!AT$68),VLOOKUP($F113+AT$2,$A$6:$C$106,2,FALSE)*VLOOKUP(AT$1,'Attrition Modeling'!$L$15:$N$27,IF(AT$2+$F46&lt;=24,2,3),FALSE)),$C$3)*(1+Projection!AV$16)*(1+IF(AT178&gt;0,'Attrition Modeling'!$N$9,0)))</f>
        <v>0</v>
      </c>
      <c r="AU113" s="799">
        <f>AT113*(1-IFERROR(IF(AU$69+$F113&lt;=12,SUMIFS('Attrition Modeling'!$D:$D,'Attrition Modeling'!$C:$C,'IP Attrition'!$D113,'Attrition Modeling'!$B:$B,'IP Attrition'!AU$68),VLOOKUP($F113+AU$2,$A$6:$C$106,2,FALSE)*VLOOKUP(AU$1,'Attrition Modeling'!$L$15:$N$27,IF(AU$2+$F46&lt;=24,2,3),FALSE)),$C$3)*(1+Projection!AW$16)*(1+IF(AU178&gt;0,'Attrition Modeling'!$N$9,0)))</f>
        <v>0</v>
      </c>
      <c r="AV113" s="799">
        <f>AU113*(1-IFERROR(IF(AV$69+$F113&lt;=12,SUMIFS('Attrition Modeling'!$D:$D,'Attrition Modeling'!$C:$C,'IP Attrition'!$D113,'Attrition Modeling'!$B:$B,'IP Attrition'!AV$68),VLOOKUP($F113+AV$2,$A$6:$C$106,2,FALSE)*VLOOKUP(AV$1,'Attrition Modeling'!$L$15:$N$27,IF(AV$2+$F46&lt;=24,2,3),FALSE)),$C$3)*(1+Projection!AX$16)*(1+IF(AV178&gt;0,'Attrition Modeling'!$N$9,0)))</f>
        <v>0</v>
      </c>
      <c r="AW113" s="799">
        <f>AV113*(1-IFERROR(IF(AW$69+$F113&lt;=12,SUMIFS('Attrition Modeling'!$D:$D,'Attrition Modeling'!$C:$C,'IP Attrition'!$D113,'Attrition Modeling'!$B:$B,'IP Attrition'!AW$68),VLOOKUP($F113+AW$2,$A$6:$C$106,2,FALSE)*VLOOKUP(AW$1,'Attrition Modeling'!$L$15:$N$27,IF(AW$2+$F46&lt;=24,2,3),FALSE)),$C$3)*(1+Projection!AY$16)*(1+IF(AW178&gt;0,'Attrition Modeling'!$N$9,0)))</f>
        <v>0</v>
      </c>
      <c r="AX113" s="799">
        <f>AW113*(1-IFERROR(IF(AX$69+$F113&lt;=12,SUMIFS('Attrition Modeling'!$D:$D,'Attrition Modeling'!$C:$C,'IP Attrition'!$D113,'Attrition Modeling'!$B:$B,'IP Attrition'!AX$68),VLOOKUP($F113+AX$2,$A$6:$C$106,2,FALSE)*VLOOKUP(AX$1,'Attrition Modeling'!$L$15:$N$27,IF(AX$2+$F46&lt;=24,2,3),FALSE)),$C$3)*(1+Projection!AZ$16)*(1+IF(AX178&gt;0,'Attrition Modeling'!$N$9,0)))</f>
        <v>0</v>
      </c>
      <c r="AY113" s="799">
        <f>AX113*(1-IFERROR(IF(AY$69+$F113&lt;=12,SUMIFS('Attrition Modeling'!$D:$D,'Attrition Modeling'!$C:$C,'IP Attrition'!$D113,'Attrition Modeling'!$B:$B,'IP Attrition'!AY$68),VLOOKUP($F113+AY$2,$A$6:$C$106,2,FALSE)*VLOOKUP(AY$1,'Attrition Modeling'!$L$15:$N$27,IF(AY$2+$F46&lt;=24,2,3),FALSE)),$C$3)*(1+Projection!BA$16)*(1+IF(AY178&gt;0,'Attrition Modeling'!$N$9,0)))</f>
        <v>0</v>
      </c>
      <c r="AZ113" s="799">
        <f>AY113*(1-IFERROR(IF(AZ$69+$F113&lt;=12,SUMIFS('Attrition Modeling'!$D:$D,'Attrition Modeling'!$C:$C,'IP Attrition'!$D113,'Attrition Modeling'!$B:$B,'IP Attrition'!AZ$68),VLOOKUP($F113+AZ$2,$A$6:$C$106,2,FALSE)*VLOOKUP(AZ$1,'Attrition Modeling'!$L$15:$N$27,IF(AZ$2+$F46&lt;=24,2,3),FALSE)),$C$3)*(1+Projection!BB$16)*(1+IF(AZ178&gt;0,'Attrition Modeling'!$N$9,0)))</f>
        <v>0</v>
      </c>
      <c r="BA113" s="799">
        <f>AZ113*(1-IFERROR(IF(BA$69+$F113&lt;=12,SUMIFS('Attrition Modeling'!$D:$D,'Attrition Modeling'!$C:$C,'IP Attrition'!$D113,'Attrition Modeling'!$B:$B,'IP Attrition'!BA$68),VLOOKUP($F113+BA$2,$A$6:$C$106,2,FALSE)*VLOOKUP(BA$1,'Attrition Modeling'!$L$15:$N$27,IF(BA$2+$F46&lt;=24,2,3),FALSE)),$C$3)*(1+Projection!BC$16)*(1+IF(BA178&gt;0,'Attrition Modeling'!$N$9,0)))</f>
        <v>0</v>
      </c>
      <c r="BB113" s="799">
        <f>BA113*(1-IFERROR(IF(BB$69+$F113&lt;=12,SUMIFS('Attrition Modeling'!$D:$D,'Attrition Modeling'!$C:$C,'IP Attrition'!$D113,'Attrition Modeling'!$B:$B,'IP Attrition'!BB$68),VLOOKUP($F113+BB$2,$A$6:$C$106,2,FALSE)*VLOOKUP(BB$1,'Attrition Modeling'!$L$15:$N$27,IF(BB$2+$F46&lt;=24,2,3),FALSE)),$C$3)*(1+Projection!BD$16)*(1+IF(BB178&gt;0,'Attrition Modeling'!$N$9,0)))</f>
        <v>0</v>
      </c>
      <c r="BC113" s="799">
        <f>BB113*(1-IFERROR(IF(BC$69+$F113&lt;=12,SUMIFS('Attrition Modeling'!$D:$D,'Attrition Modeling'!$C:$C,'IP Attrition'!$D113,'Attrition Modeling'!$B:$B,'IP Attrition'!BC$68),VLOOKUP($F113+BC$2,$A$6:$C$106,2,FALSE)*VLOOKUP(BC$1,'Attrition Modeling'!$L$15:$N$27,IF(BC$2+$F46&lt;=24,2,3),FALSE)),$C$3)*(1+Projection!BE$16)*(1+IF(BC178&gt;0,'Attrition Modeling'!$N$9,0)))</f>
        <v>0</v>
      </c>
      <c r="BD113" s="799">
        <f>BC113*(1-IFERROR(IF(BD$69+$F113&lt;=12,SUMIFS('Attrition Modeling'!$D:$D,'Attrition Modeling'!$C:$C,'IP Attrition'!$D113,'Attrition Modeling'!$B:$B,'IP Attrition'!BD$68),VLOOKUP($F113+BD$2,$A$6:$C$106,2,FALSE)*VLOOKUP(BD$1,'Attrition Modeling'!$L$15:$N$27,IF(BD$2+$F46&lt;=24,2,3),FALSE)),$C$3)*(1+Projection!BF$16)*(1+IF(BD178&gt;0,'Attrition Modeling'!$N$9,0)))</f>
        <v>0</v>
      </c>
      <c r="BE113" s="799">
        <f>BD113*(1-IFERROR(IF(BE$69+$F113&lt;=12,SUMIFS('Attrition Modeling'!$D:$D,'Attrition Modeling'!$C:$C,'IP Attrition'!$D113,'Attrition Modeling'!$B:$B,'IP Attrition'!BE$68),VLOOKUP($F113+BE$2,$A$6:$C$106,2,FALSE)*VLOOKUP(BE$1,'Attrition Modeling'!$L$15:$N$27,IF(BE$2+$F46&lt;=24,2,3),FALSE)),$C$3)*(1+Projection!BG$16)*(1+IF(BE178&gt;0,'Attrition Modeling'!$N$9,0)))</f>
        <v>0</v>
      </c>
      <c r="BF113" s="799">
        <f>BE113*(1-IFERROR(IF(BF$69+$F113&lt;=12,SUMIFS('Attrition Modeling'!$D:$D,'Attrition Modeling'!$C:$C,'IP Attrition'!$D113,'Attrition Modeling'!$B:$B,'IP Attrition'!BF$68),VLOOKUP($F113+BF$2,$A$6:$C$106,2,FALSE)*VLOOKUP(BF$1,'Attrition Modeling'!$L$15:$N$27,IF(BF$2+$F46&lt;=24,2,3),FALSE)),$C$3)*(1+Projection!BH$16)*(1+IF(BF178&gt;0,'Attrition Modeling'!$N$9,0)))</f>
        <v>0</v>
      </c>
      <c r="BG113" s="799">
        <f>BF113*(1-IFERROR(IF(BG$69+$F113&lt;=12,SUMIFS('Attrition Modeling'!$D:$D,'Attrition Modeling'!$C:$C,'IP Attrition'!$D113,'Attrition Modeling'!$B:$B,'IP Attrition'!BG$68),VLOOKUP($F113+BG$2,$A$6:$C$106,2,FALSE)*VLOOKUP(BG$1,'Attrition Modeling'!$L$15:$N$27,IF(BG$2+$F46&lt;=24,2,3),FALSE)),$C$3)*(1+Projection!BI$16)*(1+IF(BG178&gt;0,'Attrition Modeling'!$N$9,0)))</f>
        <v>0</v>
      </c>
      <c r="BH113" s="799">
        <f>BG113*(1-IFERROR(IF(BH$69+$F113&lt;=12,SUMIFS('Attrition Modeling'!$D:$D,'Attrition Modeling'!$C:$C,'IP Attrition'!$D113,'Attrition Modeling'!$B:$B,'IP Attrition'!BH$68),VLOOKUP($F113+BH$2,$A$6:$C$106,2,FALSE)*VLOOKUP(BH$1,'Attrition Modeling'!$L$15:$N$27,IF(BH$2+$F46&lt;=24,2,3),FALSE)),$C$3)*(1+Projection!BJ$16)*(1+IF(BH178&gt;0,'Attrition Modeling'!$N$9,0)))</f>
        <v>0</v>
      </c>
      <c r="BI113" s="799">
        <f>BH113*(1-IFERROR(IF(BI$69+$F113&lt;=12,SUMIFS('Attrition Modeling'!$D:$D,'Attrition Modeling'!$C:$C,'IP Attrition'!$D113,'Attrition Modeling'!$B:$B,'IP Attrition'!BI$68),VLOOKUP($F113+BI$2,$A$6:$C$106,2,FALSE)*VLOOKUP(BI$1,'Attrition Modeling'!$L$15:$N$27,IF(BI$2+$F46&lt;=24,2,3),FALSE)),$C$3)*(1+Projection!BK$16)*(1+IF(BI178&gt;0,'Attrition Modeling'!$N$9,0)))</f>
        <v>0</v>
      </c>
      <c r="BJ113" s="799">
        <f>BI113*(1-IFERROR(IF(BJ$69+$F113&lt;=12,SUMIFS('Attrition Modeling'!$D:$D,'Attrition Modeling'!$C:$C,'IP Attrition'!$D113,'Attrition Modeling'!$B:$B,'IP Attrition'!BJ$68),VLOOKUP($F113+BJ$2,$A$6:$C$106,2,FALSE)*VLOOKUP(BJ$1,'Attrition Modeling'!$L$15:$N$27,IF(BJ$2+$F46&lt;=24,2,3),FALSE)),$C$3)*(1+Projection!BL$16)*(1+IF(BJ178&gt;0,'Attrition Modeling'!$N$9,0)))</f>
        <v>0</v>
      </c>
      <c r="BK113" s="799">
        <f>BJ113*(1-IFERROR(IF(BK$69+$F113&lt;=12,SUMIFS('Attrition Modeling'!$D:$D,'Attrition Modeling'!$C:$C,'IP Attrition'!$D113,'Attrition Modeling'!$B:$B,'IP Attrition'!BK$68),VLOOKUP($F113+BK$2,$A$6:$C$106,2,FALSE)*VLOOKUP(BK$1,'Attrition Modeling'!$L$15:$N$27,IF(BK$2+$F46&lt;=24,2,3),FALSE)),$C$3)*(1+Projection!BM$16)*(1+IF(BK178&gt;0,'Attrition Modeling'!$N$9,0)))</f>
        <v>0</v>
      </c>
      <c r="BL113" s="799">
        <f>BK113*(1-IFERROR(IF(BL$69+$F113&lt;=12,SUMIFS('Attrition Modeling'!$D:$D,'Attrition Modeling'!$C:$C,'IP Attrition'!$D113,'Attrition Modeling'!$B:$B,'IP Attrition'!BL$68),VLOOKUP($F113+BL$2,$A$6:$C$106,2,FALSE)*VLOOKUP(BL$1,'Attrition Modeling'!$L$15:$N$27,IF(BL$2+$F46&lt;=24,2,3),FALSE)),$C$3)*(1+Projection!BN$16)*(1+IF(BL178&gt;0,'Attrition Modeling'!$N$9,0)))</f>
        <v>0</v>
      </c>
      <c r="BM113" s="799">
        <f>BL113*(1-IFERROR(IF(BM$69+$F113&lt;=12,SUMIFS('Attrition Modeling'!$D:$D,'Attrition Modeling'!$C:$C,'IP Attrition'!$D113,'Attrition Modeling'!$B:$B,'IP Attrition'!BM$68),VLOOKUP($F113+BM$2,$A$6:$C$106,2,FALSE)*VLOOKUP(BM$1,'Attrition Modeling'!$L$15:$N$27,IF(BM$2+$F46&lt;=24,2,3),FALSE)),$C$3)*(1+Projection!BO$16)*(1+IF(BM178&gt;0,'Attrition Modeling'!$N$9,0)))</f>
        <v>0</v>
      </c>
      <c r="BN113" s="799">
        <f>BM113*(1-IFERROR(IF(BN$69+$F113&lt;=12,SUMIFS('Attrition Modeling'!$D:$D,'Attrition Modeling'!$C:$C,'IP Attrition'!$D113,'Attrition Modeling'!$B:$B,'IP Attrition'!BN$68),VLOOKUP($F113+BN$2,$A$6:$C$106,2,FALSE)*VLOOKUP(BN$1,'Attrition Modeling'!$L$15:$N$27,IF(BN$2+$F46&lt;=24,2,3),FALSE)),$C$3)*(1+Projection!BP$16)*(1+IF(BN178&gt;0,'Attrition Modeling'!$N$9,0)))</f>
        <v>0</v>
      </c>
      <c r="BO113" s="799">
        <f>BN113*(1-IFERROR(IF(BO$69+$F113&lt;=12,SUMIFS('Attrition Modeling'!$D:$D,'Attrition Modeling'!$C:$C,'IP Attrition'!$D113,'Attrition Modeling'!$B:$B,'IP Attrition'!BO$68),VLOOKUP($F113+BO$2,$A$6:$C$106,2,FALSE)*VLOOKUP(BO$1,'Attrition Modeling'!$L$15:$N$27,IF(BO$2+$F46&lt;=24,2,3),FALSE)),$C$3)*(1+Projection!BV$16)*(1+IF(BO178&gt;0,'Attrition Modeling'!$N$9,0)))</f>
        <v>0</v>
      </c>
      <c r="BP113" s="799">
        <f>BO113*(1-IFERROR(IF(BP$69+$F113&lt;=12,SUMIFS('Attrition Modeling'!$D:$D,'Attrition Modeling'!$C:$C,'IP Attrition'!$D113,'Attrition Modeling'!$B:$B,'IP Attrition'!BP$68),VLOOKUP($F113+BP$2,$A$6:$C$106,2,FALSE)*VLOOKUP(BP$1,'Attrition Modeling'!$L$15:$N$27,IF(BP$2+$F46&lt;=24,2,3),FALSE)),$C$3)*(1+Projection!BW$16)*(1+IF(BP178&gt;0,'Attrition Modeling'!$N$9,0)))</f>
        <v>0</v>
      </c>
      <c r="BQ113" s="799">
        <f>BP113*(1-IFERROR(IF(BQ$69+$F113&lt;=12,SUMIFS('Attrition Modeling'!$D:$D,'Attrition Modeling'!$C:$C,'IP Attrition'!$D113,'Attrition Modeling'!$B:$B,'IP Attrition'!BQ$68),VLOOKUP($F113+BQ$2,$A$6:$C$106,2,FALSE)*VLOOKUP(BQ$1,'Attrition Modeling'!$L$15:$N$27,IF(BQ$2+$F46&lt;=24,2,3),FALSE)),$C$3)*(1+Projection!BX$16)*(1+IF(BQ178&gt;0,'Attrition Modeling'!$N$9,0)))</f>
        <v>0</v>
      </c>
      <c r="BR113" s="799">
        <f>BQ113*(1-IFERROR(IF(BR$69+$F113&lt;=12,SUMIFS('Attrition Modeling'!$D:$D,'Attrition Modeling'!$C:$C,'IP Attrition'!$D113,'Attrition Modeling'!$B:$B,'IP Attrition'!BR$68),VLOOKUP($F113+BR$2,$A$6:$C$106,2,FALSE)*VLOOKUP(BR$1,'Attrition Modeling'!$L$15:$N$27,IF(BR$2+$F46&lt;=24,2,3),FALSE)),$C$3)*(1+Projection!BY$16)*(1+IF(BR178&gt;0,'Attrition Modeling'!$N$9,0)))</f>
        <v>0</v>
      </c>
      <c r="BS113" s="799">
        <f>BR113*(1-IFERROR(IF(BS$69+$F113&lt;=12,SUMIFS('Attrition Modeling'!$D:$D,'Attrition Modeling'!$C:$C,'IP Attrition'!$D113,'Attrition Modeling'!$B:$B,'IP Attrition'!BS$68),VLOOKUP($F113+BS$2,$A$6:$C$106,2,FALSE)*VLOOKUP(BS$1,'Attrition Modeling'!$L$15:$N$27,IF(BS$2+$F46&lt;=24,2,3),FALSE)),$C$3)*(1+Projection!BZ$16)*(1+IF(BS178&gt;0,'Attrition Modeling'!$N$9,0)))</f>
        <v>0</v>
      </c>
      <c r="BT113" s="799" t="e">
        <f>BS113*(1-IFERROR(IF(BT$69+$F113&lt;=12,SUMIFS('Attrition Modeling'!$D:$D,'Attrition Modeling'!$C:$C,'IP Attrition'!$D113,'Attrition Modeling'!$B:$B,'IP Attrition'!BT$68),VLOOKUP($F113+BT$2,$A$6:$C$106,2,FALSE)*VLOOKUP(BT$1,'Attrition Modeling'!$L$15:$N$27,IF(BT$2+$F46&lt;=24,2,3),FALSE)),$C$3)*(1+Projection!CA$16)*(1+IF(BT178&gt;0,'Attrition Modeling'!$N$9,0)))</f>
        <v>#REF!</v>
      </c>
      <c r="BU113" s="799" t="e">
        <f>BT113*(1-IFERROR(IF(BU$69+$F113&lt;=12,SUMIFS('Attrition Modeling'!$D:$D,'Attrition Modeling'!$C:$C,'IP Attrition'!$D113,'Attrition Modeling'!$B:$B,'IP Attrition'!BU$68),VLOOKUP($F113+BU$2,$A$6:$C$106,2,FALSE)*VLOOKUP(BU$1,'Attrition Modeling'!$L$15:$N$27,IF(BU$2+$F46&lt;=24,2,3),FALSE)),$C$3)*(1+Projection!CB$16)*(1+IF(BU178&gt;0,'Attrition Modeling'!$N$9,0)))</f>
        <v>#REF!</v>
      </c>
    </row>
    <row r="114" spans="1:73" ht="14.25" customHeight="1" x14ac:dyDescent="0.2">
      <c r="A114" s="9">
        <v>107</v>
      </c>
      <c r="B114" s="25">
        <f>MAX('Attrition Modeling'!H111,$C$3)*(1-Summary!$C$20)</f>
        <v>0.02</v>
      </c>
      <c r="C114" s="24" t="e">
        <f t="shared" si="3"/>
        <v>#DIV/0!</v>
      </c>
      <c r="D114" s="11">
        <f t="shared" ref="D114:E114" si="52">D47</f>
        <v>-44</v>
      </c>
      <c r="E114" s="25">
        <f t="shared" si="52"/>
        <v>0</v>
      </c>
      <c r="F114" s="11">
        <f t="shared" si="9"/>
        <v>44</v>
      </c>
      <c r="G114" s="799">
        <f>Summary!$C$24*$E114</f>
        <v>0</v>
      </c>
      <c r="H114" s="799">
        <f>G114*(1-IFERROR(IF(H$69+$F114&lt;=12,SUMIFS('Attrition Modeling'!$D:$D,'Attrition Modeling'!$C:$C,'IP Attrition'!$D114,'Attrition Modeling'!$B:$B,'IP Attrition'!H$68),VLOOKUP($F114+H$2,$A$6:$C$106,2,FALSE)*VLOOKUP(H$1,'Attrition Modeling'!$L$15:$N$27,IF(H$2+$F47&lt;=24,2,3),FALSE)),$C$3)*(1+Projection!J$16)*(1+IF(H179&gt;0,'Attrition Modeling'!$N$9,0)))</f>
        <v>0</v>
      </c>
      <c r="I114" s="799">
        <f>H114*(1-IFERROR(IF(I$69+$F114&lt;=12,SUMIFS('Attrition Modeling'!$D:$D,'Attrition Modeling'!$C:$C,'IP Attrition'!$D114,'Attrition Modeling'!$B:$B,'IP Attrition'!I$68),VLOOKUP($F114+I$2,$A$6:$C$106,2,FALSE)*VLOOKUP(I$1,'Attrition Modeling'!$L$15:$N$27,IF(I$2+$F47&lt;=24,2,3),FALSE)),$C$3)*(1+Projection!K$16)*(1+IF(I179&gt;0,'Attrition Modeling'!$N$9,0)))</f>
        <v>0</v>
      </c>
      <c r="J114" s="799">
        <f>I114*(1-IFERROR(IF(J$69+$F114&lt;=12,SUMIFS('Attrition Modeling'!$D:$D,'Attrition Modeling'!$C:$C,'IP Attrition'!$D114,'Attrition Modeling'!$B:$B,'IP Attrition'!J$68),VLOOKUP($F114+J$2,$A$6:$C$106,2,FALSE)*VLOOKUP(J$1,'Attrition Modeling'!$L$15:$N$27,IF(J$2+$F47&lt;=24,2,3),FALSE)),$C$3)*(1+Projection!L$16)*(1+IF(J179&gt;0,'Attrition Modeling'!$N$9,0)))</f>
        <v>0</v>
      </c>
      <c r="K114" s="799">
        <f>J114*(1-IFERROR(IF(K$69+$F114&lt;=12,SUMIFS('Attrition Modeling'!$D:$D,'Attrition Modeling'!$C:$C,'IP Attrition'!$D114,'Attrition Modeling'!$B:$B,'IP Attrition'!K$68),VLOOKUP($F114+K$2,$A$6:$C$106,2,FALSE)*VLOOKUP(K$1,'Attrition Modeling'!$L$15:$N$27,IF(K$2+$F47&lt;=24,2,3),FALSE)),$C$3)*(1+Projection!M$16)*(1+IF(K179&gt;0,'Attrition Modeling'!$N$9,0)))</f>
        <v>0</v>
      </c>
      <c r="L114" s="799">
        <f>K114*(1-IFERROR(IF(L$69+$F114&lt;=12,SUMIFS('Attrition Modeling'!$D:$D,'Attrition Modeling'!$C:$C,'IP Attrition'!$D114,'Attrition Modeling'!$B:$B,'IP Attrition'!L$68),VLOOKUP($F114+L$2,$A$6:$C$106,2,FALSE)*VLOOKUP(L$1,'Attrition Modeling'!$L$15:$N$27,IF(L$2+$F47&lt;=24,2,3),FALSE)),$C$3)*(1+Projection!N$16)*(1+IF(L179&gt;0,'Attrition Modeling'!$N$9,0)))</f>
        <v>0</v>
      </c>
      <c r="M114" s="799">
        <f>L114*(1-IFERROR(IF(M$69+$F114&lt;=12,SUMIFS('Attrition Modeling'!$D:$D,'Attrition Modeling'!$C:$C,'IP Attrition'!$D114,'Attrition Modeling'!$B:$B,'IP Attrition'!M$68),VLOOKUP($F114+M$2,$A$6:$C$106,2,FALSE)*VLOOKUP(M$1,'Attrition Modeling'!$L$15:$N$27,IF(M$2+$F47&lt;=24,2,3),FALSE)),$C$3)*(1+Projection!O$16)*(1+IF(M179&gt;0,'Attrition Modeling'!$N$9,0)))</f>
        <v>0</v>
      </c>
      <c r="N114" s="799">
        <f>M114*(1-IFERROR(IF(N$69+$F114&lt;=12,SUMIFS('Attrition Modeling'!$D:$D,'Attrition Modeling'!$C:$C,'IP Attrition'!$D114,'Attrition Modeling'!$B:$B,'IP Attrition'!N$68),VLOOKUP($F114+N$2,$A$6:$C$106,2,FALSE)*VLOOKUP(N$1,'Attrition Modeling'!$L$15:$N$27,IF(N$2+$F47&lt;=24,2,3),FALSE)),$C$3)*(1+Projection!P$16)*(1+IF(N179&gt;0,'Attrition Modeling'!$N$9,0)))</f>
        <v>0</v>
      </c>
      <c r="O114" s="799">
        <f>N114*(1-IFERROR(IF(O$69+$F114&lt;=12,SUMIFS('Attrition Modeling'!$D:$D,'Attrition Modeling'!$C:$C,'IP Attrition'!$D114,'Attrition Modeling'!$B:$B,'IP Attrition'!O$68),VLOOKUP($F114+O$2,$A$6:$C$106,2,FALSE)*VLOOKUP(O$1,'Attrition Modeling'!$L$15:$N$27,IF(O$2+$F47&lt;=24,2,3),FALSE)),$C$3)*(1+Projection!Q$16)*(1+IF(O179&gt;0,'Attrition Modeling'!$N$9,0)))</f>
        <v>0</v>
      </c>
      <c r="P114" s="799">
        <f>O114*(1-IFERROR(IF(P$69+$F114&lt;=12,SUMIFS('Attrition Modeling'!$D:$D,'Attrition Modeling'!$C:$C,'IP Attrition'!$D114,'Attrition Modeling'!$B:$B,'IP Attrition'!P$68),VLOOKUP($F114+P$2,$A$6:$C$106,2,FALSE)*VLOOKUP(P$1,'Attrition Modeling'!$L$15:$N$27,IF(P$2+$F47&lt;=24,2,3),FALSE)),$C$3)*(1+Projection!R$16)*(1+IF(P179&gt;0,'Attrition Modeling'!$N$9,0)))</f>
        <v>0</v>
      </c>
      <c r="Q114" s="799">
        <f>P114*(1-IFERROR(IF(Q$69+$F114&lt;=12,SUMIFS('Attrition Modeling'!$D:$D,'Attrition Modeling'!$C:$C,'IP Attrition'!$D114,'Attrition Modeling'!$B:$B,'IP Attrition'!Q$68),VLOOKUP($F114+Q$2,$A$6:$C$106,2,FALSE)*VLOOKUP(Q$1,'Attrition Modeling'!$L$15:$N$27,IF(Q$2+$F47&lt;=24,2,3),FALSE)),$C$3)*(1+Projection!S$16)*(1+IF(Q179&gt;0,'Attrition Modeling'!$N$9,0)))</f>
        <v>0</v>
      </c>
      <c r="R114" s="799">
        <f>Q114*(1-IFERROR(IF(R$69+$F114&lt;=12,SUMIFS('Attrition Modeling'!$D:$D,'Attrition Modeling'!$C:$C,'IP Attrition'!$D114,'Attrition Modeling'!$B:$B,'IP Attrition'!R$68),VLOOKUP($F114+R$2,$A$6:$C$106,2,FALSE)*VLOOKUP(R$1,'Attrition Modeling'!$L$15:$N$27,IF(R$2+$F47&lt;=24,2,3),FALSE)),$C$3)*(1+Projection!T$16)*(1+IF(R179&gt;0,'Attrition Modeling'!$N$9,0)))</f>
        <v>0</v>
      </c>
      <c r="S114" s="799">
        <f>R114*(1-IFERROR(IF(S$69+$F114&lt;=12,SUMIFS('Attrition Modeling'!$D:$D,'Attrition Modeling'!$C:$C,'IP Attrition'!$D114,'Attrition Modeling'!$B:$B,'IP Attrition'!S$68),VLOOKUP($F114+S$2,$A$6:$C$106,2,FALSE)*VLOOKUP(S$1,'Attrition Modeling'!$L$15:$N$27,IF(S$2+$F47&lt;=24,2,3),FALSE)),$C$3)*(1+Projection!U$16)*(1+IF(S179&gt;0,'Attrition Modeling'!$N$9,0)))</f>
        <v>0</v>
      </c>
      <c r="T114" s="799">
        <f>S114*(1-IFERROR(IF(T$69+$F114&lt;=12,SUMIFS('Attrition Modeling'!$D:$D,'Attrition Modeling'!$C:$C,'IP Attrition'!$D114,'Attrition Modeling'!$B:$B,'IP Attrition'!T$68),VLOOKUP($F114+T$2,$A$6:$C$106,2,FALSE)*VLOOKUP(T$1,'Attrition Modeling'!$L$15:$N$27,IF(T$2+$F47&lt;=24,2,3),FALSE)),$C$3)*(1+Projection!V$16)*(1+IF(T179&gt;0,'Attrition Modeling'!$N$9,0)))</f>
        <v>0</v>
      </c>
      <c r="U114" s="799">
        <f>T114*(1-IFERROR(IF(U$69+$F114&lt;=12,SUMIFS('Attrition Modeling'!$D:$D,'Attrition Modeling'!$C:$C,'IP Attrition'!$D114,'Attrition Modeling'!$B:$B,'IP Attrition'!U$68),VLOOKUP($F114+U$2,$A$6:$C$106,2,FALSE)*VLOOKUP(U$1,'Attrition Modeling'!$L$15:$N$27,IF(U$2+$F47&lt;=24,2,3),FALSE)),$C$3)*(1+Projection!W$16)*(1+IF(U179&gt;0,'Attrition Modeling'!$N$9,0)))</f>
        <v>0</v>
      </c>
      <c r="V114" s="799">
        <f>U114*(1-IFERROR(IF(V$69+$F114&lt;=12,SUMIFS('Attrition Modeling'!$D:$D,'Attrition Modeling'!$C:$C,'IP Attrition'!$D114,'Attrition Modeling'!$B:$B,'IP Attrition'!V$68),VLOOKUP($F114+V$2,$A$6:$C$106,2,FALSE)*VLOOKUP(V$1,'Attrition Modeling'!$L$15:$N$27,IF(V$2+$F47&lt;=24,2,3),FALSE)),$C$3)*(1+Projection!X$16)*(1+IF(V179&gt;0,'Attrition Modeling'!$N$9,0)))</f>
        <v>0</v>
      </c>
      <c r="W114" s="799">
        <f>V114*(1-IFERROR(IF(W$69+$F114&lt;=12,SUMIFS('Attrition Modeling'!$D:$D,'Attrition Modeling'!$C:$C,'IP Attrition'!$D114,'Attrition Modeling'!$B:$B,'IP Attrition'!W$68),VLOOKUP($F114+W$2,$A$6:$C$106,2,FALSE)*VLOOKUP(W$1,'Attrition Modeling'!$L$15:$N$27,IF(W$2+$F47&lt;=24,2,3),FALSE)),$C$3)*(1+Projection!Y$16)*(1+IF(W179&gt;0,'Attrition Modeling'!$N$9,0)))</f>
        <v>0</v>
      </c>
      <c r="X114" s="799">
        <f>W114*(1-IFERROR(IF(X$69+$F114&lt;=12,SUMIFS('Attrition Modeling'!$D:$D,'Attrition Modeling'!$C:$C,'IP Attrition'!$D114,'Attrition Modeling'!$B:$B,'IP Attrition'!X$68),VLOOKUP($F114+X$2,$A$6:$C$106,2,FALSE)*VLOOKUP(X$1,'Attrition Modeling'!$L$15:$N$27,IF(X$2+$F47&lt;=24,2,3),FALSE)),$C$3)*(1+Projection!Z$16)*(1+IF(X179&gt;0,'Attrition Modeling'!$N$9,0)))</f>
        <v>0</v>
      </c>
      <c r="Y114" s="799">
        <f>X114*(1-IFERROR(IF(Y$69+$F114&lt;=12,SUMIFS('Attrition Modeling'!$D:$D,'Attrition Modeling'!$C:$C,'IP Attrition'!$D114,'Attrition Modeling'!$B:$B,'IP Attrition'!Y$68),VLOOKUP($F114+Y$2,$A$6:$C$106,2,FALSE)*VLOOKUP(Y$1,'Attrition Modeling'!$L$15:$N$27,IF(Y$2+$F47&lt;=24,2,3),FALSE)),$C$3)*(1+Projection!AA$16)*(1+IF(Y179&gt;0,'Attrition Modeling'!$N$9,0)))</f>
        <v>0</v>
      </c>
      <c r="Z114" s="799">
        <f>Y114*(1-IFERROR(IF(Z$69+$F114&lt;=12,SUMIFS('Attrition Modeling'!$D:$D,'Attrition Modeling'!$C:$C,'IP Attrition'!$D114,'Attrition Modeling'!$B:$B,'IP Attrition'!Z$68),VLOOKUP($F114+Z$2,$A$6:$C$106,2,FALSE)*VLOOKUP(Z$1,'Attrition Modeling'!$L$15:$N$27,IF(Z$2+$F47&lt;=24,2,3),FALSE)),$C$3)*(1+Projection!AB$16)*(1+IF(Z179&gt;0,'Attrition Modeling'!$N$9,0)))</f>
        <v>0</v>
      </c>
      <c r="AA114" s="799">
        <f>Z114*(1-IFERROR(IF(AA$69+$F114&lt;=12,SUMIFS('Attrition Modeling'!$D:$D,'Attrition Modeling'!$C:$C,'IP Attrition'!$D114,'Attrition Modeling'!$B:$B,'IP Attrition'!AA$68),VLOOKUP($F114+AA$2,$A$6:$C$106,2,FALSE)*VLOOKUP(AA$1,'Attrition Modeling'!$L$15:$N$27,IF(AA$2+$F47&lt;=24,2,3),FALSE)),$C$3)*(1+Projection!AC$16)*(1+IF(AA179&gt;0,'Attrition Modeling'!$N$9,0)))</f>
        <v>0</v>
      </c>
      <c r="AB114" s="799">
        <f>AA114*(1-IFERROR(IF(AB$69+$F114&lt;=12,SUMIFS('Attrition Modeling'!$D:$D,'Attrition Modeling'!$C:$C,'IP Attrition'!$D114,'Attrition Modeling'!$B:$B,'IP Attrition'!AB$68),VLOOKUP($F114+AB$2,$A$6:$C$106,2,FALSE)*VLOOKUP(AB$1,'Attrition Modeling'!$L$15:$N$27,IF(AB$2+$F47&lt;=24,2,3),FALSE)),$C$3)*(1+Projection!AD$16)*(1+IF(AB179&gt;0,'Attrition Modeling'!$N$9,0)))</f>
        <v>0</v>
      </c>
      <c r="AC114" s="799">
        <f>AB114*(1-IFERROR(IF(AC$69+$F114&lt;=12,SUMIFS('Attrition Modeling'!$D:$D,'Attrition Modeling'!$C:$C,'IP Attrition'!$D114,'Attrition Modeling'!$B:$B,'IP Attrition'!AC$68),VLOOKUP($F114+AC$2,$A$6:$C$106,2,FALSE)*VLOOKUP(AC$1,'Attrition Modeling'!$L$15:$N$27,IF(AC$2+$F47&lt;=24,2,3),FALSE)),$C$3)*(1+Projection!AE$16)*(1+IF(AC179&gt;0,'Attrition Modeling'!$N$9,0)))</f>
        <v>0</v>
      </c>
      <c r="AD114" s="799">
        <f>AC114*(1-IFERROR(IF(AD$69+$F114&lt;=12,SUMIFS('Attrition Modeling'!$D:$D,'Attrition Modeling'!$C:$C,'IP Attrition'!$D114,'Attrition Modeling'!$B:$B,'IP Attrition'!AD$68),VLOOKUP($F114+AD$2,$A$6:$C$106,2,FALSE)*VLOOKUP(AD$1,'Attrition Modeling'!$L$15:$N$27,IF(AD$2+$F47&lt;=24,2,3),FALSE)),$C$3)*(1+Projection!AF$16)*(1+IF(AD179&gt;0,'Attrition Modeling'!$N$9,0)))</f>
        <v>0</v>
      </c>
      <c r="AE114" s="799">
        <f>AD114*(1-IFERROR(IF(AE$69+$F114&lt;=12,SUMIFS('Attrition Modeling'!$D:$D,'Attrition Modeling'!$C:$C,'IP Attrition'!$D114,'Attrition Modeling'!$B:$B,'IP Attrition'!AE$68),VLOOKUP($F114+AE$2,$A$6:$C$106,2,FALSE)*VLOOKUP(AE$1,'Attrition Modeling'!$L$15:$N$27,IF(AE$2+$F47&lt;=24,2,3),FALSE)),$C$3)*(1+Projection!AG$16)*(1+IF(AE179&gt;0,'Attrition Modeling'!$N$9,0)))</f>
        <v>0</v>
      </c>
      <c r="AF114" s="799">
        <f>AE114*(1-IFERROR(IF(AF$69+$F114&lt;=12,SUMIFS('Attrition Modeling'!$D:$D,'Attrition Modeling'!$C:$C,'IP Attrition'!$D114,'Attrition Modeling'!$B:$B,'IP Attrition'!AF$68),VLOOKUP($F114+AF$2,$A$6:$C$106,2,FALSE)*VLOOKUP(AF$1,'Attrition Modeling'!$L$15:$N$27,IF(AF$2+$F47&lt;=24,2,3),FALSE)),$C$3)*(1+Projection!AH$16)*(1+IF(AF179&gt;0,'Attrition Modeling'!$N$9,0)))</f>
        <v>0</v>
      </c>
      <c r="AG114" s="799">
        <f>AF114*(1-IFERROR(IF(AG$69+$F114&lt;=12,SUMIFS('Attrition Modeling'!$D:$D,'Attrition Modeling'!$C:$C,'IP Attrition'!$D114,'Attrition Modeling'!$B:$B,'IP Attrition'!AG$68),VLOOKUP($F114+AG$2,$A$6:$C$106,2,FALSE)*VLOOKUP(AG$1,'Attrition Modeling'!$L$15:$N$27,IF(AG$2+$F47&lt;=24,2,3),FALSE)),$C$3)*(1+Projection!AI$16)*(1+IF(AG179&gt;0,'Attrition Modeling'!$N$9,0)))</f>
        <v>0</v>
      </c>
      <c r="AH114" s="799">
        <f>AG114*(1-IFERROR(IF(AH$69+$F114&lt;=12,SUMIFS('Attrition Modeling'!$D:$D,'Attrition Modeling'!$C:$C,'IP Attrition'!$D114,'Attrition Modeling'!$B:$B,'IP Attrition'!AH$68),VLOOKUP($F114+AH$2,$A$6:$C$106,2,FALSE)*VLOOKUP(AH$1,'Attrition Modeling'!$L$15:$N$27,IF(AH$2+$F47&lt;=24,2,3),FALSE)),$C$3)*(1+Projection!AJ$16)*(1+IF(AH179&gt;0,'Attrition Modeling'!$N$9,0)))</f>
        <v>0</v>
      </c>
      <c r="AI114" s="799">
        <f>AH114*(1-IFERROR(IF(AI$69+$F114&lt;=12,SUMIFS('Attrition Modeling'!$D:$D,'Attrition Modeling'!$C:$C,'IP Attrition'!$D114,'Attrition Modeling'!$B:$B,'IP Attrition'!AI$68),VLOOKUP($F114+AI$2,$A$6:$C$106,2,FALSE)*VLOOKUP(AI$1,'Attrition Modeling'!$L$15:$N$27,IF(AI$2+$F47&lt;=24,2,3),FALSE)),$C$3)*(1+Projection!AK$16)*(1+IF(AI179&gt;0,'Attrition Modeling'!$N$9,0)))</f>
        <v>0</v>
      </c>
      <c r="AJ114" s="799">
        <f>AI114*(1-IFERROR(IF(AJ$69+$F114&lt;=12,SUMIFS('Attrition Modeling'!$D:$D,'Attrition Modeling'!$C:$C,'IP Attrition'!$D114,'Attrition Modeling'!$B:$B,'IP Attrition'!AJ$68),VLOOKUP($F114+AJ$2,$A$6:$C$106,2,FALSE)*VLOOKUP(AJ$1,'Attrition Modeling'!$L$15:$N$27,IF(AJ$2+$F47&lt;=24,2,3),FALSE)),$C$3)*(1+Projection!AL$16)*(1+IF(AJ179&gt;0,'Attrition Modeling'!$N$9,0)))</f>
        <v>0</v>
      </c>
      <c r="AK114" s="799">
        <f>AJ114*(1-IFERROR(IF(AK$69+$F114&lt;=12,SUMIFS('Attrition Modeling'!$D:$D,'Attrition Modeling'!$C:$C,'IP Attrition'!$D114,'Attrition Modeling'!$B:$B,'IP Attrition'!AK$68),VLOOKUP($F114+AK$2,$A$6:$C$106,2,FALSE)*VLOOKUP(AK$1,'Attrition Modeling'!$L$15:$N$27,IF(AK$2+$F47&lt;=24,2,3),FALSE)),$C$3)*(1+Projection!AM$16)*(1+IF(AK179&gt;0,'Attrition Modeling'!$N$9,0)))</f>
        <v>0</v>
      </c>
      <c r="AL114" s="799">
        <f>AK114*(1-IFERROR(IF(AL$69+$F114&lt;=12,SUMIFS('Attrition Modeling'!$D:$D,'Attrition Modeling'!$C:$C,'IP Attrition'!$D114,'Attrition Modeling'!$B:$B,'IP Attrition'!AL$68),VLOOKUP($F114+AL$2,$A$6:$C$106,2,FALSE)*VLOOKUP(AL$1,'Attrition Modeling'!$L$15:$N$27,IF(AL$2+$F47&lt;=24,2,3),FALSE)),$C$3)*(1+Projection!AN$16)*(1+IF(AL179&gt;0,'Attrition Modeling'!$N$9,0)))</f>
        <v>0</v>
      </c>
      <c r="AM114" s="799">
        <f>AL114*(1-IFERROR(IF(AM$69+$F114&lt;=12,SUMIFS('Attrition Modeling'!$D:$D,'Attrition Modeling'!$C:$C,'IP Attrition'!$D114,'Attrition Modeling'!$B:$B,'IP Attrition'!AM$68),VLOOKUP($F114+AM$2,$A$6:$C$106,2,FALSE)*VLOOKUP(AM$1,'Attrition Modeling'!$L$15:$N$27,IF(AM$2+$F47&lt;=24,2,3),FALSE)),$C$3)*(1+Projection!AO$16)*(1+IF(AM179&gt;0,'Attrition Modeling'!$N$9,0)))</f>
        <v>0</v>
      </c>
      <c r="AN114" s="799">
        <f>AM114*(1-IFERROR(IF(AN$69+$F114&lt;=12,SUMIFS('Attrition Modeling'!$D:$D,'Attrition Modeling'!$C:$C,'IP Attrition'!$D114,'Attrition Modeling'!$B:$B,'IP Attrition'!AN$68),VLOOKUP($F114+AN$2,$A$6:$C$106,2,FALSE)*VLOOKUP(AN$1,'Attrition Modeling'!$L$15:$N$27,IF(AN$2+$F47&lt;=24,2,3),FALSE)),$C$3)*(1+Projection!AP$16)*(1+IF(AN179&gt;0,'Attrition Modeling'!$N$9,0)))</f>
        <v>0</v>
      </c>
      <c r="AO114" s="799">
        <f>AN114*(1-IFERROR(IF(AO$69+$F114&lt;=12,SUMIFS('Attrition Modeling'!$D:$D,'Attrition Modeling'!$C:$C,'IP Attrition'!$D114,'Attrition Modeling'!$B:$B,'IP Attrition'!AO$68),VLOOKUP($F114+AO$2,$A$6:$C$106,2,FALSE)*VLOOKUP(AO$1,'Attrition Modeling'!$L$15:$N$27,IF(AO$2+$F47&lt;=24,2,3),FALSE)),$C$3)*(1+Projection!AQ$16)*(1+IF(AO179&gt;0,'Attrition Modeling'!$N$9,0)))</f>
        <v>0</v>
      </c>
      <c r="AP114" s="799">
        <f>AO114*(1-IFERROR(IF(AP$69+$F114&lt;=12,SUMIFS('Attrition Modeling'!$D:$D,'Attrition Modeling'!$C:$C,'IP Attrition'!$D114,'Attrition Modeling'!$B:$B,'IP Attrition'!AP$68),VLOOKUP($F114+AP$2,$A$6:$C$106,2,FALSE)*VLOOKUP(AP$1,'Attrition Modeling'!$L$15:$N$27,IF(AP$2+$F47&lt;=24,2,3),FALSE)),$C$3)*(1+Projection!AR$16)*(1+IF(AP179&gt;0,'Attrition Modeling'!$N$9,0)))</f>
        <v>0</v>
      </c>
      <c r="AQ114" s="799">
        <f>AP114*(1-IFERROR(IF(AQ$69+$F114&lt;=12,SUMIFS('Attrition Modeling'!$D:$D,'Attrition Modeling'!$C:$C,'IP Attrition'!$D114,'Attrition Modeling'!$B:$B,'IP Attrition'!AQ$68),VLOOKUP($F114+AQ$2,$A$6:$C$106,2,FALSE)*VLOOKUP(AQ$1,'Attrition Modeling'!$L$15:$N$27,IF(AQ$2+$F47&lt;=24,2,3),FALSE)),$C$3)*(1+Projection!AS$16)*(1+IF(AQ179&gt;0,'Attrition Modeling'!$N$9,0)))</f>
        <v>0</v>
      </c>
      <c r="AR114" s="799">
        <f>AQ114*(1-IFERROR(IF(AR$69+$F114&lt;=12,SUMIFS('Attrition Modeling'!$D:$D,'Attrition Modeling'!$C:$C,'IP Attrition'!$D114,'Attrition Modeling'!$B:$B,'IP Attrition'!AR$68),VLOOKUP($F114+AR$2,$A$6:$C$106,2,FALSE)*VLOOKUP(AR$1,'Attrition Modeling'!$L$15:$N$27,IF(AR$2+$F47&lt;=24,2,3),FALSE)),$C$3)*(1+Projection!AT$16)*(1+IF(AR179&gt;0,'Attrition Modeling'!$N$9,0)))</f>
        <v>0</v>
      </c>
      <c r="AS114" s="799">
        <f>AR114*(1-IFERROR(IF(AS$69+$F114&lt;=12,SUMIFS('Attrition Modeling'!$D:$D,'Attrition Modeling'!$C:$C,'IP Attrition'!$D114,'Attrition Modeling'!$B:$B,'IP Attrition'!AS$68),VLOOKUP($F114+AS$2,$A$6:$C$106,2,FALSE)*VLOOKUP(AS$1,'Attrition Modeling'!$L$15:$N$27,IF(AS$2+$F47&lt;=24,2,3),FALSE)),$C$3)*(1+Projection!AU$16)*(1+IF(AS179&gt;0,'Attrition Modeling'!$N$9,0)))</f>
        <v>0</v>
      </c>
      <c r="AT114" s="799">
        <f>AS114*(1-IFERROR(IF(AT$69+$F114&lt;=12,SUMIFS('Attrition Modeling'!$D:$D,'Attrition Modeling'!$C:$C,'IP Attrition'!$D114,'Attrition Modeling'!$B:$B,'IP Attrition'!AT$68),VLOOKUP($F114+AT$2,$A$6:$C$106,2,FALSE)*VLOOKUP(AT$1,'Attrition Modeling'!$L$15:$N$27,IF(AT$2+$F47&lt;=24,2,3),FALSE)),$C$3)*(1+Projection!AV$16)*(1+IF(AT179&gt;0,'Attrition Modeling'!$N$9,0)))</f>
        <v>0</v>
      </c>
      <c r="AU114" s="799">
        <f>AT114*(1-IFERROR(IF(AU$69+$F114&lt;=12,SUMIFS('Attrition Modeling'!$D:$D,'Attrition Modeling'!$C:$C,'IP Attrition'!$D114,'Attrition Modeling'!$B:$B,'IP Attrition'!AU$68),VLOOKUP($F114+AU$2,$A$6:$C$106,2,FALSE)*VLOOKUP(AU$1,'Attrition Modeling'!$L$15:$N$27,IF(AU$2+$F47&lt;=24,2,3),FALSE)),$C$3)*(1+Projection!AW$16)*(1+IF(AU179&gt;0,'Attrition Modeling'!$N$9,0)))</f>
        <v>0</v>
      </c>
      <c r="AV114" s="799">
        <f>AU114*(1-IFERROR(IF(AV$69+$F114&lt;=12,SUMIFS('Attrition Modeling'!$D:$D,'Attrition Modeling'!$C:$C,'IP Attrition'!$D114,'Attrition Modeling'!$B:$B,'IP Attrition'!AV$68),VLOOKUP($F114+AV$2,$A$6:$C$106,2,FALSE)*VLOOKUP(AV$1,'Attrition Modeling'!$L$15:$N$27,IF(AV$2+$F47&lt;=24,2,3),FALSE)),$C$3)*(1+Projection!AX$16)*(1+IF(AV179&gt;0,'Attrition Modeling'!$N$9,0)))</f>
        <v>0</v>
      </c>
      <c r="AW114" s="799">
        <f>AV114*(1-IFERROR(IF(AW$69+$F114&lt;=12,SUMIFS('Attrition Modeling'!$D:$D,'Attrition Modeling'!$C:$C,'IP Attrition'!$D114,'Attrition Modeling'!$B:$B,'IP Attrition'!AW$68),VLOOKUP($F114+AW$2,$A$6:$C$106,2,FALSE)*VLOOKUP(AW$1,'Attrition Modeling'!$L$15:$N$27,IF(AW$2+$F47&lt;=24,2,3),FALSE)),$C$3)*(1+Projection!AY$16)*(1+IF(AW179&gt;0,'Attrition Modeling'!$N$9,0)))</f>
        <v>0</v>
      </c>
      <c r="AX114" s="799">
        <f>AW114*(1-IFERROR(IF(AX$69+$F114&lt;=12,SUMIFS('Attrition Modeling'!$D:$D,'Attrition Modeling'!$C:$C,'IP Attrition'!$D114,'Attrition Modeling'!$B:$B,'IP Attrition'!AX$68),VLOOKUP($F114+AX$2,$A$6:$C$106,2,FALSE)*VLOOKUP(AX$1,'Attrition Modeling'!$L$15:$N$27,IF(AX$2+$F47&lt;=24,2,3),FALSE)),$C$3)*(1+Projection!AZ$16)*(1+IF(AX179&gt;0,'Attrition Modeling'!$N$9,0)))</f>
        <v>0</v>
      </c>
      <c r="AY114" s="799">
        <f>AX114*(1-IFERROR(IF(AY$69+$F114&lt;=12,SUMIFS('Attrition Modeling'!$D:$D,'Attrition Modeling'!$C:$C,'IP Attrition'!$D114,'Attrition Modeling'!$B:$B,'IP Attrition'!AY$68),VLOOKUP($F114+AY$2,$A$6:$C$106,2,FALSE)*VLOOKUP(AY$1,'Attrition Modeling'!$L$15:$N$27,IF(AY$2+$F47&lt;=24,2,3),FALSE)),$C$3)*(1+Projection!BA$16)*(1+IF(AY179&gt;0,'Attrition Modeling'!$N$9,0)))</f>
        <v>0</v>
      </c>
      <c r="AZ114" s="799">
        <f>AY114*(1-IFERROR(IF(AZ$69+$F114&lt;=12,SUMIFS('Attrition Modeling'!$D:$D,'Attrition Modeling'!$C:$C,'IP Attrition'!$D114,'Attrition Modeling'!$B:$B,'IP Attrition'!AZ$68),VLOOKUP($F114+AZ$2,$A$6:$C$106,2,FALSE)*VLOOKUP(AZ$1,'Attrition Modeling'!$L$15:$N$27,IF(AZ$2+$F47&lt;=24,2,3),FALSE)),$C$3)*(1+Projection!BB$16)*(1+IF(AZ179&gt;0,'Attrition Modeling'!$N$9,0)))</f>
        <v>0</v>
      </c>
      <c r="BA114" s="799">
        <f>AZ114*(1-IFERROR(IF(BA$69+$F114&lt;=12,SUMIFS('Attrition Modeling'!$D:$D,'Attrition Modeling'!$C:$C,'IP Attrition'!$D114,'Attrition Modeling'!$B:$B,'IP Attrition'!BA$68),VLOOKUP($F114+BA$2,$A$6:$C$106,2,FALSE)*VLOOKUP(BA$1,'Attrition Modeling'!$L$15:$N$27,IF(BA$2+$F47&lt;=24,2,3),FALSE)),$C$3)*(1+Projection!BC$16)*(1+IF(BA179&gt;0,'Attrition Modeling'!$N$9,0)))</f>
        <v>0</v>
      </c>
      <c r="BB114" s="799">
        <f>BA114*(1-IFERROR(IF(BB$69+$F114&lt;=12,SUMIFS('Attrition Modeling'!$D:$D,'Attrition Modeling'!$C:$C,'IP Attrition'!$D114,'Attrition Modeling'!$B:$B,'IP Attrition'!BB$68),VLOOKUP($F114+BB$2,$A$6:$C$106,2,FALSE)*VLOOKUP(BB$1,'Attrition Modeling'!$L$15:$N$27,IF(BB$2+$F47&lt;=24,2,3),FALSE)),$C$3)*(1+Projection!BD$16)*(1+IF(BB179&gt;0,'Attrition Modeling'!$N$9,0)))</f>
        <v>0</v>
      </c>
      <c r="BC114" s="799">
        <f>BB114*(1-IFERROR(IF(BC$69+$F114&lt;=12,SUMIFS('Attrition Modeling'!$D:$D,'Attrition Modeling'!$C:$C,'IP Attrition'!$D114,'Attrition Modeling'!$B:$B,'IP Attrition'!BC$68),VLOOKUP($F114+BC$2,$A$6:$C$106,2,FALSE)*VLOOKUP(BC$1,'Attrition Modeling'!$L$15:$N$27,IF(BC$2+$F47&lt;=24,2,3),FALSE)),$C$3)*(1+Projection!BE$16)*(1+IF(BC179&gt;0,'Attrition Modeling'!$N$9,0)))</f>
        <v>0</v>
      </c>
      <c r="BD114" s="799">
        <f>BC114*(1-IFERROR(IF(BD$69+$F114&lt;=12,SUMIFS('Attrition Modeling'!$D:$D,'Attrition Modeling'!$C:$C,'IP Attrition'!$D114,'Attrition Modeling'!$B:$B,'IP Attrition'!BD$68),VLOOKUP($F114+BD$2,$A$6:$C$106,2,FALSE)*VLOOKUP(BD$1,'Attrition Modeling'!$L$15:$N$27,IF(BD$2+$F47&lt;=24,2,3),FALSE)),$C$3)*(1+Projection!BF$16)*(1+IF(BD179&gt;0,'Attrition Modeling'!$N$9,0)))</f>
        <v>0</v>
      </c>
      <c r="BE114" s="799">
        <f>BD114*(1-IFERROR(IF(BE$69+$F114&lt;=12,SUMIFS('Attrition Modeling'!$D:$D,'Attrition Modeling'!$C:$C,'IP Attrition'!$D114,'Attrition Modeling'!$B:$B,'IP Attrition'!BE$68),VLOOKUP($F114+BE$2,$A$6:$C$106,2,FALSE)*VLOOKUP(BE$1,'Attrition Modeling'!$L$15:$N$27,IF(BE$2+$F47&lt;=24,2,3),FALSE)),$C$3)*(1+Projection!BG$16)*(1+IF(BE179&gt;0,'Attrition Modeling'!$N$9,0)))</f>
        <v>0</v>
      </c>
      <c r="BF114" s="799">
        <f>BE114*(1-IFERROR(IF(BF$69+$F114&lt;=12,SUMIFS('Attrition Modeling'!$D:$D,'Attrition Modeling'!$C:$C,'IP Attrition'!$D114,'Attrition Modeling'!$B:$B,'IP Attrition'!BF$68),VLOOKUP($F114+BF$2,$A$6:$C$106,2,FALSE)*VLOOKUP(BF$1,'Attrition Modeling'!$L$15:$N$27,IF(BF$2+$F47&lt;=24,2,3),FALSE)),$C$3)*(1+Projection!BH$16)*(1+IF(BF179&gt;0,'Attrition Modeling'!$N$9,0)))</f>
        <v>0</v>
      </c>
      <c r="BG114" s="799">
        <f>BF114*(1-IFERROR(IF(BG$69+$F114&lt;=12,SUMIFS('Attrition Modeling'!$D:$D,'Attrition Modeling'!$C:$C,'IP Attrition'!$D114,'Attrition Modeling'!$B:$B,'IP Attrition'!BG$68),VLOOKUP($F114+BG$2,$A$6:$C$106,2,FALSE)*VLOOKUP(BG$1,'Attrition Modeling'!$L$15:$N$27,IF(BG$2+$F47&lt;=24,2,3),FALSE)),$C$3)*(1+Projection!BI$16)*(1+IF(BG179&gt;0,'Attrition Modeling'!$N$9,0)))</f>
        <v>0</v>
      </c>
      <c r="BH114" s="799">
        <f>BG114*(1-IFERROR(IF(BH$69+$F114&lt;=12,SUMIFS('Attrition Modeling'!$D:$D,'Attrition Modeling'!$C:$C,'IP Attrition'!$D114,'Attrition Modeling'!$B:$B,'IP Attrition'!BH$68),VLOOKUP($F114+BH$2,$A$6:$C$106,2,FALSE)*VLOOKUP(BH$1,'Attrition Modeling'!$L$15:$N$27,IF(BH$2+$F47&lt;=24,2,3),FALSE)),$C$3)*(1+Projection!BJ$16)*(1+IF(BH179&gt;0,'Attrition Modeling'!$N$9,0)))</f>
        <v>0</v>
      </c>
      <c r="BI114" s="799">
        <f>BH114*(1-IFERROR(IF(BI$69+$F114&lt;=12,SUMIFS('Attrition Modeling'!$D:$D,'Attrition Modeling'!$C:$C,'IP Attrition'!$D114,'Attrition Modeling'!$B:$B,'IP Attrition'!BI$68),VLOOKUP($F114+BI$2,$A$6:$C$106,2,FALSE)*VLOOKUP(BI$1,'Attrition Modeling'!$L$15:$N$27,IF(BI$2+$F47&lt;=24,2,3),FALSE)),$C$3)*(1+Projection!BK$16)*(1+IF(BI179&gt;0,'Attrition Modeling'!$N$9,0)))</f>
        <v>0</v>
      </c>
      <c r="BJ114" s="799">
        <f>BI114*(1-IFERROR(IF(BJ$69+$F114&lt;=12,SUMIFS('Attrition Modeling'!$D:$D,'Attrition Modeling'!$C:$C,'IP Attrition'!$D114,'Attrition Modeling'!$B:$B,'IP Attrition'!BJ$68),VLOOKUP($F114+BJ$2,$A$6:$C$106,2,FALSE)*VLOOKUP(BJ$1,'Attrition Modeling'!$L$15:$N$27,IF(BJ$2+$F47&lt;=24,2,3),FALSE)),$C$3)*(1+Projection!BL$16)*(1+IF(BJ179&gt;0,'Attrition Modeling'!$N$9,0)))</f>
        <v>0</v>
      </c>
      <c r="BK114" s="799">
        <f>BJ114*(1-IFERROR(IF(BK$69+$F114&lt;=12,SUMIFS('Attrition Modeling'!$D:$D,'Attrition Modeling'!$C:$C,'IP Attrition'!$D114,'Attrition Modeling'!$B:$B,'IP Attrition'!BK$68),VLOOKUP($F114+BK$2,$A$6:$C$106,2,FALSE)*VLOOKUP(BK$1,'Attrition Modeling'!$L$15:$N$27,IF(BK$2+$F47&lt;=24,2,3),FALSE)),$C$3)*(1+Projection!BM$16)*(1+IF(BK179&gt;0,'Attrition Modeling'!$N$9,0)))</f>
        <v>0</v>
      </c>
      <c r="BL114" s="799">
        <f>BK114*(1-IFERROR(IF(BL$69+$F114&lt;=12,SUMIFS('Attrition Modeling'!$D:$D,'Attrition Modeling'!$C:$C,'IP Attrition'!$D114,'Attrition Modeling'!$B:$B,'IP Attrition'!BL$68),VLOOKUP($F114+BL$2,$A$6:$C$106,2,FALSE)*VLOOKUP(BL$1,'Attrition Modeling'!$L$15:$N$27,IF(BL$2+$F47&lt;=24,2,3),FALSE)),$C$3)*(1+Projection!BN$16)*(1+IF(BL179&gt;0,'Attrition Modeling'!$N$9,0)))</f>
        <v>0</v>
      </c>
      <c r="BM114" s="799">
        <f>BL114*(1-IFERROR(IF(BM$69+$F114&lt;=12,SUMIFS('Attrition Modeling'!$D:$D,'Attrition Modeling'!$C:$C,'IP Attrition'!$D114,'Attrition Modeling'!$B:$B,'IP Attrition'!BM$68),VLOOKUP($F114+BM$2,$A$6:$C$106,2,FALSE)*VLOOKUP(BM$1,'Attrition Modeling'!$L$15:$N$27,IF(BM$2+$F47&lt;=24,2,3),FALSE)),$C$3)*(1+Projection!BO$16)*(1+IF(BM179&gt;0,'Attrition Modeling'!$N$9,0)))</f>
        <v>0</v>
      </c>
      <c r="BN114" s="799">
        <f>BM114*(1-IFERROR(IF(BN$69+$F114&lt;=12,SUMIFS('Attrition Modeling'!$D:$D,'Attrition Modeling'!$C:$C,'IP Attrition'!$D114,'Attrition Modeling'!$B:$B,'IP Attrition'!BN$68),VLOOKUP($F114+BN$2,$A$6:$C$106,2,FALSE)*VLOOKUP(BN$1,'Attrition Modeling'!$L$15:$N$27,IF(BN$2+$F47&lt;=24,2,3),FALSE)),$C$3)*(1+Projection!BP$16)*(1+IF(BN179&gt;0,'Attrition Modeling'!$N$9,0)))</f>
        <v>0</v>
      </c>
      <c r="BO114" s="799">
        <f>BN114*(1-IFERROR(IF(BO$69+$F114&lt;=12,SUMIFS('Attrition Modeling'!$D:$D,'Attrition Modeling'!$C:$C,'IP Attrition'!$D114,'Attrition Modeling'!$B:$B,'IP Attrition'!BO$68),VLOOKUP($F114+BO$2,$A$6:$C$106,2,FALSE)*VLOOKUP(BO$1,'Attrition Modeling'!$L$15:$N$27,IF(BO$2+$F47&lt;=24,2,3),FALSE)),$C$3)*(1+Projection!BV$16)*(1+IF(BO179&gt;0,'Attrition Modeling'!$N$9,0)))</f>
        <v>0</v>
      </c>
      <c r="BP114" s="799">
        <f>BO114*(1-IFERROR(IF(BP$69+$F114&lt;=12,SUMIFS('Attrition Modeling'!$D:$D,'Attrition Modeling'!$C:$C,'IP Attrition'!$D114,'Attrition Modeling'!$B:$B,'IP Attrition'!BP$68),VLOOKUP($F114+BP$2,$A$6:$C$106,2,FALSE)*VLOOKUP(BP$1,'Attrition Modeling'!$L$15:$N$27,IF(BP$2+$F47&lt;=24,2,3),FALSE)),$C$3)*(1+Projection!BW$16)*(1+IF(BP179&gt;0,'Attrition Modeling'!$N$9,0)))</f>
        <v>0</v>
      </c>
      <c r="BQ114" s="799">
        <f>BP114*(1-IFERROR(IF(BQ$69+$F114&lt;=12,SUMIFS('Attrition Modeling'!$D:$D,'Attrition Modeling'!$C:$C,'IP Attrition'!$D114,'Attrition Modeling'!$B:$B,'IP Attrition'!BQ$68),VLOOKUP($F114+BQ$2,$A$6:$C$106,2,FALSE)*VLOOKUP(BQ$1,'Attrition Modeling'!$L$15:$N$27,IF(BQ$2+$F47&lt;=24,2,3),FALSE)),$C$3)*(1+Projection!BX$16)*(1+IF(BQ179&gt;0,'Attrition Modeling'!$N$9,0)))</f>
        <v>0</v>
      </c>
      <c r="BR114" s="799">
        <f>BQ114*(1-IFERROR(IF(BR$69+$F114&lt;=12,SUMIFS('Attrition Modeling'!$D:$D,'Attrition Modeling'!$C:$C,'IP Attrition'!$D114,'Attrition Modeling'!$B:$B,'IP Attrition'!BR$68),VLOOKUP($F114+BR$2,$A$6:$C$106,2,FALSE)*VLOOKUP(BR$1,'Attrition Modeling'!$L$15:$N$27,IF(BR$2+$F47&lt;=24,2,3),FALSE)),$C$3)*(1+Projection!BY$16)*(1+IF(BR179&gt;0,'Attrition Modeling'!$N$9,0)))</f>
        <v>0</v>
      </c>
      <c r="BS114" s="799">
        <f>BR114*(1-IFERROR(IF(BS$69+$F114&lt;=12,SUMIFS('Attrition Modeling'!$D:$D,'Attrition Modeling'!$C:$C,'IP Attrition'!$D114,'Attrition Modeling'!$B:$B,'IP Attrition'!BS$68),VLOOKUP($F114+BS$2,$A$6:$C$106,2,FALSE)*VLOOKUP(BS$1,'Attrition Modeling'!$L$15:$N$27,IF(BS$2+$F47&lt;=24,2,3),FALSE)),$C$3)*(1+Projection!BZ$16)*(1+IF(BS179&gt;0,'Attrition Modeling'!$N$9,0)))</f>
        <v>0</v>
      </c>
      <c r="BT114" s="799" t="e">
        <f>BS114*(1-IFERROR(IF(BT$69+$F114&lt;=12,SUMIFS('Attrition Modeling'!$D:$D,'Attrition Modeling'!$C:$C,'IP Attrition'!$D114,'Attrition Modeling'!$B:$B,'IP Attrition'!BT$68),VLOOKUP($F114+BT$2,$A$6:$C$106,2,FALSE)*VLOOKUP(BT$1,'Attrition Modeling'!$L$15:$N$27,IF(BT$2+$F47&lt;=24,2,3),FALSE)),$C$3)*(1+Projection!CA$16)*(1+IF(BT179&gt;0,'Attrition Modeling'!$N$9,0)))</f>
        <v>#REF!</v>
      </c>
      <c r="BU114" s="799" t="e">
        <f>BT114*(1-IFERROR(IF(BU$69+$F114&lt;=12,SUMIFS('Attrition Modeling'!$D:$D,'Attrition Modeling'!$C:$C,'IP Attrition'!$D114,'Attrition Modeling'!$B:$B,'IP Attrition'!BU$68),VLOOKUP($F114+BU$2,$A$6:$C$106,2,FALSE)*VLOOKUP(BU$1,'Attrition Modeling'!$L$15:$N$27,IF(BU$2+$F47&lt;=24,2,3),FALSE)),$C$3)*(1+Projection!CB$16)*(1+IF(BU179&gt;0,'Attrition Modeling'!$N$9,0)))</f>
        <v>#REF!</v>
      </c>
    </row>
    <row r="115" spans="1:73" ht="14.25" customHeight="1" x14ac:dyDescent="0.2">
      <c r="A115" s="9">
        <v>108</v>
      </c>
      <c r="B115" s="25">
        <f>MAX('Attrition Modeling'!H112,$C$3)*(1-Summary!$C$20)</f>
        <v>0.02</v>
      </c>
      <c r="C115" s="24" t="e">
        <f t="shared" si="3"/>
        <v>#DIV/0!</v>
      </c>
      <c r="D115" s="11">
        <f t="shared" ref="D115:E115" si="53">D48</f>
        <v>-45</v>
      </c>
      <c r="E115" s="25">
        <f t="shared" si="53"/>
        <v>0</v>
      </c>
      <c r="F115" s="11">
        <f t="shared" si="9"/>
        <v>45</v>
      </c>
      <c r="G115" s="799">
        <f>Summary!$C$24*$E115</f>
        <v>0</v>
      </c>
      <c r="H115" s="799">
        <f>G115*(1-IFERROR(IF(H$69+$F115&lt;=12,SUMIFS('Attrition Modeling'!$D:$D,'Attrition Modeling'!$C:$C,'IP Attrition'!$D115,'Attrition Modeling'!$B:$B,'IP Attrition'!H$68),VLOOKUP($F115+H$2,$A$6:$C$106,2,FALSE)*VLOOKUP(H$1,'Attrition Modeling'!$L$15:$N$27,IF(H$2+$F48&lt;=24,2,3),FALSE)),$C$3)*(1+Projection!J$16)*(1+IF(H180&gt;0,'Attrition Modeling'!$N$9,0)))</f>
        <v>0</v>
      </c>
      <c r="I115" s="799">
        <f>H115*(1-IFERROR(IF(I$69+$F115&lt;=12,SUMIFS('Attrition Modeling'!$D:$D,'Attrition Modeling'!$C:$C,'IP Attrition'!$D115,'Attrition Modeling'!$B:$B,'IP Attrition'!I$68),VLOOKUP($F115+I$2,$A$6:$C$106,2,FALSE)*VLOOKUP(I$1,'Attrition Modeling'!$L$15:$N$27,IF(I$2+$F48&lt;=24,2,3),FALSE)),$C$3)*(1+Projection!K$16)*(1+IF(I180&gt;0,'Attrition Modeling'!$N$9,0)))</f>
        <v>0</v>
      </c>
      <c r="J115" s="799">
        <f>I115*(1-IFERROR(IF(J$69+$F115&lt;=12,SUMIFS('Attrition Modeling'!$D:$D,'Attrition Modeling'!$C:$C,'IP Attrition'!$D115,'Attrition Modeling'!$B:$B,'IP Attrition'!J$68),VLOOKUP($F115+J$2,$A$6:$C$106,2,FALSE)*VLOOKUP(J$1,'Attrition Modeling'!$L$15:$N$27,IF(J$2+$F48&lt;=24,2,3),FALSE)),$C$3)*(1+Projection!L$16)*(1+IF(J180&gt;0,'Attrition Modeling'!$N$9,0)))</f>
        <v>0</v>
      </c>
      <c r="K115" s="799">
        <f>J115*(1-IFERROR(IF(K$69+$F115&lt;=12,SUMIFS('Attrition Modeling'!$D:$D,'Attrition Modeling'!$C:$C,'IP Attrition'!$D115,'Attrition Modeling'!$B:$B,'IP Attrition'!K$68),VLOOKUP($F115+K$2,$A$6:$C$106,2,FALSE)*VLOOKUP(K$1,'Attrition Modeling'!$L$15:$N$27,IF(K$2+$F48&lt;=24,2,3),FALSE)),$C$3)*(1+Projection!M$16)*(1+IF(K180&gt;0,'Attrition Modeling'!$N$9,0)))</f>
        <v>0</v>
      </c>
      <c r="L115" s="799">
        <f>K115*(1-IFERROR(IF(L$69+$F115&lt;=12,SUMIFS('Attrition Modeling'!$D:$D,'Attrition Modeling'!$C:$C,'IP Attrition'!$D115,'Attrition Modeling'!$B:$B,'IP Attrition'!L$68),VLOOKUP($F115+L$2,$A$6:$C$106,2,FALSE)*VLOOKUP(L$1,'Attrition Modeling'!$L$15:$N$27,IF(L$2+$F48&lt;=24,2,3),FALSE)),$C$3)*(1+Projection!N$16)*(1+IF(L180&gt;0,'Attrition Modeling'!$N$9,0)))</f>
        <v>0</v>
      </c>
      <c r="M115" s="799">
        <f>L115*(1-IFERROR(IF(M$69+$F115&lt;=12,SUMIFS('Attrition Modeling'!$D:$D,'Attrition Modeling'!$C:$C,'IP Attrition'!$D115,'Attrition Modeling'!$B:$B,'IP Attrition'!M$68),VLOOKUP($F115+M$2,$A$6:$C$106,2,FALSE)*VLOOKUP(M$1,'Attrition Modeling'!$L$15:$N$27,IF(M$2+$F48&lt;=24,2,3),FALSE)),$C$3)*(1+Projection!O$16)*(1+IF(M180&gt;0,'Attrition Modeling'!$N$9,0)))</f>
        <v>0</v>
      </c>
      <c r="N115" s="799">
        <f>M115*(1-IFERROR(IF(N$69+$F115&lt;=12,SUMIFS('Attrition Modeling'!$D:$D,'Attrition Modeling'!$C:$C,'IP Attrition'!$D115,'Attrition Modeling'!$B:$B,'IP Attrition'!N$68),VLOOKUP($F115+N$2,$A$6:$C$106,2,FALSE)*VLOOKUP(N$1,'Attrition Modeling'!$L$15:$N$27,IF(N$2+$F48&lt;=24,2,3),FALSE)),$C$3)*(1+Projection!P$16)*(1+IF(N180&gt;0,'Attrition Modeling'!$N$9,0)))</f>
        <v>0</v>
      </c>
      <c r="O115" s="799">
        <f>N115*(1-IFERROR(IF(O$69+$F115&lt;=12,SUMIFS('Attrition Modeling'!$D:$D,'Attrition Modeling'!$C:$C,'IP Attrition'!$D115,'Attrition Modeling'!$B:$B,'IP Attrition'!O$68),VLOOKUP($F115+O$2,$A$6:$C$106,2,FALSE)*VLOOKUP(O$1,'Attrition Modeling'!$L$15:$N$27,IF(O$2+$F48&lt;=24,2,3),FALSE)),$C$3)*(1+Projection!Q$16)*(1+IF(O180&gt;0,'Attrition Modeling'!$N$9,0)))</f>
        <v>0</v>
      </c>
      <c r="P115" s="799">
        <f>O115*(1-IFERROR(IF(P$69+$F115&lt;=12,SUMIFS('Attrition Modeling'!$D:$D,'Attrition Modeling'!$C:$C,'IP Attrition'!$D115,'Attrition Modeling'!$B:$B,'IP Attrition'!P$68),VLOOKUP($F115+P$2,$A$6:$C$106,2,FALSE)*VLOOKUP(P$1,'Attrition Modeling'!$L$15:$N$27,IF(P$2+$F48&lt;=24,2,3),FALSE)),$C$3)*(1+Projection!R$16)*(1+IF(P180&gt;0,'Attrition Modeling'!$N$9,0)))</f>
        <v>0</v>
      </c>
      <c r="Q115" s="799">
        <f>P115*(1-IFERROR(IF(Q$69+$F115&lt;=12,SUMIFS('Attrition Modeling'!$D:$D,'Attrition Modeling'!$C:$C,'IP Attrition'!$D115,'Attrition Modeling'!$B:$B,'IP Attrition'!Q$68),VLOOKUP($F115+Q$2,$A$6:$C$106,2,FALSE)*VLOOKUP(Q$1,'Attrition Modeling'!$L$15:$N$27,IF(Q$2+$F48&lt;=24,2,3),FALSE)),$C$3)*(1+Projection!S$16)*(1+IF(Q180&gt;0,'Attrition Modeling'!$N$9,0)))</f>
        <v>0</v>
      </c>
      <c r="R115" s="799">
        <f>Q115*(1-IFERROR(IF(R$69+$F115&lt;=12,SUMIFS('Attrition Modeling'!$D:$D,'Attrition Modeling'!$C:$C,'IP Attrition'!$D115,'Attrition Modeling'!$B:$B,'IP Attrition'!R$68),VLOOKUP($F115+R$2,$A$6:$C$106,2,FALSE)*VLOOKUP(R$1,'Attrition Modeling'!$L$15:$N$27,IF(R$2+$F48&lt;=24,2,3),FALSE)),$C$3)*(1+Projection!T$16)*(1+IF(R180&gt;0,'Attrition Modeling'!$N$9,0)))</f>
        <v>0</v>
      </c>
      <c r="S115" s="799">
        <f>R115*(1-IFERROR(IF(S$69+$F115&lt;=12,SUMIFS('Attrition Modeling'!$D:$D,'Attrition Modeling'!$C:$C,'IP Attrition'!$D115,'Attrition Modeling'!$B:$B,'IP Attrition'!S$68),VLOOKUP($F115+S$2,$A$6:$C$106,2,FALSE)*VLOOKUP(S$1,'Attrition Modeling'!$L$15:$N$27,IF(S$2+$F48&lt;=24,2,3),FALSE)),$C$3)*(1+Projection!U$16)*(1+IF(S180&gt;0,'Attrition Modeling'!$N$9,0)))</f>
        <v>0</v>
      </c>
      <c r="T115" s="799">
        <f>S115*(1-IFERROR(IF(T$69+$F115&lt;=12,SUMIFS('Attrition Modeling'!$D:$D,'Attrition Modeling'!$C:$C,'IP Attrition'!$D115,'Attrition Modeling'!$B:$B,'IP Attrition'!T$68),VLOOKUP($F115+T$2,$A$6:$C$106,2,FALSE)*VLOOKUP(T$1,'Attrition Modeling'!$L$15:$N$27,IF(T$2+$F48&lt;=24,2,3),FALSE)),$C$3)*(1+Projection!V$16)*(1+IF(T180&gt;0,'Attrition Modeling'!$N$9,0)))</f>
        <v>0</v>
      </c>
      <c r="U115" s="799">
        <f>T115*(1-IFERROR(IF(U$69+$F115&lt;=12,SUMIFS('Attrition Modeling'!$D:$D,'Attrition Modeling'!$C:$C,'IP Attrition'!$D115,'Attrition Modeling'!$B:$B,'IP Attrition'!U$68),VLOOKUP($F115+U$2,$A$6:$C$106,2,FALSE)*VLOOKUP(U$1,'Attrition Modeling'!$L$15:$N$27,IF(U$2+$F48&lt;=24,2,3),FALSE)),$C$3)*(1+Projection!W$16)*(1+IF(U180&gt;0,'Attrition Modeling'!$N$9,0)))</f>
        <v>0</v>
      </c>
      <c r="V115" s="799">
        <f>U115*(1-IFERROR(IF(V$69+$F115&lt;=12,SUMIFS('Attrition Modeling'!$D:$D,'Attrition Modeling'!$C:$C,'IP Attrition'!$D115,'Attrition Modeling'!$B:$B,'IP Attrition'!V$68),VLOOKUP($F115+V$2,$A$6:$C$106,2,FALSE)*VLOOKUP(V$1,'Attrition Modeling'!$L$15:$N$27,IF(V$2+$F48&lt;=24,2,3),FALSE)),$C$3)*(1+Projection!X$16)*(1+IF(V180&gt;0,'Attrition Modeling'!$N$9,0)))</f>
        <v>0</v>
      </c>
      <c r="W115" s="799">
        <f>V115*(1-IFERROR(IF(W$69+$F115&lt;=12,SUMIFS('Attrition Modeling'!$D:$D,'Attrition Modeling'!$C:$C,'IP Attrition'!$D115,'Attrition Modeling'!$B:$B,'IP Attrition'!W$68),VLOOKUP($F115+W$2,$A$6:$C$106,2,FALSE)*VLOOKUP(W$1,'Attrition Modeling'!$L$15:$N$27,IF(W$2+$F48&lt;=24,2,3),FALSE)),$C$3)*(1+Projection!Y$16)*(1+IF(W180&gt;0,'Attrition Modeling'!$N$9,0)))</f>
        <v>0</v>
      </c>
      <c r="X115" s="799">
        <f>W115*(1-IFERROR(IF(X$69+$F115&lt;=12,SUMIFS('Attrition Modeling'!$D:$D,'Attrition Modeling'!$C:$C,'IP Attrition'!$D115,'Attrition Modeling'!$B:$B,'IP Attrition'!X$68),VLOOKUP($F115+X$2,$A$6:$C$106,2,FALSE)*VLOOKUP(X$1,'Attrition Modeling'!$L$15:$N$27,IF(X$2+$F48&lt;=24,2,3),FALSE)),$C$3)*(1+Projection!Z$16)*(1+IF(X180&gt;0,'Attrition Modeling'!$N$9,0)))</f>
        <v>0</v>
      </c>
      <c r="Y115" s="799">
        <f>X115*(1-IFERROR(IF(Y$69+$F115&lt;=12,SUMIFS('Attrition Modeling'!$D:$D,'Attrition Modeling'!$C:$C,'IP Attrition'!$D115,'Attrition Modeling'!$B:$B,'IP Attrition'!Y$68),VLOOKUP($F115+Y$2,$A$6:$C$106,2,FALSE)*VLOOKUP(Y$1,'Attrition Modeling'!$L$15:$N$27,IF(Y$2+$F48&lt;=24,2,3),FALSE)),$C$3)*(1+Projection!AA$16)*(1+IF(Y180&gt;0,'Attrition Modeling'!$N$9,0)))</f>
        <v>0</v>
      </c>
      <c r="Z115" s="799">
        <f>Y115*(1-IFERROR(IF(Z$69+$F115&lt;=12,SUMIFS('Attrition Modeling'!$D:$D,'Attrition Modeling'!$C:$C,'IP Attrition'!$D115,'Attrition Modeling'!$B:$B,'IP Attrition'!Z$68),VLOOKUP($F115+Z$2,$A$6:$C$106,2,FALSE)*VLOOKUP(Z$1,'Attrition Modeling'!$L$15:$N$27,IF(Z$2+$F48&lt;=24,2,3),FALSE)),$C$3)*(1+Projection!AB$16)*(1+IF(Z180&gt;0,'Attrition Modeling'!$N$9,0)))</f>
        <v>0</v>
      </c>
      <c r="AA115" s="799">
        <f>Z115*(1-IFERROR(IF(AA$69+$F115&lt;=12,SUMIFS('Attrition Modeling'!$D:$D,'Attrition Modeling'!$C:$C,'IP Attrition'!$D115,'Attrition Modeling'!$B:$B,'IP Attrition'!AA$68),VLOOKUP($F115+AA$2,$A$6:$C$106,2,FALSE)*VLOOKUP(AA$1,'Attrition Modeling'!$L$15:$N$27,IF(AA$2+$F48&lt;=24,2,3),FALSE)),$C$3)*(1+Projection!AC$16)*(1+IF(AA180&gt;0,'Attrition Modeling'!$N$9,0)))</f>
        <v>0</v>
      </c>
      <c r="AB115" s="799">
        <f>AA115*(1-IFERROR(IF(AB$69+$F115&lt;=12,SUMIFS('Attrition Modeling'!$D:$D,'Attrition Modeling'!$C:$C,'IP Attrition'!$D115,'Attrition Modeling'!$B:$B,'IP Attrition'!AB$68),VLOOKUP($F115+AB$2,$A$6:$C$106,2,FALSE)*VLOOKUP(AB$1,'Attrition Modeling'!$L$15:$N$27,IF(AB$2+$F48&lt;=24,2,3),FALSE)),$C$3)*(1+Projection!AD$16)*(1+IF(AB180&gt;0,'Attrition Modeling'!$N$9,0)))</f>
        <v>0</v>
      </c>
      <c r="AC115" s="799">
        <f>AB115*(1-IFERROR(IF(AC$69+$F115&lt;=12,SUMIFS('Attrition Modeling'!$D:$D,'Attrition Modeling'!$C:$C,'IP Attrition'!$D115,'Attrition Modeling'!$B:$B,'IP Attrition'!AC$68),VLOOKUP($F115+AC$2,$A$6:$C$106,2,FALSE)*VLOOKUP(AC$1,'Attrition Modeling'!$L$15:$N$27,IF(AC$2+$F48&lt;=24,2,3),FALSE)),$C$3)*(1+Projection!AE$16)*(1+IF(AC180&gt;0,'Attrition Modeling'!$N$9,0)))</f>
        <v>0</v>
      </c>
      <c r="AD115" s="799">
        <f>AC115*(1-IFERROR(IF(AD$69+$F115&lt;=12,SUMIFS('Attrition Modeling'!$D:$D,'Attrition Modeling'!$C:$C,'IP Attrition'!$D115,'Attrition Modeling'!$B:$B,'IP Attrition'!AD$68),VLOOKUP($F115+AD$2,$A$6:$C$106,2,FALSE)*VLOOKUP(AD$1,'Attrition Modeling'!$L$15:$N$27,IF(AD$2+$F48&lt;=24,2,3),FALSE)),$C$3)*(1+Projection!AF$16)*(1+IF(AD180&gt;0,'Attrition Modeling'!$N$9,0)))</f>
        <v>0</v>
      </c>
      <c r="AE115" s="799">
        <f>AD115*(1-IFERROR(IF(AE$69+$F115&lt;=12,SUMIFS('Attrition Modeling'!$D:$D,'Attrition Modeling'!$C:$C,'IP Attrition'!$D115,'Attrition Modeling'!$B:$B,'IP Attrition'!AE$68),VLOOKUP($F115+AE$2,$A$6:$C$106,2,FALSE)*VLOOKUP(AE$1,'Attrition Modeling'!$L$15:$N$27,IF(AE$2+$F48&lt;=24,2,3),FALSE)),$C$3)*(1+Projection!AG$16)*(1+IF(AE180&gt;0,'Attrition Modeling'!$N$9,0)))</f>
        <v>0</v>
      </c>
      <c r="AF115" s="799">
        <f>AE115*(1-IFERROR(IF(AF$69+$F115&lt;=12,SUMIFS('Attrition Modeling'!$D:$D,'Attrition Modeling'!$C:$C,'IP Attrition'!$D115,'Attrition Modeling'!$B:$B,'IP Attrition'!AF$68),VLOOKUP($F115+AF$2,$A$6:$C$106,2,FALSE)*VLOOKUP(AF$1,'Attrition Modeling'!$L$15:$N$27,IF(AF$2+$F48&lt;=24,2,3),FALSE)),$C$3)*(1+Projection!AH$16)*(1+IF(AF180&gt;0,'Attrition Modeling'!$N$9,0)))</f>
        <v>0</v>
      </c>
      <c r="AG115" s="799">
        <f>AF115*(1-IFERROR(IF(AG$69+$F115&lt;=12,SUMIFS('Attrition Modeling'!$D:$D,'Attrition Modeling'!$C:$C,'IP Attrition'!$D115,'Attrition Modeling'!$B:$B,'IP Attrition'!AG$68),VLOOKUP($F115+AG$2,$A$6:$C$106,2,FALSE)*VLOOKUP(AG$1,'Attrition Modeling'!$L$15:$N$27,IF(AG$2+$F48&lt;=24,2,3),FALSE)),$C$3)*(1+Projection!AI$16)*(1+IF(AG180&gt;0,'Attrition Modeling'!$N$9,0)))</f>
        <v>0</v>
      </c>
      <c r="AH115" s="799">
        <f>AG115*(1-IFERROR(IF(AH$69+$F115&lt;=12,SUMIFS('Attrition Modeling'!$D:$D,'Attrition Modeling'!$C:$C,'IP Attrition'!$D115,'Attrition Modeling'!$B:$B,'IP Attrition'!AH$68),VLOOKUP($F115+AH$2,$A$6:$C$106,2,FALSE)*VLOOKUP(AH$1,'Attrition Modeling'!$L$15:$N$27,IF(AH$2+$F48&lt;=24,2,3),FALSE)),$C$3)*(1+Projection!AJ$16)*(1+IF(AH180&gt;0,'Attrition Modeling'!$N$9,0)))</f>
        <v>0</v>
      </c>
      <c r="AI115" s="799">
        <f>AH115*(1-IFERROR(IF(AI$69+$F115&lt;=12,SUMIFS('Attrition Modeling'!$D:$D,'Attrition Modeling'!$C:$C,'IP Attrition'!$D115,'Attrition Modeling'!$B:$B,'IP Attrition'!AI$68),VLOOKUP($F115+AI$2,$A$6:$C$106,2,FALSE)*VLOOKUP(AI$1,'Attrition Modeling'!$L$15:$N$27,IF(AI$2+$F48&lt;=24,2,3),FALSE)),$C$3)*(1+Projection!AK$16)*(1+IF(AI180&gt;0,'Attrition Modeling'!$N$9,0)))</f>
        <v>0</v>
      </c>
      <c r="AJ115" s="799">
        <f>AI115*(1-IFERROR(IF(AJ$69+$F115&lt;=12,SUMIFS('Attrition Modeling'!$D:$D,'Attrition Modeling'!$C:$C,'IP Attrition'!$D115,'Attrition Modeling'!$B:$B,'IP Attrition'!AJ$68),VLOOKUP($F115+AJ$2,$A$6:$C$106,2,FALSE)*VLOOKUP(AJ$1,'Attrition Modeling'!$L$15:$N$27,IF(AJ$2+$F48&lt;=24,2,3),FALSE)),$C$3)*(1+Projection!AL$16)*(1+IF(AJ180&gt;0,'Attrition Modeling'!$N$9,0)))</f>
        <v>0</v>
      </c>
      <c r="AK115" s="799">
        <f>AJ115*(1-IFERROR(IF(AK$69+$F115&lt;=12,SUMIFS('Attrition Modeling'!$D:$D,'Attrition Modeling'!$C:$C,'IP Attrition'!$D115,'Attrition Modeling'!$B:$B,'IP Attrition'!AK$68),VLOOKUP($F115+AK$2,$A$6:$C$106,2,FALSE)*VLOOKUP(AK$1,'Attrition Modeling'!$L$15:$N$27,IF(AK$2+$F48&lt;=24,2,3),FALSE)),$C$3)*(1+Projection!AM$16)*(1+IF(AK180&gt;0,'Attrition Modeling'!$N$9,0)))</f>
        <v>0</v>
      </c>
      <c r="AL115" s="799">
        <f>AK115*(1-IFERROR(IF(AL$69+$F115&lt;=12,SUMIFS('Attrition Modeling'!$D:$D,'Attrition Modeling'!$C:$C,'IP Attrition'!$D115,'Attrition Modeling'!$B:$B,'IP Attrition'!AL$68),VLOOKUP($F115+AL$2,$A$6:$C$106,2,FALSE)*VLOOKUP(AL$1,'Attrition Modeling'!$L$15:$N$27,IF(AL$2+$F48&lt;=24,2,3),FALSE)),$C$3)*(1+Projection!AN$16)*(1+IF(AL180&gt;0,'Attrition Modeling'!$N$9,0)))</f>
        <v>0</v>
      </c>
      <c r="AM115" s="799">
        <f>AL115*(1-IFERROR(IF(AM$69+$F115&lt;=12,SUMIFS('Attrition Modeling'!$D:$D,'Attrition Modeling'!$C:$C,'IP Attrition'!$D115,'Attrition Modeling'!$B:$B,'IP Attrition'!AM$68),VLOOKUP($F115+AM$2,$A$6:$C$106,2,FALSE)*VLOOKUP(AM$1,'Attrition Modeling'!$L$15:$N$27,IF(AM$2+$F48&lt;=24,2,3),FALSE)),$C$3)*(1+Projection!AO$16)*(1+IF(AM180&gt;0,'Attrition Modeling'!$N$9,0)))</f>
        <v>0</v>
      </c>
      <c r="AN115" s="799">
        <f>AM115*(1-IFERROR(IF(AN$69+$F115&lt;=12,SUMIFS('Attrition Modeling'!$D:$D,'Attrition Modeling'!$C:$C,'IP Attrition'!$D115,'Attrition Modeling'!$B:$B,'IP Attrition'!AN$68),VLOOKUP($F115+AN$2,$A$6:$C$106,2,FALSE)*VLOOKUP(AN$1,'Attrition Modeling'!$L$15:$N$27,IF(AN$2+$F48&lt;=24,2,3),FALSE)),$C$3)*(1+Projection!AP$16)*(1+IF(AN180&gt;0,'Attrition Modeling'!$N$9,0)))</f>
        <v>0</v>
      </c>
      <c r="AO115" s="799">
        <f>AN115*(1-IFERROR(IF(AO$69+$F115&lt;=12,SUMIFS('Attrition Modeling'!$D:$D,'Attrition Modeling'!$C:$C,'IP Attrition'!$D115,'Attrition Modeling'!$B:$B,'IP Attrition'!AO$68),VLOOKUP($F115+AO$2,$A$6:$C$106,2,FALSE)*VLOOKUP(AO$1,'Attrition Modeling'!$L$15:$N$27,IF(AO$2+$F48&lt;=24,2,3),FALSE)),$C$3)*(1+Projection!AQ$16)*(1+IF(AO180&gt;0,'Attrition Modeling'!$N$9,0)))</f>
        <v>0</v>
      </c>
      <c r="AP115" s="799">
        <f>AO115*(1-IFERROR(IF(AP$69+$F115&lt;=12,SUMIFS('Attrition Modeling'!$D:$D,'Attrition Modeling'!$C:$C,'IP Attrition'!$D115,'Attrition Modeling'!$B:$B,'IP Attrition'!AP$68),VLOOKUP($F115+AP$2,$A$6:$C$106,2,FALSE)*VLOOKUP(AP$1,'Attrition Modeling'!$L$15:$N$27,IF(AP$2+$F48&lt;=24,2,3),FALSE)),$C$3)*(1+Projection!AR$16)*(1+IF(AP180&gt;0,'Attrition Modeling'!$N$9,0)))</f>
        <v>0</v>
      </c>
      <c r="AQ115" s="799">
        <f>AP115*(1-IFERROR(IF(AQ$69+$F115&lt;=12,SUMIFS('Attrition Modeling'!$D:$D,'Attrition Modeling'!$C:$C,'IP Attrition'!$D115,'Attrition Modeling'!$B:$B,'IP Attrition'!AQ$68),VLOOKUP($F115+AQ$2,$A$6:$C$106,2,FALSE)*VLOOKUP(AQ$1,'Attrition Modeling'!$L$15:$N$27,IF(AQ$2+$F48&lt;=24,2,3),FALSE)),$C$3)*(1+Projection!AS$16)*(1+IF(AQ180&gt;0,'Attrition Modeling'!$N$9,0)))</f>
        <v>0</v>
      </c>
      <c r="AR115" s="799">
        <f>AQ115*(1-IFERROR(IF(AR$69+$F115&lt;=12,SUMIFS('Attrition Modeling'!$D:$D,'Attrition Modeling'!$C:$C,'IP Attrition'!$D115,'Attrition Modeling'!$B:$B,'IP Attrition'!AR$68),VLOOKUP($F115+AR$2,$A$6:$C$106,2,FALSE)*VLOOKUP(AR$1,'Attrition Modeling'!$L$15:$N$27,IF(AR$2+$F48&lt;=24,2,3),FALSE)),$C$3)*(1+Projection!AT$16)*(1+IF(AR180&gt;0,'Attrition Modeling'!$N$9,0)))</f>
        <v>0</v>
      </c>
      <c r="AS115" s="799">
        <f>AR115*(1-IFERROR(IF(AS$69+$F115&lt;=12,SUMIFS('Attrition Modeling'!$D:$D,'Attrition Modeling'!$C:$C,'IP Attrition'!$D115,'Attrition Modeling'!$B:$B,'IP Attrition'!AS$68),VLOOKUP($F115+AS$2,$A$6:$C$106,2,FALSE)*VLOOKUP(AS$1,'Attrition Modeling'!$L$15:$N$27,IF(AS$2+$F48&lt;=24,2,3),FALSE)),$C$3)*(1+Projection!AU$16)*(1+IF(AS180&gt;0,'Attrition Modeling'!$N$9,0)))</f>
        <v>0</v>
      </c>
      <c r="AT115" s="799">
        <f>AS115*(1-IFERROR(IF(AT$69+$F115&lt;=12,SUMIFS('Attrition Modeling'!$D:$D,'Attrition Modeling'!$C:$C,'IP Attrition'!$D115,'Attrition Modeling'!$B:$B,'IP Attrition'!AT$68),VLOOKUP($F115+AT$2,$A$6:$C$106,2,FALSE)*VLOOKUP(AT$1,'Attrition Modeling'!$L$15:$N$27,IF(AT$2+$F48&lt;=24,2,3),FALSE)),$C$3)*(1+Projection!AV$16)*(1+IF(AT180&gt;0,'Attrition Modeling'!$N$9,0)))</f>
        <v>0</v>
      </c>
      <c r="AU115" s="799">
        <f>AT115*(1-IFERROR(IF(AU$69+$F115&lt;=12,SUMIFS('Attrition Modeling'!$D:$D,'Attrition Modeling'!$C:$C,'IP Attrition'!$D115,'Attrition Modeling'!$B:$B,'IP Attrition'!AU$68),VLOOKUP($F115+AU$2,$A$6:$C$106,2,FALSE)*VLOOKUP(AU$1,'Attrition Modeling'!$L$15:$N$27,IF(AU$2+$F48&lt;=24,2,3),FALSE)),$C$3)*(1+Projection!AW$16)*(1+IF(AU180&gt;0,'Attrition Modeling'!$N$9,0)))</f>
        <v>0</v>
      </c>
      <c r="AV115" s="799">
        <f>AU115*(1-IFERROR(IF(AV$69+$F115&lt;=12,SUMIFS('Attrition Modeling'!$D:$D,'Attrition Modeling'!$C:$C,'IP Attrition'!$D115,'Attrition Modeling'!$B:$B,'IP Attrition'!AV$68),VLOOKUP($F115+AV$2,$A$6:$C$106,2,FALSE)*VLOOKUP(AV$1,'Attrition Modeling'!$L$15:$N$27,IF(AV$2+$F48&lt;=24,2,3),FALSE)),$C$3)*(1+Projection!AX$16)*(1+IF(AV180&gt;0,'Attrition Modeling'!$N$9,0)))</f>
        <v>0</v>
      </c>
      <c r="AW115" s="799">
        <f>AV115*(1-IFERROR(IF(AW$69+$F115&lt;=12,SUMIFS('Attrition Modeling'!$D:$D,'Attrition Modeling'!$C:$C,'IP Attrition'!$D115,'Attrition Modeling'!$B:$B,'IP Attrition'!AW$68),VLOOKUP($F115+AW$2,$A$6:$C$106,2,FALSE)*VLOOKUP(AW$1,'Attrition Modeling'!$L$15:$N$27,IF(AW$2+$F48&lt;=24,2,3),FALSE)),$C$3)*(1+Projection!AY$16)*(1+IF(AW180&gt;0,'Attrition Modeling'!$N$9,0)))</f>
        <v>0</v>
      </c>
      <c r="AX115" s="799">
        <f>AW115*(1-IFERROR(IF(AX$69+$F115&lt;=12,SUMIFS('Attrition Modeling'!$D:$D,'Attrition Modeling'!$C:$C,'IP Attrition'!$D115,'Attrition Modeling'!$B:$B,'IP Attrition'!AX$68),VLOOKUP($F115+AX$2,$A$6:$C$106,2,FALSE)*VLOOKUP(AX$1,'Attrition Modeling'!$L$15:$N$27,IF(AX$2+$F48&lt;=24,2,3),FALSE)),$C$3)*(1+Projection!AZ$16)*(1+IF(AX180&gt;0,'Attrition Modeling'!$N$9,0)))</f>
        <v>0</v>
      </c>
      <c r="AY115" s="799">
        <f>AX115*(1-IFERROR(IF(AY$69+$F115&lt;=12,SUMIFS('Attrition Modeling'!$D:$D,'Attrition Modeling'!$C:$C,'IP Attrition'!$D115,'Attrition Modeling'!$B:$B,'IP Attrition'!AY$68),VLOOKUP($F115+AY$2,$A$6:$C$106,2,FALSE)*VLOOKUP(AY$1,'Attrition Modeling'!$L$15:$N$27,IF(AY$2+$F48&lt;=24,2,3),FALSE)),$C$3)*(1+Projection!BA$16)*(1+IF(AY180&gt;0,'Attrition Modeling'!$N$9,0)))</f>
        <v>0</v>
      </c>
      <c r="AZ115" s="799">
        <f>AY115*(1-IFERROR(IF(AZ$69+$F115&lt;=12,SUMIFS('Attrition Modeling'!$D:$D,'Attrition Modeling'!$C:$C,'IP Attrition'!$D115,'Attrition Modeling'!$B:$B,'IP Attrition'!AZ$68),VLOOKUP($F115+AZ$2,$A$6:$C$106,2,FALSE)*VLOOKUP(AZ$1,'Attrition Modeling'!$L$15:$N$27,IF(AZ$2+$F48&lt;=24,2,3),FALSE)),$C$3)*(1+Projection!BB$16)*(1+IF(AZ180&gt;0,'Attrition Modeling'!$N$9,0)))</f>
        <v>0</v>
      </c>
      <c r="BA115" s="799">
        <f>AZ115*(1-IFERROR(IF(BA$69+$F115&lt;=12,SUMIFS('Attrition Modeling'!$D:$D,'Attrition Modeling'!$C:$C,'IP Attrition'!$D115,'Attrition Modeling'!$B:$B,'IP Attrition'!BA$68),VLOOKUP($F115+BA$2,$A$6:$C$106,2,FALSE)*VLOOKUP(BA$1,'Attrition Modeling'!$L$15:$N$27,IF(BA$2+$F48&lt;=24,2,3),FALSE)),$C$3)*(1+Projection!BC$16)*(1+IF(BA180&gt;0,'Attrition Modeling'!$N$9,0)))</f>
        <v>0</v>
      </c>
      <c r="BB115" s="799">
        <f>BA115*(1-IFERROR(IF(BB$69+$F115&lt;=12,SUMIFS('Attrition Modeling'!$D:$D,'Attrition Modeling'!$C:$C,'IP Attrition'!$D115,'Attrition Modeling'!$B:$B,'IP Attrition'!BB$68),VLOOKUP($F115+BB$2,$A$6:$C$106,2,FALSE)*VLOOKUP(BB$1,'Attrition Modeling'!$L$15:$N$27,IF(BB$2+$F48&lt;=24,2,3),FALSE)),$C$3)*(1+Projection!BD$16)*(1+IF(BB180&gt;0,'Attrition Modeling'!$N$9,0)))</f>
        <v>0</v>
      </c>
      <c r="BC115" s="799">
        <f>BB115*(1-IFERROR(IF(BC$69+$F115&lt;=12,SUMIFS('Attrition Modeling'!$D:$D,'Attrition Modeling'!$C:$C,'IP Attrition'!$D115,'Attrition Modeling'!$B:$B,'IP Attrition'!BC$68),VLOOKUP($F115+BC$2,$A$6:$C$106,2,FALSE)*VLOOKUP(BC$1,'Attrition Modeling'!$L$15:$N$27,IF(BC$2+$F48&lt;=24,2,3),FALSE)),$C$3)*(1+Projection!BE$16)*(1+IF(BC180&gt;0,'Attrition Modeling'!$N$9,0)))</f>
        <v>0</v>
      </c>
      <c r="BD115" s="799">
        <f>BC115*(1-IFERROR(IF(BD$69+$F115&lt;=12,SUMIFS('Attrition Modeling'!$D:$D,'Attrition Modeling'!$C:$C,'IP Attrition'!$D115,'Attrition Modeling'!$B:$B,'IP Attrition'!BD$68),VLOOKUP($F115+BD$2,$A$6:$C$106,2,FALSE)*VLOOKUP(BD$1,'Attrition Modeling'!$L$15:$N$27,IF(BD$2+$F48&lt;=24,2,3),FALSE)),$C$3)*(1+Projection!BF$16)*(1+IF(BD180&gt;0,'Attrition Modeling'!$N$9,0)))</f>
        <v>0</v>
      </c>
      <c r="BE115" s="799">
        <f>BD115*(1-IFERROR(IF(BE$69+$F115&lt;=12,SUMIFS('Attrition Modeling'!$D:$D,'Attrition Modeling'!$C:$C,'IP Attrition'!$D115,'Attrition Modeling'!$B:$B,'IP Attrition'!BE$68),VLOOKUP($F115+BE$2,$A$6:$C$106,2,FALSE)*VLOOKUP(BE$1,'Attrition Modeling'!$L$15:$N$27,IF(BE$2+$F48&lt;=24,2,3),FALSE)),$C$3)*(1+Projection!BG$16)*(1+IF(BE180&gt;0,'Attrition Modeling'!$N$9,0)))</f>
        <v>0</v>
      </c>
      <c r="BF115" s="799">
        <f>BE115*(1-IFERROR(IF(BF$69+$F115&lt;=12,SUMIFS('Attrition Modeling'!$D:$D,'Attrition Modeling'!$C:$C,'IP Attrition'!$D115,'Attrition Modeling'!$B:$B,'IP Attrition'!BF$68),VLOOKUP($F115+BF$2,$A$6:$C$106,2,FALSE)*VLOOKUP(BF$1,'Attrition Modeling'!$L$15:$N$27,IF(BF$2+$F48&lt;=24,2,3),FALSE)),$C$3)*(1+Projection!BH$16)*(1+IF(BF180&gt;0,'Attrition Modeling'!$N$9,0)))</f>
        <v>0</v>
      </c>
      <c r="BG115" s="799">
        <f>BF115*(1-IFERROR(IF(BG$69+$F115&lt;=12,SUMIFS('Attrition Modeling'!$D:$D,'Attrition Modeling'!$C:$C,'IP Attrition'!$D115,'Attrition Modeling'!$B:$B,'IP Attrition'!BG$68),VLOOKUP($F115+BG$2,$A$6:$C$106,2,FALSE)*VLOOKUP(BG$1,'Attrition Modeling'!$L$15:$N$27,IF(BG$2+$F48&lt;=24,2,3),FALSE)),$C$3)*(1+Projection!BI$16)*(1+IF(BG180&gt;0,'Attrition Modeling'!$N$9,0)))</f>
        <v>0</v>
      </c>
      <c r="BH115" s="799">
        <f>BG115*(1-IFERROR(IF(BH$69+$F115&lt;=12,SUMIFS('Attrition Modeling'!$D:$D,'Attrition Modeling'!$C:$C,'IP Attrition'!$D115,'Attrition Modeling'!$B:$B,'IP Attrition'!BH$68),VLOOKUP($F115+BH$2,$A$6:$C$106,2,FALSE)*VLOOKUP(BH$1,'Attrition Modeling'!$L$15:$N$27,IF(BH$2+$F48&lt;=24,2,3),FALSE)),$C$3)*(1+Projection!BJ$16)*(1+IF(BH180&gt;0,'Attrition Modeling'!$N$9,0)))</f>
        <v>0</v>
      </c>
      <c r="BI115" s="799">
        <f>BH115*(1-IFERROR(IF(BI$69+$F115&lt;=12,SUMIFS('Attrition Modeling'!$D:$D,'Attrition Modeling'!$C:$C,'IP Attrition'!$D115,'Attrition Modeling'!$B:$B,'IP Attrition'!BI$68),VLOOKUP($F115+BI$2,$A$6:$C$106,2,FALSE)*VLOOKUP(BI$1,'Attrition Modeling'!$L$15:$N$27,IF(BI$2+$F48&lt;=24,2,3),FALSE)),$C$3)*(1+Projection!BK$16)*(1+IF(BI180&gt;0,'Attrition Modeling'!$N$9,0)))</f>
        <v>0</v>
      </c>
      <c r="BJ115" s="799">
        <f>BI115*(1-IFERROR(IF(BJ$69+$F115&lt;=12,SUMIFS('Attrition Modeling'!$D:$D,'Attrition Modeling'!$C:$C,'IP Attrition'!$D115,'Attrition Modeling'!$B:$B,'IP Attrition'!BJ$68),VLOOKUP($F115+BJ$2,$A$6:$C$106,2,FALSE)*VLOOKUP(BJ$1,'Attrition Modeling'!$L$15:$N$27,IF(BJ$2+$F48&lt;=24,2,3),FALSE)),$C$3)*(1+Projection!BL$16)*(1+IF(BJ180&gt;0,'Attrition Modeling'!$N$9,0)))</f>
        <v>0</v>
      </c>
      <c r="BK115" s="799">
        <f>BJ115*(1-IFERROR(IF(BK$69+$F115&lt;=12,SUMIFS('Attrition Modeling'!$D:$D,'Attrition Modeling'!$C:$C,'IP Attrition'!$D115,'Attrition Modeling'!$B:$B,'IP Attrition'!BK$68),VLOOKUP($F115+BK$2,$A$6:$C$106,2,FALSE)*VLOOKUP(BK$1,'Attrition Modeling'!$L$15:$N$27,IF(BK$2+$F48&lt;=24,2,3),FALSE)),$C$3)*(1+Projection!BM$16)*(1+IF(BK180&gt;0,'Attrition Modeling'!$N$9,0)))</f>
        <v>0</v>
      </c>
      <c r="BL115" s="799">
        <f>BK115*(1-IFERROR(IF(BL$69+$F115&lt;=12,SUMIFS('Attrition Modeling'!$D:$D,'Attrition Modeling'!$C:$C,'IP Attrition'!$D115,'Attrition Modeling'!$B:$B,'IP Attrition'!BL$68),VLOOKUP($F115+BL$2,$A$6:$C$106,2,FALSE)*VLOOKUP(BL$1,'Attrition Modeling'!$L$15:$N$27,IF(BL$2+$F48&lt;=24,2,3),FALSE)),$C$3)*(1+Projection!BN$16)*(1+IF(BL180&gt;0,'Attrition Modeling'!$N$9,0)))</f>
        <v>0</v>
      </c>
      <c r="BM115" s="799">
        <f>BL115*(1-IFERROR(IF(BM$69+$F115&lt;=12,SUMIFS('Attrition Modeling'!$D:$D,'Attrition Modeling'!$C:$C,'IP Attrition'!$D115,'Attrition Modeling'!$B:$B,'IP Attrition'!BM$68),VLOOKUP($F115+BM$2,$A$6:$C$106,2,FALSE)*VLOOKUP(BM$1,'Attrition Modeling'!$L$15:$N$27,IF(BM$2+$F48&lt;=24,2,3),FALSE)),$C$3)*(1+Projection!BO$16)*(1+IF(BM180&gt;0,'Attrition Modeling'!$N$9,0)))</f>
        <v>0</v>
      </c>
      <c r="BN115" s="799">
        <f>BM115*(1-IFERROR(IF(BN$69+$F115&lt;=12,SUMIFS('Attrition Modeling'!$D:$D,'Attrition Modeling'!$C:$C,'IP Attrition'!$D115,'Attrition Modeling'!$B:$B,'IP Attrition'!BN$68),VLOOKUP($F115+BN$2,$A$6:$C$106,2,FALSE)*VLOOKUP(BN$1,'Attrition Modeling'!$L$15:$N$27,IF(BN$2+$F48&lt;=24,2,3),FALSE)),$C$3)*(1+Projection!BP$16)*(1+IF(BN180&gt;0,'Attrition Modeling'!$N$9,0)))</f>
        <v>0</v>
      </c>
      <c r="BO115" s="799">
        <f>BN115*(1-IFERROR(IF(BO$69+$F115&lt;=12,SUMIFS('Attrition Modeling'!$D:$D,'Attrition Modeling'!$C:$C,'IP Attrition'!$D115,'Attrition Modeling'!$B:$B,'IP Attrition'!BO$68),VLOOKUP($F115+BO$2,$A$6:$C$106,2,FALSE)*VLOOKUP(BO$1,'Attrition Modeling'!$L$15:$N$27,IF(BO$2+$F48&lt;=24,2,3),FALSE)),$C$3)*(1+Projection!BV$16)*(1+IF(BO180&gt;0,'Attrition Modeling'!$N$9,0)))</f>
        <v>0</v>
      </c>
      <c r="BP115" s="799">
        <f>BO115*(1-IFERROR(IF(BP$69+$F115&lt;=12,SUMIFS('Attrition Modeling'!$D:$D,'Attrition Modeling'!$C:$C,'IP Attrition'!$D115,'Attrition Modeling'!$B:$B,'IP Attrition'!BP$68),VLOOKUP($F115+BP$2,$A$6:$C$106,2,FALSE)*VLOOKUP(BP$1,'Attrition Modeling'!$L$15:$N$27,IF(BP$2+$F48&lt;=24,2,3),FALSE)),$C$3)*(1+Projection!BW$16)*(1+IF(BP180&gt;0,'Attrition Modeling'!$N$9,0)))</f>
        <v>0</v>
      </c>
      <c r="BQ115" s="799">
        <f>BP115*(1-IFERROR(IF(BQ$69+$F115&lt;=12,SUMIFS('Attrition Modeling'!$D:$D,'Attrition Modeling'!$C:$C,'IP Attrition'!$D115,'Attrition Modeling'!$B:$B,'IP Attrition'!BQ$68),VLOOKUP($F115+BQ$2,$A$6:$C$106,2,FALSE)*VLOOKUP(BQ$1,'Attrition Modeling'!$L$15:$N$27,IF(BQ$2+$F48&lt;=24,2,3),FALSE)),$C$3)*(1+Projection!BX$16)*(1+IF(BQ180&gt;0,'Attrition Modeling'!$N$9,0)))</f>
        <v>0</v>
      </c>
      <c r="BR115" s="799">
        <f>BQ115*(1-IFERROR(IF(BR$69+$F115&lt;=12,SUMIFS('Attrition Modeling'!$D:$D,'Attrition Modeling'!$C:$C,'IP Attrition'!$D115,'Attrition Modeling'!$B:$B,'IP Attrition'!BR$68),VLOOKUP($F115+BR$2,$A$6:$C$106,2,FALSE)*VLOOKUP(BR$1,'Attrition Modeling'!$L$15:$N$27,IF(BR$2+$F48&lt;=24,2,3),FALSE)),$C$3)*(1+Projection!BY$16)*(1+IF(BR180&gt;0,'Attrition Modeling'!$N$9,0)))</f>
        <v>0</v>
      </c>
      <c r="BS115" s="799">
        <f>BR115*(1-IFERROR(IF(BS$69+$F115&lt;=12,SUMIFS('Attrition Modeling'!$D:$D,'Attrition Modeling'!$C:$C,'IP Attrition'!$D115,'Attrition Modeling'!$B:$B,'IP Attrition'!BS$68),VLOOKUP($F115+BS$2,$A$6:$C$106,2,FALSE)*VLOOKUP(BS$1,'Attrition Modeling'!$L$15:$N$27,IF(BS$2+$F48&lt;=24,2,3),FALSE)),$C$3)*(1+Projection!BZ$16)*(1+IF(BS180&gt;0,'Attrition Modeling'!$N$9,0)))</f>
        <v>0</v>
      </c>
      <c r="BT115" s="799" t="e">
        <f>BS115*(1-IFERROR(IF(BT$69+$F115&lt;=12,SUMIFS('Attrition Modeling'!$D:$D,'Attrition Modeling'!$C:$C,'IP Attrition'!$D115,'Attrition Modeling'!$B:$B,'IP Attrition'!BT$68),VLOOKUP($F115+BT$2,$A$6:$C$106,2,FALSE)*VLOOKUP(BT$1,'Attrition Modeling'!$L$15:$N$27,IF(BT$2+$F48&lt;=24,2,3),FALSE)),$C$3)*(1+Projection!CA$16)*(1+IF(BT180&gt;0,'Attrition Modeling'!$N$9,0)))</f>
        <v>#REF!</v>
      </c>
      <c r="BU115" s="799" t="e">
        <f>BT115*(1-IFERROR(IF(BU$69+$F115&lt;=12,SUMIFS('Attrition Modeling'!$D:$D,'Attrition Modeling'!$C:$C,'IP Attrition'!$D115,'Attrition Modeling'!$B:$B,'IP Attrition'!BU$68),VLOOKUP($F115+BU$2,$A$6:$C$106,2,FALSE)*VLOOKUP(BU$1,'Attrition Modeling'!$L$15:$N$27,IF(BU$2+$F48&lt;=24,2,3),FALSE)),$C$3)*(1+Projection!CB$16)*(1+IF(BU180&gt;0,'Attrition Modeling'!$N$9,0)))</f>
        <v>#REF!</v>
      </c>
    </row>
    <row r="116" spans="1:73" ht="14.25" customHeight="1" x14ac:dyDescent="0.2">
      <c r="A116" s="9">
        <v>109</v>
      </c>
      <c r="B116" s="25">
        <f>MAX('Attrition Modeling'!H113,$C$3)*(1-Summary!$C$20)</f>
        <v>0.02</v>
      </c>
      <c r="C116" s="24" t="e">
        <f t="shared" si="3"/>
        <v>#DIV/0!</v>
      </c>
      <c r="D116" s="11">
        <f t="shared" ref="D116:E116" si="54">D49</f>
        <v>-46</v>
      </c>
      <c r="E116" s="25">
        <f t="shared" si="54"/>
        <v>0</v>
      </c>
      <c r="F116" s="11">
        <f t="shared" si="9"/>
        <v>46</v>
      </c>
      <c r="G116" s="799">
        <f>Summary!$C$24*$E116</f>
        <v>0</v>
      </c>
      <c r="H116" s="799">
        <f>G116*(1-IFERROR(IF(H$69+$F116&lt;=12,SUMIFS('Attrition Modeling'!$D:$D,'Attrition Modeling'!$C:$C,'IP Attrition'!$D116,'Attrition Modeling'!$B:$B,'IP Attrition'!H$68),VLOOKUP($F116+H$2,$A$6:$C$106,2,FALSE)*VLOOKUP(H$1,'Attrition Modeling'!$L$15:$N$27,IF(H$2+$F49&lt;=24,2,3),FALSE)),$C$3)*(1+Projection!J$16)*(1+IF(H181&gt;0,'Attrition Modeling'!$N$9,0)))</f>
        <v>0</v>
      </c>
      <c r="I116" s="799">
        <f>H116*(1-IFERROR(IF(I$69+$F116&lt;=12,SUMIFS('Attrition Modeling'!$D:$D,'Attrition Modeling'!$C:$C,'IP Attrition'!$D116,'Attrition Modeling'!$B:$B,'IP Attrition'!I$68),VLOOKUP($F116+I$2,$A$6:$C$106,2,FALSE)*VLOOKUP(I$1,'Attrition Modeling'!$L$15:$N$27,IF(I$2+$F49&lt;=24,2,3),FALSE)),$C$3)*(1+Projection!K$16)*(1+IF(I181&gt;0,'Attrition Modeling'!$N$9,0)))</f>
        <v>0</v>
      </c>
      <c r="J116" s="799">
        <f>I116*(1-IFERROR(IF(J$69+$F116&lt;=12,SUMIFS('Attrition Modeling'!$D:$D,'Attrition Modeling'!$C:$C,'IP Attrition'!$D116,'Attrition Modeling'!$B:$B,'IP Attrition'!J$68),VLOOKUP($F116+J$2,$A$6:$C$106,2,FALSE)*VLOOKUP(J$1,'Attrition Modeling'!$L$15:$N$27,IF(J$2+$F49&lt;=24,2,3),FALSE)),$C$3)*(1+Projection!L$16)*(1+IF(J181&gt;0,'Attrition Modeling'!$N$9,0)))</f>
        <v>0</v>
      </c>
      <c r="K116" s="799">
        <f>J116*(1-IFERROR(IF(K$69+$F116&lt;=12,SUMIFS('Attrition Modeling'!$D:$D,'Attrition Modeling'!$C:$C,'IP Attrition'!$D116,'Attrition Modeling'!$B:$B,'IP Attrition'!K$68),VLOOKUP($F116+K$2,$A$6:$C$106,2,FALSE)*VLOOKUP(K$1,'Attrition Modeling'!$L$15:$N$27,IF(K$2+$F49&lt;=24,2,3),FALSE)),$C$3)*(1+Projection!M$16)*(1+IF(K181&gt;0,'Attrition Modeling'!$N$9,0)))</f>
        <v>0</v>
      </c>
      <c r="L116" s="799">
        <f>K116*(1-IFERROR(IF(L$69+$F116&lt;=12,SUMIFS('Attrition Modeling'!$D:$D,'Attrition Modeling'!$C:$C,'IP Attrition'!$D116,'Attrition Modeling'!$B:$B,'IP Attrition'!L$68),VLOOKUP($F116+L$2,$A$6:$C$106,2,FALSE)*VLOOKUP(L$1,'Attrition Modeling'!$L$15:$N$27,IF(L$2+$F49&lt;=24,2,3),FALSE)),$C$3)*(1+Projection!N$16)*(1+IF(L181&gt;0,'Attrition Modeling'!$N$9,0)))</f>
        <v>0</v>
      </c>
      <c r="M116" s="799">
        <f>L116*(1-IFERROR(IF(M$69+$F116&lt;=12,SUMIFS('Attrition Modeling'!$D:$D,'Attrition Modeling'!$C:$C,'IP Attrition'!$D116,'Attrition Modeling'!$B:$B,'IP Attrition'!M$68),VLOOKUP($F116+M$2,$A$6:$C$106,2,FALSE)*VLOOKUP(M$1,'Attrition Modeling'!$L$15:$N$27,IF(M$2+$F49&lt;=24,2,3),FALSE)),$C$3)*(1+Projection!O$16)*(1+IF(M181&gt;0,'Attrition Modeling'!$N$9,0)))</f>
        <v>0</v>
      </c>
      <c r="N116" s="799">
        <f>M116*(1-IFERROR(IF(N$69+$F116&lt;=12,SUMIFS('Attrition Modeling'!$D:$D,'Attrition Modeling'!$C:$C,'IP Attrition'!$D116,'Attrition Modeling'!$B:$B,'IP Attrition'!N$68),VLOOKUP($F116+N$2,$A$6:$C$106,2,FALSE)*VLOOKUP(N$1,'Attrition Modeling'!$L$15:$N$27,IF(N$2+$F49&lt;=24,2,3),FALSE)),$C$3)*(1+Projection!P$16)*(1+IF(N181&gt;0,'Attrition Modeling'!$N$9,0)))</f>
        <v>0</v>
      </c>
      <c r="O116" s="799">
        <f>N116*(1-IFERROR(IF(O$69+$F116&lt;=12,SUMIFS('Attrition Modeling'!$D:$D,'Attrition Modeling'!$C:$C,'IP Attrition'!$D116,'Attrition Modeling'!$B:$B,'IP Attrition'!O$68),VLOOKUP($F116+O$2,$A$6:$C$106,2,FALSE)*VLOOKUP(O$1,'Attrition Modeling'!$L$15:$N$27,IF(O$2+$F49&lt;=24,2,3),FALSE)),$C$3)*(1+Projection!Q$16)*(1+IF(O181&gt;0,'Attrition Modeling'!$N$9,0)))</f>
        <v>0</v>
      </c>
      <c r="P116" s="799">
        <f>O116*(1-IFERROR(IF(P$69+$F116&lt;=12,SUMIFS('Attrition Modeling'!$D:$D,'Attrition Modeling'!$C:$C,'IP Attrition'!$D116,'Attrition Modeling'!$B:$B,'IP Attrition'!P$68),VLOOKUP($F116+P$2,$A$6:$C$106,2,FALSE)*VLOOKUP(P$1,'Attrition Modeling'!$L$15:$N$27,IF(P$2+$F49&lt;=24,2,3),FALSE)),$C$3)*(1+Projection!R$16)*(1+IF(P181&gt;0,'Attrition Modeling'!$N$9,0)))</f>
        <v>0</v>
      </c>
      <c r="Q116" s="799">
        <f>P116*(1-IFERROR(IF(Q$69+$F116&lt;=12,SUMIFS('Attrition Modeling'!$D:$D,'Attrition Modeling'!$C:$C,'IP Attrition'!$D116,'Attrition Modeling'!$B:$B,'IP Attrition'!Q$68),VLOOKUP($F116+Q$2,$A$6:$C$106,2,FALSE)*VLOOKUP(Q$1,'Attrition Modeling'!$L$15:$N$27,IF(Q$2+$F49&lt;=24,2,3),FALSE)),$C$3)*(1+Projection!S$16)*(1+IF(Q181&gt;0,'Attrition Modeling'!$N$9,0)))</f>
        <v>0</v>
      </c>
      <c r="R116" s="799">
        <f>Q116*(1-IFERROR(IF(R$69+$F116&lt;=12,SUMIFS('Attrition Modeling'!$D:$D,'Attrition Modeling'!$C:$C,'IP Attrition'!$D116,'Attrition Modeling'!$B:$B,'IP Attrition'!R$68),VLOOKUP($F116+R$2,$A$6:$C$106,2,FALSE)*VLOOKUP(R$1,'Attrition Modeling'!$L$15:$N$27,IF(R$2+$F49&lt;=24,2,3),FALSE)),$C$3)*(1+Projection!T$16)*(1+IF(R181&gt;0,'Attrition Modeling'!$N$9,0)))</f>
        <v>0</v>
      </c>
      <c r="S116" s="799">
        <f>R116*(1-IFERROR(IF(S$69+$F116&lt;=12,SUMIFS('Attrition Modeling'!$D:$D,'Attrition Modeling'!$C:$C,'IP Attrition'!$D116,'Attrition Modeling'!$B:$B,'IP Attrition'!S$68),VLOOKUP($F116+S$2,$A$6:$C$106,2,FALSE)*VLOOKUP(S$1,'Attrition Modeling'!$L$15:$N$27,IF(S$2+$F49&lt;=24,2,3),FALSE)),$C$3)*(1+Projection!U$16)*(1+IF(S181&gt;0,'Attrition Modeling'!$N$9,0)))</f>
        <v>0</v>
      </c>
      <c r="T116" s="799">
        <f>S116*(1-IFERROR(IF(T$69+$F116&lt;=12,SUMIFS('Attrition Modeling'!$D:$D,'Attrition Modeling'!$C:$C,'IP Attrition'!$D116,'Attrition Modeling'!$B:$B,'IP Attrition'!T$68),VLOOKUP($F116+T$2,$A$6:$C$106,2,FALSE)*VLOOKUP(T$1,'Attrition Modeling'!$L$15:$N$27,IF(T$2+$F49&lt;=24,2,3),FALSE)),$C$3)*(1+Projection!V$16)*(1+IF(T181&gt;0,'Attrition Modeling'!$N$9,0)))</f>
        <v>0</v>
      </c>
      <c r="U116" s="799">
        <f>T116*(1-IFERROR(IF(U$69+$F116&lt;=12,SUMIFS('Attrition Modeling'!$D:$D,'Attrition Modeling'!$C:$C,'IP Attrition'!$D116,'Attrition Modeling'!$B:$B,'IP Attrition'!U$68),VLOOKUP($F116+U$2,$A$6:$C$106,2,FALSE)*VLOOKUP(U$1,'Attrition Modeling'!$L$15:$N$27,IF(U$2+$F49&lt;=24,2,3),FALSE)),$C$3)*(1+Projection!W$16)*(1+IF(U181&gt;0,'Attrition Modeling'!$N$9,0)))</f>
        <v>0</v>
      </c>
      <c r="V116" s="799">
        <f>U116*(1-IFERROR(IF(V$69+$F116&lt;=12,SUMIFS('Attrition Modeling'!$D:$D,'Attrition Modeling'!$C:$C,'IP Attrition'!$D116,'Attrition Modeling'!$B:$B,'IP Attrition'!V$68),VLOOKUP($F116+V$2,$A$6:$C$106,2,FALSE)*VLOOKUP(V$1,'Attrition Modeling'!$L$15:$N$27,IF(V$2+$F49&lt;=24,2,3),FALSE)),$C$3)*(1+Projection!X$16)*(1+IF(V181&gt;0,'Attrition Modeling'!$N$9,0)))</f>
        <v>0</v>
      </c>
      <c r="W116" s="799">
        <f>V116*(1-IFERROR(IF(W$69+$F116&lt;=12,SUMIFS('Attrition Modeling'!$D:$D,'Attrition Modeling'!$C:$C,'IP Attrition'!$D116,'Attrition Modeling'!$B:$B,'IP Attrition'!W$68),VLOOKUP($F116+W$2,$A$6:$C$106,2,FALSE)*VLOOKUP(W$1,'Attrition Modeling'!$L$15:$N$27,IF(W$2+$F49&lt;=24,2,3),FALSE)),$C$3)*(1+Projection!Y$16)*(1+IF(W181&gt;0,'Attrition Modeling'!$N$9,0)))</f>
        <v>0</v>
      </c>
      <c r="X116" s="799">
        <f>W116*(1-IFERROR(IF(X$69+$F116&lt;=12,SUMIFS('Attrition Modeling'!$D:$D,'Attrition Modeling'!$C:$C,'IP Attrition'!$D116,'Attrition Modeling'!$B:$B,'IP Attrition'!X$68),VLOOKUP($F116+X$2,$A$6:$C$106,2,FALSE)*VLOOKUP(X$1,'Attrition Modeling'!$L$15:$N$27,IF(X$2+$F49&lt;=24,2,3),FALSE)),$C$3)*(1+Projection!Z$16)*(1+IF(X181&gt;0,'Attrition Modeling'!$N$9,0)))</f>
        <v>0</v>
      </c>
      <c r="Y116" s="799">
        <f>X116*(1-IFERROR(IF(Y$69+$F116&lt;=12,SUMIFS('Attrition Modeling'!$D:$D,'Attrition Modeling'!$C:$C,'IP Attrition'!$D116,'Attrition Modeling'!$B:$B,'IP Attrition'!Y$68),VLOOKUP($F116+Y$2,$A$6:$C$106,2,FALSE)*VLOOKUP(Y$1,'Attrition Modeling'!$L$15:$N$27,IF(Y$2+$F49&lt;=24,2,3),FALSE)),$C$3)*(1+Projection!AA$16)*(1+IF(Y181&gt;0,'Attrition Modeling'!$N$9,0)))</f>
        <v>0</v>
      </c>
      <c r="Z116" s="799">
        <f>Y116*(1-IFERROR(IF(Z$69+$F116&lt;=12,SUMIFS('Attrition Modeling'!$D:$D,'Attrition Modeling'!$C:$C,'IP Attrition'!$D116,'Attrition Modeling'!$B:$B,'IP Attrition'!Z$68),VLOOKUP($F116+Z$2,$A$6:$C$106,2,FALSE)*VLOOKUP(Z$1,'Attrition Modeling'!$L$15:$N$27,IF(Z$2+$F49&lt;=24,2,3),FALSE)),$C$3)*(1+Projection!AB$16)*(1+IF(Z181&gt;0,'Attrition Modeling'!$N$9,0)))</f>
        <v>0</v>
      </c>
      <c r="AA116" s="799">
        <f>Z116*(1-IFERROR(IF(AA$69+$F116&lt;=12,SUMIFS('Attrition Modeling'!$D:$D,'Attrition Modeling'!$C:$C,'IP Attrition'!$D116,'Attrition Modeling'!$B:$B,'IP Attrition'!AA$68),VLOOKUP($F116+AA$2,$A$6:$C$106,2,FALSE)*VLOOKUP(AA$1,'Attrition Modeling'!$L$15:$N$27,IF(AA$2+$F49&lt;=24,2,3),FALSE)),$C$3)*(1+Projection!AC$16)*(1+IF(AA181&gt;0,'Attrition Modeling'!$N$9,0)))</f>
        <v>0</v>
      </c>
      <c r="AB116" s="799">
        <f>AA116*(1-IFERROR(IF(AB$69+$F116&lt;=12,SUMIFS('Attrition Modeling'!$D:$D,'Attrition Modeling'!$C:$C,'IP Attrition'!$D116,'Attrition Modeling'!$B:$B,'IP Attrition'!AB$68),VLOOKUP($F116+AB$2,$A$6:$C$106,2,FALSE)*VLOOKUP(AB$1,'Attrition Modeling'!$L$15:$N$27,IF(AB$2+$F49&lt;=24,2,3),FALSE)),$C$3)*(1+Projection!AD$16)*(1+IF(AB181&gt;0,'Attrition Modeling'!$N$9,0)))</f>
        <v>0</v>
      </c>
      <c r="AC116" s="799">
        <f>AB116*(1-IFERROR(IF(AC$69+$F116&lt;=12,SUMIFS('Attrition Modeling'!$D:$D,'Attrition Modeling'!$C:$C,'IP Attrition'!$D116,'Attrition Modeling'!$B:$B,'IP Attrition'!AC$68),VLOOKUP($F116+AC$2,$A$6:$C$106,2,FALSE)*VLOOKUP(AC$1,'Attrition Modeling'!$L$15:$N$27,IF(AC$2+$F49&lt;=24,2,3),FALSE)),$C$3)*(1+Projection!AE$16)*(1+IF(AC181&gt;0,'Attrition Modeling'!$N$9,0)))</f>
        <v>0</v>
      </c>
      <c r="AD116" s="799">
        <f>AC116*(1-IFERROR(IF(AD$69+$F116&lt;=12,SUMIFS('Attrition Modeling'!$D:$D,'Attrition Modeling'!$C:$C,'IP Attrition'!$D116,'Attrition Modeling'!$B:$B,'IP Attrition'!AD$68),VLOOKUP($F116+AD$2,$A$6:$C$106,2,FALSE)*VLOOKUP(AD$1,'Attrition Modeling'!$L$15:$N$27,IF(AD$2+$F49&lt;=24,2,3),FALSE)),$C$3)*(1+Projection!AF$16)*(1+IF(AD181&gt;0,'Attrition Modeling'!$N$9,0)))</f>
        <v>0</v>
      </c>
      <c r="AE116" s="799">
        <f>AD116*(1-IFERROR(IF(AE$69+$F116&lt;=12,SUMIFS('Attrition Modeling'!$D:$D,'Attrition Modeling'!$C:$C,'IP Attrition'!$D116,'Attrition Modeling'!$B:$B,'IP Attrition'!AE$68),VLOOKUP($F116+AE$2,$A$6:$C$106,2,FALSE)*VLOOKUP(AE$1,'Attrition Modeling'!$L$15:$N$27,IF(AE$2+$F49&lt;=24,2,3),FALSE)),$C$3)*(1+Projection!AG$16)*(1+IF(AE181&gt;0,'Attrition Modeling'!$N$9,0)))</f>
        <v>0</v>
      </c>
      <c r="AF116" s="799">
        <f>AE116*(1-IFERROR(IF(AF$69+$F116&lt;=12,SUMIFS('Attrition Modeling'!$D:$D,'Attrition Modeling'!$C:$C,'IP Attrition'!$D116,'Attrition Modeling'!$B:$B,'IP Attrition'!AF$68),VLOOKUP($F116+AF$2,$A$6:$C$106,2,FALSE)*VLOOKUP(AF$1,'Attrition Modeling'!$L$15:$N$27,IF(AF$2+$F49&lt;=24,2,3),FALSE)),$C$3)*(1+Projection!AH$16)*(1+IF(AF181&gt;0,'Attrition Modeling'!$N$9,0)))</f>
        <v>0</v>
      </c>
      <c r="AG116" s="799">
        <f>AF116*(1-IFERROR(IF(AG$69+$F116&lt;=12,SUMIFS('Attrition Modeling'!$D:$D,'Attrition Modeling'!$C:$C,'IP Attrition'!$D116,'Attrition Modeling'!$B:$B,'IP Attrition'!AG$68),VLOOKUP($F116+AG$2,$A$6:$C$106,2,FALSE)*VLOOKUP(AG$1,'Attrition Modeling'!$L$15:$N$27,IF(AG$2+$F49&lt;=24,2,3),FALSE)),$C$3)*(1+Projection!AI$16)*(1+IF(AG181&gt;0,'Attrition Modeling'!$N$9,0)))</f>
        <v>0</v>
      </c>
      <c r="AH116" s="799">
        <f>AG116*(1-IFERROR(IF(AH$69+$F116&lt;=12,SUMIFS('Attrition Modeling'!$D:$D,'Attrition Modeling'!$C:$C,'IP Attrition'!$D116,'Attrition Modeling'!$B:$B,'IP Attrition'!AH$68),VLOOKUP($F116+AH$2,$A$6:$C$106,2,FALSE)*VLOOKUP(AH$1,'Attrition Modeling'!$L$15:$N$27,IF(AH$2+$F49&lt;=24,2,3),FALSE)),$C$3)*(1+Projection!AJ$16)*(1+IF(AH181&gt;0,'Attrition Modeling'!$N$9,0)))</f>
        <v>0</v>
      </c>
      <c r="AI116" s="799">
        <f>AH116*(1-IFERROR(IF(AI$69+$F116&lt;=12,SUMIFS('Attrition Modeling'!$D:$D,'Attrition Modeling'!$C:$C,'IP Attrition'!$D116,'Attrition Modeling'!$B:$B,'IP Attrition'!AI$68),VLOOKUP($F116+AI$2,$A$6:$C$106,2,FALSE)*VLOOKUP(AI$1,'Attrition Modeling'!$L$15:$N$27,IF(AI$2+$F49&lt;=24,2,3),FALSE)),$C$3)*(1+Projection!AK$16)*(1+IF(AI181&gt;0,'Attrition Modeling'!$N$9,0)))</f>
        <v>0</v>
      </c>
      <c r="AJ116" s="799">
        <f>AI116*(1-IFERROR(IF(AJ$69+$F116&lt;=12,SUMIFS('Attrition Modeling'!$D:$D,'Attrition Modeling'!$C:$C,'IP Attrition'!$D116,'Attrition Modeling'!$B:$B,'IP Attrition'!AJ$68),VLOOKUP($F116+AJ$2,$A$6:$C$106,2,FALSE)*VLOOKUP(AJ$1,'Attrition Modeling'!$L$15:$N$27,IF(AJ$2+$F49&lt;=24,2,3),FALSE)),$C$3)*(1+Projection!AL$16)*(1+IF(AJ181&gt;0,'Attrition Modeling'!$N$9,0)))</f>
        <v>0</v>
      </c>
      <c r="AK116" s="799">
        <f>AJ116*(1-IFERROR(IF(AK$69+$F116&lt;=12,SUMIFS('Attrition Modeling'!$D:$D,'Attrition Modeling'!$C:$C,'IP Attrition'!$D116,'Attrition Modeling'!$B:$B,'IP Attrition'!AK$68),VLOOKUP($F116+AK$2,$A$6:$C$106,2,FALSE)*VLOOKUP(AK$1,'Attrition Modeling'!$L$15:$N$27,IF(AK$2+$F49&lt;=24,2,3),FALSE)),$C$3)*(1+Projection!AM$16)*(1+IF(AK181&gt;0,'Attrition Modeling'!$N$9,0)))</f>
        <v>0</v>
      </c>
      <c r="AL116" s="799">
        <f>AK116*(1-IFERROR(IF(AL$69+$F116&lt;=12,SUMIFS('Attrition Modeling'!$D:$D,'Attrition Modeling'!$C:$C,'IP Attrition'!$D116,'Attrition Modeling'!$B:$B,'IP Attrition'!AL$68),VLOOKUP($F116+AL$2,$A$6:$C$106,2,FALSE)*VLOOKUP(AL$1,'Attrition Modeling'!$L$15:$N$27,IF(AL$2+$F49&lt;=24,2,3),FALSE)),$C$3)*(1+Projection!AN$16)*(1+IF(AL181&gt;0,'Attrition Modeling'!$N$9,0)))</f>
        <v>0</v>
      </c>
      <c r="AM116" s="799">
        <f>AL116*(1-IFERROR(IF(AM$69+$F116&lt;=12,SUMIFS('Attrition Modeling'!$D:$D,'Attrition Modeling'!$C:$C,'IP Attrition'!$D116,'Attrition Modeling'!$B:$B,'IP Attrition'!AM$68),VLOOKUP($F116+AM$2,$A$6:$C$106,2,FALSE)*VLOOKUP(AM$1,'Attrition Modeling'!$L$15:$N$27,IF(AM$2+$F49&lt;=24,2,3),FALSE)),$C$3)*(1+Projection!AO$16)*(1+IF(AM181&gt;0,'Attrition Modeling'!$N$9,0)))</f>
        <v>0</v>
      </c>
      <c r="AN116" s="799">
        <f>AM116*(1-IFERROR(IF(AN$69+$F116&lt;=12,SUMIFS('Attrition Modeling'!$D:$D,'Attrition Modeling'!$C:$C,'IP Attrition'!$D116,'Attrition Modeling'!$B:$B,'IP Attrition'!AN$68),VLOOKUP($F116+AN$2,$A$6:$C$106,2,FALSE)*VLOOKUP(AN$1,'Attrition Modeling'!$L$15:$N$27,IF(AN$2+$F49&lt;=24,2,3),FALSE)),$C$3)*(1+Projection!AP$16)*(1+IF(AN181&gt;0,'Attrition Modeling'!$N$9,0)))</f>
        <v>0</v>
      </c>
      <c r="AO116" s="799">
        <f>AN116*(1-IFERROR(IF(AO$69+$F116&lt;=12,SUMIFS('Attrition Modeling'!$D:$D,'Attrition Modeling'!$C:$C,'IP Attrition'!$D116,'Attrition Modeling'!$B:$B,'IP Attrition'!AO$68),VLOOKUP($F116+AO$2,$A$6:$C$106,2,FALSE)*VLOOKUP(AO$1,'Attrition Modeling'!$L$15:$N$27,IF(AO$2+$F49&lt;=24,2,3),FALSE)),$C$3)*(1+Projection!AQ$16)*(1+IF(AO181&gt;0,'Attrition Modeling'!$N$9,0)))</f>
        <v>0</v>
      </c>
      <c r="AP116" s="799">
        <f>AO116*(1-IFERROR(IF(AP$69+$F116&lt;=12,SUMIFS('Attrition Modeling'!$D:$D,'Attrition Modeling'!$C:$C,'IP Attrition'!$D116,'Attrition Modeling'!$B:$B,'IP Attrition'!AP$68),VLOOKUP($F116+AP$2,$A$6:$C$106,2,FALSE)*VLOOKUP(AP$1,'Attrition Modeling'!$L$15:$N$27,IF(AP$2+$F49&lt;=24,2,3),FALSE)),$C$3)*(1+Projection!AR$16)*(1+IF(AP181&gt;0,'Attrition Modeling'!$N$9,0)))</f>
        <v>0</v>
      </c>
      <c r="AQ116" s="799">
        <f>AP116*(1-IFERROR(IF(AQ$69+$F116&lt;=12,SUMIFS('Attrition Modeling'!$D:$D,'Attrition Modeling'!$C:$C,'IP Attrition'!$D116,'Attrition Modeling'!$B:$B,'IP Attrition'!AQ$68),VLOOKUP($F116+AQ$2,$A$6:$C$106,2,FALSE)*VLOOKUP(AQ$1,'Attrition Modeling'!$L$15:$N$27,IF(AQ$2+$F49&lt;=24,2,3),FALSE)),$C$3)*(1+Projection!AS$16)*(1+IF(AQ181&gt;0,'Attrition Modeling'!$N$9,0)))</f>
        <v>0</v>
      </c>
      <c r="AR116" s="799">
        <f>AQ116*(1-IFERROR(IF(AR$69+$F116&lt;=12,SUMIFS('Attrition Modeling'!$D:$D,'Attrition Modeling'!$C:$C,'IP Attrition'!$D116,'Attrition Modeling'!$B:$B,'IP Attrition'!AR$68),VLOOKUP($F116+AR$2,$A$6:$C$106,2,FALSE)*VLOOKUP(AR$1,'Attrition Modeling'!$L$15:$N$27,IF(AR$2+$F49&lt;=24,2,3),FALSE)),$C$3)*(1+Projection!AT$16)*(1+IF(AR181&gt;0,'Attrition Modeling'!$N$9,0)))</f>
        <v>0</v>
      </c>
      <c r="AS116" s="799">
        <f>AR116*(1-IFERROR(IF(AS$69+$F116&lt;=12,SUMIFS('Attrition Modeling'!$D:$D,'Attrition Modeling'!$C:$C,'IP Attrition'!$D116,'Attrition Modeling'!$B:$B,'IP Attrition'!AS$68),VLOOKUP($F116+AS$2,$A$6:$C$106,2,FALSE)*VLOOKUP(AS$1,'Attrition Modeling'!$L$15:$N$27,IF(AS$2+$F49&lt;=24,2,3),FALSE)),$C$3)*(1+Projection!AU$16)*(1+IF(AS181&gt;0,'Attrition Modeling'!$N$9,0)))</f>
        <v>0</v>
      </c>
      <c r="AT116" s="799">
        <f>AS116*(1-IFERROR(IF(AT$69+$F116&lt;=12,SUMIFS('Attrition Modeling'!$D:$D,'Attrition Modeling'!$C:$C,'IP Attrition'!$D116,'Attrition Modeling'!$B:$B,'IP Attrition'!AT$68),VLOOKUP($F116+AT$2,$A$6:$C$106,2,FALSE)*VLOOKUP(AT$1,'Attrition Modeling'!$L$15:$N$27,IF(AT$2+$F49&lt;=24,2,3),FALSE)),$C$3)*(1+Projection!AV$16)*(1+IF(AT181&gt;0,'Attrition Modeling'!$N$9,0)))</f>
        <v>0</v>
      </c>
      <c r="AU116" s="799">
        <f>AT116*(1-IFERROR(IF(AU$69+$F116&lt;=12,SUMIFS('Attrition Modeling'!$D:$D,'Attrition Modeling'!$C:$C,'IP Attrition'!$D116,'Attrition Modeling'!$B:$B,'IP Attrition'!AU$68),VLOOKUP($F116+AU$2,$A$6:$C$106,2,FALSE)*VLOOKUP(AU$1,'Attrition Modeling'!$L$15:$N$27,IF(AU$2+$F49&lt;=24,2,3),FALSE)),$C$3)*(1+Projection!AW$16)*(1+IF(AU181&gt;0,'Attrition Modeling'!$N$9,0)))</f>
        <v>0</v>
      </c>
      <c r="AV116" s="799">
        <f>AU116*(1-IFERROR(IF(AV$69+$F116&lt;=12,SUMIFS('Attrition Modeling'!$D:$D,'Attrition Modeling'!$C:$C,'IP Attrition'!$D116,'Attrition Modeling'!$B:$B,'IP Attrition'!AV$68),VLOOKUP($F116+AV$2,$A$6:$C$106,2,FALSE)*VLOOKUP(AV$1,'Attrition Modeling'!$L$15:$N$27,IF(AV$2+$F49&lt;=24,2,3),FALSE)),$C$3)*(1+Projection!AX$16)*(1+IF(AV181&gt;0,'Attrition Modeling'!$N$9,0)))</f>
        <v>0</v>
      </c>
      <c r="AW116" s="799">
        <f>AV116*(1-IFERROR(IF(AW$69+$F116&lt;=12,SUMIFS('Attrition Modeling'!$D:$D,'Attrition Modeling'!$C:$C,'IP Attrition'!$D116,'Attrition Modeling'!$B:$B,'IP Attrition'!AW$68),VLOOKUP($F116+AW$2,$A$6:$C$106,2,FALSE)*VLOOKUP(AW$1,'Attrition Modeling'!$L$15:$N$27,IF(AW$2+$F49&lt;=24,2,3),FALSE)),$C$3)*(1+Projection!AY$16)*(1+IF(AW181&gt;0,'Attrition Modeling'!$N$9,0)))</f>
        <v>0</v>
      </c>
      <c r="AX116" s="799">
        <f>AW116*(1-IFERROR(IF(AX$69+$F116&lt;=12,SUMIFS('Attrition Modeling'!$D:$D,'Attrition Modeling'!$C:$C,'IP Attrition'!$D116,'Attrition Modeling'!$B:$B,'IP Attrition'!AX$68),VLOOKUP($F116+AX$2,$A$6:$C$106,2,FALSE)*VLOOKUP(AX$1,'Attrition Modeling'!$L$15:$N$27,IF(AX$2+$F49&lt;=24,2,3),FALSE)),$C$3)*(1+Projection!AZ$16)*(1+IF(AX181&gt;0,'Attrition Modeling'!$N$9,0)))</f>
        <v>0</v>
      </c>
      <c r="AY116" s="799">
        <f>AX116*(1-IFERROR(IF(AY$69+$F116&lt;=12,SUMIFS('Attrition Modeling'!$D:$D,'Attrition Modeling'!$C:$C,'IP Attrition'!$D116,'Attrition Modeling'!$B:$B,'IP Attrition'!AY$68),VLOOKUP($F116+AY$2,$A$6:$C$106,2,FALSE)*VLOOKUP(AY$1,'Attrition Modeling'!$L$15:$N$27,IF(AY$2+$F49&lt;=24,2,3),FALSE)),$C$3)*(1+Projection!BA$16)*(1+IF(AY181&gt;0,'Attrition Modeling'!$N$9,0)))</f>
        <v>0</v>
      </c>
      <c r="AZ116" s="799">
        <f>AY116*(1-IFERROR(IF(AZ$69+$F116&lt;=12,SUMIFS('Attrition Modeling'!$D:$D,'Attrition Modeling'!$C:$C,'IP Attrition'!$D116,'Attrition Modeling'!$B:$B,'IP Attrition'!AZ$68),VLOOKUP($F116+AZ$2,$A$6:$C$106,2,FALSE)*VLOOKUP(AZ$1,'Attrition Modeling'!$L$15:$N$27,IF(AZ$2+$F49&lt;=24,2,3),FALSE)),$C$3)*(1+Projection!BB$16)*(1+IF(AZ181&gt;0,'Attrition Modeling'!$N$9,0)))</f>
        <v>0</v>
      </c>
      <c r="BA116" s="799">
        <f>AZ116*(1-IFERROR(IF(BA$69+$F116&lt;=12,SUMIFS('Attrition Modeling'!$D:$D,'Attrition Modeling'!$C:$C,'IP Attrition'!$D116,'Attrition Modeling'!$B:$B,'IP Attrition'!BA$68),VLOOKUP($F116+BA$2,$A$6:$C$106,2,FALSE)*VLOOKUP(BA$1,'Attrition Modeling'!$L$15:$N$27,IF(BA$2+$F49&lt;=24,2,3),FALSE)),$C$3)*(1+Projection!BC$16)*(1+IF(BA181&gt;0,'Attrition Modeling'!$N$9,0)))</f>
        <v>0</v>
      </c>
      <c r="BB116" s="799">
        <f>BA116*(1-IFERROR(IF(BB$69+$F116&lt;=12,SUMIFS('Attrition Modeling'!$D:$D,'Attrition Modeling'!$C:$C,'IP Attrition'!$D116,'Attrition Modeling'!$B:$B,'IP Attrition'!BB$68),VLOOKUP($F116+BB$2,$A$6:$C$106,2,FALSE)*VLOOKUP(BB$1,'Attrition Modeling'!$L$15:$N$27,IF(BB$2+$F49&lt;=24,2,3),FALSE)),$C$3)*(1+Projection!BD$16)*(1+IF(BB181&gt;0,'Attrition Modeling'!$N$9,0)))</f>
        <v>0</v>
      </c>
      <c r="BC116" s="799">
        <f>BB116*(1-IFERROR(IF(BC$69+$F116&lt;=12,SUMIFS('Attrition Modeling'!$D:$D,'Attrition Modeling'!$C:$C,'IP Attrition'!$D116,'Attrition Modeling'!$B:$B,'IP Attrition'!BC$68),VLOOKUP($F116+BC$2,$A$6:$C$106,2,FALSE)*VLOOKUP(BC$1,'Attrition Modeling'!$L$15:$N$27,IF(BC$2+$F49&lt;=24,2,3),FALSE)),$C$3)*(1+Projection!BE$16)*(1+IF(BC181&gt;0,'Attrition Modeling'!$N$9,0)))</f>
        <v>0</v>
      </c>
      <c r="BD116" s="799">
        <f>BC116*(1-IFERROR(IF(BD$69+$F116&lt;=12,SUMIFS('Attrition Modeling'!$D:$D,'Attrition Modeling'!$C:$C,'IP Attrition'!$D116,'Attrition Modeling'!$B:$B,'IP Attrition'!BD$68),VLOOKUP($F116+BD$2,$A$6:$C$106,2,FALSE)*VLOOKUP(BD$1,'Attrition Modeling'!$L$15:$N$27,IF(BD$2+$F49&lt;=24,2,3),FALSE)),$C$3)*(1+Projection!BF$16)*(1+IF(BD181&gt;0,'Attrition Modeling'!$N$9,0)))</f>
        <v>0</v>
      </c>
      <c r="BE116" s="799">
        <f>BD116*(1-IFERROR(IF(BE$69+$F116&lt;=12,SUMIFS('Attrition Modeling'!$D:$D,'Attrition Modeling'!$C:$C,'IP Attrition'!$D116,'Attrition Modeling'!$B:$B,'IP Attrition'!BE$68),VLOOKUP($F116+BE$2,$A$6:$C$106,2,FALSE)*VLOOKUP(BE$1,'Attrition Modeling'!$L$15:$N$27,IF(BE$2+$F49&lt;=24,2,3),FALSE)),$C$3)*(1+Projection!BG$16)*(1+IF(BE181&gt;0,'Attrition Modeling'!$N$9,0)))</f>
        <v>0</v>
      </c>
      <c r="BF116" s="799">
        <f>BE116*(1-IFERROR(IF(BF$69+$F116&lt;=12,SUMIFS('Attrition Modeling'!$D:$D,'Attrition Modeling'!$C:$C,'IP Attrition'!$D116,'Attrition Modeling'!$B:$B,'IP Attrition'!BF$68),VLOOKUP($F116+BF$2,$A$6:$C$106,2,FALSE)*VLOOKUP(BF$1,'Attrition Modeling'!$L$15:$N$27,IF(BF$2+$F49&lt;=24,2,3),FALSE)),$C$3)*(1+Projection!BH$16)*(1+IF(BF181&gt;0,'Attrition Modeling'!$N$9,0)))</f>
        <v>0</v>
      </c>
      <c r="BG116" s="799">
        <f>BF116*(1-IFERROR(IF(BG$69+$F116&lt;=12,SUMIFS('Attrition Modeling'!$D:$D,'Attrition Modeling'!$C:$C,'IP Attrition'!$D116,'Attrition Modeling'!$B:$B,'IP Attrition'!BG$68),VLOOKUP($F116+BG$2,$A$6:$C$106,2,FALSE)*VLOOKUP(BG$1,'Attrition Modeling'!$L$15:$N$27,IF(BG$2+$F49&lt;=24,2,3),FALSE)),$C$3)*(1+Projection!BI$16)*(1+IF(BG181&gt;0,'Attrition Modeling'!$N$9,0)))</f>
        <v>0</v>
      </c>
      <c r="BH116" s="799">
        <f>BG116*(1-IFERROR(IF(BH$69+$F116&lt;=12,SUMIFS('Attrition Modeling'!$D:$D,'Attrition Modeling'!$C:$C,'IP Attrition'!$D116,'Attrition Modeling'!$B:$B,'IP Attrition'!BH$68),VLOOKUP($F116+BH$2,$A$6:$C$106,2,FALSE)*VLOOKUP(BH$1,'Attrition Modeling'!$L$15:$N$27,IF(BH$2+$F49&lt;=24,2,3),FALSE)),$C$3)*(1+Projection!BJ$16)*(1+IF(BH181&gt;0,'Attrition Modeling'!$N$9,0)))</f>
        <v>0</v>
      </c>
      <c r="BI116" s="799">
        <f>BH116*(1-IFERROR(IF(BI$69+$F116&lt;=12,SUMIFS('Attrition Modeling'!$D:$D,'Attrition Modeling'!$C:$C,'IP Attrition'!$D116,'Attrition Modeling'!$B:$B,'IP Attrition'!BI$68),VLOOKUP($F116+BI$2,$A$6:$C$106,2,FALSE)*VLOOKUP(BI$1,'Attrition Modeling'!$L$15:$N$27,IF(BI$2+$F49&lt;=24,2,3),FALSE)),$C$3)*(1+Projection!BK$16)*(1+IF(BI181&gt;0,'Attrition Modeling'!$N$9,0)))</f>
        <v>0</v>
      </c>
      <c r="BJ116" s="799">
        <f>BI116*(1-IFERROR(IF(BJ$69+$F116&lt;=12,SUMIFS('Attrition Modeling'!$D:$D,'Attrition Modeling'!$C:$C,'IP Attrition'!$D116,'Attrition Modeling'!$B:$B,'IP Attrition'!BJ$68),VLOOKUP($F116+BJ$2,$A$6:$C$106,2,FALSE)*VLOOKUP(BJ$1,'Attrition Modeling'!$L$15:$N$27,IF(BJ$2+$F49&lt;=24,2,3),FALSE)),$C$3)*(1+Projection!BL$16)*(1+IF(BJ181&gt;0,'Attrition Modeling'!$N$9,0)))</f>
        <v>0</v>
      </c>
      <c r="BK116" s="799">
        <f>BJ116*(1-IFERROR(IF(BK$69+$F116&lt;=12,SUMIFS('Attrition Modeling'!$D:$D,'Attrition Modeling'!$C:$C,'IP Attrition'!$D116,'Attrition Modeling'!$B:$B,'IP Attrition'!BK$68),VLOOKUP($F116+BK$2,$A$6:$C$106,2,FALSE)*VLOOKUP(BK$1,'Attrition Modeling'!$L$15:$N$27,IF(BK$2+$F49&lt;=24,2,3),FALSE)),$C$3)*(1+Projection!BM$16)*(1+IF(BK181&gt;0,'Attrition Modeling'!$N$9,0)))</f>
        <v>0</v>
      </c>
      <c r="BL116" s="799">
        <f>BK116*(1-IFERROR(IF(BL$69+$F116&lt;=12,SUMIFS('Attrition Modeling'!$D:$D,'Attrition Modeling'!$C:$C,'IP Attrition'!$D116,'Attrition Modeling'!$B:$B,'IP Attrition'!BL$68),VLOOKUP($F116+BL$2,$A$6:$C$106,2,FALSE)*VLOOKUP(BL$1,'Attrition Modeling'!$L$15:$N$27,IF(BL$2+$F49&lt;=24,2,3),FALSE)),$C$3)*(1+Projection!BN$16)*(1+IF(BL181&gt;0,'Attrition Modeling'!$N$9,0)))</f>
        <v>0</v>
      </c>
      <c r="BM116" s="799">
        <f>BL116*(1-IFERROR(IF(BM$69+$F116&lt;=12,SUMIFS('Attrition Modeling'!$D:$D,'Attrition Modeling'!$C:$C,'IP Attrition'!$D116,'Attrition Modeling'!$B:$B,'IP Attrition'!BM$68),VLOOKUP($F116+BM$2,$A$6:$C$106,2,FALSE)*VLOOKUP(BM$1,'Attrition Modeling'!$L$15:$N$27,IF(BM$2+$F49&lt;=24,2,3),FALSE)),$C$3)*(1+Projection!BO$16)*(1+IF(BM181&gt;0,'Attrition Modeling'!$N$9,0)))</f>
        <v>0</v>
      </c>
      <c r="BN116" s="799">
        <f>BM116*(1-IFERROR(IF(BN$69+$F116&lt;=12,SUMIFS('Attrition Modeling'!$D:$D,'Attrition Modeling'!$C:$C,'IP Attrition'!$D116,'Attrition Modeling'!$B:$B,'IP Attrition'!BN$68),VLOOKUP($F116+BN$2,$A$6:$C$106,2,FALSE)*VLOOKUP(BN$1,'Attrition Modeling'!$L$15:$N$27,IF(BN$2+$F49&lt;=24,2,3),FALSE)),$C$3)*(1+Projection!BP$16)*(1+IF(BN181&gt;0,'Attrition Modeling'!$N$9,0)))</f>
        <v>0</v>
      </c>
      <c r="BO116" s="799">
        <f>BN116*(1-IFERROR(IF(BO$69+$F116&lt;=12,SUMIFS('Attrition Modeling'!$D:$D,'Attrition Modeling'!$C:$C,'IP Attrition'!$D116,'Attrition Modeling'!$B:$B,'IP Attrition'!BO$68),VLOOKUP($F116+BO$2,$A$6:$C$106,2,FALSE)*VLOOKUP(BO$1,'Attrition Modeling'!$L$15:$N$27,IF(BO$2+$F49&lt;=24,2,3),FALSE)),$C$3)*(1+Projection!BV$16)*(1+IF(BO181&gt;0,'Attrition Modeling'!$N$9,0)))</f>
        <v>0</v>
      </c>
      <c r="BP116" s="799">
        <f>BO116*(1-IFERROR(IF(BP$69+$F116&lt;=12,SUMIFS('Attrition Modeling'!$D:$D,'Attrition Modeling'!$C:$C,'IP Attrition'!$D116,'Attrition Modeling'!$B:$B,'IP Attrition'!BP$68),VLOOKUP($F116+BP$2,$A$6:$C$106,2,FALSE)*VLOOKUP(BP$1,'Attrition Modeling'!$L$15:$N$27,IF(BP$2+$F49&lt;=24,2,3),FALSE)),$C$3)*(1+Projection!BW$16)*(1+IF(BP181&gt;0,'Attrition Modeling'!$N$9,0)))</f>
        <v>0</v>
      </c>
      <c r="BQ116" s="799">
        <f>BP116*(1-IFERROR(IF(BQ$69+$F116&lt;=12,SUMIFS('Attrition Modeling'!$D:$D,'Attrition Modeling'!$C:$C,'IP Attrition'!$D116,'Attrition Modeling'!$B:$B,'IP Attrition'!BQ$68),VLOOKUP($F116+BQ$2,$A$6:$C$106,2,FALSE)*VLOOKUP(BQ$1,'Attrition Modeling'!$L$15:$N$27,IF(BQ$2+$F49&lt;=24,2,3),FALSE)),$C$3)*(1+Projection!BX$16)*(1+IF(BQ181&gt;0,'Attrition Modeling'!$N$9,0)))</f>
        <v>0</v>
      </c>
      <c r="BR116" s="799">
        <f>BQ116*(1-IFERROR(IF(BR$69+$F116&lt;=12,SUMIFS('Attrition Modeling'!$D:$D,'Attrition Modeling'!$C:$C,'IP Attrition'!$D116,'Attrition Modeling'!$B:$B,'IP Attrition'!BR$68),VLOOKUP($F116+BR$2,$A$6:$C$106,2,FALSE)*VLOOKUP(BR$1,'Attrition Modeling'!$L$15:$N$27,IF(BR$2+$F49&lt;=24,2,3),FALSE)),$C$3)*(1+Projection!BY$16)*(1+IF(BR181&gt;0,'Attrition Modeling'!$N$9,0)))</f>
        <v>0</v>
      </c>
      <c r="BS116" s="799">
        <f>BR116*(1-IFERROR(IF(BS$69+$F116&lt;=12,SUMIFS('Attrition Modeling'!$D:$D,'Attrition Modeling'!$C:$C,'IP Attrition'!$D116,'Attrition Modeling'!$B:$B,'IP Attrition'!BS$68),VLOOKUP($F116+BS$2,$A$6:$C$106,2,FALSE)*VLOOKUP(BS$1,'Attrition Modeling'!$L$15:$N$27,IF(BS$2+$F49&lt;=24,2,3),FALSE)),$C$3)*(1+Projection!BZ$16)*(1+IF(BS181&gt;0,'Attrition Modeling'!$N$9,0)))</f>
        <v>0</v>
      </c>
      <c r="BT116" s="799" t="e">
        <f>BS116*(1-IFERROR(IF(BT$69+$F116&lt;=12,SUMIFS('Attrition Modeling'!$D:$D,'Attrition Modeling'!$C:$C,'IP Attrition'!$D116,'Attrition Modeling'!$B:$B,'IP Attrition'!BT$68),VLOOKUP($F116+BT$2,$A$6:$C$106,2,FALSE)*VLOOKUP(BT$1,'Attrition Modeling'!$L$15:$N$27,IF(BT$2+$F49&lt;=24,2,3),FALSE)),$C$3)*(1+Projection!CA$16)*(1+IF(BT181&gt;0,'Attrition Modeling'!$N$9,0)))</f>
        <v>#REF!</v>
      </c>
      <c r="BU116" s="799" t="e">
        <f>BT116*(1-IFERROR(IF(BU$69+$F116&lt;=12,SUMIFS('Attrition Modeling'!$D:$D,'Attrition Modeling'!$C:$C,'IP Attrition'!$D116,'Attrition Modeling'!$B:$B,'IP Attrition'!BU$68),VLOOKUP($F116+BU$2,$A$6:$C$106,2,FALSE)*VLOOKUP(BU$1,'Attrition Modeling'!$L$15:$N$27,IF(BU$2+$F49&lt;=24,2,3),FALSE)),$C$3)*(1+Projection!CB$16)*(1+IF(BU181&gt;0,'Attrition Modeling'!$N$9,0)))</f>
        <v>#REF!</v>
      </c>
    </row>
    <row r="117" spans="1:73" ht="14.25" customHeight="1" x14ac:dyDescent="0.2">
      <c r="A117" s="9">
        <v>110</v>
      </c>
      <c r="B117" s="25">
        <f>MAX('Attrition Modeling'!H114,$C$3)*(1-Summary!$C$20)</f>
        <v>0.02</v>
      </c>
      <c r="C117" s="24" t="e">
        <f t="shared" si="3"/>
        <v>#DIV/0!</v>
      </c>
      <c r="D117" s="11">
        <f t="shared" ref="D117:E117" si="55">D50</f>
        <v>-47</v>
      </c>
      <c r="E117" s="25">
        <f t="shared" si="55"/>
        <v>0</v>
      </c>
      <c r="F117" s="11">
        <f t="shared" si="9"/>
        <v>47</v>
      </c>
      <c r="G117" s="799">
        <f>Summary!$C$24*$E117</f>
        <v>0</v>
      </c>
      <c r="H117" s="799">
        <f>G117*(1-IFERROR(IF(H$69+$F117&lt;=12,SUMIFS('Attrition Modeling'!$D:$D,'Attrition Modeling'!$C:$C,'IP Attrition'!$D117,'Attrition Modeling'!$B:$B,'IP Attrition'!H$68),VLOOKUP($F117+H$2,$A$6:$C$106,2,FALSE)*VLOOKUP(H$1,'Attrition Modeling'!$L$15:$N$27,IF(H$2+$F50&lt;=24,2,3),FALSE)),$C$3)*(1+Projection!J$16)*(1+IF(H182&gt;0,'Attrition Modeling'!$N$9,0)))</f>
        <v>0</v>
      </c>
      <c r="I117" s="799">
        <f>H117*(1-IFERROR(IF(I$69+$F117&lt;=12,SUMIFS('Attrition Modeling'!$D:$D,'Attrition Modeling'!$C:$C,'IP Attrition'!$D117,'Attrition Modeling'!$B:$B,'IP Attrition'!I$68),VLOOKUP($F117+I$2,$A$6:$C$106,2,FALSE)*VLOOKUP(I$1,'Attrition Modeling'!$L$15:$N$27,IF(I$2+$F50&lt;=24,2,3),FALSE)),$C$3)*(1+Projection!K$16)*(1+IF(I182&gt;0,'Attrition Modeling'!$N$9,0)))</f>
        <v>0</v>
      </c>
      <c r="J117" s="799">
        <f>I117*(1-IFERROR(IF(J$69+$F117&lt;=12,SUMIFS('Attrition Modeling'!$D:$D,'Attrition Modeling'!$C:$C,'IP Attrition'!$D117,'Attrition Modeling'!$B:$B,'IP Attrition'!J$68),VLOOKUP($F117+J$2,$A$6:$C$106,2,FALSE)*VLOOKUP(J$1,'Attrition Modeling'!$L$15:$N$27,IF(J$2+$F50&lt;=24,2,3),FALSE)),$C$3)*(1+Projection!L$16)*(1+IF(J182&gt;0,'Attrition Modeling'!$N$9,0)))</f>
        <v>0</v>
      </c>
      <c r="K117" s="799">
        <f>J117*(1-IFERROR(IF(K$69+$F117&lt;=12,SUMIFS('Attrition Modeling'!$D:$D,'Attrition Modeling'!$C:$C,'IP Attrition'!$D117,'Attrition Modeling'!$B:$B,'IP Attrition'!K$68),VLOOKUP($F117+K$2,$A$6:$C$106,2,FALSE)*VLOOKUP(K$1,'Attrition Modeling'!$L$15:$N$27,IF(K$2+$F50&lt;=24,2,3),FALSE)),$C$3)*(1+Projection!M$16)*(1+IF(K182&gt;0,'Attrition Modeling'!$N$9,0)))</f>
        <v>0</v>
      </c>
      <c r="L117" s="799">
        <f>K117*(1-IFERROR(IF(L$69+$F117&lt;=12,SUMIFS('Attrition Modeling'!$D:$D,'Attrition Modeling'!$C:$C,'IP Attrition'!$D117,'Attrition Modeling'!$B:$B,'IP Attrition'!L$68),VLOOKUP($F117+L$2,$A$6:$C$106,2,FALSE)*VLOOKUP(L$1,'Attrition Modeling'!$L$15:$N$27,IF(L$2+$F50&lt;=24,2,3),FALSE)),$C$3)*(1+Projection!N$16)*(1+IF(L182&gt;0,'Attrition Modeling'!$N$9,0)))</f>
        <v>0</v>
      </c>
      <c r="M117" s="799">
        <f>L117*(1-IFERROR(IF(M$69+$F117&lt;=12,SUMIFS('Attrition Modeling'!$D:$D,'Attrition Modeling'!$C:$C,'IP Attrition'!$D117,'Attrition Modeling'!$B:$B,'IP Attrition'!M$68),VLOOKUP($F117+M$2,$A$6:$C$106,2,FALSE)*VLOOKUP(M$1,'Attrition Modeling'!$L$15:$N$27,IF(M$2+$F50&lt;=24,2,3),FALSE)),$C$3)*(1+Projection!O$16)*(1+IF(M182&gt;0,'Attrition Modeling'!$N$9,0)))</f>
        <v>0</v>
      </c>
      <c r="N117" s="799">
        <f>M117*(1-IFERROR(IF(N$69+$F117&lt;=12,SUMIFS('Attrition Modeling'!$D:$D,'Attrition Modeling'!$C:$C,'IP Attrition'!$D117,'Attrition Modeling'!$B:$B,'IP Attrition'!N$68),VLOOKUP($F117+N$2,$A$6:$C$106,2,FALSE)*VLOOKUP(N$1,'Attrition Modeling'!$L$15:$N$27,IF(N$2+$F50&lt;=24,2,3),FALSE)),$C$3)*(1+Projection!P$16)*(1+IF(N182&gt;0,'Attrition Modeling'!$N$9,0)))</f>
        <v>0</v>
      </c>
      <c r="O117" s="799">
        <f>N117*(1-IFERROR(IF(O$69+$F117&lt;=12,SUMIFS('Attrition Modeling'!$D:$D,'Attrition Modeling'!$C:$C,'IP Attrition'!$D117,'Attrition Modeling'!$B:$B,'IP Attrition'!O$68),VLOOKUP($F117+O$2,$A$6:$C$106,2,FALSE)*VLOOKUP(O$1,'Attrition Modeling'!$L$15:$N$27,IF(O$2+$F50&lt;=24,2,3),FALSE)),$C$3)*(1+Projection!Q$16)*(1+IF(O182&gt;0,'Attrition Modeling'!$N$9,0)))</f>
        <v>0</v>
      </c>
      <c r="P117" s="799">
        <f>O117*(1-IFERROR(IF(P$69+$F117&lt;=12,SUMIFS('Attrition Modeling'!$D:$D,'Attrition Modeling'!$C:$C,'IP Attrition'!$D117,'Attrition Modeling'!$B:$B,'IP Attrition'!P$68),VLOOKUP($F117+P$2,$A$6:$C$106,2,FALSE)*VLOOKUP(P$1,'Attrition Modeling'!$L$15:$N$27,IF(P$2+$F50&lt;=24,2,3),FALSE)),$C$3)*(1+Projection!R$16)*(1+IF(P182&gt;0,'Attrition Modeling'!$N$9,0)))</f>
        <v>0</v>
      </c>
      <c r="Q117" s="799">
        <f>P117*(1-IFERROR(IF(Q$69+$F117&lt;=12,SUMIFS('Attrition Modeling'!$D:$D,'Attrition Modeling'!$C:$C,'IP Attrition'!$D117,'Attrition Modeling'!$B:$B,'IP Attrition'!Q$68),VLOOKUP($F117+Q$2,$A$6:$C$106,2,FALSE)*VLOOKUP(Q$1,'Attrition Modeling'!$L$15:$N$27,IF(Q$2+$F50&lt;=24,2,3),FALSE)),$C$3)*(1+Projection!S$16)*(1+IF(Q182&gt;0,'Attrition Modeling'!$N$9,0)))</f>
        <v>0</v>
      </c>
      <c r="R117" s="799">
        <f>Q117*(1-IFERROR(IF(R$69+$F117&lt;=12,SUMIFS('Attrition Modeling'!$D:$D,'Attrition Modeling'!$C:$C,'IP Attrition'!$D117,'Attrition Modeling'!$B:$B,'IP Attrition'!R$68),VLOOKUP($F117+R$2,$A$6:$C$106,2,FALSE)*VLOOKUP(R$1,'Attrition Modeling'!$L$15:$N$27,IF(R$2+$F50&lt;=24,2,3),FALSE)),$C$3)*(1+Projection!T$16)*(1+IF(R182&gt;0,'Attrition Modeling'!$N$9,0)))</f>
        <v>0</v>
      </c>
      <c r="S117" s="799">
        <f>R117*(1-IFERROR(IF(S$69+$F117&lt;=12,SUMIFS('Attrition Modeling'!$D:$D,'Attrition Modeling'!$C:$C,'IP Attrition'!$D117,'Attrition Modeling'!$B:$B,'IP Attrition'!S$68),VLOOKUP($F117+S$2,$A$6:$C$106,2,FALSE)*VLOOKUP(S$1,'Attrition Modeling'!$L$15:$N$27,IF(S$2+$F50&lt;=24,2,3),FALSE)),$C$3)*(1+Projection!U$16)*(1+IF(S182&gt;0,'Attrition Modeling'!$N$9,0)))</f>
        <v>0</v>
      </c>
      <c r="T117" s="799">
        <f>S117*(1-IFERROR(IF(T$69+$F117&lt;=12,SUMIFS('Attrition Modeling'!$D:$D,'Attrition Modeling'!$C:$C,'IP Attrition'!$D117,'Attrition Modeling'!$B:$B,'IP Attrition'!T$68),VLOOKUP($F117+T$2,$A$6:$C$106,2,FALSE)*VLOOKUP(T$1,'Attrition Modeling'!$L$15:$N$27,IF(T$2+$F50&lt;=24,2,3),FALSE)),$C$3)*(1+Projection!V$16)*(1+IF(T182&gt;0,'Attrition Modeling'!$N$9,0)))</f>
        <v>0</v>
      </c>
      <c r="U117" s="799">
        <f>T117*(1-IFERROR(IF(U$69+$F117&lt;=12,SUMIFS('Attrition Modeling'!$D:$D,'Attrition Modeling'!$C:$C,'IP Attrition'!$D117,'Attrition Modeling'!$B:$B,'IP Attrition'!U$68),VLOOKUP($F117+U$2,$A$6:$C$106,2,FALSE)*VLOOKUP(U$1,'Attrition Modeling'!$L$15:$N$27,IF(U$2+$F50&lt;=24,2,3),FALSE)),$C$3)*(1+Projection!W$16)*(1+IF(U182&gt;0,'Attrition Modeling'!$N$9,0)))</f>
        <v>0</v>
      </c>
      <c r="V117" s="799">
        <f>U117*(1-IFERROR(IF(V$69+$F117&lt;=12,SUMIFS('Attrition Modeling'!$D:$D,'Attrition Modeling'!$C:$C,'IP Attrition'!$D117,'Attrition Modeling'!$B:$B,'IP Attrition'!V$68),VLOOKUP($F117+V$2,$A$6:$C$106,2,FALSE)*VLOOKUP(V$1,'Attrition Modeling'!$L$15:$N$27,IF(V$2+$F50&lt;=24,2,3),FALSE)),$C$3)*(1+Projection!X$16)*(1+IF(V182&gt;0,'Attrition Modeling'!$N$9,0)))</f>
        <v>0</v>
      </c>
      <c r="W117" s="799">
        <f>V117*(1-IFERROR(IF(W$69+$F117&lt;=12,SUMIFS('Attrition Modeling'!$D:$D,'Attrition Modeling'!$C:$C,'IP Attrition'!$D117,'Attrition Modeling'!$B:$B,'IP Attrition'!W$68),VLOOKUP($F117+W$2,$A$6:$C$106,2,FALSE)*VLOOKUP(W$1,'Attrition Modeling'!$L$15:$N$27,IF(W$2+$F50&lt;=24,2,3),FALSE)),$C$3)*(1+Projection!Y$16)*(1+IF(W182&gt;0,'Attrition Modeling'!$N$9,0)))</f>
        <v>0</v>
      </c>
      <c r="X117" s="799">
        <f>W117*(1-IFERROR(IF(X$69+$F117&lt;=12,SUMIFS('Attrition Modeling'!$D:$D,'Attrition Modeling'!$C:$C,'IP Attrition'!$D117,'Attrition Modeling'!$B:$B,'IP Attrition'!X$68),VLOOKUP($F117+X$2,$A$6:$C$106,2,FALSE)*VLOOKUP(X$1,'Attrition Modeling'!$L$15:$N$27,IF(X$2+$F50&lt;=24,2,3),FALSE)),$C$3)*(1+Projection!Z$16)*(1+IF(X182&gt;0,'Attrition Modeling'!$N$9,0)))</f>
        <v>0</v>
      </c>
      <c r="Y117" s="799">
        <f>X117*(1-IFERROR(IF(Y$69+$F117&lt;=12,SUMIFS('Attrition Modeling'!$D:$D,'Attrition Modeling'!$C:$C,'IP Attrition'!$D117,'Attrition Modeling'!$B:$B,'IP Attrition'!Y$68),VLOOKUP($F117+Y$2,$A$6:$C$106,2,FALSE)*VLOOKUP(Y$1,'Attrition Modeling'!$L$15:$N$27,IF(Y$2+$F50&lt;=24,2,3),FALSE)),$C$3)*(1+Projection!AA$16)*(1+IF(Y182&gt;0,'Attrition Modeling'!$N$9,0)))</f>
        <v>0</v>
      </c>
      <c r="Z117" s="799">
        <f>Y117*(1-IFERROR(IF(Z$69+$F117&lt;=12,SUMIFS('Attrition Modeling'!$D:$D,'Attrition Modeling'!$C:$C,'IP Attrition'!$D117,'Attrition Modeling'!$B:$B,'IP Attrition'!Z$68),VLOOKUP($F117+Z$2,$A$6:$C$106,2,FALSE)*VLOOKUP(Z$1,'Attrition Modeling'!$L$15:$N$27,IF(Z$2+$F50&lt;=24,2,3),FALSE)),$C$3)*(1+Projection!AB$16)*(1+IF(Z182&gt;0,'Attrition Modeling'!$N$9,0)))</f>
        <v>0</v>
      </c>
      <c r="AA117" s="799">
        <f>Z117*(1-IFERROR(IF(AA$69+$F117&lt;=12,SUMIFS('Attrition Modeling'!$D:$D,'Attrition Modeling'!$C:$C,'IP Attrition'!$D117,'Attrition Modeling'!$B:$B,'IP Attrition'!AA$68),VLOOKUP($F117+AA$2,$A$6:$C$106,2,FALSE)*VLOOKUP(AA$1,'Attrition Modeling'!$L$15:$N$27,IF(AA$2+$F50&lt;=24,2,3),FALSE)),$C$3)*(1+Projection!AC$16)*(1+IF(AA182&gt;0,'Attrition Modeling'!$N$9,0)))</f>
        <v>0</v>
      </c>
      <c r="AB117" s="799">
        <f>AA117*(1-IFERROR(IF(AB$69+$F117&lt;=12,SUMIFS('Attrition Modeling'!$D:$D,'Attrition Modeling'!$C:$C,'IP Attrition'!$D117,'Attrition Modeling'!$B:$B,'IP Attrition'!AB$68),VLOOKUP($F117+AB$2,$A$6:$C$106,2,FALSE)*VLOOKUP(AB$1,'Attrition Modeling'!$L$15:$N$27,IF(AB$2+$F50&lt;=24,2,3),FALSE)),$C$3)*(1+Projection!AD$16)*(1+IF(AB182&gt;0,'Attrition Modeling'!$N$9,0)))</f>
        <v>0</v>
      </c>
      <c r="AC117" s="799">
        <f>AB117*(1-IFERROR(IF(AC$69+$F117&lt;=12,SUMIFS('Attrition Modeling'!$D:$D,'Attrition Modeling'!$C:$C,'IP Attrition'!$D117,'Attrition Modeling'!$B:$B,'IP Attrition'!AC$68),VLOOKUP($F117+AC$2,$A$6:$C$106,2,FALSE)*VLOOKUP(AC$1,'Attrition Modeling'!$L$15:$N$27,IF(AC$2+$F50&lt;=24,2,3),FALSE)),$C$3)*(1+Projection!AE$16)*(1+IF(AC182&gt;0,'Attrition Modeling'!$N$9,0)))</f>
        <v>0</v>
      </c>
      <c r="AD117" s="799">
        <f>AC117*(1-IFERROR(IF(AD$69+$F117&lt;=12,SUMIFS('Attrition Modeling'!$D:$D,'Attrition Modeling'!$C:$C,'IP Attrition'!$D117,'Attrition Modeling'!$B:$B,'IP Attrition'!AD$68),VLOOKUP($F117+AD$2,$A$6:$C$106,2,FALSE)*VLOOKUP(AD$1,'Attrition Modeling'!$L$15:$N$27,IF(AD$2+$F50&lt;=24,2,3),FALSE)),$C$3)*(1+Projection!AF$16)*(1+IF(AD182&gt;0,'Attrition Modeling'!$N$9,0)))</f>
        <v>0</v>
      </c>
      <c r="AE117" s="799">
        <f>AD117*(1-IFERROR(IF(AE$69+$F117&lt;=12,SUMIFS('Attrition Modeling'!$D:$D,'Attrition Modeling'!$C:$C,'IP Attrition'!$D117,'Attrition Modeling'!$B:$B,'IP Attrition'!AE$68),VLOOKUP($F117+AE$2,$A$6:$C$106,2,FALSE)*VLOOKUP(AE$1,'Attrition Modeling'!$L$15:$N$27,IF(AE$2+$F50&lt;=24,2,3),FALSE)),$C$3)*(1+Projection!AG$16)*(1+IF(AE182&gt;0,'Attrition Modeling'!$N$9,0)))</f>
        <v>0</v>
      </c>
      <c r="AF117" s="799">
        <f>AE117*(1-IFERROR(IF(AF$69+$F117&lt;=12,SUMIFS('Attrition Modeling'!$D:$D,'Attrition Modeling'!$C:$C,'IP Attrition'!$D117,'Attrition Modeling'!$B:$B,'IP Attrition'!AF$68),VLOOKUP($F117+AF$2,$A$6:$C$106,2,FALSE)*VLOOKUP(AF$1,'Attrition Modeling'!$L$15:$N$27,IF(AF$2+$F50&lt;=24,2,3),FALSE)),$C$3)*(1+Projection!AH$16)*(1+IF(AF182&gt;0,'Attrition Modeling'!$N$9,0)))</f>
        <v>0</v>
      </c>
      <c r="AG117" s="799">
        <f>AF117*(1-IFERROR(IF(AG$69+$F117&lt;=12,SUMIFS('Attrition Modeling'!$D:$D,'Attrition Modeling'!$C:$C,'IP Attrition'!$D117,'Attrition Modeling'!$B:$B,'IP Attrition'!AG$68),VLOOKUP($F117+AG$2,$A$6:$C$106,2,FALSE)*VLOOKUP(AG$1,'Attrition Modeling'!$L$15:$N$27,IF(AG$2+$F50&lt;=24,2,3),FALSE)),$C$3)*(1+Projection!AI$16)*(1+IF(AG182&gt;0,'Attrition Modeling'!$N$9,0)))</f>
        <v>0</v>
      </c>
      <c r="AH117" s="799">
        <f>AG117*(1-IFERROR(IF(AH$69+$F117&lt;=12,SUMIFS('Attrition Modeling'!$D:$D,'Attrition Modeling'!$C:$C,'IP Attrition'!$D117,'Attrition Modeling'!$B:$B,'IP Attrition'!AH$68),VLOOKUP($F117+AH$2,$A$6:$C$106,2,FALSE)*VLOOKUP(AH$1,'Attrition Modeling'!$L$15:$N$27,IF(AH$2+$F50&lt;=24,2,3),FALSE)),$C$3)*(1+Projection!AJ$16)*(1+IF(AH182&gt;0,'Attrition Modeling'!$N$9,0)))</f>
        <v>0</v>
      </c>
      <c r="AI117" s="799">
        <f>AH117*(1-IFERROR(IF(AI$69+$F117&lt;=12,SUMIFS('Attrition Modeling'!$D:$D,'Attrition Modeling'!$C:$C,'IP Attrition'!$D117,'Attrition Modeling'!$B:$B,'IP Attrition'!AI$68),VLOOKUP($F117+AI$2,$A$6:$C$106,2,FALSE)*VLOOKUP(AI$1,'Attrition Modeling'!$L$15:$N$27,IF(AI$2+$F50&lt;=24,2,3),FALSE)),$C$3)*(1+Projection!AK$16)*(1+IF(AI182&gt;0,'Attrition Modeling'!$N$9,0)))</f>
        <v>0</v>
      </c>
      <c r="AJ117" s="799">
        <f>AI117*(1-IFERROR(IF(AJ$69+$F117&lt;=12,SUMIFS('Attrition Modeling'!$D:$D,'Attrition Modeling'!$C:$C,'IP Attrition'!$D117,'Attrition Modeling'!$B:$B,'IP Attrition'!AJ$68),VLOOKUP($F117+AJ$2,$A$6:$C$106,2,FALSE)*VLOOKUP(AJ$1,'Attrition Modeling'!$L$15:$N$27,IF(AJ$2+$F50&lt;=24,2,3),FALSE)),$C$3)*(1+Projection!AL$16)*(1+IF(AJ182&gt;0,'Attrition Modeling'!$N$9,0)))</f>
        <v>0</v>
      </c>
      <c r="AK117" s="799">
        <f>AJ117*(1-IFERROR(IF(AK$69+$F117&lt;=12,SUMIFS('Attrition Modeling'!$D:$D,'Attrition Modeling'!$C:$C,'IP Attrition'!$D117,'Attrition Modeling'!$B:$B,'IP Attrition'!AK$68),VLOOKUP($F117+AK$2,$A$6:$C$106,2,FALSE)*VLOOKUP(AK$1,'Attrition Modeling'!$L$15:$N$27,IF(AK$2+$F50&lt;=24,2,3),FALSE)),$C$3)*(1+Projection!AM$16)*(1+IF(AK182&gt;0,'Attrition Modeling'!$N$9,0)))</f>
        <v>0</v>
      </c>
      <c r="AL117" s="799">
        <f>AK117*(1-IFERROR(IF(AL$69+$F117&lt;=12,SUMIFS('Attrition Modeling'!$D:$D,'Attrition Modeling'!$C:$C,'IP Attrition'!$D117,'Attrition Modeling'!$B:$B,'IP Attrition'!AL$68),VLOOKUP($F117+AL$2,$A$6:$C$106,2,FALSE)*VLOOKUP(AL$1,'Attrition Modeling'!$L$15:$N$27,IF(AL$2+$F50&lt;=24,2,3),FALSE)),$C$3)*(1+Projection!AN$16)*(1+IF(AL182&gt;0,'Attrition Modeling'!$N$9,0)))</f>
        <v>0</v>
      </c>
      <c r="AM117" s="799">
        <f>AL117*(1-IFERROR(IF(AM$69+$F117&lt;=12,SUMIFS('Attrition Modeling'!$D:$D,'Attrition Modeling'!$C:$C,'IP Attrition'!$D117,'Attrition Modeling'!$B:$B,'IP Attrition'!AM$68),VLOOKUP($F117+AM$2,$A$6:$C$106,2,FALSE)*VLOOKUP(AM$1,'Attrition Modeling'!$L$15:$N$27,IF(AM$2+$F50&lt;=24,2,3),FALSE)),$C$3)*(1+Projection!AO$16)*(1+IF(AM182&gt;0,'Attrition Modeling'!$N$9,0)))</f>
        <v>0</v>
      </c>
      <c r="AN117" s="799">
        <f>AM117*(1-IFERROR(IF(AN$69+$F117&lt;=12,SUMIFS('Attrition Modeling'!$D:$D,'Attrition Modeling'!$C:$C,'IP Attrition'!$D117,'Attrition Modeling'!$B:$B,'IP Attrition'!AN$68),VLOOKUP($F117+AN$2,$A$6:$C$106,2,FALSE)*VLOOKUP(AN$1,'Attrition Modeling'!$L$15:$N$27,IF(AN$2+$F50&lt;=24,2,3),FALSE)),$C$3)*(1+Projection!AP$16)*(1+IF(AN182&gt;0,'Attrition Modeling'!$N$9,0)))</f>
        <v>0</v>
      </c>
      <c r="AO117" s="799">
        <f>AN117*(1-IFERROR(IF(AO$69+$F117&lt;=12,SUMIFS('Attrition Modeling'!$D:$D,'Attrition Modeling'!$C:$C,'IP Attrition'!$D117,'Attrition Modeling'!$B:$B,'IP Attrition'!AO$68),VLOOKUP($F117+AO$2,$A$6:$C$106,2,FALSE)*VLOOKUP(AO$1,'Attrition Modeling'!$L$15:$N$27,IF(AO$2+$F50&lt;=24,2,3),FALSE)),$C$3)*(1+Projection!AQ$16)*(1+IF(AO182&gt;0,'Attrition Modeling'!$N$9,0)))</f>
        <v>0</v>
      </c>
      <c r="AP117" s="799">
        <f>AO117*(1-IFERROR(IF(AP$69+$F117&lt;=12,SUMIFS('Attrition Modeling'!$D:$D,'Attrition Modeling'!$C:$C,'IP Attrition'!$D117,'Attrition Modeling'!$B:$B,'IP Attrition'!AP$68),VLOOKUP($F117+AP$2,$A$6:$C$106,2,FALSE)*VLOOKUP(AP$1,'Attrition Modeling'!$L$15:$N$27,IF(AP$2+$F50&lt;=24,2,3),FALSE)),$C$3)*(1+Projection!AR$16)*(1+IF(AP182&gt;0,'Attrition Modeling'!$N$9,0)))</f>
        <v>0</v>
      </c>
      <c r="AQ117" s="799">
        <f>AP117*(1-IFERROR(IF(AQ$69+$F117&lt;=12,SUMIFS('Attrition Modeling'!$D:$D,'Attrition Modeling'!$C:$C,'IP Attrition'!$D117,'Attrition Modeling'!$B:$B,'IP Attrition'!AQ$68),VLOOKUP($F117+AQ$2,$A$6:$C$106,2,FALSE)*VLOOKUP(AQ$1,'Attrition Modeling'!$L$15:$N$27,IF(AQ$2+$F50&lt;=24,2,3),FALSE)),$C$3)*(1+Projection!AS$16)*(1+IF(AQ182&gt;0,'Attrition Modeling'!$N$9,0)))</f>
        <v>0</v>
      </c>
      <c r="AR117" s="799">
        <f>AQ117*(1-IFERROR(IF(AR$69+$F117&lt;=12,SUMIFS('Attrition Modeling'!$D:$D,'Attrition Modeling'!$C:$C,'IP Attrition'!$D117,'Attrition Modeling'!$B:$B,'IP Attrition'!AR$68),VLOOKUP($F117+AR$2,$A$6:$C$106,2,FALSE)*VLOOKUP(AR$1,'Attrition Modeling'!$L$15:$N$27,IF(AR$2+$F50&lt;=24,2,3),FALSE)),$C$3)*(1+Projection!AT$16)*(1+IF(AR182&gt;0,'Attrition Modeling'!$N$9,0)))</f>
        <v>0</v>
      </c>
      <c r="AS117" s="799">
        <f>AR117*(1-IFERROR(IF(AS$69+$F117&lt;=12,SUMIFS('Attrition Modeling'!$D:$D,'Attrition Modeling'!$C:$C,'IP Attrition'!$D117,'Attrition Modeling'!$B:$B,'IP Attrition'!AS$68),VLOOKUP($F117+AS$2,$A$6:$C$106,2,FALSE)*VLOOKUP(AS$1,'Attrition Modeling'!$L$15:$N$27,IF(AS$2+$F50&lt;=24,2,3),FALSE)),$C$3)*(1+Projection!AU$16)*(1+IF(AS182&gt;0,'Attrition Modeling'!$N$9,0)))</f>
        <v>0</v>
      </c>
      <c r="AT117" s="799">
        <f>AS117*(1-IFERROR(IF(AT$69+$F117&lt;=12,SUMIFS('Attrition Modeling'!$D:$D,'Attrition Modeling'!$C:$C,'IP Attrition'!$D117,'Attrition Modeling'!$B:$B,'IP Attrition'!AT$68),VLOOKUP($F117+AT$2,$A$6:$C$106,2,FALSE)*VLOOKUP(AT$1,'Attrition Modeling'!$L$15:$N$27,IF(AT$2+$F50&lt;=24,2,3),FALSE)),$C$3)*(1+Projection!AV$16)*(1+IF(AT182&gt;0,'Attrition Modeling'!$N$9,0)))</f>
        <v>0</v>
      </c>
      <c r="AU117" s="799">
        <f>AT117*(1-IFERROR(IF(AU$69+$F117&lt;=12,SUMIFS('Attrition Modeling'!$D:$D,'Attrition Modeling'!$C:$C,'IP Attrition'!$D117,'Attrition Modeling'!$B:$B,'IP Attrition'!AU$68),VLOOKUP($F117+AU$2,$A$6:$C$106,2,FALSE)*VLOOKUP(AU$1,'Attrition Modeling'!$L$15:$N$27,IF(AU$2+$F50&lt;=24,2,3),FALSE)),$C$3)*(1+Projection!AW$16)*(1+IF(AU182&gt;0,'Attrition Modeling'!$N$9,0)))</f>
        <v>0</v>
      </c>
      <c r="AV117" s="799">
        <f>AU117*(1-IFERROR(IF(AV$69+$F117&lt;=12,SUMIFS('Attrition Modeling'!$D:$D,'Attrition Modeling'!$C:$C,'IP Attrition'!$D117,'Attrition Modeling'!$B:$B,'IP Attrition'!AV$68),VLOOKUP($F117+AV$2,$A$6:$C$106,2,FALSE)*VLOOKUP(AV$1,'Attrition Modeling'!$L$15:$N$27,IF(AV$2+$F50&lt;=24,2,3),FALSE)),$C$3)*(1+Projection!AX$16)*(1+IF(AV182&gt;0,'Attrition Modeling'!$N$9,0)))</f>
        <v>0</v>
      </c>
      <c r="AW117" s="799">
        <f>AV117*(1-IFERROR(IF(AW$69+$F117&lt;=12,SUMIFS('Attrition Modeling'!$D:$D,'Attrition Modeling'!$C:$C,'IP Attrition'!$D117,'Attrition Modeling'!$B:$B,'IP Attrition'!AW$68),VLOOKUP($F117+AW$2,$A$6:$C$106,2,FALSE)*VLOOKUP(AW$1,'Attrition Modeling'!$L$15:$N$27,IF(AW$2+$F50&lt;=24,2,3),FALSE)),$C$3)*(1+Projection!AY$16)*(1+IF(AW182&gt;0,'Attrition Modeling'!$N$9,0)))</f>
        <v>0</v>
      </c>
      <c r="AX117" s="799">
        <f>AW117*(1-IFERROR(IF(AX$69+$F117&lt;=12,SUMIFS('Attrition Modeling'!$D:$D,'Attrition Modeling'!$C:$C,'IP Attrition'!$D117,'Attrition Modeling'!$B:$B,'IP Attrition'!AX$68),VLOOKUP($F117+AX$2,$A$6:$C$106,2,FALSE)*VLOOKUP(AX$1,'Attrition Modeling'!$L$15:$N$27,IF(AX$2+$F50&lt;=24,2,3),FALSE)),$C$3)*(1+Projection!AZ$16)*(1+IF(AX182&gt;0,'Attrition Modeling'!$N$9,0)))</f>
        <v>0</v>
      </c>
      <c r="AY117" s="799">
        <f>AX117*(1-IFERROR(IF(AY$69+$F117&lt;=12,SUMIFS('Attrition Modeling'!$D:$D,'Attrition Modeling'!$C:$C,'IP Attrition'!$D117,'Attrition Modeling'!$B:$B,'IP Attrition'!AY$68),VLOOKUP($F117+AY$2,$A$6:$C$106,2,FALSE)*VLOOKUP(AY$1,'Attrition Modeling'!$L$15:$N$27,IF(AY$2+$F50&lt;=24,2,3),FALSE)),$C$3)*(1+Projection!BA$16)*(1+IF(AY182&gt;0,'Attrition Modeling'!$N$9,0)))</f>
        <v>0</v>
      </c>
      <c r="AZ117" s="799">
        <f>AY117*(1-IFERROR(IF(AZ$69+$F117&lt;=12,SUMIFS('Attrition Modeling'!$D:$D,'Attrition Modeling'!$C:$C,'IP Attrition'!$D117,'Attrition Modeling'!$B:$B,'IP Attrition'!AZ$68),VLOOKUP($F117+AZ$2,$A$6:$C$106,2,FALSE)*VLOOKUP(AZ$1,'Attrition Modeling'!$L$15:$N$27,IF(AZ$2+$F50&lt;=24,2,3),FALSE)),$C$3)*(1+Projection!BB$16)*(1+IF(AZ182&gt;0,'Attrition Modeling'!$N$9,0)))</f>
        <v>0</v>
      </c>
      <c r="BA117" s="799">
        <f>AZ117*(1-IFERROR(IF(BA$69+$F117&lt;=12,SUMIFS('Attrition Modeling'!$D:$D,'Attrition Modeling'!$C:$C,'IP Attrition'!$D117,'Attrition Modeling'!$B:$B,'IP Attrition'!BA$68),VLOOKUP($F117+BA$2,$A$6:$C$106,2,FALSE)*VLOOKUP(BA$1,'Attrition Modeling'!$L$15:$N$27,IF(BA$2+$F50&lt;=24,2,3),FALSE)),$C$3)*(1+Projection!BC$16)*(1+IF(BA182&gt;0,'Attrition Modeling'!$N$9,0)))</f>
        <v>0</v>
      </c>
      <c r="BB117" s="799">
        <f>BA117*(1-IFERROR(IF(BB$69+$F117&lt;=12,SUMIFS('Attrition Modeling'!$D:$D,'Attrition Modeling'!$C:$C,'IP Attrition'!$D117,'Attrition Modeling'!$B:$B,'IP Attrition'!BB$68),VLOOKUP($F117+BB$2,$A$6:$C$106,2,FALSE)*VLOOKUP(BB$1,'Attrition Modeling'!$L$15:$N$27,IF(BB$2+$F50&lt;=24,2,3),FALSE)),$C$3)*(1+Projection!BD$16)*(1+IF(BB182&gt;0,'Attrition Modeling'!$N$9,0)))</f>
        <v>0</v>
      </c>
      <c r="BC117" s="799">
        <f>BB117*(1-IFERROR(IF(BC$69+$F117&lt;=12,SUMIFS('Attrition Modeling'!$D:$D,'Attrition Modeling'!$C:$C,'IP Attrition'!$D117,'Attrition Modeling'!$B:$B,'IP Attrition'!BC$68),VLOOKUP($F117+BC$2,$A$6:$C$106,2,FALSE)*VLOOKUP(BC$1,'Attrition Modeling'!$L$15:$N$27,IF(BC$2+$F50&lt;=24,2,3),FALSE)),$C$3)*(1+Projection!BE$16)*(1+IF(BC182&gt;0,'Attrition Modeling'!$N$9,0)))</f>
        <v>0</v>
      </c>
      <c r="BD117" s="799">
        <f>BC117*(1-IFERROR(IF(BD$69+$F117&lt;=12,SUMIFS('Attrition Modeling'!$D:$D,'Attrition Modeling'!$C:$C,'IP Attrition'!$D117,'Attrition Modeling'!$B:$B,'IP Attrition'!BD$68),VLOOKUP($F117+BD$2,$A$6:$C$106,2,FALSE)*VLOOKUP(BD$1,'Attrition Modeling'!$L$15:$N$27,IF(BD$2+$F50&lt;=24,2,3),FALSE)),$C$3)*(1+Projection!BF$16)*(1+IF(BD182&gt;0,'Attrition Modeling'!$N$9,0)))</f>
        <v>0</v>
      </c>
      <c r="BE117" s="799">
        <f>BD117*(1-IFERROR(IF(BE$69+$F117&lt;=12,SUMIFS('Attrition Modeling'!$D:$D,'Attrition Modeling'!$C:$C,'IP Attrition'!$D117,'Attrition Modeling'!$B:$B,'IP Attrition'!BE$68),VLOOKUP($F117+BE$2,$A$6:$C$106,2,FALSE)*VLOOKUP(BE$1,'Attrition Modeling'!$L$15:$N$27,IF(BE$2+$F50&lt;=24,2,3),FALSE)),$C$3)*(1+Projection!BG$16)*(1+IF(BE182&gt;0,'Attrition Modeling'!$N$9,0)))</f>
        <v>0</v>
      </c>
      <c r="BF117" s="799">
        <f>BE117*(1-IFERROR(IF(BF$69+$F117&lt;=12,SUMIFS('Attrition Modeling'!$D:$D,'Attrition Modeling'!$C:$C,'IP Attrition'!$D117,'Attrition Modeling'!$B:$B,'IP Attrition'!BF$68),VLOOKUP($F117+BF$2,$A$6:$C$106,2,FALSE)*VLOOKUP(BF$1,'Attrition Modeling'!$L$15:$N$27,IF(BF$2+$F50&lt;=24,2,3),FALSE)),$C$3)*(1+Projection!BH$16)*(1+IF(BF182&gt;0,'Attrition Modeling'!$N$9,0)))</f>
        <v>0</v>
      </c>
      <c r="BG117" s="799">
        <f>BF117*(1-IFERROR(IF(BG$69+$F117&lt;=12,SUMIFS('Attrition Modeling'!$D:$D,'Attrition Modeling'!$C:$C,'IP Attrition'!$D117,'Attrition Modeling'!$B:$B,'IP Attrition'!BG$68),VLOOKUP($F117+BG$2,$A$6:$C$106,2,FALSE)*VLOOKUP(BG$1,'Attrition Modeling'!$L$15:$N$27,IF(BG$2+$F50&lt;=24,2,3),FALSE)),$C$3)*(1+Projection!BI$16)*(1+IF(BG182&gt;0,'Attrition Modeling'!$N$9,0)))</f>
        <v>0</v>
      </c>
      <c r="BH117" s="799">
        <f>BG117*(1-IFERROR(IF(BH$69+$F117&lt;=12,SUMIFS('Attrition Modeling'!$D:$D,'Attrition Modeling'!$C:$C,'IP Attrition'!$D117,'Attrition Modeling'!$B:$B,'IP Attrition'!BH$68),VLOOKUP($F117+BH$2,$A$6:$C$106,2,FALSE)*VLOOKUP(BH$1,'Attrition Modeling'!$L$15:$N$27,IF(BH$2+$F50&lt;=24,2,3),FALSE)),$C$3)*(1+Projection!BJ$16)*(1+IF(BH182&gt;0,'Attrition Modeling'!$N$9,0)))</f>
        <v>0</v>
      </c>
      <c r="BI117" s="799">
        <f>BH117*(1-IFERROR(IF(BI$69+$F117&lt;=12,SUMIFS('Attrition Modeling'!$D:$D,'Attrition Modeling'!$C:$C,'IP Attrition'!$D117,'Attrition Modeling'!$B:$B,'IP Attrition'!BI$68),VLOOKUP($F117+BI$2,$A$6:$C$106,2,FALSE)*VLOOKUP(BI$1,'Attrition Modeling'!$L$15:$N$27,IF(BI$2+$F50&lt;=24,2,3),FALSE)),$C$3)*(1+Projection!BK$16)*(1+IF(BI182&gt;0,'Attrition Modeling'!$N$9,0)))</f>
        <v>0</v>
      </c>
      <c r="BJ117" s="799">
        <f>BI117*(1-IFERROR(IF(BJ$69+$F117&lt;=12,SUMIFS('Attrition Modeling'!$D:$D,'Attrition Modeling'!$C:$C,'IP Attrition'!$D117,'Attrition Modeling'!$B:$B,'IP Attrition'!BJ$68),VLOOKUP($F117+BJ$2,$A$6:$C$106,2,FALSE)*VLOOKUP(BJ$1,'Attrition Modeling'!$L$15:$N$27,IF(BJ$2+$F50&lt;=24,2,3),FALSE)),$C$3)*(1+Projection!BL$16)*(1+IF(BJ182&gt;0,'Attrition Modeling'!$N$9,0)))</f>
        <v>0</v>
      </c>
      <c r="BK117" s="799">
        <f>BJ117*(1-IFERROR(IF(BK$69+$F117&lt;=12,SUMIFS('Attrition Modeling'!$D:$D,'Attrition Modeling'!$C:$C,'IP Attrition'!$D117,'Attrition Modeling'!$B:$B,'IP Attrition'!BK$68),VLOOKUP($F117+BK$2,$A$6:$C$106,2,FALSE)*VLOOKUP(BK$1,'Attrition Modeling'!$L$15:$N$27,IF(BK$2+$F50&lt;=24,2,3),FALSE)),$C$3)*(1+Projection!BM$16)*(1+IF(BK182&gt;0,'Attrition Modeling'!$N$9,0)))</f>
        <v>0</v>
      </c>
      <c r="BL117" s="799">
        <f>BK117*(1-IFERROR(IF(BL$69+$F117&lt;=12,SUMIFS('Attrition Modeling'!$D:$D,'Attrition Modeling'!$C:$C,'IP Attrition'!$D117,'Attrition Modeling'!$B:$B,'IP Attrition'!BL$68),VLOOKUP($F117+BL$2,$A$6:$C$106,2,FALSE)*VLOOKUP(BL$1,'Attrition Modeling'!$L$15:$N$27,IF(BL$2+$F50&lt;=24,2,3),FALSE)),$C$3)*(1+Projection!BN$16)*(1+IF(BL182&gt;0,'Attrition Modeling'!$N$9,0)))</f>
        <v>0</v>
      </c>
      <c r="BM117" s="799">
        <f>BL117*(1-IFERROR(IF(BM$69+$F117&lt;=12,SUMIFS('Attrition Modeling'!$D:$D,'Attrition Modeling'!$C:$C,'IP Attrition'!$D117,'Attrition Modeling'!$B:$B,'IP Attrition'!BM$68),VLOOKUP($F117+BM$2,$A$6:$C$106,2,FALSE)*VLOOKUP(BM$1,'Attrition Modeling'!$L$15:$N$27,IF(BM$2+$F50&lt;=24,2,3),FALSE)),$C$3)*(1+Projection!BO$16)*(1+IF(BM182&gt;0,'Attrition Modeling'!$N$9,0)))</f>
        <v>0</v>
      </c>
      <c r="BN117" s="799">
        <f>BM117*(1-IFERROR(IF(BN$69+$F117&lt;=12,SUMIFS('Attrition Modeling'!$D:$D,'Attrition Modeling'!$C:$C,'IP Attrition'!$D117,'Attrition Modeling'!$B:$B,'IP Attrition'!BN$68),VLOOKUP($F117+BN$2,$A$6:$C$106,2,FALSE)*VLOOKUP(BN$1,'Attrition Modeling'!$L$15:$N$27,IF(BN$2+$F50&lt;=24,2,3),FALSE)),$C$3)*(1+Projection!BP$16)*(1+IF(BN182&gt;0,'Attrition Modeling'!$N$9,0)))</f>
        <v>0</v>
      </c>
      <c r="BO117" s="799">
        <f>BN117*(1-IFERROR(IF(BO$69+$F117&lt;=12,SUMIFS('Attrition Modeling'!$D:$D,'Attrition Modeling'!$C:$C,'IP Attrition'!$D117,'Attrition Modeling'!$B:$B,'IP Attrition'!BO$68),VLOOKUP($F117+BO$2,$A$6:$C$106,2,FALSE)*VLOOKUP(BO$1,'Attrition Modeling'!$L$15:$N$27,IF(BO$2+$F50&lt;=24,2,3),FALSE)),$C$3)*(1+Projection!BV$16)*(1+IF(BO182&gt;0,'Attrition Modeling'!$N$9,0)))</f>
        <v>0</v>
      </c>
      <c r="BP117" s="799">
        <f>BO117*(1-IFERROR(IF(BP$69+$F117&lt;=12,SUMIFS('Attrition Modeling'!$D:$D,'Attrition Modeling'!$C:$C,'IP Attrition'!$D117,'Attrition Modeling'!$B:$B,'IP Attrition'!BP$68),VLOOKUP($F117+BP$2,$A$6:$C$106,2,FALSE)*VLOOKUP(BP$1,'Attrition Modeling'!$L$15:$N$27,IF(BP$2+$F50&lt;=24,2,3),FALSE)),$C$3)*(1+Projection!BW$16)*(1+IF(BP182&gt;0,'Attrition Modeling'!$N$9,0)))</f>
        <v>0</v>
      </c>
      <c r="BQ117" s="799">
        <f>BP117*(1-IFERROR(IF(BQ$69+$F117&lt;=12,SUMIFS('Attrition Modeling'!$D:$D,'Attrition Modeling'!$C:$C,'IP Attrition'!$D117,'Attrition Modeling'!$B:$B,'IP Attrition'!BQ$68),VLOOKUP($F117+BQ$2,$A$6:$C$106,2,FALSE)*VLOOKUP(BQ$1,'Attrition Modeling'!$L$15:$N$27,IF(BQ$2+$F50&lt;=24,2,3),FALSE)),$C$3)*(1+Projection!BX$16)*(1+IF(BQ182&gt;0,'Attrition Modeling'!$N$9,0)))</f>
        <v>0</v>
      </c>
      <c r="BR117" s="799">
        <f>BQ117*(1-IFERROR(IF(BR$69+$F117&lt;=12,SUMIFS('Attrition Modeling'!$D:$D,'Attrition Modeling'!$C:$C,'IP Attrition'!$D117,'Attrition Modeling'!$B:$B,'IP Attrition'!BR$68),VLOOKUP($F117+BR$2,$A$6:$C$106,2,FALSE)*VLOOKUP(BR$1,'Attrition Modeling'!$L$15:$N$27,IF(BR$2+$F50&lt;=24,2,3),FALSE)),$C$3)*(1+Projection!BY$16)*(1+IF(BR182&gt;0,'Attrition Modeling'!$N$9,0)))</f>
        <v>0</v>
      </c>
      <c r="BS117" s="799">
        <f>BR117*(1-IFERROR(IF(BS$69+$F117&lt;=12,SUMIFS('Attrition Modeling'!$D:$D,'Attrition Modeling'!$C:$C,'IP Attrition'!$D117,'Attrition Modeling'!$B:$B,'IP Attrition'!BS$68),VLOOKUP($F117+BS$2,$A$6:$C$106,2,FALSE)*VLOOKUP(BS$1,'Attrition Modeling'!$L$15:$N$27,IF(BS$2+$F50&lt;=24,2,3),FALSE)),$C$3)*(1+Projection!BZ$16)*(1+IF(BS182&gt;0,'Attrition Modeling'!$N$9,0)))</f>
        <v>0</v>
      </c>
      <c r="BT117" s="799" t="e">
        <f>BS117*(1-IFERROR(IF(BT$69+$F117&lt;=12,SUMIFS('Attrition Modeling'!$D:$D,'Attrition Modeling'!$C:$C,'IP Attrition'!$D117,'Attrition Modeling'!$B:$B,'IP Attrition'!BT$68),VLOOKUP($F117+BT$2,$A$6:$C$106,2,FALSE)*VLOOKUP(BT$1,'Attrition Modeling'!$L$15:$N$27,IF(BT$2+$F50&lt;=24,2,3),FALSE)),$C$3)*(1+Projection!CA$16)*(1+IF(BT182&gt;0,'Attrition Modeling'!$N$9,0)))</f>
        <v>#REF!</v>
      </c>
      <c r="BU117" s="799" t="e">
        <f>BT117*(1-IFERROR(IF(BU$69+$F117&lt;=12,SUMIFS('Attrition Modeling'!$D:$D,'Attrition Modeling'!$C:$C,'IP Attrition'!$D117,'Attrition Modeling'!$B:$B,'IP Attrition'!BU$68),VLOOKUP($F117+BU$2,$A$6:$C$106,2,FALSE)*VLOOKUP(BU$1,'Attrition Modeling'!$L$15:$N$27,IF(BU$2+$F50&lt;=24,2,3),FALSE)),$C$3)*(1+Projection!CB$16)*(1+IF(BU182&gt;0,'Attrition Modeling'!$N$9,0)))</f>
        <v>#REF!</v>
      </c>
    </row>
    <row r="118" spans="1:73" ht="14.25" customHeight="1" x14ac:dyDescent="0.2">
      <c r="A118" s="9">
        <v>111</v>
      </c>
      <c r="B118" s="25">
        <f>MAX('Attrition Modeling'!H115,$C$3)*(1-Summary!$C$20)</f>
        <v>0.02</v>
      </c>
      <c r="C118" s="24" t="e">
        <f t="shared" si="3"/>
        <v>#DIV/0!</v>
      </c>
      <c r="D118" s="11">
        <f t="shared" ref="D118:E118" si="56">D51</f>
        <v>-48</v>
      </c>
      <c r="E118" s="25">
        <f t="shared" si="56"/>
        <v>0</v>
      </c>
      <c r="F118" s="11">
        <f t="shared" si="9"/>
        <v>48</v>
      </c>
      <c r="G118" s="799">
        <f>Summary!$C$24*$E118</f>
        <v>0</v>
      </c>
      <c r="H118" s="799">
        <f>G118*(1-IFERROR(IF(H$69+$F118&lt;=12,SUMIFS('Attrition Modeling'!$D:$D,'Attrition Modeling'!$C:$C,'IP Attrition'!$D118,'Attrition Modeling'!$B:$B,'IP Attrition'!H$68),VLOOKUP($F118+H$2,$A$6:$C$106,2,FALSE)*VLOOKUP(H$1,'Attrition Modeling'!$L$15:$N$27,IF(H$2+$F51&lt;=24,2,3),FALSE)),$C$3)*(1+Projection!J$16)*(1+IF(H183&gt;0,'Attrition Modeling'!$N$9,0)))</f>
        <v>0</v>
      </c>
      <c r="I118" s="799">
        <f>H118*(1-IFERROR(IF(I$69+$F118&lt;=12,SUMIFS('Attrition Modeling'!$D:$D,'Attrition Modeling'!$C:$C,'IP Attrition'!$D118,'Attrition Modeling'!$B:$B,'IP Attrition'!I$68),VLOOKUP($F118+I$2,$A$6:$C$106,2,FALSE)*VLOOKUP(I$1,'Attrition Modeling'!$L$15:$N$27,IF(I$2+$F51&lt;=24,2,3),FALSE)),$C$3)*(1+Projection!K$16)*(1+IF(I183&gt;0,'Attrition Modeling'!$N$9,0)))</f>
        <v>0</v>
      </c>
      <c r="J118" s="799">
        <f>I118*(1-IFERROR(IF(J$69+$F118&lt;=12,SUMIFS('Attrition Modeling'!$D:$D,'Attrition Modeling'!$C:$C,'IP Attrition'!$D118,'Attrition Modeling'!$B:$B,'IP Attrition'!J$68),VLOOKUP($F118+J$2,$A$6:$C$106,2,FALSE)*VLOOKUP(J$1,'Attrition Modeling'!$L$15:$N$27,IF(J$2+$F51&lt;=24,2,3),FALSE)),$C$3)*(1+Projection!L$16)*(1+IF(J183&gt;0,'Attrition Modeling'!$N$9,0)))</f>
        <v>0</v>
      </c>
      <c r="K118" s="799">
        <f>J118*(1-IFERROR(IF(K$69+$F118&lt;=12,SUMIFS('Attrition Modeling'!$D:$D,'Attrition Modeling'!$C:$C,'IP Attrition'!$D118,'Attrition Modeling'!$B:$B,'IP Attrition'!K$68),VLOOKUP($F118+K$2,$A$6:$C$106,2,FALSE)*VLOOKUP(K$1,'Attrition Modeling'!$L$15:$N$27,IF(K$2+$F51&lt;=24,2,3),FALSE)),$C$3)*(1+Projection!M$16)*(1+IF(K183&gt;0,'Attrition Modeling'!$N$9,0)))</f>
        <v>0</v>
      </c>
      <c r="L118" s="799">
        <f>K118*(1-IFERROR(IF(L$69+$F118&lt;=12,SUMIFS('Attrition Modeling'!$D:$D,'Attrition Modeling'!$C:$C,'IP Attrition'!$D118,'Attrition Modeling'!$B:$B,'IP Attrition'!L$68),VLOOKUP($F118+L$2,$A$6:$C$106,2,FALSE)*VLOOKUP(L$1,'Attrition Modeling'!$L$15:$N$27,IF(L$2+$F51&lt;=24,2,3),FALSE)),$C$3)*(1+Projection!N$16)*(1+IF(L183&gt;0,'Attrition Modeling'!$N$9,0)))</f>
        <v>0</v>
      </c>
      <c r="M118" s="799">
        <f>L118*(1-IFERROR(IF(M$69+$F118&lt;=12,SUMIFS('Attrition Modeling'!$D:$D,'Attrition Modeling'!$C:$C,'IP Attrition'!$D118,'Attrition Modeling'!$B:$B,'IP Attrition'!M$68),VLOOKUP($F118+M$2,$A$6:$C$106,2,FALSE)*VLOOKUP(M$1,'Attrition Modeling'!$L$15:$N$27,IF(M$2+$F51&lt;=24,2,3),FALSE)),$C$3)*(1+Projection!O$16)*(1+IF(M183&gt;0,'Attrition Modeling'!$N$9,0)))</f>
        <v>0</v>
      </c>
      <c r="N118" s="799">
        <f>M118*(1-IFERROR(IF(N$69+$F118&lt;=12,SUMIFS('Attrition Modeling'!$D:$D,'Attrition Modeling'!$C:$C,'IP Attrition'!$D118,'Attrition Modeling'!$B:$B,'IP Attrition'!N$68),VLOOKUP($F118+N$2,$A$6:$C$106,2,FALSE)*VLOOKUP(N$1,'Attrition Modeling'!$L$15:$N$27,IF(N$2+$F51&lt;=24,2,3),FALSE)),$C$3)*(1+Projection!P$16)*(1+IF(N183&gt;0,'Attrition Modeling'!$N$9,0)))</f>
        <v>0</v>
      </c>
      <c r="O118" s="799">
        <f>N118*(1-IFERROR(IF(O$69+$F118&lt;=12,SUMIFS('Attrition Modeling'!$D:$D,'Attrition Modeling'!$C:$C,'IP Attrition'!$D118,'Attrition Modeling'!$B:$B,'IP Attrition'!O$68),VLOOKUP($F118+O$2,$A$6:$C$106,2,FALSE)*VLOOKUP(O$1,'Attrition Modeling'!$L$15:$N$27,IF(O$2+$F51&lt;=24,2,3),FALSE)),$C$3)*(1+Projection!Q$16)*(1+IF(O183&gt;0,'Attrition Modeling'!$N$9,0)))</f>
        <v>0</v>
      </c>
      <c r="P118" s="799">
        <f>O118*(1-IFERROR(IF(P$69+$F118&lt;=12,SUMIFS('Attrition Modeling'!$D:$D,'Attrition Modeling'!$C:$C,'IP Attrition'!$D118,'Attrition Modeling'!$B:$B,'IP Attrition'!P$68),VLOOKUP($F118+P$2,$A$6:$C$106,2,FALSE)*VLOOKUP(P$1,'Attrition Modeling'!$L$15:$N$27,IF(P$2+$F51&lt;=24,2,3),FALSE)),$C$3)*(1+Projection!R$16)*(1+IF(P183&gt;0,'Attrition Modeling'!$N$9,0)))</f>
        <v>0</v>
      </c>
      <c r="Q118" s="799">
        <f>P118*(1-IFERROR(IF(Q$69+$F118&lt;=12,SUMIFS('Attrition Modeling'!$D:$D,'Attrition Modeling'!$C:$C,'IP Attrition'!$D118,'Attrition Modeling'!$B:$B,'IP Attrition'!Q$68),VLOOKUP($F118+Q$2,$A$6:$C$106,2,FALSE)*VLOOKUP(Q$1,'Attrition Modeling'!$L$15:$N$27,IF(Q$2+$F51&lt;=24,2,3),FALSE)),$C$3)*(1+Projection!S$16)*(1+IF(Q183&gt;0,'Attrition Modeling'!$N$9,0)))</f>
        <v>0</v>
      </c>
      <c r="R118" s="799">
        <f>Q118*(1-IFERROR(IF(R$69+$F118&lt;=12,SUMIFS('Attrition Modeling'!$D:$D,'Attrition Modeling'!$C:$C,'IP Attrition'!$D118,'Attrition Modeling'!$B:$B,'IP Attrition'!R$68),VLOOKUP($F118+R$2,$A$6:$C$106,2,FALSE)*VLOOKUP(R$1,'Attrition Modeling'!$L$15:$N$27,IF(R$2+$F51&lt;=24,2,3),FALSE)),$C$3)*(1+Projection!T$16)*(1+IF(R183&gt;0,'Attrition Modeling'!$N$9,0)))</f>
        <v>0</v>
      </c>
      <c r="S118" s="799">
        <f>R118*(1-IFERROR(IF(S$69+$F118&lt;=12,SUMIFS('Attrition Modeling'!$D:$D,'Attrition Modeling'!$C:$C,'IP Attrition'!$D118,'Attrition Modeling'!$B:$B,'IP Attrition'!S$68),VLOOKUP($F118+S$2,$A$6:$C$106,2,FALSE)*VLOOKUP(S$1,'Attrition Modeling'!$L$15:$N$27,IF(S$2+$F51&lt;=24,2,3),FALSE)),$C$3)*(1+Projection!U$16)*(1+IF(S183&gt;0,'Attrition Modeling'!$N$9,0)))</f>
        <v>0</v>
      </c>
      <c r="T118" s="799">
        <f>S118*(1-IFERROR(IF(T$69+$F118&lt;=12,SUMIFS('Attrition Modeling'!$D:$D,'Attrition Modeling'!$C:$C,'IP Attrition'!$D118,'Attrition Modeling'!$B:$B,'IP Attrition'!T$68),VLOOKUP($F118+T$2,$A$6:$C$106,2,FALSE)*VLOOKUP(T$1,'Attrition Modeling'!$L$15:$N$27,IF(T$2+$F51&lt;=24,2,3),FALSE)),$C$3)*(1+Projection!V$16)*(1+IF(T183&gt;0,'Attrition Modeling'!$N$9,0)))</f>
        <v>0</v>
      </c>
      <c r="U118" s="799">
        <f>T118*(1-IFERROR(IF(U$69+$F118&lt;=12,SUMIFS('Attrition Modeling'!$D:$D,'Attrition Modeling'!$C:$C,'IP Attrition'!$D118,'Attrition Modeling'!$B:$B,'IP Attrition'!U$68),VLOOKUP($F118+U$2,$A$6:$C$106,2,FALSE)*VLOOKUP(U$1,'Attrition Modeling'!$L$15:$N$27,IF(U$2+$F51&lt;=24,2,3),FALSE)),$C$3)*(1+Projection!W$16)*(1+IF(U183&gt;0,'Attrition Modeling'!$N$9,0)))</f>
        <v>0</v>
      </c>
      <c r="V118" s="799">
        <f>U118*(1-IFERROR(IF(V$69+$F118&lt;=12,SUMIFS('Attrition Modeling'!$D:$D,'Attrition Modeling'!$C:$C,'IP Attrition'!$D118,'Attrition Modeling'!$B:$B,'IP Attrition'!V$68),VLOOKUP($F118+V$2,$A$6:$C$106,2,FALSE)*VLOOKUP(V$1,'Attrition Modeling'!$L$15:$N$27,IF(V$2+$F51&lt;=24,2,3),FALSE)),$C$3)*(1+Projection!X$16)*(1+IF(V183&gt;0,'Attrition Modeling'!$N$9,0)))</f>
        <v>0</v>
      </c>
      <c r="W118" s="799">
        <f>V118*(1-IFERROR(IF(W$69+$F118&lt;=12,SUMIFS('Attrition Modeling'!$D:$D,'Attrition Modeling'!$C:$C,'IP Attrition'!$D118,'Attrition Modeling'!$B:$B,'IP Attrition'!W$68),VLOOKUP($F118+W$2,$A$6:$C$106,2,FALSE)*VLOOKUP(W$1,'Attrition Modeling'!$L$15:$N$27,IF(W$2+$F51&lt;=24,2,3),FALSE)),$C$3)*(1+Projection!Y$16)*(1+IF(W183&gt;0,'Attrition Modeling'!$N$9,0)))</f>
        <v>0</v>
      </c>
      <c r="X118" s="799">
        <f>W118*(1-IFERROR(IF(X$69+$F118&lt;=12,SUMIFS('Attrition Modeling'!$D:$D,'Attrition Modeling'!$C:$C,'IP Attrition'!$D118,'Attrition Modeling'!$B:$B,'IP Attrition'!X$68),VLOOKUP($F118+X$2,$A$6:$C$106,2,FALSE)*VLOOKUP(X$1,'Attrition Modeling'!$L$15:$N$27,IF(X$2+$F51&lt;=24,2,3),FALSE)),$C$3)*(1+Projection!Z$16)*(1+IF(X183&gt;0,'Attrition Modeling'!$N$9,0)))</f>
        <v>0</v>
      </c>
      <c r="Y118" s="799">
        <f>X118*(1-IFERROR(IF(Y$69+$F118&lt;=12,SUMIFS('Attrition Modeling'!$D:$D,'Attrition Modeling'!$C:$C,'IP Attrition'!$D118,'Attrition Modeling'!$B:$B,'IP Attrition'!Y$68),VLOOKUP($F118+Y$2,$A$6:$C$106,2,FALSE)*VLOOKUP(Y$1,'Attrition Modeling'!$L$15:$N$27,IF(Y$2+$F51&lt;=24,2,3),FALSE)),$C$3)*(1+Projection!AA$16)*(1+IF(Y183&gt;0,'Attrition Modeling'!$N$9,0)))</f>
        <v>0</v>
      </c>
      <c r="Z118" s="799">
        <f>Y118*(1-IFERROR(IF(Z$69+$F118&lt;=12,SUMIFS('Attrition Modeling'!$D:$D,'Attrition Modeling'!$C:$C,'IP Attrition'!$D118,'Attrition Modeling'!$B:$B,'IP Attrition'!Z$68),VLOOKUP($F118+Z$2,$A$6:$C$106,2,FALSE)*VLOOKUP(Z$1,'Attrition Modeling'!$L$15:$N$27,IF(Z$2+$F51&lt;=24,2,3),FALSE)),$C$3)*(1+Projection!AB$16)*(1+IF(Z183&gt;0,'Attrition Modeling'!$N$9,0)))</f>
        <v>0</v>
      </c>
      <c r="AA118" s="799">
        <f>Z118*(1-IFERROR(IF(AA$69+$F118&lt;=12,SUMIFS('Attrition Modeling'!$D:$D,'Attrition Modeling'!$C:$C,'IP Attrition'!$D118,'Attrition Modeling'!$B:$B,'IP Attrition'!AA$68),VLOOKUP($F118+AA$2,$A$6:$C$106,2,FALSE)*VLOOKUP(AA$1,'Attrition Modeling'!$L$15:$N$27,IF(AA$2+$F51&lt;=24,2,3),FALSE)),$C$3)*(1+Projection!AC$16)*(1+IF(AA183&gt;0,'Attrition Modeling'!$N$9,0)))</f>
        <v>0</v>
      </c>
      <c r="AB118" s="799">
        <f>AA118*(1-IFERROR(IF(AB$69+$F118&lt;=12,SUMIFS('Attrition Modeling'!$D:$D,'Attrition Modeling'!$C:$C,'IP Attrition'!$D118,'Attrition Modeling'!$B:$B,'IP Attrition'!AB$68),VLOOKUP($F118+AB$2,$A$6:$C$106,2,FALSE)*VLOOKUP(AB$1,'Attrition Modeling'!$L$15:$N$27,IF(AB$2+$F51&lt;=24,2,3),FALSE)),$C$3)*(1+Projection!AD$16)*(1+IF(AB183&gt;0,'Attrition Modeling'!$N$9,0)))</f>
        <v>0</v>
      </c>
      <c r="AC118" s="799">
        <f>AB118*(1-IFERROR(IF(AC$69+$F118&lt;=12,SUMIFS('Attrition Modeling'!$D:$D,'Attrition Modeling'!$C:$C,'IP Attrition'!$D118,'Attrition Modeling'!$B:$B,'IP Attrition'!AC$68),VLOOKUP($F118+AC$2,$A$6:$C$106,2,FALSE)*VLOOKUP(AC$1,'Attrition Modeling'!$L$15:$N$27,IF(AC$2+$F51&lt;=24,2,3),FALSE)),$C$3)*(1+Projection!AE$16)*(1+IF(AC183&gt;0,'Attrition Modeling'!$N$9,0)))</f>
        <v>0</v>
      </c>
      <c r="AD118" s="799">
        <f>AC118*(1-IFERROR(IF(AD$69+$F118&lt;=12,SUMIFS('Attrition Modeling'!$D:$D,'Attrition Modeling'!$C:$C,'IP Attrition'!$D118,'Attrition Modeling'!$B:$B,'IP Attrition'!AD$68),VLOOKUP($F118+AD$2,$A$6:$C$106,2,FALSE)*VLOOKUP(AD$1,'Attrition Modeling'!$L$15:$N$27,IF(AD$2+$F51&lt;=24,2,3),FALSE)),$C$3)*(1+Projection!AF$16)*(1+IF(AD183&gt;0,'Attrition Modeling'!$N$9,0)))</f>
        <v>0</v>
      </c>
      <c r="AE118" s="799">
        <f>AD118*(1-IFERROR(IF(AE$69+$F118&lt;=12,SUMIFS('Attrition Modeling'!$D:$D,'Attrition Modeling'!$C:$C,'IP Attrition'!$D118,'Attrition Modeling'!$B:$B,'IP Attrition'!AE$68),VLOOKUP($F118+AE$2,$A$6:$C$106,2,FALSE)*VLOOKUP(AE$1,'Attrition Modeling'!$L$15:$N$27,IF(AE$2+$F51&lt;=24,2,3),FALSE)),$C$3)*(1+Projection!AG$16)*(1+IF(AE183&gt;0,'Attrition Modeling'!$N$9,0)))</f>
        <v>0</v>
      </c>
      <c r="AF118" s="799">
        <f>AE118*(1-IFERROR(IF(AF$69+$F118&lt;=12,SUMIFS('Attrition Modeling'!$D:$D,'Attrition Modeling'!$C:$C,'IP Attrition'!$D118,'Attrition Modeling'!$B:$B,'IP Attrition'!AF$68),VLOOKUP($F118+AF$2,$A$6:$C$106,2,FALSE)*VLOOKUP(AF$1,'Attrition Modeling'!$L$15:$N$27,IF(AF$2+$F51&lt;=24,2,3),FALSE)),$C$3)*(1+Projection!AH$16)*(1+IF(AF183&gt;0,'Attrition Modeling'!$N$9,0)))</f>
        <v>0</v>
      </c>
      <c r="AG118" s="799">
        <f>AF118*(1-IFERROR(IF(AG$69+$F118&lt;=12,SUMIFS('Attrition Modeling'!$D:$D,'Attrition Modeling'!$C:$C,'IP Attrition'!$D118,'Attrition Modeling'!$B:$B,'IP Attrition'!AG$68),VLOOKUP($F118+AG$2,$A$6:$C$106,2,FALSE)*VLOOKUP(AG$1,'Attrition Modeling'!$L$15:$N$27,IF(AG$2+$F51&lt;=24,2,3),FALSE)),$C$3)*(1+Projection!AI$16)*(1+IF(AG183&gt;0,'Attrition Modeling'!$N$9,0)))</f>
        <v>0</v>
      </c>
      <c r="AH118" s="799">
        <f>AG118*(1-IFERROR(IF(AH$69+$F118&lt;=12,SUMIFS('Attrition Modeling'!$D:$D,'Attrition Modeling'!$C:$C,'IP Attrition'!$D118,'Attrition Modeling'!$B:$B,'IP Attrition'!AH$68),VLOOKUP($F118+AH$2,$A$6:$C$106,2,FALSE)*VLOOKUP(AH$1,'Attrition Modeling'!$L$15:$N$27,IF(AH$2+$F51&lt;=24,2,3),FALSE)),$C$3)*(1+Projection!AJ$16)*(1+IF(AH183&gt;0,'Attrition Modeling'!$N$9,0)))</f>
        <v>0</v>
      </c>
      <c r="AI118" s="799">
        <f>AH118*(1-IFERROR(IF(AI$69+$F118&lt;=12,SUMIFS('Attrition Modeling'!$D:$D,'Attrition Modeling'!$C:$C,'IP Attrition'!$D118,'Attrition Modeling'!$B:$B,'IP Attrition'!AI$68),VLOOKUP($F118+AI$2,$A$6:$C$106,2,FALSE)*VLOOKUP(AI$1,'Attrition Modeling'!$L$15:$N$27,IF(AI$2+$F51&lt;=24,2,3),FALSE)),$C$3)*(1+Projection!AK$16)*(1+IF(AI183&gt;0,'Attrition Modeling'!$N$9,0)))</f>
        <v>0</v>
      </c>
      <c r="AJ118" s="799">
        <f>AI118*(1-IFERROR(IF(AJ$69+$F118&lt;=12,SUMIFS('Attrition Modeling'!$D:$D,'Attrition Modeling'!$C:$C,'IP Attrition'!$D118,'Attrition Modeling'!$B:$B,'IP Attrition'!AJ$68),VLOOKUP($F118+AJ$2,$A$6:$C$106,2,FALSE)*VLOOKUP(AJ$1,'Attrition Modeling'!$L$15:$N$27,IF(AJ$2+$F51&lt;=24,2,3),FALSE)),$C$3)*(1+Projection!AL$16)*(1+IF(AJ183&gt;0,'Attrition Modeling'!$N$9,0)))</f>
        <v>0</v>
      </c>
      <c r="AK118" s="799">
        <f>AJ118*(1-IFERROR(IF(AK$69+$F118&lt;=12,SUMIFS('Attrition Modeling'!$D:$D,'Attrition Modeling'!$C:$C,'IP Attrition'!$D118,'Attrition Modeling'!$B:$B,'IP Attrition'!AK$68),VLOOKUP($F118+AK$2,$A$6:$C$106,2,FALSE)*VLOOKUP(AK$1,'Attrition Modeling'!$L$15:$N$27,IF(AK$2+$F51&lt;=24,2,3),FALSE)),$C$3)*(1+Projection!AM$16)*(1+IF(AK183&gt;0,'Attrition Modeling'!$N$9,0)))</f>
        <v>0</v>
      </c>
      <c r="AL118" s="799">
        <f>AK118*(1-IFERROR(IF(AL$69+$F118&lt;=12,SUMIFS('Attrition Modeling'!$D:$D,'Attrition Modeling'!$C:$C,'IP Attrition'!$D118,'Attrition Modeling'!$B:$B,'IP Attrition'!AL$68),VLOOKUP($F118+AL$2,$A$6:$C$106,2,FALSE)*VLOOKUP(AL$1,'Attrition Modeling'!$L$15:$N$27,IF(AL$2+$F51&lt;=24,2,3),FALSE)),$C$3)*(1+Projection!AN$16)*(1+IF(AL183&gt;0,'Attrition Modeling'!$N$9,0)))</f>
        <v>0</v>
      </c>
      <c r="AM118" s="799">
        <f>AL118*(1-IFERROR(IF(AM$69+$F118&lt;=12,SUMIFS('Attrition Modeling'!$D:$D,'Attrition Modeling'!$C:$C,'IP Attrition'!$D118,'Attrition Modeling'!$B:$B,'IP Attrition'!AM$68),VLOOKUP($F118+AM$2,$A$6:$C$106,2,FALSE)*VLOOKUP(AM$1,'Attrition Modeling'!$L$15:$N$27,IF(AM$2+$F51&lt;=24,2,3),FALSE)),$C$3)*(1+Projection!AO$16)*(1+IF(AM183&gt;0,'Attrition Modeling'!$N$9,0)))</f>
        <v>0</v>
      </c>
      <c r="AN118" s="799">
        <f>AM118*(1-IFERROR(IF(AN$69+$F118&lt;=12,SUMIFS('Attrition Modeling'!$D:$D,'Attrition Modeling'!$C:$C,'IP Attrition'!$D118,'Attrition Modeling'!$B:$B,'IP Attrition'!AN$68),VLOOKUP($F118+AN$2,$A$6:$C$106,2,FALSE)*VLOOKUP(AN$1,'Attrition Modeling'!$L$15:$N$27,IF(AN$2+$F51&lt;=24,2,3),FALSE)),$C$3)*(1+Projection!AP$16)*(1+IF(AN183&gt;0,'Attrition Modeling'!$N$9,0)))</f>
        <v>0</v>
      </c>
      <c r="AO118" s="799">
        <f>AN118*(1-IFERROR(IF(AO$69+$F118&lt;=12,SUMIFS('Attrition Modeling'!$D:$D,'Attrition Modeling'!$C:$C,'IP Attrition'!$D118,'Attrition Modeling'!$B:$B,'IP Attrition'!AO$68),VLOOKUP($F118+AO$2,$A$6:$C$106,2,FALSE)*VLOOKUP(AO$1,'Attrition Modeling'!$L$15:$N$27,IF(AO$2+$F51&lt;=24,2,3),FALSE)),$C$3)*(1+Projection!AQ$16)*(1+IF(AO183&gt;0,'Attrition Modeling'!$N$9,0)))</f>
        <v>0</v>
      </c>
      <c r="AP118" s="799">
        <f>AO118*(1-IFERROR(IF(AP$69+$F118&lt;=12,SUMIFS('Attrition Modeling'!$D:$D,'Attrition Modeling'!$C:$C,'IP Attrition'!$D118,'Attrition Modeling'!$B:$B,'IP Attrition'!AP$68),VLOOKUP($F118+AP$2,$A$6:$C$106,2,FALSE)*VLOOKUP(AP$1,'Attrition Modeling'!$L$15:$N$27,IF(AP$2+$F51&lt;=24,2,3),FALSE)),$C$3)*(1+Projection!AR$16)*(1+IF(AP183&gt;0,'Attrition Modeling'!$N$9,0)))</f>
        <v>0</v>
      </c>
      <c r="AQ118" s="799">
        <f>AP118*(1-IFERROR(IF(AQ$69+$F118&lt;=12,SUMIFS('Attrition Modeling'!$D:$D,'Attrition Modeling'!$C:$C,'IP Attrition'!$D118,'Attrition Modeling'!$B:$B,'IP Attrition'!AQ$68),VLOOKUP($F118+AQ$2,$A$6:$C$106,2,FALSE)*VLOOKUP(AQ$1,'Attrition Modeling'!$L$15:$N$27,IF(AQ$2+$F51&lt;=24,2,3),FALSE)),$C$3)*(1+Projection!AS$16)*(1+IF(AQ183&gt;0,'Attrition Modeling'!$N$9,0)))</f>
        <v>0</v>
      </c>
      <c r="AR118" s="799">
        <f>AQ118*(1-IFERROR(IF(AR$69+$F118&lt;=12,SUMIFS('Attrition Modeling'!$D:$D,'Attrition Modeling'!$C:$C,'IP Attrition'!$D118,'Attrition Modeling'!$B:$B,'IP Attrition'!AR$68),VLOOKUP($F118+AR$2,$A$6:$C$106,2,FALSE)*VLOOKUP(AR$1,'Attrition Modeling'!$L$15:$N$27,IF(AR$2+$F51&lt;=24,2,3),FALSE)),$C$3)*(1+Projection!AT$16)*(1+IF(AR183&gt;0,'Attrition Modeling'!$N$9,0)))</f>
        <v>0</v>
      </c>
      <c r="AS118" s="799">
        <f>AR118*(1-IFERROR(IF(AS$69+$F118&lt;=12,SUMIFS('Attrition Modeling'!$D:$D,'Attrition Modeling'!$C:$C,'IP Attrition'!$D118,'Attrition Modeling'!$B:$B,'IP Attrition'!AS$68),VLOOKUP($F118+AS$2,$A$6:$C$106,2,FALSE)*VLOOKUP(AS$1,'Attrition Modeling'!$L$15:$N$27,IF(AS$2+$F51&lt;=24,2,3),FALSE)),$C$3)*(1+Projection!AU$16)*(1+IF(AS183&gt;0,'Attrition Modeling'!$N$9,0)))</f>
        <v>0</v>
      </c>
      <c r="AT118" s="799">
        <f>AS118*(1-IFERROR(IF(AT$69+$F118&lt;=12,SUMIFS('Attrition Modeling'!$D:$D,'Attrition Modeling'!$C:$C,'IP Attrition'!$D118,'Attrition Modeling'!$B:$B,'IP Attrition'!AT$68),VLOOKUP($F118+AT$2,$A$6:$C$106,2,FALSE)*VLOOKUP(AT$1,'Attrition Modeling'!$L$15:$N$27,IF(AT$2+$F51&lt;=24,2,3),FALSE)),$C$3)*(1+Projection!AV$16)*(1+IF(AT183&gt;0,'Attrition Modeling'!$N$9,0)))</f>
        <v>0</v>
      </c>
      <c r="AU118" s="799">
        <f>AT118*(1-IFERROR(IF(AU$69+$F118&lt;=12,SUMIFS('Attrition Modeling'!$D:$D,'Attrition Modeling'!$C:$C,'IP Attrition'!$D118,'Attrition Modeling'!$B:$B,'IP Attrition'!AU$68),VLOOKUP($F118+AU$2,$A$6:$C$106,2,FALSE)*VLOOKUP(AU$1,'Attrition Modeling'!$L$15:$N$27,IF(AU$2+$F51&lt;=24,2,3),FALSE)),$C$3)*(1+Projection!AW$16)*(1+IF(AU183&gt;0,'Attrition Modeling'!$N$9,0)))</f>
        <v>0</v>
      </c>
      <c r="AV118" s="799">
        <f>AU118*(1-IFERROR(IF(AV$69+$F118&lt;=12,SUMIFS('Attrition Modeling'!$D:$D,'Attrition Modeling'!$C:$C,'IP Attrition'!$D118,'Attrition Modeling'!$B:$B,'IP Attrition'!AV$68),VLOOKUP($F118+AV$2,$A$6:$C$106,2,FALSE)*VLOOKUP(AV$1,'Attrition Modeling'!$L$15:$N$27,IF(AV$2+$F51&lt;=24,2,3),FALSE)),$C$3)*(1+Projection!AX$16)*(1+IF(AV183&gt;0,'Attrition Modeling'!$N$9,0)))</f>
        <v>0</v>
      </c>
      <c r="AW118" s="799">
        <f>AV118*(1-IFERROR(IF(AW$69+$F118&lt;=12,SUMIFS('Attrition Modeling'!$D:$D,'Attrition Modeling'!$C:$C,'IP Attrition'!$D118,'Attrition Modeling'!$B:$B,'IP Attrition'!AW$68),VLOOKUP($F118+AW$2,$A$6:$C$106,2,FALSE)*VLOOKUP(AW$1,'Attrition Modeling'!$L$15:$N$27,IF(AW$2+$F51&lt;=24,2,3),FALSE)),$C$3)*(1+Projection!AY$16)*(1+IF(AW183&gt;0,'Attrition Modeling'!$N$9,0)))</f>
        <v>0</v>
      </c>
      <c r="AX118" s="799">
        <f>AW118*(1-IFERROR(IF(AX$69+$F118&lt;=12,SUMIFS('Attrition Modeling'!$D:$D,'Attrition Modeling'!$C:$C,'IP Attrition'!$D118,'Attrition Modeling'!$B:$B,'IP Attrition'!AX$68),VLOOKUP($F118+AX$2,$A$6:$C$106,2,FALSE)*VLOOKUP(AX$1,'Attrition Modeling'!$L$15:$N$27,IF(AX$2+$F51&lt;=24,2,3),FALSE)),$C$3)*(1+Projection!AZ$16)*(1+IF(AX183&gt;0,'Attrition Modeling'!$N$9,0)))</f>
        <v>0</v>
      </c>
      <c r="AY118" s="799">
        <f>AX118*(1-IFERROR(IF(AY$69+$F118&lt;=12,SUMIFS('Attrition Modeling'!$D:$D,'Attrition Modeling'!$C:$C,'IP Attrition'!$D118,'Attrition Modeling'!$B:$B,'IP Attrition'!AY$68),VLOOKUP($F118+AY$2,$A$6:$C$106,2,FALSE)*VLOOKUP(AY$1,'Attrition Modeling'!$L$15:$N$27,IF(AY$2+$F51&lt;=24,2,3),FALSE)),$C$3)*(1+Projection!BA$16)*(1+IF(AY183&gt;0,'Attrition Modeling'!$N$9,0)))</f>
        <v>0</v>
      </c>
      <c r="AZ118" s="799">
        <f>AY118*(1-IFERROR(IF(AZ$69+$F118&lt;=12,SUMIFS('Attrition Modeling'!$D:$D,'Attrition Modeling'!$C:$C,'IP Attrition'!$D118,'Attrition Modeling'!$B:$B,'IP Attrition'!AZ$68),VLOOKUP($F118+AZ$2,$A$6:$C$106,2,FALSE)*VLOOKUP(AZ$1,'Attrition Modeling'!$L$15:$N$27,IF(AZ$2+$F51&lt;=24,2,3),FALSE)),$C$3)*(1+Projection!BB$16)*(1+IF(AZ183&gt;0,'Attrition Modeling'!$N$9,0)))</f>
        <v>0</v>
      </c>
      <c r="BA118" s="799">
        <f>AZ118*(1-IFERROR(IF(BA$69+$F118&lt;=12,SUMIFS('Attrition Modeling'!$D:$D,'Attrition Modeling'!$C:$C,'IP Attrition'!$D118,'Attrition Modeling'!$B:$B,'IP Attrition'!BA$68),VLOOKUP($F118+BA$2,$A$6:$C$106,2,FALSE)*VLOOKUP(BA$1,'Attrition Modeling'!$L$15:$N$27,IF(BA$2+$F51&lt;=24,2,3),FALSE)),$C$3)*(1+Projection!BC$16)*(1+IF(BA183&gt;0,'Attrition Modeling'!$N$9,0)))</f>
        <v>0</v>
      </c>
      <c r="BB118" s="799">
        <f>BA118*(1-IFERROR(IF(BB$69+$F118&lt;=12,SUMIFS('Attrition Modeling'!$D:$D,'Attrition Modeling'!$C:$C,'IP Attrition'!$D118,'Attrition Modeling'!$B:$B,'IP Attrition'!BB$68),VLOOKUP($F118+BB$2,$A$6:$C$106,2,FALSE)*VLOOKUP(BB$1,'Attrition Modeling'!$L$15:$N$27,IF(BB$2+$F51&lt;=24,2,3),FALSE)),$C$3)*(1+Projection!BD$16)*(1+IF(BB183&gt;0,'Attrition Modeling'!$N$9,0)))</f>
        <v>0</v>
      </c>
      <c r="BC118" s="799">
        <f>BB118*(1-IFERROR(IF(BC$69+$F118&lt;=12,SUMIFS('Attrition Modeling'!$D:$D,'Attrition Modeling'!$C:$C,'IP Attrition'!$D118,'Attrition Modeling'!$B:$B,'IP Attrition'!BC$68),VLOOKUP($F118+BC$2,$A$6:$C$106,2,FALSE)*VLOOKUP(BC$1,'Attrition Modeling'!$L$15:$N$27,IF(BC$2+$F51&lt;=24,2,3),FALSE)),$C$3)*(1+Projection!BE$16)*(1+IF(BC183&gt;0,'Attrition Modeling'!$N$9,0)))</f>
        <v>0</v>
      </c>
      <c r="BD118" s="799">
        <f>BC118*(1-IFERROR(IF(BD$69+$F118&lt;=12,SUMIFS('Attrition Modeling'!$D:$D,'Attrition Modeling'!$C:$C,'IP Attrition'!$D118,'Attrition Modeling'!$B:$B,'IP Attrition'!BD$68),VLOOKUP($F118+BD$2,$A$6:$C$106,2,FALSE)*VLOOKUP(BD$1,'Attrition Modeling'!$L$15:$N$27,IF(BD$2+$F51&lt;=24,2,3),FALSE)),$C$3)*(1+Projection!BF$16)*(1+IF(BD183&gt;0,'Attrition Modeling'!$N$9,0)))</f>
        <v>0</v>
      </c>
      <c r="BE118" s="799">
        <f>BD118*(1-IFERROR(IF(BE$69+$F118&lt;=12,SUMIFS('Attrition Modeling'!$D:$D,'Attrition Modeling'!$C:$C,'IP Attrition'!$D118,'Attrition Modeling'!$B:$B,'IP Attrition'!BE$68),VLOOKUP($F118+BE$2,$A$6:$C$106,2,FALSE)*VLOOKUP(BE$1,'Attrition Modeling'!$L$15:$N$27,IF(BE$2+$F51&lt;=24,2,3),FALSE)),$C$3)*(1+Projection!BG$16)*(1+IF(BE183&gt;0,'Attrition Modeling'!$N$9,0)))</f>
        <v>0</v>
      </c>
      <c r="BF118" s="799">
        <f>BE118*(1-IFERROR(IF(BF$69+$F118&lt;=12,SUMIFS('Attrition Modeling'!$D:$D,'Attrition Modeling'!$C:$C,'IP Attrition'!$D118,'Attrition Modeling'!$B:$B,'IP Attrition'!BF$68),VLOOKUP($F118+BF$2,$A$6:$C$106,2,FALSE)*VLOOKUP(BF$1,'Attrition Modeling'!$L$15:$N$27,IF(BF$2+$F51&lt;=24,2,3),FALSE)),$C$3)*(1+Projection!BH$16)*(1+IF(BF183&gt;0,'Attrition Modeling'!$N$9,0)))</f>
        <v>0</v>
      </c>
      <c r="BG118" s="799">
        <f>BF118*(1-IFERROR(IF(BG$69+$F118&lt;=12,SUMIFS('Attrition Modeling'!$D:$D,'Attrition Modeling'!$C:$C,'IP Attrition'!$D118,'Attrition Modeling'!$B:$B,'IP Attrition'!BG$68),VLOOKUP($F118+BG$2,$A$6:$C$106,2,FALSE)*VLOOKUP(BG$1,'Attrition Modeling'!$L$15:$N$27,IF(BG$2+$F51&lt;=24,2,3),FALSE)),$C$3)*(1+Projection!BI$16)*(1+IF(BG183&gt;0,'Attrition Modeling'!$N$9,0)))</f>
        <v>0</v>
      </c>
      <c r="BH118" s="799">
        <f>BG118*(1-IFERROR(IF(BH$69+$F118&lt;=12,SUMIFS('Attrition Modeling'!$D:$D,'Attrition Modeling'!$C:$C,'IP Attrition'!$D118,'Attrition Modeling'!$B:$B,'IP Attrition'!BH$68),VLOOKUP($F118+BH$2,$A$6:$C$106,2,FALSE)*VLOOKUP(BH$1,'Attrition Modeling'!$L$15:$N$27,IF(BH$2+$F51&lt;=24,2,3),FALSE)),$C$3)*(1+Projection!BJ$16)*(1+IF(BH183&gt;0,'Attrition Modeling'!$N$9,0)))</f>
        <v>0</v>
      </c>
      <c r="BI118" s="799">
        <f>BH118*(1-IFERROR(IF(BI$69+$F118&lt;=12,SUMIFS('Attrition Modeling'!$D:$D,'Attrition Modeling'!$C:$C,'IP Attrition'!$D118,'Attrition Modeling'!$B:$B,'IP Attrition'!BI$68),VLOOKUP($F118+BI$2,$A$6:$C$106,2,FALSE)*VLOOKUP(BI$1,'Attrition Modeling'!$L$15:$N$27,IF(BI$2+$F51&lt;=24,2,3),FALSE)),$C$3)*(1+Projection!BK$16)*(1+IF(BI183&gt;0,'Attrition Modeling'!$N$9,0)))</f>
        <v>0</v>
      </c>
      <c r="BJ118" s="799">
        <f>BI118*(1-IFERROR(IF(BJ$69+$F118&lt;=12,SUMIFS('Attrition Modeling'!$D:$D,'Attrition Modeling'!$C:$C,'IP Attrition'!$D118,'Attrition Modeling'!$B:$B,'IP Attrition'!BJ$68),VLOOKUP($F118+BJ$2,$A$6:$C$106,2,FALSE)*VLOOKUP(BJ$1,'Attrition Modeling'!$L$15:$N$27,IF(BJ$2+$F51&lt;=24,2,3),FALSE)),$C$3)*(1+Projection!BL$16)*(1+IF(BJ183&gt;0,'Attrition Modeling'!$N$9,0)))</f>
        <v>0</v>
      </c>
      <c r="BK118" s="799">
        <f>BJ118*(1-IFERROR(IF(BK$69+$F118&lt;=12,SUMIFS('Attrition Modeling'!$D:$D,'Attrition Modeling'!$C:$C,'IP Attrition'!$D118,'Attrition Modeling'!$B:$B,'IP Attrition'!BK$68),VLOOKUP($F118+BK$2,$A$6:$C$106,2,FALSE)*VLOOKUP(BK$1,'Attrition Modeling'!$L$15:$N$27,IF(BK$2+$F51&lt;=24,2,3),FALSE)),$C$3)*(1+Projection!BM$16)*(1+IF(BK183&gt;0,'Attrition Modeling'!$N$9,0)))</f>
        <v>0</v>
      </c>
      <c r="BL118" s="799">
        <f>BK118*(1-IFERROR(IF(BL$69+$F118&lt;=12,SUMIFS('Attrition Modeling'!$D:$D,'Attrition Modeling'!$C:$C,'IP Attrition'!$D118,'Attrition Modeling'!$B:$B,'IP Attrition'!BL$68),VLOOKUP($F118+BL$2,$A$6:$C$106,2,FALSE)*VLOOKUP(BL$1,'Attrition Modeling'!$L$15:$N$27,IF(BL$2+$F51&lt;=24,2,3),FALSE)),$C$3)*(1+Projection!BN$16)*(1+IF(BL183&gt;0,'Attrition Modeling'!$N$9,0)))</f>
        <v>0</v>
      </c>
      <c r="BM118" s="799">
        <f>BL118*(1-IFERROR(IF(BM$69+$F118&lt;=12,SUMIFS('Attrition Modeling'!$D:$D,'Attrition Modeling'!$C:$C,'IP Attrition'!$D118,'Attrition Modeling'!$B:$B,'IP Attrition'!BM$68),VLOOKUP($F118+BM$2,$A$6:$C$106,2,FALSE)*VLOOKUP(BM$1,'Attrition Modeling'!$L$15:$N$27,IF(BM$2+$F51&lt;=24,2,3),FALSE)),$C$3)*(1+Projection!BO$16)*(1+IF(BM183&gt;0,'Attrition Modeling'!$N$9,0)))</f>
        <v>0</v>
      </c>
      <c r="BN118" s="799">
        <f>BM118*(1-IFERROR(IF(BN$69+$F118&lt;=12,SUMIFS('Attrition Modeling'!$D:$D,'Attrition Modeling'!$C:$C,'IP Attrition'!$D118,'Attrition Modeling'!$B:$B,'IP Attrition'!BN$68),VLOOKUP($F118+BN$2,$A$6:$C$106,2,FALSE)*VLOOKUP(BN$1,'Attrition Modeling'!$L$15:$N$27,IF(BN$2+$F51&lt;=24,2,3),FALSE)),$C$3)*(1+Projection!BP$16)*(1+IF(BN183&gt;0,'Attrition Modeling'!$N$9,0)))</f>
        <v>0</v>
      </c>
      <c r="BO118" s="799">
        <f>BN118*(1-IFERROR(IF(BO$69+$F118&lt;=12,SUMIFS('Attrition Modeling'!$D:$D,'Attrition Modeling'!$C:$C,'IP Attrition'!$D118,'Attrition Modeling'!$B:$B,'IP Attrition'!BO$68),VLOOKUP($F118+BO$2,$A$6:$C$106,2,FALSE)*VLOOKUP(BO$1,'Attrition Modeling'!$L$15:$N$27,IF(BO$2+$F51&lt;=24,2,3),FALSE)),$C$3)*(1+Projection!BV$16)*(1+IF(BO183&gt;0,'Attrition Modeling'!$N$9,0)))</f>
        <v>0</v>
      </c>
      <c r="BP118" s="799">
        <f>BO118*(1-IFERROR(IF(BP$69+$F118&lt;=12,SUMIFS('Attrition Modeling'!$D:$D,'Attrition Modeling'!$C:$C,'IP Attrition'!$D118,'Attrition Modeling'!$B:$B,'IP Attrition'!BP$68),VLOOKUP($F118+BP$2,$A$6:$C$106,2,FALSE)*VLOOKUP(BP$1,'Attrition Modeling'!$L$15:$N$27,IF(BP$2+$F51&lt;=24,2,3),FALSE)),$C$3)*(1+Projection!BW$16)*(1+IF(BP183&gt;0,'Attrition Modeling'!$N$9,0)))</f>
        <v>0</v>
      </c>
      <c r="BQ118" s="799">
        <f>BP118*(1-IFERROR(IF(BQ$69+$F118&lt;=12,SUMIFS('Attrition Modeling'!$D:$D,'Attrition Modeling'!$C:$C,'IP Attrition'!$D118,'Attrition Modeling'!$B:$B,'IP Attrition'!BQ$68),VLOOKUP($F118+BQ$2,$A$6:$C$106,2,FALSE)*VLOOKUP(BQ$1,'Attrition Modeling'!$L$15:$N$27,IF(BQ$2+$F51&lt;=24,2,3),FALSE)),$C$3)*(1+Projection!BX$16)*(1+IF(BQ183&gt;0,'Attrition Modeling'!$N$9,0)))</f>
        <v>0</v>
      </c>
      <c r="BR118" s="799">
        <f>BQ118*(1-IFERROR(IF(BR$69+$F118&lt;=12,SUMIFS('Attrition Modeling'!$D:$D,'Attrition Modeling'!$C:$C,'IP Attrition'!$D118,'Attrition Modeling'!$B:$B,'IP Attrition'!BR$68),VLOOKUP($F118+BR$2,$A$6:$C$106,2,FALSE)*VLOOKUP(BR$1,'Attrition Modeling'!$L$15:$N$27,IF(BR$2+$F51&lt;=24,2,3),FALSE)),$C$3)*(1+Projection!BY$16)*(1+IF(BR183&gt;0,'Attrition Modeling'!$N$9,0)))</f>
        <v>0</v>
      </c>
      <c r="BS118" s="799">
        <f>BR118*(1-IFERROR(IF(BS$69+$F118&lt;=12,SUMIFS('Attrition Modeling'!$D:$D,'Attrition Modeling'!$C:$C,'IP Attrition'!$D118,'Attrition Modeling'!$B:$B,'IP Attrition'!BS$68),VLOOKUP($F118+BS$2,$A$6:$C$106,2,FALSE)*VLOOKUP(BS$1,'Attrition Modeling'!$L$15:$N$27,IF(BS$2+$F51&lt;=24,2,3),FALSE)),$C$3)*(1+Projection!BZ$16)*(1+IF(BS183&gt;0,'Attrition Modeling'!$N$9,0)))</f>
        <v>0</v>
      </c>
      <c r="BT118" s="799" t="e">
        <f>BS118*(1-IFERROR(IF(BT$69+$F118&lt;=12,SUMIFS('Attrition Modeling'!$D:$D,'Attrition Modeling'!$C:$C,'IP Attrition'!$D118,'Attrition Modeling'!$B:$B,'IP Attrition'!BT$68),VLOOKUP($F118+BT$2,$A$6:$C$106,2,FALSE)*VLOOKUP(BT$1,'Attrition Modeling'!$L$15:$N$27,IF(BT$2+$F51&lt;=24,2,3),FALSE)),$C$3)*(1+Projection!CA$16)*(1+IF(BT183&gt;0,'Attrition Modeling'!$N$9,0)))</f>
        <v>#REF!</v>
      </c>
      <c r="BU118" s="799" t="e">
        <f>BT118*(1-IFERROR(IF(BU$69+$F118&lt;=12,SUMIFS('Attrition Modeling'!$D:$D,'Attrition Modeling'!$C:$C,'IP Attrition'!$D118,'Attrition Modeling'!$B:$B,'IP Attrition'!BU$68),VLOOKUP($F118+BU$2,$A$6:$C$106,2,FALSE)*VLOOKUP(BU$1,'Attrition Modeling'!$L$15:$N$27,IF(BU$2+$F51&lt;=24,2,3),FALSE)),$C$3)*(1+Projection!CB$16)*(1+IF(BU183&gt;0,'Attrition Modeling'!$N$9,0)))</f>
        <v>#REF!</v>
      </c>
    </row>
    <row r="119" spans="1:73" ht="14.25" customHeight="1" x14ac:dyDescent="0.2">
      <c r="A119" s="9">
        <v>112</v>
      </c>
      <c r="B119" s="25">
        <f>MAX('Attrition Modeling'!H116,$C$3)*(1-Summary!$C$20)</f>
        <v>0.02</v>
      </c>
      <c r="C119" s="24" t="e">
        <f t="shared" si="3"/>
        <v>#DIV/0!</v>
      </c>
      <c r="D119" s="11">
        <f t="shared" ref="D119:E119" si="57">D52</f>
        <v>-49</v>
      </c>
      <c r="E119" s="25">
        <f t="shared" si="57"/>
        <v>0</v>
      </c>
      <c r="F119" s="11">
        <f t="shared" si="9"/>
        <v>49</v>
      </c>
      <c r="G119" s="799">
        <f>Summary!$C$24*$E119</f>
        <v>0</v>
      </c>
      <c r="H119" s="799">
        <f>G119*(1-IFERROR(IF(H$69+$F119&lt;=12,SUMIFS('Attrition Modeling'!$D:$D,'Attrition Modeling'!$C:$C,'IP Attrition'!$D119,'Attrition Modeling'!$B:$B,'IP Attrition'!H$68),VLOOKUP($F119+H$2,$A$6:$C$106,2,FALSE)*VLOOKUP(H$1,'Attrition Modeling'!$L$15:$N$27,IF(H$2+$F52&lt;=24,2,3),FALSE)),$C$3)*(1+Projection!J$16)*(1+IF(H184&gt;0,'Attrition Modeling'!$N$9,0)))</f>
        <v>0</v>
      </c>
      <c r="I119" s="799">
        <f>H119*(1-IFERROR(IF(I$69+$F119&lt;=12,SUMIFS('Attrition Modeling'!$D:$D,'Attrition Modeling'!$C:$C,'IP Attrition'!$D119,'Attrition Modeling'!$B:$B,'IP Attrition'!I$68),VLOOKUP($F119+I$2,$A$6:$C$106,2,FALSE)*VLOOKUP(I$1,'Attrition Modeling'!$L$15:$N$27,IF(I$2+$F52&lt;=24,2,3),FALSE)),$C$3)*(1+Projection!K$16)*(1+IF(I184&gt;0,'Attrition Modeling'!$N$9,0)))</f>
        <v>0</v>
      </c>
      <c r="J119" s="799">
        <f>I119*(1-IFERROR(IF(J$69+$F119&lt;=12,SUMIFS('Attrition Modeling'!$D:$D,'Attrition Modeling'!$C:$C,'IP Attrition'!$D119,'Attrition Modeling'!$B:$B,'IP Attrition'!J$68),VLOOKUP($F119+J$2,$A$6:$C$106,2,FALSE)*VLOOKUP(J$1,'Attrition Modeling'!$L$15:$N$27,IF(J$2+$F52&lt;=24,2,3),FALSE)),$C$3)*(1+Projection!L$16)*(1+IF(J184&gt;0,'Attrition Modeling'!$N$9,0)))</f>
        <v>0</v>
      </c>
      <c r="K119" s="799">
        <f>J119*(1-IFERROR(IF(K$69+$F119&lt;=12,SUMIFS('Attrition Modeling'!$D:$D,'Attrition Modeling'!$C:$C,'IP Attrition'!$D119,'Attrition Modeling'!$B:$B,'IP Attrition'!K$68),VLOOKUP($F119+K$2,$A$6:$C$106,2,FALSE)*VLOOKUP(K$1,'Attrition Modeling'!$L$15:$N$27,IF(K$2+$F52&lt;=24,2,3),FALSE)),$C$3)*(1+Projection!M$16)*(1+IF(K184&gt;0,'Attrition Modeling'!$N$9,0)))</f>
        <v>0</v>
      </c>
      <c r="L119" s="799">
        <f>K119*(1-IFERROR(IF(L$69+$F119&lt;=12,SUMIFS('Attrition Modeling'!$D:$D,'Attrition Modeling'!$C:$C,'IP Attrition'!$D119,'Attrition Modeling'!$B:$B,'IP Attrition'!L$68),VLOOKUP($F119+L$2,$A$6:$C$106,2,FALSE)*VLOOKUP(L$1,'Attrition Modeling'!$L$15:$N$27,IF(L$2+$F52&lt;=24,2,3),FALSE)),$C$3)*(1+Projection!N$16)*(1+IF(L184&gt;0,'Attrition Modeling'!$N$9,0)))</f>
        <v>0</v>
      </c>
      <c r="M119" s="799">
        <f>L119*(1-IFERROR(IF(M$69+$F119&lt;=12,SUMIFS('Attrition Modeling'!$D:$D,'Attrition Modeling'!$C:$C,'IP Attrition'!$D119,'Attrition Modeling'!$B:$B,'IP Attrition'!M$68),VLOOKUP($F119+M$2,$A$6:$C$106,2,FALSE)*VLOOKUP(M$1,'Attrition Modeling'!$L$15:$N$27,IF(M$2+$F52&lt;=24,2,3),FALSE)),$C$3)*(1+Projection!O$16)*(1+IF(M184&gt;0,'Attrition Modeling'!$N$9,0)))</f>
        <v>0</v>
      </c>
      <c r="N119" s="799">
        <f>M119*(1-IFERROR(IF(N$69+$F119&lt;=12,SUMIFS('Attrition Modeling'!$D:$D,'Attrition Modeling'!$C:$C,'IP Attrition'!$D119,'Attrition Modeling'!$B:$B,'IP Attrition'!N$68),VLOOKUP($F119+N$2,$A$6:$C$106,2,FALSE)*VLOOKUP(N$1,'Attrition Modeling'!$L$15:$N$27,IF(N$2+$F52&lt;=24,2,3),FALSE)),$C$3)*(1+Projection!P$16)*(1+IF(N184&gt;0,'Attrition Modeling'!$N$9,0)))</f>
        <v>0</v>
      </c>
      <c r="O119" s="799">
        <f>N119*(1-IFERROR(IF(O$69+$F119&lt;=12,SUMIFS('Attrition Modeling'!$D:$D,'Attrition Modeling'!$C:$C,'IP Attrition'!$D119,'Attrition Modeling'!$B:$B,'IP Attrition'!O$68),VLOOKUP($F119+O$2,$A$6:$C$106,2,FALSE)*VLOOKUP(O$1,'Attrition Modeling'!$L$15:$N$27,IF(O$2+$F52&lt;=24,2,3),FALSE)),$C$3)*(1+Projection!Q$16)*(1+IF(O184&gt;0,'Attrition Modeling'!$N$9,0)))</f>
        <v>0</v>
      </c>
      <c r="P119" s="799">
        <f>O119*(1-IFERROR(IF(P$69+$F119&lt;=12,SUMIFS('Attrition Modeling'!$D:$D,'Attrition Modeling'!$C:$C,'IP Attrition'!$D119,'Attrition Modeling'!$B:$B,'IP Attrition'!P$68),VLOOKUP($F119+P$2,$A$6:$C$106,2,FALSE)*VLOOKUP(P$1,'Attrition Modeling'!$L$15:$N$27,IF(P$2+$F52&lt;=24,2,3),FALSE)),$C$3)*(1+Projection!R$16)*(1+IF(P184&gt;0,'Attrition Modeling'!$N$9,0)))</f>
        <v>0</v>
      </c>
      <c r="Q119" s="799">
        <f>P119*(1-IFERROR(IF(Q$69+$F119&lt;=12,SUMIFS('Attrition Modeling'!$D:$D,'Attrition Modeling'!$C:$C,'IP Attrition'!$D119,'Attrition Modeling'!$B:$B,'IP Attrition'!Q$68),VLOOKUP($F119+Q$2,$A$6:$C$106,2,FALSE)*VLOOKUP(Q$1,'Attrition Modeling'!$L$15:$N$27,IF(Q$2+$F52&lt;=24,2,3),FALSE)),$C$3)*(1+Projection!S$16)*(1+IF(Q184&gt;0,'Attrition Modeling'!$N$9,0)))</f>
        <v>0</v>
      </c>
      <c r="R119" s="799">
        <f>Q119*(1-IFERROR(IF(R$69+$F119&lt;=12,SUMIFS('Attrition Modeling'!$D:$D,'Attrition Modeling'!$C:$C,'IP Attrition'!$D119,'Attrition Modeling'!$B:$B,'IP Attrition'!R$68),VLOOKUP($F119+R$2,$A$6:$C$106,2,FALSE)*VLOOKUP(R$1,'Attrition Modeling'!$L$15:$N$27,IF(R$2+$F52&lt;=24,2,3),FALSE)),$C$3)*(1+Projection!T$16)*(1+IF(R184&gt;0,'Attrition Modeling'!$N$9,0)))</f>
        <v>0</v>
      </c>
      <c r="S119" s="799">
        <f>R119*(1-IFERROR(IF(S$69+$F119&lt;=12,SUMIFS('Attrition Modeling'!$D:$D,'Attrition Modeling'!$C:$C,'IP Attrition'!$D119,'Attrition Modeling'!$B:$B,'IP Attrition'!S$68),VLOOKUP($F119+S$2,$A$6:$C$106,2,FALSE)*VLOOKUP(S$1,'Attrition Modeling'!$L$15:$N$27,IF(S$2+$F52&lt;=24,2,3),FALSE)),$C$3)*(1+Projection!U$16)*(1+IF(S184&gt;0,'Attrition Modeling'!$N$9,0)))</f>
        <v>0</v>
      </c>
      <c r="T119" s="799">
        <f>S119*(1-IFERROR(IF(T$69+$F119&lt;=12,SUMIFS('Attrition Modeling'!$D:$D,'Attrition Modeling'!$C:$C,'IP Attrition'!$D119,'Attrition Modeling'!$B:$B,'IP Attrition'!T$68),VLOOKUP($F119+T$2,$A$6:$C$106,2,FALSE)*VLOOKUP(T$1,'Attrition Modeling'!$L$15:$N$27,IF(T$2+$F52&lt;=24,2,3),FALSE)),$C$3)*(1+Projection!V$16)*(1+IF(T184&gt;0,'Attrition Modeling'!$N$9,0)))</f>
        <v>0</v>
      </c>
      <c r="U119" s="799">
        <f>T119*(1-IFERROR(IF(U$69+$F119&lt;=12,SUMIFS('Attrition Modeling'!$D:$D,'Attrition Modeling'!$C:$C,'IP Attrition'!$D119,'Attrition Modeling'!$B:$B,'IP Attrition'!U$68),VLOOKUP($F119+U$2,$A$6:$C$106,2,FALSE)*VLOOKUP(U$1,'Attrition Modeling'!$L$15:$N$27,IF(U$2+$F52&lt;=24,2,3),FALSE)),$C$3)*(1+Projection!W$16)*(1+IF(U184&gt;0,'Attrition Modeling'!$N$9,0)))</f>
        <v>0</v>
      </c>
      <c r="V119" s="799">
        <f>U119*(1-IFERROR(IF(V$69+$F119&lt;=12,SUMIFS('Attrition Modeling'!$D:$D,'Attrition Modeling'!$C:$C,'IP Attrition'!$D119,'Attrition Modeling'!$B:$B,'IP Attrition'!V$68),VLOOKUP($F119+V$2,$A$6:$C$106,2,FALSE)*VLOOKUP(V$1,'Attrition Modeling'!$L$15:$N$27,IF(V$2+$F52&lt;=24,2,3),FALSE)),$C$3)*(1+Projection!X$16)*(1+IF(V184&gt;0,'Attrition Modeling'!$N$9,0)))</f>
        <v>0</v>
      </c>
      <c r="W119" s="799">
        <f>V119*(1-IFERROR(IF(W$69+$F119&lt;=12,SUMIFS('Attrition Modeling'!$D:$D,'Attrition Modeling'!$C:$C,'IP Attrition'!$D119,'Attrition Modeling'!$B:$B,'IP Attrition'!W$68),VLOOKUP($F119+W$2,$A$6:$C$106,2,FALSE)*VLOOKUP(W$1,'Attrition Modeling'!$L$15:$N$27,IF(W$2+$F52&lt;=24,2,3),FALSE)),$C$3)*(1+Projection!Y$16)*(1+IF(W184&gt;0,'Attrition Modeling'!$N$9,0)))</f>
        <v>0</v>
      </c>
      <c r="X119" s="799">
        <f>W119*(1-IFERROR(IF(X$69+$F119&lt;=12,SUMIFS('Attrition Modeling'!$D:$D,'Attrition Modeling'!$C:$C,'IP Attrition'!$D119,'Attrition Modeling'!$B:$B,'IP Attrition'!X$68),VLOOKUP($F119+X$2,$A$6:$C$106,2,FALSE)*VLOOKUP(X$1,'Attrition Modeling'!$L$15:$N$27,IF(X$2+$F52&lt;=24,2,3),FALSE)),$C$3)*(1+Projection!Z$16)*(1+IF(X184&gt;0,'Attrition Modeling'!$N$9,0)))</f>
        <v>0</v>
      </c>
      <c r="Y119" s="799">
        <f>X119*(1-IFERROR(IF(Y$69+$F119&lt;=12,SUMIFS('Attrition Modeling'!$D:$D,'Attrition Modeling'!$C:$C,'IP Attrition'!$D119,'Attrition Modeling'!$B:$B,'IP Attrition'!Y$68),VLOOKUP($F119+Y$2,$A$6:$C$106,2,FALSE)*VLOOKUP(Y$1,'Attrition Modeling'!$L$15:$N$27,IF(Y$2+$F52&lt;=24,2,3),FALSE)),$C$3)*(1+Projection!AA$16)*(1+IF(Y184&gt;0,'Attrition Modeling'!$N$9,0)))</f>
        <v>0</v>
      </c>
      <c r="Z119" s="799">
        <f>Y119*(1-IFERROR(IF(Z$69+$F119&lt;=12,SUMIFS('Attrition Modeling'!$D:$D,'Attrition Modeling'!$C:$C,'IP Attrition'!$D119,'Attrition Modeling'!$B:$B,'IP Attrition'!Z$68),VLOOKUP($F119+Z$2,$A$6:$C$106,2,FALSE)*VLOOKUP(Z$1,'Attrition Modeling'!$L$15:$N$27,IF(Z$2+$F52&lt;=24,2,3),FALSE)),$C$3)*(1+Projection!AB$16)*(1+IF(Z184&gt;0,'Attrition Modeling'!$N$9,0)))</f>
        <v>0</v>
      </c>
      <c r="AA119" s="799">
        <f>Z119*(1-IFERROR(IF(AA$69+$F119&lt;=12,SUMIFS('Attrition Modeling'!$D:$D,'Attrition Modeling'!$C:$C,'IP Attrition'!$D119,'Attrition Modeling'!$B:$B,'IP Attrition'!AA$68),VLOOKUP($F119+AA$2,$A$6:$C$106,2,FALSE)*VLOOKUP(AA$1,'Attrition Modeling'!$L$15:$N$27,IF(AA$2+$F52&lt;=24,2,3),FALSE)),$C$3)*(1+Projection!AC$16)*(1+IF(AA184&gt;0,'Attrition Modeling'!$N$9,0)))</f>
        <v>0</v>
      </c>
      <c r="AB119" s="799">
        <f>AA119*(1-IFERROR(IF(AB$69+$F119&lt;=12,SUMIFS('Attrition Modeling'!$D:$D,'Attrition Modeling'!$C:$C,'IP Attrition'!$D119,'Attrition Modeling'!$B:$B,'IP Attrition'!AB$68),VLOOKUP($F119+AB$2,$A$6:$C$106,2,FALSE)*VLOOKUP(AB$1,'Attrition Modeling'!$L$15:$N$27,IF(AB$2+$F52&lt;=24,2,3),FALSE)),$C$3)*(1+Projection!AD$16)*(1+IF(AB184&gt;0,'Attrition Modeling'!$N$9,0)))</f>
        <v>0</v>
      </c>
      <c r="AC119" s="799">
        <f>AB119*(1-IFERROR(IF(AC$69+$F119&lt;=12,SUMIFS('Attrition Modeling'!$D:$D,'Attrition Modeling'!$C:$C,'IP Attrition'!$D119,'Attrition Modeling'!$B:$B,'IP Attrition'!AC$68),VLOOKUP($F119+AC$2,$A$6:$C$106,2,FALSE)*VLOOKUP(AC$1,'Attrition Modeling'!$L$15:$N$27,IF(AC$2+$F52&lt;=24,2,3),FALSE)),$C$3)*(1+Projection!AE$16)*(1+IF(AC184&gt;0,'Attrition Modeling'!$N$9,0)))</f>
        <v>0</v>
      </c>
      <c r="AD119" s="799">
        <f>AC119*(1-IFERROR(IF(AD$69+$F119&lt;=12,SUMIFS('Attrition Modeling'!$D:$D,'Attrition Modeling'!$C:$C,'IP Attrition'!$D119,'Attrition Modeling'!$B:$B,'IP Attrition'!AD$68),VLOOKUP($F119+AD$2,$A$6:$C$106,2,FALSE)*VLOOKUP(AD$1,'Attrition Modeling'!$L$15:$N$27,IF(AD$2+$F52&lt;=24,2,3),FALSE)),$C$3)*(1+Projection!AF$16)*(1+IF(AD184&gt;0,'Attrition Modeling'!$N$9,0)))</f>
        <v>0</v>
      </c>
      <c r="AE119" s="799">
        <f>AD119*(1-IFERROR(IF(AE$69+$F119&lt;=12,SUMIFS('Attrition Modeling'!$D:$D,'Attrition Modeling'!$C:$C,'IP Attrition'!$D119,'Attrition Modeling'!$B:$B,'IP Attrition'!AE$68),VLOOKUP($F119+AE$2,$A$6:$C$106,2,FALSE)*VLOOKUP(AE$1,'Attrition Modeling'!$L$15:$N$27,IF(AE$2+$F52&lt;=24,2,3),FALSE)),$C$3)*(1+Projection!AG$16)*(1+IF(AE184&gt;0,'Attrition Modeling'!$N$9,0)))</f>
        <v>0</v>
      </c>
      <c r="AF119" s="799">
        <f>AE119*(1-IFERROR(IF(AF$69+$F119&lt;=12,SUMIFS('Attrition Modeling'!$D:$D,'Attrition Modeling'!$C:$C,'IP Attrition'!$D119,'Attrition Modeling'!$B:$B,'IP Attrition'!AF$68),VLOOKUP($F119+AF$2,$A$6:$C$106,2,FALSE)*VLOOKUP(AF$1,'Attrition Modeling'!$L$15:$N$27,IF(AF$2+$F52&lt;=24,2,3),FALSE)),$C$3)*(1+Projection!AH$16)*(1+IF(AF184&gt;0,'Attrition Modeling'!$N$9,0)))</f>
        <v>0</v>
      </c>
      <c r="AG119" s="799">
        <f>AF119*(1-IFERROR(IF(AG$69+$F119&lt;=12,SUMIFS('Attrition Modeling'!$D:$D,'Attrition Modeling'!$C:$C,'IP Attrition'!$D119,'Attrition Modeling'!$B:$B,'IP Attrition'!AG$68),VLOOKUP($F119+AG$2,$A$6:$C$106,2,FALSE)*VLOOKUP(AG$1,'Attrition Modeling'!$L$15:$N$27,IF(AG$2+$F52&lt;=24,2,3),FALSE)),$C$3)*(1+Projection!AI$16)*(1+IF(AG184&gt;0,'Attrition Modeling'!$N$9,0)))</f>
        <v>0</v>
      </c>
      <c r="AH119" s="799">
        <f>AG119*(1-IFERROR(IF(AH$69+$F119&lt;=12,SUMIFS('Attrition Modeling'!$D:$D,'Attrition Modeling'!$C:$C,'IP Attrition'!$D119,'Attrition Modeling'!$B:$B,'IP Attrition'!AH$68),VLOOKUP($F119+AH$2,$A$6:$C$106,2,FALSE)*VLOOKUP(AH$1,'Attrition Modeling'!$L$15:$N$27,IF(AH$2+$F52&lt;=24,2,3),FALSE)),$C$3)*(1+Projection!AJ$16)*(1+IF(AH184&gt;0,'Attrition Modeling'!$N$9,0)))</f>
        <v>0</v>
      </c>
      <c r="AI119" s="799">
        <f>AH119*(1-IFERROR(IF(AI$69+$F119&lt;=12,SUMIFS('Attrition Modeling'!$D:$D,'Attrition Modeling'!$C:$C,'IP Attrition'!$D119,'Attrition Modeling'!$B:$B,'IP Attrition'!AI$68),VLOOKUP($F119+AI$2,$A$6:$C$106,2,FALSE)*VLOOKUP(AI$1,'Attrition Modeling'!$L$15:$N$27,IF(AI$2+$F52&lt;=24,2,3),FALSE)),$C$3)*(1+Projection!AK$16)*(1+IF(AI184&gt;0,'Attrition Modeling'!$N$9,0)))</f>
        <v>0</v>
      </c>
      <c r="AJ119" s="799">
        <f>AI119*(1-IFERROR(IF(AJ$69+$F119&lt;=12,SUMIFS('Attrition Modeling'!$D:$D,'Attrition Modeling'!$C:$C,'IP Attrition'!$D119,'Attrition Modeling'!$B:$B,'IP Attrition'!AJ$68),VLOOKUP($F119+AJ$2,$A$6:$C$106,2,FALSE)*VLOOKUP(AJ$1,'Attrition Modeling'!$L$15:$N$27,IF(AJ$2+$F52&lt;=24,2,3),FALSE)),$C$3)*(1+Projection!AL$16)*(1+IF(AJ184&gt;0,'Attrition Modeling'!$N$9,0)))</f>
        <v>0</v>
      </c>
      <c r="AK119" s="799">
        <f>AJ119*(1-IFERROR(IF(AK$69+$F119&lt;=12,SUMIFS('Attrition Modeling'!$D:$D,'Attrition Modeling'!$C:$C,'IP Attrition'!$D119,'Attrition Modeling'!$B:$B,'IP Attrition'!AK$68),VLOOKUP($F119+AK$2,$A$6:$C$106,2,FALSE)*VLOOKUP(AK$1,'Attrition Modeling'!$L$15:$N$27,IF(AK$2+$F52&lt;=24,2,3),FALSE)),$C$3)*(1+Projection!AM$16)*(1+IF(AK184&gt;0,'Attrition Modeling'!$N$9,0)))</f>
        <v>0</v>
      </c>
      <c r="AL119" s="799">
        <f>AK119*(1-IFERROR(IF(AL$69+$F119&lt;=12,SUMIFS('Attrition Modeling'!$D:$D,'Attrition Modeling'!$C:$C,'IP Attrition'!$D119,'Attrition Modeling'!$B:$B,'IP Attrition'!AL$68),VLOOKUP($F119+AL$2,$A$6:$C$106,2,FALSE)*VLOOKUP(AL$1,'Attrition Modeling'!$L$15:$N$27,IF(AL$2+$F52&lt;=24,2,3),FALSE)),$C$3)*(1+Projection!AN$16)*(1+IF(AL184&gt;0,'Attrition Modeling'!$N$9,0)))</f>
        <v>0</v>
      </c>
      <c r="AM119" s="799">
        <f>AL119*(1-IFERROR(IF(AM$69+$F119&lt;=12,SUMIFS('Attrition Modeling'!$D:$D,'Attrition Modeling'!$C:$C,'IP Attrition'!$D119,'Attrition Modeling'!$B:$B,'IP Attrition'!AM$68),VLOOKUP($F119+AM$2,$A$6:$C$106,2,FALSE)*VLOOKUP(AM$1,'Attrition Modeling'!$L$15:$N$27,IF(AM$2+$F52&lt;=24,2,3),FALSE)),$C$3)*(1+Projection!AO$16)*(1+IF(AM184&gt;0,'Attrition Modeling'!$N$9,0)))</f>
        <v>0</v>
      </c>
      <c r="AN119" s="799">
        <f>AM119*(1-IFERROR(IF(AN$69+$F119&lt;=12,SUMIFS('Attrition Modeling'!$D:$D,'Attrition Modeling'!$C:$C,'IP Attrition'!$D119,'Attrition Modeling'!$B:$B,'IP Attrition'!AN$68),VLOOKUP($F119+AN$2,$A$6:$C$106,2,FALSE)*VLOOKUP(AN$1,'Attrition Modeling'!$L$15:$N$27,IF(AN$2+$F52&lt;=24,2,3),FALSE)),$C$3)*(1+Projection!AP$16)*(1+IF(AN184&gt;0,'Attrition Modeling'!$N$9,0)))</f>
        <v>0</v>
      </c>
      <c r="AO119" s="799">
        <f>AN119*(1-IFERROR(IF(AO$69+$F119&lt;=12,SUMIFS('Attrition Modeling'!$D:$D,'Attrition Modeling'!$C:$C,'IP Attrition'!$D119,'Attrition Modeling'!$B:$B,'IP Attrition'!AO$68),VLOOKUP($F119+AO$2,$A$6:$C$106,2,FALSE)*VLOOKUP(AO$1,'Attrition Modeling'!$L$15:$N$27,IF(AO$2+$F52&lt;=24,2,3),FALSE)),$C$3)*(1+Projection!AQ$16)*(1+IF(AO184&gt;0,'Attrition Modeling'!$N$9,0)))</f>
        <v>0</v>
      </c>
      <c r="AP119" s="799">
        <f>AO119*(1-IFERROR(IF(AP$69+$F119&lt;=12,SUMIFS('Attrition Modeling'!$D:$D,'Attrition Modeling'!$C:$C,'IP Attrition'!$D119,'Attrition Modeling'!$B:$B,'IP Attrition'!AP$68),VLOOKUP($F119+AP$2,$A$6:$C$106,2,FALSE)*VLOOKUP(AP$1,'Attrition Modeling'!$L$15:$N$27,IF(AP$2+$F52&lt;=24,2,3),FALSE)),$C$3)*(1+Projection!AR$16)*(1+IF(AP184&gt;0,'Attrition Modeling'!$N$9,0)))</f>
        <v>0</v>
      </c>
      <c r="AQ119" s="799">
        <f>AP119*(1-IFERROR(IF(AQ$69+$F119&lt;=12,SUMIFS('Attrition Modeling'!$D:$D,'Attrition Modeling'!$C:$C,'IP Attrition'!$D119,'Attrition Modeling'!$B:$B,'IP Attrition'!AQ$68),VLOOKUP($F119+AQ$2,$A$6:$C$106,2,FALSE)*VLOOKUP(AQ$1,'Attrition Modeling'!$L$15:$N$27,IF(AQ$2+$F52&lt;=24,2,3),FALSE)),$C$3)*(1+Projection!AS$16)*(1+IF(AQ184&gt;0,'Attrition Modeling'!$N$9,0)))</f>
        <v>0</v>
      </c>
      <c r="AR119" s="799">
        <f>AQ119*(1-IFERROR(IF(AR$69+$F119&lt;=12,SUMIFS('Attrition Modeling'!$D:$D,'Attrition Modeling'!$C:$C,'IP Attrition'!$D119,'Attrition Modeling'!$B:$B,'IP Attrition'!AR$68),VLOOKUP($F119+AR$2,$A$6:$C$106,2,FALSE)*VLOOKUP(AR$1,'Attrition Modeling'!$L$15:$N$27,IF(AR$2+$F52&lt;=24,2,3),FALSE)),$C$3)*(1+Projection!AT$16)*(1+IF(AR184&gt;0,'Attrition Modeling'!$N$9,0)))</f>
        <v>0</v>
      </c>
      <c r="AS119" s="799">
        <f>AR119*(1-IFERROR(IF(AS$69+$F119&lt;=12,SUMIFS('Attrition Modeling'!$D:$D,'Attrition Modeling'!$C:$C,'IP Attrition'!$D119,'Attrition Modeling'!$B:$B,'IP Attrition'!AS$68),VLOOKUP($F119+AS$2,$A$6:$C$106,2,FALSE)*VLOOKUP(AS$1,'Attrition Modeling'!$L$15:$N$27,IF(AS$2+$F52&lt;=24,2,3),FALSE)),$C$3)*(1+Projection!AU$16)*(1+IF(AS184&gt;0,'Attrition Modeling'!$N$9,0)))</f>
        <v>0</v>
      </c>
      <c r="AT119" s="799">
        <f>AS119*(1-IFERROR(IF(AT$69+$F119&lt;=12,SUMIFS('Attrition Modeling'!$D:$D,'Attrition Modeling'!$C:$C,'IP Attrition'!$D119,'Attrition Modeling'!$B:$B,'IP Attrition'!AT$68),VLOOKUP($F119+AT$2,$A$6:$C$106,2,FALSE)*VLOOKUP(AT$1,'Attrition Modeling'!$L$15:$N$27,IF(AT$2+$F52&lt;=24,2,3),FALSE)),$C$3)*(1+Projection!AV$16)*(1+IF(AT184&gt;0,'Attrition Modeling'!$N$9,0)))</f>
        <v>0</v>
      </c>
      <c r="AU119" s="799">
        <f>AT119*(1-IFERROR(IF(AU$69+$F119&lt;=12,SUMIFS('Attrition Modeling'!$D:$D,'Attrition Modeling'!$C:$C,'IP Attrition'!$D119,'Attrition Modeling'!$B:$B,'IP Attrition'!AU$68),VLOOKUP($F119+AU$2,$A$6:$C$106,2,FALSE)*VLOOKUP(AU$1,'Attrition Modeling'!$L$15:$N$27,IF(AU$2+$F52&lt;=24,2,3),FALSE)),$C$3)*(1+Projection!AW$16)*(1+IF(AU184&gt;0,'Attrition Modeling'!$N$9,0)))</f>
        <v>0</v>
      </c>
      <c r="AV119" s="799">
        <f>AU119*(1-IFERROR(IF(AV$69+$F119&lt;=12,SUMIFS('Attrition Modeling'!$D:$D,'Attrition Modeling'!$C:$C,'IP Attrition'!$D119,'Attrition Modeling'!$B:$B,'IP Attrition'!AV$68),VLOOKUP($F119+AV$2,$A$6:$C$106,2,FALSE)*VLOOKUP(AV$1,'Attrition Modeling'!$L$15:$N$27,IF(AV$2+$F52&lt;=24,2,3),FALSE)),$C$3)*(1+Projection!AX$16)*(1+IF(AV184&gt;0,'Attrition Modeling'!$N$9,0)))</f>
        <v>0</v>
      </c>
      <c r="AW119" s="799">
        <f>AV119*(1-IFERROR(IF(AW$69+$F119&lt;=12,SUMIFS('Attrition Modeling'!$D:$D,'Attrition Modeling'!$C:$C,'IP Attrition'!$D119,'Attrition Modeling'!$B:$B,'IP Attrition'!AW$68),VLOOKUP($F119+AW$2,$A$6:$C$106,2,FALSE)*VLOOKUP(AW$1,'Attrition Modeling'!$L$15:$N$27,IF(AW$2+$F52&lt;=24,2,3),FALSE)),$C$3)*(1+Projection!AY$16)*(1+IF(AW184&gt;0,'Attrition Modeling'!$N$9,0)))</f>
        <v>0</v>
      </c>
      <c r="AX119" s="799">
        <f>AW119*(1-IFERROR(IF(AX$69+$F119&lt;=12,SUMIFS('Attrition Modeling'!$D:$D,'Attrition Modeling'!$C:$C,'IP Attrition'!$D119,'Attrition Modeling'!$B:$B,'IP Attrition'!AX$68),VLOOKUP($F119+AX$2,$A$6:$C$106,2,FALSE)*VLOOKUP(AX$1,'Attrition Modeling'!$L$15:$N$27,IF(AX$2+$F52&lt;=24,2,3),FALSE)),$C$3)*(1+Projection!AZ$16)*(1+IF(AX184&gt;0,'Attrition Modeling'!$N$9,0)))</f>
        <v>0</v>
      </c>
      <c r="AY119" s="799">
        <f>AX119*(1-IFERROR(IF(AY$69+$F119&lt;=12,SUMIFS('Attrition Modeling'!$D:$D,'Attrition Modeling'!$C:$C,'IP Attrition'!$D119,'Attrition Modeling'!$B:$B,'IP Attrition'!AY$68),VLOOKUP($F119+AY$2,$A$6:$C$106,2,FALSE)*VLOOKUP(AY$1,'Attrition Modeling'!$L$15:$N$27,IF(AY$2+$F52&lt;=24,2,3),FALSE)),$C$3)*(1+Projection!BA$16)*(1+IF(AY184&gt;0,'Attrition Modeling'!$N$9,0)))</f>
        <v>0</v>
      </c>
      <c r="AZ119" s="799">
        <f>AY119*(1-IFERROR(IF(AZ$69+$F119&lt;=12,SUMIFS('Attrition Modeling'!$D:$D,'Attrition Modeling'!$C:$C,'IP Attrition'!$D119,'Attrition Modeling'!$B:$B,'IP Attrition'!AZ$68),VLOOKUP($F119+AZ$2,$A$6:$C$106,2,FALSE)*VLOOKUP(AZ$1,'Attrition Modeling'!$L$15:$N$27,IF(AZ$2+$F52&lt;=24,2,3),FALSE)),$C$3)*(1+Projection!BB$16)*(1+IF(AZ184&gt;0,'Attrition Modeling'!$N$9,0)))</f>
        <v>0</v>
      </c>
      <c r="BA119" s="799">
        <f>AZ119*(1-IFERROR(IF(BA$69+$F119&lt;=12,SUMIFS('Attrition Modeling'!$D:$D,'Attrition Modeling'!$C:$C,'IP Attrition'!$D119,'Attrition Modeling'!$B:$B,'IP Attrition'!BA$68),VLOOKUP($F119+BA$2,$A$6:$C$106,2,FALSE)*VLOOKUP(BA$1,'Attrition Modeling'!$L$15:$N$27,IF(BA$2+$F52&lt;=24,2,3),FALSE)),$C$3)*(1+Projection!BC$16)*(1+IF(BA184&gt;0,'Attrition Modeling'!$N$9,0)))</f>
        <v>0</v>
      </c>
      <c r="BB119" s="799">
        <f>BA119*(1-IFERROR(IF(BB$69+$F119&lt;=12,SUMIFS('Attrition Modeling'!$D:$D,'Attrition Modeling'!$C:$C,'IP Attrition'!$D119,'Attrition Modeling'!$B:$B,'IP Attrition'!BB$68),VLOOKUP($F119+BB$2,$A$6:$C$106,2,FALSE)*VLOOKUP(BB$1,'Attrition Modeling'!$L$15:$N$27,IF(BB$2+$F52&lt;=24,2,3),FALSE)),$C$3)*(1+Projection!BD$16)*(1+IF(BB184&gt;0,'Attrition Modeling'!$N$9,0)))</f>
        <v>0</v>
      </c>
      <c r="BC119" s="799">
        <f>BB119*(1-IFERROR(IF(BC$69+$F119&lt;=12,SUMIFS('Attrition Modeling'!$D:$D,'Attrition Modeling'!$C:$C,'IP Attrition'!$D119,'Attrition Modeling'!$B:$B,'IP Attrition'!BC$68),VLOOKUP($F119+BC$2,$A$6:$C$106,2,FALSE)*VLOOKUP(BC$1,'Attrition Modeling'!$L$15:$N$27,IF(BC$2+$F52&lt;=24,2,3),FALSE)),$C$3)*(1+Projection!BE$16)*(1+IF(BC184&gt;0,'Attrition Modeling'!$N$9,0)))</f>
        <v>0</v>
      </c>
      <c r="BD119" s="799">
        <f>BC119*(1-IFERROR(IF(BD$69+$F119&lt;=12,SUMIFS('Attrition Modeling'!$D:$D,'Attrition Modeling'!$C:$C,'IP Attrition'!$D119,'Attrition Modeling'!$B:$B,'IP Attrition'!BD$68),VLOOKUP($F119+BD$2,$A$6:$C$106,2,FALSE)*VLOOKUP(BD$1,'Attrition Modeling'!$L$15:$N$27,IF(BD$2+$F52&lt;=24,2,3),FALSE)),$C$3)*(1+Projection!BF$16)*(1+IF(BD184&gt;0,'Attrition Modeling'!$N$9,0)))</f>
        <v>0</v>
      </c>
      <c r="BE119" s="799">
        <f>BD119*(1-IFERROR(IF(BE$69+$F119&lt;=12,SUMIFS('Attrition Modeling'!$D:$D,'Attrition Modeling'!$C:$C,'IP Attrition'!$D119,'Attrition Modeling'!$B:$B,'IP Attrition'!BE$68),VLOOKUP($F119+BE$2,$A$6:$C$106,2,FALSE)*VLOOKUP(BE$1,'Attrition Modeling'!$L$15:$N$27,IF(BE$2+$F52&lt;=24,2,3),FALSE)),$C$3)*(1+Projection!BG$16)*(1+IF(BE184&gt;0,'Attrition Modeling'!$N$9,0)))</f>
        <v>0</v>
      </c>
      <c r="BF119" s="799">
        <f>BE119*(1-IFERROR(IF(BF$69+$F119&lt;=12,SUMIFS('Attrition Modeling'!$D:$D,'Attrition Modeling'!$C:$C,'IP Attrition'!$D119,'Attrition Modeling'!$B:$B,'IP Attrition'!BF$68),VLOOKUP($F119+BF$2,$A$6:$C$106,2,FALSE)*VLOOKUP(BF$1,'Attrition Modeling'!$L$15:$N$27,IF(BF$2+$F52&lt;=24,2,3),FALSE)),$C$3)*(1+Projection!BH$16)*(1+IF(BF184&gt;0,'Attrition Modeling'!$N$9,0)))</f>
        <v>0</v>
      </c>
      <c r="BG119" s="799">
        <f>BF119*(1-IFERROR(IF(BG$69+$F119&lt;=12,SUMIFS('Attrition Modeling'!$D:$D,'Attrition Modeling'!$C:$C,'IP Attrition'!$D119,'Attrition Modeling'!$B:$B,'IP Attrition'!BG$68),VLOOKUP($F119+BG$2,$A$6:$C$106,2,FALSE)*VLOOKUP(BG$1,'Attrition Modeling'!$L$15:$N$27,IF(BG$2+$F52&lt;=24,2,3),FALSE)),$C$3)*(1+Projection!BI$16)*(1+IF(BG184&gt;0,'Attrition Modeling'!$N$9,0)))</f>
        <v>0</v>
      </c>
      <c r="BH119" s="799">
        <f>BG119*(1-IFERROR(IF(BH$69+$F119&lt;=12,SUMIFS('Attrition Modeling'!$D:$D,'Attrition Modeling'!$C:$C,'IP Attrition'!$D119,'Attrition Modeling'!$B:$B,'IP Attrition'!BH$68),VLOOKUP($F119+BH$2,$A$6:$C$106,2,FALSE)*VLOOKUP(BH$1,'Attrition Modeling'!$L$15:$N$27,IF(BH$2+$F52&lt;=24,2,3),FALSE)),$C$3)*(1+Projection!BJ$16)*(1+IF(BH184&gt;0,'Attrition Modeling'!$N$9,0)))</f>
        <v>0</v>
      </c>
      <c r="BI119" s="799">
        <f>BH119*(1-IFERROR(IF(BI$69+$F119&lt;=12,SUMIFS('Attrition Modeling'!$D:$D,'Attrition Modeling'!$C:$C,'IP Attrition'!$D119,'Attrition Modeling'!$B:$B,'IP Attrition'!BI$68),VLOOKUP($F119+BI$2,$A$6:$C$106,2,FALSE)*VLOOKUP(BI$1,'Attrition Modeling'!$L$15:$N$27,IF(BI$2+$F52&lt;=24,2,3),FALSE)),$C$3)*(1+Projection!BK$16)*(1+IF(BI184&gt;0,'Attrition Modeling'!$N$9,0)))</f>
        <v>0</v>
      </c>
      <c r="BJ119" s="799">
        <f>BI119*(1-IFERROR(IF(BJ$69+$F119&lt;=12,SUMIFS('Attrition Modeling'!$D:$D,'Attrition Modeling'!$C:$C,'IP Attrition'!$D119,'Attrition Modeling'!$B:$B,'IP Attrition'!BJ$68),VLOOKUP($F119+BJ$2,$A$6:$C$106,2,FALSE)*VLOOKUP(BJ$1,'Attrition Modeling'!$L$15:$N$27,IF(BJ$2+$F52&lt;=24,2,3),FALSE)),$C$3)*(1+Projection!BL$16)*(1+IF(BJ184&gt;0,'Attrition Modeling'!$N$9,0)))</f>
        <v>0</v>
      </c>
      <c r="BK119" s="799">
        <f>BJ119*(1-IFERROR(IF(BK$69+$F119&lt;=12,SUMIFS('Attrition Modeling'!$D:$D,'Attrition Modeling'!$C:$C,'IP Attrition'!$D119,'Attrition Modeling'!$B:$B,'IP Attrition'!BK$68),VLOOKUP($F119+BK$2,$A$6:$C$106,2,FALSE)*VLOOKUP(BK$1,'Attrition Modeling'!$L$15:$N$27,IF(BK$2+$F52&lt;=24,2,3),FALSE)),$C$3)*(1+Projection!BM$16)*(1+IF(BK184&gt;0,'Attrition Modeling'!$N$9,0)))</f>
        <v>0</v>
      </c>
      <c r="BL119" s="799">
        <f>BK119*(1-IFERROR(IF(BL$69+$F119&lt;=12,SUMIFS('Attrition Modeling'!$D:$D,'Attrition Modeling'!$C:$C,'IP Attrition'!$D119,'Attrition Modeling'!$B:$B,'IP Attrition'!BL$68),VLOOKUP($F119+BL$2,$A$6:$C$106,2,FALSE)*VLOOKUP(BL$1,'Attrition Modeling'!$L$15:$N$27,IF(BL$2+$F52&lt;=24,2,3),FALSE)),$C$3)*(1+Projection!BN$16)*(1+IF(BL184&gt;0,'Attrition Modeling'!$N$9,0)))</f>
        <v>0</v>
      </c>
      <c r="BM119" s="799">
        <f>BL119*(1-IFERROR(IF(BM$69+$F119&lt;=12,SUMIFS('Attrition Modeling'!$D:$D,'Attrition Modeling'!$C:$C,'IP Attrition'!$D119,'Attrition Modeling'!$B:$B,'IP Attrition'!BM$68),VLOOKUP($F119+BM$2,$A$6:$C$106,2,FALSE)*VLOOKUP(BM$1,'Attrition Modeling'!$L$15:$N$27,IF(BM$2+$F52&lt;=24,2,3),FALSE)),$C$3)*(1+Projection!BO$16)*(1+IF(BM184&gt;0,'Attrition Modeling'!$N$9,0)))</f>
        <v>0</v>
      </c>
      <c r="BN119" s="799">
        <f>BM119*(1-IFERROR(IF(BN$69+$F119&lt;=12,SUMIFS('Attrition Modeling'!$D:$D,'Attrition Modeling'!$C:$C,'IP Attrition'!$D119,'Attrition Modeling'!$B:$B,'IP Attrition'!BN$68),VLOOKUP($F119+BN$2,$A$6:$C$106,2,FALSE)*VLOOKUP(BN$1,'Attrition Modeling'!$L$15:$N$27,IF(BN$2+$F52&lt;=24,2,3),FALSE)),$C$3)*(1+Projection!BP$16)*(1+IF(BN184&gt;0,'Attrition Modeling'!$N$9,0)))</f>
        <v>0</v>
      </c>
      <c r="BO119" s="799">
        <f>BN119*(1-IFERROR(IF(BO$69+$F119&lt;=12,SUMIFS('Attrition Modeling'!$D:$D,'Attrition Modeling'!$C:$C,'IP Attrition'!$D119,'Attrition Modeling'!$B:$B,'IP Attrition'!BO$68),VLOOKUP($F119+BO$2,$A$6:$C$106,2,FALSE)*VLOOKUP(BO$1,'Attrition Modeling'!$L$15:$N$27,IF(BO$2+$F52&lt;=24,2,3),FALSE)),$C$3)*(1+Projection!BV$16)*(1+IF(BO184&gt;0,'Attrition Modeling'!$N$9,0)))</f>
        <v>0</v>
      </c>
      <c r="BP119" s="799">
        <f>BO119*(1-IFERROR(IF(BP$69+$F119&lt;=12,SUMIFS('Attrition Modeling'!$D:$D,'Attrition Modeling'!$C:$C,'IP Attrition'!$D119,'Attrition Modeling'!$B:$B,'IP Attrition'!BP$68),VLOOKUP($F119+BP$2,$A$6:$C$106,2,FALSE)*VLOOKUP(BP$1,'Attrition Modeling'!$L$15:$N$27,IF(BP$2+$F52&lt;=24,2,3),FALSE)),$C$3)*(1+Projection!BW$16)*(1+IF(BP184&gt;0,'Attrition Modeling'!$N$9,0)))</f>
        <v>0</v>
      </c>
      <c r="BQ119" s="799">
        <f>BP119*(1-IFERROR(IF(BQ$69+$F119&lt;=12,SUMIFS('Attrition Modeling'!$D:$D,'Attrition Modeling'!$C:$C,'IP Attrition'!$D119,'Attrition Modeling'!$B:$B,'IP Attrition'!BQ$68),VLOOKUP($F119+BQ$2,$A$6:$C$106,2,FALSE)*VLOOKUP(BQ$1,'Attrition Modeling'!$L$15:$N$27,IF(BQ$2+$F52&lt;=24,2,3),FALSE)),$C$3)*(1+Projection!BX$16)*(1+IF(BQ184&gt;0,'Attrition Modeling'!$N$9,0)))</f>
        <v>0</v>
      </c>
      <c r="BR119" s="799">
        <f>BQ119*(1-IFERROR(IF(BR$69+$F119&lt;=12,SUMIFS('Attrition Modeling'!$D:$D,'Attrition Modeling'!$C:$C,'IP Attrition'!$D119,'Attrition Modeling'!$B:$B,'IP Attrition'!BR$68),VLOOKUP($F119+BR$2,$A$6:$C$106,2,FALSE)*VLOOKUP(BR$1,'Attrition Modeling'!$L$15:$N$27,IF(BR$2+$F52&lt;=24,2,3),FALSE)),$C$3)*(1+Projection!BY$16)*(1+IF(BR184&gt;0,'Attrition Modeling'!$N$9,0)))</f>
        <v>0</v>
      </c>
      <c r="BS119" s="799">
        <f>BR119*(1-IFERROR(IF(BS$69+$F119&lt;=12,SUMIFS('Attrition Modeling'!$D:$D,'Attrition Modeling'!$C:$C,'IP Attrition'!$D119,'Attrition Modeling'!$B:$B,'IP Attrition'!BS$68),VLOOKUP($F119+BS$2,$A$6:$C$106,2,FALSE)*VLOOKUP(BS$1,'Attrition Modeling'!$L$15:$N$27,IF(BS$2+$F52&lt;=24,2,3),FALSE)),$C$3)*(1+Projection!BZ$16)*(1+IF(BS184&gt;0,'Attrition Modeling'!$N$9,0)))</f>
        <v>0</v>
      </c>
      <c r="BT119" s="799" t="e">
        <f>BS119*(1-IFERROR(IF(BT$69+$F119&lt;=12,SUMIFS('Attrition Modeling'!$D:$D,'Attrition Modeling'!$C:$C,'IP Attrition'!$D119,'Attrition Modeling'!$B:$B,'IP Attrition'!BT$68),VLOOKUP($F119+BT$2,$A$6:$C$106,2,FALSE)*VLOOKUP(BT$1,'Attrition Modeling'!$L$15:$N$27,IF(BT$2+$F52&lt;=24,2,3),FALSE)),$C$3)*(1+Projection!CA$16)*(1+IF(BT184&gt;0,'Attrition Modeling'!$N$9,0)))</f>
        <v>#REF!</v>
      </c>
      <c r="BU119" s="799" t="e">
        <f>BT119*(1-IFERROR(IF(BU$69+$F119&lt;=12,SUMIFS('Attrition Modeling'!$D:$D,'Attrition Modeling'!$C:$C,'IP Attrition'!$D119,'Attrition Modeling'!$B:$B,'IP Attrition'!BU$68),VLOOKUP($F119+BU$2,$A$6:$C$106,2,FALSE)*VLOOKUP(BU$1,'Attrition Modeling'!$L$15:$N$27,IF(BU$2+$F52&lt;=24,2,3),FALSE)),$C$3)*(1+Projection!CB$16)*(1+IF(BU184&gt;0,'Attrition Modeling'!$N$9,0)))</f>
        <v>#REF!</v>
      </c>
    </row>
    <row r="120" spans="1:73" ht="14.25" customHeight="1" x14ac:dyDescent="0.2">
      <c r="A120" s="9">
        <v>113</v>
      </c>
      <c r="B120" s="25">
        <f>MAX('Attrition Modeling'!H117,$C$3)*(1-Summary!$C$20)</f>
        <v>0.02</v>
      </c>
      <c r="C120" s="24" t="e">
        <f t="shared" si="3"/>
        <v>#DIV/0!</v>
      </c>
      <c r="D120" s="11">
        <f t="shared" ref="D120:E120" si="58">D53</f>
        <v>-50</v>
      </c>
      <c r="E120" s="25">
        <f t="shared" si="58"/>
        <v>0</v>
      </c>
      <c r="F120" s="11">
        <f t="shared" si="9"/>
        <v>50</v>
      </c>
      <c r="G120" s="799">
        <f>Summary!$C$24*$E120</f>
        <v>0</v>
      </c>
      <c r="H120" s="799">
        <f>G120*(1-IFERROR(IF(H$69+$F120&lt;=12,SUMIFS('Attrition Modeling'!$D:$D,'Attrition Modeling'!$C:$C,'IP Attrition'!$D120,'Attrition Modeling'!$B:$B,'IP Attrition'!H$68),VLOOKUP($F120+H$2,$A$6:$C$106,2,FALSE)*VLOOKUP(H$1,'Attrition Modeling'!$L$15:$N$27,IF(H$2+$F53&lt;=24,2,3),FALSE)),$C$3)*(1+Projection!J$16)*(1+IF(H185&gt;0,'Attrition Modeling'!$N$9,0)))</f>
        <v>0</v>
      </c>
      <c r="I120" s="799">
        <f>H120*(1-IFERROR(IF(I$69+$F120&lt;=12,SUMIFS('Attrition Modeling'!$D:$D,'Attrition Modeling'!$C:$C,'IP Attrition'!$D120,'Attrition Modeling'!$B:$B,'IP Attrition'!I$68),VLOOKUP($F120+I$2,$A$6:$C$106,2,FALSE)*VLOOKUP(I$1,'Attrition Modeling'!$L$15:$N$27,IF(I$2+$F53&lt;=24,2,3),FALSE)),$C$3)*(1+Projection!K$16)*(1+IF(I185&gt;0,'Attrition Modeling'!$N$9,0)))</f>
        <v>0</v>
      </c>
      <c r="J120" s="799">
        <f>I120*(1-IFERROR(IF(J$69+$F120&lt;=12,SUMIFS('Attrition Modeling'!$D:$D,'Attrition Modeling'!$C:$C,'IP Attrition'!$D120,'Attrition Modeling'!$B:$B,'IP Attrition'!J$68),VLOOKUP($F120+J$2,$A$6:$C$106,2,FALSE)*VLOOKUP(J$1,'Attrition Modeling'!$L$15:$N$27,IF(J$2+$F53&lt;=24,2,3),FALSE)),$C$3)*(1+Projection!L$16)*(1+IF(J185&gt;0,'Attrition Modeling'!$N$9,0)))</f>
        <v>0</v>
      </c>
      <c r="K120" s="799">
        <f>J120*(1-IFERROR(IF(K$69+$F120&lt;=12,SUMIFS('Attrition Modeling'!$D:$D,'Attrition Modeling'!$C:$C,'IP Attrition'!$D120,'Attrition Modeling'!$B:$B,'IP Attrition'!K$68),VLOOKUP($F120+K$2,$A$6:$C$106,2,FALSE)*VLOOKUP(K$1,'Attrition Modeling'!$L$15:$N$27,IF(K$2+$F53&lt;=24,2,3),FALSE)),$C$3)*(1+Projection!M$16)*(1+IF(K185&gt;0,'Attrition Modeling'!$N$9,0)))</f>
        <v>0</v>
      </c>
      <c r="L120" s="799">
        <f>K120*(1-IFERROR(IF(L$69+$F120&lt;=12,SUMIFS('Attrition Modeling'!$D:$D,'Attrition Modeling'!$C:$C,'IP Attrition'!$D120,'Attrition Modeling'!$B:$B,'IP Attrition'!L$68),VLOOKUP($F120+L$2,$A$6:$C$106,2,FALSE)*VLOOKUP(L$1,'Attrition Modeling'!$L$15:$N$27,IF(L$2+$F53&lt;=24,2,3),FALSE)),$C$3)*(1+Projection!N$16)*(1+IF(L185&gt;0,'Attrition Modeling'!$N$9,0)))</f>
        <v>0</v>
      </c>
      <c r="M120" s="799">
        <f>L120*(1-IFERROR(IF(M$69+$F120&lt;=12,SUMIFS('Attrition Modeling'!$D:$D,'Attrition Modeling'!$C:$C,'IP Attrition'!$D120,'Attrition Modeling'!$B:$B,'IP Attrition'!M$68),VLOOKUP($F120+M$2,$A$6:$C$106,2,FALSE)*VLOOKUP(M$1,'Attrition Modeling'!$L$15:$N$27,IF(M$2+$F53&lt;=24,2,3),FALSE)),$C$3)*(1+Projection!O$16)*(1+IF(M185&gt;0,'Attrition Modeling'!$N$9,0)))</f>
        <v>0</v>
      </c>
      <c r="N120" s="799">
        <f>M120*(1-IFERROR(IF(N$69+$F120&lt;=12,SUMIFS('Attrition Modeling'!$D:$D,'Attrition Modeling'!$C:$C,'IP Attrition'!$D120,'Attrition Modeling'!$B:$B,'IP Attrition'!N$68),VLOOKUP($F120+N$2,$A$6:$C$106,2,FALSE)*VLOOKUP(N$1,'Attrition Modeling'!$L$15:$N$27,IF(N$2+$F53&lt;=24,2,3),FALSE)),$C$3)*(1+Projection!P$16)*(1+IF(N185&gt;0,'Attrition Modeling'!$N$9,0)))</f>
        <v>0</v>
      </c>
      <c r="O120" s="799">
        <f>N120*(1-IFERROR(IF(O$69+$F120&lt;=12,SUMIFS('Attrition Modeling'!$D:$D,'Attrition Modeling'!$C:$C,'IP Attrition'!$D120,'Attrition Modeling'!$B:$B,'IP Attrition'!O$68),VLOOKUP($F120+O$2,$A$6:$C$106,2,FALSE)*VLOOKUP(O$1,'Attrition Modeling'!$L$15:$N$27,IF(O$2+$F53&lt;=24,2,3),FALSE)),$C$3)*(1+Projection!Q$16)*(1+IF(O185&gt;0,'Attrition Modeling'!$N$9,0)))</f>
        <v>0</v>
      </c>
      <c r="P120" s="799">
        <f>O120*(1-IFERROR(IF(P$69+$F120&lt;=12,SUMIFS('Attrition Modeling'!$D:$D,'Attrition Modeling'!$C:$C,'IP Attrition'!$D120,'Attrition Modeling'!$B:$B,'IP Attrition'!P$68),VLOOKUP($F120+P$2,$A$6:$C$106,2,FALSE)*VLOOKUP(P$1,'Attrition Modeling'!$L$15:$N$27,IF(P$2+$F53&lt;=24,2,3),FALSE)),$C$3)*(1+Projection!R$16)*(1+IF(P185&gt;0,'Attrition Modeling'!$N$9,0)))</f>
        <v>0</v>
      </c>
      <c r="Q120" s="799">
        <f>P120*(1-IFERROR(IF(Q$69+$F120&lt;=12,SUMIFS('Attrition Modeling'!$D:$D,'Attrition Modeling'!$C:$C,'IP Attrition'!$D120,'Attrition Modeling'!$B:$B,'IP Attrition'!Q$68),VLOOKUP($F120+Q$2,$A$6:$C$106,2,FALSE)*VLOOKUP(Q$1,'Attrition Modeling'!$L$15:$N$27,IF(Q$2+$F53&lt;=24,2,3),FALSE)),$C$3)*(1+Projection!S$16)*(1+IF(Q185&gt;0,'Attrition Modeling'!$N$9,0)))</f>
        <v>0</v>
      </c>
      <c r="R120" s="799">
        <f>Q120*(1-IFERROR(IF(R$69+$F120&lt;=12,SUMIFS('Attrition Modeling'!$D:$D,'Attrition Modeling'!$C:$C,'IP Attrition'!$D120,'Attrition Modeling'!$B:$B,'IP Attrition'!R$68),VLOOKUP($F120+R$2,$A$6:$C$106,2,FALSE)*VLOOKUP(R$1,'Attrition Modeling'!$L$15:$N$27,IF(R$2+$F53&lt;=24,2,3),FALSE)),$C$3)*(1+Projection!T$16)*(1+IF(R185&gt;0,'Attrition Modeling'!$N$9,0)))</f>
        <v>0</v>
      </c>
      <c r="S120" s="799">
        <f>R120*(1-IFERROR(IF(S$69+$F120&lt;=12,SUMIFS('Attrition Modeling'!$D:$D,'Attrition Modeling'!$C:$C,'IP Attrition'!$D120,'Attrition Modeling'!$B:$B,'IP Attrition'!S$68),VLOOKUP($F120+S$2,$A$6:$C$106,2,FALSE)*VLOOKUP(S$1,'Attrition Modeling'!$L$15:$N$27,IF(S$2+$F53&lt;=24,2,3),FALSE)),$C$3)*(1+Projection!U$16)*(1+IF(S185&gt;0,'Attrition Modeling'!$N$9,0)))</f>
        <v>0</v>
      </c>
      <c r="T120" s="799">
        <f>S120*(1-IFERROR(IF(T$69+$F120&lt;=12,SUMIFS('Attrition Modeling'!$D:$D,'Attrition Modeling'!$C:$C,'IP Attrition'!$D120,'Attrition Modeling'!$B:$B,'IP Attrition'!T$68),VLOOKUP($F120+T$2,$A$6:$C$106,2,FALSE)*VLOOKUP(T$1,'Attrition Modeling'!$L$15:$N$27,IF(T$2+$F53&lt;=24,2,3),FALSE)),$C$3)*(1+Projection!V$16)*(1+IF(T185&gt;0,'Attrition Modeling'!$N$9,0)))</f>
        <v>0</v>
      </c>
      <c r="U120" s="799">
        <f>T120*(1-IFERROR(IF(U$69+$F120&lt;=12,SUMIFS('Attrition Modeling'!$D:$D,'Attrition Modeling'!$C:$C,'IP Attrition'!$D120,'Attrition Modeling'!$B:$B,'IP Attrition'!U$68),VLOOKUP($F120+U$2,$A$6:$C$106,2,FALSE)*VLOOKUP(U$1,'Attrition Modeling'!$L$15:$N$27,IF(U$2+$F53&lt;=24,2,3),FALSE)),$C$3)*(1+Projection!W$16)*(1+IF(U185&gt;0,'Attrition Modeling'!$N$9,0)))</f>
        <v>0</v>
      </c>
      <c r="V120" s="799">
        <f>U120*(1-IFERROR(IF(V$69+$F120&lt;=12,SUMIFS('Attrition Modeling'!$D:$D,'Attrition Modeling'!$C:$C,'IP Attrition'!$D120,'Attrition Modeling'!$B:$B,'IP Attrition'!V$68),VLOOKUP($F120+V$2,$A$6:$C$106,2,FALSE)*VLOOKUP(V$1,'Attrition Modeling'!$L$15:$N$27,IF(V$2+$F53&lt;=24,2,3),FALSE)),$C$3)*(1+Projection!X$16)*(1+IF(V185&gt;0,'Attrition Modeling'!$N$9,0)))</f>
        <v>0</v>
      </c>
      <c r="W120" s="799">
        <f>V120*(1-IFERROR(IF(W$69+$F120&lt;=12,SUMIFS('Attrition Modeling'!$D:$D,'Attrition Modeling'!$C:$C,'IP Attrition'!$D120,'Attrition Modeling'!$B:$B,'IP Attrition'!W$68),VLOOKUP($F120+W$2,$A$6:$C$106,2,FALSE)*VLOOKUP(W$1,'Attrition Modeling'!$L$15:$N$27,IF(W$2+$F53&lt;=24,2,3),FALSE)),$C$3)*(1+Projection!Y$16)*(1+IF(W185&gt;0,'Attrition Modeling'!$N$9,0)))</f>
        <v>0</v>
      </c>
      <c r="X120" s="799">
        <f>W120*(1-IFERROR(IF(X$69+$F120&lt;=12,SUMIFS('Attrition Modeling'!$D:$D,'Attrition Modeling'!$C:$C,'IP Attrition'!$D120,'Attrition Modeling'!$B:$B,'IP Attrition'!X$68),VLOOKUP($F120+X$2,$A$6:$C$106,2,FALSE)*VLOOKUP(X$1,'Attrition Modeling'!$L$15:$N$27,IF(X$2+$F53&lt;=24,2,3),FALSE)),$C$3)*(1+Projection!Z$16)*(1+IF(X185&gt;0,'Attrition Modeling'!$N$9,0)))</f>
        <v>0</v>
      </c>
      <c r="Y120" s="799">
        <f>X120*(1-IFERROR(IF(Y$69+$F120&lt;=12,SUMIFS('Attrition Modeling'!$D:$D,'Attrition Modeling'!$C:$C,'IP Attrition'!$D120,'Attrition Modeling'!$B:$B,'IP Attrition'!Y$68),VLOOKUP($F120+Y$2,$A$6:$C$106,2,FALSE)*VLOOKUP(Y$1,'Attrition Modeling'!$L$15:$N$27,IF(Y$2+$F53&lt;=24,2,3),FALSE)),$C$3)*(1+Projection!AA$16)*(1+IF(Y185&gt;0,'Attrition Modeling'!$N$9,0)))</f>
        <v>0</v>
      </c>
      <c r="Z120" s="799">
        <f>Y120*(1-IFERROR(IF(Z$69+$F120&lt;=12,SUMIFS('Attrition Modeling'!$D:$D,'Attrition Modeling'!$C:$C,'IP Attrition'!$D120,'Attrition Modeling'!$B:$B,'IP Attrition'!Z$68),VLOOKUP($F120+Z$2,$A$6:$C$106,2,FALSE)*VLOOKUP(Z$1,'Attrition Modeling'!$L$15:$N$27,IF(Z$2+$F53&lt;=24,2,3),FALSE)),$C$3)*(1+Projection!AB$16)*(1+IF(Z185&gt;0,'Attrition Modeling'!$N$9,0)))</f>
        <v>0</v>
      </c>
      <c r="AA120" s="799">
        <f>Z120*(1-IFERROR(IF(AA$69+$F120&lt;=12,SUMIFS('Attrition Modeling'!$D:$D,'Attrition Modeling'!$C:$C,'IP Attrition'!$D120,'Attrition Modeling'!$B:$B,'IP Attrition'!AA$68),VLOOKUP($F120+AA$2,$A$6:$C$106,2,FALSE)*VLOOKUP(AA$1,'Attrition Modeling'!$L$15:$N$27,IF(AA$2+$F53&lt;=24,2,3),FALSE)),$C$3)*(1+Projection!AC$16)*(1+IF(AA185&gt;0,'Attrition Modeling'!$N$9,0)))</f>
        <v>0</v>
      </c>
      <c r="AB120" s="799">
        <f>AA120*(1-IFERROR(IF(AB$69+$F120&lt;=12,SUMIFS('Attrition Modeling'!$D:$D,'Attrition Modeling'!$C:$C,'IP Attrition'!$D120,'Attrition Modeling'!$B:$B,'IP Attrition'!AB$68),VLOOKUP($F120+AB$2,$A$6:$C$106,2,FALSE)*VLOOKUP(AB$1,'Attrition Modeling'!$L$15:$N$27,IF(AB$2+$F53&lt;=24,2,3),FALSE)),$C$3)*(1+Projection!AD$16)*(1+IF(AB185&gt;0,'Attrition Modeling'!$N$9,0)))</f>
        <v>0</v>
      </c>
      <c r="AC120" s="799">
        <f>AB120*(1-IFERROR(IF(AC$69+$F120&lt;=12,SUMIFS('Attrition Modeling'!$D:$D,'Attrition Modeling'!$C:$C,'IP Attrition'!$D120,'Attrition Modeling'!$B:$B,'IP Attrition'!AC$68),VLOOKUP($F120+AC$2,$A$6:$C$106,2,FALSE)*VLOOKUP(AC$1,'Attrition Modeling'!$L$15:$N$27,IF(AC$2+$F53&lt;=24,2,3),FALSE)),$C$3)*(1+Projection!AE$16)*(1+IF(AC185&gt;0,'Attrition Modeling'!$N$9,0)))</f>
        <v>0</v>
      </c>
      <c r="AD120" s="799">
        <f>AC120*(1-IFERROR(IF(AD$69+$F120&lt;=12,SUMIFS('Attrition Modeling'!$D:$D,'Attrition Modeling'!$C:$C,'IP Attrition'!$D120,'Attrition Modeling'!$B:$B,'IP Attrition'!AD$68),VLOOKUP($F120+AD$2,$A$6:$C$106,2,FALSE)*VLOOKUP(AD$1,'Attrition Modeling'!$L$15:$N$27,IF(AD$2+$F53&lt;=24,2,3),FALSE)),$C$3)*(1+Projection!AF$16)*(1+IF(AD185&gt;0,'Attrition Modeling'!$N$9,0)))</f>
        <v>0</v>
      </c>
      <c r="AE120" s="799">
        <f>AD120*(1-IFERROR(IF(AE$69+$F120&lt;=12,SUMIFS('Attrition Modeling'!$D:$D,'Attrition Modeling'!$C:$C,'IP Attrition'!$D120,'Attrition Modeling'!$B:$B,'IP Attrition'!AE$68),VLOOKUP($F120+AE$2,$A$6:$C$106,2,FALSE)*VLOOKUP(AE$1,'Attrition Modeling'!$L$15:$N$27,IF(AE$2+$F53&lt;=24,2,3),FALSE)),$C$3)*(1+Projection!AG$16)*(1+IF(AE185&gt;0,'Attrition Modeling'!$N$9,0)))</f>
        <v>0</v>
      </c>
      <c r="AF120" s="799">
        <f>AE120*(1-IFERROR(IF(AF$69+$F120&lt;=12,SUMIFS('Attrition Modeling'!$D:$D,'Attrition Modeling'!$C:$C,'IP Attrition'!$D120,'Attrition Modeling'!$B:$B,'IP Attrition'!AF$68),VLOOKUP($F120+AF$2,$A$6:$C$106,2,FALSE)*VLOOKUP(AF$1,'Attrition Modeling'!$L$15:$N$27,IF(AF$2+$F53&lt;=24,2,3),FALSE)),$C$3)*(1+Projection!AH$16)*(1+IF(AF185&gt;0,'Attrition Modeling'!$N$9,0)))</f>
        <v>0</v>
      </c>
      <c r="AG120" s="799">
        <f>AF120*(1-IFERROR(IF(AG$69+$F120&lt;=12,SUMIFS('Attrition Modeling'!$D:$D,'Attrition Modeling'!$C:$C,'IP Attrition'!$D120,'Attrition Modeling'!$B:$B,'IP Attrition'!AG$68),VLOOKUP($F120+AG$2,$A$6:$C$106,2,FALSE)*VLOOKUP(AG$1,'Attrition Modeling'!$L$15:$N$27,IF(AG$2+$F53&lt;=24,2,3),FALSE)),$C$3)*(1+Projection!AI$16)*(1+IF(AG185&gt;0,'Attrition Modeling'!$N$9,0)))</f>
        <v>0</v>
      </c>
      <c r="AH120" s="799">
        <f>AG120*(1-IFERROR(IF(AH$69+$F120&lt;=12,SUMIFS('Attrition Modeling'!$D:$D,'Attrition Modeling'!$C:$C,'IP Attrition'!$D120,'Attrition Modeling'!$B:$B,'IP Attrition'!AH$68),VLOOKUP($F120+AH$2,$A$6:$C$106,2,FALSE)*VLOOKUP(AH$1,'Attrition Modeling'!$L$15:$N$27,IF(AH$2+$F53&lt;=24,2,3),FALSE)),$C$3)*(1+Projection!AJ$16)*(1+IF(AH185&gt;0,'Attrition Modeling'!$N$9,0)))</f>
        <v>0</v>
      </c>
      <c r="AI120" s="799">
        <f>AH120*(1-IFERROR(IF(AI$69+$F120&lt;=12,SUMIFS('Attrition Modeling'!$D:$D,'Attrition Modeling'!$C:$C,'IP Attrition'!$D120,'Attrition Modeling'!$B:$B,'IP Attrition'!AI$68),VLOOKUP($F120+AI$2,$A$6:$C$106,2,FALSE)*VLOOKUP(AI$1,'Attrition Modeling'!$L$15:$N$27,IF(AI$2+$F53&lt;=24,2,3),FALSE)),$C$3)*(1+Projection!AK$16)*(1+IF(AI185&gt;0,'Attrition Modeling'!$N$9,0)))</f>
        <v>0</v>
      </c>
      <c r="AJ120" s="799">
        <f>AI120*(1-IFERROR(IF(AJ$69+$F120&lt;=12,SUMIFS('Attrition Modeling'!$D:$D,'Attrition Modeling'!$C:$C,'IP Attrition'!$D120,'Attrition Modeling'!$B:$B,'IP Attrition'!AJ$68),VLOOKUP($F120+AJ$2,$A$6:$C$106,2,FALSE)*VLOOKUP(AJ$1,'Attrition Modeling'!$L$15:$N$27,IF(AJ$2+$F53&lt;=24,2,3),FALSE)),$C$3)*(1+Projection!AL$16)*(1+IF(AJ185&gt;0,'Attrition Modeling'!$N$9,0)))</f>
        <v>0</v>
      </c>
      <c r="AK120" s="799">
        <f>AJ120*(1-IFERROR(IF(AK$69+$F120&lt;=12,SUMIFS('Attrition Modeling'!$D:$D,'Attrition Modeling'!$C:$C,'IP Attrition'!$D120,'Attrition Modeling'!$B:$B,'IP Attrition'!AK$68),VLOOKUP($F120+AK$2,$A$6:$C$106,2,FALSE)*VLOOKUP(AK$1,'Attrition Modeling'!$L$15:$N$27,IF(AK$2+$F53&lt;=24,2,3),FALSE)),$C$3)*(1+Projection!AM$16)*(1+IF(AK185&gt;0,'Attrition Modeling'!$N$9,0)))</f>
        <v>0</v>
      </c>
      <c r="AL120" s="799">
        <f>AK120*(1-IFERROR(IF(AL$69+$F120&lt;=12,SUMIFS('Attrition Modeling'!$D:$D,'Attrition Modeling'!$C:$C,'IP Attrition'!$D120,'Attrition Modeling'!$B:$B,'IP Attrition'!AL$68),VLOOKUP($F120+AL$2,$A$6:$C$106,2,FALSE)*VLOOKUP(AL$1,'Attrition Modeling'!$L$15:$N$27,IF(AL$2+$F53&lt;=24,2,3),FALSE)),$C$3)*(1+Projection!AN$16)*(1+IF(AL185&gt;0,'Attrition Modeling'!$N$9,0)))</f>
        <v>0</v>
      </c>
      <c r="AM120" s="799">
        <f>AL120*(1-IFERROR(IF(AM$69+$F120&lt;=12,SUMIFS('Attrition Modeling'!$D:$D,'Attrition Modeling'!$C:$C,'IP Attrition'!$D120,'Attrition Modeling'!$B:$B,'IP Attrition'!AM$68),VLOOKUP($F120+AM$2,$A$6:$C$106,2,FALSE)*VLOOKUP(AM$1,'Attrition Modeling'!$L$15:$N$27,IF(AM$2+$F53&lt;=24,2,3),FALSE)),$C$3)*(1+Projection!AO$16)*(1+IF(AM185&gt;0,'Attrition Modeling'!$N$9,0)))</f>
        <v>0</v>
      </c>
      <c r="AN120" s="799">
        <f>AM120*(1-IFERROR(IF(AN$69+$F120&lt;=12,SUMIFS('Attrition Modeling'!$D:$D,'Attrition Modeling'!$C:$C,'IP Attrition'!$D120,'Attrition Modeling'!$B:$B,'IP Attrition'!AN$68),VLOOKUP($F120+AN$2,$A$6:$C$106,2,FALSE)*VLOOKUP(AN$1,'Attrition Modeling'!$L$15:$N$27,IF(AN$2+$F53&lt;=24,2,3),FALSE)),$C$3)*(1+Projection!AP$16)*(1+IF(AN185&gt;0,'Attrition Modeling'!$N$9,0)))</f>
        <v>0</v>
      </c>
      <c r="AO120" s="799">
        <f>AN120*(1-IFERROR(IF(AO$69+$F120&lt;=12,SUMIFS('Attrition Modeling'!$D:$D,'Attrition Modeling'!$C:$C,'IP Attrition'!$D120,'Attrition Modeling'!$B:$B,'IP Attrition'!AO$68),VLOOKUP($F120+AO$2,$A$6:$C$106,2,FALSE)*VLOOKUP(AO$1,'Attrition Modeling'!$L$15:$N$27,IF(AO$2+$F53&lt;=24,2,3),FALSE)),$C$3)*(1+Projection!AQ$16)*(1+IF(AO185&gt;0,'Attrition Modeling'!$N$9,0)))</f>
        <v>0</v>
      </c>
      <c r="AP120" s="799">
        <f>AO120*(1-IFERROR(IF(AP$69+$F120&lt;=12,SUMIFS('Attrition Modeling'!$D:$D,'Attrition Modeling'!$C:$C,'IP Attrition'!$D120,'Attrition Modeling'!$B:$B,'IP Attrition'!AP$68),VLOOKUP($F120+AP$2,$A$6:$C$106,2,FALSE)*VLOOKUP(AP$1,'Attrition Modeling'!$L$15:$N$27,IF(AP$2+$F53&lt;=24,2,3),FALSE)),$C$3)*(1+Projection!AR$16)*(1+IF(AP185&gt;0,'Attrition Modeling'!$N$9,0)))</f>
        <v>0</v>
      </c>
      <c r="AQ120" s="799">
        <f>AP120*(1-IFERROR(IF(AQ$69+$F120&lt;=12,SUMIFS('Attrition Modeling'!$D:$D,'Attrition Modeling'!$C:$C,'IP Attrition'!$D120,'Attrition Modeling'!$B:$B,'IP Attrition'!AQ$68),VLOOKUP($F120+AQ$2,$A$6:$C$106,2,FALSE)*VLOOKUP(AQ$1,'Attrition Modeling'!$L$15:$N$27,IF(AQ$2+$F53&lt;=24,2,3),FALSE)),$C$3)*(1+Projection!AS$16)*(1+IF(AQ185&gt;0,'Attrition Modeling'!$N$9,0)))</f>
        <v>0</v>
      </c>
      <c r="AR120" s="799">
        <f>AQ120*(1-IFERROR(IF(AR$69+$F120&lt;=12,SUMIFS('Attrition Modeling'!$D:$D,'Attrition Modeling'!$C:$C,'IP Attrition'!$D120,'Attrition Modeling'!$B:$B,'IP Attrition'!AR$68),VLOOKUP($F120+AR$2,$A$6:$C$106,2,FALSE)*VLOOKUP(AR$1,'Attrition Modeling'!$L$15:$N$27,IF(AR$2+$F53&lt;=24,2,3),FALSE)),$C$3)*(1+Projection!AT$16)*(1+IF(AR185&gt;0,'Attrition Modeling'!$N$9,0)))</f>
        <v>0</v>
      </c>
      <c r="AS120" s="799">
        <f>AR120*(1-IFERROR(IF(AS$69+$F120&lt;=12,SUMIFS('Attrition Modeling'!$D:$D,'Attrition Modeling'!$C:$C,'IP Attrition'!$D120,'Attrition Modeling'!$B:$B,'IP Attrition'!AS$68),VLOOKUP($F120+AS$2,$A$6:$C$106,2,FALSE)*VLOOKUP(AS$1,'Attrition Modeling'!$L$15:$N$27,IF(AS$2+$F53&lt;=24,2,3),FALSE)),$C$3)*(1+Projection!AU$16)*(1+IF(AS185&gt;0,'Attrition Modeling'!$N$9,0)))</f>
        <v>0</v>
      </c>
      <c r="AT120" s="799">
        <f>AS120*(1-IFERROR(IF(AT$69+$F120&lt;=12,SUMIFS('Attrition Modeling'!$D:$D,'Attrition Modeling'!$C:$C,'IP Attrition'!$D120,'Attrition Modeling'!$B:$B,'IP Attrition'!AT$68),VLOOKUP($F120+AT$2,$A$6:$C$106,2,FALSE)*VLOOKUP(AT$1,'Attrition Modeling'!$L$15:$N$27,IF(AT$2+$F53&lt;=24,2,3),FALSE)),$C$3)*(1+Projection!AV$16)*(1+IF(AT185&gt;0,'Attrition Modeling'!$N$9,0)))</f>
        <v>0</v>
      </c>
      <c r="AU120" s="799">
        <f>AT120*(1-IFERROR(IF(AU$69+$F120&lt;=12,SUMIFS('Attrition Modeling'!$D:$D,'Attrition Modeling'!$C:$C,'IP Attrition'!$D120,'Attrition Modeling'!$B:$B,'IP Attrition'!AU$68),VLOOKUP($F120+AU$2,$A$6:$C$106,2,FALSE)*VLOOKUP(AU$1,'Attrition Modeling'!$L$15:$N$27,IF(AU$2+$F53&lt;=24,2,3),FALSE)),$C$3)*(1+Projection!AW$16)*(1+IF(AU185&gt;0,'Attrition Modeling'!$N$9,0)))</f>
        <v>0</v>
      </c>
      <c r="AV120" s="799">
        <f>AU120*(1-IFERROR(IF(AV$69+$F120&lt;=12,SUMIFS('Attrition Modeling'!$D:$D,'Attrition Modeling'!$C:$C,'IP Attrition'!$D120,'Attrition Modeling'!$B:$B,'IP Attrition'!AV$68),VLOOKUP($F120+AV$2,$A$6:$C$106,2,FALSE)*VLOOKUP(AV$1,'Attrition Modeling'!$L$15:$N$27,IF(AV$2+$F53&lt;=24,2,3),FALSE)),$C$3)*(1+Projection!AX$16)*(1+IF(AV185&gt;0,'Attrition Modeling'!$N$9,0)))</f>
        <v>0</v>
      </c>
      <c r="AW120" s="799">
        <f>AV120*(1-IFERROR(IF(AW$69+$F120&lt;=12,SUMIFS('Attrition Modeling'!$D:$D,'Attrition Modeling'!$C:$C,'IP Attrition'!$D120,'Attrition Modeling'!$B:$B,'IP Attrition'!AW$68),VLOOKUP($F120+AW$2,$A$6:$C$106,2,FALSE)*VLOOKUP(AW$1,'Attrition Modeling'!$L$15:$N$27,IF(AW$2+$F53&lt;=24,2,3),FALSE)),$C$3)*(1+Projection!AY$16)*(1+IF(AW185&gt;0,'Attrition Modeling'!$N$9,0)))</f>
        <v>0</v>
      </c>
      <c r="AX120" s="799">
        <f>AW120*(1-IFERROR(IF(AX$69+$F120&lt;=12,SUMIFS('Attrition Modeling'!$D:$D,'Attrition Modeling'!$C:$C,'IP Attrition'!$D120,'Attrition Modeling'!$B:$B,'IP Attrition'!AX$68),VLOOKUP($F120+AX$2,$A$6:$C$106,2,FALSE)*VLOOKUP(AX$1,'Attrition Modeling'!$L$15:$N$27,IF(AX$2+$F53&lt;=24,2,3),FALSE)),$C$3)*(1+Projection!AZ$16)*(1+IF(AX185&gt;0,'Attrition Modeling'!$N$9,0)))</f>
        <v>0</v>
      </c>
      <c r="AY120" s="799">
        <f>AX120*(1-IFERROR(IF(AY$69+$F120&lt;=12,SUMIFS('Attrition Modeling'!$D:$D,'Attrition Modeling'!$C:$C,'IP Attrition'!$D120,'Attrition Modeling'!$B:$B,'IP Attrition'!AY$68),VLOOKUP($F120+AY$2,$A$6:$C$106,2,FALSE)*VLOOKUP(AY$1,'Attrition Modeling'!$L$15:$N$27,IF(AY$2+$F53&lt;=24,2,3),FALSE)),$C$3)*(1+Projection!BA$16)*(1+IF(AY185&gt;0,'Attrition Modeling'!$N$9,0)))</f>
        <v>0</v>
      </c>
      <c r="AZ120" s="799">
        <f>AY120*(1-IFERROR(IF(AZ$69+$F120&lt;=12,SUMIFS('Attrition Modeling'!$D:$D,'Attrition Modeling'!$C:$C,'IP Attrition'!$D120,'Attrition Modeling'!$B:$B,'IP Attrition'!AZ$68),VLOOKUP($F120+AZ$2,$A$6:$C$106,2,FALSE)*VLOOKUP(AZ$1,'Attrition Modeling'!$L$15:$N$27,IF(AZ$2+$F53&lt;=24,2,3),FALSE)),$C$3)*(1+Projection!BB$16)*(1+IF(AZ185&gt;0,'Attrition Modeling'!$N$9,0)))</f>
        <v>0</v>
      </c>
      <c r="BA120" s="799">
        <f>AZ120*(1-IFERROR(IF(BA$69+$F120&lt;=12,SUMIFS('Attrition Modeling'!$D:$D,'Attrition Modeling'!$C:$C,'IP Attrition'!$D120,'Attrition Modeling'!$B:$B,'IP Attrition'!BA$68),VLOOKUP($F120+BA$2,$A$6:$C$106,2,FALSE)*VLOOKUP(BA$1,'Attrition Modeling'!$L$15:$N$27,IF(BA$2+$F53&lt;=24,2,3),FALSE)),$C$3)*(1+Projection!BC$16)*(1+IF(BA185&gt;0,'Attrition Modeling'!$N$9,0)))</f>
        <v>0</v>
      </c>
      <c r="BB120" s="799">
        <f>BA120*(1-IFERROR(IF(BB$69+$F120&lt;=12,SUMIFS('Attrition Modeling'!$D:$D,'Attrition Modeling'!$C:$C,'IP Attrition'!$D120,'Attrition Modeling'!$B:$B,'IP Attrition'!BB$68),VLOOKUP($F120+BB$2,$A$6:$C$106,2,FALSE)*VLOOKUP(BB$1,'Attrition Modeling'!$L$15:$N$27,IF(BB$2+$F53&lt;=24,2,3),FALSE)),$C$3)*(1+Projection!BD$16)*(1+IF(BB185&gt;0,'Attrition Modeling'!$N$9,0)))</f>
        <v>0</v>
      </c>
      <c r="BC120" s="799">
        <f>BB120*(1-IFERROR(IF(BC$69+$F120&lt;=12,SUMIFS('Attrition Modeling'!$D:$D,'Attrition Modeling'!$C:$C,'IP Attrition'!$D120,'Attrition Modeling'!$B:$B,'IP Attrition'!BC$68),VLOOKUP($F120+BC$2,$A$6:$C$106,2,FALSE)*VLOOKUP(BC$1,'Attrition Modeling'!$L$15:$N$27,IF(BC$2+$F53&lt;=24,2,3),FALSE)),$C$3)*(1+Projection!BE$16)*(1+IF(BC185&gt;0,'Attrition Modeling'!$N$9,0)))</f>
        <v>0</v>
      </c>
      <c r="BD120" s="799">
        <f>BC120*(1-IFERROR(IF(BD$69+$F120&lt;=12,SUMIFS('Attrition Modeling'!$D:$D,'Attrition Modeling'!$C:$C,'IP Attrition'!$D120,'Attrition Modeling'!$B:$B,'IP Attrition'!BD$68),VLOOKUP($F120+BD$2,$A$6:$C$106,2,FALSE)*VLOOKUP(BD$1,'Attrition Modeling'!$L$15:$N$27,IF(BD$2+$F53&lt;=24,2,3),FALSE)),$C$3)*(1+Projection!BF$16)*(1+IF(BD185&gt;0,'Attrition Modeling'!$N$9,0)))</f>
        <v>0</v>
      </c>
      <c r="BE120" s="799">
        <f>BD120*(1-IFERROR(IF(BE$69+$F120&lt;=12,SUMIFS('Attrition Modeling'!$D:$D,'Attrition Modeling'!$C:$C,'IP Attrition'!$D120,'Attrition Modeling'!$B:$B,'IP Attrition'!BE$68),VLOOKUP($F120+BE$2,$A$6:$C$106,2,FALSE)*VLOOKUP(BE$1,'Attrition Modeling'!$L$15:$N$27,IF(BE$2+$F53&lt;=24,2,3),FALSE)),$C$3)*(1+Projection!BG$16)*(1+IF(BE185&gt;0,'Attrition Modeling'!$N$9,0)))</f>
        <v>0</v>
      </c>
      <c r="BF120" s="799">
        <f>BE120*(1-IFERROR(IF(BF$69+$F120&lt;=12,SUMIFS('Attrition Modeling'!$D:$D,'Attrition Modeling'!$C:$C,'IP Attrition'!$D120,'Attrition Modeling'!$B:$B,'IP Attrition'!BF$68),VLOOKUP($F120+BF$2,$A$6:$C$106,2,FALSE)*VLOOKUP(BF$1,'Attrition Modeling'!$L$15:$N$27,IF(BF$2+$F53&lt;=24,2,3),FALSE)),$C$3)*(1+Projection!BH$16)*(1+IF(BF185&gt;0,'Attrition Modeling'!$N$9,0)))</f>
        <v>0</v>
      </c>
      <c r="BG120" s="799">
        <f>BF120*(1-IFERROR(IF(BG$69+$F120&lt;=12,SUMIFS('Attrition Modeling'!$D:$D,'Attrition Modeling'!$C:$C,'IP Attrition'!$D120,'Attrition Modeling'!$B:$B,'IP Attrition'!BG$68),VLOOKUP($F120+BG$2,$A$6:$C$106,2,FALSE)*VLOOKUP(BG$1,'Attrition Modeling'!$L$15:$N$27,IF(BG$2+$F53&lt;=24,2,3),FALSE)),$C$3)*(1+Projection!BI$16)*(1+IF(BG185&gt;0,'Attrition Modeling'!$N$9,0)))</f>
        <v>0</v>
      </c>
      <c r="BH120" s="799">
        <f>BG120*(1-IFERROR(IF(BH$69+$F120&lt;=12,SUMIFS('Attrition Modeling'!$D:$D,'Attrition Modeling'!$C:$C,'IP Attrition'!$D120,'Attrition Modeling'!$B:$B,'IP Attrition'!BH$68),VLOOKUP($F120+BH$2,$A$6:$C$106,2,FALSE)*VLOOKUP(BH$1,'Attrition Modeling'!$L$15:$N$27,IF(BH$2+$F53&lt;=24,2,3),FALSE)),$C$3)*(1+Projection!BJ$16)*(1+IF(BH185&gt;0,'Attrition Modeling'!$N$9,0)))</f>
        <v>0</v>
      </c>
      <c r="BI120" s="799">
        <f>BH120*(1-IFERROR(IF(BI$69+$F120&lt;=12,SUMIFS('Attrition Modeling'!$D:$D,'Attrition Modeling'!$C:$C,'IP Attrition'!$D120,'Attrition Modeling'!$B:$B,'IP Attrition'!BI$68),VLOOKUP($F120+BI$2,$A$6:$C$106,2,FALSE)*VLOOKUP(BI$1,'Attrition Modeling'!$L$15:$N$27,IF(BI$2+$F53&lt;=24,2,3),FALSE)),$C$3)*(1+Projection!BK$16)*(1+IF(BI185&gt;0,'Attrition Modeling'!$N$9,0)))</f>
        <v>0</v>
      </c>
      <c r="BJ120" s="799">
        <f>BI120*(1-IFERROR(IF(BJ$69+$F120&lt;=12,SUMIFS('Attrition Modeling'!$D:$D,'Attrition Modeling'!$C:$C,'IP Attrition'!$D120,'Attrition Modeling'!$B:$B,'IP Attrition'!BJ$68),VLOOKUP($F120+BJ$2,$A$6:$C$106,2,FALSE)*VLOOKUP(BJ$1,'Attrition Modeling'!$L$15:$N$27,IF(BJ$2+$F53&lt;=24,2,3),FALSE)),$C$3)*(1+Projection!BL$16)*(1+IF(BJ185&gt;0,'Attrition Modeling'!$N$9,0)))</f>
        <v>0</v>
      </c>
      <c r="BK120" s="799">
        <f>BJ120*(1-IFERROR(IF(BK$69+$F120&lt;=12,SUMIFS('Attrition Modeling'!$D:$D,'Attrition Modeling'!$C:$C,'IP Attrition'!$D120,'Attrition Modeling'!$B:$B,'IP Attrition'!BK$68),VLOOKUP($F120+BK$2,$A$6:$C$106,2,FALSE)*VLOOKUP(BK$1,'Attrition Modeling'!$L$15:$N$27,IF(BK$2+$F53&lt;=24,2,3),FALSE)),$C$3)*(1+Projection!BM$16)*(1+IF(BK185&gt;0,'Attrition Modeling'!$N$9,0)))</f>
        <v>0</v>
      </c>
      <c r="BL120" s="799">
        <f>BK120*(1-IFERROR(IF(BL$69+$F120&lt;=12,SUMIFS('Attrition Modeling'!$D:$D,'Attrition Modeling'!$C:$C,'IP Attrition'!$D120,'Attrition Modeling'!$B:$B,'IP Attrition'!BL$68),VLOOKUP($F120+BL$2,$A$6:$C$106,2,FALSE)*VLOOKUP(BL$1,'Attrition Modeling'!$L$15:$N$27,IF(BL$2+$F53&lt;=24,2,3),FALSE)),$C$3)*(1+Projection!BN$16)*(1+IF(BL185&gt;0,'Attrition Modeling'!$N$9,0)))</f>
        <v>0</v>
      </c>
      <c r="BM120" s="799">
        <f>BL120*(1-IFERROR(IF(BM$69+$F120&lt;=12,SUMIFS('Attrition Modeling'!$D:$D,'Attrition Modeling'!$C:$C,'IP Attrition'!$D120,'Attrition Modeling'!$B:$B,'IP Attrition'!BM$68),VLOOKUP($F120+BM$2,$A$6:$C$106,2,FALSE)*VLOOKUP(BM$1,'Attrition Modeling'!$L$15:$N$27,IF(BM$2+$F53&lt;=24,2,3),FALSE)),$C$3)*(1+Projection!BO$16)*(1+IF(BM185&gt;0,'Attrition Modeling'!$N$9,0)))</f>
        <v>0</v>
      </c>
      <c r="BN120" s="799">
        <f>BM120*(1-IFERROR(IF(BN$69+$F120&lt;=12,SUMIFS('Attrition Modeling'!$D:$D,'Attrition Modeling'!$C:$C,'IP Attrition'!$D120,'Attrition Modeling'!$B:$B,'IP Attrition'!BN$68),VLOOKUP($F120+BN$2,$A$6:$C$106,2,FALSE)*VLOOKUP(BN$1,'Attrition Modeling'!$L$15:$N$27,IF(BN$2+$F53&lt;=24,2,3),FALSE)),$C$3)*(1+Projection!BP$16)*(1+IF(BN185&gt;0,'Attrition Modeling'!$N$9,0)))</f>
        <v>0</v>
      </c>
      <c r="BO120" s="799">
        <f>BN120*(1-IFERROR(IF(BO$69+$F120&lt;=12,SUMIFS('Attrition Modeling'!$D:$D,'Attrition Modeling'!$C:$C,'IP Attrition'!$D120,'Attrition Modeling'!$B:$B,'IP Attrition'!BO$68),VLOOKUP($F120+BO$2,$A$6:$C$106,2,FALSE)*VLOOKUP(BO$1,'Attrition Modeling'!$L$15:$N$27,IF(BO$2+$F53&lt;=24,2,3),FALSE)),$C$3)*(1+Projection!BV$16)*(1+IF(BO185&gt;0,'Attrition Modeling'!$N$9,0)))</f>
        <v>0</v>
      </c>
      <c r="BP120" s="799">
        <f>BO120*(1-IFERROR(IF(BP$69+$F120&lt;=12,SUMIFS('Attrition Modeling'!$D:$D,'Attrition Modeling'!$C:$C,'IP Attrition'!$D120,'Attrition Modeling'!$B:$B,'IP Attrition'!BP$68),VLOOKUP($F120+BP$2,$A$6:$C$106,2,FALSE)*VLOOKUP(BP$1,'Attrition Modeling'!$L$15:$N$27,IF(BP$2+$F53&lt;=24,2,3),FALSE)),$C$3)*(1+Projection!BW$16)*(1+IF(BP185&gt;0,'Attrition Modeling'!$N$9,0)))</f>
        <v>0</v>
      </c>
      <c r="BQ120" s="799">
        <f>BP120*(1-IFERROR(IF(BQ$69+$F120&lt;=12,SUMIFS('Attrition Modeling'!$D:$D,'Attrition Modeling'!$C:$C,'IP Attrition'!$D120,'Attrition Modeling'!$B:$B,'IP Attrition'!BQ$68),VLOOKUP($F120+BQ$2,$A$6:$C$106,2,FALSE)*VLOOKUP(BQ$1,'Attrition Modeling'!$L$15:$N$27,IF(BQ$2+$F53&lt;=24,2,3),FALSE)),$C$3)*(1+Projection!BX$16)*(1+IF(BQ185&gt;0,'Attrition Modeling'!$N$9,0)))</f>
        <v>0</v>
      </c>
      <c r="BR120" s="799">
        <f>BQ120*(1-IFERROR(IF(BR$69+$F120&lt;=12,SUMIFS('Attrition Modeling'!$D:$D,'Attrition Modeling'!$C:$C,'IP Attrition'!$D120,'Attrition Modeling'!$B:$B,'IP Attrition'!BR$68),VLOOKUP($F120+BR$2,$A$6:$C$106,2,FALSE)*VLOOKUP(BR$1,'Attrition Modeling'!$L$15:$N$27,IF(BR$2+$F53&lt;=24,2,3),FALSE)),$C$3)*(1+Projection!BY$16)*(1+IF(BR185&gt;0,'Attrition Modeling'!$N$9,0)))</f>
        <v>0</v>
      </c>
      <c r="BS120" s="799">
        <f>BR120*(1-IFERROR(IF(BS$69+$F120&lt;=12,SUMIFS('Attrition Modeling'!$D:$D,'Attrition Modeling'!$C:$C,'IP Attrition'!$D120,'Attrition Modeling'!$B:$B,'IP Attrition'!BS$68),VLOOKUP($F120+BS$2,$A$6:$C$106,2,FALSE)*VLOOKUP(BS$1,'Attrition Modeling'!$L$15:$N$27,IF(BS$2+$F53&lt;=24,2,3),FALSE)),$C$3)*(1+Projection!BZ$16)*(1+IF(BS185&gt;0,'Attrition Modeling'!$N$9,0)))</f>
        <v>0</v>
      </c>
      <c r="BT120" s="799" t="e">
        <f>BS120*(1-IFERROR(IF(BT$69+$F120&lt;=12,SUMIFS('Attrition Modeling'!$D:$D,'Attrition Modeling'!$C:$C,'IP Attrition'!$D120,'Attrition Modeling'!$B:$B,'IP Attrition'!BT$68),VLOOKUP($F120+BT$2,$A$6:$C$106,2,FALSE)*VLOOKUP(BT$1,'Attrition Modeling'!$L$15:$N$27,IF(BT$2+$F53&lt;=24,2,3),FALSE)),$C$3)*(1+Projection!CA$16)*(1+IF(BT185&gt;0,'Attrition Modeling'!$N$9,0)))</f>
        <v>#REF!</v>
      </c>
      <c r="BU120" s="799" t="e">
        <f>BT120*(1-IFERROR(IF(BU$69+$F120&lt;=12,SUMIFS('Attrition Modeling'!$D:$D,'Attrition Modeling'!$C:$C,'IP Attrition'!$D120,'Attrition Modeling'!$B:$B,'IP Attrition'!BU$68),VLOOKUP($F120+BU$2,$A$6:$C$106,2,FALSE)*VLOOKUP(BU$1,'Attrition Modeling'!$L$15:$N$27,IF(BU$2+$F53&lt;=24,2,3),FALSE)),$C$3)*(1+Projection!CB$16)*(1+IF(BU185&gt;0,'Attrition Modeling'!$N$9,0)))</f>
        <v>#REF!</v>
      </c>
    </row>
    <row r="121" spans="1:73" ht="14.25" customHeight="1" x14ac:dyDescent="0.2">
      <c r="A121" s="9">
        <v>114</v>
      </c>
      <c r="B121" s="25">
        <f>MAX('Attrition Modeling'!H118,$C$3)*(1-Summary!$C$20)</f>
        <v>0.02</v>
      </c>
      <c r="C121" s="24" t="e">
        <f t="shared" si="3"/>
        <v>#DIV/0!</v>
      </c>
      <c r="D121" s="11">
        <f t="shared" ref="D121:E121" si="59">D54</f>
        <v>-51</v>
      </c>
      <c r="E121" s="25">
        <f t="shared" si="59"/>
        <v>0</v>
      </c>
      <c r="F121" s="11">
        <f t="shared" si="9"/>
        <v>51</v>
      </c>
      <c r="G121" s="799">
        <f>Summary!$C$24*$E121</f>
        <v>0</v>
      </c>
      <c r="H121" s="799">
        <f>G121*(1-IFERROR(IF(H$69+$F121&lt;=12,SUMIFS('Attrition Modeling'!$D:$D,'Attrition Modeling'!$C:$C,'IP Attrition'!$D121,'Attrition Modeling'!$B:$B,'IP Attrition'!H$68),VLOOKUP($F121+H$2,$A$6:$C$106,2,FALSE)*VLOOKUP(H$1,'Attrition Modeling'!$L$15:$N$27,IF(H$2+$F54&lt;=24,2,3),FALSE)),$C$3)*(1+Projection!J$16)*(1+IF(H186&gt;0,'Attrition Modeling'!$N$9,0)))</f>
        <v>0</v>
      </c>
      <c r="I121" s="799">
        <f>H121*(1-IFERROR(IF(I$69+$F121&lt;=12,SUMIFS('Attrition Modeling'!$D:$D,'Attrition Modeling'!$C:$C,'IP Attrition'!$D121,'Attrition Modeling'!$B:$B,'IP Attrition'!I$68),VLOOKUP($F121+I$2,$A$6:$C$106,2,FALSE)*VLOOKUP(I$1,'Attrition Modeling'!$L$15:$N$27,IF(I$2+$F54&lt;=24,2,3),FALSE)),$C$3)*(1+Projection!K$16)*(1+IF(I186&gt;0,'Attrition Modeling'!$N$9,0)))</f>
        <v>0</v>
      </c>
      <c r="J121" s="799">
        <f>I121*(1-IFERROR(IF(J$69+$F121&lt;=12,SUMIFS('Attrition Modeling'!$D:$D,'Attrition Modeling'!$C:$C,'IP Attrition'!$D121,'Attrition Modeling'!$B:$B,'IP Attrition'!J$68),VLOOKUP($F121+J$2,$A$6:$C$106,2,FALSE)*VLOOKUP(J$1,'Attrition Modeling'!$L$15:$N$27,IF(J$2+$F54&lt;=24,2,3),FALSE)),$C$3)*(1+Projection!L$16)*(1+IF(J186&gt;0,'Attrition Modeling'!$N$9,0)))</f>
        <v>0</v>
      </c>
      <c r="K121" s="799">
        <f>J121*(1-IFERROR(IF(K$69+$F121&lt;=12,SUMIFS('Attrition Modeling'!$D:$D,'Attrition Modeling'!$C:$C,'IP Attrition'!$D121,'Attrition Modeling'!$B:$B,'IP Attrition'!K$68),VLOOKUP($F121+K$2,$A$6:$C$106,2,FALSE)*VLOOKUP(K$1,'Attrition Modeling'!$L$15:$N$27,IF(K$2+$F54&lt;=24,2,3),FALSE)),$C$3)*(1+Projection!M$16)*(1+IF(K186&gt;0,'Attrition Modeling'!$N$9,0)))</f>
        <v>0</v>
      </c>
      <c r="L121" s="799">
        <f>K121*(1-IFERROR(IF(L$69+$F121&lt;=12,SUMIFS('Attrition Modeling'!$D:$D,'Attrition Modeling'!$C:$C,'IP Attrition'!$D121,'Attrition Modeling'!$B:$B,'IP Attrition'!L$68),VLOOKUP($F121+L$2,$A$6:$C$106,2,FALSE)*VLOOKUP(L$1,'Attrition Modeling'!$L$15:$N$27,IF(L$2+$F54&lt;=24,2,3),FALSE)),$C$3)*(1+Projection!N$16)*(1+IF(L186&gt;0,'Attrition Modeling'!$N$9,0)))</f>
        <v>0</v>
      </c>
      <c r="M121" s="799">
        <f>L121*(1-IFERROR(IF(M$69+$F121&lt;=12,SUMIFS('Attrition Modeling'!$D:$D,'Attrition Modeling'!$C:$C,'IP Attrition'!$D121,'Attrition Modeling'!$B:$B,'IP Attrition'!M$68),VLOOKUP($F121+M$2,$A$6:$C$106,2,FALSE)*VLOOKUP(M$1,'Attrition Modeling'!$L$15:$N$27,IF(M$2+$F54&lt;=24,2,3),FALSE)),$C$3)*(1+Projection!O$16)*(1+IF(M186&gt;0,'Attrition Modeling'!$N$9,0)))</f>
        <v>0</v>
      </c>
      <c r="N121" s="799">
        <f>M121*(1-IFERROR(IF(N$69+$F121&lt;=12,SUMIFS('Attrition Modeling'!$D:$D,'Attrition Modeling'!$C:$C,'IP Attrition'!$D121,'Attrition Modeling'!$B:$B,'IP Attrition'!N$68),VLOOKUP($F121+N$2,$A$6:$C$106,2,FALSE)*VLOOKUP(N$1,'Attrition Modeling'!$L$15:$N$27,IF(N$2+$F54&lt;=24,2,3),FALSE)),$C$3)*(1+Projection!P$16)*(1+IF(N186&gt;0,'Attrition Modeling'!$N$9,0)))</f>
        <v>0</v>
      </c>
      <c r="O121" s="799">
        <f>N121*(1-IFERROR(IF(O$69+$F121&lt;=12,SUMIFS('Attrition Modeling'!$D:$D,'Attrition Modeling'!$C:$C,'IP Attrition'!$D121,'Attrition Modeling'!$B:$B,'IP Attrition'!O$68),VLOOKUP($F121+O$2,$A$6:$C$106,2,FALSE)*VLOOKUP(O$1,'Attrition Modeling'!$L$15:$N$27,IF(O$2+$F54&lt;=24,2,3),FALSE)),$C$3)*(1+Projection!Q$16)*(1+IF(O186&gt;0,'Attrition Modeling'!$N$9,0)))</f>
        <v>0</v>
      </c>
      <c r="P121" s="799">
        <f>O121*(1-IFERROR(IF(P$69+$F121&lt;=12,SUMIFS('Attrition Modeling'!$D:$D,'Attrition Modeling'!$C:$C,'IP Attrition'!$D121,'Attrition Modeling'!$B:$B,'IP Attrition'!P$68),VLOOKUP($F121+P$2,$A$6:$C$106,2,FALSE)*VLOOKUP(P$1,'Attrition Modeling'!$L$15:$N$27,IF(P$2+$F54&lt;=24,2,3),FALSE)),$C$3)*(1+Projection!R$16)*(1+IF(P186&gt;0,'Attrition Modeling'!$N$9,0)))</f>
        <v>0</v>
      </c>
      <c r="Q121" s="799">
        <f>P121*(1-IFERROR(IF(Q$69+$F121&lt;=12,SUMIFS('Attrition Modeling'!$D:$D,'Attrition Modeling'!$C:$C,'IP Attrition'!$D121,'Attrition Modeling'!$B:$B,'IP Attrition'!Q$68),VLOOKUP($F121+Q$2,$A$6:$C$106,2,FALSE)*VLOOKUP(Q$1,'Attrition Modeling'!$L$15:$N$27,IF(Q$2+$F54&lt;=24,2,3),FALSE)),$C$3)*(1+Projection!S$16)*(1+IF(Q186&gt;0,'Attrition Modeling'!$N$9,0)))</f>
        <v>0</v>
      </c>
      <c r="R121" s="799">
        <f>Q121*(1-IFERROR(IF(R$69+$F121&lt;=12,SUMIFS('Attrition Modeling'!$D:$D,'Attrition Modeling'!$C:$C,'IP Attrition'!$D121,'Attrition Modeling'!$B:$B,'IP Attrition'!R$68),VLOOKUP($F121+R$2,$A$6:$C$106,2,FALSE)*VLOOKUP(R$1,'Attrition Modeling'!$L$15:$N$27,IF(R$2+$F54&lt;=24,2,3),FALSE)),$C$3)*(1+Projection!T$16)*(1+IF(R186&gt;0,'Attrition Modeling'!$N$9,0)))</f>
        <v>0</v>
      </c>
      <c r="S121" s="799">
        <f>R121*(1-IFERROR(IF(S$69+$F121&lt;=12,SUMIFS('Attrition Modeling'!$D:$D,'Attrition Modeling'!$C:$C,'IP Attrition'!$D121,'Attrition Modeling'!$B:$B,'IP Attrition'!S$68),VLOOKUP($F121+S$2,$A$6:$C$106,2,FALSE)*VLOOKUP(S$1,'Attrition Modeling'!$L$15:$N$27,IF(S$2+$F54&lt;=24,2,3),FALSE)),$C$3)*(1+Projection!U$16)*(1+IF(S186&gt;0,'Attrition Modeling'!$N$9,0)))</f>
        <v>0</v>
      </c>
      <c r="T121" s="799">
        <f>S121*(1-IFERROR(IF(T$69+$F121&lt;=12,SUMIFS('Attrition Modeling'!$D:$D,'Attrition Modeling'!$C:$C,'IP Attrition'!$D121,'Attrition Modeling'!$B:$B,'IP Attrition'!T$68),VLOOKUP($F121+T$2,$A$6:$C$106,2,FALSE)*VLOOKUP(T$1,'Attrition Modeling'!$L$15:$N$27,IF(T$2+$F54&lt;=24,2,3),FALSE)),$C$3)*(1+Projection!V$16)*(1+IF(T186&gt;0,'Attrition Modeling'!$N$9,0)))</f>
        <v>0</v>
      </c>
      <c r="U121" s="799">
        <f>T121*(1-IFERROR(IF(U$69+$F121&lt;=12,SUMIFS('Attrition Modeling'!$D:$D,'Attrition Modeling'!$C:$C,'IP Attrition'!$D121,'Attrition Modeling'!$B:$B,'IP Attrition'!U$68),VLOOKUP($F121+U$2,$A$6:$C$106,2,FALSE)*VLOOKUP(U$1,'Attrition Modeling'!$L$15:$N$27,IF(U$2+$F54&lt;=24,2,3),FALSE)),$C$3)*(1+Projection!W$16)*(1+IF(U186&gt;0,'Attrition Modeling'!$N$9,0)))</f>
        <v>0</v>
      </c>
      <c r="V121" s="799">
        <f>U121*(1-IFERROR(IF(V$69+$F121&lt;=12,SUMIFS('Attrition Modeling'!$D:$D,'Attrition Modeling'!$C:$C,'IP Attrition'!$D121,'Attrition Modeling'!$B:$B,'IP Attrition'!V$68),VLOOKUP($F121+V$2,$A$6:$C$106,2,FALSE)*VLOOKUP(V$1,'Attrition Modeling'!$L$15:$N$27,IF(V$2+$F54&lt;=24,2,3),FALSE)),$C$3)*(1+Projection!X$16)*(1+IF(V186&gt;0,'Attrition Modeling'!$N$9,0)))</f>
        <v>0</v>
      </c>
      <c r="W121" s="799">
        <f>V121*(1-IFERROR(IF(W$69+$F121&lt;=12,SUMIFS('Attrition Modeling'!$D:$D,'Attrition Modeling'!$C:$C,'IP Attrition'!$D121,'Attrition Modeling'!$B:$B,'IP Attrition'!W$68),VLOOKUP($F121+W$2,$A$6:$C$106,2,FALSE)*VLOOKUP(W$1,'Attrition Modeling'!$L$15:$N$27,IF(W$2+$F54&lt;=24,2,3),FALSE)),$C$3)*(1+Projection!Y$16)*(1+IF(W186&gt;0,'Attrition Modeling'!$N$9,0)))</f>
        <v>0</v>
      </c>
      <c r="X121" s="799">
        <f>W121*(1-IFERROR(IF(X$69+$F121&lt;=12,SUMIFS('Attrition Modeling'!$D:$D,'Attrition Modeling'!$C:$C,'IP Attrition'!$D121,'Attrition Modeling'!$B:$B,'IP Attrition'!X$68),VLOOKUP($F121+X$2,$A$6:$C$106,2,FALSE)*VLOOKUP(X$1,'Attrition Modeling'!$L$15:$N$27,IF(X$2+$F54&lt;=24,2,3),FALSE)),$C$3)*(1+Projection!Z$16)*(1+IF(X186&gt;0,'Attrition Modeling'!$N$9,0)))</f>
        <v>0</v>
      </c>
      <c r="Y121" s="799">
        <f>X121*(1-IFERROR(IF(Y$69+$F121&lt;=12,SUMIFS('Attrition Modeling'!$D:$D,'Attrition Modeling'!$C:$C,'IP Attrition'!$D121,'Attrition Modeling'!$B:$B,'IP Attrition'!Y$68),VLOOKUP($F121+Y$2,$A$6:$C$106,2,FALSE)*VLOOKUP(Y$1,'Attrition Modeling'!$L$15:$N$27,IF(Y$2+$F54&lt;=24,2,3),FALSE)),$C$3)*(1+Projection!AA$16)*(1+IF(Y186&gt;0,'Attrition Modeling'!$N$9,0)))</f>
        <v>0</v>
      </c>
      <c r="Z121" s="799">
        <f>Y121*(1-IFERROR(IF(Z$69+$F121&lt;=12,SUMIFS('Attrition Modeling'!$D:$D,'Attrition Modeling'!$C:$C,'IP Attrition'!$D121,'Attrition Modeling'!$B:$B,'IP Attrition'!Z$68),VLOOKUP($F121+Z$2,$A$6:$C$106,2,FALSE)*VLOOKUP(Z$1,'Attrition Modeling'!$L$15:$N$27,IF(Z$2+$F54&lt;=24,2,3),FALSE)),$C$3)*(1+Projection!AB$16)*(1+IF(Z186&gt;0,'Attrition Modeling'!$N$9,0)))</f>
        <v>0</v>
      </c>
      <c r="AA121" s="799">
        <f>Z121*(1-IFERROR(IF(AA$69+$F121&lt;=12,SUMIFS('Attrition Modeling'!$D:$D,'Attrition Modeling'!$C:$C,'IP Attrition'!$D121,'Attrition Modeling'!$B:$B,'IP Attrition'!AA$68),VLOOKUP($F121+AA$2,$A$6:$C$106,2,FALSE)*VLOOKUP(AA$1,'Attrition Modeling'!$L$15:$N$27,IF(AA$2+$F54&lt;=24,2,3),FALSE)),$C$3)*(1+Projection!AC$16)*(1+IF(AA186&gt;0,'Attrition Modeling'!$N$9,0)))</f>
        <v>0</v>
      </c>
      <c r="AB121" s="799">
        <f>AA121*(1-IFERROR(IF(AB$69+$F121&lt;=12,SUMIFS('Attrition Modeling'!$D:$D,'Attrition Modeling'!$C:$C,'IP Attrition'!$D121,'Attrition Modeling'!$B:$B,'IP Attrition'!AB$68),VLOOKUP($F121+AB$2,$A$6:$C$106,2,FALSE)*VLOOKUP(AB$1,'Attrition Modeling'!$L$15:$N$27,IF(AB$2+$F54&lt;=24,2,3),FALSE)),$C$3)*(1+Projection!AD$16)*(1+IF(AB186&gt;0,'Attrition Modeling'!$N$9,0)))</f>
        <v>0</v>
      </c>
      <c r="AC121" s="799">
        <f>AB121*(1-IFERROR(IF(AC$69+$F121&lt;=12,SUMIFS('Attrition Modeling'!$D:$D,'Attrition Modeling'!$C:$C,'IP Attrition'!$D121,'Attrition Modeling'!$B:$B,'IP Attrition'!AC$68),VLOOKUP($F121+AC$2,$A$6:$C$106,2,FALSE)*VLOOKUP(AC$1,'Attrition Modeling'!$L$15:$N$27,IF(AC$2+$F54&lt;=24,2,3),FALSE)),$C$3)*(1+Projection!AE$16)*(1+IF(AC186&gt;0,'Attrition Modeling'!$N$9,0)))</f>
        <v>0</v>
      </c>
      <c r="AD121" s="799">
        <f>AC121*(1-IFERROR(IF(AD$69+$F121&lt;=12,SUMIFS('Attrition Modeling'!$D:$D,'Attrition Modeling'!$C:$C,'IP Attrition'!$D121,'Attrition Modeling'!$B:$B,'IP Attrition'!AD$68),VLOOKUP($F121+AD$2,$A$6:$C$106,2,FALSE)*VLOOKUP(AD$1,'Attrition Modeling'!$L$15:$N$27,IF(AD$2+$F54&lt;=24,2,3),FALSE)),$C$3)*(1+Projection!AF$16)*(1+IF(AD186&gt;0,'Attrition Modeling'!$N$9,0)))</f>
        <v>0</v>
      </c>
      <c r="AE121" s="799">
        <f>AD121*(1-IFERROR(IF(AE$69+$F121&lt;=12,SUMIFS('Attrition Modeling'!$D:$D,'Attrition Modeling'!$C:$C,'IP Attrition'!$D121,'Attrition Modeling'!$B:$B,'IP Attrition'!AE$68),VLOOKUP($F121+AE$2,$A$6:$C$106,2,FALSE)*VLOOKUP(AE$1,'Attrition Modeling'!$L$15:$N$27,IF(AE$2+$F54&lt;=24,2,3),FALSE)),$C$3)*(1+Projection!AG$16)*(1+IF(AE186&gt;0,'Attrition Modeling'!$N$9,0)))</f>
        <v>0</v>
      </c>
      <c r="AF121" s="799">
        <f>AE121*(1-IFERROR(IF(AF$69+$F121&lt;=12,SUMIFS('Attrition Modeling'!$D:$D,'Attrition Modeling'!$C:$C,'IP Attrition'!$D121,'Attrition Modeling'!$B:$B,'IP Attrition'!AF$68),VLOOKUP($F121+AF$2,$A$6:$C$106,2,FALSE)*VLOOKUP(AF$1,'Attrition Modeling'!$L$15:$N$27,IF(AF$2+$F54&lt;=24,2,3),FALSE)),$C$3)*(1+Projection!AH$16)*(1+IF(AF186&gt;0,'Attrition Modeling'!$N$9,0)))</f>
        <v>0</v>
      </c>
      <c r="AG121" s="799">
        <f>AF121*(1-IFERROR(IF(AG$69+$F121&lt;=12,SUMIFS('Attrition Modeling'!$D:$D,'Attrition Modeling'!$C:$C,'IP Attrition'!$D121,'Attrition Modeling'!$B:$B,'IP Attrition'!AG$68),VLOOKUP($F121+AG$2,$A$6:$C$106,2,FALSE)*VLOOKUP(AG$1,'Attrition Modeling'!$L$15:$N$27,IF(AG$2+$F54&lt;=24,2,3),FALSE)),$C$3)*(1+Projection!AI$16)*(1+IF(AG186&gt;0,'Attrition Modeling'!$N$9,0)))</f>
        <v>0</v>
      </c>
      <c r="AH121" s="799">
        <f>AG121*(1-IFERROR(IF(AH$69+$F121&lt;=12,SUMIFS('Attrition Modeling'!$D:$D,'Attrition Modeling'!$C:$C,'IP Attrition'!$D121,'Attrition Modeling'!$B:$B,'IP Attrition'!AH$68),VLOOKUP($F121+AH$2,$A$6:$C$106,2,FALSE)*VLOOKUP(AH$1,'Attrition Modeling'!$L$15:$N$27,IF(AH$2+$F54&lt;=24,2,3),FALSE)),$C$3)*(1+Projection!AJ$16)*(1+IF(AH186&gt;0,'Attrition Modeling'!$N$9,0)))</f>
        <v>0</v>
      </c>
      <c r="AI121" s="799">
        <f>AH121*(1-IFERROR(IF(AI$69+$F121&lt;=12,SUMIFS('Attrition Modeling'!$D:$D,'Attrition Modeling'!$C:$C,'IP Attrition'!$D121,'Attrition Modeling'!$B:$B,'IP Attrition'!AI$68),VLOOKUP($F121+AI$2,$A$6:$C$106,2,FALSE)*VLOOKUP(AI$1,'Attrition Modeling'!$L$15:$N$27,IF(AI$2+$F54&lt;=24,2,3),FALSE)),$C$3)*(1+Projection!AK$16)*(1+IF(AI186&gt;0,'Attrition Modeling'!$N$9,0)))</f>
        <v>0</v>
      </c>
      <c r="AJ121" s="799">
        <f>AI121*(1-IFERROR(IF(AJ$69+$F121&lt;=12,SUMIFS('Attrition Modeling'!$D:$D,'Attrition Modeling'!$C:$C,'IP Attrition'!$D121,'Attrition Modeling'!$B:$B,'IP Attrition'!AJ$68),VLOOKUP($F121+AJ$2,$A$6:$C$106,2,FALSE)*VLOOKUP(AJ$1,'Attrition Modeling'!$L$15:$N$27,IF(AJ$2+$F54&lt;=24,2,3),FALSE)),$C$3)*(1+Projection!AL$16)*(1+IF(AJ186&gt;0,'Attrition Modeling'!$N$9,0)))</f>
        <v>0</v>
      </c>
      <c r="AK121" s="799">
        <f>AJ121*(1-IFERROR(IF(AK$69+$F121&lt;=12,SUMIFS('Attrition Modeling'!$D:$D,'Attrition Modeling'!$C:$C,'IP Attrition'!$D121,'Attrition Modeling'!$B:$B,'IP Attrition'!AK$68),VLOOKUP($F121+AK$2,$A$6:$C$106,2,FALSE)*VLOOKUP(AK$1,'Attrition Modeling'!$L$15:$N$27,IF(AK$2+$F54&lt;=24,2,3),FALSE)),$C$3)*(1+Projection!AM$16)*(1+IF(AK186&gt;0,'Attrition Modeling'!$N$9,0)))</f>
        <v>0</v>
      </c>
      <c r="AL121" s="799">
        <f>AK121*(1-IFERROR(IF(AL$69+$F121&lt;=12,SUMIFS('Attrition Modeling'!$D:$D,'Attrition Modeling'!$C:$C,'IP Attrition'!$D121,'Attrition Modeling'!$B:$B,'IP Attrition'!AL$68),VLOOKUP($F121+AL$2,$A$6:$C$106,2,FALSE)*VLOOKUP(AL$1,'Attrition Modeling'!$L$15:$N$27,IF(AL$2+$F54&lt;=24,2,3),FALSE)),$C$3)*(1+Projection!AN$16)*(1+IF(AL186&gt;0,'Attrition Modeling'!$N$9,0)))</f>
        <v>0</v>
      </c>
      <c r="AM121" s="799">
        <f>AL121*(1-IFERROR(IF(AM$69+$F121&lt;=12,SUMIFS('Attrition Modeling'!$D:$D,'Attrition Modeling'!$C:$C,'IP Attrition'!$D121,'Attrition Modeling'!$B:$B,'IP Attrition'!AM$68),VLOOKUP($F121+AM$2,$A$6:$C$106,2,FALSE)*VLOOKUP(AM$1,'Attrition Modeling'!$L$15:$N$27,IF(AM$2+$F54&lt;=24,2,3),FALSE)),$C$3)*(1+Projection!AO$16)*(1+IF(AM186&gt;0,'Attrition Modeling'!$N$9,0)))</f>
        <v>0</v>
      </c>
      <c r="AN121" s="799">
        <f>AM121*(1-IFERROR(IF(AN$69+$F121&lt;=12,SUMIFS('Attrition Modeling'!$D:$D,'Attrition Modeling'!$C:$C,'IP Attrition'!$D121,'Attrition Modeling'!$B:$B,'IP Attrition'!AN$68),VLOOKUP($F121+AN$2,$A$6:$C$106,2,FALSE)*VLOOKUP(AN$1,'Attrition Modeling'!$L$15:$N$27,IF(AN$2+$F54&lt;=24,2,3),FALSE)),$C$3)*(1+Projection!AP$16)*(1+IF(AN186&gt;0,'Attrition Modeling'!$N$9,0)))</f>
        <v>0</v>
      </c>
      <c r="AO121" s="799">
        <f>AN121*(1-IFERROR(IF(AO$69+$F121&lt;=12,SUMIFS('Attrition Modeling'!$D:$D,'Attrition Modeling'!$C:$C,'IP Attrition'!$D121,'Attrition Modeling'!$B:$B,'IP Attrition'!AO$68),VLOOKUP($F121+AO$2,$A$6:$C$106,2,FALSE)*VLOOKUP(AO$1,'Attrition Modeling'!$L$15:$N$27,IF(AO$2+$F54&lt;=24,2,3),FALSE)),$C$3)*(1+Projection!AQ$16)*(1+IF(AO186&gt;0,'Attrition Modeling'!$N$9,0)))</f>
        <v>0</v>
      </c>
      <c r="AP121" s="799">
        <f>AO121*(1-IFERROR(IF(AP$69+$F121&lt;=12,SUMIFS('Attrition Modeling'!$D:$D,'Attrition Modeling'!$C:$C,'IP Attrition'!$D121,'Attrition Modeling'!$B:$B,'IP Attrition'!AP$68),VLOOKUP($F121+AP$2,$A$6:$C$106,2,FALSE)*VLOOKUP(AP$1,'Attrition Modeling'!$L$15:$N$27,IF(AP$2+$F54&lt;=24,2,3),FALSE)),$C$3)*(1+Projection!AR$16)*(1+IF(AP186&gt;0,'Attrition Modeling'!$N$9,0)))</f>
        <v>0</v>
      </c>
      <c r="AQ121" s="799">
        <f>AP121*(1-IFERROR(IF(AQ$69+$F121&lt;=12,SUMIFS('Attrition Modeling'!$D:$D,'Attrition Modeling'!$C:$C,'IP Attrition'!$D121,'Attrition Modeling'!$B:$B,'IP Attrition'!AQ$68),VLOOKUP($F121+AQ$2,$A$6:$C$106,2,FALSE)*VLOOKUP(AQ$1,'Attrition Modeling'!$L$15:$N$27,IF(AQ$2+$F54&lt;=24,2,3),FALSE)),$C$3)*(1+Projection!AS$16)*(1+IF(AQ186&gt;0,'Attrition Modeling'!$N$9,0)))</f>
        <v>0</v>
      </c>
      <c r="AR121" s="799">
        <f>AQ121*(1-IFERROR(IF(AR$69+$F121&lt;=12,SUMIFS('Attrition Modeling'!$D:$D,'Attrition Modeling'!$C:$C,'IP Attrition'!$D121,'Attrition Modeling'!$B:$B,'IP Attrition'!AR$68),VLOOKUP($F121+AR$2,$A$6:$C$106,2,FALSE)*VLOOKUP(AR$1,'Attrition Modeling'!$L$15:$N$27,IF(AR$2+$F54&lt;=24,2,3),FALSE)),$C$3)*(1+Projection!AT$16)*(1+IF(AR186&gt;0,'Attrition Modeling'!$N$9,0)))</f>
        <v>0</v>
      </c>
      <c r="AS121" s="799">
        <f>AR121*(1-IFERROR(IF(AS$69+$F121&lt;=12,SUMIFS('Attrition Modeling'!$D:$D,'Attrition Modeling'!$C:$C,'IP Attrition'!$D121,'Attrition Modeling'!$B:$B,'IP Attrition'!AS$68),VLOOKUP($F121+AS$2,$A$6:$C$106,2,FALSE)*VLOOKUP(AS$1,'Attrition Modeling'!$L$15:$N$27,IF(AS$2+$F54&lt;=24,2,3),FALSE)),$C$3)*(1+Projection!AU$16)*(1+IF(AS186&gt;0,'Attrition Modeling'!$N$9,0)))</f>
        <v>0</v>
      </c>
      <c r="AT121" s="799">
        <f>AS121*(1-IFERROR(IF(AT$69+$F121&lt;=12,SUMIFS('Attrition Modeling'!$D:$D,'Attrition Modeling'!$C:$C,'IP Attrition'!$D121,'Attrition Modeling'!$B:$B,'IP Attrition'!AT$68),VLOOKUP($F121+AT$2,$A$6:$C$106,2,FALSE)*VLOOKUP(AT$1,'Attrition Modeling'!$L$15:$N$27,IF(AT$2+$F54&lt;=24,2,3),FALSE)),$C$3)*(1+Projection!AV$16)*(1+IF(AT186&gt;0,'Attrition Modeling'!$N$9,0)))</f>
        <v>0</v>
      </c>
      <c r="AU121" s="799">
        <f>AT121*(1-IFERROR(IF(AU$69+$F121&lt;=12,SUMIFS('Attrition Modeling'!$D:$D,'Attrition Modeling'!$C:$C,'IP Attrition'!$D121,'Attrition Modeling'!$B:$B,'IP Attrition'!AU$68),VLOOKUP($F121+AU$2,$A$6:$C$106,2,FALSE)*VLOOKUP(AU$1,'Attrition Modeling'!$L$15:$N$27,IF(AU$2+$F54&lt;=24,2,3),FALSE)),$C$3)*(1+Projection!AW$16)*(1+IF(AU186&gt;0,'Attrition Modeling'!$N$9,0)))</f>
        <v>0</v>
      </c>
      <c r="AV121" s="799">
        <f>AU121*(1-IFERROR(IF(AV$69+$F121&lt;=12,SUMIFS('Attrition Modeling'!$D:$D,'Attrition Modeling'!$C:$C,'IP Attrition'!$D121,'Attrition Modeling'!$B:$B,'IP Attrition'!AV$68),VLOOKUP($F121+AV$2,$A$6:$C$106,2,FALSE)*VLOOKUP(AV$1,'Attrition Modeling'!$L$15:$N$27,IF(AV$2+$F54&lt;=24,2,3),FALSE)),$C$3)*(1+Projection!AX$16)*(1+IF(AV186&gt;0,'Attrition Modeling'!$N$9,0)))</f>
        <v>0</v>
      </c>
      <c r="AW121" s="799">
        <f>AV121*(1-IFERROR(IF(AW$69+$F121&lt;=12,SUMIFS('Attrition Modeling'!$D:$D,'Attrition Modeling'!$C:$C,'IP Attrition'!$D121,'Attrition Modeling'!$B:$B,'IP Attrition'!AW$68),VLOOKUP($F121+AW$2,$A$6:$C$106,2,FALSE)*VLOOKUP(AW$1,'Attrition Modeling'!$L$15:$N$27,IF(AW$2+$F54&lt;=24,2,3),FALSE)),$C$3)*(1+Projection!AY$16)*(1+IF(AW186&gt;0,'Attrition Modeling'!$N$9,0)))</f>
        <v>0</v>
      </c>
      <c r="AX121" s="799">
        <f>AW121*(1-IFERROR(IF(AX$69+$F121&lt;=12,SUMIFS('Attrition Modeling'!$D:$D,'Attrition Modeling'!$C:$C,'IP Attrition'!$D121,'Attrition Modeling'!$B:$B,'IP Attrition'!AX$68),VLOOKUP($F121+AX$2,$A$6:$C$106,2,FALSE)*VLOOKUP(AX$1,'Attrition Modeling'!$L$15:$N$27,IF(AX$2+$F54&lt;=24,2,3),FALSE)),$C$3)*(1+Projection!AZ$16)*(1+IF(AX186&gt;0,'Attrition Modeling'!$N$9,0)))</f>
        <v>0</v>
      </c>
      <c r="AY121" s="799">
        <f>AX121*(1-IFERROR(IF(AY$69+$F121&lt;=12,SUMIFS('Attrition Modeling'!$D:$D,'Attrition Modeling'!$C:$C,'IP Attrition'!$D121,'Attrition Modeling'!$B:$B,'IP Attrition'!AY$68),VLOOKUP($F121+AY$2,$A$6:$C$106,2,FALSE)*VLOOKUP(AY$1,'Attrition Modeling'!$L$15:$N$27,IF(AY$2+$F54&lt;=24,2,3),FALSE)),$C$3)*(1+Projection!BA$16)*(1+IF(AY186&gt;0,'Attrition Modeling'!$N$9,0)))</f>
        <v>0</v>
      </c>
      <c r="AZ121" s="799">
        <f>AY121*(1-IFERROR(IF(AZ$69+$F121&lt;=12,SUMIFS('Attrition Modeling'!$D:$D,'Attrition Modeling'!$C:$C,'IP Attrition'!$D121,'Attrition Modeling'!$B:$B,'IP Attrition'!AZ$68),VLOOKUP($F121+AZ$2,$A$6:$C$106,2,FALSE)*VLOOKUP(AZ$1,'Attrition Modeling'!$L$15:$N$27,IF(AZ$2+$F54&lt;=24,2,3),FALSE)),$C$3)*(1+Projection!BB$16)*(1+IF(AZ186&gt;0,'Attrition Modeling'!$N$9,0)))</f>
        <v>0</v>
      </c>
      <c r="BA121" s="799">
        <f>AZ121*(1-IFERROR(IF(BA$69+$F121&lt;=12,SUMIFS('Attrition Modeling'!$D:$D,'Attrition Modeling'!$C:$C,'IP Attrition'!$D121,'Attrition Modeling'!$B:$B,'IP Attrition'!BA$68),VLOOKUP($F121+BA$2,$A$6:$C$106,2,FALSE)*VLOOKUP(BA$1,'Attrition Modeling'!$L$15:$N$27,IF(BA$2+$F54&lt;=24,2,3),FALSE)),$C$3)*(1+Projection!BC$16)*(1+IF(BA186&gt;0,'Attrition Modeling'!$N$9,0)))</f>
        <v>0</v>
      </c>
      <c r="BB121" s="799">
        <f>BA121*(1-IFERROR(IF(BB$69+$F121&lt;=12,SUMIFS('Attrition Modeling'!$D:$D,'Attrition Modeling'!$C:$C,'IP Attrition'!$D121,'Attrition Modeling'!$B:$B,'IP Attrition'!BB$68),VLOOKUP($F121+BB$2,$A$6:$C$106,2,FALSE)*VLOOKUP(BB$1,'Attrition Modeling'!$L$15:$N$27,IF(BB$2+$F54&lt;=24,2,3),FALSE)),$C$3)*(1+Projection!BD$16)*(1+IF(BB186&gt;0,'Attrition Modeling'!$N$9,0)))</f>
        <v>0</v>
      </c>
      <c r="BC121" s="799">
        <f>BB121*(1-IFERROR(IF(BC$69+$F121&lt;=12,SUMIFS('Attrition Modeling'!$D:$D,'Attrition Modeling'!$C:$C,'IP Attrition'!$D121,'Attrition Modeling'!$B:$B,'IP Attrition'!BC$68),VLOOKUP($F121+BC$2,$A$6:$C$106,2,FALSE)*VLOOKUP(BC$1,'Attrition Modeling'!$L$15:$N$27,IF(BC$2+$F54&lt;=24,2,3),FALSE)),$C$3)*(1+Projection!BE$16)*(1+IF(BC186&gt;0,'Attrition Modeling'!$N$9,0)))</f>
        <v>0</v>
      </c>
      <c r="BD121" s="799">
        <f>BC121*(1-IFERROR(IF(BD$69+$F121&lt;=12,SUMIFS('Attrition Modeling'!$D:$D,'Attrition Modeling'!$C:$C,'IP Attrition'!$D121,'Attrition Modeling'!$B:$B,'IP Attrition'!BD$68),VLOOKUP($F121+BD$2,$A$6:$C$106,2,FALSE)*VLOOKUP(BD$1,'Attrition Modeling'!$L$15:$N$27,IF(BD$2+$F54&lt;=24,2,3),FALSE)),$C$3)*(1+Projection!BF$16)*(1+IF(BD186&gt;0,'Attrition Modeling'!$N$9,0)))</f>
        <v>0</v>
      </c>
      <c r="BE121" s="799">
        <f>BD121*(1-IFERROR(IF(BE$69+$F121&lt;=12,SUMIFS('Attrition Modeling'!$D:$D,'Attrition Modeling'!$C:$C,'IP Attrition'!$D121,'Attrition Modeling'!$B:$B,'IP Attrition'!BE$68),VLOOKUP($F121+BE$2,$A$6:$C$106,2,FALSE)*VLOOKUP(BE$1,'Attrition Modeling'!$L$15:$N$27,IF(BE$2+$F54&lt;=24,2,3),FALSE)),$C$3)*(1+Projection!BG$16)*(1+IF(BE186&gt;0,'Attrition Modeling'!$N$9,0)))</f>
        <v>0</v>
      </c>
      <c r="BF121" s="799">
        <f>BE121*(1-IFERROR(IF(BF$69+$F121&lt;=12,SUMIFS('Attrition Modeling'!$D:$D,'Attrition Modeling'!$C:$C,'IP Attrition'!$D121,'Attrition Modeling'!$B:$B,'IP Attrition'!BF$68),VLOOKUP($F121+BF$2,$A$6:$C$106,2,FALSE)*VLOOKUP(BF$1,'Attrition Modeling'!$L$15:$N$27,IF(BF$2+$F54&lt;=24,2,3),FALSE)),$C$3)*(1+Projection!BH$16)*(1+IF(BF186&gt;0,'Attrition Modeling'!$N$9,0)))</f>
        <v>0</v>
      </c>
      <c r="BG121" s="799">
        <f>BF121*(1-IFERROR(IF(BG$69+$F121&lt;=12,SUMIFS('Attrition Modeling'!$D:$D,'Attrition Modeling'!$C:$C,'IP Attrition'!$D121,'Attrition Modeling'!$B:$B,'IP Attrition'!BG$68),VLOOKUP($F121+BG$2,$A$6:$C$106,2,FALSE)*VLOOKUP(BG$1,'Attrition Modeling'!$L$15:$N$27,IF(BG$2+$F54&lt;=24,2,3),FALSE)),$C$3)*(1+Projection!BI$16)*(1+IF(BG186&gt;0,'Attrition Modeling'!$N$9,0)))</f>
        <v>0</v>
      </c>
      <c r="BH121" s="799">
        <f>BG121*(1-IFERROR(IF(BH$69+$F121&lt;=12,SUMIFS('Attrition Modeling'!$D:$D,'Attrition Modeling'!$C:$C,'IP Attrition'!$D121,'Attrition Modeling'!$B:$B,'IP Attrition'!BH$68),VLOOKUP($F121+BH$2,$A$6:$C$106,2,FALSE)*VLOOKUP(BH$1,'Attrition Modeling'!$L$15:$N$27,IF(BH$2+$F54&lt;=24,2,3),FALSE)),$C$3)*(1+Projection!BJ$16)*(1+IF(BH186&gt;0,'Attrition Modeling'!$N$9,0)))</f>
        <v>0</v>
      </c>
      <c r="BI121" s="799">
        <f>BH121*(1-IFERROR(IF(BI$69+$F121&lt;=12,SUMIFS('Attrition Modeling'!$D:$D,'Attrition Modeling'!$C:$C,'IP Attrition'!$D121,'Attrition Modeling'!$B:$B,'IP Attrition'!BI$68),VLOOKUP($F121+BI$2,$A$6:$C$106,2,FALSE)*VLOOKUP(BI$1,'Attrition Modeling'!$L$15:$N$27,IF(BI$2+$F54&lt;=24,2,3),FALSE)),$C$3)*(1+Projection!BK$16)*(1+IF(BI186&gt;0,'Attrition Modeling'!$N$9,0)))</f>
        <v>0</v>
      </c>
      <c r="BJ121" s="799">
        <f>BI121*(1-IFERROR(IF(BJ$69+$F121&lt;=12,SUMIFS('Attrition Modeling'!$D:$D,'Attrition Modeling'!$C:$C,'IP Attrition'!$D121,'Attrition Modeling'!$B:$B,'IP Attrition'!BJ$68),VLOOKUP($F121+BJ$2,$A$6:$C$106,2,FALSE)*VLOOKUP(BJ$1,'Attrition Modeling'!$L$15:$N$27,IF(BJ$2+$F54&lt;=24,2,3),FALSE)),$C$3)*(1+Projection!BL$16)*(1+IF(BJ186&gt;0,'Attrition Modeling'!$N$9,0)))</f>
        <v>0</v>
      </c>
      <c r="BK121" s="799">
        <f>BJ121*(1-IFERROR(IF(BK$69+$F121&lt;=12,SUMIFS('Attrition Modeling'!$D:$D,'Attrition Modeling'!$C:$C,'IP Attrition'!$D121,'Attrition Modeling'!$B:$B,'IP Attrition'!BK$68),VLOOKUP($F121+BK$2,$A$6:$C$106,2,FALSE)*VLOOKUP(BK$1,'Attrition Modeling'!$L$15:$N$27,IF(BK$2+$F54&lt;=24,2,3),FALSE)),$C$3)*(1+Projection!BM$16)*(1+IF(BK186&gt;0,'Attrition Modeling'!$N$9,0)))</f>
        <v>0</v>
      </c>
      <c r="BL121" s="799">
        <f>BK121*(1-IFERROR(IF(BL$69+$F121&lt;=12,SUMIFS('Attrition Modeling'!$D:$D,'Attrition Modeling'!$C:$C,'IP Attrition'!$D121,'Attrition Modeling'!$B:$B,'IP Attrition'!BL$68),VLOOKUP($F121+BL$2,$A$6:$C$106,2,FALSE)*VLOOKUP(BL$1,'Attrition Modeling'!$L$15:$N$27,IF(BL$2+$F54&lt;=24,2,3),FALSE)),$C$3)*(1+Projection!BN$16)*(1+IF(BL186&gt;0,'Attrition Modeling'!$N$9,0)))</f>
        <v>0</v>
      </c>
      <c r="BM121" s="799">
        <f>BL121*(1-IFERROR(IF(BM$69+$F121&lt;=12,SUMIFS('Attrition Modeling'!$D:$D,'Attrition Modeling'!$C:$C,'IP Attrition'!$D121,'Attrition Modeling'!$B:$B,'IP Attrition'!BM$68),VLOOKUP($F121+BM$2,$A$6:$C$106,2,FALSE)*VLOOKUP(BM$1,'Attrition Modeling'!$L$15:$N$27,IF(BM$2+$F54&lt;=24,2,3),FALSE)),$C$3)*(1+Projection!BO$16)*(1+IF(BM186&gt;0,'Attrition Modeling'!$N$9,0)))</f>
        <v>0</v>
      </c>
      <c r="BN121" s="799">
        <f>BM121*(1-IFERROR(IF(BN$69+$F121&lt;=12,SUMIFS('Attrition Modeling'!$D:$D,'Attrition Modeling'!$C:$C,'IP Attrition'!$D121,'Attrition Modeling'!$B:$B,'IP Attrition'!BN$68),VLOOKUP($F121+BN$2,$A$6:$C$106,2,FALSE)*VLOOKUP(BN$1,'Attrition Modeling'!$L$15:$N$27,IF(BN$2+$F54&lt;=24,2,3),FALSE)),$C$3)*(1+Projection!BP$16)*(1+IF(BN186&gt;0,'Attrition Modeling'!$N$9,0)))</f>
        <v>0</v>
      </c>
      <c r="BO121" s="799">
        <f>BN121*(1-IFERROR(IF(BO$69+$F121&lt;=12,SUMIFS('Attrition Modeling'!$D:$D,'Attrition Modeling'!$C:$C,'IP Attrition'!$D121,'Attrition Modeling'!$B:$B,'IP Attrition'!BO$68),VLOOKUP($F121+BO$2,$A$6:$C$106,2,FALSE)*VLOOKUP(BO$1,'Attrition Modeling'!$L$15:$N$27,IF(BO$2+$F54&lt;=24,2,3),FALSE)),$C$3)*(1+Projection!BV$16)*(1+IF(BO186&gt;0,'Attrition Modeling'!$N$9,0)))</f>
        <v>0</v>
      </c>
      <c r="BP121" s="799">
        <f>BO121*(1-IFERROR(IF(BP$69+$F121&lt;=12,SUMIFS('Attrition Modeling'!$D:$D,'Attrition Modeling'!$C:$C,'IP Attrition'!$D121,'Attrition Modeling'!$B:$B,'IP Attrition'!BP$68),VLOOKUP($F121+BP$2,$A$6:$C$106,2,FALSE)*VLOOKUP(BP$1,'Attrition Modeling'!$L$15:$N$27,IF(BP$2+$F54&lt;=24,2,3),FALSE)),$C$3)*(1+Projection!BW$16)*(1+IF(BP186&gt;0,'Attrition Modeling'!$N$9,0)))</f>
        <v>0</v>
      </c>
      <c r="BQ121" s="799">
        <f>BP121*(1-IFERROR(IF(BQ$69+$F121&lt;=12,SUMIFS('Attrition Modeling'!$D:$D,'Attrition Modeling'!$C:$C,'IP Attrition'!$D121,'Attrition Modeling'!$B:$B,'IP Attrition'!BQ$68),VLOOKUP($F121+BQ$2,$A$6:$C$106,2,FALSE)*VLOOKUP(BQ$1,'Attrition Modeling'!$L$15:$N$27,IF(BQ$2+$F54&lt;=24,2,3),FALSE)),$C$3)*(1+Projection!BX$16)*(1+IF(BQ186&gt;0,'Attrition Modeling'!$N$9,0)))</f>
        <v>0</v>
      </c>
      <c r="BR121" s="799">
        <f>BQ121*(1-IFERROR(IF(BR$69+$F121&lt;=12,SUMIFS('Attrition Modeling'!$D:$D,'Attrition Modeling'!$C:$C,'IP Attrition'!$D121,'Attrition Modeling'!$B:$B,'IP Attrition'!BR$68),VLOOKUP($F121+BR$2,$A$6:$C$106,2,FALSE)*VLOOKUP(BR$1,'Attrition Modeling'!$L$15:$N$27,IF(BR$2+$F54&lt;=24,2,3),FALSE)),$C$3)*(1+Projection!BY$16)*(1+IF(BR186&gt;0,'Attrition Modeling'!$N$9,0)))</f>
        <v>0</v>
      </c>
      <c r="BS121" s="799">
        <f>BR121*(1-IFERROR(IF(BS$69+$F121&lt;=12,SUMIFS('Attrition Modeling'!$D:$D,'Attrition Modeling'!$C:$C,'IP Attrition'!$D121,'Attrition Modeling'!$B:$B,'IP Attrition'!BS$68),VLOOKUP($F121+BS$2,$A$6:$C$106,2,FALSE)*VLOOKUP(BS$1,'Attrition Modeling'!$L$15:$N$27,IF(BS$2+$F54&lt;=24,2,3),FALSE)),$C$3)*(1+Projection!BZ$16)*(1+IF(BS186&gt;0,'Attrition Modeling'!$N$9,0)))</f>
        <v>0</v>
      </c>
      <c r="BT121" s="799" t="e">
        <f>BS121*(1-IFERROR(IF(BT$69+$F121&lt;=12,SUMIFS('Attrition Modeling'!$D:$D,'Attrition Modeling'!$C:$C,'IP Attrition'!$D121,'Attrition Modeling'!$B:$B,'IP Attrition'!BT$68),VLOOKUP($F121+BT$2,$A$6:$C$106,2,FALSE)*VLOOKUP(BT$1,'Attrition Modeling'!$L$15:$N$27,IF(BT$2+$F54&lt;=24,2,3),FALSE)),$C$3)*(1+Projection!CA$16)*(1+IF(BT186&gt;0,'Attrition Modeling'!$N$9,0)))</f>
        <v>#REF!</v>
      </c>
      <c r="BU121" s="799" t="e">
        <f>BT121*(1-IFERROR(IF(BU$69+$F121&lt;=12,SUMIFS('Attrition Modeling'!$D:$D,'Attrition Modeling'!$C:$C,'IP Attrition'!$D121,'Attrition Modeling'!$B:$B,'IP Attrition'!BU$68),VLOOKUP($F121+BU$2,$A$6:$C$106,2,FALSE)*VLOOKUP(BU$1,'Attrition Modeling'!$L$15:$N$27,IF(BU$2+$F54&lt;=24,2,3),FALSE)),$C$3)*(1+Projection!CB$16)*(1+IF(BU186&gt;0,'Attrition Modeling'!$N$9,0)))</f>
        <v>#REF!</v>
      </c>
    </row>
    <row r="122" spans="1:73" ht="14.25" customHeight="1" x14ac:dyDescent="0.2">
      <c r="A122" s="9">
        <v>115</v>
      </c>
      <c r="B122" s="25">
        <f>MAX('Attrition Modeling'!H119,$C$3)*(1-Summary!$C$20)</f>
        <v>0.02</v>
      </c>
      <c r="C122" s="24" t="e">
        <f t="shared" si="3"/>
        <v>#DIV/0!</v>
      </c>
      <c r="D122" s="11">
        <f t="shared" ref="D122:E122" si="60">D55</f>
        <v>-52</v>
      </c>
      <c r="E122" s="25">
        <f t="shared" si="60"/>
        <v>0</v>
      </c>
      <c r="F122" s="11">
        <f t="shared" si="9"/>
        <v>52</v>
      </c>
      <c r="G122" s="799">
        <f>Summary!$C$24*$E122</f>
        <v>0</v>
      </c>
      <c r="H122" s="799">
        <f>G122*(1-IFERROR(IF(H$69+$F122&lt;=12,SUMIFS('Attrition Modeling'!$D:$D,'Attrition Modeling'!$C:$C,'IP Attrition'!$D122,'Attrition Modeling'!$B:$B,'IP Attrition'!H$68),VLOOKUP($F122+H$2,$A$6:$C$106,2,FALSE)*VLOOKUP(H$1,'Attrition Modeling'!$L$15:$N$27,IF(H$2+$F55&lt;=24,2,3),FALSE)),$C$3)*(1+Projection!J$16)*(1+IF(H187&gt;0,'Attrition Modeling'!$N$9,0)))</f>
        <v>0</v>
      </c>
      <c r="I122" s="799">
        <f>H122*(1-IFERROR(IF(I$69+$F122&lt;=12,SUMIFS('Attrition Modeling'!$D:$D,'Attrition Modeling'!$C:$C,'IP Attrition'!$D122,'Attrition Modeling'!$B:$B,'IP Attrition'!I$68),VLOOKUP($F122+I$2,$A$6:$C$106,2,FALSE)*VLOOKUP(I$1,'Attrition Modeling'!$L$15:$N$27,IF(I$2+$F55&lt;=24,2,3),FALSE)),$C$3)*(1+Projection!K$16)*(1+IF(I187&gt;0,'Attrition Modeling'!$N$9,0)))</f>
        <v>0</v>
      </c>
      <c r="J122" s="799">
        <f>I122*(1-IFERROR(IF(J$69+$F122&lt;=12,SUMIFS('Attrition Modeling'!$D:$D,'Attrition Modeling'!$C:$C,'IP Attrition'!$D122,'Attrition Modeling'!$B:$B,'IP Attrition'!J$68),VLOOKUP($F122+J$2,$A$6:$C$106,2,FALSE)*VLOOKUP(J$1,'Attrition Modeling'!$L$15:$N$27,IF(J$2+$F55&lt;=24,2,3),FALSE)),$C$3)*(1+Projection!L$16)*(1+IF(J187&gt;0,'Attrition Modeling'!$N$9,0)))</f>
        <v>0</v>
      </c>
      <c r="K122" s="799">
        <f>J122*(1-IFERROR(IF(K$69+$F122&lt;=12,SUMIFS('Attrition Modeling'!$D:$D,'Attrition Modeling'!$C:$C,'IP Attrition'!$D122,'Attrition Modeling'!$B:$B,'IP Attrition'!K$68),VLOOKUP($F122+K$2,$A$6:$C$106,2,FALSE)*VLOOKUP(K$1,'Attrition Modeling'!$L$15:$N$27,IF(K$2+$F55&lt;=24,2,3),FALSE)),$C$3)*(1+Projection!M$16)*(1+IF(K187&gt;0,'Attrition Modeling'!$N$9,0)))</f>
        <v>0</v>
      </c>
      <c r="L122" s="799">
        <f>K122*(1-IFERROR(IF(L$69+$F122&lt;=12,SUMIFS('Attrition Modeling'!$D:$D,'Attrition Modeling'!$C:$C,'IP Attrition'!$D122,'Attrition Modeling'!$B:$B,'IP Attrition'!L$68),VLOOKUP($F122+L$2,$A$6:$C$106,2,FALSE)*VLOOKUP(L$1,'Attrition Modeling'!$L$15:$N$27,IF(L$2+$F55&lt;=24,2,3),FALSE)),$C$3)*(1+Projection!N$16)*(1+IF(L187&gt;0,'Attrition Modeling'!$N$9,0)))</f>
        <v>0</v>
      </c>
      <c r="M122" s="799">
        <f>L122*(1-IFERROR(IF(M$69+$F122&lt;=12,SUMIFS('Attrition Modeling'!$D:$D,'Attrition Modeling'!$C:$C,'IP Attrition'!$D122,'Attrition Modeling'!$B:$B,'IP Attrition'!M$68),VLOOKUP($F122+M$2,$A$6:$C$106,2,FALSE)*VLOOKUP(M$1,'Attrition Modeling'!$L$15:$N$27,IF(M$2+$F55&lt;=24,2,3),FALSE)),$C$3)*(1+Projection!O$16)*(1+IF(M187&gt;0,'Attrition Modeling'!$N$9,0)))</f>
        <v>0</v>
      </c>
      <c r="N122" s="799">
        <f>M122*(1-IFERROR(IF(N$69+$F122&lt;=12,SUMIFS('Attrition Modeling'!$D:$D,'Attrition Modeling'!$C:$C,'IP Attrition'!$D122,'Attrition Modeling'!$B:$B,'IP Attrition'!N$68),VLOOKUP($F122+N$2,$A$6:$C$106,2,FALSE)*VLOOKUP(N$1,'Attrition Modeling'!$L$15:$N$27,IF(N$2+$F55&lt;=24,2,3),FALSE)),$C$3)*(1+Projection!P$16)*(1+IF(N187&gt;0,'Attrition Modeling'!$N$9,0)))</f>
        <v>0</v>
      </c>
      <c r="O122" s="799">
        <f>N122*(1-IFERROR(IF(O$69+$F122&lt;=12,SUMIFS('Attrition Modeling'!$D:$D,'Attrition Modeling'!$C:$C,'IP Attrition'!$D122,'Attrition Modeling'!$B:$B,'IP Attrition'!O$68),VLOOKUP($F122+O$2,$A$6:$C$106,2,FALSE)*VLOOKUP(O$1,'Attrition Modeling'!$L$15:$N$27,IF(O$2+$F55&lt;=24,2,3),FALSE)),$C$3)*(1+Projection!Q$16)*(1+IF(O187&gt;0,'Attrition Modeling'!$N$9,0)))</f>
        <v>0</v>
      </c>
      <c r="P122" s="799">
        <f>O122*(1-IFERROR(IF(P$69+$F122&lt;=12,SUMIFS('Attrition Modeling'!$D:$D,'Attrition Modeling'!$C:$C,'IP Attrition'!$D122,'Attrition Modeling'!$B:$B,'IP Attrition'!P$68),VLOOKUP($F122+P$2,$A$6:$C$106,2,FALSE)*VLOOKUP(P$1,'Attrition Modeling'!$L$15:$N$27,IF(P$2+$F55&lt;=24,2,3),FALSE)),$C$3)*(1+Projection!R$16)*(1+IF(P187&gt;0,'Attrition Modeling'!$N$9,0)))</f>
        <v>0</v>
      </c>
      <c r="Q122" s="799">
        <f>P122*(1-IFERROR(IF(Q$69+$F122&lt;=12,SUMIFS('Attrition Modeling'!$D:$D,'Attrition Modeling'!$C:$C,'IP Attrition'!$D122,'Attrition Modeling'!$B:$B,'IP Attrition'!Q$68),VLOOKUP($F122+Q$2,$A$6:$C$106,2,FALSE)*VLOOKUP(Q$1,'Attrition Modeling'!$L$15:$N$27,IF(Q$2+$F55&lt;=24,2,3),FALSE)),$C$3)*(1+Projection!S$16)*(1+IF(Q187&gt;0,'Attrition Modeling'!$N$9,0)))</f>
        <v>0</v>
      </c>
      <c r="R122" s="799">
        <f>Q122*(1-IFERROR(IF(R$69+$F122&lt;=12,SUMIFS('Attrition Modeling'!$D:$D,'Attrition Modeling'!$C:$C,'IP Attrition'!$D122,'Attrition Modeling'!$B:$B,'IP Attrition'!R$68),VLOOKUP($F122+R$2,$A$6:$C$106,2,FALSE)*VLOOKUP(R$1,'Attrition Modeling'!$L$15:$N$27,IF(R$2+$F55&lt;=24,2,3),FALSE)),$C$3)*(1+Projection!T$16)*(1+IF(R187&gt;0,'Attrition Modeling'!$N$9,0)))</f>
        <v>0</v>
      </c>
      <c r="S122" s="799">
        <f>R122*(1-IFERROR(IF(S$69+$F122&lt;=12,SUMIFS('Attrition Modeling'!$D:$D,'Attrition Modeling'!$C:$C,'IP Attrition'!$D122,'Attrition Modeling'!$B:$B,'IP Attrition'!S$68),VLOOKUP($F122+S$2,$A$6:$C$106,2,FALSE)*VLOOKUP(S$1,'Attrition Modeling'!$L$15:$N$27,IF(S$2+$F55&lt;=24,2,3),FALSE)),$C$3)*(1+Projection!U$16)*(1+IF(S187&gt;0,'Attrition Modeling'!$N$9,0)))</f>
        <v>0</v>
      </c>
      <c r="T122" s="799">
        <f>S122*(1-IFERROR(IF(T$69+$F122&lt;=12,SUMIFS('Attrition Modeling'!$D:$D,'Attrition Modeling'!$C:$C,'IP Attrition'!$D122,'Attrition Modeling'!$B:$B,'IP Attrition'!T$68),VLOOKUP($F122+T$2,$A$6:$C$106,2,FALSE)*VLOOKUP(T$1,'Attrition Modeling'!$L$15:$N$27,IF(T$2+$F55&lt;=24,2,3),FALSE)),$C$3)*(1+Projection!V$16)*(1+IF(T187&gt;0,'Attrition Modeling'!$N$9,0)))</f>
        <v>0</v>
      </c>
      <c r="U122" s="799">
        <f>T122*(1-IFERROR(IF(U$69+$F122&lt;=12,SUMIFS('Attrition Modeling'!$D:$D,'Attrition Modeling'!$C:$C,'IP Attrition'!$D122,'Attrition Modeling'!$B:$B,'IP Attrition'!U$68),VLOOKUP($F122+U$2,$A$6:$C$106,2,FALSE)*VLOOKUP(U$1,'Attrition Modeling'!$L$15:$N$27,IF(U$2+$F55&lt;=24,2,3),FALSE)),$C$3)*(1+Projection!W$16)*(1+IF(U187&gt;0,'Attrition Modeling'!$N$9,0)))</f>
        <v>0</v>
      </c>
      <c r="V122" s="799">
        <f>U122*(1-IFERROR(IF(V$69+$F122&lt;=12,SUMIFS('Attrition Modeling'!$D:$D,'Attrition Modeling'!$C:$C,'IP Attrition'!$D122,'Attrition Modeling'!$B:$B,'IP Attrition'!V$68),VLOOKUP($F122+V$2,$A$6:$C$106,2,FALSE)*VLOOKUP(V$1,'Attrition Modeling'!$L$15:$N$27,IF(V$2+$F55&lt;=24,2,3),FALSE)),$C$3)*(1+Projection!X$16)*(1+IF(V187&gt;0,'Attrition Modeling'!$N$9,0)))</f>
        <v>0</v>
      </c>
      <c r="W122" s="799">
        <f>V122*(1-IFERROR(IF(W$69+$F122&lt;=12,SUMIFS('Attrition Modeling'!$D:$D,'Attrition Modeling'!$C:$C,'IP Attrition'!$D122,'Attrition Modeling'!$B:$B,'IP Attrition'!W$68),VLOOKUP($F122+W$2,$A$6:$C$106,2,FALSE)*VLOOKUP(W$1,'Attrition Modeling'!$L$15:$N$27,IF(W$2+$F55&lt;=24,2,3),FALSE)),$C$3)*(1+Projection!Y$16)*(1+IF(W187&gt;0,'Attrition Modeling'!$N$9,0)))</f>
        <v>0</v>
      </c>
      <c r="X122" s="799">
        <f>W122*(1-IFERROR(IF(X$69+$F122&lt;=12,SUMIFS('Attrition Modeling'!$D:$D,'Attrition Modeling'!$C:$C,'IP Attrition'!$D122,'Attrition Modeling'!$B:$B,'IP Attrition'!X$68),VLOOKUP($F122+X$2,$A$6:$C$106,2,FALSE)*VLOOKUP(X$1,'Attrition Modeling'!$L$15:$N$27,IF(X$2+$F55&lt;=24,2,3),FALSE)),$C$3)*(1+Projection!Z$16)*(1+IF(X187&gt;0,'Attrition Modeling'!$N$9,0)))</f>
        <v>0</v>
      </c>
      <c r="Y122" s="799">
        <f>X122*(1-IFERROR(IF(Y$69+$F122&lt;=12,SUMIFS('Attrition Modeling'!$D:$D,'Attrition Modeling'!$C:$C,'IP Attrition'!$D122,'Attrition Modeling'!$B:$B,'IP Attrition'!Y$68),VLOOKUP($F122+Y$2,$A$6:$C$106,2,FALSE)*VLOOKUP(Y$1,'Attrition Modeling'!$L$15:$N$27,IF(Y$2+$F55&lt;=24,2,3),FALSE)),$C$3)*(1+Projection!AA$16)*(1+IF(Y187&gt;0,'Attrition Modeling'!$N$9,0)))</f>
        <v>0</v>
      </c>
      <c r="Z122" s="799">
        <f>Y122*(1-IFERROR(IF(Z$69+$F122&lt;=12,SUMIFS('Attrition Modeling'!$D:$D,'Attrition Modeling'!$C:$C,'IP Attrition'!$D122,'Attrition Modeling'!$B:$B,'IP Attrition'!Z$68),VLOOKUP($F122+Z$2,$A$6:$C$106,2,FALSE)*VLOOKUP(Z$1,'Attrition Modeling'!$L$15:$N$27,IF(Z$2+$F55&lt;=24,2,3),FALSE)),$C$3)*(1+Projection!AB$16)*(1+IF(Z187&gt;0,'Attrition Modeling'!$N$9,0)))</f>
        <v>0</v>
      </c>
      <c r="AA122" s="799">
        <f>Z122*(1-IFERROR(IF(AA$69+$F122&lt;=12,SUMIFS('Attrition Modeling'!$D:$D,'Attrition Modeling'!$C:$C,'IP Attrition'!$D122,'Attrition Modeling'!$B:$B,'IP Attrition'!AA$68),VLOOKUP($F122+AA$2,$A$6:$C$106,2,FALSE)*VLOOKUP(AA$1,'Attrition Modeling'!$L$15:$N$27,IF(AA$2+$F55&lt;=24,2,3),FALSE)),$C$3)*(1+Projection!AC$16)*(1+IF(AA187&gt;0,'Attrition Modeling'!$N$9,0)))</f>
        <v>0</v>
      </c>
      <c r="AB122" s="799">
        <f>AA122*(1-IFERROR(IF(AB$69+$F122&lt;=12,SUMIFS('Attrition Modeling'!$D:$D,'Attrition Modeling'!$C:$C,'IP Attrition'!$D122,'Attrition Modeling'!$B:$B,'IP Attrition'!AB$68),VLOOKUP($F122+AB$2,$A$6:$C$106,2,FALSE)*VLOOKUP(AB$1,'Attrition Modeling'!$L$15:$N$27,IF(AB$2+$F55&lt;=24,2,3),FALSE)),$C$3)*(1+Projection!AD$16)*(1+IF(AB187&gt;0,'Attrition Modeling'!$N$9,0)))</f>
        <v>0</v>
      </c>
      <c r="AC122" s="799">
        <f>AB122*(1-IFERROR(IF(AC$69+$F122&lt;=12,SUMIFS('Attrition Modeling'!$D:$D,'Attrition Modeling'!$C:$C,'IP Attrition'!$D122,'Attrition Modeling'!$B:$B,'IP Attrition'!AC$68),VLOOKUP($F122+AC$2,$A$6:$C$106,2,FALSE)*VLOOKUP(AC$1,'Attrition Modeling'!$L$15:$N$27,IF(AC$2+$F55&lt;=24,2,3),FALSE)),$C$3)*(1+Projection!AE$16)*(1+IF(AC187&gt;0,'Attrition Modeling'!$N$9,0)))</f>
        <v>0</v>
      </c>
      <c r="AD122" s="799">
        <f>AC122*(1-IFERROR(IF(AD$69+$F122&lt;=12,SUMIFS('Attrition Modeling'!$D:$D,'Attrition Modeling'!$C:$C,'IP Attrition'!$D122,'Attrition Modeling'!$B:$B,'IP Attrition'!AD$68),VLOOKUP($F122+AD$2,$A$6:$C$106,2,FALSE)*VLOOKUP(AD$1,'Attrition Modeling'!$L$15:$N$27,IF(AD$2+$F55&lt;=24,2,3),FALSE)),$C$3)*(1+Projection!AF$16)*(1+IF(AD187&gt;0,'Attrition Modeling'!$N$9,0)))</f>
        <v>0</v>
      </c>
      <c r="AE122" s="799">
        <f>AD122*(1-IFERROR(IF(AE$69+$F122&lt;=12,SUMIFS('Attrition Modeling'!$D:$D,'Attrition Modeling'!$C:$C,'IP Attrition'!$D122,'Attrition Modeling'!$B:$B,'IP Attrition'!AE$68),VLOOKUP($F122+AE$2,$A$6:$C$106,2,FALSE)*VLOOKUP(AE$1,'Attrition Modeling'!$L$15:$N$27,IF(AE$2+$F55&lt;=24,2,3),FALSE)),$C$3)*(1+Projection!AG$16)*(1+IF(AE187&gt;0,'Attrition Modeling'!$N$9,0)))</f>
        <v>0</v>
      </c>
      <c r="AF122" s="799">
        <f>AE122*(1-IFERROR(IF(AF$69+$F122&lt;=12,SUMIFS('Attrition Modeling'!$D:$D,'Attrition Modeling'!$C:$C,'IP Attrition'!$D122,'Attrition Modeling'!$B:$B,'IP Attrition'!AF$68),VLOOKUP($F122+AF$2,$A$6:$C$106,2,FALSE)*VLOOKUP(AF$1,'Attrition Modeling'!$L$15:$N$27,IF(AF$2+$F55&lt;=24,2,3),FALSE)),$C$3)*(1+Projection!AH$16)*(1+IF(AF187&gt;0,'Attrition Modeling'!$N$9,0)))</f>
        <v>0</v>
      </c>
      <c r="AG122" s="799">
        <f>AF122*(1-IFERROR(IF(AG$69+$F122&lt;=12,SUMIFS('Attrition Modeling'!$D:$D,'Attrition Modeling'!$C:$C,'IP Attrition'!$D122,'Attrition Modeling'!$B:$B,'IP Attrition'!AG$68),VLOOKUP($F122+AG$2,$A$6:$C$106,2,FALSE)*VLOOKUP(AG$1,'Attrition Modeling'!$L$15:$N$27,IF(AG$2+$F55&lt;=24,2,3),FALSE)),$C$3)*(1+Projection!AI$16)*(1+IF(AG187&gt;0,'Attrition Modeling'!$N$9,0)))</f>
        <v>0</v>
      </c>
      <c r="AH122" s="799">
        <f>AG122*(1-IFERROR(IF(AH$69+$F122&lt;=12,SUMIFS('Attrition Modeling'!$D:$D,'Attrition Modeling'!$C:$C,'IP Attrition'!$D122,'Attrition Modeling'!$B:$B,'IP Attrition'!AH$68),VLOOKUP($F122+AH$2,$A$6:$C$106,2,FALSE)*VLOOKUP(AH$1,'Attrition Modeling'!$L$15:$N$27,IF(AH$2+$F55&lt;=24,2,3),FALSE)),$C$3)*(1+Projection!AJ$16)*(1+IF(AH187&gt;0,'Attrition Modeling'!$N$9,0)))</f>
        <v>0</v>
      </c>
      <c r="AI122" s="799">
        <f>AH122*(1-IFERROR(IF(AI$69+$F122&lt;=12,SUMIFS('Attrition Modeling'!$D:$D,'Attrition Modeling'!$C:$C,'IP Attrition'!$D122,'Attrition Modeling'!$B:$B,'IP Attrition'!AI$68),VLOOKUP($F122+AI$2,$A$6:$C$106,2,FALSE)*VLOOKUP(AI$1,'Attrition Modeling'!$L$15:$N$27,IF(AI$2+$F55&lt;=24,2,3),FALSE)),$C$3)*(1+Projection!AK$16)*(1+IF(AI187&gt;0,'Attrition Modeling'!$N$9,0)))</f>
        <v>0</v>
      </c>
      <c r="AJ122" s="799">
        <f>AI122*(1-IFERROR(IF(AJ$69+$F122&lt;=12,SUMIFS('Attrition Modeling'!$D:$D,'Attrition Modeling'!$C:$C,'IP Attrition'!$D122,'Attrition Modeling'!$B:$B,'IP Attrition'!AJ$68),VLOOKUP($F122+AJ$2,$A$6:$C$106,2,FALSE)*VLOOKUP(AJ$1,'Attrition Modeling'!$L$15:$N$27,IF(AJ$2+$F55&lt;=24,2,3),FALSE)),$C$3)*(1+Projection!AL$16)*(1+IF(AJ187&gt;0,'Attrition Modeling'!$N$9,0)))</f>
        <v>0</v>
      </c>
      <c r="AK122" s="799">
        <f>AJ122*(1-IFERROR(IF(AK$69+$F122&lt;=12,SUMIFS('Attrition Modeling'!$D:$D,'Attrition Modeling'!$C:$C,'IP Attrition'!$D122,'Attrition Modeling'!$B:$B,'IP Attrition'!AK$68),VLOOKUP($F122+AK$2,$A$6:$C$106,2,FALSE)*VLOOKUP(AK$1,'Attrition Modeling'!$L$15:$N$27,IF(AK$2+$F55&lt;=24,2,3),FALSE)),$C$3)*(1+Projection!AM$16)*(1+IF(AK187&gt;0,'Attrition Modeling'!$N$9,0)))</f>
        <v>0</v>
      </c>
      <c r="AL122" s="799">
        <f>AK122*(1-IFERROR(IF(AL$69+$F122&lt;=12,SUMIFS('Attrition Modeling'!$D:$D,'Attrition Modeling'!$C:$C,'IP Attrition'!$D122,'Attrition Modeling'!$B:$B,'IP Attrition'!AL$68),VLOOKUP($F122+AL$2,$A$6:$C$106,2,FALSE)*VLOOKUP(AL$1,'Attrition Modeling'!$L$15:$N$27,IF(AL$2+$F55&lt;=24,2,3),FALSE)),$C$3)*(1+Projection!AN$16)*(1+IF(AL187&gt;0,'Attrition Modeling'!$N$9,0)))</f>
        <v>0</v>
      </c>
      <c r="AM122" s="799">
        <f>AL122*(1-IFERROR(IF(AM$69+$F122&lt;=12,SUMIFS('Attrition Modeling'!$D:$D,'Attrition Modeling'!$C:$C,'IP Attrition'!$D122,'Attrition Modeling'!$B:$B,'IP Attrition'!AM$68),VLOOKUP($F122+AM$2,$A$6:$C$106,2,FALSE)*VLOOKUP(AM$1,'Attrition Modeling'!$L$15:$N$27,IF(AM$2+$F55&lt;=24,2,3),FALSE)),$C$3)*(1+Projection!AO$16)*(1+IF(AM187&gt;0,'Attrition Modeling'!$N$9,0)))</f>
        <v>0</v>
      </c>
      <c r="AN122" s="799">
        <f>AM122*(1-IFERROR(IF(AN$69+$F122&lt;=12,SUMIFS('Attrition Modeling'!$D:$D,'Attrition Modeling'!$C:$C,'IP Attrition'!$D122,'Attrition Modeling'!$B:$B,'IP Attrition'!AN$68),VLOOKUP($F122+AN$2,$A$6:$C$106,2,FALSE)*VLOOKUP(AN$1,'Attrition Modeling'!$L$15:$N$27,IF(AN$2+$F55&lt;=24,2,3),FALSE)),$C$3)*(1+Projection!AP$16)*(1+IF(AN187&gt;0,'Attrition Modeling'!$N$9,0)))</f>
        <v>0</v>
      </c>
      <c r="AO122" s="799">
        <f>AN122*(1-IFERROR(IF(AO$69+$F122&lt;=12,SUMIFS('Attrition Modeling'!$D:$D,'Attrition Modeling'!$C:$C,'IP Attrition'!$D122,'Attrition Modeling'!$B:$B,'IP Attrition'!AO$68),VLOOKUP($F122+AO$2,$A$6:$C$106,2,FALSE)*VLOOKUP(AO$1,'Attrition Modeling'!$L$15:$N$27,IF(AO$2+$F55&lt;=24,2,3),FALSE)),$C$3)*(1+Projection!AQ$16)*(1+IF(AO187&gt;0,'Attrition Modeling'!$N$9,0)))</f>
        <v>0</v>
      </c>
      <c r="AP122" s="799">
        <f>AO122*(1-IFERROR(IF(AP$69+$F122&lt;=12,SUMIFS('Attrition Modeling'!$D:$D,'Attrition Modeling'!$C:$C,'IP Attrition'!$D122,'Attrition Modeling'!$B:$B,'IP Attrition'!AP$68),VLOOKUP($F122+AP$2,$A$6:$C$106,2,FALSE)*VLOOKUP(AP$1,'Attrition Modeling'!$L$15:$N$27,IF(AP$2+$F55&lt;=24,2,3),FALSE)),$C$3)*(1+Projection!AR$16)*(1+IF(AP187&gt;0,'Attrition Modeling'!$N$9,0)))</f>
        <v>0</v>
      </c>
      <c r="AQ122" s="799">
        <f>AP122*(1-IFERROR(IF(AQ$69+$F122&lt;=12,SUMIFS('Attrition Modeling'!$D:$D,'Attrition Modeling'!$C:$C,'IP Attrition'!$D122,'Attrition Modeling'!$B:$B,'IP Attrition'!AQ$68),VLOOKUP($F122+AQ$2,$A$6:$C$106,2,FALSE)*VLOOKUP(AQ$1,'Attrition Modeling'!$L$15:$N$27,IF(AQ$2+$F55&lt;=24,2,3),FALSE)),$C$3)*(1+Projection!AS$16)*(1+IF(AQ187&gt;0,'Attrition Modeling'!$N$9,0)))</f>
        <v>0</v>
      </c>
      <c r="AR122" s="799">
        <f>AQ122*(1-IFERROR(IF(AR$69+$F122&lt;=12,SUMIFS('Attrition Modeling'!$D:$D,'Attrition Modeling'!$C:$C,'IP Attrition'!$D122,'Attrition Modeling'!$B:$B,'IP Attrition'!AR$68),VLOOKUP($F122+AR$2,$A$6:$C$106,2,FALSE)*VLOOKUP(AR$1,'Attrition Modeling'!$L$15:$N$27,IF(AR$2+$F55&lt;=24,2,3),FALSE)),$C$3)*(1+Projection!AT$16)*(1+IF(AR187&gt;0,'Attrition Modeling'!$N$9,0)))</f>
        <v>0</v>
      </c>
      <c r="AS122" s="799">
        <f>AR122*(1-IFERROR(IF(AS$69+$F122&lt;=12,SUMIFS('Attrition Modeling'!$D:$D,'Attrition Modeling'!$C:$C,'IP Attrition'!$D122,'Attrition Modeling'!$B:$B,'IP Attrition'!AS$68),VLOOKUP($F122+AS$2,$A$6:$C$106,2,FALSE)*VLOOKUP(AS$1,'Attrition Modeling'!$L$15:$N$27,IF(AS$2+$F55&lt;=24,2,3),FALSE)),$C$3)*(1+Projection!AU$16)*(1+IF(AS187&gt;0,'Attrition Modeling'!$N$9,0)))</f>
        <v>0</v>
      </c>
      <c r="AT122" s="799">
        <f>AS122*(1-IFERROR(IF(AT$69+$F122&lt;=12,SUMIFS('Attrition Modeling'!$D:$D,'Attrition Modeling'!$C:$C,'IP Attrition'!$D122,'Attrition Modeling'!$B:$B,'IP Attrition'!AT$68),VLOOKUP($F122+AT$2,$A$6:$C$106,2,FALSE)*VLOOKUP(AT$1,'Attrition Modeling'!$L$15:$N$27,IF(AT$2+$F55&lt;=24,2,3),FALSE)),$C$3)*(1+Projection!AV$16)*(1+IF(AT187&gt;0,'Attrition Modeling'!$N$9,0)))</f>
        <v>0</v>
      </c>
      <c r="AU122" s="799">
        <f>AT122*(1-IFERROR(IF(AU$69+$F122&lt;=12,SUMIFS('Attrition Modeling'!$D:$D,'Attrition Modeling'!$C:$C,'IP Attrition'!$D122,'Attrition Modeling'!$B:$B,'IP Attrition'!AU$68),VLOOKUP($F122+AU$2,$A$6:$C$106,2,FALSE)*VLOOKUP(AU$1,'Attrition Modeling'!$L$15:$N$27,IF(AU$2+$F55&lt;=24,2,3),FALSE)),$C$3)*(1+Projection!AW$16)*(1+IF(AU187&gt;0,'Attrition Modeling'!$N$9,0)))</f>
        <v>0</v>
      </c>
      <c r="AV122" s="799">
        <f>AU122*(1-IFERROR(IF(AV$69+$F122&lt;=12,SUMIFS('Attrition Modeling'!$D:$D,'Attrition Modeling'!$C:$C,'IP Attrition'!$D122,'Attrition Modeling'!$B:$B,'IP Attrition'!AV$68),VLOOKUP($F122+AV$2,$A$6:$C$106,2,FALSE)*VLOOKUP(AV$1,'Attrition Modeling'!$L$15:$N$27,IF(AV$2+$F55&lt;=24,2,3),FALSE)),$C$3)*(1+Projection!AX$16)*(1+IF(AV187&gt;0,'Attrition Modeling'!$N$9,0)))</f>
        <v>0</v>
      </c>
      <c r="AW122" s="799">
        <f>AV122*(1-IFERROR(IF(AW$69+$F122&lt;=12,SUMIFS('Attrition Modeling'!$D:$D,'Attrition Modeling'!$C:$C,'IP Attrition'!$D122,'Attrition Modeling'!$B:$B,'IP Attrition'!AW$68),VLOOKUP($F122+AW$2,$A$6:$C$106,2,FALSE)*VLOOKUP(AW$1,'Attrition Modeling'!$L$15:$N$27,IF(AW$2+$F55&lt;=24,2,3),FALSE)),$C$3)*(1+Projection!AY$16)*(1+IF(AW187&gt;0,'Attrition Modeling'!$N$9,0)))</f>
        <v>0</v>
      </c>
      <c r="AX122" s="799">
        <f>AW122*(1-IFERROR(IF(AX$69+$F122&lt;=12,SUMIFS('Attrition Modeling'!$D:$D,'Attrition Modeling'!$C:$C,'IP Attrition'!$D122,'Attrition Modeling'!$B:$B,'IP Attrition'!AX$68),VLOOKUP($F122+AX$2,$A$6:$C$106,2,FALSE)*VLOOKUP(AX$1,'Attrition Modeling'!$L$15:$N$27,IF(AX$2+$F55&lt;=24,2,3),FALSE)),$C$3)*(1+Projection!AZ$16)*(1+IF(AX187&gt;0,'Attrition Modeling'!$N$9,0)))</f>
        <v>0</v>
      </c>
      <c r="AY122" s="799">
        <f>AX122*(1-IFERROR(IF(AY$69+$F122&lt;=12,SUMIFS('Attrition Modeling'!$D:$D,'Attrition Modeling'!$C:$C,'IP Attrition'!$D122,'Attrition Modeling'!$B:$B,'IP Attrition'!AY$68),VLOOKUP($F122+AY$2,$A$6:$C$106,2,FALSE)*VLOOKUP(AY$1,'Attrition Modeling'!$L$15:$N$27,IF(AY$2+$F55&lt;=24,2,3),FALSE)),$C$3)*(1+Projection!BA$16)*(1+IF(AY187&gt;0,'Attrition Modeling'!$N$9,0)))</f>
        <v>0</v>
      </c>
      <c r="AZ122" s="799">
        <f>AY122*(1-IFERROR(IF(AZ$69+$F122&lt;=12,SUMIFS('Attrition Modeling'!$D:$D,'Attrition Modeling'!$C:$C,'IP Attrition'!$D122,'Attrition Modeling'!$B:$B,'IP Attrition'!AZ$68),VLOOKUP($F122+AZ$2,$A$6:$C$106,2,FALSE)*VLOOKUP(AZ$1,'Attrition Modeling'!$L$15:$N$27,IF(AZ$2+$F55&lt;=24,2,3),FALSE)),$C$3)*(1+Projection!BB$16)*(1+IF(AZ187&gt;0,'Attrition Modeling'!$N$9,0)))</f>
        <v>0</v>
      </c>
      <c r="BA122" s="799">
        <f>AZ122*(1-IFERROR(IF(BA$69+$F122&lt;=12,SUMIFS('Attrition Modeling'!$D:$D,'Attrition Modeling'!$C:$C,'IP Attrition'!$D122,'Attrition Modeling'!$B:$B,'IP Attrition'!BA$68),VLOOKUP($F122+BA$2,$A$6:$C$106,2,FALSE)*VLOOKUP(BA$1,'Attrition Modeling'!$L$15:$N$27,IF(BA$2+$F55&lt;=24,2,3),FALSE)),$C$3)*(1+Projection!BC$16)*(1+IF(BA187&gt;0,'Attrition Modeling'!$N$9,0)))</f>
        <v>0</v>
      </c>
      <c r="BB122" s="799">
        <f>BA122*(1-IFERROR(IF(BB$69+$F122&lt;=12,SUMIFS('Attrition Modeling'!$D:$D,'Attrition Modeling'!$C:$C,'IP Attrition'!$D122,'Attrition Modeling'!$B:$B,'IP Attrition'!BB$68),VLOOKUP($F122+BB$2,$A$6:$C$106,2,FALSE)*VLOOKUP(BB$1,'Attrition Modeling'!$L$15:$N$27,IF(BB$2+$F55&lt;=24,2,3),FALSE)),$C$3)*(1+Projection!BD$16)*(1+IF(BB187&gt;0,'Attrition Modeling'!$N$9,0)))</f>
        <v>0</v>
      </c>
      <c r="BC122" s="799">
        <f>BB122*(1-IFERROR(IF(BC$69+$F122&lt;=12,SUMIFS('Attrition Modeling'!$D:$D,'Attrition Modeling'!$C:$C,'IP Attrition'!$D122,'Attrition Modeling'!$B:$B,'IP Attrition'!BC$68),VLOOKUP($F122+BC$2,$A$6:$C$106,2,FALSE)*VLOOKUP(BC$1,'Attrition Modeling'!$L$15:$N$27,IF(BC$2+$F55&lt;=24,2,3),FALSE)),$C$3)*(1+Projection!BE$16)*(1+IF(BC187&gt;0,'Attrition Modeling'!$N$9,0)))</f>
        <v>0</v>
      </c>
      <c r="BD122" s="799">
        <f>BC122*(1-IFERROR(IF(BD$69+$F122&lt;=12,SUMIFS('Attrition Modeling'!$D:$D,'Attrition Modeling'!$C:$C,'IP Attrition'!$D122,'Attrition Modeling'!$B:$B,'IP Attrition'!BD$68),VLOOKUP($F122+BD$2,$A$6:$C$106,2,FALSE)*VLOOKUP(BD$1,'Attrition Modeling'!$L$15:$N$27,IF(BD$2+$F55&lt;=24,2,3),FALSE)),$C$3)*(1+Projection!BF$16)*(1+IF(BD187&gt;0,'Attrition Modeling'!$N$9,0)))</f>
        <v>0</v>
      </c>
      <c r="BE122" s="799">
        <f>BD122*(1-IFERROR(IF(BE$69+$F122&lt;=12,SUMIFS('Attrition Modeling'!$D:$D,'Attrition Modeling'!$C:$C,'IP Attrition'!$D122,'Attrition Modeling'!$B:$B,'IP Attrition'!BE$68),VLOOKUP($F122+BE$2,$A$6:$C$106,2,FALSE)*VLOOKUP(BE$1,'Attrition Modeling'!$L$15:$N$27,IF(BE$2+$F55&lt;=24,2,3),FALSE)),$C$3)*(1+Projection!BG$16)*(1+IF(BE187&gt;0,'Attrition Modeling'!$N$9,0)))</f>
        <v>0</v>
      </c>
      <c r="BF122" s="799">
        <f>BE122*(1-IFERROR(IF(BF$69+$F122&lt;=12,SUMIFS('Attrition Modeling'!$D:$D,'Attrition Modeling'!$C:$C,'IP Attrition'!$D122,'Attrition Modeling'!$B:$B,'IP Attrition'!BF$68),VLOOKUP($F122+BF$2,$A$6:$C$106,2,FALSE)*VLOOKUP(BF$1,'Attrition Modeling'!$L$15:$N$27,IF(BF$2+$F55&lt;=24,2,3),FALSE)),$C$3)*(1+Projection!BH$16)*(1+IF(BF187&gt;0,'Attrition Modeling'!$N$9,0)))</f>
        <v>0</v>
      </c>
      <c r="BG122" s="799">
        <f>BF122*(1-IFERROR(IF(BG$69+$F122&lt;=12,SUMIFS('Attrition Modeling'!$D:$D,'Attrition Modeling'!$C:$C,'IP Attrition'!$D122,'Attrition Modeling'!$B:$B,'IP Attrition'!BG$68),VLOOKUP($F122+BG$2,$A$6:$C$106,2,FALSE)*VLOOKUP(BG$1,'Attrition Modeling'!$L$15:$N$27,IF(BG$2+$F55&lt;=24,2,3),FALSE)),$C$3)*(1+Projection!BI$16)*(1+IF(BG187&gt;0,'Attrition Modeling'!$N$9,0)))</f>
        <v>0</v>
      </c>
      <c r="BH122" s="799">
        <f>BG122*(1-IFERROR(IF(BH$69+$F122&lt;=12,SUMIFS('Attrition Modeling'!$D:$D,'Attrition Modeling'!$C:$C,'IP Attrition'!$D122,'Attrition Modeling'!$B:$B,'IP Attrition'!BH$68),VLOOKUP($F122+BH$2,$A$6:$C$106,2,FALSE)*VLOOKUP(BH$1,'Attrition Modeling'!$L$15:$N$27,IF(BH$2+$F55&lt;=24,2,3),FALSE)),$C$3)*(1+Projection!BJ$16)*(1+IF(BH187&gt;0,'Attrition Modeling'!$N$9,0)))</f>
        <v>0</v>
      </c>
      <c r="BI122" s="799">
        <f>BH122*(1-IFERROR(IF(BI$69+$F122&lt;=12,SUMIFS('Attrition Modeling'!$D:$D,'Attrition Modeling'!$C:$C,'IP Attrition'!$D122,'Attrition Modeling'!$B:$B,'IP Attrition'!BI$68),VLOOKUP($F122+BI$2,$A$6:$C$106,2,FALSE)*VLOOKUP(BI$1,'Attrition Modeling'!$L$15:$N$27,IF(BI$2+$F55&lt;=24,2,3),FALSE)),$C$3)*(1+Projection!BK$16)*(1+IF(BI187&gt;0,'Attrition Modeling'!$N$9,0)))</f>
        <v>0</v>
      </c>
      <c r="BJ122" s="799">
        <f>BI122*(1-IFERROR(IF(BJ$69+$F122&lt;=12,SUMIFS('Attrition Modeling'!$D:$D,'Attrition Modeling'!$C:$C,'IP Attrition'!$D122,'Attrition Modeling'!$B:$B,'IP Attrition'!BJ$68),VLOOKUP($F122+BJ$2,$A$6:$C$106,2,FALSE)*VLOOKUP(BJ$1,'Attrition Modeling'!$L$15:$N$27,IF(BJ$2+$F55&lt;=24,2,3),FALSE)),$C$3)*(1+Projection!BL$16)*(1+IF(BJ187&gt;0,'Attrition Modeling'!$N$9,0)))</f>
        <v>0</v>
      </c>
      <c r="BK122" s="799">
        <f>BJ122*(1-IFERROR(IF(BK$69+$F122&lt;=12,SUMIFS('Attrition Modeling'!$D:$D,'Attrition Modeling'!$C:$C,'IP Attrition'!$D122,'Attrition Modeling'!$B:$B,'IP Attrition'!BK$68),VLOOKUP($F122+BK$2,$A$6:$C$106,2,FALSE)*VLOOKUP(BK$1,'Attrition Modeling'!$L$15:$N$27,IF(BK$2+$F55&lt;=24,2,3),FALSE)),$C$3)*(1+Projection!BM$16)*(1+IF(BK187&gt;0,'Attrition Modeling'!$N$9,0)))</f>
        <v>0</v>
      </c>
      <c r="BL122" s="799">
        <f>BK122*(1-IFERROR(IF(BL$69+$F122&lt;=12,SUMIFS('Attrition Modeling'!$D:$D,'Attrition Modeling'!$C:$C,'IP Attrition'!$D122,'Attrition Modeling'!$B:$B,'IP Attrition'!BL$68),VLOOKUP($F122+BL$2,$A$6:$C$106,2,FALSE)*VLOOKUP(BL$1,'Attrition Modeling'!$L$15:$N$27,IF(BL$2+$F55&lt;=24,2,3),FALSE)),$C$3)*(1+Projection!BN$16)*(1+IF(BL187&gt;0,'Attrition Modeling'!$N$9,0)))</f>
        <v>0</v>
      </c>
      <c r="BM122" s="799">
        <f>BL122*(1-IFERROR(IF(BM$69+$F122&lt;=12,SUMIFS('Attrition Modeling'!$D:$D,'Attrition Modeling'!$C:$C,'IP Attrition'!$D122,'Attrition Modeling'!$B:$B,'IP Attrition'!BM$68),VLOOKUP($F122+BM$2,$A$6:$C$106,2,FALSE)*VLOOKUP(BM$1,'Attrition Modeling'!$L$15:$N$27,IF(BM$2+$F55&lt;=24,2,3),FALSE)),$C$3)*(1+Projection!BO$16)*(1+IF(BM187&gt;0,'Attrition Modeling'!$N$9,0)))</f>
        <v>0</v>
      </c>
      <c r="BN122" s="799">
        <f>BM122*(1-IFERROR(IF(BN$69+$F122&lt;=12,SUMIFS('Attrition Modeling'!$D:$D,'Attrition Modeling'!$C:$C,'IP Attrition'!$D122,'Attrition Modeling'!$B:$B,'IP Attrition'!BN$68),VLOOKUP($F122+BN$2,$A$6:$C$106,2,FALSE)*VLOOKUP(BN$1,'Attrition Modeling'!$L$15:$N$27,IF(BN$2+$F55&lt;=24,2,3),FALSE)),$C$3)*(1+Projection!BP$16)*(1+IF(BN187&gt;0,'Attrition Modeling'!$N$9,0)))</f>
        <v>0</v>
      </c>
      <c r="BO122" s="799">
        <f>BN122*(1-IFERROR(IF(BO$69+$F122&lt;=12,SUMIFS('Attrition Modeling'!$D:$D,'Attrition Modeling'!$C:$C,'IP Attrition'!$D122,'Attrition Modeling'!$B:$B,'IP Attrition'!BO$68),VLOOKUP($F122+BO$2,$A$6:$C$106,2,FALSE)*VLOOKUP(BO$1,'Attrition Modeling'!$L$15:$N$27,IF(BO$2+$F55&lt;=24,2,3),FALSE)),$C$3)*(1+Projection!BV$16)*(1+IF(BO187&gt;0,'Attrition Modeling'!$N$9,0)))</f>
        <v>0</v>
      </c>
      <c r="BP122" s="799">
        <f>BO122*(1-IFERROR(IF(BP$69+$F122&lt;=12,SUMIFS('Attrition Modeling'!$D:$D,'Attrition Modeling'!$C:$C,'IP Attrition'!$D122,'Attrition Modeling'!$B:$B,'IP Attrition'!BP$68),VLOOKUP($F122+BP$2,$A$6:$C$106,2,FALSE)*VLOOKUP(BP$1,'Attrition Modeling'!$L$15:$N$27,IF(BP$2+$F55&lt;=24,2,3),FALSE)),$C$3)*(1+Projection!BW$16)*(1+IF(BP187&gt;0,'Attrition Modeling'!$N$9,0)))</f>
        <v>0</v>
      </c>
      <c r="BQ122" s="799">
        <f>BP122*(1-IFERROR(IF(BQ$69+$F122&lt;=12,SUMIFS('Attrition Modeling'!$D:$D,'Attrition Modeling'!$C:$C,'IP Attrition'!$D122,'Attrition Modeling'!$B:$B,'IP Attrition'!BQ$68),VLOOKUP($F122+BQ$2,$A$6:$C$106,2,FALSE)*VLOOKUP(BQ$1,'Attrition Modeling'!$L$15:$N$27,IF(BQ$2+$F55&lt;=24,2,3),FALSE)),$C$3)*(1+Projection!BX$16)*(1+IF(BQ187&gt;0,'Attrition Modeling'!$N$9,0)))</f>
        <v>0</v>
      </c>
      <c r="BR122" s="799">
        <f>BQ122*(1-IFERROR(IF(BR$69+$F122&lt;=12,SUMIFS('Attrition Modeling'!$D:$D,'Attrition Modeling'!$C:$C,'IP Attrition'!$D122,'Attrition Modeling'!$B:$B,'IP Attrition'!BR$68),VLOOKUP($F122+BR$2,$A$6:$C$106,2,FALSE)*VLOOKUP(BR$1,'Attrition Modeling'!$L$15:$N$27,IF(BR$2+$F55&lt;=24,2,3),FALSE)),$C$3)*(1+Projection!BY$16)*(1+IF(BR187&gt;0,'Attrition Modeling'!$N$9,0)))</f>
        <v>0</v>
      </c>
      <c r="BS122" s="799">
        <f>BR122*(1-IFERROR(IF(BS$69+$F122&lt;=12,SUMIFS('Attrition Modeling'!$D:$D,'Attrition Modeling'!$C:$C,'IP Attrition'!$D122,'Attrition Modeling'!$B:$B,'IP Attrition'!BS$68),VLOOKUP($F122+BS$2,$A$6:$C$106,2,FALSE)*VLOOKUP(BS$1,'Attrition Modeling'!$L$15:$N$27,IF(BS$2+$F55&lt;=24,2,3),FALSE)),$C$3)*(1+Projection!BZ$16)*(1+IF(BS187&gt;0,'Attrition Modeling'!$N$9,0)))</f>
        <v>0</v>
      </c>
      <c r="BT122" s="799" t="e">
        <f>BS122*(1-IFERROR(IF(BT$69+$F122&lt;=12,SUMIFS('Attrition Modeling'!$D:$D,'Attrition Modeling'!$C:$C,'IP Attrition'!$D122,'Attrition Modeling'!$B:$B,'IP Attrition'!BT$68),VLOOKUP($F122+BT$2,$A$6:$C$106,2,FALSE)*VLOOKUP(BT$1,'Attrition Modeling'!$L$15:$N$27,IF(BT$2+$F55&lt;=24,2,3),FALSE)),$C$3)*(1+Projection!CA$16)*(1+IF(BT187&gt;0,'Attrition Modeling'!$N$9,0)))</f>
        <v>#REF!</v>
      </c>
      <c r="BU122" s="799" t="e">
        <f>BT122*(1-IFERROR(IF(BU$69+$F122&lt;=12,SUMIFS('Attrition Modeling'!$D:$D,'Attrition Modeling'!$C:$C,'IP Attrition'!$D122,'Attrition Modeling'!$B:$B,'IP Attrition'!BU$68),VLOOKUP($F122+BU$2,$A$6:$C$106,2,FALSE)*VLOOKUP(BU$1,'Attrition Modeling'!$L$15:$N$27,IF(BU$2+$F55&lt;=24,2,3),FALSE)),$C$3)*(1+Projection!CB$16)*(1+IF(BU187&gt;0,'Attrition Modeling'!$N$9,0)))</f>
        <v>#REF!</v>
      </c>
    </row>
    <row r="123" spans="1:73" ht="14.25" customHeight="1" x14ac:dyDescent="0.2">
      <c r="A123" s="9">
        <v>116</v>
      </c>
      <c r="B123" s="25">
        <f>MAX('Attrition Modeling'!H120,$C$3)*(1-Summary!$C$20)</f>
        <v>0.02</v>
      </c>
      <c r="C123" s="24" t="e">
        <f t="shared" si="3"/>
        <v>#DIV/0!</v>
      </c>
      <c r="D123" s="11">
        <f t="shared" ref="D123:E123" si="61">D56</f>
        <v>-53</v>
      </c>
      <c r="E123" s="25">
        <f t="shared" si="61"/>
        <v>0</v>
      </c>
      <c r="F123" s="11">
        <f t="shared" si="9"/>
        <v>53</v>
      </c>
      <c r="G123" s="799">
        <f>Summary!$C$24*$E123</f>
        <v>0</v>
      </c>
      <c r="H123" s="799">
        <f>G123*(1-IFERROR(IF(H$69+$F123&lt;=12,SUMIFS('Attrition Modeling'!$D:$D,'Attrition Modeling'!$C:$C,'IP Attrition'!$D123,'Attrition Modeling'!$B:$B,'IP Attrition'!H$68),VLOOKUP($F123+H$2,$A$6:$C$106,2,FALSE)*VLOOKUP(H$1,'Attrition Modeling'!$L$15:$N$27,IF(H$2+$F56&lt;=24,2,3),FALSE)),$C$3)*(1+Projection!J$16)*(1+IF(H188&gt;0,'Attrition Modeling'!$N$9,0)))</f>
        <v>0</v>
      </c>
      <c r="I123" s="799">
        <f>H123*(1-IFERROR(IF(I$69+$F123&lt;=12,SUMIFS('Attrition Modeling'!$D:$D,'Attrition Modeling'!$C:$C,'IP Attrition'!$D123,'Attrition Modeling'!$B:$B,'IP Attrition'!I$68),VLOOKUP($F123+I$2,$A$6:$C$106,2,FALSE)*VLOOKUP(I$1,'Attrition Modeling'!$L$15:$N$27,IF(I$2+$F56&lt;=24,2,3),FALSE)),$C$3)*(1+Projection!K$16)*(1+IF(I188&gt;0,'Attrition Modeling'!$N$9,0)))</f>
        <v>0</v>
      </c>
      <c r="J123" s="799">
        <f>I123*(1-IFERROR(IF(J$69+$F123&lt;=12,SUMIFS('Attrition Modeling'!$D:$D,'Attrition Modeling'!$C:$C,'IP Attrition'!$D123,'Attrition Modeling'!$B:$B,'IP Attrition'!J$68),VLOOKUP($F123+J$2,$A$6:$C$106,2,FALSE)*VLOOKUP(J$1,'Attrition Modeling'!$L$15:$N$27,IF(J$2+$F56&lt;=24,2,3),FALSE)),$C$3)*(1+Projection!L$16)*(1+IF(J188&gt;0,'Attrition Modeling'!$N$9,0)))</f>
        <v>0</v>
      </c>
      <c r="K123" s="799">
        <f>J123*(1-IFERROR(IF(K$69+$F123&lt;=12,SUMIFS('Attrition Modeling'!$D:$D,'Attrition Modeling'!$C:$C,'IP Attrition'!$D123,'Attrition Modeling'!$B:$B,'IP Attrition'!K$68),VLOOKUP($F123+K$2,$A$6:$C$106,2,FALSE)*VLOOKUP(K$1,'Attrition Modeling'!$L$15:$N$27,IF(K$2+$F56&lt;=24,2,3),FALSE)),$C$3)*(1+Projection!M$16)*(1+IF(K188&gt;0,'Attrition Modeling'!$N$9,0)))</f>
        <v>0</v>
      </c>
      <c r="L123" s="799">
        <f>K123*(1-IFERROR(IF(L$69+$F123&lt;=12,SUMIFS('Attrition Modeling'!$D:$D,'Attrition Modeling'!$C:$C,'IP Attrition'!$D123,'Attrition Modeling'!$B:$B,'IP Attrition'!L$68),VLOOKUP($F123+L$2,$A$6:$C$106,2,FALSE)*VLOOKUP(L$1,'Attrition Modeling'!$L$15:$N$27,IF(L$2+$F56&lt;=24,2,3),FALSE)),$C$3)*(1+Projection!N$16)*(1+IF(L188&gt;0,'Attrition Modeling'!$N$9,0)))</f>
        <v>0</v>
      </c>
      <c r="M123" s="799">
        <f>L123*(1-IFERROR(IF(M$69+$F123&lt;=12,SUMIFS('Attrition Modeling'!$D:$D,'Attrition Modeling'!$C:$C,'IP Attrition'!$D123,'Attrition Modeling'!$B:$B,'IP Attrition'!M$68),VLOOKUP($F123+M$2,$A$6:$C$106,2,FALSE)*VLOOKUP(M$1,'Attrition Modeling'!$L$15:$N$27,IF(M$2+$F56&lt;=24,2,3),FALSE)),$C$3)*(1+Projection!O$16)*(1+IF(M188&gt;0,'Attrition Modeling'!$N$9,0)))</f>
        <v>0</v>
      </c>
      <c r="N123" s="799">
        <f>M123*(1-IFERROR(IF(N$69+$F123&lt;=12,SUMIFS('Attrition Modeling'!$D:$D,'Attrition Modeling'!$C:$C,'IP Attrition'!$D123,'Attrition Modeling'!$B:$B,'IP Attrition'!N$68),VLOOKUP($F123+N$2,$A$6:$C$106,2,FALSE)*VLOOKUP(N$1,'Attrition Modeling'!$L$15:$N$27,IF(N$2+$F56&lt;=24,2,3),FALSE)),$C$3)*(1+Projection!P$16)*(1+IF(N188&gt;0,'Attrition Modeling'!$N$9,0)))</f>
        <v>0</v>
      </c>
      <c r="O123" s="799">
        <f>N123*(1-IFERROR(IF(O$69+$F123&lt;=12,SUMIFS('Attrition Modeling'!$D:$D,'Attrition Modeling'!$C:$C,'IP Attrition'!$D123,'Attrition Modeling'!$B:$B,'IP Attrition'!O$68),VLOOKUP($F123+O$2,$A$6:$C$106,2,FALSE)*VLOOKUP(O$1,'Attrition Modeling'!$L$15:$N$27,IF(O$2+$F56&lt;=24,2,3),FALSE)),$C$3)*(1+Projection!Q$16)*(1+IF(O188&gt;0,'Attrition Modeling'!$N$9,0)))</f>
        <v>0</v>
      </c>
      <c r="P123" s="799">
        <f>O123*(1-IFERROR(IF(P$69+$F123&lt;=12,SUMIFS('Attrition Modeling'!$D:$D,'Attrition Modeling'!$C:$C,'IP Attrition'!$D123,'Attrition Modeling'!$B:$B,'IP Attrition'!P$68),VLOOKUP($F123+P$2,$A$6:$C$106,2,FALSE)*VLOOKUP(P$1,'Attrition Modeling'!$L$15:$N$27,IF(P$2+$F56&lt;=24,2,3),FALSE)),$C$3)*(1+Projection!R$16)*(1+IF(P188&gt;0,'Attrition Modeling'!$N$9,0)))</f>
        <v>0</v>
      </c>
      <c r="Q123" s="799">
        <f>P123*(1-IFERROR(IF(Q$69+$F123&lt;=12,SUMIFS('Attrition Modeling'!$D:$D,'Attrition Modeling'!$C:$C,'IP Attrition'!$D123,'Attrition Modeling'!$B:$B,'IP Attrition'!Q$68),VLOOKUP($F123+Q$2,$A$6:$C$106,2,FALSE)*VLOOKUP(Q$1,'Attrition Modeling'!$L$15:$N$27,IF(Q$2+$F56&lt;=24,2,3),FALSE)),$C$3)*(1+Projection!S$16)*(1+IF(Q188&gt;0,'Attrition Modeling'!$N$9,0)))</f>
        <v>0</v>
      </c>
      <c r="R123" s="799">
        <f>Q123*(1-IFERROR(IF(R$69+$F123&lt;=12,SUMIFS('Attrition Modeling'!$D:$D,'Attrition Modeling'!$C:$C,'IP Attrition'!$D123,'Attrition Modeling'!$B:$B,'IP Attrition'!R$68),VLOOKUP($F123+R$2,$A$6:$C$106,2,FALSE)*VLOOKUP(R$1,'Attrition Modeling'!$L$15:$N$27,IF(R$2+$F56&lt;=24,2,3),FALSE)),$C$3)*(1+Projection!T$16)*(1+IF(R188&gt;0,'Attrition Modeling'!$N$9,0)))</f>
        <v>0</v>
      </c>
      <c r="S123" s="799">
        <f>R123*(1-IFERROR(IF(S$69+$F123&lt;=12,SUMIFS('Attrition Modeling'!$D:$D,'Attrition Modeling'!$C:$C,'IP Attrition'!$D123,'Attrition Modeling'!$B:$B,'IP Attrition'!S$68),VLOOKUP($F123+S$2,$A$6:$C$106,2,FALSE)*VLOOKUP(S$1,'Attrition Modeling'!$L$15:$N$27,IF(S$2+$F56&lt;=24,2,3),FALSE)),$C$3)*(1+Projection!U$16)*(1+IF(S188&gt;0,'Attrition Modeling'!$N$9,0)))</f>
        <v>0</v>
      </c>
      <c r="T123" s="799">
        <f>S123*(1-IFERROR(IF(T$69+$F123&lt;=12,SUMIFS('Attrition Modeling'!$D:$D,'Attrition Modeling'!$C:$C,'IP Attrition'!$D123,'Attrition Modeling'!$B:$B,'IP Attrition'!T$68),VLOOKUP($F123+T$2,$A$6:$C$106,2,FALSE)*VLOOKUP(T$1,'Attrition Modeling'!$L$15:$N$27,IF(T$2+$F56&lt;=24,2,3),FALSE)),$C$3)*(1+Projection!V$16)*(1+IF(T188&gt;0,'Attrition Modeling'!$N$9,0)))</f>
        <v>0</v>
      </c>
      <c r="U123" s="799">
        <f>T123*(1-IFERROR(IF(U$69+$F123&lt;=12,SUMIFS('Attrition Modeling'!$D:$D,'Attrition Modeling'!$C:$C,'IP Attrition'!$D123,'Attrition Modeling'!$B:$B,'IP Attrition'!U$68),VLOOKUP($F123+U$2,$A$6:$C$106,2,FALSE)*VLOOKUP(U$1,'Attrition Modeling'!$L$15:$N$27,IF(U$2+$F56&lt;=24,2,3),FALSE)),$C$3)*(1+Projection!W$16)*(1+IF(U188&gt;0,'Attrition Modeling'!$N$9,0)))</f>
        <v>0</v>
      </c>
      <c r="V123" s="799">
        <f>U123*(1-IFERROR(IF(V$69+$F123&lt;=12,SUMIFS('Attrition Modeling'!$D:$D,'Attrition Modeling'!$C:$C,'IP Attrition'!$D123,'Attrition Modeling'!$B:$B,'IP Attrition'!V$68),VLOOKUP($F123+V$2,$A$6:$C$106,2,FALSE)*VLOOKUP(V$1,'Attrition Modeling'!$L$15:$N$27,IF(V$2+$F56&lt;=24,2,3),FALSE)),$C$3)*(1+Projection!X$16)*(1+IF(V188&gt;0,'Attrition Modeling'!$N$9,0)))</f>
        <v>0</v>
      </c>
      <c r="W123" s="799">
        <f>V123*(1-IFERROR(IF(W$69+$F123&lt;=12,SUMIFS('Attrition Modeling'!$D:$D,'Attrition Modeling'!$C:$C,'IP Attrition'!$D123,'Attrition Modeling'!$B:$B,'IP Attrition'!W$68),VLOOKUP($F123+W$2,$A$6:$C$106,2,FALSE)*VLOOKUP(W$1,'Attrition Modeling'!$L$15:$N$27,IF(W$2+$F56&lt;=24,2,3),FALSE)),$C$3)*(1+Projection!Y$16)*(1+IF(W188&gt;0,'Attrition Modeling'!$N$9,0)))</f>
        <v>0</v>
      </c>
      <c r="X123" s="799">
        <f>W123*(1-IFERROR(IF(X$69+$F123&lt;=12,SUMIFS('Attrition Modeling'!$D:$D,'Attrition Modeling'!$C:$C,'IP Attrition'!$D123,'Attrition Modeling'!$B:$B,'IP Attrition'!X$68),VLOOKUP($F123+X$2,$A$6:$C$106,2,FALSE)*VLOOKUP(X$1,'Attrition Modeling'!$L$15:$N$27,IF(X$2+$F56&lt;=24,2,3),FALSE)),$C$3)*(1+Projection!Z$16)*(1+IF(X188&gt;0,'Attrition Modeling'!$N$9,0)))</f>
        <v>0</v>
      </c>
      <c r="Y123" s="799">
        <f>X123*(1-IFERROR(IF(Y$69+$F123&lt;=12,SUMIFS('Attrition Modeling'!$D:$D,'Attrition Modeling'!$C:$C,'IP Attrition'!$D123,'Attrition Modeling'!$B:$B,'IP Attrition'!Y$68),VLOOKUP($F123+Y$2,$A$6:$C$106,2,FALSE)*VLOOKUP(Y$1,'Attrition Modeling'!$L$15:$N$27,IF(Y$2+$F56&lt;=24,2,3),FALSE)),$C$3)*(1+Projection!AA$16)*(1+IF(Y188&gt;0,'Attrition Modeling'!$N$9,0)))</f>
        <v>0</v>
      </c>
      <c r="Z123" s="799">
        <f>Y123*(1-IFERROR(IF(Z$69+$F123&lt;=12,SUMIFS('Attrition Modeling'!$D:$D,'Attrition Modeling'!$C:$C,'IP Attrition'!$D123,'Attrition Modeling'!$B:$B,'IP Attrition'!Z$68),VLOOKUP($F123+Z$2,$A$6:$C$106,2,FALSE)*VLOOKUP(Z$1,'Attrition Modeling'!$L$15:$N$27,IF(Z$2+$F56&lt;=24,2,3),FALSE)),$C$3)*(1+Projection!AB$16)*(1+IF(Z188&gt;0,'Attrition Modeling'!$N$9,0)))</f>
        <v>0</v>
      </c>
      <c r="AA123" s="799">
        <f>Z123*(1-IFERROR(IF(AA$69+$F123&lt;=12,SUMIFS('Attrition Modeling'!$D:$D,'Attrition Modeling'!$C:$C,'IP Attrition'!$D123,'Attrition Modeling'!$B:$B,'IP Attrition'!AA$68),VLOOKUP($F123+AA$2,$A$6:$C$106,2,FALSE)*VLOOKUP(AA$1,'Attrition Modeling'!$L$15:$N$27,IF(AA$2+$F56&lt;=24,2,3),FALSE)),$C$3)*(1+Projection!AC$16)*(1+IF(AA188&gt;0,'Attrition Modeling'!$N$9,0)))</f>
        <v>0</v>
      </c>
      <c r="AB123" s="799">
        <f>AA123*(1-IFERROR(IF(AB$69+$F123&lt;=12,SUMIFS('Attrition Modeling'!$D:$D,'Attrition Modeling'!$C:$C,'IP Attrition'!$D123,'Attrition Modeling'!$B:$B,'IP Attrition'!AB$68),VLOOKUP($F123+AB$2,$A$6:$C$106,2,FALSE)*VLOOKUP(AB$1,'Attrition Modeling'!$L$15:$N$27,IF(AB$2+$F56&lt;=24,2,3),FALSE)),$C$3)*(1+Projection!AD$16)*(1+IF(AB188&gt;0,'Attrition Modeling'!$N$9,0)))</f>
        <v>0</v>
      </c>
      <c r="AC123" s="799">
        <f>AB123*(1-IFERROR(IF(AC$69+$F123&lt;=12,SUMIFS('Attrition Modeling'!$D:$D,'Attrition Modeling'!$C:$C,'IP Attrition'!$D123,'Attrition Modeling'!$B:$B,'IP Attrition'!AC$68),VLOOKUP($F123+AC$2,$A$6:$C$106,2,FALSE)*VLOOKUP(AC$1,'Attrition Modeling'!$L$15:$N$27,IF(AC$2+$F56&lt;=24,2,3),FALSE)),$C$3)*(1+Projection!AE$16)*(1+IF(AC188&gt;0,'Attrition Modeling'!$N$9,0)))</f>
        <v>0</v>
      </c>
      <c r="AD123" s="799">
        <f>AC123*(1-IFERROR(IF(AD$69+$F123&lt;=12,SUMIFS('Attrition Modeling'!$D:$D,'Attrition Modeling'!$C:$C,'IP Attrition'!$D123,'Attrition Modeling'!$B:$B,'IP Attrition'!AD$68),VLOOKUP($F123+AD$2,$A$6:$C$106,2,FALSE)*VLOOKUP(AD$1,'Attrition Modeling'!$L$15:$N$27,IF(AD$2+$F56&lt;=24,2,3),FALSE)),$C$3)*(1+Projection!AF$16)*(1+IF(AD188&gt;0,'Attrition Modeling'!$N$9,0)))</f>
        <v>0</v>
      </c>
      <c r="AE123" s="799">
        <f>AD123*(1-IFERROR(IF(AE$69+$F123&lt;=12,SUMIFS('Attrition Modeling'!$D:$D,'Attrition Modeling'!$C:$C,'IP Attrition'!$D123,'Attrition Modeling'!$B:$B,'IP Attrition'!AE$68),VLOOKUP($F123+AE$2,$A$6:$C$106,2,FALSE)*VLOOKUP(AE$1,'Attrition Modeling'!$L$15:$N$27,IF(AE$2+$F56&lt;=24,2,3),FALSE)),$C$3)*(1+Projection!AG$16)*(1+IF(AE188&gt;0,'Attrition Modeling'!$N$9,0)))</f>
        <v>0</v>
      </c>
      <c r="AF123" s="799">
        <f>AE123*(1-IFERROR(IF(AF$69+$F123&lt;=12,SUMIFS('Attrition Modeling'!$D:$D,'Attrition Modeling'!$C:$C,'IP Attrition'!$D123,'Attrition Modeling'!$B:$B,'IP Attrition'!AF$68),VLOOKUP($F123+AF$2,$A$6:$C$106,2,FALSE)*VLOOKUP(AF$1,'Attrition Modeling'!$L$15:$N$27,IF(AF$2+$F56&lt;=24,2,3),FALSE)),$C$3)*(1+Projection!AH$16)*(1+IF(AF188&gt;0,'Attrition Modeling'!$N$9,0)))</f>
        <v>0</v>
      </c>
      <c r="AG123" s="799">
        <f>AF123*(1-IFERROR(IF(AG$69+$F123&lt;=12,SUMIFS('Attrition Modeling'!$D:$D,'Attrition Modeling'!$C:$C,'IP Attrition'!$D123,'Attrition Modeling'!$B:$B,'IP Attrition'!AG$68),VLOOKUP($F123+AG$2,$A$6:$C$106,2,FALSE)*VLOOKUP(AG$1,'Attrition Modeling'!$L$15:$N$27,IF(AG$2+$F56&lt;=24,2,3),FALSE)),$C$3)*(1+Projection!AI$16)*(1+IF(AG188&gt;0,'Attrition Modeling'!$N$9,0)))</f>
        <v>0</v>
      </c>
      <c r="AH123" s="799">
        <f>AG123*(1-IFERROR(IF(AH$69+$F123&lt;=12,SUMIFS('Attrition Modeling'!$D:$D,'Attrition Modeling'!$C:$C,'IP Attrition'!$D123,'Attrition Modeling'!$B:$B,'IP Attrition'!AH$68),VLOOKUP($F123+AH$2,$A$6:$C$106,2,FALSE)*VLOOKUP(AH$1,'Attrition Modeling'!$L$15:$N$27,IF(AH$2+$F56&lt;=24,2,3),FALSE)),$C$3)*(1+Projection!AJ$16)*(1+IF(AH188&gt;0,'Attrition Modeling'!$N$9,0)))</f>
        <v>0</v>
      </c>
      <c r="AI123" s="799">
        <f>AH123*(1-IFERROR(IF(AI$69+$F123&lt;=12,SUMIFS('Attrition Modeling'!$D:$D,'Attrition Modeling'!$C:$C,'IP Attrition'!$D123,'Attrition Modeling'!$B:$B,'IP Attrition'!AI$68),VLOOKUP($F123+AI$2,$A$6:$C$106,2,FALSE)*VLOOKUP(AI$1,'Attrition Modeling'!$L$15:$N$27,IF(AI$2+$F56&lt;=24,2,3),FALSE)),$C$3)*(1+Projection!AK$16)*(1+IF(AI188&gt;0,'Attrition Modeling'!$N$9,0)))</f>
        <v>0</v>
      </c>
      <c r="AJ123" s="799">
        <f>AI123*(1-IFERROR(IF(AJ$69+$F123&lt;=12,SUMIFS('Attrition Modeling'!$D:$D,'Attrition Modeling'!$C:$C,'IP Attrition'!$D123,'Attrition Modeling'!$B:$B,'IP Attrition'!AJ$68),VLOOKUP($F123+AJ$2,$A$6:$C$106,2,FALSE)*VLOOKUP(AJ$1,'Attrition Modeling'!$L$15:$N$27,IF(AJ$2+$F56&lt;=24,2,3),FALSE)),$C$3)*(1+Projection!AL$16)*(1+IF(AJ188&gt;0,'Attrition Modeling'!$N$9,0)))</f>
        <v>0</v>
      </c>
      <c r="AK123" s="799">
        <f>AJ123*(1-IFERROR(IF(AK$69+$F123&lt;=12,SUMIFS('Attrition Modeling'!$D:$D,'Attrition Modeling'!$C:$C,'IP Attrition'!$D123,'Attrition Modeling'!$B:$B,'IP Attrition'!AK$68),VLOOKUP($F123+AK$2,$A$6:$C$106,2,FALSE)*VLOOKUP(AK$1,'Attrition Modeling'!$L$15:$N$27,IF(AK$2+$F56&lt;=24,2,3),FALSE)),$C$3)*(1+Projection!AM$16)*(1+IF(AK188&gt;0,'Attrition Modeling'!$N$9,0)))</f>
        <v>0</v>
      </c>
      <c r="AL123" s="799">
        <f>AK123*(1-IFERROR(IF(AL$69+$F123&lt;=12,SUMIFS('Attrition Modeling'!$D:$D,'Attrition Modeling'!$C:$C,'IP Attrition'!$D123,'Attrition Modeling'!$B:$B,'IP Attrition'!AL$68),VLOOKUP($F123+AL$2,$A$6:$C$106,2,FALSE)*VLOOKUP(AL$1,'Attrition Modeling'!$L$15:$N$27,IF(AL$2+$F56&lt;=24,2,3),FALSE)),$C$3)*(1+Projection!AN$16)*(1+IF(AL188&gt;0,'Attrition Modeling'!$N$9,0)))</f>
        <v>0</v>
      </c>
      <c r="AM123" s="799">
        <f>AL123*(1-IFERROR(IF(AM$69+$F123&lt;=12,SUMIFS('Attrition Modeling'!$D:$D,'Attrition Modeling'!$C:$C,'IP Attrition'!$D123,'Attrition Modeling'!$B:$B,'IP Attrition'!AM$68),VLOOKUP($F123+AM$2,$A$6:$C$106,2,FALSE)*VLOOKUP(AM$1,'Attrition Modeling'!$L$15:$N$27,IF(AM$2+$F56&lt;=24,2,3),FALSE)),$C$3)*(1+Projection!AO$16)*(1+IF(AM188&gt;0,'Attrition Modeling'!$N$9,0)))</f>
        <v>0</v>
      </c>
      <c r="AN123" s="799">
        <f>AM123*(1-IFERROR(IF(AN$69+$F123&lt;=12,SUMIFS('Attrition Modeling'!$D:$D,'Attrition Modeling'!$C:$C,'IP Attrition'!$D123,'Attrition Modeling'!$B:$B,'IP Attrition'!AN$68),VLOOKUP($F123+AN$2,$A$6:$C$106,2,FALSE)*VLOOKUP(AN$1,'Attrition Modeling'!$L$15:$N$27,IF(AN$2+$F56&lt;=24,2,3),FALSE)),$C$3)*(1+Projection!AP$16)*(1+IF(AN188&gt;0,'Attrition Modeling'!$N$9,0)))</f>
        <v>0</v>
      </c>
      <c r="AO123" s="799">
        <f>AN123*(1-IFERROR(IF(AO$69+$F123&lt;=12,SUMIFS('Attrition Modeling'!$D:$D,'Attrition Modeling'!$C:$C,'IP Attrition'!$D123,'Attrition Modeling'!$B:$B,'IP Attrition'!AO$68),VLOOKUP($F123+AO$2,$A$6:$C$106,2,FALSE)*VLOOKUP(AO$1,'Attrition Modeling'!$L$15:$N$27,IF(AO$2+$F56&lt;=24,2,3),FALSE)),$C$3)*(1+Projection!AQ$16)*(1+IF(AO188&gt;0,'Attrition Modeling'!$N$9,0)))</f>
        <v>0</v>
      </c>
      <c r="AP123" s="799">
        <f>AO123*(1-IFERROR(IF(AP$69+$F123&lt;=12,SUMIFS('Attrition Modeling'!$D:$D,'Attrition Modeling'!$C:$C,'IP Attrition'!$D123,'Attrition Modeling'!$B:$B,'IP Attrition'!AP$68),VLOOKUP($F123+AP$2,$A$6:$C$106,2,FALSE)*VLOOKUP(AP$1,'Attrition Modeling'!$L$15:$N$27,IF(AP$2+$F56&lt;=24,2,3),FALSE)),$C$3)*(1+Projection!AR$16)*(1+IF(AP188&gt;0,'Attrition Modeling'!$N$9,0)))</f>
        <v>0</v>
      </c>
      <c r="AQ123" s="799">
        <f>AP123*(1-IFERROR(IF(AQ$69+$F123&lt;=12,SUMIFS('Attrition Modeling'!$D:$D,'Attrition Modeling'!$C:$C,'IP Attrition'!$D123,'Attrition Modeling'!$B:$B,'IP Attrition'!AQ$68),VLOOKUP($F123+AQ$2,$A$6:$C$106,2,FALSE)*VLOOKUP(AQ$1,'Attrition Modeling'!$L$15:$N$27,IF(AQ$2+$F56&lt;=24,2,3),FALSE)),$C$3)*(1+Projection!AS$16)*(1+IF(AQ188&gt;0,'Attrition Modeling'!$N$9,0)))</f>
        <v>0</v>
      </c>
      <c r="AR123" s="799">
        <f>AQ123*(1-IFERROR(IF(AR$69+$F123&lt;=12,SUMIFS('Attrition Modeling'!$D:$D,'Attrition Modeling'!$C:$C,'IP Attrition'!$D123,'Attrition Modeling'!$B:$B,'IP Attrition'!AR$68),VLOOKUP($F123+AR$2,$A$6:$C$106,2,FALSE)*VLOOKUP(AR$1,'Attrition Modeling'!$L$15:$N$27,IF(AR$2+$F56&lt;=24,2,3),FALSE)),$C$3)*(1+Projection!AT$16)*(1+IF(AR188&gt;0,'Attrition Modeling'!$N$9,0)))</f>
        <v>0</v>
      </c>
      <c r="AS123" s="799">
        <f>AR123*(1-IFERROR(IF(AS$69+$F123&lt;=12,SUMIFS('Attrition Modeling'!$D:$D,'Attrition Modeling'!$C:$C,'IP Attrition'!$D123,'Attrition Modeling'!$B:$B,'IP Attrition'!AS$68),VLOOKUP($F123+AS$2,$A$6:$C$106,2,FALSE)*VLOOKUP(AS$1,'Attrition Modeling'!$L$15:$N$27,IF(AS$2+$F56&lt;=24,2,3),FALSE)),$C$3)*(1+Projection!AU$16)*(1+IF(AS188&gt;0,'Attrition Modeling'!$N$9,0)))</f>
        <v>0</v>
      </c>
      <c r="AT123" s="799">
        <f>AS123*(1-IFERROR(IF(AT$69+$F123&lt;=12,SUMIFS('Attrition Modeling'!$D:$D,'Attrition Modeling'!$C:$C,'IP Attrition'!$D123,'Attrition Modeling'!$B:$B,'IP Attrition'!AT$68),VLOOKUP($F123+AT$2,$A$6:$C$106,2,FALSE)*VLOOKUP(AT$1,'Attrition Modeling'!$L$15:$N$27,IF(AT$2+$F56&lt;=24,2,3),FALSE)),$C$3)*(1+Projection!AV$16)*(1+IF(AT188&gt;0,'Attrition Modeling'!$N$9,0)))</f>
        <v>0</v>
      </c>
      <c r="AU123" s="799">
        <f>AT123*(1-IFERROR(IF(AU$69+$F123&lt;=12,SUMIFS('Attrition Modeling'!$D:$D,'Attrition Modeling'!$C:$C,'IP Attrition'!$D123,'Attrition Modeling'!$B:$B,'IP Attrition'!AU$68),VLOOKUP($F123+AU$2,$A$6:$C$106,2,FALSE)*VLOOKUP(AU$1,'Attrition Modeling'!$L$15:$N$27,IF(AU$2+$F56&lt;=24,2,3),FALSE)),$C$3)*(1+Projection!AW$16)*(1+IF(AU188&gt;0,'Attrition Modeling'!$N$9,0)))</f>
        <v>0</v>
      </c>
      <c r="AV123" s="799">
        <f>AU123*(1-IFERROR(IF(AV$69+$F123&lt;=12,SUMIFS('Attrition Modeling'!$D:$D,'Attrition Modeling'!$C:$C,'IP Attrition'!$D123,'Attrition Modeling'!$B:$B,'IP Attrition'!AV$68),VLOOKUP($F123+AV$2,$A$6:$C$106,2,FALSE)*VLOOKUP(AV$1,'Attrition Modeling'!$L$15:$N$27,IF(AV$2+$F56&lt;=24,2,3),FALSE)),$C$3)*(1+Projection!AX$16)*(1+IF(AV188&gt;0,'Attrition Modeling'!$N$9,0)))</f>
        <v>0</v>
      </c>
      <c r="AW123" s="799">
        <f>AV123*(1-IFERROR(IF(AW$69+$F123&lt;=12,SUMIFS('Attrition Modeling'!$D:$D,'Attrition Modeling'!$C:$C,'IP Attrition'!$D123,'Attrition Modeling'!$B:$B,'IP Attrition'!AW$68),VLOOKUP($F123+AW$2,$A$6:$C$106,2,FALSE)*VLOOKUP(AW$1,'Attrition Modeling'!$L$15:$N$27,IF(AW$2+$F56&lt;=24,2,3),FALSE)),$C$3)*(1+Projection!AY$16)*(1+IF(AW188&gt;0,'Attrition Modeling'!$N$9,0)))</f>
        <v>0</v>
      </c>
      <c r="AX123" s="799">
        <f>AW123*(1-IFERROR(IF(AX$69+$F123&lt;=12,SUMIFS('Attrition Modeling'!$D:$D,'Attrition Modeling'!$C:$C,'IP Attrition'!$D123,'Attrition Modeling'!$B:$B,'IP Attrition'!AX$68),VLOOKUP($F123+AX$2,$A$6:$C$106,2,FALSE)*VLOOKUP(AX$1,'Attrition Modeling'!$L$15:$N$27,IF(AX$2+$F56&lt;=24,2,3),FALSE)),$C$3)*(1+Projection!AZ$16)*(1+IF(AX188&gt;0,'Attrition Modeling'!$N$9,0)))</f>
        <v>0</v>
      </c>
      <c r="AY123" s="799">
        <f>AX123*(1-IFERROR(IF(AY$69+$F123&lt;=12,SUMIFS('Attrition Modeling'!$D:$D,'Attrition Modeling'!$C:$C,'IP Attrition'!$D123,'Attrition Modeling'!$B:$B,'IP Attrition'!AY$68),VLOOKUP($F123+AY$2,$A$6:$C$106,2,FALSE)*VLOOKUP(AY$1,'Attrition Modeling'!$L$15:$N$27,IF(AY$2+$F56&lt;=24,2,3),FALSE)),$C$3)*(1+Projection!BA$16)*(1+IF(AY188&gt;0,'Attrition Modeling'!$N$9,0)))</f>
        <v>0</v>
      </c>
      <c r="AZ123" s="799">
        <f>AY123*(1-IFERROR(IF(AZ$69+$F123&lt;=12,SUMIFS('Attrition Modeling'!$D:$D,'Attrition Modeling'!$C:$C,'IP Attrition'!$D123,'Attrition Modeling'!$B:$B,'IP Attrition'!AZ$68),VLOOKUP($F123+AZ$2,$A$6:$C$106,2,FALSE)*VLOOKUP(AZ$1,'Attrition Modeling'!$L$15:$N$27,IF(AZ$2+$F56&lt;=24,2,3),FALSE)),$C$3)*(1+Projection!BB$16)*(1+IF(AZ188&gt;0,'Attrition Modeling'!$N$9,0)))</f>
        <v>0</v>
      </c>
      <c r="BA123" s="799">
        <f>AZ123*(1-IFERROR(IF(BA$69+$F123&lt;=12,SUMIFS('Attrition Modeling'!$D:$D,'Attrition Modeling'!$C:$C,'IP Attrition'!$D123,'Attrition Modeling'!$B:$B,'IP Attrition'!BA$68),VLOOKUP($F123+BA$2,$A$6:$C$106,2,FALSE)*VLOOKUP(BA$1,'Attrition Modeling'!$L$15:$N$27,IF(BA$2+$F56&lt;=24,2,3),FALSE)),$C$3)*(1+Projection!BC$16)*(1+IF(BA188&gt;0,'Attrition Modeling'!$N$9,0)))</f>
        <v>0</v>
      </c>
      <c r="BB123" s="799">
        <f>BA123*(1-IFERROR(IF(BB$69+$F123&lt;=12,SUMIFS('Attrition Modeling'!$D:$D,'Attrition Modeling'!$C:$C,'IP Attrition'!$D123,'Attrition Modeling'!$B:$B,'IP Attrition'!BB$68),VLOOKUP($F123+BB$2,$A$6:$C$106,2,FALSE)*VLOOKUP(BB$1,'Attrition Modeling'!$L$15:$N$27,IF(BB$2+$F56&lt;=24,2,3),FALSE)),$C$3)*(1+Projection!BD$16)*(1+IF(BB188&gt;0,'Attrition Modeling'!$N$9,0)))</f>
        <v>0</v>
      </c>
      <c r="BC123" s="799">
        <f>BB123*(1-IFERROR(IF(BC$69+$F123&lt;=12,SUMIFS('Attrition Modeling'!$D:$D,'Attrition Modeling'!$C:$C,'IP Attrition'!$D123,'Attrition Modeling'!$B:$B,'IP Attrition'!BC$68),VLOOKUP($F123+BC$2,$A$6:$C$106,2,FALSE)*VLOOKUP(BC$1,'Attrition Modeling'!$L$15:$N$27,IF(BC$2+$F56&lt;=24,2,3),FALSE)),$C$3)*(1+Projection!BE$16)*(1+IF(BC188&gt;0,'Attrition Modeling'!$N$9,0)))</f>
        <v>0</v>
      </c>
      <c r="BD123" s="799">
        <f>BC123*(1-IFERROR(IF(BD$69+$F123&lt;=12,SUMIFS('Attrition Modeling'!$D:$D,'Attrition Modeling'!$C:$C,'IP Attrition'!$D123,'Attrition Modeling'!$B:$B,'IP Attrition'!BD$68),VLOOKUP($F123+BD$2,$A$6:$C$106,2,FALSE)*VLOOKUP(BD$1,'Attrition Modeling'!$L$15:$N$27,IF(BD$2+$F56&lt;=24,2,3),FALSE)),$C$3)*(1+Projection!BF$16)*(1+IF(BD188&gt;0,'Attrition Modeling'!$N$9,0)))</f>
        <v>0</v>
      </c>
      <c r="BE123" s="799">
        <f>BD123*(1-IFERROR(IF(BE$69+$F123&lt;=12,SUMIFS('Attrition Modeling'!$D:$D,'Attrition Modeling'!$C:$C,'IP Attrition'!$D123,'Attrition Modeling'!$B:$B,'IP Attrition'!BE$68),VLOOKUP($F123+BE$2,$A$6:$C$106,2,FALSE)*VLOOKUP(BE$1,'Attrition Modeling'!$L$15:$N$27,IF(BE$2+$F56&lt;=24,2,3),FALSE)),$C$3)*(1+Projection!BG$16)*(1+IF(BE188&gt;0,'Attrition Modeling'!$N$9,0)))</f>
        <v>0</v>
      </c>
      <c r="BF123" s="799">
        <f>BE123*(1-IFERROR(IF(BF$69+$F123&lt;=12,SUMIFS('Attrition Modeling'!$D:$D,'Attrition Modeling'!$C:$C,'IP Attrition'!$D123,'Attrition Modeling'!$B:$B,'IP Attrition'!BF$68),VLOOKUP($F123+BF$2,$A$6:$C$106,2,FALSE)*VLOOKUP(BF$1,'Attrition Modeling'!$L$15:$N$27,IF(BF$2+$F56&lt;=24,2,3),FALSE)),$C$3)*(1+Projection!BH$16)*(1+IF(BF188&gt;0,'Attrition Modeling'!$N$9,0)))</f>
        <v>0</v>
      </c>
      <c r="BG123" s="799">
        <f>BF123*(1-IFERROR(IF(BG$69+$F123&lt;=12,SUMIFS('Attrition Modeling'!$D:$D,'Attrition Modeling'!$C:$C,'IP Attrition'!$D123,'Attrition Modeling'!$B:$B,'IP Attrition'!BG$68),VLOOKUP($F123+BG$2,$A$6:$C$106,2,FALSE)*VLOOKUP(BG$1,'Attrition Modeling'!$L$15:$N$27,IF(BG$2+$F56&lt;=24,2,3),FALSE)),$C$3)*(1+Projection!BI$16)*(1+IF(BG188&gt;0,'Attrition Modeling'!$N$9,0)))</f>
        <v>0</v>
      </c>
      <c r="BH123" s="799">
        <f>BG123*(1-IFERROR(IF(BH$69+$F123&lt;=12,SUMIFS('Attrition Modeling'!$D:$D,'Attrition Modeling'!$C:$C,'IP Attrition'!$D123,'Attrition Modeling'!$B:$B,'IP Attrition'!BH$68),VLOOKUP($F123+BH$2,$A$6:$C$106,2,FALSE)*VLOOKUP(BH$1,'Attrition Modeling'!$L$15:$N$27,IF(BH$2+$F56&lt;=24,2,3),FALSE)),$C$3)*(1+Projection!BJ$16)*(1+IF(BH188&gt;0,'Attrition Modeling'!$N$9,0)))</f>
        <v>0</v>
      </c>
      <c r="BI123" s="799">
        <f>BH123*(1-IFERROR(IF(BI$69+$F123&lt;=12,SUMIFS('Attrition Modeling'!$D:$D,'Attrition Modeling'!$C:$C,'IP Attrition'!$D123,'Attrition Modeling'!$B:$B,'IP Attrition'!BI$68),VLOOKUP($F123+BI$2,$A$6:$C$106,2,FALSE)*VLOOKUP(BI$1,'Attrition Modeling'!$L$15:$N$27,IF(BI$2+$F56&lt;=24,2,3),FALSE)),$C$3)*(1+Projection!BK$16)*(1+IF(BI188&gt;0,'Attrition Modeling'!$N$9,0)))</f>
        <v>0</v>
      </c>
      <c r="BJ123" s="799">
        <f>BI123*(1-IFERROR(IF(BJ$69+$F123&lt;=12,SUMIFS('Attrition Modeling'!$D:$D,'Attrition Modeling'!$C:$C,'IP Attrition'!$D123,'Attrition Modeling'!$B:$B,'IP Attrition'!BJ$68),VLOOKUP($F123+BJ$2,$A$6:$C$106,2,FALSE)*VLOOKUP(BJ$1,'Attrition Modeling'!$L$15:$N$27,IF(BJ$2+$F56&lt;=24,2,3),FALSE)),$C$3)*(1+Projection!BL$16)*(1+IF(BJ188&gt;0,'Attrition Modeling'!$N$9,0)))</f>
        <v>0</v>
      </c>
      <c r="BK123" s="799">
        <f>BJ123*(1-IFERROR(IF(BK$69+$F123&lt;=12,SUMIFS('Attrition Modeling'!$D:$D,'Attrition Modeling'!$C:$C,'IP Attrition'!$D123,'Attrition Modeling'!$B:$B,'IP Attrition'!BK$68),VLOOKUP($F123+BK$2,$A$6:$C$106,2,FALSE)*VLOOKUP(BK$1,'Attrition Modeling'!$L$15:$N$27,IF(BK$2+$F56&lt;=24,2,3),FALSE)),$C$3)*(1+Projection!BM$16)*(1+IF(BK188&gt;0,'Attrition Modeling'!$N$9,0)))</f>
        <v>0</v>
      </c>
      <c r="BL123" s="799">
        <f>BK123*(1-IFERROR(IF(BL$69+$F123&lt;=12,SUMIFS('Attrition Modeling'!$D:$D,'Attrition Modeling'!$C:$C,'IP Attrition'!$D123,'Attrition Modeling'!$B:$B,'IP Attrition'!BL$68),VLOOKUP($F123+BL$2,$A$6:$C$106,2,FALSE)*VLOOKUP(BL$1,'Attrition Modeling'!$L$15:$N$27,IF(BL$2+$F56&lt;=24,2,3),FALSE)),$C$3)*(1+Projection!BN$16)*(1+IF(BL188&gt;0,'Attrition Modeling'!$N$9,0)))</f>
        <v>0</v>
      </c>
      <c r="BM123" s="799">
        <f>BL123*(1-IFERROR(IF(BM$69+$F123&lt;=12,SUMIFS('Attrition Modeling'!$D:$D,'Attrition Modeling'!$C:$C,'IP Attrition'!$D123,'Attrition Modeling'!$B:$B,'IP Attrition'!BM$68),VLOOKUP($F123+BM$2,$A$6:$C$106,2,FALSE)*VLOOKUP(BM$1,'Attrition Modeling'!$L$15:$N$27,IF(BM$2+$F56&lt;=24,2,3),FALSE)),$C$3)*(1+Projection!BO$16)*(1+IF(BM188&gt;0,'Attrition Modeling'!$N$9,0)))</f>
        <v>0</v>
      </c>
      <c r="BN123" s="799">
        <f>BM123*(1-IFERROR(IF(BN$69+$F123&lt;=12,SUMIFS('Attrition Modeling'!$D:$D,'Attrition Modeling'!$C:$C,'IP Attrition'!$D123,'Attrition Modeling'!$B:$B,'IP Attrition'!BN$68),VLOOKUP($F123+BN$2,$A$6:$C$106,2,FALSE)*VLOOKUP(BN$1,'Attrition Modeling'!$L$15:$N$27,IF(BN$2+$F56&lt;=24,2,3),FALSE)),$C$3)*(1+Projection!BP$16)*(1+IF(BN188&gt;0,'Attrition Modeling'!$N$9,0)))</f>
        <v>0</v>
      </c>
      <c r="BO123" s="799">
        <f>BN123*(1-IFERROR(IF(BO$69+$F123&lt;=12,SUMIFS('Attrition Modeling'!$D:$D,'Attrition Modeling'!$C:$C,'IP Attrition'!$D123,'Attrition Modeling'!$B:$B,'IP Attrition'!BO$68),VLOOKUP($F123+BO$2,$A$6:$C$106,2,FALSE)*VLOOKUP(BO$1,'Attrition Modeling'!$L$15:$N$27,IF(BO$2+$F56&lt;=24,2,3),FALSE)),$C$3)*(1+Projection!BV$16)*(1+IF(BO188&gt;0,'Attrition Modeling'!$N$9,0)))</f>
        <v>0</v>
      </c>
      <c r="BP123" s="799">
        <f>BO123*(1-IFERROR(IF(BP$69+$F123&lt;=12,SUMIFS('Attrition Modeling'!$D:$D,'Attrition Modeling'!$C:$C,'IP Attrition'!$D123,'Attrition Modeling'!$B:$B,'IP Attrition'!BP$68),VLOOKUP($F123+BP$2,$A$6:$C$106,2,FALSE)*VLOOKUP(BP$1,'Attrition Modeling'!$L$15:$N$27,IF(BP$2+$F56&lt;=24,2,3),FALSE)),$C$3)*(1+Projection!BW$16)*(1+IF(BP188&gt;0,'Attrition Modeling'!$N$9,0)))</f>
        <v>0</v>
      </c>
      <c r="BQ123" s="799">
        <f>BP123*(1-IFERROR(IF(BQ$69+$F123&lt;=12,SUMIFS('Attrition Modeling'!$D:$D,'Attrition Modeling'!$C:$C,'IP Attrition'!$D123,'Attrition Modeling'!$B:$B,'IP Attrition'!BQ$68),VLOOKUP($F123+BQ$2,$A$6:$C$106,2,FALSE)*VLOOKUP(BQ$1,'Attrition Modeling'!$L$15:$N$27,IF(BQ$2+$F56&lt;=24,2,3),FALSE)),$C$3)*(1+Projection!BX$16)*(1+IF(BQ188&gt;0,'Attrition Modeling'!$N$9,0)))</f>
        <v>0</v>
      </c>
      <c r="BR123" s="799">
        <f>BQ123*(1-IFERROR(IF(BR$69+$F123&lt;=12,SUMIFS('Attrition Modeling'!$D:$D,'Attrition Modeling'!$C:$C,'IP Attrition'!$D123,'Attrition Modeling'!$B:$B,'IP Attrition'!BR$68),VLOOKUP($F123+BR$2,$A$6:$C$106,2,FALSE)*VLOOKUP(BR$1,'Attrition Modeling'!$L$15:$N$27,IF(BR$2+$F56&lt;=24,2,3),FALSE)),$C$3)*(1+Projection!BY$16)*(1+IF(BR188&gt;0,'Attrition Modeling'!$N$9,0)))</f>
        <v>0</v>
      </c>
      <c r="BS123" s="799">
        <f>BR123*(1-IFERROR(IF(BS$69+$F123&lt;=12,SUMIFS('Attrition Modeling'!$D:$D,'Attrition Modeling'!$C:$C,'IP Attrition'!$D123,'Attrition Modeling'!$B:$B,'IP Attrition'!BS$68),VLOOKUP($F123+BS$2,$A$6:$C$106,2,FALSE)*VLOOKUP(BS$1,'Attrition Modeling'!$L$15:$N$27,IF(BS$2+$F56&lt;=24,2,3),FALSE)),$C$3)*(1+Projection!BZ$16)*(1+IF(BS188&gt;0,'Attrition Modeling'!$N$9,0)))</f>
        <v>0</v>
      </c>
      <c r="BT123" s="799" t="e">
        <f>BS123*(1-IFERROR(IF(BT$69+$F123&lt;=12,SUMIFS('Attrition Modeling'!$D:$D,'Attrition Modeling'!$C:$C,'IP Attrition'!$D123,'Attrition Modeling'!$B:$B,'IP Attrition'!BT$68),VLOOKUP($F123+BT$2,$A$6:$C$106,2,FALSE)*VLOOKUP(BT$1,'Attrition Modeling'!$L$15:$N$27,IF(BT$2+$F56&lt;=24,2,3),FALSE)),$C$3)*(1+Projection!CA$16)*(1+IF(BT188&gt;0,'Attrition Modeling'!$N$9,0)))</f>
        <v>#REF!</v>
      </c>
      <c r="BU123" s="799" t="e">
        <f>BT123*(1-IFERROR(IF(BU$69+$F123&lt;=12,SUMIFS('Attrition Modeling'!$D:$D,'Attrition Modeling'!$C:$C,'IP Attrition'!$D123,'Attrition Modeling'!$B:$B,'IP Attrition'!BU$68),VLOOKUP($F123+BU$2,$A$6:$C$106,2,FALSE)*VLOOKUP(BU$1,'Attrition Modeling'!$L$15:$N$27,IF(BU$2+$F56&lt;=24,2,3),FALSE)),$C$3)*(1+Projection!CB$16)*(1+IF(BU188&gt;0,'Attrition Modeling'!$N$9,0)))</f>
        <v>#REF!</v>
      </c>
    </row>
    <row r="124" spans="1:73" ht="14.25" customHeight="1" x14ac:dyDescent="0.2">
      <c r="A124" s="9">
        <v>117</v>
      </c>
      <c r="B124" s="25">
        <f>MAX('Attrition Modeling'!H121,$C$3)*(1-Summary!$C$20)</f>
        <v>0.02</v>
      </c>
      <c r="C124" s="24" t="e">
        <f t="shared" si="3"/>
        <v>#DIV/0!</v>
      </c>
      <c r="D124" s="11">
        <f t="shared" ref="D124:E124" si="62">D57</f>
        <v>-54</v>
      </c>
      <c r="E124" s="25">
        <f t="shared" si="62"/>
        <v>0</v>
      </c>
      <c r="F124" s="11">
        <f t="shared" si="9"/>
        <v>54</v>
      </c>
      <c r="G124" s="799">
        <f>Summary!$C$24*$E124</f>
        <v>0</v>
      </c>
      <c r="H124" s="799">
        <f>G124*(1-IFERROR(IF(H$69+$F124&lt;=12,SUMIFS('Attrition Modeling'!$D:$D,'Attrition Modeling'!$C:$C,'IP Attrition'!$D124,'Attrition Modeling'!$B:$B,'IP Attrition'!H$68),VLOOKUP($F124+H$2,$A$6:$C$106,2,FALSE)*VLOOKUP(H$1,'Attrition Modeling'!$L$15:$N$27,IF(H$2+$F57&lt;=24,2,3),FALSE)),$C$3)*(1+Projection!J$16)*(1+IF(H189&gt;0,'Attrition Modeling'!$N$9,0)))</f>
        <v>0</v>
      </c>
      <c r="I124" s="799">
        <f>H124*(1-IFERROR(IF(I$69+$F124&lt;=12,SUMIFS('Attrition Modeling'!$D:$D,'Attrition Modeling'!$C:$C,'IP Attrition'!$D124,'Attrition Modeling'!$B:$B,'IP Attrition'!I$68),VLOOKUP($F124+I$2,$A$6:$C$106,2,FALSE)*VLOOKUP(I$1,'Attrition Modeling'!$L$15:$N$27,IF(I$2+$F57&lt;=24,2,3),FALSE)),$C$3)*(1+Projection!K$16)*(1+IF(I189&gt;0,'Attrition Modeling'!$N$9,0)))</f>
        <v>0</v>
      </c>
      <c r="J124" s="799">
        <f>I124*(1-IFERROR(IF(J$69+$F124&lt;=12,SUMIFS('Attrition Modeling'!$D:$D,'Attrition Modeling'!$C:$C,'IP Attrition'!$D124,'Attrition Modeling'!$B:$B,'IP Attrition'!J$68),VLOOKUP($F124+J$2,$A$6:$C$106,2,FALSE)*VLOOKUP(J$1,'Attrition Modeling'!$L$15:$N$27,IF(J$2+$F57&lt;=24,2,3),FALSE)),$C$3)*(1+Projection!L$16)*(1+IF(J189&gt;0,'Attrition Modeling'!$N$9,0)))</f>
        <v>0</v>
      </c>
      <c r="K124" s="799">
        <f>J124*(1-IFERROR(IF(K$69+$F124&lt;=12,SUMIFS('Attrition Modeling'!$D:$D,'Attrition Modeling'!$C:$C,'IP Attrition'!$D124,'Attrition Modeling'!$B:$B,'IP Attrition'!K$68),VLOOKUP($F124+K$2,$A$6:$C$106,2,FALSE)*VLOOKUP(K$1,'Attrition Modeling'!$L$15:$N$27,IF(K$2+$F57&lt;=24,2,3),FALSE)),$C$3)*(1+Projection!M$16)*(1+IF(K189&gt;0,'Attrition Modeling'!$N$9,0)))</f>
        <v>0</v>
      </c>
      <c r="L124" s="799">
        <f>K124*(1-IFERROR(IF(L$69+$F124&lt;=12,SUMIFS('Attrition Modeling'!$D:$D,'Attrition Modeling'!$C:$C,'IP Attrition'!$D124,'Attrition Modeling'!$B:$B,'IP Attrition'!L$68),VLOOKUP($F124+L$2,$A$6:$C$106,2,FALSE)*VLOOKUP(L$1,'Attrition Modeling'!$L$15:$N$27,IF(L$2+$F57&lt;=24,2,3),FALSE)),$C$3)*(1+Projection!N$16)*(1+IF(L189&gt;0,'Attrition Modeling'!$N$9,0)))</f>
        <v>0</v>
      </c>
      <c r="M124" s="799">
        <f>L124*(1-IFERROR(IF(M$69+$F124&lt;=12,SUMIFS('Attrition Modeling'!$D:$D,'Attrition Modeling'!$C:$C,'IP Attrition'!$D124,'Attrition Modeling'!$B:$B,'IP Attrition'!M$68),VLOOKUP($F124+M$2,$A$6:$C$106,2,FALSE)*VLOOKUP(M$1,'Attrition Modeling'!$L$15:$N$27,IF(M$2+$F57&lt;=24,2,3),FALSE)),$C$3)*(1+Projection!O$16)*(1+IF(M189&gt;0,'Attrition Modeling'!$N$9,0)))</f>
        <v>0</v>
      </c>
      <c r="N124" s="799">
        <f>M124*(1-IFERROR(IF(N$69+$F124&lt;=12,SUMIFS('Attrition Modeling'!$D:$D,'Attrition Modeling'!$C:$C,'IP Attrition'!$D124,'Attrition Modeling'!$B:$B,'IP Attrition'!N$68),VLOOKUP($F124+N$2,$A$6:$C$106,2,FALSE)*VLOOKUP(N$1,'Attrition Modeling'!$L$15:$N$27,IF(N$2+$F57&lt;=24,2,3),FALSE)),$C$3)*(1+Projection!P$16)*(1+IF(N189&gt;0,'Attrition Modeling'!$N$9,0)))</f>
        <v>0</v>
      </c>
      <c r="O124" s="799">
        <f>N124*(1-IFERROR(IF(O$69+$F124&lt;=12,SUMIFS('Attrition Modeling'!$D:$D,'Attrition Modeling'!$C:$C,'IP Attrition'!$D124,'Attrition Modeling'!$B:$B,'IP Attrition'!O$68),VLOOKUP($F124+O$2,$A$6:$C$106,2,FALSE)*VLOOKUP(O$1,'Attrition Modeling'!$L$15:$N$27,IF(O$2+$F57&lt;=24,2,3),FALSE)),$C$3)*(1+Projection!Q$16)*(1+IF(O189&gt;0,'Attrition Modeling'!$N$9,0)))</f>
        <v>0</v>
      </c>
      <c r="P124" s="799">
        <f>O124*(1-IFERROR(IF(P$69+$F124&lt;=12,SUMIFS('Attrition Modeling'!$D:$D,'Attrition Modeling'!$C:$C,'IP Attrition'!$D124,'Attrition Modeling'!$B:$B,'IP Attrition'!P$68),VLOOKUP($F124+P$2,$A$6:$C$106,2,FALSE)*VLOOKUP(P$1,'Attrition Modeling'!$L$15:$N$27,IF(P$2+$F57&lt;=24,2,3),FALSE)),$C$3)*(1+Projection!R$16)*(1+IF(P189&gt;0,'Attrition Modeling'!$N$9,0)))</f>
        <v>0</v>
      </c>
      <c r="Q124" s="799">
        <f>P124*(1-IFERROR(IF(Q$69+$F124&lt;=12,SUMIFS('Attrition Modeling'!$D:$D,'Attrition Modeling'!$C:$C,'IP Attrition'!$D124,'Attrition Modeling'!$B:$B,'IP Attrition'!Q$68),VLOOKUP($F124+Q$2,$A$6:$C$106,2,FALSE)*VLOOKUP(Q$1,'Attrition Modeling'!$L$15:$N$27,IF(Q$2+$F57&lt;=24,2,3),FALSE)),$C$3)*(1+Projection!S$16)*(1+IF(Q189&gt;0,'Attrition Modeling'!$N$9,0)))</f>
        <v>0</v>
      </c>
      <c r="R124" s="799">
        <f>Q124*(1-IFERROR(IF(R$69+$F124&lt;=12,SUMIFS('Attrition Modeling'!$D:$D,'Attrition Modeling'!$C:$C,'IP Attrition'!$D124,'Attrition Modeling'!$B:$B,'IP Attrition'!R$68),VLOOKUP($F124+R$2,$A$6:$C$106,2,FALSE)*VLOOKUP(R$1,'Attrition Modeling'!$L$15:$N$27,IF(R$2+$F57&lt;=24,2,3),FALSE)),$C$3)*(1+Projection!T$16)*(1+IF(R189&gt;0,'Attrition Modeling'!$N$9,0)))</f>
        <v>0</v>
      </c>
      <c r="S124" s="799">
        <f>R124*(1-IFERROR(IF(S$69+$F124&lt;=12,SUMIFS('Attrition Modeling'!$D:$D,'Attrition Modeling'!$C:$C,'IP Attrition'!$D124,'Attrition Modeling'!$B:$B,'IP Attrition'!S$68),VLOOKUP($F124+S$2,$A$6:$C$106,2,FALSE)*VLOOKUP(S$1,'Attrition Modeling'!$L$15:$N$27,IF(S$2+$F57&lt;=24,2,3),FALSE)),$C$3)*(1+Projection!U$16)*(1+IF(S189&gt;0,'Attrition Modeling'!$N$9,0)))</f>
        <v>0</v>
      </c>
      <c r="T124" s="799">
        <f>S124*(1-IFERROR(IF(T$69+$F124&lt;=12,SUMIFS('Attrition Modeling'!$D:$D,'Attrition Modeling'!$C:$C,'IP Attrition'!$D124,'Attrition Modeling'!$B:$B,'IP Attrition'!T$68),VLOOKUP($F124+T$2,$A$6:$C$106,2,FALSE)*VLOOKUP(T$1,'Attrition Modeling'!$L$15:$N$27,IF(T$2+$F57&lt;=24,2,3),FALSE)),$C$3)*(1+Projection!V$16)*(1+IF(T189&gt;0,'Attrition Modeling'!$N$9,0)))</f>
        <v>0</v>
      </c>
      <c r="U124" s="799">
        <f>T124*(1-IFERROR(IF(U$69+$F124&lt;=12,SUMIFS('Attrition Modeling'!$D:$D,'Attrition Modeling'!$C:$C,'IP Attrition'!$D124,'Attrition Modeling'!$B:$B,'IP Attrition'!U$68),VLOOKUP($F124+U$2,$A$6:$C$106,2,FALSE)*VLOOKUP(U$1,'Attrition Modeling'!$L$15:$N$27,IF(U$2+$F57&lt;=24,2,3),FALSE)),$C$3)*(1+Projection!W$16)*(1+IF(U189&gt;0,'Attrition Modeling'!$N$9,0)))</f>
        <v>0</v>
      </c>
      <c r="V124" s="799">
        <f>U124*(1-IFERROR(IF(V$69+$F124&lt;=12,SUMIFS('Attrition Modeling'!$D:$D,'Attrition Modeling'!$C:$C,'IP Attrition'!$D124,'Attrition Modeling'!$B:$B,'IP Attrition'!V$68),VLOOKUP($F124+V$2,$A$6:$C$106,2,FALSE)*VLOOKUP(V$1,'Attrition Modeling'!$L$15:$N$27,IF(V$2+$F57&lt;=24,2,3),FALSE)),$C$3)*(1+Projection!X$16)*(1+IF(V189&gt;0,'Attrition Modeling'!$N$9,0)))</f>
        <v>0</v>
      </c>
      <c r="W124" s="799">
        <f>V124*(1-IFERROR(IF(W$69+$F124&lt;=12,SUMIFS('Attrition Modeling'!$D:$D,'Attrition Modeling'!$C:$C,'IP Attrition'!$D124,'Attrition Modeling'!$B:$B,'IP Attrition'!W$68),VLOOKUP($F124+W$2,$A$6:$C$106,2,FALSE)*VLOOKUP(W$1,'Attrition Modeling'!$L$15:$N$27,IF(W$2+$F57&lt;=24,2,3),FALSE)),$C$3)*(1+Projection!Y$16)*(1+IF(W189&gt;0,'Attrition Modeling'!$N$9,0)))</f>
        <v>0</v>
      </c>
      <c r="X124" s="799">
        <f>W124*(1-IFERROR(IF(X$69+$F124&lt;=12,SUMIFS('Attrition Modeling'!$D:$D,'Attrition Modeling'!$C:$C,'IP Attrition'!$D124,'Attrition Modeling'!$B:$B,'IP Attrition'!X$68),VLOOKUP($F124+X$2,$A$6:$C$106,2,FALSE)*VLOOKUP(X$1,'Attrition Modeling'!$L$15:$N$27,IF(X$2+$F57&lt;=24,2,3),FALSE)),$C$3)*(1+Projection!Z$16)*(1+IF(X189&gt;0,'Attrition Modeling'!$N$9,0)))</f>
        <v>0</v>
      </c>
      <c r="Y124" s="799">
        <f>X124*(1-IFERROR(IF(Y$69+$F124&lt;=12,SUMIFS('Attrition Modeling'!$D:$D,'Attrition Modeling'!$C:$C,'IP Attrition'!$D124,'Attrition Modeling'!$B:$B,'IP Attrition'!Y$68),VLOOKUP($F124+Y$2,$A$6:$C$106,2,FALSE)*VLOOKUP(Y$1,'Attrition Modeling'!$L$15:$N$27,IF(Y$2+$F57&lt;=24,2,3),FALSE)),$C$3)*(1+Projection!AA$16)*(1+IF(Y189&gt;0,'Attrition Modeling'!$N$9,0)))</f>
        <v>0</v>
      </c>
      <c r="Z124" s="799">
        <f>Y124*(1-IFERROR(IF(Z$69+$F124&lt;=12,SUMIFS('Attrition Modeling'!$D:$D,'Attrition Modeling'!$C:$C,'IP Attrition'!$D124,'Attrition Modeling'!$B:$B,'IP Attrition'!Z$68),VLOOKUP($F124+Z$2,$A$6:$C$106,2,FALSE)*VLOOKUP(Z$1,'Attrition Modeling'!$L$15:$N$27,IF(Z$2+$F57&lt;=24,2,3),FALSE)),$C$3)*(1+Projection!AB$16)*(1+IF(Z189&gt;0,'Attrition Modeling'!$N$9,0)))</f>
        <v>0</v>
      </c>
      <c r="AA124" s="799">
        <f>Z124*(1-IFERROR(IF(AA$69+$F124&lt;=12,SUMIFS('Attrition Modeling'!$D:$D,'Attrition Modeling'!$C:$C,'IP Attrition'!$D124,'Attrition Modeling'!$B:$B,'IP Attrition'!AA$68),VLOOKUP($F124+AA$2,$A$6:$C$106,2,FALSE)*VLOOKUP(AA$1,'Attrition Modeling'!$L$15:$N$27,IF(AA$2+$F57&lt;=24,2,3),FALSE)),$C$3)*(1+Projection!AC$16)*(1+IF(AA189&gt;0,'Attrition Modeling'!$N$9,0)))</f>
        <v>0</v>
      </c>
      <c r="AB124" s="799">
        <f>AA124*(1-IFERROR(IF(AB$69+$F124&lt;=12,SUMIFS('Attrition Modeling'!$D:$D,'Attrition Modeling'!$C:$C,'IP Attrition'!$D124,'Attrition Modeling'!$B:$B,'IP Attrition'!AB$68),VLOOKUP($F124+AB$2,$A$6:$C$106,2,FALSE)*VLOOKUP(AB$1,'Attrition Modeling'!$L$15:$N$27,IF(AB$2+$F57&lt;=24,2,3),FALSE)),$C$3)*(1+Projection!AD$16)*(1+IF(AB189&gt;0,'Attrition Modeling'!$N$9,0)))</f>
        <v>0</v>
      </c>
      <c r="AC124" s="799">
        <f>AB124*(1-IFERROR(IF(AC$69+$F124&lt;=12,SUMIFS('Attrition Modeling'!$D:$D,'Attrition Modeling'!$C:$C,'IP Attrition'!$D124,'Attrition Modeling'!$B:$B,'IP Attrition'!AC$68),VLOOKUP($F124+AC$2,$A$6:$C$106,2,FALSE)*VLOOKUP(AC$1,'Attrition Modeling'!$L$15:$N$27,IF(AC$2+$F57&lt;=24,2,3),FALSE)),$C$3)*(1+Projection!AE$16)*(1+IF(AC189&gt;0,'Attrition Modeling'!$N$9,0)))</f>
        <v>0</v>
      </c>
      <c r="AD124" s="799">
        <f>AC124*(1-IFERROR(IF(AD$69+$F124&lt;=12,SUMIFS('Attrition Modeling'!$D:$D,'Attrition Modeling'!$C:$C,'IP Attrition'!$D124,'Attrition Modeling'!$B:$B,'IP Attrition'!AD$68),VLOOKUP($F124+AD$2,$A$6:$C$106,2,FALSE)*VLOOKUP(AD$1,'Attrition Modeling'!$L$15:$N$27,IF(AD$2+$F57&lt;=24,2,3),FALSE)),$C$3)*(1+Projection!AF$16)*(1+IF(AD189&gt;0,'Attrition Modeling'!$N$9,0)))</f>
        <v>0</v>
      </c>
      <c r="AE124" s="799">
        <f>AD124*(1-IFERROR(IF(AE$69+$F124&lt;=12,SUMIFS('Attrition Modeling'!$D:$D,'Attrition Modeling'!$C:$C,'IP Attrition'!$D124,'Attrition Modeling'!$B:$B,'IP Attrition'!AE$68),VLOOKUP($F124+AE$2,$A$6:$C$106,2,FALSE)*VLOOKUP(AE$1,'Attrition Modeling'!$L$15:$N$27,IF(AE$2+$F57&lt;=24,2,3),FALSE)),$C$3)*(1+Projection!AG$16)*(1+IF(AE189&gt;0,'Attrition Modeling'!$N$9,0)))</f>
        <v>0</v>
      </c>
      <c r="AF124" s="799">
        <f>AE124*(1-IFERROR(IF(AF$69+$F124&lt;=12,SUMIFS('Attrition Modeling'!$D:$D,'Attrition Modeling'!$C:$C,'IP Attrition'!$D124,'Attrition Modeling'!$B:$B,'IP Attrition'!AF$68),VLOOKUP($F124+AF$2,$A$6:$C$106,2,FALSE)*VLOOKUP(AF$1,'Attrition Modeling'!$L$15:$N$27,IF(AF$2+$F57&lt;=24,2,3),FALSE)),$C$3)*(1+Projection!AH$16)*(1+IF(AF189&gt;0,'Attrition Modeling'!$N$9,0)))</f>
        <v>0</v>
      </c>
      <c r="AG124" s="799">
        <f>AF124*(1-IFERROR(IF(AG$69+$F124&lt;=12,SUMIFS('Attrition Modeling'!$D:$D,'Attrition Modeling'!$C:$C,'IP Attrition'!$D124,'Attrition Modeling'!$B:$B,'IP Attrition'!AG$68),VLOOKUP($F124+AG$2,$A$6:$C$106,2,FALSE)*VLOOKUP(AG$1,'Attrition Modeling'!$L$15:$N$27,IF(AG$2+$F57&lt;=24,2,3),FALSE)),$C$3)*(1+Projection!AI$16)*(1+IF(AG189&gt;0,'Attrition Modeling'!$N$9,0)))</f>
        <v>0</v>
      </c>
      <c r="AH124" s="799">
        <f>AG124*(1-IFERROR(IF(AH$69+$F124&lt;=12,SUMIFS('Attrition Modeling'!$D:$D,'Attrition Modeling'!$C:$C,'IP Attrition'!$D124,'Attrition Modeling'!$B:$B,'IP Attrition'!AH$68),VLOOKUP($F124+AH$2,$A$6:$C$106,2,FALSE)*VLOOKUP(AH$1,'Attrition Modeling'!$L$15:$N$27,IF(AH$2+$F57&lt;=24,2,3),FALSE)),$C$3)*(1+Projection!AJ$16)*(1+IF(AH189&gt;0,'Attrition Modeling'!$N$9,0)))</f>
        <v>0</v>
      </c>
      <c r="AI124" s="799">
        <f>AH124*(1-IFERROR(IF(AI$69+$F124&lt;=12,SUMIFS('Attrition Modeling'!$D:$D,'Attrition Modeling'!$C:$C,'IP Attrition'!$D124,'Attrition Modeling'!$B:$B,'IP Attrition'!AI$68),VLOOKUP($F124+AI$2,$A$6:$C$106,2,FALSE)*VLOOKUP(AI$1,'Attrition Modeling'!$L$15:$N$27,IF(AI$2+$F57&lt;=24,2,3),FALSE)),$C$3)*(1+Projection!AK$16)*(1+IF(AI189&gt;0,'Attrition Modeling'!$N$9,0)))</f>
        <v>0</v>
      </c>
      <c r="AJ124" s="799">
        <f>AI124*(1-IFERROR(IF(AJ$69+$F124&lt;=12,SUMIFS('Attrition Modeling'!$D:$D,'Attrition Modeling'!$C:$C,'IP Attrition'!$D124,'Attrition Modeling'!$B:$B,'IP Attrition'!AJ$68),VLOOKUP($F124+AJ$2,$A$6:$C$106,2,FALSE)*VLOOKUP(AJ$1,'Attrition Modeling'!$L$15:$N$27,IF(AJ$2+$F57&lt;=24,2,3),FALSE)),$C$3)*(1+Projection!AL$16)*(1+IF(AJ189&gt;0,'Attrition Modeling'!$N$9,0)))</f>
        <v>0</v>
      </c>
      <c r="AK124" s="799">
        <f>AJ124*(1-IFERROR(IF(AK$69+$F124&lt;=12,SUMIFS('Attrition Modeling'!$D:$D,'Attrition Modeling'!$C:$C,'IP Attrition'!$D124,'Attrition Modeling'!$B:$B,'IP Attrition'!AK$68),VLOOKUP($F124+AK$2,$A$6:$C$106,2,FALSE)*VLOOKUP(AK$1,'Attrition Modeling'!$L$15:$N$27,IF(AK$2+$F57&lt;=24,2,3),FALSE)),$C$3)*(1+Projection!AM$16)*(1+IF(AK189&gt;0,'Attrition Modeling'!$N$9,0)))</f>
        <v>0</v>
      </c>
      <c r="AL124" s="799">
        <f>AK124*(1-IFERROR(IF(AL$69+$F124&lt;=12,SUMIFS('Attrition Modeling'!$D:$D,'Attrition Modeling'!$C:$C,'IP Attrition'!$D124,'Attrition Modeling'!$B:$B,'IP Attrition'!AL$68),VLOOKUP($F124+AL$2,$A$6:$C$106,2,FALSE)*VLOOKUP(AL$1,'Attrition Modeling'!$L$15:$N$27,IF(AL$2+$F57&lt;=24,2,3),FALSE)),$C$3)*(1+Projection!AN$16)*(1+IF(AL189&gt;0,'Attrition Modeling'!$N$9,0)))</f>
        <v>0</v>
      </c>
      <c r="AM124" s="799">
        <f>AL124*(1-IFERROR(IF(AM$69+$F124&lt;=12,SUMIFS('Attrition Modeling'!$D:$D,'Attrition Modeling'!$C:$C,'IP Attrition'!$D124,'Attrition Modeling'!$B:$B,'IP Attrition'!AM$68),VLOOKUP($F124+AM$2,$A$6:$C$106,2,FALSE)*VLOOKUP(AM$1,'Attrition Modeling'!$L$15:$N$27,IF(AM$2+$F57&lt;=24,2,3),FALSE)),$C$3)*(1+Projection!AO$16)*(1+IF(AM189&gt;0,'Attrition Modeling'!$N$9,0)))</f>
        <v>0</v>
      </c>
      <c r="AN124" s="799">
        <f>AM124*(1-IFERROR(IF(AN$69+$F124&lt;=12,SUMIFS('Attrition Modeling'!$D:$D,'Attrition Modeling'!$C:$C,'IP Attrition'!$D124,'Attrition Modeling'!$B:$B,'IP Attrition'!AN$68),VLOOKUP($F124+AN$2,$A$6:$C$106,2,FALSE)*VLOOKUP(AN$1,'Attrition Modeling'!$L$15:$N$27,IF(AN$2+$F57&lt;=24,2,3),FALSE)),$C$3)*(1+Projection!AP$16)*(1+IF(AN189&gt;0,'Attrition Modeling'!$N$9,0)))</f>
        <v>0</v>
      </c>
      <c r="AO124" s="799">
        <f>AN124*(1-IFERROR(IF(AO$69+$F124&lt;=12,SUMIFS('Attrition Modeling'!$D:$D,'Attrition Modeling'!$C:$C,'IP Attrition'!$D124,'Attrition Modeling'!$B:$B,'IP Attrition'!AO$68),VLOOKUP($F124+AO$2,$A$6:$C$106,2,FALSE)*VLOOKUP(AO$1,'Attrition Modeling'!$L$15:$N$27,IF(AO$2+$F57&lt;=24,2,3),FALSE)),$C$3)*(1+Projection!AQ$16)*(1+IF(AO189&gt;0,'Attrition Modeling'!$N$9,0)))</f>
        <v>0</v>
      </c>
      <c r="AP124" s="799">
        <f>AO124*(1-IFERROR(IF(AP$69+$F124&lt;=12,SUMIFS('Attrition Modeling'!$D:$D,'Attrition Modeling'!$C:$C,'IP Attrition'!$D124,'Attrition Modeling'!$B:$B,'IP Attrition'!AP$68),VLOOKUP($F124+AP$2,$A$6:$C$106,2,FALSE)*VLOOKUP(AP$1,'Attrition Modeling'!$L$15:$N$27,IF(AP$2+$F57&lt;=24,2,3),FALSE)),$C$3)*(1+Projection!AR$16)*(1+IF(AP189&gt;0,'Attrition Modeling'!$N$9,0)))</f>
        <v>0</v>
      </c>
      <c r="AQ124" s="799">
        <f>AP124*(1-IFERROR(IF(AQ$69+$F124&lt;=12,SUMIFS('Attrition Modeling'!$D:$D,'Attrition Modeling'!$C:$C,'IP Attrition'!$D124,'Attrition Modeling'!$B:$B,'IP Attrition'!AQ$68),VLOOKUP($F124+AQ$2,$A$6:$C$106,2,FALSE)*VLOOKUP(AQ$1,'Attrition Modeling'!$L$15:$N$27,IF(AQ$2+$F57&lt;=24,2,3),FALSE)),$C$3)*(1+Projection!AS$16)*(1+IF(AQ189&gt;0,'Attrition Modeling'!$N$9,0)))</f>
        <v>0</v>
      </c>
      <c r="AR124" s="799">
        <f>AQ124*(1-IFERROR(IF(AR$69+$F124&lt;=12,SUMIFS('Attrition Modeling'!$D:$D,'Attrition Modeling'!$C:$C,'IP Attrition'!$D124,'Attrition Modeling'!$B:$B,'IP Attrition'!AR$68),VLOOKUP($F124+AR$2,$A$6:$C$106,2,FALSE)*VLOOKUP(AR$1,'Attrition Modeling'!$L$15:$N$27,IF(AR$2+$F57&lt;=24,2,3),FALSE)),$C$3)*(1+Projection!AT$16)*(1+IF(AR189&gt;0,'Attrition Modeling'!$N$9,0)))</f>
        <v>0</v>
      </c>
      <c r="AS124" s="799">
        <f>AR124*(1-IFERROR(IF(AS$69+$F124&lt;=12,SUMIFS('Attrition Modeling'!$D:$D,'Attrition Modeling'!$C:$C,'IP Attrition'!$D124,'Attrition Modeling'!$B:$B,'IP Attrition'!AS$68),VLOOKUP($F124+AS$2,$A$6:$C$106,2,FALSE)*VLOOKUP(AS$1,'Attrition Modeling'!$L$15:$N$27,IF(AS$2+$F57&lt;=24,2,3),FALSE)),$C$3)*(1+Projection!AU$16)*(1+IF(AS189&gt;0,'Attrition Modeling'!$N$9,0)))</f>
        <v>0</v>
      </c>
      <c r="AT124" s="799">
        <f>AS124*(1-IFERROR(IF(AT$69+$F124&lt;=12,SUMIFS('Attrition Modeling'!$D:$D,'Attrition Modeling'!$C:$C,'IP Attrition'!$D124,'Attrition Modeling'!$B:$B,'IP Attrition'!AT$68),VLOOKUP($F124+AT$2,$A$6:$C$106,2,FALSE)*VLOOKUP(AT$1,'Attrition Modeling'!$L$15:$N$27,IF(AT$2+$F57&lt;=24,2,3),FALSE)),$C$3)*(1+Projection!AV$16)*(1+IF(AT189&gt;0,'Attrition Modeling'!$N$9,0)))</f>
        <v>0</v>
      </c>
      <c r="AU124" s="799">
        <f>AT124*(1-IFERROR(IF(AU$69+$F124&lt;=12,SUMIFS('Attrition Modeling'!$D:$D,'Attrition Modeling'!$C:$C,'IP Attrition'!$D124,'Attrition Modeling'!$B:$B,'IP Attrition'!AU$68),VLOOKUP($F124+AU$2,$A$6:$C$106,2,FALSE)*VLOOKUP(AU$1,'Attrition Modeling'!$L$15:$N$27,IF(AU$2+$F57&lt;=24,2,3),FALSE)),$C$3)*(1+Projection!AW$16)*(1+IF(AU189&gt;0,'Attrition Modeling'!$N$9,0)))</f>
        <v>0</v>
      </c>
      <c r="AV124" s="799">
        <f>AU124*(1-IFERROR(IF(AV$69+$F124&lt;=12,SUMIFS('Attrition Modeling'!$D:$D,'Attrition Modeling'!$C:$C,'IP Attrition'!$D124,'Attrition Modeling'!$B:$B,'IP Attrition'!AV$68),VLOOKUP($F124+AV$2,$A$6:$C$106,2,FALSE)*VLOOKUP(AV$1,'Attrition Modeling'!$L$15:$N$27,IF(AV$2+$F57&lt;=24,2,3),FALSE)),$C$3)*(1+Projection!AX$16)*(1+IF(AV189&gt;0,'Attrition Modeling'!$N$9,0)))</f>
        <v>0</v>
      </c>
      <c r="AW124" s="799">
        <f>AV124*(1-IFERROR(IF(AW$69+$F124&lt;=12,SUMIFS('Attrition Modeling'!$D:$D,'Attrition Modeling'!$C:$C,'IP Attrition'!$D124,'Attrition Modeling'!$B:$B,'IP Attrition'!AW$68),VLOOKUP($F124+AW$2,$A$6:$C$106,2,FALSE)*VLOOKUP(AW$1,'Attrition Modeling'!$L$15:$N$27,IF(AW$2+$F57&lt;=24,2,3),FALSE)),$C$3)*(1+Projection!AY$16)*(1+IF(AW189&gt;0,'Attrition Modeling'!$N$9,0)))</f>
        <v>0</v>
      </c>
      <c r="AX124" s="799">
        <f>AW124*(1-IFERROR(IF(AX$69+$F124&lt;=12,SUMIFS('Attrition Modeling'!$D:$D,'Attrition Modeling'!$C:$C,'IP Attrition'!$D124,'Attrition Modeling'!$B:$B,'IP Attrition'!AX$68),VLOOKUP($F124+AX$2,$A$6:$C$106,2,FALSE)*VLOOKUP(AX$1,'Attrition Modeling'!$L$15:$N$27,IF(AX$2+$F57&lt;=24,2,3),FALSE)),$C$3)*(1+Projection!AZ$16)*(1+IF(AX189&gt;0,'Attrition Modeling'!$N$9,0)))</f>
        <v>0</v>
      </c>
      <c r="AY124" s="799">
        <f>AX124*(1-IFERROR(IF(AY$69+$F124&lt;=12,SUMIFS('Attrition Modeling'!$D:$D,'Attrition Modeling'!$C:$C,'IP Attrition'!$D124,'Attrition Modeling'!$B:$B,'IP Attrition'!AY$68),VLOOKUP($F124+AY$2,$A$6:$C$106,2,FALSE)*VLOOKUP(AY$1,'Attrition Modeling'!$L$15:$N$27,IF(AY$2+$F57&lt;=24,2,3),FALSE)),$C$3)*(1+Projection!BA$16)*(1+IF(AY189&gt;0,'Attrition Modeling'!$N$9,0)))</f>
        <v>0</v>
      </c>
      <c r="AZ124" s="799">
        <f>AY124*(1-IFERROR(IF(AZ$69+$F124&lt;=12,SUMIFS('Attrition Modeling'!$D:$D,'Attrition Modeling'!$C:$C,'IP Attrition'!$D124,'Attrition Modeling'!$B:$B,'IP Attrition'!AZ$68),VLOOKUP($F124+AZ$2,$A$6:$C$106,2,FALSE)*VLOOKUP(AZ$1,'Attrition Modeling'!$L$15:$N$27,IF(AZ$2+$F57&lt;=24,2,3),FALSE)),$C$3)*(1+Projection!BB$16)*(1+IF(AZ189&gt;0,'Attrition Modeling'!$N$9,0)))</f>
        <v>0</v>
      </c>
      <c r="BA124" s="799">
        <f>AZ124*(1-IFERROR(IF(BA$69+$F124&lt;=12,SUMIFS('Attrition Modeling'!$D:$D,'Attrition Modeling'!$C:$C,'IP Attrition'!$D124,'Attrition Modeling'!$B:$B,'IP Attrition'!BA$68),VLOOKUP($F124+BA$2,$A$6:$C$106,2,FALSE)*VLOOKUP(BA$1,'Attrition Modeling'!$L$15:$N$27,IF(BA$2+$F57&lt;=24,2,3),FALSE)),$C$3)*(1+Projection!BC$16)*(1+IF(BA189&gt;0,'Attrition Modeling'!$N$9,0)))</f>
        <v>0</v>
      </c>
      <c r="BB124" s="799">
        <f>BA124*(1-IFERROR(IF(BB$69+$F124&lt;=12,SUMIFS('Attrition Modeling'!$D:$D,'Attrition Modeling'!$C:$C,'IP Attrition'!$D124,'Attrition Modeling'!$B:$B,'IP Attrition'!BB$68),VLOOKUP($F124+BB$2,$A$6:$C$106,2,FALSE)*VLOOKUP(BB$1,'Attrition Modeling'!$L$15:$N$27,IF(BB$2+$F57&lt;=24,2,3),FALSE)),$C$3)*(1+Projection!BD$16)*(1+IF(BB189&gt;0,'Attrition Modeling'!$N$9,0)))</f>
        <v>0</v>
      </c>
      <c r="BC124" s="799">
        <f>BB124*(1-IFERROR(IF(BC$69+$F124&lt;=12,SUMIFS('Attrition Modeling'!$D:$D,'Attrition Modeling'!$C:$C,'IP Attrition'!$D124,'Attrition Modeling'!$B:$B,'IP Attrition'!BC$68),VLOOKUP($F124+BC$2,$A$6:$C$106,2,FALSE)*VLOOKUP(BC$1,'Attrition Modeling'!$L$15:$N$27,IF(BC$2+$F57&lt;=24,2,3),FALSE)),$C$3)*(1+Projection!BE$16)*(1+IF(BC189&gt;0,'Attrition Modeling'!$N$9,0)))</f>
        <v>0</v>
      </c>
      <c r="BD124" s="799">
        <f>BC124*(1-IFERROR(IF(BD$69+$F124&lt;=12,SUMIFS('Attrition Modeling'!$D:$D,'Attrition Modeling'!$C:$C,'IP Attrition'!$D124,'Attrition Modeling'!$B:$B,'IP Attrition'!BD$68),VLOOKUP($F124+BD$2,$A$6:$C$106,2,FALSE)*VLOOKUP(BD$1,'Attrition Modeling'!$L$15:$N$27,IF(BD$2+$F57&lt;=24,2,3),FALSE)),$C$3)*(1+Projection!BF$16)*(1+IF(BD189&gt;0,'Attrition Modeling'!$N$9,0)))</f>
        <v>0</v>
      </c>
      <c r="BE124" s="799">
        <f>BD124*(1-IFERROR(IF(BE$69+$F124&lt;=12,SUMIFS('Attrition Modeling'!$D:$D,'Attrition Modeling'!$C:$C,'IP Attrition'!$D124,'Attrition Modeling'!$B:$B,'IP Attrition'!BE$68),VLOOKUP($F124+BE$2,$A$6:$C$106,2,FALSE)*VLOOKUP(BE$1,'Attrition Modeling'!$L$15:$N$27,IF(BE$2+$F57&lt;=24,2,3),FALSE)),$C$3)*(1+Projection!BG$16)*(1+IF(BE189&gt;0,'Attrition Modeling'!$N$9,0)))</f>
        <v>0</v>
      </c>
      <c r="BF124" s="799">
        <f>BE124*(1-IFERROR(IF(BF$69+$F124&lt;=12,SUMIFS('Attrition Modeling'!$D:$D,'Attrition Modeling'!$C:$C,'IP Attrition'!$D124,'Attrition Modeling'!$B:$B,'IP Attrition'!BF$68),VLOOKUP($F124+BF$2,$A$6:$C$106,2,FALSE)*VLOOKUP(BF$1,'Attrition Modeling'!$L$15:$N$27,IF(BF$2+$F57&lt;=24,2,3),FALSE)),$C$3)*(1+Projection!BH$16)*(1+IF(BF189&gt;0,'Attrition Modeling'!$N$9,0)))</f>
        <v>0</v>
      </c>
      <c r="BG124" s="799">
        <f>BF124*(1-IFERROR(IF(BG$69+$F124&lt;=12,SUMIFS('Attrition Modeling'!$D:$D,'Attrition Modeling'!$C:$C,'IP Attrition'!$D124,'Attrition Modeling'!$B:$B,'IP Attrition'!BG$68),VLOOKUP($F124+BG$2,$A$6:$C$106,2,FALSE)*VLOOKUP(BG$1,'Attrition Modeling'!$L$15:$N$27,IF(BG$2+$F57&lt;=24,2,3),FALSE)),$C$3)*(1+Projection!BI$16)*(1+IF(BG189&gt;0,'Attrition Modeling'!$N$9,0)))</f>
        <v>0</v>
      </c>
      <c r="BH124" s="799">
        <f>BG124*(1-IFERROR(IF(BH$69+$F124&lt;=12,SUMIFS('Attrition Modeling'!$D:$D,'Attrition Modeling'!$C:$C,'IP Attrition'!$D124,'Attrition Modeling'!$B:$B,'IP Attrition'!BH$68),VLOOKUP($F124+BH$2,$A$6:$C$106,2,FALSE)*VLOOKUP(BH$1,'Attrition Modeling'!$L$15:$N$27,IF(BH$2+$F57&lt;=24,2,3),FALSE)),$C$3)*(1+Projection!BJ$16)*(1+IF(BH189&gt;0,'Attrition Modeling'!$N$9,0)))</f>
        <v>0</v>
      </c>
      <c r="BI124" s="799">
        <f>BH124*(1-IFERROR(IF(BI$69+$F124&lt;=12,SUMIFS('Attrition Modeling'!$D:$D,'Attrition Modeling'!$C:$C,'IP Attrition'!$D124,'Attrition Modeling'!$B:$B,'IP Attrition'!BI$68),VLOOKUP($F124+BI$2,$A$6:$C$106,2,FALSE)*VLOOKUP(BI$1,'Attrition Modeling'!$L$15:$N$27,IF(BI$2+$F57&lt;=24,2,3),FALSE)),$C$3)*(1+Projection!BK$16)*(1+IF(BI189&gt;0,'Attrition Modeling'!$N$9,0)))</f>
        <v>0</v>
      </c>
      <c r="BJ124" s="799">
        <f>BI124*(1-IFERROR(IF(BJ$69+$F124&lt;=12,SUMIFS('Attrition Modeling'!$D:$D,'Attrition Modeling'!$C:$C,'IP Attrition'!$D124,'Attrition Modeling'!$B:$B,'IP Attrition'!BJ$68),VLOOKUP($F124+BJ$2,$A$6:$C$106,2,FALSE)*VLOOKUP(BJ$1,'Attrition Modeling'!$L$15:$N$27,IF(BJ$2+$F57&lt;=24,2,3),FALSE)),$C$3)*(1+Projection!BL$16)*(1+IF(BJ189&gt;0,'Attrition Modeling'!$N$9,0)))</f>
        <v>0</v>
      </c>
      <c r="BK124" s="799">
        <f>BJ124*(1-IFERROR(IF(BK$69+$F124&lt;=12,SUMIFS('Attrition Modeling'!$D:$D,'Attrition Modeling'!$C:$C,'IP Attrition'!$D124,'Attrition Modeling'!$B:$B,'IP Attrition'!BK$68),VLOOKUP($F124+BK$2,$A$6:$C$106,2,FALSE)*VLOOKUP(BK$1,'Attrition Modeling'!$L$15:$N$27,IF(BK$2+$F57&lt;=24,2,3),FALSE)),$C$3)*(1+Projection!BM$16)*(1+IF(BK189&gt;0,'Attrition Modeling'!$N$9,0)))</f>
        <v>0</v>
      </c>
      <c r="BL124" s="799">
        <f>BK124*(1-IFERROR(IF(BL$69+$F124&lt;=12,SUMIFS('Attrition Modeling'!$D:$D,'Attrition Modeling'!$C:$C,'IP Attrition'!$D124,'Attrition Modeling'!$B:$B,'IP Attrition'!BL$68),VLOOKUP($F124+BL$2,$A$6:$C$106,2,FALSE)*VLOOKUP(BL$1,'Attrition Modeling'!$L$15:$N$27,IF(BL$2+$F57&lt;=24,2,3),FALSE)),$C$3)*(1+Projection!BN$16)*(1+IF(BL189&gt;0,'Attrition Modeling'!$N$9,0)))</f>
        <v>0</v>
      </c>
      <c r="BM124" s="799">
        <f>BL124*(1-IFERROR(IF(BM$69+$F124&lt;=12,SUMIFS('Attrition Modeling'!$D:$D,'Attrition Modeling'!$C:$C,'IP Attrition'!$D124,'Attrition Modeling'!$B:$B,'IP Attrition'!BM$68),VLOOKUP($F124+BM$2,$A$6:$C$106,2,FALSE)*VLOOKUP(BM$1,'Attrition Modeling'!$L$15:$N$27,IF(BM$2+$F57&lt;=24,2,3),FALSE)),$C$3)*(1+Projection!BO$16)*(1+IF(BM189&gt;0,'Attrition Modeling'!$N$9,0)))</f>
        <v>0</v>
      </c>
      <c r="BN124" s="799">
        <f>BM124*(1-IFERROR(IF(BN$69+$F124&lt;=12,SUMIFS('Attrition Modeling'!$D:$D,'Attrition Modeling'!$C:$C,'IP Attrition'!$D124,'Attrition Modeling'!$B:$B,'IP Attrition'!BN$68),VLOOKUP($F124+BN$2,$A$6:$C$106,2,FALSE)*VLOOKUP(BN$1,'Attrition Modeling'!$L$15:$N$27,IF(BN$2+$F57&lt;=24,2,3),FALSE)),$C$3)*(1+Projection!BP$16)*(1+IF(BN189&gt;0,'Attrition Modeling'!$N$9,0)))</f>
        <v>0</v>
      </c>
      <c r="BO124" s="799">
        <f>BN124*(1-IFERROR(IF(BO$69+$F124&lt;=12,SUMIFS('Attrition Modeling'!$D:$D,'Attrition Modeling'!$C:$C,'IP Attrition'!$D124,'Attrition Modeling'!$B:$B,'IP Attrition'!BO$68),VLOOKUP($F124+BO$2,$A$6:$C$106,2,FALSE)*VLOOKUP(BO$1,'Attrition Modeling'!$L$15:$N$27,IF(BO$2+$F57&lt;=24,2,3),FALSE)),$C$3)*(1+Projection!BV$16)*(1+IF(BO189&gt;0,'Attrition Modeling'!$N$9,0)))</f>
        <v>0</v>
      </c>
      <c r="BP124" s="799">
        <f>BO124*(1-IFERROR(IF(BP$69+$F124&lt;=12,SUMIFS('Attrition Modeling'!$D:$D,'Attrition Modeling'!$C:$C,'IP Attrition'!$D124,'Attrition Modeling'!$B:$B,'IP Attrition'!BP$68),VLOOKUP($F124+BP$2,$A$6:$C$106,2,FALSE)*VLOOKUP(BP$1,'Attrition Modeling'!$L$15:$N$27,IF(BP$2+$F57&lt;=24,2,3),FALSE)),$C$3)*(1+Projection!BW$16)*(1+IF(BP189&gt;0,'Attrition Modeling'!$N$9,0)))</f>
        <v>0</v>
      </c>
      <c r="BQ124" s="799">
        <f>BP124*(1-IFERROR(IF(BQ$69+$F124&lt;=12,SUMIFS('Attrition Modeling'!$D:$D,'Attrition Modeling'!$C:$C,'IP Attrition'!$D124,'Attrition Modeling'!$B:$B,'IP Attrition'!BQ$68),VLOOKUP($F124+BQ$2,$A$6:$C$106,2,FALSE)*VLOOKUP(BQ$1,'Attrition Modeling'!$L$15:$N$27,IF(BQ$2+$F57&lt;=24,2,3),FALSE)),$C$3)*(1+Projection!BX$16)*(1+IF(BQ189&gt;0,'Attrition Modeling'!$N$9,0)))</f>
        <v>0</v>
      </c>
      <c r="BR124" s="799">
        <f>BQ124*(1-IFERROR(IF(BR$69+$F124&lt;=12,SUMIFS('Attrition Modeling'!$D:$D,'Attrition Modeling'!$C:$C,'IP Attrition'!$D124,'Attrition Modeling'!$B:$B,'IP Attrition'!BR$68),VLOOKUP($F124+BR$2,$A$6:$C$106,2,FALSE)*VLOOKUP(BR$1,'Attrition Modeling'!$L$15:$N$27,IF(BR$2+$F57&lt;=24,2,3),FALSE)),$C$3)*(1+Projection!BY$16)*(1+IF(BR189&gt;0,'Attrition Modeling'!$N$9,0)))</f>
        <v>0</v>
      </c>
      <c r="BS124" s="799">
        <f>BR124*(1-IFERROR(IF(BS$69+$F124&lt;=12,SUMIFS('Attrition Modeling'!$D:$D,'Attrition Modeling'!$C:$C,'IP Attrition'!$D124,'Attrition Modeling'!$B:$B,'IP Attrition'!BS$68),VLOOKUP($F124+BS$2,$A$6:$C$106,2,FALSE)*VLOOKUP(BS$1,'Attrition Modeling'!$L$15:$N$27,IF(BS$2+$F57&lt;=24,2,3),FALSE)),$C$3)*(1+Projection!BZ$16)*(1+IF(BS189&gt;0,'Attrition Modeling'!$N$9,0)))</f>
        <v>0</v>
      </c>
      <c r="BT124" s="799" t="e">
        <f>BS124*(1-IFERROR(IF(BT$69+$F124&lt;=12,SUMIFS('Attrition Modeling'!$D:$D,'Attrition Modeling'!$C:$C,'IP Attrition'!$D124,'Attrition Modeling'!$B:$B,'IP Attrition'!BT$68),VLOOKUP($F124+BT$2,$A$6:$C$106,2,FALSE)*VLOOKUP(BT$1,'Attrition Modeling'!$L$15:$N$27,IF(BT$2+$F57&lt;=24,2,3),FALSE)),$C$3)*(1+Projection!CA$16)*(1+IF(BT189&gt;0,'Attrition Modeling'!$N$9,0)))</f>
        <v>#REF!</v>
      </c>
      <c r="BU124" s="799" t="e">
        <f>BT124*(1-IFERROR(IF(BU$69+$F124&lt;=12,SUMIFS('Attrition Modeling'!$D:$D,'Attrition Modeling'!$C:$C,'IP Attrition'!$D124,'Attrition Modeling'!$B:$B,'IP Attrition'!BU$68),VLOOKUP($F124+BU$2,$A$6:$C$106,2,FALSE)*VLOOKUP(BU$1,'Attrition Modeling'!$L$15:$N$27,IF(BU$2+$F57&lt;=24,2,3),FALSE)),$C$3)*(1+Projection!CB$16)*(1+IF(BU189&gt;0,'Attrition Modeling'!$N$9,0)))</f>
        <v>#REF!</v>
      </c>
    </row>
    <row r="125" spans="1:73" ht="14.25" customHeight="1" x14ac:dyDescent="0.2">
      <c r="A125" s="9">
        <v>118</v>
      </c>
      <c r="B125" s="25">
        <f>MAX('Attrition Modeling'!H122,$C$3)*(1-Summary!$C$20)</f>
        <v>0.02</v>
      </c>
      <c r="C125" s="24" t="e">
        <f t="shared" si="3"/>
        <v>#DIV/0!</v>
      </c>
      <c r="D125" s="11">
        <f t="shared" ref="D125:E125" si="63">D58</f>
        <v>-55</v>
      </c>
      <c r="E125" s="25">
        <f t="shared" si="63"/>
        <v>0</v>
      </c>
      <c r="F125" s="11">
        <f t="shared" si="9"/>
        <v>55</v>
      </c>
      <c r="G125" s="799">
        <f>Summary!$C$24*$E125</f>
        <v>0</v>
      </c>
      <c r="H125" s="799">
        <f>G125*(1-IFERROR(IF(H$69+$F125&lt;=12,SUMIFS('Attrition Modeling'!$D:$D,'Attrition Modeling'!$C:$C,'IP Attrition'!$D125,'Attrition Modeling'!$B:$B,'IP Attrition'!H$68),VLOOKUP($F125+H$2,$A$6:$C$106,2,FALSE)*VLOOKUP(H$1,'Attrition Modeling'!$L$15:$N$27,IF(H$2+$F58&lt;=24,2,3),FALSE)),$C$3)*(1+Projection!J$16)*(1+IF(H190&gt;0,'Attrition Modeling'!$N$9,0)))</f>
        <v>0</v>
      </c>
      <c r="I125" s="799">
        <f>H125*(1-IFERROR(IF(I$69+$F125&lt;=12,SUMIFS('Attrition Modeling'!$D:$D,'Attrition Modeling'!$C:$C,'IP Attrition'!$D125,'Attrition Modeling'!$B:$B,'IP Attrition'!I$68),VLOOKUP($F125+I$2,$A$6:$C$106,2,FALSE)*VLOOKUP(I$1,'Attrition Modeling'!$L$15:$N$27,IF(I$2+$F58&lt;=24,2,3),FALSE)),$C$3)*(1+Projection!K$16)*(1+IF(I190&gt;0,'Attrition Modeling'!$N$9,0)))</f>
        <v>0</v>
      </c>
      <c r="J125" s="799">
        <f>I125*(1-IFERROR(IF(J$69+$F125&lt;=12,SUMIFS('Attrition Modeling'!$D:$D,'Attrition Modeling'!$C:$C,'IP Attrition'!$D125,'Attrition Modeling'!$B:$B,'IP Attrition'!J$68),VLOOKUP($F125+J$2,$A$6:$C$106,2,FALSE)*VLOOKUP(J$1,'Attrition Modeling'!$L$15:$N$27,IF(J$2+$F58&lt;=24,2,3),FALSE)),$C$3)*(1+Projection!L$16)*(1+IF(J190&gt;0,'Attrition Modeling'!$N$9,0)))</f>
        <v>0</v>
      </c>
      <c r="K125" s="799">
        <f>J125*(1-IFERROR(IF(K$69+$F125&lt;=12,SUMIFS('Attrition Modeling'!$D:$D,'Attrition Modeling'!$C:$C,'IP Attrition'!$D125,'Attrition Modeling'!$B:$B,'IP Attrition'!K$68),VLOOKUP($F125+K$2,$A$6:$C$106,2,FALSE)*VLOOKUP(K$1,'Attrition Modeling'!$L$15:$N$27,IF(K$2+$F58&lt;=24,2,3),FALSE)),$C$3)*(1+Projection!M$16)*(1+IF(K190&gt;0,'Attrition Modeling'!$N$9,0)))</f>
        <v>0</v>
      </c>
      <c r="L125" s="799">
        <f>K125*(1-IFERROR(IF(L$69+$F125&lt;=12,SUMIFS('Attrition Modeling'!$D:$D,'Attrition Modeling'!$C:$C,'IP Attrition'!$D125,'Attrition Modeling'!$B:$B,'IP Attrition'!L$68),VLOOKUP($F125+L$2,$A$6:$C$106,2,FALSE)*VLOOKUP(L$1,'Attrition Modeling'!$L$15:$N$27,IF(L$2+$F58&lt;=24,2,3),FALSE)),$C$3)*(1+Projection!N$16)*(1+IF(L190&gt;0,'Attrition Modeling'!$N$9,0)))</f>
        <v>0</v>
      </c>
      <c r="M125" s="799">
        <f>L125*(1-IFERROR(IF(M$69+$F125&lt;=12,SUMIFS('Attrition Modeling'!$D:$D,'Attrition Modeling'!$C:$C,'IP Attrition'!$D125,'Attrition Modeling'!$B:$B,'IP Attrition'!M$68),VLOOKUP($F125+M$2,$A$6:$C$106,2,FALSE)*VLOOKUP(M$1,'Attrition Modeling'!$L$15:$N$27,IF(M$2+$F58&lt;=24,2,3),FALSE)),$C$3)*(1+Projection!O$16)*(1+IF(M190&gt;0,'Attrition Modeling'!$N$9,0)))</f>
        <v>0</v>
      </c>
      <c r="N125" s="799">
        <f>M125*(1-IFERROR(IF(N$69+$F125&lt;=12,SUMIFS('Attrition Modeling'!$D:$D,'Attrition Modeling'!$C:$C,'IP Attrition'!$D125,'Attrition Modeling'!$B:$B,'IP Attrition'!N$68),VLOOKUP($F125+N$2,$A$6:$C$106,2,FALSE)*VLOOKUP(N$1,'Attrition Modeling'!$L$15:$N$27,IF(N$2+$F58&lt;=24,2,3),FALSE)),$C$3)*(1+Projection!P$16)*(1+IF(N190&gt;0,'Attrition Modeling'!$N$9,0)))</f>
        <v>0</v>
      </c>
      <c r="O125" s="799">
        <f>N125*(1-IFERROR(IF(O$69+$F125&lt;=12,SUMIFS('Attrition Modeling'!$D:$D,'Attrition Modeling'!$C:$C,'IP Attrition'!$D125,'Attrition Modeling'!$B:$B,'IP Attrition'!O$68),VLOOKUP($F125+O$2,$A$6:$C$106,2,FALSE)*VLOOKUP(O$1,'Attrition Modeling'!$L$15:$N$27,IF(O$2+$F58&lt;=24,2,3),FALSE)),$C$3)*(1+Projection!Q$16)*(1+IF(O190&gt;0,'Attrition Modeling'!$N$9,0)))</f>
        <v>0</v>
      </c>
      <c r="P125" s="799">
        <f>O125*(1-IFERROR(IF(P$69+$F125&lt;=12,SUMIFS('Attrition Modeling'!$D:$D,'Attrition Modeling'!$C:$C,'IP Attrition'!$D125,'Attrition Modeling'!$B:$B,'IP Attrition'!P$68),VLOOKUP($F125+P$2,$A$6:$C$106,2,FALSE)*VLOOKUP(P$1,'Attrition Modeling'!$L$15:$N$27,IF(P$2+$F58&lt;=24,2,3),FALSE)),$C$3)*(1+Projection!R$16)*(1+IF(P190&gt;0,'Attrition Modeling'!$N$9,0)))</f>
        <v>0</v>
      </c>
      <c r="Q125" s="799">
        <f>P125*(1-IFERROR(IF(Q$69+$F125&lt;=12,SUMIFS('Attrition Modeling'!$D:$D,'Attrition Modeling'!$C:$C,'IP Attrition'!$D125,'Attrition Modeling'!$B:$B,'IP Attrition'!Q$68),VLOOKUP($F125+Q$2,$A$6:$C$106,2,FALSE)*VLOOKUP(Q$1,'Attrition Modeling'!$L$15:$N$27,IF(Q$2+$F58&lt;=24,2,3),FALSE)),$C$3)*(1+Projection!S$16)*(1+IF(Q190&gt;0,'Attrition Modeling'!$N$9,0)))</f>
        <v>0</v>
      </c>
      <c r="R125" s="799">
        <f>Q125*(1-IFERROR(IF(R$69+$F125&lt;=12,SUMIFS('Attrition Modeling'!$D:$D,'Attrition Modeling'!$C:$C,'IP Attrition'!$D125,'Attrition Modeling'!$B:$B,'IP Attrition'!R$68),VLOOKUP($F125+R$2,$A$6:$C$106,2,FALSE)*VLOOKUP(R$1,'Attrition Modeling'!$L$15:$N$27,IF(R$2+$F58&lt;=24,2,3),FALSE)),$C$3)*(1+Projection!T$16)*(1+IF(R190&gt;0,'Attrition Modeling'!$N$9,0)))</f>
        <v>0</v>
      </c>
      <c r="S125" s="799">
        <f>R125*(1-IFERROR(IF(S$69+$F125&lt;=12,SUMIFS('Attrition Modeling'!$D:$D,'Attrition Modeling'!$C:$C,'IP Attrition'!$D125,'Attrition Modeling'!$B:$B,'IP Attrition'!S$68),VLOOKUP($F125+S$2,$A$6:$C$106,2,FALSE)*VLOOKUP(S$1,'Attrition Modeling'!$L$15:$N$27,IF(S$2+$F58&lt;=24,2,3),FALSE)),$C$3)*(1+Projection!U$16)*(1+IF(S190&gt;0,'Attrition Modeling'!$N$9,0)))</f>
        <v>0</v>
      </c>
      <c r="T125" s="799">
        <f>S125*(1-IFERROR(IF(T$69+$F125&lt;=12,SUMIFS('Attrition Modeling'!$D:$D,'Attrition Modeling'!$C:$C,'IP Attrition'!$D125,'Attrition Modeling'!$B:$B,'IP Attrition'!T$68),VLOOKUP($F125+T$2,$A$6:$C$106,2,FALSE)*VLOOKUP(T$1,'Attrition Modeling'!$L$15:$N$27,IF(T$2+$F58&lt;=24,2,3),FALSE)),$C$3)*(1+Projection!V$16)*(1+IF(T190&gt;0,'Attrition Modeling'!$N$9,0)))</f>
        <v>0</v>
      </c>
      <c r="U125" s="799">
        <f>T125*(1-IFERROR(IF(U$69+$F125&lt;=12,SUMIFS('Attrition Modeling'!$D:$D,'Attrition Modeling'!$C:$C,'IP Attrition'!$D125,'Attrition Modeling'!$B:$B,'IP Attrition'!U$68),VLOOKUP($F125+U$2,$A$6:$C$106,2,FALSE)*VLOOKUP(U$1,'Attrition Modeling'!$L$15:$N$27,IF(U$2+$F58&lt;=24,2,3),FALSE)),$C$3)*(1+Projection!W$16)*(1+IF(U190&gt;0,'Attrition Modeling'!$N$9,0)))</f>
        <v>0</v>
      </c>
      <c r="V125" s="799">
        <f>U125*(1-IFERROR(IF(V$69+$F125&lt;=12,SUMIFS('Attrition Modeling'!$D:$D,'Attrition Modeling'!$C:$C,'IP Attrition'!$D125,'Attrition Modeling'!$B:$B,'IP Attrition'!V$68),VLOOKUP($F125+V$2,$A$6:$C$106,2,FALSE)*VLOOKUP(V$1,'Attrition Modeling'!$L$15:$N$27,IF(V$2+$F58&lt;=24,2,3),FALSE)),$C$3)*(1+Projection!X$16)*(1+IF(V190&gt;0,'Attrition Modeling'!$N$9,0)))</f>
        <v>0</v>
      </c>
      <c r="W125" s="799">
        <f>V125*(1-IFERROR(IF(W$69+$F125&lt;=12,SUMIFS('Attrition Modeling'!$D:$D,'Attrition Modeling'!$C:$C,'IP Attrition'!$D125,'Attrition Modeling'!$B:$B,'IP Attrition'!W$68),VLOOKUP($F125+W$2,$A$6:$C$106,2,FALSE)*VLOOKUP(W$1,'Attrition Modeling'!$L$15:$N$27,IF(W$2+$F58&lt;=24,2,3),FALSE)),$C$3)*(1+Projection!Y$16)*(1+IF(W190&gt;0,'Attrition Modeling'!$N$9,0)))</f>
        <v>0</v>
      </c>
      <c r="X125" s="799">
        <f>W125*(1-IFERROR(IF(X$69+$F125&lt;=12,SUMIFS('Attrition Modeling'!$D:$D,'Attrition Modeling'!$C:$C,'IP Attrition'!$D125,'Attrition Modeling'!$B:$B,'IP Attrition'!X$68),VLOOKUP($F125+X$2,$A$6:$C$106,2,FALSE)*VLOOKUP(X$1,'Attrition Modeling'!$L$15:$N$27,IF(X$2+$F58&lt;=24,2,3),FALSE)),$C$3)*(1+Projection!Z$16)*(1+IF(X190&gt;0,'Attrition Modeling'!$N$9,0)))</f>
        <v>0</v>
      </c>
      <c r="Y125" s="799">
        <f>X125*(1-IFERROR(IF(Y$69+$F125&lt;=12,SUMIFS('Attrition Modeling'!$D:$D,'Attrition Modeling'!$C:$C,'IP Attrition'!$D125,'Attrition Modeling'!$B:$B,'IP Attrition'!Y$68),VLOOKUP($F125+Y$2,$A$6:$C$106,2,FALSE)*VLOOKUP(Y$1,'Attrition Modeling'!$L$15:$N$27,IF(Y$2+$F58&lt;=24,2,3),FALSE)),$C$3)*(1+Projection!AA$16)*(1+IF(Y190&gt;0,'Attrition Modeling'!$N$9,0)))</f>
        <v>0</v>
      </c>
      <c r="Z125" s="799">
        <f>Y125*(1-IFERROR(IF(Z$69+$F125&lt;=12,SUMIFS('Attrition Modeling'!$D:$D,'Attrition Modeling'!$C:$C,'IP Attrition'!$D125,'Attrition Modeling'!$B:$B,'IP Attrition'!Z$68),VLOOKUP($F125+Z$2,$A$6:$C$106,2,FALSE)*VLOOKUP(Z$1,'Attrition Modeling'!$L$15:$N$27,IF(Z$2+$F58&lt;=24,2,3),FALSE)),$C$3)*(1+Projection!AB$16)*(1+IF(Z190&gt;0,'Attrition Modeling'!$N$9,0)))</f>
        <v>0</v>
      </c>
      <c r="AA125" s="799">
        <f>Z125*(1-IFERROR(IF(AA$69+$F125&lt;=12,SUMIFS('Attrition Modeling'!$D:$D,'Attrition Modeling'!$C:$C,'IP Attrition'!$D125,'Attrition Modeling'!$B:$B,'IP Attrition'!AA$68),VLOOKUP($F125+AA$2,$A$6:$C$106,2,FALSE)*VLOOKUP(AA$1,'Attrition Modeling'!$L$15:$N$27,IF(AA$2+$F58&lt;=24,2,3),FALSE)),$C$3)*(1+Projection!AC$16)*(1+IF(AA190&gt;0,'Attrition Modeling'!$N$9,0)))</f>
        <v>0</v>
      </c>
      <c r="AB125" s="799">
        <f>AA125*(1-IFERROR(IF(AB$69+$F125&lt;=12,SUMIFS('Attrition Modeling'!$D:$D,'Attrition Modeling'!$C:$C,'IP Attrition'!$D125,'Attrition Modeling'!$B:$B,'IP Attrition'!AB$68),VLOOKUP($F125+AB$2,$A$6:$C$106,2,FALSE)*VLOOKUP(AB$1,'Attrition Modeling'!$L$15:$N$27,IF(AB$2+$F58&lt;=24,2,3),FALSE)),$C$3)*(1+Projection!AD$16)*(1+IF(AB190&gt;0,'Attrition Modeling'!$N$9,0)))</f>
        <v>0</v>
      </c>
      <c r="AC125" s="799">
        <f>AB125*(1-IFERROR(IF(AC$69+$F125&lt;=12,SUMIFS('Attrition Modeling'!$D:$D,'Attrition Modeling'!$C:$C,'IP Attrition'!$D125,'Attrition Modeling'!$B:$B,'IP Attrition'!AC$68),VLOOKUP($F125+AC$2,$A$6:$C$106,2,FALSE)*VLOOKUP(AC$1,'Attrition Modeling'!$L$15:$N$27,IF(AC$2+$F58&lt;=24,2,3),FALSE)),$C$3)*(1+Projection!AE$16)*(1+IF(AC190&gt;0,'Attrition Modeling'!$N$9,0)))</f>
        <v>0</v>
      </c>
      <c r="AD125" s="799">
        <f>AC125*(1-IFERROR(IF(AD$69+$F125&lt;=12,SUMIFS('Attrition Modeling'!$D:$D,'Attrition Modeling'!$C:$C,'IP Attrition'!$D125,'Attrition Modeling'!$B:$B,'IP Attrition'!AD$68),VLOOKUP($F125+AD$2,$A$6:$C$106,2,FALSE)*VLOOKUP(AD$1,'Attrition Modeling'!$L$15:$N$27,IF(AD$2+$F58&lt;=24,2,3),FALSE)),$C$3)*(1+Projection!AF$16)*(1+IF(AD190&gt;0,'Attrition Modeling'!$N$9,0)))</f>
        <v>0</v>
      </c>
      <c r="AE125" s="799">
        <f>AD125*(1-IFERROR(IF(AE$69+$F125&lt;=12,SUMIFS('Attrition Modeling'!$D:$D,'Attrition Modeling'!$C:$C,'IP Attrition'!$D125,'Attrition Modeling'!$B:$B,'IP Attrition'!AE$68),VLOOKUP($F125+AE$2,$A$6:$C$106,2,FALSE)*VLOOKUP(AE$1,'Attrition Modeling'!$L$15:$N$27,IF(AE$2+$F58&lt;=24,2,3),FALSE)),$C$3)*(1+Projection!AG$16)*(1+IF(AE190&gt;0,'Attrition Modeling'!$N$9,0)))</f>
        <v>0</v>
      </c>
      <c r="AF125" s="799">
        <f>AE125*(1-IFERROR(IF(AF$69+$F125&lt;=12,SUMIFS('Attrition Modeling'!$D:$D,'Attrition Modeling'!$C:$C,'IP Attrition'!$D125,'Attrition Modeling'!$B:$B,'IP Attrition'!AF$68),VLOOKUP($F125+AF$2,$A$6:$C$106,2,FALSE)*VLOOKUP(AF$1,'Attrition Modeling'!$L$15:$N$27,IF(AF$2+$F58&lt;=24,2,3),FALSE)),$C$3)*(1+Projection!AH$16)*(1+IF(AF190&gt;0,'Attrition Modeling'!$N$9,0)))</f>
        <v>0</v>
      </c>
      <c r="AG125" s="799">
        <f>AF125*(1-IFERROR(IF(AG$69+$F125&lt;=12,SUMIFS('Attrition Modeling'!$D:$D,'Attrition Modeling'!$C:$C,'IP Attrition'!$D125,'Attrition Modeling'!$B:$B,'IP Attrition'!AG$68),VLOOKUP($F125+AG$2,$A$6:$C$106,2,FALSE)*VLOOKUP(AG$1,'Attrition Modeling'!$L$15:$N$27,IF(AG$2+$F58&lt;=24,2,3),FALSE)),$C$3)*(1+Projection!AI$16)*(1+IF(AG190&gt;0,'Attrition Modeling'!$N$9,0)))</f>
        <v>0</v>
      </c>
      <c r="AH125" s="799">
        <f>AG125*(1-IFERROR(IF(AH$69+$F125&lt;=12,SUMIFS('Attrition Modeling'!$D:$D,'Attrition Modeling'!$C:$C,'IP Attrition'!$D125,'Attrition Modeling'!$B:$B,'IP Attrition'!AH$68),VLOOKUP($F125+AH$2,$A$6:$C$106,2,FALSE)*VLOOKUP(AH$1,'Attrition Modeling'!$L$15:$N$27,IF(AH$2+$F58&lt;=24,2,3),FALSE)),$C$3)*(1+Projection!AJ$16)*(1+IF(AH190&gt;0,'Attrition Modeling'!$N$9,0)))</f>
        <v>0</v>
      </c>
      <c r="AI125" s="799">
        <f>AH125*(1-IFERROR(IF(AI$69+$F125&lt;=12,SUMIFS('Attrition Modeling'!$D:$D,'Attrition Modeling'!$C:$C,'IP Attrition'!$D125,'Attrition Modeling'!$B:$B,'IP Attrition'!AI$68),VLOOKUP($F125+AI$2,$A$6:$C$106,2,FALSE)*VLOOKUP(AI$1,'Attrition Modeling'!$L$15:$N$27,IF(AI$2+$F58&lt;=24,2,3),FALSE)),$C$3)*(1+Projection!AK$16)*(1+IF(AI190&gt;0,'Attrition Modeling'!$N$9,0)))</f>
        <v>0</v>
      </c>
      <c r="AJ125" s="799">
        <f>AI125*(1-IFERROR(IF(AJ$69+$F125&lt;=12,SUMIFS('Attrition Modeling'!$D:$D,'Attrition Modeling'!$C:$C,'IP Attrition'!$D125,'Attrition Modeling'!$B:$B,'IP Attrition'!AJ$68),VLOOKUP($F125+AJ$2,$A$6:$C$106,2,FALSE)*VLOOKUP(AJ$1,'Attrition Modeling'!$L$15:$N$27,IF(AJ$2+$F58&lt;=24,2,3),FALSE)),$C$3)*(1+Projection!AL$16)*(1+IF(AJ190&gt;0,'Attrition Modeling'!$N$9,0)))</f>
        <v>0</v>
      </c>
      <c r="AK125" s="799">
        <f>AJ125*(1-IFERROR(IF(AK$69+$F125&lt;=12,SUMIFS('Attrition Modeling'!$D:$D,'Attrition Modeling'!$C:$C,'IP Attrition'!$D125,'Attrition Modeling'!$B:$B,'IP Attrition'!AK$68),VLOOKUP($F125+AK$2,$A$6:$C$106,2,FALSE)*VLOOKUP(AK$1,'Attrition Modeling'!$L$15:$N$27,IF(AK$2+$F58&lt;=24,2,3),FALSE)),$C$3)*(1+Projection!AM$16)*(1+IF(AK190&gt;0,'Attrition Modeling'!$N$9,0)))</f>
        <v>0</v>
      </c>
      <c r="AL125" s="799">
        <f>AK125*(1-IFERROR(IF(AL$69+$F125&lt;=12,SUMIFS('Attrition Modeling'!$D:$D,'Attrition Modeling'!$C:$C,'IP Attrition'!$D125,'Attrition Modeling'!$B:$B,'IP Attrition'!AL$68),VLOOKUP($F125+AL$2,$A$6:$C$106,2,FALSE)*VLOOKUP(AL$1,'Attrition Modeling'!$L$15:$N$27,IF(AL$2+$F58&lt;=24,2,3),FALSE)),$C$3)*(1+Projection!AN$16)*(1+IF(AL190&gt;0,'Attrition Modeling'!$N$9,0)))</f>
        <v>0</v>
      </c>
      <c r="AM125" s="799">
        <f>AL125*(1-IFERROR(IF(AM$69+$F125&lt;=12,SUMIFS('Attrition Modeling'!$D:$D,'Attrition Modeling'!$C:$C,'IP Attrition'!$D125,'Attrition Modeling'!$B:$B,'IP Attrition'!AM$68),VLOOKUP($F125+AM$2,$A$6:$C$106,2,FALSE)*VLOOKUP(AM$1,'Attrition Modeling'!$L$15:$N$27,IF(AM$2+$F58&lt;=24,2,3),FALSE)),$C$3)*(1+Projection!AO$16)*(1+IF(AM190&gt;0,'Attrition Modeling'!$N$9,0)))</f>
        <v>0</v>
      </c>
      <c r="AN125" s="799">
        <f>AM125*(1-IFERROR(IF(AN$69+$F125&lt;=12,SUMIFS('Attrition Modeling'!$D:$D,'Attrition Modeling'!$C:$C,'IP Attrition'!$D125,'Attrition Modeling'!$B:$B,'IP Attrition'!AN$68),VLOOKUP($F125+AN$2,$A$6:$C$106,2,FALSE)*VLOOKUP(AN$1,'Attrition Modeling'!$L$15:$N$27,IF(AN$2+$F58&lt;=24,2,3),FALSE)),$C$3)*(1+Projection!AP$16)*(1+IF(AN190&gt;0,'Attrition Modeling'!$N$9,0)))</f>
        <v>0</v>
      </c>
      <c r="AO125" s="799">
        <f>AN125*(1-IFERROR(IF(AO$69+$F125&lt;=12,SUMIFS('Attrition Modeling'!$D:$D,'Attrition Modeling'!$C:$C,'IP Attrition'!$D125,'Attrition Modeling'!$B:$B,'IP Attrition'!AO$68),VLOOKUP($F125+AO$2,$A$6:$C$106,2,FALSE)*VLOOKUP(AO$1,'Attrition Modeling'!$L$15:$N$27,IF(AO$2+$F58&lt;=24,2,3),FALSE)),$C$3)*(1+Projection!AQ$16)*(1+IF(AO190&gt;0,'Attrition Modeling'!$N$9,0)))</f>
        <v>0</v>
      </c>
      <c r="AP125" s="799">
        <f>AO125*(1-IFERROR(IF(AP$69+$F125&lt;=12,SUMIFS('Attrition Modeling'!$D:$D,'Attrition Modeling'!$C:$C,'IP Attrition'!$D125,'Attrition Modeling'!$B:$B,'IP Attrition'!AP$68),VLOOKUP($F125+AP$2,$A$6:$C$106,2,FALSE)*VLOOKUP(AP$1,'Attrition Modeling'!$L$15:$N$27,IF(AP$2+$F58&lt;=24,2,3),FALSE)),$C$3)*(1+Projection!AR$16)*(1+IF(AP190&gt;0,'Attrition Modeling'!$N$9,0)))</f>
        <v>0</v>
      </c>
      <c r="AQ125" s="799">
        <f>AP125*(1-IFERROR(IF(AQ$69+$F125&lt;=12,SUMIFS('Attrition Modeling'!$D:$D,'Attrition Modeling'!$C:$C,'IP Attrition'!$D125,'Attrition Modeling'!$B:$B,'IP Attrition'!AQ$68),VLOOKUP($F125+AQ$2,$A$6:$C$106,2,FALSE)*VLOOKUP(AQ$1,'Attrition Modeling'!$L$15:$N$27,IF(AQ$2+$F58&lt;=24,2,3),FALSE)),$C$3)*(1+Projection!AS$16)*(1+IF(AQ190&gt;0,'Attrition Modeling'!$N$9,0)))</f>
        <v>0</v>
      </c>
      <c r="AR125" s="799">
        <f>AQ125*(1-IFERROR(IF(AR$69+$F125&lt;=12,SUMIFS('Attrition Modeling'!$D:$D,'Attrition Modeling'!$C:$C,'IP Attrition'!$D125,'Attrition Modeling'!$B:$B,'IP Attrition'!AR$68),VLOOKUP($F125+AR$2,$A$6:$C$106,2,FALSE)*VLOOKUP(AR$1,'Attrition Modeling'!$L$15:$N$27,IF(AR$2+$F58&lt;=24,2,3),FALSE)),$C$3)*(1+Projection!AT$16)*(1+IF(AR190&gt;0,'Attrition Modeling'!$N$9,0)))</f>
        <v>0</v>
      </c>
      <c r="AS125" s="799">
        <f>AR125*(1-IFERROR(IF(AS$69+$F125&lt;=12,SUMIFS('Attrition Modeling'!$D:$D,'Attrition Modeling'!$C:$C,'IP Attrition'!$D125,'Attrition Modeling'!$B:$B,'IP Attrition'!AS$68),VLOOKUP($F125+AS$2,$A$6:$C$106,2,FALSE)*VLOOKUP(AS$1,'Attrition Modeling'!$L$15:$N$27,IF(AS$2+$F58&lt;=24,2,3),FALSE)),$C$3)*(1+Projection!AU$16)*(1+IF(AS190&gt;0,'Attrition Modeling'!$N$9,0)))</f>
        <v>0</v>
      </c>
      <c r="AT125" s="799">
        <f>AS125*(1-IFERROR(IF(AT$69+$F125&lt;=12,SUMIFS('Attrition Modeling'!$D:$D,'Attrition Modeling'!$C:$C,'IP Attrition'!$D125,'Attrition Modeling'!$B:$B,'IP Attrition'!AT$68),VLOOKUP($F125+AT$2,$A$6:$C$106,2,FALSE)*VLOOKUP(AT$1,'Attrition Modeling'!$L$15:$N$27,IF(AT$2+$F58&lt;=24,2,3),FALSE)),$C$3)*(1+Projection!AV$16)*(1+IF(AT190&gt;0,'Attrition Modeling'!$N$9,0)))</f>
        <v>0</v>
      </c>
      <c r="AU125" s="799">
        <f>AT125*(1-IFERROR(IF(AU$69+$F125&lt;=12,SUMIFS('Attrition Modeling'!$D:$D,'Attrition Modeling'!$C:$C,'IP Attrition'!$D125,'Attrition Modeling'!$B:$B,'IP Attrition'!AU$68),VLOOKUP($F125+AU$2,$A$6:$C$106,2,FALSE)*VLOOKUP(AU$1,'Attrition Modeling'!$L$15:$N$27,IF(AU$2+$F58&lt;=24,2,3),FALSE)),$C$3)*(1+Projection!AW$16)*(1+IF(AU190&gt;0,'Attrition Modeling'!$N$9,0)))</f>
        <v>0</v>
      </c>
      <c r="AV125" s="799">
        <f>AU125*(1-IFERROR(IF(AV$69+$F125&lt;=12,SUMIFS('Attrition Modeling'!$D:$D,'Attrition Modeling'!$C:$C,'IP Attrition'!$D125,'Attrition Modeling'!$B:$B,'IP Attrition'!AV$68),VLOOKUP($F125+AV$2,$A$6:$C$106,2,FALSE)*VLOOKUP(AV$1,'Attrition Modeling'!$L$15:$N$27,IF(AV$2+$F58&lt;=24,2,3),FALSE)),$C$3)*(1+Projection!AX$16)*(1+IF(AV190&gt;0,'Attrition Modeling'!$N$9,0)))</f>
        <v>0</v>
      </c>
      <c r="AW125" s="799">
        <f>AV125*(1-IFERROR(IF(AW$69+$F125&lt;=12,SUMIFS('Attrition Modeling'!$D:$D,'Attrition Modeling'!$C:$C,'IP Attrition'!$D125,'Attrition Modeling'!$B:$B,'IP Attrition'!AW$68),VLOOKUP($F125+AW$2,$A$6:$C$106,2,FALSE)*VLOOKUP(AW$1,'Attrition Modeling'!$L$15:$N$27,IF(AW$2+$F58&lt;=24,2,3),FALSE)),$C$3)*(1+Projection!AY$16)*(1+IF(AW190&gt;0,'Attrition Modeling'!$N$9,0)))</f>
        <v>0</v>
      </c>
      <c r="AX125" s="799">
        <f>AW125*(1-IFERROR(IF(AX$69+$F125&lt;=12,SUMIFS('Attrition Modeling'!$D:$D,'Attrition Modeling'!$C:$C,'IP Attrition'!$D125,'Attrition Modeling'!$B:$B,'IP Attrition'!AX$68),VLOOKUP($F125+AX$2,$A$6:$C$106,2,FALSE)*VLOOKUP(AX$1,'Attrition Modeling'!$L$15:$N$27,IF(AX$2+$F58&lt;=24,2,3),FALSE)),$C$3)*(1+Projection!AZ$16)*(1+IF(AX190&gt;0,'Attrition Modeling'!$N$9,0)))</f>
        <v>0</v>
      </c>
      <c r="AY125" s="799">
        <f>AX125*(1-IFERROR(IF(AY$69+$F125&lt;=12,SUMIFS('Attrition Modeling'!$D:$D,'Attrition Modeling'!$C:$C,'IP Attrition'!$D125,'Attrition Modeling'!$B:$B,'IP Attrition'!AY$68),VLOOKUP($F125+AY$2,$A$6:$C$106,2,FALSE)*VLOOKUP(AY$1,'Attrition Modeling'!$L$15:$N$27,IF(AY$2+$F58&lt;=24,2,3),FALSE)),$C$3)*(1+Projection!BA$16)*(1+IF(AY190&gt;0,'Attrition Modeling'!$N$9,0)))</f>
        <v>0</v>
      </c>
      <c r="AZ125" s="799">
        <f>AY125*(1-IFERROR(IF(AZ$69+$F125&lt;=12,SUMIFS('Attrition Modeling'!$D:$D,'Attrition Modeling'!$C:$C,'IP Attrition'!$D125,'Attrition Modeling'!$B:$B,'IP Attrition'!AZ$68),VLOOKUP($F125+AZ$2,$A$6:$C$106,2,FALSE)*VLOOKUP(AZ$1,'Attrition Modeling'!$L$15:$N$27,IF(AZ$2+$F58&lt;=24,2,3),FALSE)),$C$3)*(1+Projection!BB$16)*(1+IF(AZ190&gt;0,'Attrition Modeling'!$N$9,0)))</f>
        <v>0</v>
      </c>
      <c r="BA125" s="799">
        <f>AZ125*(1-IFERROR(IF(BA$69+$F125&lt;=12,SUMIFS('Attrition Modeling'!$D:$D,'Attrition Modeling'!$C:$C,'IP Attrition'!$D125,'Attrition Modeling'!$B:$B,'IP Attrition'!BA$68),VLOOKUP($F125+BA$2,$A$6:$C$106,2,FALSE)*VLOOKUP(BA$1,'Attrition Modeling'!$L$15:$N$27,IF(BA$2+$F58&lt;=24,2,3),FALSE)),$C$3)*(1+Projection!BC$16)*(1+IF(BA190&gt;0,'Attrition Modeling'!$N$9,0)))</f>
        <v>0</v>
      </c>
      <c r="BB125" s="799">
        <f>BA125*(1-IFERROR(IF(BB$69+$F125&lt;=12,SUMIFS('Attrition Modeling'!$D:$D,'Attrition Modeling'!$C:$C,'IP Attrition'!$D125,'Attrition Modeling'!$B:$B,'IP Attrition'!BB$68),VLOOKUP($F125+BB$2,$A$6:$C$106,2,FALSE)*VLOOKUP(BB$1,'Attrition Modeling'!$L$15:$N$27,IF(BB$2+$F58&lt;=24,2,3),FALSE)),$C$3)*(1+Projection!BD$16)*(1+IF(BB190&gt;0,'Attrition Modeling'!$N$9,0)))</f>
        <v>0</v>
      </c>
      <c r="BC125" s="799">
        <f>BB125*(1-IFERROR(IF(BC$69+$F125&lt;=12,SUMIFS('Attrition Modeling'!$D:$D,'Attrition Modeling'!$C:$C,'IP Attrition'!$D125,'Attrition Modeling'!$B:$B,'IP Attrition'!BC$68),VLOOKUP($F125+BC$2,$A$6:$C$106,2,FALSE)*VLOOKUP(BC$1,'Attrition Modeling'!$L$15:$N$27,IF(BC$2+$F58&lt;=24,2,3),FALSE)),$C$3)*(1+Projection!BE$16)*(1+IF(BC190&gt;0,'Attrition Modeling'!$N$9,0)))</f>
        <v>0</v>
      </c>
      <c r="BD125" s="799">
        <f>BC125*(1-IFERROR(IF(BD$69+$F125&lt;=12,SUMIFS('Attrition Modeling'!$D:$D,'Attrition Modeling'!$C:$C,'IP Attrition'!$D125,'Attrition Modeling'!$B:$B,'IP Attrition'!BD$68),VLOOKUP($F125+BD$2,$A$6:$C$106,2,FALSE)*VLOOKUP(BD$1,'Attrition Modeling'!$L$15:$N$27,IF(BD$2+$F58&lt;=24,2,3),FALSE)),$C$3)*(1+Projection!BF$16)*(1+IF(BD190&gt;0,'Attrition Modeling'!$N$9,0)))</f>
        <v>0</v>
      </c>
      <c r="BE125" s="799">
        <f>BD125*(1-IFERROR(IF(BE$69+$F125&lt;=12,SUMIFS('Attrition Modeling'!$D:$D,'Attrition Modeling'!$C:$C,'IP Attrition'!$D125,'Attrition Modeling'!$B:$B,'IP Attrition'!BE$68),VLOOKUP($F125+BE$2,$A$6:$C$106,2,FALSE)*VLOOKUP(BE$1,'Attrition Modeling'!$L$15:$N$27,IF(BE$2+$F58&lt;=24,2,3),FALSE)),$C$3)*(1+Projection!BG$16)*(1+IF(BE190&gt;0,'Attrition Modeling'!$N$9,0)))</f>
        <v>0</v>
      </c>
      <c r="BF125" s="799">
        <f>BE125*(1-IFERROR(IF(BF$69+$F125&lt;=12,SUMIFS('Attrition Modeling'!$D:$D,'Attrition Modeling'!$C:$C,'IP Attrition'!$D125,'Attrition Modeling'!$B:$B,'IP Attrition'!BF$68),VLOOKUP($F125+BF$2,$A$6:$C$106,2,FALSE)*VLOOKUP(BF$1,'Attrition Modeling'!$L$15:$N$27,IF(BF$2+$F58&lt;=24,2,3),FALSE)),$C$3)*(1+Projection!BH$16)*(1+IF(BF190&gt;0,'Attrition Modeling'!$N$9,0)))</f>
        <v>0</v>
      </c>
      <c r="BG125" s="799">
        <f>BF125*(1-IFERROR(IF(BG$69+$F125&lt;=12,SUMIFS('Attrition Modeling'!$D:$D,'Attrition Modeling'!$C:$C,'IP Attrition'!$D125,'Attrition Modeling'!$B:$B,'IP Attrition'!BG$68),VLOOKUP($F125+BG$2,$A$6:$C$106,2,FALSE)*VLOOKUP(BG$1,'Attrition Modeling'!$L$15:$N$27,IF(BG$2+$F58&lt;=24,2,3),FALSE)),$C$3)*(1+Projection!BI$16)*(1+IF(BG190&gt;0,'Attrition Modeling'!$N$9,0)))</f>
        <v>0</v>
      </c>
      <c r="BH125" s="799">
        <f>BG125*(1-IFERROR(IF(BH$69+$F125&lt;=12,SUMIFS('Attrition Modeling'!$D:$D,'Attrition Modeling'!$C:$C,'IP Attrition'!$D125,'Attrition Modeling'!$B:$B,'IP Attrition'!BH$68),VLOOKUP($F125+BH$2,$A$6:$C$106,2,FALSE)*VLOOKUP(BH$1,'Attrition Modeling'!$L$15:$N$27,IF(BH$2+$F58&lt;=24,2,3),FALSE)),$C$3)*(1+Projection!BJ$16)*(1+IF(BH190&gt;0,'Attrition Modeling'!$N$9,0)))</f>
        <v>0</v>
      </c>
      <c r="BI125" s="799">
        <f>BH125*(1-IFERROR(IF(BI$69+$F125&lt;=12,SUMIFS('Attrition Modeling'!$D:$D,'Attrition Modeling'!$C:$C,'IP Attrition'!$D125,'Attrition Modeling'!$B:$B,'IP Attrition'!BI$68),VLOOKUP($F125+BI$2,$A$6:$C$106,2,FALSE)*VLOOKUP(BI$1,'Attrition Modeling'!$L$15:$N$27,IF(BI$2+$F58&lt;=24,2,3),FALSE)),$C$3)*(1+Projection!BK$16)*(1+IF(BI190&gt;0,'Attrition Modeling'!$N$9,0)))</f>
        <v>0</v>
      </c>
      <c r="BJ125" s="799">
        <f>BI125*(1-IFERROR(IF(BJ$69+$F125&lt;=12,SUMIFS('Attrition Modeling'!$D:$D,'Attrition Modeling'!$C:$C,'IP Attrition'!$D125,'Attrition Modeling'!$B:$B,'IP Attrition'!BJ$68),VLOOKUP($F125+BJ$2,$A$6:$C$106,2,FALSE)*VLOOKUP(BJ$1,'Attrition Modeling'!$L$15:$N$27,IF(BJ$2+$F58&lt;=24,2,3),FALSE)),$C$3)*(1+Projection!BL$16)*(1+IF(BJ190&gt;0,'Attrition Modeling'!$N$9,0)))</f>
        <v>0</v>
      </c>
      <c r="BK125" s="799">
        <f>BJ125*(1-IFERROR(IF(BK$69+$F125&lt;=12,SUMIFS('Attrition Modeling'!$D:$D,'Attrition Modeling'!$C:$C,'IP Attrition'!$D125,'Attrition Modeling'!$B:$B,'IP Attrition'!BK$68),VLOOKUP($F125+BK$2,$A$6:$C$106,2,FALSE)*VLOOKUP(BK$1,'Attrition Modeling'!$L$15:$N$27,IF(BK$2+$F58&lt;=24,2,3),FALSE)),$C$3)*(1+Projection!BM$16)*(1+IF(BK190&gt;0,'Attrition Modeling'!$N$9,0)))</f>
        <v>0</v>
      </c>
      <c r="BL125" s="799">
        <f>BK125*(1-IFERROR(IF(BL$69+$F125&lt;=12,SUMIFS('Attrition Modeling'!$D:$D,'Attrition Modeling'!$C:$C,'IP Attrition'!$D125,'Attrition Modeling'!$B:$B,'IP Attrition'!BL$68),VLOOKUP($F125+BL$2,$A$6:$C$106,2,FALSE)*VLOOKUP(BL$1,'Attrition Modeling'!$L$15:$N$27,IF(BL$2+$F58&lt;=24,2,3),FALSE)),$C$3)*(1+Projection!BN$16)*(1+IF(BL190&gt;0,'Attrition Modeling'!$N$9,0)))</f>
        <v>0</v>
      </c>
      <c r="BM125" s="799">
        <f>BL125*(1-IFERROR(IF(BM$69+$F125&lt;=12,SUMIFS('Attrition Modeling'!$D:$D,'Attrition Modeling'!$C:$C,'IP Attrition'!$D125,'Attrition Modeling'!$B:$B,'IP Attrition'!BM$68),VLOOKUP($F125+BM$2,$A$6:$C$106,2,FALSE)*VLOOKUP(BM$1,'Attrition Modeling'!$L$15:$N$27,IF(BM$2+$F58&lt;=24,2,3),FALSE)),$C$3)*(1+Projection!BO$16)*(1+IF(BM190&gt;0,'Attrition Modeling'!$N$9,0)))</f>
        <v>0</v>
      </c>
      <c r="BN125" s="799">
        <f>BM125*(1-IFERROR(IF(BN$69+$F125&lt;=12,SUMIFS('Attrition Modeling'!$D:$D,'Attrition Modeling'!$C:$C,'IP Attrition'!$D125,'Attrition Modeling'!$B:$B,'IP Attrition'!BN$68),VLOOKUP($F125+BN$2,$A$6:$C$106,2,FALSE)*VLOOKUP(BN$1,'Attrition Modeling'!$L$15:$N$27,IF(BN$2+$F58&lt;=24,2,3),FALSE)),$C$3)*(1+Projection!BP$16)*(1+IF(BN190&gt;0,'Attrition Modeling'!$N$9,0)))</f>
        <v>0</v>
      </c>
      <c r="BO125" s="799">
        <f>BN125*(1-IFERROR(IF(BO$69+$F125&lt;=12,SUMIFS('Attrition Modeling'!$D:$D,'Attrition Modeling'!$C:$C,'IP Attrition'!$D125,'Attrition Modeling'!$B:$B,'IP Attrition'!BO$68),VLOOKUP($F125+BO$2,$A$6:$C$106,2,FALSE)*VLOOKUP(BO$1,'Attrition Modeling'!$L$15:$N$27,IF(BO$2+$F58&lt;=24,2,3),FALSE)),$C$3)*(1+Projection!BV$16)*(1+IF(BO190&gt;0,'Attrition Modeling'!$N$9,0)))</f>
        <v>0</v>
      </c>
      <c r="BP125" s="799">
        <f>BO125*(1-IFERROR(IF(BP$69+$F125&lt;=12,SUMIFS('Attrition Modeling'!$D:$D,'Attrition Modeling'!$C:$C,'IP Attrition'!$D125,'Attrition Modeling'!$B:$B,'IP Attrition'!BP$68),VLOOKUP($F125+BP$2,$A$6:$C$106,2,FALSE)*VLOOKUP(BP$1,'Attrition Modeling'!$L$15:$N$27,IF(BP$2+$F58&lt;=24,2,3),FALSE)),$C$3)*(1+Projection!BW$16)*(1+IF(BP190&gt;0,'Attrition Modeling'!$N$9,0)))</f>
        <v>0</v>
      </c>
      <c r="BQ125" s="799">
        <f>BP125*(1-IFERROR(IF(BQ$69+$F125&lt;=12,SUMIFS('Attrition Modeling'!$D:$D,'Attrition Modeling'!$C:$C,'IP Attrition'!$D125,'Attrition Modeling'!$B:$B,'IP Attrition'!BQ$68),VLOOKUP($F125+BQ$2,$A$6:$C$106,2,FALSE)*VLOOKUP(BQ$1,'Attrition Modeling'!$L$15:$N$27,IF(BQ$2+$F58&lt;=24,2,3),FALSE)),$C$3)*(1+Projection!BX$16)*(1+IF(BQ190&gt;0,'Attrition Modeling'!$N$9,0)))</f>
        <v>0</v>
      </c>
      <c r="BR125" s="799">
        <f>BQ125*(1-IFERROR(IF(BR$69+$F125&lt;=12,SUMIFS('Attrition Modeling'!$D:$D,'Attrition Modeling'!$C:$C,'IP Attrition'!$D125,'Attrition Modeling'!$B:$B,'IP Attrition'!BR$68),VLOOKUP($F125+BR$2,$A$6:$C$106,2,FALSE)*VLOOKUP(BR$1,'Attrition Modeling'!$L$15:$N$27,IF(BR$2+$F58&lt;=24,2,3),FALSE)),$C$3)*(1+Projection!BY$16)*(1+IF(BR190&gt;0,'Attrition Modeling'!$N$9,0)))</f>
        <v>0</v>
      </c>
      <c r="BS125" s="799">
        <f>BR125*(1-IFERROR(IF(BS$69+$F125&lt;=12,SUMIFS('Attrition Modeling'!$D:$D,'Attrition Modeling'!$C:$C,'IP Attrition'!$D125,'Attrition Modeling'!$B:$B,'IP Attrition'!BS$68),VLOOKUP($F125+BS$2,$A$6:$C$106,2,FALSE)*VLOOKUP(BS$1,'Attrition Modeling'!$L$15:$N$27,IF(BS$2+$F58&lt;=24,2,3),FALSE)),$C$3)*(1+Projection!BZ$16)*(1+IF(BS190&gt;0,'Attrition Modeling'!$N$9,0)))</f>
        <v>0</v>
      </c>
      <c r="BT125" s="799" t="e">
        <f>BS125*(1-IFERROR(IF(BT$69+$F125&lt;=12,SUMIFS('Attrition Modeling'!$D:$D,'Attrition Modeling'!$C:$C,'IP Attrition'!$D125,'Attrition Modeling'!$B:$B,'IP Attrition'!BT$68),VLOOKUP($F125+BT$2,$A$6:$C$106,2,FALSE)*VLOOKUP(BT$1,'Attrition Modeling'!$L$15:$N$27,IF(BT$2+$F58&lt;=24,2,3),FALSE)),$C$3)*(1+Projection!CA$16)*(1+IF(BT190&gt;0,'Attrition Modeling'!$N$9,0)))</f>
        <v>#REF!</v>
      </c>
      <c r="BU125" s="799" t="e">
        <f>BT125*(1-IFERROR(IF(BU$69+$F125&lt;=12,SUMIFS('Attrition Modeling'!$D:$D,'Attrition Modeling'!$C:$C,'IP Attrition'!$D125,'Attrition Modeling'!$B:$B,'IP Attrition'!BU$68),VLOOKUP($F125+BU$2,$A$6:$C$106,2,FALSE)*VLOOKUP(BU$1,'Attrition Modeling'!$L$15:$N$27,IF(BU$2+$F58&lt;=24,2,3),FALSE)),$C$3)*(1+Projection!CB$16)*(1+IF(BU190&gt;0,'Attrition Modeling'!$N$9,0)))</f>
        <v>#REF!</v>
      </c>
    </row>
    <row r="126" spans="1:73" ht="14.25" customHeight="1" x14ac:dyDescent="0.2">
      <c r="A126" s="9">
        <v>119</v>
      </c>
      <c r="B126" s="25">
        <f>MAX('Attrition Modeling'!H123,$C$3)*(1-Summary!$C$20)</f>
        <v>0.02</v>
      </c>
      <c r="C126" s="24" t="e">
        <f t="shared" si="3"/>
        <v>#DIV/0!</v>
      </c>
      <c r="D126" s="11">
        <f t="shared" ref="D126:E126" si="64">D59</f>
        <v>-56</v>
      </c>
      <c r="E126" s="25">
        <f t="shared" si="64"/>
        <v>0</v>
      </c>
      <c r="F126" s="11">
        <f t="shared" si="9"/>
        <v>56</v>
      </c>
      <c r="G126" s="799">
        <f>Summary!$C$24*$E126</f>
        <v>0</v>
      </c>
      <c r="H126" s="799">
        <f>G126*(1-IFERROR(IF(H$69+$F126&lt;=12,SUMIFS('Attrition Modeling'!$D:$D,'Attrition Modeling'!$C:$C,'IP Attrition'!$D126,'Attrition Modeling'!$B:$B,'IP Attrition'!H$68),VLOOKUP($F126+H$2,$A$6:$C$106,2,FALSE)*VLOOKUP(H$1,'Attrition Modeling'!$L$15:$N$27,IF(H$2+$F59&lt;=24,2,3),FALSE)),$C$3)*(1+Projection!J$16)*(1+IF(H191&gt;0,'Attrition Modeling'!$N$9,0)))</f>
        <v>0</v>
      </c>
      <c r="I126" s="799">
        <f>H126*(1-IFERROR(IF(I$69+$F126&lt;=12,SUMIFS('Attrition Modeling'!$D:$D,'Attrition Modeling'!$C:$C,'IP Attrition'!$D126,'Attrition Modeling'!$B:$B,'IP Attrition'!I$68),VLOOKUP($F126+I$2,$A$6:$C$106,2,FALSE)*VLOOKUP(I$1,'Attrition Modeling'!$L$15:$N$27,IF(I$2+$F59&lt;=24,2,3),FALSE)),$C$3)*(1+Projection!K$16)*(1+IF(I191&gt;0,'Attrition Modeling'!$N$9,0)))</f>
        <v>0</v>
      </c>
      <c r="J126" s="799">
        <f>I126*(1-IFERROR(IF(J$69+$F126&lt;=12,SUMIFS('Attrition Modeling'!$D:$D,'Attrition Modeling'!$C:$C,'IP Attrition'!$D126,'Attrition Modeling'!$B:$B,'IP Attrition'!J$68),VLOOKUP($F126+J$2,$A$6:$C$106,2,FALSE)*VLOOKUP(J$1,'Attrition Modeling'!$L$15:$N$27,IF(J$2+$F59&lt;=24,2,3),FALSE)),$C$3)*(1+Projection!L$16)*(1+IF(J191&gt;0,'Attrition Modeling'!$N$9,0)))</f>
        <v>0</v>
      </c>
      <c r="K126" s="799">
        <f>J126*(1-IFERROR(IF(K$69+$F126&lt;=12,SUMIFS('Attrition Modeling'!$D:$D,'Attrition Modeling'!$C:$C,'IP Attrition'!$D126,'Attrition Modeling'!$B:$B,'IP Attrition'!K$68),VLOOKUP($F126+K$2,$A$6:$C$106,2,FALSE)*VLOOKUP(K$1,'Attrition Modeling'!$L$15:$N$27,IF(K$2+$F59&lt;=24,2,3),FALSE)),$C$3)*(1+Projection!M$16)*(1+IF(K191&gt;0,'Attrition Modeling'!$N$9,0)))</f>
        <v>0</v>
      </c>
      <c r="L126" s="799">
        <f>K126*(1-IFERROR(IF(L$69+$F126&lt;=12,SUMIFS('Attrition Modeling'!$D:$D,'Attrition Modeling'!$C:$C,'IP Attrition'!$D126,'Attrition Modeling'!$B:$B,'IP Attrition'!L$68),VLOOKUP($F126+L$2,$A$6:$C$106,2,FALSE)*VLOOKUP(L$1,'Attrition Modeling'!$L$15:$N$27,IF(L$2+$F59&lt;=24,2,3),FALSE)),$C$3)*(1+Projection!N$16)*(1+IF(L191&gt;0,'Attrition Modeling'!$N$9,0)))</f>
        <v>0</v>
      </c>
      <c r="M126" s="799">
        <f>L126*(1-IFERROR(IF(M$69+$F126&lt;=12,SUMIFS('Attrition Modeling'!$D:$D,'Attrition Modeling'!$C:$C,'IP Attrition'!$D126,'Attrition Modeling'!$B:$B,'IP Attrition'!M$68),VLOOKUP($F126+M$2,$A$6:$C$106,2,FALSE)*VLOOKUP(M$1,'Attrition Modeling'!$L$15:$N$27,IF(M$2+$F59&lt;=24,2,3),FALSE)),$C$3)*(1+Projection!O$16)*(1+IF(M191&gt;0,'Attrition Modeling'!$N$9,0)))</f>
        <v>0</v>
      </c>
      <c r="N126" s="799">
        <f>M126*(1-IFERROR(IF(N$69+$F126&lt;=12,SUMIFS('Attrition Modeling'!$D:$D,'Attrition Modeling'!$C:$C,'IP Attrition'!$D126,'Attrition Modeling'!$B:$B,'IP Attrition'!N$68),VLOOKUP($F126+N$2,$A$6:$C$106,2,FALSE)*VLOOKUP(N$1,'Attrition Modeling'!$L$15:$N$27,IF(N$2+$F59&lt;=24,2,3),FALSE)),$C$3)*(1+Projection!P$16)*(1+IF(N191&gt;0,'Attrition Modeling'!$N$9,0)))</f>
        <v>0</v>
      </c>
      <c r="O126" s="799">
        <f>N126*(1-IFERROR(IF(O$69+$F126&lt;=12,SUMIFS('Attrition Modeling'!$D:$D,'Attrition Modeling'!$C:$C,'IP Attrition'!$D126,'Attrition Modeling'!$B:$B,'IP Attrition'!O$68),VLOOKUP($F126+O$2,$A$6:$C$106,2,FALSE)*VLOOKUP(O$1,'Attrition Modeling'!$L$15:$N$27,IF(O$2+$F59&lt;=24,2,3),FALSE)),$C$3)*(1+Projection!Q$16)*(1+IF(O191&gt;0,'Attrition Modeling'!$N$9,0)))</f>
        <v>0</v>
      </c>
      <c r="P126" s="799">
        <f>O126*(1-IFERROR(IF(P$69+$F126&lt;=12,SUMIFS('Attrition Modeling'!$D:$D,'Attrition Modeling'!$C:$C,'IP Attrition'!$D126,'Attrition Modeling'!$B:$B,'IP Attrition'!P$68),VLOOKUP($F126+P$2,$A$6:$C$106,2,FALSE)*VLOOKUP(P$1,'Attrition Modeling'!$L$15:$N$27,IF(P$2+$F59&lt;=24,2,3),FALSE)),$C$3)*(1+Projection!R$16)*(1+IF(P191&gt;0,'Attrition Modeling'!$N$9,0)))</f>
        <v>0</v>
      </c>
      <c r="Q126" s="799">
        <f>P126*(1-IFERROR(IF(Q$69+$F126&lt;=12,SUMIFS('Attrition Modeling'!$D:$D,'Attrition Modeling'!$C:$C,'IP Attrition'!$D126,'Attrition Modeling'!$B:$B,'IP Attrition'!Q$68),VLOOKUP($F126+Q$2,$A$6:$C$106,2,FALSE)*VLOOKUP(Q$1,'Attrition Modeling'!$L$15:$N$27,IF(Q$2+$F59&lt;=24,2,3),FALSE)),$C$3)*(1+Projection!S$16)*(1+IF(Q191&gt;0,'Attrition Modeling'!$N$9,0)))</f>
        <v>0</v>
      </c>
      <c r="R126" s="799">
        <f>Q126*(1-IFERROR(IF(R$69+$F126&lt;=12,SUMIFS('Attrition Modeling'!$D:$D,'Attrition Modeling'!$C:$C,'IP Attrition'!$D126,'Attrition Modeling'!$B:$B,'IP Attrition'!R$68),VLOOKUP($F126+R$2,$A$6:$C$106,2,FALSE)*VLOOKUP(R$1,'Attrition Modeling'!$L$15:$N$27,IF(R$2+$F59&lt;=24,2,3),FALSE)),$C$3)*(1+Projection!T$16)*(1+IF(R191&gt;0,'Attrition Modeling'!$N$9,0)))</f>
        <v>0</v>
      </c>
      <c r="S126" s="799">
        <f>R126*(1-IFERROR(IF(S$69+$F126&lt;=12,SUMIFS('Attrition Modeling'!$D:$D,'Attrition Modeling'!$C:$C,'IP Attrition'!$D126,'Attrition Modeling'!$B:$B,'IP Attrition'!S$68),VLOOKUP($F126+S$2,$A$6:$C$106,2,FALSE)*VLOOKUP(S$1,'Attrition Modeling'!$L$15:$N$27,IF(S$2+$F59&lt;=24,2,3),FALSE)),$C$3)*(1+Projection!U$16)*(1+IF(S191&gt;0,'Attrition Modeling'!$N$9,0)))</f>
        <v>0</v>
      </c>
      <c r="T126" s="799">
        <f>S126*(1-IFERROR(IF(T$69+$F126&lt;=12,SUMIFS('Attrition Modeling'!$D:$D,'Attrition Modeling'!$C:$C,'IP Attrition'!$D126,'Attrition Modeling'!$B:$B,'IP Attrition'!T$68),VLOOKUP($F126+T$2,$A$6:$C$106,2,FALSE)*VLOOKUP(T$1,'Attrition Modeling'!$L$15:$N$27,IF(T$2+$F59&lt;=24,2,3),FALSE)),$C$3)*(1+Projection!V$16)*(1+IF(T191&gt;0,'Attrition Modeling'!$N$9,0)))</f>
        <v>0</v>
      </c>
      <c r="U126" s="799">
        <f>T126*(1-IFERROR(IF(U$69+$F126&lt;=12,SUMIFS('Attrition Modeling'!$D:$D,'Attrition Modeling'!$C:$C,'IP Attrition'!$D126,'Attrition Modeling'!$B:$B,'IP Attrition'!U$68),VLOOKUP($F126+U$2,$A$6:$C$106,2,FALSE)*VLOOKUP(U$1,'Attrition Modeling'!$L$15:$N$27,IF(U$2+$F59&lt;=24,2,3),FALSE)),$C$3)*(1+Projection!W$16)*(1+IF(U191&gt;0,'Attrition Modeling'!$N$9,0)))</f>
        <v>0</v>
      </c>
      <c r="V126" s="799">
        <f>U126*(1-IFERROR(IF(V$69+$F126&lt;=12,SUMIFS('Attrition Modeling'!$D:$D,'Attrition Modeling'!$C:$C,'IP Attrition'!$D126,'Attrition Modeling'!$B:$B,'IP Attrition'!V$68),VLOOKUP($F126+V$2,$A$6:$C$106,2,FALSE)*VLOOKUP(V$1,'Attrition Modeling'!$L$15:$N$27,IF(V$2+$F59&lt;=24,2,3),FALSE)),$C$3)*(1+Projection!X$16)*(1+IF(V191&gt;0,'Attrition Modeling'!$N$9,0)))</f>
        <v>0</v>
      </c>
      <c r="W126" s="799">
        <f>V126*(1-IFERROR(IF(W$69+$F126&lt;=12,SUMIFS('Attrition Modeling'!$D:$D,'Attrition Modeling'!$C:$C,'IP Attrition'!$D126,'Attrition Modeling'!$B:$B,'IP Attrition'!W$68),VLOOKUP($F126+W$2,$A$6:$C$106,2,FALSE)*VLOOKUP(W$1,'Attrition Modeling'!$L$15:$N$27,IF(W$2+$F59&lt;=24,2,3),FALSE)),$C$3)*(1+Projection!Y$16)*(1+IF(W191&gt;0,'Attrition Modeling'!$N$9,0)))</f>
        <v>0</v>
      </c>
      <c r="X126" s="799">
        <f>W126*(1-IFERROR(IF(X$69+$F126&lt;=12,SUMIFS('Attrition Modeling'!$D:$D,'Attrition Modeling'!$C:$C,'IP Attrition'!$D126,'Attrition Modeling'!$B:$B,'IP Attrition'!X$68),VLOOKUP($F126+X$2,$A$6:$C$106,2,FALSE)*VLOOKUP(X$1,'Attrition Modeling'!$L$15:$N$27,IF(X$2+$F59&lt;=24,2,3),FALSE)),$C$3)*(1+Projection!Z$16)*(1+IF(X191&gt;0,'Attrition Modeling'!$N$9,0)))</f>
        <v>0</v>
      </c>
      <c r="Y126" s="799">
        <f>X126*(1-IFERROR(IF(Y$69+$F126&lt;=12,SUMIFS('Attrition Modeling'!$D:$D,'Attrition Modeling'!$C:$C,'IP Attrition'!$D126,'Attrition Modeling'!$B:$B,'IP Attrition'!Y$68),VLOOKUP($F126+Y$2,$A$6:$C$106,2,FALSE)*VLOOKUP(Y$1,'Attrition Modeling'!$L$15:$N$27,IF(Y$2+$F59&lt;=24,2,3),FALSE)),$C$3)*(1+Projection!AA$16)*(1+IF(Y191&gt;0,'Attrition Modeling'!$N$9,0)))</f>
        <v>0</v>
      </c>
      <c r="Z126" s="799">
        <f>Y126*(1-IFERROR(IF(Z$69+$F126&lt;=12,SUMIFS('Attrition Modeling'!$D:$D,'Attrition Modeling'!$C:$C,'IP Attrition'!$D126,'Attrition Modeling'!$B:$B,'IP Attrition'!Z$68),VLOOKUP($F126+Z$2,$A$6:$C$106,2,FALSE)*VLOOKUP(Z$1,'Attrition Modeling'!$L$15:$N$27,IF(Z$2+$F59&lt;=24,2,3),FALSE)),$C$3)*(1+Projection!AB$16)*(1+IF(Z191&gt;0,'Attrition Modeling'!$N$9,0)))</f>
        <v>0</v>
      </c>
      <c r="AA126" s="799">
        <f>Z126*(1-IFERROR(IF(AA$69+$F126&lt;=12,SUMIFS('Attrition Modeling'!$D:$D,'Attrition Modeling'!$C:$C,'IP Attrition'!$D126,'Attrition Modeling'!$B:$B,'IP Attrition'!AA$68),VLOOKUP($F126+AA$2,$A$6:$C$106,2,FALSE)*VLOOKUP(AA$1,'Attrition Modeling'!$L$15:$N$27,IF(AA$2+$F59&lt;=24,2,3),FALSE)),$C$3)*(1+Projection!AC$16)*(1+IF(AA191&gt;0,'Attrition Modeling'!$N$9,0)))</f>
        <v>0</v>
      </c>
      <c r="AB126" s="799">
        <f>AA126*(1-IFERROR(IF(AB$69+$F126&lt;=12,SUMIFS('Attrition Modeling'!$D:$D,'Attrition Modeling'!$C:$C,'IP Attrition'!$D126,'Attrition Modeling'!$B:$B,'IP Attrition'!AB$68),VLOOKUP($F126+AB$2,$A$6:$C$106,2,FALSE)*VLOOKUP(AB$1,'Attrition Modeling'!$L$15:$N$27,IF(AB$2+$F59&lt;=24,2,3),FALSE)),$C$3)*(1+Projection!AD$16)*(1+IF(AB191&gt;0,'Attrition Modeling'!$N$9,0)))</f>
        <v>0</v>
      </c>
      <c r="AC126" s="799">
        <f>AB126*(1-IFERROR(IF(AC$69+$F126&lt;=12,SUMIFS('Attrition Modeling'!$D:$D,'Attrition Modeling'!$C:$C,'IP Attrition'!$D126,'Attrition Modeling'!$B:$B,'IP Attrition'!AC$68),VLOOKUP($F126+AC$2,$A$6:$C$106,2,FALSE)*VLOOKUP(AC$1,'Attrition Modeling'!$L$15:$N$27,IF(AC$2+$F59&lt;=24,2,3),FALSE)),$C$3)*(1+Projection!AE$16)*(1+IF(AC191&gt;0,'Attrition Modeling'!$N$9,0)))</f>
        <v>0</v>
      </c>
      <c r="AD126" s="799">
        <f>AC126*(1-IFERROR(IF(AD$69+$F126&lt;=12,SUMIFS('Attrition Modeling'!$D:$D,'Attrition Modeling'!$C:$C,'IP Attrition'!$D126,'Attrition Modeling'!$B:$B,'IP Attrition'!AD$68),VLOOKUP($F126+AD$2,$A$6:$C$106,2,FALSE)*VLOOKUP(AD$1,'Attrition Modeling'!$L$15:$N$27,IF(AD$2+$F59&lt;=24,2,3),FALSE)),$C$3)*(1+Projection!AF$16)*(1+IF(AD191&gt;0,'Attrition Modeling'!$N$9,0)))</f>
        <v>0</v>
      </c>
      <c r="AE126" s="799">
        <f>AD126*(1-IFERROR(IF(AE$69+$F126&lt;=12,SUMIFS('Attrition Modeling'!$D:$D,'Attrition Modeling'!$C:$C,'IP Attrition'!$D126,'Attrition Modeling'!$B:$B,'IP Attrition'!AE$68),VLOOKUP($F126+AE$2,$A$6:$C$106,2,FALSE)*VLOOKUP(AE$1,'Attrition Modeling'!$L$15:$N$27,IF(AE$2+$F59&lt;=24,2,3),FALSE)),$C$3)*(1+Projection!AG$16)*(1+IF(AE191&gt;0,'Attrition Modeling'!$N$9,0)))</f>
        <v>0</v>
      </c>
      <c r="AF126" s="799">
        <f>AE126*(1-IFERROR(IF(AF$69+$F126&lt;=12,SUMIFS('Attrition Modeling'!$D:$D,'Attrition Modeling'!$C:$C,'IP Attrition'!$D126,'Attrition Modeling'!$B:$B,'IP Attrition'!AF$68),VLOOKUP($F126+AF$2,$A$6:$C$106,2,FALSE)*VLOOKUP(AF$1,'Attrition Modeling'!$L$15:$N$27,IF(AF$2+$F59&lt;=24,2,3),FALSE)),$C$3)*(1+Projection!AH$16)*(1+IF(AF191&gt;0,'Attrition Modeling'!$N$9,0)))</f>
        <v>0</v>
      </c>
      <c r="AG126" s="799">
        <f>AF126*(1-IFERROR(IF(AG$69+$F126&lt;=12,SUMIFS('Attrition Modeling'!$D:$D,'Attrition Modeling'!$C:$C,'IP Attrition'!$D126,'Attrition Modeling'!$B:$B,'IP Attrition'!AG$68),VLOOKUP($F126+AG$2,$A$6:$C$106,2,FALSE)*VLOOKUP(AG$1,'Attrition Modeling'!$L$15:$N$27,IF(AG$2+$F59&lt;=24,2,3),FALSE)),$C$3)*(1+Projection!AI$16)*(1+IF(AG191&gt;0,'Attrition Modeling'!$N$9,0)))</f>
        <v>0</v>
      </c>
      <c r="AH126" s="799">
        <f>AG126*(1-IFERROR(IF(AH$69+$F126&lt;=12,SUMIFS('Attrition Modeling'!$D:$D,'Attrition Modeling'!$C:$C,'IP Attrition'!$D126,'Attrition Modeling'!$B:$B,'IP Attrition'!AH$68),VLOOKUP($F126+AH$2,$A$6:$C$106,2,FALSE)*VLOOKUP(AH$1,'Attrition Modeling'!$L$15:$N$27,IF(AH$2+$F59&lt;=24,2,3),FALSE)),$C$3)*(1+Projection!AJ$16)*(1+IF(AH191&gt;0,'Attrition Modeling'!$N$9,0)))</f>
        <v>0</v>
      </c>
      <c r="AI126" s="799">
        <f>AH126*(1-IFERROR(IF(AI$69+$F126&lt;=12,SUMIFS('Attrition Modeling'!$D:$D,'Attrition Modeling'!$C:$C,'IP Attrition'!$D126,'Attrition Modeling'!$B:$B,'IP Attrition'!AI$68),VLOOKUP($F126+AI$2,$A$6:$C$106,2,FALSE)*VLOOKUP(AI$1,'Attrition Modeling'!$L$15:$N$27,IF(AI$2+$F59&lt;=24,2,3),FALSE)),$C$3)*(1+Projection!AK$16)*(1+IF(AI191&gt;0,'Attrition Modeling'!$N$9,0)))</f>
        <v>0</v>
      </c>
      <c r="AJ126" s="799">
        <f>AI126*(1-IFERROR(IF(AJ$69+$F126&lt;=12,SUMIFS('Attrition Modeling'!$D:$D,'Attrition Modeling'!$C:$C,'IP Attrition'!$D126,'Attrition Modeling'!$B:$B,'IP Attrition'!AJ$68),VLOOKUP($F126+AJ$2,$A$6:$C$106,2,FALSE)*VLOOKUP(AJ$1,'Attrition Modeling'!$L$15:$N$27,IF(AJ$2+$F59&lt;=24,2,3),FALSE)),$C$3)*(1+Projection!AL$16)*(1+IF(AJ191&gt;0,'Attrition Modeling'!$N$9,0)))</f>
        <v>0</v>
      </c>
      <c r="AK126" s="799">
        <f>AJ126*(1-IFERROR(IF(AK$69+$F126&lt;=12,SUMIFS('Attrition Modeling'!$D:$D,'Attrition Modeling'!$C:$C,'IP Attrition'!$D126,'Attrition Modeling'!$B:$B,'IP Attrition'!AK$68),VLOOKUP($F126+AK$2,$A$6:$C$106,2,FALSE)*VLOOKUP(AK$1,'Attrition Modeling'!$L$15:$N$27,IF(AK$2+$F59&lt;=24,2,3),FALSE)),$C$3)*(1+Projection!AM$16)*(1+IF(AK191&gt;0,'Attrition Modeling'!$N$9,0)))</f>
        <v>0</v>
      </c>
      <c r="AL126" s="799">
        <f>AK126*(1-IFERROR(IF(AL$69+$F126&lt;=12,SUMIFS('Attrition Modeling'!$D:$D,'Attrition Modeling'!$C:$C,'IP Attrition'!$D126,'Attrition Modeling'!$B:$B,'IP Attrition'!AL$68),VLOOKUP($F126+AL$2,$A$6:$C$106,2,FALSE)*VLOOKUP(AL$1,'Attrition Modeling'!$L$15:$N$27,IF(AL$2+$F59&lt;=24,2,3),FALSE)),$C$3)*(1+Projection!AN$16)*(1+IF(AL191&gt;0,'Attrition Modeling'!$N$9,0)))</f>
        <v>0</v>
      </c>
      <c r="AM126" s="799">
        <f>AL126*(1-IFERROR(IF(AM$69+$F126&lt;=12,SUMIFS('Attrition Modeling'!$D:$D,'Attrition Modeling'!$C:$C,'IP Attrition'!$D126,'Attrition Modeling'!$B:$B,'IP Attrition'!AM$68),VLOOKUP($F126+AM$2,$A$6:$C$106,2,FALSE)*VLOOKUP(AM$1,'Attrition Modeling'!$L$15:$N$27,IF(AM$2+$F59&lt;=24,2,3),FALSE)),$C$3)*(1+Projection!AO$16)*(1+IF(AM191&gt;0,'Attrition Modeling'!$N$9,0)))</f>
        <v>0</v>
      </c>
      <c r="AN126" s="799">
        <f>AM126*(1-IFERROR(IF(AN$69+$F126&lt;=12,SUMIFS('Attrition Modeling'!$D:$D,'Attrition Modeling'!$C:$C,'IP Attrition'!$D126,'Attrition Modeling'!$B:$B,'IP Attrition'!AN$68),VLOOKUP($F126+AN$2,$A$6:$C$106,2,FALSE)*VLOOKUP(AN$1,'Attrition Modeling'!$L$15:$N$27,IF(AN$2+$F59&lt;=24,2,3),FALSE)),$C$3)*(1+Projection!AP$16)*(1+IF(AN191&gt;0,'Attrition Modeling'!$N$9,0)))</f>
        <v>0</v>
      </c>
      <c r="AO126" s="799">
        <f>AN126*(1-IFERROR(IF(AO$69+$F126&lt;=12,SUMIFS('Attrition Modeling'!$D:$D,'Attrition Modeling'!$C:$C,'IP Attrition'!$D126,'Attrition Modeling'!$B:$B,'IP Attrition'!AO$68),VLOOKUP($F126+AO$2,$A$6:$C$106,2,FALSE)*VLOOKUP(AO$1,'Attrition Modeling'!$L$15:$N$27,IF(AO$2+$F59&lt;=24,2,3),FALSE)),$C$3)*(1+Projection!AQ$16)*(1+IF(AO191&gt;0,'Attrition Modeling'!$N$9,0)))</f>
        <v>0</v>
      </c>
      <c r="AP126" s="799">
        <f>AO126*(1-IFERROR(IF(AP$69+$F126&lt;=12,SUMIFS('Attrition Modeling'!$D:$D,'Attrition Modeling'!$C:$C,'IP Attrition'!$D126,'Attrition Modeling'!$B:$B,'IP Attrition'!AP$68),VLOOKUP($F126+AP$2,$A$6:$C$106,2,FALSE)*VLOOKUP(AP$1,'Attrition Modeling'!$L$15:$N$27,IF(AP$2+$F59&lt;=24,2,3),FALSE)),$C$3)*(1+Projection!AR$16)*(1+IF(AP191&gt;0,'Attrition Modeling'!$N$9,0)))</f>
        <v>0</v>
      </c>
      <c r="AQ126" s="799">
        <f>AP126*(1-IFERROR(IF(AQ$69+$F126&lt;=12,SUMIFS('Attrition Modeling'!$D:$D,'Attrition Modeling'!$C:$C,'IP Attrition'!$D126,'Attrition Modeling'!$B:$B,'IP Attrition'!AQ$68),VLOOKUP($F126+AQ$2,$A$6:$C$106,2,FALSE)*VLOOKUP(AQ$1,'Attrition Modeling'!$L$15:$N$27,IF(AQ$2+$F59&lt;=24,2,3),FALSE)),$C$3)*(1+Projection!AS$16)*(1+IF(AQ191&gt;0,'Attrition Modeling'!$N$9,0)))</f>
        <v>0</v>
      </c>
      <c r="AR126" s="799">
        <f>AQ126*(1-IFERROR(IF(AR$69+$F126&lt;=12,SUMIFS('Attrition Modeling'!$D:$D,'Attrition Modeling'!$C:$C,'IP Attrition'!$D126,'Attrition Modeling'!$B:$B,'IP Attrition'!AR$68),VLOOKUP($F126+AR$2,$A$6:$C$106,2,FALSE)*VLOOKUP(AR$1,'Attrition Modeling'!$L$15:$N$27,IF(AR$2+$F59&lt;=24,2,3),FALSE)),$C$3)*(1+Projection!AT$16)*(1+IF(AR191&gt;0,'Attrition Modeling'!$N$9,0)))</f>
        <v>0</v>
      </c>
      <c r="AS126" s="799">
        <f>AR126*(1-IFERROR(IF(AS$69+$F126&lt;=12,SUMIFS('Attrition Modeling'!$D:$D,'Attrition Modeling'!$C:$C,'IP Attrition'!$D126,'Attrition Modeling'!$B:$B,'IP Attrition'!AS$68),VLOOKUP($F126+AS$2,$A$6:$C$106,2,FALSE)*VLOOKUP(AS$1,'Attrition Modeling'!$L$15:$N$27,IF(AS$2+$F59&lt;=24,2,3),FALSE)),$C$3)*(1+Projection!AU$16)*(1+IF(AS191&gt;0,'Attrition Modeling'!$N$9,0)))</f>
        <v>0</v>
      </c>
      <c r="AT126" s="799">
        <f>AS126*(1-IFERROR(IF(AT$69+$F126&lt;=12,SUMIFS('Attrition Modeling'!$D:$D,'Attrition Modeling'!$C:$C,'IP Attrition'!$D126,'Attrition Modeling'!$B:$B,'IP Attrition'!AT$68),VLOOKUP($F126+AT$2,$A$6:$C$106,2,FALSE)*VLOOKUP(AT$1,'Attrition Modeling'!$L$15:$N$27,IF(AT$2+$F59&lt;=24,2,3),FALSE)),$C$3)*(1+Projection!AV$16)*(1+IF(AT191&gt;0,'Attrition Modeling'!$N$9,0)))</f>
        <v>0</v>
      </c>
      <c r="AU126" s="799">
        <f>AT126*(1-IFERROR(IF(AU$69+$F126&lt;=12,SUMIFS('Attrition Modeling'!$D:$D,'Attrition Modeling'!$C:$C,'IP Attrition'!$D126,'Attrition Modeling'!$B:$B,'IP Attrition'!AU$68),VLOOKUP($F126+AU$2,$A$6:$C$106,2,FALSE)*VLOOKUP(AU$1,'Attrition Modeling'!$L$15:$N$27,IF(AU$2+$F59&lt;=24,2,3),FALSE)),$C$3)*(1+Projection!AW$16)*(1+IF(AU191&gt;0,'Attrition Modeling'!$N$9,0)))</f>
        <v>0</v>
      </c>
      <c r="AV126" s="799">
        <f>AU126*(1-IFERROR(IF(AV$69+$F126&lt;=12,SUMIFS('Attrition Modeling'!$D:$D,'Attrition Modeling'!$C:$C,'IP Attrition'!$D126,'Attrition Modeling'!$B:$B,'IP Attrition'!AV$68),VLOOKUP($F126+AV$2,$A$6:$C$106,2,FALSE)*VLOOKUP(AV$1,'Attrition Modeling'!$L$15:$N$27,IF(AV$2+$F59&lt;=24,2,3),FALSE)),$C$3)*(1+Projection!AX$16)*(1+IF(AV191&gt;0,'Attrition Modeling'!$N$9,0)))</f>
        <v>0</v>
      </c>
      <c r="AW126" s="799">
        <f>AV126*(1-IFERROR(IF(AW$69+$F126&lt;=12,SUMIFS('Attrition Modeling'!$D:$D,'Attrition Modeling'!$C:$C,'IP Attrition'!$D126,'Attrition Modeling'!$B:$B,'IP Attrition'!AW$68),VLOOKUP($F126+AW$2,$A$6:$C$106,2,FALSE)*VLOOKUP(AW$1,'Attrition Modeling'!$L$15:$N$27,IF(AW$2+$F59&lt;=24,2,3),FALSE)),$C$3)*(1+Projection!AY$16)*(1+IF(AW191&gt;0,'Attrition Modeling'!$N$9,0)))</f>
        <v>0</v>
      </c>
      <c r="AX126" s="799">
        <f>AW126*(1-IFERROR(IF(AX$69+$F126&lt;=12,SUMIFS('Attrition Modeling'!$D:$D,'Attrition Modeling'!$C:$C,'IP Attrition'!$D126,'Attrition Modeling'!$B:$B,'IP Attrition'!AX$68),VLOOKUP($F126+AX$2,$A$6:$C$106,2,FALSE)*VLOOKUP(AX$1,'Attrition Modeling'!$L$15:$N$27,IF(AX$2+$F59&lt;=24,2,3),FALSE)),$C$3)*(1+Projection!AZ$16)*(1+IF(AX191&gt;0,'Attrition Modeling'!$N$9,0)))</f>
        <v>0</v>
      </c>
      <c r="AY126" s="799">
        <f>AX126*(1-IFERROR(IF(AY$69+$F126&lt;=12,SUMIFS('Attrition Modeling'!$D:$D,'Attrition Modeling'!$C:$C,'IP Attrition'!$D126,'Attrition Modeling'!$B:$B,'IP Attrition'!AY$68),VLOOKUP($F126+AY$2,$A$6:$C$106,2,FALSE)*VLOOKUP(AY$1,'Attrition Modeling'!$L$15:$N$27,IF(AY$2+$F59&lt;=24,2,3),FALSE)),$C$3)*(1+Projection!BA$16)*(1+IF(AY191&gt;0,'Attrition Modeling'!$N$9,0)))</f>
        <v>0</v>
      </c>
      <c r="AZ126" s="799">
        <f>AY126*(1-IFERROR(IF(AZ$69+$F126&lt;=12,SUMIFS('Attrition Modeling'!$D:$D,'Attrition Modeling'!$C:$C,'IP Attrition'!$D126,'Attrition Modeling'!$B:$B,'IP Attrition'!AZ$68),VLOOKUP($F126+AZ$2,$A$6:$C$106,2,FALSE)*VLOOKUP(AZ$1,'Attrition Modeling'!$L$15:$N$27,IF(AZ$2+$F59&lt;=24,2,3),FALSE)),$C$3)*(1+Projection!BB$16)*(1+IF(AZ191&gt;0,'Attrition Modeling'!$N$9,0)))</f>
        <v>0</v>
      </c>
      <c r="BA126" s="799">
        <f>AZ126*(1-IFERROR(IF(BA$69+$F126&lt;=12,SUMIFS('Attrition Modeling'!$D:$D,'Attrition Modeling'!$C:$C,'IP Attrition'!$D126,'Attrition Modeling'!$B:$B,'IP Attrition'!BA$68),VLOOKUP($F126+BA$2,$A$6:$C$106,2,FALSE)*VLOOKUP(BA$1,'Attrition Modeling'!$L$15:$N$27,IF(BA$2+$F59&lt;=24,2,3),FALSE)),$C$3)*(1+Projection!BC$16)*(1+IF(BA191&gt;0,'Attrition Modeling'!$N$9,0)))</f>
        <v>0</v>
      </c>
      <c r="BB126" s="799">
        <f>BA126*(1-IFERROR(IF(BB$69+$F126&lt;=12,SUMIFS('Attrition Modeling'!$D:$D,'Attrition Modeling'!$C:$C,'IP Attrition'!$D126,'Attrition Modeling'!$B:$B,'IP Attrition'!BB$68),VLOOKUP($F126+BB$2,$A$6:$C$106,2,FALSE)*VLOOKUP(BB$1,'Attrition Modeling'!$L$15:$N$27,IF(BB$2+$F59&lt;=24,2,3),FALSE)),$C$3)*(1+Projection!BD$16)*(1+IF(BB191&gt;0,'Attrition Modeling'!$N$9,0)))</f>
        <v>0</v>
      </c>
      <c r="BC126" s="799">
        <f>BB126*(1-IFERROR(IF(BC$69+$F126&lt;=12,SUMIFS('Attrition Modeling'!$D:$D,'Attrition Modeling'!$C:$C,'IP Attrition'!$D126,'Attrition Modeling'!$B:$B,'IP Attrition'!BC$68),VLOOKUP($F126+BC$2,$A$6:$C$106,2,FALSE)*VLOOKUP(BC$1,'Attrition Modeling'!$L$15:$N$27,IF(BC$2+$F59&lt;=24,2,3),FALSE)),$C$3)*(1+Projection!BE$16)*(1+IF(BC191&gt;0,'Attrition Modeling'!$N$9,0)))</f>
        <v>0</v>
      </c>
      <c r="BD126" s="799">
        <f>BC126*(1-IFERROR(IF(BD$69+$F126&lt;=12,SUMIFS('Attrition Modeling'!$D:$D,'Attrition Modeling'!$C:$C,'IP Attrition'!$D126,'Attrition Modeling'!$B:$B,'IP Attrition'!BD$68),VLOOKUP($F126+BD$2,$A$6:$C$106,2,FALSE)*VLOOKUP(BD$1,'Attrition Modeling'!$L$15:$N$27,IF(BD$2+$F59&lt;=24,2,3),FALSE)),$C$3)*(1+Projection!BF$16)*(1+IF(BD191&gt;0,'Attrition Modeling'!$N$9,0)))</f>
        <v>0</v>
      </c>
      <c r="BE126" s="799">
        <f>BD126*(1-IFERROR(IF(BE$69+$F126&lt;=12,SUMIFS('Attrition Modeling'!$D:$D,'Attrition Modeling'!$C:$C,'IP Attrition'!$D126,'Attrition Modeling'!$B:$B,'IP Attrition'!BE$68),VLOOKUP($F126+BE$2,$A$6:$C$106,2,FALSE)*VLOOKUP(BE$1,'Attrition Modeling'!$L$15:$N$27,IF(BE$2+$F59&lt;=24,2,3),FALSE)),$C$3)*(1+Projection!BG$16)*(1+IF(BE191&gt;0,'Attrition Modeling'!$N$9,0)))</f>
        <v>0</v>
      </c>
      <c r="BF126" s="799">
        <f>BE126*(1-IFERROR(IF(BF$69+$F126&lt;=12,SUMIFS('Attrition Modeling'!$D:$D,'Attrition Modeling'!$C:$C,'IP Attrition'!$D126,'Attrition Modeling'!$B:$B,'IP Attrition'!BF$68),VLOOKUP($F126+BF$2,$A$6:$C$106,2,FALSE)*VLOOKUP(BF$1,'Attrition Modeling'!$L$15:$N$27,IF(BF$2+$F59&lt;=24,2,3),FALSE)),$C$3)*(1+Projection!BH$16)*(1+IF(BF191&gt;0,'Attrition Modeling'!$N$9,0)))</f>
        <v>0</v>
      </c>
      <c r="BG126" s="799">
        <f>BF126*(1-IFERROR(IF(BG$69+$F126&lt;=12,SUMIFS('Attrition Modeling'!$D:$D,'Attrition Modeling'!$C:$C,'IP Attrition'!$D126,'Attrition Modeling'!$B:$B,'IP Attrition'!BG$68),VLOOKUP($F126+BG$2,$A$6:$C$106,2,FALSE)*VLOOKUP(BG$1,'Attrition Modeling'!$L$15:$N$27,IF(BG$2+$F59&lt;=24,2,3),FALSE)),$C$3)*(1+Projection!BI$16)*(1+IF(BG191&gt;0,'Attrition Modeling'!$N$9,0)))</f>
        <v>0</v>
      </c>
      <c r="BH126" s="799">
        <f>BG126*(1-IFERROR(IF(BH$69+$F126&lt;=12,SUMIFS('Attrition Modeling'!$D:$D,'Attrition Modeling'!$C:$C,'IP Attrition'!$D126,'Attrition Modeling'!$B:$B,'IP Attrition'!BH$68),VLOOKUP($F126+BH$2,$A$6:$C$106,2,FALSE)*VLOOKUP(BH$1,'Attrition Modeling'!$L$15:$N$27,IF(BH$2+$F59&lt;=24,2,3),FALSE)),$C$3)*(1+Projection!BJ$16)*(1+IF(BH191&gt;0,'Attrition Modeling'!$N$9,0)))</f>
        <v>0</v>
      </c>
      <c r="BI126" s="799">
        <f>BH126*(1-IFERROR(IF(BI$69+$F126&lt;=12,SUMIFS('Attrition Modeling'!$D:$D,'Attrition Modeling'!$C:$C,'IP Attrition'!$D126,'Attrition Modeling'!$B:$B,'IP Attrition'!BI$68),VLOOKUP($F126+BI$2,$A$6:$C$106,2,FALSE)*VLOOKUP(BI$1,'Attrition Modeling'!$L$15:$N$27,IF(BI$2+$F59&lt;=24,2,3),FALSE)),$C$3)*(1+Projection!BK$16)*(1+IF(BI191&gt;0,'Attrition Modeling'!$N$9,0)))</f>
        <v>0</v>
      </c>
      <c r="BJ126" s="799">
        <f>BI126*(1-IFERROR(IF(BJ$69+$F126&lt;=12,SUMIFS('Attrition Modeling'!$D:$D,'Attrition Modeling'!$C:$C,'IP Attrition'!$D126,'Attrition Modeling'!$B:$B,'IP Attrition'!BJ$68),VLOOKUP($F126+BJ$2,$A$6:$C$106,2,FALSE)*VLOOKUP(BJ$1,'Attrition Modeling'!$L$15:$N$27,IF(BJ$2+$F59&lt;=24,2,3),FALSE)),$C$3)*(1+Projection!BL$16)*(1+IF(BJ191&gt;0,'Attrition Modeling'!$N$9,0)))</f>
        <v>0</v>
      </c>
      <c r="BK126" s="799">
        <f>BJ126*(1-IFERROR(IF(BK$69+$F126&lt;=12,SUMIFS('Attrition Modeling'!$D:$D,'Attrition Modeling'!$C:$C,'IP Attrition'!$D126,'Attrition Modeling'!$B:$B,'IP Attrition'!BK$68),VLOOKUP($F126+BK$2,$A$6:$C$106,2,FALSE)*VLOOKUP(BK$1,'Attrition Modeling'!$L$15:$N$27,IF(BK$2+$F59&lt;=24,2,3),FALSE)),$C$3)*(1+Projection!BM$16)*(1+IF(BK191&gt;0,'Attrition Modeling'!$N$9,0)))</f>
        <v>0</v>
      </c>
      <c r="BL126" s="799">
        <f>BK126*(1-IFERROR(IF(BL$69+$F126&lt;=12,SUMIFS('Attrition Modeling'!$D:$D,'Attrition Modeling'!$C:$C,'IP Attrition'!$D126,'Attrition Modeling'!$B:$B,'IP Attrition'!BL$68),VLOOKUP($F126+BL$2,$A$6:$C$106,2,FALSE)*VLOOKUP(BL$1,'Attrition Modeling'!$L$15:$N$27,IF(BL$2+$F59&lt;=24,2,3),FALSE)),$C$3)*(1+Projection!BN$16)*(1+IF(BL191&gt;0,'Attrition Modeling'!$N$9,0)))</f>
        <v>0</v>
      </c>
      <c r="BM126" s="799">
        <f>BL126*(1-IFERROR(IF(BM$69+$F126&lt;=12,SUMIFS('Attrition Modeling'!$D:$D,'Attrition Modeling'!$C:$C,'IP Attrition'!$D126,'Attrition Modeling'!$B:$B,'IP Attrition'!BM$68),VLOOKUP($F126+BM$2,$A$6:$C$106,2,FALSE)*VLOOKUP(BM$1,'Attrition Modeling'!$L$15:$N$27,IF(BM$2+$F59&lt;=24,2,3),FALSE)),$C$3)*(1+Projection!BO$16)*(1+IF(BM191&gt;0,'Attrition Modeling'!$N$9,0)))</f>
        <v>0</v>
      </c>
      <c r="BN126" s="799">
        <f>BM126*(1-IFERROR(IF(BN$69+$F126&lt;=12,SUMIFS('Attrition Modeling'!$D:$D,'Attrition Modeling'!$C:$C,'IP Attrition'!$D126,'Attrition Modeling'!$B:$B,'IP Attrition'!BN$68),VLOOKUP($F126+BN$2,$A$6:$C$106,2,FALSE)*VLOOKUP(BN$1,'Attrition Modeling'!$L$15:$N$27,IF(BN$2+$F59&lt;=24,2,3),FALSE)),$C$3)*(1+Projection!BP$16)*(1+IF(BN191&gt;0,'Attrition Modeling'!$N$9,0)))</f>
        <v>0</v>
      </c>
      <c r="BO126" s="799">
        <f>BN126*(1-IFERROR(IF(BO$69+$F126&lt;=12,SUMIFS('Attrition Modeling'!$D:$D,'Attrition Modeling'!$C:$C,'IP Attrition'!$D126,'Attrition Modeling'!$B:$B,'IP Attrition'!BO$68),VLOOKUP($F126+BO$2,$A$6:$C$106,2,FALSE)*VLOOKUP(BO$1,'Attrition Modeling'!$L$15:$N$27,IF(BO$2+$F59&lt;=24,2,3),FALSE)),$C$3)*(1+Projection!BV$16)*(1+IF(BO191&gt;0,'Attrition Modeling'!$N$9,0)))</f>
        <v>0</v>
      </c>
      <c r="BP126" s="799">
        <f>BO126*(1-IFERROR(IF(BP$69+$F126&lt;=12,SUMIFS('Attrition Modeling'!$D:$D,'Attrition Modeling'!$C:$C,'IP Attrition'!$D126,'Attrition Modeling'!$B:$B,'IP Attrition'!BP$68),VLOOKUP($F126+BP$2,$A$6:$C$106,2,FALSE)*VLOOKUP(BP$1,'Attrition Modeling'!$L$15:$N$27,IF(BP$2+$F59&lt;=24,2,3),FALSE)),$C$3)*(1+Projection!BW$16)*(1+IF(BP191&gt;0,'Attrition Modeling'!$N$9,0)))</f>
        <v>0</v>
      </c>
      <c r="BQ126" s="799">
        <f>BP126*(1-IFERROR(IF(BQ$69+$F126&lt;=12,SUMIFS('Attrition Modeling'!$D:$D,'Attrition Modeling'!$C:$C,'IP Attrition'!$D126,'Attrition Modeling'!$B:$B,'IP Attrition'!BQ$68),VLOOKUP($F126+BQ$2,$A$6:$C$106,2,FALSE)*VLOOKUP(BQ$1,'Attrition Modeling'!$L$15:$N$27,IF(BQ$2+$F59&lt;=24,2,3),FALSE)),$C$3)*(1+Projection!BX$16)*(1+IF(BQ191&gt;0,'Attrition Modeling'!$N$9,0)))</f>
        <v>0</v>
      </c>
      <c r="BR126" s="799">
        <f>BQ126*(1-IFERROR(IF(BR$69+$F126&lt;=12,SUMIFS('Attrition Modeling'!$D:$D,'Attrition Modeling'!$C:$C,'IP Attrition'!$D126,'Attrition Modeling'!$B:$B,'IP Attrition'!BR$68),VLOOKUP($F126+BR$2,$A$6:$C$106,2,FALSE)*VLOOKUP(BR$1,'Attrition Modeling'!$L$15:$N$27,IF(BR$2+$F59&lt;=24,2,3),FALSE)),$C$3)*(1+Projection!BY$16)*(1+IF(BR191&gt;0,'Attrition Modeling'!$N$9,0)))</f>
        <v>0</v>
      </c>
      <c r="BS126" s="799">
        <f>BR126*(1-IFERROR(IF(BS$69+$F126&lt;=12,SUMIFS('Attrition Modeling'!$D:$D,'Attrition Modeling'!$C:$C,'IP Attrition'!$D126,'Attrition Modeling'!$B:$B,'IP Attrition'!BS$68),VLOOKUP($F126+BS$2,$A$6:$C$106,2,FALSE)*VLOOKUP(BS$1,'Attrition Modeling'!$L$15:$N$27,IF(BS$2+$F59&lt;=24,2,3),FALSE)),$C$3)*(1+Projection!BZ$16)*(1+IF(BS191&gt;0,'Attrition Modeling'!$N$9,0)))</f>
        <v>0</v>
      </c>
      <c r="BT126" s="799" t="e">
        <f>BS126*(1-IFERROR(IF(BT$69+$F126&lt;=12,SUMIFS('Attrition Modeling'!$D:$D,'Attrition Modeling'!$C:$C,'IP Attrition'!$D126,'Attrition Modeling'!$B:$B,'IP Attrition'!BT$68),VLOOKUP($F126+BT$2,$A$6:$C$106,2,FALSE)*VLOOKUP(BT$1,'Attrition Modeling'!$L$15:$N$27,IF(BT$2+$F59&lt;=24,2,3),FALSE)),$C$3)*(1+Projection!CA$16)*(1+IF(BT191&gt;0,'Attrition Modeling'!$N$9,0)))</f>
        <v>#REF!</v>
      </c>
      <c r="BU126" s="799" t="e">
        <f>BT126*(1-IFERROR(IF(BU$69+$F126&lt;=12,SUMIFS('Attrition Modeling'!$D:$D,'Attrition Modeling'!$C:$C,'IP Attrition'!$D126,'Attrition Modeling'!$B:$B,'IP Attrition'!BU$68),VLOOKUP($F126+BU$2,$A$6:$C$106,2,FALSE)*VLOOKUP(BU$1,'Attrition Modeling'!$L$15:$N$27,IF(BU$2+$F59&lt;=24,2,3),FALSE)),$C$3)*(1+Projection!CB$16)*(1+IF(BU191&gt;0,'Attrition Modeling'!$N$9,0)))</f>
        <v>#REF!</v>
      </c>
    </row>
    <row r="127" spans="1:73" ht="14.25" customHeight="1" x14ac:dyDescent="0.2">
      <c r="A127" s="9">
        <v>120</v>
      </c>
      <c r="B127" s="25">
        <f>MAX('Attrition Modeling'!H124,$C$3)*(1-Summary!$C$20)</f>
        <v>0.02</v>
      </c>
      <c r="C127" s="24" t="e">
        <f t="shared" si="3"/>
        <v>#DIV/0!</v>
      </c>
      <c r="D127" s="11">
        <f t="shared" ref="D127:E127" si="65">D60</f>
        <v>-57</v>
      </c>
      <c r="E127" s="25">
        <f t="shared" si="65"/>
        <v>0</v>
      </c>
      <c r="F127" s="11">
        <f t="shared" si="9"/>
        <v>57</v>
      </c>
      <c r="G127" s="799">
        <f>Summary!$C$24*$E127</f>
        <v>0</v>
      </c>
      <c r="H127" s="799">
        <f>G127*(1-IFERROR(IF(H$69+$F127&lt;=12,SUMIFS('Attrition Modeling'!$D:$D,'Attrition Modeling'!$C:$C,'IP Attrition'!$D127,'Attrition Modeling'!$B:$B,'IP Attrition'!H$68),VLOOKUP($F127+H$2,$A$6:$C$106,2,FALSE)*VLOOKUP(H$1,'Attrition Modeling'!$L$15:$N$27,IF(H$2+$F60&lt;=24,2,3),FALSE)),$C$3)*(1+Projection!J$16)*(1+IF(H192&gt;0,'Attrition Modeling'!$N$9,0)))</f>
        <v>0</v>
      </c>
      <c r="I127" s="799">
        <f>H127*(1-IFERROR(IF(I$69+$F127&lt;=12,SUMIFS('Attrition Modeling'!$D:$D,'Attrition Modeling'!$C:$C,'IP Attrition'!$D127,'Attrition Modeling'!$B:$B,'IP Attrition'!I$68),VLOOKUP($F127+I$2,$A$6:$C$106,2,FALSE)*VLOOKUP(I$1,'Attrition Modeling'!$L$15:$N$27,IF(I$2+$F60&lt;=24,2,3),FALSE)),$C$3)*(1+Projection!K$16)*(1+IF(I192&gt;0,'Attrition Modeling'!$N$9,0)))</f>
        <v>0</v>
      </c>
      <c r="J127" s="799">
        <f>I127*(1-IFERROR(IF(J$69+$F127&lt;=12,SUMIFS('Attrition Modeling'!$D:$D,'Attrition Modeling'!$C:$C,'IP Attrition'!$D127,'Attrition Modeling'!$B:$B,'IP Attrition'!J$68),VLOOKUP($F127+J$2,$A$6:$C$106,2,FALSE)*VLOOKUP(J$1,'Attrition Modeling'!$L$15:$N$27,IF(J$2+$F60&lt;=24,2,3),FALSE)),$C$3)*(1+Projection!L$16)*(1+IF(J192&gt;0,'Attrition Modeling'!$N$9,0)))</f>
        <v>0</v>
      </c>
      <c r="K127" s="799">
        <f>J127*(1-IFERROR(IF(K$69+$F127&lt;=12,SUMIFS('Attrition Modeling'!$D:$D,'Attrition Modeling'!$C:$C,'IP Attrition'!$D127,'Attrition Modeling'!$B:$B,'IP Attrition'!K$68),VLOOKUP($F127+K$2,$A$6:$C$106,2,FALSE)*VLOOKUP(K$1,'Attrition Modeling'!$L$15:$N$27,IF(K$2+$F60&lt;=24,2,3),FALSE)),$C$3)*(1+Projection!M$16)*(1+IF(K192&gt;0,'Attrition Modeling'!$N$9,0)))</f>
        <v>0</v>
      </c>
      <c r="L127" s="799">
        <f>K127*(1-IFERROR(IF(L$69+$F127&lt;=12,SUMIFS('Attrition Modeling'!$D:$D,'Attrition Modeling'!$C:$C,'IP Attrition'!$D127,'Attrition Modeling'!$B:$B,'IP Attrition'!L$68),VLOOKUP($F127+L$2,$A$6:$C$106,2,FALSE)*VLOOKUP(L$1,'Attrition Modeling'!$L$15:$N$27,IF(L$2+$F60&lt;=24,2,3),FALSE)),$C$3)*(1+Projection!N$16)*(1+IF(L192&gt;0,'Attrition Modeling'!$N$9,0)))</f>
        <v>0</v>
      </c>
      <c r="M127" s="799">
        <f>L127*(1-IFERROR(IF(M$69+$F127&lt;=12,SUMIFS('Attrition Modeling'!$D:$D,'Attrition Modeling'!$C:$C,'IP Attrition'!$D127,'Attrition Modeling'!$B:$B,'IP Attrition'!M$68),VLOOKUP($F127+M$2,$A$6:$C$106,2,FALSE)*VLOOKUP(M$1,'Attrition Modeling'!$L$15:$N$27,IF(M$2+$F60&lt;=24,2,3),FALSE)),$C$3)*(1+Projection!O$16)*(1+IF(M192&gt;0,'Attrition Modeling'!$N$9,0)))</f>
        <v>0</v>
      </c>
      <c r="N127" s="799">
        <f>M127*(1-IFERROR(IF(N$69+$F127&lt;=12,SUMIFS('Attrition Modeling'!$D:$D,'Attrition Modeling'!$C:$C,'IP Attrition'!$D127,'Attrition Modeling'!$B:$B,'IP Attrition'!N$68),VLOOKUP($F127+N$2,$A$6:$C$106,2,FALSE)*VLOOKUP(N$1,'Attrition Modeling'!$L$15:$N$27,IF(N$2+$F60&lt;=24,2,3),FALSE)),$C$3)*(1+Projection!P$16)*(1+IF(N192&gt;0,'Attrition Modeling'!$N$9,0)))</f>
        <v>0</v>
      </c>
      <c r="O127" s="799">
        <f>N127*(1-IFERROR(IF(O$69+$F127&lt;=12,SUMIFS('Attrition Modeling'!$D:$D,'Attrition Modeling'!$C:$C,'IP Attrition'!$D127,'Attrition Modeling'!$B:$B,'IP Attrition'!O$68),VLOOKUP($F127+O$2,$A$6:$C$106,2,FALSE)*VLOOKUP(O$1,'Attrition Modeling'!$L$15:$N$27,IF(O$2+$F60&lt;=24,2,3),FALSE)),$C$3)*(1+Projection!Q$16)*(1+IF(O192&gt;0,'Attrition Modeling'!$N$9,0)))</f>
        <v>0</v>
      </c>
      <c r="P127" s="799">
        <f>O127*(1-IFERROR(IF(P$69+$F127&lt;=12,SUMIFS('Attrition Modeling'!$D:$D,'Attrition Modeling'!$C:$C,'IP Attrition'!$D127,'Attrition Modeling'!$B:$B,'IP Attrition'!P$68),VLOOKUP($F127+P$2,$A$6:$C$106,2,FALSE)*VLOOKUP(P$1,'Attrition Modeling'!$L$15:$N$27,IF(P$2+$F60&lt;=24,2,3),FALSE)),$C$3)*(1+Projection!R$16)*(1+IF(P192&gt;0,'Attrition Modeling'!$N$9,0)))</f>
        <v>0</v>
      </c>
      <c r="Q127" s="799">
        <f>P127*(1-IFERROR(IF(Q$69+$F127&lt;=12,SUMIFS('Attrition Modeling'!$D:$D,'Attrition Modeling'!$C:$C,'IP Attrition'!$D127,'Attrition Modeling'!$B:$B,'IP Attrition'!Q$68),VLOOKUP($F127+Q$2,$A$6:$C$106,2,FALSE)*VLOOKUP(Q$1,'Attrition Modeling'!$L$15:$N$27,IF(Q$2+$F60&lt;=24,2,3),FALSE)),$C$3)*(1+Projection!S$16)*(1+IF(Q192&gt;0,'Attrition Modeling'!$N$9,0)))</f>
        <v>0</v>
      </c>
      <c r="R127" s="799">
        <f>Q127*(1-IFERROR(IF(R$69+$F127&lt;=12,SUMIFS('Attrition Modeling'!$D:$D,'Attrition Modeling'!$C:$C,'IP Attrition'!$D127,'Attrition Modeling'!$B:$B,'IP Attrition'!R$68),VLOOKUP($F127+R$2,$A$6:$C$106,2,FALSE)*VLOOKUP(R$1,'Attrition Modeling'!$L$15:$N$27,IF(R$2+$F60&lt;=24,2,3),FALSE)),$C$3)*(1+Projection!T$16)*(1+IF(R192&gt;0,'Attrition Modeling'!$N$9,0)))</f>
        <v>0</v>
      </c>
      <c r="S127" s="799">
        <f>R127*(1-IFERROR(IF(S$69+$F127&lt;=12,SUMIFS('Attrition Modeling'!$D:$D,'Attrition Modeling'!$C:$C,'IP Attrition'!$D127,'Attrition Modeling'!$B:$B,'IP Attrition'!S$68),VLOOKUP($F127+S$2,$A$6:$C$106,2,FALSE)*VLOOKUP(S$1,'Attrition Modeling'!$L$15:$N$27,IF(S$2+$F60&lt;=24,2,3),FALSE)),$C$3)*(1+Projection!U$16)*(1+IF(S192&gt;0,'Attrition Modeling'!$N$9,0)))</f>
        <v>0</v>
      </c>
      <c r="T127" s="799">
        <f>S127*(1-IFERROR(IF(T$69+$F127&lt;=12,SUMIFS('Attrition Modeling'!$D:$D,'Attrition Modeling'!$C:$C,'IP Attrition'!$D127,'Attrition Modeling'!$B:$B,'IP Attrition'!T$68),VLOOKUP($F127+T$2,$A$6:$C$106,2,FALSE)*VLOOKUP(T$1,'Attrition Modeling'!$L$15:$N$27,IF(T$2+$F60&lt;=24,2,3),FALSE)),$C$3)*(1+Projection!V$16)*(1+IF(T192&gt;0,'Attrition Modeling'!$N$9,0)))</f>
        <v>0</v>
      </c>
      <c r="U127" s="799">
        <f>T127*(1-IFERROR(IF(U$69+$F127&lt;=12,SUMIFS('Attrition Modeling'!$D:$D,'Attrition Modeling'!$C:$C,'IP Attrition'!$D127,'Attrition Modeling'!$B:$B,'IP Attrition'!U$68),VLOOKUP($F127+U$2,$A$6:$C$106,2,FALSE)*VLOOKUP(U$1,'Attrition Modeling'!$L$15:$N$27,IF(U$2+$F60&lt;=24,2,3),FALSE)),$C$3)*(1+Projection!W$16)*(1+IF(U192&gt;0,'Attrition Modeling'!$N$9,0)))</f>
        <v>0</v>
      </c>
      <c r="V127" s="799">
        <f>U127*(1-IFERROR(IF(V$69+$F127&lt;=12,SUMIFS('Attrition Modeling'!$D:$D,'Attrition Modeling'!$C:$C,'IP Attrition'!$D127,'Attrition Modeling'!$B:$B,'IP Attrition'!V$68),VLOOKUP($F127+V$2,$A$6:$C$106,2,FALSE)*VLOOKUP(V$1,'Attrition Modeling'!$L$15:$N$27,IF(V$2+$F60&lt;=24,2,3),FALSE)),$C$3)*(1+Projection!X$16)*(1+IF(V192&gt;0,'Attrition Modeling'!$N$9,0)))</f>
        <v>0</v>
      </c>
      <c r="W127" s="799">
        <f>V127*(1-IFERROR(IF(W$69+$F127&lt;=12,SUMIFS('Attrition Modeling'!$D:$D,'Attrition Modeling'!$C:$C,'IP Attrition'!$D127,'Attrition Modeling'!$B:$B,'IP Attrition'!W$68),VLOOKUP($F127+W$2,$A$6:$C$106,2,FALSE)*VLOOKUP(W$1,'Attrition Modeling'!$L$15:$N$27,IF(W$2+$F60&lt;=24,2,3),FALSE)),$C$3)*(1+Projection!Y$16)*(1+IF(W192&gt;0,'Attrition Modeling'!$N$9,0)))</f>
        <v>0</v>
      </c>
      <c r="X127" s="799">
        <f>W127*(1-IFERROR(IF(X$69+$F127&lt;=12,SUMIFS('Attrition Modeling'!$D:$D,'Attrition Modeling'!$C:$C,'IP Attrition'!$D127,'Attrition Modeling'!$B:$B,'IP Attrition'!X$68),VLOOKUP($F127+X$2,$A$6:$C$106,2,FALSE)*VLOOKUP(X$1,'Attrition Modeling'!$L$15:$N$27,IF(X$2+$F60&lt;=24,2,3),FALSE)),$C$3)*(1+Projection!Z$16)*(1+IF(X192&gt;0,'Attrition Modeling'!$N$9,0)))</f>
        <v>0</v>
      </c>
      <c r="Y127" s="799">
        <f>X127*(1-IFERROR(IF(Y$69+$F127&lt;=12,SUMIFS('Attrition Modeling'!$D:$D,'Attrition Modeling'!$C:$C,'IP Attrition'!$D127,'Attrition Modeling'!$B:$B,'IP Attrition'!Y$68),VLOOKUP($F127+Y$2,$A$6:$C$106,2,FALSE)*VLOOKUP(Y$1,'Attrition Modeling'!$L$15:$N$27,IF(Y$2+$F60&lt;=24,2,3),FALSE)),$C$3)*(1+Projection!AA$16)*(1+IF(Y192&gt;0,'Attrition Modeling'!$N$9,0)))</f>
        <v>0</v>
      </c>
      <c r="Z127" s="799">
        <f>Y127*(1-IFERROR(IF(Z$69+$F127&lt;=12,SUMIFS('Attrition Modeling'!$D:$D,'Attrition Modeling'!$C:$C,'IP Attrition'!$D127,'Attrition Modeling'!$B:$B,'IP Attrition'!Z$68),VLOOKUP($F127+Z$2,$A$6:$C$106,2,FALSE)*VLOOKUP(Z$1,'Attrition Modeling'!$L$15:$N$27,IF(Z$2+$F60&lt;=24,2,3),FALSE)),$C$3)*(1+Projection!AB$16)*(1+IF(Z192&gt;0,'Attrition Modeling'!$N$9,0)))</f>
        <v>0</v>
      </c>
      <c r="AA127" s="799">
        <f>Z127*(1-IFERROR(IF(AA$69+$F127&lt;=12,SUMIFS('Attrition Modeling'!$D:$D,'Attrition Modeling'!$C:$C,'IP Attrition'!$D127,'Attrition Modeling'!$B:$B,'IP Attrition'!AA$68),VLOOKUP($F127+AA$2,$A$6:$C$106,2,FALSE)*VLOOKUP(AA$1,'Attrition Modeling'!$L$15:$N$27,IF(AA$2+$F60&lt;=24,2,3),FALSE)),$C$3)*(1+Projection!AC$16)*(1+IF(AA192&gt;0,'Attrition Modeling'!$N$9,0)))</f>
        <v>0</v>
      </c>
      <c r="AB127" s="799">
        <f>AA127*(1-IFERROR(IF(AB$69+$F127&lt;=12,SUMIFS('Attrition Modeling'!$D:$D,'Attrition Modeling'!$C:$C,'IP Attrition'!$D127,'Attrition Modeling'!$B:$B,'IP Attrition'!AB$68),VLOOKUP($F127+AB$2,$A$6:$C$106,2,FALSE)*VLOOKUP(AB$1,'Attrition Modeling'!$L$15:$N$27,IF(AB$2+$F60&lt;=24,2,3),FALSE)),$C$3)*(1+Projection!AD$16)*(1+IF(AB192&gt;0,'Attrition Modeling'!$N$9,0)))</f>
        <v>0</v>
      </c>
      <c r="AC127" s="799">
        <f>AB127*(1-IFERROR(IF(AC$69+$F127&lt;=12,SUMIFS('Attrition Modeling'!$D:$D,'Attrition Modeling'!$C:$C,'IP Attrition'!$D127,'Attrition Modeling'!$B:$B,'IP Attrition'!AC$68),VLOOKUP($F127+AC$2,$A$6:$C$106,2,FALSE)*VLOOKUP(AC$1,'Attrition Modeling'!$L$15:$N$27,IF(AC$2+$F60&lt;=24,2,3),FALSE)),$C$3)*(1+Projection!AE$16)*(1+IF(AC192&gt;0,'Attrition Modeling'!$N$9,0)))</f>
        <v>0</v>
      </c>
      <c r="AD127" s="799">
        <f>AC127*(1-IFERROR(IF(AD$69+$F127&lt;=12,SUMIFS('Attrition Modeling'!$D:$D,'Attrition Modeling'!$C:$C,'IP Attrition'!$D127,'Attrition Modeling'!$B:$B,'IP Attrition'!AD$68),VLOOKUP($F127+AD$2,$A$6:$C$106,2,FALSE)*VLOOKUP(AD$1,'Attrition Modeling'!$L$15:$N$27,IF(AD$2+$F60&lt;=24,2,3),FALSE)),$C$3)*(1+Projection!AF$16)*(1+IF(AD192&gt;0,'Attrition Modeling'!$N$9,0)))</f>
        <v>0</v>
      </c>
      <c r="AE127" s="799">
        <f>AD127*(1-IFERROR(IF(AE$69+$F127&lt;=12,SUMIFS('Attrition Modeling'!$D:$D,'Attrition Modeling'!$C:$C,'IP Attrition'!$D127,'Attrition Modeling'!$B:$B,'IP Attrition'!AE$68),VLOOKUP($F127+AE$2,$A$6:$C$106,2,FALSE)*VLOOKUP(AE$1,'Attrition Modeling'!$L$15:$N$27,IF(AE$2+$F60&lt;=24,2,3),FALSE)),$C$3)*(1+Projection!AG$16)*(1+IF(AE192&gt;0,'Attrition Modeling'!$N$9,0)))</f>
        <v>0</v>
      </c>
      <c r="AF127" s="799">
        <f>AE127*(1-IFERROR(IF(AF$69+$F127&lt;=12,SUMIFS('Attrition Modeling'!$D:$D,'Attrition Modeling'!$C:$C,'IP Attrition'!$D127,'Attrition Modeling'!$B:$B,'IP Attrition'!AF$68),VLOOKUP($F127+AF$2,$A$6:$C$106,2,FALSE)*VLOOKUP(AF$1,'Attrition Modeling'!$L$15:$N$27,IF(AF$2+$F60&lt;=24,2,3),FALSE)),$C$3)*(1+Projection!AH$16)*(1+IF(AF192&gt;0,'Attrition Modeling'!$N$9,0)))</f>
        <v>0</v>
      </c>
      <c r="AG127" s="799">
        <f>AF127*(1-IFERROR(IF(AG$69+$F127&lt;=12,SUMIFS('Attrition Modeling'!$D:$D,'Attrition Modeling'!$C:$C,'IP Attrition'!$D127,'Attrition Modeling'!$B:$B,'IP Attrition'!AG$68),VLOOKUP($F127+AG$2,$A$6:$C$106,2,FALSE)*VLOOKUP(AG$1,'Attrition Modeling'!$L$15:$N$27,IF(AG$2+$F60&lt;=24,2,3),FALSE)),$C$3)*(1+Projection!AI$16)*(1+IF(AG192&gt;0,'Attrition Modeling'!$N$9,0)))</f>
        <v>0</v>
      </c>
      <c r="AH127" s="799">
        <f>AG127*(1-IFERROR(IF(AH$69+$F127&lt;=12,SUMIFS('Attrition Modeling'!$D:$D,'Attrition Modeling'!$C:$C,'IP Attrition'!$D127,'Attrition Modeling'!$B:$B,'IP Attrition'!AH$68),VLOOKUP($F127+AH$2,$A$6:$C$106,2,FALSE)*VLOOKUP(AH$1,'Attrition Modeling'!$L$15:$N$27,IF(AH$2+$F60&lt;=24,2,3),FALSE)),$C$3)*(1+Projection!AJ$16)*(1+IF(AH192&gt;0,'Attrition Modeling'!$N$9,0)))</f>
        <v>0</v>
      </c>
      <c r="AI127" s="799">
        <f>AH127*(1-IFERROR(IF(AI$69+$F127&lt;=12,SUMIFS('Attrition Modeling'!$D:$D,'Attrition Modeling'!$C:$C,'IP Attrition'!$D127,'Attrition Modeling'!$B:$B,'IP Attrition'!AI$68),VLOOKUP($F127+AI$2,$A$6:$C$106,2,FALSE)*VLOOKUP(AI$1,'Attrition Modeling'!$L$15:$N$27,IF(AI$2+$F60&lt;=24,2,3),FALSE)),$C$3)*(1+Projection!AK$16)*(1+IF(AI192&gt;0,'Attrition Modeling'!$N$9,0)))</f>
        <v>0</v>
      </c>
      <c r="AJ127" s="799">
        <f>AI127*(1-IFERROR(IF(AJ$69+$F127&lt;=12,SUMIFS('Attrition Modeling'!$D:$D,'Attrition Modeling'!$C:$C,'IP Attrition'!$D127,'Attrition Modeling'!$B:$B,'IP Attrition'!AJ$68),VLOOKUP($F127+AJ$2,$A$6:$C$106,2,FALSE)*VLOOKUP(AJ$1,'Attrition Modeling'!$L$15:$N$27,IF(AJ$2+$F60&lt;=24,2,3),FALSE)),$C$3)*(1+Projection!AL$16)*(1+IF(AJ192&gt;0,'Attrition Modeling'!$N$9,0)))</f>
        <v>0</v>
      </c>
      <c r="AK127" s="799">
        <f>AJ127*(1-IFERROR(IF(AK$69+$F127&lt;=12,SUMIFS('Attrition Modeling'!$D:$D,'Attrition Modeling'!$C:$C,'IP Attrition'!$D127,'Attrition Modeling'!$B:$B,'IP Attrition'!AK$68),VLOOKUP($F127+AK$2,$A$6:$C$106,2,FALSE)*VLOOKUP(AK$1,'Attrition Modeling'!$L$15:$N$27,IF(AK$2+$F60&lt;=24,2,3),FALSE)),$C$3)*(1+Projection!AM$16)*(1+IF(AK192&gt;0,'Attrition Modeling'!$N$9,0)))</f>
        <v>0</v>
      </c>
      <c r="AL127" s="799">
        <f>AK127*(1-IFERROR(IF(AL$69+$F127&lt;=12,SUMIFS('Attrition Modeling'!$D:$D,'Attrition Modeling'!$C:$C,'IP Attrition'!$D127,'Attrition Modeling'!$B:$B,'IP Attrition'!AL$68),VLOOKUP($F127+AL$2,$A$6:$C$106,2,FALSE)*VLOOKUP(AL$1,'Attrition Modeling'!$L$15:$N$27,IF(AL$2+$F60&lt;=24,2,3),FALSE)),$C$3)*(1+Projection!AN$16)*(1+IF(AL192&gt;0,'Attrition Modeling'!$N$9,0)))</f>
        <v>0</v>
      </c>
      <c r="AM127" s="799">
        <f>AL127*(1-IFERROR(IF(AM$69+$F127&lt;=12,SUMIFS('Attrition Modeling'!$D:$D,'Attrition Modeling'!$C:$C,'IP Attrition'!$D127,'Attrition Modeling'!$B:$B,'IP Attrition'!AM$68),VLOOKUP($F127+AM$2,$A$6:$C$106,2,FALSE)*VLOOKUP(AM$1,'Attrition Modeling'!$L$15:$N$27,IF(AM$2+$F60&lt;=24,2,3),FALSE)),$C$3)*(1+Projection!AO$16)*(1+IF(AM192&gt;0,'Attrition Modeling'!$N$9,0)))</f>
        <v>0</v>
      </c>
      <c r="AN127" s="799">
        <f>AM127*(1-IFERROR(IF(AN$69+$F127&lt;=12,SUMIFS('Attrition Modeling'!$D:$D,'Attrition Modeling'!$C:$C,'IP Attrition'!$D127,'Attrition Modeling'!$B:$B,'IP Attrition'!AN$68),VLOOKUP($F127+AN$2,$A$6:$C$106,2,FALSE)*VLOOKUP(AN$1,'Attrition Modeling'!$L$15:$N$27,IF(AN$2+$F60&lt;=24,2,3),FALSE)),$C$3)*(1+Projection!AP$16)*(1+IF(AN192&gt;0,'Attrition Modeling'!$N$9,0)))</f>
        <v>0</v>
      </c>
      <c r="AO127" s="799">
        <f>AN127*(1-IFERROR(IF(AO$69+$F127&lt;=12,SUMIFS('Attrition Modeling'!$D:$D,'Attrition Modeling'!$C:$C,'IP Attrition'!$D127,'Attrition Modeling'!$B:$B,'IP Attrition'!AO$68),VLOOKUP($F127+AO$2,$A$6:$C$106,2,FALSE)*VLOOKUP(AO$1,'Attrition Modeling'!$L$15:$N$27,IF(AO$2+$F60&lt;=24,2,3),FALSE)),$C$3)*(1+Projection!AQ$16)*(1+IF(AO192&gt;0,'Attrition Modeling'!$N$9,0)))</f>
        <v>0</v>
      </c>
      <c r="AP127" s="799">
        <f>AO127*(1-IFERROR(IF(AP$69+$F127&lt;=12,SUMIFS('Attrition Modeling'!$D:$D,'Attrition Modeling'!$C:$C,'IP Attrition'!$D127,'Attrition Modeling'!$B:$B,'IP Attrition'!AP$68),VLOOKUP($F127+AP$2,$A$6:$C$106,2,FALSE)*VLOOKUP(AP$1,'Attrition Modeling'!$L$15:$N$27,IF(AP$2+$F60&lt;=24,2,3),FALSE)),$C$3)*(1+Projection!AR$16)*(1+IF(AP192&gt;0,'Attrition Modeling'!$N$9,0)))</f>
        <v>0</v>
      </c>
      <c r="AQ127" s="799">
        <f>AP127*(1-IFERROR(IF(AQ$69+$F127&lt;=12,SUMIFS('Attrition Modeling'!$D:$D,'Attrition Modeling'!$C:$C,'IP Attrition'!$D127,'Attrition Modeling'!$B:$B,'IP Attrition'!AQ$68),VLOOKUP($F127+AQ$2,$A$6:$C$106,2,FALSE)*VLOOKUP(AQ$1,'Attrition Modeling'!$L$15:$N$27,IF(AQ$2+$F60&lt;=24,2,3),FALSE)),$C$3)*(1+Projection!AS$16)*(1+IF(AQ192&gt;0,'Attrition Modeling'!$N$9,0)))</f>
        <v>0</v>
      </c>
      <c r="AR127" s="799">
        <f>AQ127*(1-IFERROR(IF(AR$69+$F127&lt;=12,SUMIFS('Attrition Modeling'!$D:$D,'Attrition Modeling'!$C:$C,'IP Attrition'!$D127,'Attrition Modeling'!$B:$B,'IP Attrition'!AR$68),VLOOKUP($F127+AR$2,$A$6:$C$106,2,FALSE)*VLOOKUP(AR$1,'Attrition Modeling'!$L$15:$N$27,IF(AR$2+$F60&lt;=24,2,3),FALSE)),$C$3)*(1+Projection!AT$16)*(1+IF(AR192&gt;0,'Attrition Modeling'!$N$9,0)))</f>
        <v>0</v>
      </c>
      <c r="AS127" s="799">
        <f>AR127*(1-IFERROR(IF(AS$69+$F127&lt;=12,SUMIFS('Attrition Modeling'!$D:$D,'Attrition Modeling'!$C:$C,'IP Attrition'!$D127,'Attrition Modeling'!$B:$B,'IP Attrition'!AS$68),VLOOKUP($F127+AS$2,$A$6:$C$106,2,FALSE)*VLOOKUP(AS$1,'Attrition Modeling'!$L$15:$N$27,IF(AS$2+$F60&lt;=24,2,3),FALSE)),$C$3)*(1+Projection!AU$16)*(1+IF(AS192&gt;0,'Attrition Modeling'!$N$9,0)))</f>
        <v>0</v>
      </c>
      <c r="AT127" s="799">
        <f>AS127*(1-IFERROR(IF(AT$69+$F127&lt;=12,SUMIFS('Attrition Modeling'!$D:$D,'Attrition Modeling'!$C:$C,'IP Attrition'!$D127,'Attrition Modeling'!$B:$B,'IP Attrition'!AT$68),VLOOKUP($F127+AT$2,$A$6:$C$106,2,FALSE)*VLOOKUP(AT$1,'Attrition Modeling'!$L$15:$N$27,IF(AT$2+$F60&lt;=24,2,3),FALSE)),$C$3)*(1+Projection!AV$16)*(1+IF(AT192&gt;0,'Attrition Modeling'!$N$9,0)))</f>
        <v>0</v>
      </c>
      <c r="AU127" s="799">
        <f>AT127*(1-IFERROR(IF(AU$69+$F127&lt;=12,SUMIFS('Attrition Modeling'!$D:$D,'Attrition Modeling'!$C:$C,'IP Attrition'!$D127,'Attrition Modeling'!$B:$B,'IP Attrition'!AU$68),VLOOKUP($F127+AU$2,$A$6:$C$106,2,FALSE)*VLOOKUP(AU$1,'Attrition Modeling'!$L$15:$N$27,IF(AU$2+$F60&lt;=24,2,3),FALSE)),$C$3)*(1+Projection!AW$16)*(1+IF(AU192&gt;0,'Attrition Modeling'!$N$9,0)))</f>
        <v>0</v>
      </c>
      <c r="AV127" s="799">
        <f>AU127*(1-IFERROR(IF(AV$69+$F127&lt;=12,SUMIFS('Attrition Modeling'!$D:$D,'Attrition Modeling'!$C:$C,'IP Attrition'!$D127,'Attrition Modeling'!$B:$B,'IP Attrition'!AV$68),VLOOKUP($F127+AV$2,$A$6:$C$106,2,FALSE)*VLOOKUP(AV$1,'Attrition Modeling'!$L$15:$N$27,IF(AV$2+$F60&lt;=24,2,3),FALSE)),$C$3)*(1+Projection!AX$16)*(1+IF(AV192&gt;0,'Attrition Modeling'!$N$9,0)))</f>
        <v>0</v>
      </c>
      <c r="AW127" s="799">
        <f>AV127*(1-IFERROR(IF(AW$69+$F127&lt;=12,SUMIFS('Attrition Modeling'!$D:$D,'Attrition Modeling'!$C:$C,'IP Attrition'!$D127,'Attrition Modeling'!$B:$B,'IP Attrition'!AW$68),VLOOKUP($F127+AW$2,$A$6:$C$106,2,FALSE)*VLOOKUP(AW$1,'Attrition Modeling'!$L$15:$N$27,IF(AW$2+$F60&lt;=24,2,3),FALSE)),$C$3)*(1+Projection!AY$16)*(1+IF(AW192&gt;0,'Attrition Modeling'!$N$9,0)))</f>
        <v>0</v>
      </c>
      <c r="AX127" s="799">
        <f>AW127*(1-IFERROR(IF(AX$69+$F127&lt;=12,SUMIFS('Attrition Modeling'!$D:$D,'Attrition Modeling'!$C:$C,'IP Attrition'!$D127,'Attrition Modeling'!$B:$B,'IP Attrition'!AX$68),VLOOKUP($F127+AX$2,$A$6:$C$106,2,FALSE)*VLOOKUP(AX$1,'Attrition Modeling'!$L$15:$N$27,IF(AX$2+$F60&lt;=24,2,3),FALSE)),$C$3)*(1+Projection!AZ$16)*(1+IF(AX192&gt;0,'Attrition Modeling'!$N$9,0)))</f>
        <v>0</v>
      </c>
      <c r="AY127" s="799">
        <f>AX127*(1-IFERROR(IF(AY$69+$F127&lt;=12,SUMIFS('Attrition Modeling'!$D:$D,'Attrition Modeling'!$C:$C,'IP Attrition'!$D127,'Attrition Modeling'!$B:$B,'IP Attrition'!AY$68),VLOOKUP($F127+AY$2,$A$6:$C$106,2,FALSE)*VLOOKUP(AY$1,'Attrition Modeling'!$L$15:$N$27,IF(AY$2+$F60&lt;=24,2,3),FALSE)),$C$3)*(1+Projection!BA$16)*(1+IF(AY192&gt;0,'Attrition Modeling'!$N$9,0)))</f>
        <v>0</v>
      </c>
      <c r="AZ127" s="799">
        <f>AY127*(1-IFERROR(IF(AZ$69+$F127&lt;=12,SUMIFS('Attrition Modeling'!$D:$D,'Attrition Modeling'!$C:$C,'IP Attrition'!$D127,'Attrition Modeling'!$B:$B,'IP Attrition'!AZ$68),VLOOKUP($F127+AZ$2,$A$6:$C$106,2,FALSE)*VLOOKUP(AZ$1,'Attrition Modeling'!$L$15:$N$27,IF(AZ$2+$F60&lt;=24,2,3),FALSE)),$C$3)*(1+Projection!BB$16)*(1+IF(AZ192&gt;0,'Attrition Modeling'!$N$9,0)))</f>
        <v>0</v>
      </c>
      <c r="BA127" s="799">
        <f>AZ127*(1-IFERROR(IF(BA$69+$F127&lt;=12,SUMIFS('Attrition Modeling'!$D:$D,'Attrition Modeling'!$C:$C,'IP Attrition'!$D127,'Attrition Modeling'!$B:$B,'IP Attrition'!BA$68),VLOOKUP($F127+BA$2,$A$6:$C$106,2,FALSE)*VLOOKUP(BA$1,'Attrition Modeling'!$L$15:$N$27,IF(BA$2+$F60&lt;=24,2,3),FALSE)),$C$3)*(1+Projection!BC$16)*(1+IF(BA192&gt;0,'Attrition Modeling'!$N$9,0)))</f>
        <v>0</v>
      </c>
      <c r="BB127" s="799">
        <f>BA127*(1-IFERROR(IF(BB$69+$F127&lt;=12,SUMIFS('Attrition Modeling'!$D:$D,'Attrition Modeling'!$C:$C,'IP Attrition'!$D127,'Attrition Modeling'!$B:$B,'IP Attrition'!BB$68),VLOOKUP($F127+BB$2,$A$6:$C$106,2,FALSE)*VLOOKUP(BB$1,'Attrition Modeling'!$L$15:$N$27,IF(BB$2+$F60&lt;=24,2,3),FALSE)),$C$3)*(1+Projection!BD$16)*(1+IF(BB192&gt;0,'Attrition Modeling'!$N$9,0)))</f>
        <v>0</v>
      </c>
      <c r="BC127" s="799">
        <f>BB127*(1-IFERROR(IF(BC$69+$F127&lt;=12,SUMIFS('Attrition Modeling'!$D:$D,'Attrition Modeling'!$C:$C,'IP Attrition'!$D127,'Attrition Modeling'!$B:$B,'IP Attrition'!BC$68),VLOOKUP($F127+BC$2,$A$6:$C$106,2,FALSE)*VLOOKUP(BC$1,'Attrition Modeling'!$L$15:$N$27,IF(BC$2+$F60&lt;=24,2,3),FALSE)),$C$3)*(1+Projection!BE$16)*(1+IF(BC192&gt;0,'Attrition Modeling'!$N$9,0)))</f>
        <v>0</v>
      </c>
      <c r="BD127" s="799">
        <f>BC127*(1-IFERROR(IF(BD$69+$F127&lt;=12,SUMIFS('Attrition Modeling'!$D:$D,'Attrition Modeling'!$C:$C,'IP Attrition'!$D127,'Attrition Modeling'!$B:$B,'IP Attrition'!BD$68),VLOOKUP($F127+BD$2,$A$6:$C$106,2,FALSE)*VLOOKUP(BD$1,'Attrition Modeling'!$L$15:$N$27,IF(BD$2+$F60&lt;=24,2,3),FALSE)),$C$3)*(1+Projection!BF$16)*(1+IF(BD192&gt;0,'Attrition Modeling'!$N$9,0)))</f>
        <v>0</v>
      </c>
      <c r="BE127" s="799">
        <f>BD127*(1-IFERROR(IF(BE$69+$F127&lt;=12,SUMIFS('Attrition Modeling'!$D:$D,'Attrition Modeling'!$C:$C,'IP Attrition'!$D127,'Attrition Modeling'!$B:$B,'IP Attrition'!BE$68),VLOOKUP($F127+BE$2,$A$6:$C$106,2,FALSE)*VLOOKUP(BE$1,'Attrition Modeling'!$L$15:$N$27,IF(BE$2+$F60&lt;=24,2,3),FALSE)),$C$3)*(1+Projection!BG$16)*(1+IF(BE192&gt;0,'Attrition Modeling'!$N$9,0)))</f>
        <v>0</v>
      </c>
      <c r="BF127" s="799">
        <f>BE127*(1-IFERROR(IF(BF$69+$F127&lt;=12,SUMIFS('Attrition Modeling'!$D:$D,'Attrition Modeling'!$C:$C,'IP Attrition'!$D127,'Attrition Modeling'!$B:$B,'IP Attrition'!BF$68),VLOOKUP($F127+BF$2,$A$6:$C$106,2,FALSE)*VLOOKUP(BF$1,'Attrition Modeling'!$L$15:$N$27,IF(BF$2+$F60&lt;=24,2,3),FALSE)),$C$3)*(1+Projection!BH$16)*(1+IF(BF192&gt;0,'Attrition Modeling'!$N$9,0)))</f>
        <v>0</v>
      </c>
      <c r="BG127" s="799">
        <f>BF127*(1-IFERROR(IF(BG$69+$F127&lt;=12,SUMIFS('Attrition Modeling'!$D:$D,'Attrition Modeling'!$C:$C,'IP Attrition'!$D127,'Attrition Modeling'!$B:$B,'IP Attrition'!BG$68),VLOOKUP($F127+BG$2,$A$6:$C$106,2,FALSE)*VLOOKUP(BG$1,'Attrition Modeling'!$L$15:$N$27,IF(BG$2+$F60&lt;=24,2,3),FALSE)),$C$3)*(1+Projection!BI$16)*(1+IF(BG192&gt;0,'Attrition Modeling'!$N$9,0)))</f>
        <v>0</v>
      </c>
      <c r="BH127" s="799">
        <f>BG127*(1-IFERROR(IF(BH$69+$F127&lt;=12,SUMIFS('Attrition Modeling'!$D:$D,'Attrition Modeling'!$C:$C,'IP Attrition'!$D127,'Attrition Modeling'!$B:$B,'IP Attrition'!BH$68),VLOOKUP($F127+BH$2,$A$6:$C$106,2,FALSE)*VLOOKUP(BH$1,'Attrition Modeling'!$L$15:$N$27,IF(BH$2+$F60&lt;=24,2,3),FALSE)),$C$3)*(1+Projection!BJ$16)*(1+IF(BH192&gt;0,'Attrition Modeling'!$N$9,0)))</f>
        <v>0</v>
      </c>
      <c r="BI127" s="799">
        <f>BH127*(1-IFERROR(IF(BI$69+$F127&lt;=12,SUMIFS('Attrition Modeling'!$D:$D,'Attrition Modeling'!$C:$C,'IP Attrition'!$D127,'Attrition Modeling'!$B:$B,'IP Attrition'!BI$68),VLOOKUP($F127+BI$2,$A$6:$C$106,2,FALSE)*VLOOKUP(BI$1,'Attrition Modeling'!$L$15:$N$27,IF(BI$2+$F60&lt;=24,2,3),FALSE)),$C$3)*(1+Projection!BK$16)*(1+IF(BI192&gt;0,'Attrition Modeling'!$N$9,0)))</f>
        <v>0</v>
      </c>
      <c r="BJ127" s="799">
        <f>BI127*(1-IFERROR(IF(BJ$69+$F127&lt;=12,SUMIFS('Attrition Modeling'!$D:$D,'Attrition Modeling'!$C:$C,'IP Attrition'!$D127,'Attrition Modeling'!$B:$B,'IP Attrition'!BJ$68),VLOOKUP($F127+BJ$2,$A$6:$C$106,2,FALSE)*VLOOKUP(BJ$1,'Attrition Modeling'!$L$15:$N$27,IF(BJ$2+$F60&lt;=24,2,3),FALSE)),$C$3)*(1+Projection!BL$16)*(1+IF(BJ192&gt;0,'Attrition Modeling'!$N$9,0)))</f>
        <v>0</v>
      </c>
      <c r="BK127" s="799">
        <f>BJ127*(1-IFERROR(IF(BK$69+$F127&lt;=12,SUMIFS('Attrition Modeling'!$D:$D,'Attrition Modeling'!$C:$C,'IP Attrition'!$D127,'Attrition Modeling'!$B:$B,'IP Attrition'!BK$68),VLOOKUP($F127+BK$2,$A$6:$C$106,2,FALSE)*VLOOKUP(BK$1,'Attrition Modeling'!$L$15:$N$27,IF(BK$2+$F60&lt;=24,2,3),FALSE)),$C$3)*(1+Projection!BM$16)*(1+IF(BK192&gt;0,'Attrition Modeling'!$N$9,0)))</f>
        <v>0</v>
      </c>
      <c r="BL127" s="799">
        <f>BK127*(1-IFERROR(IF(BL$69+$F127&lt;=12,SUMIFS('Attrition Modeling'!$D:$D,'Attrition Modeling'!$C:$C,'IP Attrition'!$D127,'Attrition Modeling'!$B:$B,'IP Attrition'!BL$68),VLOOKUP($F127+BL$2,$A$6:$C$106,2,FALSE)*VLOOKUP(BL$1,'Attrition Modeling'!$L$15:$N$27,IF(BL$2+$F60&lt;=24,2,3),FALSE)),$C$3)*(1+Projection!BN$16)*(1+IF(BL192&gt;0,'Attrition Modeling'!$N$9,0)))</f>
        <v>0</v>
      </c>
      <c r="BM127" s="799">
        <f>BL127*(1-IFERROR(IF(BM$69+$F127&lt;=12,SUMIFS('Attrition Modeling'!$D:$D,'Attrition Modeling'!$C:$C,'IP Attrition'!$D127,'Attrition Modeling'!$B:$B,'IP Attrition'!BM$68),VLOOKUP($F127+BM$2,$A$6:$C$106,2,FALSE)*VLOOKUP(BM$1,'Attrition Modeling'!$L$15:$N$27,IF(BM$2+$F60&lt;=24,2,3),FALSE)),$C$3)*(1+Projection!BO$16)*(1+IF(BM192&gt;0,'Attrition Modeling'!$N$9,0)))</f>
        <v>0</v>
      </c>
      <c r="BN127" s="799">
        <f>BM127*(1-IFERROR(IF(BN$69+$F127&lt;=12,SUMIFS('Attrition Modeling'!$D:$D,'Attrition Modeling'!$C:$C,'IP Attrition'!$D127,'Attrition Modeling'!$B:$B,'IP Attrition'!BN$68),VLOOKUP($F127+BN$2,$A$6:$C$106,2,FALSE)*VLOOKUP(BN$1,'Attrition Modeling'!$L$15:$N$27,IF(BN$2+$F60&lt;=24,2,3),FALSE)),$C$3)*(1+Projection!BP$16)*(1+IF(BN192&gt;0,'Attrition Modeling'!$N$9,0)))</f>
        <v>0</v>
      </c>
      <c r="BO127" s="799">
        <f>BN127*(1-IFERROR(IF(BO$69+$F127&lt;=12,SUMIFS('Attrition Modeling'!$D:$D,'Attrition Modeling'!$C:$C,'IP Attrition'!$D127,'Attrition Modeling'!$B:$B,'IP Attrition'!BO$68),VLOOKUP($F127+BO$2,$A$6:$C$106,2,FALSE)*VLOOKUP(BO$1,'Attrition Modeling'!$L$15:$N$27,IF(BO$2+$F60&lt;=24,2,3),FALSE)),$C$3)*(1+Projection!BV$16)*(1+IF(BO192&gt;0,'Attrition Modeling'!$N$9,0)))</f>
        <v>0</v>
      </c>
      <c r="BP127" s="799">
        <f>BO127*(1-IFERROR(IF(BP$69+$F127&lt;=12,SUMIFS('Attrition Modeling'!$D:$D,'Attrition Modeling'!$C:$C,'IP Attrition'!$D127,'Attrition Modeling'!$B:$B,'IP Attrition'!BP$68),VLOOKUP($F127+BP$2,$A$6:$C$106,2,FALSE)*VLOOKUP(BP$1,'Attrition Modeling'!$L$15:$N$27,IF(BP$2+$F60&lt;=24,2,3),FALSE)),$C$3)*(1+Projection!BW$16)*(1+IF(BP192&gt;0,'Attrition Modeling'!$N$9,0)))</f>
        <v>0</v>
      </c>
      <c r="BQ127" s="799">
        <f>BP127*(1-IFERROR(IF(BQ$69+$F127&lt;=12,SUMIFS('Attrition Modeling'!$D:$D,'Attrition Modeling'!$C:$C,'IP Attrition'!$D127,'Attrition Modeling'!$B:$B,'IP Attrition'!BQ$68),VLOOKUP($F127+BQ$2,$A$6:$C$106,2,FALSE)*VLOOKUP(BQ$1,'Attrition Modeling'!$L$15:$N$27,IF(BQ$2+$F60&lt;=24,2,3),FALSE)),$C$3)*(1+Projection!BX$16)*(1+IF(BQ192&gt;0,'Attrition Modeling'!$N$9,0)))</f>
        <v>0</v>
      </c>
      <c r="BR127" s="799">
        <f>BQ127*(1-IFERROR(IF(BR$69+$F127&lt;=12,SUMIFS('Attrition Modeling'!$D:$D,'Attrition Modeling'!$C:$C,'IP Attrition'!$D127,'Attrition Modeling'!$B:$B,'IP Attrition'!BR$68),VLOOKUP($F127+BR$2,$A$6:$C$106,2,FALSE)*VLOOKUP(BR$1,'Attrition Modeling'!$L$15:$N$27,IF(BR$2+$F60&lt;=24,2,3),FALSE)),$C$3)*(1+Projection!BY$16)*(1+IF(BR192&gt;0,'Attrition Modeling'!$N$9,0)))</f>
        <v>0</v>
      </c>
      <c r="BS127" s="799">
        <f>BR127*(1-IFERROR(IF(BS$69+$F127&lt;=12,SUMIFS('Attrition Modeling'!$D:$D,'Attrition Modeling'!$C:$C,'IP Attrition'!$D127,'Attrition Modeling'!$B:$B,'IP Attrition'!BS$68),VLOOKUP($F127+BS$2,$A$6:$C$106,2,FALSE)*VLOOKUP(BS$1,'Attrition Modeling'!$L$15:$N$27,IF(BS$2+$F60&lt;=24,2,3),FALSE)),$C$3)*(1+Projection!BZ$16)*(1+IF(BS192&gt;0,'Attrition Modeling'!$N$9,0)))</f>
        <v>0</v>
      </c>
      <c r="BT127" s="799" t="e">
        <f>BS127*(1-IFERROR(IF(BT$69+$F127&lt;=12,SUMIFS('Attrition Modeling'!$D:$D,'Attrition Modeling'!$C:$C,'IP Attrition'!$D127,'Attrition Modeling'!$B:$B,'IP Attrition'!BT$68),VLOOKUP($F127+BT$2,$A$6:$C$106,2,FALSE)*VLOOKUP(BT$1,'Attrition Modeling'!$L$15:$N$27,IF(BT$2+$F60&lt;=24,2,3),FALSE)),$C$3)*(1+Projection!CA$16)*(1+IF(BT192&gt;0,'Attrition Modeling'!$N$9,0)))</f>
        <v>#REF!</v>
      </c>
      <c r="BU127" s="799" t="e">
        <f>BT127*(1-IFERROR(IF(BU$69+$F127&lt;=12,SUMIFS('Attrition Modeling'!$D:$D,'Attrition Modeling'!$C:$C,'IP Attrition'!$D127,'Attrition Modeling'!$B:$B,'IP Attrition'!BU$68),VLOOKUP($F127+BU$2,$A$6:$C$106,2,FALSE)*VLOOKUP(BU$1,'Attrition Modeling'!$L$15:$N$27,IF(BU$2+$F60&lt;=24,2,3),FALSE)),$C$3)*(1+Projection!CB$16)*(1+IF(BU192&gt;0,'Attrition Modeling'!$N$9,0)))</f>
        <v>#REF!</v>
      </c>
    </row>
    <row r="128" spans="1:73" ht="14.25" customHeight="1" x14ac:dyDescent="0.2">
      <c r="A128" s="9">
        <v>121</v>
      </c>
      <c r="B128" s="25">
        <f>MAX('Attrition Modeling'!H125,$C$3)*(1-Summary!$C$20)</f>
        <v>0.02</v>
      </c>
      <c r="C128" s="24" t="e">
        <f t="shared" si="3"/>
        <v>#DIV/0!</v>
      </c>
      <c r="D128" s="11">
        <f t="shared" ref="D128:E128" si="66">D61</f>
        <v>-58</v>
      </c>
      <c r="E128" s="25">
        <f t="shared" si="66"/>
        <v>0</v>
      </c>
      <c r="F128" s="11">
        <f t="shared" si="9"/>
        <v>58</v>
      </c>
      <c r="G128" s="799">
        <f>Summary!$C$24*$E128</f>
        <v>0</v>
      </c>
      <c r="H128" s="799">
        <f>G128*(1-IFERROR(IF(H$69+$F128&lt;=12,SUMIFS('Attrition Modeling'!$D:$D,'Attrition Modeling'!$C:$C,'IP Attrition'!$D128,'Attrition Modeling'!$B:$B,'IP Attrition'!H$68),VLOOKUP($F128+H$2,$A$6:$C$106,2,FALSE)*VLOOKUP(H$1,'Attrition Modeling'!$L$15:$N$27,IF(H$2+$F61&lt;=24,2,3),FALSE)),$C$3)*(1+Projection!J$16)*(1+IF(H193&gt;0,'Attrition Modeling'!$N$9,0)))</f>
        <v>0</v>
      </c>
      <c r="I128" s="799">
        <f>H128*(1-IFERROR(IF(I$69+$F128&lt;=12,SUMIFS('Attrition Modeling'!$D:$D,'Attrition Modeling'!$C:$C,'IP Attrition'!$D128,'Attrition Modeling'!$B:$B,'IP Attrition'!I$68),VLOOKUP($F128+I$2,$A$6:$C$106,2,FALSE)*VLOOKUP(I$1,'Attrition Modeling'!$L$15:$N$27,IF(I$2+$F61&lt;=24,2,3),FALSE)),$C$3)*(1+Projection!K$16)*(1+IF(I193&gt;0,'Attrition Modeling'!$N$9,0)))</f>
        <v>0</v>
      </c>
      <c r="J128" s="799">
        <f>I128*(1-IFERROR(IF(J$69+$F128&lt;=12,SUMIFS('Attrition Modeling'!$D:$D,'Attrition Modeling'!$C:$C,'IP Attrition'!$D128,'Attrition Modeling'!$B:$B,'IP Attrition'!J$68),VLOOKUP($F128+J$2,$A$6:$C$106,2,FALSE)*VLOOKUP(J$1,'Attrition Modeling'!$L$15:$N$27,IF(J$2+$F61&lt;=24,2,3),FALSE)),$C$3)*(1+Projection!L$16)*(1+IF(J193&gt;0,'Attrition Modeling'!$N$9,0)))</f>
        <v>0</v>
      </c>
      <c r="K128" s="799">
        <f>J128*(1-IFERROR(IF(K$69+$F128&lt;=12,SUMIFS('Attrition Modeling'!$D:$D,'Attrition Modeling'!$C:$C,'IP Attrition'!$D128,'Attrition Modeling'!$B:$B,'IP Attrition'!K$68),VLOOKUP($F128+K$2,$A$6:$C$106,2,FALSE)*VLOOKUP(K$1,'Attrition Modeling'!$L$15:$N$27,IF(K$2+$F61&lt;=24,2,3),FALSE)),$C$3)*(1+Projection!M$16)*(1+IF(K193&gt;0,'Attrition Modeling'!$N$9,0)))</f>
        <v>0</v>
      </c>
      <c r="L128" s="799">
        <f>K128*(1-IFERROR(IF(L$69+$F128&lt;=12,SUMIFS('Attrition Modeling'!$D:$D,'Attrition Modeling'!$C:$C,'IP Attrition'!$D128,'Attrition Modeling'!$B:$B,'IP Attrition'!L$68),VLOOKUP($F128+L$2,$A$6:$C$106,2,FALSE)*VLOOKUP(L$1,'Attrition Modeling'!$L$15:$N$27,IF(L$2+$F61&lt;=24,2,3),FALSE)),$C$3)*(1+Projection!N$16)*(1+IF(L193&gt;0,'Attrition Modeling'!$N$9,0)))</f>
        <v>0</v>
      </c>
      <c r="M128" s="799">
        <f>L128*(1-IFERROR(IF(M$69+$F128&lt;=12,SUMIFS('Attrition Modeling'!$D:$D,'Attrition Modeling'!$C:$C,'IP Attrition'!$D128,'Attrition Modeling'!$B:$B,'IP Attrition'!M$68),VLOOKUP($F128+M$2,$A$6:$C$106,2,FALSE)*VLOOKUP(M$1,'Attrition Modeling'!$L$15:$N$27,IF(M$2+$F61&lt;=24,2,3),FALSE)),$C$3)*(1+Projection!O$16)*(1+IF(M193&gt;0,'Attrition Modeling'!$N$9,0)))</f>
        <v>0</v>
      </c>
      <c r="N128" s="799">
        <f>M128*(1-IFERROR(IF(N$69+$F128&lt;=12,SUMIFS('Attrition Modeling'!$D:$D,'Attrition Modeling'!$C:$C,'IP Attrition'!$D128,'Attrition Modeling'!$B:$B,'IP Attrition'!N$68),VLOOKUP($F128+N$2,$A$6:$C$106,2,FALSE)*VLOOKUP(N$1,'Attrition Modeling'!$L$15:$N$27,IF(N$2+$F61&lt;=24,2,3),FALSE)),$C$3)*(1+Projection!P$16)*(1+IF(N193&gt;0,'Attrition Modeling'!$N$9,0)))</f>
        <v>0</v>
      </c>
      <c r="O128" s="799">
        <f>N128*(1-IFERROR(IF(O$69+$F128&lt;=12,SUMIFS('Attrition Modeling'!$D:$D,'Attrition Modeling'!$C:$C,'IP Attrition'!$D128,'Attrition Modeling'!$B:$B,'IP Attrition'!O$68),VLOOKUP($F128+O$2,$A$6:$C$106,2,FALSE)*VLOOKUP(O$1,'Attrition Modeling'!$L$15:$N$27,IF(O$2+$F61&lt;=24,2,3),FALSE)),$C$3)*(1+Projection!Q$16)*(1+IF(O193&gt;0,'Attrition Modeling'!$N$9,0)))</f>
        <v>0</v>
      </c>
      <c r="P128" s="799">
        <f>O128*(1-IFERROR(IF(P$69+$F128&lt;=12,SUMIFS('Attrition Modeling'!$D:$D,'Attrition Modeling'!$C:$C,'IP Attrition'!$D128,'Attrition Modeling'!$B:$B,'IP Attrition'!P$68),VLOOKUP($F128+P$2,$A$6:$C$106,2,FALSE)*VLOOKUP(P$1,'Attrition Modeling'!$L$15:$N$27,IF(P$2+$F61&lt;=24,2,3),FALSE)),$C$3)*(1+Projection!R$16)*(1+IF(P193&gt;0,'Attrition Modeling'!$N$9,0)))</f>
        <v>0</v>
      </c>
      <c r="Q128" s="799">
        <f>P128*(1-IFERROR(IF(Q$69+$F128&lt;=12,SUMIFS('Attrition Modeling'!$D:$D,'Attrition Modeling'!$C:$C,'IP Attrition'!$D128,'Attrition Modeling'!$B:$B,'IP Attrition'!Q$68),VLOOKUP($F128+Q$2,$A$6:$C$106,2,FALSE)*VLOOKUP(Q$1,'Attrition Modeling'!$L$15:$N$27,IF(Q$2+$F61&lt;=24,2,3),FALSE)),$C$3)*(1+Projection!S$16)*(1+IF(Q193&gt;0,'Attrition Modeling'!$N$9,0)))</f>
        <v>0</v>
      </c>
      <c r="R128" s="799">
        <f>Q128*(1-IFERROR(IF(R$69+$F128&lt;=12,SUMIFS('Attrition Modeling'!$D:$D,'Attrition Modeling'!$C:$C,'IP Attrition'!$D128,'Attrition Modeling'!$B:$B,'IP Attrition'!R$68),VLOOKUP($F128+R$2,$A$6:$C$106,2,FALSE)*VLOOKUP(R$1,'Attrition Modeling'!$L$15:$N$27,IF(R$2+$F61&lt;=24,2,3),FALSE)),$C$3)*(1+Projection!T$16)*(1+IF(R193&gt;0,'Attrition Modeling'!$N$9,0)))</f>
        <v>0</v>
      </c>
      <c r="S128" s="799">
        <f>R128*(1-IFERROR(IF(S$69+$F128&lt;=12,SUMIFS('Attrition Modeling'!$D:$D,'Attrition Modeling'!$C:$C,'IP Attrition'!$D128,'Attrition Modeling'!$B:$B,'IP Attrition'!S$68),VLOOKUP($F128+S$2,$A$6:$C$106,2,FALSE)*VLOOKUP(S$1,'Attrition Modeling'!$L$15:$N$27,IF(S$2+$F61&lt;=24,2,3),FALSE)),$C$3)*(1+Projection!U$16)*(1+IF(S193&gt;0,'Attrition Modeling'!$N$9,0)))</f>
        <v>0</v>
      </c>
      <c r="T128" s="799">
        <f>S128*(1-IFERROR(IF(T$69+$F128&lt;=12,SUMIFS('Attrition Modeling'!$D:$D,'Attrition Modeling'!$C:$C,'IP Attrition'!$D128,'Attrition Modeling'!$B:$B,'IP Attrition'!T$68),VLOOKUP($F128+T$2,$A$6:$C$106,2,FALSE)*VLOOKUP(T$1,'Attrition Modeling'!$L$15:$N$27,IF(T$2+$F61&lt;=24,2,3),FALSE)),$C$3)*(1+Projection!V$16)*(1+IF(T193&gt;0,'Attrition Modeling'!$N$9,0)))</f>
        <v>0</v>
      </c>
      <c r="U128" s="799">
        <f>T128*(1-IFERROR(IF(U$69+$F128&lt;=12,SUMIFS('Attrition Modeling'!$D:$D,'Attrition Modeling'!$C:$C,'IP Attrition'!$D128,'Attrition Modeling'!$B:$B,'IP Attrition'!U$68),VLOOKUP($F128+U$2,$A$6:$C$106,2,FALSE)*VLOOKUP(U$1,'Attrition Modeling'!$L$15:$N$27,IF(U$2+$F61&lt;=24,2,3),FALSE)),$C$3)*(1+Projection!W$16)*(1+IF(U193&gt;0,'Attrition Modeling'!$N$9,0)))</f>
        <v>0</v>
      </c>
      <c r="V128" s="799">
        <f>U128*(1-IFERROR(IF(V$69+$F128&lt;=12,SUMIFS('Attrition Modeling'!$D:$D,'Attrition Modeling'!$C:$C,'IP Attrition'!$D128,'Attrition Modeling'!$B:$B,'IP Attrition'!V$68),VLOOKUP($F128+V$2,$A$6:$C$106,2,FALSE)*VLOOKUP(V$1,'Attrition Modeling'!$L$15:$N$27,IF(V$2+$F61&lt;=24,2,3),FALSE)),$C$3)*(1+Projection!X$16)*(1+IF(V193&gt;0,'Attrition Modeling'!$N$9,0)))</f>
        <v>0</v>
      </c>
      <c r="W128" s="799">
        <f>V128*(1-IFERROR(IF(W$69+$F128&lt;=12,SUMIFS('Attrition Modeling'!$D:$D,'Attrition Modeling'!$C:$C,'IP Attrition'!$D128,'Attrition Modeling'!$B:$B,'IP Attrition'!W$68),VLOOKUP($F128+W$2,$A$6:$C$106,2,FALSE)*VLOOKUP(W$1,'Attrition Modeling'!$L$15:$N$27,IF(W$2+$F61&lt;=24,2,3),FALSE)),$C$3)*(1+Projection!Y$16)*(1+IF(W193&gt;0,'Attrition Modeling'!$N$9,0)))</f>
        <v>0</v>
      </c>
      <c r="X128" s="799">
        <f>W128*(1-IFERROR(IF(X$69+$F128&lt;=12,SUMIFS('Attrition Modeling'!$D:$D,'Attrition Modeling'!$C:$C,'IP Attrition'!$D128,'Attrition Modeling'!$B:$B,'IP Attrition'!X$68),VLOOKUP($F128+X$2,$A$6:$C$106,2,FALSE)*VLOOKUP(X$1,'Attrition Modeling'!$L$15:$N$27,IF(X$2+$F61&lt;=24,2,3),FALSE)),$C$3)*(1+Projection!Z$16)*(1+IF(X193&gt;0,'Attrition Modeling'!$N$9,0)))</f>
        <v>0</v>
      </c>
      <c r="Y128" s="799">
        <f>X128*(1-IFERROR(IF(Y$69+$F128&lt;=12,SUMIFS('Attrition Modeling'!$D:$D,'Attrition Modeling'!$C:$C,'IP Attrition'!$D128,'Attrition Modeling'!$B:$B,'IP Attrition'!Y$68),VLOOKUP($F128+Y$2,$A$6:$C$106,2,FALSE)*VLOOKUP(Y$1,'Attrition Modeling'!$L$15:$N$27,IF(Y$2+$F61&lt;=24,2,3),FALSE)),$C$3)*(1+Projection!AA$16)*(1+IF(Y193&gt;0,'Attrition Modeling'!$N$9,0)))</f>
        <v>0</v>
      </c>
      <c r="Z128" s="799">
        <f>Y128*(1-IFERROR(IF(Z$69+$F128&lt;=12,SUMIFS('Attrition Modeling'!$D:$D,'Attrition Modeling'!$C:$C,'IP Attrition'!$D128,'Attrition Modeling'!$B:$B,'IP Attrition'!Z$68),VLOOKUP($F128+Z$2,$A$6:$C$106,2,FALSE)*VLOOKUP(Z$1,'Attrition Modeling'!$L$15:$N$27,IF(Z$2+$F61&lt;=24,2,3),FALSE)),$C$3)*(1+Projection!AB$16)*(1+IF(Z193&gt;0,'Attrition Modeling'!$N$9,0)))</f>
        <v>0</v>
      </c>
      <c r="AA128" s="799">
        <f>Z128*(1-IFERROR(IF(AA$69+$F128&lt;=12,SUMIFS('Attrition Modeling'!$D:$D,'Attrition Modeling'!$C:$C,'IP Attrition'!$D128,'Attrition Modeling'!$B:$B,'IP Attrition'!AA$68),VLOOKUP($F128+AA$2,$A$6:$C$106,2,FALSE)*VLOOKUP(AA$1,'Attrition Modeling'!$L$15:$N$27,IF(AA$2+$F61&lt;=24,2,3),FALSE)),$C$3)*(1+Projection!AC$16)*(1+IF(AA193&gt;0,'Attrition Modeling'!$N$9,0)))</f>
        <v>0</v>
      </c>
      <c r="AB128" s="799">
        <f>AA128*(1-IFERROR(IF(AB$69+$F128&lt;=12,SUMIFS('Attrition Modeling'!$D:$D,'Attrition Modeling'!$C:$C,'IP Attrition'!$D128,'Attrition Modeling'!$B:$B,'IP Attrition'!AB$68),VLOOKUP($F128+AB$2,$A$6:$C$106,2,FALSE)*VLOOKUP(AB$1,'Attrition Modeling'!$L$15:$N$27,IF(AB$2+$F61&lt;=24,2,3),FALSE)),$C$3)*(1+Projection!AD$16)*(1+IF(AB193&gt;0,'Attrition Modeling'!$N$9,0)))</f>
        <v>0</v>
      </c>
      <c r="AC128" s="799">
        <f>AB128*(1-IFERROR(IF(AC$69+$F128&lt;=12,SUMIFS('Attrition Modeling'!$D:$D,'Attrition Modeling'!$C:$C,'IP Attrition'!$D128,'Attrition Modeling'!$B:$B,'IP Attrition'!AC$68),VLOOKUP($F128+AC$2,$A$6:$C$106,2,FALSE)*VLOOKUP(AC$1,'Attrition Modeling'!$L$15:$N$27,IF(AC$2+$F61&lt;=24,2,3),FALSE)),$C$3)*(1+Projection!AE$16)*(1+IF(AC193&gt;0,'Attrition Modeling'!$N$9,0)))</f>
        <v>0</v>
      </c>
      <c r="AD128" s="799">
        <f>AC128*(1-IFERROR(IF(AD$69+$F128&lt;=12,SUMIFS('Attrition Modeling'!$D:$D,'Attrition Modeling'!$C:$C,'IP Attrition'!$D128,'Attrition Modeling'!$B:$B,'IP Attrition'!AD$68),VLOOKUP($F128+AD$2,$A$6:$C$106,2,FALSE)*VLOOKUP(AD$1,'Attrition Modeling'!$L$15:$N$27,IF(AD$2+$F61&lt;=24,2,3),FALSE)),$C$3)*(1+Projection!AF$16)*(1+IF(AD193&gt;0,'Attrition Modeling'!$N$9,0)))</f>
        <v>0</v>
      </c>
      <c r="AE128" s="799">
        <f>AD128*(1-IFERROR(IF(AE$69+$F128&lt;=12,SUMIFS('Attrition Modeling'!$D:$D,'Attrition Modeling'!$C:$C,'IP Attrition'!$D128,'Attrition Modeling'!$B:$B,'IP Attrition'!AE$68),VLOOKUP($F128+AE$2,$A$6:$C$106,2,FALSE)*VLOOKUP(AE$1,'Attrition Modeling'!$L$15:$N$27,IF(AE$2+$F61&lt;=24,2,3),FALSE)),$C$3)*(1+Projection!AG$16)*(1+IF(AE193&gt;0,'Attrition Modeling'!$N$9,0)))</f>
        <v>0</v>
      </c>
      <c r="AF128" s="799">
        <f>AE128*(1-IFERROR(IF(AF$69+$F128&lt;=12,SUMIFS('Attrition Modeling'!$D:$D,'Attrition Modeling'!$C:$C,'IP Attrition'!$D128,'Attrition Modeling'!$B:$B,'IP Attrition'!AF$68),VLOOKUP($F128+AF$2,$A$6:$C$106,2,FALSE)*VLOOKUP(AF$1,'Attrition Modeling'!$L$15:$N$27,IF(AF$2+$F61&lt;=24,2,3),FALSE)),$C$3)*(1+Projection!AH$16)*(1+IF(AF193&gt;0,'Attrition Modeling'!$N$9,0)))</f>
        <v>0</v>
      </c>
      <c r="AG128" s="799">
        <f>AF128*(1-IFERROR(IF(AG$69+$F128&lt;=12,SUMIFS('Attrition Modeling'!$D:$D,'Attrition Modeling'!$C:$C,'IP Attrition'!$D128,'Attrition Modeling'!$B:$B,'IP Attrition'!AG$68),VLOOKUP($F128+AG$2,$A$6:$C$106,2,FALSE)*VLOOKUP(AG$1,'Attrition Modeling'!$L$15:$N$27,IF(AG$2+$F61&lt;=24,2,3),FALSE)),$C$3)*(1+Projection!AI$16)*(1+IF(AG193&gt;0,'Attrition Modeling'!$N$9,0)))</f>
        <v>0</v>
      </c>
      <c r="AH128" s="799">
        <f>AG128*(1-IFERROR(IF(AH$69+$F128&lt;=12,SUMIFS('Attrition Modeling'!$D:$D,'Attrition Modeling'!$C:$C,'IP Attrition'!$D128,'Attrition Modeling'!$B:$B,'IP Attrition'!AH$68),VLOOKUP($F128+AH$2,$A$6:$C$106,2,FALSE)*VLOOKUP(AH$1,'Attrition Modeling'!$L$15:$N$27,IF(AH$2+$F61&lt;=24,2,3),FALSE)),$C$3)*(1+Projection!AJ$16)*(1+IF(AH193&gt;0,'Attrition Modeling'!$N$9,0)))</f>
        <v>0</v>
      </c>
      <c r="AI128" s="799">
        <f>AH128*(1-IFERROR(IF(AI$69+$F128&lt;=12,SUMIFS('Attrition Modeling'!$D:$D,'Attrition Modeling'!$C:$C,'IP Attrition'!$D128,'Attrition Modeling'!$B:$B,'IP Attrition'!AI$68),VLOOKUP($F128+AI$2,$A$6:$C$106,2,FALSE)*VLOOKUP(AI$1,'Attrition Modeling'!$L$15:$N$27,IF(AI$2+$F61&lt;=24,2,3),FALSE)),$C$3)*(1+Projection!AK$16)*(1+IF(AI193&gt;0,'Attrition Modeling'!$N$9,0)))</f>
        <v>0</v>
      </c>
      <c r="AJ128" s="799">
        <f>AI128*(1-IFERROR(IF(AJ$69+$F128&lt;=12,SUMIFS('Attrition Modeling'!$D:$D,'Attrition Modeling'!$C:$C,'IP Attrition'!$D128,'Attrition Modeling'!$B:$B,'IP Attrition'!AJ$68),VLOOKUP($F128+AJ$2,$A$6:$C$106,2,FALSE)*VLOOKUP(AJ$1,'Attrition Modeling'!$L$15:$N$27,IF(AJ$2+$F61&lt;=24,2,3),FALSE)),$C$3)*(1+Projection!AL$16)*(1+IF(AJ193&gt;0,'Attrition Modeling'!$N$9,0)))</f>
        <v>0</v>
      </c>
      <c r="AK128" s="799">
        <f>AJ128*(1-IFERROR(IF(AK$69+$F128&lt;=12,SUMIFS('Attrition Modeling'!$D:$D,'Attrition Modeling'!$C:$C,'IP Attrition'!$D128,'Attrition Modeling'!$B:$B,'IP Attrition'!AK$68),VLOOKUP($F128+AK$2,$A$6:$C$106,2,FALSE)*VLOOKUP(AK$1,'Attrition Modeling'!$L$15:$N$27,IF(AK$2+$F61&lt;=24,2,3),FALSE)),$C$3)*(1+Projection!AM$16)*(1+IF(AK193&gt;0,'Attrition Modeling'!$N$9,0)))</f>
        <v>0</v>
      </c>
      <c r="AL128" s="799">
        <f>AK128*(1-IFERROR(IF(AL$69+$F128&lt;=12,SUMIFS('Attrition Modeling'!$D:$D,'Attrition Modeling'!$C:$C,'IP Attrition'!$D128,'Attrition Modeling'!$B:$B,'IP Attrition'!AL$68),VLOOKUP($F128+AL$2,$A$6:$C$106,2,FALSE)*VLOOKUP(AL$1,'Attrition Modeling'!$L$15:$N$27,IF(AL$2+$F61&lt;=24,2,3),FALSE)),$C$3)*(1+Projection!AN$16)*(1+IF(AL193&gt;0,'Attrition Modeling'!$N$9,0)))</f>
        <v>0</v>
      </c>
      <c r="AM128" s="799">
        <f>AL128*(1-IFERROR(IF(AM$69+$F128&lt;=12,SUMIFS('Attrition Modeling'!$D:$D,'Attrition Modeling'!$C:$C,'IP Attrition'!$D128,'Attrition Modeling'!$B:$B,'IP Attrition'!AM$68),VLOOKUP($F128+AM$2,$A$6:$C$106,2,FALSE)*VLOOKUP(AM$1,'Attrition Modeling'!$L$15:$N$27,IF(AM$2+$F61&lt;=24,2,3),FALSE)),$C$3)*(1+Projection!AO$16)*(1+IF(AM193&gt;0,'Attrition Modeling'!$N$9,0)))</f>
        <v>0</v>
      </c>
      <c r="AN128" s="799">
        <f>AM128*(1-IFERROR(IF(AN$69+$F128&lt;=12,SUMIFS('Attrition Modeling'!$D:$D,'Attrition Modeling'!$C:$C,'IP Attrition'!$D128,'Attrition Modeling'!$B:$B,'IP Attrition'!AN$68),VLOOKUP($F128+AN$2,$A$6:$C$106,2,FALSE)*VLOOKUP(AN$1,'Attrition Modeling'!$L$15:$N$27,IF(AN$2+$F61&lt;=24,2,3),FALSE)),$C$3)*(1+Projection!AP$16)*(1+IF(AN193&gt;0,'Attrition Modeling'!$N$9,0)))</f>
        <v>0</v>
      </c>
      <c r="AO128" s="799">
        <f>AN128*(1-IFERROR(IF(AO$69+$F128&lt;=12,SUMIFS('Attrition Modeling'!$D:$D,'Attrition Modeling'!$C:$C,'IP Attrition'!$D128,'Attrition Modeling'!$B:$B,'IP Attrition'!AO$68),VLOOKUP($F128+AO$2,$A$6:$C$106,2,FALSE)*VLOOKUP(AO$1,'Attrition Modeling'!$L$15:$N$27,IF(AO$2+$F61&lt;=24,2,3),FALSE)),$C$3)*(1+Projection!AQ$16)*(1+IF(AO193&gt;0,'Attrition Modeling'!$N$9,0)))</f>
        <v>0</v>
      </c>
      <c r="AP128" s="799">
        <f>AO128*(1-IFERROR(IF(AP$69+$F128&lt;=12,SUMIFS('Attrition Modeling'!$D:$D,'Attrition Modeling'!$C:$C,'IP Attrition'!$D128,'Attrition Modeling'!$B:$B,'IP Attrition'!AP$68),VLOOKUP($F128+AP$2,$A$6:$C$106,2,FALSE)*VLOOKUP(AP$1,'Attrition Modeling'!$L$15:$N$27,IF(AP$2+$F61&lt;=24,2,3),FALSE)),$C$3)*(1+Projection!AR$16)*(1+IF(AP193&gt;0,'Attrition Modeling'!$N$9,0)))</f>
        <v>0</v>
      </c>
      <c r="AQ128" s="799">
        <f>AP128*(1-IFERROR(IF(AQ$69+$F128&lt;=12,SUMIFS('Attrition Modeling'!$D:$D,'Attrition Modeling'!$C:$C,'IP Attrition'!$D128,'Attrition Modeling'!$B:$B,'IP Attrition'!AQ$68),VLOOKUP($F128+AQ$2,$A$6:$C$106,2,FALSE)*VLOOKUP(AQ$1,'Attrition Modeling'!$L$15:$N$27,IF(AQ$2+$F61&lt;=24,2,3),FALSE)),$C$3)*(1+Projection!AS$16)*(1+IF(AQ193&gt;0,'Attrition Modeling'!$N$9,0)))</f>
        <v>0</v>
      </c>
      <c r="AR128" s="799">
        <f>AQ128*(1-IFERROR(IF(AR$69+$F128&lt;=12,SUMIFS('Attrition Modeling'!$D:$D,'Attrition Modeling'!$C:$C,'IP Attrition'!$D128,'Attrition Modeling'!$B:$B,'IP Attrition'!AR$68),VLOOKUP($F128+AR$2,$A$6:$C$106,2,FALSE)*VLOOKUP(AR$1,'Attrition Modeling'!$L$15:$N$27,IF(AR$2+$F61&lt;=24,2,3),FALSE)),$C$3)*(1+Projection!AT$16)*(1+IF(AR193&gt;0,'Attrition Modeling'!$N$9,0)))</f>
        <v>0</v>
      </c>
      <c r="AS128" s="799">
        <f>AR128*(1-IFERROR(IF(AS$69+$F128&lt;=12,SUMIFS('Attrition Modeling'!$D:$D,'Attrition Modeling'!$C:$C,'IP Attrition'!$D128,'Attrition Modeling'!$B:$B,'IP Attrition'!AS$68),VLOOKUP($F128+AS$2,$A$6:$C$106,2,FALSE)*VLOOKUP(AS$1,'Attrition Modeling'!$L$15:$N$27,IF(AS$2+$F61&lt;=24,2,3),FALSE)),$C$3)*(1+Projection!AU$16)*(1+IF(AS193&gt;0,'Attrition Modeling'!$N$9,0)))</f>
        <v>0</v>
      </c>
      <c r="AT128" s="799">
        <f>AS128*(1-IFERROR(IF(AT$69+$F128&lt;=12,SUMIFS('Attrition Modeling'!$D:$D,'Attrition Modeling'!$C:$C,'IP Attrition'!$D128,'Attrition Modeling'!$B:$B,'IP Attrition'!AT$68),VLOOKUP($F128+AT$2,$A$6:$C$106,2,FALSE)*VLOOKUP(AT$1,'Attrition Modeling'!$L$15:$N$27,IF(AT$2+$F61&lt;=24,2,3),FALSE)),$C$3)*(1+Projection!AV$16)*(1+IF(AT193&gt;0,'Attrition Modeling'!$N$9,0)))</f>
        <v>0</v>
      </c>
      <c r="AU128" s="799">
        <f>AT128*(1-IFERROR(IF(AU$69+$F128&lt;=12,SUMIFS('Attrition Modeling'!$D:$D,'Attrition Modeling'!$C:$C,'IP Attrition'!$D128,'Attrition Modeling'!$B:$B,'IP Attrition'!AU$68),VLOOKUP($F128+AU$2,$A$6:$C$106,2,FALSE)*VLOOKUP(AU$1,'Attrition Modeling'!$L$15:$N$27,IF(AU$2+$F61&lt;=24,2,3),FALSE)),$C$3)*(1+Projection!AW$16)*(1+IF(AU193&gt;0,'Attrition Modeling'!$N$9,0)))</f>
        <v>0</v>
      </c>
      <c r="AV128" s="799">
        <f>AU128*(1-IFERROR(IF(AV$69+$F128&lt;=12,SUMIFS('Attrition Modeling'!$D:$D,'Attrition Modeling'!$C:$C,'IP Attrition'!$D128,'Attrition Modeling'!$B:$B,'IP Attrition'!AV$68),VLOOKUP($F128+AV$2,$A$6:$C$106,2,FALSE)*VLOOKUP(AV$1,'Attrition Modeling'!$L$15:$N$27,IF(AV$2+$F61&lt;=24,2,3),FALSE)),$C$3)*(1+Projection!AX$16)*(1+IF(AV193&gt;0,'Attrition Modeling'!$N$9,0)))</f>
        <v>0</v>
      </c>
      <c r="AW128" s="799">
        <f>AV128*(1-IFERROR(IF(AW$69+$F128&lt;=12,SUMIFS('Attrition Modeling'!$D:$D,'Attrition Modeling'!$C:$C,'IP Attrition'!$D128,'Attrition Modeling'!$B:$B,'IP Attrition'!AW$68),VLOOKUP($F128+AW$2,$A$6:$C$106,2,FALSE)*VLOOKUP(AW$1,'Attrition Modeling'!$L$15:$N$27,IF(AW$2+$F61&lt;=24,2,3),FALSE)),$C$3)*(1+Projection!AY$16)*(1+IF(AW193&gt;0,'Attrition Modeling'!$N$9,0)))</f>
        <v>0</v>
      </c>
      <c r="AX128" s="799">
        <f>AW128*(1-IFERROR(IF(AX$69+$F128&lt;=12,SUMIFS('Attrition Modeling'!$D:$D,'Attrition Modeling'!$C:$C,'IP Attrition'!$D128,'Attrition Modeling'!$B:$B,'IP Attrition'!AX$68),VLOOKUP($F128+AX$2,$A$6:$C$106,2,FALSE)*VLOOKUP(AX$1,'Attrition Modeling'!$L$15:$N$27,IF(AX$2+$F61&lt;=24,2,3),FALSE)),$C$3)*(1+Projection!AZ$16)*(1+IF(AX193&gt;0,'Attrition Modeling'!$N$9,0)))</f>
        <v>0</v>
      </c>
      <c r="AY128" s="799">
        <f>AX128*(1-IFERROR(IF(AY$69+$F128&lt;=12,SUMIFS('Attrition Modeling'!$D:$D,'Attrition Modeling'!$C:$C,'IP Attrition'!$D128,'Attrition Modeling'!$B:$B,'IP Attrition'!AY$68),VLOOKUP($F128+AY$2,$A$6:$C$106,2,FALSE)*VLOOKUP(AY$1,'Attrition Modeling'!$L$15:$N$27,IF(AY$2+$F61&lt;=24,2,3),FALSE)),$C$3)*(1+Projection!BA$16)*(1+IF(AY193&gt;0,'Attrition Modeling'!$N$9,0)))</f>
        <v>0</v>
      </c>
      <c r="AZ128" s="799">
        <f>AY128*(1-IFERROR(IF(AZ$69+$F128&lt;=12,SUMIFS('Attrition Modeling'!$D:$D,'Attrition Modeling'!$C:$C,'IP Attrition'!$D128,'Attrition Modeling'!$B:$B,'IP Attrition'!AZ$68),VLOOKUP($F128+AZ$2,$A$6:$C$106,2,FALSE)*VLOOKUP(AZ$1,'Attrition Modeling'!$L$15:$N$27,IF(AZ$2+$F61&lt;=24,2,3),FALSE)),$C$3)*(1+Projection!BB$16)*(1+IF(AZ193&gt;0,'Attrition Modeling'!$N$9,0)))</f>
        <v>0</v>
      </c>
      <c r="BA128" s="799">
        <f>AZ128*(1-IFERROR(IF(BA$69+$F128&lt;=12,SUMIFS('Attrition Modeling'!$D:$D,'Attrition Modeling'!$C:$C,'IP Attrition'!$D128,'Attrition Modeling'!$B:$B,'IP Attrition'!BA$68),VLOOKUP($F128+BA$2,$A$6:$C$106,2,FALSE)*VLOOKUP(BA$1,'Attrition Modeling'!$L$15:$N$27,IF(BA$2+$F61&lt;=24,2,3),FALSE)),$C$3)*(1+Projection!BC$16)*(1+IF(BA193&gt;0,'Attrition Modeling'!$N$9,0)))</f>
        <v>0</v>
      </c>
      <c r="BB128" s="799">
        <f>BA128*(1-IFERROR(IF(BB$69+$F128&lt;=12,SUMIFS('Attrition Modeling'!$D:$D,'Attrition Modeling'!$C:$C,'IP Attrition'!$D128,'Attrition Modeling'!$B:$B,'IP Attrition'!BB$68),VLOOKUP($F128+BB$2,$A$6:$C$106,2,FALSE)*VLOOKUP(BB$1,'Attrition Modeling'!$L$15:$N$27,IF(BB$2+$F61&lt;=24,2,3),FALSE)),$C$3)*(1+Projection!BD$16)*(1+IF(BB193&gt;0,'Attrition Modeling'!$N$9,0)))</f>
        <v>0</v>
      </c>
      <c r="BC128" s="799">
        <f>BB128*(1-IFERROR(IF(BC$69+$F128&lt;=12,SUMIFS('Attrition Modeling'!$D:$D,'Attrition Modeling'!$C:$C,'IP Attrition'!$D128,'Attrition Modeling'!$B:$B,'IP Attrition'!BC$68),VLOOKUP($F128+BC$2,$A$6:$C$106,2,FALSE)*VLOOKUP(BC$1,'Attrition Modeling'!$L$15:$N$27,IF(BC$2+$F61&lt;=24,2,3),FALSE)),$C$3)*(1+Projection!BE$16)*(1+IF(BC193&gt;0,'Attrition Modeling'!$N$9,0)))</f>
        <v>0</v>
      </c>
      <c r="BD128" s="799">
        <f>BC128*(1-IFERROR(IF(BD$69+$F128&lt;=12,SUMIFS('Attrition Modeling'!$D:$D,'Attrition Modeling'!$C:$C,'IP Attrition'!$D128,'Attrition Modeling'!$B:$B,'IP Attrition'!BD$68),VLOOKUP($F128+BD$2,$A$6:$C$106,2,FALSE)*VLOOKUP(BD$1,'Attrition Modeling'!$L$15:$N$27,IF(BD$2+$F61&lt;=24,2,3),FALSE)),$C$3)*(1+Projection!BF$16)*(1+IF(BD193&gt;0,'Attrition Modeling'!$N$9,0)))</f>
        <v>0</v>
      </c>
      <c r="BE128" s="799">
        <f>BD128*(1-IFERROR(IF(BE$69+$F128&lt;=12,SUMIFS('Attrition Modeling'!$D:$D,'Attrition Modeling'!$C:$C,'IP Attrition'!$D128,'Attrition Modeling'!$B:$B,'IP Attrition'!BE$68),VLOOKUP($F128+BE$2,$A$6:$C$106,2,FALSE)*VLOOKUP(BE$1,'Attrition Modeling'!$L$15:$N$27,IF(BE$2+$F61&lt;=24,2,3),FALSE)),$C$3)*(1+Projection!BG$16)*(1+IF(BE193&gt;0,'Attrition Modeling'!$N$9,0)))</f>
        <v>0</v>
      </c>
      <c r="BF128" s="799">
        <f>BE128*(1-IFERROR(IF(BF$69+$F128&lt;=12,SUMIFS('Attrition Modeling'!$D:$D,'Attrition Modeling'!$C:$C,'IP Attrition'!$D128,'Attrition Modeling'!$B:$B,'IP Attrition'!BF$68),VLOOKUP($F128+BF$2,$A$6:$C$106,2,FALSE)*VLOOKUP(BF$1,'Attrition Modeling'!$L$15:$N$27,IF(BF$2+$F61&lt;=24,2,3),FALSE)),$C$3)*(1+Projection!BH$16)*(1+IF(BF193&gt;0,'Attrition Modeling'!$N$9,0)))</f>
        <v>0</v>
      </c>
      <c r="BG128" s="799">
        <f>BF128*(1-IFERROR(IF(BG$69+$F128&lt;=12,SUMIFS('Attrition Modeling'!$D:$D,'Attrition Modeling'!$C:$C,'IP Attrition'!$D128,'Attrition Modeling'!$B:$B,'IP Attrition'!BG$68),VLOOKUP($F128+BG$2,$A$6:$C$106,2,FALSE)*VLOOKUP(BG$1,'Attrition Modeling'!$L$15:$N$27,IF(BG$2+$F61&lt;=24,2,3),FALSE)),$C$3)*(1+Projection!BI$16)*(1+IF(BG193&gt;0,'Attrition Modeling'!$N$9,0)))</f>
        <v>0</v>
      </c>
      <c r="BH128" s="799">
        <f>BG128*(1-IFERROR(IF(BH$69+$F128&lt;=12,SUMIFS('Attrition Modeling'!$D:$D,'Attrition Modeling'!$C:$C,'IP Attrition'!$D128,'Attrition Modeling'!$B:$B,'IP Attrition'!BH$68),VLOOKUP($F128+BH$2,$A$6:$C$106,2,FALSE)*VLOOKUP(BH$1,'Attrition Modeling'!$L$15:$N$27,IF(BH$2+$F61&lt;=24,2,3),FALSE)),$C$3)*(1+Projection!BJ$16)*(1+IF(BH193&gt;0,'Attrition Modeling'!$N$9,0)))</f>
        <v>0</v>
      </c>
      <c r="BI128" s="799">
        <f>BH128*(1-IFERROR(IF(BI$69+$F128&lt;=12,SUMIFS('Attrition Modeling'!$D:$D,'Attrition Modeling'!$C:$C,'IP Attrition'!$D128,'Attrition Modeling'!$B:$B,'IP Attrition'!BI$68),VLOOKUP($F128+BI$2,$A$6:$C$106,2,FALSE)*VLOOKUP(BI$1,'Attrition Modeling'!$L$15:$N$27,IF(BI$2+$F61&lt;=24,2,3),FALSE)),$C$3)*(1+Projection!BK$16)*(1+IF(BI193&gt;0,'Attrition Modeling'!$N$9,0)))</f>
        <v>0</v>
      </c>
      <c r="BJ128" s="799">
        <f>BI128*(1-IFERROR(IF(BJ$69+$F128&lt;=12,SUMIFS('Attrition Modeling'!$D:$D,'Attrition Modeling'!$C:$C,'IP Attrition'!$D128,'Attrition Modeling'!$B:$B,'IP Attrition'!BJ$68),VLOOKUP($F128+BJ$2,$A$6:$C$106,2,FALSE)*VLOOKUP(BJ$1,'Attrition Modeling'!$L$15:$N$27,IF(BJ$2+$F61&lt;=24,2,3),FALSE)),$C$3)*(1+Projection!BL$16)*(1+IF(BJ193&gt;0,'Attrition Modeling'!$N$9,0)))</f>
        <v>0</v>
      </c>
      <c r="BK128" s="799">
        <f>BJ128*(1-IFERROR(IF(BK$69+$F128&lt;=12,SUMIFS('Attrition Modeling'!$D:$D,'Attrition Modeling'!$C:$C,'IP Attrition'!$D128,'Attrition Modeling'!$B:$B,'IP Attrition'!BK$68),VLOOKUP($F128+BK$2,$A$6:$C$106,2,FALSE)*VLOOKUP(BK$1,'Attrition Modeling'!$L$15:$N$27,IF(BK$2+$F61&lt;=24,2,3),FALSE)),$C$3)*(1+Projection!BM$16)*(1+IF(BK193&gt;0,'Attrition Modeling'!$N$9,0)))</f>
        <v>0</v>
      </c>
      <c r="BL128" s="799">
        <f>BK128*(1-IFERROR(IF(BL$69+$F128&lt;=12,SUMIFS('Attrition Modeling'!$D:$D,'Attrition Modeling'!$C:$C,'IP Attrition'!$D128,'Attrition Modeling'!$B:$B,'IP Attrition'!BL$68),VLOOKUP($F128+BL$2,$A$6:$C$106,2,FALSE)*VLOOKUP(BL$1,'Attrition Modeling'!$L$15:$N$27,IF(BL$2+$F61&lt;=24,2,3),FALSE)),$C$3)*(1+Projection!BN$16)*(1+IF(BL193&gt;0,'Attrition Modeling'!$N$9,0)))</f>
        <v>0</v>
      </c>
      <c r="BM128" s="799">
        <f>BL128*(1-IFERROR(IF(BM$69+$F128&lt;=12,SUMIFS('Attrition Modeling'!$D:$D,'Attrition Modeling'!$C:$C,'IP Attrition'!$D128,'Attrition Modeling'!$B:$B,'IP Attrition'!BM$68),VLOOKUP($F128+BM$2,$A$6:$C$106,2,FALSE)*VLOOKUP(BM$1,'Attrition Modeling'!$L$15:$N$27,IF(BM$2+$F61&lt;=24,2,3),FALSE)),$C$3)*(1+Projection!BO$16)*(1+IF(BM193&gt;0,'Attrition Modeling'!$N$9,0)))</f>
        <v>0</v>
      </c>
      <c r="BN128" s="799">
        <f>BM128*(1-IFERROR(IF(BN$69+$F128&lt;=12,SUMIFS('Attrition Modeling'!$D:$D,'Attrition Modeling'!$C:$C,'IP Attrition'!$D128,'Attrition Modeling'!$B:$B,'IP Attrition'!BN$68),VLOOKUP($F128+BN$2,$A$6:$C$106,2,FALSE)*VLOOKUP(BN$1,'Attrition Modeling'!$L$15:$N$27,IF(BN$2+$F61&lt;=24,2,3),FALSE)),$C$3)*(1+Projection!BP$16)*(1+IF(BN193&gt;0,'Attrition Modeling'!$N$9,0)))</f>
        <v>0</v>
      </c>
      <c r="BO128" s="799">
        <f>BN128*(1-IFERROR(IF(BO$69+$F128&lt;=12,SUMIFS('Attrition Modeling'!$D:$D,'Attrition Modeling'!$C:$C,'IP Attrition'!$D128,'Attrition Modeling'!$B:$B,'IP Attrition'!BO$68),VLOOKUP($F128+BO$2,$A$6:$C$106,2,FALSE)*VLOOKUP(BO$1,'Attrition Modeling'!$L$15:$N$27,IF(BO$2+$F61&lt;=24,2,3),FALSE)),$C$3)*(1+Projection!BV$16)*(1+IF(BO193&gt;0,'Attrition Modeling'!$N$9,0)))</f>
        <v>0</v>
      </c>
      <c r="BP128" s="799">
        <f>BO128*(1-IFERROR(IF(BP$69+$F128&lt;=12,SUMIFS('Attrition Modeling'!$D:$D,'Attrition Modeling'!$C:$C,'IP Attrition'!$D128,'Attrition Modeling'!$B:$B,'IP Attrition'!BP$68),VLOOKUP($F128+BP$2,$A$6:$C$106,2,FALSE)*VLOOKUP(BP$1,'Attrition Modeling'!$L$15:$N$27,IF(BP$2+$F61&lt;=24,2,3),FALSE)),$C$3)*(1+Projection!BW$16)*(1+IF(BP193&gt;0,'Attrition Modeling'!$N$9,0)))</f>
        <v>0</v>
      </c>
      <c r="BQ128" s="799">
        <f>BP128*(1-IFERROR(IF(BQ$69+$F128&lt;=12,SUMIFS('Attrition Modeling'!$D:$D,'Attrition Modeling'!$C:$C,'IP Attrition'!$D128,'Attrition Modeling'!$B:$B,'IP Attrition'!BQ$68),VLOOKUP($F128+BQ$2,$A$6:$C$106,2,FALSE)*VLOOKUP(BQ$1,'Attrition Modeling'!$L$15:$N$27,IF(BQ$2+$F61&lt;=24,2,3),FALSE)),$C$3)*(1+Projection!BX$16)*(1+IF(BQ193&gt;0,'Attrition Modeling'!$N$9,0)))</f>
        <v>0</v>
      </c>
      <c r="BR128" s="799">
        <f>BQ128*(1-IFERROR(IF(BR$69+$F128&lt;=12,SUMIFS('Attrition Modeling'!$D:$D,'Attrition Modeling'!$C:$C,'IP Attrition'!$D128,'Attrition Modeling'!$B:$B,'IP Attrition'!BR$68),VLOOKUP($F128+BR$2,$A$6:$C$106,2,FALSE)*VLOOKUP(BR$1,'Attrition Modeling'!$L$15:$N$27,IF(BR$2+$F61&lt;=24,2,3),FALSE)),$C$3)*(1+Projection!BY$16)*(1+IF(BR193&gt;0,'Attrition Modeling'!$N$9,0)))</f>
        <v>0</v>
      </c>
      <c r="BS128" s="799">
        <f>BR128*(1-IFERROR(IF(BS$69+$F128&lt;=12,SUMIFS('Attrition Modeling'!$D:$D,'Attrition Modeling'!$C:$C,'IP Attrition'!$D128,'Attrition Modeling'!$B:$B,'IP Attrition'!BS$68),VLOOKUP($F128+BS$2,$A$6:$C$106,2,FALSE)*VLOOKUP(BS$1,'Attrition Modeling'!$L$15:$N$27,IF(BS$2+$F61&lt;=24,2,3),FALSE)),$C$3)*(1+Projection!BZ$16)*(1+IF(BS193&gt;0,'Attrition Modeling'!$N$9,0)))</f>
        <v>0</v>
      </c>
      <c r="BT128" s="799" t="e">
        <f>BS128*(1-IFERROR(IF(BT$69+$F128&lt;=12,SUMIFS('Attrition Modeling'!$D:$D,'Attrition Modeling'!$C:$C,'IP Attrition'!$D128,'Attrition Modeling'!$B:$B,'IP Attrition'!BT$68),VLOOKUP($F128+BT$2,$A$6:$C$106,2,FALSE)*VLOOKUP(BT$1,'Attrition Modeling'!$L$15:$N$27,IF(BT$2+$F61&lt;=24,2,3),FALSE)),$C$3)*(1+Projection!CA$16)*(1+IF(BT193&gt;0,'Attrition Modeling'!$N$9,0)))</f>
        <v>#REF!</v>
      </c>
      <c r="BU128" s="799" t="e">
        <f>BT128*(1-IFERROR(IF(BU$69+$F128&lt;=12,SUMIFS('Attrition Modeling'!$D:$D,'Attrition Modeling'!$C:$C,'IP Attrition'!$D128,'Attrition Modeling'!$B:$B,'IP Attrition'!BU$68),VLOOKUP($F128+BU$2,$A$6:$C$106,2,FALSE)*VLOOKUP(BU$1,'Attrition Modeling'!$L$15:$N$27,IF(BU$2+$F61&lt;=24,2,3),FALSE)),$C$3)*(1+Projection!CB$16)*(1+IF(BU193&gt;0,'Attrition Modeling'!$N$9,0)))</f>
        <v>#REF!</v>
      </c>
    </row>
    <row r="129" spans="1:73" ht="14.25" customHeight="1" x14ac:dyDescent="0.2">
      <c r="A129" s="9">
        <v>122</v>
      </c>
      <c r="B129" s="25">
        <f>MAX('Attrition Modeling'!H126,$C$3)*(1-Summary!$C$20)</f>
        <v>0.02</v>
      </c>
      <c r="C129" s="24" t="e">
        <f t="shared" si="3"/>
        <v>#DIV/0!</v>
      </c>
      <c r="D129" s="11">
        <f t="shared" ref="D129:E129" si="67">D62</f>
        <v>-59</v>
      </c>
      <c r="E129" s="25">
        <f t="shared" si="67"/>
        <v>0</v>
      </c>
      <c r="F129" s="11">
        <f t="shared" si="9"/>
        <v>59</v>
      </c>
      <c r="G129" s="799">
        <f>Summary!$C$24*$E129</f>
        <v>0</v>
      </c>
      <c r="H129" s="799">
        <f>G129*(1-IFERROR(IF(H$69+$F129&lt;=12,SUMIFS('Attrition Modeling'!$D:$D,'Attrition Modeling'!$C:$C,'IP Attrition'!$D129,'Attrition Modeling'!$B:$B,'IP Attrition'!H$68),VLOOKUP($F129+H$2,$A$6:$C$106,2,FALSE)*VLOOKUP(H$1,'Attrition Modeling'!$L$15:$N$27,IF(H$2+$F62&lt;=24,2,3),FALSE)),$C$3)*(1+Projection!J$16)*(1+IF(H194&gt;0,'Attrition Modeling'!$N$9,0)))</f>
        <v>0</v>
      </c>
      <c r="I129" s="799">
        <f>H129*(1-IFERROR(IF(I$69+$F129&lt;=12,SUMIFS('Attrition Modeling'!$D:$D,'Attrition Modeling'!$C:$C,'IP Attrition'!$D129,'Attrition Modeling'!$B:$B,'IP Attrition'!I$68),VLOOKUP($F129+I$2,$A$6:$C$106,2,FALSE)*VLOOKUP(I$1,'Attrition Modeling'!$L$15:$N$27,IF(I$2+$F62&lt;=24,2,3),FALSE)),$C$3)*(1+Projection!K$16)*(1+IF(I194&gt;0,'Attrition Modeling'!$N$9,0)))</f>
        <v>0</v>
      </c>
      <c r="J129" s="799">
        <f>I129*(1-IFERROR(IF(J$69+$F129&lt;=12,SUMIFS('Attrition Modeling'!$D:$D,'Attrition Modeling'!$C:$C,'IP Attrition'!$D129,'Attrition Modeling'!$B:$B,'IP Attrition'!J$68),VLOOKUP($F129+J$2,$A$6:$C$106,2,FALSE)*VLOOKUP(J$1,'Attrition Modeling'!$L$15:$N$27,IF(J$2+$F62&lt;=24,2,3),FALSE)),$C$3)*(1+Projection!L$16)*(1+IF(J194&gt;0,'Attrition Modeling'!$N$9,0)))</f>
        <v>0</v>
      </c>
      <c r="K129" s="799">
        <f>J129*(1-IFERROR(IF(K$69+$F129&lt;=12,SUMIFS('Attrition Modeling'!$D:$D,'Attrition Modeling'!$C:$C,'IP Attrition'!$D129,'Attrition Modeling'!$B:$B,'IP Attrition'!K$68),VLOOKUP($F129+K$2,$A$6:$C$106,2,FALSE)*VLOOKUP(K$1,'Attrition Modeling'!$L$15:$N$27,IF(K$2+$F62&lt;=24,2,3),FALSE)),$C$3)*(1+Projection!M$16)*(1+IF(K194&gt;0,'Attrition Modeling'!$N$9,0)))</f>
        <v>0</v>
      </c>
      <c r="L129" s="799">
        <f>K129*(1-IFERROR(IF(L$69+$F129&lt;=12,SUMIFS('Attrition Modeling'!$D:$D,'Attrition Modeling'!$C:$C,'IP Attrition'!$D129,'Attrition Modeling'!$B:$B,'IP Attrition'!L$68),VLOOKUP($F129+L$2,$A$6:$C$106,2,FALSE)*VLOOKUP(L$1,'Attrition Modeling'!$L$15:$N$27,IF(L$2+$F62&lt;=24,2,3),FALSE)),$C$3)*(1+Projection!N$16)*(1+IF(L194&gt;0,'Attrition Modeling'!$N$9,0)))</f>
        <v>0</v>
      </c>
      <c r="M129" s="799">
        <f>L129*(1-IFERROR(IF(M$69+$F129&lt;=12,SUMIFS('Attrition Modeling'!$D:$D,'Attrition Modeling'!$C:$C,'IP Attrition'!$D129,'Attrition Modeling'!$B:$B,'IP Attrition'!M$68),VLOOKUP($F129+M$2,$A$6:$C$106,2,FALSE)*VLOOKUP(M$1,'Attrition Modeling'!$L$15:$N$27,IF(M$2+$F62&lt;=24,2,3),FALSE)),$C$3)*(1+Projection!O$16)*(1+IF(M194&gt;0,'Attrition Modeling'!$N$9,0)))</f>
        <v>0</v>
      </c>
      <c r="N129" s="799">
        <f>M129*(1-IFERROR(IF(N$69+$F129&lt;=12,SUMIFS('Attrition Modeling'!$D:$D,'Attrition Modeling'!$C:$C,'IP Attrition'!$D129,'Attrition Modeling'!$B:$B,'IP Attrition'!N$68),VLOOKUP($F129+N$2,$A$6:$C$106,2,FALSE)*VLOOKUP(N$1,'Attrition Modeling'!$L$15:$N$27,IF(N$2+$F62&lt;=24,2,3),FALSE)),$C$3)*(1+Projection!P$16)*(1+IF(N194&gt;0,'Attrition Modeling'!$N$9,0)))</f>
        <v>0</v>
      </c>
      <c r="O129" s="799">
        <f>N129*(1-IFERROR(IF(O$69+$F129&lt;=12,SUMIFS('Attrition Modeling'!$D:$D,'Attrition Modeling'!$C:$C,'IP Attrition'!$D129,'Attrition Modeling'!$B:$B,'IP Attrition'!O$68),VLOOKUP($F129+O$2,$A$6:$C$106,2,FALSE)*VLOOKUP(O$1,'Attrition Modeling'!$L$15:$N$27,IF(O$2+$F62&lt;=24,2,3),FALSE)),$C$3)*(1+Projection!Q$16)*(1+IF(O194&gt;0,'Attrition Modeling'!$N$9,0)))</f>
        <v>0</v>
      </c>
      <c r="P129" s="799">
        <f>O129*(1-IFERROR(IF(P$69+$F129&lt;=12,SUMIFS('Attrition Modeling'!$D:$D,'Attrition Modeling'!$C:$C,'IP Attrition'!$D129,'Attrition Modeling'!$B:$B,'IP Attrition'!P$68),VLOOKUP($F129+P$2,$A$6:$C$106,2,FALSE)*VLOOKUP(P$1,'Attrition Modeling'!$L$15:$N$27,IF(P$2+$F62&lt;=24,2,3),FALSE)),$C$3)*(1+Projection!R$16)*(1+IF(P194&gt;0,'Attrition Modeling'!$N$9,0)))</f>
        <v>0</v>
      </c>
      <c r="Q129" s="799">
        <f>P129*(1-IFERROR(IF(Q$69+$F129&lt;=12,SUMIFS('Attrition Modeling'!$D:$D,'Attrition Modeling'!$C:$C,'IP Attrition'!$D129,'Attrition Modeling'!$B:$B,'IP Attrition'!Q$68),VLOOKUP($F129+Q$2,$A$6:$C$106,2,FALSE)*VLOOKUP(Q$1,'Attrition Modeling'!$L$15:$N$27,IF(Q$2+$F62&lt;=24,2,3),FALSE)),$C$3)*(1+Projection!S$16)*(1+IF(Q194&gt;0,'Attrition Modeling'!$N$9,0)))</f>
        <v>0</v>
      </c>
      <c r="R129" s="799">
        <f>Q129*(1-IFERROR(IF(R$69+$F129&lt;=12,SUMIFS('Attrition Modeling'!$D:$D,'Attrition Modeling'!$C:$C,'IP Attrition'!$D129,'Attrition Modeling'!$B:$B,'IP Attrition'!R$68),VLOOKUP($F129+R$2,$A$6:$C$106,2,FALSE)*VLOOKUP(R$1,'Attrition Modeling'!$L$15:$N$27,IF(R$2+$F62&lt;=24,2,3),FALSE)),$C$3)*(1+Projection!T$16)*(1+IF(R194&gt;0,'Attrition Modeling'!$N$9,0)))</f>
        <v>0</v>
      </c>
      <c r="S129" s="799">
        <f>R129*(1-IFERROR(IF(S$69+$F129&lt;=12,SUMIFS('Attrition Modeling'!$D:$D,'Attrition Modeling'!$C:$C,'IP Attrition'!$D129,'Attrition Modeling'!$B:$B,'IP Attrition'!S$68),VLOOKUP($F129+S$2,$A$6:$C$106,2,FALSE)*VLOOKUP(S$1,'Attrition Modeling'!$L$15:$N$27,IF(S$2+$F62&lt;=24,2,3),FALSE)),$C$3)*(1+Projection!U$16)*(1+IF(S194&gt;0,'Attrition Modeling'!$N$9,0)))</f>
        <v>0</v>
      </c>
      <c r="T129" s="799">
        <f>S129*(1-IFERROR(IF(T$69+$F129&lt;=12,SUMIFS('Attrition Modeling'!$D:$D,'Attrition Modeling'!$C:$C,'IP Attrition'!$D129,'Attrition Modeling'!$B:$B,'IP Attrition'!T$68),VLOOKUP($F129+T$2,$A$6:$C$106,2,FALSE)*VLOOKUP(T$1,'Attrition Modeling'!$L$15:$N$27,IF(T$2+$F62&lt;=24,2,3),FALSE)),$C$3)*(1+Projection!V$16)*(1+IF(T194&gt;0,'Attrition Modeling'!$N$9,0)))</f>
        <v>0</v>
      </c>
      <c r="U129" s="799">
        <f>T129*(1-IFERROR(IF(U$69+$F129&lt;=12,SUMIFS('Attrition Modeling'!$D:$D,'Attrition Modeling'!$C:$C,'IP Attrition'!$D129,'Attrition Modeling'!$B:$B,'IP Attrition'!U$68),VLOOKUP($F129+U$2,$A$6:$C$106,2,FALSE)*VLOOKUP(U$1,'Attrition Modeling'!$L$15:$N$27,IF(U$2+$F62&lt;=24,2,3),FALSE)),$C$3)*(1+Projection!W$16)*(1+IF(U194&gt;0,'Attrition Modeling'!$N$9,0)))</f>
        <v>0</v>
      </c>
      <c r="V129" s="799">
        <f>U129*(1-IFERROR(IF(V$69+$F129&lt;=12,SUMIFS('Attrition Modeling'!$D:$D,'Attrition Modeling'!$C:$C,'IP Attrition'!$D129,'Attrition Modeling'!$B:$B,'IP Attrition'!V$68),VLOOKUP($F129+V$2,$A$6:$C$106,2,FALSE)*VLOOKUP(V$1,'Attrition Modeling'!$L$15:$N$27,IF(V$2+$F62&lt;=24,2,3),FALSE)),$C$3)*(1+Projection!X$16)*(1+IF(V194&gt;0,'Attrition Modeling'!$N$9,0)))</f>
        <v>0</v>
      </c>
      <c r="W129" s="799">
        <f>V129*(1-IFERROR(IF(W$69+$F129&lt;=12,SUMIFS('Attrition Modeling'!$D:$D,'Attrition Modeling'!$C:$C,'IP Attrition'!$D129,'Attrition Modeling'!$B:$B,'IP Attrition'!W$68),VLOOKUP($F129+W$2,$A$6:$C$106,2,FALSE)*VLOOKUP(W$1,'Attrition Modeling'!$L$15:$N$27,IF(W$2+$F62&lt;=24,2,3),FALSE)),$C$3)*(1+Projection!Y$16)*(1+IF(W194&gt;0,'Attrition Modeling'!$N$9,0)))</f>
        <v>0</v>
      </c>
      <c r="X129" s="799">
        <f>W129*(1-IFERROR(IF(X$69+$F129&lt;=12,SUMIFS('Attrition Modeling'!$D:$D,'Attrition Modeling'!$C:$C,'IP Attrition'!$D129,'Attrition Modeling'!$B:$B,'IP Attrition'!X$68),VLOOKUP($F129+X$2,$A$6:$C$106,2,FALSE)*VLOOKUP(X$1,'Attrition Modeling'!$L$15:$N$27,IF(X$2+$F62&lt;=24,2,3),FALSE)),$C$3)*(1+Projection!Z$16)*(1+IF(X194&gt;0,'Attrition Modeling'!$N$9,0)))</f>
        <v>0</v>
      </c>
      <c r="Y129" s="799">
        <f>X129*(1-IFERROR(IF(Y$69+$F129&lt;=12,SUMIFS('Attrition Modeling'!$D:$D,'Attrition Modeling'!$C:$C,'IP Attrition'!$D129,'Attrition Modeling'!$B:$B,'IP Attrition'!Y$68),VLOOKUP($F129+Y$2,$A$6:$C$106,2,FALSE)*VLOOKUP(Y$1,'Attrition Modeling'!$L$15:$N$27,IF(Y$2+$F62&lt;=24,2,3),FALSE)),$C$3)*(1+Projection!AA$16)*(1+IF(Y194&gt;0,'Attrition Modeling'!$N$9,0)))</f>
        <v>0</v>
      </c>
      <c r="Z129" s="799">
        <f>Y129*(1-IFERROR(IF(Z$69+$F129&lt;=12,SUMIFS('Attrition Modeling'!$D:$D,'Attrition Modeling'!$C:$C,'IP Attrition'!$D129,'Attrition Modeling'!$B:$B,'IP Attrition'!Z$68),VLOOKUP($F129+Z$2,$A$6:$C$106,2,FALSE)*VLOOKUP(Z$1,'Attrition Modeling'!$L$15:$N$27,IF(Z$2+$F62&lt;=24,2,3),FALSE)),$C$3)*(1+Projection!AB$16)*(1+IF(Z194&gt;0,'Attrition Modeling'!$N$9,0)))</f>
        <v>0</v>
      </c>
      <c r="AA129" s="799">
        <f>Z129*(1-IFERROR(IF(AA$69+$F129&lt;=12,SUMIFS('Attrition Modeling'!$D:$D,'Attrition Modeling'!$C:$C,'IP Attrition'!$D129,'Attrition Modeling'!$B:$B,'IP Attrition'!AA$68),VLOOKUP($F129+AA$2,$A$6:$C$106,2,FALSE)*VLOOKUP(AA$1,'Attrition Modeling'!$L$15:$N$27,IF(AA$2+$F62&lt;=24,2,3),FALSE)),$C$3)*(1+Projection!AC$16)*(1+IF(AA194&gt;0,'Attrition Modeling'!$N$9,0)))</f>
        <v>0</v>
      </c>
      <c r="AB129" s="799">
        <f>AA129*(1-IFERROR(IF(AB$69+$F129&lt;=12,SUMIFS('Attrition Modeling'!$D:$D,'Attrition Modeling'!$C:$C,'IP Attrition'!$D129,'Attrition Modeling'!$B:$B,'IP Attrition'!AB$68),VLOOKUP($F129+AB$2,$A$6:$C$106,2,FALSE)*VLOOKUP(AB$1,'Attrition Modeling'!$L$15:$N$27,IF(AB$2+$F62&lt;=24,2,3),FALSE)),$C$3)*(1+Projection!AD$16)*(1+IF(AB194&gt;0,'Attrition Modeling'!$N$9,0)))</f>
        <v>0</v>
      </c>
      <c r="AC129" s="799">
        <f>AB129*(1-IFERROR(IF(AC$69+$F129&lt;=12,SUMIFS('Attrition Modeling'!$D:$D,'Attrition Modeling'!$C:$C,'IP Attrition'!$D129,'Attrition Modeling'!$B:$B,'IP Attrition'!AC$68),VLOOKUP($F129+AC$2,$A$6:$C$106,2,FALSE)*VLOOKUP(AC$1,'Attrition Modeling'!$L$15:$N$27,IF(AC$2+$F62&lt;=24,2,3),FALSE)),$C$3)*(1+Projection!AE$16)*(1+IF(AC194&gt;0,'Attrition Modeling'!$N$9,0)))</f>
        <v>0</v>
      </c>
      <c r="AD129" s="799">
        <f>AC129*(1-IFERROR(IF(AD$69+$F129&lt;=12,SUMIFS('Attrition Modeling'!$D:$D,'Attrition Modeling'!$C:$C,'IP Attrition'!$D129,'Attrition Modeling'!$B:$B,'IP Attrition'!AD$68),VLOOKUP($F129+AD$2,$A$6:$C$106,2,FALSE)*VLOOKUP(AD$1,'Attrition Modeling'!$L$15:$N$27,IF(AD$2+$F62&lt;=24,2,3),FALSE)),$C$3)*(1+Projection!AF$16)*(1+IF(AD194&gt;0,'Attrition Modeling'!$N$9,0)))</f>
        <v>0</v>
      </c>
      <c r="AE129" s="799">
        <f>AD129*(1-IFERROR(IF(AE$69+$F129&lt;=12,SUMIFS('Attrition Modeling'!$D:$D,'Attrition Modeling'!$C:$C,'IP Attrition'!$D129,'Attrition Modeling'!$B:$B,'IP Attrition'!AE$68),VLOOKUP($F129+AE$2,$A$6:$C$106,2,FALSE)*VLOOKUP(AE$1,'Attrition Modeling'!$L$15:$N$27,IF(AE$2+$F62&lt;=24,2,3),FALSE)),$C$3)*(1+Projection!AG$16)*(1+IF(AE194&gt;0,'Attrition Modeling'!$N$9,0)))</f>
        <v>0</v>
      </c>
      <c r="AF129" s="799">
        <f>AE129*(1-IFERROR(IF(AF$69+$F129&lt;=12,SUMIFS('Attrition Modeling'!$D:$D,'Attrition Modeling'!$C:$C,'IP Attrition'!$D129,'Attrition Modeling'!$B:$B,'IP Attrition'!AF$68),VLOOKUP($F129+AF$2,$A$6:$C$106,2,FALSE)*VLOOKUP(AF$1,'Attrition Modeling'!$L$15:$N$27,IF(AF$2+$F62&lt;=24,2,3),FALSE)),$C$3)*(1+Projection!AH$16)*(1+IF(AF194&gt;0,'Attrition Modeling'!$N$9,0)))</f>
        <v>0</v>
      </c>
      <c r="AG129" s="799">
        <f>AF129*(1-IFERROR(IF(AG$69+$F129&lt;=12,SUMIFS('Attrition Modeling'!$D:$D,'Attrition Modeling'!$C:$C,'IP Attrition'!$D129,'Attrition Modeling'!$B:$B,'IP Attrition'!AG$68),VLOOKUP($F129+AG$2,$A$6:$C$106,2,FALSE)*VLOOKUP(AG$1,'Attrition Modeling'!$L$15:$N$27,IF(AG$2+$F62&lt;=24,2,3),FALSE)),$C$3)*(1+Projection!AI$16)*(1+IF(AG194&gt;0,'Attrition Modeling'!$N$9,0)))</f>
        <v>0</v>
      </c>
      <c r="AH129" s="799">
        <f>AG129*(1-IFERROR(IF(AH$69+$F129&lt;=12,SUMIFS('Attrition Modeling'!$D:$D,'Attrition Modeling'!$C:$C,'IP Attrition'!$D129,'Attrition Modeling'!$B:$B,'IP Attrition'!AH$68),VLOOKUP($F129+AH$2,$A$6:$C$106,2,FALSE)*VLOOKUP(AH$1,'Attrition Modeling'!$L$15:$N$27,IF(AH$2+$F62&lt;=24,2,3),FALSE)),$C$3)*(1+Projection!AJ$16)*(1+IF(AH194&gt;0,'Attrition Modeling'!$N$9,0)))</f>
        <v>0</v>
      </c>
      <c r="AI129" s="799">
        <f>AH129*(1-IFERROR(IF(AI$69+$F129&lt;=12,SUMIFS('Attrition Modeling'!$D:$D,'Attrition Modeling'!$C:$C,'IP Attrition'!$D129,'Attrition Modeling'!$B:$B,'IP Attrition'!AI$68),VLOOKUP($F129+AI$2,$A$6:$C$106,2,FALSE)*VLOOKUP(AI$1,'Attrition Modeling'!$L$15:$N$27,IF(AI$2+$F62&lt;=24,2,3),FALSE)),$C$3)*(1+Projection!AK$16)*(1+IF(AI194&gt;0,'Attrition Modeling'!$N$9,0)))</f>
        <v>0</v>
      </c>
      <c r="AJ129" s="799">
        <f>AI129*(1-IFERROR(IF(AJ$69+$F129&lt;=12,SUMIFS('Attrition Modeling'!$D:$D,'Attrition Modeling'!$C:$C,'IP Attrition'!$D129,'Attrition Modeling'!$B:$B,'IP Attrition'!AJ$68),VLOOKUP($F129+AJ$2,$A$6:$C$106,2,FALSE)*VLOOKUP(AJ$1,'Attrition Modeling'!$L$15:$N$27,IF(AJ$2+$F62&lt;=24,2,3),FALSE)),$C$3)*(1+Projection!AL$16)*(1+IF(AJ194&gt;0,'Attrition Modeling'!$N$9,0)))</f>
        <v>0</v>
      </c>
      <c r="AK129" s="799">
        <f>AJ129*(1-IFERROR(IF(AK$69+$F129&lt;=12,SUMIFS('Attrition Modeling'!$D:$D,'Attrition Modeling'!$C:$C,'IP Attrition'!$D129,'Attrition Modeling'!$B:$B,'IP Attrition'!AK$68),VLOOKUP($F129+AK$2,$A$6:$C$106,2,FALSE)*VLOOKUP(AK$1,'Attrition Modeling'!$L$15:$N$27,IF(AK$2+$F62&lt;=24,2,3),FALSE)),$C$3)*(1+Projection!AM$16)*(1+IF(AK194&gt;0,'Attrition Modeling'!$N$9,0)))</f>
        <v>0</v>
      </c>
      <c r="AL129" s="799">
        <f>AK129*(1-IFERROR(IF(AL$69+$F129&lt;=12,SUMIFS('Attrition Modeling'!$D:$D,'Attrition Modeling'!$C:$C,'IP Attrition'!$D129,'Attrition Modeling'!$B:$B,'IP Attrition'!AL$68),VLOOKUP($F129+AL$2,$A$6:$C$106,2,FALSE)*VLOOKUP(AL$1,'Attrition Modeling'!$L$15:$N$27,IF(AL$2+$F62&lt;=24,2,3),FALSE)),$C$3)*(1+Projection!AN$16)*(1+IF(AL194&gt;0,'Attrition Modeling'!$N$9,0)))</f>
        <v>0</v>
      </c>
      <c r="AM129" s="799">
        <f>AL129*(1-IFERROR(IF(AM$69+$F129&lt;=12,SUMIFS('Attrition Modeling'!$D:$D,'Attrition Modeling'!$C:$C,'IP Attrition'!$D129,'Attrition Modeling'!$B:$B,'IP Attrition'!AM$68),VLOOKUP($F129+AM$2,$A$6:$C$106,2,FALSE)*VLOOKUP(AM$1,'Attrition Modeling'!$L$15:$N$27,IF(AM$2+$F62&lt;=24,2,3),FALSE)),$C$3)*(1+Projection!AO$16)*(1+IF(AM194&gt;0,'Attrition Modeling'!$N$9,0)))</f>
        <v>0</v>
      </c>
      <c r="AN129" s="799">
        <f>AM129*(1-IFERROR(IF(AN$69+$F129&lt;=12,SUMIFS('Attrition Modeling'!$D:$D,'Attrition Modeling'!$C:$C,'IP Attrition'!$D129,'Attrition Modeling'!$B:$B,'IP Attrition'!AN$68),VLOOKUP($F129+AN$2,$A$6:$C$106,2,FALSE)*VLOOKUP(AN$1,'Attrition Modeling'!$L$15:$N$27,IF(AN$2+$F62&lt;=24,2,3),FALSE)),$C$3)*(1+Projection!AP$16)*(1+IF(AN194&gt;0,'Attrition Modeling'!$N$9,0)))</f>
        <v>0</v>
      </c>
      <c r="AO129" s="799">
        <f>AN129*(1-IFERROR(IF(AO$69+$F129&lt;=12,SUMIFS('Attrition Modeling'!$D:$D,'Attrition Modeling'!$C:$C,'IP Attrition'!$D129,'Attrition Modeling'!$B:$B,'IP Attrition'!AO$68),VLOOKUP($F129+AO$2,$A$6:$C$106,2,FALSE)*VLOOKUP(AO$1,'Attrition Modeling'!$L$15:$N$27,IF(AO$2+$F62&lt;=24,2,3),FALSE)),$C$3)*(1+Projection!AQ$16)*(1+IF(AO194&gt;0,'Attrition Modeling'!$N$9,0)))</f>
        <v>0</v>
      </c>
      <c r="AP129" s="799">
        <f>AO129*(1-IFERROR(IF(AP$69+$F129&lt;=12,SUMIFS('Attrition Modeling'!$D:$D,'Attrition Modeling'!$C:$C,'IP Attrition'!$D129,'Attrition Modeling'!$B:$B,'IP Attrition'!AP$68),VLOOKUP($F129+AP$2,$A$6:$C$106,2,FALSE)*VLOOKUP(AP$1,'Attrition Modeling'!$L$15:$N$27,IF(AP$2+$F62&lt;=24,2,3),FALSE)),$C$3)*(1+Projection!AR$16)*(1+IF(AP194&gt;0,'Attrition Modeling'!$N$9,0)))</f>
        <v>0</v>
      </c>
      <c r="AQ129" s="799">
        <f>AP129*(1-IFERROR(IF(AQ$69+$F129&lt;=12,SUMIFS('Attrition Modeling'!$D:$D,'Attrition Modeling'!$C:$C,'IP Attrition'!$D129,'Attrition Modeling'!$B:$B,'IP Attrition'!AQ$68),VLOOKUP($F129+AQ$2,$A$6:$C$106,2,FALSE)*VLOOKUP(AQ$1,'Attrition Modeling'!$L$15:$N$27,IF(AQ$2+$F62&lt;=24,2,3),FALSE)),$C$3)*(1+Projection!AS$16)*(1+IF(AQ194&gt;0,'Attrition Modeling'!$N$9,0)))</f>
        <v>0</v>
      </c>
      <c r="AR129" s="799">
        <f>AQ129*(1-IFERROR(IF(AR$69+$F129&lt;=12,SUMIFS('Attrition Modeling'!$D:$D,'Attrition Modeling'!$C:$C,'IP Attrition'!$D129,'Attrition Modeling'!$B:$B,'IP Attrition'!AR$68),VLOOKUP($F129+AR$2,$A$6:$C$106,2,FALSE)*VLOOKUP(AR$1,'Attrition Modeling'!$L$15:$N$27,IF(AR$2+$F62&lt;=24,2,3),FALSE)),$C$3)*(1+Projection!AT$16)*(1+IF(AR194&gt;0,'Attrition Modeling'!$N$9,0)))</f>
        <v>0</v>
      </c>
      <c r="AS129" s="799">
        <f>AR129*(1-IFERROR(IF(AS$69+$F129&lt;=12,SUMIFS('Attrition Modeling'!$D:$D,'Attrition Modeling'!$C:$C,'IP Attrition'!$D129,'Attrition Modeling'!$B:$B,'IP Attrition'!AS$68),VLOOKUP($F129+AS$2,$A$6:$C$106,2,FALSE)*VLOOKUP(AS$1,'Attrition Modeling'!$L$15:$N$27,IF(AS$2+$F62&lt;=24,2,3),FALSE)),$C$3)*(1+Projection!AU$16)*(1+IF(AS194&gt;0,'Attrition Modeling'!$N$9,0)))</f>
        <v>0</v>
      </c>
      <c r="AT129" s="799">
        <f>AS129*(1-IFERROR(IF(AT$69+$F129&lt;=12,SUMIFS('Attrition Modeling'!$D:$D,'Attrition Modeling'!$C:$C,'IP Attrition'!$D129,'Attrition Modeling'!$B:$B,'IP Attrition'!AT$68),VLOOKUP($F129+AT$2,$A$6:$C$106,2,FALSE)*VLOOKUP(AT$1,'Attrition Modeling'!$L$15:$N$27,IF(AT$2+$F62&lt;=24,2,3),FALSE)),$C$3)*(1+Projection!AV$16)*(1+IF(AT194&gt;0,'Attrition Modeling'!$N$9,0)))</f>
        <v>0</v>
      </c>
      <c r="AU129" s="799">
        <f>AT129*(1-IFERROR(IF(AU$69+$F129&lt;=12,SUMIFS('Attrition Modeling'!$D:$D,'Attrition Modeling'!$C:$C,'IP Attrition'!$D129,'Attrition Modeling'!$B:$B,'IP Attrition'!AU$68),VLOOKUP($F129+AU$2,$A$6:$C$106,2,FALSE)*VLOOKUP(AU$1,'Attrition Modeling'!$L$15:$N$27,IF(AU$2+$F62&lt;=24,2,3),FALSE)),$C$3)*(1+Projection!AW$16)*(1+IF(AU194&gt;0,'Attrition Modeling'!$N$9,0)))</f>
        <v>0</v>
      </c>
      <c r="AV129" s="799">
        <f>AU129*(1-IFERROR(IF(AV$69+$F129&lt;=12,SUMIFS('Attrition Modeling'!$D:$D,'Attrition Modeling'!$C:$C,'IP Attrition'!$D129,'Attrition Modeling'!$B:$B,'IP Attrition'!AV$68),VLOOKUP($F129+AV$2,$A$6:$C$106,2,FALSE)*VLOOKUP(AV$1,'Attrition Modeling'!$L$15:$N$27,IF(AV$2+$F62&lt;=24,2,3),FALSE)),$C$3)*(1+Projection!AX$16)*(1+IF(AV194&gt;0,'Attrition Modeling'!$N$9,0)))</f>
        <v>0</v>
      </c>
      <c r="AW129" s="799">
        <f>AV129*(1-IFERROR(IF(AW$69+$F129&lt;=12,SUMIFS('Attrition Modeling'!$D:$D,'Attrition Modeling'!$C:$C,'IP Attrition'!$D129,'Attrition Modeling'!$B:$B,'IP Attrition'!AW$68),VLOOKUP($F129+AW$2,$A$6:$C$106,2,FALSE)*VLOOKUP(AW$1,'Attrition Modeling'!$L$15:$N$27,IF(AW$2+$F62&lt;=24,2,3),FALSE)),$C$3)*(1+Projection!AY$16)*(1+IF(AW194&gt;0,'Attrition Modeling'!$N$9,0)))</f>
        <v>0</v>
      </c>
      <c r="AX129" s="799">
        <f>AW129*(1-IFERROR(IF(AX$69+$F129&lt;=12,SUMIFS('Attrition Modeling'!$D:$D,'Attrition Modeling'!$C:$C,'IP Attrition'!$D129,'Attrition Modeling'!$B:$B,'IP Attrition'!AX$68),VLOOKUP($F129+AX$2,$A$6:$C$106,2,FALSE)*VLOOKUP(AX$1,'Attrition Modeling'!$L$15:$N$27,IF(AX$2+$F62&lt;=24,2,3),FALSE)),$C$3)*(1+Projection!AZ$16)*(1+IF(AX194&gt;0,'Attrition Modeling'!$N$9,0)))</f>
        <v>0</v>
      </c>
      <c r="AY129" s="799">
        <f>AX129*(1-IFERROR(IF(AY$69+$F129&lt;=12,SUMIFS('Attrition Modeling'!$D:$D,'Attrition Modeling'!$C:$C,'IP Attrition'!$D129,'Attrition Modeling'!$B:$B,'IP Attrition'!AY$68),VLOOKUP($F129+AY$2,$A$6:$C$106,2,FALSE)*VLOOKUP(AY$1,'Attrition Modeling'!$L$15:$N$27,IF(AY$2+$F62&lt;=24,2,3),FALSE)),$C$3)*(1+Projection!BA$16)*(1+IF(AY194&gt;0,'Attrition Modeling'!$N$9,0)))</f>
        <v>0</v>
      </c>
      <c r="AZ129" s="799">
        <f>AY129*(1-IFERROR(IF(AZ$69+$F129&lt;=12,SUMIFS('Attrition Modeling'!$D:$D,'Attrition Modeling'!$C:$C,'IP Attrition'!$D129,'Attrition Modeling'!$B:$B,'IP Attrition'!AZ$68),VLOOKUP($F129+AZ$2,$A$6:$C$106,2,FALSE)*VLOOKUP(AZ$1,'Attrition Modeling'!$L$15:$N$27,IF(AZ$2+$F62&lt;=24,2,3),FALSE)),$C$3)*(1+Projection!BB$16)*(1+IF(AZ194&gt;0,'Attrition Modeling'!$N$9,0)))</f>
        <v>0</v>
      </c>
      <c r="BA129" s="799">
        <f>AZ129*(1-IFERROR(IF(BA$69+$F129&lt;=12,SUMIFS('Attrition Modeling'!$D:$D,'Attrition Modeling'!$C:$C,'IP Attrition'!$D129,'Attrition Modeling'!$B:$B,'IP Attrition'!BA$68),VLOOKUP($F129+BA$2,$A$6:$C$106,2,FALSE)*VLOOKUP(BA$1,'Attrition Modeling'!$L$15:$N$27,IF(BA$2+$F62&lt;=24,2,3),FALSE)),$C$3)*(1+Projection!BC$16)*(1+IF(BA194&gt;0,'Attrition Modeling'!$N$9,0)))</f>
        <v>0</v>
      </c>
      <c r="BB129" s="799">
        <f>BA129*(1-IFERROR(IF(BB$69+$F129&lt;=12,SUMIFS('Attrition Modeling'!$D:$D,'Attrition Modeling'!$C:$C,'IP Attrition'!$D129,'Attrition Modeling'!$B:$B,'IP Attrition'!BB$68),VLOOKUP($F129+BB$2,$A$6:$C$106,2,FALSE)*VLOOKUP(BB$1,'Attrition Modeling'!$L$15:$N$27,IF(BB$2+$F62&lt;=24,2,3),FALSE)),$C$3)*(1+Projection!BD$16)*(1+IF(BB194&gt;0,'Attrition Modeling'!$N$9,0)))</f>
        <v>0</v>
      </c>
      <c r="BC129" s="799">
        <f>BB129*(1-IFERROR(IF(BC$69+$F129&lt;=12,SUMIFS('Attrition Modeling'!$D:$D,'Attrition Modeling'!$C:$C,'IP Attrition'!$D129,'Attrition Modeling'!$B:$B,'IP Attrition'!BC$68),VLOOKUP($F129+BC$2,$A$6:$C$106,2,FALSE)*VLOOKUP(BC$1,'Attrition Modeling'!$L$15:$N$27,IF(BC$2+$F62&lt;=24,2,3),FALSE)),$C$3)*(1+Projection!BE$16)*(1+IF(BC194&gt;0,'Attrition Modeling'!$N$9,0)))</f>
        <v>0</v>
      </c>
      <c r="BD129" s="799">
        <f>BC129*(1-IFERROR(IF(BD$69+$F129&lt;=12,SUMIFS('Attrition Modeling'!$D:$D,'Attrition Modeling'!$C:$C,'IP Attrition'!$D129,'Attrition Modeling'!$B:$B,'IP Attrition'!BD$68),VLOOKUP($F129+BD$2,$A$6:$C$106,2,FALSE)*VLOOKUP(BD$1,'Attrition Modeling'!$L$15:$N$27,IF(BD$2+$F62&lt;=24,2,3),FALSE)),$C$3)*(1+Projection!BF$16)*(1+IF(BD194&gt;0,'Attrition Modeling'!$N$9,0)))</f>
        <v>0</v>
      </c>
      <c r="BE129" s="799">
        <f>BD129*(1-IFERROR(IF(BE$69+$F129&lt;=12,SUMIFS('Attrition Modeling'!$D:$D,'Attrition Modeling'!$C:$C,'IP Attrition'!$D129,'Attrition Modeling'!$B:$B,'IP Attrition'!BE$68),VLOOKUP($F129+BE$2,$A$6:$C$106,2,FALSE)*VLOOKUP(BE$1,'Attrition Modeling'!$L$15:$N$27,IF(BE$2+$F62&lt;=24,2,3),FALSE)),$C$3)*(1+Projection!BG$16)*(1+IF(BE194&gt;0,'Attrition Modeling'!$N$9,0)))</f>
        <v>0</v>
      </c>
      <c r="BF129" s="799">
        <f>BE129*(1-IFERROR(IF(BF$69+$F129&lt;=12,SUMIFS('Attrition Modeling'!$D:$D,'Attrition Modeling'!$C:$C,'IP Attrition'!$D129,'Attrition Modeling'!$B:$B,'IP Attrition'!BF$68),VLOOKUP($F129+BF$2,$A$6:$C$106,2,FALSE)*VLOOKUP(BF$1,'Attrition Modeling'!$L$15:$N$27,IF(BF$2+$F62&lt;=24,2,3),FALSE)),$C$3)*(1+Projection!BH$16)*(1+IF(BF194&gt;0,'Attrition Modeling'!$N$9,0)))</f>
        <v>0</v>
      </c>
      <c r="BG129" s="799">
        <f>BF129*(1-IFERROR(IF(BG$69+$F129&lt;=12,SUMIFS('Attrition Modeling'!$D:$D,'Attrition Modeling'!$C:$C,'IP Attrition'!$D129,'Attrition Modeling'!$B:$B,'IP Attrition'!BG$68),VLOOKUP($F129+BG$2,$A$6:$C$106,2,FALSE)*VLOOKUP(BG$1,'Attrition Modeling'!$L$15:$N$27,IF(BG$2+$F62&lt;=24,2,3),FALSE)),$C$3)*(1+Projection!BI$16)*(1+IF(BG194&gt;0,'Attrition Modeling'!$N$9,0)))</f>
        <v>0</v>
      </c>
      <c r="BH129" s="799">
        <f>BG129*(1-IFERROR(IF(BH$69+$F129&lt;=12,SUMIFS('Attrition Modeling'!$D:$D,'Attrition Modeling'!$C:$C,'IP Attrition'!$D129,'Attrition Modeling'!$B:$B,'IP Attrition'!BH$68),VLOOKUP($F129+BH$2,$A$6:$C$106,2,FALSE)*VLOOKUP(BH$1,'Attrition Modeling'!$L$15:$N$27,IF(BH$2+$F62&lt;=24,2,3),FALSE)),$C$3)*(1+Projection!BJ$16)*(1+IF(BH194&gt;0,'Attrition Modeling'!$N$9,0)))</f>
        <v>0</v>
      </c>
      <c r="BI129" s="799">
        <f>BH129*(1-IFERROR(IF(BI$69+$F129&lt;=12,SUMIFS('Attrition Modeling'!$D:$D,'Attrition Modeling'!$C:$C,'IP Attrition'!$D129,'Attrition Modeling'!$B:$B,'IP Attrition'!BI$68),VLOOKUP($F129+BI$2,$A$6:$C$106,2,FALSE)*VLOOKUP(BI$1,'Attrition Modeling'!$L$15:$N$27,IF(BI$2+$F62&lt;=24,2,3),FALSE)),$C$3)*(1+Projection!BK$16)*(1+IF(BI194&gt;0,'Attrition Modeling'!$N$9,0)))</f>
        <v>0</v>
      </c>
      <c r="BJ129" s="799">
        <f>BI129*(1-IFERROR(IF(BJ$69+$F129&lt;=12,SUMIFS('Attrition Modeling'!$D:$D,'Attrition Modeling'!$C:$C,'IP Attrition'!$D129,'Attrition Modeling'!$B:$B,'IP Attrition'!BJ$68),VLOOKUP($F129+BJ$2,$A$6:$C$106,2,FALSE)*VLOOKUP(BJ$1,'Attrition Modeling'!$L$15:$N$27,IF(BJ$2+$F62&lt;=24,2,3),FALSE)),$C$3)*(1+Projection!BL$16)*(1+IF(BJ194&gt;0,'Attrition Modeling'!$N$9,0)))</f>
        <v>0</v>
      </c>
      <c r="BK129" s="799">
        <f>BJ129*(1-IFERROR(IF(BK$69+$F129&lt;=12,SUMIFS('Attrition Modeling'!$D:$D,'Attrition Modeling'!$C:$C,'IP Attrition'!$D129,'Attrition Modeling'!$B:$B,'IP Attrition'!BK$68),VLOOKUP($F129+BK$2,$A$6:$C$106,2,FALSE)*VLOOKUP(BK$1,'Attrition Modeling'!$L$15:$N$27,IF(BK$2+$F62&lt;=24,2,3),FALSE)),$C$3)*(1+Projection!BM$16)*(1+IF(BK194&gt;0,'Attrition Modeling'!$N$9,0)))</f>
        <v>0</v>
      </c>
      <c r="BL129" s="799">
        <f>BK129*(1-IFERROR(IF(BL$69+$F129&lt;=12,SUMIFS('Attrition Modeling'!$D:$D,'Attrition Modeling'!$C:$C,'IP Attrition'!$D129,'Attrition Modeling'!$B:$B,'IP Attrition'!BL$68),VLOOKUP($F129+BL$2,$A$6:$C$106,2,FALSE)*VLOOKUP(BL$1,'Attrition Modeling'!$L$15:$N$27,IF(BL$2+$F62&lt;=24,2,3),FALSE)),$C$3)*(1+Projection!BN$16)*(1+IF(BL194&gt;0,'Attrition Modeling'!$N$9,0)))</f>
        <v>0</v>
      </c>
      <c r="BM129" s="799">
        <f>BL129*(1-IFERROR(IF(BM$69+$F129&lt;=12,SUMIFS('Attrition Modeling'!$D:$D,'Attrition Modeling'!$C:$C,'IP Attrition'!$D129,'Attrition Modeling'!$B:$B,'IP Attrition'!BM$68),VLOOKUP($F129+BM$2,$A$6:$C$106,2,FALSE)*VLOOKUP(BM$1,'Attrition Modeling'!$L$15:$N$27,IF(BM$2+$F62&lt;=24,2,3),FALSE)),$C$3)*(1+Projection!BO$16)*(1+IF(BM194&gt;0,'Attrition Modeling'!$N$9,0)))</f>
        <v>0</v>
      </c>
      <c r="BN129" s="799">
        <f>BM129*(1-IFERROR(IF(BN$69+$F129&lt;=12,SUMIFS('Attrition Modeling'!$D:$D,'Attrition Modeling'!$C:$C,'IP Attrition'!$D129,'Attrition Modeling'!$B:$B,'IP Attrition'!BN$68),VLOOKUP($F129+BN$2,$A$6:$C$106,2,FALSE)*VLOOKUP(BN$1,'Attrition Modeling'!$L$15:$N$27,IF(BN$2+$F62&lt;=24,2,3),FALSE)),$C$3)*(1+Projection!BP$16)*(1+IF(BN194&gt;0,'Attrition Modeling'!$N$9,0)))</f>
        <v>0</v>
      </c>
      <c r="BO129" s="799">
        <f>BN129*(1-IFERROR(IF(BO$69+$F129&lt;=12,SUMIFS('Attrition Modeling'!$D:$D,'Attrition Modeling'!$C:$C,'IP Attrition'!$D129,'Attrition Modeling'!$B:$B,'IP Attrition'!BO$68),VLOOKUP($F129+BO$2,$A$6:$C$106,2,FALSE)*VLOOKUP(BO$1,'Attrition Modeling'!$L$15:$N$27,IF(BO$2+$F62&lt;=24,2,3),FALSE)),$C$3)*(1+Projection!BV$16)*(1+IF(BO194&gt;0,'Attrition Modeling'!$N$9,0)))</f>
        <v>0</v>
      </c>
      <c r="BP129" s="799">
        <f>BO129*(1-IFERROR(IF(BP$69+$F129&lt;=12,SUMIFS('Attrition Modeling'!$D:$D,'Attrition Modeling'!$C:$C,'IP Attrition'!$D129,'Attrition Modeling'!$B:$B,'IP Attrition'!BP$68),VLOOKUP($F129+BP$2,$A$6:$C$106,2,FALSE)*VLOOKUP(BP$1,'Attrition Modeling'!$L$15:$N$27,IF(BP$2+$F62&lt;=24,2,3),FALSE)),$C$3)*(1+Projection!BW$16)*(1+IF(BP194&gt;0,'Attrition Modeling'!$N$9,0)))</f>
        <v>0</v>
      </c>
      <c r="BQ129" s="799">
        <f>BP129*(1-IFERROR(IF(BQ$69+$F129&lt;=12,SUMIFS('Attrition Modeling'!$D:$D,'Attrition Modeling'!$C:$C,'IP Attrition'!$D129,'Attrition Modeling'!$B:$B,'IP Attrition'!BQ$68),VLOOKUP($F129+BQ$2,$A$6:$C$106,2,FALSE)*VLOOKUP(BQ$1,'Attrition Modeling'!$L$15:$N$27,IF(BQ$2+$F62&lt;=24,2,3),FALSE)),$C$3)*(1+Projection!BX$16)*(1+IF(BQ194&gt;0,'Attrition Modeling'!$N$9,0)))</f>
        <v>0</v>
      </c>
      <c r="BR129" s="799">
        <f>BQ129*(1-IFERROR(IF(BR$69+$F129&lt;=12,SUMIFS('Attrition Modeling'!$D:$D,'Attrition Modeling'!$C:$C,'IP Attrition'!$D129,'Attrition Modeling'!$B:$B,'IP Attrition'!BR$68),VLOOKUP($F129+BR$2,$A$6:$C$106,2,FALSE)*VLOOKUP(BR$1,'Attrition Modeling'!$L$15:$N$27,IF(BR$2+$F62&lt;=24,2,3),FALSE)),$C$3)*(1+Projection!BY$16)*(1+IF(BR194&gt;0,'Attrition Modeling'!$N$9,0)))</f>
        <v>0</v>
      </c>
      <c r="BS129" s="799">
        <f>BR129*(1-IFERROR(IF(BS$69+$F129&lt;=12,SUMIFS('Attrition Modeling'!$D:$D,'Attrition Modeling'!$C:$C,'IP Attrition'!$D129,'Attrition Modeling'!$B:$B,'IP Attrition'!BS$68),VLOOKUP($F129+BS$2,$A$6:$C$106,2,FALSE)*VLOOKUP(BS$1,'Attrition Modeling'!$L$15:$N$27,IF(BS$2+$F62&lt;=24,2,3),FALSE)),$C$3)*(1+Projection!BZ$16)*(1+IF(BS194&gt;0,'Attrition Modeling'!$N$9,0)))</f>
        <v>0</v>
      </c>
      <c r="BT129" s="799" t="e">
        <f>BS129*(1-IFERROR(IF(BT$69+$F129&lt;=12,SUMIFS('Attrition Modeling'!$D:$D,'Attrition Modeling'!$C:$C,'IP Attrition'!$D129,'Attrition Modeling'!$B:$B,'IP Attrition'!BT$68),VLOOKUP($F129+BT$2,$A$6:$C$106,2,FALSE)*VLOOKUP(BT$1,'Attrition Modeling'!$L$15:$N$27,IF(BT$2+$F62&lt;=24,2,3),FALSE)),$C$3)*(1+Projection!CA$16)*(1+IF(BT194&gt;0,'Attrition Modeling'!$N$9,0)))</f>
        <v>#REF!</v>
      </c>
      <c r="BU129" s="799" t="e">
        <f>BT129*(1-IFERROR(IF(BU$69+$F129&lt;=12,SUMIFS('Attrition Modeling'!$D:$D,'Attrition Modeling'!$C:$C,'IP Attrition'!$D129,'Attrition Modeling'!$B:$B,'IP Attrition'!BU$68),VLOOKUP($F129+BU$2,$A$6:$C$106,2,FALSE)*VLOOKUP(BU$1,'Attrition Modeling'!$L$15:$N$27,IF(BU$2+$F62&lt;=24,2,3),FALSE)),$C$3)*(1+Projection!CB$16)*(1+IF(BU194&gt;0,'Attrition Modeling'!$N$9,0)))</f>
        <v>#REF!</v>
      </c>
    </row>
    <row r="130" spans="1:73" ht="14.25" customHeight="1" x14ac:dyDescent="0.2">
      <c r="A130" s="9">
        <v>123</v>
      </c>
      <c r="B130" s="25">
        <f>MAX('Attrition Modeling'!H127,$C$3)*(1-Summary!$C$20)</f>
        <v>0.02</v>
      </c>
      <c r="C130" s="24" t="e">
        <f t="shared" si="3"/>
        <v>#DIV/0!</v>
      </c>
      <c r="D130" s="11">
        <f t="shared" ref="D130:E130" si="68">D63</f>
        <v>-60</v>
      </c>
      <c r="E130" s="25">
        <f t="shared" si="68"/>
        <v>0</v>
      </c>
      <c r="F130" s="11">
        <f t="shared" si="9"/>
        <v>60</v>
      </c>
      <c r="G130" s="801">
        <f>Summary!$C$24*$E130</f>
        <v>0</v>
      </c>
      <c r="H130" s="799">
        <f>G130*(1-IFERROR(IF(H$69+$F130&lt;=12,SUMIFS('Attrition Modeling'!$D:$D,'Attrition Modeling'!$C:$C,'IP Attrition'!$D130,'Attrition Modeling'!$B:$B,'IP Attrition'!H$68),VLOOKUP($F130+H$2,$A$6:$C$106,2,FALSE)*VLOOKUP(H$1,'Attrition Modeling'!$L$15:$N$27,IF(H$2+$F63&lt;=24,2,3),FALSE)),$C$3)*(1+Projection!J$16)*(1+IF(H195&gt;0,'Attrition Modeling'!$N$9,0)))</f>
        <v>0</v>
      </c>
      <c r="I130" s="799">
        <f>H130*(1-IFERROR(IF(I$69+$F130&lt;=12,SUMIFS('Attrition Modeling'!$D:$D,'Attrition Modeling'!$C:$C,'IP Attrition'!$D130,'Attrition Modeling'!$B:$B,'IP Attrition'!I$68),VLOOKUP($F130+I$2,$A$6:$C$106,2,FALSE)*VLOOKUP(I$1,'Attrition Modeling'!$L$15:$N$27,IF(I$2+$F63&lt;=24,2,3),FALSE)),$C$3)*(1+Projection!K$16)*(1+IF(I195&gt;0,'Attrition Modeling'!$N$9,0)))</f>
        <v>0</v>
      </c>
      <c r="J130" s="799">
        <f>I130*(1-IFERROR(IF(J$69+$F130&lt;=12,SUMIFS('Attrition Modeling'!$D:$D,'Attrition Modeling'!$C:$C,'IP Attrition'!$D130,'Attrition Modeling'!$B:$B,'IP Attrition'!J$68),VLOOKUP($F130+J$2,$A$6:$C$106,2,FALSE)*VLOOKUP(J$1,'Attrition Modeling'!$L$15:$N$27,IF(J$2+$F63&lt;=24,2,3),FALSE)),$C$3)*(1+Projection!L$16)*(1+IF(J195&gt;0,'Attrition Modeling'!$N$9,0)))</f>
        <v>0</v>
      </c>
      <c r="K130" s="799">
        <f>J130*(1-IFERROR(IF(K$69+$F130&lt;=12,SUMIFS('Attrition Modeling'!$D:$D,'Attrition Modeling'!$C:$C,'IP Attrition'!$D130,'Attrition Modeling'!$B:$B,'IP Attrition'!K$68),VLOOKUP($F130+K$2,$A$6:$C$106,2,FALSE)*VLOOKUP(K$1,'Attrition Modeling'!$L$15:$N$27,IF(K$2+$F63&lt;=24,2,3),FALSE)),$C$3)*(1+Projection!M$16)*(1+IF(K195&gt;0,'Attrition Modeling'!$N$9,0)))</f>
        <v>0</v>
      </c>
      <c r="L130" s="799">
        <f>K130*(1-IFERROR(IF(L$69+$F130&lt;=12,SUMIFS('Attrition Modeling'!$D:$D,'Attrition Modeling'!$C:$C,'IP Attrition'!$D130,'Attrition Modeling'!$B:$B,'IP Attrition'!L$68),VLOOKUP($F130+L$2,$A$6:$C$106,2,FALSE)*VLOOKUP(L$1,'Attrition Modeling'!$L$15:$N$27,IF(L$2+$F63&lt;=24,2,3),FALSE)),$C$3)*(1+Projection!N$16)*(1+IF(L195&gt;0,'Attrition Modeling'!$N$9,0)))</f>
        <v>0</v>
      </c>
      <c r="M130" s="799">
        <f>L130*(1-IFERROR(IF(M$69+$F130&lt;=12,SUMIFS('Attrition Modeling'!$D:$D,'Attrition Modeling'!$C:$C,'IP Attrition'!$D130,'Attrition Modeling'!$B:$B,'IP Attrition'!M$68),VLOOKUP($F130+M$2,$A$6:$C$106,2,FALSE)*VLOOKUP(M$1,'Attrition Modeling'!$L$15:$N$27,IF(M$2+$F63&lt;=24,2,3),FALSE)),$C$3)*(1+Projection!O$16)*(1+IF(M195&gt;0,'Attrition Modeling'!$N$9,0)))</f>
        <v>0</v>
      </c>
      <c r="N130" s="799">
        <f>M130*(1-IFERROR(IF(N$69+$F130&lt;=12,SUMIFS('Attrition Modeling'!$D:$D,'Attrition Modeling'!$C:$C,'IP Attrition'!$D130,'Attrition Modeling'!$B:$B,'IP Attrition'!N$68),VLOOKUP($F130+N$2,$A$6:$C$106,2,FALSE)*VLOOKUP(N$1,'Attrition Modeling'!$L$15:$N$27,IF(N$2+$F63&lt;=24,2,3),FALSE)),$C$3)*(1+Projection!P$16)*(1+IF(N195&gt;0,'Attrition Modeling'!$N$9,0)))</f>
        <v>0</v>
      </c>
      <c r="O130" s="799">
        <f>N130*(1-IFERROR(IF(O$69+$F130&lt;=12,SUMIFS('Attrition Modeling'!$D:$D,'Attrition Modeling'!$C:$C,'IP Attrition'!$D130,'Attrition Modeling'!$B:$B,'IP Attrition'!O$68),VLOOKUP($F130+O$2,$A$6:$C$106,2,FALSE)*VLOOKUP(O$1,'Attrition Modeling'!$L$15:$N$27,IF(O$2+$F63&lt;=24,2,3),FALSE)),$C$3)*(1+Projection!Q$16)*(1+IF(O195&gt;0,'Attrition Modeling'!$N$9,0)))</f>
        <v>0</v>
      </c>
      <c r="P130" s="799">
        <f>O130*(1-IFERROR(IF(P$69+$F130&lt;=12,SUMIFS('Attrition Modeling'!$D:$D,'Attrition Modeling'!$C:$C,'IP Attrition'!$D130,'Attrition Modeling'!$B:$B,'IP Attrition'!P$68),VLOOKUP($F130+P$2,$A$6:$C$106,2,FALSE)*VLOOKUP(P$1,'Attrition Modeling'!$L$15:$N$27,IF(P$2+$F63&lt;=24,2,3),FALSE)),$C$3)*(1+Projection!R$16)*(1+IF(P195&gt;0,'Attrition Modeling'!$N$9,0)))</f>
        <v>0</v>
      </c>
      <c r="Q130" s="799">
        <f>P130*(1-IFERROR(IF(Q$69+$F130&lt;=12,SUMIFS('Attrition Modeling'!$D:$D,'Attrition Modeling'!$C:$C,'IP Attrition'!$D130,'Attrition Modeling'!$B:$B,'IP Attrition'!Q$68),VLOOKUP($F130+Q$2,$A$6:$C$106,2,FALSE)*VLOOKUP(Q$1,'Attrition Modeling'!$L$15:$N$27,IF(Q$2+$F63&lt;=24,2,3),FALSE)),$C$3)*(1+Projection!S$16)*(1+IF(Q195&gt;0,'Attrition Modeling'!$N$9,0)))</f>
        <v>0</v>
      </c>
      <c r="R130" s="799">
        <f>Q130*(1-IFERROR(IF(R$69+$F130&lt;=12,SUMIFS('Attrition Modeling'!$D:$D,'Attrition Modeling'!$C:$C,'IP Attrition'!$D130,'Attrition Modeling'!$B:$B,'IP Attrition'!R$68),VLOOKUP($F130+R$2,$A$6:$C$106,2,FALSE)*VLOOKUP(R$1,'Attrition Modeling'!$L$15:$N$27,IF(R$2+$F63&lt;=24,2,3),FALSE)),$C$3)*(1+Projection!T$16)*(1+IF(R195&gt;0,'Attrition Modeling'!$N$9,0)))</f>
        <v>0</v>
      </c>
      <c r="S130" s="799">
        <f>R130*(1-IFERROR(IF(S$69+$F130&lt;=12,SUMIFS('Attrition Modeling'!$D:$D,'Attrition Modeling'!$C:$C,'IP Attrition'!$D130,'Attrition Modeling'!$B:$B,'IP Attrition'!S$68),VLOOKUP($F130+S$2,$A$6:$C$106,2,FALSE)*VLOOKUP(S$1,'Attrition Modeling'!$L$15:$N$27,IF(S$2+$F63&lt;=24,2,3),FALSE)),$C$3)*(1+Projection!U$16)*(1+IF(S195&gt;0,'Attrition Modeling'!$N$9,0)))</f>
        <v>0</v>
      </c>
      <c r="T130" s="799">
        <f>S130*(1-IFERROR(IF(T$69+$F130&lt;=12,SUMIFS('Attrition Modeling'!$D:$D,'Attrition Modeling'!$C:$C,'IP Attrition'!$D130,'Attrition Modeling'!$B:$B,'IP Attrition'!T$68),VLOOKUP($F130+T$2,$A$6:$C$106,2,FALSE)*VLOOKUP(T$1,'Attrition Modeling'!$L$15:$N$27,IF(T$2+$F63&lt;=24,2,3),FALSE)),$C$3)*(1+Projection!V$16)*(1+IF(T195&gt;0,'Attrition Modeling'!$N$9,0)))</f>
        <v>0</v>
      </c>
      <c r="U130" s="799">
        <f>T130*(1-IFERROR(IF(U$69+$F130&lt;=12,SUMIFS('Attrition Modeling'!$D:$D,'Attrition Modeling'!$C:$C,'IP Attrition'!$D130,'Attrition Modeling'!$B:$B,'IP Attrition'!U$68),VLOOKUP($F130+U$2,$A$6:$C$106,2,FALSE)*VLOOKUP(U$1,'Attrition Modeling'!$L$15:$N$27,IF(U$2+$F63&lt;=24,2,3),FALSE)),$C$3)*(1+Projection!W$16)*(1+IF(U195&gt;0,'Attrition Modeling'!$N$9,0)))</f>
        <v>0</v>
      </c>
      <c r="V130" s="799">
        <f>U130*(1-IFERROR(IF(V$69+$F130&lt;=12,SUMIFS('Attrition Modeling'!$D:$D,'Attrition Modeling'!$C:$C,'IP Attrition'!$D130,'Attrition Modeling'!$B:$B,'IP Attrition'!V$68),VLOOKUP($F130+V$2,$A$6:$C$106,2,FALSE)*VLOOKUP(V$1,'Attrition Modeling'!$L$15:$N$27,IF(V$2+$F63&lt;=24,2,3),FALSE)),$C$3)*(1+Projection!X$16)*(1+IF(V195&gt;0,'Attrition Modeling'!$N$9,0)))</f>
        <v>0</v>
      </c>
      <c r="W130" s="799">
        <f>V130*(1-IFERROR(IF(W$69+$F130&lt;=12,SUMIFS('Attrition Modeling'!$D:$D,'Attrition Modeling'!$C:$C,'IP Attrition'!$D130,'Attrition Modeling'!$B:$B,'IP Attrition'!W$68),VLOOKUP($F130+W$2,$A$6:$C$106,2,FALSE)*VLOOKUP(W$1,'Attrition Modeling'!$L$15:$N$27,IF(W$2+$F63&lt;=24,2,3),FALSE)),$C$3)*(1+Projection!Y$16)*(1+IF(W195&gt;0,'Attrition Modeling'!$N$9,0)))</f>
        <v>0</v>
      </c>
      <c r="X130" s="799">
        <f>W130*(1-IFERROR(IF(X$69+$F130&lt;=12,SUMIFS('Attrition Modeling'!$D:$D,'Attrition Modeling'!$C:$C,'IP Attrition'!$D130,'Attrition Modeling'!$B:$B,'IP Attrition'!X$68),VLOOKUP($F130+X$2,$A$6:$C$106,2,FALSE)*VLOOKUP(X$1,'Attrition Modeling'!$L$15:$N$27,IF(X$2+$F63&lt;=24,2,3),FALSE)),$C$3)*(1+Projection!Z$16)*(1+IF(X195&gt;0,'Attrition Modeling'!$N$9,0)))</f>
        <v>0</v>
      </c>
      <c r="Y130" s="799">
        <f>X130*(1-IFERROR(IF(Y$69+$F130&lt;=12,SUMIFS('Attrition Modeling'!$D:$D,'Attrition Modeling'!$C:$C,'IP Attrition'!$D130,'Attrition Modeling'!$B:$B,'IP Attrition'!Y$68),VLOOKUP($F130+Y$2,$A$6:$C$106,2,FALSE)*VLOOKUP(Y$1,'Attrition Modeling'!$L$15:$N$27,IF(Y$2+$F63&lt;=24,2,3),FALSE)),$C$3)*(1+Projection!AA$16)*(1+IF(Y195&gt;0,'Attrition Modeling'!$N$9,0)))</f>
        <v>0</v>
      </c>
      <c r="Z130" s="799">
        <f>Y130*(1-IFERROR(IF(Z$69+$F130&lt;=12,SUMIFS('Attrition Modeling'!$D:$D,'Attrition Modeling'!$C:$C,'IP Attrition'!$D130,'Attrition Modeling'!$B:$B,'IP Attrition'!Z$68),VLOOKUP($F130+Z$2,$A$6:$C$106,2,FALSE)*VLOOKUP(Z$1,'Attrition Modeling'!$L$15:$N$27,IF(Z$2+$F63&lt;=24,2,3),FALSE)),$C$3)*(1+Projection!AB$16)*(1+IF(Z195&gt;0,'Attrition Modeling'!$N$9,0)))</f>
        <v>0</v>
      </c>
      <c r="AA130" s="799">
        <f>Z130*(1-IFERROR(IF(AA$69+$F130&lt;=12,SUMIFS('Attrition Modeling'!$D:$D,'Attrition Modeling'!$C:$C,'IP Attrition'!$D130,'Attrition Modeling'!$B:$B,'IP Attrition'!AA$68),VLOOKUP($F130+AA$2,$A$6:$C$106,2,FALSE)*VLOOKUP(AA$1,'Attrition Modeling'!$L$15:$N$27,IF(AA$2+$F63&lt;=24,2,3),FALSE)),$C$3)*(1+Projection!AC$16)*(1+IF(AA195&gt;0,'Attrition Modeling'!$N$9,0)))</f>
        <v>0</v>
      </c>
      <c r="AB130" s="799">
        <f>AA130*(1-IFERROR(IF(AB$69+$F130&lt;=12,SUMIFS('Attrition Modeling'!$D:$D,'Attrition Modeling'!$C:$C,'IP Attrition'!$D130,'Attrition Modeling'!$B:$B,'IP Attrition'!AB$68),VLOOKUP($F130+AB$2,$A$6:$C$106,2,FALSE)*VLOOKUP(AB$1,'Attrition Modeling'!$L$15:$N$27,IF(AB$2+$F63&lt;=24,2,3),FALSE)),$C$3)*(1+Projection!AD$16)*(1+IF(AB195&gt;0,'Attrition Modeling'!$N$9,0)))</f>
        <v>0</v>
      </c>
      <c r="AC130" s="799">
        <f>AB130*(1-IFERROR(IF(AC$69+$F130&lt;=12,SUMIFS('Attrition Modeling'!$D:$D,'Attrition Modeling'!$C:$C,'IP Attrition'!$D130,'Attrition Modeling'!$B:$B,'IP Attrition'!AC$68),VLOOKUP($F130+AC$2,$A$6:$C$106,2,FALSE)*VLOOKUP(AC$1,'Attrition Modeling'!$L$15:$N$27,IF(AC$2+$F63&lt;=24,2,3),FALSE)),$C$3)*(1+Projection!AE$16)*(1+IF(AC195&gt;0,'Attrition Modeling'!$N$9,0)))</f>
        <v>0</v>
      </c>
      <c r="AD130" s="799">
        <f>AC130*(1-IFERROR(IF(AD$69+$F130&lt;=12,SUMIFS('Attrition Modeling'!$D:$D,'Attrition Modeling'!$C:$C,'IP Attrition'!$D130,'Attrition Modeling'!$B:$B,'IP Attrition'!AD$68),VLOOKUP($F130+AD$2,$A$6:$C$106,2,FALSE)*VLOOKUP(AD$1,'Attrition Modeling'!$L$15:$N$27,IF(AD$2+$F63&lt;=24,2,3),FALSE)),$C$3)*(1+Projection!AF$16)*(1+IF(AD195&gt;0,'Attrition Modeling'!$N$9,0)))</f>
        <v>0</v>
      </c>
      <c r="AE130" s="799">
        <f>AD130*(1-IFERROR(IF(AE$69+$F130&lt;=12,SUMIFS('Attrition Modeling'!$D:$D,'Attrition Modeling'!$C:$C,'IP Attrition'!$D130,'Attrition Modeling'!$B:$B,'IP Attrition'!AE$68),VLOOKUP($F130+AE$2,$A$6:$C$106,2,FALSE)*VLOOKUP(AE$1,'Attrition Modeling'!$L$15:$N$27,IF(AE$2+$F63&lt;=24,2,3),FALSE)),$C$3)*(1+Projection!AG$16)*(1+IF(AE195&gt;0,'Attrition Modeling'!$N$9,0)))</f>
        <v>0</v>
      </c>
      <c r="AF130" s="799">
        <f>AE130*(1-IFERROR(IF(AF$69+$F130&lt;=12,SUMIFS('Attrition Modeling'!$D:$D,'Attrition Modeling'!$C:$C,'IP Attrition'!$D130,'Attrition Modeling'!$B:$B,'IP Attrition'!AF$68),VLOOKUP($F130+AF$2,$A$6:$C$106,2,FALSE)*VLOOKUP(AF$1,'Attrition Modeling'!$L$15:$N$27,IF(AF$2+$F63&lt;=24,2,3),FALSE)),$C$3)*(1+Projection!AH$16)*(1+IF(AF195&gt;0,'Attrition Modeling'!$N$9,0)))</f>
        <v>0</v>
      </c>
      <c r="AG130" s="799">
        <f>AF130*(1-IFERROR(IF(AG$69+$F130&lt;=12,SUMIFS('Attrition Modeling'!$D:$D,'Attrition Modeling'!$C:$C,'IP Attrition'!$D130,'Attrition Modeling'!$B:$B,'IP Attrition'!AG$68),VLOOKUP($F130+AG$2,$A$6:$C$106,2,FALSE)*VLOOKUP(AG$1,'Attrition Modeling'!$L$15:$N$27,IF(AG$2+$F63&lt;=24,2,3),FALSE)),$C$3)*(1+Projection!AI$16)*(1+IF(AG195&gt;0,'Attrition Modeling'!$N$9,0)))</f>
        <v>0</v>
      </c>
      <c r="AH130" s="799">
        <f>AG130*(1-IFERROR(IF(AH$69+$F130&lt;=12,SUMIFS('Attrition Modeling'!$D:$D,'Attrition Modeling'!$C:$C,'IP Attrition'!$D130,'Attrition Modeling'!$B:$B,'IP Attrition'!AH$68),VLOOKUP($F130+AH$2,$A$6:$C$106,2,FALSE)*VLOOKUP(AH$1,'Attrition Modeling'!$L$15:$N$27,IF(AH$2+$F63&lt;=24,2,3),FALSE)),$C$3)*(1+Projection!AJ$16)*(1+IF(AH195&gt;0,'Attrition Modeling'!$N$9,0)))</f>
        <v>0</v>
      </c>
      <c r="AI130" s="799">
        <f>AH130*(1-IFERROR(IF(AI$69+$F130&lt;=12,SUMIFS('Attrition Modeling'!$D:$D,'Attrition Modeling'!$C:$C,'IP Attrition'!$D130,'Attrition Modeling'!$B:$B,'IP Attrition'!AI$68),VLOOKUP($F130+AI$2,$A$6:$C$106,2,FALSE)*VLOOKUP(AI$1,'Attrition Modeling'!$L$15:$N$27,IF(AI$2+$F63&lt;=24,2,3),FALSE)),$C$3)*(1+Projection!AK$16)*(1+IF(AI195&gt;0,'Attrition Modeling'!$N$9,0)))</f>
        <v>0</v>
      </c>
      <c r="AJ130" s="799">
        <f>AI130*(1-IFERROR(IF(AJ$69+$F130&lt;=12,SUMIFS('Attrition Modeling'!$D:$D,'Attrition Modeling'!$C:$C,'IP Attrition'!$D130,'Attrition Modeling'!$B:$B,'IP Attrition'!AJ$68),VLOOKUP($F130+AJ$2,$A$6:$C$106,2,FALSE)*VLOOKUP(AJ$1,'Attrition Modeling'!$L$15:$N$27,IF(AJ$2+$F63&lt;=24,2,3),FALSE)),$C$3)*(1+Projection!AL$16)*(1+IF(AJ195&gt;0,'Attrition Modeling'!$N$9,0)))</f>
        <v>0</v>
      </c>
      <c r="AK130" s="799">
        <f>AJ130*(1-IFERROR(IF(AK$69+$F130&lt;=12,SUMIFS('Attrition Modeling'!$D:$D,'Attrition Modeling'!$C:$C,'IP Attrition'!$D130,'Attrition Modeling'!$B:$B,'IP Attrition'!AK$68),VLOOKUP($F130+AK$2,$A$6:$C$106,2,FALSE)*VLOOKUP(AK$1,'Attrition Modeling'!$L$15:$N$27,IF(AK$2+$F63&lt;=24,2,3),FALSE)),$C$3)*(1+Projection!AM$16)*(1+IF(AK195&gt;0,'Attrition Modeling'!$N$9,0)))</f>
        <v>0</v>
      </c>
      <c r="AL130" s="799">
        <f>AK130*(1-IFERROR(IF(AL$69+$F130&lt;=12,SUMIFS('Attrition Modeling'!$D:$D,'Attrition Modeling'!$C:$C,'IP Attrition'!$D130,'Attrition Modeling'!$B:$B,'IP Attrition'!AL$68),VLOOKUP($F130+AL$2,$A$6:$C$106,2,FALSE)*VLOOKUP(AL$1,'Attrition Modeling'!$L$15:$N$27,IF(AL$2+$F63&lt;=24,2,3),FALSE)),$C$3)*(1+Projection!AN$16)*(1+IF(AL195&gt;0,'Attrition Modeling'!$N$9,0)))</f>
        <v>0</v>
      </c>
      <c r="AM130" s="799">
        <f>AL130*(1-IFERROR(IF(AM$69+$F130&lt;=12,SUMIFS('Attrition Modeling'!$D:$D,'Attrition Modeling'!$C:$C,'IP Attrition'!$D130,'Attrition Modeling'!$B:$B,'IP Attrition'!AM$68),VLOOKUP($F130+AM$2,$A$6:$C$106,2,FALSE)*VLOOKUP(AM$1,'Attrition Modeling'!$L$15:$N$27,IF(AM$2+$F63&lt;=24,2,3),FALSE)),$C$3)*(1+Projection!AO$16)*(1+IF(AM195&gt;0,'Attrition Modeling'!$N$9,0)))</f>
        <v>0</v>
      </c>
      <c r="AN130" s="799">
        <f>AM130*(1-IFERROR(IF(AN$69+$F130&lt;=12,SUMIFS('Attrition Modeling'!$D:$D,'Attrition Modeling'!$C:$C,'IP Attrition'!$D130,'Attrition Modeling'!$B:$B,'IP Attrition'!AN$68),VLOOKUP($F130+AN$2,$A$6:$C$106,2,FALSE)*VLOOKUP(AN$1,'Attrition Modeling'!$L$15:$N$27,IF(AN$2+$F63&lt;=24,2,3),FALSE)),$C$3)*(1+Projection!AP$16)*(1+IF(AN195&gt;0,'Attrition Modeling'!$N$9,0)))</f>
        <v>0</v>
      </c>
      <c r="AO130" s="799">
        <f>AN130*(1-IFERROR(IF(AO$69+$F130&lt;=12,SUMIFS('Attrition Modeling'!$D:$D,'Attrition Modeling'!$C:$C,'IP Attrition'!$D130,'Attrition Modeling'!$B:$B,'IP Attrition'!AO$68),VLOOKUP($F130+AO$2,$A$6:$C$106,2,FALSE)*VLOOKUP(AO$1,'Attrition Modeling'!$L$15:$N$27,IF(AO$2+$F63&lt;=24,2,3),FALSE)),$C$3)*(1+Projection!AQ$16)*(1+IF(AO195&gt;0,'Attrition Modeling'!$N$9,0)))</f>
        <v>0</v>
      </c>
      <c r="AP130" s="799">
        <f>AO130*(1-IFERROR(IF(AP$69+$F130&lt;=12,SUMIFS('Attrition Modeling'!$D:$D,'Attrition Modeling'!$C:$C,'IP Attrition'!$D130,'Attrition Modeling'!$B:$B,'IP Attrition'!AP$68),VLOOKUP($F130+AP$2,$A$6:$C$106,2,FALSE)*VLOOKUP(AP$1,'Attrition Modeling'!$L$15:$N$27,IF(AP$2+$F63&lt;=24,2,3),FALSE)),$C$3)*(1+Projection!AR$16)*(1+IF(AP195&gt;0,'Attrition Modeling'!$N$9,0)))</f>
        <v>0</v>
      </c>
      <c r="AQ130" s="799">
        <f>AP130*(1-IFERROR(IF(AQ$69+$F130&lt;=12,SUMIFS('Attrition Modeling'!$D:$D,'Attrition Modeling'!$C:$C,'IP Attrition'!$D130,'Attrition Modeling'!$B:$B,'IP Attrition'!AQ$68),VLOOKUP($F130+AQ$2,$A$6:$C$106,2,FALSE)*VLOOKUP(AQ$1,'Attrition Modeling'!$L$15:$N$27,IF(AQ$2+$F63&lt;=24,2,3),FALSE)),$C$3)*(1+Projection!AS$16)*(1+IF(AQ195&gt;0,'Attrition Modeling'!$N$9,0)))</f>
        <v>0</v>
      </c>
      <c r="AR130" s="799">
        <f>AQ130*(1-IFERROR(IF(AR$69+$F130&lt;=12,SUMIFS('Attrition Modeling'!$D:$D,'Attrition Modeling'!$C:$C,'IP Attrition'!$D130,'Attrition Modeling'!$B:$B,'IP Attrition'!AR$68),VLOOKUP($F130+AR$2,$A$6:$C$106,2,FALSE)*VLOOKUP(AR$1,'Attrition Modeling'!$L$15:$N$27,IF(AR$2+$F63&lt;=24,2,3),FALSE)),$C$3)*(1+Projection!AT$16)*(1+IF(AR195&gt;0,'Attrition Modeling'!$N$9,0)))</f>
        <v>0</v>
      </c>
      <c r="AS130" s="799">
        <f>AR130*(1-IFERROR(IF(AS$69+$F130&lt;=12,SUMIFS('Attrition Modeling'!$D:$D,'Attrition Modeling'!$C:$C,'IP Attrition'!$D130,'Attrition Modeling'!$B:$B,'IP Attrition'!AS$68),VLOOKUP($F130+AS$2,$A$6:$C$106,2,FALSE)*VLOOKUP(AS$1,'Attrition Modeling'!$L$15:$N$27,IF(AS$2+$F63&lt;=24,2,3),FALSE)),$C$3)*(1+Projection!AU$16)*(1+IF(AS195&gt;0,'Attrition Modeling'!$N$9,0)))</f>
        <v>0</v>
      </c>
      <c r="AT130" s="799">
        <f>AS130*(1-IFERROR(IF(AT$69+$F130&lt;=12,SUMIFS('Attrition Modeling'!$D:$D,'Attrition Modeling'!$C:$C,'IP Attrition'!$D130,'Attrition Modeling'!$B:$B,'IP Attrition'!AT$68),VLOOKUP($F130+AT$2,$A$6:$C$106,2,FALSE)*VLOOKUP(AT$1,'Attrition Modeling'!$L$15:$N$27,IF(AT$2+$F63&lt;=24,2,3),FALSE)),$C$3)*(1+Projection!AV$16)*(1+IF(AT195&gt;0,'Attrition Modeling'!$N$9,0)))</f>
        <v>0</v>
      </c>
      <c r="AU130" s="799">
        <f>AT130*(1-IFERROR(IF(AU$69+$F130&lt;=12,SUMIFS('Attrition Modeling'!$D:$D,'Attrition Modeling'!$C:$C,'IP Attrition'!$D130,'Attrition Modeling'!$B:$B,'IP Attrition'!AU$68),VLOOKUP($F130+AU$2,$A$6:$C$106,2,FALSE)*VLOOKUP(AU$1,'Attrition Modeling'!$L$15:$N$27,IF(AU$2+$F63&lt;=24,2,3),FALSE)),$C$3)*(1+Projection!AW$16)*(1+IF(AU195&gt;0,'Attrition Modeling'!$N$9,0)))</f>
        <v>0</v>
      </c>
      <c r="AV130" s="799">
        <f>AU130*(1-IFERROR(IF(AV$69+$F130&lt;=12,SUMIFS('Attrition Modeling'!$D:$D,'Attrition Modeling'!$C:$C,'IP Attrition'!$D130,'Attrition Modeling'!$B:$B,'IP Attrition'!AV$68),VLOOKUP($F130+AV$2,$A$6:$C$106,2,FALSE)*VLOOKUP(AV$1,'Attrition Modeling'!$L$15:$N$27,IF(AV$2+$F63&lt;=24,2,3),FALSE)),$C$3)*(1+Projection!AX$16)*(1+IF(AV195&gt;0,'Attrition Modeling'!$N$9,0)))</f>
        <v>0</v>
      </c>
      <c r="AW130" s="799">
        <f>AV130*(1-IFERROR(IF(AW$69+$F130&lt;=12,SUMIFS('Attrition Modeling'!$D:$D,'Attrition Modeling'!$C:$C,'IP Attrition'!$D130,'Attrition Modeling'!$B:$B,'IP Attrition'!AW$68),VLOOKUP($F130+AW$2,$A$6:$C$106,2,FALSE)*VLOOKUP(AW$1,'Attrition Modeling'!$L$15:$N$27,IF(AW$2+$F63&lt;=24,2,3),FALSE)),$C$3)*(1+Projection!AY$16)*(1+IF(AW195&gt;0,'Attrition Modeling'!$N$9,0)))</f>
        <v>0</v>
      </c>
      <c r="AX130" s="799">
        <f>AW130*(1-IFERROR(IF(AX$69+$F130&lt;=12,SUMIFS('Attrition Modeling'!$D:$D,'Attrition Modeling'!$C:$C,'IP Attrition'!$D130,'Attrition Modeling'!$B:$B,'IP Attrition'!AX$68),VLOOKUP($F130+AX$2,$A$6:$C$106,2,FALSE)*VLOOKUP(AX$1,'Attrition Modeling'!$L$15:$N$27,IF(AX$2+$F63&lt;=24,2,3),FALSE)),$C$3)*(1+Projection!AZ$16)*(1+IF(AX195&gt;0,'Attrition Modeling'!$N$9,0)))</f>
        <v>0</v>
      </c>
      <c r="AY130" s="799">
        <f>AX130*(1-IFERROR(IF(AY$69+$F130&lt;=12,SUMIFS('Attrition Modeling'!$D:$D,'Attrition Modeling'!$C:$C,'IP Attrition'!$D130,'Attrition Modeling'!$B:$B,'IP Attrition'!AY$68),VLOOKUP($F130+AY$2,$A$6:$C$106,2,FALSE)*VLOOKUP(AY$1,'Attrition Modeling'!$L$15:$N$27,IF(AY$2+$F63&lt;=24,2,3),FALSE)),$C$3)*(1+Projection!BA$16)*(1+IF(AY195&gt;0,'Attrition Modeling'!$N$9,0)))</f>
        <v>0</v>
      </c>
      <c r="AZ130" s="799">
        <f>AY130*(1-IFERROR(IF(AZ$69+$F130&lt;=12,SUMIFS('Attrition Modeling'!$D:$D,'Attrition Modeling'!$C:$C,'IP Attrition'!$D130,'Attrition Modeling'!$B:$B,'IP Attrition'!AZ$68),VLOOKUP($F130+AZ$2,$A$6:$C$106,2,FALSE)*VLOOKUP(AZ$1,'Attrition Modeling'!$L$15:$N$27,IF(AZ$2+$F63&lt;=24,2,3),FALSE)),$C$3)*(1+Projection!BB$16)*(1+IF(AZ195&gt;0,'Attrition Modeling'!$N$9,0)))</f>
        <v>0</v>
      </c>
      <c r="BA130" s="799">
        <f>AZ130*(1-IFERROR(IF(BA$69+$F130&lt;=12,SUMIFS('Attrition Modeling'!$D:$D,'Attrition Modeling'!$C:$C,'IP Attrition'!$D130,'Attrition Modeling'!$B:$B,'IP Attrition'!BA$68),VLOOKUP($F130+BA$2,$A$6:$C$106,2,FALSE)*VLOOKUP(BA$1,'Attrition Modeling'!$L$15:$N$27,IF(BA$2+$F63&lt;=24,2,3),FALSE)),$C$3)*(1+Projection!BC$16)*(1+IF(BA195&gt;0,'Attrition Modeling'!$N$9,0)))</f>
        <v>0</v>
      </c>
      <c r="BB130" s="799">
        <f>BA130*(1-IFERROR(IF(BB$69+$F130&lt;=12,SUMIFS('Attrition Modeling'!$D:$D,'Attrition Modeling'!$C:$C,'IP Attrition'!$D130,'Attrition Modeling'!$B:$B,'IP Attrition'!BB$68),VLOOKUP($F130+BB$2,$A$6:$C$106,2,FALSE)*VLOOKUP(BB$1,'Attrition Modeling'!$L$15:$N$27,IF(BB$2+$F63&lt;=24,2,3),FALSE)),$C$3)*(1+Projection!BD$16)*(1+IF(BB195&gt;0,'Attrition Modeling'!$N$9,0)))</f>
        <v>0</v>
      </c>
      <c r="BC130" s="799">
        <f>BB130*(1-IFERROR(IF(BC$69+$F130&lt;=12,SUMIFS('Attrition Modeling'!$D:$D,'Attrition Modeling'!$C:$C,'IP Attrition'!$D130,'Attrition Modeling'!$B:$B,'IP Attrition'!BC$68),VLOOKUP($F130+BC$2,$A$6:$C$106,2,FALSE)*VLOOKUP(BC$1,'Attrition Modeling'!$L$15:$N$27,IF(BC$2+$F63&lt;=24,2,3),FALSE)),$C$3)*(1+Projection!BE$16)*(1+IF(BC195&gt;0,'Attrition Modeling'!$N$9,0)))</f>
        <v>0</v>
      </c>
      <c r="BD130" s="799">
        <f>BC130*(1-IFERROR(IF(BD$69+$F130&lt;=12,SUMIFS('Attrition Modeling'!$D:$D,'Attrition Modeling'!$C:$C,'IP Attrition'!$D130,'Attrition Modeling'!$B:$B,'IP Attrition'!BD$68),VLOOKUP($F130+BD$2,$A$6:$C$106,2,FALSE)*VLOOKUP(BD$1,'Attrition Modeling'!$L$15:$N$27,IF(BD$2+$F63&lt;=24,2,3),FALSE)),$C$3)*(1+Projection!BF$16)*(1+IF(BD195&gt;0,'Attrition Modeling'!$N$9,0)))</f>
        <v>0</v>
      </c>
      <c r="BE130" s="799">
        <f>BD130*(1-IFERROR(IF(BE$69+$F130&lt;=12,SUMIFS('Attrition Modeling'!$D:$D,'Attrition Modeling'!$C:$C,'IP Attrition'!$D130,'Attrition Modeling'!$B:$B,'IP Attrition'!BE$68),VLOOKUP($F130+BE$2,$A$6:$C$106,2,FALSE)*VLOOKUP(BE$1,'Attrition Modeling'!$L$15:$N$27,IF(BE$2+$F63&lt;=24,2,3),FALSE)),$C$3)*(1+Projection!BG$16)*(1+IF(BE195&gt;0,'Attrition Modeling'!$N$9,0)))</f>
        <v>0</v>
      </c>
      <c r="BF130" s="799">
        <f>BE130*(1-IFERROR(IF(BF$69+$F130&lt;=12,SUMIFS('Attrition Modeling'!$D:$D,'Attrition Modeling'!$C:$C,'IP Attrition'!$D130,'Attrition Modeling'!$B:$B,'IP Attrition'!BF$68),VLOOKUP($F130+BF$2,$A$6:$C$106,2,FALSE)*VLOOKUP(BF$1,'Attrition Modeling'!$L$15:$N$27,IF(BF$2+$F63&lt;=24,2,3),FALSE)),$C$3)*(1+Projection!BH$16)*(1+IF(BF195&gt;0,'Attrition Modeling'!$N$9,0)))</f>
        <v>0</v>
      </c>
      <c r="BG130" s="799">
        <f>BF130*(1-IFERROR(IF(BG$69+$F130&lt;=12,SUMIFS('Attrition Modeling'!$D:$D,'Attrition Modeling'!$C:$C,'IP Attrition'!$D130,'Attrition Modeling'!$B:$B,'IP Attrition'!BG$68),VLOOKUP($F130+BG$2,$A$6:$C$106,2,FALSE)*VLOOKUP(BG$1,'Attrition Modeling'!$L$15:$N$27,IF(BG$2+$F63&lt;=24,2,3),FALSE)),$C$3)*(1+Projection!BI$16)*(1+IF(BG195&gt;0,'Attrition Modeling'!$N$9,0)))</f>
        <v>0</v>
      </c>
      <c r="BH130" s="799">
        <f>BG130*(1-IFERROR(IF(BH$69+$F130&lt;=12,SUMIFS('Attrition Modeling'!$D:$D,'Attrition Modeling'!$C:$C,'IP Attrition'!$D130,'Attrition Modeling'!$B:$B,'IP Attrition'!BH$68),VLOOKUP($F130+BH$2,$A$6:$C$106,2,FALSE)*VLOOKUP(BH$1,'Attrition Modeling'!$L$15:$N$27,IF(BH$2+$F63&lt;=24,2,3),FALSE)),$C$3)*(1+Projection!BJ$16)*(1+IF(BH195&gt;0,'Attrition Modeling'!$N$9,0)))</f>
        <v>0</v>
      </c>
      <c r="BI130" s="799">
        <f>BH130*(1-IFERROR(IF(BI$69+$F130&lt;=12,SUMIFS('Attrition Modeling'!$D:$D,'Attrition Modeling'!$C:$C,'IP Attrition'!$D130,'Attrition Modeling'!$B:$B,'IP Attrition'!BI$68),VLOOKUP($F130+BI$2,$A$6:$C$106,2,FALSE)*VLOOKUP(BI$1,'Attrition Modeling'!$L$15:$N$27,IF(BI$2+$F63&lt;=24,2,3),FALSE)),$C$3)*(1+Projection!BK$16)*(1+IF(BI195&gt;0,'Attrition Modeling'!$N$9,0)))</f>
        <v>0</v>
      </c>
      <c r="BJ130" s="799">
        <f>BI130*(1-IFERROR(IF(BJ$69+$F130&lt;=12,SUMIFS('Attrition Modeling'!$D:$D,'Attrition Modeling'!$C:$C,'IP Attrition'!$D130,'Attrition Modeling'!$B:$B,'IP Attrition'!BJ$68),VLOOKUP($F130+BJ$2,$A$6:$C$106,2,FALSE)*VLOOKUP(BJ$1,'Attrition Modeling'!$L$15:$N$27,IF(BJ$2+$F63&lt;=24,2,3),FALSE)),$C$3)*(1+Projection!BL$16)*(1+IF(BJ195&gt;0,'Attrition Modeling'!$N$9,0)))</f>
        <v>0</v>
      </c>
      <c r="BK130" s="799">
        <f>BJ130*(1-IFERROR(IF(BK$69+$F130&lt;=12,SUMIFS('Attrition Modeling'!$D:$D,'Attrition Modeling'!$C:$C,'IP Attrition'!$D130,'Attrition Modeling'!$B:$B,'IP Attrition'!BK$68),VLOOKUP($F130+BK$2,$A$6:$C$106,2,FALSE)*VLOOKUP(BK$1,'Attrition Modeling'!$L$15:$N$27,IF(BK$2+$F63&lt;=24,2,3),FALSE)),$C$3)*(1+Projection!BM$16)*(1+IF(BK195&gt;0,'Attrition Modeling'!$N$9,0)))</f>
        <v>0</v>
      </c>
      <c r="BL130" s="799">
        <f>BK130*(1-IFERROR(IF(BL$69+$F130&lt;=12,SUMIFS('Attrition Modeling'!$D:$D,'Attrition Modeling'!$C:$C,'IP Attrition'!$D130,'Attrition Modeling'!$B:$B,'IP Attrition'!BL$68),VLOOKUP($F130+BL$2,$A$6:$C$106,2,FALSE)*VLOOKUP(BL$1,'Attrition Modeling'!$L$15:$N$27,IF(BL$2+$F63&lt;=24,2,3),FALSE)),$C$3)*(1+Projection!BN$16)*(1+IF(BL195&gt;0,'Attrition Modeling'!$N$9,0)))</f>
        <v>0</v>
      </c>
      <c r="BM130" s="799">
        <f>BL130*(1-IFERROR(IF(BM$69+$F130&lt;=12,SUMIFS('Attrition Modeling'!$D:$D,'Attrition Modeling'!$C:$C,'IP Attrition'!$D130,'Attrition Modeling'!$B:$B,'IP Attrition'!BM$68),VLOOKUP($F130+BM$2,$A$6:$C$106,2,FALSE)*VLOOKUP(BM$1,'Attrition Modeling'!$L$15:$N$27,IF(BM$2+$F63&lt;=24,2,3),FALSE)),$C$3)*(1+Projection!BO$16)*(1+IF(BM195&gt;0,'Attrition Modeling'!$N$9,0)))</f>
        <v>0</v>
      </c>
      <c r="BN130" s="799">
        <f>BM130*(1-IFERROR(IF(BN$69+$F130&lt;=12,SUMIFS('Attrition Modeling'!$D:$D,'Attrition Modeling'!$C:$C,'IP Attrition'!$D130,'Attrition Modeling'!$B:$B,'IP Attrition'!BN$68),VLOOKUP($F130+BN$2,$A$6:$C$106,2,FALSE)*VLOOKUP(BN$1,'Attrition Modeling'!$L$15:$N$27,IF(BN$2+$F63&lt;=24,2,3),FALSE)),$C$3)*(1+Projection!BP$16)*(1+IF(BN195&gt;0,'Attrition Modeling'!$N$9,0)))</f>
        <v>0</v>
      </c>
      <c r="BO130" s="799">
        <f>BN130*(1-IFERROR(IF(BO$69+$F130&lt;=12,SUMIFS('Attrition Modeling'!$D:$D,'Attrition Modeling'!$C:$C,'IP Attrition'!$D130,'Attrition Modeling'!$B:$B,'IP Attrition'!BO$68),VLOOKUP($F130+BO$2,$A$6:$C$106,2,FALSE)*VLOOKUP(BO$1,'Attrition Modeling'!$L$15:$N$27,IF(BO$2+$F63&lt;=24,2,3),FALSE)),$C$3)*(1+Projection!BV$16)*(1+IF(BO195&gt;0,'Attrition Modeling'!$N$9,0)))</f>
        <v>0</v>
      </c>
      <c r="BP130" s="799">
        <f>BO130*(1-IFERROR(IF(BP$69+$F130&lt;=12,SUMIFS('Attrition Modeling'!$D:$D,'Attrition Modeling'!$C:$C,'IP Attrition'!$D130,'Attrition Modeling'!$B:$B,'IP Attrition'!BP$68),VLOOKUP($F130+BP$2,$A$6:$C$106,2,FALSE)*VLOOKUP(BP$1,'Attrition Modeling'!$L$15:$N$27,IF(BP$2+$F63&lt;=24,2,3),FALSE)),$C$3)*(1+Projection!BW$16)*(1+IF(BP195&gt;0,'Attrition Modeling'!$N$9,0)))</f>
        <v>0</v>
      </c>
      <c r="BQ130" s="799">
        <f>BP130*(1-IFERROR(IF(BQ$69+$F130&lt;=12,SUMIFS('Attrition Modeling'!$D:$D,'Attrition Modeling'!$C:$C,'IP Attrition'!$D130,'Attrition Modeling'!$B:$B,'IP Attrition'!BQ$68),VLOOKUP($F130+BQ$2,$A$6:$C$106,2,FALSE)*VLOOKUP(BQ$1,'Attrition Modeling'!$L$15:$N$27,IF(BQ$2+$F63&lt;=24,2,3),FALSE)),$C$3)*(1+Projection!BX$16)*(1+IF(BQ195&gt;0,'Attrition Modeling'!$N$9,0)))</f>
        <v>0</v>
      </c>
      <c r="BR130" s="799">
        <f>BQ130*(1-IFERROR(IF(BR$69+$F130&lt;=12,SUMIFS('Attrition Modeling'!$D:$D,'Attrition Modeling'!$C:$C,'IP Attrition'!$D130,'Attrition Modeling'!$B:$B,'IP Attrition'!BR$68),VLOOKUP($F130+BR$2,$A$6:$C$106,2,FALSE)*VLOOKUP(BR$1,'Attrition Modeling'!$L$15:$N$27,IF(BR$2+$F63&lt;=24,2,3),FALSE)),$C$3)*(1+Projection!BY$16)*(1+IF(BR195&gt;0,'Attrition Modeling'!$N$9,0)))</f>
        <v>0</v>
      </c>
      <c r="BS130" s="799">
        <f>BR130*(1-IFERROR(IF(BS$69+$F130&lt;=12,SUMIFS('Attrition Modeling'!$D:$D,'Attrition Modeling'!$C:$C,'IP Attrition'!$D130,'Attrition Modeling'!$B:$B,'IP Attrition'!BS$68),VLOOKUP($F130+BS$2,$A$6:$C$106,2,FALSE)*VLOOKUP(BS$1,'Attrition Modeling'!$L$15:$N$27,IF(BS$2+$F63&lt;=24,2,3),FALSE)),$C$3)*(1+Projection!BZ$16)*(1+IF(BS195&gt;0,'Attrition Modeling'!$N$9,0)))</f>
        <v>0</v>
      </c>
      <c r="BT130" s="799" t="e">
        <f>BS130*(1-IFERROR(IF(BT$69+$F130&lt;=12,SUMIFS('Attrition Modeling'!$D:$D,'Attrition Modeling'!$C:$C,'IP Attrition'!$D130,'Attrition Modeling'!$B:$B,'IP Attrition'!BT$68),VLOOKUP($F130+BT$2,$A$6:$C$106,2,FALSE)*VLOOKUP(BT$1,'Attrition Modeling'!$L$15:$N$27,IF(BT$2+$F63&lt;=24,2,3),FALSE)),$C$3)*(1+Projection!CA$16)*(1+IF(BT195&gt;0,'Attrition Modeling'!$N$9,0)))</f>
        <v>#REF!</v>
      </c>
      <c r="BU130" s="799" t="e">
        <f>BT130*(1-IFERROR(IF(BU$69+$F130&lt;=12,SUMIFS('Attrition Modeling'!$D:$D,'Attrition Modeling'!$C:$C,'IP Attrition'!$D130,'Attrition Modeling'!$B:$B,'IP Attrition'!BU$68),VLOOKUP($F130+BU$2,$A$6:$C$106,2,FALSE)*VLOOKUP(BU$1,'Attrition Modeling'!$L$15:$N$27,IF(BU$2+$F63&lt;=24,2,3),FALSE)),$C$3)*(1+Projection!CB$16)*(1+IF(BU195&gt;0,'Attrition Modeling'!$N$9,0)))</f>
        <v>#REF!</v>
      </c>
    </row>
    <row r="131" spans="1:73" ht="14.25" customHeight="1" x14ac:dyDescent="0.2">
      <c r="A131" s="9">
        <v>124</v>
      </c>
      <c r="B131" s="25">
        <f>MAX('Attrition Modeling'!H128,$C$3)*(1-Summary!$C$20)</f>
        <v>0.02</v>
      </c>
      <c r="C131" s="24" t="e">
        <f t="shared" si="3"/>
        <v>#DIV/0!</v>
      </c>
      <c r="F131" s="802" t="s">
        <v>699</v>
      </c>
      <c r="G131" s="803"/>
      <c r="H131" s="804">
        <f t="shared" ref="H131:BU131" si="69">SUM(H70:H130)-SUM(G70:G130)</f>
        <v>0</v>
      </c>
      <c r="I131" s="804">
        <f t="shared" si="69"/>
        <v>0</v>
      </c>
      <c r="J131" s="804">
        <f t="shared" si="69"/>
        <v>0</v>
      </c>
      <c r="K131" s="804">
        <f t="shared" si="69"/>
        <v>0</v>
      </c>
      <c r="L131" s="804">
        <f t="shared" si="69"/>
        <v>0</v>
      </c>
      <c r="M131" s="804">
        <f t="shared" si="69"/>
        <v>0</v>
      </c>
      <c r="N131" s="804">
        <f t="shared" si="69"/>
        <v>0</v>
      </c>
      <c r="O131" s="804">
        <f t="shared" si="69"/>
        <v>0</v>
      </c>
      <c r="P131" s="804">
        <f t="shared" si="69"/>
        <v>0</v>
      </c>
      <c r="Q131" s="804">
        <f t="shared" si="69"/>
        <v>0</v>
      </c>
      <c r="R131" s="804">
        <f t="shared" si="69"/>
        <v>0</v>
      </c>
      <c r="S131" s="804">
        <f t="shared" si="69"/>
        <v>0</v>
      </c>
      <c r="T131" s="804">
        <f t="shared" si="69"/>
        <v>0</v>
      </c>
      <c r="U131" s="804">
        <f t="shared" si="69"/>
        <v>0</v>
      </c>
      <c r="V131" s="804">
        <f t="shared" si="69"/>
        <v>0</v>
      </c>
      <c r="W131" s="804">
        <f t="shared" si="69"/>
        <v>0</v>
      </c>
      <c r="X131" s="804">
        <f t="shared" si="69"/>
        <v>0</v>
      </c>
      <c r="Y131" s="804">
        <f t="shared" si="69"/>
        <v>0</v>
      </c>
      <c r="Z131" s="804">
        <f t="shared" si="69"/>
        <v>0</v>
      </c>
      <c r="AA131" s="804">
        <f t="shared" si="69"/>
        <v>0</v>
      </c>
      <c r="AB131" s="804">
        <f t="shared" si="69"/>
        <v>0</v>
      </c>
      <c r="AC131" s="804">
        <f t="shared" si="69"/>
        <v>0</v>
      </c>
      <c r="AD131" s="804">
        <f t="shared" si="69"/>
        <v>0</v>
      </c>
      <c r="AE131" s="804">
        <f t="shared" si="69"/>
        <v>0</v>
      </c>
      <c r="AF131" s="804">
        <f t="shared" si="69"/>
        <v>0</v>
      </c>
      <c r="AG131" s="804">
        <f t="shared" si="69"/>
        <v>0</v>
      </c>
      <c r="AH131" s="804">
        <f t="shared" si="69"/>
        <v>0</v>
      </c>
      <c r="AI131" s="804">
        <f t="shared" si="69"/>
        <v>0</v>
      </c>
      <c r="AJ131" s="804">
        <f t="shared" si="69"/>
        <v>0</v>
      </c>
      <c r="AK131" s="804">
        <f t="shared" si="69"/>
        <v>0</v>
      </c>
      <c r="AL131" s="804">
        <f t="shared" si="69"/>
        <v>0</v>
      </c>
      <c r="AM131" s="804">
        <f t="shared" si="69"/>
        <v>0</v>
      </c>
      <c r="AN131" s="804">
        <f t="shared" si="69"/>
        <v>0</v>
      </c>
      <c r="AO131" s="804">
        <f t="shared" si="69"/>
        <v>0</v>
      </c>
      <c r="AP131" s="804">
        <f t="shared" si="69"/>
        <v>0</v>
      </c>
      <c r="AQ131" s="804">
        <f t="shared" si="69"/>
        <v>0</v>
      </c>
      <c r="AR131" s="804">
        <f t="shared" si="69"/>
        <v>0</v>
      </c>
      <c r="AS131" s="804">
        <f t="shared" si="69"/>
        <v>0</v>
      </c>
      <c r="AT131" s="804">
        <f t="shared" si="69"/>
        <v>0</v>
      </c>
      <c r="AU131" s="804">
        <f t="shared" si="69"/>
        <v>0</v>
      </c>
      <c r="AV131" s="804">
        <f t="shared" si="69"/>
        <v>0</v>
      </c>
      <c r="AW131" s="804">
        <f t="shared" si="69"/>
        <v>0</v>
      </c>
      <c r="AX131" s="804">
        <f t="shared" si="69"/>
        <v>0</v>
      </c>
      <c r="AY131" s="804">
        <f t="shared" si="69"/>
        <v>0</v>
      </c>
      <c r="AZ131" s="804">
        <f t="shared" si="69"/>
        <v>0</v>
      </c>
      <c r="BA131" s="804">
        <f t="shared" si="69"/>
        <v>0</v>
      </c>
      <c r="BB131" s="804">
        <f t="shared" si="69"/>
        <v>0</v>
      </c>
      <c r="BC131" s="804">
        <f t="shared" si="69"/>
        <v>0</v>
      </c>
      <c r="BD131" s="804">
        <f t="shared" si="69"/>
        <v>0</v>
      </c>
      <c r="BE131" s="804">
        <f t="shared" si="69"/>
        <v>0</v>
      </c>
      <c r="BF131" s="804">
        <f t="shared" si="69"/>
        <v>0</v>
      </c>
      <c r="BG131" s="804">
        <f t="shared" si="69"/>
        <v>0</v>
      </c>
      <c r="BH131" s="804">
        <f t="shared" si="69"/>
        <v>0</v>
      </c>
      <c r="BI131" s="804">
        <f t="shared" si="69"/>
        <v>0</v>
      </c>
      <c r="BJ131" s="804">
        <f t="shared" si="69"/>
        <v>0</v>
      </c>
      <c r="BK131" s="804">
        <f t="shared" si="69"/>
        <v>0</v>
      </c>
      <c r="BL131" s="804">
        <f t="shared" si="69"/>
        <v>0</v>
      </c>
      <c r="BM131" s="804">
        <f t="shared" si="69"/>
        <v>0</v>
      </c>
      <c r="BN131" s="804">
        <f t="shared" si="69"/>
        <v>0</v>
      </c>
      <c r="BO131" s="804">
        <f t="shared" si="69"/>
        <v>0</v>
      </c>
      <c r="BP131" s="804">
        <f t="shared" si="69"/>
        <v>0</v>
      </c>
      <c r="BQ131" s="804">
        <f t="shared" si="69"/>
        <v>0</v>
      </c>
      <c r="BR131" s="804">
        <f t="shared" si="69"/>
        <v>0</v>
      </c>
      <c r="BS131" s="804">
        <f t="shared" si="69"/>
        <v>0</v>
      </c>
      <c r="BT131" s="804" t="e">
        <f t="shared" si="69"/>
        <v>#REF!</v>
      </c>
      <c r="BU131" s="804" t="e">
        <f t="shared" si="69"/>
        <v>#REF!</v>
      </c>
    </row>
    <row r="132" spans="1:73" ht="14.25" customHeight="1" x14ac:dyDescent="0.2">
      <c r="A132" s="9">
        <v>125</v>
      </c>
      <c r="B132" s="25">
        <f>MAX('Attrition Modeling'!H129,$C$3)*(1-Summary!$C$20)</f>
        <v>0.02</v>
      </c>
      <c r="C132" s="24" t="e">
        <f t="shared" si="3"/>
        <v>#DIV/0!</v>
      </c>
      <c r="H132" s="29"/>
    </row>
    <row r="133" spans="1:73" ht="14.25" customHeight="1" x14ac:dyDescent="0.2">
      <c r="A133" s="9">
        <v>126</v>
      </c>
      <c r="B133" s="25">
        <f>MAX('Attrition Modeling'!H130,$C$3)*(1-Summary!$C$20)</f>
        <v>0.02</v>
      </c>
      <c r="C133" s="24" t="e">
        <f t="shared" si="3"/>
        <v>#DIV/0!</v>
      </c>
      <c r="F133" s="795" t="s">
        <v>700</v>
      </c>
      <c r="G133" s="796"/>
      <c r="H133" s="796"/>
      <c r="I133" s="805"/>
      <c r="J133" s="796"/>
      <c r="K133" s="796"/>
      <c r="L133" s="796"/>
      <c r="M133" s="796"/>
      <c r="N133" s="796"/>
      <c r="O133" s="796"/>
      <c r="P133" s="796"/>
      <c r="Q133" s="796"/>
      <c r="R133" s="796"/>
      <c r="S133" s="796"/>
      <c r="T133" s="796"/>
      <c r="U133" s="796"/>
      <c r="V133" s="796"/>
      <c r="W133" s="796"/>
      <c r="X133" s="796"/>
      <c r="Y133" s="796"/>
      <c r="Z133" s="796"/>
      <c r="AA133" s="796"/>
      <c r="AB133" s="796"/>
      <c r="AC133" s="796"/>
      <c r="AD133" s="796"/>
      <c r="AE133" s="796"/>
      <c r="AF133" s="796"/>
      <c r="AG133" s="796"/>
      <c r="AH133" s="796"/>
      <c r="AI133" s="796"/>
      <c r="AJ133" s="796"/>
      <c r="AK133" s="796"/>
      <c r="AL133" s="796"/>
      <c r="AM133" s="796"/>
      <c r="AN133" s="796"/>
      <c r="AO133" s="796"/>
      <c r="AP133" s="796"/>
      <c r="AQ133" s="796"/>
      <c r="AR133" s="796"/>
      <c r="AS133" s="796"/>
      <c r="AT133" s="796"/>
      <c r="AU133" s="796"/>
      <c r="AV133" s="796"/>
      <c r="AW133" s="796"/>
      <c r="AX133" s="796"/>
      <c r="AY133" s="796"/>
      <c r="AZ133" s="796"/>
      <c r="BA133" s="796"/>
      <c r="BB133" s="796"/>
      <c r="BC133" s="796"/>
      <c r="BD133" s="796"/>
      <c r="BE133" s="796"/>
      <c r="BF133" s="796"/>
      <c r="BG133" s="796"/>
      <c r="BH133" s="796"/>
      <c r="BI133" s="796"/>
      <c r="BJ133" s="796"/>
      <c r="BK133" s="796"/>
      <c r="BL133" s="796"/>
      <c r="BM133" s="796"/>
      <c r="BN133" s="796"/>
      <c r="BO133" s="796"/>
      <c r="BP133" s="796"/>
      <c r="BQ133" s="796"/>
      <c r="BR133" s="796"/>
      <c r="BS133" s="796"/>
      <c r="BT133" s="796"/>
      <c r="BU133" s="796"/>
    </row>
    <row r="134" spans="1:73" ht="14.25" customHeight="1" x14ac:dyDescent="0.2">
      <c r="A134" s="9">
        <v>127</v>
      </c>
      <c r="B134" s="25">
        <f>MAX('Attrition Modeling'!H131,$C$3)*(1-Summary!$C$20)</f>
        <v>0.02</v>
      </c>
      <c r="C134" s="24" t="e">
        <f t="shared" si="3"/>
        <v>#DIV/0!</v>
      </c>
      <c r="E134" s="11" t="s">
        <v>702</v>
      </c>
      <c r="F134" s="11" t="s">
        <v>679</v>
      </c>
      <c r="G134" s="797">
        <v>0</v>
      </c>
      <c r="H134" s="797">
        <v>1</v>
      </c>
      <c r="I134" s="797">
        <f t="shared" ref="I134:BU134" si="70">H134+1</f>
        <v>2</v>
      </c>
      <c r="J134" s="797">
        <f t="shared" si="70"/>
        <v>3</v>
      </c>
      <c r="K134" s="797">
        <f t="shared" si="70"/>
        <v>4</v>
      </c>
      <c r="L134" s="797">
        <f t="shared" si="70"/>
        <v>5</v>
      </c>
      <c r="M134" s="797">
        <f t="shared" si="70"/>
        <v>6</v>
      </c>
      <c r="N134" s="797">
        <f t="shared" si="70"/>
        <v>7</v>
      </c>
      <c r="O134" s="797">
        <f t="shared" si="70"/>
        <v>8</v>
      </c>
      <c r="P134" s="797">
        <f t="shared" si="70"/>
        <v>9</v>
      </c>
      <c r="Q134" s="797">
        <f t="shared" si="70"/>
        <v>10</v>
      </c>
      <c r="R134" s="797">
        <f t="shared" si="70"/>
        <v>11</v>
      </c>
      <c r="S134" s="797">
        <f t="shared" si="70"/>
        <v>12</v>
      </c>
      <c r="T134" s="797">
        <f t="shared" si="70"/>
        <v>13</v>
      </c>
      <c r="U134" s="797">
        <f t="shared" si="70"/>
        <v>14</v>
      </c>
      <c r="V134" s="797">
        <f t="shared" si="70"/>
        <v>15</v>
      </c>
      <c r="W134" s="797">
        <f t="shared" si="70"/>
        <v>16</v>
      </c>
      <c r="X134" s="797">
        <f t="shared" si="70"/>
        <v>17</v>
      </c>
      <c r="Y134" s="797">
        <f t="shared" si="70"/>
        <v>18</v>
      </c>
      <c r="Z134" s="797">
        <f t="shared" si="70"/>
        <v>19</v>
      </c>
      <c r="AA134" s="797">
        <f t="shared" si="70"/>
        <v>20</v>
      </c>
      <c r="AB134" s="797">
        <f t="shared" si="70"/>
        <v>21</v>
      </c>
      <c r="AC134" s="797">
        <f t="shared" si="70"/>
        <v>22</v>
      </c>
      <c r="AD134" s="797">
        <f t="shared" si="70"/>
        <v>23</v>
      </c>
      <c r="AE134" s="797">
        <f t="shared" si="70"/>
        <v>24</v>
      </c>
      <c r="AF134" s="797">
        <f t="shared" si="70"/>
        <v>25</v>
      </c>
      <c r="AG134" s="797">
        <f t="shared" si="70"/>
        <v>26</v>
      </c>
      <c r="AH134" s="797">
        <f t="shared" si="70"/>
        <v>27</v>
      </c>
      <c r="AI134" s="797">
        <f t="shared" si="70"/>
        <v>28</v>
      </c>
      <c r="AJ134" s="797">
        <f t="shared" si="70"/>
        <v>29</v>
      </c>
      <c r="AK134" s="797">
        <f t="shared" si="70"/>
        <v>30</v>
      </c>
      <c r="AL134" s="797">
        <f t="shared" si="70"/>
        <v>31</v>
      </c>
      <c r="AM134" s="797">
        <f t="shared" si="70"/>
        <v>32</v>
      </c>
      <c r="AN134" s="797">
        <f t="shared" si="70"/>
        <v>33</v>
      </c>
      <c r="AO134" s="797">
        <f t="shared" si="70"/>
        <v>34</v>
      </c>
      <c r="AP134" s="797">
        <f t="shared" si="70"/>
        <v>35</v>
      </c>
      <c r="AQ134" s="797">
        <f t="shared" si="70"/>
        <v>36</v>
      </c>
      <c r="AR134" s="797">
        <f t="shared" si="70"/>
        <v>37</v>
      </c>
      <c r="AS134" s="797">
        <f t="shared" si="70"/>
        <v>38</v>
      </c>
      <c r="AT134" s="797">
        <f t="shared" si="70"/>
        <v>39</v>
      </c>
      <c r="AU134" s="797">
        <f t="shared" si="70"/>
        <v>40</v>
      </c>
      <c r="AV134" s="797">
        <f t="shared" si="70"/>
        <v>41</v>
      </c>
      <c r="AW134" s="797">
        <f t="shared" si="70"/>
        <v>42</v>
      </c>
      <c r="AX134" s="797">
        <f t="shared" si="70"/>
        <v>43</v>
      </c>
      <c r="AY134" s="797">
        <f t="shared" si="70"/>
        <v>44</v>
      </c>
      <c r="AZ134" s="797">
        <f t="shared" si="70"/>
        <v>45</v>
      </c>
      <c r="BA134" s="797">
        <f t="shared" si="70"/>
        <v>46</v>
      </c>
      <c r="BB134" s="797">
        <f t="shared" si="70"/>
        <v>47</v>
      </c>
      <c r="BC134" s="797">
        <f t="shared" si="70"/>
        <v>48</v>
      </c>
      <c r="BD134" s="797">
        <f t="shared" si="70"/>
        <v>49</v>
      </c>
      <c r="BE134" s="797">
        <f t="shared" si="70"/>
        <v>50</v>
      </c>
      <c r="BF134" s="797">
        <f t="shared" si="70"/>
        <v>51</v>
      </c>
      <c r="BG134" s="797">
        <f t="shared" si="70"/>
        <v>52</v>
      </c>
      <c r="BH134" s="797">
        <f t="shared" si="70"/>
        <v>53</v>
      </c>
      <c r="BI134" s="797">
        <f t="shared" si="70"/>
        <v>54</v>
      </c>
      <c r="BJ134" s="797">
        <f t="shared" si="70"/>
        <v>55</v>
      </c>
      <c r="BK134" s="797">
        <f t="shared" si="70"/>
        <v>56</v>
      </c>
      <c r="BL134" s="797">
        <f t="shared" si="70"/>
        <v>57</v>
      </c>
      <c r="BM134" s="797">
        <f t="shared" si="70"/>
        <v>58</v>
      </c>
      <c r="BN134" s="797">
        <f t="shared" si="70"/>
        <v>59</v>
      </c>
      <c r="BO134" s="797">
        <f t="shared" si="70"/>
        <v>60</v>
      </c>
      <c r="BP134" s="797">
        <f t="shared" si="70"/>
        <v>61</v>
      </c>
      <c r="BQ134" s="797">
        <f t="shared" si="70"/>
        <v>62</v>
      </c>
      <c r="BR134" s="797">
        <f t="shared" si="70"/>
        <v>63</v>
      </c>
      <c r="BS134" s="797">
        <f t="shared" si="70"/>
        <v>64</v>
      </c>
      <c r="BT134" s="797">
        <f t="shared" si="70"/>
        <v>65</v>
      </c>
      <c r="BU134" s="797">
        <f t="shared" si="70"/>
        <v>66</v>
      </c>
    </row>
    <row r="135" spans="1:73" ht="14.25" customHeight="1" x14ac:dyDescent="0.2">
      <c r="A135" s="9">
        <v>128</v>
      </c>
      <c r="B135" s="25">
        <f>MAX('Attrition Modeling'!H132,$C$3)*(1-Summary!$C$20)</f>
        <v>0.02</v>
      </c>
      <c r="C135" s="24" t="e">
        <f t="shared" si="3"/>
        <v>#DIV/0!</v>
      </c>
      <c r="D135" s="11">
        <v>6</v>
      </c>
      <c r="E135" s="25">
        <f t="shared" ref="E135:E195" si="71">E3</f>
        <v>0.12937802129018236</v>
      </c>
      <c r="F135" s="11">
        <v>0</v>
      </c>
      <c r="G135" s="799"/>
      <c r="H135" s="799">
        <f>IF(EOMONTH(Inputs!$C$8,'IP Attrition'!H$134-1)&lt;=Inputs!$C$9,0,MIN(IF(ISERROR(VLOOKUP(H$134+$F135,$D$135:$D$165,1,FALSE)),0,G3*$C$2),MAX((IF(Monthly!D$4=TRUE,Monthly!D$13,Monthly!D$14)*(1+'Attrition Modeling'!$N$8)-'IP Attrition'!G$65)/12*'IP Attrition'!G70,0)))</f>
        <v>0</v>
      </c>
      <c r="I135" s="799">
        <f>IF(EOMONTH(Inputs!$C$8,'IP Attrition'!I$134-1)&lt;=Inputs!$C$9,0,MIN(IF(ISERROR(VLOOKUP(I$134+$F135,$D$135:$D$165,1,FALSE)),0,H3*$C$2),MAX((IF(Monthly!E$4=TRUE,Monthly!E$13,Monthly!E$14)*(1+'Attrition Modeling'!$N$8)-'IP Attrition'!H$65)/12*'IP Attrition'!H70,0)))</f>
        <v>0</v>
      </c>
      <c r="J135" s="799">
        <f>IF(EOMONTH(Inputs!$C$8,'IP Attrition'!J$134-1)&lt;=Inputs!$C$9,0,MIN(IF(ISERROR(VLOOKUP(J$134+$F135,$D$135:$D$165,1,FALSE)),0,I3*$C$2),MAX((IF(Monthly!F$4=TRUE,Monthly!F$13,Monthly!F$14)*(1+'Attrition Modeling'!$N$8)-'IP Attrition'!I$65)/12*'IP Attrition'!I70,0)))</f>
        <v>0</v>
      </c>
      <c r="K135" s="799">
        <f>IF(EOMONTH(Inputs!$C$8,'IP Attrition'!K$134-1)&lt;=Inputs!$C$9,0,MIN(IF(ISERROR(VLOOKUP(K$134+$F135,$D$135:$D$165,1,FALSE)),0,J3*$C$2),MAX((IF(Monthly!G$4=TRUE,Monthly!G$13,Monthly!G$14)*(1+'Attrition Modeling'!$N$8)-'IP Attrition'!J$65)/12*'IP Attrition'!J70,0)))</f>
        <v>0</v>
      </c>
      <c r="L135" s="799">
        <f>IF(EOMONTH(Inputs!$C$8,'IP Attrition'!L$134-1)&lt;=Inputs!$C$9,0,MIN(IF(ISERROR(VLOOKUP(L$134+$F135,$D$135:$D$165,1,FALSE)),0,K3*$C$2),MAX((IF(Monthly!H$4=TRUE,Monthly!H$13,Monthly!H$14)*(1+'Attrition Modeling'!$N$8)-'IP Attrition'!K$65)/12*'IP Attrition'!K70,0)))</f>
        <v>0</v>
      </c>
      <c r="M135" s="799">
        <f>IF(EOMONTH(Inputs!$C$8,'IP Attrition'!M$134-1)&lt;=Inputs!$C$9,0,MIN(IF(ISERROR(VLOOKUP(M$134+$F135,$D$135:$D$165,1,FALSE)),0,L3*$C$2),MAX((IF(Monthly!I$4=TRUE,Monthly!I$13,Monthly!I$14)*(1+'Attrition Modeling'!$N$8)-'IP Attrition'!L$65)/12*'IP Attrition'!L70,0)))</f>
        <v>0</v>
      </c>
      <c r="N135" s="799">
        <f>IF(EOMONTH(Inputs!$C$8,'IP Attrition'!N$134-1)&lt;=Inputs!$C$9,0,MIN(IF(ISERROR(VLOOKUP(N$134+$F135,$D$135:$D$165,1,FALSE)),0,M3*$C$2),MAX((IF(Monthly!J$4=TRUE,Monthly!J$13,Monthly!J$14)*(1+'Attrition Modeling'!$N$8)-'IP Attrition'!M$65)/12*'IP Attrition'!M70,0)))</f>
        <v>0</v>
      </c>
      <c r="O135" s="799">
        <f>IF(EOMONTH(Inputs!$C$8,'IP Attrition'!O$134-1)&lt;=Inputs!$C$9,0,MIN(IF(ISERROR(VLOOKUP(O$134+$F135,$D$135:$D$165,1,FALSE)),0,N3*$C$2),MAX((IF(Monthly!K$4=TRUE,Monthly!K$13,Monthly!K$14)*(1+'Attrition Modeling'!$N$8)-'IP Attrition'!N$65)/12*'IP Attrition'!N70,0)))</f>
        <v>0</v>
      </c>
      <c r="P135" s="799">
        <f>IF(EOMONTH(Inputs!$C$8,'IP Attrition'!P$134-1)&lt;=Inputs!$C$9,0,MIN(IF(ISERROR(VLOOKUP(P$134+$F135,$D$135:$D$165,1,FALSE)),0,O3*$C$2),MAX((IF(Monthly!L$4=TRUE,Monthly!L$13,Monthly!L$14)*(1+'Attrition Modeling'!$N$8)-'IP Attrition'!O$65)/12*'IP Attrition'!O70,0)))</f>
        <v>0</v>
      </c>
      <c r="Q135" s="799">
        <f>IF(EOMONTH(Inputs!$C$8,'IP Attrition'!Q$134-1)&lt;=Inputs!$C$9,0,MIN(IF(ISERROR(VLOOKUP(Q$134+$F135,$D$135:$D$165,1,FALSE)),0,P3*$C$2),MAX((IF(Monthly!M$4=TRUE,Monthly!M$13,Monthly!M$14)*(1+'Attrition Modeling'!$N$8)-'IP Attrition'!P$65)/12*'IP Attrition'!P70,0)))</f>
        <v>0</v>
      </c>
      <c r="R135" s="799">
        <f>IF(EOMONTH(Inputs!$C$8,'IP Attrition'!R$134-1)&lt;=Inputs!$C$9,0,MIN(IF(ISERROR(VLOOKUP(R$134+$F135,$D$135:$D$165,1,FALSE)),0,Q3*$C$2),MAX((IF(Monthly!N$4=TRUE,Monthly!N$13,Monthly!N$14)*(1+'Attrition Modeling'!$N$8)-'IP Attrition'!Q$65)/12*'IP Attrition'!Q70,0)))</f>
        <v>0</v>
      </c>
      <c r="S135" s="799">
        <f>IF(EOMONTH(Inputs!$C$8,'IP Attrition'!S$134-1)&lt;=Inputs!$C$9,0,MIN(IF(ISERROR(VLOOKUP(S$134+$F135,$D$135:$D$165,1,FALSE)),0,R3*$C$2),MAX((IF(Monthly!O$4=TRUE,Monthly!O$13,Monthly!O$14)*(1+'Attrition Modeling'!$N$8)-'IP Attrition'!R$65)/12*'IP Attrition'!R70,0)))</f>
        <v>0</v>
      </c>
      <c r="T135" s="799">
        <f>IF(EOMONTH(Inputs!$C$8,'IP Attrition'!T$134-1)&lt;=Inputs!$C$9,0,MIN(IF(ISERROR(VLOOKUP(T$134+$F135,$D$135:$D$165,1,FALSE)),0,S3*$C$2),MAX((IF(Monthly!P$4=TRUE,Monthly!P$13,Monthly!P$14)*(1+'Attrition Modeling'!$N$8)-'IP Attrition'!S$65)/12*'IP Attrition'!S70,0)))</f>
        <v>0</v>
      </c>
      <c r="U135" s="799">
        <f>IF(EOMONTH(Inputs!$C$8,'IP Attrition'!U$134-1)&lt;=Inputs!$C$9,0,MIN(IF(ISERROR(VLOOKUP(U$134+$F135,$D$135:$D$165,1,FALSE)),0,T3*$C$2),MAX((IF(Monthly!Q$4=TRUE,Monthly!Q$13,Monthly!Q$14)*(1+'Attrition Modeling'!$N$8)-'IP Attrition'!T$65)/12*'IP Attrition'!T70,0)))</f>
        <v>0</v>
      </c>
      <c r="V135" s="799">
        <f>IF(EOMONTH(Inputs!$C$8,'IP Attrition'!V$134-1)&lt;=Inputs!$C$9,0,MIN(IF(ISERROR(VLOOKUP(V$134+$F135,$D$135:$D$165,1,FALSE)),0,U3*$C$2),MAX((IF(Monthly!R$4=TRUE,Monthly!R$13,Monthly!R$14)*(1+'Attrition Modeling'!$N$8)-'IP Attrition'!U$65)/12*'IP Attrition'!U70,0)))</f>
        <v>0</v>
      </c>
      <c r="W135" s="799">
        <f>IF(EOMONTH(Inputs!$C$8,'IP Attrition'!W$134-1)&lt;=Inputs!$C$9,0,MIN(IF(ISERROR(VLOOKUP(W$134+$F135,$D$135:$D$165,1,FALSE)),0,V3*$C$2),MAX((IF(Monthly!S$4=TRUE,Monthly!S$13,Monthly!S$14)*(1+'Attrition Modeling'!$N$8)-'IP Attrition'!V$65)/12*'IP Attrition'!V70,0)))</f>
        <v>0</v>
      </c>
      <c r="X135" s="799">
        <f>IF(EOMONTH(Inputs!$C$8,'IP Attrition'!X$134-1)&lt;=Inputs!$C$9,0,MIN(IF(ISERROR(VLOOKUP(X$134+$F135,$D$135:$D$165,1,FALSE)),0,W3*$C$2),MAX((IF(Monthly!T$4=TRUE,Monthly!T$13,Monthly!T$14)*(1+'Attrition Modeling'!$N$8)-'IP Attrition'!W$65)/12*'IP Attrition'!W70,0)))</f>
        <v>0</v>
      </c>
      <c r="Y135" s="799">
        <f>IF(EOMONTH(Inputs!$C$8,'IP Attrition'!Y$134-1)&lt;=Inputs!$C$9,0,MIN(IF(ISERROR(VLOOKUP(Y$134+$F135,$D$135:$D$165,1,FALSE)),0,X3*$C$2),MAX((IF(Monthly!U$4=TRUE,Monthly!U$13,Monthly!U$14)*(1+'Attrition Modeling'!$N$8)-'IP Attrition'!X$65)/12*'IP Attrition'!X70,0)))</f>
        <v>0</v>
      </c>
      <c r="Z135" s="799">
        <f>IF(EOMONTH(Inputs!$C$8,'IP Attrition'!Z$134-1)&lt;=Inputs!$C$9,0,MIN(IF(ISERROR(VLOOKUP(Z$134+$F135,$D$135:$D$165,1,FALSE)),0,Y3*$C$2),MAX((IF(Monthly!V$4=TRUE,Monthly!V$13,Monthly!V$14)*(1+'Attrition Modeling'!$N$8)-'IP Attrition'!Y$65)/12*'IP Attrition'!Y70,0)))</f>
        <v>0</v>
      </c>
      <c r="AA135" s="799">
        <f>IF(EOMONTH(Inputs!$C$8,'IP Attrition'!AA$134-1)&lt;=Inputs!$C$9,0,MIN(IF(ISERROR(VLOOKUP(AA$134+$F135,$D$135:$D$165,1,FALSE)),0,Z3*$C$2),MAX((IF(Monthly!W$4=TRUE,Monthly!W$13,Monthly!W$14)*(1+'Attrition Modeling'!$N$8)-'IP Attrition'!Z$65)/12*'IP Attrition'!Z70,0)))</f>
        <v>0</v>
      </c>
      <c r="AB135" s="799">
        <f>IF(EOMONTH(Inputs!$C$8,'IP Attrition'!AB$134-1)&lt;=Inputs!$C$9,0,MIN(IF(ISERROR(VLOOKUP(AB$134+$F135,$D$135:$D$165,1,FALSE)),0,AA3*$C$2),MAX((IF(Monthly!X$4=TRUE,Monthly!X$13,Monthly!X$14)*(1+'Attrition Modeling'!$N$8)-'IP Attrition'!AA$65)/12*'IP Attrition'!AA70,0)))</f>
        <v>0</v>
      </c>
      <c r="AC135" s="799">
        <f>IF(EOMONTH(Inputs!$C$8,'IP Attrition'!AC$134-1)&lt;=Inputs!$C$9,0,MIN(IF(ISERROR(VLOOKUP(AC$134+$F135,$D$135:$D$165,1,FALSE)),0,AB3*$C$2),MAX((IF(Monthly!Y$4=TRUE,Monthly!Y$13,Monthly!Y$14)*(1+'Attrition Modeling'!$N$8)-'IP Attrition'!AB$65)/12*'IP Attrition'!AB70,0)))</f>
        <v>0</v>
      </c>
      <c r="AD135" s="799">
        <f>IF(EOMONTH(Inputs!$C$8,'IP Attrition'!AD$134-1)&lt;=Inputs!$C$9,0,MIN(IF(ISERROR(VLOOKUP(AD$134+$F135,$D$135:$D$165,1,FALSE)),0,AC3*$C$2),MAX((IF(Monthly!Z$4=TRUE,Monthly!Z$13,Monthly!Z$14)*(1+'Attrition Modeling'!$N$8)-'IP Attrition'!AC$65)/12*'IP Attrition'!AC70,0)))</f>
        <v>0</v>
      </c>
      <c r="AE135" s="799">
        <f>IF(EOMONTH(Inputs!$C$8,'IP Attrition'!AE$134-1)&lt;=Inputs!$C$9,0,MIN(IF(ISERROR(VLOOKUP(AE$134+$F135,$D$135:$D$165,1,FALSE)),0,AD3*$C$2),MAX((IF(Monthly!AA$4=TRUE,Monthly!AA$13,Monthly!AA$14)*(1+'Attrition Modeling'!$N$8)-'IP Attrition'!AD$65)/12*'IP Attrition'!AD70,0)))</f>
        <v>0</v>
      </c>
      <c r="AF135" s="799">
        <f>IF(EOMONTH(Inputs!$C$8,'IP Attrition'!AF$134-1)&lt;=Inputs!$C$9,0,MIN(IF(ISERROR(VLOOKUP(AF$134+$F135,$D$135:$D$165,1,FALSE)),0,AE3*$C$2),MAX((IF(Monthly!AB$4=TRUE,Monthly!AB$13,Monthly!AB$14)*(1+'Attrition Modeling'!$N$8)-'IP Attrition'!AE$65)/12*'IP Attrition'!AE70,0)))</f>
        <v>0</v>
      </c>
      <c r="AG135" s="799">
        <f>IF(EOMONTH(Inputs!$C$8,'IP Attrition'!AG$134-1)&lt;=Inputs!$C$9,0,MIN(IF(ISERROR(VLOOKUP(AG$134+$F135,$D$135:$D$165,1,FALSE)),0,AF3*$C$2),MAX((IF(Monthly!AC$4=TRUE,Monthly!AC$13,Monthly!AC$14)*(1+'Attrition Modeling'!$N$8)-'IP Attrition'!AF$65)/12*'IP Attrition'!AF70,0)))</f>
        <v>0</v>
      </c>
      <c r="AH135" s="799">
        <f>IF(EOMONTH(Inputs!$C$8,'IP Attrition'!AH$134-1)&lt;=Inputs!$C$9,0,MIN(IF(ISERROR(VLOOKUP(AH$134+$F135,$D$135:$D$165,1,FALSE)),0,AG3*$C$2),MAX((IF(Monthly!AD$4=TRUE,Monthly!AD$13,Monthly!AD$14)*(1+'Attrition Modeling'!$N$8)-'IP Attrition'!AG$65)/12*'IP Attrition'!AG70,0)))</f>
        <v>0</v>
      </c>
      <c r="AI135" s="799">
        <f>IF(EOMONTH(Inputs!$C$8,'IP Attrition'!AI$134-1)&lt;=Inputs!$C$9,0,MIN(IF(ISERROR(VLOOKUP(AI$134+$F135,$D$135:$D$165,1,FALSE)),0,AH3*$C$2),MAX((IF(Monthly!AE$4=TRUE,Monthly!AE$13,Monthly!AE$14)*(1+'Attrition Modeling'!$N$8)-'IP Attrition'!AH$65)/12*'IP Attrition'!AH70,0)))</f>
        <v>0</v>
      </c>
      <c r="AJ135" s="799">
        <f>IF(EOMONTH(Inputs!$C$8,'IP Attrition'!AJ$134-1)&lt;=Inputs!$C$9,0,MIN(IF(ISERROR(VLOOKUP(AJ$134+$F135,$D$135:$D$165,1,FALSE)),0,AI3*$C$2),MAX((IF(Monthly!AF$4=TRUE,Monthly!AF$13,Monthly!AF$14)*(1+'Attrition Modeling'!$N$8)-'IP Attrition'!AI$65)/12*'IP Attrition'!AI70,0)))</f>
        <v>0</v>
      </c>
      <c r="AK135" s="799">
        <f>IF(EOMONTH(Inputs!$C$8,'IP Attrition'!AK$134-1)&lt;=Inputs!$C$9,0,MIN(IF(ISERROR(VLOOKUP(AK$134+$F135,$D$135:$D$165,1,FALSE)),0,AJ3*$C$2),MAX((IF(Monthly!AG$4=TRUE,Monthly!AG$13,Monthly!AG$14)*(1+'Attrition Modeling'!$N$8)-'IP Attrition'!AJ$65)/12*'IP Attrition'!AJ70,0)))</f>
        <v>0</v>
      </c>
      <c r="AL135" s="799">
        <f>IF(EOMONTH(Inputs!$C$8,'IP Attrition'!AL$134-1)&lt;=Inputs!$C$9,0,MIN(IF(ISERROR(VLOOKUP(AL$134+$F135,$D$135:$D$165,1,FALSE)),0,AK3*$C$2),MAX((IF(Monthly!AH$4=TRUE,Monthly!AH$13,Monthly!AH$14)*(1+'Attrition Modeling'!$N$8)-'IP Attrition'!AK$65)/12*'IP Attrition'!AK70,0)))</f>
        <v>0</v>
      </c>
      <c r="AM135" s="799">
        <f>IF(EOMONTH(Inputs!$C$8,'IP Attrition'!AM$134-1)&lt;=Inputs!$C$9,0,MIN(IF(ISERROR(VLOOKUP(AM$134+$F135,$D$135:$D$165,1,FALSE)),0,AL3*$C$2),MAX((IF(Monthly!AI$4=TRUE,Monthly!AI$13,Monthly!AI$14)*(1+'Attrition Modeling'!$N$8)-'IP Attrition'!AL$65)/12*'IP Attrition'!AL70,0)))</f>
        <v>0</v>
      </c>
      <c r="AN135" s="799">
        <f>IF(EOMONTH(Inputs!$C$8,'IP Attrition'!AN$134-1)&lt;=Inputs!$C$9,0,MIN(IF(ISERROR(VLOOKUP(AN$134+$F135,$D$135:$D$165,1,FALSE)),0,AM3*$C$2),MAX((IF(Monthly!AJ$4=TRUE,Monthly!AJ$13,Monthly!AJ$14)*(1+'Attrition Modeling'!$N$8)-'IP Attrition'!AM$65)/12*'IP Attrition'!AM70,0)))</f>
        <v>0</v>
      </c>
      <c r="AO135" s="799">
        <f>IF(EOMONTH(Inputs!$C$8,'IP Attrition'!AO$134-1)&lt;=Inputs!$C$9,0,MIN(IF(ISERROR(VLOOKUP(AO$134+$F135,$D$135:$D$165,1,FALSE)),0,AN3*$C$2),MAX((IF(Monthly!AK$4=TRUE,Monthly!AK$13,Monthly!AK$14)*(1+'Attrition Modeling'!$N$8)-'IP Attrition'!AN$65)/12*'IP Attrition'!AN70,0)))</f>
        <v>0</v>
      </c>
      <c r="AP135" s="799">
        <f>IF(EOMONTH(Inputs!$C$8,'IP Attrition'!AP$134-1)&lt;=Inputs!$C$9,0,MIN(IF(ISERROR(VLOOKUP(AP$134+$F135,$D$135:$D$165,1,FALSE)),0,AO3*$C$2),MAX((IF(Monthly!AL$4=TRUE,Monthly!AL$13,Monthly!AL$14)*(1+'Attrition Modeling'!$N$8)-'IP Attrition'!AO$65)/12*'IP Attrition'!AO70,0)))</f>
        <v>0</v>
      </c>
      <c r="AQ135" s="799">
        <f>IF(EOMONTH(Inputs!$C$8,'IP Attrition'!AQ$134-1)&lt;=Inputs!$C$9,0,MIN(IF(ISERROR(VLOOKUP(AQ$134+$F135,$D$135:$D$165,1,FALSE)),0,AP3*$C$2),MAX((IF(Monthly!AM$4=TRUE,Monthly!AM$13,Monthly!AM$14)*(1+'Attrition Modeling'!$N$8)-'IP Attrition'!AP$65)/12*'IP Attrition'!AP70,0)))</f>
        <v>0</v>
      </c>
      <c r="AR135" s="799">
        <f>IF(EOMONTH(Inputs!$C$8,'IP Attrition'!AR$134-1)&lt;=Inputs!$C$9,0,MIN(IF(ISERROR(VLOOKUP(AR$134+$F135,$D$135:$D$165,1,FALSE)),0,AQ3*$C$2),MAX((IF(Monthly!AN$4=TRUE,Monthly!AN$13,Monthly!AN$14)*(1+'Attrition Modeling'!$N$8)-'IP Attrition'!AQ$65)/12*'IP Attrition'!AQ70,0)))</f>
        <v>0</v>
      </c>
      <c r="AS135" s="799">
        <f>IF(EOMONTH(Inputs!$C$8,'IP Attrition'!AS$134-1)&lt;=Inputs!$C$9,0,MIN(IF(ISERROR(VLOOKUP(AS$134+$F135,$D$135:$D$165,1,FALSE)),0,AR3*$C$2),MAX((IF(Monthly!AO$4=TRUE,Monthly!AO$13,Monthly!AO$14)*(1+'Attrition Modeling'!$N$8)-'IP Attrition'!AR$65)/12*'IP Attrition'!AR70,0)))</f>
        <v>0</v>
      </c>
      <c r="AT135" s="799">
        <f>IF(EOMONTH(Inputs!$C$8,'IP Attrition'!AT$134-1)&lt;=Inputs!$C$9,0,MIN(IF(ISERROR(VLOOKUP(AT$134+$F135,$D$135:$D$165,1,FALSE)),0,AS3*$C$2),MAX((IF(Monthly!AP$4=TRUE,Monthly!AP$13,Monthly!AP$14)*(1+'Attrition Modeling'!$N$8)-'IP Attrition'!AS$65)/12*'IP Attrition'!AS70,0)))</f>
        <v>0</v>
      </c>
      <c r="AU135" s="799">
        <f>IF(EOMONTH(Inputs!$C$8,'IP Attrition'!AU$134-1)&lt;=Inputs!$C$9,0,MIN(IF(ISERROR(VLOOKUP(AU$134+$F135,$D$135:$D$165,1,FALSE)),0,AT3*$C$2),MAX((IF(Monthly!AQ$4=TRUE,Monthly!AQ$13,Monthly!AQ$14)*(1+'Attrition Modeling'!$N$8)-'IP Attrition'!AT$65)/12*'IP Attrition'!AT70,0)))</f>
        <v>0</v>
      </c>
      <c r="AV135" s="799">
        <f>IF(EOMONTH(Inputs!$C$8,'IP Attrition'!AV$134-1)&lt;=Inputs!$C$9,0,MIN(IF(ISERROR(VLOOKUP(AV$134+$F135,$D$135:$D$165,1,FALSE)),0,AU3*$C$2),MAX((IF(Monthly!AR$4=TRUE,Monthly!AR$13,Monthly!AR$14)*(1+'Attrition Modeling'!$N$8)-'IP Attrition'!AU$65)/12*'IP Attrition'!AU70,0)))</f>
        <v>0</v>
      </c>
      <c r="AW135" s="799">
        <f>IF(EOMONTH(Inputs!$C$8,'IP Attrition'!AW$134-1)&lt;=Inputs!$C$9,0,MIN(IF(ISERROR(VLOOKUP(AW$134+$F135,$D$135:$D$165,1,FALSE)),0,AV3*$C$2),MAX((IF(Monthly!AS$4=TRUE,Monthly!AS$13,Monthly!AS$14)*(1+'Attrition Modeling'!$N$8)-'IP Attrition'!AV$65)/12*'IP Attrition'!AV70,0)))</f>
        <v>0</v>
      </c>
      <c r="AX135" s="799">
        <f>IF(EOMONTH(Inputs!$C$8,'IP Attrition'!AX$134-1)&lt;=Inputs!$C$9,0,MIN(IF(ISERROR(VLOOKUP(AX$134+$F135,$D$135:$D$165,1,FALSE)),0,AW3*$C$2),MAX((IF(Monthly!AT$4=TRUE,Monthly!AT$13,Monthly!AT$14)*(1+'Attrition Modeling'!$N$8)-'IP Attrition'!AW$65)/12*'IP Attrition'!AW70,0)))</f>
        <v>0</v>
      </c>
      <c r="AY135" s="799">
        <f>IF(EOMONTH(Inputs!$C$8,'IP Attrition'!AY$134-1)&lt;=Inputs!$C$9,0,MIN(IF(ISERROR(VLOOKUP(AY$134+$F135,$D$135:$D$165,1,FALSE)),0,AX3*$C$2),MAX((IF(Monthly!AU$4=TRUE,Monthly!AU$13,Monthly!AU$14)*(1+'Attrition Modeling'!$N$8)-'IP Attrition'!AX$65)/12*'IP Attrition'!AX70,0)))</f>
        <v>0</v>
      </c>
      <c r="AZ135" s="799">
        <f>IF(EOMONTH(Inputs!$C$8,'IP Attrition'!AZ$134-1)&lt;=Inputs!$C$9,0,MIN(IF(ISERROR(VLOOKUP(AZ$134+$F135,$D$135:$D$165,1,FALSE)),0,AY3*$C$2),MAX((IF(Monthly!AV$4=TRUE,Monthly!AV$13,Monthly!AV$14)*(1+'Attrition Modeling'!$N$8)-'IP Attrition'!AY$65)/12*'IP Attrition'!AY70,0)))</f>
        <v>0</v>
      </c>
      <c r="BA135" s="799">
        <f>IF(EOMONTH(Inputs!$C$8,'IP Attrition'!BA$134-1)&lt;=Inputs!$C$9,0,MIN(IF(ISERROR(VLOOKUP(BA$134+$F135,$D$135:$D$165,1,FALSE)),0,AZ3*$C$2),MAX((IF(Monthly!AW$4=TRUE,Monthly!AW$13,Monthly!AW$14)*(1+'Attrition Modeling'!$N$8)-'IP Attrition'!AZ$65)/12*'IP Attrition'!AZ70,0)))</f>
        <v>0</v>
      </c>
      <c r="BB135" s="799">
        <f>IF(EOMONTH(Inputs!$C$8,'IP Attrition'!BB$134-1)&lt;=Inputs!$C$9,0,MIN(IF(ISERROR(VLOOKUP(BB$134+$F135,$D$135:$D$165,1,FALSE)),0,BA3*$C$2),MAX((IF(Monthly!AX$4=TRUE,Monthly!AX$13,Monthly!AX$14)*(1+'Attrition Modeling'!$N$8)-'IP Attrition'!BA$65)/12*'IP Attrition'!BA70,0)))</f>
        <v>0</v>
      </c>
      <c r="BC135" s="799">
        <f>IF(EOMONTH(Inputs!$C$8,'IP Attrition'!BC$134-1)&lt;=Inputs!$C$9,0,MIN(IF(ISERROR(VLOOKUP(BC$134+$F135,$D$135:$D$165,1,FALSE)),0,BB3*$C$2),MAX((IF(Monthly!AY$4=TRUE,Monthly!AY$13,Monthly!AY$14)*(1+'Attrition Modeling'!$N$8)-'IP Attrition'!BB$65)/12*'IP Attrition'!BB70,0)))</f>
        <v>0</v>
      </c>
      <c r="BD135" s="799">
        <f>IF(EOMONTH(Inputs!$C$8,'IP Attrition'!BD$134-1)&lt;=Inputs!$C$9,0,MIN(IF(ISERROR(VLOOKUP(BD$134+$F135,$D$135:$D$165,1,FALSE)),0,BC3*$C$2),MAX((IF(Monthly!AZ$4=TRUE,Monthly!AZ$13,Monthly!AZ$14)*(1+'Attrition Modeling'!$N$8)-'IP Attrition'!BC$65)/12*'IP Attrition'!BC70,0)))</f>
        <v>0</v>
      </c>
      <c r="BE135" s="799">
        <f>IF(EOMONTH(Inputs!$C$8,'IP Attrition'!BE$134-1)&lt;=Inputs!$C$9,0,MIN(IF(ISERROR(VLOOKUP(BE$134+$F135,$D$135:$D$165,1,FALSE)),0,BD3*$C$2),MAX((IF(Monthly!BA$4=TRUE,Monthly!BA$13,Monthly!BA$14)*(1+'Attrition Modeling'!$N$8)-'IP Attrition'!BD$65)/12*'IP Attrition'!BD70,0)))</f>
        <v>0</v>
      </c>
      <c r="BF135" s="799">
        <f>IF(EOMONTH(Inputs!$C$8,'IP Attrition'!BF$134-1)&lt;=Inputs!$C$9,0,MIN(IF(ISERROR(VLOOKUP(BF$134+$F135,$D$135:$D$165,1,FALSE)),0,BE3*$C$2),MAX((IF(Monthly!BB$4=TRUE,Monthly!BB$13,Monthly!BB$14)*(1+'Attrition Modeling'!$N$8)-'IP Attrition'!BE$65)/12*'IP Attrition'!BE70,0)))</f>
        <v>0</v>
      </c>
      <c r="BG135" s="799">
        <f>IF(EOMONTH(Inputs!$C$8,'IP Attrition'!BG$134-1)&lt;=Inputs!$C$9,0,MIN(IF(ISERROR(VLOOKUP(BG$134+$F135,$D$135:$D$165,1,FALSE)),0,BF3*$C$2),MAX((IF(Monthly!BC$4=TRUE,Monthly!BC$13,Monthly!BC$14)*(1+'Attrition Modeling'!$N$8)-'IP Attrition'!BF$65)/12*'IP Attrition'!BF70,0)))</f>
        <v>0</v>
      </c>
      <c r="BH135" s="799">
        <f>IF(EOMONTH(Inputs!$C$8,'IP Attrition'!BH$134-1)&lt;=Inputs!$C$9,0,MIN(IF(ISERROR(VLOOKUP(BH$134+$F135,$D$135:$D$165,1,FALSE)),0,BG3*$C$2),MAX((IF(Monthly!BD$4=TRUE,Monthly!BD$13,Monthly!BD$14)*(1+'Attrition Modeling'!$N$8)-'IP Attrition'!BG$65)/12*'IP Attrition'!BG70,0)))</f>
        <v>0</v>
      </c>
      <c r="BI135" s="799">
        <f>IF(EOMONTH(Inputs!$C$8,'IP Attrition'!BI$134-1)&lt;=Inputs!$C$9,0,MIN(IF(ISERROR(VLOOKUP(BI$134+$F135,$D$135:$D$165,1,FALSE)),0,BH3*$C$2),MAX((IF(Monthly!BE$4=TRUE,Monthly!BE$13,Monthly!BE$14)*(1+'Attrition Modeling'!$N$8)-'IP Attrition'!BH$65)/12*'IP Attrition'!BH70,0)))</f>
        <v>0</v>
      </c>
      <c r="BJ135" s="799">
        <f>IF(EOMONTH(Inputs!$C$8,'IP Attrition'!BJ$134-1)&lt;=Inputs!$C$9,0,MIN(IF(ISERROR(VLOOKUP(BJ$134+$F135,$D$135:$D$165,1,FALSE)),0,BI3*$C$2),MAX((IF(Monthly!BF$4=TRUE,Monthly!BF$13,Monthly!BF$14)*(1+'Attrition Modeling'!$N$8)-'IP Attrition'!BI$65)/12*'IP Attrition'!BI70,0)))</f>
        <v>0</v>
      </c>
      <c r="BK135" s="799">
        <f>IF(EOMONTH(Inputs!$C$8,'IP Attrition'!BK$134-1)&lt;=Inputs!$C$9,0,MIN(IF(ISERROR(VLOOKUP(BK$134+$F135,$D$135:$D$165,1,FALSE)),0,BJ3*$C$2),MAX((IF(Monthly!BG$4=TRUE,Monthly!BG$13,Monthly!BG$14)*(1+'Attrition Modeling'!$N$8)-'IP Attrition'!BJ$65)/12*'IP Attrition'!BJ70,0)))</f>
        <v>0</v>
      </c>
      <c r="BL135" s="799">
        <f>IF(EOMONTH(Inputs!$C$8,'IP Attrition'!BL$134-1)&lt;=Inputs!$C$9,0,MIN(IF(ISERROR(VLOOKUP(BL$134+$F135,$D$135:$D$165,1,FALSE)),0,BK3*$C$2),MAX((IF(Monthly!BH$4=TRUE,Monthly!BH$13,Monthly!BH$14)*(1+'Attrition Modeling'!$N$8)-'IP Attrition'!BK$65)/12*'IP Attrition'!BK70,0)))</f>
        <v>0</v>
      </c>
      <c r="BM135" s="799">
        <f>IF(EOMONTH(Inputs!$C$8,'IP Attrition'!BM$134-1)&lt;=Inputs!$C$9,0,MIN(IF(ISERROR(VLOOKUP(BM$134+$F135,$D$135:$D$165,1,FALSE)),0,BL3*$C$2),MAX((IF(Monthly!BI$4=TRUE,Monthly!BI$13,Monthly!BI$14)*(1+'Attrition Modeling'!$N$8)-'IP Attrition'!BL$65)/12*'IP Attrition'!BL70,0)))</f>
        <v>0</v>
      </c>
      <c r="BN135" s="799">
        <f>IF(EOMONTH(Inputs!$C$8,'IP Attrition'!BN$134-1)&lt;=Inputs!$C$9,0,MIN(IF(ISERROR(VLOOKUP(BN$134+$F135,$D$135:$D$165,1,FALSE)),0,BM3*$C$2),MAX((IF(Monthly!BJ$4=TRUE,Monthly!BJ$13,Monthly!BJ$14)*(1+'Attrition Modeling'!$N$8)-'IP Attrition'!BM$65)/12*'IP Attrition'!BM70,0)))</f>
        <v>0</v>
      </c>
      <c r="BO135" s="799">
        <f>IF(EOMONTH(Inputs!$C$8,'IP Attrition'!BO$134-1)&lt;=Inputs!$C$9,0,MIN(IF(ISERROR(VLOOKUP(BO$134+$F135,$D$135:$D$165,1,FALSE)),0,BN3*$C$2),MAX((IF(Monthly!BK$4=TRUE,Monthly!BK$13,Monthly!BK$14)*(1+'Attrition Modeling'!$N$8)-'IP Attrition'!BN$65)/12*'IP Attrition'!BN70,0)))</f>
        <v>0</v>
      </c>
      <c r="BP135" s="799">
        <f>IF(EOMONTH(Inputs!$C$8,'IP Attrition'!BP$134-1)&lt;=Inputs!$C$9,0,MIN(IF(ISERROR(VLOOKUP(BP$134+$F135,$D$135:$D$165,1,FALSE)),0,BO3*$C$2),MAX((IF(Monthly!BL$4=TRUE,Monthly!BL$13,Monthly!BL$14)*(1+'Attrition Modeling'!$N$8)-'IP Attrition'!BO$65)/12*'IP Attrition'!BO70,0)))</f>
        <v>0</v>
      </c>
      <c r="BQ135" s="799">
        <f>IF(EOMONTH(Inputs!$C$8,'IP Attrition'!BQ$134-1)&lt;=Inputs!$C$9,0,MIN(IF(ISERROR(VLOOKUP(BQ$134+$F135,$D$135:$D$165,1,FALSE)),0,BP3*$C$2),MAX((IF(Monthly!BM$4=TRUE,Monthly!BM$13,Monthly!BM$14)*(1+'Attrition Modeling'!$N$8)-'IP Attrition'!BP$65)/12*'IP Attrition'!BP70,0)))</f>
        <v>0</v>
      </c>
      <c r="BR135" s="799">
        <f>IF(EOMONTH(Inputs!$C$8,'IP Attrition'!BR$134-1)&lt;=Inputs!$C$9,0,MIN(IF(ISERROR(VLOOKUP(BR$134+$F135,$D$135:$D$165,1,FALSE)),0,BQ3*$C$2),MAX((IF(Monthly!BN$4=TRUE,Monthly!BN$13,Monthly!BN$14)*(1+'Attrition Modeling'!$N$8)-'IP Attrition'!BQ$65)/12*'IP Attrition'!BQ70,0)))</f>
        <v>0</v>
      </c>
      <c r="BS135" s="799">
        <f>IF(EOMONTH(Inputs!$C$8,'IP Attrition'!BS$134-1)&lt;=Inputs!$C$9,0,MIN(IF(ISERROR(VLOOKUP(BS$134+$F135,$D$135:$D$165,1,FALSE)),0,BR3*$C$2),MAX((IF(Monthly!BO$4=TRUE,Monthly!BO$13,Monthly!BO$14)*(1+'Attrition Modeling'!$N$8)-'IP Attrition'!BR$65)/12*'IP Attrition'!BR70,0)))</f>
        <v>0</v>
      </c>
      <c r="BT135" s="799" t="e">
        <f>IF(EOMONTH(Inputs!$C$8,'IP Attrition'!BT$134-1)&lt;=Inputs!$C$9,0,MIN(IF(ISERROR(VLOOKUP(BT$134+$F135,$D$135:$D$165,1,FALSE)),0,BS3*$C$2),MAX((IF(Monthly!#REF!=TRUE,Monthly!#REF!,Monthly!#REF!)*(1+'Attrition Modeling'!$N$8)-'IP Attrition'!BS$65)/12*'IP Attrition'!BS70,0)))</f>
        <v>#REF!</v>
      </c>
      <c r="BU135" s="799" t="e">
        <f>IF(EOMONTH(Inputs!$C$8,'IP Attrition'!BU$134-1)&lt;=Inputs!$C$9,0,MIN(IF(ISERROR(VLOOKUP(BU$134+$F135,$D$135:$D$165,1,FALSE)),0,BT3*$C$2),MAX((IF(Monthly!#REF!=TRUE,Monthly!#REF!,Monthly!#REF!)*(1+'Attrition Modeling'!$N$8)-'IP Attrition'!BT$65)/12*'IP Attrition'!BT70,0)))</f>
        <v>#REF!</v>
      </c>
    </row>
    <row r="136" spans="1:73" ht="14.25" customHeight="1" x14ac:dyDescent="0.2">
      <c r="A136" s="9">
        <v>129</v>
      </c>
      <c r="B136" s="25">
        <f>MAX('Attrition Modeling'!H133,$C$3)*(1-Summary!$C$20)</f>
        <v>0.02</v>
      </c>
      <c r="C136" s="24" t="e">
        <f t="shared" si="3"/>
        <v>#DIV/0!</v>
      </c>
      <c r="D136" s="11">
        <f t="shared" ref="D136:D165" si="72">D135+12</f>
        <v>18</v>
      </c>
      <c r="E136" s="25">
        <f t="shared" si="71"/>
        <v>0.15998048074127216</v>
      </c>
      <c r="F136" s="11">
        <f t="shared" ref="F136:F195" si="73">F135+1</f>
        <v>1</v>
      </c>
      <c r="G136" s="799"/>
      <c r="H136" s="799">
        <f>IF(EOMONTH(Inputs!$C$8,'IP Attrition'!H$134-1)&lt;=Inputs!$C$9,0,MIN(IF(ISERROR(VLOOKUP(H$134+$F136,$D$135:$D$165,1,FALSE)),0,G4*$C$2),MAX((IF(Monthly!D$4=TRUE,Monthly!D$13,Monthly!D$14)*(1+'Attrition Modeling'!$N$8)-'IP Attrition'!G$65)/12*'IP Attrition'!G71,0)))</f>
        <v>0</v>
      </c>
      <c r="I136" s="799">
        <f>IF(EOMONTH(Inputs!$C$8,'IP Attrition'!I$134-1)&lt;=Inputs!$C$9,0,MIN(IF(ISERROR(VLOOKUP(I$134+$F136,$D$135:$D$165,1,FALSE)),0,H4*$C$2),MAX((IF(Monthly!E$4=TRUE,Monthly!E$13,Monthly!E$14)*(1+'Attrition Modeling'!$N$8)-'IP Attrition'!H$65)/12*'IP Attrition'!H71,0)))</f>
        <v>0</v>
      </c>
      <c r="J136" s="799">
        <f>IF(EOMONTH(Inputs!$C$8,'IP Attrition'!J$134-1)&lt;=Inputs!$C$9,0,MIN(IF(ISERROR(VLOOKUP(J$134+$F136,$D$135:$D$165,1,FALSE)),0,I4*$C$2),MAX((IF(Monthly!F$4=TRUE,Monthly!F$13,Monthly!F$14)*(1+'Attrition Modeling'!$N$8)-'IP Attrition'!I$65)/12*'IP Attrition'!I71,0)))</f>
        <v>0</v>
      </c>
      <c r="K136" s="799">
        <f>IF(EOMONTH(Inputs!$C$8,'IP Attrition'!K$134-1)&lt;=Inputs!$C$9,0,MIN(IF(ISERROR(VLOOKUP(K$134+$F136,$D$135:$D$165,1,FALSE)),0,J4*$C$2),MAX((IF(Monthly!G$4=TRUE,Monthly!G$13,Monthly!G$14)*(1+'Attrition Modeling'!$N$8)-'IP Attrition'!J$65)/12*'IP Attrition'!J71,0)))</f>
        <v>0</v>
      </c>
      <c r="L136" s="799">
        <f>IF(EOMONTH(Inputs!$C$8,'IP Attrition'!L$134-1)&lt;=Inputs!$C$9,0,MIN(IF(ISERROR(VLOOKUP(L$134+$F136,$D$135:$D$165,1,FALSE)),0,K4*$C$2),MAX((IF(Monthly!H$4=TRUE,Monthly!H$13,Monthly!H$14)*(1+'Attrition Modeling'!$N$8)-'IP Attrition'!K$65)/12*'IP Attrition'!K71,0)))</f>
        <v>0</v>
      </c>
      <c r="M136" s="799">
        <f>IF(EOMONTH(Inputs!$C$8,'IP Attrition'!M$134-1)&lt;=Inputs!$C$9,0,MIN(IF(ISERROR(VLOOKUP(M$134+$F136,$D$135:$D$165,1,FALSE)),0,L4*$C$2),MAX((IF(Monthly!I$4=TRUE,Monthly!I$13,Monthly!I$14)*(1+'Attrition Modeling'!$N$8)-'IP Attrition'!L$65)/12*'IP Attrition'!L71,0)))</f>
        <v>0</v>
      </c>
      <c r="N136" s="799">
        <f>IF(EOMONTH(Inputs!$C$8,'IP Attrition'!N$134-1)&lt;=Inputs!$C$9,0,MIN(IF(ISERROR(VLOOKUP(N$134+$F136,$D$135:$D$165,1,FALSE)),0,M4*$C$2),MAX((IF(Monthly!J$4=TRUE,Monthly!J$13,Monthly!J$14)*(1+'Attrition Modeling'!$N$8)-'IP Attrition'!M$65)/12*'IP Attrition'!M71,0)))</f>
        <v>0</v>
      </c>
      <c r="O136" s="799">
        <f>IF(EOMONTH(Inputs!$C$8,'IP Attrition'!O$134-1)&lt;=Inputs!$C$9,0,MIN(IF(ISERROR(VLOOKUP(O$134+$F136,$D$135:$D$165,1,FALSE)),0,N4*$C$2),MAX((IF(Monthly!K$4=TRUE,Monthly!K$13,Monthly!K$14)*(1+'Attrition Modeling'!$N$8)-'IP Attrition'!N$65)/12*'IP Attrition'!N71,0)))</f>
        <v>0</v>
      </c>
      <c r="P136" s="799">
        <f>IF(EOMONTH(Inputs!$C$8,'IP Attrition'!P$134-1)&lt;=Inputs!$C$9,0,MIN(IF(ISERROR(VLOOKUP(P$134+$F136,$D$135:$D$165,1,FALSE)),0,O4*$C$2),MAX((IF(Monthly!L$4=TRUE,Monthly!L$13,Monthly!L$14)*(1+'Attrition Modeling'!$N$8)-'IP Attrition'!O$65)/12*'IP Attrition'!O71,0)))</f>
        <v>0</v>
      </c>
      <c r="Q136" s="799">
        <f>IF(EOMONTH(Inputs!$C$8,'IP Attrition'!Q$134-1)&lt;=Inputs!$C$9,0,MIN(IF(ISERROR(VLOOKUP(Q$134+$F136,$D$135:$D$165,1,FALSE)),0,P4*$C$2),MAX((IF(Monthly!M$4=TRUE,Monthly!M$13,Monthly!M$14)*(1+'Attrition Modeling'!$N$8)-'IP Attrition'!P$65)/12*'IP Attrition'!P71,0)))</f>
        <v>0</v>
      </c>
      <c r="R136" s="799">
        <f>IF(EOMONTH(Inputs!$C$8,'IP Attrition'!R$134-1)&lt;=Inputs!$C$9,0,MIN(IF(ISERROR(VLOOKUP(R$134+$F136,$D$135:$D$165,1,FALSE)),0,Q4*$C$2),MAX((IF(Monthly!N$4=TRUE,Monthly!N$13,Monthly!N$14)*(1+'Attrition Modeling'!$N$8)-'IP Attrition'!Q$65)/12*'IP Attrition'!Q71,0)))</f>
        <v>0</v>
      </c>
      <c r="S136" s="799">
        <f>IF(EOMONTH(Inputs!$C$8,'IP Attrition'!S$134-1)&lt;=Inputs!$C$9,0,MIN(IF(ISERROR(VLOOKUP(S$134+$F136,$D$135:$D$165,1,FALSE)),0,R4*$C$2),MAX((IF(Monthly!O$4=TRUE,Monthly!O$13,Monthly!O$14)*(1+'Attrition Modeling'!$N$8)-'IP Attrition'!R$65)/12*'IP Attrition'!R71,0)))</f>
        <v>0</v>
      </c>
      <c r="T136" s="799">
        <f>IF(EOMONTH(Inputs!$C$8,'IP Attrition'!T$134-1)&lt;=Inputs!$C$9,0,MIN(IF(ISERROR(VLOOKUP(T$134+$F136,$D$135:$D$165,1,FALSE)),0,S4*$C$2),MAX((IF(Monthly!P$4=TRUE,Monthly!P$13,Monthly!P$14)*(1+'Attrition Modeling'!$N$8)-'IP Attrition'!S$65)/12*'IP Attrition'!S71,0)))</f>
        <v>0</v>
      </c>
      <c r="U136" s="799">
        <f>IF(EOMONTH(Inputs!$C$8,'IP Attrition'!U$134-1)&lt;=Inputs!$C$9,0,MIN(IF(ISERROR(VLOOKUP(U$134+$F136,$D$135:$D$165,1,FALSE)),0,T4*$C$2),MAX((IF(Monthly!Q$4=TRUE,Monthly!Q$13,Monthly!Q$14)*(1+'Attrition Modeling'!$N$8)-'IP Attrition'!T$65)/12*'IP Attrition'!T71,0)))</f>
        <v>0</v>
      </c>
      <c r="V136" s="799">
        <f>IF(EOMONTH(Inputs!$C$8,'IP Attrition'!V$134-1)&lt;=Inputs!$C$9,0,MIN(IF(ISERROR(VLOOKUP(V$134+$F136,$D$135:$D$165,1,FALSE)),0,U4*$C$2),MAX((IF(Monthly!R$4=TRUE,Monthly!R$13,Monthly!R$14)*(1+'Attrition Modeling'!$N$8)-'IP Attrition'!U$65)/12*'IP Attrition'!U71,0)))</f>
        <v>0</v>
      </c>
      <c r="W136" s="799">
        <f>IF(EOMONTH(Inputs!$C$8,'IP Attrition'!W$134-1)&lt;=Inputs!$C$9,0,MIN(IF(ISERROR(VLOOKUP(W$134+$F136,$D$135:$D$165,1,FALSE)),0,V4*$C$2),MAX((IF(Monthly!S$4=TRUE,Monthly!S$13,Monthly!S$14)*(1+'Attrition Modeling'!$N$8)-'IP Attrition'!V$65)/12*'IP Attrition'!V71,0)))</f>
        <v>0</v>
      </c>
      <c r="X136" s="799">
        <f>IF(EOMONTH(Inputs!$C$8,'IP Attrition'!X$134-1)&lt;=Inputs!$C$9,0,MIN(IF(ISERROR(VLOOKUP(X$134+$F136,$D$135:$D$165,1,FALSE)),0,W4*$C$2),MAX((IF(Monthly!T$4=TRUE,Monthly!T$13,Monthly!T$14)*(1+'Attrition Modeling'!$N$8)-'IP Attrition'!W$65)/12*'IP Attrition'!W71,0)))</f>
        <v>0</v>
      </c>
      <c r="Y136" s="799">
        <f>IF(EOMONTH(Inputs!$C$8,'IP Attrition'!Y$134-1)&lt;=Inputs!$C$9,0,MIN(IF(ISERROR(VLOOKUP(Y$134+$F136,$D$135:$D$165,1,FALSE)),0,X4*$C$2),MAX((IF(Monthly!U$4=TRUE,Monthly!U$13,Monthly!U$14)*(1+'Attrition Modeling'!$N$8)-'IP Attrition'!X$65)/12*'IP Attrition'!X71,0)))</f>
        <v>0</v>
      </c>
      <c r="Z136" s="799">
        <f>IF(EOMONTH(Inputs!$C$8,'IP Attrition'!Z$134-1)&lt;=Inputs!$C$9,0,MIN(IF(ISERROR(VLOOKUP(Z$134+$F136,$D$135:$D$165,1,FALSE)),0,Y4*$C$2),MAX((IF(Monthly!V$4=TRUE,Monthly!V$13,Monthly!V$14)*(1+'Attrition Modeling'!$N$8)-'IP Attrition'!Y$65)/12*'IP Attrition'!Y71,0)))</f>
        <v>0</v>
      </c>
      <c r="AA136" s="799">
        <f>IF(EOMONTH(Inputs!$C$8,'IP Attrition'!AA$134-1)&lt;=Inputs!$C$9,0,MIN(IF(ISERROR(VLOOKUP(AA$134+$F136,$D$135:$D$165,1,FALSE)),0,Z4*$C$2),MAX((IF(Monthly!W$4=TRUE,Monthly!W$13,Monthly!W$14)*(1+'Attrition Modeling'!$N$8)-'IP Attrition'!Z$65)/12*'IP Attrition'!Z71,0)))</f>
        <v>0</v>
      </c>
      <c r="AB136" s="799">
        <f>IF(EOMONTH(Inputs!$C$8,'IP Attrition'!AB$134-1)&lt;=Inputs!$C$9,0,MIN(IF(ISERROR(VLOOKUP(AB$134+$F136,$D$135:$D$165,1,FALSE)),0,AA4*$C$2),MAX((IF(Monthly!X$4=TRUE,Monthly!X$13,Monthly!X$14)*(1+'Attrition Modeling'!$N$8)-'IP Attrition'!AA$65)/12*'IP Attrition'!AA71,0)))</f>
        <v>0</v>
      </c>
      <c r="AC136" s="799">
        <f>IF(EOMONTH(Inputs!$C$8,'IP Attrition'!AC$134-1)&lt;=Inputs!$C$9,0,MIN(IF(ISERROR(VLOOKUP(AC$134+$F136,$D$135:$D$165,1,FALSE)),0,AB4*$C$2),MAX((IF(Monthly!Y$4=TRUE,Monthly!Y$13,Monthly!Y$14)*(1+'Attrition Modeling'!$N$8)-'IP Attrition'!AB$65)/12*'IP Attrition'!AB71,0)))</f>
        <v>0</v>
      </c>
      <c r="AD136" s="799">
        <f>IF(EOMONTH(Inputs!$C$8,'IP Attrition'!AD$134-1)&lt;=Inputs!$C$9,0,MIN(IF(ISERROR(VLOOKUP(AD$134+$F136,$D$135:$D$165,1,FALSE)),0,AC4*$C$2),MAX((IF(Monthly!Z$4=TRUE,Monthly!Z$13,Monthly!Z$14)*(1+'Attrition Modeling'!$N$8)-'IP Attrition'!AC$65)/12*'IP Attrition'!AC71,0)))</f>
        <v>0</v>
      </c>
      <c r="AE136" s="799">
        <f>IF(EOMONTH(Inputs!$C$8,'IP Attrition'!AE$134-1)&lt;=Inputs!$C$9,0,MIN(IF(ISERROR(VLOOKUP(AE$134+$F136,$D$135:$D$165,1,FALSE)),0,AD4*$C$2),MAX((IF(Monthly!AA$4=TRUE,Monthly!AA$13,Monthly!AA$14)*(1+'Attrition Modeling'!$N$8)-'IP Attrition'!AD$65)/12*'IP Attrition'!AD71,0)))</f>
        <v>0</v>
      </c>
      <c r="AF136" s="799">
        <f>IF(EOMONTH(Inputs!$C$8,'IP Attrition'!AF$134-1)&lt;=Inputs!$C$9,0,MIN(IF(ISERROR(VLOOKUP(AF$134+$F136,$D$135:$D$165,1,FALSE)),0,AE4*$C$2),MAX((IF(Monthly!AB$4=TRUE,Monthly!AB$13,Monthly!AB$14)*(1+'Attrition Modeling'!$N$8)-'IP Attrition'!AE$65)/12*'IP Attrition'!AE71,0)))</f>
        <v>0</v>
      </c>
      <c r="AG136" s="799">
        <f>IF(EOMONTH(Inputs!$C$8,'IP Attrition'!AG$134-1)&lt;=Inputs!$C$9,0,MIN(IF(ISERROR(VLOOKUP(AG$134+$F136,$D$135:$D$165,1,FALSE)),0,AF4*$C$2),MAX((IF(Monthly!AC$4=TRUE,Monthly!AC$13,Monthly!AC$14)*(1+'Attrition Modeling'!$N$8)-'IP Attrition'!AF$65)/12*'IP Attrition'!AF71,0)))</f>
        <v>0</v>
      </c>
      <c r="AH136" s="799">
        <f>IF(EOMONTH(Inputs!$C$8,'IP Attrition'!AH$134-1)&lt;=Inputs!$C$9,0,MIN(IF(ISERROR(VLOOKUP(AH$134+$F136,$D$135:$D$165,1,FALSE)),0,AG4*$C$2),MAX((IF(Monthly!AD$4=TRUE,Monthly!AD$13,Monthly!AD$14)*(1+'Attrition Modeling'!$N$8)-'IP Attrition'!AG$65)/12*'IP Attrition'!AG71,0)))</f>
        <v>0</v>
      </c>
      <c r="AI136" s="799">
        <f>IF(EOMONTH(Inputs!$C$8,'IP Attrition'!AI$134-1)&lt;=Inputs!$C$9,0,MIN(IF(ISERROR(VLOOKUP(AI$134+$F136,$D$135:$D$165,1,FALSE)),0,AH4*$C$2),MAX((IF(Monthly!AE$4=TRUE,Monthly!AE$13,Monthly!AE$14)*(1+'Attrition Modeling'!$N$8)-'IP Attrition'!AH$65)/12*'IP Attrition'!AH71,0)))</f>
        <v>0</v>
      </c>
      <c r="AJ136" s="799">
        <f>IF(EOMONTH(Inputs!$C$8,'IP Attrition'!AJ$134-1)&lt;=Inputs!$C$9,0,MIN(IF(ISERROR(VLOOKUP(AJ$134+$F136,$D$135:$D$165,1,FALSE)),0,AI4*$C$2),MAX((IF(Monthly!AF$4=TRUE,Monthly!AF$13,Monthly!AF$14)*(1+'Attrition Modeling'!$N$8)-'IP Attrition'!AI$65)/12*'IP Attrition'!AI71,0)))</f>
        <v>0</v>
      </c>
      <c r="AK136" s="799">
        <f>IF(EOMONTH(Inputs!$C$8,'IP Attrition'!AK$134-1)&lt;=Inputs!$C$9,0,MIN(IF(ISERROR(VLOOKUP(AK$134+$F136,$D$135:$D$165,1,FALSE)),0,AJ4*$C$2),MAX((IF(Monthly!AG$4=TRUE,Monthly!AG$13,Monthly!AG$14)*(1+'Attrition Modeling'!$N$8)-'IP Attrition'!AJ$65)/12*'IP Attrition'!AJ71,0)))</f>
        <v>0</v>
      </c>
      <c r="AL136" s="799">
        <f>IF(EOMONTH(Inputs!$C$8,'IP Attrition'!AL$134-1)&lt;=Inputs!$C$9,0,MIN(IF(ISERROR(VLOOKUP(AL$134+$F136,$D$135:$D$165,1,FALSE)),0,AK4*$C$2),MAX((IF(Monthly!AH$4=TRUE,Monthly!AH$13,Monthly!AH$14)*(1+'Attrition Modeling'!$N$8)-'IP Attrition'!AK$65)/12*'IP Attrition'!AK71,0)))</f>
        <v>0</v>
      </c>
      <c r="AM136" s="799">
        <f>IF(EOMONTH(Inputs!$C$8,'IP Attrition'!AM$134-1)&lt;=Inputs!$C$9,0,MIN(IF(ISERROR(VLOOKUP(AM$134+$F136,$D$135:$D$165,1,FALSE)),0,AL4*$C$2),MAX((IF(Monthly!AI$4=TRUE,Monthly!AI$13,Monthly!AI$14)*(1+'Attrition Modeling'!$N$8)-'IP Attrition'!AL$65)/12*'IP Attrition'!AL71,0)))</f>
        <v>0</v>
      </c>
      <c r="AN136" s="799">
        <f>IF(EOMONTH(Inputs!$C$8,'IP Attrition'!AN$134-1)&lt;=Inputs!$C$9,0,MIN(IF(ISERROR(VLOOKUP(AN$134+$F136,$D$135:$D$165,1,FALSE)),0,AM4*$C$2),MAX((IF(Monthly!AJ$4=TRUE,Monthly!AJ$13,Monthly!AJ$14)*(1+'Attrition Modeling'!$N$8)-'IP Attrition'!AM$65)/12*'IP Attrition'!AM71,0)))</f>
        <v>0</v>
      </c>
      <c r="AO136" s="799">
        <f>IF(EOMONTH(Inputs!$C$8,'IP Attrition'!AO$134-1)&lt;=Inputs!$C$9,0,MIN(IF(ISERROR(VLOOKUP(AO$134+$F136,$D$135:$D$165,1,FALSE)),0,AN4*$C$2),MAX((IF(Monthly!AK$4=TRUE,Monthly!AK$13,Monthly!AK$14)*(1+'Attrition Modeling'!$N$8)-'IP Attrition'!AN$65)/12*'IP Attrition'!AN71,0)))</f>
        <v>0</v>
      </c>
      <c r="AP136" s="799">
        <f>IF(EOMONTH(Inputs!$C$8,'IP Attrition'!AP$134-1)&lt;=Inputs!$C$9,0,MIN(IF(ISERROR(VLOOKUP(AP$134+$F136,$D$135:$D$165,1,FALSE)),0,AO4*$C$2),MAX((IF(Monthly!AL$4=TRUE,Monthly!AL$13,Monthly!AL$14)*(1+'Attrition Modeling'!$N$8)-'IP Attrition'!AO$65)/12*'IP Attrition'!AO71,0)))</f>
        <v>0</v>
      </c>
      <c r="AQ136" s="799">
        <f>IF(EOMONTH(Inputs!$C$8,'IP Attrition'!AQ$134-1)&lt;=Inputs!$C$9,0,MIN(IF(ISERROR(VLOOKUP(AQ$134+$F136,$D$135:$D$165,1,FALSE)),0,AP4*$C$2),MAX((IF(Monthly!AM$4=TRUE,Monthly!AM$13,Monthly!AM$14)*(1+'Attrition Modeling'!$N$8)-'IP Attrition'!AP$65)/12*'IP Attrition'!AP71,0)))</f>
        <v>0</v>
      </c>
      <c r="AR136" s="799">
        <f>IF(EOMONTH(Inputs!$C$8,'IP Attrition'!AR$134-1)&lt;=Inputs!$C$9,0,MIN(IF(ISERROR(VLOOKUP(AR$134+$F136,$D$135:$D$165,1,FALSE)),0,AQ4*$C$2),MAX((IF(Monthly!AN$4=TRUE,Monthly!AN$13,Monthly!AN$14)*(1+'Attrition Modeling'!$N$8)-'IP Attrition'!AQ$65)/12*'IP Attrition'!AQ71,0)))</f>
        <v>0</v>
      </c>
      <c r="AS136" s="799">
        <f>IF(EOMONTH(Inputs!$C$8,'IP Attrition'!AS$134-1)&lt;=Inputs!$C$9,0,MIN(IF(ISERROR(VLOOKUP(AS$134+$F136,$D$135:$D$165,1,FALSE)),0,AR4*$C$2),MAX((IF(Monthly!AO$4=TRUE,Monthly!AO$13,Monthly!AO$14)*(1+'Attrition Modeling'!$N$8)-'IP Attrition'!AR$65)/12*'IP Attrition'!AR71,0)))</f>
        <v>0</v>
      </c>
      <c r="AT136" s="799">
        <f>IF(EOMONTH(Inputs!$C$8,'IP Attrition'!AT$134-1)&lt;=Inputs!$C$9,0,MIN(IF(ISERROR(VLOOKUP(AT$134+$F136,$D$135:$D$165,1,FALSE)),0,AS4*$C$2),MAX((IF(Monthly!AP$4=TRUE,Monthly!AP$13,Monthly!AP$14)*(1+'Attrition Modeling'!$N$8)-'IP Attrition'!AS$65)/12*'IP Attrition'!AS71,0)))</f>
        <v>0</v>
      </c>
      <c r="AU136" s="799">
        <f>IF(EOMONTH(Inputs!$C$8,'IP Attrition'!AU$134-1)&lt;=Inputs!$C$9,0,MIN(IF(ISERROR(VLOOKUP(AU$134+$F136,$D$135:$D$165,1,FALSE)),0,AT4*$C$2),MAX((IF(Monthly!AQ$4=TRUE,Monthly!AQ$13,Monthly!AQ$14)*(1+'Attrition Modeling'!$N$8)-'IP Attrition'!AT$65)/12*'IP Attrition'!AT71,0)))</f>
        <v>0</v>
      </c>
      <c r="AV136" s="799">
        <f>IF(EOMONTH(Inputs!$C$8,'IP Attrition'!AV$134-1)&lt;=Inputs!$C$9,0,MIN(IF(ISERROR(VLOOKUP(AV$134+$F136,$D$135:$D$165,1,FALSE)),0,AU4*$C$2),MAX((IF(Monthly!AR$4=TRUE,Monthly!AR$13,Monthly!AR$14)*(1+'Attrition Modeling'!$N$8)-'IP Attrition'!AU$65)/12*'IP Attrition'!AU71,0)))</f>
        <v>0</v>
      </c>
      <c r="AW136" s="799">
        <f>IF(EOMONTH(Inputs!$C$8,'IP Attrition'!AW$134-1)&lt;=Inputs!$C$9,0,MIN(IF(ISERROR(VLOOKUP(AW$134+$F136,$D$135:$D$165,1,FALSE)),0,AV4*$C$2),MAX((IF(Monthly!AS$4=TRUE,Monthly!AS$13,Monthly!AS$14)*(1+'Attrition Modeling'!$N$8)-'IP Attrition'!AV$65)/12*'IP Attrition'!AV71,0)))</f>
        <v>0</v>
      </c>
      <c r="AX136" s="799">
        <f>IF(EOMONTH(Inputs!$C$8,'IP Attrition'!AX$134-1)&lt;=Inputs!$C$9,0,MIN(IF(ISERROR(VLOOKUP(AX$134+$F136,$D$135:$D$165,1,FALSE)),0,AW4*$C$2),MAX((IF(Monthly!AT$4=TRUE,Monthly!AT$13,Monthly!AT$14)*(1+'Attrition Modeling'!$N$8)-'IP Attrition'!AW$65)/12*'IP Attrition'!AW71,0)))</f>
        <v>0</v>
      </c>
      <c r="AY136" s="799">
        <f>IF(EOMONTH(Inputs!$C$8,'IP Attrition'!AY$134-1)&lt;=Inputs!$C$9,0,MIN(IF(ISERROR(VLOOKUP(AY$134+$F136,$D$135:$D$165,1,FALSE)),0,AX4*$C$2),MAX((IF(Monthly!AU$4=TRUE,Monthly!AU$13,Monthly!AU$14)*(1+'Attrition Modeling'!$N$8)-'IP Attrition'!AX$65)/12*'IP Attrition'!AX71,0)))</f>
        <v>0</v>
      </c>
      <c r="AZ136" s="799">
        <f>IF(EOMONTH(Inputs!$C$8,'IP Attrition'!AZ$134-1)&lt;=Inputs!$C$9,0,MIN(IF(ISERROR(VLOOKUP(AZ$134+$F136,$D$135:$D$165,1,FALSE)),0,AY4*$C$2),MAX((IF(Monthly!AV$4=TRUE,Monthly!AV$13,Monthly!AV$14)*(1+'Attrition Modeling'!$N$8)-'IP Attrition'!AY$65)/12*'IP Attrition'!AY71,0)))</f>
        <v>0</v>
      </c>
      <c r="BA136" s="799">
        <f>IF(EOMONTH(Inputs!$C$8,'IP Attrition'!BA$134-1)&lt;=Inputs!$C$9,0,MIN(IF(ISERROR(VLOOKUP(BA$134+$F136,$D$135:$D$165,1,FALSE)),0,AZ4*$C$2),MAX((IF(Monthly!AW$4=TRUE,Monthly!AW$13,Monthly!AW$14)*(1+'Attrition Modeling'!$N$8)-'IP Attrition'!AZ$65)/12*'IP Attrition'!AZ71,0)))</f>
        <v>0</v>
      </c>
      <c r="BB136" s="799">
        <f>IF(EOMONTH(Inputs!$C$8,'IP Attrition'!BB$134-1)&lt;=Inputs!$C$9,0,MIN(IF(ISERROR(VLOOKUP(BB$134+$F136,$D$135:$D$165,1,FALSE)),0,BA4*$C$2),MAX((IF(Monthly!AX$4=TRUE,Monthly!AX$13,Monthly!AX$14)*(1+'Attrition Modeling'!$N$8)-'IP Attrition'!BA$65)/12*'IP Attrition'!BA71,0)))</f>
        <v>0</v>
      </c>
      <c r="BC136" s="799">
        <f>IF(EOMONTH(Inputs!$C$8,'IP Attrition'!BC$134-1)&lt;=Inputs!$C$9,0,MIN(IF(ISERROR(VLOOKUP(BC$134+$F136,$D$135:$D$165,1,FALSE)),0,BB4*$C$2),MAX((IF(Monthly!AY$4=TRUE,Monthly!AY$13,Monthly!AY$14)*(1+'Attrition Modeling'!$N$8)-'IP Attrition'!BB$65)/12*'IP Attrition'!BB71,0)))</f>
        <v>0</v>
      </c>
      <c r="BD136" s="799">
        <f>IF(EOMONTH(Inputs!$C$8,'IP Attrition'!BD$134-1)&lt;=Inputs!$C$9,0,MIN(IF(ISERROR(VLOOKUP(BD$134+$F136,$D$135:$D$165,1,FALSE)),0,BC4*$C$2),MAX((IF(Monthly!AZ$4=TRUE,Monthly!AZ$13,Monthly!AZ$14)*(1+'Attrition Modeling'!$N$8)-'IP Attrition'!BC$65)/12*'IP Attrition'!BC71,0)))</f>
        <v>0</v>
      </c>
      <c r="BE136" s="799">
        <f>IF(EOMONTH(Inputs!$C$8,'IP Attrition'!BE$134-1)&lt;=Inputs!$C$9,0,MIN(IF(ISERROR(VLOOKUP(BE$134+$F136,$D$135:$D$165,1,FALSE)),0,BD4*$C$2),MAX((IF(Monthly!BA$4=TRUE,Monthly!BA$13,Monthly!BA$14)*(1+'Attrition Modeling'!$N$8)-'IP Attrition'!BD$65)/12*'IP Attrition'!BD71,0)))</f>
        <v>0</v>
      </c>
      <c r="BF136" s="799">
        <f>IF(EOMONTH(Inputs!$C$8,'IP Attrition'!BF$134-1)&lt;=Inputs!$C$9,0,MIN(IF(ISERROR(VLOOKUP(BF$134+$F136,$D$135:$D$165,1,FALSE)),0,BE4*$C$2),MAX((IF(Monthly!BB$4=TRUE,Monthly!BB$13,Monthly!BB$14)*(1+'Attrition Modeling'!$N$8)-'IP Attrition'!BE$65)/12*'IP Attrition'!BE71,0)))</f>
        <v>0</v>
      </c>
      <c r="BG136" s="799">
        <f>IF(EOMONTH(Inputs!$C$8,'IP Attrition'!BG$134-1)&lt;=Inputs!$C$9,0,MIN(IF(ISERROR(VLOOKUP(BG$134+$F136,$D$135:$D$165,1,FALSE)),0,BF4*$C$2),MAX((IF(Monthly!BC$4=TRUE,Monthly!BC$13,Monthly!BC$14)*(1+'Attrition Modeling'!$N$8)-'IP Attrition'!BF$65)/12*'IP Attrition'!BF71,0)))</f>
        <v>0</v>
      </c>
      <c r="BH136" s="799">
        <f>IF(EOMONTH(Inputs!$C$8,'IP Attrition'!BH$134-1)&lt;=Inputs!$C$9,0,MIN(IF(ISERROR(VLOOKUP(BH$134+$F136,$D$135:$D$165,1,FALSE)),0,BG4*$C$2),MAX((IF(Monthly!BD$4=TRUE,Monthly!BD$13,Monthly!BD$14)*(1+'Attrition Modeling'!$N$8)-'IP Attrition'!BG$65)/12*'IP Attrition'!BG71,0)))</f>
        <v>0</v>
      </c>
      <c r="BI136" s="799">
        <f>IF(EOMONTH(Inputs!$C$8,'IP Attrition'!BI$134-1)&lt;=Inputs!$C$9,0,MIN(IF(ISERROR(VLOOKUP(BI$134+$F136,$D$135:$D$165,1,FALSE)),0,BH4*$C$2),MAX((IF(Monthly!BE$4=TRUE,Monthly!BE$13,Monthly!BE$14)*(1+'Attrition Modeling'!$N$8)-'IP Attrition'!BH$65)/12*'IP Attrition'!BH71,0)))</f>
        <v>0</v>
      </c>
      <c r="BJ136" s="799">
        <f>IF(EOMONTH(Inputs!$C$8,'IP Attrition'!BJ$134-1)&lt;=Inputs!$C$9,0,MIN(IF(ISERROR(VLOOKUP(BJ$134+$F136,$D$135:$D$165,1,FALSE)),0,BI4*$C$2),MAX((IF(Monthly!BF$4=TRUE,Monthly!BF$13,Monthly!BF$14)*(1+'Attrition Modeling'!$N$8)-'IP Attrition'!BI$65)/12*'IP Attrition'!BI71,0)))</f>
        <v>0</v>
      </c>
      <c r="BK136" s="799">
        <f>IF(EOMONTH(Inputs!$C$8,'IP Attrition'!BK$134-1)&lt;=Inputs!$C$9,0,MIN(IF(ISERROR(VLOOKUP(BK$134+$F136,$D$135:$D$165,1,FALSE)),0,BJ4*$C$2),MAX((IF(Monthly!BG$4=TRUE,Monthly!BG$13,Monthly!BG$14)*(1+'Attrition Modeling'!$N$8)-'IP Attrition'!BJ$65)/12*'IP Attrition'!BJ71,0)))</f>
        <v>0</v>
      </c>
      <c r="BL136" s="799">
        <f>IF(EOMONTH(Inputs!$C$8,'IP Attrition'!BL$134-1)&lt;=Inputs!$C$9,0,MIN(IF(ISERROR(VLOOKUP(BL$134+$F136,$D$135:$D$165,1,FALSE)),0,BK4*$C$2),MAX((IF(Monthly!BH$4=TRUE,Monthly!BH$13,Monthly!BH$14)*(1+'Attrition Modeling'!$N$8)-'IP Attrition'!BK$65)/12*'IP Attrition'!BK71,0)))</f>
        <v>0</v>
      </c>
      <c r="BM136" s="799">
        <f>IF(EOMONTH(Inputs!$C$8,'IP Attrition'!BM$134-1)&lt;=Inputs!$C$9,0,MIN(IF(ISERROR(VLOOKUP(BM$134+$F136,$D$135:$D$165,1,FALSE)),0,BL4*$C$2),MAX((IF(Monthly!BI$4=TRUE,Monthly!BI$13,Monthly!BI$14)*(1+'Attrition Modeling'!$N$8)-'IP Attrition'!BL$65)/12*'IP Attrition'!BL71,0)))</f>
        <v>0</v>
      </c>
      <c r="BN136" s="799">
        <f>IF(EOMONTH(Inputs!$C$8,'IP Attrition'!BN$134-1)&lt;=Inputs!$C$9,0,MIN(IF(ISERROR(VLOOKUP(BN$134+$F136,$D$135:$D$165,1,FALSE)),0,BM4*$C$2),MAX((IF(Monthly!BJ$4=TRUE,Monthly!BJ$13,Monthly!BJ$14)*(1+'Attrition Modeling'!$N$8)-'IP Attrition'!BM$65)/12*'IP Attrition'!BM71,0)))</f>
        <v>0</v>
      </c>
      <c r="BO136" s="799">
        <f>IF(EOMONTH(Inputs!$C$8,'IP Attrition'!BO$134-1)&lt;=Inputs!$C$9,0,MIN(IF(ISERROR(VLOOKUP(BO$134+$F136,$D$135:$D$165,1,FALSE)),0,BN4*$C$2),MAX((IF(Monthly!BK$4=TRUE,Monthly!BK$13,Monthly!BK$14)*(1+'Attrition Modeling'!$N$8)-'IP Attrition'!BN$65)/12*'IP Attrition'!BN71,0)))</f>
        <v>0</v>
      </c>
      <c r="BP136" s="799">
        <f>IF(EOMONTH(Inputs!$C$8,'IP Attrition'!BP$134-1)&lt;=Inputs!$C$9,0,MIN(IF(ISERROR(VLOOKUP(BP$134+$F136,$D$135:$D$165,1,FALSE)),0,BO4*$C$2),MAX((IF(Monthly!BL$4=TRUE,Monthly!BL$13,Monthly!BL$14)*(1+'Attrition Modeling'!$N$8)-'IP Attrition'!BO$65)/12*'IP Attrition'!BO71,0)))</f>
        <v>0</v>
      </c>
      <c r="BQ136" s="799">
        <f>IF(EOMONTH(Inputs!$C$8,'IP Attrition'!BQ$134-1)&lt;=Inputs!$C$9,0,MIN(IF(ISERROR(VLOOKUP(BQ$134+$F136,$D$135:$D$165,1,FALSE)),0,BP4*$C$2),MAX((IF(Monthly!BM$4=TRUE,Monthly!BM$13,Monthly!BM$14)*(1+'Attrition Modeling'!$N$8)-'IP Attrition'!BP$65)/12*'IP Attrition'!BP71,0)))</f>
        <v>0</v>
      </c>
      <c r="BR136" s="799">
        <f>IF(EOMONTH(Inputs!$C$8,'IP Attrition'!BR$134-1)&lt;=Inputs!$C$9,0,MIN(IF(ISERROR(VLOOKUP(BR$134+$F136,$D$135:$D$165,1,FALSE)),0,BQ4*$C$2),MAX((IF(Monthly!BN$4=TRUE,Monthly!BN$13,Monthly!BN$14)*(1+'Attrition Modeling'!$N$8)-'IP Attrition'!BQ$65)/12*'IP Attrition'!BQ71,0)))</f>
        <v>0</v>
      </c>
      <c r="BS136" s="799">
        <f>IF(EOMONTH(Inputs!$C$8,'IP Attrition'!BS$134-1)&lt;=Inputs!$C$9,0,MIN(IF(ISERROR(VLOOKUP(BS$134+$F136,$D$135:$D$165,1,FALSE)),0,BR4*$C$2),MAX((IF(Monthly!BO$4=TRUE,Monthly!BO$13,Monthly!BO$14)*(1+'Attrition Modeling'!$N$8)-'IP Attrition'!BR$65)/12*'IP Attrition'!BR71,0)))</f>
        <v>0</v>
      </c>
      <c r="BT136" s="799" t="e">
        <f>IF(EOMONTH(Inputs!$C$8,'IP Attrition'!BT$134-1)&lt;=Inputs!$C$9,0,MIN(IF(ISERROR(VLOOKUP(BT$134+$F136,$D$135:$D$165,1,FALSE)),0,BS4*$C$2),MAX((IF(Monthly!#REF!=TRUE,Monthly!#REF!,Monthly!#REF!)*(1+'Attrition Modeling'!$N$8)-'IP Attrition'!BS$65)/12*'IP Attrition'!BS71,0)))</f>
        <v>#REF!</v>
      </c>
      <c r="BU136" s="799" t="e">
        <f>IF(EOMONTH(Inputs!$C$8,'IP Attrition'!BU$134-1)&lt;=Inputs!$C$9,0,MIN(IF(ISERROR(VLOOKUP(BU$134+$F136,$D$135:$D$165,1,FALSE)),0,BT4*$C$2),MAX((IF(Monthly!#REF!=TRUE,Monthly!#REF!,Monthly!#REF!)*(1+'Attrition Modeling'!$N$8)-'IP Attrition'!BT$65)/12*'IP Attrition'!BT71,0)))</f>
        <v>#REF!</v>
      </c>
    </row>
    <row r="137" spans="1:73" ht="14.25" customHeight="1" x14ac:dyDescent="0.2">
      <c r="A137" s="9">
        <v>130</v>
      </c>
      <c r="B137" s="25">
        <f>MAX('Attrition Modeling'!H134,$C$3)*(1-Summary!$C$20)</f>
        <v>0.02</v>
      </c>
      <c r="C137" s="24" t="e">
        <f t="shared" si="3"/>
        <v>#DIV/0!</v>
      </c>
      <c r="D137" s="11">
        <f t="shared" si="72"/>
        <v>30</v>
      </c>
      <c r="E137" s="25">
        <f t="shared" si="71"/>
        <v>0.10839302007867074</v>
      </c>
      <c r="F137" s="11">
        <f t="shared" si="73"/>
        <v>2</v>
      </c>
      <c r="G137" s="799"/>
      <c r="H137" s="799">
        <f>IF(EOMONTH(Inputs!$C$8,'IP Attrition'!H$134-1)&lt;=Inputs!$C$9,0,MIN(IF(ISERROR(VLOOKUP(H$134+$F137,$D$135:$D$165,1,FALSE)),0,G5*$C$2),MAX((IF(Monthly!D$4=TRUE,Monthly!D$13,Monthly!D$14)*(1+'Attrition Modeling'!$N$8)-'IP Attrition'!G$65)/12*'IP Attrition'!G72,0)))</f>
        <v>0</v>
      </c>
      <c r="I137" s="799">
        <f>IF(EOMONTH(Inputs!$C$8,'IP Attrition'!I$134-1)&lt;=Inputs!$C$9,0,MIN(IF(ISERROR(VLOOKUP(I$134+$F137,$D$135:$D$165,1,FALSE)),0,H5*$C$2),MAX((IF(Monthly!E$4=TRUE,Monthly!E$13,Monthly!E$14)*(1+'Attrition Modeling'!$N$8)-'IP Attrition'!H$65)/12*'IP Attrition'!H72,0)))</f>
        <v>0</v>
      </c>
      <c r="J137" s="799">
        <f>IF(EOMONTH(Inputs!$C$8,'IP Attrition'!J$134-1)&lt;=Inputs!$C$9,0,MIN(IF(ISERROR(VLOOKUP(J$134+$F137,$D$135:$D$165,1,FALSE)),0,I5*$C$2),MAX((IF(Monthly!F$4=TRUE,Monthly!F$13,Monthly!F$14)*(1+'Attrition Modeling'!$N$8)-'IP Attrition'!I$65)/12*'IP Attrition'!I72,0)))</f>
        <v>0</v>
      </c>
      <c r="K137" s="799">
        <f>IF(EOMONTH(Inputs!$C$8,'IP Attrition'!K$134-1)&lt;=Inputs!$C$9,0,MIN(IF(ISERROR(VLOOKUP(K$134+$F137,$D$135:$D$165,1,FALSE)),0,J5*$C$2),MAX((IF(Monthly!G$4=TRUE,Monthly!G$13,Monthly!G$14)*(1+'Attrition Modeling'!$N$8)-'IP Attrition'!J$65)/12*'IP Attrition'!J72,0)))</f>
        <v>0</v>
      </c>
      <c r="L137" s="799">
        <f>IF(EOMONTH(Inputs!$C$8,'IP Attrition'!L$134-1)&lt;=Inputs!$C$9,0,MIN(IF(ISERROR(VLOOKUP(L$134+$F137,$D$135:$D$165,1,FALSE)),0,K5*$C$2),MAX((IF(Monthly!H$4=TRUE,Monthly!H$13,Monthly!H$14)*(1+'Attrition Modeling'!$N$8)-'IP Attrition'!K$65)/12*'IP Attrition'!K72,0)))</f>
        <v>0</v>
      </c>
      <c r="M137" s="799">
        <f>IF(EOMONTH(Inputs!$C$8,'IP Attrition'!M$134-1)&lt;=Inputs!$C$9,0,MIN(IF(ISERROR(VLOOKUP(M$134+$F137,$D$135:$D$165,1,FALSE)),0,L5*$C$2),MAX((IF(Monthly!I$4=TRUE,Monthly!I$13,Monthly!I$14)*(1+'Attrition Modeling'!$N$8)-'IP Attrition'!L$65)/12*'IP Attrition'!L72,0)))</f>
        <v>0</v>
      </c>
      <c r="N137" s="799">
        <f>IF(EOMONTH(Inputs!$C$8,'IP Attrition'!N$134-1)&lt;=Inputs!$C$9,0,MIN(IF(ISERROR(VLOOKUP(N$134+$F137,$D$135:$D$165,1,FALSE)),0,M5*$C$2),MAX((IF(Monthly!J$4=TRUE,Monthly!J$13,Monthly!J$14)*(1+'Attrition Modeling'!$N$8)-'IP Attrition'!M$65)/12*'IP Attrition'!M72,0)))</f>
        <v>0</v>
      </c>
      <c r="O137" s="799">
        <f>IF(EOMONTH(Inputs!$C$8,'IP Attrition'!O$134-1)&lt;=Inputs!$C$9,0,MIN(IF(ISERROR(VLOOKUP(O$134+$F137,$D$135:$D$165,1,FALSE)),0,N5*$C$2),MAX((IF(Monthly!K$4=TRUE,Monthly!K$13,Monthly!K$14)*(1+'Attrition Modeling'!$N$8)-'IP Attrition'!N$65)/12*'IP Attrition'!N72,0)))</f>
        <v>0</v>
      </c>
      <c r="P137" s="799">
        <f>IF(EOMONTH(Inputs!$C$8,'IP Attrition'!P$134-1)&lt;=Inputs!$C$9,0,MIN(IF(ISERROR(VLOOKUP(P$134+$F137,$D$135:$D$165,1,FALSE)),0,O5*$C$2),MAX((IF(Monthly!L$4=TRUE,Monthly!L$13,Monthly!L$14)*(1+'Attrition Modeling'!$N$8)-'IP Attrition'!O$65)/12*'IP Attrition'!O72,0)))</f>
        <v>0</v>
      </c>
      <c r="Q137" s="799">
        <f>IF(EOMONTH(Inputs!$C$8,'IP Attrition'!Q$134-1)&lt;=Inputs!$C$9,0,MIN(IF(ISERROR(VLOOKUP(Q$134+$F137,$D$135:$D$165,1,FALSE)),0,P5*$C$2),MAX((IF(Monthly!M$4=TRUE,Monthly!M$13,Monthly!M$14)*(1+'Attrition Modeling'!$N$8)-'IP Attrition'!P$65)/12*'IP Attrition'!P72,0)))</f>
        <v>0</v>
      </c>
      <c r="R137" s="799">
        <f>IF(EOMONTH(Inputs!$C$8,'IP Attrition'!R$134-1)&lt;=Inputs!$C$9,0,MIN(IF(ISERROR(VLOOKUP(R$134+$F137,$D$135:$D$165,1,FALSE)),0,Q5*$C$2),MAX((IF(Monthly!N$4=TRUE,Monthly!N$13,Monthly!N$14)*(1+'Attrition Modeling'!$N$8)-'IP Attrition'!Q$65)/12*'IP Attrition'!Q72,0)))</f>
        <v>0</v>
      </c>
      <c r="S137" s="799">
        <f>IF(EOMONTH(Inputs!$C$8,'IP Attrition'!S$134-1)&lt;=Inputs!$C$9,0,MIN(IF(ISERROR(VLOOKUP(S$134+$F137,$D$135:$D$165,1,FALSE)),0,R5*$C$2),MAX((IF(Monthly!O$4=TRUE,Monthly!O$13,Monthly!O$14)*(1+'Attrition Modeling'!$N$8)-'IP Attrition'!R$65)/12*'IP Attrition'!R72,0)))</f>
        <v>0</v>
      </c>
      <c r="T137" s="799">
        <f>IF(EOMONTH(Inputs!$C$8,'IP Attrition'!T$134-1)&lt;=Inputs!$C$9,0,MIN(IF(ISERROR(VLOOKUP(T$134+$F137,$D$135:$D$165,1,FALSE)),0,S5*$C$2),MAX((IF(Monthly!P$4=TRUE,Monthly!P$13,Monthly!P$14)*(1+'Attrition Modeling'!$N$8)-'IP Attrition'!S$65)/12*'IP Attrition'!S72,0)))</f>
        <v>0</v>
      </c>
      <c r="U137" s="799">
        <f>IF(EOMONTH(Inputs!$C$8,'IP Attrition'!U$134-1)&lt;=Inputs!$C$9,0,MIN(IF(ISERROR(VLOOKUP(U$134+$F137,$D$135:$D$165,1,FALSE)),0,T5*$C$2),MAX((IF(Monthly!Q$4=TRUE,Monthly!Q$13,Monthly!Q$14)*(1+'Attrition Modeling'!$N$8)-'IP Attrition'!T$65)/12*'IP Attrition'!T72,0)))</f>
        <v>0</v>
      </c>
      <c r="V137" s="799">
        <f>IF(EOMONTH(Inputs!$C$8,'IP Attrition'!V$134-1)&lt;=Inputs!$C$9,0,MIN(IF(ISERROR(VLOOKUP(V$134+$F137,$D$135:$D$165,1,FALSE)),0,U5*$C$2),MAX((IF(Monthly!R$4=TRUE,Monthly!R$13,Monthly!R$14)*(1+'Attrition Modeling'!$N$8)-'IP Attrition'!U$65)/12*'IP Attrition'!U72,0)))</f>
        <v>0</v>
      </c>
      <c r="W137" s="799">
        <f>IF(EOMONTH(Inputs!$C$8,'IP Attrition'!W$134-1)&lt;=Inputs!$C$9,0,MIN(IF(ISERROR(VLOOKUP(W$134+$F137,$D$135:$D$165,1,FALSE)),0,V5*$C$2),MAX((IF(Monthly!S$4=TRUE,Monthly!S$13,Monthly!S$14)*(1+'Attrition Modeling'!$N$8)-'IP Attrition'!V$65)/12*'IP Attrition'!V72,0)))</f>
        <v>0</v>
      </c>
      <c r="X137" s="799">
        <f>IF(EOMONTH(Inputs!$C$8,'IP Attrition'!X$134-1)&lt;=Inputs!$C$9,0,MIN(IF(ISERROR(VLOOKUP(X$134+$F137,$D$135:$D$165,1,FALSE)),0,W5*$C$2),MAX((IF(Monthly!T$4=TRUE,Monthly!T$13,Monthly!T$14)*(1+'Attrition Modeling'!$N$8)-'IP Attrition'!W$65)/12*'IP Attrition'!W72,0)))</f>
        <v>0</v>
      </c>
      <c r="Y137" s="799">
        <f>IF(EOMONTH(Inputs!$C$8,'IP Attrition'!Y$134-1)&lt;=Inputs!$C$9,0,MIN(IF(ISERROR(VLOOKUP(Y$134+$F137,$D$135:$D$165,1,FALSE)),0,X5*$C$2),MAX((IF(Monthly!U$4=TRUE,Monthly!U$13,Monthly!U$14)*(1+'Attrition Modeling'!$N$8)-'IP Attrition'!X$65)/12*'IP Attrition'!X72,0)))</f>
        <v>0</v>
      </c>
      <c r="Z137" s="799">
        <f>IF(EOMONTH(Inputs!$C$8,'IP Attrition'!Z$134-1)&lt;=Inputs!$C$9,0,MIN(IF(ISERROR(VLOOKUP(Z$134+$F137,$D$135:$D$165,1,FALSE)),0,Y5*$C$2),MAX((IF(Monthly!V$4=TRUE,Monthly!V$13,Monthly!V$14)*(1+'Attrition Modeling'!$N$8)-'IP Attrition'!Y$65)/12*'IP Attrition'!Y72,0)))</f>
        <v>0</v>
      </c>
      <c r="AA137" s="799">
        <f>IF(EOMONTH(Inputs!$C$8,'IP Attrition'!AA$134-1)&lt;=Inputs!$C$9,0,MIN(IF(ISERROR(VLOOKUP(AA$134+$F137,$D$135:$D$165,1,FALSE)),0,Z5*$C$2),MAX((IF(Monthly!W$4=TRUE,Monthly!W$13,Monthly!W$14)*(1+'Attrition Modeling'!$N$8)-'IP Attrition'!Z$65)/12*'IP Attrition'!Z72,0)))</f>
        <v>0</v>
      </c>
      <c r="AB137" s="799">
        <f>IF(EOMONTH(Inputs!$C$8,'IP Attrition'!AB$134-1)&lt;=Inputs!$C$9,0,MIN(IF(ISERROR(VLOOKUP(AB$134+$F137,$D$135:$D$165,1,FALSE)),0,AA5*$C$2),MAX((IF(Monthly!X$4=TRUE,Monthly!X$13,Monthly!X$14)*(1+'Attrition Modeling'!$N$8)-'IP Attrition'!AA$65)/12*'IP Attrition'!AA72,0)))</f>
        <v>0</v>
      </c>
      <c r="AC137" s="799">
        <f>IF(EOMONTH(Inputs!$C$8,'IP Attrition'!AC$134-1)&lt;=Inputs!$C$9,0,MIN(IF(ISERROR(VLOOKUP(AC$134+$F137,$D$135:$D$165,1,FALSE)),0,AB5*$C$2),MAX((IF(Monthly!Y$4=TRUE,Monthly!Y$13,Monthly!Y$14)*(1+'Attrition Modeling'!$N$8)-'IP Attrition'!AB$65)/12*'IP Attrition'!AB72,0)))</f>
        <v>0</v>
      </c>
      <c r="AD137" s="799">
        <f>IF(EOMONTH(Inputs!$C$8,'IP Attrition'!AD$134-1)&lt;=Inputs!$C$9,0,MIN(IF(ISERROR(VLOOKUP(AD$134+$F137,$D$135:$D$165,1,FALSE)),0,AC5*$C$2),MAX((IF(Monthly!Z$4=TRUE,Monthly!Z$13,Monthly!Z$14)*(1+'Attrition Modeling'!$N$8)-'IP Attrition'!AC$65)/12*'IP Attrition'!AC72,0)))</f>
        <v>0</v>
      </c>
      <c r="AE137" s="799">
        <f>IF(EOMONTH(Inputs!$C$8,'IP Attrition'!AE$134-1)&lt;=Inputs!$C$9,0,MIN(IF(ISERROR(VLOOKUP(AE$134+$F137,$D$135:$D$165,1,FALSE)),0,AD5*$C$2),MAX((IF(Monthly!AA$4=TRUE,Monthly!AA$13,Monthly!AA$14)*(1+'Attrition Modeling'!$N$8)-'IP Attrition'!AD$65)/12*'IP Attrition'!AD72,0)))</f>
        <v>0</v>
      </c>
      <c r="AF137" s="799">
        <f>IF(EOMONTH(Inputs!$C$8,'IP Attrition'!AF$134-1)&lt;=Inputs!$C$9,0,MIN(IF(ISERROR(VLOOKUP(AF$134+$F137,$D$135:$D$165,1,FALSE)),0,AE5*$C$2),MAX((IF(Monthly!AB$4=TRUE,Monthly!AB$13,Monthly!AB$14)*(1+'Attrition Modeling'!$N$8)-'IP Attrition'!AE$65)/12*'IP Attrition'!AE72,0)))</f>
        <v>0</v>
      </c>
      <c r="AG137" s="799">
        <f>IF(EOMONTH(Inputs!$C$8,'IP Attrition'!AG$134-1)&lt;=Inputs!$C$9,0,MIN(IF(ISERROR(VLOOKUP(AG$134+$F137,$D$135:$D$165,1,FALSE)),0,AF5*$C$2),MAX((IF(Monthly!AC$4=TRUE,Monthly!AC$13,Monthly!AC$14)*(1+'Attrition Modeling'!$N$8)-'IP Attrition'!AF$65)/12*'IP Attrition'!AF72,0)))</f>
        <v>0</v>
      </c>
      <c r="AH137" s="799">
        <f>IF(EOMONTH(Inputs!$C$8,'IP Attrition'!AH$134-1)&lt;=Inputs!$C$9,0,MIN(IF(ISERROR(VLOOKUP(AH$134+$F137,$D$135:$D$165,1,FALSE)),0,AG5*$C$2),MAX((IF(Monthly!AD$4=TRUE,Monthly!AD$13,Monthly!AD$14)*(1+'Attrition Modeling'!$N$8)-'IP Attrition'!AG$65)/12*'IP Attrition'!AG72,0)))</f>
        <v>0</v>
      </c>
      <c r="AI137" s="799">
        <f>IF(EOMONTH(Inputs!$C$8,'IP Attrition'!AI$134-1)&lt;=Inputs!$C$9,0,MIN(IF(ISERROR(VLOOKUP(AI$134+$F137,$D$135:$D$165,1,FALSE)),0,AH5*$C$2),MAX((IF(Monthly!AE$4=TRUE,Monthly!AE$13,Monthly!AE$14)*(1+'Attrition Modeling'!$N$8)-'IP Attrition'!AH$65)/12*'IP Attrition'!AH72,0)))</f>
        <v>0</v>
      </c>
      <c r="AJ137" s="799">
        <f>IF(EOMONTH(Inputs!$C$8,'IP Attrition'!AJ$134-1)&lt;=Inputs!$C$9,0,MIN(IF(ISERROR(VLOOKUP(AJ$134+$F137,$D$135:$D$165,1,FALSE)),0,AI5*$C$2),MAX((IF(Monthly!AF$4=TRUE,Monthly!AF$13,Monthly!AF$14)*(1+'Attrition Modeling'!$N$8)-'IP Attrition'!AI$65)/12*'IP Attrition'!AI72,0)))</f>
        <v>0</v>
      </c>
      <c r="AK137" s="799">
        <f>IF(EOMONTH(Inputs!$C$8,'IP Attrition'!AK$134-1)&lt;=Inputs!$C$9,0,MIN(IF(ISERROR(VLOOKUP(AK$134+$F137,$D$135:$D$165,1,FALSE)),0,AJ5*$C$2),MAX((IF(Monthly!AG$4=TRUE,Monthly!AG$13,Monthly!AG$14)*(1+'Attrition Modeling'!$N$8)-'IP Attrition'!AJ$65)/12*'IP Attrition'!AJ72,0)))</f>
        <v>0</v>
      </c>
      <c r="AL137" s="799">
        <f>IF(EOMONTH(Inputs!$C$8,'IP Attrition'!AL$134-1)&lt;=Inputs!$C$9,0,MIN(IF(ISERROR(VLOOKUP(AL$134+$F137,$D$135:$D$165,1,FALSE)),0,AK5*$C$2),MAX((IF(Monthly!AH$4=TRUE,Monthly!AH$13,Monthly!AH$14)*(1+'Attrition Modeling'!$N$8)-'IP Attrition'!AK$65)/12*'IP Attrition'!AK72,0)))</f>
        <v>0</v>
      </c>
      <c r="AM137" s="799">
        <f>IF(EOMONTH(Inputs!$C$8,'IP Attrition'!AM$134-1)&lt;=Inputs!$C$9,0,MIN(IF(ISERROR(VLOOKUP(AM$134+$F137,$D$135:$D$165,1,FALSE)),0,AL5*$C$2),MAX((IF(Monthly!AI$4=TRUE,Monthly!AI$13,Monthly!AI$14)*(1+'Attrition Modeling'!$N$8)-'IP Attrition'!AL$65)/12*'IP Attrition'!AL72,0)))</f>
        <v>0</v>
      </c>
      <c r="AN137" s="799">
        <f>IF(EOMONTH(Inputs!$C$8,'IP Attrition'!AN$134-1)&lt;=Inputs!$C$9,0,MIN(IF(ISERROR(VLOOKUP(AN$134+$F137,$D$135:$D$165,1,FALSE)),0,AM5*$C$2),MAX((IF(Monthly!AJ$4=TRUE,Monthly!AJ$13,Monthly!AJ$14)*(1+'Attrition Modeling'!$N$8)-'IP Attrition'!AM$65)/12*'IP Attrition'!AM72,0)))</f>
        <v>0</v>
      </c>
      <c r="AO137" s="799">
        <f>IF(EOMONTH(Inputs!$C$8,'IP Attrition'!AO$134-1)&lt;=Inputs!$C$9,0,MIN(IF(ISERROR(VLOOKUP(AO$134+$F137,$D$135:$D$165,1,FALSE)),0,AN5*$C$2),MAX((IF(Monthly!AK$4=TRUE,Monthly!AK$13,Monthly!AK$14)*(1+'Attrition Modeling'!$N$8)-'IP Attrition'!AN$65)/12*'IP Attrition'!AN72,0)))</f>
        <v>0</v>
      </c>
      <c r="AP137" s="799">
        <f>IF(EOMONTH(Inputs!$C$8,'IP Attrition'!AP$134-1)&lt;=Inputs!$C$9,0,MIN(IF(ISERROR(VLOOKUP(AP$134+$F137,$D$135:$D$165,1,FALSE)),0,AO5*$C$2),MAX((IF(Monthly!AL$4=TRUE,Monthly!AL$13,Monthly!AL$14)*(1+'Attrition Modeling'!$N$8)-'IP Attrition'!AO$65)/12*'IP Attrition'!AO72,0)))</f>
        <v>0</v>
      </c>
      <c r="AQ137" s="799">
        <f>IF(EOMONTH(Inputs!$C$8,'IP Attrition'!AQ$134-1)&lt;=Inputs!$C$9,0,MIN(IF(ISERROR(VLOOKUP(AQ$134+$F137,$D$135:$D$165,1,FALSE)),0,AP5*$C$2),MAX((IF(Monthly!AM$4=TRUE,Monthly!AM$13,Monthly!AM$14)*(1+'Attrition Modeling'!$N$8)-'IP Attrition'!AP$65)/12*'IP Attrition'!AP72,0)))</f>
        <v>0</v>
      </c>
      <c r="AR137" s="799">
        <f>IF(EOMONTH(Inputs!$C$8,'IP Attrition'!AR$134-1)&lt;=Inputs!$C$9,0,MIN(IF(ISERROR(VLOOKUP(AR$134+$F137,$D$135:$D$165,1,FALSE)),0,AQ5*$C$2),MAX((IF(Monthly!AN$4=TRUE,Monthly!AN$13,Monthly!AN$14)*(1+'Attrition Modeling'!$N$8)-'IP Attrition'!AQ$65)/12*'IP Attrition'!AQ72,0)))</f>
        <v>0</v>
      </c>
      <c r="AS137" s="799">
        <f>IF(EOMONTH(Inputs!$C$8,'IP Attrition'!AS$134-1)&lt;=Inputs!$C$9,0,MIN(IF(ISERROR(VLOOKUP(AS$134+$F137,$D$135:$D$165,1,FALSE)),0,AR5*$C$2),MAX((IF(Monthly!AO$4=TRUE,Monthly!AO$13,Monthly!AO$14)*(1+'Attrition Modeling'!$N$8)-'IP Attrition'!AR$65)/12*'IP Attrition'!AR72,0)))</f>
        <v>0</v>
      </c>
      <c r="AT137" s="799">
        <f>IF(EOMONTH(Inputs!$C$8,'IP Attrition'!AT$134-1)&lt;=Inputs!$C$9,0,MIN(IF(ISERROR(VLOOKUP(AT$134+$F137,$D$135:$D$165,1,FALSE)),0,AS5*$C$2),MAX((IF(Monthly!AP$4=TRUE,Monthly!AP$13,Monthly!AP$14)*(1+'Attrition Modeling'!$N$8)-'IP Attrition'!AS$65)/12*'IP Attrition'!AS72,0)))</f>
        <v>0</v>
      </c>
      <c r="AU137" s="799">
        <f>IF(EOMONTH(Inputs!$C$8,'IP Attrition'!AU$134-1)&lt;=Inputs!$C$9,0,MIN(IF(ISERROR(VLOOKUP(AU$134+$F137,$D$135:$D$165,1,FALSE)),0,AT5*$C$2),MAX((IF(Monthly!AQ$4=TRUE,Monthly!AQ$13,Monthly!AQ$14)*(1+'Attrition Modeling'!$N$8)-'IP Attrition'!AT$65)/12*'IP Attrition'!AT72,0)))</f>
        <v>0</v>
      </c>
      <c r="AV137" s="799">
        <f>IF(EOMONTH(Inputs!$C$8,'IP Attrition'!AV$134-1)&lt;=Inputs!$C$9,0,MIN(IF(ISERROR(VLOOKUP(AV$134+$F137,$D$135:$D$165,1,FALSE)),0,AU5*$C$2),MAX((IF(Monthly!AR$4=TRUE,Monthly!AR$13,Monthly!AR$14)*(1+'Attrition Modeling'!$N$8)-'IP Attrition'!AU$65)/12*'IP Attrition'!AU72,0)))</f>
        <v>0</v>
      </c>
      <c r="AW137" s="799">
        <f>IF(EOMONTH(Inputs!$C$8,'IP Attrition'!AW$134-1)&lt;=Inputs!$C$9,0,MIN(IF(ISERROR(VLOOKUP(AW$134+$F137,$D$135:$D$165,1,FALSE)),0,AV5*$C$2),MAX((IF(Monthly!AS$4=TRUE,Monthly!AS$13,Monthly!AS$14)*(1+'Attrition Modeling'!$N$8)-'IP Attrition'!AV$65)/12*'IP Attrition'!AV72,0)))</f>
        <v>0</v>
      </c>
      <c r="AX137" s="799">
        <f>IF(EOMONTH(Inputs!$C$8,'IP Attrition'!AX$134-1)&lt;=Inputs!$C$9,0,MIN(IF(ISERROR(VLOOKUP(AX$134+$F137,$D$135:$D$165,1,FALSE)),0,AW5*$C$2),MAX((IF(Monthly!AT$4=TRUE,Monthly!AT$13,Monthly!AT$14)*(1+'Attrition Modeling'!$N$8)-'IP Attrition'!AW$65)/12*'IP Attrition'!AW72,0)))</f>
        <v>0</v>
      </c>
      <c r="AY137" s="799">
        <f>IF(EOMONTH(Inputs!$C$8,'IP Attrition'!AY$134-1)&lt;=Inputs!$C$9,0,MIN(IF(ISERROR(VLOOKUP(AY$134+$F137,$D$135:$D$165,1,FALSE)),0,AX5*$C$2),MAX((IF(Monthly!AU$4=TRUE,Monthly!AU$13,Monthly!AU$14)*(1+'Attrition Modeling'!$N$8)-'IP Attrition'!AX$65)/12*'IP Attrition'!AX72,0)))</f>
        <v>0</v>
      </c>
      <c r="AZ137" s="799">
        <f>IF(EOMONTH(Inputs!$C$8,'IP Attrition'!AZ$134-1)&lt;=Inputs!$C$9,0,MIN(IF(ISERROR(VLOOKUP(AZ$134+$F137,$D$135:$D$165,1,FALSE)),0,AY5*$C$2),MAX((IF(Monthly!AV$4=TRUE,Monthly!AV$13,Monthly!AV$14)*(1+'Attrition Modeling'!$N$8)-'IP Attrition'!AY$65)/12*'IP Attrition'!AY72,0)))</f>
        <v>0</v>
      </c>
      <c r="BA137" s="799">
        <f>IF(EOMONTH(Inputs!$C$8,'IP Attrition'!BA$134-1)&lt;=Inputs!$C$9,0,MIN(IF(ISERROR(VLOOKUP(BA$134+$F137,$D$135:$D$165,1,FALSE)),0,AZ5*$C$2),MAX((IF(Monthly!AW$4=TRUE,Monthly!AW$13,Monthly!AW$14)*(1+'Attrition Modeling'!$N$8)-'IP Attrition'!AZ$65)/12*'IP Attrition'!AZ72,0)))</f>
        <v>0</v>
      </c>
      <c r="BB137" s="799">
        <f>IF(EOMONTH(Inputs!$C$8,'IP Attrition'!BB$134-1)&lt;=Inputs!$C$9,0,MIN(IF(ISERROR(VLOOKUP(BB$134+$F137,$D$135:$D$165,1,FALSE)),0,BA5*$C$2),MAX((IF(Monthly!AX$4=TRUE,Monthly!AX$13,Monthly!AX$14)*(1+'Attrition Modeling'!$N$8)-'IP Attrition'!BA$65)/12*'IP Attrition'!BA72,0)))</f>
        <v>0</v>
      </c>
      <c r="BC137" s="799">
        <f>IF(EOMONTH(Inputs!$C$8,'IP Attrition'!BC$134-1)&lt;=Inputs!$C$9,0,MIN(IF(ISERROR(VLOOKUP(BC$134+$F137,$D$135:$D$165,1,FALSE)),0,BB5*$C$2),MAX((IF(Monthly!AY$4=TRUE,Monthly!AY$13,Monthly!AY$14)*(1+'Attrition Modeling'!$N$8)-'IP Attrition'!BB$65)/12*'IP Attrition'!BB72,0)))</f>
        <v>0</v>
      </c>
      <c r="BD137" s="799">
        <f>IF(EOMONTH(Inputs!$C$8,'IP Attrition'!BD$134-1)&lt;=Inputs!$C$9,0,MIN(IF(ISERROR(VLOOKUP(BD$134+$F137,$D$135:$D$165,1,FALSE)),0,BC5*$C$2),MAX((IF(Monthly!AZ$4=TRUE,Monthly!AZ$13,Monthly!AZ$14)*(1+'Attrition Modeling'!$N$8)-'IP Attrition'!BC$65)/12*'IP Attrition'!BC72,0)))</f>
        <v>0</v>
      </c>
      <c r="BE137" s="799">
        <f>IF(EOMONTH(Inputs!$C$8,'IP Attrition'!BE$134-1)&lt;=Inputs!$C$9,0,MIN(IF(ISERROR(VLOOKUP(BE$134+$F137,$D$135:$D$165,1,FALSE)),0,BD5*$C$2),MAX((IF(Monthly!BA$4=TRUE,Monthly!BA$13,Monthly!BA$14)*(1+'Attrition Modeling'!$N$8)-'IP Attrition'!BD$65)/12*'IP Attrition'!BD72,0)))</f>
        <v>0</v>
      </c>
      <c r="BF137" s="799">
        <f>IF(EOMONTH(Inputs!$C$8,'IP Attrition'!BF$134-1)&lt;=Inputs!$C$9,0,MIN(IF(ISERROR(VLOOKUP(BF$134+$F137,$D$135:$D$165,1,FALSE)),0,BE5*$C$2),MAX((IF(Monthly!BB$4=TRUE,Monthly!BB$13,Monthly!BB$14)*(1+'Attrition Modeling'!$N$8)-'IP Attrition'!BE$65)/12*'IP Attrition'!BE72,0)))</f>
        <v>0</v>
      </c>
      <c r="BG137" s="799">
        <f>IF(EOMONTH(Inputs!$C$8,'IP Attrition'!BG$134-1)&lt;=Inputs!$C$9,0,MIN(IF(ISERROR(VLOOKUP(BG$134+$F137,$D$135:$D$165,1,FALSE)),0,BF5*$C$2),MAX((IF(Monthly!BC$4=TRUE,Monthly!BC$13,Monthly!BC$14)*(1+'Attrition Modeling'!$N$8)-'IP Attrition'!BF$65)/12*'IP Attrition'!BF72,0)))</f>
        <v>0</v>
      </c>
      <c r="BH137" s="799">
        <f>IF(EOMONTH(Inputs!$C$8,'IP Attrition'!BH$134-1)&lt;=Inputs!$C$9,0,MIN(IF(ISERROR(VLOOKUP(BH$134+$F137,$D$135:$D$165,1,FALSE)),0,BG5*$C$2),MAX((IF(Monthly!BD$4=TRUE,Monthly!BD$13,Monthly!BD$14)*(1+'Attrition Modeling'!$N$8)-'IP Attrition'!BG$65)/12*'IP Attrition'!BG72,0)))</f>
        <v>0</v>
      </c>
      <c r="BI137" s="799">
        <f>IF(EOMONTH(Inputs!$C$8,'IP Attrition'!BI$134-1)&lt;=Inputs!$C$9,0,MIN(IF(ISERROR(VLOOKUP(BI$134+$F137,$D$135:$D$165,1,FALSE)),0,BH5*$C$2),MAX((IF(Monthly!BE$4=TRUE,Monthly!BE$13,Monthly!BE$14)*(1+'Attrition Modeling'!$N$8)-'IP Attrition'!BH$65)/12*'IP Attrition'!BH72,0)))</f>
        <v>0</v>
      </c>
      <c r="BJ137" s="799">
        <f>IF(EOMONTH(Inputs!$C$8,'IP Attrition'!BJ$134-1)&lt;=Inputs!$C$9,0,MIN(IF(ISERROR(VLOOKUP(BJ$134+$F137,$D$135:$D$165,1,FALSE)),0,BI5*$C$2),MAX((IF(Monthly!BF$4=TRUE,Monthly!BF$13,Monthly!BF$14)*(1+'Attrition Modeling'!$N$8)-'IP Attrition'!BI$65)/12*'IP Attrition'!BI72,0)))</f>
        <v>0</v>
      </c>
      <c r="BK137" s="799">
        <f>IF(EOMONTH(Inputs!$C$8,'IP Attrition'!BK$134-1)&lt;=Inputs!$C$9,0,MIN(IF(ISERROR(VLOOKUP(BK$134+$F137,$D$135:$D$165,1,FALSE)),0,BJ5*$C$2),MAX((IF(Monthly!BG$4=TRUE,Monthly!BG$13,Monthly!BG$14)*(1+'Attrition Modeling'!$N$8)-'IP Attrition'!BJ$65)/12*'IP Attrition'!BJ72,0)))</f>
        <v>0</v>
      </c>
      <c r="BL137" s="799">
        <f>IF(EOMONTH(Inputs!$C$8,'IP Attrition'!BL$134-1)&lt;=Inputs!$C$9,0,MIN(IF(ISERROR(VLOOKUP(BL$134+$F137,$D$135:$D$165,1,FALSE)),0,BK5*$C$2),MAX((IF(Monthly!BH$4=TRUE,Monthly!BH$13,Monthly!BH$14)*(1+'Attrition Modeling'!$N$8)-'IP Attrition'!BK$65)/12*'IP Attrition'!BK72,0)))</f>
        <v>0</v>
      </c>
      <c r="BM137" s="799">
        <f>IF(EOMONTH(Inputs!$C$8,'IP Attrition'!BM$134-1)&lt;=Inputs!$C$9,0,MIN(IF(ISERROR(VLOOKUP(BM$134+$F137,$D$135:$D$165,1,FALSE)),0,BL5*$C$2),MAX((IF(Monthly!BI$4=TRUE,Monthly!BI$13,Monthly!BI$14)*(1+'Attrition Modeling'!$N$8)-'IP Attrition'!BL$65)/12*'IP Attrition'!BL72,0)))</f>
        <v>0</v>
      </c>
      <c r="BN137" s="799">
        <f>IF(EOMONTH(Inputs!$C$8,'IP Attrition'!BN$134-1)&lt;=Inputs!$C$9,0,MIN(IF(ISERROR(VLOOKUP(BN$134+$F137,$D$135:$D$165,1,FALSE)),0,BM5*$C$2),MAX((IF(Monthly!BJ$4=TRUE,Monthly!BJ$13,Monthly!BJ$14)*(1+'Attrition Modeling'!$N$8)-'IP Attrition'!BM$65)/12*'IP Attrition'!BM72,0)))</f>
        <v>0</v>
      </c>
      <c r="BO137" s="799">
        <f>IF(EOMONTH(Inputs!$C$8,'IP Attrition'!BO$134-1)&lt;=Inputs!$C$9,0,MIN(IF(ISERROR(VLOOKUP(BO$134+$F137,$D$135:$D$165,1,FALSE)),0,BN5*$C$2),MAX((IF(Monthly!BK$4=TRUE,Monthly!BK$13,Monthly!BK$14)*(1+'Attrition Modeling'!$N$8)-'IP Attrition'!BN$65)/12*'IP Attrition'!BN72,0)))</f>
        <v>0</v>
      </c>
      <c r="BP137" s="799">
        <f>IF(EOMONTH(Inputs!$C$8,'IP Attrition'!BP$134-1)&lt;=Inputs!$C$9,0,MIN(IF(ISERROR(VLOOKUP(BP$134+$F137,$D$135:$D$165,1,FALSE)),0,BO5*$C$2),MAX((IF(Monthly!BL$4=TRUE,Monthly!BL$13,Monthly!BL$14)*(1+'Attrition Modeling'!$N$8)-'IP Attrition'!BO$65)/12*'IP Attrition'!BO72,0)))</f>
        <v>0</v>
      </c>
      <c r="BQ137" s="799">
        <f>IF(EOMONTH(Inputs!$C$8,'IP Attrition'!BQ$134-1)&lt;=Inputs!$C$9,0,MIN(IF(ISERROR(VLOOKUP(BQ$134+$F137,$D$135:$D$165,1,FALSE)),0,BP5*$C$2),MAX((IF(Monthly!BM$4=TRUE,Monthly!BM$13,Monthly!BM$14)*(1+'Attrition Modeling'!$N$8)-'IP Attrition'!BP$65)/12*'IP Attrition'!BP72,0)))</f>
        <v>0</v>
      </c>
      <c r="BR137" s="799">
        <f>IF(EOMONTH(Inputs!$C$8,'IP Attrition'!BR$134-1)&lt;=Inputs!$C$9,0,MIN(IF(ISERROR(VLOOKUP(BR$134+$F137,$D$135:$D$165,1,FALSE)),0,BQ5*$C$2),MAX((IF(Monthly!BN$4=TRUE,Monthly!BN$13,Monthly!BN$14)*(1+'Attrition Modeling'!$N$8)-'IP Attrition'!BQ$65)/12*'IP Attrition'!BQ72,0)))</f>
        <v>0</v>
      </c>
      <c r="BS137" s="799">
        <f>IF(EOMONTH(Inputs!$C$8,'IP Attrition'!BS$134-1)&lt;=Inputs!$C$9,0,MIN(IF(ISERROR(VLOOKUP(BS$134+$F137,$D$135:$D$165,1,FALSE)),0,BR5*$C$2),MAX((IF(Monthly!BO$4=TRUE,Monthly!BO$13,Monthly!BO$14)*(1+'Attrition Modeling'!$N$8)-'IP Attrition'!BR$65)/12*'IP Attrition'!BR72,0)))</f>
        <v>0</v>
      </c>
      <c r="BT137" s="799" t="e">
        <f>IF(EOMONTH(Inputs!$C$8,'IP Attrition'!BT$134-1)&lt;=Inputs!$C$9,0,MIN(IF(ISERROR(VLOOKUP(BT$134+$F137,$D$135:$D$165,1,FALSE)),0,BS5*$C$2),MAX((IF(Monthly!#REF!=TRUE,Monthly!#REF!,Monthly!#REF!)*(1+'Attrition Modeling'!$N$8)-'IP Attrition'!BS$65)/12*'IP Attrition'!BS72,0)))</f>
        <v>#REF!</v>
      </c>
      <c r="BU137" s="799" t="e">
        <f>IF(EOMONTH(Inputs!$C$8,'IP Attrition'!BU$134-1)&lt;=Inputs!$C$9,0,MIN(IF(ISERROR(VLOOKUP(BU$134+$F137,$D$135:$D$165,1,FALSE)),0,BT5*$C$2),MAX((IF(Monthly!#REF!=TRUE,Monthly!#REF!,Monthly!#REF!)*(1+'Attrition Modeling'!$N$8)-'IP Attrition'!BT$65)/12*'IP Attrition'!BT72,0)))</f>
        <v>#REF!</v>
      </c>
    </row>
    <row r="138" spans="1:73" ht="14.25" customHeight="1" x14ac:dyDescent="0.2">
      <c r="A138" s="9">
        <v>131</v>
      </c>
      <c r="B138" s="25">
        <f>MAX('Attrition Modeling'!H135,$C$3)*(1-Summary!$C$20)</f>
        <v>0.02</v>
      </c>
      <c r="C138" s="24" t="e">
        <f t="shared" si="3"/>
        <v>#DIV/0!</v>
      </c>
      <c r="D138" s="11">
        <f t="shared" si="72"/>
        <v>42</v>
      </c>
      <c r="E138" s="25">
        <f t="shared" si="71"/>
        <v>0.13610718415204701</v>
      </c>
      <c r="F138" s="11">
        <f t="shared" si="73"/>
        <v>3</v>
      </c>
      <c r="G138" s="799"/>
      <c r="H138" s="799">
        <f>IF(EOMONTH(Inputs!$C$8,'IP Attrition'!H$134-1)&lt;=Inputs!$C$9,0,MIN(IF(ISERROR(VLOOKUP(H$134+$F138,$D$135:$D$165,1,FALSE)),0,G6*$C$2),MAX((IF(Monthly!D$4=TRUE,Monthly!D$13,Monthly!D$14)*(1+'Attrition Modeling'!$N$8)-'IP Attrition'!G$65)/12*'IP Attrition'!G73,0)))</f>
        <v>0</v>
      </c>
      <c r="I138" s="799">
        <f>IF(EOMONTH(Inputs!$C$8,'IP Attrition'!I$134-1)&lt;=Inputs!$C$9,0,MIN(IF(ISERROR(VLOOKUP(I$134+$F138,$D$135:$D$165,1,FALSE)),0,H6*$C$2),MAX((IF(Monthly!E$4=TRUE,Monthly!E$13,Monthly!E$14)*(1+'Attrition Modeling'!$N$8)-'IP Attrition'!H$65)/12*'IP Attrition'!H73,0)))</f>
        <v>0</v>
      </c>
      <c r="J138" s="799">
        <f>IF(EOMONTH(Inputs!$C$8,'IP Attrition'!J$134-1)&lt;=Inputs!$C$9,0,MIN(IF(ISERROR(VLOOKUP(J$134+$F138,$D$135:$D$165,1,FALSE)),0,I6*$C$2),MAX((IF(Monthly!F$4=TRUE,Monthly!F$13,Monthly!F$14)*(1+'Attrition Modeling'!$N$8)-'IP Attrition'!I$65)/12*'IP Attrition'!I73,0)))</f>
        <v>0</v>
      </c>
      <c r="K138" s="799">
        <f>IF(EOMONTH(Inputs!$C$8,'IP Attrition'!K$134-1)&lt;=Inputs!$C$9,0,MIN(IF(ISERROR(VLOOKUP(K$134+$F138,$D$135:$D$165,1,FALSE)),0,J6*$C$2),MAX((IF(Monthly!G$4=TRUE,Monthly!G$13,Monthly!G$14)*(1+'Attrition Modeling'!$N$8)-'IP Attrition'!J$65)/12*'IP Attrition'!J73,0)))</f>
        <v>0</v>
      </c>
      <c r="L138" s="799">
        <f>IF(EOMONTH(Inputs!$C$8,'IP Attrition'!L$134-1)&lt;=Inputs!$C$9,0,MIN(IF(ISERROR(VLOOKUP(L$134+$F138,$D$135:$D$165,1,FALSE)),0,K6*$C$2),MAX((IF(Monthly!H$4=TRUE,Monthly!H$13,Monthly!H$14)*(1+'Attrition Modeling'!$N$8)-'IP Attrition'!K$65)/12*'IP Attrition'!K73,0)))</f>
        <v>0</v>
      </c>
      <c r="M138" s="799">
        <f>IF(EOMONTH(Inputs!$C$8,'IP Attrition'!M$134-1)&lt;=Inputs!$C$9,0,MIN(IF(ISERROR(VLOOKUP(M$134+$F138,$D$135:$D$165,1,FALSE)),0,L6*$C$2),MAX((IF(Monthly!I$4=TRUE,Monthly!I$13,Monthly!I$14)*(1+'Attrition Modeling'!$N$8)-'IP Attrition'!L$65)/12*'IP Attrition'!L73,0)))</f>
        <v>0</v>
      </c>
      <c r="N138" s="799">
        <f>IF(EOMONTH(Inputs!$C$8,'IP Attrition'!N$134-1)&lt;=Inputs!$C$9,0,MIN(IF(ISERROR(VLOOKUP(N$134+$F138,$D$135:$D$165,1,FALSE)),0,M6*$C$2),MAX((IF(Monthly!J$4=TRUE,Monthly!J$13,Monthly!J$14)*(1+'Attrition Modeling'!$N$8)-'IP Attrition'!M$65)/12*'IP Attrition'!M73,0)))</f>
        <v>0</v>
      </c>
      <c r="O138" s="799">
        <f>IF(EOMONTH(Inputs!$C$8,'IP Attrition'!O$134-1)&lt;=Inputs!$C$9,0,MIN(IF(ISERROR(VLOOKUP(O$134+$F138,$D$135:$D$165,1,FALSE)),0,N6*$C$2),MAX((IF(Monthly!K$4=TRUE,Monthly!K$13,Monthly!K$14)*(1+'Attrition Modeling'!$N$8)-'IP Attrition'!N$65)/12*'IP Attrition'!N73,0)))</f>
        <v>0</v>
      </c>
      <c r="P138" s="799">
        <f>IF(EOMONTH(Inputs!$C$8,'IP Attrition'!P$134-1)&lt;=Inputs!$C$9,0,MIN(IF(ISERROR(VLOOKUP(P$134+$F138,$D$135:$D$165,1,FALSE)),0,O6*$C$2),MAX((IF(Monthly!L$4=TRUE,Monthly!L$13,Monthly!L$14)*(1+'Attrition Modeling'!$N$8)-'IP Attrition'!O$65)/12*'IP Attrition'!O73,0)))</f>
        <v>0</v>
      </c>
      <c r="Q138" s="799">
        <f>IF(EOMONTH(Inputs!$C$8,'IP Attrition'!Q$134-1)&lt;=Inputs!$C$9,0,MIN(IF(ISERROR(VLOOKUP(Q$134+$F138,$D$135:$D$165,1,FALSE)),0,P6*$C$2),MAX((IF(Monthly!M$4=TRUE,Monthly!M$13,Monthly!M$14)*(1+'Attrition Modeling'!$N$8)-'IP Attrition'!P$65)/12*'IP Attrition'!P73,0)))</f>
        <v>0</v>
      </c>
      <c r="R138" s="799">
        <f>IF(EOMONTH(Inputs!$C$8,'IP Attrition'!R$134-1)&lt;=Inputs!$C$9,0,MIN(IF(ISERROR(VLOOKUP(R$134+$F138,$D$135:$D$165,1,FALSE)),0,Q6*$C$2),MAX((IF(Monthly!N$4=TRUE,Monthly!N$13,Monthly!N$14)*(1+'Attrition Modeling'!$N$8)-'IP Attrition'!Q$65)/12*'IP Attrition'!Q73,0)))</f>
        <v>0</v>
      </c>
      <c r="S138" s="799">
        <f>IF(EOMONTH(Inputs!$C$8,'IP Attrition'!S$134-1)&lt;=Inputs!$C$9,0,MIN(IF(ISERROR(VLOOKUP(S$134+$F138,$D$135:$D$165,1,FALSE)),0,R6*$C$2),MAX((IF(Monthly!O$4=TRUE,Monthly!O$13,Monthly!O$14)*(1+'Attrition Modeling'!$N$8)-'IP Attrition'!R$65)/12*'IP Attrition'!R73,0)))</f>
        <v>0</v>
      </c>
      <c r="T138" s="799">
        <f>IF(EOMONTH(Inputs!$C$8,'IP Attrition'!T$134-1)&lt;=Inputs!$C$9,0,MIN(IF(ISERROR(VLOOKUP(T$134+$F138,$D$135:$D$165,1,FALSE)),0,S6*$C$2),MAX((IF(Monthly!P$4=TRUE,Monthly!P$13,Monthly!P$14)*(1+'Attrition Modeling'!$N$8)-'IP Attrition'!S$65)/12*'IP Attrition'!S73,0)))</f>
        <v>0</v>
      </c>
      <c r="U138" s="799">
        <f>IF(EOMONTH(Inputs!$C$8,'IP Attrition'!U$134-1)&lt;=Inputs!$C$9,0,MIN(IF(ISERROR(VLOOKUP(U$134+$F138,$D$135:$D$165,1,FALSE)),0,T6*$C$2),MAX((IF(Monthly!Q$4=TRUE,Monthly!Q$13,Monthly!Q$14)*(1+'Attrition Modeling'!$N$8)-'IP Attrition'!T$65)/12*'IP Attrition'!T73,0)))</f>
        <v>0</v>
      </c>
      <c r="V138" s="799">
        <f>IF(EOMONTH(Inputs!$C$8,'IP Attrition'!V$134-1)&lt;=Inputs!$C$9,0,MIN(IF(ISERROR(VLOOKUP(V$134+$F138,$D$135:$D$165,1,FALSE)),0,U6*$C$2),MAX((IF(Monthly!R$4=TRUE,Monthly!R$13,Monthly!R$14)*(1+'Attrition Modeling'!$N$8)-'IP Attrition'!U$65)/12*'IP Attrition'!U73,0)))</f>
        <v>0</v>
      </c>
      <c r="W138" s="799">
        <f>IF(EOMONTH(Inputs!$C$8,'IP Attrition'!W$134-1)&lt;=Inputs!$C$9,0,MIN(IF(ISERROR(VLOOKUP(W$134+$F138,$D$135:$D$165,1,FALSE)),0,V6*$C$2),MAX((IF(Monthly!S$4=TRUE,Monthly!S$13,Monthly!S$14)*(1+'Attrition Modeling'!$N$8)-'IP Attrition'!V$65)/12*'IP Attrition'!V73,0)))</f>
        <v>0</v>
      </c>
      <c r="X138" s="799">
        <f>IF(EOMONTH(Inputs!$C$8,'IP Attrition'!X$134-1)&lt;=Inputs!$C$9,0,MIN(IF(ISERROR(VLOOKUP(X$134+$F138,$D$135:$D$165,1,FALSE)),0,W6*$C$2),MAX((IF(Monthly!T$4=TRUE,Monthly!T$13,Monthly!T$14)*(1+'Attrition Modeling'!$N$8)-'IP Attrition'!W$65)/12*'IP Attrition'!W73,0)))</f>
        <v>0</v>
      </c>
      <c r="Y138" s="799">
        <f>IF(EOMONTH(Inputs!$C$8,'IP Attrition'!Y$134-1)&lt;=Inputs!$C$9,0,MIN(IF(ISERROR(VLOOKUP(Y$134+$F138,$D$135:$D$165,1,FALSE)),0,X6*$C$2),MAX((IF(Monthly!U$4=TRUE,Monthly!U$13,Monthly!U$14)*(1+'Attrition Modeling'!$N$8)-'IP Attrition'!X$65)/12*'IP Attrition'!X73,0)))</f>
        <v>0</v>
      </c>
      <c r="Z138" s="799">
        <f>IF(EOMONTH(Inputs!$C$8,'IP Attrition'!Z$134-1)&lt;=Inputs!$C$9,0,MIN(IF(ISERROR(VLOOKUP(Z$134+$F138,$D$135:$D$165,1,FALSE)),0,Y6*$C$2),MAX((IF(Monthly!V$4=TRUE,Monthly!V$13,Monthly!V$14)*(1+'Attrition Modeling'!$N$8)-'IP Attrition'!Y$65)/12*'IP Attrition'!Y73,0)))</f>
        <v>0</v>
      </c>
      <c r="AA138" s="799">
        <f>IF(EOMONTH(Inputs!$C$8,'IP Attrition'!AA$134-1)&lt;=Inputs!$C$9,0,MIN(IF(ISERROR(VLOOKUP(AA$134+$F138,$D$135:$D$165,1,FALSE)),0,Z6*$C$2),MAX((IF(Monthly!W$4=TRUE,Monthly!W$13,Monthly!W$14)*(1+'Attrition Modeling'!$N$8)-'IP Attrition'!Z$65)/12*'IP Attrition'!Z73,0)))</f>
        <v>0</v>
      </c>
      <c r="AB138" s="799">
        <f>IF(EOMONTH(Inputs!$C$8,'IP Attrition'!AB$134-1)&lt;=Inputs!$C$9,0,MIN(IF(ISERROR(VLOOKUP(AB$134+$F138,$D$135:$D$165,1,FALSE)),0,AA6*$C$2),MAX((IF(Monthly!X$4=TRUE,Monthly!X$13,Monthly!X$14)*(1+'Attrition Modeling'!$N$8)-'IP Attrition'!AA$65)/12*'IP Attrition'!AA73,0)))</f>
        <v>0</v>
      </c>
      <c r="AC138" s="799">
        <f>IF(EOMONTH(Inputs!$C$8,'IP Attrition'!AC$134-1)&lt;=Inputs!$C$9,0,MIN(IF(ISERROR(VLOOKUP(AC$134+$F138,$D$135:$D$165,1,FALSE)),0,AB6*$C$2),MAX((IF(Monthly!Y$4=TRUE,Monthly!Y$13,Monthly!Y$14)*(1+'Attrition Modeling'!$N$8)-'IP Attrition'!AB$65)/12*'IP Attrition'!AB73,0)))</f>
        <v>0</v>
      </c>
      <c r="AD138" s="799">
        <f>IF(EOMONTH(Inputs!$C$8,'IP Attrition'!AD$134-1)&lt;=Inputs!$C$9,0,MIN(IF(ISERROR(VLOOKUP(AD$134+$F138,$D$135:$D$165,1,FALSE)),0,AC6*$C$2),MAX((IF(Monthly!Z$4=TRUE,Monthly!Z$13,Monthly!Z$14)*(1+'Attrition Modeling'!$N$8)-'IP Attrition'!AC$65)/12*'IP Attrition'!AC73,0)))</f>
        <v>0</v>
      </c>
      <c r="AE138" s="799">
        <f>IF(EOMONTH(Inputs!$C$8,'IP Attrition'!AE$134-1)&lt;=Inputs!$C$9,0,MIN(IF(ISERROR(VLOOKUP(AE$134+$F138,$D$135:$D$165,1,FALSE)),0,AD6*$C$2),MAX((IF(Monthly!AA$4=TRUE,Monthly!AA$13,Monthly!AA$14)*(1+'Attrition Modeling'!$N$8)-'IP Attrition'!AD$65)/12*'IP Attrition'!AD73,0)))</f>
        <v>0</v>
      </c>
      <c r="AF138" s="799">
        <f>IF(EOMONTH(Inputs!$C$8,'IP Attrition'!AF$134-1)&lt;=Inputs!$C$9,0,MIN(IF(ISERROR(VLOOKUP(AF$134+$F138,$D$135:$D$165,1,FALSE)),0,AE6*$C$2),MAX((IF(Monthly!AB$4=TRUE,Monthly!AB$13,Monthly!AB$14)*(1+'Attrition Modeling'!$N$8)-'IP Attrition'!AE$65)/12*'IP Attrition'!AE73,0)))</f>
        <v>0</v>
      </c>
      <c r="AG138" s="799">
        <f>IF(EOMONTH(Inputs!$C$8,'IP Attrition'!AG$134-1)&lt;=Inputs!$C$9,0,MIN(IF(ISERROR(VLOOKUP(AG$134+$F138,$D$135:$D$165,1,FALSE)),0,AF6*$C$2),MAX((IF(Monthly!AC$4=TRUE,Monthly!AC$13,Monthly!AC$14)*(1+'Attrition Modeling'!$N$8)-'IP Attrition'!AF$65)/12*'IP Attrition'!AF73,0)))</f>
        <v>0</v>
      </c>
      <c r="AH138" s="799">
        <f>IF(EOMONTH(Inputs!$C$8,'IP Attrition'!AH$134-1)&lt;=Inputs!$C$9,0,MIN(IF(ISERROR(VLOOKUP(AH$134+$F138,$D$135:$D$165,1,FALSE)),0,AG6*$C$2),MAX((IF(Monthly!AD$4=TRUE,Monthly!AD$13,Monthly!AD$14)*(1+'Attrition Modeling'!$N$8)-'IP Attrition'!AG$65)/12*'IP Attrition'!AG73,0)))</f>
        <v>0</v>
      </c>
      <c r="AI138" s="799">
        <f>IF(EOMONTH(Inputs!$C$8,'IP Attrition'!AI$134-1)&lt;=Inputs!$C$9,0,MIN(IF(ISERROR(VLOOKUP(AI$134+$F138,$D$135:$D$165,1,FALSE)),0,AH6*$C$2),MAX((IF(Monthly!AE$4=TRUE,Monthly!AE$13,Monthly!AE$14)*(1+'Attrition Modeling'!$N$8)-'IP Attrition'!AH$65)/12*'IP Attrition'!AH73,0)))</f>
        <v>0</v>
      </c>
      <c r="AJ138" s="799">
        <f>IF(EOMONTH(Inputs!$C$8,'IP Attrition'!AJ$134-1)&lt;=Inputs!$C$9,0,MIN(IF(ISERROR(VLOOKUP(AJ$134+$F138,$D$135:$D$165,1,FALSE)),0,AI6*$C$2),MAX((IF(Monthly!AF$4=TRUE,Monthly!AF$13,Monthly!AF$14)*(1+'Attrition Modeling'!$N$8)-'IP Attrition'!AI$65)/12*'IP Attrition'!AI73,0)))</f>
        <v>0</v>
      </c>
      <c r="AK138" s="799">
        <f>IF(EOMONTH(Inputs!$C$8,'IP Attrition'!AK$134-1)&lt;=Inputs!$C$9,0,MIN(IF(ISERROR(VLOOKUP(AK$134+$F138,$D$135:$D$165,1,FALSE)),0,AJ6*$C$2),MAX((IF(Monthly!AG$4=TRUE,Monthly!AG$13,Monthly!AG$14)*(1+'Attrition Modeling'!$N$8)-'IP Attrition'!AJ$65)/12*'IP Attrition'!AJ73,0)))</f>
        <v>0</v>
      </c>
      <c r="AL138" s="799">
        <f>IF(EOMONTH(Inputs!$C$8,'IP Attrition'!AL$134-1)&lt;=Inputs!$C$9,0,MIN(IF(ISERROR(VLOOKUP(AL$134+$F138,$D$135:$D$165,1,FALSE)),0,AK6*$C$2),MAX((IF(Monthly!AH$4=TRUE,Monthly!AH$13,Monthly!AH$14)*(1+'Attrition Modeling'!$N$8)-'IP Attrition'!AK$65)/12*'IP Attrition'!AK73,0)))</f>
        <v>0</v>
      </c>
      <c r="AM138" s="799">
        <f>IF(EOMONTH(Inputs!$C$8,'IP Attrition'!AM$134-1)&lt;=Inputs!$C$9,0,MIN(IF(ISERROR(VLOOKUP(AM$134+$F138,$D$135:$D$165,1,FALSE)),0,AL6*$C$2),MAX((IF(Monthly!AI$4=TRUE,Monthly!AI$13,Monthly!AI$14)*(1+'Attrition Modeling'!$N$8)-'IP Attrition'!AL$65)/12*'IP Attrition'!AL73,0)))</f>
        <v>0</v>
      </c>
      <c r="AN138" s="799">
        <f>IF(EOMONTH(Inputs!$C$8,'IP Attrition'!AN$134-1)&lt;=Inputs!$C$9,0,MIN(IF(ISERROR(VLOOKUP(AN$134+$F138,$D$135:$D$165,1,FALSE)),0,AM6*$C$2),MAX((IF(Monthly!AJ$4=TRUE,Monthly!AJ$13,Monthly!AJ$14)*(1+'Attrition Modeling'!$N$8)-'IP Attrition'!AM$65)/12*'IP Attrition'!AM73,0)))</f>
        <v>0</v>
      </c>
      <c r="AO138" s="799">
        <f>IF(EOMONTH(Inputs!$C$8,'IP Attrition'!AO$134-1)&lt;=Inputs!$C$9,0,MIN(IF(ISERROR(VLOOKUP(AO$134+$F138,$D$135:$D$165,1,FALSE)),0,AN6*$C$2),MAX((IF(Monthly!AK$4=TRUE,Monthly!AK$13,Monthly!AK$14)*(1+'Attrition Modeling'!$N$8)-'IP Attrition'!AN$65)/12*'IP Attrition'!AN73,0)))</f>
        <v>0</v>
      </c>
      <c r="AP138" s="799">
        <f>IF(EOMONTH(Inputs!$C$8,'IP Attrition'!AP$134-1)&lt;=Inputs!$C$9,0,MIN(IF(ISERROR(VLOOKUP(AP$134+$F138,$D$135:$D$165,1,FALSE)),0,AO6*$C$2),MAX((IF(Monthly!AL$4=TRUE,Monthly!AL$13,Monthly!AL$14)*(1+'Attrition Modeling'!$N$8)-'IP Attrition'!AO$65)/12*'IP Attrition'!AO73,0)))</f>
        <v>0</v>
      </c>
      <c r="AQ138" s="799">
        <f>IF(EOMONTH(Inputs!$C$8,'IP Attrition'!AQ$134-1)&lt;=Inputs!$C$9,0,MIN(IF(ISERROR(VLOOKUP(AQ$134+$F138,$D$135:$D$165,1,FALSE)),0,AP6*$C$2),MAX((IF(Monthly!AM$4=TRUE,Monthly!AM$13,Monthly!AM$14)*(1+'Attrition Modeling'!$N$8)-'IP Attrition'!AP$65)/12*'IP Attrition'!AP73,0)))</f>
        <v>0</v>
      </c>
      <c r="AR138" s="799">
        <f>IF(EOMONTH(Inputs!$C$8,'IP Attrition'!AR$134-1)&lt;=Inputs!$C$9,0,MIN(IF(ISERROR(VLOOKUP(AR$134+$F138,$D$135:$D$165,1,FALSE)),0,AQ6*$C$2),MAX((IF(Monthly!AN$4=TRUE,Monthly!AN$13,Monthly!AN$14)*(1+'Attrition Modeling'!$N$8)-'IP Attrition'!AQ$65)/12*'IP Attrition'!AQ73,0)))</f>
        <v>0</v>
      </c>
      <c r="AS138" s="799">
        <f>IF(EOMONTH(Inputs!$C$8,'IP Attrition'!AS$134-1)&lt;=Inputs!$C$9,0,MIN(IF(ISERROR(VLOOKUP(AS$134+$F138,$D$135:$D$165,1,FALSE)),0,AR6*$C$2),MAX((IF(Monthly!AO$4=TRUE,Monthly!AO$13,Monthly!AO$14)*(1+'Attrition Modeling'!$N$8)-'IP Attrition'!AR$65)/12*'IP Attrition'!AR73,0)))</f>
        <v>0</v>
      </c>
      <c r="AT138" s="799">
        <f>IF(EOMONTH(Inputs!$C$8,'IP Attrition'!AT$134-1)&lt;=Inputs!$C$9,0,MIN(IF(ISERROR(VLOOKUP(AT$134+$F138,$D$135:$D$165,1,FALSE)),0,AS6*$C$2),MAX((IF(Monthly!AP$4=TRUE,Monthly!AP$13,Monthly!AP$14)*(1+'Attrition Modeling'!$N$8)-'IP Attrition'!AS$65)/12*'IP Attrition'!AS73,0)))</f>
        <v>0</v>
      </c>
      <c r="AU138" s="799">
        <f>IF(EOMONTH(Inputs!$C$8,'IP Attrition'!AU$134-1)&lt;=Inputs!$C$9,0,MIN(IF(ISERROR(VLOOKUP(AU$134+$F138,$D$135:$D$165,1,FALSE)),0,AT6*$C$2),MAX((IF(Monthly!AQ$4=TRUE,Monthly!AQ$13,Monthly!AQ$14)*(1+'Attrition Modeling'!$N$8)-'IP Attrition'!AT$65)/12*'IP Attrition'!AT73,0)))</f>
        <v>0</v>
      </c>
      <c r="AV138" s="799">
        <f>IF(EOMONTH(Inputs!$C$8,'IP Attrition'!AV$134-1)&lt;=Inputs!$C$9,0,MIN(IF(ISERROR(VLOOKUP(AV$134+$F138,$D$135:$D$165,1,FALSE)),0,AU6*$C$2),MAX((IF(Monthly!AR$4=TRUE,Monthly!AR$13,Monthly!AR$14)*(1+'Attrition Modeling'!$N$8)-'IP Attrition'!AU$65)/12*'IP Attrition'!AU73,0)))</f>
        <v>0</v>
      </c>
      <c r="AW138" s="799">
        <f>IF(EOMONTH(Inputs!$C$8,'IP Attrition'!AW$134-1)&lt;=Inputs!$C$9,0,MIN(IF(ISERROR(VLOOKUP(AW$134+$F138,$D$135:$D$165,1,FALSE)),0,AV6*$C$2),MAX((IF(Monthly!AS$4=TRUE,Monthly!AS$13,Monthly!AS$14)*(1+'Attrition Modeling'!$N$8)-'IP Attrition'!AV$65)/12*'IP Attrition'!AV73,0)))</f>
        <v>0</v>
      </c>
      <c r="AX138" s="799">
        <f>IF(EOMONTH(Inputs!$C$8,'IP Attrition'!AX$134-1)&lt;=Inputs!$C$9,0,MIN(IF(ISERROR(VLOOKUP(AX$134+$F138,$D$135:$D$165,1,FALSE)),0,AW6*$C$2),MAX((IF(Monthly!AT$4=TRUE,Monthly!AT$13,Monthly!AT$14)*(1+'Attrition Modeling'!$N$8)-'IP Attrition'!AW$65)/12*'IP Attrition'!AW73,0)))</f>
        <v>0</v>
      </c>
      <c r="AY138" s="799">
        <f>IF(EOMONTH(Inputs!$C$8,'IP Attrition'!AY$134-1)&lt;=Inputs!$C$9,0,MIN(IF(ISERROR(VLOOKUP(AY$134+$F138,$D$135:$D$165,1,FALSE)),0,AX6*$C$2),MAX((IF(Monthly!AU$4=TRUE,Monthly!AU$13,Monthly!AU$14)*(1+'Attrition Modeling'!$N$8)-'IP Attrition'!AX$65)/12*'IP Attrition'!AX73,0)))</f>
        <v>0</v>
      </c>
      <c r="AZ138" s="799">
        <f>IF(EOMONTH(Inputs!$C$8,'IP Attrition'!AZ$134-1)&lt;=Inputs!$C$9,0,MIN(IF(ISERROR(VLOOKUP(AZ$134+$F138,$D$135:$D$165,1,FALSE)),0,AY6*$C$2),MAX((IF(Monthly!AV$4=TRUE,Monthly!AV$13,Monthly!AV$14)*(1+'Attrition Modeling'!$N$8)-'IP Attrition'!AY$65)/12*'IP Attrition'!AY73,0)))</f>
        <v>0</v>
      </c>
      <c r="BA138" s="799">
        <f>IF(EOMONTH(Inputs!$C$8,'IP Attrition'!BA$134-1)&lt;=Inputs!$C$9,0,MIN(IF(ISERROR(VLOOKUP(BA$134+$F138,$D$135:$D$165,1,FALSE)),0,AZ6*$C$2),MAX((IF(Monthly!AW$4=TRUE,Monthly!AW$13,Monthly!AW$14)*(1+'Attrition Modeling'!$N$8)-'IP Attrition'!AZ$65)/12*'IP Attrition'!AZ73,0)))</f>
        <v>0</v>
      </c>
      <c r="BB138" s="799">
        <f>IF(EOMONTH(Inputs!$C$8,'IP Attrition'!BB$134-1)&lt;=Inputs!$C$9,0,MIN(IF(ISERROR(VLOOKUP(BB$134+$F138,$D$135:$D$165,1,FALSE)),0,BA6*$C$2),MAX((IF(Monthly!AX$4=TRUE,Monthly!AX$13,Monthly!AX$14)*(1+'Attrition Modeling'!$N$8)-'IP Attrition'!BA$65)/12*'IP Attrition'!BA73,0)))</f>
        <v>0</v>
      </c>
      <c r="BC138" s="799">
        <f>IF(EOMONTH(Inputs!$C$8,'IP Attrition'!BC$134-1)&lt;=Inputs!$C$9,0,MIN(IF(ISERROR(VLOOKUP(BC$134+$F138,$D$135:$D$165,1,FALSE)),0,BB6*$C$2),MAX((IF(Monthly!AY$4=TRUE,Monthly!AY$13,Monthly!AY$14)*(1+'Attrition Modeling'!$N$8)-'IP Attrition'!BB$65)/12*'IP Attrition'!BB73,0)))</f>
        <v>0</v>
      </c>
      <c r="BD138" s="799">
        <f>IF(EOMONTH(Inputs!$C$8,'IP Attrition'!BD$134-1)&lt;=Inputs!$C$9,0,MIN(IF(ISERROR(VLOOKUP(BD$134+$F138,$D$135:$D$165,1,FALSE)),0,BC6*$C$2),MAX((IF(Monthly!AZ$4=TRUE,Monthly!AZ$13,Monthly!AZ$14)*(1+'Attrition Modeling'!$N$8)-'IP Attrition'!BC$65)/12*'IP Attrition'!BC73,0)))</f>
        <v>0</v>
      </c>
      <c r="BE138" s="799">
        <f>IF(EOMONTH(Inputs!$C$8,'IP Attrition'!BE$134-1)&lt;=Inputs!$C$9,0,MIN(IF(ISERROR(VLOOKUP(BE$134+$F138,$D$135:$D$165,1,FALSE)),0,BD6*$C$2),MAX((IF(Monthly!BA$4=TRUE,Monthly!BA$13,Monthly!BA$14)*(1+'Attrition Modeling'!$N$8)-'IP Attrition'!BD$65)/12*'IP Attrition'!BD73,0)))</f>
        <v>0</v>
      </c>
      <c r="BF138" s="799">
        <f>IF(EOMONTH(Inputs!$C$8,'IP Attrition'!BF$134-1)&lt;=Inputs!$C$9,0,MIN(IF(ISERROR(VLOOKUP(BF$134+$F138,$D$135:$D$165,1,FALSE)),0,BE6*$C$2),MAX((IF(Monthly!BB$4=TRUE,Monthly!BB$13,Monthly!BB$14)*(1+'Attrition Modeling'!$N$8)-'IP Attrition'!BE$65)/12*'IP Attrition'!BE73,0)))</f>
        <v>0</v>
      </c>
      <c r="BG138" s="799">
        <f>IF(EOMONTH(Inputs!$C$8,'IP Attrition'!BG$134-1)&lt;=Inputs!$C$9,0,MIN(IF(ISERROR(VLOOKUP(BG$134+$F138,$D$135:$D$165,1,FALSE)),0,BF6*$C$2),MAX((IF(Monthly!BC$4=TRUE,Monthly!BC$13,Monthly!BC$14)*(1+'Attrition Modeling'!$N$8)-'IP Attrition'!BF$65)/12*'IP Attrition'!BF73,0)))</f>
        <v>0</v>
      </c>
      <c r="BH138" s="799">
        <f>IF(EOMONTH(Inputs!$C$8,'IP Attrition'!BH$134-1)&lt;=Inputs!$C$9,0,MIN(IF(ISERROR(VLOOKUP(BH$134+$F138,$D$135:$D$165,1,FALSE)),0,BG6*$C$2),MAX((IF(Monthly!BD$4=TRUE,Monthly!BD$13,Monthly!BD$14)*(1+'Attrition Modeling'!$N$8)-'IP Attrition'!BG$65)/12*'IP Attrition'!BG73,0)))</f>
        <v>0</v>
      </c>
      <c r="BI138" s="799">
        <f>IF(EOMONTH(Inputs!$C$8,'IP Attrition'!BI$134-1)&lt;=Inputs!$C$9,0,MIN(IF(ISERROR(VLOOKUP(BI$134+$F138,$D$135:$D$165,1,FALSE)),0,BH6*$C$2),MAX((IF(Monthly!BE$4=TRUE,Monthly!BE$13,Monthly!BE$14)*(1+'Attrition Modeling'!$N$8)-'IP Attrition'!BH$65)/12*'IP Attrition'!BH73,0)))</f>
        <v>0</v>
      </c>
      <c r="BJ138" s="799">
        <f>IF(EOMONTH(Inputs!$C$8,'IP Attrition'!BJ$134-1)&lt;=Inputs!$C$9,0,MIN(IF(ISERROR(VLOOKUP(BJ$134+$F138,$D$135:$D$165,1,FALSE)),0,BI6*$C$2),MAX((IF(Monthly!BF$4=TRUE,Monthly!BF$13,Monthly!BF$14)*(1+'Attrition Modeling'!$N$8)-'IP Attrition'!BI$65)/12*'IP Attrition'!BI73,0)))</f>
        <v>0</v>
      </c>
      <c r="BK138" s="799">
        <f>IF(EOMONTH(Inputs!$C$8,'IP Attrition'!BK$134-1)&lt;=Inputs!$C$9,0,MIN(IF(ISERROR(VLOOKUP(BK$134+$F138,$D$135:$D$165,1,FALSE)),0,BJ6*$C$2),MAX((IF(Monthly!BG$4=TRUE,Monthly!BG$13,Monthly!BG$14)*(1+'Attrition Modeling'!$N$8)-'IP Attrition'!BJ$65)/12*'IP Attrition'!BJ73,0)))</f>
        <v>0</v>
      </c>
      <c r="BL138" s="799">
        <f>IF(EOMONTH(Inputs!$C$8,'IP Attrition'!BL$134-1)&lt;=Inputs!$C$9,0,MIN(IF(ISERROR(VLOOKUP(BL$134+$F138,$D$135:$D$165,1,FALSE)),0,BK6*$C$2),MAX((IF(Monthly!BH$4=TRUE,Monthly!BH$13,Monthly!BH$14)*(1+'Attrition Modeling'!$N$8)-'IP Attrition'!BK$65)/12*'IP Attrition'!BK73,0)))</f>
        <v>0</v>
      </c>
      <c r="BM138" s="799">
        <f>IF(EOMONTH(Inputs!$C$8,'IP Attrition'!BM$134-1)&lt;=Inputs!$C$9,0,MIN(IF(ISERROR(VLOOKUP(BM$134+$F138,$D$135:$D$165,1,FALSE)),0,BL6*$C$2),MAX((IF(Monthly!BI$4=TRUE,Monthly!BI$13,Monthly!BI$14)*(1+'Attrition Modeling'!$N$8)-'IP Attrition'!BL$65)/12*'IP Attrition'!BL73,0)))</f>
        <v>0</v>
      </c>
      <c r="BN138" s="799">
        <f>IF(EOMONTH(Inputs!$C$8,'IP Attrition'!BN$134-1)&lt;=Inputs!$C$9,0,MIN(IF(ISERROR(VLOOKUP(BN$134+$F138,$D$135:$D$165,1,FALSE)),0,BM6*$C$2),MAX((IF(Monthly!BJ$4=TRUE,Monthly!BJ$13,Monthly!BJ$14)*(1+'Attrition Modeling'!$N$8)-'IP Attrition'!BM$65)/12*'IP Attrition'!BM73,0)))</f>
        <v>0</v>
      </c>
      <c r="BO138" s="799">
        <f>IF(EOMONTH(Inputs!$C$8,'IP Attrition'!BO$134-1)&lt;=Inputs!$C$9,0,MIN(IF(ISERROR(VLOOKUP(BO$134+$F138,$D$135:$D$165,1,FALSE)),0,BN6*$C$2),MAX((IF(Monthly!BK$4=TRUE,Monthly!BK$13,Monthly!BK$14)*(1+'Attrition Modeling'!$N$8)-'IP Attrition'!BN$65)/12*'IP Attrition'!BN73,0)))</f>
        <v>0</v>
      </c>
      <c r="BP138" s="799">
        <f>IF(EOMONTH(Inputs!$C$8,'IP Attrition'!BP$134-1)&lt;=Inputs!$C$9,0,MIN(IF(ISERROR(VLOOKUP(BP$134+$F138,$D$135:$D$165,1,FALSE)),0,BO6*$C$2),MAX((IF(Monthly!BL$4=TRUE,Monthly!BL$13,Monthly!BL$14)*(1+'Attrition Modeling'!$N$8)-'IP Attrition'!BO$65)/12*'IP Attrition'!BO73,0)))</f>
        <v>0</v>
      </c>
      <c r="BQ138" s="799">
        <f>IF(EOMONTH(Inputs!$C$8,'IP Attrition'!BQ$134-1)&lt;=Inputs!$C$9,0,MIN(IF(ISERROR(VLOOKUP(BQ$134+$F138,$D$135:$D$165,1,FALSE)),0,BP6*$C$2),MAX((IF(Monthly!BM$4=TRUE,Monthly!BM$13,Monthly!BM$14)*(1+'Attrition Modeling'!$N$8)-'IP Attrition'!BP$65)/12*'IP Attrition'!BP73,0)))</f>
        <v>0</v>
      </c>
      <c r="BR138" s="799">
        <f>IF(EOMONTH(Inputs!$C$8,'IP Attrition'!BR$134-1)&lt;=Inputs!$C$9,0,MIN(IF(ISERROR(VLOOKUP(BR$134+$F138,$D$135:$D$165,1,FALSE)),0,BQ6*$C$2),MAX((IF(Monthly!BN$4=TRUE,Monthly!BN$13,Monthly!BN$14)*(1+'Attrition Modeling'!$N$8)-'IP Attrition'!BQ$65)/12*'IP Attrition'!BQ73,0)))</f>
        <v>0</v>
      </c>
      <c r="BS138" s="799">
        <f>IF(EOMONTH(Inputs!$C$8,'IP Attrition'!BS$134-1)&lt;=Inputs!$C$9,0,MIN(IF(ISERROR(VLOOKUP(BS$134+$F138,$D$135:$D$165,1,FALSE)),0,BR6*$C$2),MAX((IF(Monthly!BO$4=TRUE,Monthly!BO$13,Monthly!BO$14)*(1+'Attrition Modeling'!$N$8)-'IP Attrition'!BR$65)/12*'IP Attrition'!BR73,0)))</f>
        <v>0</v>
      </c>
      <c r="BT138" s="799" t="e">
        <f>IF(EOMONTH(Inputs!$C$8,'IP Attrition'!BT$134-1)&lt;=Inputs!$C$9,0,MIN(IF(ISERROR(VLOOKUP(BT$134+$F138,$D$135:$D$165,1,FALSE)),0,BS6*$C$2),MAX((IF(Monthly!#REF!=TRUE,Monthly!#REF!,Monthly!#REF!)*(1+'Attrition Modeling'!$N$8)-'IP Attrition'!BS$65)/12*'IP Attrition'!BS73,0)))</f>
        <v>#REF!</v>
      </c>
      <c r="BU138" s="799" t="e">
        <f>IF(EOMONTH(Inputs!$C$8,'IP Attrition'!BU$134-1)&lt;=Inputs!$C$9,0,MIN(IF(ISERROR(VLOOKUP(BU$134+$F138,$D$135:$D$165,1,FALSE)),0,BT6*$C$2),MAX((IF(Monthly!#REF!=TRUE,Monthly!#REF!,Monthly!#REF!)*(1+'Attrition Modeling'!$N$8)-'IP Attrition'!BT$65)/12*'IP Attrition'!BT73,0)))</f>
        <v>#REF!</v>
      </c>
    </row>
    <row r="139" spans="1:73" ht="14.25" customHeight="1" x14ac:dyDescent="0.2">
      <c r="A139" s="9">
        <v>132</v>
      </c>
      <c r="B139" s="25">
        <f>MAX('Attrition Modeling'!H136,$C$3)*(1-Summary!$C$20)</f>
        <v>0.02</v>
      </c>
      <c r="C139" s="24" t="e">
        <f t="shared" si="3"/>
        <v>#DIV/0!</v>
      </c>
      <c r="D139" s="11">
        <f t="shared" si="72"/>
        <v>54</v>
      </c>
      <c r="E139" s="25">
        <f t="shared" si="71"/>
        <v>0.15294356027295372</v>
      </c>
      <c r="F139" s="11">
        <f t="shared" si="73"/>
        <v>4</v>
      </c>
      <c r="G139" s="799"/>
      <c r="H139" s="799">
        <f>IF(EOMONTH(Inputs!$C$8,'IP Attrition'!H$134-1)&lt;=Inputs!$C$9,0,MIN(IF(ISERROR(VLOOKUP(H$134+$F139,$D$135:$D$165,1,FALSE)),0,G7*$C$2),MAX((IF(Monthly!D$4=TRUE,Monthly!D$13,Monthly!D$14)*(1+'Attrition Modeling'!$N$8)-'IP Attrition'!G$65)/12*'IP Attrition'!G74,0)))</f>
        <v>0</v>
      </c>
      <c r="I139" s="799">
        <f>IF(EOMONTH(Inputs!$C$8,'IP Attrition'!I$134-1)&lt;=Inputs!$C$9,0,MIN(IF(ISERROR(VLOOKUP(I$134+$F139,$D$135:$D$165,1,FALSE)),0,H7*$C$2),MAX((IF(Monthly!E$4=TRUE,Monthly!E$13,Monthly!E$14)*(1+'Attrition Modeling'!$N$8)-'IP Attrition'!H$65)/12*'IP Attrition'!H74,0)))</f>
        <v>0</v>
      </c>
      <c r="J139" s="799">
        <f>IF(EOMONTH(Inputs!$C$8,'IP Attrition'!J$134-1)&lt;=Inputs!$C$9,0,MIN(IF(ISERROR(VLOOKUP(J$134+$F139,$D$135:$D$165,1,FALSE)),0,I7*$C$2),MAX((IF(Monthly!F$4=TRUE,Monthly!F$13,Monthly!F$14)*(1+'Attrition Modeling'!$N$8)-'IP Attrition'!I$65)/12*'IP Attrition'!I74,0)))</f>
        <v>0</v>
      </c>
      <c r="K139" s="799">
        <f>IF(EOMONTH(Inputs!$C$8,'IP Attrition'!K$134-1)&lt;=Inputs!$C$9,0,MIN(IF(ISERROR(VLOOKUP(K$134+$F139,$D$135:$D$165,1,FALSE)),0,J7*$C$2),MAX((IF(Monthly!G$4=TRUE,Monthly!G$13,Monthly!G$14)*(1+'Attrition Modeling'!$N$8)-'IP Attrition'!J$65)/12*'IP Attrition'!J74,0)))</f>
        <v>0</v>
      </c>
      <c r="L139" s="799">
        <f>IF(EOMONTH(Inputs!$C$8,'IP Attrition'!L$134-1)&lt;=Inputs!$C$9,0,MIN(IF(ISERROR(VLOOKUP(L$134+$F139,$D$135:$D$165,1,FALSE)),0,K7*$C$2),MAX((IF(Monthly!H$4=TRUE,Monthly!H$13,Monthly!H$14)*(1+'Attrition Modeling'!$N$8)-'IP Attrition'!K$65)/12*'IP Attrition'!K74,0)))</f>
        <v>0</v>
      </c>
      <c r="M139" s="799">
        <f>IF(EOMONTH(Inputs!$C$8,'IP Attrition'!M$134-1)&lt;=Inputs!$C$9,0,MIN(IF(ISERROR(VLOOKUP(M$134+$F139,$D$135:$D$165,1,FALSE)),0,L7*$C$2),MAX((IF(Monthly!I$4=TRUE,Monthly!I$13,Monthly!I$14)*(1+'Attrition Modeling'!$N$8)-'IP Attrition'!L$65)/12*'IP Attrition'!L74,0)))</f>
        <v>0</v>
      </c>
      <c r="N139" s="799">
        <f>IF(EOMONTH(Inputs!$C$8,'IP Attrition'!N$134-1)&lt;=Inputs!$C$9,0,MIN(IF(ISERROR(VLOOKUP(N$134+$F139,$D$135:$D$165,1,FALSE)),0,M7*$C$2),MAX((IF(Monthly!J$4=TRUE,Monthly!J$13,Monthly!J$14)*(1+'Attrition Modeling'!$N$8)-'IP Attrition'!M$65)/12*'IP Attrition'!M74,0)))</f>
        <v>0</v>
      </c>
      <c r="O139" s="799">
        <f>IF(EOMONTH(Inputs!$C$8,'IP Attrition'!O$134-1)&lt;=Inputs!$C$9,0,MIN(IF(ISERROR(VLOOKUP(O$134+$F139,$D$135:$D$165,1,FALSE)),0,N7*$C$2),MAX((IF(Monthly!K$4=TRUE,Monthly!K$13,Monthly!K$14)*(1+'Attrition Modeling'!$N$8)-'IP Attrition'!N$65)/12*'IP Attrition'!N74,0)))</f>
        <v>0</v>
      </c>
      <c r="P139" s="799">
        <f>IF(EOMONTH(Inputs!$C$8,'IP Attrition'!P$134-1)&lt;=Inputs!$C$9,0,MIN(IF(ISERROR(VLOOKUP(P$134+$F139,$D$135:$D$165,1,FALSE)),0,O7*$C$2),MAX((IF(Monthly!L$4=TRUE,Monthly!L$13,Monthly!L$14)*(1+'Attrition Modeling'!$N$8)-'IP Attrition'!O$65)/12*'IP Attrition'!O74,0)))</f>
        <v>0</v>
      </c>
      <c r="Q139" s="799">
        <f>IF(EOMONTH(Inputs!$C$8,'IP Attrition'!Q$134-1)&lt;=Inputs!$C$9,0,MIN(IF(ISERROR(VLOOKUP(Q$134+$F139,$D$135:$D$165,1,FALSE)),0,P7*$C$2),MAX((IF(Monthly!M$4=TRUE,Monthly!M$13,Monthly!M$14)*(1+'Attrition Modeling'!$N$8)-'IP Attrition'!P$65)/12*'IP Attrition'!P74,0)))</f>
        <v>0</v>
      </c>
      <c r="R139" s="799">
        <f>IF(EOMONTH(Inputs!$C$8,'IP Attrition'!R$134-1)&lt;=Inputs!$C$9,0,MIN(IF(ISERROR(VLOOKUP(R$134+$F139,$D$135:$D$165,1,FALSE)),0,Q7*$C$2),MAX((IF(Monthly!N$4=TRUE,Monthly!N$13,Monthly!N$14)*(1+'Attrition Modeling'!$N$8)-'IP Attrition'!Q$65)/12*'IP Attrition'!Q74,0)))</f>
        <v>0</v>
      </c>
      <c r="S139" s="799">
        <f>IF(EOMONTH(Inputs!$C$8,'IP Attrition'!S$134-1)&lt;=Inputs!$C$9,0,MIN(IF(ISERROR(VLOOKUP(S$134+$F139,$D$135:$D$165,1,FALSE)),0,R7*$C$2),MAX((IF(Monthly!O$4=TRUE,Monthly!O$13,Monthly!O$14)*(1+'Attrition Modeling'!$N$8)-'IP Attrition'!R$65)/12*'IP Attrition'!R74,0)))</f>
        <v>0</v>
      </c>
      <c r="T139" s="799">
        <f>IF(EOMONTH(Inputs!$C$8,'IP Attrition'!T$134-1)&lt;=Inputs!$C$9,0,MIN(IF(ISERROR(VLOOKUP(T$134+$F139,$D$135:$D$165,1,FALSE)),0,S7*$C$2),MAX((IF(Monthly!P$4=TRUE,Monthly!P$13,Monthly!P$14)*(1+'Attrition Modeling'!$N$8)-'IP Attrition'!S$65)/12*'IP Attrition'!S74,0)))</f>
        <v>0</v>
      </c>
      <c r="U139" s="799">
        <f>IF(EOMONTH(Inputs!$C$8,'IP Attrition'!U$134-1)&lt;=Inputs!$C$9,0,MIN(IF(ISERROR(VLOOKUP(U$134+$F139,$D$135:$D$165,1,FALSE)),0,T7*$C$2),MAX((IF(Monthly!Q$4=TRUE,Monthly!Q$13,Monthly!Q$14)*(1+'Attrition Modeling'!$N$8)-'IP Attrition'!T$65)/12*'IP Attrition'!T74,0)))</f>
        <v>0</v>
      </c>
      <c r="V139" s="799">
        <f>IF(EOMONTH(Inputs!$C$8,'IP Attrition'!V$134-1)&lt;=Inputs!$C$9,0,MIN(IF(ISERROR(VLOOKUP(V$134+$F139,$D$135:$D$165,1,FALSE)),0,U7*$C$2),MAX((IF(Monthly!R$4=TRUE,Monthly!R$13,Monthly!R$14)*(1+'Attrition Modeling'!$N$8)-'IP Attrition'!U$65)/12*'IP Attrition'!U74,0)))</f>
        <v>0</v>
      </c>
      <c r="W139" s="799">
        <f>IF(EOMONTH(Inputs!$C$8,'IP Attrition'!W$134-1)&lt;=Inputs!$C$9,0,MIN(IF(ISERROR(VLOOKUP(W$134+$F139,$D$135:$D$165,1,FALSE)),0,V7*$C$2),MAX((IF(Monthly!S$4=TRUE,Monthly!S$13,Monthly!S$14)*(1+'Attrition Modeling'!$N$8)-'IP Attrition'!V$65)/12*'IP Attrition'!V74,0)))</f>
        <v>0</v>
      </c>
      <c r="X139" s="799">
        <f>IF(EOMONTH(Inputs!$C$8,'IP Attrition'!X$134-1)&lt;=Inputs!$C$9,0,MIN(IF(ISERROR(VLOOKUP(X$134+$F139,$D$135:$D$165,1,FALSE)),0,W7*$C$2),MAX((IF(Monthly!T$4=TRUE,Monthly!T$13,Monthly!T$14)*(1+'Attrition Modeling'!$N$8)-'IP Attrition'!W$65)/12*'IP Attrition'!W74,0)))</f>
        <v>0</v>
      </c>
      <c r="Y139" s="799">
        <f>IF(EOMONTH(Inputs!$C$8,'IP Attrition'!Y$134-1)&lt;=Inputs!$C$9,0,MIN(IF(ISERROR(VLOOKUP(Y$134+$F139,$D$135:$D$165,1,FALSE)),0,X7*$C$2),MAX((IF(Monthly!U$4=TRUE,Monthly!U$13,Monthly!U$14)*(1+'Attrition Modeling'!$N$8)-'IP Attrition'!X$65)/12*'IP Attrition'!X74,0)))</f>
        <v>0</v>
      </c>
      <c r="Z139" s="799">
        <f>IF(EOMONTH(Inputs!$C$8,'IP Attrition'!Z$134-1)&lt;=Inputs!$C$9,0,MIN(IF(ISERROR(VLOOKUP(Z$134+$F139,$D$135:$D$165,1,FALSE)),0,Y7*$C$2),MAX((IF(Monthly!V$4=TRUE,Monthly!V$13,Monthly!V$14)*(1+'Attrition Modeling'!$N$8)-'IP Attrition'!Y$65)/12*'IP Attrition'!Y74,0)))</f>
        <v>0</v>
      </c>
      <c r="AA139" s="799">
        <f>IF(EOMONTH(Inputs!$C$8,'IP Attrition'!AA$134-1)&lt;=Inputs!$C$9,0,MIN(IF(ISERROR(VLOOKUP(AA$134+$F139,$D$135:$D$165,1,FALSE)),0,Z7*$C$2),MAX((IF(Monthly!W$4=TRUE,Monthly!W$13,Monthly!W$14)*(1+'Attrition Modeling'!$N$8)-'IP Attrition'!Z$65)/12*'IP Attrition'!Z74,0)))</f>
        <v>0</v>
      </c>
      <c r="AB139" s="799">
        <f>IF(EOMONTH(Inputs!$C$8,'IP Attrition'!AB$134-1)&lt;=Inputs!$C$9,0,MIN(IF(ISERROR(VLOOKUP(AB$134+$F139,$D$135:$D$165,1,FALSE)),0,AA7*$C$2),MAX((IF(Monthly!X$4=TRUE,Monthly!X$13,Monthly!X$14)*(1+'Attrition Modeling'!$N$8)-'IP Attrition'!AA$65)/12*'IP Attrition'!AA74,0)))</f>
        <v>0</v>
      </c>
      <c r="AC139" s="799">
        <f>IF(EOMONTH(Inputs!$C$8,'IP Attrition'!AC$134-1)&lt;=Inputs!$C$9,0,MIN(IF(ISERROR(VLOOKUP(AC$134+$F139,$D$135:$D$165,1,FALSE)),0,AB7*$C$2),MAX((IF(Monthly!Y$4=TRUE,Monthly!Y$13,Monthly!Y$14)*(1+'Attrition Modeling'!$N$8)-'IP Attrition'!AB$65)/12*'IP Attrition'!AB74,0)))</f>
        <v>0</v>
      </c>
      <c r="AD139" s="799">
        <f>IF(EOMONTH(Inputs!$C$8,'IP Attrition'!AD$134-1)&lt;=Inputs!$C$9,0,MIN(IF(ISERROR(VLOOKUP(AD$134+$F139,$D$135:$D$165,1,FALSE)),0,AC7*$C$2),MAX((IF(Monthly!Z$4=TRUE,Monthly!Z$13,Monthly!Z$14)*(1+'Attrition Modeling'!$N$8)-'IP Attrition'!AC$65)/12*'IP Attrition'!AC74,0)))</f>
        <v>0</v>
      </c>
      <c r="AE139" s="799">
        <f>IF(EOMONTH(Inputs!$C$8,'IP Attrition'!AE$134-1)&lt;=Inputs!$C$9,0,MIN(IF(ISERROR(VLOOKUP(AE$134+$F139,$D$135:$D$165,1,FALSE)),0,AD7*$C$2),MAX((IF(Monthly!AA$4=TRUE,Monthly!AA$13,Monthly!AA$14)*(1+'Attrition Modeling'!$N$8)-'IP Attrition'!AD$65)/12*'IP Attrition'!AD74,0)))</f>
        <v>0</v>
      </c>
      <c r="AF139" s="799">
        <f>IF(EOMONTH(Inputs!$C$8,'IP Attrition'!AF$134-1)&lt;=Inputs!$C$9,0,MIN(IF(ISERROR(VLOOKUP(AF$134+$F139,$D$135:$D$165,1,FALSE)),0,AE7*$C$2),MAX((IF(Monthly!AB$4=TRUE,Monthly!AB$13,Monthly!AB$14)*(1+'Attrition Modeling'!$N$8)-'IP Attrition'!AE$65)/12*'IP Attrition'!AE74,0)))</f>
        <v>0</v>
      </c>
      <c r="AG139" s="799">
        <f>IF(EOMONTH(Inputs!$C$8,'IP Attrition'!AG$134-1)&lt;=Inputs!$C$9,0,MIN(IF(ISERROR(VLOOKUP(AG$134+$F139,$D$135:$D$165,1,FALSE)),0,AF7*$C$2),MAX((IF(Monthly!AC$4=TRUE,Monthly!AC$13,Monthly!AC$14)*(1+'Attrition Modeling'!$N$8)-'IP Attrition'!AF$65)/12*'IP Attrition'!AF74,0)))</f>
        <v>0</v>
      </c>
      <c r="AH139" s="799">
        <f>IF(EOMONTH(Inputs!$C$8,'IP Attrition'!AH$134-1)&lt;=Inputs!$C$9,0,MIN(IF(ISERROR(VLOOKUP(AH$134+$F139,$D$135:$D$165,1,FALSE)),0,AG7*$C$2),MAX((IF(Monthly!AD$4=TRUE,Monthly!AD$13,Monthly!AD$14)*(1+'Attrition Modeling'!$N$8)-'IP Attrition'!AG$65)/12*'IP Attrition'!AG74,0)))</f>
        <v>0</v>
      </c>
      <c r="AI139" s="799">
        <f>IF(EOMONTH(Inputs!$C$8,'IP Attrition'!AI$134-1)&lt;=Inputs!$C$9,0,MIN(IF(ISERROR(VLOOKUP(AI$134+$F139,$D$135:$D$165,1,FALSE)),0,AH7*$C$2),MAX((IF(Monthly!AE$4=TRUE,Monthly!AE$13,Monthly!AE$14)*(1+'Attrition Modeling'!$N$8)-'IP Attrition'!AH$65)/12*'IP Attrition'!AH74,0)))</f>
        <v>0</v>
      </c>
      <c r="AJ139" s="799">
        <f>IF(EOMONTH(Inputs!$C$8,'IP Attrition'!AJ$134-1)&lt;=Inputs!$C$9,0,MIN(IF(ISERROR(VLOOKUP(AJ$134+$F139,$D$135:$D$165,1,FALSE)),0,AI7*$C$2),MAX((IF(Monthly!AF$4=TRUE,Monthly!AF$13,Monthly!AF$14)*(1+'Attrition Modeling'!$N$8)-'IP Attrition'!AI$65)/12*'IP Attrition'!AI74,0)))</f>
        <v>0</v>
      </c>
      <c r="AK139" s="799">
        <f>IF(EOMONTH(Inputs!$C$8,'IP Attrition'!AK$134-1)&lt;=Inputs!$C$9,0,MIN(IF(ISERROR(VLOOKUP(AK$134+$F139,$D$135:$D$165,1,FALSE)),0,AJ7*$C$2),MAX((IF(Monthly!AG$4=TRUE,Monthly!AG$13,Monthly!AG$14)*(1+'Attrition Modeling'!$N$8)-'IP Attrition'!AJ$65)/12*'IP Attrition'!AJ74,0)))</f>
        <v>0</v>
      </c>
      <c r="AL139" s="799">
        <f>IF(EOMONTH(Inputs!$C$8,'IP Attrition'!AL$134-1)&lt;=Inputs!$C$9,0,MIN(IF(ISERROR(VLOOKUP(AL$134+$F139,$D$135:$D$165,1,FALSE)),0,AK7*$C$2),MAX((IF(Monthly!AH$4=TRUE,Monthly!AH$13,Monthly!AH$14)*(1+'Attrition Modeling'!$N$8)-'IP Attrition'!AK$65)/12*'IP Attrition'!AK74,0)))</f>
        <v>0</v>
      </c>
      <c r="AM139" s="799">
        <f>IF(EOMONTH(Inputs!$C$8,'IP Attrition'!AM$134-1)&lt;=Inputs!$C$9,0,MIN(IF(ISERROR(VLOOKUP(AM$134+$F139,$D$135:$D$165,1,FALSE)),0,AL7*$C$2),MAX((IF(Monthly!AI$4=TRUE,Monthly!AI$13,Monthly!AI$14)*(1+'Attrition Modeling'!$N$8)-'IP Attrition'!AL$65)/12*'IP Attrition'!AL74,0)))</f>
        <v>0</v>
      </c>
      <c r="AN139" s="799">
        <f>IF(EOMONTH(Inputs!$C$8,'IP Attrition'!AN$134-1)&lt;=Inputs!$C$9,0,MIN(IF(ISERROR(VLOOKUP(AN$134+$F139,$D$135:$D$165,1,FALSE)),0,AM7*$C$2),MAX((IF(Monthly!AJ$4=TRUE,Monthly!AJ$13,Monthly!AJ$14)*(1+'Attrition Modeling'!$N$8)-'IP Attrition'!AM$65)/12*'IP Attrition'!AM74,0)))</f>
        <v>0</v>
      </c>
      <c r="AO139" s="799">
        <f>IF(EOMONTH(Inputs!$C$8,'IP Attrition'!AO$134-1)&lt;=Inputs!$C$9,0,MIN(IF(ISERROR(VLOOKUP(AO$134+$F139,$D$135:$D$165,1,FALSE)),0,AN7*$C$2),MAX((IF(Monthly!AK$4=TRUE,Monthly!AK$13,Monthly!AK$14)*(1+'Attrition Modeling'!$N$8)-'IP Attrition'!AN$65)/12*'IP Attrition'!AN74,0)))</f>
        <v>0</v>
      </c>
      <c r="AP139" s="799">
        <f>IF(EOMONTH(Inputs!$C$8,'IP Attrition'!AP$134-1)&lt;=Inputs!$C$9,0,MIN(IF(ISERROR(VLOOKUP(AP$134+$F139,$D$135:$D$165,1,FALSE)),0,AO7*$C$2),MAX((IF(Monthly!AL$4=TRUE,Monthly!AL$13,Monthly!AL$14)*(1+'Attrition Modeling'!$N$8)-'IP Attrition'!AO$65)/12*'IP Attrition'!AO74,0)))</f>
        <v>0</v>
      </c>
      <c r="AQ139" s="799">
        <f>IF(EOMONTH(Inputs!$C$8,'IP Attrition'!AQ$134-1)&lt;=Inputs!$C$9,0,MIN(IF(ISERROR(VLOOKUP(AQ$134+$F139,$D$135:$D$165,1,FALSE)),0,AP7*$C$2),MAX((IF(Monthly!AM$4=TRUE,Monthly!AM$13,Monthly!AM$14)*(1+'Attrition Modeling'!$N$8)-'IP Attrition'!AP$65)/12*'IP Attrition'!AP74,0)))</f>
        <v>0</v>
      </c>
      <c r="AR139" s="799">
        <f>IF(EOMONTH(Inputs!$C$8,'IP Attrition'!AR$134-1)&lt;=Inputs!$C$9,0,MIN(IF(ISERROR(VLOOKUP(AR$134+$F139,$D$135:$D$165,1,FALSE)),0,AQ7*$C$2),MAX((IF(Monthly!AN$4=TRUE,Monthly!AN$13,Monthly!AN$14)*(1+'Attrition Modeling'!$N$8)-'IP Attrition'!AQ$65)/12*'IP Attrition'!AQ74,0)))</f>
        <v>0</v>
      </c>
      <c r="AS139" s="799">
        <f>IF(EOMONTH(Inputs!$C$8,'IP Attrition'!AS$134-1)&lt;=Inputs!$C$9,0,MIN(IF(ISERROR(VLOOKUP(AS$134+$F139,$D$135:$D$165,1,FALSE)),0,AR7*$C$2),MAX((IF(Monthly!AO$4=TRUE,Monthly!AO$13,Monthly!AO$14)*(1+'Attrition Modeling'!$N$8)-'IP Attrition'!AR$65)/12*'IP Attrition'!AR74,0)))</f>
        <v>0</v>
      </c>
      <c r="AT139" s="799">
        <f>IF(EOMONTH(Inputs!$C$8,'IP Attrition'!AT$134-1)&lt;=Inputs!$C$9,0,MIN(IF(ISERROR(VLOOKUP(AT$134+$F139,$D$135:$D$165,1,FALSE)),0,AS7*$C$2),MAX((IF(Monthly!AP$4=TRUE,Monthly!AP$13,Monthly!AP$14)*(1+'Attrition Modeling'!$N$8)-'IP Attrition'!AS$65)/12*'IP Attrition'!AS74,0)))</f>
        <v>0</v>
      </c>
      <c r="AU139" s="799">
        <f>IF(EOMONTH(Inputs!$C$8,'IP Attrition'!AU$134-1)&lt;=Inputs!$C$9,0,MIN(IF(ISERROR(VLOOKUP(AU$134+$F139,$D$135:$D$165,1,FALSE)),0,AT7*$C$2),MAX((IF(Monthly!AQ$4=TRUE,Monthly!AQ$13,Monthly!AQ$14)*(1+'Attrition Modeling'!$N$8)-'IP Attrition'!AT$65)/12*'IP Attrition'!AT74,0)))</f>
        <v>0</v>
      </c>
      <c r="AV139" s="799">
        <f>IF(EOMONTH(Inputs!$C$8,'IP Attrition'!AV$134-1)&lt;=Inputs!$C$9,0,MIN(IF(ISERROR(VLOOKUP(AV$134+$F139,$D$135:$D$165,1,FALSE)),0,AU7*$C$2),MAX((IF(Monthly!AR$4=TRUE,Monthly!AR$13,Monthly!AR$14)*(1+'Attrition Modeling'!$N$8)-'IP Attrition'!AU$65)/12*'IP Attrition'!AU74,0)))</f>
        <v>0</v>
      </c>
      <c r="AW139" s="799">
        <f>IF(EOMONTH(Inputs!$C$8,'IP Attrition'!AW$134-1)&lt;=Inputs!$C$9,0,MIN(IF(ISERROR(VLOOKUP(AW$134+$F139,$D$135:$D$165,1,FALSE)),0,AV7*$C$2),MAX((IF(Monthly!AS$4=TRUE,Monthly!AS$13,Monthly!AS$14)*(1+'Attrition Modeling'!$N$8)-'IP Attrition'!AV$65)/12*'IP Attrition'!AV74,0)))</f>
        <v>0</v>
      </c>
      <c r="AX139" s="799">
        <f>IF(EOMONTH(Inputs!$C$8,'IP Attrition'!AX$134-1)&lt;=Inputs!$C$9,0,MIN(IF(ISERROR(VLOOKUP(AX$134+$F139,$D$135:$D$165,1,FALSE)),0,AW7*$C$2),MAX((IF(Monthly!AT$4=TRUE,Monthly!AT$13,Monthly!AT$14)*(1+'Attrition Modeling'!$N$8)-'IP Attrition'!AW$65)/12*'IP Attrition'!AW74,0)))</f>
        <v>0</v>
      </c>
      <c r="AY139" s="799">
        <f>IF(EOMONTH(Inputs!$C$8,'IP Attrition'!AY$134-1)&lt;=Inputs!$C$9,0,MIN(IF(ISERROR(VLOOKUP(AY$134+$F139,$D$135:$D$165,1,FALSE)),0,AX7*$C$2),MAX((IF(Monthly!AU$4=TRUE,Monthly!AU$13,Monthly!AU$14)*(1+'Attrition Modeling'!$N$8)-'IP Attrition'!AX$65)/12*'IP Attrition'!AX74,0)))</f>
        <v>0</v>
      </c>
      <c r="AZ139" s="799">
        <f>IF(EOMONTH(Inputs!$C$8,'IP Attrition'!AZ$134-1)&lt;=Inputs!$C$9,0,MIN(IF(ISERROR(VLOOKUP(AZ$134+$F139,$D$135:$D$165,1,FALSE)),0,AY7*$C$2),MAX((IF(Monthly!AV$4=TRUE,Monthly!AV$13,Monthly!AV$14)*(1+'Attrition Modeling'!$N$8)-'IP Attrition'!AY$65)/12*'IP Attrition'!AY74,0)))</f>
        <v>0</v>
      </c>
      <c r="BA139" s="799">
        <f>IF(EOMONTH(Inputs!$C$8,'IP Attrition'!BA$134-1)&lt;=Inputs!$C$9,0,MIN(IF(ISERROR(VLOOKUP(BA$134+$F139,$D$135:$D$165,1,FALSE)),0,AZ7*$C$2),MAX((IF(Monthly!AW$4=TRUE,Monthly!AW$13,Monthly!AW$14)*(1+'Attrition Modeling'!$N$8)-'IP Attrition'!AZ$65)/12*'IP Attrition'!AZ74,0)))</f>
        <v>0</v>
      </c>
      <c r="BB139" s="799">
        <f>IF(EOMONTH(Inputs!$C$8,'IP Attrition'!BB$134-1)&lt;=Inputs!$C$9,0,MIN(IF(ISERROR(VLOOKUP(BB$134+$F139,$D$135:$D$165,1,FALSE)),0,BA7*$C$2),MAX((IF(Monthly!AX$4=TRUE,Monthly!AX$13,Monthly!AX$14)*(1+'Attrition Modeling'!$N$8)-'IP Attrition'!BA$65)/12*'IP Attrition'!BA74,0)))</f>
        <v>0</v>
      </c>
      <c r="BC139" s="799">
        <f>IF(EOMONTH(Inputs!$C$8,'IP Attrition'!BC$134-1)&lt;=Inputs!$C$9,0,MIN(IF(ISERROR(VLOOKUP(BC$134+$F139,$D$135:$D$165,1,FALSE)),0,BB7*$C$2),MAX((IF(Monthly!AY$4=TRUE,Monthly!AY$13,Monthly!AY$14)*(1+'Attrition Modeling'!$N$8)-'IP Attrition'!BB$65)/12*'IP Attrition'!BB74,0)))</f>
        <v>0</v>
      </c>
      <c r="BD139" s="799">
        <f>IF(EOMONTH(Inputs!$C$8,'IP Attrition'!BD$134-1)&lt;=Inputs!$C$9,0,MIN(IF(ISERROR(VLOOKUP(BD$134+$F139,$D$135:$D$165,1,FALSE)),0,BC7*$C$2),MAX((IF(Monthly!AZ$4=TRUE,Monthly!AZ$13,Monthly!AZ$14)*(1+'Attrition Modeling'!$N$8)-'IP Attrition'!BC$65)/12*'IP Attrition'!BC74,0)))</f>
        <v>0</v>
      </c>
      <c r="BE139" s="799">
        <f>IF(EOMONTH(Inputs!$C$8,'IP Attrition'!BE$134-1)&lt;=Inputs!$C$9,0,MIN(IF(ISERROR(VLOOKUP(BE$134+$F139,$D$135:$D$165,1,FALSE)),0,BD7*$C$2),MAX((IF(Monthly!BA$4=TRUE,Monthly!BA$13,Monthly!BA$14)*(1+'Attrition Modeling'!$N$8)-'IP Attrition'!BD$65)/12*'IP Attrition'!BD74,0)))</f>
        <v>0</v>
      </c>
      <c r="BF139" s="799">
        <f>IF(EOMONTH(Inputs!$C$8,'IP Attrition'!BF$134-1)&lt;=Inputs!$C$9,0,MIN(IF(ISERROR(VLOOKUP(BF$134+$F139,$D$135:$D$165,1,FALSE)),0,BE7*$C$2),MAX((IF(Monthly!BB$4=TRUE,Monthly!BB$13,Monthly!BB$14)*(1+'Attrition Modeling'!$N$8)-'IP Attrition'!BE$65)/12*'IP Attrition'!BE74,0)))</f>
        <v>0</v>
      </c>
      <c r="BG139" s="799">
        <f>IF(EOMONTH(Inputs!$C$8,'IP Attrition'!BG$134-1)&lt;=Inputs!$C$9,0,MIN(IF(ISERROR(VLOOKUP(BG$134+$F139,$D$135:$D$165,1,FALSE)),0,BF7*$C$2),MAX((IF(Monthly!BC$4=TRUE,Monthly!BC$13,Monthly!BC$14)*(1+'Attrition Modeling'!$N$8)-'IP Attrition'!BF$65)/12*'IP Attrition'!BF74,0)))</f>
        <v>0</v>
      </c>
      <c r="BH139" s="799">
        <f>IF(EOMONTH(Inputs!$C$8,'IP Attrition'!BH$134-1)&lt;=Inputs!$C$9,0,MIN(IF(ISERROR(VLOOKUP(BH$134+$F139,$D$135:$D$165,1,FALSE)),0,BG7*$C$2),MAX((IF(Monthly!BD$4=TRUE,Monthly!BD$13,Monthly!BD$14)*(1+'Attrition Modeling'!$N$8)-'IP Attrition'!BG$65)/12*'IP Attrition'!BG74,0)))</f>
        <v>0</v>
      </c>
      <c r="BI139" s="799">
        <f>IF(EOMONTH(Inputs!$C$8,'IP Attrition'!BI$134-1)&lt;=Inputs!$C$9,0,MIN(IF(ISERROR(VLOOKUP(BI$134+$F139,$D$135:$D$165,1,FALSE)),0,BH7*$C$2),MAX((IF(Monthly!BE$4=TRUE,Monthly!BE$13,Monthly!BE$14)*(1+'Attrition Modeling'!$N$8)-'IP Attrition'!BH$65)/12*'IP Attrition'!BH74,0)))</f>
        <v>0</v>
      </c>
      <c r="BJ139" s="799">
        <f>IF(EOMONTH(Inputs!$C$8,'IP Attrition'!BJ$134-1)&lt;=Inputs!$C$9,0,MIN(IF(ISERROR(VLOOKUP(BJ$134+$F139,$D$135:$D$165,1,FALSE)),0,BI7*$C$2),MAX((IF(Monthly!BF$4=TRUE,Monthly!BF$13,Monthly!BF$14)*(1+'Attrition Modeling'!$N$8)-'IP Attrition'!BI$65)/12*'IP Attrition'!BI74,0)))</f>
        <v>0</v>
      </c>
      <c r="BK139" s="799">
        <f>IF(EOMONTH(Inputs!$C$8,'IP Attrition'!BK$134-1)&lt;=Inputs!$C$9,0,MIN(IF(ISERROR(VLOOKUP(BK$134+$F139,$D$135:$D$165,1,FALSE)),0,BJ7*$C$2),MAX((IF(Monthly!BG$4=TRUE,Monthly!BG$13,Monthly!BG$14)*(1+'Attrition Modeling'!$N$8)-'IP Attrition'!BJ$65)/12*'IP Attrition'!BJ74,0)))</f>
        <v>0</v>
      </c>
      <c r="BL139" s="799">
        <f>IF(EOMONTH(Inputs!$C$8,'IP Attrition'!BL$134-1)&lt;=Inputs!$C$9,0,MIN(IF(ISERROR(VLOOKUP(BL$134+$F139,$D$135:$D$165,1,FALSE)),0,BK7*$C$2),MAX((IF(Monthly!BH$4=TRUE,Monthly!BH$13,Monthly!BH$14)*(1+'Attrition Modeling'!$N$8)-'IP Attrition'!BK$65)/12*'IP Attrition'!BK74,0)))</f>
        <v>0</v>
      </c>
      <c r="BM139" s="799">
        <f>IF(EOMONTH(Inputs!$C$8,'IP Attrition'!BM$134-1)&lt;=Inputs!$C$9,0,MIN(IF(ISERROR(VLOOKUP(BM$134+$F139,$D$135:$D$165,1,FALSE)),0,BL7*$C$2),MAX((IF(Monthly!BI$4=TRUE,Monthly!BI$13,Monthly!BI$14)*(1+'Attrition Modeling'!$N$8)-'IP Attrition'!BL$65)/12*'IP Attrition'!BL74,0)))</f>
        <v>0</v>
      </c>
      <c r="BN139" s="799">
        <f>IF(EOMONTH(Inputs!$C$8,'IP Attrition'!BN$134-1)&lt;=Inputs!$C$9,0,MIN(IF(ISERROR(VLOOKUP(BN$134+$F139,$D$135:$D$165,1,FALSE)),0,BM7*$C$2),MAX((IF(Monthly!BJ$4=TRUE,Monthly!BJ$13,Monthly!BJ$14)*(1+'Attrition Modeling'!$N$8)-'IP Attrition'!BM$65)/12*'IP Attrition'!BM74,0)))</f>
        <v>0</v>
      </c>
      <c r="BO139" s="799">
        <f>IF(EOMONTH(Inputs!$C$8,'IP Attrition'!BO$134-1)&lt;=Inputs!$C$9,0,MIN(IF(ISERROR(VLOOKUP(BO$134+$F139,$D$135:$D$165,1,FALSE)),0,BN7*$C$2),MAX((IF(Monthly!BK$4=TRUE,Monthly!BK$13,Monthly!BK$14)*(1+'Attrition Modeling'!$N$8)-'IP Attrition'!BN$65)/12*'IP Attrition'!BN74,0)))</f>
        <v>0</v>
      </c>
      <c r="BP139" s="799">
        <f>IF(EOMONTH(Inputs!$C$8,'IP Attrition'!BP$134-1)&lt;=Inputs!$C$9,0,MIN(IF(ISERROR(VLOOKUP(BP$134+$F139,$D$135:$D$165,1,FALSE)),0,BO7*$C$2),MAX((IF(Monthly!BL$4=TRUE,Monthly!BL$13,Monthly!BL$14)*(1+'Attrition Modeling'!$N$8)-'IP Attrition'!BO$65)/12*'IP Attrition'!BO74,0)))</f>
        <v>0</v>
      </c>
      <c r="BQ139" s="799">
        <f>IF(EOMONTH(Inputs!$C$8,'IP Attrition'!BQ$134-1)&lt;=Inputs!$C$9,0,MIN(IF(ISERROR(VLOOKUP(BQ$134+$F139,$D$135:$D$165,1,FALSE)),0,BP7*$C$2),MAX((IF(Monthly!BM$4=TRUE,Monthly!BM$13,Monthly!BM$14)*(1+'Attrition Modeling'!$N$8)-'IP Attrition'!BP$65)/12*'IP Attrition'!BP74,0)))</f>
        <v>0</v>
      </c>
      <c r="BR139" s="799">
        <f>IF(EOMONTH(Inputs!$C$8,'IP Attrition'!BR$134-1)&lt;=Inputs!$C$9,0,MIN(IF(ISERROR(VLOOKUP(BR$134+$F139,$D$135:$D$165,1,FALSE)),0,BQ7*$C$2),MAX((IF(Monthly!BN$4=TRUE,Monthly!BN$13,Monthly!BN$14)*(1+'Attrition Modeling'!$N$8)-'IP Attrition'!BQ$65)/12*'IP Attrition'!BQ74,0)))</f>
        <v>0</v>
      </c>
      <c r="BS139" s="799">
        <f>IF(EOMONTH(Inputs!$C$8,'IP Attrition'!BS$134-1)&lt;=Inputs!$C$9,0,MIN(IF(ISERROR(VLOOKUP(BS$134+$F139,$D$135:$D$165,1,FALSE)),0,BR7*$C$2),MAX((IF(Monthly!BO$4=TRUE,Monthly!BO$13,Monthly!BO$14)*(1+'Attrition Modeling'!$N$8)-'IP Attrition'!BR$65)/12*'IP Attrition'!BR74,0)))</f>
        <v>0</v>
      </c>
      <c r="BT139" s="799" t="e">
        <f>IF(EOMONTH(Inputs!$C$8,'IP Attrition'!BT$134-1)&lt;=Inputs!$C$9,0,MIN(IF(ISERROR(VLOOKUP(BT$134+$F139,$D$135:$D$165,1,FALSE)),0,BS7*$C$2),MAX((IF(Monthly!#REF!=TRUE,Monthly!#REF!,Monthly!#REF!)*(1+'Attrition Modeling'!$N$8)-'IP Attrition'!BS$65)/12*'IP Attrition'!BS74,0)))</f>
        <v>#REF!</v>
      </c>
      <c r="BU139" s="799" t="e">
        <f>IF(EOMONTH(Inputs!$C$8,'IP Attrition'!BU$134-1)&lt;=Inputs!$C$9,0,MIN(IF(ISERROR(VLOOKUP(BU$134+$F139,$D$135:$D$165,1,FALSE)),0,BT7*$C$2),MAX((IF(Monthly!#REF!=TRUE,Monthly!#REF!,Monthly!#REF!)*(1+'Attrition Modeling'!$N$8)-'IP Attrition'!BT$65)/12*'IP Attrition'!BT74,0)))</f>
        <v>#REF!</v>
      </c>
    </row>
    <row r="140" spans="1:73" ht="14.25" customHeight="1" x14ac:dyDescent="0.2">
      <c r="A140" s="9">
        <v>133</v>
      </c>
      <c r="B140" s="25">
        <f>MAX('Attrition Modeling'!H137,$C$3)*(1-Summary!$C$20)</f>
        <v>0.02</v>
      </c>
      <c r="C140" s="24" t="e">
        <f t="shared" si="3"/>
        <v>#DIV/0!</v>
      </c>
      <c r="D140" s="11">
        <f t="shared" si="72"/>
        <v>66</v>
      </c>
      <c r="E140" s="25">
        <f t="shared" si="71"/>
        <v>7.2768090632364085E-2</v>
      </c>
      <c r="F140" s="11">
        <f t="shared" si="73"/>
        <v>5</v>
      </c>
      <c r="G140" s="799"/>
      <c r="H140" s="799">
        <f>IF(EOMONTH(Inputs!$C$8,'IP Attrition'!H$134-1)&lt;=Inputs!$C$9,0,MIN(IF(ISERROR(VLOOKUP(H$134+$F140,$D$135:$D$165,1,FALSE)),0,G8*$C$2),MAX((IF(Monthly!D$4=TRUE,Monthly!D$13,Monthly!D$14)*(1+'Attrition Modeling'!$N$8)-'IP Attrition'!G$65)/12*'IP Attrition'!G75,0)))</f>
        <v>0</v>
      </c>
      <c r="I140" s="799">
        <f>IF(EOMONTH(Inputs!$C$8,'IP Attrition'!I$134-1)&lt;=Inputs!$C$9,0,MIN(IF(ISERROR(VLOOKUP(I$134+$F140,$D$135:$D$165,1,FALSE)),0,H8*$C$2),MAX((IF(Monthly!E$4=TRUE,Monthly!E$13,Monthly!E$14)*(1+'Attrition Modeling'!$N$8)-'IP Attrition'!H$65)/12*'IP Attrition'!H75,0)))</f>
        <v>0</v>
      </c>
      <c r="J140" s="799">
        <f>IF(EOMONTH(Inputs!$C$8,'IP Attrition'!J$134-1)&lt;=Inputs!$C$9,0,MIN(IF(ISERROR(VLOOKUP(J$134+$F140,$D$135:$D$165,1,FALSE)),0,I8*$C$2),MAX((IF(Monthly!F$4=TRUE,Monthly!F$13,Monthly!F$14)*(1+'Attrition Modeling'!$N$8)-'IP Attrition'!I$65)/12*'IP Attrition'!I75,0)))</f>
        <v>0</v>
      </c>
      <c r="K140" s="799">
        <f>IF(EOMONTH(Inputs!$C$8,'IP Attrition'!K$134-1)&lt;=Inputs!$C$9,0,MIN(IF(ISERROR(VLOOKUP(K$134+$F140,$D$135:$D$165,1,FALSE)),0,J8*$C$2),MAX((IF(Monthly!G$4=TRUE,Monthly!G$13,Monthly!G$14)*(1+'Attrition Modeling'!$N$8)-'IP Attrition'!J$65)/12*'IP Attrition'!J75,0)))</f>
        <v>0</v>
      </c>
      <c r="L140" s="799">
        <f>IF(EOMONTH(Inputs!$C$8,'IP Attrition'!L$134-1)&lt;=Inputs!$C$9,0,MIN(IF(ISERROR(VLOOKUP(L$134+$F140,$D$135:$D$165,1,FALSE)),0,K8*$C$2),MAX((IF(Monthly!H$4=TRUE,Monthly!H$13,Monthly!H$14)*(1+'Attrition Modeling'!$N$8)-'IP Attrition'!K$65)/12*'IP Attrition'!K75,0)))</f>
        <v>0</v>
      </c>
      <c r="M140" s="799">
        <f>IF(EOMONTH(Inputs!$C$8,'IP Attrition'!M$134-1)&lt;=Inputs!$C$9,0,MIN(IF(ISERROR(VLOOKUP(M$134+$F140,$D$135:$D$165,1,FALSE)),0,L8*$C$2),MAX((IF(Monthly!I$4=TRUE,Monthly!I$13,Monthly!I$14)*(1+'Attrition Modeling'!$N$8)-'IP Attrition'!L$65)/12*'IP Attrition'!L75,0)))</f>
        <v>0</v>
      </c>
      <c r="N140" s="799">
        <f>IF(EOMONTH(Inputs!$C$8,'IP Attrition'!N$134-1)&lt;=Inputs!$C$9,0,MIN(IF(ISERROR(VLOOKUP(N$134+$F140,$D$135:$D$165,1,FALSE)),0,M8*$C$2),MAX((IF(Monthly!J$4=TRUE,Monthly!J$13,Monthly!J$14)*(1+'Attrition Modeling'!$N$8)-'IP Attrition'!M$65)/12*'IP Attrition'!M75,0)))</f>
        <v>0</v>
      </c>
      <c r="O140" s="799">
        <f>IF(EOMONTH(Inputs!$C$8,'IP Attrition'!O$134-1)&lt;=Inputs!$C$9,0,MIN(IF(ISERROR(VLOOKUP(O$134+$F140,$D$135:$D$165,1,FALSE)),0,N8*$C$2),MAX((IF(Monthly!K$4=TRUE,Monthly!K$13,Monthly!K$14)*(1+'Attrition Modeling'!$N$8)-'IP Attrition'!N$65)/12*'IP Attrition'!N75,0)))</f>
        <v>0</v>
      </c>
      <c r="P140" s="799">
        <f>IF(EOMONTH(Inputs!$C$8,'IP Attrition'!P$134-1)&lt;=Inputs!$C$9,0,MIN(IF(ISERROR(VLOOKUP(P$134+$F140,$D$135:$D$165,1,FALSE)),0,O8*$C$2),MAX((IF(Monthly!L$4=TRUE,Monthly!L$13,Monthly!L$14)*(1+'Attrition Modeling'!$N$8)-'IP Attrition'!O$65)/12*'IP Attrition'!O75,0)))</f>
        <v>0</v>
      </c>
      <c r="Q140" s="799">
        <f>IF(EOMONTH(Inputs!$C$8,'IP Attrition'!Q$134-1)&lt;=Inputs!$C$9,0,MIN(IF(ISERROR(VLOOKUP(Q$134+$F140,$D$135:$D$165,1,FALSE)),0,P8*$C$2),MAX((IF(Monthly!M$4=TRUE,Monthly!M$13,Monthly!M$14)*(1+'Attrition Modeling'!$N$8)-'IP Attrition'!P$65)/12*'IP Attrition'!P75,0)))</f>
        <v>0</v>
      </c>
      <c r="R140" s="799">
        <f>IF(EOMONTH(Inputs!$C$8,'IP Attrition'!R$134-1)&lt;=Inputs!$C$9,0,MIN(IF(ISERROR(VLOOKUP(R$134+$F140,$D$135:$D$165,1,FALSE)),0,Q8*$C$2),MAX((IF(Monthly!N$4=TRUE,Monthly!N$13,Monthly!N$14)*(1+'Attrition Modeling'!$N$8)-'IP Attrition'!Q$65)/12*'IP Attrition'!Q75,0)))</f>
        <v>0</v>
      </c>
      <c r="S140" s="799">
        <f>IF(EOMONTH(Inputs!$C$8,'IP Attrition'!S$134-1)&lt;=Inputs!$C$9,0,MIN(IF(ISERROR(VLOOKUP(S$134+$F140,$D$135:$D$165,1,FALSE)),0,R8*$C$2),MAX((IF(Monthly!O$4=TRUE,Monthly!O$13,Monthly!O$14)*(1+'Attrition Modeling'!$N$8)-'IP Attrition'!R$65)/12*'IP Attrition'!R75,0)))</f>
        <v>0</v>
      </c>
      <c r="T140" s="799">
        <f>IF(EOMONTH(Inputs!$C$8,'IP Attrition'!T$134-1)&lt;=Inputs!$C$9,0,MIN(IF(ISERROR(VLOOKUP(T$134+$F140,$D$135:$D$165,1,FALSE)),0,S8*$C$2),MAX((IF(Monthly!P$4=TRUE,Monthly!P$13,Monthly!P$14)*(1+'Attrition Modeling'!$N$8)-'IP Attrition'!S$65)/12*'IP Attrition'!S75,0)))</f>
        <v>0</v>
      </c>
      <c r="U140" s="799">
        <f>IF(EOMONTH(Inputs!$C$8,'IP Attrition'!U$134-1)&lt;=Inputs!$C$9,0,MIN(IF(ISERROR(VLOOKUP(U$134+$F140,$D$135:$D$165,1,FALSE)),0,T8*$C$2),MAX((IF(Monthly!Q$4=TRUE,Monthly!Q$13,Monthly!Q$14)*(1+'Attrition Modeling'!$N$8)-'IP Attrition'!T$65)/12*'IP Attrition'!T75,0)))</f>
        <v>0</v>
      </c>
      <c r="V140" s="799">
        <f>IF(EOMONTH(Inputs!$C$8,'IP Attrition'!V$134-1)&lt;=Inputs!$C$9,0,MIN(IF(ISERROR(VLOOKUP(V$134+$F140,$D$135:$D$165,1,FALSE)),0,U8*$C$2),MAX((IF(Monthly!R$4=TRUE,Monthly!R$13,Monthly!R$14)*(1+'Attrition Modeling'!$N$8)-'IP Attrition'!U$65)/12*'IP Attrition'!U75,0)))</f>
        <v>0</v>
      </c>
      <c r="W140" s="799">
        <f>IF(EOMONTH(Inputs!$C$8,'IP Attrition'!W$134-1)&lt;=Inputs!$C$9,0,MIN(IF(ISERROR(VLOOKUP(W$134+$F140,$D$135:$D$165,1,FALSE)),0,V8*$C$2),MAX((IF(Monthly!S$4=TRUE,Monthly!S$13,Monthly!S$14)*(1+'Attrition Modeling'!$N$8)-'IP Attrition'!V$65)/12*'IP Attrition'!V75,0)))</f>
        <v>0</v>
      </c>
      <c r="X140" s="799">
        <f>IF(EOMONTH(Inputs!$C$8,'IP Attrition'!X$134-1)&lt;=Inputs!$C$9,0,MIN(IF(ISERROR(VLOOKUP(X$134+$F140,$D$135:$D$165,1,FALSE)),0,W8*$C$2),MAX((IF(Monthly!T$4=TRUE,Monthly!T$13,Monthly!T$14)*(1+'Attrition Modeling'!$N$8)-'IP Attrition'!W$65)/12*'IP Attrition'!W75,0)))</f>
        <v>0</v>
      </c>
      <c r="Y140" s="799">
        <f>IF(EOMONTH(Inputs!$C$8,'IP Attrition'!Y$134-1)&lt;=Inputs!$C$9,0,MIN(IF(ISERROR(VLOOKUP(Y$134+$F140,$D$135:$D$165,1,FALSE)),0,X8*$C$2),MAX((IF(Monthly!U$4=TRUE,Monthly!U$13,Monthly!U$14)*(1+'Attrition Modeling'!$N$8)-'IP Attrition'!X$65)/12*'IP Attrition'!X75,0)))</f>
        <v>0</v>
      </c>
      <c r="Z140" s="799">
        <f>IF(EOMONTH(Inputs!$C$8,'IP Attrition'!Z$134-1)&lt;=Inputs!$C$9,0,MIN(IF(ISERROR(VLOOKUP(Z$134+$F140,$D$135:$D$165,1,FALSE)),0,Y8*$C$2),MAX((IF(Monthly!V$4=TRUE,Monthly!V$13,Monthly!V$14)*(1+'Attrition Modeling'!$N$8)-'IP Attrition'!Y$65)/12*'IP Attrition'!Y75,0)))</f>
        <v>0</v>
      </c>
      <c r="AA140" s="799">
        <f>IF(EOMONTH(Inputs!$C$8,'IP Attrition'!AA$134-1)&lt;=Inputs!$C$9,0,MIN(IF(ISERROR(VLOOKUP(AA$134+$F140,$D$135:$D$165,1,FALSE)),0,Z8*$C$2),MAX((IF(Monthly!W$4=TRUE,Monthly!W$13,Monthly!W$14)*(1+'Attrition Modeling'!$N$8)-'IP Attrition'!Z$65)/12*'IP Attrition'!Z75,0)))</f>
        <v>0</v>
      </c>
      <c r="AB140" s="799">
        <f>IF(EOMONTH(Inputs!$C$8,'IP Attrition'!AB$134-1)&lt;=Inputs!$C$9,0,MIN(IF(ISERROR(VLOOKUP(AB$134+$F140,$D$135:$D$165,1,FALSE)),0,AA8*$C$2),MAX((IF(Monthly!X$4=TRUE,Monthly!X$13,Monthly!X$14)*(1+'Attrition Modeling'!$N$8)-'IP Attrition'!AA$65)/12*'IP Attrition'!AA75,0)))</f>
        <v>0</v>
      </c>
      <c r="AC140" s="799">
        <f>IF(EOMONTH(Inputs!$C$8,'IP Attrition'!AC$134-1)&lt;=Inputs!$C$9,0,MIN(IF(ISERROR(VLOOKUP(AC$134+$F140,$D$135:$D$165,1,FALSE)),0,AB8*$C$2),MAX((IF(Monthly!Y$4=TRUE,Monthly!Y$13,Monthly!Y$14)*(1+'Attrition Modeling'!$N$8)-'IP Attrition'!AB$65)/12*'IP Attrition'!AB75,0)))</f>
        <v>0</v>
      </c>
      <c r="AD140" s="799">
        <f>IF(EOMONTH(Inputs!$C$8,'IP Attrition'!AD$134-1)&lt;=Inputs!$C$9,0,MIN(IF(ISERROR(VLOOKUP(AD$134+$F140,$D$135:$D$165,1,FALSE)),0,AC8*$C$2),MAX((IF(Monthly!Z$4=TRUE,Monthly!Z$13,Monthly!Z$14)*(1+'Attrition Modeling'!$N$8)-'IP Attrition'!AC$65)/12*'IP Attrition'!AC75,0)))</f>
        <v>0</v>
      </c>
      <c r="AE140" s="799">
        <f>IF(EOMONTH(Inputs!$C$8,'IP Attrition'!AE$134-1)&lt;=Inputs!$C$9,0,MIN(IF(ISERROR(VLOOKUP(AE$134+$F140,$D$135:$D$165,1,FALSE)),0,AD8*$C$2),MAX((IF(Monthly!AA$4=TRUE,Monthly!AA$13,Monthly!AA$14)*(1+'Attrition Modeling'!$N$8)-'IP Attrition'!AD$65)/12*'IP Attrition'!AD75,0)))</f>
        <v>0</v>
      </c>
      <c r="AF140" s="799">
        <f>IF(EOMONTH(Inputs!$C$8,'IP Attrition'!AF$134-1)&lt;=Inputs!$C$9,0,MIN(IF(ISERROR(VLOOKUP(AF$134+$F140,$D$135:$D$165,1,FALSE)),0,AE8*$C$2),MAX((IF(Monthly!AB$4=TRUE,Monthly!AB$13,Monthly!AB$14)*(1+'Attrition Modeling'!$N$8)-'IP Attrition'!AE$65)/12*'IP Attrition'!AE75,0)))</f>
        <v>0</v>
      </c>
      <c r="AG140" s="799">
        <f>IF(EOMONTH(Inputs!$C$8,'IP Attrition'!AG$134-1)&lt;=Inputs!$C$9,0,MIN(IF(ISERROR(VLOOKUP(AG$134+$F140,$D$135:$D$165,1,FALSE)),0,AF8*$C$2),MAX((IF(Monthly!AC$4=TRUE,Monthly!AC$13,Monthly!AC$14)*(1+'Attrition Modeling'!$N$8)-'IP Attrition'!AF$65)/12*'IP Attrition'!AF75,0)))</f>
        <v>0</v>
      </c>
      <c r="AH140" s="799">
        <f>IF(EOMONTH(Inputs!$C$8,'IP Attrition'!AH$134-1)&lt;=Inputs!$C$9,0,MIN(IF(ISERROR(VLOOKUP(AH$134+$F140,$D$135:$D$165,1,FALSE)),0,AG8*$C$2),MAX((IF(Monthly!AD$4=TRUE,Monthly!AD$13,Monthly!AD$14)*(1+'Attrition Modeling'!$N$8)-'IP Attrition'!AG$65)/12*'IP Attrition'!AG75,0)))</f>
        <v>0</v>
      </c>
      <c r="AI140" s="799">
        <f>IF(EOMONTH(Inputs!$C$8,'IP Attrition'!AI$134-1)&lt;=Inputs!$C$9,0,MIN(IF(ISERROR(VLOOKUP(AI$134+$F140,$D$135:$D$165,1,FALSE)),0,AH8*$C$2),MAX((IF(Monthly!AE$4=TRUE,Monthly!AE$13,Monthly!AE$14)*(1+'Attrition Modeling'!$N$8)-'IP Attrition'!AH$65)/12*'IP Attrition'!AH75,0)))</f>
        <v>0</v>
      </c>
      <c r="AJ140" s="799">
        <f>IF(EOMONTH(Inputs!$C$8,'IP Attrition'!AJ$134-1)&lt;=Inputs!$C$9,0,MIN(IF(ISERROR(VLOOKUP(AJ$134+$F140,$D$135:$D$165,1,FALSE)),0,AI8*$C$2),MAX((IF(Monthly!AF$4=TRUE,Monthly!AF$13,Monthly!AF$14)*(1+'Attrition Modeling'!$N$8)-'IP Attrition'!AI$65)/12*'IP Attrition'!AI75,0)))</f>
        <v>0</v>
      </c>
      <c r="AK140" s="799">
        <f>IF(EOMONTH(Inputs!$C$8,'IP Attrition'!AK$134-1)&lt;=Inputs!$C$9,0,MIN(IF(ISERROR(VLOOKUP(AK$134+$F140,$D$135:$D$165,1,FALSE)),0,AJ8*$C$2),MAX((IF(Monthly!AG$4=TRUE,Monthly!AG$13,Monthly!AG$14)*(1+'Attrition Modeling'!$N$8)-'IP Attrition'!AJ$65)/12*'IP Attrition'!AJ75,0)))</f>
        <v>0</v>
      </c>
      <c r="AL140" s="799">
        <f>IF(EOMONTH(Inputs!$C$8,'IP Attrition'!AL$134-1)&lt;=Inputs!$C$9,0,MIN(IF(ISERROR(VLOOKUP(AL$134+$F140,$D$135:$D$165,1,FALSE)),0,AK8*$C$2),MAX((IF(Monthly!AH$4=TRUE,Monthly!AH$13,Monthly!AH$14)*(1+'Attrition Modeling'!$N$8)-'IP Attrition'!AK$65)/12*'IP Attrition'!AK75,0)))</f>
        <v>0</v>
      </c>
      <c r="AM140" s="799">
        <f>IF(EOMONTH(Inputs!$C$8,'IP Attrition'!AM$134-1)&lt;=Inputs!$C$9,0,MIN(IF(ISERROR(VLOOKUP(AM$134+$F140,$D$135:$D$165,1,FALSE)),0,AL8*$C$2),MAX((IF(Monthly!AI$4=TRUE,Monthly!AI$13,Monthly!AI$14)*(1+'Attrition Modeling'!$N$8)-'IP Attrition'!AL$65)/12*'IP Attrition'!AL75,0)))</f>
        <v>0</v>
      </c>
      <c r="AN140" s="799">
        <f>IF(EOMONTH(Inputs!$C$8,'IP Attrition'!AN$134-1)&lt;=Inputs!$C$9,0,MIN(IF(ISERROR(VLOOKUP(AN$134+$F140,$D$135:$D$165,1,FALSE)),0,AM8*$C$2),MAX((IF(Monthly!AJ$4=TRUE,Monthly!AJ$13,Monthly!AJ$14)*(1+'Attrition Modeling'!$N$8)-'IP Attrition'!AM$65)/12*'IP Attrition'!AM75,0)))</f>
        <v>0</v>
      </c>
      <c r="AO140" s="799">
        <f>IF(EOMONTH(Inputs!$C$8,'IP Attrition'!AO$134-1)&lt;=Inputs!$C$9,0,MIN(IF(ISERROR(VLOOKUP(AO$134+$F140,$D$135:$D$165,1,FALSE)),0,AN8*$C$2),MAX((IF(Monthly!AK$4=TRUE,Monthly!AK$13,Monthly!AK$14)*(1+'Attrition Modeling'!$N$8)-'IP Attrition'!AN$65)/12*'IP Attrition'!AN75,0)))</f>
        <v>0</v>
      </c>
      <c r="AP140" s="799">
        <f>IF(EOMONTH(Inputs!$C$8,'IP Attrition'!AP$134-1)&lt;=Inputs!$C$9,0,MIN(IF(ISERROR(VLOOKUP(AP$134+$F140,$D$135:$D$165,1,FALSE)),0,AO8*$C$2),MAX((IF(Monthly!AL$4=TRUE,Monthly!AL$13,Monthly!AL$14)*(1+'Attrition Modeling'!$N$8)-'IP Attrition'!AO$65)/12*'IP Attrition'!AO75,0)))</f>
        <v>0</v>
      </c>
      <c r="AQ140" s="799">
        <f>IF(EOMONTH(Inputs!$C$8,'IP Attrition'!AQ$134-1)&lt;=Inputs!$C$9,0,MIN(IF(ISERROR(VLOOKUP(AQ$134+$F140,$D$135:$D$165,1,FALSE)),0,AP8*$C$2),MAX((IF(Monthly!AM$4=TRUE,Monthly!AM$13,Monthly!AM$14)*(1+'Attrition Modeling'!$N$8)-'IP Attrition'!AP$65)/12*'IP Attrition'!AP75,0)))</f>
        <v>0</v>
      </c>
      <c r="AR140" s="799">
        <f>IF(EOMONTH(Inputs!$C$8,'IP Attrition'!AR$134-1)&lt;=Inputs!$C$9,0,MIN(IF(ISERROR(VLOOKUP(AR$134+$F140,$D$135:$D$165,1,FALSE)),0,AQ8*$C$2),MAX((IF(Monthly!AN$4=TRUE,Monthly!AN$13,Monthly!AN$14)*(1+'Attrition Modeling'!$N$8)-'IP Attrition'!AQ$65)/12*'IP Attrition'!AQ75,0)))</f>
        <v>0</v>
      </c>
      <c r="AS140" s="799">
        <f>IF(EOMONTH(Inputs!$C$8,'IP Attrition'!AS$134-1)&lt;=Inputs!$C$9,0,MIN(IF(ISERROR(VLOOKUP(AS$134+$F140,$D$135:$D$165,1,FALSE)),0,AR8*$C$2),MAX((IF(Monthly!AO$4=TRUE,Monthly!AO$13,Monthly!AO$14)*(1+'Attrition Modeling'!$N$8)-'IP Attrition'!AR$65)/12*'IP Attrition'!AR75,0)))</f>
        <v>0</v>
      </c>
      <c r="AT140" s="799">
        <f>IF(EOMONTH(Inputs!$C$8,'IP Attrition'!AT$134-1)&lt;=Inputs!$C$9,0,MIN(IF(ISERROR(VLOOKUP(AT$134+$F140,$D$135:$D$165,1,FALSE)),0,AS8*$C$2),MAX((IF(Monthly!AP$4=TRUE,Monthly!AP$13,Monthly!AP$14)*(1+'Attrition Modeling'!$N$8)-'IP Attrition'!AS$65)/12*'IP Attrition'!AS75,0)))</f>
        <v>0</v>
      </c>
      <c r="AU140" s="799">
        <f>IF(EOMONTH(Inputs!$C$8,'IP Attrition'!AU$134-1)&lt;=Inputs!$C$9,0,MIN(IF(ISERROR(VLOOKUP(AU$134+$F140,$D$135:$D$165,1,FALSE)),0,AT8*$C$2),MAX((IF(Monthly!AQ$4=TRUE,Monthly!AQ$13,Monthly!AQ$14)*(1+'Attrition Modeling'!$N$8)-'IP Attrition'!AT$65)/12*'IP Attrition'!AT75,0)))</f>
        <v>0</v>
      </c>
      <c r="AV140" s="799">
        <f>IF(EOMONTH(Inputs!$C$8,'IP Attrition'!AV$134-1)&lt;=Inputs!$C$9,0,MIN(IF(ISERROR(VLOOKUP(AV$134+$F140,$D$135:$D$165,1,FALSE)),0,AU8*$C$2),MAX((IF(Monthly!AR$4=TRUE,Monthly!AR$13,Monthly!AR$14)*(1+'Attrition Modeling'!$N$8)-'IP Attrition'!AU$65)/12*'IP Attrition'!AU75,0)))</f>
        <v>0</v>
      </c>
      <c r="AW140" s="799">
        <f>IF(EOMONTH(Inputs!$C$8,'IP Attrition'!AW$134-1)&lt;=Inputs!$C$9,0,MIN(IF(ISERROR(VLOOKUP(AW$134+$F140,$D$135:$D$165,1,FALSE)),0,AV8*$C$2),MAX((IF(Monthly!AS$4=TRUE,Monthly!AS$13,Monthly!AS$14)*(1+'Attrition Modeling'!$N$8)-'IP Attrition'!AV$65)/12*'IP Attrition'!AV75,0)))</f>
        <v>0</v>
      </c>
      <c r="AX140" s="799">
        <f>IF(EOMONTH(Inputs!$C$8,'IP Attrition'!AX$134-1)&lt;=Inputs!$C$9,0,MIN(IF(ISERROR(VLOOKUP(AX$134+$F140,$D$135:$D$165,1,FALSE)),0,AW8*$C$2),MAX((IF(Monthly!AT$4=TRUE,Monthly!AT$13,Monthly!AT$14)*(1+'Attrition Modeling'!$N$8)-'IP Attrition'!AW$65)/12*'IP Attrition'!AW75,0)))</f>
        <v>0</v>
      </c>
      <c r="AY140" s="799">
        <f>IF(EOMONTH(Inputs!$C$8,'IP Attrition'!AY$134-1)&lt;=Inputs!$C$9,0,MIN(IF(ISERROR(VLOOKUP(AY$134+$F140,$D$135:$D$165,1,FALSE)),0,AX8*$C$2),MAX((IF(Monthly!AU$4=TRUE,Monthly!AU$13,Monthly!AU$14)*(1+'Attrition Modeling'!$N$8)-'IP Attrition'!AX$65)/12*'IP Attrition'!AX75,0)))</f>
        <v>0</v>
      </c>
      <c r="AZ140" s="799">
        <f>IF(EOMONTH(Inputs!$C$8,'IP Attrition'!AZ$134-1)&lt;=Inputs!$C$9,0,MIN(IF(ISERROR(VLOOKUP(AZ$134+$F140,$D$135:$D$165,1,FALSE)),0,AY8*$C$2),MAX((IF(Monthly!AV$4=TRUE,Monthly!AV$13,Monthly!AV$14)*(1+'Attrition Modeling'!$N$8)-'IP Attrition'!AY$65)/12*'IP Attrition'!AY75,0)))</f>
        <v>0</v>
      </c>
      <c r="BA140" s="799">
        <f>IF(EOMONTH(Inputs!$C$8,'IP Attrition'!BA$134-1)&lt;=Inputs!$C$9,0,MIN(IF(ISERROR(VLOOKUP(BA$134+$F140,$D$135:$D$165,1,FALSE)),0,AZ8*$C$2),MAX((IF(Monthly!AW$4=TRUE,Monthly!AW$13,Monthly!AW$14)*(1+'Attrition Modeling'!$N$8)-'IP Attrition'!AZ$65)/12*'IP Attrition'!AZ75,0)))</f>
        <v>0</v>
      </c>
      <c r="BB140" s="799">
        <f>IF(EOMONTH(Inputs!$C$8,'IP Attrition'!BB$134-1)&lt;=Inputs!$C$9,0,MIN(IF(ISERROR(VLOOKUP(BB$134+$F140,$D$135:$D$165,1,FALSE)),0,BA8*$C$2),MAX((IF(Monthly!AX$4=TRUE,Monthly!AX$13,Monthly!AX$14)*(1+'Attrition Modeling'!$N$8)-'IP Attrition'!BA$65)/12*'IP Attrition'!BA75,0)))</f>
        <v>0</v>
      </c>
      <c r="BC140" s="799">
        <f>IF(EOMONTH(Inputs!$C$8,'IP Attrition'!BC$134-1)&lt;=Inputs!$C$9,0,MIN(IF(ISERROR(VLOOKUP(BC$134+$F140,$D$135:$D$165,1,FALSE)),0,BB8*$C$2),MAX((IF(Monthly!AY$4=TRUE,Monthly!AY$13,Monthly!AY$14)*(1+'Attrition Modeling'!$N$8)-'IP Attrition'!BB$65)/12*'IP Attrition'!BB75,0)))</f>
        <v>0</v>
      </c>
      <c r="BD140" s="799">
        <f>IF(EOMONTH(Inputs!$C$8,'IP Attrition'!BD$134-1)&lt;=Inputs!$C$9,0,MIN(IF(ISERROR(VLOOKUP(BD$134+$F140,$D$135:$D$165,1,FALSE)),0,BC8*$C$2),MAX((IF(Monthly!AZ$4=TRUE,Monthly!AZ$13,Monthly!AZ$14)*(1+'Attrition Modeling'!$N$8)-'IP Attrition'!BC$65)/12*'IP Attrition'!BC75,0)))</f>
        <v>0</v>
      </c>
      <c r="BE140" s="799">
        <f>IF(EOMONTH(Inputs!$C$8,'IP Attrition'!BE$134-1)&lt;=Inputs!$C$9,0,MIN(IF(ISERROR(VLOOKUP(BE$134+$F140,$D$135:$D$165,1,FALSE)),0,BD8*$C$2),MAX((IF(Monthly!BA$4=TRUE,Monthly!BA$13,Monthly!BA$14)*(1+'Attrition Modeling'!$N$8)-'IP Attrition'!BD$65)/12*'IP Attrition'!BD75,0)))</f>
        <v>0</v>
      </c>
      <c r="BF140" s="799">
        <f>IF(EOMONTH(Inputs!$C$8,'IP Attrition'!BF$134-1)&lt;=Inputs!$C$9,0,MIN(IF(ISERROR(VLOOKUP(BF$134+$F140,$D$135:$D$165,1,FALSE)),0,BE8*$C$2),MAX((IF(Monthly!BB$4=TRUE,Monthly!BB$13,Monthly!BB$14)*(1+'Attrition Modeling'!$N$8)-'IP Attrition'!BE$65)/12*'IP Attrition'!BE75,0)))</f>
        <v>0</v>
      </c>
      <c r="BG140" s="799">
        <f>IF(EOMONTH(Inputs!$C$8,'IP Attrition'!BG$134-1)&lt;=Inputs!$C$9,0,MIN(IF(ISERROR(VLOOKUP(BG$134+$F140,$D$135:$D$165,1,FALSE)),0,BF8*$C$2),MAX((IF(Monthly!BC$4=TRUE,Monthly!BC$13,Monthly!BC$14)*(1+'Attrition Modeling'!$N$8)-'IP Attrition'!BF$65)/12*'IP Attrition'!BF75,0)))</f>
        <v>0</v>
      </c>
      <c r="BH140" s="799">
        <f>IF(EOMONTH(Inputs!$C$8,'IP Attrition'!BH$134-1)&lt;=Inputs!$C$9,0,MIN(IF(ISERROR(VLOOKUP(BH$134+$F140,$D$135:$D$165,1,FALSE)),0,BG8*$C$2),MAX((IF(Monthly!BD$4=TRUE,Monthly!BD$13,Monthly!BD$14)*(1+'Attrition Modeling'!$N$8)-'IP Attrition'!BG$65)/12*'IP Attrition'!BG75,0)))</f>
        <v>0</v>
      </c>
      <c r="BI140" s="799">
        <f>IF(EOMONTH(Inputs!$C$8,'IP Attrition'!BI$134-1)&lt;=Inputs!$C$9,0,MIN(IF(ISERROR(VLOOKUP(BI$134+$F140,$D$135:$D$165,1,FALSE)),0,BH8*$C$2),MAX((IF(Monthly!BE$4=TRUE,Monthly!BE$13,Monthly!BE$14)*(1+'Attrition Modeling'!$N$8)-'IP Attrition'!BH$65)/12*'IP Attrition'!BH75,0)))</f>
        <v>0</v>
      </c>
      <c r="BJ140" s="799">
        <f>IF(EOMONTH(Inputs!$C$8,'IP Attrition'!BJ$134-1)&lt;=Inputs!$C$9,0,MIN(IF(ISERROR(VLOOKUP(BJ$134+$F140,$D$135:$D$165,1,FALSE)),0,BI8*$C$2),MAX((IF(Monthly!BF$4=TRUE,Monthly!BF$13,Monthly!BF$14)*(1+'Attrition Modeling'!$N$8)-'IP Attrition'!BI$65)/12*'IP Attrition'!BI75,0)))</f>
        <v>0</v>
      </c>
      <c r="BK140" s="799">
        <f>IF(EOMONTH(Inputs!$C$8,'IP Attrition'!BK$134-1)&lt;=Inputs!$C$9,0,MIN(IF(ISERROR(VLOOKUP(BK$134+$F140,$D$135:$D$165,1,FALSE)),0,BJ8*$C$2),MAX((IF(Monthly!BG$4=TRUE,Monthly!BG$13,Monthly!BG$14)*(1+'Attrition Modeling'!$N$8)-'IP Attrition'!BJ$65)/12*'IP Attrition'!BJ75,0)))</f>
        <v>0</v>
      </c>
      <c r="BL140" s="799">
        <f>IF(EOMONTH(Inputs!$C$8,'IP Attrition'!BL$134-1)&lt;=Inputs!$C$9,0,MIN(IF(ISERROR(VLOOKUP(BL$134+$F140,$D$135:$D$165,1,FALSE)),0,BK8*$C$2),MAX((IF(Monthly!BH$4=TRUE,Monthly!BH$13,Monthly!BH$14)*(1+'Attrition Modeling'!$N$8)-'IP Attrition'!BK$65)/12*'IP Attrition'!BK75,0)))</f>
        <v>0</v>
      </c>
      <c r="BM140" s="799">
        <f>IF(EOMONTH(Inputs!$C$8,'IP Attrition'!BM$134-1)&lt;=Inputs!$C$9,0,MIN(IF(ISERROR(VLOOKUP(BM$134+$F140,$D$135:$D$165,1,FALSE)),0,BL8*$C$2),MAX((IF(Monthly!BI$4=TRUE,Monthly!BI$13,Monthly!BI$14)*(1+'Attrition Modeling'!$N$8)-'IP Attrition'!BL$65)/12*'IP Attrition'!BL75,0)))</f>
        <v>0</v>
      </c>
      <c r="BN140" s="799">
        <f>IF(EOMONTH(Inputs!$C$8,'IP Attrition'!BN$134-1)&lt;=Inputs!$C$9,0,MIN(IF(ISERROR(VLOOKUP(BN$134+$F140,$D$135:$D$165,1,FALSE)),0,BM8*$C$2),MAX((IF(Monthly!BJ$4=TRUE,Monthly!BJ$13,Monthly!BJ$14)*(1+'Attrition Modeling'!$N$8)-'IP Attrition'!BM$65)/12*'IP Attrition'!BM75,0)))</f>
        <v>0</v>
      </c>
      <c r="BO140" s="799">
        <f>IF(EOMONTH(Inputs!$C$8,'IP Attrition'!BO$134-1)&lt;=Inputs!$C$9,0,MIN(IF(ISERROR(VLOOKUP(BO$134+$F140,$D$135:$D$165,1,FALSE)),0,BN8*$C$2),MAX((IF(Monthly!BK$4=TRUE,Monthly!BK$13,Monthly!BK$14)*(1+'Attrition Modeling'!$N$8)-'IP Attrition'!BN$65)/12*'IP Attrition'!BN75,0)))</f>
        <v>0</v>
      </c>
      <c r="BP140" s="799">
        <f>IF(EOMONTH(Inputs!$C$8,'IP Attrition'!BP$134-1)&lt;=Inputs!$C$9,0,MIN(IF(ISERROR(VLOOKUP(BP$134+$F140,$D$135:$D$165,1,FALSE)),0,BO8*$C$2),MAX((IF(Monthly!BL$4=TRUE,Monthly!BL$13,Monthly!BL$14)*(1+'Attrition Modeling'!$N$8)-'IP Attrition'!BO$65)/12*'IP Attrition'!BO75,0)))</f>
        <v>0</v>
      </c>
      <c r="BQ140" s="799">
        <f>IF(EOMONTH(Inputs!$C$8,'IP Attrition'!BQ$134-1)&lt;=Inputs!$C$9,0,MIN(IF(ISERROR(VLOOKUP(BQ$134+$F140,$D$135:$D$165,1,FALSE)),0,BP8*$C$2),MAX((IF(Monthly!BM$4=TRUE,Monthly!BM$13,Monthly!BM$14)*(1+'Attrition Modeling'!$N$8)-'IP Attrition'!BP$65)/12*'IP Attrition'!BP75,0)))</f>
        <v>0</v>
      </c>
      <c r="BR140" s="799">
        <f>IF(EOMONTH(Inputs!$C$8,'IP Attrition'!BR$134-1)&lt;=Inputs!$C$9,0,MIN(IF(ISERROR(VLOOKUP(BR$134+$F140,$D$135:$D$165,1,FALSE)),0,BQ8*$C$2),MAX((IF(Monthly!BN$4=TRUE,Monthly!BN$13,Monthly!BN$14)*(1+'Attrition Modeling'!$N$8)-'IP Attrition'!BQ$65)/12*'IP Attrition'!BQ75,0)))</f>
        <v>0</v>
      </c>
      <c r="BS140" s="799">
        <f>IF(EOMONTH(Inputs!$C$8,'IP Attrition'!BS$134-1)&lt;=Inputs!$C$9,0,MIN(IF(ISERROR(VLOOKUP(BS$134+$F140,$D$135:$D$165,1,FALSE)),0,BR8*$C$2),MAX((IF(Monthly!BO$4=TRUE,Monthly!BO$13,Monthly!BO$14)*(1+'Attrition Modeling'!$N$8)-'IP Attrition'!BR$65)/12*'IP Attrition'!BR75,0)))</f>
        <v>0</v>
      </c>
      <c r="BT140" s="799" t="e">
        <f>IF(EOMONTH(Inputs!$C$8,'IP Attrition'!BT$134-1)&lt;=Inputs!$C$9,0,MIN(IF(ISERROR(VLOOKUP(BT$134+$F140,$D$135:$D$165,1,FALSE)),0,BS8*$C$2),MAX((IF(Monthly!#REF!=TRUE,Monthly!#REF!,Monthly!#REF!)*(1+'Attrition Modeling'!$N$8)-'IP Attrition'!BS$65)/12*'IP Attrition'!BS75,0)))</f>
        <v>#REF!</v>
      </c>
      <c r="BU140" s="799" t="e">
        <f>IF(EOMONTH(Inputs!$C$8,'IP Attrition'!BU$134-1)&lt;=Inputs!$C$9,0,MIN(IF(ISERROR(VLOOKUP(BU$134+$F140,$D$135:$D$165,1,FALSE)),0,BT8*$C$2),MAX((IF(Monthly!#REF!=TRUE,Monthly!#REF!,Monthly!#REF!)*(1+'Attrition Modeling'!$N$8)-'IP Attrition'!BT$65)/12*'IP Attrition'!BT75,0)))</f>
        <v>#REF!</v>
      </c>
    </row>
    <row r="141" spans="1:73" ht="14.25" customHeight="1" x14ac:dyDescent="0.2">
      <c r="A141" s="9">
        <v>134</v>
      </c>
      <c r="B141" s="25">
        <f>MAX('Attrition Modeling'!H138,$C$3)*(1-Summary!$C$20)</f>
        <v>0.02</v>
      </c>
      <c r="C141" s="24" t="e">
        <f t="shared" si="3"/>
        <v>#DIV/0!</v>
      </c>
      <c r="D141" s="11">
        <f t="shared" si="72"/>
        <v>78</v>
      </c>
      <c r="E141" s="25">
        <f t="shared" si="71"/>
        <v>5.9587919617418876E-2</v>
      </c>
      <c r="F141" s="11">
        <f t="shared" si="73"/>
        <v>6</v>
      </c>
      <c r="G141" s="799"/>
      <c r="H141" s="799">
        <f>IF(EOMONTH(Inputs!$C$8,'IP Attrition'!H$134-1)&lt;=Inputs!$C$9,0,MIN(IF(ISERROR(VLOOKUP(H$134+$F141,$D$135:$D$165,1,FALSE)),0,G9*$C$2),MAX((IF(Monthly!D$4=TRUE,Monthly!D$13,Monthly!D$14)*(1+'Attrition Modeling'!$N$8)-'IP Attrition'!G$65)/12*'IP Attrition'!G76,0)))</f>
        <v>0</v>
      </c>
      <c r="I141" s="799">
        <f>IF(EOMONTH(Inputs!$C$8,'IP Attrition'!I$134-1)&lt;=Inputs!$C$9,0,MIN(IF(ISERROR(VLOOKUP(I$134+$F141,$D$135:$D$165,1,FALSE)),0,H9*$C$2),MAX((IF(Monthly!E$4=TRUE,Monthly!E$13,Monthly!E$14)*(1+'Attrition Modeling'!$N$8)-'IP Attrition'!H$65)/12*'IP Attrition'!H76,0)))</f>
        <v>0</v>
      </c>
      <c r="J141" s="799">
        <f>IF(EOMONTH(Inputs!$C$8,'IP Attrition'!J$134-1)&lt;=Inputs!$C$9,0,MIN(IF(ISERROR(VLOOKUP(J$134+$F141,$D$135:$D$165,1,FALSE)),0,I9*$C$2),MAX((IF(Monthly!F$4=TRUE,Monthly!F$13,Monthly!F$14)*(1+'Attrition Modeling'!$N$8)-'IP Attrition'!I$65)/12*'IP Attrition'!I76,0)))</f>
        <v>0</v>
      </c>
      <c r="K141" s="799">
        <f>IF(EOMONTH(Inputs!$C$8,'IP Attrition'!K$134-1)&lt;=Inputs!$C$9,0,MIN(IF(ISERROR(VLOOKUP(K$134+$F141,$D$135:$D$165,1,FALSE)),0,J9*$C$2),MAX((IF(Monthly!G$4=TRUE,Monthly!G$13,Monthly!G$14)*(1+'Attrition Modeling'!$N$8)-'IP Attrition'!J$65)/12*'IP Attrition'!J76,0)))</f>
        <v>0</v>
      </c>
      <c r="L141" s="799">
        <f>IF(EOMONTH(Inputs!$C$8,'IP Attrition'!L$134-1)&lt;=Inputs!$C$9,0,MIN(IF(ISERROR(VLOOKUP(L$134+$F141,$D$135:$D$165,1,FALSE)),0,K9*$C$2),MAX((IF(Monthly!H$4=TRUE,Monthly!H$13,Monthly!H$14)*(1+'Attrition Modeling'!$N$8)-'IP Attrition'!K$65)/12*'IP Attrition'!K76,0)))</f>
        <v>0</v>
      </c>
      <c r="M141" s="799">
        <f>IF(EOMONTH(Inputs!$C$8,'IP Attrition'!M$134-1)&lt;=Inputs!$C$9,0,MIN(IF(ISERROR(VLOOKUP(M$134+$F141,$D$135:$D$165,1,FALSE)),0,L9*$C$2),MAX((IF(Monthly!I$4=TRUE,Monthly!I$13,Monthly!I$14)*(1+'Attrition Modeling'!$N$8)-'IP Attrition'!L$65)/12*'IP Attrition'!L76,0)))</f>
        <v>0</v>
      </c>
      <c r="N141" s="799">
        <f>IF(EOMONTH(Inputs!$C$8,'IP Attrition'!N$134-1)&lt;=Inputs!$C$9,0,MIN(IF(ISERROR(VLOOKUP(N$134+$F141,$D$135:$D$165,1,FALSE)),0,M9*$C$2),MAX((IF(Monthly!J$4=TRUE,Monthly!J$13,Monthly!J$14)*(1+'Attrition Modeling'!$N$8)-'IP Attrition'!M$65)/12*'IP Attrition'!M76,0)))</f>
        <v>0</v>
      </c>
      <c r="O141" s="799">
        <f>IF(EOMONTH(Inputs!$C$8,'IP Attrition'!O$134-1)&lt;=Inputs!$C$9,0,MIN(IF(ISERROR(VLOOKUP(O$134+$F141,$D$135:$D$165,1,FALSE)),0,N9*$C$2),MAX((IF(Monthly!K$4=TRUE,Monthly!K$13,Monthly!K$14)*(1+'Attrition Modeling'!$N$8)-'IP Attrition'!N$65)/12*'IP Attrition'!N76,0)))</f>
        <v>0</v>
      </c>
      <c r="P141" s="799">
        <f>IF(EOMONTH(Inputs!$C$8,'IP Attrition'!P$134-1)&lt;=Inputs!$C$9,0,MIN(IF(ISERROR(VLOOKUP(P$134+$F141,$D$135:$D$165,1,FALSE)),0,O9*$C$2),MAX((IF(Monthly!L$4=TRUE,Monthly!L$13,Monthly!L$14)*(1+'Attrition Modeling'!$N$8)-'IP Attrition'!O$65)/12*'IP Attrition'!O76,0)))</f>
        <v>0</v>
      </c>
      <c r="Q141" s="799">
        <f>IF(EOMONTH(Inputs!$C$8,'IP Attrition'!Q$134-1)&lt;=Inputs!$C$9,0,MIN(IF(ISERROR(VLOOKUP(Q$134+$F141,$D$135:$D$165,1,FALSE)),0,P9*$C$2),MAX((IF(Monthly!M$4=TRUE,Monthly!M$13,Monthly!M$14)*(1+'Attrition Modeling'!$N$8)-'IP Attrition'!P$65)/12*'IP Attrition'!P76,0)))</f>
        <v>0</v>
      </c>
      <c r="R141" s="799">
        <f>IF(EOMONTH(Inputs!$C$8,'IP Attrition'!R$134-1)&lt;=Inputs!$C$9,0,MIN(IF(ISERROR(VLOOKUP(R$134+$F141,$D$135:$D$165,1,FALSE)),0,Q9*$C$2),MAX((IF(Monthly!N$4=TRUE,Monthly!N$13,Monthly!N$14)*(1+'Attrition Modeling'!$N$8)-'IP Attrition'!Q$65)/12*'IP Attrition'!Q76,0)))</f>
        <v>0</v>
      </c>
      <c r="S141" s="799">
        <f>IF(EOMONTH(Inputs!$C$8,'IP Attrition'!S$134-1)&lt;=Inputs!$C$9,0,MIN(IF(ISERROR(VLOOKUP(S$134+$F141,$D$135:$D$165,1,FALSE)),0,R9*$C$2),MAX((IF(Monthly!O$4=TRUE,Monthly!O$13,Monthly!O$14)*(1+'Attrition Modeling'!$N$8)-'IP Attrition'!R$65)/12*'IP Attrition'!R76,0)))</f>
        <v>0</v>
      </c>
      <c r="T141" s="799">
        <f>IF(EOMONTH(Inputs!$C$8,'IP Attrition'!T$134-1)&lt;=Inputs!$C$9,0,MIN(IF(ISERROR(VLOOKUP(T$134+$F141,$D$135:$D$165,1,FALSE)),0,S9*$C$2),MAX((IF(Monthly!P$4=TRUE,Monthly!P$13,Monthly!P$14)*(1+'Attrition Modeling'!$N$8)-'IP Attrition'!S$65)/12*'IP Attrition'!S76,0)))</f>
        <v>0</v>
      </c>
      <c r="U141" s="799">
        <f>IF(EOMONTH(Inputs!$C$8,'IP Attrition'!U$134-1)&lt;=Inputs!$C$9,0,MIN(IF(ISERROR(VLOOKUP(U$134+$F141,$D$135:$D$165,1,FALSE)),0,T9*$C$2),MAX((IF(Monthly!Q$4=TRUE,Monthly!Q$13,Monthly!Q$14)*(1+'Attrition Modeling'!$N$8)-'IP Attrition'!T$65)/12*'IP Attrition'!T76,0)))</f>
        <v>0</v>
      </c>
      <c r="V141" s="799">
        <f>IF(EOMONTH(Inputs!$C$8,'IP Attrition'!V$134-1)&lt;=Inputs!$C$9,0,MIN(IF(ISERROR(VLOOKUP(V$134+$F141,$D$135:$D$165,1,FALSE)),0,U9*$C$2),MAX((IF(Monthly!R$4=TRUE,Monthly!R$13,Monthly!R$14)*(1+'Attrition Modeling'!$N$8)-'IP Attrition'!U$65)/12*'IP Attrition'!U76,0)))</f>
        <v>0</v>
      </c>
      <c r="W141" s="799">
        <f>IF(EOMONTH(Inputs!$C$8,'IP Attrition'!W$134-1)&lt;=Inputs!$C$9,0,MIN(IF(ISERROR(VLOOKUP(W$134+$F141,$D$135:$D$165,1,FALSE)),0,V9*$C$2),MAX((IF(Monthly!S$4=TRUE,Monthly!S$13,Monthly!S$14)*(1+'Attrition Modeling'!$N$8)-'IP Attrition'!V$65)/12*'IP Attrition'!V76,0)))</f>
        <v>0</v>
      </c>
      <c r="X141" s="799">
        <f>IF(EOMONTH(Inputs!$C$8,'IP Attrition'!X$134-1)&lt;=Inputs!$C$9,0,MIN(IF(ISERROR(VLOOKUP(X$134+$F141,$D$135:$D$165,1,FALSE)),0,W9*$C$2),MAX((IF(Monthly!T$4=TRUE,Monthly!T$13,Monthly!T$14)*(1+'Attrition Modeling'!$N$8)-'IP Attrition'!W$65)/12*'IP Attrition'!W76,0)))</f>
        <v>0</v>
      </c>
      <c r="Y141" s="799">
        <f>IF(EOMONTH(Inputs!$C$8,'IP Attrition'!Y$134-1)&lt;=Inputs!$C$9,0,MIN(IF(ISERROR(VLOOKUP(Y$134+$F141,$D$135:$D$165,1,FALSE)),0,X9*$C$2),MAX((IF(Monthly!U$4=TRUE,Monthly!U$13,Monthly!U$14)*(1+'Attrition Modeling'!$N$8)-'IP Attrition'!X$65)/12*'IP Attrition'!X76,0)))</f>
        <v>0</v>
      </c>
      <c r="Z141" s="799">
        <f>IF(EOMONTH(Inputs!$C$8,'IP Attrition'!Z$134-1)&lt;=Inputs!$C$9,0,MIN(IF(ISERROR(VLOOKUP(Z$134+$F141,$D$135:$D$165,1,FALSE)),0,Y9*$C$2),MAX((IF(Monthly!V$4=TRUE,Monthly!V$13,Monthly!V$14)*(1+'Attrition Modeling'!$N$8)-'IP Attrition'!Y$65)/12*'IP Attrition'!Y76,0)))</f>
        <v>0</v>
      </c>
      <c r="AA141" s="799">
        <f>IF(EOMONTH(Inputs!$C$8,'IP Attrition'!AA$134-1)&lt;=Inputs!$C$9,0,MIN(IF(ISERROR(VLOOKUP(AA$134+$F141,$D$135:$D$165,1,FALSE)),0,Z9*$C$2),MAX((IF(Monthly!W$4=TRUE,Monthly!W$13,Monthly!W$14)*(1+'Attrition Modeling'!$N$8)-'IP Attrition'!Z$65)/12*'IP Attrition'!Z76,0)))</f>
        <v>0</v>
      </c>
      <c r="AB141" s="799">
        <f>IF(EOMONTH(Inputs!$C$8,'IP Attrition'!AB$134-1)&lt;=Inputs!$C$9,0,MIN(IF(ISERROR(VLOOKUP(AB$134+$F141,$D$135:$D$165,1,FALSE)),0,AA9*$C$2),MAX((IF(Monthly!X$4=TRUE,Monthly!X$13,Monthly!X$14)*(1+'Attrition Modeling'!$N$8)-'IP Attrition'!AA$65)/12*'IP Attrition'!AA76,0)))</f>
        <v>0</v>
      </c>
      <c r="AC141" s="799">
        <f>IF(EOMONTH(Inputs!$C$8,'IP Attrition'!AC$134-1)&lt;=Inputs!$C$9,0,MIN(IF(ISERROR(VLOOKUP(AC$134+$F141,$D$135:$D$165,1,FALSE)),0,AB9*$C$2),MAX((IF(Monthly!Y$4=TRUE,Monthly!Y$13,Monthly!Y$14)*(1+'Attrition Modeling'!$N$8)-'IP Attrition'!AB$65)/12*'IP Attrition'!AB76,0)))</f>
        <v>0</v>
      </c>
      <c r="AD141" s="799">
        <f>IF(EOMONTH(Inputs!$C$8,'IP Attrition'!AD$134-1)&lt;=Inputs!$C$9,0,MIN(IF(ISERROR(VLOOKUP(AD$134+$F141,$D$135:$D$165,1,FALSE)),0,AC9*$C$2),MAX((IF(Monthly!Z$4=TRUE,Monthly!Z$13,Monthly!Z$14)*(1+'Attrition Modeling'!$N$8)-'IP Attrition'!AC$65)/12*'IP Attrition'!AC76,0)))</f>
        <v>0</v>
      </c>
      <c r="AE141" s="799">
        <f>IF(EOMONTH(Inputs!$C$8,'IP Attrition'!AE$134-1)&lt;=Inputs!$C$9,0,MIN(IF(ISERROR(VLOOKUP(AE$134+$F141,$D$135:$D$165,1,FALSE)),0,AD9*$C$2),MAX((IF(Monthly!AA$4=TRUE,Monthly!AA$13,Monthly!AA$14)*(1+'Attrition Modeling'!$N$8)-'IP Attrition'!AD$65)/12*'IP Attrition'!AD76,0)))</f>
        <v>0</v>
      </c>
      <c r="AF141" s="799">
        <f>IF(EOMONTH(Inputs!$C$8,'IP Attrition'!AF$134-1)&lt;=Inputs!$C$9,0,MIN(IF(ISERROR(VLOOKUP(AF$134+$F141,$D$135:$D$165,1,FALSE)),0,AE9*$C$2),MAX((IF(Monthly!AB$4=TRUE,Monthly!AB$13,Monthly!AB$14)*(1+'Attrition Modeling'!$N$8)-'IP Attrition'!AE$65)/12*'IP Attrition'!AE76,0)))</f>
        <v>0</v>
      </c>
      <c r="AG141" s="799">
        <f>IF(EOMONTH(Inputs!$C$8,'IP Attrition'!AG$134-1)&lt;=Inputs!$C$9,0,MIN(IF(ISERROR(VLOOKUP(AG$134+$F141,$D$135:$D$165,1,FALSE)),0,AF9*$C$2),MAX((IF(Monthly!AC$4=TRUE,Monthly!AC$13,Monthly!AC$14)*(1+'Attrition Modeling'!$N$8)-'IP Attrition'!AF$65)/12*'IP Attrition'!AF76,0)))</f>
        <v>0</v>
      </c>
      <c r="AH141" s="799">
        <f>IF(EOMONTH(Inputs!$C$8,'IP Attrition'!AH$134-1)&lt;=Inputs!$C$9,0,MIN(IF(ISERROR(VLOOKUP(AH$134+$F141,$D$135:$D$165,1,FALSE)),0,AG9*$C$2),MAX((IF(Monthly!AD$4=TRUE,Monthly!AD$13,Monthly!AD$14)*(1+'Attrition Modeling'!$N$8)-'IP Attrition'!AG$65)/12*'IP Attrition'!AG76,0)))</f>
        <v>0</v>
      </c>
      <c r="AI141" s="799">
        <f>IF(EOMONTH(Inputs!$C$8,'IP Attrition'!AI$134-1)&lt;=Inputs!$C$9,0,MIN(IF(ISERROR(VLOOKUP(AI$134+$F141,$D$135:$D$165,1,FALSE)),0,AH9*$C$2),MAX((IF(Monthly!AE$4=TRUE,Monthly!AE$13,Monthly!AE$14)*(1+'Attrition Modeling'!$N$8)-'IP Attrition'!AH$65)/12*'IP Attrition'!AH76,0)))</f>
        <v>0</v>
      </c>
      <c r="AJ141" s="799">
        <f>IF(EOMONTH(Inputs!$C$8,'IP Attrition'!AJ$134-1)&lt;=Inputs!$C$9,0,MIN(IF(ISERROR(VLOOKUP(AJ$134+$F141,$D$135:$D$165,1,FALSE)),0,AI9*$C$2),MAX((IF(Monthly!AF$4=TRUE,Monthly!AF$13,Monthly!AF$14)*(1+'Attrition Modeling'!$N$8)-'IP Attrition'!AI$65)/12*'IP Attrition'!AI76,0)))</f>
        <v>0</v>
      </c>
      <c r="AK141" s="799">
        <f>IF(EOMONTH(Inputs!$C$8,'IP Attrition'!AK$134-1)&lt;=Inputs!$C$9,0,MIN(IF(ISERROR(VLOOKUP(AK$134+$F141,$D$135:$D$165,1,FALSE)),0,AJ9*$C$2),MAX((IF(Monthly!AG$4=TRUE,Monthly!AG$13,Monthly!AG$14)*(1+'Attrition Modeling'!$N$8)-'IP Attrition'!AJ$65)/12*'IP Attrition'!AJ76,0)))</f>
        <v>0</v>
      </c>
      <c r="AL141" s="799">
        <f>IF(EOMONTH(Inputs!$C$8,'IP Attrition'!AL$134-1)&lt;=Inputs!$C$9,0,MIN(IF(ISERROR(VLOOKUP(AL$134+$F141,$D$135:$D$165,1,FALSE)),0,AK9*$C$2),MAX((IF(Monthly!AH$4=TRUE,Monthly!AH$13,Monthly!AH$14)*(1+'Attrition Modeling'!$N$8)-'IP Attrition'!AK$65)/12*'IP Attrition'!AK76,0)))</f>
        <v>0</v>
      </c>
      <c r="AM141" s="799">
        <f>IF(EOMONTH(Inputs!$C$8,'IP Attrition'!AM$134-1)&lt;=Inputs!$C$9,0,MIN(IF(ISERROR(VLOOKUP(AM$134+$F141,$D$135:$D$165,1,FALSE)),0,AL9*$C$2),MAX((IF(Monthly!AI$4=TRUE,Monthly!AI$13,Monthly!AI$14)*(1+'Attrition Modeling'!$N$8)-'IP Attrition'!AL$65)/12*'IP Attrition'!AL76,0)))</f>
        <v>0</v>
      </c>
      <c r="AN141" s="799">
        <f>IF(EOMONTH(Inputs!$C$8,'IP Attrition'!AN$134-1)&lt;=Inputs!$C$9,0,MIN(IF(ISERROR(VLOOKUP(AN$134+$F141,$D$135:$D$165,1,FALSE)),0,AM9*$C$2),MAX((IF(Monthly!AJ$4=TRUE,Monthly!AJ$13,Monthly!AJ$14)*(1+'Attrition Modeling'!$N$8)-'IP Attrition'!AM$65)/12*'IP Attrition'!AM76,0)))</f>
        <v>0</v>
      </c>
      <c r="AO141" s="799">
        <f>IF(EOMONTH(Inputs!$C$8,'IP Attrition'!AO$134-1)&lt;=Inputs!$C$9,0,MIN(IF(ISERROR(VLOOKUP(AO$134+$F141,$D$135:$D$165,1,FALSE)),0,AN9*$C$2),MAX((IF(Monthly!AK$4=TRUE,Monthly!AK$13,Monthly!AK$14)*(1+'Attrition Modeling'!$N$8)-'IP Attrition'!AN$65)/12*'IP Attrition'!AN76,0)))</f>
        <v>0</v>
      </c>
      <c r="AP141" s="799">
        <f>IF(EOMONTH(Inputs!$C$8,'IP Attrition'!AP$134-1)&lt;=Inputs!$C$9,0,MIN(IF(ISERROR(VLOOKUP(AP$134+$F141,$D$135:$D$165,1,FALSE)),0,AO9*$C$2),MAX((IF(Monthly!AL$4=TRUE,Monthly!AL$13,Monthly!AL$14)*(1+'Attrition Modeling'!$N$8)-'IP Attrition'!AO$65)/12*'IP Attrition'!AO76,0)))</f>
        <v>0</v>
      </c>
      <c r="AQ141" s="799">
        <f>IF(EOMONTH(Inputs!$C$8,'IP Attrition'!AQ$134-1)&lt;=Inputs!$C$9,0,MIN(IF(ISERROR(VLOOKUP(AQ$134+$F141,$D$135:$D$165,1,FALSE)),0,AP9*$C$2),MAX((IF(Monthly!AM$4=TRUE,Monthly!AM$13,Monthly!AM$14)*(1+'Attrition Modeling'!$N$8)-'IP Attrition'!AP$65)/12*'IP Attrition'!AP76,0)))</f>
        <v>0</v>
      </c>
      <c r="AR141" s="799">
        <f>IF(EOMONTH(Inputs!$C$8,'IP Attrition'!AR$134-1)&lt;=Inputs!$C$9,0,MIN(IF(ISERROR(VLOOKUP(AR$134+$F141,$D$135:$D$165,1,FALSE)),0,AQ9*$C$2),MAX((IF(Monthly!AN$4=TRUE,Monthly!AN$13,Monthly!AN$14)*(1+'Attrition Modeling'!$N$8)-'IP Attrition'!AQ$65)/12*'IP Attrition'!AQ76,0)))</f>
        <v>0</v>
      </c>
      <c r="AS141" s="799">
        <f>IF(EOMONTH(Inputs!$C$8,'IP Attrition'!AS$134-1)&lt;=Inputs!$C$9,0,MIN(IF(ISERROR(VLOOKUP(AS$134+$F141,$D$135:$D$165,1,FALSE)),0,AR9*$C$2),MAX((IF(Monthly!AO$4=TRUE,Monthly!AO$13,Monthly!AO$14)*(1+'Attrition Modeling'!$N$8)-'IP Attrition'!AR$65)/12*'IP Attrition'!AR76,0)))</f>
        <v>0</v>
      </c>
      <c r="AT141" s="799">
        <f>IF(EOMONTH(Inputs!$C$8,'IP Attrition'!AT$134-1)&lt;=Inputs!$C$9,0,MIN(IF(ISERROR(VLOOKUP(AT$134+$F141,$D$135:$D$165,1,FALSE)),0,AS9*$C$2),MAX((IF(Monthly!AP$4=TRUE,Monthly!AP$13,Monthly!AP$14)*(1+'Attrition Modeling'!$N$8)-'IP Attrition'!AS$65)/12*'IP Attrition'!AS76,0)))</f>
        <v>0</v>
      </c>
      <c r="AU141" s="799">
        <f>IF(EOMONTH(Inputs!$C$8,'IP Attrition'!AU$134-1)&lt;=Inputs!$C$9,0,MIN(IF(ISERROR(VLOOKUP(AU$134+$F141,$D$135:$D$165,1,FALSE)),0,AT9*$C$2),MAX((IF(Monthly!AQ$4=TRUE,Monthly!AQ$13,Monthly!AQ$14)*(1+'Attrition Modeling'!$N$8)-'IP Attrition'!AT$65)/12*'IP Attrition'!AT76,0)))</f>
        <v>0</v>
      </c>
      <c r="AV141" s="799">
        <f>IF(EOMONTH(Inputs!$C$8,'IP Attrition'!AV$134-1)&lt;=Inputs!$C$9,0,MIN(IF(ISERROR(VLOOKUP(AV$134+$F141,$D$135:$D$165,1,FALSE)),0,AU9*$C$2),MAX((IF(Monthly!AR$4=TRUE,Monthly!AR$13,Monthly!AR$14)*(1+'Attrition Modeling'!$N$8)-'IP Attrition'!AU$65)/12*'IP Attrition'!AU76,0)))</f>
        <v>0</v>
      </c>
      <c r="AW141" s="799">
        <f>IF(EOMONTH(Inputs!$C$8,'IP Attrition'!AW$134-1)&lt;=Inputs!$C$9,0,MIN(IF(ISERROR(VLOOKUP(AW$134+$F141,$D$135:$D$165,1,FALSE)),0,AV9*$C$2),MAX((IF(Monthly!AS$4=TRUE,Monthly!AS$13,Monthly!AS$14)*(1+'Attrition Modeling'!$N$8)-'IP Attrition'!AV$65)/12*'IP Attrition'!AV76,0)))</f>
        <v>0</v>
      </c>
      <c r="AX141" s="799">
        <f>IF(EOMONTH(Inputs!$C$8,'IP Attrition'!AX$134-1)&lt;=Inputs!$C$9,0,MIN(IF(ISERROR(VLOOKUP(AX$134+$F141,$D$135:$D$165,1,FALSE)),0,AW9*$C$2),MAX((IF(Monthly!AT$4=TRUE,Monthly!AT$13,Monthly!AT$14)*(1+'Attrition Modeling'!$N$8)-'IP Attrition'!AW$65)/12*'IP Attrition'!AW76,0)))</f>
        <v>0</v>
      </c>
      <c r="AY141" s="799">
        <f>IF(EOMONTH(Inputs!$C$8,'IP Attrition'!AY$134-1)&lt;=Inputs!$C$9,0,MIN(IF(ISERROR(VLOOKUP(AY$134+$F141,$D$135:$D$165,1,FALSE)),0,AX9*$C$2),MAX((IF(Monthly!AU$4=TRUE,Monthly!AU$13,Monthly!AU$14)*(1+'Attrition Modeling'!$N$8)-'IP Attrition'!AX$65)/12*'IP Attrition'!AX76,0)))</f>
        <v>0</v>
      </c>
      <c r="AZ141" s="799">
        <f>IF(EOMONTH(Inputs!$C$8,'IP Attrition'!AZ$134-1)&lt;=Inputs!$C$9,0,MIN(IF(ISERROR(VLOOKUP(AZ$134+$F141,$D$135:$D$165,1,FALSE)),0,AY9*$C$2),MAX((IF(Monthly!AV$4=TRUE,Monthly!AV$13,Monthly!AV$14)*(1+'Attrition Modeling'!$N$8)-'IP Attrition'!AY$65)/12*'IP Attrition'!AY76,0)))</f>
        <v>0</v>
      </c>
      <c r="BA141" s="799">
        <f>IF(EOMONTH(Inputs!$C$8,'IP Attrition'!BA$134-1)&lt;=Inputs!$C$9,0,MIN(IF(ISERROR(VLOOKUP(BA$134+$F141,$D$135:$D$165,1,FALSE)),0,AZ9*$C$2),MAX((IF(Monthly!AW$4=TRUE,Monthly!AW$13,Monthly!AW$14)*(1+'Attrition Modeling'!$N$8)-'IP Attrition'!AZ$65)/12*'IP Attrition'!AZ76,0)))</f>
        <v>0</v>
      </c>
      <c r="BB141" s="799">
        <f>IF(EOMONTH(Inputs!$C$8,'IP Attrition'!BB$134-1)&lt;=Inputs!$C$9,0,MIN(IF(ISERROR(VLOOKUP(BB$134+$F141,$D$135:$D$165,1,FALSE)),0,BA9*$C$2),MAX((IF(Monthly!AX$4=TRUE,Monthly!AX$13,Monthly!AX$14)*(1+'Attrition Modeling'!$N$8)-'IP Attrition'!BA$65)/12*'IP Attrition'!BA76,0)))</f>
        <v>0</v>
      </c>
      <c r="BC141" s="799">
        <f>IF(EOMONTH(Inputs!$C$8,'IP Attrition'!BC$134-1)&lt;=Inputs!$C$9,0,MIN(IF(ISERROR(VLOOKUP(BC$134+$F141,$D$135:$D$165,1,FALSE)),0,BB9*$C$2),MAX((IF(Monthly!AY$4=TRUE,Monthly!AY$13,Monthly!AY$14)*(1+'Attrition Modeling'!$N$8)-'IP Attrition'!BB$65)/12*'IP Attrition'!BB76,0)))</f>
        <v>0</v>
      </c>
      <c r="BD141" s="799">
        <f>IF(EOMONTH(Inputs!$C$8,'IP Attrition'!BD$134-1)&lt;=Inputs!$C$9,0,MIN(IF(ISERROR(VLOOKUP(BD$134+$F141,$D$135:$D$165,1,FALSE)),0,BC9*$C$2),MAX((IF(Monthly!AZ$4=TRUE,Monthly!AZ$13,Monthly!AZ$14)*(1+'Attrition Modeling'!$N$8)-'IP Attrition'!BC$65)/12*'IP Attrition'!BC76,0)))</f>
        <v>0</v>
      </c>
      <c r="BE141" s="799">
        <f>IF(EOMONTH(Inputs!$C$8,'IP Attrition'!BE$134-1)&lt;=Inputs!$C$9,0,MIN(IF(ISERROR(VLOOKUP(BE$134+$F141,$D$135:$D$165,1,FALSE)),0,BD9*$C$2),MAX((IF(Monthly!BA$4=TRUE,Monthly!BA$13,Monthly!BA$14)*(1+'Attrition Modeling'!$N$8)-'IP Attrition'!BD$65)/12*'IP Attrition'!BD76,0)))</f>
        <v>0</v>
      </c>
      <c r="BF141" s="799">
        <f>IF(EOMONTH(Inputs!$C$8,'IP Attrition'!BF$134-1)&lt;=Inputs!$C$9,0,MIN(IF(ISERROR(VLOOKUP(BF$134+$F141,$D$135:$D$165,1,FALSE)),0,BE9*$C$2),MAX((IF(Monthly!BB$4=TRUE,Monthly!BB$13,Monthly!BB$14)*(1+'Attrition Modeling'!$N$8)-'IP Attrition'!BE$65)/12*'IP Attrition'!BE76,0)))</f>
        <v>0</v>
      </c>
      <c r="BG141" s="799">
        <f>IF(EOMONTH(Inputs!$C$8,'IP Attrition'!BG$134-1)&lt;=Inputs!$C$9,0,MIN(IF(ISERROR(VLOOKUP(BG$134+$F141,$D$135:$D$165,1,FALSE)),0,BF9*$C$2),MAX((IF(Monthly!BC$4=TRUE,Monthly!BC$13,Monthly!BC$14)*(1+'Attrition Modeling'!$N$8)-'IP Attrition'!BF$65)/12*'IP Attrition'!BF76,0)))</f>
        <v>0</v>
      </c>
      <c r="BH141" s="799">
        <f>IF(EOMONTH(Inputs!$C$8,'IP Attrition'!BH$134-1)&lt;=Inputs!$C$9,0,MIN(IF(ISERROR(VLOOKUP(BH$134+$F141,$D$135:$D$165,1,FALSE)),0,BG9*$C$2),MAX((IF(Monthly!BD$4=TRUE,Monthly!BD$13,Monthly!BD$14)*(1+'Attrition Modeling'!$N$8)-'IP Attrition'!BG$65)/12*'IP Attrition'!BG76,0)))</f>
        <v>0</v>
      </c>
      <c r="BI141" s="799">
        <f>IF(EOMONTH(Inputs!$C$8,'IP Attrition'!BI$134-1)&lt;=Inputs!$C$9,0,MIN(IF(ISERROR(VLOOKUP(BI$134+$F141,$D$135:$D$165,1,FALSE)),0,BH9*$C$2),MAX((IF(Monthly!BE$4=TRUE,Monthly!BE$13,Monthly!BE$14)*(1+'Attrition Modeling'!$N$8)-'IP Attrition'!BH$65)/12*'IP Attrition'!BH76,0)))</f>
        <v>0</v>
      </c>
      <c r="BJ141" s="799">
        <f>IF(EOMONTH(Inputs!$C$8,'IP Attrition'!BJ$134-1)&lt;=Inputs!$C$9,0,MIN(IF(ISERROR(VLOOKUP(BJ$134+$F141,$D$135:$D$165,1,FALSE)),0,BI9*$C$2),MAX((IF(Monthly!BF$4=TRUE,Monthly!BF$13,Monthly!BF$14)*(1+'Attrition Modeling'!$N$8)-'IP Attrition'!BI$65)/12*'IP Attrition'!BI76,0)))</f>
        <v>0</v>
      </c>
      <c r="BK141" s="799">
        <f>IF(EOMONTH(Inputs!$C$8,'IP Attrition'!BK$134-1)&lt;=Inputs!$C$9,0,MIN(IF(ISERROR(VLOOKUP(BK$134+$F141,$D$135:$D$165,1,FALSE)),0,BJ9*$C$2),MAX((IF(Monthly!BG$4=TRUE,Monthly!BG$13,Monthly!BG$14)*(1+'Attrition Modeling'!$N$8)-'IP Attrition'!BJ$65)/12*'IP Attrition'!BJ76,0)))</f>
        <v>0</v>
      </c>
      <c r="BL141" s="799">
        <f>IF(EOMONTH(Inputs!$C$8,'IP Attrition'!BL$134-1)&lt;=Inputs!$C$9,0,MIN(IF(ISERROR(VLOOKUP(BL$134+$F141,$D$135:$D$165,1,FALSE)),0,BK9*$C$2),MAX((IF(Monthly!BH$4=TRUE,Monthly!BH$13,Monthly!BH$14)*(1+'Attrition Modeling'!$N$8)-'IP Attrition'!BK$65)/12*'IP Attrition'!BK76,0)))</f>
        <v>0</v>
      </c>
      <c r="BM141" s="799">
        <f>IF(EOMONTH(Inputs!$C$8,'IP Attrition'!BM$134-1)&lt;=Inputs!$C$9,0,MIN(IF(ISERROR(VLOOKUP(BM$134+$F141,$D$135:$D$165,1,FALSE)),0,BL9*$C$2),MAX((IF(Monthly!BI$4=TRUE,Monthly!BI$13,Monthly!BI$14)*(1+'Attrition Modeling'!$N$8)-'IP Attrition'!BL$65)/12*'IP Attrition'!BL76,0)))</f>
        <v>0</v>
      </c>
      <c r="BN141" s="799">
        <f>IF(EOMONTH(Inputs!$C$8,'IP Attrition'!BN$134-1)&lt;=Inputs!$C$9,0,MIN(IF(ISERROR(VLOOKUP(BN$134+$F141,$D$135:$D$165,1,FALSE)),0,BM9*$C$2),MAX((IF(Monthly!BJ$4=TRUE,Monthly!BJ$13,Monthly!BJ$14)*(1+'Attrition Modeling'!$N$8)-'IP Attrition'!BM$65)/12*'IP Attrition'!BM76,0)))</f>
        <v>0</v>
      </c>
      <c r="BO141" s="799">
        <f>IF(EOMONTH(Inputs!$C$8,'IP Attrition'!BO$134-1)&lt;=Inputs!$C$9,0,MIN(IF(ISERROR(VLOOKUP(BO$134+$F141,$D$135:$D$165,1,FALSE)),0,BN9*$C$2),MAX((IF(Monthly!BK$4=TRUE,Monthly!BK$13,Monthly!BK$14)*(1+'Attrition Modeling'!$N$8)-'IP Attrition'!BN$65)/12*'IP Attrition'!BN76,0)))</f>
        <v>0</v>
      </c>
      <c r="BP141" s="799">
        <f>IF(EOMONTH(Inputs!$C$8,'IP Attrition'!BP$134-1)&lt;=Inputs!$C$9,0,MIN(IF(ISERROR(VLOOKUP(BP$134+$F141,$D$135:$D$165,1,FALSE)),0,BO9*$C$2),MAX((IF(Monthly!BL$4=TRUE,Monthly!BL$13,Monthly!BL$14)*(1+'Attrition Modeling'!$N$8)-'IP Attrition'!BO$65)/12*'IP Attrition'!BO76,0)))</f>
        <v>0</v>
      </c>
      <c r="BQ141" s="799">
        <f>IF(EOMONTH(Inputs!$C$8,'IP Attrition'!BQ$134-1)&lt;=Inputs!$C$9,0,MIN(IF(ISERROR(VLOOKUP(BQ$134+$F141,$D$135:$D$165,1,FALSE)),0,BP9*$C$2),MAX((IF(Monthly!BM$4=TRUE,Monthly!BM$13,Monthly!BM$14)*(1+'Attrition Modeling'!$N$8)-'IP Attrition'!BP$65)/12*'IP Attrition'!BP76,0)))</f>
        <v>0</v>
      </c>
      <c r="BR141" s="799">
        <f>IF(EOMONTH(Inputs!$C$8,'IP Attrition'!BR$134-1)&lt;=Inputs!$C$9,0,MIN(IF(ISERROR(VLOOKUP(BR$134+$F141,$D$135:$D$165,1,FALSE)),0,BQ9*$C$2),MAX((IF(Monthly!BN$4=TRUE,Monthly!BN$13,Monthly!BN$14)*(1+'Attrition Modeling'!$N$8)-'IP Attrition'!BQ$65)/12*'IP Attrition'!BQ76,0)))</f>
        <v>0</v>
      </c>
      <c r="BS141" s="799">
        <f>IF(EOMONTH(Inputs!$C$8,'IP Attrition'!BS$134-1)&lt;=Inputs!$C$9,0,MIN(IF(ISERROR(VLOOKUP(BS$134+$F141,$D$135:$D$165,1,FALSE)),0,BR9*$C$2),MAX((IF(Monthly!BO$4=TRUE,Monthly!BO$13,Monthly!BO$14)*(1+'Attrition Modeling'!$N$8)-'IP Attrition'!BR$65)/12*'IP Attrition'!BR76,0)))</f>
        <v>0</v>
      </c>
      <c r="BT141" s="799" t="e">
        <f>IF(EOMONTH(Inputs!$C$8,'IP Attrition'!BT$134-1)&lt;=Inputs!$C$9,0,MIN(IF(ISERROR(VLOOKUP(BT$134+$F141,$D$135:$D$165,1,FALSE)),0,BS9*$C$2),MAX((IF(Monthly!#REF!=TRUE,Monthly!#REF!,Monthly!#REF!)*(1+'Attrition Modeling'!$N$8)-'IP Attrition'!BS$65)/12*'IP Attrition'!BS76,0)))</f>
        <v>#REF!</v>
      </c>
      <c r="BU141" s="799" t="e">
        <f>IF(EOMONTH(Inputs!$C$8,'IP Attrition'!BU$134-1)&lt;=Inputs!$C$9,0,MIN(IF(ISERROR(VLOOKUP(BU$134+$F141,$D$135:$D$165,1,FALSE)),0,BT9*$C$2),MAX((IF(Monthly!#REF!=TRUE,Monthly!#REF!,Monthly!#REF!)*(1+'Attrition Modeling'!$N$8)-'IP Attrition'!BT$65)/12*'IP Attrition'!BT76,0)))</f>
        <v>#REF!</v>
      </c>
    </row>
    <row r="142" spans="1:73" ht="14.25" customHeight="1" x14ac:dyDescent="0.2">
      <c r="A142" s="9">
        <v>135</v>
      </c>
      <c r="B142" s="25">
        <f>MAX('Attrition Modeling'!H139,$C$3)*(1-Summary!$C$20)</f>
        <v>0.02</v>
      </c>
      <c r="C142" s="24" t="e">
        <f t="shared" si="3"/>
        <v>#DIV/0!</v>
      </c>
      <c r="D142" s="11">
        <f t="shared" si="72"/>
        <v>90</v>
      </c>
      <c r="E142" s="25">
        <f t="shared" si="71"/>
        <v>6.8484235087677175E-2</v>
      </c>
      <c r="F142" s="11">
        <f t="shared" si="73"/>
        <v>7</v>
      </c>
      <c r="G142" s="799"/>
      <c r="H142" s="799">
        <f>IF(EOMONTH(Inputs!$C$8,'IP Attrition'!H$134-1)&lt;=Inputs!$C$9,0,MIN(IF(ISERROR(VLOOKUP(H$134+$F142,$D$135:$D$165,1,FALSE)),0,G10*$C$2),MAX((IF(Monthly!D$4=TRUE,Monthly!D$13,Monthly!D$14)*(1+'Attrition Modeling'!$N$8)-'IP Attrition'!G$65)/12*'IP Attrition'!G77,0)))</f>
        <v>0</v>
      </c>
      <c r="I142" s="799">
        <f>IF(EOMONTH(Inputs!$C$8,'IP Attrition'!I$134-1)&lt;=Inputs!$C$9,0,MIN(IF(ISERROR(VLOOKUP(I$134+$F142,$D$135:$D$165,1,FALSE)),0,H10*$C$2),MAX((IF(Monthly!E$4=TRUE,Monthly!E$13,Monthly!E$14)*(1+'Attrition Modeling'!$N$8)-'IP Attrition'!H$65)/12*'IP Attrition'!H77,0)))</f>
        <v>0</v>
      </c>
      <c r="J142" s="799">
        <f>IF(EOMONTH(Inputs!$C$8,'IP Attrition'!J$134-1)&lt;=Inputs!$C$9,0,MIN(IF(ISERROR(VLOOKUP(J$134+$F142,$D$135:$D$165,1,FALSE)),0,I10*$C$2),MAX((IF(Monthly!F$4=TRUE,Monthly!F$13,Monthly!F$14)*(1+'Attrition Modeling'!$N$8)-'IP Attrition'!I$65)/12*'IP Attrition'!I77,0)))</f>
        <v>0</v>
      </c>
      <c r="K142" s="799">
        <f>IF(EOMONTH(Inputs!$C$8,'IP Attrition'!K$134-1)&lt;=Inputs!$C$9,0,MIN(IF(ISERROR(VLOOKUP(K$134+$F142,$D$135:$D$165,1,FALSE)),0,J10*$C$2),MAX((IF(Monthly!G$4=TRUE,Monthly!G$13,Monthly!G$14)*(1+'Attrition Modeling'!$N$8)-'IP Attrition'!J$65)/12*'IP Attrition'!J77,0)))</f>
        <v>0</v>
      </c>
      <c r="L142" s="799">
        <f>IF(EOMONTH(Inputs!$C$8,'IP Attrition'!L$134-1)&lt;=Inputs!$C$9,0,MIN(IF(ISERROR(VLOOKUP(L$134+$F142,$D$135:$D$165,1,FALSE)),0,K10*$C$2),MAX((IF(Monthly!H$4=TRUE,Monthly!H$13,Monthly!H$14)*(1+'Attrition Modeling'!$N$8)-'IP Attrition'!K$65)/12*'IP Attrition'!K77,0)))</f>
        <v>0</v>
      </c>
      <c r="M142" s="799">
        <f>IF(EOMONTH(Inputs!$C$8,'IP Attrition'!M$134-1)&lt;=Inputs!$C$9,0,MIN(IF(ISERROR(VLOOKUP(M$134+$F142,$D$135:$D$165,1,FALSE)),0,L10*$C$2),MAX((IF(Monthly!I$4=TRUE,Monthly!I$13,Monthly!I$14)*(1+'Attrition Modeling'!$N$8)-'IP Attrition'!L$65)/12*'IP Attrition'!L77,0)))</f>
        <v>0</v>
      </c>
      <c r="N142" s="799">
        <f>IF(EOMONTH(Inputs!$C$8,'IP Attrition'!N$134-1)&lt;=Inputs!$C$9,0,MIN(IF(ISERROR(VLOOKUP(N$134+$F142,$D$135:$D$165,1,FALSE)),0,M10*$C$2),MAX((IF(Monthly!J$4=TRUE,Monthly!J$13,Monthly!J$14)*(1+'Attrition Modeling'!$N$8)-'IP Attrition'!M$65)/12*'IP Attrition'!M77,0)))</f>
        <v>0</v>
      </c>
      <c r="O142" s="799">
        <f>IF(EOMONTH(Inputs!$C$8,'IP Attrition'!O$134-1)&lt;=Inputs!$C$9,0,MIN(IF(ISERROR(VLOOKUP(O$134+$F142,$D$135:$D$165,1,FALSE)),0,N10*$C$2),MAX((IF(Monthly!K$4=TRUE,Monthly!K$13,Monthly!K$14)*(1+'Attrition Modeling'!$N$8)-'IP Attrition'!N$65)/12*'IP Attrition'!N77,0)))</f>
        <v>0</v>
      </c>
      <c r="P142" s="799">
        <f>IF(EOMONTH(Inputs!$C$8,'IP Attrition'!P$134-1)&lt;=Inputs!$C$9,0,MIN(IF(ISERROR(VLOOKUP(P$134+$F142,$D$135:$D$165,1,FALSE)),0,O10*$C$2),MAX((IF(Monthly!L$4=TRUE,Monthly!L$13,Monthly!L$14)*(1+'Attrition Modeling'!$N$8)-'IP Attrition'!O$65)/12*'IP Attrition'!O77,0)))</f>
        <v>0</v>
      </c>
      <c r="Q142" s="799">
        <f>IF(EOMONTH(Inputs!$C$8,'IP Attrition'!Q$134-1)&lt;=Inputs!$C$9,0,MIN(IF(ISERROR(VLOOKUP(Q$134+$F142,$D$135:$D$165,1,FALSE)),0,P10*$C$2),MAX((IF(Monthly!M$4=TRUE,Monthly!M$13,Monthly!M$14)*(1+'Attrition Modeling'!$N$8)-'IP Attrition'!P$65)/12*'IP Attrition'!P77,0)))</f>
        <v>0</v>
      </c>
      <c r="R142" s="799">
        <f>IF(EOMONTH(Inputs!$C$8,'IP Attrition'!R$134-1)&lt;=Inputs!$C$9,0,MIN(IF(ISERROR(VLOOKUP(R$134+$F142,$D$135:$D$165,1,FALSE)),0,Q10*$C$2),MAX((IF(Monthly!N$4=TRUE,Monthly!N$13,Monthly!N$14)*(1+'Attrition Modeling'!$N$8)-'IP Attrition'!Q$65)/12*'IP Attrition'!Q77,0)))</f>
        <v>0</v>
      </c>
      <c r="S142" s="799">
        <f>IF(EOMONTH(Inputs!$C$8,'IP Attrition'!S$134-1)&lt;=Inputs!$C$9,0,MIN(IF(ISERROR(VLOOKUP(S$134+$F142,$D$135:$D$165,1,FALSE)),0,R10*$C$2),MAX((IF(Monthly!O$4=TRUE,Monthly!O$13,Monthly!O$14)*(1+'Attrition Modeling'!$N$8)-'IP Attrition'!R$65)/12*'IP Attrition'!R77,0)))</f>
        <v>0</v>
      </c>
      <c r="T142" s="799">
        <f>IF(EOMONTH(Inputs!$C$8,'IP Attrition'!T$134-1)&lt;=Inputs!$C$9,0,MIN(IF(ISERROR(VLOOKUP(T$134+$F142,$D$135:$D$165,1,FALSE)),0,S10*$C$2),MAX((IF(Monthly!P$4=TRUE,Monthly!P$13,Monthly!P$14)*(1+'Attrition Modeling'!$N$8)-'IP Attrition'!S$65)/12*'IP Attrition'!S77,0)))</f>
        <v>0</v>
      </c>
      <c r="U142" s="799">
        <f>IF(EOMONTH(Inputs!$C$8,'IP Attrition'!U$134-1)&lt;=Inputs!$C$9,0,MIN(IF(ISERROR(VLOOKUP(U$134+$F142,$D$135:$D$165,1,FALSE)),0,T10*$C$2),MAX((IF(Monthly!Q$4=TRUE,Monthly!Q$13,Monthly!Q$14)*(1+'Attrition Modeling'!$N$8)-'IP Attrition'!T$65)/12*'IP Attrition'!T77,0)))</f>
        <v>0</v>
      </c>
      <c r="V142" s="799">
        <f>IF(EOMONTH(Inputs!$C$8,'IP Attrition'!V$134-1)&lt;=Inputs!$C$9,0,MIN(IF(ISERROR(VLOOKUP(V$134+$F142,$D$135:$D$165,1,FALSE)),0,U10*$C$2),MAX((IF(Monthly!R$4=TRUE,Monthly!R$13,Monthly!R$14)*(1+'Attrition Modeling'!$N$8)-'IP Attrition'!U$65)/12*'IP Attrition'!U77,0)))</f>
        <v>0</v>
      </c>
      <c r="W142" s="799">
        <f>IF(EOMONTH(Inputs!$C$8,'IP Attrition'!W$134-1)&lt;=Inputs!$C$9,0,MIN(IF(ISERROR(VLOOKUP(W$134+$F142,$D$135:$D$165,1,FALSE)),0,V10*$C$2),MAX((IF(Monthly!S$4=TRUE,Monthly!S$13,Monthly!S$14)*(1+'Attrition Modeling'!$N$8)-'IP Attrition'!V$65)/12*'IP Attrition'!V77,0)))</f>
        <v>0</v>
      </c>
      <c r="X142" s="799">
        <f>IF(EOMONTH(Inputs!$C$8,'IP Attrition'!X$134-1)&lt;=Inputs!$C$9,0,MIN(IF(ISERROR(VLOOKUP(X$134+$F142,$D$135:$D$165,1,FALSE)),0,W10*$C$2),MAX((IF(Monthly!T$4=TRUE,Monthly!T$13,Monthly!T$14)*(1+'Attrition Modeling'!$N$8)-'IP Attrition'!W$65)/12*'IP Attrition'!W77,0)))</f>
        <v>0</v>
      </c>
      <c r="Y142" s="799">
        <f>IF(EOMONTH(Inputs!$C$8,'IP Attrition'!Y$134-1)&lt;=Inputs!$C$9,0,MIN(IF(ISERROR(VLOOKUP(Y$134+$F142,$D$135:$D$165,1,FALSE)),0,X10*$C$2),MAX((IF(Monthly!U$4=TRUE,Monthly!U$13,Monthly!U$14)*(1+'Attrition Modeling'!$N$8)-'IP Attrition'!X$65)/12*'IP Attrition'!X77,0)))</f>
        <v>0</v>
      </c>
      <c r="Z142" s="799">
        <f>IF(EOMONTH(Inputs!$C$8,'IP Attrition'!Z$134-1)&lt;=Inputs!$C$9,0,MIN(IF(ISERROR(VLOOKUP(Z$134+$F142,$D$135:$D$165,1,FALSE)),0,Y10*$C$2),MAX((IF(Monthly!V$4=TRUE,Monthly!V$13,Monthly!V$14)*(1+'Attrition Modeling'!$N$8)-'IP Attrition'!Y$65)/12*'IP Attrition'!Y77,0)))</f>
        <v>0</v>
      </c>
      <c r="AA142" s="799">
        <f>IF(EOMONTH(Inputs!$C$8,'IP Attrition'!AA$134-1)&lt;=Inputs!$C$9,0,MIN(IF(ISERROR(VLOOKUP(AA$134+$F142,$D$135:$D$165,1,FALSE)),0,Z10*$C$2),MAX((IF(Monthly!W$4=TRUE,Monthly!W$13,Monthly!W$14)*(1+'Attrition Modeling'!$N$8)-'IP Attrition'!Z$65)/12*'IP Attrition'!Z77,0)))</f>
        <v>0</v>
      </c>
      <c r="AB142" s="799">
        <f>IF(EOMONTH(Inputs!$C$8,'IP Attrition'!AB$134-1)&lt;=Inputs!$C$9,0,MIN(IF(ISERROR(VLOOKUP(AB$134+$F142,$D$135:$D$165,1,FALSE)),0,AA10*$C$2),MAX((IF(Monthly!X$4=TRUE,Monthly!X$13,Monthly!X$14)*(1+'Attrition Modeling'!$N$8)-'IP Attrition'!AA$65)/12*'IP Attrition'!AA77,0)))</f>
        <v>0</v>
      </c>
      <c r="AC142" s="799">
        <f>IF(EOMONTH(Inputs!$C$8,'IP Attrition'!AC$134-1)&lt;=Inputs!$C$9,0,MIN(IF(ISERROR(VLOOKUP(AC$134+$F142,$D$135:$D$165,1,FALSE)),0,AB10*$C$2),MAX((IF(Monthly!Y$4=TRUE,Monthly!Y$13,Monthly!Y$14)*(1+'Attrition Modeling'!$N$8)-'IP Attrition'!AB$65)/12*'IP Attrition'!AB77,0)))</f>
        <v>0</v>
      </c>
      <c r="AD142" s="799">
        <f>IF(EOMONTH(Inputs!$C$8,'IP Attrition'!AD$134-1)&lt;=Inputs!$C$9,0,MIN(IF(ISERROR(VLOOKUP(AD$134+$F142,$D$135:$D$165,1,FALSE)),0,AC10*$C$2),MAX((IF(Monthly!Z$4=TRUE,Monthly!Z$13,Monthly!Z$14)*(1+'Attrition Modeling'!$N$8)-'IP Attrition'!AC$65)/12*'IP Attrition'!AC77,0)))</f>
        <v>0</v>
      </c>
      <c r="AE142" s="799">
        <f>IF(EOMONTH(Inputs!$C$8,'IP Attrition'!AE$134-1)&lt;=Inputs!$C$9,0,MIN(IF(ISERROR(VLOOKUP(AE$134+$F142,$D$135:$D$165,1,FALSE)),0,AD10*$C$2),MAX((IF(Monthly!AA$4=TRUE,Monthly!AA$13,Monthly!AA$14)*(1+'Attrition Modeling'!$N$8)-'IP Attrition'!AD$65)/12*'IP Attrition'!AD77,0)))</f>
        <v>0</v>
      </c>
      <c r="AF142" s="799">
        <f>IF(EOMONTH(Inputs!$C$8,'IP Attrition'!AF$134-1)&lt;=Inputs!$C$9,0,MIN(IF(ISERROR(VLOOKUP(AF$134+$F142,$D$135:$D$165,1,FALSE)),0,AE10*$C$2),MAX((IF(Monthly!AB$4=TRUE,Monthly!AB$13,Monthly!AB$14)*(1+'Attrition Modeling'!$N$8)-'IP Attrition'!AE$65)/12*'IP Attrition'!AE77,0)))</f>
        <v>0</v>
      </c>
      <c r="AG142" s="799">
        <f>IF(EOMONTH(Inputs!$C$8,'IP Attrition'!AG$134-1)&lt;=Inputs!$C$9,0,MIN(IF(ISERROR(VLOOKUP(AG$134+$F142,$D$135:$D$165,1,FALSE)),0,AF10*$C$2),MAX((IF(Monthly!AC$4=TRUE,Monthly!AC$13,Monthly!AC$14)*(1+'Attrition Modeling'!$N$8)-'IP Attrition'!AF$65)/12*'IP Attrition'!AF77,0)))</f>
        <v>0</v>
      </c>
      <c r="AH142" s="799">
        <f>IF(EOMONTH(Inputs!$C$8,'IP Attrition'!AH$134-1)&lt;=Inputs!$C$9,0,MIN(IF(ISERROR(VLOOKUP(AH$134+$F142,$D$135:$D$165,1,FALSE)),0,AG10*$C$2),MAX((IF(Monthly!AD$4=TRUE,Monthly!AD$13,Monthly!AD$14)*(1+'Attrition Modeling'!$N$8)-'IP Attrition'!AG$65)/12*'IP Attrition'!AG77,0)))</f>
        <v>0</v>
      </c>
      <c r="AI142" s="799">
        <f>IF(EOMONTH(Inputs!$C$8,'IP Attrition'!AI$134-1)&lt;=Inputs!$C$9,0,MIN(IF(ISERROR(VLOOKUP(AI$134+$F142,$D$135:$D$165,1,FALSE)),0,AH10*$C$2),MAX((IF(Monthly!AE$4=TRUE,Monthly!AE$13,Monthly!AE$14)*(1+'Attrition Modeling'!$N$8)-'IP Attrition'!AH$65)/12*'IP Attrition'!AH77,0)))</f>
        <v>0</v>
      </c>
      <c r="AJ142" s="799">
        <f>IF(EOMONTH(Inputs!$C$8,'IP Attrition'!AJ$134-1)&lt;=Inputs!$C$9,0,MIN(IF(ISERROR(VLOOKUP(AJ$134+$F142,$D$135:$D$165,1,FALSE)),0,AI10*$C$2),MAX((IF(Monthly!AF$4=TRUE,Monthly!AF$13,Monthly!AF$14)*(1+'Attrition Modeling'!$N$8)-'IP Attrition'!AI$65)/12*'IP Attrition'!AI77,0)))</f>
        <v>0</v>
      </c>
      <c r="AK142" s="799">
        <f>IF(EOMONTH(Inputs!$C$8,'IP Attrition'!AK$134-1)&lt;=Inputs!$C$9,0,MIN(IF(ISERROR(VLOOKUP(AK$134+$F142,$D$135:$D$165,1,FALSE)),0,AJ10*$C$2),MAX((IF(Monthly!AG$4=TRUE,Monthly!AG$13,Monthly!AG$14)*(1+'Attrition Modeling'!$N$8)-'IP Attrition'!AJ$65)/12*'IP Attrition'!AJ77,0)))</f>
        <v>0</v>
      </c>
      <c r="AL142" s="799">
        <f>IF(EOMONTH(Inputs!$C$8,'IP Attrition'!AL$134-1)&lt;=Inputs!$C$9,0,MIN(IF(ISERROR(VLOOKUP(AL$134+$F142,$D$135:$D$165,1,FALSE)),0,AK10*$C$2),MAX((IF(Monthly!AH$4=TRUE,Monthly!AH$13,Monthly!AH$14)*(1+'Attrition Modeling'!$N$8)-'IP Attrition'!AK$65)/12*'IP Attrition'!AK77,0)))</f>
        <v>0</v>
      </c>
      <c r="AM142" s="799">
        <f>IF(EOMONTH(Inputs!$C$8,'IP Attrition'!AM$134-1)&lt;=Inputs!$C$9,0,MIN(IF(ISERROR(VLOOKUP(AM$134+$F142,$D$135:$D$165,1,FALSE)),0,AL10*$C$2),MAX((IF(Monthly!AI$4=TRUE,Monthly!AI$13,Monthly!AI$14)*(1+'Attrition Modeling'!$N$8)-'IP Attrition'!AL$65)/12*'IP Attrition'!AL77,0)))</f>
        <v>0</v>
      </c>
      <c r="AN142" s="799">
        <f>IF(EOMONTH(Inputs!$C$8,'IP Attrition'!AN$134-1)&lt;=Inputs!$C$9,0,MIN(IF(ISERROR(VLOOKUP(AN$134+$F142,$D$135:$D$165,1,FALSE)),0,AM10*$C$2),MAX((IF(Monthly!AJ$4=TRUE,Monthly!AJ$13,Monthly!AJ$14)*(1+'Attrition Modeling'!$N$8)-'IP Attrition'!AM$65)/12*'IP Attrition'!AM77,0)))</f>
        <v>0</v>
      </c>
      <c r="AO142" s="799">
        <f>IF(EOMONTH(Inputs!$C$8,'IP Attrition'!AO$134-1)&lt;=Inputs!$C$9,0,MIN(IF(ISERROR(VLOOKUP(AO$134+$F142,$D$135:$D$165,1,FALSE)),0,AN10*$C$2),MAX((IF(Monthly!AK$4=TRUE,Monthly!AK$13,Monthly!AK$14)*(1+'Attrition Modeling'!$N$8)-'IP Attrition'!AN$65)/12*'IP Attrition'!AN77,0)))</f>
        <v>0</v>
      </c>
      <c r="AP142" s="799">
        <f>IF(EOMONTH(Inputs!$C$8,'IP Attrition'!AP$134-1)&lt;=Inputs!$C$9,0,MIN(IF(ISERROR(VLOOKUP(AP$134+$F142,$D$135:$D$165,1,FALSE)),0,AO10*$C$2),MAX((IF(Monthly!AL$4=TRUE,Monthly!AL$13,Monthly!AL$14)*(1+'Attrition Modeling'!$N$8)-'IP Attrition'!AO$65)/12*'IP Attrition'!AO77,0)))</f>
        <v>0</v>
      </c>
      <c r="AQ142" s="799">
        <f>IF(EOMONTH(Inputs!$C$8,'IP Attrition'!AQ$134-1)&lt;=Inputs!$C$9,0,MIN(IF(ISERROR(VLOOKUP(AQ$134+$F142,$D$135:$D$165,1,FALSE)),0,AP10*$C$2),MAX((IF(Monthly!AM$4=TRUE,Monthly!AM$13,Monthly!AM$14)*(1+'Attrition Modeling'!$N$8)-'IP Attrition'!AP$65)/12*'IP Attrition'!AP77,0)))</f>
        <v>0</v>
      </c>
      <c r="AR142" s="799">
        <f>IF(EOMONTH(Inputs!$C$8,'IP Attrition'!AR$134-1)&lt;=Inputs!$C$9,0,MIN(IF(ISERROR(VLOOKUP(AR$134+$F142,$D$135:$D$165,1,FALSE)),0,AQ10*$C$2),MAX((IF(Monthly!AN$4=TRUE,Monthly!AN$13,Monthly!AN$14)*(1+'Attrition Modeling'!$N$8)-'IP Attrition'!AQ$65)/12*'IP Attrition'!AQ77,0)))</f>
        <v>0</v>
      </c>
      <c r="AS142" s="799">
        <f>IF(EOMONTH(Inputs!$C$8,'IP Attrition'!AS$134-1)&lt;=Inputs!$C$9,0,MIN(IF(ISERROR(VLOOKUP(AS$134+$F142,$D$135:$D$165,1,FALSE)),0,AR10*$C$2),MAX((IF(Monthly!AO$4=TRUE,Monthly!AO$13,Monthly!AO$14)*(1+'Attrition Modeling'!$N$8)-'IP Attrition'!AR$65)/12*'IP Attrition'!AR77,0)))</f>
        <v>0</v>
      </c>
      <c r="AT142" s="799">
        <f>IF(EOMONTH(Inputs!$C$8,'IP Attrition'!AT$134-1)&lt;=Inputs!$C$9,0,MIN(IF(ISERROR(VLOOKUP(AT$134+$F142,$D$135:$D$165,1,FALSE)),0,AS10*$C$2),MAX((IF(Monthly!AP$4=TRUE,Monthly!AP$13,Monthly!AP$14)*(1+'Attrition Modeling'!$N$8)-'IP Attrition'!AS$65)/12*'IP Attrition'!AS77,0)))</f>
        <v>0</v>
      </c>
      <c r="AU142" s="799">
        <f>IF(EOMONTH(Inputs!$C$8,'IP Attrition'!AU$134-1)&lt;=Inputs!$C$9,0,MIN(IF(ISERROR(VLOOKUP(AU$134+$F142,$D$135:$D$165,1,FALSE)),0,AT10*$C$2),MAX((IF(Monthly!AQ$4=TRUE,Monthly!AQ$13,Monthly!AQ$14)*(1+'Attrition Modeling'!$N$8)-'IP Attrition'!AT$65)/12*'IP Attrition'!AT77,0)))</f>
        <v>0</v>
      </c>
      <c r="AV142" s="799">
        <f>IF(EOMONTH(Inputs!$C$8,'IP Attrition'!AV$134-1)&lt;=Inputs!$C$9,0,MIN(IF(ISERROR(VLOOKUP(AV$134+$F142,$D$135:$D$165,1,FALSE)),0,AU10*$C$2),MAX((IF(Monthly!AR$4=TRUE,Monthly!AR$13,Monthly!AR$14)*(1+'Attrition Modeling'!$N$8)-'IP Attrition'!AU$65)/12*'IP Attrition'!AU77,0)))</f>
        <v>0</v>
      </c>
      <c r="AW142" s="799">
        <f>IF(EOMONTH(Inputs!$C$8,'IP Attrition'!AW$134-1)&lt;=Inputs!$C$9,0,MIN(IF(ISERROR(VLOOKUP(AW$134+$F142,$D$135:$D$165,1,FALSE)),0,AV10*$C$2),MAX((IF(Monthly!AS$4=TRUE,Monthly!AS$13,Monthly!AS$14)*(1+'Attrition Modeling'!$N$8)-'IP Attrition'!AV$65)/12*'IP Attrition'!AV77,0)))</f>
        <v>0</v>
      </c>
      <c r="AX142" s="799">
        <f>IF(EOMONTH(Inputs!$C$8,'IP Attrition'!AX$134-1)&lt;=Inputs!$C$9,0,MIN(IF(ISERROR(VLOOKUP(AX$134+$F142,$D$135:$D$165,1,FALSE)),0,AW10*$C$2),MAX((IF(Monthly!AT$4=TRUE,Monthly!AT$13,Monthly!AT$14)*(1+'Attrition Modeling'!$N$8)-'IP Attrition'!AW$65)/12*'IP Attrition'!AW77,0)))</f>
        <v>0</v>
      </c>
      <c r="AY142" s="799">
        <f>IF(EOMONTH(Inputs!$C$8,'IP Attrition'!AY$134-1)&lt;=Inputs!$C$9,0,MIN(IF(ISERROR(VLOOKUP(AY$134+$F142,$D$135:$D$165,1,FALSE)),0,AX10*$C$2),MAX((IF(Monthly!AU$4=TRUE,Monthly!AU$13,Monthly!AU$14)*(1+'Attrition Modeling'!$N$8)-'IP Attrition'!AX$65)/12*'IP Attrition'!AX77,0)))</f>
        <v>0</v>
      </c>
      <c r="AZ142" s="799">
        <f>IF(EOMONTH(Inputs!$C$8,'IP Attrition'!AZ$134-1)&lt;=Inputs!$C$9,0,MIN(IF(ISERROR(VLOOKUP(AZ$134+$F142,$D$135:$D$165,1,FALSE)),0,AY10*$C$2),MAX((IF(Monthly!AV$4=TRUE,Monthly!AV$13,Monthly!AV$14)*(1+'Attrition Modeling'!$N$8)-'IP Attrition'!AY$65)/12*'IP Attrition'!AY77,0)))</f>
        <v>0</v>
      </c>
      <c r="BA142" s="799">
        <f>IF(EOMONTH(Inputs!$C$8,'IP Attrition'!BA$134-1)&lt;=Inputs!$C$9,0,MIN(IF(ISERROR(VLOOKUP(BA$134+$F142,$D$135:$D$165,1,FALSE)),0,AZ10*$C$2),MAX((IF(Monthly!AW$4=TRUE,Monthly!AW$13,Monthly!AW$14)*(1+'Attrition Modeling'!$N$8)-'IP Attrition'!AZ$65)/12*'IP Attrition'!AZ77,0)))</f>
        <v>0</v>
      </c>
      <c r="BB142" s="799">
        <f>IF(EOMONTH(Inputs!$C$8,'IP Attrition'!BB$134-1)&lt;=Inputs!$C$9,0,MIN(IF(ISERROR(VLOOKUP(BB$134+$F142,$D$135:$D$165,1,FALSE)),0,BA10*$C$2),MAX((IF(Monthly!AX$4=TRUE,Monthly!AX$13,Monthly!AX$14)*(1+'Attrition Modeling'!$N$8)-'IP Attrition'!BA$65)/12*'IP Attrition'!BA77,0)))</f>
        <v>0</v>
      </c>
      <c r="BC142" s="799">
        <f>IF(EOMONTH(Inputs!$C$8,'IP Attrition'!BC$134-1)&lt;=Inputs!$C$9,0,MIN(IF(ISERROR(VLOOKUP(BC$134+$F142,$D$135:$D$165,1,FALSE)),0,BB10*$C$2),MAX((IF(Monthly!AY$4=TRUE,Monthly!AY$13,Monthly!AY$14)*(1+'Attrition Modeling'!$N$8)-'IP Attrition'!BB$65)/12*'IP Attrition'!BB77,0)))</f>
        <v>0</v>
      </c>
      <c r="BD142" s="799">
        <f>IF(EOMONTH(Inputs!$C$8,'IP Attrition'!BD$134-1)&lt;=Inputs!$C$9,0,MIN(IF(ISERROR(VLOOKUP(BD$134+$F142,$D$135:$D$165,1,FALSE)),0,BC10*$C$2),MAX((IF(Monthly!AZ$4=TRUE,Monthly!AZ$13,Monthly!AZ$14)*(1+'Attrition Modeling'!$N$8)-'IP Attrition'!BC$65)/12*'IP Attrition'!BC77,0)))</f>
        <v>0</v>
      </c>
      <c r="BE142" s="799">
        <f>IF(EOMONTH(Inputs!$C$8,'IP Attrition'!BE$134-1)&lt;=Inputs!$C$9,0,MIN(IF(ISERROR(VLOOKUP(BE$134+$F142,$D$135:$D$165,1,FALSE)),0,BD10*$C$2),MAX((IF(Monthly!BA$4=TRUE,Monthly!BA$13,Monthly!BA$14)*(1+'Attrition Modeling'!$N$8)-'IP Attrition'!BD$65)/12*'IP Attrition'!BD77,0)))</f>
        <v>0</v>
      </c>
      <c r="BF142" s="799">
        <f>IF(EOMONTH(Inputs!$C$8,'IP Attrition'!BF$134-1)&lt;=Inputs!$C$9,0,MIN(IF(ISERROR(VLOOKUP(BF$134+$F142,$D$135:$D$165,1,FALSE)),0,BE10*$C$2),MAX((IF(Monthly!BB$4=TRUE,Monthly!BB$13,Monthly!BB$14)*(1+'Attrition Modeling'!$N$8)-'IP Attrition'!BE$65)/12*'IP Attrition'!BE77,0)))</f>
        <v>0</v>
      </c>
      <c r="BG142" s="799">
        <f>IF(EOMONTH(Inputs!$C$8,'IP Attrition'!BG$134-1)&lt;=Inputs!$C$9,0,MIN(IF(ISERROR(VLOOKUP(BG$134+$F142,$D$135:$D$165,1,FALSE)),0,BF10*$C$2),MAX((IF(Monthly!BC$4=TRUE,Monthly!BC$13,Monthly!BC$14)*(1+'Attrition Modeling'!$N$8)-'IP Attrition'!BF$65)/12*'IP Attrition'!BF77,0)))</f>
        <v>0</v>
      </c>
      <c r="BH142" s="799">
        <f>IF(EOMONTH(Inputs!$C$8,'IP Attrition'!BH$134-1)&lt;=Inputs!$C$9,0,MIN(IF(ISERROR(VLOOKUP(BH$134+$F142,$D$135:$D$165,1,FALSE)),0,BG10*$C$2),MAX((IF(Monthly!BD$4=TRUE,Monthly!BD$13,Monthly!BD$14)*(1+'Attrition Modeling'!$N$8)-'IP Attrition'!BG$65)/12*'IP Attrition'!BG77,0)))</f>
        <v>0</v>
      </c>
      <c r="BI142" s="799">
        <f>IF(EOMONTH(Inputs!$C$8,'IP Attrition'!BI$134-1)&lt;=Inputs!$C$9,0,MIN(IF(ISERROR(VLOOKUP(BI$134+$F142,$D$135:$D$165,1,FALSE)),0,BH10*$C$2),MAX((IF(Monthly!BE$4=TRUE,Monthly!BE$13,Monthly!BE$14)*(1+'Attrition Modeling'!$N$8)-'IP Attrition'!BH$65)/12*'IP Attrition'!BH77,0)))</f>
        <v>0</v>
      </c>
      <c r="BJ142" s="799">
        <f>IF(EOMONTH(Inputs!$C$8,'IP Attrition'!BJ$134-1)&lt;=Inputs!$C$9,0,MIN(IF(ISERROR(VLOOKUP(BJ$134+$F142,$D$135:$D$165,1,FALSE)),0,BI10*$C$2),MAX((IF(Monthly!BF$4=TRUE,Monthly!BF$13,Monthly!BF$14)*(1+'Attrition Modeling'!$N$8)-'IP Attrition'!BI$65)/12*'IP Attrition'!BI77,0)))</f>
        <v>0</v>
      </c>
      <c r="BK142" s="799">
        <f>IF(EOMONTH(Inputs!$C$8,'IP Attrition'!BK$134-1)&lt;=Inputs!$C$9,0,MIN(IF(ISERROR(VLOOKUP(BK$134+$F142,$D$135:$D$165,1,FALSE)),0,BJ10*$C$2),MAX((IF(Monthly!BG$4=TRUE,Monthly!BG$13,Monthly!BG$14)*(1+'Attrition Modeling'!$N$8)-'IP Attrition'!BJ$65)/12*'IP Attrition'!BJ77,0)))</f>
        <v>0</v>
      </c>
      <c r="BL142" s="799">
        <f>IF(EOMONTH(Inputs!$C$8,'IP Attrition'!BL$134-1)&lt;=Inputs!$C$9,0,MIN(IF(ISERROR(VLOOKUP(BL$134+$F142,$D$135:$D$165,1,FALSE)),0,BK10*$C$2),MAX((IF(Monthly!BH$4=TRUE,Monthly!BH$13,Monthly!BH$14)*(1+'Attrition Modeling'!$N$8)-'IP Attrition'!BK$65)/12*'IP Attrition'!BK77,0)))</f>
        <v>0</v>
      </c>
      <c r="BM142" s="799">
        <f>IF(EOMONTH(Inputs!$C$8,'IP Attrition'!BM$134-1)&lt;=Inputs!$C$9,0,MIN(IF(ISERROR(VLOOKUP(BM$134+$F142,$D$135:$D$165,1,FALSE)),0,BL10*$C$2),MAX((IF(Monthly!BI$4=TRUE,Monthly!BI$13,Monthly!BI$14)*(1+'Attrition Modeling'!$N$8)-'IP Attrition'!BL$65)/12*'IP Attrition'!BL77,0)))</f>
        <v>0</v>
      </c>
      <c r="BN142" s="799">
        <f>IF(EOMONTH(Inputs!$C$8,'IP Attrition'!BN$134-1)&lt;=Inputs!$C$9,0,MIN(IF(ISERROR(VLOOKUP(BN$134+$F142,$D$135:$D$165,1,FALSE)),0,BM10*$C$2),MAX((IF(Monthly!BJ$4=TRUE,Monthly!BJ$13,Monthly!BJ$14)*(1+'Attrition Modeling'!$N$8)-'IP Attrition'!BM$65)/12*'IP Attrition'!BM77,0)))</f>
        <v>0</v>
      </c>
      <c r="BO142" s="799">
        <f>IF(EOMONTH(Inputs!$C$8,'IP Attrition'!BO$134-1)&lt;=Inputs!$C$9,0,MIN(IF(ISERROR(VLOOKUP(BO$134+$F142,$D$135:$D$165,1,FALSE)),0,BN10*$C$2),MAX((IF(Monthly!BK$4=TRUE,Monthly!BK$13,Monthly!BK$14)*(1+'Attrition Modeling'!$N$8)-'IP Attrition'!BN$65)/12*'IP Attrition'!BN77,0)))</f>
        <v>0</v>
      </c>
      <c r="BP142" s="799">
        <f>IF(EOMONTH(Inputs!$C$8,'IP Attrition'!BP$134-1)&lt;=Inputs!$C$9,0,MIN(IF(ISERROR(VLOOKUP(BP$134+$F142,$D$135:$D$165,1,FALSE)),0,BO10*$C$2),MAX((IF(Monthly!BL$4=TRUE,Monthly!BL$13,Monthly!BL$14)*(1+'Attrition Modeling'!$N$8)-'IP Attrition'!BO$65)/12*'IP Attrition'!BO77,0)))</f>
        <v>0</v>
      </c>
      <c r="BQ142" s="799">
        <f>IF(EOMONTH(Inputs!$C$8,'IP Attrition'!BQ$134-1)&lt;=Inputs!$C$9,0,MIN(IF(ISERROR(VLOOKUP(BQ$134+$F142,$D$135:$D$165,1,FALSE)),0,BP10*$C$2),MAX((IF(Monthly!BM$4=TRUE,Monthly!BM$13,Monthly!BM$14)*(1+'Attrition Modeling'!$N$8)-'IP Attrition'!BP$65)/12*'IP Attrition'!BP77,0)))</f>
        <v>0</v>
      </c>
      <c r="BR142" s="799">
        <f>IF(EOMONTH(Inputs!$C$8,'IP Attrition'!BR$134-1)&lt;=Inputs!$C$9,0,MIN(IF(ISERROR(VLOOKUP(BR$134+$F142,$D$135:$D$165,1,FALSE)),0,BQ10*$C$2),MAX((IF(Monthly!BN$4=TRUE,Monthly!BN$13,Monthly!BN$14)*(1+'Attrition Modeling'!$N$8)-'IP Attrition'!BQ$65)/12*'IP Attrition'!BQ77,0)))</f>
        <v>0</v>
      </c>
      <c r="BS142" s="799">
        <f>IF(EOMONTH(Inputs!$C$8,'IP Attrition'!BS$134-1)&lt;=Inputs!$C$9,0,MIN(IF(ISERROR(VLOOKUP(BS$134+$F142,$D$135:$D$165,1,FALSE)),0,BR10*$C$2),MAX((IF(Monthly!BO$4=TRUE,Monthly!BO$13,Monthly!BO$14)*(1+'Attrition Modeling'!$N$8)-'IP Attrition'!BR$65)/12*'IP Attrition'!BR77,0)))</f>
        <v>0</v>
      </c>
      <c r="BT142" s="799" t="e">
        <f>IF(EOMONTH(Inputs!$C$8,'IP Attrition'!BT$134-1)&lt;=Inputs!$C$9,0,MIN(IF(ISERROR(VLOOKUP(BT$134+$F142,$D$135:$D$165,1,FALSE)),0,BS10*$C$2),MAX((IF(Monthly!#REF!=TRUE,Monthly!#REF!,Monthly!#REF!)*(1+'Attrition Modeling'!$N$8)-'IP Attrition'!BS$65)/12*'IP Attrition'!BS77,0)))</f>
        <v>#REF!</v>
      </c>
      <c r="BU142" s="799" t="e">
        <f>IF(EOMONTH(Inputs!$C$8,'IP Attrition'!BU$134-1)&lt;=Inputs!$C$9,0,MIN(IF(ISERROR(VLOOKUP(BU$134+$F142,$D$135:$D$165,1,FALSE)),0,BT10*$C$2),MAX((IF(Monthly!#REF!=TRUE,Monthly!#REF!,Monthly!#REF!)*(1+'Attrition Modeling'!$N$8)-'IP Attrition'!BT$65)/12*'IP Attrition'!BT77,0)))</f>
        <v>#REF!</v>
      </c>
    </row>
    <row r="143" spans="1:73" ht="14.25" customHeight="1" x14ac:dyDescent="0.2">
      <c r="A143" s="9">
        <v>136</v>
      </c>
      <c r="B143" s="25">
        <f>MAX('Attrition Modeling'!H140,$C$3)*(1-Summary!$C$20)</f>
        <v>0.02</v>
      </c>
      <c r="C143" s="24" t="e">
        <f t="shared" si="3"/>
        <v>#DIV/0!</v>
      </c>
      <c r="D143" s="11">
        <f t="shared" si="72"/>
        <v>102</v>
      </c>
      <c r="E143" s="25">
        <f t="shared" si="71"/>
        <v>7.2136667938139415E-2</v>
      </c>
      <c r="F143" s="11">
        <f t="shared" si="73"/>
        <v>8</v>
      </c>
      <c r="G143" s="799"/>
      <c r="H143" s="799">
        <f>IF(EOMONTH(Inputs!$C$8,'IP Attrition'!H$134-1)&lt;=Inputs!$C$9,0,MIN(IF(ISERROR(VLOOKUP(H$134+$F143,$D$135:$D$165,1,FALSE)),0,G11*$C$2),MAX((IF(Monthly!D$4=TRUE,Monthly!D$13,Monthly!D$14)*(1+'Attrition Modeling'!$N$8)-'IP Attrition'!G$65)/12*'IP Attrition'!G78,0)))</f>
        <v>0</v>
      </c>
      <c r="I143" s="799">
        <f>IF(EOMONTH(Inputs!$C$8,'IP Attrition'!I$134-1)&lt;=Inputs!$C$9,0,MIN(IF(ISERROR(VLOOKUP(I$134+$F143,$D$135:$D$165,1,FALSE)),0,H11*$C$2),MAX((IF(Monthly!E$4=TRUE,Monthly!E$13,Monthly!E$14)*(1+'Attrition Modeling'!$N$8)-'IP Attrition'!H$65)/12*'IP Attrition'!H78,0)))</f>
        <v>0</v>
      </c>
      <c r="J143" s="799">
        <f>IF(EOMONTH(Inputs!$C$8,'IP Attrition'!J$134-1)&lt;=Inputs!$C$9,0,MIN(IF(ISERROR(VLOOKUP(J$134+$F143,$D$135:$D$165,1,FALSE)),0,I11*$C$2),MAX((IF(Monthly!F$4=TRUE,Monthly!F$13,Monthly!F$14)*(1+'Attrition Modeling'!$N$8)-'IP Attrition'!I$65)/12*'IP Attrition'!I78,0)))</f>
        <v>0</v>
      </c>
      <c r="K143" s="799">
        <f>IF(EOMONTH(Inputs!$C$8,'IP Attrition'!K$134-1)&lt;=Inputs!$C$9,0,MIN(IF(ISERROR(VLOOKUP(K$134+$F143,$D$135:$D$165,1,FALSE)),0,J11*$C$2),MAX((IF(Monthly!G$4=TRUE,Monthly!G$13,Monthly!G$14)*(1+'Attrition Modeling'!$N$8)-'IP Attrition'!J$65)/12*'IP Attrition'!J78,0)))</f>
        <v>0</v>
      </c>
      <c r="L143" s="799">
        <f>IF(EOMONTH(Inputs!$C$8,'IP Attrition'!L$134-1)&lt;=Inputs!$C$9,0,MIN(IF(ISERROR(VLOOKUP(L$134+$F143,$D$135:$D$165,1,FALSE)),0,K11*$C$2),MAX((IF(Monthly!H$4=TRUE,Monthly!H$13,Monthly!H$14)*(1+'Attrition Modeling'!$N$8)-'IP Attrition'!K$65)/12*'IP Attrition'!K78,0)))</f>
        <v>0</v>
      </c>
      <c r="M143" s="799">
        <f>IF(EOMONTH(Inputs!$C$8,'IP Attrition'!M$134-1)&lt;=Inputs!$C$9,0,MIN(IF(ISERROR(VLOOKUP(M$134+$F143,$D$135:$D$165,1,FALSE)),0,L11*$C$2),MAX((IF(Monthly!I$4=TRUE,Monthly!I$13,Monthly!I$14)*(1+'Attrition Modeling'!$N$8)-'IP Attrition'!L$65)/12*'IP Attrition'!L78,0)))</f>
        <v>0</v>
      </c>
      <c r="N143" s="799">
        <f>IF(EOMONTH(Inputs!$C$8,'IP Attrition'!N$134-1)&lt;=Inputs!$C$9,0,MIN(IF(ISERROR(VLOOKUP(N$134+$F143,$D$135:$D$165,1,FALSE)),0,M11*$C$2),MAX((IF(Monthly!J$4=TRUE,Monthly!J$13,Monthly!J$14)*(1+'Attrition Modeling'!$N$8)-'IP Attrition'!M$65)/12*'IP Attrition'!M78,0)))</f>
        <v>0</v>
      </c>
      <c r="O143" s="799">
        <f>IF(EOMONTH(Inputs!$C$8,'IP Attrition'!O$134-1)&lt;=Inputs!$C$9,0,MIN(IF(ISERROR(VLOOKUP(O$134+$F143,$D$135:$D$165,1,FALSE)),0,N11*$C$2),MAX((IF(Monthly!K$4=TRUE,Monthly!K$13,Monthly!K$14)*(1+'Attrition Modeling'!$N$8)-'IP Attrition'!N$65)/12*'IP Attrition'!N78,0)))</f>
        <v>0</v>
      </c>
      <c r="P143" s="799">
        <f>IF(EOMONTH(Inputs!$C$8,'IP Attrition'!P$134-1)&lt;=Inputs!$C$9,0,MIN(IF(ISERROR(VLOOKUP(P$134+$F143,$D$135:$D$165,1,FALSE)),0,O11*$C$2),MAX((IF(Monthly!L$4=TRUE,Monthly!L$13,Monthly!L$14)*(1+'Attrition Modeling'!$N$8)-'IP Attrition'!O$65)/12*'IP Attrition'!O78,0)))</f>
        <v>0</v>
      </c>
      <c r="Q143" s="799">
        <f>IF(EOMONTH(Inputs!$C$8,'IP Attrition'!Q$134-1)&lt;=Inputs!$C$9,0,MIN(IF(ISERROR(VLOOKUP(Q$134+$F143,$D$135:$D$165,1,FALSE)),0,P11*$C$2),MAX((IF(Monthly!M$4=TRUE,Monthly!M$13,Monthly!M$14)*(1+'Attrition Modeling'!$N$8)-'IP Attrition'!P$65)/12*'IP Attrition'!P78,0)))</f>
        <v>0</v>
      </c>
      <c r="R143" s="799">
        <f>IF(EOMONTH(Inputs!$C$8,'IP Attrition'!R$134-1)&lt;=Inputs!$C$9,0,MIN(IF(ISERROR(VLOOKUP(R$134+$F143,$D$135:$D$165,1,FALSE)),0,Q11*$C$2),MAX((IF(Monthly!N$4=TRUE,Monthly!N$13,Monthly!N$14)*(1+'Attrition Modeling'!$N$8)-'IP Attrition'!Q$65)/12*'IP Attrition'!Q78,0)))</f>
        <v>0</v>
      </c>
      <c r="S143" s="799">
        <f>IF(EOMONTH(Inputs!$C$8,'IP Attrition'!S$134-1)&lt;=Inputs!$C$9,0,MIN(IF(ISERROR(VLOOKUP(S$134+$F143,$D$135:$D$165,1,FALSE)),0,R11*$C$2),MAX((IF(Monthly!O$4=TRUE,Monthly!O$13,Monthly!O$14)*(1+'Attrition Modeling'!$N$8)-'IP Attrition'!R$65)/12*'IP Attrition'!R78,0)))</f>
        <v>0</v>
      </c>
      <c r="T143" s="799">
        <f>IF(EOMONTH(Inputs!$C$8,'IP Attrition'!T$134-1)&lt;=Inputs!$C$9,0,MIN(IF(ISERROR(VLOOKUP(T$134+$F143,$D$135:$D$165,1,FALSE)),0,S11*$C$2),MAX((IF(Monthly!P$4=TRUE,Monthly!P$13,Monthly!P$14)*(1+'Attrition Modeling'!$N$8)-'IP Attrition'!S$65)/12*'IP Attrition'!S78,0)))</f>
        <v>0</v>
      </c>
      <c r="U143" s="799">
        <f>IF(EOMONTH(Inputs!$C$8,'IP Attrition'!U$134-1)&lt;=Inputs!$C$9,0,MIN(IF(ISERROR(VLOOKUP(U$134+$F143,$D$135:$D$165,1,FALSE)),0,T11*$C$2),MAX((IF(Monthly!Q$4=TRUE,Monthly!Q$13,Monthly!Q$14)*(1+'Attrition Modeling'!$N$8)-'IP Attrition'!T$65)/12*'IP Attrition'!T78,0)))</f>
        <v>0</v>
      </c>
      <c r="V143" s="799">
        <f>IF(EOMONTH(Inputs!$C$8,'IP Attrition'!V$134-1)&lt;=Inputs!$C$9,0,MIN(IF(ISERROR(VLOOKUP(V$134+$F143,$D$135:$D$165,1,FALSE)),0,U11*$C$2),MAX((IF(Monthly!R$4=TRUE,Monthly!R$13,Monthly!R$14)*(1+'Attrition Modeling'!$N$8)-'IP Attrition'!U$65)/12*'IP Attrition'!U78,0)))</f>
        <v>0</v>
      </c>
      <c r="W143" s="799">
        <f>IF(EOMONTH(Inputs!$C$8,'IP Attrition'!W$134-1)&lt;=Inputs!$C$9,0,MIN(IF(ISERROR(VLOOKUP(W$134+$F143,$D$135:$D$165,1,FALSE)),0,V11*$C$2),MAX((IF(Monthly!S$4=TRUE,Monthly!S$13,Monthly!S$14)*(1+'Attrition Modeling'!$N$8)-'IP Attrition'!V$65)/12*'IP Attrition'!V78,0)))</f>
        <v>0</v>
      </c>
      <c r="X143" s="799">
        <f>IF(EOMONTH(Inputs!$C$8,'IP Attrition'!X$134-1)&lt;=Inputs!$C$9,0,MIN(IF(ISERROR(VLOOKUP(X$134+$F143,$D$135:$D$165,1,FALSE)),0,W11*$C$2),MAX((IF(Monthly!T$4=TRUE,Monthly!T$13,Monthly!T$14)*(1+'Attrition Modeling'!$N$8)-'IP Attrition'!W$65)/12*'IP Attrition'!W78,0)))</f>
        <v>0</v>
      </c>
      <c r="Y143" s="799">
        <f>IF(EOMONTH(Inputs!$C$8,'IP Attrition'!Y$134-1)&lt;=Inputs!$C$9,0,MIN(IF(ISERROR(VLOOKUP(Y$134+$F143,$D$135:$D$165,1,FALSE)),0,X11*$C$2),MAX((IF(Monthly!U$4=TRUE,Monthly!U$13,Monthly!U$14)*(1+'Attrition Modeling'!$N$8)-'IP Attrition'!X$65)/12*'IP Attrition'!X78,0)))</f>
        <v>0</v>
      </c>
      <c r="Z143" s="799">
        <f>IF(EOMONTH(Inputs!$C$8,'IP Attrition'!Z$134-1)&lt;=Inputs!$C$9,0,MIN(IF(ISERROR(VLOOKUP(Z$134+$F143,$D$135:$D$165,1,FALSE)),0,Y11*$C$2),MAX((IF(Monthly!V$4=TRUE,Monthly!V$13,Monthly!V$14)*(1+'Attrition Modeling'!$N$8)-'IP Attrition'!Y$65)/12*'IP Attrition'!Y78,0)))</f>
        <v>0</v>
      </c>
      <c r="AA143" s="799">
        <f>IF(EOMONTH(Inputs!$C$8,'IP Attrition'!AA$134-1)&lt;=Inputs!$C$9,0,MIN(IF(ISERROR(VLOOKUP(AA$134+$F143,$D$135:$D$165,1,FALSE)),0,Z11*$C$2),MAX((IF(Monthly!W$4=TRUE,Monthly!W$13,Monthly!W$14)*(1+'Attrition Modeling'!$N$8)-'IP Attrition'!Z$65)/12*'IP Attrition'!Z78,0)))</f>
        <v>0</v>
      </c>
      <c r="AB143" s="799">
        <f>IF(EOMONTH(Inputs!$C$8,'IP Attrition'!AB$134-1)&lt;=Inputs!$C$9,0,MIN(IF(ISERROR(VLOOKUP(AB$134+$F143,$D$135:$D$165,1,FALSE)),0,AA11*$C$2),MAX((IF(Monthly!X$4=TRUE,Monthly!X$13,Monthly!X$14)*(1+'Attrition Modeling'!$N$8)-'IP Attrition'!AA$65)/12*'IP Attrition'!AA78,0)))</f>
        <v>0</v>
      </c>
      <c r="AC143" s="799">
        <f>IF(EOMONTH(Inputs!$C$8,'IP Attrition'!AC$134-1)&lt;=Inputs!$C$9,0,MIN(IF(ISERROR(VLOOKUP(AC$134+$F143,$D$135:$D$165,1,FALSE)),0,AB11*$C$2),MAX((IF(Monthly!Y$4=TRUE,Monthly!Y$13,Monthly!Y$14)*(1+'Attrition Modeling'!$N$8)-'IP Attrition'!AB$65)/12*'IP Attrition'!AB78,0)))</f>
        <v>0</v>
      </c>
      <c r="AD143" s="799">
        <f>IF(EOMONTH(Inputs!$C$8,'IP Attrition'!AD$134-1)&lt;=Inputs!$C$9,0,MIN(IF(ISERROR(VLOOKUP(AD$134+$F143,$D$135:$D$165,1,FALSE)),0,AC11*$C$2),MAX((IF(Monthly!Z$4=TRUE,Monthly!Z$13,Monthly!Z$14)*(1+'Attrition Modeling'!$N$8)-'IP Attrition'!AC$65)/12*'IP Attrition'!AC78,0)))</f>
        <v>0</v>
      </c>
      <c r="AE143" s="799">
        <f>IF(EOMONTH(Inputs!$C$8,'IP Attrition'!AE$134-1)&lt;=Inputs!$C$9,0,MIN(IF(ISERROR(VLOOKUP(AE$134+$F143,$D$135:$D$165,1,FALSE)),0,AD11*$C$2),MAX((IF(Monthly!AA$4=TRUE,Monthly!AA$13,Monthly!AA$14)*(1+'Attrition Modeling'!$N$8)-'IP Attrition'!AD$65)/12*'IP Attrition'!AD78,0)))</f>
        <v>0</v>
      </c>
      <c r="AF143" s="799">
        <f>IF(EOMONTH(Inputs!$C$8,'IP Attrition'!AF$134-1)&lt;=Inputs!$C$9,0,MIN(IF(ISERROR(VLOOKUP(AF$134+$F143,$D$135:$D$165,1,FALSE)),0,AE11*$C$2),MAX((IF(Monthly!AB$4=TRUE,Monthly!AB$13,Monthly!AB$14)*(1+'Attrition Modeling'!$N$8)-'IP Attrition'!AE$65)/12*'IP Attrition'!AE78,0)))</f>
        <v>0</v>
      </c>
      <c r="AG143" s="799">
        <f>IF(EOMONTH(Inputs!$C$8,'IP Attrition'!AG$134-1)&lt;=Inputs!$C$9,0,MIN(IF(ISERROR(VLOOKUP(AG$134+$F143,$D$135:$D$165,1,FALSE)),0,AF11*$C$2),MAX((IF(Monthly!AC$4=TRUE,Monthly!AC$13,Monthly!AC$14)*(1+'Attrition Modeling'!$N$8)-'IP Attrition'!AF$65)/12*'IP Attrition'!AF78,0)))</f>
        <v>0</v>
      </c>
      <c r="AH143" s="799">
        <f>IF(EOMONTH(Inputs!$C$8,'IP Attrition'!AH$134-1)&lt;=Inputs!$C$9,0,MIN(IF(ISERROR(VLOOKUP(AH$134+$F143,$D$135:$D$165,1,FALSE)),0,AG11*$C$2),MAX((IF(Monthly!AD$4=TRUE,Monthly!AD$13,Monthly!AD$14)*(1+'Attrition Modeling'!$N$8)-'IP Attrition'!AG$65)/12*'IP Attrition'!AG78,0)))</f>
        <v>0</v>
      </c>
      <c r="AI143" s="799">
        <f>IF(EOMONTH(Inputs!$C$8,'IP Attrition'!AI$134-1)&lt;=Inputs!$C$9,0,MIN(IF(ISERROR(VLOOKUP(AI$134+$F143,$D$135:$D$165,1,FALSE)),0,AH11*$C$2),MAX((IF(Monthly!AE$4=TRUE,Monthly!AE$13,Monthly!AE$14)*(1+'Attrition Modeling'!$N$8)-'IP Attrition'!AH$65)/12*'IP Attrition'!AH78,0)))</f>
        <v>0</v>
      </c>
      <c r="AJ143" s="799">
        <f>IF(EOMONTH(Inputs!$C$8,'IP Attrition'!AJ$134-1)&lt;=Inputs!$C$9,0,MIN(IF(ISERROR(VLOOKUP(AJ$134+$F143,$D$135:$D$165,1,FALSE)),0,AI11*$C$2),MAX((IF(Monthly!AF$4=TRUE,Monthly!AF$13,Monthly!AF$14)*(1+'Attrition Modeling'!$N$8)-'IP Attrition'!AI$65)/12*'IP Attrition'!AI78,0)))</f>
        <v>0</v>
      </c>
      <c r="AK143" s="799">
        <f>IF(EOMONTH(Inputs!$C$8,'IP Attrition'!AK$134-1)&lt;=Inputs!$C$9,0,MIN(IF(ISERROR(VLOOKUP(AK$134+$F143,$D$135:$D$165,1,FALSE)),0,AJ11*$C$2),MAX((IF(Monthly!AG$4=TRUE,Monthly!AG$13,Monthly!AG$14)*(1+'Attrition Modeling'!$N$8)-'IP Attrition'!AJ$65)/12*'IP Attrition'!AJ78,0)))</f>
        <v>0</v>
      </c>
      <c r="AL143" s="799">
        <f>IF(EOMONTH(Inputs!$C$8,'IP Attrition'!AL$134-1)&lt;=Inputs!$C$9,0,MIN(IF(ISERROR(VLOOKUP(AL$134+$F143,$D$135:$D$165,1,FALSE)),0,AK11*$C$2),MAX((IF(Monthly!AH$4=TRUE,Monthly!AH$13,Monthly!AH$14)*(1+'Attrition Modeling'!$N$8)-'IP Attrition'!AK$65)/12*'IP Attrition'!AK78,0)))</f>
        <v>0</v>
      </c>
      <c r="AM143" s="799">
        <f>IF(EOMONTH(Inputs!$C$8,'IP Attrition'!AM$134-1)&lt;=Inputs!$C$9,0,MIN(IF(ISERROR(VLOOKUP(AM$134+$F143,$D$135:$D$165,1,FALSE)),0,AL11*$C$2),MAX((IF(Monthly!AI$4=TRUE,Monthly!AI$13,Monthly!AI$14)*(1+'Attrition Modeling'!$N$8)-'IP Attrition'!AL$65)/12*'IP Attrition'!AL78,0)))</f>
        <v>0</v>
      </c>
      <c r="AN143" s="799">
        <f>IF(EOMONTH(Inputs!$C$8,'IP Attrition'!AN$134-1)&lt;=Inputs!$C$9,0,MIN(IF(ISERROR(VLOOKUP(AN$134+$F143,$D$135:$D$165,1,FALSE)),0,AM11*$C$2),MAX((IF(Monthly!AJ$4=TRUE,Monthly!AJ$13,Monthly!AJ$14)*(1+'Attrition Modeling'!$N$8)-'IP Attrition'!AM$65)/12*'IP Attrition'!AM78,0)))</f>
        <v>0</v>
      </c>
      <c r="AO143" s="799">
        <f>IF(EOMONTH(Inputs!$C$8,'IP Attrition'!AO$134-1)&lt;=Inputs!$C$9,0,MIN(IF(ISERROR(VLOOKUP(AO$134+$F143,$D$135:$D$165,1,FALSE)),0,AN11*$C$2),MAX((IF(Monthly!AK$4=TRUE,Monthly!AK$13,Monthly!AK$14)*(1+'Attrition Modeling'!$N$8)-'IP Attrition'!AN$65)/12*'IP Attrition'!AN78,0)))</f>
        <v>0</v>
      </c>
      <c r="AP143" s="799">
        <f>IF(EOMONTH(Inputs!$C$8,'IP Attrition'!AP$134-1)&lt;=Inputs!$C$9,0,MIN(IF(ISERROR(VLOOKUP(AP$134+$F143,$D$135:$D$165,1,FALSE)),0,AO11*$C$2),MAX((IF(Monthly!AL$4=TRUE,Monthly!AL$13,Monthly!AL$14)*(1+'Attrition Modeling'!$N$8)-'IP Attrition'!AO$65)/12*'IP Attrition'!AO78,0)))</f>
        <v>0</v>
      </c>
      <c r="AQ143" s="799">
        <f>IF(EOMONTH(Inputs!$C$8,'IP Attrition'!AQ$134-1)&lt;=Inputs!$C$9,0,MIN(IF(ISERROR(VLOOKUP(AQ$134+$F143,$D$135:$D$165,1,FALSE)),0,AP11*$C$2),MAX((IF(Monthly!AM$4=TRUE,Monthly!AM$13,Monthly!AM$14)*(1+'Attrition Modeling'!$N$8)-'IP Attrition'!AP$65)/12*'IP Attrition'!AP78,0)))</f>
        <v>0</v>
      </c>
      <c r="AR143" s="799">
        <f>IF(EOMONTH(Inputs!$C$8,'IP Attrition'!AR$134-1)&lt;=Inputs!$C$9,0,MIN(IF(ISERROR(VLOOKUP(AR$134+$F143,$D$135:$D$165,1,FALSE)),0,AQ11*$C$2),MAX((IF(Monthly!AN$4=TRUE,Monthly!AN$13,Monthly!AN$14)*(1+'Attrition Modeling'!$N$8)-'IP Attrition'!AQ$65)/12*'IP Attrition'!AQ78,0)))</f>
        <v>0</v>
      </c>
      <c r="AS143" s="799">
        <f>IF(EOMONTH(Inputs!$C$8,'IP Attrition'!AS$134-1)&lt;=Inputs!$C$9,0,MIN(IF(ISERROR(VLOOKUP(AS$134+$F143,$D$135:$D$165,1,FALSE)),0,AR11*$C$2),MAX((IF(Monthly!AO$4=TRUE,Monthly!AO$13,Monthly!AO$14)*(1+'Attrition Modeling'!$N$8)-'IP Attrition'!AR$65)/12*'IP Attrition'!AR78,0)))</f>
        <v>0</v>
      </c>
      <c r="AT143" s="799">
        <f>IF(EOMONTH(Inputs!$C$8,'IP Attrition'!AT$134-1)&lt;=Inputs!$C$9,0,MIN(IF(ISERROR(VLOOKUP(AT$134+$F143,$D$135:$D$165,1,FALSE)),0,AS11*$C$2),MAX((IF(Monthly!AP$4=TRUE,Monthly!AP$13,Monthly!AP$14)*(1+'Attrition Modeling'!$N$8)-'IP Attrition'!AS$65)/12*'IP Attrition'!AS78,0)))</f>
        <v>0</v>
      </c>
      <c r="AU143" s="799">
        <f>IF(EOMONTH(Inputs!$C$8,'IP Attrition'!AU$134-1)&lt;=Inputs!$C$9,0,MIN(IF(ISERROR(VLOOKUP(AU$134+$F143,$D$135:$D$165,1,FALSE)),0,AT11*$C$2),MAX((IF(Monthly!AQ$4=TRUE,Monthly!AQ$13,Monthly!AQ$14)*(1+'Attrition Modeling'!$N$8)-'IP Attrition'!AT$65)/12*'IP Attrition'!AT78,0)))</f>
        <v>0</v>
      </c>
      <c r="AV143" s="799">
        <f>IF(EOMONTH(Inputs!$C$8,'IP Attrition'!AV$134-1)&lt;=Inputs!$C$9,0,MIN(IF(ISERROR(VLOOKUP(AV$134+$F143,$D$135:$D$165,1,FALSE)),0,AU11*$C$2),MAX((IF(Monthly!AR$4=TRUE,Monthly!AR$13,Monthly!AR$14)*(1+'Attrition Modeling'!$N$8)-'IP Attrition'!AU$65)/12*'IP Attrition'!AU78,0)))</f>
        <v>0</v>
      </c>
      <c r="AW143" s="799">
        <f>IF(EOMONTH(Inputs!$C$8,'IP Attrition'!AW$134-1)&lt;=Inputs!$C$9,0,MIN(IF(ISERROR(VLOOKUP(AW$134+$F143,$D$135:$D$165,1,FALSE)),0,AV11*$C$2),MAX((IF(Monthly!AS$4=TRUE,Monthly!AS$13,Monthly!AS$14)*(1+'Attrition Modeling'!$N$8)-'IP Attrition'!AV$65)/12*'IP Attrition'!AV78,0)))</f>
        <v>0</v>
      </c>
      <c r="AX143" s="799">
        <f>IF(EOMONTH(Inputs!$C$8,'IP Attrition'!AX$134-1)&lt;=Inputs!$C$9,0,MIN(IF(ISERROR(VLOOKUP(AX$134+$F143,$D$135:$D$165,1,FALSE)),0,AW11*$C$2),MAX((IF(Monthly!AT$4=TRUE,Monthly!AT$13,Monthly!AT$14)*(1+'Attrition Modeling'!$N$8)-'IP Attrition'!AW$65)/12*'IP Attrition'!AW78,0)))</f>
        <v>0</v>
      </c>
      <c r="AY143" s="799">
        <f>IF(EOMONTH(Inputs!$C$8,'IP Attrition'!AY$134-1)&lt;=Inputs!$C$9,0,MIN(IF(ISERROR(VLOOKUP(AY$134+$F143,$D$135:$D$165,1,FALSE)),0,AX11*$C$2),MAX((IF(Monthly!AU$4=TRUE,Monthly!AU$13,Monthly!AU$14)*(1+'Attrition Modeling'!$N$8)-'IP Attrition'!AX$65)/12*'IP Attrition'!AX78,0)))</f>
        <v>0</v>
      </c>
      <c r="AZ143" s="799">
        <f>IF(EOMONTH(Inputs!$C$8,'IP Attrition'!AZ$134-1)&lt;=Inputs!$C$9,0,MIN(IF(ISERROR(VLOOKUP(AZ$134+$F143,$D$135:$D$165,1,FALSE)),0,AY11*$C$2),MAX((IF(Monthly!AV$4=TRUE,Monthly!AV$13,Monthly!AV$14)*(1+'Attrition Modeling'!$N$8)-'IP Attrition'!AY$65)/12*'IP Attrition'!AY78,0)))</f>
        <v>0</v>
      </c>
      <c r="BA143" s="799">
        <f>IF(EOMONTH(Inputs!$C$8,'IP Attrition'!BA$134-1)&lt;=Inputs!$C$9,0,MIN(IF(ISERROR(VLOOKUP(BA$134+$F143,$D$135:$D$165,1,FALSE)),0,AZ11*$C$2),MAX((IF(Monthly!AW$4=TRUE,Monthly!AW$13,Monthly!AW$14)*(1+'Attrition Modeling'!$N$8)-'IP Attrition'!AZ$65)/12*'IP Attrition'!AZ78,0)))</f>
        <v>0</v>
      </c>
      <c r="BB143" s="799">
        <f>IF(EOMONTH(Inputs!$C$8,'IP Attrition'!BB$134-1)&lt;=Inputs!$C$9,0,MIN(IF(ISERROR(VLOOKUP(BB$134+$F143,$D$135:$D$165,1,FALSE)),0,BA11*$C$2),MAX((IF(Monthly!AX$4=TRUE,Monthly!AX$13,Monthly!AX$14)*(1+'Attrition Modeling'!$N$8)-'IP Attrition'!BA$65)/12*'IP Attrition'!BA78,0)))</f>
        <v>0</v>
      </c>
      <c r="BC143" s="799">
        <f>IF(EOMONTH(Inputs!$C$8,'IP Attrition'!BC$134-1)&lt;=Inputs!$C$9,0,MIN(IF(ISERROR(VLOOKUP(BC$134+$F143,$D$135:$D$165,1,FALSE)),0,BB11*$C$2),MAX((IF(Monthly!AY$4=TRUE,Monthly!AY$13,Monthly!AY$14)*(1+'Attrition Modeling'!$N$8)-'IP Attrition'!BB$65)/12*'IP Attrition'!BB78,0)))</f>
        <v>0</v>
      </c>
      <c r="BD143" s="799">
        <f>IF(EOMONTH(Inputs!$C$8,'IP Attrition'!BD$134-1)&lt;=Inputs!$C$9,0,MIN(IF(ISERROR(VLOOKUP(BD$134+$F143,$D$135:$D$165,1,FALSE)),0,BC11*$C$2),MAX((IF(Monthly!AZ$4=TRUE,Monthly!AZ$13,Monthly!AZ$14)*(1+'Attrition Modeling'!$N$8)-'IP Attrition'!BC$65)/12*'IP Attrition'!BC78,0)))</f>
        <v>0</v>
      </c>
      <c r="BE143" s="799">
        <f>IF(EOMONTH(Inputs!$C$8,'IP Attrition'!BE$134-1)&lt;=Inputs!$C$9,0,MIN(IF(ISERROR(VLOOKUP(BE$134+$F143,$D$135:$D$165,1,FALSE)),0,BD11*$C$2),MAX((IF(Monthly!BA$4=TRUE,Monthly!BA$13,Monthly!BA$14)*(1+'Attrition Modeling'!$N$8)-'IP Attrition'!BD$65)/12*'IP Attrition'!BD78,0)))</f>
        <v>0</v>
      </c>
      <c r="BF143" s="799">
        <f>IF(EOMONTH(Inputs!$C$8,'IP Attrition'!BF$134-1)&lt;=Inputs!$C$9,0,MIN(IF(ISERROR(VLOOKUP(BF$134+$F143,$D$135:$D$165,1,FALSE)),0,BE11*$C$2),MAX((IF(Monthly!BB$4=TRUE,Monthly!BB$13,Monthly!BB$14)*(1+'Attrition Modeling'!$N$8)-'IP Attrition'!BE$65)/12*'IP Attrition'!BE78,0)))</f>
        <v>0</v>
      </c>
      <c r="BG143" s="799">
        <f>IF(EOMONTH(Inputs!$C$8,'IP Attrition'!BG$134-1)&lt;=Inputs!$C$9,0,MIN(IF(ISERROR(VLOOKUP(BG$134+$F143,$D$135:$D$165,1,FALSE)),0,BF11*$C$2),MAX((IF(Monthly!BC$4=TRUE,Monthly!BC$13,Monthly!BC$14)*(1+'Attrition Modeling'!$N$8)-'IP Attrition'!BF$65)/12*'IP Attrition'!BF78,0)))</f>
        <v>0</v>
      </c>
      <c r="BH143" s="799">
        <f>IF(EOMONTH(Inputs!$C$8,'IP Attrition'!BH$134-1)&lt;=Inputs!$C$9,0,MIN(IF(ISERROR(VLOOKUP(BH$134+$F143,$D$135:$D$165,1,FALSE)),0,BG11*$C$2),MAX((IF(Monthly!BD$4=TRUE,Monthly!BD$13,Monthly!BD$14)*(1+'Attrition Modeling'!$N$8)-'IP Attrition'!BG$65)/12*'IP Attrition'!BG78,0)))</f>
        <v>0</v>
      </c>
      <c r="BI143" s="799">
        <f>IF(EOMONTH(Inputs!$C$8,'IP Attrition'!BI$134-1)&lt;=Inputs!$C$9,0,MIN(IF(ISERROR(VLOOKUP(BI$134+$F143,$D$135:$D$165,1,FALSE)),0,BH11*$C$2),MAX((IF(Monthly!BE$4=TRUE,Monthly!BE$13,Monthly!BE$14)*(1+'Attrition Modeling'!$N$8)-'IP Attrition'!BH$65)/12*'IP Attrition'!BH78,0)))</f>
        <v>0</v>
      </c>
      <c r="BJ143" s="799">
        <f>IF(EOMONTH(Inputs!$C$8,'IP Attrition'!BJ$134-1)&lt;=Inputs!$C$9,0,MIN(IF(ISERROR(VLOOKUP(BJ$134+$F143,$D$135:$D$165,1,FALSE)),0,BI11*$C$2),MAX((IF(Monthly!BF$4=TRUE,Monthly!BF$13,Monthly!BF$14)*(1+'Attrition Modeling'!$N$8)-'IP Attrition'!BI$65)/12*'IP Attrition'!BI78,0)))</f>
        <v>0</v>
      </c>
      <c r="BK143" s="799">
        <f>IF(EOMONTH(Inputs!$C$8,'IP Attrition'!BK$134-1)&lt;=Inputs!$C$9,0,MIN(IF(ISERROR(VLOOKUP(BK$134+$F143,$D$135:$D$165,1,FALSE)),0,BJ11*$C$2),MAX((IF(Monthly!BG$4=TRUE,Monthly!BG$13,Monthly!BG$14)*(1+'Attrition Modeling'!$N$8)-'IP Attrition'!BJ$65)/12*'IP Attrition'!BJ78,0)))</f>
        <v>0</v>
      </c>
      <c r="BL143" s="799">
        <f>IF(EOMONTH(Inputs!$C$8,'IP Attrition'!BL$134-1)&lt;=Inputs!$C$9,0,MIN(IF(ISERROR(VLOOKUP(BL$134+$F143,$D$135:$D$165,1,FALSE)),0,BK11*$C$2),MAX((IF(Monthly!BH$4=TRUE,Monthly!BH$13,Monthly!BH$14)*(1+'Attrition Modeling'!$N$8)-'IP Attrition'!BK$65)/12*'IP Attrition'!BK78,0)))</f>
        <v>0</v>
      </c>
      <c r="BM143" s="799">
        <f>IF(EOMONTH(Inputs!$C$8,'IP Attrition'!BM$134-1)&lt;=Inputs!$C$9,0,MIN(IF(ISERROR(VLOOKUP(BM$134+$F143,$D$135:$D$165,1,FALSE)),0,BL11*$C$2),MAX((IF(Monthly!BI$4=TRUE,Monthly!BI$13,Monthly!BI$14)*(1+'Attrition Modeling'!$N$8)-'IP Attrition'!BL$65)/12*'IP Attrition'!BL78,0)))</f>
        <v>0</v>
      </c>
      <c r="BN143" s="799">
        <f>IF(EOMONTH(Inputs!$C$8,'IP Attrition'!BN$134-1)&lt;=Inputs!$C$9,0,MIN(IF(ISERROR(VLOOKUP(BN$134+$F143,$D$135:$D$165,1,FALSE)),0,BM11*$C$2),MAX((IF(Monthly!BJ$4=TRUE,Monthly!BJ$13,Monthly!BJ$14)*(1+'Attrition Modeling'!$N$8)-'IP Attrition'!BM$65)/12*'IP Attrition'!BM78,0)))</f>
        <v>0</v>
      </c>
      <c r="BO143" s="799">
        <f>IF(EOMONTH(Inputs!$C$8,'IP Attrition'!BO$134-1)&lt;=Inputs!$C$9,0,MIN(IF(ISERROR(VLOOKUP(BO$134+$F143,$D$135:$D$165,1,FALSE)),0,BN11*$C$2),MAX((IF(Monthly!BK$4=TRUE,Monthly!BK$13,Monthly!BK$14)*(1+'Attrition Modeling'!$N$8)-'IP Attrition'!BN$65)/12*'IP Attrition'!BN78,0)))</f>
        <v>0</v>
      </c>
      <c r="BP143" s="799">
        <f>IF(EOMONTH(Inputs!$C$8,'IP Attrition'!BP$134-1)&lt;=Inputs!$C$9,0,MIN(IF(ISERROR(VLOOKUP(BP$134+$F143,$D$135:$D$165,1,FALSE)),0,BO11*$C$2),MAX((IF(Monthly!BL$4=TRUE,Monthly!BL$13,Monthly!BL$14)*(1+'Attrition Modeling'!$N$8)-'IP Attrition'!BO$65)/12*'IP Attrition'!BO78,0)))</f>
        <v>0</v>
      </c>
      <c r="BQ143" s="799">
        <f>IF(EOMONTH(Inputs!$C$8,'IP Attrition'!BQ$134-1)&lt;=Inputs!$C$9,0,MIN(IF(ISERROR(VLOOKUP(BQ$134+$F143,$D$135:$D$165,1,FALSE)),0,BP11*$C$2),MAX((IF(Monthly!BM$4=TRUE,Monthly!BM$13,Monthly!BM$14)*(1+'Attrition Modeling'!$N$8)-'IP Attrition'!BP$65)/12*'IP Attrition'!BP78,0)))</f>
        <v>0</v>
      </c>
      <c r="BR143" s="799">
        <f>IF(EOMONTH(Inputs!$C$8,'IP Attrition'!BR$134-1)&lt;=Inputs!$C$9,0,MIN(IF(ISERROR(VLOOKUP(BR$134+$F143,$D$135:$D$165,1,FALSE)),0,BQ11*$C$2),MAX((IF(Monthly!BN$4=TRUE,Monthly!BN$13,Monthly!BN$14)*(1+'Attrition Modeling'!$N$8)-'IP Attrition'!BQ$65)/12*'IP Attrition'!BQ78,0)))</f>
        <v>0</v>
      </c>
      <c r="BS143" s="799">
        <f>IF(EOMONTH(Inputs!$C$8,'IP Attrition'!BS$134-1)&lt;=Inputs!$C$9,0,MIN(IF(ISERROR(VLOOKUP(BS$134+$F143,$D$135:$D$165,1,FALSE)),0,BR11*$C$2),MAX((IF(Monthly!BO$4=TRUE,Monthly!BO$13,Monthly!BO$14)*(1+'Attrition Modeling'!$N$8)-'IP Attrition'!BR$65)/12*'IP Attrition'!BR78,0)))</f>
        <v>0</v>
      </c>
      <c r="BT143" s="799" t="e">
        <f>IF(EOMONTH(Inputs!$C$8,'IP Attrition'!BT$134-1)&lt;=Inputs!$C$9,0,MIN(IF(ISERROR(VLOOKUP(BT$134+$F143,$D$135:$D$165,1,FALSE)),0,BS11*$C$2),MAX((IF(Monthly!#REF!=TRUE,Monthly!#REF!,Monthly!#REF!)*(1+'Attrition Modeling'!$N$8)-'IP Attrition'!BS$65)/12*'IP Attrition'!BS78,0)))</f>
        <v>#REF!</v>
      </c>
      <c r="BU143" s="799" t="e">
        <f>IF(EOMONTH(Inputs!$C$8,'IP Attrition'!BU$134-1)&lt;=Inputs!$C$9,0,MIN(IF(ISERROR(VLOOKUP(BU$134+$F143,$D$135:$D$165,1,FALSE)),0,BT11*$C$2),MAX((IF(Monthly!#REF!=TRUE,Monthly!#REF!,Monthly!#REF!)*(1+'Attrition Modeling'!$N$8)-'IP Attrition'!BT$65)/12*'IP Attrition'!BT78,0)))</f>
        <v>#REF!</v>
      </c>
    </row>
    <row r="144" spans="1:73" ht="14.25" customHeight="1" x14ac:dyDescent="0.2">
      <c r="A144" s="9">
        <v>137</v>
      </c>
      <c r="B144" s="25">
        <f>MAX('Attrition Modeling'!H141,$C$3)*(1-Summary!$C$20)</f>
        <v>0.02</v>
      </c>
      <c r="C144" s="24" t="e">
        <f t="shared" si="3"/>
        <v>#DIV/0!</v>
      </c>
      <c r="D144" s="11">
        <f t="shared" si="72"/>
        <v>114</v>
      </c>
      <c r="E144" s="25">
        <f t="shared" si="71"/>
        <v>3.5488958990536279E-2</v>
      </c>
      <c r="F144" s="11">
        <f t="shared" si="73"/>
        <v>9</v>
      </c>
      <c r="G144" s="799"/>
      <c r="H144" s="799">
        <f>IF(EOMONTH(Inputs!$C$8,'IP Attrition'!H$134-1)&lt;=Inputs!$C$9,0,MIN(IF(ISERROR(VLOOKUP(H$134+$F144,$D$135:$D$165,1,FALSE)),0,G12*$C$2),MAX((IF(Monthly!D$4=TRUE,Monthly!D$13,Monthly!D$14)*(1+'Attrition Modeling'!$N$8)-'IP Attrition'!G$65)/12*'IP Attrition'!G79,0)))</f>
        <v>0</v>
      </c>
      <c r="I144" s="799">
        <f>IF(EOMONTH(Inputs!$C$8,'IP Attrition'!I$134-1)&lt;=Inputs!$C$9,0,MIN(IF(ISERROR(VLOOKUP(I$134+$F144,$D$135:$D$165,1,FALSE)),0,H12*$C$2),MAX((IF(Monthly!E$4=TRUE,Monthly!E$13,Monthly!E$14)*(1+'Attrition Modeling'!$N$8)-'IP Attrition'!H$65)/12*'IP Attrition'!H79,0)))</f>
        <v>0</v>
      </c>
      <c r="J144" s="799">
        <f>IF(EOMONTH(Inputs!$C$8,'IP Attrition'!J$134-1)&lt;=Inputs!$C$9,0,MIN(IF(ISERROR(VLOOKUP(J$134+$F144,$D$135:$D$165,1,FALSE)),0,I12*$C$2),MAX((IF(Monthly!F$4=TRUE,Monthly!F$13,Monthly!F$14)*(1+'Attrition Modeling'!$N$8)-'IP Attrition'!I$65)/12*'IP Attrition'!I79,0)))</f>
        <v>0</v>
      </c>
      <c r="K144" s="799">
        <f>IF(EOMONTH(Inputs!$C$8,'IP Attrition'!K$134-1)&lt;=Inputs!$C$9,0,MIN(IF(ISERROR(VLOOKUP(K$134+$F144,$D$135:$D$165,1,FALSE)),0,J12*$C$2),MAX((IF(Monthly!G$4=TRUE,Monthly!G$13,Monthly!G$14)*(1+'Attrition Modeling'!$N$8)-'IP Attrition'!J$65)/12*'IP Attrition'!J79,0)))</f>
        <v>0</v>
      </c>
      <c r="L144" s="799">
        <f>IF(EOMONTH(Inputs!$C$8,'IP Attrition'!L$134-1)&lt;=Inputs!$C$9,0,MIN(IF(ISERROR(VLOOKUP(L$134+$F144,$D$135:$D$165,1,FALSE)),0,K12*$C$2),MAX((IF(Monthly!H$4=TRUE,Monthly!H$13,Monthly!H$14)*(1+'Attrition Modeling'!$N$8)-'IP Attrition'!K$65)/12*'IP Attrition'!K79,0)))</f>
        <v>0</v>
      </c>
      <c r="M144" s="799">
        <f>IF(EOMONTH(Inputs!$C$8,'IP Attrition'!M$134-1)&lt;=Inputs!$C$9,0,MIN(IF(ISERROR(VLOOKUP(M$134+$F144,$D$135:$D$165,1,FALSE)),0,L12*$C$2),MAX((IF(Monthly!I$4=TRUE,Monthly!I$13,Monthly!I$14)*(1+'Attrition Modeling'!$N$8)-'IP Attrition'!L$65)/12*'IP Attrition'!L79,0)))</f>
        <v>0</v>
      </c>
      <c r="N144" s="799">
        <f>IF(EOMONTH(Inputs!$C$8,'IP Attrition'!N$134-1)&lt;=Inputs!$C$9,0,MIN(IF(ISERROR(VLOOKUP(N$134+$F144,$D$135:$D$165,1,FALSE)),0,M12*$C$2),MAX((IF(Monthly!J$4=TRUE,Monthly!J$13,Monthly!J$14)*(1+'Attrition Modeling'!$N$8)-'IP Attrition'!M$65)/12*'IP Attrition'!M79,0)))</f>
        <v>0</v>
      </c>
      <c r="O144" s="799">
        <f>IF(EOMONTH(Inputs!$C$8,'IP Attrition'!O$134-1)&lt;=Inputs!$C$9,0,MIN(IF(ISERROR(VLOOKUP(O$134+$F144,$D$135:$D$165,1,FALSE)),0,N12*$C$2),MAX((IF(Monthly!K$4=TRUE,Monthly!K$13,Monthly!K$14)*(1+'Attrition Modeling'!$N$8)-'IP Attrition'!N$65)/12*'IP Attrition'!N79,0)))</f>
        <v>0</v>
      </c>
      <c r="P144" s="799">
        <f>IF(EOMONTH(Inputs!$C$8,'IP Attrition'!P$134-1)&lt;=Inputs!$C$9,0,MIN(IF(ISERROR(VLOOKUP(P$134+$F144,$D$135:$D$165,1,FALSE)),0,O12*$C$2),MAX((IF(Monthly!L$4=TRUE,Monthly!L$13,Monthly!L$14)*(1+'Attrition Modeling'!$N$8)-'IP Attrition'!O$65)/12*'IP Attrition'!O79,0)))</f>
        <v>0</v>
      </c>
      <c r="Q144" s="799">
        <f>IF(EOMONTH(Inputs!$C$8,'IP Attrition'!Q$134-1)&lt;=Inputs!$C$9,0,MIN(IF(ISERROR(VLOOKUP(Q$134+$F144,$D$135:$D$165,1,FALSE)),0,P12*$C$2),MAX((IF(Monthly!M$4=TRUE,Monthly!M$13,Monthly!M$14)*(1+'Attrition Modeling'!$N$8)-'IP Attrition'!P$65)/12*'IP Attrition'!P79,0)))</f>
        <v>0</v>
      </c>
      <c r="R144" s="799">
        <f>IF(EOMONTH(Inputs!$C$8,'IP Attrition'!R$134-1)&lt;=Inputs!$C$9,0,MIN(IF(ISERROR(VLOOKUP(R$134+$F144,$D$135:$D$165,1,FALSE)),0,Q12*$C$2),MAX((IF(Monthly!N$4=TRUE,Monthly!N$13,Monthly!N$14)*(1+'Attrition Modeling'!$N$8)-'IP Attrition'!Q$65)/12*'IP Attrition'!Q79,0)))</f>
        <v>0</v>
      </c>
      <c r="S144" s="799">
        <f>IF(EOMONTH(Inputs!$C$8,'IP Attrition'!S$134-1)&lt;=Inputs!$C$9,0,MIN(IF(ISERROR(VLOOKUP(S$134+$F144,$D$135:$D$165,1,FALSE)),0,R12*$C$2),MAX((IF(Monthly!O$4=TRUE,Monthly!O$13,Monthly!O$14)*(1+'Attrition Modeling'!$N$8)-'IP Attrition'!R$65)/12*'IP Attrition'!R79,0)))</f>
        <v>0</v>
      </c>
      <c r="T144" s="799">
        <f>IF(EOMONTH(Inputs!$C$8,'IP Attrition'!T$134-1)&lt;=Inputs!$C$9,0,MIN(IF(ISERROR(VLOOKUP(T$134+$F144,$D$135:$D$165,1,FALSE)),0,S12*$C$2),MAX((IF(Monthly!P$4=TRUE,Monthly!P$13,Monthly!P$14)*(1+'Attrition Modeling'!$N$8)-'IP Attrition'!S$65)/12*'IP Attrition'!S79,0)))</f>
        <v>0</v>
      </c>
      <c r="U144" s="799">
        <f>IF(EOMONTH(Inputs!$C$8,'IP Attrition'!U$134-1)&lt;=Inputs!$C$9,0,MIN(IF(ISERROR(VLOOKUP(U$134+$F144,$D$135:$D$165,1,FALSE)),0,T12*$C$2),MAX((IF(Monthly!Q$4=TRUE,Monthly!Q$13,Monthly!Q$14)*(1+'Attrition Modeling'!$N$8)-'IP Attrition'!T$65)/12*'IP Attrition'!T79,0)))</f>
        <v>0</v>
      </c>
      <c r="V144" s="799">
        <f>IF(EOMONTH(Inputs!$C$8,'IP Attrition'!V$134-1)&lt;=Inputs!$C$9,0,MIN(IF(ISERROR(VLOOKUP(V$134+$F144,$D$135:$D$165,1,FALSE)),0,U12*$C$2),MAX((IF(Monthly!R$4=TRUE,Monthly!R$13,Monthly!R$14)*(1+'Attrition Modeling'!$N$8)-'IP Attrition'!U$65)/12*'IP Attrition'!U79,0)))</f>
        <v>0</v>
      </c>
      <c r="W144" s="799">
        <f>IF(EOMONTH(Inputs!$C$8,'IP Attrition'!W$134-1)&lt;=Inputs!$C$9,0,MIN(IF(ISERROR(VLOOKUP(W$134+$F144,$D$135:$D$165,1,FALSE)),0,V12*$C$2),MAX((IF(Monthly!S$4=TRUE,Monthly!S$13,Monthly!S$14)*(1+'Attrition Modeling'!$N$8)-'IP Attrition'!V$65)/12*'IP Attrition'!V79,0)))</f>
        <v>0</v>
      </c>
      <c r="X144" s="799">
        <f>IF(EOMONTH(Inputs!$C$8,'IP Attrition'!X$134-1)&lt;=Inputs!$C$9,0,MIN(IF(ISERROR(VLOOKUP(X$134+$F144,$D$135:$D$165,1,FALSE)),0,W12*$C$2),MAX((IF(Monthly!T$4=TRUE,Monthly!T$13,Monthly!T$14)*(1+'Attrition Modeling'!$N$8)-'IP Attrition'!W$65)/12*'IP Attrition'!W79,0)))</f>
        <v>0</v>
      </c>
      <c r="Y144" s="799">
        <f>IF(EOMONTH(Inputs!$C$8,'IP Attrition'!Y$134-1)&lt;=Inputs!$C$9,0,MIN(IF(ISERROR(VLOOKUP(Y$134+$F144,$D$135:$D$165,1,FALSE)),0,X12*$C$2),MAX((IF(Monthly!U$4=TRUE,Monthly!U$13,Monthly!U$14)*(1+'Attrition Modeling'!$N$8)-'IP Attrition'!X$65)/12*'IP Attrition'!X79,0)))</f>
        <v>0</v>
      </c>
      <c r="Z144" s="799">
        <f>IF(EOMONTH(Inputs!$C$8,'IP Attrition'!Z$134-1)&lt;=Inputs!$C$9,0,MIN(IF(ISERROR(VLOOKUP(Z$134+$F144,$D$135:$D$165,1,FALSE)),0,Y12*$C$2),MAX((IF(Monthly!V$4=TRUE,Monthly!V$13,Monthly!V$14)*(1+'Attrition Modeling'!$N$8)-'IP Attrition'!Y$65)/12*'IP Attrition'!Y79,0)))</f>
        <v>0</v>
      </c>
      <c r="AA144" s="799">
        <f>IF(EOMONTH(Inputs!$C$8,'IP Attrition'!AA$134-1)&lt;=Inputs!$C$9,0,MIN(IF(ISERROR(VLOOKUP(AA$134+$F144,$D$135:$D$165,1,FALSE)),0,Z12*$C$2),MAX((IF(Monthly!W$4=TRUE,Monthly!W$13,Monthly!W$14)*(1+'Attrition Modeling'!$N$8)-'IP Attrition'!Z$65)/12*'IP Attrition'!Z79,0)))</f>
        <v>0</v>
      </c>
      <c r="AB144" s="799">
        <f>IF(EOMONTH(Inputs!$C$8,'IP Attrition'!AB$134-1)&lt;=Inputs!$C$9,0,MIN(IF(ISERROR(VLOOKUP(AB$134+$F144,$D$135:$D$165,1,FALSE)),0,AA12*$C$2),MAX((IF(Monthly!X$4=TRUE,Monthly!X$13,Monthly!X$14)*(1+'Attrition Modeling'!$N$8)-'IP Attrition'!AA$65)/12*'IP Attrition'!AA79,0)))</f>
        <v>0</v>
      </c>
      <c r="AC144" s="799">
        <f>IF(EOMONTH(Inputs!$C$8,'IP Attrition'!AC$134-1)&lt;=Inputs!$C$9,0,MIN(IF(ISERROR(VLOOKUP(AC$134+$F144,$D$135:$D$165,1,FALSE)),0,AB12*$C$2),MAX((IF(Monthly!Y$4=TRUE,Monthly!Y$13,Monthly!Y$14)*(1+'Attrition Modeling'!$N$8)-'IP Attrition'!AB$65)/12*'IP Attrition'!AB79,0)))</f>
        <v>0</v>
      </c>
      <c r="AD144" s="799">
        <f>IF(EOMONTH(Inputs!$C$8,'IP Attrition'!AD$134-1)&lt;=Inputs!$C$9,0,MIN(IF(ISERROR(VLOOKUP(AD$134+$F144,$D$135:$D$165,1,FALSE)),0,AC12*$C$2),MAX((IF(Monthly!Z$4=TRUE,Monthly!Z$13,Monthly!Z$14)*(1+'Attrition Modeling'!$N$8)-'IP Attrition'!AC$65)/12*'IP Attrition'!AC79,0)))</f>
        <v>0</v>
      </c>
      <c r="AE144" s="799">
        <f>IF(EOMONTH(Inputs!$C$8,'IP Attrition'!AE$134-1)&lt;=Inputs!$C$9,0,MIN(IF(ISERROR(VLOOKUP(AE$134+$F144,$D$135:$D$165,1,FALSE)),0,AD12*$C$2),MAX((IF(Monthly!AA$4=TRUE,Monthly!AA$13,Monthly!AA$14)*(1+'Attrition Modeling'!$N$8)-'IP Attrition'!AD$65)/12*'IP Attrition'!AD79,0)))</f>
        <v>0</v>
      </c>
      <c r="AF144" s="799">
        <f>IF(EOMONTH(Inputs!$C$8,'IP Attrition'!AF$134-1)&lt;=Inputs!$C$9,0,MIN(IF(ISERROR(VLOOKUP(AF$134+$F144,$D$135:$D$165,1,FALSE)),0,AE12*$C$2),MAX((IF(Monthly!AB$4=TRUE,Monthly!AB$13,Monthly!AB$14)*(1+'Attrition Modeling'!$N$8)-'IP Attrition'!AE$65)/12*'IP Attrition'!AE79,0)))</f>
        <v>0</v>
      </c>
      <c r="AG144" s="799">
        <f>IF(EOMONTH(Inputs!$C$8,'IP Attrition'!AG$134-1)&lt;=Inputs!$C$9,0,MIN(IF(ISERROR(VLOOKUP(AG$134+$F144,$D$135:$D$165,1,FALSE)),0,AF12*$C$2),MAX((IF(Monthly!AC$4=TRUE,Monthly!AC$13,Monthly!AC$14)*(1+'Attrition Modeling'!$N$8)-'IP Attrition'!AF$65)/12*'IP Attrition'!AF79,0)))</f>
        <v>0</v>
      </c>
      <c r="AH144" s="799">
        <f>IF(EOMONTH(Inputs!$C$8,'IP Attrition'!AH$134-1)&lt;=Inputs!$C$9,0,MIN(IF(ISERROR(VLOOKUP(AH$134+$F144,$D$135:$D$165,1,FALSE)),0,AG12*$C$2),MAX((IF(Monthly!AD$4=TRUE,Monthly!AD$13,Monthly!AD$14)*(1+'Attrition Modeling'!$N$8)-'IP Attrition'!AG$65)/12*'IP Attrition'!AG79,0)))</f>
        <v>0</v>
      </c>
      <c r="AI144" s="799">
        <f>IF(EOMONTH(Inputs!$C$8,'IP Attrition'!AI$134-1)&lt;=Inputs!$C$9,0,MIN(IF(ISERROR(VLOOKUP(AI$134+$F144,$D$135:$D$165,1,FALSE)),0,AH12*$C$2),MAX((IF(Monthly!AE$4=TRUE,Monthly!AE$13,Monthly!AE$14)*(1+'Attrition Modeling'!$N$8)-'IP Attrition'!AH$65)/12*'IP Attrition'!AH79,0)))</f>
        <v>0</v>
      </c>
      <c r="AJ144" s="799">
        <f>IF(EOMONTH(Inputs!$C$8,'IP Attrition'!AJ$134-1)&lt;=Inputs!$C$9,0,MIN(IF(ISERROR(VLOOKUP(AJ$134+$F144,$D$135:$D$165,1,FALSE)),0,AI12*$C$2),MAX((IF(Monthly!AF$4=TRUE,Monthly!AF$13,Monthly!AF$14)*(1+'Attrition Modeling'!$N$8)-'IP Attrition'!AI$65)/12*'IP Attrition'!AI79,0)))</f>
        <v>0</v>
      </c>
      <c r="AK144" s="799">
        <f>IF(EOMONTH(Inputs!$C$8,'IP Attrition'!AK$134-1)&lt;=Inputs!$C$9,0,MIN(IF(ISERROR(VLOOKUP(AK$134+$F144,$D$135:$D$165,1,FALSE)),0,AJ12*$C$2),MAX((IF(Monthly!AG$4=TRUE,Monthly!AG$13,Monthly!AG$14)*(1+'Attrition Modeling'!$N$8)-'IP Attrition'!AJ$65)/12*'IP Attrition'!AJ79,0)))</f>
        <v>0</v>
      </c>
      <c r="AL144" s="799">
        <f>IF(EOMONTH(Inputs!$C$8,'IP Attrition'!AL$134-1)&lt;=Inputs!$C$9,0,MIN(IF(ISERROR(VLOOKUP(AL$134+$F144,$D$135:$D$165,1,FALSE)),0,AK12*$C$2),MAX((IF(Monthly!AH$4=TRUE,Monthly!AH$13,Monthly!AH$14)*(1+'Attrition Modeling'!$N$8)-'IP Attrition'!AK$65)/12*'IP Attrition'!AK79,0)))</f>
        <v>0</v>
      </c>
      <c r="AM144" s="799">
        <f>IF(EOMONTH(Inputs!$C$8,'IP Attrition'!AM$134-1)&lt;=Inputs!$C$9,0,MIN(IF(ISERROR(VLOOKUP(AM$134+$F144,$D$135:$D$165,1,FALSE)),0,AL12*$C$2),MAX((IF(Monthly!AI$4=TRUE,Monthly!AI$13,Monthly!AI$14)*(1+'Attrition Modeling'!$N$8)-'IP Attrition'!AL$65)/12*'IP Attrition'!AL79,0)))</f>
        <v>0</v>
      </c>
      <c r="AN144" s="799">
        <f>IF(EOMONTH(Inputs!$C$8,'IP Attrition'!AN$134-1)&lt;=Inputs!$C$9,0,MIN(IF(ISERROR(VLOOKUP(AN$134+$F144,$D$135:$D$165,1,FALSE)),0,AM12*$C$2),MAX((IF(Monthly!AJ$4=TRUE,Monthly!AJ$13,Monthly!AJ$14)*(1+'Attrition Modeling'!$N$8)-'IP Attrition'!AM$65)/12*'IP Attrition'!AM79,0)))</f>
        <v>0</v>
      </c>
      <c r="AO144" s="799">
        <f>IF(EOMONTH(Inputs!$C$8,'IP Attrition'!AO$134-1)&lt;=Inputs!$C$9,0,MIN(IF(ISERROR(VLOOKUP(AO$134+$F144,$D$135:$D$165,1,FALSE)),0,AN12*$C$2),MAX((IF(Monthly!AK$4=TRUE,Monthly!AK$13,Monthly!AK$14)*(1+'Attrition Modeling'!$N$8)-'IP Attrition'!AN$65)/12*'IP Attrition'!AN79,0)))</f>
        <v>0</v>
      </c>
      <c r="AP144" s="799">
        <f>IF(EOMONTH(Inputs!$C$8,'IP Attrition'!AP$134-1)&lt;=Inputs!$C$9,0,MIN(IF(ISERROR(VLOOKUP(AP$134+$F144,$D$135:$D$165,1,FALSE)),0,AO12*$C$2),MAX((IF(Monthly!AL$4=TRUE,Monthly!AL$13,Monthly!AL$14)*(1+'Attrition Modeling'!$N$8)-'IP Attrition'!AO$65)/12*'IP Attrition'!AO79,0)))</f>
        <v>0</v>
      </c>
      <c r="AQ144" s="799">
        <f>IF(EOMONTH(Inputs!$C$8,'IP Attrition'!AQ$134-1)&lt;=Inputs!$C$9,0,MIN(IF(ISERROR(VLOOKUP(AQ$134+$F144,$D$135:$D$165,1,FALSE)),0,AP12*$C$2),MAX((IF(Monthly!AM$4=TRUE,Monthly!AM$13,Monthly!AM$14)*(1+'Attrition Modeling'!$N$8)-'IP Attrition'!AP$65)/12*'IP Attrition'!AP79,0)))</f>
        <v>0</v>
      </c>
      <c r="AR144" s="799">
        <f>IF(EOMONTH(Inputs!$C$8,'IP Attrition'!AR$134-1)&lt;=Inputs!$C$9,0,MIN(IF(ISERROR(VLOOKUP(AR$134+$F144,$D$135:$D$165,1,FALSE)),0,AQ12*$C$2),MAX((IF(Monthly!AN$4=TRUE,Monthly!AN$13,Monthly!AN$14)*(1+'Attrition Modeling'!$N$8)-'IP Attrition'!AQ$65)/12*'IP Attrition'!AQ79,0)))</f>
        <v>0</v>
      </c>
      <c r="AS144" s="799">
        <f>IF(EOMONTH(Inputs!$C$8,'IP Attrition'!AS$134-1)&lt;=Inputs!$C$9,0,MIN(IF(ISERROR(VLOOKUP(AS$134+$F144,$D$135:$D$165,1,FALSE)),0,AR12*$C$2),MAX((IF(Monthly!AO$4=TRUE,Monthly!AO$13,Monthly!AO$14)*(1+'Attrition Modeling'!$N$8)-'IP Attrition'!AR$65)/12*'IP Attrition'!AR79,0)))</f>
        <v>0</v>
      </c>
      <c r="AT144" s="799">
        <f>IF(EOMONTH(Inputs!$C$8,'IP Attrition'!AT$134-1)&lt;=Inputs!$C$9,0,MIN(IF(ISERROR(VLOOKUP(AT$134+$F144,$D$135:$D$165,1,FALSE)),0,AS12*$C$2),MAX((IF(Monthly!AP$4=TRUE,Monthly!AP$13,Monthly!AP$14)*(1+'Attrition Modeling'!$N$8)-'IP Attrition'!AS$65)/12*'IP Attrition'!AS79,0)))</f>
        <v>0</v>
      </c>
      <c r="AU144" s="799">
        <f>IF(EOMONTH(Inputs!$C$8,'IP Attrition'!AU$134-1)&lt;=Inputs!$C$9,0,MIN(IF(ISERROR(VLOOKUP(AU$134+$F144,$D$135:$D$165,1,FALSE)),0,AT12*$C$2),MAX((IF(Monthly!AQ$4=TRUE,Monthly!AQ$13,Monthly!AQ$14)*(1+'Attrition Modeling'!$N$8)-'IP Attrition'!AT$65)/12*'IP Attrition'!AT79,0)))</f>
        <v>0</v>
      </c>
      <c r="AV144" s="799">
        <f>IF(EOMONTH(Inputs!$C$8,'IP Attrition'!AV$134-1)&lt;=Inputs!$C$9,0,MIN(IF(ISERROR(VLOOKUP(AV$134+$F144,$D$135:$D$165,1,FALSE)),0,AU12*$C$2),MAX((IF(Monthly!AR$4=TRUE,Monthly!AR$13,Monthly!AR$14)*(1+'Attrition Modeling'!$N$8)-'IP Attrition'!AU$65)/12*'IP Attrition'!AU79,0)))</f>
        <v>0</v>
      </c>
      <c r="AW144" s="799">
        <f>IF(EOMONTH(Inputs!$C$8,'IP Attrition'!AW$134-1)&lt;=Inputs!$C$9,0,MIN(IF(ISERROR(VLOOKUP(AW$134+$F144,$D$135:$D$165,1,FALSE)),0,AV12*$C$2),MAX((IF(Monthly!AS$4=TRUE,Monthly!AS$13,Monthly!AS$14)*(1+'Attrition Modeling'!$N$8)-'IP Attrition'!AV$65)/12*'IP Attrition'!AV79,0)))</f>
        <v>0</v>
      </c>
      <c r="AX144" s="799">
        <f>IF(EOMONTH(Inputs!$C$8,'IP Attrition'!AX$134-1)&lt;=Inputs!$C$9,0,MIN(IF(ISERROR(VLOOKUP(AX$134+$F144,$D$135:$D$165,1,FALSE)),0,AW12*$C$2),MAX((IF(Monthly!AT$4=TRUE,Monthly!AT$13,Monthly!AT$14)*(1+'Attrition Modeling'!$N$8)-'IP Attrition'!AW$65)/12*'IP Attrition'!AW79,0)))</f>
        <v>0</v>
      </c>
      <c r="AY144" s="799">
        <f>IF(EOMONTH(Inputs!$C$8,'IP Attrition'!AY$134-1)&lt;=Inputs!$C$9,0,MIN(IF(ISERROR(VLOOKUP(AY$134+$F144,$D$135:$D$165,1,FALSE)),0,AX12*$C$2),MAX((IF(Monthly!AU$4=TRUE,Monthly!AU$13,Monthly!AU$14)*(1+'Attrition Modeling'!$N$8)-'IP Attrition'!AX$65)/12*'IP Attrition'!AX79,0)))</f>
        <v>0</v>
      </c>
      <c r="AZ144" s="799">
        <f>IF(EOMONTH(Inputs!$C$8,'IP Attrition'!AZ$134-1)&lt;=Inputs!$C$9,0,MIN(IF(ISERROR(VLOOKUP(AZ$134+$F144,$D$135:$D$165,1,FALSE)),0,AY12*$C$2),MAX((IF(Monthly!AV$4=TRUE,Monthly!AV$13,Monthly!AV$14)*(1+'Attrition Modeling'!$N$8)-'IP Attrition'!AY$65)/12*'IP Attrition'!AY79,0)))</f>
        <v>0</v>
      </c>
      <c r="BA144" s="799">
        <f>IF(EOMONTH(Inputs!$C$8,'IP Attrition'!BA$134-1)&lt;=Inputs!$C$9,0,MIN(IF(ISERROR(VLOOKUP(BA$134+$F144,$D$135:$D$165,1,FALSE)),0,AZ12*$C$2),MAX((IF(Monthly!AW$4=TRUE,Monthly!AW$13,Monthly!AW$14)*(1+'Attrition Modeling'!$N$8)-'IP Attrition'!AZ$65)/12*'IP Attrition'!AZ79,0)))</f>
        <v>0</v>
      </c>
      <c r="BB144" s="799">
        <f>IF(EOMONTH(Inputs!$C$8,'IP Attrition'!BB$134-1)&lt;=Inputs!$C$9,0,MIN(IF(ISERROR(VLOOKUP(BB$134+$F144,$D$135:$D$165,1,FALSE)),0,BA12*$C$2),MAX((IF(Monthly!AX$4=TRUE,Monthly!AX$13,Monthly!AX$14)*(1+'Attrition Modeling'!$N$8)-'IP Attrition'!BA$65)/12*'IP Attrition'!BA79,0)))</f>
        <v>0</v>
      </c>
      <c r="BC144" s="799">
        <f>IF(EOMONTH(Inputs!$C$8,'IP Attrition'!BC$134-1)&lt;=Inputs!$C$9,0,MIN(IF(ISERROR(VLOOKUP(BC$134+$F144,$D$135:$D$165,1,FALSE)),0,BB12*$C$2),MAX((IF(Monthly!AY$4=TRUE,Monthly!AY$13,Monthly!AY$14)*(1+'Attrition Modeling'!$N$8)-'IP Attrition'!BB$65)/12*'IP Attrition'!BB79,0)))</f>
        <v>0</v>
      </c>
      <c r="BD144" s="799">
        <f>IF(EOMONTH(Inputs!$C$8,'IP Attrition'!BD$134-1)&lt;=Inputs!$C$9,0,MIN(IF(ISERROR(VLOOKUP(BD$134+$F144,$D$135:$D$165,1,FALSE)),0,BC12*$C$2),MAX((IF(Monthly!AZ$4=TRUE,Monthly!AZ$13,Monthly!AZ$14)*(1+'Attrition Modeling'!$N$8)-'IP Attrition'!BC$65)/12*'IP Attrition'!BC79,0)))</f>
        <v>0</v>
      </c>
      <c r="BE144" s="799">
        <f>IF(EOMONTH(Inputs!$C$8,'IP Attrition'!BE$134-1)&lt;=Inputs!$C$9,0,MIN(IF(ISERROR(VLOOKUP(BE$134+$F144,$D$135:$D$165,1,FALSE)),0,BD12*$C$2),MAX((IF(Monthly!BA$4=TRUE,Monthly!BA$13,Monthly!BA$14)*(1+'Attrition Modeling'!$N$8)-'IP Attrition'!BD$65)/12*'IP Attrition'!BD79,0)))</f>
        <v>0</v>
      </c>
      <c r="BF144" s="799">
        <f>IF(EOMONTH(Inputs!$C$8,'IP Attrition'!BF$134-1)&lt;=Inputs!$C$9,0,MIN(IF(ISERROR(VLOOKUP(BF$134+$F144,$D$135:$D$165,1,FALSE)),0,BE12*$C$2),MAX((IF(Monthly!BB$4=TRUE,Monthly!BB$13,Monthly!BB$14)*(1+'Attrition Modeling'!$N$8)-'IP Attrition'!BE$65)/12*'IP Attrition'!BE79,0)))</f>
        <v>0</v>
      </c>
      <c r="BG144" s="799">
        <f>IF(EOMONTH(Inputs!$C$8,'IP Attrition'!BG$134-1)&lt;=Inputs!$C$9,0,MIN(IF(ISERROR(VLOOKUP(BG$134+$F144,$D$135:$D$165,1,FALSE)),0,BF12*$C$2),MAX((IF(Monthly!BC$4=TRUE,Monthly!BC$13,Monthly!BC$14)*(1+'Attrition Modeling'!$N$8)-'IP Attrition'!BF$65)/12*'IP Attrition'!BF79,0)))</f>
        <v>0</v>
      </c>
      <c r="BH144" s="799">
        <f>IF(EOMONTH(Inputs!$C$8,'IP Attrition'!BH$134-1)&lt;=Inputs!$C$9,0,MIN(IF(ISERROR(VLOOKUP(BH$134+$F144,$D$135:$D$165,1,FALSE)),0,BG12*$C$2),MAX((IF(Monthly!BD$4=TRUE,Monthly!BD$13,Monthly!BD$14)*(1+'Attrition Modeling'!$N$8)-'IP Attrition'!BG$65)/12*'IP Attrition'!BG79,0)))</f>
        <v>0</v>
      </c>
      <c r="BI144" s="799">
        <f>IF(EOMONTH(Inputs!$C$8,'IP Attrition'!BI$134-1)&lt;=Inputs!$C$9,0,MIN(IF(ISERROR(VLOOKUP(BI$134+$F144,$D$135:$D$165,1,FALSE)),0,BH12*$C$2),MAX((IF(Monthly!BE$4=TRUE,Monthly!BE$13,Monthly!BE$14)*(1+'Attrition Modeling'!$N$8)-'IP Attrition'!BH$65)/12*'IP Attrition'!BH79,0)))</f>
        <v>0</v>
      </c>
      <c r="BJ144" s="799">
        <f>IF(EOMONTH(Inputs!$C$8,'IP Attrition'!BJ$134-1)&lt;=Inputs!$C$9,0,MIN(IF(ISERROR(VLOOKUP(BJ$134+$F144,$D$135:$D$165,1,FALSE)),0,BI12*$C$2),MAX((IF(Monthly!BF$4=TRUE,Monthly!BF$13,Monthly!BF$14)*(1+'Attrition Modeling'!$N$8)-'IP Attrition'!BI$65)/12*'IP Attrition'!BI79,0)))</f>
        <v>0</v>
      </c>
      <c r="BK144" s="799">
        <f>IF(EOMONTH(Inputs!$C$8,'IP Attrition'!BK$134-1)&lt;=Inputs!$C$9,0,MIN(IF(ISERROR(VLOOKUP(BK$134+$F144,$D$135:$D$165,1,FALSE)),0,BJ12*$C$2),MAX((IF(Monthly!BG$4=TRUE,Monthly!BG$13,Monthly!BG$14)*(1+'Attrition Modeling'!$N$8)-'IP Attrition'!BJ$65)/12*'IP Attrition'!BJ79,0)))</f>
        <v>0</v>
      </c>
      <c r="BL144" s="799">
        <f>IF(EOMONTH(Inputs!$C$8,'IP Attrition'!BL$134-1)&lt;=Inputs!$C$9,0,MIN(IF(ISERROR(VLOOKUP(BL$134+$F144,$D$135:$D$165,1,FALSE)),0,BK12*$C$2),MAX((IF(Monthly!BH$4=TRUE,Monthly!BH$13,Monthly!BH$14)*(1+'Attrition Modeling'!$N$8)-'IP Attrition'!BK$65)/12*'IP Attrition'!BK79,0)))</f>
        <v>0</v>
      </c>
      <c r="BM144" s="799">
        <f>IF(EOMONTH(Inputs!$C$8,'IP Attrition'!BM$134-1)&lt;=Inputs!$C$9,0,MIN(IF(ISERROR(VLOOKUP(BM$134+$F144,$D$135:$D$165,1,FALSE)),0,BL12*$C$2),MAX((IF(Monthly!BI$4=TRUE,Monthly!BI$13,Monthly!BI$14)*(1+'Attrition Modeling'!$N$8)-'IP Attrition'!BL$65)/12*'IP Attrition'!BL79,0)))</f>
        <v>0</v>
      </c>
      <c r="BN144" s="799">
        <f>IF(EOMONTH(Inputs!$C$8,'IP Attrition'!BN$134-1)&lt;=Inputs!$C$9,0,MIN(IF(ISERROR(VLOOKUP(BN$134+$F144,$D$135:$D$165,1,FALSE)),0,BM12*$C$2),MAX((IF(Monthly!BJ$4=TRUE,Monthly!BJ$13,Monthly!BJ$14)*(1+'Attrition Modeling'!$N$8)-'IP Attrition'!BM$65)/12*'IP Attrition'!BM79,0)))</f>
        <v>0</v>
      </c>
      <c r="BO144" s="799">
        <f>IF(EOMONTH(Inputs!$C$8,'IP Attrition'!BO$134-1)&lt;=Inputs!$C$9,0,MIN(IF(ISERROR(VLOOKUP(BO$134+$F144,$D$135:$D$165,1,FALSE)),0,BN12*$C$2),MAX((IF(Monthly!BK$4=TRUE,Monthly!BK$13,Monthly!BK$14)*(1+'Attrition Modeling'!$N$8)-'IP Attrition'!BN$65)/12*'IP Attrition'!BN79,0)))</f>
        <v>0</v>
      </c>
      <c r="BP144" s="799">
        <f>IF(EOMONTH(Inputs!$C$8,'IP Attrition'!BP$134-1)&lt;=Inputs!$C$9,0,MIN(IF(ISERROR(VLOOKUP(BP$134+$F144,$D$135:$D$165,1,FALSE)),0,BO12*$C$2),MAX((IF(Monthly!BL$4=TRUE,Monthly!BL$13,Monthly!BL$14)*(1+'Attrition Modeling'!$N$8)-'IP Attrition'!BO$65)/12*'IP Attrition'!BO79,0)))</f>
        <v>0</v>
      </c>
      <c r="BQ144" s="799">
        <f>IF(EOMONTH(Inputs!$C$8,'IP Attrition'!BQ$134-1)&lt;=Inputs!$C$9,0,MIN(IF(ISERROR(VLOOKUP(BQ$134+$F144,$D$135:$D$165,1,FALSE)),0,BP12*$C$2),MAX((IF(Monthly!BM$4=TRUE,Monthly!BM$13,Monthly!BM$14)*(1+'Attrition Modeling'!$N$8)-'IP Attrition'!BP$65)/12*'IP Attrition'!BP79,0)))</f>
        <v>0</v>
      </c>
      <c r="BR144" s="799">
        <f>IF(EOMONTH(Inputs!$C$8,'IP Attrition'!BR$134-1)&lt;=Inputs!$C$9,0,MIN(IF(ISERROR(VLOOKUP(BR$134+$F144,$D$135:$D$165,1,FALSE)),0,BQ12*$C$2),MAX((IF(Monthly!BN$4=TRUE,Monthly!BN$13,Monthly!BN$14)*(1+'Attrition Modeling'!$N$8)-'IP Attrition'!BQ$65)/12*'IP Attrition'!BQ79,0)))</f>
        <v>0</v>
      </c>
      <c r="BS144" s="799">
        <f>IF(EOMONTH(Inputs!$C$8,'IP Attrition'!BS$134-1)&lt;=Inputs!$C$9,0,MIN(IF(ISERROR(VLOOKUP(BS$134+$F144,$D$135:$D$165,1,FALSE)),0,BR12*$C$2),MAX((IF(Monthly!BO$4=TRUE,Monthly!BO$13,Monthly!BO$14)*(1+'Attrition Modeling'!$N$8)-'IP Attrition'!BR$65)/12*'IP Attrition'!BR79,0)))</f>
        <v>0</v>
      </c>
      <c r="BT144" s="799" t="e">
        <f>IF(EOMONTH(Inputs!$C$8,'IP Attrition'!BT$134-1)&lt;=Inputs!$C$9,0,MIN(IF(ISERROR(VLOOKUP(BT$134+$F144,$D$135:$D$165,1,FALSE)),0,BS12*$C$2),MAX((IF(Monthly!#REF!=TRUE,Monthly!#REF!,Monthly!#REF!)*(1+'Attrition Modeling'!$N$8)-'IP Attrition'!BS$65)/12*'IP Attrition'!BS79,0)))</f>
        <v>#REF!</v>
      </c>
      <c r="BU144" s="799" t="e">
        <f>IF(EOMONTH(Inputs!$C$8,'IP Attrition'!BU$134-1)&lt;=Inputs!$C$9,0,MIN(IF(ISERROR(VLOOKUP(BU$134+$F144,$D$135:$D$165,1,FALSE)),0,BT12*$C$2),MAX((IF(Monthly!#REF!=TRUE,Monthly!#REF!,Monthly!#REF!)*(1+'Attrition Modeling'!$N$8)-'IP Attrition'!BT$65)/12*'IP Attrition'!BT79,0)))</f>
        <v>#REF!</v>
      </c>
    </row>
    <row r="145" spans="1:73" ht="14.25" customHeight="1" x14ac:dyDescent="0.2">
      <c r="A145" s="9">
        <v>138</v>
      </c>
      <c r="B145" s="25">
        <f>MAX('Attrition Modeling'!H142,$C$3)*(1-Summary!$C$20)</f>
        <v>0.02</v>
      </c>
      <c r="C145" s="24" t="e">
        <f t="shared" si="3"/>
        <v>#DIV/0!</v>
      </c>
      <c r="D145" s="11">
        <f t="shared" si="72"/>
        <v>126</v>
      </c>
      <c r="E145" s="25">
        <f t="shared" si="71"/>
        <v>4.7318611987381704E-3</v>
      </c>
      <c r="F145" s="11">
        <f t="shared" si="73"/>
        <v>10</v>
      </c>
      <c r="G145" s="799"/>
      <c r="H145" s="799">
        <f>IF(EOMONTH(Inputs!$C$8,'IP Attrition'!H$134-1)&lt;=Inputs!$C$9,0,MIN(IF(ISERROR(VLOOKUP(H$134+$F145,$D$135:$D$165,1,FALSE)),0,G13*$C$2),MAX((IF(Monthly!D$4=TRUE,Monthly!D$13,Monthly!D$14)*(1+'Attrition Modeling'!$N$8)-'IP Attrition'!G$65)/12*'IP Attrition'!G80,0)))</f>
        <v>0</v>
      </c>
      <c r="I145" s="799">
        <f>IF(EOMONTH(Inputs!$C$8,'IP Attrition'!I$134-1)&lt;=Inputs!$C$9,0,MIN(IF(ISERROR(VLOOKUP(I$134+$F145,$D$135:$D$165,1,FALSE)),0,H13*$C$2),MAX((IF(Monthly!E$4=TRUE,Monthly!E$13,Monthly!E$14)*(1+'Attrition Modeling'!$N$8)-'IP Attrition'!H$65)/12*'IP Attrition'!H80,0)))</f>
        <v>0</v>
      </c>
      <c r="J145" s="799">
        <f>IF(EOMONTH(Inputs!$C$8,'IP Attrition'!J$134-1)&lt;=Inputs!$C$9,0,MIN(IF(ISERROR(VLOOKUP(J$134+$F145,$D$135:$D$165,1,FALSE)),0,I13*$C$2),MAX((IF(Monthly!F$4=TRUE,Monthly!F$13,Monthly!F$14)*(1+'Attrition Modeling'!$N$8)-'IP Attrition'!I$65)/12*'IP Attrition'!I80,0)))</f>
        <v>0</v>
      </c>
      <c r="K145" s="799">
        <f>IF(EOMONTH(Inputs!$C$8,'IP Attrition'!K$134-1)&lt;=Inputs!$C$9,0,MIN(IF(ISERROR(VLOOKUP(K$134+$F145,$D$135:$D$165,1,FALSE)),0,J13*$C$2),MAX((IF(Monthly!G$4=TRUE,Monthly!G$13,Monthly!G$14)*(1+'Attrition Modeling'!$N$8)-'IP Attrition'!J$65)/12*'IP Attrition'!J80,0)))</f>
        <v>0</v>
      </c>
      <c r="L145" s="799">
        <f>IF(EOMONTH(Inputs!$C$8,'IP Attrition'!L$134-1)&lt;=Inputs!$C$9,0,MIN(IF(ISERROR(VLOOKUP(L$134+$F145,$D$135:$D$165,1,FALSE)),0,K13*$C$2),MAX((IF(Monthly!H$4=TRUE,Monthly!H$13,Monthly!H$14)*(1+'Attrition Modeling'!$N$8)-'IP Attrition'!K$65)/12*'IP Attrition'!K80,0)))</f>
        <v>0</v>
      </c>
      <c r="M145" s="799">
        <f>IF(EOMONTH(Inputs!$C$8,'IP Attrition'!M$134-1)&lt;=Inputs!$C$9,0,MIN(IF(ISERROR(VLOOKUP(M$134+$F145,$D$135:$D$165,1,FALSE)),0,L13*$C$2),MAX((IF(Monthly!I$4=TRUE,Monthly!I$13,Monthly!I$14)*(1+'Attrition Modeling'!$N$8)-'IP Attrition'!L$65)/12*'IP Attrition'!L80,0)))</f>
        <v>0</v>
      </c>
      <c r="N145" s="799">
        <f>IF(EOMONTH(Inputs!$C$8,'IP Attrition'!N$134-1)&lt;=Inputs!$C$9,0,MIN(IF(ISERROR(VLOOKUP(N$134+$F145,$D$135:$D$165,1,FALSE)),0,M13*$C$2),MAX((IF(Monthly!J$4=TRUE,Monthly!J$13,Monthly!J$14)*(1+'Attrition Modeling'!$N$8)-'IP Attrition'!M$65)/12*'IP Attrition'!M80,0)))</f>
        <v>0</v>
      </c>
      <c r="O145" s="799">
        <f>IF(EOMONTH(Inputs!$C$8,'IP Attrition'!O$134-1)&lt;=Inputs!$C$9,0,MIN(IF(ISERROR(VLOOKUP(O$134+$F145,$D$135:$D$165,1,FALSE)),0,N13*$C$2),MAX((IF(Monthly!K$4=TRUE,Monthly!K$13,Monthly!K$14)*(1+'Attrition Modeling'!$N$8)-'IP Attrition'!N$65)/12*'IP Attrition'!N80,0)))</f>
        <v>0</v>
      </c>
      <c r="P145" s="799">
        <f>IF(EOMONTH(Inputs!$C$8,'IP Attrition'!P$134-1)&lt;=Inputs!$C$9,0,MIN(IF(ISERROR(VLOOKUP(P$134+$F145,$D$135:$D$165,1,FALSE)),0,O13*$C$2),MAX((IF(Monthly!L$4=TRUE,Monthly!L$13,Monthly!L$14)*(1+'Attrition Modeling'!$N$8)-'IP Attrition'!O$65)/12*'IP Attrition'!O80,0)))</f>
        <v>0</v>
      </c>
      <c r="Q145" s="799">
        <f>IF(EOMONTH(Inputs!$C$8,'IP Attrition'!Q$134-1)&lt;=Inputs!$C$9,0,MIN(IF(ISERROR(VLOOKUP(Q$134+$F145,$D$135:$D$165,1,FALSE)),0,P13*$C$2),MAX((IF(Monthly!M$4=TRUE,Monthly!M$13,Monthly!M$14)*(1+'Attrition Modeling'!$N$8)-'IP Attrition'!P$65)/12*'IP Attrition'!P80,0)))</f>
        <v>0</v>
      </c>
      <c r="R145" s="799">
        <f>IF(EOMONTH(Inputs!$C$8,'IP Attrition'!R$134-1)&lt;=Inputs!$C$9,0,MIN(IF(ISERROR(VLOOKUP(R$134+$F145,$D$135:$D$165,1,FALSE)),0,Q13*$C$2),MAX((IF(Monthly!N$4=TRUE,Monthly!N$13,Monthly!N$14)*(1+'Attrition Modeling'!$N$8)-'IP Attrition'!Q$65)/12*'IP Attrition'!Q80,0)))</f>
        <v>0</v>
      </c>
      <c r="S145" s="799">
        <f>IF(EOMONTH(Inputs!$C$8,'IP Attrition'!S$134-1)&lt;=Inputs!$C$9,0,MIN(IF(ISERROR(VLOOKUP(S$134+$F145,$D$135:$D$165,1,FALSE)),0,R13*$C$2),MAX((IF(Monthly!O$4=TRUE,Monthly!O$13,Monthly!O$14)*(1+'Attrition Modeling'!$N$8)-'IP Attrition'!R$65)/12*'IP Attrition'!R80,0)))</f>
        <v>0</v>
      </c>
      <c r="T145" s="799">
        <f>IF(EOMONTH(Inputs!$C$8,'IP Attrition'!T$134-1)&lt;=Inputs!$C$9,0,MIN(IF(ISERROR(VLOOKUP(T$134+$F145,$D$135:$D$165,1,FALSE)),0,S13*$C$2),MAX((IF(Monthly!P$4=TRUE,Monthly!P$13,Monthly!P$14)*(1+'Attrition Modeling'!$N$8)-'IP Attrition'!S$65)/12*'IP Attrition'!S80,0)))</f>
        <v>0</v>
      </c>
      <c r="U145" s="799">
        <f>IF(EOMONTH(Inputs!$C$8,'IP Attrition'!U$134-1)&lt;=Inputs!$C$9,0,MIN(IF(ISERROR(VLOOKUP(U$134+$F145,$D$135:$D$165,1,FALSE)),0,T13*$C$2),MAX((IF(Monthly!Q$4=TRUE,Monthly!Q$13,Monthly!Q$14)*(1+'Attrition Modeling'!$N$8)-'IP Attrition'!T$65)/12*'IP Attrition'!T80,0)))</f>
        <v>0</v>
      </c>
      <c r="V145" s="799">
        <f>IF(EOMONTH(Inputs!$C$8,'IP Attrition'!V$134-1)&lt;=Inputs!$C$9,0,MIN(IF(ISERROR(VLOOKUP(V$134+$F145,$D$135:$D$165,1,FALSE)),0,U13*$C$2),MAX((IF(Monthly!R$4=TRUE,Monthly!R$13,Monthly!R$14)*(1+'Attrition Modeling'!$N$8)-'IP Attrition'!U$65)/12*'IP Attrition'!U80,0)))</f>
        <v>0</v>
      </c>
      <c r="W145" s="799">
        <f>IF(EOMONTH(Inputs!$C$8,'IP Attrition'!W$134-1)&lt;=Inputs!$C$9,0,MIN(IF(ISERROR(VLOOKUP(W$134+$F145,$D$135:$D$165,1,FALSE)),0,V13*$C$2),MAX((IF(Monthly!S$4=TRUE,Monthly!S$13,Monthly!S$14)*(1+'Attrition Modeling'!$N$8)-'IP Attrition'!V$65)/12*'IP Attrition'!V80,0)))</f>
        <v>0</v>
      </c>
      <c r="X145" s="799">
        <f>IF(EOMONTH(Inputs!$C$8,'IP Attrition'!X$134-1)&lt;=Inputs!$C$9,0,MIN(IF(ISERROR(VLOOKUP(X$134+$F145,$D$135:$D$165,1,FALSE)),0,W13*$C$2),MAX((IF(Monthly!T$4=TRUE,Monthly!T$13,Monthly!T$14)*(1+'Attrition Modeling'!$N$8)-'IP Attrition'!W$65)/12*'IP Attrition'!W80,0)))</f>
        <v>0</v>
      </c>
      <c r="Y145" s="799">
        <f>IF(EOMONTH(Inputs!$C$8,'IP Attrition'!Y$134-1)&lt;=Inputs!$C$9,0,MIN(IF(ISERROR(VLOOKUP(Y$134+$F145,$D$135:$D$165,1,FALSE)),0,X13*$C$2),MAX((IF(Monthly!U$4=TRUE,Monthly!U$13,Monthly!U$14)*(1+'Attrition Modeling'!$N$8)-'IP Attrition'!X$65)/12*'IP Attrition'!X80,0)))</f>
        <v>0</v>
      </c>
      <c r="Z145" s="799">
        <f>IF(EOMONTH(Inputs!$C$8,'IP Attrition'!Z$134-1)&lt;=Inputs!$C$9,0,MIN(IF(ISERROR(VLOOKUP(Z$134+$F145,$D$135:$D$165,1,FALSE)),0,Y13*$C$2),MAX((IF(Monthly!V$4=TRUE,Monthly!V$13,Monthly!V$14)*(1+'Attrition Modeling'!$N$8)-'IP Attrition'!Y$65)/12*'IP Attrition'!Y80,0)))</f>
        <v>0</v>
      </c>
      <c r="AA145" s="799">
        <f>IF(EOMONTH(Inputs!$C$8,'IP Attrition'!AA$134-1)&lt;=Inputs!$C$9,0,MIN(IF(ISERROR(VLOOKUP(AA$134+$F145,$D$135:$D$165,1,FALSE)),0,Z13*$C$2),MAX((IF(Monthly!W$4=TRUE,Monthly!W$13,Monthly!W$14)*(1+'Attrition Modeling'!$N$8)-'IP Attrition'!Z$65)/12*'IP Attrition'!Z80,0)))</f>
        <v>0</v>
      </c>
      <c r="AB145" s="799">
        <f>IF(EOMONTH(Inputs!$C$8,'IP Attrition'!AB$134-1)&lt;=Inputs!$C$9,0,MIN(IF(ISERROR(VLOOKUP(AB$134+$F145,$D$135:$D$165,1,FALSE)),0,AA13*$C$2),MAX((IF(Monthly!X$4=TRUE,Monthly!X$13,Monthly!X$14)*(1+'Attrition Modeling'!$N$8)-'IP Attrition'!AA$65)/12*'IP Attrition'!AA80,0)))</f>
        <v>0</v>
      </c>
      <c r="AC145" s="799">
        <f>IF(EOMONTH(Inputs!$C$8,'IP Attrition'!AC$134-1)&lt;=Inputs!$C$9,0,MIN(IF(ISERROR(VLOOKUP(AC$134+$F145,$D$135:$D$165,1,FALSE)),0,AB13*$C$2),MAX((IF(Monthly!Y$4=TRUE,Monthly!Y$13,Monthly!Y$14)*(1+'Attrition Modeling'!$N$8)-'IP Attrition'!AB$65)/12*'IP Attrition'!AB80,0)))</f>
        <v>0</v>
      </c>
      <c r="AD145" s="799">
        <f>IF(EOMONTH(Inputs!$C$8,'IP Attrition'!AD$134-1)&lt;=Inputs!$C$9,0,MIN(IF(ISERROR(VLOOKUP(AD$134+$F145,$D$135:$D$165,1,FALSE)),0,AC13*$C$2),MAX((IF(Monthly!Z$4=TRUE,Monthly!Z$13,Monthly!Z$14)*(1+'Attrition Modeling'!$N$8)-'IP Attrition'!AC$65)/12*'IP Attrition'!AC80,0)))</f>
        <v>0</v>
      </c>
      <c r="AE145" s="799">
        <f>IF(EOMONTH(Inputs!$C$8,'IP Attrition'!AE$134-1)&lt;=Inputs!$C$9,0,MIN(IF(ISERROR(VLOOKUP(AE$134+$F145,$D$135:$D$165,1,FALSE)),0,AD13*$C$2),MAX((IF(Monthly!AA$4=TRUE,Monthly!AA$13,Monthly!AA$14)*(1+'Attrition Modeling'!$N$8)-'IP Attrition'!AD$65)/12*'IP Attrition'!AD80,0)))</f>
        <v>0</v>
      </c>
      <c r="AF145" s="799">
        <f>IF(EOMONTH(Inputs!$C$8,'IP Attrition'!AF$134-1)&lt;=Inputs!$C$9,0,MIN(IF(ISERROR(VLOOKUP(AF$134+$F145,$D$135:$D$165,1,FALSE)),0,AE13*$C$2),MAX((IF(Monthly!AB$4=TRUE,Monthly!AB$13,Monthly!AB$14)*(1+'Attrition Modeling'!$N$8)-'IP Attrition'!AE$65)/12*'IP Attrition'!AE80,0)))</f>
        <v>0</v>
      </c>
      <c r="AG145" s="799">
        <f>IF(EOMONTH(Inputs!$C$8,'IP Attrition'!AG$134-1)&lt;=Inputs!$C$9,0,MIN(IF(ISERROR(VLOOKUP(AG$134+$F145,$D$135:$D$165,1,FALSE)),0,AF13*$C$2),MAX((IF(Monthly!AC$4=TRUE,Monthly!AC$13,Monthly!AC$14)*(1+'Attrition Modeling'!$N$8)-'IP Attrition'!AF$65)/12*'IP Attrition'!AF80,0)))</f>
        <v>0</v>
      </c>
      <c r="AH145" s="799">
        <f>IF(EOMONTH(Inputs!$C$8,'IP Attrition'!AH$134-1)&lt;=Inputs!$C$9,0,MIN(IF(ISERROR(VLOOKUP(AH$134+$F145,$D$135:$D$165,1,FALSE)),0,AG13*$C$2),MAX((IF(Monthly!AD$4=TRUE,Monthly!AD$13,Monthly!AD$14)*(1+'Attrition Modeling'!$N$8)-'IP Attrition'!AG$65)/12*'IP Attrition'!AG80,0)))</f>
        <v>0</v>
      </c>
      <c r="AI145" s="799">
        <f>IF(EOMONTH(Inputs!$C$8,'IP Attrition'!AI$134-1)&lt;=Inputs!$C$9,0,MIN(IF(ISERROR(VLOOKUP(AI$134+$F145,$D$135:$D$165,1,FALSE)),0,AH13*$C$2),MAX((IF(Monthly!AE$4=TRUE,Monthly!AE$13,Monthly!AE$14)*(1+'Attrition Modeling'!$N$8)-'IP Attrition'!AH$65)/12*'IP Attrition'!AH80,0)))</f>
        <v>0</v>
      </c>
      <c r="AJ145" s="799">
        <f>IF(EOMONTH(Inputs!$C$8,'IP Attrition'!AJ$134-1)&lt;=Inputs!$C$9,0,MIN(IF(ISERROR(VLOOKUP(AJ$134+$F145,$D$135:$D$165,1,FALSE)),0,AI13*$C$2),MAX((IF(Monthly!AF$4=TRUE,Monthly!AF$13,Monthly!AF$14)*(1+'Attrition Modeling'!$N$8)-'IP Attrition'!AI$65)/12*'IP Attrition'!AI80,0)))</f>
        <v>0</v>
      </c>
      <c r="AK145" s="799">
        <f>IF(EOMONTH(Inputs!$C$8,'IP Attrition'!AK$134-1)&lt;=Inputs!$C$9,0,MIN(IF(ISERROR(VLOOKUP(AK$134+$F145,$D$135:$D$165,1,FALSE)),0,AJ13*$C$2),MAX((IF(Monthly!AG$4=TRUE,Monthly!AG$13,Monthly!AG$14)*(1+'Attrition Modeling'!$N$8)-'IP Attrition'!AJ$65)/12*'IP Attrition'!AJ80,0)))</f>
        <v>0</v>
      </c>
      <c r="AL145" s="799">
        <f>IF(EOMONTH(Inputs!$C$8,'IP Attrition'!AL$134-1)&lt;=Inputs!$C$9,0,MIN(IF(ISERROR(VLOOKUP(AL$134+$F145,$D$135:$D$165,1,FALSE)),0,AK13*$C$2),MAX((IF(Monthly!AH$4=TRUE,Monthly!AH$13,Monthly!AH$14)*(1+'Attrition Modeling'!$N$8)-'IP Attrition'!AK$65)/12*'IP Attrition'!AK80,0)))</f>
        <v>0</v>
      </c>
      <c r="AM145" s="799">
        <f>IF(EOMONTH(Inputs!$C$8,'IP Attrition'!AM$134-1)&lt;=Inputs!$C$9,0,MIN(IF(ISERROR(VLOOKUP(AM$134+$F145,$D$135:$D$165,1,FALSE)),0,AL13*$C$2),MAX((IF(Monthly!AI$4=TRUE,Monthly!AI$13,Monthly!AI$14)*(1+'Attrition Modeling'!$N$8)-'IP Attrition'!AL$65)/12*'IP Attrition'!AL80,0)))</f>
        <v>0</v>
      </c>
      <c r="AN145" s="799">
        <f>IF(EOMONTH(Inputs!$C$8,'IP Attrition'!AN$134-1)&lt;=Inputs!$C$9,0,MIN(IF(ISERROR(VLOOKUP(AN$134+$F145,$D$135:$D$165,1,FALSE)),0,AM13*$C$2),MAX((IF(Monthly!AJ$4=TRUE,Monthly!AJ$13,Monthly!AJ$14)*(1+'Attrition Modeling'!$N$8)-'IP Attrition'!AM$65)/12*'IP Attrition'!AM80,0)))</f>
        <v>0</v>
      </c>
      <c r="AO145" s="799">
        <f>IF(EOMONTH(Inputs!$C$8,'IP Attrition'!AO$134-1)&lt;=Inputs!$C$9,0,MIN(IF(ISERROR(VLOOKUP(AO$134+$F145,$D$135:$D$165,1,FALSE)),0,AN13*$C$2),MAX((IF(Monthly!AK$4=TRUE,Monthly!AK$13,Monthly!AK$14)*(1+'Attrition Modeling'!$N$8)-'IP Attrition'!AN$65)/12*'IP Attrition'!AN80,0)))</f>
        <v>0</v>
      </c>
      <c r="AP145" s="799">
        <f>IF(EOMONTH(Inputs!$C$8,'IP Attrition'!AP$134-1)&lt;=Inputs!$C$9,0,MIN(IF(ISERROR(VLOOKUP(AP$134+$F145,$D$135:$D$165,1,FALSE)),0,AO13*$C$2),MAX((IF(Monthly!AL$4=TRUE,Monthly!AL$13,Monthly!AL$14)*(1+'Attrition Modeling'!$N$8)-'IP Attrition'!AO$65)/12*'IP Attrition'!AO80,0)))</f>
        <v>0</v>
      </c>
      <c r="AQ145" s="799">
        <f>IF(EOMONTH(Inputs!$C$8,'IP Attrition'!AQ$134-1)&lt;=Inputs!$C$9,0,MIN(IF(ISERROR(VLOOKUP(AQ$134+$F145,$D$135:$D$165,1,FALSE)),0,AP13*$C$2),MAX((IF(Monthly!AM$4=TRUE,Monthly!AM$13,Monthly!AM$14)*(1+'Attrition Modeling'!$N$8)-'IP Attrition'!AP$65)/12*'IP Attrition'!AP80,0)))</f>
        <v>0</v>
      </c>
      <c r="AR145" s="799">
        <f>IF(EOMONTH(Inputs!$C$8,'IP Attrition'!AR$134-1)&lt;=Inputs!$C$9,0,MIN(IF(ISERROR(VLOOKUP(AR$134+$F145,$D$135:$D$165,1,FALSE)),0,AQ13*$C$2),MAX((IF(Monthly!AN$4=TRUE,Monthly!AN$13,Monthly!AN$14)*(1+'Attrition Modeling'!$N$8)-'IP Attrition'!AQ$65)/12*'IP Attrition'!AQ80,0)))</f>
        <v>0</v>
      </c>
      <c r="AS145" s="799">
        <f>IF(EOMONTH(Inputs!$C$8,'IP Attrition'!AS$134-1)&lt;=Inputs!$C$9,0,MIN(IF(ISERROR(VLOOKUP(AS$134+$F145,$D$135:$D$165,1,FALSE)),0,AR13*$C$2),MAX((IF(Monthly!AO$4=TRUE,Monthly!AO$13,Monthly!AO$14)*(1+'Attrition Modeling'!$N$8)-'IP Attrition'!AR$65)/12*'IP Attrition'!AR80,0)))</f>
        <v>0</v>
      </c>
      <c r="AT145" s="799">
        <f>IF(EOMONTH(Inputs!$C$8,'IP Attrition'!AT$134-1)&lt;=Inputs!$C$9,0,MIN(IF(ISERROR(VLOOKUP(AT$134+$F145,$D$135:$D$165,1,FALSE)),0,AS13*$C$2),MAX((IF(Monthly!AP$4=TRUE,Monthly!AP$13,Monthly!AP$14)*(1+'Attrition Modeling'!$N$8)-'IP Attrition'!AS$65)/12*'IP Attrition'!AS80,0)))</f>
        <v>0</v>
      </c>
      <c r="AU145" s="799">
        <f>IF(EOMONTH(Inputs!$C$8,'IP Attrition'!AU$134-1)&lt;=Inputs!$C$9,0,MIN(IF(ISERROR(VLOOKUP(AU$134+$F145,$D$135:$D$165,1,FALSE)),0,AT13*$C$2),MAX((IF(Monthly!AQ$4=TRUE,Monthly!AQ$13,Monthly!AQ$14)*(1+'Attrition Modeling'!$N$8)-'IP Attrition'!AT$65)/12*'IP Attrition'!AT80,0)))</f>
        <v>0</v>
      </c>
      <c r="AV145" s="799">
        <f>IF(EOMONTH(Inputs!$C$8,'IP Attrition'!AV$134-1)&lt;=Inputs!$C$9,0,MIN(IF(ISERROR(VLOOKUP(AV$134+$F145,$D$135:$D$165,1,FALSE)),0,AU13*$C$2),MAX((IF(Monthly!AR$4=TRUE,Monthly!AR$13,Monthly!AR$14)*(1+'Attrition Modeling'!$N$8)-'IP Attrition'!AU$65)/12*'IP Attrition'!AU80,0)))</f>
        <v>0</v>
      </c>
      <c r="AW145" s="799">
        <f>IF(EOMONTH(Inputs!$C$8,'IP Attrition'!AW$134-1)&lt;=Inputs!$C$9,0,MIN(IF(ISERROR(VLOOKUP(AW$134+$F145,$D$135:$D$165,1,FALSE)),0,AV13*$C$2),MAX((IF(Monthly!AS$4=TRUE,Monthly!AS$13,Monthly!AS$14)*(1+'Attrition Modeling'!$N$8)-'IP Attrition'!AV$65)/12*'IP Attrition'!AV80,0)))</f>
        <v>0</v>
      </c>
      <c r="AX145" s="799">
        <f>IF(EOMONTH(Inputs!$C$8,'IP Attrition'!AX$134-1)&lt;=Inputs!$C$9,0,MIN(IF(ISERROR(VLOOKUP(AX$134+$F145,$D$135:$D$165,1,FALSE)),0,AW13*$C$2),MAX((IF(Monthly!AT$4=TRUE,Monthly!AT$13,Monthly!AT$14)*(1+'Attrition Modeling'!$N$8)-'IP Attrition'!AW$65)/12*'IP Attrition'!AW80,0)))</f>
        <v>0</v>
      </c>
      <c r="AY145" s="799">
        <f>IF(EOMONTH(Inputs!$C$8,'IP Attrition'!AY$134-1)&lt;=Inputs!$C$9,0,MIN(IF(ISERROR(VLOOKUP(AY$134+$F145,$D$135:$D$165,1,FALSE)),0,AX13*$C$2),MAX((IF(Monthly!AU$4=TRUE,Monthly!AU$13,Monthly!AU$14)*(1+'Attrition Modeling'!$N$8)-'IP Attrition'!AX$65)/12*'IP Attrition'!AX80,0)))</f>
        <v>0</v>
      </c>
      <c r="AZ145" s="799">
        <f>IF(EOMONTH(Inputs!$C$8,'IP Attrition'!AZ$134-1)&lt;=Inputs!$C$9,0,MIN(IF(ISERROR(VLOOKUP(AZ$134+$F145,$D$135:$D$165,1,FALSE)),0,AY13*$C$2),MAX((IF(Monthly!AV$4=TRUE,Monthly!AV$13,Monthly!AV$14)*(1+'Attrition Modeling'!$N$8)-'IP Attrition'!AY$65)/12*'IP Attrition'!AY80,0)))</f>
        <v>0</v>
      </c>
      <c r="BA145" s="799">
        <f>IF(EOMONTH(Inputs!$C$8,'IP Attrition'!BA$134-1)&lt;=Inputs!$C$9,0,MIN(IF(ISERROR(VLOOKUP(BA$134+$F145,$D$135:$D$165,1,FALSE)),0,AZ13*$C$2),MAX((IF(Monthly!AW$4=TRUE,Monthly!AW$13,Monthly!AW$14)*(1+'Attrition Modeling'!$N$8)-'IP Attrition'!AZ$65)/12*'IP Attrition'!AZ80,0)))</f>
        <v>0</v>
      </c>
      <c r="BB145" s="799">
        <f>IF(EOMONTH(Inputs!$C$8,'IP Attrition'!BB$134-1)&lt;=Inputs!$C$9,0,MIN(IF(ISERROR(VLOOKUP(BB$134+$F145,$D$135:$D$165,1,FALSE)),0,BA13*$C$2),MAX((IF(Monthly!AX$4=TRUE,Monthly!AX$13,Monthly!AX$14)*(1+'Attrition Modeling'!$N$8)-'IP Attrition'!BA$65)/12*'IP Attrition'!BA80,0)))</f>
        <v>0</v>
      </c>
      <c r="BC145" s="799">
        <f>IF(EOMONTH(Inputs!$C$8,'IP Attrition'!BC$134-1)&lt;=Inputs!$C$9,0,MIN(IF(ISERROR(VLOOKUP(BC$134+$F145,$D$135:$D$165,1,FALSE)),0,BB13*$C$2),MAX((IF(Monthly!AY$4=TRUE,Monthly!AY$13,Monthly!AY$14)*(1+'Attrition Modeling'!$N$8)-'IP Attrition'!BB$65)/12*'IP Attrition'!BB80,0)))</f>
        <v>0</v>
      </c>
      <c r="BD145" s="799">
        <f>IF(EOMONTH(Inputs!$C$8,'IP Attrition'!BD$134-1)&lt;=Inputs!$C$9,0,MIN(IF(ISERROR(VLOOKUP(BD$134+$F145,$D$135:$D$165,1,FALSE)),0,BC13*$C$2),MAX((IF(Monthly!AZ$4=TRUE,Monthly!AZ$13,Monthly!AZ$14)*(1+'Attrition Modeling'!$N$8)-'IP Attrition'!BC$65)/12*'IP Attrition'!BC80,0)))</f>
        <v>0</v>
      </c>
      <c r="BE145" s="799">
        <f>IF(EOMONTH(Inputs!$C$8,'IP Attrition'!BE$134-1)&lt;=Inputs!$C$9,0,MIN(IF(ISERROR(VLOOKUP(BE$134+$F145,$D$135:$D$165,1,FALSE)),0,BD13*$C$2),MAX((IF(Monthly!BA$4=TRUE,Monthly!BA$13,Monthly!BA$14)*(1+'Attrition Modeling'!$N$8)-'IP Attrition'!BD$65)/12*'IP Attrition'!BD80,0)))</f>
        <v>0</v>
      </c>
      <c r="BF145" s="799">
        <f>IF(EOMONTH(Inputs!$C$8,'IP Attrition'!BF$134-1)&lt;=Inputs!$C$9,0,MIN(IF(ISERROR(VLOOKUP(BF$134+$F145,$D$135:$D$165,1,FALSE)),0,BE13*$C$2),MAX((IF(Monthly!BB$4=TRUE,Monthly!BB$13,Monthly!BB$14)*(1+'Attrition Modeling'!$N$8)-'IP Attrition'!BE$65)/12*'IP Attrition'!BE80,0)))</f>
        <v>0</v>
      </c>
      <c r="BG145" s="799">
        <f>IF(EOMONTH(Inputs!$C$8,'IP Attrition'!BG$134-1)&lt;=Inputs!$C$9,0,MIN(IF(ISERROR(VLOOKUP(BG$134+$F145,$D$135:$D$165,1,FALSE)),0,BF13*$C$2),MAX((IF(Monthly!BC$4=TRUE,Monthly!BC$13,Monthly!BC$14)*(1+'Attrition Modeling'!$N$8)-'IP Attrition'!BF$65)/12*'IP Attrition'!BF80,0)))</f>
        <v>0</v>
      </c>
      <c r="BH145" s="799">
        <f>IF(EOMONTH(Inputs!$C$8,'IP Attrition'!BH$134-1)&lt;=Inputs!$C$9,0,MIN(IF(ISERROR(VLOOKUP(BH$134+$F145,$D$135:$D$165,1,FALSE)),0,BG13*$C$2),MAX((IF(Monthly!BD$4=TRUE,Monthly!BD$13,Monthly!BD$14)*(1+'Attrition Modeling'!$N$8)-'IP Attrition'!BG$65)/12*'IP Attrition'!BG80,0)))</f>
        <v>0</v>
      </c>
      <c r="BI145" s="799">
        <f>IF(EOMONTH(Inputs!$C$8,'IP Attrition'!BI$134-1)&lt;=Inputs!$C$9,0,MIN(IF(ISERROR(VLOOKUP(BI$134+$F145,$D$135:$D$165,1,FALSE)),0,BH13*$C$2),MAX((IF(Monthly!BE$4=TRUE,Monthly!BE$13,Monthly!BE$14)*(1+'Attrition Modeling'!$N$8)-'IP Attrition'!BH$65)/12*'IP Attrition'!BH80,0)))</f>
        <v>0</v>
      </c>
      <c r="BJ145" s="799">
        <f>IF(EOMONTH(Inputs!$C$8,'IP Attrition'!BJ$134-1)&lt;=Inputs!$C$9,0,MIN(IF(ISERROR(VLOOKUP(BJ$134+$F145,$D$135:$D$165,1,FALSE)),0,BI13*$C$2),MAX((IF(Monthly!BF$4=TRUE,Monthly!BF$13,Monthly!BF$14)*(1+'Attrition Modeling'!$N$8)-'IP Attrition'!BI$65)/12*'IP Attrition'!BI80,0)))</f>
        <v>0</v>
      </c>
      <c r="BK145" s="799">
        <f>IF(EOMONTH(Inputs!$C$8,'IP Attrition'!BK$134-1)&lt;=Inputs!$C$9,0,MIN(IF(ISERROR(VLOOKUP(BK$134+$F145,$D$135:$D$165,1,FALSE)),0,BJ13*$C$2),MAX((IF(Monthly!BG$4=TRUE,Monthly!BG$13,Monthly!BG$14)*(1+'Attrition Modeling'!$N$8)-'IP Attrition'!BJ$65)/12*'IP Attrition'!BJ80,0)))</f>
        <v>0</v>
      </c>
      <c r="BL145" s="799">
        <f>IF(EOMONTH(Inputs!$C$8,'IP Attrition'!BL$134-1)&lt;=Inputs!$C$9,0,MIN(IF(ISERROR(VLOOKUP(BL$134+$F145,$D$135:$D$165,1,FALSE)),0,BK13*$C$2),MAX((IF(Monthly!BH$4=TRUE,Monthly!BH$13,Monthly!BH$14)*(1+'Attrition Modeling'!$N$8)-'IP Attrition'!BK$65)/12*'IP Attrition'!BK80,0)))</f>
        <v>0</v>
      </c>
      <c r="BM145" s="799">
        <f>IF(EOMONTH(Inputs!$C$8,'IP Attrition'!BM$134-1)&lt;=Inputs!$C$9,0,MIN(IF(ISERROR(VLOOKUP(BM$134+$F145,$D$135:$D$165,1,FALSE)),0,BL13*$C$2),MAX((IF(Monthly!BI$4=TRUE,Monthly!BI$13,Monthly!BI$14)*(1+'Attrition Modeling'!$N$8)-'IP Attrition'!BL$65)/12*'IP Attrition'!BL80,0)))</f>
        <v>0</v>
      </c>
      <c r="BN145" s="799">
        <f>IF(EOMONTH(Inputs!$C$8,'IP Attrition'!BN$134-1)&lt;=Inputs!$C$9,0,MIN(IF(ISERROR(VLOOKUP(BN$134+$F145,$D$135:$D$165,1,FALSE)),0,BM13*$C$2),MAX((IF(Monthly!BJ$4=TRUE,Monthly!BJ$13,Monthly!BJ$14)*(1+'Attrition Modeling'!$N$8)-'IP Attrition'!BM$65)/12*'IP Attrition'!BM80,0)))</f>
        <v>0</v>
      </c>
      <c r="BO145" s="799">
        <f>IF(EOMONTH(Inputs!$C$8,'IP Attrition'!BO$134-1)&lt;=Inputs!$C$9,0,MIN(IF(ISERROR(VLOOKUP(BO$134+$F145,$D$135:$D$165,1,FALSE)),0,BN13*$C$2),MAX((IF(Monthly!BK$4=TRUE,Monthly!BK$13,Monthly!BK$14)*(1+'Attrition Modeling'!$N$8)-'IP Attrition'!BN$65)/12*'IP Attrition'!BN80,0)))</f>
        <v>0</v>
      </c>
      <c r="BP145" s="799">
        <f>IF(EOMONTH(Inputs!$C$8,'IP Attrition'!BP$134-1)&lt;=Inputs!$C$9,0,MIN(IF(ISERROR(VLOOKUP(BP$134+$F145,$D$135:$D$165,1,FALSE)),0,BO13*$C$2),MAX((IF(Monthly!BL$4=TRUE,Monthly!BL$13,Monthly!BL$14)*(1+'Attrition Modeling'!$N$8)-'IP Attrition'!BO$65)/12*'IP Attrition'!BO80,0)))</f>
        <v>0</v>
      </c>
      <c r="BQ145" s="799">
        <f>IF(EOMONTH(Inputs!$C$8,'IP Attrition'!BQ$134-1)&lt;=Inputs!$C$9,0,MIN(IF(ISERROR(VLOOKUP(BQ$134+$F145,$D$135:$D$165,1,FALSE)),0,BP13*$C$2),MAX((IF(Monthly!BM$4=TRUE,Monthly!BM$13,Monthly!BM$14)*(1+'Attrition Modeling'!$N$8)-'IP Attrition'!BP$65)/12*'IP Attrition'!BP80,0)))</f>
        <v>0</v>
      </c>
      <c r="BR145" s="799">
        <f>IF(EOMONTH(Inputs!$C$8,'IP Attrition'!BR$134-1)&lt;=Inputs!$C$9,0,MIN(IF(ISERROR(VLOOKUP(BR$134+$F145,$D$135:$D$165,1,FALSE)),0,BQ13*$C$2),MAX((IF(Monthly!BN$4=TRUE,Monthly!BN$13,Monthly!BN$14)*(1+'Attrition Modeling'!$N$8)-'IP Attrition'!BQ$65)/12*'IP Attrition'!BQ80,0)))</f>
        <v>0</v>
      </c>
      <c r="BS145" s="799">
        <f>IF(EOMONTH(Inputs!$C$8,'IP Attrition'!BS$134-1)&lt;=Inputs!$C$9,0,MIN(IF(ISERROR(VLOOKUP(BS$134+$F145,$D$135:$D$165,1,FALSE)),0,BR13*$C$2),MAX((IF(Monthly!BO$4=TRUE,Monthly!BO$13,Monthly!BO$14)*(1+'Attrition Modeling'!$N$8)-'IP Attrition'!BR$65)/12*'IP Attrition'!BR80,0)))</f>
        <v>0</v>
      </c>
      <c r="BT145" s="799" t="e">
        <f>IF(EOMONTH(Inputs!$C$8,'IP Attrition'!BT$134-1)&lt;=Inputs!$C$9,0,MIN(IF(ISERROR(VLOOKUP(BT$134+$F145,$D$135:$D$165,1,FALSE)),0,BS13*$C$2),MAX((IF(Monthly!#REF!=TRUE,Monthly!#REF!,Monthly!#REF!)*(1+'Attrition Modeling'!$N$8)-'IP Attrition'!BS$65)/12*'IP Attrition'!BS80,0)))</f>
        <v>#REF!</v>
      </c>
      <c r="BU145" s="799" t="e">
        <f>IF(EOMONTH(Inputs!$C$8,'IP Attrition'!BU$134-1)&lt;=Inputs!$C$9,0,MIN(IF(ISERROR(VLOOKUP(BU$134+$F145,$D$135:$D$165,1,FALSE)),0,BT13*$C$2),MAX((IF(Monthly!#REF!=TRUE,Monthly!#REF!,Monthly!#REF!)*(1+'Attrition Modeling'!$N$8)-'IP Attrition'!BT$65)/12*'IP Attrition'!BT80,0)))</f>
        <v>#REF!</v>
      </c>
    </row>
    <row r="146" spans="1:73" ht="14.25" customHeight="1" x14ac:dyDescent="0.2">
      <c r="A146" s="9">
        <v>139</v>
      </c>
      <c r="B146" s="25">
        <f>MAX('Attrition Modeling'!H143,$C$3)*(1-Summary!$C$20)</f>
        <v>0.02</v>
      </c>
      <c r="C146" s="24" t="e">
        <f t="shared" si="3"/>
        <v>#DIV/0!</v>
      </c>
      <c r="D146" s="11">
        <f t="shared" si="72"/>
        <v>138</v>
      </c>
      <c r="E146" s="25">
        <f t="shared" si="71"/>
        <v>0</v>
      </c>
      <c r="F146" s="11">
        <f t="shared" si="73"/>
        <v>11</v>
      </c>
      <c r="G146" s="799"/>
      <c r="H146" s="799">
        <f>IF(EOMONTH(Inputs!$C$8,'IP Attrition'!H$134-1)&lt;=Inputs!$C$9,0,MIN(IF(ISERROR(VLOOKUP(H$134+$F146,$D$135:$D$165,1,FALSE)),0,G14*$C$2),MAX((IF(Monthly!D$4=TRUE,Monthly!D$13,Monthly!D$14)*(1+'Attrition Modeling'!$N$8)-'IP Attrition'!G$65)/12*'IP Attrition'!G81,0)))</f>
        <v>0</v>
      </c>
      <c r="I146" s="799">
        <f>IF(EOMONTH(Inputs!$C$8,'IP Attrition'!I$134-1)&lt;=Inputs!$C$9,0,MIN(IF(ISERROR(VLOOKUP(I$134+$F146,$D$135:$D$165,1,FALSE)),0,H14*$C$2),MAX((IF(Monthly!E$4=TRUE,Monthly!E$13,Monthly!E$14)*(1+'Attrition Modeling'!$N$8)-'IP Attrition'!H$65)/12*'IP Attrition'!H81,0)))</f>
        <v>0</v>
      </c>
      <c r="J146" s="799">
        <f>IF(EOMONTH(Inputs!$C$8,'IP Attrition'!J$134-1)&lt;=Inputs!$C$9,0,MIN(IF(ISERROR(VLOOKUP(J$134+$F146,$D$135:$D$165,1,FALSE)),0,I14*$C$2),MAX((IF(Monthly!F$4=TRUE,Monthly!F$13,Monthly!F$14)*(1+'Attrition Modeling'!$N$8)-'IP Attrition'!I$65)/12*'IP Attrition'!I81,0)))</f>
        <v>0</v>
      </c>
      <c r="K146" s="799">
        <f>IF(EOMONTH(Inputs!$C$8,'IP Attrition'!K$134-1)&lt;=Inputs!$C$9,0,MIN(IF(ISERROR(VLOOKUP(K$134+$F146,$D$135:$D$165,1,FALSE)),0,J14*$C$2),MAX((IF(Monthly!G$4=TRUE,Monthly!G$13,Monthly!G$14)*(1+'Attrition Modeling'!$N$8)-'IP Attrition'!J$65)/12*'IP Attrition'!J81,0)))</f>
        <v>0</v>
      </c>
      <c r="L146" s="799">
        <f>IF(EOMONTH(Inputs!$C$8,'IP Attrition'!L$134-1)&lt;=Inputs!$C$9,0,MIN(IF(ISERROR(VLOOKUP(L$134+$F146,$D$135:$D$165,1,FALSE)),0,K14*$C$2),MAX((IF(Monthly!H$4=TRUE,Monthly!H$13,Monthly!H$14)*(1+'Attrition Modeling'!$N$8)-'IP Attrition'!K$65)/12*'IP Attrition'!K81,0)))</f>
        <v>0</v>
      </c>
      <c r="M146" s="799">
        <f>IF(EOMONTH(Inputs!$C$8,'IP Attrition'!M$134-1)&lt;=Inputs!$C$9,0,MIN(IF(ISERROR(VLOOKUP(M$134+$F146,$D$135:$D$165,1,FALSE)),0,L14*$C$2),MAX((IF(Monthly!I$4=TRUE,Monthly!I$13,Monthly!I$14)*(1+'Attrition Modeling'!$N$8)-'IP Attrition'!L$65)/12*'IP Attrition'!L81,0)))</f>
        <v>0</v>
      </c>
      <c r="N146" s="799">
        <f>IF(EOMONTH(Inputs!$C$8,'IP Attrition'!N$134-1)&lt;=Inputs!$C$9,0,MIN(IF(ISERROR(VLOOKUP(N$134+$F146,$D$135:$D$165,1,FALSE)),0,M14*$C$2),MAX((IF(Monthly!J$4=TRUE,Monthly!J$13,Monthly!J$14)*(1+'Attrition Modeling'!$N$8)-'IP Attrition'!M$65)/12*'IP Attrition'!M81,0)))</f>
        <v>0</v>
      </c>
      <c r="O146" s="799">
        <f>IF(EOMONTH(Inputs!$C$8,'IP Attrition'!O$134-1)&lt;=Inputs!$C$9,0,MIN(IF(ISERROR(VLOOKUP(O$134+$F146,$D$135:$D$165,1,FALSE)),0,N14*$C$2),MAX((IF(Monthly!K$4=TRUE,Monthly!K$13,Monthly!K$14)*(1+'Attrition Modeling'!$N$8)-'IP Attrition'!N$65)/12*'IP Attrition'!N81,0)))</f>
        <v>0</v>
      </c>
      <c r="P146" s="799">
        <f>IF(EOMONTH(Inputs!$C$8,'IP Attrition'!P$134-1)&lt;=Inputs!$C$9,0,MIN(IF(ISERROR(VLOOKUP(P$134+$F146,$D$135:$D$165,1,FALSE)),0,O14*$C$2),MAX((IF(Monthly!L$4=TRUE,Monthly!L$13,Monthly!L$14)*(1+'Attrition Modeling'!$N$8)-'IP Attrition'!O$65)/12*'IP Attrition'!O81,0)))</f>
        <v>0</v>
      </c>
      <c r="Q146" s="799">
        <f>IF(EOMONTH(Inputs!$C$8,'IP Attrition'!Q$134-1)&lt;=Inputs!$C$9,0,MIN(IF(ISERROR(VLOOKUP(Q$134+$F146,$D$135:$D$165,1,FALSE)),0,P14*$C$2),MAX((IF(Monthly!M$4=TRUE,Monthly!M$13,Monthly!M$14)*(1+'Attrition Modeling'!$N$8)-'IP Attrition'!P$65)/12*'IP Attrition'!P81,0)))</f>
        <v>0</v>
      </c>
      <c r="R146" s="799">
        <f>IF(EOMONTH(Inputs!$C$8,'IP Attrition'!R$134-1)&lt;=Inputs!$C$9,0,MIN(IF(ISERROR(VLOOKUP(R$134+$F146,$D$135:$D$165,1,FALSE)),0,Q14*$C$2),MAX((IF(Monthly!N$4=TRUE,Monthly!N$13,Monthly!N$14)*(1+'Attrition Modeling'!$N$8)-'IP Attrition'!Q$65)/12*'IP Attrition'!Q81,0)))</f>
        <v>0</v>
      </c>
      <c r="S146" s="799">
        <f>IF(EOMONTH(Inputs!$C$8,'IP Attrition'!S$134-1)&lt;=Inputs!$C$9,0,MIN(IF(ISERROR(VLOOKUP(S$134+$F146,$D$135:$D$165,1,FALSE)),0,R14*$C$2),MAX((IF(Monthly!O$4=TRUE,Monthly!O$13,Monthly!O$14)*(1+'Attrition Modeling'!$N$8)-'IP Attrition'!R$65)/12*'IP Attrition'!R81,0)))</f>
        <v>0</v>
      </c>
      <c r="T146" s="799">
        <f>IF(EOMONTH(Inputs!$C$8,'IP Attrition'!T$134-1)&lt;=Inputs!$C$9,0,MIN(IF(ISERROR(VLOOKUP(T$134+$F146,$D$135:$D$165,1,FALSE)),0,S14*$C$2),MAX((IF(Monthly!P$4=TRUE,Monthly!P$13,Monthly!P$14)*(1+'Attrition Modeling'!$N$8)-'IP Attrition'!S$65)/12*'IP Attrition'!S81,0)))</f>
        <v>0</v>
      </c>
      <c r="U146" s="799">
        <f>IF(EOMONTH(Inputs!$C$8,'IP Attrition'!U$134-1)&lt;=Inputs!$C$9,0,MIN(IF(ISERROR(VLOOKUP(U$134+$F146,$D$135:$D$165,1,FALSE)),0,T14*$C$2),MAX((IF(Monthly!Q$4=TRUE,Monthly!Q$13,Monthly!Q$14)*(1+'Attrition Modeling'!$N$8)-'IP Attrition'!T$65)/12*'IP Attrition'!T81,0)))</f>
        <v>0</v>
      </c>
      <c r="V146" s="799">
        <f>IF(EOMONTH(Inputs!$C$8,'IP Attrition'!V$134-1)&lt;=Inputs!$C$9,0,MIN(IF(ISERROR(VLOOKUP(V$134+$F146,$D$135:$D$165,1,FALSE)),0,U14*$C$2),MAX((IF(Monthly!R$4=TRUE,Monthly!R$13,Monthly!R$14)*(1+'Attrition Modeling'!$N$8)-'IP Attrition'!U$65)/12*'IP Attrition'!U81,0)))</f>
        <v>0</v>
      </c>
      <c r="W146" s="799">
        <f>IF(EOMONTH(Inputs!$C$8,'IP Attrition'!W$134-1)&lt;=Inputs!$C$9,0,MIN(IF(ISERROR(VLOOKUP(W$134+$F146,$D$135:$D$165,1,FALSE)),0,V14*$C$2),MAX((IF(Monthly!S$4=TRUE,Monthly!S$13,Monthly!S$14)*(1+'Attrition Modeling'!$N$8)-'IP Attrition'!V$65)/12*'IP Attrition'!V81,0)))</f>
        <v>0</v>
      </c>
      <c r="X146" s="799">
        <f>IF(EOMONTH(Inputs!$C$8,'IP Attrition'!X$134-1)&lt;=Inputs!$C$9,0,MIN(IF(ISERROR(VLOOKUP(X$134+$F146,$D$135:$D$165,1,FALSE)),0,W14*$C$2),MAX((IF(Monthly!T$4=TRUE,Monthly!T$13,Monthly!T$14)*(1+'Attrition Modeling'!$N$8)-'IP Attrition'!W$65)/12*'IP Attrition'!W81,0)))</f>
        <v>0</v>
      </c>
      <c r="Y146" s="799">
        <f>IF(EOMONTH(Inputs!$C$8,'IP Attrition'!Y$134-1)&lt;=Inputs!$C$9,0,MIN(IF(ISERROR(VLOOKUP(Y$134+$F146,$D$135:$D$165,1,FALSE)),0,X14*$C$2),MAX((IF(Monthly!U$4=TRUE,Monthly!U$13,Monthly!U$14)*(1+'Attrition Modeling'!$N$8)-'IP Attrition'!X$65)/12*'IP Attrition'!X81,0)))</f>
        <v>0</v>
      </c>
      <c r="Z146" s="799">
        <f>IF(EOMONTH(Inputs!$C$8,'IP Attrition'!Z$134-1)&lt;=Inputs!$C$9,0,MIN(IF(ISERROR(VLOOKUP(Z$134+$F146,$D$135:$D$165,1,FALSE)),0,Y14*$C$2),MAX((IF(Monthly!V$4=TRUE,Monthly!V$13,Monthly!V$14)*(1+'Attrition Modeling'!$N$8)-'IP Attrition'!Y$65)/12*'IP Attrition'!Y81,0)))</f>
        <v>0</v>
      </c>
      <c r="AA146" s="799">
        <f>IF(EOMONTH(Inputs!$C$8,'IP Attrition'!AA$134-1)&lt;=Inputs!$C$9,0,MIN(IF(ISERROR(VLOOKUP(AA$134+$F146,$D$135:$D$165,1,FALSE)),0,Z14*$C$2),MAX((IF(Monthly!W$4=TRUE,Monthly!W$13,Monthly!W$14)*(1+'Attrition Modeling'!$N$8)-'IP Attrition'!Z$65)/12*'IP Attrition'!Z81,0)))</f>
        <v>0</v>
      </c>
      <c r="AB146" s="799">
        <f>IF(EOMONTH(Inputs!$C$8,'IP Attrition'!AB$134-1)&lt;=Inputs!$C$9,0,MIN(IF(ISERROR(VLOOKUP(AB$134+$F146,$D$135:$D$165,1,FALSE)),0,AA14*$C$2),MAX((IF(Monthly!X$4=TRUE,Monthly!X$13,Monthly!X$14)*(1+'Attrition Modeling'!$N$8)-'IP Attrition'!AA$65)/12*'IP Attrition'!AA81,0)))</f>
        <v>0</v>
      </c>
      <c r="AC146" s="799">
        <f>IF(EOMONTH(Inputs!$C$8,'IP Attrition'!AC$134-1)&lt;=Inputs!$C$9,0,MIN(IF(ISERROR(VLOOKUP(AC$134+$F146,$D$135:$D$165,1,FALSE)),0,AB14*$C$2),MAX((IF(Monthly!Y$4=TRUE,Monthly!Y$13,Monthly!Y$14)*(1+'Attrition Modeling'!$N$8)-'IP Attrition'!AB$65)/12*'IP Attrition'!AB81,0)))</f>
        <v>0</v>
      </c>
      <c r="AD146" s="799">
        <f>IF(EOMONTH(Inputs!$C$8,'IP Attrition'!AD$134-1)&lt;=Inputs!$C$9,0,MIN(IF(ISERROR(VLOOKUP(AD$134+$F146,$D$135:$D$165,1,FALSE)),0,AC14*$C$2),MAX((IF(Monthly!Z$4=TRUE,Monthly!Z$13,Monthly!Z$14)*(1+'Attrition Modeling'!$N$8)-'IP Attrition'!AC$65)/12*'IP Attrition'!AC81,0)))</f>
        <v>0</v>
      </c>
      <c r="AE146" s="799">
        <f>IF(EOMONTH(Inputs!$C$8,'IP Attrition'!AE$134-1)&lt;=Inputs!$C$9,0,MIN(IF(ISERROR(VLOOKUP(AE$134+$F146,$D$135:$D$165,1,FALSE)),0,AD14*$C$2),MAX((IF(Monthly!AA$4=TRUE,Monthly!AA$13,Monthly!AA$14)*(1+'Attrition Modeling'!$N$8)-'IP Attrition'!AD$65)/12*'IP Attrition'!AD81,0)))</f>
        <v>0</v>
      </c>
      <c r="AF146" s="799">
        <f>IF(EOMONTH(Inputs!$C$8,'IP Attrition'!AF$134-1)&lt;=Inputs!$C$9,0,MIN(IF(ISERROR(VLOOKUP(AF$134+$F146,$D$135:$D$165,1,FALSE)),0,AE14*$C$2),MAX((IF(Monthly!AB$4=TRUE,Monthly!AB$13,Monthly!AB$14)*(1+'Attrition Modeling'!$N$8)-'IP Attrition'!AE$65)/12*'IP Attrition'!AE81,0)))</f>
        <v>0</v>
      </c>
      <c r="AG146" s="799">
        <f>IF(EOMONTH(Inputs!$C$8,'IP Attrition'!AG$134-1)&lt;=Inputs!$C$9,0,MIN(IF(ISERROR(VLOOKUP(AG$134+$F146,$D$135:$D$165,1,FALSE)),0,AF14*$C$2),MAX((IF(Monthly!AC$4=TRUE,Monthly!AC$13,Monthly!AC$14)*(1+'Attrition Modeling'!$N$8)-'IP Attrition'!AF$65)/12*'IP Attrition'!AF81,0)))</f>
        <v>0</v>
      </c>
      <c r="AH146" s="799">
        <f>IF(EOMONTH(Inputs!$C$8,'IP Attrition'!AH$134-1)&lt;=Inputs!$C$9,0,MIN(IF(ISERROR(VLOOKUP(AH$134+$F146,$D$135:$D$165,1,FALSE)),0,AG14*$C$2),MAX((IF(Monthly!AD$4=TRUE,Monthly!AD$13,Monthly!AD$14)*(1+'Attrition Modeling'!$N$8)-'IP Attrition'!AG$65)/12*'IP Attrition'!AG81,0)))</f>
        <v>0</v>
      </c>
      <c r="AI146" s="799">
        <f>IF(EOMONTH(Inputs!$C$8,'IP Attrition'!AI$134-1)&lt;=Inputs!$C$9,0,MIN(IF(ISERROR(VLOOKUP(AI$134+$F146,$D$135:$D$165,1,FALSE)),0,AH14*$C$2),MAX((IF(Monthly!AE$4=TRUE,Monthly!AE$13,Monthly!AE$14)*(1+'Attrition Modeling'!$N$8)-'IP Attrition'!AH$65)/12*'IP Attrition'!AH81,0)))</f>
        <v>0</v>
      </c>
      <c r="AJ146" s="799">
        <f>IF(EOMONTH(Inputs!$C$8,'IP Attrition'!AJ$134-1)&lt;=Inputs!$C$9,0,MIN(IF(ISERROR(VLOOKUP(AJ$134+$F146,$D$135:$D$165,1,FALSE)),0,AI14*$C$2),MAX((IF(Monthly!AF$4=TRUE,Monthly!AF$13,Monthly!AF$14)*(1+'Attrition Modeling'!$N$8)-'IP Attrition'!AI$65)/12*'IP Attrition'!AI81,0)))</f>
        <v>0</v>
      </c>
      <c r="AK146" s="799">
        <f>IF(EOMONTH(Inputs!$C$8,'IP Attrition'!AK$134-1)&lt;=Inputs!$C$9,0,MIN(IF(ISERROR(VLOOKUP(AK$134+$F146,$D$135:$D$165,1,FALSE)),0,AJ14*$C$2),MAX((IF(Monthly!AG$4=TRUE,Monthly!AG$13,Monthly!AG$14)*(1+'Attrition Modeling'!$N$8)-'IP Attrition'!AJ$65)/12*'IP Attrition'!AJ81,0)))</f>
        <v>0</v>
      </c>
      <c r="AL146" s="799">
        <f>IF(EOMONTH(Inputs!$C$8,'IP Attrition'!AL$134-1)&lt;=Inputs!$C$9,0,MIN(IF(ISERROR(VLOOKUP(AL$134+$F146,$D$135:$D$165,1,FALSE)),0,AK14*$C$2),MAX((IF(Monthly!AH$4=TRUE,Monthly!AH$13,Monthly!AH$14)*(1+'Attrition Modeling'!$N$8)-'IP Attrition'!AK$65)/12*'IP Attrition'!AK81,0)))</f>
        <v>0</v>
      </c>
      <c r="AM146" s="799">
        <f>IF(EOMONTH(Inputs!$C$8,'IP Attrition'!AM$134-1)&lt;=Inputs!$C$9,0,MIN(IF(ISERROR(VLOOKUP(AM$134+$F146,$D$135:$D$165,1,FALSE)),0,AL14*$C$2),MAX((IF(Monthly!AI$4=TRUE,Monthly!AI$13,Monthly!AI$14)*(1+'Attrition Modeling'!$N$8)-'IP Attrition'!AL$65)/12*'IP Attrition'!AL81,0)))</f>
        <v>0</v>
      </c>
      <c r="AN146" s="799">
        <f>IF(EOMONTH(Inputs!$C$8,'IP Attrition'!AN$134-1)&lt;=Inputs!$C$9,0,MIN(IF(ISERROR(VLOOKUP(AN$134+$F146,$D$135:$D$165,1,FALSE)),0,AM14*$C$2),MAX((IF(Monthly!AJ$4=TRUE,Monthly!AJ$13,Monthly!AJ$14)*(1+'Attrition Modeling'!$N$8)-'IP Attrition'!AM$65)/12*'IP Attrition'!AM81,0)))</f>
        <v>0</v>
      </c>
      <c r="AO146" s="799">
        <f>IF(EOMONTH(Inputs!$C$8,'IP Attrition'!AO$134-1)&lt;=Inputs!$C$9,0,MIN(IF(ISERROR(VLOOKUP(AO$134+$F146,$D$135:$D$165,1,FALSE)),0,AN14*$C$2),MAX((IF(Monthly!AK$4=TRUE,Monthly!AK$13,Monthly!AK$14)*(1+'Attrition Modeling'!$N$8)-'IP Attrition'!AN$65)/12*'IP Attrition'!AN81,0)))</f>
        <v>0</v>
      </c>
      <c r="AP146" s="799">
        <f>IF(EOMONTH(Inputs!$C$8,'IP Attrition'!AP$134-1)&lt;=Inputs!$C$9,0,MIN(IF(ISERROR(VLOOKUP(AP$134+$F146,$D$135:$D$165,1,FALSE)),0,AO14*$C$2),MAX((IF(Monthly!AL$4=TRUE,Monthly!AL$13,Monthly!AL$14)*(1+'Attrition Modeling'!$N$8)-'IP Attrition'!AO$65)/12*'IP Attrition'!AO81,0)))</f>
        <v>0</v>
      </c>
      <c r="AQ146" s="799">
        <f>IF(EOMONTH(Inputs!$C$8,'IP Attrition'!AQ$134-1)&lt;=Inputs!$C$9,0,MIN(IF(ISERROR(VLOOKUP(AQ$134+$F146,$D$135:$D$165,1,FALSE)),0,AP14*$C$2),MAX((IF(Monthly!AM$4=TRUE,Monthly!AM$13,Monthly!AM$14)*(1+'Attrition Modeling'!$N$8)-'IP Attrition'!AP$65)/12*'IP Attrition'!AP81,0)))</f>
        <v>0</v>
      </c>
      <c r="AR146" s="799">
        <f>IF(EOMONTH(Inputs!$C$8,'IP Attrition'!AR$134-1)&lt;=Inputs!$C$9,0,MIN(IF(ISERROR(VLOOKUP(AR$134+$F146,$D$135:$D$165,1,FALSE)),0,AQ14*$C$2),MAX((IF(Monthly!AN$4=TRUE,Monthly!AN$13,Monthly!AN$14)*(1+'Attrition Modeling'!$N$8)-'IP Attrition'!AQ$65)/12*'IP Attrition'!AQ81,0)))</f>
        <v>0</v>
      </c>
      <c r="AS146" s="799">
        <f>IF(EOMONTH(Inputs!$C$8,'IP Attrition'!AS$134-1)&lt;=Inputs!$C$9,0,MIN(IF(ISERROR(VLOOKUP(AS$134+$F146,$D$135:$D$165,1,FALSE)),0,AR14*$C$2),MAX((IF(Monthly!AO$4=TRUE,Monthly!AO$13,Monthly!AO$14)*(1+'Attrition Modeling'!$N$8)-'IP Attrition'!AR$65)/12*'IP Attrition'!AR81,0)))</f>
        <v>0</v>
      </c>
      <c r="AT146" s="799">
        <f>IF(EOMONTH(Inputs!$C$8,'IP Attrition'!AT$134-1)&lt;=Inputs!$C$9,0,MIN(IF(ISERROR(VLOOKUP(AT$134+$F146,$D$135:$D$165,1,FALSE)),0,AS14*$C$2),MAX((IF(Monthly!AP$4=TRUE,Monthly!AP$13,Monthly!AP$14)*(1+'Attrition Modeling'!$N$8)-'IP Attrition'!AS$65)/12*'IP Attrition'!AS81,0)))</f>
        <v>0</v>
      </c>
      <c r="AU146" s="799">
        <f>IF(EOMONTH(Inputs!$C$8,'IP Attrition'!AU$134-1)&lt;=Inputs!$C$9,0,MIN(IF(ISERROR(VLOOKUP(AU$134+$F146,$D$135:$D$165,1,FALSE)),0,AT14*$C$2),MAX((IF(Monthly!AQ$4=TRUE,Monthly!AQ$13,Monthly!AQ$14)*(1+'Attrition Modeling'!$N$8)-'IP Attrition'!AT$65)/12*'IP Attrition'!AT81,0)))</f>
        <v>0</v>
      </c>
      <c r="AV146" s="799">
        <f>IF(EOMONTH(Inputs!$C$8,'IP Attrition'!AV$134-1)&lt;=Inputs!$C$9,0,MIN(IF(ISERROR(VLOOKUP(AV$134+$F146,$D$135:$D$165,1,FALSE)),0,AU14*$C$2),MAX((IF(Monthly!AR$4=TRUE,Monthly!AR$13,Monthly!AR$14)*(1+'Attrition Modeling'!$N$8)-'IP Attrition'!AU$65)/12*'IP Attrition'!AU81,0)))</f>
        <v>0</v>
      </c>
      <c r="AW146" s="799">
        <f>IF(EOMONTH(Inputs!$C$8,'IP Attrition'!AW$134-1)&lt;=Inputs!$C$9,0,MIN(IF(ISERROR(VLOOKUP(AW$134+$F146,$D$135:$D$165,1,FALSE)),0,AV14*$C$2),MAX((IF(Monthly!AS$4=TRUE,Monthly!AS$13,Monthly!AS$14)*(1+'Attrition Modeling'!$N$8)-'IP Attrition'!AV$65)/12*'IP Attrition'!AV81,0)))</f>
        <v>0</v>
      </c>
      <c r="AX146" s="799">
        <f>IF(EOMONTH(Inputs!$C$8,'IP Attrition'!AX$134-1)&lt;=Inputs!$C$9,0,MIN(IF(ISERROR(VLOOKUP(AX$134+$F146,$D$135:$D$165,1,FALSE)),0,AW14*$C$2),MAX((IF(Monthly!AT$4=TRUE,Monthly!AT$13,Monthly!AT$14)*(1+'Attrition Modeling'!$N$8)-'IP Attrition'!AW$65)/12*'IP Attrition'!AW81,0)))</f>
        <v>0</v>
      </c>
      <c r="AY146" s="799">
        <f>IF(EOMONTH(Inputs!$C$8,'IP Attrition'!AY$134-1)&lt;=Inputs!$C$9,0,MIN(IF(ISERROR(VLOOKUP(AY$134+$F146,$D$135:$D$165,1,FALSE)),0,AX14*$C$2),MAX((IF(Monthly!AU$4=TRUE,Monthly!AU$13,Monthly!AU$14)*(1+'Attrition Modeling'!$N$8)-'IP Attrition'!AX$65)/12*'IP Attrition'!AX81,0)))</f>
        <v>0</v>
      </c>
      <c r="AZ146" s="799">
        <f>IF(EOMONTH(Inputs!$C$8,'IP Attrition'!AZ$134-1)&lt;=Inputs!$C$9,0,MIN(IF(ISERROR(VLOOKUP(AZ$134+$F146,$D$135:$D$165,1,FALSE)),0,AY14*$C$2),MAX((IF(Monthly!AV$4=TRUE,Monthly!AV$13,Monthly!AV$14)*(1+'Attrition Modeling'!$N$8)-'IP Attrition'!AY$65)/12*'IP Attrition'!AY81,0)))</f>
        <v>0</v>
      </c>
      <c r="BA146" s="799">
        <f>IF(EOMONTH(Inputs!$C$8,'IP Attrition'!BA$134-1)&lt;=Inputs!$C$9,0,MIN(IF(ISERROR(VLOOKUP(BA$134+$F146,$D$135:$D$165,1,FALSE)),0,AZ14*$C$2),MAX((IF(Monthly!AW$4=TRUE,Monthly!AW$13,Monthly!AW$14)*(1+'Attrition Modeling'!$N$8)-'IP Attrition'!AZ$65)/12*'IP Attrition'!AZ81,0)))</f>
        <v>0</v>
      </c>
      <c r="BB146" s="799">
        <f>IF(EOMONTH(Inputs!$C$8,'IP Attrition'!BB$134-1)&lt;=Inputs!$C$9,0,MIN(IF(ISERROR(VLOOKUP(BB$134+$F146,$D$135:$D$165,1,FALSE)),0,BA14*$C$2),MAX((IF(Monthly!AX$4=TRUE,Monthly!AX$13,Monthly!AX$14)*(1+'Attrition Modeling'!$N$8)-'IP Attrition'!BA$65)/12*'IP Attrition'!BA81,0)))</f>
        <v>0</v>
      </c>
      <c r="BC146" s="799">
        <f>IF(EOMONTH(Inputs!$C$8,'IP Attrition'!BC$134-1)&lt;=Inputs!$C$9,0,MIN(IF(ISERROR(VLOOKUP(BC$134+$F146,$D$135:$D$165,1,FALSE)),0,BB14*$C$2),MAX((IF(Monthly!AY$4=TRUE,Monthly!AY$13,Monthly!AY$14)*(1+'Attrition Modeling'!$N$8)-'IP Attrition'!BB$65)/12*'IP Attrition'!BB81,0)))</f>
        <v>0</v>
      </c>
      <c r="BD146" s="799">
        <f>IF(EOMONTH(Inputs!$C$8,'IP Attrition'!BD$134-1)&lt;=Inputs!$C$9,0,MIN(IF(ISERROR(VLOOKUP(BD$134+$F146,$D$135:$D$165,1,FALSE)),0,BC14*$C$2),MAX((IF(Monthly!AZ$4=TRUE,Monthly!AZ$13,Monthly!AZ$14)*(1+'Attrition Modeling'!$N$8)-'IP Attrition'!BC$65)/12*'IP Attrition'!BC81,0)))</f>
        <v>0</v>
      </c>
      <c r="BE146" s="799">
        <f>IF(EOMONTH(Inputs!$C$8,'IP Attrition'!BE$134-1)&lt;=Inputs!$C$9,0,MIN(IF(ISERROR(VLOOKUP(BE$134+$F146,$D$135:$D$165,1,FALSE)),0,BD14*$C$2),MAX((IF(Monthly!BA$4=TRUE,Monthly!BA$13,Monthly!BA$14)*(1+'Attrition Modeling'!$N$8)-'IP Attrition'!BD$65)/12*'IP Attrition'!BD81,0)))</f>
        <v>0</v>
      </c>
      <c r="BF146" s="799">
        <f>IF(EOMONTH(Inputs!$C$8,'IP Attrition'!BF$134-1)&lt;=Inputs!$C$9,0,MIN(IF(ISERROR(VLOOKUP(BF$134+$F146,$D$135:$D$165,1,FALSE)),0,BE14*$C$2),MAX((IF(Monthly!BB$4=TRUE,Monthly!BB$13,Monthly!BB$14)*(1+'Attrition Modeling'!$N$8)-'IP Attrition'!BE$65)/12*'IP Attrition'!BE81,0)))</f>
        <v>0</v>
      </c>
      <c r="BG146" s="799">
        <f>IF(EOMONTH(Inputs!$C$8,'IP Attrition'!BG$134-1)&lt;=Inputs!$C$9,0,MIN(IF(ISERROR(VLOOKUP(BG$134+$F146,$D$135:$D$165,1,FALSE)),0,BF14*$C$2),MAX((IF(Monthly!BC$4=TRUE,Monthly!BC$13,Monthly!BC$14)*(1+'Attrition Modeling'!$N$8)-'IP Attrition'!BF$65)/12*'IP Attrition'!BF81,0)))</f>
        <v>0</v>
      </c>
      <c r="BH146" s="799">
        <f>IF(EOMONTH(Inputs!$C$8,'IP Attrition'!BH$134-1)&lt;=Inputs!$C$9,0,MIN(IF(ISERROR(VLOOKUP(BH$134+$F146,$D$135:$D$165,1,FALSE)),0,BG14*$C$2),MAX((IF(Monthly!BD$4=TRUE,Monthly!BD$13,Monthly!BD$14)*(1+'Attrition Modeling'!$N$8)-'IP Attrition'!BG$65)/12*'IP Attrition'!BG81,0)))</f>
        <v>0</v>
      </c>
      <c r="BI146" s="799">
        <f>IF(EOMONTH(Inputs!$C$8,'IP Attrition'!BI$134-1)&lt;=Inputs!$C$9,0,MIN(IF(ISERROR(VLOOKUP(BI$134+$F146,$D$135:$D$165,1,FALSE)),0,BH14*$C$2),MAX((IF(Monthly!BE$4=TRUE,Monthly!BE$13,Monthly!BE$14)*(1+'Attrition Modeling'!$N$8)-'IP Attrition'!BH$65)/12*'IP Attrition'!BH81,0)))</f>
        <v>0</v>
      </c>
      <c r="BJ146" s="799">
        <f>IF(EOMONTH(Inputs!$C$8,'IP Attrition'!BJ$134-1)&lt;=Inputs!$C$9,0,MIN(IF(ISERROR(VLOOKUP(BJ$134+$F146,$D$135:$D$165,1,FALSE)),0,BI14*$C$2),MAX((IF(Monthly!BF$4=TRUE,Monthly!BF$13,Monthly!BF$14)*(1+'Attrition Modeling'!$N$8)-'IP Attrition'!BI$65)/12*'IP Attrition'!BI81,0)))</f>
        <v>0</v>
      </c>
      <c r="BK146" s="799">
        <f>IF(EOMONTH(Inputs!$C$8,'IP Attrition'!BK$134-1)&lt;=Inputs!$C$9,0,MIN(IF(ISERROR(VLOOKUP(BK$134+$F146,$D$135:$D$165,1,FALSE)),0,BJ14*$C$2),MAX((IF(Monthly!BG$4=TRUE,Monthly!BG$13,Monthly!BG$14)*(1+'Attrition Modeling'!$N$8)-'IP Attrition'!BJ$65)/12*'IP Attrition'!BJ81,0)))</f>
        <v>0</v>
      </c>
      <c r="BL146" s="799">
        <f>IF(EOMONTH(Inputs!$C$8,'IP Attrition'!BL$134-1)&lt;=Inputs!$C$9,0,MIN(IF(ISERROR(VLOOKUP(BL$134+$F146,$D$135:$D$165,1,FALSE)),0,BK14*$C$2),MAX((IF(Monthly!BH$4=TRUE,Monthly!BH$13,Monthly!BH$14)*(1+'Attrition Modeling'!$N$8)-'IP Attrition'!BK$65)/12*'IP Attrition'!BK81,0)))</f>
        <v>0</v>
      </c>
      <c r="BM146" s="799">
        <f>IF(EOMONTH(Inputs!$C$8,'IP Attrition'!BM$134-1)&lt;=Inputs!$C$9,0,MIN(IF(ISERROR(VLOOKUP(BM$134+$F146,$D$135:$D$165,1,FALSE)),0,BL14*$C$2),MAX((IF(Monthly!BI$4=TRUE,Monthly!BI$13,Monthly!BI$14)*(1+'Attrition Modeling'!$N$8)-'IP Attrition'!BL$65)/12*'IP Attrition'!BL81,0)))</f>
        <v>0</v>
      </c>
      <c r="BN146" s="799">
        <f>IF(EOMONTH(Inputs!$C$8,'IP Attrition'!BN$134-1)&lt;=Inputs!$C$9,0,MIN(IF(ISERROR(VLOOKUP(BN$134+$F146,$D$135:$D$165,1,FALSE)),0,BM14*$C$2),MAX((IF(Monthly!BJ$4=TRUE,Monthly!BJ$13,Monthly!BJ$14)*(1+'Attrition Modeling'!$N$8)-'IP Attrition'!BM$65)/12*'IP Attrition'!BM81,0)))</f>
        <v>0</v>
      </c>
      <c r="BO146" s="799">
        <f>IF(EOMONTH(Inputs!$C$8,'IP Attrition'!BO$134-1)&lt;=Inputs!$C$9,0,MIN(IF(ISERROR(VLOOKUP(BO$134+$F146,$D$135:$D$165,1,FALSE)),0,BN14*$C$2),MAX((IF(Monthly!BK$4=TRUE,Monthly!BK$13,Monthly!BK$14)*(1+'Attrition Modeling'!$N$8)-'IP Attrition'!BN$65)/12*'IP Attrition'!BN81,0)))</f>
        <v>0</v>
      </c>
      <c r="BP146" s="799">
        <f>IF(EOMONTH(Inputs!$C$8,'IP Attrition'!BP$134-1)&lt;=Inputs!$C$9,0,MIN(IF(ISERROR(VLOOKUP(BP$134+$F146,$D$135:$D$165,1,FALSE)),0,BO14*$C$2),MAX((IF(Monthly!BL$4=TRUE,Monthly!BL$13,Monthly!BL$14)*(1+'Attrition Modeling'!$N$8)-'IP Attrition'!BO$65)/12*'IP Attrition'!BO81,0)))</f>
        <v>0</v>
      </c>
      <c r="BQ146" s="799">
        <f>IF(EOMONTH(Inputs!$C$8,'IP Attrition'!BQ$134-1)&lt;=Inputs!$C$9,0,MIN(IF(ISERROR(VLOOKUP(BQ$134+$F146,$D$135:$D$165,1,FALSE)),0,BP14*$C$2),MAX((IF(Monthly!BM$4=TRUE,Monthly!BM$13,Monthly!BM$14)*(1+'Attrition Modeling'!$N$8)-'IP Attrition'!BP$65)/12*'IP Attrition'!BP81,0)))</f>
        <v>0</v>
      </c>
      <c r="BR146" s="799">
        <f>IF(EOMONTH(Inputs!$C$8,'IP Attrition'!BR$134-1)&lt;=Inputs!$C$9,0,MIN(IF(ISERROR(VLOOKUP(BR$134+$F146,$D$135:$D$165,1,FALSE)),0,BQ14*$C$2),MAX((IF(Monthly!BN$4=TRUE,Monthly!BN$13,Monthly!BN$14)*(1+'Attrition Modeling'!$N$8)-'IP Attrition'!BQ$65)/12*'IP Attrition'!BQ81,0)))</f>
        <v>0</v>
      </c>
      <c r="BS146" s="799">
        <f>IF(EOMONTH(Inputs!$C$8,'IP Attrition'!BS$134-1)&lt;=Inputs!$C$9,0,MIN(IF(ISERROR(VLOOKUP(BS$134+$F146,$D$135:$D$165,1,FALSE)),0,BR14*$C$2),MAX((IF(Monthly!BO$4=TRUE,Monthly!BO$13,Monthly!BO$14)*(1+'Attrition Modeling'!$N$8)-'IP Attrition'!BR$65)/12*'IP Attrition'!BR81,0)))</f>
        <v>0</v>
      </c>
      <c r="BT146" s="799" t="e">
        <f>IF(EOMONTH(Inputs!$C$8,'IP Attrition'!BT$134-1)&lt;=Inputs!$C$9,0,MIN(IF(ISERROR(VLOOKUP(BT$134+$F146,$D$135:$D$165,1,FALSE)),0,BS14*$C$2),MAX((IF(Monthly!#REF!=TRUE,Monthly!#REF!,Monthly!#REF!)*(1+'Attrition Modeling'!$N$8)-'IP Attrition'!BS$65)/12*'IP Attrition'!BS81,0)))</f>
        <v>#REF!</v>
      </c>
      <c r="BU146" s="799" t="e">
        <f>IF(EOMONTH(Inputs!$C$8,'IP Attrition'!BU$134-1)&lt;=Inputs!$C$9,0,MIN(IF(ISERROR(VLOOKUP(BU$134+$F146,$D$135:$D$165,1,FALSE)),0,BT14*$C$2),MAX((IF(Monthly!#REF!=TRUE,Monthly!#REF!,Monthly!#REF!)*(1+'Attrition Modeling'!$N$8)-'IP Attrition'!BT$65)/12*'IP Attrition'!BT81,0)))</f>
        <v>#REF!</v>
      </c>
    </row>
    <row r="147" spans="1:73" ht="14.25" customHeight="1" x14ac:dyDescent="0.2">
      <c r="A147" s="9">
        <v>140</v>
      </c>
      <c r="B147" s="25">
        <f>MAX('Attrition Modeling'!H144,$C$3)*(1-Summary!$C$20)</f>
        <v>0.02</v>
      </c>
      <c r="C147" s="24" t="e">
        <f t="shared" si="3"/>
        <v>#DIV/0!</v>
      </c>
      <c r="D147" s="11">
        <f t="shared" si="72"/>
        <v>150</v>
      </c>
      <c r="E147" s="25">
        <f t="shared" si="71"/>
        <v>0</v>
      </c>
      <c r="F147" s="11">
        <f t="shared" si="73"/>
        <v>12</v>
      </c>
      <c r="G147" s="799"/>
      <c r="H147" s="799">
        <f>IF(EOMONTH(Inputs!$C$8,'IP Attrition'!H$134-1)&lt;=Inputs!$C$9,0,MIN(IF(ISERROR(VLOOKUP(H$134+$F147,$D$135:$D$165,1,FALSE)),0,G15*$C$2),MAX((IF(Monthly!D$4=TRUE,Monthly!D$13,Monthly!D$14)*(1+'Attrition Modeling'!$N$8)-'IP Attrition'!G$65)/12*'IP Attrition'!G82,0)))</f>
        <v>0</v>
      </c>
      <c r="I147" s="799">
        <f>IF(EOMONTH(Inputs!$C$8,'IP Attrition'!I$134-1)&lt;=Inputs!$C$9,0,MIN(IF(ISERROR(VLOOKUP(I$134+$F147,$D$135:$D$165,1,FALSE)),0,H15*$C$2),MAX((IF(Monthly!E$4=TRUE,Monthly!E$13,Monthly!E$14)*(1+'Attrition Modeling'!$N$8)-'IP Attrition'!H$65)/12*'IP Attrition'!H82,0)))</f>
        <v>0</v>
      </c>
      <c r="J147" s="799">
        <f>IF(EOMONTH(Inputs!$C$8,'IP Attrition'!J$134-1)&lt;=Inputs!$C$9,0,MIN(IF(ISERROR(VLOOKUP(J$134+$F147,$D$135:$D$165,1,FALSE)),0,I15*$C$2),MAX((IF(Monthly!F$4=TRUE,Monthly!F$13,Monthly!F$14)*(1+'Attrition Modeling'!$N$8)-'IP Attrition'!I$65)/12*'IP Attrition'!I82,0)))</f>
        <v>0</v>
      </c>
      <c r="K147" s="799">
        <f>IF(EOMONTH(Inputs!$C$8,'IP Attrition'!K$134-1)&lt;=Inputs!$C$9,0,MIN(IF(ISERROR(VLOOKUP(K$134+$F147,$D$135:$D$165,1,FALSE)),0,J15*$C$2),MAX((IF(Monthly!G$4=TRUE,Monthly!G$13,Monthly!G$14)*(1+'Attrition Modeling'!$N$8)-'IP Attrition'!J$65)/12*'IP Attrition'!J82,0)))</f>
        <v>0</v>
      </c>
      <c r="L147" s="799">
        <f>IF(EOMONTH(Inputs!$C$8,'IP Attrition'!L$134-1)&lt;=Inputs!$C$9,0,MIN(IF(ISERROR(VLOOKUP(L$134+$F147,$D$135:$D$165,1,FALSE)),0,K15*$C$2),MAX((IF(Monthly!H$4=TRUE,Monthly!H$13,Monthly!H$14)*(1+'Attrition Modeling'!$N$8)-'IP Attrition'!K$65)/12*'IP Attrition'!K82,0)))</f>
        <v>0</v>
      </c>
      <c r="M147" s="799">
        <f>IF(EOMONTH(Inputs!$C$8,'IP Attrition'!M$134-1)&lt;=Inputs!$C$9,0,MIN(IF(ISERROR(VLOOKUP(M$134+$F147,$D$135:$D$165,1,FALSE)),0,L15*$C$2),MAX((IF(Monthly!I$4=TRUE,Monthly!I$13,Monthly!I$14)*(1+'Attrition Modeling'!$N$8)-'IP Attrition'!L$65)/12*'IP Attrition'!L82,0)))</f>
        <v>0</v>
      </c>
      <c r="N147" s="799">
        <f>IF(EOMONTH(Inputs!$C$8,'IP Attrition'!N$134-1)&lt;=Inputs!$C$9,0,MIN(IF(ISERROR(VLOOKUP(N$134+$F147,$D$135:$D$165,1,FALSE)),0,M15*$C$2),MAX((IF(Monthly!J$4=TRUE,Monthly!J$13,Monthly!J$14)*(1+'Attrition Modeling'!$N$8)-'IP Attrition'!M$65)/12*'IP Attrition'!M82,0)))</f>
        <v>0</v>
      </c>
      <c r="O147" s="799">
        <f>IF(EOMONTH(Inputs!$C$8,'IP Attrition'!O$134-1)&lt;=Inputs!$C$9,0,MIN(IF(ISERROR(VLOOKUP(O$134+$F147,$D$135:$D$165,1,FALSE)),0,N15*$C$2),MAX((IF(Monthly!K$4=TRUE,Monthly!K$13,Monthly!K$14)*(1+'Attrition Modeling'!$N$8)-'IP Attrition'!N$65)/12*'IP Attrition'!N82,0)))</f>
        <v>0</v>
      </c>
      <c r="P147" s="799">
        <f>IF(EOMONTH(Inputs!$C$8,'IP Attrition'!P$134-1)&lt;=Inputs!$C$9,0,MIN(IF(ISERROR(VLOOKUP(P$134+$F147,$D$135:$D$165,1,FALSE)),0,O15*$C$2),MAX((IF(Monthly!L$4=TRUE,Monthly!L$13,Monthly!L$14)*(1+'Attrition Modeling'!$N$8)-'IP Attrition'!O$65)/12*'IP Attrition'!O82,0)))</f>
        <v>0</v>
      </c>
      <c r="Q147" s="799">
        <f>IF(EOMONTH(Inputs!$C$8,'IP Attrition'!Q$134-1)&lt;=Inputs!$C$9,0,MIN(IF(ISERROR(VLOOKUP(Q$134+$F147,$D$135:$D$165,1,FALSE)),0,P15*$C$2),MAX((IF(Monthly!M$4=TRUE,Monthly!M$13,Monthly!M$14)*(1+'Attrition Modeling'!$N$8)-'IP Attrition'!P$65)/12*'IP Attrition'!P82,0)))</f>
        <v>0</v>
      </c>
      <c r="R147" s="799">
        <f>IF(EOMONTH(Inputs!$C$8,'IP Attrition'!R$134-1)&lt;=Inputs!$C$9,0,MIN(IF(ISERROR(VLOOKUP(R$134+$F147,$D$135:$D$165,1,FALSE)),0,Q15*$C$2),MAX((IF(Monthly!N$4=TRUE,Monthly!N$13,Monthly!N$14)*(1+'Attrition Modeling'!$N$8)-'IP Attrition'!Q$65)/12*'IP Attrition'!Q82,0)))</f>
        <v>0</v>
      </c>
      <c r="S147" s="799">
        <f>IF(EOMONTH(Inputs!$C$8,'IP Attrition'!S$134-1)&lt;=Inputs!$C$9,0,MIN(IF(ISERROR(VLOOKUP(S$134+$F147,$D$135:$D$165,1,FALSE)),0,R15*$C$2),MAX((IF(Monthly!O$4=TRUE,Monthly!O$13,Monthly!O$14)*(1+'Attrition Modeling'!$N$8)-'IP Attrition'!R$65)/12*'IP Attrition'!R82,0)))</f>
        <v>0</v>
      </c>
      <c r="T147" s="799">
        <f>IF(EOMONTH(Inputs!$C$8,'IP Attrition'!T$134-1)&lt;=Inputs!$C$9,0,MIN(IF(ISERROR(VLOOKUP(T$134+$F147,$D$135:$D$165,1,FALSE)),0,S15*$C$2),MAX((IF(Monthly!P$4=TRUE,Monthly!P$13,Monthly!P$14)*(1+'Attrition Modeling'!$N$8)-'IP Attrition'!S$65)/12*'IP Attrition'!S82,0)))</f>
        <v>0</v>
      </c>
      <c r="U147" s="799">
        <f>IF(EOMONTH(Inputs!$C$8,'IP Attrition'!U$134-1)&lt;=Inputs!$C$9,0,MIN(IF(ISERROR(VLOOKUP(U$134+$F147,$D$135:$D$165,1,FALSE)),0,T15*$C$2),MAX((IF(Monthly!Q$4=TRUE,Monthly!Q$13,Monthly!Q$14)*(1+'Attrition Modeling'!$N$8)-'IP Attrition'!T$65)/12*'IP Attrition'!T82,0)))</f>
        <v>0</v>
      </c>
      <c r="V147" s="799">
        <f>IF(EOMONTH(Inputs!$C$8,'IP Attrition'!V$134-1)&lt;=Inputs!$C$9,0,MIN(IF(ISERROR(VLOOKUP(V$134+$F147,$D$135:$D$165,1,FALSE)),0,U15*$C$2),MAX((IF(Monthly!R$4=TRUE,Monthly!R$13,Monthly!R$14)*(1+'Attrition Modeling'!$N$8)-'IP Attrition'!U$65)/12*'IP Attrition'!U82,0)))</f>
        <v>0</v>
      </c>
      <c r="W147" s="799">
        <f>IF(EOMONTH(Inputs!$C$8,'IP Attrition'!W$134-1)&lt;=Inputs!$C$9,0,MIN(IF(ISERROR(VLOOKUP(W$134+$F147,$D$135:$D$165,1,FALSE)),0,V15*$C$2),MAX((IF(Monthly!S$4=TRUE,Monthly!S$13,Monthly!S$14)*(1+'Attrition Modeling'!$N$8)-'IP Attrition'!V$65)/12*'IP Attrition'!V82,0)))</f>
        <v>0</v>
      </c>
      <c r="X147" s="799">
        <f>IF(EOMONTH(Inputs!$C$8,'IP Attrition'!X$134-1)&lt;=Inputs!$C$9,0,MIN(IF(ISERROR(VLOOKUP(X$134+$F147,$D$135:$D$165,1,FALSE)),0,W15*$C$2),MAX((IF(Monthly!T$4=TRUE,Monthly!T$13,Monthly!T$14)*(1+'Attrition Modeling'!$N$8)-'IP Attrition'!W$65)/12*'IP Attrition'!W82,0)))</f>
        <v>0</v>
      </c>
      <c r="Y147" s="799">
        <f>IF(EOMONTH(Inputs!$C$8,'IP Attrition'!Y$134-1)&lt;=Inputs!$C$9,0,MIN(IF(ISERROR(VLOOKUP(Y$134+$F147,$D$135:$D$165,1,FALSE)),0,X15*$C$2),MAX((IF(Monthly!U$4=TRUE,Monthly!U$13,Monthly!U$14)*(1+'Attrition Modeling'!$N$8)-'IP Attrition'!X$65)/12*'IP Attrition'!X82,0)))</f>
        <v>0</v>
      </c>
      <c r="Z147" s="799">
        <f>IF(EOMONTH(Inputs!$C$8,'IP Attrition'!Z$134-1)&lt;=Inputs!$C$9,0,MIN(IF(ISERROR(VLOOKUP(Z$134+$F147,$D$135:$D$165,1,FALSE)),0,Y15*$C$2),MAX((IF(Monthly!V$4=TRUE,Monthly!V$13,Monthly!V$14)*(1+'Attrition Modeling'!$N$8)-'IP Attrition'!Y$65)/12*'IP Attrition'!Y82,0)))</f>
        <v>0</v>
      </c>
      <c r="AA147" s="799">
        <f>IF(EOMONTH(Inputs!$C$8,'IP Attrition'!AA$134-1)&lt;=Inputs!$C$9,0,MIN(IF(ISERROR(VLOOKUP(AA$134+$F147,$D$135:$D$165,1,FALSE)),0,Z15*$C$2),MAX((IF(Monthly!W$4=TRUE,Monthly!W$13,Monthly!W$14)*(1+'Attrition Modeling'!$N$8)-'IP Attrition'!Z$65)/12*'IP Attrition'!Z82,0)))</f>
        <v>0</v>
      </c>
      <c r="AB147" s="799">
        <f>IF(EOMONTH(Inputs!$C$8,'IP Attrition'!AB$134-1)&lt;=Inputs!$C$9,0,MIN(IF(ISERROR(VLOOKUP(AB$134+$F147,$D$135:$D$165,1,FALSE)),0,AA15*$C$2),MAX((IF(Monthly!X$4=TRUE,Monthly!X$13,Monthly!X$14)*(1+'Attrition Modeling'!$N$8)-'IP Attrition'!AA$65)/12*'IP Attrition'!AA82,0)))</f>
        <v>0</v>
      </c>
      <c r="AC147" s="799">
        <f>IF(EOMONTH(Inputs!$C$8,'IP Attrition'!AC$134-1)&lt;=Inputs!$C$9,0,MIN(IF(ISERROR(VLOOKUP(AC$134+$F147,$D$135:$D$165,1,FALSE)),0,AB15*$C$2),MAX((IF(Monthly!Y$4=TRUE,Monthly!Y$13,Monthly!Y$14)*(1+'Attrition Modeling'!$N$8)-'IP Attrition'!AB$65)/12*'IP Attrition'!AB82,0)))</f>
        <v>0</v>
      </c>
      <c r="AD147" s="799">
        <f>IF(EOMONTH(Inputs!$C$8,'IP Attrition'!AD$134-1)&lt;=Inputs!$C$9,0,MIN(IF(ISERROR(VLOOKUP(AD$134+$F147,$D$135:$D$165,1,FALSE)),0,AC15*$C$2),MAX((IF(Monthly!Z$4=TRUE,Monthly!Z$13,Monthly!Z$14)*(1+'Attrition Modeling'!$N$8)-'IP Attrition'!AC$65)/12*'IP Attrition'!AC82,0)))</f>
        <v>0</v>
      </c>
      <c r="AE147" s="799">
        <f>IF(EOMONTH(Inputs!$C$8,'IP Attrition'!AE$134-1)&lt;=Inputs!$C$9,0,MIN(IF(ISERROR(VLOOKUP(AE$134+$F147,$D$135:$D$165,1,FALSE)),0,AD15*$C$2),MAX((IF(Monthly!AA$4=TRUE,Monthly!AA$13,Monthly!AA$14)*(1+'Attrition Modeling'!$N$8)-'IP Attrition'!AD$65)/12*'IP Attrition'!AD82,0)))</f>
        <v>0</v>
      </c>
      <c r="AF147" s="799">
        <f>IF(EOMONTH(Inputs!$C$8,'IP Attrition'!AF$134-1)&lt;=Inputs!$C$9,0,MIN(IF(ISERROR(VLOOKUP(AF$134+$F147,$D$135:$D$165,1,FALSE)),0,AE15*$C$2),MAX((IF(Monthly!AB$4=TRUE,Monthly!AB$13,Monthly!AB$14)*(1+'Attrition Modeling'!$N$8)-'IP Attrition'!AE$65)/12*'IP Attrition'!AE82,0)))</f>
        <v>0</v>
      </c>
      <c r="AG147" s="799">
        <f>IF(EOMONTH(Inputs!$C$8,'IP Attrition'!AG$134-1)&lt;=Inputs!$C$9,0,MIN(IF(ISERROR(VLOOKUP(AG$134+$F147,$D$135:$D$165,1,FALSE)),0,AF15*$C$2),MAX((IF(Monthly!AC$4=TRUE,Monthly!AC$13,Monthly!AC$14)*(1+'Attrition Modeling'!$N$8)-'IP Attrition'!AF$65)/12*'IP Attrition'!AF82,0)))</f>
        <v>0</v>
      </c>
      <c r="AH147" s="799">
        <f>IF(EOMONTH(Inputs!$C$8,'IP Attrition'!AH$134-1)&lt;=Inputs!$C$9,0,MIN(IF(ISERROR(VLOOKUP(AH$134+$F147,$D$135:$D$165,1,FALSE)),0,AG15*$C$2),MAX((IF(Monthly!AD$4=TRUE,Monthly!AD$13,Monthly!AD$14)*(1+'Attrition Modeling'!$N$8)-'IP Attrition'!AG$65)/12*'IP Attrition'!AG82,0)))</f>
        <v>0</v>
      </c>
      <c r="AI147" s="799">
        <f>IF(EOMONTH(Inputs!$C$8,'IP Attrition'!AI$134-1)&lt;=Inputs!$C$9,0,MIN(IF(ISERROR(VLOOKUP(AI$134+$F147,$D$135:$D$165,1,FALSE)),0,AH15*$C$2),MAX((IF(Monthly!AE$4=TRUE,Monthly!AE$13,Monthly!AE$14)*(1+'Attrition Modeling'!$N$8)-'IP Attrition'!AH$65)/12*'IP Attrition'!AH82,0)))</f>
        <v>0</v>
      </c>
      <c r="AJ147" s="799">
        <f>IF(EOMONTH(Inputs!$C$8,'IP Attrition'!AJ$134-1)&lt;=Inputs!$C$9,0,MIN(IF(ISERROR(VLOOKUP(AJ$134+$F147,$D$135:$D$165,1,FALSE)),0,AI15*$C$2),MAX((IF(Monthly!AF$4=TRUE,Monthly!AF$13,Monthly!AF$14)*(1+'Attrition Modeling'!$N$8)-'IP Attrition'!AI$65)/12*'IP Attrition'!AI82,0)))</f>
        <v>0</v>
      </c>
      <c r="AK147" s="799">
        <f>IF(EOMONTH(Inputs!$C$8,'IP Attrition'!AK$134-1)&lt;=Inputs!$C$9,0,MIN(IF(ISERROR(VLOOKUP(AK$134+$F147,$D$135:$D$165,1,FALSE)),0,AJ15*$C$2),MAX((IF(Monthly!AG$4=TRUE,Monthly!AG$13,Monthly!AG$14)*(1+'Attrition Modeling'!$N$8)-'IP Attrition'!AJ$65)/12*'IP Attrition'!AJ82,0)))</f>
        <v>0</v>
      </c>
      <c r="AL147" s="799">
        <f>IF(EOMONTH(Inputs!$C$8,'IP Attrition'!AL$134-1)&lt;=Inputs!$C$9,0,MIN(IF(ISERROR(VLOOKUP(AL$134+$F147,$D$135:$D$165,1,FALSE)),0,AK15*$C$2),MAX((IF(Monthly!AH$4=TRUE,Monthly!AH$13,Monthly!AH$14)*(1+'Attrition Modeling'!$N$8)-'IP Attrition'!AK$65)/12*'IP Attrition'!AK82,0)))</f>
        <v>0</v>
      </c>
      <c r="AM147" s="799">
        <f>IF(EOMONTH(Inputs!$C$8,'IP Attrition'!AM$134-1)&lt;=Inputs!$C$9,0,MIN(IF(ISERROR(VLOOKUP(AM$134+$F147,$D$135:$D$165,1,FALSE)),0,AL15*$C$2),MAX((IF(Monthly!AI$4=TRUE,Monthly!AI$13,Monthly!AI$14)*(1+'Attrition Modeling'!$N$8)-'IP Attrition'!AL$65)/12*'IP Attrition'!AL82,0)))</f>
        <v>0</v>
      </c>
      <c r="AN147" s="799">
        <f>IF(EOMONTH(Inputs!$C$8,'IP Attrition'!AN$134-1)&lt;=Inputs!$C$9,0,MIN(IF(ISERROR(VLOOKUP(AN$134+$F147,$D$135:$D$165,1,FALSE)),0,AM15*$C$2),MAX((IF(Monthly!AJ$4=TRUE,Monthly!AJ$13,Monthly!AJ$14)*(1+'Attrition Modeling'!$N$8)-'IP Attrition'!AM$65)/12*'IP Attrition'!AM82,0)))</f>
        <v>0</v>
      </c>
      <c r="AO147" s="799">
        <f>IF(EOMONTH(Inputs!$C$8,'IP Attrition'!AO$134-1)&lt;=Inputs!$C$9,0,MIN(IF(ISERROR(VLOOKUP(AO$134+$F147,$D$135:$D$165,1,FALSE)),0,AN15*$C$2),MAX((IF(Monthly!AK$4=TRUE,Monthly!AK$13,Monthly!AK$14)*(1+'Attrition Modeling'!$N$8)-'IP Attrition'!AN$65)/12*'IP Attrition'!AN82,0)))</f>
        <v>0</v>
      </c>
      <c r="AP147" s="799">
        <f>IF(EOMONTH(Inputs!$C$8,'IP Attrition'!AP$134-1)&lt;=Inputs!$C$9,0,MIN(IF(ISERROR(VLOOKUP(AP$134+$F147,$D$135:$D$165,1,FALSE)),0,AO15*$C$2),MAX((IF(Monthly!AL$4=TRUE,Monthly!AL$13,Monthly!AL$14)*(1+'Attrition Modeling'!$N$8)-'IP Attrition'!AO$65)/12*'IP Attrition'!AO82,0)))</f>
        <v>0</v>
      </c>
      <c r="AQ147" s="799">
        <f>IF(EOMONTH(Inputs!$C$8,'IP Attrition'!AQ$134-1)&lt;=Inputs!$C$9,0,MIN(IF(ISERROR(VLOOKUP(AQ$134+$F147,$D$135:$D$165,1,FALSE)),0,AP15*$C$2),MAX((IF(Monthly!AM$4=TRUE,Monthly!AM$13,Monthly!AM$14)*(1+'Attrition Modeling'!$N$8)-'IP Attrition'!AP$65)/12*'IP Attrition'!AP82,0)))</f>
        <v>0</v>
      </c>
      <c r="AR147" s="799">
        <f>IF(EOMONTH(Inputs!$C$8,'IP Attrition'!AR$134-1)&lt;=Inputs!$C$9,0,MIN(IF(ISERROR(VLOOKUP(AR$134+$F147,$D$135:$D$165,1,FALSE)),0,AQ15*$C$2),MAX((IF(Monthly!AN$4=TRUE,Monthly!AN$13,Monthly!AN$14)*(1+'Attrition Modeling'!$N$8)-'IP Attrition'!AQ$65)/12*'IP Attrition'!AQ82,0)))</f>
        <v>0</v>
      </c>
      <c r="AS147" s="799">
        <f>IF(EOMONTH(Inputs!$C$8,'IP Attrition'!AS$134-1)&lt;=Inputs!$C$9,0,MIN(IF(ISERROR(VLOOKUP(AS$134+$F147,$D$135:$D$165,1,FALSE)),0,AR15*$C$2),MAX((IF(Monthly!AO$4=TRUE,Monthly!AO$13,Monthly!AO$14)*(1+'Attrition Modeling'!$N$8)-'IP Attrition'!AR$65)/12*'IP Attrition'!AR82,0)))</f>
        <v>0</v>
      </c>
      <c r="AT147" s="799">
        <f>IF(EOMONTH(Inputs!$C$8,'IP Attrition'!AT$134-1)&lt;=Inputs!$C$9,0,MIN(IF(ISERROR(VLOOKUP(AT$134+$F147,$D$135:$D$165,1,FALSE)),0,AS15*$C$2),MAX((IF(Monthly!AP$4=TRUE,Monthly!AP$13,Monthly!AP$14)*(1+'Attrition Modeling'!$N$8)-'IP Attrition'!AS$65)/12*'IP Attrition'!AS82,0)))</f>
        <v>0</v>
      </c>
      <c r="AU147" s="799">
        <f>IF(EOMONTH(Inputs!$C$8,'IP Attrition'!AU$134-1)&lt;=Inputs!$C$9,0,MIN(IF(ISERROR(VLOOKUP(AU$134+$F147,$D$135:$D$165,1,FALSE)),0,AT15*$C$2),MAX((IF(Monthly!AQ$4=TRUE,Monthly!AQ$13,Monthly!AQ$14)*(1+'Attrition Modeling'!$N$8)-'IP Attrition'!AT$65)/12*'IP Attrition'!AT82,0)))</f>
        <v>0</v>
      </c>
      <c r="AV147" s="799">
        <f>IF(EOMONTH(Inputs!$C$8,'IP Attrition'!AV$134-1)&lt;=Inputs!$C$9,0,MIN(IF(ISERROR(VLOOKUP(AV$134+$F147,$D$135:$D$165,1,FALSE)),0,AU15*$C$2),MAX((IF(Monthly!AR$4=TRUE,Monthly!AR$13,Monthly!AR$14)*(1+'Attrition Modeling'!$N$8)-'IP Attrition'!AU$65)/12*'IP Attrition'!AU82,0)))</f>
        <v>0</v>
      </c>
      <c r="AW147" s="799">
        <f>IF(EOMONTH(Inputs!$C$8,'IP Attrition'!AW$134-1)&lt;=Inputs!$C$9,0,MIN(IF(ISERROR(VLOOKUP(AW$134+$F147,$D$135:$D$165,1,FALSE)),0,AV15*$C$2),MAX((IF(Monthly!AS$4=TRUE,Monthly!AS$13,Monthly!AS$14)*(1+'Attrition Modeling'!$N$8)-'IP Attrition'!AV$65)/12*'IP Attrition'!AV82,0)))</f>
        <v>0</v>
      </c>
      <c r="AX147" s="799">
        <f>IF(EOMONTH(Inputs!$C$8,'IP Attrition'!AX$134-1)&lt;=Inputs!$C$9,0,MIN(IF(ISERROR(VLOOKUP(AX$134+$F147,$D$135:$D$165,1,FALSE)),0,AW15*$C$2),MAX((IF(Monthly!AT$4=TRUE,Monthly!AT$13,Monthly!AT$14)*(1+'Attrition Modeling'!$N$8)-'IP Attrition'!AW$65)/12*'IP Attrition'!AW82,0)))</f>
        <v>0</v>
      </c>
      <c r="AY147" s="799">
        <f>IF(EOMONTH(Inputs!$C$8,'IP Attrition'!AY$134-1)&lt;=Inputs!$C$9,0,MIN(IF(ISERROR(VLOOKUP(AY$134+$F147,$D$135:$D$165,1,FALSE)),0,AX15*$C$2),MAX((IF(Monthly!AU$4=TRUE,Monthly!AU$13,Monthly!AU$14)*(1+'Attrition Modeling'!$N$8)-'IP Attrition'!AX$65)/12*'IP Attrition'!AX82,0)))</f>
        <v>0</v>
      </c>
      <c r="AZ147" s="799">
        <f>IF(EOMONTH(Inputs!$C$8,'IP Attrition'!AZ$134-1)&lt;=Inputs!$C$9,0,MIN(IF(ISERROR(VLOOKUP(AZ$134+$F147,$D$135:$D$165,1,FALSE)),0,AY15*$C$2),MAX((IF(Monthly!AV$4=TRUE,Monthly!AV$13,Monthly!AV$14)*(1+'Attrition Modeling'!$N$8)-'IP Attrition'!AY$65)/12*'IP Attrition'!AY82,0)))</f>
        <v>0</v>
      </c>
      <c r="BA147" s="799">
        <f>IF(EOMONTH(Inputs!$C$8,'IP Attrition'!BA$134-1)&lt;=Inputs!$C$9,0,MIN(IF(ISERROR(VLOOKUP(BA$134+$F147,$D$135:$D$165,1,FALSE)),0,AZ15*$C$2),MAX((IF(Monthly!AW$4=TRUE,Monthly!AW$13,Monthly!AW$14)*(1+'Attrition Modeling'!$N$8)-'IP Attrition'!AZ$65)/12*'IP Attrition'!AZ82,0)))</f>
        <v>0</v>
      </c>
      <c r="BB147" s="799">
        <f>IF(EOMONTH(Inputs!$C$8,'IP Attrition'!BB$134-1)&lt;=Inputs!$C$9,0,MIN(IF(ISERROR(VLOOKUP(BB$134+$F147,$D$135:$D$165,1,FALSE)),0,BA15*$C$2),MAX((IF(Monthly!AX$4=TRUE,Monthly!AX$13,Monthly!AX$14)*(1+'Attrition Modeling'!$N$8)-'IP Attrition'!BA$65)/12*'IP Attrition'!BA82,0)))</f>
        <v>0</v>
      </c>
      <c r="BC147" s="799">
        <f>IF(EOMONTH(Inputs!$C$8,'IP Attrition'!BC$134-1)&lt;=Inputs!$C$9,0,MIN(IF(ISERROR(VLOOKUP(BC$134+$F147,$D$135:$D$165,1,FALSE)),0,BB15*$C$2),MAX((IF(Monthly!AY$4=TRUE,Monthly!AY$13,Monthly!AY$14)*(1+'Attrition Modeling'!$N$8)-'IP Attrition'!BB$65)/12*'IP Attrition'!BB82,0)))</f>
        <v>0</v>
      </c>
      <c r="BD147" s="799">
        <f>IF(EOMONTH(Inputs!$C$8,'IP Attrition'!BD$134-1)&lt;=Inputs!$C$9,0,MIN(IF(ISERROR(VLOOKUP(BD$134+$F147,$D$135:$D$165,1,FALSE)),0,BC15*$C$2),MAX((IF(Monthly!AZ$4=TRUE,Monthly!AZ$13,Monthly!AZ$14)*(1+'Attrition Modeling'!$N$8)-'IP Attrition'!BC$65)/12*'IP Attrition'!BC82,0)))</f>
        <v>0</v>
      </c>
      <c r="BE147" s="799">
        <f>IF(EOMONTH(Inputs!$C$8,'IP Attrition'!BE$134-1)&lt;=Inputs!$C$9,0,MIN(IF(ISERROR(VLOOKUP(BE$134+$F147,$D$135:$D$165,1,FALSE)),0,BD15*$C$2),MAX((IF(Monthly!BA$4=TRUE,Monthly!BA$13,Monthly!BA$14)*(1+'Attrition Modeling'!$N$8)-'IP Attrition'!BD$65)/12*'IP Attrition'!BD82,0)))</f>
        <v>0</v>
      </c>
      <c r="BF147" s="799">
        <f>IF(EOMONTH(Inputs!$C$8,'IP Attrition'!BF$134-1)&lt;=Inputs!$C$9,0,MIN(IF(ISERROR(VLOOKUP(BF$134+$F147,$D$135:$D$165,1,FALSE)),0,BE15*$C$2),MAX((IF(Monthly!BB$4=TRUE,Monthly!BB$13,Monthly!BB$14)*(1+'Attrition Modeling'!$N$8)-'IP Attrition'!BE$65)/12*'IP Attrition'!BE82,0)))</f>
        <v>0</v>
      </c>
      <c r="BG147" s="799">
        <f>IF(EOMONTH(Inputs!$C$8,'IP Attrition'!BG$134-1)&lt;=Inputs!$C$9,0,MIN(IF(ISERROR(VLOOKUP(BG$134+$F147,$D$135:$D$165,1,FALSE)),0,BF15*$C$2),MAX((IF(Monthly!BC$4=TRUE,Monthly!BC$13,Monthly!BC$14)*(1+'Attrition Modeling'!$N$8)-'IP Attrition'!BF$65)/12*'IP Attrition'!BF82,0)))</f>
        <v>0</v>
      </c>
      <c r="BH147" s="799">
        <f>IF(EOMONTH(Inputs!$C$8,'IP Attrition'!BH$134-1)&lt;=Inputs!$C$9,0,MIN(IF(ISERROR(VLOOKUP(BH$134+$F147,$D$135:$D$165,1,FALSE)),0,BG15*$C$2),MAX((IF(Monthly!BD$4=TRUE,Monthly!BD$13,Monthly!BD$14)*(1+'Attrition Modeling'!$N$8)-'IP Attrition'!BG$65)/12*'IP Attrition'!BG82,0)))</f>
        <v>0</v>
      </c>
      <c r="BI147" s="799">
        <f>IF(EOMONTH(Inputs!$C$8,'IP Attrition'!BI$134-1)&lt;=Inputs!$C$9,0,MIN(IF(ISERROR(VLOOKUP(BI$134+$F147,$D$135:$D$165,1,FALSE)),0,BH15*$C$2),MAX((IF(Monthly!BE$4=TRUE,Monthly!BE$13,Monthly!BE$14)*(1+'Attrition Modeling'!$N$8)-'IP Attrition'!BH$65)/12*'IP Attrition'!BH82,0)))</f>
        <v>0</v>
      </c>
      <c r="BJ147" s="799">
        <f>IF(EOMONTH(Inputs!$C$8,'IP Attrition'!BJ$134-1)&lt;=Inputs!$C$9,0,MIN(IF(ISERROR(VLOOKUP(BJ$134+$F147,$D$135:$D$165,1,FALSE)),0,BI15*$C$2),MAX((IF(Monthly!BF$4=TRUE,Monthly!BF$13,Monthly!BF$14)*(1+'Attrition Modeling'!$N$8)-'IP Attrition'!BI$65)/12*'IP Attrition'!BI82,0)))</f>
        <v>0</v>
      </c>
      <c r="BK147" s="799">
        <f>IF(EOMONTH(Inputs!$C$8,'IP Attrition'!BK$134-1)&lt;=Inputs!$C$9,0,MIN(IF(ISERROR(VLOOKUP(BK$134+$F147,$D$135:$D$165,1,FALSE)),0,BJ15*$C$2),MAX((IF(Monthly!BG$4=TRUE,Monthly!BG$13,Monthly!BG$14)*(1+'Attrition Modeling'!$N$8)-'IP Attrition'!BJ$65)/12*'IP Attrition'!BJ82,0)))</f>
        <v>0</v>
      </c>
      <c r="BL147" s="799">
        <f>IF(EOMONTH(Inputs!$C$8,'IP Attrition'!BL$134-1)&lt;=Inputs!$C$9,0,MIN(IF(ISERROR(VLOOKUP(BL$134+$F147,$D$135:$D$165,1,FALSE)),0,BK15*$C$2),MAX((IF(Monthly!BH$4=TRUE,Monthly!BH$13,Monthly!BH$14)*(1+'Attrition Modeling'!$N$8)-'IP Attrition'!BK$65)/12*'IP Attrition'!BK82,0)))</f>
        <v>0</v>
      </c>
      <c r="BM147" s="799">
        <f>IF(EOMONTH(Inputs!$C$8,'IP Attrition'!BM$134-1)&lt;=Inputs!$C$9,0,MIN(IF(ISERROR(VLOOKUP(BM$134+$F147,$D$135:$D$165,1,FALSE)),0,BL15*$C$2),MAX((IF(Monthly!BI$4=TRUE,Monthly!BI$13,Monthly!BI$14)*(1+'Attrition Modeling'!$N$8)-'IP Attrition'!BL$65)/12*'IP Attrition'!BL82,0)))</f>
        <v>0</v>
      </c>
      <c r="BN147" s="799">
        <f>IF(EOMONTH(Inputs!$C$8,'IP Attrition'!BN$134-1)&lt;=Inputs!$C$9,0,MIN(IF(ISERROR(VLOOKUP(BN$134+$F147,$D$135:$D$165,1,FALSE)),0,BM15*$C$2),MAX((IF(Monthly!BJ$4=TRUE,Monthly!BJ$13,Monthly!BJ$14)*(1+'Attrition Modeling'!$N$8)-'IP Attrition'!BM$65)/12*'IP Attrition'!BM82,0)))</f>
        <v>0</v>
      </c>
      <c r="BO147" s="799">
        <f>IF(EOMONTH(Inputs!$C$8,'IP Attrition'!BO$134-1)&lt;=Inputs!$C$9,0,MIN(IF(ISERROR(VLOOKUP(BO$134+$F147,$D$135:$D$165,1,FALSE)),0,BN15*$C$2),MAX((IF(Monthly!BK$4=TRUE,Monthly!BK$13,Monthly!BK$14)*(1+'Attrition Modeling'!$N$8)-'IP Attrition'!BN$65)/12*'IP Attrition'!BN82,0)))</f>
        <v>0</v>
      </c>
      <c r="BP147" s="799">
        <f>IF(EOMONTH(Inputs!$C$8,'IP Attrition'!BP$134-1)&lt;=Inputs!$C$9,0,MIN(IF(ISERROR(VLOOKUP(BP$134+$F147,$D$135:$D$165,1,FALSE)),0,BO15*$C$2),MAX((IF(Monthly!BL$4=TRUE,Monthly!BL$13,Monthly!BL$14)*(1+'Attrition Modeling'!$N$8)-'IP Attrition'!BO$65)/12*'IP Attrition'!BO82,0)))</f>
        <v>0</v>
      </c>
      <c r="BQ147" s="799">
        <f>IF(EOMONTH(Inputs!$C$8,'IP Attrition'!BQ$134-1)&lt;=Inputs!$C$9,0,MIN(IF(ISERROR(VLOOKUP(BQ$134+$F147,$D$135:$D$165,1,FALSE)),0,BP15*$C$2),MAX((IF(Monthly!BM$4=TRUE,Monthly!BM$13,Monthly!BM$14)*(1+'Attrition Modeling'!$N$8)-'IP Attrition'!BP$65)/12*'IP Attrition'!BP82,0)))</f>
        <v>0</v>
      </c>
      <c r="BR147" s="799">
        <f>IF(EOMONTH(Inputs!$C$8,'IP Attrition'!BR$134-1)&lt;=Inputs!$C$9,0,MIN(IF(ISERROR(VLOOKUP(BR$134+$F147,$D$135:$D$165,1,FALSE)),0,BQ15*$C$2),MAX((IF(Monthly!BN$4=TRUE,Monthly!BN$13,Monthly!BN$14)*(1+'Attrition Modeling'!$N$8)-'IP Attrition'!BQ$65)/12*'IP Attrition'!BQ82,0)))</f>
        <v>0</v>
      </c>
      <c r="BS147" s="799">
        <f>IF(EOMONTH(Inputs!$C$8,'IP Attrition'!BS$134-1)&lt;=Inputs!$C$9,0,MIN(IF(ISERROR(VLOOKUP(BS$134+$F147,$D$135:$D$165,1,FALSE)),0,BR15*$C$2),MAX((IF(Monthly!BO$4=TRUE,Monthly!BO$13,Monthly!BO$14)*(1+'Attrition Modeling'!$N$8)-'IP Attrition'!BR$65)/12*'IP Attrition'!BR82,0)))</f>
        <v>0</v>
      </c>
      <c r="BT147" s="799" t="e">
        <f>IF(EOMONTH(Inputs!$C$8,'IP Attrition'!BT$134-1)&lt;=Inputs!$C$9,0,MIN(IF(ISERROR(VLOOKUP(BT$134+$F147,$D$135:$D$165,1,FALSE)),0,BS15*$C$2),MAX((IF(Monthly!#REF!=TRUE,Monthly!#REF!,Monthly!#REF!)*(1+'Attrition Modeling'!$N$8)-'IP Attrition'!BS$65)/12*'IP Attrition'!BS82,0)))</f>
        <v>#REF!</v>
      </c>
      <c r="BU147" s="799" t="e">
        <f>IF(EOMONTH(Inputs!$C$8,'IP Attrition'!BU$134-1)&lt;=Inputs!$C$9,0,MIN(IF(ISERROR(VLOOKUP(BU$134+$F147,$D$135:$D$165,1,FALSE)),0,BT15*$C$2),MAX((IF(Monthly!#REF!=TRUE,Monthly!#REF!,Monthly!#REF!)*(1+'Attrition Modeling'!$N$8)-'IP Attrition'!BT$65)/12*'IP Attrition'!BT82,0)))</f>
        <v>#REF!</v>
      </c>
    </row>
    <row r="148" spans="1:73" ht="14.25" customHeight="1" x14ac:dyDescent="0.2">
      <c r="A148" s="9">
        <v>141</v>
      </c>
      <c r="B148" s="25">
        <f>MAX('Attrition Modeling'!H145,$C$3)*(1-Summary!$C$20)</f>
        <v>0.02</v>
      </c>
      <c r="C148" s="24" t="e">
        <f t="shared" si="3"/>
        <v>#DIV/0!</v>
      </c>
      <c r="D148" s="11">
        <f t="shared" si="72"/>
        <v>162</v>
      </c>
      <c r="E148" s="25">
        <f t="shared" si="71"/>
        <v>0</v>
      </c>
      <c r="F148" s="11">
        <f t="shared" si="73"/>
        <v>13</v>
      </c>
      <c r="G148" s="799"/>
      <c r="H148" s="799">
        <f>IF(EOMONTH(Inputs!$C$8,'IP Attrition'!H$134-1)&lt;=Inputs!$C$9,0,MIN(IF(ISERROR(VLOOKUP(H$134+$F148,$D$135:$D$165,1,FALSE)),0,G16*$C$2),MAX((IF(Monthly!D$4=TRUE,Monthly!D$13,Monthly!D$14)*(1+'Attrition Modeling'!$N$8)-'IP Attrition'!G$65)/12*'IP Attrition'!G83,0)))</f>
        <v>0</v>
      </c>
      <c r="I148" s="799">
        <f>IF(EOMONTH(Inputs!$C$8,'IP Attrition'!I$134-1)&lt;=Inputs!$C$9,0,MIN(IF(ISERROR(VLOOKUP(I$134+$F148,$D$135:$D$165,1,FALSE)),0,H16*$C$2),MAX((IF(Monthly!E$4=TRUE,Monthly!E$13,Monthly!E$14)*(1+'Attrition Modeling'!$N$8)-'IP Attrition'!H$65)/12*'IP Attrition'!H83,0)))</f>
        <v>0</v>
      </c>
      <c r="J148" s="799">
        <f>IF(EOMONTH(Inputs!$C$8,'IP Attrition'!J$134-1)&lt;=Inputs!$C$9,0,MIN(IF(ISERROR(VLOOKUP(J$134+$F148,$D$135:$D$165,1,FALSE)),0,I16*$C$2),MAX((IF(Monthly!F$4=TRUE,Monthly!F$13,Monthly!F$14)*(1+'Attrition Modeling'!$N$8)-'IP Attrition'!I$65)/12*'IP Attrition'!I83,0)))</f>
        <v>0</v>
      </c>
      <c r="K148" s="799">
        <f>IF(EOMONTH(Inputs!$C$8,'IP Attrition'!K$134-1)&lt;=Inputs!$C$9,0,MIN(IF(ISERROR(VLOOKUP(K$134+$F148,$D$135:$D$165,1,FALSE)),0,J16*$C$2),MAX((IF(Monthly!G$4=TRUE,Monthly!G$13,Monthly!G$14)*(1+'Attrition Modeling'!$N$8)-'IP Attrition'!J$65)/12*'IP Attrition'!J83,0)))</f>
        <v>0</v>
      </c>
      <c r="L148" s="799">
        <f>IF(EOMONTH(Inputs!$C$8,'IP Attrition'!L$134-1)&lt;=Inputs!$C$9,0,MIN(IF(ISERROR(VLOOKUP(L$134+$F148,$D$135:$D$165,1,FALSE)),0,K16*$C$2),MAX((IF(Monthly!H$4=TRUE,Monthly!H$13,Monthly!H$14)*(1+'Attrition Modeling'!$N$8)-'IP Attrition'!K$65)/12*'IP Attrition'!K83,0)))</f>
        <v>0</v>
      </c>
      <c r="M148" s="799">
        <f>IF(EOMONTH(Inputs!$C$8,'IP Attrition'!M$134-1)&lt;=Inputs!$C$9,0,MIN(IF(ISERROR(VLOOKUP(M$134+$F148,$D$135:$D$165,1,FALSE)),0,L16*$C$2),MAX((IF(Monthly!I$4=TRUE,Monthly!I$13,Monthly!I$14)*(1+'Attrition Modeling'!$N$8)-'IP Attrition'!L$65)/12*'IP Attrition'!L83,0)))</f>
        <v>0</v>
      </c>
      <c r="N148" s="799">
        <f>IF(EOMONTH(Inputs!$C$8,'IP Attrition'!N$134-1)&lt;=Inputs!$C$9,0,MIN(IF(ISERROR(VLOOKUP(N$134+$F148,$D$135:$D$165,1,FALSE)),0,M16*$C$2),MAX((IF(Monthly!J$4=TRUE,Monthly!J$13,Monthly!J$14)*(1+'Attrition Modeling'!$N$8)-'IP Attrition'!M$65)/12*'IP Attrition'!M83,0)))</f>
        <v>0</v>
      </c>
      <c r="O148" s="799">
        <f>IF(EOMONTH(Inputs!$C$8,'IP Attrition'!O$134-1)&lt;=Inputs!$C$9,0,MIN(IF(ISERROR(VLOOKUP(O$134+$F148,$D$135:$D$165,1,FALSE)),0,N16*$C$2),MAX((IF(Monthly!K$4=TRUE,Monthly!K$13,Monthly!K$14)*(1+'Attrition Modeling'!$N$8)-'IP Attrition'!N$65)/12*'IP Attrition'!N83,0)))</f>
        <v>0</v>
      </c>
      <c r="P148" s="799">
        <f>IF(EOMONTH(Inputs!$C$8,'IP Attrition'!P$134-1)&lt;=Inputs!$C$9,0,MIN(IF(ISERROR(VLOOKUP(P$134+$F148,$D$135:$D$165,1,FALSE)),0,O16*$C$2),MAX((IF(Monthly!L$4=TRUE,Monthly!L$13,Monthly!L$14)*(1+'Attrition Modeling'!$N$8)-'IP Attrition'!O$65)/12*'IP Attrition'!O83,0)))</f>
        <v>0</v>
      </c>
      <c r="Q148" s="799">
        <f>IF(EOMONTH(Inputs!$C$8,'IP Attrition'!Q$134-1)&lt;=Inputs!$C$9,0,MIN(IF(ISERROR(VLOOKUP(Q$134+$F148,$D$135:$D$165,1,FALSE)),0,P16*$C$2),MAX((IF(Monthly!M$4=TRUE,Monthly!M$13,Monthly!M$14)*(1+'Attrition Modeling'!$N$8)-'IP Attrition'!P$65)/12*'IP Attrition'!P83,0)))</f>
        <v>0</v>
      </c>
      <c r="R148" s="799">
        <f>IF(EOMONTH(Inputs!$C$8,'IP Attrition'!R$134-1)&lt;=Inputs!$C$9,0,MIN(IF(ISERROR(VLOOKUP(R$134+$F148,$D$135:$D$165,1,FALSE)),0,Q16*$C$2),MAX((IF(Monthly!N$4=TRUE,Monthly!N$13,Monthly!N$14)*(1+'Attrition Modeling'!$N$8)-'IP Attrition'!Q$65)/12*'IP Attrition'!Q83,0)))</f>
        <v>0</v>
      </c>
      <c r="S148" s="799">
        <f>IF(EOMONTH(Inputs!$C$8,'IP Attrition'!S$134-1)&lt;=Inputs!$C$9,0,MIN(IF(ISERROR(VLOOKUP(S$134+$F148,$D$135:$D$165,1,FALSE)),0,R16*$C$2),MAX((IF(Monthly!O$4=TRUE,Monthly!O$13,Monthly!O$14)*(1+'Attrition Modeling'!$N$8)-'IP Attrition'!R$65)/12*'IP Attrition'!R83,0)))</f>
        <v>0</v>
      </c>
      <c r="T148" s="799">
        <f>IF(EOMONTH(Inputs!$C$8,'IP Attrition'!T$134-1)&lt;=Inputs!$C$9,0,MIN(IF(ISERROR(VLOOKUP(T$134+$F148,$D$135:$D$165,1,FALSE)),0,S16*$C$2),MAX((IF(Monthly!P$4=TRUE,Monthly!P$13,Monthly!P$14)*(1+'Attrition Modeling'!$N$8)-'IP Attrition'!S$65)/12*'IP Attrition'!S83,0)))</f>
        <v>0</v>
      </c>
      <c r="U148" s="799">
        <f>IF(EOMONTH(Inputs!$C$8,'IP Attrition'!U$134-1)&lt;=Inputs!$C$9,0,MIN(IF(ISERROR(VLOOKUP(U$134+$F148,$D$135:$D$165,1,FALSE)),0,T16*$C$2),MAX((IF(Monthly!Q$4=TRUE,Monthly!Q$13,Monthly!Q$14)*(1+'Attrition Modeling'!$N$8)-'IP Attrition'!T$65)/12*'IP Attrition'!T83,0)))</f>
        <v>0</v>
      </c>
      <c r="V148" s="799">
        <f>IF(EOMONTH(Inputs!$C$8,'IP Attrition'!V$134-1)&lt;=Inputs!$C$9,0,MIN(IF(ISERROR(VLOOKUP(V$134+$F148,$D$135:$D$165,1,FALSE)),0,U16*$C$2),MAX((IF(Monthly!R$4=TRUE,Monthly!R$13,Monthly!R$14)*(1+'Attrition Modeling'!$N$8)-'IP Attrition'!U$65)/12*'IP Attrition'!U83,0)))</f>
        <v>0</v>
      </c>
      <c r="W148" s="799">
        <f>IF(EOMONTH(Inputs!$C$8,'IP Attrition'!W$134-1)&lt;=Inputs!$C$9,0,MIN(IF(ISERROR(VLOOKUP(W$134+$F148,$D$135:$D$165,1,FALSE)),0,V16*$C$2),MAX((IF(Monthly!S$4=TRUE,Monthly!S$13,Monthly!S$14)*(1+'Attrition Modeling'!$N$8)-'IP Attrition'!V$65)/12*'IP Attrition'!V83,0)))</f>
        <v>0</v>
      </c>
      <c r="X148" s="799">
        <f>IF(EOMONTH(Inputs!$C$8,'IP Attrition'!X$134-1)&lt;=Inputs!$C$9,0,MIN(IF(ISERROR(VLOOKUP(X$134+$F148,$D$135:$D$165,1,FALSE)),0,W16*$C$2),MAX((IF(Monthly!T$4=TRUE,Monthly!T$13,Monthly!T$14)*(1+'Attrition Modeling'!$N$8)-'IP Attrition'!W$65)/12*'IP Attrition'!W83,0)))</f>
        <v>0</v>
      </c>
      <c r="Y148" s="799">
        <f>IF(EOMONTH(Inputs!$C$8,'IP Attrition'!Y$134-1)&lt;=Inputs!$C$9,0,MIN(IF(ISERROR(VLOOKUP(Y$134+$F148,$D$135:$D$165,1,FALSE)),0,X16*$C$2),MAX((IF(Monthly!U$4=TRUE,Monthly!U$13,Monthly!U$14)*(1+'Attrition Modeling'!$N$8)-'IP Attrition'!X$65)/12*'IP Attrition'!X83,0)))</f>
        <v>0</v>
      </c>
      <c r="Z148" s="799">
        <f>IF(EOMONTH(Inputs!$C$8,'IP Attrition'!Z$134-1)&lt;=Inputs!$C$9,0,MIN(IF(ISERROR(VLOOKUP(Z$134+$F148,$D$135:$D$165,1,FALSE)),0,Y16*$C$2),MAX((IF(Monthly!V$4=TRUE,Monthly!V$13,Monthly!V$14)*(1+'Attrition Modeling'!$N$8)-'IP Attrition'!Y$65)/12*'IP Attrition'!Y83,0)))</f>
        <v>0</v>
      </c>
      <c r="AA148" s="799">
        <f>IF(EOMONTH(Inputs!$C$8,'IP Attrition'!AA$134-1)&lt;=Inputs!$C$9,0,MIN(IF(ISERROR(VLOOKUP(AA$134+$F148,$D$135:$D$165,1,FALSE)),0,Z16*$C$2),MAX((IF(Monthly!W$4=TRUE,Monthly!W$13,Monthly!W$14)*(1+'Attrition Modeling'!$N$8)-'IP Attrition'!Z$65)/12*'IP Attrition'!Z83,0)))</f>
        <v>0</v>
      </c>
      <c r="AB148" s="799">
        <f>IF(EOMONTH(Inputs!$C$8,'IP Attrition'!AB$134-1)&lt;=Inputs!$C$9,0,MIN(IF(ISERROR(VLOOKUP(AB$134+$F148,$D$135:$D$165,1,FALSE)),0,AA16*$C$2),MAX((IF(Monthly!X$4=TRUE,Monthly!X$13,Monthly!X$14)*(1+'Attrition Modeling'!$N$8)-'IP Attrition'!AA$65)/12*'IP Attrition'!AA83,0)))</f>
        <v>0</v>
      </c>
      <c r="AC148" s="799">
        <f>IF(EOMONTH(Inputs!$C$8,'IP Attrition'!AC$134-1)&lt;=Inputs!$C$9,0,MIN(IF(ISERROR(VLOOKUP(AC$134+$F148,$D$135:$D$165,1,FALSE)),0,AB16*$C$2),MAX((IF(Monthly!Y$4=TRUE,Monthly!Y$13,Monthly!Y$14)*(1+'Attrition Modeling'!$N$8)-'IP Attrition'!AB$65)/12*'IP Attrition'!AB83,0)))</f>
        <v>0</v>
      </c>
      <c r="AD148" s="799">
        <f>IF(EOMONTH(Inputs!$C$8,'IP Attrition'!AD$134-1)&lt;=Inputs!$C$9,0,MIN(IF(ISERROR(VLOOKUP(AD$134+$F148,$D$135:$D$165,1,FALSE)),0,AC16*$C$2),MAX((IF(Monthly!Z$4=TRUE,Monthly!Z$13,Monthly!Z$14)*(1+'Attrition Modeling'!$N$8)-'IP Attrition'!AC$65)/12*'IP Attrition'!AC83,0)))</f>
        <v>0</v>
      </c>
      <c r="AE148" s="799">
        <f>IF(EOMONTH(Inputs!$C$8,'IP Attrition'!AE$134-1)&lt;=Inputs!$C$9,0,MIN(IF(ISERROR(VLOOKUP(AE$134+$F148,$D$135:$D$165,1,FALSE)),0,AD16*$C$2),MAX((IF(Monthly!AA$4=TRUE,Monthly!AA$13,Monthly!AA$14)*(1+'Attrition Modeling'!$N$8)-'IP Attrition'!AD$65)/12*'IP Attrition'!AD83,0)))</f>
        <v>0</v>
      </c>
      <c r="AF148" s="799">
        <f>IF(EOMONTH(Inputs!$C$8,'IP Attrition'!AF$134-1)&lt;=Inputs!$C$9,0,MIN(IF(ISERROR(VLOOKUP(AF$134+$F148,$D$135:$D$165,1,FALSE)),0,AE16*$C$2),MAX((IF(Monthly!AB$4=TRUE,Monthly!AB$13,Monthly!AB$14)*(1+'Attrition Modeling'!$N$8)-'IP Attrition'!AE$65)/12*'IP Attrition'!AE83,0)))</f>
        <v>0</v>
      </c>
      <c r="AG148" s="799">
        <f>IF(EOMONTH(Inputs!$C$8,'IP Attrition'!AG$134-1)&lt;=Inputs!$C$9,0,MIN(IF(ISERROR(VLOOKUP(AG$134+$F148,$D$135:$D$165,1,FALSE)),0,AF16*$C$2),MAX((IF(Monthly!AC$4=TRUE,Monthly!AC$13,Monthly!AC$14)*(1+'Attrition Modeling'!$N$8)-'IP Attrition'!AF$65)/12*'IP Attrition'!AF83,0)))</f>
        <v>0</v>
      </c>
      <c r="AH148" s="799">
        <f>IF(EOMONTH(Inputs!$C$8,'IP Attrition'!AH$134-1)&lt;=Inputs!$C$9,0,MIN(IF(ISERROR(VLOOKUP(AH$134+$F148,$D$135:$D$165,1,FALSE)),0,AG16*$C$2),MAX((IF(Monthly!AD$4=TRUE,Monthly!AD$13,Monthly!AD$14)*(1+'Attrition Modeling'!$N$8)-'IP Attrition'!AG$65)/12*'IP Attrition'!AG83,0)))</f>
        <v>0</v>
      </c>
      <c r="AI148" s="799">
        <f>IF(EOMONTH(Inputs!$C$8,'IP Attrition'!AI$134-1)&lt;=Inputs!$C$9,0,MIN(IF(ISERROR(VLOOKUP(AI$134+$F148,$D$135:$D$165,1,FALSE)),0,AH16*$C$2),MAX((IF(Monthly!AE$4=TRUE,Monthly!AE$13,Monthly!AE$14)*(1+'Attrition Modeling'!$N$8)-'IP Attrition'!AH$65)/12*'IP Attrition'!AH83,0)))</f>
        <v>0</v>
      </c>
      <c r="AJ148" s="799">
        <f>IF(EOMONTH(Inputs!$C$8,'IP Attrition'!AJ$134-1)&lt;=Inputs!$C$9,0,MIN(IF(ISERROR(VLOOKUP(AJ$134+$F148,$D$135:$D$165,1,FALSE)),0,AI16*$C$2),MAX((IF(Monthly!AF$4=TRUE,Monthly!AF$13,Monthly!AF$14)*(1+'Attrition Modeling'!$N$8)-'IP Attrition'!AI$65)/12*'IP Attrition'!AI83,0)))</f>
        <v>0</v>
      </c>
      <c r="AK148" s="799">
        <f>IF(EOMONTH(Inputs!$C$8,'IP Attrition'!AK$134-1)&lt;=Inputs!$C$9,0,MIN(IF(ISERROR(VLOOKUP(AK$134+$F148,$D$135:$D$165,1,FALSE)),0,AJ16*$C$2),MAX((IF(Monthly!AG$4=TRUE,Monthly!AG$13,Monthly!AG$14)*(1+'Attrition Modeling'!$N$8)-'IP Attrition'!AJ$65)/12*'IP Attrition'!AJ83,0)))</f>
        <v>0</v>
      </c>
      <c r="AL148" s="799">
        <f>IF(EOMONTH(Inputs!$C$8,'IP Attrition'!AL$134-1)&lt;=Inputs!$C$9,0,MIN(IF(ISERROR(VLOOKUP(AL$134+$F148,$D$135:$D$165,1,FALSE)),0,AK16*$C$2),MAX((IF(Monthly!AH$4=TRUE,Monthly!AH$13,Monthly!AH$14)*(1+'Attrition Modeling'!$N$8)-'IP Attrition'!AK$65)/12*'IP Attrition'!AK83,0)))</f>
        <v>0</v>
      </c>
      <c r="AM148" s="799">
        <f>IF(EOMONTH(Inputs!$C$8,'IP Attrition'!AM$134-1)&lt;=Inputs!$C$9,0,MIN(IF(ISERROR(VLOOKUP(AM$134+$F148,$D$135:$D$165,1,FALSE)),0,AL16*$C$2),MAX((IF(Monthly!AI$4=TRUE,Monthly!AI$13,Monthly!AI$14)*(1+'Attrition Modeling'!$N$8)-'IP Attrition'!AL$65)/12*'IP Attrition'!AL83,0)))</f>
        <v>0</v>
      </c>
      <c r="AN148" s="799">
        <f>IF(EOMONTH(Inputs!$C$8,'IP Attrition'!AN$134-1)&lt;=Inputs!$C$9,0,MIN(IF(ISERROR(VLOOKUP(AN$134+$F148,$D$135:$D$165,1,FALSE)),0,AM16*$C$2),MAX((IF(Monthly!AJ$4=TRUE,Monthly!AJ$13,Monthly!AJ$14)*(1+'Attrition Modeling'!$N$8)-'IP Attrition'!AM$65)/12*'IP Attrition'!AM83,0)))</f>
        <v>0</v>
      </c>
      <c r="AO148" s="799">
        <f>IF(EOMONTH(Inputs!$C$8,'IP Attrition'!AO$134-1)&lt;=Inputs!$C$9,0,MIN(IF(ISERROR(VLOOKUP(AO$134+$F148,$D$135:$D$165,1,FALSE)),0,AN16*$C$2),MAX((IF(Monthly!AK$4=TRUE,Monthly!AK$13,Monthly!AK$14)*(1+'Attrition Modeling'!$N$8)-'IP Attrition'!AN$65)/12*'IP Attrition'!AN83,0)))</f>
        <v>0</v>
      </c>
      <c r="AP148" s="799">
        <f>IF(EOMONTH(Inputs!$C$8,'IP Attrition'!AP$134-1)&lt;=Inputs!$C$9,0,MIN(IF(ISERROR(VLOOKUP(AP$134+$F148,$D$135:$D$165,1,FALSE)),0,AO16*$C$2),MAX((IF(Monthly!AL$4=TRUE,Monthly!AL$13,Monthly!AL$14)*(1+'Attrition Modeling'!$N$8)-'IP Attrition'!AO$65)/12*'IP Attrition'!AO83,0)))</f>
        <v>0</v>
      </c>
      <c r="AQ148" s="799">
        <f>IF(EOMONTH(Inputs!$C$8,'IP Attrition'!AQ$134-1)&lt;=Inputs!$C$9,0,MIN(IF(ISERROR(VLOOKUP(AQ$134+$F148,$D$135:$D$165,1,FALSE)),0,AP16*$C$2),MAX((IF(Monthly!AM$4=TRUE,Monthly!AM$13,Monthly!AM$14)*(1+'Attrition Modeling'!$N$8)-'IP Attrition'!AP$65)/12*'IP Attrition'!AP83,0)))</f>
        <v>0</v>
      </c>
      <c r="AR148" s="799">
        <f>IF(EOMONTH(Inputs!$C$8,'IP Attrition'!AR$134-1)&lt;=Inputs!$C$9,0,MIN(IF(ISERROR(VLOOKUP(AR$134+$F148,$D$135:$D$165,1,FALSE)),0,AQ16*$C$2),MAX((IF(Monthly!AN$4=TRUE,Monthly!AN$13,Monthly!AN$14)*(1+'Attrition Modeling'!$N$8)-'IP Attrition'!AQ$65)/12*'IP Attrition'!AQ83,0)))</f>
        <v>0</v>
      </c>
      <c r="AS148" s="799">
        <f>IF(EOMONTH(Inputs!$C$8,'IP Attrition'!AS$134-1)&lt;=Inputs!$C$9,0,MIN(IF(ISERROR(VLOOKUP(AS$134+$F148,$D$135:$D$165,1,FALSE)),0,AR16*$C$2),MAX((IF(Monthly!AO$4=TRUE,Monthly!AO$13,Monthly!AO$14)*(1+'Attrition Modeling'!$N$8)-'IP Attrition'!AR$65)/12*'IP Attrition'!AR83,0)))</f>
        <v>0</v>
      </c>
      <c r="AT148" s="799">
        <f>IF(EOMONTH(Inputs!$C$8,'IP Attrition'!AT$134-1)&lt;=Inputs!$C$9,0,MIN(IF(ISERROR(VLOOKUP(AT$134+$F148,$D$135:$D$165,1,FALSE)),0,AS16*$C$2),MAX((IF(Monthly!AP$4=TRUE,Monthly!AP$13,Monthly!AP$14)*(1+'Attrition Modeling'!$N$8)-'IP Attrition'!AS$65)/12*'IP Attrition'!AS83,0)))</f>
        <v>0</v>
      </c>
      <c r="AU148" s="799">
        <f>IF(EOMONTH(Inputs!$C$8,'IP Attrition'!AU$134-1)&lt;=Inputs!$C$9,0,MIN(IF(ISERROR(VLOOKUP(AU$134+$F148,$D$135:$D$165,1,FALSE)),0,AT16*$C$2),MAX((IF(Monthly!AQ$4=TRUE,Monthly!AQ$13,Monthly!AQ$14)*(1+'Attrition Modeling'!$N$8)-'IP Attrition'!AT$65)/12*'IP Attrition'!AT83,0)))</f>
        <v>0</v>
      </c>
      <c r="AV148" s="799">
        <f>IF(EOMONTH(Inputs!$C$8,'IP Attrition'!AV$134-1)&lt;=Inputs!$C$9,0,MIN(IF(ISERROR(VLOOKUP(AV$134+$F148,$D$135:$D$165,1,FALSE)),0,AU16*$C$2),MAX((IF(Monthly!AR$4=TRUE,Monthly!AR$13,Monthly!AR$14)*(1+'Attrition Modeling'!$N$8)-'IP Attrition'!AU$65)/12*'IP Attrition'!AU83,0)))</f>
        <v>0</v>
      </c>
      <c r="AW148" s="799">
        <f>IF(EOMONTH(Inputs!$C$8,'IP Attrition'!AW$134-1)&lt;=Inputs!$C$9,0,MIN(IF(ISERROR(VLOOKUP(AW$134+$F148,$D$135:$D$165,1,FALSE)),0,AV16*$C$2),MAX((IF(Monthly!AS$4=TRUE,Monthly!AS$13,Monthly!AS$14)*(1+'Attrition Modeling'!$N$8)-'IP Attrition'!AV$65)/12*'IP Attrition'!AV83,0)))</f>
        <v>0</v>
      </c>
      <c r="AX148" s="799">
        <f>IF(EOMONTH(Inputs!$C$8,'IP Attrition'!AX$134-1)&lt;=Inputs!$C$9,0,MIN(IF(ISERROR(VLOOKUP(AX$134+$F148,$D$135:$D$165,1,FALSE)),0,AW16*$C$2),MAX((IF(Monthly!AT$4=TRUE,Monthly!AT$13,Monthly!AT$14)*(1+'Attrition Modeling'!$N$8)-'IP Attrition'!AW$65)/12*'IP Attrition'!AW83,0)))</f>
        <v>0</v>
      </c>
      <c r="AY148" s="799">
        <f>IF(EOMONTH(Inputs!$C$8,'IP Attrition'!AY$134-1)&lt;=Inputs!$C$9,0,MIN(IF(ISERROR(VLOOKUP(AY$134+$F148,$D$135:$D$165,1,FALSE)),0,AX16*$C$2),MAX((IF(Monthly!AU$4=TRUE,Monthly!AU$13,Monthly!AU$14)*(1+'Attrition Modeling'!$N$8)-'IP Attrition'!AX$65)/12*'IP Attrition'!AX83,0)))</f>
        <v>0</v>
      </c>
      <c r="AZ148" s="799">
        <f>IF(EOMONTH(Inputs!$C$8,'IP Attrition'!AZ$134-1)&lt;=Inputs!$C$9,0,MIN(IF(ISERROR(VLOOKUP(AZ$134+$F148,$D$135:$D$165,1,FALSE)),0,AY16*$C$2),MAX((IF(Monthly!AV$4=TRUE,Monthly!AV$13,Monthly!AV$14)*(1+'Attrition Modeling'!$N$8)-'IP Attrition'!AY$65)/12*'IP Attrition'!AY83,0)))</f>
        <v>0</v>
      </c>
      <c r="BA148" s="799">
        <f>IF(EOMONTH(Inputs!$C$8,'IP Attrition'!BA$134-1)&lt;=Inputs!$C$9,0,MIN(IF(ISERROR(VLOOKUP(BA$134+$F148,$D$135:$D$165,1,FALSE)),0,AZ16*$C$2),MAX((IF(Monthly!AW$4=TRUE,Monthly!AW$13,Monthly!AW$14)*(1+'Attrition Modeling'!$N$8)-'IP Attrition'!AZ$65)/12*'IP Attrition'!AZ83,0)))</f>
        <v>0</v>
      </c>
      <c r="BB148" s="799">
        <f>IF(EOMONTH(Inputs!$C$8,'IP Attrition'!BB$134-1)&lt;=Inputs!$C$9,0,MIN(IF(ISERROR(VLOOKUP(BB$134+$F148,$D$135:$D$165,1,FALSE)),0,BA16*$C$2),MAX((IF(Monthly!AX$4=TRUE,Monthly!AX$13,Monthly!AX$14)*(1+'Attrition Modeling'!$N$8)-'IP Attrition'!BA$65)/12*'IP Attrition'!BA83,0)))</f>
        <v>0</v>
      </c>
      <c r="BC148" s="799">
        <f>IF(EOMONTH(Inputs!$C$8,'IP Attrition'!BC$134-1)&lt;=Inputs!$C$9,0,MIN(IF(ISERROR(VLOOKUP(BC$134+$F148,$D$135:$D$165,1,FALSE)),0,BB16*$C$2),MAX((IF(Monthly!AY$4=TRUE,Monthly!AY$13,Monthly!AY$14)*(1+'Attrition Modeling'!$N$8)-'IP Attrition'!BB$65)/12*'IP Attrition'!BB83,0)))</f>
        <v>0</v>
      </c>
      <c r="BD148" s="799">
        <f>IF(EOMONTH(Inputs!$C$8,'IP Attrition'!BD$134-1)&lt;=Inputs!$C$9,0,MIN(IF(ISERROR(VLOOKUP(BD$134+$F148,$D$135:$D$165,1,FALSE)),0,BC16*$C$2),MAX((IF(Monthly!AZ$4=TRUE,Monthly!AZ$13,Monthly!AZ$14)*(1+'Attrition Modeling'!$N$8)-'IP Attrition'!BC$65)/12*'IP Attrition'!BC83,0)))</f>
        <v>0</v>
      </c>
      <c r="BE148" s="799">
        <f>IF(EOMONTH(Inputs!$C$8,'IP Attrition'!BE$134-1)&lt;=Inputs!$C$9,0,MIN(IF(ISERROR(VLOOKUP(BE$134+$F148,$D$135:$D$165,1,FALSE)),0,BD16*$C$2),MAX((IF(Monthly!BA$4=TRUE,Monthly!BA$13,Monthly!BA$14)*(1+'Attrition Modeling'!$N$8)-'IP Attrition'!BD$65)/12*'IP Attrition'!BD83,0)))</f>
        <v>0</v>
      </c>
      <c r="BF148" s="799">
        <f>IF(EOMONTH(Inputs!$C$8,'IP Attrition'!BF$134-1)&lt;=Inputs!$C$9,0,MIN(IF(ISERROR(VLOOKUP(BF$134+$F148,$D$135:$D$165,1,FALSE)),0,BE16*$C$2),MAX((IF(Monthly!BB$4=TRUE,Monthly!BB$13,Monthly!BB$14)*(1+'Attrition Modeling'!$N$8)-'IP Attrition'!BE$65)/12*'IP Attrition'!BE83,0)))</f>
        <v>0</v>
      </c>
      <c r="BG148" s="799">
        <f>IF(EOMONTH(Inputs!$C$8,'IP Attrition'!BG$134-1)&lt;=Inputs!$C$9,0,MIN(IF(ISERROR(VLOOKUP(BG$134+$F148,$D$135:$D$165,1,FALSE)),0,BF16*$C$2),MAX((IF(Monthly!BC$4=TRUE,Monthly!BC$13,Monthly!BC$14)*(1+'Attrition Modeling'!$N$8)-'IP Attrition'!BF$65)/12*'IP Attrition'!BF83,0)))</f>
        <v>0</v>
      </c>
      <c r="BH148" s="799">
        <f>IF(EOMONTH(Inputs!$C$8,'IP Attrition'!BH$134-1)&lt;=Inputs!$C$9,0,MIN(IF(ISERROR(VLOOKUP(BH$134+$F148,$D$135:$D$165,1,FALSE)),0,BG16*$C$2),MAX((IF(Monthly!BD$4=TRUE,Monthly!BD$13,Monthly!BD$14)*(1+'Attrition Modeling'!$N$8)-'IP Attrition'!BG$65)/12*'IP Attrition'!BG83,0)))</f>
        <v>0</v>
      </c>
      <c r="BI148" s="799">
        <f>IF(EOMONTH(Inputs!$C$8,'IP Attrition'!BI$134-1)&lt;=Inputs!$C$9,0,MIN(IF(ISERROR(VLOOKUP(BI$134+$F148,$D$135:$D$165,1,FALSE)),0,BH16*$C$2),MAX((IF(Monthly!BE$4=TRUE,Monthly!BE$13,Monthly!BE$14)*(1+'Attrition Modeling'!$N$8)-'IP Attrition'!BH$65)/12*'IP Attrition'!BH83,0)))</f>
        <v>0</v>
      </c>
      <c r="BJ148" s="799">
        <f>IF(EOMONTH(Inputs!$C$8,'IP Attrition'!BJ$134-1)&lt;=Inputs!$C$9,0,MIN(IF(ISERROR(VLOOKUP(BJ$134+$F148,$D$135:$D$165,1,FALSE)),0,BI16*$C$2),MAX((IF(Monthly!BF$4=TRUE,Monthly!BF$13,Monthly!BF$14)*(1+'Attrition Modeling'!$N$8)-'IP Attrition'!BI$65)/12*'IP Attrition'!BI83,0)))</f>
        <v>0</v>
      </c>
      <c r="BK148" s="799">
        <f>IF(EOMONTH(Inputs!$C$8,'IP Attrition'!BK$134-1)&lt;=Inputs!$C$9,0,MIN(IF(ISERROR(VLOOKUP(BK$134+$F148,$D$135:$D$165,1,FALSE)),0,BJ16*$C$2),MAX((IF(Monthly!BG$4=TRUE,Monthly!BG$13,Monthly!BG$14)*(1+'Attrition Modeling'!$N$8)-'IP Attrition'!BJ$65)/12*'IP Attrition'!BJ83,0)))</f>
        <v>0</v>
      </c>
      <c r="BL148" s="799">
        <f>IF(EOMONTH(Inputs!$C$8,'IP Attrition'!BL$134-1)&lt;=Inputs!$C$9,0,MIN(IF(ISERROR(VLOOKUP(BL$134+$F148,$D$135:$D$165,1,FALSE)),0,BK16*$C$2),MAX((IF(Monthly!BH$4=TRUE,Monthly!BH$13,Monthly!BH$14)*(1+'Attrition Modeling'!$N$8)-'IP Attrition'!BK$65)/12*'IP Attrition'!BK83,0)))</f>
        <v>0</v>
      </c>
      <c r="BM148" s="799">
        <f>IF(EOMONTH(Inputs!$C$8,'IP Attrition'!BM$134-1)&lt;=Inputs!$C$9,0,MIN(IF(ISERROR(VLOOKUP(BM$134+$F148,$D$135:$D$165,1,FALSE)),0,BL16*$C$2),MAX((IF(Monthly!BI$4=TRUE,Monthly!BI$13,Monthly!BI$14)*(1+'Attrition Modeling'!$N$8)-'IP Attrition'!BL$65)/12*'IP Attrition'!BL83,0)))</f>
        <v>0</v>
      </c>
      <c r="BN148" s="799">
        <f>IF(EOMONTH(Inputs!$C$8,'IP Attrition'!BN$134-1)&lt;=Inputs!$C$9,0,MIN(IF(ISERROR(VLOOKUP(BN$134+$F148,$D$135:$D$165,1,FALSE)),0,BM16*$C$2),MAX((IF(Monthly!BJ$4=TRUE,Monthly!BJ$13,Monthly!BJ$14)*(1+'Attrition Modeling'!$N$8)-'IP Attrition'!BM$65)/12*'IP Attrition'!BM83,0)))</f>
        <v>0</v>
      </c>
      <c r="BO148" s="799">
        <f>IF(EOMONTH(Inputs!$C$8,'IP Attrition'!BO$134-1)&lt;=Inputs!$C$9,0,MIN(IF(ISERROR(VLOOKUP(BO$134+$F148,$D$135:$D$165,1,FALSE)),0,BN16*$C$2),MAX((IF(Monthly!BK$4=TRUE,Monthly!BK$13,Monthly!BK$14)*(1+'Attrition Modeling'!$N$8)-'IP Attrition'!BN$65)/12*'IP Attrition'!BN83,0)))</f>
        <v>0</v>
      </c>
      <c r="BP148" s="799">
        <f>IF(EOMONTH(Inputs!$C$8,'IP Attrition'!BP$134-1)&lt;=Inputs!$C$9,0,MIN(IF(ISERROR(VLOOKUP(BP$134+$F148,$D$135:$D$165,1,FALSE)),0,BO16*$C$2),MAX((IF(Monthly!BL$4=TRUE,Monthly!BL$13,Monthly!BL$14)*(1+'Attrition Modeling'!$N$8)-'IP Attrition'!BO$65)/12*'IP Attrition'!BO83,0)))</f>
        <v>0</v>
      </c>
      <c r="BQ148" s="799">
        <f>IF(EOMONTH(Inputs!$C$8,'IP Attrition'!BQ$134-1)&lt;=Inputs!$C$9,0,MIN(IF(ISERROR(VLOOKUP(BQ$134+$F148,$D$135:$D$165,1,FALSE)),0,BP16*$C$2),MAX((IF(Monthly!BM$4=TRUE,Monthly!BM$13,Monthly!BM$14)*(1+'Attrition Modeling'!$N$8)-'IP Attrition'!BP$65)/12*'IP Attrition'!BP83,0)))</f>
        <v>0</v>
      </c>
      <c r="BR148" s="799">
        <f>IF(EOMONTH(Inputs!$C$8,'IP Attrition'!BR$134-1)&lt;=Inputs!$C$9,0,MIN(IF(ISERROR(VLOOKUP(BR$134+$F148,$D$135:$D$165,1,FALSE)),0,BQ16*$C$2),MAX((IF(Monthly!BN$4=TRUE,Monthly!BN$13,Monthly!BN$14)*(1+'Attrition Modeling'!$N$8)-'IP Attrition'!BQ$65)/12*'IP Attrition'!BQ83,0)))</f>
        <v>0</v>
      </c>
      <c r="BS148" s="799">
        <f>IF(EOMONTH(Inputs!$C$8,'IP Attrition'!BS$134-1)&lt;=Inputs!$C$9,0,MIN(IF(ISERROR(VLOOKUP(BS$134+$F148,$D$135:$D$165,1,FALSE)),0,BR16*$C$2),MAX((IF(Monthly!BO$4=TRUE,Monthly!BO$13,Monthly!BO$14)*(1+'Attrition Modeling'!$N$8)-'IP Attrition'!BR$65)/12*'IP Attrition'!BR83,0)))</f>
        <v>0</v>
      </c>
      <c r="BT148" s="799" t="e">
        <f>IF(EOMONTH(Inputs!$C$8,'IP Attrition'!BT$134-1)&lt;=Inputs!$C$9,0,MIN(IF(ISERROR(VLOOKUP(BT$134+$F148,$D$135:$D$165,1,FALSE)),0,BS16*$C$2),MAX((IF(Monthly!#REF!=TRUE,Monthly!#REF!,Monthly!#REF!)*(1+'Attrition Modeling'!$N$8)-'IP Attrition'!BS$65)/12*'IP Attrition'!BS83,0)))</f>
        <v>#REF!</v>
      </c>
      <c r="BU148" s="799" t="e">
        <f>IF(EOMONTH(Inputs!$C$8,'IP Attrition'!BU$134-1)&lt;=Inputs!$C$9,0,MIN(IF(ISERROR(VLOOKUP(BU$134+$F148,$D$135:$D$165,1,FALSE)),0,BT16*$C$2),MAX((IF(Monthly!#REF!=TRUE,Monthly!#REF!,Monthly!#REF!)*(1+'Attrition Modeling'!$N$8)-'IP Attrition'!BT$65)/12*'IP Attrition'!BT83,0)))</f>
        <v>#REF!</v>
      </c>
    </row>
    <row r="149" spans="1:73" ht="14.25" customHeight="1" x14ac:dyDescent="0.2">
      <c r="A149" s="9">
        <v>142</v>
      </c>
      <c r="B149" s="25">
        <f>MAX('Attrition Modeling'!H146,$C$3)*(1-Summary!$C$20)</f>
        <v>0.02</v>
      </c>
      <c r="C149" s="24" t="e">
        <f t="shared" si="3"/>
        <v>#DIV/0!</v>
      </c>
      <c r="D149" s="11">
        <f t="shared" si="72"/>
        <v>174</v>
      </c>
      <c r="E149" s="25">
        <f t="shared" si="71"/>
        <v>0</v>
      </c>
      <c r="F149" s="11">
        <f t="shared" si="73"/>
        <v>14</v>
      </c>
      <c r="G149" s="799"/>
      <c r="H149" s="799">
        <f>IF(EOMONTH(Inputs!$C$8,'IP Attrition'!H$134-1)&lt;=Inputs!$C$9,0,MIN(IF(ISERROR(VLOOKUP(H$134+$F149,$D$135:$D$165,1,FALSE)),0,G17*$C$2),MAX((IF(Monthly!D$4=TRUE,Monthly!D$13,Monthly!D$14)*(1+'Attrition Modeling'!$N$8)-'IP Attrition'!G$65)/12*'IP Attrition'!G84,0)))</f>
        <v>0</v>
      </c>
      <c r="I149" s="799">
        <f>IF(EOMONTH(Inputs!$C$8,'IP Attrition'!I$134-1)&lt;=Inputs!$C$9,0,MIN(IF(ISERROR(VLOOKUP(I$134+$F149,$D$135:$D$165,1,FALSE)),0,H17*$C$2),MAX((IF(Monthly!E$4=TRUE,Monthly!E$13,Monthly!E$14)*(1+'Attrition Modeling'!$N$8)-'IP Attrition'!H$65)/12*'IP Attrition'!H84,0)))</f>
        <v>0</v>
      </c>
      <c r="J149" s="799">
        <f>IF(EOMONTH(Inputs!$C$8,'IP Attrition'!J$134-1)&lt;=Inputs!$C$9,0,MIN(IF(ISERROR(VLOOKUP(J$134+$F149,$D$135:$D$165,1,FALSE)),0,I17*$C$2),MAX((IF(Monthly!F$4=TRUE,Monthly!F$13,Monthly!F$14)*(1+'Attrition Modeling'!$N$8)-'IP Attrition'!I$65)/12*'IP Attrition'!I84,0)))</f>
        <v>0</v>
      </c>
      <c r="K149" s="799">
        <f>IF(EOMONTH(Inputs!$C$8,'IP Attrition'!K$134-1)&lt;=Inputs!$C$9,0,MIN(IF(ISERROR(VLOOKUP(K$134+$F149,$D$135:$D$165,1,FALSE)),0,J17*$C$2),MAX((IF(Monthly!G$4=TRUE,Monthly!G$13,Monthly!G$14)*(1+'Attrition Modeling'!$N$8)-'IP Attrition'!J$65)/12*'IP Attrition'!J84,0)))</f>
        <v>0</v>
      </c>
      <c r="L149" s="799">
        <f>IF(EOMONTH(Inputs!$C$8,'IP Attrition'!L$134-1)&lt;=Inputs!$C$9,0,MIN(IF(ISERROR(VLOOKUP(L$134+$F149,$D$135:$D$165,1,FALSE)),0,K17*$C$2),MAX((IF(Monthly!H$4=TRUE,Monthly!H$13,Monthly!H$14)*(1+'Attrition Modeling'!$N$8)-'IP Attrition'!K$65)/12*'IP Attrition'!K84,0)))</f>
        <v>0</v>
      </c>
      <c r="M149" s="799">
        <f>IF(EOMONTH(Inputs!$C$8,'IP Attrition'!M$134-1)&lt;=Inputs!$C$9,0,MIN(IF(ISERROR(VLOOKUP(M$134+$F149,$D$135:$D$165,1,FALSE)),0,L17*$C$2),MAX((IF(Monthly!I$4=TRUE,Monthly!I$13,Monthly!I$14)*(1+'Attrition Modeling'!$N$8)-'IP Attrition'!L$65)/12*'IP Attrition'!L84,0)))</f>
        <v>0</v>
      </c>
      <c r="N149" s="799">
        <f>IF(EOMONTH(Inputs!$C$8,'IP Attrition'!N$134-1)&lt;=Inputs!$C$9,0,MIN(IF(ISERROR(VLOOKUP(N$134+$F149,$D$135:$D$165,1,FALSE)),0,M17*$C$2),MAX((IF(Monthly!J$4=TRUE,Monthly!J$13,Monthly!J$14)*(1+'Attrition Modeling'!$N$8)-'IP Attrition'!M$65)/12*'IP Attrition'!M84,0)))</f>
        <v>0</v>
      </c>
      <c r="O149" s="799">
        <f>IF(EOMONTH(Inputs!$C$8,'IP Attrition'!O$134-1)&lt;=Inputs!$C$9,0,MIN(IF(ISERROR(VLOOKUP(O$134+$F149,$D$135:$D$165,1,FALSE)),0,N17*$C$2),MAX((IF(Monthly!K$4=TRUE,Monthly!K$13,Monthly!K$14)*(1+'Attrition Modeling'!$N$8)-'IP Attrition'!N$65)/12*'IP Attrition'!N84,0)))</f>
        <v>0</v>
      </c>
      <c r="P149" s="799">
        <f>IF(EOMONTH(Inputs!$C$8,'IP Attrition'!P$134-1)&lt;=Inputs!$C$9,0,MIN(IF(ISERROR(VLOOKUP(P$134+$F149,$D$135:$D$165,1,FALSE)),0,O17*$C$2),MAX((IF(Monthly!L$4=TRUE,Monthly!L$13,Monthly!L$14)*(1+'Attrition Modeling'!$N$8)-'IP Attrition'!O$65)/12*'IP Attrition'!O84,0)))</f>
        <v>0</v>
      </c>
      <c r="Q149" s="799">
        <f>IF(EOMONTH(Inputs!$C$8,'IP Attrition'!Q$134-1)&lt;=Inputs!$C$9,0,MIN(IF(ISERROR(VLOOKUP(Q$134+$F149,$D$135:$D$165,1,FALSE)),0,P17*$C$2),MAX((IF(Monthly!M$4=TRUE,Monthly!M$13,Monthly!M$14)*(1+'Attrition Modeling'!$N$8)-'IP Attrition'!P$65)/12*'IP Attrition'!P84,0)))</f>
        <v>0</v>
      </c>
      <c r="R149" s="799">
        <f>IF(EOMONTH(Inputs!$C$8,'IP Attrition'!R$134-1)&lt;=Inputs!$C$9,0,MIN(IF(ISERROR(VLOOKUP(R$134+$F149,$D$135:$D$165,1,FALSE)),0,Q17*$C$2),MAX((IF(Monthly!N$4=TRUE,Monthly!N$13,Monthly!N$14)*(1+'Attrition Modeling'!$N$8)-'IP Attrition'!Q$65)/12*'IP Attrition'!Q84,0)))</f>
        <v>0</v>
      </c>
      <c r="S149" s="799">
        <f>IF(EOMONTH(Inputs!$C$8,'IP Attrition'!S$134-1)&lt;=Inputs!$C$9,0,MIN(IF(ISERROR(VLOOKUP(S$134+$F149,$D$135:$D$165,1,FALSE)),0,R17*$C$2),MAX((IF(Monthly!O$4=TRUE,Monthly!O$13,Monthly!O$14)*(1+'Attrition Modeling'!$N$8)-'IP Attrition'!R$65)/12*'IP Attrition'!R84,0)))</f>
        <v>0</v>
      </c>
      <c r="T149" s="799">
        <f>IF(EOMONTH(Inputs!$C$8,'IP Attrition'!T$134-1)&lt;=Inputs!$C$9,0,MIN(IF(ISERROR(VLOOKUP(T$134+$F149,$D$135:$D$165,1,FALSE)),0,S17*$C$2),MAX((IF(Monthly!P$4=TRUE,Monthly!P$13,Monthly!P$14)*(1+'Attrition Modeling'!$N$8)-'IP Attrition'!S$65)/12*'IP Attrition'!S84,0)))</f>
        <v>0</v>
      </c>
      <c r="U149" s="799">
        <f>IF(EOMONTH(Inputs!$C$8,'IP Attrition'!U$134-1)&lt;=Inputs!$C$9,0,MIN(IF(ISERROR(VLOOKUP(U$134+$F149,$D$135:$D$165,1,FALSE)),0,T17*$C$2),MAX((IF(Monthly!Q$4=TRUE,Monthly!Q$13,Monthly!Q$14)*(1+'Attrition Modeling'!$N$8)-'IP Attrition'!T$65)/12*'IP Attrition'!T84,0)))</f>
        <v>0</v>
      </c>
      <c r="V149" s="799">
        <f>IF(EOMONTH(Inputs!$C$8,'IP Attrition'!V$134-1)&lt;=Inputs!$C$9,0,MIN(IF(ISERROR(VLOOKUP(V$134+$F149,$D$135:$D$165,1,FALSE)),0,U17*$C$2),MAX((IF(Monthly!R$4=TRUE,Monthly!R$13,Monthly!R$14)*(1+'Attrition Modeling'!$N$8)-'IP Attrition'!U$65)/12*'IP Attrition'!U84,0)))</f>
        <v>0</v>
      </c>
      <c r="W149" s="799">
        <f>IF(EOMONTH(Inputs!$C$8,'IP Attrition'!W$134-1)&lt;=Inputs!$C$9,0,MIN(IF(ISERROR(VLOOKUP(W$134+$F149,$D$135:$D$165,1,FALSE)),0,V17*$C$2),MAX((IF(Monthly!S$4=TRUE,Monthly!S$13,Monthly!S$14)*(1+'Attrition Modeling'!$N$8)-'IP Attrition'!V$65)/12*'IP Attrition'!V84,0)))</f>
        <v>0</v>
      </c>
      <c r="X149" s="799">
        <f>IF(EOMONTH(Inputs!$C$8,'IP Attrition'!X$134-1)&lt;=Inputs!$C$9,0,MIN(IF(ISERROR(VLOOKUP(X$134+$F149,$D$135:$D$165,1,FALSE)),0,W17*$C$2),MAX((IF(Monthly!T$4=TRUE,Monthly!T$13,Monthly!T$14)*(1+'Attrition Modeling'!$N$8)-'IP Attrition'!W$65)/12*'IP Attrition'!W84,0)))</f>
        <v>0</v>
      </c>
      <c r="Y149" s="799">
        <f>IF(EOMONTH(Inputs!$C$8,'IP Attrition'!Y$134-1)&lt;=Inputs!$C$9,0,MIN(IF(ISERROR(VLOOKUP(Y$134+$F149,$D$135:$D$165,1,FALSE)),0,X17*$C$2),MAX((IF(Monthly!U$4=TRUE,Monthly!U$13,Monthly!U$14)*(1+'Attrition Modeling'!$N$8)-'IP Attrition'!X$65)/12*'IP Attrition'!X84,0)))</f>
        <v>0</v>
      </c>
      <c r="Z149" s="799">
        <f>IF(EOMONTH(Inputs!$C$8,'IP Attrition'!Z$134-1)&lt;=Inputs!$C$9,0,MIN(IF(ISERROR(VLOOKUP(Z$134+$F149,$D$135:$D$165,1,FALSE)),0,Y17*$C$2),MAX((IF(Monthly!V$4=TRUE,Monthly!V$13,Monthly!V$14)*(1+'Attrition Modeling'!$N$8)-'IP Attrition'!Y$65)/12*'IP Attrition'!Y84,0)))</f>
        <v>0</v>
      </c>
      <c r="AA149" s="799">
        <f>IF(EOMONTH(Inputs!$C$8,'IP Attrition'!AA$134-1)&lt;=Inputs!$C$9,0,MIN(IF(ISERROR(VLOOKUP(AA$134+$F149,$D$135:$D$165,1,FALSE)),0,Z17*$C$2),MAX((IF(Monthly!W$4=TRUE,Monthly!W$13,Monthly!W$14)*(1+'Attrition Modeling'!$N$8)-'IP Attrition'!Z$65)/12*'IP Attrition'!Z84,0)))</f>
        <v>0</v>
      </c>
      <c r="AB149" s="799">
        <f>IF(EOMONTH(Inputs!$C$8,'IP Attrition'!AB$134-1)&lt;=Inputs!$C$9,0,MIN(IF(ISERROR(VLOOKUP(AB$134+$F149,$D$135:$D$165,1,FALSE)),0,AA17*$C$2),MAX((IF(Monthly!X$4=TRUE,Monthly!X$13,Monthly!X$14)*(1+'Attrition Modeling'!$N$8)-'IP Attrition'!AA$65)/12*'IP Attrition'!AA84,0)))</f>
        <v>0</v>
      </c>
      <c r="AC149" s="799">
        <f>IF(EOMONTH(Inputs!$C$8,'IP Attrition'!AC$134-1)&lt;=Inputs!$C$9,0,MIN(IF(ISERROR(VLOOKUP(AC$134+$F149,$D$135:$D$165,1,FALSE)),0,AB17*$C$2),MAX((IF(Monthly!Y$4=TRUE,Monthly!Y$13,Monthly!Y$14)*(1+'Attrition Modeling'!$N$8)-'IP Attrition'!AB$65)/12*'IP Attrition'!AB84,0)))</f>
        <v>0</v>
      </c>
      <c r="AD149" s="799">
        <f>IF(EOMONTH(Inputs!$C$8,'IP Attrition'!AD$134-1)&lt;=Inputs!$C$9,0,MIN(IF(ISERROR(VLOOKUP(AD$134+$F149,$D$135:$D$165,1,FALSE)),0,AC17*$C$2),MAX((IF(Monthly!Z$4=TRUE,Monthly!Z$13,Monthly!Z$14)*(1+'Attrition Modeling'!$N$8)-'IP Attrition'!AC$65)/12*'IP Attrition'!AC84,0)))</f>
        <v>0</v>
      </c>
      <c r="AE149" s="799">
        <f>IF(EOMONTH(Inputs!$C$8,'IP Attrition'!AE$134-1)&lt;=Inputs!$C$9,0,MIN(IF(ISERROR(VLOOKUP(AE$134+$F149,$D$135:$D$165,1,FALSE)),0,AD17*$C$2),MAX((IF(Monthly!AA$4=TRUE,Monthly!AA$13,Monthly!AA$14)*(1+'Attrition Modeling'!$N$8)-'IP Attrition'!AD$65)/12*'IP Attrition'!AD84,0)))</f>
        <v>0</v>
      </c>
      <c r="AF149" s="799">
        <f>IF(EOMONTH(Inputs!$C$8,'IP Attrition'!AF$134-1)&lt;=Inputs!$C$9,0,MIN(IF(ISERROR(VLOOKUP(AF$134+$F149,$D$135:$D$165,1,FALSE)),0,AE17*$C$2),MAX((IF(Monthly!AB$4=TRUE,Monthly!AB$13,Monthly!AB$14)*(1+'Attrition Modeling'!$N$8)-'IP Attrition'!AE$65)/12*'IP Attrition'!AE84,0)))</f>
        <v>0</v>
      </c>
      <c r="AG149" s="799">
        <f>IF(EOMONTH(Inputs!$C$8,'IP Attrition'!AG$134-1)&lt;=Inputs!$C$9,0,MIN(IF(ISERROR(VLOOKUP(AG$134+$F149,$D$135:$D$165,1,FALSE)),0,AF17*$C$2),MAX((IF(Monthly!AC$4=TRUE,Monthly!AC$13,Monthly!AC$14)*(1+'Attrition Modeling'!$N$8)-'IP Attrition'!AF$65)/12*'IP Attrition'!AF84,0)))</f>
        <v>0</v>
      </c>
      <c r="AH149" s="799">
        <f>IF(EOMONTH(Inputs!$C$8,'IP Attrition'!AH$134-1)&lt;=Inputs!$C$9,0,MIN(IF(ISERROR(VLOOKUP(AH$134+$F149,$D$135:$D$165,1,FALSE)),0,AG17*$C$2),MAX((IF(Monthly!AD$4=TRUE,Monthly!AD$13,Monthly!AD$14)*(1+'Attrition Modeling'!$N$8)-'IP Attrition'!AG$65)/12*'IP Attrition'!AG84,0)))</f>
        <v>0</v>
      </c>
      <c r="AI149" s="799">
        <f>IF(EOMONTH(Inputs!$C$8,'IP Attrition'!AI$134-1)&lt;=Inputs!$C$9,0,MIN(IF(ISERROR(VLOOKUP(AI$134+$F149,$D$135:$D$165,1,FALSE)),0,AH17*$C$2),MAX((IF(Monthly!AE$4=TRUE,Monthly!AE$13,Monthly!AE$14)*(1+'Attrition Modeling'!$N$8)-'IP Attrition'!AH$65)/12*'IP Attrition'!AH84,0)))</f>
        <v>0</v>
      </c>
      <c r="AJ149" s="799">
        <f>IF(EOMONTH(Inputs!$C$8,'IP Attrition'!AJ$134-1)&lt;=Inputs!$C$9,0,MIN(IF(ISERROR(VLOOKUP(AJ$134+$F149,$D$135:$D$165,1,FALSE)),0,AI17*$C$2),MAX((IF(Monthly!AF$4=TRUE,Monthly!AF$13,Monthly!AF$14)*(1+'Attrition Modeling'!$N$8)-'IP Attrition'!AI$65)/12*'IP Attrition'!AI84,0)))</f>
        <v>0</v>
      </c>
      <c r="AK149" s="799">
        <f>IF(EOMONTH(Inputs!$C$8,'IP Attrition'!AK$134-1)&lt;=Inputs!$C$9,0,MIN(IF(ISERROR(VLOOKUP(AK$134+$F149,$D$135:$D$165,1,FALSE)),0,AJ17*$C$2),MAX((IF(Monthly!AG$4=TRUE,Monthly!AG$13,Monthly!AG$14)*(1+'Attrition Modeling'!$N$8)-'IP Attrition'!AJ$65)/12*'IP Attrition'!AJ84,0)))</f>
        <v>0</v>
      </c>
      <c r="AL149" s="799">
        <f>IF(EOMONTH(Inputs!$C$8,'IP Attrition'!AL$134-1)&lt;=Inputs!$C$9,0,MIN(IF(ISERROR(VLOOKUP(AL$134+$F149,$D$135:$D$165,1,FALSE)),0,AK17*$C$2),MAX((IF(Monthly!AH$4=TRUE,Monthly!AH$13,Monthly!AH$14)*(1+'Attrition Modeling'!$N$8)-'IP Attrition'!AK$65)/12*'IP Attrition'!AK84,0)))</f>
        <v>0</v>
      </c>
      <c r="AM149" s="799">
        <f>IF(EOMONTH(Inputs!$C$8,'IP Attrition'!AM$134-1)&lt;=Inputs!$C$9,0,MIN(IF(ISERROR(VLOOKUP(AM$134+$F149,$D$135:$D$165,1,FALSE)),0,AL17*$C$2),MAX((IF(Monthly!AI$4=TRUE,Monthly!AI$13,Monthly!AI$14)*(1+'Attrition Modeling'!$N$8)-'IP Attrition'!AL$65)/12*'IP Attrition'!AL84,0)))</f>
        <v>0</v>
      </c>
      <c r="AN149" s="799">
        <f>IF(EOMONTH(Inputs!$C$8,'IP Attrition'!AN$134-1)&lt;=Inputs!$C$9,0,MIN(IF(ISERROR(VLOOKUP(AN$134+$F149,$D$135:$D$165,1,FALSE)),0,AM17*$C$2),MAX((IF(Monthly!AJ$4=TRUE,Monthly!AJ$13,Monthly!AJ$14)*(1+'Attrition Modeling'!$N$8)-'IP Attrition'!AM$65)/12*'IP Attrition'!AM84,0)))</f>
        <v>0</v>
      </c>
      <c r="AO149" s="799">
        <f>IF(EOMONTH(Inputs!$C$8,'IP Attrition'!AO$134-1)&lt;=Inputs!$C$9,0,MIN(IF(ISERROR(VLOOKUP(AO$134+$F149,$D$135:$D$165,1,FALSE)),0,AN17*$C$2),MAX((IF(Monthly!AK$4=TRUE,Monthly!AK$13,Monthly!AK$14)*(1+'Attrition Modeling'!$N$8)-'IP Attrition'!AN$65)/12*'IP Attrition'!AN84,0)))</f>
        <v>0</v>
      </c>
      <c r="AP149" s="799">
        <f>IF(EOMONTH(Inputs!$C$8,'IP Attrition'!AP$134-1)&lt;=Inputs!$C$9,0,MIN(IF(ISERROR(VLOOKUP(AP$134+$F149,$D$135:$D$165,1,FALSE)),0,AO17*$C$2),MAX((IF(Monthly!AL$4=TRUE,Monthly!AL$13,Monthly!AL$14)*(1+'Attrition Modeling'!$N$8)-'IP Attrition'!AO$65)/12*'IP Attrition'!AO84,0)))</f>
        <v>0</v>
      </c>
      <c r="AQ149" s="799">
        <f>IF(EOMONTH(Inputs!$C$8,'IP Attrition'!AQ$134-1)&lt;=Inputs!$C$9,0,MIN(IF(ISERROR(VLOOKUP(AQ$134+$F149,$D$135:$D$165,1,FALSE)),0,AP17*$C$2),MAX((IF(Monthly!AM$4=TRUE,Monthly!AM$13,Monthly!AM$14)*(1+'Attrition Modeling'!$N$8)-'IP Attrition'!AP$65)/12*'IP Attrition'!AP84,0)))</f>
        <v>0</v>
      </c>
      <c r="AR149" s="799">
        <f>IF(EOMONTH(Inputs!$C$8,'IP Attrition'!AR$134-1)&lt;=Inputs!$C$9,0,MIN(IF(ISERROR(VLOOKUP(AR$134+$F149,$D$135:$D$165,1,FALSE)),0,AQ17*$C$2),MAX((IF(Monthly!AN$4=TRUE,Monthly!AN$13,Monthly!AN$14)*(1+'Attrition Modeling'!$N$8)-'IP Attrition'!AQ$65)/12*'IP Attrition'!AQ84,0)))</f>
        <v>0</v>
      </c>
      <c r="AS149" s="799">
        <f>IF(EOMONTH(Inputs!$C$8,'IP Attrition'!AS$134-1)&lt;=Inputs!$C$9,0,MIN(IF(ISERROR(VLOOKUP(AS$134+$F149,$D$135:$D$165,1,FALSE)),0,AR17*$C$2),MAX((IF(Monthly!AO$4=TRUE,Monthly!AO$13,Monthly!AO$14)*(1+'Attrition Modeling'!$N$8)-'IP Attrition'!AR$65)/12*'IP Attrition'!AR84,0)))</f>
        <v>0</v>
      </c>
      <c r="AT149" s="799">
        <f>IF(EOMONTH(Inputs!$C$8,'IP Attrition'!AT$134-1)&lt;=Inputs!$C$9,0,MIN(IF(ISERROR(VLOOKUP(AT$134+$F149,$D$135:$D$165,1,FALSE)),0,AS17*$C$2),MAX((IF(Monthly!AP$4=TRUE,Monthly!AP$13,Monthly!AP$14)*(1+'Attrition Modeling'!$N$8)-'IP Attrition'!AS$65)/12*'IP Attrition'!AS84,0)))</f>
        <v>0</v>
      </c>
      <c r="AU149" s="799">
        <f>IF(EOMONTH(Inputs!$C$8,'IP Attrition'!AU$134-1)&lt;=Inputs!$C$9,0,MIN(IF(ISERROR(VLOOKUP(AU$134+$F149,$D$135:$D$165,1,FALSE)),0,AT17*$C$2),MAX((IF(Monthly!AQ$4=TRUE,Monthly!AQ$13,Monthly!AQ$14)*(1+'Attrition Modeling'!$N$8)-'IP Attrition'!AT$65)/12*'IP Attrition'!AT84,0)))</f>
        <v>0</v>
      </c>
      <c r="AV149" s="799">
        <f>IF(EOMONTH(Inputs!$C$8,'IP Attrition'!AV$134-1)&lt;=Inputs!$C$9,0,MIN(IF(ISERROR(VLOOKUP(AV$134+$F149,$D$135:$D$165,1,FALSE)),0,AU17*$C$2),MAX((IF(Monthly!AR$4=TRUE,Monthly!AR$13,Monthly!AR$14)*(1+'Attrition Modeling'!$N$8)-'IP Attrition'!AU$65)/12*'IP Attrition'!AU84,0)))</f>
        <v>0</v>
      </c>
      <c r="AW149" s="799">
        <f>IF(EOMONTH(Inputs!$C$8,'IP Attrition'!AW$134-1)&lt;=Inputs!$C$9,0,MIN(IF(ISERROR(VLOOKUP(AW$134+$F149,$D$135:$D$165,1,FALSE)),0,AV17*$C$2),MAX((IF(Monthly!AS$4=TRUE,Monthly!AS$13,Monthly!AS$14)*(1+'Attrition Modeling'!$N$8)-'IP Attrition'!AV$65)/12*'IP Attrition'!AV84,0)))</f>
        <v>0</v>
      </c>
      <c r="AX149" s="799">
        <f>IF(EOMONTH(Inputs!$C$8,'IP Attrition'!AX$134-1)&lt;=Inputs!$C$9,0,MIN(IF(ISERROR(VLOOKUP(AX$134+$F149,$D$135:$D$165,1,FALSE)),0,AW17*$C$2),MAX((IF(Monthly!AT$4=TRUE,Monthly!AT$13,Monthly!AT$14)*(1+'Attrition Modeling'!$N$8)-'IP Attrition'!AW$65)/12*'IP Attrition'!AW84,0)))</f>
        <v>0</v>
      </c>
      <c r="AY149" s="799">
        <f>IF(EOMONTH(Inputs!$C$8,'IP Attrition'!AY$134-1)&lt;=Inputs!$C$9,0,MIN(IF(ISERROR(VLOOKUP(AY$134+$F149,$D$135:$D$165,1,FALSE)),0,AX17*$C$2),MAX((IF(Monthly!AU$4=TRUE,Monthly!AU$13,Monthly!AU$14)*(1+'Attrition Modeling'!$N$8)-'IP Attrition'!AX$65)/12*'IP Attrition'!AX84,0)))</f>
        <v>0</v>
      </c>
      <c r="AZ149" s="799">
        <f>IF(EOMONTH(Inputs!$C$8,'IP Attrition'!AZ$134-1)&lt;=Inputs!$C$9,0,MIN(IF(ISERROR(VLOOKUP(AZ$134+$F149,$D$135:$D$165,1,FALSE)),0,AY17*$C$2),MAX((IF(Monthly!AV$4=TRUE,Monthly!AV$13,Monthly!AV$14)*(1+'Attrition Modeling'!$N$8)-'IP Attrition'!AY$65)/12*'IP Attrition'!AY84,0)))</f>
        <v>0</v>
      </c>
      <c r="BA149" s="799">
        <f>IF(EOMONTH(Inputs!$C$8,'IP Attrition'!BA$134-1)&lt;=Inputs!$C$9,0,MIN(IF(ISERROR(VLOOKUP(BA$134+$F149,$D$135:$D$165,1,FALSE)),0,AZ17*$C$2),MAX((IF(Monthly!AW$4=TRUE,Monthly!AW$13,Monthly!AW$14)*(1+'Attrition Modeling'!$N$8)-'IP Attrition'!AZ$65)/12*'IP Attrition'!AZ84,0)))</f>
        <v>0</v>
      </c>
      <c r="BB149" s="799">
        <f>IF(EOMONTH(Inputs!$C$8,'IP Attrition'!BB$134-1)&lt;=Inputs!$C$9,0,MIN(IF(ISERROR(VLOOKUP(BB$134+$F149,$D$135:$D$165,1,FALSE)),0,BA17*$C$2),MAX((IF(Monthly!AX$4=TRUE,Monthly!AX$13,Monthly!AX$14)*(1+'Attrition Modeling'!$N$8)-'IP Attrition'!BA$65)/12*'IP Attrition'!BA84,0)))</f>
        <v>0</v>
      </c>
      <c r="BC149" s="799">
        <f>IF(EOMONTH(Inputs!$C$8,'IP Attrition'!BC$134-1)&lt;=Inputs!$C$9,0,MIN(IF(ISERROR(VLOOKUP(BC$134+$F149,$D$135:$D$165,1,FALSE)),0,BB17*$C$2),MAX((IF(Monthly!AY$4=TRUE,Monthly!AY$13,Monthly!AY$14)*(1+'Attrition Modeling'!$N$8)-'IP Attrition'!BB$65)/12*'IP Attrition'!BB84,0)))</f>
        <v>0</v>
      </c>
      <c r="BD149" s="799">
        <f>IF(EOMONTH(Inputs!$C$8,'IP Attrition'!BD$134-1)&lt;=Inputs!$C$9,0,MIN(IF(ISERROR(VLOOKUP(BD$134+$F149,$D$135:$D$165,1,FALSE)),0,BC17*$C$2),MAX((IF(Monthly!AZ$4=TRUE,Monthly!AZ$13,Monthly!AZ$14)*(1+'Attrition Modeling'!$N$8)-'IP Attrition'!BC$65)/12*'IP Attrition'!BC84,0)))</f>
        <v>0</v>
      </c>
      <c r="BE149" s="799">
        <f>IF(EOMONTH(Inputs!$C$8,'IP Attrition'!BE$134-1)&lt;=Inputs!$C$9,0,MIN(IF(ISERROR(VLOOKUP(BE$134+$F149,$D$135:$D$165,1,FALSE)),0,BD17*$C$2),MAX((IF(Monthly!BA$4=TRUE,Monthly!BA$13,Monthly!BA$14)*(1+'Attrition Modeling'!$N$8)-'IP Attrition'!BD$65)/12*'IP Attrition'!BD84,0)))</f>
        <v>0</v>
      </c>
      <c r="BF149" s="799">
        <f>IF(EOMONTH(Inputs!$C$8,'IP Attrition'!BF$134-1)&lt;=Inputs!$C$9,0,MIN(IF(ISERROR(VLOOKUP(BF$134+$F149,$D$135:$D$165,1,FALSE)),0,BE17*$C$2),MAX((IF(Monthly!BB$4=TRUE,Monthly!BB$13,Monthly!BB$14)*(1+'Attrition Modeling'!$N$8)-'IP Attrition'!BE$65)/12*'IP Attrition'!BE84,0)))</f>
        <v>0</v>
      </c>
      <c r="BG149" s="799">
        <f>IF(EOMONTH(Inputs!$C$8,'IP Attrition'!BG$134-1)&lt;=Inputs!$C$9,0,MIN(IF(ISERROR(VLOOKUP(BG$134+$F149,$D$135:$D$165,1,FALSE)),0,BF17*$C$2),MAX((IF(Monthly!BC$4=TRUE,Monthly!BC$13,Monthly!BC$14)*(1+'Attrition Modeling'!$N$8)-'IP Attrition'!BF$65)/12*'IP Attrition'!BF84,0)))</f>
        <v>0</v>
      </c>
      <c r="BH149" s="799">
        <f>IF(EOMONTH(Inputs!$C$8,'IP Attrition'!BH$134-1)&lt;=Inputs!$C$9,0,MIN(IF(ISERROR(VLOOKUP(BH$134+$F149,$D$135:$D$165,1,FALSE)),0,BG17*$C$2),MAX((IF(Monthly!BD$4=TRUE,Monthly!BD$13,Monthly!BD$14)*(1+'Attrition Modeling'!$N$8)-'IP Attrition'!BG$65)/12*'IP Attrition'!BG84,0)))</f>
        <v>0</v>
      </c>
      <c r="BI149" s="799">
        <f>IF(EOMONTH(Inputs!$C$8,'IP Attrition'!BI$134-1)&lt;=Inputs!$C$9,0,MIN(IF(ISERROR(VLOOKUP(BI$134+$F149,$D$135:$D$165,1,FALSE)),0,BH17*$C$2),MAX((IF(Monthly!BE$4=TRUE,Monthly!BE$13,Monthly!BE$14)*(1+'Attrition Modeling'!$N$8)-'IP Attrition'!BH$65)/12*'IP Attrition'!BH84,0)))</f>
        <v>0</v>
      </c>
      <c r="BJ149" s="799">
        <f>IF(EOMONTH(Inputs!$C$8,'IP Attrition'!BJ$134-1)&lt;=Inputs!$C$9,0,MIN(IF(ISERROR(VLOOKUP(BJ$134+$F149,$D$135:$D$165,1,FALSE)),0,BI17*$C$2),MAX((IF(Monthly!BF$4=TRUE,Monthly!BF$13,Monthly!BF$14)*(1+'Attrition Modeling'!$N$8)-'IP Attrition'!BI$65)/12*'IP Attrition'!BI84,0)))</f>
        <v>0</v>
      </c>
      <c r="BK149" s="799">
        <f>IF(EOMONTH(Inputs!$C$8,'IP Attrition'!BK$134-1)&lt;=Inputs!$C$9,0,MIN(IF(ISERROR(VLOOKUP(BK$134+$F149,$D$135:$D$165,1,FALSE)),0,BJ17*$C$2),MAX((IF(Monthly!BG$4=TRUE,Monthly!BG$13,Monthly!BG$14)*(1+'Attrition Modeling'!$N$8)-'IP Attrition'!BJ$65)/12*'IP Attrition'!BJ84,0)))</f>
        <v>0</v>
      </c>
      <c r="BL149" s="799">
        <f>IF(EOMONTH(Inputs!$C$8,'IP Attrition'!BL$134-1)&lt;=Inputs!$C$9,0,MIN(IF(ISERROR(VLOOKUP(BL$134+$F149,$D$135:$D$165,1,FALSE)),0,BK17*$C$2),MAX((IF(Monthly!BH$4=TRUE,Monthly!BH$13,Monthly!BH$14)*(1+'Attrition Modeling'!$N$8)-'IP Attrition'!BK$65)/12*'IP Attrition'!BK84,0)))</f>
        <v>0</v>
      </c>
      <c r="BM149" s="799">
        <f>IF(EOMONTH(Inputs!$C$8,'IP Attrition'!BM$134-1)&lt;=Inputs!$C$9,0,MIN(IF(ISERROR(VLOOKUP(BM$134+$F149,$D$135:$D$165,1,FALSE)),0,BL17*$C$2),MAX((IF(Monthly!BI$4=TRUE,Monthly!BI$13,Monthly!BI$14)*(1+'Attrition Modeling'!$N$8)-'IP Attrition'!BL$65)/12*'IP Attrition'!BL84,0)))</f>
        <v>0</v>
      </c>
      <c r="BN149" s="799">
        <f>IF(EOMONTH(Inputs!$C$8,'IP Attrition'!BN$134-1)&lt;=Inputs!$C$9,0,MIN(IF(ISERROR(VLOOKUP(BN$134+$F149,$D$135:$D$165,1,FALSE)),0,BM17*$C$2),MAX((IF(Monthly!BJ$4=TRUE,Monthly!BJ$13,Monthly!BJ$14)*(1+'Attrition Modeling'!$N$8)-'IP Attrition'!BM$65)/12*'IP Attrition'!BM84,0)))</f>
        <v>0</v>
      </c>
      <c r="BO149" s="799">
        <f>IF(EOMONTH(Inputs!$C$8,'IP Attrition'!BO$134-1)&lt;=Inputs!$C$9,0,MIN(IF(ISERROR(VLOOKUP(BO$134+$F149,$D$135:$D$165,1,FALSE)),0,BN17*$C$2),MAX((IF(Monthly!BK$4=TRUE,Monthly!BK$13,Monthly!BK$14)*(1+'Attrition Modeling'!$N$8)-'IP Attrition'!BN$65)/12*'IP Attrition'!BN84,0)))</f>
        <v>0</v>
      </c>
      <c r="BP149" s="799">
        <f>IF(EOMONTH(Inputs!$C$8,'IP Attrition'!BP$134-1)&lt;=Inputs!$C$9,0,MIN(IF(ISERROR(VLOOKUP(BP$134+$F149,$D$135:$D$165,1,FALSE)),0,BO17*$C$2),MAX((IF(Monthly!BL$4=TRUE,Monthly!BL$13,Monthly!BL$14)*(1+'Attrition Modeling'!$N$8)-'IP Attrition'!BO$65)/12*'IP Attrition'!BO84,0)))</f>
        <v>0</v>
      </c>
      <c r="BQ149" s="799">
        <f>IF(EOMONTH(Inputs!$C$8,'IP Attrition'!BQ$134-1)&lt;=Inputs!$C$9,0,MIN(IF(ISERROR(VLOOKUP(BQ$134+$F149,$D$135:$D$165,1,FALSE)),0,BP17*$C$2),MAX((IF(Monthly!BM$4=TRUE,Monthly!BM$13,Monthly!BM$14)*(1+'Attrition Modeling'!$N$8)-'IP Attrition'!BP$65)/12*'IP Attrition'!BP84,0)))</f>
        <v>0</v>
      </c>
      <c r="BR149" s="799">
        <f>IF(EOMONTH(Inputs!$C$8,'IP Attrition'!BR$134-1)&lt;=Inputs!$C$9,0,MIN(IF(ISERROR(VLOOKUP(BR$134+$F149,$D$135:$D$165,1,FALSE)),0,BQ17*$C$2),MAX((IF(Monthly!BN$4=TRUE,Monthly!BN$13,Monthly!BN$14)*(1+'Attrition Modeling'!$N$8)-'IP Attrition'!BQ$65)/12*'IP Attrition'!BQ84,0)))</f>
        <v>0</v>
      </c>
      <c r="BS149" s="799">
        <f>IF(EOMONTH(Inputs!$C$8,'IP Attrition'!BS$134-1)&lt;=Inputs!$C$9,0,MIN(IF(ISERROR(VLOOKUP(BS$134+$F149,$D$135:$D$165,1,FALSE)),0,BR17*$C$2),MAX((IF(Monthly!BO$4=TRUE,Monthly!BO$13,Monthly!BO$14)*(1+'Attrition Modeling'!$N$8)-'IP Attrition'!BR$65)/12*'IP Attrition'!BR84,0)))</f>
        <v>0</v>
      </c>
      <c r="BT149" s="799" t="e">
        <f>IF(EOMONTH(Inputs!$C$8,'IP Attrition'!BT$134-1)&lt;=Inputs!$C$9,0,MIN(IF(ISERROR(VLOOKUP(BT$134+$F149,$D$135:$D$165,1,FALSE)),0,BS17*$C$2),MAX((IF(Monthly!#REF!=TRUE,Monthly!#REF!,Monthly!#REF!)*(1+'Attrition Modeling'!$N$8)-'IP Attrition'!BS$65)/12*'IP Attrition'!BS84,0)))</f>
        <v>#REF!</v>
      </c>
      <c r="BU149" s="799" t="e">
        <f>IF(EOMONTH(Inputs!$C$8,'IP Attrition'!BU$134-1)&lt;=Inputs!$C$9,0,MIN(IF(ISERROR(VLOOKUP(BU$134+$F149,$D$135:$D$165,1,FALSE)),0,BT17*$C$2),MAX((IF(Monthly!#REF!=TRUE,Monthly!#REF!,Monthly!#REF!)*(1+'Attrition Modeling'!$N$8)-'IP Attrition'!BT$65)/12*'IP Attrition'!BT84,0)))</f>
        <v>#REF!</v>
      </c>
    </row>
    <row r="150" spans="1:73" ht="14.25" customHeight="1" x14ac:dyDescent="0.2">
      <c r="A150" s="9">
        <v>143</v>
      </c>
      <c r="B150" s="25">
        <f>MAX('Attrition Modeling'!H147,$C$3)*(1-Summary!$C$20)</f>
        <v>0.02</v>
      </c>
      <c r="C150" s="24" t="e">
        <f t="shared" si="3"/>
        <v>#DIV/0!</v>
      </c>
      <c r="D150" s="11">
        <f t="shared" si="72"/>
        <v>186</v>
      </c>
      <c r="E150" s="25">
        <f t="shared" si="71"/>
        <v>0</v>
      </c>
      <c r="F150" s="11">
        <f t="shared" si="73"/>
        <v>15</v>
      </c>
      <c r="G150" s="799"/>
      <c r="H150" s="799">
        <f>IF(EOMONTH(Inputs!$C$8,'IP Attrition'!H$134-1)&lt;=Inputs!$C$9,0,MIN(IF(ISERROR(VLOOKUP(H$134+$F150,$D$135:$D$165,1,FALSE)),0,G18*$C$2),MAX((IF(Monthly!D$4=TRUE,Monthly!D$13,Monthly!D$14)*(1+'Attrition Modeling'!$N$8)-'IP Attrition'!G$65)/12*'IP Attrition'!G85,0)))</f>
        <v>0</v>
      </c>
      <c r="I150" s="799">
        <f>IF(EOMONTH(Inputs!$C$8,'IP Attrition'!I$134-1)&lt;=Inputs!$C$9,0,MIN(IF(ISERROR(VLOOKUP(I$134+$F150,$D$135:$D$165,1,FALSE)),0,H18*$C$2),MAX((IF(Monthly!E$4=TRUE,Monthly!E$13,Monthly!E$14)*(1+'Attrition Modeling'!$N$8)-'IP Attrition'!H$65)/12*'IP Attrition'!H85,0)))</f>
        <v>0</v>
      </c>
      <c r="J150" s="799">
        <f>IF(EOMONTH(Inputs!$C$8,'IP Attrition'!J$134-1)&lt;=Inputs!$C$9,0,MIN(IF(ISERROR(VLOOKUP(J$134+$F150,$D$135:$D$165,1,FALSE)),0,I18*$C$2),MAX((IF(Monthly!F$4=TRUE,Monthly!F$13,Monthly!F$14)*(1+'Attrition Modeling'!$N$8)-'IP Attrition'!I$65)/12*'IP Attrition'!I85,0)))</f>
        <v>0</v>
      </c>
      <c r="K150" s="799">
        <f>IF(EOMONTH(Inputs!$C$8,'IP Attrition'!K$134-1)&lt;=Inputs!$C$9,0,MIN(IF(ISERROR(VLOOKUP(K$134+$F150,$D$135:$D$165,1,FALSE)),0,J18*$C$2),MAX((IF(Monthly!G$4=TRUE,Monthly!G$13,Monthly!G$14)*(1+'Attrition Modeling'!$N$8)-'IP Attrition'!J$65)/12*'IP Attrition'!J85,0)))</f>
        <v>0</v>
      </c>
      <c r="L150" s="799">
        <f>IF(EOMONTH(Inputs!$C$8,'IP Attrition'!L$134-1)&lt;=Inputs!$C$9,0,MIN(IF(ISERROR(VLOOKUP(L$134+$F150,$D$135:$D$165,1,FALSE)),0,K18*$C$2),MAX((IF(Monthly!H$4=TRUE,Monthly!H$13,Monthly!H$14)*(1+'Attrition Modeling'!$N$8)-'IP Attrition'!K$65)/12*'IP Attrition'!K85,0)))</f>
        <v>0</v>
      </c>
      <c r="M150" s="799">
        <f>IF(EOMONTH(Inputs!$C$8,'IP Attrition'!M$134-1)&lt;=Inputs!$C$9,0,MIN(IF(ISERROR(VLOOKUP(M$134+$F150,$D$135:$D$165,1,FALSE)),0,L18*$C$2),MAX((IF(Monthly!I$4=TRUE,Monthly!I$13,Monthly!I$14)*(1+'Attrition Modeling'!$N$8)-'IP Attrition'!L$65)/12*'IP Attrition'!L85,0)))</f>
        <v>0</v>
      </c>
      <c r="N150" s="799">
        <f>IF(EOMONTH(Inputs!$C$8,'IP Attrition'!N$134-1)&lt;=Inputs!$C$9,0,MIN(IF(ISERROR(VLOOKUP(N$134+$F150,$D$135:$D$165,1,FALSE)),0,M18*$C$2),MAX((IF(Monthly!J$4=TRUE,Monthly!J$13,Monthly!J$14)*(1+'Attrition Modeling'!$N$8)-'IP Attrition'!M$65)/12*'IP Attrition'!M85,0)))</f>
        <v>0</v>
      </c>
      <c r="O150" s="799">
        <f>IF(EOMONTH(Inputs!$C$8,'IP Attrition'!O$134-1)&lt;=Inputs!$C$9,0,MIN(IF(ISERROR(VLOOKUP(O$134+$F150,$D$135:$D$165,1,FALSE)),0,N18*$C$2),MAX((IF(Monthly!K$4=TRUE,Monthly!K$13,Monthly!K$14)*(1+'Attrition Modeling'!$N$8)-'IP Attrition'!N$65)/12*'IP Attrition'!N85,0)))</f>
        <v>0</v>
      </c>
      <c r="P150" s="799">
        <f>IF(EOMONTH(Inputs!$C$8,'IP Attrition'!P$134-1)&lt;=Inputs!$C$9,0,MIN(IF(ISERROR(VLOOKUP(P$134+$F150,$D$135:$D$165,1,FALSE)),0,O18*$C$2),MAX((IF(Monthly!L$4=TRUE,Monthly!L$13,Monthly!L$14)*(1+'Attrition Modeling'!$N$8)-'IP Attrition'!O$65)/12*'IP Attrition'!O85,0)))</f>
        <v>0</v>
      </c>
      <c r="Q150" s="799">
        <f>IF(EOMONTH(Inputs!$C$8,'IP Attrition'!Q$134-1)&lt;=Inputs!$C$9,0,MIN(IF(ISERROR(VLOOKUP(Q$134+$F150,$D$135:$D$165,1,FALSE)),0,P18*$C$2),MAX((IF(Monthly!M$4=TRUE,Monthly!M$13,Monthly!M$14)*(1+'Attrition Modeling'!$N$8)-'IP Attrition'!P$65)/12*'IP Attrition'!P85,0)))</f>
        <v>0</v>
      </c>
      <c r="R150" s="799">
        <f>IF(EOMONTH(Inputs!$C$8,'IP Attrition'!R$134-1)&lt;=Inputs!$C$9,0,MIN(IF(ISERROR(VLOOKUP(R$134+$F150,$D$135:$D$165,1,FALSE)),0,Q18*$C$2),MAX((IF(Monthly!N$4=TRUE,Monthly!N$13,Monthly!N$14)*(1+'Attrition Modeling'!$N$8)-'IP Attrition'!Q$65)/12*'IP Attrition'!Q85,0)))</f>
        <v>0</v>
      </c>
      <c r="S150" s="799">
        <f>IF(EOMONTH(Inputs!$C$8,'IP Attrition'!S$134-1)&lt;=Inputs!$C$9,0,MIN(IF(ISERROR(VLOOKUP(S$134+$F150,$D$135:$D$165,1,FALSE)),0,R18*$C$2),MAX((IF(Monthly!O$4=TRUE,Monthly!O$13,Monthly!O$14)*(1+'Attrition Modeling'!$N$8)-'IP Attrition'!R$65)/12*'IP Attrition'!R85,0)))</f>
        <v>0</v>
      </c>
      <c r="T150" s="799">
        <f>IF(EOMONTH(Inputs!$C$8,'IP Attrition'!T$134-1)&lt;=Inputs!$C$9,0,MIN(IF(ISERROR(VLOOKUP(T$134+$F150,$D$135:$D$165,1,FALSE)),0,S18*$C$2),MAX((IF(Monthly!P$4=TRUE,Monthly!P$13,Monthly!P$14)*(1+'Attrition Modeling'!$N$8)-'IP Attrition'!S$65)/12*'IP Attrition'!S85,0)))</f>
        <v>0</v>
      </c>
      <c r="U150" s="799">
        <f>IF(EOMONTH(Inputs!$C$8,'IP Attrition'!U$134-1)&lt;=Inputs!$C$9,0,MIN(IF(ISERROR(VLOOKUP(U$134+$F150,$D$135:$D$165,1,FALSE)),0,T18*$C$2),MAX((IF(Monthly!Q$4=TRUE,Monthly!Q$13,Monthly!Q$14)*(1+'Attrition Modeling'!$N$8)-'IP Attrition'!T$65)/12*'IP Attrition'!T85,0)))</f>
        <v>0</v>
      </c>
      <c r="V150" s="799">
        <f>IF(EOMONTH(Inputs!$C$8,'IP Attrition'!V$134-1)&lt;=Inputs!$C$9,0,MIN(IF(ISERROR(VLOOKUP(V$134+$F150,$D$135:$D$165,1,FALSE)),0,U18*$C$2),MAX((IF(Monthly!R$4=TRUE,Monthly!R$13,Monthly!R$14)*(1+'Attrition Modeling'!$N$8)-'IP Attrition'!U$65)/12*'IP Attrition'!U85,0)))</f>
        <v>0</v>
      </c>
      <c r="W150" s="799">
        <f>IF(EOMONTH(Inputs!$C$8,'IP Attrition'!W$134-1)&lt;=Inputs!$C$9,0,MIN(IF(ISERROR(VLOOKUP(W$134+$F150,$D$135:$D$165,1,FALSE)),0,V18*$C$2),MAX((IF(Monthly!S$4=TRUE,Monthly!S$13,Monthly!S$14)*(1+'Attrition Modeling'!$N$8)-'IP Attrition'!V$65)/12*'IP Attrition'!V85,0)))</f>
        <v>0</v>
      </c>
      <c r="X150" s="799">
        <f>IF(EOMONTH(Inputs!$C$8,'IP Attrition'!X$134-1)&lt;=Inputs!$C$9,0,MIN(IF(ISERROR(VLOOKUP(X$134+$F150,$D$135:$D$165,1,FALSE)),0,W18*$C$2),MAX((IF(Monthly!T$4=TRUE,Monthly!T$13,Monthly!T$14)*(1+'Attrition Modeling'!$N$8)-'IP Attrition'!W$65)/12*'IP Attrition'!W85,0)))</f>
        <v>0</v>
      </c>
      <c r="Y150" s="799">
        <f>IF(EOMONTH(Inputs!$C$8,'IP Attrition'!Y$134-1)&lt;=Inputs!$C$9,0,MIN(IF(ISERROR(VLOOKUP(Y$134+$F150,$D$135:$D$165,1,FALSE)),0,X18*$C$2),MAX((IF(Monthly!U$4=TRUE,Monthly!U$13,Monthly!U$14)*(1+'Attrition Modeling'!$N$8)-'IP Attrition'!X$65)/12*'IP Attrition'!X85,0)))</f>
        <v>0</v>
      </c>
      <c r="Z150" s="799">
        <f>IF(EOMONTH(Inputs!$C$8,'IP Attrition'!Z$134-1)&lt;=Inputs!$C$9,0,MIN(IF(ISERROR(VLOOKUP(Z$134+$F150,$D$135:$D$165,1,FALSE)),0,Y18*$C$2),MAX((IF(Monthly!V$4=TRUE,Monthly!V$13,Monthly!V$14)*(1+'Attrition Modeling'!$N$8)-'IP Attrition'!Y$65)/12*'IP Attrition'!Y85,0)))</f>
        <v>0</v>
      </c>
      <c r="AA150" s="799">
        <f>IF(EOMONTH(Inputs!$C$8,'IP Attrition'!AA$134-1)&lt;=Inputs!$C$9,0,MIN(IF(ISERROR(VLOOKUP(AA$134+$F150,$D$135:$D$165,1,FALSE)),0,Z18*$C$2),MAX((IF(Monthly!W$4=TRUE,Monthly!W$13,Monthly!W$14)*(1+'Attrition Modeling'!$N$8)-'IP Attrition'!Z$65)/12*'IP Attrition'!Z85,0)))</f>
        <v>0</v>
      </c>
      <c r="AB150" s="799">
        <f>IF(EOMONTH(Inputs!$C$8,'IP Attrition'!AB$134-1)&lt;=Inputs!$C$9,0,MIN(IF(ISERROR(VLOOKUP(AB$134+$F150,$D$135:$D$165,1,FALSE)),0,AA18*$C$2),MAX((IF(Monthly!X$4=TRUE,Monthly!X$13,Monthly!X$14)*(1+'Attrition Modeling'!$N$8)-'IP Attrition'!AA$65)/12*'IP Attrition'!AA85,0)))</f>
        <v>0</v>
      </c>
      <c r="AC150" s="799">
        <f>IF(EOMONTH(Inputs!$C$8,'IP Attrition'!AC$134-1)&lt;=Inputs!$C$9,0,MIN(IF(ISERROR(VLOOKUP(AC$134+$F150,$D$135:$D$165,1,FALSE)),0,AB18*$C$2),MAX((IF(Monthly!Y$4=TRUE,Monthly!Y$13,Monthly!Y$14)*(1+'Attrition Modeling'!$N$8)-'IP Attrition'!AB$65)/12*'IP Attrition'!AB85,0)))</f>
        <v>0</v>
      </c>
      <c r="AD150" s="799">
        <f>IF(EOMONTH(Inputs!$C$8,'IP Attrition'!AD$134-1)&lt;=Inputs!$C$9,0,MIN(IF(ISERROR(VLOOKUP(AD$134+$F150,$D$135:$D$165,1,FALSE)),0,AC18*$C$2),MAX((IF(Monthly!Z$4=TRUE,Monthly!Z$13,Monthly!Z$14)*(1+'Attrition Modeling'!$N$8)-'IP Attrition'!AC$65)/12*'IP Attrition'!AC85,0)))</f>
        <v>0</v>
      </c>
      <c r="AE150" s="799">
        <f>IF(EOMONTH(Inputs!$C$8,'IP Attrition'!AE$134-1)&lt;=Inputs!$C$9,0,MIN(IF(ISERROR(VLOOKUP(AE$134+$F150,$D$135:$D$165,1,FALSE)),0,AD18*$C$2),MAX((IF(Monthly!AA$4=TRUE,Monthly!AA$13,Monthly!AA$14)*(1+'Attrition Modeling'!$N$8)-'IP Attrition'!AD$65)/12*'IP Attrition'!AD85,0)))</f>
        <v>0</v>
      </c>
      <c r="AF150" s="799">
        <f>IF(EOMONTH(Inputs!$C$8,'IP Attrition'!AF$134-1)&lt;=Inputs!$C$9,0,MIN(IF(ISERROR(VLOOKUP(AF$134+$F150,$D$135:$D$165,1,FALSE)),0,AE18*$C$2),MAX((IF(Monthly!AB$4=TRUE,Monthly!AB$13,Monthly!AB$14)*(1+'Attrition Modeling'!$N$8)-'IP Attrition'!AE$65)/12*'IP Attrition'!AE85,0)))</f>
        <v>0</v>
      </c>
      <c r="AG150" s="799">
        <f>IF(EOMONTH(Inputs!$C$8,'IP Attrition'!AG$134-1)&lt;=Inputs!$C$9,0,MIN(IF(ISERROR(VLOOKUP(AG$134+$F150,$D$135:$D$165,1,FALSE)),0,AF18*$C$2),MAX((IF(Monthly!AC$4=TRUE,Monthly!AC$13,Monthly!AC$14)*(1+'Attrition Modeling'!$N$8)-'IP Attrition'!AF$65)/12*'IP Attrition'!AF85,0)))</f>
        <v>0</v>
      </c>
      <c r="AH150" s="799">
        <f>IF(EOMONTH(Inputs!$C$8,'IP Attrition'!AH$134-1)&lt;=Inputs!$C$9,0,MIN(IF(ISERROR(VLOOKUP(AH$134+$F150,$D$135:$D$165,1,FALSE)),0,AG18*$C$2),MAX((IF(Monthly!AD$4=TRUE,Monthly!AD$13,Monthly!AD$14)*(1+'Attrition Modeling'!$N$8)-'IP Attrition'!AG$65)/12*'IP Attrition'!AG85,0)))</f>
        <v>0</v>
      </c>
      <c r="AI150" s="799">
        <f>IF(EOMONTH(Inputs!$C$8,'IP Attrition'!AI$134-1)&lt;=Inputs!$C$9,0,MIN(IF(ISERROR(VLOOKUP(AI$134+$F150,$D$135:$D$165,1,FALSE)),0,AH18*$C$2),MAX((IF(Monthly!AE$4=TRUE,Monthly!AE$13,Monthly!AE$14)*(1+'Attrition Modeling'!$N$8)-'IP Attrition'!AH$65)/12*'IP Attrition'!AH85,0)))</f>
        <v>0</v>
      </c>
      <c r="AJ150" s="799">
        <f>IF(EOMONTH(Inputs!$C$8,'IP Attrition'!AJ$134-1)&lt;=Inputs!$C$9,0,MIN(IF(ISERROR(VLOOKUP(AJ$134+$F150,$D$135:$D$165,1,FALSE)),0,AI18*$C$2),MAX((IF(Monthly!AF$4=TRUE,Monthly!AF$13,Monthly!AF$14)*(1+'Attrition Modeling'!$N$8)-'IP Attrition'!AI$65)/12*'IP Attrition'!AI85,0)))</f>
        <v>0</v>
      </c>
      <c r="AK150" s="799">
        <f>IF(EOMONTH(Inputs!$C$8,'IP Attrition'!AK$134-1)&lt;=Inputs!$C$9,0,MIN(IF(ISERROR(VLOOKUP(AK$134+$F150,$D$135:$D$165,1,FALSE)),0,AJ18*$C$2),MAX((IF(Monthly!AG$4=TRUE,Monthly!AG$13,Monthly!AG$14)*(1+'Attrition Modeling'!$N$8)-'IP Attrition'!AJ$65)/12*'IP Attrition'!AJ85,0)))</f>
        <v>0</v>
      </c>
      <c r="AL150" s="799">
        <f>IF(EOMONTH(Inputs!$C$8,'IP Attrition'!AL$134-1)&lt;=Inputs!$C$9,0,MIN(IF(ISERROR(VLOOKUP(AL$134+$F150,$D$135:$D$165,1,FALSE)),0,AK18*$C$2),MAX((IF(Monthly!AH$4=TRUE,Monthly!AH$13,Monthly!AH$14)*(1+'Attrition Modeling'!$N$8)-'IP Attrition'!AK$65)/12*'IP Attrition'!AK85,0)))</f>
        <v>0</v>
      </c>
      <c r="AM150" s="799">
        <f>IF(EOMONTH(Inputs!$C$8,'IP Attrition'!AM$134-1)&lt;=Inputs!$C$9,0,MIN(IF(ISERROR(VLOOKUP(AM$134+$F150,$D$135:$D$165,1,FALSE)),0,AL18*$C$2),MAX((IF(Monthly!AI$4=TRUE,Monthly!AI$13,Monthly!AI$14)*(1+'Attrition Modeling'!$N$8)-'IP Attrition'!AL$65)/12*'IP Attrition'!AL85,0)))</f>
        <v>0</v>
      </c>
      <c r="AN150" s="799">
        <f>IF(EOMONTH(Inputs!$C$8,'IP Attrition'!AN$134-1)&lt;=Inputs!$C$9,0,MIN(IF(ISERROR(VLOOKUP(AN$134+$F150,$D$135:$D$165,1,FALSE)),0,AM18*$C$2),MAX((IF(Monthly!AJ$4=TRUE,Monthly!AJ$13,Monthly!AJ$14)*(1+'Attrition Modeling'!$N$8)-'IP Attrition'!AM$65)/12*'IP Attrition'!AM85,0)))</f>
        <v>0</v>
      </c>
      <c r="AO150" s="799">
        <f>IF(EOMONTH(Inputs!$C$8,'IP Attrition'!AO$134-1)&lt;=Inputs!$C$9,0,MIN(IF(ISERROR(VLOOKUP(AO$134+$F150,$D$135:$D$165,1,FALSE)),0,AN18*$C$2),MAX((IF(Monthly!AK$4=TRUE,Monthly!AK$13,Monthly!AK$14)*(1+'Attrition Modeling'!$N$8)-'IP Attrition'!AN$65)/12*'IP Attrition'!AN85,0)))</f>
        <v>0</v>
      </c>
      <c r="AP150" s="799">
        <f>IF(EOMONTH(Inputs!$C$8,'IP Attrition'!AP$134-1)&lt;=Inputs!$C$9,0,MIN(IF(ISERROR(VLOOKUP(AP$134+$F150,$D$135:$D$165,1,FALSE)),0,AO18*$C$2),MAX((IF(Monthly!AL$4=TRUE,Monthly!AL$13,Monthly!AL$14)*(1+'Attrition Modeling'!$N$8)-'IP Attrition'!AO$65)/12*'IP Attrition'!AO85,0)))</f>
        <v>0</v>
      </c>
      <c r="AQ150" s="799">
        <f>IF(EOMONTH(Inputs!$C$8,'IP Attrition'!AQ$134-1)&lt;=Inputs!$C$9,0,MIN(IF(ISERROR(VLOOKUP(AQ$134+$F150,$D$135:$D$165,1,FALSE)),0,AP18*$C$2),MAX((IF(Monthly!AM$4=TRUE,Monthly!AM$13,Monthly!AM$14)*(1+'Attrition Modeling'!$N$8)-'IP Attrition'!AP$65)/12*'IP Attrition'!AP85,0)))</f>
        <v>0</v>
      </c>
      <c r="AR150" s="799">
        <f>IF(EOMONTH(Inputs!$C$8,'IP Attrition'!AR$134-1)&lt;=Inputs!$C$9,0,MIN(IF(ISERROR(VLOOKUP(AR$134+$F150,$D$135:$D$165,1,FALSE)),0,AQ18*$C$2),MAX((IF(Monthly!AN$4=TRUE,Monthly!AN$13,Monthly!AN$14)*(1+'Attrition Modeling'!$N$8)-'IP Attrition'!AQ$65)/12*'IP Attrition'!AQ85,0)))</f>
        <v>0</v>
      </c>
      <c r="AS150" s="799">
        <f>IF(EOMONTH(Inputs!$C$8,'IP Attrition'!AS$134-1)&lt;=Inputs!$C$9,0,MIN(IF(ISERROR(VLOOKUP(AS$134+$F150,$D$135:$D$165,1,FALSE)),0,AR18*$C$2),MAX((IF(Monthly!AO$4=TRUE,Monthly!AO$13,Monthly!AO$14)*(1+'Attrition Modeling'!$N$8)-'IP Attrition'!AR$65)/12*'IP Attrition'!AR85,0)))</f>
        <v>0</v>
      </c>
      <c r="AT150" s="799">
        <f>IF(EOMONTH(Inputs!$C$8,'IP Attrition'!AT$134-1)&lt;=Inputs!$C$9,0,MIN(IF(ISERROR(VLOOKUP(AT$134+$F150,$D$135:$D$165,1,FALSE)),0,AS18*$C$2),MAX((IF(Monthly!AP$4=TRUE,Monthly!AP$13,Monthly!AP$14)*(1+'Attrition Modeling'!$N$8)-'IP Attrition'!AS$65)/12*'IP Attrition'!AS85,0)))</f>
        <v>0</v>
      </c>
      <c r="AU150" s="799">
        <f>IF(EOMONTH(Inputs!$C$8,'IP Attrition'!AU$134-1)&lt;=Inputs!$C$9,0,MIN(IF(ISERROR(VLOOKUP(AU$134+$F150,$D$135:$D$165,1,FALSE)),0,AT18*$C$2),MAX((IF(Monthly!AQ$4=TRUE,Monthly!AQ$13,Monthly!AQ$14)*(1+'Attrition Modeling'!$N$8)-'IP Attrition'!AT$65)/12*'IP Attrition'!AT85,0)))</f>
        <v>0</v>
      </c>
      <c r="AV150" s="799">
        <f>IF(EOMONTH(Inputs!$C$8,'IP Attrition'!AV$134-1)&lt;=Inputs!$C$9,0,MIN(IF(ISERROR(VLOOKUP(AV$134+$F150,$D$135:$D$165,1,FALSE)),0,AU18*$C$2),MAX((IF(Monthly!AR$4=TRUE,Monthly!AR$13,Monthly!AR$14)*(1+'Attrition Modeling'!$N$8)-'IP Attrition'!AU$65)/12*'IP Attrition'!AU85,0)))</f>
        <v>0</v>
      </c>
      <c r="AW150" s="799">
        <f>IF(EOMONTH(Inputs!$C$8,'IP Attrition'!AW$134-1)&lt;=Inputs!$C$9,0,MIN(IF(ISERROR(VLOOKUP(AW$134+$F150,$D$135:$D$165,1,FALSE)),0,AV18*$C$2),MAX((IF(Monthly!AS$4=TRUE,Monthly!AS$13,Monthly!AS$14)*(1+'Attrition Modeling'!$N$8)-'IP Attrition'!AV$65)/12*'IP Attrition'!AV85,0)))</f>
        <v>0</v>
      </c>
      <c r="AX150" s="799">
        <f>IF(EOMONTH(Inputs!$C$8,'IP Attrition'!AX$134-1)&lt;=Inputs!$C$9,0,MIN(IF(ISERROR(VLOOKUP(AX$134+$F150,$D$135:$D$165,1,FALSE)),0,AW18*$C$2),MAX((IF(Monthly!AT$4=TRUE,Monthly!AT$13,Monthly!AT$14)*(1+'Attrition Modeling'!$N$8)-'IP Attrition'!AW$65)/12*'IP Attrition'!AW85,0)))</f>
        <v>0</v>
      </c>
      <c r="AY150" s="799">
        <f>IF(EOMONTH(Inputs!$C$8,'IP Attrition'!AY$134-1)&lt;=Inputs!$C$9,0,MIN(IF(ISERROR(VLOOKUP(AY$134+$F150,$D$135:$D$165,1,FALSE)),0,AX18*$C$2),MAX((IF(Monthly!AU$4=TRUE,Monthly!AU$13,Monthly!AU$14)*(1+'Attrition Modeling'!$N$8)-'IP Attrition'!AX$65)/12*'IP Attrition'!AX85,0)))</f>
        <v>0</v>
      </c>
      <c r="AZ150" s="799">
        <f>IF(EOMONTH(Inputs!$C$8,'IP Attrition'!AZ$134-1)&lt;=Inputs!$C$9,0,MIN(IF(ISERROR(VLOOKUP(AZ$134+$F150,$D$135:$D$165,1,FALSE)),0,AY18*$C$2),MAX((IF(Monthly!AV$4=TRUE,Monthly!AV$13,Monthly!AV$14)*(1+'Attrition Modeling'!$N$8)-'IP Attrition'!AY$65)/12*'IP Attrition'!AY85,0)))</f>
        <v>0</v>
      </c>
      <c r="BA150" s="799">
        <f>IF(EOMONTH(Inputs!$C$8,'IP Attrition'!BA$134-1)&lt;=Inputs!$C$9,0,MIN(IF(ISERROR(VLOOKUP(BA$134+$F150,$D$135:$D$165,1,FALSE)),0,AZ18*$C$2),MAX((IF(Monthly!AW$4=TRUE,Monthly!AW$13,Monthly!AW$14)*(1+'Attrition Modeling'!$N$8)-'IP Attrition'!AZ$65)/12*'IP Attrition'!AZ85,0)))</f>
        <v>0</v>
      </c>
      <c r="BB150" s="799">
        <f>IF(EOMONTH(Inputs!$C$8,'IP Attrition'!BB$134-1)&lt;=Inputs!$C$9,0,MIN(IF(ISERROR(VLOOKUP(BB$134+$F150,$D$135:$D$165,1,FALSE)),0,BA18*$C$2),MAX((IF(Monthly!AX$4=TRUE,Monthly!AX$13,Monthly!AX$14)*(1+'Attrition Modeling'!$N$8)-'IP Attrition'!BA$65)/12*'IP Attrition'!BA85,0)))</f>
        <v>0</v>
      </c>
      <c r="BC150" s="799">
        <f>IF(EOMONTH(Inputs!$C$8,'IP Attrition'!BC$134-1)&lt;=Inputs!$C$9,0,MIN(IF(ISERROR(VLOOKUP(BC$134+$F150,$D$135:$D$165,1,FALSE)),0,BB18*$C$2),MAX((IF(Monthly!AY$4=TRUE,Monthly!AY$13,Monthly!AY$14)*(1+'Attrition Modeling'!$N$8)-'IP Attrition'!BB$65)/12*'IP Attrition'!BB85,0)))</f>
        <v>0</v>
      </c>
      <c r="BD150" s="799">
        <f>IF(EOMONTH(Inputs!$C$8,'IP Attrition'!BD$134-1)&lt;=Inputs!$C$9,0,MIN(IF(ISERROR(VLOOKUP(BD$134+$F150,$D$135:$D$165,1,FALSE)),0,BC18*$C$2),MAX((IF(Monthly!AZ$4=TRUE,Monthly!AZ$13,Monthly!AZ$14)*(1+'Attrition Modeling'!$N$8)-'IP Attrition'!BC$65)/12*'IP Attrition'!BC85,0)))</f>
        <v>0</v>
      </c>
      <c r="BE150" s="799">
        <f>IF(EOMONTH(Inputs!$C$8,'IP Attrition'!BE$134-1)&lt;=Inputs!$C$9,0,MIN(IF(ISERROR(VLOOKUP(BE$134+$F150,$D$135:$D$165,1,FALSE)),0,BD18*$C$2),MAX((IF(Monthly!BA$4=TRUE,Monthly!BA$13,Monthly!BA$14)*(1+'Attrition Modeling'!$N$8)-'IP Attrition'!BD$65)/12*'IP Attrition'!BD85,0)))</f>
        <v>0</v>
      </c>
      <c r="BF150" s="799">
        <f>IF(EOMONTH(Inputs!$C$8,'IP Attrition'!BF$134-1)&lt;=Inputs!$C$9,0,MIN(IF(ISERROR(VLOOKUP(BF$134+$F150,$D$135:$D$165,1,FALSE)),0,BE18*$C$2),MAX((IF(Monthly!BB$4=TRUE,Monthly!BB$13,Monthly!BB$14)*(1+'Attrition Modeling'!$N$8)-'IP Attrition'!BE$65)/12*'IP Attrition'!BE85,0)))</f>
        <v>0</v>
      </c>
      <c r="BG150" s="799">
        <f>IF(EOMONTH(Inputs!$C$8,'IP Attrition'!BG$134-1)&lt;=Inputs!$C$9,0,MIN(IF(ISERROR(VLOOKUP(BG$134+$F150,$D$135:$D$165,1,FALSE)),0,BF18*$C$2),MAX((IF(Monthly!BC$4=TRUE,Monthly!BC$13,Monthly!BC$14)*(1+'Attrition Modeling'!$N$8)-'IP Attrition'!BF$65)/12*'IP Attrition'!BF85,0)))</f>
        <v>0</v>
      </c>
      <c r="BH150" s="799">
        <f>IF(EOMONTH(Inputs!$C$8,'IP Attrition'!BH$134-1)&lt;=Inputs!$C$9,0,MIN(IF(ISERROR(VLOOKUP(BH$134+$F150,$D$135:$D$165,1,FALSE)),0,BG18*$C$2),MAX((IF(Monthly!BD$4=TRUE,Monthly!BD$13,Monthly!BD$14)*(1+'Attrition Modeling'!$N$8)-'IP Attrition'!BG$65)/12*'IP Attrition'!BG85,0)))</f>
        <v>0</v>
      </c>
      <c r="BI150" s="799">
        <f>IF(EOMONTH(Inputs!$C$8,'IP Attrition'!BI$134-1)&lt;=Inputs!$C$9,0,MIN(IF(ISERROR(VLOOKUP(BI$134+$F150,$D$135:$D$165,1,FALSE)),0,BH18*$C$2),MAX((IF(Monthly!BE$4=TRUE,Monthly!BE$13,Monthly!BE$14)*(1+'Attrition Modeling'!$N$8)-'IP Attrition'!BH$65)/12*'IP Attrition'!BH85,0)))</f>
        <v>0</v>
      </c>
      <c r="BJ150" s="799">
        <f>IF(EOMONTH(Inputs!$C$8,'IP Attrition'!BJ$134-1)&lt;=Inputs!$C$9,0,MIN(IF(ISERROR(VLOOKUP(BJ$134+$F150,$D$135:$D$165,1,FALSE)),0,BI18*$C$2),MAX((IF(Monthly!BF$4=TRUE,Monthly!BF$13,Monthly!BF$14)*(1+'Attrition Modeling'!$N$8)-'IP Attrition'!BI$65)/12*'IP Attrition'!BI85,0)))</f>
        <v>0</v>
      </c>
      <c r="BK150" s="799">
        <f>IF(EOMONTH(Inputs!$C$8,'IP Attrition'!BK$134-1)&lt;=Inputs!$C$9,0,MIN(IF(ISERROR(VLOOKUP(BK$134+$F150,$D$135:$D$165,1,FALSE)),0,BJ18*$C$2),MAX((IF(Monthly!BG$4=TRUE,Monthly!BG$13,Monthly!BG$14)*(1+'Attrition Modeling'!$N$8)-'IP Attrition'!BJ$65)/12*'IP Attrition'!BJ85,0)))</f>
        <v>0</v>
      </c>
      <c r="BL150" s="799">
        <f>IF(EOMONTH(Inputs!$C$8,'IP Attrition'!BL$134-1)&lt;=Inputs!$C$9,0,MIN(IF(ISERROR(VLOOKUP(BL$134+$F150,$D$135:$D$165,1,FALSE)),0,BK18*$C$2),MAX((IF(Monthly!BH$4=TRUE,Monthly!BH$13,Monthly!BH$14)*(1+'Attrition Modeling'!$N$8)-'IP Attrition'!BK$65)/12*'IP Attrition'!BK85,0)))</f>
        <v>0</v>
      </c>
      <c r="BM150" s="799">
        <f>IF(EOMONTH(Inputs!$C$8,'IP Attrition'!BM$134-1)&lt;=Inputs!$C$9,0,MIN(IF(ISERROR(VLOOKUP(BM$134+$F150,$D$135:$D$165,1,FALSE)),0,BL18*$C$2),MAX((IF(Monthly!BI$4=TRUE,Monthly!BI$13,Monthly!BI$14)*(1+'Attrition Modeling'!$N$8)-'IP Attrition'!BL$65)/12*'IP Attrition'!BL85,0)))</f>
        <v>0</v>
      </c>
      <c r="BN150" s="799">
        <f>IF(EOMONTH(Inputs!$C$8,'IP Attrition'!BN$134-1)&lt;=Inputs!$C$9,0,MIN(IF(ISERROR(VLOOKUP(BN$134+$F150,$D$135:$D$165,1,FALSE)),0,BM18*$C$2),MAX((IF(Monthly!BJ$4=TRUE,Monthly!BJ$13,Monthly!BJ$14)*(1+'Attrition Modeling'!$N$8)-'IP Attrition'!BM$65)/12*'IP Attrition'!BM85,0)))</f>
        <v>0</v>
      </c>
      <c r="BO150" s="799">
        <f>IF(EOMONTH(Inputs!$C$8,'IP Attrition'!BO$134-1)&lt;=Inputs!$C$9,0,MIN(IF(ISERROR(VLOOKUP(BO$134+$F150,$D$135:$D$165,1,FALSE)),0,BN18*$C$2),MAX((IF(Monthly!BK$4=TRUE,Monthly!BK$13,Monthly!BK$14)*(1+'Attrition Modeling'!$N$8)-'IP Attrition'!BN$65)/12*'IP Attrition'!BN85,0)))</f>
        <v>0</v>
      </c>
      <c r="BP150" s="799">
        <f>IF(EOMONTH(Inputs!$C$8,'IP Attrition'!BP$134-1)&lt;=Inputs!$C$9,0,MIN(IF(ISERROR(VLOOKUP(BP$134+$F150,$D$135:$D$165,1,FALSE)),0,BO18*$C$2),MAX((IF(Monthly!BL$4=TRUE,Monthly!BL$13,Monthly!BL$14)*(1+'Attrition Modeling'!$N$8)-'IP Attrition'!BO$65)/12*'IP Attrition'!BO85,0)))</f>
        <v>0</v>
      </c>
      <c r="BQ150" s="799">
        <f>IF(EOMONTH(Inputs!$C$8,'IP Attrition'!BQ$134-1)&lt;=Inputs!$C$9,0,MIN(IF(ISERROR(VLOOKUP(BQ$134+$F150,$D$135:$D$165,1,FALSE)),0,BP18*$C$2),MAX((IF(Monthly!BM$4=TRUE,Monthly!BM$13,Monthly!BM$14)*(1+'Attrition Modeling'!$N$8)-'IP Attrition'!BP$65)/12*'IP Attrition'!BP85,0)))</f>
        <v>0</v>
      </c>
      <c r="BR150" s="799">
        <f>IF(EOMONTH(Inputs!$C$8,'IP Attrition'!BR$134-1)&lt;=Inputs!$C$9,0,MIN(IF(ISERROR(VLOOKUP(BR$134+$F150,$D$135:$D$165,1,FALSE)),0,BQ18*$C$2),MAX((IF(Monthly!BN$4=TRUE,Monthly!BN$13,Monthly!BN$14)*(1+'Attrition Modeling'!$N$8)-'IP Attrition'!BQ$65)/12*'IP Attrition'!BQ85,0)))</f>
        <v>0</v>
      </c>
      <c r="BS150" s="799">
        <f>IF(EOMONTH(Inputs!$C$8,'IP Attrition'!BS$134-1)&lt;=Inputs!$C$9,0,MIN(IF(ISERROR(VLOOKUP(BS$134+$F150,$D$135:$D$165,1,FALSE)),0,BR18*$C$2),MAX((IF(Monthly!BO$4=TRUE,Monthly!BO$13,Monthly!BO$14)*(1+'Attrition Modeling'!$N$8)-'IP Attrition'!BR$65)/12*'IP Attrition'!BR85,0)))</f>
        <v>0</v>
      </c>
      <c r="BT150" s="799" t="e">
        <f>IF(EOMONTH(Inputs!$C$8,'IP Attrition'!BT$134-1)&lt;=Inputs!$C$9,0,MIN(IF(ISERROR(VLOOKUP(BT$134+$F150,$D$135:$D$165,1,FALSE)),0,BS18*$C$2),MAX((IF(Monthly!#REF!=TRUE,Monthly!#REF!,Monthly!#REF!)*(1+'Attrition Modeling'!$N$8)-'IP Attrition'!BS$65)/12*'IP Attrition'!BS85,0)))</f>
        <v>#REF!</v>
      </c>
      <c r="BU150" s="799" t="e">
        <f>IF(EOMONTH(Inputs!$C$8,'IP Attrition'!BU$134-1)&lt;=Inputs!$C$9,0,MIN(IF(ISERROR(VLOOKUP(BU$134+$F150,$D$135:$D$165,1,FALSE)),0,BT18*$C$2),MAX((IF(Monthly!#REF!=TRUE,Monthly!#REF!,Monthly!#REF!)*(1+'Attrition Modeling'!$N$8)-'IP Attrition'!BT$65)/12*'IP Attrition'!BT85,0)))</f>
        <v>#REF!</v>
      </c>
    </row>
    <row r="151" spans="1:73" ht="14.25" customHeight="1" x14ac:dyDescent="0.2">
      <c r="A151" s="9">
        <v>144</v>
      </c>
      <c r="B151" s="25">
        <f>MAX('Attrition Modeling'!H148,$C$3)*(1-Summary!$C$20)</f>
        <v>0.02</v>
      </c>
      <c r="C151" s="24" t="e">
        <f t="shared" si="3"/>
        <v>#DIV/0!</v>
      </c>
      <c r="D151" s="11">
        <f t="shared" si="72"/>
        <v>198</v>
      </c>
      <c r="E151" s="25">
        <f t="shared" si="71"/>
        <v>0</v>
      </c>
      <c r="F151" s="11">
        <f t="shared" si="73"/>
        <v>16</v>
      </c>
      <c r="G151" s="799"/>
      <c r="H151" s="799">
        <f>IF(EOMONTH(Inputs!$C$8,'IP Attrition'!H$134-1)&lt;=Inputs!$C$9,0,MIN(IF(ISERROR(VLOOKUP(H$134+$F151,$D$135:$D$165,1,FALSE)),0,G19*$C$2),MAX((IF(Monthly!D$4=TRUE,Monthly!D$13,Monthly!D$14)*(1+'Attrition Modeling'!$N$8)-'IP Attrition'!G$65)/12*'IP Attrition'!G86,0)))</f>
        <v>0</v>
      </c>
      <c r="I151" s="799">
        <f>IF(EOMONTH(Inputs!$C$8,'IP Attrition'!I$134-1)&lt;=Inputs!$C$9,0,MIN(IF(ISERROR(VLOOKUP(I$134+$F151,$D$135:$D$165,1,FALSE)),0,H19*$C$2),MAX((IF(Monthly!E$4=TRUE,Monthly!E$13,Monthly!E$14)*(1+'Attrition Modeling'!$N$8)-'IP Attrition'!H$65)/12*'IP Attrition'!H86,0)))</f>
        <v>0</v>
      </c>
      <c r="J151" s="799">
        <f>IF(EOMONTH(Inputs!$C$8,'IP Attrition'!J$134-1)&lt;=Inputs!$C$9,0,MIN(IF(ISERROR(VLOOKUP(J$134+$F151,$D$135:$D$165,1,FALSE)),0,I19*$C$2),MAX((IF(Monthly!F$4=TRUE,Monthly!F$13,Monthly!F$14)*(1+'Attrition Modeling'!$N$8)-'IP Attrition'!I$65)/12*'IP Attrition'!I86,0)))</f>
        <v>0</v>
      </c>
      <c r="K151" s="799">
        <f>IF(EOMONTH(Inputs!$C$8,'IP Attrition'!K$134-1)&lt;=Inputs!$C$9,0,MIN(IF(ISERROR(VLOOKUP(K$134+$F151,$D$135:$D$165,1,FALSE)),0,J19*$C$2),MAX((IF(Monthly!G$4=TRUE,Monthly!G$13,Monthly!G$14)*(1+'Attrition Modeling'!$N$8)-'IP Attrition'!J$65)/12*'IP Attrition'!J86,0)))</f>
        <v>0</v>
      </c>
      <c r="L151" s="799">
        <f>IF(EOMONTH(Inputs!$C$8,'IP Attrition'!L$134-1)&lt;=Inputs!$C$9,0,MIN(IF(ISERROR(VLOOKUP(L$134+$F151,$D$135:$D$165,1,FALSE)),0,K19*$C$2),MAX((IF(Monthly!H$4=TRUE,Monthly!H$13,Monthly!H$14)*(1+'Attrition Modeling'!$N$8)-'IP Attrition'!K$65)/12*'IP Attrition'!K86,0)))</f>
        <v>0</v>
      </c>
      <c r="M151" s="799">
        <f>IF(EOMONTH(Inputs!$C$8,'IP Attrition'!M$134-1)&lt;=Inputs!$C$9,0,MIN(IF(ISERROR(VLOOKUP(M$134+$F151,$D$135:$D$165,1,FALSE)),0,L19*$C$2),MAX((IF(Monthly!I$4=TRUE,Monthly!I$13,Monthly!I$14)*(1+'Attrition Modeling'!$N$8)-'IP Attrition'!L$65)/12*'IP Attrition'!L86,0)))</f>
        <v>0</v>
      </c>
      <c r="N151" s="799">
        <f>IF(EOMONTH(Inputs!$C$8,'IP Attrition'!N$134-1)&lt;=Inputs!$C$9,0,MIN(IF(ISERROR(VLOOKUP(N$134+$F151,$D$135:$D$165,1,FALSE)),0,M19*$C$2),MAX((IF(Monthly!J$4=TRUE,Monthly!J$13,Monthly!J$14)*(1+'Attrition Modeling'!$N$8)-'IP Attrition'!M$65)/12*'IP Attrition'!M86,0)))</f>
        <v>0</v>
      </c>
      <c r="O151" s="799">
        <f>IF(EOMONTH(Inputs!$C$8,'IP Attrition'!O$134-1)&lt;=Inputs!$C$9,0,MIN(IF(ISERROR(VLOOKUP(O$134+$F151,$D$135:$D$165,1,FALSE)),0,N19*$C$2),MAX((IF(Monthly!K$4=TRUE,Monthly!K$13,Monthly!K$14)*(1+'Attrition Modeling'!$N$8)-'IP Attrition'!N$65)/12*'IP Attrition'!N86,0)))</f>
        <v>0</v>
      </c>
      <c r="P151" s="799">
        <f>IF(EOMONTH(Inputs!$C$8,'IP Attrition'!P$134-1)&lt;=Inputs!$C$9,0,MIN(IF(ISERROR(VLOOKUP(P$134+$F151,$D$135:$D$165,1,FALSE)),0,O19*$C$2),MAX((IF(Monthly!L$4=TRUE,Monthly!L$13,Monthly!L$14)*(1+'Attrition Modeling'!$N$8)-'IP Attrition'!O$65)/12*'IP Attrition'!O86,0)))</f>
        <v>0</v>
      </c>
      <c r="Q151" s="799">
        <f>IF(EOMONTH(Inputs!$C$8,'IP Attrition'!Q$134-1)&lt;=Inputs!$C$9,0,MIN(IF(ISERROR(VLOOKUP(Q$134+$F151,$D$135:$D$165,1,FALSE)),0,P19*$C$2),MAX((IF(Monthly!M$4=TRUE,Monthly!M$13,Monthly!M$14)*(1+'Attrition Modeling'!$N$8)-'IP Attrition'!P$65)/12*'IP Attrition'!P86,0)))</f>
        <v>0</v>
      </c>
      <c r="R151" s="799">
        <f>IF(EOMONTH(Inputs!$C$8,'IP Attrition'!R$134-1)&lt;=Inputs!$C$9,0,MIN(IF(ISERROR(VLOOKUP(R$134+$F151,$D$135:$D$165,1,FALSE)),0,Q19*$C$2),MAX((IF(Monthly!N$4=TRUE,Monthly!N$13,Monthly!N$14)*(1+'Attrition Modeling'!$N$8)-'IP Attrition'!Q$65)/12*'IP Attrition'!Q86,0)))</f>
        <v>0</v>
      </c>
      <c r="S151" s="799">
        <f>IF(EOMONTH(Inputs!$C$8,'IP Attrition'!S$134-1)&lt;=Inputs!$C$9,0,MIN(IF(ISERROR(VLOOKUP(S$134+$F151,$D$135:$D$165,1,FALSE)),0,R19*$C$2),MAX((IF(Monthly!O$4=TRUE,Monthly!O$13,Monthly!O$14)*(1+'Attrition Modeling'!$N$8)-'IP Attrition'!R$65)/12*'IP Attrition'!R86,0)))</f>
        <v>0</v>
      </c>
      <c r="T151" s="799">
        <f>IF(EOMONTH(Inputs!$C$8,'IP Attrition'!T$134-1)&lt;=Inputs!$C$9,0,MIN(IF(ISERROR(VLOOKUP(T$134+$F151,$D$135:$D$165,1,FALSE)),0,S19*$C$2),MAX((IF(Monthly!P$4=TRUE,Monthly!P$13,Monthly!P$14)*(1+'Attrition Modeling'!$N$8)-'IP Attrition'!S$65)/12*'IP Attrition'!S86,0)))</f>
        <v>0</v>
      </c>
      <c r="U151" s="799">
        <f>IF(EOMONTH(Inputs!$C$8,'IP Attrition'!U$134-1)&lt;=Inputs!$C$9,0,MIN(IF(ISERROR(VLOOKUP(U$134+$F151,$D$135:$D$165,1,FALSE)),0,T19*$C$2),MAX((IF(Monthly!Q$4=TRUE,Monthly!Q$13,Monthly!Q$14)*(1+'Attrition Modeling'!$N$8)-'IP Attrition'!T$65)/12*'IP Attrition'!T86,0)))</f>
        <v>0</v>
      </c>
      <c r="V151" s="799">
        <f>IF(EOMONTH(Inputs!$C$8,'IP Attrition'!V$134-1)&lt;=Inputs!$C$9,0,MIN(IF(ISERROR(VLOOKUP(V$134+$F151,$D$135:$D$165,1,FALSE)),0,U19*$C$2),MAX((IF(Monthly!R$4=TRUE,Monthly!R$13,Monthly!R$14)*(1+'Attrition Modeling'!$N$8)-'IP Attrition'!U$65)/12*'IP Attrition'!U86,0)))</f>
        <v>0</v>
      </c>
      <c r="W151" s="799">
        <f>IF(EOMONTH(Inputs!$C$8,'IP Attrition'!W$134-1)&lt;=Inputs!$C$9,0,MIN(IF(ISERROR(VLOOKUP(W$134+$F151,$D$135:$D$165,1,FALSE)),0,V19*$C$2),MAX((IF(Monthly!S$4=TRUE,Monthly!S$13,Monthly!S$14)*(1+'Attrition Modeling'!$N$8)-'IP Attrition'!V$65)/12*'IP Attrition'!V86,0)))</f>
        <v>0</v>
      </c>
      <c r="X151" s="799">
        <f>IF(EOMONTH(Inputs!$C$8,'IP Attrition'!X$134-1)&lt;=Inputs!$C$9,0,MIN(IF(ISERROR(VLOOKUP(X$134+$F151,$D$135:$D$165,1,FALSE)),0,W19*$C$2),MAX((IF(Monthly!T$4=TRUE,Monthly!T$13,Monthly!T$14)*(1+'Attrition Modeling'!$N$8)-'IP Attrition'!W$65)/12*'IP Attrition'!W86,0)))</f>
        <v>0</v>
      </c>
      <c r="Y151" s="799">
        <f>IF(EOMONTH(Inputs!$C$8,'IP Attrition'!Y$134-1)&lt;=Inputs!$C$9,0,MIN(IF(ISERROR(VLOOKUP(Y$134+$F151,$D$135:$D$165,1,FALSE)),0,X19*$C$2),MAX((IF(Monthly!U$4=TRUE,Monthly!U$13,Monthly!U$14)*(1+'Attrition Modeling'!$N$8)-'IP Attrition'!X$65)/12*'IP Attrition'!X86,0)))</f>
        <v>0</v>
      </c>
      <c r="Z151" s="799">
        <f>IF(EOMONTH(Inputs!$C$8,'IP Attrition'!Z$134-1)&lt;=Inputs!$C$9,0,MIN(IF(ISERROR(VLOOKUP(Z$134+$F151,$D$135:$D$165,1,FALSE)),0,Y19*$C$2),MAX((IF(Monthly!V$4=TRUE,Monthly!V$13,Monthly!V$14)*(1+'Attrition Modeling'!$N$8)-'IP Attrition'!Y$65)/12*'IP Attrition'!Y86,0)))</f>
        <v>0</v>
      </c>
      <c r="AA151" s="799">
        <f>IF(EOMONTH(Inputs!$C$8,'IP Attrition'!AA$134-1)&lt;=Inputs!$C$9,0,MIN(IF(ISERROR(VLOOKUP(AA$134+$F151,$D$135:$D$165,1,FALSE)),0,Z19*$C$2),MAX((IF(Monthly!W$4=TRUE,Monthly!W$13,Monthly!W$14)*(1+'Attrition Modeling'!$N$8)-'IP Attrition'!Z$65)/12*'IP Attrition'!Z86,0)))</f>
        <v>0</v>
      </c>
      <c r="AB151" s="799">
        <f>IF(EOMONTH(Inputs!$C$8,'IP Attrition'!AB$134-1)&lt;=Inputs!$C$9,0,MIN(IF(ISERROR(VLOOKUP(AB$134+$F151,$D$135:$D$165,1,FALSE)),0,AA19*$C$2),MAX((IF(Monthly!X$4=TRUE,Monthly!X$13,Monthly!X$14)*(1+'Attrition Modeling'!$N$8)-'IP Attrition'!AA$65)/12*'IP Attrition'!AA86,0)))</f>
        <v>0</v>
      </c>
      <c r="AC151" s="799">
        <f>IF(EOMONTH(Inputs!$C$8,'IP Attrition'!AC$134-1)&lt;=Inputs!$C$9,0,MIN(IF(ISERROR(VLOOKUP(AC$134+$F151,$D$135:$D$165,1,FALSE)),0,AB19*$C$2),MAX((IF(Monthly!Y$4=TRUE,Monthly!Y$13,Monthly!Y$14)*(1+'Attrition Modeling'!$N$8)-'IP Attrition'!AB$65)/12*'IP Attrition'!AB86,0)))</f>
        <v>0</v>
      </c>
      <c r="AD151" s="799">
        <f>IF(EOMONTH(Inputs!$C$8,'IP Attrition'!AD$134-1)&lt;=Inputs!$C$9,0,MIN(IF(ISERROR(VLOOKUP(AD$134+$F151,$D$135:$D$165,1,FALSE)),0,AC19*$C$2),MAX((IF(Monthly!Z$4=TRUE,Monthly!Z$13,Monthly!Z$14)*(1+'Attrition Modeling'!$N$8)-'IP Attrition'!AC$65)/12*'IP Attrition'!AC86,0)))</f>
        <v>0</v>
      </c>
      <c r="AE151" s="799">
        <f>IF(EOMONTH(Inputs!$C$8,'IP Attrition'!AE$134-1)&lt;=Inputs!$C$9,0,MIN(IF(ISERROR(VLOOKUP(AE$134+$F151,$D$135:$D$165,1,FALSE)),0,AD19*$C$2),MAX((IF(Monthly!AA$4=TRUE,Monthly!AA$13,Monthly!AA$14)*(1+'Attrition Modeling'!$N$8)-'IP Attrition'!AD$65)/12*'IP Attrition'!AD86,0)))</f>
        <v>0</v>
      </c>
      <c r="AF151" s="799">
        <f>IF(EOMONTH(Inputs!$C$8,'IP Attrition'!AF$134-1)&lt;=Inputs!$C$9,0,MIN(IF(ISERROR(VLOOKUP(AF$134+$F151,$D$135:$D$165,1,FALSE)),0,AE19*$C$2),MAX((IF(Monthly!AB$4=TRUE,Monthly!AB$13,Monthly!AB$14)*(1+'Attrition Modeling'!$N$8)-'IP Attrition'!AE$65)/12*'IP Attrition'!AE86,0)))</f>
        <v>0</v>
      </c>
      <c r="AG151" s="799">
        <f>IF(EOMONTH(Inputs!$C$8,'IP Attrition'!AG$134-1)&lt;=Inputs!$C$9,0,MIN(IF(ISERROR(VLOOKUP(AG$134+$F151,$D$135:$D$165,1,FALSE)),0,AF19*$C$2),MAX((IF(Monthly!AC$4=TRUE,Monthly!AC$13,Monthly!AC$14)*(1+'Attrition Modeling'!$N$8)-'IP Attrition'!AF$65)/12*'IP Attrition'!AF86,0)))</f>
        <v>0</v>
      </c>
      <c r="AH151" s="799">
        <f>IF(EOMONTH(Inputs!$C$8,'IP Attrition'!AH$134-1)&lt;=Inputs!$C$9,0,MIN(IF(ISERROR(VLOOKUP(AH$134+$F151,$D$135:$D$165,1,FALSE)),0,AG19*$C$2),MAX((IF(Monthly!AD$4=TRUE,Monthly!AD$13,Monthly!AD$14)*(1+'Attrition Modeling'!$N$8)-'IP Attrition'!AG$65)/12*'IP Attrition'!AG86,0)))</f>
        <v>0</v>
      </c>
      <c r="AI151" s="799">
        <f>IF(EOMONTH(Inputs!$C$8,'IP Attrition'!AI$134-1)&lt;=Inputs!$C$9,0,MIN(IF(ISERROR(VLOOKUP(AI$134+$F151,$D$135:$D$165,1,FALSE)),0,AH19*$C$2),MAX((IF(Monthly!AE$4=TRUE,Monthly!AE$13,Monthly!AE$14)*(1+'Attrition Modeling'!$N$8)-'IP Attrition'!AH$65)/12*'IP Attrition'!AH86,0)))</f>
        <v>0</v>
      </c>
      <c r="AJ151" s="799">
        <f>IF(EOMONTH(Inputs!$C$8,'IP Attrition'!AJ$134-1)&lt;=Inputs!$C$9,0,MIN(IF(ISERROR(VLOOKUP(AJ$134+$F151,$D$135:$D$165,1,FALSE)),0,AI19*$C$2),MAX((IF(Monthly!AF$4=TRUE,Monthly!AF$13,Monthly!AF$14)*(1+'Attrition Modeling'!$N$8)-'IP Attrition'!AI$65)/12*'IP Attrition'!AI86,0)))</f>
        <v>0</v>
      </c>
      <c r="AK151" s="799">
        <f>IF(EOMONTH(Inputs!$C$8,'IP Attrition'!AK$134-1)&lt;=Inputs!$C$9,0,MIN(IF(ISERROR(VLOOKUP(AK$134+$F151,$D$135:$D$165,1,FALSE)),0,AJ19*$C$2),MAX((IF(Monthly!AG$4=TRUE,Monthly!AG$13,Monthly!AG$14)*(1+'Attrition Modeling'!$N$8)-'IP Attrition'!AJ$65)/12*'IP Attrition'!AJ86,0)))</f>
        <v>0</v>
      </c>
      <c r="AL151" s="799">
        <f>IF(EOMONTH(Inputs!$C$8,'IP Attrition'!AL$134-1)&lt;=Inputs!$C$9,0,MIN(IF(ISERROR(VLOOKUP(AL$134+$F151,$D$135:$D$165,1,FALSE)),0,AK19*$C$2),MAX((IF(Monthly!AH$4=TRUE,Monthly!AH$13,Monthly!AH$14)*(1+'Attrition Modeling'!$N$8)-'IP Attrition'!AK$65)/12*'IP Attrition'!AK86,0)))</f>
        <v>0</v>
      </c>
      <c r="AM151" s="799">
        <f>IF(EOMONTH(Inputs!$C$8,'IP Attrition'!AM$134-1)&lt;=Inputs!$C$9,0,MIN(IF(ISERROR(VLOOKUP(AM$134+$F151,$D$135:$D$165,1,FALSE)),0,AL19*$C$2),MAX((IF(Monthly!AI$4=TRUE,Monthly!AI$13,Monthly!AI$14)*(1+'Attrition Modeling'!$N$8)-'IP Attrition'!AL$65)/12*'IP Attrition'!AL86,0)))</f>
        <v>0</v>
      </c>
      <c r="AN151" s="799">
        <f>IF(EOMONTH(Inputs!$C$8,'IP Attrition'!AN$134-1)&lt;=Inputs!$C$9,0,MIN(IF(ISERROR(VLOOKUP(AN$134+$F151,$D$135:$D$165,1,FALSE)),0,AM19*$C$2),MAX((IF(Monthly!AJ$4=TRUE,Monthly!AJ$13,Monthly!AJ$14)*(1+'Attrition Modeling'!$N$8)-'IP Attrition'!AM$65)/12*'IP Attrition'!AM86,0)))</f>
        <v>0</v>
      </c>
      <c r="AO151" s="799">
        <f>IF(EOMONTH(Inputs!$C$8,'IP Attrition'!AO$134-1)&lt;=Inputs!$C$9,0,MIN(IF(ISERROR(VLOOKUP(AO$134+$F151,$D$135:$D$165,1,FALSE)),0,AN19*$C$2),MAX((IF(Monthly!AK$4=TRUE,Monthly!AK$13,Monthly!AK$14)*(1+'Attrition Modeling'!$N$8)-'IP Attrition'!AN$65)/12*'IP Attrition'!AN86,0)))</f>
        <v>0</v>
      </c>
      <c r="AP151" s="799">
        <f>IF(EOMONTH(Inputs!$C$8,'IP Attrition'!AP$134-1)&lt;=Inputs!$C$9,0,MIN(IF(ISERROR(VLOOKUP(AP$134+$F151,$D$135:$D$165,1,FALSE)),0,AO19*$C$2),MAX((IF(Monthly!AL$4=TRUE,Monthly!AL$13,Monthly!AL$14)*(1+'Attrition Modeling'!$N$8)-'IP Attrition'!AO$65)/12*'IP Attrition'!AO86,0)))</f>
        <v>0</v>
      </c>
      <c r="AQ151" s="799">
        <f>IF(EOMONTH(Inputs!$C$8,'IP Attrition'!AQ$134-1)&lt;=Inputs!$C$9,0,MIN(IF(ISERROR(VLOOKUP(AQ$134+$F151,$D$135:$D$165,1,FALSE)),0,AP19*$C$2),MAX((IF(Monthly!AM$4=TRUE,Monthly!AM$13,Monthly!AM$14)*(1+'Attrition Modeling'!$N$8)-'IP Attrition'!AP$65)/12*'IP Attrition'!AP86,0)))</f>
        <v>0</v>
      </c>
      <c r="AR151" s="799">
        <f>IF(EOMONTH(Inputs!$C$8,'IP Attrition'!AR$134-1)&lt;=Inputs!$C$9,0,MIN(IF(ISERROR(VLOOKUP(AR$134+$F151,$D$135:$D$165,1,FALSE)),0,AQ19*$C$2),MAX((IF(Monthly!AN$4=TRUE,Monthly!AN$13,Monthly!AN$14)*(1+'Attrition Modeling'!$N$8)-'IP Attrition'!AQ$65)/12*'IP Attrition'!AQ86,0)))</f>
        <v>0</v>
      </c>
      <c r="AS151" s="799">
        <f>IF(EOMONTH(Inputs!$C$8,'IP Attrition'!AS$134-1)&lt;=Inputs!$C$9,0,MIN(IF(ISERROR(VLOOKUP(AS$134+$F151,$D$135:$D$165,1,FALSE)),0,AR19*$C$2),MAX((IF(Monthly!AO$4=TRUE,Monthly!AO$13,Monthly!AO$14)*(1+'Attrition Modeling'!$N$8)-'IP Attrition'!AR$65)/12*'IP Attrition'!AR86,0)))</f>
        <v>0</v>
      </c>
      <c r="AT151" s="799">
        <f>IF(EOMONTH(Inputs!$C$8,'IP Attrition'!AT$134-1)&lt;=Inputs!$C$9,0,MIN(IF(ISERROR(VLOOKUP(AT$134+$F151,$D$135:$D$165,1,FALSE)),0,AS19*$C$2),MAX((IF(Monthly!AP$4=TRUE,Monthly!AP$13,Monthly!AP$14)*(1+'Attrition Modeling'!$N$8)-'IP Attrition'!AS$65)/12*'IP Attrition'!AS86,0)))</f>
        <v>0</v>
      </c>
      <c r="AU151" s="799">
        <f>IF(EOMONTH(Inputs!$C$8,'IP Attrition'!AU$134-1)&lt;=Inputs!$C$9,0,MIN(IF(ISERROR(VLOOKUP(AU$134+$F151,$D$135:$D$165,1,FALSE)),0,AT19*$C$2),MAX((IF(Monthly!AQ$4=TRUE,Monthly!AQ$13,Monthly!AQ$14)*(1+'Attrition Modeling'!$N$8)-'IP Attrition'!AT$65)/12*'IP Attrition'!AT86,0)))</f>
        <v>0</v>
      </c>
      <c r="AV151" s="799">
        <f>IF(EOMONTH(Inputs!$C$8,'IP Attrition'!AV$134-1)&lt;=Inputs!$C$9,0,MIN(IF(ISERROR(VLOOKUP(AV$134+$F151,$D$135:$D$165,1,FALSE)),0,AU19*$C$2),MAX((IF(Monthly!AR$4=TRUE,Monthly!AR$13,Monthly!AR$14)*(1+'Attrition Modeling'!$N$8)-'IP Attrition'!AU$65)/12*'IP Attrition'!AU86,0)))</f>
        <v>0</v>
      </c>
      <c r="AW151" s="799">
        <f>IF(EOMONTH(Inputs!$C$8,'IP Attrition'!AW$134-1)&lt;=Inputs!$C$9,0,MIN(IF(ISERROR(VLOOKUP(AW$134+$F151,$D$135:$D$165,1,FALSE)),0,AV19*$C$2),MAX((IF(Monthly!AS$4=TRUE,Monthly!AS$13,Monthly!AS$14)*(1+'Attrition Modeling'!$N$8)-'IP Attrition'!AV$65)/12*'IP Attrition'!AV86,0)))</f>
        <v>0</v>
      </c>
      <c r="AX151" s="799">
        <f>IF(EOMONTH(Inputs!$C$8,'IP Attrition'!AX$134-1)&lt;=Inputs!$C$9,0,MIN(IF(ISERROR(VLOOKUP(AX$134+$F151,$D$135:$D$165,1,FALSE)),0,AW19*$C$2),MAX((IF(Monthly!AT$4=TRUE,Monthly!AT$13,Monthly!AT$14)*(1+'Attrition Modeling'!$N$8)-'IP Attrition'!AW$65)/12*'IP Attrition'!AW86,0)))</f>
        <v>0</v>
      </c>
      <c r="AY151" s="799">
        <f>IF(EOMONTH(Inputs!$C$8,'IP Attrition'!AY$134-1)&lt;=Inputs!$C$9,0,MIN(IF(ISERROR(VLOOKUP(AY$134+$F151,$D$135:$D$165,1,FALSE)),0,AX19*$C$2),MAX((IF(Monthly!AU$4=TRUE,Monthly!AU$13,Monthly!AU$14)*(1+'Attrition Modeling'!$N$8)-'IP Attrition'!AX$65)/12*'IP Attrition'!AX86,0)))</f>
        <v>0</v>
      </c>
      <c r="AZ151" s="799">
        <f>IF(EOMONTH(Inputs!$C$8,'IP Attrition'!AZ$134-1)&lt;=Inputs!$C$9,0,MIN(IF(ISERROR(VLOOKUP(AZ$134+$F151,$D$135:$D$165,1,FALSE)),0,AY19*$C$2),MAX((IF(Monthly!AV$4=TRUE,Monthly!AV$13,Monthly!AV$14)*(1+'Attrition Modeling'!$N$8)-'IP Attrition'!AY$65)/12*'IP Attrition'!AY86,0)))</f>
        <v>0</v>
      </c>
      <c r="BA151" s="799">
        <f>IF(EOMONTH(Inputs!$C$8,'IP Attrition'!BA$134-1)&lt;=Inputs!$C$9,0,MIN(IF(ISERROR(VLOOKUP(BA$134+$F151,$D$135:$D$165,1,FALSE)),0,AZ19*$C$2),MAX((IF(Monthly!AW$4=TRUE,Monthly!AW$13,Monthly!AW$14)*(1+'Attrition Modeling'!$N$8)-'IP Attrition'!AZ$65)/12*'IP Attrition'!AZ86,0)))</f>
        <v>0</v>
      </c>
      <c r="BB151" s="799">
        <f>IF(EOMONTH(Inputs!$C$8,'IP Attrition'!BB$134-1)&lt;=Inputs!$C$9,0,MIN(IF(ISERROR(VLOOKUP(BB$134+$F151,$D$135:$D$165,1,FALSE)),0,BA19*$C$2),MAX((IF(Monthly!AX$4=TRUE,Monthly!AX$13,Monthly!AX$14)*(1+'Attrition Modeling'!$N$8)-'IP Attrition'!BA$65)/12*'IP Attrition'!BA86,0)))</f>
        <v>0</v>
      </c>
      <c r="BC151" s="799">
        <f>IF(EOMONTH(Inputs!$C$8,'IP Attrition'!BC$134-1)&lt;=Inputs!$C$9,0,MIN(IF(ISERROR(VLOOKUP(BC$134+$F151,$D$135:$D$165,1,FALSE)),0,BB19*$C$2),MAX((IF(Monthly!AY$4=TRUE,Monthly!AY$13,Monthly!AY$14)*(1+'Attrition Modeling'!$N$8)-'IP Attrition'!BB$65)/12*'IP Attrition'!BB86,0)))</f>
        <v>0</v>
      </c>
      <c r="BD151" s="799">
        <f>IF(EOMONTH(Inputs!$C$8,'IP Attrition'!BD$134-1)&lt;=Inputs!$C$9,0,MIN(IF(ISERROR(VLOOKUP(BD$134+$F151,$D$135:$D$165,1,FALSE)),0,BC19*$C$2),MAX((IF(Monthly!AZ$4=TRUE,Monthly!AZ$13,Monthly!AZ$14)*(1+'Attrition Modeling'!$N$8)-'IP Attrition'!BC$65)/12*'IP Attrition'!BC86,0)))</f>
        <v>0</v>
      </c>
      <c r="BE151" s="799">
        <f>IF(EOMONTH(Inputs!$C$8,'IP Attrition'!BE$134-1)&lt;=Inputs!$C$9,0,MIN(IF(ISERROR(VLOOKUP(BE$134+$F151,$D$135:$D$165,1,FALSE)),0,BD19*$C$2),MAX((IF(Monthly!BA$4=TRUE,Monthly!BA$13,Monthly!BA$14)*(1+'Attrition Modeling'!$N$8)-'IP Attrition'!BD$65)/12*'IP Attrition'!BD86,0)))</f>
        <v>0</v>
      </c>
      <c r="BF151" s="799">
        <f>IF(EOMONTH(Inputs!$C$8,'IP Attrition'!BF$134-1)&lt;=Inputs!$C$9,0,MIN(IF(ISERROR(VLOOKUP(BF$134+$F151,$D$135:$D$165,1,FALSE)),0,BE19*$C$2),MAX((IF(Monthly!BB$4=TRUE,Monthly!BB$13,Monthly!BB$14)*(1+'Attrition Modeling'!$N$8)-'IP Attrition'!BE$65)/12*'IP Attrition'!BE86,0)))</f>
        <v>0</v>
      </c>
      <c r="BG151" s="799">
        <f>IF(EOMONTH(Inputs!$C$8,'IP Attrition'!BG$134-1)&lt;=Inputs!$C$9,0,MIN(IF(ISERROR(VLOOKUP(BG$134+$F151,$D$135:$D$165,1,FALSE)),0,BF19*$C$2),MAX((IF(Monthly!BC$4=TRUE,Monthly!BC$13,Monthly!BC$14)*(1+'Attrition Modeling'!$N$8)-'IP Attrition'!BF$65)/12*'IP Attrition'!BF86,0)))</f>
        <v>0</v>
      </c>
      <c r="BH151" s="799">
        <f>IF(EOMONTH(Inputs!$C$8,'IP Attrition'!BH$134-1)&lt;=Inputs!$C$9,0,MIN(IF(ISERROR(VLOOKUP(BH$134+$F151,$D$135:$D$165,1,FALSE)),0,BG19*$C$2),MAX((IF(Monthly!BD$4=TRUE,Monthly!BD$13,Monthly!BD$14)*(1+'Attrition Modeling'!$N$8)-'IP Attrition'!BG$65)/12*'IP Attrition'!BG86,0)))</f>
        <v>0</v>
      </c>
      <c r="BI151" s="799">
        <f>IF(EOMONTH(Inputs!$C$8,'IP Attrition'!BI$134-1)&lt;=Inputs!$C$9,0,MIN(IF(ISERROR(VLOOKUP(BI$134+$F151,$D$135:$D$165,1,FALSE)),0,BH19*$C$2),MAX((IF(Monthly!BE$4=TRUE,Monthly!BE$13,Monthly!BE$14)*(1+'Attrition Modeling'!$N$8)-'IP Attrition'!BH$65)/12*'IP Attrition'!BH86,0)))</f>
        <v>0</v>
      </c>
      <c r="BJ151" s="799">
        <f>IF(EOMONTH(Inputs!$C$8,'IP Attrition'!BJ$134-1)&lt;=Inputs!$C$9,0,MIN(IF(ISERROR(VLOOKUP(BJ$134+$F151,$D$135:$D$165,1,FALSE)),0,BI19*$C$2),MAX((IF(Monthly!BF$4=TRUE,Monthly!BF$13,Monthly!BF$14)*(1+'Attrition Modeling'!$N$8)-'IP Attrition'!BI$65)/12*'IP Attrition'!BI86,0)))</f>
        <v>0</v>
      </c>
      <c r="BK151" s="799">
        <f>IF(EOMONTH(Inputs!$C$8,'IP Attrition'!BK$134-1)&lt;=Inputs!$C$9,0,MIN(IF(ISERROR(VLOOKUP(BK$134+$F151,$D$135:$D$165,1,FALSE)),0,BJ19*$C$2),MAX((IF(Monthly!BG$4=TRUE,Monthly!BG$13,Monthly!BG$14)*(1+'Attrition Modeling'!$N$8)-'IP Attrition'!BJ$65)/12*'IP Attrition'!BJ86,0)))</f>
        <v>0</v>
      </c>
      <c r="BL151" s="799">
        <f>IF(EOMONTH(Inputs!$C$8,'IP Attrition'!BL$134-1)&lt;=Inputs!$C$9,0,MIN(IF(ISERROR(VLOOKUP(BL$134+$F151,$D$135:$D$165,1,FALSE)),0,BK19*$C$2),MAX((IF(Monthly!BH$4=TRUE,Monthly!BH$13,Monthly!BH$14)*(1+'Attrition Modeling'!$N$8)-'IP Attrition'!BK$65)/12*'IP Attrition'!BK86,0)))</f>
        <v>0</v>
      </c>
      <c r="BM151" s="799">
        <f>IF(EOMONTH(Inputs!$C$8,'IP Attrition'!BM$134-1)&lt;=Inputs!$C$9,0,MIN(IF(ISERROR(VLOOKUP(BM$134+$F151,$D$135:$D$165,1,FALSE)),0,BL19*$C$2),MAX((IF(Monthly!BI$4=TRUE,Monthly!BI$13,Monthly!BI$14)*(1+'Attrition Modeling'!$N$8)-'IP Attrition'!BL$65)/12*'IP Attrition'!BL86,0)))</f>
        <v>0</v>
      </c>
      <c r="BN151" s="799">
        <f>IF(EOMONTH(Inputs!$C$8,'IP Attrition'!BN$134-1)&lt;=Inputs!$C$9,0,MIN(IF(ISERROR(VLOOKUP(BN$134+$F151,$D$135:$D$165,1,FALSE)),0,BM19*$C$2),MAX((IF(Monthly!BJ$4=TRUE,Monthly!BJ$13,Monthly!BJ$14)*(1+'Attrition Modeling'!$N$8)-'IP Attrition'!BM$65)/12*'IP Attrition'!BM86,0)))</f>
        <v>0</v>
      </c>
      <c r="BO151" s="799">
        <f>IF(EOMONTH(Inputs!$C$8,'IP Attrition'!BO$134-1)&lt;=Inputs!$C$9,0,MIN(IF(ISERROR(VLOOKUP(BO$134+$F151,$D$135:$D$165,1,FALSE)),0,BN19*$C$2),MAX((IF(Monthly!BK$4=TRUE,Monthly!BK$13,Monthly!BK$14)*(1+'Attrition Modeling'!$N$8)-'IP Attrition'!BN$65)/12*'IP Attrition'!BN86,0)))</f>
        <v>0</v>
      </c>
      <c r="BP151" s="799">
        <f>IF(EOMONTH(Inputs!$C$8,'IP Attrition'!BP$134-1)&lt;=Inputs!$C$9,0,MIN(IF(ISERROR(VLOOKUP(BP$134+$F151,$D$135:$D$165,1,FALSE)),0,BO19*$C$2),MAX((IF(Monthly!BL$4=TRUE,Monthly!BL$13,Monthly!BL$14)*(1+'Attrition Modeling'!$N$8)-'IP Attrition'!BO$65)/12*'IP Attrition'!BO86,0)))</f>
        <v>0</v>
      </c>
      <c r="BQ151" s="799">
        <f>IF(EOMONTH(Inputs!$C$8,'IP Attrition'!BQ$134-1)&lt;=Inputs!$C$9,0,MIN(IF(ISERROR(VLOOKUP(BQ$134+$F151,$D$135:$D$165,1,FALSE)),0,BP19*$C$2),MAX((IF(Monthly!BM$4=TRUE,Monthly!BM$13,Monthly!BM$14)*(1+'Attrition Modeling'!$N$8)-'IP Attrition'!BP$65)/12*'IP Attrition'!BP86,0)))</f>
        <v>0</v>
      </c>
      <c r="BR151" s="799">
        <f>IF(EOMONTH(Inputs!$C$8,'IP Attrition'!BR$134-1)&lt;=Inputs!$C$9,0,MIN(IF(ISERROR(VLOOKUP(BR$134+$F151,$D$135:$D$165,1,FALSE)),0,BQ19*$C$2),MAX((IF(Monthly!BN$4=TRUE,Monthly!BN$13,Monthly!BN$14)*(1+'Attrition Modeling'!$N$8)-'IP Attrition'!BQ$65)/12*'IP Attrition'!BQ86,0)))</f>
        <v>0</v>
      </c>
      <c r="BS151" s="799">
        <f>IF(EOMONTH(Inputs!$C$8,'IP Attrition'!BS$134-1)&lt;=Inputs!$C$9,0,MIN(IF(ISERROR(VLOOKUP(BS$134+$F151,$D$135:$D$165,1,FALSE)),0,BR19*$C$2),MAX((IF(Monthly!BO$4=TRUE,Monthly!BO$13,Monthly!BO$14)*(1+'Attrition Modeling'!$N$8)-'IP Attrition'!BR$65)/12*'IP Attrition'!BR86,0)))</f>
        <v>0</v>
      </c>
      <c r="BT151" s="799" t="e">
        <f>IF(EOMONTH(Inputs!$C$8,'IP Attrition'!BT$134-1)&lt;=Inputs!$C$9,0,MIN(IF(ISERROR(VLOOKUP(BT$134+$F151,$D$135:$D$165,1,FALSE)),0,BS19*$C$2),MAX((IF(Monthly!#REF!=TRUE,Monthly!#REF!,Monthly!#REF!)*(1+'Attrition Modeling'!$N$8)-'IP Attrition'!BS$65)/12*'IP Attrition'!BS86,0)))</f>
        <v>#REF!</v>
      </c>
      <c r="BU151" s="799" t="e">
        <f>IF(EOMONTH(Inputs!$C$8,'IP Attrition'!BU$134-1)&lt;=Inputs!$C$9,0,MIN(IF(ISERROR(VLOOKUP(BU$134+$F151,$D$135:$D$165,1,FALSE)),0,BT19*$C$2),MAX((IF(Monthly!#REF!=TRUE,Monthly!#REF!,Monthly!#REF!)*(1+'Attrition Modeling'!$N$8)-'IP Attrition'!BT$65)/12*'IP Attrition'!BT86,0)))</f>
        <v>#REF!</v>
      </c>
    </row>
    <row r="152" spans="1:73" ht="14.25" customHeight="1" x14ac:dyDescent="0.2">
      <c r="A152" s="9">
        <v>145</v>
      </c>
      <c r="B152" s="25">
        <f>MAX('Attrition Modeling'!H149,$C$3)*(1-Summary!$C$20)</f>
        <v>0.02</v>
      </c>
      <c r="C152" s="24" t="e">
        <f t="shared" si="3"/>
        <v>#DIV/0!</v>
      </c>
      <c r="D152" s="11">
        <f t="shared" si="72"/>
        <v>210</v>
      </c>
      <c r="E152" s="25">
        <f t="shared" si="71"/>
        <v>0</v>
      </c>
      <c r="F152" s="11">
        <f t="shared" si="73"/>
        <v>17</v>
      </c>
      <c r="G152" s="799"/>
      <c r="H152" s="799">
        <f>IF(EOMONTH(Inputs!$C$8,'IP Attrition'!H$134-1)&lt;=Inputs!$C$9,0,MIN(IF(ISERROR(VLOOKUP(H$134+$F152,$D$135:$D$165,1,FALSE)),0,G20*$C$2),MAX((IF(Monthly!D$4=TRUE,Monthly!D$13,Monthly!D$14)*(1+'Attrition Modeling'!$N$8)-'IP Attrition'!G$65)/12*'IP Attrition'!G87,0)))</f>
        <v>0</v>
      </c>
      <c r="I152" s="799">
        <f>IF(EOMONTH(Inputs!$C$8,'IP Attrition'!I$134-1)&lt;=Inputs!$C$9,0,MIN(IF(ISERROR(VLOOKUP(I$134+$F152,$D$135:$D$165,1,FALSE)),0,H20*$C$2),MAX((IF(Monthly!E$4=TRUE,Monthly!E$13,Monthly!E$14)*(1+'Attrition Modeling'!$N$8)-'IP Attrition'!H$65)/12*'IP Attrition'!H87,0)))</f>
        <v>0</v>
      </c>
      <c r="J152" s="799">
        <f>IF(EOMONTH(Inputs!$C$8,'IP Attrition'!J$134-1)&lt;=Inputs!$C$9,0,MIN(IF(ISERROR(VLOOKUP(J$134+$F152,$D$135:$D$165,1,FALSE)),0,I20*$C$2),MAX((IF(Monthly!F$4=TRUE,Monthly!F$13,Monthly!F$14)*(1+'Attrition Modeling'!$N$8)-'IP Attrition'!I$65)/12*'IP Attrition'!I87,0)))</f>
        <v>0</v>
      </c>
      <c r="K152" s="799">
        <f>IF(EOMONTH(Inputs!$C$8,'IP Attrition'!K$134-1)&lt;=Inputs!$C$9,0,MIN(IF(ISERROR(VLOOKUP(K$134+$F152,$D$135:$D$165,1,FALSE)),0,J20*$C$2),MAX((IF(Monthly!G$4=TRUE,Monthly!G$13,Monthly!G$14)*(1+'Attrition Modeling'!$N$8)-'IP Attrition'!J$65)/12*'IP Attrition'!J87,0)))</f>
        <v>0</v>
      </c>
      <c r="L152" s="799">
        <f>IF(EOMONTH(Inputs!$C$8,'IP Attrition'!L$134-1)&lt;=Inputs!$C$9,0,MIN(IF(ISERROR(VLOOKUP(L$134+$F152,$D$135:$D$165,1,FALSE)),0,K20*$C$2),MAX((IF(Monthly!H$4=TRUE,Monthly!H$13,Monthly!H$14)*(1+'Attrition Modeling'!$N$8)-'IP Attrition'!K$65)/12*'IP Attrition'!K87,0)))</f>
        <v>0</v>
      </c>
      <c r="M152" s="799">
        <f>IF(EOMONTH(Inputs!$C$8,'IP Attrition'!M$134-1)&lt;=Inputs!$C$9,0,MIN(IF(ISERROR(VLOOKUP(M$134+$F152,$D$135:$D$165,1,FALSE)),0,L20*$C$2),MAX((IF(Monthly!I$4=TRUE,Monthly!I$13,Monthly!I$14)*(1+'Attrition Modeling'!$N$8)-'IP Attrition'!L$65)/12*'IP Attrition'!L87,0)))</f>
        <v>0</v>
      </c>
      <c r="N152" s="799">
        <f>IF(EOMONTH(Inputs!$C$8,'IP Attrition'!N$134-1)&lt;=Inputs!$C$9,0,MIN(IF(ISERROR(VLOOKUP(N$134+$F152,$D$135:$D$165,1,FALSE)),0,M20*$C$2),MAX((IF(Monthly!J$4=TRUE,Monthly!J$13,Monthly!J$14)*(1+'Attrition Modeling'!$N$8)-'IP Attrition'!M$65)/12*'IP Attrition'!M87,0)))</f>
        <v>0</v>
      </c>
      <c r="O152" s="799">
        <f>IF(EOMONTH(Inputs!$C$8,'IP Attrition'!O$134-1)&lt;=Inputs!$C$9,0,MIN(IF(ISERROR(VLOOKUP(O$134+$F152,$D$135:$D$165,1,FALSE)),0,N20*$C$2),MAX((IF(Monthly!K$4=TRUE,Monthly!K$13,Monthly!K$14)*(1+'Attrition Modeling'!$N$8)-'IP Attrition'!N$65)/12*'IP Attrition'!N87,0)))</f>
        <v>0</v>
      </c>
      <c r="P152" s="799">
        <f>IF(EOMONTH(Inputs!$C$8,'IP Attrition'!P$134-1)&lt;=Inputs!$C$9,0,MIN(IF(ISERROR(VLOOKUP(P$134+$F152,$D$135:$D$165,1,FALSE)),0,O20*$C$2),MAX((IF(Monthly!L$4=TRUE,Monthly!L$13,Monthly!L$14)*(1+'Attrition Modeling'!$N$8)-'IP Attrition'!O$65)/12*'IP Attrition'!O87,0)))</f>
        <v>0</v>
      </c>
      <c r="Q152" s="799">
        <f>IF(EOMONTH(Inputs!$C$8,'IP Attrition'!Q$134-1)&lt;=Inputs!$C$9,0,MIN(IF(ISERROR(VLOOKUP(Q$134+$F152,$D$135:$D$165,1,FALSE)),0,P20*$C$2),MAX((IF(Monthly!M$4=TRUE,Monthly!M$13,Monthly!M$14)*(1+'Attrition Modeling'!$N$8)-'IP Attrition'!P$65)/12*'IP Attrition'!P87,0)))</f>
        <v>0</v>
      </c>
      <c r="R152" s="799">
        <f>IF(EOMONTH(Inputs!$C$8,'IP Attrition'!R$134-1)&lt;=Inputs!$C$9,0,MIN(IF(ISERROR(VLOOKUP(R$134+$F152,$D$135:$D$165,1,FALSE)),0,Q20*$C$2),MAX((IF(Monthly!N$4=TRUE,Monthly!N$13,Monthly!N$14)*(1+'Attrition Modeling'!$N$8)-'IP Attrition'!Q$65)/12*'IP Attrition'!Q87,0)))</f>
        <v>0</v>
      </c>
      <c r="S152" s="799">
        <f>IF(EOMONTH(Inputs!$C$8,'IP Attrition'!S$134-1)&lt;=Inputs!$C$9,0,MIN(IF(ISERROR(VLOOKUP(S$134+$F152,$D$135:$D$165,1,FALSE)),0,R20*$C$2),MAX((IF(Monthly!O$4=TRUE,Monthly!O$13,Monthly!O$14)*(1+'Attrition Modeling'!$N$8)-'IP Attrition'!R$65)/12*'IP Attrition'!R87,0)))</f>
        <v>0</v>
      </c>
      <c r="T152" s="799">
        <f>IF(EOMONTH(Inputs!$C$8,'IP Attrition'!T$134-1)&lt;=Inputs!$C$9,0,MIN(IF(ISERROR(VLOOKUP(T$134+$F152,$D$135:$D$165,1,FALSE)),0,S20*$C$2),MAX((IF(Monthly!P$4=TRUE,Monthly!P$13,Monthly!P$14)*(1+'Attrition Modeling'!$N$8)-'IP Attrition'!S$65)/12*'IP Attrition'!S87,0)))</f>
        <v>0</v>
      </c>
      <c r="U152" s="799">
        <f>IF(EOMONTH(Inputs!$C$8,'IP Attrition'!U$134-1)&lt;=Inputs!$C$9,0,MIN(IF(ISERROR(VLOOKUP(U$134+$F152,$D$135:$D$165,1,FALSE)),0,T20*$C$2),MAX((IF(Monthly!Q$4=TRUE,Monthly!Q$13,Monthly!Q$14)*(1+'Attrition Modeling'!$N$8)-'IP Attrition'!T$65)/12*'IP Attrition'!T87,0)))</f>
        <v>0</v>
      </c>
      <c r="V152" s="799">
        <f>IF(EOMONTH(Inputs!$C$8,'IP Attrition'!V$134-1)&lt;=Inputs!$C$9,0,MIN(IF(ISERROR(VLOOKUP(V$134+$F152,$D$135:$D$165,1,FALSE)),0,U20*$C$2),MAX((IF(Monthly!R$4=TRUE,Monthly!R$13,Monthly!R$14)*(1+'Attrition Modeling'!$N$8)-'IP Attrition'!U$65)/12*'IP Attrition'!U87,0)))</f>
        <v>0</v>
      </c>
      <c r="W152" s="799">
        <f>IF(EOMONTH(Inputs!$C$8,'IP Attrition'!W$134-1)&lt;=Inputs!$C$9,0,MIN(IF(ISERROR(VLOOKUP(W$134+$F152,$D$135:$D$165,1,FALSE)),0,V20*$C$2),MAX((IF(Monthly!S$4=TRUE,Monthly!S$13,Monthly!S$14)*(1+'Attrition Modeling'!$N$8)-'IP Attrition'!V$65)/12*'IP Attrition'!V87,0)))</f>
        <v>0</v>
      </c>
      <c r="X152" s="799">
        <f>IF(EOMONTH(Inputs!$C$8,'IP Attrition'!X$134-1)&lt;=Inputs!$C$9,0,MIN(IF(ISERROR(VLOOKUP(X$134+$F152,$D$135:$D$165,1,FALSE)),0,W20*$C$2),MAX((IF(Monthly!T$4=TRUE,Monthly!T$13,Monthly!T$14)*(1+'Attrition Modeling'!$N$8)-'IP Attrition'!W$65)/12*'IP Attrition'!W87,0)))</f>
        <v>0</v>
      </c>
      <c r="Y152" s="799">
        <f>IF(EOMONTH(Inputs!$C$8,'IP Attrition'!Y$134-1)&lt;=Inputs!$C$9,0,MIN(IF(ISERROR(VLOOKUP(Y$134+$F152,$D$135:$D$165,1,FALSE)),0,X20*$C$2),MAX((IF(Monthly!U$4=TRUE,Monthly!U$13,Monthly!U$14)*(1+'Attrition Modeling'!$N$8)-'IP Attrition'!X$65)/12*'IP Attrition'!X87,0)))</f>
        <v>0</v>
      </c>
      <c r="Z152" s="799">
        <f>IF(EOMONTH(Inputs!$C$8,'IP Attrition'!Z$134-1)&lt;=Inputs!$C$9,0,MIN(IF(ISERROR(VLOOKUP(Z$134+$F152,$D$135:$D$165,1,FALSE)),0,Y20*$C$2),MAX((IF(Monthly!V$4=TRUE,Monthly!V$13,Monthly!V$14)*(1+'Attrition Modeling'!$N$8)-'IP Attrition'!Y$65)/12*'IP Attrition'!Y87,0)))</f>
        <v>0</v>
      </c>
      <c r="AA152" s="799">
        <f>IF(EOMONTH(Inputs!$C$8,'IP Attrition'!AA$134-1)&lt;=Inputs!$C$9,0,MIN(IF(ISERROR(VLOOKUP(AA$134+$F152,$D$135:$D$165,1,FALSE)),0,Z20*$C$2),MAX((IF(Monthly!W$4=TRUE,Monthly!W$13,Monthly!W$14)*(1+'Attrition Modeling'!$N$8)-'IP Attrition'!Z$65)/12*'IP Attrition'!Z87,0)))</f>
        <v>0</v>
      </c>
      <c r="AB152" s="799">
        <f>IF(EOMONTH(Inputs!$C$8,'IP Attrition'!AB$134-1)&lt;=Inputs!$C$9,0,MIN(IF(ISERROR(VLOOKUP(AB$134+$F152,$D$135:$D$165,1,FALSE)),0,AA20*$C$2),MAX((IF(Monthly!X$4=TRUE,Monthly!X$13,Monthly!X$14)*(1+'Attrition Modeling'!$N$8)-'IP Attrition'!AA$65)/12*'IP Attrition'!AA87,0)))</f>
        <v>0</v>
      </c>
      <c r="AC152" s="799">
        <f>IF(EOMONTH(Inputs!$C$8,'IP Attrition'!AC$134-1)&lt;=Inputs!$C$9,0,MIN(IF(ISERROR(VLOOKUP(AC$134+$F152,$D$135:$D$165,1,FALSE)),0,AB20*$C$2),MAX((IF(Monthly!Y$4=TRUE,Monthly!Y$13,Monthly!Y$14)*(1+'Attrition Modeling'!$N$8)-'IP Attrition'!AB$65)/12*'IP Attrition'!AB87,0)))</f>
        <v>0</v>
      </c>
      <c r="AD152" s="799">
        <f>IF(EOMONTH(Inputs!$C$8,'IP Attrition'!AD$134-1)&lt;=Inputs!$C$9,0,MIN(IF(ISERROR(VLOOKUP(AD$134+$F152,$D$135:$D$165,1,FALSE)),0,AC20*$C$2),MAX((IF(Monthly!Z$4=TRUE,Monthly!Z$13,Monthly!Z$14)*(1+'Attrition Modeling'!$N$8)-'IP Attrition'!AC$65)/12*'IP Attrition'!AC87,0)))</f>
        <v>0</v>
      </c>
      <c r="AE152" s="799">
        <f>IF(EOMONTH(Inputs!$C$8,'IP Attrition'!AE$134-1)&lt;=Inputs!$C$9,0,MIN(IF(ISERROR(VLOOKUP(AE$134+$F152,$D$135:$D$165,1,FALSE)),0,AD20*$C$2),MAX((IF(Monthly!AA$4=TRUE,Monthly!AA$13,Monthly!AA$14)*(1+'Attrition Modeling'!$N$8)-'IP Attrition'!AD$65)/12*'IP Attrition'!AD87,0)))</f>
        <v>0</v>
      </c>
      <c r="AF152" s="799">
        <f>IF(EOMONTH(Inputs!$C$8,'IP Attrition'!AF$134-1)&lt;=Inputs!$C$9,0,MIN(IF(ISERROR(VLOOKUP(AF$134+$F152,$D$135:$D$165,1,FALSE)),0,AE20*$C$2),MAX((IF(Monthly!AB$4=TRUE,Monthly!AB$13,Monthly!AB$14)*(1+'Attrition Modeling'!$N$8)-'IP Attrition'!AE$65)/12*'IP Attrition'!AE87,0)))</f>
        <v>0</v>
      </c>
      <c r="AG152" s="799">
        <f>IF(EOMONTH(Inputs!$C$8,'IP Attrition'!AG$134-1)&lt;=Inputs!$C$9,0,MIN(IF(ISERROR(VLOOKUP(AG$134+$F152,$D$135:$D$165,1,FALSE)),0,AF20*$C$2),MAX((IF(Monthly!AC$4=TRUE,Monthly!AC$13,Monthly!AC$14)*(1+'Attrition Modeling'!$N$8)-'IP Attrition'!AF$65)/12*'IP Attrition'!AF87,0)))</f>
        <v>0</v>
      </c>
      <c r="AH152" s="799">
        <f>IF(EOMONTH(Inputs!$C$8,'IP Attrition'!AH$134-1)&lt;=Inputs!$C$9,0,MIN(IF(ISERROR(VLOOKUP(AH$134+$F152,$D$135:$D$165,1,FALSE)),0,AG20*$C$2),MAX((IF(Monthly!AD$4=TRUE,Monthly!AD$13,Monthly!AD$14)*(1+'Attrition Modeling'!$N$8)-'IP Attrition'!AG$65)/12*'IP Attrition'!AG87,0)))</f>
        <v>0</v>
      </c>
      <c r="AI152" s="799">
        <f>IF(EOMONTH(Inputs!$C$8,'IP Attrition'!AI$134-1)&lt;=Inputs!$C$9,0,MIN(IF(ISERROR(VLOOKUP(AI$134+$F152,$D$135:$D$165,1,FALSE)),0,AH20*$C$2),MAX((IF(Monthly!AE$4=TRUE,Monthly!AE$13,Monthly!AE$14)*(1+'Attrition Modeling'!$N$8)-'IP Attrition'!AH$65)/12*'IP Attrition'!AH87,0)))</f>
        <v>0</v>
      </c>
      <c r="AJ152" s="799">
        <f>IF(EOMONTH(Inputs!$C$8,'IP Attrition'!AJ$134-1)&lt;=Inputs!$C$9,0,MIN(IF(ISERROR(VLOOKUP(AJ$134+$F152,$D$135:$D$165,1,FALSE)),0,AI20*$C$2),MAX((IF(Monthly!AF$4=TRUE,Monthly!AF$13,Monthly!AF$14)*(1+'Attrition Modeling'!$N$8)-'IP Attrition'!AI$65)/12*'IP Attrition'!AI87,0)))</f>
        <v>0</v>
      </c>
      <c r="AK152" s="799">
        <f>IF(EOMONTH(Inputs!$C$8,'IP Attrition'!AK$134-1)&lt;=Inputs!$C$9,0,MIN(IF(ISERROR(VLOOKUP(AK$134+$F152,$D$135:$D$165,1,FALSE)),0,AJ20*$C$2),MAX((IF(Monthly!AG$4=TRUE,Monthly!AG$13,Monthly!AG$14)*(1+'Attrition Modeling'!$N$8)-'IP Attrition'!AJ$65)/12*'IP Attrition'!AJ87,0)))</f>
        <v>0</v>
      </c>
      <c r="AL152" s="799">
        <f>IF(EOMONTH(Inputs!$C$8,'IP Attrition'!AL$134-1)&lt;=Inputs!$C$9,0,MIN(IF(ISERROR(VLOOKUP(AL$134+$F152,$D$135:$D$165,1,FALSE)),0,AK20*$C$2),MAX((IF(Monthly!AH$4=TRUE,Monthly!AH$13,Monthly!AH$14)*(1+'Attrition Modeling'!$N$8)-'IP Attrition'!AK$65)/12*'IP Attrition'!AK87,0)))</f>
        <v>0</v>
      </c>
      <c r="AM152" s="799">
        <f>IF(EOMONTH(Inputs!$C$8,'IP Attrition'!AM$134-1)&lt;=Inputs!$C$9,0,MIN(IF(ISERROR(VLOOKUP(AM$134+$F152,$D$135:$D$165,1,FALSE)),0,AL20*$C$2),MAX((IF(Monthly!AI$4=TRUE,Monthly!AI$13,Monthly!AI$14)*(1+'Attrition Modeling'!$N$8)-'IP Attrition'!AL$65)/12*'IP Attrition'!AL87,0)))</f>
        <v>0</v>
      </c>
      <c r="AN152" s="799">
        <f>IF(EOMONTH(Inputs!$C$8,'IP Attrition'!AN$134-1)&lt;=Inputs!$C$9,0,MIN(IF(ISERROR(VLOOKUP(AN$134+$F152,$D$135:$D$165,1,FALSE)),0,AM20*$C$2),MAX((IF(Monthly!AJ$4=TRUE,Monthly!AJ$13,Monthly!AJ$14)*(1+'Attrition Modeling'!$N$8)-'IP Attrition'!AM$65)/12*'IP Attrition'!AM87,0)))</f>
        <v>0</v>
      </c>
      <c r="AO152" s="799">
        <f>IF(EOMONTH(Inputs!$C$8,'IP Attrition'!AO$134-1)&lt;=Inputs!$C$9,0,MIN(IF(ISERROR(VLOOKUP(AO$134+$F152,$D$135:$D$165,1,FALSE)),0,AN20*$C$2),MAX((IF(Monthly!AK$4=TRUE,Monthly!AK$13,Monthly!AK$14)*(1+'Attrition Modeling'!$N$8)-'IP Attrition'!AN$65)/12*'IP Attrition'!AN87,0)))</f>
        <v>0</v>
      </c>
      <c r="AP152" s="799">
        <f>IF(EOMONTH(Inputs!$C$8,'IP Attrition'!AP$134-1)&lt;=Inputs!$C$9,0,MIN(IF(ISERROR(VLOOKUP(AP$134+$F152,$D$135:$D$165,1,FALSE)),0,AO20*$C$2),MAX((IF(Monthly!AL$4=TRUE,Monthly!AL$13,Monthly!AL$14)*(1+'Attrition Modeling'!$N$8)-'IP Attrition'!AO$65)/12*'IP Attrition'!AO87,0)))</f>
        <v>0</v>
      </c>
      <c r="AQ152" s="799">
        <f>IF(EOMONTH(Inputs!$C$8,'IP Attrition'!AQ$134-1)&lt;=Inputs!$C$9,0,MIN(IF(ISERROR(VLOOKUP(AQ$134+$F152,$D$135:$D$165,1,FALSE)),0,AP20*$C$2),MAX((IF(Monthly!AM$4=TRUE,Monthly!AM$13,Monthly!AM$14)*(1+'Attrition Modeling'!$N$8)-'IP Attrition'!AP$65)/12*'IP Attrition'!AP87,0)))</f>
        <v>0</v>
      </c>
      <c r="AR152" s="799">
        <f>IF(EOMONTH(Inputs!$C$8,'IP Attrition'!AR$134-1)&lt;=Inputs!$C$9,0,MIN(IF(ISERROR(VLOOKUP(AR$134+$F152,$D$135:$D$165,1,FALSE)),0,AQ20*$C$2),MAX((IF(Monthly!AN$4=TRUE,Monthly!AN$13,Monthly!AN$14)*(1+'Attrition Modeling'!$N$8)-'IP Attrition'!AQ$65)/12*'IP Attrition'!AQ87,0)))</f>
        <v>0</v>
      </c>
      <c r="AS152" s="799">
        <f>IF(EOMONTH(Inputs!$C$8,'IP Attrition'!AS$134-1)&lt;=Inputs!$C$9,0,MIN(IF(ISERROR(VLOOKUP(AS$134+$F152,$D$135:$D$165,1,FALSE)),0,AR20*$C$2),MAX((IF(Monthly!AO$4=TRUE,Monthly!AO$13,Monthly!AO$14)*(1+'Attrition Modeling'!$N$8)-'IP Attrition'!AR$65)/12*'IP Attrition'!AR87,0)))</f>
        <v>0</v>
      </c>
      <c r="AT152" s="799">
        <f>IF(EOMONTH(Inputs!$C$8,'IP Attrition'!AT$134-1)&lt;=Inputs!$C$9,0,MIN(IF(ISERROR(VLOOKUP(AT$134+$F152,$D$135:$D$165,1,FALSE)),0,AS20*$C$2),MAX((IF(Monthly!AP$4=TRUE,Monthly!AP$13,Monthly!AP$14)*(1+'Attrition Modeling'!$N$8)-'IP Attrition'!AS$65)/12*'IP Attrition'!AS87,0)))</f>
        <v>0</v>
      </c>
      <c r="AU152" s="799">
        <f>IF(EOMONTH(Inputs!$C$8,'IP Attrition'!AU$134-1)&lt;=Inputs!$C$9,0,MIN(IF(ISERROR(VLOOKUP(AU$134+$F152,$D$135:$D$165,1,FALSE)),0,AT20*$C$2),MAX((IF(Monthly!AQ$4=TRUE,Monthly!AQ$13,Monthly!AQ$14)*(1+'Attrition Modeling'!$N$8)-'IP Attrition'!AT$65)/12*'IP Attrition'!AT87,0)))</f>
        <v>0</v>
      </c>
      <c r="AV152" s="799">
        <f>IF(EOMONTH(Inputs!$C$8,'IP Attrition'!AV$134-1)&lt;=Inputs!$C$9,0,MIN(IF(ISERROR(VLOOKUP(AV$134+$F152,$D$135:$D$165,1,FALSE)),0,AU20*$C$2),MAX((IF(Monthly!AR$4=TRUE,Monthly!AR$13,Monthly!AR$14)*(1+'Attrition Modeling'!$N$8)-'IP Attrition'!AU$65)/12*'IP Attrition'!AU87,0)))</f>
        <v>0</v>
      </c>
      <c r="AW152" s="799">
        <f>IF(EOMONTH(Inputs!$C$8,'IP Attrition'!AW$134-1)&lt;=Inputs!$C$9,0,MIN(IF(ISERROR(VLOOKUP(AW$134+$F152,$D$135:$D$165,1,FALSE)),0,AV20*$C$2),MAX((IF(Monthly!AS$4=TRUE,Monthly!AS$13,Monthly!AS$14)*(1+'Attrition Modeling'!$N$8)-'IP Attrition'!AV$65)/12*'IP Attrition'!AV87,0)))</f>
        <v>0</v>
      </c>
      <c r="AX152" s="799">
        <f>IF(EOMONTH(Inputs!$C$8,'IP Attrition'!AX$134-1)&lt;=Inputs!$C$9,0,MIN(IF(ISERROR(VLOOKUP(AX$134+$F152,$D$135:$D$165,1,FALSE)),0,AW20*$C$2),MAX((IF(Monthly!AT$4=TRUE,Monthly!AT$13,Monthly!AT$14)*(1+'Attrition Modeling'!$N$8)-'IP Attrition'!AW$65)/12*'IP Attrition'!AW87,0)))</f>
        <v>0</v>
      </c>
      <c r="AY152" s="799">
        <f>IF(EOMONTH(Inputs!$C$8,'IP Attrition'!AY$134-1)&lt;=Inputs!$C$9,0,MIN(IF(ISERROR(VLOOKUP(AY$134+$F152,$D$135:$D$165,1,FALSE)),0,AX20*$C$2),MAX((IF(Monthly!AU$4=TRUE,Monthly!AU$13,Monthly!AU$14)*(1+'Attrition Modeling'!$N$8)-'IP Attrition'!AX$65)/12*'IP Attrition'!AX87,0)))</f>
        <v>0</v>
      </c>
      <c r="AZ152" s="799">
        <f>IF(EOMONTH(Inputs!$C$8,'IP Attrition'!AZ$134-1)&lt;=Inputs!$C$9,0,MIN(IF(ISERROR(VLOOKUP(AZ$134+$F152,$D$135:$D$165,1,FALSE)),0,AY20*$C$2),MAX((IF(Monthly!AV$4=TRUE,Monthly!AV$13,Monthly!AV$14)*(1+'Attrition Modeling'!$N$8)-'IP Attrition'!AY$65)/12*'IP Attrition'!AY87,0)))</f>
        <v>0</v>
      </c>
      <c r="BA152" s="799">
        <f>IF(EOMONTH(Inputs!$C$8,'IP Attrition'!BA$134-1)&lt;=Inputs!$C$9,0,MIN(IF(ISERROR(VLOOKUP(BA$134+$F152,$D$135:$D$165,1,FALSE)),0,AZ20*$C$2),MAX((IF(Monthly!AW$4=TRUE,Monthly!AW$13,Monthly!AW$14)*(1+'Attrition Modeling'!$N$8)-'IP Attrition'!AZ$65)/12*'IP Attrition'!AZ87,0)))</f>
        <v>0</v>
      </c>
      <c r="BB152" s="799">
        <f>IF(EOMONTH(Inputs!$C$8,'IP Attrition'!BB$134-1)&lt;=Inputs!$C$9,0,MIN(IF(ISERROR(VLOOKUP(BB$134+$F152,$D$135:$D$165,1,FALSE)),0,BA20*$C$2),MAX((IF(Monthly!AX$4=TRUE,Monthly!AX$13,Monthly!AX$14)*(1+'Attrition Modeling'!$N$8)-'IP Attrition'!BA$65)/12*'IP Attrition'!BA87,0)))</f>
        <v>0</v>
      </c>
      <c r="BC152" s="799">
        <f>IF(EOMONTH(Inputs!$C$8,'IP Attrition'!BC$134-1)&lt;=Inputs!$C$9,0,MIN(IF(ISERROR(VLOOKUP(BC$134+$F152,$D$135:$D$165,1,FALSE)),0,BB20*$C$2),MAX((IF(Monthly!AY$4=TRUE,Monthly!AY$13,Monthly!AY$14)*(1+'Attrition Modeling'!$N$8)-'IP Attrition'!BB$65)/12*'IP Attrition'!BB87,0)))</f>
        <v>0</v>
      </c>
      <c r="BD152" s="799">
        <f>IF(EOMONTH(Inputs!$C$8,'IP Attrition'!BD$134-1)&lt;=Inputs!$C$9,0,MIN(IF(ISERROR(VLOOKUP(BD$134+$F152,$D$135:$D$165,1,FALSE)),0,BC20*$C$2),MAX((IF(Monthly!AZ$4=TRUE,Monthly!AZ$13,Monthly!AZ$14)*(1+'Attrition Modeling'!$N$8)-'IP Attrition'!BC$65)/12*'IP Attrition'!BC87,0)))</f>
        <v>0</v>
      </c>
      <c r="BE152" s="799">
        <f>IF(EOMONTH(Inputs!$C$8,'IP Attrition'!BE$134-1)&lt;=Inputs!$C$9,0,MIN(IF(ISERROR(VLOOKUP(BE$134+$F152,$D$135:$D$165,1,FALSE)),0,BD20*$C$2),MAX((IF(Monthly!BA$4=TRUE,Monthly!BA$13,Monthly!BA$14)*(1+'Attrition Modeling'!$N$8)-'IP Attrition'!BD$65)/12*'IP Attrition'!BD87,0)))</f>
        <v>0</v>
      </c>
      <c r="BF152" s="799">
        <f>IF(EOMONTH(Inputs!$C$8,'IP Attrition'!BF$134-1)&lt;=Inputs!$C$9,0,MIN(IF(ISERROR(VLOOKUP(BF$134+$F152,$D$135:$D$165,1,FALSE)),0,BE20*$C$2),MAX((IF(Monthly!BB$4=TRUE,Monthly!BB$13,Monthly!BB$14)*(1+'Attrition Modeling'!$N$8)-'IP Attrition'!BE$65)/12*'IP Attrition'!BE87,0)))</f>
        <v>0</v>
      </c>
      <c r="BG152" s="799">
        <f>IF(EOMONTH(Inputs!$C$8,'IP Attrition'!BG$134-1)&lt;=Inputs!$C$9,0,MIN(IF(ISERROR(VLOOKUP(BG$134+$F152,$D$135:$D$165,1,FALSE)),0,BF20*$C$2),MAX((IF(Monthly!BC$4=TRUE,Monthly!BC$13,Monthly!BC$14)*(1+'Attrition Modeling'!$N$8)-'IP Attrition'!BF$65)/12*'IP Attrition'!BF87,0)))</f>
        <v>0</v>
      </c>
      <c r="BH152" s="799">
        <f>IF(EOMONTH(Inputs!$C$8,'IP Attrition'!BH$134-1)&lt;=Inputs!$C$9,0,MIN(IF(ISERROR(VLOOKUP(BH$134+$F152,$D$135:$D$165,1,FALSE)),0,BG20*$C$2),MAX((IF(Monthly!BD$4=TRUE,Monthly!BD$13,Monthly!BD$14)*(1+'Attrition Modeling'!$N$8)-'IP Attrition'!BG$65)/12*'IP Attrition'!BG87,0)))</f>
        <v>0</v>
      </c>
      <c r="BI152" s="799">
        <f>IF(EOMONTH(Inputs!$C$8,'IP Attrition'!BI$134-1)&lt;=Inputs!$C$9,0,MIN(IF(ISERROR(VLOOKUP(BI$134+$F152,$D$135:$D$165,1,FALSE)),0,BH20*$C$2),MAX((IF(Monthly!BE$4=TRUE,Monthly!BE$13,Monthly!BE$14)*(1+'Attrition Modeling'!$N$8)-'IP Attrition'!BH$65)/12*'IP Attrition'!BH87,0)))</f>
        <v>0</v>
      </c>
      <c r="BJ152" s="799">
        <f>IF(EOMONTH(Inputs!$C$8,'IP Attrition'!BJ$134-1)&lt;=Inputs!$C$9,0,MIN(IF(ISERROR(VLOOKUP(BJ$134+$F152,$D$135:$D$165,1,FALSE)),0,BI20*$C$2),MAX((IF(Monthly!BF$4=TRUE,Monthly!BF$13,Monthly!BF$14)*(1+'Attrition Modeling'!$N$8)-'IP Attrition'!BI$65)/12*'IP Attrition'!BI87,0)))</f>
        <v>0</v>
      </c>
      <c r="BK152" s="799">
        <f>IF(EOMONTH(Inputs!$C$8,'IP Attrition'!BK$134-1)&lt;=Inputs!$C$9,0,MIN(IF(ISERROR(VLOOKUP(BK$134+$F152,$D$135:$D$165,1,FALSE)),0,BJ20*$C$2),MAX((IF(Monthly!BG$4=TRUE,Monthly!BG$13,Monthly!BG$14)*(1+'Attrition Modeling'!$N$8)-'IP Attrition'!BJ$65)/12*'IP Attrition'!BJ87,0)))</f>
        <v>0</v>
      </c>
      <c r="BL152" s="799">
        <f>IF(EOMONTH(Inputs!$C$8,'IP Attrition'!BL$134-1)&lt;=Inputs!$C$9,0,MIN(IF(ISERROR(VLOOKUP(BL$134+$F152,$D$135:$D$165,1,FALSE)),0,BK20*$C$2),MAX((IF(Monthly!BH$4=TRUE,Monthly!BH$13,Monthly!BH$14)*(1+'Attrition Modeling'!$N$8)-'IP Attrition'!BK$65)/12*'IP Attrition'!BK87,0)))</f>
        <v>0</v>
      </c>
      <c r="BM152" s="799">
        <f>IF(EOMONTH(Inputs!$C$8,'IP Attrition'!BM$134-1)&lt;=Inputs!$C$9,0,MIN(IF(ISERROR(VLOOKUP(BM$134+$F152,$D$135:$D$165,1,FALSE)),0,BL20*$C$2),MAX((IF(Monthly!BI$4=TRUE,Monthly!BI$13,Monthly!BI$14)*(1+'Attrition Modeling'!$N$8)-'IP Attrition'!BL$65)/12*'IP Attrition'!BL87,0)))</f>
        <v>0</v>
      </c>
      <c r="BN152" s="799">
        <f>IF(EOMONTH(Inputs!$C$8,'IP Attrition'!BN$134-1)&lt;=Inputs!$C$9,0,MIN(IF(ISERROR(VLOOKUP(BN$134+$F152,$D$135:$D$165,1,FALSE)),0,BM20*$C$2),MAX((IF(Monthly!BJ$4=TRUE,Monthly!BJ$13,Monthly!BJ$14)*(1+'Attrition Modeling'!$N$8)-'IP Attrition'!BM$65)/12*'IP Attrition'!BM87,0)))</f>
        <v>0</v>
      </c>
      <c r="BO152" s="799">
        <f>IF(EOMONTH(Inputs!$C$8,'IP Attrition'!BO$134-1)&lt;=Inputs!$C$9,0,MIN(IF(ISERROR(VLOOKUP(BO$134+$F152,$D$135:$D$165,1,FALSE)),0,BN20*$C$2),MAX((IF(Monthly!BK$4=TRUE,Monthly!BK$13,Monthly!BK$14)*(1+'Attrition Modeling'!$N$8)-'IP Attrition'!BN$65)/12*'IP Attrition'!BN87,0)))</f>
        <v>0</v>
      </c>
      <c r="BP152" s="799">
        <f>IF(EOMONTH(Inputs!$C$8,'IP Attrition'!BP$134-1)&lt;=Inputs!$C$9,0,MIN(IF(ISERROR(VLOOKUP(BP$134+$F152,$D$135:$D$165,1,FALSE)),0,BO20*$C$2),MAX((IF(Monthly!BL$4=TRUE,Monthly!BL$13,Monthly!BL$14)*(1+'Attrition Modeling'!$N$8)-'IP Attrition'!BO$65)/12*'IP Attrition'!BO87,0)))</f>
        <v>0</v>
      </c>
      <c r="BQ152" s="799">
        <f>IF(EOMONTH(Inputs!$C$8,'IP Attrition'!BQ$134-1)&lt;=Inputs!$C$9,0,MIN(IF(ISERROR(VLOOKUP(BQ$134+$F152,$D$135:$D$165,1,FALSE)),0,BP20*$C$2),MAX((IF(Monthly!BM$4=TRUE,Monthly!BM$13,Monthly!BM$14)*(1+'Attrition Modeling'!$N$8)-'IP Attrition'!BP$65)/12*'IP Attrition'!BP87,0)))</f>
        <v>0</v>
      </c>
      <c r="BR152" s="799">
        <f>IF(EOMONTH(Inputs!$C$8,'IP Attrition'!BR$134-1)&lt;=Inputs!$C$9,0,MIN(IF(ISERROR(VLOOKUP(BR$134+$F152,$D$135:$D$165,1,FALSE)),0,BQ20*$C$2),MAX((IF(Monthly!BN$4=TRUE,Monthly!BN$13,Monthly!BN$14)*(1+'Attrition Modeling'!$N$8)-'IP Attrition'!BQ$65)/12*'IP Attrition'!BQ87,0)))</f>
        <v>0</v>
      </c>
      <c r="BS152" s="799">
        <f>IF(EOMONTH(Inputs!$C$8,'IP Attrition'!BS$134-1)&lt;=Inputs!$C$9,0,MIN(IF(ISERROR(VLOOKUP(BS$134+$F152,$D$135:$D$165,1,FALSE)),0,BR20*$C$2),MAX((IF(Monthly!BO$4=TRUE,Monthly!BO$13,Monthly!BO$14)*(1+'Attrition Modeling'!$N$8)-'IP Attrition'!BR$65)/12*'IP Attrition'!BR87,0)))</f>
        <v>0</v>
      </c>
      <c r="BT152" s="799" t="e">
        <f>IF(EOMONTH(Inputs!$C$8,'IP Attrition'!BT$134-1)&lt;=Inputs!$C$9,0,MIN(IF(ISERROR(VLOOKUP(BT$134+$F152,$D$135:$D$165,1,FALSE)),0,BS20*$C$2),MAX((IF(Monthly!#REF!=TRUE,Monthly!#REF!,Monthly!#REF!)*(1+'Attrition Modeling'!$N$8)-'IP Attrition'!BS$65)/12*'IP Attrition'!BS87,0)))</f>
        <v>#REF!</v>
      </c>
      <c r="BU152" s="799" t="e">
        <f>IF(EOMONTH(Inputs!$C$8,'IP Attrition'!BU$134-1)&lt;=Inputs!$C$9,0,MIN(IF(ISERROR(VLOOKUP(BU$134+$F152,$D$135:$D$165,1,FALSE)),0,BT20*$C$2),MAX((IF(Monthly!#REF!=TRUE,Monthly!#REF!,Monthly!#REF!)*(1+'Attrition Modeling'!$N$8)-'IP Attrition'!BT$65)/12*'IP Attrition'!BT87,0)))</f>
        <v>#REF!</v>
      </c>
    </row>
    <row r="153" spans="1:73" ht="14.25" customHeight="1" x14ac:dyDescent="0.2">
      <c r="A153" s="9">
        <v>146</v>
      </c>
      <c r="B153" s="25">
        <f>MAX('Attrition Modeling'!H150,$C$3)*(1-Summary!$C$20)</f>
        <v>0.02</v>
      </c>
      <c r="C153" s="24" t="e">
        <f t="shared" si="3"/>
        <v>#DIV/0!</v>
      </c>
      <c r="D153" s="11">
        <f t="shared" si="72"/>
        <v>222</v>
      </c>
      <c r="E153" s="25">
        <f t="shared" si="71"/>
        <v>0</v>
      </c>
      <c r="F153" s="11">
        <f t="shared" si="73"/>
        <v>18</v>
      </c>
      <c r="G153" s="799"/>
      <c r="H153" s="799">
        <f>IF(EOMONTH(Inputs!$C$8,'IP Attrition'!H$134-1)&lt;=Inputs!$C$9,0,MIN(IF(ISERROR(VLOOKUP(H$134+$F153,$D$135:$D$165,1,FALSE)),0,G21*$C$2),MAX((IF(Monthly!D$4=TRUE,Monthly!D$13,Monthly!D$14)*(1+'Attrition Modeling'!$N$8)-'IP Attrition'!G$65)/12*'IP Attrition'!G88,0)))</f>
        <v>0</v>
      </c>
      <c r="I153" s="799">
        <f>IF(EOMONTH(Inputs!$C$8,'IP Attrition'!I$134-1)&lt;=Inputs!$C$9,0,MIN(IF(ISERROR(VLOOKUP(I$134+$F153,$D$135:$D$165,1,FALSE)),0,H21*$C$2),MAX((IF(Monthly!E$4=TRUE,Monthly!E$13,Monthly!E$14)*(1+'Attrition Modeling'!$N$8)-'IP Attrition'!H$65)/12*'IP Attrition'!H88,0)))</f>
        <v>0</v>
      </c>
      <c r="J153" s="799">
        <f>IF(EOMONTH(Inputs!$C$8,'IP Attrition'!J$134-1)&lt;=Inputs!$C$9,0,MIN(IF(ISERROR(VLOOKUP(J$134+$F153,$D$135:$D$165,1,FALSE)),0,I21*$C$2),MAX((IF(Monthly!F$4=TRUE,Monthly!F$13,Monthly!F$14)*(1+'Attrition Modeling'!$N$8)-'IP Attrition'!I$65)/12*'IP Attrition'!I88,0)))</f>
        <v>0</v>
      </c>
      <c r="K153" s="799">
        <f>IF(EOMONTH(Inputs!$C$8,'IP Attrition'!K$134-1)&lt;=Inputs!$C$9,0,MIN(IF(ISERROR(VLOOKUP(K$134+$F153,$D$135:$D$165,1,FALSE)),0,J21*$C$2),MAX((IF(Monthly!G$4=TRUE,Monthly!G$13,Monthly!G$14)*(1+'Attrition Modeling'!$N$8)-'IP Attrition'!J$65)/12*'IP Attrition'!J88,0)))</f>
        <v>0</v>
      </c>
      <c r="L153" s="799">
        <f>IF(EOMONTH(Inputs!$C$8,'IP Attrition'!L$134-1)&lt;=Inputs!$C$9,0,MIN(IF(ISERROR(VLOOKUP(L$134+$F153,$D$135:$D$165,1,FALSE)),0,K21*$C$2),MAX((IF(Monthly!H$4=TRUE,Monthly!H$13,Monthly!H$14)*(1+'Attrition Modeling'!$N$8)-'IP Attrition'!K$65)/12*'IP Attrition'!K88,0)))</f>
        <v>0</v>
      </c>
      <c r="M153" s="799">
        <f>IF(EOMONTH(Inputs!$C$8,'IP Attrition'!M$134-1)&lt;=Inputs!$C$9,0,MIN(IF(ISERROR(VLOOKUP(M$134+$F153,$D$135:$D$165,1,FALSE)),0,L21*$C$2),MAX((IF(Monthly!I$4=TRUE,Monthly!I$13,Monthly!I$14)*(1+'Attrition Modeling'!$N$8)-'IP Attrition'!L$65)/12*'IP Attrition'!L88,0)))</f>
        <v>0</v>
      </c>
      <c r="N153" s="799">
        <f>IF(EOMONTH(Inputs!$C$8,'IP Attrition'!N$134-1)&lt;=Inputs!$C$9,0,MIN(IF(ISERROR(VLOOKUP(N$134+$F153,$D$135:$D$165,1,FALSE)),0,M21*$C$2),MAX((IF(Monthly!J$4=TRUE,Monthly!J$13,Monthly!J$14)*(1+'Attrition Modeling'!$N$8)-'IP Attrition'!M$65)/12*'IP Attrition'!M88,0)))</f>
        <v>0</v>
      </c>
      <c r="O153" s="799">
        <f>IF(EOMONTH(Inputs!$C$8,'IP Attrition'!O$134-1)&lt;=Inputs!$C$9,0,MIN(IF(ISERROR(VLOOKUP(O$134+$F153,$D$135:$D$165,1,FALSE)),0,N21*$C$2),MAX((IF(Monthly!K$4=TRUE,Monthly!K$13,Monthly!K$14)*(1+'Attrition Modeling'!$N$8)-'IP Attrition'!N$65)/12*'IP Attrition'!N88,0)))</f>
        <v>0</v>
      </c>
      <c r="P153" s="799">
        <f>IF(EOMONTH(Inputs!$C$8,'IP Attrition'!P$134-1)&lt;=Inputs!$C$9,0,MIN(IF(ISERROR(VLOOKUP(P$134+$F153,$D$135:$D$165,1,FALSE)),0,O21*$C$2),MAX((IF(Monthly!L$4=TRUE,Monthly!L$13,Monthly!L$14)*(1+'Attrition Modeling'!$N$8)-'IP Attrition'!O$65)/12*'IP Attrition'!O88,0)))</f>
        <v>0</v>
      </c>
      <c r="Q153" s="799">
        <f>IF(EOMONTH(Inputs!$C$8,'IP Attrition'!Q$134-1)&lt;=Inputs!$C$9,0,MIN(IF(ISERROR(VLOOKUP(Q$134+$F153,$D$135:$D$165,1,FALSE)),0,P21*$C$2),MAX((IF(Monthly!M$4=TRUE,Monthly!M$13,Monthly!M$14)*(1+'Attrition Modeling'!$N$8)-'IP Attrition'!P$65)/12*'IP Attrition'!P88,0)))</f>
        <v>0</v>
      </c>
      <c r="R153" s="799">
        <f>IF(EOMONTH(Inputs!$C$8,'IP Attrition'!R$134-1)&lt;=Inputs!$C$9,0,MIN(IF(ISERROR(VLOOKUP(R$134+$F153,$D$135:$D$165,1,FALSE)),0,Q21*$C$2),MAX((IF(Monthly!N$4=TRUE,Monthly!N$13,Monthly!N$14)*(1+'Attrition Modeling'!$N$8)-'IP Attrition'!Q$65)/12*'IP Attrition'!Q88,0)))</f>
        <v>0</v>
      </c>
      <c r="S153" s="799">
        <f>IF(EOMONTH(Inputs!$C$8,'IP Attrition'!S$134-1)&lt;=Inputs!$C$9,0,MIN(IF(ISERROR(VLOOKUP(S$134+$F153,$D$135:$D$165,1,FALSE)),0,R21*$C$2),MAX((IF(Monthly!O$4=TRUE,Monthly!O$13,Monthly!O$14)*(1+'Attrition Modeling'!$N$8)-'IP Attrition'!R$65)/12*'IP Attrition'!R88,0)))</f>
        <v>0</v>
      </c>
      <c r="T153" s="799">
        <f>IF(EOMONTH(Inputs!$C$8,'IP Attrition'!T$134-1)&lt;=Inputs!$C$9,0,MIN(IF(ISERROR(VLOOKUP(T$134+$F153,$D$135:$D$165,1,FALSE)),0,S21*$C$2),MAX((IF(Monthly!P$4=TRUE,Monthly!P$13,Monthly!P$14)*(1+'Attrition Modeling'!$N$8)-'IP Attrition'!S$65)/12*'IP Attrition'!S88,0)))</f>
        <v>0</v>
      </c>
      <c r="U153" s="799">
        <f>IF(EOMONTH(Inputs!$C$8,'IP Attrition'!U$134-1)&lt;=Inputs!$C$9,0,MIN(IF(ISERROR(VLOOKUP(U$134+$F153,$D$135:$D$165,1,FALSE)),0,T21*$C$2),MAX((IF(Monthly!Q$4=TRUE,Monthly!Q$13,Monthly!Q$14)*(1+'Attrition Modeling'!$N$8)-'IP Attrition'!T$65)/12*'IP Attrition'!T88,0)))</f>
        <v>0</v>
      </c>
      <c r="V153" s="799">
        <f>IF(EOMONTH(Inputs!$C$8,'IP Attrition'!V$134-1)&lt;=Inputs!$C$9,0,MIN(IF(ISERROR(VLOOKUP(V$134+$F153,$D$135:$D$165,1,FALSE)),0,U21*$C$2),MAX((IF(Monthly!R$4=TRUE,Monthly!R$13,Monthly!R$14)*(1+'Attrition Modeling'!$N$8)-'IP Attrition'!U$65)/12*'IP Attrition'!U88,0)))</f>
        <v>0</v>
      </c>
      <c r="W153" s="799">
        <f>IF(EOMONTH(Inputs!$C$8,'IP Attrition'!W$134-1)&lt;=Inputs!$C$9,0,MIN(IF(ISERROR(VLOOKUP(W$134+$F153,$D$135:$D$165,1,FALSE)),0,V21*$C$2),MAX((IF(Monthly!S$4=TRUE,Monthly!S$13,Monthly!S$14)*(1+'Attrition Modeling'!$N$8)-'IP Attrition'!V$65)/12*'IP Attrition'!V88,0)))</f>
        <v>0</v>
      </c>
      <c r="X153" s="799">
        <f>IF(EOMONTH(Inputs!$C$8,'IP Attrition'!X$134-1)&lt;=Inputs!$C$9,0,MIN(IF(ISERROR(VLOOKUP(X$134+$F153,$D$135:$D$165,1,FALSE)),0,W21*$C$2),MAX((IF(Monthly!T$4=TRUE,Monthly!T$13,Monthly!T$14)*(1+'Attrition Modeling'!$N$8)-'IP Attrition'!W$65)/12*'IP Attrition'!W88,0)))</f>
        <v>0</v>
      </c>
      <c r="Y153" s="799">
        <f>IF(EOMONTH(Inputs!$C$8,'IP Attrition'!Y$134-1)&lt;=Inputs!$C$9,0,MIN(IF(ISERROR(VLOOKUP(Y$134+$F153,$D$135:$D$165,1,FALSE)),0,X21*$C$2),MAX((IF(Monthly!U$4=TRUE,Monthly!U$13,Monthly!U$14)*(1+'Attrition Modeling'!$N$8)-'IP Attrition'!X$65)/12*'IP Attrition'!X88,0)))</f>
        <v>0</v>
      </c>
      <c r="Z153" s="799">
        <f>IF(EOMONTH(Inputs!$C$8,'IP Attrition'!Z$134-1)&lt;=Inputs!$C$9,0,MIN(IF(ISERROR(VLOOKUP(Z$134+$F153,$D$135:$D$165,1,FALSE)),0,Y21*$C$2),MAX((IF(Monthly!V$4=TRUE,Monthly!V$13,Monthly!V$14)*(1+'Attrition Modeling'!$N$8)-'IP Attrition'!Y$65)/12*'IP Attrition'!Y88,0)))</f>
        <v>0</v>
      </c>
      <c r="AA153" s="799">
        <f>IF(EOMONTH(Inputs!$C$8,'IP Attrition'!AA$134-1)&lt;=Inputs!$C$9,0,MIN(IF(ISERROR(VLOOKUP(AA$134+$F153,$D$135:$D$165,1,FALSE)),0,Z21*$C$2),MAX((IF(Monthly!W$4=TRUE,Monthly!W$13,Monthly!W$14)*(1+'Attrition Modeling'!$N$8)-'IP Attrition'!Z$65)/12*'IP Attrition'!Z88,0)))</f>
        <v>0</v>
      </c>
      <c r="AB153" s="799">
        <f>IF(EOMONTH(Inputs!$C$8,'IP Attrition'!AB$134-1)&lt;=Inputs!$C$9,0,MIN(IF(ISERROR(VLOOKUP(AB$134+$F153,$D$135:$D$165,1,FALSE)),0,AA21*$C$2),MAX((IF(Monthly!X$4=TRUE,Monthly!X$13,Monthly!X$14)*(1+'Attrition Modeling'!$N$8)-'IP Attrition'!AA$65)/12*'IP Attrition'!AA88,0)))</f>
        <v>0</v>
      </c>
      <c r="AC153" s="799">
        <f>IF(EOMONTH(Inputs!$C$8,'IP Attrition'!AC$134-1)&lt;=Inputs!$C$9,0,MIN(IF(ISERROR(VLOOKUP(AC$134+$F153,$D$135:$D$165,1,FALSE)),0,AB21*$C$2),MAX((IF(Monthly!Y$4=TRUE,Monthly!Y$13,Monthly!Y$14)*(1+'Attrition Modeling'!$N$8)-'IP Attrition'!AB$65)/12*'IP Attrition'!AB88,0)))</f>
        <v>0</v>
      </c>
      <c r="AD153" s="799">
        <f>IF(EOMONTH(Inputs!$C$8,'IP Attrition'!AD$134-1)&lt;=Inputs!$C$9,0,MIN(IF(ISERROR(VLOOKUP(AD$134+$F153,$D$135:$D$165,1,FALSE)),0,AC21*$C$2),MAX((IF(Monthly!Z$4=TRUE,Monthly!Z$13,Monthly!Z$14)*(1+'Attrition Modeling'!$N$8)-'IP Attrition'!AC$65)/12*'IP Attrition'!AC88,0)))</f>
        <v>0</v>
      </c>
      <c r="AE153" s="799">
        <f>IF(EOMONTH(Inputs!$C$8,'IP Attrition'!AE$134-1)&lt;=Inputs!$C$9,0,MIN(IF(ISERROR(VLOOKUP(AE$134+$F153,$D$135:$D$165,1,FALSE)),0,AD21*$C$2),MAX((IF(Monthly!AA$4=TRUE,Monthly!AA$13,Monthly!AA$14)*(1+'Attrition Modeling'!$N$8)-'IP Attrition'!AD$65)/12*'IP Attrition'!AD88,0)))</f>
        <v>0</v>
      </c>
      <c r="AF153" s="799">
        <f>IF(EOMONTH(Inputs!$C$8,'IP Attrition'!AF$134-1)&lt;=Inputs!$C$9,0,MIN(IF(ISERROR(VLOOKUP(AF$134+$F153,$D$135:$D$165,1,FALSE)),0,AE21*$C$2),MAX((IF(Monthly!AB$4=TRUE,Monthly!AB$13,Monthly!AB$14)*(1+'Attrition Modeling'!$N$8)-'IP Attrition'!AE$65)/12*'IP Attrition'!AE88,0)))</f>
        <v>0</v>
      </c>
      <c r="AG153" s="799">
        <f>IF(EOMONTH(Inputs!$C$8,'IP Attrition'!AG$134-1)&lt;=Inputs!$C$9,0,MIN(IF(ISERROR(VLOOKUP(AG$134+$F153,$D$135:$D$165,1,FALSE)),0,AF21*$C$2),MAX((IF(Monthly!AC$4=TRUE,Monthly!AC$13,Monthly!AC$14)*(1+'Attrition Modeling'!$N$8)-'IP Attrition'!AF$65)/12*'IP Attrition'!AF88,0)))</f>
        <v>0</v>
      </c>
      <c r="AH153" s="799">
        <f>IF(EOMONTH(Inputs!$C$8,'IP Attrition'!AH$134-1)&lt;=Inputs!$C$9,0,MIN(IF(ISERROR(VLOOKUP(AH$134+$F153,$D$135:$D$165,1,FALSE)),0,AG21*$C$2),MAX((IF(Monthly!AD$4=TRUE,Monthly!AD$13,Monthly!AD$14)*(1+'Attrition Modeling'!$N$8)-'IP Attrition'!AG$65)/12*'IP Attrition'!AG88,0)))</f>
        <v>0</v>
      </c>
      <c r="AI153" s="799">
        <f>IF(EOMONTH(Inputs!$C$8,'IP Attrition'!AI$134-1)&lt;=Inputs!$C$9,0,MIN(IF(ISERROR(VLOOKUP(AI$134+$F153,$D$135:$D$165,1,FALSE)),0,AH21*$C$2),MAX((IF(Monthly!AE$4=TRUE,Monthly!AE$13,Monthly!AE$14)*(1+'Attrition Modeling'!$N$8)-'IP Attrition'!AH$65)/12*'IP Attrition'!AH88,0)))</f>
        <v>0</v>
      </c>
      <c r="AJ153" s="799">
        <f>IF(EOMONTH(Inputs!$C$8,'IP Attrition'!AJ$134-1)&lt;=Inputs!$C$9,0,MIN(IF(ISERROR(VLOOKUP(AJ$134+$F153,$D$135:$D$165,1,FALSE)),0,AI21*$C$2),MAX((IF(Monthly!AF$4=TRUE,Monthly!AF$13,Monthly!AF$14)*(1+'Attrition Modeling'!$N$8)-'IP Attrition'!AI$65)/12*'IP Attrition'!AI88,0)))</f>
        <v>0</v>
      </c>
      <c r="AK153" s="799">
        <f>IF(EOMONTH(Inputs!$C$8,'IP Attrition'!AK$134-1)&lt;=Inputs!$C$9,0,MIN(IF(ISERROR(VLOOKUP(AK$134+$F153,$D$135:$D$165,1,FALSE)),0,AJ21*$C$2),MAX((IF(Monthly!AG$4=TRUE,Monthly!AG$13,Monthly!AG$14)*(1+'Attrition Modeling'!$N$8)-'IP Attrition'!AJ$65)/12*'IP Attrition'!AJ88,0)))</f>
        <v>0</v>
      </c>
      <c r="AL153" s="799">
        <f>IF(EOMONTH(Inputs!$C$8,'IP Attrition'!AL$134-1)&lt;=Inputs!$C$9,0,MIN(IF(ISERROR(VLOOKUP(AL$134+$F153,$D$135:$D$165,1,FALSE)),0,AK21*$C$2),MAX((IF(Monthly!AH$4=TRUE,Monthly!AH$13,Monthly!AH$14)*(1+'Attrition Modeling'!$N$8)-'IP Attrition'!AK$65)/12*'IP Attrition'!AK88,0)))</f>
        <v>0</v>
      </c>
      <c r="AM153" s="799">
        <f>IF(EOMONTH(Inputs!$C$8,'IP Attrition'!AM$134-1)&lt;=Inputs!$C$9,0,MIN(IF(ISERROR(VLOOKUP(AM$134+$F153,$D$135:$D$165,1,FALSE)),0,AL21*$C$2),MAX((IF(Monthly!AI$4=TRUE,Monthly!AI$13,Monthly!AI$14)*(1+'Attrition Modeling'!$N$8)-'IP Attrition'!AL$65)/12*'IP Attrition'!AL88,0)))</f>
        <v>0</v>
      </c>
      <c r="AN153" s="799">
        <f>IF(EOMONTH(Inputs!$C$8,'IP Attrition'!AN$134-1)&lt;=Inputs!$C$9,0,MIN(IF(ISERROR(VLOOKUP(AN$134+$F153,$D$135:$D$165,1,FALSE)),0,AM21*$C$2),MAX((IF(Monthly!AJ$4=TRUE,Monthly!AJ$13,Monthly!AJ$14)*(1+'Attrition Modeling'!$N$8)-'IP Attrition'!AM$65)/12*'IP Attrition'!AM88,0)))</f>
        <v>0</v>
      </c>
      <c r="AO153" s="799">
        <f>IF(EOMONTH(Inputs!$C$8,'IP Attrition'!AO$134-1)&lt;=Inputs!$C$9,0,MIN(IF(ISERROR(VLOOKUP(AO$134+$F153,$D$135:$D$165,1,FALSE)),0,AN21*$C$2),MAX((IF(Monthly!AK$4=TRUE,Monthly!AK$13,Monthly!AK$14)*(1+'Attrition Modeling'!$N$8)-'IP Attrition'!AN$65)/12*'IP Attrition'!AN88,0)))</f>
        <v>0</v>
      </c>
      <c r="AP153" s="799">
        <f>IF(EOMONTH(Inputs!$C$8,'IP Attrition'!AP$134-1)&lt;=Inputs!$C$9,0,MIN(IF(ISERROR(VLOOKUP(AP$134+$F153,$D$135:$D$165,1,FALSE)),0,AO21*$C$2),MAX((IF(Monthly!AL$4=TRUE,Monthly!AL$13,Monthly!AL$14)*(1+'Attrition Modeling'!$N$8)-'IP Attrition'!AO$65)/12*'IP Attrition'!AO88,0)))</f>
        <v>0</v>
      </c>
      <c r="AQ153" s="799">
        <f>IF(EOMONTH(Inputs!$C$8,'IP Attrition'!AQ$134-1)&lt;=Inputs!$C$9,0,MIN(IF(ISERROR(VLOOKUP(AQ$134+$F153,$D$135:$D$165,1,FALSE)),0,AP21*$C$2),MAX((IF(Monthly!AM$4=TRUE,Monthly!AM$13,Monthly!AM$14)*(1+'Attrition Modeling'!$N$8)-'IP Attrition'!AP$65)/12*'IP Attrition'!AP88,0)))</f>
        <v>0</v>
      </c>
      <c r="AR153" s="799">
        <f>IF(EOMONTH(Inputs!$C$8,'IP Attrition'!AR$134-1)&lt;=Inputs!$C$9,0,MIN(IF(ISERROR(VLOOKUP(AR$134+$F153,$D$135:$D$165,1,FALSE)),0,AQ21*$C$2),MAX((IF(Monthly!AN$4=TRUE,Monthly!AN$13,Monthly!AN$14)*(1+'Attrition Modeling'!$N$8)-'IP Attrition'!AQ$65)/12*'IP Attrition'!AQ88,0)))</f>
        <v>0</v>
      </c>
      <c r="AS153" s="799">
        <f>IF(EOMONTH(Inputs!$C$8,'IP Attrition'!AS$134-1)&lt;=Inputs!$C$9,0,MIN(IF(ISERROR(VLOOKUP(AS$134+$F153,$D$135:$D$165,1,FALSE)),0,AR21*$C$2),MAX((IF(Monthly!AO$4=TRUE,Monthly!AO$13,Monthly!AO$14)*(1+'Attrition Modeling'!$N$8)-'IP Attrition'!AR$65)/12*'IP Attrition'!AR88,0)))</f>
        <v>0</v>
      </c>
      <c r="AT153" s="799">
        <f>IF(EOMONTH(Inputs!$C$8,'IP Attrition'!AT$134-1)&lt;=Inputs!$C$9,0,MIN(IF(ISERROR(VLOOKUP(AT$134+$F153,$D$135:$D$165,1,FALSE)),0,AS21*$C$2),MAX((IF(Monthly!AP$4=TRUE,Monthly!AP$13,Monthly!AP$14)*(1+'Attrition Modeling'!$N$8)-'IP Attrition'!AS$65)/12*'IP Attrition'!AS88,0)))</f>
        <v>0</v>
      </c>
      <c r="AU153" s="799">
        <f>IF(EOMONTH(Inputs!$C$8,'IP Attrition'!AU$134-1)&lt;=Inputs!$C$9,0,MIN(IF(ISERROR(VLOOKUP(AU$134+$F153,$D$135:$D$165,1,FALSE)),0,AT21*$C$2),MAX((IF(Monthly!AQ$4=TRUE,Monthly!AQ$13,Monthly!AQ$14)*(1+'Attrition Modeling'!$N$8)-'IP Attrition'!AT$65)/12*'IP Attrition'!AT88,0)))</f>
        <v>0</v>
      </c>
      <c r="AV153" s="799">
        <f>IF(EOMONTH(Inputs!$C$8,'IP Attrition'!AV$134-1)&lt;=Inputs!$C$9,0,MIN(IF(ISERROR(VLOOKUP(AV$134+$F153,$D$135:$D$165,1,FALSE)),0,AU21*$C$2),MAX((IF(Monthly!AR$4=TRUE,Monthly!AR$13,Monthly!AR$14)*(1+'Attrition Modeling'!$N$8)-'IP Attrition'!AU$65)/12*'IP Attrition'!AU88,0)))</f>
        <v>0</v>
      </c>
      <c r="AW153" s="799">
        <f>IF(EOMONTH(Inputs!$C$8,'IP Attrition'!AW$134-1)&lt;=Inputs!$C$9,0,MIN(IF(ISERROR(VLOOKUP(AW$134+$F153,$D$135:$D$165,1,FALSE)),0,AV21*$C$2),MAX((IF(Monthly!AS$4=TRUE,Monthly!AS$13,Monthly!AS$14)*(1+'Attrition Modeling'!$N$8)-'IP Attrition'!AV$65)/12*'IP Attrition'!AV88,0)))</f>
        <v>0</v>
      </c>
      <c r="AX153" s="799">
        <f>IF(EOMONTH(Inputs!$C$8,'IP Attrition'!AX$134-1)&lt;=Inputs!$C$9,0,MIN(IF(ISERROR(VLOOKUP(AX$134+$F153,$D$135:$D$165,1,FALSE)),0,AW21*$C$2),MAX((IF(Monthly!AT$4=TRUE,Monthly!AT$13,Monthly!AT$14)*(1+'Attrition Modeling'!$N$8)-'IP Attrition'!AW$65)/12*'IP Attrition'!AW88,0)))</f>
        <v>0</v>
      </c>
      <c r="AY153" s="799">
        <f>IF(EOMONTH(Inputs!$C$8,'IP Attrition'!AY$134-1)&lt;=Inputs!$C$9,0,MIN(IF(ISERROR(VLOOKUP(AY$134+$F153,$D$135:$D$165,1,FALSE)),0,AX21*$C$2),MAX((IF(Monthly!AU$4=TRUE,Monthly!AU$13,Monthly!AU$14)*(1+'Attrition Modeling'!$N$8)-'IP Attrition'!AX$65)/12*'IP Attrition'!AX88,0)))</f>
        <v>0</v>
      </c>
      <c r="AZ153" s="799">
        <f>IF(EOMONTH(Inputs!$C$8,'IP Attrition'!AZ$134-1)&lt;=Inputs!$C$9,0,MIN(IF(ISERROR(VLOOKUP(AZ$134+$F153,$D$135:$D$165,1,FALSE)),0,AY21*$C$2),MAX((IF(Monthly!AV$4=TRUE,Monthly!AV$13,Monthly!AV$14)*(1+'Attrition Modeling'!$N$8)-'IP Attrition'!AY$65)/12*'IP Attrition'!AY88,0)))</f>
        <v>0</v>
      </c>
      <c r="BA153" s="799">
        <f>IF(EOMONTH(Inputs!$C$8,'IP Attrition'!BA$134-1)&lt;=Inputs!$C$9,0,MIN(IF(ISERROR(VLOOKUP(BA$134+$F153,$D$135:$D$165,1,FALSE)),0,AZ21*$C$2),MAX((IF(Monthly!AW$4=TRUE,Monthly!AW$13,Monthly!AW$14)*(1+'Attrition Modeling'!$N$8)-'IP Attrition'!AZ$65)/12*'IP Attrition'!AZ88,0)))</f>
        <v>0</v>
      </c>
      <c r="BB153" s="799">
        <f>IF(EOMONTH(Inputs!$C$8,'IP Attrition'!BB$134-1)&lt;=Inputs!$C$9,0,MIN(IF(ISERROR(VLOOKUP(BB$134+$F153,$D$135:$D$165,1,FALSE)),0,BA21*$C$2),MAX((IF(Monthly!AX$4=TRUE,Monthly!AX$13,Monthly!AX$14)*(1+'Attrition Modeling'!$N$8)-'IP Attrition'!BA$65)/12*'IP Attrition'!BA88,0)))</f>
        <v>0</v>
      </c>
      <c r="BC153" s="799">
        <f>IF(EOMONTH(Inputs!$C$8,'IP Attrition'!BC$134-1)&lt;=Inputs!$C$9,0,MIN(IF(ISERROR(VLOOKUP(BC$134+$F153,$D$135:$D$165,1,FALSE)),0,BB21*$C$2),MAX((IF(Monthly!AY$4=TRUE,Monthly!AY$13,Monthly!AY$14)*(1+'Attrition Modeling'!$N$8)-'IP Attrition'!BB$65)/12*'IP Attrition'!BB88,0)))</f>
        <v>0</v>
      </c>
      <c r="BD153" s="799">
        <f>IF(EOMONTH(Inputs!$C$8,'IP Attrition'!BD$134-1)&lt;=Inputs!$C$9,0,MIN(IF(ISERROR(VLOOKUP(BD$134+$F153,$D$135:$D$165,1,FALSE)),0,BC21*$C$2),MAX((IF(Monthly!AZ$4=TRUE,Monthly!AZ$13,Monthly!AZ$14)*(1+'Attrition Modeling'!$N$8)-'IP Attrition'!BC$65)/12*'IP Attrition'!BC88,0)))</f>
        <v>0</v>
      </c>
      <c r="BE153" s="799">
        <f>IF(EOMONTH(Inputs!$C$8,'IP Attrition'!BE$134-1)&lt;=Inputs!$C$9,0,MIN(IF(ISERROR(VLOOKUP(BE$134+$F153,$D$135:$D$165,1,FALSE)),0,BD21*$C$2),MAX((IF(Monthly!BA$4=TRUE,Monthly!BA$13,Monthly!BA$14)*(1+'Attrition Modeling'!$N$8)-'IP Attrition'!BD$65)/12*'IP Attrition'!BD88,0)))</f>
        <v>0</v>
      </c>
      <c r="BF153" s="799">
        <f>IF(EOMONTH(Inputs!$C$8,'IP Attrition'!BF$134-1)&lt;=Inputs!$C$9,0,MIN(IF(ISERROR(VLOOKUP(BF$134+$F153,$D$135:$D$165,1,FALSE)),0,BE21*$C$2),MAX((IF(Monthly!BB$4=TRUE,Monthly!BB$13,Monthly!BB$14)*(1+'Attrition Modeling'!$N$8)-'IP Attrition'!BE$65)/12*'IP Attrition'!BE88,0)))</f>
        <v>0</v>
      </c>
      <c r="BG153" s="799">
        <f>IF(EOMONTH(Inputs!$C$8,'IP Attrition'!BG$134-1)&lt;=Inputs!$C$9,0,MIN(IF(ISERROR(VLOOKUP(BG$134+$F153,$D$135:$D$165,1,FALSE)),0,BF21*$C$2),MAX((IF(Monthly!BC$4=TRUE,Monthly!BC$13,Monthly!BC$14)*(1+'Attrition Modeling'!$N$8)-'IP Attrition'!BF$65)/12*'IP Attrition'!BF88,0)))</f>
        <v>0</v>
      </c>
      <c r="BH153" s="799">
        <f>IF(EOMONTH(Inputs!$C$8,'IP Attrition'!BH$134-1)&lt;=Inputs!$C$9,0,MIN(IF(ISERROR(VLOOKUP(BH$134+$F153,$D$135:$D$165,1,FALSE)),0,BG21*$C$2),MAX((IF(Monthly!BD$4=TRUE,Monthly!BD$13,Monthly!BD$14)*(1+'Attrition Modeling'!$N$8)-'IP Attrition'!BG$65)/12*'IP Attrition'!BG88,0)))</f>
        <v>0</v>
      </c>
      <c r="BI153" s="799">
        <f>IF(EOMONTH(Inputs!$C$8,'IP Attrition'!BI$134-1)&lt;=Inputs!$C$9,0,MIN(IF(ISERROR(VLOOKUP(BI$134+$F153,$D$135:$D$165,1,FALSE)),0,BH21*$C$2),MAX((IF(Monthly!BE$4=TRUE,Monthly!BE$13,Monthly!BE$14)*(1+'Attrition Modeling'!$N$8)-'IP Attrition'!BH$65)/12*'IP Attrition'!BH88,0)))</f>
        <v>0</v>
      </c>
      <c r="BJ153" s="799">
        <f>IF(EOMONTH(Inputs!$C$8,'IP Attrition'!BJ$134-1)&lt;=Inputs!$C$9,0,MIN(IF(ISERROR(VLOOKUP(BJ$134+$F153,$D$135:$D$165,1,FALSE)),0,BI21*$C$2),MAX((IF(Monthly!BF$4=TRUE,Monthly!BF$13,Monthly!BF$14)*(1+'Attrition Modeling'!$N$8)-'IP Attrition'!BI$65)/12*'IP Attrition'!BI88,0)))</f>
        <v>0</v>
      </c>
      <c r="BK153" s="799">
        <f>IF(EOMONTH(Inputs!$C$8,'IP Attrition'!BK$134-1)&lt;=Inputs!$C$9,0,MIN(IF(ISERROR(VLOOKUP(BK$134+$F153,$D$135:$D$165,1,FALSE)),0,BJ21*$C$2),MAX((IF(Monthly!BG$4=TRUE,Monthly!BG$13,Monthly!BG$14)*(1+'Attrition Modeling'!$N$8)-'IP Attrition'!BJ$65)/12*'IP Attrition'!BJ88,0)))</f>
        <v>0</v>
      </c>
      <c r="BL153" s="799">
        <f>IF(EOMONTH(Inputs!$C$8,'IP Attrition'!BL$134-1)&lt;=Inputs!$C$9,0,MIN(IF(ISERROR(VLOOKUP(BL$134+$F153,$D$135:$D$165,1,FALSE)),0,BK21*$C$2),MAX((IF(Monthly!BH$4=TRUE,Monthly!BH$13,Monthly!BH$14)*(1+'Attrition Modeling'!$N$8)-'IP Attrition'!BK$65)/12*'IP Attrition'!BK88,0)))</f>
        <v>0</v>
      </c>
      <c r="BM153" s="799">
        <f>IF(EOMONTH(Inputs!$C$8,'IP Attrition'!BM$134-1)&lt;=Inputs!$C$9,0,MIN(IF(ISERROR(VLOOKUP(BM$134+$F153,$D$135:$D$165,1,FALSE)),0,BL21*$C$2),MAX((IF(Monthly!BI$4=TRUE,Monthly!BI$13,Monthly!BI$14)*(1+'Attrition Modeling'!$N$8)-'IP Attrition'!BL$65)/12*'IP Attrition'!BL88,0)))</f>
        <v>0</v>
      </c>
      <c r="BN153" s="799">
        <f>IF(EOMONTH(Inputs!$C$8,'IP Attrition'!BN$134-1)&lt;=Inputs!$C$9,0,MIN(IF(ISERROR(VLOOKUP(BN$134+$F153,$D$135:$D$165,1,FALSE)),0,BM21*$C$2),MAX((IF(Monthly!BJ$4=TRUE,Monthly!BJ$13,Monthly!BJ$14)*(1+'Attrition Modeling'!$N$8)-'IP Attrition'!BM$65)/12*'IP Attrition'!BM88,0)))</f>
        <v>0</v>
      </c>
      <c r="BO153" s="799">
        <f>IF(EOMONTH(Inputs!$C$8,'IP Attrition'!BO$134-1)&lt;=Inputs!$C$9,0,MIN(IF(ISERROR(VLOOKUP(BO$134+$F153,$D$135:$D$165,1,FALSE)),0,BN21*$C$2),MAX((IF(Monthly!BK$4=TRUE,Monthly!BK$13,Monthly!BK$14)*(1+'Attrition Modeling'!$N$8)-'IP Attrition'!BN$65)/12*'IP Attrition'!BN88,0)))</f>
        <v>0</v>
      </c>
      <c r="BP153" s="799">
        <f>IF(EOMONTH(Inputs!$C$8,'IP Attrition'!BP$134-1)&lt;=Inputs!$C$9,0,MIN(IF(ISERROR(VLOOKUP(BP$134+$F153,$D$135:$D$165,1,FALSE)),0,BO21*$C$2),MAX((IF(Monthly!BL$4=TRUE,Monthly!BL$13,Monthly!BL$14)*(1+'Attrition Modeling'!$N$8)-'IP Attrition'!BO$65)/12*'IP Attrition'!BO88,0)))</f>
        <v>0</v>
      </c>
      <c r="BQ153" s="799">
        <f>IF(EOMONTH(Inputs!$C$8,'IP Attrition'!BQ$134-1)&lt;=Inputs!$C$9,0,MIN(IF(ISERROR(VLOOKUP(BQ$134+$F153,$D$135:$D$165,1,FALSE)),0,BP21*$C$2),MAX((IF(Monthly!BM$4=TRUE,Monthly!BM$13,Monthly!BM$14)*(1+'Attrition Modeling'!$N$8)-'IP Attrition'!BP$65)/12*'IP Attrition'!BP88,0)))</f>
        <v>0</v>
      </c>
      <c r="BR153" s="799">
        <f>IF(EOMONTH(Inputs!$C$8,'IP Attrition'!BR$134-1)&lt;=Inputs!$C$9,0,MIN(IF(ISERROR(VLOOKUP(BR$134+$F153,$D$135:$D$165,1,FALSE)),0,BQ21*$C$2),MAX((IF(Monthly!BN$4=TRUE,Monthly!BN$13,Monthly!BN$14)*(1+'Attrition Modeling'!$N$8)-'IP Attrition'!BQ$65)/12*'IP Attrition'!BQ88,0)))</f>
        <v>0</v>
      </c>
      <c r="BS153" s="799">
        <f>IF(EOMONTH(Inputs!$C$8,'IP Attrition'!BS$134-1)&lt;=Inputs!$C$9,0,MIN(IF(ISERROR(VLOOKUP(BS$134+$F153,$D$135:$D$165,1,FALSE)),0,BR21*$C$2),MAX((IF(Monthly!BO$4=TRUE,Monthly!BO$13,Monthly!BO$14)*(1+'Attrition Modeling'!$N$8)-'IP Attrition'!BR$65)/12*'IP Attrition'!BR88,0)))</f>
        <v>0</v>
      </c>
      <c r="BT153" s="799" t="e">
        <f>IF(EOMONTH(Inputs!$C$8,'IP Attrition'!BT$134-1)&lt;=Inputs!$C$9,0,MIN(IF(ISERROR(VLOOKUP(BT$134+$F153,$D$135:$D$165,1,FALSE)),0,BS21*$C$2),MAX((IF(Monthly!#REF!=TRUE,Monthly!#REF!,Monthly!#REF!)*(1+'Attrition Modeling'!$N$8)-'IP Attrition'!BS$65)/12*'IP Attrition'!BS88,0)))</f>
        <v>#REF!</v>
      </c>
      <c r="BU153" s="799" t="e">
        <f>IF(EOMONTH(Inputs!$C$8,'IP Attrition'!BU$134-1)&lt;=Inputs!$C$9,0,MIN(IF(ISERROR(VLOOKUP(BU$134+$F153,$D$135:$D$165,1,FALSE)),0,BT21*$C$2),MAX((IF(Monthly!#REF!=TRUE,Monthly!#REF!,Monthly!#REF!)*(1+'Attrition Modeling'!$N$8)-'IP Attrition'!BT$65)/12*'IP Attrition'!BT88,0)))</f>
        <v>#REF!</v>
      </c>
    </row>
    <row r="154" spans="1:73" ht="14.25" customHeight="1" x14ac:dyDescent="0.2">
      <c r="A154" s="9">
        <v>147</v>
      </c>
      <c r="B154" s="25">
        <f>MAX('Attrition Modeling'!H151,$C$3)*(1-Summary!$C$20)</f>
        <v>0.02</v>
      </c>
      <c r="C154" s="24" t="e">
        <f t="shared" si="3"/>
        <v>#DIV/0!</v>
      </c>
      <c r="D154" s="11">
        <f t="shared" si="72"/>
        <v>234</v>
      </c>
      <c r="E154" s="25">
        <f t="shared" si="71"/>
        <v>0</v>
      </c>
      <c r="F154" s="11">
        <f t="shared" si="73"/>
        <v>19</v>
      </c>
      <c r="G154" s="799"/>
      <c r="H154" s="799">
        <f>IF(EOMONTH(Inputs!$C$8,'IP Attrition'!H$134-1)&lt;=Inputs!$C$9,0,MIN(IF(ISERROR(VLOOKUP(H$134+$F154,$D$135:$D$165,1,FALSE)),0,G22*$C$2),MAX((IF(Monthly!D$4=TRUE,Monthly!D$13,Monthly!D$14)*(1+'Attrition Modeling'!$N$8)-'IP Attrition'!G$65)/12*'IP Attrition'!G89,0)))</f>
        <v>0</v>
      </c>
      <c r="I154" s="799">
        <f>IF(EOMONTH(Inputs!$C$8,'IP Attrition'!I$134-1)&lt;=Inputs!$C$9,0,MIN(IF(ISERROR(VLOOKUP(I$134+$F154,$D$135:$D$165,1,FALSE)),0,H22*$C$2),MAX((IF(Monthly!E$4=TRUE,Monthly!E$13,Monthly!E$14)*(1+'Attrition Modeling'!$N$8)-'IP Attrition'!H$65)/12*'IP Attrition'!H89,0)))</f>
        <v>0</v>
      </c>
      <c r="J154" s="799">
        <f>IF(EOMONTH(Inputs!$C$8,'IP Attrition'!J$134-1)&lt;=Inputs!$C$9,0,MIN(IF(ISERROR(VLOOKUP(J$134+$F154,$D$135:$D$165,1,FALSE)),0,I22*$C$2),MAX((IF(Monthly!F$4=TRUE,Monthly!F$13,Monthly!F$14)*(1+'Attrition Modeling'!$N$8)-'IP Attrition'!I$65)/12*'IP Attrition'!I89,0)))</f>
        <v>0</v>
      </c>
      <c r="K154" s="799">
        <f>IF(EOMONTH(Inputs!$C$8,'IP Attrition'!K$134-1)&lt;=Inputs!$C$9,0,MIN(IF(ISERROR(VLOOKUP(K$134+$F154,$D$135:$D$165,1,FALSE)),0,J22*$C$2),MAX((IF(Monthly!G$4=TRUE,Monthly!G$13,Monthly!G$14)*(1+'Attrition Modeling'!$N$8)-'IP Attrition'!J$65)/12*'IP Attrition'!J89,0)))</f>
        <v>0</v>
      </c>
      <c r="L154" s="799">
        <f>IF(EOMONTH(Inputs!$C$8,'IP Attrition'!L$134-1)&lt;=Inputs!$C$9,0,MIN(IF(ISERROR(VLOOKUP(L$134+$F154,$D$135:$D$165,1,FALSE)),0,K22*$C$2),MAX((IF(Monthly!H$4=TRUE,Monthly!H$13,Monthly!H$14)*(1+'Attrition Modeling'!$N$8)-'IP Attrition'!K$65)/12*'IP Attrition'!K89,0)))</f>
        <v>0</v>
      </c>
      <c r="M154" s="799">
        <f>IF(EOMONTH(Inputs!$C$8,'IP Attrition'!M$134-1)&lt;=Inputs!$C$9,0,MIN(IF(ISERROR(VLOOKUP(M$134+$F154,$D$135:$D$165,1,FALSE)),0,L22*$C$2),MAX((IF(Monthly!I$4=TRUE,Monthly!I$13,Monthly!I$14)*(1+'Attrition Modeling'!$N$8)-'IP Attrition'!L$65)/12*'IP Attrition'!L89,0)))</f>
        <v>0</v>
      </c>
      <c r="N154" s="799">
        <f>IF(EOMONTH(Inputs!$C$8,'IP Attrition'!N$134-1)&lt;=Inputs!$C$9,0,MIN(IF(ISERROR(VLOOKUP(N$134+$F154,$D$135:$D$165,1,FALSE)),0,M22*$C$2),MAX((IF(Monthly!J$4=TRUE,Monthly!J$13,Monthly!J$14)*(1+'Attrition Modeling'!$N$8)-'IP Attrition'!M$65)/12*'IP Attrition'!M89,0)))</f>
        <v>0</v>
      </c>
      <c r="O154" s="799">
        <f>IF(EOMONTH(Inputs!$C$8,'IP Attrition'!O$134-1)&lt;=Inputs!$C$9,0,MIN(IF(ISERROR(VLOOKUP(O$134+$F154,$D$135:$D$165,1,FALSE)),0,N22*$C$2),MAX((IF(Monthly!K$4=TRUE,Monthly!K$13,Monthly!K$14)*(1+'Attrition Modeling'!$N$8)-'IP Attrition'!N$65)/12*'IP Attrition'!N89,0)))</f>
        <v>0</v>
      </c>
      <c r="P154" s="799">
        <f>IF(EOMONTH(Inputs!$C$8,'IP Attrition'!P$134-1)&lt;=Inputs!$C$9,0,MIN(IF(ISERROR(VLOOKUP(P$134+$F154,$D$135:$D$165,1,FALSE)),0,O22*$C$2),MAX((IF(Monthly!L$4=TRUE,Monthly!L$13,Monthly!L$14)*(1+'Attrition Modeling'!$N$8)-'IP Attrition'!O$65)/12*'IP Attrition'!O89,0)))</f>
        <v>0</v>
      </c>
      <c r="Q154" s="799">
        <f>IF(EOMONTH(Inputs!$C$8,'IP Attrition'!Q$134-1)&lt;=Inputs!$C$9,0,MIN(IF(ISERROR(VLOOKUP(Q$134+$F154,$D$135:$D$165,1,FALSE)),0,P22*$C$2),MAX((IF(Monthly!M$4=TRUE,Monthly!M$13,Monthly!M$14)*(1+'Attrition Modeling'!$N$8)-'IP Attrition'!P$65)/12*'IP Attrition'!P89,0)))</f>
        <v>0</v>
      </c>
      <c r="R154" s="799">
        <f>IF(EOMONTH(Inputs!$C$8,'IP Attrition'!R$134-1)&lt;=Inputs!$C$9,0,MIN(IF(ISERROR(VLOOKUP(R$134+$F154,$D$135:$D$165,1,FALSE)),0,Q22*$C$2),MAX((IF(Monthly!N$4=TRUE,Monthly!N$13,Monthly!N$14)*(1+'Attrition Modeling'!$N$8)-'IP Attrition'!Q$65)/12*'IP Attrition'!Q89,0)))</f>
        <v>0</v>
      </c>
      <c r="S154" s="799">
        <f>IF(EOMONTH(Inputs!$C$8,'IP Attrition'!S$134-1)&lt;=Inputs!$C$9,0,MIN(IF(ISERROR(VLOOKUP(S$134+$F154,$D$135:$D$165,1,FALSE)),0,R22*$C$2),MAX((IF(Monthly!O$4=TRUE,Monthly!O$13,Monthly!O$14)*(1+'Attrition Modeling'!$N$8)-'IP Attrition'!R$65)/12*'IP Attrition'!R89,0)))</f>
        <v>0</v>
      </c>
      <c r="T154" s="799">
        <f>IF(EOMONTH(Inputs!$C$8,'IP Attrition'!T$134-1)&lt;=Inputs!$C$9,0,MIN(IF(ISERROR(VLOOKUP(T$134+$F154,$D$135:$D$165,1,FALSE)),0,S22*$C$2),MAX((IF(Monthly!P$4=TRUE,Monthly!P$13,Monthly!P$14)*(1+'Attrition Modeling'!$N$8)-'IP Attrition'!S$65)/12*'IP Attrition'!S89,0)))</f>
        <v>0</v>
      </c>
      <c r="U154" s="799">
        <f>IF(EOMONTH(Inputs!$C$8,'IP Attrition'!U$134-1)&lt;=Inputs!$C$9,0,MIN(IF(ISERROR(VLOOKUP(U$134+$F154,$D$135:$D$165,1,FALSE)),0,T22*$C$2),MAX((IF(Monthly!Q$4=TRUE,Monthly!Q$13,Monthly!Q$14)*(1+'Attrition Modeling'!$N$8)-'IP Attrition'!T$65)/12*'IP Attrition'!T89,0)))</f>
        <v>0</v>
      </c>
      <c r="V154" s="799">
        <f>IF(EOMONTH(Inputs!$C$8,'IP Attrition'!V$134-1)&lt;=Inputs!$C$9,0,MIN(IF(ISERROR(VLOOKUP(V$134+$F154,$D$135:$D$165,1,FALSE)),0,U22*$C$2),MAX((IF(Monthly!R$4=TRUE,Monthly!R$13,Monthly!R$14)*(1+'Attrition Modeling'!$N$8)-'IP Attrition'!U$65)/12*'IP Attrition'!U89,0)))</f>
        <v>0</v>
      </c>
      <c r="W154" s="799">
        <f>IF(EOMONTH(Inputs!$C$8,'IP Attrition'!W$134-1)&lt;=Inputs!$C$9,0,MIN(IF(ISERROR(VLOOKUP(W$134+$F154,$D$135:$D$165,1,FALSE)),0,V22*$C$2),MAX((IF(Monthly!S$4=TRUE,Monthly!S$13,Monthly!S$14)*(1+'Attrition Modeling'!$N$8)-'IP Attrition'!V$65)/12*'IP Attrition'!V89,0)))</f>
        <v>0</v>
      </c>
      <c r="X154" s="799">
        <f>IF(EOMONTH(Inputs!$C$8,'IP Attrition'!X$134-1)&lt;=Inputs!$C$9,0,MIN(IF(ISERROR(VLOOKUP(X$134+$F154,$D$135:$D$165,1,FALSE)),0,W22*$C$2),MAX((IF(Monthly!T$4=TRUE,Monthly!T$13,Monthly!T$14)*(1+'Attrition Modeling'!$N$8)-'IP Attrition'!W$65)/12*'IP Attrition'!W89,0)))</f>
        <v>0</v>
      </c>
      <c r="Y154" s="799">
        <f>IF(EOMONTH(Inputs!$C$8,'IP Attrition'!Y$134-1)&lt;=Inputs!$C$9,0,MIN(IF(ISERROR(VLOOKUP(Y$134+$F154,$D$135:$D$165,1,FALSE)),0,X22*$C$2),MAX((IF(Monthly!U$4=TRUE,Monthly!U$13,Monthly!U$14)*(1+'Attrition Modeling'!$N$8)-'IP Attrition'!X$65)/12*'IP Attrition'!X89,0)))</f>
        <v>0</v>
      </c>
      <c r="Z154" s="799">
        <f>IF(EOMONTH(Inputs!$C$8,'IP Attrition'!Z$134-1)&lt;=Inputs!$C$9,0,MIN(IF(ISERROR(VLOOKUP(Z$134+$F154,$D$135:$D$165,1,FALSE)),0,Y22*$C$2),MAX((IF(Monthly!V$4=TRUE,Monthly!V$13,Monthly!V$14)*(1+'Attrition Modeling'!$N$8)-'IP Attrition'!Y$65)/12*'IP Attrition'!Y89,0)))</f>
        <v>0</v>
      </c>
      <c r="AA154" s="799">
        <f>IF(EOMONTH(Inputs!$C$8,'IP Attrition'!AA$134-1)&lt;=Inputs!$C$9,0,MIN(IF(ISERROR(VLOOKUP(AA$134+$F154,$D$135:$D$165,1,FALSE)),0,Z22*$C$2),MAX((IF(Monthly!W$4=TRUE,Monthly!W$13,Monthly!W$14)*(1+'Attrition Modeling'!$N$8)-'IP Attrition'!Z$65)/12*'IP Attrition'!Z89,0)))</f>
        <v>0</v>
      </c>
      <c r="AB154" s="799">
        <f>IF(EOMONTH(Inputs!$C$8,'IP Attrition'!AB$134-1)&lt;=Inputs!$C$9,0,MIN(IF(ISERROR(VLOOKUP(AB$134+$F154,$D$135:$D$165,1,FALSE)),0,AA22*$C$2),MAX((IF(Monthly!X$4=TRUE,Monthly!X$13,Monthly!X$14)*(1+'Attrition Modeling'!$N$8)-'IP Attrition'!AA$65)/12*'IP Attrition'!AA89,0)))</f>
        <v>0</v>
      </c>
      <c r="AC154" s="799">
        <f>IF(EOMONTH(Inputs!$C$8,'IP Attrition'!AC$134-1)&lt;=Inputs!$C$9,0,MIN(IF(ISERROR(VLOOKUP(AC$134+$F154,$D$135:$D$165,1,FALSE)),0,AB22*$C$2),MAX((IF(Monthly!Y$4=TRUE,Monthly!Y$13,Monthly!Y$14)*(1+'Attrition Modeling'!$N$8)-'IP Attrition'!AB$65)/12*'IP Attrition'!AB89,0)))</f>
        <v>0</v>
      </c>
      <c r="AD154" s="799">
        <f>IF(EOMONTH(Inputs!$C$8,'IP Attrition'!AD$134-1)&lt;=Inputs!$C$9,0,MIN(IF(ISERROR(VLOOKUP(AD$134+$F154,$D$135:$D$165,1,FALSE)),0,AC22*$C$2),MAX((IF(Monthly!Z$4=TRUE,Monthly!Z$13,Monthly!Z$14)*(1+'Attrition Modeling'!$N$8)-'IP Attrition'!AC$65)/12*'IP Attrition'!AC89,0)))</f>
        <v>0</v>
      </c>
      <c r="AE154" s="799">
        <f>IF(EOMONTH(Inputs!$C$8,'IP Attrition'!AE$134-1)&lt;=Inputs!$C$9,0,MIN(IF(ISERROR(VLOOKUP(AE$134+$F154,$D$135:$D$165,1,FALSE)),0,AD22*$C$2),MAX((IF(Monthly!AA$4=TRUE,Monthly!AA$13,Monthly!AA$14)*(1+'Attrition Modeling'!$N$8)-'IP Attrition'!AD$65)/12*'IP Attrition'!AD89,0)))</f>
        <v>0</v>
      </c>
      <c r="AF154" s="799">
        <f>IF(EOMONTH(Inputs!$C$8,'IP Attrition'!AF$134-1)&lt;=Inputs!$C$9,0,MIN(IF(ISERROR(VLOOKUP(AF$134+$F154,$D$135:$D$165,1,FALSE)),0,AE22*$C$2),MAX((IF(Monthly!AB$4=TRUE,Monthly!AB$13,Monthly!AB$14)*(1+'Attrition Modeling'!$N$8)-'IP Attrition'!AE$65)/12*'IP Attrition'!AE89,0)))</f>
        <v>0</v>
      </c>
      <c r="AG154" s="799">
        <f>IF(EOMONTH(Inputs!$C$8,'IP Attrition'!AG$134-1)&lt;=Inputs!$C$9,0,MIN(IF(ISERROR(VLOOKUP(AG$134+$F154,$D$135:$D$165,1,FALSE)),0,AF22*$C$2),MAX((IF(Monthly!AC$4=TRUE,Monthly!AC$13,Monthly!AC$14)*(1+'Attrition Modeling'!$N$8)-'IP Attrition'!AF$65)/12*'IP Attrition'!AF89,0)))</f>
        <v>0</v>
      </c>
      <c r="AH154" s="799">
        <f>IF(EOMONTH(Inputs!$C$8,'IP Attrition'!AH$134-1)&lt;=Inputs!$C$9,0,MIN(IF(ISERROR(VLOOKUP(AH$134+$F154,$D$135:$D$165,1,FALSE)),0,AG22*$C$2),MAX((IF(Monthly!AD$4=TRUE,Monthly!AD$13,Monthly!AD$14)*(1+'Attrition Modeling'!$N$8)-'IP Attrition'!AG$65)/12*'IP Attrition'!AG89,0)))</f>
        <v>0</v>
      </c>
      <c r="AI154" s="799">
        <f>IF(EOMONTH(Inputs!$C$8,'IP Attrition'!AI$134-1)&lt;=Inputs!$C$9,0,MIN(IF(ISERROR(VLOOKUP(AI$134+$F154,$D$135:$D$165,1,FALSE)),0,AH22*$C$2),MAX((IF(Monthly!AE$4=TRUE,Monthly!AE$13,Monthly!AE$14)*(1+'Attrition Modeling'!$N$8)-'IP Attrition'!AH$65)/12*'IP Attrition'!AH89,0)))</f>
        <v>0</v>
      </c>
      <c r="AJ154" s="799">
        <f>IF(EOMONTH(Inputs!$C$8,'IP Attrition'!AJ$134-1)&lt;=Inputs!$C$9,0,MIN(IF(ISERROR(VLOOKUP(AJ$134+$F154,$D$135:$D$165,1,FALSE)),0,AI22*$C$2),MAX((IF(Monthly!AF$4=TRUE,Monthly!AF$13,Monthly!AF$14)*(1+'Attrition Modeling'!$N$8)-'IP Attrition'!AI$65)/12*'IP Attrition'!AI89,0)))</f>
        <v>0</v>
      </c>
      <c r="AK154" s="799">
        <f>IF(EOMONTH(Inputs!$C$8,'IP Attrition'!AK$134-1)&lt;=Inputs!$C$9,0,MIN(IF(ISERROR(VLOOKUP(AK$134+$F154,$D$135:$D$165,1,FALSE)),0,AJ22*$C$2),MAX((IF(Monthly!AG$4=TRUE,Monthly!AG$13,Monthly!AG$14)*(1+'Attrition Modeling'!$N$8)-'IP Attrition'!AJ$65)/12*'IP Attrition'!AJ89,0)))</f>
        <v>0</v>
      </c>
      <c r="AL154" s="799">
        <f>IF(EOMONTH(Inputs!$C$8,'IP Attrition'!AL$134-1)&lt;=Inputs!$C$9,0,MIN(IF(ISERROR(VLOOKUP(AL$134+$F154,$D$135:$D$165,1,FALSE)),0,AK22*$C$2),MAX((IF(Monthly!AH$4=TRUE,Monthly!AH$13,Monthly!AH$14)*(1+'Attrition Modeling'!$N$8)-'IP Attrition'!AK$65)/12*'IP Attrition'!AK89,0)))</f>
        <v>0</v>
      </c>
      <c r="AM154" s="799">
        <f>IF(EOMONTH(Inputs!$C$8,'IP Attrition'!AM$134-1)&lt;=Inputs!$C$9,0,MIN(IF(ISERROR(VLOOKUP(AM$134+$F154,$D$135:$D$165,1,FALSE)),0,AL22*$C$2),MAX((IF(Monthly!AI$4=TRUE,Monthly!AI$13,Monthly!AI$14)*(1+'Attrition Modeling'!$N$8)-'IP Attrition'!AL$65)/12*'IP Attrition'!AL89,0)))</f>
        <v>0</v>
      </c>
      <c r="AN154" s="799">
        <f>IF(EOMONTH(Inputs!$C$8,'IP Attrition'!AN$134-1)&lt;=Inputs!$C$9,0,MIN(IF(ISERROR(VLOOKUP(AN$134+$F154,$D$135:$D$165,1,FALSE)),0,AM22*$C$2),MAX((IF(Monthly!AJ$4=TRUE,Monthly!AJ$13,Monthly!AJ$14)*(1+'Attrition Modeling'!$N$8)-'IP Attrition'!AM$65)/12*'IP Attrition'!AM89,0)))</f>
        <v>0</v>
      </c>
      <c r="AO154" s="799">
        <f>IF(EOMONTH(Inputs!$C$8,'IP Attrition'!AO$134-1)&lt;=Inputs!$C$9,0,MIN(IF(ISERROR(VLOOKUP(AO$134+$F154,$D$135:$D$165,1,FALSE)),0,AN22*$C$2),MAX((IF(Monthly!AK$4=TRUE,Monthly!AK$13,Monthly!AK$14)*(1+'Attrition Modeling'!$N$8)-'IP Attrition'!AN$65)/12*'IP Attrition'!AN89,0)))</f>
        <v>0</v>
      </c>
      <c r="AP154" s="799">
        <f>IF(EOMONTH(Inputs!$C$8,'IP Attrition'!AP$134-1)&lt;=Inputs!$C$9,0,MIN(IF(ISERROR(VLOOKUP(AP$134+$F154,$D$135:$D$165,1,FALSE)),0,AO22*$C$2),MAX((IF(Monthly!AL$4=TRUE,Monthly!AL$13,Monthly!AL$14)*(1+'Attrition Modeling'!$N$8)-'IP Attrition'!AO$65)/12*'IP Attrition'!AO89,0)))</f>
        <v>0</v>
      </c>
      <c r="AQ154" s="799">
        <f>IF(EOMONTH(Inputs!$C$8,'IP Attrition'!AQ$134-1)&lt;=Inputs!$C$9,0,MIN(IF(ISERROR(VLOOKUP(AQ$134+$F154,$D$135:$D$165,1,FALSE)),0,AP22*$C$2),MAX((IF(Monthly!AM$4=TRUE,Monthly!AM$13,Monthly!AM$14)*(1+'Attrition Modeling'!$N$8)-'IP Attrition'!AP$65)/12*'IP Attrition'!AP89,0)))</f>
        <v>0</v>
      </c>
      <c r="AR154" s="799">
        <f>IF(EOMONTH(Inputs!$C$8,'IP Attrition'!AR$134-1)&lt;=Inputs!$C$9,0,MIN(IF(ISERROR(VLOOKUP(AR$134+$F154,$D$135:$D$165,1,FALSE)),0,AQ22*$C$2),MAX((IF(Monthly!AN$4=TRUE,Monthly!AN$13,Monthly!AN$14)*(1+'Attrition Modeling'!$N$8)-'IP Attrition'!AQ$65)/12*'IP Attrition'!AQ89,0)))</f>
        <v>0</v>
      </c>
      <c r="AS154" s="799">
        <f>IF(EOMONTH(Inputs!$C$8,'IP Attrition'!AS$134-1)&lt;=Inputs!$C$9,0,MIN(IF(ISERROR(VLOOKUP(AS$134+$F154,$D$135:$D$165,1,FALSE)),0,AR22*$C$2),MAX((IF(Monthly!AO$4=TRUE,Monthly!AO$13,Monthly!AO$14)*(1+'Attrition Modeling'!$N$8)-'IP Attrition'!AR$65)/12*'IP Attrition'!AR89,0)))</f>
        <v>0</v>
      </c>
      <c r="AT154" s="799">
        <f>IF(EOMONTH(Inputs!$C$8,'IP Attrition'!AT$134-1)&lt;=Inputs!$C$9,0,MIN(IF(ISERROR(VLOOKUP(AT$134+$F154,$D$135:$D$165,1,FALSE)),0,AS22*$C$2),MAX((IF(Monthly!AP$4=TRUE,Monthly!AP$13,Monthly!AP$14)*(1+'Attrition Modeling'!$N$8)-'IP Attrition'!AS$65)/12*'IP Attrition'!AS89,0)))</f>
        <v>0</v>
      </c>
      <c r="AU154" s="799">
        <f>IF(EOMONTH(Inputs!$C$8,'IP Attrition'!AU$134-1)&lt;=Inputs!$C$9,0,MIN(IF(ISERROR(VLOOKUP(AU$134+$F154,$D$135:$D$165,1,FALSE)),0,AT22*$C$2),MAX((IF(Monthly!AQ$4=TRUE,Monthly!AQ$13,Monthly!AQ$14)*(1+'Attrition Modeling'!$N$8)-'IP Attrition'!AT$65)/12*'IP Attrition'!AT89,0)))</f>
        <v>0</v>
      </c>
      <c r="AV154" s="799">
        <f>IF(EOMONTH(Inputs!$C$8,'IP Attrition'!AV$134-1)&lt;=Inputs!$C$9,0,MIN(IF(ISERROR(VLOOKUP(AV$134+$F154,$D$135:$D$165,1,FALSE)),0,AU22*$C$2),MAX((IF(Monthly!AR$4=TRUE,Monthly!AR$13,Monthly!AR$14)*(1+'Attrition Modeling'!$N$8)-'IP Attrition'!AU$65)/12*'IP Attrition'!AU89,0)))</f>
        <v>0</v>
      </c>
      <c r="AW154" s="799">
        <f>IF(EOMONTH(Inputs!$C$8,'IP Attrition'!AW$134-1)&lt;=Inputs!$C$9,0,MIN(IF(ISERROR(VLOOKUP(AW$134+$F154,$D$135:$D$165,1,FALSE)),0,AV22*$C$2),MAX((IF(Monthly!AS$4=TRUE,Monthly!AS$13,Monthly!AS$14)*(1+'Attrition Modeling'!$N$8)-'IP Attrition'!AV$65)/12*'IP Attrition'!AV89,0)))</f>
        <v>0</v>
      </c>
      <c r="AX154" s="799">
        <f>IF(EOMONTH(Inputs!$C$8,'IP Attrition'!AX$134-1)&lt;=Inputs!$C$9,0,MIN(IF(ISERROR(VLOOKUP(AX$134+$F154,$D$135:$D$165,1,FALSE)),0,AW22*$C$2),MAX((IF(Monthly!AT$4=TRUE,Monthly!AT$13,Monthly!AT$14)*(1+'Attrition Modeling'!$N$8)-'IP Attrition'!AW$65)/12*'IP Attrition'!AW89,0)))</f>
        <v>0</v>
      </c>
      <c r="AY154" s="799">
        <f>IF(EOMONTH(Inputs!$C$8,'IP Attrition'!AY$134-1)&lt;=Inputs!$C$9,0,MIN(IF(ISERROR(VLOOKUP(AY$134+$F154,$D$135:$D$165,1,FALSE)),0,AX22*$C$2),MAX((IF(Monthly!AU$4=TRUE,Monthly!AU$13,Monthly!AU$14)*(1+'Attrition Modeling'!$N$8)-'IP Attrition'!AX$65)/12*'IP Attrition'!AX89,0)))</f>
        <v>0</v>
      </c>
      <c r="AZ154" s="799">
        <f>IF(EOMONTH(Inputs!$C$8,'IP Attrition'!AZ$134-1)&lt;=Inputs!$C$9,0,MIN(IF(ISERROR(VLOOKUP(AZ$134+$F154,$D$135:$D$165,1,FALSE)),0,AY22*$C$2),MAX((IF(Monthly!AV$4=TRUE,Monthly!AV$13,Monthly!AV$14)*(1+'Attrition Modeling'!$N$8)-'IP Attrition'!AY$65)/12*'IP Attrition'!AY89,0)))</f>
        <v>0</v>
      </c>
      <c r="BA154" s="799">
        <f>IF(EOMONTH(Inputs!$C$8,'IP Attrition'!BA$134-1)&lt;=Inputs!$C$9,0,MIN(IF(ISERROR(VLOOKUP(BA$134+$F154,$D$135:$D$165,1,FALSE)),0,AZ22*$C$2),MAX((IF(Monthly!AW$4=TRUE,Monthly!AW$13,Monthly!AW$14)*(1+'Attrition Modeling'!$N$8)-'IP Attrition'!AZ$65)/12*'IP Attrition'!AZ89,0)))</f>
        <v>0</v>
      </c>
      <c r="BB154" s="799">
        <f>IF(EOMONTH(Inputs!$C$8,'IP Attrition'!BB$134-1)&lt;=Inputs!$C$9,0,MIN(IF(ISERROR(VLOOKUP(BB$134+$F154,$D$135:$D$165,1,FALSE)),0,BA22*$C$2),MAX((IF(Monthly!AX$4=TRUE,Monthly!AX$13,Monthly!AX$14)*(1+'Attrition Modeling'!$N$8)-'IP Attrition'!BA$65)/12*'IP Attrition'!BA89,0)))</f>
        <v>0</v>
      </c>
      <c r="BC154" s="799">
        <f>IF(EOMONTH(Inputs!$C$8,'IP Attrition'!BC$134-1)&lt;=Inputs!$C$9,0,MIN(IF(ISERROR(VLOOKUP(BC$134+$F154,$D$135:$D$165,1,FALSE)),0,BB22*$C$2),MAX((IF(Monthly!AY$4=TRUE,Monthly!AY$13,Monthly!AY$14)*(1+'Attrition Modeling'!$N$8)-'IP Attrition'!BB$65)/12*'IP Attrition'!BB89,0)))</f>
        <v>0</v>
      </c>
      <c r="BD154" s="799">
        <f>IF(EOMONTH(Inputs!$C$8,'IP Attrition'!BD$134-1)&lt;=Inputs!$C$9,0,MIN(IF(ISERROR(VLOOKUP(BD$134+$F154,$D$135:$D$165,1,FALSE)),0,BC22*$C$2),MAX((IF(Monthly!AZ$4=TRUE,Monthly!AZ$13,Monthly!AZ$14)*(1+'Attrition Modeling'!$N$8)-'IP Attrition'!BC$65)/12*'IP Attrition'!BC89,0)))</f>
        <v>0</v>
      </c>
      <c r="BE154" s="799">
        <f>IF(EOMONTH(Inputs!$C$8,'IP Attrition'!BE$134-1)&lt;=Inputs!$C$9,0,MIN(IF(ISERROR(VLOOKUP(BE$134+$F154,$D$135:$D$165,1,FALSE)),0,BD22*$C$2),MAX((IF(Monthly!BA$4=TRUE,Monthly!BA$13,Monthly!BA$14)*(1+'Attrition Modeling'!$N$8)-'IP Attrition'!BD$65)/12*'IP Attrition'!BD89,0)))</f>
        <v>0</v>
      </c>
      <c r="BF154" s="799">
        <f>IF(EOMONTH(Inputs!$C$8,'IP Attrition'!BF$134-1)&lt;=Inputs!$C$9,0,MIN(IF(ISERROR(VLOOKUP(BF$134+$F154,$D$135:$D$165,1,FALSE)),0,BE22*$C$2),MAX((IF(Monthly!BB$4=TRUE,Monthly!BB$13,Monthly!BB$14)*(1+'Attrition Modeling'!$N$8)-'IP Attrition'!BE$65)/12*'IP Attrition'!BE89,0)))</f>
        <v>0</v>
      </c>
      <c r="BG154" s="799">
        <f>IF(EOMONTH(Inputs!$C$8,'IP Attrition'!BG$134-1)&lt;=Inputs!$C$9,0,MIN(IF(ISERROR(VLOOKUP(BG$134+$F154,$D$135:$D$165,1,FALSE)),0,BF22*$C$2),MAX((IF(Monthly!BC$4=TRUE,Monthly!BC$13,Monthly!BC$14)*(1+'Attrition Modeling'!$N$8)-'IP Attrition'!BF$65)/12*'IP Attrition'!BF89,0)))</f>
        <v>0</v>
      </c>
      <c r="BH154" s="799">
        <f>IF(EOMONTH(Inputs!$C$8,'IP Attrition'!BH$134-1)&lt;=Inputs!$C$9,0,MIN(IF(ISERROR(VLOOKUP(BH$134+$F154,$D$135:$D$165,1,FALSE)),0,BG22*$C$2),MAX((IF(Monthly!BD$4=TRUE,Monthly!BD$13,Monthly!BD$14)*(1+'Attrition Modeling'!$N$8)-'IP Attrition'!BG$65)/12*'IP Attrition'!BG89,0)))</f>
        <v>0</v>
      </c>
      <c r="BI154" s="799">
        <f>IF(EOMONTH(Inputs!$C$8,'IP Attrition'!BI$134-1)&lt;=Inputs!$C$9,0,MIN(IF(ISERROR(VLOOKUP(BI$134+$F154,$D$135:$D$165,1,FALSE)),0,BH22*$C$2),MAX((IF(Monthly!BE$4=TRUE,Monthly!BE$13,Monthly!BE$14)*(1+'Attrition Modeling'!$N$8)-'IP Attrition'!BH$65)/12*'IP Attrition'!BH89,0)))</f>
        <v>0</v>
      </c>
      <c r="BJ154" s="799">
        <f>IF(EOMONTH(Inputs!$C$8,'IP Attrition'!BJ$134-1)&lt;=Inputs!$C$9,0,MIN(IF(ISERROR(VLOOKUP(BJ$134+$F154,$D$135:$D$165,1,FALSE)),0,BI22*$C$2),MAX((IF(Monthly!BF$4=TRUE,Monthly!BF$13,Monthly!BF$14)*(1+'Attrition Modeling'!$N$8)-'IP Attrition'!BI$65)/12*'IP Attrition'!BI89,0)))</f>
        <v>0</v>
      </c>
      <c r="BK154" s="799">
        <f>IF(EOMONTH(Inputs!$C$8,'IP Attrition'!BK$134-1)&lt;=Inputs!$C$9,0,MIN(IF(ISERROR(VLOOKUP(BK$134+$F154,$D$135:$D$165,1,FALSE)),0,BJ22*$C$2),MAX((IF(Monthly!BG$4=TRUE,Monthly!BG$13,Monthly!BG$14)*(1+'Attrition Modeling'!$N$8)-'IP Attrition'!BJ$65)/12*'IP Attrition'!BJ89,0)))</f>
        <v>0</v>
      </c>
      <c r="BL154" s="799">
        <f>IF(EOMONTH(Inputs!$C$8,'IP Attrition'!BL$134-1)&lt;=Inputs!$C$9,0,MIN(IF(ISERROR(VLOOKUP(BL$134+$F154,$D$135:$D$165,1,FALSE)),0,BK22*$C$2),MAX((IF(Monthly!BH$4=TRUE,Monthly!BH$13,Monthly!BH$14)*(1+'Attrition Modeling'!$N$8)-'IP Attrition'!BK$65)/12*'IP Attrition'!BK89,0)))</f>
        <v>0</v>
      </c>
      <c r="BM154" s="799">
        <f>IF(EOMONTH(Inputs!$C$8,'IP Attrition'!BM$134-1)&lt;=Inputs!$C$9,0,MIN(IF(ISERROR(VLOOKUP(BM$134+$F154,$D$135:$D$165,1,FALSE)),0,BL22*$C$2),MAX((IF(Monthly!BI$4=TRUE,Monthly!BI$13,Monthly!BI$14)*(1+'Attrition Modeling'!$N$8)-'IP Attrition'!BL$65)/12*'IP Attrition'!BL89,0)))</f>
        <v>0</v>
      </c>
      <c r="BN154" s="799">
        <f>IF(EOMONTH(Inputs!$C$8,'IP Attrition'!BN$134-1)&lt;=Inputs!$C$9,0,MIN(IF(ISERROR(VLOOKUP(BN$134+$F154,$D$135:$D$165,1,FALSE)),0,BM22*$C$2),MAX((IF(Monthly!BJ$4=TRUE,Monthly!BJ$13,Monthly!BJ$14)*(1+'Attrition Modeling'!$N$8)-'IP Attrition'!BM$65)/12*'IP Attrition'!BM89,0)))</f>
        <v>0</v>
      </c>
      <c r="BO154" s="799">
        <f>IF(EOMONTH(Inputs!$C$8,'IP Attrition'!BO$134-1)&lt;=Inputs!$C$9,0,MIN(IF(ISERROR(VLOOKUP(BO$134+$F154,$D$135:$D$165,1,FALSE)),0,BN22*$C$2),MAX((IF(Monthly!BK$4=TRUE,Monthly!BK$13,Monthly!BK$14)*(1+'Attrition Modeling'!$N$8)-'IP Attrition'!BN$65)/12*'IP Attrition'!BN89,0)))</f>
        <v>0</v>
      </c>
      <c r="BP154" s="799">
        <f>IF(EOMONTH(Inputs!$C$8,'IP Attrition'!BP$134-1)&lt;=Inputs!$C$9,0,MIN(IF(ISERROR(VLOOKUP(BP$134+$F154,$D$135:$D$165,1,FALSE)),0,BO22*$C$2),MAX((IF(Monthly!BL$4=TRUE,Monthly!BL$13,Monthly!BL$14)*(1+'Attrition Modeling'!$N$8)-'IP Attrition'!BO$65)/12*'IP Attrition'!BO89,0)))</f>
        <v>0</v>
      </c>
      <c r="BQ154" s="799">
        <f>IF(EOMONTH(Inputs!$C$8,'IP Attrition'!BQ$134-1)&lt;=Inputs!$C$9,0,MIN(IF(ISERROR(VLOOKUP(BQ$134+$F154,$D$135:$D$165,1,FALSE)),0,BP22*$C$2),MAX((IF(Monthly!BM$4=TRUE,Monthly!BM$13,Monthly!BM$14)*(1+'Attrition Modeling'!$N$8)-'IP Attrition'!BP$65)/12*'IP Attrition'!BP89,0)))</f>
        <v>0</v>
      </c>
      <c r="BR154" s="799">
        <f>IF(EOMONTH(Inputs!$C$8,'IP Attrition'!BR$134-1)&lt;=Inputs!$C$9,0,MIN(IF(ISERROR(VLOOKUP(BR$134+$F154,$D$135:$D$165,1,FALSE)),0,BQ22*$C$2),MAX((IF(Monthly!BN$4=TRUE,Monthly!BN$13,Monthly!BN$14)*(1+'Attrition Modeling'!$N$8)-'IP Attrition'!BQ$65)/12*'IP Attrition'!BQ89,0)))</f>
        <v>0</v>
      </c>
      <c r="BS154" s="799">
        <f>IF(EOMONTH(Inputs!$C$8,'IP Attrition'!BS$134-1)&lt;=Inputs!$C$9,0,MIN(IF(ISERROR(VLOOKUP(BS$134+$F154,$D$135:$D$165,1,FALSE)),0,BR22*$C$2),MAX((IF(Monthly!BO$4=TRUE,Monthly!BO$13,Monthly!BO$14)*(1+'Attrition Modeling'!$N$8)-'IP Attrition'!BR$65)/12*'IP Attrition'!BR89,0)))</f>
        <v>0</v>
      </c>
      <c r="BT154" s="799" t="e">
        <f>IF(EOMONTH(Inputs!$C$8,'IP Attrition'!BT$134-1)&lt;=Inputs!$C$9,0,MIN(IF(ISERROR(VLOOKUP(BT$134+$F154,$D$135:$D$165,1,FALSE)),0,BS22*$C$2),MAX((IF(Monthly!#REF!=TRUE,Monthly!#REF!,Monthly!#REF!)*(1+'Attrition Modeling'!$N$8)-'IP Attrition'!BS$65)/12*'IP Attrition'!BS89,0)))</f>
        <v>#REF!</v>
      </c>
      <c r="BU154" s="799" t="e">
        <f>IF(EOMONTH(Inputs!$C$8,'IP Attrition'!BU$134-1)&lt;=Inputs!$C$9,0,MIN(IF(ISERROR(VLOOKUP(BU$134+$F154,$D$135:$D$165,1,FALSE)),0,BT22*$C$2),MAX((IF(Monthly!#REF!=TRUE,Monthly!#REF!,Monthly!#REF!)*(1+'Attrition Modeling'!$N$8)-'IP Attrition'!BT$65)/12*'IP Attrition'!BT89,0)))</f>
        <v>#REF!</v>
      </c>
    </row>
    <row r="155" spans="1:73" ht="14.25" customHeight="1" x14ac:dyDescent="0.2">
      <c r="A155" s="9">
        <v>148</v>
      </c>
      <c r="B155" s="25">
        <f>MAX('Attrition Modeling'!H152,$C$3)*(1-Summary!$C$20)</f>
        <v>0.02</v>
      </c>
      <c r="C155" s="24" t="e">
        <f t="shared" si="3"/>
        <v>#DIV/0!</v>
      </c>
      <c r="D155" s="11">
        <f t="shared" si="72"/>
        <v>246</v>
      </c>
      <c r="E155" s="25">
        <f t="shared" si="71"/>
        <v>0</v>
      </c>
      <c r="F155" s="11">
        <f t="shared" si="73"/>
        <v>20</v>
      </c>
      <c r="G155" s="799"/>
      <c r="H155" s="799">
        <f>IF(EOMONTH(Inputs!$C$8,'IP Attrition'!H$134-1)&lt;=Inputs!$C$9,0,MIN(IF(ISERROR(VLOOKUP(H$134+$F155,$D$135:$D$165,1,FALSE)),0,G23*$C$2),MAX((IF(Monthly!D$4=TRUE,Monthly!D$13,Monthly!D$14)*(1+'Attrition Modeling'!$N$8)-'IP Attrition'!G$65)/12*'IP Attrition'!G90,0)))</f>
        <v>0</v>
      </c>
      <c r="I155" s="799">
        <f>IF(EOMONTH(Inputs!$C$8,'IP Attrition'!I$134-1)&lt;=Inputs!$C$9,0,MIN(IF(ISERROR(VLOOKUP(I$134+$F155,$D$135:$D$165,1,FALSE)),0,H23*$C$2),MAX((IF(Monthly!E$4=TRUE,Monthly!E$13,Monthly!E$14)*(1+'Attrition Modeling'!$N$8)-'IP Attrition'!H$65)/12*'IP Attrition'!H90,0)))</f>
        <v>0</v>
      </c>
      <c r="J155" s="799">
        <f>IF(EOMONTH(Inputs!$C$8,'IP Attrition'!J$134-1)&lt;=Inputs!$C$9,0,MIN(IF(ISERROR(VLOOKUP(J$134+$F155,$D$135:$D$165,1,FALSE)),0,I23*$C$2),MAX((IF(Monthly!F$4=TRUE,Monthly!F$13,Monthly!F$14)*(1+'Attrition Modeling'!$N$8)-'IP Attrition'!I$65)/12*'IP Attrition'!I90,0)))</f>
        <v>0</v>
      </c>
      <c r="K155" s="799">
        <f>IF(EOMONTH(Inputs!$C$8,'IP Attrition'!K$134-1)&lt;=Inputs!$C$9,0,MIN(IF(ISERROR(VLOOKUP(K$134+$F155,$D$135:$D$165,1,FALSE)),0,J23*$C$2),MAX((IF(Monthly!G$4=TRUE,Monthly!G$13,Monthly!G$14)*(1+'Attrition Modeling'!$N$8)-'IP Attrition'!J$65)/12*'IP Attrition'!J90,0)))</f>
        <v>0</v>
      </c>
      <c r="L155" s="799">
        <f>IF(EOMONTH(Inputs!$C$8,'IP Attrition'!L$134-1)&lt;=Inputs!$C$9,0,MIN(IF(ISERROR(VLOOKUP(L$134+$F155,$D$135:$D$165,1,FALSE)),0,K23*$C$2),MAX((IF(Monthly!H$4=TRUE,Monthly!H$13,Monthly!H$14)*(1+'Attrition Modeling'!$N$8)-'IP Attrition'!K$65)/12*'IP Attrition'!K90,0)))</f>
        <v>0</v>
      </c>
      <c r="M155" s="799">
        <f>IF(EOMONTH(Inputs!$C$8,'IP Attrition'!M$134-1)&lt;=Inputs!$C$9,0,MIN(IF(ISERROR(VLOOKUP(M$134+$F155,$D$135:$D$165,1,FALSE)),0,L23*$C$2),MAX((IF(Monthly!I$4=TRUE,Monthly!I$13,Monthly!I$14)*(1+'Attrition Modeling'!$N$8)-'IP Attrition'!L$65)/12*'IP Attrition'!L90,0)))</f>
        <v>0</v>
      </c>
      <c r="N155" s="799">
        <f>IF(EOMONTH(Inputs!$C$8,'IP Attrition'!N$134-1)&lt;=Inputs!$C$9,0,MIN(IF(ISERROR(VLOOKUP(N$134+$F155,$D$135:$D$165,1,FALSE)),0,M23*$C$2),MAX((IF(Monthly!J$4=TRUE,Monthly!J$13,Monthly!J$14)*(1+'Attrition Modeling'!$N$8)-'IP Attrition'!M$65)/12*'IP Attrition'!M90,0)))</f>
        <v>0</v>
      </c>
      <c r="O155" s="799">
        <f>IF(EOMONTH(Inputs!$C$8,'IP Attrition'!O$134-1)&lt;=Inputs!$C$9,0,MIN(IF(ISERROR(VLOOKUP(O$134+$F155,$D$135:$D$165,1,FALSE)),0,N23*$C$2),MAX((IF(Monthly!K$4=TRUE,Monthly!K$13,Monthly!K$14)*(1+'Attrition Modeling'!$N$8)-'IP Attrition'!N$65)/12*'IP Attrition'!N90,0)))</f>
        <v>0</v>
      </c>
      <c r="P155" s="799">
        <f>IF(EOMONTH(Inputs!$C$8,'IP Attrition'!P$134-1)&lt;=Inputs!$C$9,0,MIN(IF(ISERROR(VLOOKUP(P$134+$F155,$D$135:$D$165,1,FALSE)),0,O23*$C$2),MAX((IF(Monthly!L$4=TRUE,Monthly!L$13,Monthly!L$14)*(1+'Attrition Modeling'!$N$8)-'IP Attrition'!O$65)/12*'IP Attrition'!O90,0)))</f>
        <v>0</v>
      </c>
      <c r="Q155" s="799">
        <f>IF(EOMONTH(Inputs!$C$8,'IP Attrition'!Q$134-1)&lt;=Inputs!$C$9,0,MIN(IF(ISERROR(VLOOKUP(Q$134+$F155,$D$135:$D$165,1,FALSE)),0,P23*$C$2),MAX((IF(Monthly!M$4=TRUE,Monthly!M$13,Monthly!M$14)*(1+'Attrition Modeling'!$N$8)-'IP Attrition'!P$65)/12*'IP Attrition'!P90,0)))</f>
        <v>0</v>
      </c>
      <c r="R155" s="799">
        <f>IF(EOMONTH(Inputs!$C$8,'IP Attrition'!R$134-1)&lt;=Inputs!$C$9,0,MIN(IF(ISERROR(VLOOKUP(R$134+$F155,$D$135:$D$165,1,FALSE)),0,Q23*$C$2),MAX((IF(Monthly!N$4=TRUE,Monthly!N$13,Monthly!N$14)*(1+'Attrition Modeling'!$N$8)-'IP Attrition'!Q$65)/12*'IP Attrition'!Q90,0)))</f>
        <v>0</v>
      </c>
      <c r="S155" s="799">
        <f>IF(EOMONTH(Inputs!$C$8,'IP Attrition'!S$134-1)&lt;=Inputs!$C$9,0,MIN(IF(ISERROR(VLOOKUP(S$134+$F155,$D$135:$D$165,1,FALSE)),0,R23*$C$2),MAX((IF(Monthly!O$4=TRUE,Monthly!O$13,Monthly!O$14)*(1+'Attrition Modeling'!$N$8)-'IP Attrition'!R$65)/12*'IP Attrition'!R90,0)))</f>
        <v>0</v>
      </c>
      <c r="T155" s="799">
        <f>IF(EOMONTH(Inputs!$C$8,'IP Attrition'!T$134-1)&lt;=Inputs!$C$9,0,MIN(IF(ISERROR(VLOOKUP(T$134+$F155,$D$135:$D$165,1,FALSE)),0,S23*$C$2),MAX((IF(Monthly!P$4=TRUE,Monthly!P$13,Monthly!P$14)*(1+'Attrition Modeling'!$N$8)-'IP Attrition'!S$65)/12*'IP Attrition'!S90,0)))</f>
        <v>0</v>
      </c>
      <c r="U155" s="799">
        <f>IF(EOMONTH(Inputs!$C$8,'IP Attrition'!U$134-1)&lt;=Inputs!$C$9,0,MIN(IF(ISERROR(VLOOKUP(U$134+$F155,$D$135:$D$165,1,FALSE)),0,T23*$C$2),MAX((IF(Monthly!Q$4=TRUE,Monthly!Q$13,Monthly!Q$14)*(1+'Attrition Modeling'!$N$8)-'IP Attrition'!T$65)/12*'IP Attrition'!T90,0)))</f>
        <v>0</v>
      </c>
      <c r="V155" s="799">
        <f>IF(EOMONTH(Inputs!$C$8,'IP Attrition'!V$134-1)&lt;=Inputs!$C$9,0,MIN(IF(ISERROR(VLOOKUP(V$134+$F155,$D$135:$D$165,1,FALSE)),0,U23*$C$2),MAX((IF(Monthly!R$4=TRUE,Monthly!R$13,Monthly!R$14)*(1+'Attrition Modeling'!$N$8)-'IP Attrition'!U$65)/12*'IP Attrition'!U90,0)))</f>
        <v>0</v>
      </c>
      <c r="W155" s="799">
        <f>IF(EOMONTH(Inputs!$C$8,'IP Attrition'!W$134-1)&lt;=Inputs!$C$9,0,MIN(IF(ISERROR(VLOOKUP(W$134+$F155,$D$135:$D$165,1,FALSE)),0,V23*$C$2),MAX((IF(Monthly!S$4=TRUE,Monthly!S$13,Monthly!S$14)*(1+'Attrition Modeling'!$N$8)-'IP Attrition'!V$65)/12*'IP Attrition'!V90,0)))</f>
        <v>0</v>
      </c>
      <c r="X155" s="799">
        <f>IF(EOMONTH(Inputs!$C$8,'IP Attrition'!X$134-1)&lt;=Inputs!$C$9,0,MIN(IF(ISERROR(VLOOKUP(X$134+$F155,$D$135:$D$165,1,FALSE)),0,W23*$C$2),MAX((IF(Monthly!T$4=TRUE,Monthly!T$13,Monthly!T$14)*(1+'Attrition Modeling'!$N$8)-'IP Attrition'!W$65)/12*'IP Attrition'!W90,0)))</f>
        <v>0</v>
      </c>
      <c r="Y155" s="799">
        <f>IF(EOMONTH(Inputs!$C$8,'IP Attrition'!Y$134-1)&lt;=Inputs!$C$9,0,MIN(IF(ISERROR(VLOOKUP(Y$134+$F155,$D$135:$D$165,1,FALSE)),0,X23*$C$2),MAX((IF(Monthly!U$4=TRUE,Monthly!U$13,Monthly!U$14)*(1+'Attrition Modeling'!$N$8)-'IP Attrition'!X$65)/12*'IP Attrition'!X90,0)))</f>
        <v>0</v>
      </c>
      <c r="Z155" s="799">
        <f>IF(EOMONTH(Inputs!$C$8,'IP Attrition'!Z$134-1)&lt;=Inputs!$C$9,0,MIN(IF(ISERROR(VLOOKUP(Z$134+$F155,$D$135:$D$165,1,FALSE)),0,Y23*$C$2),MAX((IF(Monthly!V$4=TRUE,Monthly!V$13,Monthly!V$14)*(1+'Attrition Modeling'!$N$8)-'IP Attrition'!Y$65)/12*'IP Attrition'!Y90,0)))</f>
        <v>0</v>
      </c>
      <c r="AA155" s="799">
        <f>IF(EOMONTH(Inputs!$C$8,'IP Attrition'!AA$134-1)&lt;=Inputs!$C$9,0,MIN(IF(ISERROR(VLOOKUP(AA$134+$F155,$D$135:$D$165,1,FALSE)),0,Z23*$C$2),MAX((IF(Monthly!W$4=TRUE,Monthly!W$13,Monthly!W$14)*(1+'Attrition Modeling'!$N$8)-'IP Attrition'!Z$65)/12*'IP Attrition'!Z90,0)))</f>
        <v>0</v>
      </c>
      <c r="AB155" s="799">
        <f>IF(EOMONTH(Inputs!$C$8,'IP Attrition'!AB$134-1)&lt;=Inputs!$C$9,0,MIN(IF(ISERROR(VLOOKUP(AB$134+$F155,$D$135:$D$165,1,FALSE)),0,AA23*$C$2),MAX((IF(Monthly!X$4=TRUE,Monthly!X$13,Monthly!X$14)*(1+'Attrition Modeling'!$N$8)-'IP Attrition'!AA$65)/12*'IP Attrition'!AA90,0)))</f>
        <v>0</v>
      </c>
      <c r="AC155" s="799">
        <f>IF(EOMONTH(Inputs!$C$8,'IP Attrition'!AC$134-1)&lt;=Inputs!$C$9,0,MIN(IF(ISERROR(VLOOKUP(AC$134+$F155,$D$135:$D$165,1,FALSE)),0,AB23*$C$2),MAX((IF(Monthly!Y$4=TRUE,Monthly!Y$13,Monthly!Y$14)*(1+'Attrition Modeling'!$N$8)-'IP Attrition'!AB$65)/12*'IP Attrition'!AB90,0)))</f>
        <v>0</v>
      </c>
      <c r="AD155" s="799">
        <f>IF(EOMONTH(Inputs!$C$8,'IP Attrition'!AD$134-1)&lt;=Inputs!$C$9,0,MIN(IF(ISERROR(VLOOKUP(AD$134+$F155,$D$135:$D$165,1,FALSE)),0,AC23*$C$2),MAX((IF(Monthly!Z$4=TRUE,Monthly!Z$13,Monthly!Z$14)*(1+'Attrition Modeling'!$N$8)-'IP Attrition'!AC$65)/12*'IP Attrition'!AC90,0)))</f>
        <v>0</v>
      </c>
      <c r="AE155" s="799">
        <f>IF(EOMONTH(Inputs!$C$8,'IP Attrition'!AE$134-1)&lt;=Inputs!$C$9,0,MIN(IF(ISERROR(VLOOKUP(AE$134+$F155,$D$135:$D$165,1,FALSE)),0,AD23*$C$2),MAX((IF(Monthly!AA$4=TRUE,Monthly!AA$13,Monthly!AA$14)*(1+'Attrition Modeling'!$N$8)-'IP Attrition'!AD$65)/12*'IP Attrition'!AD90,0)))</f>
        <v>0</v>
      </c>
      <c r="AF155" s="799">
        <f>IF(EOMONTH(Inputs!$C$8,'IP Attrition'!AF$134-1)&lt;=Inputs!$C$9,0,MIN(IF(ISERROR(VLOOKUP(AF$134+$F155,$D$135:$D$165,1,FALSE)),0,AE23*$C$2),MAX((IF(Monthly!AB$4=TRUE,Monthly!AB$13,Monthly!AB$14)*(1+'Attrition Modeling'!$N$8)-'IP Attrition'!AE$65)/12*'IP Attrition'!AE90,0)))</f>
        <v>0</v>
      </c>
      <c r="AG155" s="799">
        <f>IF(EOMONTH(Inputs!$C$8,'IP Attrition'!AG$134-1)&lt;=Inputs!$C$9,0,MIN(IF(ISERROR(VLOOKUP(AG$134+$F155,$D$135:$D$165,1,FALSE)),0,AF23*$C$2),MAX((IF(Monthly!AC$4=TRUE,Monthly!AC$13,Monthly!AC$14)*(1+'Attrition Modeling'!$N$8)-'IP Attrition'!AF$65)/12*'IP Attrition'!AF90,0)))</f>
        <v>0</v>
      </c>
      <c r="AH155" s="799">
        <f>IF(EOMONTH(Inputs!$C$8,'IP Attrition'!AH$134-1)&lt;=Inputs!$C$9,0,MIN(IF(ISERROR(VLOOKUP(AH$134+$F155,$D$135:$D$165,1,FALSE)),0,AG23*$C$2),MAX((IF(Monthly!AD$4=TRUE,Monthly!AD$13,Monthly!AD$14)*(1+'Attrition Modeling'!$N$8)-'IP Attrition'!AG$65)/12*'IP Attrition'!AG90,0)))</f>
        <v>0</v>
      </c>
      <c r="AI155" s="799">
        <f>IF(EOMONTH(Inputs!$C$8,'IP Attrition'!AI$134-1)&lt;=Inputs!$C$9,0,MIN(IF(ISERROR(VLOOKUP(AI$134+$F155,$D$135:$D$165,1,FALSE)),0,AH23*$C$2),MAX((IF(Monthly!AE$4=TRUE,Monthly!AE$13,Monthly!AE$14)*(1+'Attrition Modeling'!$N$8)-'IP Attrition'!AH$65)/12*'IP Attrition'!AH90,0)))</f>
        <v>0</v>
      </c>
      <c r="AJ155" s="799">
        <f>IF(EOMONTH(Inputs!$C$8,'IP Attrition'!AJ$134-1)&lt;=Inputs!$C$9,0,MIN(IF(ISERROR(VLOOKUP(AJ$134+$F155,$D$135:$D$165,1,FALSE)),0,AI23*$C$2),MAX((IF(Monthly!AF$4=TRUE,Monthly!AF$13,Monthly!AF$14)*(1+'Attrition Modeling'!$N$8)-'IP Attrition'!AI$65)/12*'IP Attrition'!AI90,0)))</f>
        <v>0</v>
      </c>
      <c r="AK155" s="799">
        <f>IF(EOMONTH(Inputs!$C$8,'IP Attrition'!AK$134-1)&lt;=Inputs!$C$9,0,MIN(IF(ISERROR(VLOOKUP(AK$134+$F155,$D$135:$D$165,1,FALSE)),0,AJ23*$C$2),MAX((IF(Monthly!AG$4=TRUE,Monthly!AG$13,Monthly!AG$14)*(1+'Attrition Modeling'!$N$8)-'IP Attrition'!AJ$65)/12*'IP Attrition'!AJ90,0)))</f>
        <v>0</v>
      </c>
      <c r="AL155" s="799">
        <f>IF(EOMONTH(Inputs!$C$8,'IP Attrition'!AL$134-1)&lt;=Inputs!$C$9,0,MIN(IF(ISERROR(VLOOKUP(AL$134+$F155,$D$135:$D$165,1,FALSE)),0,AK23*$C$2),MAX((IF(Monthly!AH$4=TRUE,Monthly!AH$13,Monthly!AH$14)*(1+'Attrition Modeling'!$N$8)-'IP Attrition'!AK$65)/12*'IP Attrition'!AK90,0)))</f>
        <v>0</v>
      </c>
      <c r="AM155" s="799">
        <f>IF(EOMONTH(Inputs!$C$8,'IP Attrition'!AM$134-1)&lt;=Inputs!$C$9,0,MIN(IF(ISERROR(VLOOKUP(AM$134+$F155,$D$135:$D$165,1,FALSE)),0,AL23*$C$2),MAX((IF(Monthly!AI$4=TRUE,Monthly!AI$13,Monthly!AI$14)*(1+'Attrition Modeling'!$N$8)-'IP Attrition'!AL$65)/12*'IP Attrition'!AL90,0)))</f>
        <v>0</v>
      </c>
      <c r="AN155" s="799">
        <f>IF(EOMONTH(Inputs!$C$8,'IP Attrition'!AN$134-1)&lt;=Inputs!$C$9,0,MIN(IF(ISERROR(VLOOKUP(AN$134+$F155,$D$135:$D$165,1,FALSE)),0,AM23*$C$2),MAX((IF(Monthly!AJ$4=TRUE,Monthly!AJ$13,Monthly!AJ$14)*(1+'Attrition Modeling'!$N$8)-'IP Attrition'!AM$65)/12*'IP Attrition'!AM90,0)))</f>
        <v>0</v>
      </c>
      <c r="AO155" s="799">
        <f>IF(EOMONTH(Inputs!$C$8,'IP Attrition'!AO$134-1)&lt;=Inputs!$C$9,0,MIN(IF(ISERROR(VLOOKUP(AO$134+$F155,$D$135:$D$165,1,FALSE)),0,AN23*$C$2),MAX((IF(Monthly!AK$4=TRUE,Monthly!AK$13,Monthly!AK$14)*(1+'Attrition Modeling'!$N$8)-'IP Attrition'!AN$65)/12*'IP Attrition'!AN90,0)))</f>
        <v>0</v>
      </c>
      <c r="AP155" s="799">
        <f>IF(EOMONTH(Inputs!$C$8,'IP Attrition'!AP$134-1)&lt;=Inputs!$C$9,0,MIN(IF(ISERROR(VLOOKUP(AP$134+$F155,$D$135:$D$165,1,FALSE)),0,AO23*$C$2),MAX((IF(Monthly!AL$4=TRUE,Monthly!AL$13,Monthly!AL$14)*(1+'Attrition Modeling'!$N$8)-'IP Attrition'!AO$65)/12*'IP Attrition'!AO90,0)))</f>
        <v>0</v>
      </c>
      <c r="AQ155" s="799">
        <f>IF(EOMONTH(Inputs!$C$8,'IP Attrition'!AQ$134-1)&lt;=Inputs!$C$9,0,MIN(IF(ISERROR(VLOOKUP(AQ$134+$F155,$D$135:$D$165,1,FALSE)),0,AP23*$C$2),MAX((IF(Monthly!AM$4=TRUE,Monthly!AM$13,Monthly!AM$14)*(1+'Attrition Modeling'!$N$8)-'IP Attrition'!AP$65)/12*'IP Attrition'!AP90,0)))</f>
        <v>0</v>
      </c>
      <c r="AR155" s="799">
        <f>IF(EOMONTH(Inputs!$C$8,'IP Attrition'!AR$134-1)&lt;=Inputs!$C$9,0,MIN(IF(ISERROR(VLOOKUP(AR$134+$F155,$D$135:$D$165,1,FALSE)),0,AQ23*$C$2),MAX((IF(Monthly!AN$4=TRUE,Monthly!AN$13,Monthly!AN$14)*(1+'Attrition Modeling'!$N$8)-'IP Attrition'!AQ$65)/12*'IP Attrition'!AQ90,0)))</f>
        <v>0</v>
      </c>
      <c r="AS155" s="799">
        <f>IF(EOMONTH(Inputs!$C$8,'IP Attrition'!AS$134-1)&lt;=Inputs!$C$9,0,MIN(IF(ISERROR(VLOOKUP(AS$134+$F155,$D$135:$D$165,1,FALSE)),0,AR23*$C$2),MAX((IF(Monthly!AO$4=TRUE,Monthly!AO$13,Monthly!AO$14)*(1+'Attrition Modeling'!$N$8)-'IP Attrition'!AR$65)/12*'IP Attrition'!AR90,0)))</f>
        <v>0</v>
      </c>
      <c r="AT155" s="799">
        <f>IF(EOMONTH(Inputs!$C$8,'IP Attrition'!AT$134-1)&lt;=Inputs!$C$9,0,MIN(IF(ISERROR(VLOOKUP(AT$134+$F155,$D$135:$D$165,1,FALSE)),0,AS23*$C$2),MAX((IF(Monthly!AP$4=TRUE,Monthly!AP$13,Monthly!AP$14)*(1+'Attrition Modeling'!$N$8)-'IP Attrition'!AS$65)/12*'IP Attrition'!AS90,0)))</f>
        <v>0</v>
      </c>
      <c r="AU155" s="799">
        <f>IF(EOMONTH(Inputs!$C$8,'IP Attrition'!AU$134-1)&lt;=Inputs!$C$9,0,MIN(IF(ISERROR(VLOOKUP(AU$134+$F155,$D$135:$D$165,1,FALSE)),0,AT23*$C$2),MAX((IF(Monthly!AQ$4=TRUE,Monthly!AQ$13,Monthly!AQ$14)*(1+'Attrition Modeling'!$N$8)-'IP Attrition'!AT$65)/12*'IP Attrition'!AT90,0)))</f>
        <v>0</v>
      </c>
      <c r="AV155" s="799">
        <f>IF(EOMONTH(Inputs!$C$8,'IP Attrition'!AV$134-1)&lt;=Inputs!$C$9,0,MIN(IF(ISERROR(VLOOKUP(AV$134+$F155,$D$135:$D$165,1,FALSE)),0,AU23*$C$2),MAX((IF(Monthly!AR$4=TRUE,Monthly!AR$13,Monthly!AR$14)*(1+'Attrition Modeling'!$N$8)-'IP Attrition'!AU$65)/12*'IP Attrition'!AU90,0)))</f>
        <v>0</v>
      </c>
      <c r="AW155" s="799">
        <f>IF(EOMONTH(Inputs!$C$8,'IP Attrition'!AW$134-1)&lt;=Inputs!$C$9,0,MIN(IF(ISERROR(VLOOKUP(AW$134+$F155,$D$135:$D$165,1,FALSE)),0,AV23*$C$2),MAX((IF(Monthly!AS$4=TRUE,Monthly!AS$13,Monthly!AS$14)*(1+'Attrition Modeling'!$N$8)-'IP Attrition'!AV$65)/12*'IP Attrition'!AV90,0)))</f>
        <v>0</v>
      </c>
      <c r="AX155" s="799">
        <f>IF(EOMONTH(Inputs!$C$8,'IP Attrition'!AX$134-1)&lt;=Inputs!$C$9,0,MIN(IF(ISERROR(VLOOKUP(AX$134+$F155,$D$135:$D$165,1,FALSE)),0,AW23*$C$2),MAX((IF(Monthly!AT$4=TRUE,Monthly!AT$13,Monthly!AT$14)*(1+'Attrition Modeling'!$N$8)-'IP Attrition'!AW$65)/12*'IP Attrition'!AW90,0)))</f>
        <v>0</v>
      </c>
      <c r="AY155" s="799">
        <f>IF(EOMONTH(Inputs!$C$8,'IP Attrition'!AY$134-1)&lt;=Inputs!$C$9,0,MIN(IF(ISERROR(VLOOKUP(AY$134+$F155,$D$135:$D$165,1,FALSE)),0,AX23*$C$2),MAX((IF(Monthly!AU$4=TRUE,Monthly!AU$13,Monthly!AU$14)*(1+'Attrition Modeling'!$N$8)-'IP Attrition'!AX$65)/12*'IP Attrition'!AX90,0)))</f>
        <v>0</v>
      </c>
      <c r="AZ155" s="799">
        <f>IF(EOMONTH(Inputs!$C$8,'IP Attrition'!AZ$134-1)&lt;=Inputs!$C$9,0,MIN(IF(ISERROR(VLOOKUP(AZ$134+$F155,$D$135:$D$165,1,FALSE)),0,AY23*$C$2),MAX((IF(Monthly!AV$4=TRUE,Monthly!AV$13,Monthly!AV$14)*(1+'Attrition Modeling'!$N$8)-'IP Attrition'!AY$65)/12*'IP Attrition'!AY90,0)))</f>
        <v>0</v>
      </c>
      <c r="BA155" s="799">
        <f>IF(EOMONTH(Inputs!$C$8,'IP Attrition'!BA$134-1)&lt;=Inputs!$C$9,0,MIN(IF(ISERROR(VLOOKUP(BA$134+$F155,$D$135:$D$165,1,FALSE)),0,AZ23*$C$2),MAX((IF(Monthly!AW$4=TRUE,Monthly!AW$13,Monthly!AW$14)*(1+'Attrition Modeling'!$N$8)-'IP Attrition'!AZ$65)/12*'IP Attrition'!AZ90,0)))</f>
        <v>0</v>
      </c>
      <c r="BB155" s="799">
        <f>IF(EOMONTH(Inputs!$C$8,'IP Attrition'!BB$134-1)&lt;=Inputs!$C$9,0,MIN(IF(ISERROR(VLOOKUP(BB$134+$F155,$D$135:$D$165,1,FALSE)),0,BA23*$C$2),MAX((IF(Monthly!AX$4=TRUE,Monthly!AX$13,Monthly!AX$14)*(1+'Attrition Modeling'!$N$8)-'IP Attrition'!BA$65)/12*'IP Attrition'!BA90,0)))</f>
        <v>0</v>
      </c>
      <c r="BC155" s="799">
        <f>IF(EOMONTH(Inputs!$C$8,'IP Attrition'!BC$134-1)&lt;=Inputs!$C$9,0,MIN(IF(ISERROR(VLOOKUP(BC$134+$F155,$D$135:$D$165,1,FALSE)),0,BB23*$C$2),MAX((IF(Monthly!AY$4=TRUE,Monthly!AY$13,Monthly!AY$14)*(1+'Attrition Modeling'!$N$8)-'IP Attrition'!BB$65)/12*'IP Attrition'!BB90,0)))</f>
        <v>0</v>
      </c>
      <c r="BD155" s="799">
        <f>IF(EOMONTH(Inputs!$C$8,'IP Attrition'!BD$134-1)&lt;=Inputs!$C$9,0,MIN(IF(ISERROR(VLOOKUP(BD$134+$F155,$D$135:$D$165,1,FALSE)),0,BC23*$C$2),MAX((IF(Monthly!AZ$4=TRUE,Monthly!AZ$13,Monthly!AZ$14)*(1+'Attrition Modeling'!$N$8)-'IP Attrition'!BC$65)/12*'IP Attrition'!BC90,0)))</f>
        <v>0</v>
      </c>
      <c r="BE155" s="799">
        <f>IF(EOMONTH(Inputs!$C$8,'IP Attrition'!BE$134-1)&lt;=Inputs!$C$9,0,MIN(IF(ISERROR(VLOOKUP(BE$134+$F155,$D$135:$D$165,1,FALSE)),0,BD23*$C$2),MAX((IF(Monthly!BA$4=TRUE,Monthly!BA$13,Monthly!BA$14)*(1+'Attrition Modeling'!$N$8)-'IP Attrition'!BD$65)/12*'IP Attrition'!BD90,0)))</f>
        <v>0</v>
      </c>
      <c r="BF155" s="799">
        <f>IF(EOMONTH(Inputs!$C$8,'IP Attrition'!BF$134-1)&lt;=Inputs!$C$9,0,MIN(IF(ISERROR(VLOOKUP(BF$134+$F155,$D$135:$D$165,1,FALSE)),0,BE23*$C$2),MAX((IF(Monthly!BB$4=TRUE,Monthly!BB$13,Monthly!BB$14)*(1+'Attrition Modeling'!$N$8)-'IP Attrition'!BE$65)/12*'IP Attrition'!BE90,0)))</f>
        <v>0</v>
      </c>
      <c r="BG155" s="799">
        <f>IF(EOMONTH(Inputs!$C$8,'IP Attrition'!BG$134-1)&lt;=Inputs!$C$9,0,MIN(IF(ISERROR(VLOOKUP(BG$134+$F155,$D$135:$D$165,1,FALSE)),0,BF23*$C$2),MAX((IF(Monthly!BC$4=TRUE,Monthly!BC$13,Monthly!BC$14)*(1+'Attrition Modeling'!$N$8)-'IP Attrition'!BF$65)/12*'IP Attrition'!BF90,0)))</f>
        <v>0</v>
      </c>
      <c r="BH155" s="799">
        <f>IF(EOMONTH(Inputs!$C$8,'IP Attrition'!BH$134-1)&lt;=Inputs!$C$9,0,MIN(IF(ISERROR(VLOOKUP(BH$134+$F155,$D$135:$D$165,1,FALSE)),0,BG23*$C$2),MAX((IF(Monthly!BD$4=TRUE,Monthly!BD$13,Monthly!BD$14)*(1+'Attrition Modeling'!$N$8)-'IP Attrition'!BG$65)/12*'IP Attrition'!BG90,0)))</f>
        <v>0</v>
      </c>
      <c r="BI155" s="799">
        <f>IF(EOMONTH(Inputs!$C$8,'IP Attrition'!BI$134-1)&lt;=Inputs!$C$9,0,MIN(IF(ISERROR(VLOOKUP(BI$134+$F155,$D$135:$D$165,1,FALSE)),0,BH23*$C$2),MAX((IF(Monthly!BE$4=TRUE,Monthly!BE$13,Monthly!BE$14)*(1+'Attrition Modeling'!$N$8)-'IP Attrition'!BH$65)/12*'IP Attrition'!BH90,0)))</f>
        <v>0</v>
      </c>
      <c r="BJ155" s="799">
        <f>IF(EOMONTH(Inputs!$C$8,'IP Attrition'!BJ$134-1)&lt;=Inputs!$C$9,0,MIN(IF(ISERROR(VLOOKUP(BJ$134+$F155,$D$135:$D$165,1,FALSE)),0,BI23*$C$2),MAX((IF(Monthly!BF$4=TRUE,Monthly!BF$13,Monthly!BF$14)*(1+'Attrition Modeling'!$N$8)-'IP Attrition'!BI$65)/12*'IP Attrition'!BI90,0)))</f>
        <v>0</v>
      </c>
      <c r="BK155" s="799">
        <f>IF(EOMONTH(Inputs!$C$8,'IP Attrition'!BK$134-1)&lt;=Inputs!$C$9,0,MIN(IF(ISERROR(VLOOKUP(BK$134+$F155,$D$135:$D$165,1,FALSE)),0,BJ23*$C$2),MAX((IF(Monthly!BG$4=TRUE,Monthly!BG$13,Monthly!BG$14)*(1+'Attrition Modeling'!$N$8)-'IP Attrition'!BJ$65)/12*'IP Attrition'!BJ90,0)))</f>
        <v>0</v>
      </c>
      <c r="BL155" s="799">
        <f>IF(EOMONTH(Inputs!$C$8,'IP Attrition'!BL$134-1)&lt;=Inputs!$C$9,0,MIN(IF(ISERROR(VLOOKUP(BL$134+$F155,$D$135:$D$165,1,FALSE)),0,BK23*$C$2),MAX((IF(Monthly!BH$4=TRUE,Monthly!BH$13,Monthly!BH$14)*(1+'Attrition Modeling'!$N$8)-'IP Attrition'!BK$65)/12*'IP Attrition'!BK90,0)))</f>
        <v>0</v>
      </c>
      <c r="BM155" s="799">
        <f>IF(EOMONTH(Inputs!$C$8,'IP Attrition'!BM$134-1)&lt;=Inputs!$C$9,0,MIN(IF(ISERROR(VLOOKUP(BM$134+$F155,$D$135:$D$165,1,FALSE)),0,BL23*$C$2),MAX((IF(Monthly!BI$4=TRUE,Monthly!BI$13,Monthly!BI$14)*(1+'Attrition Modeling'!$N$8)-'IP Attrition'!BL$65)/12*'IP Attrition'!BL90,0)))</f>
        <v>0</v>
      </c>
      <c r="BN155" s="799">
        <f>IF(EOMONTH(Inputs!$C$8,'IP Attrition'!BN$134-1)&lt;=Inputs!$C$9,0,MIN(IF(ISERROR(VLOOKUP(BN$134+$F155,$D$135:$D$165,1,FALSE)),0,BM23*$C$2),MAX((IF(Monthly!BJ$4=TRUE,Monthly!BJ$13,Monthly!BJ$14)*(1+'Attrition Modeling'!$N$8)-'IP Attrition'!BM$65)/12*'IP Attrition'!BM90,0)))</f>
        <v>0</v>
      </c>
      <c r="BO155" s="799">
        <f>IF(EOMONTH(Inputs!$C$8,'IP Attrition'!BO$134-1)&lt;=Inputs!$C$9,0,MIN(IF(ISERROR(VLOOKUP(BO$134+$F155,$D$135:$D$165,1,FALSE)),0,BN23*$C$2),MAX((IF(Monthly!BK$4=TRUE,Monthly!BK$13,Monthly!BK$14)*(1+'Attrition Modeling'!$N$8)-'IP Attrition'!BN$65)/12*'IP Attrition'!BN90,0)))</f>
        <v>0</v>
      </c>
      <c r="BP155" s="799">
        <f>IF(EOMONTH(Inputs!$C$8,'IP Attrition'!BP$134-1)&lt;=Inputs!$C$9,0,MIN(IF(ISERROR(VLOOKUP(BP$134+$F155,$D$135:$D$165,1,FALSE)),0,BO23*$C$2),MAX((IF(Monthly!BL$4=TRUE,Monthly!BL$13,Monthly!BL$14)*(1+'Attrition Modeling'!$N$8)-'IP Attrition'!BO$65)/12*'IP Attrition'!BO90,0)))</f>
        <v>0</v>
      </c>
      <c r="BQ155" s="799">
        <f>IF(EOMONTH(Inputs!$C$8,'IP Attrition'!BQ$134-1)&lt;=Inputs!$C$9,0,MIN(IF(ISERROR(VLOOKUP(BQ$134+$F155,$D$135:$D$165,1,FALSE)),0,BP23*$C$2),MAX((IF(Monthly!BM$4=TRUE,Monthly!BM$13,Monthly!BM$14)*(1+'Attrition Modeling'!$N$8)-'IP Attrition'!BP$65)/12*'IP Attrition'!BP90,0)))</f>
        <v>0</v>
      </c>
      <c r="BR155" s="799">
        <f>IF(EOMONTH(Inputs!$C$8,'IP Attrition'!BR$134-1)&lt;=Inputs!$C$9,0,MIN(IF(ISERROR(VLOOKUP(BR$134+$F155,$D$135:$D$165,1,FALSE)),0,BQ23*$C$2),MAX((IF(Monthly!BN$4=TRUE,Monthly!BN$13,Monthly!BN$14)*(1+'Attrition Modeling'!$N$8)-'IP Attrition'!BQ$65)/12*'IP Attrition'!BQ90,0)))</f>
        <v>0</v>
      </c>
      <c r="BS155" s="799">
        <f>IF(EOMONTH(Inputs!$C$8,'IP Attrition'!BS$134-1)&lt;=Inputs!$C$9,0,MIN(IF(ISERROR(VLOOKUP(BS$134+$F155,$D$135:$D$165,1,FALSE)),0,BR23*$C$2),MAX((IF(Monthly!BO$4=TRUE,Monthly!BO$13,Monthly!BO$14)*(1+'Attrition Modeling'!$N$8)-'IP Attrition'!BR$65)/12*'IP Attrition'!BR90,0)))</f>
        <v>0</v>
      </c>
      <c r="BT155" s="799" t="e">
        <f>IF(EOMONTH(Inputs!$C$8,'IP Attrition'!BT$134-1)&lt;=Inputs!$C$9,0,MIN(IF(ISERROR(VLOOKUP(BT$134+$F155,$D$135:$D$165,1,FALSE)),0,BS23*$C$2),MAX((IF(Monthly!#REF!=TRUE,Monthly!#REF!,Monthly!#REF!)*(1+'Attrition Modeling'!$N$8)-'IP Attrition'!BS$65)/12*'IP Attrition'!BS90,0)))</f>
        <v>#REF!</v>
      </c>
      <c r="BU155" s="799" t="e">
        <f>IF(EOMONTH(Inputs!$C$8,'IP Attrition'!BU$134-1)&lt;=Inputs!$C$9,0,MIN(IF(ISERROR(VLOOKUP(BU$134+$F155,$D$135:$D$165,1,FALSE)),0,BT23*$C$2),MAX((IF(Monthly!#REF!=TRUE,Monthly!#REF!,Monthly!#REF!)*(1+'Attrition Modeling'!$N$8)-'IP Attrition'!BT$65)/12*'IP Attrition'!BT90,0)))</f>
        <v>#REF!</v>
      </c>
    </row>
    <row r="156" spans="1:73" ht="14.25" customHeight="1" x14ac:dyDescent="0.2">
      <c r="A156" s="9">
        <v>149</v>
      </c>
      <c r="B156" s="25">
        <f>MAX('Attrition Modeling'!H153,$C$3)*(1-Summary!$C$20)</f>
        <v>0.02</v>
      </c>
      <c r="C156" s="24" t="e">
        <f t="shared" si="3"/>
        <v>#DIV/0!</v>
      </c>
      <c r="D156" s="11">
        <f t="shared" si="72"/>
        <v>258</v>
      </c>
      <c r="E156" s="25">
        <f t="shared" si="71"/>
        <v>0</v>
      </c>
      <c r="F156" s="11">
        <f t="shared" si="73"/>
        <v>21</v>
      </c>
      <c r="G156" s="799"/>
      <c r="H156" s="799">
        <f>IF(EOMONTH(Inputs!$C$8,'IP Attrition'!H$134-1)&lt;=Inputs!$C$9,0,MIN(IF(ISERROR(VLOOKUP(H$134+$F156,$D$135:$D$165,1,FALSE)),0,G24*$C$2),MAX((IF(Monthly!D$4=TRUE,Monthly!D$13,Monthly!D$14)*(1+'Attrition Modeling'!$N$8)-'IP Attrition'!G$65)/12*'IP Attrition'!G91,0)))</f>
        <v>0</v>
      </c>
      <c r="I156" s="799">
        <f>IF(EOMONTH(Inputs!$C$8,'IP Attrition'!I$134-1)&lt;=Inputs!$C$9,0,MIN(IF(ISERROR(VLOOKUP(I$134+$F156,$D$135:$D$165,1,FALSE)),0,H24*$C$2),MAX((IF(Monthly!E$4=TRUE,Monthly!E$13,Monthly!E$14)*(1+'Attrition Modeling'!$N$8)-'IP Attrition'!H$65)/12*'IP Attrition'!H91,0)))</f>
        <v>0</v>
      </c>
      <c r="J156" s="799">
        <f>IF(EOMONTH(Inputs!$C$8,'IP Attrition'!J$134-1)&lt;=Inputs!$C$9,0,MIN(IF(ISERROR(VLOOKUP(J$134+$F156,$D$135:$D$165,1,FALSE)),0,I24*$C$2),MAX((IF(Monthly!F$4=TRUE,Monthly!F$13,Monthly!F$14)*(1+'Attrition Modeling'!$N$8)-'IP Attrition'!I$65)/12*'IP Attrition'!I91,0)))</f>
        <v>0</v>
      </c>
      <c r="K156" s="799">
        <f>IF(EOMONTH(Inputs!$C$8,'IP Attrition'!K$134-1)&lt;=Inputs!$C$9,0,MIN(IF(ISERROR(VLOOKUP(K$134+$F156,$D$135:$D$165,1,FALSE)),0,J24*$C$2),MAX((IF(Monthly!G$4=TRUE,Monthly!G$13,Monthly!G$14)*(1+'Attrition Modeling'!$N$8)-'IP Attrition'!J$65)/12*'IP Attrition'!J91,0)))</f>
        <v>0</v>
      </c>
      <c r="L156" s="799">
        <f>IF(EOMONTH(Inputs!$C$8,'IP Attrition'!L$134-1)&lt;=Inputs!$C$9,0,MIN(IF(ISERROR(VLOOKUP(L$134+$F156,$D$135:$D$165,1,FALSE)),0,K24*$C$2),MAX((IF(Monthly!H$4=TRUE,Monthly!H$13,Monthly!H$14)*(1+'Attrition Modeling'!$N$8)-'IP Attrition'!K$65)/12*'IP Attrition'!K91,0)))</f>
        <v>0</v>
      </c>
      <c r="M156" s="799">
        <f>IF(EOMONTH(Inputs!$C$8,'IP Attrition'!M$134-1)&lt;=Inputs!$C$9,0,MIN(IF(ISERROR(VLOOKUP(M$134+$F156,$D$135:$D$165,1,FALSE)),0,L24*$C$2),MAX((IF(Monthly!I$4=TRUE,Monthly!I$13,Monthly!I$14)*(1+'Attrition Modeling'!$N$8)-'IP Attrition'!L$65)/12*'IP Attrition'!L91,0)))</f>
        <v>0</v>
      </c>
      <c r="N156" s="799">
        <f>IF(EOMONTH(Inputs!$C$8,'IP Attrition'!N$134-1)&lt;=Inputs!$C$9,0,MIN(IF(ISERROR(VLOOKUP(N$134+$F156,$D$135:$D$165,1,FALSE)),0,M24*$C$2),MAX((IF(Monthly!J$4=TRUE,Monthly!J$13,Monthly!J$14)*(1+'Attrition Modeling'!$N$8)-'IP Attrition'!M$65)/12*'IP Attrition'!M91,0)))</f>
        <v>0</v>
      </c>
      <c r="O156" s="799">
        <f>IF(EOMONTH(Inputs!$C$8,'IP Attrition'!O$134-1)&lt;=Inputs!$C$9,0,MIN(IF(ISERROR(VLOOKUP(O$134+$F156,$D$135:$D$165,1,FALSE)),0,N24*$C$2),MAX((IF(Monthly!K$4=TRUE,Monthly!K$13,Monthly!K$14)*(1+'Attrition Modeling'!$N$8)-'IP Attrition'!N$65)/12*'IP Attrition'!N91,0)))</f>
        <v>0</v>
      </c>
      <c r="P156" s="799">
        <f>IF(EOMONTH(Inputs!$C$8,'IP Attrition'!P$134-1)&lt;=Inputs!$C$9,0,MIN(IF(ISERROR(VLOOKUP(P$134+$F156,$D$135:$D$165,1,FALSE)),0,O24*$C$2),MAX((IF(Monthly!L$4=TRUE,Monthly!L$13,Monthly!L$14)*(1+'Attrition Modeling'!$N$8)-'IP Attrition'!O$65)/12*'IP Attrition'!O91,0)))</f>
        <v>0</v>
      </c>
      <c r="Q156" s="799">
        <f>IF(EOMONTH(Inputs!$C$8,'IP Attrition'!Q$134-1)&lt;=Inputs!$C$9,0,MIN(IF(ISERROR(VLOOKUP(Q$134+$F156,$D$135:$D$165,1,FALSE)),0,P24*$C$2),MAX((IF(Monthly!M$4=TRUE,Monthly!M$13,Monthly!M$14)*(1+'Attrition Modeling'!$N$8)-'IP Attrition'!P$65)/12*'IP Attrition'!P91,0)))</f>
        <v>0</v>
      </c>
      <c r="R156" s="799">
        <f>IF(EOMONTH(Inputs!$C$8,'IP Attrition'!R$134-1)&lt;=Inputs!$C$9,0,MIN(IF(ISERROR(VLOOKUP(R$134+$F156,$D$135:$D$165,1,FALSE)),0,Q24*$C$2),MAX((IF(Monthly!N$4=TRUE,Monthly!N$13,Monthly!N$14)*(1+'Attrition Modeling'!$N$8)-'IP Attrition'!Q$65)/12*'IP Attrition'!Q91,0)))</f>
        <v>0</v>
      </c>
      <c r="S156" s="799">
        <f>IF(EOMONTH(Inputs!$C$8,'IP Attrition'!S$134-1)&lt;=Inputs!$C$9,0,MIN(IF(ISERROR(VLOOKUP(S$134+$F156,$D$135:$D$165,1,FALSE)),0,R24*$C$2),MAX((IF(Monthly!O$4=TRUE,Monthly!O$13,Monthly!O$14)*(1+'Attrition Modeling'!$N$8)-'IP Attrition'!R$65)/12*'IP Attrition'!R91,0)))</f>
        <v>0</v>
      </c>
      <c r="T156" s="799">
        <f>IF(EOMONTH(Inputs!$C$8,'IP Attrition'!T$134-1)&lt;=Inputs!$C$9,0,MIN(IF(ISERROR(VLOOKUP(T$134+$F156,$D$135:$D$165,1,FALSE)),0,S24*$C$2),MAX((IF(Monthly!P$4=TRUE,Monthly!P$13,Monthly!P$14)*(1+'Attrition Modeling'!$N$8)-'IP Attrition'!S$65)/12*'IP Attrition'!S91,0)))</f>
        <v>0</v>
      </c>
      <c r="U156" s="799">
        <f>IF(EOMONTH(Inputs!$C$8,'IP Attrition'!U$134-1)&lt;=Inputs!$C$9,0,MIN(IF(ISERROR(VLOOKUP(U$134+$F156,$D$135:$D$165,1,FALSE)),0,T24*$C$2),MAX((IF(Monthly!Q$4=TRUE,Monthly!Q$13,Monthly!Q$14)*(1+'Attrition Modeling'!$N$8)-'IP Attrition'!T$65)/12*'IP Attrition'!T91,0)))</f>
        <v>0</v>
      </c>
      <c r="V156" s="799">
        <f>IF(EOMONTH(Inputs!$C$8,'IP Attrition'!V$134-1)&lt;=Inputs!$C$9,0,MIN(IF(ISERROR(VLOOKUP(V$134+$F156,$D$135:$D$165,1,FALSE)),0,U24*$C$2),MAX((IF(Monthly!R$4=TRUE,Monthly!R$13,Monthly!R$14)*(1+'Attrition Modeling'!$N$8)-'IP Attrition'!U$65)/12*'IP Attrition'!U91,0)))</f>
        <v>0</v>
      </c>
      <c r="W156" s="799">
        <f>IF(EOMONTH(Inputs!$C$8,'IP Attrition'!W$134-1)&lt;=Inputs!$C$9,0,MIN(IF(ISERROR(VLOOKUP(W$134+$F156,$D$135:$D$165,1,FALSE)),0,V24*$C$2),MAX((IF(Monthly!S$4=TRUE,Monthly!S$13,Monthly!S$14)*(1+'Attrition Modeling'!$N$8)-'IP Attrition'!V$65)/12*'IP Attrition'!V91,0)))</f>
        <v>0</v>
      </c>
      <c r="X156" s="799">
        <f>IF(EOMONTH(Inputs!$C$8,'IP Attrition'!X$134-1)&lt;=Inputs!$C$9,0,MIN(IF(ISERROR(VLOOKUP(X$134+$F156,$D$135:$D$165,1,FALSE)),0,W24*$C$2),MAX((IF(Monthly!T$4=TRUE,Monthly!T$13,Monthly!T$14)*(1+'Attrition Modeling'!$N$8)-'IP Attrition'!W$65)/12*'IP Attrition'!W91,0)))</f>
        <v>0</v>
      </c>
      <c r="Y156" s="799">
        <f>IF(EOMONTH(Inputs!$C$8,'IP Attrition'!Y$134-1)&lt;=Inputs!$C$9,0,MIN(IF(ISERROR(VLOOKUP(Y$134+$F156,$D$135:$D$165,1,FALSE)),0,X24*$C$2),MAX((IF(Monthly!U$4=TRUE,Monthly!U$13,Monthly!U$14)*(1+'Attrition Modeling'!$N$8)-'IP Attrition'!X$65)/12*'IP Attrition'!X91,0)))</f>
        <v>0</v>
      </c>
      <c r="Z156" s="799">
        <f>IF(EOMONTH(Inputs!$C$8,'IP Attrition'!Z$134-1)&lt;=Inputs!$C$9,0,MIN(IF(ISERROR(VLOOKUP(Z$134+$F156,$D$135:$D$165,1,FALSE)),0,Y24*$C$2),MAX((IF(Monthly!V$4=TRUE,Monthly!V$13,Monthly!V$14)*(1+'Attrition Modeling'!$N$8)-'IP Attrition'!Y$65)/12*'IP Attrition'!Y91,0)))</f>
        <v>0</v>
      </c>
      <c r="AA156" s="799">
        <f>IF(EOMONTH(Inputs!$C$8,'IP Attrition'!AA$134-1)&lt;=Inputs!$C$9,0,MIN(IF(ISERROR(VLOOKUP(AA$134+$F156,$D$135:$D$165,1,FALSE)),0,Z24*$C$2),MAX((IF(Monthly!W$4=TRUE,Monthly!W$13,Monthly!W$14)*(1+'Attrition Modeling'!$N$8)-'IP Attrition'!Z$65)/12*'IP Attrition'!Z91,0)))</f>
        <v>0</v>
      </c>
      <c r="AB156" s="799">
        <f>IF(EOMONTH(Inputs!$C$8,'IP Attrition'!AB$134-1)&lt;=Inputs!$C$9,0,MIN(IF(ISERROR(VLOOKUP(AB$134+$F156,$D$135:$D$165,1,FALSE)),0,AA24*$C$2),MAX((IF(Monthly!X$4=TRUE,Monthly!X$13,Monthly!X$14)*(1+'Attrition Modeling'!$N$8)-'IP Attrition'!AA$65)/12*'IP Attrition'!AA91,0)))</f>
        <v>0</v>
      </c>
      <c r="AC156" s="799">
        <f>IF(EOMONTH(Inputs!$C$8,'IP Attrition'!AC$134-1)&lt;=Inputs!$C$9,0,MIN(IF(ISERROR(VLOOKUP(AC$134+$F156,$D$135:$D$165,1,FALSE)),0,AB24*$C$2),MAX((IF(Monthly!Y$4=TRUE,Monthly!Y$13,Monthly!Y$14)*(1+'Attrition Modeling'!$N$8)-'IP Attrition'!AB$65)/12*'IP Attrition'!AB91,0)))</f>
        <v>0</v>
      </c>
      <c r="AD156" s="799">
        <f>IF(EOMONTH(Inputs!$C$8,'IP Attrition'!AD$134-1)&lt;=Inputs!$C$9,0,MIN(IF(ISERROR(VLOOKUP(AD$134+$F156,$D$135:$D$165,1,FALSE)),0,AC24*$C$2),MAX((IF(Monthly!Z$4=TRUE,Monthly!Z$13,Monthly!Z$14)*(1+'Attrition Modeling'!$N$8)-'IP Attrition'!AC$65)/12*'IP Attrition'!AC91,0)))</f>
        <v>0</v>
      </c>
      <c r="AE156" s="799">
        <f>IF(EOMONTH(Inputs!$C$8,'IP Attrition'!AE$134-1)&lt;=Inputs!$C$9,0,MIN(IF(ISERROR(VLOOKUP(AE$134+$F156,$D$135:$D$165,1,FALSE)),0,AD24*$C$2),MAX((IF(Monthly!AA$4=TRUE,Monthly!AA$13,Monthly!AA$14)*(1+'Attrition Modeling'!$N$8)-'IP Attrition'!AD$65)/12*'IP Attrition'!AD91,0)))</f>
        <v>0</v>
      </c>
      <c r="AF156" s="799">
        <f>IF(EOMONTH(Inputs!$C$8,'IP Attrition'!AF$134-1)&lt;=Inputs!$C$9,0,MIN(IF(ISERROR(VLOOKUP(AF$134+$F156,$D$135:$D$165,1,FALSE)),0,AE24*$C$2),MAX((IF(Monthly!AB$4=TRUE,Monthly!AB$13,Monthly!AB$14)*(1+'Attrition Modeling'!$N$8)-'IP Attrition'!AE$65)/12*'IP Attrition'!AE91,0)))</f>
        <v>0</v>
      </c>
      <c r="AG156" s="799">
        <f>IF(EOMONTH(Inputs!$C$8,'IP Attrition'!AG$134-1)&lt;=Inputs!$C$9,0,MIN(IF(ISERROR(VLOOKUP(AG$134+$F156,$D$135:$D$165,1,FALSE)),0,AF24*$C$2),MAX((IF(Monthly!AC$4=TRUE,Monthly!AC$13,Monthly!AC$14)*(1+'Attrition Modeling'!$N$8)-'IP Attrition'!AF$65)/12*'IP Attrition'!AF91,0)))</f>
        <v>0</v>
      </c>
      <c r="AH156" s="799">
        <f>IF(EOMONTH(Inputs!$C$8,'IP Attrition'!AH$134-1)&lt;=Inputs!$C$9,0,MIN(IF(ISERROR(VLOOKUP(AH$134+$F156,$D$135:$D$165,1,FALSE)),0,AG24*$C$2),MAX((IF(Monthly!AD$4=TRUE,Monthly!AD$13,Monthly!AD$14)*(1+'Attrition Modeling'!$N$8)-'IP Attrition'!AG$65)/12*'IP Attrition'!AG91,0)))</f>
        <v>0</v>
      </c>
      <c r="AI156" s="799">
        <f>IF(EOMONTH(Inputs!$C$8,'IP Attrition'!AI$134-1)&lt;=Inputs!$C$9,0,MIN(IF(ISERROR(VLOOKUP(AI$134+$F156,$D$135:$D$165,1,FALSE)),0,AH24*$C$2),MAX((IF(Monthly!AE$4=TRUE,Monthly!AE$13,Monthly!AE$14)*(1+'Attrition Modeling'!$N$8)-'IP Attrition'!AH$65)/12*'IP Attrition'!AH91,0)))</f>
        <v>0</v>
      </c>
      <c r="AJ156" s="799">
        <f>IF(EOMONTH(Inputs!$C$8,'IP Attrition'!AJ$134-1)&lt;=Inputs!$C$9,0,MIN(IF(ISERROR(VLOOKUP(AJ$134+$F156,$D$135:$D$165,1,FALSE)),0,AI24*$C$2),MAX((IF(Monthly!AF$4=TRUE,Monthly!AF$13,Monthly!AF$14)*(1+'Attrition Modeling'!$N$8)-'IP Attrition'!AI$65)/12*'IP Attrition'!AI91,0)))</f>
        <v>0</v>
      </c>
      <c r="AK156" s="799">
        <f>IF(EOMONTH(Inputs!$C$8,'IP Attrition'!AK$134-1)&lt;=Inputs!$C$9,0,MIN(IF(ISERROR(VLOOKUP(AK$134+$F156,$D$135:$D$165,1,FALSE)),0,AJ24*$C$2),MAX((IF(Monthly!AG$4=TRUE,Monthly!AG$13,Monthly!AG$14)*(1+'Attrition Modeling'!$N$8)-'IP Attrition'!AJ$65)/12*'IP Attrition'!AJ91,0)))</f>
        <v>0</v>
      </c>
      <c r="AL156" s="799">
        <f>IF(EOMONTH(Inputs!$C$8,'IP Attrition'!AL$134-1)&lt;=Inputs!$C$9,0,MIN(IF(ISERROR(VLOOKUP(AL$134+$F156,$D$135:$D$165,1,FALSE)),0,AK24*$C$2),MAX((IF(Monthly!AH$4=TRUE,Monthly!AH$13,Monthly!AH$14)*(1+'Attrition Modeling'!$N$8)-'IP Attrition'!AK$65)/12*'IP Attrition'!AK91,0)))</f>
        <v>0</v>
      </c>
      <c r="AM156" s="799">
        <f>IF(EOMONTH(Inputs!$C$8,'IP Attrition'!AM$134-1)&lt;=Inputs!$C$9,0,MIN(IF(ISERROR(VLOOKUP(AM$134+$F156,$D$135:$D$165,1,FALSE)),0,AL24*$C$2),MAX((IF(Monthly!AI$4=TRUE,Monthly!AI$13,Monthly!AI$14)*(1+'Attrition Modeling'!$N$8)-'IP Attrition'!AL$65)/12*'IP Attrition'!AL91,0)))</f>
        <v>0</v>
      </c>
      <c r="AN156" s="799">
        <f>IF(EOMONTH(Inputs!$C$8,'IP Attrition'!AN$134-1)&lt;=Inputs!$C$9,0,MIN(IF(ISERROR(VLOOKUP(AN$134+$F156,$D$135:$D$165,1,FALSE)),0,AM24*$C$2),MAX((IF(Monthly!AJ$4=TRUE,Monthly!AJ$13,Monthly!AJ$14)*(1+'Attrition Modeling'!$N$8)-'IP Attrition'!AM$65)/12*'IP Attrition'!AM91,0)))</f>
        <v>0</v>
      </c>
      <c r="AO156" s="799">
        <f>IF(EOMONTH(Inputs!$C$8,'IP Attrition'!AO$134-1)&lt;=Inputs!$C$9,0,MIN(IF(ISERROR(VLOOKUP(AO$134+$F156,$D$135:$D$165,1,FALSE)),0,AN24*$C$2),MAX((IF(Monthly!AK$4=TRUE,Monthly!AK$13,Monthly!AK$14)*(1+'Attrition Modeling'!$N$8)-'IP Attrition'!AN$65)/12*'IP Attrition'!AN91,0)))</f>
        <v>0</v>
      </c>
      <c r="AP156" s="799">
        <f>IF(EOMONTH(Inputs!$C$8,'IP Attrition'!AP$134-1)&lt;=Inputs!$C$9,0,MIN(IF(ISERROR(VLOOKUP(AP$134+$F156,$D$135:$D$165,1,FALSE)),0,AO24*$C$2),MAX((IF(Monthly!AL$4=TRUE,Monthly!AL$13,Monthly!AL$14)*(1+'Attrition Modeling'!$N$8)-'IP Attrition'!AO$65)/12*'IP Attrition'!AO91,0)))</f>
        <v>0</v>
      </c>
      <c r="AQ156" s="799">
        <f>IF(EOMONTH(Inputs!$C$8,'IP Attrition'!AQ$134-1)&lt;=Inputs!$C$9,0,MIN(IF(ISERROR(VLOOKUP(AQ$134+$F156,$D$135:$D$165,1,FALSE)),0,AP24*$C$2),MAX((IF(Monthly!AM$4=TRUE,Monthly!AM$13,Monthly!AM$14)*(1+'Attrition Modeling'!$N$8)-'IP Attrition'!AP$65)/12*'IP Attrition'!AP91,0)))</f>
        <v>0</v>
      </c>
      <c r="AR156" s="799">
        <f>IF(EOMONTH(Inputs!$C$8,'IP Attrition'!AR$134-1)&lt;=Inputs!$C$9,0,MIN(IF(ISERROR(VLOOKUP(AR$134+$F156,$D$135:$D$165,1,FALSE)),0,AQ24*$C$2),MAX((IF(Monthly!AN$4=TRUE,Monthly!AN$13,Monthly!AN$14)*(1+'Attrition Modeling'!$N$8)-'IP Attrition'!AQ$65)/12*'IP Attrition'!AQ91,0)))</f>
        <v>0</v>
      </c>
      <c r="AS156" s="799">
        <f>IF(EOMONTH(Inputs!$C$8,'IP Attrition'!AS$134-1)&lt;=Inputs!$C$9,0,MIN(IF(ISERROR(VLOOKUP(AS$134+$F156,$D$135:$D$165,1,FALSE)),0,AR24*$C$2),MAX((IF(Monthly!AO$4=TRUE,Monthly!AO$13,Monthly!AO$14)*(1+'Attrition Modeling'!$N$8)-'IP Attrition'!AR$65)/12*'IP Attrition'!AR91,0)))</f>
        <v>0</v>
      </c>
      <c r="AT156" s="799">
        <f>IF(EOMONTH(Inputs!$C$8,'IP Attrition'!AT$134-1)&lt;=Inputs!$C$9,0,MIN(IF(ISERROR(VLOOKUP(AT$134+$F156,$D$135:$D$165,1,FALSE)),0,AS24*$C$2),MAX((IF(Monthly!AP$4=TRUE,Monthly!AP$13,Monthly!AP$14)*(1+'Attrition Modeling'!$N$8)-'IP Attrition'!AS$65)/12*'IP Attrition'!AS91,0)))</f>
        <v>0</v>
      </c>
      <c r="AU156" s="799">
        <f>IF(EOMONTH(Inputs!$C$8,'IP Attrition'!AU$134-1)&lt;=Inputs!$C$9,0,MIN(IF(ISERROR(VLOOKUP(AU$134+$F156,$D$135:$D$165,1,FALSE)),0,AT24*$C$2),MAX((IF(Monthly!AQ$4=TRUE,Monthly!AQ$13,Monthly!AQ$14)*(1+'Attrition Modeling'!$N$8)-'IP Attrition'!AT$65)/12*'IP Attrition'!AT91,0)))</f>
        <v>0</v>
      </c>
      <c r="AV156" s="799">
        <f>IF(EOMONTH(Inputs!$C$8,'IP Attrition'!AV$134-1)&lt;=Inputs!$C$9,0,MIN(IF(ISERROR(VLOOKUP(AV$134+$F156,$D$135:$D$165,1,FALSE)),0,AU24*$C$2),MAX((IF(Monthly!AR$4=TRUE,Monthly!AR$13,Monthly!AR$14)*(1+'Attrition Modeling'!$N$8)-'IP Attrition'!AU$65)/12*'IP Attrition'!AU91,0)))</f>
        <v>0</v>
      </c>
      <c r="AW156" s="799">
        <f>IF(EOMONTH(Inputs!$C$8,'IP Attrition'!AW$134-1)&lt;=Inputs!$C$9,0,MIN(IF(ISERROR(VLOOKUP(AW$134+$F156,$D$135:$D$165,1,FALSE)),0,AV24*$C$2),MAX((IF(Monthly!AS$4=TRUE,Monthly!AS$13,Monthly!AS$14)*(1+'Attrition Modeling'!$N$8)-'IP Attrition'!AV$65)/12*'IP Attrition'!AV91,0)))</f>
        <v>0</v>
      </c>
      <c r="AX156" s="799">
        <f>IF(EOMONTH(Inputs!$C$8,'IP Attrition'!AX$134-1)&lt;=Inputs!$C$9,0,MIN(IF(ISERROR(VLOOKUP(AX$134+$F156,$D$135:$D$165,1,FALSE)),0,AW24*$C$2),MAX((IF(Monthly!AT$4=TRUE,Monthly!AT$13,Monthly!AT$14)*(1+'Attrition Modeling'!$N$8)-'IP Attrition'!AW$65)/12*'IP Attrition'!AW91,0)))</f>
        <v>0</v>
      </c>
      <c r="AY156" s="799">
        <f>IF(EOMONTH(Inputs!$C$8,'IP Attrition'!AY$134-1)&lt;=Inputs!$C$9,0,MIN(IF(ISERROR(VLOOKUP(AY$134+$F156,$D$135:$D$165,1,FALSE)),0,AX24*$C$2),MAX((IF(Monthly!AU$4=TRUE,Monthly!AU$13,Monthly!AU$14)*(1+'Attrition Modeling'!$N$8)-'IP Attrition'!AX$65)/12*'IP Attrition'!AX91,0)))</f>
        <v>0</v>
      </c>
      <c r="AZ156" s="799">
        <f>IF(EOMONTH(Inputs!$C$8,'IP Attrition'!AZ$134-1)&lt;=Inputs!$C$9,0,MIN(IF(ISERROR(VLOOKUP(AZ$134+$F156,$D$135:$D$165,1,FALSE)),0,AY24*$C$2),MAX((IF(Monthly!AV$4=TRUE,Monthly!AV$13,Monthly!AV$14)*(1+'Attrition Modeling'!$N$8)-'IP Attrition'!AY$65)/12*'IP Attrition'!AY91,0)))</f>
        <v>0</v>
      </c>
      <c r="BA156" s="799">
        <f>IF(EOMONTH(Inputs!$C$8,'IP Attrition'!BA$134-1)&lt;=Inputs!$C$9,0,MIN(IF(ISERROR(VLOOKUP(BA$134+$F156,$D$135:$D$165,1,FALSE)),0,AZ24*$C$2),MAX((IF(Monthly!AW$4=TRUE,Monthly!AW$13,Monthly!AW$14)*(1+'Attrition Modeling'!$N$8)-'IP Attrition'!AZ$65)/12*'IP Attrition'!AZ91,0)))</f>
        <v>0</v>
      </c>
      <c r="BB156" s="799">
        <f>IF(EOMONTH(Inputs!$C$8,'IP Attrition'!BB$134-1)&lt;=Inputs!$C$9,0,MIN(IF(ISERROR(VLOOKUP(BB$134+$F156,$D$135:$D$165,1,FALSE)),0,BA24*$C$2),MAX((IF(Monthly!AX$4=TRUE,Monthly!AX$13,Monthly!AX$14)*(1+'Attrition Modeling'!$N$8)-'IP Attrition'!BA$65)/12*'IP Attrition'!BA91,0)))</f>
        <v>0</v>
      </c>
      <c r="BC156" s="799">
        <f>IF(EOMONTH(Inputs!$C$8,'IP Attrition'!BC$134-1)&lt;=Inputs!$C$9,0,MIN(IF(ISERROR(VLOOKUP(BC$134+$F156,$D$135:$D$165,1,FALSE)),0,BB24*$C$2),MAX((IF(Monthly!AY$4=TRUE,Monthly!AY$13,Monthly!AY$14)*(1+'Attrition Modeling'!$N$8)-'IP Attrition'!BB$65)/12*'IP Attrition'!BB91,0)))</f>
        <v>0</v>
      </c>
      <c r="BD156" s="799">
        <f>IF(EOMONTH(Inputs!$C$8,'IP Attrition'!BD$134-1)&lt;=Inputs!$C$9,0,MIN(IF(ISERROR(VLOOKUP(BD$134+$F156,$D$135:$D$165,1,FALSE)),0,BC24*$C$2),MAX((IF(Monthly!AZ$4=TRUE,Monthly!AZ$13,Monthly!AZ$14)*(1+'Attrition Modeling'!$N$8)-'IP Attrition'!BC$65)/12*'IP Attrition'!BC91,0)))</f>
        <v>0</v>
      </c>
      <c r="BE156" s="799">
        <f>IF(EOMONTH(Inputs!$C$8,'IP Attrition'!BE$134-1)&lt;=Inputs!$C$9,0,MIN(IF(ISERROR(VLOOKUP(BE$134+$F156,$D$135:$D$165,1,FALSE)),0,BD24*$C$2),MAX((IF(Monthly!BA$4=TRUE,Monthly!BA$13,Monthly!BA$14)*(1+'Attrition Modeling'!$N$8)-'IP Attrition'!BD$65)/12*'IP Attrition'!BD91,0)))</f>
        <v>0</v>
      </c>
      <c r="BF156" s="799">
        <f>IF(EOMONTH(Inputs!$C$8,'IP Attrition'!BF$134-1)&lt;=Inputs!$C$9,0,MIN(IF(ISERROR(VLOOKUP(BF$134+$F156,$D$135:$D$165,1,FALSE)),0,BE24*$C$2),MAX((IF(Monthly!BB$4=TRUE,Monthly!BB$13,Monthly!BB$14)*(1+'Attrition Modeling'!$N$8)-'IP Attrition'!BE$65)/12*'IP Attrition'!BE91,0)))</f>
        <v>0</v>
      </c>
      <c r="BG156" s="799">
        <f>IF(EOMONTH(Inputs!$C$8,'IP Attrition'!BG$134-1)&lt;=Inputs!$C$9,0,MIN(IF(ISERROR(VLOOKUP(BG$134+$F156,$D$135:$D$165,1,FALSE)),0,BF24*$C$2),MAX((IF(Monthly!BC$4=TRUE,Monthly!BC$13,Monthly!BC$14)*(1+'Attrition Modeling'!$N$8)-'IP Attrition'!BF$65)/12*'IP Attrition'!BF91,0)))</f>
        <v>0</v>
      </c>
      <c r="BH156" s="799">
        <f>IF(EOMONTH(Inputs!$C$8,'IP Attrition'!BH$134-1)&lt;=Inputs!$C$9,0,MIN(IF(ISERROR(VLOOKUP(BH$134+$F156,$D$135:$D$165,1,FALSE)),0,BG24*$C$2),MAX((IF(Monthly!BD$4=TRUE,Monthly!BD$13,Monthly!BD$14)*(1+'Attrition Modeling'!$N$8)-'IP Attrition'!BG$65)/12*'IP Attrition'!BG91,0)))</f>
        <v>0</v>
      </c>
      <c r="BI156" s="799">
        <f>IF(EOMONTH(Inputs!$C$8,'IP Attrition'!BI$134-1)&lt;=Inputs!$C$9,0,MIN(IF(ISERROR(VLOOKUP(BI$134+$F156,$D$135:$D$165,1,FALSE)),0,BH24*$C$2),MAX((IF(Monthly!BE$4=TRUE,Monthly!BE$13,Monthly!BE$14)*(1+'Attrition Modeling'!$N$8)-'IP Attrition'!BH$65)/12*'IP Attrition'!BH91,0)))</f>
        <v>0</v>
      </c>
      <c r="BJ156" s="799">
        <f>IF(EOMONTH(Inputs!$C$8,'IP Attrition'!BJ$134-1)&lt;=Inputs!$C$9,0,MIN(IF(ISERROR(VLOOKUP(BJ$134+$F156,$D$135:$D$165,1,FALSE)),0,BI24*$C$2),MAX((IF(Monthly!BF$4=TRUE,Monthly!BF$13,Monthly!BF$14)*(1+'Attrition Modeling'!$N$8)-'IP Attrition'!BI$65)/12*'IP Attrition'!BI91,0)))</f>
        <v>0</v>
      </c>
      <c r="BK156" s="799">
        <f>IF(EOMONTH(Inputs!$C$8,'IP Attrition'!BK$134-1)&lt;=Inputs!$C$9,0,MIN(IF(ISERROR(VLOOKUP(BK$134+$F156,$D$135:$D$165,1,FALSE)),0,BJ24*$C$2),MAX((IF(Monthly!BG$4=TRUE,Monthly!BG$13,Monthly!BG$14)*(1+'Attrition Modeling'!$N$8)-'IP Attrition'!BJ$65)/12*'IP Attrition'!BJ91,0)))</f>
        <v>0</v>
      </c>
      <c r="BL156" s="799">
        <f>IF(EOMONTH(Inputs!$C$8,'IP Attrition'!BL$134-1)&lt;=Inputs!$C$9,0,MIN(IF(ISERROR(VLOOKUP(BL$134+$F156,$D$135:$D$165,1,FALSE)),0,BK24*$C$2),MAX((IF(Monthly!BH$4=TRUE,Monthly!BH$13,Monthly!BH$14)*(1+'Attrition Modeling'!$N$8)-'IP Attrition'!BK$65)/12*'IP Attrition'!BK91,0)))</f>
        <v>0</v>
      </c>
      <c r="BM156" s="799">
        <f>IF(EOMONTH(Inputs!$C$8,'IP Attrition'!BM$134-1)&lt;=Inputs!$C$9,0,MIN(IF(ISERROR(VLOOKUP(BM$134+$F156,$D$135:$D$165,1,FALSE)),0,BL24*$C$2),MAX((IF(Monthly!BI$4=TRUE,Monthly!BI$13,Monthly!BI$14)*(1+'Attrition Modeling'!$N$8)-'IP Attrition'!BL$65)/12*'IP Attrition'!BL91,0)))</f>
        <v>0</v>
      </c>
      <c r="BN156" s="799">
        <f>IF(EOMONTH(Inputs!$C$8,'IP Attrition'!BN$134-1)&lt;=Inputs!$C$9,0,MIN(IF(ISERROR(VLOOKUP(BN$134+$F156,$D$135:$D$165,1,FALSE)),0,BM24*$C$2),MAX((IF(Monthly!BJ$4=TRUE,Monthly!BJ$13,Monthly!BJ$14)*(1+'Attrition Modeling'!$N$8)-'IP Attrition'!BM$65)/12*'IP Attrition'!BM91,0)))</f>
        <v>0</v>
      </c>
      <c r="BO156" s="799">
        <f>IF(EOMONTH(Inputs!$C$8,'IP Attrition'!BO$134-1)&lt;=Inputs!$C$9,0,MIN(IF(ISERROR(VLOOKUP(BO$134+$F156,$D$135:$D$165,1,FALSE)),0,BN24*$C$2),MAX((IF(Monthly!BK$4=TRUE,Monthly!BK$13,Monthly!BK$14)*(1+'Attrition Modeling'!$N$8)-'IP Attrition'!BN$65)/12*'IP Attrition'!BN91,0)))</f>
        <v>0</v>
      </c>
      <c r="BP156" s="799">
        <f>IF(EOMONTH(Inputs!$C$8,'IP Attrition'!BP$134-1)&lt;=Inputs!$C$9,0,MIN(IF(ISERROR(VLOOKUP(BP$134+$F156,$D$135:$D$165,1,FALSE)),0,BO24*$C$2),MAX((IF(Monthly!BL$4=TRUE,Monthly!BL$13,Monthly!BL$14)*(1+'Attrition Modeling'!$N$8)-'IP Attrition'!BO$65)/12*'IP Attrition'!BO91,0)))</f>
        <v>0</v>
      </c>
      <c r="BQ156" s="799">
        <f>IF(EOMONTH(Inputs!$C$8,'IP Attrition'!BQ$134-1)&lt;=Inputs!$C$9,0,MIN(IF(ISERROR(VLOOKUP(BQ$134+$F156,$D$135:$D$165,1,FALSE)),0,BP24*$C$2),MAX((IF(Monthly!BM$4=TRUE,Monthly!BM$13,Monthly!BM$14)*(1+'Attrition Modeling'!$N$8)-'IP Attrition'!BP$65)/12*'IP Attrition'!BP91,0)))</f>
        <v>0</v>
      </c>
      <c r="BR156" s="799">
        <f>IF(EOMONTH(Inputs!$C$8,'IP Attrition'!BR$134-1)&lt;=Inputs!$C$9,0,MIN(IF(ISERROR(VLOOKUP(BR$134+$F156,$D$135:$D$165,1,FALSE)),0,BQ24*$C$2),MAX((IF(Monthly!BN$4=TRUE,Monthly!BN$13,Monthly!BN$14)*(1+'Attrition Modeling'!$N$8)-'IP Attrition'!BQ$65)/12*'IP Attrition'!BQ91,0)))</f>
        <v>0</v>
      </c>
      <c r="BS156" s="799">
        <f>IF(EOMONTH(Inputs!$C$8,'IP Attrition'!BS$134-1)&lt;=Inputs!$C$9,0,MIN(IF(ISERROR(VLOOKUP(BS$134+$F156,$D$135:$D$165,1,FALSE)),0,BR24*$C$2),MAX((IF(Monthly!BO$4=TRUE,Monthly!BO$13,Monthly!BO$14)*(1+'Attrition Modeling'!$N$8)-'IP Attrition'!BR$65)/12*'IP Attrition'!BR91,0)))</f>
        <v>0</v>
      </c>
      <c r="BT156" s="799" t="e">
        <f>IF(EOMONTH(Inputs!$C$8,'IP Attrition'!BT$134-1)&lt;=Inputs!$C$9,0,MIN(IF(ISERROR(VLOOKUP(BT$134+$F156,$D$135:$D$165,1,FALSE)),0,BS24*$C$2),MAX((IF(Monthly!#REF!=TRUE,Monthly!#REF!,Monthly!#REF!)*(1+'Attrition Modeling'!$N$8)-'IP Attrition'!BS$65)/12*'IP Attrition'!BS91,0)))</f>
        <v>#REF!</v>
      </c>
      <c r="BU156" s="799" t="e">
        <f>IF(EOMONTH(Inputs!$C$8,'IP Attrition'!BU$134-1)&lt;=Inputs!$C$9,0,MIN(IF(ISERROR(VLOOKUP(BU$134+$F156,$D$135:$D$165,1,FALSE)),0,BT24*$C$2),MAX((IF(Monthly!#REF!=TRUE,Monthly!#REF!,Monthly!#REF!)*(1+'Attrition Modeling'!$N$8)-'IP Attrition'!BT$65)/12*'IP Attrition'!BT91,0)))</f>
        <v>#REF!</v>
      </c>
    </row>
    <row r="157" spans="1:73" ht="14.25" customHeight="1" x14ac:dyDescent="0.2">
      <c r="A157" s="9">
        <v>150</v>
      </c>
      <c r="B157" s="25">
        <f>MAX('Attrition Modeling'!H154,$C$3)*(1-Summary!$C$20)</f>
        <v>0.02</v>
      </c>
      <c r="C157" s="24" t="e">
        <f t="shared" si="3"/>
        <v>#DIV/0!</v>
      </c>
      <c r="D157" s="11">
        <f t="shared" si="72"/>
        <v>270</v>
      </c>
      <c r="E157" s="25">
        <f t="shared" si="71"/>
        <v>0</v>
      </c>
      <c r="F157" s="11">
        <f t="shared" si="73"/>
        <v>22</v>
      </c>
      <c r="G157" s="799"/>
      <c r="H157" s="799">
        <f>IF(EOMONTH(Inputs!$C$8,'IP Attrition'!H$134-1)&lt;=Inputs!$C$9,0,MIN(IF(ISERROR(VLOOKUP(H$134+$F157,$D$135:$D$165,1,FALSE)),0,G25*$C$2),MAX((IF(Monthly!D$4=TRUE,Monthly!D$13,Monthly!D$14)*(1+'Attrition Modeling'!$N$8)-'IP Attrition'!G$65)/12*'IP Attrition'!G92,0)))</f>
        <v>0</v>
      </c>
      <c r="I157" s="799">
        <f>IF(EOMONTH(Inputs!$C$8,'IP Attrition'!I$134-1)&lt;=Inputs!$C$9,0,MIN(IF(ISERROR(VLOOKUP(I$134+$F157,$D$135:$D$165,1,FALSE)),0,H25*$C$2),MAX((IF(Monthly!E$4=TRUE,Monthly!E$13,Monthly!E$14)*(1+'Attrition Modeling'!$N$8)-'IP Attrition'!H$65)/12*'IP Attrition'!H92,0)))</f>
        <v>0</v>
      </c>
      <c r="J157" s="799">
        <f>IF(EOMONTH(Inputs!$C$8,'IP Attrition'!J$134-1)&lt;=Inputs!$C$9,0,MIN(IF(ISERROR(VLOOKUP(J$134+$F157,$D$135:$D$165,1,FALSE)),0,I25*$C$2),MAX((IF(Monthly!F$4=TRUE,Monthly!F$13,Monthly!F$14)*(1+'Attrition Modeling'!$N$8)-'IP Attrition'!I$65)/12*'IP Attrition'!I92,0)))</f>
        <v>0</v>
      </c>
      <c r="K157" s="799">
        <f>IF(EOMONTH(Inputs!$C$8,'IP Attrition'!K$134-1)&lt;=Inputs!$C$9,0,MIN(IF(ISERROR(VLOOKUP(K$134+$F157,$D$135:$D$165,1,FALSE)),0,J25*$C$2),MAX((IF(Monthly!G$4=TRUE,Monthly!G$13,Monthly!G$14)*(1+'Attrition Modeling'!$N$8)-'IP Attrition'!J$65)/12*'IP Attrition'!J92,0)))</f>
        <v>0</v>
      </c>
      <c r="L157" s="799">
        <f>IF(EOMONTH(Inputs!$C$8,'IP Attrition'!L$134-1)&lt;=Inputs!$C$9,0,MIN(IF(ISERROR(VLOOKUP(L$134+$F157,$D$135:$D$165,1,FALSE)),0,K25*$C$2),MAX((IF(Monthly!H$4=TRUE,Monthly!H$13,Monthly!H$14)*(1+'Attrition Modeling'!$N$8)-'IP Attrition'!K$65)/12*'IP Attrition'!K92,0)))</f>
        <v>0</v>
      </c>
      <c r="M157" s="799">
        <f>IF(EOMONTH(Inputs!$C$8,'IP Attrition'!M$134-1)&lt;=Inputs!$C$9,0,MIN(IF(ISERROR(VLOOKUP(M$134+$F157,$D$135:$D$165,1,FALSE)),0,L25*$C$2),MAX((IF(Monthly!I$4=TRUE,Monthly!I$13,Monthly!I$14)*(1+'Attrition Modeling'!$N$8)-'IP Attrition'!L$65)/12*'IP Attrition'!L92,0)))</f>
        <v>0</v>
      </c>
      <c r="N157" s="799">
        <f>IF(EOMONTH(Inputs!$C$8,'IP Attrition'!N$134-1)&lt;=Inputs!$C$9,0,MIN(IF(ISERROR(VLOOKUP(N$134+$F157,$D$135:$D$165,1,FALSE)),0,M25*$C$2),MAX((IF(Monthly!J$4=TRUE,Monthly!J$13,Monthly!J$14)*(1+'Attrition Modeling'!$N$8)-'IP Attrition'!M$65)/12*'IP Attrition'!M92,0)))</f>
        <v>0</v>
      </c>
      <c r="O157" s="799">
        <f>IF(EOMONTH(Inputs!$C$8,'IP Attrition'!O$134-1)&lt;=Inputs!$C$9,0,MIN(IF(ISERROR(VLOOKUP(O$134+$F157,$D$135:$D$165,1,FALSE)),0,N25*$C$2),MAX((IF(Monthly!K$4=TRUE,Monthly!K$13,Monthly!K$14)*(1+'Attrition Modeling'!$N$8)-'IP Attrition'!N$65)/12*'IP Attrition'!N92,0)))</f>
        <v>0</v>
      </c>
      <c r="P157" s="799">
        <f>IF(EOMONTH(Inputs!$C$8,'IP Attrition'!P$134-1)&lt;=Inputs!$C$9,0,MIN(IF(ISERROR(VLOOKUP(P$134+$F157,$D$135:$D$165,1,FALSE)),0,O25*$C$2),MAX((IF(Monthly!L$4=TRUE,Monthly!L$13,Monthly!L$14)*(1+'Attrition Modeling'!$N$8)-'IP Attrition'!O$65)/12*'IP Attrition'!O92,0)))</f>
        <v>0</v>
      </c>
      <c r="Q157" s="799">
        <f>IF(EOMONTH(Inputs!$C$8,'IP Attrition'!Q$134-1)&lt;=Inputs!$C$9,0,MIN(IF(ISERROR(VLOOKUP(Q$134+$F157,$D$135:$D$165,1,FALSE)),0,P25*$C$2),MAX((IF(Monthly!M$4=TRUE,Monthly!M$13,Monthly!M$14)*(1+'Attrition Modeling'!$N$8)-'IP Attrition'!P$65)/12*'IP Attrition'!P92,0)))</f>
        <v>0</v>
      </c>
      <c r="R157" s="799">
        <f>IF(EOMONTH(Inputs!$C$8,'IP Attrition'!R$134-1)&lt;=Inputs!$C$9,0,MIN(IF(ISERROR(VLOOKUP(R$134+$F157,$D$135:$D$165,1,FALSE)),0,Q25*$C$2),MAX((IF(Monthly!N$4=TRUE,Monthly!N$13,Monthly!N$14)*(1+'Attrition Modeling'!$N$8)-'IP Attrition'!Q$65)/12*'IP Attrition'!Q92,0)))</f>
        <v>0</v>
      </c>
      <c r="S157" s="799">
        <f>IF(EOMONTH(Inputs!$C$8,'IP Attrition'!S$134-1)&lt;=Inputs!$C$9,0,MIN(IF(ISERROR(VLOOKUP(S$134+$F157,$D$135:$D$165,1,FALSE)),0,R25*$C$2),MAX((IF(Monthly!O$4=TRUE,Monthly!O$13,Monthly!O$14)*(1+'Attrition Modeling'!$N$8)-'IP Attrition'!R$65)/12*'IP Attrition'!R92,0)))</f>
        <v>0</v>
      </c>
      <c r="T157" s="799">
        <f>IF(EOMONTH(Inputs!$C$8,'IP Attrition'!T$134-1)&lt;=Inputs!$C$9,0,MIN(IF(ISERROR(VLOOKUP(T$134+$F157,$D$135:$D$165,1,FALSE)),0,S25*$C$2),MAX((IF(Monthly!P$4=TRUE,Monthly!P$13,Monthly!P$14)*(1+'Attrition Modeling'!$N$8)-'IP Attrition'!S$65)/12*'IP Attrition'!S92,0)))</f>
        <v>0</v>
      </c>
      <c r="U157" s="799">
        <f>IF(EOMONTH(Inputs!$C$8,'IP Attrition'!U$134-1)&lt;=Inputs!$C$9,0,MIN(IF(ISERROR(VLOOKUP(U$134+$F157,$D$135:$D$165,1,FALSE)),0,T25*$C$2),MAX((IF(Monthly!Q$4=TRUE,Monthly!Q$13,Monthly!Q$14)*(1+'Attrition Modeling'!$N$8)-'IP Attrition'!T$65)/12*'IP Attrition'!T92,0)))</f>
        <v>0</v>
      </c>
      <c r="V157" s="799">
        <f>IF(EOMONTH(Inputs!$C$8,'IP Attrition'!V$134-1)&lt;=Inputs!$C$9,0,MIN(IF(ISERROR(VLOOKUP(V$134+$F157,$D$135:$D$165,1,FALSE)),0,U25*$C$2),MAX((IF(Monthly!R$4=TRUE,Monthly!R$13,Monthly!R$14)*(1+'Attrition Modeling'!$N$8)-'IP Attrition'!U$65)/12*'IP Attrition'!U92,0)))</f>
        <v>0</v>
      </c>
      <c r="W157" s="799">
        <f>IF(EOMONTH(Inputs!$C$8,'IP Attrition'!W$134-1)&lt;=Inputs!$C$9,0,MIN(IF(ISERROR(VLOOKUP(W$134+$F157,$D$135:$D$165,1,FALSE)),0,V25*$C$2),MAX((IF(Monthly!S$4=TRUE,Monthly!S$13,Monthly!S$14)*(1+'Attrition Modeling'!$N$8)-'IP Attrition'!V$65)/12*'IP Attrition'!V92,0)))</f>
        <v>0</v>
      </c>
      <c r="X157" s="799">
        <f>IF(EOMONTH(Inputs!$C$8,'IP Attrition'!X$134-1)&lt;=Inputs!$C$9,0,MIN(IF(ISERROR(VLOOKUP(X$134+$F157,$D$135:$D$165,1,FALSE)),0,W25*$C$2),MAX((IF(Monthly!T$4=TRUE,Monthly!T$13,Monthly!T$14)*(1+'Attrition Modeling'!$N$8)-'IP Attrition'!W$65)/12*'IP Attrition'!W92,0)))</f>
        <v>0</v>
      </c>
      <c r="Y157" s="799">
        <f>IF(EOMONTH(Inputs!$C$8,'IP Attrition'!Y$134-1)&lt;=Inputs!$C$9,0,MIN(IF(ISERROR(VLOOKUP(Y$134+$F157,$D$135:$D$165,1,FALSE)),0,X25*$C$2),MAX((IF(Monthly!U$4=TRUE,Monthly!U$13,Monthly!U$14)*(1+'Attrition Modeling'!$N$8)-'IP Attrition'!X$65)/12*'IP Attrition'!X92,0)))</f>
        <v>0</v>
      </c>
      <c r="Z157" s="799">
        <f>IF(EOMONTH(Inputs!$C$8,'IP Attrition'!Z$134-1)&lt;=Inputs!$C$9,0,MIN(IF(ISERROR(VLOOKUP(Z$134+$F157,$D$135:$D$165,1,FALSE)),0,Y25*$C$2),MAX((IF(Monthly!V$4=TRUE,Monthly!V$13,Monthly!V$14)*(1+'Attrition Modeling'!$N$8)-'IP Attrition'!Y$65)/12*'IP Attrition'!Y92,0)))</f>
        <v>0</v>
      </c>
      <c r="AA157" s="799">
        <f>IF(EOMONTH(Inputs!$C$8,'IP Attrition'!AA$134-1)&lt;=Inputs!$C$9,0,MIN(IF(ISERROR(VLOOKUP(AA$134+$F157,$D$135:$D$165,1,FALSE)),0,Z25*$C$2),MAX((IF(Monthly!W$4=TRUE,Monthly!W$13,Monthly!W$14)*(1+'Attrition Modeling'!$N$8)-'IP Attrition'!Z$65)/12*'IP Attrition'!Z92,0)))</f>
        <v>0</v>
      </c>
      <c r="AB157" s="799">
        <f>IF(EOMONTH(Inputs!$C$8,'IP Attrition'!AB$134-1)&lt;=Inputs!$C$9,0,MIN(IF(ISERROR(VLOOKUP(AB$134+$F157,$D$135:$D$165,1,FALSE)),0,AA25*$C$2),MAX((IF(Monthly!X$4=TRUE,Monthly!X$13,Monthly!X$14)*(1+'Attrition Modeling'!$N$8)-'IP Attrition'!AA$65)/12*'IP Attrition'!AA92,0)))</f>
        <v>0</v>
      </c>
      <c r="AC157" s="799">
        <f>IF(EOMONTH(Inputs!$C$8,'IP Attrition'!AC$134-1)&lt;=Inputs!$C$9,0,MIN(IF(ISERROR(VLOOKUP(AC$134+$F157,$D$135:$D$165,1,FALSE)),0,AB25*$C$2),MAX((IF(Monthly!Y$4=TRUE,Monthly!Y$13,Monthly!Y$14)*(1+'Attrition Modeling'!$N$8)-'IP Attrition'!AB$65)/12*'IP Attrition'!AB92,0)))</f>
        <v>0</v>
      </c>
      <c r="AD157" s="799">
        <f>IF(EOMONTH(Inputs!$C$8,'IP Attrition'!AD$134-1)&lt;=Inputs!$C$9,0,MIN(IF(ISERROR(VLOOKUP(AD$134+$F157,$D$135:$D$165,1,FALSE)),0,AC25*$C$2),MAX((IF(Monthly!Z$4=TRUE,Monthly!Z$13,Monthly!Z$14)*(1+'Attrition Modeling'!$N$8)-'IP Attrition'!AC$65)/12*'IP Attrition'!AC92,0)))</f>
        <v>0</v>
      </c>
      <c r="AE157" s="799">
        <f>IF(EOMONTH(Inputs!$C$8,'IP Attrition'!AE$134-1)&lt;=Inputs!$C$9,0,MIN(IF(ISERROR(VLOOKUP(AE$134+$F157,$D$135:$D$165,1,FALSE)),0,AD25*$C$2),MAX((IF(Monthly!AA$4=TRUE,Monthly!AA$13,Monthly!AA$14)*(1+'Attrition Modeling'!$N$8)-'IP Attrition'!AD$65)/12*'IP Attrition'!AD92,0)))</f>
        <v>0</v>
      </c>
      <c r="AF157" s="799">
        <f>IF(EOMONTH(Inputs!$C$8,'IP Attrition'!AF$134-1)&lt;=Inputs!$C$9,0,MIN(IF(ISERROR(VLOOKUP(AF$134+$F157,$D$135:$D$165,1,FALSE)),0,AE25*$C$2),MAX((IF(Monthly!AB$4=TRUE,Monthly!AB$13,Monthly!AB$14)*(1+'Attrition Modeling'!$N$8)-'IP Attrition'!AE$65)/12*'IP Attrition'!AE92,0)))</f>
        <v>0</v>
      </c>
      <c r="AG157" s="799">
        <f>IF(EOMONTH(Inputs!$C$8,'IP Attrition'!AG$134-1)&lt;=Inputs!$C$9,0,MIN(IF(ISERROR(VLOOKUP(AG$134+$F157,$D$135:$D$165,1,FALSE)),0,AF25*$C$2),MAX((IF(Monthly!AC$4=TRUE,Monthly!AC$13,Monthly!AC$14)*(1+'Attrition Modeling'!$N$8)-'IP Attrition'!AF$65)/12*'IP Attrition'!AF92,0)))</f>
        <v>0</v>
      </c>
      <c r="AH157" s="799">
        <f>IF(EOMONTH(Inputs!$C$8,'IP Attrition'!AH$134-1)&lt;=Inputs!$C$9,0,MIN(IF(ISERROR(VLOOKUP(AH$134+$F157,$D$135:$D$165,1,FALSE)),0,AG25*$C$2),MAX((IF(Monthly!AD$4=TRUE,Monthly!AD$13,Monthly!AD$14)*(1+'Attrition Modeling'!$N$8)-'IP Attrition'!AG$65)/12*'IP Attrition'!AG92,0)))</f>
        <v>0</v>
      </c>
      <c r="AI157" s="799">
        <f>IF(EOMONTH(Inputs!$C$8,'IP Attrition'!AI$134-1)&lt;=Inputs!$C$9,0,MIN(IF(ISERROR(VLOOKUP(AI$134+$F157,$D$135:$D$165,1,FALSE)),0,AH25*$C$2),MAX((IF(Monthly!AE$4=TRUE,Monthly!AE$13,Monthly!AE$14)*(1+'Attrition Modeling'!$N$8)-'IP Attrition'!AH$65)/12*'IP Attrition'!AH92,0)))</f>
        <v>0</v>
      </c>
      <c r="AJ157" s="799">
        <f>IF(EOMONTH(Inputs!$C$8,'IP Attrition'!AJ$134-1)&lt;=Inputs!$C$9,0,MIN(IF(ISERROR(VLOOKUP(AJ$134+$F157,$D$135:$D$165,1,FALSE)),0,AI25*$C$2),MAX((IF(Monthly!AF$4=TRUE,Monthly!AF$13,Monthly!AF$14)*(1+'Attrition Modeling'!$N$8)-'IP Attrition'!AI$65)/12*'IP Attrition'!AI92,0)))</f>
        <v>0</v>
      </c>
      <c r="AK157" s="799">
        <f>IF(EOMONTH(Inputs!$C$8,'IP Attrition'!AK$134-1)&lt;=Inputs!$C$9,0,MIN(IF(ISERROR(VLOOKUP(AK$134+$F157,$D$135:$D$165,1,FALSE)),0,AJ25*$C$2),MAX((IF(Monthly!AG$4=TRUE,Monthly!AG$13,Monthly!AG$14)*(1+'Attrition Modeling'!$N$8)-'IP Attrition'!AJ$65)/12*'IP Attrition'!AJ92,0)))</f>
        <v>0</v>
      </c>
      <c r="AL157" s="799">
        <f>IF(EOMONTH(Inputs!$C$8,'IP Attrition'!AL$134-1)&lt;=Inputs!$C$9,0,MIN(IF(ISERROR(VLOOKUP(AL$134+$F157,$D$135:$D$165,1,FALSE)),0,AK25*$C$2),MAX((IF(Monthly!AH$4=TRUE,Monthly!AH$13,Monthly!AH$14)*(1+'Attrition Modeling'!$N$8)-'IP Attrition'!AK$65)/12*'IP Attrition'!AK92,0)))</f>
        <v>0</v>
      </c>
      <c r="AM157" s="799">
        <f>IF(EOMONTH(Inputs!$C$8,'IP Attrition'!AM$134-1)&lt;=Inputs!$C$9,0,MIN(IF(ISERROR(VLOOKUP(AM$134+$F157,$D$135:$D$165,1,FALSE)),0,AL25*$C$2),MAX((IF(Monthly!AI$4=TRUE,Monthly!AI$13,Monthly!AI$14)*(1+'Attrition Modeling'!$N$8)-'IP Attrition'!AL$65)/12*'IP Attrition'!AL92,0)))</f>
        <v>0</v>
      </c>
      <c r="AN157" s="799">
        <f>IF(EOMONTH(Inputs!$C$8,'IP Attrition'!AN$134-1)&lt;=Inputs!$C$9,0,MIN(IF(ISERROR(VLOOKUP(AN$134+$F157,$D$135:$D$165,1,FALSE)),0,AM25*$C$2),MAX((IF(Monthly!AJ$4=TRUE,Monthly!AJ$13,Monthly!AJ$14)*(1+'Attrition Modeling'!$N$8)-'IP Attrition'!AM$65)/12*'IP Attrition'!AM92,0)))</f>
        <v>0</v>
      </c>
      <c r="AO157" s="799">
        <f>IF(EOMONTH(Inputs!$C$8,'IP Attrition'!AO$134-1)&lt;=Inputs!$C$9,0,MIN(IF(ISERROR(VLOOKUP(AO$134+$F157,$D$135:$D$165,1,FALSE)),0,AN25*$C$2),MAX((IF(Monthly!AK$4=TRUE,Monthly!AK$13,Monthly!AK$14)*(1+'Attrition Modeling'!$N$8)-'IP Attrition'!AN$65)/12*'IP Attrition'!AN92,0)))</f>
        <v>0</v>
      </c>
      <c r="AP157" s="799">
        <f>IF(EOMONTH(Inputs!$C$8,'IP Attrition'!AP$134-1)&lt;=Inputs!$C$9,0,MIN(IF(ISERROR(VLOOKUP(AP$134+$F157,$D$135:$D$165,1,FALSE)),0,AO25*$C$2),MAX((IF(Monthly!AL$4=TRUE,Monthly!AL$13,Monthly!AL$14)*(1+'Attrition Modeling'!$N$8)-'IP Attrition'!AO$65)/12*'IP Attrition'!AO92,0)))</f>
        <v>0</v>
      </c>
      <c r="AQ157" s="799">
        <f>IF(EOMONTH(Inputs!$C$8,'IP Attrition'!AQ$134-1)&lt;=Inputs!$C$9,0,MIN(IF(ISERROR(VLOOKUP(AQ$134+$F157,$D$135:$D$165,1,FALSE)),0,AP25*$C$2),MAX((IF(Monthly!AM$4=TRUE,Monthly!AM$13,Monthly!AM$14)*(1+'Attrition Modeling'!$N$8)-'IP Attrition'!AP$65)/12*'IP Attrition'!AP92,0)))</f>
        <v>0</v>
      </c>
      <c r="AR157" s="799">
        <f>IF(EOMONTH(Inputs!$C$8,'IP Attrition'!AR$134-1)&lt;=Inputs!$C$9,0,MIN(IF(ISERROR(VLOOKUP(AR$134+$F157,$D$135:$D$165,1,FALSE)),0,AQ25*$C$2),MAX((IF(Monthly!AN$4=TRUE,Monthly!AN$13,Monthly!AN$14)*(1+'Attrition Modeling'!$N$8)-'IP Attrition'!AQ$65)/12*'IP Attrition'!AQ92,0)))</f>
        <v>0</v>
      </c>
      <c r="AS157" s="799">
        <f>IF(EOMONTH(Inputs!$C$8,'IP Attrition'!AS$134-1)&lt;=Inputs!$C$9,0,MIN(IF(ISERROR(VLOOKUP(AS$134+$F157,$D$135:$D$165,1,FALSE)),0,AR25*$C$2),MAX((IF(Monthly!AO$4=TRUE,Monthly!AO$13,Monthly!AO$14)*(1+'Attrition Modeling'!$N$8)-'IP Attrition'!AR$65)/12*'IP Attrition'!AR92,0)))</f>
        <v>0</v>
      </c>
      <c r="AT157" s="799">
        <f>IF(EOMONTH(Inputs!$C$8,'IP Attrition'!AT$134-1)&lt;=Inputs!$C$9,0,MIN(IF(ISERROR(VLOOKUP(AT$134+$F157,$D$135:$D$165,1,FALSE)),0,AS25*$C$2),MAX((IF(Monthly!AP$4=TRUE,Monthly!AP$13,Monthly!AP$14)*(1+'Attrition Modeling'!$N$8)-'IP Attrition'!AS$65)/12*'IP Attrition'!AS92,0)))</f>
        <v>0</v>
      </c>
      <c r="AU157" s="799">
        <f>IF(EOMONTH(Inputs!$C$8,'IP Attrition'!AU$134-1)&lt;=Inputs!$C$9,0,MIN(IF(ISERROR(VLOOKUP(AU$134+$F157,$D$135:$D$165,1,FALSE)),0,AT25*$C$2),MAX((IF(Monthly!AQ$4=TRUE,Monthly!AQ$13,Monthly!AQ$14)*(1+'Attrition Modeling'!$N$8)-'IP Attrition'!AT$65)/12*'IP Attrition'!AT92,0)))</f>
        <v>0</v>
      </c>
      <c r="AV157" s="799">
        <f>IF(EOMONTH(Inputs!$C$8,'IP Attrition'!AV$134-1)&lt;=Inputs!$C$9,0,MIN(IF(ISERROR(VLOOKUP(AV$134+$F157,$D$135:$D$165,1,FALSE)),0,AU25*$C$2),MAX((IF(Monthly!AR$4=TRUE,Monthly!AR$13,Monthly!AR$14)*(1+'Attrition Modeling'!$N$8)-'IP Attrition'!AU$65)/12*'IP Attrition'!AU92,0)))</f>
        <v>0</v>
      </c>
      <c r="AW157" s="799">
        <f>IF(EOMONTH(Inputs!$C$8,'IP Attrition'!AW$134-1)&lt;=Inputs!$C$9,0,MIN(IF(ISERROR(VLOOKUP(AW$134+$F157,$D$135:$D$165,1,FALSE)),0,AV25*$C$2),MAX((IF(Monthly!AS$4=TRUE,Monthly!AS$13,Monthly!AS$14)*(1+'Attrition Modeling'!$N$8)-'IP Attrition'!AV$65)/12*'IP Attrition'!AV92,0)))</f>
        <v>0</v>
      </c>
      <c r="AX157" s="799">
        <f>IF(EOMONTH(Inputs!$C$8,'IP Attrition'!AX$134-1)&lt;=Inputs!$C$9,0,MIN(IF(ISERROR(VLOOKUP(AX$134+$F157,$D$135:$D$165,1,FALSE)),0,AW25*$C$2),MAX((IF(Monthly!AT$4=TRUE,Monthly!AT$13,Monthly!AT$14)*(1+'Attrition Modeling'!$N$8)-'IP Attrition'!AW$65)/12*'IP Attrition'!AW92,0)))</f>
        <v>0</v>
      </c>
      <c r="AY157" s="799">
        <f>IF(EOMONTH(Inputs!$C$8,'IP Attrition'!AY$134-1)&lt;=Inputs!$C$9,0,MIN(IF(ISERROR(VLOOKUP(AY$134+$F157,$D$135:$D$165,1,FALSE)),0,AX25*$C$2),MAX((IF(Monthly!AU$4=TRUE,Monthly!AU$13,Monthly!AU$14)*(1+'Attrition Modeling'!$N$8)-'IP Attrition'!AX$65)/12*'IP Attrition'!AX92,0)))</f>
        <v>0</v>
      </c>
      <c r="AZ157" s="799">
        <f>IF(EOMONTH(Inputs!$C$8,'IP Attrition'!AZ$134-1)&lt;=Inputs!$C$9,0,MIN(IF(ISERROR(VLOOKUP(AZ$134+$F157,$D$135:$D$165,1,FALSE)),0,AY25*$C$2),MAX((IF(Monthly!AV$4=TRUE,Monthly!AV$13,Monthly!AV$14)*(1+'Attrition Modeling'!$N$8)-'IP Attrition'!AY$65)/12*'IP Attrition'!AY92,0)))</f>
        <v>0</v>
      </c>
      <c r="BA157" s="799">
        <f>IF(EOMONTH(Inputs!$C$8,'IP Attrition'!BA$134-1)&lt;=Inputs!$C$9,0,MIN(IF(ISERROR(VLOOKUP(BA$134+$F157,$D$135:$D$165,1,FALSE)),0,AZ25*$C$2),MAX((IF(Monthly!AW$4=TRUE,Monthly!AW$13,Monthly!AW$14)*(1+'Attrition Modeling'!$N$8)-'IP Attrition'!AZ$65)/12*'IP Attrition'!AZ92,0)))</f>
        <v>0</v>
      </c>
      <c r="BB157" s="799">
        <f>IF(EOMONTH(Inputs!$C$8,'IP Attrition'!BB$134-1)&lt;=Inputs!$C$9,0,MIN(IF(ISERROR(VLOOKUP(BB$134+$F157,$D$135:$D$165,1,FALSE)),0,BA25*$C$2),MAX((IF(Monthly!AX$4=TRUE,Monthly!AX$13,Monthly!AX$14)*(1+'Attrition Modeling'!$N$8)-'IP Attrition'!BA$65)/12*'IP Attrition'!BA92,0)))</f>
        <v>0</v>
      </c>
      <c r="BC157" s="799">
        <f>IF(EOMONTH(Inputs!$C$8,'IP Attrition'!BC$134-1)&lt;=Inputs!$C$9,0,MIN(IF(ISERROR(VLOOKUP(BC$134+$F157,$D$135:$D$165,1,FALSE)),0,BB25*$C$2),MAX((IF(Monthly!AY$4=TRUE,Monthly!AY$13,Monthly!AY$14)*(1+'Attrition Modeling'!$N$8)-'IP Attrition'!BB$65)/12*'IP Attrition'!BB92,0)))</f>
        <v>0</v>
      </c>
      <c r="BD157" s="799">
        <f>IF(EOMONTH(Inputs!$C$8,'IP Attrition'!BD$134-1)&lt;=Inputs!$C$9,0,MIN(IF(ISERROR(VLOOKUP(BD$134+$F157,$D$135:$D$165,1,FALSE)),0,BC25*$C$2),MAX((IF(Monthly!AZ$4=TRUE,Monthly!AZ$13,Monthly!AZ$14)*(1+'Attrition Modeling'!$N$8)-'IP Attrition'!BC$65)/12*'IP Attrition'!BC92,0)))</f>
        <v>0</v>
      </c>
      <c r="BE157" s="799">
        <f>IF(EOMONTH(Inputs!$C$8,'IP Attrition'!BE$134-1)&lt;=Inputs!$C$9,0,MIN(IF(ISERROR(VLOOKUP(BE$134+$F157,$D$135:$D$165,1,FALSE)),0,BD25*$C$2),MAX((IF(Monthly!BA$4=TRUE,Monthly!BA$13,Monthly!BA$14)*(1+'Attrition Modeling'!$N$8)-'IP Attrition'!BD$65)/12*'IP Attrition'!BD92,0)))</f>
        <v>0</v>
      </c>
      <c r="BF157" s="799">
        <f>IF(EOMONTH(Inputs!$C$8,'IP Attrition'!BF$134-1)&lt;=Inputs!$C$9,0,MIN(IF(ISERROR(VLOOKUP(BF$134+$F157,$D$135:$D$165,1,FALSE)),0,BE25*$C$2),MAX((IF(Monthly!BB$4=TRUE,Monthly!BB$13,Monthly!BB$14)*(1+'Attrition Modeling'!$N$8)-'IP Attrition'!BE$65)/12*'IP Attrition'!BE92,0)))</f>
        <v>0</v>
      </c>
      <c r="BG157" s="799">
        <f>IF(EOMONTH(Inputs!$C$8,'IP Attrition'!BG$134-1)&lt;=Inputs!$C$9,0,MIN(IF(ISERROR(VLOOKUP(BG$134+$F157,$D$135:$D$165,1,FALSE)),0,BF25*$C$2),MAX((IF(Monthly!BC$4=TRUE,Monthly!BC$13,Monthly!BC$14)*(1+'Attrition Modeling'!$N$8)-'IP Attrition'!BF$65)/12*'IP Attrition'!BF92,0)))</f>
        <v>0</v>
      </c>
      <c r="BH157" s="799">
        <f>IF(EOMONTH(Inputs!$C$8,'IP Attrition'!BH$134-1)&lt;=Inputs!$C$9,0,MIN(IF(ISERROR(VLOOKUP(BH$134+$F157,$D$135:$D$165,1,FALSE)),0,BG25*$C$2),MAX((IF(Monthly!BD$4=TRUE,Monthly!BD$13,Monthly!BD$14)*(1+'Attrition Modeling'!$N$8)-'IP Attrition'!BG$65)/12*'IP Attrition'!BG92,0)))</f>
        <v>0</v>
      </c>
      <c r="BI157" s="799">
        <f>IF(EOMONTH(Inputs!$C$8,'IP Attrition'!BI$134-1)&lt;=Inputs!$C$9,0,MIN(IF(ISERROR(VLOOKUP(BI$134+$F157,$D$135:$D$165,1,FALSE)),0,BH25*$C$2),MAX((IF(Monthly!BE$4=TRUE,Monthly!BE$13,Monthly!BE$14)*(1+'Attrition Modeling'!$N$8)-'IP Attrition'!BH$65)/12*'IP Attrition'!BH92,0)))</f>
        <v>0</v>
      </c>
      <c r="BJ157" s="799">
        <f>IF(EOMONTH(Inputs!$C$8,'IP Attrition'!BJ$134-1)&lt;=Inputs!$C$9,0,MIN(IF(ISERROR(VLOOKUP(BJ$134+$F157,$D$135:$D$165,1,FALSE)),0,BI25*$C$2),MAX((IF(Monthly!BF$4=TRUE,Monthly!BF$13,Monthly!BF$14)*(1+'Attrition Modeling'!$N$8)-'IP Attrition'!BI$65)/12*'IP Attrition'!BI92,0)))</f>
        <v>0</v>
      </c>
      <c r="BK157" s="799">
        <f>IF(EOMONTH(Inputs!$C$8,'IP Attrition'!BK$134-1)&lt;=Inputs!$C$9,0,MIN(IF(ISERROR(VLOOKUP(BK$134+$F157,$D$135:$D$165,1,FALSE)),0,BJ25*$C$2),MAX((IF(Monthly!BG$4=TRUE,Monthly!BG$13,Monthly!BG$14)*(1+'Attrition Modeling'!$N$8)-'IP Attrition'!BJ$65)/12*'IP Attrition'!BJ92,0)))</f>
        <v>0</v>
      </c>
      <c r="BL157" s="799">
        <f>IF(EOMONTH(Inputs!$C$8,'IP Attrition'!BL$134-1)&lt;=Inputs!$C$9,0,MIN(IF(ISERROR(VLOOKUP(BL$134+$F157,$D$135:$D$165,1,FALSE)),0,BK25*$C$2),MAX((IF(Monthly!BH$4=TRUE,Monthly!BH$13,Monthly!BH$14)*(1+'Attrition Modeling'!$N$8)-'IP Attrition'!BK$65)/12*'IP Attrition'!BK92,0)))</f>
        <v>0</v>
      </c>
      <c r="BM157" s="799">
        <f>IF(EOMONTH(Inputs!$C$8,'IP Attrition'!BM$134-1)&lt;=Inputs!$C$9,0,MIN(IF(ISERROR(VLOOKUP(BM$134+$F157,$D$135:$D$165,1,FALSE)),0,BL25*$C$2),MAX((IF(Monthly!BI$4=TRUE,Monthly!BI$13,Monthly!BI$14)*(1+'Attrition Modeling'!$N$8)-'IP Attrition'!BL$65)/12*'IP Attrition'!BL92,0)))</f>
        <v>0</v>
      </c>
      <c r="BN157" s="799">
        <f>IF(EOMONTH(Inputs!$C$8,'IP Attrition'!BN$134-1)&lt;=Inputs!$C$9,0,MIN(IF(ISERROR(VLOOKUP(BN$134+$F157,$D$135:$D$165,1,FALSE)),0,BM25*$C$2),MAX((IF(Monthly!BJ$4=TRUE,Monthly!BJ$13,Monthly!BJ$14)*(1+'Attrition Modeling'!$N$8)-'IP Attrition'!BM$65)/12*'IP Attrition'!BM92,0)))</f>
        <v>0</v>
      </c>
      <c r="BO157" s="799">
        <f>IF(EOMONTH(Inputs!$C$8,'IP Attrition'!BO$134-1)&lt;=Inputs!$C$9,0,MIN(IF(ISERROR(VLOOKUP(BO$134+$F157,$D$135:$D$165,1,FALSE)),0,BN25*$C$2),MAX((IF(Monthly!BK$4=TRUE,Monthly!BK$13,Monthly!BK$14)*(1+'Attrition Modeling'!$N$8)-'IP Attrition'!BN$65)/12*'IP Attrition'!BN92,0)))</f>
        <v>0</v>
      </c>
      <c r="BP157" s="799">
        <f>IF(EOMONTH(Inputs!$C$8,'IP Attrition'!BP$134-1)&lt;=Inputs!$C$9,0,MIN(IF(ISERROR(VLOOKUP(BP$134+$F157,$D$135:$D$165,1,FALSE)),0,BO25*$C$2),MAX((IF(Monthly!BL$4=TRUE,Monthly!BL$13,Monthly!BL$14)*(1+'Attrition Modeling'!$N$8)-'IP Attrition'!BO$65)/12*'IP Attrition'!BO92,0)))</f>
        <v>0</v>
      </c>
      <c r="BQ157" s="799">
        <f>IF(EOMONTH(Inputs!$C$8,'IP Attrition'!BQ$134-1)&lt;=Inputs!$C$9,0,MIN(IF(ISERROR(VLOOKUP(BQ$134+$F157,$D$135:$D$165,1,FALSE)),0,BP25*$C$2),MAX((IF(Monthly!BM$4=TRUE,Monthly!BM$13,Monthly!BM$14)*(1+'Attrition Modeling'!$N$8)-'IP Attrition'!BP$65)/12*'IP Attrition'!BP92,0)))</f>
        <v>0</v>
      </c>
      <c r="BR157" s="799">
        <f>IF(EOMONTH(Inputs!$C$8,'IP Attrition'!BR$134-1)&lt;=Inputs!$C$9,0,MIN(IF(ISERROR(VLOOKUP(BR$134+$F157,$D$135:$D$165,1,FALSE)),0,BQ25*$C$2),MAX((IF(Monthly!BN$4=TRUE,Monthly!BN$13,Monthly!BN$14)*(1+'Attrition Modeling'!$N$8)-'IP Attrition'!BQ$65)/12*'IP Attrition'!BQ92,0)))</f>
        <v>0</v>
      </c>
      <c r="BS157" s="799">
        <f>IF(EOMONTH(Inputs!$C$8,'IP Attrition'!BS$134-1)&lt;=Inputs!$C$9,0,MIN(IF(ISERROR(VLOOKUP(BS$134+$F157,$D$135:$D$165,1,FALSE)),0,BR25*$C$2),MAX((IF(Monthly!BO$4=TRUE,Monthly!BO$13,Monthly!BO$14)*(1+'Attrition Modeling'!$N$8)-'IP Attrition'!BR$65)/12*'IP Attrition'!BR92,0)))</f>
        <v>0</v>
      </c>
      <c r="BT157" s="799" t="e">
        <f>IF(EOMONTH(Inputs!$C$8,'IP Attrition'!BT$134-1)&lt;=Inputs!$C$9,0,MIN(IF(ISERROR(VLOOKUP(BT$134+$F157,$D$135:$D$165,1,FALSE)),0,BS25*$C$2),MAX((IF(Monthly!#REF!=TRUE,Monthly!#REF!,Monthly!#REF!)*(1+'Attrition Modeling'!$N$8)-'IP Attrition'!BS$65)/12*'IP Attrition'!BS92,0)))</f>
        <v>#REF!</v>
      </c>
      <c r="BU157" s="799" t="e">
        <f>IF(EOMONTH(Inputs!$C$8,'IP Attrition'!BU$134-1)&lt;=Inputs!$C$9,0,MIN(IF(ISERROR(VLOOKUP(BU$134+$F157,$D$135:$D$165,1,FALSE)),0,BT25*$C$2),MAX((IF(Monthly!#REF!=TRUE,Monthly!#REF!,Monthly!#REF!)*(1+'Attrition Modeling'!$N$8)-'IP Attrition'!BT$65)/12*'IP Attrition'!BT92,0)))</f>
        <v>#REF!</v>
      </c>
    </row>
    <row r="158" spans="1:73" ht="14.25" customHeight="1" x14ac:dyDescent="0.2">
      <c r="A158" s="9">
        <v>151</v>
      </c>
      <c r="B158" s="25">
        <f>MAX('Attrition Modeling'!H155,$C$3)*(1-Summary!$C$20)</f>
        <v>0.02</v>
      </c>
      <c r="C158" s="24" t="e">
        <f t="shared" si="3"/>
        <v>#DIV/0!</v>
      </c>
      <c r="D158" s="11">
        <f t="shared" si="72"/>
        <v>282</v>
      </c>
      <c r="E158" s="25">
        <f t="shared" si="71"/>
        <v>0</v>
      </c>
      <c r="F158" s="11">
        <f t="shared" si="73"/>
        <v>23</v>
      </c>
      <c r="G158" s="799"/>
      <c r="H158" s="799">
        <f>IF(EOMONTH(Inputs!$C$8,'IP Attrition'!H$134-1)&lt;=Inputs!$C$9,0,MIN(IF(ISERROR(VLOOKUP(H$134+$F158,$D$135:$D$165,1,FALSE)),0,G26*$C$2),MAX((IF(Monthly!D$4=TRUE,Monthly!D$13,Monthly!D$14)*(1+'Attrition Modeling'!$N$8)-'IP Attrition'!G$65)/12*'IP Attrition'!G93,0)))</f>
        <v>0</v>
      </c>
      <c r="I158" s="799">
        <f>IF(EOMONTH(Inputs!$C$8,'IP Attrition'!I$134-1)&lt;=Inputs!$C$9,0,MIN(IF(ISERROR(VLOOKUP(I$134+$F158,$D$135:$D$165,1,FALSE)),0,H26*$C$2),MAX((IF(Monthly!E$4=TRUE,Monthly!E$13,Monthly!E$14)*(1+'Attrition Modeling'!$N$8)-'IP Attrition'!H$65)/12*'IP Attrition'!H93,0)))</f>
        <v>0</v>
      </c>
      <c r="J158" s="799">
        <f>IF(EOMONTH(Inputs!$C$8,'IP Attrition'!J$134-1)&lt;=Inputs!$C$9,0,MIN(IF(ISERROR(VLOOKUP(J$134+$F158,$D$135:$D$165,1,FALSE)),0,I26*$C$2),MAX((IF(Monthly!F$4=TRUE,Monthly!F$13,Monthly!F$14)*(1+'Attrition Modeling'!$N$8)-'IP Attrition'!I$65)/12*'IP Attrition'!I93,0)))</f>
        <v>0</v>
      </c>
      <c r="K158" s="799">
        <f>IF(EOMONTH(Inputs!$C$8,'IP Attrition'!K$134-1)&lt;=Inputs!$C$9,0,MIN(IF(ISERROR(VLOOKUP(K$134+$F158,$D$135:$D$165,1,FALSE)),0,J26*$C$2),MAX((IF(Monthly!G$4=TRUE,Monthly!G$13,Monthly!G$14)*(1+'Attrition Modeling'!$N$8)-'IP Attrition'!J$65)/12*'IP Attrition'!J93,0)))</f>
        <v>0</v>
      </c>
      <c r="L158" s="799">
        <f>IF(EOMONTH(Inputs!$C$8,'IP Attrition'!L$134-1)&lt;=Inputs!$C$9,0,MIN(IF(ISERROR(VLOOKUP(L$134+$F158,$D$135:$D$165,1,FALSE)),0,K26*$C$2),MAX((IF(Monthly!H$4=TRUE,Monthly!H$13,Monthly!H$14)*(1+'Attrition Modeling'!$N$8)-'IP Attrition'!K$65)/12*'IP Attrition'!K93,0)))</f>
        <v>0</v>
      </c>
      <c r="M158" s="799">
        <f>IF(EOMONTH(Inputs!$C$8,'IP Attrition'!M$134-1)&lt;=Inputs!$C$9,0,MIN(IF(ISERROR(VLOOKUP(M$134+$F158,$D$135:$D$165,1,FALSE)),0,L26*$C$2),MAX((IF(Monthly!I$4=TRUE,Monthly!I$13,Monthly!I$14)*(1+'Attrition Modeling'!$N$8)-'IP Attrition'!L$65)/12*'IP Attrition'!L93,0)))</f>
        <v>0</v>
      </c>
      <c r="N158" s="799">
        <f>IF(EOMONTH(Inputs!$C$8,'IP Attrition'!N$134-1)&lt;=Inputs!$C$9,0,MIN(IF(ISERROR(VLOOKUP(N$134+$F158,$D$135:$D$165,1,FALSE)),0,M26*$C$2),MAX((IF(Monthly!J$4=TRUE,Monthly!J$13,Monthly!J$14)*(1+'Attrition Modeling'!$N$8)-'IP Attrition'!M$65)/12*'IP Attrition'!M93,0)))</f>
        <v>0</v>
      </c>
      <c r="O158" s="799">
        <f>IF(EOMONTH(Inputs!$C$8,'IP Attrition'!O$134-1)&lt;=Inputs!$C$9,0,MIN(IF(ISERROR(VLOOKUP(O$134+$F158,$D$135:$D$165,1,FALSE)),0,N26*$C$2),MAX((IF(Monthly!K$4=TRUE,Monthly!K$13,Monthly!K$14)*(1+'Attrition Modeling'!$N$8)-'IP Attrition'!N$65)/12*'IP Attrition'!N93,0)))</f>
        <v>0</v>
      </c>
      <c r="P158" s="799">
        <f>IF(EOMONTH(Inputs!$C$8,'IP Attrition'!P$134-1)&lt;=Inputs!$C$9,0,MIN(IF(ISERROR(VLOOKUP(P$134+$F158,$D$135:$D$165,1,FALSE)),0,O26*$C$2),MAX((IF(Monthly!L$4=TRUE,Monthly!L$13,Monthly!L$14)*(1+'Attrition Modeling'!$N$8)-'IP Attrition'!O$65)/12*'IP Attrition'!O93,0)))</f>
        <v>0</v>
      </c>
      <c r="Q158" s="799">
        <f>IF(EOMONTH(Inputs!$C$8,'IP Attrition'!Q$134-1)&lt;=Inputs!$C$9,0,MIN(IF(ISERROR(VLOOKUP(Q$134+$F158,$D$135:$D$165,1,FALSE)),0,P26*$C$2),MAX((IF(Monthly!M$4=TRUE,Monthly!M$13,Monthly!M$14)*(1+'Attrition Modeling'!$N$8)-'IP Attrition'!P$65)/12*'IP Attrition'!P93,0)))</f>
        <v>0</v>
      </c>
      <c r="R158" s="799">
        <f>IF(EOMONTH(Inputs!$C$8,'IP Attrition'!R$134-1)&lt;=Inputs!$C$9,0,MIN(IF(ISERROR(VLOOKUP(R$134+$F158,$D$135:$D$165,1,FALSE)),0,Q26*$C$2),MAX((IF(Monthly!N$4=TRUE,Monthly!N$13,Monthly!N$14)*(1+'Attrition Modeling'!$N$8)-'IP Attrition'!Q$65)/12*'IP Attrition'!Q93,0)))</f>
        <v>0</v>
      </c>
      <c r="S158" s="799">
        <f>IF(EOMONTH(Inputs!$C$8,'IP Attrition'!S$134-1)&lt;=Inputs!$C$9,0,MIN(IF(ISERROR(VLOOKUP(S$134+$F158,$D$135:$D$165,1,FALSE)),0,R26*$C$2),MAX((IF(Monthly!O$4=TRUE,Monthly!O$13,Monthly!O$14)*(1+'Attrition Modeling'!$N$8)-'IP Attrition'!R$65)/12*'IP Attrition'!R93,0)))</f>
        <v>0</v>
      </c>
      <c r="T158" s="799">
        <f>IF(EOMONTH(Inputs!$C$8,'IP Attrition'!T$134-1)&lt;=Inputs!$C$9,0,MIN(IF(ISERROR(VLOOKUP(T$134+$F158,$D$135:$D$165,1,FALSE)),0,S26*$C$2),MAX((IF(Monthly!P$4=TRUE,Monthly!P$13,Monthly!P$14)*(1+'Attrition Modeling'!$N$8)-'IP Attrition'!S$65)/12*'IP Attrition'!S93,0)))</f>
        <v>0</v>
      </c>
      <c r="U158" s="799">
        <f>IF(EOMONTH(Inputs!$C$8,'IP Attrition'!U$134-1)&lt;=Inputs!$C$9,0,MIN(IF(ISERROR(VLOOKUP(U$134+$F158,$D$135:$D$165,1,FALSE)),0,T26*$C$2),MAX((IF(Monthly!Q$4=TRUE,Monthly!Q$13,Monthly!Q$14)*(1+'Attrition Modeling'!$N$8)-'IP Attrition'!T$65)/12*'IP Attrition'!T93,0)))</f>
        <v>0</v>
      </c>
      <c r="V158" s="799">
        <f>IF(EOMONTH(Inputs!$C$8,'IP Attrition'!V$134-1)&lt;=Inputs!$C$9,0,MIN(IF(ISERROR(VLOOKUP(V$134+$F158,$D$135:$D$165,1,FALSE)),0,U26*$C$2),MAX((IF(Monthly!R$4=TRUE,Monthly!R$13,Monthly!R$14)*(1+'Attrition Modeling'!$N$8)-'IP Attrition'!U$65)/12*'IP Attrition'!U93,0)))</f>
        <v>0</v>
      </c>
      <c r="W158" s="799">
        <f>IF(EOMONTH(Inputs!$C$8,'IP Attrition'!W$134-1)&lt;=Inputs!$C$9,0,MIN(IF(ISERROR(VLOOKUP(W$134+$F158,$D$135:$D$165,1,FALSE)),0,V26*$C$2),MAX((IF(Monthly!S$4=TRUE,Monthly!S$13,Monthly!S$14)*(1+'Attrition Modeling'!$N$8)-'IP Attrition'!V$65)/12*'IP Attrition'!V93,0)))</f>
        <v>0</v>
      </c>
      <c r="X158" s="799">
        <f>IF(EOMONTH(Inputs!$C$8,'IP Attrition'!X$134-1)&lt;=Inputs!$C$9,0,MIN(IF(ISERROR(VLOOKUP(X$134+$F158,$D$135:$D$165,1,FALSE)),0,W26*$C$2),MAX((IF(Monthly!T$4=TRUE,Monthly!T$13,Monthly!T$14)*(1+'Attrition Modeling'!$N$8)-'IP Attrition'!W$65)/12*'IP Attrition'!W93,0)))</f>
        <v>0</v>
      </c>
      <c r="Y158" s="799">
        <f>IF(EOMONTH(Inputs!$C$8,'IP Attrition'!Y$134-1)&lt;=Inputs!$C$9,0,MIN(IF(ISERROR(VLOOKUP(Y$134+$F158,$D$135:$D$165,1,FALSE)),0,X26*$C$2),MAX((IF(Monthly!U$4=TRUE,Monthly!U$13,Monthly!U$14)*(1+'Attrition Modeling'!$N$8)-'IP Attrition'!X$65)/12*'IP Attrition'!X93,0)))</f>
        <v>0</v>
      </c>
      <c r="Z158" s="799">
        <f>IF(EOMONTH(Inputs!$C$8,'IP Attrition'!Z$134-1)&lt;=Inputs!$C$9,0,MIN(IF(ISERROR(VLOOKUP(Z$134+$F158,$D$135:$D$165,1,FALSE)),0,Y26*$C$2),MAX((IF(Monthly!V$4=TRUE,Monthly!V$13,Monthly!V$14)*(1+'Attrition Modeling'!$N$8)-'IP Attrition'!Y$65)/12*'IP Attrition'!Y93,0)))</f>
        <v>0</v>
      </c>
      <c r="AA158" s="799">
        <f>IF(EOMONTH(Inputs!$C$8,'IP Attrition'!AA$134-1)&lt;=Inputs!$C$9,0,MIN(IF(ISERROR(VLOOKUP(AA$134+$F158,$D$135:$D$165,1,FALSE)),0,Z26*$C$2),MAX((IF(Monthly!W$4=TRUE,Monthly!W$13,Monthly!W$14)*(1+'Attrition Modeling'!$N$8)-'IP Attrition'!Z$65)/12*'IP Attrition'!Z93,0)))</f>
        <v>0</v>
      </c>
      <c r="AB158" s="799">
        <f>IF(EOMONTH(Inputs!$C$8,'IP Attrition'!AB$134-1)&lt;=Inputs!$C$9,0,MIN(IF(ISERROR(VLOOKUP(AB$134+$F158,$D$135:$D$165,1,FALSE)),0,AA26*$C$2),MAX((IF(Monthly!X$4=TRUE,Monthly!X$13,Monthly!X$14)*(1+'Attrition Modeling'!$N$8)-'IP Attrition'!AA$65)/12*'IP Attrition'!AA93,0)))</f>
        <v>0</v>
      </c>
      <c r="AC158" s="799">
        <f>IF(EOMONTH(Inputs!$C$8,'IP Attrition'!AC$134-1)&lt;=Inputs!$C$9,0,MIN(IF(ISERROR(VLOOKUP(AC$134+$F158,$D$135:$D$165,1,FALSE)),0,AB26*$C$2),MAX((IF(Monthly!Y$4=TRUE,Monthly!Y$13,Monthly!Y$14)*(1+'Attrition Modeling'!$N$8)-'IP Attrition'!AB$65)/12*'IP Attrition'!AB93,0)))</f>
        <v>0</v>
      </c>
      <c r="AD158" s="799">
        <f>IF(EOMONTH(Inputs!$C$8,'IP Attrition'!AD$134-1)&lt;=Inputs!$C$9,0,MIN(IF(ISERROR(VLOOKUP(AD$134+$F158,$D$135:$D$165,1,FALSE)),0,AC26*$C$2),MAX((IF(Monthly!Z$4=TRUE,Monthly!Z$13,Monthly!Z$14)*(1+'Attrition Modeling'!$N$8)-'IP Attrition'!AC$65)/12*'IP Attrition'!AC93,0)))</f>
        <v>0</v>
      </c>
      <c r="AE158" s="799">
        <f>IF(EOMONTH(Inputs!$C$8,'IP Attrition'!AE$134-1)&lt;=Inputs!$C$9,0,MIN(IF(ISERROR(VLOOKUP(AE$134+$F158,$D$135:$D$165,1,FALSE)),0,AD26*$C$2),MAX((IF(Monthly!AA$4=TRUE,Monthly!AA$13,Monthly!AA$14)*(1+'Attrition Modeling'!$N$8)-'IP Attrition'!AD$65)/12*'IP Attrition'!AD93,0)))</f>
        <v>0</v>
      </c>
      <c r="AF158" s="799">
        <f>IF(EOMONTH(Inputs!$C$8,'IP Attrition'!AF$134-1)&lt;=Inputs!$C$9,0,MIN(IF(ISERROR(VLOOKUP(AF$134+$F158,$D$135:$D$165,1,FALSE)),0,AE26*$C$2),MAX((IF(Monthly!AB$4=TRUE,Monthly!AB$13,Monthly!AB$14)*(1+'Attrition Modeling'!$N$8)-'IP Attrition'!AE$65)/12*'IP Attrition'!AE93,0)))</f>
        <v>0</v>
      </c>
      <c r="AG158" s="799">
        <f>IF(EOMONTH(Inputs!$C$8,'IP Attrition'!AG$134-1)&lt;=Inputs!$C$9,0,MIN(IF(ISERROR(VLOOKUP(AG$134+$F158,$D$135:$D$165,1,FALSE)),0,AF26*$C$2),MAX((IF(Monthly!AC$4=TRUE,Monthly!AC$13,Monthly!AC$14)*(1+'Attrition Modeling'!$N$8)-'IP Attrition'!AF$65)/12*'IP Attrition'!AF93,0)))</f>
        <v>0</v>
      </c>
      <c r="AH158" s="799">
        <f>IF(EOMONTH(Inputs!$C$8,'IP Attrition'!AH$134-1)&lt;=Inputs!$C$9,0,MIN(IF(ISERROR(VLOOKUP(AH$134+$F158,$D$135:$D$165,1,FALSE)),0,AG26*$C$2),MAX((IF(Monthly!AD$4=TRUE,Monthly!AD$13,Monthly!AD$14)*(1+'Attrition Modeling'!$N$8)-'IP Attrition'!AG$65)/12*'IP Attrition'!AG93,0)))</f>
        <v>0</v>
      </c>
      <c r="AI158" s="799">
        <f>IF(EOMONTH(Inputs!$C$8,'IP Attrition'!AI$134-1)&lt;=Inputs!$C$9,0,MIN(IF(ISERROR(VLOOKUP(AI$134+$F158,$D$135:$D$165,1,FALSE)),0,AH26*$C$2),MAX((IF(Monthly!AE$4=TRUE,Monthly!AE$13,Monthly!AE$14)*(1+'Attrition Modeling'!$N$8)-'IP Attrition'!AH$65)/12*'IP Attrition'!AH93,0)))</f>
        <v>0</v>
      </c>
      <c r="AJ158" s="799">
        <f>IF(EOMONTH(Inputs!$C$8,'IP Attrition'!AJ$134-1)&lt;=Inputs!$C$9,0,MIN(IF(ISERROR(VLOOKUP(AJ$134+$F158,$D$135:$D$165,1,FALSE)),0,AI26*$C$2),MAX((IF(Monthly!AF$4=TRUE,Monthly!AF$13,Monthly!AF$14)*(1+'Attrition Modeling'!$N$8)-'IP Attrition'!AI$65)/12*'IP Attrition'!AI93,0)))</f>
        <v>0</v>
      </c>
      <c r="AK158" s="799">
        <f>IF(EOMONTH(Inputs!$C$8,'IP Attrition'!AK$134-1)&lt;=Inputs!$C$9,0,MIN(IF(ISERROR(VLOOKUP(AK$134+$F158,$D$135:$D$165,1,FALSE)),0,AJ26*$C$2),MAX((IF(Monthly!AG$4=TRUE,Monthly!AG$13,Monthly!AG$14)*(1+'Attrition Modeling'!$N$8)-'IP Attrition'!AJ$65)/12*'IP Attrition'!AJ93,0)))</f>
        <v>0</v>
      </c>
      <c r="AL158" s="799">
        <f>IF(EOMONTH(Inputs!$C$8,'IP Attrition'!AL$134-1)&lt;=Inputs!$C$9,0,MIN(IF(ISERROR(VLOOKUP(AL$134+$F158,$D$135:$D$165,1,FALSE)),0,AK26*$C$2),MAX((IF(Monthly!AH$4=TRUE,Monthly!AH$13,Monthly!AH$14)*(1+'Attrition Modeling'!$N$8)-'IP Attrition'!AK$65)/12*'IP Attrition'!AK93,0)))</f>
        <v>0</v>
      </c>
      <c r="AM158" s="799">
        <f>IF(EOMONTH(Inputs!$C$8,'IP Attrition'!AM$134-1)&lt;=Inputs!$C$9,0,MIN(IF(ISERROR(VLOOKUP(AM$134+$F158,$D$135:$D$165,1,FALSE)),0,AL26*$C$2),MAX((IF(Monthly!AI$4=TRUE,Monthly!AI$13,Monthly!AI$14)*(1+'Attrition Modeling'!$N$8)-'IP Attrition'!AL$65)/12*'IP Attrition'!AL93,0)))</f>
        <v>0</v>
      </c>
      <c r="AN158" s="799">
        <f>IF(EOMONTH(Inputs!$C$8,'IP Attrition'!AN$134-1)&lt;=Inputs!$C$9,0,MIN(IF(ISERROR(VLOOKUP(AN$134+$F158,$D$135:$D$165,1,FALSE)),0,AM26*$C$2),MAX((IF(Monthly!AJ$4=TRUE,Monthly!AJ$13,Monthly!AJ$14)*(1+'Attrition Modeling'!$N$8)-'IP Attrition'!AM$65)/12*'IP Attrition'!AM93,0)))</f>
        <v>0</v>
      </c>
      <c r="AO158" s="799">
        <f>IF(EOMONTH(Inputs!$C$8,'IP Attrition'!AO$134-1)&lt;=Inputs!$C$9,0,MIN(IF(ISERROR(VLOOKUP(AO$134+$F158,$D$135:$D$165,1,FALSE)),0,AN26*$C$2),MAX((IF(Monthly!AK$4=TRUE,Monthly!AK$13,Monthly!AK$14)*(1+'Attrition Modeling'!$N$8)-'IP Attrition'!AN$65)/12*'IP Attrition'!AN93,0)))</f>
        <v>0</v>
      </c>
      <c r="AP158" s="799">
        <f>IF(EOMONTH(Inputs!$C$8,'IP Attrition'!AP$134-1)&lt;=Inputs!$C$9,0,MIN(IF(ISERROR(VLOOKUP(AP$134+$F158,$D$135:$D$165,1,FALSE)),0,AO26*$C$2),MAX((IF(Monthly!AL$4=TRUE,Monthly!AL$13,Monthly!AL$14)*(1+'Attrition Modeling'!$N$8)-'IP Attrition'!AO$65)/12*'IP Attrition'!AO93,0)))</f>
        <v>0</v>
      </c>
      <c r="AQ158" s="799">
        <f>IF(EOMONTH(Inputs!$C$8,'IP Attrition'!AQ$134-1)&lt;=Inputs!$C$9,0,MIN(IF(ISERROR(VLOOKUP(AQ$134+$F158,$D$135:$D$165,1,FALSE)),0,AP26*$C$2),MAX((IF(Monthly!AM$4=TRUE,Monthly!AM$13,Monthly!AM$14)*(1+'Attrition Modeling'!$N$8)-'IP Attrition'!AP$65)/12*'IP Attrition'!AP93,0)))</f>
        <v>0</v>
      </c>
      <c r="AR158" s="799">
        <f>IF(EOMONTH(Inputs!$C$8,'IP Attrition'!AR$134-1)&lt;=Inputs!$C$9,0,MIN(IF(ISERROR(VLOOKUP(AR$134+$F158,$D$135:$D$165,1,FALSE)),0,AQ26*$C$2),MAX((IF(Monthly!AN$4=TRUE,Monthly!AN$13,Monthly!AN$14)*(1+'Attrition Modeling'!$N$8)-'IP Attrition'!AQ$65)/12*'IP Attrition'!AQ93,0)))</f>
        <v>0</v>
      </c>
      <c r="AS158" s="799">
        <f>IF(EOMONTH(Inputs!$C$8,'IP Attrition'!AS$134-1)&lt;=Inputs!$C$9,0,MIN(IF(ISERROR(VLOOKUP(AS$134+$F158,$D$135:$D$165,1,FALSE)),0,AR26*$C$2),MAX((IF(Monthly!AO$4=TRUE,Monthly!AO$13,Monthly!AO$14)*(1+'Attrition Modeling'!$N$8)-'IP Attrition'!AR$65)/12*'IP Attrition'!AR93,0)))</f>
        <v>0</v>
      </c>
      <c r="AT158" s="799">
        <f>IF(EOMONTH(Inputs!$C$8,'IP Attrition'!AT$134-1)&lt;=Inputs!$C$9,0,MIN(IF(ISERROR(VLOOKUP(AT$134+$F158,$D$135:$D$165,1,FALSE)),0,AS26*$C$2),MAX((IF(Monthly!AP$4=TRUE,Monthly!AP$13,Monthly!AP$14)*(1+'Attrition Modeling'!$N$8)-'IP Attrition'!AS$65)/12*'IP Attrition'!AS93,0)))</f>
        <v>0</v>
      </c>
      <c r="AU158" s="799">
        <f>IF(EOMONTH(Inputs!$C$8,'IP Attrition'!AU$134-1)&lt;=Inputs!$C$9,0,MIN(IF(ISERROR(VLOOKUP(AU$134+$F158,$D$135:$D$165,1,FALSE)),0,AT26*$C$2),MAX((IF(Monthly!AQ$4=TRUE,Monthly!AQ$13,Monthly!AQ$14)*(1+'Attrition Modeling'!$N$8)-'IP Attrition'!AT$65)/12*'IP Attrition'!AT93,0)))</f>
        <v>0</v>
      </c>
      <c r="AV158" s="799">
        <f>IF(EOMONTH(Inputs!$C$8,'IP Attrition'!AV$134-1)&lt;=Inputs!$C$9,0,MIN(IF(ISERROR(VLOOKUP(AV$134+$F158,$D$135:$D$165,1,FALSE)),0,AU26*$C$2),MAX((IF(Monthly!AR$4=TRUE,Monthly!AR$13,Monthly!AR$14)*(1+'Attrition Modeling'!$N$8)-'IP Attrition'!AU$65)/12*'IP Attrition'!AU93,0)))</f>
        <v>0</v>
      </c>
      <c r="AW158" s="799">
        <f>IF(EOMONTH(Inputs!$C$8,'IP Attrition'!AW$134-1)&lt;=Inputs!$C$9,0,MIN(IF(ISERROR(VLOOKUP(AW$134+$F158,$D$135:$D$165,1,FALSE)),0,AV26*$C$2),MAX((IF(Monthly!AS$4=TRUE,Monthly!AS$13,Monthly!AS$14)*(1+'Attrition Modeling'!$N$8)-'IP Attrition'!AV$65)/12*'IP Attrition'!AV93,0)))</f>
        <v>0</v>
      </c>
      <c r="AX158" s="799">
        <f>IF(EOMONTH(Inputs!$C$8,'IP Attrition'!AX$134-1)&lt;=Inputs!$C$9,0,MIN(IF(ISERROR(VLOOKUP(AX$134+$F158,$D$135:$D$165,1,FALSE)),0,AW26*$C$2),MAX((IF(Monthly!AT$4=TRUE,Monthly!AT$13,Monthly!AT$14)*(1+'Attrition Modeling'!$N$8)-'IP Attrition'!AW$65)/12*'IP Attrition'!AW93,0)))</f>
        <v>0</v>
      </c>
      <c r="AY158" s="799">
        <f>IF(EOMONTH(Inputs!$C$8,'IP Attrition'!AY$134-1)&lt;=Inputs!$C$9,0,MIN(IF(ISERROR(VLOOKUP(AY$134+$F158,$D$135:$D$165,1,FALSE)),0,AX26*$C$2),MAX((IF(Monthly!AU$4=TRUE,Monthly!AU$13,Monthly!AU$14)*(1+'Attrition Modeling'!$N$8)-'IP Attrition'!AX$65)/12*'IP Attrition'!AX93,0)))</f>
        <v>0</v>
      </c>
      <c r="AZ158" s="799">
        <f>IF(EOMONTH(Inputs!$C$8,'IP Attrition'!AZ$134-1)&lt;=Inputs!$C$9,0,MIN(IF(ISERROR(VLOOKUP(AZ$134+$F158,$D$135:$D$165,1,FALSE)),0,AY26*$C$2),MAX((IF(Monthly!AV$4=TRUE,Monthly!AV$13,Monthly!AV$14)*(1+'Attrition Modeling'!$N$8)-'IP Attrition'!AY$65)/12*'IP Attrition'!AY93,0)))</f>
        <v>0</v>
      </c>
      <c r="BA158" s="799">
        <f>IF(EOMONTH(Inputs!$C$8,'IP Attrition'!BA$134-1)&lt;=Inputs!$C$9,0,MIN(IF(ISERROR(VLOOKUP(BA$134+$F158,$D$135:$D$165,1,FALSE)),0,AZ26*$C$2),MAX((IF(Monthly!AW$4=TRUE,Monthly!AW$13,Monthly!AW$14)*(1+'Attrition Modeling'!$N$8)-'IP Attrition'!AZ$65)/12*'IP Attrition'!AZ93,0)))</f>
        <v>0</v>
      </c>
      <c r="BB158" s="799">
        <f>IF(EOMONTH(Inputs!$C$8,'IP Attrition'!BB$134-1)&lt;=Inputs!$C$9,0,MIN(IF(ISERROR(VLOOKUP(BB$134+$F158,$D$135:$D$165,1,FALSE)),0,BA26*$C$2),MAX((IF(Monthly!AX$4=TRUE,Monthly!AX$13,Monthly!AX$14)*(1+'Attrition Modeling'!$N$8)-'IP Attrition'!BA$65)/12*'IP Attrition'!BA93,0)))</f>
        <v>0</v>
      </c>
      <c r="BC158" s="799">
        <f>IF(EOMONTH(Inputs!$C$8,'IP Attrition'!BC$134-1)&lt;=Inputs!$C$9,0,MIN(IF(ISERROR(VLOOKUP(BC$134+$F158,$D$135:$D$165,1,FALSE)),0,BB26*$C$2),MAX((IF(Monthly!AY$4=TRUE,Monthly!AY$13,Monthly!AY$14)*(1+'Attrition Modeling'!$N$8)-'IP Attrition'!BB$65)/12*'IP Attrition'!BB93,0)))</f>
        <v>0</v>
      </c>
      <c r="BD158" s="799">
        <f>IF(EOMONTH(Inputs!$C$8,'IP Attrition'!BD$134-1)&lt;=Inputs!$C$9,0,MIN(IF(ISERROR(VLOOKUP(BD$134+$F158,$D$135:$D$165,1,FALSE)),0,BC26*$C$2),MAX((IF(Monthly!AZ$4=TRUE,Monthly!AZ$13,Monthly!AZ$14)*(1+'Attrition Modeling'!$N$8)-'IP Attrition'!BC$65)/12*'IP Attrition'!BC93,0)))</f>
        <v>0</v>
      </c>
      <c r="BE158" s="799">
        <f>IF(EOMONTH(Inputs!$C$8,'IP Attrition'!BE$134-1)&lt;=Inputs!$C$9,0,MIN(IF(ISERROR(VLOOKUP(BE$134+$F158,$D$135:$D$165,1,FALSE)),0,BD26*$C$2),MAX((IF(Monthly!BA$4=TRUE,Monthly!BA$13,Monthly!BA$14)*(1+'Attrition Modeling'!$N$8)-'IP Attrition'!BD$65)/12*'IP Attrition'!BD93,0)))</f>
        <v>0</v>
      </c>
      <c r="BF158" s="799">
        <f>IF(EOMONTH(Inputs!$C$8,'IP Attrition'!BF$134-1)&lt;=Inputs!$C$9,0,MIN(IF(ISERROR(VLOOKUP(BF$134+$F158,$D$135:$D$165,1,FALSE)),0,BE26*$C$2),MAX((IF(Monthly!BB$4=TRUE,Monthly!BB$13,Monthly!BB$14)*(1+'Attrition Modeling'!$N$8)-'IP Attrition'!BE$65)/12*'IP Attrition'!BE93,0)))</f>
        <v>0</v>
      </c>
      <c r="BG158" s="799">
        <f>IF(EOMONTH(Inputs!$C$8,'IP Attrition'!BG$134-1)&lt;=Inputs!$C$9,0,MIN(IF(ISERROR(VLOOKUP(BG$134+$F158,$D$135:$D$165,1,FALSE)),0,BF26*$C$2),MAX((IF(Monthly!BC$4=TRUE,Monthly!BC$13,Monthly!BC$14)*(1+'Attrition Modeling'!$N$8)-'IP Attrition'!BF$65)/12*'IP Attrition'!BF93,0)))</f>
        <v>0</v>
      </c>
      <c r="BH158" s="799">
        <f>IF(EOMONTH(Inputs!$C$8,'IP Attrition'!BH$134-1)&lt;=Inputs!$C$9,0,MIN(IF(ISERROR(VLOOKUP(BH$134+$F158,$D$135:$D$165,1,FALSE)),0,BG26*$C$2),MAX((IF(Monthly!BD$4=TRUE,Monthly!BD$13,Monthly!BD$14)*(1+'Attrition Modeling'!$N$8)-'IP Attrition'!BG$65)/12*'IP Attrition'!BG93,0)))</f>
        <v>0</v>
      </c>
      <c r="BI158" s="799">
        <f>IF(EOMONTH(Inputs!$C$8,'IP Attrition'!BI$134-1)&lt;=Inputs!$C$9,0,MIN(IF(ISERROR(VLOOKUP(BI$134+$F158,$D$135:$D$165,1,FALSE)),0,BH26*$C$2),MAX((IF(Monthly!BE$4=TRUE,Monthly!BE$13,Monthly!BE$14)*(1+'Attrition Modeling'!$N$8)-'IP Attrition'!BH$65)/12*'IP Attrition'!BH93,0)))</f>
        <v>0</v>
      </c>
      <c r="BJ158" s="799">
        <f>IF(EOMONTH(Inputs!$C$8,'IP Attrition'!BJ$134-1)&lt;=Inputs!$C$9,0,MIN(IF(ISERROR(VLOOKUP(BJ$134+$F158,$D$135:$D$165,1,FALSE)),0,BI26*$C$2),MAX((IF(Monthly!BF$4=TRUE,Monthly!BF$13,Monthly!BF$14)*(1+'Attrition Modeling'!$N$8)-'IP Attrition'!BI$65)/12*'IP Attrition'!BI93,0)))</f>
        <v>0</v>
      </c>
      <c r="BK158" s="799">
        <f>IF(EOMONTH(Inputs!$C$8,'IP Attrition'!BK$134-1)&lt;=Inputs!$C$9,0,MIN(IF(ISERROR(VLOOKUP(BK$134+$F158,$D$135:$D$165,1,FALSE)),0,BJ26*$C$2),MAX((IF(Monthly!BG$4=TRUE,Monthly!BG$13,Monthly!BG$14)*(1+'Attrition Modeling'!$N$8)-'IP Attrition'!BJ$65)/12*'IP Attrition'!BJ93,0)))</f>
        <v>0</v>
      </c>
      <c r="BL158" s="799">
        <f>IF(EOMONTH(Inputs!$C$8,'IP Attrition'!BL$134-1)&lt;=Inputs!$C$9,0,MIN(IF(ISERROR(VLOOKUP(BL$134+$F158,$D$135:$D$165,1,FALSE)),0,BK26*$C$2),MAX((IF(Monthly!BH$4=TRUE,Monthly!BH$13,Monthly!BH$14)*(1+'Attrition Modeling'!$N$8)-'IP Attrition'!BK$65)/12*'IP Attrition'!BK93,0)))</f>
        <v>0</v>
      </c>
      <c r="BM158" s="799">
        <f>IF(EOMONTH(Inputs!$C$8,'IP Attrition'!BM$134-1)&lt;=Inputs!$C$9,0,MIN(IF(ISERROR(VLOOKUP(BM$134+$F158,$D$135:$D$165,1,FALSE)),0,BL26*$C$2),MAX((IF(Monthly!BI$4=TRUE,Monthly!BI$13,Monthly!BI$14)*(1+'Attrition Modeling'!$N$8)-'IP Attrition'!BL$65)/12*'IP Attrition'!BL93,0)))</f>
        <v>0</v>
      </c>
      <c r="BN158" s="799">
        <f>IF(EOMONTH(Inputs!$C$8,'IP Attrition'!BN$134-1)&lt;=Inputs!$C$9,0,MIN(IF(ISERROR(VLOOKUP(BN$134+$F158,$D$135:$D$165,1,FALSE)),0,BM26*$C$2),MAX((IF(Monthly!BJ$4=TRUE,Monthly!BJ$13,Monthly!BJ$14)*(1+'Attrition Modeling'!$N$8)-'IP Attrition'!BM$65)/12*'IP Attrition'!BM93,0)))</f>
        <v>0</v>
      </c>
      <c r="BO158" s="799">
        <f>IF(EOMONTH(Inputs!$C$8,'IP Attrition'!BO$134-1)&lt;=Inputs!$C$9,0,MIN(IF(ISERROR(VLOOKUP(BO$134+$F158,$D$135:$D$165,1,FALSE)),0,BN26*$C$2),MAX((IF(Monthly!BK$4=TRUE,Monthly!BK$13,Monthly!BK$14)*(1+'Attrition Modeling'!$N$8)-'IP Attrition'!BN$65)/12*'IP Attrition'!BN93,0)))</f>
        <v>0</v>
      </c>
      <c r="BP158" s="799">
        <f>IF(EOMONTH(Inputs!$C$8,'IP Attrition'!BP$134-1)&lt;=Inputs!$C$9,0,MIN(IF(ISERROR(VLOOKUP(BP$134+$F158,$D$135:$D$165,1,FALSE)),0,BO26*$C$2),MAX((IF(Monthly!BL$4=TRUE,Monthly!BL$13,Monthly!BL$14)*(1+'Attrition Modeling'!$N$8)-'IP Attrition'!BO$65)/12*'IP Attrition'!BO93,0)))</f>
        <v>0</v>
      </c>
      <c r="BQ158" s="799">
        <f>IF(EOMONTH(Inputs!$C$8,'IP Attrition'!BQ$134-1)&lt;=Inputs!$C$9,0,MIN(IF(ISERROR(VLOOKUP(BQ$134+$F158,$D$135:$D$165,1,FALSE)),0,BP26*$C$2),MAX((IF(Monthly!BM$4=TRUE,Monthly!BM$13,Monthly!BM$14)*(1+'Attrition Modeling'!$N$8)-'IP Attrition'!BP$65)/12*'IP Attrition'!BP93,0)))</f>
        <v>0</v>
      </c>
      <c r="BR158" s="799">
        <f>IF(EOMONTH(Inputs!$C$8,'IP Attrition'!BR$134-1)&lt;=Inputs!$C$9,0,MIN(IF(ISERROR(VLOOKUP(BR$134+$F158,$D$135:$D$165,1,FALSE)),0,BQ26*$C$2),MAX((IF(Monthly!BN$4=TRUE,Monthly!BN$13,Monthly!BN$14)*(1+'Attrition Modeling'!$N$8)-'IP Attrition'!BQ$65)/12*'IP Attrition'!BQ93,0)))</f>
        <v>0</v>
      </c>
      <c r="BS158" s="799">
        <f>IF(EOMONTH(Inputs!$C$8,'IP Attrition'!BS$134-1)&lt;=Inputs!$C$9,0,MIN(IF(ISERROR(VLOOKUP(BS$134+$F158,$D$135:$D$165,1,FALSE)),0,BR26*$C$2),MAX((IF(Monthly!BO$4=TRUE,Monthly!BO$13,Monthly!BO$14)*(1+'Attrition Modeling'!$N$8)-'IP Attrition'!BR$65)/12*'IP Attrition'!BR93,0)))</f>
        <v>0</v>
      </c>
      <c r="BT158" s="799" t="e">
        <f>IF(EOMONTH(Inputs!$C$8,'IP Attrition'!BT$134-1)&lt;=Inputs!$C$9,0,MIN(IF(ISERROR(VLOOKUP(BT$134+$F158,$D$135:$D$165,1,FALSE)),0,BS26*$C$2),MAX((IF(Monthly!#REF!=TRUE,Monthly!#REF!,Monthly!#REF!)*(1+'Attrition Modeling'!$N$8)-'IP Attrition'!BS$65)/12*'IP Attrition'!BS93,0)))</f>
        <v>#REF!</v>
      </c>
      <c r="BU158" s="799" t="e">
        <f>IF(EOMONTH(Inputs!$C$8,'IP Attrition'!BU$134-1)&lt;=Inputs!$C$9,0,MIN(IF(ISERROR(VLOOKUP(BU$134+$F158,$D$135:$D$165,1,FALSE)),0,BT26*$C$2),MAX((IF(Monthly!#REF!=TRUE,Monthly!#REF!,Monthly!#REF!)*(1+'Attrition Modeling'!$N$8)-'IP Attrition'!BT$65)/12*'IP Attrition'!BT93,0)))</f>
        <v>#REF!</v>
      </c>
    </row>
    <row r="159" spans="1:73" ht="14.25" customHeight="1" x14ac:dyDescent="0.2">
      <c r="A159" s="9">
        <v>152</v>
      </c>
      <c r="B159" s="25">
        <f>MAX('Attrition Modeling'!H156,$C$3)*(1-Summary!$C$20)</f>
        <v>0.02</v>
      </c>
      <c r="C159" s="24" t="e">
        <f t="shared" si="3"/>
        <v>#DIV/0!</v>
      </c>
      <c r="D159" s="11">
        <f t="shared" si="72"/>
        <v>294</v>
      </c>
      <c r="E159" s="25">
        <f t="shared" si="71"/>
        <v>0</v>
      </c>
      <c r="F159" s="11">
        <f t="shared" si="73"/>
        <v>24</v>
      </c>
      <c r="G159" s="799"/>
      <c r="H159" s="799">
        <f>IF(EOMONTH(Inputs!$C$8,'IP Attrition'!H$134-1)&lt;=Inputs!$C$9,0,MIN(IF(ISERROR(VLOOKUP(H$134+$F159,$D$135:$D$165,1,FALSE)),0,G27*$C$2),MAX((IF(Monthly!D$4=TRUE,Monthly!D$13,Monthly!D$14)*(1+'Attrition Modeling'!$N$8)-'IP Attrition'!G$65)/12*'IP Attrition'!G94,0)))</f>
        <v>0</v>
      </c>
      <c r="I159" s="799">
        <f>IF(EOMONTH(Inputs!$C$8,'IP Attrition'!I$134-1)&lt;=Inputs!$C$9,0,MIN(IF(ISERROR(VLOOKUP(I$134+$F159,$D$135:$D$165,1,FALSE)),0,H27*$C$2),MAX((IF(Monthly!E$4=TRUE,Monthly!E$13,Monthly!E$14)*(1+'Attrition Modeling'!$N$8)-'IP Attrition'!H$65)/12*'IP Attrition'!H94,0)))</f>
        <v>0</v>
      </c>
      <c r="J159" s="799">
        <f>IF(EOMONTH(Inputs!$C$8,'IP Attrition'!J$134-1)&lt;=Inputs!$C$9,0,MIN(IF(ISERROR(VLOOKUP(J$134+$F159,$D$135:$D$165,1,FALSE)),0,I27*$C$2),MAX((IF(Monthly!F$4=TRUE,Monthly!F$13,Monthly!F$14)*(1+'Attrition Modeling'!$N$8)-'IP Attrition'!I$65)/12*'IP Attrition'!I94,0)))</f>
        <v>0</v>
      </c>
      <c r="K159" s="799">
        <f>IF(EOMONTH(Inputs!$C$8,'IP Attrition'!K$134-1)&lt;=Inputs!$C$9,0,MIN(IF(ISERROR(VLOOKUP(K$134+$F159,$D$135:$D$165,1,FALSE)),0,J27*$C$2),MAX((IF(Monthly!G$4=TRUE,Monthly!G$13,Monthly!G$14)*(1+'Attrition Modeling'!$N$8)-'IP Attrition'!J$65)/12*'IP Attrition'!J94,0)))</f>
        <v>0</v>
      </c>
      <c r="L159" s="799">
        <f>IF(EOMONTH(Inputs!$C$8,'IP Attrition'!L$134-1)&lt;=Inputs!$C$9,0,MIN(IF(ISERROR(VLOOKUP(L$134+$F159,$D$135:$D$165,1,FALSE)),0,K27*$C$2),MAX((IF(Monthly!H$4=TRUE,Monthly!H$13,Monthly!H$14)*(1+'Attrition Modeling'!$N$8)-'IP Attrition'!K$65)/12*'IP Attrition'!K94,0)))</f>
        <v>0</v>
      </c>
      <c r="M159" s="799">
        <f>IF(EOMONTH(Inputs!$C$8,'IP Attrition'!M$134-1)&lt;=Inputs!$C$9,0,MIN(IF(ISERROR(VLOOKUP(M$134+$F159,$D$135:$D$165,1,FALSE)),0,L27*$C$2),MAX((IF(Monthly!I$4=TRUE,Monthly!I$13,Monthly!I$14)*(1+'Attrition Modeling'!$N$8)-'IP Attrition'!L$65)/12*'IP Attrition'!L94,0)))</f>
        <v>0</v>
      </c>
      <c r="N159" s="799">
        <f>IF(EOMONTH(Inputs!$C$8,'IP Attrition'!N$134-1)&lt;=Inputs!$C$9,0,MIN(IF(ISERROR(VLOOKUP(N$134+$F159,$D$135:$D$165,1,FALSE)),0,M27*$C$2),MAX((IF(Monthly!J$4=TRUE,Monthly!J$13,Monthly!J$14)*(1+'Attrition Modeling'!$N$8)-'IP Attrition'!M$65)/12*'IP Attrition'!M94,0)))</f>
        <v>0</v>
      </c>
      <c r="O159" s="799">
        <f>IF(EOMONTH(Inputs!$C$8,'IP Attrition'!O$134-1)&lt;=Inputs!$C$9,0,MIN(IF(ISERROR(VLOOKUP(O$134+$F159,$D$135:$D$165,1,FALSE)),0,N27*$C$2),MAX((IF(Monthly!K$4=TRUE,Monthly!K$13,Monthly!K$14)*(1+'Attrition Modeling'!$N$8)-'IP Attrition'!N$65)/12*'IP Attrition'!N94,0)))</f>
        <v>0</v>
      </c>
      <c r="P159" s="799">
        <f>IF(EOMONTH(Inputs!$C$8,'IP Attrition'!P$134-1)&lt;=Inputs!$C$9,0,MIN(IF(ISERROR(VLOOKUP(P$134+$F159,$D$135:$D$165,1,FALSE)),0,O27*$C$2),MAX((IF(Monthly!L$4=TRUE,Monthly!L$13,Monthly!L$14)*(1+'Attrition Modeling'!$N$8)-'IP Attrition'!O$65)/12*'IP Attrition'!O94,0)))</f>
        <v>0</v>
      </c>
      <c r="Q159" s="799">
        <f>IF(EOMONTH(Inputs!$C$8,'IP Attrition'!Q$134-1)&lt;=Inputs!$C$9,0,MIN(IF(ISERROR(VLOOKUP(Q$134+$F159,$D$135:$D$165,1,FALSE)),0,P27*$C$2),MAX((IF(Monthly!M$4=TRUE,Monthly!M$13,Monthly!M$14)*(1+'Attrition Modeling'!$N$8)-'IP Attrition'!P$65)/12*'IP Attrition'!P94,0)))</f>
        <v>0</v>
      </c>
      <c r="R159" s="799">
        <f>IF(EOMONTH(Inputs!$C$8,'IP Attrition'!R$134-1)&lt;=Inputs!$C$9,0,MIN(IF(ISERROR(VLOOKUP(R$134+$F159,$D$135:$D$165,1,FALSE)),0,Q27*$C$2),MAX((IF(Monthly!N$4=TRUE,Monthly!N$13,Monthly!N$14)*(1+'Attrition Modeling'!$N$8)-'IP Attrition'!Q$65)/12*'IP Attrition'!Q94,0)))</f>
        <v>0</v>
      </c>
      <c r="S159" s="799">
        <f>IF(EOMONTH(Inputs!$C$8,'IP Attrition'!S$134-1)&lt;=Inputs!$C$9,0,MIN(IF(ISERROR(VLOOKUP(S$134+$F159,$D$135:$D$165,1,FALSE)),0,R27*$C$2),MAX((IF(Monthly!O$4=TRUE,Monthly!O$13,Monthly!O$14)*(1+'Attrition Modeling'!$N$8)-'IP Attrition'!R$65)/12*'IP Attrition'!R94,0)))</f>
        <v>0</v>
      </c>
      <c r="T159" s="799">
        <f>IF(EOMONTH(Inputs!$C$8,'IP Attrition'!T$134-1)&lt;=Inputs!$C$9,0,MIN(IF(ISERROR(VLOOKUP(T$134+$F159,$D$135:$D$165,1,FALSE)),0,S27*$C$2),MAX((IF(Monthly!P$4=TRUE,Monthly!P$13,Monthly!P$14)*(1+'Attrition Modeling'!$N$8)-'IP Attrition'!S$65)/12*'IP Attrition'!S94,0)))</f>
        <v>0</v>
      </c>
      <c r="U159" s="799">
        <f>IF(EOMONTH(Inputs!$C$8,'IP Attrition'!U$134-1)&lt;=Inputs!$C$9,0,MIN(IF(ISERROR(VLOOKUP(U$134+$F159,$D$135:$D$165,1,FALSE)),0,T27*$C$2),MAX((IF(Monthly!Q$4=TRUE,Monthly!Q$13,Monthly!Q$14)*(1+'Attrition Modeling'!$N$8)-'IP Attrition'!T$65)/12*'IP Attrition'!T94,0)))</f>
        <v>0</v>
      </c>
      <c r="V159" s="799">
        <f>IF(EOMONTH(Inputs!$C$8,'IP Attrition'!V$134-1)&lt;=Inputs!$C$9,0,MIN(IF(ISERROR(VLOOKUP(V$134+$F159,$D$135:$D$165,1,FALSE)),0,U27*$C$2),MAX((IF(Monthly!R$4=TRUE,Monthly!R$13,Monthly!R$14)*(1+'Attrition Modeling'!$N$8)-'IP Attrition'!U$65)/12*'IP Attrition'!U94,0)))</f>
        <v>0</v>
      </c>
      <c r="W159" s="799">
        <f>IF(EOMONTH(Inputs!$C$8,'IP Attrition'!W$134-1)&lt;=Inputs!$C$9,0,MIN(IF(ISERROR(VLOOKUP(W$134+$F159,$D$135:$D$165,1,FALSE)),0,V27*$C$2),MAX((IF(Monthly!S$4=TRUE,Monthly!S$13,Monthly!S$14)*(1+'Attrition Modeling'!$N$8)-'IP Attrition'!V$65)/12*'IP Attrition'!V94,0)))</f>
        <v>0</v>
      </c>
      <c r="X159" s="799">
        <f>IF(EOMONTH(Inputs!$C$8,'IP Attrition'!X$134-1)&lt;=Inputs!$C$9,0,MIN(IF(ISERROR(VLOOKUP(X$134+$F159,$D$135:$D$165,1,FALSE)),0,W27*$C$2),MAX((IF(Monthly!T$4=TRUE,Monthly!T$13,Monthly!T$14)*(1+'Attrition Modeling'!$N$8)-'IP Attrition'!W$65)/12*'IP Attrition'!W94,0)))</f>
        <v>0</v>
      </c>
      <c r="Y159" s="799">
        <f>IF(EOMONTH(Inputs!$C$8,'IP Attrition'!Y$134-1)&lt;=Inputs!$C$9,0,MIN(IF(ISERROR(VLOOKUP(Y$134+$F159,$D$135:$D$165,1,FALSE)),0,X27*$C$2),MAX((IF(Monthly!U$4=TRUE,Monthly!U$13,Monthly!U$14)*(1+'Attrition Modeling'!$N$8)-'IP Attrition'!X$65)/12*'IP Attrition'!X94,0)))</f>
        <v>0</v>
      </c>
      <c r="Z159" s="799">
        <f>IF(EOMONTH(Inputs!$C$8,'IP Attrition'!Z$134-1)&lt;=Inputs!$C$9,0,MIN(IF(ISERROR(VLOOKUP(Z$134+$F159,$D$135:$D$165,1,FALSE)),0,Y27*$C$2),MAX((IF(Monthly!V$4=TRUE,Monthly!V$13,Monthly!V$14)*(1+'Attrition Modeling'!$N$8)-'IP Attrition'!Y$65)/12*'IP Attrition'!Y94,0)))</f>
        <v>0</v>
      </c>
      <c r="AA159" s="799">
        <f>IF(EOMONTH(Inputs!$C$8,'IP Attrition'!AA$134-1)&lt;=Inputs!$C$9,0,MIN(IF(ISERROR(VLOOKUP(AA$134+$F159,$D$135:$D$165,1,FALSE)),0,Z27*$C$2),MAX((IF(Monthly!W$4=TRUE,Monthly!W$13,Monthly!W$14)*(1+'Attrition Modeling'!$N$8)-'IP Attrition'!Z$65)/12*'IP Attrition'!Z94,0)))</f>
        <v>0</v>
      </c>
      <c r="AB159" s="799">
        <f>IF(EOMONTH(Inputs!$C$8,'IP Attrition'!AB$134-1)&lt;=Inputs!$C$9,0,MIN(IF(ISERROR(VLOOKUP(AB$134+$F159,$D$135:$D$165,1,FALSE)),0,AA27*$C$2),MAX((IF(Monthly!X$4=TRUE,Monthly!X$13,Monthly!X$14)*(1+'Attrition Modeling'!$N$8)-'IP Attrition'!AA$65)/12*'IP Attrition'!AA94,0)))</f>
        <v>0</v>
      </c>
      <c r="AC159" s="799">
        <f>IF(EOMONTH(Inputs!$C$8,'IP Attrition'!AC$134-1)&lt;=Inputs!$C$9,0,MIN(IF(ISERROR(VLOOKUP(AC$134+$F159,$D$135:$D$165,1,FALSE)),0,AB27*$C$2),MAX((IF(Monthly!Y$4=TRUE,Monthly!Y$13,Monthly!Y$14)*(1+'Attrition Modeling'!$N$8)-'IP Attrition'!AB$65)/12*'IP Attrition'!AB94,0)))</f>
        <v>0</v>
      </c>
      <c r="AD159" s="799">
        <f>IF(EOMONTH(Inputs!$C$8,'IP Attrition'!AD$134-1)&lt;=Inputs!$C$9,0,MIN(IF(ISERROR(VLOOKUP(AD$134+$F159,$D$135:$D$165,1,FALSE)),0,AC27*$C$2),MAX((IF(Monthly!Z$4=TRUE,Monthly!Z$13,Monthly!Z$14)*(1+'Attrition Modeling'!$N$8)-'IP Attrition'!AC$65)/12*'IP Attrition'!AC94,0)))</f>
        <v>0</v>
      </c>
      <c r="AE159" s="799">
        <f>IF(EOMONTH(Inputs!$C$8,'IP Attrition'!AE$134-1)&lt;=Inputs!$C$9,0,MIN(IF(ISERROR(VLOOKUP(AE$134+$F159,$D$135:$D$165,1,FALSE)),0,AD27*$C$2),MAX((IF(Monthly!AA$4=TRUE,Monthly!AA$13,Monthly!AA$14)*(1+'Attrition Modeling'!$N$8)-'IP Attrition'!AD$65)/12*'IP Attrition'!AD94,0)))</f>
        <v>0</v>
      </c>
      <c r="AF159" s="799">
        <f>IF(EOMONTH(Inputs!$C$8,'IP Attrition'!AF$134-1)&lt;=Inputs!$C$9,0,MIN(IF(ISERROR(VLOOKUP(AF$134+$F159,$D$135:$D$165,1,FALSE)),0,AE27*$C$2),MAX((IF(Monthly!AB$4=TRUE,Monthly!AB$13,Monthly!AB$14)*(1+'Attrition Modeling'!$N$8)-'IP Attrition'!AE$65)/12*'IP Attrition'!AE94,0)))</f>
        <v>0</v>
      </c>
      <c r="AG159" s="799">
        <f>IF(EOMONTH(Inputs!$C$8,'IP Attrition'!AG$134-1)&lt;=Inputs!$C$9,0,MIN(IF(ISERROR(VLOOKUP(AG$134+$F159,$D$135:$D$165,1,FALSE)),0,AF27*$C$2),MAX((IF(Monthly!AC$4=TRUE,Monthly!AC$13,Monthly!AC$14)*(1+'Attrition Modeling'!$N$8)-'IP Attrition'!AF$65)/12*'IP Attrition'!AF94,0)))</f>
        <v>0</v>
      </c>
      <c r="AH159" s="799">
        <f>IF(EOMONTH(Inputs!$C$8,'IP Attrition'!AH$134-1)&lt;=Inputs!$C$9,0,MIN(IF(ISERROR(VLOOKUP(AH$134+$F159,$D$135:$D$165,1,FALSE)),0,AG27*$C$2),MAX((IF(Monthly!AD$4=TRUE,Monthly!AD$13,Monthly!AD$14)*(1+'Attrition Modeling'!$N$8)-'IP Attrition'!AG$65)/12*'IP Attrition'!AG94,0)))</f>
        <v>0</v>
      </c>
      <c r="AI159" s="799">
        <f>IF(EOMONTH(Inputs!$C$8,'IP Attrition'!AI$134-1)&lt;=Inputs!$C$9,0,MIN(IF(ISERROR(VLOOKUP(AI$134+$F159,$D$135:$D$165,1,FALSE)),0,AH27*$C$2),MAX((IF(Monthly!AE$4=TRUE,Monthly!AE$13,Monthly!AE$14)*(1+'Attrition Modeling'!$N$8)-'IP Attrition'!AH$65)/12*'IP Attrition'!AH94,0)))</f>
        <v>0</v>
      </c>
      <c r="AJ159" s="799">
        <f>IF(EOMONTH(Inputs!$C$8,'IP Attrition'!AJ$134-1)&lt;=Inputs!$C$9,0,MIN(IF(ISERROR(VLOOKUP(AJ$134+$F159,$D$135:$D$165,1,FALSE)),0,AI27*$C$2),MAX((IF(Monthly!AF$4=TRUE,Monthly!AF$13,Monthly!AF$14)*(1+'Attrition Modeling'!$N$8)-'IP Attrition'!AI$65)/12*'IP Attrition'!AI94,0)))</f>
        <v>0</v>
      </c>
      <c r="AK159" s="799">
        <f>IF(EOMONTH(Inputs!$C$8,'IP Attrition'!AK$134-1)&lt;=Inputs!$C$9,0,MIN(IF(ISERROR(VLOOKUP(AK$134+$F159,$D$135:$D$165,1,FALSE)),0,AJ27*$C$2),MAX((IF(Monthly!AG$4=TRUE,Monthly!AG$13,Monthly!AG$14)*(1+'Attrition Modeling'!$N$8)-'IP Attrition'!AJ$65)/12*'IP Attrition'!AJ94,0)))</f>
        <v>0</v>
      </c>
      <c r="AL159" s="799">
        <f>IF(EOMONTH(Inputs!$C$8,'IP Attrition'!AL$134-1)&lt;=Inputs!$C$9,0,MIN(IF(ISERROR(VLOOKUP(AL$134+$F159,$D$135:$D$165,1,FALSE)),0,AK27*$C$2),MAX((IF(Monthly!AH$4=TRUE,Monthly!AH$13,Monthly!AH$14)*(1+'Attrition Modeling'!$N$8)-'IP Attrition'!AK$65)/12*'IP Attrition'!AK94,0)))</f>
        <v>0</v>
      </c>
      <c r="AM159" s="799">
        <f>IF(EOMONTH(Inputs!$C$8,'IP Attrition'!AM$134-1)&lt;=Inputs!$C$9,0,MIN(IF(ISERROR(VLOOKUP(AM$134+$F159,$D$135:$D$165,1,FALSE)),0,AL27*$C$2),MAX((IF(Monthly!AI$4=TRUE,Monthly!AI$13,Monthly!AI$14)*(1+'Attrition Modeling'!$N$8)-'IP Attrition'!AL$65)/12*'IP Attrition'!AL94,0)))</f>
        <v>0</v>
      </c>
      <c r="AN159" s="799">
        <f>IF(EOMONTH(Inputs!$C$8,'IP Attrition'!AN$134-1)&lt;=Inputs!$C$9,0,MIN(IF(ISERROR(VLOOKUP(AN$134+$F159,$D$135:$D$165,1,FALSE)),0,AM27*$C$2),MAX((IF(Monthly!AJ$4=TRUE,Monthly!AJ$13,Monthly!AJ$14)*(1+'Attrition Modeling'!$N$8)-'IP Attrition'!AM$65)/12*'IP Attrition'!AM94,0)))</f>
        <v>0</v>
      </c>
      <c r="AO159" s="799">
        <f>IF(EOMONTH(Inputs!$C$8,'IP Attrition'!AO$134-1)&lt;=Inputs!$C$9,0,MIN(IF(ISERROR(VLOOKUP(AO$134+$F159,$D$135:$D$165,1,FALSE)),0,AN27*$C$2),MAX((IF(Monthly!AK$4=TRUE,Monthly!AK$13,Monthly!AK$14)*(1+'Attrition Modeling'!$N$8)-'IP Attrition'!AN$65)/12*'IP Attrition'!AN94,0)))</f>
        <v>0</v>
      </c>
      <c r="AP159" s="799">
        <f>IF(EOMONTH(Inputs!$C$8,'IP Attrition'!AP$134-1)&lt;=Inputs!$C$9,0,MIN(IF(ISERROR(VLOOKUP(AP$134+$F159,$D$135:$D$165,1,FALSE)),0,AO27*$C$2),MAX((IF(Monthly!AL$4=TRUE,Monthly!AL$13,Monthly!AL$14)*(1+'Attrition Modeling'!$N$8)-'IP Attrition'!AO$65)/12*'IP Attrition'!AO94,0)))</f>
        <v>0</v>
      </c>
      <c r="AQ159" s="799">
        <f>IF(EOMONTH(Inputs!$C$8,'IP Attrition'!AQ$134-1)&lt;=Inputs!$C$9,0,MIN(IF(ISERROR(VLOOKUP(AQ$134+$F159,$D$135:$D$165,1,FALSE)),0,AP27*$C$2),MAX((IF(Monthly!AM$4=TRUE,Monthly!AM$13,Monthly!AM$14)*(1+'Attrition Modeling'!$N$8)-'IP Attrition'!AP$65)/12*'IP Attrition'!AP94,0)))</f>
        <v>0</v>
      </c>
      <c r="AR159" s="799">
        <f>IF(EOMONTH(Inputs!$C$8,'IP Attrition'!AR$134-1)&lt;=Inputs!$C$9,0,MIN(IF(ISERROR(VLOOKUP(AR$134+$F159,$D$135:$D$165,1,FALSE)),0,AQ27*$C$2),MAX((IF(Monthly!AN$4=TRUE,Monthly!AN$13,Monthly!AN$14)*(1+'Attrition Modeling'!$N$8)-'IP Attrition'!AQ$65)/12*'IP Attrition'!AQ94,0)))</f>
        <v>0</v>
      </c>
      <c r="AS159" s="799">
        <f>IF(EOMONTH(Inputs!$C$8,'IP Attrition'!AS$134-1)&lt;=Inputs!$C$9,0,MIN(IF(ISERROR(VLOOKUP(AS$134+$F159,$D$135:$D$165,1,FALSE)),0,AR27*$C$2),MAX((IF(Monthly!AO$4=TRUE,Monthly!AO$13,Monthly!AO$14)*(1+'Attrition Modeling'!$N$8)-'IP Attrition'!AR$65)/12*'IP Attrition'!AR94,0)))</f>
        <v>0</v>
      </c>
      <c r="AT159" s="799">
        <f>IF(EOMONTH(Inputs!$C$8,'IP Attrition'!AT$134-1)&lt;=Inputs!$C$9,0,MIN(IF(ISERROR(VLOOKUP(AT$134+$F159,$D$135:$D$165,1,FALSE)),0,AS27*$C$2),MAX((IF(Monthly!AP$4=TRUE,Monthly!AP$13,Monthly!AP$14)*(1+'Attrition Modeling'!$N$8)-'IP Attrition'!AS$65)/12*'IP Attrition'!AS94,0)))</f>
        <v>0</v>
      </c>
      <c r="AU159" s="799">
        <f>IF(EOMONTH(Inputs!$C$8,'IP Attrition'!AU$134-1)&lt;=Inputs!$C$9,0,MIN(IF(ISERROR(VLOOKUP(AU$134+$F159,$D$135:$D$165,1,FALSE)),0,AT27*$C$2),MAX((IF(Monthly!AQ$4=TRUE,Monthly!AQ$13,Monthly!AQ$14)*(1+'Attrition Modeling'!$N$8)-'IP Attrition'!AT$65)/12*'IP Attrition'!AT94,0)))</f>
        <v>0</v>
      </c>
      <c r="AV159" s="799">
        <f>IF(EOMONTH(Inputs!$C$8,'IP Attrition'!AV$134-1)&lt;=Inputs!$C$9,0,MIN(IF(ISERROR(VLOOKUP(AV$134+$F159,$D$135:$D$165,1,FALSE)),0,AU27*$C$2),MAX((IF(Monthly!AR$4=TRUE,Monthly!AR$13,Monthly!AR$14)*(1+'Attrition Modeling'!$N$8)-'IP Attrition'!AU$65)/12*'IP Attrition'!AU94,0)))</f>
        <v>0</v>
      </c>
      <c r="AW159" s="799">
        <f>IF(EOMONTH(Inputs!$C$8,'IP Attrition'!AW$134-1)&lt;=Inputs!$C$9,0,MIN(IF(ISERROR(VLOOKUP(AW$134+$F159,$D$135:$D$165,1,FALSE)),0,AV27*$C$2),MAX((IF(Monthly!AS$4=TRUE,Monthly!AS$13,Monthly!AS$14)*(1+'Attrition Modeling'!$N$8)-'IP Attrition'!AV$65)/12*'IP Attrition'!AV94,0)))</f>
        <v>0</v>
      </c>
      <c r="AX159" s="799">
        <f>IF(EOMONTH(Inputs!$C$8,'IP Attrition'!AX$134-1)&lt;=Inputs!$C$9,0,MIN(IF(ISERROR(VLOOKUP(AX$134+$F159,$D$135:$D$165,1,FALSE)),0,AW27*$C$2),MAX((IF(Monthly!AT$4=TRUE,Monthly!AT$13,Monthly!AT$14)*(1+'Attrition Modeling'!$N$8)-'IP Attrition'!AW$65)/12*'IP Attrition'!AW94,0)))</f>
        <v>0</v>
      </c>
      <c r="AY159" s="799">
        <f>IF(EOMONTH(Inputs!$C$8,'IP Attrition'!AY$134-1)&lt;=Inputs!$C$9,0,MIN(IF(ISERROR(VLOOKUP(AY$134+$F159,$D$135:$D$165,1,FALSE)),0,AX27*$C$2),MAX((IF(Monthly!AU$4=TRUE,Monthly!AU$13,Monthly!AU$14)*(1+'Attrition Modeling'!$N$8)-'IP Attrition'!AX$65)/12*'IP Attrition'!AX94,0)))</f>
        <v>0</v>
      </c>
      <c r="AZ159" s="799">
        <f>IF(EOMONTH(Inputs!$C$8,'IP Attrition'!AZ$134-1)&lt;=Inputs!$C$9,0,MIN(IF(ISERROR(VLOOKUP(AZ$134+$F159,$D$135:$D$165,1,FALSE)),0,AY27*$C$2),MAX((IF(Monthly!AV$4=TRUE,Monthly!AV$13,Monthly!AV$14)*(1+'Attrition Modeling'!$N$8)-'IP Attrition'!AY$65)/12*'IP Attrition'!AY94,0)))</f>
        <v>0</v>
      </c>
      <c r="BA159" s="799">
        <f>IF(EOMONTH(Inputs!$C$8,'IP Attrition'!BA$134-1)&lt;=Inputs!$C$9,0,MIN(IF(ISERROR(VLOOKUP(BA$134+$F159,$D$135:$D$165,1,FALSE)),0,AZ27*$C$2),MAX((IF(Monthly!AW$4=TRUE,Monthly!AW$13,Monthly!AW$14)*(1+'Attrition Modeling'!$N$8)-'IP Attrition'!AZ$65)/12*'IP Attrition'!AZ94,0)))</f>
        <v>0</v>
      </c>
      <c r="BB159" s="799">
        <f>IF(EOMONTH(Inputs!$C$8,'IP Attrition'!BB$134-1)&lt;=Inputs!$C$9,0,MIN(IF(ISERROR(VLOOKUP(BB$134+$F159,$D$135:$D$165,1,FALSE)),0,BA27*$C$2),MAX((IF(Monthly!AX$4=TRUE,Monthly!AX$13,Monthly!AX$14)*(1+'Attrition Modeling'!$N$8)-'IP Attrition'!BA$65)/12*'IP Attrition'!BA94,0)))</f>
        <v>0</v>
      </c>
      <c r="BC159" s="799">
        <f>IF(EOMONTH(Inputs!$C$8,'IP Attrition'!BC$134-1)&lt;=Inputs!$C$9,0,MIN(IF(ISERROR(VLOOKUP(BC$134+$F159,$D$135:$D$165,1,FALSE)),0,BB27*$C$2),MAX((IF(Monthly!AY$4=TRUE,Monthly!AY$13,Monthly!AY$14)*(1+'Attrition Modeling'!$N$8)-'IP Attrition'!BB$65)/12*'IP Attrition'!BB94,0)))</f>
        <v>0</v>
      </c>
      <c r="BD159" s="799">
        <f>IF(EOMONTH(Inputs!$C$8,'IP Attrition'!BD$134-1)&lt;=Inputs!$C$9,0,MIN(IF(ISERROR(VLOOKUP(BD$134+$F159,$D$135:$D$165,1,FALSE)),0,BC27*$C$2),MAX((IF(Monthly!AZ$4=TRUE,Monthly!AZ$13,Monthly!AZ$14)*(1+'Attrition Modeling'!$N$8)-'IP Attrition'!BC$65)/12*'IP Attrition'!BC94,0)))</f>
        <v>0</v>
      </c>
      <c r="BE159" s="799">
        <f>IF(EOMONTH(Inputs!$C$8,'IP Attrition'!BE$134-1)&lt;=Inputs!$C$9,0,MIN(IF(ISERROR(VLOOKUP(BE$134+$F159,$D$135:$D$165,1,FALSE)),0,BD27*$C$2),MAX((IF(Monthly!BA$4=TRUE,Monthly!BA$13,Monthly!BA$14)*(1+'Attrition Modeling'!$N$8)-'IP Attrition'!BD$65)/12*'IP Attrition'!BD94,0)))</f>
        <v>0</v>
      </c>
      <c r="BF159" s="799">
        <f>IF(EOMONTH(Inputs!$C$8,'IP Attrition'!BF$134-1)&lt;=Inputs!$C$9,0,MIN(IF(ISERROR(VLOOKUP(BF$134+$F159,$D$135:$D$165,1,FALSE)),0,BE27*$C$2),MAX((IF(Monthly!BB$4=TRUE,Monthly!BB$13,Monthly!BB$14)*(1+'Attrition Modeling'!$N$8)-'IP Attrition'!BE$65)/12*'IP Attrition'!BE94,0)))</f>
        <v>0</v>
      </c>
      <c r="BG159" s="799">
        <f>IF(EOMONTH(Inputs!$C$8,'IP Attrition'!BG$134-1)&lt;=Inputs!$C$9,0,MIN(IF(ISERROR(VLOOKUP(BG$134+$F159,$D$135:$D$165,1,FALSE)),0,BF27*$C$2),MAX((IF(Monthly!BC$4=TRUE,Monthly!BC$13,Monthly!BC$14)*(1+'Attrition Modeling'!$N$8)-'IP Attrition'!BF$65)/12*'IP Attrition'!BF94,0)))</f>
        <v>0</v>
      </c>
      <c r="BH159" s="799">
        <f>IF(EOMONTH(Inputs!$C$8,'IP Attrition'!BH$134-1)&lt;=Inputs!$C$9,0,MIN(IF(ISERROR(VLOOKUP(BH$134+$F159,$D$135:$D$165,1,FALSE)),0,BG27*$C$2),MAX((IF(Monthly!BD$4=TRUE,Monthly!BD$13,Monthly!BD$14)*(1+'Attrition Modeling'!$N$8)-'IP Attrition'!BG$65)/12*'IP Attrition'!BG94,0)))</f>
        <v>0</v>
      </c>
      <c r="BI159" s="799">
        <f>IF(EOMONTH(Inputs!$C$8,'IP Attrition'!BI$134-1)&lt;=Inputs!$C$9,0,MIN(IF(ISERROR(VLOOKUP(BI$134+$F159,$D$135:$D$165,1,FALSE)),0,BH27*$C$2),MAX((IF(Monthly!BE$4=TRUE,Monthly!BE$13,Monthly!BE$14)*(1+'Attrition Modeling'!$N$8)-'IP Attrition'!BH$65)/12*'IP Attrition'!BH94,0)))</f>
        <v>0</v>
      </c>
      <c r="BJ159" s="799">
        <f>IF(EOMONTH(Inputs!$C$8,'IP Attrition'!BJ$134-1)&lt;=Inputs!$C$9,0,MIN(IF(ISERROR(VLOOKUP(BJ$134+$F159,$D$135:$D$165,1,FALSE)),0,BI27*$C$2),MAX((IF(Monthly!BF$4=TRUE,Monthly!BF$13,Monthly!BF$14)*(1+'Attrition Modeling'!$N$8)-'IP Attrition'!BI$65)/12*'IP Attrition'!BI94,0)))</f>
        <v>0</v>
      </c>
      <c r="BK159" s="799">
        <f>IF(EOMONTH(Inputs!$C$8,'IP Attrition'!BK$134-1)&lt;=Inputs!$C$9,0,MIN(IF(ISERROR(VLOOKUP(BK$134+$F159,$D$135:$D$165,1,FALSE)),0,BJ27*$C$2),MAX((IF(Monthly!BG$4=TRUE,Monthly!BG$13,Monthly!BG$14)*(1+'Attrition Modeling'!$N$8)-'IP Attrition'!BJ$65)/12*'IP Attrition'!BJ94,0)))</f>
        <v>0</v>
      </c>
      <c r="BL159" s="799">
        <f>IF(EOMONTH(Inputs!$C$8,'IP Attrition'!BL$134-1)&lt;=Inputs!$C$9,0,MIN(IF(ISERROR(VLOOKUP(BL$134+$F159,$D$135:$D$165,1,FALSE)),0,BK27*$C$2),MAX((IF(Monthly!BH$4=TRUE,Monthly!BH$13,Monthly!BH$14)*(1+'Attrition Modeling'!$N$8)-'IP Attrition'!BK$65)/12*'IP Attrition'!BK94,0)))</f>
        <v>0</v>
      </c>
      <c r="BM159" s="799">
        <f>IF(EOMONTH(Inputs!$C$8,'IP Attrition'!BM$134-1)&lt;=Inputs!$C$9,0,MIN(IF(ISERROR(VLOOKUP(BM$134+$F159,$D$135:$D$165,1,FALSE)),0,BL27*$C$2),MAX((IF(Monthly!BI$4=TRUE,Monthly!BI$13,Monthly!BI$14)*(1+'Attrition Modeling'!$N$8)-'IP Attrition'!BL$65)/12*'IP Attrition'!BL94,0)))</f>
        <v>0</v>
      </c>
      <c r="BN159" s="799">
        <f>IF(EOMONTH(Inputs!$C$8,'IP Attrition'!BN$134-1)&lt;=Inputs!$C$9,0,MIN(IF(ISERROR(VLOOKUP(BN$134+$F159,$D$135:$D$165,1,FALSE)),0,BM27*$C$2),MAX((IF(Monthly!BJ$4=TRUE,Monthly!BJ$13,Monthly!BJ$14)*(1+'Attrition Modeling'!$N$8)-'IP Attrition'!BM$65)/12*'IP Attrition'!BM94,0)))</f>
        <v>0</v>
      </c>
      <c r="BO159" s="799">
        <f>IF(EOMONTH(Inputs!$C$8,'IP Attrition'!BO$134-1)&lt;=Inputs!$C$9,0,MIN(IF(ISERROR(VLOOKUP(BO$134+$F159,$D$135:$D$165,1,FALSE)),0,BN27*$C$2),MAX((IF(Monthly!BK$4=TRUE,Monthly!BK$13,Monthly!BK$14)*(1+'Attrition Modeling'!$N$8)-'IP Attrition'!BN$65)/12*'IP Attrition'!BN94,0)))</f>
        <v>0</v>
      </c>
      <c r="BP159" s="799">
        <f>IF(EOMONTH(Inputs!$C$8,'IP Attrition'!BP$134-1)&lt;=Inputs!$C$9,0,MIN(IF(ISERROR(VLOOKUP(BP$134+$F159,$D$135:$D$165,1,FALSE)),0,BO27*$C$2),MAX((IF(Monthly!BL$4=TRUE,Monthly!BL$13,Monthly!BL$14)*(1+'Attrition Modeling'!$N$8)-'IP Attrition'!BO$65)/12*'IP Attrition'!BO94,0)))</f>
        <v>0</v>
      </c>
      <c r="BQ159" s="799">
        <f>IF(EOMONTH(Inputs!$C$8,'IP Attrition'!BQ$134-1)&lt;=Inputs!$C$9,0,MIN(IF(ISERROR(VLOOKUP(BQ$134+$F159,$D$135:$D$165,1,FALSE)),0,BP27*$C$2),MAX((IF(Monthly!BM$4=TRUE,Monthly!BM$13,Monthly!BM$14)*(1+'Attrition Modeling'!$N$8)-'IP Attrition'!BP$65)/12*'IP Attrition'!BP94,0)))</f>
        <v>0</v>
      </c>
      <c r="BR159" s="799">
        <f>IF(EOMONTH(Inputs!$C$8,'IP Attrition'!BR$134-1)&lt;=Inputs!$C$9,0,MIN(IF(ISERROR(VLOOKUP(BR$134+$F159,$D$135:$D$165,1,FALSE)),0,BQ27*$C$2),MAX((IF(Monthly!BN$4=TRUE,Monthly!BN$13,Monthly!BN$14)*(1+'Attrition Modeling'!$N$8)-'IP Attrition'!BQ$65)/12*'IP Attrition'!BQ94,0)))</f>
        <v>0</v>
      </c>
      <c r="BS159" s="799">
        <f>IF(EOMONTH(Inputs!$C$8,'IP Attrition'!BS$134-1)&lt;=Inputs!$C$9,0,MIN(IF(ISERROR(VLOOKUP(BS$134+$F159,$D$135:$D$165,1,FALSE)),0,BR27*$C$2),MAX((IF(Monthly!BO$4=TRUE,Monthly!BO$13,Monthly!BO$14)*(1+'Attrition Modeling'!$N$8)-'IP Attrition'!BR$65)/12*'IP Attrition'!BR94,0)))</f>
        <v>0</v>
      </c>
      <c r="BT159" s="799" t="e">
        <f>IF(EOMONTH(Inputs!$C$8,'IP Attrition'!BT$134-1)&lt;=Inputs!$C$9,0,MIN(IF(ISERROR(VLOOKUP(BT$134+$F159,$D$135:$D$165,1,FALSE)),0,BS27*$C$2),MAX((IF(Monthly!#REF!=TRUE,Monthly!#REF!,Monthly!#REF!)*(1+'Attrition Modeling'!$N$8)-'IP Attrition'!BS$65)/12*'IP Attrition'!BS94,0)))</f>
        <v>#REF!</v>
      </c>
      <c r="BU159" s="799" t="e">
        <f>IF(EOMONTH(Inputs!$C$8,'IP Attrition'!BU$134-1)&lt;=Inputs!$C$9,0,MIN(IF(ISERROR(VLOOKUP(BU$134+$F159,$D$135:$D$165,1,FALSE)),0,BT27*$C$2),MAX((IF(Monthly!#REF!=TRUE,Monthly!#REF!,Monthly!#REF!)*(1+'Attrition Modeling'!$N$8)-'IP Attrition'!BT$65)/12*'IP Attrition'!BT94,0)))</f>
        <v>#REF!</v>
      </c>
    </row>
    <row r="160" spans="1:73" ht="14.25" customHeight="1" x14ac:dyDescent="0.2">
      <c r="A160" s="9">
        <v>153</v>
      </c>
      <c r="B160" s="25">
        <f>MAX('Attrition Modeling'!H157,$C$3)*(1-Summary!$C$20)</f>
        <v>0.02</v>
      </c>
      <c r="C160" s="24" t="e">
        <f t="shared" si="3"/>
        <v>#DIV/0!</v>
      </c>
      <c r="D160" s="11">
        <f t="shared" si="72"/>
        <v>306</v>
      </c>
      <c r="E160" s="25">
        <f t="shared" si="71"/>
        <v>0</v>
      </c>
      <c r="F160" s="11">
        <f t="shared" si="73"/>
        <v>25</v>
      </c>
      <c r="G160" s="799"/>
      <c r="H160" s="799">
        <f>IF(EOMONTH(Inputs!$C$8,'IP Attrition'!H$134-1)&lt;=Inputs!$C$9,0,MIN(IF(ISERROR(VLOOKUP(H$134+$F160,$D$135:$D$165,1,FALSE)),0,G28*$C$2),MAX((IF(Monthly!D$4=TRUE,Monthly!D$13,Monthly!D$14)*(1+'Attrition Modeling'!$N$8)-'IP Attrition'!G$65)/12*'IP Attrition'!G95,0)))</f>
        <v>0</v>
      </c>
      <c r="I160" s="799">
        <f>IF(EOMONTH(Inputs!$C$8,'IP Attrition'!I$134-1)&lt;=Inputs!$C$9,0,MIN(IF(ISERROR(VLOOKUP(I$134+$F160,$D$135:$D$165,1,FALSE)),0,H28*$C$2),MAX((IF(Monthly!E$4=TRUE,Monthly!E$13,Monthly!E$14)*(1+'Attrition Modeling'!$N$8)-'IP Attrition'!H$65)/12*'IP Attrition'!H95,0)))</f>
        <v>0</v>
      </c>
      <c r="J160" s="799">
        <f>IF(EOMONTH(Inputs!$C$8,'IP Attrition'!J$134-1)&lt;=Inputs!$C$9,0,MIN(IF(ISERROR(VLOOKUP(J$134+$F160,$D$135:$D$165,1,FALSE)),0,I28*$C$2),MAX((IF(Monthly!F$4=TRUE,Monthly!F$13,Monthly!F$14)*(1+'Attrition Modeling'!$N$8)-'IP Attrition'!I$65)/12*'IP Attrition'!I95,0)))</f>
        <v>0</v>
      </c>
      <c r="K160" s="799">
        <f>IF(EOMONTH(Inputs!$C$8,'IP Attrition'!K$134-1)&lt;=Inputs!$C$9,0,MIN(IF(ISERROR(VLOOKUP(K$134+$F160,$D$135:$D$165,1,FALSE)),0,J28*$C$2),MAX((IF(Monthly!G$4=TRUE,Monthly!G$13,Monthly!G$14)*(1+'Attrition Modeling'!$N$8)-'IP Attrition'!J$65)/12*'IP Attrition'!J95,0)))</f>
        <v>0</v>
      </c>
      <c r="L160" s="799">
        <f>IF(EOMONTH(Inputs!$C$8,'IP Attrition'!L$134-1)&lt;=Inputs!$C$9,0,MIN(IF(ISERROR(VLOOKUP(L$134+$F160,$D$135:$D$165,1,FALSE)),0,K28*$C$2),MAX((IF(Monthly!H$4=TRUE,Monthly!H$13,Monthly!H$14)*(1+'Attrition Modeling'!$N$8)-'IP Attrition'!K$65)/12*'IP Attrition'!K95,0)))</f>
        <v>0</v>
      </c>
      <c r="M160" s="799">
        <f>IF(EOMONTH(Inputs!$C$8,'IP Attrition'!M$134-1)&lt;=Inputs!$C$9,0,MIN(IF(ISERROR(VLOOKUP(M$134+$F160,$D$135:$D$165,1,FALSE)),0,L28*$C$2),MAX((IF(Monthly!I$4=TRUE,Monthly!I$13,Monthly!I$14)*(1+'Attrition Modeling'!$N$8)-'IP Attrition'!L$65)/12*'IP Attrition'!L95,0)))</f>
        <v>0</v>
      </c>
      <c r="N160" s="799">
        <f>IF(EOMONTH(Inputs!$C$8,'IP Attrition'!N$134-1)&lt;=Inputs!$C$9,0,MIN(IF(ISERROR(VLOOKUP(N$134+$F160,$D$135:$D$165,1,FALSE)),0,M28*$C$2),MAX((IF(Monthly!J$4=TRUE,Monthly!J$13,Monthly!J$14)*(1+'Attrition Modeling'!$N$8)-'IP Attrition'!M$65)/12*'IP Attrition'!M95,0)))</f>
        <v>0</v>
      </c>
      <c r="O160" s="799">
        <f>IF(EOMONTH(Inputs!$C$8,'IP Attrition'!O$134-1)&lt;=Inputs!$C$9,0,MIN(IF(ISERROR(VLOOKUP(O$134+$F160,$D$135:$D$165,1,FALSE)),0,N28*$C$2),MAX((IF(Monthly!K$4=TRUE,Monthly!K$13,Monthly!K$14)*(1+'Attrition Modeling'!$N$8)-'IP Attrition'!N$65)/12*'IP Attrition'!N95,0)))</f>
        <v>0</v>
      </c>
      <c r="P160" s="799">
        <f>IF(EOMONTH(Inputs!$C$8,'IP Attrition'!P$134-1)&lt;=Inputs!$C$9,0,MIN(IF(ISERROR(VLOOKUP(P$134+$F160,$D$135:$D$165,1,FALSE)),0,O28*$C$2),MAX((IF(Monthly!L$4=TRUE,Monthly!L$13,Monthly!L$14)*(1+'Attrition Modeling'!$N$8)-'IP Attrition'!O$65)/12*'IP Attrition'!O95,0)))</f>
        <v>0</v>
      </c>
      <c r="Q160" s="799">
        <f>IF(EOMONTH(Inputs!$C$8,'IP Attrition'!Q$134-1)&lt;=Inputs!$C$9,0,MIN(IF(ISERROR(VLOOKUP(Q$134+$F160,$D$135:$D$165,1,FALSE)),0,P28*$C$2),MAX((IF(Monthly!M$4=TRUE,Monthly!M$13,Monthly!M$14)*(1+'Attrition Modeling'!$N$8)-'IP Attrition'!P$65)/12*'IP Attrition'!P95,0)))</f>
        <v>0</v>
      </c>
      <c r="R160" s="799">
        <f>IF(EOMONTH(Inputs!$C$8,'IP Attrition'!R$134-1)&lt;=Inputs!$C$9,0,MIN(IF(ISERROR(VLOOKUP(R$134+$F160,$D$135:$D$165,1,FALSE)),0,Q28*$C$2),MAX((IF(Monthly!N$4=TRUE,Monthly!N$13,Monthly!N$14)*(1+'Attrition Modeling'!$N$8)-'IP Attrition'!Q$65)/12*'IP Attrition'!Q95,0)))</f>
        <v>0</v>
      </c>
      <c r="S160" s="799">
        <f>IF(EOMONTH(Inputs!$C$8,'IP Attrition'!S$134-1)&lt;=Inputs!$C$9,0,MIN(IF(ISERROR(VLOOKUP(S$134+$F160,$D$135:$D$165,1,FALSE)),0,R28*$C$2),MAX((IF(Monthly!O$4=TRUE,Monthly!O$13,Monthly!O$14)*(1+'Attrition Modeling'!$N$8)-'IP Attrition'!R$65)/12*'IP Attrition'!R95,0)))</f>
        <v>0</v>
      </c>
      <c r="T160" s="799">
        <f>IF(EOMONTH(Inputs!$C$8,'IP Attrition'!T$134-1)&lt;=Inputs!$C$9,0,MIN(IF(ISERROR(VLOOKUP(T$134+$F160,$D$135:$D$165,1,FALSE)),0,S28*$C$2),MAX((IF(Monthly!P$4=TRUE,Monthly!P$13,Monthly!P$14)*(1+'Attrition Modeling'!$N$8)-'IP Attrition'!S$65)/12*'IP Attrition'!S95,0)))</f>
        <v>0</v>
      </c>
      <c r="U160" s="799">
        <f>IF(EOMONTH(Inputs!$C$8,'IP Attrition'!U$134-1)&lt;=Inputs!$C$9,0,MIN(IF(ISERROR(VLOOKUP(U$134+$F160,$D$135:$D$165,1,FALSE)),0,T28*$C$2),MAX((IF(Monthly!Q$4=TRUE,Monthly!Q$13,Monthly!Q$14)*(1+'Attrition Modeling'!$N$8)-'IP Attrition'!T$65)/12*'IP Attrition'!T95,0)))</f>
        <v>0</v>
      </c>
      <c r="V160" s="799">
        <f>IF(EOMONTH(Inputs!$C$8,'IP Attrition'!V$134-1)&lt;=Inputs!$C$9,0,MIN(IF(ISERROR(VLOOKUP(V$134+$F160,$D$135:$D$165,1,FALSE)),0,U28*$C$2),MAX((IF(Monthly!R$4=TRUE,Monthly!R$13,Monthly!R$14)*(1+'Attrition Modeling'!$N$8)-'IP Attrition'!U$65)/12*'IP Attrition'!U95,0)))</f>
        <v>0</v>
      </c>
      <c r="W160" s="799">
        <f>IF(EOMONTH(Inputs!$C$8,'IP Attrition'!W$134-1)&lt;=Inputs!$C$9,0,MIN(IF(ISERROR(VLOOKUP(W$134+$F160,$D$135:$D$165,1,FALSE)),0,V28*$C$2),MAX((IF(Monthly!S$4=TRUE,Monthly!S$13,Monthly!S$14)*(1+'Attrition Modeling'!$N$8)-'IP Attrition'!V$65)/12*'IP Attrition'!V95,0)))</f>
        <v>0</v>
      </c>
      <c r="X160" s="799">
        <f>IF(EOMONTH(Inputs!$C$8,'IP Attrition'!X$134-1)&lt;=Inputs!$C$9,0,MIN(IF(ISERROR(VLOOKUP(X$134+$F160,$D$135:$D$165,1,FALSE)),0,W28*$C$2),MAX((IF(Monthly!T$4=TRUE,Monthly!T$13,Monthly!T$14)*(1+'Attrition Modeling'!$N$8)-'IP Attrition'!W$65)/12*'IP Attrition'!W95,0)))</f>
        <v>0</v>
      </c>
      <c r="Y160" s="799">
        <f>IF(EOMONTH(Inputs!$C$8,'IP Attrition'!Y$134-1)&lt;=Inputs!$C$9,0,MIN(IF(ISERROR(VLOOKUP(Y$134+$F160,$D$135:$D$165,1,FALSE)),0,X28*$C$2),MAX((IF(Monthly!U$4=TRUE,Monthly!U$13,Monthly!U$14)*(1+'Attrition Modeling'!$N$8)-'IP Attrition'!X$65)/12*'IP Attrition'!X95,0)))</f>
        <v>0</v>
      </c>
      <c r="Z160" s="799">
        <f>IF(EOMONTH(Inputs!$C$8,'IP Attrition'!Z$134-1)&lt;=Inputs!$C$9,0,MIN(IF(ISERROR(VLOOKUP(Z$134+$F160,$D$135:$D$165,1,FALSE)),0,Y28*$C$2),MAX((IF(Monthly!V$4=TRUE,Monthly!V$13,Monthly!V$14)*(1+'Attrition Modeling'!$N$8)-'IP Attrition'!Y$65)/12*'IP Attrition'!Y95,0)))</f>
        <v>0</v>
      </c>
      <c r="AA160" s="799">
        <f>IF(EOMONTH(Inputs!$C$8,'IP Attrition'!AA$134-1)&lt;=Inputs!$C$9,0,MIN(IF(ISERROR(VLOOKUP(AA$134+$F160,$D$135:$D$165,1,FALSE)),0,Z28*$C$2),MAX((IF(Monthly!W$4=TRUE,Monthly!W$13,Monthly!W$14)*(1+'Attrition Modeling'!$N$8)-'IP Attrition'!Z$65)/12*'IP Attrition'!Z95,0)))</f>
        <v>0</v>
      </c>
      <c r="AB160" s="799">
        <f>IF(EOMONTH(Inputs!$C$8,'IP Attrition'!AB$134-1)&lt;=Inputs!$C$9,0,MIN(IF(ISERROR(VLOOKUP(AB$134+$F160,$D$135:$D$165,1,FALSE)),0,AA28*$C$2),MAX((IF(Monthly!X$4=TRUE,Monthly!X$13,Monthly!X$14)*(1+'Attrition Modeling'!$N$8)-'IP Attrition'!AA$65)/12*'IP Attrition'!AA95,0)))</f>
        <v>0</v>
      </c>
      <c r="AC160" s="799">
        <f>IF(EOMONTH(Inputs!$C$8,'IP Attrition'!AC$134-1)&lt;=Inputs!$C$9,0,MIN(IF(ISERROR(VLOOKUP(AC$134+$F160,$D$135:$D$165,1,FALSE)),0,AB28*$C$2),MAX((IF(Monthly!Y$4=TRUE,Monthly!Y$13,Monthly!Y$14)*(1+'Attrition Modeling'!$N$8)-'IP Attrition'!AB$65)/12*'IP Attrition'!AB95,0)))</f>
        <v>0</v>
      </c>
      <c r="AD160" s="799">
        <f>IF(EOMONTH(Inputs!$C$8,'IP Attrition'!AD$134-1)&lt;=Inputs!$C$9,0,MIN(IF(ISERROR(VLOOKUP(AD$134+$F160,$D$135:$D$165,1,FALSE)),0,AC28*$C$2),MAX((IF(Monthly!Z$4=TRUE,Monthly!Z$13,Monthly!Z$14)*(1+'Attrition Modeling'!$N$8)-'IP Attrition'!AC$65)/12*'IP Attrition'!AC95,0)))</f>
        <v>0</v>
      </c>
      <c r="AE160" s="799">
        <f>IF(EOMONTH(Inputs!$C$8,'IP Attrition'!AE$134-1)&lt;=Inputs!$C$9,0,MIN(IF(ISERROR(VLOOKUP(AE$134+$F160,$D$135:$D$165,1,FALSE)),0,AD28*$C$2),MAX((IF(Monthly!AA$4=TRUE,Monthly!AA$13,Monthly!AA$14)*(1+'Attrition Modeling'!$N$8)-'IP Attrition'!AD$65)/12*'IP Attrition'!AD95,0)))</f>
        <v>0</v>
      </c>
      <c r="AF160" s="799">
        <f>IF(EOMONTH(Inputs!$C$8,'IP Attrition'!AF$134-1)&lt;=Inputs!$C$9,0,MIN(IF(ISERROR(VLOOKUP(AF$134+$F160,$D$135:$D$165,1,FALSE)),0,AE28*$C$2),MAX((IF(Monthly!AB$4=TRUE,Monthly!AB$13,Monthly!AB$14)*(1+'Attrition Modeling'!$N$8)-'IP Attrition'!AE$65)/12*'IP Attrition'!AE95,0)))</f>
        <v>0</v>
      </c>
      <c r="AG160" s="799">
        <f>IF(EOMONTH(Inputs!$C$8,'IP Attrition'!AG$134-1)&lt;=Inputs!$C$9,0,MIN(IF(ISERROR(VLOOKUP(AG$134+$F160,$D$135:$D$165,1,FALSE)),0,AF28*$C$2),MAX((IF(Monthly!AC$4=TRUE,Monthly!AC$13,Monthly!AC$14)*(1+'Attrition Modeling'!$N$8)-'IP Attrition'!AF$65)/12*'IP Attrition'!AF95,0)))</f>
        <v>0</v>
      </c>
      <c r="AH160" s="799">
        <f>IF(EOMONTH(Inputs!$C$8,'IP Attrition'!AH$134-1)&lt;=Inputs!$C$9,0,MIN(IF(ISERROR(VLOOKUP(AH$134+$F160,$D$135:$D$165,1,FALSE)),0,AG28*$C$2),MAX((IF(Monthly!AD$4=TRUE,Monthly!AD$13,Monthly!AD$14)*(1+'Attrition Modeling'!$N$8)-'IP Attrition'!AG$65)/12*'IP Attrition'!AG95,0)))</f>
        <v>0</v>
      </c>
      <c r="AI160" s="799">
        <f>IF(EOMONTH(Inputs!$C$8,'IP Attrition'!AI$134-1)&lt;=Inputs!$C$9,0,MIN(IF(ISERROR(VLOOKUP(AI$134+$F160,$D$135:$D$165,1,FALSE)),0,AH28*$C$2),MAX((IF(Monthly!AE$4=TRUE,Monthly!AE$13,Monthly!AE$14)*(1+'Attrition Modeling'!$N$8)-'IP Attrition'!AH$65)/12*'IP Attrition'!AH95,0)))</f>
        <v>0</v>
      </c>
      <c r="AJ160" s="799">
        <f>IF(EOMONTH(Inputs!$C$8,'IP Attrition'!AJ$134-1)&lt;=Inputs!$C$9,0,MIN(IF(ISERROR(VLOOKUP(AJ$134+$F160,$D$135:$D$165,1,FALSE)),0,AI28*$C$2),MAX((IF(Monthly!AF$4=TRUE,Monthly!AF$13,Monthly!AF$14)*(1+'Attrition Modeling'!$N$8)-'IP Attrition'!AI$65)/12*'IP Attrition'!AI95,0)))</f>
        <v>0</v>
      </c>
      <c r="AK160" s="799">
        <f>IF(EOMONTH(Inputs!$C$8,'IP Attrition'!AK$134-1)&lt;=Inputs!$C$9,0,MIN(IF(ISERROR(VLOOKUP(AK$134+$F160,$D$135:$D$165,1,FALSE)),0,AJ28*$C$2),MAX((IF(Monthly!AG$4=TRUE,Monthly!AG$13,Monthly!AG$14)*(1+'Attrition Modeling'!$N$8)-'IP Attrition'!AJ$65)/12*'IP Attrition'!AJ95,0)))</f>
        <v>0</v>
      </c>
      <c r="AL160" s="799">
        <f>IF(EOMONTH(Inputs!$C$8,'IP Attrition'!AL$134-1)&lt;=Inputs!$C$9,0,MIN(IF(ISERROR(VLOOKUP(AL$134+$F160,$D$135:$D$165,1,FALSE)),0,AK28*$C$2),MAX((IF(Monthly!AH$4=TRUE,Monthly!AH$13,Monthly!AH$14)*(1+'Attrition Modeling'!$N$8)-'IP Attrition'!AK$65)/12*'IP Attrition'!AK95,0)))</f>
        <v>0</v>
      </c>
      <c r="AM160" s="799">
        <f>IF(EOMONTH(Inputs!$C$8,'IP Attrition'!AM$134-1)&lt;=Inputs!$C$9,0,MIN(IF(ISERROR(VLOOKUP(AM$134+$F160,$D$135:$D$165,1,FALSE)),0,AL28*$C$2),MAX((IF(Monthly!AI$4=TRUE,Monthly!AI$13,Monthly!AI$14)*(1+'Attrition Modeling'!$N$8)-'IP Attrition'!AL$65)/12*'IP Attrition'!AL95,0)))</f>
        <v>0</v>
      </c>
      <c r="AN160" s="799">
        <f>IF(EOMONTH(Inputs!$C$8,'IP Attrition'!AN$134-1)&lt;=Inputs!$C$9,0,MIN(IF(ISERROR(VLOOKUP(AN$134+$F160,$D$135:$D$165,1,FALSE)),0,AM28*$C$2),MAX((IF(Monthly!AJ$4=TRUE,Monthly!AJ$13,Monthly!AJ$14)*(1+'Attrition Modeling'!$N$8)-'IP Attrition'!AM$65)/12*'IP Attrition'!AM95,0)))</f>
        <v>0</v>
      </c>
      <c r="AO160" s="799">
        <f>IF(EOMONTH(Inputs!$C$8,'IP Attrition'!AO$134-1)&lt;=Inputs!$C$9,0,MIN(IF(ISERROR(VLOOKUP(AO$134+$F160,$D$135:$D$165,1,FALSE)),0,AN28*$C$2),MAX((IF(Monthly!AK$4=TRUE,Monthly!AK$13,Monthly!AK$14)*(1+'Attrition Modeling'!$N$8)-'IP Attrition'!AN$65)/12*'IP Attrition'!AN95,0)))</f>
        <v>0</v>
      </c>
      <c r="AP160" s="799">
        <f>IF(EOMONTH(Inputs!$C$8,'IP Attrition'!AP$134-1)&lt;=Inputs!$C$9,0,MIN(IF(ISERROR(VLOOKUP(AP$134+$F160,$D$135:$D$165,1,FALSE)),0,AO28*$C$2),MAX((IF(Monthly!AL$4=TRUE,Monthly!AL$13,Monthly!AL$14)*(1+'Attrition Modeling'!$N$8)-'IP Attrition'!AO$65)/12*'IP Attrition'!AO95,0)))</f>
        <v>0</v>
      </c>
      <c r="AQ160" s="799">
        <f>IF(EOMONTH(Inputs!$C$8,'IP Attrition'!AQ$134-1)&lt;=Inputs!$C$9,0,MIN(IF(ISERROR(VLOOKUP(AQ$134+$F160,$D$135:$D$165,1,FALSE)),0,AP28*$C$2),MAX((IF(Monthly!AM$4=TRUE,Monthly!AM$13,Monthly!AM$14)*(1+'Attrition Modeling'!$N$8)-'IP Attrition'!AP$65)/12*'IP Attrition'!AP95,0)))</f>
        <v>0</v>
      </c>
      <c r="AR160" s="799">
        <f>IF(EOMONTH(Inputs!$C$8,'IP Attrition'!AR$134-1)&lt;=Inputs!$C$9,0,MIN(IF(ISERROR(VLOOKUP(AR$134+$F160,$D$135:$D$165,1,FALSE)),0,AQ28*$C$2),MAX((IF(Monthly!AN$4=TRUE,Monthly!AN$13,Monthly!AN$14)*(1+'Attrition Modeling'!$N$8)-'IP Attrition'!AQ$65)/12*'IP Attrition'!AQ95,0)))</f>
        <v>0</v>
      </c>
      <c r="AS160" s="799">
        <f>IF(EOMONTH(Inputs!$C$8,'IP Attrition'!AS$134-1)&lt;=Inputs!$C$9,0,MIN(IF(ISERROR(VLOOKUP(AS$134+$F160,$D$135:$D$165,1,FALSE)),0,AR28*$C$2),MAX((IF(Monthly!AO$4=TRUE,Monthly!AO$13,Monthly!AO$14)*(1+'Attrition Modeling'!$N$8)-'IP Attrition'!AR$65)/12*'IP Attrition'!AR95,0)))</f>
        <v>0</v>
      </c>
      <c r="AT160" s="799">
        <f>IF(EOMONTH(Inputs!$C$8,'IP Attrition'!AT$134-1)&lt;=Inputs!$C$9,0,MIN(IF(ISERROR(VLOOKUP(AT$134+$F160,$D$135:$D$165,1,FALSE)),0,AS28*$C$2),MAX((IF(Monthly!AP$4=TRUE,Monthly!AP$13,Monthly!AP$14)*(1+'Attrition Modeling'!$N$8)-'IP Attrition'!AS$65)/12*'IP Attrition'!AS95,0)))</f>
        <v>0</v>
      </c>
      <c r="AU160" s="799">
        <f>IF(EOMONTH(Inputs!$C$8,'IP Attrition'!AU$134-1)&lt;=Inputs!$C$9,0,MIN(IF(ISERROR(VLOOKUP(AU$134+$F160,$D$135:$D$165,1,FALSE)),0,AT28*$C$2),MAX((IF(Monthly!AQ$4=TRUE,Monthly!AQ$13,Monthly!AQ$14)*(1+'Attrition Modeling'!$N$8)-'IP Attrition'!AT$65)/12*'IP Attrition'!AT95,0)))</f>
        <v>0</v>
      </c>
      <c r="AV160" s="799">
        <f>IF(EOMONTH(Inputs!$C$8,'IP Attrition'!AV$134-1)&lt;=Inputs!$C$9,0,MIN(IF(ISERROR(VLOOKUP(AV$134+$F160,$D$135:$D$165,1,FALSE)),0,AU28*$C$2),MAX((IF(Monthly!AR$4=TRUE,Monthly!AR$13,Monthly!AR$14)*(1+'Attrition Modeling'!$N$8)-'IP Attrition'!AU$65)/12*'IP Attrition'!AU95,0)))</f>
        <v>0</v>
      </c>
      <c r="AW160" s="799">
        <f>IF(EOMONTH(Inputs!$C$8,'IP Attrition'!AW$134-1)&lt;=Inputs!$C$9,0,MIN(IF(ISERROR(VLOOKUP(AW$134+$F160,$D$135:$D$165,1,FALSE)),0,AV28*$C$2),MAX((IF(Monthly!AS$4=TRUE,Monthly!AS$13,Monthly!AS$14)*(1+'Attrition Modeling'!$N$8)-'IP Attrition'!AV$65)/12*'IP Attrition'!AV95,0)))</f>
        <v>0</v>
      </c>
      <c r="AX160" s="799">
        <f>IF(EOMONTH(Inputs!$C$8,'IP Attrition'!AX$134-1)&lt;=Inputs!$C$9,0,MIN(IF(ISERROR(VLOOKUP(AX$134+$F160,$D$135:$D$165,1,FALSE)),0,AW28*$C$2),MAX((IF(Monthly!AT$4=TRUE,Monthly!AT$13,Monthly!AT$14)*(1+'Attrition Modeling'!$N$8)-'IP Attrition'!AW$65)/12*'IP Attrition'!AW95,0)))</f>
        <v>0</v>
      </c>
      <c r="AY160" s="799">
        <f>IF(EOMONTH(Inputs!$C$8,'IP Attrition'!AY$134-1)&lt;=Inputs!$C$9,0,MIN(IF(ISERROR(VLOOKUP(AY$134+$F160,$D$135:$D$165,1,FALSE)),0,AX28*$C$2),MAX((IF(Monthly!AU$4=TRUE,Monthly!AU$13,Monthly!AU$14)*(1+'Attrition Modeling'!$N$8)-'IP Attrition'!AX$65)/12*'IP Attrition'!AX95,0)))</f>
        <v>0</v>
      </c>
      <c r="AZ160" s="799">
        <f>IF(EOMONTH(Inputs!$C$8,'IP Attrition'!AZ$134-1)&lt;=Inputs!$C$9,0,MIN(IF(ISERROR(VLOOKUP(AZ$134+$F160,$D$135:$D$165,1,FALSE)),0,AY28*$C$2),MAX((IF(Monthly!AV$4=TRUE,Monthly!AV$13,Monthly!AV$14)*(1+'Attrition Modeling'!$N$8)-'IP Attrition'!AY$65)/12*'IP Attrition'!AY95,0)))</f>
        <v>0</v>
      </c>
      <c r="BA160" s="799">
        <f>IF(EOMONTH(Inputs!$C$8,'IP Attrition'!BA$134-1)&lt;=Inputs!$C$9,0,MIN(IF(ISERROR(VLOOKUP(BA$134+$F160,$D$135:$D$165,1,FALSE)),0,AZ28*$C$2),MAX((IF(Monthly!AW$4=TRUE,Monthly!AW$13,Monthly!AW$14)*(1+'Attrition Modeling'!$N$8)-'IP Attrition'!AZ$65)/12*'IP Attrition'!AZ95,0)))</f>
        <v>0</v>
      </c>
      <c r="BB160" s="799">
        <f>IF(EOMONTH(Inputs!$C$8,'IP Attrition'!BB$134-1)&lt;=Inputs!$C$9,0,MIN(IF(ISERROR(VLOOKUP(BB$134+$F160,$D$135:$D$165,1,FALSE)),0,BA28*$C$2),MAX((IF(Monthly!AX$4=TRUE,Monthly!AX$13,Monthly!AX$14)*(1+'Attrition Modeling'!$N$8)-'IP Attrition'!BA$65)/12*'IP Attrition'!BA95,0)))</f>
        <v>0</v>
      </c>
      <c r="BC160" s="799">
        <f>IF(EOMONTH(Inputs!$C$8,'IP Attrition'!BC$134-1)&lt;=Inputs!$C$9,0,MIN(IF(ISERROR(VLOOKUP(BC$134+$F160,$D$135:$D$165,1,FALSE)),0,BB28*$C$2),MAX((IF(Monthly!AY$4=TRUE,Monthly!AY$13,Monthly!AY$14)*(1+'Attrition Modeling'!$N$8)-'IP Attrition'!BB$65)/12*'IP Attrition'!BB95,0)))</f>
        <v>0</v>
      </c>
      <c r="BD160" s="799">
        <f>IF(EOMONTH(Inputs!$C$8,'IP Attrition'!BD$134-1)&lt;=Inputs!$C$9,0,MIN(IF(ISERROR(VLOOKUP(BD$134+$F160,$D$135:$D$165,1,FALSE)),0,BC28*$C$2),MAX((IF(Monthly!AZ$4=TRUE,Monthly!AZ$13,Monthly!AZ$14)*(1+'Attrition Modeling'!$N$8)-'IP Attrition'!BC$65)/12*'IP Attrition'!BC95,0)))</f>
        <v>0</v>
      </c>
      <c r="BE160" s="799">
        <f>IF(EOMONTH(Inputs!$C$8,'IP Attrition'!BE$134-1)&lt;=Inputs!$C$9,0,MIN(IF(ISERROR(VLOOKUP(BE$134+$F160,$D$135:$D$165,1,FALSE)),0,BD28*$C$2),MAX((IF(Monthly!BA$4=TRUE,Monthly!BA$13,Monthly!BA$14)*(1+'Attrition Modeling'!$N$8)-'IP Attrition'!BD$65)/12*'IP Attrition'!BD95,0)))</f>
        <v>0</v>
      </c>
      <c r="BF160" s="799">
        <f>IF(EOMONTH(Inputs!$C$8,'IP Attrition'!BF$134-1)&lt;=Inputs!$C$9,0,MIN(IF(ISERROR(VLOOKUP(BF$134+$F160,$D$135:$D$165,1,FALSE)),0,BE28*$C$2),MAX((IF(Monthly!BB$4=TRUE,Monthly!BB$13,Monthly!BB$14)*(1+'Attrition Modeling'!$N$8)-'IP Attrition'!BE$65)/12*'IP Attrition'!BE95,0)))</f>
        <v>0</v>
      </c>
      <c r="BG160" s="799">
        <f>IF(EOMONTH(Inputs!$C$8,'IP Attrition'!BG$134-1)&lt;=Inputs!$C$9,0,MIN(IF(ISERROR(VLOOKUP(BG$134+$F160,$D$135:$D$165,1,FALSE)),0,BF28*$C$2),MAX((IF(Monthly!BC$4=TRUE,Monthly!BC$13,Monthly!BC$14)*(1+'Attrition Modeling'!$N$8)-'IP Attrition'!BF$65)/12*'IP Attrition'!BF95,0)))</f>
        <v>0</v>
      </c>
      <c r="BH160" s="799">
        <f>IF(EOMONTH(Inputs!$C$8,'IP Attrition'!BH$134-1)&lt;=Inputs!$C$9,0,MIN(IF(ISERROR(VLOOKUP(BH$134+$F160,$D$135:$D$165,1,FALSE)),0,BG28*$C$2),MAX((IF(Monthly!BD$4=TRUE,Monthly!BD$13,Monthly!BD$14)*(1+'Attrition Modeling'!$N$8)-'IP Attrition'!BG$65)/12*'IP Attrition'!BG95,0)))</f>
        <v>0</v>
      </c>
      <c r="BI160" s="799">
        <f>IF(EOMONTH(Inputs!$C$8,'IP Attrition'!BI$134-1)&lt;=Inputs!$C$9,0,MIN(IF(ISERROR(VLOOKUP(BI$134+$F160,$D$135:$D$165,1,FALSE)),0,BH28*$C$2),MAX((IF(Monthly!BE$4=TRUE,Monthly!BE$13,Monthly!BE$14)*(1+'Attrition Modeling'!$N$8)-'IP Attrition'!BH$65)/12*'IP Attrition'!BH95,0)))</f>
        <v>0</v>
      </c>
      <c r="BJ160" s="799">
        <f>IF(EOMONTH(Inputs!$C$8,'IP Attrition'!BJ$134-1)&lt;=Inputs!$C$9,0,MIN(IF(ISERROR(VLOOKUP(BJ$134+$F160,$D$135:$D$165,1,FALSE)),0,BI28*$C$2),MAX((IF(Monthly!BF$4=TRUE,Monthly!BF$13,Monthly!BF$14)*(1+'Attrition Modeling'!$N$8)-'IP Attrition'!BI$65)/12*'IP Attrition'!BI95,0)))</f>
        <v>0</v>
      </c>
      <c r="BK160" s="799">
        <f>IF(EOMONTH(Inputs!$C$8,'IP Attrition'!BK$134-1)&lt;=Inputs!$C$9,0,MIN(IF(ISERROR(VLOOKUP(BK$134+$F160,$D$135:$D$165,1,FALSE)),0,BJ28*$C$2),MAX((IF(Monthly!BG$4=TRUE,Monthly!BG$13,Monthly!BG$14)*(1+'Attrition Modeling'!$N$8)-'IP Attrition'!BJ$65)/12*'IP Attrition'!BJ95,0)))</f>
        <v>0</v>
      </c>
      <c r="BL160" s="799">
        <f>IF(EOMONTH(Inputs!$C$8,'IP Attrition'!BL$134-1)&lt;=Inputs!$C$9,0,MIN(IF(ISERROR(VLOOKUP(BL$134+$F160,$D$135:$D$165,1,FALSE)),0,BK28*$C$2),MAX((IF(Monthly!BH$4=TRUE,Monthly!BH$13,Monthly!BH$14)*(1+'Attrition Modeling'!$N$8)-'IP Attrition'!BK$65)/12*'IP Attrition'!BK95,0)))</f>
        <v>0</v>
      </c>
      <c r="BM160" s="799">
        <f>IF(EOMONTH(Inputs!$C$8,'IP Attrition'!BM$134-1)&lt;=Inputs!$C$9,0,MIN(IF(ISERROR(VLOOKUP(BM$134+$F160,$D$135:$D$165,1,FALSE)),0,BL28*$C$2),MAX((IF(Monthly!BI$4=TRUE,Monthly!BI$13,Monthly!BI$14)*(1+'Attrition Modeling'!$N$8)-'IP Attrition'!BL$65)/12*'IP Attrition'!BL95,0)))</f>
        <v>0</v>
      </c>
      <c r="BN160" s="799">
        <f>IF(EOMONTH(Inputs!$C$8,'IP Attrition'!BN$134-1)&lt;=Inputs!$C$9,0,MIN(IF(ISERROR(VLOOKUP(BN$134+$F160,$D$135:$D$165,1,FALSE)),0,BM28*$C$2),MAX((IF(Monthly!BJ$4=TRUE,Monthly!BJ$13,Monthly!BJ$14)*(1+'Attrition Modeling'!$N$8)-'IP Attrition'!BM$65)/12*'IP Attrition'!BM95,0)))</f>
        <v>0</v>
      </c>
      <c r="BO160" s="799">
        <f>IF(EOMONTH(Inputs!$C$8,'IP Attrition'!BO$134-1)&lt;=Inputs!$C$9,0,MIN(IF(ISERROR(VLOOKUP(BO$134+$F160,$D$135:$D$165,1,FALSE)),0,BN28*$C$2),MAX((IF(Monthly!BK$4=TRUE,Monthly!BK$13,Monthly!BK$14)*(1+'Attrition Modeling'!$N$8)-'IP Attrition'!BN$65)/12*'IP Attrition'!BN95,0)))</f>
        <v>0</v>
      </c>
      <c r="BP160" s="799">
        <f>IF(EOMONTH(Inputs!$C$8,'IP Attrition'!BP$134-1)&lt;=Inputs!$C$9,0,MIN(IF(ISERROR(VLOOKUP(BP$134+$F160,$D$135:$D$165,1,FALSE)),0,BO28*$C$2),MAX((IF(Monthly!BL$4=TRUE,Monthly!BL$13,Monthly!BL$14)*(1+'Attrition Modeling'!$N$8)-'IP Attrition'!BO$65)/12*'IP Attrition'!BO95,0)))</f>
        <v>0</v>
      </c>
      <c r="BQ160" s="799">
        <f>IF(EOMONTH(Inputs!$C$8,'IP Attrition'!BQ$134-1)&lt;=Inputs!$C$9,0,MIN(IF(ISERROR(VLOOKUP(BQ$134+$F160,$D$135:$D$165,1,FALSE)),0,BP28*$C$2),MAX((IF(Monthly!BM$4=TRUE,Monthly!BM$13,Monthly!BM$14)*(1+'Attrition Modeling'!$N$8)-'IP Attrition'!BP$65)/12*'IP Attrition'!BP95,0)))</f>
        <v>0</v>
      </c>
      <c r="BR160" s="799">
        <f>IF(EOMONTH(Inputs!$C$8,'IP Attrition'!BR$134-1)&lt;=Inputs!$C$9,0,MIN(IF(ISERROR(VLOOKUP(BR$134+$F160,$D$135:$D$165,1,FALSE)),0,BQ28*$C$2),MAX((IF(Monthly!BN$4=TRUE,Monthly!BN$13,Monthly!BN$14)*(1+'Attrition Modeling'!$N$8)-'IP Attrition'!BQ$65)/12*'IP Attrition'!BQ95,0)))</f>
        <v>0</v>
      </c>
      <c r="BS160" s="799">
        <f>IF(EOMONTH(Inputs!$C$8,'IP Attrition'!BS$134-1)&lt;=Inputs!$C$9,0,MIN(IF(ISERROR(VLOOKUP(BS$134+$F160,$D$135:$D$165,1,FALSE)),0,BR28*$C$2),MAX((IF(Monthly!BO$4=TRUE,Monthly!BO$13,Monthly!BO$14)*(1+'Attrition Modeling'!$N$8)-'IP Attrition'!BR$65)/12*'IP Attrition'!BR95,0)))</f>
        <v>0</v>
      </c>
      <c r="BT160" s="799" t="e">
        <f>IF(EOMONTH(Inputs!$C$8,'IP Attrition'!BT$134-1)&lt;=Inputs!$C$9,0,MIN(IF(ISERROR(VLOOKUP(BT$134+$F160,$D$135:$D$165,1,FALSE)),0,BS28*$C$2),MAX((IF(Monthly!#REF!=TRUE,Monthly!#REF!,Monthly!#REF!)*(1+'Attrition Modeling'!$N$8)-'IP Attrition'!BS$65)/12*'IP Attrition'!BS95,0)))</f>
        <v>#REF!</v>
      </c>
      <c r="BU160" s="799" t="e">
        <f>IF(EOMONTH(Inputs!$C$8,'IP Attrition'!BU$134-1)&lt;=Inputs!$C$9,0,MIN(IF(ISERROR(VLOOKUP(BU$134+$F160,$D$135:$D$165,1,FALSE)),0,BT28*$C$2),MAX((IF(Monthly!#REF!=TRUE,Monthly!#REF!,Monthly!#REF!)*(1+'Attrition Modeling'!$N$8)-'IP Attrition'!BT$65)/12*'IP Attrition'!BT95,0)))</f>
        <v>#REF!</v>
      </c>
    </row>
    <row r="161" spans="1:73" ht="14.25" customHeight="1" x14ac:dyDescent="0.2">
      <c r="A161" s="16">
        <v>154</v>
      </c>
      <c r="B161" s="25">
        <f>MAX('Attrition Modeling'!H158,$C$3)*(1-Summary!$C$20)</f>
        <v>0.02</v>
      </c>
      <c r="C161" s="26" t="e">
        <f t="shared" si="3"/>
        <v>#DIV/0!</v>
      </c>
      <c r="D161" s="11">
        <f t="shared" si="72"/>
        <v>318</v>
      </c>
      <c r="E161" s="25">
        <f t="shared" si="71"/>
        <v>0</v>
      </c>
      <c r="F161" s="11">
        <f t="shared" si="73"/>
        <v>26</v>
      </c>
      <c r="G161" s="799"/>
      <c r="H161" s="799">
        <f>IF(EOMONTH(Inputs!$C$8,'IP Attrition'!H$134-1)&lt;=Inputs!$C$9,0,MIN(IF(ISERROR(VLOOKUP(H$134+$F161,$D$135:$D$165,1,FALSE)),0,G29*$C$2),MAX((IF(Monthly!D$4=TRUE,Monthly!D$13,Monthly!D$14)*(1+'Attrition Modeling'!$N$8)-'IP Attrition'!G$65)/12*'IP Attrition'!G96,0)))</f>
        <v>0</v>
      </c>
      <c r="I161" s="799">
        <f>IF(EOMONTH(Inputs!$C$8,'IP Attrition'!I$134-1)&lt;=Inputs!$C$9,0,MIN(IF(ISERROR(VLOOKUP(I$134+$F161,$D$135:$D$165,1,FALSE)),0,H29*$C$2),MAX((IF(Monthly!E$4=TRUE,Monthly!E$13,Monthly!E$14)*(1+'Attrition Modeling'!$N$8)-'IP Attrition'!H$65)/12*'IP Attrition'!H96,0)))</f>
        <v>0</v>
      </c>
      <c r="J161" s="799">
        <f>IF(EOMONTH(Inputs!$C$8,'IP Attrition'!J$134-1)&lt;=Inputs!$C$9,0,MIN(IF(ISERROR(VLOOKUP(J$134+$F161,$D$135:$D$165,1,FALSE)),0,I29*$C$2),MAX((IF(Monthly!F$4=TRUE,Monthly!F$13,Monthly!F$14)*(1+'Attrition Modeling'!$N$8)-'IP Attrition'!I$65)/12*'IP Attrition'!I96,0)))</f>
        <v>0</v>
      </c>
      <c r="K161" s="799">
        <f>IF(EOMONTH(Inputs!$C$8,'IP Attrition'!K$134-1)&lt;=Inputs!$C$9,0,MIN(IF(ISERROR(VLOOKUP(K$134+$F161,$D$135:$D$165,1,FALSE)),0,J29*$C$2),MAX((IF(Monthly!G$4=TRUE,Monthly!G$13,Monthly!G$14)*(1+'Attrition Modeling'!$N$8)-'IP Attrition'!J$65)/12*'IP Attrition'!J96,0)))</f>
        <v>0</v>
      </c>
      <c r="L161" s="799">
        <f>IF(EOMONTH(Inputs!$C$8,'IP Attrition'!L$134-1)&lt;=Inputs!$C$9,0,MIN(IF(ISERROR(VLOOKUP(L$134+$F161,$D$135:$D$165,1,FALSE)),0,K29*$C$2),MAX((IF(Monthly!H$4=TRUE,Monthly!H$13,Monthly!H$14)*(1+'Attrition Modeling'!$N$8)-'IP Attrition'!K$65)/12*'IP Attrition'!K96,0)))</f>
        <v>0</v>
      </c>
      <c r="M161" s="799">
        <f>IF(EOMONTH(Inputs!$C$8,'IP Attrition'!M$134-1)&lt;=Inputs!$C$9,0,MIN(IF(ISERROR(VLOOKUP(M$134+$F161,$D$135:$D$165,1,FALSE)),0,L29*$C$2),MAX((IF(Monthly!I$4=TRUE,Monthly!I$13,Monthly!I$14)*(1+'Attrition Modeling'!$N$8)-'IP Attrition'!L$65)/12*'IP Attrition'!L96,0)))</f>
        <v>0</v>
      </c>
      <c r="N161" s="799">
        <f>IF(EOMONTH(Inputs!$C$8,'IP Attrition'!N$134-1)&lt;=Inputs!$C$9,0,MIN(IF(ISERROR(VLOOKUP(N$134+$F161,$D$135:$D$165,1,FALSE)),0,M29*$C$2),MAX((IF(Monthly!J$4=TRUE,Monthly!J$13,Monthly!J$14)*(1+'Attrition Modeling'!$N$8)-'IP Attrition'!M$65)/12*'IP Attrition'!M96,0)))</f>
        <v>0</v>
      </c>
      <c r="O161" s="799">
        <f>IF(EOMONTH(Inputs!$C$8,'IP Attrition'!O$134-1)&lt;=Inputs!$C$9,0,MIN(IF(ISERROR(VLOOKUP(O$134+$F161,$D$135:$D$165,1,FALSE)),0,N29*$C$2),MAX((IF(Monthly!K$4=TRUE,Monthly!K$13,Monthly!K$14)*(1+'Attrition Modeling'!$N$8)-'IP Attrition'!N$65)/12*'IP Attrition'!N96,0)))</f>
        <v>0</v>
      </c>
      <c r="P161" s="799">
        <f>IF(EOMONTH(Inputs!$C$8,'IP Attrition'!P$134-1)&lt;=Inputs!$C$9,0,MIN(IF(ISERROR(VLOOKUP(P$134+$F161,$D$135:$D$165,1,FALSE)),0,O29*$C$2),MAX((IF(Monthly!L$4=TRUE,Monthly!L$13,Monthly!L$14)*(1+'Attrition Modeling'!$N$8)-'IP Attrition'!O$65)/12*'IP Attrition'!O96,0)))</f>
        <v>0</v>
      </c>
      <c r="Q161" s="799">
        <f>IF(EOMONTH(Inputs!$C$8,'IP Attrition'!Q$134-1)&lt;=Inputs!$C$9,0,MIN(IF(ISERROR(VLOOKUP(Q$134+$F161,$D$135:$D$165,1,FALSE)),0,P29*$C$2),MAX((IF(Monthly!M$4=TRUE,Monthly!M$13,Monthly!M$14)*(1+'Attrition Modeling'!$N$8)-'IP Attrition'!P$65)/12*'IP Attrition'!P96,0)))</f>
        <v>0</v>
      </c>
      <c r="R161" s="799">
        <f>IF(EOMONTH(Inputs!$C$8,'IP Attrition'!R$134-1)&lt;=Inputs!$C$9,0,MIN(IF(ISERROR(VLOOKUP(R$134+$F161,$D$135:$D$165,1,FALSE)),0,Q29*$C$2),MAX((IF(Monthly!N$4=TRUE,Monthly!N$13,Monthly!N$14)*(1+'Attrition Modeling'!$N$8)-'IP Attrition'!Q$65)/12*'IP Attrition'!Q96,0)))</f>
        <v>0</v>
      </c>
      <c r="S161" s="799">
        <f>IF(EOMONTH(Inputs!$C$8,'IP Attrition'!S$134-1)&lt;=Inputs!$C$9,0,MIN(IF(ISERROR(VLOOKUP(S$134+$F161,$D$135:$D$165,1,FALSE)),0,R29*$C$2),MAX((IF(Monthly!O$4=TRUE,Monthly!O$13,Monthly!O$14)*(1+'Attrition Modeling'!$N$8)-'IP Attrition'!R$65)/12*'IP Attrition'!R96,0)))</f>
        <v>0</v>
      </c>
      <c r="T161" s="799">
        <f>IF(EOMONTH(Inputs!$C$8,'IP Attrition'!T$134-1)&lt;=Inputs!$C$9,0,MIN(IF(ISERROR(VLOOKUP(T$134+$F161,$D$135:$D$165,1,FALSE)),0,S29*$C$2),MAX((IF(Monthly!P$4=TRUE,Monthly!P$13,Monthly!P$14)*(1+'Attrition Modeling'!$N$8)-'IP Attrition'!S$65)/12*'IP Attrition'!S96,0)))</f>
        <v>0</v>
      </c>
      <c r="U161" s="799">
        <f>IF(EOMONTH(Inputs!$C$8,'IP Attrition'!U$134-1)&lt;=Inputs!$C$9,0,MIN(IF(ISERROR(VLOOKUP(U$134+$F161,$D$135:$D$165,1,FALSE)),0,T29*$C$2),MAX((IF(Monthly!Q$4=TRUE,Monthly!Q$13,Monthly!Q$14)*(1+'Attrition Modeling'!$N$8)-'IP Attrition'!T$65)/12*'IP Attrition'!T96,0)))</f>
        <v>0</v>
      </c>
      <c r="V161" s="799">
        <f>IF(EOMONTH(Inputs!$C$8,'IP Attrition'!V$134-1)&lt;=Inputs!$C$9,0,MIN(IF(ISERROR(VLOOKUP(V$134+$F161,$D$135:$D$165,1,FALSE)),0,U29*$C$2),MAX((IF(Monthly!R$4=TRUE,Monthly!R$13,Monthly!R$14)*(1+'Attrition Modeling'!$N$8)-'IP Attrition'!U$65)/12*'IP Attrition'!U96,0)))</f>
        <v>0</v>
      </c>
      <c r="W161" s="799">
        <f>IF(EOMONTH(Inputs!$C$8,'IP Attrition'!W$134-1)&lt;=Inputs!$C$9,0,MIN(IF(ISERROR(VLOOKUP(W$134+$F161,$D$135:$D$165,1,FALSE)),0,V29*$C$2),MAX((IF(Monthly!S$4=TRUE,Monthly!S$13,Monthly!S$14)*(1+'Attrition Modeling'!$N$8)-'IP Attrition'!V$65)/12*'IP Attrition'!V96,0)))</f>
        <v>0</v>
      </c>
      <c r="X161" s="799">
        <f>IF(EOMONTH(Inputs!$C$8,'IP Attrition'!X$134-1)&lt;=Inputs!$C$9,0,MIN(IF(ISERROR(VLOOKUP(X$134+$F161,$D$135:$D$165,1,FALSE)),0,W29*$C$2),MAX((IF(Monthly!T$4=TRUE,Monthly!T$13,Monthly!T$14)*(1+'Attrition Modeling'!$N$8)-'IP Attrition'!W$65)/12*'IP Attrition'!W96,0)))</f>
        <v>0</v>
      </c>
      <c r="Y161" s="799">
        <f>IF(EOMONTH(Inputs!$C$8,'IP Attrition'!Y$134-1)&lt;=Inputs!$C$9,0,MIN(IF(ISERROR(VLOOKUP(Y$134+$F161,$D$135:$D$165,1,FALSE)),0,X29*$C$2),MAX((IF(Monthly!U$4=TRUE,Monthly!U$13,Monthly!U$14)*(1+'Attrition Modeling'!$N$8)-'IP Attrition'!X$65)/12*'IP Attrition'!X96,0)))</f>
        <v>0</v>
      </c>
      <c r="Z161" s="799">
        <f>IF(EOMONTH(Inputs!$C$8,'IP Attrition'!Z$134-1)&lt;=Inputs!$C$9,0,MIN(IF(ISERROR(VLOOKUP(Z$134+$F161,$D$135:$D$165,1,FALSE)),0,Y29*$C$2),MAX((IF(Monthly!V$4=TRUE,Monthly!V$13,Monthly!V$14)*(1+'Attrition Modeling'!$N$8)-'IP Attrition'!Y$65)/12*'IP Attrition'!Y96,0)))</f>
        <v>0</v>
      </c>
      <c r="AA161" s="799">
        <f>IF(EOMONTH(Inputs!$C$8,'IP Attrition'!AA$134-1)&lt;=Inputs!$C$9,0,MIN(IF(ISERROR(VLOOKUP(AA$134+$F161,$D$135:$D$165,1,FALSE)),0,Z29*$C$2),MAX((IF(Monthly!W$4=TRUE,Monthly!W$13,Monthly!W$14)*(1+'Attrition Modeling'!$N$8)-'IP Attrition'!Z$65)/12*'IP Attrition'!Z96,0)))</f>
        <v>0</v>
      </c>
      <c r="AB161" s="799">
        <f>IF(EOMONTH(Inputs!$C$8,'IP Attrition'!AB$134-1)&lt;=Inputs!$C$9,0,MIN(IF(ISERROR(VLOOKUP(AB$134+$F161,$D$135:$D$165,1,FALSE)),0,AA29*$C$2),MAX((IF(Monthly!X$4=TRUE,Monthly!X$13,Monthly!X$14)*(1+'Attrition Modeling'!$N$8)-'IP Attrition'!AA$65)/12*'IP Attrition'!AA96,0)))</f>
        <v>0</v>
      </c>
      <c r="AC161" s="799">
        <f>IF(EOMONTH(Inputs!$C$8,'IP Attrition'!AC$134-1)&lt;=Inputs!$C$9,0,MIN(IF(ISERROR(VLOOKUP(AC$134+$F161,$D$135:$D$165,1,FALSE)),0,AB29*$C$2),MAX((IF(Monthly!Y$4=TRUE,Monthly!Y$13,Monthly!Y$14)*(1+'Attrition Modeling'!$N$8)-'IP Attrition'!AB$65)/12*'IP Attrition'!AB96,0)))</f>
        <v>0</v>
      </c>
      <c r="AD161" s="799">
        <f>IF(EOMONTH(Inputs!$C$8,'IP Attrition'!AD$134-1)&lt;=Inputs!$C$9,0,MIN(IF(ISERROR(VLOOKUP(AD$134+$F161,$D$135:$D$165,1,FALSE)),0,AC29*$C$2),MAX((IF(Monthly!Z$4=TRUE,Monthly!Z$13,Monthly!Z$14)*(1+'Attrition Modeling'!$N$8)-'IP Attrition'!AC$65)/12*'IP Attrition'!AC96,0)))</f>
        <v>0</v>
      </c>
      <c r="AE161" s="799">
        <f>IF(EOMONTH(Inputs!$C$8,'IP Attrition'!AE$134-1)&lt;=Inputs!$C$9,0,MIN(IF(ISERROR(VLOOKUP(AE$134+$F161,$D$135:$D$165,1,FALSE)),0,AD29*$C$2),MAX((IF(Monthly!AA$4=TRUE,Monthly!AA$13,Monthly!AA$14)*(1+'Attrition Modeling'!$N$8)-'IP Attrition'!AD$65)/12*'IP Attrition'!AD96,0)))</f>
        <v>0</v>
      </c>
      <c r="AF161" s="799">
        <f>IF(EOMONTH(Inputs!$C$8,'IP Attrition'!AF$134-1)&lt;=Inputs!$C$9,0,MIN(IF(ISERROR(VLOOKUP(AF$134+$F161,$D$135:$D$165,1,FALSE)),0,AE29*$C$2),MAX((IF(Monthly!AB$4=TRUE,Monthly!AB$13,Monthly!AB$14)*(1+'Attrition Modeling'!$N$8)-'IP Attrition'!AE$65)/12*'IP Attrition'!AE96,0)))</f>
        <v>0</v>
      </c>
      <c r="AG161" s="799">
        <f>IF(EOMONTH(Inputs!$C$8,'IP Attrition'!AG$134-1)&lt;=Inputs!$C$9,0,MIN(IF(ISERROR(VLOOKUP(AG$134+$F161,$D$135:$D$165,1,FALSE)),0,AF29*$C$2),MAX((IF(Monthly!AC$4=TRUE,Monthly!AC$13,Monthly!AC$14)*(1+'Attrition Modeling'!$N$8)-'IP Attrition'!AF$65)/12*'IP Attrition'!AF96,0)))</f>
        <v>0</v>
      </c>
      <c r="AH161" s="799">
        <f>IF(EOMONTH(Inputs!$C$8,'IP Attrition'!AH$134-1)&lt;=Inputs!$C$9,0,MIN(IF(ISERROR(VLOOKUP(AH$134+$F161,$D$135:$D$165,1,FALSE)),0,AG29*$C$2),MAX((IF(Monthly!AD$4=TRUE,Monthly!AD$13,Monthly!AD$14)*(1+'Attrition Modeling'!$N$8)-'IP Attrition'!AG$65)/12*'IP Attrition'!AG96,0)))</f>
        <v>0</v>
      </c>
      <c r="AI161" s="799">
        <f>IF(EOMONTH(Inputs!$C$8,'IP Attrition'!AI$134-1)&lt;=Inputs!$C$9,0,MIN(IF(ISERROR(VLOOKUP(AI$134+$F161,$D$135:$D$165,1,FALSE)),0,AH29*$C$2),MAX((IF(Monthly!AE$4=TRUE,Monthly!AE$13,Monthly!AE$14)*(1+'Attrition Modeling'!$N$8)-'IP Attrition'!AH$65)/12*'IP Attrition'!AH96,0)))</f>
        <v>0</v>
      </c>
      <c r="AJ161" s="799">
        <f>IF(EOMONTH(Inputs!$C$8,'IP Attrition'!AJ$134-1)&lt;=Inputs!$C$9,0,MIN(IF(ISERROR(VLOOKUP(AJ$134+$F161,$D$135:$D$165,1,FALSE)),0,AI29*$C$2),MAX((IF(Monthly!AF$4=TRUE,Monthly!AF$13,Monthly!AF$14)*(1+'Attrition Modeling'!$N$8)-'IP Attrition'!AI$65)/12*'IP Attrition'!AI96,0)))</f>
        <v>0</v>
      </c>
      <c r="AK161" s="799">
        <f>IF(EOMONTH(Inputs!$C$8,'IP Attrition'!AK$134-1)&lt;=Inputs!$C$9,0,MIN(IF(ISERROR(VLOOKUP(AK$134+$F161,$D$135:$D$165,1,FALSE)),0,AJ29*$C$2),MAX((IF(Monthly!AG$4=TRUE,Monthly!AG$13,Monthly!AG$14)*(1+'Attrition Modeling'!$N$8)-'IP Attrition'!AJ$65)/12*'IP Attrition'!AJ96,0)))</f>
        <v>0</v>
      </c>
      <c r="AL161" s="799">
        <f>IF(EOMONTH(Inputs!$C$8,'IP Attrition'!AL$134-1)&lt;=Inputs!$C$9,0,MIN(IF(ISERROR(VLOOKUP(AL$134+$F161,$D$135:$D$165,1,FALSE)),0,AK29*$C$2),MAX((IF(Monthly!AH$4=TRUE,Monthly!AH$13,Monthly!AH$14)*(1+'Attrition Modeling'!$N$8)-'IP Attrition'!AK$65)/12*'IP Attrition'!AK96,0)))</f>
        <v>0</v>
      </c>
      <c r="AM161" s="799">
        <f>IF(EOMONTH(Inputs!$C$8,'IP Attrition'!AM$134-1)&lt;=Inputs!$C$9,0,MIN(IF(ISERROR(VLOOKUP(AM$134+$F161,$D$135:$D$165,1,FALSE)),0,AL29*$C$2),MAX((IF(Monthly!AI$4=TRUE,Monthly!AI$13,Monthly!AI$14)*(1+'Attrition Modeling'!$N$8)-'IP Attrition'!AL$65)/12*'IP Attrition'!AL96,0)))</f>
        <v>0</v>
      </c>
      <c r="AN161" s="799">
        <f>IF(EOMONTH(Inputs!$C$8,'IP Attrition'!AN$134-1)&lt;=Inputs!$C$9,0,MIN(IF(ISERROR(VLOOKUP(AN$134+$F161,$D$135:$D$165,1,FALSE)),0,AM29*$C$2),MAX((IF(Monthly!AJ$4=TRUE,Monthly!AJ$13,Monthly!AJ$14)*(1+'Attrition Modeling'!$N$8)-'IP Attrition'!AM$65)/12*'IP Attrition'!AM96,0)))</f>
        <v>0</v>
      </c>
      <c r="AO161" s="799">
        <f>IF(EOMONTH(Inputs!$C$8,'IP Attrition'!AO$134-1)&lt;=Inputs!$C$9,0,MIN(IF(ISERROR(VLOOKUP(AO$134+$F161,$D$135:$D$165,1,FALSE)),0,AN29*$C$2),MAX((IF(Monthly!AK$4=TRUE,Monthly!AK$13,Monthly!AK$14)*(1+'Attrition Modeling'!$N$8)-'IP Attrition'!AN$65)/12*'IP Attrition'!AN96,0)))</f>
        <v>0</v>
      </c>
      <c r="AP161" s="799">
        <f>IF(EOMONTH(Inputs!$C$8,'IP Attrition'!AP$134-1)&lt;=Inputs!$C$9,0,MIN(IF(ISERROR(VLOOKUP(AP$134+$F161,$D$135:$D$165,1,FALSE)),0,AO29*$C$2),MAX((IF(Monthly!AL$4=TRUE,Monthly!AL$13,Monthly!AL$14)*(1+'Attrition Modeling'!$N$8)-'IP Attrition'!AO$65)/12*'IP Attrition'!AO96,0)))</f>
        <v>0</v>
      </c>
      <c r="AQ161" s="799">
        <f>IF(EOMONTH(Inputs!$C$8,'IP Attrition'!AQ$134-1)&lt;=Inputs!$C$9,0,MIN(IF(ISERROR(VLOOKUP(AQ$134+$F161,$D$135:$D$165,1,FALSE)),0,AP29*$C$2),MAX((IF(Monthly!AM$4=TRUE,Monthly!AM$13,Monthly!AM$14)*(1+'Attrition Modeling'!$N$8)-'IP Attrition'!AP$65)/12*'IP Attrition'!AP96,0)))</f>
        <v>0</v>
      </c>
      <c r="AR161" s="799">
        <f>IF(EOMONTH(Inputs!$C$8,'IP Attrition'!AR$134-1)&lt;=Inputs!$C$9,0,MIN(IF(ISERROR(VLOOKUP(AR$134+$F161,$D$135:$D$165,1,FALSE)),0,AQ29*$C$2),MAX((IF(Monthly!AN$4=TRUE,Monthly!AN$13,Monthly!AN$14)*(1+'Attrition Modeling'!$N$8)-'IP Attrition'!AQ$65)/12*'IP Attrition'!AQ96,0)))</f>
        <v>0</v>
      </c>
      <c r="AS161" s="799">
        <f>IF(EOMONTH(Inputs!$C$8,'IP Attrition'!AS$134-1)&lt;=Inputs!$C$9,0,MIN(IF(ISERROR(VLOOKUP(AS$134+$F161,$D$135:$D$165,1,FALSE)),0,AR29*$C$2),MAX((IF(Monthly!AO$4=TRUE,Monthly!AO$13,Monthly!AO$14)*(1+'Attrition Modeling'!$N$8)-'IP Attrition'!AR$65)/12*'IP Attrition'!AR96,0)))</f>
        <v>0</v>
      </c>
      <c r="AT161" s="799">
        <f>IF(EOMONTH(Inputs!$C$8,'IP Attrition'!AT$134-1)&lt;=Inputs!$C$9,0,MIN(IF(ISERROR(VLOOKUP(AT$134+$F161,$D$135:$D$165,1,FALSE)),0,AS29*$C$2),MAX((IF(Monthly!AP$4=TRUE,Monthly!AP$13,Monthly!AP$14)*(1+'Attrition Modeling'!$N$8)-'IP Attrition'!AS$65)/12*'IP Attrition'!AS96,0)))</f>
        <v>0</v>
      </c>
      <c r="AU161" s="799">
        <f>IF(EOMONTH(Inputs!$C$8,'IP Attrition'!AU$134-1)&lt;=Inputs!$C$9,0,MIN(IF(ISERROR(VLOOKUP(AU$134+$F161,$D$135:$D$165,1,FALSE)),0,AT29*$C$2),MAX((IF(Monthly!AQ$4=TRUE,Monthly!AQ$13,Monthly!AQ$14)*(1+'Attrition Modeling'!$N$8)-'IP Attrition'!AT$65)/12*'IP Attrition'!AT96,0)))</f>
        <v>0</v>
      </c>
      <c r="AV161" s="799">
        <f>IF(EOMONTH(Inputs!$C$8,'IP Attrition'!AV$134-1)&lt;=Inputs!$C$9,0,MIN(IF(ISERROR(VLOOKUP(AV$134+$F161,$D$135:$D$165,1,FALSE)),0,AU29*$C$2),MAX((IF(Monthly!AR$4=TRUE,Monthly!AR$13,Monthly!AR$14)*(1+'Attrition Modeling'!$N$8)-'IP Attrition'!AU$65)/12*'IP Attrition'!AU96,0)))</f>
        <v>0</v>
      </c>
      <c r="AW161" s="799">
        <f>IF(EOMONTH(Inputs!$C$8,'IP Attrition'!AW$134-1)&lt;=Inputs!$C$9,0,MIN(IF(ISERROR(VLOOKUP(AW$134+$F161,$D$135:$D$165,1,FALSE)),0,AV29*$C$2),MAX((IF(Monthly!AS$4=TRUE,Monthly!AS$13,Monthly!AS$14)*(1+'Attrition Modeling'!$N$8)-'IP Attrition'!AV$65)/12*'IP Attrition'!AV96,0)))</f>
        <v>0</v>
      </c>
      <c r="AX161" s="799">
        <f>IF(EOMONTH(Inputs!$C$8,'IP Attrition'!AX$134-1)&lt;=Inputs!$C$9,0,MIN(IF(ISERROR(VLOOKUP(AX$134+$F161,$D$135:$D$165,1,FALSE)),0,AW29*$C$2),MAX((IF(Monthly!AT$4=TRUE,Monthly!AT$13,Monthly!AT$14)*(1+'Attrition Modeling'!$N$8)-'IP Attrition'!AW$65)/12*'IP Attrition'!AW96,0)))</f>
        <v>0</v>
      </c>
      <c r="AY161" s="799">
        <f>IF(EOMONTH(Inputs!$C$8,'IP Attrition'!AY$134-1)&lt;=Inputs!$C$9,0,MIN(IF(ISERROR(VLOOKUP(AY$134+$F161,$D$135:$D$165,1,FALSE)),0,AX29*$C$2),MAX((IF(Monthly!AU$4=TRUE,Monthly!AU$13,Monthly!AU$14)*(1+'Attrition Modeling'!$N$8)-'IP Attrition'!AX$65)/12*'IP Attrition'!AX96,0)))</f>
        <v>0</v>
      </c>
      <c r="AZ161" s="799">
        <f>IF(EOMONTH(Inputs!$C$8,'IP Attrition'!AZ$134-1)&lt;=Inputs!$C$9,0,MIN(IF(ISERROR(VLOOKUP(AZ$134+$F161,$D$135:$D$165,1,FALSE)),0,AY29*$C$2),MAX((IF(Monthly!AV$4=TRUE,Monthly!AV$13,Monthly!AV$14)*(1+'Attrition Modeling'!$N$8)-'IP Attrition'!AY$65)/12*'IP Attrition'!AY96,0)))</f>
        <v>0</v>
      </c>
      <c r="BA161" s="799">
        <f>IF(EOMONTH(Inputs!$C$8,'IP Attrition'!BA$134-1)&lt;=Inputs!$C$9,0,MIN(IF(ISERROR(VLOOKUP(BA$134+$F161,$D$135:$D$165,1,FALSE)),0,AZ29*$C$2),MAX((IF(Monthly!AW$4=TRUE,Monthly!AW$13,Monthly!AW$14)*(1+'Attrition Modeling'!$N$8)-'IP Attrition'!AZ$65)/12*'IP Attrition'!AZ96,0)))</f>
        <v>0</v>
      </c>
      <c r="BB161" s="799">
        <f>IF(EOMONTH(Inputs!$C$8,'IP Attrition'!BB$134-1)&lt;=Inputs!$C$9,0,MIN(IF(ISERROR(VLOOKUP(BB$134+$F161,$D$135:$D$165,1,FALSE)),0,BA29*$C$2),MAX((IF(Monthly!AX$4=TRUE,Monthly!AX$13,Monthly!AX$14)*(1+'Attrition Modeling'!$N$8)-'IP Attrition'!BA$65)/12*'IP Attrition'!BA96,0)))</f>
        <v>0</v>
      </c>
      <c r="BC161" s="799">
        <f>IF(EOMONTH(Inputs!$C$8,'IP Attrition'!BC$134-1)&lt;=Inputs!$C$9,0,MIN(IF(ISERROR(VLOOKUP(BC$134+$F161,$D$135:$D$165,1,FALSE)),0,BB29*$C$2),MAX((IF(Monthly!AY$4=TRUE,Monthly!AY$13,Monthly!AY$14)*(1+'Attrition Modeling'!$N$8)-'IP Attrition'!BB$65)/12*'IP Attrition'!BB96,0)))</f>
        <v>0</v>
      </c>
      <c r="BD161" s="799">
        <f>IF(EOMONTH(Inputs!$C$8,'IP Attrition'!BD$134-1)&lt;=Inputs!$C$9,0,MIN(IF(ISERROR(VLOOKUP(BD$134+$F161,$D$135:$D$165,1,FALSE)),0,BC29*$C$2),MAX((IF(Monthly!AZ$4=TRUE,Monthly!AZ$13,Monthly!AZ$14)*(1+'Attrition Modeling'!$N$8)-'IP Attrition'!BC$65)/12*'IP Attrition'!BC96,0)))</f>
        <v>0</v>
      </c>
      <c r="BE161" s="799">
        <f>IF(EOMONTH(Inputs!$C$8,'IP Attrition'!BE$134-1)&lt;=Inputs!$C$9,0,MIN(IF(ISERROR(VLOOKUP(BE$134+$F161,$D$135:$D$165,1,FALSE)),0,BD29*$C$2),MAX((IF(Monthly!BA$4=TRUE,Monthly!BA$13,Monthly!BA$14)*(1+'Attrition Modeling'!$N$8)-'IP Attrition'!BD$65)/12*'IP Attrition'!BD96,0)))</f>
        <v>0</v>
      </c>
      <c r="BF161" s="799">
        <f>IF(EOMONTH(Inputs!$C$8,'IP Attrition'!BF$134-1)&lt;=Inputs!$C$9,0,MIN(IF(ISERROR(VLOOKUP(BF$134+$F161,$D$135:$D$165,1,FALSE)),0,BE29*$C$2),MAX((IF(Monthly!BB$4=TRUE,Monthly!BB$13,Monthly!BB$14)*(1+'Attrition Modeling'!$N$8)-'IP Attrition'!BE$65)/12*'IP Attrition'!BE96,0)))</f>
        <v>0</v>
      </c>
      <c r="BG161" s="799">
        <f>IF(EOMONTH(Inputs!$C$8,'IP Attrition'!BG$134-1)&lt;=Inputs!$C$9,0,MIN(IF(ISERROR(VLOOKUP(BG$134+$F161,$D$135:$D$165,1,FALSE)),0,BF29*$C$2),MAX((IF(Monthly!BC$4=TRUE,Monthly!BC$13,Monthly!BC$14)*(1+'Attrition Modeling'!$N$8)-'IP Attrition'!BF$65)/12*'IP Attrition'!BF96,0)))</f>
        <v>0</v>
      </c>
      <c r="BH161" s="799">
        <f>IF(EOMONTH(Inputs!$C$8,'IP Attrition'!BH$134-1)&lt;=Inputs!$C$9,0,MIN(IF(ISERROR(VLOOKUP(BH$134+$F161,$D$135:$D$165,1,FALSE)),0,BG29*$C$2),MAX((IF(Monthly!BD$4=TRUE,Monthly!BD$13,Monthly!BD$14)*(1+'Attrition Modeling'!$N$8)-'IP Attrition'!BG$65)/12*'IP Attrition'!BG96,0)))</f>
        <v>0</v>
      </c>
      <c r="BI161" s="799">
        <f>IF(EOMONTH(Inputs!$C$8,'IP Attrition'!BI$134-1)&lt;=Inputs!$C$9,0,MIN(IF(ISERROR(VLOOKUP(BI$134+$F161,$D$135:$D$165,1,FALSE)),0,BH29*$C$2),MAX((IF(Monthly!BE$4=TRUE,Monthly!BE$13,Monthly!BE$14)*(1+'Attrition Modeling'!$N$8)-'IP Attrition'!BH$65)/12*'IP Attrition'!BH96,0)))</f>
        <v>0</v>
      </c>
      <c r="BJ161" s="799">
        <f>IF(EOMONTH(Inputs!$C$8,'IP Attrition'!BJ$134-1)&lt;=Inputs!$C$9,0,MIN(IF(ISERROR(VLOOKUP(BJ$134+$F161,$D$135:$D$165,1,FALSE)),0,BI29*$C$2),MAX((IF(Monthly!BF$4=TRUE,Monthly!BF$13,Monthly!BF$14)*(1+'Attrition Modeling'!$N$8)-'IP Attrition'!BI$65)/12*'IP Attrition'!BI96,0)))</f>
        <v>0</v>
      </c>
      <c r="BK161" s="799">
        <f>IF(EOMONTH(Inputs!$C$8,'IP Attrition'!BK$134-1)&lt;=Inputs!$C$9,0,MIN(IF(ISERROR(VLOOKUP(BK$134+$F161,$D$135:$D$165,1,FALSE)),0,BJ29*$C$2),MAX((IF(Monthly!BG$4=TRUE,Monthly!BG$13,Monthly!BG$14)*(1+'Attrition Modeling'!$N$8)-'IP Attrition'!BJ$65)/12*'IP Attrition'!BJ96,0)))</f>
        <v>0</v>
      </c>
      <c r="BL161" s="799">
        <f>IF(EOMONTH(Inputs!$C$8,'IP Attrition'!BL$134-1)&lt;=Inputs!$C$9,0,MIN(IF(ISERROR(VLOOKUP(BL$134+$F161,$D$135:$D$165,1,FALSE)),0,BK29*$C$2),MAX((IF(Monthly!BH$4=TRUE,Monthly!BH$13,Monthly!BH$14)*(1+'Attrition Modeling'!$N$8)-'IP Attrition'!BK$65)/12*'IP Attrition'!BK96,0)))</f>
        <v>0</v>
      </c>
      <c r="BM161" s="799">
        <f>IF(EOMONTH(Inputs!$C$8,'IP Attrition'!BM$134-1)&lt;=Inputs!$C$9,0,MIN(IF(ISERROR(VLOOKUP(BM$134+$F161,$D$135:$D$165,1,FALSE)),0,BL29*$C$2),MAX((IF(Monthly!BI$4=TRUE,Monthly!BI$13,Monthly!BI$14)*(1+'Attrition Modeling'!$N$8)-'IP Attrition'!BL$65)/12*'IP Attrition'!BL96,0)))</f>
        <v>0</v>
      </c>
      <c r="BN161" s="799">
        <f>IF(EOMONTH(Inputs!$C$8,'IP Attrition'!BN$134-1)&lt;=Inputs!$C$9,0,MIN(IF(ISERROR(VLOOKUP(BN$134+$F161,$D$135:$D$165,1,FALSE)),0,BM29*$C$2),MAX((IF(Monthly!BJ$4=TRUE,Monthly!BJ$13,Monthly!BJ$14)*(1+'Attrition Modeling'!$N$8)-'IP Attrition'!BM$65)/12*'IP Attrition'!BM96,0)))</f>
        <v>0</v>
      </c>
      <c r="BO161" s="799">
        <f>IF(EOMONTH(Inputs!$C$8,'IP Attrition'!BO$134-1)&lt;=Inputs!$C$9,0,MIN(IF(ISERROR(VLOOKUP(BO$134+$F161,$D$135:$D$165,1,FALSE)),0,BN29*$C$2),MAX((IF(Monthly!BK$4=TRUE,Monthly!BK$13,Monthly!BK$14)*(1+'Attrition Modeling'!$N$8)-'IP Attrition'!BN$65)/12*'IP Attrition'!BN96,0)))</f>
        <v>0</v>
      </c>
      <c r="BP161" s="799">
        <f>IF(EOMONTH(Inputs!$C$8,'IP Attrition'!BP$134-1)&lt;=Inputs!$C$9,0,MIN(IF(ISERROR(VLOOKUP(BP$134+$F161,$D$135:$D$165,1,FALSE)),0,BO29*$C$2),MAX((IF(Monthly!BL$4=TRUE,Monthly!BL$13,Monthly!BL$14)*(1+'Attrition Modeling'!$N$8)-'IP Attrition'!BO$65)/12*'IP Attrition'!BO96,0)))</f>
        <v>0</v>
      </c>
      <c r="BQ161" s="799">
        <f>IF(EOMONTH(Inputs!$C$8,'IP Attrition'!BQ$134-1)&lt;=Inputs!$C$9,0,MIN(IF(ISERROR(VLOOKUP(BQ$134+$F161,$D$135:$D$165,1,FALSE)),0,BP29*$C$2),MAX((IF(Monthly!BM$4=TRUE,Monthly!BM$13,Monthly!BM$14)*(1+'Attrition Modeling'!$N$8)-'IP Attrition'!BP$65)/12*'IP Attrition'!BP96,0)))</f>
        <v>0</v>
      </c>
      <c r="BR161" s="799">
        <f>IF(EOMONTH(Inputs!$C$8,'IP Attrition'!BR$134-1)&lt;=Inputs!$C$9,0,MIN(IF(ISERROR(VLOOKUP(BR$134+$F161,$D$135:$D$165,1,FALSE)),0,BQ29*$C$2),MAX((IF(Monthly!BN$4=TRUE,Monthly!BN$13,Monthly!BN$14)*(1+'Attrition Modeling'!$N$8)-'IP Attrition'!BQ$65)/12*'IP Attrition'!BQ96,0)))</f>
        <v>0</v>
      </c>
      <c r="BS161" s="799">
        <f>IF(EOMONTH(Inputs!$C$8,'IP Attrition'!BS$134-1)&lt;=Inputs!$C$9,0,MIN(IF(ISERROR(VLOOKUP(BS$134+$F161,$D$135:$D$165,1,FALSE)),0,BR29*$C$2),MAX((IF(Monthly!BO$4=TRUE,Monthly!BO$13,Monthly!BO$14)*(1+'Attrition Modeling'!$N$8)-'IP Attrition'!BR$65)/12*'IP Attrition'!BR96,0)))</f>
        <v>0</v>
      </c>
      <c r="BT161" s="799" t="e">
        <f>IF(EOMONTH(Inputs!$C$8,'IP Attrition'!BT$134-1)&lt;=Inputs!$C$9,0,MIN(IF(ISERROR(VLOOKUP(BT$134+$F161,$D$135:$D$165,1,FALSE)),0,BS29*$C$2),MAX((IF(Monthly!#REF!=TRUE,Monthly!#REF!,Monthly!#REF!)*(1+'Attrition Modeling'!$N$8)-'IP Attrition'!BS$65)/12*'IP Attrition'!BS96,0)))</f>
        <v>#REF!</v>
      </c>
      <c r="BU161" s="799" t="e">
        <f>IF(EOMONTH(Inputs!$C$8,'IP Attrition'!BU$134-1)&lt;=Inputs!$C$9,0,MIN(IF(ISERROR(VLOOKUP(BU$134+$F161,$D$135:$D$165,1,FALSE)),0,BT29*$C$2),MAX((IF(Monthly!#REF!=TRUE,Monthly!#REF!,Monthly!#REF!)*(1+'Attrition Modeling'!$N$8)-'IP Attrition'!BT$65)/12*'IP Attrition'!BT96,0)))</f>
        <v>#REF!</v>
      </c>
    </row>
    <row r="162" spans="1:73" ht="14.25" customHeight="1" x14ac:dyDescent="0.2">
      <c r="D162" s="11">
        <f t="shared" si="72"/>
        <v>330</v>
      </c>
      <c r="E162" s="25">
        <f t="shared" si="71"/>
        <v>0</v>
      </c>
      <c r="F162" s="11">
        <f t="shared" si="73"/>
        <v>27</v>
      </c>
      <c r="G162" s="799"/>
      <c r="H162" s="799">
        <f>IF(EOMONTH(Inputs!$C$8,'IP Attrition'!H$134-1)&lt;=Inputs!$C$9,0,MIN(IF(ISERROR(VLOOKUP(H$134+$F162,$D$135:$D$165,1,FALSE)),0,G30*$C$2),MAX((IF(Monthly!D$4=TRUE,Monthly!D$13,Monthly!D$14)*(1+'Attrition Modeling'!$N$8)-'IP Attrition'!G$65)/12*'IP Attrition'!G97,0)))</f>
        <v>0</v>
      </c>
      <c r="I162" s="799">
        <f>IF(EOMONTH(Inputs!$C$8,'IP Attrition'!I$134-1)&lt;=Inputs!$C$9,0,MIN(IF(ISERROR(VLOOKUP(I$134+$F162,$D$135:$D$165,1,FALSE)),0,H30*$C$2),MAX((IF(Monthly!E$4=TRUE,Monthly!E$13,Monthly!E$14)*(1+'Attrition Modeling'!$N$8)-'IP Attrition'!H$65)/12*'IP Attrition'!H97,0)))</f>
        <v>0</v>
      </c>
      <c r="J162" s="799">
        <f>IF(EOMONTH(Inputs!$C$8,'IP Attrition'!J$134-1)&lt;=Inputs!$C$9,0,MIN(IF(ISERROR(VLOOKUP(J$134+$F162,$D$135:$D$165,1,FALSE)),0,I30*$C$2),MAX((IF(Monthly!F$4=TRUE,Monthly!F$13,Monthly!F$14)*(1+'Attrition Modeling'!$N$8)-'IP Attrition'!I$65)/12*'IP Attrition'!I97,0)))</f>
        <v>0</v>
      </c>
      <c r="K162" s="799">
        <f>IF(EOMONTH(Inputs!$C$8,'IP Attrition'!K$134-1)&lt;=Inputs!$C$9,0,MIN(IF(ISERROR(VLOOKUP(K$134+$F162,$D$135:$D$165,1,FALSE)),0,J30*$C$2),MAX((IF(Monthly!G$4=TRUE,Monthly!G$13,Monthly!G$14)*(1+'Attrition Modeling'!$N$8)-'IP Attrition'!J$65)/12*'IP Attrition'!J97,0)))</f>
        <v>0</v>
      </c>
      <c r="L162" s="799">
        <f>IF(EOMONTH(Inputs!$C$8,'IP Attrition'!L$134-1)&lt;=Inputs!$C$9,0,MIN(IF(ISERROR(VLOOKUP(L$134+$F162,$D$135:$D$165,1,FALSE)),0,K30*$C$2),MAX((IF(Monthly!H$4=TRUE,Monthly!H$13,Monthly!H$14)*(1+'Attrition Modeling'!$N$8)-'IP Attrition'!K$65)/12*'IP Attrition'!K97,0)))</f>
        <v>0</v>
      </c>
      <c r="M162" s="799">
        <f>IF(EOMONTH(Inputs!$C$8,'IP Attrition'!M$134-1)&lt;=Inputs!$C$9,0,MIN(IF(ISERROR(VLOOKUP(M$134+$F162,$D$135:$D$165,1,FALSE)),0,L30*$C$2),MAX((IF(Monthly!I$4=TRUE,Monthly!I$13,Monthly!I$14)*(1+'Attrition Modeling'!$N$8)-'IP Attrition'!L$65)/12*'IP Attrition'!L97,0)))</f>
        <v>0</v>
      </c>
      <c r="N162" s="799">
        <f>IF(EOMONTH(Inputs!$C$8,'IP Attrition'!N$134-1)&lt;=Inputs!$C$9,0,MIN(IF(ISERROR(VLOOKUP(N$134+$F162,$D$135:$D$165,1,FALSE)),0,M30*$C$2),MAX((IF(Monthly!J$4=TRUE,Monthly!J$13,Monthly!J$14)*(1+'Attrition Modeling'!$N$8)-'IP Attrition'!M$65)/12*'IP Attrition'!M97,0)))</f>
        <v>0</v>
      </c>
      <c r="O162" s="799">
        <f>IF(EOMONTH(Inputs!$C$8,'IP Attrition'!O$134-1)&lt;=Inputs!$C$9,0,MIN(IF(ISERROR(VLOOKUP(O$134+$F162,$D$135:$D$165,1,FALSE)),0,N30*$C$2),MAX((IF(Monthly!K$4=TRUE,Monthly!K$13,Monthly!K$14)*(1+'Attrition Modeling'!$N$8)-'IP Attrition'!N$65)/12*'IP Attrition'!N97,0)))</f>
        <v>0</v>
      </c>
      <c r="P162" s="799">
        <f>IF(EOMONTH(Inputs!$C$8,'IP Attrition'!P$134-1)&lt;=Inputs!$C$9,0,MIN(IF(ISERROR(VLOOKUP(P$134+$F162,$D$135:$D$165,1,FALSE)),0,O30*$C$2),MAX((IF(Monthly!L$4=TRUE,Monthly!L$13,Monthly!L$14)*(1+'Attrition Modeling'!$N$8)-'IP Attrition'!O$65)/12*'IP Attrition'!O97,0)))</f>
        <v>0</v>
      </c>
      <c r="Q162" s="799">
        <f>IF(EOMONTH(Inputs!$C$8,'IP Attrition'!Q$134-1)&lt;=Inputs!$C$9,0,MIN(IF(ISERROR(VLOOKUP(Q$134+$F162,$D$135:$D$165,1,FALSE)),0,P30*$C$2),MAX((IF(Monthly!M$4=TRUE,Monthly!M$13,Monthly!M$14)*(1+'Attrition Modeling'!$N$8)-'IP Attrition'!P$65)/12*'IP Attrition'!P97,0)))</f>
        <v>0</v>
      </c>
      <c r="R162" s="799">
        <f>IF(EOMONTH(Inputs!$C$8,'IP Attrition'!R$134-1)&lt;=Inputs!$C$9,0,MIN(IF(ISERROR(VLOOKUP(R$134+$F162,$D$135:$D$165,1,FALSE)),0,Q30*$C$2),MAX((IF(Monthly!N$4=TRUE,Monthly!N$13,Monthly!N$14)*(1+'Attrition Modeling'!$N$8)-'IP Attrition'!Q$65)/12*'IP Attrition'!Q97,0)))</f>
        <v>0</v>
      </c>
      <c r="S162" s="799">
        <f>IF(EOMONTH(Inputs!$C$8,'IP Attrition'!S$134-1)&lt;=Inputs!$C$9,0,MIN(IF(ISERROR(VLOOKUP(S$134+$F162,$D$135:$D$165,1,FALSE)),0,R30*$C$2),MAX((IF(Monthly!O$4=TRUE,Monthly!O$13,Monthly!O$14)*(1+'Attrition Modeling'!$N$8)-'IP Attrition'!R$65)/12*'IP Attrition'!R97,0)))</f>
        <v>0</v>
      </c>
      <c r="T162" s="799">
        <f>IF(EOMONTH(Inputs!$C$8,'IP Attrition'!T$134-1)&lt;=Inputs!$C$9,0,MIN(IF(ISERROR(VLOOKUP(T$134+$F162,$D$135:$D$165,1,FALSE)),0,S30*$C$2),MAX((IF(Monthly!P$4=TRUE,Monthly!P$13,Monthly!P$14)*(1+'Attrition Modeling'!$N$8)-'IP Attrition'!S$65)/12*'IP Attrition'!S97,0)))</f>
        <v>0</v>
      </c>
      <c r="U162" s="799">
        <f>IF(EOMONTH(Inputs!$C$8,'IP Attrition'!U$134-1)&lt;=Inputs!$C$9,0,MIN(IF(ISERROR(VLOOKUP(U$134+$F162,$D$135:$D$165,1,FALSE)),0,T30*$C$2),MAX((IF(Monthly!Q$4=TRUE,Monthly!Q$13,Monthly!Q$14)*(1+'Attrition Modeling'!$N$8)-'IP Attrition'!T$65)/12*'IP Attrition'!T97,0)))</f>
        <v>0</v>
      </c>
      <c r="V162" s="799">
        <f>IF(EOMONTH(Inputs!$C$8,'IP Attrition'!V$134-1)&lt;=Inputs!$C$9,0,MIN(IF(ISERROR(VLOOKUP(V$134+$F162,$D$135:$D$165,1,FALSE)),0,U30*$C$2),MAX((IF(Monthly!R$4=TRUE,Monthly!R$13,Monthly!R$14)*(1+'Attrition Modeling'!$N$8)-'IP Attrition'!U$65)/12*'IP Attrition'!U97,0)))</f>
        <v>0</v>
      </c>
      <c r="W162" s="799">
        <f>IF(EOMONTH(Inputs!$C$8,'IP Attrition'!W$134-1)&lt;=Inputs!$C$9,0,MIN(IF(ISERROR(VLOOKUP(W$134+$F162,$D$135:$D$165,1,FALSE)),0,V30*$C$2),MAX((IF(Monthly!S$4=TRUE,Monthly!S$13,Monthly!S$14)*(1+'Attrition Modeling'!$N$8)-'IP Attrition'!V$65)/12*'IP Attrition'!V97,0)))</f>
        <v>0</v>
      </c>
      <c r="X162" s="799">
        <f>IF(EOMONTH(Inputs!$C$8,'IP Attrition'!X$134-1)&lt;=Inputs!$C$9,0,MIN(IF(ISERROR(VLOOKUP(X$134+$F162,$D$135:$D$165,1,FALSE)),0,W30*$C$2),MAX((IF(Monthly!T$4=TRUE,Monthly!T$13,Monthly!T$14)*(1+'Attrition Modeling'!$N$8)-'IP Attrition'!W$65)/12*'IP Attrition'!W97,0)))</f>
        <v>0</v>
      </c>
      <c r="Y162" s="799">
        <f>IF(EOMONTH(Inputs!$C$8,'IP Attrition'!Y$134-1)&lt;=Inputs!$C$9,0,MIN(IF(ISERROR(VLOOKUP(Y$134+$F162,$D$135:$D$165,1,FALSE)),0,X30*$C$2),MAX((IF(Monthly!U$4=TRUE,Monthly!U$13,Monthly!U$14)*(1+'Attrition Modeling'!$N$8)-'IP Attrition'!X$65)/12*'IP Attrition'!X97,0)))</f>
        <v>0</v>
      </c>
      <c r="Z162" s="799">
        <f>IF(EOMONTH(Inputs!$C$8,'IP Attrition'!Z$134-1)&lt;=Inputs!$C$9,0,MIN(IF(ISERROR(VLOOKUP(Z$134+$F162,$D$135:$D$165,1,FALSE)),0,Y30*$C$2),MAX((IF(Monthly!V$4=TRUE,Monthly!V$13,Monthly!V$14)*(1+'Attrition Modeling'!$N$8)-'IP Attrition'!Y$65)/12*'IP Attrition'!Y97,0)))</f>
        <v>0</v>
      </c>
      <c r="AA162" s="799">
        <f>IF(EOMONTH(Inputs!$C$8,'IP Attrition'!AA$134-1)&lt;=Inputs!$C$9,0,MIN(IF(ISERROR(VLOOKUP(AA$134+$F162,$D$135:$D$165,1,FALSE)),0,Z30*$C$2),MAX((IF(Monthly!W$4=TRUE,Monthly!W$13,Monthly!W$14)*(1+'Attrition Modeling'!$N$8)-'IP Attrition'!Z$65)/12*'IP Attrition'!Z97,0)))</f>
        <v>0</v>
      </c>
      <c r="AB162" s="799">
        <f>IF(EOMONTH(Inputs!$C$8,'IP Attrition'!AB$134-1)&lt;=Inputs!$C$9,0,MIN(IF(ISERROR(VLOOKUP(AB$134+$F162,$D$135:$D$165,1,FALSE)),0,AA30*$C$2),MAX((IF(Monthly!X$4=TRUE,Monthly!X$13,Monthly!X$14)*(1+'Attrition Modeling'!$N$8)-'IP Attrition'!AA$65)/12*'IP Attrition'!AA97,0)))</f>
        <v>0</v>
      </c>
      <c r="AC162" s="799">
        <f>IF(EOMONTH(Inputs!$C$8,'IP Attrition'!AC$134-1)&lt;=Inputs!$C$9,0,MIN(IF(ISERROR(VLOOKUP(AC$134+$F162,$D$135:$D$165,1,FALSE)),0,AB30*$C$2),MAX((IF(Monthly!Y$4=TRUE,Monthly!Y$13,Monthly!Y$14)*(1+'Attrition Modeling'!$N$8)-'IP Attrition'!AB$65)/12*'IP Attrition'!AB97,0)))</f>
        <v>0</v>
      </c>
      <c r="AD162" s="799">
        <f>IF(EOMONTH(Inputs!$C$8,'IP Attrition'!AD$134-1)&lt;=Inputs!$C$9,0,MIN(IF(ISERROR(VLOOKUP(AD$134+$F162,$D$135:$D$165,1,FALSE)),0,AC30*$C$2),MAX((IF(Monthly!Z$4=TRUE,Monthly!Z$13,Monthly!Z$14)*(1+'Attrition Modeling'!$N$8)-'IP Attrition'!AC$65)/12*'IP Attrition'!AC97,0)))</f>
        <v>0</v>
      </c>
      <c r="AE162" s="799">
        <f>IF(EOMONTH(Inputs!$C$8,'IP Attrition'!AE$134-1)&lt;=Inputs!$C$9,0,MIN(IF(ISERROR(VLOOKUP(AE$134+$F162,$D$135:$D$165,1,FALSE)),0,AD30*$C$2),MAX((IF(Monthly!AA$4=TRUE,Monthly!AA$13,Monthly!AA$14)*(1+'Attrition Modeling'!$N$8)-'IP Attrition'!AD$65)/12*'IP Attrition'!AD97,0)))</f>
        <v>0</v>
      </c>
      <c r="AF162" s="799">
        <f>IF(EOMONTH(Inputs!$C$8,'IP Attrition'!AF$134-1)&lt;=Inputs!$C$9,0,MIN(IF(ISERROR(VLOOKUP(AF$134+$F162,$D$135:$D$165,1,FALSE)),0,AE30*$C$2),MAX((IF(Monthly!AB$4=TRUE,Monthly!AB$13,Monthly!AB$14)*(1+'Attrition Modeling'!$N$8)-'IP Attrition'!AE$65)/12*'IP Attrition'!AE97,0)))</f>
        <v>0</v>
      </c>
      <c r="AG162" s="799">
        <f>IF(EOMONTH(Inputs!$C$8,'IP Attrition'!AG$134-1)&lt;=Inputs!$C$9,0,MIN(IF(ISERROR(VLOOKUP(AG$134+$F162,$D$135:$D$165,1,FALSE)),0,AF30*$C$2),MAX((IF(Monthly!AC$4=TRUE,Monthly!AC$13,Monthly!AC$14)*(1+'Attrition Modeling'!$N$8)-'IP Attrition'!AF$65)/12*'IP Attrition'!AF97,0)))</f>
        <v>0</v>
      </c>
      <c r="AH162" s="799">
        <f>IF(EOMONTH(Inputs!$C$8,'IP Attrition'!AH$134-1)&lt;=Inputs!$C$9,0,MIN(IF(ISERROR(VLOOKUP(AH$134+$F162,$D$135:$D$165,1,FALSE)),0,AG30*$C$2),MAX((IF(Monthly!AD$4=TRUE,Monthly!AD$13,Monthly!AD$14)*(1+'Attrition Modeling'!$N$8)-'IP Attrition'!AG$65)/12*'IP Attrition'!AG97,0)))</f>
        <v>0</v>
      </c>
      <c r="AI162" s="799">
        <f>IF(EOMONTH(Inputs!$C$8,'IP Attrition'!AI$134-1)&lt;=Inputs!$C$9,0,MIN(IF(ISERROR(VLOOKUP(AI$134+$F162,$D$135:$D$165,1,FALSE)),0,AH30*$C$2),MAX((IF(Monthly!AE$4=TRUE,Monthly!AE$13,Monthly!AE$14)*(1+'Attrition Modeling'!$N$8)-'IP Attrition'!AH$65)/12*'IP Attrition'!AH97,0)))</f>
        <v>0</v>
      </c>
      <c r="AJ162" s="799">
        <f>IF(EOMONTH(Inputs!$C$8,'IP Attrition'!AJ$134-1)&lt;=Inputs!$C$9,0,MIN(IF(ISERROR(VLOOKUP(AJ$134+$F162,$D$135:$D$165,1,FALSE)),0,AI30*$C$2),MAX((IF(Monthly!AF$4=TRUE,Monthly!AF$13,Monthly!AF$14)*(1+'Attrition Modeling'!$N$8)-'IP Attrition'!AI$65)/12*'IP Attrition'!AI97,0)))</f>
        <v>0</v>
      </c>
      <c r="AK162" s="799">
        <f>IF(EOMONTH(Inputs!$C$8,'IP Attrition'!AK$134-1)&lt;=Inputs!$C$9,0,MIN(IF(ISERROR(VLOOKUP(AK$134+$F162,$D$135:$D$165,1,FALSE)),0,AJ30*$C$2),MAX((IF(Monthly!AG$4=TRUE,Monthly!AG$13,Monthly!AG$14)*(1+'Attrition Modeling'!$N$8)-'IP Attrition'!AJ$65)/12*'IP Attrition'!AJ97,0)))</f>
        <v>0</v>
      </c>
      <c r="AL162" s="799">
        <f>IF(EOMONTH(Inputs!$C$8,'IP Attrition'!AL$134-1)&lt;=Inputs!$C$9,0,MIN(IF(ISERROR(VLOOKUP(AL$134+$F162,$D$135:$D$165,1,FALSE)),0,AK30*$C$2),MAX((IF(Monthly!AH$4=TRUE,Monthly!AH$13,Monthly!AH$14)*(1+'Attrition Modeling'!$N$8)-'IP Attrition'!AK$65)/12*'IP Attrition'!AK97,0)))</f>
        <v>0</v>
      </c>
      <c r="AM162" s="799">
        <f>IF(EOMONTH(Inputs!$C$8,'IP Attrition'!AM$134-1)&lt;=Inputs!$C$9,0,MIN(IF(ISERROR(VLOOKUP(AM$134+$F162,$D$135:$D$165,1,FALSE)),0,AL30*$C$2),MAX((IF(Monthly!AI$4=TRUE,Monthly!AI$13,Monthly!AI$14)*(1+'Attrition Modeling'!$N$8)-'IP Attrition'!AL$65)/12*'IP Attrition'!AL97,0)))</f>
        <v>0</v>
      </c>
      <c r="AN162" s="799">
        <f>IF(EOMONTH(Inputs!$C$8,'IP Attrition'!AN$134-1)&lt;=Inputs!$C$9,0,MIN(IF(ISERROR(VLOOKUP(AN$134+$F162,$D$135:$D$165,1,FALSE)),0,AM30*$C$2),MAX((IF(Monthly!AJ$4=TRUE,Monthly!AJ$13,Monthly!AJ$14)*(1+'Attrition Modeling'!$N$8)-'IP Attrition'!AM$65)/12*'IP Attrition'!AM97,0)))</f>
        <v>0</v>
      </c>
      <c r="AO162" s="799">
        <f>IF(EOMONTH(Inputs!$C$8,'IP Attrition'!AO$134-1)&lt;=Inputs!$C$9,0,MIN(IF(ISERROR(VLOOKUP(AO$134+$F162,$D$135:$D$165,1,FALSE)),0,AN30*$C$2),MAX((IF(Monthly!AK$4=TRUE,Monthly!AK$13,Monthly!AK$14)*(1+'Attrition Modeling'!$N$8)-'IP Attrition'!AN$65)/12*'IP Attrition'!AN97,0)))</f>
        <v>0</v>
      </c>
      <c r="AP162" s="799">
        <f>IF(EOMONTH(Inputs!$C$8,'IP Attrition'!AP$134-1)&lt;=Inputs!$C$9,0,MIN(IF(ISERROR(VLOOKUP(AP$134+$F162,$D$135:$D$165,1,FALSE)),0,AO30*$C$2),MAX((IF(Monthly!AL$4=TRUE,Monthly!AL$13,Monthly!AL$14)*(1+'Attrition Modeling'!$N$8)-'IP Attrition'!AO$65)/12*'IP Attrition'!AO97,0)))</f>
        <v>0</v>
      </c>
      <c r="AQ162" s="799">
        <f>IF(EOMONTH(Inputs!$C$8,'IP Attrition'!AQ$134-1)&lt;=Inputs!$C$9,0,MIN(IF(ISERROR(VLOOKUP(AQ$134+$F162,$D$135:$D$165,1,FALSE)),0,AP30*$C$2),MAX((IF(Monthly!AM$4=TRUE,Monthly!AM$13,Monthly!AM$14)*(1+'Attrition Modeling'!$N$8)-'IP Attrition'!AP$65)/12*'IP Attrition'!AP97,0)))</f>
        <v>0</v>
      </c>
      <c r="AR162" s="799">
        <f>IF(EOMONTH(Inputs!$C$8,'IP Attrition'!AR$134-1)&lt;=Inputs!$C$9,0,MIN(IF(ISERROR(VLOOKUP(AR$134+$F162,$D$135:$D$165,1,FALSE)),0,AQ30*$C$2),MAX((IF(Monthly!AN$4=TRUE,Monthly!AN$13,Monthly!AN$14)*(1+'Attrition Modeling'!$N$8)-'IP Attrition'!AQ$65)/12*'IP Attrition'!AQ97,0)))</f>
        <v>0</v>
      </c>
      <c r="AS162" s="799">
        <f>IF(EOMONTH(Inputs!$C$8,'IP Attrition'!AS$134-1)&lt;=Inputs!$C$9,0,MIN(IF(ISERROR(VLOOKUP(AS$134+$F162,$D$135:$D$165,1,FALSE)),0,AR30*$C$2),MAX((IF(Monthly!AO$4=TRUE,Monthly!AO$13,Monthly!AO$14)*(1+'Attrition Modeling'!$N$8)-'IP Attrition'!AR$65)/12*'IP Attrition'!AR97,0)))</f>
        <v>0</v>
      </c>
      <c r="AT162" s="799">
        <f>IF(EOMONTH(Inputs!$C$8,'IP Attrition'!AT$134-1)&lt;=Inputs!$C$9,0,MIN(IF(ISERROR(VLOOKUP(AT$134+$F162,$D$135:$D$165,1,FALSE)),0,AS30*$C$2),MAX((IF(Monthly!AP$4=TRUE,Monthly!AP$13,Monthly!AP$14)*(1+'Attrition Modeling'!$N$8)-'IP Attrition'!AS$65)/12*'IP Attrition'!AS97,0)))</f>
        <v>0</v>
      </c>
      <c r="AU162" s="799">
        <f>IF(EOMONTH(Inputs!$C$8,'IP Attrition'!AU$134-1)&lt;=Inputs!$C$9,0,MIN(IF(ISERROR(VLOOKUP(AU$134+$F162,$D$135:$D$165,1,FALSE)),0,AT30*$C$2),MAX((IF(Monthly!AQ$4=TRUE,Monthly!AQ$13,Monthly!AQ$14)*(1+'Attrition Modeling'!$N$8)-'IP Attrition'!AT$65)/12*'IP Attrition'!AT97,0)))</f>
        <v>0</v>
      </c>
      <c r="AV162" s="799">
        <f>IF(EOMONTH(Inputs!$C$8,'IP Attrition'!AV$134-1)&lt;=Inputs!$C$9,0,MIN(IF(ISERROR(VLOOKUP(AV$134+$F162,$D$135:$D$165,1,FALSE)),0,AU30*$C$2),MAX((IF(Monthly!AR$4=TRUE,Monthly!AR$13,Monthly!AR$14)*(1+'Attrition Modeling'!$N$8)-'IP Attrition'!AU$65)/12*'IP Attrition'!AU97,0)))</f>
        <v>0</v>
      </c>
      <c r="AW162" s="799">
        <f>IF(EOMONTH(Inputs!$C$8,'IP Attrition'!AW$134-1)&lt;=Inputs!$C$9,0,MIN(IF(ISERROR(VLOOKUP(AW$134+$F162,$D$135:$D$165,1,FALSE)),0,AV30*$C$2),MAX((IF(Monthly!AS$4=TRUE,Monthly!AS$13,Monthly!AS$14)*(1+'Attrition Modeling'!$N$8)-'IP Attrition'!AV$65)/12*'IP Attrition'!AV97,0)))</f>
        <v>0</v>
      </c>
      <c r="AX162" s="799">
        <f>IF(EOMONTH(Inputs!$C$8,'IP Attrition'!AX$134-1)&lt;=Inputs!$C$9,0,MIN(IF(ISERROR(VLOOKUP(AX$134+$F162,$D$135:$D$165,1,FALSE)),0,AW30*$C$2),MAX((IF(Monthly!AT$4=TRUE,Monthly!AT$13,Monthly!AT$14)*(1+'Attrition Modeling'!$N$8)-'IP Attrition'!AW$65)/12*'IP Attrition'!AW97,0)))</f>
        <v>0</v>
      </c>
      <c r="AY162" s="799">
        <f>IF(EOMONTH(Inputs!$C$8,'IP Attrition'!AY$134-1)&lt;=Inputs!$C$9,0,MIN(IF(ISERROR(VLOOKUP(AY$134+$F162,$D$135:$D$165,1,FALSE)),0,AX30*$C$2),MAX((IF(Monthly!AU$4=TRUE,Monthly!AU$13,Monthly!AU$14)*(1+'Attrition Modeling'!$N$8)-'IP Attrition'!AX$65)/12*'IP Attrition'!AX97,0)))</f>
        <v>0</v>
      </c>
      <c r="AZ162" s="799">
        <f>IF(EOMONTH(Inputs!$C$8,'IP Attrition'!AZ$134-1)&lt;=Inputs!$C$9,0,MIN(IF(ISERROR(VLOOKUP(AZ$134+$F162,$D$135:$D$165,1,FALSE)),0,AY30*$C$2),MAX((IF(Monthly!AV$4=TRUE,Monthly!AV$13,Monthly!AV$14)*(1+'Attrition Modeling'!$N$8)-'IP Attrition'!AY$65)/12*'IP Attrition'!AY97,0)))</f>
        <v>0</v>
      </c>
      <c r="BA162" s="799">
        <f>IF(EOMONTH(Inputs!$C$8,'IP Attrition'!BA$134-1)&lt;=Inputs!$C$9,0,MIN(IF(ISERROR(VLOOKUP(BA$134+$F162,$D$135:$D$165,1,FALSE)),0,AZ30*$C$2),MAX((IF(Monthly!AW$4=TRUE,Monthly!AW$13,Monthly!AW$14)*(1+'Attrition Modeling'!$N$8)-'IP Attrition'!AZ$65)/12*'IP Attrition'!AZ97,0)))</f>
        <v>0</v>
      </c>
      <c r="BB162" s="799">
        <f>IF(EOMONTH(Inputs!$C$8,'IP Attrition'!BB$134-1)&lt;=Inputs!$C$9,0,MIN(IF(ISERROR(VLOOKUP(BB$134+$F162,$D$135:$D$165,1,FALSE)),0,BA30*$C$2),MAX((IF(Monthly!AX$4=TRUE,Monthly!AX$13,Monthly!AX$14)*(1+'Attrition Modeling'!$N$8)-'IP Attrition'!BA$65)/12*'IP Attrition'!BA97,0)))</f>
        <v>0</v>
      </c>
      <c r="BC162" s="799">
        <f>IF(EOMONTH(Inputs!$C$8,'IP Attrition'!BC$134-1)&lt;=Inputs!$C$9,0,MIN(IF(ISERROR(VLOOKUP(BC$134+$F162,$D$135:$D$165,1,FALSE)),0,BB30*$C$2),MAX((IF(Monthly!AY$4=TRUE,Monthly!AY$13,Monthly!AY$14)*(1+'Attrition Modeling'!$N$8)-'IP Attrition'!BB$65)/12*'IP Attrition'!BB97,0)))</f>
        <v>0</v>
      </c>
      <c r="BD162" s="799">
        <f>IF(EOMONTH(Inputs!$C$8,'IP Attrition'!BD$134-1)&lt;=Inputs!$C$9,0,MIN(IF(ISERROR(VLOOKUP(BD$134+$F162,$D$135:$D$165,1,FALSE)),0,BC30*$C$2),MAX((IF(Monthly!AZ$4=TRUE,Monthly!AZ$13,Monthly!AZ$14)*(1+'Attrition Modeling'!$N$8)-'IP Attrition'!BC$65)/12*'IP Attrition'!BC97,0)))</f>
        <v>0</v>
      </c>
      <c r="BE162" s="799">
        <f>IF(EOMONTH(Inputs!$C$8,'IP Attrition'!BE$134-1)&lt;=Inputs!$C$9,0,MIN(IF(ISERROR(VLOOKUP(BE$134+$F162,$D$135:$D$165,1,FALSE)),0,BD30*$C$2),MAX((IF(Monthly!BA$4=TRUE,Monthly!BA$13,Monthly!BA$14)*(1+'Attrition Modeling'!$N$8)-'IP Attrition'!BD$65)/12*'IP Attrition'!BD97,0)))</f>
        <v>0</v>
      </c>
      <c r="BF162" s="799">
        <f>IF(EOMONTH(Inputs!$C$8,'IP Attrition'!BF$134-1)&lt;=Inputs!$C$9,0,MIN(IF(ISERROR(VLOOKUP(BF$134+$F162,$D$135:$D$165,1,FALSE)),0,BE30*$C$2),MAX((IF(Monthly!BB$4=TRUE,Monthly!BB$13,Monthly!BB$14)*(1+'Attrition Modeling'!$N$8)-'IP Attrition'!BE$65)/12*'IP Attrition'!BE97,0)))</f>
        <v>0</v>
      </c>
      <c r="BG162" s="799">
        <f>IF(EOMONTH(Inputs!$C$8,'IP Attrition'!BG$134-1)&lt;=Inputs!$C$9,0,MIN(IF(ISERROR(VLOOKUP(BG$134+$F162,$D$135:$D$165,1,FALSE)),0,BF30*$C$2),MAX((IF(Monthly!BC$4=TRUE,Monthly!BC$13,Monthly!BC$14)*(1+'Attrition Modeling'!$N$8)-'IP Attrition'!BF$65)/12*'IP Attrition'!BF97,0)))</f>
        <v>0</v>
      </c>
      <c r="BH162" s="799">
        <f>IF(EOMONTH(Inputs!$C$8,'IP Attrition'!BH$134-1)&lt;=Inputs!$C$9,0,MIN(IF(ISERROR(VLOOKUP(BH$134+$F162,$D$135:$D$165,1,FALSE)),0,BG30*$C$2),MAX((IF(Monthly!BD$4=TRUE,Monthly!BD$13,Monthly!BD$14)*(1+'Attrition Modeling'!$N$8)-'IP Attrition'!BG$65)/12*'IP Attrition'!BG97,0)))</f>
        <v>0</v>
      </c>
      <c r="BI162" s="799">
        <f>IF(EOMONTH(Inputs!$C$8,'IP Attrition'!BI$134-1)&lt;=Inputs!$C$9,0,MIN(IF(ISERROR(VLOOKUP(BI$134+$F162,$D$135:$D$165,1,FALSE)),0,BH30*$C$2),MAX((IF(Monthly!BE$4=TRUE,Monthly!BE$13,Monthly!BE$14)*(1+'Attrition Modeling'!$N$8)-'IP Attrition'!BH$65)/12*'IP Attrition'!BH97,0)))</f>
        <v>0</v>
      </c>
      <c r="BJ162" s="799">
        <f>IF(EOMONTH(Inputs!$C$8,'IP Attrition'!BJ$134-1)&lt;=Inputs!$C$9,0,MIN(IF(ISERROR(VLOOKUP(BJ$134+$F162,$D$135:$D$165,1,FALSE)),0,BI30*$C$2),MAX((IF(Monthly!BF$4=TRUE,Monthly!BF$13,Monthly!BF$14)*(1+'Attrition Modeling'!$N$8)-'IP Attrition'!BI$65)/12*'IP Attrition'!BI97,0)))</f>
        <v>0</v>
      </c>
      <c r="BK162" s="799">
        <f>IF(EOMONTH(Inputs!$C$8,'IP Attrition'!BK$134-1)&lt;=Inputs!$C$9,0,MIN(IF(ISERROR(VLOOKUP(BK$134+$F162,$D$135:$D$165,1,FALSE)),0,BJ30*$C$2),MAX((IF(Monthly!BG$4=TRUE,Monthly!BG$13,Monthly!BG$14)*(1+'Attrition Modeling'!$N$8)-'IP Attrition'!BJ$65)/12*'IP Attrition'!BJ97,0)))</f>
        <v>0</v>
      </c>
      <c r="BL162" s="799">
        <f>IF(EOMONTH(Inputs!$C$8,'IP Attrition'!BL$134-1)&lt;=Inputs!$C$9,0,MIN(IF(ISERROR(VLOOKUP(BL$134+$F162,$D$135:$D$165,1,FALSE)),0,BK30*$C$2),MAX((IF(Monthly!BH$4=TRUE,Monthly!BH$13,Monthly!BH$14)*(1+'Attrition Modeling'!$N$8)-'IP Attrition'!BK$65)/12*'IP Attrition'!BK97,0)))</f>
        <v>0</v>
      </c>
      <c r="BM162" s="799">
        <f>IF(EOMONTH(Inputs!$C$8,'IP Attrition'!BM$134-1)&lt;=Inputs!$C$9,0,MIN(IF(ISERROR(VLOOKUP(BM$134+$F162,$D$135:$D$165,1,FALSE)),0,BL30*$C$2),MAX((IF(Monthly!BI$4=TRUE,Monthly!BI$13,Monthly!BI$14)*(1+'Attrition Modeling'!$N$8)-'IP Attrition'!BL$65)/12*'IP Attrition'!BL97,0)))</f>
        <v>0</v>
      </c>
      <c r="BN162" s="799">
        <f>IF(EOMONTH(Inputs!$C$8,'IP Attrition'!BN$134-1)&lt;=Inputs!$C$9,0,MIN(IF(ISERROR(VLOOKUP(BN$134+$F162,$D$135:$D$165,1,FALSE)),0,BM30*$C$2),MAX((IF(Monthly!BJ$4=TRUE,Monthly!BJ$13,Monthly!BJ$14)*(1+'Attrition Modeling'!$N$8)-'IP Attrition'!BM$65)/12*'IP Attrition'!BM97,0)))</f>
        <v>0</v>
      </c>
      <c r="BO162" s="799">
        <f>IF(EOMONTH(Inputs!$C$8,'IP Attrition'!BO$134-1)&lt;=Inputs!$C$9,0,MIN(IF(ISERROR(VLOOKUP(BO$134+$F162,$D$135:$D$165,1,FALSE)),0,BN30*$C$2),MAX((IF(Monthly!BK$4=TRUE,Monthly!BK$13,Monthly!BK$14)*(1+'Attrition Modeling'!$N$8)-'IP Attrition'!BN$65)/12*'IP Attrition'!BN97,0)))</f>
        <v>0</v>
      </c>
      <c r="BP162" s="799">
        <f>IF(EOMONTH(Inputs!$C$8,'IP Attrition'!BP$134-1)&lt;=Inputs!$C$9,0,MIN(IF(ISERROR(VLOOKUP(BP$134+$F162,$D$135:$D$165,1,FALSE)),0,BO30*$C$2),MAX((IF(Monthly!BL$4=TRUE,Monthly!BL$13,Monthly!BL$14)*(1+'Attrition Modeling'!$N$8)-'IP Attrition'!BO$65)/12*'IP Attrition'!BO97,0)))</f>
        <v>0</v>
      </c>
      <c r="BQ162" s="799">
        <f>IF(EOMONTH(Inputs!$C$8,'IP Attrition'!BQ$134-1)&lt;=Inputs!$C$9,0,MIN(IF(ISERROR(VLOOKUP(BQ$134+$F162,$D$135:$D$165,1,FALSE)),0,BP30*$C$2),MAX((IF(Monthly!BM$4=TRUE,Monthly!BM$13,Monthly!BM$14)*(1+'Attrition Modeling'!$N$8)-'IP Attrition'!BP$65)/12*'IP Attrition'!BP97,0)))</f>
        <v>0</v>
      </c>
      <c r="BR162" s="799">
        <f>IF(EOMONTH(Inputs!$C$8,'IP Attrition'!BR$134-1)&lt;=Inputs!$C$9,0,MIN(IF(ISERROR(VLOOKUP(BR$134+$F162,$D$135:$D$165,1,FALSE)),0,BQ30*$C$2),MAX((IF(Monthly!BN$4=TRUE,Monthly!BN$13,Monthly!BN$14)*(1+'Attrition Modeling'!$N$8)-'IP Attrition'!BQ$65)/12*'IP Attrition'!BQ97,0)))</f>
        <v>0</v>
      </c>
      <c r="BS162" s="799">
        <f>IF(EOMONTH(Inputs!$C$8,'IP Attrition'!BS$134-1)&lt;=Inputs!$C$9,0,MIN(IF(ISERROR(VLOOKUP(BS$134+$F162,$D$135:$D$165,1,FALSE)),0,BR30*$C$2),MAX((IF(Monthly!BO$4=TRUE,Monthly!BO$13,Monthly!BO$14)*(1+'Attrition Modeling'!$N$8)-'IP Attrition'!BR$65)/12*'IP Attrition'!BR97,0)))</f>
        <v>0</v>
      </c>
      <c r="BT162" s="799" t="e">
        <f>IF(EOMONTH(Inputs!$C$8,'IP Attrition'!BT$134-1)&lt;=Inputs!$C$9,0,MIN(IF(ISERROR(VLOOKUP(BT$134+$F162,$D$135:$D$165,1,FALSE)),0,BS30*$C$2),MAX((IF(Monthly!#REF!=TRUE,Monthly!#REF!,Monthly!#REF!)*(1+'Attrition Modeling'!$N$8)-'IP Attrition'!BS$65)/12*'IP Attrition'!BS97,0)))</f>
        <v>#REF!</v>
      </c>
      <c r="BU162" s="799" t="e">
        <f>IF(EOMONTH(Inputs!$C$8,'IP Attrition'!BU$134-1)&lt;=Inputs!$C$9,0,MIN(IF(ISERROR(VLOOKUP(BU$134+$F162,$D$135:$D$165,1,FALSE)),0,BT30*$C$2),MAX((IF(Monthly!#REF!=TRUE,Monthly!#REF!,Monthly!#REF!)*(1+'Attrition Modeling'!$N$8)-'IP Attrition'!BT$65)/12*'IP Attrition'!BT97,0)))</f>
        <v>#REF!</v>
      </c>
    </row>
    <row r="163" spans="1:73" ht="14.25" customHeight="1" x14ac:dyDescent="0.2">
      <c r="D163" s="11">
        <f t="shared" si="72"/>
        <v>342</v>
      </c>
      <c r="E163" s="25">
        <f t="shared" si="71"/>
        <v>0</v>
      </c>
      <c r="F163" s="11">
        <f t="shared" si="73"/>
        <v>28</v>
      </c>
      <c r="G163" s="799"/>
      <c r="H163" s="799">
        <f>IF(EOMONTH(Inputs!$C$8,'IP Attrition'!H$134-1)&lt;=Inputs!$C$9,0,MIN(IF(ISERROR(VLOOKUP(H$134+$F163,$D$135:$D$165,1,FALSE)),0,G31*$C$2),MAX((IF(Monthly!D$4=TRUE,Monthly!D$13,Monthly!D$14)*(1+'Attrition Modeling'!$N$8)-'IP Attrition'!G$65)/12*'IP Attrition'!G98,0)))</f>
        <v>0</v>
      </c>
      <c r="I163" s="799">
        <f>IF(EOMONTH(Inputs!$C$8,'IP Attrition'!I$134-1)&lt;=Inputs!$C$9,0,MIN(IF(ISERROR(VLOOKUP(I$134+$F163,$D$135:$D$165,1,FALSE)),0,H31*$C$2),MAX((IF(Monthly!E$4=TRUE,Monthly!E$13,Monthly!E$14)*(1+'Attrition Modeling'!$N$8)-'IP Attrition'!H$65)/12*'IP Attrition'!H98,0)))</f>
        <v>0</v>
      </c>
      <c r="J163" s="799">
        <f>IF(EOMONTH(Inputs!$C$8,'IP Attrition'!J$134-1)&lt;=Inputs!$C$9,0,MIN(IF(ISERROR(VLOOKUP(J$134+$F163,$D$135:$D$165,1,FALSE)),0,I31*$C$2),MAX((IF(Monthly!F$4=TRUE,Monthly!F$13,Monthly!F$14)*(1+'Attrition Modeling'!$N$8)-'IP Attrition'!I$65)/12*'IP Attrition'!I98,0)))</f>
        <v>0</v>
      </c>
      <c r="K163" s="799">
        <f>IF(EOMONTH(Inputs!$C$8,'IP Attrition'!K$134-1)&lt;=Inputs!$C$9,0,MIN(IF(ISERROR(VLOOKUP(K$134+$F163,$D$135:$D$165,1,FALSE)),0,J31*$C$2),MAX((IF(Monthly!G$4=TRUE,Monthly!G$13,Monthly!G$14)*(1+'Attrition Modeling'!$N$8)-'IP Attrition'!J$65)/12*'IP Attrition'!J98,0)))</f>
        <v>0</v>
      </c>
      <c r="L163" s="799">
        <f>IF(EOMONTH(Inputs!$C$8,'IP Attrition'!L$134-1)&lt;=Inputs!$C$9,0,MIN(IF(ISERROR(VLOOKUP(L$134+$F163,$D$135:$D$165,1,FALSE)),0,K31*$C$2),MAX((IF(Monthly!H$4=TRUE,Monthly!H$13,Monthly!H$14)*(1+'Attrition Modeling'!$N$8)-'IP Attrition'!K$65)/12*'IP Attrition'!K98,0)))</f>
        <v>0</v>
      </c>
      <c r="M163" s="799">
        <f>IF(EOMONTH(Inputs!$C$8,'IP Attrition'!M$134-1)&lt;=Inputs!$C$9,0,MIN(IF(ISERROR(VLOOKUP(M$134+$F163,$D$135:$D$165,1,FALSE)),0,L31*$C$2),MAX((IF(Monthly!I$4=TRUE,Monthly!I$13,Monthly!I$14)*(1+'Attrition Modeling'!$N$8)-'IP Attrition'!L$65)/12*'IP Attrition'!L98,0)))</f>
        <v>0</v>
      </c>
      <c r="N163" s="799">
        <f>IF(EOMONTH(Inputs!$C$8,'IP Attrition'!N$134-1)&lt;=Inputs!$C$9,0,MIN(IF(ISERROR(VLOOKUP(N$134+$F163,$D$135:$D$165,1,FALSE)),0,M31*$C$2),MAX((IF(Monthly!J$4=TRUE,Monthly!J$13,Monthly!J$14)*(1+'Attrition Modeling'!$N$8)-'IP Attrition'!M$65)/12*'IP Attrition'!M98,0)))</f>
        <v>0</v>
      </c>
      <c r="O163" s="799">
        <f>IF(EOMONTH(Inputs!$C$8,'IP Attrition'!O$134-1)&lt;=Inputs!$C$9,0,MIN(IF(ISERROR(VLOOKUP(O$134+$F163,$D$135:$D$165,1,FALSE)),0,N31*$C$2),MAX((IF(Monthly!K$4=TRUE,Monthly!K$13,Monthly!K$14)*(1+'Attrition Modeling'!$N$8)-'IP Attrition'!N$65)/12*'IP Attrition'!N98,0)))</f>
        <v>0</v>
      </c>
      <c r="P163" s="799">
        <f>IF(EOMONTH(Inputs!$C$8,'IP Attrition'!P$134-1)&lt;=Inputs!$C$9,0,MIN(IF(ISERROR(VLOOKUP(P$134+$F163,$D$135:$D$165,1,FALSE)),0,O31*$C$2),MAX((IF(Monthly!L$4=TRUE,Monthly!L$13,Monthly!L$14)*(1+'Attrition Modeling'!$N$8)-'IP Attrition'!O$65)/12*'IP Attrition'!O98,0)))</f>
        <v>0</v>
      </c>
      <c r="Q163" s="799">
        <f>IF(EOMONTH(Inputs!$C$8,'IP Attrition'!Q$134-1)&lt;=Inputs!$C$9,0,MIN(IF(ISERROR(VLOOKUP(Q$134+$F163,$D$135:$D$165,1,FALSE)),0,P31*$C$2),MAX((IF(Monthly!M$4=TRUE,Monthly!M$13,Monthly!M$14)*(1+'Attrition Modeling'!$N$8)-'IP Attrition'!P$65)/12*'IP Attrition'!P98,0)))</f>
        <v>0</v>
      </c>
      <c r="R163" s="799">
        <f>IF(EOMONTH(Inputs!$C$8,'IP Attrition'!R$134-1)&lt;=Inputs!$C$9,0,MIN(IF(ISERROR(VLOOKUP(R$134+$F163,$D$135:$D$165,1,FALSE)),0,Q31*$C$2),MAX((IF(Monthly!N$4=TRUE,Monthly!N$13,Monthly!N$14)*(1+'Attrition Modeling'!$N$8)-'IP Attrition'!Q$65)/12*'IP Attrition'!Q98,0)))</f>
        <v>0</v>
      </c>
      <c r="S163" s="799">
        <f>IF(EOMONTH(Inputs!$C$8,'IP Attrition'!S$134-1)&lt;=Inputs!$C$9,0,MIN(IF(ISERROR(VLOOKUP(S$134+$F163,$D$135:$D$165,1,FALSE)),0,R31*$C$2),MAX((IF(Monthly!O$4=TRUE,Monthly!O$13,Monthly!O$14)*(1+'Attrition Modeling'!$N$8)-'IP Attrition'!R$65)/12*'IP Attrition'!R98,0)))</f>
        <v>0</v>
      </c>
      <c r="T163" s="799">
        <f>IF(EOMONTH(Inputs!$C$8,'IP Attrition'!T$134-1)&lt;=Inputs!$C$9,0,MIN(IF(ISERROR(VLOOKUP(T$134+$F163,$D$135:$D$165,1,FALSE)),0,S31*$C$2),MAX((IF(Monthly!P$4=TRUE,Monthly!P$13,Monthly!P$14)*(1+'Attrition Modeling'!$N$8)-'IP Attrition'!S$65)/12*'IP Attrition'!S98,0)))</f>
        <v>0</v>
      </c>
      <c r="U163" s="799">
        <f>IF(EOMONTH(Inputs!$C$8,'IP Attrition'!U$134-1)&lt;=Inputs!$C$9,0,MIN(IF(ISERROR(VLOOKUP(U$134+$F163,$D$135:$D$165,1,FALSE)),0,T31*$C$2),MAX((IF(Monthly!Q$4=TRUE,Monthly!Q$13,Monthly!Q$14)*(1+'Attrition Modeling'!$N$8)-'IP Attrition'!T$65)/12*'IP Attrition'!T98,0)))</f>
        <v>0</v>
      </c>
      <c r="V163" s="799">
        <f>IF(EOMONTH(Inputs!$C$8,'IP Attrition'!V$134-1)&lt;=Inputs!$C$9,0,MIN(IF(ISERROR(VLOOKUP(V$134+$F163,$D$135:$D$165,1,FALSE)),0,U31*$C$2),MAX((IF(Monthly!R$4=TRUE,Monthly!R$13,Monthly!R$14)*(1+'Attrition Modeling'!$N$8)-'IP Attrition'!U$65)/12*'IP Attrition'!U98,0)))</f>
        <v>0</v>
      </c>
      <c r="W163" s="799">
        <f>IF(EOMONTH(Inputs!$C$8,'IP Attrition'!W$134-1)&lt;=Inputs!$C$9,0,MIN(IF(ISERROR(VLOOKUP(W$134+$F163,$D$135:$D$165,1,FALSE)),0,V31*$C$2),MAX((IF(Monthly!S$4=TRUE,Monthly!S$13,Monthly!S$14)*(1+'Attrition Modeling'!$N$8)-'IP Attrition'!V$65)/12*'IP Attrition'!V98,0)))</f>
        <v>0</v>
      </c>
      <c r="X163" s="799">
        <f>IF(EOMONTH(Inputs!$C$8,'IP Attrition'!X$134-1)&lt;=Inputs!$C$9,0,MIN(IF(ISERROR(VLOOKUP(X$134+$F163,$D$135:$D$165,1,FALSE)),0,W31*$C$2),MAX((IF(Monthly!T$4=TRUE,Monthly!T$13,Monthly!T$14)*(1+'Attrition Modeling'!$N$8)-'IP Attrition'!W$65)/12*'IP Attrition'!W98,0)))</f>
        <v>0</v>
      </c>
      <c r="Y163" s="799">
        <f>IF(EOMONTH(Inputs!$C$8,'IP Attrition'!Y$134-1)&lt;=Inputs!$C$9,0,MIN(IF(ISERROR(VLOOKUP(Y$134+$F163,$D$135:$D$165,1,FALSE)),0,X31*$C$2),MAX((IF(Monthly!U$4=TRUE,Monthly!U$13,Monthly!U$14)*(1+'Attrition Modeling'!$N$8)-'IP Attrition'!X$65)/12*'IP Attrition'!X98,0)))</f>
        <v>0</v>
      </c>
      <c r="Z163" s="799">
        <f>IF(EOMONTH(Inputs!$C$8,'IP Attrition'!Z$134-1)&lt;=Inputs!$C$9,0,MIN(IF(ISERROR(VLOOKUP(Z$134+$F163,$D$135:$D$165,1,FALSE)),0,Y31*$C$2),MAX((IF(Monthly!V$4=TRUE,Monthly!V$13,Monthly!V$14)*(1+'Attrition Modeling'!$N$8)-'IP Attrition'!Y$65)/12*'IP Attrition'!Y98,0)))</f>
        <v>0</v>
      </c>
      <c r="AA163" s="799">
        <f>IF(EOMONTH(Inputs!$C$8,'IP Attrition'!AA$134-1)&lt;=Inputs!$C$9,0,MIN(IF(ISERROR(VLOOKUP(AA$134+$F163,$D$135:$D$165,1,FALSE)),0,Z31*$C$2),MAX((IF(Monthly!W$4=TRUE,Monthly!W$13,Monthly!W$14)*(1+'Attrition Modeling'!$N$8)-'IP Attrition'!Z$65)/12*'IP Attrition'!Z98,0)))</f>
        <v>0</v>
      </c>
      <c r="AB163" s="799">
        <f>IF(EOMONTH(Inputs!$C$8,'IP Attrition'!AB$134-1)&lt;=Inputs!$C$9,0,MIN(IF(ISERROR(VLOOKUP(AB$134+$F163,$D$135:$D$165,1,FALSE)),0,AA31*$C$2),MAX((IF(Monthly!X$4=TRUE,Monthly!X$13,Monthly!X$14)*(1+'Attrition Modeling'!$N$8)-'IP Attrition'!AA$65)/12*'IP Attrition'!AA98,0)))</f>
        <v>0</v>
      </c>
      <c r="AC163" s="799">
        <f>IF(EOMONTH(Inputs!$C$8,'IP Attrition'!AC$134-1)&lt;=Inputs!$C$9,0,MIN(IF(ISERROR(VLOOKUP(AC$134+$F163,$D$135:$D$165,1,FALSE)),0,AB31*$C$2),MAX((IF(Monthly!Y$4=TRUE,Monthly!Y$13,Monthly!Y$14)*(1+'Attrition Modeling'!$N$8)-'IP Attrition'!AB$65)/12*'IP Attrition'!AB98,0)))</f>
        <v>0</v>
      </c>
      <c r="AD163" s="799">
        <f>IF(EOMONTH(Inputs!$C$8,'IP Attrition'!AD$134-1)&lt;=Inputs!$C$9,0,MIN(IF(ISERROR(VLOOKUP(AD$134+$F163,$D$135:$D$165,1,FALSE)),0,AC31*$C$2),MAX((IF(Monthly!Z$4=TRUE,Monthly!Z$13,Monthly!Z$14)*(1+'Attrition Modeling'!$N$8)-'IP Attrition'!AC$65)/12*'IP Attrition'!AC98,0)))</f>
        <v>0</v>
      </c>
      <c r="AE163" s="799">
        <f>IF(EOMONTH(Inputs!$C$8,'IP Attrition'!AE$134-1)&lt;=Inputs!$C$9,0,MIN(IF(ISERROR(VLOOKUP(AE$134+$F163,$D$135:$D$165,1,FALSE)),0,AD31*$C$2),MAX((IF(Monthly!AA$4=TRUE,Monthly!AA$13,Monthly!AA$14)*(1+'Attrition Modeling'!$N$8)-'IP Attrition'!AD$65)/12*'IP Attrition'!AD98,0)))</f>
        <v>0</v>
      </c>
      <c r="AF163" s="799">
        <f>IF(EOMONTH(Inputs!$C$8,'IP Attrition'!AF$134-1)&lt;=Inputs!$C$9,0,MIN(IF(ISERROR(VLOOKUP(AF$134+$F163,$D$135:$D$165,1,FALSE)),0,AE31*$C$2),MAX((IF(Monthly!AB$4=TRUE,Monthly!AB$13,Monthly!AB$14)*(1+'Attrition Modeling'!$N$8)-'IP Attrition'!AE$65)/12*'IP Attrition'!AE98,0)))</f>
        <v>0</v>
      </c>
      <c r="AG163" s="799">
        <f>IF(EOMONTH(Inputs!$C$8,'IP Attrition'!AG$134-1)&lt;=Inputs!$C$9,0,MIN(IF(ISERROR(VLOOKUP(AG$134+$F163,$D$135:$D$165,1,FALSE)),0,AF31*$C$2),MAX((IF(Monthly!AC$4=TRUE,Monthly!AC$13,Monthly!AC$14)*(1+'Attrition Modeling'!$N$8)-'IP Attrition'!AF$65)/12*'IP Attrition'!AF98,0)))</f>
        <v>0</v>
      </c>
      <c r="AH163" s="799">
        <f>IF(EOMONTH(Inputs!$C$8,'IP Attrition'!AH$134-1)&lt;=Inputs!$C$9,0,MIN(IF(ISERROR(VLOOKUP(AH$134+$F163,$D$135:$D$165,1,FALSE)),0,AG31*$C$2),MAX((IF(Monthly!AD$4=TRUE,Monthly!AD$13,Monthly!AD$14)*(1+'Attrition Modeling'!$N$8)-'IP Attrition'!AG$65)/12*'IP Attrition'!AG98,0)))</f>
        <v>0</v>
      </c>
      <c r="AI163" s="799">
        <f>IF(EOMONTH(Inputs!$C$8,'IP Attrition'!AI$134-1)&lt;=Inputs!$C$9,0,MIN(IF(ISERROR(VLOOKUP(AI$134+$F163,$D$135:$D$165,1,FALSE)),0,AH31*$C$2),MAX((IF(Monthly!AE$4=TRUE,Monthly!AE$13,Monthly!AE$14)*(1+'Attrition Modeling'!$N$8)-'IP Attrition'!AH$65)/12*'IP Attrition'!AH98,0)))</f>
        <v>0</v>
      </c>
      <c r="AJ163" s="799">
        <f>IF(EOMONTH(Inputs!$C$8,'IP Attrition'!AJ$134-1)&lt;=Inputs!$C$9,0,MIN(IF(ISERROR(VLOOKUP(AJ$134+$F163,$D$135:$D$165,1,FALSE)),0,AI31*$C$2),MAX((IF(Monthly!AF$4=TRUE,Monthly!AF$13,Monthly!AF$14)*(1+'Attrition Modeling'!$N$8)-'IP Attrition'!AI$65)/12*'IP Attrition'!AI98,0)))</f>
        <v>0</v>
      </c>
      <c r="AK163" s="799">
        <f>IF(EOMONTH(Inputs!$C$8,'IP Attrition'!AK$134-1)&lt;=Inputs!$C$9,0,MIN(IF(ISERROR(VLOOKUP(AK$134+$F163,$D$135:$D$165,1,FALSE)),0,AJ31*$C$2),MAX((IF(Monthly!AG$4=TRUE,Monthly!AG$13,Monthly!AG$14)*(1+'Attrition Modeling'!$N$8)-'IP Attrition'!AJ$65)/12*'IP Attrition'!AJ98,0)))</f>
        <v>0</v>
      </c>
      <c r="AL163" s="799">
        <f>IF(EOMONTH(Inputs!$C$8,'IP Attrition'!AL$134-1)&lt;=Inputs!$C$9,0,MIN(IF(ISERROR(VLOOKUP(AL$134+$F163,$D$135:$D$165,1,FALSE)),0,AK31*$C$2),MAX((IF(Monthly!AH$4=TRUE,Monthly!AH$13,Monthly!AH$14)*(1+'Attrition Modeling'!$N$8)-'IP Attrition'!AK$65)/12*'IP Attrition'!AK98,0)))</f>
        <v>0</v>
      </c>
      <c r="AM163" s="799">
        <f>IF(EOMONTH(Inputs!$C$8,'IP Attrition'!AM$134-1)&lt;=Inputs!$C$9,0,MIN(IF(ISERROR(VLOOKUP(AM$134+$F163,$D$135:$D$165,1,FALSE)),0,AL31*$C$2),MAX((IF(Monthly!AI$4=TRUE,Monthly!AI$13,Monthly!AI$14)*(1+'Attrition Modeling'!$N$8)-'IP Attrition'!AL$65)/12*'IP Attrition'!AL98,0)))</f>
        <v>0</v>
      </c>
      <c r="AN163" s="799">
        <f>IF(EOMONTH(Inputs!$C$8,'IP Attrition'!AN$134-1)&lt;=Inputs!$C$9,0,MIN(IF(ISERROR(VLOOKUP(AN$134+$F163,$D$135:$D$165,1,FALSE)),0,AM31*$C$2),MAX((IF(Monthly!AJ$4=TRUE,Monthly!AJ$13,Monthly!AJ$14)*(1+'Attrition Modeling'!$N$8)-'IP Attrition'!AM$65)/12*'IP Attrition'!AM98,0)))</f>
        <v>0</v>
      </c>
      <c r="AO163" s="799">
        <f>IF(EOMONTH(Inputs!$C$8,'IP Attrition'!AO$134-1)&lt;=Inputs!$C$9,0,MIN(IF(ISERROR(VLOOKUP(AO$134+$F163,$D$135:$D$165,1,FALSE)),0,AN31*$C$2),MAX((IF(Monthly!AK$4=TRUE,Monthly!AK$13,Monthly!AK$14)*(1+'Attrition Modeling'!$N$8)-'IP Attrition'!AN$65)/12*'IP Attrition'!AN98,0)))</f>
        <v>0</v>
      </c>
      <c r="AP163" s="799">
        <f>IF(EOMONTH(Inputs!$C$8,'IP Attrition'!AP$134-1)&lt;=Inputs!$C$9,0,MIN(IF(ISERROR(VLOOKUP(AP$134+$F163,$D$135:$D$165,1,FALSE)),0,AO31*$C$2),MAX((IF(Monthly!AL$4=TRUE,Monthly!AL$13,Monthly!AL$14)*(1+'Attrition Modeling'!$N$8)-'IP Attrition'!AO$65)/12*'IP Attrition'!AO98,0)))</f>
        <v>0</v>
      </c>
      <c r="AQ163" s="799">
        <f>IF(EOMONTH(Inputs!$C$8,'IP Attrition'!AQ$134-1)&lt;=Inputs!$C$9,0,MIN(IF(ISERROR(VLOOKUP(AQ$134+$F163,$D$135:$D$165,1,FALSE)),0,AP31*$C$2),MAX((IF(Monthly!AM$4=TRUE,Monthly!AM$13,Monthly!AM$14)*(1+'Attrition Modeling'!$N$8)-'IP Attrition'!AP$65)/12*'IP Attrition'!AP98,0)))</f>
        <v>0</v>
      </c>
      <c r="AR163" s="799">
        <f>IF(EOMONTH(Inputs!$C$8,'IP Attrition'!AR$134-1)&lt;=Inputs!$C$9,0,MIN(IF(ISERROR(VLOOKUP(AR$134+$F163,$D$135:$D$165,1,FALSE)),0,AQ31*$C$2),MAX((IF(Monthly!AN$4=TRUE,Monthly!AN$13,Monthly!AN$14)*(1+'Attrition Modeling'!$N$8)-'IP Attrition'!AQ$65)/12*'IP Attrition'!AQ98,0)))</f>
        <v>0</v>
      </c>
      <c r="AS163" s="799">
        <f>IF(EOMONTH(Inputs!$C$8,'IP Attrition'!AS$134-1)&lt;=Inputs!$C$9,0,MIN(IF(ISERROR(VLOOKUP(AS$134+$F163,$D$135:$D$165,1,FALSE)),0,AR31*$C$2),MAX((IF(Monthly!AO$4=TRUE,Monthly!AO$13,Monthly!AO$14)*(1+'Attrition Modeling'!$N$8)-'IP Attrition'!AR$65)/12*'IP Attrition'!AR98,0)))</f>
        <v>0</v>
      </c>
      <c r="AT163" s="799">
        <f>IF(EOMONTH(Inputs!$C$8,'IP Attrition'!AT$134-1)&lt;=Inputs!$C$9,0,MIN(IF(ISERROR(VLOOKUP(AT$134+$F163,$D$135:$D$165,1,FALSE)),0,AS31*$C$2),MAX((IF(Monthly!AP$4=TRUE,Monthly!AP$13,Monthly!AP$14)*(1+'Attrition Modeling'!$N$8)-'IP Attrition'!AS$65)/12*'IP Attrition'!AS98,0)))</f>
        <v>0</v>
      </c>
      <c r="AU163" s="799">
        <f>IF(EOMONTH(Inputs!$C$8,'IP Attrition'!AU$134-1)&lt;=Inputs!$C$9,0,MIN(IF(ISERROR(VLOOKUP(AU$134+$F163,$D$135:$D$165,1,FALSE)),0,AT31*$C$2),MAX((IF(Monthly!AQ$4=TRUE,Monthly!AQ$13,Monthly!AQ$14)*(1+'Attrition Modeling'!$N$8)-'IP Attrition'!AT$65)/12*'IP Attrition'!AT98,0)))</f>
        <v>0</v>
      </c>
      <c r="AV163" s="799">
        <f>IF(EOMONTH(Inputs!$C$8,'IP Attrition'!AV$134-1)&lt;=Inputs!$C$9,0,MIN(IF(ISERROR(VLOOKUP(AV$134+$F163,$D$135:$D$165,1,FALSE)),0,AU31*$C$2),MAX((IF(Monthly!AR$4=TRUE,Monthly!AR$13,Monthly!AR$14)*(1+'Attrition Modeling'!$N$8)-'IP Attrition'!AU$65)/12*'IP Attrition'!AU98,0)))</f>
        <v>0</v>
      </c>
      <c r="AW163" s="799">
        <f>IF(EOMONTH(Inputs!$C$8,'IP Attrition'!AW$134-1)&lt;=Inputs!$C$9,0,MIN(IF(ISERROR(VLOOKUP(AW$134+$F163,$D$135:$D$165,1,FALSE)),0,AV31*$C$2),MAX((IF(Monthly!AS$4=TRUE,Monthly!AS$13,Monthly!AS$14)*(1+'Attrition Modeling'!$N$8)-'IP Attrition'!AV$65)/12*'IP Attrition'!AV98,0)))</f>
        <v>0</v>
      </c>
      <c r="AX163" s="799">
        <f>IF(EOMONTH(Inputs!$C$8,'IP Attrition'!AX$134-1)&lt;=Inputs!$C$9,0,MIN(IF(ISERROR(VLOOKUP(AX$134+$F163,$D$135:$D$165,1,FALSE)),0,AW31*$C$2),MAX((IF(Monthly!AT$4=TRUE,Monthly!AT$13,Monthly!AT$14)*(1+'Attrition Modeling'!$N$8)-'IP Attrition'!AW$65)/12*'IP Attrition'!AW98,0)))</f>
        <v>0</v>
      </c>
      <c r="AY163" s="799">
        <f>IF(EOMONTH(Inputs!$C$8,'IP Attrition'!AY$134-1)&lt;=Inputs!$C$9,0,MIN(IF(ISERROR(VLOOKUP(AY$134+$F163,$D$135:$D$165,1,FALSE)),0,AX31*$C$2),MAX((IF(Monthly!AU$4=TRUE,Monthly!AU$13,Monthly!AU$14)*(1+'Attrition Modeling'!$N$8)-'IP Attrition'!AX$65)/12*'IP Attrition'!AX98,0)))</f>
        <v>0</v>
      </c>
      <c r="AZ163" s="799">
        <f>IF(EOMONTH(Inputs!$C$8,'IP Attrition'!AZ$134-1)&lt;=Inputs!$C$9,0,MIN(IF(ISERROR(VLOOKUP(AZ$134+$F163,$D$135:$D$165,1,FALSE)),0,AY31*$C$2),MAX((IF(Monthly!AV$4=TRUE,Monthly!AV$13,Monthly!AV$14)*(1+'Attrition Modeling'!$N$8)-'IP Attrition'!AY$65)/12*'IP Attrition'!AY98,0)))</f>
        <v>0</v>
      </c>
      <c r="BA163" s="799">
        <f>IF(EOMONTH(Inputs!$C$8,'IP Attrition'!BA$134-1)&lt;=Inputs!$C$9,0,MIN(IF(ISERROR(VLOOKUP(BA$134+$F163,$D$135:$D$165,1,FALSE)),0,AZ31*$C$2),MAX((IF(Monthly!AW$4=TRUE,Monthly!AW$13,Monthly!AW$14)*(1+'Attrition Modeling'!$N$8)-'IP Attrition'!AZ$65)/12*'IP Attrition'!AZ98,0)))</f>
        <v>0</v>
      </c>
      <c r="BB163" s="799">
        <f>IF(EOMONTH(Inputs!$C$8,'IP Attrition'!BB$134-1)&lt;=Inputs!$C$9,0,MIN(IF(ISERROR(VLOOKUP(BB$134+$F163,$D$135:$D$165,1,FALSE)),0,BA31*$C$2),MAX((IF(Monthly!AX$4=TRUE,Monthly!AX$13,Monthly!AX$14)*(1+'Attrition Modeling'!$N$8)-'IP Attrition'!BA$65)/12*'IP Attrition'!BA98,0)))</f>
        <v>0</v>
      </c>
      <c r="BC163" s="799">
        <f>IF(EOMONTH(Inputs!$C$8,'IP Attrition'!BC$134-1)&lt;=Inputs!$C$9,0,MIN(IF(ISERROR(VLOOKUP(BC$134+$F163,$D$135:$D$165,1,FALSE)),0,BB31*$C$2),MAX((IF(Monthly!AY$4=TRUE,Monthly!AY$13,Monthly!AY$14)*(1+'Attrition Modeling'!$N$8)-'IP Attrition'!BB$65)/12*'IP Attrition'!BB98,0)))</f>
        <v>0</v>
      </c>
      <c r="BD163" s="799">
        <f>IF(EOMONTH(Inputs!$C$8,'IP Attrition'!BD$134-1)&lt;=Inputs!$C$9,0,MIN(IF(ISERROR(VLOOKUP(BD$134+$F163,$D$135:$D$165,1,FALSE)),0,BC31*$C$2),MAX((IF(Monthly!AZ$4=TRUE,Monthly!AZ$13,Monthly!AZ$14)*(1+'Attrition Modeling'!$N$8)-'IP Attrition'!BC$65)/12*'IP Attrition'!BC98,0)))</f>
        <v>0</v>
      </c>
      <c r="BE163" s="799">
        <f>IF(EOMONTH(Inputs!$C$8,'IP Attrition'!BE$134-1)&lt;=Inputs!$C$9,0,MIN(IF(ISERROR(VLOOKUP(BE$134+$F163,$D$135:$D$165,1,FALSE)),0,BD31*$C$2),MAX((IF(Monthly!BA$4=TRUE,Monthly!BA$13,Monthly!BA$14)*(1+'Attrition Modeling'!$N$8)-'IP Attrition'!BD$65)/12*'IP Attrition'!BD98,0)))</f>
        <v>0</v>
      </c>
      <c r="BF163" s="799">
        <f>IF(EOMONTH(Inputs!$C$8,'IP Attrition'!BF$134-1)&lt;=Inputs!$C$9,0,MIN(IF(ISERROR(VLOOKUP(BF$134+$F163,$D$135:$D$165,1,FALSE)),0,BE31*$C$2),MAX((IF(Monthly!BB$4=TRUE,Monthly!BB$13,Monthly!BB$14)*(1+'Attrition Modeling'!$N$8)-'IP Attrition'!BE$65)/12*'IP Attrition'!BE98,0)))</f>
        <v>0</v>
      </c>
      <c r="BG163" s="799">
        <f>IF(EOMONTH(Inputs!$C$8,'IP Attrition'!BG$134-1)&lt;=Inputs!$C$9,0,MIN(IF(ISERROR(VLOOKUP(BG$134+$F163,$D$135:$D$165,1,FALSE)),0,BF31*$C$2),MAX((IF(Monthly!BC$4=TRUE,Monthly!BC$13,Monthly!BC$14)*(1+'Attrition Modeling'!$N$8)-'IP Attrition'!BF$65)/12*'IP Attrition'!BF98,0)))</f>
        <v>0</v>
      </c>
      <c r="BH163" s="799">
        <f>IF(EOMONTH(Inputs!$C$8,'IP Attrition'!BH$134-1)&lt;=Inputs!$C$9,0,MIN(IF(ISERROR(VLOOKUP(BH$134+$F163,$D$135:$D$165,1,FALSE)),0,BG31*$C$2),MAX((IF(Monthly!BD$4=TRUE,Monthly!BD$13,Monthly!BD$14)*(1+'Attrition Modeling'!$N$8)-'IP Attrition'!BG$65)/12*'IP Attrition'!BG98,0)))</f>
        <v>0</v>
      </c>
      <c r="BI163" s="799">
        <f>IF(EOMONTH(Inputs!$C$8,'IP Attrition'!BI$134-1)&lt;=Inputs!$C$9,0,MIN(IF(ISERROR(VLOOKUP(BI$134+$F163,$D$135:$D$165,1,FALSE)),0,BH31*$C$2),MAX((IF(Monthly!BE$4=TRUE,Monthly!BE$13,Monthly!BE$14)*(1+'Attrition Modeling'!$N$8)-'IP Attrition'!BH$65)/12*'IP Attrition'!BH98,0)))</f>
        <v>0</v>
      </c>
      <c r="BJ163" s="799">
        <f>IF(EOMONTH(Inputs!$C$8,'IP Attrition'!BJ$134-1)&lt;=Inputs!$C$9,0,MIN(IF(ISERROR(VLOOKUP(BJ$134+$F163,$D$135:$D$165,1,FALSE)),0,BI31*$C$2),MAX((IF(Monthly!BF$4=TRUE,Monthly!BF$13,Monthly!BF$14)*(1+'Attrition Modeling'!$N$8)-'IP Attrition'!BI$65)/12*'IP Attrition'!BI98,0)))</f>
        <v>0</v>
      </c>
      <c r="BK163" s="799">
        <f>IF(EOMONTH(Inputs!$C$8,'IP Attrition'!BK$134-1)&lt;=Inputs!$C$9,0,MIN(IF(ISERROR(VLOOKUP(BK$134+$F163,$D$135:$D$165,1,FALSE)),0,BJ31*$C$2),MAX((IF(Monthly!BG$4=TRUE,Monthly!BG$13,Monthly!BG$14)*(1+'Attrition Modeling'!$N$8)-'IP Attrition'!BJ$65)/12*'IP Attrition'!BJ98,0)))</f>
        <v>0</v>
      </c>
      <c r="BL163" s="799">
        <f>IF(EOMONTH(Inputs!$C$8,'IP Attrition'!BL$134-1)&lt;=Inputs!$C$9,0,MIN(IF(ISERROR(VLOOKUP(BL$134+$F163,$D$135:$D$165,1,FALSE)),0,BK31*$C$2),MAX((IF(Monthly!BH$4=TRUE,Monthly!BH$13,Monthly!BH$14)*(1+'Attrition Modeling'!$N$8)-'IP Attrition'!BK$65)/12*'IP Attrition'!BK98,0)))</f>
        <v>0</v>
      </c>
      <c r="BM163" s="799">
        <f>IF(EOMONTH(Inputs!$C$8,'IP Attrition'!BM$134-1)&lt;=Inputs!$C$9,0,MIN(IF(ISERROR(VLOOKUP(BM$134+$F163,$D$135:$D$165,1,FALSE)),0,BL31*$C$2),MAX((IF(Monthly!BI$4=TRUE,Monthly!BI$13,Monthly!BI$14)*(1+'Attrition Modeling'!$N$8)-'IP Attrition'!BL$65)/12*'IP Attrition'!BL98,0)))</f>
        <v>0</v>
      </c>
      <c r="BN163" s="799">
        <f>IF(EOMONTH(Inputs!$C$8,'IP Attrition'!BN$134-1)&lt;=Inputs!$C$9,0,MIN(IF(ISERROR(VLOOKUP(BN$134+$F163,$D$135:$D$165,1,FALSE)),0,BM31*$C$2),MAX((IF(Monthly!BJ$4=TRUE,Monthly!BJ$13,Monthly!BJ$14)*(1+'Attrition Modeling'!$N$8)-'IP Attrition'!BM$65)/12*'IP Attrition'!BM98,0)))</f>
        <v>0</v>
      </c>
      <c r="BO163" s="799">
        <f>IF(EOMONTH(Inputs!$C$8,'IP Attrition'!BO$134-1)&lt;=Inputs!$C$9,0,MIN(IF(ISERROR(VLOOKUP(BO$134+$F163,$D$135:$D$165,1,FALSE)),0,BN31*$C$2),MAX((IF(Monthly!BK$4=TRUE,Monthly!BK$13,Monthly!BK$14)*(1+'Attrition Modeling'!$N$8)-'IP Attrition'!BN$65)/12*'IP Attrition'!BN98,0)))</f>
        <v>0</v>
      </c>
      <c r="BP163" s="799">
        <f>IF(EOMONTH(Inputs!$C$8,'IP Attrition'!BP$134-1)&lt;=Inputs!$C$9,0,MIN(IF(ISERROR(VLOOKUP(BP$134+$F163,$D$135:$D$165,1,FALSE)),0,BO31*$C$2),MAX((IF(Monthly!BL$4=TRUE,Monthly!BL$13,Monthly!BL$14)*(1+'Attrition Modeling'!$N$8)-'IP Attrition'!BO$65)/12*'IP Attrition'!BO98,0)))</f>
        <v>0</v>
      </c>
      <c r="BQ163" s="799">
        <f>IF(EOMONTH(Inputs!$C$8,'IP Attrition'!BQ$134-1)&lt;=Inputs!$C$9,0,MIN(IF(ISERROR(VLOOKUP(BQ$134+$F163,$D$135:$D$165,1,FALSE)),0,BP31*$C$2),MAX((IF(Monthly!BM$4=TRUE,Monthly!BM$13,Monthly!BM$14)*(1+'Attrition Modeling'!$N$8)-'IP Attrition'!BP$65)/12*'IP Attrition'!BP98,0)))</f>
        <v>0</v>
      </c>
      <c r="BR163" s="799">
        <f>IF(EOMONTH(Inputs!$C$8,'IP Attrition'!BR$134-1)&lt;=Inputs!$C$9,0,MIN(IF(ISERROR(VLOOKUP(BR$134+$F163,$D$135:$D$165,1,FALSE)),0,BQ31*$C$2),MAX((IF(Monthly!BN$4=TRUE,Monthly!BN$13,Monthly!BN$14)*(1+'Attrition Modeling'!$N$8)-'IP Attrition'!BQ$65)/12*'IP Attrition'!BQ98,0)))</f>
        <v>0</v>
      </c>
      <c r="BS163" s="799">
        <f>IF(EOMONTH(Inputs!$C$8,'IP Attrition'!BS$134-1)&lt;=Inputs!$C$9,0,MIN(IF(ISERROR(VLOOKUP(BS$134+$F163,$D$135:$D$165,1,FALSE)),0,BR31*$C$2),MAX((IF(Monthly!BO$4=TRUE,Monthly!BO$13,Monthly!BO$14)*(1+'Attrition Modeling'!$N$8)-'IP Attrition'!BR$65)/12*'IP Attrition'!BR98,0)))</f>
        <v>0</v>
      </c>
      <c r="BT163" s="799" t="e">
        <f>IF(EOMONTH(Inputs!$C$8,'IP Attrition'!BT$134-1)&lt;=Inputs!$C$9,0,MIN(IF(ISERROR(VLOOKUP(BT$134+$F163,$D$135:$D$165,1,FALSE)),0,BS31*$C$2),MAX((IF(Monthly!#REF!=TRUE,Monthly!#REF!,Monthly!#REF!)*(1+'Attrition Modeling'!$N$8)-'IP Attrition'!BS$65)/12*'IP Attrition'!BS98,0)))</f>
        <v>#REF!</v>
      </c>
      <c r="BU163" s="799" t="e">
        <f>IF(EOMONTH(Inputs!$C$8,'IP Attrition'!BU$134-1)&lt;=Inputs!$C$9,0,MIN(IF(ISERROR(VLOOKUP(BU$134+$F163,$D$135:$D$165,1,FALSE)),0,BT31*$C$2),MAX((IF(Monthly!#REF!=TRUE,Monthly!#REF!,Monthly!#REF!)*(1+'Attrition Modeling'!$N$8)-'IP Attrition'!BT$65)/12*'IP Attrition'!BT98,0)))</f>
        <v>#REF!</v>
      </c>
    </row>
    <row r="164" spans="1:73" ht="14.25" customHeight="1" x14ac:dyDescent="0.2">
      <c r="D164" s="11">
        <f t="shared" si="72"/>
        <v>354</v>
      </c>
      <c r="E164" s="25">
        <f t="shared" si="71"/>
        <v>0</v>
      </c>
      <c r="F164" s="11">
        <f t="shared" si="73"/>
        <v>29</v>
      </c>
      <c r="G164" s="799"/>
      <c r="H164" s="799">
        <f>IF(EOMONTH(Inputs!$C$8,'IP Attrition'!H$134-1)&lt;=Inputs!$C$9,0,MIN(IF(ISERROR(VLOOKUP(H$134+$F164,$D$135:$D$165,1,FALSE)),0,G32*$C$2),MAX((IF(Monthly!D$4=TRUE,Monthly!D$13,Monthly!D$14)*(1+'Attrition Modeling'!$N$8)-'IP Attrition'!G$65)/12*'IP Attrition'!G99,0)))</f>
        <v>0</v>
      </c>
      <c r="I164" s="799">
        <f>IF(EOMONTH(Inputs!$C$8,'IP Attrition'!I$134-1)&lt;=Inputs!$C$9,0,MIN(IF(ISERROR(VLOOKUP(I$134+$F164,$D$135:$D$165,1,FALSE)),0,H32*$C$2),MAX((IF(Monthly!E$4=TRUE,Monthly!E$13,Monthly!E$14)*(1+'Attrition Modeling'!$N$8)-'IP Attrition'!H$65)/12*'IP Attrition'!H99,0)))</f>
        <v>0</v>
      </c>
      <c r="J164" s="799">
        <f>IF(EOMONTH(Inputs!$C$8,'IP Attrition'!J$134-1)&lt;=Inputs!$C$9,0,MIN(IF(ISERROR(VLOOKUP(J$134+$F164,$D$135:$D$165,1,FALSE)),0,I32*$C$2),MAX((IF(Monthly!F$4=TRUE,Monthly!F$13,Monthly!F$14)*(1+'Attrition Modeling'!$N$8)-'IP Attrition'!I$65)/12*'IP Attrition'!I99,0)))</f>
        <v>0</v>
      </c>
      <c r="K164" s="799">
        <f>IF(EOMONTH(Inputs!$C$8,'IP Attrition'!K$134-1)&lt;=Inputs!$C$9,0,MIN(IF(ISERROR(VLOOKUP(K$134+$F164,$D$135:$D$165,1,FALSE)),0,J32*$C$2),MAX((IF(Monthly!G$4=TRUE,Monthly!G$13,Monthly!G$14)*(1+'Attrition Modeling'!$N$8)-'IP Attrition'!J$65)/12*'IP Attrition'!J99,0)))</f>
        <v>0</v>
      </c>
      <c r="L164" s="799">
        <f>IF(EOMONTH(Inputs!$C$8,'IP Attrition'!L$134-1)&lt;=Inputs!$C$9,0,MIN(IF(ISERROR(VLOOKUP(L$134+$F164,$D$135:$D$165,1,FALSE)),0,K32*$C$2),MAX((IF(Monthly!H$4=TRUE,Monthly!H$13,Monthly!H$14)*(1+'Attrition Modeling'!$N$8)-'IP Attrition'!K$65)/12*'IP Attrition'!K99,0)))</f>
        <v>0</v>
      </c>
      <c r="M164" s="799">
        <f>IF(EOMONTH(Inputs!$C$8,'IP Attrition'!M$134-1)&lt;=Inputs!$C$9,0,MIN(IF(ISERROR(VLOOKUP(M$134+$F164,$D$135:$D$165,1,FALSE)),0,L32*$C$2),MAX((IF(Monthly!I$4=TRUE,Monthly!I$13,Monthly!I$14)*(1+'Attrition Modeling'!$N$8)-'IP Attrition'!L$65)/12*'IP Attrition'!L99,0)))</f>
        <v>0</v>
      </c>
      <c r="N164" s="799">
        <f>IF(EOMONTH(Inputs!$C$8,'IP Attrition'!N$134-1)&lt;=Inputs!$C$9,0,MIN(IF(ISERROR(VLOOKUP(N$134+$F164,$D$135:$D$165,1,FALSE)),0,M32*$C$2),MAX((IF(Monthly!J$4=TRUE,Monthly!J$13,Monthly!J$14)*(1+'Attrition Modeling'!$N$8)-'IP Attrition'!M$65)/12*'IP Attrition'!M99,0)))</f>
        <v>0</v>
      </c>
      <c r="O164" s="799">
        <f>IF(EOMONTH(Inputs!$C$8,'IP Attrition'!O$134-1)&lt;=Inputs!$C$9,0,MIN(IF(ISERROR(VLOOKUP(O$134+$F164,$D$135:$D$165,1,FALSE)),0,N32*$C$2),MAX((IF(Monthly!K$4=TRUE,Monthly!K$13,Monthly!K$14)*(1+'Attrition Modeling'!$N$8)-'IP Attrition'!N$65)/12*'IP Attrition'!N99,0)))</f>
        <v>0</v>
      </c>
      <c r="P164" s="799">
        <f>IF(EOMONTH(Inputs!$C$8,'IP Attrition'!P$134-1)&lt;=Inputs!$C$9,0,MIN(IF(ISERROR(VLOOKUP(P$134+$F164,$D$135:$D$165,1,FALSE)),0,O32*$C$2),MAX((IF(Monthly!L$4=TRUE,Monthly!L$13,Monthly!L$14)*(1+'Attrition Modeling'!$N$8)-'IP Attrition'!O$65)/12*'IP Attrition'!O99,0)))</f>
        <v>0</v>
      </c>
      <c r="Q164" s="799">
        <f>IF(EOMONTH(Inputs!$C$8,'IP Attrition'!Q$134-1)&lt;=Inputs!$C$9,0,MIN(IF(ISERROR(VLOOKUP(Q$134+$F164,$D$135:$D$165,1,FALSE)),0,P32*$C$2),MAX((IF(Monthly!M$4=TRUE,Monthly!M$13,Monthly!M$14)*(1+'Attrition Modeling'!$N$8)-'IP Attrition'!P$65)/12*'IP Attrition'!P99,0)))</f>
        <v>0</v>
      </c>
      <c r="R164" s="799">
        <f>IF(EOMONTH(Inputs!$C$8,'IP Attrition'!R$134-1)&lt;=Inputs!$C$9,0,MIN(IF(ISERROR(VLOOKUP(R$134+$F164,$D$135:$D$165,1,FALSE)),0,Q32*$C$2),MAX((IF(Monthly!N$4=TRUE,Monthly!N$13,Monthly!N$14)*(1+'Attrition Modeling'!$N$8)-'IP Attrition'!Q$65)/12*'IP Attrition'!Q99,0)))</f>
        <v>0</v>
      </c>
      <c r="S164" s="799">
        <f>IF(EOMONTH(Inputs!$C$8,'IP Attrition'!S$134-1)&lt;=Inputs!$C$9,0,MIN(IF(ISERROR(VLOOKUP(S$134+$F164,$D$135:$D$165,1,FALSE)),0,R32*$C$2),MAX((IF(Monthly!O$4=TRUE,Monthly!O$13,Monthly!O$14)*(1+'Attrition Modeling'!$N$8)-'IP Attrition'!R$65)/12*'IP Attrition'!R99,0)))</f>
        <v>0</v>
      </c>
      <c r="T164" s="799">
        <f>IF(EOMONTH(Inputs!$C$8,'IP Attrition'!T$134-1)&lt;=Inputs!$C$9,0,MIN(IF(ISERROR(VLOOKUP(T$134+$F164,$D$135:$D$165,1,FALSE)),0,S32*$C$2),MAX((IF(Monthly!P$4=TRUE,Monthly!P$13,Monthly!P$14)*(1+'Attrition Modeling'!$N$8)-'IP Attrition'!S$65)/12*'IP Attrition'!S99,0)))</f>
        <v>0</v>
      </c>
      <c r="U164" s="799">
        <f>IF(EOMONTH(Inputs!$C$8,'IP Attrition'!U$134-1)&lt;=Inputs!$C$9,0,MIN(IF(ISERROR(VLOOKUP(U$134+$F164,$D$135:$D$165,1,FALSE)),0,T32*$C$2),MAX((IF(Monthly!Q$4=TRUE,Monthly!Q$13,Monthly!Q$14)*(1+'Attrition Modeling'!$N$8)-'IP Attrition'!T$65)/12*'IP Attrition'!T99,0)))</f>
        <v>0</v>
      </c>
      <c r="V164" s="799">
        <f>IF(EOMONTH(Inputs!$C$8,'IP Attrition'!V$134-1)&lt;=Inputs!$C$9,0,MIN(IF(ISERROR(VLOOKUP(V$134+$F164,$D$135:$D$165,1,FALSE)),0,U32*$C$2),MAX((IF(Monthly!R$4=TRUE,Monthly!R$13,Monthly!R$14)*(1+'Attrition Modeling'!$N$8)-'IP Attrition'!U$65)/12*'IP Attrition'!U99,0)))</f>
        <v>0</v>
      </c>
      <c r="W164" s="799">
        <f>IF(EOMONTH(Inputs!$C$8,'IP Attrition'!W$134-1)&lt;=Inputs!$C$9,0,MIN(IF(ISERROR(VLOOKUP(W$134+$F164,$D$135:$D$165,1,FALSE)),0,V32*$C$2),MAX((IF(Monthly!S$4=TRUE,Monthly!S$13,Monthly!S$14)*(1+'Attrition Modeling'!$N$8)-'IP Attrition'!V$65)/12*'IP Attrition'!V99,0)))</f>
        <v>0</v>
      </c>
      <c r="X164" s="799">
        <f>IF(EOMONTH(Inputs!$C$8,'IP Attrition'!X$134-1)&lt;=Inputs!$C$9,0,MIN(IF(ISERROR(VLOOKUP(X$134+$F164,$D$135:$D$165,1,FALSE)),0,W32*$C$2),MAX((IF(Monthly!T$4=TRUE,Monthly!T$13,Monthly!T$14)*(1+'Attrition Modeling'!$N$8)-'IP Attrition'!W$65)/12*'IP Attrition'!W99,0)))</f>
        <v>0</v>
      </c>
      <c r="Y164" s="799">
        <f>IF(EOMONTH(Inputs!$C$8,'IP Attrition'!Y$134-1)&lt;=Inputs!$C$9,0,MIN(IF(ISERROR(VLOOKUP(Y$134+$F164,$D$135:$D$165,1,FALSE)),0,X32*$C$2),MAX((IF(Monthly!U$4=TRUE,Monthly!U$13,Monthly!U$14)*(1+'Attrition Modeling'!$N$8)-'IP Attrition'!X$65)/12*'IP Attrition'!X99,0)))</f>
        <v>0</v>
      </c>
      <c r="Z164" s="799">
        <f>IF(EOMONTH(Inputs!$C$8,'IP Attrition'!Z$134-1)&lt;=Inputs!$C$9,0,MIN(IF(ISERROR(VLOOKUP(Z$134+$F164,$D$135:$D$165,1,FALSE)),0,Y32*$C$2),MAX((IF(Monthly!V$4=TRUE,Monthly!V$13,Monthly!V$14)*(1+'Attrition Modeling'!$N$8)-'IP Attrition'!Y$65)/12*'IP Attrition'!Y99,0)))</f>
        <v>0</v>
      </c>
      <c r="AA164" s="799">
        <f>IF(EOMONTH(Inputs!$C$8,'IP Attrition'!AA$134-1)&lt;=Inputs!$C$9,0,MIN(IF(ISERROR(VLOOKUP(AA$134+$F164,$D$135:$D$165,1,FALSE)),0,Z32*$C$2),MAX((IF(Monthly!W$4=TRUE,Monthly!W$13,Monthly!W$14)*(1+'Attrition Modeling'!$N$8)-'IP Attrition'!Z$65)/12*'IP Attrition'!Z99,0)))</f>
        <v>0</v>
      </c>
      <c r="AB164" s="799">
        <f>IF(EOMONTH(Inputs!$C$8,'IP Attrition'!AB$134-1)&lt;=Inputs!$C$9,0,MIN(IF(ISERROR(VLOOKUP(AB$134+$F164,$D$135:$D$165,1,FALSE)),0,AA32*$C$2),MAX((IF(Monthly!X$4=TRUE,Monthly!X$13,Monthly!X$14)*(1+'Attrition Modeling'!$N$8)-'IP Attrition'!AA$65)/12*'IP Attrition'!AA99,0)))</f>
        <v>0</v>
      </c>
      <c r="AC164" s="799">
        <f>IF(EOMONTH(Inputs!$C$8,'IP Attrition'!AC$134-1)&lt;=Inputs!$C$9,0,MIN(IF(ISERROR(VLOOKUP(AC$134+$F164,$D$135:$D$165,1,FALSE)),0,AB32*$C$2),MAX((IF(Monthly!Y$4=TRUE,Monthly!Y$13,Monthly!Y$14)*(1+'Attrition Modeling'!$N$8)-'IP Attrition'!AB$65)/12*'IP Attrition'!AB99,0)))</f>
        <v>0</v>
      </c>
      <c r="AD164" s="799">
        <f>IF(EOMONTH(Inputs!$C$8,'IP Attrition'!AD$134-1)&lt;=Inputs!$C$9,0,MIN(IF(ISERROR(VLOOKUP(AD$134+$F164,$D$135:$D$165,1,FALSE)),0,AC32*$C$2),MAX((IF(Monthly!Z$4=TRUE,Monthly!Z$13,Monthly!Z$14)*(1+'Attrition Modeling'!$N$8)-'IP Attrition'!AC$65)/12*'IP Attrition'!AC99,0)))</f>
        <v>0</v>
      </c>
      <c r="AE164" s="799">
        <f>IF(EOMONTH(Inputs!$C$8,'IP Attrition'!AE$134-1)&lt;=Inputs!$C$9,0,MIN(IF(ISERROR(VLOOKUP(AE$134+$F164,$D$135:$D$165,1,FALSE)),0,AD32*$C$2),MAX((IF(Monthly!AA$4=TRUE,Monthly!AA$13,Monthly!AA$14)*(1+'Attrition Modeling'!$N$8)-'IP Attrition'!AD$65)/12*'IP Attrition'!AD99,0)))</f>
        <v>0</v>
      </c>
      <c r="AF164" s="799">
        <f>IF(EOMONTH(Inputs!$C$8,'IP Attrition'!AF$134-1)&lt;=Inputs!$C$9,0,MIN(IF(ISERROR(VLOOKUP(AF$134+$F164,$D$135:$D$165,1,FALSE)),0,AE32*$C$2),MAX((IF(Monthly!AB$4=TRUE,Monthly!AB$13,Monthly!AB$14)*(1+'Attrition Modeling'!$N$8)-'IP Attrition'!AE$65)/12*'IP Attrition'!AE99,0)))</f>
        <v>0</v>
      </c>
      <c r="AG164" s="799">
        <f>IF(EOMONTH(Inputs!$C$8,'IP Attrition'!AG$134-1)&lt;=Inputs!$C$9,0,MIN(IF(ISERROR(VLOOKUP(AG$134+$F164,$D$135:$D$165,1,FALSE)),0,AF32*$C$2),MAX((IF(Monthly!AC$4=TRUE,Monthly!AC$13,Monthly!AC$14)*(1+'Attrition Modeling'!$N$8)-'IP Attrition'!AF$65)/12*'IP Attrition'!AF99,0)))</f>
        <v>0</v>
      </c>
      <c r="AH164" s="799">
        <f>IF(EOMONTH(Inputs!$C$8,'IP Attrition'!AH$134-1)&lt;=Inputs!$C$9,0,MIN(IF(ISERROR(VLOOKUP(AH$134+$F164,$D$135:$D$165,1,FALSE)),0,AG32*$C$2),MAX((IF(Monthly!AD$4=TRUE,Monthly!AD$13,Monthly!AD$14)*(1+'Attrition Modeling'!$N$8)-'IP Attrition'!AG$65)/12*'IP Attrition'!AG99,0)))</f>
        <v>0</v>
      </c>
      <c r="AI164" s="799">
        <f>IF(EOMONTH(Inputs!$C$8,'IP Attrition'!AI$134-1)&lt;=Inputs!$C$9,0,MIN(IF(ISERROR(VLOOKUP(AI$134+$F164,$D$135:$D$165,1,FALSE)),0,AH32*$C$2),MAX((IF(Monthly!AE$4=TRUE,Monthly!AE$13,Monthly!AE$14)*(1+'Attrition Modeling'!$N$8)-'IP Attrition'!AH$65)/12*'IP Attrition'!AH99,0)))</f>
        <v>0</v>
      </c>
      <c r="AJ164" s="799">
        <f>IF(EOMONTH(Inputs!$C$8,'IP Attrition'!AJ$134-1)&lt;=Inputs!$C$9,0,MIN(IF(ISERROR(VLOOKUP(AJ$134+$F164,$D$135:$D$165,1,FALSE)),0,AI32*$C$2),MAX((IF(Monthly!AF$4=TRUE,Monthly!AF$13,Monthly!AF$14)*(1+'Attrition Modeling'!$N$8)-'IP Attrition'!AI$65)/12*'IP Attrition'!AI99,0)))</f>
        <v>0</v>
      </c>
      <c r="AK164" s="799">
        <f>IF(EOMONTH(Inputs!$C$8,'IP Attrition'!AK$134-1)&lt;=Inputs!$C$9,0,MIN(IF(ISERROR(VLOOKUP(AK$134+$F164,$D$135:$D$165,1,FALSE)),0,AJ32*$C$2),MAX((IF(Monthly!AG$4=TRUE,Monthly!AG$13,Monthly!AG$14)*(1+'Attrition Modeling'!$N$8)-'IP Attrition'!AJ$65)/12*'IP Attrition'!AJ99,0)))</f>
        <v>0</v>
      </c>
      <c r="AL164" s="799">
        <f>IF(EOMONTH(Inputs!$C$8,'IP Attrition'!AL$134-1)&lt;=Inputs!$C$9,0,MIN(IF(ISERROR(VLOOKUP(AL$134+$F164,$D$135:$D$165,1,FALSE)),0,AK32*$C$2),MAX((IF(Monthly!AH$4=TRUE,Monthly!AH$13,Monthly!AH$14)*(1+'Attrition Modeling'!$N$8)-'IP Attrition'!AK$65)/12*'IP Attrition'!AK99,0)))</f>
        <v>0</v>
      </c>
      <c r="AM164" s="799">
        <f>IF(EOMONTH(Inputs!$C$8,'IP Attrition'!AM$134-1)&lt;=Inputs!$C$9,0,MIN(IF(ISERROR(VLOOKUP(AM$134+$F164,$D$135:$D$165,1,FALSE)),0,AL32*$C$2),MAX((IF(Monthly!AI$4=TRUE,Monthly!AI$13,Monthly!AI$14)*(1+'Attrition Modeling'!$N$8)-'IP Attrition'!AL$65)/12*'IP Attrition'!AL99,0)))</f>
        <v>0</v>
      </c>
      <c r="AN164" s="799">
        <f>IF(EOMONTH(Inputs!$C$8,'IP Attrition'!AN$134-1)&lt;=Inputs!$C$9,0,MIN(IF(ISERROR(VLOOKUP(AN$134+$F164,$D$135:$D$165,1,FALSE)),0,AM32*$C$2),MAX((IF(Monthly!AJ$4=TRUE,Monthly!AJ$13,Monthly!AJ$14)*(1+'Attrition Modeling'!$N$8)-'IP Attrition'!AM$65)/12*'IP Attrition'!AM99,0)))</f>
        <v>0</v>
      </c>
      <c r="AO164" s="799">
        <f>IF(EOMONTH(Inputs!$C$8,'IP Attrition'!AO$134-1)&lt;=Inputs!$C$9,0,MIN(IF(ISERROR(VLOOKUP(AO$134+$F164,$D$135:$D$165,1,FALSE)),0,AN32*$C$2),MAX((IF(Monthly!AK$4=TRUE,Monthly!AK$13,Monthly!AK$14)*(1+'Attrition Modeling'!$N$8)-'IP Attrition'!AN$65)/12*'IP Attrition'!AN99,0)))</f>
        <v>0</v>
      </c>
      <c r="AP164" s="799">
        <f>IF(EOMONTH(Inputs!$C$8,'IP Attrition'!AP$134-1)&lt;=Inputs!$C$9,0,MIN(IF(ISERROR(VLOOKUP(AP$134+$F164,$D$135:$D$165,1,FALSE)),0,AO32*$C$2),MAX((IF(Monthly!AL$4=TRUE,Monthly!AL$13,Monthly!AL$14)*(1+'Attrition Modeling'!$N$8)-'IP Attrition'!AO$65)/12*'IP Attrition'!AO99,0)))</f>
        <v>0</v>
      </c>
      <c r="AQ164" s="799">
        <f>IF(EOMONTH(Inputs!$C$8,'IP Attrition'!AQ$134-1)&lt;=Inputs!$C$9,0,MIN(IF(ISERROR(VLOOKUP(AQ$134+$F164,$D$135:$D$165,1,FALSE)),0,AP32*$C$2),MAX((IF(Monthly!AM$4=TRUE,Monthly!AM$13,Monthly!AM$14)*(1+'Attrition Modeling'!$N$8)-'IP Attrition'!AP$65)/12*'IP Attrition'!AP99,0)))</f>
        <v>0</v>
      </c>
      <c r="AR164" s="799">
        <f>IF(EOMONTH(Inputs!$C$8,'IP Attrition'!AR$134-1)&lt;=Inputs!$C$9,0,MIN(IF(ISERROR(VLOOKUP(AR$134+$F164,$D$135:$D$165,1,FALSE)),0,AQ32*$C$2),MAX((IF(Monthly!AN$4=TRUE,Monthly!AN$13,Monthly!AN$14)*(1+'Attrition Modeling'!$N$8)-'IP Attrition'!AQ$65)/12*'IP Attrition'!AQ99,0)))</f>
        <v>0</v>
      </c>
      <c r="AS164" s="799">
        <f>IF(EOMONTH(Inputs!$C$8,'IP Attrition'!AS$134-1)&lt;=Inputs!$C$9,0,MIN(IF(ISERROR(VLOOKUP(AS$134+$F164,$D$135:$D$165,1,FALSE)),0,AR32*$C$2),MAX((IF(Monthly!AO$4=TRUE,Monthly!AO$13,Monthly!AO$14)*(1+'Attrition Modeling'!$N$8)-'IP Attrition'!AR$65)/12*'IP Attrition'!AR99,0)))</f>
        <v>0</v>
      </c>
      <c r="AT164" s="799">
        <f>IF(EOMONTH(Inputs!$C$8,'IP Attrition'!AT$134-1)&lt;=Inputs!$C$9,0,MIN(IF(ISERROR(VLOOKUP(AT$134+$F164,$D$135:$D$165,1,FALSE)),0,AS32*$C$2),MAX((IF(Monthly!AP$4=TRUE,Monthly!AP$13,Monthly!AP$14)*(1+'Attrition Modeling'!$N$8)-'IP Attrition'!AS$65)/12*'IP Attrition'!AS99,0)))</f>
        <v>0</v>
      </c>
      <c r="AU164" s="799">
        <f>IF(EOMONTH(Inputs!$C$8,'IP Attrition'!AU$134-1)&lt;=Inputs!$C$9,0,MIN(IF(ISERROR(VLOOKUP(AU$134+$F164,$D$135:$D$165,1,FALSE)),0,AT32*$C$2),MAX((IF(Monthly!AQ$4=TRUE,Monthly!AQ$13,Monthly!AQ$14)*(1+'Attrition Modeling'!$N$8)-'IP Attrition'!AT$65)/12*'IP Attrition'!AT99,0)))</f>
        <v>0</v>
      </c>
      <c r="AV164" s="799">
        <f>IF(EOMONTH(Inputs!$C$8,'IP Attrition'!AV$134-1)&lt;=Inputs!$C$9,0,MIN(IF(ISERROR(VLOOKUP(AV$134+$F164,$D$135:$D$165,1,FALSE)),0,AU32*$C$2),MAX((IF(Monthly!AR$4=TRUE,Monthly!AR$13,Monthly!AR$14)*(1+'Attrition Modeling'!$N$8)-'IP Attrition'!AU$65)/12*'IP Attrition'!AU99,0)))</f>
        <v>0</v>
      </c>
      <c r="AW164" s="799">
        <f>IF(EOMONTH(Inputs!$C$8,'IP Attrition'!AW$134-1)&lt;=Inputs!$C$9,0,MIN(IF(ISERROR(VLOOKUP(AW$134+$F164,$D$135:$D$165,1,FALSE)),0,AV32*$C$2),MAX((IF(Monthly!AS$4=TRUE,Monthly!AS$13,Monthly!AS$14)*(1+'Attrition Modeling'!$N$8)-'IP Attrition'!AV$65)/12*'IP Attrition'!AV99,0)))</f>
        <v>0</v>
      </c>
      <c r="AX164" s="799">
        <f>IF(EOMONTH(Inputs!$C$8,'IP Attrition'!AX$134-1)&lt;=Inputs!$C$9,0,MIN(IF(ISERROR(VLOOKUP(AX$134+$F164,$D$135:$D$165,1,FALSE)),0,AW32*$C$2),MAX((IF(Monthly!AT$4=TRUE,Monthly!AT$13,Monthly!AT$14)*(1+'Attrition Modeling'!$N$8)-'IP Attrition'!AW$65)/12*'IP Attrition'!AW99,0)))</f>
        <v>0</v>
      </c>
      <c r="AY164" s="799">
        <f>IF(EOMONTH(Inputs!$C$8,'IP Attrition'!AY$134-1)&lt;=Inputs!$C$9,0,MIN(IF(ISERROR(VLOOKUP(AY$134+$F164,$D$135:$D$165,1,FALSE)),0,AX32*$C$2),MAX((IF(Monthly!AU$4=TRUE,Monthly!AU$13,Monthly!AU$14)*(1+'Attrition Modeling'!$N$8)-'IP Attrition'!AX$65)/12*'IP Attrition'!AX99,0)))</f>
        <v>0</v>
      </c>
      <c r="AZ164" s="799">
        <f>IF(EOMONTH(Inputs!$C$8,'IP Attrition'!AZ$134-1)&lt;=Inputs!$C$9,0,MIN(IF(ISERROR(VLOOKUP(AZ$134+$F164,$D$135:$D$165,1,FALSE)),0,AY32*$C$2),MAX((IF(Monthly!AV$4=TRUE,Monthly!AV$13,Monthly!AV$14)*(1+'Attrition Modeling'!$N$8)-'IP Attrition'!AY$65)/12*'IP Attrition'!AY99,0)))</f>
        <v>0</v>
      </c>
      <c r="BA164" s="799">
        <f>IF(EOMONTH(Inputs!$C$8,'IP Attrition'!BA$134-1)&lt;=Inputs!$C$9,0,MIN(IF(ISERROR(VLOOKUP(BA$134+$F164,$D$135:$D$165,1,FALSE)),0,AZ32*$C$2),MAX((IF(Monthly!AW$4=TRUE,Monthly!AW$13,Monthly!AW$14)*(1+'Attrition Modeling'!$N$8)-'IP Attrition'!AZ$65)/12*'IP Attrition'!AZ99,0)))</f>
        <v>0</v>
      </c>
      <c r="BB164" s="799">
        <f>IF(EOMONTH(Inputs!$C$8,'IP Attrition'!BB$134-1)&lt;=Inputs!$C$9,0,MIN(IF(ISERROR(VLOOKUP(BB$134+$F164,$D$135:$D$165,1,FALSE)),0,BA32*$C$2),MAX((IF(Monthly!AX$4=TRUE,Monthly!AX$13,Monthly!AX$14)*(1+'Attrition Modeling'!$N$8)-'IP Attrition'!BA$65)/12*'IP Attrition'!BA99,0)))</f>
        <v>0</v>
      </c>
      <c r="BC164" s="799">
        <f>IF(EOMONTH(Inputs!$C$8,'IP Attrition'!BC$134-1)&lt;=Inputs!$C$9,0,MIN(IF(ISERROR(VLOOKUP(BC$134+$F164,$D$135:$D$165,1,FALSE)),0,BB32*$C$2),MAX((IF(Monthly!AY$4=TRUE,Monthly!AY$13,Monthly!AY$14)*(1+'Attrition Modeling'!$N$8)-'IP Attrition'!BB$65)/12*'IP Attrition'!BB99,0)))</f>
        <v>0</v>
      </c>
      <c r="BD164" s="799">
        <f>IF(EOMONTH(Inputs!$C$8,'IP Attrition'!BD$134-1)&lt;=Inputs!$C$9,0,MIN(IF(ISERROR(VLOOKUP(BD$134+$F164,$D$135:$D$165,1,FALSE)),0,BC32*$C$2),MAX((IF(Monthly!AZ$4=TRUE,Monthly!AZ$13,Monthly!AZ$14)*(1+'Attrition Modeling'!$N$8)-'IP Attrition'!BC$65)/12*'IP Attrition'!BC99,0)))</f>
        <v>0</v>
      </c>
      <c r="BE164" s="799">
        <f>IF(EOMONTH(Inputs!$C$8,'IP Attrition'!BE$134-1)&lt;=Inputs!$C$9,0,MIN(IF(ISERROR(VLOOKUP(BE$134+$F164,$D$135:$D$165,1,FALSE)),0,BD32*$C$2),MAX((IF(Monthly!BA$4=TRUE,Monthly!BA$13,Monthly!BA$14)*(1+'Attrition Modeling'!$N$8)-'IP Attrition'!BD$65)/12*'IP Attrition'!BD99,0)))</f>
        <v>0</v>
      </c>
      <c r="BF164" s="799">
        <f>IF(EOMONTH(Inputs!$C$8,'IP Attrition'!BF$134-1)&lt;=Inputs!$C$9,0,MIN(IF(ISERROR(VLOOKUP(BF$134+$F164,$D$135:$D$165,1,FALSE)),0,BE32*$C$2),MAX((IF(Monthly!BB$4=TRUE,Monthly!BB$13,Monthly!BB$14)*(1+'Attrition Modeling'!$N$8)-'IP Attrition'!BE$65)/12*'IP Attrition'!BE99,0)))</f>
        <v>0</v>
      </c>
      <c r="BG164" s="799">
        <f>IF(EOMONTH(Inputs!$C$8,'IP Attrition'!BG$134-1)&lt;=Inputs!$C$9,0,MIN(IF(ISERROR(VLOOKUP(BG$134+$F164,$D$135:$D$165,1,FALSE)),0,BF32*$C$2),MAX((IF(Monthly!BC$4=TRUE,Monthly!BC$13,Monthly!BC$14)*(1+'Attrition Modeling'!$N$8)-'IP Attrition'!BF$65)/12*'IP Attrition'!BF99,0)))</f>
        <v>0</v>
      </c>
      <c r="BH164" s="799">
        <f>IF(EOMONTH(Inputs!$C$8,'IP Attrition'!BH$134-1)&lt;=Inputs!$C$9,0,MIN(IF(ISERROR(VLOOKUP(BH$134+$F164,$D$135:$D$165,1,FALSE)),0,BG32*$C$2),MAX((IF(Monthly!BD$4=TRUE,Monthly!BD$13,Monthly!BD$14)*(1+'Attrition Modeling'!$N$8)-'IP Attrition'!BG$65)/12*'IP Attrition'!BG99,0)))</f>
        <v>0</v>
      </c>
      <c r="BI164" s="799">
        <f>IF(EOMONTH(Inputs!$C$8,'IP Attrition'!BI$134-1)&lt;=Inputs!$C$9,0,MIN(IF(ISERROR(VLOOKUP(BI$134+$F164,$D$135:$D$165,1,FALSE)),0,BH32*$C$2),MAX((IF(Monthly!BE$4=TRUE,Monthly!BE$13,Monthly!BE$14)*(1+'Attrition Modeling'!$N$8)-'IP Attrition'!BH$65)/12*'IP Attrition'!BH99,0)))</f>
        <v>0</v>
      </c>
      <c r="BJ164" s="799">
        <f>IF(EOMONTH(Inputs!$C$8,'IP Attrition'!BJ$134-1)&lt;=Inputs!$C$9,0,MIN(IF(ISERROR(VLOOKUP(BJ$134+$F164,$D$135:$D$165,1,FALSE)),0,BI32*$C$2),MAX((IF(Monthly!BF$4=TRUE,Monthly!BF$13,Monthly!BF$14)*(1+'Attrition Modeling'!$N$8)-'IP Attrition'!BI$65)/12*'IP Attrition'!BI99,0)))</f>
        <v>0</v>
      </c>
      <c r="BK164" s="799">
        <f>IF(EOMONTH(Inputs!$C$8,'IP Attrition'!BK$134-1)&lt;=Inputs!$C$9,0,MIN(IF(ISERROR(VLOOKUP(BK$134+$F164,$D$135:$D$165,1,FALSE)),0,BJ32*$C$2),MAX((IF(Monthly!BG$4=TRUE,Monthly!BG$13,Monthly!BG$14)*(1+'Attrition Modeling'!$N$8)-'IP Attrition'!BJ$65)/12*'IP Attrition'!BJ99,0)))</f>
        <v>0</v>
      </c>
      <c r="BL164" s="799">
        <f>IF(EOMONTH(Inputs!$C$8,'IP Attrition'!BL$134-1)&lt;=Inputs!$C$9,0,MIN(IF(ISERROR(VLOOKUP(BL$134+$F164,$D$135:$D$165,1,FALSE)),0,BK32*$C$2),MAX((IF(Monthly!BH$4=TRUE,Monthly!BH$13,Monthly!BH$14)*(1+'Attrition Modeling'!$N$8)-'IP Attrition'!BK$65)/12*'IP Attrition'!BK99,0)))</f>
        <v>0</v>
      </c>
      <c r="BM164" s="799">
        <f>IF(EOMONTH(Inputs!$C$8,'IP Attrition'!BM$134-1)&lt;=Inputs!$C$9,0,MIN(IF(ISERROR(VLOOKUP(BM$134+$F164,$D$135:$D$165,1,FALSE)),0,BL32*$C$2),MAX((IF(Monthly!BI$4=TRUE,Monthly!BI$13,Monthly!BI$14)*(1+'Attrition Modeling'!$N$8)-'IP Attrition'!BL$65)/12*'IP Attrition'!BL99,0)))</f>
        <v>0</v>
      </c>
      <c r="BN164" s="799">
        <f>IF(EOMONTH(Inputs!$C$8,'IP Attrition'!BN$134-1)&lt;=Inputs!$C$9,0,MIN(IF(ISERROR(VLOOKUP(BN$134+$F164,$D$135:$D$165,1,FALSE)),0,BM32*$C$2),MAX((IF(Monthly!BJ$4=TRUE,Monthly!BJ$13,Monthly!BJ$14)*(1+'Attrition Modeling'!$N$8)-'IP Attrition'!BM$65)/12*'IP Attrition'!BM99,0)))</f>
        <v>0</v>
      </c>
      <c r="BO164" s="799">
        <f>IF(EOMONTH(Inputs!$C$8,'IP Attrition'!BO$134-1)&lt;=Inputs!$C$9,0,MIN(IF(ISERROR(VLOOKUP(BO$134+$F164,$D$135:$D$165,1,FALSE)),0,BN32*$C$2),MAX((IF(Monthly!BK$4=TRUE,Monthly!BK$13,Monthly!BK$14)*(1+'Attrition Modeling'!$N$8)-'IP Attrition'!BN$65)/12*'IP Attrition'!BN99,0)))</f>
        <v>0</v>
      </c>
      <c r="BP164" s="799">
        <f>IF(EOMONTH(Inputs!$C$8,'IP Attrition'!BP$134-1)&lt;=Inputs!$C$9,0,MIN(IF(ISERROR(VLOOKUP(BP$134+$F164,$D$135:$D$165,1,FALSE)),0,BO32*$C$2),MAX((IF(Monthly!BL$4=TRUE,Monthly!BL$13,Monthly!BL$14)*(1+'Attrition Modeling'!$N$8)-'IP Attrition'!BO$65)/12*'IP Attrition'!BO99,0)))</f>
        <v>0</v>
      </c>
      <c r="BQ164" s="799">
        <f>IF(EOMONTH(Inputs!$C$8,'IP Attrition'!BQ$134-1)&lt;=Inputs!$C$9,0,MIN(IF(ISERROR(VLOOKUP(BQ$134+$F164,$D$135:$D$165,1,FALSE)),0,BP32*$C$2),MAX((IF(Monthly!BM$4=TRUE,Monthly!BM$13,Monthly!BM$14)*(1+'Attrition Modeling'!$N$8)-'IP Attrition'!BP$65)/12*'IP Attrition'!BP99,0)))</f>
        <v>0</v>
      </c>
      <c r="BR164" s="799">
        <f>IF(EOMONTH(Inputs!$C$8,'IP Attrition'!BR$134-1)&lt;=Inputs!$C$9,0,MIN(IF(ISERROR(VLOOKUP(BR$134+$F164,$D$135:$D$165,1,FALSE)),0,BQ32*$C$2),MAX((IF(Monthly!BN$4=TRUE,Monthly!BN$13,Monthly!BN$14)*(1+'Attrition Modeling'!$N$8)-'IP Attrition'!BQ$65)/12*'IP Attrition'!BQ99,0)))</f>
        <v>0</v>
      </c>
      <c r="BS164" s="799">
        <f>IF(EOMONTH(Inputs!$C$8,'IP Attrition'!BS$134-1)&lt;=Inputs!$C$9,0,MIN(IF(ISERROR(VLOOKUP(BS$134+$F164,$D$135:$D$165,1,FALSE)),0,BR32*$C$2),MAX((IF(Monthly!BO$4=TRUE,Monthly!BO$13,Monthly!BO$14)*(1+'Attrition Modeling'!$N$8)-'IP Attrition'!BR$65)/12*'IP Attrition'!BR99,0)))</f>
        <v>0</v>
      </c>
      <c r="BT164" s="799" t="e">
        <f>IF(EOMONTH(Inputs!$C$8,'IP Attrition'!BT$134-1)&lt;=Inputs!$C$9,0,MIN(IF(ISERROR(VLOOKUP(BT$134+$F164,$D$135:$D$165,1,FALSE)),0,BS32*$C$2),MAX((IF(Monthly!#REF!=TRUE,Monthly!#REF!,Monthly!#REF!)*(1+'Attrition Modeling'!$N$8)-'IP Attrition'!BS$65)/12*'IP Attrition'!BS99,0)))</f>
        <v>#REF!</v>
      </c>
      <c r="BU164" s="799" t="e">
        <f>IF(EOMONTH(Inputs!$C$8,'IP Attrition'!BU$134-1)&lt;=Inputs!$C$9,0,MIN(IF(ISERROR(VLOOKUP(BU$134+$F164,$D$135:$D$165,1,FALSE)),0,BT32*$C$2),MAX((IF(Monthly!#REF!=TRUE,Monthly!#REF!,Monthly!#REF!)*(1+'Attrition Modeling'!$N$8)-'IP Attrition'!BT$65)/12*'IP Attrition'!BT99,0)))</f>
        <v>#REF!</v>
      </c>
    </row>
    <row r="165" spans="1:73" ht="14.25" customHeight="1" x14ac:dyDescent="0.2">
      <c r="D165" s="11">
        <f t="shared" si="72"/>
        <v>366</v>
      </c>
      <c r="E165" s="25">
        <f t="shared" si="71"/>
        <v>0</v>
      </c>
      <c r="F165" s="11">
        <f t="shared" si="73"/>
        <v>30</v>
      </c>
      <c r="G165" s="799"/>
      <c r="H165" s="799">
        <f>IF(EOMONTH(Inputs!$C$8,'IP Attrition'!H$134-1)&lt;=Inputs!$C$9,0,MIN(IF(ISERROR(VLOOKUP(H$134+$F165,$D$135:$D$165,1,FALSE)),0,G33*$C$2),MAX((IF(Monthly!D$4=TRUE,Monthly!D$13,Monthly!D$14)*(1+'Attrition Modeling'!$N$8)-'IP Attrition'!G$65)/12*'IP Attrition'!G100,0)))</f>
        <v>0</v>
      </c>
      <c r="I165" s="799">
        <f>IF(EOMONTH(Inputs!$C$8,'IP Attrition'!I$134-1)&lt;=Inputs!$C$9,0,MIN(IF(ISERROR(VLOOKUP(I$134+$F165,$D$135:$D$165,1,FALSE)),0,H33*$C$2),MAX((IF(Monthly!E$4=TRUE,Monthly!E$13,Monthly!E$14)*(1+'Attrition Modeling'!$N$8)-'IP Attrition'!H$65)/12*'IP Attrition'!H100,0)))</f>
        <v>0</v>
      </c>
      <c r="J165" s="799">
        <f>IF(EOMONTH(Inputs!$C$8,'IP Attrition'!J$134-1)&lt;=Inputs!$C$9,0,MIN(IF(ISERROR(VLOOKUP(J$134+$F165,$D$135:$D$165,1,FALSE)),0,I33*$C$2),MAX((IF(Monthly!F$4=TRUE,Monthly!F$13,Monthly!F$14)*(1+'Attrition Modeling'!$N$8)-'IP Attrition'!I$65)/12*'IP Attrition'!I100,0)))</f>
        <v>0</v>
      </c>
      <c r="K165" s="799">
        <f>IF(EOMONTH(Inputs!$C$8,'IP Attrition'!K$134-1)&lt;=Inputs!$C$9,0,MIN(IF(ISERROR(VLOOKUP(K$134+$F165,$D$135:$D$165,1,FALSE)),0,J33*$C$2),MAX((IF(Monthly!G$4=TRUE,Monthly!G$13,Monthly!G$14)*(1+'Attrition Modeling'!$N$8)-'IP Attrition'!J$65)/12*'IP Attrition'!J100,0)))</f>
        <v>0</v>
      </c>
      <c r="L165" s="799">
        <f>IF(EOMONTH(Inputs!$C$8,'IP Attrition'!L$134-1)&lt;=Inputs!$C$9,0,MIN(IF(ISERROR(VLOOKUP(L$134+$F165,$D$135:$D$165,1,FALSE)),0,K33*$C$2),MAX((IF(Monthly!H$4=TRUE,Monthly!H$13,Monthly!H$14)*(1+'Attrition Modeling'!$N$8)-'IP Attrition'!K$65)/12*'IP Attrition'!K100,0)))</f>
        <v>0</v>
      </c>
      <c r="M165" s="799">
        <f>IF(EOMONTH(Inputs!$C$8,'IP Attrition'!M$134-1)&lt;=Inputs!$C$9,0,MIN(IF(ISERROR(VLOOKUP(M$134+$F165,$D$135:$D$165,1,FALSE)),0,L33*$C$2),MAX((IF(Monthly!I$4=TRUE,Monthly!I$13,Monthly!I$14)*(1+'Attrition Modeling'!$N$8)-'IP Attrition'!L$65)/12*'IP Attrition'!L100,0)))</f>
        <v>0</v>
      </c>
      <c r="N165" s="799">
        <f>IF(EOMONTH(Inputs!$C$8,'IP Attrition'!N$134-1)&lt;=Inputs!$C$9,0,MIN(IF(ISERROR(VLOOKUP(N$134+$F165,$D$135:$D$165,1,FALSE)),0,M33*$C$2),MAX((IF(Monthly!J$4=TRUE,Monthly!J$13,Monthly!J$14)*(1+'Attrition Modeling'!$N$8)-'IP Attrition'!M$65)/12*'IP Attrition'!M100,0)))</f>
        <v>0</v>
      </c>
      <c r="O165" s="799">
        <f>IF(EOMONTH(Inputs!$C$8,'IP Attrition'!O$134-1)&lt;=Inputs!$C$9,0,MIN(IF(ISERROR(VLOOKUP(O$134+$F165,$D$135:$D$165,1,FALSE)),0,N33*$C$2),MAX((IF(Monthly!K$4=TRUE,Monthly!K$13,Monthly!K$14)*(1+'Attrition Modeling'!$N$8)-'IP Attrition'!N$65)/12*'IP Attrition'!N100,0)))</f>
        <v>0</v>
      </c>
      <c r="P165" s="799">
        <f>IF(EOMONTH(Inputs!$C$8,'IP Attrition'!P$134-1)&lt;=Inputs!$C$9,0,MIN(IF(ISERROR(VLOOKUP(P$134+$F165,$D$135:$D$165,1,FALSE)),0,O33*$C$2),MAX((IF(Monthly!L$4=TRUE,Monthly!L$13,Monthly!L$14)*(1+'Attrition Modeling'!$N$8)-'IP Attrition'!O$65)/12*'IP Attrition'!O100,0)))</f>
        <v>0</v>
      </c>
      <c r="Q165" s="799">
        <f>IF(EOMONTH(Inputs!$C$8,'IP Attrition'!Q$134-1)&lt;=Inputs!$C$9,0,MIN(IF(ISERROR(VLOOKUP(Q$134+$F165,$D$135:$D$165,1,FALSE)),0,P33*$C$2),MAX((IF(Monthly!M$4=TRUE,Monthly!M$13,Monthly!M$14)*(1+'Attrition Modeling'!$N$8)-'IP Attrition'!P$65)/12*'IP Attrition'!P100,0)))</f>
        <v>0</v>
      </c>
      <c r="R165" s="799">
        <f>IF(EOMONTH(Inputs!$C$8,'IP Attrition'!R$134-1)&lt;=Inputs!$C$9,0,MIN(IF(ISERROR(VLOOKUP(R$134+$F165,$D$135:$D$165,1,FALSE)),0,Q33*$C$2),MAX((IF(Monthly!N$4=TRUE,Monthly!N$13,Monthly!N$14)*(1+'Attrition Modeling'!$N$8)-'IP Attrition'!Q$65)/12*'IP Attrition'!Q100,0)))</f>
        <v>0</v>
      </c>
      <c r="S165" s="799">
        <f>IF(EOMONTH(Inputs!$C$8,'IP Attrition'!S$134-1)&lt;=Inputs!$C$9,0,MIN(IF(ISERROR(VLOOKUP(S$134+$F165,$D$135:$D$165,1,FALSE)),0,R33*$C$2),MAX((IF(Monthly!O$4=TRUE,Monthly!O$13,Monthly!O$14)*(1+'Attrition Modeling'!$N$8)-'IP Attrition'!R$65)/12*'IP Attrition'!R100,0)))</f>
        <v>0</v>
      </c>
      <c r="T165" s="799">
        <f>IF(EOMONTH(Inputs!$C$8,'IP Attrition'!T$134-1)&lt;=Inputs!$C$9,0,MIN(IF(ISERROR(VLOOKUP(T$134+$F165,$D$135:$D$165,1,FALSE)),0,S33*$C$2),MAX((IF(Monthly!P$4=TRUE,Monthly!P$13,Monthly!P$14)*(1+'Attrition Modeling'!$N$8)-'IP Attrition'!S$65)/12*'IP Attrition'!S100,0)))</f>
        <v>0</v>
      </c>
      <c r="U165" s="799">
        <f>IF(EOMONTH(Inputs!$C$8,'IP Attrition'!U$134-1)&lt;=Inputs!$C$9,0,MIN(IF(ISERROR(VLOOKUP(U$134+$F165,$D$135:$D$165,1,FALSE)),0,T33*$C$2),MAX((IF(Monthly!Q$4=TRUE,Monthly!Q$13,Monthly!Q$14)*(1+'Attrition Modeling'!$N$8)-'IP Attrition'!T$65)/12*'IP Attrition'!T100,0)))</f>
        <v>0</v>
      </c>
      <c r="V165" s="799">
        <f>IF(EOMONTH(Inputs!$C$8,'IP Attrition'!V$134-1)&lt;=Inputs!$C$9,0,MIN(IF(ISERROR(VLOOKUP(V$134+$F165,$D$135:$D$165,1,FALSE)),0,U33*$C$2),MAX((IF(Monthly!R$4=TRUE,Monthly!R$13,Monthly!R$14)*(1+'Attrition Modeling'!$N$8)-'IP Attrition'!U$65)/12*'IP Attrition'!U100,0)))</f>
        <v>0</v>
      </c>
      <c r="W165" s="799">
        <f>IF(EOMONTH(Inputs!$C$8,'IP Attrition'!W$134-1)&lt;=Inputs!$C$9,0,MIN(IF(ISERROR(VLOOKUP(W$134+$F165,$D$135:$D$165,1,FALSE)),0,V33*$C$2),MAX((IF(Monthly!S$4=TRUE,Monthly!S$13,Monthly!S$14)*(1+'Attrition Modeling'!$N$8)-'IP Attrition'!V$65)/12*'IP Attrition'!V100,0)))</f>
        <v>0</v>
      </c>
      <c r="X165" s="799">
        <f>IF(EOMONTH(Inputs!$C$8,'IP Attrition'!X$134-1)&lt;=Inputs!$C$9,0,MIN(IF(ISERROR(VLOOKUP(X$134+$F165,$D$135:$D$165,1,FALSE)),0,W33*$C$2),MAX((IF(Monthly!T$4=TRUE,Monthly!T$13,Monthly!T$14)*(1+'Attrition Modeling'!$N$8)-'IP Attrition'!W$65)/12*'IP Attrition'!W100,0)))</f>
        <v>0</v>
      </c>
      <c r="Y165" s="799">
        <f>IF(EOMONTH(Inputs!$C$8,'IP Attrition'!Y$134-1)&lt;=Inputs!$C$9,0,MIN(IF(ISERROR(VLOOKUP(Y$134+$F165,$D$135:$D$165,1,FALSE)),0,X33*$C$2),MAX((IF(Monthly!U$4=TRUE,Monthly!U$13,Monthly!U$14)*(1+'Attrition Modeling'!$N$8)-'IP Attrition'!X$65)/12*'IP Attrition'!X100,0)))</f>
        <v>0</v>
      </c>
      <c r="Z165" s="799">
        <f>IF(EOMONTH(Inputs!$C$8,'IP Attrition'!Z$134-1)&lt;=Inputs!$C$9,0,MIN(IF(ISERROR(VLOOKUP(Z$134+$F165,$D$135:$D$165,1,FALSE)),0,Y33*$C$2),MAX((IF(Monthly!V$4=TRUE,Monthly!V$13,Monthly!V$14)*(1+'Attrition Modeling'!$N$8)-'IP Attrition'!Y$65)/12*'IP Attrition'!Y100,0)))</f>
        <v>0</v>
      </c>
      <c r="AA165" s="799">
        <f>IF(EOMONTH(Inputs!$C$8,'IP Attrition'!AA$134-1)&lt;=Inputs!$C$9,0,MIN(IF(ISERROR(VLOOKUP(AA$134+$F165,$D$135:$D$165,1,FALSE)),0,Z33*$C$2),MAX((IF(Monthly!W$4=TRUE,Monthly!W$13,Monthly!W$14)*(1+'Attrition Modeling'!$N$8)-'IP Attrition'!Z$65)/12*'IP Attrition'!Z100,0)))</f>
        <v>0</v>
      </c>
      <c r="AB165" s="799">
        <f>IF(EOMONTH(Inputs!$C$8,'IP Attrition'!AB$134-1)&lt;=Inputs!$C$9,0,MIN(IF(ISERROR(VLOOKUP(AB$134+$F165,$D$135:$D$165,1,FALSE)),0,AA33*$C$2),MAX((IF(Monthly!X$4=TRUE,Monthly!X$13,Monthly!X$14)*(1+'Attrition Modeling'!$N$8)-'IP Attrition'!AA$65)/12*'IP Attrition'!AA100,0)))</f>
        <v>0</v>
      </c>
      <c r="AC165" s="799">
        <f>IF(EOMONTH(Inputs!$C$8,'IP Attrition'!AC$134-1)&lt;=Inputs!$C$9,0,MIN(IF(ISERROR(VLOOKUP(AC$134+$F165,$D$135:$D$165,1,FALSE)),0,AB33*$C$2),MAX((IF(Monthly!Y$4=TRUE,Monthly!Y$13,Monthly!Y$14)*(1+'Attrition Modeling'!$N$8)-'IP Attrition'!AB$65)/12*'IP Attrition'!AB100,0)))</f>
        <v>0</v>
      </c>
      <c r="AD165" s="799">
        <f>IF(EOMONTH(Inputs!$C$8,'IP Attrition'!AD$134-1)&lt;=Inputs!$C$9,0,MIN(IF(ISERROR(VLOOKUP(AD$134+$F165,$D$135:$D$165,1,FALSE)),0,AC33*$C$2),MAX((IF(Monthly!Z$4=TRUE,Monthly!Z$13,Monthly!Z$14)*(1+'Attrition Modeling'!$N$8)-'IP Attrition'!AC$65)/12*'IP Attrition'!AC100,0)))</f>
        <v>0</v>
      </c>
      <c r="AE165" s="799">
        <f>IF(EOMONTH(Inputs!$C$8,'IP Attrition'!AE$134-1)&lt;=Inputs!$C$9,0,MIN(IF(ISERROR(VLOOKUP(AE$134+$F165,$D$135:$D$165,1,FALSE)),0,AD33*$C$2),MAX((IF(Monthly!AA$4=TRUE,Monthly!AA$13,Monthly!AA$14)*(1+'Attrition Modeling'!$N$8)-'IP Attrition'!AD$65)/12*'IP Attrition'!AD100,0)))</f>
        <v>0</v>
      </c>
      <c r="AF165" s="799">
        <f>IF(EOMONTH(Inputs!$C$8,'IP Attrition'!AF$134-1)&lt;=Inputs!$C$9,0,MIN(IF(ISERROR(VLOOKUP(AF$134+$F165,$D$135:$D$165,1,FALSE)),0,AE33*$C$2),MAX((IF(Monthly!AB$4=TRUE,Monthly!AB$13,Monthly!AB$14)*(1+'Attrition Modeling'!$N$8)-'IP Attrition'!AE$65)/12*'IP Attrition'!AE100,0)))</f>
        <v>0</v>
      </c>
      <c r="AG165" s="799">
        <f>IF(EOMONTH(Inputs!$C$8,'IP Attrition'!AG$134-1)&lt;=Inputs!$C$9,0,MIN(IF(ISERROR(VLOOKUP(AG$134+$F165,$D$135:$D$165,1,FALSE)),0,AF33*$C$2),MAX((IF(Monthly!AC$4=TRUE,Monthly!AC$13,Monthly!AC$14)*(1+'Attrition Modeling'!$N$8)-'IP Attrition'!AF$65)/12*'IP Attrition'!AF100,0)))</f>
        <v>0</v>
      </c>
      <c r="AH165" s="799">
        <f>IF(EOMONTH(Inputs!$C$8,'IP Attrition'!AH$134-1)&lt;=Inputs!$C$9,0,MIN(IF(ISERROR(VLOOKUP(AH$134+$F165,$D$135:$D$165,1,FALSE)),0,AG33*$C$2),MAX((IF(Monthly!AD$4=TRUE,Monthly!AD$13,Monthly!AD$14)*(1+'Attrition Modeling'!$N$8)-'IP Attrition'!AG$65)/12*'IP Attrition'!AG100,0)))</f>
        <v>0</v>
      </c>
      <c r="AI165" s="799">
        <f>IF(EOMONTH(Inputs!$C$8,'IP Attrition'!AI$134-1)&lt;=Inputs!$C$9,0,MIN(IF(ISERROR(VLOOKUP(AI$134+$F165,$D$135:$D$165,1,FALSE)),0,AH33*$C$2),MAX((IF(Monthly!AE$4=TRUE,Monthly!AE$13,Monthly!AE$14)*(1+'Attrition Modeling'!$N$8)-'IP Attrition'!AH$65)/12*'IP Attrition'!AH100,0)))</f>
        <v>0</v>
      </c>
      <c r="AJ165" s="799">
        <f>IF(EOMONTH(Inputs!$C$8,'IP Attrition'!AJ$134-1)&lt;=Inputs!$C$9,0,MIN(IF(ISERROR(VLOOKUP(AJ$134+$F165,$D$135:$D$165,1,FALSE)),0,AI33*$C$2),MAX((IF(Monthly!AF$4=TRUE,Monthly!AF$13,Monthly!AF$14)*(1+'Attrition Modeling'!$N$8)-'IP Attrition'!AI$65)/12*'IP Attrition'!AI100,0)))</f>
        <v>0</v>
      </c>
      <c r="AK165" s="799">
        <f>IF(EOMONTH(Inputs!$C$8,'IP Attrition'!AK$134-1)&lt;=Inputs!$C$9,0,MIN(IF(ISERROR(VLOOKUP(AK$134+$F165,$D$135:$D$165,1,FALSE)),0,AJ33*$C$2),MAX((IF(Monthly!AG$4=TRUE,Monthly!AG$13,Monthly!AG$14)*(1+'Attrition Modeling'!$N$8)-'IP Attrition'!AJ$65)/12*'IP Attrition'!AJ100,0)))</f>
        <v>0</v>
      </c>
      <c r="AL165" s="799">
        <f>IF(EOMONTH(Inputs!$C$8,'IP Attrition'!AL$134-1)&lt;=Inputs!$C$9,0,MIN(IF(ISERROR(VLOOKUP(AL$134+$F165,$D$135:$D$165,1,FALSE)),0,AK33*$C$2),MAX((IF(Monthly!AH$4=TRUE,Monthly!AH$13,Monthly!AH$14)*(1+'Attrition Modeling'!$N$8)-'IP Attrition'!AK$65)/12*'IP Attrition'!AK100,0)))</f>
        <v>0</v>
      </c>
      <c r="AM165" s="799">
        <f>IF(EOMONTH(Inputs!$C$8,'IP Attrition'!AM$134-1)&lt;=Inputs!$C$9,0,MIN(IF(ISERROR(VLOOKUP(AM$134+$F165,$D$135:$D$165,1,FALSE)),0,AL33*$C$2),MAX((IF(Monthly!AI$4=TRUE,Monthly!AI$13,Monthly!AI$14)*(1+'Attrition Modeling'!$N$8)-'IP Attrition'!AL$65)/12*'IP Attrition'!AL100,0)))</f>
        <v>0</v>
      </c>
      <c r="AN165" s="799">
        <f>IF(EOMONTH(Inputs!$C$8,'IP Attrition'!AN$134-1)&lt;=Inputs!$C$9,0,MIN(IF(ISERROR(VLOOKUP(AN$134+$F165,$D$135:$D$165,1,FALSE)),0,AM33*$C$2),MAX((IF(Monthly!AJ$4=TRUE,Monthly!AJ$13,Monthly!AJ$14)*(1+'Attrition Modeling'!$N$8)-'IP Attrition'!AM$65)/12*'IP Attrition'!AM100,0)))</f>
        <v>0</v>
      </c>
      <c r="AO165" s="799">
        <f>IF(EOMONTH(Inputs!$C$8,'IP Attrition'!AO$134-1)&lt;=Inputs!$C$9,0,MIN(IF(ISERROR(VLOOKUP(AO$134+$F165,$D$135:$D$165,1,FALSE)),0,AN33*$C$2),MAX((IF(Monthly!AK$4=TRUE,Monthly!AK$13,Monthly!AK$14)*(1+'Attrition Modeling'!$N$8)-'IP Attrition'!AN$65)/12*'IP Attrition'!AN100,0)))</f>
        <v>0</v>
      </c>
      <c r="AP165" s="799">
        <f>IF(EOMONTH(Inputs!$C$8,'IP Attrition'!AP$134-1)&lt;=Inputs!$C$9,0,MIN(IF(ISERROR(VLOOKUP(AP$134+$F165,$D$135:$D$165,1,FALSE)),0,AO33*$C$2),MAX((IF(Monthly!AL$4=TRUE,Monthly!AL$13,Monthly!AL$14)*(1+'Attrition Modeling'!$N$8)-'IP Attrition'!AO$65)/12*'IP Attrition'!AO100,0)))</f>
        <v>0</v>
      </c>
      <c r="AQ165" s="799">
        <f>IF(EOMONTH(Inputs!$C$8,'IP Attrition'!AQ$134-1)&lt;=Inputs!$C$9,0,MIN(IF(ISERROR(VLOOKUP(AQ$134+$F165,$D$135:$D$165,1,FALSE)),0,AP33*$C$2),MAX((IF(Monthly!AM$4=TRUE,Monthly!AM$13,Monthly!AM$14)*(1+'Attrition Modeling'!$N$8)-'IP Attrition'!AP$65)/12*'IP Attrition'!AP100,0)))</f>
        <v>0</v>
      </c>
      <c r="AR165" s="799">
        <f>IF(EOMONTH(Inputs!$C$8,'IP Attrition'!AR$134-1)&lt;=Inputs!$C$9,0,MIN(IF(ISERROR(VLOOKUP(AR$134+$F165,$D$135:$D$165,1,FALSE)),0,AQ33*$C$2),MAX((IF(Monthly!AN$4=TRUE,Monthly!AN$13,Monthly!AN$14)*(1+'Attrition Modeling'!$N$8)-'IP Attrition'!AQ$65)/12*'IP Attrition'!AQ100,0)))</f>
        <v>0</v>
      </c>
      <c r="AS165" s="799">
        <f>IF(EOMONTH(Inputs!$C$8,'IP Attrition'!AS$134-1)&lt;=Inputs!$C$9,0,MIN(IF(ISERROR(VLOOKUP(AS$134+$F165,$D$135:$D$165,1,FALSE)),0,AR33*$C$2),MAX((IF(Monthly!AO$4=TRUE,Monthly!AO$13,Monthly!AO$14)*(1+'Attrition Modeling'!$N$8)-'IP Attrition'!AR$65)/12*'IP Attrition'!AR100,0)))</f>
        <v>0</v>
      </c>
      <c r="AT165" s="799">
        <f>IF(EOMONTH(Inputs!$C$8,'IP Attrition'!AT$134-1)&lt;=Inputs!$C$9,0,MIN(IF(ISERROR(VLOOKUP(AT$134+$F165,$D$135:$D$165,1,FALSE)),0,AS33*$C$2),MAX((IF(Monthly!AP$4=TRUE,Monthly!AP$13,Monthly!AP$14)*(1+'Attrition Modeling'!$N$8)-'IP Attrition'!AS$65)/12*'IP Attrition'!AS100,0)))</f>
        <v>0</v>
      </c>
      <c r="AU165" s="799">
        <f>IF(EOMONTH(Inputs!$C$8,'IP Attrition'!AU$134-1)&lt;=Inputs!$C$9,0,MIN(IF(ISERROR(VLOOKUP(AU$134+$F165,$D$135:$D$165,1,FALSE)),0,AT33*$C$2),MAX((IF(Monthly!AQ$4=TRUE,Monthly!AQ$13,Monthly!AQ$14)*(1+'Attrition Modeling'!$N$8)-'IP Attrition'!AT$65)/12*'IP Attrition'!AT100,0)))</f>
        <v>0</v>
      </c>
      <c r="AV165" s="799">
        <f>IF(EOMONTH(Inputs!$C$8,'IP Attrition'!AV$134-1)&lt;=Inputs!$C$9,0,MIN(IF(ISERROR(VLOOKUP(AV$134+$F165,$D$135:$D$165,1,FALSE)),0,AU33*$C$2),MAX((IF(Monthly!AR$4=TRUE,Monthly!AR$13,Monthly!AR$14)*(1+'Attrition Modeling'!$N$8)-'IP Attrition'!AU$65)/12*'IP Attrition'!AU100,0)))</f>
        <v>0</v>
      </c>
      <c r="AW165" s="799">
        <f>IF(EOMONTH(Inputs!$C$8,'IP Attrition'!AW$134-1)&lt;=Inputs!$C$9,0,MIN(IF(ISERROR(VLOOKUP(AW$134+$F165,$D$135:$D$165,1,FALSE)),0,AV33*$C$2),MAX((IF(Monthly!AS$4=TRUE,Monthly!AS$13,Monthly!AS$14)*(1+'Attrition Modeling'!$N$8)-'IP Attrition'!AV$65)/12*'IP Attrition'!AV100,0)))</f>
        <v>0</v>
      </c>
      <c r="AX165" s="799">
        <f>IF(EOMONTH(Inputs!$C$8,'IP Attrition'!AX$134-1)&lt;=Inputs!$C$9,0,MIN(IF(ISERROR(VLOOKUP(AX$134+$F165,$D$135:$D$165,1,FALSE)),0,AW33*$C$2),MAX((IF(Monthly!AT$4=TRUE,Monthly!AT$13,Monthly!AT$14)*(1+'Attrition Modeling'!$N$8)-'IP Attrition'!AW$65)/12*'IP Attrition'!AW100,0)))</f>
        <v>0</v>
      </c>
      <c r="AY165" s="799">
        <f>IF(EOMONTH(Inputs!$C$8,'IP Attrition'!AY$134-1)&lt;=Inputs!$C$9,0,MIN(IF(ISERROR(VLOOKUP(AY$134+$F165,$D$135:$D$165,1,FALSE)),0,AX33*$C$2),MAX((IF(Monthly!AU$4=TRUE,Monthly!AU$13,Monthly!AU$14)*(1+'Attrition Modeling'!$N$8)-'IP Attrition'!AX$65)/12*'IP Attrition'!AX100,0)))</f>
        <v>0</v>
      </c>
      <c r="AZ165" s="799">
        <f>IF(EOMONTH(Inputs!$C$8,'IP Attrition'!AZ$134-1)&lt;=Inputs!$C$9,0,MIN(IF(ISERROR(VLOOKUP(AZ$134+$F165,$D$135:$D$165,1,FALSE)),0,AY33*$C$2),MAX((IF(Monthly!AV$4=TRUE,Monthly!AV$13,Monthly!AV$14)*(1+'Attrition Modeling'!$N$8)-'IP Attrition'!AY$65)/12*'IP Attrition'!AY100,0)))</f>
        <v>0</v>
      </c>
      <c r="BA165" s="799">
        <f>IF(EOMONTH(Inputs!$C$8,'IP Attrition'!BA$134-1)&lt;=Inputs!$C$9,0,MIN(IF(ISERROR(VLOOKUP(BA$134+$F165,$D$135:$D$165,1,FALSE)),0,AZ33*$C$2),MAX((IF(Monthly!AW$4=TRUE,Monthly!AW$13,Monthly!AW$14)*(1+'Attrition Modeling'!$N$8)-'IP Attrition'!AZ$65)/12*'IP Attrition'!AZ100,0)))</f>
        <v>0</v>
      </c>
      <c r="BB165" s="799">
        <f>IF(EOMONTH(Inputs!$C$8,'IP Attrition'!BB$134-1)&lt;=Inputs!$C$9,0,MIN(IF(ISERROR(VLOOKUP(BB$134+$F165,$D$135:$D$165,1,FALSE)),0,BA33*$C$2),MAX((IF(Monthly!AX$4=TRUE,Monthly!AX$13,Monthly!AX$14)*(1+'Attrition Modeling'!$N$8)-'IP Attrition'!BA$65)/12*'IP Attrition'!BA100,0)))</f>
        <v>0</v>
      </c>
      <c r="BC165" s="799">
        <f>IF(EOMONTH(Inputs!$C$8,'IP Attrition'!BC$134-1)&lt;=Inputs!$C$9,0,MIN(IF(ISERROR(VLOOKUP(BC$134+$F165,$D$135:$D$165,1,FALSE)),0,BB33*$C$2),MAX((IF(Monthly!AY$4=TRUE,Monthly!AY$13,Monthly!AY$14)*(1+'Attrition Modeling'!$N$8)-'IP Attrition'!BB$65)/12*'IP Attrition'!BB100,0)))</f>
        <v>0</v>
      </c>
      <c r="BD165" s="799">
        <f>IF(EOMONTH(Inputs!$C$8,'IP Attrition'!BD$134-1)&lt;=Inputs!$C$9,0,MIN(IF(ISERROR(VLOOKUP(BD$134+$F165,$D$135:$D$165,1,FALSE)),0,BC33*$C$2),MAX((IF(Monthly!AZ$4=TRUE,Monthly!AZ$13,Monthly!AZ$14)*(1+'Attrition Modeling'!$N$8)-'IP Attrition'!BC$65)/12*'IP Attrition'!BC100,0)))</f>
        <v>0</v>
      </c>
      <c r="BE165" s="799">
        <f>IF(EOMONTH(Inputs!$C$8,'IP Attrition'!BE$134-1)&lt;=Inputs!$C$9,0,MIN(IF(ISERROR(VLOOKUP(BE$134+$F165,$D$135:$D$165,1,FALSE)),0,BD33*$C$2),MAX((IF(Monthly!BA$4=TRUE,Monthly!BA$13,Monthly!BA$14)*(1+'Attrition Modeling'!$N$8)-'IP Attrition'!BD$65)/12*'IP Attrition'!BD100,0)))</f>
        <v>0</v>
      </c>
      <c r="BF165" s="799">
        <f>IF(EOMONTH(Inputs!$C$8,'IP Attrition'!BF$134-1)&lt;=Inputs!$C$9,0,MIN(IF(ISERROR(VLOOKUP(BF$134+$F165,$D$135:$D$165,1,FALSE)),0,BE33*$C$2),MAX((IF(Monthly!BB$4=TRUE,Monthly!BB$13,Monthly!BB$14)*(1+'Attrition Modeling'!$N$8)-'IP Attrition'!BE$65)/12*'IP Attrition'!BE100,0)))</f>
        <v>0</v>
      </c>
      <c r="BG165" s="799">
        <f>IF(EOMONTH(Inputs!$C$8,'IP Attrition'!BG$134-1)&lt;=Inputs!$C$9,0,MIN(IF(ISERROR(VLOOKUP(BG$134+$F165,$D$135:$D$165,1,FALSE)),0,BF33*$C$2),MAX((IF(Monthly!BC$4=TRUE,Monthly!BC$13,Monthly!BC$14)*(1+'Attrition Modeling'!$N$8)-'IP Attrition'!BF$65)/12*'IP Attrition'!BF100,0)))</f>
        <v>0</v>
      </c>
      <c r="BH165" s="799">
        <f>IF(EOMONTH(Inputs!$C$8,'IP Attrition'!BH$134-1)&lt;=Inputs!$C$9,0,MIN(IF(ISERROR(VLOOKUP(BH$134+$F165,$D$135:$D$165,1,FALSE)),0,BG33*$C$2),MAX((IF(Monthly!BD$4=TRUE,Monthly!BD$13,Monthly!BD$14)*(1+'Attrition Modeling'!$N$8)-'IP Attrition'!BG$65)/12*'IP Attrition'!BG100,0)))</f>
        <v>0</v>
      </c>
      <c r="BI165" s="799">
        <f>IF(EOMONTH(Inputs!$C$8,'IP Attrition'!BI$134-1)&lt;=Inputs!$C$9,0,MIN(IF(ISERROR(VLOOKUP(BI$134+$F165,$D$135:$D$165,1,FALSE)),0,BH33*$C$2),MAX((IF(Monthly!BE$4=TRUE,Monthly!BE$13,Monthly!BE$14)*(1+'Attrition Modeling'!$N$8)-'IP Attrition'!BH$65)/12*'IP Attrition'!BH100,0)))</f>
        <v>0</v>
      </c>
      <c r="BJ165" s="799">
        <f>IF(EOMONTH(Inputs!$C$8,'IP Attrition'!BJ$134-1)&lt;=Inputs!$C$9,0,MIN(IF(ISERROR(VLOOKUP(BJ$134+$F165,$D$135:$D$165,1,FALSE)),0,BI33*$C$2),MAX((IF(Monthly!BF$4=TRUE,Monthly!BF$13,Monthly!BF$14)*(1+'Attrition Modeling'!$N$8)-'IP Attrition'!BI$65)/12*'IP Attrition'!BI100,0)))</f>
        <v>0</v>
      </c>
      <c r="BK165" s="799">
        <f>IF(EOMONTH(Inputs!$C$8,'IP Attrition'!BK$134-1)&lt;=Inputs!$C$9,0,MIN(IF(ISERROR(VLOOKUP(BK$134+$F165,$D$135:$D$165,1,FALSE)),0,BJ33*$C$2),MAX((IF(Monthly!BG$4=TRUE,Monthly!BG$13,Monthly!BG$14)*(1+'Attrition Modeling'!$N$8)-'IP Attrition'!BJ$65)/12*'IP Attrition'!BJ100,0)))</f>
        <v>0</v>
      </c>
      <c r="BL165" s="799">
        <f>IF(EOMONTH(Inputs!$C$8,'IP Attrition'!BL$134-1)&lt;=Inputs!$C$9,0,MIN(IF(ISERROR(VLOOKUP(BL$134+$F165,$D$135:$D$165,1,FALSE)),0,BK33*$C$2),MAX((IF(Monthly!BH$4=TRUE,Monthly!BH$13,Monthly!BH$14)*(1+'Attrition Modeling'!$N$8)-'IP Attrition'!BK$65)/12*'IP Attrition'!BK100,0)))</f>
        <v>0</v>
      </c>
      <c r="BM165" s="799">
        <f>IF(EOMONTH(Inputs!$C$8,'IP Attrition'!BM$134-1)&lt;=Inputs!$C$9,0,MIN(IF(ISERROR(VLOOKUP(BM$134+$F165,$D$135:$D$165,1,FALSE)),0,BL33*$C$2),MAX((IF(Monthly!BI$4=TRUE,Monthly!BI$13,Monthly!BI$14)*(1+'Attrition Modeling'!$N$8)-'IP Attrition'!BL$65)/12*'IP Attrition'!BL100,0)))</f>
        <v>0</v>
      </c>
      <c r="BN165" s="799">
        <f>IF(EOMONTH(Inputs!$C$8,'IP Attrition'!BN$134-1)&lt;=Inputs!$C$9,0,MIN(IF(ISERROR(VLOOKUP(BN$134+$F165,$D$135:$D$165,1,FALSE)),0,BM33*$C$2),MAX((IF(Monthly!BJ$4=TRUE,Monthly!BJ$13,Monthly!BJ$14)*(1+'Attrition Modeling'!$N$8)-'IP Attrition'!BM$65)/12*'IP Attrition'!BM100,0)))</f>
        <v>0</v>
      </c>
      <c r="BO165" s="799">
        <f>IF(EOMONTH(Inputs!$C$8,'IP Attrition'!BO$134-1)&lt;=Inputs!$C$9,0,MIN(IF(ISERROR(VLOOKUP(BO$134+$F165,$D$135:$D$165,1,FALSE)),0,BN33*$C$2),MAX((IF(Monthly!BK$4=TRUE,Monthly!BK$13,Monthly!BK$14)*(1+'Attrition Modeling'!$N$8)-'IP Attrition'!BN$65)/12*'IP Attrition'!BN100,0)))</f>
        <v>0</v>
      </c>
      <c r="BP165" s="799">
        <f>IF(EOMONTH(Inputs!$C$8,'IP Attrition'!BP$134-1)&lt;=Inputs!$C$9,0,MIN(IF(ISERROR(VLOOKUP(BP$134+$F165,$D$135:$D$165,1,FALSE)),0,BO33*$C$2),MAX((IF(Monthly!BL$4=TRUE,Monthly!BL$13,Monthly!BL$14)*(1+'Attrition Modeling'!$N$8)-'IP Attrition'!BO$65)/12*'IP Attrition'!BO100,0)))</f>
        <v>0</v>
      </c>
      <c r="BQ165" s="799">
        <f>IF(EOMONTH(Inputs!$C$8,'IP Attrition'!BQ$134-1)&lt;=Inputs!$C$9,0,MIN(IF(ISERROR(VLOOKUP(BQ$134+$F165,$D$135:$D$165,1,FALSE)),0,BP33*$C$2),MAX((IF(Monthly!BM$4=TRUE,Monthly!BM$13,Monthly!BM$14)*(1+'Attrition Modeling'!$N$8)-'IP Attrition'!BP$65)/12*'IP Attrition'!BP100,0)))</f>
        <v>0</v>
      </c>
      <c r="BR165" s="799">
        <f>IF(EOMONTH(Inputs!$C$8,'IP Attrition'!BR$134-1)&lt;=Inputs!$C$9,0,MIN(IF(ISERROR(VLOOKUP(BR$134+$F165,$D$135:$D$165,1,FALSE)),0,BQ33*$C$2),MAX((IF(Monthly!BN$4=TRUE,Monthly!BN$13,Monthly!BN$14)*(1+'Attrition Modeling'!$N$8)-'IP Attrition'!BQ$65)/12*'IP Attrition'!BQ100,0)))</f>
        <v>0</v>
      </c>
      <c r="BS165" s="799">
        <f>IF(EOMONTH(Inputs!$C$8,'IP Attrition'!BS$134-1)&lt;=Inputs!$C$9,0,MIN(IF(ISERROR(VLOOKUP(BS$134+$F165,$D$135:$D$165,1,FALSE)),0,BR33*$C$2),MAX((IF(Monthly!BO$4=TRUE,Monthly!BO$13,Monthly!BO$14)*(1+'Attrition Modeling'!$N$8)-'IP Attrition'!BR$65)/12*'IP Attrition'!BR100,0)))</f>
        <v>0</v>
      </c>
      <c r="BT165" s="799" t="e">
        <f>IF(EOMONTH(Inputs!$C$8,'IP Attrition'!BT$134-1)&lt;=Inputs!$C$9,0,MIN(IF(ISERROR(VLOOKUP(BT$134+$F165,$D$135:$D$165,1,FALSE)),0,BS33*$C$2),MAX((IF(Monthly!#REF!=TRUE,Monthly!#REF!,Monthly!#REF!)*(1+'Attrition Modeling'!$N$8)-'IP Attrition'!BS$65)/12*'IP Attrition'!BS100,0)))</f>
        <v>#REF!</v>
      </c>
      <c r="BU165" s="799" t="e">
        <f>IF(EOMONTH(Inputs!$C$8,'IP Attrition'!BU$134-1)&lt;=Inputs!$C$9,0,MIN(IF(ISERROR(VLOOKUP(BU$134+$F165,$D$135:$D$165,1,FALSE)),0,BT33*$C$2),MAX((IF(Monthly!#REF!=TRUE,Monthly!#REF!,Monthly!#REF!)*(1+'Attrition Modeling'!$N$8)-'IP Attrition'!BT$65)/12*'IP Attrition'!BT100,0)))</f>
        <v>#REF!</v>
      </c>
    </row>
    <row r="166" spans="1:73" ht="14.25" customHeight="1" x14ac:dyDescent="0.2">
      <c r="E166" s="25">
        <f t="shared" si="71"/>
        <v>0</v>
      </c>
      <c r="F166" s="11">
        <f t="shared" si="73"/>
        <v>31</v>
      </c>
      <c r="G166" s="799"/>
      <c r="H166" s="799">
        <f>IF(EOMONTH(Inputs!$C$8,'IP Attrition'!H$134-1)&lt;=Inputs!$C$9,0,MIN(IF(ISERROR(VLOOKUP(H$134+$F166,$D$135:$D$165,1,FALSE)),0,G34*$C$2),MAX((IF(Monthly!D$4=TRUE,Monthly!D$13,Monthly!D$14)*(1+'Attrition Modeling'!$N$8)-'IP Attrition'!G$65)/12*'IP Attrition'!G101,0)))</f>
        <v>0</v>
      </c>
      <c r="I166" s="799">
        <f>IF(EOMONTH(Inputs!$C$8,'IP Attrition'!I$134-1)&lt;=Inputs!$C$9,0,MIN(IF(ISERROR(VLOOKUP(I$134+$F166,$D$135:$D$165,1,FALSE)),0,H34*$C$2),MAX((IF(Monthly!E$4=TRUE,Monthly!E$13,Monthly!E$14)*(1+'Attrition Modeling'!$N$8)-'IP Attrition'!H$65)/12*'IP Attrition'!H101,0)))</f>
        <v>0</v>
      </c>
      <c r="J166" s="799">
        <f>IF(EOMONTH(Inputs!$C$8,'IP Attrition'!J$134-1)&lt;=Inputs!$C$9,0,MIN(IF(ISERROR(VLOOKUP(J$134+$F166,$D$135:$D$165,1,FALSE)),0,I34*$C$2),MAX((IF(Monthly!F$4=TRUE,Monthly!F$13,Monthly!F$14)*(1+'Attrition Modeling'!$N$8)-'IP Attrition'!I$65)/12*'IP Attrition'!I101,0)))</f>
        <v>0</v>
      </c>
      <c r="K166" s="799">
        <f>IF(EOMONTH(Inputs!$C$8,'IP Attrition'!K$134-1)&lt;=Inputs!$C$9,0,MIN(IF(ISERROR(VLOOKUP(K$134+$F166,$D$135:$D$165,1,FALSE)),0,J34*$C$2),MAX((IF(Monthly!G$4=TRUE,Monthly!G$13,Monthly!G$14)*(1+'Attrition Modeling'!$N$8)-'IP Attrition'!J$65)/12*'IP Attrition'!J101,0)))</f>
        <v>0</v>
      </c>
      <c r="L166" s="799">
        <f>IF(EOMONTH(Inputs!$C$8,'IP Attrition'!L$134-1)&lt;=Inputs!$C$9,0,MIN(IF(ISERROR(VLOOKUP(L$134+$F166,$D$135:$D$165,1,FALSE)),0,K34*$C$2),MAX((IF(Monthly!H$4=TRUE,Monthly!H$13,Monthly!H$14)*(1+'Attrition Modeling'!$N$8)-'IP Attrition'!K$65)/12*'IP Attrition'!K101,0)))</f>
        <v>0</v>
      </c>
      <c r="M166" s="799">
        <f>IF(EOMONTH(Inputs!$C$8,'IP Attrition'!M$134-1)&lt;=Inputs!$C$9,0,MIN(IF(ISERROR(VLOOKUP(M$134+$F166,$D$135:$D$165,1,FALSE)),0,L34*$C$2),MAX((IF(Monthly!I$4=TRUE,Monthly!I$13,Monthly!I$14)*(1+'Attrition Modeling'!$N$8)-'IP Attrition'!L$65)/12*'IP Attrition'!L101,0)))</f>
        <v>0</v>
      </c>
      <c r="N166" s="799">
        <f>IF(EOMONTH(Inputs!$C$8,'IP Attrition'!N$134-1)&lt;=Inputs!$C$9,0,MIN(IF(ISERROR(VLOOKUP(N$134+$F166,$D$135:$D$165,1,FALSE)),0,M34*$C$2),MAX((IF(Monthly!J$4=TRUE,Monthly!J$13,Monthly!J$14)*(1+'Attrition Modeling'!$N$8)-'IP Attrition'!M$65)/12*'IP Attrition'!M101,0)))</f>
        <v>0</v>
      </c>
      <c r="O166" s="799">
        <f>IF(EOMONTH(Inputs!$C$8,'IP Attrition'!O$134-1)&lt;=Inputs!$C$9,0,MIN(IF(ISERROR(VLOOKUP(O$134+$F166,$D$135:$D$165,1,FALSE)),0,N34*$C$2),MAX((IF(Monthly!K$4=TRUE,Monthly!K$13,Monthly!K$14)*(1+'Attrition Modeling'!$N$8)-'IP Attrition'!N$65)/12*'IP Attrition'!N101,0)))</f>
        <v>0</v>
      </c>
      <c r="P166" s="799">
        <f>IF(EOMONTH(Inputs!$C$8,'IP Attrition'!P$134-1)&lt;=Inputs!$C$9,0,MIN(IF(ISERROR(VLOOKUP(P$134+$F166,$D$135:$D$165,1,FALSE)),0,O34*$C$2),MAX((IF(Monthly!L$4=TRUE,Monthly!L$13,Monthly!L$14)*(1+'Attrition Modeling'!$N$8)-'IP Attrition'!O$65)/12*'IP Attrition'!O101,0)))</f>
        <v>0</v>
      </c>
      <c r="Q166" s="799">
        <f>IF(EOMONTH(Inputs!$C$8,'IP Attrition'!Q$134-1)&lt;=Inputs!$C$9,0,MIN(IF(ISERROR(VLOOKUP(Q$134+$F166,$D$135:$D$165,1,FALSE)),0,P34*$C$2),MAX((IF(Monthly!M$4=TRUE,Monthly!M$13,Monthly!M$14)*(1+'Attrition Modeling'!$N$8)-'IP Attrition'!P$65)/12*'IP Attrition'!P101,0)))</f>
        <v>0</v>
      </c>
      <c r="R166" s="799">
        <f>IF(EOMONTH(Inputs!$C$8,'IP Attrition'!R$134-1)&lt;=Inputs!$C$9,0,MIN(IF(ISERROR(VLOOKUP(R$134+$F166,$D$135:$D$165,1,FALSE)),0,Q34*$C$2),MAX((IF(Monthly!N$4=TRUE,Monthly!N$13,Monthly!N$14)*(1+'Attrition Modeling'!$N$8)-'IP Attrition'!Q$65)/12*'IP Attrition'!Q101,0)))</f>
        <v>0</v>
      </c>
      <c r="S166" s="799">
        <f>IF(EOMONTH(Inputs!$C$8,'IP Attrition'!S$134-1)&lt;=Inputs!$C$9,0,MIN(IF(ISERROR(VLOOKUP(S$134+$F166,$D$135:$D$165,1,FALSE)),0,R34*$C$2),MAX((IF(Monthly!O$4=TRUE,Monthly!O$13,Monthly!O$14)*(1+'Attrition Modeling'!$N$8)-'IP Attrition'!R$65)/12*'IP Attrition'!R101,0)))</f>
        <v>0</v>
      </c>
      <c r="T166" s="799">
        <f>IF(EOMONTH(Inputs!$C$8,'IP Attrition'!T$134-1)&lt;=Inputs!$C$9,0,MIN(IF(ISERROR(VLOOKUP(T$134+$F166,$D$135:$D$165,1,FALSE)),0,S34*$C$2),MAX((IF(Monthly!P$4=TRUE,Monthly!P$13,Monthly!P$14)*(1+'Attrition Modeling'!$N$8)-'IP Attrition'!S$65)/12*'IP Attrition'!S101,0)))</f>
        <v>0</v>
      </c>
      <c r="U166" s="799">
        <f>IF(EOMONTH(Inputs!$C$8,'IP Attrition'!U$134-1)&lt;=Inputs!$C$9,0,MIN(IF(ISERROR(VLOOKUP(U$134+$F166,$D$135:$D$165,1,FALSE)),0,T34*$C$2),MAX((IF(Monthly!Q$4=TRUE,Monthly!Q$13,Monthly!Q$14)*(1+'Attrition Modeling'!$N$8)-'IP Attrition'!T$65)/12*'IP Attrition'!T101,0)))</f>
        <v>0</v>
      </c>
      <c r="V166" s="799">
        <f>IF(EOMONTH(Inputs!$C$8,'IP Attrition'!V$134-1)&lt;=Inputs!$C$9,0,MIN(IF(ISERROR(VLOOKUP(V$134+$F166,$D$135:$D$165,1,FALSE)),0,U34*$C$2),MAX((IF(Monthly!R$4=TRUE,Monthly!R$13,Monthly!R$14)*(1+'Attrition Modeling'!$N$8)-'IP Attrition'!U$65)/12*'IP Attrition'!U101,0)))</f>
        <v>0</v>
      </c>
      <c r="W166" s="799">
        <f>IF(EOMONTH(Inputs!$C$8,'IP Attrition'!W$134-1)&lt;=Inputs!$C$9,0,MIN(IF(ISERROR(VLOOKUP(W$134+$F166,$D$135:$D$165,1,FALSE)),0,V34*$C$2),MAX((IF(Monthly!S$4=TRUE,Monthly!S$13,Monthly!S$14)*(1+'Attrition Modeling'!$N$8)-'IP Attrition'!V$65)/12*'IP Attrition'!V101,0)))</f>
        <v>0</v>
      </c>
      <c r="X166" s="799">
        <f>IF(EOMONTH(Inputs!$C$8,'IP Attrition'!X$134-1)&lt;=Inputs!$C$9,0,MIN(IF(ISERROR(VLOOKUP(X$134+$F166,$D$135:$D$165,1,FALSE)),0,W34*$C$2),MAX((IF(Monthly!T$4=TRUE,Monthly!T$13,Monthly!T$14)*(1+'Attrition Modeling'!$N$8)-'IP Attrition'!W$65)/12*'IP Attrition'!W101,0)))</f>
        <v>0</v>
      </c>
      <c r="Y166" s="799">
        <f>IF(EOMONTH(Inputs!$C$8,'IP Attrition'!Y$134-1)&lt;=Inputs!$C$9,0,MIN(IF(ISERROR(VLOOKUP(Y$134+$F166,$D$135:$D$165,1,FALSE)),0,X34*$C$2),MAX((IF(Monthly!U$4=TRUE,Monthly!U$13,Monthly!U$14)*(1+'Attrition Modeling'!$N$8)-'IP Attrition'!X$65)/12*'IP Attrition'!X101,0)))</f>
        <v>0</v>
      </c>
      <c r="Z166" s="799">
        <f>IF(EOMONTH(Inputs!$C$8,'IP Attrition'!Z$134-1)&lt;=Inputs!$C$9,0,MIN(IF(ISERROR(VLOOKUP(Z$134+$F166,$D$135:$D$165,1,FALSE)),0,Y34*$C$2),MAX((IF(Monthly!V$4=TRUE,Monthly!V$13,Monthly!V$14)*(1+'Attrition Modeling'!$N$8)-'IP Attrition'!Y$65)/12*'IP Attrition'!Y101,0)))</f>
        <v>0</v>
      </c>
      <c r="AA166" s="799">
        <f>IF(EOMONTH(Inputs!$C$8,'IP Attrition'!AA$134-1)&lt;=Inputs!$C$9,0,MIN(IF(ISERROR(VLOOKUP(AA$134+$F166,$D$135:$D$165,1,FALSE)),0,Z34*$C$2),MAX((IF(Monthly!W$4=TRUE,Monthly!W$13,Monthly!W$14)*(1+'Attrition Modeling'!$N$8)-'IP Attrition'!Z$65)/12*'IP Attrition'!Z101,0)))</f>
        <v>0</v>
      </c>
      <c r="AB166" s="799">
        <f>IF(EOMONTH(Inputs!$C$8,'IP Attrition'!AB$134-1)&lt;=Inputs!$C$9,0,MIN(IF(ISERROR(VLOOKUP(AB$134+$F166,$D$135:$D$165,1,FALSE)),0,AA34*$C$2),MAX((IF(Monthly!X$4=TRUE,Monthly!X$13,Monthly!X$14)*(1+'Attrition Modeling'!$N$8)-'IP Attrition'!AA$65)/12*'IP Attrition'!AA101,0)))</f>
        <v>0</v>
      </c>
      <c r="AC166" s="799">
        <f>IF(EOMONTH(Inputs!$C$8,'IP Attrition'!AC$134-1)&lt;=Inputs!$C$9,0,MIN(IF(ISERROR(VLOOKUP(AC$134+$F166,$D$135:$D$165,1,FALSE)),0,AB34*$C$2),MAX((IF(Monthly!Y$4=TRUE,Monthly!Y$13,Monthly!Y$14)*(1+'Attrition Modeling'!$N$8)-'IP Attrition'!AB$65)/12*'IP Attrition'!AB101,0)))</f>
        <v>0</v>
      </c>
      <c r="AD166" s="799">
        <f>IF(EOMONTH(Inputs!$C$8,'IP Attrition'!AD$134-1)&lt;=Inputs!$C$9,0,MIN(IF(ISERROR(VLOOKUP(AD$134+$F166,$D$135:$D$165,1,FALSE)),0,AC34*$C$2),MAX((IF(Monthly!Z$4=TRUE,Monthly!Z$13,Monthly!Z$14)*(1+'Attrition Modeling'!$N$8)-'IP Attrition'!AC$65)/12*'IP Attrition'!AC101,0)))</f>
        <v>0</v>
      </c>
      <c r="AE166" s="799">
        <f>IF(EOMONTH(Inputs!$C$8,'IP Attrition'!AE$134-1)&lt;=Inputs!$C$9,0,MIN(IF(ISERROR(VLOOKUP(AE$134+$F166,$D$135:$D$165,1,FALSE)),0,AD34*$C$2),MAX((IF(Monthly!AA$4=TRUE,Monthly!AA$13,Monthly!AA$14)*(1+'Attrition Modeling'!$N$8)-'IP Attrition'!AD$65)/12*'IP Attrition'!AD101,0)))</f>
        <v>0</v>
      </c>
      <c r="AF166" s="799">
        <f>IF(EOMONTH(Inputs!$C$8,'IP Attrition'!AF$134-1)&lt;=Inputs!$C$9,0,MIN(IF(ISERROR(VLOOKUP(AF$134+$F166,$D$135:$D$165,1,FALSE)),0,AE34*$C$2),MAX((IF(Monthly!AB$4=TRUE,Monthly!AB$13,Monthly!AB$14)*(1+'Attrition Modeling'!$N$8)-'IP Attrition'!AE$65)/12*'IP Attrition'!AE101,0)))</f>
        <v>0</v>
      </c>
      <c r="AG166" s="799">
        <f>IF(EOMONTH(Inputs!$C$8,'IP Attrition'!AG$134-1)&lt;=Inputs!$C$9,0,MIN(IF(ISERROR(VLOOKUP(AG$134+$F166,$D$135:$D$165,1,FALSE)),0,AF34*$C$2),MAX((IF(Monthly!AC$4=TRUE,Monthly!AC$13,Monthly!AC$14)*(1+'Attrition Modeling'!$N$8)-'IP Attrition'!AF$65)/12*'IP Attrition'!AF101,0)))</f>
        <v>0</v>
      </c>
      <c r="AH166" s="799">
        <f>IF(EOMONTH(Inputs!$C$8,'IP Attrition'!AH$134-1)&lt;=Inputs!$C$9,0,MIN(IF(ISERROR(VLOOKUP(AH$134+$F166,$D$135:$D$165,1,FALSE)),0,AG34*$C$2),MAX((IF(Monthly!AD$4=TRUE,Monthly!AD$13,Monthly!AD$14)*(1+'Attrition Modeling'!$N$8)-'IP Attrition'!AG$65)/12*'IP Attrition'!AG101,0)))</f>
        <v>0</v>
      </c>
      <c r="AI166" s="799">
        <f>IF(EOMONTH(Inputs!$C$8,'IP Attrition'!AI$134-1)&lt;=Inputs!$C$9,0,MIN(IF(ISERROR(VLOOKUP(AI$134+$F166,$D$135:$D$165,1,FALSE)),0,AH34*$C$2),MAX((IF(Monthly!AE$4=TRUE,Monthly!AE$13,Monthly!AE$14)*(1+'Attrition Modeling'!$N$8)-'IP Attrition'!AH$65)/12*'IP Attrition'!AH101,0)))</f>
        <v>0</v>
      </c>
      <c r="AJ166" s="799">
        <f>IF(EOMONTH(Inputs!$C$8,'IP Attrition'!AJ$134-1)&lt;=Inputs!$C$9,0,MIN(IF(ISERROR(VLOOKUP(AJ$134+$F166,$D$135:$D$165,1,FALSE)),0,AI34*$C$2),MAX((IF(Monthly!AF$4=TRUE,Monthly!AF$13,Monthly!AF$14)*(1+'Attrition Modeling'!$N$8)-'IP Attrition'!AI$65)/12*'IP Attrition'!AI101,0)))</f>
        <v>0</v>
      </c>
      <c r="AK166" s="799">
        <f>IF(EOMONTH(Inputs!$C$8,'IP Attrition'!AK$134-1)&lt;=Inputs!$C$9,0,MIN(IF(ISERROR(VLOOKUP(AK$134+$F166,$D$135:$D$165,1,FALSE)),0,AJ34*$C$2),MAX((IF(Monthly!AG$4=TRUE,Monthly!AG$13,Monthly!AG$14)*(1+'Attrition Modeling'!$N$8)-'IP Attrition'!AJ$65)/12*'IP Attrition'!AJ101,0)))</f>
        <v>0</v>
      </c>
      <c r="AL166" s="799">
        <f>IF(EOMONTH(Inputs!$C$8,'IP Attrition'!AL$134-1)&lt;=Inputs!$C$9,0,MIN(IF(ISERROR(VLOOKUP(AL$134+$F166,$D$135:$D$165,1,FALSE)),0,AK34*$C$2),MAX((IF(Monthly!AH$4=TRUE,Monthly!AH$13,Monthly!AH$14)*(1+'Attrition Modeling'!$N$8)-'IP Attrition'!AK$65)/12*'IP Attrition'!AK101,0)))</f>
        <v>0</v>
      </c>
      <c r="AM166" s="799">
        <f>IF(EOMONTH(Inputs!$C$8,'IP Attrition'!AM$134-1)&lt;=Inputs!$C$9,0,MIN(IF(ISERROR(VLOOKUP(AM$134+$F166,$D$135:$D$165,1,FALSE)),0,AL34*$C$2),MAX((IF(Monthly!AI$4=TRUE,Monthly!AI$13,Monthly!AI$14)*(1+'Attrition Modeling'!$N$8)-'IP Attrition'!AL$65)/12*'IP Attrition'!AL101,0)))</f>
        <v>0</v>
      </c>
      <c r="AN166" s="799">
        <f>IF(EOMONTH(Inputs!$C$8,'IP Attrition'!AN$134-1)&lt;=Inputs!$C$9,0,MIN(IF(ISERROR(VLOOKUP(AN$134+$F166,$D$135:$D$165,1,FALSE)),0,AM34*$C$2),MAX((IF(Monthly!AJ$4=TRUE,Monthly!AJ$13,Monthly!AJ$14)*(1+'Attrition Modeling'!$N$8)-'IP Attrition'!AM$65)/12*'IP Attrition'!AM101,0)))</f>
        <v>0</v>
      </c>
      <c r="AO166" s="799">
        <f>IF(EOMONTH(Inputs!$C$8,'IP Attrition'!AO$134-1)&lt;=Inputs!$C$9,0,MIN(IF(ISERROR(VLOOKUP(AO$134+$F166,$D$135:$D$165,1,FALSE)),0,AN34*$C$2),MAX((IF(Monthly!AK$4=TRUE,Monthly!AK$13,Monthly!AK$14)*(1+'Attrition Modeling'!$N$8)-'IP Attrition'!AN$65)/12*'IP Attrition'!AN101,0)))</f>
        <v>0</v>
      </c>
      <c r="AP166" s="799">
        <f>IF(EOMONTH(Inputs!$C$8,'IP Attrition'!AP$134-1)&lt;=Inputs!$C$9,0,MIN(IF(ISERROR(VLOOKUP(AP$134+$F166,$D$135:$D$165,1,FALSE)),0,AO34*$C$2),MAX((IF(Monthly!AL$4=TRUE,Monthly!AL$13,Monthly!AL$14)*(1+'Attrition Modeling'!$N$8)-'IP Attrition'!AO$65)/12*'IP Attrition'!AO101,0)))</f>
        <v>0</v>
      </c>
      <c r="AQ166" s="799">
        <f>IF(EOMONTH(Inputs!$C$8,'IP Attrition'!AQ$134-1)&lt;=Inputs!$C$9,0,MIN(IF(ISERROR(VLOOKUP(AQ$134+$F166,$D$135:$D$165,1,FALSE)),0,AP34*$C$2),MAX((IF(Monthly!AM$4=TRUE,Monthly!AM$13,Monthly!AM$14)*(1+'Attrition Modeling'!$N$8)-'IP Attrition'!AP$65)/12*'IP Attrition'!AP101,0)))</f>
        <v>0</v>
      </c>
      <c r="AR166" s="799">
        <f>IF(EOMONTH(Inputs!$C$8,'IP Attrition'!AR$134-1)&lt;=Inputs!$C$9,0,MIN(IF(ISERROR(VLOOKUP(AR$134+$F166,$D$135:$D$165,1,FALSE)),0,AQ34*$C$2),MAX((IF(Monthly!AN$4=TRUE,Monthly!AN$13,Monthly!AN$14)*(1+'Attrition Modeling'!$N$8)-'IP Attrition'!AQ$65)/12*'IP Attrition'!AQ101,0)))</f>
        <v>0</v>
      </c>
      <c r="AS166" s="799">
        <f>IF(EOMONTH(Inputs!$C$8,'IP Attrition'!AS$134-1)&lt;=Inputs!$C$9,0,MIN(IF(ISERROR(VLOOKUP(AS$134+$F166,$D$135:$D$165,1,FALSE)),0,AR34*$C$2),MAX((IF(Monthly!AO$4=TRUE,Monthly!AO$13,Monthly!AO$14)*(1+'Attrition Modeling'!$N$8)-'IP Attrition'!AR$65)/12*'IP Attrition'!AR101,0)))</f>
        <v>0</v>
      </c>
      <c r="AT166" s="799">
        <f>IF(EOMONTH(Inputs!$C$8,'IP Attrition'!AT$134-1)&lt;=Inputs!$C$9,0,MIN(IF(ISERROR(VLOOKUP(AT$134+$F166,$D$135:$D$165,1,FALSE)),0,AS34*$C$2),MAX((IF(Monthly!AP$4=TRUE,Monthly!AP$13,Monthly!AP$14)*(1+'Attrition Modeling'!$N$8)-'IP Attrition'!AS$65)/12*'IP Attrition'!AS101,0)))</f>
        <v>0</v>
      </c>
      <c r="AU166" s="799">
        <f>IF(EOMONTH(Inputs!$C$8,'IP Attrition'!AU$134-1)&lt;=Inputs!$C$9,0,MIN(IF(ISERROR(VLOOKUP(AU$134+$F166,$D$135:$D$165,1,FALSE)),0,AT34*$C$2),MAX((IF(Monthly!AQ$4=TRUE,Monthly!AQ$13,Monthly!AQ$14)*(1+'Attrition Modeling'!$N$8)-'IP Attrition'!AT$65)/12*'IP Attrition'!AT101,0)))</f>
        <v>0</v>
      </c>
      <c r="AV166" s="799">
        <f>IF(EOMONTH(Inputs!$C$8,'IP Attrition'!AV$134-1)&lt;=Inputs!$C$9,0,MIN(IF(ISERROR(VLOOKUP(AV$134+$F166,$D$135:$D$165,1,FALSE)),0,AU34*$C$2),MAX((IF(Monthly!AR$4=TRUE,Monthly!AR$13,Monthly!AR$14)*(1+'Attrition Modeling'!$N$8)-'IP Attrition'!AU$65)/12*'IP Attrition'!AU101,0)))</f>
        <v>0</v>
      </c>
      <c r="AW166" s="799">
        <f>IF(EOMONTH(Inputs!$C$8,'IP Attrition'!AW$134-1)&lt;=Inputs!$C$9,0,MIN(IF(ISERROR(VLOOKUP(AW$134+$F166,$D$135:$D$165,1,FALSE)),0,AV34*$C$2),MAX((IF(Monthly!AS$4=TRUE,Monthly!AS$13,Monthly!AS$14)*(1+'Attrition Modeling'!$N$8)-'IP Attrition'!AV$65)/12*'IP Attrition'!AV101,0)))</f>
        <v>0</v>
      </c>
      <c r="AX166" s="799">
        <f>IF(EOMONTH(Inputs!$C$8,'IP Attrition'!AX$134-1)&lt;=Inputs!$C$9,0,MIN(IF(ISERROR(VLOOKUP(AX$134+$F166,$D$135:$D$165,1,FALSE)),0,AW34*$C$2),MAX((IF(Monthly!AT$4=TRUE,Monthly!AT$13,Monthly!AT$14)*(1+'Attrition Modeling'!$N$8)-'IP Attrition'!AW$65)/12*'IP Attrition'!AW101,0)))</f>
        <v>0</v>
      </c>
      <c r="AY166" s="799">
        <f>IF(EOMONTH(Inputs!$C$8,'IP Attrition'!AY$134-1)&lt;=Inputs!$C$9,0,MIN(IF(ISERROR(VLOOKUP(AY$134+$F166,$D$135:$D$165,1,FALSE)),0,AX34*$C$2),MAX((IF(Monthly!AU$4=TRUE,Monthly!AU$13,Monthly!AU$14)*(1+'Attrition Modeling'!$N$8)-'IP Attrition'!AX$65)/12*'IP Attrition'!AX101,0)))</f>
        <v>0</v>
      </c>
      <c r="AZ166" s="799">
        <f>IF(EOMONTH(Inputs!$C$8,'IP Attrition'!AZ$134-1)&lt;=Inputs!$C$9,0,MIN(IF(ISERROR(VLOOKUP(AZ$134+$F166,$D$135:$D$165,1,FALSE)),0,AY34*$C$2),MAX((IF(Monthly!AV$4=TRUE,Monthly!AV$13,Monthly!AV$14)*(1+'Attrition Modeling'!$N$8)-'IP Attrition'!AY$65)/12*'IP Attrition'!AY101,0)))</f>
        <v>0</v>
      </c>
      <c r="BA166" s="799">
        <f>IF(EOMONTH(Inputs!$C$8,'IP Attrition'!BA$134-1)&lt;=Inputs!$C$9,0,MIN(IF(ISERROR(VLOOKUP(BA$134+$F166,$D$135:$D$165,1,FALSE)),0,AZ34*$C$2),MAX((IF(Monthly!AW$4=TRUE,Monthly!AW$13,Monthly!AW$14)*(1+'Attrition Modeling'!$N$8)-'IP Attrition'!AZ$65)/12*'IP Attrition'!AZ101,0)))</f>
        <v>0</v>
      </c>
      <c r="BB166" s="799">
        <f>IF(EOMONTH(Inputs!$C$8,'IP Attrition'!BB$134-1)&lt;=Inputs!$C$9,0,MIN(IF(ISERROR(VLOOKUP(BB$134+$F166,$D$135:$D$165,1,FALSE)),0,BA34*$C$2),MAX((IF(Monthly!AX$4=TRUE,Monthly!AX$13,Monthly!AX$14)*(1+'Attrition Modeling'!$N$8)-'IP Attrition'!BA$65)/12*'IP Attrition'!BA101,0)))</f>
        <v>0</v>
      </c>
      <c r="BC166" s="799">
        <f>IF(EOMONTH(Inputs!$C$8,'IP Attrition'!BC$134-1)&lt;=Inputs!$C$9,0,MIN(IF(ISERROR(VLOOKUP(BC$134+$F166,$D$135:$D$165,1,FALSE)),0,BB34*$C$2),MAX((IF(Monthly!AY$4=TRUE,Monthly!AY$13,Monthly!AY$14)*(1+'Attrition Modeling'!$N$8)-'IP Attrition'!BB$65)/12*'IP Attrition'!BB101,0)))</f>
        <v>0</v>
      </c>
      <c r="BD166" s="799">
        <f>IF(EOMONTH(Inputs!$C$8,'IP Attrition'!BD$134-1)&lt;=Inputs!$C$9,0,MIN(IF(ISERROR(VLOOKUP(BD$134+$F166,$D$135:$D$165,1,FALSE)),0,BC34*$C$2),MAX((IF(Monthly!AZ$4=TRUE,Monthly!AZ$13,Monthly!AZ$14)*(1+'Attrition Modeling'!$N$8)-'IP Attrition'!BC$65)/12*'IP Attrition'!BC101,0)))</f>
        <v>0</v>
      </c>
      <c r="BE166" s="799">
        <f>IF(EOMONTH(Inputs!$C$8,'IP Attrition'!BE$134-1)&lt;=Inputs!$C$9,0,MIN(IF(ISERROR(VLOOKUP(BE$134+$F166,$D$135:$D$165,1,FALSE)),0,BD34*$C$2),MAX((IF(Monthly!BA$4=TRUE,Monthly!BA$13,Monthly!BA$14)*(1+'Attrition Modeling'!$N$8)-'IP Attrition'!BD$65)/12*'IP Attrition'!BD101,0)))</f>
        <v>0</v>
      </c>
      <c r="BF166" s="799">
        <f>IF(EOMONTH(Inputs!$C$8,'IP Attrition'!BF$134-1)&lt;=Inputs!$C$9,0,MIN(IF(ISERROR(VLOOKUP(BF$134+$F166,$D$135:$D$165,1,FALSE)),0,BE34*$C$2),MAX((IF(Monthly!BB$4=TRUE,Monthly!BB$13,Monthly!BB$14)*(1+'Attrition Modeling'!$N$8)-'IP Attrition'!BE$65)/12*'IP Attrition'!BE101,0)))</f>
        <v>0</v>
      </c>
      <c r="BG166" s="799">
        <f>IF(EOMONTH(Inputs!$C$8,'IP Attrition'!BG$134-1)&lt;=Inputs!$C$9,0,MIN(IF(ISERROR(VLOOKUP(BG$134+$F166,$D$135:$D$165,1,FALSE)),0,BF34*$C$2),MAX((IF(Monthly!BC$4=TRUE,Monthly!BC$13,Monthly!BC$14)*(1+'Attrition Modeling'!$N$8)-'IP Attrition'!BF$65)/12*'IP Attrition'!BF101,0)))</f>
        <v>0</v>
      </c>
      <c r="BH166" s="799">
        <f>IF(EOMONTH(Inputs!$C$8,'IP Attrition'!BH$134-1)&lt;=Inputs!$C$9,0,MIN(IF(ISERROR(VLOOKUP(BH$134+$F166,$D$135:$D$165,1,FALSE)),0,BG34*$C$2),MAX((IF(Monthly!BD$4=TRUE,Monthly!BD$13,Monthly!BD$14)*(1+'Attrition Modeling'!$N$8)-'IP Attrition'!BG$65)/12*'IP Attrition'!BG101,0)))</f>
        <v>0</v>
      </c>
      <c r="BI166" s="799">
        <f>IF(EOMONTH(Inputs!$C$8,'IP Attrition'!BI$134-1)&lt;=Inputs!$C$9,0,MIN(IF(ISERROR(VLOOKUP(BI$134+$F166,$D$135:$D$165,1,FALSE)),0,BH34*$C$2),MAX((IF(Monthly!BE$4=TRUE,Monthly!BE$13,Monthly!BE$14)*(1+'Attrition Modeling'!$N$8)-'IP Attrition'!BH$65)/12*'IP Attrition'!BH101,0)))</f>
        <v>0</v>
      </c>
      <c r="BJ166" s="799">
        <f>IF(EOMONTH(Inputs!$C$8,'IP Attrition'!BJ$134-1)&lt;=Inputs!$C$9,0,MIN(IF(ISERROR(VLOOKUP(BJ$134+$F166,$D$135:$D$165,1,FALSE)),0,BI34*$C$2),MAX((IF(Monthly!BF$4=TRUE,Monthly!BF$13,Monthly!BF$14)*(1+'Attrition Modeling'!$N$8)-'IP Attrition'!BI$65)/12*'IP Attrition'!BI101,0)))</f>
        <v>0</v>
      </c>
      <c r="BK166" s="799">
        <f>IF(EOMONTH(Inputs!$C$8,'IP Attrition'!BK$134-1)&lt;=Inputs!$C$9,0,MIN(IF(ISERROR(VLOOKUP(BK$134+$F166,$D$135:$D$165,1,FALSE)),0,BJ34*$C$2),MAX((IF(Monthly!BG$4=TRUE,Monthly!BG$13,Monthly!BG$14)*(1+'Attrition Modeling'!$N$8)-'IP Attrition'!BJ$65)/12*'IP Attrition'!BJ101,0)))</f>
        <v>0</v>
      </c>
      <c r="BL166" s="799">
        <f>IF(EOMONTH(Inputs!$C$8,'IP Attrition'!BL$134-1)&lt;=Inputs!$C$9,0,MIN(IF(ISERROR(VLOOKUP(BL$134+$F166,$D$135:$D$165,1,FALSE)),0,BK34*$C$2),MAX((IF(Monthly!BH$4=TRUE,Monthly!BH$13,Monthly!BH$14)*(1+'Attrition Modeling'!$N$8)-'IP Attrition'!BK$65)/12*'IP Attrition'!BK101,0)))</f>
        <v>0</v>
      </c>
      <c r="BM166" s="799">
        <f>IF(EOMONTH(Inputs!$C$8,'IP Attrition'!BM$134-1)&lt;=Inputs!$C$9,0,MIN(IF(ISERROR(VLOOKUP(BM$134+$F166,$D$135:$D$165,1,FALSE)),0,BL34*$C$2),MAX((IF(Monthly!BI$4=TRUE,Monthly!BI$13,Monthly!BI$14)*(1+'Attrition Modeling'!$N$8)-'IP Attrition'!BL$65)/12*'IP Attrition'!BL101,0)))</f>
        <v>0</v>
      </c>
      <c r="BN166" s="799">
        <f>IF(EOMONTH(Inputs!$C$8,'IP Attrition'!BN$134-1)&lt;=Inputs!$C$9,0,MIN(IF(ISERROR(VLOOKUP(BN$134+$F166,$D$135:$D$165,1,FALSE)),0,BM34*$C$2),MAX((IF(Monthly!BJ$4=TRUE,Monthly!BJ$13,Monthly!BJ$14)*(1+'Attrition Modeling'!$N$8)-'IP Attrition'!BM$65)/12*'IP Attrition'!BM101,0)))</f>
        <v>0</v>
      </c>
      <c r="BO166" s="799">
        <f>IF(EOMONTH(Inputs!$C$8,'IP Attrition'!BO$134-1)&lt;=Inputs!$C$9,0,MIN(IF(ISERROR(VLOOKUP(BO$134+$F166,$D$135:$D$165,1,FALSE)),0,BN34*$C$2),MAX((IF(Monthly!BK$4=TRUE,Monthly!BK$13,Monthly!BK$14)*(1+'Attrition Modeling'!$N$8)-'IP Attrition'!BN$65)/12*'IP Attrition'!BN101,0)))</f>
        <v>0</v>
      </c>
      <c r="BP166" s="799">
        <f>IF(EOMONTH(Inputs!$C$8,'IP Attrition'!BP$134-1)&lt;=Inputs!$C$9,0,MIN(IF(ISERROR(VLOOKUP(BP$134+$F166,$D$135:$D$165,1,FALSE)),0,BO34*$C$2),MAX((IF(Monthly!BL$4=TRUE,Monthly!BL$13,Monthly!BL$14)*(1+'Attrition Modeling'!$N$8)-'IP Attrition'!BO$65)/12*'IP Attrition'!BO101,0)))</f>
        <v>0</v>
      </c>
      <c r="BQ166" s="799">
        <f>IF(EOMONTH(Inputs!$C$8,'IP Attrition'!BQ$134-1)&lt;=Inputs!$C$9,0,MIN(IF(ISERROR(VLOOKUP(BQ$134+$F166,$D$135:$D$165,1,FALSE)),0,BP34*$C$2),MAX((IF(Monthly!BM$4=TRUE,Monthly!BM$13,Monthly!BM$14)*(1+'Attrition Modeling'!$N$8)-'IP Attrition'!BP$65)/12*'IP Attrition'!BP101,0)))</f>
        <v>0</v>
      </c>
      <c r="BR166" s="799">
        <f>IF(EOMONTH(Inputs!$C$8,'IP Attrition'!BR$134-1)&lt;=Inputs!$C$9,0,MIN(IF(ISERROR(VLOOKUP(BR$134+$F166,$D$135:$D$165,1,FALSE)),0,BQ34*$C$2),MAX((IF(Monthly!BN$4=TRUE,Monthly!BN$13,Monthly!BN$14)*(1+'Attrition Modeling'!$N$8)-'IP Attrition'!BQ$65)/12*'IP Attrition'!BQ101,0)))</f>
        <v>0</v>
      </c>
      <c r="BS166" s="799">
        <f>IF(EOMONTH(Inputs!$C$8,'IP Attrition'!BS$134-1)&lt;=Inputs!$C$9,0,MIN(IF(ISERROR(VLOOKUP(BS$134+$F166,$D$135:$D$165,1,FALSE)),0,BR34*$C$2),MAX((IF(Monthly!BO$4=TRUE,Monthly!BO$13,Monthly!BO$14)*(1+'Attrition Modeling'!$N$8)-'IP Attrition'!BR$65)/12*'IP Attrition'!BR101,0)))</f>
        <v>0</v>
      </c>
      <c r="BT166" s="799" t="e">
        <f>IF(EOMONTH(Inputs!$C$8,'IP Attrition'!BT$134-1)&lt;=Inputs!$C$9,0,MIN(IF(ISERROR(VLOOKUP(BT$134+$F166,$D$135:$D$165,1,FALSE)),0,BS34*$C$2),MAX((IF(Monthly!#REF!=TRUE,Monthly!#REF!,Monthly!#REF!)*(1+'Attrition Modeling'!$N$8)-'IP Attrition'!BS$65)/12*'IP Attrition'!BS101,0)))</f>
        <v>#REF!</v>
      </c>
      <c r="BU166" s="799" t="e">
        <f>IF(EOMONTH(Inputs!$C$8,'IP Attrition'!BU$134-1)&lt;=Inputs!$C$9,0,MIN(IF(ISERROR(VLOOKUP(BU$134+$F166,$D$135:$D$165,1,FALSE)),0,BT34*$C$2),MAX((IF(Monthly!#REF!=TRUE,Monthly!#REF!,Monthly!#REF!)*(1+'Attrition Modeling'!$N$8)-'IP Attrition'!BT$65)/12*'IP Attrition'!BT101,0)))</f>
        <v>#REF!</v>
      </c>
    </row>
    <row r="167" spans="1:73" ht="14.25" customHeight="1" x14ac:dyDescent="0.2">
      <c r="E167" s="25">
        <f t="shared" si="71"/>
        <v>0</v>
      </c>
      <c r="F167" s="11">
        <f t="shared" si="73"/>
        <v>32</v>
      </c>
      <c r="G167" s="799"/>
      <c r="H167" s="799">
        <f>IF(EOMONTH(Inputs!$C$8,'IP Attrition'!H$134-1)&lt;=Inputs!$C$9,0,MIN(IF(ISERROR(VLOOKUP(H$134+$F167,$D$135:$D$165,1,FALSE)),0,G35*$C$2),MAX((IF(Monthly!D$4=TRUE,Monthly!D$13,Monthly!D$14)*(1+'Attrition Modeling'!$N$8)-'IP Attrition'!G$65)/12*'IP Attrition'!G102,0)))</f>
        <v>0</v>
      </c>
      <c r="I167" s="799">
        <f>IF(EOMONTH(Inputs!$C$8,'IP Attrition'!I$134-1)&lt;=Inputs!$C$9,0,MIN(IF(ISERROR(VLOOKUP(I$134+$F167,$D$135:$D$165,1,FALSE)),0,H35*$C$2),MAX((IF(Monthly!E$4=TRUE,Monthly!E$13,Monthly!E$14)*(1+'Attrition Modeling'!$N$8)-'IP Attrition'!H$65)/12*'IP Attrition'!H102,0)))</f>
        <v>0</v>
      </c>
      <c r="J167" s="799">
        <f>IF(EOMONTH(Inputs!$C$8,'IP Attrition'!J$134-1)&lt;=Inputs!$C$9,0,MIN(IF(ISERROR(VLOOKUP(J$134+$F167,$D$135:$D$165,1,FALSE)),0,I35*$C$2),MAX((IF(Monthly!F$4=TRUE,Monthly!F$13,Monthly!F$14)*(1+'Attrition Modeling'!$N$8)-'IP Attrition'!I$65)/12*'IP Attrition'!I102,0)))</f>
        <v>0</v>
      </c>
      <c r="K167" s="799">
        <f>IF(EOMONTH(Inputs!$C$8,'IP Attrition'!K$134-1)&lt;=Inputs!$C$9,0,MIN(IF(ISERROR(VLOOKUP(K$134+$F167,$D$135:$D$165,1,FALSE)),0,J35*$C$2),MAX((IF(Monthly!G$4=TRUE,Monthly!G$13,Monthly!G$14)*(1+'Attrition Modeling'!$N$8)-'IP Attrition'!J$65)/12*'IP Attrition'!J102,0)))</f>
        <v>0</v>
      </c>
      <c r="L167" s="799">
        <f>IF(EOMONTH(Inputs!$C$8,'IP Attrition'!L$134-1)&lt;=Inputs!$C$9,0,MIN(IF(ISERROR(VLOOKUP(L$134+$F167,$D$135:$D$165,1,FALSE)),0,K35*$C$2),MAX((IF(Monthly!H$4=TRUE,Monthly!H$13,Monthly!H$14)*(1+'Attrition Modeling'!$N$8)-'IP Attrition'!K$65)/12*'IP Attrition'!K102,0)))</f>
        <v>0</v>
      </c>
      <c r="M167" s="799">
        <f>IF(EOMONTH(Inputs!$C$8,'IP Attrition'!M$134-1)&lt;=Inputs!$C$9,0,MIN(IF(ISERROR(VLOOKUP(M$134+$F167,$D$135:$D$165,1,FALSE)),0,L35*$C$2),MAX((IF(Monthly!I$4=TRUE,Monthly!I$13,Monthly!I$14)*(1+'Attrition Modeling'!$N$8)-'IP Attrition'!L$65)/12*'IP Attrition'!L102,0)))</f>
        <v>0</v>
      </c>
      <c r="N167" s="799">
        <f>IF(EOMONTH(Inputs!$C$8,'IP Attrition'!N$134-1)&lt;=Inputs!$C$9,0,MIN(IF(ISERROR(VLOOKUP(N$134+$F167,$D$135:$D$165,1,FALSE)),0,M35*$C$2),MAX((IF(Monthly!J$4=TRUE,Monthly!J$13,Monthly!J$14)*(1+'Attrition Modeling'!$N$8)-'IP Attrition'!M$65)/12*'IP Attrition'!M102,0)))</f>
        <v>0</v>
      </c>
      <c r="O167" s="799">
        <f>IF(EOMONTH(Inputs!$C$8,'IP Attrition'!O$134-1)&lt;=Inputs!$C$9,0,MIN(IF(ISERROR(VLOOKUP(O$134+$F167,$D$135:$D$165,1,FALSE)),0,N35*$C$2),MAX((IF(Monthly!K$4=TRUE,Monthly!K$13,Monthly!K$14)*(1+'Attrition Modeling'!$N$8)-'IP Attrition'!N$65)/12*'IP Attrition'!N102,0)))</f>
        <v>0</v>
      </c>
      <c r="P167" s="799">
        <f>IF(EOMONTH(Inputs!$C$8,'IP Attrition'!P$134-1)&lt;=Inputs!$C$9,0,MIN(IF(ISERROR(VLOOKUP(P$134+$F167,$D$135:$D$165,1,FALSE)),0,O35*$C$2),MAX((IF(Monthly!L$4=TRUE,Monthly!L$13,Monthly!L$14)*(1+'Attrition Modeling'!$N$8)-'IP Attrition'!O$65)/12*'IP Attrition'!O102,0)))</f>
        <v>0</v>
      </c>
      <c r="Q167" s="799">
        <f>IF(EOMONTH(Inputs!$C$8,'IP Attrition'!Q$134-1)&lt;=Inputs!$C$9,0,MIN(IF(ISERROR(VLOOKUP(Q$134+$F167,$D$135:$D$165,1,FALSE)),0,P35*$C$2),MAX((IF(Monthly!M$4=TRUE,Monthly!M$13,Monthly!M$14)*(1+'Attrition Modeling'!$N$8)-'IP Attrition'!P$65)/12*'IP Attrition'!P102,0)))</f>
        <v>0</v>
      </c>
      <c r="R167" s="799">
        <f>IF(EOMONTH(Inputs!$C$8,'IP Attrition'!R$134-1)&lt;=Inputs!$C$9,0,MIN(IF(ISERROR(VLOOKUP(R$134+$F167,$D$135:$D$165,1,FALSE)),0,Q35*$C$2),MAX((IF(Monthly!N$4=TRUE,Monthly!N$13,Monthly!N$14)*(1+'Attrition Modeling'!$N$8)-'IP Attrition'!Q$65)/12*'IP Attrition'!Q102,0)))</f>
        <v>0</v>
      </c>
      <c r="S167" s="799">
        <f>IF(EOMONTH(Inputs!$C$8,'IP Attrition'!S$134-1)&lt;=Inputs!$C$9,0,MIN(IF(ISERROR(VLOOKUP(S$134+$F167,$D$135:$D$165,1,FALSE)),0,R35*$C$2),MAX((IF(Monthly!O$4=TRUE,Monthly!O$13,Monthly!O$14)*(1+'Attrition Modeling'!$N$8)-'IP Attrition'!R$65)/12*'IP Attrition'!R102,0)))</f>
        <v>0</v>
      </c>
      <c r="T167" s="799">
        <f>IF(EOMONTH(Inputs!$C$8,'IP Attrition'!T$134-1)&lt;=Inputs!$C$9,0,MIN(IF(ISERROR(VLOOKUP(T$134+$F167,$D$135:$D$165,1,FALSE)),0,S35*$C$2),MAX((IF(Monthly!P$4=TRUE,Monthly!P$13,Monthly!P$14)*(1+'Attrition Modeling'!$N$8)-'IP Attrition'!S$65)/12*'IP Attrition'!S102,0)))</f>
        <v>0</v>
      </c>
      <c r="U167" s="799">
        <f>IF(EOMONTH(Inputs!$C$8,'IP Attrition'!U$134-1)&lt;=Inputs!$C$9,0,MIN(IF(ISERROR(VLOOKUP(U$134+$F167,$D$135:$D$165,1,FALSE)),0,T35*$C$2),MAX((IF(Monthly!Q$4=TRUE,Monthly!Q$13,Monthly!Q$14)*(1+'Attrition Modeling'!$N$8)-'IP Attrition'!T$65)/12*'IP Attrition'!T102,0)))</f>
        <v>0</v>
      </c>
      <c r="V167" s="799">
        <f>IF(EOMONTH(Inputs!$C$8,'IP Attrition'!V$134-1)&lt;=Inputs!$C$9,0,MIN(IF(ISERROR(VLOOKUP(V$134+$F167,$D$135:$D$165,1,FALSE)),0,U35*$C$2),MAX((IF(Monthly!R$4=TRUE,Monthly!R$13,Monthly!R$14)*(1+'Attrition Modeling'!$N$8)-'IP Attrition'!U$65)/12*'IP Attrition'!U102,0)))</f>
        <v>0</v>
      </c>
      <c r="W167" s="799">
        <f>IF(EOMONTH(Inputs!$C$8,'IP Attrition'!W$134-1)&lt;=Inputs!$C$9,0,MIN(IF(ISERROR(VLOOKUP(W$134+$F167,$D$135:$D$165,1,FALSE)),0,V35*$C$2),MAX((IF(Monthly!S$4=TRUE,Monthly!S$13,Monthly!S$14)*(1+'Attrition Modeling'!$N$8)-'IP Attrition'!V$65)/12*'IP Attrition'!V102,0)))</f>
        <v>0</v>
      </c>
      <c r="X167" s="799">
        <f>IF(EOMONTH(Inputs!$C$8,'IP Attrition'!X$134-1)&lt;=Inputs!$C$9,0,MIN(IF(ISERROR(VLOOKUP(X$134+$F167,$D$135:$D$165,1,FALSE)),0,W35*$C$2),MAX((IF(Monthly!T$4=TRUE,Monthly!T$13,Monthly!T$14)*(1+'Attrition Modeling'!$N$8)-'IP Attrition'!W$65)/12*'IP Attrition'!W102,0)))</f>
        <v>0</v>
      </c>
      <c r="Y167" s="799">
        <f>IF(EOMONTH(Inputs!$C$8,'IP Attrition'!Y$134-1)&lt;=Inputs!$C$9,0,MIN(IF(ISERROR(VLOOKUP(Y$134+$F167,$D$135:$D$165,1,FALSE)),0,X35*$C$2),MAX((IF(Monthly!U$4=TRUE,Monthly!U$13,Monthly!U$14)*(1+'Attrition Modeling'!$N$8)-'IP Attrition'!X$65)/12*'IP Attrition'!X102,0)))</f>
        <v>0</v>
      </c>
      <c r="Z167" s="799">
        <f>IF(EOMONTH(Inputs!$C$8,'IP Attrition'!Z$134-1)&lt;=Inputs!$C$9,0,MIN(IF(ISERROR(VLOOKUP(Z$134+$F167,$D$135:$D$165,1,FALSE)),0,Y35*$C$2),MAX((IF(Monthly!V$4=TRUE,Monthly!V$13,Monthly!V$14)*(1+'Attrition Modeling'!$N$8)-'IP Attrition'!Y$65)/12*'IP Attrition'!Y102,0)))</f>
        <v>0</v>
      </c>
      <c r="AA167" s="799">
        <f>IF(EOMONTH(Inputs!$C$8,'IP Attrition'!AA$134-1)&lt;=Inputs!$C$9,0,MIN(IF(ISERROR(VLOOKUP(AA$134+$F167,$D$135:$D$165,1,FALSE)),0,Z35*$C$2),MAX((IF(Monthly!W$4=TRUE,Monthly!W$13,Monthly!W$14)*(1+'Attrition Modeling'!$N$8)-'IP Attrition'!Z$65)/12*'IP Attrition'!Z102,0)))</f>
        <v>0</v>
      </c>
      <c r="AB167" s="799">
        <f>IF(EOMONTH(Inputs!$C$8,'IP Attrition'!AB$134-1)&lt;=Inputs!$C$9,0,MIN(IF(ISERROR(VLOOKUP(AB$134+$F167,$D$135:$D$165,1,FALSE)),0,AA35*$C$2),MAX((IF(Monthly!X$4=TRUE,Monthly!X$13,Monthly!X$14)*(1+'Attrition Modeling'!$N$8)-'IP Attrition'!AA$65)/12*'IP Attrition'!AA102,0)))</f>
        <v>0</v>
      </c>
      <c r="AC167" s="799">
        <f>IF(EOMONTH(Inputs!$C$8,'IP Attrition'!AC$134-1)&lt;=Inputs!$C$9,0,MIN(IF(ISERROR(VLOOKUP(AC$134+$F167,$D$135:$D$165,1,FALSE)),0,AB35*$C$2),MAX((IF(Monthly!Y$4=TRUE,Monthly!Y$13,Monthly!Y$14)*(1+'Attrition Modeling'!$N$8)-'IP Attrition'!AB$65)/12*'IP Attrition'!AB102,0)))</f>
        <v>0</v>
      </c>
      <c r="AD167" s="799">
        <f>IF(EOMONTH(Inputs!$C$8,'IP Attrition'!AD$134-1)&lt;=Inputs!$C$9,0,MIN(IF(ISERROR(VLOOKUP(AD$134+$F167,$D$135:$D$165,1,FALSE)),0,AC35*$C$2),MAX((IF(Monthly!Z$4=TRUE,Monthly!Z$13,Monthly!Z$14)*(1+'Attrition Modeling'!$N$8)-'IP Attrition'!AC$65)/12*'IP Attrition'!AC102,0)))</f>
        <v>0</v>
      </c>
      <c r="AE167" s="799">
        <f>IF(EOMONTH(Inputs!$C$8,'IP Attrition'!AE$134-1)&lt;=Inputs!$C$9,0,MIN(IF(ISERROR(VLOOKUP(AE$134+$F167,$D$135:$D$165,1,FALSE)),0,AD35*$C$2),MAX((IF(Monthly!AA$4=TRUE,Monthly!AA$13,Monthly!AA$14)*(1+'Attrition Modeling'!$N$8)-'IP Attrition'!AD$65)/12*'IP Attrition'!AD102,0)))</f>
        <v>0</v>
      </c>
      <c r="AF167" s="799">
        <f>IF(EOMONTH(Inputs!$C$8,'IP Attrition'!AF$134-1)&lt;=Inputs!$C$9,0,MIN(IF(ISERROR(VLOOKUP(AF$134+$F167,$D$135:$D$165,1,FALSE)),0,AE35*$C$2),MAX((IF(Monthly!AB$4=TRUE,Monthly!AB$13,Monthly!AB$14)*(1+'Attrition Modeling'!$N$8)-'IP Attrition'!AE$65)/12*'IP Attrition'!AE102,0)))</f>
        <v>0</v>
      </c>
      <c r="AG167" s="799">
        <f>IF(EOMONTH(Inputs!$C$8,'IP Attrition'!AG$134-1)&lt;=Inputs!$C$9,0,MIN(IF(ISERROR(VLOOKUP(AG$134+$F167,$D$135:$D$165,1,FALSE)),0,AF35*$C$2),MAX((IF(Monthly!AC$4=TRUE,Monthly!AC$13,Monthly!AC$14)*(1+'Attrition Modeling'!$N$8)-'IP Attrition'!AF$65)/12*'IP Attrition'!AF102,0)))</f>
        <v>0</v>
      </c>
      <c r="AH167" s="799">
        <f>IF(EOMONTH(Inputs!$C$8,'IP Attrition'!AH$134-1)&lt;=Inputs!$C$9,0,MIN(IF(ISERROR(VLOOKUP(AH$134+$F167,$D$135:$D$165,1,FALSE)),0,AG35*$C$2),MAX((IF(Monthly!AD$4=TRUE,Monthly!AD$13,Monthly!AD$14)*(1+'Attrition Modeling'!$N$8)-'IP Attrition'!AG$65)/12*'IP Attrition'!AG102,0)))</f>
        <v>0</v>
      </c>
      <c r="AI167" s="799">
        <f>IF(EOMONTH(Inputs!$C$8,'IP Attrition'!AI$134-1)&lt;=Inputs!$C$9,0,MIN(IF(ISERROR(VLOOKUP(AI$134+$F167,$D$135:$D$165,1,FALSE)),0,AH35*$C$2),MAX((IF(Monthly!AE$4=TRUE,Monthly!AE$13,Monthly!AE$14)*(1+'Attrition Modeling'!$N$8)-'IP Attrition'!AH$65)/12*'IP Attrition'!AH102,0)))</f>
        <v>0</v>
      </c>
      <c r="AJ167" s="799">
        <f>IF(EOMONTH(Inputs!$C$8,'IP Attrition'!AJ$134-1)&lt;=Inputs!$C$9,0,MIN(IF(ISERROR(VLOOKUP(AJ$134+$F167,$D$135:$D$165,1,FALSE)),0,AI35*$C$2),MAX((IF(Monthly!AF$4=TRUE,Monthly!AF$13,Monthly!AF$14)*(1+'Attrition Modeling'!$N$8)-'IP Attrition'!AI$65)/12*'IP Attrition'!AI102,0)))</f>
        <v>0</v>
      </c>
      <c r="AK167" s="799">
        <f>IF(EOMONTH(Inputs!$C$8,'IP Attrition'!AK$134-1)&lt;=Inputs!$C$9,0,MIN(IF(ISERROR(VLOOKUP(AK$134+$F167,$D$135:$D$165,1,FALSE)),0,AJ35*$C$2),MAX((IF(Monthly!AG$4=TRUE,Monthly!AG$13,Monthly!AG$14)*(1+'Attrition Modeling'!$N$8)-'IP Attrition'!AJ$65)/12*'IP Attrition'!AJ102,0)))</f>
        <v>0</v>
      </c>
      <c r="AL167" s="799">
        <f>IF(EOMONTH(Inputs!$C$8,'IP Attrition'!AL$134-1)&lt;=Inputs!$C$9,0,MIN(IF(ISERROR(VLOOKUP(AL$134+$F167,$D$135:$D$165,1,FALSE)),0,AK35*$C$2),MAX((IF(Monthly!AH$4=TRUE,Monthly!AH$13,Monthly!AH$14)*(1+'Attrition Modeling'!$N$8)-'IP Attrition'!AK$65)/12*'IP Attrition'!AK102,0)))</f>
        <v>0</v>
      </c>
      <c r="AM167" s="799">
        <f>IF(EOMONTH(Inputs!$C$8,'IP Attrition'!AM$134-1)&lt;=Inputs!$C$9,0,MIN(IF(ISERROR(VLOOKUP(AM$134+$F167,$D$135:$D$165,1,FALSE)),0,AL35*$C$2),MAX((IF(Monthly!AI$4=TRUE,Monthly!AI$13,Monthly!AI$14)*(1+'Attrition Modeling'!$N$8)-'IP Attrition'!AL$65)/12*'IP Attrition'!AL102,0)))</f>
        <v>0</v>
      </c>
      <c r="AN167" s="799">
        <f>IF(EOMONTH(Inputs!$C$8,'IP Attrition'!AN$134-1)&lt;=Inputs!$C$9,0,MIN(IF(ISERROR(VLOOKUP(AN$134+$F167,$D$135:$D$165,1,FALSE)),0,AM35*$C$2),MAX((IF(Monthly!AJ$4=TRUE,Monthly!AJ$13,Monthly!AJ$14)*(1+'Attrition Modeling'!$N$8)-'IP Attrition'!AM$65)/12*'IP Attrition'!AM102,0)))</f>
        <v>0</v>
      </c>
      <c r="AO167" s="799">
        <f>IF(EOMONTH(Inputs!$C$8,'IP Attrition'!AO$134-1)&lt;=Inputs!$C$9,0,MIN(IF(ISERROR(VLOOKUP(AO$134+$F167,$D$135:$D$165,1,FALSE)),0,AN35*$C$2),MAX((IF(Monthly!AK$4=TRUE,Monthly!AK$13,Monthly!AK$14)*(1+'Attrition Modeling'!$N$8)-'IP Attrition'!AN$65)/12*'IP Attrition'!AN102,0)))</f>
        <v>0</v>
      </c>
      <c r="AP167" s="799">
        <f>IF(EOMONTH(Inputs!$C$8,'IP Attrition'!AP$134-1)&lt;=Inputs!$C$9,0,MIN(IF(ISERROR(VLOOKUP(AP$134+$F167,$D$135:$D$165,1,FALSE)),0,AO35*$C$2),MAX((IF(Monthly!AL$4=TRUE,Monthly!AL$13,Monthly!AL$14)*(1+'Attrition Modeling'!$N$8)-'IP Attrition'!AO$65)/12*'IP Attrition'!AO102,0)))</f>
        <v>0</v>
      </c>
      <c r="AQ167" s="799">
        <f>IF(EOMONTH(Inputs!$C$8,'IP Attrition'!AQ$134-1)&lt;=Inputs!$C$9,0,MIN(IF(ISERROR(VLOOKUP(AQ$134+$F167,$D$135:$D$165,1,FALSE)),0,AP35*$C$2),MAX((IF(Monthly!AM$4=TRUE,Monthly!AM$13,Monthly!AM$14)*(1+'Attrition Modeling'!$N$8)-'IP Attrition'!AP$65)/12*'IP Attrition'!AP102,0)))</f>
        <v>0</v>
      </c>
      <c r="AR167" s="799">
        <f>IF(EOMONTH(Inputs!$C$8,'IP Attrition'!AR$134-1)&lt;=Inputs!$C$9,0,MIN(IF(ISERROR(VLOOKUP(AR$134+$F167,$D$135:$D$165,1,FALSE)),0,AQ35*$C$2),MAX((IF(Monthly!AN$4=TRUE,Monthly!AN$13,Monthly!AN$14)*(1+'Attrition Modeling'!$N$8)-'IP Attrition'!AQ$65)/12*'IP Attrition'!AQ102,0)))</f>
        <v>0</v>
      </c>
      <c r="AS167" s="799">
        <f>IF(EOMONTH(Inputs!$C$8,'IP Attrition'!AS$134-1)&lt;=Inputs!$C$9,0,MIN(IF(ISERROR(VLOOKUP(AS$134+$F167,$D$135:$D$165,1,FALSE)),0,AR35*$C$2),MAX((IF(Monthly!AO$4=TRUE,Monthly!AO$13,Monthly!AO$14)*(1+'Attrition Modeling'!$N$8)-'IP Attrition'!AR$65)/12*'IP Attrition'!AR102,0)))</f>
        <v>0</v>
      </c>
      <c r="AT167" s="799">
        <f>IF(EOMONTH(Inputs!$C$8,'IP Attrition'!AT$134-1)&lt;=Inputs!$C$9,0,MIN(IF(ISERROR(VLOOKUP(AT$134+$F167,$D$135:$D$165,1,FALSE)),0,AS35*$C$2),MAX((IF(Monthly!AP$4=TRUE,Monthly!AP$13,Monthly!AP$14)*(1+'Attrition Modeling'!$N$8)-'IP Attrition'!AS$65)/12*'IP Attrition'!AS102,0)))</f>
        <v>0</v>
      </c>
      <c r="AU167" s="799">
        <f>IF(EOMONTH(Inputs!$C$8,'IP Attrition'!AU$134-1)&lt;=Inputs!$C$9,0,MIN(IF(ISERROR(VLOOKUP(AU$134+$F167,$D$135:$D$165,1,FALSE)),0,AT35*$C$2),MAX((IF(Monthly!AQ$4=TRUE,Monthly!AQ$13,Monthly!AQ$14)*(1+'Attrition Modeling'!$N$8)-'IP Attrition'!AT$65)/12*'IP Attrition'!AT102,0)))</f>
        <v>0</v>
      </c>
      <c r="AV167" s="799">
        <f>IF(EOMONTH(Inputs!$C$8,'IP Attrition'!AV$134-1)&lt;=Inputs!$C$9,0,MIN(IF(ISERROR(VLOOKUP(AV$134+$F167,$D$135:$D$165,1,FALSE)),0,AU35*$C$2),MAX((IF(Monthly!AR$4=TRUE,Monthly!AR$13,Monthly!AR$14)*(1+'Attrition Modeling'!$N$8)-'IP Attrition'!AU$65)/12*'IP Attrition'!AU102,0)))</f>
        <v>0</v>
      </c>
      <c r="AW167" s="799">
        <f>IF(EOMONTH(Inputs!$C$8,'IP Attrition'!AW$134-1)&lt;=Inputs!$C$9,0,MIN(IF(ISERROR(VLOOKUP(AW$134+$F167,$D$135:$D$165,1,FALSE)),0,AV35*$C$2),MAX((IF(Monthly!AS$4=TRUE,Monthly!AS$13,Monthly!AS$14)*(1+'Attrition Modeling'!$N$8)-'IP Attrition'!AV$65)/12*'IP Attrition'!AV102,0)))</f>
        <v>0</v>
      </c>
      <c r="AX167" s="799">
        <f>IF(EOMONTH(Inputs!$C$8,'IP Attrition'!AX$134-1)&lt;=Inputs!$C$9,0,MIN(IF(ISERROR(VLOOKUP(AX$134+$F167,$D$135:$D$165,1,FALSE)),0,AW35*$C$2),MAX((IF(Monthly!AT$4=TRUE,Monthly!AT$13,Monthly!AT$14)*(1+'Attrition Modeling'!$N$8)-'IP Attrition'!AW$65)/12*'IP Attrition'!AW102,0)))</f>
        <v>0</v>
      </c>
      <c r="AY167" s="799">
        <f>IF(EOMONTH(Inputs!$C$8,'IP Attrition'!AY$134-1)&lt;=Inputs!$C$9,0,MIN(IF(ISERROR(VLOOKUP(AY$134+$F167,$D$135:$D$165,1,FALSE)),0,AX35*$C$2),MAX((IF(Monthly!AU$4=TRUE,Monthly!AU$13,Monthly!AU$14)*(1+'Attrition Modeling'!$N$8)-'IP Attrition'!AX$65)/12*'IP Attrition'!AX102,0)))</f>
        <v>0</v>
      </c>
      <c r="AZ167" s="799">
        <f>IF(EOMONTH(Inputs!$C$8,'IP Attrition'!AZ$134-1)&lt;=Inputs!$C$9,0,MIN(IF(ISERROR(VLOOKUP(AZ$134+$F167,$D$135:$D$165,1,FALSE)),0,AY35*$C$2),MAX((IF(Monthly!AV$4=TRUE,Monthly!AV$13,Monthly!AV$14)*(1+'Attrition Modeling'!$N$8)-'IP Attrition'!AY$65)/12*'IP Attrition'!AY102,0)))</f>
        <v>0</v>
      </c>
      <c r="BA167" s="799">
        <f>IF(EOMONTH(Inputs!$C$8,'IP Attrition'!BA$134-1)&lt;=Inputs!$C$9,0,MIN(IF(ISERROR(VLOOKUP(BA$134+$F167,$D$135:$D$165,1,FALSE)),0,AZ35*$C$2),MAX((IF(Monthly!AW$4=TRUE,Monthly!AW$13,Monthly!AW$14)*(1+'Attrition Modeling'!$N$8)-'IP Attrition'!AZ$65)/12*'IP Attrition'!AZ102,0)))</f>
        <v>0</v>
      </c>
      <c r="BB167" s="799">
        <f>IF(EOMONTH(Inputs!$C$8,'IP Attrition'!BB$134-1)&lt;=Inputs!$C$9,0,MIN(IF(ISERROR(VLOOKUP(BB$134+$F167,$D$135:$D$165,1,FALSE)),0,BA35*$C$2),MAX((IF(Monthly!AX$4=TRUE,Monthly!AX$13,Monthly!AX$14)*(1+'Attrition Modeling'!$N$8)-'IP Attrition'!BA$65)/12*'IP Attrition'!BA102,0)))</f>
        <v>0</v>
      </c>
      <c r="BC167" s="799">
        <f>IF(EOMONTH(Inputs!$C$8,'IP Attrition'!BC$134-1)&lt;=Inputs!$C$9,0,MIN(IF(ISERROR(VLOOKUP(BC$134+$F167,$D$135:$D$165,1,FALSE)),0,BB35*$C$2),MAX((IF(Monthly!AY$4=TRUE,Monthly!AY$13,Monthly!AY$14)*(1+'Attrition Modeling'!$N$8)-'IP Attrition'!BB$65)/12*'IP Attrition'!BB102,0)))</f>
        <v>0</v>
      </c>
      <c r="BD167" s="799">
        <f>IF(EOMONTH(Inputs!$C$8,'IP Attrition'!BD$134-1)&lt;=Inputs!$C$9,0,MIN(IF(ISERROR(VLOOKUP(BD$134+$F167,$D$135:$D$165,1,FALSE)),0,BC35*$C$2),MAX((IF(Monthly!AZ$4=TRUE,Monthly!AZ$13,Monthly!AZ$14)*(1+'Attrition Modeling'!$N$8)-'IP Attrition'!BC$65)/12*'IP Attrition'!BC102,0)))</f>
        <v>0</v>
      </c>
      <c r="BE167" s="799">
        <f>IF(EOMONTH(Inputs!$C$8,'IP Attrition'!BE$134-1)&lt;=Inputs!$C$9,0,MIN(IF(ISERROR(VLOOKUP(BE$134+$F167,$D$135:$D$165,1,FALSE)),0,BD35*$C$2),MAX((IF(Monthly!BA$4=TRUE,Monthly!BA$13,Monthly!BA$14)*(1+'Attrition Modeling'!$N$8)-'IP Attrition'!BD$65)/12*'IP Attrition'!BD102,0)))</f>
        <v>0</v>
      </c>
      <c r="BF167" s="799">
        <f>IF(EOMONTH(Inputs!$C$8,'IP Attrition'!BF$134-1)&lt;=Inputs!$C$9,0,MIN(IF(ISERROR(VLOOKUP(BF$134+$F167,$D$135:$D$165,1,FALSE)),0,BE35*$C$2),MAX((IF(Monthly!BB$4=TRUE,Monthly!BB$13,Monthly!BB$14)*(1+'Attrition Modeling'!$N$8)-'IP Attrition'!BE$65)/12*'IP Attrition'!BE102,0)))</f>
        <v>0</v>
      </c>
      <c r="BG167" s="799">
        <f>IF(EOMONTH(Inputs!$C$8,'IP Attrition'!BG$134-1)&lt;=Inputs!$C$9,0,MIN(IF(ISERROR(VLOOKUP(BG$134+$F167,$D$135:$D$165,1,FALSE)),0,BF35*$C$2),MAX((IF(Monthly!BC$4=TRUE,Monthly!BC$13,Monthly!BC$14)*(1+'Attrition Modeling'!$N$8)-'IP Attrition'!BF$65)/12*'IP Attrition'!BF102,0)))</f>
        <v>0</v>
      </c>
      <c r="BH167" s="799">
        <f>IF(EOMONTH(Inputs!$C$8,'IP Attrition'!BH$134-1)&lt;=Inputs!$C$9,0,MIN(IF(ISERROR(VLOOKUP(BH$134+$F167,$D$135:$D$165,1,FALSE)),0,BG35*$C$2),MAX((IF(Monthly!BD$4=TRUE,Monthly!BD$13,Monthly!BD$14)*(1+'Attrition Modeling'!$N$8)-'IP Attrition'!BG$65)/12*'IP Attrition'!BG102,0)))</f>
        <v>0</v>
      </c>
      <c r="BI167" s="799">
        <f>IF(EOMONTH(Inputs!$C$8,'IP Attrition'!BI$134-1)&lt;=Inputs!$C$9,0,MIN(IF(ISERROR(VLOOKUP(BI$134+$F167,$D$135:$D$165,1,FALSE)),0,BH35*$C$2),MAX((IF(Monthly!BE$4=TRUE,Monthly!BE$13,Monthly!BE$14)*(1+'Attrition Modeling'!$N$8)-'IP Attrition'!BH$65)/12*'IP Attrition'!BH102,0)))</f>
        <v>0</v>
      </c>
      <c r="BJ167" s="799">
        <f>IF(EOMONTH(Inputs!$C$8,'IP Attrition'!BJ$134-1)&lt;=Inputs!$C$9,0,MIN(IF(ISERROR(VLOOKUP(BJ$134+$F167,$D$135:$D$165,1,FALSE)),0,BI35*$C$2),MAX((IF(Monthly!BF$4=TRUE,Monthly!BF$13,Monthly!BF$14)*(1+'Attrition Modeling'!$N$8)-'IP Attrition'!BI$65)/12*'IP Attrition'!BI102,0)))</f>
        <v>0</v>
      </c>
      <c r="BK167" s="799">
        <f>IF(EOMONTH(Inputs!$C$8,'IP Attrition'!BK$134-1)&lt;=Inputs!$C$9,0,MIN(IF(ISERROR(VLOOKUP(BK$134+$F167,$D$135:$D$165,1,FALSE)),0,BJ35*$C$2),MAX((IF(Monthly!BG$4=TRUE,Monthly!BG$13,Monthly!BG$14)*(1+'Attrition Modeling'!$N$8)-'IP Attrition'!BJ$65)/12*'IP Attrition'!BJ102,0)))</f>
        <v>0</v>
      </c>
      <c r="BL167" s="799">
        <f>IF(EOMONTH(Inputs!$C$8,'IP Attrition'!BL$134-1)&lt;=Inputs!$C$9,0,MIN(IF(ISERROR(VLOOKUP(BL$134+$F167,$D$135:$D$165,1,FALSE)),0,BK35*$C$2),MAX((IF(Monthly!BH$4=TRUE,Monthly!BH$13,Monthly!BH$14)*(1+'Attrition Modeling'!$N$8)-'IP Attrition'!BK$65)/12*'IP Attrition'!BK102,0)))</f>
        <v>0</v>
      </c>
      <c r="BM167" s="799">
        <f>IF(EOMONTH(Inputs!$C$8,'IP Attrition'!BM$134-1)&lt;=Inputs!$C$9,0,MIN(IF(ISERROR(VLOOKUP(BM$134+$F167,$D$135:$D$165,1,FALSE)),0,BL35*$C$2),MAX((IF(Monthly!BI$4=TRUE,Monthly!BI$13,Monthly!BI$14)*(1+'Attrition Modeling'!$N$8)-'IP Attrition'!BL$65)/12*'IP Attrition'!BL102,0)))</f>
        <v>0</v>
      </c>
      <c r="BN167" s="799">
        <f>IF(EOMONTH(Inputs!$C$8,'IP Attrition'!BN$134-1)&lt;=Inputs!$C$9,0,MIN(IF(ISERROR(VLOOKUP(BN$134+$F167,$D$135:$D$165,1,FALSE)),0,BM35*$C$2),MAX((IF(Monthly!BJ$4=TRUE,Monthly!BJ$13,Monthly!BJ$14)*(1+'Attrition Modeling'!$N$8)-'IP Attrition'!BM$65)/12*'IP Attrition'!BM102,0)))</f>
        <v>0</v>
      </c>
      <c r="BO167" s="799">
        <f>IF(EOMONTH(Inputs!$C$8,'IP Attrition'!BO$134-1)&lt;=Inputs!$C$9,0,MIN(IF(ISERROR(VLOOKUP(BO$134+$F167,$D$135:$D$165,1,FALSE)),0,BN35*$C$2),MAX((IF(Monthly!BK$4=TRUE,Monthly!BK$13,Monthly!BK$14)*(1+'Attrition Modeling'!$N$8)-'IP Attrition'!BN$65)/12*'IP Attrition'!BN102,0)))</f>
        <v>0</v>
      </c>
      <c r="BP167" s="799">
        <f>IF(EOMONTH(Inputs!$C$8,'IP Attrition'!BP$134-1)&lt;=Inputs!$C$9,0,MIN(IF(ISERROR(VLOOKUP(BP$134+$F167,$D$135:$D$165,1,FALSE)),0,BO35*$C$2),MAX((IF(Monthly!BL$4=TRUE,Monthly!BL$13,Monthly!BL$14)*(1+'Attrition Modeling'!$N$8)-'IP Attrition'!BO$65)/12*'IP Attrition'!BO102,0)))</f>
        <v>0</v>
      </c>
      <c r="BQ167" s="799">
        <f>IF(EOMONTH(Inputs!$C$8,'IP Attrition'!BQ$134-1)&lt;=Inputs!$C$9,0,MIN(IF(ISERROR(VLOOKUP(BQ$134+$F167,$D$135:$D$165,1,FALSE)),0,BP35*$C$2),MAX((IF(Monthly!BM$4=TRUE,Monthly!BM$13,Monthly!BM$14)*(1+'Attrition Modeling'!$N$8)-'IP Attrition'!BP$65)/12*'IP Attrition'!BP102,0)))</f>
        <v>0</v>
      </c>
      <c r="BR167" s="799">
        <f>IF(EOMONTH(Inputs!$C$8,'IP Attrition'!BR$134-1)&lt;=Inputs!$C$9,0,MIN(IF(ISERROR(VLOOKUP(BR$134+$F167,$D$135:$D$165,1,FALSE)),0,BQ35*$C$2),MAX((IF(Monthly!BN$4=TRUE,Monthly!BN$13,Monthly!BN$14)*(1+'Attrition Modeling'!$N$8)-'IP Attrition'!BQ$65)/12*'IP Attrition'!BQ102,0)))</f>
        <v>0</v>
      </c>
      <c r="BS167" s="799">
        <f>IF(EOMONTH(Inputs!$C$8,'IP Attrition'!BS$134-1)&lt;=Inputs!$C$9,0,MIN(IF(ISERROR(VLOOKUP(BS$134+$F167,$D$135:$D$165,1,FALSE)),0,BR35*$C$2),MAX((IF(Monthly!BO$4=TRUE,Monthly!BO$13,Monthly!BO$14)*(1+'Attrition Modeling'!$N$8)-'IP Attrition'!BR$65)/12*'IP Attrition'!BR102,0)))</f>
        <v>0</v>
      </c>
      <c r="BT167" s="799" t="e">
        <f>IF(EOMONTH(Inputs!$C$8,'IP Attrition'!BT$134-1)&lt;=Inputs!$C$9,0,MIN(IF(ISERROR(VLOOKUP(BT$134+$F167,$D$135:$D$165,1,FALSE)),0,BS35*$C$2),MAX((IF(Monthly!#REF!=TRUE,Monthly!#REF!,Monthly!#REF!)*(1+'Attrition Modeling'!$N$8)-'IP Attrition'!BS$65)/12*'IP Attrition'!BS102,0)))</f>
        <v>#REF!</v>
      </c>
      <c r="BU167" s="799" t="e">
        <f>IF(EOMONTH(Inputs!$C$8,'IP Attrition'!BU$134-1)&lt;=Inputs!$C$9,0,MIN(IF(ISERROR(VLOOKUP(BU$134+$F167,$D$135:$D$165,1,FALSE)),0,BT35*$C$2),MAX((IF(Monthly!#REF!=TRUE,Monthly!#REF!,Monthly!#REF!)*(1+'Attrition Modeling'!$N$8)-'IP Attrition'!BT$65)/12*'IP Attrition'!BT102,0)))</f>
        <v>#REF!</v>
      </c>
    </row>
    <row r="168" spans="1:73" ht="14.25" customHeight="1" x14ac:dyDescent="0.2">
      <c r="E168" s="25">
        <f t="shared" si="71"/>
        <v>0</v>
      </c>
      <c r="F168" s="11">
        <f t="shared" si="73"/>
        <v>33</v>
      </c>
      <c r="G168" s="799"/>
      <c r="H168" s="799">
        <f>IF(EOMONTH(Inputs!$C$8,'IP Attrition'!H$134-1)&lt;=Inputs!$C$9,0,MIN(IF(ISERROR(VLOOKUP(H$134+$F168,$D$135:$D$165,1,FALSE)),0,G36*$C$2),MAX((IF(Monthly!D$4=TRUE,Monthly!D$13,Monthly!D$14)*(1+'Attrition Modeling'!$N$8)-'IP Attrition'!G$65)/12*'IP Attrition'!G103,0)))</f>
        <v>0</v>
      </c>
      <c r="I168" s="799">
        <f>IF(EOMONTH(Inputs!$C$8,'IP Attrition'!I$134-1)&lt;=Inputs!$C$9,0,MIN(IF(ISERROR(VLOOKUP(I$134+$F168,$D$135:$D$165,1,FALSE)),0,H36*$C$2),MAX((IF(Monthly!E$4=TRUE,Monthly!E$13,Monthly!E$14)*(1+'Attrition Modeling'!$N$8)-'IP Attrition'!H$65)/12*'IP Attrition'!H103,0)))</f>
        <v>0</v>
      </c>
      <c r="J168" s="799">
        <f>IF(EOMONTH(Inputs!$C$8,'IP Attrition'!J$134-1)&lt;=Inputs!$C$9,0,MIN(IF(ISERROR(VLOOKUP(J$134+$F168,$D$135:$D$165,1,FALSE)),0,I36*$C$2),MAX((IF(Monthly!F$4=TRUE,Monthly!F$13,Monthly!F$14)*(1+'Attrition Modeling'!$N$8)-'IP Attrition'!I$65)/12*'IP Attrition'!I103,0)))</f>
        <v>0</v>
      </c>
      <c r="K168" s="799">
        <f>IF(EOMONTH(Inputs!$C$8,'IP Attrition'!K$134-1)&lt;=Inputs!$C$9,0,MIN(IF(ISERROR(VLOOKUP(K$134+$F168,$D$135:$D$165,1,FALSE)),0,J36*$C$2),MAX((IF(Monthly!G$4=TRUE,Monthly!G$13,Monthly!G$14)*(1+'Attrition Modeling'!$N$8)-'IP Attrition'!J$65)/12*'IP Attrition'!J103,0)))</f>
        <v>0</v>
      </c>
      <c r="L168" s="799">
        <f>IF(EOMONTH(Inputs!$C$8,'IP Attrition'!L$134-1)&lt;=Inputs!$C$9,0,MIN(IF(ISERROR(VLOOKUP(L$134+$F168,$D$135:$D$165,1,FALSE)),0,K36*$C$2),MAX((IF(Monthly!H$4=TRUE,Monthly!H$13,Monthly!H$14)*(1+'Attrition Modeling'!$N$8)-'IP Attrition'!K$65)/12*'IP Attrition'!K103,0)))</f>
        <v>0</v>
      </c>
      <c r="M168" s="799">
        <f>IF(EOMONTH(Inputs!$C$8,'IP Attrition'!M$134-1)&lt;=Inputs!$C$9,0,MIN(IF(ISERROR(VLOOKUP(M$134+$F168,$D$135:$D$165,1,FALSE)),0,L36*$C$2),MAX((IF(Monthly!I$4=TRUE,Monthly!I$13,Monthly!I$14)*(1+'Attrition Modeling'!$N$8)-'IP Attrition'!L$65)/12*'IP Attrition'!L103,0)))</f>
        <v>0</v>
      </c>
      <c r="N168" s="799">
        <f>IF(EOMONTH(Inputs!$C$8,'IP Attrition'!N$134-1)&lt;=Inputs!$C$9,0,MIN(IF(ISERROR(VLOOKUP(N$134+$F168,$D$135:$D$165,1,FALSE)),0,M36*$C$2),MAX((IF(Monthly!J$4=TRUE,Monthly!J$13,Monthly!J$14)*(1+'Attrition Modeling'!$N$8)-'IP Attrition'!M$65)/12*'IP Attrition'!M103,0)))</f>
        <v>0</v>
      </c>
      <c r="O168" s="799">
        <f>IF(EOMONTH(Inputs!$C$8,'IP Attrition'!O$134-1)&lt;=Inputs!$C$9,0,MIN(IF(ISERROR(VLOOKUP(O$134+$F168,$D$135:$D$165,1,FALSE)),0,N36*$C$2),MAX((IF(Monthly!K$4=TRUE,Monthly!K$13,Monthly!K$14)*(1+'Attrition Modeling'!$N$8)-'IP Attrition'!N$65)/12*'IP Attrition'!N103,0)))</f>
        <v>0</v>
      </c>
      <c r="P168" s="799">
        <f>IF(EOMONTH(Inputs!$C$8,'IP Attrition'!P$134-1)&lt;=Inputs!$C$9,0,MIN(IF(ISERROR(VLOOKUP(P$134+$F168,$D$135:$D$165,1,FALSE)),0,O36*$C$2),MAX((IF(Monthly!L$4=TRUE,Monthly!L$13,Monthly!L$14)*(1+'Attrition Modeling'!$N$8)-'IP Attrition'!O$65)/12*'IP Attrition'!O103,0)))</f>
        <v>0</v>
      </c>
      <c r="Q168" s="799">
        <f>IF(EOMONTH(Inputs!$C$8,'IP Attrition'!Q$134-1)&lt;=Inputs!$C$9,0,MIN(IF(ISERROR(VLOOKUP(Q$134+$F168,$D$135:$D$165,1,FALSE)),0,P36*$C$2),MAX((IF(Monthly!M$4=TRUE,Monthly!M$13,Monthly!M$14)*(1+'Attrition Modeling'!$N$8)-'IP Attrition'!P$65)/12*'IP Attrition'!P103,0)))</f>
        <v>0</v>
      </c>
      <c r="R168" s="799">
        <f>IF(EOMONTH(Inputs!$C$8,'IP Attrition'!R$134-1)&lt;=Inputs!$C$9,0,MIN(IF(ISERROR(VLOOKUP(R$134+$F168,$D$135:$D$165,1,FALSE)),0,Q36*$C$2),MAX((IF(Monthly!N$4=TRUE,Monthly!N$13,Monthly!N$14)*(1+'Attrition Modeling'!$N$8)-'IP Attrition'!Q$65)/12*'IP Attrition'!Q103,0)))</f>
        <v>0</v>
      </c>
      <c r="S168" s="799">
        <f>IF(EOMONTH(Inputs!$C$8,'IP Attrition'!S$134-1)&lt;=Inputs!$C$9,0,MIN(IF(ISERROR(VLOOKUP(S$134+$F168,$D$135:$D$165,1,FALSE)),0,R36*$C$2),MAX((IF(Monthly!O$4=TRUE,Monthly!O$13,Monthly!O$14)*(1+'Attrition Modeling'!$N$8)-'IP Attrition'!R$65)/12*'IP Attrition'!R103,0)))</f>
        <v>0</v>
      </c>
      <c r="T168" s="799">
        <f>IF(EOMONTH(Inputs!$C$8,'IP Attrition'!T$134-1)&lt;=Inputs!$C$9,0,MIN(IF(ISERROR(VLOOKUP(T$134+$F168,$D$135:$D$165,1,FALSE)),0,S36*$C$2),MAX((IF(Monthly!P$4=TRUE,Monthly!P$13,Monthly!P$14)*(1+'Attrition Modeling'!$N$8)-'IP Attrition'!S$65)/12*'IP Attrition'!S103,0)))</f>
        <v>0</v>
      </c>
      <c r="U168" s="799">
        <f>IF(EOMONTH(Inputs!$C$8,'IP Attrition'!U$134-1)&lt;=Inputs!$C$9,0,MIN(IF(ISERROR(VLOOKUP(U$134+$F168,$D$135:$D$165,1,FALSE)),0,T36*$C$2),MAX((IF(Monthly!Q$4=TRUE,Monthly!Q$13,Monthly!Q$14)*(1+'Attrition Modeling'!$N$8)-'IP Attrition'!T$65)/12*'IP Attrition'!T103,0)))</f>
        <v>0</v>
      </c>
      <c r="V168" s="799">
        <f>IF(EOMONTH(Inputs!$C$8,'IP Attrition'!V$134-1)&lt;=Inputs!$C$9,0,MIN(IF(ISERROR(VLOOKUP(V$134+$F168,$D$135:$D$165,1,FALSE)),0,U36*$C$2),MAX((IF(Monthly!R$4=TRUE,Monthly!R$13,Monthly!R$14)*(1+'Attrition Modeling'!$N$8)-'IP Attrition'!U$65)/12*'IP Attrition'!U103,0)))</f>
        <v>0</v>
      </c>
      <c r="W168" s="799">
        <f>IF(EOMONTH(Inputs!$C$8,'IP Attrition'!W$134-1)&lt;=Inputs!$C$9,0,MIN(IF(ISERROR(VLOOKUP(W$134+$F168,$D$135:$D$165,1,FALSE)),0,V36*$C$2),MAX((IF(Monthly!S$4=TRUE,Monthly!S$13,Monthly!S$14)*(1+'Attrition Modeling'!$N$8)-'IP Attrition'!V$65)/12*'IP Attrition'!V103,0)))</f>
        <v>0</v>
      </c>
      <c r="X168" s="799">
        <f>IF(EOMONTH(Inputs!$C$8,'IP Attrition'!X$134-1)&lt;=Inputs!$C$9,0,MIN(IF(ISERROR(VLOOKUP(X$134+$F168,$D$135:$D$165,1,FALSE)),0,W36*$C$2),MAX((IF(Monthly!T$4=TRUE,Monthly!T$13,Monthly!T$14)*(1+'Attrition Modeling'!$N$8)-'IP Attrition'!W$65)/12*'IP Attrition'!W103,0)))</f>
        <v>0</v>
      </c>
      <c r="Y168" s="799">
        <f>IF(EOMONTH(Inputs!$C$8,'IP Attrition'!Y$134-1)&lt;=Inputs!$C$9,0,MIN(IF(ISERROR(VLOOKUP(Y$134+$F168,$D$135:$D$165,1,FALSE)),0,X36*$C$2),MAX((IF(Monthly!U$4=TRUE,Monthly!U$13,Monthly!U$14)*(1+'Attrition Modeling'!$N$8)-'IP Attrition'!X$65)/12*'IP Attrition'!X103,0)))</f>
        <v>0</v>
      </c>
      <c r="Z168" s="799">
        <f>IF(EOMONTH(Inputs!$C$8,'IP Attrition'!Z$134-1)&lt;=Inputs!$C$9,0,MIN(IF(ISERROR(VLOOKUP(Z$134+$F168,$D$135:$D$165,1,FALSE)),0,Y36*$C$2),MAX((IF(Monthly!V$4=TRUE,Monthly!V$13,Monthly!V$14)*(1+'Attrition Modeling'!$N$8)-'IP Attrition'!Y$65)/12*'IP Attrition'!Y103,0)))</f>
        <v>0</v>
      </c>
      <c r="AA168" s="799">
        <f>IF(EOMONTH(Inputs!$C$8,'IP Attrition'!AA$134-1)&lt;=Inputs!$C$9,0,MIN(IF(ISERROR(VLOOKUP(AA$134+$F168,$D$135:$D$165,1,FALSE)),0,Z36*$C$2),MAX((IF(Monthly!W$4=TRUE,Monthly!W$13,Monthly!W$14)*(1+'Attrition Modeling'!$N$8)-'IP Attrition'!Z$65)/12*'IP Attrition'!Z103,0)))</f>
        <v>0</v>
      </c>
      <c r="AB168" s="799">
        <f>IF(EOMONTH(Inputs!$C$8,'IP Attrition'!AB$134-1)&lt;=Inputs!$C$9,0,MIN(IF(ISERROR(VLOOKUP(AB$134+$F168,$D$135:$D$165,1,FALSE)),0,AA36*$C$2),MAX((IF(Monthly!X$4=TRUE,Monthly!X$13,Monthly!X$14)*(1+'Attrition Modeling'!$N$8)-'IP Attrition'!AA$65)/12*'IP Attrition'!AA103,0)))</f>
        <v>0</v>
      </c>
      <c r="AC168" s="799">
        <f>IF(EOMONTH(Inputs!$C$8,'IP Attrition'!AC$134-1)&lt;=Inputs!$C$9,0,MIN(IF(ISERROR(VLOOKUP(AC$134+$F168,$D$135:$D$165,1,FALSE)),0,AB36*$C$2),MAX((IF(Monthly!Y$4=TRUE,Monthly!Y$13,Monthly!Y$14)*(1+'Attrition Modeling'!$N$8)-'IP Attrition'!AB$65)/12*'IP Attrition'!AB103,0)))</f>
        <v>0</v>
      </c>
      <c r="AD168" s="799">
        <f>IF(EOMONTH(Inputs!$C$8,'IP Attrition'!AD$134-1)&lt;=Inputs!$C$9,0,MIN(IF(ISERROR(VLOOKUP(AD$134+$F168,$D$135:$D$165,1,FALSE)),0,AC36*$C$2),MAX((IF(Monthly!Z$4=TRUE,Monthly!Z$13,Monthly!Z$14)*(1+'Attrition Modeling'!$N$8)-'IP Attrition'!AC$65)/12*'IP Attrition'!AC103,0)))</f>
        <v>0</v>
      </c>
      <c r="AE168" s="799">
        <f>IF(EOMONTH(Inputs!$C$8,'IP Attrition'!AE$134-1)&lt;=Inputs!$C$9,0,MIN(IF(ISERROR(VLOOKUP(AE$134+$F168,$D$135:$D$165,1,FALSE)),0,AD36*$C$2),MAX((IF(Monthly!AA$4=TRUE,Monthly!AA$13,Monthly!AA$14)*(1+'Attrition Modeling'!$N$8)-'IP Attrition'!AD$65)/12*'IP Attrition'!AD103,0)))</f>
        <v>0</v>
      </c>
      <c r="AF168" s="799">
        <f>IF(EOMONTH(Inputs!$C$8,'IP Attrition'!AF$134-1)&lt;=Inputs!$C$9,0,MIN(IF(ISERROR(VLOOKUP(AF$134+$F168,$D$135:$D$165,1,FALSE)),0,AE36*$C$2),MAX((IF(Monthly!AB$4=TRUE,Monthly!AB$13,Monthly!AB$14)*(1+'Attrition Modeling'!$N$8)-'IP Attrition'!AE$65)/12*'IP Attrition'!AE103,0)))</f>
        <v>0</v>
      </c>
      <c r="AG168" s="799">
        <f>IF(EOMONTH(Inputs!$C$8,'IP Attrition'!AG$134-1)&lt;=Inputs!$C$9,0,MIN(IF(ISERROR(VLOOKUP(AG$134+$F168,$D$135:$D$165,1,FALSE)),0,AF36*$C$2),MAX((IF(Monthly!AC$4=TRUE,Monthly!AC$13,Monthly!AC$14)*(1+'Attrition Modeling'!$N$8)-'IP Attrition'!AF$65)/12*'IP Attrition'!AF103,0)))</f>
        <v>0</v>
      </c>
      <c r="AH168" s="799">
        <f>IF(EOMONTH(Inputs!$C$8,'IP Attrition'!AH$134-1)&lt;=Inputs!$C$9,0,MIN(IF(ISERROR(VLOOKUP(AH$134+$F168,$D$135:$D$165,1,FALSE)),0,AG36*$C$2),MAX((IF(Monthly!AD$4=TRUE,Monthly!AD$13,Monthly!AD$14)*(1+'Attrition Modeling'!$N$8)-'IP Attrition'!AG$65)/12*'IP Attrition'!AG103,0)))</f>
        <v>0</v>
      </c>
      <c r="AI168" s="799">
        <f>IF(EOMONTH(Inputs!$C$8,'IP Attrition'!AI$134-1)&lt;=Inputs!$C$9,0,MIN(IF(ISERROR(VLOOKUP(AI$134+$F168,$D$135:$D$165,1,FALSE)),0,AH36*$C$2),MAX((IF(Monthly!AE$4=TRUE,Monthly!AE$13,Monthly!AE$14)*(1+'Attrition Modeling'!$N$8)-'IP Attrition'!AH$65)/12*'IP Attrition'!AH103,0)))</f>
        <v>0</v>
      </c>
      <c r="AJ168" s="799">
        <f>IF(EOMONTH(Inputs!$C$8,'IP Attrition'!AJ$134-1)&lt;=Inputs!$C$9,0,MIN(IF(ISERROR(VLOOKUP(AJ$134+$F168,$D$135:$D$165,1,FALSE)),0,AI36*$C$2),MAX((IF(Monthly!AF$4=TRUE,Monthly!AF$13,Monthly!AF$14)*(1+'Attrition Modeling'!$N$8)-'IP Attrition'!AI$65)/12*'IP Attrition'!AI103,0)))</f>
        <v>0</v>
      </c>
      <c r="AK168" s="799">
        <f>IF(EOMONTH(Inputs!$C$8,'IP Attrition'!AK$134-1)&lt;=Inputs!$C$9,0,MIN(IF(ISERROR(VLOOKUP(AK$134+$F168,$D$135:$D$165,1,FALSE)),0,AJ36*$C$2),MAX((IF(Monthly!AG$4=TRUE,Monthly!AG$13,Monthly!AG$14)*(1+'Attrition Modeling'!$N$8)-'IP Attrition'!AJ$65)/12*'IP Attrition'!AJ103,0)))</f>
        <v>0</v>
      </c>
      <c r="AL168" s="799">
        <f>IF(EOMONTH(Inputs!$C$8,'IP Attrition'!AL$134-1)&lt;=Inputs!$C$9,0,MIN(IF(ISERROR(VLOOKUP(AL$134+$F168,$D$135:$D$165,1,FALSE)),0,AK36*$C$2),MAX((IF(Monthly!AH$4=TRUE,Monthly!AH$13,Monthly!AH$14)*(1+'Attrition Modeling'!$N$8)-'IP Attrition'!AK$65)/12*'IP Attrition'!AK103,0)))</f>
        <v>0</v>
      </c>
      <c r="AM168" s="799">
        <f>IF(EOMONTH(Inputs!$C$8,'IP Attrition'!AM$134-1)&lt;=Inputs!$C$9,0,MIN(IF(ISERROR(VLOOKUP(AM$134+$F168,$D$135:$D$165,1,FALSE)),0,AL36*$C$2),MAX((IF(Monthly!AI$4=TRUE,Monthly!AI$13,Monthly!AI$14)*(1+'Attrition Modeling'!$N$8)-'IP Attrition'!AL$65)/12*'IP Attrition'!AL103,0)))</f>
        <v>0</v>
      </c>
      <c r="AN168" s="799">
        <f>IF(EOMONTH(Inputs!$C$8,'IP Attrition'!AN$134-1)&lt;=Inputs!$C$9,0,MIN(IF(ISERROR(VLOOKUP(AN$134+$F168,$D$135:$D$165,1,FALSE)),0,AM36*$C$2),MAX((IF(Monthly!AJ$4=TRUE,Monthly!AJ$13,Monthly!AJ$14)*(1+'Attrition Modeling'!$N$8)-'IP Attrition'!AM$65)/12*'IP Attrition'!AM103,0)))</f>
        <v>0</v>
      </c>
      <c r="AO168" s="799">
        <f>IF(EOMONTH(Inputs!$C$8,'IP Attrition'!AO$134-1)&lt;=Inputs!$C$9,0,MIN(IF(ISERROR(VLOOKUP(AO$134+$F168,$D$135:$D$165,1,FALSE)),0,AN36*$C$2),MAX((IF(Monthly!AK$4=TRUE,Monthly!AK$13,Monthly!AK$14)*(1+'Attrition Modeling'!$N$8)-'IP Attrition'!AN$65)/12*'IP Attrition'!AN103,0)))</f>
        <v>0</v>
      </c>
      <c r="AP168" s="799">
        <f>IF(EOMONTH(Inputs!$C$8,'IP Attrition'!AP$134-1)&lt;=Inputs!$C$9,0,MIN(IF(ISERROR(VLOOKUP(AP$134+$F168,$D$135:$D$165,1,FALSE)),0,AO36*$C$2),MAX((IF(Monthly!AL$4=TRUE,Monthly!AL$13,Monthly!AL$14)*(1+'Attrition Modeling'!$N$8)-'IP Attrition'!AO$65)/12*'IP Attrition'!AO103,0)))</f>
        <v>0</v>
      </c>
      <c r="AQ168" s="799">
        <f>IF(EOMONTH(Inputs!$C$8,'IP Attrition'!AQ$134-1)&lt;=Inputs!$C$9,0,MIN(IF(ISERROR(VLOOKUP(AQ$134+$F168,$D$135:$D$165,1,FALSE)),0,AP36*$C$2),MAX((IF(Monthly!AM$4=TRUE,Monthly!AM$13,Monthly!AM$14)*(1+'Attrition Modeling'!$N$8)-'IP Attrition'!AP$65)/12*'IP Attrition'!AP103,0)))</f>
        <v>0</v>
      </c>
      <c r="AR168" s="799">
        <f>IF(EOMONTH(Inputs!$C$8,'IP Attrition'!AR$134-1)&lt;=Inputs!$C$9,0,MIN(IF(ISERROR(VLOOKUP(AR$134+$F168,$D$135:$D$165,1,FALSE)),0,AQ36*$C$2),MAX((IF(Monthly!AN$4=TRUE,Monthly!AN$13,Monthly!AN$14)*(1+'Attrition Modeling'!$N$8)-'IP Attrition'!AQ$65)/12*'IP Attrition'!AQ103,0)))</f>
        <v>0</v>
      </c>
      <c r="AS168" s="799">
        <f>IF(EOMONTH(Inputs!$C$8,'IP Attrition'!AS$134-1)&lt;=Inputs!$C$9,0,MIN(IF(ISERROR(VLOOKUP(AS$134+$F168,$D$135:$D$165,1,FALSE)),0,AR36*$C$2),MAX((IF(Monthly!AO$4=TRUE,Monthly!AO$13,Monthly!AO$14)*(1+'Attrition Modeling'!$N$8)-'IP Attrition'!AR$65)/12*'IP Attrition'!AR103,0)))</f>
        <v>0</v>
      </c>
      <c r="AT168" s="799">
        <f>IF(EOMONTH(Inputs!$C$8,'IP Attrition'!AT$134-1)&lt;=Inputs!$C$9,0,MIN(IF(ISERROR(VLOOKUP(AT$134+$F168,$D$135:$D$165,1,FALSE)),0,AS36*$C$2),MAX((IF(Monthly!AP$4=TRUE,Monthly!AP$13,Monthly!AP$14)*(1+'Attrition Modeling'!$N$8)-'IP Attrition'!AS$65)/12*'IP Attrition'!AS103,0)))</f>
        <v>0</v>
      </c>
      <c r="AU168" s="799">
        <f>IF(EOMONTH(Inputs!$C$8,'IP Attrition'!AU$134-1)&lt;=Inputs!$C$9,0,MIN(IF(ISERROR(VLOOKUP(AU$134+$F168,$D$135:$D$165,1,FALSE)),0,AT36*$C$2),MAX((IF(Monthly!AQ$4=TRUE,Monthly!AQ$13,Monthly!AQ$14)*(1+'Attrition Modeling'!$N$8)-'IP Attrition'!AT$65)/12*'IP Attrition'!AT103,0)))</f>
        <v>0</v>
      </c>
      <c r="AV168" s="799">
        <f>IF(EOMONTH(Inputs!$C$8,'IP Attrition'!AV$134-1)&lt;=Inputs!$C$9,0,MIN(IF(ISERROR(VLOOKUP(AV$134+$F168,$D$135:$D$165,1,FALSE)),0,AU36*$C$2),MAX((IF(Monthly!AR$4=TRUE,Monthly!AR$13,Monthly!AR$14)*(1+'Attrition Modeling'!$N$8)-'IP Attrition'!AU$65)/12*'IP Attrition'!AU103,0)))</f>
        <v>0</v>
      </c>
      <c r="AW168" s="799">
        <f>IF(EOMONTH(Inputs!$C$8,'IP Attrition'!AW$134-1)&lt;=Inputs!$C$9,0,MIN(IF(ISERROR(VLOOKUP(AW$134+$F168,$D$135:$D$165,1,FALSE)),0,AV36*$C$2),MAX((IF(Monthly!AS$4=TRUE,Monthly!AS$13,Monthly!AS$14)*(1+'Attrition Modeling'!$N$8)-'IP Attrition'!AV$65)/12*'IP Attrition'!AV103,0)))</f>
        <v>0</v>
      </c>
      <c r="AX168" s="799">
        <f>IF(EOMONTH(Inputs!$C$8,'IP Attrition'!AX$134-1)&lt;=Inputs!$C$9,0,MIN(IF(ISERROR(VLOOKUP(AX$134+$F168,$D$135:$D$165,1,FALSE)),0,AW36*$C$2),MAX((IF(Monthly!AT$4=TRUE,Monthly!AT$13,Monthly!AT$14)*(1+'Attrition Modeling'!$N$8)-'IP Attrition'!AW$65)/12*'IP Attrition'!AW103,0)))</f>
        <v>0</v>
      </c>
      <c r="AY168" s="799">
        <f>IF(EOMONTH(Inputs!$C$8,'IP Attrition'!AY$134-1)&lt;=Inputs!$C$9,0,MIN(IF(ISERROR(VLOOKUP(AY$134+$F168,$D$135:$D$165,1,FALSE)),0,AX36*$C$2),MAX((IF(Monthly!AU$4=TRUE,Monthly!AU$13,Monthly!AU$14)*(1+'Attrition Modeling'!$N$8)-'IP Attrition'!AX$65)/12*'IP Attrition'!AX103,0)))</f>
        <v>0</v>
      </c>
      <c r="AZ168" s="799">
        <f>IF(EOMONTH(Inputs!$C$8,'IP Attrition'!AZ$134-1)&lt;=Inputs!$C$9,0,MIN(IF(ISERROR(VLOOKUP(AZ$134+$F168,$D$135:$D$165,1,FALSE)),0,AY36*$C$2),MAX((IF(Monthly!AV$4=TRUE,Monthly!AV$13,Monthly!AV$14)*(1+'Attrition Modeling'!$N$8)-'IP Attrition'!AY$65)/12*'IP Attrition'!AY103,0)))</f>
        <v>0</v>
      </c>
      <c r="BA168" s="799">
        <f>IF(EOMONTH(Inputs!$C$8,'IP Attrition'!BA$134-1)&lt;=Inputs!$C$9,0,MIN(IF(ISERROR(VLOOKUP(BA$134+$F168,$D$135:$D$165,1,FALSE)),0,AZ36*$C$2),MAX((IF(Monthly!AW$4=TRUE,Monthly!AW$13,Monthly!AW$14)*(1+'Attrition Modeling'!$N$8)-'IP Attrition'!AZ$65)/12*'IP Attrition'!AZ103,0)))</f>
        <v>0</v>
      </c>
      <c r="BB168" s="799">
        <f>IF(EOMONTH(Inputs!$C$8,'IP Attrition'!BB$134-1)&lt;=Inputs!$C$9,0,MIN(IF(ISERROR(VLOOKUP(BB$134+$F168,$D$135:$D$165,1,FALSE)),0,BA36*$C$2),MAX((IF(Monthly!AX$4=TRUE,Monthly!AX$13,Monthly!AX$14)*(1+'Attrition Modeling'!$N$8)-'IP Attrition'!BA$65)/12*'IP Attrition'!BA103,0)))</f>
        <v>0</v>
      </c>
      <c r="BC168" s="799">
        <f>IF(EOMONTH(Inputs!$C$8,'IP Attrition'!BC$134-1)&lt;=Inputs!$C$9,0,MIN(IF(ISERROR(VLOOKUP(BC$134+$F168,$D$135:$D$165,1,FALSE)),0,BB36*$C$2),MAX((IF(Monthly!AY$4=TRUE,Monthly!AY$13,Monthly!AY$14)*(1+'Attrition Modeling'!$N$8)-'IP Attrition'!BB$65)/12*'IP Attrition'!BB103,0)))</f>
        <v>0</v>
      </c>
      <c r="BD168" s="799">
        <f>IF(EOMONTH(Inputs!$C$8,'IP Attrition'!BD$134-1)&lt;=Inputs!$C$9,0,MIN(IF(ISERROR(VLOOKUP(BD$134+$F168,$D$135:$D$165,1,FALSE)),0,BC36*$C$2),MAX((IF(Monthly!AZ$4=TRUE,Monthly!AZ$13,Monthly!AZ$14)*(1+'Attrition Modeling'!$N$8)-'IP Attrition'!BC$65)/12*'IP Attrition'!BC103,0)))</f>
        <v>0</v>
      </c>
      <c r="BE168" s="799">
        <f>IF(EOMONTH(Inputs!$C$8,'IP Attrition'!BE$134-1)&lt;=Inputs!$C$9,0,MIN(IF(ISERROR(VLOOKUP(BE$134+$F168,$D$135:$D$165,1,FALSE)),0,BD36*$C$2),MAX((IF(Monthly!BA$4=TRUE,Monthly!BA$13,Monthly!BA$14)*(1+'Attrition Modeling'!$N$8)-'IP Attrition'!BD$65)/12*'IP Attrition'!BD103,0)))</f>
        <v>0</v>
      </c>
      <c r="BF168" s="799">
        <f>IF(EOMONTH(Inputs!$C$8,'IP Attrition'!BF$134-1)&lt;=Inputs!$C$9,0,MIN(IF(ISERROR(VLOOKUP(BF$134+$F168,$D$135:$D$165,1,FALSE)),0,BE36*$C$2),MAX((IF(Monthly!BB$4=TRUE,Monthly!BB$13,Monthly!BB$14)*(1+'Attrition Modeling'!$N$8)-'IP Attrition'!BE$65)/12*'IP Attrition'!BE103,0)))</f>
        <v>0</v>
      </c>
      <c r="BG168" s="799">
        <f>IF(EOMONTH(Inputs!$C$8,'IP Attrition'!BG$134-1)&lt;=Inputs!$C$9,0,MIN(IF(ISERROR(VLOOKUP(BG$134+$F168,$D$135:$D$165,1,FALSE)),0,BF36*$C$2),MAX((IF(Monthly!BC$4=TRUE,Monthly!BC$13,Monthly!BC$14)*(1+'Attrition Modeling'!$N$8)-'IP Attrition'!BF$65)/12*'IP Attrition'!BF103,0)))</f>
        <v>0</v>
      </c>
      <c r="BH168" s="799">
        <f>IF(EOMONTH(Inputs!$C$8,'IP Attrition'!BH$134-1)&lt;=Inputs!$C$9,0,MIN(IF(ISERROR(VLOOKUP(BH$134+$F168,$D$135:$D$165,1,FALSE)),0,BG36*$C$2),MAX((IF(Monthly!BD$4=TRUE,Monthly!BD$13,Monthly!BD$14)*(1+'Attrition Modeling'!$N$8)-'IP Attrition'!BG$65)/12*'IP Attrition'!BG103,0)))</f>
        <v>0</v>
      </c>
      <c r="BI168" s="799">
        <f>IF(EOMONTH(Inputs!$C$8,'IP Attrition'!BI$134-1)&lt;=Inputs!$C$9,0,MIN(IF(ISERROR(VLOOKUP(BI$134+$F168,$D$135:$D$165,1,FALSE)),0,BH36*$C$2),MAX((IF(Monthly!BE$4=TRUE,Monthly!BE$13,Monthly!BE$14)*(1+'Attrition Modeling'!$N$8)-'IP Attrition'!BH$65)/12*'IP Attrition'!BH103,0)))</f>
        <v>0</v>
      </c>
      <c r="BJ168" s="799">
        <f>IF(EOMONTH(Inputs!$C$8,'IP Attrition'!BJ$134-1)&lt;=Inputs!$C$9,0,MIN(IF(ISERROR(VLOOKUP(BJ$134+$F168,$D$135:$D$165,1,FALSE)),0,BI36*$C$2),MAX((IF(Monthly!BF$4=TRUE,Monthly!BF$13,Monthly!BF$14)*(1+'Attrition Modeling'!$N$8)-'IP Attrition'!BI$65)/12*'IP Attrition'!BI103,0)))</f>
        <v>0</v>
      </c>
      <c r="BK168" s="799">
        <f>IF(EOMONTH(Inputs!$C$8,'IP Attrition'!BK$134-1)&lt;=Inputs!$C$9,0,MIN(IF(ISERROR(VLOOKUP(BK$134+$F168,$D$135:$D$165,1,FALSE)),0,BJ36*$C$2),MAX((IF(Monthly!BG$4=TRUE,Monthly!BG$13,Monthly!BG$14)*(1+'Attrition Modeling'!$N$8)-'IP Attrition'!BJ$65)/12*'IP Attrition'!BJ103,0)))</f>
        <v>0</v>
      </c>
      <c r="BL168" s="799">
        <f>IF(EOMONTH(Inputs!$C$8,'IP Attrition'!BL$134-1)&lt;=Inputs!$C$9,0,MIN(IF(ISERROR(VLOOKUP(BL$134+$F168,$D$135:$D$165,1,FALSE)),0,BK36*$C$2),MAX((IF(Monthly!BH$4=TRUE,Monthly!BH$13,Monthly!BH$14)*(1+'Attrition Modeling'!$N$8)-'IP Attrition'!BK$65)/12*'IP Attrition'!BK103,0)))</f>
        <v>0</v>
      </c>
      <c r="BM168" s="799">
        <f>IF(EOMONTH(Inputs!$C$8,'IP Attrition'!BM$134-1)&lt;=Inputs!$C$9,0,MIN(IF(ISERROR(VLOOKUP(BM$134+$F168,$D$135:$D$165,1,FALSE)),0,BL36*$C$2),MAX((IF(Monthly!BI$4=TRUE,Monthly!BI$13,Monthly!BI$14)*(1+'Attrition Modeling'!$N$8)-'IP Attrition'!BL$65)/12*'IP Attrition'!BL103,0)))</f>
        <v>0</v>
      </c>
      <c r="BN168" s="799">
        <f>IF(EOMONTH(Inputs!$C$8,'IP Attrition'!BN$134-1)&lt;=Inputs!$C$9,0,MIN(IF(ISERROR(VLOOKUP(BN$134+$F168,$D$135:$D$165,1,FALSE)),0,BM36*$C$2),MAX((IF(Monthly!BJ$4=TRUE,Monthly!BJ$13,Monthly!BJ$14)*(1+'Attrition Modeling'!$N$8)-'IP Attrition'!BM$65)/12*'IP Attrition'!BM103,0)))</f>
        <v>0</v>
      </c>
      <c r="BO168" s="799">
        <f>IF(EOMONTH(Inputs!$C$8,'IP Attrition'!BO$134-1)&lt;=Inputs!$C$9,0,MIN(IF(ISERROR(VLOOKUP(BO$134+$F168,$D$135:$D$165,1,FALSE)),0,BN36*$C$2),MAX((IF(Monthly!BK$4=TRUE,Monthly!BK$13,Monthly!BK$14)*(1+'Attrition Modeling'!$N$8)-'IP Attrition'!BN$65)/12*'IP Attrition'!BN103,0)))</f>
        <v>0</v>
      </c>
      <c r="BP168" s="799">
        <f>IF(EOMONTH(Inputs!$C$8,'IP Attrition'!BP$134-1)&lt;=Inputs!$C$9,0,MIN(IF(ISERROR(VLOOKUP(BP$134+$F168,$D$135:$D$165,1,FALSE)),0,BO36*$C$2),MAX((IF(Monthly!BL$4=TRUE,Monthly!BL$13,Monthly!BL$14)*(1+'Attrition Modeling'!$N$8)-'IP Attrition'!BO$65)/12*'IP Attrition'!BO103,0)))</f>
        <v>0</v>
      </c>
      <c r="BQ168" s="799">
        <f>IF(EOMONTH(Inputs!$C$8,'IP Attrition'!BQ$134-1)&lt;=Inputs!$C$9,0,MIN(IF(ISERROR(VLOOKUP(BQ$134+$F168,$D$135:$D$165,1,FALSE)),0,BP36*$C$2),MAX((IF(Monthly!BM$4=TRUE,Monthly!BM$13,Monthly!BM$14)*(1+'Attrition Modeling'!$N$8)-'IP Attrition'!BP$65)/12*'IP Attrition'!BP103,0)))</f>
        <v>0</v>
      </c>
      <c r="BR168" s="799">
        <f>IF(EOMONTH(Inputs!$C$8,'IP Attrition'!BR$134-1)&lt;=Inputs!$C$9,0,MIN(IF(ISERROR(VLOOKUP(BR$134+$F168,$D$135:$D$165,1,FALSE)),0,BQ36*$C$2),MAX((IF(Monthly!BN$4=TRUE,Monthly!BN$13,Monthly!BN$14)*(1+'Attrition Modeling'!$N$8)-'IP Attrition'!BQ$65)/12*'IP Attrition'!BQ103,0)))</f>
        <v>0</v>
      </c>
      <c r="BS168" s="799">
        <f>IF(EOMONTH(Inputs!$C$8,'IP Attrition'!BS$134-1)&lt;=Inputs!$C$9,0,MIN(IF(ISERROR(VLOOKUP(BS$134+$F168,$D$135:$D$165,1,FALSE)),0,BR36*$C$2),MAX((IF(Monthly!BO$4=TRUE,Monthly!BO$13,Monthly!BO$14)*(1+'Attrition Modeling'!$N$8)-'IP Attrition'!BR$65)/12*'IP Attrition'!BR103,0)))</f>
        <v>0</v>
      </c>
      <c r="BT168" s="799" t="e">
        <f>IF(EOMONTH(Inputs!$C$8,'IP Attrition'!BT$134-1)&lt;=Inputs!$C$9,0,MIN(IF(ISERROR(VLOOKUP(BT$134+$F168,$D$135:$D$165,1,FALSE)),0,BS36*$C$2),MAX((IF(Monthly!#REF!=TRUE,Monthly!#REF!,Monthly!#REF!)*(1+'Attrition Modeling'!$N$8)-'IP Attrition'!BS$65)/12*'IP Attrition'!BS103,0)))</f>
        <v>#REF!</v>
      </c>
      <c r="BU168" s="799" t="e">
        <f>IF(EOMONTH(Inputs!$C$8,'IP Attrition'!BU$134-1)&lt;=Inputs!$C$9,0,MIN(IF(ISERROR(VLOOKUP(BU$134+$F168,$D$135:$D$165,1,FALSE)),0,BT36*$C$2),MAX((IF(Monthly!#REF!=TRUE,Monthly!#REF!,Monthly!#REF!)*(1+'Attrition Modeling'!$N$8)-'IP Attrition'!BT$65)/12*'IP Attrition'!BT103,0)))</f>
        <v>#REF!</v>
      </c>
    </row>
    <row r="169" spans="1:73" ht="14.25" customHeight="1" x14ac:dyDescent="0.2">
      <c r="E169" s="25">
        <f t="shared" si="71"/>
        <v>0</v>
      </c>
      <c r="F169" s="11">
        <f t="shared" si="73"/>
        <v>34</v>
      </c>
      <c r="G169" s="799"/>
      <c r="H169" s="799">
        <f>IF(EOMONTH(Inputs!$C$8,'IP Attrition'!H$134-1)&lt;=Inputs!$C$9,0,MIN(IF(ISERROR(VLOOKUP(H$134+$F169,$D$135:$D$165,1,FALSE)),0,G37*$C$2),MAX((IF(Monthly!D$4=TRUE,Monthly!D$13,Monthly!D$14)*(1+'Attrition Modeling'!$N$8)-'IP Attrition'!G$65)/12*'IP Attrition'!G104,0)))</f>
        <v>0</v>
      </c>
      <c r="I169" s="799">
        <f>IF(EOMONTH(Inputs!$C$8,'IP Attrition'!I$134-1)&lt;=Inputs!$C$9,0,MIN(IF(ISERROR(VLOOKUP(I$134+$F169,$D$135:$D$165,1,FALSE)),0,H37*$C$2),MAX((IF(Monthly!E$4=TRUE,Monthly!E$13,Monthly!E$14)*(1+'Attrition Modeling'!$N$8)-'IP Attrition'!H$65)/12*'IP Attrition'!H104,0)))</f>
        <v>0</v>
      </c>
      <c r="J169" s="799">
        <f>IF(EOMONTH(Inputs!$C$8,'IP Attrition'!J$134-1)&lt;=Inputs!$C$9,0,MIN(IF(ISERROR(VLOOKUP(J$134+$F169,$D$135:$D$165,1,FALSE)),0,I37*$C$2),MAX((IF(Monthly!F$4=TRUE,Monthly!F$13,Monthly!F$14)*(1+'Attrition Modeling'!$N$8)-'IP Attrition'!I$65)/12*'IP Attrition'!I104,0)))</f>
        <v>0</v>
      </c>
      <c r="K169" s="799">
        <f>IF(EOMONTH(Inputs!$C$8,'IP Attrition'!K$134-1)&lt;=Inputs!$C$9,0,MIN(IF(ISERROR(VLOOKUP(K$134+$F169,$D$135:$D$165,1,FALSE)),0,J37*$C$2),MAX((IF(Monthly!G$4=TRUE,Monthly!G$13,Monthly!G$14)*(1+'Attrition Modeling'!$N$8)-'IP Attrition'!J$65)/12*'IP Attrition'!J104,0)))</f>
        <v>0</v>
      </c>
      <c r="L169" s="799">
        <f>IF(EOMONTH(Inputs!$C$8,'IP Attrition'!L$134-1)&lt;=Inputs!$C$9,0,MIN(IF(ISERROR(VLOOKUP(L$134+$F169,$D$135:$D$165,1,FALSE)),0,K37*$C$2),MAX((IF(Monthly!H$4=TRUE,Monthly!H$13,Monthly!H$14)*(1+'Attrition Modeling'!$N$8)-'IP Attrition'!K$65)/12*'IP Attrition'!K104,0)))</f>
        <v>0</v>
      </c>
      <c r="M169" s="799">
        <f>IF(EOMONTH(Inputs!$C$8,'IP Attrition'!M$134-1)&lt;=Inputs!$C$9,0,MIN(IF(ISERROR(VLOOKUP(M$134+$F169,$D$135:$D$165,1,FALSE)),0,L37*$C$2),MAX((IF(Monthly!I$4=TRUE,Monthly!I$13,Monthly!I$14)*(1+'Attrition Modeling'!$N$8)-'IP Attrition'!L$65)/12*'IP Attrition'!L104,0)))</f>
        <v>0</v>
      </c>
      <c r="N169" s="799">
        <f>IF(EOMONTH(Inputs!$C$8,'IP Attrition'!N$134-1)&lt;=Inputs!$C$9,0,MIN(IF(ISERROR(VLOOKUP(N$134+$F169,$D$135:$D$165,1,FALSE)),0,M37*$C$2),MAX((IF(Monthly!J$4=TRUE,Monthly!J$13,Monthly!J$14)*(1+'Attrition Modeling'!$N$8)-'IP Attrition'!M$65)/12*'IP Attrition'!M104,0)))</f>
        <v>0</v>
      </c>
      <c r="O169" s="799">
        <f>IF(EOMONTH(Inputs!$C$8,'IP Attrition'!O$134-1)&lt;=Inputs!$C$9,0,MIN(IF(ISERROR(VLOOKUP(O$134+$F169,$D$135:$D$165,1,FALSE)),0,N37*$C$2),MAX((IF(Monthly!K$4=TRUE,Monthly!K$13,Monthly!K$14)*(1+'Attrition Modeling'!$N$8)-'IP Attrition'!N$65)/12*'IP Attrition'!N104,0)))</f>
        <v>0</v>
      </c>
      <c r="P169" s="799">
        <f>IF(EOMONTH(Inputs!$C$8,'IP Attrition'!P$134-1)&lt;=Inputs!$C$9,0,MIN(IF(ISERROR(VLOOKUP(P$134+$F169,$D$135:$D$165,1,FALSE)),0,O37*$C$2),MAX((IF(Monthly!L$4=TRUE,Monthly!L$13,Monthly!L$14)*(1+'Attrition Modeling'!$N$8)-'IP Attrition'!O$65)/12*'IP Attrition'!O104,0)))</f>
        <v>0</v>
      </c>
      <c r="Q169" s="799">
        <f>IF(EOMONTH(Inputs!$C$8,'IP Attrition'!Q$134-1)&lt;=Inputs!$C$9,0,MIN(IF(ISERROR(VLOOKUP(Q$134+$F169,$D$135:$D$165,1,FALSE)),0,P37*$C$2),MAX((IF(Monthly!M$4=TRUE,Monthly!M$13,Monthly!M$14)*(1+'Attrition Modeling'!$N$8)-'IP Attrition'!P$65)/12*'IP Attrition'!P104,0)))</f>
        <v>0</v>
      </c>
      <c r="R169" s="799">
        <f>IF(EOMONTH(Inputs!$C$8,'IP Attrition'!R$134-1)&lt;=Inputs!$C$9,0,MIN(IF(ISERROR(VLOOKUP(R$134+$F169,$D$135:$D$165,1,FALSE)),0,Q37*$C$2),MAX((IF(Monthly!N$4=TRUE,Monthly!N$13,Monthly!N$14)*(1+'Attrition Modeling'!$N$8)-'IP Attrition'!Q$65)/12*'IP Attrition'!Q104,0)))</f>
        <v>0</v>
      </c>
      <c r="S169" s="799">
        <f>IF(EOMONTH(Inputs!$C$8,'IP Attrition'!S$134-1)&lt;=Inputs!$C$9,0,MIN(IF(ISERROR(VLOOKUP(S$134+$F169,$D$135:$D$165,1,FALSE)),0,R37*$C$2),MAX((IF(Monthly!O$4=TRUE,Monthly!O$13,Monthly!O$14)*(1+'Attrition Modeling'!$N$8)-'IP Attrition'!R$65)/12*'IP Attrition'!R104,0)))</f>
        <v>0</v>
      </c>
      <c r="T169" s="799">
        <f>IF(EOMONTH(Inputs!$C$8,'IP Attrition'!T$134-1)&lt;=Inputs!$C$9,0,MIN(IF(ISERROR(VLOOKUP(T$134+$F169,$D$135:$D$165,1,FALSE)),0,S37*$C$2),MAX((IF(Monthly!P$4=TRUE,Monthly!P$13,Monthly!P$14)*(1+'Attrition Modeling'!$N$8)-'IP Attrition'!S$65)/12*'IP Attrition'!S104,0)))</f>
        <v>0</v>
      </c>
      <c r="U169" s="799">
        <f>IF(EOMONTH(Inputs!$C$8,'IP Attrition'!U$134-1)&lt;=Inputs!$C$9,0,MIN(IF(ISERROR(VLOOKUP(U$134+$F169,$D$135:$D$165,1,FALSE)),0,T37*$C$2),MAX((IF(Monthly!Q$4=TRUE,Monthly!Q$13,Monthly!Q$14)*(1+'Attrition Modeling'!$N$8)-'IP Attrition'!T$65)/12*'IP Attrition'!T104,0)))</f>
        <v>0</v>
      </c>
      <c r="V169" s="799">
        <f>IF(EOMONTH(Inputs!$C$8,'IP Attrition'!V$134-1)&lt;=Inputs!$C$9,0,MIN(IF(ISERROR(VLOOKUP(V$134+$F169,$D$135:$D$165,1,FALSE)),0,U37*$C$2),MAX((IF(Monthly!R$4=TRUE,Monthly!R$13,Monthly!R$14)*(1+'Attrition Modeling'!$N$8)-'IP Attrition'!U$65)/12*'IP Attrition'!U104,0)))</f>
        <v>0</v>
      </c>
      <c r="W169" s="799">
        <f>IF(EOMONTH(Inputs!$C$8,'IP Attrition'!W$134-1)&lt;=Inputs!$C$9,0,MIN(IF(ISERROR(VLOOKUP(W$134+$F169,$D$135:$D$165,1,FALSE)),0,V37*$C$2),MAX((IF(Monthly!S$4=TRUE,Monthly!S$13,Monthly!S$14)*(1+'Attrition Modeling'!$N$8)-'IP Attrition'!V$65)/12*'IP Attrition'!V104,0)))</f>
        <v>0</v>
      </c>
      <c r="X169" s="799">
        <f>IF(EOMONTH(Inputs!$C$8,'IP Attrition'!X$134-1)&lt;=Inputs!$C$9,0,MIN(IF(ISERROR(VLOOKUP(X$134+$F169,$D$135:$D$165,1,FALSE)),0,W37*$C$2),MAX((IF(Monthly!T$4=TRUE,Monthly!T$13,Monthly!T$14)*(1+'Attrition Modeling'!$N$8)-'IP Attrition'!W$65)/12*'IP Attrition'!W104,0)))</f>
        <v>0</v>
      </c>
      <c r="Y169" s="799">
        <f>IF(EOMONTH(Inputs!$C$8,'IP Attrition'!Y$134-1)&lt;=Inputs!$C$9,0,MIN(IF(ISERROR(VLOOKUP(Y$134+$F169,$D$135:$D$165,1,FALSE)),0,X37*$C$2),MAX((IF(Monthly!U$4=TRUE,Monthly!U$13,Monthly!U$14)*(1+'Attrition Modeling'!$N$8)-'IP Attrition'!X$65)/12*'IP Attrition'!X104,0)))</f>
        <v>0</v>
      </c>
      <c r="Z169" s="799">
        <f>IF(EOMONTH(Inputs!$C$8,'IP Attrition'!Z$134-1)&lt;=Inputs!$C$9,0,MIN(IF(ISERROR(VLOOKUP(Z$134+$F169,$D$135:$D$165,1,FALSE)),0,Y37*$C$2),MAX((IF(Monthly!V$4=TRUE,Monthly!V$13,Monthly!V$14)*(1+'Attrition Modeling'!$N$8)-'IP Attrition'!Y$65)/12*'IP Attrition'!Y104,0)))</f>
        <v>0</v>
      </c>
      <c r="AA169" s="799">
        <f>IF(EOMONTH(Inputs!$C$8,'IP Attrition'!AA$134-1)&lt;=Inputs!$C$9,0,MIN(IF(ISERROR(VLOOKUP(AA$134+$F169,$D$135:$D$165,1,FALSE)),0,Z37*$C$2),MAX((IF(Monthly!W$4=TRUE,Monthly!W$13,Monthly!W$14)*(1+'Attrition Modeling'!$N$8)-'IP Attrition'!Z$65)/12*'IP Attrition'!Z104,0)))</f>
        <v>0</v>
      </c>
      <c r="AB169" s="799">
        <f>IF(EOMONTH(Inputs!$C$8,'IP Attrition'!AB$134-1)&lt;=Inputs!$C$9,0,MIN(IF(ISERROR(VLOOKUP(AB$134+$F169,$D$135:$D$165,1,FALSE)),0,AA37*$C$2),MAX((IF(Monthly!X$4=TRUE,Monthly!X$13,Monthly!X$14)*(1+'Attrition Modeling'!$N$8)-'IP Attrition'!AA$65)/12*'IP Attrition'!AA104,0)))</f>
        <v>0</v>
      </c>
      <c r="AC169" s="799">
        <f>IF(EOMONTH(Inputs!$C$8,'IP Attrition'!AC$134-1)&lt;=Inputs!$C$9,0,MIN(IF(ISERROR(VLOOKUP(AC$134+$F169,$D$135:$D$165,1,FALSE)),0,AB37*$C$2),MAX((IF(Monthly!Y$4=TRUE,Monthly!Y$13,Monthly!Y$14)*(1+'Attrition Modeling'!$N$8)-'IP Attrition'!AB$65)/12*'IP Attrition'!AB104,0)))</f>
        <v>0</v>
      </c>
      <c r="AD169" s="799">
        <f>IF(EOMONTH(Inputs!$C$8,'IP Attrition'!AD$134-1)&lt;=Inputs!$C$9,0,MIN(IF(ISERROR(VLOOKUP(AD$134+$F169,$D$135:$D$165,1,FALSE)),0,AC37*$C$2),MAX((IF(Monthly!Z$4=TRUE,Monthly!Z$13,Monthly!Z$14)*(1+'Attrition Modeling'!$N$8)-'IP Attrition'!AC$65)/12*'IP Attrition'!AC104,0)))</f>
        <v>0</v>
      </c>
      <c r="AE169" s="799">
        <f>IF(EOMONTH(Inputs!$C$8,'IP Attrition'!AE$134-1)&lt;=Inputs!$C$9,0,MIN(IF(ISERROR(VLOOKUP(AE$134+$F169,$D$135:$D$165,1,FALSE)),0,AD37*$C$2),MAX((IF(Monthly!AA$4=TRUE,Monthly!AA$13,Monthly!AA$14)*(1+'Attrition Modeling'!$N$8)-'IP Attrition'!AD$65)/12*'IP Attrition'!AD104,0)))</f>
        <v>0</v>
      </c>
      <c r="AF169" s="799">
        <f>IF(EOMONTH(Inputs!$C$8,'IP Attrition'!AF$134-1)&lt;=Inputs!$C$9,0,MIN(IF(ISERROR(VLOOKUP(AF$134+$F169,$D$135:$D$165,1,FALSE)),0,AE37*$C$2),MAX((IF(Monthly!AB$4=TRUE,Monthly!AB$13,Monthly!AB$14)*(1+'Attrition Modeling'!$N$8)-'IP Attrition'!AE$65)/12*'IP Attrition'!AE104,0)))</f>
        <v>0</v>
      </c>
      <c r="AG169" s="799">
        <f>IF(EOMONTH(Inputs!$C$8,'IP Attrition'!AG$134-1)&lt;=Inputs!$C$9,0,MIN(IF(ISERROR(VLOOKUP(AG$134+$F169,$D$135:$D$165,1,FALSE)),0,AF37*$C$2),MAX((IF(Monthly!AC$4=TRUE,Monthly!AC$13,Monthly!AC$14)*(1+'Attrition Modeling'!$N$8)-'IP Attrition'!AF$65)/12*'IP Attrition'!AF104,0)))</f>
        <v>0</v>
      </c>
      <c r="AH169" s="799">
        <f>IF(EOMONTH(Inputs!$C$8,'IP Attrition'!AH$134-1)&lt;=Inputs!$C$9,0,MIN(IF(ISERROR(VLOOKUP(AH$134+$F169,$D$135:$D$165,1,FALSE)),0,AG37*$C$2),MAX((IF(Monthly!AD$4=TRUE,Monthly!AD$13,Monthly!AD$14)*(1+'Attrition Modeling'!$N$8)-'IP Attrition'!AG$65)/12*'IP Attrition'!AG104,0)))</f>
        <v>0</v>
      </c>
      <c r="AI169" s="799">
        <f>IF(EOMONTH(Inputs!$C$8,'IP Attrition'!AI$134-1)&lt;=Inputs!$C$9,0,MIN(IF(ISERROR(VLOOKUP(AI$134+$F169,$D$135:$D$165,1,FALSE)),0,AH37*$C$2),MAX((IF(Monthly!AE$4=TRUE,Monthly!AE$13,Monthly!AE$14)*(1+'Attrition Modeling'!$N$8)-'IP Attrition'!AH$65)/12*'IP Attrition'!AH104,0)))</f>
        <v>0</v>
      </c>
      <c r="AJ169" s="799">
        <f>IF(EOMONTH(Inputs!$C$8,'IP Attrition'!AJ$134-1)&lt;=Inputs!$C$9,0,MIN(IF(ISERROR(VLOOKUP(AJ$134+$F169,$D$135:$D$165,1,FALSE)),0,AI37*$C$2),MAX((IF(Monthly!AF$4=TRUE,Monthly!AF$13,Monthly!AF$14)*(1+'Attrition Modeling'!$N$8)-'IP Attrition'!AI$65)/12*'IP Attrition'!AI104,0)))</f>
        <v>0</v>
      </c>
      <c r="AK169" s="799">
        <f>IF(EOMONTH(Inputs!$C$8,'IP Attrition'!AK$134-1)&lt;=Inputs!$C$9,0,MIN(IF(ISERROR(VLOOKUP(AK$134+$F169,$D$135:$D$165,1,FALSE)),0,AJ37*$C$2),MAX((IF(Monthly!AG$4=TRUE,Monthly!AG$13,Monthly!AG$14)*(1+'Attrition Modeling'!$N$8)-'IP Attrition'!AJ$65)/12*'IP Attrition'!AJ104,0)))</f>
        <v>0</v>
      </c>
      <c r="AL169" s="799">
        <f>IF(EOMONTH(Inputs!$C$8,'IP Attrition'!AL$134-1)&lt;=Inputs!$C$9,0,MIN(IF(ISERROR(VLOOKUP(AL$134+$F169,$D$135:$D$165,1,FALSE)),0,AK37*$C$2),MAX((IF(Monthly!AH$4=TRUE,Monthly!AH$13,Monthly!AH$14)*(1+'Attrition Modeling'!$N$8)-'IP Attrition'!AK$65)/12*'IP Attrition'!AK104,0)))</f>
        <v>0</v>
      </c>
      <c r="AM169" s="799">
        <f>IF(EOMONTH(Inputs!$C$8,'IP Attrition'!AM$134-1)&lt;=Inputs!$C$9,0,MIN(IF(ISERROR(VLOOKUP(AM$134+$F169,$D$135:$D$165,1,FALSE)),0,AL37*$C$2),MAX((IF(Monthly!AI$4=TRUE,Monthly!AI$13,Monthly!AI$14)*(1+'Attrition Modeling'!$N$8)-'IP Attrition'!AL$65)/12*'IP Attrition'!AL104,0)))</f>
        <v>0</v>
      </c>
      <c r="AN169" s="799">
        <f>IF(EOMONTH(Inputs!$C$8,'IP Attrition'!AN$134-1)&lt;=Inputs!$C$9,0,MIN(IF(ISERROR(VLOOKUP(AN$134+$F169,$D$135:$D$165,1,FALSE)),0,AM37*$C$2),MAX((IF(Monthly!AJ$4=TRUE,Monthly!AJ$13,Monthly!AJ$14)*(1+'Attrition Modeling'!$N$8)-'IP Attrition'!AM$65)/12*'IP Attrition'!AM104,0)))</f>
        <v>0</v>
      </c>
      <c r="AO169" s="799">
        <f>IF(EOMONTH(Inputs!$C$8,'IP Attrition'!AO$134-1)&lt;=Inputs!$C$9,0,MIN(IF(ISERROR(VLOOKUP(AO$134+$F169,$D$135:$D$165,1,FALSE)),0,AN37*$C$2),MAX((IF(Monthly!AK$4=TRUE,Monthly!AK$13,Monthly!AK$14)*(1+'Attrition Modeling'!$N$8)-'IP Attrition'!AN$65)/12*'IP Attrition'!AN104,0)))</f>
        <v>0</v>
      </c>
      <c r="AP169" s="799">
        <f>IF(EOMONTH(Inputs!$C$8,'IP Attrition'!AP$134-1)&lt;=Inputs!$C$9,0,MIN(IF(ISERROR(VLOOKUP(AP$134+$F169,$D$135:$D$165,1,FALSE)),0,AO37*$C$2),MAX((IF(Monthly!AL$4=TRUE,Monthly!AL$13,Monthly!AL$14)*(1+'Attrition Modeling'!$N$8)-'IP Attrition'!AO$65)/12*'IP Attrition'!AO104,0)))</f>
        <v>0</v>
      </c>
      <c r="AQ169" s="799">
        <f>IF(EOMONTH(Inputs!$C$8,'IP Attrition'!AQ$134-1)&lt;=Inputs!$C$9,0,MIN(IF(ISERROR(VLOOKUP(AQ$134+$F169,$D$135:$D$165,1,FALSE)),0,AP37*$C$2),MAX((IF(Monthly!AM$4=TRUE,Monthly!AM$13,Monthly!AM$14)*(1+'Attrition Modeling'!$N$8)-'IP Attrition'!AP$65)/12*'IP Attrition'!AP104,0)))</f>
        <v>0</v>
      </c>
      <c r="AR169" s="799">
        <f>IF(EOMONTH(Inputs!$C$8,'IP Attrition'!AR$134-1)&lt;=Inputs!$C$9,0,MIN(IF(ISERROR(VLOOKUP(AR$134+$F169,$D$135:$D$165,1,FALSE)),0,AQ37*$C$2),MAX((IF(Monthly!AN$4=TRUE,Monthly!AN$13,Monthly!AN$14)*(1+'Attrition Modeling'!$N$8)-'IP Attrition'!AQ$65)/12*'IP Attrition'!AQ104,0)))</f>
        <v>0</v>
      </c>
      <c r="AS169" s="799">
        <f>IF(EOMONTH(Inputs!$C$8,'IP Attrition'!AS$134-1)&lt;=Inputs!$C$9,0,MIN(IF(ISERROR(VLOOKUP(AS$134+$F169,$D$135:$D$165,1,FALSE)),0,AR37*$C$2),MAX((IF(Monthly!AO$4=TRUE,Monthly!AO$13,Monthly!AO$14)*(1+'Attrition Modeling'!$N$8)-'IP Attrition'!AR$65)/12*'IP Attrition'!AR104,0)))</f>
        <v>0</v>
      </c>
      <c r="AT169" s="799">
        <f>IF(EOMONTH(Inputs!$C$8,'IP Attrition'!AT$134-1)&lt;=Inputs!$C$9,0,MIN(IF(ISERROR(VLOOKUP(AT$134+$F169,$D$135:$D$165,1,FALSE)),0,AS37*$C$2),MAX((IF(Monthly!AP$4=TRUE,Monthly!AP$13,Monthly!AP$14)*(1+'Attrition Modeling'!$N$8)-'IP Attrition'!AS$65)/12*'IP Attrition'!AS104,0)))</f>
        <v>0</v>
      </c>
      <c r="AU169" s="799">
        <f>IF(EOMONTH(Inputs!$C$8,'IP Attrition'!AU$134-1)&lt;=Inputs!$C$9,0,MIN(IF(ISERROR(VLOOKUP(AU$134+$F169,$D$135:$D$165,1,FALSE)),0,AT37*$C$2),MAX((IF(Monthly!AQ$4=TRUE,Monthly!AQ$13,Monthly!AQ$14)*(1+'Attrition Modeling'!$N$8)-'IP Attrition'!AT$65)/12*'IP Attrition'!AT104,0)))</f>
        <v>0</v>
      </c>
      <c r="AV169" s="799">
        <f>IF(EOMONTH(Inputs!$C$8,'IP Attrition'!AV$134-1)&lt;=Inputs!$C$9,0,MIN(IF(ISERROR(VLOOKUP(AV$134+$F169,$D$135:$D$165,1,FALSE)),0,AU37*$C$2),MAX((IF(Monthly!AR$4=TRUE,Monthly!AR$13,Monthly!AR$14)*(1+'Attrition Modeling'!$N$8)-'IP Attrition'!AU$65)/12*'IP Attrition'!AU104,0)))</f>
        <v>0</v>
      </c>
      <c r="AW169" s="799">
        <f>IF(EOMONTH(Inputs!$C$8,'IP Attrition'!AW$134-1)&lt;=Inputs!$C$9,0,MIN(IF(ISERROR(VLOOKUP(AW$134+$F169,$D$135:$D$165,1,FALSE)),0,AV37*$C$2),MAX((IF(Monthly!AS$4=TRUE,Monthly!AS$13,Monthly!AS$14)*(1+'Attrition Modeling'!$N$8)-'IP Attrition'!AV$65)/12*'IP Attrition'!AV104,0)))</f>
        <v>0</v>
      </c>
      <c r="AX169" s="799">
        <f>IF(EOMONTH(Inputs!$C$8,'IP Attrition'!AX$134-1)&lt;=Inputs!$C$9,0,MIN(IF(ISERROR(VLOOKUP(AX$134+$F169,$D$135:$D$165,1,FALSE)),0,AW37*$C$2),MAX((IF(Monthly!AT$4=TRUE,Monthly!AT$13,Monthly!AT$14)*(1+'Attrition Modeling'!$N$8)-'IP Attrition'!AW$65)/12*'IP Attrition'!AW104,0)))</f>
        <v>0</v>
      </c>
      <c r="AY169" s="799">
        <f>IF(EOMONTH(Inputs!$C$8,'IP Attrition'!AY$134-1)&lt;=Inputs!$C$9,0,MIN(IF(ISERROR(VLOOKUP(AY$134+$F169,$D$135:$D$165,1,FALSE)),0,AX37*$C$2),MAX((IF(Monthly!AU$4=TRUE,Monthly!AU$13,Monthly!AU$14)*(1+'Attrition Modeling'!$N$8)-'IP Attrition'!AX$65)/12*'IP Attrition'!AX104,0)))</f>
        <v>0</v>
      </c>
      <c r="AZ169" s="799">
        <f>IF(EOMONTH(Inputs!$C$8,'IP Attrition'!AZ$134-1)&lt;=Inputs!$C$9,0,MIN(IF(ISERROR(VLOOKUP(AZ$134+$F169,$D$135:$D$165,1,FALSE)),0,AY37*$C$2),MAX((IF(Monthly!AV$4=TRUE,Monthly!AV$13,Monthly!AV$14)*(1+'Attrition Modeling'!$N$8)-'IP Attrition'!AY$65)/12*'IP Attrition'!AY104,0)))</f>
        <v>0</v>
      </c>
      <c r="BA169" s="799">
        <f>IF(EOMONTH(Inputs!$C$8,'IP Attrition'!BA$134-1)&lt;=Inputs!$C$9,0,MIN(IF(ISERROR(VLOOKUP(BA$134+$F169,$D$135:$D$165,1,FALSE)),0,AZ37*$C$2),MAX((IF(Monthly!AW$4=TRUE,Monthly!AW$13,Monthly!AW$14)*(1+'Attrition Modeling'!$N$8)-'IP Attrition'!AZ$65)/12*'IP Attrition'!AZ104,0)))</f>
        <v>0</v>
      </c>
      <c r="BB169" s="799">
        <f>IF(EOMONTH(Inputs!$C$8,'IP Attrition'!BB$134-1)&lt;=Inputs!$C$9,0,MIN(IF(ISERROR(VLOOKUP(BB$134+$F169,$D$135:$D$165,1,FALSE)),0,BA37*$C$2),MAX((IF(Monthly!AX$4=TRUE,Monthly!AX$13,Monthly!AX$14)*(1+'Attrition Modeling'!$N$8)-'IP Attrition'!BA$65)/12*'IP Attrition'!BA104,0)))</f>
        <v>0</v>
      </c>
      <c r="BC169" s="799">
        <f>IF(EOMONTH(Inputs!$C$8,'IP Attrition'!BC$134-1)&lt;=Inputs!$C$9,0,MIN(IF(ISERROR(VLOOKUP(BC$134+$F169,$D$135:$D$165,1,FALSE)),0,BB37*$C$2),MAX((IF(Monthly!AY$4=TRUE,Monthly!AY$13,Monthly!AY$14)*(1+'Attrition Modeling'!$N$8)-'IP Attrition'!BB$65)/12*'IP Attrition'!BB104,0)))</f>
        <v>0</v>
      </c>
      <c r="BD169" s="799">
        <f>IF(EOMONTH(Inputs!$C$8,'IP Attrition'!BD$134-1)&lt;=Inputs!$C$9,0,MIN(IF(ISERROR(VLOOKUP(BD$134+$F169,$D$135:$D$165,1,FALSE)),0,BC37*$C$2),MAX((IF(Monthly!AZ$4=TRUE,Monthly!AZ$13,Monthly!AZ$14)*(1+'Attrition Modeling'!$N$8)-'IP Attrition'!BC$65)/12*'IP Attrition'!BC104,0)))</f>
        <v>0</v>
      </c>
      <c r="BE169" s="799">
        <f>IF(EOMONTH(Inputs!$C$8,'IP Attrition'!BE$134-1)&lt;=Inputs!$C$9,0,MIN(IF(ISERROR(VLOOKUP(BE$134+$F169,$D$135:$D$165,1,FALSE)),0,BD37*$C$2),MAX((IF(Monthly!BA$4=TRUE,Monthly!BA$13,Monthly!BA$14)*(1+'Attrition Modeling'!$N$8)-'IP Attrition'!BD$65)/12*'IP Attrition'!BD104,0)))</f>
        <v>0</v>
      </c>
      <c r="BF169" s="799">
        <f>IF(EOMONTH(Inputs!$C$8,'IP Attrition'!BF$134-1)&lt;=Inputs!$C$9,0,MIN(IF(ISERROR(VLOOKUP(BF$134+$F169,$D$135:$D$165,1,FALSE)),0,BE37*$C$2),MAX((IF(Monthly!BB$4=TRUE,Monthly!BB$13,Monthly!BB$14)*(1+'Attrition Modeling'!$N$8)-'IP Attrition'!BE$65)/12*'IP Attrition'!BE104,0)))</f>
        <v>0</v>
      </c>
      <c r="BG169" s="799">
        <f>IF(EOMONTH(Inputs!$C$8,'IP Attrition'!BG$134-1)&lt;=Inputs!$C$9,0,MIN(IF(ISERROR(VLOOKUP(BG$134+$F169,$D$135:$D$165,1,FALSE)),0,BF37*$C$2),MAX((IF(Monthly!BC$4=TRUE,Monthly!BC$13,Monthly!BC$14)*(1+'Attrition Modeling'!$N$8)-'IP Attrition'!BF$65)/12*'IP Attrition'!BF104,0)))</f>
        <v>0</v>
      </c>
      <c r="BH169" s="799">
        <f>IF(EOMONTH(Inputs!$C$8,'IP Attrition'!BH$134-1)&lt;=Inputs!$C$9,0,MIN(IF(ISERROR(VLOOKUP(BH$134+$F169,$D$135:$D$165,1,FALSE)),0,BG37*$C$2),MAX((IF(Monthly!BD$4=TRUE,Monthly!BD$13,Monthly!BD$14)*(1+'Attrition Modeling'!$N$8)-'IP Attrition'!BG$65)/12*'IP Attrition'!BG104,0)))</f>
        <v>0</v>
      </c>
      <c r="BI169" s="799">
        <f>IF(EOMONTH(Inputs!$C$8,'IP Attrition'!BI$134-1)&lt;=Inputs!$C$9,0,MIN(IF(ISERROR(VLOOKUP(BI$134+$F169,$D$135:$D$165,1,FALSE)),0,BH37*$C$2),MAX((IF(Monthly!BE$4=TRUE,Monthly!BE$13,Monthly!BE$14)*(1+'Attrition Modeling'!$N$8)-'IP Attrition'!BH$65)/12*'IP Attrition'!BH104,0)))</f>
        <v>0</v>
      </c>
      <c r="BJ169" s="799">
        <f>IF(EOMONTH(Inputs!$C$8,'IP Attrition'!BJ$134-1)&lt;=Inputs!$C$9,0,MIN(IF(ISERROR(VLOOKUP(BJ$134+$F169,$D$135:$D$165,1,FALSE)),0,BI37*$C$2),MAX((IF(Monthly!BF$4=TRUE,Monthly!BF$13,Monthly!BF$14)*(1+'Attrition Modeling'!$N$8)-'IP Attrition'!BI$65)/12*'IP Attrition'!BI104,0)))</f>
        <v>0</v>
      </c>
      <c r="BK169" s="799">
        <f>IF(EOMONTH(Inputs!$C$8,'IP Attrition'!BK$134-1)&lt;=Inputs!$C$9,0,MIN(IF(ISERROR(VLOOKUP(BK$134+$F169,$D$135:$D$165,1,FALSE)),0,BJ37*$C$2),MAX((IF(Monthly!BG$4=TRUE,Monthly!BG$13,Monthly!BG$14)*(1+'Attrition Modeling'!$N$8)-'IP Attrition'!BJ$65)/12*'IP Attrition'!BJ104,0)))</f>
        <v>0</v>
      </c>
      <c r="BL169" s="799">
        <f>IF(EOMONTH(Inputs!$C$8,'IP Attrition'!BL$134-1)&lt;=Inputs!$C$9,0,MIN(IF(ISERROR(VLOOKUP(BL$134+$F169,$D$135:$D$165,1,FALSE)),0,BK37*$C$2),MAX((IF(Monthly!BH$4=TRUE,Monthly!BH$13,Monthly!BH$14)*(1+'Attrition Modeling'!$N$8)-'IP Attrition'!BK$65)/12*'IP Attrition'!BK104,0)))</f>
        <v>0</v>
      </c>
      <c r="BM169" s="799">
        <f>IF(EOMONTH(Inputs!$C$8,'IP Attrition'!BM$134-1)&lt;=Inputs!$C$9,0,MIN(IF(ISERROR(VLOOKUP(BM$134+$F169,$D$135:$D$165,1,FALSE)),0,BL37*$C$2),MAX((IF(Monthly!BI$4=TRUE,Monthly!BI$13,Monthly!BI$14)*(1+'Attrition Modeling'!$N$8)-'IP Attrition'!BL$65)/12*'IP Attrition'!BL104,0)))</f>
        <v>0</v>
      </c>
      <c r="BN169" s="799">
        <f>IF(EOMONTH(Inputs!$C$8,'IP Attrition'!BN$134-1)&lt;=Inputs!$C$9,0,MIN(IF(ISERROR(VLOOKUP(BN$134+$F169,$D$135:$D$165,1,FALSE)),0,BM37*$C$2),MAX((IF(Monthly!BJ$4=TRUE,Monthly!BJ$13,Monthly!BJ$14)*(1+'Attrition Modeling'!$N$8)-'IP Attrition'!BM$65)/12*'IP Attrition'!BM104,0)))</f>
        <v>0</v>
      </c>
      <c r="BO169" s="799">
        <f>IF(EOMONTH(Inputs!$C$8,'IP Attrition'!BO$134-1)&lt;=Inputs!$C$9,0,MIN(IF(ISERROR(VLOOKUP(BO$134+$F169,$D$135:$D$165,1,FALSE)),0,BN37*$C$2),MAX((IF(Monthly!BK$4=TRUE,Monthly!BK$13,Monthly!BK$14)*(1+'Attrition Modeling'!$N$8)-'IP Attrition'!BN$65)/12*'IP Attrition'!BN104,0)))</f>
        <v>0</v>
      </c>
      <c r="BP169" s="799">
        <f>IF(EOMONTH(Inputs!$C$8,'IP Attrition'!BP$134-1)&lt;=Inputs!$C$9,0,MIN(IF(ISERROR(VLOOKUP(BP$134+$F169,$D$135:$D$165,1,FALSE)),0,BO37*$C$2),MAX((IF(Monthly!BL$4=TRUE,Monthly!BL$13,Monthly!BL$14)*(1+'Attrition Modeling'!$N$8)-'IP Attrition'!BO$65)/12*'IP Attrition'!BO104,0)))</f>
        <v>0</v>
      </c>
      <c r="BQ169" s="799">
        <f>IF(EOMONTH(Inputs!$C$8,'IP Attrition'!BQ$134-1)&lt;=Inputs!$C$9,0,MIN(IF(ISERROR(VLOOKUP(BQ$134+$F169,$D$135:$D$165,1,FALSE)),0,BP37*$C$2),MAX((IF(Monthly!BM$4=TRUE,Monthly!BM$13,Monthly!BM$14)*(1+'Attrition Modeling'!$N$8)-'IP Attrition'!BP$65)/12*'IP Attrition'!BP104,0)))</f>
        <v>0</v>
      </c>
      <c r="BR169" s="799">
        <f>IF(EOMONTH(Inputs!$C$8,'IP Attrition'!BR$134-1)&lt;=Inputs!$C$9,0,MIN(IF(ISERROR(VLOOKUP(BR$134+$F169,$D$135:$D$165,1,FALSE)),0,BQ37*$C$2),MAX((IF(Monthly!BN$4=TRUE,Monthly!BN$13,Monthly!BN$14)*(1+'Attrition Modeling'!$N$8)-'IP Attrition'!BQ$65)/12*'IP Attrition'!BQ104,0)))</f>
        <v>0</v>
      </c>
      <c r="BS169" s="799">
        <f>IF(EOMONTH(Inputs!$C$8,'IP Attrition'!BS$134-1)&lt;=Inputs!$C$9,0,MIN(IF(ISERROR(VLOOKUP(BS$134+$F169,$D$135:$D$165,1,FALSE)),0,BR37*$C$2),MAX((IF(Monthly!BO$4=TRUE,Monthly!BO$13,Monthly!BO$14)*(1+'Attrition Modeling'!$N$8)-'IP Attrition'!BR$65)/12*'IP Attrition'!BR104,0)))</f>
        <v>0</v>
      </c>
      <c r="BT169" s="799" t="e">
        <f>IF(EOMONTH(Inputs!$C$8,'IP Attrition'!BT$134-1)&lt;=Inputs!$C$9,0,MIN(IF(ISERROR(VLOOKUP(BT$134+$F169,$D$135:$D$165,1,FALSE)),0,BS37*$C$2),MAX((IF(Monthly!#REF!=TRUE,Monthly!#REF!,Monthly!#REF!)*(1+'Attrition Modeling'!$N$8)-'IP Attrition'!BS$65)/12*'IP Attrition'!BS104,0)))</f>
        <v>#REF!</v>
      </c>
      <c r="BU169" s="799" t="e">
        <f>IF(EOMONTH(Inputs!$C$8,'IP Attrition'!BU$134-1)&lt;=Inputs!$C$9,0,MIN(IF(ISERROR(VLOOKUP(BU$134+$F169,$D$135:$D$165,1,FALSE)),0,BT37*$C$2),MAX((IF(Monthly!#REF!=TRUE,Monthly!#REF!,Monthly!#REF!)*(1+'Attrition Modeling'!$N$8)-'IP Attrition'!BT$65)/12*'IP Attrition'!BT104,0)))</f>
        <v>#REF!</v>
      </c>
    </row>
    <row r="170" spans="1:73" ht="14.25" customHeight="1" x14ac:dyDescent="0.2">
      <c r="E170" s="25">
        <f t="shared" si="71"/>
        <v>0</v>
      </c>
      <c r="F170" s="11">
        <f t="shared" si="73"/>
        <v>35</v>
      </c>
      <c r="G170" s="799"/>
      <c r="H170" s="799">
        <f>IF(EOMONTH(Inputs!$C$8,'IP Attrition'!H$134-1)&lt;=Inputs!$C$9,0,MIN(IF(ISERROR(VLOOKUP(H$134+$F170,$D$135:$D$165,1,FALSE)),0,G38*$C$2),MAX((IF(Monthly!D$4=TRUE,Monthly!D$13,Monthly!D$14)*(1+'Attrition Modeling'!$N$8)-'IP Attrition'!G$65)/12*'IP Attrition'!G105,0)))</f>
        <v>0</v>
      </c>
      <c r="I170" s="799">
        <f>IF(EOMONTH(Inputs!$C$8,'IP Attrition'!I$134-1)&lt;=Inputs!$C$9,0,MIN(IF(ISERROR(VLOOKUP(I$134+$F170,$D$135:$D$165,1,FALSE)),0,H38*$C$2),MAX((IF(Monthly!E$4=TRUE,Monthly!E$13,Monthly!E$14)*(1+'Attrition Modeling'!$N$8)-'IP Attrition'!H$65)/12*'IP Attrition'!H105,0)))</f>
        <v>0</v>
      </c>
      <c r="J170" s="799">
        <f>IF(EOMONTH(Inputs!$C$8,'IP Attrition'!J$134-1)&lt;=Inputs!$C$9,0,MIN(IF(ISERROR(VLOOKUP(J$134+$F170,$D$135:$D$165,1,FALSE)),0,I38*$C$2),MAX((IF(Monthly!F$4=TRUE,Monthly!F$13,Monthly!F$14)*(1+'Attrition Modeling'!$N$8)-'IP Attrition'!I$65)/12*'IP Attrition'!I105,0)))</f>
        <v>0</v>
      </c>
      <c r="K170" s="799">
        <f>IF(EOMONTH(Inputs!$C$8,'IP Attrition'!K$134-1)&lt;=Inputs!$C$9,0,MIN(IF(ISERROR(VLOOKUP(K$134+$F170,$D$135:$D$165,1,FALSE)),0,J38*$C$2),MAX((IF(Monthly!G$4=TRUE,Monthly!G$13,Monthly!G$14)*(1+'Attrition Modeling'!$N$8)-'IP Attrition'!J$65)/12*'IP Attrition'!J105,0)))</f>
        <v>0</v>
      </c>
      <c r="L170" s="799">
        <f>IF(EOMONTH(Inputs!$C$8,'IP Attrition'!L$134-1)&lt;=Inputs!$C$9,0,MIN(IF(ISERROR(VLOOKUP(L$134+$F170,$D$135:$D$165,1,FALSE)),0,K38*$C$2),MAX((IF(Monthly!H$4=TRUE,Monthly!H$13,Monthly!H$14)*(1+'Attrition Modeling'!$N$8)-'IP Attrition'!K$65)/12*'IP Attrition'!K105,0)))</f>
        <v>0</v>
      </c>
      <c r="M170" s="799">
        <f>IF(EOMONTH(Inputs!$C$8,'IP Attrition'!M$134-1)&lt;=Inputs!$C$9,0,MIN(IF(ISERROR(VLOOKUP(M$134+$F170,$D$135:$D$165,1,FALSE)),0,L38*$C$2),MAX((IF(Monthly!I$4=TRUE,Monthly!I$13,Monthly!I$14)*(1+'Attrition Modeling'!$N$8)-'IP Attrition'!L$65)/12*'IP Attrition'!L105,0)))</f>
        <v>0</v>
      </c>
      <c r="N170" s="799">
        <f>IF(EOMONTH(Inputs!$C$8,'IP Attrition'!N$134-1)&lt;=Inputs!$C$9,0,MIN(IF(ISERROR(VLOOKUP(N$134+$F170,$D$135:$D$165,1,FALSE)),0,M38*$C$2),MAX((IF(Monthly!J$4=TRUE,Monthly!J$13,Monthly!J$14)*(1+'Attrition Modeling'!$N$8)-'IP Attrition'!M$65)/12*'IP Attrition'!M105,0)))</f>
        <v>0</v>
      </c>
      <c r="O170" s="799">
        <f>IF(EOMONTH(Inputs!$C$8,'IP Attrition'!O$134-1)&lt;=Inputs!$C$9,0,MIN(IF(ISERROR(VLOOKUP(O$134+$F170,$D$135:$D$165,1,FALSE)),0,N38*$C$2),MAX((IF(Monthly!K$4=TRUE,Monthly!K$13,Monthly!K$14)*(1+'Attrition Modeling'!$N$8)-'IP Attrition'!N$65)/12*'IP Attrition'!N105,0)))</f>
        <v>0</v>
      </c>
      <c r="P170" s="799">
        <f>IF(EOMONTH(Inputs!$C$8,'IP Attrition'!P$134-1)&lt;=Inputs!$C$9,0,MIN(IF(ISERROR(VLOOKUP(P$134+$F170,$D$135:$D$165,1,FALSE)),0,O38*$C$2),MAX((IF(Monthly!L$4=TRUE,Monthly!L$13,Monthly!L$14)*(1+'Attrition Modeling'!$N$8)-'IP Attrition'!O$65)/12*'IP Attrition'!O105,0)))</f>
        <v>0</v>
      </c>
      <c r="Q170" s="799">
        <f>IF(EOMONTH(Inputs!$C$8,'IP Attrition'!Q$134-1)&lt;=Inputs!$C$9,0,MIN(IF(ISERROR(VLOOKUP(Q$134+$F170,$D$135:$D$165,1,FALSE)),0,P38*$C$2),MAX((IF(Monthly!M$4=TRUE,Monthly!M$13,Monthly!M$14)*(1+'Attrition Modeling'!$N$8)-'IP Attrition'!P$65)/12*'IP Attrition'!P105,0)))</f>
        <v>0</v>
      </c>
      <c r="R170" s="799">
        <f>IF(EOMONTH(Inputs!$C$8,'IP Attrition'!R$134-1)&lt;=Inputs!$C$9,0,MIN(IF(ISERROR(VLOOKUP(R$134+$F170,$D$135:$D$165,1,FALSE)),0,Q38*$C$2),MAX((IF(Monthly!N$4=TRUE,Monthly!N$13,Monthly!N$14)*(1+'Attrition Modeling'!$N$8)-'IP Attrition'!Q$65)/12*'IP Attrition'!Q105,0)))</f>
        <v>0</v>
      </c>
      <c r="S170" s="799">
        <f>IF(EOMONTH(Inputs!$C$8,'IP Attrition'!S$134-1)&lt;=Inputs!$C$9,0,MIN(IF(ISERROR(VLOOKUP(S$134+$F170,$D$135:$D$165,1,FALSE)),0,R38*$C$2),MAX((IF(Monthly!O$4=TRUE,Monthly!O$13,Monthly!O$14)*(1+'Attrition Modeling'!$N$8)-'IP Attrition'!R$65)/12*'IP Attrition'!R105,0)))</f>
        <v>0</v>
      </c>
      <c r="T170" s="799">
        <f>IF(EOMONTH(Inputs!$C$8,'IP Attrition'!T$134-1)&lt;=Inputs!$C$9,0,MIN(IF(ISERROR(VLOOKUP(T$134+$F170,$D$135:$D$165,1,FALSE)),0,S38*$C$2),MAX((IF(Monthly!P$4=TRUE,Monthly!P$13,Monthly!P$14)*(1+'Attrition Modeling'!$N$8)-'IP Attrition'!S$65)/12*'IP Attrition'!S105,0)))</f>
        <v>0</v>
      </c>
      <c r="U170" s="799">
        <f>IF(EOMONTH(Inputs!$C$8,'IP Attrition'!U$134-1)&lt;=Inputs!$C$9,0,MIN(IF(ISERROR(VLOOKUP(U$134+$F170,$D$135:$D$165,1,FALSE)),0,T38*$C$2),MAX((IF(Monthly!Q$4=TRUE,Monthly!Q$13,Monthly!Q$14)*(1+'Attrition Modeling'!$N$8)-'IP Attrition'!T$65)/12*'IP Attrition'!T105,0)))</f>
        <v>0</v>
      </c>
      <c r="V170" s="799">
        <f>IF(EOMONTH(Inputs!$C$8,'IP Attrition'!V$134-1)&lt;=Inputs!$C$9,0,MIN(IF(ISERROR(VLOOKUP(V$134+$F170,$D$135:$D$165,1,FALSE)),0,U38*$C$2),MAX((IF(Monthly!R$4=TRUE,Monthly!R$13,Monthly!R$14)*(1+'Attrition Modeling'!$N$8)-'IP Attrition'!U$65)/12*'IP Attrition'!U105,0)))</f>
        <v>0</v>
      </c>
      <c r="W170" s="799">
        <f>IF(EOMONTH(Inputs!$C$8,'IP Attrition'!W$134-1)&lt;=Inputs!$C$9,0,MIN(IF(ISERROR(VLOOKUP(W$134+$F170,$D$135:$D$165,1,FALSE)),0,V38*$C$2),MAX((IF(Monthly!S$4=TRUE,Monthly!S$13,Monthly!S$14)*(1+'Attrition Modeling'!$N$8)-'IP Attrition'!V$65)/12*'IP Attrition'!V105,0)))</f>
        <v>0</v>
      </c>
      <c r="X170" s="799">
        <f>IF(EOMONTH(Inputs!$C$8,'IP Attrition'!X$134-1)&lt;=Inputs!$C$9,0,MIN(IF(ISERROR(VLOOKUP(X$134+$F170,$D$135:$D$165,1,FALSE)),0,W38*$C$2),MAX((IF(Monthly!T$4=TRUE,Monthly!T$13,Monthly!T$14)*(1+'Attrition Modeling'!$N$8)-'IP Attrition'!W$65)/12*'IP Attrition'!W105,0)))</f>
        <v>0</v>
      </c>
      <c r="Y170" s="799">
        <f>IF(EOMONTH(Inputs!$C$8,'IP Attrition'!Y$134-1)&lt;=Inputs!$C$9,0,MIN(IF(ISERROR(VLOOKUP(Y$134+$F170,$D$135:$D$165,1,FALSE)),0,X38*$C$2),MAX((IF(Monthly!U$4=TRUE,Monthly!U$13,Monthly!U$14)*(1+'Attrition Modeling'!$N$8)-'IP Attrition'!X$65)/12*'IP Attrition'!X105,0)))</f>
        <v>0</v>
      </c>
      <c r="Z170" s="799">
        <f>IF(EOMONTH(Inputs!$C$8,'IP Attrition'!Z$134-1)&lt;=Inputs!$C$9,0,MIN(IF(ISERROR(VLOOKUP(Z$134+$F170,$D$135:$D$165,1,FALSE)),0,Y38*$C$2),MAX((IF(Monthly!V$4=TRUE,Monthly!V$13,Monthly!V$14)*(1+'Attrition Modeling'!$N$8)-'IP Attrition'!Y$65)/12*'IP Attrition'!Y105,0)))</f>
        <v>0</v>
      </c>
      <c r="AA170" s="799">
        <f>IF(EOMONTH(Inputs!$C$8,'IP Attrition'!AA$134-1)&lt;=Inputs!$C$9,0,MIN(IF(ISERROR(VLOOKUP(AA$134+$F170,$D$135:$D$165,1,FALSE)),0,Z38*$C$2),MAX((IF(Monthly!W$4=TRUE,Monthly!W$13,Monthly!W$14)*(1+'Attrition Modeling'!$N$8)-'IP Attrition'!Z$65)/12*'IP Attrition'!Z105,0)))</f>
        <v>0</v>
      </c>
      <c r="AB170" s="799">
        <f>IF(EOMONTH(Inputs!$C$8,'IP Attrition'!AB$134-1)&lt;=Inputs!$C$9,0,MIN(IF(ISERROR(VLOOKUP(AB$134+$F170,$D$135:$D$165,1,FALSE)),0,AA38*$C$2),MAX((IF(Monthly!X$4=TRUE,Monthly!X$13,Monthly!X$14)*(1+'Attrition Modeling'!$N$8)-'IP Attrition'!AA$65)/12*'IP Attrition'!AA105,0)))</f>
        <v>0</v>
      </c>
      <c r="AC170" s="799">
        <f>IF(EOMONTH(Inputs!$C$8,'IP Attrition'!AC$134-1)&lt;=Inputs!$C$9,0,MIN(IF(ISERROR(VLOOKUP(AC$134+$F170,$D$135:$D$165,1,FALSE)),0,AB38*$C$2),MAX((IF(Monthly!Y$4=TRUE,Monthly!Y$13,Monthly!Y$14)*(1+'Attrition Modeling'!$N$8)-'IP Attrition'!AB$65)/12*'IP Attrition'!AB105,0)))</f>
        <v>0</v>
      </c>
      <c r="AD170" s="799">
        <f>IF(EOMONTH(Inputs!$C$8,'IP Attrition'!AD$134-1)&lt;=Inputs!$C$9,0,MIN(IF(ISERROR(VLOOKUP(AD$134+$F170,$D$135:$D$165,1,FALSE)),0,AC38*$C$2),MAX((IF(Monthly!Z$4=TRUE,Monthly!Z$13,Monthly!Z$14)*(1+'Attrition Modeling'!$N$8)-'IP Attrition'!AC$65)/12*'IP Attrition'!AC105,0)))</f>
        <v>0</v>
      </c>
      <c r="AE170" s="799">
        <f>IF(EOMONTH(Inputs!$C$8,'IP Attrition'!AE$134-1)&lt;=Inputs!$C$9,0,MIN(IF(ISERROR(VLOOKUP(AE$134+$F170,$D$135:$D$165,1,FALSE)),0,AD38*$C$2),MAX((IF(Monthly!AA$4=TRUE,Monthly!AA$13,Monthly!AA$14)*(1+'Attrition Modeling'!$N$8)-'IP Attrition'!AD$65)/12*'IP Attrition'!AD105,0)))</f>
        <v>0</v>
      </c>
      <c r="AF170" s="799">
        <f>IF(EOMONTH(Inputs!$C$8,'IP Attrition'!AF$134-1)&lt;=Inputs!$C$9,0,MIN(IF(ISERROR(VLOOKUP(AF$134+$F170,$D$135:$D$165,1,FALSE)),0,AE38*$C$2),MAX((IF(Monthly!AB$4=TRUE,Monthly!AB$13,Monthly!AB$14)*(1+'Attrition Modeling'!$N$8)-'IP Attrition'!AE$65)/12*'IP Attrition'!AE105,0)))</f>
        <v>0</v>
      </c>
      <c r="AG170" s="799">
        <f>IF(EOMONTH(Inputs!$C$8,'IP Attrition'!AG$134-1)&lt;=Inputs!$C$9,0,MIN(IF(ISERROR(VLOOKUP(AG$134+$F170,$D$135:$D$165,1,FALSE)),0,AF38*$C$2),MAX((IF(Monthly!AC$4=TRUE,Monthly!AC$13,Monthly!AC$14)*(1+'Attrition Modeling'!$N$8)-'IP Attrition'!AF$65)/12*'IP Attrition'!AF105,0)))</f>
        <v>0</v>
      </c>
      <c r="AH170" s="799">
        <f>IF(EOMONTH(Inputs!$C$8,'IP Attrition'!AH$134-1)&lt;=Inputs!$C$9,0,MIN(IF(ISERROR(VLOOKUP(AH$134+$F170,$D$135:$D$165,1,FALSE)),0,AG38*$C$2),MAX((IF(Monthly!AD$4=TRUE,Monthly!AD$13,Monthly!AD$14)*(1+'Attrition Modeling'!$N$8)-'IP Attrition'!AG$65)/12*'IP Attrition'!AG105,0)))</f>
        <v>0</v>
      </c>
      <c r="AI170" s="799">
        <f>IF(EOMONTH(Inputs!$C$8,'IP Attrition'!AI$134-1)&lt;=Inputs!$C$9,0,MIN(IF(ISERROR(VLOOKUP(AI$134+$F170,$D$135:$D$165,1,FALSE)),0,AH38*$C$2),MAX((IF(Monthly!AE$4=TRUE,Monthly!AE$13,Monthly!AE$14)*(1+'Attrition Modeling'!$N$8)-'IP Attrition'!AH$65)/12*'IP Attrition'!AH105,0)))</f>
        <v>0</v>
      </c>
      <c r="AJ170" s="799">
        <f>IF(EOMONTH(Inputs!$C$8,'IP Attrition'!AJ$134-1)&lt;=Inputs!$C$9,0,MIN(IF(ISERROR(VLOOKUP(AJ$134+$F170,$D$135:$D$165,1,FALSE)),0,AI38*$C$2),MAX((IF(Monthly!AF$4=TRUE,Monthly!AF$13,Monthly!AF$14)*(1+'Attrition Modeling'!$N$8)-'IP Attrition'!AI$65)/12*'IP Attrition'!AI105,0)))</f>
        <v>0</v>
      </c>
      <c r="AK170" s="799">
        <f>IF(EOMONTH(Inputs!$C$8,'IP Attrition'!AK$134-1)&lt;=Inputs!$C$9,0,MIN(IF(ISERROR(VLOOKUP(AK$134+$F170,$D$135:$D$165,1,FALSE)),0,AJ38*$C$2),MAX((IF(Monthly!AG$4=TRUE,Monthly!AG$13,Monthly!AG$14)*(1+'Attrition Modeling'!$N$8)-'IP Attrition'!AJ$65)/12*'IP Attrition'!AJ105,0)))</f>
        <v>0</v>
      </c>
      <c r="AL170" s="799">
        <f>IF(EOMONTH(Inputs!$C$8,'IP Attrition'!AL$134-1)&lt;=Inputs!$C$9,0,MIN(IF(ISERROR(VLOOKUP(AL$134+$F170,$D$135:$D$165,1,FALSE)),0,AK38*$C$2),MAX((IF(Monthly!AH$4=TRUE,Monthly!AH$13,Monthly!AH$14)*(1+'Attrition Modeling'!$N$8)-'IP Attrition'!AK$65)/12*'IP Attrition'!AK105,0)))</f>
        <v>0</v>
      </c>
      <c r="AM170" s="799">
        <f>IF(EOMONTH(Inputs!$C$8,'IP Attrition'!AM$134-1)&lt;=Inputs!$C$9,0,MIN(IF(ISERROR(VLOOKUP(AM$134+$F170,$D$135:$D$165,1,FALSE)),0,AL38*$C$2),MAX((IF(Monthly!AI$4=TRUE,Monthly!AI$13,Monthly!AI$14)*(1+'Attrition Modeling'!$N$8)-'IP Attrition'!AL$65)/12*'IP Attrition'!AL105,0)))</f>
        <v>0</v>
      </c>
      <c r="AN170" s="799">
        <f>IF(EOMONTH(Inputs!$C$8,'IP Attrition'!AN$134-1)&lt;=Inputs!$C$9,0,MIN(IF(ISERROR(VLOOKUP(AN$134+$F170,$D$135:$D$165,1,FALSE)),0,AM38*$C$2),MAX((IF(Monthly!AJ$4=TRUE,Monthly!AJ$13,Monthly!AJ$14)*(1+'Attrition Modeling'!$N$8)-'IP Attrition'!AM$65)/12*'IP Attrition'!AM105,0)))</f>
        <v>0</v>
      </c>
      <c r="AO170" s="799">
        <f>IF(EOMONTH(Inputs!$C$8,'IP Attrition'!AO$134-1)&lt;=Inputs!$C$9,0,MIN(IF(ISERROR(VLOOKUP(AO$134+$F170,$D$135:$D$165,1,FALSE)),0,AN38*$C$2),MAX((IF(Monthly!AK$4=TRUE,Monthly!AK$13,Monthly!AK$14)*(1+'Attrition Modeling'!$N$8)-'IP Attrition'!AN$65)/12*'IP Attrition'!AN105,0)))</f>
        <v>0</v>
      </c>
      <c r="AP170" s="799">
        <f>IF(EOMONTH(Inputs!$C$8,'IP Attrition'!AP$134-1)&lt;=Inputs!$C$9,0,MIN(IF(ISERROR(VLOOKUP(AP$134+$F170,$D$135:$D$165,1,FALSE)),0,AO38*$C$2),MAX((IF(Monthly!AL$4=TRUE,Monthly!AL$13,Monthly!AL$14)*(1+'Attrition Modeling'!$N$8)-'IP Attrition'!AO$65)/12*'IP Attrition'!AO105,0)))</f>
        <v>0</v>
      </c>
      <c r="AQ170" s="799">
        <f>IF(EOMONTH(Inputs!$C$8,'IP Attrition'!AQ$134-1)&lt;=Inputs!$C$9,0,MIN(IF(ISERROR(VLOOKUP(AQ$134+$F170,$D$135:$D$165,1,FALSE)),0,AP38*$C$2),MAX((IF(Monthly!AM$4=TRUE,Monthly!AM$13,Monthly!AM$14)*(1+'Attrition Modeling'!$N$8)-'IP Attrition'!AP$65)/12*'IP Attrition'!AP105,0)))</f>
        <v>0</v>
      </c>
      <c r="AR170" s="799">
        <f>IF(EOMONTH(Inputs!$C$8,'IP Attrition'!AR$134-1)&lt;=Inputs!$C$9,0,MIN(IF(ISERROR(VLOOKUP(AR$134+$F170,$D$135:$D$165,1,FALSE)),0,AQ38*$C$2),MAX((IF(Monthly!AN$4=TRUE,Monthly!AN$13,Monthly!AN$14)*(1+'Attrition Modeling'!$N$8)-'IP Attrition'!AQ$65)/12*'IP Attrition'!AQ105,0)))</f>
        <v>0</v>
      </c>
      <c r="AS170" s="799">
        <f>IF(EOMONTH(Inputs!$C$8,'IP Attrition'!AS$134-1)&lt;=Inputs!$C$9,0,MIN(IF(ISERROR(VLOOKUP(AS$134+$F170,$D$135:$D$165,1,FALSE)),0,AR38*$C$2),MAX((IF(Monthly!AO$4=TRUE,Monthly!AO$13,Monthly!AO$14)*(1+'Attrition Modeling'!$N$8)-'IP Attrition'!AR$65)/12*'IP Attrition'!AR105,0)))</f>
        <v>0</v>
      </c>
      <c r="AT170" s="799">
        <f>IF(EOMONTH(Inputs!$C$8,'IP Attrition'!AT$134-1)&lt;=Inputs!$C$9,0,MIN(IF(ISERROR(VLOOKUP(AT$134+$F170,$D$135:$D$165,1,FALSE)),0,AS38*$C$2),MAX((IF(Monthly!AP$4=TRUE,Monthly!AP$13,Monthly!AP$14)*(1+'Attrition Modeling'!$N$8)-'IP Attrition'!AS$65)/12*'IP Attrition'!AS105,0)))</f>
        <v>0</v>
      </c>
      <c r="AU170" s="799">
        <f>IF(EOMONTH(Inputs!$C$8,'IP Attrition'!AU$134-1)&lt;=Inputs!$C$9,0,MIN(IF(ISERROR(VLOOKUP(AU$134+$F170,$D$135:$D$165,1,FALSE)),0,AT38*$C$2),MAX((IF(Monthly!AQ$4=TRUE,Monthly!AQ$13,Monthly!AQ$14)*(1+'Attrition Modeling'!$N$8)-'IP Attrition'!AT$65)/12*'IP Attrition'!AT105,0)))</f>
        <v>0</v>
      </c>
      <c r="AV170" s="799">
        <f>IF(EOMONTH(Inputs!$C$8,'IP Attrition'!AV$134-1)&lt;=Inputs!$C$9,0,MIN(IF(ISERROR(VLOOKUP(AV$134+$F170,$D$135:$D$165,1,FALSE)),0,AU38*$C$2),MAX((IF(Monthly!AR$4=TRUE,Monthly!AR$13,Monthly!AR$14)*(1+'Attrition Modeling'!$N$8)-'IP Attrition'!AU$65)/12*'IP Attrition'!AU105,0)))</f>
        <v>0</v>
      </c>
      <c r="AW170" s="799">
        <f>IF(EOMONTH(Inputs!$C$8,'IP Attrition'!AW$134-1)&lt;=Inputs!$C$9,0,MIN(IF(ISERROR(VLOOKUP(AW$134+$F170,$D$135:$D$165,1,FALSE)),0,AV38*$C$2),MAX((IF(Monthly!AS$4=TRUE,Monthly!AS$13,Monthly!AS$14)*(1+'Attrition Modeling'!$N$8)-'IP Attrition'!AV$65)/12*'IP Attrition'!AV105,0)))</f>
        <v>0</v>
      </c>
      <c r="AX170" s="799">
        <f>IF(EOMONTH(Inputs!$C$8,'IP Attrition'!AX$134-1)&lt;=Inputs!$C$9,0,MIN(IF(ISERROR(VLOOKUP(AX$134+$F170,$D$135:$D$165,1,FALSE)),0,AW38*$C$2),MAX((IF(Monthly!AT$4=TRUE,Monthly!AT$13,Monthly!AT$14)*(1+'Attrition Modeling'!$N$8)-'IP Attrition'!AW$65)/12*'IP Attrition'!AW105,0)))</f>
        <v>0</v>
      </c>
      <c r="AY170" s="799">
        <f>IF(EOMONTH(Inputs!$C$8,'IP Attrition'!AY$134-1)&lt;=Inputs!$C$9,0,MIN(IF(ISERROR(VLOOKUP(AY$134+$F170,$D$135:$D$165,1,FALSE)),0,AX38*$C$2),MAX((IF(Monthly!AU$4=TRUE,Monthly!AU$13,Monthly!AU$14)*(1+'Attrition Modeling'!$N$8)-'IP Attrition'!AX$65)/12*'IP Attrition'!AX105,0)))</f>
        <v>0</v>
      </c>
      <c r="AZ170" s="799">
        <f>IF(EOMONTH(Inputs!$C$8,'IP Attrition'!AZ$134-1)&lt;=Inputs!$C$9,0,MIN(IF(ISERROR(VLOOKUP(AZ$134+$F170,$D$135:$D$165,1,FALSE)),0,AY38*$C$2),MAX((IF(Monthly!AV$4=TRUE,Monthly!AV$13,Monthly!AV$14)*(1+'Attrition Modeling'!$N$8)-'IP Attrition'!AY$65)/12*'IP Attrition'!AY105,0)))</f>
        <v>0</v>
      </c>
      <c r="BA170" s="799">
        <f>IF(EOMONTH(Inputs!$C$8,'IP Attrition'!BA$134-1)&lt;=Inputs!$C$9,0,MIN(IF(ISERROR(VLOOKUP(BA$134+$F170,$D$135:$D$165,1,FALSE)),0,AZ38*$C$2),MAX((IF(Monthly!AW$4=TRUE,Monthly!AW$13,Monthly!AW$14)*(1+'Attrition Modeling'!$N$8)-'IP Attrition'!AZ$65)/12*'IP Attrition'!AZ105,0)))</f>
        <v>0</v>
      </c>
      <c r="BB170" s="799">
        <f>IF(EOMONTH(Inputs!$C$8,'IP Attrition'!BB$134-1)&lt;=Inputs!$C$9,0,MIN(IF(ISERROR(VLOOKUP(BB$134+$F170,$D$135:$D$165,1,FALSE)),0,BA38*$C$2),MAX((IF(Monthly!AX$4=TRUE,Monthly!AX$13,Monthly!AX$14)*(1+'Attrition Modeling'!$N$8)-'IP Attrition'!BA$65)/12*'IP Attrition'!BA105,0)))</f>
        <v>0</v>
      </c>
      <c r="BC170" s="799">
        <f>IF(EOMONTH(Inputs!$C$8,'IP Attrition'!BC$134-1)&lt;=Inputs!$C$9,0,MIN(IF(ISERROR(VLOOKUP(BC$134+$F170,$D$135:$D$165,1,FALSE)),0,BB38*$C$2),MAX((IF(Monthly!AY$4=TRUE,Monthly!AY$13,Monthly!AY$14)*(1+'Attrition Modeling'!$N$8)-'IP Attrition'!BB$65)/12*'IP Attrition'!BB105,0)))</f>
        <v>0</v>
      </c>
      <c r="BD170" s="799">
        <f>IF(EOMONTH(Inputs!$C$8,'IP Attrition'!BD$134-1)&lt;=Inputs!$C$9,0,MIN(IF(ISERROR(VLOOKUP(BD$134+$F170,$D$135:$D$165,1,FALSE)),0,BC38*$C$2),MAX((IF(Monthly!AZ$4=TRUE,Monthly!AZ$13,Monthly!AZ$14)*(1+'Attrition Modeling'!$N$8)-'IP Attrition'!BC$65)/12*'IP Attrition'!BC105,0)))</f>
        <v>0</v>
      </c>
      <c r="BE170" s="799">
        <f>IF(EOMONTH(Inputs!$C$8,'IP Attrition'!BE$134-1)&lt;=Inputs!$C$9,0,MIN(IF(ISERROR(VLOOKUP(BE$134+$F170,$D$135:$D$165,1,FALSE)),0,BD38*$C$2),MAX((IF(Monthly!BA$4=TRUE,Monthly!BA$13,Monthly!BA$14)*(1+'Attrition Modeling'!$N$8)-'IP Attrition'!BD$65)/12*'IP Attrition'!BD105,0)))</f>
        <v>0</v>
      </c>
      <c r="BF170" s="799">
        <f>IF(EOMONTH(Inputs!$C$8,'IP Attrition'!BF$134-1)&lt;=Inputs!$C$9,0,MIN(IF(ISERROR(VLOOKUP(BF$134+$F170,$D$135:$D$165,1,FALSE)),0,BE38*$C$2),MAX((IF(Monthly!BB$4=TRUE,Monthly!BB$13,Monthly!BB$14)*(1+'Attrition Modeling'!$N$8)-'IP Attrition'!BE$65)/12*'IP Attrition'!BE105,0)))</f>
        <v>0</v>
      </c>
      <c r="BG170" s="799">
        <f>IF(EOMONTH(Inputs!$C$8,'IP Attrition'!BG$134-1)&lt;=Inputs!$C$9,0,MIN(IF(ISERROR(VLOOKUP(BG$134+$F170,$D$135:$D$165,1,FALSE)),0,BF38*$C$2),MAX((IF(Monthly!BC$4=TRUE,Monthly!BC$13,Monthly!BC$14)*(1+'Attrition Modeling'!$N$8)-'IP Attrition'!BF$65)/12*'IP Attrition'!BF105,0)))</f>
        <v>0</v>
      </c>
      <c r="BH170" s="799">
        <f>IF(EOMONTH(Inputs!$C$8,'IP Attrition'!BH$134-1)&lt;=Inputs!$C$9,0,MIN(IF(ISERROR(VLOOKUP(BH$134+$F170,$D$135:$D$165,1,FALSE)),0,BG38*$C$2),MAX((IF(Monthly!BD$4=TRUE,Monthly!BD$13,Monthly!BD$14)*(1+'Attrition Modeling'!$N$8)-'IP Attrition'!BG$65)/12*'IP Attrition'!BG105,0)))</f>
        <v>0</v>
      </c>
      <c r="BI170" s="799">
        <f>IF(EOMONTH(Inputs!$C$8,'IP Attrition'!BI$134-1)&lt;=Inputs!$C$9,0,MIN(IF(ISERROR(VLOOKUP(BI$134+$F170,$D$135:$D$165,1,FALSE)),0,BH38*$C$2),MAX((IF(Monthly!BE$4=TRUE,Monthly!BE$13,Monthly!BE$14)*(1+'Attrition Modeling'!$N$8)-'IP Attrition'!BH$65)/12*'IP Attrition'!BH105,0)))</f>
        <v>0</v>
      </c>
      <c r="BJ170" s="799">
        <f>IF(EOMONTH(Inputs!$C$8,'IP Attrition'!BJ$134-1)&lt;=Inputs!$C$9,0,MIN(IF(ISERROR(VLOOKUP(BJ$134+$F170,$D$135:$D$165,1,FALSE)),0,BI38*$C$2),MAX((IF(Monthly!BF$4=TRUE,Monthly!BF$13,Monthly!BF$14)*(1+'Attrition Modeling'!$N$8)-'IP Attrition'!BI$65)/12*'IP Attrition'!BI105,0)))</f>
        <v>0</v>
      </c>
      <c r="BK170" s="799">
        <f>IF(EOMONTH(Inputs!$C$8,'IP Attrition'!BK$134-1)&lt;=Inputs!$C$9,0,MIN(IF(ISERROR(VLOOKUP(BK$134+$F170,$D$135:$D$165,1,FALSE)),0,BJ38*$C$2),MAX((IF(Monthly!BG$4=TRUE,Monthly!BG$13,Monthly!BG$14)*(1+'Attrition Modeling'!$N$8)-'IP Attrition'!BJ$65)/12*'IP Attrition'!BJ105,0)))</f>
        <v>0</v>
      </c>
      <c r="BL170" s="799">
        <f>IF(EOMONTH(Inputs!$C$8,'IP Attrition'!BL$134-1)&lt;=Inputs!$C$9,0,MIN(IF(ISERROR(VLOOKUP(BL$134+$F170,$D$135:$D$165,1,FALSE)),0,BK38*$C$2),MAX((IF(Monthly!BH$4=TRUE,Monthly!BH$13,Monthly!BH$14)*(1+'Attrition Modeling'!$N$8)-'IP Attrition'!BK$65)/12*'IP Attrition'!BK105,0)))</f>
        <v>0</v>
      </c>
      <c r="BM170" s="799">
        <f>IF(EOMONTH(Inputs!$C$8,'IP Attrition'!BM$134-1)&lt;=Inputs!$C$9,0,MIN(IF(ISERROR(VLOOKUP(BM$134+$F170,$D$135:$D$165,1,FALSE)),0,BL38*$C$2),MAX((IF(Monthly!BI$4=TRUE,Monthly!BI$13,Monthly!BI$14)*(1+'Attrition Modeling'!$N$8)-'IP Attrition'!BL$65)/12*'IP Attrition'!BL105,0)))</f>
        <v>0</v>
      </c>
      <c r="BN170" s="799">
        <f>IF(EOMONTH(Inputs!$C$8,'IP Attrition'!BN$134-1)&lt;=Inputs!$C$9,0,MIN(IF(ISERROR(VLOOKUP(BN$134+$F170,$D$135:$D$165,1,FALSE)),0,BM38*$C$2),MAX((IF(Monthly!BJ$4=TRUE,Monthly!BJ$13,Monthly!BJ$14)*(1+'Attrition Modeling'!$N$8)-'IP Attrition'!BM$65)/12*'IP Attrition'!BM105,0)))</f>
        <v>0</v>
      </c>
      <c r="BO170" s="799">
        <f>IF(EOMONTH(Inputs!$C$8,'IP Attrition'!BO$134-1)&lt;=Inputs!$C$9,0,MIN(IF(ISERROR(VLOOKUP(BO$134+$F170,$D$135:$D$165,1,FALSE)),0,BN38*$C$2),MAX((IF(Monthly!BK$4=TRUE,Monthly!BK$13,Monthly!BK$14)*(1+'Attrition Modeling'!$N$8)-'IP Attrition'!BN$65)/12*'IP Attrition'!BN105,0)))</f>
        <v>0</v>
      </c>
      <c r="BP170" s="799">
        <f>IF(EOMONTH(Inputs!$C$8,'IP Attrition'!BP$134-1)&lt;=Inputs!$C$9,0,MIN(IF(ISERROR(VLOOKUP(BP$134+$F170,$D$135:$D$165,1,FALSE)),0,BO38*$C$2),MAX((IF(Monthly!BL$4=TRUE,Monthly!BL$13,Monthly!BL$14)*(1+'Attrition Modeling'!$N$8)-'IP Attrition'!BO$65)/12*'IP Attrition'!BO105,0)))</f>
        <v>0</v>
      </c>
      <c r="BQ170" s="799">
        <f>IF(EOMONTH(Inputs!$C$8,'IP Attrition'!BQ$134-1)&lt;=Inputs!$C$9,0,MIN(IF(ISERROR(VLOOKUP(BQ$134+$F170,$D$135:$D$165,1,FALSE)),0,BP38*$C$2),MAX((IF(Monthly!BM$4=TRUE,Monthly!BM$13,Monthly!BM$14)*(1+'Attrition Modeling'!$N$8)-'IP Attrition'!BP$65)/12*'IP Attrition'!BP105,0)))</f>
        <v>0</v>
      </c>
      <c r="BR170" s="799">
        <f>IF(EOMONTH(Inputs!$C$8,'IP Attrition'!BR$134-1)&lt;=Inputs!$C$9,0,MIN(IF(ISERROR(VLOOKUP(BR$134+$F170,$D$135:$D$165,1,FALSE)),0,BQ38*$C$2),MAX((IF(Monthly!BN$4=TRUE,Monthly!BN$13,Monthly!BN$14)*(1+'Attrition Modeling'!$N$8)-'IP Attrition'!BQ$65)/12*'IP Attrition'!BQ105,0)))</f>
        <v>0</v>
      </c>
      <c r="BS170" s="799">
        <f>IF(EOMONTH(Inputs!$C$8,'IP Attrition'!BS$134-1)&lt;=Inputs!$C$9,0,MIN(IF(ISERROR(VLOOKUP(BS$134+$F170,$D$135:$D$165,1,FALSE)),0,BR38*$C$2),MAX((IF(Monthly!BO$4=TRUE,Monthly!BO$13,Monthly!BO$14)*(1+'Attrition Modeling'!$N$8)-'IP Attrition'!BR$65)/12*'IP Attrition'!BR105,0)))</f>
        <v>0</v>
      </c>
      <c r="BT170" s="799" t="e">
        <f>IF(EOMONTH(Inputs!$C$8,'IP Attrition'!BT$134-1)&lt;=Inputs!$C$9,0,MIN(IF(ISERROR(VLOOKUP(BT$134+$F170,$D$135:$D$165,1,FALSE)),0,BS38*$C$2),MAX((IF(Monthly!#REF!=TRUE,Monthly!#REF!,Monthly!#REF!)*(1+'Attrition Modeling'!$N$8)-'IP Attrition'!BS$65)/12*'IP Attrition'!BS105,0)))</f>
        <v>#REF!</v>
      </c>
      <c r="BU170" s="799" t="e">
        <f>IF(EOMONTH(Inputs!$C$8,'IP Attrition'!BU$134-1)&lt;=Inputs!$C$9,0,MIN(IF(ISERROR(VLOOKUP(BU$134+$F170,$D$135:$D$165,1,FALSE)),0,BT38*$C$2),MAX((IF(Monthly!#REF!=TRUE,Monthly!#REF!,Monthly!#REF!)*(1+'Attrition Modeling'!$N$8)-'IP Attrition'!BT$65)/12*'IP Attrition'!BT105,0)))</f>
        <v>#REF!</v>
      </c>
    </row>
    <row r="171" spans="1:73" ht="14.25" customHeight="1" x14ac:dyDescent="0.2">
      <c r="E171" s="25">
        <f t="shared" si="71"/>
        <v>0</v>
      </c>
      <c r="F171" s="11">
        <f t="shared" si="73"/>
        <v>36</v>
      </c>
      <c r="G171" s="799"/>
      <c r="H171" s="799">
        <f>IF(EOMONTH(Inputs!$C$8,'IP Attrition'!H$134-1)&lt;=Inputs!$C$9,0,MIN(IF(ISERROR(VLOOKUP(H$134+$F171,$D$135:$D$165,1,FALSE)),0,G39*$C$2),MAX((IF(Monthly!D$4=TRUE,Monthly!D$13,Monthly!D$14)*(1+'Attrition Modeling'!$N$8)-'IP Attrition'!G$65)/12*'IP Attrition'!G106,0)))</f>
        <v>0</v>
      </c>
      <c r="I171" s="799">
        <f>IF(EOMONTH(Inputs!$C$8,'IP Attrition'!I$134-1)&lt;=Inputs!$C$9,0,MIN(IF(ISERROR(VLOOKUP(I$134+$F171,$D$135:$D$165,1,FALSE)),0,H39*$C$2),MAX((IF(Monthly!E$4=TRUE,Monthly!E$13,Monthly!E$14)*(1+'Attrition Modeling'!$N$8)-'IP Attrition'!H$65)/12*'IP Attrition'!H106,0)))</f>
        <v>0</v>
      </c>
      <c r="J171" s="799">
        <f>IF(EOMONTH(Inputs!$C$8,'IP Attrition'!J$134-1)&lt;=Inputs!$C$9,0,MIN(IF(ISERROR(VLOOKUP(J$134+$F171,$D$135:$D$165,1,FALSE)),0,I39*$C$2),MAX((IF(Monthly!F$4=TRUE,Monthly!F$13,Monthly!F$14)*(1+'Attrition Modeling'!$N$8)-'IP Attrition'!I$65)/12*'IP Attrition'!I106,0)))</f>
        <v>0</v>
      </c>
      <c r="K171" s="799">
        <f>IF(EOMONTH(Inputs!$C$8,'IP Attrition'!K$134-1)&lt;=Inputs!$C$9,0,MIN(IF(ISERROR(VLOOKUP(K$134+$F171,$D$135:$D$165,1,FALSE)),0,J39*$C$2),MAX((IF(Monthly!G$4=TRUE,Monthly!G$13,Monthly!G$14)*(1+'Attrition Modeling'!$N$8)-'IP Attrition'!J$65)/12*'IP Attrition'!J106,0)))</f>
        <v>0</v>
      </c>
      <c r="L171" s="799">
        <f>IF(EOMONTH(Inputs!$C$8,'IP Attrition'!L$134-1)&lt;=Inputs!$C$9,0,MIN(IF(ISERROR(VLOOKUP(L$134+$F171,$D$135:$D$165,1,FALSE)),0,K39*$C$2),MAX((IF(Monthly!H$4=TRUE,Monthly!H$13,Monthly!H$14)*(1+'Attrition Modeling'!$N$8)-'IP Attrition'!K$65)/12*'IP Attrition'!K106,0)))</f>
        <v>0</v>
      </c>
      <c r="M171" s="799">
        <f>IF(EOMONTH(Inputs!$C$8,'IP Attrition'!M$134-1)&lt;=Inputs!$C$9,0,MIN(IF(ISERROR(VLOOKUP(M$134+$F171,$D$135:$D$165,1,FALSE)),0,L39*$C$2),MAX((IF(Monthly!I$4=TRUE,Monthly!I$13,Monthly!I$14)*(1+'Attrition Modeling'!$N$8)-'IP Attrition'!L$65)/12*'IP Attrition'!L106,0)))</f>
        <v>0</v>
      </c>
      <c r="N171" s="799">
        <f>IF(EOMONTH(Inputs!$C$8,'IP Attrition'!N$134-1)&lt;=Inputs!$C$9,0,MIN(IF(ISERROR(VLOOKUP(N$134+$F171,$D$135:$D$165,1,FALSE)),0,M39*$C$2),MAX((IF(Monthly!J$4=TRUE,Monthly!J$13,Monthly!J$14)*(1+'Attrition Modeling'!$N$8)-'IP Attrition'!M$65)/12*'IP Attrition'!M106,0)))</f>
        <v>0</v>
      </c>
      <c r="O171" s="799">
        <f>IF(EOMONTH(Inputs!$C$8,'IP Attrition'!O$134-1)&lt;=Inputs!$C$9,0,MIN(IF(ISERROR(VLOOKUP(O$134+$F171,$D$135:$D$165,1,FALSE)),0,N39*$C$2),MAX((IF(Monthly!K$4=TRUE,Monthly!K$13,Monthly!K$14)*(1+'Attrition Modeling'!$N$8)-'IP Attrition'!N$65)/12*'IP Attrition'!N106,0)))</f>
        <v>0</v>
      </c>
      <c r="P171" s="799">
        <f>IF(EOMONTH(Inputs!$C$8,'IP Attrition'!P$134-1)&lt;=Inputs!$C$9,0,MIN(IF(ISERROR(VLOOKUP(P$134+$F171,$D$135:$D$165,1,FALSE)),0,O39*$C$2),MAX((IF(Monthly!L$4=TRUE,Monthly!L$13,Monthly!L$14)*(1+'Attrition Modeling'!$N$8)-'IP Attrition'!O$65)/12*'IP Attrition'!O106,0)))</f>
        <v>0</v>
      </c>
      <c r="Q171" s="799">
        <f>IF(EOMONTH(Inputs!$C$8,'IP Attrition'!Q$134-1)&lt;=Inputs!$C$9,0,MIN(IF(ISERROR(VLOOKUP(Q$134+$F171,$D$135:$D$165,1,FALSE)),0,P39*$C$2),MAX((IF(Monthly!M$4=TRUE,Monthly!M$13,Monthly!M$14)*(1+'Attrition Modeling'!$N$8)-'IP Attrition'!P$65)/12*'IP Attrition'!P106,0)))</f>
        <v>0</v>
      </c>
      <c r="R171" s="799">
        <f>IF(EOMONTH(Inputs!$C$8,'IP Attrition'!R$134-1)&lt;=Inputs!$C$9,0,MIN(IF(ISERROR(VLOOKUP(R$134+$F171,$D$135:$D$165,1,FALSE)),0,Q39*$C$2),MAX((IF(Monthly!N$4=TRUE,Monthly!N$13,Monthly!N$14)*(1+'Attrition Modeling'!$N$8)-'IP Attrition'!Q$65)/12*'IP Attrition'!Q106,0)))</f>
        <v>0</v>
      </c>
      <c r="S171" s="799">
        <f>IF(EOMONTH(Inputs!$C$8,'IP Attrition'!S$134-1)&lt;=Inputs!$C$9,0,MIN(IF(ISERROR(VLOOKUP(S$134+$F171,$D$135:$D$165,1,FALSE)),0,R39*$C$2),MAX((IF(Monthly!O$4=TRUE,Monthly!O$13,Monthly!O$14)*(1+'Attrition Modeling'!$N$8)-'IP Attrition'!R$65)/12*'IP Attrition'!R106,0)))</f>
        <v>0</v>
      </c>
      <c r="T171" s="799">
        <f>IF(EOMONTH(Inputs!$C$8,'IP Attrition'!T$134-1)&lt;=Inputs!$C$9,0,MIN(IF(ISERROR(VLOOKUP(T$134+$F171,$D$135:$D$165,1,FALSE)),0,S39*$C$2),MAX((IF(Monthly!P$4=TRUE,Monthly!P$13,Monthly!P$14)*(1+'Attrition Modeling'!$N$8)-'IP Attrition'!S$65)/12*'IP Attrition'!S106,0)))</f>
        <v>0</v>
      </c>
      <c r="U171" s="799">
        <f>IF(EOMONTH(Inputs!$C$8,'IP Attrition'!U$134-1)&lt;=Inputs!$C$9,0,MIN(IF(ISERROR(VLOOKUP(U$134+$F171,$D$135:$D$165,1,FALSE)),0,T39*$C$2),MAX((IF(Monthly!Q$4=TRUE,Monthly!Q$13,Monthly!Q$14)*(1+'Attrition Modeling'!$N$8)-'IP Attrition'!T$65)/12*'IP Attrition'!T106,0)))</f>
        <v>0</v>
      </c>
      <c r="V171" s="799">
        <f>IF(EOMONTH(Inputs!$C$8,'IP Attrition'!V$134-1)&lt;=Inputs!$C$9,0,MIN(IF(ISERROR(VLOOKUP(V$134+$F171,$D$135:$D$165,1,FALSE)),0,U39*$C$2),MAX((IF(Monthly!R$4=TRUE,Monthly!R$13,Monthly!R$14)*(1+'Attrition Modeling'!$N$8)-'IP Attrition'!U$65)/12*'IP Attrition'!U106,0)))</f>
        <v>0</v>
      </c>
      <c r="W171" s="799">
        <f>IF(EOMONTH(Inputs!$C$8,'IP Attrition'!W$134-1)&lt;=Inputs!$C$9,0,MIN(IF(ISERROR(VLOOKUP(W$134+$F171,$D$135:$D$165,1,FALSE)),0,V39*$C$2),MAX((IF(Monthly!S$4=TRUE,Monthly!S$13,Monthly!S$14)*(1+'Attrition Modeling'!$N$8)-'IP Attrition'!V$65)/12*'IP Attrition'!V106,0)))</f>
        <v>0</v>
      </c>
      <c r="X171" s="799">
        <f>IF(EOMONTH(Inputs!$C$8,'IP Attrition'!X$134-1)&lt;=Inputs!$C$9,0,MIN(IF(ISERROR(VLOOKUP(X$134+$F171,$D$135:$D$165,1,FALSE)),0,W39*$C$2),MAX((IF(Monthly!T$4=TRUE,Monthly!T$13,Monthly!T$14)*(1+'Attrition Modeling'!$N$8)-'IP Attrition'!W$65)/12*'IP Attrition'!W106,0)))</f>
        <v>0</v>
      </c>
      <c r="Y171" s="799">
        <f>IF(EOMONTH(Inputs!$C$8,'IP Attrition'!Y$134-1)&lt;=Inputs!$C$9,0,MIN(IF(ISERROR(VLOOKUP(Y$134+$F171,$D$135:$D$165,1,FALSE)),0,X39*$C$2),MAX((IF(Monthly!U$4=TRUE,Monthly!U$13,Monthly!U$14)*(1+'Attrition Modeling'!$N$8)-'IP Attrition'!X$65)/12*'IP Attrition'!X106,0)))</f>
        <v>0</v>
      </c>
      <c r="Z171" s="799">
        <f>IF(EOMONTH(Inputs!$C$8,'IP Attrition'!Z$134-1)&lt;=Inputs!$C$9,0,MIN(IF(ISERROR(VLOOKUP(Z$134+$F171,$D$135:$D$165,1,FALSE)),0,Y39*$C$2),MAX((IF(Monthly!V$4=TRUE,Monthly!V$13,Monthly!V$14)*(1+'Attrition Modeling'!$N$8)-'IP Attrition'!Y$65)/12*'IP Attrition'!Y106,0)))</f>
        <v>0</v>
      </c>
      <c r="AA171" s="799">
        <f>IF(EOMONTH(Inputs!$C$8,'IP Attrition'!AA$134-1)&lt;=Inputs!$C$9,0,MIN(IF(ISERROR(VLOOKUP(AA$134+$F171,$D$135:$D$165,1,FALSE)),0,Z39*$C$2),MAX((IF(Monthly!W$4=TRUE,Monthly!W$13,Monthly!W$14)*(1+'Attrition Modeling'!$N$8)-'IP Attrition'!Z$65)/12*'IP Attrition'!Z106,0)))</f>
        <v>0</v>
      </c>
      <c r="AB171" s="799">
        <f>IF(EOMONTH(Inputs!$C$8,'IP Attrition'!AB$134-1)&lt;=Inputs!$C$9,0,MIN(IF(ISERROR(VLOOKUP(AB$134+$F171,$D$135:$D$165,1,FALSE)),0,AA39*$C$2),MAX((IF(Monthly!X$4=TRUE,Monthly!X$13,Monthly!X$14)*(1+'Attrition Modeling'!$N$8)-'IP Attrition'!AA$65)/12*'IP Attrition'!AA106,0)))</f>
        <v>0</v>
      </c>
      <c r="AC171" s="799">
        <f>IF(EOMONTH(Inputs!$C$8,'IP Attrition'!AC$134-1)&lt;=Inputs!$C$9,0,MIN(IF(ISERROR(VLOOKUP(AC$134+$F171,$D$135:$D$165,1,FALSE)),0,AB39*$C$2),MAX((IF(Monthly!Y$4=TRUE,Monthly!Y$13,Monthly!Y$14)*(1+'Attrition Modeling'!$N$8)-'IP Attrition'!AB$65)/12*'IP Attrition'!AB106,0)))</f>
        <v>0</v>
      </c>
      <c r="AD171" s="799">
        <f>IF(EOMONTH(Inputs!$C$8,'IP Attrition'!AD$134-1)&lt;=Inputs!$C$9,0,MIN(IF(ISERROR(VLOOKUP(AD$134+$F171,$D$135:$D$165,1,FALSE)),0,AC39*$C$2),MAX((IF(Monthly!Z$4=TRUE,Monthly!Z$13,Monthly!Z$14)*(1+'Attrition Modeling'!$N$8)-'IP Attrition'!AC$65)/12*'IP Attrition'!AC106,0)))</f>
        <v>0</v>
      </c>
      <c r="AE171" s="799">
        <f>IF(EOMONTH(Inputs!$C$8,'IP Attrition'!AE$134-1)&lt;=Inputs!$C$9,0,MIN(IF(ISERROR(VLOOKUP(AE$134+$F171,$D$135:$D$165,1,FALSE)),0,AD39*$C$2),MAX((IF(Monthly!AA$4=TRUE,Monthly!AA$13,Monthly!AA$14)*(1+'Attrition Modeling'!$N$8)-'IP Attrition'!AD$65)/12*'IP Attrition'!AD106,0)))</f>
        <v>0</v>
      </c>
      <c r="AF171" s="799">
        <f>IF(EOMONTH(Inputs!$C$8,'IP Attrition'!AF$134-1)&lt;=Inputs!$C$9,0,MIN(IF(ISERROR(VLOOKUP(AF$134+$F171,$D$135:$D$165,1,FALSE)),0,AE39*$C$2),MAX((IF(Monthly!AB$4=TRUE,Monthly!AB$13,Monthly!AB$14)*(1+'Attrition Modeling'!$N$8)-'IP Attrition'!AE$65)/12*'IP Attrition'!AE106,0)))</f>
        <v>0</v>
      </c>
      <c r="AG171" s="799">
        <f>IF(EOMONTH(Inputs!$C$8,'IP Attrition'!AG$134-1)&lt;=Inputs!$C$9,0,MIN(IF(ISERROR(VLOOKUP(AG$134+$F171,$D$135:$D$165,1,FALSE)),0,AF39*$C$2),MAX((IF(Monthly!AC$4=TRUE,Monthly!AC$13,Monthly!AC$14)*(1+'Attrition Modeling'!$N$8)-'IP Attrition'!AF$65)/12*'IP Attrition'!AF106,0)))</f>
        <v>0</v>
      </c>
      <c r="AH171" s="799">
        <f>IF(EOMONTH(Inputs!$C$8,'IP Attrition'!AH$134-1)&lt;=Inputs!$C$9,0,MIN(IF(ISERROR(VLOOKUP(AH$134+$F171,$D$135:$D$165,1,FALSE)),0,AG39*$C$2),MAX((IF(Monthly!AD$4=TRUE,Monthly!AD$13,Monthly!AD$14)*(1+'Attrition Modeling'!$N$8)-'IP Attrition'!AG$65)/12*'IP Attrition'!AG106,0)))</f>
        <v>0</v>
      </c>
      <c r="AI171" s="799">
        <f>IF(EOMONTH(Inputs!$C$8,'IP Attrition'!AI$134-1)&lt;=Inputs!$C$9,0,MIN(IF(ISERROR(VLOOKUP(AI$134+$F171,$D$135:$D$165,1,FALSE)),0,AH39*$C$2),MAX((IF(Monthly!AE$4=TRUE,Monthly!AE$13,Monthly!AE$14)*(1+'Attrition Modeling'!$N$8)-'IP Attrition'!AH$65)/12*'IP Attrition'!AH106,0)))</f>
        <v>0</v>
      </c>
      <c r="AJ171" s="799">
        <f>IF(EOMONTH(Inputs!$C$8,'IP Attrition'!AJ$134-1)&lt;=Inputs!$C$9,0,MIN(IF(ISERROR(VLOOKUP(AJ$134+$F171,$D$135:$D$165,1,FALSE)),0,AI39*$C$2),MAX((IF(Monthly!AF$4=TRUE,Monthly!AF$13,Monthly!AF$14)*(1+'Attrition Modeling'!$N$8)-'IP Attrition'!AI$65)/12*'IP Attrition'!AI106,0)))</f>
        <v>0</v>
      </c>
      <c r="AK171" s="799">
        <f>IF(EOMONTH(Inputs!$C$8,'IP Attrition'!AK$134-1)&lt;=Inputs!$C$9,0,MIN(IF(ISERROR(VLOOKUP(AK$134+$F171,$D$135:$D$165,1,FALSE)),0,AJ39*$C$2),MAX((IF(Monthly!AG$4=TRUE,Monthly!AG$13,Monthly!AG$14)*(1+'Attrition Modeling'!$N$8)-'IP Attrition'!AJ$65)/12*'IP Attrition'!AJ106,0)))</f>
        <v>0</v>
      </c>
      <c r="AL171" s="799">
        <f>IF(EOMONTH(Inputs!$C$8,'IP Attrition'!AL$134-1)&lt;=Inputs!$C$9,0,MIN(IF(ISERROR(VLOOKUP(AL$134+$F171,$D$135:$D$165,1,FALSE)),0,AK39*$C$2),MAX((IF(Monthly!AH$4=TRUE,Monthly!AH$13,Monthly!AH$14)*(1+'Attrition Modeling'!$N$8)-'IP Attrition'!AK$65)/12*'IP Attrition'!AK106,0)))</f>
        <v>0</v>
      </c>
      <c r="AM171" s="799">
        <f>IF(EOMONTH(Inputs!$C$8,'IP Attrition'!AM$134-1)&lt;=Inputs!$C$9,0,MIN(IF(ISERROR(VLOOKUP(AM$134+$F171,$D$135:$D$165,1,FALSE)),0,AL39*$C$2),MAX((IF(Monthly!AI$4=TRUE,Monthly!AI$13,Monthly!AI$14)*(1+'Attrition Modeling'!$N$8)-'IP Attrition'!AL$65)/12*'IP Attrition'!AL106,0)))</f>
        <v>0</v>
      </c>
      <c r="AN171" s="799">
        <f>IF(EOMONTH(Inputs!$C$8,'IP Attrition'!AN$134-1)&lt;=Inputs!$C$9,0,MIN(IF(ISERROR(VLOOKUP(AN$134+$F171,$D$135:$D$165,1,FALSE)),0,AM39*$C$2),MAX((IF(Monthly!AJ$4=TRUE,Monthly!AJ$13,Monthly!AJ$14)*(1+'Attrition Modeling'!$N$8)-'IP Attrition'!AM$65)/12*'IP Attrition'!AM106,0)))</f>
        <v>0</v>
      </c>
      <c r="AO171" s="799">
        <f>IF(EOMONTH(Inputs!$C$8,'IP Attrition'!AO$134-1)&lt;=Inputs!$C$9,0,MIN(IF(ISERROR(VLOOKUP(AO$134+$F171,$D$135:$D$165,1,FALSE)),0,AN39*$C$2),MAX((IF(Monthly!AK$4=TRUE,Monthly!AK$13,Monthly!AK$14)*(1+'Attrition Modeling'!$N$8)-'IP Attrition'!AN$65)/12*'IP Attrition'!AN106,0)))</f>
        <v>0</v>
      </c>
      <c r="AP171" s="799">
        <f>IF(EOMONTH(Inputs!$C$8,'IP Attrition'!AP$134-1)&lt;=Inputs!$C$9,0,MIN(IF(ISERROR(VLOOKUP(AP$134+$F171,$D$135:$D$165,1,FALSE)),0,AO39*$C$2),MAX((IF(Monthly!AL$4=TRUE,Monthly!AL$13,Monthly!AL$14)*(1+'Attrition Modeling'!$N$8)-'IP Attrition'!AO$65)/12*'IP Attrition'!AO106,0)))</f>
        <v>0</v>
      </c>
      <c r="AQ171" s="799">
        <f>IF(EOMONTH(Inputs!$C$8,'IP Attrition'!AQ$134-1)&lt;=Inputs!$C$9,0,MIN(IF(ISERROR(VLOOKUP(AQ$134+$F171,$D$135:$D$165,1,FALSE)),0,AP39*$C$2),MAX((IF(Monthly!AM$4=TRUE,Monthly!AM$13,Monthly!AM$14)*(1+'Attrition Modeling'!$N$8)-'IP Attrition'!AP$65)/12*'IP Attrition'!AP106,0)))</f>
        <v>0</v>
      </c>
      <c r="AR171" s="799">
        <f>IF(EOMONTH(Inputs!$C$8,'IP Attrition'!AR$134-1)&lt;=Inputs!$C$9,0,MIN(IF(ISERROR(VLOOKUP(AR$134+$F171,$D$135:$D$165,1,FALSE)),0,AQ39*$C$2),MAX((IF(Monthly!AN$4=TRUE,Monthly!AN$13,Monthly!AN$14)*(1+'Attrition Modeling'!$N$8)-'IP Attrition'!AQ$65)/12*'IP Attrition'!AQ106,0)))</f>
        <v>0</v>
      </c>
      <c r="AS171" s="799">
        <f>IF(EOMONTH(Inputs!$C$8,'IP Attrition'!AS$134-1)&lt;=Inputs!$C$9,0,MIN(IF(ISERROR(VLOOKUP(AS$134+$F171,$D$135:$D$165,1,FALSE)),0,AR39*$C$2),MAX((IF(Monthly!AO$4=TRUE,Monthly!AO$13,Monthly!AO$14)*(1+'Attrition Modeling'!$N$8)-'IP Attrition'!AR$65)/12*'IP Attrition'!AR106,0)))</f>
        <v>0</v>
      </c>
      <c r="AT171" s="799">
        <f>IF(EOMONTH(Inputs!$C$8,'IP Attrition'!AT$134-1)&lt;=Inputs!$C$9,0,MIN(IF(ISERROR(VLOOKUP(AT$134+$F171,$D$135:$D$165,1,FALSE)),0,AS39*$C$2),MAX((IF(Monthly!AP$4=TRUE,Monthly!AP$13,Monthly!AP$14)*(1+'Attrition Modeling'!$N$8)-'IP Attrition'!AS$65)/12*'IP Attrition'!AS106,0)))</f>
        <v>0</v>
      </c>
      <c r="AU171" s="799">
        <f>IF(EOMONTH(Inputs!$C$8,'IP Attrition'!AU$134-1)&lt;=Inputs!$C$9,0,MIN(IF(ISERROR(VLOOKUP(AU$134+$F171,$D$135:$D$165,1,FALSE)),0,AT39*$C$2),MAX((IF(Monthly!AQ$4=TRUE,Monthly!AQ$13,Monthly!AQ$14)*(1+'Attrition Modeling'!$N$8)-'IP Attrition'!AT$65)/12*'IP Attrition'!AT106,0)))</f>
        <v>0</v>
      </c>
      <c r="AV171" s="799">
        <f>IF(EOMONTH(Inputs!$C$8,'IP Attrition'!AV$134-1)&lt;=Inputs!$C$9,0,MIN(IF(ISERROR(VLOOKUP(AV$134+$F171,$D$135:$D$165,1,FALSE)),0,AU39*$C$2),MAX((IF(Monthly!AR$4=TRUE,Monthly!AR$13,Monthly!AR$14)*(1+'Attrition Modeling'!$N$8)-'IP Attrition'!AU$65)/12*'IP Attrition'!AU106,0)))</f>
        <v>0</v>
      </c>
      <c r="AW171" s="799">
        <f>IF(EOMONTH(Inputs!$C$8,'IP Attrition'!AW$134-1)&lt;=Inputs!$C$9,0,MIN(IF(ISERROR(VLOOKUP(AW$134+$F171,$D$135:$D$165,1,FALSE)),0,AV39*$C$2),MAX((IF(Monthly!AS$4=TRUE,Monthly!AS$13,Monthly!AS$14)*(1+'Attrition Modeling'!$N$8)-'IP Attrition'!AV$65)/12*'IP Attrition'!AV106,0)))</f>
        <v>0</v>
      </c>
      <c r="AX171" s="799">
        <f>IF(EOMONTH(Inputs!$C$8,'IP Attrition'!AX$134-1)&lt;=Inputs!$C$9,0,MIN(IF(ISERROR(VLOOKUP(AX$134+$F171,$D$135:$D$165,1,FALSE)),0,AW39*$C$2),MAX((IF(Monthly!AT$4=TRUE,Monthly!AT$13,Monthly!AT$14)*(1+'Attrition Modeling'!$N$8)-'IP Attrition'!AW$65)/12*'IP Attrition'!AW106,0)))</f>
        <v>0</v>
      </c>
      <c r="AY171" s="799">
        <f>IF(EOMONTH(Inputs!$C$8,'IP Attrition'!AY$134-1)&lt;=Inputs!$C$9,0,MIN(IF(ISERROR(VLOOKUP(AY$134+$F171,$D$135:$D$165,1,FALSE)),0,AX39*$C$2),MAX((IF(Monthly!AU$4=TRUE,Monthly!AU$13,Monthly!AU$14)*(1+'Attrition Modeling'!$N$8)-'IP Attrition'!AX$65)/12*'IP Attrition'!AX106,0)))</f>
        <v>0</v>
      </c>
      <c r="AZ171" s="799">
        <f>IF(EOMONTH(Inputs!$C$8,'IP Attrition'!AZ$134-1)&lt;=Inputs!$C$9,0,MIN(IF(ISERROR(VLOOKUP(AZ$134+$F171,$D$135:$D$165,1,FALSE)),0,AY39*$C$2),MAX((IF(Monthly!AV$4=TRUE,Monthly!AV$13,Monthly!AV$14)*(1+'Attrition Modeling'!$N$8)-'IP Attrition'!AY$65)/12*'IP Attrition'!AY106,0)))</f>
        <v>0</v>
      </c>
      <c r="BA171" s="799">
        <f>IF(EOMONTH(Inputs!$C$8,'IP Attrition'!BA$134-1)&lt;=Inputs!$C$9,0,MIN(IF(ISERROR(VLOOKUP(BA$134+$F171,$D$135:$D$165,1,FALSE)),0,AZ39*$C$2),MAX((IF(Monthly!AW$4=TRUE,Monthly!AW$13,Monthly!AW$14)*(1+'Attrition Modeling'!$N$8)-'IP Attrition'!AZ$65)/12*'IP Attrition'!AZ106,0)))</f>
        <v>0</v>
      </c>
      <c r="BB171" s="799">
        <f>IF(EOMONTH(Inputs!$C$8,'IP Attrition'!BB$134-1)&lt;=Inputs!$C$9,0,MIN(IF(ISERROR(VLOOKUP(BB$134+$F171,$D$135:$D$165,1,FALSE)),0,BA39*$C$2),MAX((IF(Monthly!AX$4=TRUE,Monthly!AX$13,Monthly!AX$14)*(1+'Attrition Modeling'!$N$8)-'IP Attrition'!BA$65)/12*'IP Attrition'!BA106,0)))</f>
        <v>0</v>
      </c>
      <c r="BC171" s="799">
        <f>IF(EOMONTH(Inputs!$C$8,'IP Attrition'!BC$134-1)&lt;=Inputs!$C$9,0,MIN(IF(ISERROR(VLOOKUP(BC$134+$F171,$D$135:$D$165,1,FALSE)),0,BB39*$C$2),MAX((IF(Monthly!AY$4=TRUE,Monthly!AY$13,Monthly!AY$14)*(1+'Attrition Modeling'!$N$8)-'IP Attrition'!BB$65)/12*'IP Attrition'!BB106,0)))</f>
        <v>0</v>
      </c>
      <c r="BD171" s="799">
        <f>IF(EOMONTH(Inputs!$C$8,'IP Attrition'!BD$134-1)&lt;=Inputs!$C$9,0,MIN(IF(ISERROR(VLOOKUP(BD$134+$F171,$D$135:$D$165,1,FALSE)),0,BC39*$C$2),MAX((IF(Monthly!AZ$4=TRUE,Monthly!AZ$13,Monthly!AZ$14)*(1+'Attrition Modeling'!$N$8)-'IP Attrition'!BC$65)/12*'IP Attrition'!BC106,0)))</f>
        <v>0</v>
      </c>
      <c r="BE171" s="799">
        <f>IF(EOMONTH(Inputs!$C$8,'IP Attrition'!BE$134-1)&lt;=Inputs!$C$9,0,MIN(IF(ISERROR(VLOOKUP(BE$134+$F171,$D$135:$D$165,1,FALSE)),0,BD39*$C$2),MAX((IF(Monthly!BA$4=TRUE,Monthly!BA$13,Monthly!BA$14)*(1+'Attrition Modeling'!$N$8)-'IP Attrition'!BD$65)/12*'IP Attrition'!BD106,0)))</f>
        <v>0</v>
      </c>
      <c r="BF171" s="799">
        <f>IF(EOMONTH(Inputs!$C$8,'IP Attrition'!BF$134-1)&lt;=Inputs!$C$9,0,MIN(IF(ISERROR(VLOOKUP(BF$134+$F171,$D$135:$D$165,1,FALSE)),0,BE39*$C$2),MAX((IF(Monthly!BB$4=TRUE,Monthly!BB$13,Monthly!BB$14)*(1+'Attrition Modeling'!$N$8)-'IP Attrition'!BE$65)/12*'IP Attrition'!BE106,0)))</f>
        <v>0</v>
      </c>
      <c r="BG171" s="799">
        <f>IF(EOMONTH(Inputs!$C$8,'IP Attrition'!BG$134-1)&lt;=Inputs!$C$9,0,MIN(IF(ISERROR(VLOOKUP(BG$134+$F171,$D$135:$D$165,1,FALSE)),0,BF39*$C$2),MAX((IF(Monthly!BC$4=TRUE,Monthly!BC$13,Monthly!BC$14)*(1+'Attrition Modeling'!$N$8)-'IP Attrition'!BF$65)/12*'IP Attrition'!BF106,0)))</f>
        <v>0</v>
      </c>
      <c r="BH171" s="799">
        <f>IF(EOMONTH(Inputs!$C$8,'IP Attrition'!BH$134-1)&lt;=Inputs!$C$9,0,MIN(IF(ISERROR(VLOOKUP(BH$134+$F171,$D$135:$D$165,1,FALSE)),0,BG39*$C$2),MAX((IF(Monthly!BD$4=TRUE,Monthly!BD$13,Monthly!BD$14)*(1+'Attrition Modeling'!$N$8)-'IP Attrition'!BG$65)/12*'IP Attrition'!BG106,0)))</f>
        <v>0</v>
      </c>
      <c r="BI171" s="799">
        <f>IF(EOMONTH(Inputs!$C$8,'IP Attrition'!BI$134-1)&lt;=Inputs!$C$9,0,MIN(IF(ISERROR(VLOOKUP(BI$134+$F171,$D$135:$D$165,1,FALSE)),0,BH39*$C$2),MAX((IF(Monthly!BE$4=TRUE,Monthly!BE$13,Monthly!BE$14)*(1+'Attrition Modeling'!$N$8)-'IP Attrition'!BH$65)/12*'IP Attrition'!BH106,0)))</f>
        <v>0</v>
      </c>
      <c r="BJ171" s="799">
        <f>IF(EOMONTH(Inputs!$C$8,'IP Attrition'!BJ$134-1)&lt;=Inputs!$C$9,0,MIN(IF(ISERROR(VLOOKUP(BJ$134+$F171,$D$135:$D$165,1,FALSE)),0,BI39*$C$2),MAX((IF(Monthly!BF$4=TRUE,Monthly!BF$13,Monthly!BF$14)*(1+'Attrition Modeling'!$N$8)-'IP Attrition'!BI$65)/12*'IP Attrition'!BI106,0)))</f>
        <v>0</v>
      </c>
      <c r="BK171" s="799">
        <f>IF(EOMONTH(Inputs!$C$8,'IP Attrition'!BK$134-1)&lt;=Inputs!$C$9,0,MIN(IF(ISERROR(VLOOKUP(BK$134+$F171,$D$135:$D$165,1,FALSE)),0,BJ39*$C$2),MAX((IF(Monthly!BG$4=TRUE,Monthly!BG$13,Monthly!BG$14)*(1+'Attrition Modeling'!$N$8)-'IP Attrition'!BJ$65)/12*'IP Attrition'!BJ106,0)))</f>
        <v>0</v>
      </c>
      <c r="BL171" s="799">
        <f>IF(EOMONTH(Inputs!$C$8,'IP Attrition'!BL$134-1)&lt;=Inputs!$C$9,0,MIN(IF(ISERROR(VLOOKUP(BL$134+$F171,$D$135:$D$165,1,FALSE)),0,BK39*$C$2),MAX((IF(Monthly!BH$4=TRUE,Monthly!BH$13,Monthly!BH$14)*(1+'Attrition Modeling'!$N$8)-'IP Attrition'!BK$65)/12*'IP Attrition'!BK106,0)))</f>
        <v>0</v>
      </c>
      <c r="BM171" s="799">
        <f>IF(EOMONTH(Inputs!$C$8,'IP Attrition'!BM$134-1)&lt;=Inputs!$C$9,0,MIN(IF(ISERROR(VLOOKUP(BM$134+$F171,$D$135:$D$165,1,FALSE)),0,BL39*$C$2),MAX((IF(Monthly!BI$4=TRUE,Monthly!BI$13,Monthly!BI$14)*(1+'Attrition Modeling'!$N$8)-'IP Attrition'!BL$65)/12*'IP Attrition'!BL106,0)))</f>
        <v>0</v>
      </c>
      <c r="BN171" s="799">
        <f>IF(EOMONTH(Inputs!$C$8,'IP Attrition'!BN$134-1)&lt;=Inputs!$C$9,0,MIN(IF(ISERROR(VLOOKUP(BN$134+$F171,$D$135:$D$165,1,FALSE)),0,BM39*$C$2),MAX((IF(Monthly!BJ$4=TRUE,Monthly!BJ$13,Monthly!BJ$14)*(1+'Attrition Modeling'!$N$8)-'IP Attrition'!BM$65)/12*'IP Attrition'!BM106,0)))</f>
        <v>0</v>
      </c>
      <c r="BO171" s="799">
        <f>IF(EOMONTH(Inputs!$C$8,'IP Attrition'!BO$134-1)&lt;=Inputs!$C$9,0,MIN(IF(ISERROR(VLOOKUP(BO$134+$F171,$D$135:$D$165,1,FALSE)),0,BN39*$C$2),MAX((IF(Monthly!BK$4=TRUE,Monthly!BK$13,Monthly!BK$14)*(1+'Attrition Modeling'!$N$8)-'IP Attrition'!BN$65)/12*'IP Attrition'!BN106,0)))</f>
        <v>0</v>
      </c>
      <c r="BP171" s="799">
        <f>IF(EOMONTH(Inputs!$C$8,'IP Attrition'!BP$134-1)&lt;=Inputs!$C$9,0,MIN(IF(ISERROR(VLOOKUP(BP$134+$F171,$D$135:$D$165,1,FALSE)),0,BO39*$C$2),MAX((IF(Monthly!BL$4=TRUE,Monthly!BL$13,Monthly!BL$14)*(1+'Attrition Modeling'!$N$8)-'IP Attrition'!BO$65)/12*'IP Attrition'!BO106,0)))</f>
        <v>0</v>
      </c>
      <c r="BQ171" s="799">
        <f>IF(EOMONTH(Inputs!$C$8,'IP Attrition'!BQ$134-1)&lt;=Inputs!$C$9,0,MIN(IF(ISERROR(VLOOKUP(BQ$134+$F171,$D$135:$D$165,1,FALSE)),0,BP39*$C$2),MAX((IF(Monthly!BM$4=TRUE,Monthly!BM$13,Monthly!BM$14)*(1+'Attrition Modeling'!$N$8)-'IP Attrition'!BP$65)/12*'IP Attrition'!BP106,0)))</f>
        <v>0</v>
      </c>
      <c r="BR171" s="799">
        <f>IF(EOMONTH(Inputs!$C$8,'IP Attrition'!BR$134-1)&lt;=Inputs!$C$9,0,MIN(IF(ISERROR(VLOOKUP(BR$134+$F171,$D$135:$D$165,1,FALSE)),0,BQ39*$C$2),MAX((IF(Monthly!BN$4=TRUE,Monthly!BN$13,Monthly!BN$14)*(1+'Attrition Modeling'!$N$8)-'IP Attrition'!BQ$65)/12*'IP Attrition'!BQ106,0)))</f>
        <v>0</v>
      </c>
      <c r="BS171" s="799">
        <f>IF(EOMONTH(Inputs!$C$8,'IP Attrition'!BS$134-1)&lt;=Inputs!$C$9,0,MIN(IF(ISERROR(VLOOKUP(BS$134+$F171,$D$135:$D$165,1,FALSE)),0,BR39*$C$2),MAX((IF(Monthly!BO$4=TRUE,Monthly!BO$13,Monthly!BO$14)*(1+'Attrition Modeling'!$N$8)-'IP Attrition'!BR$65)/12*'IP Attrition'!BR106,0)))</f>
        <v>0</v>
      </c>
      <c r="BT171" s="799" t="e">
        <f>IF(EOMONTH(Inputs!$C$8,'IP Attrition'!BT$134-1)&lt;=Inputs!$C$9,0,MIN(IF(ISERROR(VLOOKUP(BT$134+$F171,$D$135:$D$165,1,FALSE)),0,BS39*$C$2),MAX((IF(Monthly!#REF!=TRUE,Monthly!#REF!,Monthly!#REF!)*(1+'Attrition Modeling'!$N$8)-'IP Attrition'!BS$65)/12*'IP Attrition'!BS106,0)))</f>
        <v>#REF!</v>
      </c>
      <c r="BU171" s="799" t="e">
        <f>IF(EOMONTH(Inputs!$C$8,'IP Attrition'!BU$134-1)&lt;=Inputs!$C$9,0,MIN(IF(ISERROR(VLOOKUP(BU$134+$F171,$D$135:$D$165,1,FALSE)),0,BT39*$C$2),MAX((IF(Monthly!#REF!=TRUE,Monthly!#REF!,Monthly!#REF!)*(1+'Attrition Modeling'!$N$8)-'IP Attrition'!BT$65)/12*'IP Attrition'!BT106,0)))</f>
        <v>#REF!</v>
      </c>
    </row>
    <row r="172" spans="1:73" ht="14.25" customHeight="1" x14ac:dyDescent="0.2">
      <c r="E172" s="25">
        <f t="shared" si="71"/>
        <v>0</v>
      </c>
      <c r="F172" s="11">
        <f t="shared" si="73"/>
        <v>37</v>
      </c>
      <c r="G172" s="799"/>
      <c r="H172" s="799">
        <f>IF(EOMONTH(Inputs!$C$8,'IP Attrition'!H$134-1)&lt;=Inputs!$C$9,0,MIN(IF(ISERROR(VLOOKUP(H$134+$F172,$D$135:$D$165,1,FALSE)),0,G40*$C$2),MAX((IF(Monthly!D$4=TRUE,Monthly!D$13,Monthly!D$14)*(1+'Attrition Modeling'!$N$8)-'IP Attrition'!G$65)/12*'IP Attrition'!G107,0)))</f>
        <v>0</v>
      </c>
      <c r="I172" s="799">
        <f>IF(EOMONTH(Inputs!$C$8,'IP Attrition'!I$134-1)&lt;=Inputs!$C$9,0,MIN(IF(ISERROR(VLOOKUP(I$134+$F172,$D$135:$D$165,1,FALSE)),0,H40*$C$2),MAX((IF(Monthly!E$4=TRUE,Monthly!E$13,Monthly!E$14)*(1+'Attrition Modeling'!$N$8)-'IP Attrition'!H$65)/12*'IP Attrition'!H107,0)))</f>
        <v>0</v>
      </c>
      <c r="J172" s="799">
        <f>IF(EOMONTH(Inputs!$C$8,'IP Attrition'!J$134-1)&lt;=Inputs!$C$9,0,MIN(IF(ISERROR(VLOOKUP(J$134+$F172,$D$135:$D$165,1,FALSE)),0,I40*$C$2),MAX((IF(Monthly!F$4=TRUE,Monthly!F$13,Monthly!F$14)*(1+'Attrition Modeling'!$N$8)-'IP Attrition'!I$65)/12*'IP Attrition'!I107,0)))</f>
        <v>0</v>
      </c>
      <c r="K172" s="799">
        <f>IF(EOMONTH(Inputs!$C$8,'IP Attrition'!K$134-1)&lt;=Inputs!$C$9,0,MIN(IF(ISERROR(VLOOKUP(K$134+$F172,$D$135:$D$165,1,FALSE)),0,J40*$C$2),MAX((IF(Monthly!G$4=TRUE,Monthly!G$13,Monthly!G$14)*(1+'Attrition Modeling'!$N$8)-'IP Attrition'!J$65)/12*'IP Attrition'!J107,0)))</f>
        <v>0</v>
      </c>
      <c r="L172" s="799">
        <f>IF(EOMONTH(Inputs!$C$8,'IP Attrition'!L$134-1)&lt;=Inputs!$C$9,0,MIN(IF(ISERROR(VLOOKUP(L$134+$F172,$D$135:$D$165,1,FALSE)),0,K40*$C$2),MAX((IF(Monthly!H$4=TRUE,Monthly!H$13,Monthly!H$14)*(1+'Attrition Modeling'!$N$8)-'IP Attrition'!K$65)/12*'IP Attrition'!K107,0)))</f>
        <v>0</v>
      </c>
      <c r="M172" s="799">
        <f>IF(EOMONTH(Inputs!$C$8,'IP Attrition'!M$134-1)&lt;=Inputs!$C$9,0,MIN(IF(ISERROR(VLOOKUP(M$134+$F172,$D$135:$D$165,1,FALSE)),0,L40*$C$2),MAX((IF(Monthly!I$4=TRUE,Monthly!I$13,Monthly!I$14)*(1+'Attrition Modeling'!$N$8)-'IP Attrition'!L$65)/12*'IP Attrition'!L107,0)))</f>
        <v>0</v>
      </c>
      <c r="N172" s="799">
        <f>IF(EOMONTH(Inputs!$C$8,'IP Attrition'!N$134-1)&lt;=Inputs!$C$9,0,MIN(IF(ISERROR(VLOOKUP(N$134+$F172,$D$135:$D$165,1,FALSE)),0,M40*$C$2),MAX((IF(Monthly!J$4=TRUE,Monthly!J$13,Monthly!J$14)*(1+'Attrition Modeling'!$N$8)-'IP Attrition'!M$65)/12*'IP Attrition'!M107,0)))</f>
        <v>0</v>
      </c>
      <c r="O172" s="799">
        <f>IF(EOMONTH(Inputs!$C$8,'IP Attrition'!O$134-1)&lt;=Inputs!$C$9,0,MIN(IF(ISERROR(VLOOKUP(O$134+$F172,$D$135:$D$165,1,FALSE)),0,N40*$C$2),MAX((IF(Monthly!K$4=TRUE,Monthly!K$13,Monthly!K$14)*(1+'Attrition Modeling'!$N$8)-'IP Attrition'!N$65)/12*'IP Attrition'!N107,0)))</f>
        <v>0</v>
      </c>
      <c r="P172" s="799">
        <f>IF(EOMONTH(Inputs!$C$8,'IP Attrition'!P$134-1)&lt;=Inputs!$C$9,0,MIN(IF(ISERROR(VLOOKUP(P$134+$F172,$D$135:$D$165,1,FALSE)),0,O40*$C$2),MAX((IF(Monthly!L$4=TRUE,Monthly!L$13,Monthly!L$14)*(1+'Attrition Modeling'!$N$8)-'IP Attrition'!O$65)/12*'IP Attrition'!O107,0)))</f>
        <v>0</v>
      </c>
      <c r="Q172" s="799">
        <f>IF(EOMONTH(Inputs!$C$8,'IP Attrition'!Q$134-1)&lt;=Inputs!$C$9,0,MIN(IF(ISERROR(VLOOKUP(Q$134+$F172,$D$135:$D$165,1,FALSE)),0,P40*$C$2),MAX((IF(Monthly!M$4=TRUE,Monthly!M$13,Monthly!M$14)*(1+'Attrition Modeling'!$N$8)-'IP Attrition'!P$65)/12*'IP Attrition'!P107,0)))</f>
        <v>0</v>
      </c>
      <c r="R172" s="799">
        <f>IF(EOMONTH(Inputs!$C$8,'IP Attrition'!R$134-1)&lt;=Inputs!$C$9,0,MIN(IF(ISERROR(VLOOKUP(R$134+$F172,$D$135:$D$165,1,FALSE)),0,Q40*$C$2),MAX((IF(Monthly!N$4=TRUE,Monthly!N$13,Monthly!N$14)*(1+'Attrition Modeling'!$N$8)-'IP Attrition'!Q$65)/12*'IP Attrition'!Q107,0)))</f>
        <v>0</v>
      </c>
      <c r="S172" s="799">
        <f>IF(EOMONTH(Inputs!$C$8,'IP Attrition'!S$134-1)&lt;=Inputs!$C$9,0,MIN(IF(ISERROR(VLOOKUP(S$134+$F172,$D$135:$D$165,1,FALSE)),0,R40*$C$2),MAX((IF(Monthly!O$4=TRUE,Monthly!O$13,Monthly!O$14)*(1+'Attrition Modeling'!$N$8)-'IP Attrition'!R$65)/12*'IP Attrition'!R107,0)))</f>
        <v>0</v>
      </c>
      <c r="T172" s="799">
        <f>IF(EOMONTH(Inputs!$C$8,'IP Attrition'!T$134-1)&lt;=Inputs!$C$9,0,MIN(IF(ISERROR(VLOOKUP(T$134+$F172,$D$135:$D$165,1,FALSE)),0,S40*$C$2),MAX((IF(Monthly!P$4=TRUE,Monthly!P$13,Monthly!P$14)*(1+'Attrition Modeling'!$N$8)-'IP Attrition'!S$65)/12*'IP Attrition'!S107,0)))</f>
        <v>0</v>
      </c>
      <c r="U172" s="799">
        <f>IF(EOMONTH(Inputs!$C$8,'IP Attrition'!U$134-1)&lt;=Inputs!$C$9,0,MIN(IF(ISERROR(VLOOKUP(U$134+$F172,$D$135:$D$165,1,FALSE)),0,T40*$C$2),MAX((IF(Monthly!Q$4=TRUE,Monthly!Q$13,Monthly!Q$14)*(1+'Attrition Modeling'!$N$8)-'IP Attrition'!T$65)/12*'IP Attrition'!T107,0)))</f>
        <v>0</v>
      </c>
      <c r="V172" s="799">
        <f>IF(EOMONTH(Inputs!$C$8,'IP Attrition'!V$134-1)&lt;=Inputs!$C$9,0,MIN(IF(ISERROR(VLOOKUP(V$134+$F172,$D$135:$D$165,1,FALSE)),0,U40*$C$2),MAX((IF(Monthly!R$4=TRUE,Monthly!R$13,Monthly!R$14)*(1+'Attrition Modeling'!$N$8)-'IP Attrition'!U$65)/12*'IP Attrition'!U107,0)))</f>
        <v>0</v>
      </c>
      <c r="W172" s="799">
        <f>IF(EOMONTH(Inputs!$C$8,'IP Attrition'!W$134-1)&lt;=Inputs!$C$9,0,MIN(IF(ISERROR(VLOOKUP(W$134+$F172,$D$135:$D$165,1,FALSE)),0,V40*$C$2),MAX((IF(Monthly!S$4=TRUE,Monthly!S$13,Monthly!S$14)*(1+'Attrition Modeling'!$N$8)-'IP Attrition'!V$65)/12*'IP Attrition'!V107,0)))</f>
        <v>0</v>
      </c>
      <c r="X172" s="799">
        <f>IF(EOMONTH(Inputs!$C$8,'IP Attrition'!X$134-1)&lt;=Inputs!$C$9,0,MIN(IF(ISERROR(VLOOKUP(X$134+$F172,$D$135:$D$165,1,FALSE)),0,W40*$C$2),MAX((IF(Monthly!T$4=TRUE,Monthly!T$13,Monthly!T$14)*(1+'Attrition Modeling'!$N$8)-'IP Attrition'!W$65)/12*'IP Attrition'!W107,0)))</f>
        <v>0</v>
      </c>
      <c r="Y172" s="799">
        <f>IF(EOMONTH(Inputs!$C$8,'IP Attrition'!Y$134-1)&lt;=Inputs!$C$9,0,MIN(IF(ISERROR(VLOOKUP(Y$134+$F172,$D$135:$D$165,1,FALSE)),0,X40*$C$2),MAX((IF(Monthly!U$4=TRUE,Monthly!U$13,Monthly!U$14)*(1+'Attrition Modeling'!$N$8)-'IP Attrition'!X$65)/12*'IP Attrition'!X107,0)))</f>
        <v>0</v>
      </c>
      <c r="Z172" s="799">
        <f>IF(EOMONTH(Inputs!$C$8,'IP Attrition'!Z$134-1)&lt;=Inputs!$C$9,0,MIN(IF(ISERROR(VLOOKUP(Z$134+$F172,$D$135:$D$165,1,FALSE)),0,Y40*$C$2),MAX((IF(Monthly!V$4=TRUE,Monthly!V$13,Monthly!V$14)*(1+'Attrition Modeling'!$N$8)-'IP Attrition'!Y$65)/12*'IP Attrition'!Y107,0)))</f>
        <v>0</v>
      </c>
      <c r="AA172" s="799">
        <f>IF(EOMONTH(Inputs!$C$8,'IP Attrition'!AA$134-1)&lt;=Inputs!$C$9,0,MIN(IF(ISERROR(VLOOKUP(AA$134+$F172,$D$135:$D$165,1,FALSE)),0,Z40*$C$2),MAX((IF(Monthly!W$4=TRUE,Monthly!W$13,Monthly!W$14)*(1+'Attrition Modeling'!$N$8)-'IP Attrition'!Z$65)/12*'IP Attrition'!Z107,0)))</f>
        <v>0</v>
      </c>
      <c r="AB172" s="799">
        <f>IF(EOMONTH(Inputs!$C$8,'IP Attrition'!AB$134-1)&lt;=Inputs!$C$9,0,MIN(IF(ISERROR(VLOOKUP(AB$134+$F172,$D$135:$D$165,1,FALSE)),0,AA40*$C$2),MAX((IF(Monthly!X$4=TRUE,Monthly!X$13,Monthly!X$14)*(1+'Attrition Modeling'!$N$8)-'IP Attrition'!AA$65)/12*'IP Attrition'!AA107,0)))</f>
        <v>0</v>
      </c>
      <c r="AC172" s="799">
        <f>IF(EOMONTH(Inputs!$C$8,'IP Attrition'!AC$134-1)&lt;=Inputs!$C$9,0,MIN(IF(ISERROR(VLOOKUP(AC$134+$F172,$D$135:$D$165,1,FALSE)),0,AB40*$C$2),MAX((IF(Monthly!Y$4=TRUE,Monthly!Y$13,Monthly!Y$14)*(1+'Attrition Modeling'!$N$8)-'IP Attrition'!AB$65)/12*'IP Attrition'!AB107,0)))</f>
        <v>0</v>
      </c>
      <c r="AD172" s="799">
        <f>IF(EOMONTH(Inputs!$C$8,'IP Attrition'!AD$134-1)&lt;=Inputs!$C$9,0,MIN(IF(ISERROR(VLOOKUP(AD$134+$F172,$D$135:$D$165,1,FALSE)),0,AC40*$C$2),MAX((IF(Monthly!Z$4=TRUE,Monthly!Z$13,Monthly!Z$14)*(1+'Attrition Modeling'!$N$8)-'IP Attrition'!AC$65)/12*'IP Attrition'!AC107,0)))</f>
        <v>0</v>
      </c>
      <c r="AE172" s="799">
        <f>IF(EOMONTH(Inputs!$C$8,'IP Attrition'!AE$134-1)&lt;=Inputs!$C$9,0,MIN(IF(ISERROR(VLOOKUP(AE$134+$F172,$D$135:$D$165,1,FALSE)),0,AD40*$C$2),MAX((IF(Monthly!AA$4=TRUE,Monthly!AA$13,Monthly!AA$14)*(1+'Attrition Modeling'!$N$8)-'IP Attrition'!AD$65)/12*'IP Attrition'!AD107,0)))</f>
        <v>0</v>
      </c>
      <c r="AF172" s="799">
        <f>IF(EOMONTH(Inputs!$C$8,'IP Attrition'!AF$134-1)&lt;=Inputs!$C$9,0,MIN(IF(ISERROR(VLOOKUP(AF$134+$F172,$D$135:$D$165,1,FALSE)),0,AE40*$C$2),MAX((IF(Monthly!AB$4=TRUE,Monthly!AB$13,Monthly!AB$14)*(1+'Attrition Modeling'!$N$8)-'IP Attrition'!AE$65)/12*'IP Attrition'!AE107,0)))</f>
        <v>0</v>
      </c>
      <c r="AG172" s="799">
        <f>IF(EOMONTH(Inputs!$C$8,'IP Attrition'!AG$134-1)&lt;=Inputs!$C$9,0,MIN(IF(ISERROR(VLOOKUP(AG$134+$F172,$D$135:$D$165,1,FALSE)),0,AF40*$C$2),MAX((IF(Monthly!AC$4=TRUE,Monthly!AC$13,Monthly!AC$14)*(1+'Attrition Modeling'!$N$8)-'IP Attrition'!AF$65)/12*'IP Attrition'!AF107,0)))</f>
        <v>0</v>
      </c>
      <c r="AH172" s="799">
        <f>IF(EOMONTH(Inputs!$C$8,'IP Attrition'!AH$134-1)&lt;=Inputs!$C$9,0,MIN(IF(ISERROR(VLOOKUP(AH$134+$F172,$D$135:$D$165,1,FALSE)),0,AG40*$C$2),MAX((IF(Monthly!AD$4=TRUE,Monthly!AD$13,Monthly!AD$14)*(1+'Attrition Modeling'!$N$8)-'IP Attrition'!AG$65)/12*'IP Attrition'!AG107,0)))</f>
        <v>0</v>
      </c>
      <c r="AI172" s="799">
        <f>IF(EOMONTH(Inputs!$C$8,'IP Attrition'!AI$134-1)&lt;=Inputs!$C$9,0,MIN(IF(ISERROR(VLOOKUP(AI$134+$F172,$D$135:$D$165,1,FALSE)),0,AH40*$C$2),MAX((IF(Monthly!AE$4=TRUE,Monthly!AE$13,Monthly!AE$14)*(1+'Attrition Modeling'!$N$8)-'IP Attrition'!AH$65)/12*'IP Attrition'!AH107,0)))</f>
        <v>0</v>
      </c>
      <c r="AJ172" s="799">
        <f>IF(EOMONTH(Inputs!$C$8,'IP Attrition'!AJ$134-1)&lt;=Inputs!$C$9,0,MIN(IF(ISERROR(VLOOKUP(AJ$134+$F172,$D$135:$D$165,1,FALSE)),0,AI40*$C$2),MAX((IF(Monthly!AF$4=TRUE,Monthly!AF$13,Monthly!AF$14)*(1+'Attrition Modeling'!$N$8)-'IP Attrition'!AI$65)/12*'IP Attrition'!AI107,0)))</f>
        <v>0</v>
      </c>
      <c r="AK172" s="799">
        <f>IF(EOMONTH(Inputs!$C$8,'IP Attrition'!AK$134-1)&lt;=Inputs!$C$9,0,MIN(IF(ISERROR(VLOOKUP(AK$134+$F172,$D$135:$D$165,1,FALSE)),0,AJ40*$C$2),MAX((IF(Monthly!AG$4=TRUE,Monthly!AG$13,Monthly!AG$14)*(1+'Attrition Modeling'!$N$8)-'IP Attrition'!AJ$65)/12*'IP Attrition'!AJ107,0)))</f>
        <v>0</v>
      </c>
      <c r="AL172" s="799">
        <f>IF(EOMONTH(Inputs!$C$8,'IP Attrition'!AL$134-1)&lt;=Inputs!$C$9,0,MIN(IF(ISERROR(VLOOKUP(AL$134+$F172,$D$135:$D$165,1,FALSE)),0,AK40*$C$2),MAX((IF(Monthly!AH$4=TRUE,Monthly!AH$13,Monthly!AH$14)*(1+'Attrition Modeling'!$N$8)-'IP Attrition'!AK$65)/12*'IP Attrition'!AK107,0)))</f>
        <v>0</v>
      </c>
      <c r="AM172" s="799">
        <f>IF(EOMONTH(Inputs!$C$8,'IP Attrition'!AM$134-1)&lt;=Inputs!$C$9,0,MIN(IF(ISERROR(VLOOKUP(AM$134+$F172,$D$135:$D$165,1,FALSE)),0,AL40*$C$2),MAX((IF(Monthly!AI$4=TRUE,Monthly!AI$13,Monthly!AI$14)*(1+'Attrition Modeling'!$N$8)-'IP Attrition'!AL$65)/12*'IP Attrition'!AL107,0)))</f>
        <v>0</v>
      </c>
      <c r="AN172" s="799">
        <f>IF(EOMONTH(Inputs!$C$8,'IP Attrition'!AN$134-1)&lt;=Inputs!$C$9,0,MIN(IF(ISERROR(VLOOKUP(AN$134+$F172,$D$135:$D$165,1,FALSE)),0,AM40*$C$2),MAX((IF(Monthly!AJ$4=TRUE,Monthly!AJ$13,Monthly!AJ$14)*(1+'Attrition Modeling'!$N$8)-'IP Attrition'!AM$65)/12*'IP Attrition'!AM107,0)))</f>
        <v>0</v>
      </c>
      <c r="AO172" s="799">
        <f>IF(EOMONTH(Inputs!$C$8,'IP Attrition'!AO$134-1)&lt;=Inputs!$C$9,0,MIN(IF(ISERROR(VLOOKUP(AO$134+$F172,$D$135:$D$165,1,FALSE)),0,AN40*$C$2),MAX((IF(Monthly!AK$4=TRUE,Monthly!AK$13,Monthly!AK$14)*(1+'Attrition Modeling'!$N$8)-'IP Attrition'!AN$65)/12*'IP Attrition'!AN107,0)))</f>
        <v>0</v>
      </c>
      <c r="AP172" s="799">
        <f>IF(EOMONTH(Inputs!$C$8,'IP Attrition'!AP$134-1)&lt;=Inputs!$C$9,0,MIN(IF(ISERROR(VLOOKUP(AP$134+$F172,$D$135:$D$165,1,FALSE)),0,AO40*$C$2),MAX((IF(Monthly!AL$4=TRUE,Monthly!AL$13,Monthly!AL$14)*(1+'Attrition Modeling'!$N$8)-'IP Attrition'!AO$65)/12*'IP Attrition'!AO107,0)))</f>
        <v>0</v>
      </c>
      <c r="AQ172" s="799">
        <f>IF(EOMONTH(Inputs!$C$8,'IP Attrition'!AQ$134-1)&lt;=Inputs!$C$9,0,MIN(IF(ISERROR(VLOOKUP(AQ$134+$F172,$D$135:$D$165,1,FALSE)),0,AP40*$C$2),MAX((IF(Monthly!AM$4=TRUE,Monthly!AM$13,Monthly!AM$14)*(1+'Attrition Modeling'!$N$8)-'IP Attrition'!AP$65)/12*'IP Attrition'!AP107,0)))</f>
        <v>0</v>
      </c>
      <c r="AR172" s="799">
        <f>IF(EOMONTH(Inputs!$C$8,'IP Attrition'!AR$134-1)&lt;=Inputs!$C$9,0,MIN(IF(ISERROR(VLOOKUP(AR$134+$F172,$D$135:$D$165,1,FALSE)),0,AQ40*$C$2),MAX((IF(Monthly!AN$4=TRUE,Monthly!AN$13,Monthly!AN$14)*(1+'Attrition Modeling'!$N$8)-'IP Attrition'!AQ$65)/12*'IP Attrition'!AQ107,0)))</f>
        <v>0</v>
      </c>
      <c r="AS172" s="799">
        <f>IF(EOMONTH(Inputs!$C$8,'IP Attrition'!AS$134-1)&lt;=Inputs!$C$9,0,MIN(IF(ISERROR(VLOOKUP(AS$134+$F172,$D$135:$D$165,1,FALSE)),0,AR40*$C$2),MAX((IF(Monthly!AO$4=TRUE,Monthly!AO$13,Monthly!AO$14)*(1+'Attrition Modeling'!$N$8)-'IP Attrition'!AR$65)/12*'IP Attrition'!AR107,0)))</f>
        <v>0</v>
      </c>
      <c r="AT172" s="799">
        <f>IF(EOMONTH(Inputs!$C$8,'IP Attrition'!AT$134-1)&lt;=Inputs!$C$9,0,MIN(IF(ISERROR(VLOOKUP(AT$134+$F172,$D$135:$D$165,1,FALSE)),0,AS40*$C$2),MAX((IF(Monthly!AP$4=TRUE,Monthly!AP$13,Monthly!AP$14)*(1+'Attrition Modeling'!$N$8)-'IP Attrition'!AS$65)/12*'IP Attrition'!AS107,0)))</f>
        <v>0</v>
      </c>
      <c r="AU172" s="799">
        <f>IF(EOMONTH(Inputs!$C$8,'IP Attrition'!AU$134-1)&lt;=Inputs!$C$9,0,MIN(IF(ISERROR(VLOOKUP(AU$134+$F172,$D$135:$D$165,1,FALSE)),0,AT40*$C$2),MAX((IF(Monthly!AQ$4=TRUE,Monthly!AQ$13,Monthly!AQ$14)*(1+'Attrition Modeling'!$N$8)-'IP Attrition'!AT$65)/12*'IP Attrition'!AT107,0)))</f>
        <v>0</v>
      </c>
      <c r="AV172" s="799">
        <f>IF(EOMONTH(Inputs!$C$8,'IP Attrition'!AV$134-1)&lt;=Inputs!$C$9,0,MIN(IF(ISERROR(VLOOKUP(AV$134+$F172,$D$135:$D$165,1,FALSE)),0,AU40*$C$2),MAX((IF(Monthly!AR$4=TRUE,Monthly!AR$13,Monthly!AR$14)*(1+'Attrition Modeling'!$N$8)-'IP Attrition'!AU$65)/12*'IP Attrition'!AU107,0)))</f>
        <v>0</v>
      </c>
      <c r="AW172" s="799">
        <f>IF(EOMONTH(Inputs!$C$8,'IP Attrition'!AW$134-1)&lt;=Inputs!$C$9,0,MIN(IF(ISERROR(VLOOKUP(AW$134+$F172,$D$135:$D$165,1,FALSE)),0,AV40*$C$2),MAX((IF(Monthly!AS$4=TRUE,Monthly!AS$13,Monthly!AS$14)*(1+'Attrition Modeling'!$N$8)-'IP Attrition'!AV$65)/12*'IP Attrition'!AV107,0)))</f>
        <v>0</v>
      </c>
      <c r="AX172" s="799">
        <f>IF(EOMONTH(Inputs!$C$8,'IP Attrition'!AX$134-1)&lt;=Inputs!$C$9,0,MIN(IF(ISERROR(VLOOKUP(AX$134+$F172,$D$135:$D$165,1,FALSE)),0,AW40*$C$2),MAX((IF(Monthly!AT$4=TRUE,Monthly!AT$13,Monthly!AT$14)*(1+'Attrition Modeling'!$N$8)-'IP Attrition'!AW$65)/12*'IP Attrition'!AW107,0)))</f>
        <v>0</v>
      </c>
      <c r="AY172" s="799">
        <f>IF(EOMONTH(Inputs!$C$8,'IP Attrition'!AY$134-1)&lt;=Inputs!$C$9,0,MIN(IF(ISERROR(VLOOKUP(AY$134+$F172,$D$135:$D$165,1,FALSE)),0,AX40*$C$2),MAX((IF(Monthly!AU$4=TRUE,Monthly!AU$13,Monthly!AU$14)*(1+'Attrition Modeling'!$N$8)-'IP Attrition'!AX$65)/12*'IP Attrition'!AX107,0)))</f>
        <v>0</v>
      </c>
      <c r="AZ172" s="799">
        <f>IF(EOMONTH(Inputs!$C$8,'IP Attrition'!AZ$134-1)&lt;=Inputs!$C$9,0,MIN(IF(ISERROR(VLOOKUP(AZ$134+$F172,$D$135:$D$165,1,FALSE)),0,AY40*$C$2),MAX((IF(Monthly!AV$4=TRUE,Monthly!AV$13,Monthly!AV$14)*(1+'Attrition Modeling'!$N$8)-'IP Attrition'!AY$65)/12*'IP Attrition'!AY107,0)))</f>
        <v>0</v>
      </c>
      <c r="BA172" s="799">
        <f>IF(EOMONTH(Inputs!$C$8,'IP Attrition'!BA$134-1)&lt;=Inputs!$C$9,0,MIN(IF(ISERROR(VLOOKUP(BA$134+$F172,$D$135:$D$165,1,FALSE)),0,AZ40*$C$2),MAX((IF(Monthly!AW$4=TRUE,Monthly!AW$13,Monthly!AW$14)*(1+'Attrition Modeling'!$N$8)-'IP Attrition'!AZ$65)/12*'IP Attrition'!AZ107,0)))</f>
        <v>0</v>
      </c>
      <c r="BB172" s="799">
        <f>IF(EOMONTH(Inputs!$C$8,'IP Attrition'!BB$134-1)&lt;=Inputs!$C$9,0,MIN(IF(ISERROR(VLOOKUP(BB$134+$F172,$D$135:$D$165,1,FALSE)),0,BA40*$C$2),MAX((IF(Monthly!AX$4=TRUE,Monthly!AX$13,Monthly!AX$14)*(1+'Attrition Modeling'!$N$8)-'IP Attrition'!BA$65)/12*'IP Attrition'!BA107,0)))</f>
        <v>0</v>
      </c>
      <c r="BC172" s="799">
        <f>IF(EOMONTH(Inputs!$C$8,'IP Attrition'!BC$134-1)&lt;=Inputs!$C$9,0,MIN(IF(ISERROR(VLOOKUP(BC$134+$F172,$D$135:$D$165,1,FALSE)),0,BB40*$C$2),MAX((IF(Monthly!AY$4=TRUE,Monthly!AY$13,Monthly!AY$14)*(1+'Attrition Modeling'!$N$8)-'IP Attrition'!BB$65)/12*'IP Attrition'!BB107,0)))</f>
        <v>0</v>
      </c>
      <c r="BD172" s="799">
        <f>IF(EOMONTH(Inputs!$C$8,'IP Attrition'!BD$134-1)&lt;=Inputs!$C$9,0,MIN(IF(ISERROR(VLOOKUP(BD$134+$F172,$D$135:$D$165,1,FALSE)),0,BC40*$C$2),MAX((IF(Monthly!AZ$4=TRUE,Monthly!AZ$13,Monthly!AZ$14)*(1+'Attrition Modeling'!$N$8)-'IP Attrition'!BC$65)/12*'IP Attrition'!BC107,0)))</f>
        <v>0</v>
      </c>
      <c r="BE172" s="799">
        <f>IF(EOMONTH(Inputs!$C$8,'IP Attrition'!BE$134-1)&lt;=Inputs!$C$9,0,MIN(IF(ISERROR(VLOOKUP(BE$134+$F172,$D$135:$D$165,1,FALSE)),0,BD40*$C$2),MAX((IF(Monthly!BA$4=TRUE,Monthly!BA$13,Monthly!BA$14)*(1+'Attrition Modeling'!$N$8)-'IP Attrition'!BD$65)/12*'IP Attrition'!BD107,0)))</f>
        <v>0</v>
      </c>
      <c r="BF172" s="799">
        <f>IF(EOMONTH(Inputs!$C$8,'IP Attrition'!BF$134-1)&lt;=Inputs!$C$9,0,MIN(IF(ISERROR(VLOOKUP(BF$134+$F172,$D$135:$D$165,1,FALSE)),0,BE40*$C$2),MAX((IF(Monthly!BB$4=TRUE,Monthly!BB$13,Monthly!BB$14)*(1+'Attrition Modeling'!$N$8)-'IP Attrition'!BE$65)/12*'IP Attrition'!BE107,0)))</f>
        <v>0</v>
      </c>
      <c r="BG172" s="799">
        <f>IF(EOMONTH(Inputs!$C$8,'IP Attrition'!BG$134-1)&lt;=Inputs!$C$9,0,MIN(IF(ISERROR(VLOOKUP(BG$134+$F172,$D$135:$D$165,1,FALSE)),0,BF40*$C$2),MAX((IF(Monthly!BC$4=TRUE,Monthly!BC$13,Monthly!BC$14)*(1+'Attrition Modeling'!$N$8)-'IP Attrition'!BF$65)/12*'IP Attrition'!BF107,0)))</f>
        <v>0</v>
      </c>
      <c r="BH172" s="799">
        <f>IF(EOMONTH(Inputs!$C$8,'IP Attrition'!BH$134-1)&lt;=Inputs!$C$9,0,MIN(IF(ISERROR(VLOOKUP(BH$134+$F172,$D$135:$D$165,1,FALSE)),0,BG40*$C$2),MAX((IF(Monthly!BD$4=TRUE,Monthly!BD$13,Monthly!BD$14)*(1+'Attrition Modeling'!$N$8)-'IP Attrition'!BG$65)/12*'IP Attrition'!BG107,0)))</f>
        <v>0</v>
      </c>
      <c r="BI172" s="799">
        <f>IF(EOMONTH(Inputs!$C$8,'IP Attrition'!BI$134-1)&lt;=Inputs!$C$9,0,MIN(IF(ISERROR(VLOOKUP(BI$134+$F172,$D$135:$D$165,1,FALSE)),0,BH40*$C$2),MAX((IF(Monthly!BE$4=TRUE,Monthly!BE$13,Monthly!BE$14)*(1+'Attrition Modeling'!$N$8)-'IP Attrition'!BH$65)/12*'IP Attrition'!BH107,0)))</f>
        <v>0</v>
      </c>
      <c r="BJ172" s="799">
        <f>IF(EOMONTH(Inputs!$C$8,'IP Attrition'!BJ$134-1)&lt;=Inputs!$C$9,0,MIN(IF(ISERROR(VLOOKUP(BJ$134+$F172,$D$135:$D$165,1,FALSE)),0,BI40*$C$2),MAX((IF(Monthly!BF$4=TRUE,Monthly!BF$13,Monthly!BF$14)*(1+'Attrition Modeling'!$N$8)-'IP Attrition'!BI$65)/12*'IP Attrition'!BI107,0)))</f>
        <v>0</v>
      </c>
      <c r="BK172" s="799">
        <f>IF(EOMONTH(Inputs!$C$8,'IP Attrition'!BK$134-1)&lt;=Inputs!$C$9,0,MIN(IF(ISERROR(VLOOKUP(BK$134+$F172,$D$135:$D$165,1,FALSE)),0,BJ40*$C$2),MAX((IF(Monthly!BG$4=TRUE,Monthly!BG$13,Monthly!BG$14)*(1+'Attrition Modeling'!$N$8)-'IP Attrition'!BJ$65)/12*'IP Attrition'!BJ107,0)))</f>
        <v>0</v>
      </c>
      <c r="BL172" s="799">
        <f>IF(EOMONTH(Inputs!$C$8,'IP Attrition'!BL$134-1)&lt;=Inputs!$C$9,0,MIN(IF(ISERROR(VLOOKUP(BL$134+$F172,$D$135:$D$165,1,FALSE)),0,BK40*$C$2),MAX((IF(Monthly!BH$4=TRUE,Monthly!BH$13,Monthly!BH$14)*(1+'Attrition Modeling'!$N$8)-'IP Attrition'!BK$65)/12*'IP Attrition'!BK107,0)))</f>
        <v>0</v>
      </c>
      <c r="BM172" s="799">
        <f>IF(EOMONTH(Inputs!$C$8,'IP Attrition'!BM$134-1)&lt;=Inputs!$C$9,0,MIN(IF(ISERROR(VLOOKUP(BM$134+$F172,$D$135:$D$165,1,FALSE)),0,BL40*$C$2),MAX((IF(Monthly!BI$4=TRUE,Monthly!BI$13,Monthly!BI$14)*(1+'Attrition Modeling'!$N$8)-'IP Attrition'!BL$65)/12*'IP Attrition'!BL107,0)))</f>
        <v>0</v>
      </c>
      <c r="BN172" s="799">
        <f>IF(EOMONTH(Inputs!$C$8,'IP Attrition'!BN$134-1)&lt;=Inputs!$C$9,0,MIN(IF(ISERROR(VLOOKUP(BN$134+$F172,$D$135:$D$165,1,FALSE)),0,BM40*$C$2),MAX((IF(Monthly!BJ$4=TRUE,Monthly!BJ$13,Monthly!BJ$14)*(1+'Attrition Modeling'!$N$8)-'IP Attrition'!BM$65)/12*'IP Attrition'!BM107,0)))</f>
        <v>0</v>
      </c>
      <c r="BO172" s="799">
        <f>IF(EOMONTH(Inputs!$C$8,'IP Attrition'!BO$134-1)&lt;=Inputs!$C$9,0,MIN(IF(ISERROR(VLOOKUP(BO$134+$F172,$D$135:$D$165,1,FALSE)),0,BN40*$C$2),MAX((IF(Monthly!BK$4=TRUE,Monthly!BK$13,Monthly!BK$14)*(1+'Attrition Modeling'!$N$8)-'IP Attrition'!BN$65)/12*'IP Attrition'!BN107,0)))</f>
        <v>0</v>
      </c>
      <c r="BP172" s="799">
        <f>IF(EOMONTH(Inputs!$C$8,'IP Attrition'!BP$134-1)&lt;=Inputs!$C$9,0,MIN(IF(ISERROR(VLOOKUP(BP$134+$F172,$D$135:$D$165,1,FALSE)),0,BO40*$C$2),MAX((IF(Monthly!BL$4=TRUE,Monthly!BL$13,Monthly!BL$14)*(1+'Attrition Modeling'!$N$8)-'IP Attrition'!BO$65)/12*'IP Attrition'!BO107,0)))</f>
        <v>0</v>
      </c>
      <c r="BQ172" s="799">
        <f>IF(EOMONTH(Inputs!$C$8,'IP Attrition'!BQ$134-1)&lt;=Inputs!$C$9,0,MIN(IF(ISERROR(VLOOKUP(BQ$134+$F172,$D$135:$D$165,1,FALSE)),0,BP40*$C$2),MAX((IF(Monthly!BM$4=TRUE,Monthly!BM$13,Monthly!BM$14)*(1+'Attrition Modeling'!$N$8)-'IP Attrition'!BP$65)/12*'IP Attrition'!BP107,0)))</f>
        <v>0</v>
      </c>
      <c r="BR172" s="799">
        <f>IF(EOMONTH(Inputs!$C$8,'IP Attrition'!BR$134-1)&lt;=Inputs!$C$9,0,MIN(IF(ISERROR(VLOOKUP(BR$134+$F172,$D$135:$D$165,1,FALSE)),0,BQ40*$C$2),MAX((IF(Monthly!BN$4=TRUE,Monthly!BN$13,Monthly!BN$14)*(1+'Attrition Modeling'!$N$8)-'IP Attrition'!BQ$65)/12*'IP Attrition'!BQ107,0)))</f>
        <v>0</v>
      </c>
      <c r="BS172" s="799">
        <f>IF(EOMONTH(Inputs!$C$8,'IP Attrition'!BS$134-1)&lt;=Inputs!$C$9,0,MIN(IF(ISERROR(VLOOKUP(BS$134+$F172,$D$135:$D$165,1,FALSE)),0,BR40*$C$2),MAX((IF(Monthly!BO$4=TRUE,Monthly!BO$13,Monthly!BO$14)*(1+'Attrition Modeling'!$N$8)-'IP Attrition'!BR$65)/12*'IP Attrition'!BR107,0)))</f>
        <v>0</v>
      </c>
      <c r="BT172" s="799" t="e">
        <f>IF(EOMONTH(Inputs!$C$8,'IP Attrition'!BT$134-1)&lt;=Inputs!$C$9,0,MIN(IF(ISERROR(VLOOKUP(BT$134+$F172,$D$135:$D$165,1,FALSE)),0,BS40*$C$2),MAX((IF(Monthly!#REF!=TRUE,Monthly!#REF!,Monthly!#REF!)*(1+'Attrition Modeling'!$N$8)-'IP Attrition'!BS$65)/12*'IP Attrition'!BS107,0)))</f>
        <v>#REF!</v>
      </c>
      <c r="BU172" s="799" t="e">
        <f>IF(EOMONTH(Inputs!$C$8,'IP Attrition'!BU$134-1)&lt;=Inputs!$C$9,0,MIN(IF(ISERROR(VLOOKUP(BU$134+$F172,$D$135:$D$165,1,FALSE)),0,BT40*$C$2),MAX((IF(Monthly!#REF!=TRUE,Monthly!#REF!,Monthly!#REF!)*(1+'Attrition Modeling'!$N$8)-'IP Attrition'!BT$65)/12*'IP Attrition'!BT107,0)))</f>
        <v>#REF!</v>
      </c>
    </row>
    <row r="173" spans="1:73" ht="14.25" customHeight="1" x14ac:dyDescent="0.2">
      <c r="E173" s="25">
        <f t="shared" si="71"/>
        <v>0</v>
      </c>
      <c r="F173" s="11">
        <f t="shared" si="73"/>
        <v>38</v>
      </c>
      <c r="G173" s="799"/>
      <c r="H173" s="799">
        <f>IF(EOMONTH(Inputs!$C$8,'IP Attrition'!H$134-1)&lt;=Inputs!$C$9,0,MIN(IF(ISERROR(VLOOKUP(H$134+$F173,$D$135:$D$165,1,FALSE)),0,G41*$C$2),MAX((IF(Monthly!D$4=TRUE,Monthly!D$13,Monthly!D$14)*(1+'Attrition Modeling'!$N$8)-'IP Attrition'!G$65)/12*'IP Attrition'!G108,0)))</f>
        <v>0</v>
      </c>
      <c r="I173" s="799">
        <f>IF(EOMONTH(Inputs!$C$8,'IP Attrition'!I$134-1)&lt;=Inputs!$C$9,0,MIN(IF(ISERROR(VLOOKUP(I$134+$F173,$D$135:$D$165,1,FALSE)),0,H41*$C$2),MAX((IF(Monthly!E$4=TRUE,Monthly!E$13,Monthly!E$14)*(1+'Attrition Modeling'!$N$8)-'IP Attrition'!H$65)/12*'IP Attrition'!H108,0)))</f>
        <v>0</v>
      </c>
      <c r="J173" s="799">
        <f>IF(EOMONTH(Inputs!$C$8,'IP Attrition'!J$134-1)&lt;=Inputs!$C$9,0,MIN(IF(ISERROR(VLOOKUP(J$134+$F173,$D$135:$D$165,1,FALSE)),0,I41*$C$2),MAX((IF(Monthly!F$4=TRUE,Monthly!F$13,Monthly!F$14)*(1+'Attrition Modeling'!$N$8)-'IP Attrition'!I$65)/12*'IP Attrition'!I108,0)))</f>
        <v>0</v>
      </c>
      <c r="K173" s="799">
        <f>IF(EOMONTH(Inputs!$C$8,'IP Attrition'!K$134-1)&lt;=Inputs!$C$9,0,MIN(IF(ISERROR(VLOOKUP(K$134+$F173,$D$135:$D$165,1,FALSE)),0,J41*$C$2),MAX((IF(Monthly!G$4=TRUE,Monthly!G$13,Monthly!G$14)*(1+'Attrition Modeling'!$N$8)-'IP Attrition'!J$65)/12*'IP Attrition'!J108,0)))</f>
        <v>0</v>
      </c>
      <c r="L173" s="799">
        <f>IF(EOMONTH(Inputs!$C$8,'IP Attrition'!L$134-1)&lt;=Inputs!$C$9,0,MIN(IF(ISERROR(VLOOKUP(L$134+$F173,$D$135:$D$165,1,FALSE)),0,K41*$C$2),MAX((IF(Monthly!H$4=TRUE,Monthly!H$13,Monthly!H$14)*(1+'Attrition Modeling'!$N$8)-'IP Attrition'!K$65)/12*'IP Attrition'!K108,0)))</f>
        <v>0</v>
      </c>
      <c r="M173" s="799">
        <f>IF(EOMONTH(Inputs!$C$8,'IP Attrition'!M$134-1)&lt;=Inputs!$C$9,0,MIN(IF(ISERROR(VLOOKUP(M$134+$F173,$D$135:$D$165,1,FALSE)),0,L41*$C$2),MAX((IF(Monthly!I$4=TRUE,Monthly!I$13,Monthly!I$14)*(1+'Attrition Modeling'!$N$8)-'IP Attrition'!L$65)/12*'IP Attrition'!L108,0)))</f>
        <v>0</v>
      </c>
      <c r="N173" s="799">
        <f>IF(EOMONTH(Inputs!$C$8,'IP Attrition'!N$134-1)&lt;=Inputs!$C$9,0,MIN(IF(ISERROR(VLOOKUP(N$134+$F173,$D$135:$D$165,1,FALSE)),0,M41*$C$2),MAX((IF(Monthly!J$4=TRUE,Monthly!J$13,Monthly!J$14)*(1+'Attrition Modeling'!$N$8)-'IP Attrition'!M$65)/12*'IP Attrition'!M108,0)))</f>
        <v>0</v>
      </c>
      <c r="O173" s="799">
        <f>IF(EOMONTH(Inputs!$C$8,'IP Attrition'!O$134-1)&lt;=Inputs!$C$9,0,MIN(IF(ISERROR(VLOOKUP(O$134+$F173,$D$135:$D$165,1,FALSE)),0,N41*$C$2),MAX((IF(Monthly!K$4=TRUE,Monthly!K$13,Monthly!K$14)*(1+'Attrition Modeling'!$N$8)-'IP Attrition'!N$65)/12*'IP Attrition'!N108,0)))</f>
        <v>0</v>
      </c>
      <c r="P173" s="799">
        <f>IF(EOMONTH(Inputs!$C$8,'IP Attrition'!P$134-1)&lt;=Inputs!$C$9,0,MIN(IF(ISERROR(VLOOKUP(P$134+$F173,$D$135:$D$165,1,FALSE)),0,O41*$C$2),MAX((IF(Monthly!L$4=TRUE,Monthly!L$13,Monthly!L$14)*(1+'Attrition Modeling'!$N$8)-'IP Attrition'!O$65)/12*'IP Attrition'!O108,0)))</f>
        <v>0</v>
      </c>
      <c r="Q173" s="799">
        <f>IF(EOMONTH(Inputs!$C$8,'IP Attrition'!Q$134-1)&lt;=Inputs!$C$9,0,MIN(IF(ISERROR(VLOOKUP(Q$134+$F173,$D$135:$D$165,1,FALSE)),0,P41*$C$2),MAX((IF(Monthly!M$4=TRUE,Monthly!M$13,Monthly!M$14)*(1+'Attrition Modeling'!$N$8)-'IP Attrition'!P$65)/12*'IP Attrition'!P108,0)))</f>
        <v>0</v>
      </c>
      <c r="R173" s="799">
        <f>IF(EOMONTH(Inputs!$C$8,'IP Attrition'!R$134-1)&lt;=Inputs!$C$9,0,MIN(IF(ISERROR(VLOOKUP(R$134+$F173,$D$135:$D$165,1,FALSE)),0,Q41*$C$2),MAX((IF(Monthly!N$4=TRUE,Monthly!N$13,Monthly!N$14)*(1+'Attrition Modeling'!$N$8)-'IP Attrition'!Q$65)/12*'IP Attrition'!Q108,0)))</f>
        <v>0</v>
      </c>
      <c r="S173" s="799">
        <f>IF(EOMONTH(Inputs!$C$8,'IP Attrition'!S$134-1)&lt;=Inputs!$C$9,0,MIN(IF(ISERROR(VLOOKUP(S$134+$F173,$D$135:$D$165,1,FALSE)),0,R41*$C$2),MAX((IF(Monthly!O$4=TRUE,Monthly!O$13,Monthly!O$14)*(1+'Attrition Modeling'!$N$8)-'IP Attrition'!R$65)/12*'IP Attrition'!R108,0)))</f>
        <v>0</v>
      </c>
      <c r="T173" s="799">
        <f>IF(EOMONTH(Inputs!$C$8,'IP Attrition'!T$134-1)&lt;=Inputs!$C$9,0,MIN(IF(ISERROR(VLOOKUP(T$134+$F173,$D$135:$D$165,1,FALSE)),0,S41*$C$2),MAX((IF(Monthly!P$4=TRUE,Monthly!P$13,Monthly!P$14)*(1+'Attrition Modeling'!$N$8)-'IP Attrition'!S$65)/12*'IP Attrition'!S108,0)))</f>
        <v>0</v>
      </c>
      <c r="U173" s="799">
        <f>IF(EOMONTH(Inputs!$C$8,'IP Attrition'!U$134-1)&lt;=Inputs!$C$9,0,MIN(IF(ISERROR(VLOOKUP(U$134+$F173,$D$135:$D$165,1,FALSE)),0,T41*$C$2),MAX((IF(Monthly!Q$4=TRUE,Monthly!Q$13,Monthly!Q$14)*(1+'Attrition Modeling'!$N$8)-'IP Attrition'!T$65)/12*'IP Attrition'!T108,0)))</f>
        <v>0</v>
      </c>
      <c r="V173" s="799">
        <f>IF(EOMONTH(Inputs!$C$8,'IP Attrition'!V$134-1)&lt;=Inputs!$C$9,0,MIN(IF(ISERROR(VLOOKUP(V$134+$F173,$D$135:$D$165,1,FALSE)),0,U41*$C$2),MAX((IF(Monthly!R$4=TRUE,Monthly!R$13,Monthly!R$14)*(1+'Attrition Modeling'!$N$8)-'IP Attrition'!U$65)/12*'IP Attrition'!U108,0)))</f>
        <v>0</v>
      </c>
      <c r="W173" s="799">
        <f>IF(EOMONTH(Inputs!$C$8,'IP Attrition'!W$134-1)&lt;=Inputs!$C$9,0,MIN(IF(ISERROR(VLOOKUP(W$134+$F173,$D$135:$D$165,1,FALSE)),0,V41*$C$2),MAX((IF(Monthly!S$4=TRUE,Monthly!S$13,Monthly!S$14)*(1+'Attrition Modeling'!$N$8)-'IP Attrition'!V$65)/12*'IP Attrition'!V108,0)))</f>
        <v>0</v>
      </c>
      <c r="X173" s="799">
        <f>IF(EOMONTH(Inputs!$C$8,'IP Attrition'!X$134-1)&lt;=Inputs!$C$9,0,MIN(IF(ISERROR(VLOOKUP(X$134+$F173,$D$135:$D$165,1,FALSE)),0,W41*$C$2),MAX((IF(Monthly!T$4=TRUE,Monthly!T$13,Monthly!T$14)*(1+'Attrition Modeling'!$N$8)-'IP Attrition'!W$65)/12*'IP Attrition'!W108,0)))</f>
        <v>0</v>
      </c>
      <c r="Y173" s="799">
        <f>IF(EOMONTH(Inputs!$C$8,'IP Attrition'!Y$134-1)&lt;=Inputs!$C$9,0,MIN(IF(ISERROR(VLOOKUP(Y$134+$F173,$D$135:$D$165,1,FALSE)),0,X41*$C$2),MAX((IF(Monthly!U$4=TRUE,Monthly!U$13,Monthly!U$14)*(1+'Attrition Modeling'!$N$8)-'IP Attrition'!X$65)/12*'IP Attrition'!X108,0)))</f>
        <v>0</v>
      </c>
      <c r="Z173" s="799">
        <f>IF(EOMONTH(Inputs!$C$8,'IP Attrition'!Z$134-1)&lt;=Inputs!$C$9,0,MIN(IF(ISERROR(VLOOKUP(Z$134+$F173,$D$135:$D$165,1,FALSE)),0,Y41*$C$2),MAX((IF(Monthly!V$4=TRUE,Monthly!V$13,Monthly!V$14)*(1+'Attrition Modeling'!$N$8)-'IP Attrition'!Y$65)/12*'IP Attrition'!Y108,0)))</f>
        <v>0</v>
      </c>
      <c r="AA173" s="799">
        <f>IF(EOMONTH(Inputs!$C$8,'IP Attrition'!AA$134-1)&lt;=Inputs!$C$9,0,MIN(IF(ISERROR(VLOOKUP(AA$134+$F173,$D$135:$D$165,1,FALSE)),0,Z41*$C$2),MAX((IF(Monthly!W$4=TRUE,Monthly!W$13,Monthly!W$14)*(1+'Attrition Modeling'!$N$8)-'IP Attrition'!Z$65)/12*'IP Attrition'!Z108,0)))</f>
        <v>0</v>
      </c>
      <c r="AB173" s="799">
        <f>IF(EOMONTH(Inputs!$C$8,'IP Attrition'!AB$134-1)&lt;=Inputs!$C$9,0,MIN(IF(ISERROR(VLOOKUP(AB$134+$F173,$D$135:$D$165,1,FALSE)),0,AA41*$C$2),MAX((IF(Monthly!X$4=TRUE,Monthly!X$13,Monthly!X$14)*(1+'Attrition Modeling'!$N$8)-'IP Attrition'!AA$65)/12*'IP Attrition'!AA108,0)))</f>
        <v>0</v>
      </c>
      <c r="AC173" s="799">
        <f>IF(EOMONTH(Inputs!$C$8,'IP Attrition'!AC$134-1)&lt;=Inputs!$C$9,0,MIN(IF(ISERROR(VLOOKUP(AC$134+$F173,$D$135:$D$165,1,FALSE)),0,AB41*$C$2),MAX((IF(Monthly!Y$4=TRUE,Monthly!Y$13,Monthly!Y$14)*(1+'Attrition Modeling'!$N$8)-'IP Attrition'!AB$65)/12*'IP Attrition'!AB108,0)))</f>
        <v>0</v>
      </c>
      <c r="AD173" s="799">
        <f>IF(EOMONTH(Inputs!$C$8,'IP Attrition'!AD$134-1)&lt;=Inputs!$C$9,0,MIN(IF(ISERROR(VLOOKUP(AD$134+$F173,$D$135:$D$165,1,FALSE)),0,AC41*$C$2),MAX((IF(Monthly!Z$4=TRUE,Monthly!Z$13,Monthly!Z$14)*(1+'Attrition Modeling'!$N$8)-'IP Attrition'!AC$65)/12*'IP Attrition'!AC108,0)))</f>
        <v>0</v>
      </c>
      <c r="AE173" s="799">
        <f>IF(EOMONTH(Inputs!$C$8,'IP Attrition'!AE$134-1)&lt;=Inputs!$C$9,0,MIN(IF(ISERROR(VLOOKUP(AE$134+$F173,$D$135:$D$165,1,FALSE)),0,AD41*$C$2),MAX((IF(Monthly!AA$4=TRUE,Monthly!AA$13,Monthly!AA$14)*(1+'Attrition Modeling'!$N$8)-'IP Attrition'!AD$65)/12*'IP Attrition'!AD108,0)))</f>
        <v>0</v>
      </c>
      <c r="AF173" s="799">
        <f>IF(EOMONTH(Inputs!$C$8,'IP Attrition'!AF$134-1)&lt;=Inputs!$C$9,0,MIN(IF(ISERROR(VLOOKUP(AF$134+$F173,$D$135:$D$165,1,FALSE)),0,AE41*$C$2),MAX((IF(Monthly!AB$4=TRUE,Monthly!AB$13,Monthly!AB$14)*(1+'Attrition Modeling'!$N$8)-'IP Attrition'!AE$65)/12*'IP Attrition'!AE108,0)))</f>
        <v>0</v>
      </c>
      <c r="AG173" s="799">
        <f>IF(EOMONTH(Inputs!$C$8,'IP Attrition'!AG$134-1)&lt;=Inputs!$C$9,0,MIN(IF(ISERROR(VLOOKUP(AG$134+$F173,$D$135:$D$165,1,FALSE)),0,AF41*$C$2),MAX((IF(Monthly!AC$4=TRUE,Monthly!AC$13,Monthly!AC$14)*(1+'Attrition Modeling'!$N$8)-'IP Attrition'!AF$65)/12*'IP Attrition'!AF108,0)))</f>
        <v>0</v>
      </c>
      <c r="AH173" s="799">
        <f>IF(EOMONTH(Inputs!$C$8,'IP Attrition'!AH$134-1)&lt;=Inputs!$C$9,0,MIN(IF(ISERROR(VLOOKUP(AH$134+$F173,$D$135:$D$165,1,FALSE)),0,AG41*$C$2),MAX((IF(Monthly!AD$4=TRUE,Monthly!AD$13,Monthly!AD$14)*(1+'Attrition Modeling'!$N$8)-'IP Attrition'!AG$65)/12*'IP Attrition'!AG108,0)))</f>
        <v>0</v>
      </c>
      <c r="AI173" s="799">
        <f>IF(EOMONTH(Inputs!$C$8,'IP Attrition'!AI$134-1)&lt;=Inputs!$C$9,0,MIN(IF(ISERROR(VLOOKUP(AI$134+$F173,$D$135:$D$165,1,FALSE)),0,AH41*$C$2),MAX((IF(Monthly!AE$4=TRUE,Monthly!AE$13,Monthly!AE$14)*(1+'Attrition Modeling'!$N$8)-'IP Attrition'!AH$65)/12*'IP Attrition'!AH108,0)))</f>
        <v>0</v>
      </c>
      <c r="AJ173" s="799">
        <f>IF(EOMONTH(Inputs!$C$8,'IP Attrition'!AJ$134-1)&lt;=Inputs!$C$9,0,MIN(IF(ISERROR(VLOOKUP(AJ$134+$F173,$D$135:$D$165,1,FALSE)),0,AI41*$C$2),MAX((IF(Monthly!AF$4=TRUE,Monthly!AF$13,Monthly!AF$14)*(1+'Attrition Modeling'!$N$8)-'IP Attrition'!AI$65)/12*'IP Attrition'!AI108,0)))</f>
        <v>0</v>
      </c>
      <c r="AK173" s="799">
        <f>IF(EOMONTH(Inputs!$C$8,'IP Attrition'!AK$134-1)&lt;=Inputs!$C$9,0,MIN(IF(ISERROR(VLOOKUP(AK$134+$F173,$D$135:$D$165,1,FALSE)),0,AJ41*$C$2),MAX((IF(Monthly!AG$4=TRUE,Monthly!AG$13,Monthly!AG$14)*(1+'Attrition Modeling'!$N$8)-'IP Attrition'!AJ$65)/12*'IP Attrition'!AJ108,0)))</f>
        <v>0</v>
      </c>
      <c r="AL173" s="799">
        <f>IF(EOMONTH(Inputs!$C$8,'IP Attrition'!AL$134-1)&lt;=Inputs!$C$9,0,MIN(IF(ISERROR(VLOOKUP(AL$134+$F173,$D$135:$D$165,1,FALSE)),0,AK41*$C$2),MAX((IF(Monthly!AH$4=TRUE,Monthly!AH$13,Monthly!AH$14)*(1+'Attrition Modeling'!$N$8)-'IP Attrition'!AK$65)/12*'IP Attrition'!AK108,0)))</f>
        <v>0</v>
      </c>
      <c r="AM173" s="799">
        <f>IF(EOMONTH(Inputs!$C$8,'IP Attrition'!AM$134-1)&lt;=Inputs!$C$9,0,MIN(IF(ISERROR(VLOOKUP(AM$134+$F173,$D$135:$D$165,1,FALSE)),0,AL41*$C$2),MAX((IF(Monthly!AI$4=TRUE,Monthly!AI$13,Monthly!AI$14)*(1+'Attrition Modeling'!$N$8)-'IP Attrition'!AL$65)/12*'IP Attrition'!AL108,0)))</f>
        <v>0</v>
      </c>
      <c r="AN173" s="799">
        <f>IF(EOMONTH(Inputs!$C$8,'IP Attrition'!AN$134-1)&lt;=Inputs!$C$9,0,MIN(IF(ISERROR(VLOOKUP(AN$134+$F173,$D$135:$D$165,1,FALSE)),0,AM41*$C$2),MAX((IF(Monthly!AJ$4=TRUE,Monthly!AJ$13,Monthly!AJ$14)*(1+'Attrition Modeling'!$N$8)-'IP Attrition'!AM$65)/12*'IP Attrition'!AM108,0)))</f>
        <v>0</v>
      </c>
      <c r="AO173" s="799">
        <f>IF(EOMONTH(Inputs!$C$8,'IP Attrition'!AO$134-1)&lt;=Inputs!$C$9,0,MIN(IF(ISERROR(VLOOKUP(AO$134+$F173,$D$135:$D$165,1,FALSE)),0,AN41*$C$2),MAX((IF(Monthly!AK$4=TRUE,Monthly!AK$13,Monthly!AK$14)*(1+'Attrition Modeling'!$N$8)-'IP Attrition'!AN$65)/12*'IP Attrition'!AN108,0)))</f>
        <v>0</v>
      </c>
      <c r="AP173" s="799">
        <f>IF(EOMONTH(Inputs!$C$8,'IP Attrition'!AP$134-1)&lt;=Inputs!$C$9,0,MIN(IF(ISERROR(VLOOKUP(AP$134+$F173,$D$135:$D$165,1,FALSE)),0,AO41*$C$2),MAX((IF(Monthly!AL$4=TRUE,Monthly!AL$13,Monthly!AL$14)*(1+'Attrition Modeling'!$N$8)-'IP Attrition'!AO$65)/12*'IP Attrition'!AO108,0)))</f>
        <v>0</v>
      </c>
      <c r="AQ173" s="799">
        <f>IF(EOMONTH(Inputs!$C$8,'IP Attrition'!AQ$134-1)&lt;=Inputs!$C$9,0,MIN(IF(ISERROR(VLOOKUP(AQ$134+$F173,$D$135:$D$165,1,FALSE)),0,AP41*$C$2),MAX((IF(Monthly!AM$4=TRUE,Monthly!AM$13,Monthly!AM$14)*(1+'Attrition Modeling'!$N$8)-'IP Attrition'!AP$65)/12*'IP Attrition'!AP108,0)))</f>
        <v>0</v>
      </c>
      <c r="AR173" s="799">
        <f>IF(EOMONTH(Inputs!$C$8,'IP Attrition'!AR$134-1)&lt;=Inputs!$C$9,0,MIN(IF(ISERROR(VLOOKUP(AR$134+$F173,$D$135:$D$165,1,FALSE)),0,AQ41*$C$2),MAX((IF(Monthly!AN$4=TRUE,Monthly!AN$13,Monthly!AN$14)*(1+'Attrition Modeling'!$N$8)-'IP Attrition'!AQ$65)/12*'IP Attrition'!AQ108,0)))</f>
        <v>0</v>
      </c>
      <c r="AS173" s="799">
        <f>IF(EOMONTH(Inputs!$C$8,'IP Attrition'!AS$134-1)&lt;=Inputs!$C$9,0,MIN(IF(ISERROR(VLOOKUP(AS$134+$F173,$D$135:$D$165,1,FALSE)),0,AR41*$C$2),MAX((IF(Monthly!AO$4=TRUE,Monthly!AO$13,Monthly!AO$14)*(1+'Attrition Modeling'!$N$8)-'IP Attrition'!AR$65)/12*'IP Attrition'!AR108,0)))</f>
        <v>0</v>
      </c>
      <c r="AT173" s="799">
        <f>IF(EOMONTH(Inputs!$C$8,'IP Attrition'!AT$134-1)&lt;=Inputs!$C$9,0,MIN(IF(ISERROR(VLOOKUP(AT$134+$F173,$D$135:$D$165,1,FALSE)),0,AS41*$C$2),MAX((IF(Monthly!AP$4=TRUE,Monthly!AP$13,Monthly!AP$14)*(1+'Attrition Modeling'!$N$8)-'IP Attrition'!AS$65)/12*'IP Attrition'!AS108,0)))</f>
        <v>0</v>
      </c>
      <c r="AU173" s="799">
        <f>IF(EOMONTH(Inputs!$C$8,'IP Attrition'!AU$134-1)&lt;=Inputs!$C$9,0,MIN(IF(ISERROR(VLOOKUP(AU$134+$F173,$D$135:$D$165,1,FALSE)),0,AT41*$C$2),MAX((IF(Monthly!AQ$4=TRUE,Monthly!AQ$13,Monthly!AQ$14)*(1+'Attrition Modeling'!$N$8)-'IP Attrition'!AT$65)/12*'IP Attrition'!AT108,0)))</f>
        <v>0</v>
      </c>
      <c r="AV173" s="799">
        <f>IF(EOMONTH(Inputs!$C$8,'IP Attrition'!AV$134-1)&lt;=Inputs!$C$9,0,MIN(IF(ISERROR(VLOOKUP(AV$134+$F173,$D$135:$D$165,1,FALSE)),0,AU41*$C$2),MAX((IF(Monthly!AR$4=TRUE,Monthly!AR$13,Monthly!AR$14)*(1+'Attrition Modeling'!$N$8)-'IP Attrition'!AU$65)/12*'IP Attrition'!AU108,0)))</f>
        <v>0</v>
      </c>
      <c r="AW173" s="799">
        <f>IF(EOMONTH(Inputs!$C$8,'IP Attrition'!AW$134-1)&lt;=Inputs!$C$9,0,MIN(IF(ISERROR(VLOOKUP(AW$134+$F173,$D$135:$D$165,1,FALSE)),0,AV41*$C$2),MAX((IF(Monthly!AS$4=TRUE,Monthly!AS$13,Monthly!AS$14)*(1+'Attrition Modeling'!$N$8)-'IP Attrition'!AV$65)/12*'IP Attrition'!AV108,0)))</f>
        <v>0</v>
      </c>
      <c r="AX173" s="799">
        <f>IF(EOMONTH(Inputs!$C$8,'IP Attrition'!AX$134-1)&lt;=Inputs!$C$9,0,MIN(IF(ISERROR(VLOOKUP(AX$134+$F173,$D$135:$D$165,1,FALSE)),0,AW41*$C$2),MAX((IF(Monthly!AT$4=TRUE,Monthly!AT$13,Monthly!AT$14)*(1+'Attrition Modeling'!$N$8)-'IP Attrition'!AW$65)/12*'IP Attrition'!AW108,0)))</f>
        <v>0</v>
      </c>
      <c r="AY173" s="799">
        <f>IF(EOMONTH(Inputs!$C$8,'IP Attrition'!AY$134-1)&lt;=Inputs!$C$9,0,MIN(IF(ISERROR(VLOOKUP(AY$134+$F173,$D$135:$D$165,1,FALSE)),0,AX41*$C$2),MAX((IF(Monthly!AU$4=TRUE,Monthly!AU$13,Monthly!AU$14)*(1+'Attrition Modeling'!$N$8)-'IP Attrition'!AX$65)/12*'IP Attrition'!AX108,0)))</f>
        <v>0</v>
      </c>
      <c r="AZ173" s="799">
        <f>IF(EOMONTH(Inputs!$C$8,'IP Attrition'!AZ$134-1)&lt;=Inputs!$C$9,0,MIN(IF(ISERROR(VLOOKUP(AZ$134+$F173,$D$135:$D$165,1,FALSE)),0,AY41*$C$2),MAX((IF(Monthly!AV$4=TRUE,Monthly!AV$13,Monthly!AV$14)*(1+'Attrition Modeling'!$N$8)-'IP Attrition'!AY$65)/12*'IP Attrition'!AY108,0)))</f>
        <v>0</v>
      </c>
      <c r="BA173" s="799">
        <f>IF(EOMONTH(Inputs!$C$8,'IP Attrition'!BA$134-1)&lt;=Inputs!$C$9,0,MIN(IF(ISERROR(VLOOKUP(BA$134+$F173,$D$135:$D$165,1,FALSE)),0,AZ41*$C$2),MAX((IF(Monthly!AW$4=TRUE,Monthly!AW$13,Monthly!AW$14)*(1+'Attrition Modeling'!$N$8)-'IP Attrition'!AZ$65)/12*'IP Attrition'!AZ108,0)))</f>
        <v>0</v>
      </c>
      <c r="BB173" s="799">
        <f>IF(EOMONTH(Inputs!$C$8,'IP Attrition'!BB$134-1)&lt;=Inputs!$C$9,0,MIN(IF(ISERROR(VLOOKUP(BB$134+$F173,$D$135:$D$165,1,FALSE)),0,BA41*$C$2),MAX((IF(Monthly!AX$4=TRUE,Monthly!AX$13,Monthly!AX$14)*(1+'Attrition Modeling'!$N$8)-'IP Attrition'!BA$65)/12*'IP Attrition'!BA108,0)))</f>
        <v>0</v>
      </c>
      <c r="BC173" s="799">
        <f>IF(EOMONTH(Inputs!$C$8,'IP Attrition'!BC$134-1)&lt;=Inputs!$C$9,0,MIN(IF(ISERROR(VLOOKUP(BC$134+$F173,$D$135:$D$165,1,FALSE)),0,BB41*$C$2),MAX((IF(Monthly!AY$4=TRUE,Monthly!AY$13,Monthly!AY$14)*(1+'Attrition Modeling'!$N$8)-'IP Attrition'!BB$65)/12*'IP Attrition'!BB108,0)))</f>
        <v>0</v>
      </c>
      <c r="BD173" s="799">
        <f>IF(EOMONTH(Inputs!$C$8,'IP Attrition'!BD$134-1)&lt;=Inputs!$C$9,0,MIN(IF(ISERROR(VLOOKUP(BD$134+$F173,$D$135:$D$165,1,FALSE)),0,BC41*$C$2),MAX((IF(Monthly!AZ$4=TRUE,Monthly!AZ$13,Monthly!AZ$14)*(1+'Attrition Modeling'!$N$8)-'IP Attrition'!BC$65)/12*'IP Attrition'!BC108,0)))</f>
        <v>0</v>
      </c>
      <c r="BE173" s="799">
        <f>IF(EOMONTH(Inputs!$C$8,'IP Attrition'!BE$134-1)&lt;=Inputs!$C$9,0,MIN(IF(ISERROR(VLOOKUP(BE$134+$F173,$D$135:$D$165,1,FALSE)),0,BD41*$C$2),MAX((IF(Monthly!BA$4=TRUE,Monthly!BA$13,Monthly!BA$14)*(1+'Attrition Modeling'!$N$8)-'IP Attrition'!BD$65)/12*'IP Attrition'!BD108,0)))</f>
        <v>0</v>
      </c>
      <c r="BF173" s="799">
        <f>IF(EOMONTH(Inputs!$C$8,'IP Attrition'!BF$134-1)&lt;=Inputs!$C$9,0,MIN(IF(ISERROR(VLOOKUP(BF$134+$F173,$D$135:$D$165,1,FALSE)),0,BE41*$C$2),MAX((IF(Monthly!BB$4=TRUE,Monthly!BB$13,Monthly!BB$14)*(1+'Attrition Modeling'!$N$8)-'IP Attrition'!BE$65)/12*'IP Attrition'!BE108,0)))</f>
        <v>0</v>
      </c>
      <c r="BG173" s="799">
        <f>IF(EOMONTH(Inputs!$C$8,'IP Attrition'!BG$134-1)&lt;=Inputs!$C$9,0,MIN(IF(ISERROR(VLOOKUP(BG$134+$F173,$D$135:$D$165,1,FALSE)),0,BF41*$C$2),MAX((IF(Monthly!BC$4=TRUE,Monthly!BC$13,Monthly!BC$14)*(1+'Attrition Modeling'!$N$8)-'IP Attrition'!BF$65)/12*'IP Attrition'!BF108,0)))</f>
        <v>0</v>
      </c>
      <c r="BH173" s="799">
        <f>IF(EOMONTH(Inputs!$C$8,'IP Attrition'!BH$134-1)&lt;=Inputs!$C$9,0,MIN(IF(ISERROR(VLOOKUP(BH$134+$F173,$D$135:$D$165,1,FALSE)),0,BG41*$C$2),MAX((IF(Monthly!BD$4=TRUE,Monthly!BD$13,Monthly!BD$14)*(1+'Attrition Modeling'!$N$8)-'IP Attrition'!BG$65)/12*'IP Attrition'!BG108,0)))</f>
        <v>0</v>
      </c>
      <c r="BI173" s="799">
        <f>IF(EOMONTH(Inputs!$C$8,'IP Attrition'!BI$134-1)&lt;=Inputs!$C$9,0,MIN(IF(ISERROR(VLOOKUP(BI$134+$F173,$D$135:$D$165,1,FALSE)),0,BH41*$C$2),MAX((IF(Monthly!BE$4=TRUE,Monthly!BE$13,Monthly!BE$14)*(1+'Attrition Modeling'!$N$8)-'IP Attrition'!BH$65)/12*'IP Attrition'!BH108,0)))</f>
        <v>0</v>
      </c>
      <c r="BJ173" s="799">
        <f>IF(EOMONTH(Inputs!$C$8,'IP Attrition'!BJ$134-1)&lt;=Inputs!$C$9,0,MIN(IF(ISERROR(VLOOKUP(BJ$134+$F173,$D$135:$D$165,1,FALSE)),0,BI41*$C$2),MAX((IF(Monthly!BF$4=TRUE,Monthly!BF$13,Monthly!BF$14)*(1+'Attrition Modeling'!$N$8)-'IP Attrition'!BI$65)/12*'IP Attrition'!BI108,0)))</f>
        <v>0</v>
      </c>
      <c r="BK173" s="799">
        <f>IF(EOMONTH(Inputs!$C$8,'IP Attrition'!BK$134-1)&lt;=Inputs!$C$9,0,MIN(IF(ISERROR(VLOOKUP(BK$134+$F173,$D$135:$D$165,1,FALSE)),0,BJ41*$C$2),MAX((IF(Monthly!BG$4=TRUE,Monthly!BG$13,Monthly!BG$14)*(1+'Attrition Modeling'!$N$8)-'IP Attrition'!BJ$65)/12*'IP Attrition'!BJ108,0)))</f>
        <v>0</v>
      </c>
      <c r="BL173" s="799">
        <f>IF(EOMONTH(Inputs!$C$8,'IP Attrition'!BL$134-1)&lt;=Inputs!$C$9,0,MIN(IF(ISERROR(VLOOKUP(BL$134+$F173,$D$135:$D$165,1,FALSE)),0,BK41*$C$2),MAX((IF(Monthly!BH$4=TRUE,Monthly!BH$13,Monthly!BH$14)*(1+'Attrition Modeling'!$N$8)-'IP Attrition'!BK$65)/12*'IP Attrition'!BK108,0)))</f>
        <v>0</v>
      </c>
      <c r="BM173" s="799">
        <f>IF(EOMONTH(Inputs!$C$8,'IP Attrition'!BM$134-1)&lt;=Inputs!$C$9,0,MIN(IF(ISERROR(VLOOKUP(BM$134+$F173,$D$135:$D$165,1,FALSE)),0,BL41*$C$2),MAX((IF(Monthly!BI$4=TRUE,Monthly!BI$13,Monthly!BI$14)*(1+'Attrition Modeling'!$N$8)-'IP Attrition'!BL$65)/12*'IP Attrition'!BL108,0)))</f>
        <v>0</v>
      </c>
      <c r="BN173" s="799">
        <f>IF(EOMONTH(Inputs!$C$8,'IP Attrition'!BN$134-1)&lt;=Inputs!$C$9,0,MIN(IF(ISERROR(VLOOKUP(BN$134+$F173,$D$135:$D$165,1,FALSE)),0,BM41*$C$2),MAX((IF(Monthly!BJ$4=TRUE,Monthly!BJ$13,Monthly!BJ$14)*(1+'Attrition Modeling'!$N$8)-'IP Attrition'!BM$65)/12*'IP Attrition'!BM108,0)))</f>
        <v>0</v>
      </c>
      <c r="BO173" s="799">
        <f>IF(EOMONTH(Inputs!$C$8,'IP Attrition'!BO$134-1)&lt;=Inputs!$C$9,0,MIN(IF(ISERROR(VLOOKUP(BO$134+$F173,$D$135:$D$165,1,FALSE)),0,BN41*$C$2),MAX((IF(Monthly!BK$4=TRUE,Monthly!BK$13,Monthly!BK$14)*(1+'Attrition Modeling'!$N$8)-'IP Attrition'!BN$65)/12*'IP Attrition'!BN108,0)))</f>
        <v>0</v>
      </c>
      <c r="BP173" s="799">
        <f>IF(EOMONTH(Inputs!$C$8,'IP Attrition'!BP$134-1)&lt;=Inputs!$C$9,0,MIN(IF(ISERROR(VLOOKUP(BP$134+$F173,$D$135:$D$165,1,FALSE)),0,BO41*$C$2),MAX((IF(Monthly!BL$4=TRUE,Monthly!BL$13,Monthly!BL$14)*(1+'Attrition Modeling'!$N$8)-'IP Attrition'!BO$65)/12*'IP Attrition'!BO108,0)))</f>
        <v>0</v>
      </c>
      <c r="BQ173" s="799">
        <f>IF(EOMONTH(Inputs!$C$8,'IP Attrition'!BQ$134-1)&lt;=Inputs!$C$9,0,MIN(IF(ISERROR(VLOOKUP(BQ$134+$F173,$D$135:$D$165,1,FALSE)),0,BP41*$C$2),MAX((IF(Monthly!BM$4=TRUE,Monthly!BM$13,Monthly!BM$14)*(1+'Attrition Modeling'!$N$8)-'IP Attrition'!BP$65)/12*'IP Attrition'!BP108,0)))</f>
        <v>0</v>
      </c>
      <c r="BR173" s="799">
        <f>IF(EOMONTH(Inputs!$C$8,'IP Attrition'!BR$134-1)&lt;=Inputs!$C$9,0,MIN(IF(ISERROR(VLOOKUP(BR$134+$F173,$D$135:$D$165,1,FALSE)),0,BQ41*$C$2),MAX((IF(Monthly!BN$4=TRUE,Monthly!BN$13,Monthly!BN$14)*(1+'Attrition Modeling'!$N$8)-'IP Attrition'!BQ$65)/12*'IP Attrition'!BQ108,0)))</f>
        <v>0</v>
      </c>
      <c r="BS173" s="799">
        <f>IF(EOMONTH(Inputs!$C$8,'IP Attrition'!BS$134-1)&lt;=Inputs!$C$9,0,MIN(IF(ISERROR(VLOOKUP(BS$134+$F173,$D$135:$D$165,1,FALSE)),0,BR41*$C$2),MAX((IF(Monthly!BO$4=TRUE,Monthly!BO$13,Monthly!BO$14)*(1+'Attrition Modeling'!$N$8)-'IP Attrition'!BR$65)/12*'IP Attrition'!BR108,0)))</f>
        <v>0</v>
      </c>
      <c r="BT173" s="799" t="e">
        <f>IF(EOMONTH(Inputs!$C$8,'IP Attrition'!BT$134-1)&lt;=Inputs!$C$9,0,MIN(IF(ISERROR(VLOOKUP(BT$134+$F173,$D$135:$D$165,1,FALSE)),0,BS41*$C$2),MAX((IF(Monthly!#REF!=TRUE,Monthly!#REF!,Monthly!#REF!)*(1+'Attrition Modeling'!$N$8)-'IP Attrition'!BS$65)/12*'IP Attrition'!BS108,0)))</f>
        <v>#REF!</v>
      </c>
      <c r="BU173" s="799" t="e">
        <f>IF(EOMONTH(Inputs!$C$8,'IP Attrition'!BU$134-1)&lt;=Inputs!$C$9,0,MIN(IF(ISERROR(VLOOKUP(BU$134+$F173,$D$135:$D$165,1,FALSE)),0,BT41*$C$2),MAX((IF(Monthly!#REF!=TRUE,Monthly!#REF!,Monthly!#REF!)*(1+'Attrition Modeling'!$N$8)-'IP Attrition'!BT$65)/12*'IP Attrition'!BT108,0)))</f>
        <v>#REF!</v>
      </c>
    </row>
    <row r="174" spans="1:73" ht="14.25" customHeight="1" x14ac:dyDescent="0.2">
      <c r="E174" s="25">
        <f t="shared" si="71"/>
        <v>0</v>
      </c>
      <c r="F174" s="11">
        <f t="shared" si="73"/>
        <v>39</v>
      </c>
      <c r="G174" s="799"/>
      <c r="H174" s="799">
        <f>IF(EOMONTH(Inputs!$C$8,'IP Attrition'!H$134-1)&lt;=Inputs!$C$9,0,MIN(IF(ISERROR(VLOOKUP(H$134+$F174,$D$135:$D$165,1,FALSE)),0,G42*$C$2),MAX((IF(Monthly!D$4=TRUE,Monthly!D$13,Monthly!D$14)*(1+'Attrition Modeling'!$N$8)-'IP Attrition'!G$65)/12*'IP Attrition'!G109,0)))</f>
        <v>0</v>
      </c>
      <c r="I174" s="799">
        <f>IF(EOMONTH(Inputs!$C$8,'IP Attrition'!I$134-1)&lt;=Inputs!$C$9,0,MIN(IF(ISERROR(VLOOKUP(I$134+$F174,$D$135:$D$165,1,FALSE)),0,H42*$C$2),MAX((IF(Monthly!E$4=TRUE,Monthly!E$13,Monthly!E$14)*(1+'Attrition Modeling'!$N$8)-'IP Attrition'!H$65)/12*'IP Attrition'!H109,0)))</f>
        <v>0</v>
      </c>
      <c r="J174" s="799">
        <f>IF(EOMONTH(Inputs!$C$8,'IP Attrition'!J$134-1)&lt;=Inputs!$C$9,0,MIN(IF(ISERROR(VLOOKUP(J$134+$F174,$D$135:$D$165,1,FALSE)),0,I42*$C$2),MAX((IF(Monthly!F$4=TRUE,Monthly!F$13,Monthly!F$14)*(1+'Attrition Modeling'!$N$8)-'IP Attrition'!I$65)/12*'IP Attrition'!I109,0)))</f>
        <v>0</v>
      </c>
      <c r="K174" s="799">
        <f>IF(EOMONTH(Inputs!$C$8,'IP Attrition'!K$134-1)&lt;=Inputs!$C$9,0,MIN(IF(ISERROR(VLOOKUP(K$134+$F174,$D$135:$D$165,1,FALSE)),0,J42*$C$2),MAX((IF(Monthly!G$4=TRUE,Monthly!G$13,Monthly!G$14)*(1+'Attrition Modeling'!$N$8)-'IP Attrition'!J$65)/12*'IP Attrition'!J109,0)))</f>
        <v>0</v>
      </c>
      <c r="L174" s="799">
        <f>IF(EOMONTH(Inputs!$C$8,'IP Attrition'!L$134-1)&lt;=Inputs!$C$9,0,MIN(IF(ISERROR(VLOOKUP(L$134+$F174,$D$135:$D$165,1,FALSE)),0,K42*$C$2),MAX((IF(Monthly!H$4=TRUE,Monthly!H$13,Monthly!H$14)*(1+'Attrition Modeling'!$N$8)-'IP Attrition'!K$65)/12*'IP Attrition'!K109,0)))</f>
        <v>0</v>
      </c>
      <c r="M174" s="799">
        <f>IF(EOMONTH(Inputs!$C$8,'IP Attrition'!M$134-1)&lt;=Inputs!$C$9,0,MIN(IF(ISERROR(VLOOKUP(M$134+$F174,$D$135:$D$165,1,FALSE)),0,L42*$C$2),MAX((IF(Monthly!I$4=TRUE,Monthly!I$13,Monthly!I$14)*(1+'Attrition Modeling'!$N$8)-'IP Attrition'!L$65)/12*'IP Attrition'!L109,0)))</f>
        <v>0</v>
      </c>
      <c r="N174" s="799">
        <f>IF(EOMONTH(Inputs!$C$8,'IP Attrition'!N$134-1)&lt;=Inputs!$C$9,0,MIN(IF(ISERROR(VLOOKUP(N$134+$F174,$D$135:$D$165,1,FALSE)),0,M42*$C$2),MAX((IF(Monthly!J$4=TRUE,Monthly!J$13,Monthly!J$14)*(1+'Attrition Modeling'!$N$8)-'IP Attrition'!M$65)/12*'IP Attrition'!M109,0)))</f>
        <v>0</v>
      </c>
      <c r="O174" s="799">
        <f>IF(EOMONTH(Inputs!$C$8,'IP Attrition'!O$134-1)&lt;=Inputs!$C$9,0,MIN(IF(ISERROR(VLOOKUP(O$134+$F174,$D$135:$D$165,1,FALSE)),0,N42*$C$2),MAX((IF(Monthly!K$4=TRUE,Monthly!K$13,Monthly!K$14)*(1+'Attrition Modeling'!$N$8)-'IP Attrition'!N$65)/12*'IP Attrition'!N109,0)))</f>
        <v>0</v>
      </c>
      <c r="P174" s="799">
        <f>IF(EOMONTH(Inputs!$C$8,'IP Attrition'!P$134-1)&lt;=Inputs!$C$9,0,MIN(IF(ISERROR(VLOOKUP(P$134+$F174,$D$135:$D$165,1,FALSE)),0,O42*$C$2),MAX((IF(Monthly!L$4=TRUE,Monthly!L$13,Monthly!L$14)*(1+'Attrition Modeling'!$N$8)-'IP Attrition'!O$65)/12*'IP Attrition'!O109,0)))</f>
        <v>0</v>
      </c>
      <c r="Q174" s="799">
        <f>IF(EOMONTH(Inputs!$C$8,'IP Attrition'!Q$134-1)&lt;=Inputs!$C$9,0,MIN(IF(ISERROR(VLOOKUP(Q$134+$F174,$D$135:$D$165,1,FALSE)),0,P42*$C$2),MAX((IF(Monthly!M$4=TRUE,Monthly!M$13,Monthly!M$14)*(1+'Attrition Modeling'!$N$8)-'IP Attrition'!P$65)/12*'IP Attrition'!P109,0)))</f>
        <v>0</v>
      </c>
      <c r="R174" s="799">
        <f>IF(EOMONTH(Inputs!$C$8,'IP Attrition'!R$134-1)&lt;=Inputs!$C$9,0,MIN(IF(ISERROR(VLOOKUP(R$134+$F174,$D$135:$D$165,1,FALSE)),0,Q42*$C$2),MAX((IF(Monthly!N$4=TRUE,Monthly!N$13,Monthly!N$14)*(1+'Attrition Modeling'!$N$8)-'IP Attrition'!Q$65)/12*'IP Attrition'!Q109,0)))</f>
        <v>0</v>
      </c>
      <c r="S174" s="799">
        <f>IF(EOMONTH(Inputs!$C$8,'IP Attrition'!S$134-1)&lt;=Inputs!$C$9,0,MIN(IF(ISERROR(VLOOKUP(S$134+$F174,$D$135:$D$165,1,FALSE)),0,R42*$C$2),MAX((IF(Monthly!O$4=TRUE,Monthly!O$13,Monthly!O$14)*(1+'Attrition Modeling'!$N$8)-'IP Attrition'!R$65)/12*'IP Attrition'!R109,0)))</f>
        <v>0</v>
      </c>
      <c r="T174" s="799">
        <f>IF(EOMONTH(Inputs!$C$8,'IP Attrition'!T$134-1)&lt;=Inputs!$C$9,0,MIN(IF(ISERROR(VLOOKUP(T$134+$F174,$D$135:$D$165,1,FALSE)),0,S42*$C$2),MAX((IF(Monthly!P$4=TRUE,Monthly!P$13,Monthly!P$14)*(1+'Attrition Modeling'!$N$8)-'IP Attrition'!S$65)/12*'IP Attrition'!S109,0)))</f>
        <v>0</v>
      </c>
      <c r="U174" s="799">
        <f>IF(EOMONTH(Inputs!$C$8,'IP Attrition'!U$134-1)&lt;=Inputs!$C$9,0,MIN(IF(ISERROR(VLOOKUP(U$134+$F174,$D$135:$D$165,1,FALSE)),0,T42*$C$2),MAX((IF(Monthly!Q$4=TRUE,Monthly!Q$13,Monthly!Q$14)*(1+'Attrition Modeling'!$N$8)-'IP Attrition'!T$65)/12*'IP Attrition'!T109,0)))</f>
        <v>0</v>
      </c>
      <c r="V174" s="799">
        <f>IF(EOMONTH(Inputs!$C$8,'IP Attrition'!V$134-1)&lt;=Inputs!$C$9,0,MIN(IF(ISERROR(VLOOKUP(V$134+$F174,$D$135:$D$165,1,FALSE)),0,U42*$C$2),MAX((IF(Monthly!R$4=TRUE,Monthly!R$13,Monthly!R$14)*(1+'Attrition Modeling'!$N$8)-'IP Attrition'!U$65)/12*'IP Attrition'!U109,0)))</f>
        <v>0</v>
      </c>
      <c r="W174" s="799">
        <f>IF(EOMONTH(Inputs!$C$8,'IP Attrition'!W$134-1)&lt;=Inputs!$C$9,0,MIN(IF(ISERROR(VLOOKUP(W$134+$F174,$D$135:$D$165,1,FALSE)),0,V42*$C$2),MAX((IF(Monthly!S$4=TRUE,Monthly!S$13,Monthly!S$14)*(1+'Attrition Modeling'!$N$8)-'IP Attrition'!V$65)/12*'IP Attrition'!V109,0)))</f>
        <v>0</v>
      </c>
      <c r="X174" s="799">
        <f>IF(EOMONTH(Inputs!$C$8,'IP Attrition'!X$134-1)&lt;=Inputs!$C$9,0,MIN(IF(ISERROR(VLOOKUP(X$134+$F174,$D$135:$D$165,1,FALSE)),0,W42*$C$2),MAX((IF(Monthly!T$4=TRUE,Monthly!T$13,Monthly!T$14)*(1+'Attrition Modeling'!$N$8)-'IP Attrition'!W$65)/12*'IP Attrition'!W109,0)))</f>
        <v>0</v>
      </c>
      <c r="Y174" s="799">
        <f>IF(EOMONTH(Inputs!$C$8,'IP Attrition'!Y$134-1)&lt;=Inputs!$C$9,0,MIN(IF(ISERROR(VLOOKUP(Y$134+$F174,$D$135:$D$165,1,FALSE)),0,X42*$C$2),MAX((IF(Monthly!U$4=TRUE,Monthly!U$13,Monthly!U$14)*(1+'Attrition Modeling'!$N$8)-'IP Attrition'!X$65)/12*'IP Attrition'!X109,0)))</f>
        <v>0</v>
      </c>
      <c r="Z174" s="799">
        <f>IF(EOMONTH(Inputs!$C$8,'IP Attrition'!Z$134-1)&lt;=Inputs!$C$9,0,MIN(IF(ISERROR(VLOOKUP(Z$134+$F174,$D$135:$D$165,1,FALSE)),0,Y42*$C$2),MAX((IF(Monthly!V$4=TRUE,Monthly!V$13,Monthly!V$14)*(1+'Attrition Modeling'!$N$8)-'IP Attrition'!Y$65)/12*'IP Attrition'!Y109,0)))</f>
        <v>0</v>
      </c>
      <c r="AA174" s="799">
        <f>IF(EOMONTH(Inputs!$C$8,'IP Attrition'!AA$134-1)&lt;=Inputs!$C$9,0,MIN(IF(ISERROR(VLOOKUP(AA$134+$F174,$D$135:$D$165,1,FALSE)),0,Z42*$C$2),MAX((IF(Monthly!W$4=TRUE,Monthly!W$13,Monthly!W$14)*(1+'Attrition Modeling'!$N$8)-'IP Attrition'!Z$65)/12*'IP Attrition'!Z109,0)))</f>
        <v>0</v>
      </c>
      <c r="AB174" s="799">
        <f>IF(EOMONTH(Inputs!$C$8,'IP Attrition'!AB$134-1)&lt;=Inputs!$C$9,0,MIN(IF(ISERROR(VLOOKUP(AB$134+$F174,$D$135:$D$165,1,FALSE)),0,AA42*$C$2),MAX((IF(Monthly!X$4=TRUE,Monthly!X$13,Monthly!X$14)*(1+'Attrition Modeling'!$N$8)-'IP Attrition'!AA$65)/12*'IP Attrition'!AA109,0)))</f>
        <v>0</v>
      </c>
      <c r="AC174" s="799">
        <f>IF(EOMONTH(Inputs!$C$8,'IP Attrition'!AC$134-1)&lt;=Inputs!$C$9,0,MIN(IF(ISERROR(VLOOKUP(AC$134+$F174,$D$135:$D$165,1,FALSE)),0,AB42*$C$2),MAX((IF(Monthly!Y$4=TRUE,Monthly!Y$13,Monthly!Y$14)*(1+'Attrition Modeling'!$N$8)-'IP Attrition'!AB$65)/12*'IP Attrition'!AB109,0)))</f>
        <v>0</v>
      </c>
      <c r="AD174" s="799">
        <f>IF(EOMONTH(Inputs!$C$8,'IP Attrition'!AD$134-1)&lt;=Inputs!$C$9,0,MIN(IF(ISERROR(VLOOKUP(AD$134+$F174,$D$135:$D$165,1,FALSE)),0,AC42*$C$2),MAX((IF(Monthly!Z$4=TRUE,Monthly!Z$13,Monthly!Z$14)*(1+'Attrition Modeling'!$N$8)-'IP Attrition'!AC$65)/12*'IP Attrition'!AC109,0)))</f>
        <v>0</v>
      </c>
      <c r="AE174" s="799">
        <f>IF(EOMONTH(Inputs!$C$8,'IP Attrition'!AE$134-1)&lt;=Inputs!$C$9,0,MIN(IF(ISERROR(VLOOKUP(AE$134+$F174,$D$135:$D$165,1,FALSE)),0,AD42*$C$2),MAX((IF(Monthly!AA$4=TRUE,Monthly!AA$13,Monthly!AA$14)*(1+'Attrition Modeling'!$N$8)-'IP Attrition'!AD$65)/12*'IP Attrition'!AD109,0)))</f>
        <v>0</v>
      </c>
      <c r="AF174" s="799">
        <f>IF(EOMONTH(Inputs!$C$8,'IP Attrition'!AF$134-1)&lt;=Inputs!$C$9,0,MIN(IF(ISERROR(VLOOKUP(AF$134+$F174,$D$135:$D$165,1,FALSE)),0,AE42*$C$2),MAX((IF(Monthly!AB$4=TRUE,Monthly!AB$13,Monthly!AB$14)*(1+'Attrition Modeling'!$N$8)-'IP Attrition'!AE$65)/12*'IP Attrition'!AE109,0)))</f>
        <v>0</v>
      </c>
      <c r="AG174" s="799">
        <f>IF(EOMONTH(Inputs!$C$8,'IP Attrition'!AG$134-1)&lt;=Inputs!$C$9,0,MIN(IF(ISERROR(VLOOKUP(AG$134+$F174,$D$135:$D$165,1,FALSE)),0,AF42*$C$2),MAX((IF(Monthly!AC$4=TRUE,Monthly!AC$13,Monthly!AC$14)*(1+'Attrition Modeling'!$N$8)-'IP Attrition'!AF$65)/12*'IP Attrition'!AF109,0)))</f>
        <v>0</v>
      </c>
      <c r="AH174" s="799">
        <f>IF(EOMONTH(Inputs!$C$8,'IP Attrition'!AH$134-1)&lt;=Inputs!$C$9,0,MIN(IF(ISERROR(VLOOKUP(AH$134+$F174,$D$135:$D$165,1,FALSE)),0,AG42*$C$2),MAX((IF(Monthly!AD$4=TRUE,Monthly!AD$13,Monthly!AD$14)*(1+'Attrition Modeling'!$N$8)-'IP Attrition'!AG$65)/12*'IP Attrition'!AG109,0)))</f>
        <v>0</v>
      </c>
      <c r="AI174" s="799">
        <f>IF(EOMONTH(Inputs!$C$8,'IP Attrition'!AI$134-1)&lt;=Inputs!$C$9,0,MIN(IF(ISERROR(VLOOKUP(AI$134+$F174,$D$135:$D$165,1,FALSE)),0,AH42*$C$2),MAX((IF(Monthly!AE$4=TRUE,Monthly!AE$13,Monthly!AE$14)*(1+'Attrition Modeling'!$N$8)-'IP Attrition'!AH$65)/12*'IP Attrition'!AH109,0)))</f>
        <v>0</v>
      </c>
      <c r="AJ174" s="799">
        <f>IF(EOMONTH(Inputs!$C$8,'IP Attrition'!AJ$134-1)&lt;=Inputs!$C$9,0,MIN(IF(ISERROR(VLOOKUP(AJ$134+$F174,$D$135:$D$165,1,FALSE)),0,AI42*$C$2),MAX((IF(Monthly!AF$4=TRUE,Monthly!AF$13,Monthly!AF$14)*(1+'Attrition Modeling'!$N$8)-'IP Attrition'!AI$65)/12*'IP Attrition'!AI109,0)))</f>
        <v>0</v>
      </c>
      <c r="AK174" s="799">
        <f>IF(EOMONTH(Inputs!$C$8,'IP Attrition'!AK$134-1)&lt;=Inputs!$C$9,0,MIN(IF(ISERROR(VLOOKUP(AK$134+$F174,$D$135:$D$165,1,FALSE)),0,AJ42*$C$2),MAX((IF(Monthly!AG$4=TRUE,Monthly!AG$13,Monthly!AG$14)*(1+'Attrition Modeling'!$N$8)-'IP Attrition'!AJ$65)/12*'IP Attrition'!AJ109,0)))</f>
        <v>0</v>
      </c>
      <c r="AL174" s="799">
        <f>IF(EOMONTH(Inputs!$C$8,'IP Attrition'!AL$134-1)&lt;=Inputs!$C$9,0,MIN(IF(ISERROR(VLOOKUP(AL$134+$F174,$D$135:$D$165,1,FALSE)),0,AK42*$C$2),MAX((IF(Monthly!AH$4=TRUE,Monthly!AH$13,Monthly!AH$14)*(1+'Attrition Modeling'!$N$8)-'IP Attrition'!AK$65)/12*'IP Attrition'!AK109,0)))</f>
        <v>0</v>
      </c>
      <c r="AM174" s="799">
        <f>IF(EOMONTH(Inputs!$C$8,'IP Attrition'!AM$134-1)&lt;=Inputs!$C$9,0,MIN(IF(ISERROR(VLOOKUP(AM$134+$F174,$D$135:$D$165,1,FALSE)),0,AL42*$C$2),MAX((IF(Monthly!AI$4=TRUE,Monthly!AI$13,Monthly!AI$14)*(1+'Attrition Modeling'!$N$8)-'IP Attrition'!AL$65)/12*'IP Attrition'!AL109,0)))</f>
        <v>0</v>
      </c>
      <c r="AN174" s="799">
        <f>IF(EOMONTH(Inputs!$C$8,'IP Attrition'!AN$134-1)&lt;=Inputs!$C$9,0,MIN(IF(ISERROR(VLOOKUP(AN$134+$F174,$D$135:$D$165,1,FALSE)),0,AM42*$C$2),MAX((IF(Monthly!AJ$4=TRUE,Monthly!AJ$13,Monthly!AJ$14)*(1+'Attrition Modeling'!$N$8)-'IP Attrition'!AM$65)/12*'IP Attrition'!AM109,0)))</f>
        <v>0</v>
      </c>
      <c r="AO174" s="799">
        <f>IF(EOMONTH(Inputs!$C$8,'IP Attrition'!AO$134-1)&lt;=Inputs!$C$9,0,MIN(IF(ISERROR(VLOOKUP(AO$134+$F174,$D$135:$D$165,1,FALSE)),0,AN42*$C$2),MAX((IF(Monthly!AK$4=TRUE,Monthly!AK$13,Monthly!AK$14)*(1+'Attrition Modeling'!$N$8)-'IP Attrition'!AN$65)/12*'IP Attrition'!AN109,0)))</f>
        <v>0</v>
      </c>
      <c r="AP174" s="799">
        <f>IF(EOMONTH(Inputs!$C$8,'IP Attrition'!AP$134-1)&lt;=Inputs!$C$9,0,MIN(IF(ISERROR(VLOOKUP(AP$134+$F174,$D$135:$D$165,1,FALSE)),0,AO42*$C$2),MAX((IF(Monthly!AL$4=TRUE,Monthly!AL$13,Monthly!AL$14)*(1+'Attrition Modeling'!$N$8)-'IP Attrition'!AO$65)/12*'IP Attrition'!AO109,0)))</f>
        <v>0</v>
      </c>
      <c r="AQ174" s="799">
        <f>IF(EOMONTH(Inputs!$C$8,'IP Attrition'!AQ$134-1)&lt;=Inputs!$C$9,0,MIN(IF(ISERROR(VLOOKUP(AQ$134+$F174,$D$135:$D$165,1,FALSE)),0,AP42*$C$2),MAX((IF(Monthly!AM$4=TRUE,Monthly!AM$13,Monthly!AM$14)*(1+'Attrition Modeling'!$N$8)-'IP Attrition'!AP$65)/12*'IP Attrition'!AP109,0)))</f>
        <v>0</v>
      </c>
      <c r="AR174" s="799">
        <f>IF(EOMONTH(Inputs!$C$8,'IP Attrition'!AR$134-1)&lt;=Inputs!$C$9,0,MIN(IF(ISERROR(VLOOKUP(AR$134+$F174,$D$135:$D$165,1,FALSE)),0,AQ42*$C$2),MAX((IF(Monthly!AN$4=TRUE,Monthly!AN$13,Monthly!AN$14)*(1+'Attrition Modeling'!$N$8)-'IP Attrition'!AQ$65)/12*'IP Attrition'!AQ109,0)))</f>
        <v>0</v>
      </c>
      <c r="AS174" s="799">
        <f>IF(EOMONTH(Inputs!$C$8,'IP Attrition'!AS$134-1)&lt;=Inputs!$C$9,0,MIN(IF(ISERROR(VLOOKUP(AS$134+$F174,$D$135:$D$165,1,FALSE)),0,AR42*$C$2),MAX((IF(Monthly!AO$4=TRUE,Monthly!AO$13,Monthly!AO$14)*(1+'Attrition Modeling'!$N$8)-'IP Attrition'!AR$65)/12*'IP Attrition'!AR109,0)))</f>
        <v>0</v>
      </c>
      <c r="AT174" s="799">
        <f>IF(EOMONTH(Inputs!$C$8,'IP Attrition'!AT$134-1)&lt;=Inputs!$C$9,0,MIN(IF(ISERROR(VLOOKUP(AT$134+$F174,$D$135:$D$165,1,FALSE)),0,AS42*$C$2),MAX((IF(Monthly!AP$4=TRUE,Monthly!AP$13,Monthly!AP$14)*(1+'Attrition Modeling'!$N$8)-'IP Attrition'!AS$65)/12*'IP Attrition'!AS109,0)))</f>
        <v>0</v>
      </c>
      <c r="AU174" s="799">
        <f>IF(EOMONTH(Inputs!$C$8,'IP Attrition'!AU$134-1)&lt;=Inputs!$C$9,0,MIN(IF(ISERROR(VLOOKUP(AU$134+$F174,$D$135:$D$165,1,FALSE)),0,AT42*$C$2),MAX((IF(Monthly!AQ$4=TRUE,Monthly!AQ$13,Monthly!AQ$14)*(1+'Attrition Modeling'!$N$8)-'IP Attrition'!AT$65)/12*'IP Attrition'!AT109,0)))</f>
        <v>0</v>
      </c>
      <c r="AV174" s="799">
        <f>IF(EOMONTH(Inputs!$C$8,'IP Attrition'!AV$134-1)&lt;=Inputs!$C$9,0,MIN(IF(ISERROR(VLOOKUP(AV$134+$F174,$D$135:$D$165,1,FALSE)),0,AU42*$C$2),MAX((IF(Monthly!AR$4=TRUE,Monthly!AR$13,Monthly!AR$14)*(1+'Attrition Modeling'!$N$8)-'IP Attrition'!AU$65)/12*'IP Attrition'!AU109,0)))</f>
        <v>0</v>
      </c>
      <c r="AW174" s="799">
        <f>IF(EOMONTH(Inputs!$C$8,'IP Attrition'!AW$134-1)&lt;=Inputs!$C$9,0,MIN(IF(ISERROR(VLOOKUP(AW$134+$F174,$D$135:$D$165,1,FALSE)),0,AV42*$C$2),MAX((IF(Monthly!AS$4=TRUE,Monthly!AS$13,Monthly!AS$14)*(1+'Attrition Modeling'!$N$8)-'IP Attrition'!AV$65)/12*'IP Attrition'!AV109,0)))</f>
        <v>0</v>
      </c>
      <c r="AX174" s="799">
        <f>IF(EOMONTH(Inputs!$C$8,'IP Attrition'!AX$134-1)&lt;=Inputs!$C$9,0,MIN(IF(ISERROR(VLOOKUP(AX$134+$F174,$D$135:$D$165,1,FALSE)),0,AW42*$C$2),MAX((IF(Monthly!AT$4=TRUE,Monthly!AT$13,Monthly!AT$14)*(1+'Attrition Modeling'!$N$8)-'IP Attrition'!AW$65)/12*'IP Attrition'!AW109,0)))</f>
        <v>0</v>
      </c>
      <c r="AY174" s="799">
        <f>IF(EOMONTH(Inputs!$C$8,'IP Attrition'!AY$134-1)&lt;=Inputs!$C$9,0,MIN(IF(ISERROR(VLOOKUP(AY$134+$F174,$D$135:$D$165,1,FALSE)),0,AX42*$C$2),MAX((IF(Monthly!AU$4=TRUE,Monthly!AU$13,Monthly!AU$14)*(1+'Attrition Modeling'!$N$8)-'IP Attrition'!AX$65)/12*'IP Attrition'!AX109,0)))</f>
        <v>0</v>
      </c>
      <c r="AZ174" s="799">
        <f>IF(EOMONTH(Inputs!$C$8,'IP Attrition'!AZ$134-1)&lt;=Inputs!$C$9,0,MIN(IF(ISERROR(VLOOKUP(AZ$134+$F174,$D$135:$D$165,1,FALSE)),0,AY42*$C$2),MAX((IF(Monthly!AV$4=TRUE,Monthly!AV$13,Monthly!AV$14)*(1+'Attrition Modeling'!$N$8)-'IP Attrition'!AY$65)/12*'IP Attrition'!AY109,0)))</f>
        <v>0</v>
      </c>
      <c r="BA174" s="799">
        <f>IF(EOMONTH(Inputs!$C$8,'IP Attrition'!BA$134-1)&lt;=Inputs!$C$9,0,MIN(IF(ISERROR(VLOOKUP(BA$134+$F174,$D$135:$D$165,1,FALSE)),0,AZ42*$C$2),MAX((IF(Monthly!AW$4=TRUE,Monthly!AW$13,Monthly!AW$14)*(1+'Attrition Modeling'!$N$8)-'IP Attrition'!AZ$65)/12*'IP Attrition'!AZ109,0)))</f>
        <v>0</v>
      </c>
      <c r="BB174" s="799">
        <f>IF(EOMONTH(Inputs!$C$8,'IP Attrition'!BB$134-1)&lt;=Inputs!$C$9,0,MIN(IF(ISERROR(VLOOKUP(BB$134+$F174,$D$135:$D$165,1,FALSE)),0,BA42*$C$2),MAX((IF(Monthly!AX$4=TRUE,Monthly!AX$13,Monthly!AX$14)*(1+'Attrition Modeling'!$N$8)-'IP Attrition'!BA$65)/12*'IP Attrition'!BA109,0)))</f>
        <v>0</v>
      </c>
      <c r="BC174" s="799">
        <f>IF(EOMONTH(Inputs!$C$8,'IP Attrition'!BC$134-1)&lt;=Inputs!$C$9,0,MIN(IF(ISERROR(VLOOKUP(BC$134+$F174,$D$135:$D$165,1,FALSE)),0,BB42*$C$2),MAX((IF(Monthly!AY$4=TRUE,Monthly!AY$13,Monthly!AY$14)*(1+'Attrition Modeling'!$N$8)-'IP Attrition'!BB$65)/12*'IP Attrition'!BB109,0)))</f>
        <v>0</v>
      </c>
      <c r="BD174" s="799">
        <f>IF(EOMONTH(Inputs!$C$8,'IP Attrition'!BD$134-1)&lt;=Inputs!$C$9,0,MIN(IF(ISERROR(VLOOKUP(BD$134+$F174,$D$135:$D$165,1,FALSE)),0,BC42*$C$2),MAX((IF(Monthly!AZ$4=TRUE,Monthly!AZ$13,Monthly!AZ$14)*(1+'Attrition Modeling'!$N$8)-'IP Attrition'!BC$65)/12*'IP Attrition'!BC109,0)))</f>
        <v>0</v>
      </c>
      <c r="BE174" s="799">
        <f>IF(EOMONTH(Inputs!$C$8,'IP Attrition'!BE$134-1)&lt;=Inputs!$C$9,0,MIN(IF(ISERROR(VLOOKUP(BE$134+$F174,$D$135:$D$165,1,FALSE)),0,BD42*$C$2),MAX((IF(Monthly!BA$4=TRUE,Monthly!BA$13,Monthly!BA$14)*(1+'Attrition Modeling'!$N$8)-'IP Attrition'!BD$65)/12*'IP Attrition'!BD109,0)))</f>
        <v>0</v>
      </c>
      <c r="BF174" s="799">
        <f>IF(EOMONTH(Inputs!$C$8,'IP Attrition'!BF$134-1)&lt;=Inputs!$C$9,0,MIN(IF(ISERROR(VLOOKUP(BF$134+$F174,$D$135:$D$165,1,FALSE)),0,BE42*$C$2),MAX((IF(Monthly!BB$4=TRUE,Monthly!BB$13,Monthly!BB$14)*(1+'Attrition Modeling'!$N$8)-'IP Attrition'!BE$65)/12*'IP Attrition'!BE109,0)))</f>
        <v>0</v>
      </c>
      <c r="BG174" s="799">
        <f>IF(EOMONTH(Inputs!$C$8,'IP Attrition'!BG$134-1)&lt;=Inputs!$C$9,0,MIN(IF(ISERROR(VLOOKUP(BG$134+$F174,$D$135:$D$165,1,FALSE)),0,BF42*$C$2),MAX((IF(Monthly!BC$4=TRUE,Monthly!BC$13,Monthly!BC$14)*(1+'Attrition Modeling'!$N$8)-'IP Attrition'!BF$65)/12*'IP Attrition'!BF109,0)))</f>
        <v>0</v>
      </c>
      <c r="BH174" s="799">
        <f>IF(EOMONTH(Inputs!$C$8,'IP Attrition'!BH$134-1)&lt;=Inputs!$C$9,0,MIN(IF(ISERROR(VLOOKUP(BH$134+$F174,$D$135:$D$165,1,FALSE)),0,BG42*$C$2),MAX((IF(Monthly!BD$4=TRUE,Monthly!BD$13,Monthly!BD$14)*(1+'Attrition Modeling'!$N$8)-'IP Attrition'!BG$65)/12*'IP Attrition'!BG109,0)))</f>
        <v>0</v>
      </c>
      <c r="BI174" s="799">
        <f>IF(EOMONTH(Inputs!$C$8,'IP Attrition'!BI$134-1)&lt;=Inputs!$C$9,0,MIN(IF(ISERROR(VLOOKUP(BI$134+$F174,$D$135:$D$165,1,FALSE)),0,BH42*$C$2),MAX((IF(Monthly!BE$4=TRUE,Monthly!BE$13,Monthly!BE$14)*(1+'Attrition Modeling'!$N$8)-'IP Attrition'!BH$65)/12*'IP Attrition'!BH109,0)))</f>
        <v>0</v>
      </c>
      <c r="BJ174" s="799">
        <f>IF(EOMONTH(Inputs!$C$8,'IP Attrition'!BJ$134-1)&lt;=Inputs!$C$9,0,MIN(IF(ISERROR(VLOOKUP(BJ$134+$F174,$D$135:$D$165,1,FALSE)),0,BI42*$C$2),MAX((IF(Monthly!BF$4=TRUE,Monthly!BF$13,Monthly!BF$14)*(1+'Attrition Modeling'!$N$8)-'IP Attrition'!BI$65)/12*'IP Attrition'!BI109,0)))</f>
        <v>0</v>
      </c>
      <c r="BK174" s="799">
        <f>IF(EOMONTH(Inputs!$C$8,'IP Attrition'!BK$134-1)&lt;=Inputs!$C$9,0,MIN(IF(ISERROR(VLOOKUP(BK$134+$F174,$D$135:$D$165,1,FALSE)),0,BJ42*$C$2),MAX((IF(Monthly!BG$4=TRUE,Monthly!BG$13,Monthly!BG$14)*(1+'Attrition Modeling'!$N$8)-'IP Attrition'!BJ$65)/12*'IP Attrition'!BJ109,0)))</f>
        <v>0</v>
      </c>
      <c r="BL174" s="799">
        <f>IF(EOMONTH(Inputs!$C$8,'IP Attrition'!BL$134-1)&lt;=Inputs!$C$9,0,MIN(IF(ISERROR(VLOOKUP(BL$134+$F174,$D$135:$D$165,1,FALSE)),0,BK42*$C$2),MAX((IF(Monthly!BH$4=TRUE,Monthly!BH$13,Monthly!BH$14)*(1+'Attrition Modeling'!$N$8)-'IP Attrition'!BK$65)/12*'IP Attrition'!BK109,0)))</f>
        <v>0</v>
      </c>
      <c r="BM174" s="799">
        <f>IF(EOMONTH(Inputs!$C$8,'IP Attrition'!BM$134-1)&lt;=Inputs!$C$9,0,MIN(IF(ISERROR(VLOOKUP(BM$134+$F174,$D$135:$D$165,1,FALSE)),0,BL42*$C$2),MAX((IF(Monthly!BI$4=TRUE,Monthly!BI$13,Monthly!BI$14)*(1+'Attrition Modeling'!$N$8)-'IP Attrition'!BL$65)/12*'IP Attrition'!BL109,0)))</f>
        <v>0</v>
      </c>
      <c r="BN174" s="799">
        <f>IF(EOMONTH(Inputs!$C$8,'IP Attrition'!BN$134-1)&lt;=Inputs!$C$9,0,MIN(IF(ISERROR(VLOOKUP(BN$134+$F174,$D$135:$D$165,1,FALSE)),0,BM42*$C$2),MAX((IF(Monthly!BJ$4=TRUE,Monthly!BJ$13,Monthly!BJ$14)*(1+'Attrition Modeling'!$N$8)-'IP Attrition'!BM$65)/12*'IP Attrition'!BM109,0)))</f>
        <v>0</v>
      </c>
      <c r="BO174" s="799">
        <f>IF(EOMONTH(Inputs!$C$8,'IP Attrition'!BO$134-1)&lt;=Inputs!$C$9,0,MIN(IF(ISERROR(VLOOKUP(BO$134+$F174,$D$135:$D$165,1,FALSE)),0,BN42*$C$2),MAX((IF(Monthly!BK$4=TRUE,Monthly!BK$13,Monthly!BK$14)*(1+'Attrition Modeling'!$N$8)-'IP Attrition'!BN$65)/12*'IP Attrition'!BN109,0)))</f>
        <v>0</v>
      </c>
      <c r="BP174" s="799">
        <f>IF(EOMONTH(Inputs!$C$8,'IP Attrition'!BP$134-1)&lt;=Inputs!$C$9,0,MIN(IF(ISERROR(VLOOKUP(BP$134+$F174,$D$135:$D$165,1,FALSE)),0,BO42*$C$2),MAX((IF(Monthly!BL$4=TRUE,Monthly!BL$13,Monthly!BL$14)*(1+'Attrition Modeling'!$N$8)-'IP Attrition'!BO$65)/12*'IP Attrition'!BO109,0)))</f>
        <v>0</v>
      </c>
      <c r="BQ174" s="799">
        <f>IF(EOMONTH(Inputs!$C$8,'IP Attrition'!BQ$134-1)&lt;=Inputs!$C$9,0,MIN(IF(ISERROR(VLOOKUP(BQ$134+$F174,$D$135:$D$165,1,FALSE)),0,BP42*$C$2),MAX((IF(Monthly!BM$4=TRUE,Monthly!BM$13,Monthly!BM$14)*(1+'Attrition Modeling'!$N$8)-'IP Attrition'!BP$65)/12*'IP Attrition'!BP109,0)))</f>
        <v>0</v>
      </c>
      <c r="BR174" s="799">
        <f>IF(EOMONTH(Inputs!$C$8,'IP Attrition'!BR$134-1)&lt;=Inputs!$C$9,0,MIN(IF(ISERROR(VLOOKUP(BR$134+$F174,$D$135:$D$165,1,FALSE)),0,BQ42*$C$2),MAX((IF(Monthly!BN$4=TRUE,Monthly!BN$13,Monthly!BN$14)*(1+'Attrition Modeling'!$N$8)-'IP Attrition'!BQ$65)/12*'IP Attrition'!BQ109,0)))</f>
        <v>0</v>
      </c>
      <c r="BS174" s="799">
        <f>IF(EOMONTH(Inputs!$C$8,'IP Attrition'!BS$134-1)&lt;=Inputs!$C$9,0,MIN(IF(ISERROR(VLOOKUP(BS$134+$F174,$D$135:$D$165,1,FALSE)),0,BR42*$C$2),MAX((IF(Monthly!BO$4=TRUE,Monthly!BO$13,Monthly!BO$14)*(1+'Attrition Modeling'!$N$8)-'IP Attrition'!BR$65)/12*'IP Attrition'!BR109,0)))</f>
        <v>0</v>
      </c>
      <c r="BT174" s="799" t="e">
        <f>IF(EOMONTH(Inputs!$C$8,'IP Attrition'!BT$134-1)&lt;=Inputs!$C$9,0,MIN(IF(ISERROR(VLOOKUP(BT$134+$F174,$D$135:$D$165,1,FALSE)),0,BS42*$C$2),MAX((IF(Monthly!#REF!=TRUE,Monthly!#REF!,Monthly!#REF!)*(1+'Attrition Modeling'!$N$8)-'IP Attrition'!BS$65)/12*'IP Attrition'!BS109,0)))</f>
        <v>#REF!</v>
      </c>
      <c r="BU174" s="799" t="e">
        <f>IF(EOMONTH(Inputs!$C$8,'IP Attrition'!BU$134-1)&lt;=Inputs!$C$9,0,MIN(IF(ISERROR(VLOOKUP(BU$134+$F174,$D$135:$D$165,1,FALSE)),0,BT42*$C$2),MAX((IF(Monthly!#REF!=TRUE,Monthly!#REF!,Monthly!#REF!)*(1+'Attrition Modeling'!$N$8)-'IP Attrition'!BT$65)/12*'IP Attrition'!BT109,0)))</f>
        <v>#REF!</v>
      </c>
    </row>
    <row r="175" spans="1:73" ht="14.25" customHeight="1" x14ac:dyDescent="0.2">
      <c r="E175" s="25">
        <f t="shared" si="71"/>
        <v>0</v>
      </c>
      <c r="F175" s="11">
        <f t="shared" si="73"/>
        <v>40</v>
      </c>
      <c r="G175" s="799"/>
      <c r="H175" s="799">
        <f>IF(EOMONTH(Inputs!$C$8,'IP Attrition'!H$134-1)&lt;=Inputs!$C$9,0,MIN(IF(ISERROR(VLOOKUP(H$134+$F175,$D$135:$D$165,1,FALSE)),0,G43*$C$2),MAX((IF(Monthly!D$4=TRUE,Monthly!D$13,Monthly!D$14)*(1+'Attrition Modeling'!$N$8)-'IP Attrition'!G$65)/12*'IP Attrition'!G110,0)))</f>
        <v>0</v>
      </c>
      <c r="I175" s="799">
        <f>IF(EOMONTH(Inputs!$C$8,'IP Attrition'!I$134-1)&lt;=Inputs!$C$9,0,MIN(IF(ISERROR(VLOOKUP(I$134+$F175,$D$135:$D$165,1,FALSE)),0,H43*$C$2),MAX((IF(Monthly!E$4=TRUE,Monthly!E$13,Monthly!E$14)*(1+'Attrition Modeling'!$N$8)-'IP Attrition'!H$65)/12*'IP Attrition'!H110,0)))</f>
        <v>0</v>
      </c>
      <c r="J175" s="799">
        <f>IF(EOMONTH(Inputs!$C$8,'IP Attrition'!J$134-1)&lt;=Inputs!$C$9,0,MIN(IF(ISERROR(VLOOKUP(J$134+$F175,$D$135:$D$165,1,FALSE)),0,I43*$C$2),MAX((IF(Monthly!F$4=TRUE,Monthly!F$13,Monthly!F$14)*(1+'Attrition Modeling'!$N$8)-'IP Attrition'!I$65)/12*'IP Attrition'!I110,0)))</f>
        <v>0</v>
      </c>
      <c r="K175" s="799">
        <f>IF(EOMONTH(Inputs!$C$8,'IP Attrition'!K$134-1)&lt;=Inputs!$C$9,0,MIN(IF(ISERROR(VLOOKUP(K$134+$F175,$D$135:$D$165,1,FALSE)),0,J43*$C$2),MAX((IF(Monthly!G$4=TRUE,Monthly!G$13,Monthly!G$14)*(1+'Attrition Modeling'!$N$8)-'IP Attrition'!J$65)/12*'IP Attrition'!J110,0)))</f>
        <v>0</v>
      </c>
      <c r="L175" s="799">
        <f>IF(EOMONTH(Inputs!$C$8,'IP Attrition'!L$134-1)&lt;=Inputs!$C$9,0,MIN(IF(ISERROR(VLOOKUP(L$134+$F175,$D$135:$D$165,1,FALSE)),0,K43*$C$2),MAX((IF(Monthly!H$4=TRUE,Monthly!H$13,Monthly!H$14)*(1+'Attrition Modeling'!$N$8)-'IP Attrition'!K$65)/12*'IP Attrition'!K110,0)))</f>
        <v>0</v>
      </c>
      <c r="M175" s="799">
        <f>IF(EOMONTH(Inputs!$C$8,'IP Attrition'!M$134-1)&lt;=Inputs!$C$9,0,MIN(IF(ISERROR(VLOOKUP(M$134+$F175,$D$135:$D$165,1,FALSE)),0,L43*$C$2),MAX((IF(Monthly!I$4=TRUE,Monthly!I$13,Monthly!I$14)*(1+'Attrition Modeling'!$N$8)-'IP Attrition'!L$65)/12*'IP Attrition'!L110,0)))</f>
        <v>0</v>
      </c>
      <c r="N175" s="799">
        <f>IF(EOMONTH(Inputs!$C$8,'IP Attrition'!N$134-1)&lt;=Inputs!$C$9,0,MIN(IF(ISERROR(VLOOKUP(N$134+$F175,$D$135:$D$165,1,FALSE)),0,M43*$C$2),MAX((IF(Monthly!J$4=TRUE,Monthly!J$13,Monthly!J$14)*(1+'Attrition Modeling'!$N$8)-'IP Attrition'!M$65)/12*'IP Attrition'!M110,0)))</f>
        <v>0</v>
      </c>
      <c r="O175" s="799">
        <f>IF(EOMONTH(Inputs!$C$8,'IP Attrition'!O$134-1)&lt;=Inputs!$C$9,0,MIN(IF(ISERROR(VLOOKUP(O$134+$F175,$D$135:$D$165,1,FALSE)),0,N43*$C$2),MAX((IF(Monthly!K$4=TRUE,Monthly!K$13,Monthly!K$14)*(1+'Attrition Modeling'!$N$8)-'IP Attrition'!N$65)/12*'IP Attrition'!N110,0)))</f>
        <v>0</v>
      </c>
      <c r="P175" s="799">
        <f>IF(EOMONTH(Inputs!$C$8,'IP Attrition'!P$134-1)&lt;=Inputs!$C$9,0,MIN(IF(ISERROR(VLOOKUP(P$134+$F175,$D$135:$D$165,1,FALSE)),0,O43*$C$2),MAX((IF(Monthly!L$4=TRUE,Monthly!L$13,Monthly!L$14)*(1+'Attrition Modeling'!$N$8)-'IP Attrition'!O$65)/12*'IP Attrition'!O110,0)))</f>
        <v>0</v>
      </c>
      <c r="Q175" s="799">
        <f>IF(EOMONTH(Inputs!$C$8,'IP Attrition'!Q$134-1)&lt;=Inputs!$C$9,0,MIN(IF(ISERROR(VLOOKUP(Q$134+$F175,$D$135:$D$165,1,FALSE)),0,P43*$C$2),MAX((IF(Monthly!M$4=TRUE,Monthly!M$13,Monthly!M$14)*(1+'Attrition Modeling'!$N$8)-'IP Attrition'!P$65)/12*'IP Attrition'!P110,0)))</f>
        <v>0</v>
      </c>
      <c r="R175" s="799">
        <f>IF(EOMONTH(Inputs!$C$8,'IP Attrition'!R$134-1)&lt;=Inputs!$C$9,0,MIN(IF(ISERROR(VLOOKUP(R$134+$F175,$D$135:$D$165,1,FALSE)),0,Q43*$C$2),MAX((IF(Monthly!N$4=TRUE,Monthly!N$13,Monthly!N$14)*(1+'Attrition Modeling'!$N$8)-'IP Attrition'!Q$65)/12*'IP Attrition'!Q110,0)))</f>
        <v>0</v>
      </c>
      <c r="S175" s="799">
        <f>IF(EOMONTH(Inputs!$C$8,'IP Attrition'!S$134-1)&lt;=Inputs!$C$9,0,MIN(IF(ISERROR(VLOOKUP(S$134+$F175,$D$135:$D$165,1,FALSE)),0,R43*$C$2),MAX((IF(Monthly!O$4=TRUE,Monthly!O$13,Monthly!O$14)*(1+'Attrition Modeling'!$N$8)-'IP Attrition'!R$65)/12*'IP Attrition'!R110,0)))</f>
        <v>0</v>
      </c>
      <c r="T175" s="799">
        <f>IF(EOMONTH(Inputs!$C$8,'IP Attrition'!T$134-1)&lt;=Inputs!$C$9,0,MIN(IF(ISERROR(VLOOKUP(T$134+$F175,$D$135:$D$165,1,FALSE)),0,S43*$C$2),MAX((IF(Monthly!P$4=TRUE,Monthly!P$13,Monthly!P$14)*(1+'Attrition Modeling'!$N$8)-'IP Attrition'!S$65)/12*'IP Attrition'!S110,0)))</f>
        <v>0</v>
      </c>
      <c r="U175" s="799">
        <f>IF(EOMONTH(Inputs!$C$8,'IP Attrition'!U$134-1)&lt;=Inputs!$C$9,0,MIN(IF(ISERROR(VLOOKUP(U$134+$F175,$D$135:$D$165,1,FALSE)),0,T43*$C$2),MAX((IF(Monthly!Q$4=TRUE,Monthly!Q$13,Monthly!Q$14)*(1+'Attrition Modeling'!$N$8)-'IP Attrition'!T$65)/12*'IP Attrition'!T110,0)))</f>
        <v>0</v>
      </c>
      <c r="V175" s="799">
        <f>IF(EOMONTH(Inputs!$C$8,'IP Attrition'!V$134-1)&lt;=Inputs!$C$9,0,MIN(IF(ISERROR(VLOOKUP(V$134+$F175,$D$135:$D$165,1,FALSE)),0,U43*$C$2),MAX((IF(Monthly!R$4=TRUE,Monthly!R$13,Monthly!R$14)*(1+'Attrition Modeling'!$N$8)-'IP Attrition'!U$65)/12*'IP Attrition'!U110,0)))</f>
        <v>0</v>
      </c>
      <c r="W175" s="799">
        <f>IF(EOMONTH(Inputs!$C$8,'IP Attrition'!W$134-1)&lt;=Inputs!$C$9,0,MIN(IF(ISERROR(VLOOKUP(W$134+$F175,$D$135:$D$165,1,FALSE)),0,V43*$C$2),MAX((IF(Monthly!S$4=TRUE,Monthly!S$13,Monthly!S$14)*(1+'Attrition Modeling'!$N$8)-'IP Attrition'!V$65)/12*'IP Attrition'!V110,0)))</f>
        <v>0</v>
      </c>
      <c r="X175" s="799">
        <f>IF(EOMONTH(Inputs!$C$8,'IP Attrition'!X$134-1)&lt;=Inputs!$C$9,0,MIN(IF(ISERROR(VLOOKUP(X$134+$F175,$D$135:$D$165,1,FALSE)),0,W43*$C$2),MAX((IF(Monthly!T$4=TRUE,Monthly!T$13,Monthly!T$14)*(1+'Attrition Modeling'!$N$8)-'IP Attrition'!W$65)/12*'IP Attrition'!W110,0)))</f>
        <v>0</v>
      </c>
      <c r="Y175" s="799">
        <f>IF(EOMONTH(Inputs!$C$8,'IP Attrition'!Y$134-1)&lt;=Inputs!$C$9,0,MIN(IF(ISERROR(VLOOKUP(Y$134+$F175,$D$135:$D$165,1,FALSE)),0,X43*$C$2),MAX((IF(Monthly!U$4=TRUE,Monthly!U$13,Monthly!U$14)*(1+'Attrition Modeling'!$N$8)-'IP Attrition'!X$65)/12*'IP Attrition'!X110,0)))</f>
        <v>0</v>
      </c>
      <c r="Z175" s="799">
        <f>IF(EOMONTH(Inputs!$C$8,'IP Attrition'!Z$134-1)&lt;=Inputs!$C$9,0,MIN(IF(ISERROR(VLOOKUP(Z$134+$F175,$D$135:$D$165,1,FALSE)),0,Y43*$C$2),MAX((IF(Monthly!V$4=TRUE,Monthly!V$13,Monthly!V$14)*(1+'Attrition Modeling'!$N$8)-'IP Attrition'!Y$65)/12*'IP Attrition'!Y110,0)))</f>
        <v>0</v>
      </c>
      <c r="AA175" s="799">
        <f>IF(EOMONTH(Inputs!$C$8,'IP Attrition'!AA$134-1)&lt;=Inputs!$C$9,0,MIN(IF(ISERROR(VLOOKUP(AA$134+$F175,$D$135:$D$165,1,FALSE)),0,Z43*$C$2),MAX((IF(Monthly!W$4=TRUE,Monthly!W$13,Monthly!W$14)*(1+'Attrition Modeling'!$N$8)-'IP Attrition'!Z$65)/12*'IP Attrition'!Z110,0)))</f>
        <v>0</v>
      </c>
      <c r="AB175" s="799">
        <f>IF(EOMONTH(Inputs!$C$8,'IP Attrition'!AB$134-1)&lt;=Inputs!$C$9,0,MIN(IF(ISERROR(VLOOKUP(AB$134+$F175,$D$135:$D$165,1,FALSE)),0,AA43*$C$2),MAX((IF(Monthly!X$4=TRUE,Monthly!X$13,Monthly!X$14)*(1+'Attrition Modeling'!$N$8)-'IP Attrition'!AA$65)/12*'IP Attrition'!AA110,0)))</f>
        <v>0</v>
      </c>
      <c r="AC175" s="799">
        <f>IF(EOMONTH(Inputs!$C$8,'IP Attrition'!AC$134-1)&lt;=Inputs!$C$9,0,MIN(IF(ISERROR(VLOOKUP(AC$134+$F175,$D$135:$D$165,1,FALSE)),0,AB43*$C$2),MAX((IF(Monthly!Y$4=TRUE,Monthly!Y$13,Monthly!Y$14)*(1+'Attrition Modeling'!$N$8)-'IP Attrition'!AB$65)/12*'IP Attrition'!AB110,0)))</f>
        <v>0</v>
      </c>
      <c r="AD175" s="799">
        <f>IF(EOMONTH(Inputs!$C$8,'IP Attrition'!AD$134-1)&lt;=Inputs!$C$9,0,MIN(IF(ISERROR(VLOOKUP(AD$134+$F175,$D$135:$D$165,1,FALSE)),0,AC43*$C$2),MAX((IF(Monthly!Z$4=TRUE,Monthly!Z$13,Monthly!Z$14)*(1+'Attrition Modeling'!$N$8)-'IP Attrition'!AC$65)/12*'IP Attrition'!AC110,0)))</f>
        <v>0</v>
      </c>
      <c r="AE175" s="799">
        <f>IF(EOMONTH(Inputs!$C$8,'IP Attrition'!AE$134-1)&lt;=Inputs!$C$9,0,MIN(IF(ISERROR(VLOOKUP(AE$134+$F175,$D$135:$D$165,1,FALSE)),0,AD43*$C$2),MAX((IF(Monthly!AA$4=TRUE,Monthly!AA$13,Monthly!AA$14)*(1+'Attrition Modeling'!$N$8)-'IP Attrition'!AD$65)/12*'IP Attrition'!AD110,0)))</f>
        <v>0</v>
      </c>
      <c r="AF175" s="799">
        <f>IF(EOMONTH(Inputs!$C$8,'IP Attrition'!AF$134-1)&lt;=Inputs!$C$9,0,MIN(IF(ISERROR(VLOOKUP(AF$134+$F175,$D$135:$D$165,1,FALSE)),0,AE43*$C$2),MAX((IF(Monthly!AB$4=TRUE,Monthly!AB$13,Monthly!AB$14)*(1+'Attrition Modeling'!$N$8)-'IP Attrition'!AE$65)/12*'IP Attrition'!AE110,0)))</f>
        <v>0</v>
      </c>
      <c r="AG175" s="799">
        <f>IF(EOMONTH(Inputs!$C$8,'IP Attrition'!AG$134-1)&lt;=Inputs!$C$9,0,MIN(IF(ISERROR(VLOOKUP(AG$134+$F175,$D$135:$D$165,1,FALSE)),0,AF43*$C$2),MAX((IF(Monthly!AC$4=TRUE,Monthly!AC$13,Monthly!AC$14)*(1+'Attrition Modeling'!$N$8)-'IP Attrition'!AF$65)/12*'IP Attrition'!AF110,0)))</f>
        <v>0</v>
      </c>
      <c r="AH175" s="799">
        <f>IF(EOMONTH(Inputs!$C$8,'IP Attrition'!AH$134-1)&lt;=Inputs!$C$9,0,MIN(IF(ISERROR(VLOOKUP(AH$134+$F175,$D$135:$D$165,1,FALSE)),0,AG43*$C$2),MAX((IF(Monthly!AD$4=TRUE,Monthly!AD$13,Monthly!AD$14)*(1+'Attrition Modeling'!$N$8)-'IP Attrition'!AG$65)/12*'IP Attrition'!AG110,0)))</f>
        <v>0</v>
      </c>
      <c r="AI175" s="799">
        <f>IF(EOMONTH(Inputs!$C$8,'IP Attrition'!AI$134-1)&lt;=Inputs!$C$9,0,MIN(IF(ISERROR(VLOOKUP(AI$134+$F175,$D$135:$D$165,1,FALSE)),0,AH43*$C$2),MAX((IF(Monthly!AE$4=TRUE,Monthly!AE$13,Monthly!AE$14)*(1+'Attrition Modeling'!$N$8)-'IP Attrition'!AH$65)/12*'IP Attrition'!AH110,0)))</f>
        <v>0</v>
      </c>
      <c r="AJ175" s="799">
        <f>IF(EOMONTH(Inputs!$C$8,'IP Attrition'!AJ$134-1)&lt;=Inputs!$C$9,0,MIN(IF(ISERROR(VLOOKUP(AJ$134+$F175,$D$135:$D$165,1,FALSE)),0,AI43*$C$2),MAX((IF(Monthly!AF$4=TRUE,Monthly!AF$13,Monthly!AF$14)*(1+'Attrition Modeling'!$N$8)-'IP Attrition'!AI$65)/12*'IP Attrition'!AI110,0)))</f>
        <v>0</v>
      </c>
      <c r="AK175" s="799">
        <f>IF(EOMONTH(Inputs!$C$8,'IP Attrition'!AK$134-1)&lt;=Inputs!$C$9,0,MIN(IF(ISERROR(VLOOKUP(AK$134+$F175,$D$135:$D$165,1,FALSE)),0,AJ43*$C$2),MAX((IF(Monthly!AG$4=TRUE,Monthly!AG$13,Monthly!AG$14)*(1+'Attrition Modeling'!$N$8)-'IP Attrition'!AJ$65)/12*'IP Attrition'!AJ110,0)))</f>
        <v>0</v>
      </c>
      <c r="AL175" s="799">
        <f>IF(EOMONTH(Inputs!$C$8,'IP Attrition'!AL$134-1)&lt;=Inputs!$C$9,0,MIN(IF(ISERROR(VLOOKUP(AL$134+$F175,$D$135:$D$165,1,FALSE)),0,AK43*$C$2),MAX((IF(Monthly!AH$4=TRUE,Monthly!AH$13,Monthly!AH$14)*(1+'Attrition Modeling'!$N$8)-'IP Attrition'!AK$65)/12*'IP Attrition'!AK110,0)))</f>
        <v>0</v>
      </c>
      <c r="AM175" s="799">
        <f>IF(EOMONTH(Inputs!$C$8,'IP Attrition'!AM$134-1)&lt;=Inputs!$C$9,0,MIN(IF(ISERROR(VLOOKUP(AM$134+$F175,$D$135:$D$165,1,FALSE)),0,AL43*$C$2),MAX((IF(Monthly!AI$4=TRUE,Monthly!AI$13,Monthly!AI$14)*(1+'Attrition Modeling'!$N$8)-'IP Attrition'!AL$65)/12*'IP Attrition'!AL110,0)))</f>
        <v>0</v>
      </c>
      <c r="AN175" s="799">
        <f>IF(EOMONTH(Inputs!$C$8,'IP Attrition'!AN$134-1)&lt;=Inputs!$C$9,0,MIN(IF(ISERROR(VLOOKUP(AN$134+$F175,$D$135:$D$165,1,FALSE)),0,AM43*$C$2),MAX((IF(Monthly!AJ$4=TRUE,Monthly!AJ$13,Monthly!AJ$14)*(1+'Attrition Modeling'!$N$8)-'IP Attrition'!AM$65)/12*'IP Attrition'!AM110,0)))</f>
        <v>0</v>
      </c>
      <c r="AO175" s="799">
        <f>IF(EOMONTH(Inputs!$C$8,'IP Attrition'!AO$134-1)&lt;=Inputs!$C$9,0,MIN(IF(ISERROR(VLOOKUP(AO$134+$F175,$D$135:$D$165,1,FALSE)),0,AN43*$C$2),MAX((IF(Monthly!AK$4=TRUE,Monthly!AK$13,Monthly!AK$14)*(1+'Attrition Modeling'!$N$8)-'IP Attrition'!AN$65)/12*'IP Attrition'!AN110,0)))</f>
        <v>0</v>
      </c>
      <c r="AP175" s="799">
        <f>IF(EOMONTH(Inputs!$C$8,'IP Attrition'!AP$134-1)&lt;=Inputs!$C$9,0,MIN(IF(ISERROR(VLOOKUP(AP$134+$F175,$D$135:$D$165,1,FALSE)),0,AO43*$C$2),MAX((IF(Monthly!AL$4=TRUE,Monthly!AL$13,Monthly!AL$14)*(1+'Attrition Modeling'!$N$8)-'IP Attrition'!AO$65)/12*'IP Attrition'!AO110,0)))</f>
        <v>0</v>
      </c>
      <c r="AQ175" s="799">
        <f>IF(EOMONTH(Inputs!$C$8,'IP Attrition'!AQ$134-1)&lt;=Inputs!$C$9,0,MIN(IF(ISERROR(VLOOKUP(AQ$134+$F175,$D$135:$D$165,1,FALSE)),0,AP43*$C$2),MAX((IF(Monthly!AM$4=TRUE,Monthly!AM$13,Monthly!AM$14)*(1+'Attrition Modeling'!$N$8)-'IP Attrition'!AP$65)/12*'IP Attrition'!AP110,0)))</f>
        <v>0</v>
      </c>
      <c r="AR175" s="799">
        <f>IF(EOMONTH(Inputs!$C$8,'IP Attrition'!AR$134-1)&lt;=Inputs!$C$9,0,MIN(IF(ISERROR(VLOOKUP(AR$134+$F175,$D$135:$D$165,1,FALSE)),0,AQ43*$C$2),MAX((IF(Monthly!AN$4=TRUE,Monthly!AN$13,Monthly!AN$14)*(1+'Attrition Modeling'!$N$8)-'IP Attrition'!AQ$65)/12*'IP Attrition'!AQ110,0)))</f>
        <v>0</v>
      </c>
      <c r="AS175" s="799">
        <f>IF(EOMONTH(Inputs!$C$8,'IP Attrition'!AS$134-1)&lt;=Inputs!$C$9,0,MIN(IF(ISERROR(VLOOKUP(AS$134+$F175,$D$135:$D$165,1,FALSE)),0,AR43*$C$2),MAX((IF(Monthly!AO$4=TRUE,Monthly!AO$13,Monthly!AO$14)*(1+'Attrition Modeling'!$N$8)-'IP Attrition'!AR$65)/12*'IP Attrition'!AR110,0)))</f>
        <v>0</v>
      </c>
      <c r="AT175" s="799">
        <f>IF(EOMONTH(Inputs!$C$8,'IP Attrition'!AT$134-1)&lt;=Inputs!$C$9,0,MIN(IF(ISERROR(VLOOKUP(AT$134+$F175,$D$135:$D$165,1,FALSE)),0,AS43*$C$2),MAX((IF(Monthly!AP$4=TRUE,Monthly!AP$13,Monthly!AP$14)*(1+'Attrition Modeling'!$N$8)-'IP Attrition'!AS$65)/12*'IP Attrition'!AS110,0)))</f>
        <v>0</v>
      </c>
      <c r="AU175" s="799">
        <f>IF(EOMONTH(Inputs!$C$8,'IP Attrition'!AU$134-1)&lt;=Inputs!$C$9,0,MIN(IF(ISERROR(VLOOKUP(AU$134+$F175,$D$135:$D$165,1,FALSE)),0,AT43*$C$2),MAX((IF(Monthly!AQ$4=TRUE,Monthly!AQ$13,Monthly!AQ$14)*(1+'Attrition Modeling'!$N$8)-'IP Attrition'!AT$65)/12*'IP Attrition'!AT110,0)))</f>
        <v>0</v>
      </c>
      <c r="AV175" s="799">
        <f>IF(EOMONTH(Inputs!$C$8,'IP Attrition'!AV$134-1)&lt;=Inputs!$C$9,0,MIN(IF(ISERROR(VLOOKUP(AV$134+$F175,$D$135:$D$165,1,FALSE)),0,AU43*$C$2),MAX((IF(Monthly!AR$4=TRUE,Monthly!AR$13,Monthly!AR$14)*(1+'Attrition Modeling'!$N$8)-'IP Attrition'!AU$65)/12*'IP Attrition'!AU110,0)))</f>
        <v>0</v>
      </c>
      <c r="AW175" s="799">
        <f>IF(EOMONTH(Inputs!$C$8,'IP Attrition'!AW$134-1)&lt;=Inputs!$C$9,0,MIN(IF(ISERROR(VLOOKUP(AW$134+$F175,$D$135:$D$165,1,FALSE)),0,AV43*$C$2),MAX((IF(Monthly!AS$4=TRUE,Monthly!AS$13,Monthly!AS$14)*(1+'Attrition Modeling'!$N$8)-'IP Attrition'!AV$65)/12*'IP Attrition'!AV110,0)))</f>
        <v>0</v>
      </c>
      <c r="AX175" s="799">
        <f>IF(EOMONTH(Inputs!$C$8,'IP Attrition'!AX$134-1)&lt;=Inputs!$C$9,0,MIN(IF(ISERROR(VLOOKUP(AX$134+$F175,$D$135:$D$165,1,FALSE)),0,AW43*$C$2),MAX((IF(Monthly!AT$4=TRUE,Monthly!AT$13,Monthly!AT$14)*(1+'Attrition Modeling'!$N$8)-'IP Attrition'!AW$65)/12*'IP Attrition'!AW110,0)))</f>
        <v>0</v>
      </c>
      <c r="AY175" s="799">
        <f>IF(EOMONTH(Inputs!$C$8,'IP Attrition'!AY$134-1)&lt;=Inputs!$C$9,0,MIN(IF(ISERROR(VLOOKUP(AY$134+$F175,$D$135:$D$165,1,FALSE)),0,AX43*$C$2),MAX((IF(Monthly!AU$4=TRUE,Monthly!AU$13,Monthly!AU$14)*(1+'Attrition Modeling'!$N$8)-'IP Attrition'!AX$65)/12*'IP Attrition'!AX110,0)))</f>
        <v>0</v>
      </c>
      <c r="AZ175" s="799">
        <f>IF(EOMONTH(Inputs!$C$8,'IP Attrition'!AZ$134-1)&lt;=Inputs!$C$9,0,MIN(IF(ISERROR(VLOOKUP(AZ$134+$F175,$D$135:$D$165,1,FALSE)),0,AY43*$C$2),MAX((IF(Monthly!AV$4=TRUE,Monthly!AV$13,Monthly!AV$14)*(1+'Attrition Modeling'!$N$8)-'IP Attrition'!AY$65)/12*'IP Attrition'!AY110,0)))</f>
        <v>0</v>
      </c>
      <c r="BA175" s="799">
        <f>IF(EOMONTH(Inputs!$C$8,'IP Attrition'!BA$134-1)&lt;=Inputs!$C$9,0,MIN(IF(ISERROR(VLOOKUP(BA$134+$F175,$D$135:$D$165,1,FALSE)),0,AZ43*$C$2),MAX((IF(Monthly!AW$4=TRUE,Monthly!AW$13,Monthly!AW$14)*(1+'Attrition Modeling'!$N$8)-'IP Attrition'!AZ$65)/12*'IP Attrition'!AZ110,0)))</f>
        <v>0</v>
      </c>
      <c r="BB175" s="799">
        <f>IF(EOMONTH(Inputs!$C$8,'IP Attrition'!BB$134-1)&lt;=Inputs!$C$9,0,MIN(IF(ISERROR(VLOOKUP(BB$134+$F175,$D$135:$D$165,1,FALSE)),0,BA43*$C$2),MAX((IF(Monthly!AX$4=TRUE,Monthly!AX$13,Monthly!AX$14)*(1+'Attrition Modeling'!$N$8)-'IP Attrition'!BA$65)/12*'IP Attrition'!BA110,0)))</f>
        <v>0</v>
      </c>
      <c r="BC175" s="799">
        <f>IF(EOMONTH(Inputs!$C$8,'IP Attrition'!BC$134-1)&lt;=Inputs!$C$9,0,MIN(IF(ISERROR(VLOOKUP(BC$134+$F175,$D$135:$D$165,1,FALSE)),0,BB43*$C$2),MAX((IF(Monthly!AY$4=TRUE,Monthly!AY$13,Monthly!AY$14)*(1+'Attrition Modeling'!$N$8)-'IP Attrition'!BB$65)/12*'IP Attrition'!BB110,0)))</f>
        <v>0</v>
      </c>
      <c r="BD175" s="799">
        <f>IF(EOMONTH(Inputs!$C$8,'IP Attrition'!BD$134-1)&lt;=Inputs!$C$9,0,MIN(IF(ISERROR(VLOOKUP(BD$134+$F175,$D$135:$D$165,1,FALSE)),0,BC43*$C$2),MAX((IF(Monthly!AZ$4=TRUE,Monthly!AZ$13,Monthly!AZ$14)*(1+'Attrition Modeling'!$N$8)-'IP Attrition'!BC$65)/12*'IP Attrition'!BC110,0)))</f>
        <v>0</v>
      </c>
      <c r="BE175" s="799">
        <f>IF(EOMONTH(Inputs!$C$8,'IP Attrition'!BE$134-1)&lt;=Inputs!$C$9,0,MIN(IF(ISERROR(VLOOKUP(BE$134+$F175,$D$135:$D$165,1,FALSE)),0,BD43*$C$2),MAX((IF(Monthly!BA$4=TRUE,Monthly!BA$13,Monthly!BA$14)*(1+'Attrition Modeling'!$N$8)-'IP Attrition'!BD$65)/12*'IP Attrition'!BD110,0)))</f>
        <v>0</v>
      </c>
      <c r="BF175" s="799">
        <f>IF(EOMONTH(Inputs!$C$8,'IP Attrition'!BF$134-1)&lt;=Inputs!$C$9,0,MIN(IF(ISERROR(VLOOKUP(BF$134+$F175,$D$135:$D$165,1,FALSE)),0,BE43*$C$2),MAX((IF(Monthly!BB$4=TRUE,Monthly!BB$13,Monthly!BB$14)*(1+'Attrition Modeling'!$N$8)-'IP Attrition'!BE$65)/12*'IP Attrition'!BE110,0)))</f>
        <v>0</v>
      </c>
      <c r="BG175" s="799">
        <f>IF(EOMONTH(Inputs!$C$8,'IP Attrition'!BG$134-1)&lt;=Inputs!$C$9,0,MIN(IF(ISERROR(VLOOKUP(BG$134+$F175,$D$135:$D$165,1,FALSE)),0,BF43*$C$2),MAX((IF(Monthly!BC$4=TRUE,Monthly!BC$13,Monthly!BC$14)*(1+'Attrition Modeling'!$N$8)-'IP Attrition'!BF$65)/12*'IP Attrition'!BF110,0)))</f>
        <v>0</v>
      </c>
      <c r="BH175" s="799">
        <f>IF(EOMONTH(Inputs!$C$8,'IP Attrition'!BH$134-1)&lt;=Inputs!$C$9,0,MIN(IF(ISERROR(VLOOKUP(BH$134+$F175,$D$135:$D$165,1,FALSE)),0,BG43*$C$2),MAX((IF(Monthly!BD$4=TRUE,Monthly!BD$13,Monthly!BD$14)*(1+'Attrition Modeling'!$N$8)-'IP Attrition'!BG$65)/12*'IP Attrition'!BG110,0)))</f>
        <v>0</v>
      </c>
      <c r="BI175" s="799">
        <f>IF(EOMONTH(Inputs!$C$8,'IP Attrition'!BI$134-1)&lt;=Inputs!$C$9,0,MIN(IF(ISERROR(VLOOKUP(BI$134+$F175,$D$135:$D$165,1,FALSE)),0,BH43*$C$2),MAX((IF(Monthly!BE$4=TRUE,Monthly!BE$13,Monthly!BE$14)*(1+'Attrition Modeling'!$N$8)-'IP Attrition'!BH$65)/12*'IP Attrition'!BH110,0)))</f>
        <v>0</v>
      </c>
      <c r="BJ175" s="799">
        <f>IF(EOMONTH(Inputs!$C$8,'IP Attrition'!BJ$134-1)&lt;=Inputs!$C$9,0,MIN(IF(ISERROR(VLOOKUP(BJ$134+$F175,$D$135:$D$165,1,FALSE)),0,BI43*$C$2),MAX((IF(Monthly!BF$4=TRUE,Monthly!BF$13,Monthly!BF$14)*(1+'Attrition Modeling'!$N$8)-'IP Attrition'!BI$65)/12*'IP Attrition'!BI110,0)))</f>
        <v>0</v>
      </c>
      <c r="BK175" s="799">
        <f>IF(EOMONTH(Inputs!$C$8,'IP Attrition'!BK$134-1)&lt;=Inputs!$C$9,0,MIN(IF(ISERROR(VLOOKUP(BK$134+$F175,$D$135:$D$165,1,FALSE)),0,BJ43*$C$2),MAX((IF(Monthly!BG$4=TRUE,Monthly!BG$13,Monthly!BG$14)*(1+'Attrition Modeling'!$N$8)-'IP Attrition'!BJ$65)/12*'IP Attrition'!BJ110,0)))</f>
        <v>0</v>
      </c>
      <c r="BL175" s="799">
        <f>IF(EOMONTH(Inputs!$C$8,'IP Attrition'!BL$134-1)&lt;=Inputs!$C$9,0,MIN(IF(ISERROR(VLOOKUP(BL$134+$F175,$D$135:$D$165,1,FALSE)),0,BK43*$C$2),MAX((IF(Monthly!BH$4=TRUE,Monthly!BH$13,Monthly!BH$14)*(1+'Attrition Modeling'!$N$8)-'IP Attrition'!BK$65)/12*'IP Attrition'!BK110,0)))</f>
        <v>0</v>
      </c>
      <c r="BM175" s="799">
        <f>IF(EOMONTH(Inputs!$C$8,'IP Attrition'!BM$134-1)&lt;=Inputs!$C$9,0,MIN(IF(ISERROR(VLOOKUP(BM$134+$F175,$D$135:$D$165,1,FALSE)),0,BL43*$C$2),MAX((IF(Monthly!BI$4=TRUE,Monthly!BI$13,Monthly!BI$14)*(1+'Attrition Modeling'!$N$8)-'IP Attrition'!BL$65)/12*'IP Attrition'!BL110,0)))</f>
        <v>0</v>
      </c>
      <c r="BN175" s="799">
        <f>IF(EOMONTH(Inputs!$C$8,'IP Attrition'!BN$134-1)&lt;=Inputs!$C$9,0,MIN(IF(ISERROR(VLOOKUP(BN$134+$F175,$D$135:$D$165,1,FALSE)),0,BM43*$C$2),MAX((IF(Monthly!BJ$4=TRUE,Monthly!BJ$13,Monthly!BJ$14)*(1+'Attrition Modeling'!$N$8)-'IP Attrition'!BM$65)/12*'IP Attrition'!BM110,0)))</f>
        <v>0</v>
      </c>
      <c r="BO175" s="799">
        <f>IF(EOMONTH(Inputs!$C$8,'IP Attrition'!BO$134-1)&lt;=Inputs!$C$9,0,MIN(IF(ISERROR(VLOOKUP(BO$134+$F175,$D$135:$D$165,1,FALSE)),0,BN43*$C$2),MAX((IF(Monthly!BK$4=TRUE,Monthly!BK$13,Monthly!BK$14)*(1+'Attrition Modeling'!$N$8)-'IP Attrition'!BN$65)/12*'IP Attrition'!BN110,0)))</f>
        <v>0</v>
      </c>
      <c r="BP175" s="799">
        <f>IF(EOMONTH(Inputs!$C$8,'IP Attrition'!BP$134-1)&lt;=Inputs!$C$9,0,MIN(IF(ISERROR(VLOOKUP(BP$134+$F175,$D$135:$D$165,1,FALSE)),0,BO43*$C$2),MAX((IF(Monthly!BL$4=TRUE,Monthly!BL$13,Monthly!BL$14)*(1+'Attrition Modeling'!$N$8)-'IP Attrition'!BO$65)/12*'IP Attrition'!BO110,0)))</f>
        <v>0</v>
      </c>
      <c r="BQ175" s="799">
        <f>IF(EOMONTH(Inputs!$C$8,'IP Attrition'!BQ$134-1)&lt;=Inputs!$C$9,0,MIN(IF(ISERROR(VLOOKUP(BQ$134+$F175,$D$135:$D$165,1,FALSE)),0,BP43*$C$2),MAX((IF(Monthly!BM$4=TRUE,Monthly!BM$13,Monthly!BM$14)*(1+'Attrition Modeling'!$N$8)-'IP Attrition'!BP$65)/12*'IP Attrition'!BP110,0)))</f>
        <v>0</v>
      </c>
      <c r="BR175" s="799">
        <f>IF(EOMONTH(Inputs!$C$8,'IP Attrition'!BR$134-1)&lt;=Inputs!$C$9,0,MIN(IF(ISERROR(VLOOKUP(BR$134+$F175,$D$135:$D$165,1,FALSE)),0,BQ43*$C$2),MAX((IF(Monthly!BN$4=TRUE,Monthly!BN$13,Monthly!BN$14)*(1+'Attrition Modeling'!$N$8)-'IP Attrition'!BQ$65)/12*'IP Attrition'!BQ110,0)))</f>
        <v>0</v>
      </c>
      <c r="BS175" s="799">
        <f>IF(EOMONTH(Inputs!$C$8,'IP Attrition'!BS$134-1)&lt;=Inputs!$C$9,0,MIN(IF(ISERROR(VLOOKUP(BS$134+$F175,$D$135:$D$165,1,FALSE)),0,BR43*$C$2),MAX((IF(Monthly!BO$4=TRUE,Monthly!BO$13,Monthly!BO$14)*(1+'Attrition Modeling'!$N$8)-'IP Attrition'!BR$65)/12*'IP Attrition'!BR110,0)))</f>
        <v>0</v>
      </c>
      <c r="BT175" s="799" t="e">
        <f>IF(EOMONTH(Inputs!$C$8,'IP Attrition'!BT$134-1)&lt;=Inputs!$C$9,0,MIN(IF(ISERROR(VLOOKUP(BT$134+$F175,$D$135:$D$165,1,FALSE)),0,BS43*$C$2),MAX((IF(Monthly!#REF!=TRUE,Monthly!#REF!,Monthly!#REF!)*(1+'Attrition Modeling'!$N$8)-'IP Attrition'!BS$65)/12*'IP Attrition'!BS110,0)))</f>
        <v>#REF!</v>
      </c>
      <c r="BU175" s="799" t="e">
        <f>IF(EOMONTH(Inputs!$C$8,'IP Attrition'!BU$134-1)&lt;=Inputs!$C$9,0,MIN(IF(ISERROR(VLOOKUP(BU$134+$F175,$D$135:$D$165,1,FALSE)),0,BT43*$C$2),MAX((IF(Monthly!#REF!=TRUE,Monthly!#REF!,Monthly!#REF!)*(1+'Attrition Modeling'!$N$8)-'IP Attrition'!BT$65)/12*'IP Attrition'!BT110,0)))</f>
        <v>#REF!</v>
      </c>
    </row>
    <row r="176" spans="1:73" ht="14.25" customHeight="1" x14ac:dyDescent="0.2">
      <c r="E176" s="25">
        <f t="shared" si="71"/>
        <v>0</v>
      </c>
      <c r="F176" s="11">
        <f t="shared" si="73"/>
        <v>41</v>
      </c>
      <c r="G176" s="799"/>
      <c r="H176" s="799">
        <f>IF(EOMONTH(Inputs!$C$8,'IP Attrition'!H$134-1)&lt;=Inputs!$C$9,0,MIN(IF(ISERROR(VLOOKUP(H$134+$F176,$D$135:$D$165,1,FALSE)),0,G44*$C$2),MAX((IF(Monthly!D$4=TRUE,Monthly!D$13,Monthly!D$14)*(1+'Attrition Modeling'!$N$8)-'IP Attrition'!G$65)/12*'IP Attrition'!G111,0)))</f>
        <v>0</v>
      </c>
      <c r="I176" s="799">
        <f>IF(EOMONTH(Inputs!$C$8,'IP Attrition'!I$134-1)&lt;=Inputs!$C$9,0,MIN(IF(ISERROR(VLOOKUP(I$134+$F176,$D$135:$D$165,1,FALSE)),0,H44*$C$2),MAX((IF(Monthly!E$4=TRUE,Monthly!E$13,Monthly!E$14)*(1+'Attrition Modeling'!$N$8)-'IP Attrition'!H$65)/12*'IP Attrition'!H111,0)))</f>
        <v>0</v>
      </c>
      <c r="J176" s="799">
        <f>IF(EOMONTH(Inputs!$C$8,'IP Attrition'!J$134-1)&lt;=Inputs!$C$9,0,MIN(IF(ISERROR(VLOOKUP(J$134+$F176,$D$135:$D$165,1,FALSE)),0,I44*$C$2),MAX((IF(Monthly!F$4=TRUE,Monthly!F$13,Monthly!F$14)*(1+'Attrition Modeling'!$N$8)-'IP Attrition'!I$65)/12*'IP Attrition'!I111,0)))</f>
        <v>0</v>
      </c>
      <c r="K176" s="799">
        <f>IF(EOMONTH(Inputs!$C$8,'IP Attrition'!K$134-1)&lt;=Inputs!$C$9,0,MIN(IF(ISERROR(VLOOKUP(K$134+$F176,$D$135:$D$165,1,FALSE)),0,J44*$C$2),MAX((IF(Monthly!G$4=TRUE,Monthly!G$13,Monthly!G$14)*(1+'Attrition Modeling'!$N$8)-'IP Attrition'!J$65)/12*'IP Attrition'!J111,0)))</f>
        <v>0</v>
      </c>
      <c r="L176" s="799">
        <f>IF(EOMONTH(Inputs!$C$8,'IP Attrition'!L$134-1)&lt;=Inputs!$C$9,0,MIN(IF(ISERROR(VLOOKUP(L$134+$F176,$D$135:$D$165,1,FALSE)),0,K44*$C$2),MAX((IF(Monthly!H$4=TRUE,Monthly!H$13,Monthly!H$14)*(1+'Attrition Modeling'!$N$8)-'IP Attrition'!K$65)/12*'IP Attrition'!K111,0)))</f>
        <v>0</v>
      </c>
      <c r="M176" s="799">
        <f>IF(EOMONTH(Inputs!$C$8,'IP Attrition'!M$134-1)&lt;=Inputs!$C$9,0,MIN(IF(ISERROR(VLOOKUP(M$134+$F176,$D$135:$D$165,1,FALSE)),0,L44*$C$2),MAX((IF(Monthly!I$4=TRUE,Monthly!I$13,Monthly!I$14)*(1+'Attrition Modeling'!$N$8)-'IP Attrition'!L$65)/12*'IP Attrition'!L111,0)))</f>
        <v>0</v>
      </c>
      <c r="N176" s="799">
        <f>IF(EOMONTH(Inputs!$C$8,'IP Attrition'!N$134-1)&lt;=Inputs!$C$9,0,MIN(IF(ISERROR(VLOOKUP(N$134+$F176,$D$135:$D$165,1,FALSE)),0,M44*$C$2),MAX((IF(Monthly!J$4=TRUE,Monthly!J$13,Monthly!J$14)*(1+'Attrition Modeling'!$N$8)-'IP Attrition'!M$65)/12*'IP Attrition'!M111,0)))</f>
        <v>0</v>
      </c>
      <c r="O176" s="799">
        <f>IF(EOMONTH(Inputs!$C$8,'IP Attrition'!O$134-1)&lt;=Inputs!$C$9,0,MIN(IF(ISERROR(VLOOKUP(O$134+$F176,$D$135:$D$165,1,FALSE)),0,N44*$C$2),MAX((IF(Monthly!K$4=TRUE,Monthly!K$13,Monthly!K$14)*(1+'Attrition Modeling'!$N$8)-'IP Attrition'!N$65)/12*'IP Attrition'!N111,0)))</f>
        <v>0</v>
      </c>
      <c r="P176" s="799">
        <f>IF(EOMONTH(Inputs!$C$8,'IP Attrition'!P$134-1)&lt;=Inputs!$C$9,0,MIN(IF(ISERROR(VLOOKUP(P$134+$F176,$D$135:$D$165,1,FALSE)),0,O44*$C$2),MAX((IF(Monthly!L$4=TRUE,Monthly!L$13,Monthly!L$14)*(1+'Attrition Modeling'!$N$8)-'IP Attrition'!O$65)/12*'IP Attrition'!O111,0)))</f>
        <v>0</v>
      </c>
      <c r="Q176" s="799">
        <f>IF(EOMONTH(Inputs!$C$8,'IP Attrition'!Q$134-1)&lt;=Inputs!$C$9,0,MIN(IF(ISERROR(VLOOKUP(Q$134+$F176,$D$135:$D$165,1,FALSE)),0,P44*$C$2),MAX((IF(Monthly!M$4=TRUE,Monthly!M$13,Monthly!M$14)*(1+'Attrition Modeling'!$N$8)-'IP Attrition'!P$65)/12*'IP Attrition'!P111,0)))</f>
        <v>0</v>
      </c>
      <c r="R176" s="799">
        <f>IF(EOMONTH(Inputs!$C$8,'IP Attrition'!R$134-1)&lt;=Inputs!$C$9,0,MIN(IF(ISERROR(VLOOKUP(R$134+$F176,$D$135:$D$165,1,FALSE)),0,Q44*$C$2),MAX((IF(Monthly!N$4=TRUE,Monthly!N$13,Monthly!N$14)*(1+'Attrition Modeling'!$N$8)-'IP Attrition'!Q$65)/12*'IP Attrition'!Q111,0)))</f>
        <v>0</v>
      </c>
      <c r="S176" s="799">
        <f>IF(EOMONTH(Inputs!$C$8,'IP Attrition'!S$134-1)&lt;=Inputs!$C$9,0,MIN(IF(ISERROR(VLOOKUP(S$134+$F176,$D$135:$D$165,1,FALSE)),0,R44*$C$2),MAX((IF(Monthly!O$4=TRUE,Monthly!O$13,Monthly!O$14)*(1+'Attrition Modeling'!$N$8)-'IP Attrition'!R$65)/12*'IP Attrition'!R111,0)))</f>
        <v>0</v>
      </c>
      <c r="T176" s="799">
        <f>IF(EOMONTH(Inputs!$C$8,'IP Attrition'!T$134-1)&lt;=Inputs!$C$9,0,MIN(IF(ISERROR(VLOOKUP(T$134+$F176,$D$135:$D$165,1,FALSE)),0,S44*$C$2),MAX((IF(Monthly!P$4=TRUE,Monthly!P$13,Monthly!P$14)*(1+'Attrition Modeling'!$N$8)-'IP Attrition'!S$65)/12*'IP Attrition'!S111,0)))</f>
        <v>0</v>
      </c>
      <c r="U176" s="799">
        <f>IF(EOMONTH(Inputs!$C$8,'IP Attrition'!U$134-1)&lt;=Inputs!$C$9,0,MIN(IF(ISERROR(VLOOKUP(U$134+$F176,$D$135:$D$165,1,FALSE)),0,T44*$C$2),MAX((IF(Monthly!Q$4=TRUE,Monthly!Q$13,Monthly!Q$14)*(1+'Attrition Modeling'!$N$8)-'IP Attrition'!T$65)/12*'IP Attrition'!T111,0)))</f>
        <v>0</v>
      </c>
      <c r="V176" s="799">
        <f>IF(EOMONTH(Inputs!$C$8,'IP Attrition'!V$134-1)&lt;=Inputs!$C$9,0,MIN(IF(ISERROR(VLOOKUP(V$134+$F176,$D$135:$D$165,1,FALSE)),0,U44*$C$2),MAX((IF(Monthly!R$4=TRUE,Monthly!R$13,Monthly!R$14)*(1+'Attrition Modeling'!$N$8)-'IP Attrition'!U$65)/12*'IP Attrition'!U111,0)))</f>
        <v>0</v>
      </c>
      <c r="W176" s="799">
        <f>IF(EOMONTH(Inputs!$C$8,'IP Attrition'!W$134-1)&lt;=Inputs!$C$9,0,MIN(IF(ISERROR(VLOOKUP(W$134+$F176,$D$135:$D$165,1,FALSE)),0,V44*$C$2),MAX((IF(Monthly!S$4=TRUE,Monthly!S$13,Monthly!S$14)*(1+'Attrition Modeling'!$N$8)-'IP Attrition'!V$65)/12*'IP Attrition'!V111,0)))</f>
        <v>0</v>
      </c>
      <c r="X176" s="799">
        <f>IF(EOMONTH(Inputs!$C$8,'IP Attrition'!X$134-1)&lt;=Inputs!$C$9,0,MIN(IF(ISERROR(VLOOKUP(X$134+$F176,$D$135:$D$165,1,FALSE)),0,W44*$C$2),MAX((IF(Monthly!T$4=TRUE,Monthly!T$13,Monthly!T$14)*(1+'Attrition Modeling'!$N$8)-'IP Attrition'!W$65)/12*'IP Attrition'!W111,0)))</f>
        <v>0</v>
      </c>
      <c r="Y176" s="799">
        <f>IF(EOMONTH(Inputs!$C$8,'IP Attrition'!Y$134-1)&lt;=Inputs!$C$9,0,MIN(IF(ISERROR(VLOOKUP(Y$134+$F176,$D$135:$D$165,1,FALSE)),0,X44*$C$2),MAX((IF(Monthly!U$4=TRUE,Monthly!U$13,Monthly!U$14)*(1+'Attrition Modeling'!$N$8)-'IP Attrition'!X$65)/12*'IP Attrition'!X111,0)))</f>
        <v>0</v>
      </c>
      <c r="Z176" s="799">
        <f>IF(EOMONTH(Inputs!$C$8,'IP Attrition'!Z$134-1)&lt;=Inputs!$C$9,0,MIN(IF(ISERROR(VLOOKUP(Z$134+$F176,$D$135:$D$165,1,FALSE)),0,Y44*$C$2),MAX((IF(Monthly!V$4=TRUE,Monthly!V$13,Monthly!V$14)*(1+'Attrition Modeling'!$N$8)-'IP Attrition'!Y$65)/12*'IP Attrition'!Y111,0)))</f>
        <v>0</v>
      </c>
      <c r="AA176" s="799">
        <f>IF(EOMONTH(Inputs!$C$8,'IP Attrition'!AA$134-1)&lt;=Inputs!$C$9,0,MIN(IF(ISERROR(VLOOKUP(AA$134+$F176,$D$135:$D$165,1,FALSE)),0,Z44*$C$2),MAX((IF(Monthly!W$4=TRUE,Monthly!W$13,Monthly!W$14)*(1+'Attrition Modeling'!$N$8)-'IP Attrition'!Z$65)/12*'IP Attrition'!Z111,0)))</f>
        <v>0</v>
      </c>
      <c r="AB176" s="799">
        <f>IF(EOMONTH(Inputs!$C$8,'IP Attrition'!AB$134-1)&lt;=Inputs!$C$9,0,MIN(IF(ISERROR(VLOOKUP(AB$134+$F176,$D$135:$D$165,1,FALSE)),0,AA44*$C$2),MAX((IF(Monthly!X$4=TRUE,Monthly!X$13,Monthly!X$14)*(1+'Attrition Modeling'!$N$8)-'IP Attrition'!AA$65)/12*'IP Attrition'!AA111,0)))</f>
        <v>0</v>
      </c>
      <c r="AC176" s="799">
        <f>IF(EOMONTH(Inputs!$C$8,'IP Attrition'!AC$134-1)&lt;=Inputs!$C$9,0,MIN(IF(ISERROR(VLOOKUP(AC$134+$F176,$D$135:$D$165,1,FALSE)),0,AB44*$C$2),MAX((IF(Monthly!Y$4=TRUE,Monthly!Y$13,Monthly!Y$14)*(1+'Attrition Modeling'!$N$8)-'IP Attrition'!AB$65)/12*'IP Attrition'!AB111,0)))</f>
        <v>0</v>
      </c>
      <c r="AD176" s="799">
        <f>IF(EOMONTH(Inputs!$C$8,'IP Attrition'!AD$134-1)&lt;=Inputs!$C$9,0,MIN(IF(ISERROR(VLOOKUP(AD$134+$F176,$D$135:$D$165,1,FALSE)),0,AC44*$C$2),MAX((IF(Monthly!Z$4=TRUE,Monthly!Z$13,Monthly!Z$14)*(1+'Attrition Modeling'!$N$8)-'IP Attrition'!AC$65)/12*'IP Attrition'!AC111,0)))</f>
        <v>0</v>
      </c>
      <c r="AE176" s="799">
        <f>IF(EOMONTH(Inputs!$C$8,'IP Attrition'!AE$134-1)&lt;=Inputs!$C$9,0,MIN(IF(ISERROR(VLOOKUP(AE$134+$F176,$D$135:$D$165,1,FALSE)),0,AD44*$C$2),MAX((IF(Monthly!AA$4=TRUE,Monthly!AA$13,Monthly!AA$14)*(1+'Attrition Modeling'!$N$8)-'IP Attrition'!AD$65)/12*'IP Attrition'!AD111,0)))</f>
        <v>0</v>
      </c>
      <c r="AF176" s="799">
        <f>IF(EOMONTH(Inputs!$C$8,'IP Attrition'!AF$134-1)&lt;=Inputs!$C$9,0,MIN(IF(ISERROR(VLOOKUP(AF$134+$F176,$D$135:$D$165,1,FALSE)),0,AE44*$C$2),MAX((IF(Monthly!AB$4=TRUE,Monthly!AB$13,Monthly!AB$14)*(1+'Attrition Modeling'!$N$8)-'IP Attrition'!AE$65)/12*'IP Attrition'!AE111,0)))</f>
        <v>0</v>
      </c>
      <c r="AG176" s="799">
        <f>IF(EOMONTH(Inputs!$C$8,'IP Attrition'!AG$134-1)&lt;=Inputs!$C$9,0,MIN(IF(ISERROR(VLOOKUP(AG$134+$F176,$D$135:$D$165,1,FALSE)),0,AF44*$C$2),MAX((IF(Monthly!AC$4=TRUE,Monthly!AC$13,Monthly!AC$14)*(1+'Attrition Modeling'!$N$8)-'IP Attrition'!AF$65)/12*'IP Attrition'!AF111,0)))</f>
        <v>0</v>
      </c>
      <c r="AH176" s="799">
        <f>IF(EOMONTH(Inputs!$C$8,'IP Attrition'!AH$134-1)&lt;=Inputs!$C$9,0,MIN(IF(ISERROR(VLOOKUP(AH$134+$F176,$D$135:$D$165,1,FALSE)),0,AG44*$C$2),MAX((IF(Monthly!AD$4=TRUE,Monthly!AD$13,Monthly!AD$14)*(1+'Attrition Modeling'!$N$8)-'IP Attrition'!AG$65)/12*'IP Attrition'!AG111,0)))</f>
        <v>0</v>
      </c>
      <c r="AI176" s="799">
        <f>IF(EOMONTH(Inputs!$C$8,'IP Attrition'!AI$134-1)&lt;=Inputs!$C$9,0,MIN(IF(ISERROR(VLOOKUP(AI$134+$F176,$D$135:$D$165,1,FALSE)),0,AH44*$C$2),MAX((IF(Monthly!AE$4=TRUE,Monthly!AE$13,Monthly!AE$14)*(1+'Attrition Modeling'!$N$8)-'IP Attrition'!AH$65)/12*'IP Attrition'!AH111,0)))</f>
        <v>0</v>
      </c>
      <c r="AJ176" s="799">
        <f>IF(EOMONTH(Inputs!$C$8,'IP Attrition'!AJ$134-1)&lt;=Inputs!$C$9,0,MIN(IF(ISERROR(VLOOKUP(AJ$134+$F176,$D$135:$D$165,1,FALSE)),0,AI44*$C$2),MAX((IF(Monthly!AF$4=TRUE,Monthly!AF$13,Monthly!AF$14)*(1+'Attrition Modeling'!$N$8)-'IP Attrition'!AI$65)/12*'IP Attrition'!AI111,0)))</f>
        <v>0</v>
      </c>
      <c r="AK176" s="799">
        <f>IF(EOMONTH(Inputs!$C$8,'IP Attrition'!AK$134-1)&lt;=Inputs!$C$9,0,MIN(IF(ISERROR(VLOOKUP(AK$134+$F176,$D$135:$D$165,1,FALSE)),0,AJ44*$C$2),MAX((IF(Monthly!AG$4=TRUE,Monthly!AG$13,Monthly!AG$14)*(1+'Attrition Modeling'!$N$8)-'IP Attrition'!AJ$65)/12*'IP Attrition'!AJ111,0)))</f>
        <v>0</v>
      </c>
      <c r="AL176" s="799">
        <f>IF(EOMONTH(Inputs!$C$8,'IP Attrition'!AL$134-1)&lt;=Inputs!$C$9,0,MIN(IF(ISERROR(VLOOKUP(AL$134+$F176,$D$135:$D$165,1,FALSE)),0,AK44*$C$2),MAX((IF(Monthly!AH$4=TRUE,Monthly!AH$13,Monthly!AH$14)*(1+'Attrition Modeling'!$N$8)-'IP Attrition'!AK$65)/12*'IP Attrition'!AK111,0)))</f>
        <v>0</v>
      </c>
      <c r="AM176" s="799">
        <f>IF(EOMONTH(Inputs!$C$8,'IP Attrition'!AM$134-1)&lt;=Inputs!$C$9,0,MIN(IF(ISERROR(VLOOKUP(AM$134+$F176,$D$135:$D$165,1,FALSE)),0,AL44*$C$2),MAX((IF(Monthly!AI$4=TRUE,Monthly!AI$13,Monthly!AI$14)*(1+'Attrition Modeling'!$N$8)-'IP Attrition'!AL$65)/12*'IP Attrition'!AL111,0)))</f>
        <v>0</v>
      </c>
      <c r="AN176" s="799">
        <f>IF(EOMONTH(Inputs!$C$8,'IP Attrition'!AN$134-1)&lt;=Inputs!$C$9,0,MIN(IF(ISERROR(VLOOKUP(AN$134+$F176,$D$135:$D$165,1,FALSE)),0,AM44*$C$2),MAX((IF(Monthly!AJ$4=TRUE,Monthly!AJ$13,Monthly!AJ$14)*(1+'Attrition Modeling'!$N$8)-'IP Attrition'!AM$65)/12*'IP Attrition'!AM111,0)))</f>
        <v>0</v>
      </c>
      <c r="AO176" s="799">
        <f>IF(EOMONTH(Inputs!$C$8,'IP Attrition'!AO$134-1)&lt;=Inputs!$C$9,0,MIN(IF(ISERROR(VLOOKUP(AO$134+$F176,$D$135:$D$165,1,FALSE)),0,AN44*$C$2),MAX((IF(Monthly!AK$4=TRUE,Monthly!AK$13,Monthly!AK$14)*(1+'Attrition Modeling'!$N$8)-'IP Attrition'!AN$65)/12*'IP Attrition'!AN111,0)))</f>
        <v>0</v>
      </c>
      <c r="AP176" s="799">
        <f>IF(EOMONTH(Inputs!$C$8,'IP Attrition'!AP$134-1)&lt;=Inputs!$C$9,0,MIN(IF(ISERROR(VLOOKUP(AP$134+$F176,$D$135:$D$165,1,FALSE)),0,AO44*$C$2),MAX((IF(Monthly!AL$4=TRUE,Monthly!AL$13,Monthly!AL$14)*(1+'Attrition Modeling'!$N$8)-'IP Attrition'!AO$65)/12*'IP Attrition'!AO111,0)))</f>
        <v>0</v>
      </c>
      <c r="AQ176" s="799">
        <f>IF(EOMONTH(Inputs!$C$8,'IP Attrition'!AQ$134-1)&lt;=Inputs!$C$9,0,MIN(IF(ISERROR(VLOOKUP(AQ$134+$F176,$D$135:$D$165,1,FALSE)),0,AP44*$C$2),MAX((IF(Monthly!AM$4=TRUE,Monthly!AM$13,Monthly!AM$14)*(1+'Attrition Modeling'!$N$8)-'IP Attrition'!AP$65)/12*'IP Attrition'!AP111,0)))</f>
        <v>0</v>
      </c>
      <c r="AR176" s="799">
        <f>IF(EOMONTH(Inputs!$C$8,'IP Attrition'!AR$134-1)&lt;=Inputs!$C$9,0,MIN(IF(ISERROR(VLOOKUP(AR$134+$F176,$D$135:$D$165,1,FALSE)),0,AQ44*$C$2),MAX((IF(Monthly!AN$4=TRUE,Monthly!AN$13,Monthly!AN$14)*(1+'Attrition Modeling'!$N$8)-'IP Attrition'!AQ$65)/12*'IP Attrition'!AQ111,0)))</f>
        <v>0</v>
      </c>
      <c r="AS176" s="799">
        <f>IF(EOMONTH(Inputs!$C$8,'IP Attrition'!AS$134-1)&lt;=Inputs!$C$9,0,MIN(IF(ISERROR(VLOOKUP(AS$134+$F176,$D$135:$D$165,1,FALSE)),0,AR44*$C$2),MAX((IF(Monthly!AO$4=TRUE,Monthly!AO$13,Monthly!AO$14)*(1+'Attrition Modeling'!$N$8)-'IP Attrition'!AR$65)/12*'IP Attrition'!AR111,0)))</f>
        <v>0</v>
      </c>
      <c r="AT176" s="799">
        <f>IF(EOMONTH(Inputs!$C$8,'IP Attrition'!AT$134-1)&lt;=Inputs!$C$9,0,MIN(IF(ISERROR(VLOOKUP(AT$134+$F176,$D$135:$D$165,1,FALSE)),0,AS44*$C$2),MAX((IF(Monthly!AP$4=TRUE,Monthly!AP$13,Monthly!AP$14)*(1+'Attrition Modeling'!$N$8)-'IP Attrition'!AS$65)/12*'IP Attrition'!AS111,0)))</f>
        <v>0</v>
      </c>
      <c r="AU176" s="799">
        <f>IF(EOMONTH(Inputs!$C$8,'IP Attrition'!AU$134-1)&lt;=Inputs!$C$9,0,MIN(IF(ISERROR(VLOOKUP(AU$134+$F176,$D$135:$D$165,1,FALSE)),0,AT44*$C$2),MAX((IF(Monthly!AQ$4=TRUE,Monthly!AQ$13,Monthly!AQ$14)*(1+'Attrition Modeling'!$N$8)-'IP Attrition'!AT$65)/12*'IP Attrition'!AT111,0)))</f>
        <v>0</v>
      </c>
      <c r="AV176" s="799">
        <f>IF(EOMONTH(Inputs!$C$8,'IP Attrition'!AV$134-1)&lt;=Inputs!$C$9,0,MIN(IF(ISERROR(VLOOKUP(AV$134+$F176,$D$135:$D$165,1,FALSE)),0,AU44*$C$2),MAX((IF(Monthly!AR$4=TRUE,Monthly!AR$13,Monthly!AR$14)*(1+'Attrition Modeling'!$N$8)-'IP Attrition'!AU$65)/12*'IP Attrition'!AU111,0)))</f>
        <v>0</v>
      </c>
      <c r="AW176" s="799">
        <f>IF(EOMONTH(Inputs!$C$8,'IP Attrition'!AW$134-1)&lt;=Inputs!$C$9,0,MIN(IF(ISERROR(VLOOKUP(AW$134+$F176,$D$135:$D$165,1,FALSE)),0,AV44*$C$2),MAX((IF(Monthly!AS$4=TRUE,Monthly!AS$13,Monthly!AS$14)*(1+'Attrition Modeling'!$N$8)-'IP Attrition'!AV$65)/12*'IP Attrition'!AV111,0)))</f>
        <v>0</v>
      </c>
      <c r="AX176" s="799">
        <f>IF(EOMONTH(Inputs!$C$8,'IP Attrition'!AX$134-1)&lt;=Inputs!$C$9,0,MIN(IF(ISERROR(VLOOKUP(AX$134+$F176,$D$135:$D$165,1,FALSE)),0,AW44*$C$2),MAX((IF(Monthly!AT$4=TRUE,Monthly!AT$13,Monthly!AT$14)*(1+'Attrition Modeling'!$N$8)-'IP Attrition'!AW$65)/12*'IP Attrition'!AW111,0)))</f>
        <v>0</v>
      </c>
      <c r="AY176" s="799">
        <f>IF(EOMONTH(Inputs!$C$8,'IP Attrition'!AY$134-1)&lt;=Inputs!$C$9,0,MIN(IF(ISERROR(VLOOKUP(AY$134+$F176,$D$135:$D$165,1,FALSE)),0,AX44*$C$2),MAX((IF(Monthly!AU$4=TRUE,Monthly!AU$13,Monthly!AU$14)*(1+'Attrition Modeling'!$N$8)-'IP Attrition'!AX$65)/12*'IP Attrition'!AX111,0)))</f>
        <v>0</v>
      </c>
      <c r="AZ176" s="799">
        <f>IF(EOMONTH(Inputs!$C$8,'IP Attrition'!AZ$134-1)&lt;=Inputs!$C$9,0,MIN(IF(ISERROR(VLOOKUP(AZ$134+$F176,$D$135:$D$165,1,FALSE)),0,AY44*$C$2),MAX((IF(Monthly!AV$4=TRUE,Monthly!AV$13,Monthly!AV$14)*(1+'Attrition Modeling'!$N$8)-'IP Attrition'!AY$65)/12*'IP Attrition'!AY111,0)))</f>
        <v>0</v>
      </c>
      <c r="BA176" s="799">
        <f>IF(EOMONTH(Inputs!$C$8,'IP Attrition'!BA$134-1)&lt;=Inputs!$C$9,0,MIN(IF(ISERROR(VLOOKUP(BA$134+$F176,$D$135:$D$165,1,FALSE)),0,AZ44*$C$2),MAX((IF(Monthly!AW$4=TRUE,Monthly!AW$13,Monthly!AW$14)*(1+'Attrition Modeling'!$N$8)-'IP Attrition'!AZ$65)/12*'IP Attrition'!AZ111,0)))</f>
        <v>0</v>
      </c>
      <c r="BB176" s="799">
        <f>IF(EOMONTH(Inputs!$C$8,'IP Attrition'!BB$134-1)&lt;=Inputs!$C$9,0,MIN(IF(ISERROR(VLOOKUP(BB$134+$F176,$D$135:$D$165,1,FALSE)),0,BA44*$C$2),MAX((IF(Monthly!AX$4=TRUE,Monthly!AX$13,Monthly!AX$14)*(1+'Attrition Modeling'!$N$8)-'IP Attrition'!BA$65)/12*'IP Attrition'!BA111,0)))</f>
        <v>0</v>
      </c>
      <c r="BC176" s="799">
        <f>IF(EOMONTH(Inputs!$C$8,'IP Attrition'!BC$134-1)&lt;=Inputs!$C$9,0,MIN(IF(ISERROR(VLOOKUP(BC$134+$F176,$D$135:$D$165,1,FALSE)),0,BB44*$C$2),MAX((IF(Monthly!AY$4=TRUE,Monthly!AY$13,Monthly!AY$14)*(1+'Attrition Modeling'!$N$8)-'IP Attrition'!BB$65)/12*'IP Attrition'!BB111,0)))</f>
        <v>0</v>
      </c>
      <c r="BD176" s="799">
        <f>IF(EOMONTH(Inputs!$C$8,'IP Attrition'!BD$134-1)&lt;=Inputs!$C$9,0,MIN(IF(ISERROR(VLOOKUP(BD$134+$F176,$D$135:$D$165,1,FALSE)),0,BC44*$C$2),MAX((IF(Monthly!AZ$4=TRUE,Monthly!AZ$13,Monthly!AZ$14)*(1+'Attrition Modeling'!$N$8)-'IP Attrition'!BC$65)/12*'IP Attrition'!BC111,0)))</f>
        <v>0</v>
      </c>
      <c r="BE176" s="799">
        <f>IF(EOMONTH(Inputs!$C$8,'IP Attrition'!BE$134-1)&lt;=Inputs!$C$9,0,MIN(IF(ISERROR(VLOOKUP(BE$134+$F176,$D$135:$D$165,1,FALSE)),0,BD44*$C$2),MAX((IF(Monthly!BA$4=TRUE,Monthly!BA$13,Monthly!BA$14)*(1+'Attrition Modeling'!$N$8)-'IP Attrition'!BD$65)/12*'IP Attrition'!BD111,0)))</f>
        <v>0</v>
      </c>
      <c r="BF176" s="799">
        <f>IF(EOMONTH(Inputs!$C$8,'IP Attrition'!BF$134-1)&lt;=Inputs!$C$9,0,MIN(IF(ISERROR(VLOOKUP(BF$134+$F176,$D$135:$D$165,1,FALSE)),0,BE44*$C$2),MAX((IF(Monthly!BB$4=TRUE,Monthly!BB$13,Monthly!BB$14)*(1+'Attrition Modeling'!$N$8)-'IP Attrition'!BE$65)/12*'IP Attrition'!BE111,0)))</f>
        <v>0</v>
      </c>
      <c r="BG176" s="799">
        <f>IF(EOMONTH(Inputs!$C$8,'IP Attrition'!BG$134-1)&lt;=Inputs!$C$9,0,MIN(IF(ISERROR(VLOOKUP(BG$134+$F176,$D$135:$D$165,1,FALSE)),0,BF44*$C$2),MAX((IF(Monthly!BC$4=TRUE,Monthly!BC$13,Monthly!BC$14)*(1+'Attrition Modeling'!$N$8)-'IP Attrition'!BF$65)/12*'IP Attrition'!BF111,0)))</f>
        <v>0</v>
      </c>
      <c r="BH176" s="799">
        <f>IF(EOMONTH(Inputs!$C$8,'IP Attrition'!BH$134-1)&lt;=Inputs!$C$9,0,MIN(IF(ISERROR(VLOOKUP(BH$134+$F176,$D$135:$D$165,1,FALSE)),0,BG44*$C$2),MAX((IF(Monthly!BD$4=TRUE,Monthly!BD$13,Monthly!BD$14)*(1+'Attrition Modeling'!$N$8)-'IP Attrition'!BG$65)/12*'IP Attrition'!BG111,0)))</f>
        <v>0</v>
      </c>
      <c r="BI176" s="799">
        <f>IF(EOMONTH(Inputs!$C$8,'IP Attrition'!BI$134-1)&lt;=Inputs!$C$9,0,MIN(IF(ISERROR(VLOOKUP(BI$134+$F176,$D$135:$D$165,1,FALSE)),0,BH44*$C$2),MAX((IF(Monthly!BE$4=TRUE,Monthly!BE$13,Monthly!BE$14)*(1+'Attrition Modeling'!$N$8)-'IP Attrition'!BH$65)/12*'IP Attrition'!BH111,0)))</f>
        <v>0</v>
      </c>
      <c r="BJ176" s="799">
        <f>IF(EOMONTH(Inputs!$C$8,'IP Attrition'!BJ$134-1)&lt;=Inputs!$C$9,0,MIN(IF(ISERROR(VLOOKUP(BJ$134+$F176,$D$135:$D$165,1,FALSE)),0,BI44*$C$2),MAX((IF(Monthly!BF$4=TRUE,Monthly!BF$13,Monthly!BF$14)*(1+'Attrition Modeling'!$N$8)-'IP Attrition'!BI$65)/12*'IP Attrition'!BI111,0)))</f>
        <v>0</v>
      </c>
      <c r="BK176" s="799">
        <f>IF(EOMONTH(Inputs!$C$8,'IP Attrition'!BK$134-1)&lt;=Inputs!$C$9,0,MIN(IF(ISERROR(VLOOKUP(BK$134+$F176,$D$135:$D$165,1,FALSE)),0,BJ44*$C$2),MAX((IF(Monthly!BG$4=TRUE,Monthly!BG$13,Monthly!BG$14)*(1+'Attrition Modeling'!$N$8)-'IP Attrition'!BJ$65)/12*'IP Attrition'!BJ111,0)))</f>
        <v>0</v>
      </c>
      <c r="BL176" s="799">
        <f>IF(EOMONTH(Inputs!$C$8,'IP Attrition'!BL$134-1)&lt;=Inputs!$C$9,0,MIN(IF(ISERROR(VLOOKUP(BL$134+$F176,$D$135:$D$165,1,FALSE)),0,BK44*$C$2),MAX((IF(Monthly!BH$4=TRUE,Monthly!BH$13,Monthly!BH$14)*(1+'Attrition Modeling'!$N$8)-'IP Attrition'!BK$65)/12*'IP Attrition'!BK111,0)))</f>
        <v>0</v>
      </c>
      <c r="BM176" s="799">
        <f>IF(EOMONTH(Inputs!$C$8,'IP Attrition'!BM$134-1)&lt;=Inputs!$C$9,0,MIN(IF(ISERROR(VLOOKUP(BM$134+$F176,$D$135:$D$165,1,FALSE)),0,BL44*$C$2),MAX((IF(Monthly!BI$4=TRUE,Monthly!BI$13,Monthly!BI$14)*(1+'Attrition Modeling'!$N$8)-'IP Attrition'!BL$65)/12*'IP Attrition'!BL111,0)))</f>
        <v>0</v>
      </c>
      <c r="BN176" s="799">
        <f>IF(EOMONTH(Inputs!$C$8,'IP Attrition'!BN$134-1)&lt;=Inputs!$C$9,0,MIN(IF(ISERROR(VLOOKUP(BN$134+$F176,$D$135:$D$165,1,FALSE)),0,BM44*$C$2),MAX((IF(Monthly!BJ$4=TRUE,Monthly!BJ$13,Monthly!BJ$14)*(1+'Attrition Modeling'!$N$8)-'IP Attrition'!BM$65)/12*'IP Attrition'!BM111,0)))</f>
        <v>0</v>
      </c>
      <c r="BO176" s="799">
        <f>IF(EOMONTH(Inputs!$C$8,'IP Attrition'!BO$134-1)&lt;=Inputs!$C$9,0,MIN(IF(ISERROR(VLOOKUP(BO$134+$F176,$D$135:$D$165,1,FALSE)),0,BN44*$C$2),MAX((IF(Monthly!BK$4=TRUE,Monthly!BK$13,Monthly!BK$14)*(1+'Attrition Modeling'!$N$8)-'IP Attrition'!BN$65)/12*'IP Attrition'!BN111,0)))</f>
        <v>0</v>
      </c>
      <c r="BP176" s="799">
        <f>IF(EOMONTH(Inputs!$C$8,'IP Attrition'!BP$134-1)&lt;=Inputs!$C$9,0,MIN(IF(ISERROR(VLOOKUP(BP$134+$F176,$D$135:$D$165,1,FALSE)),0,BO44*$C$2),MAX((IF(Monthly!BL$4=TRUE,Monthly!BL$13,Monthly!BL$14)*(1+'Attrition Modeling'!$N$8)-'IP Attrition'!BO$65)/12*'IP Attrition'!BO111,0)))</f>
        <v>0</v>
      </c>
      <c r="BQ176" s="799">
        <f>IF(EOMONTH(Inputs!$C$8,'IP Attrition'!BQ$134-1)&lt;=Inputs!$C$9,0,MIN(IF(ISERROR(VLOOKUP(BQ$134+$F176,$D$135:$D$165,1,FALSE)),0,BP44*$C$2),MAX((IF(Monthly!BM$4=TRUE,Monthly!BM$13,Monthly!BM$14)*(1+'Attrition Modeling'!$N$8)-'IP Attrition'!BP$65)/12*'IP Attrition'!BP111,0)))</f>
        <v>0</v>
      </c>
      <c r="BR176" s="799">
        <f>IF(EOMONTH(Inputs!$C$8,'IP Attrition'!BR$134-1)&lt;=Inputs!$C$9,0,MIN(IF(ISERROR(VLOOKUP(BR$134+$F176,$D$135:$D$165,1,FALSE)),0,BQ44*$C$2),MAX((IF(Monthly!BN$4=TRUE,Monthly!BN$13,Monthly!BN$14)*(1+'Attrition Modeling'!$N$8)-'IP Attrition'!BQ$65)/12*'IP Attrition'!BQ111,0)))</f>
        <v>0</v>
      </c>
      <c r="BS176" s="799">
        <f>IF(EOMONTH(Inputs!$C$8,'IP Attrition'!BS$134-1)&lt;=Inputs!$C$9,0,MIN(IF(ISERROR(VLOOKUP(BS$134+$F176,$D$135:$D$165,1,FALSE)),0,BR44*$C$2),MAX((IF(Monthly!BO$4=TRUE,Monthly!BO$13,Monthly!BO$14)*(1+'Attrition Modeling'!$N$8)-'IP Attrition'!BR$65)/12*'IP Attrition'!BR111,0)))</f>
        <v>0</v>
      </c>
      <c r="BT176" s="799" t="e">
        <f>IF(EOMONTH(Inputs!$C$8,'IP Attrition'!BT$134-1)&lt;=Inputs!$C$9,0,MIN(IF(ISERROR(VLOOKUP(BT$134+$F176,$D$135:$D$165,1,FALSE)),0,BS44*$C$2),MAX((IF(Monthly!#REF!=TRUE,Monthly!#REF!,Monthly!#REF!)*(1+'Attrition Modeling'!$N$8)-'IP Attrition'!BS$65)/12*'IP Attrition'!BS111,0)))</f>
        <v>#REF!</v>
      </c>
      <c r="BU176" s="799" t="e">
        <f>IF(EOMONTH(Inputs!$C$8,'IP Attrition'!BU$134-1)&lt;=Inputs!$C$9,0,MIN(IF(ISERROR(VLOOKUP(BU$134+$F176,$D$135:$D$165,1,FALSE)),0,BT44*$C$2),MAX((IF(Monthly!#REF!=TRUE,Monthly!#REF!,Monthly!#REF!)*(1+'Attrition Modeling'!$N$8)-'IP Attrition'!BT$65)/12*'IP Attrition'!BT111,0)))</f>
        <v>#REF!</v>
      </c>
    </row>
    <row r="177" spans="5:73" ht="14.25" customHeight="1" x14ac:dyDescent="0.2">
      <c r="E177" s="25">
        <f t="shared" si="71"/>
        <v>0</v>
      </c>
      <c r="F177" s="11">
        <f t="shared" si="73"/>
        <v>42</v>
      </c>
      <c r="G177" s="799"/>
      <c r="H177" s="799">
        <f>IF(EOMONTH(Inputs!$C$8,'IP Attrition'!H$134-1)&lt;=Inputs!$C$9,0,MIN(IF(ISERROR(VLOOKUP(H$134+$F177,$D$135:$D$165,1,FALSE)),0,G45*$C$2),MAX((IF(Monthly!D$4=TRUE,Monthly!D$13,Monthly!D$14)*(1+'Attrition Modeling'!$N$8)-'IP Attrition'!G$65)/12*'IP Attrition'!G112,0)))</f>
        <v>0</v>
      </c>
      <c r="I177" s="799">
        <f>IF(EOMONTH(Inputs!$C$8,'IP Attrition'!I$134-1)&lt;=Inputs!$C$9,0,MIN(IF(ISERROR(VLOOKUP(I$134+$F177,$D$135:$D$165,1,FALSE)),0,H45*$C$2),MAX((IF(Monthly!E$4=TRUE,Monthly!E$13,Monthly!E$14)*(1+'Attrition Modeling'!$N$8)-'IP Attrition'!H$65)/12*'IP Attrition'!H112,0)))</f>
        <v>0</v>
      </c>
      <c r="J177" s="799">
        <f>IF(EOMONTH(Inputs!$C$8,'IP Attrition'!J$134-1)&lt;=Inputs!$C$9,0,MIN(IF(ISERROR(VLOOKUP(J$134+$F177,$D$135:$D$165,1,FALSE)),0,I45*$C$2),MAX((IF(Monthly!F$4=TRUE,Monthly!F$13,Monthly!F$14)*(1+'Attrition Modeling'!$N$8)-'IP Attrition'!I$65)/12*'IP Attrition'!I112,0)))</f>
        <v>0</v>
      </c>
      <c r="K177" s="799">
        <f>IF(EOMONTH(Inputs!$C$8,'IP Attrition'!K$134-1)&lt;=Inputs!$C$9,0,MIN(IF(ISERROR(VLOOKUP(K$134+$F177,$D$135:$D$165,1,FALSE)),0,J45*$C$2),MAX((IF(Monthly!G$4=TRUE,Monthly!G$13,Monthly!G$14)*(1+'Attrition Modeling'!$N$8)-'IP Attrition'!J$65)/12*'IP Attrition'!J112,0)))</f>
        <v>0</v>
      </c>
      <c r="L177" s="799">
        <f>IF(EOMONTH(Inputs!$C$8,'IP Attrition'!L$134-1)&lt;=Inputs!$C$9,0,MIN(IF(ISERROR(VLOOKUP(L$134+$F177,$D$135:$D$165,1,FALSE)),0,K45*$C$2),MAX((IF(Monthly!H$4=TRUE,Monthly!H$13,Monthly!H$14)*(1+'Attrition Modeling'!$N$8)-'IP Attrition'!K$65)/12*'IP Attrition'!K112,0)))</f>
        <v>0</v>
      </c>
      <c r="M177" s="799">
        <f>IF(EOMONTH(Inputs!$C$8,'IP Attrition'!M$134-1)&lt;=Inputs!$C$9,0,MIN(IF(ISERROR(VLOOKUP(M$134+$F177,$D$135:$D$165,1,FALSE)),0,L45*$C$2),MAX((IF(Monthly!I$4=TRUE,Monthly!I$13,Monthly!I$14)*(1+'Attrition Modeling'!$N$8)-'IP Attrition'!L$65)/12*'IP Attrition'!L112,0)))</f>
        <v>0</v>
      </c>
      <c r="N177" s="799">
        <f>IF(EOMONTH(Inputs!$C$8,'IP Attrition'!N$134-1)&lt;=Inputs!$C$9,0,MIN(IF(ISERROR(VLOOKUP(N$134+$F177,$D$135:$D$165,1,FALSE)),0,M45*$C$2),MAX((IF(Monthly!J$4=TRUE,Monthly!J$13,Monthly!J$14)*(1+'Attrition Modeling'!$N$8)-'IP Attrition'!M$65)/12*'IP Attrition'!M112,0)))</f>
        <v>0</v>
      </c>
      <c r="O177" s="799">
        <f>IF(EOMONTH(Inputs!$C$8,'IP Attrition'!O$134-1)&lt;=Inputs!$C$9,0,MIN(IF(ISERROR(VLOOKUP(O$134+$F177,$D$135:$D$165,1,FALSE)),0,N45*$C$2),MAX((IF(Monthly!K$4=TRUE,Monthly!K$13,Monthly!K$14)*(1+'Attrition Modeling'!$N$8)-'IP Attrition'!N$65)/12*'IP Attrition'!N112,0)))</f>
        <v>0</v>
      </c>
      <c r="P177" s="799">
        <f>IF(EOMONTH(Inputs!$C$8,'IP Attrition'!P$134-1)&lt;=Inputs!$C$9,0,MIN(IF(ISERROR(VLOOKUP(P$134+$F177,$D$135:$D$165,1,FALSE)),0,O45*$C$2),MAX((IF(Monthly!L$4=TRUE,Monthly!L$13,Monthly!L$14)*(1+'Attrition Modeling'!$N$8)-'IP Attrition'!O$65)/12*'IP Attrition'!O112,0)))</f>
        <v>0</v>
      </c>
      <c r="Q177" s="799">
        <f>IF(EOMONTH(Inputs!$C$8,'IP Attrition'!Q$134-1)&lt;=Inputs!$C$9,0,MIN(IF(ISERROR(VLOOKUP(Q$134+$F177,$D$135:$D$165,1,FALSE)),0,P45*$C$2),MAX((IF(Monthly!M$4=TRUE,Monthly!M$13,Monthly!M$14)*(1+'Attrition Modeling'!$N$8)-'IP Attrition'!P$65)/12*'IP Attrition'!P112,0)))</f>
        <v>0</v>
      </c>
      <c r="R177" s="799">
        <f>IF(EOMONTH(Inputs!$C$8,'IP Attrition'!R$134-1)&lt;=Inputs!$C$9,0,MIN(IF(ISERROR(VLOOKUP(R$134+$F177,$D$135:$D$165,1,FALSE)),0,Q45*$C$2),MAX((IF(Monthly!N$4=TRUE,Monthly!N$13,Monthly!N$14)*(1+'Attrition Modeling'!$N$8)-'IP Attrition'!Q$65)/12*'IP Attrition'!Q112,0)))</f>
        <v>0</v>
      </c>
      <c r="S177" s="799">
        <f>IF(EOMONTH(Inputs!$C$8,'IP Attrition'!S$134-1)&lt;=Inputs!$C$9,0,MIN(IF(ISERROR(VLOOKUP(S$134+$F177,$D$135:$D$165,1,FALSE)),0,R45*$C$2),MAX((IF(Monthly!O$4=TRUE,Monthly!O$13,Monthly!O$14)*(1+'Attrition Modeling'!$N$8)-'IP Attrition'!R$65)/12*'IP Attrition'!R112,0)))</f>
        <v>0</v>
      </c>
      <c r="T177" s="799">
        <f>IF(EOMONTH(Inputs!$C$8,'IP Attrition'!T$134-1)&lt;=Inputs!$C$9,0,MIN(IF(ISERROR(VLOOKUP(T$134+$F177,$D$135:$D$165,1,FALSE)),0,S45*$C$2),MAX((IF(Monthly!P$4=TRUE,Monthly!P$13,Monthly!P$14)*(1+'Attrition Modeling'!$N$8)-'IP Attrition'!S$65)/12*'IP Attrition'!S112,0)))</f>
        <v>0</v>
      </c>
      <c r="U177" s="799">
        <f>IF(EOMONTH(Inputs!$C$8,'IP Attrition'!U$134-1)&lt;=Inputs!$C$9,0,MIN(IF(ISERROR(VLOOKUP(U$134+$F177,$D$135:$D$165,1,FALSE)),0,T45*$C$2),MAX((IF(Monthly!Q$4=TRUE,Monthly!Q$13,Monthly!Q$14)*(1+'Attrition Modeling'!$N$8)-'IP Attrition'!T$65)/12*'IP Attrition'!T112,0)))</f>
        <v>0</v>
      </c>
      <c r="V177" s="799">
        <f>IF(EOMONTH(Inputs!$C$8,'IP Attrition'!V$134-1)&lt;=Inputs!$C$9,0,MIN(IF(ISERROR(VLOOKUP(V$134+$F177,$D$135:$D$165,1,FALSE)),0,U45*$C$2),MAX((IF(Monthly!R$4=TRUE,Monthly!R$13,Monthly!R$14)*(1+'Attrition Modeling'!$N$8)-'IP Attrition'!U$65)/12*'IP Attrition'!U112,0)))</f>
        <v>0</v>
      </c>
      <c r="W177" s="799">
        <f>IF(EOMONTH(Inputs!$C$8,'IP Attrition'!W$134-1)&lt;=Inputs!$C$9,0,MIN(IF(ISERROR(VLOOKUP(W$134+$F177,$D$135:$D$165,1,FALSE)),0,V45*$C$2),MAX((IF(Monthly!S$4=TRUE,Monthly!S$13,Monthly!S$14)*(1+'Attrition Modeling'!$N$8)-'IP Attrition'!V$65)/12*'IP Attrition'!V112,0)))</f>
        <v>0</v>
      </c>
      <c r="X177" s="799">
        <f>IF(EOMONTH(Inputs!$C$8,'IP Attrition'!X$134-1)&lt;=Inputs!$C$9,0,MIN(IF(ISERROR(VLOOKUP(X$134+$F177,$D$135:$D$165,1,FALSE)),0,W45*$C$2),MAX((IF(Monthly!T$4=TRUE,Monthly!T$13,Monthly!T$14)*(1+'Attrition Modeling'!$N$8)-'IP Attrition'!W$65)/12*'IP Attrition'!W112,0)))</f>
        <v>0</v>
      </c>
      <c r="Y177" s="799">
        <f>IF(EOMONTH(Inputs!$C$8,'IP Attrition'!Y$134-1)&lt;=Inputs!$C$9,0,MIN(IF(ISERROR(VLOOKUP(Y$134+$F177,$D$135:$D$165,1,FALSE)),0,X45*$C$2),MAX((IF(Monthly!U$4=TRUE,Monthly!U$13,Monthly!U$14)*(1+'Attrition Modeling'!$N$8)-'IP Attrition'!X$65)/12*'IP Attrition'!X112,0)))</f>
        <v>0</v>
      </c>
      <c r="Z177" s="799">
        <f>IF(EOMONTH(Inputs!$C$8,'IP Attrition'!Z$134-1)&lt;=Inputs!$C$9,0,MIN(IF(ISERROR(VLOOKUP(Z$134+$F177,$D$135:$D$165,1,FALSE)),0,Y45*$C$2),MAX((IF(Monthly!V$4=TRUE,Monthly!V$13,Monthly!V$14)*(1+'Attrition Modeling'!$N$8)-'IP Attrition'!Y$65)/12*'IP Attrition'!Y112,0)))</f>
        <v>0</v>
      </c>
      <c r="AA177" s="799">
        <f>IF(EOMONTH(Inputs!$C$8,'IP Attrition'!AA$134-1)&lt;=Inputs!$C$9,0,MIN(IF(ISERROR(VLOOKUP(AA$134+$F177,$D$135:$D$165,1,FALSE)),0,Z45*$C$2),MAX((IF(Monthly!W$4=TRUE,Monthly!W$13,Monthly!W$14)*(1+'Attrition Modeling'!$N$8)-'IP Attrition'!Z$65)/12*'IP Attrition'!Z112,0)))</f>
        <v>0</v>
      </c>
      <c r="AB177" s="799">
        <f>IF(EOMONTH(Inputs!$C$8,'IP Attrition'!AB$134-1)&lt;=Inputs!$C$9,0,MIN(IF(ISERROR(VLOOKUP(AB$134+$F177,$D$135:$D$165,1,FALSE)),0,AA45*$C$2),MAX((IF(Monthly!X$4=TRUE,Monthly!X$13,Monthly!X$14)*(1+'Attrition Modeling'!$N$8)-'IP Attrition'!AA$65)/12*'IP Attrition'!AA112,0)))</f>
        <v>0</v>
      </c>
      <c r="AC177" s="799">
        <f>IF(EOMONTH(Inputs!$C$8,'IP Attrition'!AC$134-1)&lt;=Inputs!$C$9,0,MIN(IF(ISERROR(VLOOKUP(AC$134+$F177,$D$135:$D$165,1,FALSE)),0,AB45*$C$2),MAX((IF(Monthly!Y$4=TRUE,Monthly!Y$13,Monthly!Y$14)*(1+'Attrition Modeling'!$N$8)-'IP Attrition'!AB$65)/12*'IP Attrition'!AB112,0)))</f>
        <v>0</v>
      </c>
      <c r="AD177" s="799">
        <f>IF(EOMONTH(Inputs!$C$8,'IP Attrition'!AD$134-1)&lt;=Inputs!$C$9,0,MIN(IF(ISERROR(VLOOKUP(AD$134+$F177,$D$135:$D$165,1,FALSE)),0,AC45*$C$2),MAX((IF(Monthly!Z$4=TRUE,Monthly!Z$13,Monthly!Z$14)*(1+'Attrition Modeling'!$N$8)-'IP Attrition'!AC$65)/12*'IP Attrition'!AC112,0)))</f>
        <v>0</v>
      </c>
      <c r="AE177" s="799">
        <f>IF(EOMONTH(Inputs!$C$8,'IP Attrition'!AE$134-1)&lt;=Inputs!$C$9,0,MIN(IF(ISERROR(VLOOKUP(AE$134+$F177,$D$135:$D$165,1,FALSE)),0,AD45*$C$2),MAX((IF(Monthly!AA$4=TRUE,Monthly!AA$13,Monthly!AA$14)*(1+'Attrition Modeling'!$N$8)-'IP Attrition'!AD$65)/12*'IP Attrition'!AD112,0)))</f>
        <v>0</v>
      </c>
      <c r="AF177" s="799">
        <f>IF(EOMONTH(Inputs!$C$8,'IP Attrition'!AF$134-1)&lt;=Inputs!$C$9,0,MIN(IF(ISERROR(VLOOKUP(AF$134+$F177,$D$135:$D$165,1,FALSE)),0,AE45*$C$2),MAX((IF(Monthly!AB$4=TRUE,Monthly!AB$13,Monthly!AB$14)*(1+'Attrition Modeling'!$N$8)-'IP Attrition'!AE$65)/12*'IP Attrition'!AE112,0)))</f>
        <v>0</v>
      </c>
      <c r="AG177" s="799">
        <f>IF(EOMONTH(Inputs!$C$8,'IP Attrition'!AG$134-1)&lt;=Inputs!$C$9,0,MIN(IF(ISERROR(VLOOKUP(AG$134+$F177,$D$135:$D$165,1,FALSE)),0,AF45*$C$2),MAX((IF(Monthly!AC$4=TRUE,Monthly!AC$13,Monthly!AC$14)*(1+'Attrition Modeling'!$N$8)-'IP Attrition'!AF$65)/12*'IP Attrition'!AF112,0)))</f>
        <v>0</v>
      </c>
      <c r="AH177" s="799">
        <f>IF(EOMONTH(Inputs!$C$8,'IP Attrition'!AH$134-1)&lt;=Inputs!$C$9,0,MIN(IF(ISERROR(VLOOKUP(AH$134+$F177,$D$135:$D$165,1,FALSE)),0,AG45*$C$2),MAX((IF(Monthly!AD$4=TRUE,Monthly!AD$13,Monthly!AD$14)*(1+'Attrition Modeling'!$N$8)-'IP Attrition'!AG$65)/12*'IP Attrition'!AG112,0)))</f>
        <v>0</v>
      </c>
      <c r="AI177" s="799">
        <f>IF(EOMONTH(Inputs!$C$8,'IP Attrition'!AI$134-1)&lt;=Inputs!$C$9,0,MIN(IF(ISERROR(VLOOKUP(AI$134+$F177,$D$135:$D$165,1,FALSE)),0,AH45*$C$2),MAX((IF(Monthly!AE$4=TRUE,Monthly!AE$13,Monthly!AE$14)*(1+'Attrition Modeling'!$N$8)-'IP Attrition'!AH$65)/12*'IP Attrition'!AH112,0)))</f>
        <v>0</v>
      </c>
      <c r="AJ177" s="799">
        <f>IF(EOMONTH(Inputs!$C$8,'IP Attrition'!AJ$134-1)&lt;=Inputs!$C$9,0,MIN(IF(ISERROR(VLOOKUP(AJ$134+$F177,$D$135:$D$165,1,FALSE)),0,AI45*$C$2),MAX((IF(Monthly!AF$4=TRUE,Monthly!AF$13,Monthly!AF$14)*(1+'Attrition Modeling'!$N$8)-'IP Attrition'!AI$65)/12*'IP Attrition'!AI112,0)))</f>
        <v>0</v>
      </c>
      <c r="AK177" s="799">
        <f>IF(EOMONTH(Inputs!$C$8,'IP Attrition'!AK$134-1)&lt;=Inputs!$C$9,0,MIN(IF(ISERROR(VLOOKUP(AK$134+$F177,$D$135:$D$165,1,FALSE)),0,AJ45*$C$2),MAX((IF(Monthly!AG$4=TRUE,Monthly!AG$13,Monthly!AG$14)*(1+'Attrition Modeling'!$N$8)-'IP Attrition'!AJ$65)/12*'IP Attrition'!AJ112,0)))</f>
        <v>0</v>
      </c>
      <c r="AL177" s="799">
        <f>IF(EOMONTH(Inputs!$C$8,'IP Attrition'!AL$134-1)&lt;=Inputs!$C$9,0,MIN(IF(ISERROR(VLOOKUP(AL$134+$F177,$D$135:$D$165,1,FALSE)),0,AK45*$C$2),MAX((IF(Monthly!AH$4=TRUE,Monthly!AH$13,Monthly!AH$14)*(1+'Attrition Modeling'!$N$8)-'IP Attrition'!AK$65)/12*'IP Attrition'!AK112,0)))</f>
        <v>0</v>
      </c>
      <c r="AM177" s="799">
        <f>IF(EOMONTH(Inputs!$C$8,'IP Attrition'!AM$134-1)&lt;=Inputs!$C$9,0,MIN(IF(ISERROR(VLOOKUP(AM$134+$F177,$D$135:$D$165,1,FALSE)),0,AL45*$C$2),MAX((IF(Monthly!AI$4=TRUE,Monthly!AI$13,Monthly!AI$14)*(1+'Attrition Modeling'!$N$8)-'IP Attrition'!AL$65)/12*'IP Attrition'!AL112,0)))</f>
        <v>0</v>
      </c>
      <c r="AN177" s="799">
        <f>IF(EOMONTH(Inputs!$C$8,'IP Attrition'!AN$134-1)&lt;=Inputs!$C$9,0,MIN(IF(ISERROR(VLOOKUP(AN$134+$F177,$D$135:$D$165,1,FALSE)),0,AM45*$C$2),MAX((IF(Monthly!AJ$4=TRUE,Monthly!AJ$13,Monthly!AJ$14)*(1+'Attrition Modeling'!$N$8)-'IP Attrition'!AM$65)/12*'IP Attrition'!AM112,0)))</f>
        <v>0</v>
      </c>
      <c r="AO177" s="799">
        <f>IF(EOMONTH(Inputs!$C$8,'IP Attrition'!AO$134-1)&lt;=Inputs!$C$9,0,MIN(IF(ISERROR(VLOOKUP(AO$134+$F177,$D$135:$D$165,1,FALSE)),0,AN45*$C$2),MAX((IF(Monthly!AK$4=TRUE,Monthly!AK$13,Monthly!AK$14)*(1+'Attrition Modeling'!$N$8)-'IP Attrition'!AN$65)/12*'IP Attrition'!AN112,0)))</f>
        <v>0</v>
      </c>
      <c r="AP177" s="799">
        <f>IF(EOMONTH(Inputs!$C$8,'IP Attrition'!AP$134-1)&lt;=Inputs!$C$9,0,MIN(IF(ISERROR(VLOOKUP(AP$134+$F177,$D$135:$D$165,1,FALSE)),0,AO45*$C$2),MAX((IF(Monthly!AL$4=TRUE,Monthly!AL$13,Monthly!AL$14)*(1+'Attrition Modeling'!$N$8)-'IP Attrition'!AO$65)/12*'IP Attrition'!AO112,0)))</f>
        <v>0</v>
      </c>
      <c r="AQ177" s="799">
        <f>IF(EOMONTH(Inputs!$C$8,'IP Attrition'!AQ$134-1)&lt;=Inputs!$C$9,0,MIN(IF(ISERROR(VLOOKUP(AQ$134+$F177,$D$135:$D$165,1,FALSE)),0,AP45*$C$2),MAX((IF(Monthly!AM$4=TRUE,Monthly!AM$13,Monthly!AM$14)*(1+'Attrition Modeling'!$N$8)-'IP Attrition'!AP$65)/12*'IP Attrition'!AP112,0)))</f>
        <v>0</v>
      </c>
      <c r="AR177" s="799">
        <f>IF(EOMONTH(Inputs!$C$8,'IP Attrition'!AR$134-1)&lt;=Inputs!$C$9,0,MIN(IF(ISERROR(VLOOKUP(AR$134+$F177,$D$135:$D$165,1,FALSE)),0,AQ45*$C$2),MAX((IF(Monthly!AN$4=TRUE,Monthly!AN$13,Monthly!AN$14)*(1+'Attrition Modeling'!$N$8)-'IP Attrition'!AQ$65)/12*'IP Attrition'!AQ112,0)))</f>
        <v>0</v>
      </c>
      <c r="AS177" s="799">
        <f>IF(EOMONTH(Inputs!$C$8,'IP Attrition'!AS$134-1)&lt;=Inputs!$C$9,0,MIN(IF(ISERROR(VLOOKUP(AS$134+$F177,$D$135:$D$165,1,FALSE)),0,AR45*$C$2),MAX((IF(Monthly!AO$4=TRUE,Monthly!AO$13,Monthly!AO$14)*(1+'Attrition Modeling'!$N$8)-'IP Attrition'!AR$65)/12*'IP Attrition'!AR112,0)))</f>
        <v>0</v>
      </c>
      <c r="AT177" s="799">
        <f>IF(EOMONTH(Inputs!$C$8,'IP Attrition'!AT$134-1)&lt;=Inputs!$C$9,0,MIN(IF(ISERROR(VLOOKUP(AT$134+$F177,$D$135:$D$165,1,FALSE)),0,AS45*$C$2),MAX((IF(Monthly!AP$4=TRUE,Monthly!AP$13,Monthly!AP$14)*(1+'Attrition Modeling'!$N$8)-'IP Attrition'!AS$65)/12*'IP Attrition'!AS112,0)))</f>
        <v>0</v>
      </c>
      <c r="AU177" s="799">
        <f>IF(EOMONTH(Inputs!$C$8,'IP Attrition'!AU$134-1)&lt;=Inputs!$C$9,0,MIN(IF(ISERROR(VLOOKUP(AU$134+$F177,$D$135:$D$165,1,FALSE)),0,AT45*$C$2),MAX((IF(Monthly!AQ$4=TRUE,Monthly!AQ$13,Monthly!AQ$14)*(1+'Attrition Modeling'!$N$8)-'IP Attrition'!AT$65)/12*'IP Attrition'!AT112,0)))</f>
        <v>0</v>
      </c>
      <c r="AV177" s="799">
        <f>IF(EOMONTH(Inputs!$C$8,'IP Attrition'!AV$134-1)&lt;=Inputs!$C$9,0,MIN(IF(ISERROR(VLOOKUP(AV$134+$F177,$D$135:$D$165,1,FALSE)),0,AU45*$C$2),MAX((IF(Monthly!AR$4=TRUE,Monthly!AR$13,Monthly!AR$14)*(1+'Attrition Modeling'!$N$8)-'IP Attrition'!AU$65)/12*'IP Attrition'!AU112,0)))</f>
        <v>0</v>
      </c>
      <c r="AW177" s="799">
        <f>IF(EOMONTH(Inputs!$C$8,'IP Attrition'!AW$134-1)&lt;=Inputs!$C$9,0,MIN(IF(ISERROR(VLOOKUP(AW$134+$F177,$D$135:$D$165,1,FALSE)),0,AV45*$C$2),MAX((IF(Monthly!AS$4=TRUE,Monthly!AS$13,Monthly!AS$14)*(1+'Attrition Modeling'!$N$8)-'IP Attrition'!AV$65)/12*'IP Attrition'!AV112,0)))</f>
        <v>0</v>
      </c>
      <c r="AX177" s="799">
        <f>IF(EOMONTH(Inputs!$C$8,'IP Attrition'!AX$134-1)&lt;=Inputs!$C$9,0,MIN(IF(ISERROR(VLOOKUP(AX$134+$F177,$D$135:$D$165,1,FALSE)),0,AW45*$C$2),MAX((IF(Monthly!AT$4=TRUE,Monthly!AT$13,Monthly!AT$14)*(1+'Attrition Modeling'!$N$8)-'IP Attrition'!AW$65)/12*'IP Attrition'!AW112,0)))</f>
        <v>0</v>
      </c>
      <c r="AY177" s="799">
        <f>IF(EOMONTH(Inputs!$C$8,'IP Attrition'!AY$134-1)&lt;=Inputs!$C$9,0,MIN(IF(ISERROR(VLOOKUP(AY$134+$F177,$D$135:$D$165,1,FALSE)),0,AX45*$C$2),MAX((IF(Monthly!AU$4=TRUE,Monthly!AU$13,Monthly!AU$14)*(1+'Attrition Modeling'!$N$8)-'IP Attrition'!AX$65)/12*'IP Attrition'!AX112,0)))</f>
        <v>0</v>
      </c>
      <c r="AZ177" s="799">
        <f>IF(EOMONTH(Inputs!$C$8,'IP Attrition'!AZ$134-1)&lt;=Inputs!$C$9,0,MIN(IF(ISERROR(VLOOKUP(AZ$134+$F177,$D$135:$D$165,1,FALSE)),0,AY45*$C$2),MAX((IF(Monthly!AV$4=TRUE,Monthly!AV$13,Monthly!AV$14)*(1+'Attrition Modeling'!$N$8)-'IP Attrition'!AY$65)/12*'IP Attrition'!AY112,0)))</f>
        <v>0</v>
      </c>
      <c r="BA177" s="799">
        <f>IF(EOMONTH(Inputs!$C$8,'IP Attrition'!BA$134-1)&lt;=Inputs!$C$9,0,MIN(IF(ISERROR(VLOOKUP(BA$134+$F177,$D$135:$D$165,1,FALSE)),0,AZ45*$C$2),MAX((IF(Monthly!AW$4=TRUE,Monthly!AW$13,Monthly!AW$14)*(1+'Attrition Modeling'!$N$8)-'IP Attrition'!AZ$65)/12*'IP Attrition'!AZ112,0)))</f>
        <v>0</v>
      </c>
      <c r="BB177" s="799">
        <f>IF(EOMONTH(Inputs!$C$8,'IP Attrition'!BB$134-1)&lt;=Inputs!$C$9,0,MIN(IF(ISERROR(VLOOKUP(BB$134+$F177,$D$135:$D$165,1,FALSE)),0,BA45*$C$2),MAX((IF(Monthly!AX$4=TRUE,Monthly!AX$13,Monthly!AX$14)*(1+'Attrition Modeling'!$N$8)-'IP Attrition'!BA$65)/12*'IP Attrition'!BA112,0)))</f>
        <v>0</v>
      </c>
      <c r="BC177" s="799">
        <f>IF(EOMONTH(Inputs!$C$8,'IP Attrition'!BC$134-1)&lt;=Inputs!$C$9,0,MIN(IF(ISERROR(VLOOKUP(BC$134+$F177,$D$135:$D$165,1,FALSE)),0,BB45*$C$2),MAX((IF(Monthly!AY$4=TRUE,Monthly!AY$13,Monthly!AY$14)*(1+'Attrition Modeling'!$N$8)-'IP Attrition'!BB$65)/12*'IP Attrition'!BB112,0)))</f>
        <v>0</v>
      </c>
      <c r="BD177" s="799">
        <f>IF(EOMONTH(Inputs!$C$8,'IP Attrition'!BD$134-1)&lt;=Inputs!$C$9,0,MIN(IF(ISERROR(VLOOKUP(BD$134+$F177,$D$135:$D$165,1,FALSE)),0,BC45*$C$2),MAX((IF(Monthly!AZ$4=TRUE,Monthly!AZ$13,Monthly!AZ$14)*(1+'Attrition Modeling'!$N$8)-'IP Attrition'!BC$65)/12*'IP Attrition'!BC112,0)))</f>
        <v>0</v>
      </c>
      <c r="BE177" s="799">
        <f>IF(EOMONTH(Inputs!$C$8,'IP Attrition'!BE$134-1)&lt;=Inputs!$C$9,0,MIN(IF(ISERROR(VLOOKUP(BE$134+$F177,$D$135:$D$165,1,FALSE)),0,BD45*$C$2),MAX((IF(Monthly!BA$4=TRUE,Monthly!BA$13,Monthly!BA$14)*(1+'Attrition Modeling'!$N$8)-'IP Attrition'!BD$65)/12*'IP Attrition'!BD112,0)))</f>
        <v>0</v>
      </c>
      <c r="BF177" s="799">
        <f>IF(EOMONTH(Inputs!$C$8,'IP Attrition'!BF$134-1)&lt;=Inputs!$C$9,0,MIN(IF(ISERROR(VLOOKUP(BF$134+$F177,$D$135:$D$165,1,FALSE)),0,BE45*$C$2),MAX((IF(Monthly!BB$4=TRUE,Monthly!BB$13,Monthly!BB$14)*(1+'Attrition Modeling'!$N$8)-'IP Attrition'!BE$65)/12*'IP Attrition'!BE112,0)))</f>
        <v>0</v>
      </c>
      <c r="BG177" s="799">
        <f>IF(EOMONTH(Inputs!$C$8,'IP Attrition'!BG$134-1)&lt;=Inputs!$C$9,0,MIN(IF(ISERROR(VLOOKUP(BG$134+$F177,$D$135:$D$165,1,FALSE)),0,BF45*$C$2),MAX((IF(Monthly!BC$4=TRUE,Monthly!BC$13,Monthly!BC$14)*(1+'Attrition Modeling'!$N$8)-'IP Attrition'!BF$65)/12*'IP Attrition'!BF112,0)))</f>
        <v>0</v>
      </c>
      <c r="BH177" s="799">
        <f>IF(EOMONTH(Inputs!$C$8,'IP Attrition'!BH$134-1)&lt;=Inputs!$C$9,0,MIN(IF(ISERROR(VLOOKUP(BH$134+$F177,$D$135:$D$165,1,FALSE)),0,BG45*$C$2),MAX((IF(Monthly!BD$4=TRUE,Monthly!BD$13,Monthly!BD$14)*(1+'Attrition Modeling'!$N$8)-'IP Attrition'!BG$65)/12*'IP Attrition'!BG112,0)))</f>
        <v>0</v>
      </c>
      <c r="BI177" s="799">
        <f>IF(EOMONTH(Inputs!$C$8,'IP Attrition'!BI$134-1)&lt;=Inputs!$C$9,0,MIN(IF(ISERROR(VLOOKUP(BI$134+$F177,$D$135:$D$165,1,FALSE)),0,BH45*$C$2),MAX((IF(Monthly!BE$4=TRUE,Monthly!BE$13,Monthly!BE$14)*(1+'Attrition Modeling'!$N$8)-'IP Attrition'!BH$65)/12*'IP Attrition'!BH112,0)))</f>
        <v>0</v>
      </c>
      <c r="BJ177" s="799">
        <f>IF(EOMONTH(Inputs!$C$8,'IP Attrition'!BJ$134-1)&lt;=Inputs!$C$9,0,MIN(IF(ISERROR(VLOOKUP(BJ$134+$F177,$D$135:$D$165,1,FALSE)),0,BI45*$C$2),MAX((IF(Monthly!BF$4=TRUE,Monthly!BF$13,Monthly!BF$14)*(1+'Attrition Modeling'!$N$8)-'IP Attrition'!BI$65)/12*'IP Attrition'!BI112,0)))</f>
        <v>0</v>
      </c>
      <c r="BK177" s="799">
        <f>IF(EOMONTH(Inputs!$C$8,'IP Attrition'!BK$134-1)&lt;=Inputs!$C$9,0,MIN(IF(ISERROR(VLOOKUP(BK$134+$F177,$D$135:$D$165,1,FALSE)),0,BJ45*$C$2),MAX((IF(Monthly!BG$4=TRUE,Monthly!BG$13,Monthly!BG$14)*(1+'Attrition Modeling'!$N$8)-'IP Attrition'!BJ$65)/12*'IP Attrition'!BJ112,0)))</f>
        <v>0</v>
      </c>
      <c r="BL177" s="799">
        <f>IF(EOMONTH(Inputs!$C$8,'IP Attrition'!BL$134-1)&lt;=Inputs!$C$9,0,MIN(IF(ISERROR(VLOOKUP(BL$134+$F177,$D$135:$D$165,1,FALSE)),0,BK45*$C$2),MAX((IF(Monthly!BH$4=TRUE,Monthly!BH$13,Monthly!BH$14)*(1+'Attrition Modeling'!$N$8)-'IP Attrition'!BK$65)/12*'IP Attrition'!BK112,0)))</f>
        <v>0</v>
      </c>
      <c r="BM177" s="799">
        <f>IF(EOMONTH(Inputs!$C$8,'IP Attrition'!BM$134-1)&lt;=Inputs!$C$9,0,MIN(IF(ISERROR(VLOOKUP(BM$134+$F177,$D$135:$D$165,1,FALSE)),0,BL45*$C$2),MAX((IF(Monthly!BI$4=TRUE,Monthly!BI$13,Monthly!BI$14)*(1+'Attrition Modeling'!$N$8)-'IP Attrition'!BL$65)/12*'IP Attrition'!BL112,0)))</f>
        <v>0</v>
      </c>
      <c r="BN177" s="799">
        <f>IF(EOMONTH(Inputs!$C$8,'IP Attrition'!BN$134-1)&lt;=Inputs!$C$9,0,MIN(IF(ISERROR(VLOOKUP(BN$134+$F177,$D$135:$D$165,1,FALSE)),0,BM45*$C$2),MAX((IF(Monthly!BJ$4=TRUE,Monthly!BJ$13,Monthly!BJ$14)*(1+'Attrition Modeling'!$N$8)-'IP Attrition'!BM$65)/12*'IP Attrition'!BM112,0)))</f>
        <v>0</v>
      </c>
      <c r="BO177" s="799">
        <f>IF(EOMONTH(Inputs!$C$8,'IP Attrition'!BO$134-1)&lt;=Inputs!$C$9,0,MIN(IF(ISERROR(VLOOKUP(BO$134+$F177,$D$135:$D$165,1,FALSE)),0,BN45*$C$2),MAX((IF(Monthly!BK$4=TRUE,Monthly!BK$13,Monthly!BK$14)*(1+'Attrition Modeling'!$N$8)-'IP Attrition'!BN$65)/12*'IP Attrition'!BN112,0)))</f>
        <v>0</v>
      </c>
      <c r="BP177" s="799">
        <f>IF(EOMONTH(Inputs!$C$8,'IP Attrition'!BP$134-1)&lt;=Inputs!$C$9,0,MIN(IF(ISERROR(VLOOKUP(BP$134+$F177,$D$135:$D$165,1,FALSE)),0,BO45*$C$2),MAX((IF(Monthly!BL$4=TRUE,Monthly!BL$13,Monthly!BL$14)*(1+'Attrition Modeling'!$N$8)-'IP Attrition'!BO$65)/12*'IP Attrition'!BO112,0)))</f>
        <v>0</v>
      </c>
      <c r="BQ177" s="799">
        <f>IF(EOMONTH(Inputs!$C$8,'IP Attrition'!BQ$134-1)&lt;=Inputs!$C$9,0,MIN(IF(ISERROR(VLOOKUP(BQ$134+$F177,$D$135:$D$165,1,FALSE)),0,BP45*$C$2),MAX((IF(Monthly!BM$4=TRUE,Monthly!BM$13,Monthly!BM$14)*(1+'Attrition Modeling'!$N$8)-'IP Attrition'!BP$65)/12*'IP Attrition'!BP112,0)))</f>
        <v>0</v>
      </c>
      <c r="BR177" s="799">
        <f>IF(EOMONTH(Inputs!$C$8,'IP Attrition'!BR$134-1)&lt;=Inputs!$C$9,0,MIN(IF(ISERROR(VLOOKUP(BR$134+$F177,$D$135:$D$165,1,FALSE)),0,BQ45*$C$2),MAX((IF(Monthly!BN$4=TRUE,Monthly!BN$13,Monthly!BN$14)*(1+'Attrition Modeling'!$N$8)-'IP Attrition'!BQ$65)/12*'IP Attrition'!BQ112,0)))</f>
        <v>0</v>
      </c>
      <c r="BS177" s="799">
        <f>IF(EOMONTH(Inputs!$C$8,'IP Attrition'!BS$134-1)&lt;=Inputs!$C$9,0,MIN(IF(ISERROR(VLOOKUP(BS$134+$F177,$D$135:$D$165,1,FALSE)),0,BR45*$C$2),MAX((IF(Monthly!BO$4=TRUE,Monthly!BO$13,Monthly!BO$14)*(1+'Attrition Modeling'!$N$8)-'IP Attrition'!BR$65)/12*'IP Attrition'!BR112,0)))</f>
        <v>0</v>
      </c>
      <c r="BT177" s="799" t="e">
        <f>IF(EOMONTH(Inputs!$C$8,'IP Attrition'!BT$134-1)&lt;=Inputs!$C$9,0,MIN(IF(ISERROR(VLOOKUP(BT$134+$F177,$D$135:$D$165,1,FALSE)),0,BS45*$C$2),MAX((IF(Monthly!#REF!=TRUE,Monthly!#REF!,Monthly!#REF!)*(1+'Attrition Modeling'!$N$8)-'IP Attrition'!BS$65)/12*'IP Attrition'!BS112,0)))</f>
        <v>#REF!</v>
      </c>
      <c r="BU177" s="799" t="e">
        <f>IF(EOMONTH(Inputs!$C$8,'IP Attrition'!BU$134-1)&lt;=Inputs!$C$9,0,MIN(IF(ISERROR(VLOOKUP(BU$134+$F177,$D$135:$D$165,1,FALSE)),0,BT45*$C$2),MAX((IF(Monthly!#REF!=TRUE,Monthly!#REF!,Monthly!#REF!)*(1+'Attrition Modeling'!$N$8)-'IP Attrition'!BT$65)/12*'IP Attrition'!BT112,0)))</f>
        <v>#REF!</v>
      </c>
    </row>
    <row r="178" spans="5:73" ht="14.25" customHeight="1" x14ac:dyDescent="0.2">
      <c r="E178" s="25">
        <f t="shared" si="71"/>
        <v>0</v>
      </c>
      <c r="F178" s="11">
        <f t="shared" si="73"/>
        <v>43</v>
      </c>
      <c r="G178" s="799"/>
      <c r="H178" s="799">
        <f>IF(EOMONTH(Inputs!$C$8,'IP Attrition'!H$134-1)&lt;=Inputs!$C$9,0,MIN(IF(ISERROR(VLOOKUP(H$134+$F178,$D$135:$D$165,1,FALSE)),0,G46*$C$2),MAX((IF(Monthly!D$4=TRUE,Monthly!D$13,Monthly!D$14)*(1+'Attrition Modeling'!$N$8)-'IP Attrition'!G$65)/12*'IP Attrition'!G113,0)))</f>
        <v>0</v>
      </c>
      <c r="I178" s="799">
        <f>IF(EOMONTH(Inputs!$C$8,'IP Attrition'!I$134-1)&lt;=Inputs!$C$9,0,MIN(IF(ISERROR(VLOOKUP(I$134+$F178,$D$135:$D$165,1,FALSE)),0,H46*$C$2),MAX((IF(Monthly!E$4=TRUE,Monthly!E$13,Monthly!E$14)*(1+'Attrition Modeling'!$N$8)-'IP Attrition'!H$65)/12*'IP Attrition'!H113,0)))</f>
        <v>0</v>
      </c>
      <c r="J178" s="799">
        <f>IF(EOMONTH(Inputs!$C$8,'IP Attrition'!J$134-1)&lt;=Inputs!$C$9,0,MIN(IF(ISERROR(VLOOKUP(J$134+$F178,$D$135:$D$165,1,FALSE)),0,I46*$C$2),MAX((IF(Monthly!F$4=TRUE,Monthly!F$13,Monthly!F$14)*(1+'Attrition Modeling'!$N$8)-'IP Attrition'!I$65)/12*'IP Attrition'!I113,0)))</f>
        <v>0</v>
      </c>
      <c r="K178" s="799">
        <f>IF(EOMONTH(Inputs!$C$8,'IP Attrition'!K$134-1)&lt;=Inputs!$C$9,0,MIN(IF(ISERROR(VLOOKUP(K$134+$F178,$D$135:$D$165,1,FALSE)),0,J46*$C$2),MAX((IF(Monthly!G$4=TRUE,Monthly!G$13,Monthly!G$14)*(1+'Attrition Modeling'!$N$8)-'IP Attrition'!J$65)/12*'IP Attrition'!J113,0)))</f>
        <v>0</v>
      </c>
      <c r="L178" s="799">
        <f>IF(EOMONTH(Inputs!$C$8,'IP Attrition'!L$134-1)&lt;=Inputs!$C$9,0,MIN(IF(ISERROR(VLOOKUP(L$134+$F178,$D$135:$D$165,1,FALSE)),0,K46*$C$2),MAX((IF(Monthly!H$4=TRUE,Monthly!H$13,Monthly!H$14)*(1+'Attrition Modeling'!$N$8)-'IP Attrition'!K$65)/12*'IP Attrition'!K113,0)))</f>
        <v>0</v>
      </c>
      <c r="M178" s="799">
        <f>IF(EOMONTH(Inputs!$C$8,'IP Attrition'!M$134-1)&lt;=Inputs!$C$9,0,MIN(IF(ISERROR(VLOOKUP(M$134+$F178,$D$135:$D$165,1,FALSE)),0,L46*$C$2),MAX((IF(Monthly!I$4=TRUE,Monthly!I$13,Monthly!I$14)*(1+'Attrition Modeling'!$N$8)-'IP Attrition'!L$65)/12*'IP Attrition'!L113,0)))</f>
        <v>0</v>
      </c>
      <c r="N178" s="799">
        <f>IF(EOMONTH(Inputs!$C$8,'IP Attrition'!N$134-1)&lt;=Inputs!$C$9,0,MIN(IF(ISERROR(VLOOKUP(N$134+$F178,$D$135:$D$165,1,FALSE)),0,M46*$C$2),MAX((IF(Monthly!J$4=TRUE,Monthly!J$13,Monthly!J$14)*(1+'Attrition Modeling'!$N$8)-'IP Attrition'!M$65)/12*'IP Attrition'!M113,0)))</f>
        <v>0</v>
      </c>
      <c r="O178" s="799">
        <f>IF(EOMONTH(Inputs!$C$8,'IP Attrition'!O$134-1)&lt;=Inputs!$C$9,0,MIN(IF(ISERROR(VLOOKUP(O$134+$F178,$D$135:$D$165,1,FALSE)),0,N46*$C$2),MAX((IF(Monthly!K$4=TRUE,Monthly!K$13,Monthly!K$14)*(1+'Attrition Modeling'!$N$8)-'IP Attrition'!N$65)/12*'IP Attrition'!N113,0)))</f>
        <v>0</v>
      </c>
      <c r="P178" s="799">
        <f>IF(EOMONTH(Inputs!$C$8,'IP Attrition'!P$134-1)&lt;=Inputs!$C$9,0,MIN(IF(ISERROR(VLOOKUP(P$134+$F178,$D$135:$D$165,1,FALSE)),0,O46*$C$2),MAX((IF(Monthly!L$4=TRUE,Monthly!L$13,Monthly!L$14)*(1+'Attrition Modeling'!$N$8)-'IP Attrition'!O$65)/12*'IP Attrition'!O113,0)))</f>
        <v>0</v>
      </c>
      <c r="Q178" s="799">
        <f>IF(EOMONTH(Inputs!$C$8,'IP Attrition'!Q$134-1)&lt;=Inputs!$C$9,0,MIN(IF(ISERROR(VLOOKUP(Q$134+$F178,$D$135:$D$165,1,FALSE)),0,P46*$C$2),MAX((IF(Monthly!M$4=TRUE,Monthly!M$13,Monthly!M$14)*(1+'Attrition Modeling'!$N$8)-'IP Attrition'!P$65)/12*'IP Attrition'!P113,0)))</f>
        <v>0</v>
      </c>
      <c r="R178" s="799">
        <f>IF(EOMONTH(Inputs!$C$8,'IP Attrition'!R$134-1)&lt;=Inputs!$C$9,0,MIN(IF(ISERROR(VLOOKUP(R$134+$F178,$D$135:$D$165,1,FALSE)),0,Q46*$C$2),MAX((IF(Monthly!N$4=TRUE,Monthly!N$13,Monthly!N$14)*(1+'Attrition Modeling'!$N$8)-'IP Attrition'!Q$65)/12*'IP Attrition'!Q113,0)))</f>
        <v>0</v>
      </c>
      <c r="S178" s="799">
        <f>IF(EOMONTH(Inputs!$C$8,'IP Attrition'!S$134-1)&lt;=Inputs!$C$9,0,MIN(IF(ISERROR(VLOOKUP(S$134+$F178,$D$135:$D$165,1,FALSE)),0,R46*$C$2),MAX((IF(Monthly!O$4=TRUE,Monthly!O$13,Monthly!O$14)*(1+'Attrition Modeling'!$N$8)-'IP Attrition'!R$65)/12*'IP Attrition'!R113,0)))</f>
        <v>0</v>
      </c>
      <c r="T178" s="799">
        <f>IF(EOMONTH(Inputs!$C$8,'IP Attrition'!T$134-1)&lt;=Inputs!$C$9,0,MIN(IF(ISERROR(VLOOKUP(T$134+$F178,$D$135:$D$165,1,FALSE)),0,S46*$C$2),MAX((IF(Monthly!P$4=TRUE,Monthly!P$13,Monthly!P$14)*(1+'Attrition Modeling'!$N$8)-'IP Attrition'!S$65)/12*'IP Attrition'!S113,0)))</f>
        <v>0</v>
      </c>
      <c r="U178" s="799">
        <f>IF(EOMONTH(Inputs!$C$8,'IP Attrition'!U$134-1)&lt;=Inputs!$C$9,0,MIN(IF(ISERROR(VLOOKUP(U$134+$F178,$D$135:$D$165,1,FALSE)),0,T46*$C$2),MAX((IF(Monthly!Q$4=TRUE,Monthly!Q$13,Monthly!Q$14)*(1+'Attrition Modeling'!$N$8)-'IP Attrition'!T$65)/12*'IP Attrition'!T113,0)))</f>
        <v>0</v>
      </c>
      <c r="V178" s="799">
        <f>IF(EOMONTH(Inputs!$C$8,'IP Attrition'!V$134-1)&lt;=Inputs!$C$9,0,MIN(IF(ISERROR(VLOOKUP(V$134+$F178,$D$135:$D$165,1,FALSE)),0,U46*$C$2),MAX((IF(Monthly!R$4=TRUE,Monthly!R$13,Monthly!R$14)*(1+'Attrition Modeling'!$N$8)-'IP Attrition'!U$65)/12*'IP Attrition'!U113,0)))</f>
        <v>0</v>
      </c>
      <c r="W178" s="799">
        <f>IF(EOMONTH(Inputs!$C$8,'IP Attrition'!W$134-1)&lt;=Inputs!$C$9,0,MIN(IF(ISERROR(VLOOKUP(W$134+$F178,$D$135:$D$165,1,FALSE)),0,V46*$C$2),MAX((IF(Monthly!S$4=TRUE,Monthly!S$13,Monthly!S$14)*(1+'Attrition Modeling'!$N$8)-'IP Attrition'!V$65)/12*'IP Attrition'!V113,0)))</f>
        <v>0</v>
      </c>
      <c r="X178" s="799">
        <f>IF(EOMONTH(Inputs!$C$8,'IP Attrition'!X$134-1)&lt;=Inputs!$C$9,0,MIN(IF(ISERROR(VLOOKUP(X$134+$F178,$D$135:$D$165,1,FALSE)),0,W46*$C$2),MAX((IF(Monthly!T$4=TRUE,Monthly!T$13,Monthly!T$14)*(1+'Attrition Modeling'!$N$8)-'IP Attrition'!W$65)/12*'IP Attrition'!W113,0)))</f>
        <v>0</v>
      </c>
      <c r="Y178" s="799">
        <f>IF(EOMONTH(Inputs!$C$8,'IP Attrition'!Y$134-1)&lt;=Inputs!$C$9,0,MIN(IF(ISERROR(VLOOKUP(Y$134+$F178,$D$135:$D$165,1,FALSE)),0,X46*$C$2),MAX((IF(Monthly!U$4=TRUE,Monthly!U$13,Monthly!U$14)*(1+'Attrition Modeling'!$N$8)-'IP Attrition'!X$65)/12*'IP Attrition'!X113,0)))</f>
        <v>0</v>
      </c>
      <c r="Z178" s="799">
        <f>IF(EOMONTH(Inputs!$C$8,'IP Attrition'!Z$134-1)&lt;=Inputs!$C$9,0,MIN(IF(ISERROR(VLOOKUP(Z$134+$F178,$D$135:$D$165,1,FALSE)),0,Y46*$C$2),MAX((IF(Monthly!V$4=TRUE,Monthly!V$13,Monthly!V$14)*(1+'Attrition Modeling'!$N$8)-'IP Attrition'!Y$65)/12*'IP Attrition'!Y113,0)))</f>
        <v>0</v>
      </c>
      <c r="AA178" s="799">
        <f>IF(EOMONTH(Inputs!$C$8,'IP Attrition'!AA$134-1)&lt;=Inputs!$C$9,0,MIN(IF(ISERROR(VLOOKUP(AA$134+$F178,$D$135:$D$165,1,FALSE)),0,Z46*$C$2),MAX((IF(Monthly!W$4=TRUE,Monthly!W$13,Monthly!W$14)*(1+'Attrition Modeling'!$N$8)-'IP Attrition'!Z$65)/12*'IP Attrition'!Z113,0)))</f>
        <v>0</v>
      </c>
      <c r="AB178" s="799">
        <f>IF(EOMONTH(Inputs!$C$8,'IP Attrition'!AB$134-1)&lt;=Inputs!$C$9,0,MIN(IF(ISERROR(VLOOKUP(AB$134+$F178,$D$135:$D$165,1,FALSE)),0,AA46*$C$2),MAX((IF(Monthly!X$4=TRUE,Monthly!X$13,Monthly!X$14)*(1+'Attrition Modeling'!$N$8)-'IP Attrition'!AA$65)/12*'IP Attrition'!AA113,0)))</f>
        <v>0</v>
      </c>
      <c r="AC178" s="799">
        <f>IF(EOMONTH(Inputs!$C$8,'IP Attrition'!AC$134-1)&lt;=Inputs!$C$9,0,MIN(IF(ISERROR(VLOOKUP(AC$134+$F178,$D$135:$D$165,1,FALSE)),0,AB46*$C$2),MAX((IF(Monthly!Y$4=TRUE,Monthly!Y$13,Monthly!Y$14)*(1+'Attrition Modeling'!$N$8)-'IP Attrition'!AB$65)/12*'IP Attrition'!AB113,0)))</f>
        <v>0</v>
      </c>
      <c r="AD178" s="799">
        <f>IF(EOMONTH(Inputs!$C$8,'IP Attrition'!AD$134-1)&lt;=Inputs!$C$9,0,MIN(IF(ISERROR(VLOOKUP(AD$134+$F178,$D$135:$D$165,1,FALSE)),0,AC46*$C$2),MAX((IF(Monthly!Z$4=TRUE,Monthly!Z$13,Monthly!Z$14)*(1+'Attrition Modeling'!$N$8)-'IP Attrition'!AC$65)/12*'IP Attrition'!AC113,0)))</f>
        <v>0</v>
      </c>
      <c r="AE178" s="799">
        <f>IF(EOMONTH(Inputs!$C$8,'IP Attrition'!AE$134-1)&lt;=Inputs!$C$9,0,MIN(IF(ISERROR(VLOOKUP(AE$134+$F178,$D$135:$D$165,1,FALSE)),0,AD46*$C$2),MAX((IF(Monthly!AA$4=TRUE,Monthly!AA$13,Monthly!AA$14)*(1+'Attrition Modeling'!$N$8)-'IP Attrition'!AD$65)/12*'IP Attrition'!AD113,0)))</f>
        <v>0</v>
      </c>
      <c r="AF178" s="799">
        <f>IF(EOMONTH(Inputs!$C$8,'IP Attrition'!AF$134-1)&lt;=Inputs!$C$9,0,MIN(IF(ISERROR(VLOOKUP(AF$134+$F178,$D$135:$D$165,1,FALSE)),0,AE46*$C$2),MAX((IF(Monthly!AB$4=TRUE,Monthly!AB$13,Monthly!AB$14)*(1+'Attrition Modeling'!$N$8)-'IP Attrition'!AE$65)/12*'IP Attrition'!AE113,0)))</f>
        <v>0</v>
      </c>
      <c r="AG178" s="799">
        <f>IF(EOMONTH(Inputs!$C$8,'IP Attrition'!AG$134-1)&lt;=Inputs!$C$9,0,MIN(IF(ISERROR(VLOOKUP(AG$134+$F178,$D$135:$D$165,1,FALSE)),0,AF46*$C$2),MAX((IF(Monthly!AC$4=TRUE,Monthly!AC$13,Monthly!AC$14)*(1+'Attrition Modeling'!$N$8)-'IP Attrition'!AF$65)/12*'IP Attrition'!AF113,0)))</f>
        <v>0</v>
      </c>
      <c r="AH178" s="799">
        <f>IF(EOMONTH(Inputs!$C$8,'IP Attrition'!AH$134-1)&lt;=Inputs!$C$9,0,MIN(IF(ISERROR(VLOOKUP(AH$134+$F178,$D$135:$D$165,1,FALSE)),0,AG46*$C$2),MAX((IF(Monthly!AD$4=TRUE,Monthly!AD$13,Monthly!AD$14)*(1+'Attrition Modeling'!$N$8)-'IP Attrition'!AG$65)/12*'IP Attrition'!AG113,0)))</f>
        <v>0</v>
      </c>
      <c r="AI178" s="799">
        <f>IF(EOMONTH(Inputs!$C$8,'IP Attrition'!AI$134-1)&lt;=Inputs!$C$9,0,MIN(IF(ISERROR(VLOOKUP(AI$134+$F178,$D$135:$D$165,1,FALSE)),0,AH46*$C$2),MAX((IF(Monthly!AE$4=TRUE,Monthly!AE$13,Monthly!AE$14)*(1+'Attrition Modeling'!$N$8)-'IP Attrition'!AH$65)/12*'IP Attrition'!AH113,0)))</f>
        <v>0</v>
      </c>
      <c r="AJ178" s="799">
        <f>IF(EOMONTH(Inputs!$C$8,'IP Attrition'!AJ$134-1)&lt;=Inputs!$C$9,0,MIN(IF(ISERROR(VLOOKUP(AJ$134+$F178,$D$135:$D$165,1,FALSE)),0,AI46*$C$2),MAX((IF(Monthly!AF$4=TRUE,Monthly!AF$13,Monthly!AF$14)*(1+'Attrition Modeling'!$N$8)-'IP Attrition'!AI$65)/12*'IP Attrition'!AI113,0)))</f>
        <v>0</v>
      </c>
      <c r="AK178" s="799">
        <f>IF(EOMONTH(Inputs!$C$8,'IP Attrition'!AK$134-1)&lt;=Inputs!$C$9,0,MIN(IF(ISERROR(VLOOKUP(AK$134+$F178,$D$135:$D$165,1,FALSE)),0,AJ46*$C$2),MAX((IF(Monthly!AG$4=TRUE,Monthly!AG$13,Monthly!AG$14)*(1+'Attrition Modeling'!$N$8)-'IP Attrition'!AJ$65)/12*'IP Attrition'!AJ113,0)))</f>
        <v>0</v>
      </c>
      <c r="AL178" s="799">
        <f>IF(EOMONTH(Inputs!$C$8,'IP Attrition'!AL$134-1)&lt;=Inputs!$C$9,0,MIN(IF(ISERROR(VLOOKUP(AL$134+$F178,$D$135:$D$165,1,FALSE)),0,AK46*$C$2),MAX((IF(Monthly!AH$4=TRUE,Monthly!AH$13,Monthly!AH$14)*(1+'Attrition Modeling'!$N$8)-'IP Attrition'!AK$65)/12*'IP Attrition'!AK113,0)))</f>
        <v>0</v>
      </c>
      <c r="AM178" s="799">
        <f>IF(EOMONTH(Inputs!$C$8,'IP Attrition'!AM$134-1)&lt;=Inputs!$C$9,0,MIN(IF(ISERROR(VLOOKUP(AM$134+$F178,$D$135:$D$165,1,FALSE)),0,AL46*$C$2),MAX((IF(Monthly!AI$4=TRUE,Monthly!AI$13,Monthly!AI$14)*(1+'Attrition Modeling'!$N$8)-'IP Attrition'!AL$65)/12*'IP Attrition'!AL113,0)))</f>
        <v>0</v>
      </c>
      <c r="AN178" s="799">
        <f>IF(EOMONTH(Inputs!$C$8,'IP Attrition'!AN$134-1)&lt;=Inputs!$C$9,0,MIN(IF(ISERROR(VLOOKUP(AN$134+$F178,$D$135:$D$165,1,FALSE)),0,AM46*$C$2),MAX((IF(Monthly!AJ$4=TRUE,Monthly!AJ$13,Monthly!AJ$14)*(1+'Attrition Modeling'!$N$8)-'IP Attrition'!AM$65)/12*'IP Attrition'!AM113,0)))</f>
        <v>0</v>
      </c>
      <c r="AO178" s="799">
        <f>IF(EOMONTH(Inputs!$C$8,'IP Attrition'!AO$134-1)&lt;=Inputs!$C$9,0,MIN(IF(ISERROR(VLOOKUP(AO$134+$F178,$D$135:$D$165,1,FALSE)),0,AN46*$C$2),MAX((IF(Monthly!AK$4=TRUE,Monthly!AK$13,Monthly!AK$14)*(1+'Attrition Modeling'!$N$8)-'IP Attrition'!AN$65)/12*'IP Attrition'!AN113,0)))</f>
        <v>0</v>
      </c>
      <c r="AP178" s="799">
        <f>IF(EOMONTH(Inputs!$C$8,'IP Attrition'!AP$134-1)&lt;=Inputs!$C$9,0,MIN(IF(ISERROR(VLOOKUP(AP$134+$F178,$D$135:$D$165,1,FALSE)),0,AO46*$C$2),MAX((IF(Monthly!AL$4=TRUE,Monthly!AL$13,Monthly!AL$14)*(1+'Attrition Modeling'!$N$8)-'IP Attrition'!AO$65)/12*'IP Attrition'!AO113,0)))</f>
        <v>0</v>
      </c>
      <c r="AQ178" s="799">
        <f>IF(EOMONTH(Inputs!$C$8,'IP Attrition'!AQ$134-1)&lt;=Inputs!$C$9,0,MIN(IF(ISERROR(VLOOKUP(AQ$134+$F178,$D$135:$D$165,1,FALSE)),0,AP46*$C$2),MAX((IF(Monthly!AM$4=TRUE,Monthly!AM$13,Monthly!AM$14)*(1+'Attrition Modeling'!$N$8)-'IP Attrition'!AP$65)/12*'IP Attrition'!AP113,0)))</f>
        <v>0</v>
      </c>
      <c r="AR178" s="799">
        <f>IF(EOMONTH(Inputs!$C$8,'IP Attrition'!AR$134-1)&lt;=Inputs!$C$9,0,MIN(IF(ISERROR(VLOOKUP(AR$134+$F178,$D$135:$D$165,1,FALSE)),0,AQ46*$C$2),MAX((IF(Monthly!AN$4=TRUE,Monthly!AN$13,Monthly!AN$14)*(1+'Attrition Modeling'!$N$8)-'IP Attrition'!AQ$65)/12*'IP Attrition'!AQ113,0)))</f>
        <v>0</v>
      </c>
      <c r="AS178" s="799">
        <f>IF(EOMONTH(Inputs!$C$8,'IP Attrition'!AS$134-1)&lt;=Inputs!$C$9,0,MIN(IF(ISERROR(VLOOKUP(AS$134+$F178,$D$135:$D$165,1,FALSE)),0,AR46*$C$2),MAX((IF(Monthly!AO$4=TRUE,Monthly!AO$13,Monthly!AO$14)*(1+'Attrition Modeling'!$N$8)-'IP Attrition'!AR$65)/12*'IP Attrition'!AR113,0)))</f>
        <v>0</v>
      </c>
      <c r="AT178" s="799">
        <f>IF(EOMONTH(Inputs!$C$8,'IP Attrition'!AT$134-1)&lt;=Inputs!$C$9,0,MIN(IF(ISERROR(VLOOKUP(AT$134+$F178,$D$135:$D$165,1,FALSE)),0,AS46*$C$2),MAX((IF(Monthly!AP$4=TRUE,Monthly!AP$13,Monthly!AP$14)*(1+'Attrition Modeling'!$N$8)-'IP Attrition'!AS$65)/12*'IP Attrition'!AS113,0)))</f>
        <v>0</v>
      </c>
      <c r="AU178" s="799">
        <f>IF(EOMONTH(Inputs!$C$8,'IP Attrition'!AU$134-1)&lt;=Inputs!$C$9,0,MIN(IF(ISERROR(VLOOKUP(AU$134+$F178,$D$135:$D$165,1,FALSE)),0,AT46*$C$2),MAX((IF(Monthly!AQ$4=TRUE,Monthly!AQ$13,Monthly!AQ$14)*(1+'Attrition Modeling'!$N$8)-'IP Attrition'!AT$65)/12*'IP Attrition'!AT113,0)))</f>
        <v>0</v>
      </c>
      <c r="AV178" s="799">
        <f>IF(EOMONTH(Inputs!$C$8,'IP Attrition'!AV$134-1)&lt;=Inputs!$C$9,0,MIN(IF(ISERROR(VLOOKUP(AV$134+$F178,$D$135:$D$165,1,FALSE)),0,AU46*$C$2),MAX((IF(Monthly!AR$4=TRUE,Monthly!AR$13,Monthly!AR$14)*(1+'Attrition Modeling'!$N$8)-'IP Attrition'!AU$65)/12*'IP Attrition'!AU113,0)))</f>
        <v>0</v>
      </c>
      <c r="AW178" s="799">
        <f>IF(EOMONTH(Inputs!$C$8,'IP Attrition'!AW$134-1)&lt;=Inputs!$C$9,0,MIN(IF(ISERROR(VLOOKUP(AW$134+$F178,$D$135:$D$165,1,FALSE)),0,AV46*$C$2),MAX((IF(Monthly!AS$4=TRUE,Monthly!AS$13,Monthly!AS$14)*(1+'Attrition Modeling'!$N$8)-'IP Attrition'!AV$65)/12*'IP Attrition'!AV113,0)))</f>
        <v>0</v>
      </c>
      <c r="AX178" s="799">
        <f>IF(EOMONTH(Inputs!$C$8,'IP Attrition'!AX$134-1)&lt;=Inputs!$C$9,0,MIN(IF(ISERROR(VLOOKUP(AX$134+$F178,$D$135:$D$165,1,FALSE)),0,AW46*$C$2),MAX((IF(Monthly!AT$4=TRUE,Monthly!AT$13,Monthly!AT$14)*(1+'Attrition Modeling'!$N$8)-'IP Attrition'!AW$65)/12*'IP Attrition'!AW113,0)))</f>
        <v>0</v>
      </c>
      <c r="AY178" s="799">
        <f>IF(EOMONTH(Inputs!$C$8,'IP Attrition'!AY$134-1)&lt;=Inputs!$C$9,0,MIN(IF(ISERROR(VLOOKUP(AY$134+$F178,$D$135:$D$165,1,FALSE)),0,AX46*$C$2),MAX((IF(Monthly!AU$4=TRUE,Monthly!AU$13,Monthly!AU$14)*(1+'Attrition Modeling'!$N$8)-'IP Attrition'!AX$65)/12*'IP Attrition'!AX113,0)))</f>
        <v>0</v>
      </c>
      <c r="AZ178" s="799">
        <f>IF(EOMONTH(Inputs!$C$8,'IP Attrition'!AZ$134-1)&lt;=Inputs!$C$9,0,MIN(IF(ISERROR(VLOOKUP(AZ$134+$F178,$D$135:$D$165,1,FALSE)),0,AY46*$C$2),MAX((IF(Monthly!AV$4=TRUE,Monthly!AV$13,Monthly!AV$14)*(1+'Attrition Modeling'!$N$8)-'IP Attrition'!AY$65)/12*'IP Attrition'!AY113,0)))</f>
        <v>0</v>
      </c>
      <c r="BA178" s="799">
        <f>IF(EOMONTH(Inputs!$C$8,'IP Attrition'!BA$134-1)&lt;=Inputs!$C$9,0,MIN(IF(ISERROR(VLOOKUP(BA$134+$F178,$D$135:$D$165,1,FALSE)),0,AZ46*$C$2),MAX((IF(Monthly!AW$4=TRUE,Monthly!AW$13,Monthly!AW$14)*(1+'Attrition Modeling'!$N$8)-'IP Attrition'!AZ$65)/12*'IP Attrition'!AZ113,0)))</f>
        <v>0</v>
      </c>
      <c r="BB178" s="799">
        <f>IF(EOMONTH(Inputs!$C$8,'IP Attrition'!BB$134-1)&lt;=Inputs!$C$9,0,MIN(IF(ISERROR(VLOOKUP(BB$134+$F178,$D$135:$D$165,1,FALSE)),0,BA46*$C$2),MAX((IF(Monthly!AX$4=TRUE,Monthly!AX$13,Monthly!AX$14)*(1+'Attrition Modeling'!$N$8)-'IP Attrition'!BA$65)/12*'IP Attrition'!BA113,0)))</f>
        <v>0</v>
      </c>
      <c r="BC178" s="799">
        <f>IF(EOMONTH(Inputs!$C$8,'IP Attrition'!BC$134-1)&lt;=Inputs!$C$9,0,MIN(IF(ISERROR(VLOOKUP(BC$134+$F178,$D$135:$D$165,1,FALSE)),0,BB46*$C$2),MAX((IF(Monthly!AY$4=TRUE,Monthly!AY$13,Monthly!AY$14)*(1+'Attrition Modeling'!$N$8)-'IP Attrition'!BB$65)/12*'IP Attrition'!BB113,0)))</f>
        <v>0</v>
      </c>
      <c r="BD178" s="799">
        <f>IF(EOMONTH(Inputs!$C$8,'IP Attrition'!BD$134-1)&lt;=Inputs!$C$9,0,MIN(IF(ISERROR(VLOOKUP(BD$134+$F178,$D$135:$D$165,1,FALSE)),0,BC46*$C$2),MAX((IF(Monthly!AZ$4=TRUE,Monthly!AZ$13,Monthly!AZ$14)*(1+'Attrition Modeling'!$N$8)-'IP Attrition'!BC$65)/12*'IP Attrition'!BC113,0)))</f>
        <v>0</v>
      </c>
      <c r="BE178" s="799">
        <f>IF(EOMONTH(Inputs!$C$8,'IP Attrition'!BE$134-1)&lt;=Inputs!$C$9,0,MIN(IF(ISERROR(VLOOKUP(BE$134+$F178,$D$135:$D$165,1,FALSE)),0,BD46*$C$2),MAX((IF(Monthly!BA$4=TRUE,Monthly!BA$13,Monthly!BA$14)*(1+'Attrition Modeling'!$N$8)-'IP Attrition'!BD$65)/12*'IP Attrition'!BD113,0)))</f>
        <v>0</v>
      </c>
      <c r="BF178" s="799">
        <f>IF(EOMONTH(Inputs!$C$8,'IP Attrition'!BF$134-1)&lt;=Inputs!$C$9,0,MIN(IF(ISERROR(VLOOKUP(BF$134+$F178,$D$135:$D$165,1,FALSE)),0,BE46*$C$2),MAX((IF(Monthly!BB$4=TRUE,Monthly!BB$13,Monthly!BB$14)*(1+'Attrition Modeling'!$N$8)-'IP Attrition'!BE$65)/12*'IP Attrition'!BE113,0)))</f>
        <v>0</v>
      </c>
      <c r="BG178" s="799">
        <f>IF(EOMONTH(Inputs!$C$8,'IP Attrition'!BG$134-1)&lt;=Inputs!$C$9,0,MIN(IF(ISERROR(VLOOKUP(BG$134+$F178,$D$135:$D$165,1,FALSE)),0,BF46*$C$2),MAX((IF(Monthly!BC$4=TRUE,Monthly!BC$13,Monthly!BC$14)*(1+'Attrition Modeling'!$N$8)-'IP Attrition'!BF$65)/12*'IP Attrition'!BF113,0)))</f>
        <v>0</v>
      </c>
      <c r="BH178" s="799">
        <f>IF(EOMONTH(Inputs!$C$8,'IP Attrition'!BH$134-1)&lt;=Inputs!$C$9,0,MIN(IF(ISERROR(VLOOKUP(BH$134+$F178,$D$135:$D$165,1,FALSE)),0,BG46*$C$2),MAX((IF(Monthly!BD$4=TRUE,Monthly!BD$13,Monthly!BD$14)*(1+'Attrition Modeling'!$N$8)-'IP Attrition'!BG$65)/12*'IP Attrition'!BG113,0)))</f>
        <v>0</v>
      </c>
      <c r="BI178" s="799">
        <f>IF(EOMONTH(Inputs!$C$8,'IP Attrition'!BI$134-1)&lt;=Inputs!$C$9,0,MIN(IF(ISERROR(VLOOKUP(BI$134+$F178,$D$135:$D$165,1,FALSE)),0,BH46*$C$2),MAX((IF(Monthly!BE$4=TRUE,Monthly!BE$13,Monthly!BE$14)*(1+'Attrition Modeling'!$N$8)-'IP Attrition'!BH$65)/12*'IP Attrition'!BH113,0)))</f>
        <v>0</v>
      </c>
      <c r="BJ178" s="799">
        <f>IF(EOMONTH(Inputs!$C$8,'IP Attrition'!BJ$134-1)&lt;=Inputs!$C$9,0,MIN(IF(ISERROR(VLOOKUP(BJ$134+$F178,$D$135:$D$165,1,FALSE)),0,BI46*$C$2),MAX((IF(Monthly!BF$4=TRUE,Monthly!BF$13,Monthly!BF$14)*(1+'Attrition Modeling'!$N$8)-'IP Attrition'!BI$65)/12*'IP Attrition'!BI113,0)))</f>
        <v>0</v>
      </c>
      <c r="BK178" s="799">
        <f>IF(EOMONTH(Inputs!$C$8,'IP Attrition'!BK$134-1)&lt;=Inputs!$C$9,0,MIN(IF(ISERROR(VLOOKUP(BK$134+$F178,$D$135:$D$165,1,FALSE)),0,BJ46*$C$2),MAX((IF(Monthly!BG$4=TRUE,Monthly!BG$13,Monthly!BG$14)*(1+'Attrition Modeling'!$N$8)-'IP Attrition'!BJ$65)/12*'IP Attrition'!BJ113,0)))</f>
        <v>0</v>
      </c>
      <c r="BL178" s="799">
        <f>IF(EOMONTH(Inputs!$C$8,'IP Attrition'!BL$134-1)&lt;=Inputs!$C$9,0,MIN(IF(ISERROR(VLOOKUP(BL$134+$F178,$D$135:$D$165,1,FALSE)),0,BK46*$C$2),MAX((IF(Monthly!BH$4=TRUE,Monthly!BH$13,Monthly!BH$14)*(1+'Attrition Modeling'!$N$8)-'IP Attrition'!BK$65)/12*'IP Attrition'!BK113,0)))</f>
        <v>0</v>
      </c>
      <c r="BM178" s="799">
        <f>IF(EOMONTH(Inputs!$C$8,'IP Attrition'!BM$134-1)&lt;=Inputs!$C$9,0,MIN(IF(ISERROR(VLOOKUP(BM$134+$F178,$D$135:$D$165,1,FALSE)),0,BL46*$C$2),MAX((IF(Monthly!BI$4=TRUE,Monthly!BI$13,Monthly!BI$14)*(1+'Attrition Modeling'!$N$8)-'IP Attrition'!BL$65)/12*'IP Attrition'!BL113,0)))</f>
        <v>0</v>
      </c>
      <c r="BN178" s="799">
        <f>IF(EOMONTH(Inputs!$C$8,'IP Attrition'!BN$134-1)&lt;=Inputs!$C$9,0,MIN(IF(ISERROR(VLOOKUP(BN$134+$F178,$D$135:$D$165,1,FALSE)),0,BM46*$C$2),MAX((IF(Monthly!BJ$4=TRUE,Monthly!BJ$13,Monthly!BJ$14)*(1+'Attrition Modeling'!$N$8)-'IP Attrition'!BM$65)/12*'IP Attrition'!BM113,0)))</f>
        <v>0</v>
      </c>
      <c r="BO178" s="799">
        <f>IF(EOMONTH(Inputs!$C$8,'IP Attrition'!BO$134-1)&lt;=Inputs!$C$9,0,MIN(IF(ISERROR(VLOOKUP(BO$134+$F178,$D$135:$D$165,1,FALSE)),0,BN46*$C$2),MAX((IF(Monthly!BK$4=TRUE,Monthly!BK$13,Monthly!BK$14)*(1+'Attrition Modeling'!$N$8)-'IP Attrition'!BN$65)/12*'IP Attrition'!BN113,0)))</f>
        <v>0</v>
      </c>
      <c r="BP178" s="799">
        <f>IF(EOMONTH(Inputs!$C$8,'IP Attrition'!BP$134-1)&lt;=Inputs!$C$9,0,MIN(IF(ISERROR(VLOOKUP(BP$134+$F178,$D$135:$D$165,1,FALSE)),0,BO46*$C$2),MAX((IF(Monthly!BL$4=TRUE,Monthly!BL$13,Monthly!BL$14)*(1+'Attrition Modeling'!$N$8)-'IP Attrition'!BO$65)/12*'IP Attrition'!BO113,0)))</f>
        <v>0</v>
      </c>
      <c r="BQ178" s="799">
        <f>IF(EOMONTH(Inputs!$C$8,'IP Attrition'!BQ$134-1)&lt;=Inputs!$C$9,0,MIN(IF(ISERROR(VLOOKUP(BQ$134+$F178,$D$135:$D$165,1,FALSE)),0,BP46*$C$2),MAX((IF(Monthly!BM$4=TRUE,Monthly!BM$13,Monthly!BM$14)*(1+'Attrition Modeling'!$N$8)-'IP Attrition'!BP$65)/12*'IP Attrition'!BP113,0)))</f>
        <v>0</v>
      </c>
      <c r="BR178" s="799">
        <f>IF(EOMONTH(Inputs!$C$8,'IP Attrition'!BR$134-1)&lt;=Inputs!$C$9,0,MIN(IF(ISERROR(VLOOKUP(BR$134+$F178,$D$135:$D$165,1,FALSE)),0,BQ46*$C$2),MAX((IF(Monthly!BN$4=TRUE,Monthly!BN$13,Monthly!BN$14)*(1+'Attrition Modeling'!$N$8)-'IP Attrition'!BQ$65)/12*'IP Attrition'!BQ113,0)))</f>
        <v>0</v>
      </c>
      <c r="BS178" s="799">
        <f>IF(EOMONTH(Inputs!$C$8,'IP Attrition'!BS$134-1)&lt;=Inputs!$C$9,0,MIN(IF(ISERROR(VLOOKUP(BS$134+$F178,$D$135:$D$165,1,FALSE)),0,BR46*$C$2),MAX((IF(Monthly!BO$4=TRUE,Monthly!BO$13,Monthly!BO$14)*(1+'Attrition Modeling'!$N$8)-'IP Attrition'!BR$65)/12*'IP Attrition'!BR113,0)))</f>
        <v>0</v>
      </c>
      <c r="BT178" s="799" t="e">
        <f>IF(EOMONTH(Inputs!$C$8,'IP Attrition'!BT$134-1)&lt;=Inputs!$C$9,0,MIN(IF(ISERROR(VLOOKUP(BT$134+$F178,$D$135:$D$165,1,FALSE)),0,BS46*$C$2),MAX((IF(Monthly!#REF!=TRUE,Monthly!#REF!,Monthly!#REF!)*(1+'Attrition Modeling'!$N$8)-'IP Attrition'!BS$65)/12*'IP Attrition'!BS113,0)))</f>
        <v>#REF!</v>
      </c>
      <c r="BU178" s="799" t="e">
        <f>IF(EOMONTH(Inputs!$C$8,'IP Attrition'!BU$134-1)&lt;=Inputs!$C$9,0,MIN(IF(ISERROR(VLOOKUP(BU$134+$F178,$D$135:$D$165,1,FALSE)),0,BT46*$C$2),MAX((IF(Monthly!#REF!=TRUE,Monthly!#REF!,Monthly!#REF!)*(1+'Attrition Modeling'!$N$8)-'IP Attrition'!BT$65)/12*'IP Attrition'!BT113,0)))</f>
        <v>#REF!</v>
      </c>
    </row>
    <row r="179" spans="5:73" ht="14.25" customHeight="1" x14ac:dyDescent="0.2">
      <c r="E179" s="25">
        <f t="shared" si="71"/>
        <v>0</v>
      </c>
      <c r="F179" s="11">
        <f t="shared" si="73"/>
        <v>44</v>
      </c>
      <c r="G179" s="799"/>
      <c r="H179" s="799">
        <f>IF(EOMONTH(Inputs!$C$8,'IP Attrition'!H$134-1)&lt;=Inputs!$C$9,0,MIN(IF(ISERROR(VLOOKUP(H$134+$F179,$D$135:$D$165,1,FALSE)),0,G47*$C$2),MAX((IF(Monthly!D$4=TRUE,Monthly!D$13,Monthly!D$14)*(1+'Attrition Modeling'!$N$8)-'IP Attrition'!G$65)/12*'IP Attrition'!G114,0)))</f>
        <v>0</v>
      </c>
      <c r="I179" s="799">
        <f>IF(EOMONTH(Inputs!$C$8,'IP Attrition'!I$134-1)&lt;=Inputs!$C$9,0,MIN(IF(ISERROR(VLOOKUP(I$134+$F179,$D$135:$D$165,1,FALSE)),0,H47*$C$2),MAX((IF(Monthly!E$4=TRUE,Monthly!E$13,Monthly!E$14)*(1+'Attrition Modeling'!$N$8)-'IP Attrition'!H$65)/12*'IP Attrition'!H114,0)))</f>
        <v>0</v>
      </c>
      <c r="J179" s="799">
        <f>IF(EOMONTH(Inputs!$C$8,'IP Attrition'!J$134-1)&lt;=Inputs!$C$9,0,MIN(IF(ISERROR(VLOOKUP(J$134+$F179,$D$135:$D$165,1,FALSE)),0,I47*$C$2),MAX((IF(Monthly!F$4=TRUE,Monthly!F$13,Monthly!F$14)*(1+'Attrition Modeling'!$N$8)-'IP Attrition'!I$65)/12*'IP Attrition'!I114,0)))</f>
        <v>0</v>
      </c>
      <c r="K179" s="799">
        <f>IF(EOMONTH(Inputs!$C$8,'IP Attrition'!K$134-1)&lt;=Inputs!$C$9,0,MIN(IF(ISERROR(VLOOKUP(K$134+$F179,$D$135:$D$165,1,FALSE)),0,J47*$C$2),MAX((IF(Monthly!G$4=TRUE,Monthly!G$13,Monthly!G$14)*(1+'Attrition Modeling'!$N$8)-'IP Attrition'!J$65)/12*'IP Attrition'!J114,0)))</f>
        <v>0</v>
      </c>
      <c r="L179" s="799">
        <f>IF(EOMONTH(Inputs!$C$8,'IP Attrition'!L$134-1)&lt;=Inputs!$C$9,0,MIN(IF(ISERROR(VLOOKUP(L$134+$F179,$D$135:$D$165,1,FALSE)),0,K47*$C$2),MAX((IF(Monthly!H$4=TRUE,Monthly!H$13,Monthly!H$14)*(1+'Attrition Modeling'!$N$8)-'IP Attrition'!K$65)/12*'IP Attrition'!K114,0)))</f>
        <v>0</v>
      </c>
      <c r="M179" s="799">
        <f>IF(EOMONTH(Inputs!$C$8,'IP Attrition'!M$134-1)&lt;=Inputs!$C$9,0,MIN(IF(ISERROR(VLOOKUP(M$134+$F179,$D$135:$D$165,1,FALSE)),0,L47*$C$2),MAX((IF(Monthly!I$4=TRUE,Monthly!I$13,Monthly!I$14)*(1+'Attrition Modeling'!$N$8)-'IP Attrition'!L$65)/12*'IP Attrition'!L114,0)))</f>
        <v>0</v>
      </c>
      <c r="N179" s="799">
        <f>IF(EOMONTH(Inputs!$C$8,'IP Attrition'!N$134-1)&lt;=Inputs!$C$9,0,MIN(IF(ISERROR(VLOOKUP(N$134+$F179,$D$135:$D$165,1,FALSE)),0,M47*$C$2),MAX((IF(Monthly!J$4=TRUE,Monthly!J$13,Monthly!J$14)*(1+'Attrition Modeling'!$N$8)-'IP Attrition'!M$65)/12*'IP Attrition'!M114,0)))</f>
        <v>0</v>
      </c>
      <c r="O179" s="799">
        <f>IF(EOMONTH(Inputs!$C$8,'IP Attrition'!O$134-1)&lt;=Inputs!$C$9,0,MIN(IF(ISERROR(VLOOKUP(O$134+$F179,$D$135:$D$165,1,FALSE)),0,N47*$C$2),MAX((IF(Monthly!K$4=TRUE,Monthly!K$13,Monthly!K$14)*(1+'Attrition Modeling'!$N$8)-'IP Attrition'!N$65)/12*'IP Attrition'!N114,0)))</f>
        <v>0</v>
      </c>
      <c r="P179" s="799">
        <f>IF(EOMONTH(Inputs!$C$8,'IP Attrition'!P$134-1)&lt;=Inputs!$C$9,0,MIN(IF(ISERROR(VLOOKUP(P$134+$F179,$D$135:$D$165,1,FALSE)),0,O47*$C$2),MAX((IF(Monthly!L$4=TRUE,Monthly!L$13,Monthly!L$14)*(1+'Attrition Modeling'!$N$8)-'IP Attrition'!O$65)/12*'IP Attrition'!O114,0)))</f>
        <v>0</v>
      </c>
      <c r="Q179" s="799">
        <f>IF(EOMONTH(Inputs!$C$8,'IP Attrition'!Q$134-1)&lt;=Inputs!$C$9,0,MIN(IF(ISERROR(VLOOKUP(Q$134+$F179,$D$135:$D$165,1,FALSE)),0,P47*$C$2),MAX((IF(Monthly!M$4=TRUE,Monthly!M$13,Monthly!M$14)*(1+'Attrition Modeling'!$N$8)-'IP Attrition'!P$65)/12*'IP Attrition'!P114,0)))</f>
        <v>0</v>
      </c>
      <c r="R179" s="799">
        <f>IF(EOMONTH(Inputs!$C$8,'IP Attrition'!R$134-1)&lt;=Inputs!$C$9,0,MIN(IF(ISERROR(VLOOKUP(R$134+$F179,$D$135:$D$165,1,FALSE)),0,Q47*$C$2),MAX((IF(Monthly!N$4=TRUE,Monthly!N$13,Monthly!N$14)*(1+'Attrition Modeling'!$N$8)-'IP Attrition'!Q$65)/12*'IP Attrition'!Q114,0)))</f>
        <v>0</v>
      </c>
      <c r="S179" s="799">
        <f>IF(EOMONTH(Inputs!$C$8,'IP Attrition'!S$134-1)&lt;=Inputs!$C$9,0,MIN(IF(ISERROR(VLOOKUP(S$134+$F179,$D$135:$D$165,1,FALSE)),0,R47*$C$2),MAX((IF(Monthly!O$4=TRUE,Monthly!O$13,Monthly!O$14)*(1+'Attrition Modeling'!$N$8)-'IP Attrition'!R$65)/12*'IP Attrition'!R114,0)))</f>
        <v>0</v>
      </c>
      <c r="T179" s="799">
        <f>IF(EOMONTH(Inputs!$C$8,'IP Attrition'!T$134-1)&lt;=Inputs!$C$9,0,MIN(IF(ISERROR(VLOOKUP(T$134+$F179,$D$135:$D$165,1,FALSE)),0,S47*$C$2),MAX((IF(Monthly!P$4=TRUE,Monthly!P$13,Monthly!P$14)*(1+'Attrition Modeling'!$N$8)-'IP Attrition'!S$65)/12*'IP Attrition'!S114,0)))</f>
        <v>0</v>
      </c>
      <c r="U179" s="799">
        <f>IF(EOMONTH(Inputs!$C$8,'IP Attrition'!U$134-1)&lt;=Inputs!$C$9,0,MIN(IF(ISERROR(VLOOKUP(U$134+$F179,$D$135:$D$165,1,FALSE)),0,T47*$C$2),MAX((IF(Monthly!Q$4=TRUE,Monthly!Q$13,Monthly!Q$14)*(1+'Attrition Modeling'!$N$8)-'IP Attrition'!T$65)/12*'IP Attrition'!T114,0)))</f>
        <v>0</v>
      </c>
      <c r="V179" s="799">
        <f>IF(EOMONTH(Inputs!$C$8,'IP Attrition'!V$134-1)&lt;=Inputs!$C$9,0,MIN(IF(ISERROR(VLOOKUP(V$134+$F179,$D$135:$D$165,1,FALSE)),0,U47*$C$2),MAX((IF(Monthly!R$4=TRUE,Monthly!R$13,Monthly!R$14)*(1+'Attrition Modeling'!$N$8)-'IP Attrition'!U$65)/12*'IP Attrition'!U114,0)))</f>
        <v>0</v>
      </c>
      <c r="W179" s="799">
        <f>IF(EOMONTH(Inputs!$C$8,'IP Attrition'!W$134-1)&lt;=Inputs!$C$9,0,MIN(IF(ISERROR(VLOOKUP(W$134+$F179,$D$135:$D$165,1,FALSE)),0,V47*$C$2),MAX((IF(Monthly!S$4=TRUE,Monthly!S$13,Monthly!S$14)*(1+'Attrition Modeling'!$N$8)-'IP Attrition'!V$65)/12*'IP Attrition'!V114,0)))</f>
        <v>0</v>
      </c>
      <c r="X179" s="799">
        <f>IF(EOMONTH(Inputs!$C$8,'IP Attrition'!X$134-1)&lt;=Inputs!$C$9,0,MIN(IF(ISERROR(VLOOKUP(X$134+$F179,$D$135:$D$165,1,FALSE)),0,W47*$C$2),MAX((IF(Monthly!T$4=TRUE,Monthly!T$13,Monthly!T$14)*(1+'Attrition Modeling'!$N$8)-'IP Attrition'!W$65)/12*'IP Attrition'!W114,0)))</f>
        <v>0</v>
      </c>
      <c r="Y179" s="799">
        <f>IF(EOMONTH(Inputs!$C$8,'IP Attrition'!Y$134-1)&lt;=Inputs!$C$9,0,MIN(IF(ISERROR(VLOOKUP(Y$134+$F179,$D$135:$D$165,1,FALSE)),0,X47*$C$2),MAX((IF(Monthly!U$4=TRUE,Monthly!U$13,Monthly!U$14)*(1+'Attrition Modeling'!$N$8)-'IP Attrition'!X$65)/12*'IP Attrition'!X114,0)))</f>
        <v>0</v>
      </c>
      <c r="Z179" s="799">
        <f>IF(EOMONTH(Inputs!$C$8,'IP Attrition'!Z$134-1)&lt;=Inputs!$C$9,0,MIN(IF(ISERROR(VLOOKUP(Z$134+$F179,$D$135:$D$165,1,FALSE)),0,Y47*$C$2),MAX((IF(Monthly!V$4=TRUE,Monthly!V$13,Monthly!V$14)*(1+'Attrition Modeling'!$N$8)-'IP Attrition'!Y$65)/12*'IP Attrition'!Y114,0)))</f>
        <v>0</v>
      </c>
      <c r="AA179" s="799">
        <f>IF(EOMONTH(Inputs!$C$8,'IP Attrition'!AA$134-1)&lt;=Inputs!$C$9,0,MIN(IF(ISERROR(VLOOKUP(AA$134+$F179,$D$135:$D$165,1,FALSE)),0,Z47*$C$2),MAX((IF(Monthly!W$4=TRUE,Monthly!W$13,Monthly!W$14)*(1+'Attrition Modeling'!$N$8)-'IP Attrition'!Z$65)/12*'IP Attrition'!Z114,0)))</f>
        <v>0</v>
      </c>
      <c r="AB179" s="799">
        <f>IF(EOMONTH(Inputs!$C$8,'IP Attrition'!AB$134-1)&lt;=Inputs!$C$9,0,MIN(IF(ISERROR(VLOOKUP(AB$134+$F179,$D$135:$D$165,1,FALSE)),0,AA47*$C$2),MAX((IF(Monthly!X$4=TRUE,Monthly!X$13,Monthly!X$14)*(1+'Attrition Modeling'!$N$8)-'IP Attrition'!AA$65)/12*'IP Attrition'!AA114,0)))</f>
        <v>0</v>
      </c>
      <c r="AC179" s="799">
        <f>IF(EOMONTH(Inputs!$C$8,'IP Attrition'!AC$134-1)&lt;=Inputs!$C$9,0,MIN(IF(ISERROR(VLOOKUP(AC$134+$F179,$D$135:$D$165,1,FALSE)),0,AB47*$C$2),MAX((IF(Monthly!Y$4=TRUE,Monthly!Y$13,Monthly!Y$14)*(1+'Attrition Modeling'!$N$8)-'IP Attrition'!AB$65)/12*'IP Attrition'!AB114,0)))</f>
        <v>0</v>
      </c>
      <c r="AD179" s="799">
        <f>IF(EOMONTH(Inputs!$C$8,'IP Attrition'!AD$134-1)&lt;=Inputs!$C$9,0,MIN(IF(ISERROR(VLOOKUP(AD$134+$F179,$D$135:$D$165,1,FALSE)),0,AC47*$C$2),MAX((IF(Monthly!Z$4=TRUE,Monthly!Z$13,Monthly!Z$14)*(1+'Attrition Modeling'!$N$8)-'IP Attrition'!AC$65)/12*'IP Attrition'!AC114,0)))</f>
        <v>0</v>
      </c>
      <c r="AE179" s="799">
        <f>IF(EOMONTH(Inputs!$C$8,'IP Attrition'!AE$134-1)&lt;=Inputs!$C$9,0,MIN(IF(ISERROR(VLOOKUP(AE$134+$F179,$D$135:$D$165,1,FALSE)),0,AD47*$C$2),MAX((IF(Monthly!AA$4=TRUE,Monthly!AA$13,Monthly!AA$14)*(1+'Attrition Modeling'!$N$8)-'IP Attrition'!AD$65)/12*'IP Attrition'!AD114,0)))</f>
        <v>0</v>
      </c>
      <c r="AF179" s="799">
        <f>IF(EOMONTH(Inputs!$C$8,'IP Attrition'!AF$134-1)&lt;=Inputs!$C$9,0,MIN(IF(ISERROR(VLOOKUP(AF$134+$F179,$D$135:$D$165,1,FALSE)),0,AE47*$C$2),MAX((IF(Monthly!AB$4=TRUE,Monthly!AB$13,Monthly!AB$14)*(1+'Attrition Modeling'!$N$8)-'IP Attrition'!AE$65)/12*'IP Attrition'!AE114,0)))</f>
        <v>0</v>
      </c>
      <c r="AG179" s="799">
        <f>IF(EOMONTH(Inputs!$C$8,'IP Attrition'!AG$134-1)&lt;=Inputs!$C$9,0,MIN(IF(ISERROR(VLOOKUP(AG$134+$F179,$D$135:$D$165,1,FALSE)),0,AF47*$C$2),MAX((IF(Monthly!AC$4=TRUE,Monthly!AC$13,Monthly!AC$14)*(1+'Attrition Modeling'!$N$8)-'IP Attrition'!AF$65)/12*'IP Attrition'!AF114,0)))</f>
        <v>0</v>
      </c>
      <c r="AH179" s="799">
        <f>IF(EOMONTH(Inputs!$C$8,'IP Attrition'!AH$134-1)&lt;=Inputs!$C$9,0,MIN(IF(ISERROR(VLOOKUP(AH$134+$F179,$D$135:$D$165,1,FALSE)),0,AG47*$C$2),MAX((IF(Monthly!AD$4=TRUE,Monthly!AD$13,Monthly!AD$14)*(1+'Attrition Modeling'!$N$8)-'IP Attrition'!AG$65)/12*'IP Attrition'!AG114,0)))</f>
        <v>0</v>
      </c>
      <c r="AI179" s="799">
        <f>IF(EOMONTH(Inputs!$C$8,'IP Attrition'!AI$134-1)&lt;=Inputs!$C$9,0,MIN(IF(ISERROR(VLOOKUP(AI$134+$F179,$D$135:$D$165,1,FALSE)),0,AH47*$C$2),MAX((IF(Monthly!AE$4=TRUE,Monthly!AE$13,Monthly!AE$14)*(1+'Attrition Modeling'!$N$8)-'IP Attrition'!AH$65)/12*'IP Attrition'!AH114,0)))</f>
        <v>0</v>
      </c>
      <c r="AJ179" s="799">
        <f>IF(EOMONTH(Inputs!$C$8,'IP Attrition'!AJ$134-1)&lt;=Inputs!$C$9,0,MIN(IF(ISERROR(VLOOKUP(AJ$134+$F179,$D$135:$D$165,1,FALSE)),0,AI47*$C$2),MAX((IF(Monthly!AF$4=TRUE,Monthly!AF$13,Monthly!AF$14)*(1+'Attrition Modeling'!$N$8)-'IP Attrition'!AI$65)/12*'IP Attrition'!AI114,0)))</f>
        <v>0</v>
      </c>
      <c r="AK179" s="799">
        <f>IF(EOMONTH(Inputs!$C$8,'IP Attrition'!AK$134-1)&lt;=Inputs!$C$9,0,MIN(IF(ISERROR(VLOOKUP(AK$134+$F179,$D$135:$D$165,1,FALSE)),0,AJ47*$C$2),MAX((IF(Monthly!AG$4=TRUE,Monthly!AG$13,Monthly!AG$14)*(1+'Attrition Modeling'!$N$8)-'IP Attrition'!AJ$65)/12*'IP Attrition'!AJ114,0)))</f>
        <v>0</v>
      </c>
      <c r="AL179" s="799">
        <f>IF(EOMONTH(Inputs!$C$8,'IP Attrition'!AL$134-1)&lt;=Inputs!$C$9,0,MIN(IF(ISERROR(VLOOKUP(AL$134+$F179,$D$135:$D$165,1,FALSE)),0,AK47*$C$2),MAX((IF(Monthly!AH$4=TRUE,Monthly!AH$13,Monthly!AH$14)*(1+'Attrition Modeling'!$N$8)-'IP Attrition'!AK$65)/12*'IP Attrition'!AK114,0)))</f>
        <v>0</v>
      </c>
      <c r="AM179" s="799">
        <f>IF(EOMONTH(Inputs!$C$8,'IP Attrition'!AM$134-1)&lt;=Inputs!$C$9,0,MIN(IF(ISERROR(VLOOKUP(AM$134+$F179,$D$135:$D$165,1,FALSE)),0,AL47*$C$2),MAX((IF(Monthly!AI$4=TRUE,Monthly!AI$13,Monthly!AI$14)*(1+'Attrition Modeling'!$N$8)-'IP Attrition'!AL$65)/12*'IP Attrition'!AL114,0)))</f>
        <v>0</v>
      </c>
      <c r="AN179" s="799">
        <f>IF(EOMONTH(Inputs!$C$8,'IP Attrition'!AN$134-1)&lt;=Inputs!$C$9,0,MIN(IF(ISERROR(VLOOKUP(AN$134+$F179,$D$135:$D$165,1,FALSE)),0,AM47*$C$2),MAX((IF(Monthly!AJ$4=TRUE,Monthly!AJ$13,Monthly!AJ$14)*(1+'Attrition Modeling'!$N$8)-'IP Attrition'!AM$65)/12*'IP Attrition'!AM114,0)))</f>
        <v>0</v>
      </c>
      <c r="AO179" s="799">
        <f>IF(EOMONTH(Inputs!$C$8,'IP Attrition'!AO$134-1)&lt;=Inputs!$C$9,0,MIN(IF(ISERROR(VLOOKUP(AO$134+$F179,$D$135:$D$165,1,FALSE)),0,AN47*$C$2),MAX((IF(Monthly!AK$4=TRUE,Monthly!AK$13,Monthly!AK$14)*(1+'Attrition Modeling'!$N$8)-'IP Attrition'!AN$65)/12*'IP Attrition'!AN114,0)))</f>
        <v>0</v>
      </c>
      <c r="AP179" s="799">
        <f>IF(EOMONTH(Inputs!$C$8,'IP Attrition'!AP$134-1)&lt;=Inputs!$C$9,0,MIN(IF(ISERROR(VLOOKUP(AP$134+$F179,$D$135:$D$165,1,FALSE)),0,AO47*$C$2),MAX((IF(Monthly!AL$4=TRUE,Monthly!AL$13,Monthly!AL$14)*(1+'Attrition Modeling'!$N$8)-'IP Attrition'!AO$65)/12*'IP Attrition'!AO114,0)))</f>
        <v>0</v>
      </c>
      <c r="AQ179" s="799">
        <f>IF(EOMONTH(Inputs!$C$8,'IP Attrition'!AQ$134-1)&lt;=Inputs!$C$9,0,MIN(IF(ISERROR(VLOOKUP(AQ$134+$F179,$D$135:$D$165,1,FALSE)),0,AP47*$C$2),MAX((IF(Monthly!AM$4=TRUE,Monthly!AM$13,Monthly!AM$14)*(1+'Attrition Modeling'!$N$8)-'IP Attrition'!AP$65)/12*'IP Attrition'!AP114,0)))</f>
        <v>0</v>
      </c>
      <c r="AR179" s="799">
        <f>IF(EOMONTH(Inputs!$C$8,'IP Attrition'!AR$134-1)&lt;=Inputs!$C$9,0,MIN(IF(ISERROR(VLOOKUP(AR$134+$F179,$D$135:$D$165,1,FALSE)),0,AQ47*$C$2),MAX((IF(Monthly!AN$4=TRUE,Monthly!AN$13,Monthly!AN$14)*(1+'Attrition Modeling'!$N$8)-'IP Attrition'!AQ$65)/12*'IP Attrition'!AQ114,0)))</f>
        <v>0</v>
      </c>
      <c r="AS179" s="799">
        <f>IF(EOMONTH(Inputs!$C$8,'IP Attrition'!AS$134-1)&lt;=Inputs!$C$9,0,MIN(IF(ISERROR(VLOOKUP(AS$134+$F179,$D$135:$D$165,1,FALSE)),0,AR47*$C$2),MAX((IF(Monthly!AO$4=TRUE,Monthly!AO$13,Monthly!AO$14)*(1+'Attrition Modeling'!$N$8)-'IP Attrition'!AR$65)/12*'IP Attrition'!AR114,0)))</f>
        <v>0</v>
      </c>
      <c r="AT179" s="799">
        <f>IF(EOMONTH(Inputs!$C$8,'IP Attrition'!AT$134-1)&lt;=Inputs!$C$9,0,MIN(IF(ISERROR(VLOOKUP(AT$134+$F179,$D$135:$D$165,1,FALSE)),0,AS47*$C$2),MAX((IF(Monthly!AP$4=TRUE,Monthly!AP$13,Monthly!AP$14)*(1+'Attrition Modeling'!$N$8)-'IP Attrition'!AS$65)/12*'IP Attrition'!AS114,0)))</f>
        <v>0</v>
      </c>
      <c r="AU179" s="799">
        <f>IF(EOMONTH(Inputs!$C$8,'IP Attrition'!AU$134-1)&lt;=Inputs!$C$9,0,MIN(IF(ISERROR(VLOOKUP(AU$134+$F179,$D$135:$D$165,1,FALSE)),0,AT47*$C$2),MAX((IF(Monthly!AQ$4=TRUE,Monthly!AQ$13,Monthly!AQ$14)*(1+'Attrition Modeling'!$N$8)-'IP Attrition'!AT$65)/12*'IP Attrition'!AT114,0)))</f>
        <v>0</v>
      </c>
      <c r="AV179" s="799">
        <f>IF(EOMONTH(Inputs!$C$8,'IP Attrition'!AV$134-1)&lt;=Inputs!$C$9,0,MIN(IF(ISERROR(VLOOKUP(AV$134+$F179,$D$135:$D$165,1,FALSE)),0,AU47*$C$2),MAX((IF(Monthly!AR$4=TRUE,Monthly!AR$13,Monthly!AR$14)*(1+'Attrition Modeling'!$N$8)-'IP Attrition'!AU$65)/12*'IP Attrition'!AU114,0)))</f>
        <v>0</v>
      </c>
      <c r="AW179" s="799">
        <f>IF(EOMONTH(Inputs!$C$8,'IP Attrition'!AW$134-1)&lt;=Inputs!$C$9,0,MIN(IF(ISERROR(VLOOKUP(AW$134+$F179,$D$135:$D$165,1,FALSE)),0,AV47*$C$2),MAX((IF(Monthly!AS$4=TRUE,Monthly!AS$13,Monthly!AS$14)*(1+'Attrition Modeling'!$N$8)-'IP Attrition'!AV$65)/12*'IP Attrition'!AV114,0)))</f>
        <v>0</v>
      </c>
      <c r="AX179" s="799">
        <f>IF(EOMONTH(Inputs!$C$8,'IP Attrition'!AX$134-1)&lt;=Inputs!$C$9,0,MIN(IF(ISERROR(VLOOKUP(AX$134+$F179,$D$135:$D$165,1,FALSE)),0,AW47*$C$2),MAX((IF(Monthly!AT$4=TRUE,Monthly!AT$13,Monthly!AT$14)*(1+'Attrition Modeling'!$N$8)-'IP Attrition'!AW$65)/12*'IP Attrition'!AW114,0)))</f>
        <v>0</v>
      </c>
      <c r="AY179" s="799">
        <f>IF(EOMONTH(Inputs!$C$8,'IP Attrition'!AY$134-1)&lt;=Inputs!$C$9,0,MIN(IF(ISERROR(VLOOKUP(AY$134+$F179,$D$135:$D$165,1,FALSE)),0,AX47*$C$2),MAX((IF(Monthly!AU$4=TRUE,Monthly!AU$13,Monthly!AU$14)*(1+'Attrition Modeling'!$N$8)-'IP Attrition'!AX$65)/12*'IP Attrition'!AX114,0)))</f>
        <v>0</v>
      </c>
      <c r="AZ179" s="799">
        <f>IF(EOMONTH(Inputs!$C$8,'IP Attrition'!AZ$134-1)&lt;=Inputs!$C$9,0,MIN(IF(ISERROR(VLOOKUP(AZ$134+$F179,$D$135:$D$165,1,FALSE)),0,AY47*$C$2),MAX((IF(Monthly!AV$4=TRUE,Monthly!AV$13,Monthly!AV$14)*(1+'Attrition Modeling'!$N$8)-'IP Attrition'!AY$65)/12*'IP Attrition'!AY114,0)))</f>
        <v>0</v>
      </c>
      <c r="BA179" s="799">
        <f>IF(EOMONTH(Inputs!$C$8,'IP Attrition'!BA$134-1)&lt;=Inputs!$C$9,0,MIN(IF(ISERROR(VLOOKUP(BA$134+$F179,$D$135:$D$165,1,FALSE)),0,AZ47*$C$2),MAX((IF(Monthly!AW$4=TRUE,Monthly!AW$13,Monthly!AW$14)*(1+'Attrition Modeling'!$N$8)-'IP Attrition'!AZ$65)/12*'IP Attrition'!AZ114,0)))</f>
        <v>0</v>
      </c>
      <c r="BB179" s="799">
        <f>IF(EOMONTH(Inputs!$C$8,'IP Attrition'!BB$134-1)&lt;=Inputs!$C$9,0,MIN(IF(ISERROR(VLOOKUP(BB$134+$F179,$D$135:$D$165,1,FALSE)),0,BA47*$C$2),MAX((IF(Monthly!AX$4=TRUE,Monthly!AX$13,Monthly!AX$14)*(1+'Attrition Modeling'!$N$8)-'IP Attrition'!BA$65)/12*'IP Attrition'!BA114,0)))</f>
        <v>0</v>
      </c>
      <c r="BC179" s="799">
        <f>IF(EOMONTH(Inputs!$C$8,'IP Attrition'!BC$134-1)&lt;=Inputs!$C$9,0,MIN(IF(ISERROR(VLOOKUP(BC$134+$F179,$D$135:$D$165,1,FALSE)),0,BB47*$C$2),MAX((IF(Monthly!AY$4=TRUE,Monthly!AY$13,Monthly!AY$14)*(1+'Attrition Modeling'!$N$8)-'IP Attrition'!BB$65)/12*'IP Attrition'!BB114,0)))</f>
        <v>0</v>
      </c>
      <c r="BD179" s="799">
        <f>IF(EOMONTH(Inputs!$C$8,'IP Attrition'!BD$134-1)&lt;=Inputs!$C$9,0,MIN(IF(ISERROR(VLOOKUP(BD$134+$F179,$D$135:$D$165,1,FALSE)),0,BC47*$C$2),MAX((IF(Monthly!AZ$4=TRUE,Monthly!AZ$13,Monthly!AZ$14)*(1+'Attrition Modeling'!$N$8)-'IP Attrition'!BC$65)/12*'IP Attrition'!BC114,0)))</f>
        <v>0</v>
      </c>
      <c r="BE179" s="799">
        <f>IF(EOMONTH(Inputs!$C$8,'IP Attrition'!BE$134-1)&lt;=Inputs!$C$9,0,MIN(IF(ISERROR(VLOOKUP(BE$134+$F179,$D$135:$D$165,1,FALSE)),0,BD47*$C$2),MAX((IF(Monthly!BA$4=TRUE,Monthly!BA$13,Monthly!BA$14)*(1+'Attrition Modeling'!$N$8)-'IP Attrition'!BD$65)/12*'IP Attrition'!BD114,0)))</f>
        <v>0</v>
      </c>
      <c r="BF179" s="799">
        <f>IF(EOMONTH(Inputs!$C$8,'IP Attrition'!BF$134-1)&lt;=Inputs!$C$9,0,MIN(IF(ISERROR(VLOOKUP(BF$134+$F179,$D$135:$D$165,1,FALSE)),0,BE47*$C$2),MAX((IF(Monthly!BB$4=TRUE,Monthly!BB$13,Monthly!BB$14)*(1+'Attrition Modeling'!$N$8)-'IP Attrition'!BE$65)/12*'IP Attrition'!BE114,0)))</f>
        <v>0</v>
      </c>
      <c r="BG179" s="799">
        <f>IF(EOMONTH(Inputs!$C$8,'IP Attrition'!BG$134-1)&lt;=Inputs!$C$9,0,MIN(IF(ISERROR(VLOOKUP(BG$134+$F179,$D$135:$D$165,1,FALSE)),0,BF47*$C$2),MAX((IF(Monthly!BC$4=TRUE,Monthly!BC$13,Monthly!BC$14)*(1+'Attrition Modeling'!$N$8)-'IP Attrition'!BF$65)/12*'IP Attrition'!BF114,0)))</f>
        <v>0</v>
      </c>
      <c r="BH179" s="799">
        <f>IF(EOMONTH(Inputs!$C$8,'IP Attrition'!BH$134-1)&lt;=Inputs!$C$9,0,MIN(IF(ISERROR(VLOOKUP(BH$134+$F179,$D$135:$D$165,1,FALSE)),0,BG47*$C$2),MAX((IF(Monthly!BD$4=TRUE,Monthly!BD$13,Monthly!BD$14)*(1+'Attrition Modeling'!$N$8)-'IP Attrition'!BG$65)/12*'IP Attrition'!BG114,0)))</f>
        <v>0</v>
      </c>
      <c r="BI179" s="799">
        <f>IF(EOMONTH(Inputs!$C$8,'IP Attrition'!BI$134-1)&lt;=Inputs!$C$9,0,MIN(IF(ISERROR(VLOOKUP(BI$134+$F179,$D$135:$D$165,1,FALSE)),0,BH47*$C$2),MAX((IF(Monthly!BE$4=TRUE,Monthly!BE$13,Monthly!BE$14)*(1+'Attrition Modeling'!$N$8)-'IP Attrition'!BH$65)/12*'IP Attrition'!BH114,0)))</f>
        <v>0</v>
      </c>
      <c r="BJ179" s="799">
        <f>IF(EOMONTH(Inputs!$C$8,'IP Attrition'!BJ$134-1)&lt;=Inputs!$C$9,0,MIN(IF(ISERROR(VLOOKUP(BJ$134+$F179,$D$135:$D$165,1,FALSE)),0,BI47*$C$2),MAX((IF(Monthly!BF$4=TRUE,Monthly!BF$13,Monthly!BF$14)*(1+'Attrition Modeling'!$N$8)-'IP Attrition'!BI$65)/12*'IP Attrition'!BI114,0)))</f>
        <v>0</v>
      </c>
      <c r="BK179" s="799">
        <f>IF(EOMONTH(Inputs!$C$8,'IP Attrition'!BK$134-1)&lt;=Inputs!$C$9,0,MIN(IF(ISERROR(VLOOKUP(BK$134+$F179,$D$135:$D$165,1,FALSE)),0,BJ47*$C$2),MAX((IF(Monthly!BG$4=TRUE,Monthly!BG$13,Monthly!BG$14)*(1+'Attrition Modeling'!$N$8)-'IP Attrition'!BJ$65)/12*'IP Attrition'!BJ114,0)))</f>
        <v>0</v>
      </c>
      <c r="BL179" s="799">
        <f>IF(EOMONTH(Inputs!$C$8,'IP Attrition'!BL$134-1)&lt;=Inputs!$C$9,0,MIN(IF(ISERROR(VLOOKUP(BL$134+$F179,$D$135:$D$165,1,FALSE)),0,BK47*$C$2),MAX((IF(Monthly!BH$4=TRUE,Monthly!BH$13,Monthly!BH$14)*(1+'Attrition Modeling'!$N$8)-'IP Attrition'!BK$65)/12*'IP Attrition'!BK114,0)))</f>
        <v>0</v>
      </c>
      <c r="BM179" s="799">
        <f>IF(EOMONTH(Inputs!$C$8,'IP Attrition'!BM$134-1)&lt;=Inputs!$C$9,0,MIN(IF(ISERROR(VLOOKUP(BM$134+$F179,$D$135:$D$165,1,FALSE)),0,BL47*$C$2),MAX((IF(Monthly!BI$4=TRUE,Monthly!BI$13,Monthly!BI$14)*(1+'Attrition Modeling'!$N$8)-'IP Attrition'!BL$65)/12*'IP Attrition'!BL114,0)))</f>
        <v>0</v>
      </c>
      <c r="BN179" s="799">
        <f>IF(EOMONTH(Inputs!$C$8,'IP Attrition'!BN$134-1)&lt;=Inputs!$C$9,0,MIN(IF(ISERROR(VLOOKUP(BN$134+$F179,$D$135:$D$165,1,FALSE)),0,BM47*$C$2),MAX((IF(Monthly!BJ$4=TRUE,Monthly!BJ$13,Monthly!BJ$14)*(1+'Attrition Modeling'!$N$8)-'IP Attrition'!BM$65)/12*'IP Attrition'!BM114,0)))</f>
        <v>0</v>
      </c>
      <c r="BO179" s="799">
        <f>IF(EOMONTH(Inputs!$C$8,'IP Attrition'!BO$134-1)&lt;=Inputs!$C$9,0,MIN(IF(ISERROR(VLOOKUP(BO$134+$F179,$D$135:$D$165,1,FALSE)),0,BN47*$C$2),MAX((IF(Monthly!BK$4=TRUE,Monthly!BK$13,Monthly!BK$14)*(1+'Attrition Modeling'!$N$8)-'IP Attrition'!BN$65)/12*'IP Attrition'!BN114,0)))</f>
        <v>0</v>
      </c>
      <c r="BP179" s="799">
        <f>IF(EOMONTH(Inputs!$C$8,'IP Attrition'!BP$134-1)&lt;=Inputs!$C$9,0,MIN(IF(ISERROR(VLOOKUP(BP$134+$F179,$D$135:$D$165,1,FALSE)),0,BO47*$C$2),MAX((IF(Monthly!BL$4=TRUE,Monthly!BL$13,Monthly!BL$14)*(1+'Attrition Modeling'!$N$8)-'IP Attrition'!BO$65)/12*'IP Attrition'!BO114,0)))</f>
        <v>0</v>
      </c>
      <c r="BQ179" s="799">
        <f>IF(EOMONTH(Inputs!$C$8,'IP Attrition'!BQ$134-1)&lt;=Inputs!$C$9,0,MIN(IF(ISERROR(VLOOKUP(BQ$134+$F179,$D$135:$D$165,1,FALSE)),0,BP47*$C$2),MAX((IF(Monthly!BM$4=TRUE,Monthly!BM$13,Monthly!BM$14)*(1+'Attrition Modeling'!$N$8)-'IP Attrition'!BP$65)/12*'IP Attrition'!BP114,0)))</f>
        <v>0</v>
      </c>
      <c r="BR179" s="799">
        <f>IF(EOMONTH(Inputs!$C$8,'IP Attrition'!BR$134-1)&lt;=Inputs!$C$9,0,MIN(IF(ISERROR(VLOOKUP(BR$134+$F179,$D$135:$D$165,1,FALSE)),0,BQ47*$C$2),MAX((IF(Monthly!BN$4=TRUE,Monthly!BN$13,Monthly!BN$14)*(1+'Attrition Modeling'!$N$8)-'IP Attrition'!BQ$65)/12*'IP Attrition'!BQ114,0)))</f>
        <v>0</v>
      </c>
      <c r="BS179" s="799">
        <f>IF(EOMONTH(Inputs!$C$8,'IP Attrition'!BS$134-1)&lt;=Inputs!$C$9,0,MIN(IF(ISERROR(VLOOKUP(BS$134+$F179,$D$135:$D$165,1,FALSE)),0,BR47*$C$2),MAX((IF(Monthly!BO$4=TRUE,Monthly!BO$13,Monthly!BO$14)*(1+'Attrition Modeling'!$N$8)-'IP Attrition'!BR$65)/12*'IP Attrition'!BR114,0)))</f>
        <v>0</v>
      </c>
      <c r="BT179" s="799" t="e">
        <f>IF(EOMONTH(Inputs!$C$8,'IP Attrition'!BT$134-1)&lt;=Inputs!$C$9,0,MIN(IF(ISERROR(VLOOKUP(BT$134+$F179,$D$135:$D$165,1,FALSE)),0,BS47*$C$2),MAX((IF(Monthly!#REF!=TRUE,Monthly!#REF!,Monthly!#REF!)*(1+'Attrition Modeling'!$N$8)-'IP Attrition'!BS$65)/12*'IP Attrition'!BS114,0)))</f>
        <v>#REF!</v>
      </c>
      <c r="BU179" s="799" t="e">
        <f>IF(EOMONTH(Inputs!$C$8,'IP Attrition'!BU$134-1)&lt;=Inputs!$C$9,0,MIN(IF(ISERROR(VLOOKUP(BU$134+$F179,$D$135:$D$165,1,FALSE)),0,BT47*$C$2),MAX((IF(Monthly!#REF!=TRUE,Monthly!#REF!,Monthly!#REF!)*(1+'Attrition Modeling'!$N$8)-'IP Attrition'!BT$65)/12*'IP Attrition'!BT114,0)))</f>
        <v>#REF!</v>
      </c>
    </row>
    <row r="180" spans="5:73" ht="14.25" customHeight="1" x14ac:dyDescent="0.2">
      <c r="E180" s="25">
        <f t="shared" si="71"/>
        <v>0</v>
      </c>
      <c r="F180" s="11">
        <f t="shared" si="73"/>
        <v>45</v>
      </c>
      <c r="G180" s="799"/>
      <c r="H180" s="799">
        <f>IF(EOMONTH(Inputs!$C$8,'IP Attrition'!H$134-1)&lt;=Inputs!$C$9,0,MIN(IF(ISERROR(VLOOKUP(H$134+$F180,$D$135:$D$165,1,FALSE)),0,G48*$C$2),MAX((IF(Monthly!D$4=TRUE,Monthly!D$13,Monthly!D$14)*(1+'Attrition Modeling'!$N$8)-'IP Attrition'!G$65)/12*'IP Attrition'!G115,0)))</f>
        <v>0</v>
      </c>
      <c r="I180" s="799">
        <f>IF(EOMONTH(Inputs!$C$8,'IP Attrition'!I$134-1)&lt;=Inputs!$C$9,0,MIN(IF(ISERROR(VLOOKUP(I$134+$F180,$D$135:$D$165,1,FALSE)),0,H48*$C$2),MAX((IF(Monthly!E$4=TRUE,Monthly!E$13,Monthly!E$14)*(1+'Attrition Modeling'!$N$8)-'IP Attrition'!H$65)/12*'IP Attrition'!H115,0)))</f>
        <v>0</v>
      </c>
      <c r="J180" s="799">
        <f>IF(EOMONTH(Inputs!$C$8,'IP Attrition'!J$134-1)&lt;=Inputs!$C$9,0,MIN(IF(ISERROR(VLOOKUP(J$134+$F180,$D$135:$D$165,1,FALSE)),0,I48*$C$2),MAX((IF(Monthly!F$4=TRUE,Monthly!F$13,Monthly!F$14)*(1+'Attrition Modeling'!$N$8)-'IP Attrition'!I$65)/12*'IP Attrition'!I115,0)))</f>
        <v>0</v>
      </c>
      <c r="K180" s="799">
        <f>IF(EOMONTH(Inputs!$C$8,'IP Attrition'!K$134-1)&lt;=Inputs!$C$9,0,MIN(IF(ISERROR(VLOOKUP(K$134+$F180,$D$135:$D$165,1,FALSE)),0,J48*$C$2),MAX((IF(Monthly!G$4=TRUE,Monthly!G$13,Monthly!G$14)*(1+'Attrition Modeling'!$N$8)-'IP Attrition'!J$65)/12*'IP Attrition'!J115,0)))</f>
        <v>0</v>
      </c>
      <c r="L180" s="799">
        <f>IF(EOMONTH(Inputs!$C$8,'IP Attrition'!L$134-1)&lt;=Inputs!$C$9,0,MIN(IF(ISERROR(VLOOKUP(L$134+$F180,$D$135:$D$165,1,FALSE)),0,K48*$C$2),MAX((IF(Monthly!H$4=TRUE,Monthly!H$13,Monthly!H$14)*(1+'Attrition Modeling'!$N$8)-'IP Attrition'!K$65)/12*'IP Attrition'!K115,0)))</f>
        <v>0</v>
      </c>
      <c r="M180" s="799">
        <f>IF(EOMONTH(Inputs!$C$8,'IP Attrition'!M$134-1)&lt;=Inputs!$C$9,0,MIN(IF(ISERROR(VLOOKUP(M$134+$F180,$D$135:$D$165,1,FALSE)),0,L48*$C$2),MAX((IF(Monthly!I$4=TRUE,Monthly!I$13,Monthly!I$14)*(1+'Attrition Modeling'!$N$8)-'IP Attrition'!L$65)/12*'IP Attrition'!L115,0)))</f>
        <v>0</v>
      </c>
      <c r="N180" s="799">
        <f>IF(EOMONTH(Inputs!$C$8,'IP Attrition'!N$134-1)&lt;=Inputs!$C$9,0,MIN(IF(ISERROR(VLOOKUP(N$134+$F180,$D$135:$D$165,1,FALSE)),0,M48*$C$2),MAX((IF(Monthly!J$4=TRUE,Monthly!J$13,Monthly!J$14)*(1+'Attrition Modeling'!$N$8)-'IP Attrition'!M$65)/12*'IP Attrition'!M115,0)))</f>
        <v>0</v>
      </c>
      <c r="O180" s="799">
        <f>IF(EOMONTH(Inputs!$C$8,'IP Attrition'!O$134-1)&lt;=Inputs!$C$9,0,MIN(IF(ISERROR(VLOOKUP(O$134+$F180,$D$135:$D$165,1,FALSE)),0,N48*$C$2),MAX((IF(Monthly!K$4=TRUE,Monthly!K$13,Monthly!K$14)*(1+'Attrition Modeling'!$N$8)-'IP Attrition'!N$65)/12*'IP Attrition'!N115,0)))</f>
        <v>0</v>
      </c>
      <c r="P180" s="799">
        <f>IF(EOMONTH(Inputs!$C$8,'IP Attrition'!P$134-1)&lt;=Inputs!$C$9,0,MIN(IF(ISERROR(VLOOKUP(P$134+$F180,$D$135:$D$165,1,FALSE)),0,O48*$C$2),MAX((IF(Monthly!L$4=TRUE,Monthly!L$13,Monthly!L$14)*(1+'Attrition Modeling'!$N$8)-'IP Attrition'!O$65)/12*'IP Attrition'!O115,0)))</f>
        <v>0</v>
      </c>
      <c r="Q180" s="799">
        <f>IF(EOMONTH(Inputs!$C$8,'IP Attrition'!Q$134-1)&lt;=Inputs!$C$9,0,MIN(IF(ISERROR(VLOOKUP(Q$134+$F180,$D$135:$D$165,1,FALSE)),0,P48*$C$2),MAX((IF(Monthly!M$4=TRUE,Monthly!M$13,Monthly!M$14)*(1+'Attrition Modeling'!$N$8)-'IP Attrition'!P$65)/12*'IP Attrition'!P115,0)))</f>
        <v>0</v>
      </c>
      <c r="R180" s="799">
        <f>IF(EOMONTH(Inputs!$C$8,'IP Attrition'!R$134-1)&lt;=Inputs!$C$9,0,MIN(IF(ISERROR(VLOOKUP(R$134+$F180,$D$135:$D$165,1,FALSE)),0,Q48*$C$2),MAX((IF(Monthly!N$4=TRUE,Monthly!N$13,Monthly!N$14)*(1+'Attrition Modeling'!$N$8)-'IP Attrition'!Q$65)/12*'IP Attrition'!Q115,0)))</f>
        <v>0</v>
      </c>
      <c r="S180" s="799">
        <f>IF(EOMONTH(Inputs!$C$8,'IP Attrition'!S$134-1)&lt;=Inputs!$C$9,0,MIN(IF(ISERROR(VLOOKUP(S$134+$F180,$D$135:$D$165,1,FALSE)),0,R48*$C$2),MAX((IF(Monthly!O$4=TRUE,Monthly!O$13,Monthly!O$14)*(1+'Attrition Modeling'!$N$8)-'IP Attrition'!R$65)/12*'IP Attrition'!R115,0)))</f>
        <v>0</v>
      </c>
      <c r="T180" s="799">
        <f>IF(EOMONTH(Inputs!$C$8,'IP Attrition'!T$134-1)&lt;=Inputs!$C$9,0,MIN(IF(ISERROR(VLOOKUP(T$134+$F180,$D$135:$D$165,1,FALSE)),0,S48*$C$2),MAX((IF(Monthly!P$4=TRUE,Monthly!P$13,Monthly!P$14)*(1+'Attrition Modeling'!$N$8)-'IP Attrition'!S$65)/12*'IP Attrition'!S115,0)))</f>
        <v>0</v>
      </c>
      <c r="U180" s="799">
        <f>IF(EOMONTH(Inputs!$C$8,'IP Attrition'!U$134-1)&lt;=Inputs!$C$9,0,MIN(IF(ISERROR(VLOOKUP(U$134+$F180,$D$135:$D$165,1,FALSE)),0,T48*$C$2),MAX((IF(Monthly!Q$4=TRUE,Monthly!Q$13,Monthly!Q$14)*(1+'Attrition Modeling'!$N$8)-'IP Attrition'!T$65)/12*'IP Attrition'!T115,0)))</f>
        <v>0</v>
      </c>
      <c r="V180" s="799">
        <f>IF(EOMONTH(Inputs!$C$8,'IP Attrition'!V$134-1)&lt;=Inputs!$C$9,0,MIN(IF(ISERROR(VLOOKUP(V$134+$F180,$D$135:$D$165,1,FALSE)),0,U48*$C$2),MAX((IF(Monthly!R$4=TRUE,Monthly!R$13,Monthly!R$14)*(1+'Attrition Modeling'!$N$8)-'IP Attrition'!U$65)/12*'IP Attrition'!U115,0)))</f>
        <v>0</v>
      </c>
      <c r="W180" s="799">
        <f>IF(EOMONTH(Inputs!$C$8,'IP Attrition'!W$134-1)&lt;=Inputs!$C$9,0,MIN(IF(ISERROR(VLOOKUP(W$134+$F180,$D$135:$D$165,1,FALSE)),0,V48*$C$2),MAX((IF(Monthly!S$4=TRUE,Monthly!S$13,Monthly!S$14)*(1+'Attrition Modeling'!$N$8)-'IP Attrition'!V$65)/12*'IP Attrition'!V115,0)))</f>
        <v>0</v>
      </c>
      <c r="X180" s="799">
        <f>IF(EOMONTH(Inputs!$C$8,'IP Attrition'!X$134-1)&lt;=Inputs!$C$9,0,MIN(IF(ISERROR(VLOOKUP(X$134+$F180,$D$135:$D$165,1,FALSE)),0,W48*$C$2),MAX((IF(Monthly!T$4=TRUE,Monthly!T$13,Monthly!T$14)*(1+'Attrition Modeling'!$N$8)-'IP Attrition'!W$65)/12*'IP Attrition'!W115,0)))</f>
        <v>0</v>
      </c>
      <c r="Y180" s="799">
        <f>IF(EOMONTH(Inputs!$C$8,'IP Attrition'!Y$134-1)&lt;=Inputs!$C$9,0,MIN(IF(ISERROR(VLOOKUP(Y$134+$F180,$D$135:$D$165,1,FALSE)),0,X48*$C$2),MAX((IF(Monthly!U$4=TRUE,Monthly!U$13,Monthly!U$14)*(1+'Attrition Modeling'!$N$8)-'IP Attrition'!X$65)/12*'IP Attrition'!X115,0)))</f>
        <v>0</v>
      </c>
      <c r="Z180" s="799">
        <f>IF(EOMONTH(Inputs!$C$8,'IP Attrition'!Z$134-1)&lt;=Inputs!$C$9,0,MIN(IF(ISERROR(VLOOKUP(Z$134+$F180,$D$135:$D$165,1,FALSE)),0,Y48*$C$2),MAX((IF(Monthly!V$4=TRUE,Monthly!V$13,Monthly!V$14)*(1+'Attrition Modeling'!$N$8)-'IP Attrition'!Y$65)/12*'IP Attrition'!Y115,0)))</f>
        <v>0</v>
      </c>
      <c r="AA180" s="799">
        <f>IF(EOMONTH(Inputs!$C$8,'IP Attrition'!AA$134-1)&lt;=Inputs!$C$9,0,MIN(IF(ISERROR(VLOOKUP(AA$134+$F180,$D$135:$D$165,1,FALSE)),0,Z48*$C$2),MAX((IF(Monthly!W$4=TRUE,Monthly!W$13,Monthly!W$14)*(1+'Attrition Modeling'!$N$8)-'IP Attrition'!Z$65)/12*'IP Attrition'!Z115,0)))</f>
        <v>0</v>
      </c>
      <c r="AB180" s="799">
        <f>IF(EOMONTH(Inputs!$C$8,'IP Attrition'!AB$134-1)&lt;=Inputs!$C$9,0,MIN(IF(ISERROR(VLOOKUP(AB$134+$F180,$D$135:$D$165,1,FALSE)),0,AA48*$C$2),MAX((IF(Monthly!X$4=TRUE,Monthly!X$13,Monthly!X$14)*(1+'Attrition Modeling'!$N$8)-'IP Attrition'!AA$65)/12*'IP Attrition'!AA115,0)))</f>
        <v>0</v>
      </c>
      <c r="AC180" s="799">
        <f>IF(EOMONTH(Inputs!$C$8,'IP Attrition'!AC$134-1)&lt;=Inputs!$C$9,0,MIN(IF(ISERROR(VLOOKUP(AC$134+$F180,$D$135:$D$165,1,FALSE)),0,AB48*$C$2),MAX((IF(Monthly!Y$4=TRUE,Monthly!Y$13,Monthly!Y$14)*(1+'Attrition Modeling'!$N$8)-'IP Attrition'!AB$65)/12*'IP Attrition'!AB115,0)))</f>
        <v>0</v>
      </c>
      <c r="AD180" s="799">
        <f>IF(EOMONTH(Inputs!$C$8,'IP Attrition'!AD$134-1)&lt;=Inputs!$C$9,0,MIN(IF(ISERROR(VLOOKUP(AD$134+$F180,$D$135:$D$165,1,FALSE)),0,AC48*$C$2),MAX((IF(Monthly!Z$4=TRUE,Monthly!Z$13,Monthly!Z$14)*(1+'Attrition Modeling'!$N$8)-'IP Attrition'!AC$65)/12*'IP Attrition'!AC115,0)))</f>
        <v>0</v>
      </c>
      <c r="AE180" s="799">
        <f>IF(EOMONTH(Inputs!$C$8,'IP Attrition'!AE$134-1)&lt;=Inputs!$C$9,0,MIN(IF(ISERROR(VLOOKUP(AE$134+$F180,$D$135:$D$165,1,FALSE)),0,AD48*$C$2),MAX((IF(Monthly!AA$4=TRUE,Monthly!AA$13,Monthly!AA$14)*(1+'Attrition Modeling'!$N$8)-'IP Attrition'!AD$65)/12*'IP Attrition'!AD115,0)))</f>
        <v>0</v>
      </c>
      <c r="AF180" s="799">
        <f>IF(EOMONTH(Inputs!$C$8,'IP Attrition'!AF$134-1)&lt;=Inputs!$C$9,0,MIN(IF(ISERROR(VLOOKUP(AF$134+$F180,$D$135:$D$165,1,FALSE)),0,AE48*$C$2),MAX((IF(Monthly!AB$4=TRUE,Monthly!AB$13,Monthly!AB$14)*(1+'Attrition Modeling'!$N$8)-'IP Attrition'!AE$65)/12*'IP Attrition'!AE115,0)))</f>
        <v>0</v>
      </c>
      <c r="AG180" s="799">
        <f>IF(EOMONTH(Inputs!$C$8,'IP Attrition'!AG$134-1)&lt;=Inputs!$C$9,0,MIN(IF(ISERROR(VLOOKUP(AG$134+$F180,$D$135:$D$165,1,FALSE)),0,AF48*$C$2),MAX((IF(Monthly!AC$4=TRUE,Monthly!AC$13,Monthly!AC$14)*(1+'Attrition Modeling'!$N$8)-'IP Attrition'!AF$65)/12*'IP Attrition'!AF115,0)))</f>
        <v>0</v>
      </c>
      <c r="AH180" s="799">
        <f>IF(EOMONTH(Inputs!$C$8,'IP Attrition'!AH$134-1)&lt;=Inputs!$C$9,0,MIN(IF(ISERROR(VLOOKUP(AH$134+$F180,$D$135:$D$165,1,FALSE)),0,AG48*$C$2),MAX((IF(Monthly!AD$4=TRUE,Monthly!AD$13,Monthly!AD$14)*(1+'Attrition Modeling'!$N$8)-'IP Attrition'!AG$65)/12*'IP Attrition'!AG115,0)))</f>
        <v>0</v>
      </c>
      <c r="AI180" s="799">
        <f>IF(EOMONTH(Inputs!$C$8,'IP Attrition'!AI$134-1)&lt;=Inputs!$C$9,0,MIN(IF(ISERROR(VLOOKUP(AI$134+$F180,$D$135:$D$165,1,FALSE)),0,AH48*$C$2),MAX((IF(Monthly!AE$4=TRUE,Monthly!AE$13,Monthly!AE$14)*(1+'Attrition Modeling'!$N$8)-'IP Attrition'!AH$65)/12*'IP Attrition'!AH115,0)))</f>
        <v>0</v>
      </c>
      <c r="AJ180" s="799">
        <f>IF(EOMONTH(Inputs!$C$8,'IP Attrition'!AJ$134-1)&lt;=Inputs!$C$9,0,MIN(IF(ISERROR(VLOOKUP(AJ$134+$F180,$D$135:$D$165,1,FALSE)),0,AI48*$C$2),MAX((IF(Monthly!AF$4=TRUE,Monthly!AF$13,Monthly!AF$14)*(1+'Attrition Modeling'!$N$8)-'IP Attrition'!AI$65)/12*'IP Attrition'!AI115,0)))</f>
        <v>0</v>
      </c>
      <c r="AK180" s="799">
        <f>IF(EOMONTH(Inputs!$C$8,'IP Attrition'!AK$134-1)&lt;=Inputs!$C$9,0,MIN(IF(ISERROR(VLOOKUP(AK$134+$F180,$D$135:$D$165,1,FALSE)),0,AJ48*$C$2),MAX((IF(Monthly!AG$4=TRUE,Monthly!AG$13,Monthly!AG$14)*(1+'Attrition Modeling'!$N$8)-'IP Attrition'!AJ$65)/12*'IP Attrition'!AJ115,0)))</f>
        <v>0</v>
      </c>
      <c r="AL180" s="799">
        <f>IF(EOMONTH(Inputs!$C$8,'IP Attrition'!AL$134-1)&lt;=Inputs!$C$9,0,MIN(IF(ISERROR(VLOOKUP(AL$134+$F180,$D$135:$D$165,1,FALSE)),0,AK48*$C$2),MAX((IF(Monthly!AH$4=TRUE,Monthly!AH$13,Monthly!AH$14)*(1+'Attrition Modeling'!$N$8)-'IP Attrition'!AK$65)/12*'IP Attrition'!AK115,0)))</f>
        <v>0</v>
      </c>
      <c r="AM180" s="799">
        <f>IF(EOMONTH(Inputs!$C$8,'IP Attrition'!AM$134-1)&lt;=Inputs!$C$9,0,MIN(IF(ISERROR(VLOOKUP(AM$134+$F180,$D$135:$D$165,1,FALSE)),0,AL48*$C$2),MAX((IF(Monthly!AI$4=TRUE,Monthly!AI$13,Monthly!AI$14)*(1+'Attrition Modeling'!$N$8)-'IP Attrition'!AL$65)/12*'IP Attrition'!AL115,0)))</f>
        <v>0</v>
      </c>
      <c r="AN180" s="799">
        <f>IF(EOMONTH(Inputs!$C$8,'IP Attrition'!AN$134-1)&lt;=Inputs!$C$9,0,MIN(IF(ISERROR(VLOOKUP(AN$134+$F180,$D$135:$D$165,1,FALSE)),0,AM48*$C$2),MAX((IF(Monthly!AJ$4=TRUE,Monthly!AJ$13,Monthly!AJ$14)*(1+'Attrition Modeling'!$N$8)-'IP Attrition'!AM$65)/12*'IP Attrition'!AM115,0)))</f>
        <v>0</v>
      </c>
      <c r="AO180" s="799">
        <f>IF(EOMONTH(Inputs!$C$8,'IP Attrition'!AO$134-1)&lt;=Inputs!$C$9,0,MIN(IF(ISERROR(VLOOKUP(AO$134+$F180,$D$135:$D$165,1,FALSE)),0,AN48*$C$2),MAX((IF(Monthly!AK$4=TRUE,Monthly!AK$13,Monthly!AK$14)*(1+'Attrition Modeling'!$N$8)-'IP Attrition'!AN$65)/12*'IP Attrition'!AN115,0)))</f>
        <v>0</v>
      </c>
      <c r="AP180" s="799">
        <f>IF(EOMONTH(Inputs!$C$8,'IP Attrition'!AP$134-1)&lt;=Inputs!$C$9,0,MIN(IF(ISERROR(VLOOKUP(AP$134+$F180,$D$135:$D$165,1,FALSE)),0,AO48*$C$2),MAX((IF(Monthly!AL$4=TRUE,Monthly!AL$13,Monthly!AL$14)*(1+'Attrition Modeling'!$N$8)-'IP Attrition'!AO$65)/12*'IP Attrition'!AO115,0)))</f>
        <v>0</v>
      </c>
      <c r="AQ180" s="799">
        <f>IF(EOMONTH(Inputs!$C$8,'IP Attrition'!AQ$134-1)&lt;=Inputs!$C$9,0,MIN(IF(ISERROR(VLOOKUP(AQ$134+$F180,$D$135:$D$165,1,FALSE)),0,AP48*$C$2),MAX((IF(Monthly!AM$4=TRUE,Monthly!AM$13,Monthly!AM$14)*(1+'Attrition Modeling'!$N$8)-'IP Attrition'!AP$65)/12*'IP Attrition'!AP115,0)))</f>
        <v>0</v>
      </c>
      <c r="AR180" s="799">
        <f>IF(EOMONTH(Inputs!$C$8,'IP Attrition'!AR$134-1)&lt;=Inputs!$C$9,0,MIN(IF(ISERROR(VLOOKUP(AR$134+$F180,$D$135:$D$165,1,FALSE)),0,AQ48*$C$2),MAX((IF(Monthly!AN$4=TRUE,Monthly!AN$13,Monthly!AN$14)*(1+'Attrition Modeling'!$N$8)-'IP Attrition'!AQ$65)/12*'IP Attrition'!AQ115,0)))</f>
        <v>0</v>
      </c>
      <c r="AS180" s="799">
        <f>IF(EOMONTH(Inputs!$C$8,'IP Attrition'!AS$134-1)&lt;=Inputs!$C$9,0,MIN(IF(ISERROR(VLOOKUP(AS$134+$F180,$D$135:$D$165,1,FALSE)),0,AR48*$C$2),MAX((IF(Monthly!AO$4=TRUE,Monthly!AO$13,Monthly!AO$14)*(1+'Attrition Modeling'!$N$8)-'IP Attrition'!AR$65)/12*'IP Attrition'!AR115,0)))</f>
        <v>0</v>
      </c>
      <c r="AT180" s="799">
        <f>IF(EOMONTH(Inputs!$C$8,'IP Attrition'!AT$134-1)&lt;=Inputs!$C$9,0,MIN(IF(ISERROR(VLOOKUP(AT$134+$F180,$D$135:$D$165,1,FALSE)),0,AS48*$C$2),MAX((IF(Monthly!AP$4=TRUE,Monthly!AP$13,Monthly!AP$14)*(1+'Attrition Modeling'!$N$8)-'IP Attrition'!AS$65)/12*'IP Attrition'!AS115,0)))</f>
        <v>0</v>
      </c>
      <c r="AU180" s="799">
        <f>IF(EOMONTH(Inputs!$C$8,'IP Attrition'!AU$134-1)&lt;=Inputs!$C$9,0,MIN(IF(ISERROR(VLOOKUP(AU$134+$F180,$D$135:$D$165,1,FALSE)),0,AT48*$C$2),MAX((IF(Monthly!AQ$4=TRUE,Monthly!AQ$13,Monthly!AQ$14)*(1+'Attrition Modeling'!$N$8)-'IP Attrition'!AT$65)/12*'IP Attrition'!AT115,0)))</f>
        <v>0</v>
      </c>
      <c r="AV180" s="799">
        <f>IF(EOMONTH(Inputs!$C$8,'IP Attrition'!AV$134-1)&lt;=Inputs!$C$9,0,MIN(IF(ISERROR(VLOOKUP(AV$134+$F180,$D$135:$D$165,1,FALSE)),0,AU48*$C$2),MAX((IF(Monthly!AR$4=TRUE,Monthly!AR$13,Monthly!AR$14)*(1+'Attrition Modeling'!$N$8)-'IP Attrition'!AU$65)/12*'IP Attrition'!AU115,0)))</f>
        <v>0</v>
      </c>
      <c r="AW180" s="799">
        <f>IF(EOMONTH(Inputs!$C$8,'IP Attrition'!AW$134-1)&lt;=Inputs!$C$9,0,MIN(IF(ISERROR(VLOOKUP(AW$134+$F180,$D$135:$D$165,1,FALSE)),0,AV48*$C$2),MAX((IF(Monthly!AS$4=TRUE,Monthly!AS$13,Monthly!AS$14)*(1+'Attrition Modeling'!$N$8)-'IP Attrition'!AV$65)/12*'IP Attrition'!AV115,0)))</f>
        <v>0</v>
      </c>
      <c r="AX180" s="799">
        <f>IF(EOMONTH(Inputs!$C$8,'IP Attrition'!AX$134-1)&lt;=Inputs!$C$9,0,MIN(IF(ISERROR(VLOOKUP(AX$134+$F180,$D$135:$D$165,1,FALSE)),0,AW48*$C$2),MAX((IF(Monthly!AT$4=TRUE,Monthly!AT$13,Monthly!AT$14)*(1+'Attrition Modeling'!$N$8)-'IP Attrition'!AW$65)/12*'IP Attrition'!AW115,0)))</f>
        <v>0</v>
      </c>
      <c r="AY180" s="799">
        <f>IF(EOMONTH(Inputs!$C$8,'IP Attrition'!AY$134-1)&lt;=Inputs!$C$9,0,MIN(IF(ISERROR(VLOOKUP(AY$134+$F180,$D$135:$D$165,1,FALSE)),0,AX48*$C$2),MAX((IF(Monthly!AU$4=TRUE,Monthly!AU$13,Monthly!AU$14)*(1+'Attrition Modeling'!$N$8)-'IP Attrition'!AX$65)/12*'IP Attrition'!AX115,0)))</f>
        <v>0</v>
      </c>
      <c r="AZ180" s="799">
        <f>IF(EOMONTH(Inputs!$C$8,'IP Attrition'!AZ$134-1)&lt;=Inputs!$C$9,0,MIN(IF(ISERROR(VLOOKUP(AZ$134+$F180,$D$135:$D$165,1,FALSE)),0,AY48*$C$2),MAX((IF(Monthly!AV$4=TRUE,Monthly!AV$13,Monthly!AV$14)*(1+'Attrition Modeling'!$N$8)-'IP Attrition'!AY$65)/12*'IP Attrition'!AY115,0)))</f>
        <v>0</v>
      </c>
      <c r="BA180" s="799">
        <f>IF(EOMONTH(Inputs!$C$8,'IP Attrition'!BA$134-1)&lt;=Inputs!$C$9,0,MIN(IF(ISERROR(VLOOKUP(BA$134+$F180,$D$135:$D$165,1,FALSE)),0,AZ48*$C$2),MAX((IF(Monthly!AW$4=TRUE,Monthly!AW$13,Monthly!AW$14)*(1+'Attrition Modeling'!$N$8)-'IP Attrition'!AZ$65)/12*'IP Attrition'!AZ115,0)))</f>
        <v>0</v>
      </c>
      <c r="BB180" s="799">
        <f>IF(EOMONTH(Inputs!$C$8,'IP Attrition'!BB$134-1)&lt;=Inputs!$C$9,0,MIN(IF(ISERROR(VLOOKUP(BB$134+$F180,$D$135:$D$165,1,FALSE)),0,BA48*$C$2),MAX((IF(Monthly!AX$4=TRUE,Monthly!AX$13,Monthly!AX$14)*(1+'Attrition Modeling'!$N$8)-'IP Attrition'!BA$65)/12*'IP Attrition'!BA115,0)))</f>
        <v>0</v>
      </c>
      <c r="BC180" s="799">
        <f>IF(EOMONTH(Inputs!$C$8,'IP Attrition'!BC$134-1)&lt;=Inputs!$C$9,0,MIN(IF(ISERROR(VLOOKUP(BC$134+$F180,$D$135:$D$165,1,FALSE)),0,BB48*$C$2),MAX((IF(Monthly!AY$4=TRUE,Monthly!AY$13,Monthly!AY$14)*(1+'Attrition Modeling'!$N$8)-'IP Attrition'!BB$65)/12*'IP Attrition'!BB115,0)))</f>
        <v>0</v>
      </c>
      <c r="BD180" s="799">
        <f>IF(EOMONTH(Inputs!$C$8,'IP Attrition'!BD$134-1)&lt;=Inputs!$C$9,0,MIN(IF(ISERROR(VLOOKUP(BD$134+$F180,$D$135:$D$165,1,FALSE)),0,BC48*$C$2),MAX((IF(Monthly!AZ$4=TRUE,Monthly!AZ$13,Monthly!AZ$14)*(1+'Attrition Modeling'!$N$8)-'IP Attrition'!BC$65)/12*'IP Attrition'!BC115,0)))</f>
        <v>0</v>
      </c>
      <c r="BE180" s="799">
        <f>IF(EOMONTH(Inputs!$C$8,'IP Attrition'!BE$134-1)&lt;=Inputs!$C$9,0,MIN(IF(ISERROR(VLOOKUP(BE$134+$F180,$D$135:$D$165,1,FALSE)),0,BD48*$C$2),MAX((IF(Monthly!BA$4=TRUE,Monthly!BA$13,Monthly!BA$14)*(1+'Attrition Modeling'!$N$8)-'IP Attrition'!BD$65)/12*'IP Attrition'!BD115,0)))</f>
        <v>0</v>
      </c>
      <c r="BF180" s="799">
        <f>IF(EOMONTH(Inputs!$C$8,'IP Attrition'!BF$134-1)&lt;=Inputs!$C$9,0,MIN(IF(ISERROR(VLOOKUP(BF$134+$F180,$D$135:$D$165,1,FALSE)),0,BE48*$C$2),MAX((IF(Monthly!BB$4=TRUE,Monthly!BB$13,Monthly!BB$14)*(1+'Attrition Modeling'!$N$8)-'IP Attrition'!BE$65)/12*'IP Attrition'!BE115,0)))</f>
        <v>0</v>
      </c>
      <c r="BG180" s="799">
        <f>IF(EOMONTH(Inputs!$C$8,'IP Attrition'!BG$134-1)&lt;=Inputs!$C$9,0,MIN(IF(ISERROR(VLOOKUP(BG$134+$F180,$D$135:$D$165,1,FALSE)),0,BF48*$C$2),MAX((IF(Monthly!BC$4=TRUE,Monthly!BC$13,Monthly!BC$14)*(1+'Attrition Modeling'!$N$8)-'IP Attrition'!BF$65)/12*'IP Attrition'!BF115,0)))</f>
        <v>0</v>
      </c>
      <c r="BH180" s="799">
        <f>IF(EOMONTH(Inputs!$C$8,'IP Attrition'!BH$134-1)&lt;=Inputs!$C$9,0,MIN(IF(ISERROR(VLOOKUP(BH$134+$F180,$D$135:$D$165,1,FALSE)),0,BG48*$C$2),MAX((IF(Monthly!BD$4=TRUE,Monthly!BD$13,Monthly!BD$14)*(1+'Attrition Modeling'!$N$8)-'IP Attrition'!BG$65)/12*'IP Attrition'!BG115,0)))</f>
        <v>0</v>
      </c>
      <c r="BI180" s="799">
        <f>IF(EOMONTH(Inputs!$C$8,'IP Attrition'!BI$134-1)&lt;=Inputs!$C$9,0,MIN(IF(ISERROR(VLOOKUP(BI$134+$F180,$D$135:$D$165,1,FALSE)),0,BH48*$C$2),MAX((IF(Monthly!BE$4=TRUE,Monthly!BE$13,Monthly!BE$14)*(1+'Attrition Modeling'!$N$8)-'IP Attrition'!BH$65)/12*'IP Attrition'!BH115,0)))</f>
        <v>0</v>
      </c>
      <c r="BJ180" s="799">
        <f>IF(EOMONTH(Inputs!$C$8,'IP Attrition'!BJ$134-1)&lt;=Inputs!$C$9,0,MIN(IF(ISERROR(VLOOKUP(BJ$134+$F180,$D$135:$D$165,1,FALSE)),0,BI48*$C$2),MAX((IF(Monthly!BF$4=TRUE,Monthly!BF$13,Monthly!BF$14)*(1+'Attrition Modeling'!$N$8)-'IP Attrition'!BI$65)/12*'IP Attrition'!BI115,0)))</f>
        <v>0</v>
      </c>
      <c r="BK180" s="799">
        <f>IF(EOMONTH(Inputs!$C$8,'IP Attrition'!BK$134-1)&lt;=Inputs!$C$9,0,MIN(IF(ISERROR(VLOOKUP(BK$134+$F180,$D$135:$D$165,1,FALSE)),0,BJ48*$C$2),MAX((IF(Monthly!BG$4=TRUE,Monthly!BG$13,Monthly!BG$14)*(1+'Attrition Modeling'!$N$8)-'IP Attrition'!BJ$65)/12*'IP Attrition'!BJ115,0)))</f>
        <v>0</v>
      </c>
      <c r="BL180" s="799">
        <f>IF(EOMONTH(Inputs!$C$8,'IP Attrition'!BL$134-1)&lt;=Inputs!$C$9,0,MIN(IF(ISERROR(VLOOKUP(BL$134+$F180,$D$135:$D$165,1,FALSE)),0,BK48*$C$2),MAX((IF(Monthly!BH$4=TRUE,Monthly!BH$13,Monthly!BH$14)*(1+'Attrition Modeling'!$N$8)-'IP Attrition'!BK$65)/12*'IP Attrition'!BK115,0)))</f>
        <v>0</v>
      </c>
      <c r="BM180" s="799">
        <f>IF(EOMONTH(Inputs!$C$8,'IP Attrition'!BM$134-1)&lt;=Inputs!$C$9,0,MIN(IF(ISERROR(VLOOKUP(BM$134+$F180,$D$135:$D$165,1,FALSE)),0,BL48*$C$2),MAX((IF(Monthly!BI$4=TRUE,Monthly!BI$13,Monthly!BI$14)*(1+'Attrition Modeling'!$N$8)-'IP Attrition'!BL$65)/12*'IP Attrition'!BL115,0)))</f>
        <v>0</v>
      </c>
      <c r="BN180" s="799">
        <f>IF(EOMONTH(Inputs!$C$8,'IP Attrition'!BN$134-1)&lt;=Inputs!$C$9,0,MIN(IF(ISERROR(VLOOKUP(BN$134+$F180,$D$135:$D$165,1,FALSE)),0,BM48*$C$2),MAX((IF(Monthly!BJ$4=TRUE,Monthly!BJ$13,Monthly!BJ$14)*(1+'Attrition Modeling'!$N$8)-'IP Attrition'!BM$65)/12*'IP Attrition'!BM115,0)))</f>
        <v>0</v>
      </c>
      <c r="BO180" s="799">
        <f>IF(EOMONTH(Inputs!$C$8,'IP Attrition'!BO$134-1)&lt;=Inputs!$C$9,0,MIN(IF(ISERROR(VLOOKUP(BO$134+$F180,$D$135:$D$165,1,FALSE)),0,BN48*$C$2),MAX((IF(Monthly!BK$4=TRUE,Monthly!BK$13,Monthly!BK$14)*(1+'Attrition Modeling'!$N$8)-'IP Attrition'!BN$65)/12*'IP Attrition'!BN115,0)))</f>
        <v>0</v>
      </c>
      <c r="BP180" s="799">
        <f>IF(EOMONTH(Inputs!$C$8,'IP Attrition'!BP$134-1)&lt;=Inputs!$C$9,0,MIN(IF(ISERROR(VLOOKUP(BP$134+$F180,$D$135:$D$165,1,FALSE)),0,BO48*$C$2),MAX((IF(Monthly!BL$4=TRUE,Monthly!BL$13,Monthly!BL$14)*(1+'Attrition Modeling'!$N$8)-'IP Attrition'!BO$65)/12*'IP Attrition'!BO115,0)))</f>
        <v>0</v>
      </c>
      <c r="BQ180" s="799">
        <f>IF(EOMONTH(Inputs!$C$8,'IP Attrition'!BQ$134-1)&lt;=Inputs!$C$9,0,MIN(IF(ISERROR(VLOOKUP(BQ$134+$F180,$D$135:$D$165,1,FALSE)),0,BP48*$C$2),MAX((IF(Monthly!BM$4=TRUE,Monthly!BM$13,Monthly!BM$14)*(1+'Attrition Modeling'!$N$8)-'IP Attrition'!BP$65)/12*'IP Attrition'!BP115,0)))</f>
        <v>0</v>
      </c>
      <c r="BR180" s="799">
        <f>IF(EOMONTH(Inputs!$C$8,'IP Attrition'!BR$134-1)&lt;=Inputs!$C$9,0,MIN(IF(ISERROR(VLOOKUP(BR$134+$F180,$D$135:$D$165,1,FALSE)),0,BQ48*$C$2),MAX((IF(Monthly!BN$4=TRUE,Monthly!BN$13,Monthly!BN$14)*(1+'Attrition Modeling'!$N$8)-'IP Attrition'!BQ$65)/12*'IP Attrition'!BQ115,0)))</f>
        <v>0</v>
      </c>
      <c r="BS180" s="799">
        <f>IF(EOMONTH(Inputs!$C$8,'IP Attrition'!BS$134-1)&lt;=Inputs!$C$9,0,MIN(IF(ISERROR(VLOOKUP(BS$134+$F180,$D$135:$D$165,1,FALSE)),0,BR48*$C$2),MAX((IF(Monthly!BO$4=TRUE,Monthly!BO$13,Monthly!BO$14)*(1+'Attrition Modeling'!$N$8)-'IP Attrition'!BR$65)/12*'IP Attrition'!BR115,0)))</f>
        <v>0</v>
      </c>
      <c r="BT180" s="799" t="e">
        <f>IF(EOMONTH(Inputs!$C$8,'IP Attrition'!BT$134-1)&lt;=Inputs!$C$9,0,MIN(IF(ISERROR(VLOOKUP(BT$134+$F180,$D$135:$D$165,1,FALSE)),0,BS48*$C$2),MAX((IF(Monthly!#REF!=TRUE,Monthly!#REF!,Monthly!#REF!)*(1+'Attrition Modeling'!$N$8)-'IP Attrition'!BS$65)/12*'IP Attrition'!BS115,0)))</f>
        <v>#REF!</v>
      </c>
      <c r="BU180" s="799" t="e">
        <f>IF(EOMONTH(Inputs!$C$8,'IP Attrition'!BU$134-1)&lt;=Inputs!$C$9,0,MIN(IF(ISERROR(VLOOKUP(BU$134+$F180,$D$135:$D$165,1,FALSE)),0,BT48*$C$2),MAX((IF(Monthly!#REF!=TRUE,Monthly!#REF!,Monthly!#REF!)*(1+'Attrition Modeling'!$N$8)-'IP Attrition'!BT$65)/12*'IP Attrition'!BT115,0)))</f>
        <v>#REF!</v>
      </c>
    </row>
    <row r="181" spans="5:73" ht="14.25" customHeight="1" x14ac:dyDescent="0.2">
      <c r="E181" s="25">
        <f t="shared" si="71"/>
        <v>0</v>
      </c>
      <c r="F181" s="11">
        <f t="shared" si="73"/>
        <v>46</v>
      </c>
      <c r="G181" s="799"/>
      <c r="H181" s="799">
        <f>IF(EOMONTH(Inputs!$C$8,'IP Attrition'!H$134-1)&lt;=Inputs!$C$9,0,MIN(IF(ISERROR(VLOOKUP(H$134+$F181,$D$135:$D$165,1,FALSE)),0,G49*$C$2),MAX((IF(Monthly!D$4=TRUE,Monthly!D$13,Monthly!D$14)*(1+'Attrition Modeling'!$N$8)-'IP Attrition'!G$65)/12*'IP Attrition'!G116,0)))</f>
        <v>0</v>
      </c>
      <c r="I181" s="799">
        <f>IF(EOMONTH(Inputs!$C$8,'IP Attrition'!I$134-1)&lt;=Inputs!$C$9,0,MIN(IF(ISERROR(VLOOKUP(I$134+$F181,$D$135:$D$165,1,FALSE)),0,H49*$C$2),MAX((IF(Monthly!E$4=TRUE,Monthly!E$13,Monthly!E$14)*(1+'Attrition Modeling'!$N$8)-'IP Attrition'!H$65)/12*'IP Attrition'!H116,0)))</f>
        <v>0</v>
      </c>
      <c r="J181" s="799">
        <f>IF(EOMONTH(Inputs!$C$8,'IP Attrition'!J$134-1)&lt;=Inputs!$C$9,0,MIN(IF(ISERROR(VLOOKUP(J$134+$F181,$D$135:$D$165,1,FALSE)),0,I49*$C$2),MAX((IF(Monthly!F$4=TRUE,Monthly!F$13,Monthly!F$14)*(1+'Attrition Modeling'!$N$8)-'IP Attrition'!I$65)/12*'IP Attrition'!I116,0)))</f>
        <v>0</v>
      </c>
      <c r="K181" s="799">
        <f>IF(EOMONTH(Inputs!$C$8,'IP Attrition'!K$134-1)&lt;=Inputs!$C$9,0,MIN(IF(ISERROR(VLOOKUP(K$134+$F181,$D$135:$D$165,1,FALSE)),0,J49*$C$2),MAX((IF(Monthly!G$4=TRUE,Monthly!G$13,Monthly!G$14)*(1+'Attrition Modeling'!$N$8)-'IP Attrition'!J$65)/12*'IP Attrition'!J116,0)))</f>
        <v>0</v>
      </c>
      <c r="L181" s="799">
        <f>IF(EOMONTH(Inputs!$C$8,'IP Attrition'!L$134-1)&lt;=Inputs!$C$9,0,MIN(IF(ISERROR(VLOOKUP(L$134+$F181,$D$135:$D$165,1,FALSE)),0,K49*$C$2),MAX((IF(Monthly!H$4=TRUE,Monthly!H$13,Monthly!H$14)*(1+'Attrition Modeling'!$N$8)-'IP Attrition'!K$65)/12*'IP Attrition'!K116,0)))</f>
        <v>0</v>
      </c>
      <c r="M181" s="799">
        <f>IF(EOMONTH(Inputs!$C$8,'IP Attrition'!M$134-1)&lt;=Inputs!$C$9,0,MIN(IF(ISERROR(VLOOKUP(M$134+$F181,$D$135:$D$165,1,FALSE)),0,L49*$C$2),MAX((IF(Monthly!I$4=TRUE,Monthly!I$13,Monthly!I$14)*(1+'Attrition Modeling'!$N$8)-'IP Attrition'!L$65)/12*'IP Attrition'!L116,0)))</f>
        <v>0</v>
      </c>
      <c r="N181" s="799">
        <f>IF(EOMONTH(Inputs!$C$8,'IP Attrition'!N$134-1)&lt;=Inputs!$C$9,0,MIN(IF(ISERROR(VLOOKUP(N$134+$F181,$D$135:$D$165,1,FALSE)),0,M49*$C$2),MAX((IF(Monthly!J$4=TRUE,Monthly!J$13,Monthly!J$14)*(1+'Attrition Modeling'!$N$8)-'IP Attrition'!M$65)/12*'IP Attrition'!M116,0)))</f>
        <v>0</v>
      </c>
      <c r="O181" s="799">
        <f>IF(EOMONTH(Inputs!$C$8,'IP Attrition'!O$134-1)&lt;=Inputs!$C$9,0,MIN(IF(ISERROR(VLOOKUP(O$134+$F181,$D$135:$D$165,1,FALSE)),0,N49*$C$2),MAX((IF(Monthly!K$4=TRUE,Monthly!K$13,Monthly!K$14)*(1+'Attrition Modeling'!$N$8)-'IP Attrition'!N$65)/12*'IP Attrition'!N116,0)))</f>
        <v>0</v>
      </c>
      <c r="P181" s="799">
        <f>IF(EOMONTH(Inputs!$C$8,'IP Attrition'!P$134-1)&lt;=Inputs!$C$9,0,MIN(IF(ISERROR(VLOOKUP(P$134+$F181,$D$135:$D$165,1,FALSE)),0,O49*$C$2),MAX((IF(Monthly!L$4=TRUE,Monthly!L$13,Monthly!L$14)*(1+'Attrition Modeling'!$N$8)-'IP Attrition'!O$65)/12*'IP Attrition'!O116,0)))</f>
        <v>0</v>
      </c>
      <c r="Q181" s="799">
        <f>IF(EOMONTH(Inputs!$C$8,'IP Attrition'!Q$134-1)&lt;=Inputs!$C$9,0,MIN(IF(ISERROR(VLOOKUP(Q$134+$F181,$D$135:$D$165,1,FALSE)),0,P49*$C$2),MAX((IF(Monthly!M$4=TRUE,Monthly!M$13,Monthly!M$14)*(1+'Attrition Modeling'!$N$8)-'IP Attrition'!P$65)/12*'IP Attrition'!P116,0)))</f>
        <v>0</v>
      </c>
      <c r="R181" s="799">
        <f>IF(EOMONTH(Inputs!$C$8,'IP Attrition'!R$134-1)&lt;=Inputs!$C$9,0,MIN(IF(ISERROR(VLOOKUP(R$134+$F181,$D$135:$D$165,1,FALSE)),0,Q49*$C$2),MAX((IF(Monthly!N$4=TRUE,Monthly!N$13,Monthly!N$14)*(1+'Attrition Modeling'!$N$8)-'IP Attrition'!Q$65)/12*'IP Attrition'!Q116,0)))</f>
        <v>0</v>
      </c>
      <c r="S181" s="799">
        <f>IF(EOMONTH(Inputs!$C$8,'IP Attrition'!S$134-1)&lt;=Inputs!$C$9,0,MIN(IF(ISERROR(VLOOKUP(S$134+$F181,$D$135:$D$165,1,FALSE)),0,R49*$C$2),MAX((IF(Monthly!O$4=TRUE,Monthly!O$13,Monthly!O$14)*(1+'Attrition Modeling'!$N$8)-'IP Attrition'!R$65)/12*'IP Attrition'!R116,0)))</f>
        <v>0</v>
      </c>
      <c r="T181" s="799">
        <f>IF(EOMONTH(Inputs!$C$8,'IP Attrition'!T$134-1)&lt;=Inputs!$C$9,0,MIN(IF(ISERROR(VLOOKUP(T$134+$F181,$D$135:$D$165,1,FALSE)),0,S49*$C$2),MAX((IF(Monthly!P$4=TRUE,Monthly!P$13,Monthly!P$14)*(1+'Attrition Modeling'!$N$8)-'IP Attrition'!S$65)/12*'IP Attrition'!S116,0)))</f>
        <v>0</v>
      </c>
      <c r="U181" s="799">
        <f>IF(EOMONTH(Inputs!$C$8,'IP Attrition'!U$134-1)&lt;=Inputs!$C$9,0,MIN(IF(ISERROR(VLOOKUP(U$134+$F181,$D$135:$D$165,1,FALSE)),0,T49*$C$2),MAX((IF(Monthly!Q$4=TRUE,Monthly!Q$13,Monthly!Q$14)*(1+'Attrition Modeling'!$N$8)-'IP Attrition'!T$65)/12*'IP Attrition'!T116,0)))</f>
        <v>0</v>
      </c>
      <c r="V181" s="799">
        <f>IF(EOMONTH(Inputs!$C$8,'IP Attrition'!V$134-1)&lt;=Inputs!$C$9,0,MIN(IF(ISERROR(VLOOKUP(V$134+$F181,$D$135:$D$165,1,FALSE)),0,U49*$C$2),MAX((IF(Monthly!R$4=TRUE,Monthly!R$13,Monthly!R$14)*(1+'Attrition Modeling'!$N$8)-'IP Attrition'!U$65)/12*'IP Attrition'!U116,0)))</f>
        <v>0</v>
      </c>
      <c r="W181" s="799">
        <f>IF(EOMONTH(Inputs!$C$8,'IP Attrition'!W$134-1)&lt;=Inputs!$C$9,0,MIN(IF(ISERROR(VLOOKUP(W$134+$F181,$D$135:$D$165,1,FALSE)),0,V49*$C$2),MAX((IF(Monthly!S$4=TRUE,Monthly!S$13,Monthly!S$14)*(1+'Attrition Modeling'!$N$8)-'IP Attrition'!V$65)/12*'IP Attrition'!V116,0)))</f>
        <v>0</v>
      </c>
      <c r="X181" s="799">
        <f>IF(EOMONTH(Inputs!$C$8,'IP Attrition'!X$134-1)&lt;=Inputs!$C$9,0,MIN(IF(ISERROR(VLOOKUP(X$134+$F181,$D$135:$D$165,1,FALSE)),0,W49*$C$2),MAX((IF(Monthly!T$4=TRUE,Monthly!T$13,Monthly!T$14)*(1+'Attrition Modeling'!$N$8)-'IP Attrition'!W$65)/12*'IP Attrition'!W116,0)))</f>
        <v>0</v>
      </c>
      <c r="Y181" s="799">
        <f>IF(EOMONTH(Inputs!$C$8,'IP Attrition'!Y$134-1)&lt;=Inputs!$C$9,0,MIN(IF(ISERROR(VLOOKUP(Y$134+$F181,$D$135:$D$165,1,FALSE)),0,X49*$C$2),MAX((IF(Monthly!U$4=TRUE,Monthly!U$13,Monthly!U$14)*(1+'Attrition Modeling'!$N$8)-'IP Attrition'!X$65)/12*'IP Attrition'!X116,0)))</f>
        <v>0</v>
      </c>
      <c r="Z181" s="799">
        <f>IF(EOMONTH(Inputs!$C$8,'IP Attrition'!Z$134-1)&lt;=Inputs!$C$9,0,MIN(IF(ISERROR(VLOOKUP(Z$134+$F181,$D$135:$D$165,1,FALSE)),0,Y49*$C$2),MAX((IF(Monthly!V$4=TRUE,Monthly!V$13,Monthly!V$14)*(1+'Attrition Modeling'!$N$8)-'IP Attrition'!Y$65)/12*'IP Attrition'!Y116,0)))</f>
        <v>0</v>
      </c>
      <c r="AA181" s="799">
        <f>IF(EOMONTH(Inputs!$C$8,'IP Attrition'!AA$134-1)&lt;=Inputs!$C$9,0,MIN(IF(ISERROR(VLOOKUP(AA$134+$F181,$D$135:$D$165,1,FALSE)),0,Z49*$C$2),MAX((IF(Monthly!W$4=TRUE,Monthly!W$13,Monthly!W$14)*(1+'Attrition Modeling'!$N$8)-'IP Attrition'!Z$65)/12*'IP Attrition'!Z116,0)))</f>
        <v>0</v>
      </c>
      <c r="AB181" s="799">
        <f>IF(EOMONTH(Inputs!$C$8,'IP Attrition'!AB$134-1)&lt;=Inputs!$C$9,0,MIN(IF(ISERROR(VLOOKUP(AB$134+$F181,$D$135:$D$165,1,FALSE)),0,AA49*$C$2),MAX((IF(Monthly!X$4=TRUE,Monthly!X$13,Monthly!X$14)*(1+'Attrition Modeling'!$N$8)-'IP Attrition'!AA$65)/12*'IP Attrition'!AA116,0)))</f>
        <v>0</v>
      </c>
      <c r="AC181" s="799">
        <f>IF(EOMONTH(Inputs!$C$8,'IP Attrition'!AC$134-1)&lt;=Inputs!$C$9,0,MIN(IF(ISERROR(VLOOKUP(AC$134+$F181,$D$135:$D$165,1,FALSE)),0,AB49*$C$2),MAX((IF(Monthly!Y$4=TRUE,Monthly!Y$13,Monthly!Y$14)*(1+'Attrition Modeling'!$N$8)-'IP Attrition'!AB$65)/12*'IP Attrition'!AB116,0)))</f>
        <v>0</v>
      </c>
      <c r="AD181" s="799">
        <f>IF(EOMONTH(Inputs!$C$8,'IP Attrition'!AD$134-1)&lt;=Inputs!$C$9,0,MIN(IF(ISERROR(VLOOKUP(AD$134+$F181,$D$135:$D$165,1,FALSE)),0,AC49*$C$2),MAX((IF(Monthly!Z$4=TRUE,Monthly!Z$13,Monthly!Z$14)*(1+'Attrition Modeling'!$N$8)-'IP Attrition'!AC$65)/12*'IP Attrition'!AC116,0)))</f>
        <v>0</v>
      </c>
      <c r="AE181" s="799">
        <f>IF(EOMONTH(Inputs!$C$8,'IP Attrition'!AE$134-1)&lt;=Inputs!$C$9,0,MIN(IF(ISERROR(VLOOKUP(AE$134+$F181,$D$135:$D$165,1,FALSE)),0,AD49*$C$2),MAX((IF(Monthly!AA$4=TRUE,Monthly!AA$13,Monthly!AA$14)*(1+'Attrition Modeling'!$N$8)-'IP Attrition'!AD$65)/12*'IP Attrition'!AD116,0)))</f>
        <v>0</v>
      </c>
      <c r="AF181" s="799">
        <f>IF(EOMONTH(Inputs!$C$8,'IP Attrition'!AF$134-1)&lt;=Inputs!$C$9,0,MIN(IF(ISERROR(VLOOKUP(AF$134+$F181,$D$135:$D$165,1,FALSE)),0,AE49*$C$2),MAX((IF(Monthly!AB$4=TRUE,Monthly!AB$13,Monthly!AB$14)*(1+'Attrition Modeling'!$N$8)-'IP Attrition'!AE$65)/12*'IP Attrition'!AE116,0)))</f>
        <v>0</v>
      </c>
      <c r="AG181" s="799">
        <f>IF(EOMONTH(Inputs!$C$8,'IP Attrition'!AG$134-1)&lt;=Inputs!$C$9,0,MIN(IF(ISERROR(VLOOKUP(AG$134+$F181,$D$135:$D$165,1,FALSE)),0,AF49*$C$2),MAX((IF(Monthly!AC$4=TRUE,Monthly!AC$13,Monthly!AC$14)*(1+'Attrition Modeling'!$N$8)-'IP Attrition'!AF$65)/12*'IP Attrition'!AF116,0)))</f>
        <v>0</v>
      </c>
      <c r="AH181" s="799">
        <f>IF(EOMONTH(Inputs!$C$8,'IP Attrition'!AH$134-1)&lt;=Inputs!$C$9,0,MIN(IF(ISERROR(VLOOKUP(AH$134+$F181,$D$135:$D$165,1,FALSE)),0,AG49*$C$2),MAX((IF(Monthly!AD$4=TRUE,Monthly!AD$13,Monthly!AD$14)*(1+'Attrition Modeling'!$N$8)-'IP Attrition'!AG$65)/12*'IP Attrition'!AG116,0)))</f>
        <v>0</v>
      </c>
      <c r="AI181" s="799">
        <f>IF(EOMONTH(Inputs!$C$8,'IP Attrition'!AI$134-1)&lt;=Inputs!$C$9,0,MIN(IF(ISERROR(VLOOKUP(AI$134+$F181,$D$135:$D$165,1,FALSE)),0,AH49*$C$2),MAX((IF(Monthly!AE$4=TRUE,Monthly!AE$13,Monthly!AE$14)*(1+'Attrition Modeling'!$N$8)-'IP Attrition'!AH$65)/12*'IP Attrition'!AH116,0)))</f>
        <v>0</v>
      </c>
      <c r="AJ181" s="799">
        <f>IF(EOMONTH(Inputs!$C$8,'IP Attrition'!AJ$134-1)&lt;=Inputs!$C$9,0,MIN(IF(ISERROR(VLOOKUP(AJ$134+$F181,$D$135:$D$165,1,FALSE)),0,AI49*$C$2),MAX((IF(Monthly!AF$4=TRUE,Monthly!AF$13,Monthly!AF$14)*(1+'Attrition Modeling'!$N$8)-'IP Attrition'!AI$65)/12*'IP Attrition'!AI116,0)))</f>
        <v>0</v>
      </c>
      <c r="AK181" s="799">
        <f>IF(EOMONTH(Inputs!$C$8,'IP Attrition'!AK$134-1)&lt;=Inputs!$C$9,0,MIN(IF(ISERROR(VLOOKUP(AK$134+$F181,$D$135:$D$165,1,FALSE)),0,AJ49*$C$2),MAX((IF(Monthly!AG$4=TRUE,Monthly!AG$13,Monthly!AG$14)*(1+'Attrition Modeling'!$N$8)-'IP Attrition'!AJ$65)/12*'IP Attrition'!AJ116,0)))</f>
        <v>0</v>
      </c>
      <c r="AL181" s="799">
        <f>IF(EOMONTH(Inputs!$C$8,'IP Attrition'!AL$134-1)&lt;=Inputs!$C$9,0,MIN(IF(ISERROR(VLOOKUP(AL$134+$F181,$D$135:$D$165,1,FALSE)),0,AK49*$C$2),MAX((IF(Monthly!AH$4=TRUE,Monthly!AH$13,Monthly!AH$14)*(1+'Attrition Modeling'!$N$8)-'IP Attrition'!AK$65)/12*'IP Attrition'!AK116,0)))</f>
        <v>0</v>
      </c>
      <c r="AM181" s="799">
        <f>IF(EOMONTH(Inputs!$C$8,'IP Attrition'!AM$134-1)&lt;=Inputs!$C$9,0,MIN(IF(ISERROR(VLOOKUP(AM$134+$F181,$D$135:$D$165,1,FALSE)),0,AL49*$C$2),MAX((IF(Monthly!AI$4=TRUE,Monthly!AI$13,Monthly!AI$14)*(1+'Attrition Modeling'!$N$8)-'IP Attrition'!AL$65)/12*'IP Attrition'!AL116,0)))</f>
        <v>0</v>
      </c>
      <c r="AN181" s="799">
        <f>IF(EOMONTH(Inputs!$C$8,'IP Attrition'!AN$134-1)&lt;=Inputs!$C$9,0,MIN(IF(ISERROR(VLOOKUP(AN$134+$F181,$D$135:$D$165,1,FALSE)),0,AM49*$C$2),MAX((IF(Monthly!AJ$4=TRUE,Monthly!AJ$13,Monthly!AJ$14)*(1+'Attrition Modeling'!$N$8)-'IP Attrition'!AM$65)/12*'IP Attrition'!AM116,0)))</f>
        <v>0</v>
      </c>
      <c r="AO181" s="799">
        <f>IF(EOMONTH(Inputs!$C$8,'IP Attrition'!AO$134-1)&lt;=Inputs!$C$9,0,MIN(IF(ISERROR(VLOOKUP(AO$134+$F181,$D$135:$D$165,1,FALSE)),0,AN49*$C$2),MAX((IF(Monthly!AK$4=TRUE,Monthly!AK$13,Monthly!AK$14)*(1+'Attrition Modeling'!$N$8)-'IP Attrition'!AN$65)/12*'IP Attrition'!AN116,0)))</f>
        <v>0</v>
      </c>
      <c r="AP181" s="799">
        <f>IF(EOMONTH(Inputs!$C$8,'IP Attrition'!AP$134-1)&lt;=Inputs!$C$9,0,MIN(IF(ISERROR(VLOOKUP(AP$134+$F181,$D$135:$D$165,1,FALSE)),0,AO49*$C$2),MAX((IF(Monthly!AL$4=TRUE,Monthly!AL$13,Monthly!AL$14)*(1+'Attrition Modeling'!$N$8)-'IP Attrition'!AO$65)/12*'IP Attrition'!AO116,0)))</f>
        <v>0</v>
      </c>
      <c r="AQ181" s="799">
        <f>IF(EOMONTH(Inputs!$C$8,'IP Attrition'!AQ$134-1)&lt;=Inputs!$C$9,0,MIN(IF(ISERROR(VLOOKUP(AQ$134+$F181,$D$135:$D$165,1,FALSE)),0,AP49*$C$2),MAX((IF(Monthly!AM$4=TRUE,Monthly!AM$13,Monthly!AM$14)*(1+'Attrition Modeling'!$N$8)-'IP Attrition'!AP$65)/12*'IP Attrition'!AP116,0)))</f>
        <v>0</v>
      </c>
      <c r="AR181" s="799">
        <f>IF(EOMONTH(Inputs!$C$8,'IP Attrition'!AR$134-1)&lt;=Inputs!$C$9,0,MIN(IF(ISERROR(VLOOKUP(AR$134+$F181,$D$135:$D$165,1,FALSE)),0,AQ49*$C$2),MAX((IF(Monthly!AN$4=TRUE,Monthly!AN$13,Monthly!AN$14)*(1+'Attrition Modeling'!$N$8)-'IP Attrition'!AQ$65)/12*'IP Attrition'!AQ116,0)))</f>
        <v>0</v>
      </c>
      <c r="AS181" s="799">
        <f>IF(EOMONTH(Inputs!$C$8,'IP Attrition'!AS$134-1)&lt;=Inputs!$C$9,0,MIN(IF(ISERROR(VLOOKUP(AS$134+$F181,$D$135:$D$165,1,FALSE)),0,AR49*$C$2),MAX((IF(Monthly!AO$4=TRUE,Monthly!AO$13,Monthly!AO$14)*(1+'Attrition Modeling'!$N$8)-'IP Attrition'!AR$65)/12*'IP Attrition'!AR116,0)))</f>
        <v>0</v>
      </c>
      <c r="AT181" s="799">
        <f>IF(EOMONTH(Inputs!$C$8,'IP Attrition'!AT$134-1)&lt;=Inputs!$C$9,0,MIN(IF(ISERROR(VLOOKUP(AT$134+$F181,$D$135:$D$165,1,FALSE)),0,AS49*$C$2),MAX((IF(Monthly!AP$4=TRUE,Monthly!AP$13,Monthly!AP$14)*(1+'Attrition Modeling'!$N$8)-'IP Attrition'!AS$65)/12*'IP Attrition'!AS116,0)))</f>
        <v>0</v>
      </c>
      <c r="AU181" s="799">
        <f>IF(EOMONTH(Inputs!$C$8,'IP Attrition'!AU$134-1)&lt;=Inputs!$C$9,0,MIN(IF(ISERROR(VLOOKUP(AU$134+$F181,$D$135:$D$165,1,FALSE)),0,AT49*$C$2),MAX((IF(Monthly!AQ$4=TRUE,Monthly!AQ$13,Monthly!AQ$14)*(1+'Attrition Modeling'!$N$8)-'IP Attrition'!AT$65)/12*'IP Attrition'!AT116,0)))</f>
        <v>0</v>
      </c>
      <c r="AV181" s="799">
        <f>IF(EOMONTH(Inputs!$C$8,'IP Attrition'!AV$134-1)&lt;=Inputs!$C$9,0,MIN(IF(ISERROR(VLOOKUP(AV$134+$F181,$D$135:$D$165,1,FALSE)),0,AU49*$C$2),MAX((IF(Monthly!AR$4=TRUE,Monthly!AR$13,Monthly!AR$14)*(1+'Attrition Modeling'!$N$8)-'IP Attrition'!AU$65)/12*'IP Attrition'!AU116,0)))</f>
        <v>0</v>
      </c>
      <c r="AW181" s="799">
        <f>IF(EOMONTH(Inputs!$C$8,'IP Attrition'!AW$134-1)&lt;=Inputs!$C$9,0,MIN(IF(ISERROR(VLOOKUP(AW$134+$F181,$D$135:$D$165,1,FALSE)),0,AV49*$C$2),MAX((IF(Monthly!AS$4=TRUE,Monthly!AS$13,Monthly!AS$14)*(1+'Attrition Modeling'!$N$8)-'IP Attrition'!AV$65)/12*'IP Attrition'!AV116,0)))</f>
        <v>0</v>
      </c>
      <c r="AX181" s="799">
        <f>IF(EOMONTH(Inputs!$C$8,'IP Attrition'!AX$134-1)&lt;=Inputs!$C$9,0,MIN(IF(ISERROR(VLOOKUP(AX$134+$F181,$D$135:$D$165,1,FALSE)),0,AW49*$C$2),MAX((IF(Monthly!AT$4=TRUE,Monthly!AT$13,Monthly!AT$14)*(1+'Attrition Modeling'!$N$8)-'IP Attrition'!AW$65)/12*'IP Attrition'!AW116,0)))</f>
        <v>0</v>
      </c>
      <c r="AY181" s="799">
        <f>IF(EOMONTH(Inputs!$C$8,'IP Attrition'!AY$134-1)&lt;=Inputs!$C$9,0,MIN(IF(ISERROR(VLOOKUP(AY$134+$F181,$D$135:$D$165,1,FALSE)),0,AX49*$C$2),MAX((IF(Monthly!AU$4=TRUE,Monthly!AU$13,Monthly!AU$14)*(1+'Attrition Modeling'!$N$8)-'IP Attrition'!AX$65)/12*'IP Attrition'!AX116,0)))</f>
        <v>0</v>
      </c>
      <c r="AZ181" s="799">
        <f>IF(EOMONTH(Inputs!$C$8,'IP Attrition'!AZ$134-1)&lt;=Inputs!$C$9,0,MIN(IF(ISERROR(VLOOKUP(AZ$134+$F181,$D$135:$D$165,1,FALSE)),0,AY49*$C$2),MAX((IF(Monthly!AV$4=TRUE,Monthly!AV$13,Monthly!AV$14)*(1+'Attrition Modeling'!$N$8)-'IP Attrition'!AY$65)/12*'IP Attrition'!AY116,0)))</f>
        <v>0</v>
      </c>
      <c r="BA181" s="799">
        <f>IF(EOMONTH(Inputs!$C$8,'IP Attrition'!BA$134-1)&lt;=Inputs!$C$9,0,MIN(IF(ISERROR(VLOOKUP(BA$134+$F181,$D$135:$D$165,1,FALSE)),0,AZ49*$C$2),MAX((IF(Monthly!AW$4=TRUE,Monthly!AW$13,Monthly!AW$14)*(1+'Attrition Modeling'!$N$8)-'IP Attrition'!AZ$65)/12*'IP Attrition'!AZ116,0)))</f>
        <v>0</v>
      </c>
      <c r="BB181" s="799">
        <f>IF(EOMONTH(Inputs!$C$8,'IP Attrition'!BB$134-1)&lt;=Inputs!$C$9,0,MIN(IF(ISERROR(VLOOKUP(BB$134+$F181,$D$135:$D$165,1,FALSE)),0,BA49*$C$2),MAX((IF(Monthly!AX$4=TRUE,Monthly!AX$13,Monthly!AX$14)*(1+'Attrition Modeling'!$N$8)-'IP Attrition'!BA$65)/12*'IP Attrition'!BA116,0)))</f>
        <v>0</v>
      </c>
      <c r="BC181" s="799">
        <f>IF(EOMONTH(Inputs!$C$8,'IP Attrition'!BC$134-1)&lt;=Inputs!$C$9,0,MIN(IF(ISERROR(VLOOKUP(BC$134+$F181,$D$135:$D$165,1,FALSE)),0,BB49*$C$2),MAX((IF(Monthly!AY$4=TRUE,Monthly!AY$13,Monthly!AY$14)*(1+'Attrition Modeling'!$N$8)-'IP Attrition'!BB$65)/12*'IP Attrition'!BB116,0)))</f>
        <v>0</v>
      </c>
      <c r="BD181" s="799">
        <f>IF(EOMONTH(Inputs!$C$8,'IP Attrition'!BD$134-1)&lt;=Inputs!$C$9,0,MIN(IF(ISERROR(VLOOKUP(BD$134+$F181,$D$135:$D$165,1,FALSE)),0,BC49*$C$2),MAX((IF(Monthly!AZ$4=TRUE,Monthly!AZ$13,Monthly!AZ$14)*(1+'Attrition Modeling'!$N$8)-'IP Attrition'!BC$65)/12*'IP Attrition'!BC116,0)))</f>
        <v>0</v>
      </c>
      <c r="BE181" s="799">
        <f>IF(EOMONTH(Inputs!$C$8,'IP Attrition'!BE$134-1)&lt;=Inputs!$C$9,0,MIN(IF(ISERROR(VLOOKUP(BE$134+$F181,$D$135:$D$165,1,FALSE)),0,BD49*$C$2),MAX((IF(Monthly!BA$4=TRUE,Monthly!BA$13,Monthly!BA$14)*(1+'Attrition Modeling'!$N$8)-'IP Attrition'!BD$65)/12*'IP Attrition'!BD116,0)))</f>
        <v>0</v>
      </c>
      <c r="BF181" s="799">
        <f>IF(EOMONTH(Inputs!$C$8,'IP Attrition'!BF$134-1)&lt;=Inputs!$C$9,0,MIN(IF(ISERROR(VLOOKUP(BF$134+$F181,$D$135:$D$165,1,FALSE)),0,BE49*$C$2),MAX((IF(Monthly!BB$4=TRUE,Monthly!BB$13,Monthly!BB$14)*(1+'Attrition Modeling'!$N$8)-'IP Attrition'!BE$65)/12*'IP Attrition'!BE116,0)))</f>
        <v>0</v>
      </c>
      <c r="BG181" s="799">
        <f>IF(EOMONTH(Inputs!$C$8,'IP Attrition'!BG$134-1)&lt;=Inputs!$C$9,0,MIN(IF(ISERROR(VLOOKUP(BG$134+$F181,$D$135:$D$165,1,FALSE)),0,BF49*$C$2),MAX((IF(Monthly!BC$4=TRUE,Monthly!BC$13,Monthly!BC$14)*(1+'Attrition Modeling'!$N$8)-'IP Attrition'!BF$65)/12*'IP Attrition'!BF116,0)))</f>
        <v>0</v>
      </c>
      <c r="BH181" s="799">
        <f>IF(EOMONTH(Inputs!$C$8,'IP Attrition'!BH$134-1)&lt;=Inputs!$C$9,0,MIN(IF(ISERROR(VLOOKUP(BH$134+$F181,$D$135:$D$165,1,FALSE)),0,BG49*$C$2),MAX((IF(Monthly!BD$4=TRUE,Monthly!BD$13,Monthly!BD$14)*(1+'Attrition Modeling'!$N$8)-'IP Attrition'!BG$65)/12*'IP Attrition'!BG116,0)))</f>
        <v>0</v>
      </c>
      <c r="BI181" s="799">
        <f>IF(EOMONTH(Inputs!$C$8,'IP Attrition'!BI$134-1)&lt;=Inputs!$C$9,0,MIN(IF(ISERROR(VLOOKUP(BI$134+$F181,$D$135:$D$165,1,FALSE)),0,BH49*$C$2),MAX((IF(Monthly!BE$4=TRUE,Monthly!BE$13,Monthly!BE$14)*(1+'Attrition Modeling'!$N$8)-'IP Attrition'!BH$65)/12*'IP Attrition'!BH116,0)))</f>
        <v>0</v>
      </c>
      <c r="BJ181" s="799">
        <f>IF(EOMONTH(Inputs!$C$8,'IP Attrition'!BJ$134-1)&lt;=Inputs!$C$9,0,MIN(IF(ISERROR(VLOOKUP(BJ$134+$F181,$D$135:$D$165,1,FALSE)),0,BI49*$C$2),MAX((IF(Monthly!BF$4=TRUE,Monthly!BF$13,Monthly!BF$14)*(1+'Attrition Modeling'!$N$8)-'IP Attrition'!BI$65)/12*'IP Attrition'!BI116,0)))</f>
        <v>0</v>
      </c>
      <c r="BK181" s="799">
        <f>IF(EOMONTH(Inputs!$C$8,'IP Attrition'!BK$134-1)&lt;=Inputs!$C$9,0,MIN(IF(ISERROR(VLOOKUP(BK$134+$F181,$D$135:$D$165,1,FALSE)),0,BJ49*$C$2),MAX((IF(Monthly!BG$4=TRUE,Monthly!BG$13,Monthly!BG$14)*(1+'Attrition Modeling'!$N$8)-'IP Attrition'!BJ$65)/12*'IP Attrition'!BJ116,0)))</f>
        <v>0</v>
      </c>
      <c r="BL181" s="799">
        <f>IF(EOMONTH(Inputs!$C$8,'IP Attrition'!BL$134-1)&lt;=Inputs!$C$9,0,MIN(IF(ISERROR(VLOOKUP(BL$134+$F181,$D$135:$D$165,1,FALSE)),0,BK49*$C$2),MAX((IF(Monthly!BH$4=TRUE,Monthly!BH$13,Monthly!BH$14)*(1+'Attrition Modeling'!$N$8)-'IP Attrition'!BK$65)/12*'IP Attrition'!BK116,0)))</f>
        <v>0</v>
      </c>
      <c r="BM181" s="799">
        <f>IF(EOMONTH(Inputs!$C$8,'IP Attrition'!BM$134-1)&lt;=Inputs!$C$9,0,MIN(IF(ISERROR(VLOOKUP(BM$134+$F181,$D$135:$D$165,1,FALSE)),0,BL49*$C$2),MAX((IF(Monthly!BI$4=TRUE,Monthly!BI$13,Monthly!BI$14)*(1+'Attrition Modeling'!$N$8)-'IP Attrition'!BL$65)/12*'IP Attrition'!BL116,0)))</f>
        <v>0</v>
      </c>
      <c r="BN181" s="799">
        <f>IF(EOMONTH(Inputs!$C$8,'IP Attrition'!BN$134-1)&lt;=Inputs!$C$9,0,MIN(IF(ISERROR(VLOOKUP(BN$134+$F181,$D$135:$D$165,1,FALSE)),0,BM49*$C$2),MAX((IF(Monthly!BJ$4=TRUE,Monthly!BJ$13,Monthly!BJ$14)*(1+'Attrition Modeling'!$N$8)-'IP Attrition'!BM$65)/12*'IP Attrition'!BM116,0)))</f>
        <v>0</v>
      </c>
      <c r="BO181" s="799">
        <f>IF(EOMONTH(Inputs!$C$8,'IP Attrition'!BO$134-1)&lt;=Inputs!$C$9,0,MIN(IF(ISERROR(VLOOKUP(BO$134+$F181,$D$135:$D$165,1,FALSE)),0,BN49*$C$2),MAX((IF(Monthly!BK$4=TRUE,Monthly!BK$13,Monthly!BK$14)*(1+'Attrition Modeling'!$N$8)-'IP Attrition'!BN$65)/12*'IP Attrition'!BN116,0)))</f>
        <v>0</v>
      </c>
      <c r="BP181" s="799">
        <f>IF(EOMONTH(Inputs!$C$8,'IP Attrition'!BP$134-1)&lt;=Inputs!$C$9,0,MIN(IF(ISERROR(VLOOKUP(BP$134+$F181,$D$135:$D$165,1,FALSE)),0,BO49*$C$2),MAX((IF(Monthly!BL$4=TRUE,Monthly!BL$13,Monthly!BL$14)*(1+'Attrition Modeling'!$N$8)-'IP Attrition'!BO$65)/12*'IP Attrition'!BO116,0)))</f>
        <v>0</v>
      </c>
      <c r="BQ181" s="799">
        <f>IF(EOMONTH(Inputs!$C$8,'IP Attrition'!BQ$134-1)&lt;=Inputs!$C$9,0,MIN(IF(ISERROR(VLOOKUP(BQ$134+$F181,$D$135:$D$165,1,FALSE)),0,BP49*$C$2),MAX((IF(Monthly!BM$4=TRUE,Monthly!BM$13,Monthly!BM$14)*(1+'Attrition Modeling'!$N$8)-'IP Attrition'!BP$65)/12*'IP Attrition'!BP116,0)))</f>
        <v>0</v>
      </c>
      <c r="BR181" s="799">
        <f>IF(EOMONTH(Inputs!$C$8,'IP Attrition'!BR$134-1)&lt;=Inputs!$C$9,0,MIN(IF(ISERROR(VLOOKUP(BR$134+$F181,$D$135:$D$165,1,FALSE)),0,BQ49*$C$2),MAX((IF(Monthly!BN$4=TRUE,Monthly!BN$13,Monthly!BN$14)*(1+'Attrition Modeling'!$N$8)-'IP Attrition'!BQ$65)/12*'IP Attrition'!BQ116,0)))</f>
        <v>0</v>
      </c>
      <c r="BS181" s="799">
        <f>IF(EOMONTH(Inputs!$C$8,'IP Attrition'!BS$134-1)&lt;=Inputs!$C$9,0,MIN(IF(ISERROR(VLOOKUP(BS$134+$F181,$D$135:$D$165,1,FALSE)),0,BR49*$C$2),MAX((IF(Monthly!BO$4=TRUE,Monthly!BO$13,Monthly!BO$14)*(1+'Attrition Modeling'!$N$8)-'IP Attrition'!BR$65)/12*'IP Attrition'!BR116,0)))</f>
        <v>0</v>
      </c>
      <c r="BT181" s="799" t="e">
        <f>IF(EOMONTH(Inputs!$C$8,'IP Attrition'!BT$134-1)&lt;=Inputs!$C$9,0,MIN(IF(ISERROR(VLOOKUP(BT$134+$F181,$D$135:$D$165,1,FALSE)),0,BS49*$C$2),MAX((IF(Monthly!#REF!=TRUE,Monthly!#REF!,Monthly!#REF!)*(1+'Attrition Modeling'!$N$8)-'IP Attrition'!BS$65)/12*'IP Attrition'!BS116,0)))</f>
        <v>#REF!</v>
      </c>
      <c r="BU181" s="799" t="e">
        <f>IF(EOMONTH(Inputs!$C$8,'IP Attrition'!BU$134-1)&lt;=Inputs!$C$9,0,MIN(IF(ISERROR(VLOOKUP(BU$134+$F181,$D$135:$D$165,1,FALSE)),0,BT49*$C$2),MAX((IF(Monthly!#REF!=TRUE,Monthly!#REF!,Monthly!#REF!)*(1+'Attrition Modeling'!$N$8)-'IP Attrition'!BT$65)/12*'IP Attrition'!BT116,0)))</f>
        <v>#REF!</v>
      </c>
    </row>
    <row r="182" spans="5:73" ht="14.25" customHeight="1" x14ac:dyDescent="0.2">
      <c r="E182" s="25">
        <f t="shared" si="71"/>
        <v>0</v>
      </c>
      <c r="F182" s="11">
        <f t="shared" si="73"/>
        <v>47</v>
      </c>
      <c r="G182" s="799"/>
      <c r="H182" s="799">
        <f>IF(EOMONTH(Inputs!$C$8,'IP Attrition'!H$134-1)&lt;=Inputs!$C$9,0,MIN(IF(ISERROR(VLOOKUP(H$134+$F182,$D$135:$D$165,1,FALSE)),0,G50*$C$2),MAX((IF(Monthly!D$4=TRUE,Monthly!D$13,Monthly!D$14)*(1+'Attrition Modeling'!$N$8)-'IP Attrition'!G$65)/12*'IP Attrition'!G117,0)))</f>
        <v>0</v>
      </c>
      <c r="I182" s="799">
        <f>IF(EOMONTH(Inputs!$C$8,'IP Attrition'!I$134-1)&lt;=Inputs!$C$9,0,MIN(IF(ISERROR(VLOOKUP(I$134+$F182,$D$135:$D$165,1,FALSE)),0,H50*$C$2),MAX((IF(Monthly!E$4=TRUE,Monthly!E$13,Monthly!E$14)*(1+'Attrition Modeling'!$N$8)-'IP Attrition'!H$65)/12*'IP Attrition'!H117,0)))</f>
        <v>0</v>
      </c>
      <c r="J182" s="799">
        <f>IF(EOMONTH(Inputs!$C$8,'IP Attrition'!J$134-1)&lt;=Inputs!$C$9,0,MIN(IF(ISERROR(VLOOKUP(J$134+$F182,$D$135:$D$165,1,FALSE)),0,I50*$C$2),MAX((IF(Monthly!F$4=TRUE,Monthly!F$13,Monthly!F$14)*(1+'Attrition Modeling'!$N$8)-'IP Attrition'!I$65)/12*'IP Attrition'!I117,0)))</f>
        <v>0</v>
      </c>
      <c r="K182" s="799">
        <f>IF(EOMONTH(Inputs!$C$8,'IP Attrition'!K$134-1)&lt;=Inputs!$C$9,0,MIN(IF(ISERROR(VLOOKUP(K$134+$F182,$D$135:$D$165,1,FALSE)),0,J50*$C$2),MAX((IF(Monthly!G$4=TRUE,Monthly!G$13,Monthly!G$14)*(1+'Attrition Modeling'!$N$8)-'IP Attrition'!J$65)/12*'IP Attrition'!J117,0)))</f>
        <v>0</v>
      </c>
      <c r="L182" s="799">
        <f>IF(EOMONTH(Inputs!$C$8,'IP Attrition'!L$134-1)&lt;=Inputs!$C$9,0,MIN(IF(ISERROR(VLOOKUP(L$134+$F182,$D$135:$D$165,1,FALSE)),0,K50*$C$2),MAX((IF(Monthly!H$4=TRUE,Monthly!H$13,Monthly!H$14)*(1+'Attrition Modeling'!$N$8)-'IP Attrition'!K$65)/12*'IP Attrition'!K117,0)))</f>
        <v>0</v>
      </c>
      <c r="M182" s="799">
        <f>IF(EOMONTH(Inputs!$C$8,'IP Attrition'!M$134-1)&lt;=Inputs!$C$9,0,MIN(IF(ISERROR(VLOOKUP(M$134+$F182,$D$135:$D$165,1,FALSE)),0,L50*$C$2),MAX((IF(Monthly!I$4=TRUE,Monthly!I$13,Monthly!I$14)*(1+'Attrition Modeling'!$N$8)-'IP Attrition'!L$65)/12*'IP Attrition'!L117,0)))</f>
        <v>0</v>
      </c>
      <c r="N182" s="799">
        <f>IF(EOMONTH(Inputs!$C$8,'IP Attrition'!N$134-1)&lt;=Inputs!$C$9,0,MIN(IF(ISERROR(VLOOKUP(N$134+$F182,$D$135:$D$165,1,FALSE)),0,M50*$C$2),MAX((IF(Monthly!J$4=TRUE,Monthly!J$13,Monthly!J$14)*(1+'Attrition Modeling'!$N$8)-'IP Attrition'!M$65)/12*'IP Attrition'!M117,0)))</f>
        <v>0</v>
      </c>
      <c r="O182" s="799">
        <f>IF(EOMONTH(Inputs!$C$8,'IP Attrition'!O$134-1)&lt;=Inputs!$C$9,0,MIN(IF(ISERROR(VLOOKUP(O$134+$F182,$D$135:$D$165,1,FALSE)),0,N50*$C$2),MAX((IF(Monthly!K$4=TRUE,Monthly!K$13,Monthly!K$14)*(1+'Attrition Modeling'!$N$8)-'IP Attrition'!N$65)/12*'IP Attrition'!N117,0)))</f>
        <v>0</v>
      </c>
      <c r="P182" s="799">
        <f>IF(EOMONTH(Inputs!$C$8,'IP Attrition'!P$134-1)&lt;=Inputs!$C$9,0,MIN(IF(ISERROR(VLOOKUP(P$134+$F182,$D$135:$D$165,1,FALSE)),0,O50*$C$2),MAX((IF(Monthly!L$4=TRUE,Monthly!L$13,Monthly!L$14)*(1+'Attrition Modeling'!$N$8)-'IP Attrition'!O$65)/12*'IP Attrition'!O117,0)))</f>
        <v>0</v>
      </c>
      <c r="Q182" s="799">
        <f>IF(EOMONTH(Inputs!$C$8,'IP Attrition'!Q$134-1)&lt;=Inputs!$C$9,0,MIN(IF(ISERROR(VLOOKUP(Q$134+$F182,$D$135:$D$165,1,FALSE)),0,P50*$C$2),MAX((IF(Monthly!M$4=TRUE,Monthly!M$13,Monthly!M$14)*(1+'Attrition Modeling'!$N$8)-'IP Attrition'!P$65)/12*'IP Attrition'!P117,0)))</f>
        <v>0</v>
      </c>
      <c r="R182" s="799">
        <f>IF(EOMONTH(Inputs!$C$8,'IP Attrition'!R$134-1)&lt;=Inputs!$C$9,0,MIN(IF(ISERROR(VLOOKUP(R$134+$F182,$D$135:$D$165,1,FALSE)),0,Q50*$C$2),MAX((IF(Monthly!N$4=TRUE,Monthly!N$13,Monthly!N$14)*(1+'Attrition Modeling'!$N$8)-'IP Attrition'!Q$65)/12*'IP Attrition'!Q117,0)))</f>
        <v>0</v>
      </c>
      <c r="S182" s="799">
        <f>IF(EOMONTH(Inputs!$C$8,'IP Attrition'!S$134-1)&lt;=Inputs!$C$9,0,MIN(IF(ISERROR(VLOOKUP(S$134+$F182,$D$135:$D$165,1,FALSE)),0,R50*$C$2),MAX((IF(Monthly!O$4=TRUE,Monthly!O$13,Monthly!O$14)*(1+'Attrition Modeling'!$N$8)-'IP Attrition'!R$65)/12*'IP Attrition'!R117,0)))</f>
        <v>0</v>
      </c>
      <c r="T182" s="799">
        <f>IF(EOMONTH(Inputs!$C$8,'IP Attrition'!T$134-1)&lt;=Inputs!$C$9,0,MIN(IF(ISERROR(VLOOKUP(T$134+$F182,$D$135:$D$165,1,FALSE)),0,S50*$C$2),MAX((IF(Monthly!P$4=TRUE,Monthly!P$13,Monthly!P$14)*(1+'Attrition Modeling'!$N$8)-'IP Attrition'!S$65)/12*'IP Attrition'!S117,0)))</f>
        <v>0</v>
      </c>
      <c r="U182" s="799">
        <f>IF(EOMONTH(Inputs!$C$8,'IP Attrition'!U$134-1)&lt;=Inputs!$C$9,0,MIN(IF(ISERROR(VLOOKUP(U$134+$F182,$D$135:$D$165,1,FALSE)),0,T50*$C$2),MAX((IF(Monthly!Q$4=TRUE,Monthly!Q$13,Monthly!Q$14)*(1+'Attrition Modeling'!$N$8)-'IP Attrition'!T$65)/12*'IP Attrition'!T117,0)))</f>
        <v>0</v>
      </c>
      <c r="V182" s="799">
        <f>IF(EOMONTH(Inputs!$C$8,'IP Attrition'!V$134-1)&lt;=Inputs!$C$9,0,MIN(IF(ISERROR(VLOOKUP(V$134+$F182,$D$135:$D$165,1,FALSE)),0,U50*$C$2),MAX((IF(Monthly!R$4=TRUE,Monthly!R$13,Monthly!R$14)*(1+'Attrition Modeling'!$N$8)-'IP Attrition'!U$65)/12*'IP Attrition'!U117,0)))</f>
        <v>0</v>
      </c>
      <c r="W182" s="799">
        <f>IF(EOMONTH(Inputs!$C$8,'IP Attrition'!W$134-1)&lt;=Inputs!$C$9,0,MIN(IF(ISERROR(VLOOKUP(W$134+$F182,$D$135:$D$165,1,FALSE)),0,V50*$C$2),MAX((IF(Monthly!S$4=TRUE,Monthly!S$13,Monthly!S$14)*(1+'Attrition Modeling'!$N$8)-'IP Attrition'!V$65)/12*'IP Attrition'!V117,0)))</f>
        <v>0</v>
      </c>
      <c r="X182" s="799">
        <f>IF(EOMONTH(Inputs!$C$8,'IP Attrition'!X$134-1)&lt;=Inputs!$C$9,0,MIN(IF(ISERROR(VLOOKUP(X$134+$F182,$D$135:$D$165,1,FALSE)),0,W50*$C$2),MAX((IF(Monthly!T$4=TRUE,Monthly!T$13,Monthly!T$14)*(1+'Attrition Modeling'!$N$8)-'IP Attrition'!W$65)/12*'IP Attrition'!W117,0)))</f>
        <v>0</v>
      </c>
      <c r="Y182" s="799">
        <f>IF(EOMONTH(Inputs!$C$8,'IP Attrition'!Y$134-1)&lt;=Inputs!$C$9,0,MIN(IF(ISERROR(VLOOKUP(Y$134+$F182,$D$135:$D$165,1,FALSE)),0,X50*$C$2),MAX((IF(Monthly!U$4=TRUE,Monthly!U$13,Monthly!U$14)*(1+'Attrition Modeling'!$N$8)-'IP Attrition'!X$65)/12*'IP Attrition'!X117,0)))</f>
        <v>0</v>
      </c>
      <c r="Z182" s="799">
        <f>IF(EOMONTH(Inputs!$C$8,'IP Attrition'!Z$134-1)&lt;=Inputs!$C$9,0,MIN(IF(ISERROR(VLOOKUP(Z$134+$F182,$D$135:$D$165,1,FALSE)),0,Y50*$C$2),MAX((IF(Monthly!V$4=TRUE,Monthly!V$13,Monthly!V$14)*(1+'Attrition Modeling'!$N$8)-'IP Attrition'!Y$65)/12*'IP Attrition'!Y117,0)))</f>
        <v>0</v>
      </c>
      <c r="AA182" s="799">
        <f>IF(EOMONTH(Inputs!$C$8,'IP Attrition'!AA$134-1)&lt;=Inputs!$C$9,0,MIN(IF(ISERROR(VLOOKUP(AA$134+$F182,$D$135:$D$165,1,FALSE)),0,Z50*$C$2),MAX((IF(Monthly!W$4=TRUE,Monthly!W$13,Monthly!W$14)*(1+'Attrition Modeling'!$N$8)-'IP Attrition'!Z$65)/12*'IP Attrition'!Z117,0)))</f>
        <v>0</v>
      </c>
      <c r="AB182" s="799">
        <f>IF(EOMONTH(Inputs!$C$8,'IP Attrition'!AB$134-1)&lt;=Inputs!$C$9,0,MIN(IF(ISERROR(VLOOKUP(AB$134+$F182,$D$135:$D$165,1,FALSE)),0,AA50*$C$2),MAX((IF(Monthly!X$4=TRUE,Monthly!X$13,Monthly!X$14)*(1+'Attrition Modeling'!$N$8)-'IP Attrition'!AA$65)/12*'IP Attrition'!AA117,0)))</f>
        <v>0</v>
      </c>
      <c r="AC182" s="799">
        <f>IF(EOMONTH(Inputs!$C$8,'IP Attrition'!AC$134-1)&lt;=Inputs!$C$9,0,MIN(IF(ISERROR(VLOOKUP(AC$134+$F182,$D$135:$D$165,1,FALSE)),0,AB50*$C$2),MAX((IF(Monthly!Y$4=TRUE,Monthly!Y$13,Monthly!Y$14)*(1+'Attrition Modeling'!$N$8)-'IP Attrition'!AB$65)/12*'IP Attrition'!AB117,0)))</f>
        <v>0</v>
      </c>
      <c r="AD182" s="799">
        <f>IF(EOMONTH(Inputs!$C$8,'IP Attrition'!AD$134-1)&lt;=Inputs!$C$9,0,MIN(IF(ISERROR(VLOOKUP(AD$134+$F182,$D$135:$D$165,1,FALSE)),0,AC50*$C$2),MAX((IF(Monthly!Z$4=TRUE,Monthly!Z$13,Monthly!Z$14)*(1+'Attrition Modeling'!$N$8)-'IP Attrition'!AC$65)/12*'IP Attrition'!AC117,0)))</f>
        <v>0</v>
      </c>
      <c r="AE182" s="799">
        <f>IF(EOMONTH(Inputs!$C$8,'IP Attrition'!AE$134-1)&lt;=Inputs!$C$9,0,MIN(IF(ISERROR(VLOOKUP(AE$134+$F182,$D$135:$D$165,1,FALSE)),0,AD50*$C$2),MAX((IF(Monthly!AA$4=TRUE,Monthly!AA$13,Monthly!AA$14)*(1+'Attrition Modeling'!$N$8)-'IP Attrition'!AD$65)/12*'IP Attrition'!AD117,0)))</f>
        <v>0</v>
      </c>
      <c r="AF182" s="799">
        <f>IF(EOMONTH(Inputs!$C$8,'IP Attrition'!AF$134-1)&lt;=Inputs!$C$9,0,MIN(IF(ISERROR(VLOOKUP(AF$134+$F182,$D$135:$D$165,1,FALSE)),0,AE50*$C$2),MAX((IF(Monthly!AB$4=TRUE,Monthly!AB$13,Monthly!AB$14)*(1+'Attrition Modeling'!$N$8)-'IP Attrition'!AE$65)/12*'IP Attrition'!AE117,0)))</f>
        <v>0</v>
      </c>
      <c r="AG182" s="799">
        <f>IF(EOMONTH(Inputs!$C$8,'IP Attrition'!AG$134-1)&lt;=Inputs!$C$9,0,MIN(IF(ISERROR(VLOOKUP(AG$134+$F182,$D$135:$D$165,1,FALSE)),0,AF50*$C$2),MAX((IF(Monthly!AC$4=TRUE,Monthly!AC$13,Monthly!AC$14)*(1+'Attrition Modeling'!$N$8)-'IP Attrition'!AF$65)/12*'IP Attrition'!AF117,0)))</f>
        <v>0</v>
      </c>
      <c r="AH182" s="799">
        <f>IF(EOMONTH(Inputs!$C$8,'IP Attrition'!AH$134-1)&lt;=Inputs!$C$9,0,MIN(IF(ISERROR(VLOOKUP(AH$134+$F182,$D$135:$D$165,1,FALSE)),0,AG50*$C$2),MAX((IF(Monthly!AD$4=TRUE,Monthly!AD$13,Monthly!AD$14)*(1+'Attrition Modeling'!$N$8)-'IP Attrition'!AG$65)/12*'IP Attrition'!AG117,0)))</f>
        <v>0</v>
      </c>
      <c r="AI182" s="799">
        <f>IF(EOMONTH(Inputs!$C$8,'IP Attrition'!AI$134-1)&lt;=Inputs!$C$9,0,MIN(IF(ISERROR(VLOOKUP(AI$134+$F182,$D$135:$D$165,1,FALSE)),0,AH50*$C$2),MAX((IF(Monthly!AE$4=TRUE,Monthly!AE$13,Monthly!AE$14)*(1+'Attrition Modeling'!$N$8)-'IP Attrition'!AH$65)/12*'IP Attrition'!AH117,0)))</f>
        <v>0</v>
      </c>
      <c r="AJ182" s="799">
        <f>IF(EOMONTH(Inputs!$C$8,'IP Attrition'!AJ$134-1)&lt;=Inputs!$C$9,0,MIN(IF(ISERROR(VLOOKUP(AJ$134+$F182,$D$135:$D$165,1,FALSE)),0,AI50*$C$2),MAX((IF(Monthly!AF$4=TRUE,Monthly!AF$13,Monthly!AF$14)*(1+'Attrition Modeling'!$N$8)-'IP Attrition'!AI$65)/12*'IP Attrition'!AI117,0)))</f>
        <v>0</v>
      </c>
      <c r="AK182" s="799">
        <f>IF(EOMONTH(Inputs!$C$8,'IP Attrition'!AK$134-1)&lt;=Inputs!$C$9,0,MIN(IF(ISERROR(VLOOKUP(AK$134+$F182,$D$135:$D$165,1,FALSE)),0,AJ50*$C$2),MAX((IF(Monthly!AG$4=TRUE,Monthly!AG$13,Monthly!AG$14)*(1+'Attrition Modeling'!$N$8)-'IP Attrition'!AJ$65)/12*'IP Attrition'!AJ117,0)))</f>
        <v>0</v>
      </c>
      <c r="AL182" s="799">
        <f>IF(EOMONTH(Inputs!$C$8,'IP Attrition'!AL$134-1)&lt;=Inputs!$C$9,0,MIN(IF(ISERROR(VLOOKUP(AL$134+$F182,$D$135:$D$165,1,FALSE)),0,AK50*$C$2),MAX((IF(Monthly!AH$4=TRUE,Monthly!AH$13,Monthly!AH$14)*(1+'Attrition Modeling'!$N$8)-'IP Attrition'!AK$65)/12*'IP Attrition'!AK117,0)))</f>
        <v>0</v>
      </c>
      <c r="AM182" s="799">
        <f>IF(EOMONTH(Inputs!$C$8,'IP Attrition'!AM$134-1)&lt;=Inputs!$C$9,0,MIN(IF(ISERROR(VLOOKUP(AM$134+$F182,$D$135:$D$165,1,FALSE)),0,AL50*$C$2),MAX((IF(Monthly!AI$4=TRUE,Monthly!AI$13,Monthly!AI$14)*(1+'Attrition Modeling'!$N$8)-'IP Attrition'!AL$65)/12*'IP Attrition'!AL117,0)))</f>
        <v>0</v>
      </c>
      <c r="AN182" s="799">
        <f>IF(EOMONTH(Inputs!$C$8,'IP Attrition'!AN$134-1)&lt;=Inputs!$C$9,0,MIN(IF(ISERROR(VLOOKUP(AN$134+$F182,$D$135:$D$165,1,FALSE)),0,AM50*$C$2),MAX((IF(Monthly!AJ$4=TRUE,Monthly!AJ$13,Monthly!AJ$14)*(1+'Attrition Modeling'!$N$8)-'IP Attrition'!AM$65)/12*'IP Attrition'!AM117,0)))</f>
        <v>0</v>
      </c>
      <c r="AO182" s="799">
        <f>IF(EOMONTH(Inputs!$C$8,'IP Attrition'!AO$134-1)&lt;=Inputs!$C$9,0,MIN(IF(ISERROR(VLOOKUP(AO$134+$F182,$D$135:$D$165,1,FALSE)),0,AN50*$C$2),MAX((IF(Monthly!AK$4=TRUE,Monthly!AK$13,Monthly!AK$14)*(1+'Attrition Modeling'!$N$8)-'IP Attrition'!AN$65)/12*'IP Attrition'!AN117,0)))</f>
        <v>0</v>
      </c>
      <c r="AP182" s="799">
        <f>IF(EOMONTH(Inputs!$C$8,'IP Attrition'!AP$134-1)&lt;=Inputs!$C$9,0,MIN(IF(ISERROR(VLOOKUP(AP$134+$F182,$D$135:$D$165,1,FALSE)),0,AO50*$C$2),MAX((IF(Monthly!AL$4=TRUE,Monthly!AL$13,Monthly!AL$14)*(1+'Attrition Modeling'!$N$8)-'IP Attrition'!AO$65)/12*'IP Attrition'!AO117,0)))</f>
        <v>0</v>
      </c>
      <c r="AQ182" s="799">
        <f>IF(EOMONTH(Inputs!$C$8,'IP Attrition'!AQ$134-1)&lt;=Inputs!$C$9,0,MIN(IF(ISERROR(VLOOKUP(AQ$134+$F182,$D$135:$D$165,1,FALSE)),0,AP50*$C$2),MAX((IF(Monthly!AM$4=TRUE,Monthly!AM$13,Monthly!AM$14)*(1+'Attrition Modeling'!$N$8)-'IP Attrition'!AP$65)/12*'IP Attrition'!AP117,0)))</f>
        <v>0</v>
      </c>
      <c r="AR182" s="799">
        <f>IF(EOMONTH(Inputs!$C$8,'IP Attrition'!AR$134-1)&lt;=Inputs!$C$9,0,MIN(IF(ISERROR(VLOOKUP(AR$134+$F182,$D$135:$D$165,1,FALSE)),0,AQ50*$C$2),MAX((IF(Monthly!AN$4=TRUE,Monthly!AN$13,Monthly!AN$14)*(1+'Attrition Modeling'!$N$8)-'IP Attrition'!AQ$65)/12*'IP Attrition'!AQ117,0)))</f>
        <v>0</v>
      </c>
      <c r="AS182" s="799">
        <f>IF(EOMONTH(Inputs!$C$8,'IP Attrition'!AS$134-1)&lt;=Inputs!$C$9,0,MIN(IF(ISERROR(VLOOKUP(AS$134+$F182,$D$135:$D$165,1,FALSE)),0,AR50*$C$2),MAX((IF(Monthly!AO$4=TRUE,Monthly!AO$13,Monthly!AO$14)*(1+'Attrition Modeling'!$N$8)-'IP Attrition'!AR$65)/12*'IP Attrition'!AR117,0)))</f>
        <v>0</v>
      </c>
      <c r="AT182" s="799">
        <f>IF(EOMONTH(Inputs!$C$8,'IP Attrition'!AT$134-1)&lt;=Inputs!$C$9,0,MIN(IF(ISERROR(VLOOKUP(AT$134+$F182,$D$135:$D$165,1,FALSE)),0,AS50*$C$2),MAX((IF(Monthly!AP$4=TRUE,Monthly!AP$13,Monthly!AP$14)*(1+'Attrition Modeling'!$N$8)-'IP Attrition'!AS$65)/12*'IP Attrition'!AS117,0)))</f>
        <v>0</v>
      </c>
      <c r="AU182" s="799">
        <f>IF(EOMONTH(Inputs!$C$8,'IP Attrition'!AU$134-1)&lt;=Inputs!$C$9,0,MIN(IF(ISERROR(VLOOKUP(AU$134+$F182,$D$135:$D$165,1,FALSE)),0,AT50*$C$2),MAX((IF(Monthly!AQ$4=TRUE,Monthly!AQ$13,Monthly!AQ$14)*(1+'Attrition Modeling'!$N$8)-'IP Attrition'!AT$65)/12*'IP Attrition'!AT117,0)))</f>
        <v>0</v>
      </c>
      <c r="AV182" s="799">
        <f>IF(EOMONTH(Inputs!$C$8,'IP Attrition'!AV$134-1)&lt;=Inputs!$C$9,0,MIN(IF(ISERROR(VLOOKUP(AV$134+$F182,$D$135:$D$165,1,FALSE)),0,AU50*$C$2),MAX((IF(Monthly!AR$4=TRUE,Monthly!AR$13,Monthly!AR$14)*(1+'Attrition Modeling'!$N$8)-'IP Attrition'!AU$65)/12*'IP Attrition'!AU117,0)))</f>
        <v>0</v>
      </c>
      <c r="AW182" s="799">
        <f>IF(EOMONTH(Inputs!$C$8,'IP Attrition'!AW$134-1)&lt;=Inputs!$C$9,0,MIN(IF(ISERROR(VLOOKUP(AW$134+$F182,$D$135:$D$165,1,FALSE)),0,AV50*$C$2),MAX((IF(Monthly!AS$4=TRUE,Monthly!AS$13,Monthly!AS$14)*(1+'Attrition Modeling'!$N$8)-'IP Attrition'!AV$65)/12*'IP Attrition'!AV117,0)))</f>
        <v>0</v>
      </c>
      <c r="AX182" s="799">
        <f>IF(EOMONTH(Inputs!$C$8,'IP Attrition'!AX$134-1)&lt;=Inputs!$C$9,0,MIN(IF(ISERROR(VLOOKUP(AX$134+$F182,$D$135:$D$165,1,FALSE)),0,AW50*$C$2),MAX((IF(Monthly!AT$4=TRUE,Monthly!AT$13,Monthly!AT$14)*(1+'Attrition Modeling'!$N$8)-'IP Attrition'!AW$65)/12*'IP Attrition'!AW117,0)))</f>
        <v>0</v>
      </c>
      <c r="AY182" s="799">
        <f>IF(EOMONTH(Inputs!$C$8,'IP Attrition'!AY$134-1)&lt;=Inputs!$C$9,0,MIN(IF(ISERROR(VLOOKUP(AY$134+$F182,$D$135:$D$165,1,FALSE)),0,AX50*$C$2),MAX((IF(Monthly!AU$4=TRUE,Monthly!AU$13,Monthly!AU$14)*(1+'Attrition Modeling'!$N$8)-'IP Attrition'!AX$65)/12*'IP Attrition'!AX117,0)))</f>
        <v>0</v>
      </c>
      <c r="AZ182" s="799">
        <f>IF(EOMONTH(Inputs!$C$8,'IP Attrition'!AZ$134-1)&lt;=Inputs!$C$9,0,MIN(IF(ISERROR(VLOOKUP(AZ$134+$F182,$D$135:$D$165,1,FALSE)),0,AY50*$C$2),MAX((IF(Monthly!AV$4=TRUE,Monthly!AV$13,Monthly!AV$14)*(1+'Attrition Modeling'!$N$8)-'IP Attrition'!AY$65)/12*'IP Attrition'!AY117,0)))</f>
        <v>0</v>
      </c>
      <c r="BA182" s="799">
        <f>IF(EOMONTH(Inputs!$C$8,'IP Attrition'!BA$134-1)&lt;=Inputs!$C$9,0,MIN(IF(ISERROR(VLOOKUP(BA$134+$F182,$D$135:$D$165,1,FALSE)),0,AZ50*$C$2),MAX((IF(Monthly!AW$4=TRUE,Monthly!AW$13,Monthly!AW$14)*(1+'Attrition Modeling'!$N$8)-'IP Attrition'!AZ$65)/12*'IP Attrition'!AZ117,0)))</f>
        <v>0</v>
      </c>
      <c r="BB182" s="799">
        <f>IF(EOMONTH(Inputs!$C$8,'IP Attrition'!BB$134-1)&lt;=Inputs!$C$9,0,MIN(IF(ISERROR(VLOOKUP(BB$134+$F182,$D$135:$D$165,1,FALSE)),0,BA50*$C$2),MAX((IF(Monthly!AX$4=TRUE,Monthly!AX$13,Monthly!AX$14)*(1+'Attrition Modeling'!$N$8)-'IP Attrition'!BA$65)/12*'IP Attrition'!BA117,0)))</f>
        <v>0</v>
      </c>
      <c r="BC182" s="799">
        <f>IF(EOMONTH(Inputs!$C$8,'IP Attrition'!BC$134-1)&lt;=Inputs!$C$9,0,MIN(IF(ISERROR(VLOOKUP(BC$134+$F182,$D$135:$D$165,1,FALSE)),0,BB50*$C$2),MAX((IF(Monthly!AY$4=TRUE,Monthly!AY$13,Monthly!AY$14)*(1+'Attrition Modeling'!$N$8)-'IP Attrition'!BB$65)/12*'IP Attrition'!BB117,0)))</f>
        <v>0</v>
      </c>
      <c r="BD182" s="799">
        <f>IF(EOMONTH(Inputs!$C$8,'IP Attrition'!BD$134-1)&lt;=Inputs!$C$9,0,MIN(IF(ISERROR(VLOOKUP(BD$134+$F182,$D$135:$D$165,1,FALSE)),0,BC50*$C$2),MAX((IF(Monthly!AZ$4=TRUE,Monthly!AZ$13,Monthly!AZ$14)*(1+'Attrition Modeling'!$N$8)-'IP Attrition'!BC$65)/12*'IP Attrition'!BC117,0)))</f>
        <v>0</v>
      </c>
      <c r="BE182" s="799">
        <f>IF(EOMONTH(Inputs!$C$8,'IP Attrition'!BE$134-1)&lt;=Inputs!$C$9,0,MIN(IF(ISERROR(VLOOKUP(BE$134+$F182,$D$135:$D$165,1,FALSE)),0,BD50*$C$2),MAX((IF(Monthly!BA$4=TRUE,Monthly!BA$13,Monthly!BA$14)*(1+'Attrition Modeling'!$N$8)-'IP Attrition'!BD$65)/12*'IP Attrition'!BD117,0)))</f>
        <v>0</v>
      </c>
      <c r="BF182" s="799">
        <f>IF(EOMONTH(Inputs!$C$8,'IP Attrition'!BF$134-1)&lt;=Inputs!$C$9,0,MIN(IF(ISERROR(VLOOKUP(BF$134+$F182,$D$135:$D$165,1,FALSE)),0,BE50*$C$2),MAX((IF(Monthly!BB$4=TRUE,Monthly!BB$13,Monthly!BB$14)*(1+'Attrition Modeling'!$N$8)-'IP Attrition'!BE$65)/12*'IP Attrition'!BE117,0)))</f>
        <v>0</v>
      </c>
      <c r="BG182" s="799">
        <f>IF(EOMONTH(Inputs!$C$8,'IP Attrition'!BG$134-1)&lt;=Inputs!$C$9,0,MIN(IF(ISERROR(VLOOKUP(BG$134+$F182,$D$135:$D$165,1,FALSE)),0,BF50*$C$2),MAX((IF(Monthly!BC$4=TRUE,Monthly!BC$13,Monthly!BC$14)*(1+'Attrition Modeling'!$N$8)-'IP Attrition'!BF$65)/12*'IP Attrition'!BF117,0)))</f>
        <v>0</v>
      </c>
      <c r="BH182" s="799">
        <f>IF(EOMONTH(Inputs!$C$8,'IP Attrition'!BH$134-1)&lt;=Inputs!$C$9,0,MIN(IF(ISERROR(VLOOKUP(BH$134+$F182,$D$135:$D$165,1,FALSE)),0,BG50*$C$2),MAX((IF(Monthly!BD$4=TRUE,Monthly!BD$13,Monthly!BD$14)*(1+'Attrition Modeling'!$N$8)-'IP Attrition'!BG$65)/12*'IP Attrition'!BG117,0)))</f>
        <v>0</v>
      </c>
      <c r="BI182" s="799">
        <f>IF(EOMONTH(Inputs!$C$8,'IP Attrition'!BI$134-1)&lt;=Inputs!$C$9,0,MIN(IF(ISERROR(VLOOKUP(BI$134+$F182,$D$135:$D$165,1,FALSE)),0,BH50*$C$2),MAX((IF(Monthly!BE$4=TRUE,Monthly!BE$13,Monthly!BE$14)*(1+'Attrition Modeling'!$N$8)-'IP Attrition'!BH$65)/12*'IP Attrition'!BH117,0)))</f>
        <v>0</v>
      </c>
      <c r="BJ182" s="799">
        <f>IF(EOMONTH(Inputs!$C$8,'IP Attrition'!BJ$134-1)&lt;=Inputs!$C$9,0,MIN(IF(ISERROR(VLOOKUP(BJ$134+$F182,$D$135:$D$165,1,FALSE)),0,BI50*$C$2),MAX((IF(Monthly!BF$4=TRUE,Monthly!BF$13,Monthly!BF$14)*(1+'Attrition Modeling'!$N$8)-'IP Attrition'!BI$65)/12*'IP Attrition'!BI117,0)))</f>
        <v>0</v>
      </c>
      <c r="BK182" s="799">
        <f>IF(EOMONTH(Inputs!$C$8,'IP Attrition'!BK$134-1)&lt;=Inputs!$C$9,0,MIN(IF(ISERROR(VLOOKUP(BK$134+$F182,$D$135:$D$165,1,FALSE)),0,BJ50*$C$2),MAX((IF(Monthly!BG$4=TRUE,Monthly!BG$13,Monthly!BG$14)*(1+'Attrition Modeling'!$N$8)-'IP Attrition'!BJ$65)/12*'IP Attrition'!BJ117,0)))</f>
        <v>0</v>
      </c>
      <c r="BL182" s="799">
        <f>IF(EOMONTH(Inputs!$C$8,'IP Attrition'!BL$134-1)&lt;=Inputs!$C$9,0,MIN(IF(ISERROR(VLOOKUP(BL$134+$F182,$D$135:$D$165,1,FALSE)),0,BK50*$C$2),MAX((IF(Monthly!BH$4=TRUE,Monthly!BH$13,Monthly!BH$14)*(1+'Attrition Modeling'!$N$8)-'IP Attrition'!BK$65)/12*'IP Attrition'!BK117,0)))</f>
        <v>0</v>
      </c>
      <c r="BM182" s="799">
        <f>IF(EOMONTH(Inputs!$C$8,'IP Attrition'!BM$134-1)&lt;=Inputs!$C$9,0,MIN(IF(ISERROR(VLOOKUP(BM$134+$F182,$D$135:$D$165,1,FALSE)),0,BL50*$C$2),MAX((IF(Monthly!BI$4=TRUE,Monthly!BI$13,Monthly!BI$14)*(1+'Attrition Modeling'!$N$8)-'IP Attrition'!BL$65)/12*'IP Attrition'!BL117,0)))</f>
        <v>0</v>
      </c>
      <c r="BN182" s="799">
        <f>IF(EOMONTH(Inputs!$C$8,'IP Attrition'!BN$134-1)&lt;=Inputs!$C$9,0,MIN(IF(ISERROR(VLOOKUP(BN$134+$F182,$D$135:$D$165,1,FALSE)),0,BM50*$C$2),MAX((IF(Monthly!BJ$4=TRUE,Monthly!BJ$13,Monthly!BJ$14)*(1+'Attrition Modeling'!$N$8)-'IP Attrition'!BM$65)/12*'IP Attrition'!BM117,0)))</f>
        <v>0</v>
      </c>
      <c r="BO182" s="799">
        <f>IF(EOMONTH(Inputs!$C$8,'IP Attrition'!BO$134-1)&lt;=Inputs!$C$9,0,MIN(IF(ISERROR(VLOOKUP(BO$134+$F182,$D$135:$D$165,1,FALSE)),0,BN50*$C$2),MAX((IF(Monthly!BK$4=TRUE,Monthly!BK$13,Monthly!BK$14)*(1+'Attrition Modeling'!$N$8)-'IP Attrition'!BN$65)/12*'IP Attrition'!BN117,0)))</f>
        <v>0</v>
      </c>
      <c r="BP182" s="799">
        <f>IF(EOMONTH(Inputs!$C$8,'IP Attrition'!BP$134-1)&lt;=Inputs!$C$9,0,MIN(IF(ISERROR(VLOOKUP(BP$134+$F182,$D$135:$D$165,1,FALSE)),0,BO50*$C$2),MAX((IF(Monthly!BL$4=TRUE,Monthly!BL$13,Monthly!BL$14)*(1+'Attrition Modeling'!$N$8)-'IP Attrition'!BO$65)/12*'IP Attrition'!BO117,0)))</f>
        <v>0</v>
      </c>
      <c r="BQ182" s="799">
        <f>IF(EOMONTH(Inputs!$C$8,'IP Attrition'!BQ$134-1)&lt;=Inputs!$C$9,0,MIN(IF(ISERROR(VLOOKUP(BQ$134+$F182,$D$135:$D$165,1,FALSE)),0,BP50*$C$2),MAX((IF(Monthly!BM$4=TRUE,Monthly!BM$13,Monthly!BM$14)*(1+'Attrition Modeling'!$N$8)-'IP Attrition'!BP$65)/12*'IP Attrition'!BP117,0)))</f>
        <v>0</v>
      </c>
      <c r="BR182" s="799">
        <f>IF(EOMONTH(Inputs!$C$8,'IP Attrition'!BR$134-1)&lt;=Inputs!$C$9,0,MIN(IF(ISERROR(VLOOKUP(BR$134+$F182,$D$135:$D$165,1,FALSE)),0,BQ50*$C$2),MAX((IF(Monthly!BN$4=TRUE,Monthly!BN$13,Monthly!BN$14)*(1+'Attrition Modeling'!$N$8)-'IP Attrition'!BQ$65)/12*'IP Attrition'!BQ117,0)))</f>
        <v>0</v>
      </c>
      <c r="BS182" s="799">
        <f>IF(EOMONTH(Inputs!$C$8,'IP Attrition'!BS$134-1)&lt;=Inputs!$C$9,0,MIN(IF(ISERROR(VLOOKUP(BS$134+$F182,$D$135:$D$165,1,FALSE)),0,BR50*$C$2),MAX((IF(Monthly!BO$4=TRUE,Monthly!BO$13,Monthly!BO$14)*(1+'Attrition Modeling'!$N$8)-'IP Attrition'!BR$65)/12*'IP Attrition'!BR117,0)))</f>
        <v>0</v>
      </c>
      <c r="BT182" s="799" t="e">
        <f>IF(EOMONTH(Inputs!$C$8,'IP Attrition'!BT$134-1)&lt;=Inputs!$C$9,0,MIN(IF(ISERROR(VLOOKUP(BT$134+$F182,$D$135:$D$165,1,FALSE)),0,BS50*$C$2),MAX((IF(Monthly!#REF!=TRUE,Monthly!#REF!,Monthly!#REF!)*(1+'Attrition Modeling'!$N$8)-'IP Attrition'!BS$65)/12*'IP Attrition'!BS117,0)))</f>
        <v>#REF!</v>
      </c>
      <c r="BU182" s="799" t="e">
        <f>IF(EOMONTH(Inputs!$C$8,'IP Attrition'!BU$134-1)&lt;=Inputs!$C$9,0,MIN(IF(ISERROR(VLOOKUP(BU$134+$F182,$D$135:$D$165,1,FALSE)),0,BT50*$C$2),MAX((IF(Monthly!#REF!=TRUE,Monthly!#REF!,Monthly!#REF!)*(1+'Attrition Modeling'!$N$8)-'IP Attrition'!BT$65)/12*'IP Attrition'!BT117,0)))</f>
        <v>#REF!</v>
      </c>
    </row>
    <row r="183" spans="5:73" ht="14.25" customHeight="1" x14ac:dyDescent="0.2">
      <c r="E183" s="25">
        <f t="shared" si="71"/>
        <v>0</v>
      </c>
      <c r="F183" s="11">
        <f t="shared" si="73"/>
        <v>48</v>
      </c>
      <c r="G183" s="799"/>
      <c r="H183" s="799">
        <f>IF(EOMONTH(Inputs!$C$8,'IP Attrition'!H$134-1)&lt;=Inputs!$C$9,0,MIN(IF(ISERROR(VLOOKUP(H$134+$F183,$D$135:$D$165,1,FALSE)),0,G51*$C$2),MAX((IF(Monthly!D$4=TRUE,Monthly!D$13,Monthly!D$14)*(1+'Attrition Modeling'!$N$8)-'IP Attrition'!G$65)/12*'IP Attrition'!G118,0)))</f>
        <v>0</v>
      </c>
      <c r="I183" s="799">
        <f>IF(EOMONTH(Inputs!$C$8,'IP Attrition'!I$134-1)&lt;=Inputs!$C$9,0,MIN(IF(ISERROR(VLOOKUP(I$134+$F183,$D$135:$D$165,1,FALSE)),0,H51*$C$2),MAX((IF(Monthly!E$4=TRUE,Monthly!E$13,Monthly!E$14)*(1+'Attrition Modeling'!$N$8)-'IP Attrition'!H$65)/12*'IP Attrition'!H118,0)))</f>
        <v>0</v>
      </c>
      <c r="J183" s="799">
        <f>IF(EOMONTH(Inputs!$C$8,'IP Attrition'!J$134-1)&lt;=Inputs!$C$9,0,MIN(IF(ISERROR(VLOOKUP(J$134+$F183,$D$135:$D$165,1,FALSE)),0,I51*$C$2),MAX((IF(Monthly!F$4=TRUE,Monthly!F$13,Monthly!F$14)*(1+'Attrition Modeling'!$N$8)-'IP Attrition'!I$65)/12*'IP Attrition'!I118,0)))</f>
        <v>0</v>
      </c>
      <c r="K183" s="799">
        <f>IF(EOMONTH(Inputs!$C$8,'IP Attrition'!K$134-1)&lt;=Inputs!$C$9,0,MIN(IF(ISERROR(VLOOKUP(K$134+$F183,$D$135:$D$165,1,FALSE)),0,J51*$C$2),MAX((IF(Monthly!G$4=TRUE,Monthly!G$13,Monthly!G$14)*(1+'Attrition Modeling'!$N$8)-'IP Attrition'!J$65)/12*'IP Attrition'!J118,0)))</f>
        <v>0</v>
      </c>
      <c r="L183" s="799">
        <f>IF(EOMONTH(Inputs!$C$8,'IP Attrition'!L$134-1)&lt;=Inputs!$C$9,0,MIN(IF(ISERROR(VLOOKUP(L$134+$F183,$D$135:$D$165,1,FALSE)),0,K51*$C$2),MAX((IF(Monthly!H$4=TRUE,Monthly!H$13,Monthly!H$14)*(1+'Attrition Modeling'!$N$8)-'IP Attrition'!K$65)/12*'IP Attrition'!K118,0)))</f>
        <v>0</v>
      </c>
      <c r="M183" s="799">
        <f>IF(EOMONTH(Inputs!$C$8,'IP Attrition'!M$134-1)&lt;=Inputs!$C$9,0,MIN(IF(ISERROR(VLOOKUP(M$134+$F183,$D$135:$D$165,1,FALSE)),0,L51*$C$2),MAX((IF(Monthly!I$4=TRUE,Monthly!I$13,Monthly!I$14)*(1+'Attrition Modeling'!$N$8)-'IP Attrition'!L$65)/12*'IP Attrition'!L118,0)))</f>
        <v>0</v>
      </c>
      <c r="N183" s="799">
        <f>IF(EOMONTH(Inputs!$C$8,'IP Attrition'!N$134-1)&lt;=Inputs!$C$9,0,MIN(IF(ISERROR(VLOOKUP(N$134+$F183,$D$135:$D$165,1,FALSE)),0,M51*$C$2),MAX((IF(Monthly!J$4=TRUE,Monthly!J$13,Monthly!J$14)*(1+'Attrition Modeling'!$N$8)-'IP Attrition'!M$65)/12*'IP Attrition'!M118,0)))</f>
        <v>0</v>
      </c>
      <c r="O183" s="799">
        <f>IF(EOMONTH(Inputs!$C$8,'IP Attrition'!O$134-1)&lt;=Inputs!$C$9,0,MIN(IF(ISERROR(VLOOKUP(O$134+$F183,$D$135:$D$165,1,FALSE)),0,N51*$C$2),MAX((IF(Monthly!K$4=TRUE,Monthly!K$13,Monthly!K$14)*(1+'Attrition Modeling'!$N$8)-'IP Attrition'!N$65)/12*'IP Attrition'!N118,0)))</f>
        <v>0</v>
      </c>
      <c r="P183" s="799">
        <f>IF(EOMONTH(Inputs!$C$8,'IP Attrition'!P$134-1)&lt;=Inputs!$C$9,0,MIN(IF(ISERROR(VLOOKUP(P$134+$F183,$D$135:$D$165,1,FALSE)),0,O51*$C$2),MAX((IF(Monthly!L$4=TRUE,Monthly!L$13,Monthly!L$14)*(1+'Attrition Modeling'!$N$8)-'IP Attrition'!O$65)/12*'IP Attrition'!O118,0)))</f>
        <v>0</v>
      </c>
      <c r="Q183" s="799">
        <f>IF(EOMONTH(Inputs!$C$8,'IP Attrition'!Q$134-1)&lt;=Inputs!$C$9,0,MIN(IF(ISERROR(VLOOKUP(Q$134+$F183,$D$135:$D$165,1,FALSE)),0,P51*$C$2),MAX((IF(Monthly!M$4=TRUE,Monthly!M$13,Monthly!M$14)*(1+'Attrition Modeling'!$N$8)-'IP Attrition'!P$65)/12*'IP Attrition'!P118,0)))</f>
        <v>0</v>
      </c>
      <c r="R183" s="799">
        <f>IF(EOMONTH(Inputs!$C$8,'IP Attrition'!R$134-1)&lt;=Inputs!$C$9,0,MIN(IF(ISERROR(VLOOKUP(R$134+$F183,$D$135:$D$165,1,FALSE)),0,Q51*$C$2),MAX((IF(Monthly!N$4=TRUE,Monthly!N$13,Monthly!N$14)*(1+'Attrition Modeling'!$N$8)-'IP Attrition'!Q$65)/12*'IP Attrition'!Q118,0)))</f>
        <v>0</v>
      </c>
      <c r="S183" s="799">
        <f>IF(EOMONTH(Inputs!$C$8,'IP Attrition'!S$134-1)&lt;=Inputs!$C$9,0,MIN(IF(ISERROR(VLOOKUP(S$134+$F183,$D$135:$D$165,1,FALSE)),0,R51*$C$2),MAX((IF(Monthly!O$4=TRUE,Monthly!O$13,Monthly!O$14)*(1+'Attrition Modeling'!$N$8)-'IP Attrition'!R$65)/12*'IP Attrition'!R118,0)))</f>
        <v>0</v>
      </c>
      <c r="T183" s="799">
        <f>IF(EOMONTH(Inputs!$C$8,'IP Attrition'!T$134-1)&lt;=Inputs!$C$9,0,MIN(IF(ISERROR(VLOOKUP(T$134+$F183,$D$135:$D$165,1,FALSE)),0,S51*$C$2),MAX((IF(Monthly!P$4=TRUE,Monthly!P$13,Monthly!P$14)*(1+'Attrition Modeling'!$N$8)-'IP Attrition'!S$65)/12*'IP Attrition'!S118,0)))</f>
        <v>0</v>
      </c>
      <c r="U183" s="799">
        <f>IF(EOMONTH(Inputs!$C$8,'IP Attrition'!U$134-1)&lt;=Inputs!$C$9,0,MIN(IF(ISERROR(VLOOKUP(U$134+$F183,$D$135:$D$165,1,FALSE)),0,T51*$C$2),MAX((IF(Monthly!Q$4=TRUE,Monthly!Q$13,Monthly!Q$14)*(1+'Attrition Modeling'!$N$8)-'IP Attrition'!T$65)/12*'IP Attrition'!T118,0)))</f>
        <v>0</v>
      </c>
      <c r="V183" s="799">
        <f>IF(EOMONTH(Inputs!$C$8,'IP Attrition'!V$134-1)&lt;=Inputs!$C$9,0,MIN(IF(ISERROR(VLOOKUP(V$134+$F183,$D$135:$D$165,1,FALSE)),0,U51*$C$2),MAX((IF(Monthly!R$4=TRUE,Monthly!R$13,Monthly!R$14)*(1+'Attrition Modeling'!$N$8)-'IP Attrition'!U$65)/12*'IP Attrition'!U118,0)))</f>
        <v>0</v>
      </c>
      <c r="W183" s="799">
        <f>IF(EOMONTH(Inputs!$C$8,'IP Attrition'!W$134-1)&lt;=Inputs!$C$9,0,MIN(IF(ISERROR(VLOOKUP(W$134+$F183,$D$135:$D$165,1,FALSE)),0,V51*$C$2),MAX((IF(Monthly!S$4=TRUE,Monthly!S$13,Monthly!S$14)*(1+'Attrition Modeling'!$N$8)-'IP Attrition'!V$65)/12*'IP Attrition'!V118,0)))</f>
        <v>0</v>
      </c>
      <c r="X183" s="799">
        <f>IF(EOMONTH(Inputs!$C$8,'IP Attrition'!X$134-1)&lt;=Inputs!$C$9,0,MIN(IF(ISERROR(VLOOKUP(X$134+$F183,$D$135:$D$165,1,FALSE)),0,W51*$C$2),MAX((IF(Monthly!T$4=TRUE,Monthly!T$13,Monthly!T$14)*(1+'Attrition Modeling'!$N$8)-'IP Attrition'!W$65)/12*'IP Attrition'!W118,0)))</f>
        <v>0</v>
      </c>
      <c r="Y183" s="799">
        <f>IF(EOMONTH(Inputs!$C$8,'IP Attrition'!Y$134-1)&lt;=Inputs!$C$9,0,MIN(IF(ISERROR(VLOOKUP(Y$134+$F183,$D$135:$D$165,1,FALSE)),0,X51*$C$2),MAX((IF(Monthly!U$4=TRUE,Monthly!U$13,Monthly!U$14)*(1+'Attrition Modeling'!$N$8)-'IP Attrition'!X$65)/12*'IP Attrition'!X118,0)))</f>
        <v>0</v>
      </c>
      <c r="Z183" s="799">
        <f>IF(EOMONTH(Inputs!$C$8,'IP Attrition'!Z$134-1)&lt;=Inputs!$C$9,0,MIN(IF(ISERROR(VLOOKUP(Z$134+$F183,$D$135:$D$165,1,FALSE)),0,Y51*$C$2),MAX((IF(Monthly!V$4=TRUE,Monthly!V$13,Monthly!V$14)*(1+'Attrition Modeling'!$N$8)-'IP Attrition'!Y$65)/12*'IP Attrition'!Y118,0)))</f>
        <v>0</v>
      </c>
      <c r="AA183" s="799">
        <f>IF(EOMONTH(Inputs!$C$8,'IP Attrition'!AA$134-1)&lt;=Inputs!$C$9,0,MIN(IF(ISERROR(VLOOKUP(AA$134+$F183,$D$135:$D$165,1,FALSE)),0,Z51*$C$2),MAX((IF(Monthly!W$4=TRUE,Monthly!W$13,Monthly!W$14)*(1+'Attrition Modeling'!$N$8)-'IP Attrition'!Z$65)/12*'IP Attrition'!Z118,0)))</f>
        <v>0</v>
      </c>
      <c r="AB183" s="799">
        <f>IF(EOMONTH(Inputs!$C$8,'IP Attrition'!AB$134-1)&lt;=Inputs!$C$9,0,MIN(IF(ISERROR(VLOOKUP(AB$134+$F183,$D$135:$D$165,1,FALSE)),0,AA51*$C$2),MAX((IF(Monthly!X$4=TRUE,Monthly!X$13,Monthly!X$14)*(1+'Attrition Modeling'!$N$8)-'IP Attrition'!AA$65)/12*'IP Attrition'!AA118,0)))</f>
        <v>0</v>
      </c>
      <c r="AC183" s="799">
        <f>IF(EOMONTH(Inputs!$C$8,'IP Attrition'!AC$134-1)&lt;=Inputs!$C$9,0,MIN(IF(ISERROR(VLOOKUP(AC$134+$F183,$D$135:$D$165,1,FALSE)),0,AB51*$C$2),MAX((IF(Monthly!Y$4=TRUE,Monthly!Y$13,Monthly!Y$14)*(1+'Attrition Modeling'!$N$8)-'IP Attrition'!AB$65)/12*'IP Attrition'!AB118,0)))</f>
        <v>0</v>
      </c>
      <c r="AD183" s="799">
        <f>IF(EOMONTH(Inputs!$C$8,'IP Attrition'!AD$134-1)&lt;=Inputs!$C$9,0,MIN(IF(ISERROR(VLOOKUP(AD$134+$F183,$D$135:$D$165,1,FALSE)),0,AC51*$C$2),MAX((IF(Monthly!Z$4=TRUE,Monthly!Z$13,Monthly!Z$14)*(1+'Attrition Modeling'!$N$8)-'IP Attrition'!AC$65)/12*'IP Attrition'!AC118,0)))</f>
        <v>0</v>
      </c>
      <c r="AE183" s="799">
        <f>IF(EOMONTH(Inputs!$C$8,'IP Attrition'!AE$134-1)&lt;=Inputs!$C$9,0,MIN(IF(ISERROR(VLOOKUP(AE$134+$F183,$D$135:$D$165,1,FALSE)),0,AD51*$C$2),MAX((IF(Monthly!AA$4=TRUE,Monthly!AA$13,Monthly!AA$14)*(1+'Attrition Modeling'!$N$8)-'IP Attrition'!AD$65)/12*'IP Attrition'!AD118,0)))</f>
        <v>0</v>
      </c>
      <c r="AF183" s="799">
        <f>IF(EOMONTH(Inputs!$C$8,'IP Attrition'!AF$134-1)&lt;=Inputs!$C$9,0,MIN(IF(ISERROR(VLOOKUP(AF$134+$F183,$D$135:$D$165,1,FALSE)),0,AE51*$C$2),MAX((IF(Monthly!AB$4=TRUE,Monthly!AB$13,Monthly!AB$14)*(1+'Attrition Modeling'!$N$8)-'IP Attrition'!AE$65)/12*'IP Attrition'!AE118,0)))</f>
        <v>0</v>
      </c>
      <c r="AG183" s="799">
        <f>IF(EOMONTH(Inputs!$C$8,'IP Attrition'!AG$134-1)&lt;=Inputs!$C$9,0,MIN(IF(ISERROR(VLOOKUP(AG$134+$F183,$D$135:$D$165,1,FALSE)),0,AF51*$C$2),MAX((IF(Monthly!AC$4=TRUE,Monthly!AC$13,Monthly!AC$14)*(1+'Attrition Modeling'!$N$8)-'IP Attrition'!AF$65)/12*'IP Attrition'!AF118,0)))</f>
        <v>0</v>
      </c>
      <c r="AH183" s="799">
        <f>IF(EOMONTH(Inputs!$C$8,'IP Attrition'!AH$134-1)&lt;=Inputs!$C$9,0,MIN(IF(ISERROR(VLOOKUP(AH$134+$F183,$D$135:$D$165,1,FALSE)),0,AG51*$C$2),MAX((IF(Monthly!AD$4=TRUE,Monthly!AD$13,Monthly!AD$14)*(1+'Attrition Modeling'!$N$8)-'IP Attrition'!AG$65)/12*'IP Attrition'!AG118,0)))</f>
        <v>0</v>
      </c>
      <c r="AI183" s="799">
        <f>IF(EOMONTH(Inputs!$C$8,'IP Attrition'!AI$134-1)&lt;=Inputs!$C$9,0,MIN(IF(ISERROR(VLOOKUP(AI$134+$F183,$D$135:$D$165,1,FALSE)),0,AH51*$C$2),MAX((IF(Monthly!AE$4=TRUE,Monthly!AE$13,Monthly!AE$14)*(1+'Attrition Modeling'!$N$8)-'IP Attrition'!AH$65)/12*'IP Attrition'!AH118,0)))</f>
        <v>0</v>
      </c>
      <c r="AJ183" s="799">
        <f>IF(EOMONTH(Inputs!$C$8,'IP Attrition'!AJ$134-1)&lt;=Inputs!$C$9,0,MIN(IF(ISERROR(VLOOKUP(AJ$134+$F183,$D$135:$D$165,1,FALSE)),0,AI51*$C$2),MAX((IF(Monthly!AF$4=TRUE,Monthly!AF$13,Monthly!AF$14)*(1+'Attrition Modeling'!$N$8)-'IP Attrition'!AI$65)/12*'IP Attrition'!AI118,0)))</f>
        <v>0</v>
      </c>
      <c r="AK183" s="799">
        <f>IF(EOMONTH(Inputs!$C$8,'IP Attrition'!AK$134-1)&lt;=Inputs!$C$9,0,MIN(IF(ISERROR(VLOOKUP(AK$134+$F183,$D$135:$D$165,1,FALSE)),0,AJ51*$C$2),MAX((IF(Monthly!AG$4=TRUE,Monthly!AG$13,Monthly!AG$14)*(1+'Attrition Modeling'!$N$8)-'IP Attrition'!AJ$65)/12*'IP Attrition'!AJ118,0)))</f>
        <v>0</v>
      </c>
      <c r="AL183" s="799">
        <f>IF(EOMONTH(Inputs!$C$8,'IP Attrition'!AL$134-1)&lt;=Inputs!$C$9,0,MIN(IF(ISERROR(VLOOKUP(AL$134+$F183,$D$135:$D$165,1,FALSE)),0,AK51*$C$2),MAX((IF(Monthly!AH$4=TRUE,Monthly!AH$13,Monthly!AH$14)*(1+'Attrition Modeling'!$N$8)-'IP Attrition'!AK$65)/12*'IP Attrition'!AK118,0)))</f>
        <v>0</v>
      </c>
      <c r="AM183" s="799">
        <f>IF(EOMONTH(Inputs!$C$8,'IP Attrition'!AM$134-1)&lt;=Inputs!$C$9,0,MIN(IF(ISERROR(VLOOKUP(AM$134+$F183,$D$135:$D$165,1,FALSE)),0,AL51*$C$2),MAX((IF(Monthly!AI$4=TRUE,Monthly!AI$13,Monthly!AI$14)*(1+'Attrition Modeling'!$N$8)-'IP Attrition'!AL$65)/12*'IP Attrition'!AL118,0)))</f>
        <v>0</v>
      </c>
      <c r="AN183" s="799">
        <f>IF(EOMONTH(Inputs!$C$8,'IP Attrition'!AN$134-1)&lt;=Inputs!$C$9,0,MIN(IF(ISERROR(VLOOKUP(AN$134+$F183,$D$135:$D$165,1,FALSE)),0,AM51*$C$2),MAX((IF(Monthly!AJ$4=TRUE,Monthly!AJ$13,Monthly!AJ$14)*(1+'Attrition Modeling'!$N$8)-'IP Attrition'!AM$65)/12*'IP Attrition'!AM118,0)))</f>
        <v>0</v>
      </c>
      <c r="AO183" s="799">
        <f>IF(EOMONTH(Inputs!$C$8,'IP Attrition'!AO$134-1)&lt;=Inputs!$C$9,0,MIN(IF(ISERROR(VLOOKUP(AO$134+$F183,$D$135:$D$165,1,FALSE)),0,AN51*$C$2),MAX((IF(Monthly!AK$4=TRUE,Monthly!AK$13,Monthly!AK$14)*(1+'Attrition Modeling'!$N$8)-'IP Attrition'!AN$65)/12*'IP Attrition'!AN118,0)))</f>
        <v>0</v>
      </c>
      <c r="AP183" s="799">
        <f>IF(EOMONTH(Inputs!$C$8,'IP Attrition'!AP$134-1)&lt;=Inputs!$C$9,0,MIN(IF(ISERROR(VLOOKUP(AP$134+$F183,$D$135:$D$165,1,FALSE)),0,AO51*$C$2),MAX((IF(Monthly!AL$4=TRUE,Monthly!AL$13,Monthly!AL$14)*(1+'Attrition Modeling'!$N$8)-'IP Attrition'!AO$65)/12*'IP Attrition'!AO118,0)))</f>
        <v>0</v>
      </c>
      <c r="AQ183" s="799">
        <f>IF(EOMONTH(Inputs!$C$8,'IP Attrition'!AQ$134-1)&lt;=Inputs!$C$9,0,MIN(IF(ISERROR(VLOOKUP(AQ$134+$F183,$D$135:$D$165,1,FALSE)),0,AP51*$C$2),MAX((IF(Monthly!AM$4=TRUE,Monthly!AM$13,Monthly!AM$14)*(1+'Attrition Modeling'!$N$8)-'IP Attrition'!AP$65)/12*'IP Attrition'!AP118,0)))</f>
        <v>0</v>
      </c>
      <c r="AR183" s="799">
        <f>IF(EOMONTH(Inputs!$C$8,'IP Attrition'!AR$134-1)&lt;=Inputs!$C$9,0,MIN(IF(ISERROR(VLOOKUP(AR$134+$F183,$D$135:$D$165,1,FALSE)),0,AQ51*$C$2),MAX((IF(Monthly!AN$4=TRUE,Monthly!AN$13,Monthly!AN$14)*(1+'Attrition Modeling'!$N$8)-'IP Attrition'!AQ$65)/12*'IP Attrition'!AQ118,0)))</f>
        <v>0</v>
      </c>
      <c r="AS183" s="799">
        <f>IF(EOMONTH(Inputs!$C$8,'IP Attrition'!AS$134-1)&lt;=Inputs!$C$9,0,MIN(IF(ISERROR(VLOOKUP(AS$134+$F183,$D$135:$D$165,1,FALSE)),0,AR51*$C$2),MAX((IF(Monthly!AO$4=TRUE,Monthly!AO$13,Monthly!AO$14)*(1+'Attrition Modeling'!$N$8)-'IP Attrition'!AR$65)/12*'IP Attrition'!AR118,0)))</f>
        <v>0</v>
      </c>
      <c r="AT183" s="799">
        <f>IF(EOMONTH(Inputs!$C$8,'IP Attrition'!AT$134-1)&lt;=Inputs!$C$9,0,MIN(IF(ISERROR(VLOOKUP(AT$134+$F183,$D$135:$D$165,1,FALSE)),0,AS51*$C$2),MAX((IF(Monthly!AP$4=TRUE,Monthly!AP$13,Monthly!AP$14)*(1+'Attrition Modeling'!$N$8)-'IP Attrition'!AS$65)/12*'IP Attrition'!AS118,0)))</f>
        <v>0</v>
      </c>
      <c r="AU183" s="799">
        <f>IF(EOMONTH(Inputs!$C$8,'IP Attrition'!AU$134-1)&lt;=Inputs!$C$9,0,MIN(IF(ISERROR(VLOOKUP(AU$134+$F183,$D$135:$D$165,1,FALSE)),0,AT51*$C$2),MAX((IF(Monthly!AQ$4=TRUE,Monthly!AQ$13,Monthly!AQ$14)*(1+'Attrition Modeling'!$N$8)-'IP Attrition'!AT$65)/12*'IP Attrition'!AT118,0)))</f>
        <v>0</v>
      </c>
      <c r="AV183" s="799">
        <f>IF(EOMONTH(Inputs!$C$8,'IP Attrition'!AV$134-1)&lt;=Inputs!$C$9,0,MIN(IF(ISERROR(VLOOKUP(AV$134+$F183,$D$135:$D$165,1,FALSE)),0,AU51*$C$2),MAX((IF(Monthly!AR$4=TRUE,Monthly!AR$13,Monthly!AR$14)*(1+'Attrition Modeling'!$N$8)-'IP Attrition'!AU$65)/12*'IP Attrition'!AU118,0)))</f>
        <v>0</v>
      </c>
      <c r="AW183" s="799">
        <f>IF(EOMONTH(Inputs!$C$8,'IP Attrition'!AW$134-1)&lt;=Inputs!$C$9,0,MIN(IF(ISERROR(VLOOKUP(AW$134+$F183,$D$135:$D$165,1,FALSE)),0,AV51*$C$2),MAX((IF(Monthly!AS$4=TRUE,Monthly!AS$13,Monthly!AS$14)*(1+'Attrition Modeling'!$N$8)-'IP Attrition'!AV$65)/12*'IP Attrition'!AV118,0)))</f>
        <v>0</v>
      </c>
      <c r="AX183" s="799">
        <f>IF(EOMONTH(Inputs!$C$8,'IP Attrition'!AX$134-1)&lt;=Inputs!$C$9,0,MIN(IF(ISERROR(VLOOKUP(AX$134+$F183,$D$135:$D$165,1,FALSE)),0,AW51*$C$2),MAX((IF(Monthly!AT$4=TRUE,Monthly!AT$13,Monthly!AT$14)*(1+'Attrition Modeling'!$N$8)-'IP Attrition'!AW$65)/12*'IP Attrition'!AW118,0)))</f>
        <v>0</v>
      </c>
      <c r="AY183" s="799">
        <f>IF(EOMONTH(Inputs!$C$8,'IP Attrition'!AY$134-1)&lt;=Inputs!$C$9,0,MIN(IF(ISERROR(VLOOKUP(AY$134+$F183,$D$135:$D$165,1,FALSE)),0,AX51*$C$2),MAX((IF(Monthly!AU$4=TRUE,Monthly!AU$13,Monthly!AU$14)*(1+'Attrition Modeling'!$N$8)-'IP Attrition'!AX$65)/12*'IP Attrition'!AX118,0)))</f>
        <v>0</v>
      </c>
      <c r="AZ183" s="799">
        <f>IF(EOMONTH(Inputs!$C$8,'IP Attrition'!AZ$134-1)&lt;=Inputs!$C$9,0,MIN(IF(ISERROR(VLOOKUP(AZ$134+$F183,$D$135:$D$165,1,FALSE)),0,AY51*$C$2),MAX((IF(Monthly!AV$4=TRUE,Monthly!AV$13,Monthly!AV$14)*(1+'Attrition Modeling'!$N$8)-'IP Attrition'!AY$65)/12*'IP Attrition'!AY118,0)))</f>
        <v>0</v>
      </c>
      <c r="BA183" s="799">
        <f>IF(EOMONTH(Inputs!$C$8,'IP Attrition'!BA$134-1)&lt;=Inputs!$C$9,0,MIN(IF(ISERROR(VLOOKUP(BA$134+$F183,$D$135:$D$165,1,FALSE)),0,AZ51*$C$2),MAX((IF(Monthly!AW$4=TRUE,Monthly!AW$13,Monthly!AW$14)*(1+'Attrition Modeling'!$N$8)-'IP Attrition'!AZ$65)/12*'IP Attrition'!AZ118,0)))</f>
        <v>0</v>
      </c>
      <c r="BB183" s="799">
        <f>IF(EOMONTH(Inputs!$C$8,'IP Attrition'!BB$134-1)&lt;=Inputs!$C$9,0,MIN(IF(ISERROR(VLOOKUP(BB$134+$F183,$D$135:$D$165,1,FALSE)),0,BA51*$C$2),MAX((IF(Monthly!AX$4=TRUE,Monthly!AX$13,Monthly!AX$14)*(1+'Attrition Modeling'!$N$8)-'IP Attrition'!BA$65)/12*'IP Attrition'!BA118,0)))</f>
        <v>0</v>
      </c>
      <c r="BC183" s="799">
        <f>IF(EOMONTH(Inputs!$C$8,'IP Attrition'!BC$134-1)&lt;=Inputs!$C$9,0,MIN(IF(ISERROR(VLOOKUP(BC$134+$F183,$D$135:$D$165,1,FALSE)),0,BB51*$C$2),MAX((IF(Monthly!AY$4=TRUE,Monthly!AY$13,Monthly!AY$14)*(1+'Attrition Modeling'!$N$8)-'IP Attrition'!BB$65)/12*'IP Attrition'!BB118,0)))</f>
        <v>0</v>
      </c>
      <c r="BD183" s="799">
        <f>IF(EOMONTH(Inputs!$C$8,'IP Attrition'!BD$134-1)&lt;=Inputs!$C$9,0,MIN(IF(ISERROR(VLOOKUP(BD$134+$F183,$D$135:$D$165,1,FALSE)),0,BC51*$C$2),MAX((IF(Monthly!AZ$4=TRUE,Monthly!AZ$13,Monthly!AZ$14)*(1+'Attrition Modeling'!$N$8)-'IP Attrition'!BC$65)/12*'IP Attrition'!BC118,0)))</f>
        <v>0</v>
      </c>
      <c r="BE183" s="799">
        <f>IF(EOMONTH(Inputs!$C$8,'IP Attrition'!BE$134-1)&lt;=Inputs!$C$9,0,MIN(IF(ISERROR(VLOOKUP(BE$134+$F183,$D$135:$D$165,1,FALSE)),0,BD51*$C$2),MAX((IF(Monthly!BA$4=TRUE,Monthly!BA$13,Monthly!BA$14)*(1+'Attrition Modeling'!$N$8)-'IP Attrition'!BD$65)/12*'IP Attrition'!BD118,0)))</f>
        <v>0</v>
      </c>
      <c r="BF183" s="799">
        <f>IF(EOMONTH(Inputs!$C$8,'IP Attrition'!BF$134-1)&lt;=Inputs!$C$9,0,MIN(IF(ISERROR(VLOOKUP(BF$134+$F183,$D$135:$D$165,1,FALSE)),0,BE51*$C$2),MAX((IF(Monthly!BB$4=TRUE,Monthly!BB$13,Monthly!BB$14)*(1+'Attrition Modeling'!$N$8)-'IP Attrition'!BE$65)/12*'IP Attrition'!BE118,0)))</f>
        <v>0</v>
      </c>
      <c r="BG183" s="799">
        <f>IF(EOMONTH(Inputs!$C$8,'IP Attrition'!BG$134-1)&lt;=Inputs!$C$9,0,MIN(IF(ISERROR(VLOOKUP(BG$134+$F183,$D$135:$D$165,1,FALSE)),0,BF51*$C$2),MAX((IF(Monthly!BC$4=TRUE,Monthly!BC$13,Monthly!BC$14)*(1+'Attrition Modeling'!$N$8)-'IP Attrition'!BF$65)/12*'IP Attrition'!BF118,0)))</f>
        <v>0</v>
      </c>
      <c r="BH183" s="799">
        <f>IF(EOMONTH(Inputs!$C$8,'IP Attrition'!BH$134-1)&lt;=Inputs!$C$9,0,MIN(IF(ISERROR(VLOOKUP(BH$134+$F183,$D$135:$D$165,1,FALSE)),0,BG51*$C$2),MAX((IF(Monthly!BD$4=TRUE,Monthly!BD$13,Monthly!BD$14)*(1+'Attrition Modeling'!$N$8)-'IP Attrition'!BG$65)/12*'IP Attrition'!BG118,0)))</f>
        <v>0</v>
      </c>
      <c r="BI183" s="799">
        <f>IF(EOMONTH(Inputs!$C$8,'IP Attrition'!BI$134-1)&lt;=Inputs!$C$9,0,MIN(IF(ISERROR(VLOOKUP(BI$134+$F183,$D$135:$D$165,1,FALSE)),0,BH51*$C$2),MAX((IF(Monthly!BE$4=TRUE,Monthly!BE$13,Monthly!BE$14)*(1+'Attrition Modeling'!$N$8)-'IP Attrition'!BH$65)/12*'IP Attrition'!BH118,0)))</f>
        <v>0</v>
      </c>
      <c r="BJ183" s="799">
        <f>IF(EOMONTH(Inputs!$C$8,'IP Attrition'!BJ$134-1)&lt;=Inputs!$C$9,0,MIN(IF(ISERROR(VLOOKUP(BJ$134+$F183,$D$135:$D$165,1,FALSE)),0,BI51*$C$2),MAX((IF(Monthly!BF$4=TRUE,Monthly!BF$13,Monthly!BF$14)*(1+'Attrition Modeling'!$N$8)-'IP Attrition'!BI$65)/12*'IP Attrition'!BI118,0)))</f>
        <v>0</v>
      </c>
      <c r="BK183" s="799">
        <f>IF(EOMONTH(Inputs!$C$8,'IP Attrition'!BK$134-1)&lt;=Inputs!$C$9,0,MIN(IF(ISERROR(VLOOKUP(BK$134+$F183,$D$135:$D$165,1,FALSE)),0,BJ51*$C$2),MAX((IF(Monthly!BG$4=TRUE,Monthly!BG$13,Monthly!BG$14)*(1+'Attrition Modeling'!$N$8)-'IP Attrition'!BJ$65)/12*'IP Attrition'!BJ118,0)))</f>
        <v>0</v>
      </c>
      <c r="BL183" s="799">
        <f>IF(EOMONTH(Inputs!$C$8,'IP Attrition'!BL$134-1)&lt;=Inputs!$C$9,0,MIN(IF(ISERROR(VLOOKUP(BL$134+$F183,$D$135:$D$165,1,FALSE)),0,BK51*$C$2),MAX((IF(Monthly!BH$4=TRUE,Monthly!BH$13,Monthly!BH$14)*(1+'Attrition Modeling'!$N$8)-'IP Attrition'!BK$65)/12*'IP Attrition'!BK118,0)))</f>
        <v>0</v>
      </c>
      <c r="BM183" s="799">
        <f>IF(EOMONTH(Inputs!$C$8,'IP Attrition'!BM$134-1)&lt;=Inputs!$C$9,0,MIN(IF(ISERROR(VLOOKUP(BM$134+$F183,$D$135:$D$165,1,FALSE)),0,BL51*$C$2),MAX((IF(Monthly!BI$4=TRUE,Monthly!BI$13,Monthly!BI$14)*(1+'Attrition Modeling'!$N$8)-'IP Attrition'!BL$65)/12*'IP Attrition'!BL118,0)))</f>
        <v>0</v>
      </c>
      <c r="BN183" s="799">
        <f>IF(EOMONTH(Inputs!$C$8,'IP Attrition'!BN$134-1)&lt;=Inputs!$C$9,0,MIN(IF(ISERROR(VLOOKUP(BN$134+$F183,$D$135:$D$165,1,FALSE)),0,BM51*$C$2),MAX((IF(Monthly!BJ$4=TRUE,Monthly!BJ$13,Monthly!BJ$14)*(1+'Attrition Modeling'!$N$8)-'IP Attrition'!BM$65)/12*'IP Attrition'!BM118,0)))</f>
        <v>0</v>
      </c>
      <c r="BO183" s="799">
        <f>IF(EOMONTH(Inputs!$C$8,'IP Attrition'!BO$134-1)&lt;=Inputs!$C$9,0,MIN(IF(ISERROR(VLOOKUP(BO$134+$F183,$D$135:$D$165,1,FALSE)),0,BN51*$C$2),MAX((IF(Monthly!BK$4=TRUE,Monthly!BK$13,Monthly!BK$14)*(1+'Attrition Modeling'!$N$8)-'IP Attrition'!BN$65)/12*'IP Attrition'!BN118,0)))</f>
        <v>0</v>
      </c>
      <c r="BP183" s="799">
        <f>IF(EOMONTH(Inputs!$C$8,'IP Attrition'!BP$134-1)&lt;=Inputs!$C$9,0,MIN(IF(ISERROR(VLOOKUP(BP$134+$F183,$D$135:$D$165,1,FALSE)),0,BO51*$C$2),MAX((IF(Monthly!BL$4=TRUE,Monthly!BL$13,Monthly!BL$14)*(1+'Attrition Modeling'!$N$8)-'IP Attrition'!BO$65)/12*'IP Attrition'!BO118,0)))</f>
        <v>0</v>
      </c>
      <c r="BQ183" s="799">
        <f>IF(EOMONTH(Inputs!$C$8,'IP Attrition'!BQ$134-1)&lt;=Inputs!$C$9,0,MIN(IF(ISERROR(VLOOKUP(BQ$134+$F183,$D$135:$D$165,1,FALSE)),0,BP51*$C$2),MAX((IF(Monthly!BM$4=TRUE,Monthly!BM$13,Monthly!BM$14)*(1+'Attrition Modeling'!$N$8)-'IP Attrition'!BP$65)/12*'IP Attrition'!BP118,0)))</f>
        <v>0</v>
      </c>
      <c r="BR183" s="799">
        <f>IF(EOMONTH(Inputs!$C$8,'IP Attrition'!BR$134-1)&lt;=Inputs!$C$9,0,MIN(IF(ISERROR(VLOOKUP(BR$134+$F183,$D$135:$D$165,1,FALSE)),0,BQ51*$C$2),MAX((IF(Monthly!BN$4=TRUE,Monthly!BN$13,Monthly!BN$14)*(1+'Attrition Modeling'!$N$8)-'IP Attrition'!BQ$65)/12*'IP Attrition'!BQ118,0)))</f>
        <v>0</v>
      </c>
      <c r="BS183" s="799">
        <f>IF(EOMONTH(Inputs!$C$8,'IP Attrition'!BS$134-1)&lt;=Inputs!$C$9,0,MIN(IF(ISERROR(VLOOKUP(BS$134+$F183,$D$135:$D$165,1,FALSE)),0,BR51*$C$2),MAX((IF(Monthly!BO$4=TRUE,Monthly!BO$13,Monthly!BO$14)*(1+'Attrition Modeling'!$N$8)-'IP Attrition'!BR$65)/12*'IP Attrition'!BR118,0)))</f>
        <v>0</v>
      </c>
      <c r="BT183" s="799" t="e">
        <f>IF(EOMONTH(Inputs!$C$8,'IP Attrition'!BT$134-1)&lt;=Inputs!$C$9,0,MIN(IF(ISERROR(VLOOKUP(BT$134+$F183,$D$135:$D$165,1,FALSE)),0,BS51*$C$2),MAX((IF(Monthly!#REF!=TRUE,Monthly!#REF!,Monthly!#REF!)*(1+'Attrition Modeling'!$N$8)-'IP Attrition'!BS$65)/12*'IP Attrition'!BS118,0)))</f>
        <v>#REF!</v>
      </c>
      <c r="BU183" s="799" t="e">
        <f>IF(EOMONTH(Inputs!$C$8,'IP Attrition'!BU$134-1)&lt;=Inputs!$C$9,0,MIN(IF(ISERROR(VLOOKUP(BU$134+$F183,$D$135:$D$165,1,FALSE)),0,BT51*$C$2),MAX((IF(Monthly!#REF!=TRUE,Monthly!#REF!,Monthly!#REF!)*(1+'Attrition Modeling'!$N$8)-'IP Attrition'!BT$65)/12*'IP Attrition'!BT118,0)))</f>
        <v>#REF!</v>
      </c>
    </row>
    <row r="184" spans="5:73" ht="14.25" customHeight="1" x14ac:dyDescent="0.2">
      <c r="E184" s="25">
        <f t="shared" si="71"/>
        <v>0</v>
      </c>
      <c r="F184" s="11">
        <f t="shared" si="73"/>
        <v>49</v>
      </c>
      <c r="G184" s="799"/>
      <c r="H184" s="799">
        <f>IF(EOMONTH(Inputs!$C$8,'IP Attrition'!H$134-1)&lt;=Inputs!$C$9,0,MIN(IF(ISERROR(VLOOKUP(H$134+$F184,$D$135:$D$165,1,FALSE)),0,G52*$C$2),MAX((IF(Monthly!D$4=TRUE,Monthly!D$13,Monthly!D$14)*(1+'Attrition Modeling'!$N$8)-'IP Attrition'!G$65)/12*'IP Attrition'!G119,0)))</f>
        <v>0</v>
      </c>
      <c r="I184" s="799">
        <f>IF(EOMONTH(Inputs!$C$8,'IP Attrition'!I$134-1)&lt;=Inputs!$C$9,0,MIN(IF(ISERROR(VLOOKUP(I$134+$F184,$D$135:$D$165,1,FALSE)),0,H52*$C$2),MAX((IF(Monthly!E$4=TRUE,Monthly!E$13,Monthly!E$14)*(1+'Attrition Modeling'!$N$8)-'IP Attrition'!H$65)/12*'IP Attrition'!H119,0)))</f>
        <v>0</v>
      </c>
      <c r="J184" s="799">
        <f>IF(EOMONTH(Inputs!$C$8,'IP Attrition'!J$134-1)&lt;=Inputs!$C$9,0,MIN(IF(ISERROR(VLOOKUP(J$134+$F184,$D$135:$D$165,1,FALSE)),0,I52*$C$2),MAX((IF(Monthly!F$4=TRUE,Monthly!F$13,Monthly!F$14)*(1+'Attrition Modeling'!$N$8)-'IP Attrition'!I$65)/12*'IP Attrition'!I119,0)))</f>
        <v>0</v>
      </c>
      <c r="K184" s="799">
        <f>IF(EOMONTH(Inputs!$C$8,'IP Attrition'!K$134-1)&lt;=Inputs!$C$9,0,MIN(IF(ISERROR(VLOOKUP(K$134+$F184,$D$135:$D$165,1,FALSE)),0,J52*$C$2),MAX((IF(Monthly!G$4=TRUE,Monthly!G$13,Monthly!G$14)*(1+'Attrition Modeling'!$N$8)-'IP Attrition'!J$65)/12*'IP Attrition'!J119,0)))</f>
        <v>0</v>
      </c>
      <c r="L184" s="799">
        <f>IF(EOMONTH(Inputs!$C$8,'IP Attrition'!L$134-1)&lt;=Inputs!$C$9,0,MIN(IF(ISERROR(VLOOKUP(L$134+$F184,$D$135:$D$165,1,FALSE)),0,K52*$C$2),MAX((IF(Monthly!H$4=TRUE,Monthly!H$13,Monthly!H$14)*(1+'Attrition Modeling'!$N$8)-'IP Attrition'!K$65)/12*'IP Attrition'!K119,0)))</f>
        <v>0</v>
      </c>
      <c r="M184" s="799">
        <f>IF(EOMONTH(Inputs!$C$8,'IP Attrition'!M$134-1)&lt;=Inputs!$C$9,0,MIN(IF(ISERROR(VLOOKUP(M$134+$F184,$D$135:$D$165,1,FALSE)),0,L52*$C$2),MAX((IF(Monthly!I$4=TRUE,Monthly!I$13,Monthly!I$14)*(1+'Attrition Modeling'!$N$8)-'IP Attrition'!L$65)/12*'IP Attrition'!L119,0)))</f>
        <v>0</v>
      </c>
      <c r="N184" s="799">
        <f>IF(EOMONTH(Inputs!$C$8,'IP Attrition'!N$134-1)&lt;=Inputs!$C$9,0,MIN(IF(ISERROR(VLOOKUP(N$134+$F184,$D$135:$D$165,1,FALSE)),0,M52*$C$2),MAX((IF(Monthly!J$4=TRUE,Monthly!J$13,Monthly!J$14)*(1+'Attrition Modeling'!$N$8)-'IP Attrition'!M$65)/12*'IP Attrition'!M119,0)))</f>
        <v>0</v>
      </c>
      <c r="O184" s="799">
        <f>IF(EOMONTH(Inputs!$C$8,'IP Attrition'!O$134-1)&lt;=Inputs!$C$9,0,MIN(IF(ISERROR(VLOOKUP(O$134+$F184,$D$135:$D$165,1,FALSE)),0,N52*$C$2),MAX((IF(Monthly!K$4=TRUE,Monthly!K$13,Monthly!K$14)*(1+'Attrition Modeling'!$N$8)-'IP Attrition'!N$65)/12*'IP Attrition'!N119,0)))</f>
        <v>0</v>
      </c>
      <c r="P184" s="799">
        <f>IF(EOMONTH(Inputs!$C$8,'IP Attrition'!P$134-1)&lt;=Inputs!$C$9,0,MIN(IF(ISERROR(VLOOKUP(P$134+$F184,$D$135:$D$165,1,FALSE)),0,O52*$C$2),MAX((IF(Monthly!L$4=TRUE,Monthly!L$13,Monthly!L$14)*(1+'Attrition Modeling'!$N$8)-'IP Attrition'!O$65)/12*'IP Attrition'!O119,0)))</f>
        <v>0</v>
      </c>
      <c r="Q184" s="799">
        <f>IF(EOMONTH(Inputs!$C$8,'IP Attrition'!Q$134-1)&lt;=Inputs!$C$9,0,MIN(IF(ISERROR(VLOOKUP(Q$134+$F184,$D$135:$D$165,1,FALSE)),0,P52*$C$2),MAX((IF(Monthly!M$4=TRUE,Monthly!M$13,Monthly!M$14)*(1+'Attrition Modeling'!$N$8)-'IP Attrition'!P$65)/12*'IP Attrition'!P119,0)))</f>
        <v>0</v>
      </c>
      <c r="R184" s="799">
        <f>IF(EOMONTH(Inputs!$C$8,'IP Attrition'!R$134-1)&lt;=Inputs!$C$9,0,MIN(IF(ISERROR(VLOOKUP(R$134+$F184,$D$135:$D$165,1,FALSE)),0,Q52*$C$2),MAX((IF(Monthly!N$4=TRUE,Monthly!N$13,Monthly!N$14)*(1+'Attrition Modeling'!$N$8)-'IP Attrition'!Q$65)/12*'IP Attrition'!Q119,0)))</f>
        <v>0</v>
      </c>
      <c r="S184" s="799">
        <f>IF(EOMONTH(Inputs!$C$8,'IP Attrition'!S$134-1)&lt;=Inputs!$C$9,0,MIN(IF(ISERROR(VLOOKUP(S$134+$F184,$D$135:$D$165,1,FALSE)),0,R52*$C$2),MAX((IF(Monthly!O$4=TRUE,Monthly!O$13,Monthly!O$14)*(1+'Attrition Modeling'!$N$8)-'IP Attrition'!R$65)/12*'IP Attrition'!R119,0)))</f>
        <v>0</v>
      </c>
      <c r="T184" s="799">
        <f>IF(EOMONTH(Inputs!$C$8,'IP Attrition'!T$134-1)&lt;=Inputs!$C$9,0,MIN(IF(ISERROR(VLOOKUP(T$134+$F184,$D$135:$D$165,1,FALSE)),0,S52*$C$2),MAX((IF(Monthly!P$4=TRUE,Monthly!P$13,Monthly!P$14)*(1+'Attrition Modeling'!$N$8)-'IP Attrition'!S$65)/12*'IP Attrition'!S119,0)))</f>
        <v>0</v>
      </c>
      <c r="U184" s="799">
        <f>IF(EOMONTH(Inputs!$C$8,'IP Attrition'!U$134-1)&lt;=Inputs!$C$9,0,MIN(IF(ISERROR(VLOOKUP(U$134+$F184,$D$135:$D$165,1,FALSE)),0,T52*$C$2),MAX((IF(Monthly!Q$4=TRUE,Monthly!Q$13,Monthly!Q$14)*(1+'Attrition Modeling'!$N$8)-'IP Attrition'!T$65)/12*'IP Attrition'!T119,0)))</f>
        <v>0</v>
      </c>
      <c r="V184" s="799">
        <f>IF(EOMONTH(Inputs!$C$8,'IP Attrition'!V$134-1)&lt;=Inputs!$C$9,0,MIN(IF(ISERROR(VLOOKUP(V$134+$F184,$D$135:$D$165,1,FALSE)),0,U52*$C$2),MAX((IF(Monthly!R$4=TRUE,Monthly!R$13,Monthly!R$14)*(1+'Attrition Modeling'!$N$8)-'IP Attrition'!U$65)/12*'IP Attrition'!U119,0)))</f>
        <v>0</v>
      </c>
      <c r="W184" s="799">
        <f>IF(EOMONTH(Inputs!$C$8,'IP Attrition'!W$134-1)&lt;=Inputs!$C$9,0,MIN(IF(ISERROR(VLOOKUP(W$134+$F184,$D$135:$D$165,1,FALSE)),0,V52*$C$2),MAX((IF(Monthly!S$4=TRUE,Monthly!S$13,Monthly!S$14)*(1+'Attrition Modeling'!$N$8)-'IP Attrition'!V$65)/12*'IP Attrition'!V119,0)))</f>
        <v>0</v>
      </c>
      <c r="X184" s="799">
        <f>IF(EOMONTH(Inputs!$C$8,'IP Attrition'!X$134-1)&lt;=Inputs!$C$9,0,MIN(IF(ISERROR(VLOOKUP(X$134+$F184,$D$135:$D$165,1,FALSE)),0,W52*$C$2),MAX((IF(Monthly!T$4=TRUE,Monthly!T$13,Monthly!T$14)*(1+'Attrition Modeling'!$N$8)-'IP Attrition'!W$65)/12*'IP Attrition'!W119,0)))</f>
        <v>0</v>
      </c>
      <c r="Y184" s="799">
        <f>IF(EOMONTH(Inputs!$C$8,'IP Attrition'!Y$134-1)&lt;=Inputs!$C$9,0,MIN(IF(ISERROR(VLOOKUP(Y$134+$F184,$D$135:$D$165,1,FALSE)),0,X52*$C$2),MAX((IF(Monthly!U$4=TRUE,Monthly!U$13,Monthly!U$14)*(1+'Attrition Modeling'!$N$8)-'IP Attrition'!X$65)/12*'IP Attrition'!X119,0)))</f>
        <v>0</v>
      </c>
      <c r="Z184" s="799">
        <f>IF(EOMONTH(Inputs!$C$8,'IP Attrition'!Z$134-1)&lt;=Inputs!$C$9,0,MIN(IF(ISERROR(VLOOKUP(Z$134+$F184,$D$135:$D$165,1,FALSE)),0,Y52*$C$2),MAX((IF(Monthly!V$4=TRUE,Monthly!V$13,Monthly!V$14)*(1+'Attrition Modeling'!$N$8)-'IP Attrition'!Y$65)/12*'IP Attrition'!Y119,0)))</f>
        <v>0</v>
      </c>
      <c r="AA184" s="799">
        <f>IF(EOMONTH(Inputs!$C$8,'IP Attrition'!AA$134-1)&lt;=Inputs!$C$9,0,MIN(IF(ISERROR(VLOOKUP(AA$134+$F184,$D$135:$D$165,1,FALSE)),0,Z52*$C$2),MAX((IF(Monthly!W$4=TRUE,Monthly!W$13,Monthly!W$14)*(1+'Attrition Modeling'!$N$8)-'IP Attrition'!Z$65)/12*'IP Attrition'!Z119,0)))</f>
        <v>0</v>
      </c>
      <c r="AB184" s="799">
        <f>IF(EOMONTH(Inputs!$C$8,'IP Attrition'!AB$134-1)&lt;=Inputs!$C$9,0,MIN(IF(ISERROR(VLOOKUP(AB$134+$F184,$D$135:$D$165,1,FALSE)),0,AA52*$C$2),MAX((IF(Monthly!X$4=TRUE,Monthly!X$13,Monthly!X$14)*(1+'Attrition Modeling'!$N$8)-'IP Attrition'!AA$65)/12*'IP Attrition'!AA119,0)))</f>
        <v>0</v>
      </c>
      <c r="AC184" s="799">
        <f>IF(EOMONTH(Inputs!$C$8,'IP Attrition'!AC$134-1)&lt;=Inputs!$C$9,0,MIN(IF(ISERROR(VLOOKUP(AC$134+$F184,$D$135:$D$165,1,FALSE)),0,AB52*$C$2),MAX((IF(Monthly!Y$4=TRUE,Monthly!Y$13,Monthly!Y$14)*(1+'Attrition Modeling'!$N$8)-'IP Attrition'!AB$65)/12*'IP Attrition'!AB119,0)))</f>
        <v>0</v>
      </c>
      <c r="AD184" s="799">
        <f>IF(EOMONTH(Inputs!$C$8,'IP Attrition'!AD$134-1)&lt;=Inputs!$C$9,0,MIN(IF(ISERROR(VLOOKUP(AD$134+$F184,$D$135:$D$165,1,FALSE)),0,AC52*$C$2),MAX((IF(Monthly!Z$4=TRUE,Monthly!Z$13,Monthly!Z$14)*(1+'Attrition Modeling'!$N$8)-'IP Attrition'!AC$65)/12*'IP Attrition'!AC119,0)))</f>
        <v>0</v>
      </c>
      <c r="AE184" s="799">
        <f>IF(EOMONTH(Inputs!$C$8,'IP Attrition'!AE$134-1)&lt;=Inputs!$C$9,0,MIN(IF(ISERROR(VLOOKUP(AE$134+$F184,$D$135:$D$165,1,FALSE)),0,AD52*$C$2),MAX((IF(Monthly!AA$4=TRUE,Monthly!AA$13,Monthly!AA$14)*(1+'Attrition Modeling'!$N$8)-'IP Attrition'!AD$65)/12*'IP Attrition'!AD119,0)))</f>
        <v>0</v>
      </c>
      <c r="AF184" s="799">
        <f>IF(EOMONTH(Inputs!$C$8,'IP Attrition'!AF$134-1)&lt;=Inputs!$C$9,0,MIN(IF(ISERROR(VLOOKUP(AF$134+$F184,$D$135:$D$165,1,FALSE)),0,AE52*$C$2),MAX((IF(Monthly!AB$4=TRUE,Monthly!AB$13,Monthly!AB$14)*(1+'Attrition Modeling'!$N$8)-'IP Attrition'!AE$65)/12*'IP Attrition'!AE119,0)))</f>
        <v>0</v>
      </c>
      <c r="AG184" s="799">
        <f>IF(EOMONTH(Inputs!$C$8,'IP Attrition'!AG$134-1)&lt;=Inputs!$C$9,0,MIN(IF(ISERROR(VLOOKUP(AG$134+$F184,$D$135:$D$165,1,FALSE)),0,AF52*$C$2),MAX((IF(Monthly!AC$4=TRUE,Monthly!AC$13,Monthly!AC$14)*(1+'Attrition Modeling'!$N$8)-'IP Attrition'!AF$65)/12*'IP Attrition'!AF119,0)))</f>
        <v>0</v>
      </c>
      <c r="AH184" s="799">
        <f>IF(EOMONTH(Inputs!$C$8,'IP Attrition'!AH$134-1)&lt;=Inputs!$C$9,0,MIN(IF(ISERROR(VLOOKUP(AH$134+$F184,$D$135:$D$165,1,FALSE)),0,AG52*$C$2),MAX((IF(Monthly!AD$4=TRUE,Monthly!AD$13,Monthly!AD$14)*(1+'Attrition Modeling'!$N$8)-'IP Attrition'!AG$65)/12*'IP Attrition'!AG119,0)))</f>
        <v>0</v>
      </c>
      <c r="AI184" s="799">
        <f>IF(EOMONTH(Inputs!$C$8,'IP Attrition'!AI$134-1)&lt;=Inputs!$C$9,0,MIN(IF(ISERROR(VLOOKUP(AI$134+$F184,$D$135:$D$165,1,FALSE)),0,AH52*$C$2),MAX((IF(Monthly!AE$4=TRUE,Monthly!AE$13,Monthly!AE$14)*(1+'Attrition Modeling'!$N$8)-'IP Attrition'!AH$65)/12*'IP Attrition'!AH119,0)))</f>
        <v>0</v>
      </c>
      <c r="AJ184" s="799">
        <f>IF(EOMONTH(Inputs!$C$8,'IP Attrition'!AJ$134-1)&lt;=Inputs!$C$9,0,MIN(IF(ISERROR(VLOOKUP(AJ$134+$F184,$D$135:$D$165,1,FALSE)),0,AI52*$C$2),MAX((IF(Monthly!AF$4=TRUE,Monthly!AF$13,Monthly!AF$14)*(1+'Attrition Modeling'!$N$8)-'IP Attrition'!AI$65)/12*'IP Attrition'!AI119,0)))</f>
        <v>0</v>
      </c>
      <c r="AK184" s="799">
        <f>IF(EOMONTH(Inputs!$C$8,'IP Attrition'!AK$134-1)&lt;=Inputs!$C$9,0,MIN(IF(ISERROR(VLOOKUP(AK$134+$F184,$D$135:$D$165,1,FALSE)),0,AJ52*$C$2),MAX((IF(Monthly!AG$4=TRUE,Monthly!AG$13,Monthly!AG$14)*(1+'Attrition Modeling'!$N$8)-'IP Attrition'!AJ$65)/12*'IP Attrition'!AJ119,0)))</f>
        <v>0</v>
      </c>
      <c r="AL184" s="799">
        <f>IF(EOMONTH(Inputs!$C$8,'IP Attrition'!AL$134-1)&lt;=Inputs!$C$9,0,MIN(IF(ISERROR(VLOOKUP(AL$134+$F184,$D$135:$D$165,1,FALSE)),0,AK52*$C$2),MAX((IF(Monthly!AH$4=TRUE,Monthly!AH$13,Monthly!AH$14)*(1+'Attrition Modeling'!$N$8)-'IP Attrition'!AK$65)/12*'IP Attrition'!AK119,0)))</f>
        <v>0</v>
      </c>
      <c r="AM184" s="799">
        <f>IF(EOMONTH(Inputs!$C$8,'IP Attrition'!AM$134-1)&lt;=Inputs!$C$9,0,MIN(IF(ISERROR(VLOOKUP(AM$134+$F184,$D$135:$D$165,1,FALSE)),0,AL52*$C$2),MAX((IF(Monthly!AI$4=TRUE,Monthly!AI$13,Monthly!AI$14)*(1+'Attrition Modeling'!$N$8)-'IP Attrition'!AL$65)/12*'IP Attrition'!AL119,0)))</f>
        <v>0</v>
      </c>
      <c r="AN184" s="799">
        <f>IF(EOMONTH(Inputs!$C$8,'IP Attrition'!AN$134-1)&lt;=Inputs!$C$9,0,MIN(IF(ISERROR(VLOOKUP(AN$134+$F184,$D$135:$D$165,1,FALSE)),0,AM52*$C$2),MAX((IF(Monthly!AJ$4=TRUE,Monthly!AJ$13,Monthly!AJ$14)*(1+'Attrition Modeling'!$N$8)-'IP Attrition'!AM$65)/12*'IP Attrition'!AM119,0)))</f>
        <v>0</v>
      </c>
      <c r="AO184" s="799">
        <f>IF(EOMONTH(Inputs!$C$8,'IP Attrition'!AO$134-1)&lt;=Inputs!$C$9,0,MIN(IF(ISERROR(VLOOKUP(AO$134+$F184,$D$135:$D$165,1,FALSE)),0,AN52*$C$2),MAX((IF(Monthly!AK$4=TRUE,Monthly!AK$13,Monthly!AK$14)*(1+'Attrition Modeling'!$N$8)-'IP Attrition'!AN$65)/12*'IP Attrition'!AN119,0)))</f>
        <v>0</v>
      </c>
      <c r="AP184" s="799">
        <f>IF(EOMONTH(Inputs!$C$8,'IP Attrition'!AP$134-1)&lt;=Inputs!$C$9,0,MIN(IF(ISERROR(VLOOKUP(AP$134+$F184,$D$135:$D$165,1,FALSE)),0,AO52*$C$2),MAX((IF(Monthly!AL$4=TRUE,Monthly!AL$13,Monthly!AL$14)*(1+'Attrition Modeling'!$N$8)-'IP Attrition'!AO$65)/12*'IP Attrition'!AO119,0)))</f>
        <v>0</v>
      </c>
      <c r="AQ184" s="799">
        <f>IF(EOMONTH(Inputs!$C$8,'IP Attrition'!AQ$134-1)&lt;=Inputs!$C$9,0,MIN(IF(ISERROR(VLOOKUP(AQ$134+$F184,$D$135:$D$165,1,FALSE)),0,AP52*$C$2),MAX((IF(Monthly!AM$4=TRUE,Monthly!AM$13,Monthly!AM$14)*(1+'Attrition Modeling'!$N$8)-'IP Attrition'!AP$65)/12*'IP Attrition'!AP119,0)))</f>
        <v>0</v>
      </c>
      <c r="AR184" s="799">
        <f>IF(EOMONTH(Inputs!$C$8,'IP Attrition'!AR$134-1)&lt;=Inputs!$C$9,0,MIN(IF(ISERROR(VLOOKUP(AR$134+$F184,$D$135:$D$165,1,FALSE)),0,AQ52*$C$2),MAX((IF(Monthly!AN$4=TRUE,Monthly!AN$13,Monthly!AN$14)*(1+'Attrition Modeling'!$N$8)-'IP Attrition'!AQ$65)/12*'IP Attrition'!AQ119,0)))</f>
        <v>0</v>
      </c>
      <c r="AS184" s="799">
        <f>IF(EOMONTH(Inputs!$C$8,'IP Attrition'!AS$134-1)&lt;=Inputs!$C$9,0,MIN(IF(ISERROR(VLOOKUP(AS$134+$F184,$D$135:$D$165,1,FALSE)),0,AR52*$C$2),MAX((IF(Monthly!AO$4=TRUE,Monthly!AO$13,Monthly!AO$14)*(1+'Attrition Modeling'!$N$8)-'IP Attrition'!AR$65)/12*'IP Attrition'!AR119,0)))</f>
        <v>0</v>
      </c>
      <c r="AT184" s="799">
        <f>IF(EOMONTH(Inputs!$C$8,'IP Attrition'!AT$134-1)&lt;=Inputs!$C$9,0,MIN(IF(ISERROR(VLOOKUP(AT$134+$F184,$D$135:$D$165,1,FALSE)),0,AS52*$C$2),MAX((IF(Monthly!AP$4=TRUE,Monthly!AP$13,Monthly!AP$14)*(1+'Attrition Modeling'!$N$8)-'IP Attrition'!AS$65)/12*'IP Attrition'!AS119,0)))</f>
        <v>0</v>
      </c>
      <c r="AU184" s="799">
        <f>IF(EOMONTH(Inputs!$C$8,'IP Attrition'!AU$134-1)&lt;=Inputs!$C$9,0,MIN(IF(ISERROR(VLOOKUP(AU$134+$F184,$D$135:$D$165,1,FALSE)),0,AT52*$C$2),MAX((IF(Monthly!AQ$4=TRUE,Monthly!AQ$13,Monthly!AQ$14)*(1+'Attrition Modeling'!$N$8)-'IP Attrition'!AT$65)/12*'IP Attrition'!AT119,0)))</f>
        <v>0</v>
      </c>
      <c r="AV184" s="799">
        <f>IF(EOMONTH(Inputs!$C$8,'IP Attrition'!AV$134-1)&lt;=Inputs!$C$9,0,MIN(IF(ISERROR(VLOOKUP(AV$134+$F184,$D$135:$D$165,1,FALSE)),0,AU52*$C$2),MAX((IF(Monthly!AR$4=TRUE,Monthly!AR$13,Monthly!AR$14)*(1+'Attrition Modeling'!$N$8)-'IP Attrition'!AU$65)/12*'IP Attrition'!AU119,0)))</f>
        <v>0</v>
      </c>
      <c r="AW184" s="799">
        <f>IF(EOMONTH(Inputs!$C$8,'IP Attrition'!AW$134-1)&lt;=Inputs!$C$9,0,MIN(IF(ISERROR(VLOOKUP(AW$134+$F184,$D$135:$D$165,1,FALSE)),0,AV52*$C$2),MAX((IF(Monthly!AS$4=TRUE,Monthly!AS$13,Monthly!AS$14)*(1+'Attrition Modeling'!$N$8)-'IP Attrition'!AV$65)/12*'IP Attrition'!AV119,0)))</f>
        <v>0</v>
      </c>
      <c r="AX184" s="799">
        <f>IF(EOMONTH(Inputs!$C$8,'IP Attrition'!AX$134-1)&lt;=Inputs!$C$9,0,MIN(IF(ISERROR(VLOOKUP(AX$134+$F184,$D$135:$D$165,1,FALSE)),0,AW52*$C$2),MAX((IF(Monthly!AT$4=TRUE,Monthly!AT$13,Monthly!AT$14)*(1+'Attrition Modeling'!$N$8)-'IP Attrition'!AW$65)/12*'IP Attrition'!AW119,0)))</f>
        <v>0</v>
      </c>
      <c r="AY184" s="799">
        <f>IF(EOMONTH(Inputs!$C$8,'IP Attrition'!AY$134-1)&lt;=Inputs!$C$9,0,MIN(IF(ISERROR(VLOOKUP(AY$134+$F184,$D$135:$D$165,1,FALSE)),0,AX52*$C$2),MAX((IF(Monthly!AU$4=TRUE,Monthly!AU$13,Monthly!AU$14)*(1+'Attrition Modeling'!$N$8)-'IP Attrition'!AX$65)/12*'IP Attrition'!AX119,0)))</f>
        <v>0</v>
      </c>
      <c r="AZ184" s="799">
        <f>IF(EOMONTH(Inputs!$C$8,'IP Attrition'!AZ$134-1)&lt;=Inputs!$C$9,0,MIN(IF(ISERROR(VLOOKUP(AZ$134+$F184,$D$135:$D$165,1,FALSE)),0,AY52*$C$2),MAX((IF(Monthly!AV$4=TRUE,Monthly!AV$13,Monthly!AV$14)*(1+'Attrition Modeling'!$N$8)-'IP Attrition'!AY$65)/12*'IP Attrition'!AY119,0)))</f>
        <v>0</v>
      </c>
      <c r="BA184" s="799">
        <f>IF(EOMONTH(Inputs!$C$8,'IP Attrition'!BA$134-1)&lt;=Inputs!$C$9,0,MIN(IF(ISERROR(VLOOKUP(BA$134+$F184,$D$135:$D$165,1,FALSE)),0,AZ52*$C$2),MAX((IF(Monthly!AW$4=TRUE,Monthly!AW$13,Monthly!AW$14)*(1+'Attrition Modeling'!$N$8)-'IP Attrition'!AZ$65)/12*'IP Attrition'!AZ119,0)))</f>
        <v>0</v>
      </c>
      <c r="BB184" s="799">
        <f>IF(EOMONTH(Inputs!$C$8,'IP Attrition'!BB$134-1)&lt;=Inputs!$C$9,0,MIN(IF(ISERROR(VLOOKUP(BB$134+$F184,$D$135:$D$165,1,FALSE)),0,BA52*$C$2),MAX((IF(Monthly!AX$4=TRUE,Monthly!AX$13,Monthly!AX$14)*(1+'Attrition Modeling'!$N$8)-'IP Attrition'!BA$65)/12*'IP Attrition'!BA119,0)))</f>
        <v>0</v>
      </c>
      <c r="BC184" s="799">
        <f>IF(EOMONTH(Inputs!$C$8,'IP Attrition'!BC$134-1)&lt;=Inputs!$C$9,0,MIN(IF(ISERROR(VLOOKUP(BC$134+$F184,$D$135:$D$165,1,FALSE)),0,BB52*$C$2),MAX((IF(Monthly!AY$4=TRUE,Monthly!AY$13,Monthly!AY$14)*(1+'Attrition Modeling'!$N$8)-'IP Attrition'!BB$65)/12*'IP Attrition'!BB119,0)))</f>
        <v>0</v>
      </c>
      <c r="BD184" s="799">
        <f>IF(EOMONTH(Inputs!$C$8,'IP Attrition'!BD$134-1)&lt;=Inputs!$C$9,0,MIN(IF(ISERROR(VLOOKUP(BD$134+$F184,$D$135:$D$165,1,FALSE)),0,BC52*$C$2),MAX((IF(Monthly!AZ$4=TRUE,Monthly!AZ$13,Monthly!AZ$14)*(1+'Attrition Modeling'!$N$8)-'IP Attrition'!BC$65)/12*'IP Attrition'!BC119,0)))</f>
        <v>0</v>
      </c>
      <c r="BE184" s="799">
        <f>IF(EOMONTH(Inputs!$C$8,'IP Attrition'!BE$134-1)&lt;=Inputs!$C$9,0,MIN(IF(ISERROR(VLOOKUP(BE$134+$F184,$D$135:$D$165,1,FALSE)),0,BD52*$C$2),MAX((IF(Monthly!BA$4=TRUE,Monthly!BA$13,Monthly!BA$14)*(1+'Attrition Modeling'!$N$8)-'IP Attrition'!BD$65)/12*'IP Attrition'!BD119,0)))</f>
        <v>0</v>
      </c>
      <c r="BF184" s="799">
        <f>IF(EOMONTH(Inputs!$C$8,'IP Attrition'!BF$134-1)&lt;=Inputs!$C$9,0,MIN(IF(ISERROR(VLOOKUP(BF$134+$F184,$D$135:$D$165,1,FALSE)),0,BE52*$C$2),MAX((IF(Monthly!BB$4=TRUE,Monthly!BB$13,Monthly!BB$14)*(1+'Attrition Modeling'!$N$8)-'IP Attrition'!BE$65)/12*'IP Attrition'!BE119,0)))</f>
        <v>0</v>
      </c>
      <c r="BG184" s="799">
        <f>IF(EOMONTH(Inputs!$C$8,'IP Attrition'!BG$134-1)&lt;=Inputs!$C$9,0,MIN(IF(ISERROR(VLOOKUP(BG$134+$F184,$D$135:$D$165,1,FALSE)),0,BF52*$C$2),MAX((IF(Monthly!BC$4=TRUE,Monthly!BC$13,Monthly!BC$14)*(1+'Attrition Modeling'!$N$8)-'IP Attrition'!BF$65)/12*'IP Attrition'!BF119,0)))</f>
        <v>0</v>
      </c>
      <c r="BH184" s="799">
        <f>IF(EOMONTH(Inputs!$C$8,'IP Attrition'!BH$134-1)&lt;=Inputs!$C$9,0,MIN(IF(ISERROR(VLOOKUP(BH$134+$F184,$D$135:$D$165,1,FALSE)),0,BG52*$C$2),MAX((IF(Monthly!BD$4=TRUE,Monthly!BD$13,Monthly!BD$14)*(1+'Attrition Modeling'!$N$8)-'IP Attrition'!BG$65)/12*'IP Attrition'!BG119,0)))</f>
        <v>0</v>
      </c>
      <c r="BI184" s="799">
        <f>IF(EOMONTH(Inputs!$C$8,'IP Attrition'!BI$134-1)&lt;=Inputs!$C$9,0,MIN(IF(ISERROR(VLOOKUP(BI$134+$F184,$D$135:$D$165,1,FALSE)),0,BH52*$C$2),MAX((IF(Monthly!BE$4=TRUE,Monthly!BE$13,Monthly!BE$14)*(1+'Attrition Modeling'!$N$8)-'IP Attrition'!BH$65)/12*'IP Attrition'!BH119,0)))</f>
        <v>0</v>
      </c>
      <c r="BJ184" s="799">
        <f>IF(EOMONTH(Inputs!$C$8,'IP Attrition'!BJ$134-1)&lt;=Inputs!$C$9,0,MIN(IF(ISERROR(VLOOKUP(BJ$134+$F184,$D$135:$D$165,1,FALSE)),0,BI52*$C$2),MAX((IF(Monthly!BF$4=TRUE,Monthly!BF$13,Monthly!BF$14)*(1+'Attrition Modeling'!$N$8)-'IP Attrition'!BI$65)/12*'IP Attrition'!BI119,0)))</f>
        <v>0</v>
      </c>
      <c r="BK184" s="799">
        <f>IF(EOMONTH(Inputs!$C$8,'IP Attrition'!BK$134-1)&lt;=Inputs!$C$9,0,MIN(IF(ISERROR(VLOOKUP(BK$134+$F184,$D$135:$D$165,1,FALSE)),0,BJ52*$C$2),MAX((IF(Monthly!BG$4=TRUE,Monthly!BG$13,Monthly!BG$14)*(1+'Attrition Modeling'!$N$8)-'IP Attrition'!BJ$65)/12*'IP Attrition'!BJ119,0)))</f>
        <v>0</v>
      </c>
      <c r="BL184" s="799">
        <f>IF(EOMONTH(Inputs!$C$8,'IP Attrition'!BL$134-1)&lt;=Inputs!$C$9,0,MIN(IF(ISERROR(VLOOKUP(BL$134+$F184,$D$135:$D$165,1,FALSE)),0,BK52*$C$2),MAX((IF(Monthly!BH$4=TRUE,Monthly!BH$13,Monthly!BH$14)*(1+'Attrition Modeling'!$N$8)-'IP Attrition'!BK$65)/12*'IP Attrition'!BK119,0)))</f>
        <v>0</v>
      </c>
      <c r="BM184" s="799">
        <f>IF(EOMONTH(Inputs!$C$8,'IP Attrition'!BM$134-1)&lt;=Inputs!$C$9,0,MIN(IF(ISERROR(VLOOKUP(BM$134+$F184,$D$135:$D$165,1,FALSE)),0,BL52*$C$2),MAX((IF(Monthly!BI$4=TRUE,Monthly!BI$13,Monthly!BI$14)*(1+'Attrition Modeling'!$N$8)-'IP Attrition'!BL$65)/12*'IP Attrition'!BL119,0)))</f>
        <v>0</v>
      </c>
      <c r="BN184" s="799">
        <f>IF(EOMONTH(Inputs!$C$8,'IP Attrition'!BN$134-1)&lt;=Inputs!$C$9,0,MIN(IF(ISERROR(VLOOKUP(BN$134+$F184,$D$135:$D$165,1,FALSE)),0,BM52*$C$2),MAX((IF(Monthly!BJ$4=TRUE,Monthly!BJ$13,Monthly!BJ$14)*(1+'Attrition Modeling'!$N$8)-'IP Attrition'!BM$65)/12*'IP Attrition'!BM119,0)))</f>
        <v>0</v>
      </c>
      <c r="BO184" s="799">
        <f>IF(EOMONTH(Inputs!$C$8,'IP Attrition'!BO$134-1)&lt;=Inputs!$C$9,0,MIN(IF(ISERROR(VLOOKUP(BO$134+$F184,$D$135:$D$165,1,FALSE)),0,BN52*$C$2),MAX((IF(Monthly!BK$4=TRUE,Monthly!BK$13,Monthly!BK$14)*(1+'Attrition Modeling'!$N$8)-'IP Attrition'!BN$65)/12*'IP Attrition'!BN119,0)))</f>
        <v>0</v>
      </c>
      <c r="BP184" s="799">
        <f>IF(EOMONTH(Inputs!$C$8,'IP Attrition'!BP$134-1)&lt;=Inputs!$C$9,0,MIN(IF(ISERROR(VLOOKUP(BP$134+$F184,$D$135:$D$165,1,FALSE)),0,BO52*$C$2),MAX((IF(Monthly!BL$4=TRUE,Monthly!BL$13,Monthly!BL$14)*(1+'Attrition Modeling'!$N$8)-'IP Attrition'!BO$65)/12*'IP Attrition'!BO119,0)))</f>
        <v>0</v>
      </c>
      <c r="BQ184" s="799">
        <f>IF(EOMONTH(Inputs!$C$8,'IP Attrition'!BQ$134-1)&lt;=Inputs!$C$9,0,MIN(IF(ISERROR(VLOOKUP(BQ$134+$F184,$D$135:$D$165,1,FALSE)),0,BP52*$C$2),MAX((IF(Monthly!BM$4=TRUE,Monthly!BM$13,Monthly!BM$14)*(1+'Attrition Modeling'!$N$8)-'IP Attrition'!BP$65)/12*'IP Attrition'!BP119,0)))</f>
        <v>0</v>
      </c>
      <c r="BR184" s="799">
        <f>IF(EOMONTH(Inputs!$C$8,'IP Attrition'!BR$134-1)&lt;=Inputs!$C$9,0,MIN(IF(ISERROR(VLOOKUP(BR$134+$F184,$D$135:$D$165,1,FALSE)),0,BQ52*$C$2),MAX((IF(Monthly!BN$4=TRUE,Monthly!BN$13,Monthly!BN$14)*(1+'Attrition Modeling'!$N$8)-'IP Attrition'!BQ$65)/12*'IP Attrition'!BQ119,0)))</f>
        <v>0</v>
      </c>
      <c r="BS184" s="799">
        <f>IF(EOMONTH(Inputs!$C$8,'IP Attrition'!BS$134-1)&lt;=Inputs!$C$9,0,MIN(IF(ISERROR(VLOOKUP(BS$134+$F184,$D$135:$D$165,1,FALSE)),0,BR52*$C$2),MAX((IF(Monthly!BO$4=TRUE,Monthly!BO$13,Monthly!BO$14)*(1+'Attrition Modeling'!$N$8)-'IP Attrition'!BR$65)/12*'IP Attrition'!BR119,0)))</f>
        <v>0</v>
      </c>
      <c r="BT184" s="799" t="e">
        <f>IF(EOMONTH(Inputs!$C$8,'IP Attrition'!BT$134-1)&lt;=Inputs!$C$9,0,MIN(IF(ISERROR(VLOOKUP(BT$134+$F184,$D$135:$D$165,1,FALSE)),0,BS52*$C$2),MAX((IF(Monthly!#REF!=TRUE,Monthly!#REF!,Monthly!#REF!)*(1+'Attrition Modeling'!$N$8)-'IP Attrition'!BS$65)/12*'IP Attrition'!BS119,0)))</f>
        <v>#REF!</v>
      </c>
      <c r="BU184" s="799" t="e">
        <f>IF(EOMONTH(Inputs!$C$8,'IP Attrition'!BU$134-1)&lt;=Inputs!$C$9,0,MIN(IF(ISERROR(VLOOKUP(BU$134+$F184,$D$135:$D$165,1,FALSE)),0,BT52*$C$2),MAX((IF(Monthly!#REF!=TRUE,Monthly!#REF!,Monthly!#REF!)*(1+'Attrition Modeling'!$N$8)-'IP Attrition'!BT$65)/12*'IP Attrition'!BT119,0)))</f>
        <v>#REF!</v>
      </c>
    </row>
    <row r="185" spans="5:73" ht="14.25" customHeight="1" x14ac:dyDescent="0.2">
      <c r="E185" s="25">
        <f t="shared" si="71"/>
        <v>0</v>
      </c>
      <c r="F185" s="11">
        <f t="shared" si="73"/>
        <v>50</v>
      </c>
      <c r="G185" s="799"/>
      <c r="H185" s="799">
        <f>IF(EOMONTH(Inputs!$C$8,'IP Attrition'!H$134-1)&lt;=Inputs!$C$9,0,MIN(IF(ISERROR(VLOOKUP(H$134+$F185,$D$135:$D$165,1,FALSE)),0,G53*$C$2),MAX((IF(Monthly!D$4=TRUE,Monthly!D$13,Monthly!D$14)*(1+'Attrition Modeling'!$N$8)-'IP Attrition'!G$65)/12*'IP Attrition'!G120,0)))</f>
        <v>0</v>
      </c>
      <c r="I185" s="799">
        <f>IF(EOMONTH(Inputs!$C$8,'IP Attrition'!I$134-1)&lt;=Inputs!$C$9,0,MIN(IF(ISERROR(VLOOKUP(I$134+$F185,$D$135:$D$165,1,FALSE)),0,H53*$C$2),MAX((IF(Monthly!E$4=TRUE,Monthly!E$13,Monthly!E$14)*(1+'Attrition Modeling'!$N$8)-'IP Attrition'!H$65)/12*'IP Attrition'!H120,0)))</f>
        <v>0</v>
      </c>
      <c r="J185" s="799">
        <f>IF(EOMONTH(Inputs!$C$8,'IP Attrition'!J$134-1)&lt;=Inputs!$C$9,0,MIN(IF(ISERROR(VLOOKUP(J$134+$F185,$D$135:$D$165,1,FALSE)),0,I53*$C$2),MAX((IF(Monthly!F$4=TRUE,Monthly!F$13,Monthly!F$14)*(1+'Attrition Modeling'!$N$8)-'IP Attrition'!I$65)/12*'IP Attrition'!I120,0)))</f>
        <v>0</v>
      </c>
      <c r="K185" s="799">
        <f>IF(EOMONTH(Inputs!$C$8,'IP Attrition'!K$134-1)&lt;=Inputs!$C$9,0,MIN(IF(ISERROR(VLOOKUP(K$134+$F185,$D$135:$D$165,1,FALSE)),0,J53*$C$2),MAX((IF(Monthly!G$4=TRUE,Monthly!G$13,Monthly!G$14)*(1+'Attrition Modeling'!$N$8)-'IP Attrition'!J$65)/12*'IP Attrition'!J120,0)))</f>
        <v>0</v>
      </c>
      <c r="L185" s="799">
        <f>IF(EOMONTH(Inputs!$C$8,'IP Attrition'!L$134-1)&lt;=Inputs!$C$9,0,MIN(IF(ISERROR(VLOOKUP(L$134+$F185,$D$135:$D$165,1,FALSE)),0,K53*$C$2),MAX((IF(Monthly!H$4=TRUE,Monthly!H$13,Monthly!H$14)*(1+'Attrition Modeling'!$N$8)-'IP Attrition'!K$65)/12*'IP Attrition'!K120,0)))</f>
        <v>0</v>
      </c>
      <c r="M185" s="799">
        <f>IF(EOMONTH(Inputs!$C$8,'IP Attrition'!M$134-1)&lt;=Inputs!$C$9,0,MIN(IF(ISERROR(VLOOKUP(M$134+$F185,$D$135:$D$165,1,FALSE)),0,L53*$C$2),MAX((IF(Monthly!I$4=TRUE,Monthly!I$13,Monthly!I$14)*(1+'Attrition Modeling'!$N$8)-'IP Attrition'!L$65)/12*'IP Attrition'!L120,0)))</f>
        <v>0</v>
      </c>
      <c r="N185" s="799">
        <f>IF(EOMONTH(Inputs!$C$8,'IP Attrition'!N$134-1)&lt;=Inputs!$C$9,0,MIN(IF(ISERROR(VLOOKUP(N$134+$F185,$D$135:$D$165,1,FALSE)),0,M53*$C$2),MAX((IF(Monthly!J$4=TRUE,Monthly!J$13,Monthly!J$14)*(1+'Attrition Modeling'!$N$8)-'IP Attrition'!M$65)/12*'IP Attrition'!M120,0)))</f>
        <v>0</v>
      </c>
      <c r="O185" s="799">
        <f>IF(EOMONTH(Inputs!$C$8,'IP Attrition'!O$134-1)&lt;=Inputs!$C$9,0,MIN(IF(ISERROR(VLOOKUP(O$134+$F185,$D$135:$D$165,1,FALSE)),0,N53*$C$2),MAX((IF(Monthly!K$4=TRUE,Monthly!K$13,Monthly!K$14)*(1+'Attrition Modeling'!$N$8)-'IP Attrition'!N$65)/12*'IP Attrition'!N120,0)))</f>
        <v>0</v>
      </c>
      <c r="P185" s="799">
        <f>IF(EOMONTH(Inputs!$C$8,'IP Attrition'!P$134-1)&lt;=Inputs!$C$9,0,MIN(IF(ISERROR(VLOOKUP(P$134+$F185,$D$135:$D$165,1,FALSE)),0,O53*$C$2),MAX((IF(Monthly!L$4=TRUE,Monthly!L$13,Monthly!L$14)*(1+'Attrition Modeling'!$N$8)-'IP Attrition'!O$65)/12*'IP Attrition'!O120,0)))</f>
        <v>0</v>
      </c>
      <c r="Q185" s="799">
        <f>IF(EOMONTH(Inputs!$C$8,'IP Attrition'!Q$134-1)&lt;=Inputs!$C$9,0,MIN(IF(ISERROR(VLOOKUP(Q$134+$F185,$D$135:$D$165,1,FALSE)),0,P53*$C$2),MAX((IF(Monthly!M$4=TRUE,Monthly!M$13,Monthly!M$14)*(1+'Attrition Modeling'!$N$8)-'IP Attrition'!P$65)/12*'IP Attrition'!P120,0)))</f>
        <v>0</v>
      </c>
      <c r="R185" s="799">
        <f>IF(EOMONTH(Inputs!$C$8,'IP Attrition'!R$134-1)&lt;=Inputs!$C$9,0,MIN(IF(ISERROR(VLOOKUP(R$134+$F185,$D$135:$D$165,1,FALSE)),0,Q53*$C$2),MAX((IF(Monthly!N$4=TRUE,Monthly!N$13,Monthly!N$14)*(1+'Attrition Modeling'!$N$8)-'IP Attrition'!Q$65)/12*'IP Attrition'!Q120,0)))</f>
        <v>0</v>
      </c>
      <c r="S185" s="799">
        <f>IF(EOMONTH(Inputs!$C$8,'IP Attrition'!S$134-1)&lt;=Inputs!$C$9,0,MIN(IF(ISERROR(VLOOKUP(S$134+$F185,$D$135:$D$165,1,FALSE)),0,R53*$C$2),MAX((IF(Monthly!O$4=TRUE,Monthly!O$13,Monthly!O$14)*(1+'Attrition Modeling'!$N$8)-'IP Attrition'!R$65)/12*'IP Attrition'!R120,0)))</f>
        <v>0</v>
      </c>
      <c r="T185" s="799">
        <f>IF(EOMONTH(Inputs!$C$8,'IP Attrition'!T$134-1)&lt;=Inputs!$C$9,0,MIN(IF(ISERROR(VLOOKUP(T$134+$F185,$D$135:$D$165,1,FALSE)),0,S53*$C$2),MAX((IF(Monthly!P$4=TRUE,Monthly!P$13,Monthly!P$14)*(1+'Attrition Modeling'!$N$8)-'IP Attrition'!S$65)/12*'IP Attrition'!S120,0)))</f>
        <v>0</v>
      </c>
      <c r="U185" s="799">
        <f>IF(EOMONTH(Inputs!$C$8,'IP Attrition'!U$134-1)&lt;=Inputs!$C$9,0,MIN(IF(ISERROR(VLOOKUP(U$134+$F185,$D$135:$D$165,1,FALSE)),0,T53*$C$2),MAX((IF(Monthly!Q$4=TRUE,Monthly!Q$13,Monthly!Q$14)*(1+'Attrition Modeling'!$N$8)-'IP Attrition'!T$65)/12*'IP Attrition'!T120,0)))</f>
        <v>0</v>
      </c>
      <c r="V185" s="799">
        <f>IF(EOMONTH(Inputs!$C$8,'IP Attrition'!V$134-1)&lt;=Inputs!$C$9,0,MIN(IF(ISERROR(VLOOKUP(V$134+$F185,$D$135:$D$165,1,FALSE)),0,U53*$C$2),MAX((IF(Monthly!R$4=TRUE,Monthly!R$13,Monthly!R$14)*(1+'Attrition Modeling'!$N$8)-'IP Attrition'!U$65)/12*'IP Attrition'!U120,0)))</f>
        <v>0</v>
      </c>
      <c r="W185" s="799">
        <f>IF(EOMONTH(Inputs!$C$8,'IP Attrition'!W$134-1)&lt;=Inputs!$C$9,0,MIN(IF(ISERROR(VLOOKUP(W$134+$F185,$D$135:$D$165,1,FALSE)),0,V53*$C$2),MAX((IF(Monthly!S$4=TRUE,Monthly!S$13,Monthly!S$14)*(1+'Attrition Modeling'!$N$8)-'IP Attrition'!V$65)/12*'IP Attrition'!V120,0)))</f>
        <v>0</v>
      </c>
      <c r="X185" s="799">
        <f>IF(EOMONTH(Inputs!$C$8,'IP Attrition'!X$134-1)&lt;=Inputs!$C$9,0,MIN(IF(ISERROR(VLOOKUP(X$134+$F185,$D$135:$D$165,1,FALSE)),0,W53*$C$2),MAX((IF(Monthly!T$4=TRUE,Monthly!T$13,Monthly!T$14)*(1+'Attrition Modeling'!$N$8)-'IP Attrition'!W$65)/12*'IP Attrition'!W120,0)))</f>
        <v>0</v>
      </c>
      <c r="Y185" s="799">
        <f>IF(EOMONTH(Inputs!$C$8,'IP Attrition'!Y$134-1)&lt;=Inputs!$C$9,0,MIN(IF(ISERROR(VLOOKUP(Y$134+$F185,$D$135:$D$165,1,FALSE)),0,X53*$C$2),MAX((IF(Monthly!U$4=TRUE,Monthly!U$13,Monthly!U$14)*(1+'Attrition Modeling'!$N$8)-'IP Attrition'!X$65)/12*'IP Attrition'!X120,0)))</f>
        <v>0</v>
      </c>
      <c r="Z185" s="799">
        <f>IF(EOMONTH(Inputs!$C$8,'IP Attrition'!Z$134-1)&lt;=Inputs!$C$9,0,MIN(IF(ISERROR(VLOOKUP(Z$134+$F185,$D$135:$D$165,1,FALSE)),0,Y53*$C$2),MAX((IF(Monthly!V$4=TRUE,Monthly!V$13,Monthly!V$14)*(1+'Attrition Modeling'!$N$8)-'IP Attrition'!Y$65)/12*'IP Attrition'!Y120,0)))</f>
        <v>0</v>
      </c>
      <c r="AA185" s="799">
        <f>IF(EOMONTH(Inputs!$C$8,'IP Attrition'!AA$134-1)&lt;=Inputs!$C$9,0,MIN(IF(ISERROR(VLOOKUP(AA$134+$F185,$D$135:$D$165,1,FALSE)),0,Z53*$C$2),MAX((IF(Monthly!W$4=TRUE,Monthly!W$13,Monthly!W$14)*(1+'Attrition Modeling'!$N$8)-'IP Attrition'!Z$65)/12*'IP Attrition'!Z120,0)))</f>
        <v>0</v>
      </c>
      <c r="AB185" s="799">
        <f>IF(EOMONTH(Inputs!$C$8,'IP Attrition'!AB$134-1)&lt;=Inputs!$C$9,0,MIN(IF(ISERROR(VLOOKUP(AB$134+$F185,$D$135:$D$165,1,FALSE)),0,AA53*$C$2),MAX((IF(Monthly!X$4=TRUE,Monthly!X$13,Monthly!X$14)*(1+'Attrition Modeling'!$N$8)-'IP Attrition'!AA$65)/12*'IP Attrition'!AA120,0)))</f>
        <v>0</v>
      </c>
      <c r="AC185" s="799">
        <f>IF(EOMONTH(Inputs!$C$8,'IP Attrition'!AC$134-1)&lt;=Inputs!$C$9,0,MIN(IF(ISERROR(VLOOKUP(AC$134+$F185,$D$135:$D$165,1,FALSE)),0,AB53*$C$2),MAX((IF(Monthly!Y$4=TRUE,Monthly!Y$13,Monthly!Y$14)*(1+'Attrition Modeling'!$N$8)-'IP Attrition'!AB$65)/12*'IP Attrition'!AB120,0)))</f>
        <v>0</v>
      </c>
      <c r="AD185" s="799">
        <f>IF(EOMONTH(Inputs!$C$8,'IP Attrition'!AD$134-1)&lt;=Inputs!$C$9,0,MIN(IF(ISERROR(VLOOKUP(AD$134+$F185,$D$135:$D$165,1,FALSE)),0,AC53*$C$2),MAX((IF(Monthly!Z$4=TRUE,Monthly!Z$13,Monthly!Z$14)*(1+'Attrition Modeling'!$N$8)-'IP Attrition'!AC$65)/12*'IP Attrition'!AC120,0)))</f>
        <v>0</v>
      </c>
      <c r="AE185" s="799">
        <f>IF(EOMONTH(Inputs!$C$8,'IP Attrition'!AE$134-1)&lt;=Inputs!$C$9,0,MIN(IF(ISERROR(VLOOKUP(AE$134+$F185,$D$135:$D$165,1,FALSE)),0,AD53*$C$2),MAX((IF(Monthly!AA$4=TRUE,Monthly!AA$13,Monthly!AA$14)*(1+'Attrition Modeling'!$N$8)-'IP Attrition'!AD$65)/12*'IP Attrition'!AD120,0)))</f>
        <v>0</v>
      </c>
      <c r="AF185" s="799">
        <f>IF(EOMONTH(Inputs!$C$8,'IP Attrition'!AF$134-1)&lt;=Inputs!$C$9,0,MIN(IF(ISERROR(VLOOKUP(AF$134+$F185,$D$135:$D$165,1,FALSE)),0,AE53*$C$2),MAX((IF(Monthly!AB$4=TRUE,Monthly!AB$13,Monthly!AB$14)*(1+'Attrition Modeling'!$N$8)-'IP Attrition'!AE$65)/12*'IP Attrition'!AE120,0)))</f>
        <v>0</v>
      </c>
      <c r="AG185" s="799">
        <f>IF(EOMONTH(Inputs!$C$8,'IP Attrition'!AG$134-1)&lt;=Inputs!$C$9,0,MIN(IF(ISERROR(VLOOKUP(AG$134+$F185,$D$135:$D$165,1,FALSE)),0,AF53*$C$2),MAX((IF(Monthly!AC$4=TRUE,Monthly!AC$13,Monthly!AC$14)*(1+'Attrition Modeling'!$N$8)-'IP Attrition'!AF$65)/12*'IP Attrition'!AF120,0)))</f>
        <v>0</v>
      </c>
      <c r="AH185" s="799">
        <f>IF(EOMONTH(Inputs!$C$8,'IP Attrition'!AH$134-1)&lt;=Inputs!$C$9,0,MIN(IF(ISERROR(VLOOKUP(AH$134+$F185,$D$135:$D$165,1,FALSE)),0,AG53*$C$2),MAX((IF(Monthly!AD$4=TRUE,Monthly!AD$13,Monthly!AD$14)*(1+'Attrition Modeling'!$N$8)-'IP Attrition'!AG$65)/12*'IP Attrition'!AG120,0)))</f>
        <v>0</v>
      </c>
      <c r="AI185" s="799">
        <f>IF(EOMONTH(Inputs!$C$8,'IP Attrition'!AI$134-1)&lt;=Inputs!$C$9,0,MIN(IF(ISERROR(VLOOKUP(AI$134+$F185,$D$135:$D$165,1,FALSE)),0,AH53*$C$2),MAX((IF(Monthly!AE$4=TRUE,Monthly!AE$13,Monthly!AE$14)*(1+'Attrition Modeling'!$N$8)-'IP Attrition'!AH$65)/12*'IP Attrition'!AH120,0)))</f>
        <v>0</v>
      </c>
      <c r="AJ185" s="799">
        <f>IF(EOMONTH(Inputs!$C$8,'IP Attrition'!AJ$134-1)&lt;=Inputs!$C$9,0,MIN(IF(ISERROR(VLOOKUP(AJ$134+$F185,$D$135:$D$165,1,FALSE)),0,AI53*$C$2),MAX((IF(Monthly!AF$4=TRUE,Monthly!AF$13,Monthly!AF$14)*(1+'Attrition Modeling'!$N$8)-'IP Attrition'!AI$65)/12*'IP Attrition'!AI120,0)))</f>
        <v>0</v>
      </c>
      <c r="AK185" s="799">
        <f>IF(EOMONTH(Inputs!$C$8,'IP Attrition'!AK$134-1)&lt;=Inputs!$C$9,0,MIN(IF(ISERROR(VLOOKUP(AK$134+$F185,$D$135:$D$165,1,FALSE)),0,AJ53*$C$2),MAX((IF(Monthly!AG$4=TRUE,Monthly!AG$13,Monthly!AG$14)*(1+'Attrition Modeling'!$N$8)-'IP Attrition'!AJ$65)/12*'IP Attrition'!AJ120,0)))</f>
        <v>0</v>
      </c>
      <c r="AL185" s="799">
        <f>IF(EOMONTH(Inputs!$C$8,'IP Attrition'!AL$134-1)&lt;=Inputs!$C$9,0,MIN(IF(ISERROR(VLOOKUP(AL$134+$F185,$D$135:$D$165,1,FALSE)),0,AK53*$C$2),MAX((IF(Monthly!AH$4=TRUE,Monthly!AH$13,Monthly!AH$14)*(1+'Attrition Modeling'!$N$8)-'IP Attrition'!AK$65)/12*'IP Attrition'!AK120,0)))</f>
        <v>0</v>
      </c>
      <c r="AM185" s="799">
        <f>IF(EOMONTH(Inputs!$C$8,'IP Attrition'!AM$134-1)&lt;=Inputs!$C$9,0,MIN(IF(ISERROR(VLOOKUP(AM$134+$F185,$D$135:$D$165,1,FALSE)),0,AL53*$C$2),MAX((IF(Monthly!AI$4=TRUE,Monthly!AI$13,Monthly!AI$14)*(1+'Attrition Modeling'!$N$8)-'IP Attrition'!AL$65)/12*'IP Attrition'!AL120,0)))</f>
        <v>0</v>
      </c>
      <c r="AN185" s="799">
        <f>IF(EOMONTH(Inputs!$C$8,'IP Attrition'!AN$134-1)&lt;=Inputs!$C$9,0,MIN(IF(ISERROR(VLOOKUP(AN$134+$F185,$D$135:$D$165,1,FALSE)),0,AM53*$C$2),MAX((IF(Monthly!AJ$4=TRUE,Monthly!AJ$13,Monthly!AJ$14)*(1+'Attrition Modeling'!$N$8)-'IP Attrition'!AM$65)/12*'IP Attrition'!AM120,0)))</f>
        <v>0</v>
      </c>
      <c r="AO185" s="799">
        <f>IF(EOMONTH(Inputs!$C$8,'IP Attrition'!AO$134-1)&lt;=Inputs!$C$9,0,MIN(IF(ISERROR(VLOOKUP(AO$134+$F185,$D$135:$D$165,1,FALSE)),0,AN53*$C$2),MAX((IF(Monthly!AK$4=TRUE,Monthly!AK$13,Monthly!AK$14)*(1+'Attrition Modeling'!$N$8)-'IP Attrition'!AN$65)/12*'IP Attrition'!AN120,0)))</f>
        <v>0</v>
      </c>
      <c r="AP185" s="799">
        <f>IF(EOMONTH(Inputs!$C$8,'IP Attrition'!AP$134-1)&lt;=Inputs!$C$9,0,MIN(IF(ISERROR(VLOOKUP(AP$134+$F185,$D$135:$D$165,1,FALSE)),0,AO53*$C$2),MAX((IF(Monthly!AL$4=TRUE,Monthly!AL$13,Monthly!AL$14)*(1+'Attrition Modeling'!$N$8)-'IP Attrition'!AO$65)/12*'IP Attrition'!AO120,0)))</f>
        <v>0</v>
      </c>
      <c r="AQ185" s="799">
        <f>IF(EOMONTH(Inputs!$C$8,'IP Attrition'!AQ$134-1)&lt;=Inputs!$C$9,0,MIN(IF(ISERROR(VLOOKUP(AQ$134+$F185,$D$135:$D$165,1,FALSE)),0,AP53*$C$2),MAX((IF(Monthly!AM$4=TRUE,Monthly!AM$13,Monthly!AM$14)*(1+'Attrition Modeling'!$N$8)-'IP Attrition'!AP$65)/12*'IP Attrition'!AP120,0)))</f>
        <v>0</v>
      </c>
      <c r="AR185" s="799">
        <f>IF(EOMONTH(Inputs!$C$8,'IP Attrition'!AR$134-1)&lt;=Inputs!$C$9,0,MIN(IF(ISERROR(VLOOKUP(AR$134+$F185,$D$135:$D$165,1,FALSE)),0,AQ53*$C$2),MAX((IF(Monthly!AN$4=TRUE,Monthly!AN$13,Monthly!AN$14)*(1+'Attrition Modeling'!$N$8)-'IP Attrition'!AQ$65)/12*'IP Attrition'!AQ120,0)))</f>
        <v>0</v>
      </c>
      <c r="AS185" s="799">
        <f>IF(EOMONTH(Inputs!$C$8,'IP Attrition'!AS$134-1)&lt;=Inputs!$C$9,0,MIN(IF(ISERROR(VLOOKUP(AS$134+$F185,$D$135:$D$165,1,FALSE)),0,AR53*$C$2),MAX((IF(Monthly!AO$4=TRUE,Monthly!AO$13,Monthly!AO$14)*(1+'Attrition Modeling'!$N$8)-'IP Attrition'!AR$65)/12*'IP Attrition'!AR120,0)))</f>
        <v>0</v>
      </c>
      <c r="AT185" s="799">
        <f>IF(EOMONTH(Inputs!$C$8,'IP Attrition'!AT$134-1)&lt;=Inputs!$C$9,0,MIN(IF(ISERROR(VLOOKUP(AT$134+$F185,$D$135:$D$165,1,FALSE)),0,AS53*$C$2),MAX((IF(Monthly!AP$4=TRUE,Monthly!AP$13,Monthly!AP$14)*(1+'Attrition Modeling'!$N$8)-'IP Attrition'!AS$65)/12*'IP Attrition'!AS120,0)))</f>
        <v>0</v>
      </c>
      <c r="AU185" s="799">
        <f>IF(EOMONTH(Inputs!$C$8,'IP Attrition'!AU$134-1)&lt;=Inputs!$C$9,0,MIN(IF(ISERROR(VLOOKUP(AU$134+$F185,$D$135:$D$165,1,FALSE)),0,AT53*$C$2),MAX((IF(Monthly!AQ$4=TRUE,Monthly!AQ$13,Monthly!AQ$14)*(1+'Attrition Modeling'!$N$8)-'IP Attrition'!AT$65)/12*'IP Attrition'!AT120,0)))</f>
        <v>0</v>
      </c>
      <c r="AV185" s="799">
        <f>IF(EOMONTH(Inputs!$C$8,'IP Attrition'!AV$134-1)&lt;=Inputs!$C$9,0,MIN(IF(ISERROR(VLOOKUP(AV$134+$F185,$D$135:$D$165,1,FALSE)),0,AU53*$C$2),MAX((IF(Monthly!AR$4=TRUE,Monthly!AR$13,Monthly!AR$14)*(1+'Attrition Modeling'!$N$8)-'IP Attrition'!AU$65)/12*'IP Attrition'!AU120,0)))</f>
        <v>0</v>
      </c>
      <c r="AW185" s="799">
        <f>IF(EOMONTH(Inputs!$C$8,'IP Attrition'!AW$134-1)&lt;=Inputs!$C$9,0,MIN(IF(ISERROR(VLOOKUP(AW$134+$F185,$D$135:$D$165,1,FALSE)),0,AV53*$C$2),MAX((IF(Monthly!AS$4=TRUE,Monthly!AS$13,Monthly!AS$14)*(1+'Attrition Modeling'!$N$8)-'IP Attrition'!AV$65)/12*'IP Attrition'!AV120,0)))</f>
        <v>0</v>
      </c>
      <c r="AX185" s="799">
        <f>IF(EOMONTH(Inputs!$C$8,'IP Attrition'!AX$134-1)&lt;=Inputs!$C$9,0,MIN(IF(ISERROR(VLOOKUP(AX$134+$F185,$D$135:$D$165,1,FALSE)),0,AW53*$C$2),MAX((IF(Monthly!AT$4=TRUE,Monthly!AT$13,Monthly!AT$14)*(1+'Attrition Modeling'!$N$8)-'IP Attrition'!AW$65)/12*'IP Attrition'!AW120,0)))</f>
        <v>0</v>
      </c>
      <c r="AY185" s="799">
        <f>IF(EOMONTH(Inputs!$C$8,'IP Attrition'!AY$134-1)&lt;=Inputs!$C$9,0,MIN(IF(ISERROR(VLOOKUP(AY$134+$F185,$D$135:$D$165,1,FALSE)),0,AX53*$C$2),MAX((IF(Monthly!AU$4=TRUE,Monthly!AU$13,Monthly!AU$14)*(1+'Attrition Modeling'!$N$8)-'IP Attrition'!AX$65)/12*'IP Attrition'!AX120,0)))</f>
        <v>0</v>
      </c>
      <c r="AZ185" s="799">
        <f>IF(EOMONTH(Inputs!$C$8,'IP Attrition'!AZ$134-1)&lt;=Inputs!$C$9,0,MIN(IF(ISERROR(VLOOKUP(AZ$134+$F185,$D$135:$D$165,1,FALSE)),0,AY53*$C$2),MAX((IF(Monthly!AV$4=TRUE,Monthly!AV$13,Monthly!AV$14)*(1+'Attrition Modeling'!$N$8)-'IP Attrition'!AY$65)/12*'IP Attrition'!AY120,0)))</f>
        <v>0</v>
      </c>
      <c r="BA185" s="799">
        <f>IF(EOMONTH(Inputs!$C$8,'IP Attrition'!BA$134-1)&lt;=Inputs!$C$9,0,MIN(IF(ISERROR(VLOOKUP(BA$134+$F185,$D$135:$D$165,1,FALSE)),0,AZ53*$C$2),MAX((IF(Monthly!AW$4=TRUE,Monthly!AW$13,Monthly!AW$14)*(1+'Attrition Modeling'!$N$8)-'IP Attrition'!AZ$65)/12*'IP Attrition'!AZ120,0)))</f>
        <v>0</v>
      </c>
      <c r="BB185" s="799">
        <f>IF(EOMONTH(Inputs!$C$8,'IP Attrition'!BB$134-1)&lt;=Inputs!$C$9,0,MIN(IF(ISERROR(VLOOKUP(BB$134+$F185,$D$135:$D$165,1,FALSE)),0,BA53*$C$2),MAX((IF(Monthly!AX$4=TRUE,Monthly!AX$13,Monthly!AX$14)*(1+'Attrition Modeling'!$N$8)-'IP Attrition'!BA$65)/12*'IP Attrition'!BA120,0)))</f>
        <v>0</v>
      </c>
      <c r="BC185" s="799">
        <f>IF(EOMONTH(Inputs!$C$8,'IP Attrition'!BC$134-1)&lt;=Inputs!$C$9,0,MIN(IF(ISERROR(VLOOKUP(BC$134+$F185,$D$135:$D$165,1,FALSE)),0,BB53*$C$2),MAX((IF(Monthly!AY$4=TRUE,Monthly!AY$13,Monthly!AY$14)*(1+'Attrition Modeling'!$N$8)-'IP Attrition'!BB$65)/12*'IP Attrition'!BB120,0)))</f>
        <v>0</v>
      </c>
      <c r="BD185" s="799">
        <f>IF(EOMONTH(Inputs!$C$8,'IP Attrition'!BD$134-1)&lt;=Inputs!$C$9,0,MIN(IF(ISERROR(VLOOKUP(BD$134+$F185,$D$135:$D$165,1,FALSE)),0,BC53*$C$2),MAX((IF(Monthly!AZ$4=TRUE,Monthly!AZ$13,Monthly!AZ$14)*(1+'Attrition Modeling'!$N$8)-'IP Attrition'!BC$65)/12*'IP Attrition'!BC120,0)))</f>
        <v>0</v>
      </c>
      <c r="BE185" s="799">
        <f>IF(EOMONTH(Inputs!$C$8,'IP Attrition'!BE$134-1)&lt;=Inputs!$C$9,0,MIN(IF(ISERROR(VLOOKUP(BE$134+$F185,$D$135:$D$165,1,FALSE)),0,BD53*$C$2),MAX((IF(Monthly!BA$4=TRUE,Monthly!BA$13,Monthly!BA$14)*(1+'Attrition Modeling'!$N$8)-'IP Attrition'!BD$65)/12*'IP Attrition'!BD120,0)))</f>
        <v>0</v>
      </c>
      <c r="BF185" s="799">
        <f>IF(EOMONTH(Inputs!$C$8,'IP Attrition'!BF$134-1)&lt;=Inputs!$C$9,0,MIN(IF(ISERROR(VLOOKUP(BF$134+$F185,$D$135:$D$165,1,FALSE)),0,BE53*$C$2),MAX((IF(Monthly!BB$4=TRUE,Monthly!BB$13,Monthly!BB$14)*(1+'Attrition Modeling'!$N$8)-'IP Attrition'!BE$65)/12*'IP Attrition'!BE120,0)))</f>
        <v>0</v>
      </c>
      <c r="BG185" s="799">
        <f>IF(EOMONTH(Inputs!$C$8,'IP Attrition'!BG$134-1)&lt;=Inputs!$C$9,0,MIN(IF(ISERROR(VLOOKUP(BG$134+$F185,$D$135:$D$165,1,FALSE)),0,BF53*$C$2),MAX((IF(Monthly!BC$4=TRUE,Monthly!BC$13,Monthly!BC$14)*(1+'Attrition Modeling'!$N$8)-'IP Attrition'!BF$65)/12*'IP Attrition'!BF120,0)))</f>
        <v>0</v>
      </c>
      <c r="BH185" s="799">
        <f>IF(EOMONTH(Inputs!$C$8,'IP Attrition'!BH$134-1)&lt;=Inputs!$C$9,0,MIN(IF(ISERROR(VLOOKUP(BH$134+$F185,$D$135:$D$165,1,FALSE)),0,BG53*$C$2),MAX((IF(Monthly!BD$4=TRUE,Monthly!BD$13,Monthly!BD$14)*(1+'Attrition Modeling'!$N$8)-'IP Attrition'!BG$65)/12*'IP Attrition'!BG120,0)))</f>
        <v>0</v>
      </c>
      <c r="BI185" s="799">
        <f>IF(EOMONTH(Inputs!$C$8,'IP Attrition'!BI$134-1)&lt;=Inputs!$C$9,0,MIN(IF(ISERROR(VLOOKUP(BI$134+$F185,$D$135:$D$165,1,FALSE)),0,BH53*$C$2),MAX((IF(Monthly!BE$4=TRUE,Monthly!BE$13,Monthly!BE$14)*(1+'Attrition Modeling'!$N$8)-'IP Attrition'!BH$65)/12*'IP Attrition'!BH120,0)))</f>
        <v>0</v>
      </c>
      <c r="BJ185" s="799">
        <f>IF(EOMONTH(Inputs!$C$8,'IP Attrition'!BJ$134-1)&lt;=Inputs!$C$9,0,MIN(IF(ISERROR(VLOOKUP(BJ$134+$F185,$D$135:$D$165,1,FALSE)),0,BI53*$C$2),MAX((IF(Monthly!BF$4=TRUE,Monthly!BF$13,Monthly!BF$14)*(1+'Attrition Modeling'!$N$8)-'IP Attrition'!BI$65)/12*'IP Attrition'!BI120,0)))</f>
        <v>0</v>
      </c>
      <c r="BK185" s="799">
        <f>IF(EOMONTH(Inputs!$C$8,'IP Attrition'!BK$134-1)&lt;=Inputs!$C$9,0,MIN(IF(ISERROR(VLOOKUP(BK$134+$F185,$D$135:$D$165,1,FALSE)),0,BJ53*$C$2),MAX((IF(Monthly!BG$4=TRUE,Monthly!BG$13,Monthly!BG$14)*(1+'Attrition Modeling'!$N$8)-'IP Attrition'!BJ$65)/12*'IP Attrition'!BJ120,0)))</f>
        <v>0</v>
      </c>
      <c r="BL185" s="799">
        <f>IF(EOMONTH(Inputs!$C$8,'IP Attrition'!BL$134-1)&lt;=Inputs!$C$9,0,MIN(IF(ISERROR(VLOOKUP(BL$134+$F185,$D$135:$D$165,1,FALSE)),0,BK53*$C$2),MAX((IF(Monthly!BH$4=TRUE,Monthly!BH$13,Monthly!BH$14)*(1+'Attrition Modeling'!$N$8)-'IP Attrition'!BK$65)/12*'IP Attrition'!BK120,0)))</f>
        <v>0</v>
      </c>
      <c r="BM185" s="799">
        <f>IF(EOMONTH(Inputs!$C$8,'IP Attrition'!BM$134-1)&lt;=Inputs!$C$9,0,MIN(IF(ISERROR(VLOOKUP(BM$134+$F185,$D$135:$D$165,1,FALSE)),0,BL53*$C$2),MAX((IF(Monthly!BI$4=TRUE,Monthly!BI$13,Monthly!BI$14)*(1+'Attrition Modeling'!$N$8)-'IP Attrition'!BL$65)/12*'IP Attrition'!BL120,0)))</f>
        <v>0</v>
      </c>
      <c r="BN185" s="799">
        <f>IF(EOMONTH(Inputs!$C$8,'IP Attrition'!BN$134-1)&lt;=Inputs!$C$9,0,MIN(IF(ISERROR(VLOOKUP(BN$134+$F185,$D$135:$D$165,1,FALSE)),0,BM53*$C$2),MAX((IF(Monthly!BJ$4=TRUE,Monthly!BJ$13,Monthly!BJ$14)*(1+'Attrition Modeling'!$N$8)-'IP Attrition'!BM$65)/12*'IP Attrition'!BM120,0)))</f>
        <v>0</v>
      </c>
      <c r="BO185" s="799">
        <f>IF(EOMONTH(Inputs!$C$8,'IP Attrition'!BO$134-1)&lt;=Inputs!$C$9,0,MIN(IF(ISERROR(VLOOKUP(BO$134+$F185,$D$135:$D$165,1,FALSE)),0,BN53*$C$2),MAX((IF(Monthly!BK$4=TRUE,Monthly!BK$13,Monthly!BK$14)*(1+'Attrition Modeling'!$N$8)-'IP Attrition'!BN$65)/12*'IP Attrition'!BN120,0)))</f>
        <v>0</v>
      </c>
      <c r="BP185" s="799">
        <f>IF(EOMONTH(Inputs!$C$8,'IP Attrition'!BP$134-1)&lt;=Inputs!$C$9,0,MIN(IF(ISERROR(VLOOKUP(BP$134+$F185,$D$135:$D$165,1,FALSE)),0,BO53*$C$2),MAX((IF(Monthly!BL$4=TRUE,Monthly!BL$13,Monthly!BL$14)*(1+'Attrition Modeling'!$N$8)-'IP Attrition'!BO$65)/12*'IP Attrition'!BO120,0)))</f>
        <v>0</v>
      </c>
      <c r="BQ185" s="799">
        <f>IF(EOMONTH(Inputs!$C$8,'IP Attrition'!BQ$134-1)&lt;=Inputs!$C$9,0,MIN(IF(ISERROR(VLOOKUP(BQ$134+$F185,$D$135:$D$165,1,FALSE)),0,BP53*$C$2),MAX((IF(Monthly!BM$4=TRUE,Monthly!BM$13,Monthly!BM$14)*(1+'Attrition Modeling'!$N$8)-'IP Attrition'!BP$65)/12*'IP Attrition'!BP120,0)))</f>
        <v>0</v>
      </c>
      <c r="BR185" s="799">
        <f>IF(EOMONTH(Inputs!$C$8,'IP Attrition'!BR$134-1)&lt;=Inputs!$C$9,0,MIN(IF(ISERROR(VLOOKUP(BR$134+$F185,$D$135:$D$165,1,FALSE)),0,BQ53*$C$2),MAX((IF(Monthly!BN$4=TRUE,Monthly!BN$13,Monthly!BN$14)*(1+'Attrition Modeling'!$N$8)-'IP Attrition'!BQ$65)/12*'IP Attrition'!BQ120,0)))</f>
        <v>0</v>
      </c>
      <c r="BS185" s="799">
        <f>IF(EOMONTH(Inputs!$C$8,'IP Attrition'!BS$134-1)&lt;=Inputs!$C$9,0,MIN(IF(ISERROR(VLOOKUP(BS$134+$F185,$D$135:$D$165,1,FALSE)),0,BR53*$C$2),MAX((IF(Monthly!BO$4=TRUE,Monthly!BO$13,Monthly!BO$14)*(1+'Attrition Modeling'!$N$8)-'IP Attrition'!BR$65)/12*'IP Attrition'!BR120,0)))</f>
        <v>0</v>
      </c>
      <c r="BT185" s="799" t="e">
        <f>IF(EOMONTH(Inputs!$C$8,'IP Attrition'!BT$134-1)&lt;=Inputs!$C$9,0,MIN(IF(ISERROR(VLOOKUP(BT$134+$F185,$D$135:$D$165,1,FALSE)),0,BS53*$C$2),MAX((IF(Monthly!#REF!=TRUE,Monthly!#REF!,Monthly!#REF!)*(1+'Attrition Modeling'!$N$8)-'IP Attrition'!BS$65)/12*'IP Attrition'!BS120,0)))</f>
        <v>#REF!</v>
      </c>
      <c r="BU185" s="799" t="e">
        <f>IF(EOMONTH(Inputs!$C$8,'IP Attrition'!BU$134-1)&lt;=Inputs!$C$9,0,MIN(IF(ISERROR(VLOOKUP(BU$134+$F185,$D$135:$D$165,1,FALSE)),0,BT53*$C$2),MAX((IF(Monthly!#REF!=TRUE,Monthly!#REF!,Monthly!#REF!)*(1+'Attrition Modeling'!$N$8)-'IP Attrition'!BT$65)/12*'IP Attrition'!BT120,0)))</f>
        <v>#REF!</v>
      </c>
    </row>
    <row r="186" spans="5:73" ht="14.25" customHeight="1" x14ac:dyDescent="0.2">
      <c r="E186" s="25">
        <f t="shared" si="71"/>
        <v>0</v>
      </c>
      <c r="F186" s="11">
        <f t="shared" si="73"/>
        <v>51</v>
      </c>
      <c r="G186" s="799"/>
      <c r="H186" s="799">
        <f>IF(EOMONTH(Inputs!$C$8,'IP Attrition'!H$134-1)&lt;=Inputs!$C$9,0,MIN(IF(ISERROR(VLOOKUP(H$134+$F186,$D$135:$D$165,1,FALSE)),0,G54*$C$2),MAX((IF(Monthly!D$4=TRUE,Monthly!D$13,Monthly!D$14)*(1+'Attrition Modeling'!$N$8)-'IP Attrition'!G$65)/12*'IP Attrition'!G121,0)))</f>
        <v>0</v>
      </c>
      <c r="I186" s="799">
        <f>IF(EOMONTH(Inputs!$C$8,'IP Attrition'!I$134-1)&lt;=Inputs!$C$9,0,MIN(IF(ISERROR(VLOOKUP(I$134+$F186,$D$135:$D$165,1,FALSE)),0,H54*$C$2),MAX((IF(Monthly!E$4=TRUE,Monthly!E$13,Monthly!E$14)*(1+'Attrition Modeling'!$N$8)-'IP Attrition'!H$65)/12*'IP Attrition'!H121,0)))</f>
        <v>0</v>
      </c>
      <c r="J186" s="799">
        <f>IF(EOMONTH(Inputs!$C$8,'IP Attrition'!J$134-1)&lt;=Inputs!$C$9,0,MIN(IF(ISERROR(VLOOKUP(J$134+$F186,$D$135:$D$165,1,FALSE)),0,I54*$C$2),MAX((IF(Monthly!F$4=TRUE,Monthly!F$13,Monthly!F$14)*(1+'Attrition Modeling'!$N$8)-'IP Attrition'!I$65)/12*'IP Attrition'!I121,0)))</f>
        <v>0</v>
      </c>
      <c r="K186" s="799">
        <f>IF(EOMONTH(Inputs!$C$8,'IP Attrition'!K$134-1)&lt;=Inputs!$C$9,0,MIN(IF(ISERROR(VLOOKUP(K$134+$F186,$D$135:$D$165,1,FALSE)),0,J54*$C$2),MAX((IF(Monthly!G$4=TRUE,Monthly!G$13,Monthly!G$14)*(1+'Attrition Modeling'!$N$8)-'IP Attrition'!J$65)/12*'IP Attrition'!J121,0)))</f>
        <v>0</v>
      </c>
      <c r="L186" s="799">
        <f>IF(EOMONTH(Inputs!$C$8,'IP Attrition'!L$134-1)&lt;=Inputs!$C$9,0,MIN(IF(ISERROR(VLOOKUP(L$134+$F186,$D$135:$D$165,1,FALSE)),0,K54*$C$2),MAX((IF(Monthly!H$4=TRUE,Monthly!H$13,Monthly!H$14)*(1+'Attrition Modeling'!$N$8)-'IP Attrition'!K$65)/12*'IP Attrition'!K121,0)))</f>
        <v>0</v>
      </c>
      <c r="M186" s="799">
        <f>IF(EOMONTH(Inputs!$C$8,'IP Attrition'!M$134-1)&lt;=Inputs!$C$9,0,MIN(IF(ISERROR(VLOOKUP(M$134+$F186,$D$135:$D$165,1,FALSE)),0,L54*$C$2),MAX((IF(Monthly!I$4=TRUE,Monthly!I$13,Monthly!I$14)*(1+'Attrition Modeling'!$N$8)-'IP Attrition'!L$65)/12*'IP Attrition'!L121,0)))</f>
        <v>0</v>
      </c>
      <c r="N186" s="799">
        <f>IF(EOMONTH(Inputs!$C$8,'IP Attrition'!N$134-1)&lt;=Inputs!$C$9,0,MIN(IF(ISERROR(VLOOKUP(N$134+$F186,$D$135:$D$165,1,FALSE)),0,M54*$C$2),MAX((IF(Monthly!J$4=TRUE,Monthly!J$13,Monthly!J$14)*(1+'Attrition Modeling'!$N$8)-'IP Attrition'!M$65)/12*'IP Attrition'!M121,0)))</f>
        <v>0</v>
      </c>
      <c r="O186" s="799">
        <f>IF(EOMONTH(Inputs!$C$8,'IP Attrition'!O$134-1)&lt;=Inputs!$C$9,0,MIN(IF(ISERROR(VLOOKUP(O$134+$F186,$D$135:$D$165,1,FALSE)),0,N54*$C$2),MAX((IF(Monthly!K$4=TRUE,Monthly!K$13,Monthly!K$14)*(1+'Attrition Modeling'!$N$8)-'IP Attrition'!N$65)/12*'IP Attrition'!N121,0)))</f>
        <v>0</v>
      </c>
      <c r="P186" s="799">
        <f>IF(EOMONTH(Inputs!$C$8,'IP Attrition'!P$134-1)&lt;=Inputs!$C$9,0,MIN(IF(ISERROR(VLOOKUP(P$134+$F186,$D$135:$D$165,1,FALSE)),0,O54*$C$2),MAX((IF(Monthly!L$4=TRUE,Monthly!L$13,Monthly!L$14)*(1+'Attrition Modeling'!$N$8)-'IP Attrition'!O$65)/12*'IP Attrition'!O121,0)))</f>
        <v>0</v>
      </c>
      <c r="Q186" s="799">
        <f>IF(EOMONTH(Inputs!$C$8,'IP Attrition'!Q$134-1)&lt;=Inputs!$C$9,0,MIN(IF(ISERROR(VLOOKUP(Q$134+$F186,$D$135:$D$165,1,FALSE)),0,P54*$C$2),MAX((IF(Monthly!M$4=TRUE,Monthly!M$13,Monthly!M$14)*(1+'Attrition Modeling'!$N$8)-'IP Attrition'!P$65)/12*'IP Attrition'!P121,0)))</f>
        <v>0</v>
      </c>
      <c r="R186" s="799">
        <f>IF(EOMONTH(Inputs!$C$8,'IP Attrition'!R$134-1)&lt;=Inputs!$C$9,0,MIN(IF(ISERROR(VLOOKUP(R$134+$F186,$D$135:$D$165,1,FALSE)),0,Q54*$C$2),MAX((IF(Monthly!N$4=TRUE,Monthly!N$13,Monthly!N$14)*(1+'Attrition Modeling'!$N$8)-'IP Attrition'!Q$65)/12*'IP Attrition'!Q121,0)))</f>
        <v>0</v>
      </c>
      <c r="S186" s="799">
        <f>IF(EOMONTH(Inputs!$C$8,'IP Attrition'!S$134-1)&lt;=Inputs!$C$9,0,MIN(IF(ISERROR(VLOOKUP(S$134+$F186,$D$135:$D$165,1,FALSE)),0,R54*$C$2),MAX((IF(Monthly!O$4=TRUE,Monthly!O$13,Monthly!O$14)*(1+'Attrition Modeling'!$N$8)-'IP Attrition'!R$65)/12*'IP Attrition'!R121,0)))</f>
        <v>0</v>
      </c>
      <c r="T186" s="799">
        <f>IF(EOMONTH(Inputs!$C$8,'IP Attrition'!T$134-1)&lt;=Inputs!$C$9,0,MIN(IF(ISERROR(VLOOKUP(T$134+$F186,$D$135:$D$165,1,FALSE)),0,S54*$C$2),MAX((IF(Monthly!P$4=TRUE,Monthly!P$13,Monthly!P$14)*(1+'Attrition Modeling'!$N$8)-'IP Attrition'!S$65)/12*'IP Attrition'!S121,0)))</f>
        <v>0</v>
      </c>
      <c r="U186" s="799">
        <f>IF(EOMONTH(Inputs!$C$8,'IP Attrition'!U$134-1)&lt;=Inputs!$C$9,0,MIN(IF(ISERROR(VLOOKUP(U$134+$F186,$D$135:$D$165,1,FALSE)),0,T54*$C$2),MAX((IF(Monthly!Q$4=TRUE,Monthly!Q$13,Monthly!Q$14)*(1+'Attrition Modeling'!$N$8)-'IP Attrition'!T$65)/12*'IP Attrition'!T121,0)))</f>
        <v>0</v>
      </c>
      <c r="V186" s="799">
        <f>IF(EOMONTH(Inputs!$C$8,'IP Attrition'!V$134-1)&lt;=Inputs!$C$9,0,MIN(IF(ISERROR(VLOOKUP(V$134+$F186,$D$135:$D$165,1,FALSE)),0,U54*$C$2),MAX((IF(Monthly!R$4=TRUE,Monthly!R$13,Monthly!R$14)*(1+'Attrition Modeling'!$N$8)-'IP Attrition'!U$65)/12*'IP Attrition'!U121,0)))</f>
        <v>0</v>
      </c>
      <c r="W186" s="799">
        <f>IF(EOMONTH(Inputs!$C$8,'IP Attrition'!W$134-1)&lt;=Inputs!$C$9,0,MIN(IF(ISERROR(VLOOKUP(W$134+$F186,$D$135:$D$165,1,FALSE)),0,V54*$C$2),MAX((IF(Monthly!S$4=TRUE,Monthly!S$13,Monthly!S$14)*(1+'Attrition Modeling'!$N$8)-'IP Attrition'!V$65)/12*'IP Attrition'!V121,0)))</f>
        <v>0</v>
      </c>
      <c r="X186" s="799">
        <f>IF(EOMONTH(Inputs!$C$8,'IP Attrition'!X$134-1)&lt;=Inputs!$C$9,0,MIN(IF(ISERROR(VLOOKUP(X$134+$F186,$D$135:$D$165,1,FALSE)),0,W54*$C$2),MAX((IF(Monthly!T$4=TRUE,Monthly!T$13,Monthly!T$14)*(1+'Attrition Modeling'!$N$8)-'IP Attrition'!W$65)/12*'IP Attrition'!W121,0)))</f>
        <v>0</v>
      </c>
      <c r="Y186" s="799">
        <f>IF(EOMONTH(Inputs!$C$8,'IP Attrition'!Y$134-1)&lt;=Inputs!$C$9,0,MIN(IF(ISERROR(VLOOKUP(Y$134+$F186,$D$135:$D$165,1,FALSE)),0,X54*$C$2),MAX((IF(Monthly!U$4=TRUE,Monthly!U$13,Monthly!U$14)*(1+'Attrition Modeling'!$N$8)-'IP Attrition'!X$65)/12*'IP Attrition'!X121,0)))</f>
        <v>0</v>
      </c>
      <c r="Z186" s="799">
        <f>IF(EOMONTH(Inputs!$C$8,'IP Attrition'!Z$134-1)&lt;=Inputs!$C$9,0,MIN(IF(ISERROR(VLOOKUP(Z$134+$F186,$D$135:$D$165,1,FALSE)),0,Y54*$C$2),MAX((IF(Monthly!V$4=TRUE,Monthly!V$13,Monthly!V$14)*(1+'Attrition Modeling'!$N$8)-'IP Attrition'!Y$65)/12*'IP Attrition'!Y121,0)))</f>
        <v>0</v>
      </c>
      <c r="AA186" s="799">
        <f>IF(EOMONTH(Inputs!$C$8,'IP Attrition'!AA$134-1)&lt;=Inputs!$C$9,0,MIN(IF(ISERROR(VLOOKUP(AA$134+$F186,$D$135:$D$165,1,FALSE)),0,Z54*$C$2),MAX((IF(Monthly!W$4=TRUE,Monthly!W$13,Monthly!W$14)*(1+'Attrition Modeling'!$N$8)-'IP Attrition'!Z$65)/12*'IP Attrition'!Z121,0)))</f>
        <v>0</v>
      </c>
      <c r="AB186" s="799">
        <f>IF(EOMONTH(Inputs!$C$8,'IP Attrition'!AB$134-1)&lt;=Inputs!$C$9,0,MIN(IF(ISERROR(VLOOKUP(AB$134+$F186,$D$135:$D$165,1,FALSE)),0,AA54*$C$2),MAX((IF(Monthly!X$4=TRUE,Monthly!X$13,Monthly!X$14)*(1+'Attrition Modeling'!$N$8)-'IP Attrition'!AA$65)/12*'IP Attrition'!AA121,0)))</f>
        <v>0</v>
      </c>
      <c r="AC186" s="799">
        <f>IF(EOMONTH(Inputs!$C$8,'IP Attrition'!AC$134-1)&lt;=Inputs!$C$9,0,MIN(IF(ISERROR(VLOOKUP(AC$134+$F186,$D$135:$D$165,1,FALSE)),0,AB54*$C$2),MAX((IF(Monthly!Y$4=TRUE,Monthly!Y$13,Monthly!Y$14)*(1+'Attrition Modeling'!$N$8)-'IP Attrition'!AB$65)/12*'IP Attrition'!AB121,0)))</f>
        <v>0</v>
      </c>
      <c r="AD186" s="799">
        <f>IF(EOMONTH(Inputs!$C$8,'IP Attrition'!AD$134-1)&lt;=Inputs!$C$9,0,MIN(IF(ISERROR(VLOOKUP(AD$134+$F186,$D$135:$D$165,1,FALSE)),0,AC54*$C$2),MAX((IF(Monthly!Z$4=TRUE,Monthly!Z$13,Monthly!Z$14)*(1+'Attrition Modeling'!$N$8)-'IP Attrition'!AC$65)/12*'IP Attrition'!AC121,0)))</f>
        <v>0</v>
      </c>
      <c r="AE186" s="799">
        <f>IF(EOMONTH(Inputs!$C$8,'IP Attrition'!AE$134-1)&lt;=Inputs!$C$9,0,MIN(IF(ISERROR(VLOOKUP(AE$134+$F186,$D$135:$D$165,1,FALSE)),0,AD54*$C$2),MAX((IF(Monthly!AA$4=TRUE,Monthly!AA$13,Monthly!AA$14)*(1+'Attrition Modeling'!$N$8)-'IP Attrition'!AD$65)/12*'IP Attrition'!AD121,0)))</f>
        <v>0</v>
      </c>
      <c r="AF186" s="799">
        <f>IF(EOMONTH(Inputs!$C$8,'IP Attrition'!AF$134-1)&lt;=Inputs!$C$9,0,MIN(IF(ISERROR(VLOOKUP(AF$134+$F186,$D$135:$D$165,1,FALSE)),0,AE54*$C$2),MAX((IF(Monthly!AB$4=TRUE,Monthly!AB$13,Monthly!AB$14)*(1+'Attrition Modeling'!$N$8)-'IP Attrition'!AE$65)/12*'IP Attrition'!AE121,0)))</f>
        <v>0</v>
      </c>
      <c r="AG186" s="799">
        <f>IF(EOMONTH(Inputs!$C$8,'IP Attrition'!AG$134-1)&lt;=Inputs!$C$9,0,MIN(IF(ISERROR(VLOOKUP(AG$134+$F186,$D$135:$D$165,1,FALSE)),0,AF54*$C$2),MAX((IF(Monthly!AC$4=TRUE,Monthly!AC$13,Monthly!AC$14)*(1+'Attrition Modeling'!$N$8)-'IP Attrition'!AF$65)/12*'IP Attrition'!AF121,0)))</f>
        <v>0</v>
      </c>
      <c r="AH186" s="799">
        <f>IF(EOMONTH(Inputs!$C$8,'IP Attrition'!AH$134-1)&lt;=Inputs!$C$9,0,MIN(IF(ISERROR(VLOOKUP(AH$134+$F186,$D$135:$D$165,1,FALSE)),0,AG54*$C$2),MAX((IF(Monthly!AD$4=TRUE,Monthly!AD$13,Monthly!AD$14)*(1+'Attrition Modeling'!$N$8)-'IP Attrition'!AG$65)/12*'IP Attrition'!AG121,0)))</f>
        <v>0</v>
      </c>
      <c r="AI186" s="799">
        <f>IF(EOMONTH(Inputs!$C$8,'IP Attrition'!AI$134-1)&lt;=Inputs!$C$9,0,MIN(IF(ISERROR(VLOOKUP(AI$134+$F186,$D$135:$D$165,1,FALSE)),0,AH54*$C$2),MAX((IF(Monthly!AE$4=TRUE,Monthly!AE$13,Monthly!AE$14)*(1+'Attrition Modeling'!$N$8)-'IP Attrition'!AH$65)/12*'IP Attrition'!AH121,0)))</f>
        <v>0</v>
      </c>
      <c r="AJ186" s="799">
        <f>IF(EOMONTH(Inputs!$C$8,'IP Attrition'!AJ$134-1)&lt;=Inputs!$C$9,0,MIN(IF(ISERROR(VLOOKUP(AJ$134+$F186,$D$135:$D$165,1,FALSE)),0,AI54*$C$2),MAX((IF(Monthly!AF$4=TRUE,Monthly!AF$13,Monthly!AF$14)*(1+'Attrition Modeling'!$N$8)-'IP Attrition'!AI$65)/12*'IP Attrition'!AI121,0)))</f>
        <v>0</v>
      </c>
      <c r="AK186" s="799">
        <f>IF(EOMONTH(Inputs!$C$8,'IP Attrition'!AK$134-1)&lt;=Inputs!$C$9,0,MIN(IF(ISERROR(VLOOKUP(AK$134+$F186,$D$135:$D$165,1,FALSE)),0,AJ54*$C$2),MAX((IF(Monthly!AG$4=TRUE,Monthly!AG$13,Monthly!AG$14)*(1+'Attrition Modeling'!$N$8)-'IP Attrition'!AJ$65)/12*'IP Attrition'!AJ121,0)))</f>
        <v>0</v>
      </c>
      <c r="AL186" s="799">
        <f>IF(EOMONTH(Inputs!$C$8,'IP Attrition'!AL$134-1)&lt;=Inputs!$C$9,0,MIN(IF(ISERROR(VLOOKUP(AL$134+$F186,$D$135:$D$165,1,FALSE)),0,AK54*$C$2),MAX((IF(Monthly!AH$4=TRUE,Monthly!AH$13,Monthly!AH$14)*(1+'Attrition Modeling'!$N$8)-'IP Attrition'!AK$65)/12*'IP Attrition'!AK121,0)))</f>
        <v>0</v>
      </c>
      <c r="AM186" s="799">
        <f>IF(EOMONTH(Inputs!$C$8,'IP Attrition'!AM$134-1)&lt;=Inputs!$C$9,0,MIN(IF(ISERROR(VLOOKUP(AM$134+$F186,$D$135:$D$165,1,FALSE)),0,AL54*$C$2),MAX((IF(Monthly!AI$4=TRUE,Monthly!AI$13,Monthly!AI$14)*(1+'Attrition Modeling'!$N$8)-'IP Attrition'!AL$65)/12*'IP Attrition'!AL121,0)))</f>
        <v>0</v>
      </c>
      <c r="AN186" s="799">
        <f>IF(EOMONTH(Inputs!$C$8,'IP Attrition'!AN$134-1)&lt;=Inputs!$C$9,0,MIN(IF(ISERROR(VLOOKUP(AN$134+$F186,$D$135:$D$165,1,FALSE)),0,AM54*$C$2),MAX((IF(Monthly!AJ$4=TRUE,Monthly!AJ$13,Monthly!AJ$14)*(1+'Attrition Modeling'!$N$8)-'IP Attrition'!AM$65)/12*'IP Attrition'!AM121,0)))</f>
        <v>0</v>
      </c>
      <c r="AO186" s="799">
        <f>IF(EOMONTH(Inputs!$C$8,'IP Attrition'!AO$134-1)&lt;=Inputs!$C$9,0,MIN(IF(ISERROR(VLOOKUP(AO$134+$F186,$D$135:$D$165,1,FALSE)),0,AN54*$C$2),MAX((IF(Monthly!AK$4=TRUE,Monthly!AK$13,Monthly!AK$14)*(1+'Attrition Modeling'!$N$8)-'IP Attrition'!AN$65)/12*'IP Attrition'!AN121,0)))</f>
        <v>0</v>
      </c>
      <c r="AP186" s="799">
        <f>IF(EOMONTH(Inputs!$C$8,'IP Attrition'!AP$134-1)&lt;=Inputs!$C$9,0,MIN(IF(ISERROR(VLOOKUP(AP$134+$F186,$D$135:$D$165,1,FALSE)),0,AO54*$C$2),MAX((IF(Monthly!AL$4=TRUE,Monthly!AL$13,Monthly!AL$14)*(1+'Attrition Modeling'!$N$8)-'IP Attrition'!AO$65)/12*'IP Attrition'!AO121,0)))</f>
        <v>0</v>
      </c>
      <c r="AQ186" s="799">
        <f>IF(EOMONTH(Inputs!$C$8,'IP Attrition'!AQ$134-1)&lt;=Inputs!$C$9,0,MIN(IF(ISERROR(VLOOKUP(AQ$134+$F186,$D$135:$D$165,1,FALSE)),0,AP54*$C$2),MAX((IF(Monthly!AM$4=TRUE,Monthly!AM$13,Monthly!AM$14)*(1+'Attrition Modeling'!$N$8)-'IP Attrition'!AP$65)/12*'IP Attrition'!AP121,0)))</f>
        <v>0</v>
      </c>
      <c r="AR186" s="799">
        <f>IF(EOMONTH(Inputs!$C$8,'IP Attrition'!AR$134-1)&lt;=Inputs!$C$9,0,MIN(IF(ISERROR(VLOOKUP(AR$134+$F186,$D$135:$D$165,1,FALSE)),0,AQ54*$C$2),MAX((IF(Monthly!AN$4=TRUE,Monthly!AN$13,Monthly!AN$14)*(1+'Attrition Modeling'!$N$8)-'IP Attrition'!AQ$65)/12*'IP Attrition'!AQ121,0)))</f>
        <v>0</v>
      </c>
      <c r="AS186" s="799">
        <f>IF(EOMONTH(Inputs!$C$8,'IP Attrition'!AS$134-1)&lt;=Inputs!$C$9,0,MIN(IF(ISERROR(VLOOKUP(AS$134+$F186,$D$135:$D$165,1,FALSE)),0,AR54*$C$2),MAX((IF(Monthly!AO$4=TRUE,Monthly!AO$13,Monthly!AO$14)*(1+'Attrition Modeling'!$N$8)-'IP Attrition'!AR$65)/12*'IP Attrition'!AR121,0)))</f>
        <v>0</v>
      </c>
      <c r="AT186" s="799">
        <f>IF(EOMONTH(Inputs!$C$8,'IP Attrition'!AT$134-1)&lt;=Inputs!$C$9,0,MIN(IF(ISERROR(VLOOKUP(AT$134+$F186,$D$135:$D$165,1,FALSE)),0,AS54*$C$2),MAX((IF(Monthly!AP$4=TRUE,Monthly!AP$13,Monthly!AP$14)*(1+'Attrition Modeling'!$N$8)-'IP Attrition'!AS$65)/12*'IP Attrition'!AS121,0)))</f>
        <v>0</v>
      </c>
      <c r="AU186" s="799">
        <f>IF(EOMONTH(Inputs!$C$8,'IP Attrition'!AU$134-1)&lt;=Inputs!$C$9,0,MIN(IF(ISERROR(VLOOKUP(AU$134+$F186,$D$135:$D$165,1,FALSE)),0,AT54*$C$2),MAX((IF(Monthly!AQ$4=TRUE,Monthly!AQ$13,Monthly!AQ$14)*(1+'Attrition Modeling'!$N$8)-'IP Attrition'!AT$65)/12*'IP Attrition'!AT121,0)))</f>
        <v>0</v>
      </c>
      <c r="AV186" s="799">
        <f>IF(EOMONTH(Inputs!$C$8,'IP Attrition'!AV$134-1)&lt;=Inputs!$C$9,0,MIN(IF(ISERROR(VLOOKUP(AV$134+$F186,$D$135:$D$165,1,FALSE)),0,AU54*$C$2),MAX((IF(Monthly!AR$4=TRUE,Monthly!AR$13,Monthly!AR$14)*(1+'Attrition Modeling'!$N$8)-'IP Attrition'!AU$65)/12*'IP Attrition'!AU121,0)))</f>
        <v>0</v>
      </c>
      <c r="AW186" s="799">
        <f>IF(EOMONTH(Inputs!$C$8,'IP Attrition'!AW$134-1)&lt;=Inputs!$C$9,0,MIN(IF(ISERROR(VLOOKUP(AW$134+$F186,$D$135:$D$165,1,FALSE)),0,AV54*$C$2),MAX((IF(Monthly!AS$4=TRUE,Monthly!AS$13,Monthly!AS$14)*(1+'Attrition Modeling'!$N$8)-'IP Attrition'!AV$65)/12*'IP Attrition'!AV121,0)))</f>
        <v>0</v>
      </c>
      <c r="AX186" s="799">
        <f>IF(EOMONTH(Inputs!$C$8,'IP Attrition'!AX$134-1)&lt;=Inputs!$C$9,0,MIN(IF(ISERROR(VLOOKUP(AX$134+$F186,$D$135:$D$165,1,FALSE)),0,AW54*$C$2),MAX((IF(Monthly!AT$4=TRUE,Monthly!AT$13,Monthly!AT$14)*(1+'Attrition Modeling'!$N$8)-'IP Attrition'!AW$65)/12*'IP Attrition'!AW121,0)))</f>
        <v>0</v>
      </c>
      <c r="AY186" s="799">
        <f>IF(EOMONTH(Inputs!$C$8,'IP Attrition'!AY$134-1)&lt;=Inputs!$C$9,0,MIN(IF(ISERROR(VLOOKUP(AY$134+$F186,$D$135:$D$165,1,FALSE)),0,AX54*$C$2),MAX((IF(Monthly!AU$4=TRUE,Monthly!AU$13,Monthly!AU$14)*(1+'Attrition Modeling'!$N$8)-'IP Attrition'!AX$65)/12*'IP Attrition'!AX121,0)))</f>
        <v>0</v>
      </c>
      <c r="AZ186" s="799">
        <f>IF(EOMONTH(Inputs!$C$8,'IP Attrition'!AZ$134-1)&lt;=Inputs!$C$9,0,MIN(IF(ISERROR(VLOOKUP(AZ$134+$F186,$D$135:$D$165,1,FALSE)),0,AY54*$C$2),MAX((IF(Monthly!AV$4=TRUE,Monthly!AV$13,Monthly!AV$14)*(1+'Attrition Modeling'!$N$8)-'IP Attrition'!AY$65)/12*'IP Attrition'!AY121,0)))</f>
        <v>0</v>
      </c>
      <c r="BA186" s="799">
        <f>IF(EOMONTH(Inputs!$C$8,'IP Attrition'!BA$134-1)&lt;=Inputs!$C$9,0,MIN(IF(ISERROR(VLOOKUP(BA$134+$F186,$D$135:$D$165,1,FALSE)),0,AZ54*$C$2),MAX((IF(Monthly!AW$4=TRUE,Monthly!AW$13,Monthly!AW$14)*(1+'Attrition Modeling'!$N$8)-'IP Attrition'!AZ$65)/12*'IP Attrition'!AZ121,0)))</f>
        <v>0</v>
      </c>
      <c r="BB186" s="799">
        <f>IF(EOMONTH(Inputs!$C$8,'IP Attrition'!BB$134-1)&lt;=Inputs!$C$9,0,MIN(IF(ISERROR(VLOOKUP(BB$134+$F186,$D$135:$D$165,1,FALSE)),0,BA54*$C$2),MAX((IF(Monthly!AX$4=TRUE,Monthly!AX$13,Monthly!AX$14)*(1+'Attrition Modeling'!$N$8)-'IP Attrition'!BA$65)/12*'IP Attrition'!BA121,0)))</f>
        <v>0</v>
      </c>
      <c r="BC186" s="799">
        <f>IF(EOMONTH(Inputs!$C$8,'IP Attrition'!BC$134-1)&lt;=Inputs!$C$9,0,MIN(IF(ISERROR(VLOOKUP(BC$134+$F186,$D$135:$D$165,1,FALSE)),0,BB54*$C$2),MAX((IF(Monthly!AY$4=TRUE,Monthly!AY$13,Monthly!AY$14)*(1+'Attrition Modeling'!$N$8)-'IP Attrition'!BB$65)/12*'IP Attrition'!BB121,0)))</f>
        <v>0</v>
      </c>
      <c r="BD186" s="799">
        <f>IF(EOMONTH(Inputs!$C$8,'IP Attrition'!BD$134-1)&lt;=Inputs!$C$9,0,MIN(IF(ISERROR(VLOOKUP(BD$134+$F186,$D$135:$D$165,1,FALSE)),0,BC54*$C$2),MAX((IF(Monthly!AZ$4=TRUE,Monthly!AZ$13,Monthly!AZ$14)*(1+'Attrition Modeling'!$N$8)-'IP Attrition'!BC$65)/12*'IP Attrition'!BC121,0)))</f>
        <v>0</v>
      </c>
      <c r="BE186" s="799">
        <f>IF(EOMONTH(Inputs!$C$8,'IP Attrition'!BE$134-1)&lt;=Inputs!$C$9,0,MIN(IF(ISERROR(VLOOKUP(BE$134+$F186,$D$135:$D$165,1,FALSE)),0,BD54*$C$2),MAX((IF(Monthly!BA$4=TRUE,Monthly!BA$13,Monthly!BA$14)*(1+'Attrition Modeling'!$N$8)-'IP Attrition'!BD$65)/12*'IP Attrition'!BD121,0)))</f>
        <v>0</v>
      </c>
      <c r="BF186" s="799">
        <f>IF(EOMONTH(Inputs!$C$8,'IP Attrition'!BF$134-1)&lt;=Inputs!$C$9,0,MIN(IF(ISERROR(VLOOKUP(BF$134+$F186,$D$135:$D$165,1,FALSE)),0,BE54*$C$2),MAX((IF(Monthly!BB$4=TRUE,Monthly!BB$13,Monthly!BB$14)*(1+'Attrition Modeling'!$N$8)-'IP Attrition'!BE$65)/12*'IP Attrition'!BE121,0)))</f>
        <v>0</v>
      </c>
      <c r="BG186" s="799">
        <f>IF(EOMONTH(Inputs!$C$8,'IP Attrition'!BG$134-1)&lt;=Inputs!$C$9,0,MIN(IF(ISERROR(VLOOKUP(BG$134+$F186,$D$135:$D$165,1,FALSE)),0,BF54*$C$2),MAX((IF(Monthly!BC$4=TRUE,Monthly!BC$13,Monthly!BC$14)*(1+'Attrition Modeling'!$N$8)-'IP Attrition'!BF$65)/12*'IP Attrition'!BF121,0)))</f>
        <v>0</v>
      </c>
      <c r="BH186" s="799">
        <f>IF(EOMONTH(Inputs!$C$8,'IP Attrition'!BH$134-1)&lt;=Inputs!$C$9,0,MIN(IF(ISERROR(VLOOKUP(BH$134+$F186,$D$135:$D$165,1,FALSE)),0,BG54*$C$2),MAX((IF(Monthly!BD$4=TRUE,Monthly!BD$13,Monthly!BD$14)*(1+'Attrition Modeling'!$N$8)-'IP Attrition'!BG$65)/12*'IP Attrition'!BG121,0)))</f>
        <v>0</v>
      </c>
      <c r="BI186" s="799">
        <f>IF(EOMONTH(Inputs!$C$8,'IP Attrition'!BI$134-1)&lt;=Inputs!$C$9,0,MIN(IF(ISERROR(VLOOKUP(BI$134+$F186,$D$135:$D$165,1,FALSE)),0,BH54*$C$2),MAX((IF(Monthly!BE$4=TRUE,Monthly!BE$13,Monthly!BE$14)*(1+'Attrition Modeling'!$N$8)-'IP Attrition'!BH$65)/12*'IP Attrition'!BH121,0)))</f>
        <v>0</v>
      </c>
      <c r="BJ186" s="799">
        <f>IF(EOMONTH(Inputs!$C$8,'IP Attrition'!BJ$134-1)&lt;=Inputs!$C$9,0,MIN(IF(ISERROR(VLOOKUP(BJ$134+$F186,$D$135:$D$165,1,FALSE)),0,BI54*$C$2),MAX((IF(Monthly!BF$4=TRUE,Monthly!BF$13,Monthly!BF$14)*(1+'Attrition Modeling'!$N$8)-'IP Attrition'!BI$65)/12*'IP Attrition'!BI121,0)))</f>
        <v>0</v>
      </c>
      <c r="BK186" s="799">
        <f>IF(EOMONTH(Inputs!$C$8,'IP Attrition'!BK$134-1)&lt;=Inputs!$C$9,0,MIN(IF(ISERROR(VLOOKUP(BK$134+$F186,$D$135:$D$165,1,FALSE)),0,BJ54*$C$2),MAX((IF(Monthly!BG$4=TRUE,Monthly!BG$13,Monthly!BG$14)*(1+'Attrition Modeling'!$N$8)-'IP Attrition'!BJ$65)/12*'IP Attrition'!BJ121,0)))</f>
        <v>0</v>
      </c>
      <c r="BL186" s="799">
        <f>IF(EOMONTH(Inputs!$C$8,'IP Attrition'!BL$134-1)&lt;=Inputs!$C$9,0,MIN(IF(ISERROR(VLOOKUP(BL$134+$F186,$D$135:$D$165,1,FALSE)),0,BK54*$C$2),MAX((IF(Monthly!BH$4=TRUE,Monthly!BH$13,Monthly!BH$14)*(1+'Attrition Modeling'!$N$8)-'IP Attrition'!BK$65)/12*'IP Attrition'!BK121,0)))</f>
        <v>0</v>
      </c>
      <c r="BM186" s="799">
        <f>IF(EOMONTH(Inputs!$C$8,'IP Attrition'!BM$134-1)&lt;=Inputs!$C$9,0,MIN(IF(ISERROR(VLOOKUP(BM$134+$F186,$D$135:$D$165,1,FALSE)),0,BL54*$C$2),MAX((IF(Monthly!BI$4=TRUE,Monthly!BI$13,Monthly!BI$14)*(1+'Attrition Modeling'!$N$8)-'IP Attrition'!BL$65)/12*'IP Attrition'!BL121,0)))</f>
        <v>0</v>
      </c>
      <c r="BN186" s="799">
        <f>IF(EOMONTH(Inputs!$C$8,'IP Attrition'!BN$134-1)&lt;=Inputs!$C$9,0,MIN(IF(ISERROR(VLOOKUP(BN$134+$F186,$D$135:$D$165,1,FALSE)),0,BM54*$C$2),MAX((IF(Monthly!BJ$4=TRUE,Monthly!BJ$13,Monthly!BJ$14)*(1+'Attrition Modeling'!$N$8)-'IP Attrition'!BM$65)/12*'IP Attrition'!BM121,0)))</f>
        <v>0</v>
      </c>
      <c r="BO186" s="799">
        <f>IF(EOMONTH(Inputs!$C$8,'IP Attrition'!BO$134-1)&lt;=Inputs!$C$9,0,MIN(IF(ISERROR(VLOOKUP(BO$134+$F186,$D$135:$D$165,1,FALSE)),0,BN54*$C$2),MAX((IF(Monthly!BK$4=TRUE,Monthly!BK$13,Monthly!BK$14)*(1+'Attrition Modeling'!$N$8)-'IP Attrition'!BN$65)/12*'IP Attrition'!BN121,0)))</f>
        <v>0</v>
      </c>
      <c r="BP186" s="799">
        <f>IF(EOMONTH(Inputs!$C$8,'IP Attrition'!BP$134-1)&lt;=Inputs!$C$9,0,MIN(IF(ISERROR(VLOOKUP(BP$134+$F186,$D$135:$D$165,1,FALSE)),0,BO54*$C$2),MAX((IF(Monthly!BL$4=TRUE,Monthly!BL$13,Monthly!BL$14)*(1+'Attrition Modeling'!$N$8)-'IP Attrition'!BO$65)/12*'IP Attrition'!BO121,0)))</f>
        <v>0</v>
      </c>
      <c r="BQ186" s="799">
        <f>IF(EOMONTH(Inputs!$C$8,'IP Attrition'!BQ$134-1)&lt;=Inputs!$C$9,0,MIN(IF(ISERROR(VLOOKUP(BQ$134+$F186,$D$135:$D$165,1,FALSE)),0,BP54*$C$2),MAX((IF(Monthly!BM$4=TRUE,Monthly!BM$13,Monthly!BM$14)*(1+'Attrition Modeling'!$N$8)-'IP Attrition'!BP$65)/12*'IP Attrition'!BP121,0)))</f>
        <v>0</v>
      </c>
      <c r="BR186" s="799">
        <f>IF(EOMONTH(Inputs!$C$8,'IP Attrition'!BR$134-1)&lt;=Inputs!$C$9,0,MIN(IF(ISERROR(VLOOKUP(BR$134+$F186,$D$135:$D$165,1,FALSE)),0,BQ54*$C$2),MAX((IF(Monthly!BN$4=TRUE,Monthly!BN$13,Monthly!BN$14)*(1+'Attrition Modeling'!$N$8)-'IP Attrition'!BQ$65)/12*'IP Attrition'!BQ121,0)))</f>
        <v>0</v>
      </c>
      <c r="BS186" s="799">
        <f>IF(EOMONTH(Inputs!$C$8,'IP Attrition'!BS$134-1)&lt;=Inputs!$C$9,0,MIN(IF(ISERROR(VLOOKUP(BS$134+$F186,$D$135:$D$165,1,FALSE)),0,BR54*$C$2),MAX((IF(Monthly!BO$4=TRUE,Monthly!BO$13,Monthly!BO$14)*(1+'Attrition Modeling'!$N$8)-'IP Attrition'!BR$65)/12*'IP Attrition'!BR121,0)))</f>
        <v>0</v>
      </c>
      <c r="BT186" s="799" t="e">
        <f>IF(EOMONTH(Inputs!$C$8,'IP Attrition'!BT$134-1)&lt;=Inputs!$C$9,0,MIN(IF(ISERROR(VLOOKUP(BT$134+$F186,$D$135:$D$165,1,FALSE)),0,BS54*$C$2),MAX((IF(Monthly!#REF!=TRUE,Monthly!#REF!,Monthly!#REF!)*(1+'Attrition Modeling'!$N$8)-'IP Attrition'!BS$65)/12*'IP Attrition'!BS121,0)))</f>
        <v>#REF!</v>
      </c>
      <c r="BU186" s="799" t="e">
        <f>IF(EOMONTH(Inputs!$C$8,'IP Attrition'!BU$134-1)&lt;=Inputs!$C$9,0,MIN(IF(ISERROR(VLOOKUP(BU$134+$F186,$D$135:$D$165,1,FALSE)),0,BT54*$C$2),MAX((IF(Monthly!#REF!=TRUE,Monthly!#REF!,Monthly!#REF!)*(1+'Attrition Modeling'!$N$8)-'IP Attrition'!BT$65)/12*'IP Attrition'!BT121,0)))</f>
        <v>#REF!</v>
      </c>
    </row>
    <row r="187" spans="5:73" ht="14.25" customHeight="1" x14ac:dyDescent="0.2">
      <c r="E187" s="25">
        <f t="shared" si="71"/>
        <v>0</v>
      </c>
      <c r="F187" s="11">
        <f t="shared" si="73"/>
        <v>52</v>
      </c>
      <c r="G187" s="799"/>
      <c r="H187" s="799">
        <f>IF(EOMONTH(Inputs!$C$8,'IP Attrition'!H$134-1)&lt;=Inputs!$C$9,0,MIN(IF(ISERROR(VLOOKUP(H$134+$F187,$D$135:$D$165,1,FALSE)),0,G55*$C$2),MAX((IF(Monthly!D$4=TRUE,Monthly!D$13,Monthly!D$14)*(1+'Attrition Modeling'!$N$8)-'IP Attrition'!G$65)/12*'IP Attrition'!G122,0)))</f>
        <v>0</v>
      </c>
      <c r="I187" s="799">
        <f>IF(EOMONTH(Inputs!$C$8,'IP Attrition'!I$134-1)&lt;=Inputs!$C$9,0,MIN(IF(ISERROR(VLOOKUP(I$134+$F187,$D$135:$D$165,1,FALSE)),0,H55*$C$2),MAX((IF(Monthly!E$4=TRUE,Monthly!E$13,Monthly!E$14)*(1+'Attrition Modeling'!$N$8)-'IP Attrition'!H$65)/12*'IP Attrition'!H122,0)))</f>
        <v>0</v>
      </c>
      <c r="J187" s="799">
        <f>IF(EOMONTH(Inputs!$C$8,'IP Attrition'!J$134-1)&lt;=Inputs!$C$9,0,MIN(IF(ISERROR(VLOOKUP(J$134+$F187,$D$135:$D$165,1,FALSE)),0,I55*$C$2),MAX((IF(Monthly!F$4=TRUE,Monthly!F$13,Monthly!F$14)*(1+'Attrition Modeling'!$N$8)-'IP Attrition'!I$65)/12*'IP Attrition'!I122,0)))</f>
        <v>0</v>
      </c>
      <c r="K187" s="799">
        <f>IF(EOMONTH(Inputs!$C$8,'IP Attrition'!K$134-1)&lt;=Inputs!$C$9,0,MIN(IF(ISERROR(VLOOKUP(K$134+$F187,$D$135:$D$165,1,FALSE)),0,J55*$C$2),MAX((IF(Monthly!G$4=TRUE,Monthly!G$13,Monthly!G$14)*(1+'Attrition Modeling'!$N$8)-'IP Attrition'!J$65)/12*'IP Attrition'!J122,0)))</f>
        <v>0</v>
      </c>
      <c r="L187" s="799">
        <f>IF(EOMONTH(Inputs!$C$8,'IP Attrition'!L$134-1)&lt;=Inputs!$C$9,0,MIN(IF(ISERROR(VLOOKUP(L$134+$F187,$D$135:$D$165,1,FALSE)),0,K55*$C$2),MAX((IF(Monthly!H$4=TRUE,Monthly!H$13,Monthly!H$14)*(1+'Attrition Modeling'!$N$8)-'IP Attrition'!K$65)/12*'IP Attrition'!K122,0)))</f>
        <v>0</v>
      </c>
      <c r="M187" s="799">
        <f>IF(EOMONTH(Inputs!$C$8,'IP Attrition'!M$134-1)&lt;=Inputs!$C$9,0,MIN(IF(ISERROR(VLOOKUP(M$134+$F187,$D$135:$D$165,1,FALSE)),0,L55*$C$2),MAX((IF(Monthly!I$4=TRUE,Monthly!I$13,Monthly!I$14)*(1+'Attrition Modeling'!$N$8)-'IP Attrition'!L$65)/12*'IP Attrition'!L122,0)))</f>
        <v>0</v>
      </c>
      <c r="N187" s="799">
        <f>IF(EOMONTH(Inputs!$C$8,'IP Attrition'!N$134-1)&lt;=Inputs!$C$9,0,MIN(IF(ISERROR(VLOOKUP(N$134+$F187,$D$135:$D$165,1,FALSE)),0,M55*$C$2),MAX((IF(Monthly!J$4=TRUE,Monthly!J$13,Monthly!J$14)*(1+'Attrition Modeling'!$N$8)-'IP Attrition'!M$65)/12*'IP Attrition'!M122,0)))</f>
        <v>0</v>
      </c>
      <c r="O187" s="799">
        <f>IF(EOMONTH(Inputs!$C$8,'IP Attrition'!O$134-1)&lt;=Inputs!$C$9,0,MIN(IF(ISERROR(VLOOKUP(O$134+$F187,$D$135:$D$165,1,FALSE)),0,N55*$C$2),MAX((IF(Monthly!K$4=TRUE,Monthly!K$13,Monthly!K$14)*(1+'Attrition Modeling'!$N$8)-'IP Attrition'!N$65)/12*'IP Attrition'!N122,0)))</f>
        <v>0</v>
      </c>
      <c r="P187" s="799">
        <f>IF(EOMONTH(Inputs!$C$8,'IP Attrition'!P$134-1)&lt;=Inputs!$C$9,0,MIN(IF(ISERROR(VLOOKUP(P$134+$F187,$D$135:$D$165,1,FALSE)),0,O55*$C$2),MAX((IF(Monthly!L$4=TRUE,Monthly!L$13,Monthly!L$14)*(1+'Attrition Modeling'!$N$8)-'IP Attrition'!O$65)/12*'IP Attrition'!O122,0)))</f>
        <v>0</v>
      </c>
      <c r="Q187" s="799">
        <f>IF(EOMONTH(Inputs!$C$8,'IP Attrition'!Q$134-1)&lt;=Inputs!$C$9,0,MIN(IF(ISERROR(VLOOKUP(Q$134+$F187,$D$135:$D$165,1,FALSE)),0,P55*$C$2),MAX((IF(Monthly!M$4=TRUE,Monthly!M$13,Monthly!M$14)*(1+'Attrition Modeling'!$N$8)-'IP Attrition'!P$65)/12*'IP Attrition'!P122,0)))</f>
        <v>0</v>
      </c>
      <c r="R187" s="799">
        <f>IF(EOMONTH(Inputs!$C$8,'IP Attrition'!R$134-1)&lt;=Inputs!$C$9,0,MIN(IF(ISERROR(VLOOKUP(R$134+$F187,$D$135:$D$165,1,FALSE)),0,Q55*$C$2),MAX((IF(Monthly!N$4=TRUE,Monthly!N$13,Monthly!N$14)*(1+'Attrition Modeling'!$N$8)-'IP Attrition'!Q$65)/12*'IP Attrition'!Q122,0)))</f>
        <v>0</v>
      </c>
      <c r="S187" s="799">
        <f>IF(EOMONTH(Inputs!$C$8,'IP Attrition'!S$134-1)&lt;=Inputs!$C$9,0,MIN(IF(ISERROR(VLOOKUP(S$134+$F187,$D$135:$D$165,1,FALSE)),0,R55*$C$2),MAX((IF(Monthly!O$4=TRUE,Monthly!O$13,Monthly!O$14)*(1+'Attrition Modeling'!$N$8)-'IP Attrition'!R$65)/12*'IP Attrition'!R122,0)))</f>
        <v>0</v>
      </c>
      <c r="T187" s="799">
        <f>IF(EOMONTH(Inputs!$C$8,'IP Attrition'!T$134-1)&lt;=Inputs!$C$9,0,MIN(IF(ISERROR(VLOOKUP(T$134+$F187,$D$135:$D$165,1,FALSE)),0,S55*$C$2),MAX((IF(Monthly!P$4=TRUE,Monthly!P$13,Monthly!P$14)*(1+'Attrition Modeling'!$N$8)-'IP Attrition'!S$65)/12*'IP Attrition'!S122,0)))</f>
        <v>0</v>
      </c>
      <c r="U187" s="799">
        <f>IF(EOMONTH(Inputs!$C$8,'IP Attrition'!U$134-1)&lt;=Inputs!$C$9,0,MIN(IF(ISERROR(VLOOKUP(U$134+$F187,$D$135:$D$165,1,FALSE)),0,T55*$C$2),MAX((IF(Monthly!Q$4=TRUE,Monthly!Q$13,Monthly!Q$14)*(1+'Attrition Modeling'!$N$8)-'IP Attrition'!T$65)/12*'IP Attrition'!T122,0)))</f>
        <v>0</v>
      </c>
      <c r="V187" s="799">
        <f>IF(EOMONTH(Inputs!$C$8,'IP Attrition'!V$134-1)&lt;=Inputs!$C$9,0,MIN(IF(ISERROR(VLOOKUP(V$134+$F187,$D$135:$D$165,1,FALSE)),0,U55*$C$2),MAX((IF(Monthly!R$4=TRUE,Monthly!R$13,Monthly!R$14)*(1+'Attrition Modeling'!$N$8)-'IP Attrition'!U$65)/12*'IP Attrition'!U122,0)))</f>
        <v>0</v>
      </c>
      <c r="W187" s="799">
        <f>IF(EOMONTH(Inputs!$C$8,'IP Attrition'!W$134-1)&lt;=Inputs!$C$9,0,MIN(IF(ISERROR(VLOOKUP(W$134+$F187,$D$135:$D$165,1,FALSE)),0,V55*$C$2),MAX((IF(Monthly!S$4=TRUE,Monthly!S$13,Monthly!S$14)*(1+'Attrition Modeling'!$N$8)-'IP Attrition'!V$65)/12*'IP Attrition'!V122,0)))</f>
        <v>0</v>
      </c>
      <c r="X187" s="799">
        <f>IF(EOMONTH(Inputs!$C$8,'IP Attrition'!X$134-1)&lt;=Inputs!$C$9,0,MIN(IF(ISERROR(VLOOKUP(X$134+$F187,$D$135:$D$165,1,FALSE)),0,W55*$C$2),MAX((IF(Monthly!T$4=TRUE,Monthly!T$13,Monthly!T$14)*(1+'Attrition Modeling'!$N$8)-'IP Attrition'!W$65)/12*'IP Attrition'!W122,0)))</f>
        <v>0</v>
      </c>
      <c r="Y187" s="799">
        <f>IF(EOMONTH(Inputs!$C$8,'IP Attrition'!Y$134-1)&lt;=Inputs!$C$9,0,MIN(IF(ISERROR(VLOOKUP(Y$134+$F187,$D$135:$D$165,1,FALSE)),0,X55*$C$2),MAX((IF(Monthly!U$4=TRUE,Monthly!U$13,Monthly!U$14)*(1+'Attrition Modeling'!$N$8)-'IP Attrition'!X$65)/12*'IP Attrition'!X122,0)))</f>
        <v>0</v>
      </c>
      <c r="Z187" s="799">
        <f>IF(EOMONTH(Inputs!$C$8,'IP Attrition'!Z$134-1)&lt;=Inputs!$C$9,0,MIN(IF(ISERROR(VLOOKUP(Z$134+$F187,$D$135:$D$165,1,FALSE)),0,Y55*$C$2),MAX((IF(Monthly!V$4=TRUE,Monthly!V$13,Monthly!V$14)*(1+'Attrition Modeling'!$N$8)-'IP Attrition'!Y$65)/12*'IP Attrition'!Y122,0)))</f>
        <v>0</v>
      </c>
      <c r="AA187" s="799">
        <f>IF(EOMONTH(Inputs!$C$8,'IP Attrition'!AA$134-1)&lt;=Inputs!$C$9,0,MIN(IF(ISERROR(VLOOKUP(AA$134+$F187,$D$135:$D$165,1,FALSE)),0,Z55*$C$2),MAX((IF(Monthly!W$4=TRUE,Monthly!W$13,Monthly!W$14)*(1+'Attrition Modeling'!$N$8)-'IP Attrition'!Z$65)/12*'IP Attrition'!Z122,0)))</f>
        <v>0</v>
      </c>
      <c r="AB187" s="799">
        <f>IF(EOMONTH(Inputs!$C$8,'IP Attrition'!AB$134-1)&lt;=Inputs!$C$9,0,MIN(IF(ISERROR(VLOOKUP(AB$134+$F187,$D$135:$D$165,1,FALSE)),0,AA55*$C$2),MAX((IF(Monthly!X$4=TRUE,Monthly!X$13,Monthly!X$14)*(1+'Attrition Modeling'!$N$8)-'IP Attrition'!AA$65)/12*'IP Attrition'!AA122,0)))</f>
        <v>0</v>
      </c>
      <c r="AC187" s="799">
        <f>IF(EOMONTH(Inputs!$C$8,'IP Attrition'!AC$134-1)&lt;=Inputs!$C$9,0,MIN(IF(ISERROR(VLOOKUP(AC$134+$F187,$D$135:$D$165,1,FALSE)),0,AB55*$C$2),MAX((IF(Monthly!Y$4=TRUE,Monthly!Y$13,Monthly!Y$14)*(1+'Attrition Modeling'!$N$8)-'IP Attrition'!AB$65)/12*'IP Attrition'!AB122,0)))</f>
        <v>0</v>
      </c>
      <c r="AD187" s="799">
        <f>IF(EOMONTH(Inputs!$C$8,'IP Attrition'!AD$134-1)&lt;=Inputs!$C$9,0,MIN(IF(ISERROR(VLOOKUP(AD$134+$F187,$D$135:$D$165,1,FALSE)),0,AC55*$C$2),MAX((IF(Monthly!Z$4=TRUE,Monthly!Z$13,Monthly!Z$14)*(1+'Attrition Modeling'!$N$8)-'IP Attrition'!AC$65)/12*'IP Attrition'!AC122,0)))</f>
        <v>0</v>
      </c>
      <c r="AE187" s="799">
        <f>IF(EOMONTH(Inputs!$C$8,'IP Attrition'!AE$134-1)&lt;=Inputs!$C$9,0,MIN(IF(ISERROR(VLOOKUP(AE$134+$F187,$D$135:$D$165,1,FALSE)),0,AD55*$C$2),MAX((IF(Monthly!AA$4=TRUE,Monthly!AA$13,Monthly!AA$14)*(1+'Attrition Modeling'!$N$8)-'IP Attrition'!AD$65)/12*'IP Attrition'!AD122,0)))</f>
        <v>0</v>
      </c>
      <c r="AF187" s="799">
        <f>IF(EOMONTH(Inputs!$C$8,'IP Attrition'!AF$134-1)&lt;=Inputs!$C$9,0,MIN(IF(ISERROR(VLOOKUP(AF$134+$F187,$D$135:$D$165,1,FALSE)),0,AE55*$C$2),MAX((IF(Monthly!AB$4=TRUE,Monthly!AB$13,Monthly!AB$14)*(1+'Attrition Modeling'!$N$8)-'IP Attrition'!AE$65)/12*'IP Attrition'!AE122,0)))</f>
        <v>0</v>
      </c>
      <c r="AG187" s="799">
        <f>IF(EOMONTH(Inputs!$C$8,'IP Attrition'!AG$134-1)&lt;=Inputs!$C$9,0,MIN(IF(ISERROR(VLOOKUP(AG$134+$F187,$D$135:$D$165,1,FALSE)),0,AF55*$C$2),MAX((IF(Monthly!AC$4=TRUE,Monthly!AC$13,Monthly!AC$14)*(1+'Attrition Modeling'!$N$8)-'IP Attrition'!AF$65)/12*'IP Attrition'!AF122,0)))</f>
        <v>0</v>
      </c>
      <c r="AH187" s="799">
        <f>IF(EOMONTH(Inputs!$C$8,'IP Attrition'!AH$134-1)&lt;=Inputs!$C$9,0,MIN(IF(ISERROR(VLOOKUP(AH$134+$F187,$D$135:$D$165,1,FALSE)),0,AG55*$C$2),MAX((IF(Monthly!AD$4=TRUE,Monthly!AD$13,Monthly!AD$14)*(1+'Attrition Modeling'!$N$8)-'IP Attrition'!AG$65)/12*'IP Attrition'!AG122,0)))</f>
        <v>0</v>
      </c>
      <c r="AI187" s="799">
        <f>IF(EOMONTH(Inputs!$C$8,'IP Attrition'!AI$134-1)&lt;=Inputs!$C$9,0,MIN(IF(ISERROR(VLOOKUP(AI$134+$F187,$D$135:$D$165,1,FALSE)),0,AH55*$C$2),MAX((IF(Monthly!AE$4=TRUE,Monthly!AE$13,Monthly!AE$14)*(1+'Attrition Modeling'!$N$8)-'IP Attrition'!AH$65)/12*'IP Attrition'!AH122,0)))</f>
        <v>0</v>
      </c>
      <c r="AJ187" s="799">
        <f>IF(EOMONTH(Inputs!$C$8,'IP Attrition'!AJ$134-1)&lt;=Inputs!$C$9,0,MIN(IF(ISERROR(VLOOKUP(AJ$134+$F187,$D$135:$D$165,1,FALSE)),0,AI55*$C$2),MAX((IF(Monthly!AF$4=TRUE,Monthly!AF$13,Monthly!AF$14)*(1+'Attrition Modeling'!$N$8)-'IP Attrition'!AI$65)/12*'IP Attrition'!AI122,0)))</f>
        <v>0</v>
      </c>
      <c r="AK187" s="799">
        <f>IF(EOMONTH(Inputs!$C$8,'IP Attrition'!AK$134-1)&lt;=Inputs!$C$9,0,MIN(IF(ISERROR(VLOOKUP(AK$134+$F187,$D$135:$D$165,1,FALSE)),0,AJ55*$C$2),MAX((IF(Monthly!AG$4=TRUE,Monthly!AG$13,Monthly!AG$14)*(1+'Attrition Modeling'!$N$8)-'IP Attrition'!AJ$65)/12*'IP Attrition'!AJ122,0)))</f>
        <v>0</v>
      </c>
      <c r="AL187" s="799">
        <f>IF(EOMONTH(Inputs!$C$8,'IP Attrition'!AL$134-1)&lt;=Inputs!$C$9,0,MIN(IF(ISERROR(VLOOKUP(AL$134+$F187,$D$135:$D$165,1,FALSE)),0,AK55*$C$2),MAX((IF(Monthly!AH$4=TRUE,Monthly!AH$13,Monthly!AH$14)*(1+'Attrition Modeling'!$N$8)-'IP Attrition'!AK$65)/12*'IP Attrition'!AK122,0)))</f>
        <v>0</v>
      </c>
      <c r="AM187" s="799">
        <f>IF(EOMONTH(Inputs!$C$8,'IP Attrition'!AM$134-1)&lt;=Inputs!$C$9,0,MIN(IF(ISERROR(VLOOKUP(AM$134+$F187,$D$135:$D$165,1,FALSE)),0,AL55*$C$2),MAX((IF(Monthly!AI$4=TRUE,Monthly!AI$13,Monthly!AI$14)*(1+'Attrition Modeling'!$N$8)-'IP Attrition'!AL$65)/12*'IP Attrition'!AL122,0)))</f>
        <v>0</v>
      </c>
      <c r="AN187" s="799">
        <f>IF(EOMONTH(Inputs!$C$8,'IP Attrition'!AN$134-1)&lt;=Inputs!$C$9,0,MIN(IF(ISERROR(VLOOKUP(AN$134+$F187,$D$135:$D$165,1,FALSE)),0,AM55*$C$2),MAX((IF(Monthly!AJ$4=TRUE,Monthly!AJ$13,Monthly!AJ$14)*(1+'Attrition Modeling'!$N$8)-'IP Attrition'!AM$65)/12*'IP Attrition'!AM122,0)))</f>
        <v>0</v>
      </c>
      <c r="AO187" s="799">
        <f>IF(EOMONTH(Inputs!$C$8,'IP Attrition'!AO$134-1)&lt;=Inputs!$C$9,0,MIN(IF(ISERROR(VLOOKUP(AO$134+$F187,$D$135:$D$165,1,FALSE)),0,AN55*$C$2),MAX((IF(Monthly!AK$4=TRUE,Monthly!AK$13,Monthly!AK$14)*(1+'Attrition Modeling'!$N$8)-'IP Attrition'!AN$65)/12*'IP Attrition'!AN122,0)))</f>
        <v>0</v>
      </c>
      <c r="AP187" s="799">
        <f>IF(EOMONTH(Inputs!$C$8,'IP Attrition'!AP$134-1)&lt;=Inputs!$C$9,0,MIN(IF(ISERROR(VLOOKUP(AP$134+$F187,$D$135:$D$165,1,FALSE)),0,AO55*$C$2),MAX((IF(Monthly!AL$4=TRUE,Monthly!AL$13,Monthly!AL$14)*(1+'Attrition Modeling'!$N$8)-'IP Attrition'!AO$65)/12*'IP Attrition'!AO122,0)))</f>
        <v>0</v>
      </c>
      <c r="AQ187" s="799">
        <f>IF(EOMONTH(Inputs!$C$8,'IP Attrition'!AQ$134-1)&lt;=Inputs!$C$9,0,MIN(IF(ISERROR(VLOOKUP(AQ$134+$F187,$D$135:$D$165,1,FALSE)),0,AP55*$C$2),MAX((IF(Monthly!AM$4=TRUE,Monthly!AM$13,Monthly!AM$14)*(1+'Attrition Modeling'!$N$8)-'IP Attrition'!AP$65)/12*'IP Attrition'!AP122,0)))</f>
        <v>0</v>
      </c>
      <c r="AR187" s="799">
        <f>IF(EOMONTH(Inputs!$C$8,'IP Attrition'!AR$134-1)&lt;=Inputs!$C$9,0,MIN(IF(ISERROR(VLOOKUP(AR$134+$F187,$D$135:$D$165,1,FALSE)),0,AQ55*$C$2),MAX((IF(Monthly!AN$4=TRUE,Monthly!AN$13,Monthly!AN$14)*(1+'Attrition Modeling'!$N$8)-'IP Attrition'!AQ$65)/12*'IP Attrition'!AQ122,0)))</f>
        <v>0</v>
      </c>
      <c r="AS187" s="799">
        <f>IF(EOMONTH(Inputs!$C$8,'IP Attrition'!AS$134-1)&lt;=Inputs!$C$9,0,MIN(IF(ISERROR(VLOOKUP(AS$134+$F187,$D$135:$D$165,1,FALSE)),0,AR55*$C$2),MAX((IF(Monthly!AO$4=TRUE,Monthly!AO$13,Monthly!AO$14)*(1+'Attrition Modeling'!$N$8)-'IP Attrition'!AR$65)/12*'IP Attrition'!AR122,0)))</f>
        <v>0</v>
      </c>
      <c r="AT187" s="799">
        <f>IF(EOMONTH(Inputs!$C$8,'IP Attrition'!AT$134-1)&lt;=Inputs!$C$9,0,MIN(IF(ISERROR(VLOOKUP(AT$134+$F187,$D$135:$D$165,1,FALSE)),0,AS55*$C$2),MAX((IF(Monthly!AP$4=TRUE,Monthly!AP$13,Monthly!AP$14)*(1+'Attrition Modeling'!$N$8)-'IP Attrition'!AS$65)/12*'IP Attrition'!AS122,0)))</f>
        <v>0</v>
      </c>
      <c r="AU187" s="799">
        <f>IF(EOMONTH(Inputs!$C$8,'IP Attrition'!AU$134-1)&lt;=Inputs!$C$9,0,MIN(IF(ISERROR(VLOOKUP(AU$134+$F187,$D$135:$D$165,1,FALSE)),0,AT55*$C$2),MAX((IF(Monthly!AQ$4=TRUE,Monthly!AQ$13,Monthly!AQ$14)*(1+'Attrition Modeling'!$N$8)-'IP Attrition'!AT$65)/12*'IP Attrition'!AT122,0)))</f>
        <v>0</v>
      </c>
      <c r="AV187" s="799">
        <f>IF(EOMONTH(Inputs!$C$8,'IP Attrition'!AV$134-1)&lt;=Inputs!$C$9,0,MIN(IF(ISERROR(VLOOKUP(AV$134+$F187,$D$135:$D$165,1,FALSE)),0,AU55*$C$2),MAX((IF(Monthly!AR$4=TRUE,Monthly!AR$13,Monthly!AR$14)*(1+'Attrition Modeling'!$N$8)-'IP Attrition'!AU$65)/12*'IP Attrition'!AU122,0)))</f>
        <v>0</v>
      </c>
      <c r="AW187" s="799">
        <f>IF(EOMONTH(Inputs!$C$8,'IP Attrition'!AW$134-1)&lt;=Inputs!$C$9,0,MIN(IF(ISERROR(VLOOKUP(AW$134+$F187,$D$135:$D$165,1,FALSE)),0,AV55*$C$2),MAX((IF(Monthly!AS$4=TRUE,Monthly!AS$13,Monthly!AS$14)*(1+'Attrition Modeling'!$N$8)-'IP Attrition'!AV$65)/12*'IP Attrition'!AV122,0)))</f>
        <v>0</v>
      </c>
      <c r="AX187" s="799">
        <f>IF(EOMONTH(Inputs!$C$8,'IP Attrition'!AX$134-1)&lt;=Inputs!$C$9,0,MIN(IF(ISERROR(VLOOKUP(AX$134+$F187,$D$135:$D$165,1,FALSE)),0,AW55*$C$2),MAX((IF(Monthly!AT$4=TRUE,Monthly!AT$13,Monthly!AT$14)*(1+'Attrition Modeling'!$N$8)-'IP Attrition'!AW$65)/12*'IP Attrition'!AW122,0)))</f>
        <v>0</v>
      </c>
      <c r="AY187" s="799">
        <f>IF(EOMONTH(Inputs!$C$8,'IP Attrition'!AY$134-1)&lt;=Inputs!$C$9,0,MIN(IF(ISERROR(VLOOKUP(AY$134+$F187,$D$135:$D$165,1,FALSE)),0,AX55*$C$2),MAX((IF(Monthly!AU$4=TRUE,Monthly!AU$13,Monthly!AU$14)*(1+'Attrition Modeling'!$N$8)-'IP Attrition'!AX$65)/12*'IP Attrition'!AX122,0)))</f>
        <v>0</v>
      </c>
      <c r="AZ187" s="799">
        <f>IF(EOMONTH(Inputs!$C$8,'IP Attrition'!AZ$134-1)&lt;=Inputs!$C$9,0,MIN(IF(ISERROR(VLOOKUP(AZ$134+$F187,$D$135:$D$165,1,FALSE)),0,AY55*$C$2),MAX((IF(Monthly!AV$4=TRUE,Monthly!AV$13,Monthly!AV$14)*(1+'Attrition Modeling'!$N$8)-'IP Attrition'!AY$65)/12*'IP Attrition'!AY122,0)))</f>
        <v>0</v>
      </c>
      <c r="BA187" s="799">
        <f>IF(EOMONTH(Inputs!$C$8,'IP Attrition'!BA$134-1)&lt;=Inputs!$C$9,0,MIN(IF(ISERROR(VLOOKUP(BA$134+$F187,$D$135:$D$165,1,FALSE)),0,AZ55*$C$2),MAX((IF(Monthly!AW$4=TRUE,Monthly!AW$13,Monthly!AW$14)*(1+'Attrition Modeling'!$N$8)-'IP Attrition'!AZ$65)/12*'IP Attrition'!AZ122,0)))</f>
        <v>0</v>
      </c>
      <c r="BB187" s="799">
        <f>IF(EOMONTH(Inputs!$C$8,'IP Attrition'!BB$134-1)&lt;=Inputs!$C$9,0,MIN(IF(ISERROR(VLOOKUP(BB$134+$F187,$D$135:$D$165,1,FALSE)),0,BA55*$C$2),MAX((IF(Monthly!AX$4=TRUE,Monthly!AX$13,Monthly!AX$14)*(1+'Attrition Modeling'!$N$8)-'IP Attrition'!BA$65)/12*'IP Attrition'!BA122,0)))</f>
        <v>0</v>
      </c>
      <c r="BC187" s="799">
        <f>IF(EOMONTH(Inputs!$C$8,'IP Attrition'!BC$134-1)&lt;=Inputs!$C$9,0,MIN(IF(ISERROR(VLOOKUP(BC$134+$F187,$D$135:$D$165,1,FALSE)),0,BB55*$C$2),MAX((IF(Monthly!AY$4=TRUE,Monthly!AY$13,Monthly!AY$14)*(1+'Attrition Modeling'!$N$8)-'IP Attrition'!BB$65)/12*'IP Attrition'!BB122,0)))</f>
        <v>0</v>
      </c>
      <c r="BD187" s="799">
        <f>IF(EOMONTH(Inputs!$C$8,'IP Attrition'!BD$134-1)&lt;=Inputs!$C$9,0,MIN(IF(ISERROR(VLOOKUP(BD$134+$F187,$D$135:$D$165,1,FALSE)),0,BC55*$C$2),MAX((IF(Monthly!AZ$4=TRUE,Monthly!AZ$13,Monthly!AZ$14)*(1+'Attrition Modeling'!$N$8)-'IP Attrition'!BC$65)/12*'IP Attrition'!BC122,0)))</f>
        <v>0</v>
      </c>
      <c r="BE187" s="799">
        <f>IF(EOMONTH(Inputs!$C$8,'IP Attrition'!BE$134-1)&lt;=Inputs!$C$9,0,MIN(IF(ISERROR(VLOOKUP(BE$134+$F187,$D$135:$D$165,1,FALSE)),0,BD55*$C$2),MAX((IF(Monthly!BA$4=TRUE,Monthly!BA$13,Monthly!BA$14)*(1+'Attrition Modeling'!$N$8)-'IP Attrition'!BD$65)/12*'IP Attrition'!BD122,0)))</f>
        <v>0</v>
      </c>
      <c r="BF187" s="799">
        <f>IF(EOMONTH(Inputs!$C$8,'IP Attrition'!BF$134-1)&lt;=Inputs!$C$9,0,MIN(IF(ISERROR(VLOOKUP(BF$134+$F187,$D$135:$D$165,1,FALSE)),0,BE55*$C$2),MAX((IF(Monthly!BB$4=TRUE,Monthly!BB$13,Monthly!BB$14)*(1+'Attrition Modeling'!$N$8)-'IP Attrition'!BE$65)/12*'IP Attrition'!BE122,0)))</f>
        <v>0</v>
      </c>
      <c r="BG187" s="799">
        <f>IF(EOMONTH(Inputs!$C$8,'IP Attrition'!BG$134-1)&lt;=Inputs!$C$9,0,MIN(IF(ISERROR(VLOOKUP(BG$134+$F187,$D$135:$D$165,1,FALSE)),0,BF55*$C$2),MAX((IF(Monthly!BC$4=TRUE,Monthly!BC$13,Monthly!BC$14)*(1+'Attrition Modeling'!$N$8)-'IP Attrition'!BF$65)/12*'IP Attrition'!BF122,0)))</f>
        <v>0</v>
      </c>
      <c r="BH187" s="799">
        <f>IF(EOMONTH(Inputs!$C$8,'IP Attrition'!BH$134-1)&lt;=Inputs!$C$9,0,MIN(IF(ISERROR(VLOOKUP(BH$134+$F187,$D$135:$D$165,1,FALSE)),0,BG55*$C$2),MAX((IF(Monthly!BD$4=TRUE,Monthly!BD$13,Monthly!BD$14)*(1+'Attrition Modeling'!$N$8)-'IP Attrition'!BG$65)/12*'IP Attrition'!BG122,0)))</f>
        <v>0</v>
      </c>
      <c r="BI187" s="799">
        <f>IF(EOMONTH(Inputs!$C$8,'IP Attrition'!BI$134-1)&lt;=Inputs!$C$9,0,MIN(IF(ISERROR(VLOOKUP(BI$134+$F187,$D$135:$D$165,1,FALSE)),0,BH55*$C$2),MAX((IF(Monthly!BE$4=TRUE,Monthly!BE$13,Monthly!BE$14)*(1+'Attrition Modeling'!$N$8)-'IP Attrition'!BH$65)/12*'IP Attrition'!BH122,0)))</f>
        <v>0</v>
      </c>
      <c r="BJ187" s="799">
        <f>IF(EOMONTH(Inputs!$C$8,'IP Attrition'!BJ$134-1)&lt;=Inputs!$C$9,0,MIN(IF(ISERROR(VLOOKUP(BJ$134+$F187,$D$135:$D$165,1,FALSE)),0,BI55*$C$2),MAX((IF(Monthly!BF$4=TRUE,Monthly!BF$13,Monthly!BF$14)*(1+'Attrition Modeling'!$N$8)-'IP Attrition'!BI$65)/12*'IP Attrition'!BI122,0)))</f>
        <v>0</v>
      </c>
      <c r="BK187" s="799">
        <f>IF(EOMONTH(Inputs!$C$8,'IP Attrition'!BK$134-1)&lt;=Inputs!$C$9,0,MIN(IF(ISERROR(VLOOKUP(BK$134+$F187,$D$135:$D$165,1,FALSE)),0,BJ55*$C$2),MAX((IF(Monthly!BG$4=TRUE,Monthly!BG$13,Monthly!BG$14)*(1+'Attrition Modeling'!$N$8)-'IP Attrition'!BJ$65)/12*'IP Attrition'!BJ122,0)))</f>
        <v>0</v>
      </c>
      <c r="BL187" s="799">
        <f>IF(EOMONTH(Inputs!$C$8,'IP Attrition'!BL$134-1)&lt;=Inputs!$C$9,0,MIN(IF(ISERROR(VLOOKUP(BL$134+$F187,$D$135:$D$165,1,FALSE)),0,BK55*$C$2),MAX((IF(Monthly!BH$4=TRUE,Monthly!BH$13,Monthly!BH$14)*(1+'Attrition Modeling'!$N$8)-'IP Attrition'!BK$65)/12*'IP Attrition'!BK122,0)))</f>
        <v>0</v>
      </c>
      <c r="BM187" s="799">
        <f>IF(EOMONTH(Inputs!$C$8,'IP Attrition'!BM$134-1)&lt;=Inputs!$C$9,0,MIN(IF(ISERROR(VLOOKUP(BM$134+$F187,$D$135:$D$165,1,FALSE)),0,BL55*$C$2),MAX((IF(Monthly!BI$4=TRUE,Monthly!BI$13,Monthly!BI$14)*(1+'Attrition Modeling'!$N$8)-'IP Attrition'!BL$65)/12*'IP Attrition'!BL122,0)))</f>
        <v>0</v>
      </c>
      <c r="BN187" s="799">
        <f>IF(EOMONTH(Inputs!$C$8,'IP Attrition'!BN$134-1)&lt;=Inputs!$C$9,0,MIN(IF(ISERROR(VLOOKUP(BN$134+$F187,$D$135:$D$165,1,FALSE)),0,BM55*$C$2),MAX((IF(Monthly!BJ$4=TRUE,Monthly!BJ$13,Monthly!BJ$14)*(1+'Attrition Modeling'!$N$8)-'IP Attrition'!BM$65)/12*'IP Attrition'!BM122,0)))</f>
        <v>0</v>
      </c>
      <c r="BO187" s="799">
        <f>IF(EOMONTH(Inputs!$C$8,'IP Attrition'!BO$134-1)&lt;=Inputs!$C$9,0,MIN(IF(ISERROR(VLOOKUP(BO$134+$F187,$D$135:$D$165,1,FALSE)),0,BN55*$C$2),MAX((IF(Monthly!BK$4=TRUE,Monthly!BK$13,Monthly!BK$14)*(1+'Attrition Modeling'!$N$8)-'IP Attrition'!BN$65)/12*'IP Attrition'!BN122,0)))</f>
        <v>0</v>
      </c>
      <c r="BP187" s="799">
        <f>IF(EOMONTH(Inputs!$C$8,'IP Attrition'!BP$134-1)&lt;=Inputs!$C$9,0,MIN(IF(ISERROR(VLOOKUP(BP$134+$F187,$D$135:$D$165,1,FALSE)),0,BO55*$C$2),MAX((IF(Monthly!BL$4=TRUE,Monthly!BL$13,Monthly!BL$14)*(1+'Attrition Modeling'!$N$8)-'IP Attrition'!BO$65)/12*'IP Attrition'!BO122,0)))</f>
        <v>0</v>
      </c>
      <c r="BQ187" s="799">
        <f>IF(EOMONTH(Inputs!$C$8,'IP Attrition'!BQ$134-1)&lt;=Inputs!$C$9,0,MIN(IF(ISERROR(VLOOKUP(BQ$134+$F187,$D$135:$D$165,1,FALSE)),0,BP55*$C$2),MAX((IF(Monthly!BM$4=TRUE,Monthly!BM$13,Monthly!BM$14)*(1+'Attrition Modeling'!$N$8)-'IP Attrition'!BP$65)/12*'IP Attrition'!BP122,0)))</f>
        <v>0</v>
      </c>
      <c r="BR187" s="799">
        <f>IF(EOMONTH(Inputs!$C$8,'IP Attrition'!BR$134-1)&lt;=Inputs!$C$9,0,MIN(IF(ISERROR(VLOOKUP(BR$134+$F187,$D$135:$D$165,1,FALSE)),0,BQ55*$C$2),MAX((IF(Monthly!BN$4=TRUE,Monthly!BN$13,Monthly!BN$14)*(1+'Attrition Modeling'!$N$8)-'IP Attrition'!BQ$65)/12*'IP Attrition'!BQ122,0)))</f>
        <v>0</v>
      </c>
      <c r="BS187" s="799">
        <f>IF(EOMONTH(Inputs!$C$8,'IP Attrition'!BS$134-1)&lt;=Inputs!$C$9,0,MIN(IF(ISERROR(VLOOKUP(BS$134+$F187,$D$135:$D$165,1,FALSE)),0,BR55*$C$2),MAX((IF(Monthly!BO$4=TRUE,Monthly!BO$13,Monthly!BO$14)*(1+'Attrition Modeling'!$N$8)-'IP Attrition'!BR$65)/12*'IP Attrition'!BR122,0)))</f>
        <v>0</v>
      </c>
      <c r="BT187" s="799" t="e">
        <f>IF(EOMONTH(Inputs!$C$8,'IP Attrition'!BT$134-1)&lt;=Inputs!$C$9,0,MIN(IF(ISERROR(VLOOKUP(BT$134+$F187,$D$135:$D$165,1,FALSE)),0,BS55*$C$2),MAX((IF(Monthly!#REF!=TRUE,Monthly!#REF!,Monthly!#REF!)*(1+'Attrition Modeling'!$N$8)-'IP Attrition'!BS$65)/12*'IP Attrition'!BS122,0)))</f>
        <v>#REF!</v>
      </c>
      <c r="BU187" s="799" t="e">
        <f>IF(EOMONTH(Inputs!$C$8,'IP Attrition'!BU$134-1)&lt;=Inputs!$C$9,0,MIN(IF(ISERROR(VLOOKUP(BU$134+$F187,$D$135:$D$165,1,FALSE)),0,BT55*$C$2),MAX((IF(Monthly!#REF!=TRUE,Monthly!#REF!,Monthly!#REF!)*(1+'Attrition Modeling'!$N$8)-'IP Attrition'!BT$65)/12*'IP Attrition'!BT122,0)))</f>
        <v>#REF!</v>
      </c>
    </row>
    <row r="188" spans="5:73" ht="14.25" customHeight="1" x14ac:dyDescent="0.2">
      <c r="E188" s="25">
        <f t="shared" si="71"/>
        <v>0</v>
      </c>
      <c r="F188" s="11">
        <f t="shared" si="73"/>
        <v>53</v>
      </c>
      <c r="G188" s="799"/>
      <c r="H188" s="799">
        <f>IF(EOMONTH(Inputs!$C$8,'IP Attrition'!H$134-1)&lt;=Inputs!$C$9,0,MIN(IF(ISERROR(VLOOKUP(H$134+$F188,$D$135:$D$165,1,FALSE)),0,G56*$C$2),MAX((IF(Monthly!D$4=TRUE,Monthly!D$13,Monthly!D$14)*(1+'Attrition Modeling'!$N$8)-'IP Attrition'!G$65)/12*'IP Attrition'!G123,0)))</f>
        <v>0</v>
      </c>
      <c r="I188" s="799">
        <f>IF(EOMONTH(Inputs!$C$8,'IP Attrition'!I$134-1)&lt;=Inputs!$C$9,0,MIN(IF(ISERROR(VLOOKUP(I$134+$F188,$D$135:$D$165,1,FALSE)),0,H56*$C$2),MAX((IF(Monthly!E$4=TRUE,Monthly!E$13,Monthly!E$14)*(1+'Attrition Modeling'!$N$8)-'IP Attrition'!H$65)/12*'IP Attrition'!H123,0)))</f>
        <v>0</v>
      </c>
      <c r="J188" s="799">
        <f>IF(EOMONTH(Inputs!$C$8,'IP Attrition'!J$134-1)&lt;=Inputs!$C$9,0,MIN(IF(ISERROR(VLOOKUP(J$134+$F188,$D$135:$D$165,1,FALSE)),0,I56*$C$2),MAX((IF(Monthly!F$4=TRUE,Monthly!F$13,Monthly!F$14)*(1+'Attrition Modeling'!$N$8)-'IP Attrition'!I$65)/12*'IP Attrition'!I123,0)))</f>
        <v>0</v>
      </c>
      <c r="K188" s="799">
        <f>IF(EOMONTH(Inputs!$C$8,'IP Attrition'!K$134-1)&lt;=Inputs!$C$9,0,MIN(IF(ISERROR(VLOOKUP(K$134+$F188,$D$135:$D$165,1,FALSE)),0,J56*$C$2),MAX((IF(Monthly!G$4=TRUE,Monthly!G$13,Monthly!G$14)*(1+'Attrition Modeling'!$N$8)-'IP Attrition'!J$65)/12*'IP Attrition'!J123,0)))</f>
        <v>0</v>
      </c>
      <c r="L188" s="799">
        <f>IF(EOMONTH(Inputs!$C$8,'IP Attrition'!L$134-1)&lt;=Inputs!$C$9,0,MIN(IF(ISERROR(VLOOKUP(L$134+$F188,$D$135:$D$165,1,FALSE)),0,K56*$C$2),MAX((IF(Monthly!H$4=TRUE,Monthly!H$13,Monthly!H$14)*(1+'Attrition Modeling'!$N$8)-'IP Attrition'!K$65)/12*'IP Attrition'!K123,0)))</f>
        <v>0</v>
      </c>
      <c r="M188" s="799">
        <f>IF(EOMONTH(Inputs!$C$8,'IP Attrition'!M$134-1)&lt;=Inputs!$C$9,0,MIN(IF(ISERROR(VLOOKUP(M$134+$F188,$D$135:$D$165,1,FALSE)),0,L56*$C$2),MAX((IF(Monthly!I$4=TRUE,Monthly!I$13,Monthly!I$14)*(1+'Attrition Modeling'!$N$8)-'IP Attrition'!L$65)/12*'IP Attrition'!L123,0)))</f>
        <v>0</v>
      </c>
      <c r="N188" s="799">
        <f>IF(EOMONTH(Inputs!$C$8,'IP Attrition'!N$134-1)&lt;=Inputs!$C$9,0,MIN(IF(ISERROR(VLOOKUP(N$134+$F188,$D$135:$D$165,1,FALSE)),0,M56*$C$2),MAX((IF(Monthly!J$4=TRUE,Monthly!J$13,Monthly!J$14)*(1+'Attrition Modeling'!$N$8)-'IP Attrition'!M$65)/12*'IP Attrition'!M123,0)))</f>
        <v>0</v>
      </c>
      <c r="O188" s="799">
        <f>IF(EOMONTH(Inputs!$C$8,'IP Attrition'!O$134-1)&lt;=Inputs!$C$9,0,MIN(IF(ISERROR(VLOOKUP(O$134+$F188,$D$135:$D$165,1,FALSE)),0,N56*$C$2),MAX((IF(Monthly!K$4=TRUE,Monthly!K$13,Monthly!K$14)*(1+'Attrition Modeling'!$N$8)-'IP Attrition'!N$65)/12*'IP Attrition'!N123,0)))</f>
        <v>0</v>
      </c>
      <c r="P188" s="799">
        <f>IF(EOMONTH(Inputs!$C$8,'IP Attrition'!P$134-1)&lt;=Inputs!$C$9,0,MIN(IF(ISERROR(VLOOKUP(P$134+$F188,$D$135:$D$165,1,FALSE)),0,O56*$C$2),MAX((IF(Monthly!L$4=TRUE,Monthly!L$13,Monthly!L$14)*(1+'Attrition Modeling'!$N$8)-'IP Attrition'!O$65)/12*'IP Attrition'!O123,0)))</f>
        <v>0</v>
      </c>
      <c r="Q188" s="799">
        <f>IF(EOMONTH(Inputs!$C$8,'IP Attrition'!Q$134-1)&lt;=Inputs!$C$9,0,MIN(IF(ISERROR(VLOOKUP(Q$134+$F188,$D$135:$D$165,1,FALSE)),0,P56*$C$2),MAX((IF(Monthly!M$4=TRUE,Monthly!M$13,Monthly!M$14)*(1+'Attrition Modeling'!$N$8)-'IP Attrition'!P$65)/12*'IP Attrition'!P123,0)))</f>
        <v>0</v>
      </c>
      <c r="R188" s="799">
        <f>IF(EOMONTH(Inputs!$C$8,'IP Attrition'!R$134-1)&lt;=Inputs!$C$9,0,MIN(IF(ISERROR(VLOOKUP(R$134+$F188,$D$135:$D$165,1,FALSE)),0,Q56*$C$2),MAX((IF(Monthly!N$4=TRUE,Monthly!N$13,Monthly!N$14)*(1+'Attrition Modeling'!$N$8)-'IP Attrition'!Q$65)/12*'IP Attrition'!Q123,0)))</f>
        <v>0</v>
      </c>
      <c r="S188" s="799">
        <f>IF(EOMONTH(Inputs!$C$8,'IP Attrition'!S$134-1)&lt;=Inputs!$C$9,0,MIN(IF(ISERROR(VLOOKUP(S$134+$F188,$D$135:$D$165,1,FALSE)),0,R56*$C$2),MAX((IF(Monthly!O$4=TRUE,Monthly!O$13,Monthly!O$14)*(1+'Attrition Modeling'!$N$8)-'IP Attrition'!R$65)/12*'IP Attrition'!R123,0)))</f>
        <v>0</v>
      </c>
      <c r="T188" s="799">
        <f>IF(EOMONTH(Inputs!$C$8,'IP Attrition'!T$134-1)&lt;=Inputs!$C$9,0,MIN(IF(ISERROR(VLOOKUP(T$134+$F188,$D$135:$D$165,1,FALSE)),0,S56*$C$2),MAX((IF(Monthly!P$4=TRUE,Monthly!P$13,Monthly!P$14)*(1+'Attrition Modeling'!$N$8)-'IP Attrition'!S$65)/12*'IP Attrition'!S123,0)))</f>
        <v>0</v>
      </c>
      <c r="U188" s="799">
        <f>IF(EOMONTH(Inputs!$C$8,'IP Attrition'!U$134-1)&lt;=Inputs!$C$9,0,MIN(IF(ISERROR(VLOOKUP(U$134+$F188,$D$135:$D$165,1,FALSE)),0,T56*$C$2),MAX((IF(Monthly!Q$4=TRUE,Monthly!Q$13,Monthly!Q$14)*(1+'Attrition Modeling'!$N$8)-'IP Attrition'!T$65)/12*'IP Attrition'!T123,0)))</f>
        <v>0</v>
      </c>
      <c r="V188" s="799">
        <f>IF(EOMONTH(Inputs!$C$8,'IP Attrition'!V$134-1)&lt;=Inputs!$C$9,0,MIN(IF(ISERROR(VLOOKUP(V$134+$F188,$D$135:$D$165,1,FALSE)),0,U56*$C$2),MAX((IF(Monthly!R$4=TRUE,Monthly!R$13,Monthly!R$14)*(1+'Attrition Modeling'!$N$8)-'IP Attrition'!U$65)/12*'IP Attrition'!U123,0)))</f>
        <v>0</v>
      </c>
      <c r="W188" s="799">
        <f>IF(EOMONTH(Inputs!$C$8,'IP Attrition'!W$134-1)&lt;=Inputs!$C$9,0,MIN(IF(ISERROR(VLOOKUP(W$134+$F188,$D$135:$D$165,1,FALSE)),0,V56*$C$2),MAX((IF(Monthly!S$4=TRUE,Monthly!S$13,Monthly!S$14)*(1+'Attrition Modeling'!$N$8)-'IP Attrition'!V$65)/12*'IP Attrition'!V123,0)))</f>
        <v>0</v>
      </c>
      <c r="X188" s="799">
        <f>IF(EOMONTH(Inputs!$C$8,'IP Attrition'!X$134-1)&lt;=Inputs!$C$9,0,MIN(IF(ISERROR(VLOOKUP(X$134+$F188,$D$135:$D$165,1,FALSE)),0,W56*$C$2),MAX((IF(Monthly!T$4=TRUE,Monthly!T$13,Monthly!T$14)*(1+'Attrition Modeling'!$N$8)-'IP Attrition'!W$65)/12*'IP Attrition'!W123,0)))</f>
        <v>0</v>
      </c>
      <c r="Y188" s="799">
        <f>IF(EOMONTH(Inputs!$C$8,'IP Attrition'!Y$134-1)&lt;=Inputs!$C$9,0,MIN(IF(ISERROR(VLOOKUP(Y$134+$F188,$D$135:$D$165,1,FALSE)),0,X56*$C$2),MAX((IF(Monthly!U$4=TRUE,Monthly!U$13,Monthly!U$14)*(1+'Attrition Modeling'!$N$8)-'IP Attrition'!X$65)/12*'IP Attrition'!X123,0)))</f>
        <v>0</v>
      </c>
      <c r="Z188" s="799">
        <f>IF(EOMONTH(Inputs!$C$8,'IP Attrition'!Z$134-1)&lt;=Inputs!$C$9,0,MIN(IF(ISERROR(VLOOKUP(Z$134+$F188,$D$135:$D$165,1,FALSE)),0,Y56*$C$2),MAX((IF(Monthly!V$4=TRUE,Monthly!V$13,Monthly!V$14)*(1+'Attrition Modeling'!$N$8)-'IP Attrition'!Y$65)/12*'IP Attrition'!Y123,0)))</f>
        <v>0</v>
      </c>
      <c r="AA188" s="799">
        <f>IF(EOMONTH(Inputs!$C$8,'IP Attrition'!AA$134-1)&lt;=Inputs!$C$9,0,MIN(IF(ISERROR(VLOOKUP(AA$134+$F188,$D$135:$D$165,1,FALSE)),0,Z56*$C$2),MAX((IF(Monthly!W$4=TRUE,Monthly!W$13,Monthly!W$14)*(1+'Attrition Modeling'!$N$8)-'IP Attrition'!Z$65)/12*'IP Attrition'!Z123,0)))</f>
        <v>0</v>
      </c>
      <c r="AB188" s="799">
        <f>IF(EOMONTH(Inputs!$C$8,'IP Attrition'!AB$134-1)&lt;=Inputs!$C$9,0,MIN(IF(ISERROR(VLOOKUP(AB$134+$F188,$D$135:$D$165,1,FALSE)),0,AA56*$C$2),MAX((IF(Monthly!X$4=TRUE,Monthly!X$13,Monthly!X$14)*(1+'Attrition Modeling'!$N$8)-'IP Attrition'!AA$65)/12*'IP Attrition'!AA123,0)))</f>
        <v>0</v>
      </c>
      <c r="AC188" s="799">
        <f>IF(EOMONTH(Inputs!$C$8,'IP Attrition'!AC$134-1)&lt;=Inputs!$C$9,0,MIN(IF(ISERROR(VLOOKUP(AC$134+$F188,$D$135:$D$165,1,FALSE)),0,AB56*$C$2),MAX((IF(Monthly!Y$4=TRUE,Monthly!Y$13,Monthly!Y$14)*(1+'Attrition Modeling'!$N$8)-'IP Attrition'!AB$65)/12*'IP Attrition'!AB123,0)))</f>
        <v>0</v>
      </c>
      <c r="AD188" s="799">
        <f>IF(EOMONTH(Inputs!$C$8,'IP Attrition'!AD$134-1)&lt;=Inputs!$C$9,0,MIN(IF(ISERROR(VLOOKUP(AD$134+$F188,$D$135:$D$165,1,FALSE)),0,AC56*$C$2),MAX((IF(Monthly!Z$4=TRUE,Monthly!Z$13,Monthly!Z$14)*(1+'Attrition Modeling'!$N$8)-'IP Attrition'!AC$65)/12*'IP Attrition'!AC123,0)))</f>
        <v>0</v>
      </c>
      <c r="AE188" s="799">
        <f>IF(EOMONTH(Inputs!$C$8,'IP Attrition'!AE$134-1)&lt;=Inputs!$C$9,0,MIN(IF(ISERROR(VLOOKUP(AE$134+$F188,$D$135:$D$165,1,FALSE)),0,AD56*$C$2),MAX((IF(Monthly!AA$4=TRUE,Monthly!AA$13,Monthly!AA$14)*(1+'Attrition Modeling'!$N$8)-'IP Attrition'!AD$65)/12*'IP Attrition'!AD123,0)))</f>
        <v>0</v>
      </c>
      <c r="AF188" s="799">
        <f>IF(EOMONTH(Inputs!$C$8,'IP Attrition'!AF$134-1)&lt;=Inputs!$C$9,0,MIN(IF(ISERROR(VLOOKUP(AF$134+$F188,$D$135:$D$165,1,FALSE)),0,AE56*$C$2),MAX((IF(Monthly!AB$4=TRUE,Monthly!AB$13,Monthly!AB$14)*(1+'Attrition Modeling'!$N$8)-'IP Attrition'!AE$65)/12*'IP Attrition'!AE123,0)))</f>
        <v>0</v>
      </c>
      <c r="AG188" s="799">
        <f>IF(EOMONTH(Inputs!$C$8,'IP Attrition'!AG$134-1)&lt;=Inputs!$C$9,0,MIN(IF(ISERROR(VLOOKUP(AG$134+$F188,$D$135:$D$165,1,FALSE)),0,AF56*$C$2),MAX((IF(Monthly!AC$4=TRUE,Monthly!AC$13,Monthly!AC$14)*(1+'Attrition Modeling'!$N$8)-'IP Attrition'!AF$65)/12*'IP Attrition'!AF123,0)))</f>
        <v>0</v>
      </c>
      <c r="AH188" s="799">
        <f>IF(EOMONTH(Inputs!$C$8,'IP Attrition'!AH$134-1)&lt;=Inputs!$C$9,0,MIN(IF(ISERROR(VLOOKUP(AH$134+$F188,$D$135:$D$165,1,FALSE)),0,AG56*$C$2),MAX((IF(Monthly!AD$4=TRUE,Monthly!AD$13,Monthly!AD$14)*(1+'Attrition Modeling'!$N$8)-'IP Attrition'!AG$65)/12*'IP Attrition'!AG123,0)))</f>
        <v>0</v>
      </c>
      <c r="AI188" s="799">
        <f>IF(EOMONTH(Inputs!$C$8,'IP Attrition'!AI$134-1)&lt;=Inputs!$C$9,0,MIN(IF(ISERROR(VLOOKUP(AI$134+$F188,$D$135:$D$165,1,FALSE)),0,AH56*$C$2),MAX((IF(Monthly!AE$4=TRUE,Monthly!AE$13,Monthly!AE$14)*(1+'Attrition Modeling'!$N$8)-'IP Attrition'!AH$65)/12*'IP Attrition'!AH123,0)))</f>
        <v>0</v>
      </c>
      <c r="AJ188" s="799">
        <f>IF(EOMONTH(Inputs!$C$8,'IP Attrition'!AJ$134-1)&lt;=Inputs!$C$9,0,MIN(IF(ISERROR(VLOOKUP(AJ$134+$F188,$D$135:$D$165,1,FALSE)),0,AI56*$C$2),MAX((IF(Monthly!AF$4=TRUE,Monthly!AF$13,Monthly!AF$14)*(1+'Attrition Modeling'!$N$8)-'IP Attrition'!AI$65)/12*'IP Attrition'!AI123,0)))</f>
        <v>0</v>
      </c>
      <c r="AK188" s="799">
        <f>IF(EOMONTH(Inputs!$C$8,'IP Attrition'!AK$134-1)&lt;=Inputs!$C$9,0,MIN(IF(ISERROR(VLOOKUP(AK$134+$F188,$D$135:$D$165,1,FALSE)),0,AJ56*$C$2),MAX((IF(Monthly!AG$4=TRUE,Monthly!AG$13,Monthly!AG$14)*(1+'Attrition Modeling'!$N$8)-'IP Attrition'!AJ$65)/12*'IP Attrition'!AJ123,0)))</f>
        <v>0</v>
      </c>
      <c r="AL188" s="799">
        <f>IF(EOMONTH(Inputs!$C$8,'IP Attrition'!AL$134-1)&lt;=Inputs!$C$9,0,MIN(IF(ISERROR(VLOOKUP(AL$134+$F188,$D$135:$D$165,1,FALSE)),0,AK56*$C$2),MAX((IF(Monthly!AH$4=TRUE,Monthly!AH$13,Monthly!AH$14)*(1+'Attrition Modeling'!$N$8)-'IP Attrition'!AK$65)/12*'IP Attrition'!AK123,0)))</f>
        <v>0</v>
      </c>
      <c r="AM188" s="799">
        <f>IF(EOMONTH(Inputs!$C$8,'IP Attrition'!AM$134-1)&lt;=Inputs!$C$9,0,MIN(IF(ISERROR(VLOOKUP(AM$134+$F188,$D$135:$D$165,1,FALSE)),0,AL56*$C$2),MAX((IF(Monthly!AI$4=TRUE,Monthly!AI$13,Monthly!AI$14)*(1+'Attrition Modeling'!$N$8)-'IP Attrition'!AL$65)/12*'IP Attrition'!AL123,0)))</f>
        <v>0</v>
      </c>
      <c r="AN188" s="799">
        <f>IF(EOMONTH(Inputs!$C$8,'IP Attrition'!AN$134-1)&lt;=Inputs!$C$9,0,MIN(IF(ISERROR(VLOOKUP(AN$134+$F188,$D$135:$D$165,1,FALSE)),0,AM56*$C$2),MAX((IF(Monthly!AJ$4=TRUE,Monthly!AJ$13,Monthly!AJ$14)*(1+'Attrition Modeling'!$N$8)-'IP Attrition'!AM$65)/12*'IP Attrition'!AM123,0)))</f>
        <v>0</v>
      </c>
      <c r="AO188" s="799">
        <f>IF(EOMONTH(Inputs!$C$8,'IP Attrition'!AO$134-1)&lt;=Inputs!$C$9,0,MIN(IF(ISERROR(VLOOKUP(AO$134+$F188,$D$135:$D$165,1,FALSE)),0,AN56*$C$2),MAX((IF(Monthly!AK$4=TRUE,Monthly!AK$13,Monthly!AK$14)*(1+'Attrition Modeling'!$N$8)-'IP Attrition'!AN$65)/12*'IP Attrition'!AN123,0)))</f>
        <v>0</v>
      </c>
      <c r="AP188" s="799">
        <f>IF(EOMONTH(Inputs!$C$8,'IP Attrition'!AP$134-1)&lt;=Inputs!$C$9,0,MIN(IF(ISERROR(VLOOKUP(AP$134+$F188,$D$135:$D$165,1,FALSE)),0,AO56*$C$2),MAX((IF(Monthly!AL$4=TRUE,Monthly!AL$13,Monthly!AL$14)*(1+'Attrition Modeling'!$N$8)-'IP Attrition'!AO$65)/12*'IP Attrition'!AO123,0)))</f>
        <v>0</v>
      </c>
      <c r="AQ188" s="799">
        <f>IF(EOMONTH(Inputs!$C$8,'IP Attrition'!AQ$134-1)&lt;=Inputs!$C$9,0,MIN(IF(ISERROR(VLOOKUP(AQ$134+$F188,$D$135:$D$165,1,FALSE)),0,AP56*$C$2),MAX((IF(Monthly!AM$4=TRUE,Monthly!AM$13,Monthly!AM$14)*(1+'Attrition Modeling'!$N$8)-'IP Attrition'!AP$65)/12*'IP Attrition'!AP123,0)))</f>
        <v>0</v>
      </c>
      <c r="AR188" s="799">
        <f>IF(EOMONTH(Inputs!$C$8,'IP Attrition'!AR$134-1)&lt;=Inputs!$C$9,0,MIN(IF(ISERROR(VLOOKUP(AR$134+$F188,$D$135:$D$165,1,FALSE)),0,AQ56*$C$2),MAX((IF(Monthly!AN$4=TRUE,Monthly!AN$13,Monthly!AN$14)*(1+'Attrition Modeling'!$N$8)-'IP Attrition'!AQ$65)/12*'IP Attrition'!AQ123,0)))</f>
        <v>0</v>
      </c>
      <c r="AS188" s="799">
        <f>IF(EOMONTH(Inputs!$C$8,'IP Attrition'!AS$134-1)&lt;=Inputs!$C$9,0,MIN(IF(ISERROR(VLOOKUP(AS$134+$F188,$D$135:$D$165,1,FALSE)),0,AR56*$C$2),MAX((IF(Monthly!AO$4=TRUE,Monthly!AO$13,Monthly!AO$14)*(1+'Attrition Modeling'!$N$8)-'IP Attrition'!AR$65)/12*'IP Attrition'!AR123,0)))</f>
        <v>0</v>
      </c>
      <c r="AT188" s="799">
        <f>IF(EOMONTH(Inputs!$C$8,'IP Attrition'!AT$134-1)&lt;=Inputs!$C$9,0,MIN(IF(ISERROR(VLOOKUP(AT$134+$F188,$D$135:$D$165,1,FALSE)),0,AS56*$C$2),MAX((IF(Monthly!AP$4=TRUE,Monthly!AP$13,Monthly!AP$14)*(1+'Attrition Modeling'!$N$8)-'IP Attrition'!AS$65)/12*'IP Attrition'!AS123,0)))</f>
        <v>0</v>
      </c>
      <c r="AU188" s="799">
        <f>IF(EOMONTH(Inputs!$C$8,'IP Attrition'!AU$134-1)&lt;=Inputs!$C$9,0,MIN(IF(ISERROR(VLOOKUP(AU$134+$F188,$D$135:$D$165,1,FALSE)),0,AT56*$C$2),MAX((IF(Monthly!AQ$4=TRUE,Monthly!AQ$13,Monthly!AQ$14)*(1+'Attrition Modeling'!$N$8)-'IP Attrition'!AT$65)/12*'IP Attrition'!AT123,0)))</f>
        <v>0</v>
      </c>
      <c r="AV188" s="799">
        <f>IF(EOMONTH(Inputs!$C$8,'IP Attrition'!AV$134-1)&lt;=Inputs!$C$9,0,MIN(IF(ISERROR(VLOOKUP(AV$134+$F188,$D$135:$D$165,1,FALSE)),0,AU56*$C$2),MAX((IF(Monthly!AR$4=TRUE,Monthly!AR$13,Monthly!AR$14)*(1+'Attrition Modeling'!$N$8)-'IP Attrition'!AU$65)/12*'IP Attrition'!AU123,0)))</f>
        <v>0</v>
      </c>
      <c r="AW188" s="799">
        <f>IF(EOMONTH(Inputs!$C$8,'IP Attrition'!AW$134-1)&lt;=Inputs!$C$9,0,MIN(IF(ISERROR(VLOOKUP(AW$134+$F188,$D$135:$D$165,1,FALSE)),0,AV56*$C$2),MAX((IF(Monthly!AS$4=TRUE,Monthly!AS$13,Monthly!AS$14)*(1+'Attrition Modeling'!$N$8)-'IP Attrition'!AV$65)/12*'IP Attrition'!AV123,0)))</f>
        <v>0</v>
      </c>
      <c r="AX188" s="799">
        <f>IF(EOMONTH(Inputs!$C$8,'IP Attrition'!AX$134-1)&lt;=Inputs!$C$9,0,MIN(IF(ISERROR(VLOOKUP(AX$134+$F188,$D$135:$D$165,1,FALSE)),0,AW56*$C$2),MAX((IF(Monthly!AT$4=TRUE,Monthly!AT$13,Monthly!AT$14)*(1+'Attrition Modeling'!$N$8)-'IP Attrition'!AW$65)/12*'IP Attrition'!AW123,0)))</f>
        <v>0</v>
      </c>
      <c r="AY188" s="799">
        <f>IF(EOMONTH(Inputs!$C$8,'IP Attrition'!AY$134-1)&lt;=Inputs!$C$9,0,MIN(IF(ISERROR(VLOOKUP(AY$134+$F188,$D$135:$D$165,1,FALSE)),0,AX56*$C$2),MAX((IF(Monthly!AU$4=TRUE,Monthly!AU$13,Monthly!AU$14)*(1+'Attrition Modeling'!$N$8)-'IP Attrition'!AX$65)/12*'IP Attrition'!AX123,0)))</f>
        <v>0</v>
      </c>
      <c r="AZ188" s="799">
        <f>IF(EOMONTH(Inputs!$C$8,'IP Attrition'!AZ$134-1)&lt;=Inputs!$C$9,0,MIN(IF(ISERROR(VLOOKUP(AZ$134+$F188,$D$135:$D$165,1,FALSE)),0,AY56*$C$2),MAX((IF(Monthly!AV$4=TRUE,Monthly!AV$13,Monthly!AV$14)*(1+'Attrition Modeling'!$N$8)-'IP Attrition'!AY$65)/12*'IP Attrition'!AY123,0)))</f>
        <v>0</v>
      </c>
      <c r="BA188" s="799">
        <f>IF(EOMONTH(Inputs!$C$8,'IP Attrition'!BA$134-1)&lt;=Inputs!$C$9,0,MIN(IF(ISERROR(VLOOKUP(BA$134+$F188,$D$135:$D$165,1,FALSE)),0,AZ56*$C$2),MAX((IF(Monthly!AW$4=TRUE,Monthly!AW$13,Monthly!AW$14)*(1+'Attrition Modeling'!$N$8)-'IP Attrition'!AZ$65)/12*'IP Attrition'!AZ123,0)))</f>
        <v>0</v>
      </c>
      <c r="BB188" s="799">
        <f>IF(EOMONTH(Inputs!$C$8,'IP Attrition'!BB$134-1)&lt;=Inputs!$C$9,0,MIN(IF(ISERROR(VLOOKUP(BB$134+$F188,$D$135:$D$165,1,FALSE)),0,BA56*$C$2),MAX((IF(Monthly!AX$4=TRUE,Monthly!AX$13,Monthly!AX$14)*(1+'Attrition Modeling'!$N$8)-'IP Attrition'!BA$65)/12*'IP Attrition'!BA123,0)))</f>
        <v>0</v>
      </c>
      <c r="BC188" s="799">
        <f>IF(EOMONTH(Inputs!$C$8,'IP Attrition'!BC$134-1)&lt;=Inputs!$C$9,0,MIN(IF(ISERROR(VLOOKUP(BC$134+$F188,$D$135:$D$165,1,FALSE)),0,BB56*$C$2),MAX((IF(Monthly!AY$4=TRUE,Monthly!AY$13,Monthly!AY$14)*(1+'Attrition Modeling'!$N$8)-'IP Attrition'!BB$65)/12*'IP Attrition'!BB123,0)))</f>
        <v>0</v>
      </c>
      <c r="BD188" s="799">
        <f>IF(EOMONTH(Inputs!$C$8,'IP Attrition'!BD$134-1)&lt;=Inputs!$C$9,0,MIN(IF(ISERROR(VLOOKUP(BD$134+$F188,$D$135:$D$165,1,FALSE)),0,BC56*$C$2),MAX((IF(Monthly!AZ$4=TRUE,Monthly!AZ$13,Monthly!AZ$14)*(1+'Attrition Modeling'!$N$8)-'IP Attrition'!BC$65)/12*'IP Attrition'!BC123,0)))</f>
        <v>0</v>
      </c>
      <c r="BE188" s="799">
        <f>IF(EOMONTH(Inputs!$C$8,'IP Attrition'!BE$134-1)&lt;=Inputs!$C$9,0,MIN(IF(ISERROR(VLOOKUP(BE$134+$F188,$D$135:$D$165,1,FALSE)),0,BD56*$C$2),MAX((IF(Monthly!BA$4=TRUE,Monthly!BA$13,Monthly!BA$14)*(1+'Attrition Modeling'!$N$8)-'IP Attrition'!BD$65)/12*'IP Attrition'!BD123,0)))</f>
        <v>0</v>
      </c>
      <c r="BF188" s="799">
        <f>IF(EOMONTH(Inputs!$C$8,'IP Attrition'!BF$134-1)&lt;=Inputs!$C$9,0,MIN(IF(ISERROR(VLOOKUP(BF$134+$F188,$D$135:$D$165,1,FALSE)),0,BE56*$C$2),MAX((IF(Monthly!BB$4=TRUE,Monthly!BB$13,Monthly!BB$14)*(1+'Attrition Modeling'!$N$8)-'IP Attrition'!BE$65)/12*'IP Attrition'!BE123,0)))</f>
        <v>0</v>
      </c>
      <c r="BG188" s="799">
        <f>IF(EOMONTH(Inputs!$C$8,'IP Attrition'!BG$134-1)&lt;=Inputs!$C$9,0,MIN(IF(ISERROR(VLOOKUP(BG$134+$F188,$D$135:$D$165,1,FALSE)),0,BF56*$C$2),MAX((IF(Monthly!BC$4=TRUE,Monthly!BC$13,Monthly!BC$14)*(1+'Attrition Modeling'!$N$8)-'IP Attrition'!BF$65)/12*'IP Attrition'!BF123,0)))</f>
        <v>0</v>
      </c>
      <c r="BH188" s="799">
        <f>IF(EOMONTH(Inputs!$C$8,'IP Attrition'!BH$134-1)&lt;=Inputs!$C$9,0,MIN(IF(ISERROR(VLOOKUP(BH$134+$F188,$D$135:$D$165,1,FALSE)),0,BG56*$C$2),MAX((IF(Monthly!BD$4=TRUE,Monthly!BD$13,Monthly!BD$14)*(1+'Attrition Modeling'!$N$8)-'IP Attrition'!BG$65)/12*'IP Attrition'!BG123,0)))</f>
        <v>0</v>
      </c>
      <c r="BI188" s="799">
        <f>IF(EOMONTH(Inputs!$C$8,'IP Attrition'!BI$134-1)&lt;=Inputs!$C$9,0,MIN(IF(ISERROR(VLOOKUP(BI$134+$F188,$D$135:$D$165,1,FALSE)),0,BH56*$C$2),MAX((IF(Monthly!BE$4=TRUE,Monthly!BE$13,Monthly!BE$14)*(1+'Attrition Modeling'!$N$8)-'IP Attrition'!BH$65)/12*'IP Attrition'!BH123,0)))</f>
        <v>0</v>
      </c>
      <c r="BJ188" s="799">
        <f>IF(EOMONTH(Inputs!$C$8,'IP Attrition'!BJ$134-1)&lt;=Inputs!$C$9,0,MIN(IF(ISERROR(VLOOKUP(BJ$134+$F188,$D$135:$D$165,1,FALSE)),0,BI56*$C$2),MAX((IF(Monthly!BF$4=TRUE,Monthly!BF$13,Monthly!BF$14)*(1+'Attrition Modeling'!$N$8)-'IP Attrition'!BI$65)/12*'IP Attrition'!BI123,0)))</f>
        <v>0</v>
      </c>
      <c r="BK188" s="799">
        <f>IF(EOMONTH(Inputs!$C$8,'IP Attrition'!BK$134-1)&lt;=Inputs!$C$9,0,MIN(IF(ISERROR(VLOOKUP(BK$134+$F188,$D$135:$D$165,1,FALSE)),0,BJ56*$C$2),MAX((IF(Monthly!BG$4=TRUE,Monthly!BG$13,Monthly!BG$14)*(1+'Attrition Modeling'!$N$8)-'IP Attrition'!BJ$65)/12*'IP Attrition'!BJ123,0)))</f>
        <v>0</v>
      </c>
      <c r="BL188" s="799">
        <f>IF(EOMONTH(Inputs!$C$8,'IP Attrition'!BL$134-1)&lt;=Inputs!$C$9,0,MIN(IF(ISERROR(VLOOKUP(BL$134+$F188,$D$135:$D$165,1,FALSE)),0,BK56*$C$2),MAX((IF(Monthly!BH$4=TRUE,Monthly!BH$13,Monthly!BH$14)*(1+'Attrition Modeling'!$N$8)-'IP Attrition'!BK$65)/12*'IP Attrition'!BK123,0)))</f>
        <v>0</v>
      </c>
      <c r="BM188" s="799">
        <f>IF(EOMONTH(Inputs!$C$8,'IP Attrition'!BM$134-1)&lt;=Inputs!$C$9,0,MIN(IF(ISERROR(VLOOKUP(BM$134+$F188,$D$135:$D$165,1,FALSE)),0,BL56*$C$2),MAX((IF(Monthly!BI$4=TRUE,Monthly!BI$13,Monthly!BI$14)*(1+'Attrition Modeling'!$N$8)-'IP Attrition'!BL$65)/12*'IP Attrition'!BL123,0)))</f>
        <v>0</v>
      </c>
      <c r="BN188" s="799">
        <f>IF(EOMONTH(Inputs!$C$8,'IP Attrition'!BN$134-1)&lt;=Inputs!$C$9,0,MIN(IF(ISERROR(VLOOKUP(BN$134+$F188,$D$135:$D$165,1,FALSE)),0,BM56*$C$2),MAX((IF(Monthly!BJ$4=TRUE,Monthly!BJ$13,Monthly!BJ$14)*(1+'Attrition Modeling'!$N$8)-'IP Attrition'!BM$65)/12*'IP Attrition'!BM123,0)))</f>
        <v>0</v>
      </c>
      <c r="BO188" s="799">
        <f>IF(EOMONTH(Inputs!$C$8,'IP Attrition'!BO$134-1)&lt;=Inputs!$C$9,0,MIN(IF(ISERROR(VLOOKUP(BO$134+$F188,$D$135:$D$165,1,FALSE)),0,BN56*$C$2),MAX((IF(Monthly!BK$4=TRUE,Monthly!BK$13,Monthly!BK$14)*(1+'Attrition Modeling'!$N$8)-'IP Attrition'!BN$65)/12*'IP Attrition'!BN123,0)))</f>
        <v>0</v>
      </c>
      <c r="BP188" s="799">
        <f>IF(EOMONTH(Inputs!$C$8,'IP Attrition'!BP$134-1)&lt;=Inputs!$C$9,0,MIN(IF(ISERROR(VLOOKUP(BP$134+$F188,$D$135:$D$165,1,FALSE)),0,BO56*$C$2),MAX((IF(Monthly!BL$4=TRUE,Monthly!BL$13,Monthly!BL$14)*(1+'Attrition Modeling'!$N$8)-'IP Attrition'!BO$65)/12*'IP Attrition'!BO123,0)))</f>
        <v>0</v>
      </c>
      <c r="BQ188" s="799">
        <f>IF(EOMONTH(Inputs!$C$8,'IP Attrition'!BQ$134-1)&lt;=Inputs!$C$9,0,MIN(IF(ISERROR(VLOOKUP(BQ$134+$F188,$D$135:$D$165,1,FALSE)),0,BP56*$C$2),MAX((IF(Monthly!BM$4=TRUE,Monthly!BM$13,Monthly!BM$14)*(1+'Attrition Modeling'!$N$8)-'IP Attrition'!BP$65)/12*'IP Attrition'!BP123,0)))</f>
        <v>0</v>
      </c>
      <c r="BR188" s="799">
        <f>IF(EOMONTH(Inputs!$C$8,'IP Attrition'!BR$134-1)&lt;=Inputs!$C$9,0,MIN(IF(ISERROR(VLOOKUP(BR$134+$F188,$D$135:$D$165,1,FALSE)),0,BQ56*$C$2),MAX((IF(Monthly!BN$4=TRUE,Monthly!BN$13,Monthly!BN$14)*(1+'Attrition Modeling'!$N$8)-'IP Attrition'!BQ$65)/12*'IP Attrition'!BQ123,0)))</f>
        <v>0</v>
      </c>
      <c r="BS188" s="799">
        <f>IF(EOMONTH(Inputs!$C$8,'IP Attrition'!BS$134-1)&lt;=Inputs!$C$9,0,MIN(IF(ISERROR(VLOOKUP(BS$134+$F188,$D$135:$D$165,1,FALSE)),0,BR56*$C$2),MAX((IF(Monthly!BO$4=TRUE,Monthly!BO$13,Monthly!BO$14)*(1+'Attrition Modeling'!$N$8)-'IP Attrition'!BR$65)/12*'IP Attrition'!BR123,0)))</f>
        <v>0</v>
      </c>
      <c r="BT188" s="799" t="e">
        <f>IF(EOMONTH(Inputs!$C$8,'IP Attrition'!BT$134-1)&lt;=Inputs!$C$9,0,MIN(IF(ISERROR(VLOOKUP(BT$134+$F188,$D$135:$D$165,1,FALSE)),0,BS56*$C$2),MAX((IF(Monthly!#REF!=TRUE,Monthly!#REF!,Monthly!#REF!)*(1+'Attrition Modeling'!$N$8)-'IP Attrition'!BS$65)/12*'IP Attrition'!BS123,0)))</f>
        <v>#REF!</v>
      </c>
      <c r="BU188" s="799" t="e">
        <f>IF(EOMONTH(Inputs!$C$8,'IP Attrition'!BU$134-1)&lt;=Inputs!$C$9,0,MIN(IF(ISERROR(VLOOKUP(BU$134+$F188,$D$135:$D$165,1,FALSE)),0,BT56*$C$2),MAX((IF(Monthly!#REF!=TRUE,Monthly!#REF!,Monthly!#REF!)*(1+'Attrition Modeling'!$N$8)-'IP Attrition'!BT$65)/12*'IP Attrition'!BT123,0)))</f>
        <v>#REF!</v>
      </c>
    </row>
    <row r="189" spans="5:73" ht="14.25" customHeight="1" x14ac:dyDescent="0.2">
      <c r="E189" s="25">
        <f t="shared" si="71"/>
        <v>0</v>
      </c>
      <c r="F189" s="11">
        <f t="shared" si="73"/>
        <v>54</v>
      </c>
      <c r="G189" s="799"/>
      <c r="H189" s="799">
        <f>IF(EOMONTH(Inputs!$C$8,'IP Attrition'!H$134-1)&lt;=Inputs!$C$9,0,MIN(IF(ISERROR(VLOOKUP(H$134+$F189,$D$135:$D$165,1,FALSE)),0,G57*$C$2),MAX((IF(Monthly!D$4=TRUE,Monthly!D$13,Monthly!D$14)*(1+'Attrition Modeling'!$N$8)-'IP Attrition'!G$65)/12*'IP Attrition'!G124,0)))</f>
        <v>0</v>
      </c>
      <c r="I189" s="799">
        <f>IF(EOMONTH(Inputs!$C$8,'IP Attrition'!I$134-1)&lt;=Inputs!$C$9,0,MIN(IF(ISERROR(VLOOKUP(I$134+$F189,$D$135:$D$165,1,FALSE)),0,H57*$C$2),MAX((IF(Monthly!E$4=TRUE,Monthly!E$13,Monthly!E$14)*(1+'Attrition Modeling'!$N$8)-'IP Attrition'!H$65)/12*'IP Attrition'!H124,0)))</f>
        <v>0</v>
      </c>
      <c r="J189" s="799">
        <f>IF(EOMONTH(Inputs!$C$8,'IP Attrition'!J$134-1)&lt;=Inputs!$C$9,0,MIN(IF(ISERROR(VLOOKUP(J$134+$F189,$D$135:$D$165,1,FALSE)),0,I57*$C$2),MAX((IF(Monthly!F$4=TRUE,Monthly!F$13,Monthly!F$14)*(1+'Attrition Modeling'!$N$8)-'IP Attrition'!I$65)/12*'IP Attrition'!I124,0)))</f>
        <v>0</v>
      </c>
      <c r="K189" s="799">
        <f>IF(EOMONTH(Inputs!$C$8,'IP Attrition'!K$134-1)&lt;=Inputs!$C$9,0,MIN(IF(ISERROR(VLOOKUP(K$134+$F189,$D$135:$D$165,1,FALSE)),0,J57*$C$2),MAX((IF(Monthly!G$4=TRUE,Monthly!G$13,Monthly!G$14)*(1+'Attrition Modeling'!$N$8)-'IP Attrition'!J$65)/12*'IP Attrition'!J124,0)))</f>
        <v>0</v>
      </c>
      <c r="L189" s="799">
        <f>IF(EOMONTH(Inputs!$C$8,'IP Attrition'!L$134-1)&lt;=Inputs!$C$9,0,MIN(IF(ISERROR(VLOOKUP(L$134+$F189,$D$135:$D$165,1,FALSE)),0,K57*$C$2),MAX((IF(Monthly!H$4=TRUE,Monthly!H$13,Monthly!H$14)*(1+'Attrition Modeling'!$N$8)-'IP Attrition'!K$65)/12*'IP Attrition'!K124,0)))</f>
        <v>0</v>
      </c>
      <c r="M189" s="799">
        <f>IF(EOMONTH(Inputs!$C$8,'IP Attrition'!M$134-1)&lt;=Inputs!$C$9,0,MIN(IF(ISERROR(VLOOKUP(M$134+$F189,$D$135:$D$165,1,FALSE)),0,L57*$C$2),MAX((IF(Monthly!I$4=TRUE,Monthly!I$13,Monthly!I$14)*(1+'Attrition Modeling'!$N$8)-'IP Attrition'!L$65)/12*'IP Attrition'!L124,0)))</f>
        <v>0</v>
      </c>
      <c r="N189" s="799">
        <f>IF(EOMONTH(Inputs!$C$8,'IP Attrition'!N$134-1)&lt;=Inputs!$C$9,0,MIN(IF(ISERROR(VLOOKUP(N$134+$F189,$D$135:$D$165,1,FALSE)),0,M57*$C$2),MAX((IF(Monthly!J$4=TRUE,Monthly!J$13,Monthly!J$14)*(1+'Attrition Modeling'!$N$8)-'IP Attrition'!M$65)/12*'IP Attrition'!M124,0)))</f>
        <v>0</v>
      </c>
      <c r="O189" s="799">
        <f>IF(EOMONTH(Inputs!$C$8,'IP Attrition'!O$134-1)&lt;=Inputs!$C$9,0,MIN(IF(ISERROR(VLOOKUP(O$134+$F189,$D$135:$D$165,1,FALSE)),0,N57*$C$2),MAX((IF(Monthly!K$4=TRUE,Monthly!K$13,Monthly!K$14)*(1+'Attrition Modeling'!$N$8)-'IP Attrition'!N$65)/12*'IP Attrition'!N124,0)))</f>
        <v>0</v>
      </c>
      <c r="P189" s="799">
        <f>IF(EOMONTH(Inputs!$C$8,'IP Attrition'!P$134-1)&lt;=Inputs!$C$9,0,MIN(IF(ISERROR(VLOOKUP(P$134+$F189,$D$135:$D$165,1,FALSE)),0,O57*$C$2),MAX((IF(Monthly!L$4=TRUE,Monthly!L$13,Monthly!L$14)*(1+'Attrition Modeling'!$N$8)-'IP Attrition'!O$65)/12*'IP Attrition'!O124,0)))</f>
        <v>0</v>
      </c>
      <c r="Q189" s="799">
        <f>IF(EOMONTH(Inputs!$C$8,'IP Attrition'!Q$134-1)&lt;=Inputs!$C$9,0,MIN(IF(ISERROR(VLOOKUP(Q$134+$F189,$D$135:$D$165,1,FALSE)),0,P57*$C$2),MAX((IF(Monthly!M$4=TRUE,Monthly!M$13,Monthly!M$14)*(1+'Attrition Modeling'!$N$8)-'IP Attrition'!P$65)/12*'IP Attrition'!P124,0)))</f>
        <v>0</v>
      </c>
      <c r="R189" s="799">
        <f>IF(EOMONTH(Inputs!$C$8,'IP Attrition'!R$134-1)&lt;=Inputs!$C$9,0,MIN(IF(ISERROR(VLOOKUP(R$134+$F189,$D$135:$D$165,1,FALSE)),0,Q57*$C$2),MAX((IF(Monthly!N$4=TRUE,Monthly!N$13,Monthly!N$14)*(1+'Attrition Modeling'!$N$8)-'IP Attrition'!Q$65)/12*'IP Attrition'!Q124,0)))</f>
        <v>0</v>
      </c>
      <c r="S189" s="799">
        <f>IF(EOMONTH(Inputs!$C$8,'IP Attrition'!S$134-1)&lt;=Inputs!$C$9,0,MIN(IF(ISERROR(VLOOKUP(S$134+$F189,$D$135:$D$165,1,FALSE)),0,R57*$C$2),MAX((IF(Monthly!O$4=TRUE,Monthly!O$13,Monthly!O$14)*(1+'Attrition Modeling'!$N$8)-'IP Attrition'!R$65)/12*'IP Attrition'!R124,0)))</f>
        <v>0</v>
      </c>
      <c r="T189" s="799">
        <f>IF(EOMONTH(Inputs!$C$8,'IP Attrition'!T$134-1)&lt;=Inputs!$C$9,0,MIN(IF(ISERROR(VLOOKUP(T$134+$F189,$D$135:$D$165,1,FALSE)),0,S57*$C$2),MAX((IF(Monthly!P$4=TRUE,Monthly!P$13,Monthly!P$14)*(1+'Attrition Modeling'!$N$8)-'IP Attrition'!S$65)/12*'IP Attrition'!S124,0)))</f>
        <v>0</v>
      </c>
      <c r="U189" s="799">
        <f>IF(EOMONTH(Inputs!$C$8,'IP Attrition'!U$134-1)&lt;=Inputs!$C$9,0,MIN(IF(ISERROR(VLOOKUP(U$134+$F189,$D$135:$D$165,1,FALSE)),0,T57*$C$2),MAX((IF(Monthly!Q$4=TRUE,Monthly!Q$13,Monthly!Q$14)*(1+'Attrition Modeling'!$N$8)-'IP Attrition'!T$65)/12*'IP Attrition'!T124,0)))</f>
        <v>0</v>
      </c>
      <c r="V189" s="799">
        <f>IF(EOMONTH(Inputs!$C$8,'IP Attrition'!V$134-1)&lt;=Inputs!$C$9,0,MIN(IF(ISERROR(VLOOKUP(V$134+$F189,$D$135:$D$165,1,FALSE)),0,U57*$C$2),MAX((IF(Monthly!R$4=TRUE,Monthly!R$13,Monthly!R$14)*(1+'Attrition Modeling'!$N$8)-'IP Attrition'!U$65)/12*'IP Attrition'!U124,0)))</f>
        <v>0</v>
      </c>
      <c r="W189" s="799">
        <f>IF(EOMONTH(Inputs!$C$8,'IP Attrition'!W$134-1)&lt;=Inputs!$C$9,0,MIN(IF(ISERROR(VLOOKUP(W$134+$F189,$D$135:$D$165,1,FALSE)),0,V57*$C$2),MAX((IF(Monthly!S$4=TRUE,Monthly!S$13,Monthly!S$14)*(1+'Attrition Modeling'!$N$8)-'IP Attrition'!V$65)/12*'IP Attrition'!V124,0)))</f>
        <v>0</v>
      </c>
      <c r="X189" s="799">
        <f>IF(EOMONTH(Inputs!$C$8,'IP Attrition'!X$134-1)&lt;=Inputs!$C$9,0,MIN(IF(ISERROR(VLOOKUP(X$134+$F189,$D$135:$D$165,1,FALSE)),0,W57*$C$2),MAX((IF(Monthly!T$4=TRUE,Monthly!T$13,Monthly!T$14)*(1+'Attrition Modeling'!$N$8)-'IP Attrition'!W$65)/12*'IP Attrition'!W124,0)))</f>
        <v>0</v>
      </c>
      <c r="Y189" s="799">
        <f>IF(EOMONTH(Inputs!$C$8,'IP Attrition'!Y$134-1)&lt;=Inputs!$C$9,0,MIN(IF(ISERROR(VLOOKUP(Y$134+$F189,$D$135:$D$165,1,FALSE)),0,X57*$C$2),MAX((IF(Monthly!U$4=TRUE,Monthly!U$13,Monthly!U$14)*(1+'Attrition Modeling'!$N$8)-'IP Attrition'!X$65)/12*'IP Attrition'!X124,0)))</f>
        <v>0</v>
      </c>
      <c r="Z189" s="799">
        <f>IF(EOMONTH(Inputs!$C$8,'IP Attrition'!Z$134-1)&lt;=Inputs!$C$9,0,MIN(IF(ISERROR(VLOOKUP(Z$134+$F189,$D$135:$D$165,1,FALSE)),0,Y57*$C$2),MAX((IF(Monthly!V$4=TRUE,Monthly!V$13,Monthly!V$14)*(1+'Attrition Modeling'!$N$8)-'IP Attrition'!Y$65)/12*'IP Attrition'!Y124,0)))</f>
        <v>0</v>
      </c>
      <c r="AA189" s="799">
        <f>IF(EOMONTH(Inputs!$C$8,'IP Attrition'!AA$134-1)&lt;=Inputs!$C$9,0,MIN(IF(ISERROR(VLOOKUP(AA$134+$F189,$D$135:$D$165,1,FALSE)),0,Z57*$C$2),MAX((IF(Monthly!W$4=TRUE,Monthly!W$13,Monthly!W$14)*(1+'Attrition Modeling'!$N$8)-'IP Attrition'!Z$65)/12*'IP Attrition'!Z124,0)))</f>
        <v>0</v>
      </c>
      <c r="AB189" s="799">
        <f>IF(EOMONTH(Inputs!$C$8,'IP Attrition'!AB$134-1)&lt;=Inputs!$C$9,0,MIN(IF(ISERROR(VLOOKUP(AB$134+$F189,$D$135:$D$165,1,FALSE)),0,AA57*$C$2),MAX((IF(Monthly!X$4=TRUE,Monthly!X$13,Monthly!X$14)*(1+'Attrition Modeling'!$N$8)-'IP Attrition'!AA$65)/12*'IP Attrition'!AA124,0)))</f>
        <v>0</v>
      </c>
      <c r="AC189" s="799">
        <f>IF(EOMONTH(Inputs!$C$8,'IP Attrition'!AC$134-1)&lt;=Inputs!$C$9,0,MIN(IF(ISERROR(VLOOKUP(AC$134+$F189,$D$135:$D$165,1,FALSE)),0,AB57*$C$2),MAX((IF(Monthly!Y$4=TRUE,Monthly!Y$13,Monthly!Y$14)*(1+'Attrition Modeling'!$N$8)-'IP Attrition'!AB$65)/12*'IP Attrition'!AB124,0)))</f>
        <v>0</v>
      </c>
      <c r="AD189" s="799">
        <f>IF(EOMONTH(Inputs!$C$8,'IP Attrition'!AD$134-1)&lt;=Inputs!$C$9,0,MIN(IF(ISERROR(VLOOKUP(AD$134+$F189,$D$135:$D$165,1,FALSE)),0,AC57*$C$2),MAX((IF(Monthly!Z$4=TRUE,Monthly!Z$13,Monthly!Z$14)*(1+'Attrition Modeling'!$N$8)-'IP Attrition'!AC$65)/12*'IP Attrition'!AC124,0)))</f>
        <v>0</v>
      </c>
      <c r="AE189" s="799">
        <f>IF(EOMONTH(Inputs!$C$8,'IP Attrition'!AE$134-1)&lt;=Inputs!$C$9,0,MIN(IF(ISERROR(VLOOKUP(AE$134+$F189,$D$135:$D$165,1,FALSE)),0,AD57*$C$2),MAX((IF(Monthly!AA$4=TRUE,Monthly!AA$13,Monthly!AA$14)*(1+'Attrition Modeling'!$N$8)-'IP Attrition'!AD$65)/12*'IP Attrition'!AD124,0)))</f>
        <v>0</v>
      </c>
      <c r="AF189" s="799">
        <f>IF(EOMONTH(Inputs!$C$8,'IP Attrition'!AF$134-1)&lt;=Inputs!$C$9,0,MIN(IF(ISERROR(VLOOKUP(AF$134+$F189,$D$135:$D$165,1,FALSE)),0,AE57*$C$2),MAX((IF(Monthly!AB$4=TRUE,Monthly!AB$13,Monthly!AB$14)*(1+'Attrition Modeling'!$N$8)-'IP Attrition'!AE$65)/12*'IP Attrition'!AE124,0)))</f>
        <v>0</v>
      </c>
      <c r="AG189" s="799">
        <f>IF(EOMONTH(Inputs!$C$8,'IP Attrition'!AG$134-1)&lt;=Inputs!$C$9,0,MIN(IF(ISERROR(VLOOKUP(AG$134+$F189,$D$135:$D$165,1,FALSE)),0,AF57*$C$2),MAX((IF(Monthly!AC$4=TRUE,Monthly!AC$13,Monthly!AC$14)*(1+'Attrition Modeling'!$N$8)-'IP Attrition'!AF$65)/12*'IP Attrition'!AF124,0)))</f>
        <v>0</v>
      </c>
      <c r="AH189" s="799">
        <f>IF(EOMONTH(Inputs!$C$8,'IP Attrition'!AH$134-1)&lt;=Inputs!$C$9,0,MIN(IF(ISERROR(VLOOKUP(AH$134+$F189,$D$135:$D$165,1,FALSE)),0,AG57*$C$2),MAX((IF(Monthly!AD$4=TRUE,Monthly!AD$13,Monthly!AD$14)*(1+'Attrition Modeling'!$N$8)-'IP Attrition'!AG$65)/12*'IP Attrition'!AG124,0)))</f>
        <v>0</v>
      </c>
      <c r="AI189" s="799">
        <f>IF(EOMONTH(Inputs!$C$8,'IP Attrition'!AI$134-1)&lt;=Inputs!$C$9,0,MIN(IF(ISERROR(VLOOKUP(AI$134+$F189,$D$135:$D$165,1,FALSE)),0,AH57*$C$2),MAX((IF(Monthly!AE$4=TRUE,Monthly!AE$13,Monthly!AE$14)*(1+'Attrition Modeling'!$N$8)-'IP Attrition'!AH$65)/12*'IP Attrition'!AH124,0)))</f>
        <v>0</v>
      </c>
      <c r="AJ189" s="799">
        <f>IF(EOMONTH(Inputs!$C$8,'IP Attrition'!AJ$134-1)&lt;=Inputs!$C$9,0,MIN(IF(ISERROR(VLOOKUP(AJ$134+$F189,$D$135:$D$165,1,FALSE)),0,AI57*$C$2),MAX((IF(Monthly!AF$4=TRUE,Monthly!AF$13,Monthly!AF$14)*(1+'Attrition Modeling'!$N$8)-'IP Attrition'!AI$65)/12*'IP Attrition'!AI124,0)))</f>
        <v>0</v>
      </c>
      <c r="AK189" s="799">
        <f>IF(EOMONTH(Inputs!$C$8,'IP Attrition'!AK$134-1)&lt;=Inputs!$C$9,0,MIN(IF(ISERROR(VLOOKUP(AK$134+$F189,$D$135:$D$165,1,FALSE)),0,AJ57*$C$2),MAX((IF(Monthly!AG$4=TRUE,Monthly!AG$13,Monthly!AG$14)*(1+'Attrition Modeling'!$N$8)-'IP Attrition'!AJ$65)/12*'IP Attrition'!AJ124,0)))</f>
        <v>0</v>
      </c>
      <c r="AL189" s="799">
        <f>IF(EOMONTH(Inputs!$C$8,'IP Attrition'!AL$134-1)&lt;=Inputs!$C$9,0,MIN(IF(ISERROR(VLOOKUP(AL$134+$F189,$D$135:$D$165,1,FALSE)),0,AK57*$C$2),MAX((IF(Monthly!AH$4=TRUE,Monthly!AH$13,Monthly!AH$14)*(1+'Attrition Modeling'!$N$8)-'IP Attrition'!AK$65)/12*'IP Attrition'!AK124,0)))</f>
        <v>0</v>
      </c>
      <c r="AM189" s="799">
        <f>IF(EOMONTH(Inputs!$C$8,'IP Attrition'!AM$134-1)&lt;=Inputs!$C$9,0,MIN(IF(ISERROR(VLOOKUP(AM$134+$F189,$D$135:$D$165,1,FALSE)),0,AL57*$C$2),MAX((IF(Monthly!AI$4=TRUE,Monthly!AI$13,Monthly!AI$14)*(1+'Attrition Modeling'!$N$8)-'IP Attrition'!AL$65)/12*'IP Attrition'!AL124,0)))</f>
        <v>0</v>
      </c>
      <c r="AN189" s="799">
        <f>IF(EOMONTH(Inputs!$C$8,'IP Attrition'!AN$134-1)&lt;=Inputs!$C$9,0,MIN(IF(ISERROR(VLOOKUP(AN$134+$F189,$D$135:$D$165,1,FALSE)),0,AM57*$C$2),MAX((IF(Monthly!AJ$4=TRUE,Monthly!AJ$13,Monthly!AJ$14)*(1+'Attrition Modeling'!$N$8)-'IP Attrition'!AM$65)/12*'IP Attrition'!AM124,0)))</f>
        <v>0</v>
      </c>
      <c r="AO189" s="799">
        <f>IF(EOMONTH(Inputs!$C$8,'IP Attrition'!AO$134-1)&lt;=Inputs!$C$9,0,MIN(IF(ISERROR(VLOOKUP(AO$134+$F189,$D$135:$D$165,1,FALSE)),0,AN57*$C$2),MAX((IF(Monthly!AK$4=TRUE,Monthly!AK$13,Monthly!AK$14)*(1+'Attrition Modeling'!$N$8)-'IP Attrition'!AN$65)/12*'IP Attrition'!AN124,0)))</f>
        <v>0</v>
      </c>
      <c r="AP189" s="799">
        <f>IF(EOMONTH(Inputs!$C$8,'IP Attrition'!AP$134-1)&lt;=Inputs!$C$9,0,MIN(IF(ISERROR(VLOOKUP(AP$134+$F189,$D$135:$D$165,1,FALSE)),0,AO57*$C$2),MAX((IF(Monthly!AL$4=TRUE,Monthly!AL$13,Monthly!AL$14)*(1+'Attrition Modeling'!$N$8)-'IP Attrition'!AO$65)/12*'IP Attrition'!AO124,0)))</f>
        <v>0</v>
      </c>
      <c r="AQ189" s="799">
        <f>IF(EOMONTH(Inputs!$C$8,'IP Attrition'!AQ$134-1)&lt;=Inputs!$C$9,0,MIN(IF(ISERROR(VLOOKUP(AQ$134+$F189,$D$135:$D$165,1,FALSE)),0,AP57*$C$2),MAX((IF(Monthly!AM$4=TRUE,Monthly!AM$13,Monthly!AM$14)*(1+'Attrition Modeling'!$N$8)-'IP Attrition'!AP$65)/12*'IP Attrition'!AP124,0)))</f>
        <v>0</v>
      </c>
      <c r="AR189" s="799">
        <f>IF(EOMONTH(Inputs!$C$8,'IP Attrition'!AR$134-1)&lt;=Inputs!$C$9,0,MIN(IF(ISERROR(VLOOKUP(AR$134+$F189,$D$135:$D$165,1,FALSE)),0,AQ57*$C$2),MAX((IF(Monthly!AN$4=TRUE,Monthly!AN$13,Monthly!AN$14)*(1+'Attrition Modeling'!$N$8)-'IP Attrition'!AQ$65)/12*'IP Attrition'!AQ124,0)))</f>
        <v>0</v>
      </c>
      <c r="AS189" s="799">
        <f>IF(EOMONTH(Inputs!$C$8,'IP Attrition'!AS$134-1)&lt;=Inputs!$C$9,0,MIN(IF(ISERROR(VLOOKUP(AS$134+$F189,$D$135:$D$165,1,FALSE)),0,AR57*$C$2),MAX((IF(Monthly!AO$4=TRUE,Monthly!AO$13,Monthly!AO$14)*(1+'Attrition Modeling'!$N$8)-'IP Attrition'!AR$65)/12*'IP Attrition'!AR124,0)))</f>
        <v>0</v>
      </c>
      <c r="AT189" s="799">
        <f>IF(EOMONTH(Inputs!$C$8,'IP Attrition'!AT$134-1)&lt;=Inputs!$C$9,0,MIN(IF(ISERROR(VLOOKUP(AT$134+$F189,$D$135:$D$165,1,FALSE)),0,AS57*$C$2),MAX((IF(Monthly!AP$4=TRUE,Monthly!AP$13,Monthly!AP$14)*(1+'Attrition Modeling'!$N$8)-'IP Attrition'!AS$65)/12*'IP Attrition'!AS124,0)))</f>
        <v>0</v>
      </c>
      <c r="AU189" s="799">
        <f>IF(EOMONTH(Inputs!$C$8,'IP Attrition'!AU$134-1)&lt;=Inputs!$C$9,0,MIN(IF(ISERROR(VLOOKUP(AU$134+$F189,$D$135:$D$165,1,FALSE)),0,AT57*$C$2),MAX((IF(Monthly!AQ$4=TRUE,Monthly!AQ$13,Monthly!AQ$14)*(1+'Attrition Modeling'!$N$8)-'IP Attrition'!AT$65)/12*'IP Attrition'!AT124,0)))</f>
        <v>0</v>
      </c>
      <c r="AV189" s="799">
        <f>IF(EOMONTH(Inputs!$C$8,'IP Attrition'!AV$134-1)&lt;=Inputs!$C$9,0,MIN(IF(ISERROR(VLOOKUP(AV$134+$F189,$D$135:$D$165,1,FALSE)),0,AU57*$C$2),MAX((IF(Monthly!AR$4=TRUE,Monthly!AR$13,Monthly!AR$14)*(1+'Attrition Modeling'!$N$8)-'IP Attrition'!AU$65)/12*'IP Attrition'!AU124,0)))</f>
        <v>0</v>
      </c>
      <c r="AW189" s="799">
        <f>IF(EOMONTH(Inputs!$C$8,'IP Attrition'!AW$134-1)&lt;=Inputs!$C$9,0,MIN(IF(ISERROR(VLOOKUP(AW$134+$F189,$D$135:$D$165,1,FALSE)),0,AV57*$C$2),MAX((IF(Monthly!AS$4=TRUE,Monthly!AS$13,Monthly!AS$14)*(1+'Attrition Modeling'!$N$8)-'IP Attrition'!AV$65)/12*'IP Attrition'!AV124,0)))</f>
        <v>0</v>
      </c>
      <c r="AX189" s="799">
        <f>IF(EOMONTH(Inputs!$C$8,'IP Attrition'!AX$134-1)&lt;=Inputs!$C$9,0,MIN(IF(ISERROR(VLOOKUP(AX$134+$F189,$D$135:$D$165,1,FALSE)),0,AW57*$C$2),MAX((IF(Monthly!AT$4=TRUE,Monthly!AT$13,Monthly!AT$14)*(1+'Attrition Modeling'!$N$8)-'IP Attrition'!AW$65)/12*'IP Attrition'!AW124,0)))</f>
        <v>0</v>
      </c>
      <c r="AY189" s="799">
        <f>IF(EOMONTH(Inputs!$C$8,'IP Attrition'!AY$134-1)&lt;=Inputs!$C$9,0,MIN(IF(ISERROR(VLOOKUP(AY$134+$F189,$D$135:$D$165,1,FALSE)),0,AX57*$C$2),MAX((IF(Monthly!AU$4=TRUE,Monthly!AU$13,Monthly!AU$14)*(1+'Attrition Modeling'!$N$8)-'IP Attrition'!AX$65)/12*'IP Attrition'!AX124,0)))</f>
        <v>0</v>
      </c>
      <c r="AZ189" s="799">
        <f>IF(EOMONTH(Inputs!$C$8,'IP Attrition'!AZ$134-1)&lt;=Inputs!$C$9,0,MIN(IF(ISERROR(VLOOKUP(AZ$134+$F189,$D$135:$D$165,1,FALSE)),0,AY57*$C$2),MAX((IF(Monthly!AV$4=TRUE,Monthly!AV$13,Monthly!AV$14)*(1+'Attrition Modeling'!$N$8)-'IP Attrition'!AY$65)/12*'IP Attrition'!AY124,0)))</f>
        <v>0</v>
      </c>
      <c r="BA189" s="799">
        <f>IF(EOMONTH(Inputs!$C$8,'IP Attrition'!BA$134-1)&lt;=Inputs!$C$9,0,MIN(IF(ISERROR(VLOOKUP(BA$134+$F189,$D$135:$D$165,1,FALSE)),0,AZ57*$C$2),MAX((IF(Monthly!AW$4=TRUE,Monthly!AW$13,Monthly!AW$14)*(1+'Attrition Modeling'!$N$8)-'IP Attrition'!AZ$65)/12*'IP Attrition'!AZ124,0)))</f>
        <v>0</v>
      </c>
      <c r="BB189" s="799">
        <f>IF(EOMONTH(Inputs!$C$8,'IP Attrition'!BB$134-1)&lt;=Inputs!$C$9,0,MIN(IF(ISERROR(VLOOKUP(BB$134+$F189,$D$135:$D$165,1,FALSE)),0,BA57*$C$2),MAX((IF(Monthly!AX$4=TRUE,Monthly!AX$13,Monthly!AX$14)*(1+'Attrition Modeling'!$N$8)-'IP Attrition'!BA$65)/12*'IP Attrition'!BA124,0)))</f>
        <v>0</v>
      </c>
      <c r="BC189" s="799">
        <f>IF(EOMONTH(Inputs!$C$8,'IP Attrition'!BC$134-1)&lt;=Inputs!$C$9,0,MIN(IF(ISERROR(VLOOKUP(BC$134+$F189,$D$135:$D$165,1,FALSE)),0,BB57*$C$2),MAX((IF(Monthly!AY$4=TRUE,Monthly!AY$13,Monthly!AY$14)*(1+'Attrition Modeling'!$N$8)-'IP Attrition'!BB$65)/12*'IP Attrition'!BB124,0)))</f>
        <v>0</v>
      </c>
      <c r="BD189" s="799">
        <f>IF(EOMONTH(Inputs!$C$8,'IP Attrition'!BD$134-1)&lt;=Inputs!$C$9,0,MIN(IF(ISERROR(VLOOKUP(BD$134+$F189,$D$135:$D$165,1,FALSE)),0,BC57*$C$2),MAX((IF(Monthly!AZ$4=TRUE,Monthly!AZ$13,Monthly!AZ$14)*(1+'Attrition Modeling'!$N$8)-'IP Attrition'!BC$65)/12*'IP Attrition'!BC124,0)))</f>
        <v>0</v>
      </c>
      <c r="BE189" s="799">
        <f>IF(EOMONTH(Inputs!$C$8,'IP Attrition'!BE$134-1)&lt;=Inputs!$C$9,0,MIN(IF(ISERROR(VLOOKUP(BE$134+$F189,$D$135:$D$165,1,FALSE)),0,BD57*$C$2),MAX((IF(Monthly!BA$4=TRUE,Monthly!BA$13,Monthly!BA$14)*(1+'Attrition Modeling'!$N$8)-'IP Attrition'!BD$65)/12*'IP Attrition'!BD124,0)))</f>
        <v>0</v>
      </c>
      <c r="BF189" s="799">
        <f>IF(EOMONTH(Inputs!$C$8,'IP Attrition'!BF$134-1)&lt;=Inputs!$C$9,0,MIN(IF(ISERROR(VLOOKUP(BF$134+$F189,$D$135:$D$165,1,FALSE)),0,BE57*$C$2),MAX((IF(Monthly!BB$4=TRUE,Monthly!BB$13,Monthly!BB$14)*(1+'Attrition Modeling'!$N$8)-'IP Attrition'!BE$65)/12*'IP Attrition'!BE124,0)))</f>
        <v>0</v>
      </c>
      <c r="BG189" s="799">
        <f>IF(EOMONTH(Inputs!$C$8,'IP Attrition'!BG$134-1)&lt;=Inputs!$C$9,0,MIN(IF(ISERROR(VLOOKUP(BG$134+$F189,$D$135:$D$165,1,FALSE)),0,BF57*$C$2),MAX((IF(Monthly!BC$4=TRUE,Monthly!BC$13,Monthly!BC$14)*(1+'Attrition Modeling'!$N$8)-'IP Attrition'!BF$65)/12*'IP Attrition'!BF124,0)))</f>
        <v>0</v>
      </c>
      <c r="BH189" s="799">
        <f>IF(EOMONTH(Inputs!$C$8,'IP Attrition'!BH$134-1)&lt;=Inputs!$C$9,0,MIN(IF(ISERROR(VLOOKUP(BH$134+$F189,$D$135:$D$165,1,FALSE)),0,BG57*$C$2),MAX((IF(Monthly!BD$4=TRUE,Monthly!BD$13,Monthly!BD$14)*(1+'Attrition Modeling'!$N$8)-'IP Attrition'!BG$65)/12*'IP Attrition'!BG124,0)))</f>
        <v>0</v>
      </c>
      <c r="BI189" s="799">
        <f>IF(EOMONTH(Inputs!$C$8,'IP Attrition'!BI$134-1)&lt;=Inputs!$C$9,0,MIN(IF(ISERROR(VLOOKUP(BI$134+$F189,$D$135:$D$165,1,FALSE)),0,BH57*$C$2),MAX((IF(Monthly!BE$4=TRUE,Monthly!BE$13,Monthly!BE$14)*(1+'Attrition Modeling'!$N$8)-'IP Attrition'!BH$65)/12*'IP Attrition'!BH124,0)))</f>
        <v>0</v>
      </c>
      <c r="BJ189" s="799">
        <f>IF(EOMONTH(Inputs!$C$8,'IP Attrition'!BJ$134-1)&lt;=Inputs!$C$9,0,MIN(IF(ISERROR(VLOOKUP(BJ$134+$F189,$D$135:$D$165,1,FALSE)),0,BI57*$C$2),MAX((IF(Monthly!BF$4=TRUE,Monthly!BF$13,Monthly!BF$14)*(1+'Attrition Modeling'!$N$8)-'IP Attrition'!BI$65)/12*'IP Attrition'!BI124,0)))</f>
        <v>0</v>
      </c>
      <c r="BK189" s="799">
        <f>IF(EOMONTH(Inputs!$C$8,'IP Attrition'!BK$134-1)&lt;=Inputs!$C$9,0,MIN(IF(ISERROR(VLOOKUP(BK$134+$F189,$D$135:$D$165,1,FALSE)),0,BJ57*$C$2),MAX((IF(Monthly!BG$4=TRUE,Monthly!BG$13,Monthly!BG$14)*(1+'Attrition Modeling'!$N$8)-'IP Attrition'!BJ$65)/12*'IP Attrition'!BJ124,0)))</f>
        <v>0</v>
      </c>
      <c r="BL189" s="799">
        <f>IF(EOMONTH(Inputs!$C$8,'IP Attrition'!BL$134-1)&lt;=Inputs!$C$9,0,MIN(IF(ISERROR(VLOOKUP(BL$134+$F189,$D$135:$D$165,1,FALSE)),0,BK57*$C$2),MAX((IF(Monthly!BH$4=TRUE,Monthly!BH$13,Monthly!BH$14)*(1+'Attrition Modeling'!$N$8)-'IP Attrition'!BK$65)/12*'IP Attrition'!BK124,0)))</f>
        <v>0</v>
      </c>
      <c r="BM189" s="799">
        <f>IF(EOMONTH(Inputs!$C$8,'IP Attrition'!BM$134-1)&lt;=Inputs!$C$9,0,MIN(IF(ISERROR(VLOOKUP(BM$134+$F189,$D$135:$D$165,1,FALSE)),0,BL57*$C$2),MAX((IF(Monthly!BI$4=TRUE,Monthly!BI$13,Monthly!BI$14)*(1+'Attrition Modeling'!$N$8)-'IP Attrition'!BL$65)/12*'IP Attrition'!BL124,0)))</f>
        <v>0</v>
      </c>
      <c r="BN189" s="799">
        <f>IF(EOMONTH(Inputs!$C$8,'IP Attrition'!BN$134-1)&lt;=Inputs!$C$9,0,MIN(IF(ISERROR(VLOOKUP(BN$134+$F189,$D$135:$D$165,1,FALSE)),0,BM57*$C$2),MAX((IF(Monthly!BJ$4=TRUE,Monthly!BJ$13,Monthly!BJ$14)*(1+'Attrition Modeling'!$N$8)-'IP Attrition'!BM$65)/12*'IP Attrition'!BM124,0)))</f>
        <v>0</v>
      </c>
      <c r="BO189" s="799">
        <f>IF(EOMONTH(Inputs!$C$8,'IP Attrition'!BO$134-1)&lt;=Inputs!$C$9,0,MIN(IF(ISERROR(VLOOKUP(BO$134+$F189,$D$135:$D$165,1,FALSE)),0,BN57*$C$2),MAX((IF(Monthly!BK$4=TRUE,Monthly!BK$13,Monthly!BK$14)*(1+'Attrition Modeling'!$N$8)-'IP Attrition'!BN$65)/12*'IP Attrition'!BN124,0)))</f>
        <v>0</v>
      </c>
      <c r="BP189" s="799">
        <f>IF(EOMONTH(Inputs!$C$8,'IP Attrition'!BP$134-1)&lt;=Inputs!$C$9,0,MIN(IF(ISERROR(VLOOKUP(BP$134+$F189,$D$135:$D$165,1,FALSE)),0,BO57*$C$2),MAX((IF(Monthly!BL$4=TRUE,Monthly!BL$13,Monthly!BL$14)*(1+'Attrition Modeling'!$N$8)-'IP Attrition'!BO$65)/12*'IP Attrition'!BO124,0)))</f>
        <v>0</v>
      </c>
      <c r="BQ189" s="799">
        <f>IF(EOMONTH(Inputs!$C$8,'IP Attrition'!BQ$134-1)&lt;=Inputs!$C$9,0,MIN(IF(ISERROR(VLOOKUP(BQ$134+$F189,$D$135:$D$165,1,FALSE)),0,BP57*$C$2),MAX((IF(Monthly!BM$4=TRUE,Monthly!BM$13,Monthly!BM$14)*(1+'Attrition Modeling'!$N$8)-'IP Attrition'!BP$65)/12*'IP Attrition'!BP124,0)))</f>
        <v>0</v>
      </c>
      <c r="BR189" s="799">
        <f>IF(EOMONTH(Inputs!$C$8,'IP Attrition'!BR$134-1)&lt;=Inputs!$C$9,0,MIN(IF(ISERROR(VLOOKUP(BR$134+$F189,$D$135:$D$165,1,FALSE)),0,BQ57*$C$2),MAX((IF(Monthly!BN$4=TRUE,Monthly!BN$13,Monthly!BN$14)*(1+'Attrition Modeling'!$N$8)-'IP Attrition'!BQ$65)/12*'IP Attrition'!BQ124,0)))</f>
        <v>0</v>
      </c>
      <c r="BS189" s="799">
        <f>IF(EOMONTH(Inputs!$C$8,'IP Attrition'!BS$134-1)&lt;=Inputs!$C$9,0,MIN(IF(ISERROR(VLOOKUP(BS$134+$F189,$D$135:$D$165,1,FALSE)),0,BR57*$C$2),MAX((IF(Monthly!BO$4=TRUE,Monthly!BO$13,Monthly!BO$14)*(1+'Attrition Modeling'!$N$8)-'IP Attrition'!BR$65)/12*'IP Attrition'!BR124,0)))</f>
        <v>0</v>
      </c>
      <c r="BT189" s="799" t="e">
        <f>IF(EOMONTH(Inputs!$C$8,'IP Attrition'!BT$134-1)&lt;=Inputs!$C$9,0,MIN(IF(ISERROR(VLOOKUP(BT$134+$F189,$D$135:$D$165,1,FALSE)),0,BS57*$C$2),MAX((IF(Monthly!#REF!=TRUE,Monthly!#REF!,Monthly!#REF!)*(1+'Attrition Modeling'!$N$8)-'IP Attrition'!BS$65)/12*'IP Attrition'!BS124,0)))</f>
        <v>#REF!</v>
      </c>
      <c r="BU189" s="799" t="e">
        <f>IF(EOMONTH(Inputs!$C$8,'IP Attrition'!BU$134-1)&lt;=Inputs!$C$9,0,MIN(IF(ISERROR(VLOOKUP(BU$134+$F189,$D$135:$D$165,1,FALSE)),0,BT57*$C$2),MAX((IF(Monthly!#REF!=TRUE,Monthly!#REF!,Monthly!#REF!)*(1+'Attrition Modeling'!$N$8)-'IP Attrition'!BT$65)/12*'IP Attrition'!BT124,0)))</f>
        <v>#REF!</v>
      </c>
    </row>
    <row r="190" spans="5:73" ht="14.25" customHeight="1" x14ac:dyDescent="0.2">
      <c r="E190" s="25">
        <f t="shared" si="71"/>
        <v>0</v>
      </c>
      <c r="F190" s="11">
        <f t="shared" si="73"/>
        <v>55</v>
      </c>
      <c r="G190" s="799"/>
      <c r="H190" s="799">
        <f>IF(EOMONTH(Inputs!$C$8,'IP Attrition'!H$134-1)&lt;=Inputs!$C$9,0,MIN(IF(ISERROR(VLOOKUP(H$134+$F190,$D$135:$D$165,1,FALSE)),0,G58*$C$2),MAX((IF(Monthly!D$4=TRUE,Monthly!D$13,Monthly!D$14)*(1+'Attrition Modeling'!$N$8)-'IP Attrition'!G$65)/12*'IP Attrition'!G125,0)))</f>
        <v>0</v>
      </c>
      <c r="I190" s="799">
        <f>IF(EOMONTH(Inputs!$C$8,'IP Attrition'!I$134-1)&lt;=Inputs!$C$9,0,MIN(IF(ISERROR(VLOOKUP(I$134+$F190,$D$135:$D$165,1,FALSE)),0,H58*$C$2),MAX((IF(Monthly!E$4=TRUE,Monthly!E$13,Monthly!E$14)*(1+'Attrition Modeling'!$N$8)-'IP Attrition'!H$65)/12*'IP Attrition'!H125,0)))</f>
        <v>0</v>
      </c>
      <c r="J190" s="799">
        <f>IF(EOMONTH(Inputs!$C$8,'IP Attrition'!J$134-1)&lt;=Inputs!$C$9,0,MIN(IF(ISERROR(VLOOKUP(J$134+$F190,$D$135:$D$165,1,FALSE)),0,I58*$C$2),MAX((IF(Monthly!F$4=TRUE,Monthly!F$13,Monthly!F$14)*(1+'Attrition Modeling'!$N$8)-'IP Attrition'!I$65)/12*'IP Attrition'!I125,0)))</f>
        <v>0</v>
      </c>
      <c r="K190" s="799">
        <f>IF(EOMONTH(Inputs!$C$8,'IP Attrition'!K$134-1)&lt;=Inputs!$C$9,0,MIN(IF(ISERROR(VLOOKUP(K$134+$F190,$D$135:$D$165,1,FALSE)),0,J58*$C$2),MAX((IF(Monthly!G$4=TRUE,Monthly!G$13,Monthly!G$14)*(1+'Attrition Modeling'!$N$8)-'IP Attrition'!J$65)/12*'IP Attrition'!J125,0)))</f>
        <v>0</v>
      </c>
      <c r="L190" s="799">
        <f>IF(EOMONTH(Inputs!$C$8,'IP Attrition'!L$134-1)&lt;=Inputs!$C$9,0,MIN(IF(ISERROR(VLOOKUP(L$134+$F190,$D$135:$D$165,1,FALSE)),0,K58*$C$2),MAX((IF(Monthly!H$4=TRUE,Monthly!H$13,Monthly!H$14)*(1+'Attrition Modeling'!$N$8)-'IP Attrition'!K$65)/12*'IP Attrition'!K125,0)))</f>
        <v>0</v>
      </c>
      <c r="M190" s="799">
        <f>IF(EOMONTH(Inputs!$C$8,'IP Attrition'!M$134-1)&lt;=Inputs!$C$9,0,MIN(IF(ISERROR(VLOOKUP(M$134+$F190,$D$135:$D$165,1,FALSE)),0,L58*$C$2),MAX((IF(Monthly!I$4=TRUE,Monthly!I$13,Monthly!I$14)*(1+'Attrition Modeling'!$N$8)-'IP Attrition'!L$65)/12*'IP Attrition'!L125,0)))</f>
        <v>0</v>
      </c>
      <c r="N190" s="799">
        <f>IF(EOMONTH(Inputs!$C$8,'IP Attrition'!N$134-1)&lt;=Inputs!$C$9,0,MIN(IF(ISERROR(VLOOKUP(N$134+$F190,$D$135:$D$165,1,FALSE)),0,M58*$C$2),MAX((IF(Monthly!J$4=TRUE,Monthly!J$13,Monthly!J$14)*(1+'Attrition Modeling'!$N$8)-'IP Attrition'!M$65)/12*'IP Attrition'!M125,0)))</f>
        <v>0</v>
      </c>
      <c r="O190" s="799">
        <f>IF(EOMONTH(Inputs!$C$8,'IP Attrition'!O$134-1)&lt;=Inputs!$C$9,0,MIN(IF(ISERROR(VLOOKUP(O$134+$F190,$D$135:$D$165,1,FALSE)),0,N58*$C$2),MAX((IF(Monthly!K$4=TRUE,Monthly!K$13,Monthly!K$14)*(1+'Attrition Modeling'!$N$8)-'IP Attrition'!N$65)/12*'IP Attrition'!N125,0)))</f>
        <v>0</v>
      </c>
      <c r="P190" s="799">
        <f>IF(EOMONTH(Inputs!$C$8,'IP Attrition'!P$134-1)&lt;=Inputs!$C$9,0,MIN(IF(ISERROR(VLOOKUP(P$134+$F190,$D$135:$D$165,1,FALSE)),0,O58*$C$2),MAX((IF(Monthly!L$4=TRUE,Monthly!L$13,Monthly!L$14)*(1+'Attrition Modeling'!$N$8)-'IP Attrition'!O$65)/12*'IP Attrition'!O125,0)))</f>
        <v>0</v>
      </c>
      <c r="Q190" s="799">
        <f>IF(EOMONTH(Inputs!$C$8,'IP Attrition'!Q$134-1)&lt;=Inputs!$C$9,0,MIN(IF(ISERROR(VLOOKUP(Q$134+$F190,$D$135:$D$165,1,FALSE)),0,P58*$C$2),MAX((IF(Monthly!M$4=TRUE,Monthly!M$13,Monthly!M$14)*(1+'Attrition Modeling'!$N$8)-'IP Attrition'!P$65)/12*'IP Attrition'!P125,0)))</f>
        <v>0</v>
      </c>
      <c r="R190" s="799">
        <f>IF(EOMONTH(Inputs!$C$8,'IP Attrition'!R$134-1)&lt;=Inputs!$C$9,0,MIN(IF(ISERROR(VLOOKUP(R$134+$F190,$D$135:$D$165,1,FALSE)),0,Q58*$C$2),MAX((IF(Monthly!N$4=TRUE,Monthly!N$13,Monthly!N$14)*(1+'Attrition Modeling'!$N$8)-'IP Attrition'!Q$65)/12*'IP Attrition'!Q125,0)))</f>
        <v>0</v>
      </c>
      <c r="S190" s="799">
        <f>IF(EOMONTH(Inputs!$C$8,'IP Attrition'!S$134-1)&lt;=Inputs!$C$9,0,MIN(IF(ISERROR(VLOOKUP(S$134+$F190,$D$135:$D$165,1,FALSE)),0,R58*$C$2),MAX((IF(Monthly!O$4=TRUE,Monthly!O$13,Monthly!O$14)*(1+'Attrition Modeling'!$N$8)-'IP Attrition'!R$65)/12*'IP Attrition'!R125,0)))</f>
        <v>0</v>
      </c>
      <c r="T190" s="799">
        <f>IF(EOMONTH(Inputs!$C$8,'IP Attrition'!T$134-1)&lt;=Inputs!$C$9,0,MIN(IF(ISERROR(VLOOKUP(T$134+$F190,$D$135:$D$165,1,FALSE)),0,S58*$C$2),MAX((IF(Monthly!P$4=TRUE,Monthly!P$13,Monthly!P$14)*(1+'Attrition Modeling'!$N$8)-'IP Attrition'!S$65)/12*'IP Attrition'!S125,0)))</f>
        <v>0</v>
      </c>
      <c r="U190" s="799">
        <f>IF(EOMONTH(Inputs!$C$8,'IP Attrition'!U$134-1)&lt;=Inputs!$C$9,0,MIN(IF(ISERROR(VLOOKUP(U$134+$F190,$D$135:$D$165,1,FALSE)),0,T58*$C$2),MAX((IF(Monthly!Q$4=TRUE,Monthly!Q$13,Monthly!Q$14)*(1+'Attrition Modeling'!$N$8)-'IP Attrition'!T$65)/12*'IP Attrition'!T125,0)))</f>
        <v>0</v>
      </c>
      <c r="V190" s="799">
        <f>IF(EOMONTH(Inputs!$C$8,'IP Attrition'!V$134-1)&lt;=Inputs!$C$9,0,MIN(IF(ISERROR(VLOOKUP(V$134+$F190,$D$135:$D$165,1,FALSE)),0,U58*$C$2),MAX((IF(Monthly!R$4=TRUE,Monthly!R$13,Monthly!R$14)*(1+'Attrition Modeling'!$N$8)-'IP Attrition'!U$65)/12*'IP Attrition'!U125,0)))</f>
        <v>0</v>
      </c>
      <c r="W190" s="799">
        <f>IF(EOMONTH(Inputs!$C$8,'IP Attrition'!W$134-1)&lt;=Inputs!$C$9,0,MIN(IF(ISERROR(VLOOKUP(W$134+$F190,$D$135:$D$165,1,FALSE)),0,V58*$C$2),MAX((IF(Monthly!S$4=TRUE,Monthly!S$13,Monthly!S$14)*(1+'Attrition Modeling'!$N$8)-'IP Attrition'!V$65)/12*'IP Attrition'!V125,0)))</f>
        <v>0</v>
      </c>
      <c r="X190" s="799">
        <f>IF(EOMONTH(Inputs!$C$8,'IP Attrition'!X$134-1)&lt;=Inputs!$C$9,0,MIN(IF(ISERROR(VLOOKUP(X$134+$F190,$D$135:$D$165,1,FALSE)),0,W58*$C$2),MAX((IF(Monthly!T$4=TRUE,Monthly!T$13,Monthly!T$14)*(1+'Attrition Modeling'!$N$8)-'IP Attrition'!W$65)/12*'IP Attrition'!W125,0)))</f>
        <v>0</v>
      </c>
      <c r="Y190" s="799">
        <f>IF(EOMONTH(Inputs!$C$8,'IP Attrition'!Y$134-1)&lt;=Inputs!$C$9,0,MIN(IF(ISERROR(VLOOKUP(Y$134+$F190,$D$135:$D$165,1,FALSE)),0,X58*$C$2),MAX((IF(Monthly!U$4=TRUE,Monthly!U$13,Monthly!U$14)*(1+'Attrition Modeling'!$N$8)-'IP Attrition'!X$65)/12*'IP Attrition'!X125,0)))</f>
        <v>0</v>
      </c>
      <c r="Z190" s="799">
        <f>IF(EOMONTH(Inputs!$C$8,'IP Attrition'!Z$134-1)&lt;=Inputs!$C$9,0,MIN(IF(ISERROR(VLOOKUP(Z$134+$F190,$D$135:$D$165,1,FALSE)),0,Y58*$C$2),MAX((IF(Monthly!V$4=TRUE,Monthly!V$13,Monthly!V$14)*(1+'Attrition Modeling'!$N$8)-'IP Attrition'!Y$65)/12*'IP Attrition'!Y125,0)))</f>
        <v>0</v>
      </c>
      <c r="AA190" s="799">
        <f>IF(EOMONTH(Inputs!$C$8,'IP Attrition'!AA$134-1)&lt;=Inputs!$C$9,0,MIN(IF(ISERROR(VLOOKUP(AA$134+$F190,$D$135:$D$165,1,FALSE)),0,Z58*$C$2),MAX((IF(Monthly!W$4=TRUE,Monthly!W$13,Monthly!W$14)*(1+'Attrition Modeling'!$N$8)-'IP Attrition'!Z$65)/12*'IP Attrition'!Z125,0)))</f>
        <v>0</v>
      </c>
      <c r="AB190" s="799">
        <f>IF(EOMONTH(Inputs!$C$8,'IP Attrition'!AB$134-1)&lt;=Inputs!$C$9,0,MIN(IF(ISERROR(VLOOKUP(AB$134+$F190,$D$135:$D$165,1,FALSE)),0,AA58*$C$2),MAX((IF(Monthly!X$4=TRUE,Monthly!X$13,Monthly!X$14)*(1+'Attrition Modeling'!$N$8)-'IP Attrition'!AA$65)/12*'IP Attrition'!AA125,0)))</f>
        <v>0</v>
      </c>
      <c r="AC190" s="799">
        <f>IF(EOMONTH(Inputs!$C$8,'IP Attrition'!AC$134-1)&lt;=Inputs!$C$9,0,MIN(IF(ISERROR(VLOOKUP(AC$134+$F190,$D$135:$D$165,1,FALSE)),0,AB58*$C$2),MAX((IF(Monthly!Y$4=TRUE,Monthly!Y$13,Monthly!Y$14)*(1+'Attrition Modeling'!$N$8)-'IP Attrition'!AB$65)/12*'IP Attrition'!AB125,0)))</f>
        <v>0</v>
      </c>
      <c r="AD190" s="799">
        <f>IF(EOMONTH(Inputs!$C$8,'IP Attrition'!AD$134-1)&lt;=Inputs!$C$9,0,MIN(IF(ISERROR(VLOOKUP(AD$134+$F190,$D$135:$D$165,1,FALSE)),0,AC58*$C$2),MAX((IF(Monthly!Z$4=TRUE,Monthly!Z$13,Monthly!Z$14)*(1+'Attrition Modeling'!$N$8)-'IP Attrition'!AC$65)/12*'IP Attrition'!AC125,0)))</f>
        <v>0</v>
      </c>
      <c r="AE190" s="799">
        <f>IF(EOMONTH(Inputs!$C$8,'IP Attrition'!AE$134-1)&lt;=Inputs!$C$9,0,MIN(IF(ISERROR(VLOOKUP(AE$134+$F190,$D$135:$D$165,1,FALSE)),0,AD58*$C$2),MAX((IF(Monthly!AA$4=TRUE,Monthly!AA$13,Monthly!AA$14)*(1+'Attrition Modeling'!$N$8)-'IP Attrition'!AD$65)/12*'IP Attrition'!AD125,0)))</f>
        <v>0</v>
      </c>
      <c r="AF190" s="799">
        <f>IF(EOMONTH(Inputs!$C$8,'IP Attrition'!AF$134-1)&lt;=Inputs!$C$9,0,MIN(IF(ISERROR(VLOOKUP(AF$134+$F190,$D$135:$D$165,1,FALSE)),0,AE58*$C$2),MAX((IF(Monthly!AB$4=TRUE,Monthly!AB$13,Monthly!AB$14)*(1+'Attrition Modeling'!$N$8)-'IP Attrition'!AE$65)/12*'IP Attrition'!AE125,0)))</f>
        <v>0</v>
      </c>
      <c r="AG190" s="799">
        <f>IF(EOMONTH(Inputs!$C$8,'IP Attrition'!AG$134-1)&lt;=Inputs!$C$9,0,MIN(IF(ISERROR(VLOOKUP(AG$134+$F190,$D$135:$D$165,1,FALSE)),0,AF58*$C$2),MAX((IF(Monthly!AC$4=TRUE,Monthly!AC$13,Monthly!AC$14)*(1+'Attrition Modeling'!$N$8)-'IP Attrition'!AF$65)/12*'IP Attrition'!AF125,0)))</f>
        <v>0</v>
      </c>
      <c r="AH190" s="799">
        <f>IF(EOMONTH(Inputs!$C$8,'IP Attrition'!AH$134-1)&lt;=Inputs!$C$9,0,MIN(IF(ISERROR(VLOOKUP(AH$134+$F190,$D$135:$D$165,1,FALSE)),0,AG58*$C$2),MAX((IF(Monthly!AD$4=TRUE,Monthly!AD$13,Monthly!AD$14)*(1+'Attrition Modeling'!$N$8)-'IP Attrition'!AG$65)/12*'IP Attrition'!AG125,0)))</f>
        <v>0</v>
      </c>
      <c r="AI190" s="799">
        <f>IF(EOMONTH(Inputs!$C$8,'IP Attrition'!AI$134-1)&lt;=Inputs!$C$9,0,MIN(IF(ISERROR(VLOOKUP(AI$134+$F190,$D$135:$D$165,1,FALSE)),0,AH58*$C$2),MAX((IF(Monthly!AE$4=TRUE,Monthly!AE$13,Monthly!AE$14)*(1+'Attrition Modeling'!$N$8)-'IP Attrition'!AH$65)/12*'IP Attrition'!AH125,0)))</f>
        <v>0</v>
      </c>
      <c r="AJ190" s="799">
        <f>IF(EOMONTH(Inputs!$C$8,'IP Attrition'!AJ$134-1)&lt;=Inputs!$C$9,0,MIN(IF(ISERROR(VLOOKUP(AJ$134+$F190,$D$135:$D$165,1,FALSE)),0,AI58*$C$2),MAX((IF(Monthly!AF$4=TRUE,Monthly!AF$13,Monthly!AF$14)*(1+'Attrition Modeling'!$N$8)-'IP Attrition'!AI$65)/12*'IP Attrition'!AI125,0)))</f>
        <v>0</v>
      </c>
      <c r="AK190" s="799">
        <f>IF(EOMONTH(Inputs!$C$8,'IP Attrition'!AK$134-1)&lt;=Inputs!$C$9,0,MIN(IF(ISERROR(VLOOKUP(AK$134+$F190,$D$135:$D$165,1,FALSE)),0,AJ58*$C$2),MAX((IF(Monthly!AG$4=TRUE,Monthly!AG$13,Monthly!AG$14)*(1+'Attrition Modeling'!$N$8)-'IP Attrition'!AJ$65)/12*'IP Attrition'!AJ125,0)))</f>
        <v>0</v>
      </c>
      <c r="AL190" s="799">
        <f>IF(EOMONTH(Inputs!$C$8,'IP Attrition'!AL$134-1)&lt;=Inputs!$C$9,0,MIN(IF(ISERROR(VLOOKUP(AL$134+$F190,$D$135:$D$165,1,FALSE)),0,AK58*$C$2),MAX((IF(Monthly!AH$4=TRUE,Monthly!AH$13,Monthly!AH$14)*(1+'Attrition Modeling'!$N$8)-'IP Attrition'!AK$65)/12*'IP Attrition'!AK125,0)))</f>
        <v>0</v>
      </c>
      <c r="AM190" s="799">
        <f>IF(EOMONTH(Inputs!$C$8,'IP Attrition'!AM$134-1)&lt;=Inputs!$C$9,0,MIN(IF(ISERROR(VLOOKUP(AM$134+$F190,$D$135:$D$165,1,FALSE)),0,AL58*$C$2),MAX((IF(Monthly!AI$4=TRUE,Monthly!AI$13,Monthly!AI$14)*(1+'Attrition Modeling'!$N$8)-'IP Attrition'!AL$65)/12*'IP Attrition'!AL125,0)))</f>
        <v>0</v>
      </c>
      <c r="AN190" s="799">
        <f>IF(EOMONTH(Inputs!$C$8,'IP Attrition'!AN$134-1)&lt;=Inputs!$C$9,0,MIN(IF(ISERROR(VLOOKUP(AN$134+$F190,$D$135:$D$165,1,FALSE)),0,AM58*$C$2),MAX((IF(Monthly!AJ$4=TRUE,Monthly!AJ$13,Monthly!AJ$14)*(1+'Attrition Modeling'!$N$8)-'IP Attrition'!AM$65)/12*'IP Attrition'!AM125,0)))</f>
        <v>0</v>
      </c>
      <c r="AO190" s="799">
        <f>IF(EOMONTH(Inputs!$C$8,'IP Attrition'!AO$134-1)&lt;=Inputs!$C$9,0,MIN(IF(ISERROR(VLOOKUP(AO$134+$F190,$D$135:$D$165,1,FALSE)),0,AN58*$C$2),MAX((IF(Monthly!AK$4=TRUE,Monthly!AK$13,Monthly!AK$14)*(1+'Attrition Modeling'!$N$8)-'IP Attrition'!AN$65)/12*'IP Attrition'!AN125,0)))</f>
        <v>0</v>
      </c>
      <c r="AP190" s="799">
        <f>IF(EOMONTH(Inputs!$C$8,'IP Attrition'!AP$134-1)&lt;=Inputs!$C$9,0,MIN(IF(ISERROR(VLOOKUP(AP$134+$F190,$D$135:$D$165,1,FALSE)),0,AO58*$C$2),MAX((IF(Monthly!AL$4=TRUE,Monthly!AL$13,Monthly!AL$14)*(1+'Attrition Modeling'!$N$8)-'IP Attrition'!AO$65)/12*'IP Attrition'!AO125,0)))</f>
        <v>0</v>
      </c>
      <c r="AQ190" s="799">
        <f>IF(EOMONTH(Inputs!$C$8,'IP Attrition'!AQ$134-1)&lt;=Inputs!$C$9,0,MIN(IF(ISERROR(VLOOKUP(AQ$134+$F190,$D$135:$D$165,1,FALSE)),0,AP58*$C$2),MAX((IF(Monthly!AM$4=TRUE,Monthly!AM$13,Monthly!AM$14)*(1+'Attrition Modeling'!$N$8)-'IP Attrition'!AP$65)/12*'IP Attrition'!AP125,0)))</f>
        <v>0</v>
      </c>
      <c r="AR190" s="799">
        <f>IF(EOMONTH(Inputs!$C$8,'IP Attrition'!AR$134-1)&lt;=Inputs!$C$9,0,MIN(IF(ISERROR(VLOOKUP(AR$134+$F190,$D$135:$D$165,1,FALSE)),0,AQ58*$C$2),MAX((IF(Monthly!AN$4=TRUE,Monthly!AN$13,Monthly!AN$14)*(1+'Attrition Modeling'!$N$8)-'IP Attrition'!AQ$65)/12*'IP Attrition'!AQ125,0)))</f>
        <v>0</v>
      </c>
      <c r="AS190" s="799">
        <f>IF(EOMONTH(Inputs!$C$8,'IP Attrition'!AS$134-1)&lt;=Inputs!$C$9,0,MIN(IF(ISERROR(VLOOKUP(AS$134+$F190,$D$135:$D$165,1,FALSE)),0,AR58*$C$2),MAX((IF(Monthly!AO$4=TRUE,Monthly!AO$13,Monthly!AO$14)*(1+'Attrition Modeling'!$N$8)-'IP Attrition'!AR$65)/12*'IP Attrition'!AR125,0)))</f>
        <v>0</v>
      </c>
      <c r="AT190" s="799">
        <f>IF(EOMONTH(Inputs!$C$8,'IP Attrition'!AT$134-1)&lt;=Inputs!$C$9,0,MIN(IF(ISERROR(VLOOKUP(AT$134+$F190,$D$135:$D$165,1,FALSE)),0,AS58*$C$2),MAX((IF(Monthly!AP$4=TRUE,Monthly!AP$13,Monthly!AP$14)*(1+'Attrition Modeling'!$N$8)-'IP Attrition'!AS$65)/12*'IP Attrition'!AS125,0)))</f>
        <v>0</v>
      </c>
      <c r="AU190" s="799">
        <f>IF(EOMONTH(Inputs!$C$8,'IP Attrition'!AU$134-1)&lt;=Inputs!$C$9,0,MIN(IF(ISERROR(VLOOKUP(AU$134+$F190,$D$135:$D$165,1,FALSE)),0,AT58*$C$2),MAX((IF(Monthly!AQ$4=TRUE,Monthly!AQ$13,Monthly!AQ$14)*(1+'Attrition Modeling'!$N$8)-'IP Attrition'!AT$65)/12*'IP Attrition'!AT125,0)))</f>
        <v>0</v>
      </c>
      <c r="AV190" s="799">
        <f>IF(EOMONTH(Inputs!$C$8,'IP Attrition'!AV$134-1)&lt;=Inputs!$C$9,0,MIN(IF(ISERROR(VLOOKUP(AV$134+$F190,$D$135:$D$165,1,FALSE)),0,AU58*$C$2),MAX((IF(Monthly!AR$4=TRUE,Monthly!AR$13,Monthly!AR$14)*(1+'Attrition Modeling'!$N$8)-'IP Attrition'!AU$65)/12*'IP Attrition'!AU125,0)))</f>
        <v>0</v>
      </c>
      <c r="AW190" s="799">
        <f>IF(EOMONTH(Inputs!$C$8,'IP Attrition'!AW$134-1)&lt;=Inputs!$C$9,0,MIN(IF(ISERROR(VLOOKUP(AW$134+$F190,$D$135:$D$165,1,FALSE)),0,AV58*$C$2),MAX((IF(Monthly!AS$4=TRUE,Monthly!AS$13,Monthly!AS$14)*(1+'Attrition Modeling'!$N$8)-'IP Attrition'!AV$65)/12*'IP Attrition'!AV125,0)))</f>
        <v>0</v>
      </c>
      <c r="AX190" s="799">
        <f>IF(EOMONTH(Inputs!$C$8,'IP Attrition'!AX$134-1)&lt;=Inputs!$C$9,0,MIN(IF(ISERROR(VLOOKUP(AX$134+$F190,$D$135:$D$165,1,FALSE)),0,AW58*$C$2),MAX((IF(Monthly!AT$4=TRUE,Monthly!AT$13,Monthly!AT$14)*(1+'Attrition Modeling'!$N$8)-'IP Attrition'!AW$65)/12*'IP Attrition'!AW125,0)))</f>
        <v>0</v>
      </c>
      <c r="AY190" s="799">
        <f>IF(EOMONTH(Inputs!$C$8,'IP Attrition'!AY$134-1)&lt;=Inputs!$C$9,0,MIN(IF(ISERROR(VLOOKUP(AY$134+$F190,$D$135:$D$165,1,FALSE)),0,AX58*$C$2),MAX((IF(Monthly!AU$4=TRUE,Monthly!AU$13,Monthly!AU$14)*(1+'Attrition Modeling'!$N$8)-'IP Attrition'!AX$65)/12*'IP Attrition'!AX125,0)))</f>
        <v>0</v>
      </c>
      <c r="AZ190" s="799">
        <f>IF(EOMONTH(Inputs!$C$8,'IP Attrition'!AZ$134-1)&lt;=Inputs!$C$9,0,MIN(IF(ISERROR(VLOOKUP(AZ$134+$F190,$D$135:$D$165,1,FALSE)),0,AY58*$C$2),MAX((IF(Monthly!AV$4=TRUE,Monthly!AV$13,Monthly!AV$14)*(1+'Attrition Modeling'!$N$8)-'IP Attrition'!AY$65)/12*'IP Attrition'!AY125,0)))</f>
        <v>0</v>
      </c>
      <c r="BA190" s="799">
        <f>IF(EOMONTH(Inputs!$C$8,'IP Attrition'!BA$134-1)&lt;=Inputs!$C$9,0,MIN(IF(ISERROR(VLOOKUP(BA$134+$F190,$D$135:$D$165,1,FALSE)),0,AZ58*$C$2),MAX((IF(Monthly!AW$4=TRUE,Monthly!AW$13,Monthly!AW$14)*(1+'Attrition Modeling'!$N$8)-'IP Attrition'!AZ$65)/12*'IP Attrition'!AZ125,0)))</f>
        <v>0</v>
      </c>
      <c r="BB190" s="799">
        <f>IF(EOMONTH(Inputs!$C$8,'IP Attrition'!BB$134-1)&lt;=Inputs!$C$9,0,MIN(IF(ISERROR(VLOOKUP(BB$134+$F190,$D$135:$D$165,1,FALSE)),0,BA58*$C$2),MAX((IF(Monthly!AX$4=TRUE,Monthly!AX$13,Monthly!AX$14)*(1+'Attrition Modeling'!$N$8)-'IP Attrition'!BA$65)/12*'IP Attrition'!BA125,0)))</f>
        <v>0</v>
      </c>
      <c r="BC190" s="799">
        <f>IF(EOMONTH(Inputs!$C$8,'IP Attrition'!BC$134-1)&lt;=Inputs!$C$9,0,MIN(IF(ISERROR(VLOOKUP(BC$134+$F190,$D$135:$D$165,1,FALSE)),0,BB58*$C$2),MAX((IF(Monthly!AY$4=TRUE,Monthly!AY$13,Monthly!AY$14)*(1+'Attrition Modeling'!$N$8)-'IP Attrition'!BB$65)/12*'IP Attrition'!BB125,0)))</f>
        <v>0</v>
      </c>
      <c r="BD190" s="799">
        <f>IF(EOMONTH(Inputs!$C$8,'IP Attrition'!BD$134-1)&lt;=Inputs!$C$9,0,MIN(IF(ISERROR(VLOOKUP(BD$134+$F190,$D$135:$D$165,1,FALSE)),0,BC58*$C$2),MAX((IF(Monthly!AZ$4=TRUE,Monthly!AZ$13,Monthly!AZ$14)*(1+'Attrition Modeling'!$N$8)-'IP Attrition'!BC$65)/12*'IP Attrition'!BC125,0)))</f>
        <v>0</v>
      </c>
      <c r="BE190" s="799">
        <f>IF(EOMONTH(Inputs!$C$8,'IP Attrition'!BE$134-1)&lt;=Inputs!$C$9,0,MIN(IF(ISERROR(VLOOKUP(BE$134+$F190,$D$135:$D$165,1,FALSE)),0,BD58*$C$2),MAX((IF(Monthly!BA$4=TRUE,Monthly!BA$13,Monthly!BA$14)*(1+'Attrition Modeling'!$N$8)-'IP Attrition'!BD$65)/12*'IP Attrition'!BD125,0)))</f>
        <v>0</v>
      </c>
      <c r="BF190" s="799">
        <f>IF(EOMONTH(Inputs!$C$8,'IP Attrition'!BF$134-1)&lt;=Inputs!$C$9,0,MIN(IF(ISERROR(VLOOKUP(BF$134+$F190,$D$135:$D$165,1,FALSE)),0,BE58*$C$2),MAX((IF(Monthly!BB$4=TRUE,Monthly!BB$13,Monthly!BB$14)*(1+'Attrition Modeling'!$N$8)-'IP Attrition'!BE$65)/12*'IP Attrition'!BE125,0)))</f>
        <v>0</v>
      </c>
      <c r="BG190" s="799">
        <f>IF(EOMONTH(Inputs!$C$8,'IP Attrition'!BG$134-1)&lt;=Inputs!$C$9,0,MIN(IF(ISERROR(VLOOKUP(BG$134+$F190,$D$135:$D$165,1,FALSE)),0,BF58*$C$2),MAX((IF(Monthly!BC$4=TRUE,Monthly!BC$13,Monthly!BC$14)*(1+'Attrition Modeling'!$N$8)-'IP Attrition'!BF$65)/12*'IP Attrition'!BF125,0)))</f>
        <v>0</v>
      </c>
      <c r="BH190" s="799">
        <f>IF(EOMONTH(Inputs!$C$8,'IP Attrition'!BH$134-1)&lt;=Inputs!$C$9,0,MIN(IF(ISERROR(VLOOKUP(BH$134+$F190,$D$135:$D$165,1,FALSE)),0,BG58*$C$2),MAX((IF(Monthly!BD$4=TRUE,Monthly!BD$13,Monthly!BD$14)*(1+'Attrition Modeling'!$N$8)-'IP Attrition'!BG$65)/12*'IP Attrition'!BG125,0)))</f>
        <v>0</v>
      </c>
      <c r="BI190" s="799">
        <f>IF(EOMONTH(Inputs!$C$8,'IP Attrition'!BI$134-1)&lt;=Inputs!$C$9,0,MIN(IF(ISERROR(VLOOKUP(BI$134+$F190,$D$135:$D$165,1,FALSE)),0,BH58*$C$2),MAX((IF(Monthly!BE$4=TRUE,Monthly!BE$13,Monthly!BE$14)*(1+'Attrition Modeling'!$N$8)-'IP Attrition'!BH$65)/12*'IP Attrition'!BH125,0)))</f>
        <v>0</v>
      </c>
      <c r="BJ190" s="799">
        <f>IF(EOMONTH(Inputs!$C$8,'IP Attrition'!BJ$134-1)&lt;=Inputs!$C$9,0,MIN(IF(ISERROR(VLOOKUP(BJ$134+$F190,$D$135:$D$165,1,FALSE)),0,BI58*$C$2),MAX((IF(Monthly!BF$4=TRUE,Monthly!BF$13,Monthly!BF$14)*(1+'Attrition Modeling'!$N$8)-'IP Attrition'!BI$65)/12*'IP Attrition'!BI125,0)))</f>
        <v>0</v>
      </c>
      <c r="BK190" s="799">
        <f>IF(EOMONTH(Inputs!$C$8,'IP Attrition'!BK$134-1)&lt;=Inputs!$C$9,0,MIN(IF(ISERROR(VLOOKUP(BK$134+$F190,$D$135:$D$165,1,FALSE)),0,BJ58*$C$2),MAX((IF(Monthly!BG$4=TRUE,Monthly!BG$13,Monthly!BG$14)*(1+'Attrition Modeling'!$N$8)-'IP Attrition'!BJ$65)/12*'IP Attrition'!BJ125,0)))</f>
        <v>0</v>
      </c>
      <c r="BL190" s="799">
        <f>IF(EOMONTH(Inputs!$C$8,'IP Attrition'!BL$134-1)&lt;=Inputs!$C$9,0,MIN(IF(ISERROR(VLOOKUP(BL$134+$F190,$D$135:$D$165,1,FALSE)),0,BK58*$C$2),MAX((IF(Monthly!BH$4=TRUE,Monthly!BH$13,Monthly!BH$14)*(1+'Attrition Modeling'!$N$8)-'IP Attrition'!BK$65)/12*'IP Attrition'!BK125,0)))</f>
        <v>0</v>
      </c>
      <c r="BM190" s="799">
        <f>IF(EOMONTH(Inputs!$C$8,'IP Attrition'!BM$134-1)&lt;=Inputs!$C$9,0,MIN(IF(ISERROR(VLOOKUP(BM$134+$F190,$D$135:$D$165,1,FALSE)),0,BL58*$C$2),MAX((IF(Monthly!BI$4=TRUE,Monthly!BI$13,Monthly!BI$14)*(1+'Attrition Modeling'!$N$8)-'IP Attrition'!BL$65)/12*'IP Attrition'!BL125,0)))</f>
        <v>0</v>
      </c>
      <c r="BN190" s="799">
        <f>IF(EOMONTH(Inputs!$C$8,'IP Attrition'!BN$134-1)&lt;=Inputs!$C$9,0,MIN(IF(ISERROR(VLOOKUP(BN$134+$F190,$D$135:$D$165,1,FALSE)),0,BM58*$C$2),MAX((IF(Monthly!BJ$4=TRUE,Monthly!BJ$13,Monthly!BJ$14)*(1+'Attrition Modeling'!$N$8)-'IP Attrition'!BM$65)/12*'IP Attrition'!BM125,0)))</f>
        <v>0</v>
      </c>
      <c r="BO190" s="799">
        <f>IF(EOMONTH(Inputs!$C$8,'IP Attrition'!BO$134-1)&lt;=Inputs!$C$9,0,MIN(IF(ISERROR(VLOOKUP(BO$134+$F190,$D$135:$D$165,1,FALSE)),0,BN58*$C$2),MAX((IF(Monthly!BK$4=TRUE,Monthly!BK$13,Monthly!BK$14)*(1+'Attrition Modeling'!$N$8)-'IP Attrition'!BN$65)/12*'IP Attrition'!BN125,0)))</f>
        <v>0</v>
      </c>
      <c r="BP190" s="799">
        <f>IF(EOMONTH(Inputs!$C$8,'IP Attrition'!BP$134-1)&lt;=Inputs!$C$9,0,MIN(IF(ISERROR(VLOOKUP(BP$134+$F190,$D$135:$D$165,1,FALSE)),0,BO58*$C$2),MAX((IF(Monthly!BL$4=TRUE,Monthly!BL$13,Monthly!BL$14)*(1+'Attrition Modeling'!$N$8)-'IP Attrition'!BO$65)/12*'IP Attrition'!BO125,0)))</f>
        <v>0</v>
      </c>
      <c r="BQ190" s="799">
        <f>IF(EOMONTH(Inputs!$C$8,'IP Attrition'!BQ$134-1)&lt;=Inputs!$C$9,0,MIN(IF(ISERROR(VLOOKUP(BQ$134+$F190,$D$135:$D$165,1,FALSE)),0,BP58*$C$2),MAX((IF(Monthly!BM$4=TRUE,Monthly!BM$13,Monthly!BM$14)*(1+'Attrition Modeling'!$N$8)-'IP Attrition'!BP$65)/12*'IP Attrition'!BP125,0)))</f>
        <v>0</v>
      </c>
      <c r="BR190" s="799">
        <f>IF(EOMONTH(Inputs!$C$8,'IP Attrition'!BR$134-1)&lt;=Inputs!$C$9,0,MIN(IF(ISERROR(VLOOKUP(BR$134+$F190,$D$135:$D$165,1,FALSE)),0,BQ58*$C$2),MAX((IF(Monthly!BN$4=TRUE,Monthly!BN$13,Monthly!BN$14)*(1+'Attrition Modeling'!$N$8)-'IP Attrition'!BQ$65)/12*'IP Attrition'!BQ125,0)))</f>
        <v>0</v>
      </c>
      <c r="BS190" s="799">
        <f>IF(EOMONTH(Inputs!$C$8,'IP Attrition'!BS$134-1)&lt;=Inputs!$C$9,0,MIN(IF(ISERROR(VLOOKUP(BS$134+$F190,$D$135:$D$165,1,FALSE)),0,BR58*$C$2),MAX((IF(Monthly!BO$4=TRUE,Monthly!BO$13,Monthly!BO$14)*(1+'Attrition Modeling'!$N$8)-'IP Attrition'!BR$65)/12*'IP Attrition'!BR125,0)))</f>
        <v>0</v>
      </c>
      <c r="BT190" s="799" t="e">
        <f>IF(EOMONTH(Inputs!$C$8,'IP Attrition'!BT$134-1)&lt;=Inputs!$C$9,0,MIN(IF(ISERROR(VLOOKUP(BT$134+$F190,$D$135:$D$165,1,FALSE)),0,BS58*$C$2),MAX((IF(Monthly!#REF!=TRUE,Monthly!#REF!,Monthly!#REF!)*(1+'Attrition Modeling'!$N$8)-'IP Attrition'!BS$65)/12*'IP Attrition'!BS125,0)))</f>
        <v>#REF!</v>
      </c>
      <c r="BU190" s="799" t="e">
        <f>IF(EOMONTH(Inputs!$C$8,'IP Attrition'!BU$134-1)&lt;=Inputs!$C$9,0,MIN(IF(ISERROR(VLOOKUP(BU$134+$F190,$D$135:$D$165,1,FALSE)),0,BT58*$C$2),MAX((IF(Monthly!#REF!=TRUE,Monthly!#REF!,Monthly!#REF!)*(1+'Attrition Modeling'!$N$8)-'IP Attrition'!BT$65)/12*'IP Attrition'!BT125,0)))</f>
        <v>#REF!</v>
      </c>
    </row>
    <row r="191" spans="5:73" ht="14.25" customHeight="1" x14ac:dyDescent="0.2">
      <c r="E191" s="25">
        <f t="shared" si="71"/>
        <v>0</v>
      </c>
      <c r="F191" s="11">
        <f t="shared" si="73"/>
        <v>56</v>
      </c>
      <c r="G191" s="799"/>
      <c r="H191" s="799">
        <f>IF(EOMONTH(Inputs!$C$8,'IP Attrition'!H$134-1)&lt;=Inputs!$C$9,0,MIN(IF(ISERROR(VLOOKUP(H$134+$F191,$D$135:$D$165,1,FALSE)),0,G59*$C$2),MAX((IF(Monthly!D$4=TRUE,Monthly!D$13,Monthly!D$14)*(1+'Attrition Modeling'!$N$8)-'IP Attrition'!G$65)/12*'IP Attrition'!G126,0)))</f>
        <v>0</v>
      </c>
      <c r="I191" s="799">
        <f>IF(EOMONTH(Inputs!$C$8,'IP Attrition'!I$134-1)&lt;=Inputs!$C$9,0,MIN(IF(ISERROR(VLOOKUP(I$134+$F191,$D$135:$D$165,1,FALSE)),0,H59*$C$2),MAX((IF(Monthly!E$4=TRUE,Monthly!E$13,Monthly!E$14)*(1+'Attrition Modeling'!$N$8)-'IP Attrition'!H$65)/12*'IP Attrition'!H126,0)))</f>
        <v>0</v>
      </c>
      <c r="J191" s="799">
        <f>IF(EOMONTH(Inputs!$C$8,'IP Attrition'!J$134-1)&lt;=Inputs!$C$9,0,MIN(IF(ISERROR(VLOOKUP(J$134+$F191,$D$135:$D$165,1,FALSE)),0,I59*$C$2),MAX((IF(Monthly!F$4=TRUE,Monthly!F$13,Monthly!F$14)*(1+'Attrition Modeling'!$N$8)-'IP Attrition'!I$65)/12*'IP Attrition'!I126,0)))</f>
        <v>0</v>
      </c>
      <c r="K191" s="799">
        <f>IF(EOMONTH(Inputs!$C$8,'IP Attrition'!K$134-1)&lt;=Inputs!$C$9,0,MIN(IF(ISERROR(VLOOKUP(K$134+$F191,$D$135:$D$165,1,FALSE)),0,J59*$C$2),MAX((IF(Monthly!G$4=TRUE,Monthly!G$13,Monthly!G$14)*(1+'Attrition Modeling'!$N$8)-'IP Attrition'!J$65)/12*'IP Attrition'!J126,0)))</f>
        <v>0</v>
      </c>
      <c r="L191" s="799">
        <f>IF(EOMONTH(Inputs!$C$8,'IP Attrition'!L$134-1)&lt;=Inputs!$C$9,0,MIN(IF(ISERROR(VLOOKUP(L$134+$F191,$D$135:$D$165,1,FALSE)),0,K59*$C$2),MAX((IF(Monthly!H$4=TRUE,Monthly!H$13,Monthly!H$14)*(1+'Attrition Modeling'!$N$8)-'IP Attrition'!K$65)/12*'IP Attrition'!K126,0)))</f>
        <v>0</v>
      </c>
      <c r="M191" s="799">
        <f>IF(EOMONTH(Inputs!$C$8,'IP Attrition'!M$134-1)&lt;=Inputs!$C$9,0,MIN(IF(ISERROR(VLOOKUP(M$134+$F191,$D$135:$D$165,1,FALSE)),0,L59*$C$2),MAX((IF(Monthly!I$4=TRUE,Monthly!I$13,Monthly!I$14)*(1+'Attrition Modeling'!$N$8)-'IP Attrition'!L$65)/12*'IP Attrition'!L126,0)))</f>
        <v>0</v>
      </c>
      <c r="N191" s="799">
        <f>IF(EOMONTH(Inputs!$C$8,'IP Attrition'!N$134-1)&lt;=Inputs!$C$9,0,MIN(IF(ISERROR(VLOOKUP(N$134+$F191,$D$135:$D$165,1,FALSE)),0,M59*$C$2),MAX((IF(Monthly!J$4=TRUE,Monthly!J$13,Monthly!J$14)*(1+'Attrition Modeling'!$N$8)-'IP Attrition'!M$65)/12*'IP Attrition'!M126,0)))</f>
        <v>0</v>
      </c>
      <c r="O191" s="799">
        <f>IF(EOMONTH(Inputs!$C$8,'IP Attrition'!O$134-1)&lt;=Inputs!$C$9,0,MIN(IF(ISERROR(VLOOKUP(O$134+$F191,$D$135:$D$165,1,FALSE)),0,N59*$C$2),MAX((IF(Monthly!K$4=TRUE,Monthly!K$13,Monthly!K$14)*(1+'Attrition Modeling'!$N$8)-'IP Attrition'!N$65)/12*'IP Attrition'!N126,0)))</f>
        <v>0</v>
      </c>
      <c r="P191" s="799">
        <f>IF(EOMONTH(Inputs!$C$8,'IP Attrition'!P$134-1)&lt;=Inputs!$C$9,0,MIN(IF(ISERROR(VLOOKUP(P$134+$F191,$D$135:$D$165,1,FALSE)),0,O59*$C$2),MAX((IF(Monthly!L$4=TRUE,Monthly!L$13,Monthly!L$14)*(1+'Attrition Modeling'!$N$8)-'IP Attrition'!O$65)/12*'IP Attrition'!O126,0)))</f>
        <v>0</v>
      </c>
      <c r="Q191" s="799">
        <f>IF(EOMONTH(Inputs!$C$8,'IP Attrition'!Q$134-1)&lt;=Inputs!$C$9,0,MIN(IF(ISERROR(VLOOKUP(Q$134+$F191,$D$135:$D$165,1,FALSE)),0,P59*$C$2),MAX((IF(Monthly!M$4=TRUE,Monthly!M$13,Monthly!M$14)*(1+'Attrition Modeling'!$N$8)-'IP Attrition'!P$65)/12*'IP Attrition'!P126,0)))</f>
        <v>0</v>
      </c>
      <c r="R191" s="799">
        <f>IF(EOMONTH(Inputs!$C$8,'IP Attrition'!R$134-1)&lt;=Inputs!$C$9,0,MIN(IF(ISERROR(VLOOKUP(R$134+$F191,$D$135:$D$165,1,FALSE)),0,Q59*$C$2),MAX((IF(Monthly!N$4=TRUE,Monthly!N$13,Monthly!N$14)*(1+'Attrition Modeling'!$N$8)-'IP Attrition'!Q$65)/12*'IP Attrition'!Q126,0)))</f>
        <v>0</v>
      </c>
      <c r="S191" s="799">
        <f>IF(EOMONTH(Inputs!$C$8,'IP Attrition'!S$134-1)&lt;=Inputs!$C$9,0,MIN(IF(ISERROR(VLOOKUP(S$134+$F191,$D$135:$D$165,1,FALSE)),0,R59*$C$2),MAX((IF(Monthly!O$4=TRUE,Monthly!O$13,Monthly!O$14)*(1+'Attrition Modeling'!$N$8)-'IP Attrition'!R$65)/12*'IP Attrition'!R126,0)))</f>
        <v>0</v>
      </c>
      <c r="T191" s="799">
        <f>IF(EOMONTH(Inputs!$C$8,'IP Attrition'!T$134-1)&lt;=Inputs!$C$9,0,MIN(IF(ISERROR(VLOOKUP(T$134+$F191,$D$135:$D$165,1,FALSE)),0,S59*$C$2),MAX((IF(Monthly!P$4=TRUE,Monthly!P$13,Monthly!P$14)*(1+'Attrition Modeling'!$N$8)-'IP Attrition'!S$65)/12*'IP Attrition'!S126,0)))</f>
        <v>0</v>
      </c>
      <c r="U191" s="799">
        <f>IF(EOMONTH(Inputs!$C$8,'IP Attrition'!U$134-1)&lt;=Inputs!$C$9,0,MIN(IF(ISERROR(VLOOKUP(U$134+$F191,$D$135:$D$165,1,FALSE)),0,T59*$C$2),MAX((IF(Monthly!Q$4=TRUE,Monthly!Q$13,Monthly!Q$14)*(1+'Attrition Modeling'!$N$8)-'IP Attrition'!T$65)/12*'IP Attrition'!T126,0)))</f>
        <v>0</v>
      </c>
      <c r="V191" s="799">
        <f>IF(EOMONTH(Inputs!$C$8,'IP Attrition'!V$134-1)&lt;=Inputs!$C$9,0,MIN(IF(ISERROR(VLOOKUP(V$134+$F191,$D$135:$D$165,1,FALSE)),0,U59*$C$2),MAX((IF(Monthly!R$4=TRUE,Monthly!R$13,Monthly!R$14)*(1+'Attrition Modeling'!$N$8)-'IP Attrition'!U$65)/12*'IP Attrition'!U126,0)))</f>
        <v>0</v>
      </c>
      <c r="W191" s="799">
        <f>IF(EOMONTH(Inputs!$C$8,'IP Attrition'!W$134-1)&lt;=Inputs!$C$9,0,MIN(IF(ISERROR(VLOOKUP(W$134+$F191,$D$135:$D$165,1,FALSE)),0,V59*$C$2),MAX((IF(Monthly!S$4=TRUE,Monthly!S$13,Monthly!S$14)*(1+'Attrition Modeling'!$N$8)-'IP Attrition'!V$65)/12*'IP Attrition'!V126,0)))</f>
        <v>0</v>
      </c>
      <c r="X191" s="799">
        <f>IF(EOMONTH(Inputs!$C$8,'IP Attrition'!X$134-1)&lt;=Inputs!$C$9,0,MIN(IF(ISERROR(VLOOKUP(X$134+$F191,$D$135:$D$165,1,FALSE)),0,W59*$C$2),MAX((IF(Monthly!T$4=TRUE,Monthly!T$13,Monthly!T$14)*(1+'Attrition Modeling'!$N$8)-'IP Attrition'!W$65)/12*'IP Attrition'!W126,0)))</f>
        <v>0</v>
      </c>
      <c r="Y191" s="799">
        <f>IF(EOMONTH(Inputs!$C$8,'IP Attrition'!Y$134-1)&lt;=Inputs!$C$9,0,MIN(IF(ISERROR(VLOOKUP(Y$134+$F191,$D$135:$D$165,1,FALSE)),0,X59*$C$2),MAX((IF(Monthly!U$4=TRUE,Monthly!U$13,Monthly!U$14)*(1+'Attrition Modeling'!$N$8)-'IP Attrition'!X$65)/12*'IP Attrition'!X126,0)))</f>
        <v>0</v>
      </c>
      <c r="Z191" s="799">
        <f>IF(EOMONTH(Inputs!$C$8,'IP Attrition'!Z$134-1)&lt;=Inputs!$C$9,0,MIN(IF(ISERROR(VLOOKUP(Z$134+$F191,$D$135:$D$165,1,FALSE)),0,Y59*$C$2),MAX((IF(Monthly!V$4=TRUE,Monthly!V$13,Monthly!V$14)*(1+'Attrition Modeling'!$N$8)-'IP Attrition'!Y$65)/12*'IP Attrition'!Y126,0)))</f>
        <v>0</v>
      </c>
      <c r="AA191" s="799">
        <f>IF(EOMONTH(Inputs!$C$8,'IP Attrition'!AA$134-1)&lt;=Inputs!$C$9,0,MIN(IF(ISERROR(VLOOKUP(AA$134+$F191,$D$135:$D$165,1,FALSE)),0,Z59*$C$2),MAX((IF(Monthly!W$4=TRUE,Monthly!W$13,Monthly!W$14)*(1+'Attrition Modeling'!$N$8)-'IP Attrition'!Z$65)/12*'IP Attrition'!Z126,0)))</f>
        <v>0</v>
      </c>
      <c r="AB191" s="799">
        <f>IF(EOMONTH(Inputs!$C$8,'IP Attrition'!AB$134-1)&lt;=Inputs!$C$9,0,MIN(IF(ISERROR(VLOOKUP(AB$134+$F191,$D$135:$D$165,1,FALSE)),0,AA59*$C$2),MAX((IF(Monthly!X$4=TRUE,Monthly!X$13,Monthly!X$14)*(1+'Attrition Modeling'!$N$8)-'IP Attrition'!AA$65)/12*'IP Attrition'!AA126,0)))</f>
        <v>0</v>
      </c>
      <c r="AC191" s="799">
        <f>IF(EOMONTH(Inputs!$C$8,'IP Attrition'!AC$134-1)&lt;=Inputs!$C$9,0,MIN(IF(ISERROR(VLOOKUP(AC$134+$F191,$D$135:$D$165,1,FALSE)),0,AB59*$C$2),MAX((IF(Monthly!Y$4=TRUE,Monthly!Y$13,Monthly!Y$14)*(1+'Attrition Modeling'!$N$8)-'IP Attrition'!AB$65)/12*'IP Attrition'!AB126,0)))</f>
        <v>0</v>
      </c>
      <c r="AD191" s="799">
        <f>IF(EOMONTH(Inputs!$C$8,'IP Attrition'!AD$134-1)&lt;=Inputs!$C$9,0,MIN(IF(ISERROR(VLOOKUP(AD$134+$F191,$D$135:$D$165,1,FALSE)),0,AC59*$C$2),MAX((IF(Monthly!Z$4=TRUE,Monthly!Z$13,Monthly!Z$14)*(1+'Attrition Modeling'!$N$8)-'IP Attrition'!AC$65)/12*'IP Attrition'!AC126,0)))</f>
        <v>0</v>
      </c>
      <c r="AE191" s="799">
        <f>IF(EOMONTH(Inputs!$C$8,'IP Attrition'!AE$134-1)&lt;=Inputs!$C$9,0,MIN(IF(ISERROR(VLOOKUP(AE$134+$F191,$D$135:$D$165,1,FALSE)),0,AD59*$C$2),MAX((IF(Monthly!AA$4=TRUE,Monthly!AA$13,Monthly!AA$14)*(1+'Attrition Modeling'!$N$8)-'IP Attrition'!AD$65)/12*'IP Attrition'!AD126,0)))</f>
        <v>0</v>
      </c>
      <c r="AF191" s="799">
        <f>IF(EOMONTH(Inputs!$C$8,'IP Attrition'!AF$134-1)&lt;=Inputs!$C$9,0,MIN(IF(ISERROR(VLOOKUP(AF$134+$F191,$D$135:$D$165,1,FALSE)),0,AE59*$C$2),MAX((IF(Monthly!AB$4=TRUE,Monthly!AB$13,Monthly!AB$14)*(1+'Attrition Modeling'!$N$8)-'IP Attrition'!AE$65)/12*'IP Attrition'!AE126,0)))</f>
        <v>0</v>
      </c>
      <c r="AG191" s="799">
        <f>IF(EOMONTH(Inputs!$C$8,'IP Attrition'!AG$134-1)&lt;=Inputs!$C$9,0,MIN(IF(ISERROR(VLOOKUP(AG$134+$F191,$D$135:$D$165,1,FALSE)),0,AF59*$C$2),MAX((IF(Monthly!AC$4=TRUE,Monthly!AC$13,Monthly!AC$14)*(1+'Attrition Modeling'!$N$8)-'IP Attrition'!AF$65)/12*'IP Attrition'!AF126,0)))</f>
        <v>0</v>
      </c>
      <c r="AH191" s="799">
        <f>IF(EOMONTH(Inputs!$C$8,'IP Attrition'!AH$134-1)&lt;=Inputs!$C$9,0,MIN(IF(ISERROR(VLOOKUP(AH$134+$F191,$D$135:$D$165,1,FALSE)),0,AG59*$C$2),MAX((IF(Monthly!AD$4=TRUE,Monthly!AD$13,Monthly!AD$14)*(1+'Attrition Modeling'!$N$8)-'IP Attrition'!AG$65)/12*'IP Attrition'!AG126,0)))</f>
        <v>0</v>
      </c>
      <c r="AI191" s="799">
        <f>IF(EOMONTH(Inputs!$C$8,'IP Attrition'!AI$134-1)&lt;=Inputs!$C$9,0,MIN(IF(ISERROR(VLOOKUP(AI$134+$F191,$D$135:$D$165,1,FALSE)),0,AH59*$C$2),MAX((IF(Monthly!AE$4=TRUE,Monthly!AE$13,Monthly!AE$14)*(1+'Attrition Modeling'!$N$8)-'IP Attrition'!AH$65)/12*'IP Attrition'!AH126,0)))</f>
        <v>0</v>
      </c>
      <c r="AJ191" s="799">
        <f>IF(EOMONTH(Inputs!$C$8,'IP Attrition'!AJ$134-1)&lt;=Inputs!$C$9,0,MIN(IF(ISERROR(VLOOKUP(AJ$134+$F191,$D$135:$D$165,1,FALSE)),0,AI59*$C$2),MAX((IF(Monthly!AF$4=TRUE,Monthly!AF$13,Monthly!AF$14)*(1+'Attrition Modeling'!$N$8)-'IP Attrition'!AI$65)/12*'IP Attrition'!AI126,0)))</f>
        <v>0</v>
      </c>
      <c r="AK191" s="799">
        <f>IF(EOMONTH(Inputs!$C$8,'IP Attrition'!AK$134-1)&lt;=Inputs!$C$9,0,MIN(IF(ISERROR(VLOOKUP(AK$134+$F191,$D$135:$D$165,1,FALSE)),0,AJ59*$C$2),MAX((IF(Monthly!AG$4=TRUE,Monthly!AG$13,Monthly!AG$14)*(1+'Attrition Modeling'!$N$8)-'IP Attrition'!AJ$65)/12*'IP Attrition'!AJ126,0)))</f>
        <v>0</v>
      </c>
      <c r="AL191" s="799">
        <f>IF(EOMONTH(Inputs!$C$8,'IP Attrition'!AL$134-1)&lt;=Inputs!$C$9,0,MIN(IF(ISERROR(VLOOKUP(AL$134+$F191,$D$135:$D$165,1,FALSE)),0,AK59*$C$2),MAX((IF(Monthly!AH$4=TRUE,Monthly!AH$13,Monthly!AH$14)*(1+'Attrition Modeling'!$N$8)-'IP Attrition'!AK$65)/12*'IP Attrition'!AK126,0)))</f>
        <v>0</v>
      </c>
      <c r="AM191" s="799">
        <f>IF(EOMONTH(Inputs!$C$8,'IP Attrition'!AM$134-1)&lt;=Inputs!$C$9,0,MIN(IF(ISERROR(VLOOKUP(AM$134+$F191,$D$135:$D$165,1,FALSE)),0,AL59*$C$2),MAX((IF(Monthly!AI$4=TRUE,Monthly!AI$13,Monthly!AI$14)*(1+'Attrition Modeling'!$N$8)-'IP Attrition'!AL$65)/12*'IP Attrition'!AL126,0)))</f>
        <v>0</v>
      </c>
      <c r="AN191" s="799">
        <f>IF(EOMONTH(Inputs!$C$8,'IP Attrition'!AN$134-1)&lt;=Inputs!$C$9,0,MIN(IF(ISERROR(VLOOKUP(AN$134+$F191,$D$135:$D$165,1,FALSE)),0,AM59*$C$2),MAX((IF(Monthly!AJ$4=TRUE,Monthly!AJ$13,Monthly!AJ$14)*(1+'Attrition Modeling'!$N$8)-'IP Attrition'!AM$65)/12*'IP Attrition'!AM126,0)))</f>
        <v>0</v>
      </c>
      <c r="AO191" s="799">
        <f>IF(EOMONTH(Inputs!$C$8,'IP Attrition'!AO$134-1)&lt;=Inputs!$C$9,0,MIN(IF(ISERROR(VLOOKUP(AO$134+$F191,$D$135:$D$165,1,FALSE)),0,AN59*$C$2),MAX((IF(Monthly!AK$4=TRUE,Monthly!AK$13,Monthly!AK$14)*(1+'Attrition Modeling'!$N$8)-'IP Attrition'!AN$65)/12*'IP Attrition'!AN126,0)))</f>
        <v>0</v>
      </c>
      <c r="AP191" s="799">
        <f>IF(EOMONTH(Inputs!$C$8,'IP Attrition'!AP$134-1)&lt;=Inputs!$C$9,0,MIN(IF(ISERROR(VLOOKUP(AP$134+$F191,$D$135:$D$165,1,FALSE)),0,AO59*$C$2),MAX((IF(Monthly!AL$4=TRUE,Monthly!AL$13,Monthly!AL$14)*(1+'Attrition Modeling'!$N$8)-'IP Attrition'!AO$65)/12*'IP Attrition'!AO126,0)))</f>
        <v>0</v>
      </c>
      <c r="AQ191" s="799">
        <f>IF(EOMONTH(Inputs!$C$8,'IP Attrition'!AQ$134-1)&lt;=Inputs!$C$9,0,MIN(IF(ISERROR(VLOOKUP(AQ$134+$F191,$D$135:$D$165,1,FALSE)),0,AP59*$C$2),MAX((IF(Monthly!AM$4=TRUE,Monthly!AM$13,Monthly!AM$14)*(1+'Attrition Modeling'!$N$8)-'IP Attrition'!AP$65)/12*'IP Attrition'!AP126,0)))</f>
        <v>0</v>
      </c>
      <c r="AR191" s="799">
        <f>IF(EOMONTH(Inputs!$C$8,'IP Attrition'!AR$134-1)&lt;=Inputs!$C$9,0,MIN(IF(ISERROR(VLOOKUP(AR$134+$F191,$D$135:$D$165,1,FALSE)),0,AQ59*$C$2),MAX((IF(Monthly!AN$4=TRUE,Monthly!AN$13,Monthly!AN$14)*(1+'Attrition Modeling'!$N$8)-'IP Attrition'!AQ$65)/12*'IP Attrition'!AQ126,0)))</f>
        <v>0</v>
      </c>
      <c r="AS191" s="799">
        <f>IF(EOMONTH(Inputs!$C$8,'IP Attrition'!AS$134-1)&lt;=Inputs!$C$9,0,MIN(IF(ISERROR(VLOOKUP(AS$134+$F191,$D$135:$D$165,1,FALSE)),0,AR59*$C$2),MAX((IF(Monthly!AO$4=TRUE,Monthly!AO$13,Monthly!AO$14)*(1+'Attrition Modeling'!$N$8)-'IP Attrition'!AR$65)/12*'IP Attrition'!AR126,0)))</f>
        <v>0</v>
      </c>
      <c r="AT191" s="799">
        <f>IF(EOMONTH(Inputs!$C$8,'IP Attrition'!AT$134-1)&lt;=Inputs!$C$9,0,MIN(IF(ISERROR(VLOOKUP(AT$134+$F191,$D$135:$D$165,1,FALSE)),0,AS59*$C$2),MAX((IF(Monthly!AP$4=TRUE,Monthly!AP$13,Monthly!AP$14)*(1+'Attrition Modeling'!$N$8)-'IP Attrition'!AS$65)/12*'IP Attrition'!AS126,0)))</f>
        <v>0</v>
      </c>
      <c r="AU191" s="799">
        <f>IF(EOMONTH(Inputs!$C$8,'IP Attrition'!AU$134-1)&lt;=Inputs!$C$9,0,MIN(IF(ISERROR(VLOOKUP(AU$134+$F191,$D$135:$D$165,1,FALSE)),0,AT59*$C$2),MAX((IF(Monthly!AQ$4=TRUE,Monthly!AQ$13,Monthly!AQ$14)*(1+'Attrition Modeling'!$N$8)-'IP Attrition'!AT$65)/12*'IP Attrition'!AT126,0)))</f>
        <v>0</v>
      </c>
      <c r="AV191" s="799">
        <f>IF(EOMONTH(Inputs!$C$8,'IP Attrition'!AV$134-1)&lt;=Inputs!$C$9,0,MIN(IF(ISERROR(VLOOKUP(AV$134+$F191,$D$135:$D$165,1,FALSE)),0,AU59*$C$2),MAX((IF(Monthly!AR$4=TRUE,Monthly!AR$13,Monthly!AR$14)*(1+'Attrition Modeling'!$N$8)-'IP Attrition'!AU$65)/12*'IP Attrition'!AU126,0)))</f>
        <v>0</v>
      </c>
      <c r="AW191" s="799">
        <f>IF(EOMONTH(Inputs!$C$8,'IP Attrition'!AW$134-1)&lt;=Inputs!$C$9,0,MIN(IF(ISERROR(VLOOKUP(AW$134+$F191,$D$135:$D$165,1,FALSE)),0,AV59*$C$2),MAX((IF(Monthly!AS$4=TRUE,Monthly!AS$13,Monthly!AS$14)*(1+'Attrition Modeling'!$N$8)-'IP Attrition'!AV$65)/12*'IP Attrition'!AV126,0)))</f>
        <v>0</v>
      </c>
      <c r="AX191" s="799">
        <f>IF(EOMONTH(Inputs!$C$8,'IP Attrition'!AX$134-1)&lt;=Inputs!$C$9,0,MIN(IF(ISERROR(VLOOKUP(AX$134+$F191,$D$135:$D$165,1,FALSE)),0,AW59*$C$2),MAX((IF(Monthly!AT$4=TRUE,Monthly!AT$13,Monthly!AT$14)*(1+'Attrition Modeling'!$N$8)-'IP Attrition'!AW$65)/12*'IP Attrition'!AW126,0)))</f>
        <v>0</v>
      </c>
      <c r="AY191" s="799">
        <f>IF(EOMONTH(Inputs!$C$8,'IP Attrition'!AY$134-1)&lt;=Inputs!$C$9,0,MIN(IF(ISERROR(VLOOKUP(AY$134+$F191,$D$135:$D$165,1,FALSE)),0,AX59*$C$2),MAX((IF(Monthly!AU$4=TRUE,Monthly!AU$13,Monthly!AU$14)*(1+'Attrition Modeling'!$N$8)-'IP Attrition'!AX$65)/12*'IP Attrition'!AX126,0)))</f>
        <v>0</v>
      </c>
      <c r="AZ191" s="799">
        <f>IF(EOMONTH(Inputs!$C$8,'IP Attrition'!AZ$134-1)&lt;=Inputs!$C$9,0,MIN(IF(ISERROR(VLOOKUP(AZ$134+$F191,$D$135:$D$165,1,FALSE)),0,AY59*$C$2),MAX((IF(Monthly!AV$4=TRUE,Monthly!AV$13,Monthly!AV$14)*(1+'Attrition Modeling'!$N$8)-'IP Attrition'!AY$65)/12*'IP Attrition'!AY126,0)))</f>
        <v>0</v>
      </c>
      <c r="BA191" s="799">
        <f>IF(EOMONTH(Inputs!$C$8,'IP Attrition'!BA$134-1)&lt;=Inputs!$C$9,0,MIN(IF(ISERROR(VLOOKUP(BA$134+$F191,$D$135:$D$165,1,FALSE)),0,AZ59*$C$2),MAX((IF(Monthly!AW$4=TRUE,Monthly!AW$13,Monthly!AW$14)*(1+'Attrition Modeling'!$N$8)-'IP Attrition'!AZ$65)/12*'IP Attrition'!AZ126,0)))</f>
        <v>0</v>
      </c>
      <c r="BB191" s="799">
        <f>IF(EOMONTH(Inputs!$C$8,'IP Attrition'!BB$134-1)&lt;=Inputs!$C$9,0,MIN(IF(ISERROR(VLOOKUP(BB$134+$F191,$D$135:$D$165,1,FALSE)),0,BA59*$C$2),MAX((IF(Monthly!AX$4=TRUE,Monthly!AX$13,Monthly!AX$14)*(1+'Attrition Modeling'!$N$8)-'IP Attrition'!BA$65)/12*'IP Attrition'!BA126,0)))</f>
        <v>0</v>
      </c>
      <c r="BC191" s="799">
        <f>IF(EOMONTH(Inputs!$C$8,'IP Attrition'!BC$134-1)&lt;=Inputs!$C$9,0,MIN(IF(ISERROR(VLOOKUP(BC$134+$F191,$D$135:$D$165,1,FALSE)),0,BB59*$C$2),MAX((IF(Monthly!AY$4=TRUE,Monthly!AY$13,Monthly!AY$14)*(1+'Attrition Modeling'!$N$8)-'IP Attrition'!BB$65)/12*'IP Attrition'!BB126,0)))</f>
        <v>0</v>
      </c>
      <c r="BD191" s="799">
        <f>IF(EOMONTH(Inputs!$C$8,'IP Attrition'!BD$134-1)&lt;=Inputs!$C$9,0,MIN(IF(ISERROR(VLOOKUP(BD$134+$F191,$D$135:$D$165,1,FALSE)),0,BC59*$C$2),MAX((IF(Monthly!AZ$4=TRUE,Monthly!AZ$13,Monthly!AZ$14)*(1+'Attrition Modeling'!$N$8)-'IP Attrition'!BC$65)/12*'IP Attrition'!BC126,0)))</f>
        <v>0</v>
      </c>
      <c r="BE191" s="799">
        <f>IF(EOMONTH(Inputs!$C$8,'IP Attrition'!BE$134-1)&lt;=Inputs!$C$9,0,MIN(IF(ISERROR(VLOOKUP(BE$134+$F191,$D$135:$D$165,1,FALSE)),0,BD59*$C$2),MAX((IF(Monthly!BA$4=TRUE,Monthly!BA$13,Monthly!BA$14)*(1+'Attrition Modeling'!$N$8)-'IP Attrition'!BD$65)/12*'IP Attrition'!BD126,0)))</f>
        <v>0</v>
      </c>
      <c r="BF191" s="799">
        <f>IF(EOMONTH(Inputs!$C$8,'IP Attrition'!BF$134-1)&lt;=Inputs!$C$9,0,MIN(IF(ISERROR(VLOOKUP(BF$134+$F191,$D$135:$D$165,1,FALSE)),0,BE59*$C$2),MAX((IF(Monthly!BB$4=TRUE,Monthly!BB$13,Monthly!BB$14)*(1+'Attrition Modeling'!$N$8)-'IP Attrition'!BE$65)/12*'IP Attrition'!BE126,0)))</f>
        <v>0</v>
      </c>
      <c r="BG191" s="799">
        <f>IF(EOMONTH(Inputs!$C$8,'IP Attrition'!BG$134-1)&lt;=Inputs!$C$9,0,MIN(IF(ISERROR(VLOOKUP(BG$134+$F191,$D$135:$D$165,1,FALSE)),0,BF59*$C$2),MAX((IF(Monthly!BC$4=TRUE,Monthly!BC$13,Monthly!BC$14)*(1+'Attrition Modeling'!$N$8)-'IP Attrition'!BF$65)/12*'IP Attrition'!BF126,0)))</f>
        <v>0</v>
      </c>
      <c r="BH191" s="799">
        <f>IF(EOMONTH(Inputs!$C$8,'IP Attrition'!BH$134-1)&lt;=Inputs!$C$9,0,MIN(IF(ISERROR(VLOOKUP(BH$134+$F191,$D$135:$D$165,1,FALSE)),0,BG59*$C$2),MAX((IF(Monthly!BD$4=TRUE,Monthly!BD$13,Monthly!BD$14)*(1+'Attrition Modeling'!$N$8)-'IP Attrition'!BG$65)/12*'IP Attrition'!BG126,0)))</f>
        <v>0</v>
      </c>
      <c r="BI191" s="799">
        <f>IF(EOMONTH(Inputs!$C$8,'IP Attrition'!BI$134-1)&lt;=Inputs!$C$9,0,MIN(IF(ISERROR(VLOOKUP(BI$134+$F191,$D$135:$D$165,1,FALSE)),0,BH59*$C$2),MAX((IF(Monthly!BE$4=TRUE,Monthly!BE$13,Monthly!BE$14)*(1+'Attrition Modeling'!$N$8)-'IP Attrition'!BH$65)/12*'IP Attrition'!BH126,0)))</f>
        <v>0</v>
      </c>
      <c r="BJ191" s="799">
        <f>IF(EOMONTH(Inputs!$C$8,'IP Attrition'!BJ$134-1)&lt;=Inputs!$C$9,0,MIN(IF(ISERROR(VLOOKUP(BJ$134+$F191,$D$135:$D$165,1,FALSE)),0,BI59*$C$2),MAX((IF(Monthly!BF$4=TRUE,Monthly!BF$13,Monthly!BF$14)*(1+'Attrition Modeling'!$N$8)-'IP Attrition'!BI$65)/12*'IP Attrition'!BI126,0)))</f>
        <v>0</v>
      </c>
      <c r="BK191" s="799">
        <f>IF(EOMONTH(Inputs!$C$8,'IP Attrition'!BK$134-1)&lt;=Inputs!$C$9,0,MIN(IF(ISERROR(VLOOKUP(BK$134+$F191,$D$135:$D$165,1,FALSE)),0,BJ59*$C$2),MAX((IF(Monthly!BG$4=TRUE,Monthly!BG$13,Monthly!BG$14)*(1+'Attrition Modeling'!$N$8)-'IP Attrition'!BJ$65)/12*'IP Attrition'!BJ126,0)))</f>
        <v>0</v>
      </c>
      <c r="BL191" s="799">
        <f>IF(EOMONTH(Inputs!$C$8,'IP Attrition'!BL$134-1)&lt;=Inputs!$C$9,0,MIN(IF(ISERROR(VLOOKUP(BL$134+$F191,$D$135:$D$165,1,FALSE)),0,BK59*$C$2),MAX((IF(Monthly!BH$4=TRUE,Monthly!BH$13,Monthly!BH$14)*(1+'Attrition Modeling'!$N$8)-'IP Attrition'!BK$65)/12*'IP Attrition'!BK126,0)))</f>
        <v>0</v>
      </c>
      <c r="BM191" s="799">
        <f>IF(EOMONTH(Inputs!$C$8,'IP Attrition'!BM$134-1)&lt;=Inputs!$C$9,0,MIN(IF(ISERROR(VLOOKUP(BM$134+$F191,$D$135:$D$165,1,FALSE)),0,BL59*$C$2),MAX((IF(Monthly!BI$4=TRUE,Monthly!BI$13,Monthly!BI$14)*(1+'Attrition Modeling'!$N$8)-'IP Attrition'!BL$65)/12*'IP Attrition'!BL126,0)))</f>
        <v>0</v>
      </c>
      <c r="BN191" s="799">
        <f>IF(EOMONTH(Inputs!$C$8,'IP Attrition'!BN$134-1)&lt;=Inputs!$C$9,0,MIN(IF(ISERROR(VLOOKUP(BN$134+$F191,$D$135:$D$165,1,FALSE)),0,BM59*$C$2),MAX((IF(Monthly!BJ$4=TRUE,Monthly!BJ$13,Monthly!BJ$14)*(1+'Attrition Modeling'!$N$8)-'IP Attrition'!BM$65)/12*'IP Attrition'!BM126,0)))</f>
        <v>0</v>
      </c>
      <c r="BO191" s="799">
        <f>IF(EOMONTH(Inputs!$C$8,'IP Attrition'!BO$134-1)&lt;=Inputs!$C$9,0,MIN(IF(ISERROR(VLOOKUP(BO$134+$F191,$D$135:$D$165,1,FALSE)),0,BN59*$C$2),MAX((IF(Monthly!BK$4=TRUE,Monthly!BK$13,Monthly!BK$14)*(1+'Attrition Modeling'!$N$8)-'IP Attrition'!BN$65)/12*'IP Attrition'!BN126,0)))</f>
        <v>0</v>
      </c>
      <c r="BP191" s="799">
        <f>IF(EOMONTH(Inputs!$C$8,'IP Attrition'!BP$134-1)&lt;=Inputs!$C$9,0,MIN(IF(ISERROR(VLOOKUP(BP$134+$F191,$D$135:$D$165,1,FALSE)),0,BO59*$C$2),MAX((IF(Monthly!BL$4=TRUE,Monthly!BL$13,Monthly!BL$14)*(1+'Attrition Modeling'!$N$8)-'IP Attrition'!BO$65)/12*'IP Attrition'!BO126,0)))</f>
        <v>0</v>
      </c>
      <c r="BQ191" s="799">
        <f>IF(EOMONTH(Inputs!$C$8,'IP Attrition'!BQ$134-1)&lt;=Inputs!$C$9,0,MIN(IF(ISERROR(VLOOKUP(BQ$134+$F191,$D$135:$D$165,1,FALSE)),0,BP59*$C$2),MAX((IF(Monthly!BM$4=TRUE,Monthly!BM$13,Monthly!BM$14)*(1+'Attrition Modeling'!$N$8)-'IP Attrition'!BP$65)/12*'IP Attrition'!BP126,0)))</f>
        <v>0</v>
      </c>
      <c r="BR191" s="799">
        <f>IF(EOMONTH(Inputs!$C$8,'IP Attrition'!BR$134-1)&lt;=Inputs!$C$9,0,MIN(IF(ISERROR(VLOOKUP(BR$134+$F191,$D$135:$D$165,1,FALSE)),0,BQ59*$C$2),MAX((IF(Monthly!BN$4=TRUE,Monthly!BN$13,Monthly!BN$14)*(1+'Attrition Modeling'!$N$8)-'IP Attrition'!BQ$65)/12*'IP Attrition'!BQ126,0)))</f>
        <v>0</v>
      </c>
      <c r="BS191" s="799">
        <f>IF(EOMONTH(Inputs!$C$8,'IP Attrition'!BS$134-1)&lt;=Inputs!$C$9,0,MIN(IF(ISERROR(VLOOKUP(BS$134+$F191,$D$135:$D$165,1,FALSE)),0,BR59*$C$2),MAX((IF(Monthly!BO$4=TRUE,Monthly!BO$13,Monthly!BO$14)*(1+'Attrition Modeling'!$N$8)-'IP Attrition'!BR$65)/12*'IP Attrition'!BR126,0)))</f>
        <v>0</v>
      </c>
      <c r="BT191" s="799" t="e">
        <f>IF(EOMONTH(Inputs!$C$8,'IP Attrition'!BT$134-1)&lt;=Inputs!$C$9,0,MIN(IF(ISERROR(VLOOKUP(BT$134+$F191,$D$135:$D$165,1,FALSE)),0,BS59*$C$2),MAX((IF(Monthly!#REF!=TRUE,Monthly!#REF!,Monthly!#REF!)*(1+'Attrition Modeling'!$N$8)-'IP Attrition'!BS$65)/12*'IP Attrition'!BS126,0)))</f>
        <v>#REF!</v>
      </c>
      <c r="BU191" s="799" t="e">
        <f>IF(EOMONTH(Inputs!$C$8,'IP Attrition'!BU$134-1)&lt;=Inputs!$C$9,0,MIN(IF(ISERROR(VLOOKUP(BU$134+$F191,$D$135:$D$165,1,FALSE)),0,BT59*$C$2),MAX((IF(Monthly!#REF!=TRUE,Monthly!#REF!,Monthly!#REF!)*(1+'Attrition Modeling'!$N$8)-'IP Attrition'!BT$65)/12*'IP Attrition'!BT126,0)))</f>
        <v>#REF!</v>
      </c>
    </row>
    <row r="192" spans="5:73" ht="14.25" customHeight="1" x14ac:dyDescent="0.2">
      <c r="E192" s="25">
        <f t="shared" si="71"/>
        <v>0</v>
      </c>
      <c r="F192" s="11">
        <f t="shared" si="73"/>
        <v>57</v>
      </c>
      <c r="G192" s="799"/>
      <c r="H192" s="799">
        <f>IF(EOMONTH(Inputs!$C$8,'IP Attrition'!H$134-1)&lt;=Inputs!$C$9,0,MIN(IF(ISERROR(VLOOKUP(H$134+$F192,$D$135:$D$165,1,FALSE)),0,G60*$C$2),MAX((IF(Monthly!D$4=TRUE,Monthly!D$13,Monthly!D$14)*(1+'Attrition Modeling'!$N$8)-'IP Attrition'!G$65)/12*'IP Attrition'!G127,0)))</f>
        <v>0</v>
      </c>
      <c r="I192" s="799">
        <f>IF(EOMONTH(Inputs!$C$8,'IP Attrition'!I$134-1)&lt;=Inputs!$C$9,0,MIN(IF(ISERROR(VLOOKUP(I$134+$F192,$D$135:$D$165,1,FALSE)),0,H60*$C$2),MAX((IF(Monthly!E$4=TRUE,Monthly!E$13,Monthly!E$14)*(1+'Attrition Modeling'!$N$8)-'IP Attrition'!H$65)/12*'IP Attrition'!H127,0)))</f>
        <v>0</v>
      </c>
      <c r="J192" s="799">
        <f>IF(EOMONTH(Inputs!$C$8,'IP Attrition'!J$134-1)&lt;=Inputs!$C$9,0,MIN(IF(ISERROR(VLOOKUP(J$134+$F192,$D$135:$D$165,1,FALSE)),0,I60*$C$2),MAX((IF(Monthly!F$4=TRUE,Monthly!F$13,Monthly!F$14)*(1+'Attrition Modeling'!$N$8)-'IP Attrition'!I$65)/12*'IP Attrition'!I127,0)))</f>
        <v>0</v>
      </c>
      <c r="K192" s="799">
        <f>IF(EOMONTH(Inputs!$C$8,'IP Attrition'!K$134-1)&lt;=Inputs!$C$9,0,MIN(IF(ISERROR(VLOOKUP(K$134+$F192,$D$135:$D$165,1,FALSE)),0,J60*$C$2),MAX((IF(Monthly!G$4=TRUE,Monthly!G$13,Monthly!G$14)*(1+'Attrition Modeling'!$N$8)-'IP Attrition'!J$65)/12*'IP Attrition'!J127,0)))</f>
        <v>0</v>
      </c>
      <c r="L192" s="799">
        <f>IF(EOMONTH(Inputs!$C$8,'IP Attrition'!L$134-1)&lt;=Inputs!$C$9,0,MIN(IF(ISERROR(VLOOKUP(L$134+$F192,$D$135:$D$165,1,FALSE)),0,K60*$C$2),MAX((IF(Monthly!H$4=TRUE,Monthly!H$13,Monthly!H$14)*(1+'Attrition Modeling'!$N$8)-'IP Attrition'!K$65)/12*'IP Attrition'!K127,0)))</f>
        <v>0</v>
      </c>
      <c r="M192" s="799">
        <f>IF(EOMONTH(Inputs!$C$8,'IP Attrition'!M$134-1)&lt;=Inputs!$C$9,0,MIN(IF(ISERROR(VLOOKUP(M$134+$F192,$D$135:$D$165,1,FALSE)),0,L60*$C$2),MAX((IF(Monthly!I$4=TRUE,Monthly!I$13,Monthly!I$14)*(1+'Attrition Modeling'!$N$8)-'IP Attrition'!L$65)/12*'IP Attrition'!L127,0)))</f>
        <v>0</v>
      </c>
      <c r="N192" s="799">
        <f>IF(EOMONTH(Inputs!$C$8,'IP Attrition'!N$134-1)&lt;=Inputs!$C$9,0,MIN(IF(ISERROR(VLOOKUP(N$134+$F192,$D$135:$D$165,1,FALSE)),0,M60*$C$2),MAX((IF(Monthly!J$4=TRUE,Monthly!J$13,Monthly!J$14)*(1+'Attrition Modeling'!$N$8)-'IP Attrition'!M$65)/12*'IP Attrition'!M127,0)))</f>
        <v>0</v>
      </c>
      <c r="O192" s="799">
        <f>IF(EOMONTH(Inputs!$C$8,'IP Attrition'!O$134-1)&lt;=Inputs!$C$9,0,MIN(IF(ISERROR(VLOOKUP(O$134+$F192,$D$135:$D$165,1,FALSE)),0,N60*$C$2),MAX((IF(Monthly!K$4=TRUE,Monthly!K$13,Monthly!K$14)*(1+'Attrition Modeling'!$N$8)-'IP Attrition'!N$65)/12*'IP Attrition'!N127,0)))</f>
        <v>0</v>
      </c>
      <c r="P192" s="799">
        <f>IF(EOMONTH(Inputs!$C$8,'IP Attrition'!P$134-1)&lt;=Inputs!$C$9,0,MIN(IF(ISERROR(VLOOKUP(P$134+$F192,$D$135:$D$165,1,FALSE)),0,O60*$C$2),MAX((IF(Monthly!L$4=TRUE,Monthly!L$13,Monthly!L$14)*(1+'Attrition Modeling'!$N$8)-'IP Attrition'!O$65)/12*'IP Attrition'!O127,0)))</f>
        <v>0</v>
      </c>
      <c r="Q192" s="799">
        <f>IF(EOMONTH(Inputs!$C$8,'IP Attrition'!Q$134-1)&lt;=Inputs!$C$9,0,MIN(IF(ISERROR(VLOOKUP(Q$134+$F192,$D$135:$D$165,1,FALSE)),0,P60*$C$2),MAX((IF(Monthly!M$4=TRUE,Monthly!M$13,Monthly!M$14)*(1+'Attrition Modeling'!$N$8)-'IP Attrition'!P$65)/12*'IP Attrition'!P127,0)))</f>
        <v>0</v>
      </c>
      <c r="R192" s="799">
        <f>IF(EOMONTH(Inputs!$C$8,'IP Attrition'!R$134-1)&lt;=Inputs!$C$9,0,MIN(IF(ISERROR(VLOOKUP(R$134+$F192,$D$135:$D$165,1,FALSE)),0,Q60*$C$2),MAX((IF(Monthly!N$4=TRUE,Monthly!N$13,Monthly!N$14)*(1+'Attrition Modeling'!$N$8)-'IP Attrition'!Q$65)/12*'IP Attrition'!Q127,0)))</f>
        <v>0</v>
      </c>
      <c r="S192" s="799">
        <f>IF(EOMONTH(Inputs!$C$8,'IP Attrition'!S$134-1)&lt;=Inputs!$C$9,0,MIN(IF(ISERROR(VLOOKUP(S$134+$F192,$D$135:$D$165,1,FALSE)),0,R60*$C$2),MAX((IF(Monthly!O$4=TRUE,Monthly!O$13,Monthly!O$14)*(1+'Attrition Modeling'!$N$8)-'IP Attrition'!R$65)/12*'IP Attrition'!R127,0)))</f>
        <v>0</v>
      </c>
      <c r="T192" s="799">
        <f>IF(EOMONTH(Inputs!$C$8,'IP Attrition'!T$134-1)&lt;=Inputs!$C$9,0,MIN(IF(ISERROR(VLOOKUP(T$134+$F192,$D$135:$D$165,1,FALSE)),0,S60*$C$2),MAX((IF(Monthly!P$4=TRUE,Monthly!P$13,Monthly!P$14)*(1+'Attrition Modeling'!$N$8)-'IP Attrition'!S$65)/12*'IP Attrition'!S127,0)))</f>
        <v>0</v>
      </c>
      <c r="U192" s="799">
        <f>IF(EOMONTH(Inputs!$C$8,'IP Attrition'!U$134-1)&lt;=Inputs!$C$9,0,MIN(IF(ISERROR(VLOOKUP(U$134+$F192,$D$135:$D$165,1,FALSE)),0,T60*$C$2),MAX((IF(Monthly!Q$4=TRUE,Monthly!Q$13,Monthly!Q$14)*(1+'Attrition Modeling'!$N$8)-'IP Attrition'!T$65)/12*'IP Attrition'!T127,0)))</f>
        <v>0</v>
      </c>
      <c r="V192" s="799">
        <f>IF(EOMONTH(Inputs!$C$8,'IP Attrition'!V$134-1)&lt;=Inputs!$C$9,0,MIN(IF(ISERROR(VLOOKUP(V$134+$F192,$D$135:$D$165,1,FALSE)),0,U60*$C$2),MAX((IF(Monthly!R$4=TRUE,Monthly!R$13,Monthly!R$14)*(1+'Attrition Modeling'!$N$8)-'IP Attrition'!U$65)/12*'IP Attrition'!U127,0)))</f>
        <v>0</v>
      </c>
      <c r="W192" s="799">
        <f>IF(EOMONTH(Inputs!$C$8,'IP Attrition'!W$134-1)&lt;=Inputs!$C$9,0,MIN(IF(ISERROR(VLOOKUP(W$134+$F192,$D$135:$D$165,1,FALSE)),0,V60*$C$2),MAX((IF(Monthly!S$4=TRUE,Monthly!S$13,Monthly!S$14)*(1+'Attrition Modeling'!$N$8)-'IP Attrition'!V$65)/12*'IP Attrition'!V127,0)))</f>
        <v>0</v>
      </c>
      <c r="X192" s="799">
        <f>IF(EOMONTH(Inputs!$C$8,'IP Attrition'!X$134-1)&lt;=Inputs!$C$9,0,MIN(IF(ISERROR(VLOOKUP(X$134+$F192,$D$135:$D$165,1,FALSE)),0,W60*$C$2),MAX((IF(Monthly!T$4=TRUE,Monthly!T$13,Monthly!T$14)*(1+'Attrition Modeling'!$N$8)-'IP Attrition'!W$65)/12*'IP Attrition'!W127,0)))</f>
        <v>0</v>
      </c>
      <c r="Y192" s="799">
        <f>IF(EOMONTH(Inputs!$C$8,'IP Attrition'!Y$134-1)&lt;=Inputs!$C$9,0,MIN(IF(ISERROR(VLOOKUP(Y$134+$F192,$D$135:$D$165,1,FALSE)),0,X60*$C$2),MAX((IF(Monthly!U$4=TRUE,Monthly!U$13,Monthly!U$14)*(1+'Attrition Modeling'!$N$8)-'IP Attrition'!X$65)/12*'IP Attrition'!X127,0)))</f>
        <v>0</v>
      </c>
      <c r="Z192" s="799">
        <f>IF(EOMONTH(Inputs!$C$8,'IP Attrition'!Z$134-1)&lt;=Inputs!$C$9,0,MIN(IF(ISERROR(VLOOKUP(Z$134+$F192,$D$135:$D$165,1,FALSE)),0,Y60*$C$2),MAX((IF(Monthly!V$4=TRUE,Monthly!V$13,Monthly!V$14)*(1+'Attrition Modeling'!$N$8)-'IP Attrition'!Y$65)/12*'IP Attrition'!Y127,0)))</f>
        <v>0</v>
      </c>
      <c r="AA192" s="799">
        <f>IF(EOMONTH(Inputs!$C$8,'IP Attrition'!AA$134-1)&lt;=Inputs!$C$9,0,MIN(IF(ISERROR(VLOOKUP(AA$134+$F192,$D$135:$D$165,1,FALSE)),0,Z60*$C$2),MAX((IF(Monthly!W$4=TRUE,Monthly!W$13,Monthly!W$14)*(1+'Attrition Modeling'!$N$8)-'IP Attrition'!Z$65)/12*'IP Attrition'!Z127,0)))</f>
        <v>0</v>
      </c>
      <c r="AB192" s="799">
        <f>IF(EOMONTH(Inputs!$C$8,'IP Attrition'!AB$134-1)&lt;=Inputs!$C$9,0,MIN(IF(ISERROR(VLOOKUP(AB$134+$F192,$D$135:$D$165,1,FALSE)),0,AA60*$C$2),MAX((IF(Monthly!X$4=TRUE,Monthly!X$13,Monthly!X$14)*(1+'Attrition Modeling'!$N$8)-'IP Attrition'!AA$65)/12*'IP Attrition'!AA127,0)))</f>
        <v>0</v>
      </c>
      <c r="AC192" s="799">
        <f>IF(EOMONTH(Inputs!$C$8,'IP Attrition'!AC$134-1)&lt;=Inputs!$C$9,0,MIN(IF(ISERROR(VLOOKUP(AC$134+$F192,$D$135:$D$165,1,FALSE)),0,AB60*$C$2),MAX((IF(Monthly!Y$4=TRUE,Monthly!Y$13,Monthly!Y$14)*(1+'Attrition Modeling'!$N$8)-'IP Attrition'!AB$65)/12*'IP Attrition'!AB127,0)))</f>
        <v>0</v>
      </c>
      <c r="AD192" s="799">
        <f>IF(EOMONTH(Inputs!$C$8,'IP Attrition'!AD$134-1)&lt;=Inputs!$C$9,0,MIN(IF(ISERROR(VLOOKUP(AD$134+$F192,$D$135:$D$165,1,FALSE)),0,AC60*$C$2),MAX((IF(Monthly!Z$4=TRUE,Monthly!Z$13,Monthly!Z$14)*(1+'Attrition Modeling'!$N$8)-'IP Attrition'!AC$65)/12*'IP Attrition'!AC127,0)))</f>
        <v>0</v>
      </c>
      <c r="AE192" s="799">
        <f>IF(EOMONTH(Inputs!$C$8,'IP Attrition'!AE$134-1)&lt;=Inputs!$C$9,0,MIN(IF(ISERROR(VLOOKUP(AE$134+$F192,$D$135:$D$165,1,FALSE)),0,AD60*$C$2),MAX((IF(Monthly!AA$4=TRUE,Monthly!AA$13,Monthly!AA$14)*(1+'Attrition Modeling'!$N$8)-'IP Attrition'!AD$65)/12*'IP Attrition'!AD127,0)))</f>
        <v>0</v>
      </c>
      <c r="AF192" s="799">
        <f>IF(EOMONTH(Inputs!$C$8,'IP Attrition'!AF$134-1)&lt;=Inputs!$C$9,0,MIN(IF(ISERROR(VLOOKUP(AF$134+$F192,$D$135:$D$165,1,FALSE)),0,AE60*$C$2),MAX((IF(Monthly!AB$4=TRUE,Monthly!AB$13,Monthly!AB$14)*(1+'Attrition Modeling'!$N$8)-'IP Attrition'!AE$65)/12*'IP Attrition'!AE127,0)))</f>
        <v>0</v>
      </c>
      <c r="AG192" s="799">
        <f>IF(EOMONTH(Inputs!$C$8,'IP Attrition'!AG$134-1)&lt;=Inputs!$C$9,0,MIN(IF(ISERROR(VLOOKUP(AG$134+$F192,$D$135:$D$165,1,FALSE)),0,AF60*$C$2),MAX((IF(Monthly!AC$4=TRUE,Monthly!AC$13,Monthly!AC$14)*(1+'Attrition Modeling'!$N$8)-'IP Attrition'!AF$65)/12*'IP Attrition'!AF127,0)))</f>
        <v>0</v>
      </c>
      <c r="AH192" s="799">
        <f>IF(EOMONTH(Inputs!$C$8,'IP Attrition'!AH$134-1)&lt;=Inputs!$C$9,0,MIN(IF(ISERROR(VLOOKUP(AH$134+$F192,$D$135:$D$165,1,FALSE)),0,AG60*$C$2),MAX((IF(Monthly!AD$4=TRUE,Monthly!AD$13,Monthly!AD$14)*(1+'Attrition Modeling'!$N$8)-'IP Attrition'!AG$65)/12*'IP Attrition'!AG127,0)))</f>
        <v>0</v>
      </c>
      <c r="AI192" s="799">
        <f>IF(EOMONTH(Inputs!$C$8,'IP Attrition'!AI$134-1)&lt;=Inputs!$C$9,0,MIN(IF(ISERROR(VLOOKUP(AI$134+$F192,$D$135:$D$165,1,FALSE)),0,AH60*$C$2),MAX((IF(Monthly!AE$4=TRUE,Monthly!AE$13,Monthly!AE$14)*(1+'Attrition Modeling'!$N$8)-'IP Attrition'!AH$65)/12*'IP Attrition'!AH127,0)))</f>
        <v>0</v>
      </c>
      <c r="AJ192" s="799">
        <f>IF(EOMONTH(Inputs!$C$8,'IP Attrition'!AJ$134-1)&lt;=Inputs!$C$9,0,MIN(IF(ISERROR(VLOOKUP(AJ$134+$F192,$D$135:$D$165,1,FALSE)),0,AI60*$C$2),MAX((IF(Monthly!AF$4=TRUE,Monthly!AF$13,Monthly!AF$14)*(1+'Attrition Modeling'!$N$8)-'IP Attrition'!AI$65)/12*'IP Attrition'!AI127,0)))</f>
        <v>0</v>
      </c>
      <c r="AK192" s="799">
        <f>IF(EOMONTH(Inputs!$C$8,'IP Attrition'!AK$134-1)&lt;=Inputs!$C$9,0,MIN(IF(ISERROR(VLOOKUP(AK$134+$F192,$D$135:$D$165,1,FALSE)),0,AJ60*$C$2),MAX((IF(Monthly!AG$4=TRUE,Monthly!AG$13,Monthly!AG$14)*(1+'Attrition Modeling'!$N$8)-'IP Attrition'!AJ$65)/12*'IP Attrition'!AJ127,0)))</f>
        <v>0</v>
      </c>
      <c r="AL192" s="799">
        <f>IF(EOMONTH(Inputs!$C$8,'IP Attrition'!AL$134-1)&lt;=Inputs!$C$9,0,MIN(IF(ISERROR(VLOOKUP(AL$134+$F192,$D$135:$D$165,1,FALSE)),0,AK60*$C$2),MAX((IF(Monthly!AH$4=TRUE,Monthly!AH$13,Monthly!AH$14)*(1+'Attrition Modeling'!$N$8)-'IP Attrition'!AK$65)/12*'IP Attrition'!AK127,0)))</f>
        <v>0</v>
      </c>
      <c r="AM192" s="799">
        <f>IF(EOMONTH(Inputs!$C$8,'IP Attrition'!AM$134-1)&lt;=Inputs!$C$9,0,MIN(IF(ISERROR(VLOOKUP(AM$134+$F192,$D$135:$D$165,1,FALSE)),0,AL60*$C$2),MAX((IF(Monthly!AI$4=TRUE,Monthly!AI$13,Monthly!AI$14)*(1+'Attrition Modeling'!$N$8)-'IP Attrition'!AL$65)/12*'IP Attrition'!AL127,0)))</f>
        <v>0</v>
      </c>
      <c r="AN192" s="799">
        <f>IF(EOMONTH(Inputs!$C$8,'IP Attrition'!AN$134-1)&lt;=Inputs!$C$9,0,MIN(IF(ISERROR(VLOOKUP(AN$134+$F192,$D$135:$D$165,1,FALSE)),0,AM60*$C$2),MAX((IF(Monthly!AJ$4=TRUE,Monthly!AJ$13,Monthly!AJ$14)*(1+'Attrition Modeling'!$N$8)-'IP Attrition'!AM$65)/12*'IP Attrition'!AM127,0)))</f>
        <v>0</v>
      </c>
      <c r="AO192" s="799">
        <f>IF(EOMONTH(Inputs!$C$8,'IP Attrition'!AO$134-1)&lt;=Inputs!$C$9,0,MIN(IF(ISERROR(VLOOKUP(AO$134+$F192,$D$135:$D$165,1,FALSE)),0,AN60*$C$2),MAX((IF(Monthly!AK$4=TRUE,Monthly!AK$13,Monthly!AK$14)*(1+'Attrition Modeling'!$N$8)-'IP Attrition'!AN$65)/12*'IP Attrition'!AN127,0)))</f>
        <v>0</v>
      </c>
      <c r="AP192" s="799">
        <f>IF(EOMONTH(Inputs!$C$8,'IP Attrition'!AP$134-1)&lt;=Inputs!$C$9,0,MIN(IF(ISERROR(VLOOKUP(AP$134+$F192,$D$135:$D$165,1,FALSE)),0,AO60*$C$2),MAX((IF(Monthly!AL$4=TRUE,Monthly!AL$13,Monthly!AL$14)*(1+'Attrition Modeling'!$N$8)-'IP Attrition'!AO$65)/12*'IP Attrition'!AO127,0)))</f>
        <v>0</v>
      </c>
      <c r="AQ192" s="799">
        <f>IF(EOMONTH(Inputs!$C$8,'IP Attrition'!AQ$134-1)&lt;=Inputs!$C$9,0,MIN(IF(ISERROR(VLOOKUP(AQ$134+$F192,$D$135:$D$165,1,FALSE)),0,AP60*$C$2),MAX((IF(Monthly!AM$4=TRUE,Monthly!AM$13,Monthly!AM$14)*(1+'Attrition Modeling'!$N$8)-'IP Attrition'!AP$65)/12*'IP Attrition'!AP127,0)))</f>
        <v>0</v>
      </c>
      <c r="AR192" s="799">
        <f>IF(EOMONTH(Inputs!$C$8,'IP Attrition'!AR$134-1)&lt;=Inputs!$C$9,0,MIN(IF(ISERROR(VLOOKUP(AR$134+$F192,$D$135:$D$165,1,FALSE)),0,AQ60*$C$2),MAX((IF(Monthly!AN$4=TRUE,Monthly!AN$13,Monthly!AN$14)*(1+'Attrition Modeling'!$N$8)-'IP Attrition'!AQ$65)/12*'IP Attrition'!AQ127,0)))</f>
        <v>0</v>
      </c>
      <c r="AS192" s="799">
        <f>IF(EOMONTH(Inputs!$C$8,'IP Attrition'!AS$134-1)&lt;=Inputs!$C$9,0,MIN(IF(ISERROR(VLOOKUP(AS$134+$F192,$D$135:$D$165,1,FALSE)),0,AR60*$C$2),MAX((IF(Monthly!AO$4=TRUE,Monthly!AO$13,Monthly!AO$14)*(1+'Attrition Modeling'!$N$8)-'IP Attrition'!AR$65)/12*'IP Attrition'!AR127,0)))</f>
        <v>0</v>
      </c>
      <c r="AT192" s="799">
        <f>IF(EOMONTH(Inputs!$C$8,'IP Attrition'!AT$134-1)&lt;=Inputs!$C$9,0,MIN(IF(ISERROR(VLOOKUP(AT$134+$F192,$D$135:$D$165,1,FALSE)),0,AS60*$C$2),MAX((IF(Monthly!AP$4=TRUE,Monthly!AP$13,Monthly!AP$14)*(1+'Attrition Modeling'!$N$8)-'IP Attrition'!AS$65)/12*'IP Attrition'!AS127,0)))</f>
        <v>0</v>
      </c>
      <c r="AU192" s="799">
        <f>IF(EOMONTH(Inputs!$C$8,'IP Attrition'!AU$134-1)&lt;=Inputs!$C$9,0,MIN(IF(ISERROR(VLOOKUP(AU$134+$F192,$D$135:$D$165,1,FALSE)),0,AT60*$C$2),MAX((IF(Monthly!AQ$4=TRUE,Monthly!AQ$13,Monthly!AQ$14)*(1+'Attrition Modeling'!$N$8)-'IP Attrition'!AT$65)/12*'IP Attrition'!AT127,0)))</f>
        <v>0</v>
      </c>
      <c r="AV192" s="799">
        <f>IF(EOMONTH(Inputs!$C$8,'IP Attrition'!AV$134-1)&lt;=Inputs!$C$9,0,MIN(IF(ISERROR(VLOOKUP(AV$134+$F192,$D$135:$D$165,1,FALSE)),0,AU60*$C$2),MAX((IF(Monthly!AR$4=TRUE,Monthly!AR$13,Monthly!AR$14)*(1+'Attrition Modeling'!$N$8)-'IP Attrition'!AU$65)/12*'IP Attrition'!AU127,0)))</f>
        <v>0</v>
      </c>
      <c r="AW192" s="799">
        <f>IF(EOMONTH(Inputs!$C$8,'IP Attrition'!AW$134-1)&lt;=Inputs!$C$9,0,MIN(IF(ISERROR(VLOOKUP(AW$134+$F192,$D$135:$D$165,1,FALSE)),0,AV60*$C$2),MAX((IF(Monthly!AS$4=TRUE,Monthly!AS$13,Monthly!AS$14)*(1+'Attrition Modeling'!$N$8)-'IP Attrition'!AV$65)/12*'IP Attrition'!AV127,0)))</f>
        <v>0</v>
      </c>
      <c r="AX192" s="799">
        <f>IF(EOMONTH(Inputs!$C$8,'IP Attrition'!AX$134-1)&lt;=Inputs!$C$9,0,MIN(IF(ISERROR(VLOOKUP(AX$134+$F192,$D$135:$D$165,1,FALSE)),0,AW60*$C$2),MAX((IF(Monthly!AT$4=TRUE,Monthly!AT$13,Monthly!AT$14)*(1+'Attrition Modeling'!$N$8)-'IP Attrition'!AW$65)/12*'IP Attrition'!AW127,0)))</f>
        <v>0</v>
      </c>
      <c r="AY192" s="799">
        <f>IF(EOMONTH(Inputs!$C$8,'IP Attrition'!AY$134-1)&lt;=Inputs!$C$9,0,MIN(IF(ISERROR(VLOOKUP(AY$134+$F192,$D$135:$D$165,1,FALSE)),0,AX60*$C$2),MAX((IF(Monthly!AU$4=TRUE,Monthly!AU$13,Monthly!AU$14)*(1+'Attrition Modeling'!$N$8)-'IP Attrition'!AX$65)/12*'IP Attrition'!AX127,0)))</f>
        <v>0</v>
      </c>
      <c r="AZ192" s="799">
        <f>IF(EOMONTH(Inputs!$C$8,'IP Attrition'!AZ$134-1)&lt;=Inputs!$C$9,0,MIN(IF(ISERROR(VLOOKUP(AZ$134+$F192,$D$135:$D$165,1,FALSE)),0,AY60*$C$2),MAX((IF(Monthly!AV$4=TRUE,Monthly!AV$13,Monthly!AV$14)*(1+'Attrition Modeling'!$N$8)-'IP Attrition'!AY$65)/12*'IP Attrition'!AY127,0)))</f>
        <v>0</v>
      </c>
      <c r="BA192" s="799">
        <f>IF(EOMONTH(Inputs!$C$8,'IP Attrition'!BA$134-1)&lt;=Inputs!$C$9,0,MIN(IF(ISERROR(VLOOKUP(BA$134+$F192,$D$135:$D$165,1,FALSE)),0,AZ60*$C$2),MAX((IF(Monthly!AW$4=TRUE,Monthly!AW$13,Monthly!AW$14)*(1+'Attrition Modeling'!$N$8)-'IP Attrition'!AZ$65)/12*'IP Attrition'!AZ127,0)))</f>
        <v>0</v>
      </c>
      <c r="BB192" s="799">
        <f>IF(EOMONTH(Inputs!$C$8,'IP Attrition'!BB$134-1)&lt;=Inputs!$C$9,0,MIN(IF(ISERROR(VLOOKUP(BB$134+$F192,$D$135:$D$165,1,FALSE)),0,BA60*$C$2),MAX((IF(Monthly!AX$4=TRUE,Monthly!AX$13,Monthly!AX$14)*(1+'Attrition Modeling'!$N$8)-'IP Attrition'!BA$65)/12*'IP Attrition'!BA127,0)))</f>
        <v>0</v>
      </c>
      <c r="BC192" s="799">
        <f>IF(EOMONTH(Inputs!$C$8,'IP Attrition'!BC$134-1)&lt;=Inputs!$C$9,0,MIN(IF(ISERROR(VLOOKUP(BC$134+$F192,$D$135:$D$165,1,FALSE)),0,BB60*$C$2),MAX((IF(Monthly!AY$4=TRUE,Monthly!AY$13,Monthly!AY$14)*(1+'Attrition Modeling'!$N$8)-'IP Attrition'!BB$65)/12*'IP Attrition'!BB127,0)))</f>
        <v>0</v>
      </c>
      <c r="BD192" s="799">
        <f>IF(EOMONTH(Inputs!$C$8,'IP Attrition'!BD$134-1)&lt;=Inputs!$C$9,0,MIN(IF(ISERROR(VLOOKUP(BD$134+$F192,$D$135:$D$165,1,FALSE)),0,BC60*$C$2),MAX((IF(Monthly!AZ$4=TRUE,Monthly!AZ$13,Monthly!AZ$14)*(1+'Attrition Modeling'!$N$8)-'IP Attrition'!BC$65)/12*'IP Attrition'!BC127,0)))</f>
        <v>0</v>
      </c>
      <c r="BE192" s="799">
        <f>IF(EOMONTH(Inputs!$C$8,'IP Attrition'!BE$134-1)&lt;=Inputs!$C$9,0,MIN(IF(ISERROR(VLOOKUP(BE$134+$F192,$D$135:$D$165,1,FALSE)),0,BD60*$C$2),MAX((IF(Monthly!BA$4=TRUE,Monthly!BA$13,Monthly!BA$14)*(1+'Attrition Modeling'!$N$8)-'IP Attrition'!BD$65)/12*'IP Attrition'!BD127,0)))</f>
        <v>0</v>
      </c>
      <c r="BF192" s="799">
        <f>IF(EOMONTH(Inputs!$C$8,'IP Attrition'!BF$134-1)&lt;=Inputs!$C$9,0,MIN(IF(ISERROR(VLOOKUP(BF$134+$F192,$D$135:$D$165,1,FALSE)),0,BE60*$C$2),MAX((IF(Monthly!BB$4=TRUE,Monthly!BB$13,Monthly!BB$14)*(1+'Attrition Modeling'!$N$8)-'IP Attrition'!BE$65)/12*'IP Attrition'!BE127,0)))</f>
        <v>0</v>
      </c>
      <c r="BG192" s="799">
        <f>IF(EOMONTH(Inputs!$C$8,'IP Attrition'!BG$134-1)&lt;=Inputs!$C$9,0,MIN(IF(ISERROR(VLOOKUP(BG$134+$F192,$D$135:$D$165,1,FALSE)),0,BF60*$C$2),MAX((IF(Monthly!BC$4=TRUE,Monthly!BC$13,Monthly!BC$14)*(1+'Attrition Modeling'!$N$8)-'IP Attrition'!BF$65)/12*'IP Attrition'!BF127,0)))</f>
        <v>0</v>
      </c>
      <c r="BH192" s="799">
        <f>IF(EOMONTH(Inputs!$C$8,'IP Attrition'!BH$134-1)&lt;=Inputs!$C$9,0,MIN(IF(ISERROR(VLOOKUP(BH$134+$F192,$D$135:$D$165,1,FALSE)),0,BG60*$C$2),MAX((IF(Monthly!BD$4=TRUE,Monthly!BD$13,Monthly!BD$14)*(1+'Attrition Modeling'!$N$8)-'IP Attrition'!BG$65)/12*'IP Attrition'!BG127,0)))</f>
        <v>0</v>
      </c>
      <c r="BI192" s="799">
        <f>IF(EOMONTH(Inputs!$C$8,'IP Attrition'!BI$134-1)&lt;=Inputs!$C$9,0,MIN(IF(ISERROR(VLOOKUP(BI$134+$F192,$D$135:$D$165,1,FALSE)),0,BH60*$C$2),MAX((IF(Monthly!BE$4=TRUE,Monthly!BE$13,Monthly!BE$14)*(1+'Attrition Modeling'!$N$8)-'IP Attrition'!BH$65)/12*'IP Attrition'!BH127,0)))</f>
        <v>0</v>
      </c>
      <c r="BJ192" s="799">
        <f>IF(EOMONTH(Inputs!$C$8,'IP Attrition'!BJ$134-1)&lt;=Inputs!$C$9,0,MIN(IF(ISERROR(VLOOKUP(BJ$134+$F192,$D$135:$D$165,1,FALSE)),0,BI60*$C$2),MAX((IF(Monthly!BF$4=TRUE,Monthly!BF$13,Monthly!BF$14)*(1+'Attrition Modeling'!$N$8)-'IP Attrition'!BI$65)/12*'IP Attrition'!BI127,0)))</f>
        <v>0</v>
      </c>
      <c r="BK192" s="799">
        <f>IF(EOMONTH(Inputs!$C$8,'IP Attrition'!BK$134-1)&lt;=Inputs!$C$9,0,MIN(IF(ISERROR(VLOOKUP(BK$134+$F192,$D$135:$D$165,1,FALSE)),0,BJ60*$C$2),MAX((IF(Monthly!BG$4=TRUE,Monthly!BG$13,Monthly!BG$14)*(1+'Attrition Modeling'!$N$8)-'IP Attrition'!BJ$65)/12*'IP Attrition'!BJ127,0)))</f>
        <v>0</v>
      </c>
      <c r="BL192" s="799">
        <f>IF(EOMONTH(Inputs!$C$8,'IP Attrition'!BL$134-1)&lt;=Inputs!$C$9,0,MIN(IF(ISERROR(VLOOKUP(BL$134+$F192,$D$135:$D$165,1,FALSE)),0,BK60*$C$2),MAX((IF(Monthly!BH$4=TRUE,Monthly!BH$13,Monthly!BH$14)*(1+'Attrition Modeling'!$N$8)-'IP Attrition'!BK$65)/12*'IP Attrition'!BK127,0)))</f>
        <v>0</v>
      </c>
      <c r="BM192" s="799">
        <f>IF(EOMONTH(Inputs!$C$8,'IP Attrition'!BM$134-1)&lt;=Inputs!$C$9,0,MIN(IF(ISERROR(VLOOKUP(BM$134+$F192,$D$135:$D$165,1,FALSE)),0,BL60*$C$2),MAX((IF(Monthly!BI$4=TRUE,Monthly!BI$13,Monthly!BI$14)*(1+'Attrition Modeling'!$N$8)-'IP Attrition'!BL$65)/12*'IP Attrition'!BL127,0)))</f>
        <v>0</v>
      </c>
      <c r="BN192" s="799">
        <f>IF(EOMONTH(Inputs!$C$8,'IP Attrition'!BN$134-1)&lt;=Inputs!$C$9,0,MIN(IF(ISERROR(VLOOKUP(BN$134+$F192,$D$135:$D$165,1,FALSE)),0,BM60*$C$2),MAX((IF(Monthly!BJ$4=TRUE,Monthly!BJ$13,Monthly!BJ$14)*(1+'Attrition Modeling'!$N$8)-'IP Attrition'!BM$65)/12*'IP Attrition'!BM127,0)))</f>
        <v>0</v>
      </c>
      <c r="BO192" s="799">
        <f>IF(EOMONTH(Inputs!$C$8,'IP Attrition'!BO$134-1)&lt;=Inputs!$C$9,0,MIN(IF(ISERROR(VLOOKUP(BO$134+$F192,$D$135:$D$165,1,FALSE)),0,BN60*$C$2),MAX((IF(Monthly!BK$4=TRUE,Monthly!BK$13,Monthly!BK$14)*(1+'Attrition Modeling'!$N$8)-'IP Attrition'!BN$65)/12*'IP Attrition'!BN127,0)))</f>
        <v>0</v>
      </c>
      <c r="BP192" s="799">
        <f>IF(EOMONTH(Inputs!$C$8,'IP Attrition'!BP$134-1)&lt;=Inputs!$C$9,0,MIN(IF(ISERROR(VLOOKUP(BP$134+$F192,$D$135:$D$165,1,FALSE)),0,BO60*$C$2),MAX((IF(Monthly!BL$4=TRUE,Monthly!BL$13,Monthly!BL$14)*(1+'Attrition Modeling'!$N$8)-'IP Attrition'!BO$65)/12*'IP Attrition'!BO127,0)))</f>
        <v>0</v>
      </c>
      <c r="BQ192" s="799">
        <f>IF(EOMONTH(Inputs!$C$8,'IP Attrition'!BQ$134-1)&lt;=Inputs!$C$9,0,MIN(IF(ISERROR(VLOOKUP(BQ$134+$F192,$D$135:$D$165,1,FALSE)),0,BP60*$C$2),MAX((IF(Monthly!BM$4=TRUE,Monthly!BM$13,Monthly!BM$14)*(1+'Attrition Modeling'!$N$8)-'IP Attrition'!BP$65)/12*'IP Attrition'!BP127,0)))</f>
        <v>0</v>
      </c>
      <c r="BR192" s="799">
        <f>IF(EOMONTH(Inputs!$C$8,'IP Attrition'!BR$134-1)&lt;=Inputs!$C$9,0,MIN(IF(ISERROR(VLOOKUP(BR$134+$F192,$D$135:$D$165,1,FALSE)),0,BQ60*$C$2),MAX((IF(Monthly!BN$4=TRUE,Monthly!BN$13,Monthly!BN$14)*(1+'Attrition Modeling'!$N$8)-'IP Attrition'!BQ$65)/12*'IP Attrition'!BQ127,0)))</f>
        <v>0</v>
      </c>
      <c r="BS192" s="799">
        <f>IF(EOMONTH(Inputs!$C$8,'IP Attrition'!BS$134-1)&lt;=Inputs!$C$9,0,MIN(IF(ISERROR(VLOOKUP(BS$134+$F192,$D$135:$D$165,1,FALSE)),0,BR60*$C$2),MAX((IF(Monthly!BO$4=TRUE,Monthly!BO$13,Monthly!BO$14)*(1+'Attrition Modeling'!$N$8)-'IP Attrition'!BR$65)/12*'IP Attrition'!BR127,0)))</f>
        <v>0</v>
      </c>
      <c r="BT192" s="799" t="e">
        <f>IF(EOMONTH(Inputs!$C$8,'IP Attrition'!BT$134-1)&lt;=Inputs!$C$9,0,MIN(IF(ISERROR(VLOOKUP(BT$134+$F192,$D$135:$D$165,1,FALSE)),0,BS60*$C$2),MAX((IF(Monthly!#REF!=TRUE,Monthly!#REF!,Monthly!#REF!)*(1+'Attrition Modeling'!$N$8)-'IP Attrition'!BS$65)/12*'IP Attrition'!BS127,0)))</f>
        <v>#REF!</v>
      </c>
      <c r="BU192" s="799" t="e">
        <f>IF(EOMONTH(Inputs!$C$8,'IP Attrition'!BU$134-1)&lt;=Inputs!$C$9,0,MIN(IF(ISERROR(VLOOKUP(BU$134+$F192,$D$135:$D$165,1,FALSE)),0,BT60*$C$2),MAX((IF(Monthly!#REF!=TRUE,Monthly!#REF!,Monthly!#REF!)*(1+'Attrition Modeling'!$N$8)-'IP Attrition'!BT$65)/12*'IP Attrition'!BT127,0)))</f>
        <v>#REF!</v>
      </c>
    </row>
    <row r="193" spans="5:73" ht="14.25" customHeight="1" x14ac:dyDescent="0.2">
      <c r="E193" s="25">
        <f t="shared" si="71"/>
        <v>0</v>
      </c>
      <c r="F193" s="11">
        <f t="shared" si="73"/>
        <v>58</v>
      </c>
      <c r="G193" s="799"/>
      <c r="H193" s="799">
        <f>IF(EOMONTH(Inputs!$C$8,'IP Attrition'!H$134-1)&lt;=Inputs!$C$9,0,MIN(IF(ISERROR(VLOOKUP(H$134+$F193,$D$135:$D$165,1,FALSE)),0,G61*$C$2),MAX((IF(Monthly!D$4=TRUE,Monthly!D$13,Monthly!D$14)*(1+'Attrition Modeling'!$N$8)-'IP Attrition'!G$65)/12*'IP Attrition'!G128,0)))</f>
        <v>0</v>
      </c>
      <c r="I193" s="799">
        <f>IF(EOMONTH(Inputs!$C$8,'IP Attrition'!I$134-1)&lt;=Inputs!$C$9,0,MIN(IF(ISERROR(VLOOKUP(I$134+$F193,$D$135:$D$165,1,FALSE)),0,H61*$C$2),MAX((IF(Monthly!E$4=TRUE,Monthly!E$13,Monthly!E$14)*(1+'Attrition Modeling'!$N$8)-'IP Attrition'!H$65)/12*'IP Attrition'!H128,0)))</f>
        <v>0</v>
      </c>
      <c r="J193" s="799">
        <f>IF(EOMONTH(Inputs!$C$8,'IP Attrition'!J$134-1)&lt;=Inputs!$C$9,0,MIN(IF(ISERROR(VLOOKUP(J$134+$F193,$D$135:$D$165,1,FALSE)),0,I61*$C$2),MAX((IF(Monthly!F$4=TRUE,Monthly!F$13,Monthly!F$14)*(1+'Attrition Modeling'!$N$8)-'IP Attrition'!I$65)/12*'IP Attrition'!I128,0)))</f>
        <v>0</v>
      </c>
      <c r="K193" s="799">
        <f>IF(EOMONTH(Inputs!$C$8,'IP Attrition'!K$134-1)&lt;=Inputs!$C$9,0,MIN(IF(ISERROR(VLOOKUP(K$134+$F193,$D$135:$D$165,1,FALSE)),0,J61*$C$2),MAX((IF(Monthly!G$4=TRUE,Monthly!G$13,Monthly!G$14)*(1+'Attrition Modeling'!$N$8)-'IP Attrition'!J$65)/12*'IP Attrition'!J128,0)))</f>
        <v>0</v>
      </c>
      <c r="L193" s="799">
        <f>IF(EOMONTH(Inputs!$C$8,'IP Attrition'!L$134-1)&lt;=Inputs!$C$9,0,MIN(IF(ISERROR(VLOOKUP(L$134+$F193,$D$135:$D$165,1,FALSE)),0,K61*$C$2),MAX((IF(Monthly!H$4=TRUE,Monthly!H$13,Monthly!H$14)*(1+'Attrition Modeling'!$N$8)-'IP Attrition'!K$65)/12*'IP Attrition'!K128,0)))</f>
        <v>0</v>
      </c>
      <c r="M193" s="799">
        <f>IF(EOMONTH(Inputs!$C$8,'IP Attrition'!M$134-1)&lt;=Inputs!$C$9,0,MIN(IF(ISERROR(VLOOKUP(M$134+$F193,$D$135:$D$165,1,FALSE)),0,L61*$C$2),MAX((IF(Monthly!I$4=TRUE,Monthly!I$13,Monthly!I$14)*(1+'Attrition Modeling'!$N$8)-'IP Attrition'!L$65)/12*'IP Attrition'!L128,0)))</f>
        <v>0</v>
      </c>
      <c r="N193" s="799">
        <f>IF(EOMONTH(Inputs!$C$8,'IP Attrition'!N$134-1)&lt;=Inputs!$C$9,0,MIN(IF(ISERROR(VLOOKUP(N$134+$F193,$D$135:$D$165,1,FALSE)),0,M61*$C$2),MAX((IF(Monthly!J$4=TRUE,Monthly!J$13,Monthly!J$14)*(1+'Attrition Modeling'!$N$8)-'IP Attrition'!M$65)/12*'IP Attrition'!M128,0)))</f>
        <v>0</v>
      </c>
      <c r="O193" s="799">
        <f>IF(EOMONTH(Inputs!$C$8,'IP Attrition'!O$134-1)&lt;=Inputs!$C$9,0,MIN(IF(ISERROR(VLOOKUP(O$134+$F193,$D$135:$D$165,1,FALSE)),0,N61*$C$2),MAX((IF(Monthly!K$4=TRUE,Monthly!K$13,Monthly!K$14)*(1+'Attrition Modeling'!$N$8)-'IP Attrition'!N$65)/12*'IP Attrition'!N128,0)))</f>
        <v>0</v>
      </c>
      <c r="P193" s="799">
        <f>IF(EOMONTH(Inputs!$C$8,'IP Attrition'!P$134-1)&lt;=Inputs!$C$9,0,MIN(IF(ISERROR(VLOOKUP(P$134+$F193,$D$135:$D$165,1,FALSE)),0,O61*$C$2),MAX((IF(Monthly!L$4=TRUE,Monthly!L$13,Monthly!L$14)*(1+'Attrition Modeling'!$N$8)-'IP Attrition'!O$65)/12*'IP Attrition'!O128,0)))</f>
        <v>0</v>
      </c>
      <c r="Q193" s="799">
        <f>IF(EOMONTH(Inputs!$C$8,'IP Attrition'!Q$134-1)&lt;=Inputs!$C$9,0,MIN(IF(ISERROR(VLOOKUP(Q$134+$F193,$D$135:$D$165,1,FALSE)),0,P61*$C$2),MAX((IF(Monthly!M$4=TRUE,Monthly!M$13,Monthly!M$14)*(1+'Attrition Modeling'!$N$8)-'IP Attrition'!P$65)/12*'IP Attrition'!P128,0)))</f>
        <v>0</v>
      </c>
      <c r="R193" s="799">
        <f>IF(EOMONTH(Inputs!$C$8,'IP Attrition'!R$134-1)&lt;=Inputs!$C$9,0,MIN(IF(ISERROR(VLOOKUP(R$134+$F193,$D$135:$D$165,1,FALSE)),0,Q61*$C$2),MAX((IF(Monthly!N$4=TRUE,Monthly!N$13,Monthly!N$14)*(1+'Attrition Modeling'!$N$8)-'IP Attrition'!Q$65)/12*'IP Attrition'!Q128,0)))</f>
        <v>0</v>
      </c>
      <c r="S193" s="799">
        <f>IF(EOMONTH(Inputs!$C$8,'IP Attrition'!S$134-1)&lt;=Inputs!$C$9,0,MIN(IF(ISERROR(VLOOKUP(S$134+$F193,$D$135:$D$165,1,FALSE)),0,R61*$C$2),MAX((IF(Monthly!O$4=TRUE,Monthly!O$13,Monthly!O$14)*(1+'Attrition Modeling'!$N$8)-'IP Attrition'!R$65)/12*'IP Attrition'!R128,0)))</f>
        <v>0</v>
      </c>
      <c r="T193" s="799">
        <f>IF(EOMONTH(Inputs!$C$8,'IP Attrition'!T$134-1)&lt;=Inputs!$C$9,0,MIN(IF(ISERROR(VLOOKUP(T$134+$F193,$D$135:$D$165,1,FALSE)),0,S61*$C$2),MAX((IF(Monthly!P$4=TRUE,Monthly!P$13,Monthly!P$14)*(1+'Attrition Modeling'!$N$8)-'IP Attrition'!S$65)/12*'IP Attrition'!S128,0)))</f>
        <v>0</v>
      </c>
      <c r="U193" s="799">
        <f>IF(EOMONTH(Inputs!$C$8,'IP Attrition'!U$134-1)&lt;=Inputs!$C$9,0,MIN(IF(ISERROR(VLOOKUP(U$134+$F193,$D$135:$D$165,1,FALSE)),0,T61*$C$2),MAX((IF(Monthly!Q$4=TRUE,Monthly!Q$13,Monthly!Q$14)*(1+'Attrition Modeling'!$N$8)-'IP Attrition'!T$65)/12*'IP Attrition'!T128,0)))</f>
        <v>0</v>
      </c>
      <c r="V193" s="799">
        <f>IF(EOMONTH(Inputs!$C$8,'IP Attrition'!V$134-1)&lt;=Inputs!$C$9,0,MIN(IF(ISERROR(VLOOKUP(V$134+$F193,$D$135:$D$165,1,FALSE)),0,U61*$C$2),MAX((IF(Monthly!R$4=TRUE,Monthly!R$13,Monthly!R$14)*(1+'Attrition Modeling'!$N$8)-'IP Attrition'!U$65)/12*'IP Attrition'!U128,0)))</f>
        <v>0</v>
      </c>
      <c r="W193" s="799">
        <f>IF(EOMONTH(Inputs!$C$8,'IP Attrition'!W$134-1)&lt;=Inputs!$C$9,0,MIN(IF(ISERROR(VLOOKUP(W$134+$F193,$D$135:$D$165,1,FALSE)),0,V61*$C$2),MAX((IF(Monthly!S$4=TRUE,Monthly!S$13,Monthly!S$14)*(1+'Attrition Modeling'!$N$8)-'IP Attrition'!V$65)/12*'IP Attrition'!V128,0)))</f>
        <v>0</v>
      </c>
      <c r="X193" s="799">
        <f>IF(EOMONTH(Inputs!$C$8,'IP Attrition'!X$134-1)&lt;=Inputs!$C$9,0,MIN(IF(ISERROR(VLOOKUP(X$134+$F193,$D$135:$D$165,1,FALSE)),0,W61*$C$2),MAX((IF(Monthly!T$4=TRUE,Monthly!T$13,Monthly!T$14)*(1+'Attrition Modeling'!$N$8)-'IP Attrition'!W$65)/12*'IP Attrition'!W128,0)))</f>
        <v>0</v>
      </c>
      <c r="Y193" s="799">
        <f>IF(EOMONTH(Inputs!$C$8,'IP Attrition'!Y$134-1)&lt;=Inputs!$C$9,0,MIN(IF(ISERROR(VLOOKUP(Y$134+$F193,$D$135:$D$165,1,FALSE)),0,X61*$C$2),MAX((IF(Monthly!U$4=TRUE,Monthly!U$13,Monthly!U$14)*(1+'Attrition Modeling'!$N$8)-'IP Attrition'!X$65)/12*'IP Attrition'!X128,0)))</f>
        <v>0</v>
      </c>
      <c r="Z193" s="799">
        <f>IF(EOMONTH(Inputs!$C$8,'IP Attrition'!Z$134-1)&lt;=Inputs!$C$9,0,MIN(IF(ISERROR(VLOOKUP(Z$134+$F193,$D$135:$D$165,1,FALSE)),0,Y61*$C$2),MAX((IF(Monthly!V$4=TRUE,Monthly!V$13,Monthly!V$14)*(1+'Attrition Modeling'!$N$8)-'IP Attrition'!Y$65)/12*'IP Attrition'!Y128,0)))</f>
        <v>0</v>
      </c>
      <c r="AA193" s="799">
        <f>IF(EOMONTH(Inputs!$C$8,'IP Attrition'!AA$134-1)&lt;=Inputs!$C$9,0,MIN(IF(ISERROR(VLOOKUP(AA$134+$F193,$D$135:$D$165,1,FALSE)),0,Z61*$C$2),MAX((IF(Monthly!W$4=TRUE,Monthly!W$13,Monthly!W$14)*(1+'Attrition Modeling'!$N$8)-'IP Attrition'!Z$65)/12*'IP Attrition'!Z128,0)))</f>
        <v>0</v>
      </c>
      <c r="AB193" s="799">
        <f>IF(EOMONTH(Inputs!$C$8,'IP Attrition'!AB$134-1)&lt;=Inputs!$C$9,0,MIN(IF(ISERROR(VLOOKUP(AB$134+$F193,$D$135:$D$165,1,FALSE)),0,AA61*$C$2),MAX((IF(Monthly!X$4=TRUE,Monthly!X$13,Monthly!X$14)*(1+'Attrition Modeling'!$N$8)-'IP Attrition'!AA$65)/12*'IP Attrition'!AA128,0)))</f>
        <v>0</v>
      </c>
      <c r="AC193" s="799">
        <f>IF(EOMONTH(Inputs!$C$8,'IP Attrition'!AC$134-1)&lt;=Inputs!$C$9,0,MIN(IF(ISERROR(VLOOKUP(AC$134+$F193,$D$135:$D$165,1,FALSE)),0,AB61*$C$2),MAX((IF(Monthly!Y$4=TRUE,Monthly!Y$13,Monthly!Y$14)*(1+'Attrition Modeling'!$N$8)-'IP Attrition'!AB$65)/12*'IP Attrition'!AB128,0)))</f>
        <v>0</v>
      </c>
      <c r="AD193" s="799">
        <f>IF(EOMONTH(Inputs!$C$8,'IP Attrition'!AD$134-1)&lt;=Inputs!$C$9,0,MIN(IF(ISERROR(VLOOKUP(AD$134+$F193,$D$135:$D$165,1,FALSE)),0,AC61*$C$2),MAX((IF(Monthly!Z$4=TRUE,Monthly!Z$13,Monthly!Z$14)*(1+'Attrition Modeling'!$N$8)-'IP Attrition'!AC$65)/12*'IP Attrition'!AC128,0)))</f>
        <v>0</v>
      </c>
      <c r="AE193" s="799">
        <f>IF(EOMONTH(Inputs!$C$8,'IP Attrition'!AE$134-1)&lt;=Inputs!$C$9,0,MIN(IF(ISERROR(VLOOKUP(AE$134+$F193,$D$135:$D$165,1,FALSE)),0,AD61*$C$2),MAX((IF(Monthly!AA$4=TRUE,Monthly!AA$13,Monthly!AA$14)*(1+'Attrition Modeling'!$N$8)-'IP Attrition'!AD$65)/12*'IP Attrition'!AD128,0)))</f>
        <v>0</v>
      </c>
      <c r="AF193" s="799">
        <f>IF(EOMONTH(Inputs!$C$8,'IP Attrition'!AF$134-1)&lt;=Inputs!$C$9,0,MIN(IF(ISERROR(VLOOKUP(AF$134+$F193,$D$135:$D$165,1,FALSE)),0,AE61*$C$2),MAX((IF(Monthly!AB$4=TRUE,Monthly!AB$13,Monthly!AB$14)*(1+'Attrition Modeling'!$N$8)-'IP Attrition'!AE$65)/12*'IP Attrition'!AE128,0)))</f>
        <v>0</v>
      </c>
      <c r="AG193" s="799">
        <f>IF(EOMONTH(Inputs!$C$8,'IP Attrition'!AG$134-1)&lt;=Inputs!$C$9,0,MIN(IF(ISERROR(VLOOKUP(AG$134+$F193,$D$135:$D$165,1,FALSE)),0,AF61*$C$2),MAX((IF(Monthly!AC$4=TRUE,Monthly!AC$13,Monthly!AC$14)*(1+'Attrition Modeling'!$N$8)-'IP Attrition'!AF$65)/12*'IP Attrition'!AF128,0)))</f>
        <v>0</v>
      </c>
      <c r="AH193" s="799">
        <f>IF(EOMONTH(Inputs!$C$8,'IP Attrition'!AH$134-1)&lt;=Inputs!$C$9,0,MIN(IF(ISERROR(VLOOKUP(AH$134+$F193,$D$135:$D$165,1,FALSE)),0,AG61*$C$2),MAX((IF(Monthly!AD$4=TRUE,Monthly!AD$13,Monthly!AD$14)*(1+'Attrition Modeling'!$N$8)-'IP Attrition'!AG$65)/12*'IP Attrition'!AG128,0)))</f>
        <v>0</v>
      </c>
      <c r="AI193" s="799">
        <f>IF(EOMONTH(Inputs!$C$8,'IP Attrition'!AI$134-1)&lt;=Inputs!$C$9,0,MIN(IF(ISERROR(VLOOKUP(AI$134+$F193,$D$135:$D$165,1,FALSE)),0,AH61*$C$2),MAX((IF(Monthly!AE$4=TRUE,Monthly!AE$13,Monthly!AE$14)*(1+'Attrition Modeling'!$N$8)-'IP Attrition'!AH$65)/12*'IP Attrition'!AH128,0)))</f>
        <v>0</v>
      </c>
      <c r="AJ193" s="799">
        <f>IF(EOMONTH(Inputs!$C$8,'IP Attrition'!AJ$134-1)&lt;=Inputs!$C$9,0,MIN(IF(ISERROR(VLOOKUP(AJ$134+$F193,$D$135:$D$165,1,FALSE)),0,AI61*$C$2),MAX((IF(Monthly!AF$4=TRUE,Monthly!AF$13,Monthly!AF$14)*(1+'Attrition Modeling'!$N$8)-'IP Attrition'!AI$65)/12*'IP Attrition'!AI128,0)))</f>
        <v>0</v>
      </c>
      <c r="AK193" s="799">
        <f>IF(EOMONTH(Inputs!$C$8,'IP Attrition'!AK$134-1)&lt;=Inputs!$C$9,0,MIN(IF(ISERROR(VLOOKUP(AK$134+$F193,$D$135:$D$165,1,FALSE)),0,AJ61*$C$2),MAX((IF(Monthly!AG$4=TRUE,Monthly!AG$13,Monthly!AG$14)*(1+'Attrition Modeling'!$N$8)-'IP Attrition'!AJ$65)/12*'IP Attrition'!AJ128,0)))</f>
        <v>0</v>
      </c>
      <c r="AL193" s="799">
        <f>IF(EOMONTH(Inputs!$C$8,'IP Attrition'!AL$134-1)&lt;=Inputs!$C$9,0,MIN(IF(ISERROR(VLOOKUP(AL$134+$F193,$D$135:$D$165,1,FALSE)),0,AK61*$C$2),MAX((IF(Monthly!AH$4=TRUE,Monthly!AH$13,Monthly!AH$14)*(1+'Attrition Modeling'!$N$8)-'IP Attrition'!AK$65)/12*'IP Attrition'!AK128,0)))</f>
        <v>0</v>
      </c>
      <c r="AM193" s="799">
        <f>IF(EOMONTH(Inputs!$C$8,'IP Attrition'!AM$134-1)&lt;=Inputs!$C$9,0,MIN(IF(ISERROR(VLOOKUP(AM$134+$F193,$D$135:$D$165,1,FALSE)),0,AL61*$C$2),MAX((IF(Monthly!AI$4=TRUE,Monthly!AI$13,Monthly!AI$14)*(1+'Attrition Modeling'!$N$8)-'IP Attrition'!AL$65)/12*'IP Attrition'!AL128,0)))</f>
        <v>0</v>
      </c>
      <c r="AN193" s="799">
        <f>IF(EOMONTH(Inputs!$C$8,'IP Attrition'!AN$134-1)&lt;=Inputs!$C$9,0,MIN(IF(ISERROR(VLOOKUP(AN$134+$F193,$D$135:$D$165,1,FALSE)),0,AM61*$C$2),MAX((IF(Monthly!AJ$4=TRUE,Monthly!AJ$13,Monthly!AJ$14)*(1+'Attrition Modeling'!$N$8)-'IP Attrition'!AM$65)/12*'IP Attrition'!AM128,0)))</f>
        <v>0</v>
      </c>
      <c r="AO193" s="799">
        <f>IF(EOMONTH(Inputs!$C$8,'IP Attrition'!AO$134-1)&lt;=Inputs!$C$9,0,MIN(IF(ISERROR(VLOOKUP(AO$134+$F193,$D$135:$D$165,1,FALSE)),0,AN61*$C$2),MAX((IF(Monthly!AK$4=TRUE,Monthly!AK$13,Monthly!AK$14)*(1+'Attrition Modeling'!$N$8)-'IP Attrition'!AN$65)/12*'IP Attrition'!AN128,0)))</f>
        <v>0</v>
      </c>
      <c r="AP193" s="799">
        <f>IF(EOMONTH(Inputs!$C$8,'IP Attrition'!AP$134-1)&lt;=Inputs!$C$9,0,MIN(IF(ISERROR(VLOOKUP(AP$134+$F193,$D$135:$D$165,1,FALSE)),0,AO61*$C$2),MAX((IF(Monthly!AL$4=TRUE,Monthly!AL$13,Monthly!AL$14)*(1+'Attrition Modeling'!$N$8)-'IP Attrition'!AO$65)/12*'IP Attrition'!AO128,0)))</f>
        <v>0</v>
      </c>
      <c r="AQ193" s="799">
        <f>IF(EOMONTH(Inputs!$C$8,'IP Attrition'!AQ$134-1)&lt;=Inputs!$C$9,0,MIN(IF(ISERROR(VLOOKUP(AQ$134+$F193,$D$135:$D$165,1,FALSE)),0,AP61*$C$2),MAX((IF(Monthly!AM$4=TRUE,Monthly!AM$13,Monthly!AM$14)*(1+'Attrition Modeling'!$N$8)-'IP Attrition'!AP$65)/12*'IP Attrition'!AP128,0)))</f>
        <v>0</v>
      </c>
      <c r="AR193" s="799">
        <f>IF(EOMONTH(Inputs!$C$8,'IP Attrition'!AR$134-1)&lt;=Inputs!$C$9,0,MIN(IF(ISERROR(VLOOKUP(AR$134+$F193,$D$135:$D$165,1,FALSE)),0,AQ61*$C$2),MAX((IF(Monthly!AN$4=TRUE,Monthly!AN$13,Monthly!AN$14)*(1+'Attrition Modeling'!$N$8)-'IP Attrition'!AQ$65)/12*'IP Attrition'!AQ128,0)))</f>
        <v>0</v>
      </c>
      <c r="AS193" s="799">
        <f>IF(EOMONTH(Inputs!$C$8,'IP Attrition'!AS$134-1)&lt;=Inputs!$C$9,0,MIN(IF(ISERROR(VLOOKUP(AS$134+$F193,$D$135:$D$165,1,FALSE)),0,AR61*$C$2),MAX((IF(Monthly!AO$4=TRUE,Monthly!AO$13,Monthly!AO$14)*(1+'Attrition Modeling'!$N$8)-'IP Attrition'!AR$65)/12*'IP Attrition'!AR128,0)))</f>
        <v>0</v>
      </c>
      <c r="AT193" s="799">
        <f>IF(EOMONTH(Inputs!$C$8,'IP Attrition'!AT$134-1)&lt;=Inputs!$C$9,0,MIN(IF(ISERROR(VLOOKUP(AT$134+$F193,$D$135:$D$165,1,FALSE)),0,AS61*$C$2),MAX((IF(Monthly!AP$4=TRUE,Monthly!AP$13,Monthly!AP$14)*(1+'Attrition Modeling'!$N$8)-'IP Attrition'!AS$65)/12*'IP Attrition'!AS128,0)))</f>
        <v>0</v>
      </c>
      <c r="AU193" s="799">
        <f>IF(EOMONTH(Inputs!$C$8,'IP Attrition'!AU$134-1)&lt;=Inputs!$C$9,0,MIN(IF(ISERROR(VLOOKUP(AU$134+$F193,$D$135:$D$165,1,FALSE)),0,AT61*$C$2),MAX((IF(Monthly!AQ$4=TRUE,Monthly!AQ$13,Monthly!AQ$14)*(1+'Attrition Modeling'!$N$8)-'IP Attrition'!AT$65)/12*'IP Attrition'!AT128,0)))</f>
        <v>0</v>
      </c>
      <c r="AV193" s="799">
        <f>IF(EOMONTH(Inputs!$C$8,'IP Attrition'!AV$134-1)&lt;=Inputs!$C$9,0,MIN(IF(ISERROR(VLOOKUP(AV$134+$F193,$D$135:$D$165,1,FALSE)),0,AU61*$C$2),MAX((IF(Monthly!AR$4=TRUE,Monthly!AR$13,Monthly!AR$14)*(1+'Attrition Modeling'!$N$8)-'IP Attrition'!AU$65)/12*'IP Attrition'!AU128,0)))</f>
        <v>0</v>
      </c>
      <c r="AW193" s="799">
        <f>IF(EOMONTH(Inputs!$C$8,'IP Attrition'!AW$134-1)&lt;=Inputs!$C$9,0,MIN(IF(ISERROR(VLOOKUP(AW$134+$F193,$D$135:$D$165,1,FALSE)),0,AV61*$C$2),MAX((IF(Monthly!AS$4=TRUE,Monthly!AS$13,Monthly!AS$14)*(1+'Attrition Modeling'!$N$8)-'IP Attrition'!AV$65)/12*'IP Attrition'!AV128,0)))</f>
        <v>0</v>
      </c>
      <c r="AX193" s="799">
        <f>IF(EOMONTH(Inputs!$C$8,'IP Attrition'!AX$134-1)&lt;=Inputs!$C$9,0,MIN(IF(ISERROR(VLOOKUP(AX$134+$F193,$D$135:$D$165,1,FALSE)),0,AW61*$C$2),MAX((IF(Monthly!AT$4=TRUE,Monthly!AT$13,Monthly!AT$14)*(1+'Attrition Modeling'!$N$8)-'IP Attrition'!AW$65)/12*'IP Attrition'!AW128,0)))</f>
        <v>0</v>
      </c>
      <c r="AY193" s="799">
        <f>IF(EOMONTH(Inputs!$C$8,'IP Attrition'!AY$134-1)&lt;=Inputs!$C$9,0,MIN(IF(ISERROR(VLOOKUP(AY$134+$F193,$D$135:$D$165,1,FALSE)),0,AX61*$C$2),MAX((IF(Monthly!AU$4=TRUE,Monthly!AU$13,Monthly!AU$14)*(1+'Attrition Modeling'!$N$8)-'IP Attrition'!AX$65)/12*'IP Attrition'!AX128,0)))</f>
        <v>0</v>
      </c>
      <c r="AZ193" s="799">
        <f>IF(EOMONTH(Inputs!$C$8,'IP Attrition'!AZ$134-1)&lt;=Inputs!$C$9,0,MIN(IF(ISERROR(VLOOKUP(AZ$134+$F193,$D$135:$D$165,1,FALSE)),0,AY61*$C$2),MAX((IF(Monthly!AV$4=TRUE,Monthly!AV$13,Monthly!AV$14)*(1+'Attrition Modeling'!$N$8)-'IP Attrition'!AY$65)/12*'IP Attrition'!AY128,0)))</f>
        <v>0</v>
      </c>
      <c r="BA193" s="799">
        <f>IF(EOMONTH(Inputs!$C$8,'IP Attrition'!BA$134-1)&lt;=Inputs!$C$9,0,MIN(IF(ISERROR(VLOOKUP(BA$134+$F193,$D$135:$D$165,1,FALSE)),0,AZ61*$C$2),MAX((IF(Monthly!AW$4=TRUE,Monthly!AW$13,Monthly!AW$14)*(1+'Attrition Modeling'!$N$8)-'IP Attrition'!AZ$65)/12*'IP Attrition'!AZ128,0)))</f>
        <v>0</v>
      </c>
      <c r="BB193" s="799">
        <f>IF(EOMONTH(Inputs!$C$8,'IP Attrition'!BB$134-1)&lt;=Inputs!$C$9,0,MIN(IF(ISERROR(VLOOKUP(BB$134+$F193,$D$135:$D$165,1,FALSE)),0,BA61*$C$2),MAX((IF(Monthly!AX$4=TRUE,Monthly!AX$13,Monthly!AX$14)*(1+'Attrition Modeling'!$N$8)-'IP Attrition'!BA$65)/12*'IP Attrition'!BA128,0)))</f>
        <v>0</v>
      </c>
      <c r="BC193" s="799">
        <f>IF(EOMONTH(Inputs!$C$8,'IP Attrition'!BC$134-1)&lt;=Inputs!$C$9,0,MIN(IF(ISERROR(VLOOKUP(BC$134+$F193,$D$135:$D$165,1,FALSE)),0,BB61*$C$2),MAX((IF(Monthly!AY$4=TRUE,Monthly!AY$13,Monthly!AY$14)*(1+'Attrition Modeling'!$N$8)-'IP Attrition'!BB$65)/12*'IP Attrition'!BB128,0)))</f>
        <v>0</v>
      </c>
      <c r="BD193" s="799">
        <f>IF(EOMONTH(Inputs!$C$8,'IP Attrition'!BD$134-1)&lt;=Inputs!$C$9,0,MIN(IF(ISERROR(VLOOKUP(BD$134+$F193,$D$135:$D$165,1,FALSE)),0,BC61*$C$2),MAX((IF(Monthly!AZ$4=TRUE,Monthly!AZ$13,Monthly!AZ$14)*(1+'Attrition Modeling'!$N$8)-'IP Attrition'!BC$65)/12*'IP Attrition'!BC128,0)))</f>
        <v>0</v>
      </c>
      <c r="BE193" s="799">
        <f>IF(EOMONTH(Inputs!$C$8,'IP Attrition'!BE$134-1)&lt;=Inputs!$C$9,0,MIN(IF(ISERROR(VLOOKUP(BE$134+$F193,$D$135:$D$165,1,FALSE)),0,BD61*$C$2),MAX((IF(Monthly!BA$4=TRUE,Monthly!BA$13,Monthly!BA$14)*(1+'Attrition Modeling'!$N$8)-'IP Attrition'!BD$65)/12*'IP Attrition'!BD128,0)))</f>
        <v>0</v>
      </c>
      <c r="BF193" s="799">
        <f>IF(EOMONTH(Inputs!$C$8,'IP Attrition'!BF$134-1)&lt;=Inputs!$C$9,0,MIN(IF(ISERROR(VLOOKUP(BF$134+$F193,$D$135:$D$165,1,FALSE)),0,BE61*$C$2),MAX((IF(Monthly!BB$4=TRUE,Monthly!BB$13,Monthly!BB$14)*(1+'Attrition Modeling'!$N$8)-'IP Attrition'!BE$65)/12*'IP Attrition'!BE128,0)))</f>
        <v>0</v>
      </c>
      <c r="BG193" s="799">
        <f>IF(EOMONTH(Inputs!$C$8,'IP Attrition'!BG$134-1)&lt;=Inputs!$C$9,0,MIN(IF(ISERROR(VLOOKUP(BG$134+$F193,$D$135:$D$165,1,FALSE)),0,BF61*$C$2),MAX((IF(Monthly!BC$4=TRUE,Monthly!BC$13,Monthly!BC$14)*(1+'Attrition Modeling'!$N$8)-'IP Attrition'!BF$65)/12*'IP Attrition'!BF128,0)))</f>
        <v>0</v>
      </c>
      <c r="BH193" s="799">
        <f>IF(EOMONTH(Inputs!$C$8,'IP Attrition'!BH$134-1)&lt;=Inputs!$C$9,0,MIN(IF(ISERROR(VLOOKUP(BH$134+$F193,$D$135:$D$165,1,FALSE)),0,BG61*$C$2),MAX((IF(Monthly!BD$4=TRUE,Monthly!BD$13,Monthly!BD$14)*(1+'Attrition Modeling'!$N$8)-'IP Attrition'!BG$65)/12*'IP Attrition'!BG128,0)))</f>
        <v>0</v>
      </c>
      <c r="BI193" s="799">
        <f>IF(EOMONTH(Inputs!$C$8,'IP Attrition'!BI$134-1)&lt;=Inputs!$C$9,0,MIN(IF(ISERROR(VLOOKUP(BI$134+$F193,$D$135:$D$165,1,FALSE)),0,BH61*$C$2),MAX((IF(Monthly!BE$4=TRUE,Monthly!BE$13,Monthly!BE$14)*(1+'Attrition Modeling'!$N$8)-'IP Attrition'!BH$65)/12*'IP Attrition'!BH128,0)))</f>
        <v>0</v>
      </c>
      <c r="BJ193" s="799">
        <f>IF(EOMONTH(Inputs!$C$8,'IP Attrition'!BJ$134-1)&lt;=Inputs!$C$9,0,MIN(IF(ISERROR(VLOOKUP(BJ$134+$F193,$D$135:$D$165,1,FALSE)),0,BI61*$C$2),MAX((IF(Monthly!BF$4=TRUE,Monthly!BF$13,Monthly!BF$14)*(1+'Attrition Modeling'!$N$8)-'IP Attrition'!BI$65)/12*'IP Attrition'!BI128,0)))</f>
        <v>0</v>
      </c>
      <c r="BK193" s="799">
        <f>IF(EOMONTH(Inputs!$C$8,'IP Attrition'!BK$134-1)&lt;=Inputs!$C$9,0,MIN(IF(ISERROR(VLOOKUP(BK$134+$F193,$D$135:$D$165,1,FALSE)),0,BJ61*$C$2),MAX((IF(Monthly!BG$4=TRUE,Monthly!BG$13,Monthly!BG$14)*(1+'Attrition Modeling'!$N$8)-'IP Attrition'!BJ$65)/12*'IP Attrition'!BJ128,0)))</f>
        <v>0</v>
      </c>
      <c r="BL193" s="799">
        <f>IF(EOMONTH(Inputs!$C$8,'IP Attrition'!BL$134-1)&lt;=Inputs!$C$9,0,MIN(IF(ISERROR(VLOOKUP(BL$134+$F193,$D$135:$D$165,1,FALSE)),0,BK61*$C$2),MAX((IF(Monthly!BH$4=TRUE,Monthly!BH$13,Monthly!BH$14)*(1+'Attrition Modeling'!$N$8)-'IP Attrition'!BK$65)/12*'IP Attrition'!BK128,0)))</f>
        <v>0</v>
      </c>
      <c r="BM193" s="799">
        <f>IF(EOMONTH(Inputs!$C$8,'IP Attrition'!BM$134-1)&lt;=Inputs!$C$9,0,MIN(IF(ISERROR(VLOOKUP(BM$134+$F193,$D$135:$D$165,1,FALSE)),0,BL61*$C$2),MAX((IF(Monthly!BI$4=TRUE,Monthly!BI$13,Monthly!BI$14)*(1+'Attrition Modeling'!$N$8)-'IP Attrition'!BL$65)/12*'IP Attrition'!BL128,0)))</f>
        <v>0</v>
      </c>
      <c r="BN193" s="799">
        <f>IF(EOMONTH(Inputs!$C$8,'IP Attrition'!BN$134-1)&lt;=Inputs!$C$9,0,MIN(IF(ISERROR(VLOOKUP(BN$134+$F193,$D$135:$D$165,1,FALSE)),0,BM61*$C$2),MAX((IF(Monthly!BJ$4=TRUE,Monthly!BJ$13,Monthly!BJ$14)*(1+'Attrition Modeling'!$N$8)-'IP Attrition'!BM$65)/12*'IP Attrition'!BM128,0)))</f>
        <v>0</v>
      </c>
      <c r="BO193" s="799">
        <f>IF(EOMONTH(Inputs!$C$8,'IP Attrition'!BO$134-1)&lt;=Inputs!$C$9,0,MIN(IF(ISERROR(VLOOKUP(BO$134+$F193,$D$135:$D$165,1,FALSE)),0,BN61*$C$2),MAX((IF(Monthly!BK$4=TRUE,Monthly!BK$13,Monthly!BK$14)*(1+'Attrition Modeling'!$N$8)-'IP Attrition'!BN$65)/12*'IP Attrition'!BN128,0)))</f>
        <v>0</v>
      </c>
      <c r="BP193" s="799">
        <f>IF(EOMONTH(Inputs!$C$8,'IP Attrition'!BP$134-1)&lt;=Inputs!$C$9,0,MIN(IF(ISERROR(VLOOKUP(BP$134+$F193,$D$135:$D$165,1,FALSE)),0,BO61*$C$2),MAX((IF(Monthly!BL$4=TRUE,Monthly!BL$13,Monthly!BL$14)*(1+'Attrition Modeling'!$N$8)-'IP Attrition'!BO$65)/12*'IP Attrition'!BO128,0)))</f>
        <v>0</v>
      </c>
      <c r="BQ193" s="799">
        <f>IF(EOMONTH(Inputs!$C$8,'IP Attrition'!BQ$134-1)&lt;=Inputs!$C$9,0,MIN(IF(ISERROR(VLOOKUP(BQ$134+$F193,$D$135:$D$165,1,FALSE)),0,BP61*$C$2),MAX((IF(Monthly!BM$4=TRUE,Monthly!BM$13,Monthly!BM$14)*(1+'Attrition Modeling'!$N$8)-'IP Attrition'!BP$65)/12*'IP Attrition'!BP128,0)))</f>
        <v>0</v>
      </c>
      <c r="BR193" s="799">
        <f>IF(EOMONTH(Inputs!$C$8,'IP Attrition'!BR$134-1)&lt;=Inputs!$C$9,0,MIN(IF(ISERROR(VLOOKUP(BR$134+$F193,$D$135:$D$165,1,FALSE)),0,BQ61*$C$2),MAX((IF(Monthly!BN$4=TRUE,Monthly!BN$13,Monthly!BN$14)*(1+'Attrition Modeling'!$N$8)-'IP Attrition'!BQ$65)/12*'IP Attrition'!BQ128,0)))</f>
        <v>0</v>
      </c>
      <c r="BS193" s="799">
        <f>IF(EOMONTH(Inputs!$C$8,'IP Attrition'!BS$134-1)&lt;=Inputs!$C$9,0,MIN(IF(ISERROR(VLOOKUP(BS$134+$F193,$D$135:$D$165,1,FALSE)),0,BR61*$C$2),MAX((IF(Monthly!BO$4=TRUE,Monthly!BO$13,Monthly!BO$14)*(1+'Attrition Modeling'!$N$8)-'IP Attrition'!BR$65)/12*'IP Attrition'!BR128,0)))</f>
        <v>0</v>
      </c>
      <c r="BT193" s="799" t="e">
        <f>IF(EOMONTH(Inputs!$C$8,'IP Attrition'!BT$134-1)&lt;=Inputs!$C$9,0,MIN(IF(ISERROR(VLOOKUP(BT$134+$F193,$D$135:$D$165,1,FALSE)),0,BS61*$C$2),MAX((IF(Monthly!#REF!=TRUE,Monthly!#REF!,Monthly!#REF!)*(1+'Attrition Modeling'!$N$8)-'IP Attrition'!BS$65)/12*'IP Attrition'!BS128,0)))</f>
        <v>#REF!</v>
      </c>
      <c r="BU193" s="799" t="e">
        <f>IF(EOMONTH(Inputs!$C$8,'IP Attrition'!BU$134-1)&lt;=Inputs!$C$9,0,MIN(IF(ISERROR(VLOOKUP(BU$134+$F193,$D$135:$D$165,1,FALSE)),0,BT61*$C$2),MAX((IF(Monthly!#REF!=TRUE,Monthly!#REF!,Monthly!#REF!)*(1+'Attrition Modeling'!$N$8)-'IP Attrition'!BT$65)/12*'IP Attrition'!BT128,0)))</f>
        <v>#REF!</v>
      </c>
    </row>
    <row r="194" spans="5:73" ht="14.25" customHeight="1" x14ac:dyDescent="0.2">
      <c r="E194" s="25">
        <f t="shared" si="71"/>
        <v>0</v>
      </c>
      <c r="F194" s="11">
        <f t="shared" si="73"/>
        <v>59</v>
      </c>
      <c r="G194" s="799"/>
      <c r="H194" s="799">
        <f>IF(EOMONTH(Inputs!$C$8,'IP Attrition'!H$134-1)&lt;=Inputs!$C$9,0,MIN(IF(ISERROR(VLOOKUP(H$134+$F194,$D$135:$D$165,1,FALSE)),0,G62*$C$2),MAX((IF(Monthly!D$4=TRUE,Monthly!D$13,Monthly!D$14)*(1+'Attrition Modeling'!$N$8)-'IP Attrition'!G$65)/12*'IP Attrition'!G129,0)))</f>
        <v>0</v>
      </c>
      <c r="I194" s="799">
        <f>IF(EOMONTH(Inputs!$C$8,'IP Attrition'!I$134-1)&lt;=Inputs!$C$9,0,MIN(IF(ISERROR(VLOOKUP(I$134+$F194,$D$135:$D$165,1,FALSE)),0,H62*$C$2),MAX((IF(Monthly!E$4=TRUE,Monthly!E$13,Monthly!E$14)*(1+'Attrition Modeling'!$N$8)-'IP Attrition'!H$65)/12*'IP Attrition'!H129,0)))</f>
        <v>0</v>
      </c>
      <c r="J194" s="799">
        <f>IF(EOMONTH(Inputs!$C$8,'IP Attrition'!J$134-1)&lt;=Inputs!$C$9,0,MIN(IF(ISERROR(VLOOKUP(J$134+$F194,$D$135:$D$165,1,FALSE)),0,I62*$C$2),MAX((IF(Monthly!F$4=TRUE,Monthly!F$13,Monthly!F$14)*(1+'Attrition Modeling'!$N$8)-'IP Attrition'!I$65)/12*'IP Attrition'!I129,0)))</f>
        <v>0</v>
      </c>
      <c r="K194" s="799">
        <f>IF(EOMONTH(Inputs!$C$8,'IP Attrition'!K$134-1)&lt;=Inputs!$C$9,0,MIN(IF(ISERROR(VLOOKUP(K$134+$F194,$D$135:$D$165,1,FALSE)),0,J62*$C$2),MAX((IF(Monthly!G$4=TRUE,Monthly!G$13,Monthly!G$14)*(1+'Attrition Modeling'!$N$8)-'IP Attrition'!J$65)/12*'IP Attrition'!J129,0)))</f>
        <v>0</v>
      </c>
      <c r="L194" s="799">
        <f>IF(EOMONTH(Inputs!$C$8,'IP Attrition'!L$134-1)&lt;=Inputs!$C$9,0,MIN(IF(ISERROR(VLOOKUP(L$134+$F194,$D$135:$D$165,1,FALSE)),0,K62*$C$2),MAX((IF(Monthly!H$4=TRUE,Monthly!H$13,Monthly!H$14)*(1+'Attrition Modeling'!$N$8)-'IP Attrition'!K$65)/12*'IP Attrition'!K129,0)))</f>
        <v>0</v>
      </c>
      <c r="M194" s="799">
        <f>IF(EOMONTH(Inputs!$C$8,'IP Attrition'!M$134-1)&lt;=Inputs!$C$9,0,MIN(IF(ISERROR(VLOOKUP(M$134+$F194,$D$135:$D$165,1,FALSE)),0,L62*$C$2),MAX((IF(Monthly!I$4=TRUE,Monthly!I$13,Monthly!I$14)*(1+'Attrition Modeling'!$N$8)-'IP Attrition'!L$65)/12*'IP Attrition'!L129,0)))</f>
        <v>0</v>
      </c>
      <c r="N194" s="799">
        <f>IF(EOMONTH(Inputs!$C$8,'IP Attrition'!N$134-1)&lt;=Inputs!$C$9,0,MIN(IF(ISERROR(VLOOKUP(N$134+$F194,$D$135:$D$165,1,FALSE)),0,M62*$C$2),MAX((IF(Monthly!J$4=TRUE,Monthly!J$13,Monthly!J$14)*(1+'Attrition Modeling'!$N$8)-'IP Attrition'!M$65)/12*'IP Attrition'!M129,0)))</f>
        <v>0</v>
      </c>
      <c r="O194" s="799">
        <f>IF(EOMONTH(Inputs!$C$8,'IP Attrition'!O$134-1)&lt;=Inputs!$C$9,0,MIN(IF(ISERROR(VLOOKUP(O$134+$F194,$D$135:$D$165,1,FALSE)),0,N62*$C$2),MAX((IF(Monthly!K$4=TRUE,Monthly!K$13,Monthly!K$14)*(1+'Attrition Modeling'!$N$8)-'IP Attrition'!N$65)/12*'IP Attrition'!N129,0)))</f>
        <v>0</v>
      </c>
      <c r="P194" s="799">
        <f>IF(EOMONTH(Inputs!$C$8,'IP Attrition'!P$134-1)&lt;=Inputs!$C$9,0,MIN(IF(ISERROR(VLOOKUP(P$134+$F194,$D$135:$D$165,1,FALSE)),0,O62*$C$2),MAX((IF(Monthly!L$4=TRUE,Monthly!L$13,Monthly!L$14)*(1+'Attrition Modeling'!$N$8)-'IP Attrition'!O$65)/12*'IP Attrition'!O129,0)))</f>
        <v>0</v>
      </c>
      <c r="Q194" s="799">
        <f>IF(EOMONTH(Inputs!$C$8,'IP Attrition'!Q$134-1)&lt;=Inputs!$C$9,0,MIN(IF(ISERROR(VLOOKUP(Q$134+$F194,$D$135:$D$165,1,FALSE)),0,P62*$C$2),MAX((IF(Monthly!M$4=TRUE,Monthly!M$13,Monthly!M$14)*(1+'Attrition Modeling'!$N$8)-'IP Attrition'!P$65)/12*'IP Attrition'!P129,0)))</f>
        <v>0</v>
      </c>
      <c r="R194" s="799">
        <f>IF(EOMONTH(Inputs!$C$8,'IP Attrition'!R$134-1)&lt;=Inputs!$C$9,0,MIN(IF(ISERROR(VLOOKUP(R$134+$F194,$D$135:$D$165,1,FALSE)),0,Q62*$C$2),MAX((IF(Monthly!N$4=TRUE,Monthly!N$13,Monthly!N$14)*(1+'Attrition Modeling'!$N$8)-'IP Attrition'!Q$65)/12*'IP Attrition'!Q129,0)))</f>
        <v>0</v>
      </c>
      <c r="S194" s="799">
        <f>IF(EOMONTH(Inputs!$C$8,'IP Attrition'!S$134-1)&lt;=Inputs!$C$9,0,MIN(IF(ISERROR(VLOOKUP(S$134+$F194,$D$135:$D$165,1,FALSE)),0,R62*$C$2),MAX((IF(Monthly!O$4=TRUE,Monthly!O$13,Monthly!O$14)*(1+'Attrition Modeling'!$N$8)-'IP Attrition'!R$65)/12*'IP Attrition'!R129,0)))</f>
        <v>0</v>
      </c>
      <c r="T194" s="799">
        <f>IF(EOMONTH(Inputs!$C$8,'IP Attrition'!T$134-1)&lt;=Inputs!$C$9,0,MIN(IF(ISERROR(VLOOKUP(T$134+$F194,$D$135:$D$165,1,FALSE)),0,S62*$C$2),MAX((IF(Monthly!P$4=TRUE,Monthly!P$13,Monthly!P$14)*(1+'Attrition Modeling'!$N$8)-'IP Attrition'!S$65)/12*'IP Attrition'!S129,0)))</f>
        <v>0</v>
      </c>
      <c r="U194" s="799">
        <f>IF(EOMONTH(Inputs!$C$8,'IP Attrition'!U$134-1)&lt;=Inputs!$C$9,0,MIN(IF(ISERROR(VLOOKUP(U$134+$F194,$D$135:$D$165,1,FALSE)),0,T62*$C$2),MAX((IF(Monthly!Q$4=TRUE,Monthly!Q$13,Monthly!Q$14)*(1+'Attrition Modeling'!$N$8)-'IP Attrition'!T$65)/12*'IP Attrition'!T129,0)))</f>
        <v>0</v>
      </c>
      <c r="V194" s="799">
        <f>IF(EOMONTH(Inputs!$C$8,'IP Attrition'!V$134-1)&lt;=Inputs!$C$9,0,MIN(IF(ISERROR(VLOOKUP(V$134+$F194,$D$135:$D$165,1,FALSE)),0,U62*$C$2),MAX((IF(Monthly!R$4=TRUE,Monthly!R$13,Monthly!R$14)*(1+'Attrition Modeling'!$N$8)-'IP Attrition'!U$65)/12*'IP Attrition'!U129,0)))</f>
        <v>0</v>
      </c>
      <c r="W194" s="799">
        <f>IF(EOMONTH(Inputs!$C$8,'IP Attrition'!W$134-1)&lt;=Inputs!$C$9,0,MIN(IF(ISERROR(VLOOKUP(W$134+$F194,$D$135:$D$165,1,FALSE)),0,V62*$C$2),MAX((IF(Monthly!S$4=TRUE,Monthly!S$13,Monthly!S$14)*(1+'Attrition Modeling'!$N$8)-'IP Attrition'!V$65)/12*'IP Attrition'!V129,0)))</f>
        <v>0</v>
      </c>
      <c r="X194" s="799">
        <f>IF(EOMONTH(Inputs!$C$8,'IP Attrition'!X$134-1)&lt;=Inputs!$C$9,0,MIN(IF(ISERROR(VLOOKUP(X$134+$F194,$D$135:$D$165,1,FALSE)),0,W62*$C$2),MAX((IF(Monthly!T$4=TRUE,Monthly!T$13,Monthly!T$14)*(1+'Attrition Modeling'!$N$8)-'IP Attrition'!W$65)/12*'IP Attrition'!W129,0)))</f>
        <v>0</v>
      </c>
      <c r="Y194" s="799">
        <f>IF(EOMONTH(Inputs!$C$8,'IP Attrition'!Y$134-1)&lt;=Inputs!$C$9,0,MIN(IF(ISERROR(VLOOKUP(Y$134+$F194,$D$135:$D$165,1,FALSE)),0,X62*$C$2),MAX((IF(Monthly!U$4=TRUE,Monthly!U$13,Monthly!U$14)*(1+'Attrition Modeling'!$N$8)-'IP Attrition'!X$65)/12*'IP Attrition'!X129,0)))</f>
        <v>0</v>
      </c>
      <c r="Z194" s="799">
        <f>IF(EOMONTH(Inputs!$C$8,'IP Attrition'!Z$134-1)&lt;=Inputs!$C$9,0,MIN(IF(ISERROR(VLOOKUP(Z$134+$F194,$D$135:$D$165,1,FALSE)),0,Y62*$C$2),MAX((IF(Monthly!V$4=TRUE,Monthly!V$13,Monthly!V$14)*(1+'Attrition Modeling'!$N$8)-'IP Attrition'!Y$65)/12*'IP Attrition'!Y129,0)))</f>
        <v>0</v>
      </c>
      <c r="AA194" s="799">
        <f>IF(EOMONTH(Inputs!$C$8,'IP Attrition'!AA$134-1)&lt;=Inputs!$C$9,0,MIN(IF(ISERROR(VLOOKUP(AA$134+$F194,$D$135:$D$165,1,FALSE)),0,Z62*$C$2),MAX((IF(Monthly!W$4=TRUE,Monthly!W$13,Monthly!W$14)*(1+'Attrition Modeling'!$N$8)-'IP Attrition'!Z$65)/12*'IP Attrition'!Z129,0)))</f>
        <v>0</v>
      </c>
      <c r="AB194" s="799">
        <f>IF(EOMONTH(Inputs!$C$8,'IP Attrition'!AB$134-1)&lt;=Inputs!$C$9,0,MIN(IF(ISERROR(VLOOKUP(AB$134+$F194,$D$135:$D$165,1,FALSE)),0,AA62*$C$2),MAX((IF(Monthly!X$4=TRUE,Monthly!X$13,Monthly!X$14)*(1+'Attrition Modeling'!$N$8)-'IP Attrition'!AA$65)/12*'IP Attrition'!AA129,0)))</f>
        <v>0</v>
      </c>
      <c r="AC194" s="799">
        <f>IF(EOMONTH(Inputs!$C$8,'IP Attrition'!AC$134-1)&lt;=Inputs!$C$9,0,MIN(IF(ISERROR(VLOOKUP(AC$134+$F194,$D$135:$D$165,1,FALSE)),0,AB62*$C$2),MAX((IF(Monthly!Y$4=TRUE,Monthly!Y$13,Monthly!Y$14)*(1+'Attrition Modeling'!$N$8)-'IP Attrition'!AB$65)/12*'IP Attrition'!AB129,0)))</f>
        <v>0</v>
      </c>
      <c r="AD194" s="799">
        <f>IF(EOMONTH(Inputs!$C$8,'IP Attrition'!AD$134-1)&lt;=Inputs!$C$9,0,MIN(IF(ISERROR(VLOOKUP(AD$134+$F194,$D$135:$D$165,1,FALSE)),0,AC62*$C$2),MAX((IF(Monthly!Z$4=TRUE,Monthly!Z$13,Monthly!Z$14)*(1+'Attrition Modeling'!$N$8)-'IP Attrition'!AC$65)/12*'IP Attrition'!AC129,0)))</f>
        <v>0</v>
      </c>
      <c r="AE194" s="799">
        <f>IF(EOMONTH(Inputs!$C$8,'IP Attrition'!AE$134-1)&lt;=Inputs!$C$9,0,MIN(IF(ISERROR(VLOOKUP(AE$134+$F194,$D$135:$D$165,1,FALSE)),0,AD62*$C$2),MAX((IF(Monthly!AA$4=TRUE,Monthly!AA$13,Monthly!AA$14)*(1+'Attrition Modeling'!$N$8)-'IP Attrition'!AD$65)/12*'IP Attrition'!AD129,0)))</f>
        <v>0</v>
      </c>
      <c r="AF194" s="799">
        <f>IF(EOMONTH(Inputs!$C$8,'IP Attrition'!AF$134-1)&lt;=Inputs!$C$9,0,MIN(IF(ISERROR(VLOOKUP(AF$134+$F194,$D$135:$D$165,1,FALSE)),0,AE62*$C$2),MAX((IF(Monthly!AB$4=TRUE,Monthly!AB$13,Monthly!AB$14)*(1+'Attrition Modeling'!$N$8)-'IP Attrition'!AE$65)/12*'IP Attrition'!AE129,0)))</f>
        <v>0</v>
      </c>
      <c r="AG194" s="799">
        <f>IF(EOMONTH(Inputs!$C$8,'IP Attrition'!AG$134-1)&lt;=Inputs!$C$9,0,MIN(IF(ISERROR(VLOOKUP(AG$134+$F194,$D$135:$D$165,1,FALSE)),0,AF62*$C$2),MAX((IF(Monthly!AC$4=TRUE,Monthly!AC$13,Monthly!AC$14)*(1+'Attrition Modeling'!$N$8)-'IP Attrition'!AF$65)/12*'IP Attrition'!AF129,0)))</f>
        <v>0</v>
      </c>
      <c r="AH194" s="799">
        <f>IF(EOMONTH(Inputs!$C$8,'IP Attrition'!AH$134-1)&lt;=Inputs!$C$9,0,MIN(IF(ISERROR(VLOOKUP(AH$134+$F194,$D$135:$D$165,1,FALSE)),0,AG62*$C$2),MAX((IF(Monthly!AD$4=TRUE,Monthly!AD$13,Monthly!AD$14)*(1+'Attrition Modeling'!$N$8)-'IP Attrition'!AG$65)/12*'IP Attrition'!AG129,0)))</f>
        <v>0</v>
      </c>
      <c r="AI194" s="799">
        <f>IF(EOMONTH(Inputs!$C$8,'IP Attrition'!AI$134-1)&lt;=Inputs!$C$9,0,MIN(IF(ISERROR(VLOOKUP(AI$134+$F194,$D$135:$D$165,1,FALSE)),0,AH62*$C$2),MAX((IF(Monthly!AE$4=TRUE,Monthly!AE$13,Monthly!AE$14)*(1+'Attrition Modeling'!$N$8)-'IP Attrition'!AH$65)/12*'IP Attrition'!AH129,0)))</f>
        <v>0</v>
      </c>
      <c r="AJ194" s="799">
        <f>IF(EOMONTH(Inputs!$C$8,'IP Attrition'!AJ$134-1)&lt;=Inputs!$C$9,0,MIN(IF(ISERROR(VLOOKUP(AJ$134+$F194,$D$135:$D$165,1,FALSE)),0,AI62*$C$2),MAX((IF(Monthly!AF$4=TRUE,Monthly!AF$13,Monthly!AF$14)*(1+'Attrition Modeling'!$N$8)-'IP Attrition'!AI$65)/12*'IP Attrition'!AI129,0)))</f>
        <v>0</v>
      </c>
      <c r="AK194" s="799">
        <f>IF(EOMONTH(Inputs!$C$8,'IP Attrition'!AK$134-1)&lt;=Inputs!$C$9,0,MIN(IF(ISERROR(VLOOKUP(AK$134+$F194,$D$135:$D$165,1,FALSE)),0,AJ62*$C$2),MAX((IF(Monthly!AG$4=TRUE,Monthly!AG$13,Monthly!AG$14)*(1+'Attrition Modeling'!$N$8)-'IP Attrition'!AJ$65)/12*'IP Attrition'!AJ129,0)))</f>
        <v>0</v>
      </c>
      <c r="AL194" s="799">
        <f>IF(EOMONTH(Inputs!$C$8,'IP Attrition'!AL$134-1)&lt;=Inputs!$C$9,0,MIN(IF(ISERROR(VLOOKUP(AL$134+$F194,$D$135:$D$165,1,FALSE)),0,AK62*$C$2),MAX((IF(Monthly!AH$4=TRUE,Monthly!AH$13,Monthly!AH$14)*(1+'Attrition Modeling'!$N$8)-'IP Attrition'!AK$65)/12*'IP Attrition'!AK129,0)))</f>
        <v>0</v>
      </c>
      <c r="AM194" s="799">
        <f>IF(EOMONTH(Inputs!$C$8,'IP Attrition'!AM$134-1)&lt;=Inputs!$C$9,0,MIN(IF(ISERROR(VLOOKUP(AM$134+$F194,$D$135:$D$165,1,FALSE)),0,AL62*$C$2),MAX((IF(Monthly!AI$4=TRUE,Monthly!AI$13,Monthly!AI$14)*(1+'Attrition Modeling'!$N$8)-'IP Attrition'!AL$65)/12*'IP Attrition'!AL129,0)))</f>
        <v>0</v>
      </c>
      <c r="AN194" s="799">
        <f>IF(EOMONTH(Inputs!$C$8,'IP Attrition'!AN$134-1)&lt;=Inputs!$C$9,0,MIN(IF(ISERROR(VLOOKUP(AN$134+$F194,$D$135:$D$165,1,FALSE)),0,AM62*$C$2),MAX((IF(Monthly!AJ$4=TRUE,Monthly!AJ$13,Monthly!AJ$14)*(1+'Attrition Modeling'!$N$8)-'IP Attrition'!AM$65)/12*'IP Attrition'!AM129,0)))</f>
        <v>0</v>
      </c>
      <c r="AO194" s="799">
        <f>IF(EOMONTH(Inputs!$C$8,'IP Attrition'!AO$134-1)&lt;=Inputs!$C$9,0,MIN(IF(ISERROR(VLOOKUP(AO$134+$F194,$D$135:$D$165,1,FALSE)),0,AN62*$C$2),MAX((IF(Monthly!AK$4=TRUE,Monthly!AK$13,Monthly!AK$14)*(1+'Attrition Modeling'!$N$8)-'IP Attrition'!AN$65)/12*'IP Attrition'!AN129,0)))</f>
        <v>0</v>
      </c>
      <c r="AP194" s="799">
        <f>IF(EOMONTH(Inputs!$C$8,'IP Attrition'!AP$134-1)&lt;=Inputs!$C$9,0,MIN(IF(ISERROR(VLOOKUP(AP$134+$F194,$D$135:$D$165,1,FALSE)),0,AO62*$C$2),MAX((IF(Monthly!AL$4=TRUE,Monthly!AL$13,Monthly!AL$14)*(1+'Attrition Modeling'!$N$8)-'IP Attrition'!AO$65)/12*'IP Attrition'!AO129,0)))</f>
        <v>0</v>
      </c>
      <c r="AQ194" s="799">
        <f>IF(EOMONTH(Inputs!$C$8,'IP Attrition'!AQ$134-1)&lt;=Inputs!$C$9,0,MIN(IF(ISERROR(VLOOKUP(AQ$134+$F194,$D$135:$D$165,1,FALSE)),0,AP62*$C$2),MAX((IF(Monthly!AM$4=TRUE,Monthly!AM$13,Monthly!AM$14)*(1+'Attrition Modeling'!$N$8)-'IP Attrition'!AP$65)/12*'IP Attrition'!AP129,0)))</f>
        <v>0</v>
      </c>
      <c r="AR194" s="799">
        <f>IF(EOMONTH(Inputs!$C$8,'IP Attrition'!AR$134-1)&lt;=Inputs!$C$9,0,MIN(IF(ISERROR(VLOOKUP(AR$134+$F194,$D$135:$D$165,1,FALSE)),0,AQ62*$C$2),MAX((IF(Monthly!AN$4=TRUE,Monthly!AN$13,Monthly!AN$14)*(1+'Attrition Modeling'!$N$8)-'IP Attrition'!AQ$65)/12*'IP Attrition'!AQ129,0)))</f>
        <v>0</v>
      </c>
      <c r="AS194" s="799">
        <f>IF(EOMONTH(Inputs!$C$8,'IP Attrition'!AS$134-1)&lt;=Inputs!$C$9,0,MIN(IF(ISERROR(VLOOKUP(AS$134+$F194,$D$135:$D$165,1,FALSE)),0,AR62*$C$2),MAX((IF(Monthly!AO$4=TRUE,Monthly!AO$13,Monthly!AO$14)*(1+'Attrition Modeling'!$N$8)-'IP Attrition'!AR$65)/12*'IP Attrition'!AR129,0)))</f>
        <v>0</v>
      </c>
      <c r="AT194" s="799">
        <f>IF(EOMONTH(Inputs!$C$8,'IP Attrition'!AT$134-1)&lt;=Inputs!$C$9,0,MIN(IF(ISERROR(VLOOKUP(AT$134+$F194,$D$135:$D$165,1,FALSE)),0,AS62*$C$2),MAX((IF(Monthly!AP$4=TRUE,Monthly!AP$13,Monthly!AP$14)*(1+'Attrition Modeling'!$N$8)-'IP Attrition'!AS$65)/12*'IP Attrition'!AS129,0)))</f>
        <v>0</v>
      </c>
      <c r="AU194" s="799">
        <f>IF(EOMONTH(Inputs!$C$8,'IP Attrition'!AU$134-1)&lt;=Inputs!$C$9,0,MIN(IF(ISERROR(VLOOKUP(AU$134+$F194,$D$135:$D$165,1,FALSE)),0,AT62*$C$2),MAX((IF(Monthly!AQ$4=TRUE,Monthly!AQ$13,Monthly!AQ$14)*(1+'Attrition Modeling'!$N$8)-'IP Attrition'!AT$65)/12*'IP Attrition'!AT129,0)))</f>
        <v>0</v>
      </c>
      <c r="AV194" s="799">
        <f>IF(EOMONTH(Inputs!$C$8,'IP Attrition'!AV$134-1)&lt;=Inputs!$C$9,0,MIN(IF(ISERROR(VLOOKUP(AV$134+$F194,$D$135:$D$165,1,FALSE)),0,AU62*$C$2),MAX((IF(Monthly!AR$4=TRUE,Monthly!AR$13,Monthly!AR$14)*(1+'Attrition Modeling'!$N$8)-'IP Attrition'!AU$65)/12*'IP Attrition'!AU129,0)))</f>
        <v>0</v>
      </c>
      <c r="AW194" s="799">
        <f>IF(EOMONTH(Inputs!$C$8,'IP Attrition'!AW$134-1)&lt;=Inputs!$C$9,0,MIN(IF(ISERROR(VLOOKUP(AW$134+$F194,$D$135:$D$165,1,FALSE)),0,AV62*$C$2),MAX((IF(Monthly!AS$4=TRUE,Monthly!AS$13,Monthly!AS$14)*(1+'Attrition Modeling'!$N$8)-'IP Attrition'!AV$65)/12*'IP Attrition'!AV129,0)))</f>
        <v>0</v>
      </c>
      <c r="AX194" s="799">
        <f>IF(EOMONTH(Inputs!$C$8,'IP Attrition'!AX$134-1)&lt;=Inputs!$C$9,0,MIN(IF(ISERROR(VLOOKUP(AX$134+$F194,$D$135:$D$165,1,FALSE)),0,AW62*$C$2),MAX((IF(Monthly!AT$4=TRUE,Monthly!AT$13,Monthly!AT$14)*(1+'Attrition Modeling'!$N$8)-'IP Attrition'!AW$65)/12*'IP Attrition'!AW129,0)))</f>
        <v>0</v>
      </c>
      <c r="AY194" s="799">
        <f>IF(EOMONTH(Inputs!$C$8,'IP Attrition'!AY$134-1)&lt;=Inputs!$C$9,0,MIN(IF(ISERROR(VLOOKUP(AY$134+$F194,$D$135:$D$165,1,FALSE)),0,AX62*$C$2),MAX((IF(Monthly!AU$4=TRUE,Monthly!AU$13,Monthly!AU$14)*(1+'Attrition Modeling'!$N$8)-'IP Attrition'!AX$65)/12*'IP Attrition'!AX129,0)))</f>
        <v>0</v>
      </c>
      <c r="AZ194" s="799">
        <f>IF(EOMONTH(Inputs!$C$8,'IP Attrition'!AZ$134-1)&lt;=Inputs!$C$9,0,MIN(IF(ISERROR(VLOOKUP(AZ$134+$F194,$D$135:$D$165,1,FALSE)),0,AY62*$C$2),MAX((IF(Monthly!AV$4=TRUE,Monthly!AV$13,Monthly!AV$14)*(1+'Attrition Modeling'!$N$8)-'IP Attrition'!AY$65)/12*'IP Attrition'!AY129,0)))</f>
        <v>0</v>
      </c>
      <c r="BA194" s="799">
        <f>IF(EOMONTH(Inputs!$C$8,'IP Attrition'!BA$134-1)&lt;=Inputs!$C$9,0,MIN(IF(ISERROR(VLOOKUP(BA$134+$F194,$D$135:$D$165,1,FALSE)),0,AZ62*$C$2),MAX((IF(Monthly!AW$4=TRUE,Monthly!AW$13,Monthly!AW$14)*(1+'Attrition Modeling'!$N$8)-'IP Attrition'!AZ$65)/12*'IP Attrition'!AZ129,0)))</f>
        <v>0</v>
      </c>
      <c r="BB194" s="799">
        <f>IF(EOMONTH(Inputs!$C$8,'IP Attrition'!BB$134-1)&lt;=Inputs!$C$9,0,MIN(IF(ISERROR(VLOOKUP(BB$134+$F194,$D$135:$D$165,1,FALSE)),0,BA62*$C$2),MAX((IF(Monthly!AX$4=TRUE,Monthly!AX$13,Monthly!AX$14)*(1+'Attrition Modeling'!$N$8)-'IP Attrition'!BA$65)/12*'IP Attrition'!BA129,0)))</f>
        <v>0</v>
      </c>
      <c r="BC194" s="799">
        <f>IF(EOMONTH(Inputs!$C$8,'IP Attrition'!BC$134-1)&lt;=Inputs!$C$9,0,MIN(IF(ISERROR(VLOOKUP(BC$134+$F194,$D$135:$D$165,1,FALSE)),0,BB62*$C$2),MAX((IF(Monthly!AY$4=TRUE,Monthly!AY$13,Monthly!AY$14)*(1+'Attrition Modeling'!$N$8)-'IP Attrition'!BB$65)/12*'IP Attrition'!BB129,0)))</f>
        <v>0</v>
      </c>
      <c r="BD194" s="799">
        <f>IF(EOMONTH(Inputs!$C$8,'IP Attrition'!BD$134-1)&lt;=Inputs!$C$9,0,MIN(IF(ISERROR(VLOOKUP(BD$134+$F194,$D$135:$D$165,1,FALSE)),0,BC62*$C$2),MAX((IF(Monthly!AZ$4=TRUE,Monthly!AZ$13,Monthly!AZ$14)*(1+'Attrition Modeling'!$N$8)-'IP Attrition'!BC$65)/12*'IP Attrition'!BC129,0)))</f>
        <v>0</v>
      </c>
      <c r="BE194" s="799">
        <f>IF(EOMONTH(Inputs!$C$8,'IP Attrition'!BE$134-1)&lt;=Inputs!$C$9,0,MIN(IF(ISERROR(VLOOKUP(BE$134+$F194,$D$135:$D$165,1,FALSE)),0,BD62*$C$2),MAX((IF(Monthly!BA$4=TRUE,Monthly!BA$13,Monthly!BA$14)*(1+'Attrition Modeling'!$N$8)-'IP Attrition'!BD$65)/12*'IP Attrition'!BD129,0)))</f>
        <v>0</v>
      </c>
      <c r="BF194" s="799">
        <f>IF(EOMONTH(Inputs!$C$8,'IP Attrition'!BF$134-1)&lt;=Inputs!$C$9,0,MIN(IF(ISERROR(VLOOKUP(BF$134+$F194,$D$135:$D$165,1,FALSE)),0,BE62*$C$2),MAX((IF(Monthly!BB$4=TRUE,Monthly!BB$13,Monthly!BB$14)*(1+'Attrition Modeling'!$N$8)-'IP Attrition'!BE$65)/12*'IP Attrition'!BE129,0)))</f>
        <v>0</v>
      </c>
      <c r="BG194" s="799">
        <f>IF(EOMONTH(Inputs!$C$8,'IP Attrition'!BG$134-1)&lt;=Inputs!$C$9,0,MIN(IF(ISERROR(VLOOKUP(BG$134+$F194,$D$135:$D$165,1,FALSE)),0,BF62*$C$2),MAX((IF(Monthly!BC$4=TRUE,Monthly!BC$13,Monthly!BC$14)*(1+'Attrition Modeling'!$N$8)-'IP Attrition'!BF$65)/12*'IP Attrition'!BF129,0)))</f>
        <v>0</v>
      </c>
      <c r="BH194" s="799">
        <f>IF(EOMONTH(Inputs!$C$8,'IP Attrition'!BH$134-1)&lt;=Inputs!$C$9,0,MIN(IF(ISERROR(VLOOKUP(BH$134+$F194,$D$135:$D$165,1,FALSE)),0,BG62*$C$2),MAX((IF(Monthly!BD$4=TRUE,Monthly!BD$13,Monthly!BD$14)*(1+'Attrition Modeling'!$N$8)-'IP Attrition'!BG$65)/12*'IP Attrition'!BG129,0)))</f>
        <v>0</v>
      </c>
      <c r="BI194" s="799">
        <f>IF(EOMONTH(Inputs!$C$8,'IP Attrition'!BI$134-1)&lt;=Inputs!$C$9,0,MIN(IF(ISERROR(VLOOKUP(BI$134+$F194,$D$135:$D$165,1,FALSE)),0,BH62*$C$2),MAX((IF(Monthly!BE$4=TRUE,Monthly!BE$13,Monthly!BE$14)*(1+'Attrition Modeling'!$N$8)-'IP Attrition'!BH$65)/12*'IP Attrition'!BH129,0)))</f>
        <v>0</v>
      </c>
      <c r="BJ194" s="799">
        <f>IF(EOMONTH(Inputs!$C$8,'IP Attrition'!BJ$134-1)&lt;=Inputs!$C$9,0,MIN(IF(ISERROR(VLOOKUP(BJ$134+$F194,$D$135:$D$165,1,FALSE)),0,BI62*$C$2),MAX((IF(Monthly!BF$4=TRUE,Monthly!BF$13,Monthly!BF$14)*(1+'Attrition Modeling'!$N$8)-'IP Attrition'!BI$65)/12*'IP Attrition'!BI129,0)))</f>
        <v>0</v>
      </c>
      <c r="BK194" s="799">
        <f>IF(EOMONTH(Inputs!$C$8,'IP Attrition'!BK$134-1)&lt;=Inputs!$C$9,0,MIN(IF(ISERROR(VLOOKUP(BK$134+$F194,$D$135:$D$165,1,FALSE)),0,BJ62*$C$2),MAX((IF(Monthly!BG$4=TRUE,Monthly!BG$13,Monthly!BG$14)*(1+'Attrition Modeling'!$N$8)-'IP Attrition'!BJ$65)/12*'IP Attrition'!BJ129,0)))</f>
        <v>0</v>
      </c>
      <c r="BL194" s="799">
        <f>IF(EOMONTH(Inputs!$C$8,'IP Attrition'!BL$134-1)&lt;=Inputs!$C$9,0,MIN(IF(ISERROR(VLOOKUP(BL$134+$F194,$D$135:$D$165,1,FALSE)),0,BK62*$C$2),MAX((IF(Monthly!BH$4=TRUE,Monthly!BH$13,Monthly!BH$14)*(1+'Attrition Modeling'!$N$8)-'IP Attrition'!BK$65)/12*'IP Attrition'!BK129,0)))</f>
        <v>0</v>
      </c>
      <c r="BM194" s="799">
        <f>IF(EOMONTH(Inputs!$C$8,'IP Attrition'!BM$134-1)&lt;=Inputs!$C$9,0,MIN(IF(ISERROR(VLOOKUP(BM$134+$F194,$D$135:$D$165,1,FALSE)),0,BL62*$C$2),MAX((IF(Monthly!BI$4=TRUE,Monthly!BI$13,Monthly!BI$14)*(1+'Attrition Modeling'!$N$8)-'IP Attrition'!BL$65)/12*'IP Attrition'!BL129,0)))</f>
        <v>0</v>
      </c>
      <c r="BN194" s="799">
        <f>IF(EOMONTH(Inputs!$C$8,'IP Attrition'!BN$134-1)&lt;=Inputs!$C$9,0,MIN(IF(ISERROR(VLOOKUP(BN$134+$F194,$D$135:$D$165,1,FALSE)),0,BM62*$C$2),MAX((IF(Monthly!BJ$4=TRUE,Monthly!BJ$13,Monthly!BJ$14)*(1+'Attrition Modeling'!$N$8)-'IP Attrition'!BM$65)/12*'IP Attrition'!BM129,0)))</f>
        <v>0</v>
      </c>
      <c r="BO194" s="799">
        <f>IF(EOMONTH(Inputs!$C$8,'IP Attrition'!BO$134-1)&lt;=Inputs!$C$9,0,MIN(IF(ISERROR(VLOOKUP(BO$134+$F194,$D$135:$D$165,1,FALSE)),0,BN62*$C$2),MAX((IF(Monthly!BK$4=TRUE,Monthly!BK$13,Monthly!BK$14)*(1+'Attrition Modeling'!$N$8)-'IP Attrition'!BN$65)/12*'IP Attrition'!BN129,0)))</f>
        <v>0</v>
      </c>
      <c r="BP194" s="799">
        <f>IF(EOMONTH(Inputs!$C$8,'IP Attrition'!BP$134-1)&lt;=Inputs!$C$9,0,MIN(IF(ISERROR(VLOOKUP(BP$134+$F194,$D$135:$D$165,1,FALSE)),0,BO62*$C$2),MAX((IF(Monthly!BL$4=TRUE,Monthly!BL$13,Monthly!BL$14)*(1+'Attrition Modeling'!$N$8)-'IP Attrition'!BO$65)/12*'IP Attrition'!BO129,0)))</f>
        <v>0</v>
      </c>
      <c r="BQ194" s="799">
        <f>IF(EOMONTH(Inputs!$C$8,'IP Attrition'!BQ$134-1)&lt;=Inputs!$C$9,0,MIN(IF(ISERROR(VLOOKUP(BQ$134+$F194,$D$135:$D$165,1,FALSE)),0,BP62*$C$2),MAX((IF(Monthly!BM$4=TRUE,Monthly!BM$13,Monthly!BM$14)*(1+'Attrition Modeling'!$N$8)-'IP Attrition'!BP$65)/12*'IP Attrition'!BP129,0)))</f>
        <v>0</v>
      </c>
      <c r="BR194" s="799">
        <f>IF(EOMONTH(Inputs!$C$8,'IP Attrition'!BR$134-1)&lt;=Inputs!$C$9,0,MIN(IF(ISERROR(VLOOKUP(BR$134+$F194,$D$135:$D$165,1,FALSE)),0,BQ62*$C$2),MAX((IF(Monthly!BN$4=TRUE,Monthly!BN$13,Monthly!BN$14)*(1+'Attrition Modeling'!$N$8)-'IP Attrition'!BQ$65)/12*'IP Attrition'!BQ129,0)))</f>
        <v>0</v>
      </c>
      <c r="BS194" s="799">
        <f>IF(EOMONTH(Inputs!$C$8,'IP Attrition'!BS$134-1)&lt;=Inputs!$C$9,0,MIN(IF(ISERROR(VLOOKUP(BS$134+$F194,$D$135:$D$165,1,FALSE)),0,BR62*$C$2),MAX((IF(Monthly!BO$4=TRUE,Monthly!BO$13,Monthly!BO$14)*(1+'Attrition Modeling'!$N$8)-'IP Attrition'!BR$65)/12*'IP Attrition'!BR129,0)))</f>
        <v>0</v>
      </c>
      <c r="BT194" s="799" t="e">
        <f>IF(EOMONTH(Inputs!$C$8,'IP Attrition'!BT$134-1)&lt;=Inputs!$C$9,0,MIN(IF(ISERROR(VLOOKUP(BT$134+$F194,$D$135:$D$165,1,FALSE)),0,BS62*$C$2),MAX((IF(Monthly!#REF!=TRUE,Monthly!#REF!,Monthly!#REF!)*(1+'Attrition Modeling'!$N$8)-'IP Attrition'!BS$65)/12*'IP Attrition'!BS129,0)))</f>
        <v>#REF!</v>
      </c>
      <c r="BU194" s="799" t="e">
        <f>IF(EOMONTH(Inputs!$C$8,'IP Attrition'!BU$134-1)&lt;=Inputs!$C$9,0,MIN(IF(ISERROR(VLOOKUP(BU$134+$F194,$D$135:$D$165,1,FALSE)),0,BT62*$C$2),MAX((IF(Monthly!#REF!=TRUE,Monthly!#REF!,Monthly!#REF!)*(1+'Attrition Modeling'!$N$8)-'IP Attrition'!BT$65)/12*'IP Attrition'!BT129,0)))</f>
        <v>#REF!</v>
      </c>
    </row>
    <row r="195" spans="5:73" ht="14.25" customHeight="1" x14ac:dyDescent="0.2">
      <c r="E195" s="25">
        <f t="shared" si="71"/>
        <v>0</v>
      </c>
      <c r="F195" s="11">
        <f t="shared" si="73"/>
        <v>60</v>
      </c>
      <c r="G195" s="801"/>
      <c r="H195" s="799">
        <f>IF(EOMONTH(Inputs!$C$8,'IP Attrition'!H$134-1)&lt;=Inputs!$C$9,0,MIN(IF(ISERROR(VLOOKUP(H$134+$F195,$D$135:$D$165,1,FALSE)),0,G63*$C$2),MAX((IF(Monthly!D$4=TRUE,Monthly!D$13,Monthly!D$14)*(1+'Attrition Modeling'!$N$8)-'IP Attrition'!G$65)/12*'IP Attrition'!G130,0)))</f>
        <v>0</v>
      </c>
      <c r="I195" s="799">
        <f>IF(EOMONTH(Inputs!$C$8,'IP Attrition'!I$134-1)&lt;=Inputs!$C$9,0,MIN(IF(ISERROR(VLOOKUP(I$134+$F195,$D$135:$D$165,1,FALSE)),0,H63*$C$2),MAX((IF(Monthly!E$4=TRUE,Monthly!E$13,Monthly!E$14)*(1+'Attrition Modeling'!$N$8)-'IP Attrition'!H$65)/12*'IP Attrition'!H130,0)))</f>
        <v>0</v>
      </c>
      <c r="J195" s="799">
        <f>IF(EOMONTH(Inputs!$C$8,'IP Attrition'!J$134-1)&lt;=Inputs!$C$9,0,MIN(IF(ISERROR(VLOOKUP(J$134+$F195,$D$135:$D$165,1,FALSE)),0,I63*$C$2),MAX((IF(Monthly!F$4=TRUE,Monthly!F$13,Monthly!F$14)*(1+'Attrition Modeling'!$N$8)-'IP Attrition'!I$65)/12*'IP Attrition'!I130,0)))</f>
        <v>0</v>
      </c>
      <c r="K195" s="799">
        <f>IF(EOMONTH(Inputs!$C$8,'IP Attrition'!K$134-1)&lt;=Inputs!$C$9,0,MIN(IF(ISERROR(VLOOKUP(K$134+$F195,$D$135:$D$165,1,FALSE)),0,J63*$C$2),MAX((IF(Monthly!G$4=TRUE,Monthly!G$13,Monthly!G$14)*(1+'Attrition Modeling'!$N$8)-'IP Attrition'!J$65)/12*'IP Attrition'!J130,0)))</f>
        <v>0</v>
      </c>
      <c r="L195" s="799">
        <f>IF(EOMONTH(Inputs!$C$8,'IP Attrition'!L$134-1)&lt;=Inputs!$C$9,0,MIN(IF(ISERROR(VLOOKUP(L$134+$F195,$D$135:$D$165,1,FALSE)),0,K63*$C$2),MAX((IF(Monthly!H$4=TRUE,Monthly!H$13,Monthly!H$14)*(1+'Attrition Modeling'!$N$8)-'IP Attrition'!K$65)/12*'IP Attrition'!K130,0)))</f>
        <v>0</v>
      </c>
      <c r="M195" s="799">
        <f>IF(EOMONTH(Inputs!$C$8,'IP Attrition'!M$134-1)&lt;=Inputs!$C$9,0,MIN(IF(ISERROR(VLOOKUP(M$134+$F195,$D$135:$D$165,1,FALSE)),0,L63*$C$2),MAX((IF(Monthly!I$4=TRUE,Monthly!I$13,Monthly!I$14)*(1+'Attrition Modeling'!$N$8)-'IP Attrition'!L$65)/12*'IP Attrition'!L130,0)))</f>
        <v>0</v>
      </c>
      <c r="N195" s="799">
        <f>IF(EOMONTH(Inputs!$C$8,'IP Attrition'!N$134-1)&lt;=Inputs!$C$9,0,MIN(IF(ISERROR(VLOOKUP(N$134+$F195,$D$135:$D$165,1,FALSE)),0,M63*$C$2),MAX((IF(Monthly!J$4=TRUE,Monthly!J$13,Monthly!J$14)*(1+'Attrition Modeling'!$N$8)-'IP Attrition'!M$65)/12*'IP Attrition'!M130,0)))</f>
        <v>0</v>
      </c>
      <c r="O195" s="799">
        <f>IF(EOMONTH(Inputs!$C$8,'IP Attrition'!O$134-1)&lt;=Inputs!$C$9,0,MIN(IF(ISERROR(VLOOKUP(O$134+$F195,$D$135:$D$165,1,FALSE)),0,N63*$C$2),MAX((IF(Monthly!K$4=TRUE,Monthly!K$13,Monthly!K$14)*(1+'Attrition Modeling'!$N$8)-'IP Attrition'!N$65)/12*'IP Attrition'!N130,0)))</f>
        <v>0</v>
      </c>
      <c r="P195" s="799">
        <f>IF(EOMONTH(Inputs!$C$8,'IP Attrition'!P$134-1)&lt;=Inputs!$C$9,0,MIN(IF(ISERROR(VLOOKUP(P$134+$F195,$D$135:$D$165,1,FALSE)),0,O63*$C$2),MAX((IF(Monthly!L$4=TRUE,Monthly!L$13,Monthly!L$14)*(1+'Attrition Modeling'!$N$8)-'IP Attrition'!O$65)/12*'IP Attrition'!O130,0)))</f>
        <v>0</v>
      </c>
      <c r="Q195" s="799">
        <f>IF(EOMONTH(Inputs!$C$8,'IP Attrition'!Q$134-1)&lt;=Inputs!$C$9,0,MIN(IF(ISERROR(VLOOKUP(Q$134+$F195,$D$135:$D$165,1,FALSE)),0,P63*$C$2),MAX((IF(Monthly!M$4=TRUE,Monthly!M$13,Monthly!M$14)*(1+'Attrition Modeling'!$N$8)-'IP Attrition'!P$65)/12*'IP Attrition'!P130,0)))</f>
        <v>0</v>
      </c>
      <c r="R195" s="799">
        <f>IF(EOMONTH(Inputs!$C$8,'IP Attrition'!R$134-1)&lt;=Inputs!$C$9,0,MIN(IF(ISERROR(VLOOKUP(R$134+$F195,$D$135:$D$165,1,FALSE)),0,Q63*$C$2),MAX((IF(Monthly!N$4=TRUE,Monthly!N$13,Monthly!N$14)*(1+'Attrition Modeling'!$N$8)-'IP Attrition'!Q$65)/12*'IP Attrition'!Q130,0)))</f>
        <v>0</v>
      </c>
      <c r="S195" s="799">
        <f>IF(EOMONTH(Inputs!$C$8,'IP Attrition'!S$134-1)&lt;=Inputs!$C$9,0,MIN(IF(ISERROR(VLOOKUP(S$134+$F195,$D$135:$D$165,1,FALSE)),0,R63*$C$2),MAX((IF(Monthly!O$4=TRUE,Monthly!O$13,Monthly!O$14)*(1+'Attrition Modeling'!$N$8)-'IP Attrition'!R$65)/12*'IP Attrition'!R130,0)))</f>
        <v>0</v>
      </c>
      <c r="T195" s="799">
        <f>IF(EOMONTH(Inputs!$C$8,'IP Attrition'!T$134-1)&lt;=Inputs!$C$9,0,MIN(IF(ISERROR(VLOOKUP(T$134+$F195,$D$135:$D$165,1,FALSE)),0,S63*$C$2),MAX((IF(Monthly!P$4=TRUE,Monthly!P$13,Monthly!P$14)*(1+'Attrition Modeling'!$N$8)-'IP Attrition'!S$65)/12*'IP Attrition'!S130,0)))</f>
        <v>0</v>
      </c>
      <c r="U195" s="799">
        <f>IF(EOMONTH(Inputs!$C$8,'IP Attrition'!U$134-1)&lt;=Inputs!$C$9,0,MIN(IF(ISERROR(VLOOKUP(U$134+$F195,$D$135:$D$165,1,FALSE)),0,T63*$C$2),MAX((IF(Monthly!Q$4=TRUE,Monthly!Q$13,Monthly!Q$14)*(1+'Attrition Modeling'!$N$8)-'IP Attrition'!T$65)/12*'IP Attrition'!T130,0)))</f>
        <v>0</v>
      </c>
      <c r="V195" s="799">
        <f>IF(EOMONTH(Inputs!$C$8,'IP Attrition'!V$134-1)&lt;=Inputs!$C$9,0,MIN(IF(ISERROR(VLOOKUP(V$134+$F195,$D$135:$D$165,1,FALSE)),0,U63*$C$2),MAX((IF(Monthly!R$4=TRUE,Monthly!R$13,Monthly!R$14)*(1+'Attrition Modeling'!$N$8)-'IP Attrition'!U$65)/12*'IP Attrition'!U130,0)))</f>
        <v>0</v>
      </c>
      <c r="W195" s="799">
        <f>IF(EOMONTH(Inputs!$C$8,'IP Attrition'!W$134-1)&lt;=Inputs!$C$9,0,MIN(IF(ISERROR(VLOOKUP(W$134+$F195,$D$135:$D$165,1,FALSE)),0,V63*$C$2),MAX((IF(Monthly!S$4=TRUE,Monthly!S$13,Monthly!S$14)*(1+'Attrition Modeling'!$N$8)-'IP Attrition'!V$65)/12*'IP Attrition'!V130,0)))</f>
        <v>0</v>
      </c>
      <c r="X195" s="799">
        <f>IF(EOMONTH(Inputs!$C$8,'IP Attrition'!X$134-1)&lt;=Inputs!$C$9,0,MIN(IF(ISERROR(VLOOKUP(X$134+$F195,$D$135:$D$165,1,FALSE)),0,W63*$C$2),MAX((IF(Monthly!T$4=TRUE,Monthly!T$13,Monthly!T$14)*(1+'Attrition Modeling'!$N$8)-'IP Attrition'!W$65)/12*'IP Attrition'!W130,0)))</f>
        <v>0</v>
      </c>
      <c r="Y195" s="799">
        <f>IF(EOMONTH(Inputs!$C$8,'IP Attrition'!Y$134-1)&lt;=Inputs!$C$9,0,MIN(IF(ISERROR(VLOOKUP(Y$134+$F195,$D$135:$D$165,1,FALSE)),0,X63*$C$2),MAX((IF(Monthly!U$4=TRUE,Monthly!U$13,Monthly!U$14)*(1+'Attrition Modeling'!$N$8)-'IP Attrition'!X$65)/12*'IP Attrition'!X130,0)))</f>
        <v>0</v>
      </c>
      <c r="Z195" s="799">
        <f>IF(EOMONTH(Inputs!$C$8,'IP Attrition'!Z$134-1)&lt;=Inputs!$C$9,0,MIN(IF(ISERROR(VLOOKUP(Z$134+$F195,$D$135:$D$165,1,FALSE)),0,Y63*$C$2),MAX((IF(Monthly!V$4=TRUE,Monthly!V$13,Monthly!V$14)*(1+'Attrition Modeling'!$N$8)-'IP Attrition'!Y$65)/12*'IP Attrition'!Y130,0)))</f>
        <v>0</v>
      </c>
      <c r="AA195" s="799">
        <f>IF(EOMONTH(Inputs!$C$8,'IP Attrition'!AA$134-1)&lt;=Inputs!$C$9,0,MIN(IF(ISERROR(VLOOKUP(AA$134+$F195,$D$135:$D$165,1,FALSE)),0,Z63*$C$2),MAX((IF(Monthly!W$4=TRUE,Monthly!W$13,Monthly!W$14)*(1+'Attrition Modeling'!$N$8)-'IP Attrition'!Z$65)/12*'IP Attrition'!Z130,0)))</f>
        <v>0</v>
      </c>
      <c r="AB195" s="799">
        <f>IF(EOMONTH(Inputs!$C$8,'IP Attrition'!AB$134-1)&lt;=Inputs!$C$9,0,MIN(IF(ISERROR(VLOOKUP(AB$134+$F195,$D$135:$D$165,1,FALSE)),0,AA63*$C$2),MAX((IF(Monthly!X$4=TRUE,Monthly!X$13,Monthly!X$14)*(1+'Attrition Modeling'!$N$8)-'IP Attrition'!AA$65)/12*'IP Attrition'!AA130,0)))</f>
        <v>0</v>
      </c>
      <c r="AC195" s="799">
        <f>IF(EOMONTH(Inputs!$C$8,'IP Attrition'!AC$134-1)&lt;=Inputs!$C$9,0,MIN(IF(ISERROR(VLOOKUP(AC$134+$F195,$D$135:$D$165,1,FALSE)),0,AB63*$C$2),MAX((IF(Monthly!Y$4=TRUE,Monthly!Y$13,Monthly!Y$14)*(1+'Attrition Modeling'!$N$8)-'IP Attrition'!AB$65)/12*'IP Attrition'!AB130,0)))</f>
        <v>0</v>
      </c>
      <c r="AD195" s="799">
        <f>IF(EOMONTH(Inputs!$C$8,'IP Attrition'!AD$134-1)&lt;=Inputs!$C$9,0,MIN(IF(ISERROR(VLOOKUP(AD$134+$F195,$D$135:$D$165,1,FALSE)),0,AC63*$C$2),MAX((IF(Monthly!Z$4=TRUE,Monthly!Z$13,Monthly!Z$14)*(1+'Attrition Modeling'!$N$8)-'IP Attrition'!AC$65)/12*'IP Attrition'!AC130,0)))</f>
        <v>0</v>
      </c>
      <c r="AE195" s="799">
        <f>IF(EOMONTH(Inputs!$C$8,'IP Attrition'!AE$134-1)&lt;=Inputs!$C$9,0,MIN(IF(ISERROR(VLOOKUP(AE$134+$F195,$D$135:$D$165,1,FALSE)),0,AD63*$C$2),MAX((IF(Monthly!AA$4=TRUE,Monthly!AA$13,Monthly!AA$14)*(1+'Attrition Modeling'!$N$8)-'IP Attrition'!AD$65)/12*'IP Attrition'!AD130,0)))</f>
        <v>0</v>
      </c>
      <c r="AF195" s="799">
        <f>IF(EOMONTH(Inputs!$C$8,'IP Attrition'!AF$134-1)&lt;=Inputs!$C$9,0,MIN(IF(ISERROR(VLOOKUP(AF$134+$F195,$D$135:$D$165,1,FALSE)),0,AE63*$C$2),MAX((IF(Monthly!AB$4=TRUE,Monthly!AB$13,Monthly!AB$14)*(1+'Attrition Modeling'!$N$8)-'IP Attrition'!AE$65)/12*'IP Attrition'!AE130,0)))</f>
        <v>0</v>
      </c>
      <c r="AG195" s="799">
        <f>IF(EOMONTH(Inputs!$C$8,'IP Attrition'!AG$134-1)&lt;=Inputs!$C$9,0,MIN(IF(ISERROR(VLOOKUP(AG$134+$F195,$D$135:$D$165,1,FALSE)),0,AF63*$C$2),MAX((IF(Monthly!AC$4=TRUE,Monthly!AC$13,Monthly!AC$14)*(1+'Attrition Modeling'!$N$8)-'IP Attrition'!AF$65)/12*'IP Attrition'!AF130,0)))</f>
        <v>0</v>
      </c>
      <c r="AH195" s="799">
        <f>IF(EOMONTH(Inputs!$C$8,'IP Attrition'!AH$134-1)&lt;=Inputs!$C$9,0,MIN(IF(ISERROR(VLOOKUP(AH$134+$F195,$D$135:$D$165,1,FALSE)),0,AG63*$C$2),MAX((IF(Monthly!AD$4=TRUE,Monthly!AD$13,Monthly!AD$14)*(1+'Attrition Modeling'!$N$8)-'IP Attrition'!AG$65)/12*'IP Attrition'!AG130,0)))</f>
        <v>0</v>
      </c>
      <c r="AI195" s="799">
        <f>IF(EOMONTH(Inputs!$C$8,'IP Attrition'!AI$134-1)&lt;=Inputs!$C$9,0,MIN(IF(ISERROR(VLOOKUP(AI$134+$F195,$D$135:$D$165,1,FALSE)),0,AH63*$C$2),MAX((IF(Monthly!AE$4=TRUE,Monthly!AE$13,Monthly!AE$14)*(1+'Attrition Modeling'!$N$8)-'IP Attrition'!AH$65)/12*'IP Attrition'!AH130,0)))</f>
        <v>0</v>
      </c>
      <c r="AJ195" s="799">
        <f>IF(EOMONTH(Inputs!$C$8,'IP Attrition'!AJ$134-1)&lt;=Inputs!$C$9,0,MIN(IF(ISERROR(VLOOKUP(AJ$134+$F195,$D$135:$D$165,1,FALSE)),0,AI63*$C$2),MAX((IF(Monthly!AF$4=TRUE,Monthly!AF$13,Monthly!AF$14)*(1+'Attrition Modeling'!$N$8)-'IP Attrition'!AI$65)/12*'IP Attrition'!AI130,0)))</f>
        <v>0</v>
      </c>
      <c r="AK195" s="799">
        <f>IF(EOMONTH(Inputs!$C$8,'IP Attrition'!AK$134-1)&lt;=Inputs!$C$9,0,MIN(IF(ISERROR(VLOOKUP(AK$134+$F195,$D$135:$D$165,1,FALSE)),0,AJ63*$C$2),MAX((IF(Monthly!AG$4=TRUE,Monthly!AG$13,Monthly!AG$14)*(1+'Attrition Modeling'!$N$8)-'IP Attrition'!AJ$65)/12*'IP Attrition'!AJ130,0)))</f>
        <v>0</v>
      </c>
      <c r="AL195" s="799">
        <f>IF(EOMONTH(Inputs!$C$8,'IP Attrition'!AL$134-1)&lt;=Inputs!$C$9,0,MIN(IF(ISERROR(VLOOKUP(AL$134+$F195,$D$135:$D$165,1,FALSE)),0,AK63*$C$2),MAX((IF(Monthly!AH$4=TRUE,Monthly!AH$13,Monthly!AH$14)*(1+'Attrition Modeling'!$N$8)-'IP Attrition'!AK$65)/12*'IP Attrition'!AK130,0)))</f>
        <v>0</v>
      </c>
      <c r="AM195" s="799">
        <f>IF(EOMONTH(Inputs!$C$8,'IP Attrition'!AM$134-1)&lt;=Inputs!$C$9,0,MIN(IF(ISERROR(VLOOKUP(AM$134+$F195,$D$135:$D$165,1,FALSE)),0,AL63*$C$2),MAX((IF(Monthly!AI$4=TRUE,Monthly!AI$13,Monthly!AI$14)*(1+'Attrition Modeling'!$N$8)-'IP Attrition'!AL$65)/12*'IP Attrition'!AL130,0)))</f>
        <v>0</v>
      </c>
      <c r="AN195" s="799">
        <f>IF(EOMONTH(Inputs!$C$8,'IP Attrition'!AN$134-1)&lt;=Inputs!$C$9,0,MIN(IF(ISERROR(VLOOKUP(AN$134+$F195,$D$135:$D$165,1,FALSE)),0,AM63*$C$2),MAX((IF(Monthly!AJ$4=TRUE,Monthly!AJ$13,Monthly!AJ$14)*(1+'Attrition Modeling'!$N$8)-'IP Attrition'!AM$65)/12*'IP Attrition'!AM130,0)))</f>
        <v>0</v>
      </c>
      <c r="AO195" s="799">
        <f>IF(EOMONTH(Inputs!$C$8,'IP Attrition'!AO$134-1)&lt;=Inputs!$C$9,0,MIN(IF(ISERROR(VLOOKUP(AO$134+$F195,$D$135:$D$165,1,FALSE)),0,AN63*$C$2),MAX((IF(Monthly!AK$4=TRUE,Monthly!AK$13,Monthly!AK$14)*(1+'Attrition Modeling'!$N$8)-'IP Attrition'!AN$65)/12*'IP Attrition'!AN130,0)))</f>
        <v>0</v>
      </c>
      <c r="AP195" s="799">
        <f>IF(EOMONTH(Inputs!$C$8,'IP Attrition'!AP$134-1)&lt;=Inputs!$C$9,0,MIN(IF(ISERROR(VLOOKUP(AP$134+$F195,$D$135:$D$165,1,FALSE)),0,AO63*$C$2),MAX((IF(Monthly!AL$4=TRUE,Monthly!AL$13,Monthly!AL$14)*(1+'Attrition Modeling'!$N$8)-'IP Attrition'!AO$65)/12*'IP Attrition'!AO130,0)))</f>
        <v>0</v>
      </c>
      <c r="AQ195" s="799">
        <f>IF(EOMONTH(Inputs!$C$8,'IP Attrition'!AQ$134-1)&lt;=Inputs!$C$9,0,MIN(IF(ISERROR(VLOOKUP(AQ$134+$F195,$D$135:$D$165,1,FALSE)),0,AP63*$C$2),MAX((IF(Monthly!AM$4=TRUE,Monthly!AM$13,Monthly!AM$14)*(1+'Attrition Modeling'!$N$8)-'IP Attrition'!AP$65)/12*'IP Attrition'!AP130,0)))</f>
        <v>0</v>
      </c>
      <c r="AR195" s="799">
        <f>IF(EOMONTH(Inputs!$C$8,'IP Attrition'!AR$134-1)&lt;=Inputs!$C$9,0,MIN(IF(ISERROR(VLOOKUP(AR$134+$F195,$D$135:$D$165,1,FALSE)),0,AQ63*$C$2),MAX((IF(Monthly!AN$4=TRUE,Monthly!AN$13,Monthly!AN$14)*(1+'Attrition Modeling'!$N$8)-'IP Attrition'!AQ$65)/12*'IP Attrition'!AQ130,0)))</f>
        <v>0</v>
      </c>
      <c r="AS195" s="799">
        <f>IF(EOMONTH(Inputs!$C$8,'IP Attrition'!AS$134-1)&lt;=Inputs!$C$9,0,MIN(IF(ISERROR(VLOOKUP(AS$134+$F195,$D$135:$D$165,1,FALSE)),0,AR63*$C$2),MAX((IF(Monthly!AO$4=TRUE,Monthly!AO$13,Monthly!AO$14)*(1+'Attrition Modeling'!$N$8)-'IP Attrition'!AR$65)/12*'IP Attrition'!AR130,0)))</f>
        <v>0</v>
      </c>
      <c r="AT195" s="799">
        <f>IF(EOMONTH(Inputs!$C$8,'IP Attrition'!AT$134-1)&lt;=Inputs!$C$9,0,MIN(IF(ISERROR(VLOOKUP(AT$134+$F195,$D$135:$D$165,1,FALSE)),0,AS63*$C$2),MAX((IF(Monthly!AP$4=TRUE,Monthly!AP$13,Monthly!AP$14)*(1+'Attrition Modeling'!$N$8)-'IP Attrition'!AS$65)/12*'IP Attrition'!AS130,0)))</f>
        <v>0</v>
      </c>
      <c r="AU195" s="799">
        <f>IF(EOMONTH(Inputs!$C$8,'IP Attrition'!AU$134-1)&lt;=Inputs!$C$9,0,MIN(IF(ISERROR(VLOOKUP(AU$134+$F195,$D$135:$D$165,1,FALSE)),0,AT63*$C$2),MAX((IF(Monthly!AQ$4=TRUE,Monthly!AQ$13,Monthly!AQ$14)*(1+'Attrition Modeling'!$N$8)-'IP Attrition'!AT$65)/12*'IP Attrition'!AT130,0)))</f>
        <v>0</v>
      </c>
      <c r="AV195" s="799">
        <f>IF(EOMONTH(Inputs!$C$8,'IP Attrition'!AV$134-1)&lt;=Inputs!$C$9,0,MIN(IF(ISERROR(VLOOKUP(AV$134+$F195,$D$135:$D$165,1,FALSE)),0,AU63*$C$2),MAX((IF(Monthly!AR$4=TRUE,Monthly!AR$13,Monthly!AR$14)*(1+'Attrition Modeling'!$N$8)-'IP Attrition'!AU$65)/12*'IP Attrition'!AU130,0)))</f>
        <v>0</v>
      </c>
      <c r="AW195" s="799">
        <f>IF(EOMONTH(Inputs!$C$8,'IP Attrition'!AW$134-1)&lt;=Inputs!$C$9,0,MIN(IF(ISERROR(VLOOKUP(AW$134+$F195,$D$135:$D$165,1,FALSE)),0,AV63*$C$2),MAX((IF(Monthly!AS$4=TRUE,Monthly!AS$13,Monthly!AS$14)*(1+'Attrition Modeling'!$N$8)-'IP Attrition'!AV$65)/12*'IP Attrition'!AV130,0)))</f>
        <v>0</v>
      </c>
      <c r="AX195" s="799">
        <f>IF(EOMONTH(Inputs!$C$8,'IP Attrition'!AX$134-1)&lt;=Inputs!$C$9,0,MIN(IF(ISERROR(VLOOKUP(AX$134+$F195,$D$135:$D$165,1,FALSE)),0,AW63*$C$2),MAX((IF(Monthly!AT$4=TRUE,Monthly!AT$13,Monthly!AT$14)*(1+'Attrition Modeling'!$N$8)-'IP Attrition'!AW$65)/12*'IP Attrition'!AW130,0)))</f>
        <v>0</v>
      </c>
      <c r="AY195" s="799">
        <f>IF(EOMONTH(Inputs!$C$8,'IP Attrition'!AY$134-1)&lt;=Inputs!$C$9,0,MIN(IF(ISERROR(VLOOKUP(AY$134+$F195,$D$135:$D$165,1,FALSE)),0,AX63*$C$2),MAX((IF(Monthly!AU$4=TRUE,Monthly!AU$13,Monthly!AU$14)*(1+'Attrition Modeling'!$N$8)-'IP Attrition'!AX$65)/12*'IP Attrition'!AX130,0)))</f>
        <v>0</v>
      </c>
      <c r="AZ195" s="799">
        <f>IF(EOMONTH(Inputs!$C$8,'IP Attrition'!AZ$134-1)&lt;=Inputs!$C$9,0,MIN(IF(ISERROR(VLOOKUP(AZ$134+$F195,$D$135:$D$165,1,FALSE)),0,AY63*$C$2),MAX((IF(Monthly!AV$4=TRUE,Monthly!AV$13,Monthly!AV$14)*(1+'Attrition Modeling'!$N$8)-'IP Attrition'!AY$65)/12*'IP Attrition'!AY130,0)))</f>
        <v>0</v>
      </c>
      <c r="BA195" s="799">
        <f>IF(EOMONTH(Inputs!$C$8,'IP Attrition'!BA$134-1)&lt;=Inputs!$C$9,0,MIN(IF(ISERROR(VLOOKUP(BA$134+$F195,$D$135:$D$165,1,FALSE)),0,AZ63*$C$2),MAX((IF(Monthly!AW$4=TRUE,Monthly!AW$13,Monthly!AW$14)*(1+'Attrition Modeling'!$N$8)-'IP Attrition'!AZ$65)/12*'IP Attrition'!AZ130,0)))</f>
        <v>0</v>
      </c>
      <c r="BB195" s="799">
        <f>IF(EOMONTH(Inputs!$C$8,'IP Attrition'!BB$134-1)&lt;=Inputs!$C$9,0,MIN(IF(ISERROR(VLOOKUP(BB$134+$F195,$D$135:$D$165,1,FALSE)),0,BA63*$C$2),MAX((IF(Monthly!AX$4=TRUE,Monthly!AX$13,Monthly!AX$14)*(1+'Attrition Modeling'!$N$8)-'IP Attrition'!BA$65)/12*'IP Attrition'!BA130,0)))</f>
        <v>0</v>
      </c>
      <c r="BC195" s="799">
        <f>IF(EOMONTH(Inputs!$C$8,'IP Attrition'!BC$134-1)&lt;=Inputs!$C$9,0,MIN(IF(ISERROR(VLOOKUP(BC$134+$F195,$D$135:$D$165,1,FALSE)),0,BB63*$C$2),MAX((IF(Monthly!AY$4=TRUE,Monthly!AY$13,Monthly!AY$14)*(1+'Attrition Modeling'!$N$8)-'IP Attrition'!BB$65)/12*'IP Attrition'!BB130,0)))</f>
        <v>0</v>
      </c>
      <c r="BD195" s="799">
        <f>IF(EOMONTH(Inputs!$C$8,'IP Attrition'!BD$134-1)&lt;=Inputs!$C$9,0,MIN(IF(ISERROR(VLOOKUP(BD$134+$F195,$D$135:$D$165,1,FALSE)),0,BC63*$C$2),MAX((IF(Monthly!AZ$4=TRUE,Monthly!AZ$13,Monthly!AZ$14)*(1+'Attrition Modeling'!$N$8)-'IP Attrition'!BC$65)/12*'IP Attrition'!BC130,0)))</f>
        <v>0</v>
      </c>
      <c r="BE195" s="799">
        <f>IF(EOMONTH(Inputs!$C$8,'IP Attrition'!BE$134-1)&lt;=Inputs!$C$9,0,MIN(IF(ISERROR(VLOOKUP(BE$134+$F195,$D$135:$D$165,1,FALSE)),0,BD63*$C$2),MAX((IF(Monthly!BA$4=TRUE,Monthly!BA$13,Monthly!BA$14)*(1+'Attrition Modeling'!$N$8)-'IP Attrition'!BD$65)/12*'IP Attrition'!BD130,0)))</f>
        <v>0</v>
      </c>
      <c r="BF195" s="799">
        <f>IF(EOMONTH(Inputs!$C$8,'IP Attrition'!BF$134-1)&lt;=Inputs!$C$9,0,MIN(IF(ISERROR(VLOOKUP(BF$134+$F195,$D$135:$D$165,1,FALSE)),0,BE63*$C$2),MAX((IF(Monthly!BB$4=TRUE,Monthly!BB$13,Monthly!BB$14)*(1+'Attrition Modeling'!$N$8)-'IP Attrition'!BE$65)/12*'IP Attrition'!BE130,0)))</f>
        <v>0</v>
      </c>
      <c r="BG195" s="799">
        <f>IF(EOMONTH(Inputs!$C$8,'IP Attrition'!BG$134-1)&lt;=Inputs!$C$9,0,MIN(IF(ISERROR(VLOOKUP(BG$134+$F195,$D$135:$D$165,1,FALSE)),0,BF63*$C$2),MAX((IF(Monthly!BC$4=TRUE,Monthly!BC$13,Monthly!BC$14)*(1+'Attrition Modeling'!$N$8)-'IP Attrition'!BF$65)/12*'IP Attrition'!BF130,0)))</f>
        <v>0</v>
      </c>
      <c r="BH195" s="799">
        <f>IF(EOMONTH(Inputs!$C$8,'IP Attrition'!BH$134-1)&lt;=Inputs!$C$9,0,MIN(IF(ISERROR(VLOOKUP(BH$134+$F195,$D$135:$D$165,1,FALSE)),0,BG63*$C$2),MAX((IF(Monthly!BD$4=TRUE,Monthly!BD$13,Monthly!BD$14)*(1+'Attrition Modeling'!$N$8)-'IP Attrition'!BG$65)/12*'IP Attrition'!BG130,0)))</f>
        <v>0</v>
      </c>
      <c r="BI195" s="799">
        <f>IF(EOMONTH(Inputs!$C$8,'IP Attrition'!BI$134-1)&lt;=Inputs!$C$9,0,MIN(IF(ISERROR(VLOOKUP(BI$134+$F195,$D$135:$D$165,1,FALSE)),0,BH63*$C$2),MAX((IF(Monthly!BE$4=TRUE,Monthly!BE$13,Monthly!BE$14)*(1+'Attrition Modeling'!$N$8)-'IP Attrition'!BH$65)/12*'IP Attrition'!BH130,0)))</f>
        <v>0</v>
      </c>
      <c r="BJ195" s="799">
        <f>IF(EOMONTH(Inputs!$C$8,'IP Attrition'!BJ$134-1)&lt;=Inputs!$C$9,0,MIN(IF(ISERROR(VLOOKUP(BJ$134+$F195,$D$135:$D$165,1,FALSE)),0,BI63*$C$2),MAX((IF(Monthly!BF$4=TRUE,Monthly!BF$13,Monthly!BF$14)*(1+'Attrition Modeling'!$N$8)-'IP Attrition'!BI$65)/12*'IP Attrition'!BI130,0)))</f>
        <v>0</v>
      </c>
      <c r="BK195" s="799">
        <f>IF(EOMONTH(Inputs!$C$8,'IP Attrition'!BK$134-1)&lt;=Inputs!$C$9,0,MIN(IF(ISERROR(VLOOKUP(BK$134+$F195,$D$135:$D$165,1,FALSE)),0,BJ63*$C$2),MAX((IF(Monthly!BG$4=TRUE,Monthly!BG$13,Monthly!BG$14)*(1+'Attrition Modeling'!$N$8)-'IP Attrition'!BJ$65)/12*'IP Attrition'!BJ130,0)))</f>
        <v>0</v>
      </c>
      <c r="BL195" s="799">
        <f>IF(EOMONTH(Inputs!$C$8,'IP Attrition'!BL$134-1)&lt;=Inputs!$C$9,0,MIN(IF(ISERROR(VLOOKUP(BL$134+$F195,$D$135:$D$165,1,FALSE)),0,BK63*$C$2),MAX((IF(Monthly!BH$4=TRUE,Monthly!BH$13,Monthly!BH$14)*(1+'Attrition Modeling'!$N$8)-'IP Attrition'!BK$65)/12*'IP Attrition'!BK130,0)))</f>
        <v>0</v>
      </c>
      <c r="BM195" s="799">
        <f>IF(EOMONTH(Inputs!$C$8,'IP Attrition'!BM$134-1)&lt;=Inputs!$C$9,0,MIN(IF(ISERROR(VLOOKUP(BM$134+$F195,$D$135:$D$165,1,FALSE)),0,BL63*$C$2),MAX((IF(Monthly!BI$4=TRUE,Monthly!BI$13,Monthly!BI$14)*(1+'Attrition Modeling'!$N$8)-'IP Attrition'!BL$65)/12*'IP Attrition'!BL130,0)))</f>
        <v>0</v>
      </c>
      <c r="BN195" s="799">
        <f>IF(EOMONTH(Inputs!$C$8,'IP Attrition'!BN$134-1)&lt;=Inputs!$C$9,0,MIN(IF(ISERROR(VLOOKUP(BN$134+$F195,$D$135:$D$165,1,FALSE)),0,BM63*$C$2),MAX((IF(Monthly!BJ$4=TRUE,Monthly!BJ$13,Monthly!BJ$14)*(1+'Attrition Modeling'!$N$8)-'IP Attrition'!BM$65)/12*'IP Attrition'!BM130,0)))</f>
        <v>0</v>
      </c>
      <c r="BO195" s="799">
        <f>IF(EOMONTH(Inputs!$C$8,'IP Attrition'!BO$134-1)&lt;=Inputs!$C$9,0,MIN(IF(ISERROR(VLOOKUP(BO$134+$F195,$D$135:$D$165,1,FALSE)),0,BN63*$C$2),MAX((IF(Monthly!BK$4=TRUE,Monthly!BK$13,Monthly!BK$14)*(1+'Attrition Modeling'!$N$8)-'IP Attrition'!BN$65)/12*'IP Attrition'!BN130,0)))</f>
        <v>0</v>
      </c>
      <c r="BP195" s="799">
        <f>IF(EOMONTH(Inputs!$C$8,'IP Attrition'!BP$134-1)&lt;=Inputs!$C$9,0,MIN(IF(ISERROR(VLOOKUP(BP$134+$F195,$D$135:$D$165,1,FALSE)),0,BO63*$C$2),MAX((IF(Monthly!BL$4=TRUE,Monthly!BL$13,Monthly!BL$14)*(1+'Attrition Modeling'!$N$8)-'IP Attrition'!BO$65)/12*'IP Attrition'!BO130,0)))</f>
        <v>0</v>
      </c>
      <c r="BQ195" s="799">
        <f>IF(EOMONTH(Inputs!$C$8,'IP Attrition'!BQ$134-1)&lt;=Inputs!$C$9,0,MIN(IF(ISERROR(VLOOKUP(BQ$134+$F195,$D$135:$D$165,1,FALSE)),0,BP63*$C$2),MAX((IF(Monthly!BM$4=TRUE,Monthly!BM$13,Monthly!BM$14)*(1+'Attrition Modeling'!$N$8)-'IP Attrition'!BP$65)/12*'IP Attrition'!BP130,0)))</f>
        <v>0</v>
      </c>
      <c r="BR195" s="799">
        <f>IF(EOMONTH(Inputs!$C$8,'IP Attrition'!BR$134-1)&lt;=Inputs!$C$9,0,MIN(IF(ISERROR(VLOOKUP(BR$134+$F195,$D$135:$D$165,1,FALSE)),0,BQ63*$C$2),MAX((IF(Monthly!BN$4=TRUE,Monthly!BN$13,Monthly!BN$14)*(1+'Attrition Modeling'!$N$8)-'IP Attrition'!BQ$65)/12*'IP Attrition'!BQ130,0)))</f>
        <v>0</v>
      </c>
      <c r="BS195" s="799">
        <f>IF(EOMONTH(Inputs!$C$8,'IP Attrition'!BS$134-1)&lt;=Inputs!$C$9,0,MIN(IF(ISERROR(VLOOKUP(BS$134+$F195,$D$135:$D$165,1,FALSE)),0,BR63*$C$2),MAX((IF(Monthly!BO$4=TRUE,Monthly!BO$13,Monthly!BO$14)*(1+'Attrition Modeling'!$N$8)-'IP Attrition'!BR$65)/12*'IP Attrition'!BR130,0)))</f>
        <v>0</v>
      </c>
      <c r="BT195" s="799" t="e">
        <f>IF(EOMONTH(Inputs!$C$8,'IP Attrition'!BT$134-1)&lt;=Inputs!$C$9,0,MIN(IF(ISERROR(VLOOKUP(BT$134+$F195,$D$135:$D$165,1,FALSE)),0,BS63*$C$2),MAX((IF(Monthly!#REF!=TRUE,Monthly!#REF!,Monthly!#REF!)*(1+'Attrition Modeling'!$N$8)-'IP Attrition'!BS$65)/12*'IP Attrition'!BS130,0)))</f>
        <v>#REF!</v>
      </c>
      <c r="BU195" s="799" t="e">
        <f>IF(EOMONTH(Inputs!$C$8,'IP Attrition'!BU$134-1)&lt;=Inputs!$C$9,0,MIN(IF(ISERROR(VLOOKUP(BU$134+$F195,$D$135:$D$165,1,FALSE)),0,BT63*$C$2),MAX((IF(Monthly!#REF!=TRUE,Monthly!#REF!,Monthly!#REF!)*(1+'Attrition Modeling'!$N$8)-'IP Attrition'!BT$65)/12*'IP Attrition'!BT130,0)))</f>
        <v>#REF!</v>
      </c>
    </row>
    <row r="196" spans="5:73" ht="14.25" customHeight="1" x14ac:dyDescent="0.2">
      <c r="F196" s="802" t="s">
        <v>701</v>
      </c>
      <c r="G196" s="803"/>
      <c r="H196" s="804">
        <f t="shared" ref="H196:BU196" si="74">SUM(H135:H195)</f>
        <v>0</v>
      </c>
      <c r="I196" s="804">
        <f t="shared" si="74"/>
        <v>0</v>
      </c>
      <c r="J196" s="804">
        <f t="shared" si="74"/>
        <v>0</v>
      </c>
      <c r="K196" s="804">
        <f t="shared" si="74"/>
        <v>0</v>
      </c>
      <c r="L196" s="804">
        <f t="shared" si="74"/>
        <v>0</v>
      </c>
      <c r="M196" s="804">
        <f t="shared" si="74"/>
        <v>0</v>
      </c>
      <c r="N196" s="804">
        <f t="shared" si="74"/>
        <v>0</v>
      </c>
      <c r="O196" s="804">
        <f t="shared" si="74"/>
        <v>0</v>
      </c>
      <c r="P196" s="804">
        <f t="shared" si="74"/>
        <v>0</v>
      </c>
      <c r="Q196" s="804">
        <f t="shared" si="74"/>
        <v>0</v>
      </c>
      <c r="R196" s="804">
        <f t="shared" si="74"/>
        <v>0</v>
      </c>
      <c r="S196" s="804">
        <f t="shared" si="74"/>
        <v>0</v>
      </c>
      <c r="T196" s="804">
        <f t="shared" si="74"/>
        <v>0</v>
      </c>
      <c r="U196" s="804">
        <f t="shared" si="74"/>
        <v>0</v>
      </c>
      <c r="V196" s="804">
        <f t="shared" si="74"/>
        <v>0</v>
      </c>
      <c r="W196" s="804">
        <f t="shared" si="74"/>
        <v>0</v>
      </c>
      <c r="X196" s="804">
        <f t="shared" si="74"/>
        <v>0</v>
      </c>
      <c r="Y196" s="804">
        <f t="shared" si="74"/>
        <v>0</v>
      </c>
      <c r="Z196" s="804">
        <f t="shared" si="74"/>
        <v>0</v>
      </c>
      <c r="AA196" s="804">
        <f t="shared" si="74"/>
        <v>0</v>
      </c>
      <c r="AB196" s="804">
        <f t="shared" si="74"/>
        <v>0</v>
      </c>
      <c r="AC196" s="804">
        <f t="shared" si="74"/>
        <v>0</v>
      </c>
      <c r="AD196" s="804">
        <f t="shared" si="74"/>
        <v>0</v>
      </c>
      <c r="AE196" s="804">
        <f t="shared" si="74"/>
        <v>0</v>
      </c>
      <c r="AF196" s="804">
        <f t="shared" si="74"/>
        <v>0</v>
      </c>
      <c r="AG196" s="804">
        <f t="shared" si="74"/>
        <v>0</v>
      </c>
      <c r="AH196" s="804">
        <f t="shared" si="74"/>
        <v>0</v>
      </c>
      <c r="AI196" s="804">
        <f t="shared" si="74"/>
        <v>0</v>
      </c>
      <c r="AJ196" s="804">
        <f t="shared" si="74"/>
        <v>0</v>
      </c>
      <c r="AK196" s="804">
        <f t="shared" si="74"/>
        <v>0</v>
      </c>
      <c r="AL196" s="804">
        <f t="shared" si="74"/>
        <v>0</v>
      </c>
      <c r="AM196" s="804">
        <f t="shared" si="74"/>
        <v>0</v>
      </c>
      <c r="AN196" s="804">
        <f t="shared" si="74"/>
        <v>0</v>
      </c>
      <c r="AO196" s="804">
        <f t="shared" si="74"/>
        <v>0</v>
      </c>
      <c r="AP196" s="804">
        <f t="shared" si="74"/>
        <v>0</v>
      </c>
      <c r="AQ196" s="804">
        <f t="shared" si="74"/>
        <v>0</v>
      </c>
      <c r="AR196" s="804">
        <f t="shared" si="74"/>
        <v>0</v>
      </c>
      <c r="AS196" s="804">
        <f t="shared" si="74"/>
        <v>0</v>
      </c>
      <c r="AT196" s="804">
        <f t="shared" si="74"/>
        <v>0</v>
      </c>
      <c r="AU196" s="804">
        <f t="shared" si="74"/>
        <v>0</v>
      </c>
      <c r="AV196" s="804">
        <f t="shared" si="74"/>
        <v>0</v>
      </c>
      <c r="AW196" s="804">
        <f t="shared" si="74"/>
        <v>0</v>
      </c>
      <c r="AX196" s="804">
        <f t="shared" si="74"/>
        <v>0</v>
      </c>
      <c r="AY196" s="804">
        <f t="shared" si="74"/>
        <v>0</v>
      </c>
      <c r="AZ196" s="804">
        <f t="shared" si="74"/>
        <v>0</v>
      </c>
      <c r="BA196" s="804">
        <f t="shared" si="74"/>
        <v>0</v>
      </c>
      <c r="BB196" s="804">
        <f t="shared" si="74"/>
        <v>0</v>
      </c>
      <c r="BC196" s="804">
        <f t="shared" si="74"/>
        <v>0</v>
      </c>
      <c r="BD196" s="804">
        <f t="shared" si="74"/>
        <v>0</v>
      </c>
      <c r="BE196" s="804">
        <f t="shared" si="74"/>
        <v>0</v>
      </c>
      <c r="BF196" s="804">
        <f t="shared" si="74"/>
        <v>0</v>
      </c>
      <c r="BG196" s="804">
        <f t="shared" si="74"/>
        <v>0</v>
      </c>
      <c r="BH196" s="804">
        <f t="shared" si="74"/>
        <v>0</v>
      </c>
      <c r="BI196" s="804">
        <f t="shared" si="74"/>
        <v>0</v>
      </c>
      <c r="BJ196" s="804">
        <f t="shared" si="74"/>
        <v>0</v>
      </c>
      <c r="BK196" s="804">
        <f t="shared" si="74"/>
        <v>0</v>
      </c>
      <c r="BL196" s="804">
        <f t="shared" si="74"/>
        <v>0</v>
      </c>
      <c r="BM196" s="804">
        <f t="shared" si="74"/>
        <v>0</v>
      </c>
      <c r="BN196" s="804">
        <f t="shared" si="74"/>
        <v>0</v>
      </c>
      <c r="BO196" s="804">
        <f t="shared" si="74"/>
        <v>0</v>
      </c>
      <c r="BP196" s="804">
        <f t="shared" si="74"/>
        <v>0</v>
      </c>
      <c r="BQ196" s="804">
        <f t="shared" si="74"/>
        <v>0</v>
      </c>
      <c r="BR196" s="804">
        <f t="shared" si="74"/>
        <v>0</v>
      </c>
      <c r="BS196" s="804">
        <f t="shared" si="74"/>
        <v>0</v>
      </c>
      <c r="BT196" s="804" t="e">
        <f t="shared" si="74"/>
        <v>#REF!</v>
      </c>
      <c r="BU196" s="804" t="e">
        <f t="shared" si="74"/>
        <v>#REF!</v>
      </c>
    </row>
    <row r="197" spans="5:73" ht="14.25" customHeight="1" x14ac:dyDescent="0.2"/>
    <row r="198" spans="5:73" ht="14.25" customHeight="1" x14ac:dyDescent="0.2"/>
    <row r="199" spans="5:73" ht="14.25" customHeight="1" x14ac:dyDescent="0.2"/>
    <row r="200" spans="5:73" ht="14.25" customHeight="1" x14ac:dyDescent="0.2"/>
    <row r="201" spans="5:73" ht="14.25" customHeight="1" x14ac:dyDescent="0.2"/>
    <row r="202" spans="5:73" ht="14.25" customHeight="1" x14ac:dyDescent="0.2"/>
    <row r="203" spans="5:73" ht="14.25" customHeight="1" x14ac:dyDescent="0.2"/>
    <row r="204" spans="5:73" ht="14.25" customHeight="1" x14ac:dyDescent="0.2"/>
    <row r="205" spans="5:73" ht="14.25" customHeight="1" x14ac:dyDescent="0.2"/>
    <row r="206" spans="5:73" ht="14.25" customHeight="1" x14ac:dyDescent="0.2"/>
    <row r="207" spans="5:73" ht="14.25" customHeight="1" x14ac:dyDescent="0.2"/>
    <row r="208" spans="5:73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</sheetData>
  <mergeCells count="2">
    <mergeCell ref="A1:C1"/>
    <mergeCell ref="A5:C5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U362"/>
  <sheetViews>
    <sheetView showGridLines="0" workbookViewId="0"/>
  </sheetViews>
  <sheetFormatPr baseColWidth="10" defaultColWidth="14.5" defaultRowHeight="15" customHeight="1" outlineLevelCol="1" x14ac:dyDescent="0.2"/>
  <cols>
    <col min="1" max="1" width="8.6640625" customWidth="1" outlineLevel="1"/>
    <col min="2" max="2" width="13.33203125" customWidth="1" outlineLevel="1"/>
    <col min="3" max="3" width="10.5" customWidth="1" outlineLevel="1"/>
    <col min="4" max="6" width="8.6640625" customWidth="1" outlineLevel="1"/>
    <col min="7" max="7" width="10.5" customWidth="1" outlineLevel="1"/>
    <col min="8" max="11" width="10.33203125" customWidth="1" outlineLevel="1"/>
    <col min="12" max="16" width="9.6640625" customWidth="1" outlineLevel="1"/>
    <col min="17" max="17" width="10.33203125" customWidth="1" outlineLevel="1"/>
    <col min="18" max="18" width="9.6640625" customWidth="1" outlineLevel="1"/>
    <col min="19" max="73" width="8.6640625" customWidth="1" outlineLevel="1"/>
  </cols>
  <sheetData>
    <row r="1" spans="1:73" ht="14.25" customHeight="1" x14ac:dyDescent="0.2">
      <c r="A1" s="847" t="s">
        <v>2</v>
      </c>
      <c r="B1" s="852"/>
      <c r="C1" s="848"/>
      <c r="F1" s="11" t="s">
        <v>703</v>
      </c>
      <c r="G1" s="29">
        <f>G2*(Inputs!$C$13-Inputs!$C$23)</f>
        <v>0</v>
      </c>
      <c r="H1" s="29">
        <f>H2*(Inputs!$C$13-Inputs!$C$23)</f>
        <v>2308.858690115092</v>
      </c>
      <c r="I1" s="29">
        <f>I2*(Inputs!$C$13-Inputs!$C$23)</f>
        <v>4589.8637484194051</v>
      </c>
      <c r="J1" s="29">
        <f>J2*(Inputs!$C$13-Inputs!$C$23)</f>
        <v>7733.841416006162</v>
      </c>
      <c r="K1" s="29">
        <f>K2*(Inputs!$C$13-Inputs!$C$23)</f>
        <v>10928.52142086853</v>
      </c>
      <c r="L1" s="29">
        <f>L2*(Inputs!$C$13-Inputs!$C$23)</f>
        <v>15827.420934614885</v>
      </c>
      <c r="M1" s="29">
        <f>M2*(Inputs!$C$13-Inputs!$C$23)</f>
        <v>19871.517192400453</v>
      </c>
      <c r="N1" s="29">
        <f>N2*(Inputs!$C$13-Inputs!$C$23)</f>
        <v>23407.133577694443</v>
      </c>
      <c r="O1" s="29">
        <f>O2*(Inputs!$C$13-Inputs!$C$23)</f>
        <v>26076.357536121483</v>
      </c>
      <c r="P1" s="29">
        <f>P2*(Inputs!$C$13-Inputs!$C$23)</f>
        <v>28433.30872810409</v>
      </c>
      <c r="Q1" s="29">
        <f>Q2*(Inputs!$C$13-Inputs!$C$23)</f>
        <v>30820.434505515117</v>
      </c>
      <c r="R1" s="29">
        <f>R2*(Inputs!$C$13-Inputs!$C$23)</f>
        <v>33047.338620239927</v>
      </c>
      <c r="S1" s="29">
        <f>S2*(Inputs!$C$13-Inputs!$C$23)</f>
        <v>34916.30999999999</v>
      </c>
      <c r="T1" s="29">
        <f>T2*(Inputs!$C$13-Inputs!$C$23)</f>
        <v>37365.099519819029</v>
      </c>
      <c r="U1" s="29">
        <f>U2*(Inputs!$C$13-Inputs!$C$23)</f>
        <v>39784.34730892966</v>
      </c>
      <c r="V1" s="29">
        <f>V2*(Inputs!$C$13-Inputs!$C$23)</f>
        <v>43118.869077582283</v>
      </c>
      <c r="W1" s="29">
        <f>W2*(Inputs!$C$13-Inputs!$C$23)</f>
        <v>46507.166052436311</v>
      </c>
      <c r="X1" s="29">
        <f>X2*(Inputs!$C$13-Inputs!$C$23)</f>
        <v>51702.968567015778</v>
      </c>
      <c r="Y1" s="29">
        <f>Y2*(Inputs!$C$13-Inputs!$C$23)</f>
        <v>55992.161567697447</v>
      </c>
      <c r="Z1" s="29">
        <f>Z2*(Inputs!$C$13-Inputs!$C$23)</f>
        <v>59742.057733918344</v>
      </c>
      <c r="AA1" s="29">
        <f>AA2*(Inputs!$C$13-Inputs!$C$23)</f>
        <v>62573.05284134097</v>
      </c>
      <c r="AB1" s="29">
        <f>AB2*(Inputs!$C$13-Inputs!$C$23)</f>
        <v>65072.8495601104</v>
      </c>
      <c r="AC1" s="29">
        <f>AC2*(Inputs!$C$13-Inputs!$C$23)</f>
        <v>67604.649627061488</v>
      </c>
      <c r="AD1" s="29">
        <f>AD2*(Inputs!$C$13-Inputs!$C$23)</f>
        <v>69966.517627527195</v>
      </c>
      <c r="AE1" s="29">
        <f>AE2*(Inputs!$C$13-Inputs!$C$23)</f>
        <v>71948.759999999995</v>
      </c>
      <c r="AF1" s="29">
        <f>AF2*(Inputs!$C$13-Inputs!$C$23)</f>
        <v>73627.929956447333</v>
      </c>
      <c r="AG1" s="29">
        <f>AG2*(Inputs!$C$13-Inputs!$C$23)</f>
        <v>75286.842726123199</v>
      </c>
      <c r="AH1" s="29">
        <f>AH2*(Inputs!$C$13-Inputs!$C$23)</f>
        <v>77573.371938913566</v>
      </c>
      <c r="AI1" s="29">
        <f>AI2*(Inputs!$C$13-Inputs!$C$23)</f>
        <v>79896.775578813482</v>
      </c>
      <c r="AJ1" s="29">
        <f>AJ2*(Inputs!$C$13-Inputs!$C$23)</f>
        <v>83459.611588810818</v>
      </c>
      <c r="AK1" s="29">
        <f>AK2*(Inputs!$C$13-Inputs!$C$23)</f>
        <v>86400.77250356396</v>
      </c>
      <c r="AL1" s="29">
        <f>AL2*(Inputs!$C$13-Inputs!$C$23)</f>
        <v>88972.129874686856</v>
      </c>
      <c r="AM1" s="29">
        <f>AM2*(Inputs!$C$13-Inputs!$C$23)</f>
        <v>90913.383662633802</v>
      </c>
      <c r="AN1" s="29">
        <f>AN2*(Inputs!$C$13-Inputs!$C$23)</f>
        <v>92627.529984075692</v>
      </c>
      <c r="AO1" s="29">
        <f>AO2*(Inputs!$C$13-Inputs!$C$23)</f>
        <v>94363.621458556445</v>
      </c>
      <c r="AP1" s="29">
        <f>AP2*(Inputs!$C$13-Inputs!$C$23)</f>
        <v>95983.188087447226</v>
      </c>
      <c r="AQ1" s="29">
        <f>AQ2*(Inputs!$C$13-Inputs!$C$23)</f>
        <v>97342.44</v>
      </c>
      <c r="AR1" s="29">
        <f>AR2*(Inputs!$C$13-Inputs!$C$23)</f>
        <v>96037.487000000037</v>
      </c>
      <c r="AS1" s="29">
        <f>AS2*(Inputs!$C$13-Inputs!$C$23)</f>
        <v>96037.487000000037</v>
      </c>
      <c r="AT1" s="29">
        <f>AT2*(Inputs!$C$13-Inputs!$C$23)</f>
        <v>96354.908000000025</v>
      </c>
      <c r="AU1" s="29">
        <f>AU2*(Inputs!$C$13-Inputs!$C$23)</f>
        <v>96883.943000000028</v>
      </c>
      <c r="AV1" s="29">
        <f>AV2*(Inputs!$C$13-Inputs!$C$23)</f>
        <v>98259.434000000023</v>
      </c>
      <c r="AW1" s="29">
        <f>AW2*(Inputs!$C$13-Inputs!$C$23)</f>
        <v>99105.890000000029</v>
      </c>
      <c r="AX1" s="29">
        <f>AX2*(Inputs!$C$13-Inputs!$C$23)</f>
        <v>99317.504000000015</v>
      </c>
      <c r="AY1" s="29">
        <f>AY2*(Inputs!$C$13-Inputs!$C$23)</f>
        <v>98471.048000000024</v>
      </c>
      <c r="AZ1" s="29">
        <f>AZ2*(Inputs!$C$13-Inputs!$C$23)</f>
        <v>97836.20600000002</v>
      </c>
      <c r="BA1" s="29">
        <f>BA2*(Inputs!$C$13-Inputs!$C$23)</f>
        <v>97201.364000000016</v>
      </c>
      <c r="BB1" s="29">
        <f>BB2*(Inputs!$C$13-Inputs!$C$23)</f>
        <v>96566.522000000026</v>
      </c>
      <c r="BC1" s="29">
        <f>BC2*(Inputs!$C$13-Inputs!$C$23)</f>
        <v>96037.487000000023</v>
      </c>
      <c r="BD1" s="29">
        <f>BD2*(Inputs!$C$13-Inputs!$C$23)</f>
        <v>96037.487000000037</v>
      </c>
      <c r="BE1" s="29">
        <f>BE2*(Inputs!$C$13-Inputs!$C$23)</f>
        <v>96037.487000000037</v>
      </c>
      <c r="BF1" s="29">
        <f>BF2*(Inputs!$C$13-Inputs!$C$23)</f>
        <v>96354.908000000025</v>
      </c>
      <c r="BG1" s="29">
        <f>BG2*(Inputs!$C$13-Inputs!$C$23)</f>
        <v>96883.943000000028</v>
      </c>
      <c r="BH1" s="29">
        <f>BH2*(Inputs!$C$13-Inputs!$C$23)</f>
        <v>98259.434000000023</v>
      </c>
      <c r="BI1" s="29">
        <f>BI2*(Inputs!$C$13-Inputs!$C$23)</f>
        <v>99105.890000000029</v>
      </c>
      <c r="BJ1" s="29">
        <f>BJ2*(Inputs!$C$13-Inputs!$C$23)</f>
        <v>99317.504000000015</v>
      </c>
      <c r="BK1" s="29">
        <f>BK2*(Inputs!$C$13-Inputs!$C$23)</f>
        <v>98471.048000000024</v>
      </c>
      <c r="BL1" s="29">
        <f>BL2*(Inputs!$C$13-Inputs!$C$23)</f>
        <v>97836.20600000002</v>
      </c>
      <c r="BM1" s="29">
        <f>BM2*(Inputs!$C$13-Inputs!$C$23)</f>
        <v>97201.364000000016</v>
      </c>
      <c r="BN1" s="29">
        <f>BN2*(Inputs!$C$13-Inputs!$C$23)</f>
        <v>96566.522000000026</v>
      </c>
      <c r="BO1" s="29">
        <f>BO2*(Inputs!$C$13-Inputs!$C$23)</f>
        <v>96037.487000000023</v>
      </c>
      <c r="BP1" s="29">
        <f>BP2*(Inputs!$C$13-Inputs!$C$23)</f>
        <v>96037.487000000037</v>
      </c>
      <c r="BQ1" s="29">
        <f>BQ2*(Inputs!$C$13-Inputs!$C$23)</f>
        <v>96037.487000000037</v>
      </c>
      <c r="BR1" s="29">
        <f>BR2*(Inputs!$C$13-Inputs!$C$23)</f>
        <v>96354.908000000025</v>
      </c>
      <c r="BS1" s="29">
        <f>BS2*(Inputs!$C$13-Inputs!$C$23)</f>
        <v>96883.943000000028</v>
      </c>
      <c r="BT1" s="29">
        <f ca="1">BT2*(Inputs!$C$13-Inputs!$C$23)</f>
        <v>97342.440000000046</v>
      </c>
      <c r="BU1" s="29">
        <f ca="1">BU2*(Inputs!$C$13-Inputs!$C$23)</f>
        <v>97342.440000000046</v>
      </c>
    </row>
    <row r="2" spans="1:73" ht="14.25" customHeight="1" x14ac:dyDescent="0.2">
      <c r="A2" s="9"/>
      <c r="B2" s="53" t="s">
        <v>692</v>
      </c>
      <c r="C2" s="24">
        <f>'IP Attrition'!C2</f>
        <v>9.6000000000000002E-2</v>
      </c>
      <c r="F2" s="11" t="s">
        <v>704</v>
      </c>
      <c r="G2" s="25">
        <f>Projection!I13</f>
        <v>0</v>
      </c>
      <c r="H2" s="227">
        <f>Projection!J13</f>
        <v>2.1821417204108347E-2</v>
      </c>
      <c r="I2" s="227">
        <f>Projection!K13</f>
        <v>4.3379584984163666E-2</v>
      </c>
      <c r="J2" s="227">
        <f>Projection!L13</f>
        <v>7.3093854055082952E-2</v>
      </c>
      <c r="K2" s="227">
        <f>Projection!M13</f>
        <v>0.10328731956173533</v>
      </c>
      <c r="L2" s="227">
        <f>Projection!N13</f>
        <v>0.14958765426309115</v>
      </c>
      <c r="M2" s="227">
        <f>Projection!O13</f>
        <v>0.18780909762492512</v>
      </c>
      <c r="N2" s="227">
        <f>Projection!P13</f>
        <v>0.2212248110020551</v>
      </c>
      <c r="O2" s="227">
        <f>Projection!Q13</f>
        <v>0.24645210180915708</v>
      </c>
      <c r="P2" s="227">
        <f>Projection!R13</f>
        <v>0.26872804944950796</v>
      </c>
      <c r="Q2" s="227">
        <f>Projection!S13</f>
        <v>0.29128918224233857</v>
      </c>
      <c r="R2" s="227">
        <f>Projection!T13</f>
        <v>0.31233603277892696</v>
      </c>
      <c r="S2" s="227">
        <f>Projection!U13</f>
        <v>0.3299999999999999</v>
      </c>
      <c r="T2" s="227">
        <f>Projection!V13</f>
        <v>0.35314392733769057</v>
      </c>
      <c r="U2" s="227">
        <f>Projection!W13</f>
        <v>0.37600865074077955</v>
      </c>
      <c r="V2" s="227">
        <f>Projection!X13</f>
        <v>0.40752378460387578</v>
      </c>
      <c r="W2" s="227">
        <f>Projection!Y13</f>
        <v>0.43954715711093134</v>
      </c>
      <c r="X2" s="227">
        <f>Projection!Z13</f>
        <v>0.48865357270327842</v>
      </c>
      <c r="Y2" s="227">
        <f>Projection!AA13</f>
        <v>0.52919146717795085</v>
      </c>
      <c r="Z2" s="227">
        <f>Projection!AB13</f>
        <v>0.56463237530520993</v>
      </c>
      <c r="AA2" s="227">
        <f>Projection!AC13</f>
        <v>0.59138859282789391</v>
      </c>
      <c r="AB2" s="227">
        <f>Projection!AD13</f>
        <v>0.61501459790099333</v>
      </c>
      <c r="AC2" s="227">
        <f>Projection!AE13</f>
        <v>0.63894307207520762</v>
      </c>
      <c r="AD2" s="227">
        <f>Projection!AF13</f>
        <v>0.66126548931098317</v>
      </c>
      <c r="AE2" s="227">
        <f>Projection!AG13</f>
        <v>0.67999999999999994</v>
      </c>
      <c r="AF2" s="227">
        <f>Projection!AH13</f>
        <v>0.69587012160298778</v>
      </c>
      <c r="AG2" s="227">
        <f>Projection!AI13</f>
        <v>0.71154878907939167</v>
      </c>
      <c r="AH2" s="227">
        <f>Projection!AJ13</f>
        <v>0.73315916658551483</v>
      </c>
      <c r="AI2" s="227">
        <f>Projection!AK13</f>
        <v>0.75511805059035297</v>
      </c>
      <c r="AJ2" s="227">
        <f>Projection!AL13</f>
        <v>0.78879102128224809</v>
      </c>
      <c r="AK2" s="227">
        <f>Projection!AM13</f>
        <v>0.81658843463630915</v>
      </c>
      <c r="AL2" s="227">
        <f>Projection!AN13</f>
        <v>0.84089077163785819</v>
      </c>
      <c r="AM2" s="227">
        <f>Projection!AO13</f>
        <v>0.85923789222484148</v>
      </c>
      <c r="AN2" s="227">
        <f>Projection!AP13</f>
        <v>0.87543858141782394</v>
      </c>
      <c r="AO2" s="227">
        <f>Projection!AQ13</f>
        <v>0.89184667799442807</v>
      </c>
      <c r="AP2" s="227">
        <f>Projection!AR13</f>
        <v>0.90715347838467419</v>
      </c>
      <c r="AQ2" s="227">
        <f>Projection!AS13</f>
        <v>0.92</v>
      </c>
      <c r="AR2" s="227">
        <f>Projection!AT13</f>
        <v>0.90766666666666695</v>
      </c>
      <c r="AS2" s="227">
        <f>Projection!AU13</f>
        <v>0.90766666666666695</v>
      </c>
      <c r="AT2" s="227">
        <f>Projection!AV13</f>
        <v>0.91066666666666696</v>
      </c>
      <c r="AU2" s="227">
        <f>Projection!AW13</f>
        <v>0.91566666666666696</v>
      </c>
      <c r="AV2" s="227">
        <f>Projection!AX13</f>
        <v>0.92866666666666686</v>
      </c>
      <c r="AW2" s="227">
        <f>Projection!AY13</f>
        <v>0.93666666666666687</v>
      </c>
      <c r="AX2" s="227">
        <f>Projection!AZ13</f>
        <v>0.93866666666666687</v>
      </c>
      <c r="AY2" s="227">
        <f>Projection!BA13</f>
        <v>0.93066666666666686</v>
      </c>
      <c r="AZ2" s="227">
        <f>Projection!BB13</f>
        <v>0.92466666666666686</v>
      </c>
      <c r="BA2" s="227">
        <f>Projection!BC13</f>
        <v>0.91866666666666685</v>
      </c>
      <c r="BB2" s="227">
        <f>Projection!BD13</f>
        <v>0.91266666666666685</v>
      </c>
      <c r="BC2" s="227">
        <f>Projection!BE13</f>
        <v>0.90766666666666684</v>
      </c>
      <c r="BD2" s="227">
        <f>Projection!BF13</f>
        <v>0.90766666666666695</v>
      </c>
      <c r="BE2" s="227">
        <f>Projection!BG13</f>
        <v>0.90766666666666695</v>
      </c>
      <c r="BF2" s="227">
        <f>Projection!BH13</f>
        <v>0.91066666666666696</v>
      </c>
      <c r="BG2" s="227">
        <f>Projection!BI13</f>
        <v>0.91566666666666696</v>
      </c>
      <c r="BH2" s="227">
        <f>Projection!BJ13</f>
        <v>0.92866666666666686</v>
      </c>
      <c r="BI2" s="227">
        <f>Projection!BK13</f>
        <v>0.93666666666666687</v>
      </c>
      <c r="BJ2" s="227">
        <f>Projection!BL13</f>
        <v>0.93866666666666687</v>
      </c>
      <c r="BK2" s="227">
        <f>Projection!BM13</f>
        <v>0.93066666666666686</v>
      </c>
      <c r="BL2" s="227">
        <f>Projection!BN13</f>
        <v>0.92466666666666686</v>
      </c>
      <c r="BM2" s="227">
        <f>Projection!BO13</f>
        <v>0.91866666666666685</v>
      </c>
      <c r="BN2" s="227">
        <f>Projection!BP13</f>
        <v>0.91266666666666685</v>
      </c>
      <c r="BO2" s="227">
        <f>Projection!BQ13</f>
        <v>0.90766666666666684</v>
      </c>
      <c r="BP2" s="227">
        <f>Projection!BR13</f>
        <v>0.90766666666666695</v>
      </c>
      <c r="BQ2" s="227">
        <f>Projection!BS13</f>
        <v>0.90766666666666695</v>
      </c>
      <c r="BR2" s="227">
        <f>Projection!BT13</f>
        <v>0.91066666666666696</v>
      </c>
      <c r="BS2" s="227">
        <f>Projection!BU13</f>
        <v>0.91566666666666696</v>
      </c>
      <c r="BT2" s="227">
        <f ca="1">Projection!CA13</f>
        <v>0.92000000000000037</v>
      </c>
      <c r="BU2" s="227">
        <f ca="1">Projection!CB13</f>
        <v>0.92000000000000037</v>
      </c>
    </row>
    <row r="3" spans="1:73" ht="14.25" customHeight="1" x14ac:dyDescent="0.2">
      <c r="A3" s="9"/>
      <c r="B3" s="53" t="s">
        <v>693</v>
      </c>
      <c r="C3" s="24">
        <f>'IP Attrition'!C3</f>
        <v>0.02</v>
      </c>
      <c r="F3" s="11" t="s">
        <v>705</v>
      </c>
      <c r="H3" s="29">
        <f>H5*Projection!$F$5</f>
        <v>2308.858690115092</v>
      </c>
      <c r="I3" s="29">
        <f>I5*Projection!$F$5</f>
        <v>2281.005058304313</v>
      </c>
      <c r="J3" s="29">
        <f>J5*Projection!$F$5</f>
        <v>3373.7973669296325</v>
      </c>
      <c r="K3" s="29">
        <f>K5*Projection!$F$5</f>
        <v>3694.5714901876709</v>
      </c>
      <c r="L3" s="29">
        <f>L5*Projection!$F$5</f>
        <v>5678.5951413682178</v>
      </c>
      <c r="M3" s="29">
        <f>M5*Projection!$F$5</f>
        <v>5304.6663409112844</v>
      </c>
      <c r="N3" s="29">
        <f>N5*Projection!$F$5</f>
        <v>5233.6102339308454</v>
      </c>
      <c r="O3" s="29">
        <f>O5*Projection!$F$5</f>
        <v>4986.1446948919001</v>
      </c>
      <c r="P3" s="29">
        <f>P5*Projection!$F$5</f>
        <v>4711.8624123583686</v>
      </c>
      <c r="Q3" s="29">
        <f>Q5*Projection!$F$5</f>
        <v>4824.014849745934</v>
      </c>
      <c r="R3" s="29">
        <f>R5*Projection!$F$5</f>
        <v>4754.1047710350431</v>
      </c>
      <c r="S3" s="29">
        <f>S5*Projection!$F$5</f>
        <v>4448.5893553228962</v>
      </c>
      <c r="T3" s="29">
        <f>T5*Projection!$F$5</f>
        <v>5006.7510743401399</v>
      </c>
      <c r="U3" s="29">
        <f>U5*Projection!$F$5</f>
        <v>5012.5851375140992</v>
      </c>
      <c r="V3" s="29">
        <f>V5*Projection!$F$5</f>
        <v>6333.1503128112963</v>
      </c>
      <c r="W3" s="29">
        <f>W5*Projection!$F$5</f>
        <v>6522.2930485913312</v>
      </c>
      <c r="X3" s="29">
        <f>X5*Projection!$F$5</f>
        <v>8588.3486065996985</v>
      </c>
      <c r="Y3" s="29">
        <f>Y5*Projection!$F$5</f>
        <v>8192.6762870081293</v>
      </c>
      <c r="Z3" s="29">
        <f>Z5*Projection!$F$5</f>
        <v>8109.8809438584722</v>
      </c>
      <c r="AA3" s="29">
        <f>AA5*Projection!$F$5</f>
        <v>8024.7840809836634</v>
      </c>
      <c r="AB3" s="29">
        <f>AB5*Projection!$F$5</f>
        <v>7542.9971571765718</v>
      </c>
      <c r="AC3" s="29">
        <f>AC5*Projection!$F$5</f>
        <v>7590.7358032820339</v>
      </c>
      <c r="AD3" s="29">
        <f>AD5*Projection!$F$5</f>
        <v>7401.918928222789</v>
      </c>
      <c r="AE3" s="29">
        <f>AE5*Projection!$F$5</f>
        <v>7007.2779563034201</v>
      </c>
      <c r="AF3" s="29">
        <f>AF5*Projection!$F$5</f>
        <v>6434.7078332590754</v>
      </c>
      <c r="AG3" s="29">
        <f>AG5*Projection!$F$5</f>
        <v>6229.1181348774999</v>
      </c>
      <c r="AH3" s="29">
        <f>AH5*Projection!$F$5</f>
        <v>7359.3185759933986</v>
      </c>
      <c r="AI3" s="29">
        <f>AI5*Projection!$F$5</f>
        <v>7340.6045134883607</v>
      </c>
      <c r="AJ3" s="29">
        <f>AJ5*Projection!$F$5</f>
        <v>8752.4801805153693</v>
      </c>
      <c r="AK3" s="29">
        <f>AK5*Projection!$F$5</f>
        <v>8535.7067386350245</v>
      </c>
      <c r="AL3" s="29">
        <f>AL5*Projection!$F$5</f>
        <v>8548.7445478691952</v>
      </c>
      <c r="AM3" s="29">
        <f>AM5*Projection!$F$5</f>
        <v>8737.785224895837</v>
      </c>
      <c r="AN3" s="29">
        <f>AN5*Projection!$F$5</f>
        <v>8205.5651171075442</v>
      </c>
      <c r="AO3" s="29">
        <f>AO5*Projection!$F$5</f>
        <v>8166.6313360117347</v>
      </c>
      <c r="AP3" s="29">
        <f>AP5*Projection!$F$5</f>
        <v>7926.2358732950806</v>
      </c>
      <c r="AQ3" s="29">
        <f>AQ5*Projection!$F$5</f>
        <v>7534.9706468860677</v>
      </c>
      <c r="AR3" s="29">
        <f>AR5*Projection!$F$5</f>
        <v>4574.3198259837809</v>
      </c>
      <c r="AS3" s="29">
        <f>AS5*Projection!$F$5</f>
        <v>5368.1923375965989</v>
      </c>
      <c r="AT3" s="29">
        <f>AT5*Projection!$F$5</f>
        <v>6108.3303171303851</v>
      </c>
      <c r="AU3" s="29">
        <f>AU5*Projection!$F$5</f>
        <v>6024.9297218818247</v>
      </c>
      <c r="AV3" s="29">
        <f>AV5*Projection!$F$5</f>
        <v>6960.5956339102122</v>
      </c>
      <c r="AW3" s="29">
        <f>AW5*Projection!$F$5</f>
        <v>6704.0053368326335</v>
      </c>
      <c r="AX3" s="29">
        <f>AX5*Projection!$F$5</f>
        <v>6318.0874525792751</v>
      </c>
      <c r="AY3" s="29">
        <f>AY5*Projection!$F$5</f>
        <v>5827.1376524010848</v>
      </c>
      <c r="AZ3" s="29">
        <f>AZ5*Projection!$F$5</f>
        <v>5512.600050539505</v>
      </c>
      <c r="BA3" s="29">
        <f>BA5*Projection!$F$5</f>
        <v>5307.3040599062078</v>
      </c>
      <c r="BB3" s="29">
        <f>BB5*Projection!$F$5</f>
        <v>5037.1218650718074</v>
      </c>
      <c r="BC3" s="29">
        <f>BC5*Projection!$F$5</f>
        <v>4830.8124164826004</v>
      </c>
      <c r="BD3" s="29">
        <f>BD5*Projection!$F$5</f>
        <v>5085.1083718086447</v>
      </c>
      <c r="BE3" s="29">
        <f>BE5*Projection!$F$5</f>
        <v>4797.1230387622054</v>
      </c>
      <c r="BF3" s="29">
        <f>BF5*Projection!$F$5</f>
        <v>5443.7022971977422</v>
      </c>
      <c r="BG3" s="29">
        <f>BG5*Projection!$F$5</f>
        <v>5376.246842304171</v>
      </c>
      <c r="BH3" s="29">
        <f>BH5*Projection!$F$5</f>
        <v>6407.4364474159675</v>
      </c>
      <c r="BI3" s="29">
        <f>BI5*Projection!$F$5</f>
        <v>6254.6048769361514</v>
      </c>
      <c r="BJ3" s="29">
        <f>BJ5*Projection!$F$5</f>
        <v>5926.3270907434926</v>
      </c>
      <c r="BK3" s="29">
        <f>BK5*Projection!$F$5</f>
        <v>5439.3613877650196</v>
      </c>
      <c r="BL3" s="29">
        <f>BL5*Projection!$F$5</f>
        <v>5169.0642053984775</v>
      </c>
      <c r="BM3" s="29">
        <f>BM5*Projection!$F$5</f>
        <v>4989.2011331458352</v>
      </c>
      <c r="BN3" s="29">
        <f>BN5*Projection!$F$5</f>
        <v>4759.3334484920924</v>
      </c>
      <c r="BO3" s="29">
        <f>BO5*Projection!$F$5</f>
        <v>4488.8641539911914</v>
      </c>
      <c r="BP3" s="29">
        <f>BP5*Projection!$F$5</f>
        <v>4723.2660431435943</v>
      </c>
      <c r="BQ3" s="29">
        <f>BQ5*Projection!$F$5</f>
        <v>4563.0418524932174</v>
      </c>
      <c r="BR3" s="29">
        <f>BR5*Projection!$F$5</f>
        <v>4714.398243937263</v>
      </c>
      <c r="BS3" s="29">
        <f>BS5*Projection!$F$5</f>
        <v>4238.9281041577342</v>
      </c>
      <c r="BT3" s="29" t="e">
        <f ca="1">BT5*Projection!$F$5</f>
        <v>#VALUE!</v>
      </c>
      <c r="BU3" s="29" t="e">
        <f ca="1">BU5*Projection!$F$5</f>
        <v>#VALUE!</v>
      </c>
    </row>
    <row r="4" spans="1:73" ht="14.25" customHeight="1" x14ac:dyDescent="0.2">
      <c r="A4" s="16"/>
      <c r="B4" s="798" t="s">
        <v>706</v>
      </c>
      <c r="C4" s="812">
        <f>Inputs!I12</f>
        <v>4</v>
      </c>
      <c r="F4" s="11" t="s">
        <v>707</v>
      </c>
      <c r="H4" s="29">
        <f t="shared" ref="H4:BU4" si="0">H74+H139</f>
        <v>0</v>
      </c>
      <c r="I4" s="29">
        <f t="shared" si="0"/>
        <v>0</v>
      </c>
      <c r="J4" s="29">
        <f t="shared" si="0"/>
        <v>-229.81969934287554</v>
      </c>
      <c r="K4" s="29">
        <f t="shared" si="0"/>
        <v>-499.89148532530271</v>
      </c>
      <c r="L4" s="29">
        <f t="shared" si="0"/>
        <v>-779.69562762186251</v>
      </c>
      <c r="M4" s="29">
        <f t="shared" si="0"/>
        <v>-1260.5700831257163</v>
      </c>
      <c r="N4" s="29">
        <f t="shared" si="0"/>
        <v>-1697.9938486368555</v>
      </c>
      <c r="O4" s="29">
        <f t="shared" si="0"/>
        <v>-2316.920736464861</v>
      </c>
      <c r="P4" s="29">
        <f t="shared" si="0"/>
        <v>-2354.9112203757613</v>
      </c>
      <c r="Q4" s="29">
        <f t="shared" si="0"/>
        <v>-2436.8890723349068</v>
      </c>
      <c r="R4" s="29">
        <f t="shared" si="0"/>
        <v>-2527.2006563102332</v>
      </c>
      <c r="S4" s="29">
        <f t="shared" si="0"/>
        <v>-2579.6179755628327</v>
      </c>
      <c r="T4" s="29">
        <f t="shared" si="0"/>
        <v>-2557.9615545211018</v>
      </c>
      <c r="U4" s="29">
        <f t="shared" si="0"/>
        <v>-2593.3373484034673</v>
      </c>
      <c r="V4" s="29">
        <f t="shared" si="0"/>
        <v>-2998.6285441586733</v>
      </c>
      <c r="W4" s="29">
        <f t="shared" si="0"/>
        <v>-3133.996073737304</v>
      </c>
      <c r="X4" s="29">
        <f t="shared" si="0"/>
        <v>-3392.5460920202313</v>
      </c>
      <c r="Y4" s="29">
        <f t="shared" si="0"/>
        <v>-3903.4832863264601</v>
      </c>
      <c r="Z4" s="29">
        <f t="shared" si="0"/>
        <v>-4359.9847776375755</v>
      </c>
      <c r="AA4" s="29">
        <f t="shared" si="0"/>
        <v>-5193.788973561037</v>
      </c>
      <c r="AB4" s="29">
        <f t="shared" si="0"/>
        <v>-5043.2004384071406</v>
      </c>
      <c r="AC4" s="29">
        <f t="shared" si="0"/>
        <v>-5058.9357363309464</v>
      </c>
      <c r="AD4" s="29">
        <f t="shared" si="0"/>
        <v>-5040.0509277570818</v>
      </c>
      <c r="AE4" s="29">
        <f t="shared" si="0"/>
        <v>-5025.0355838306205</v>
      </c>
      <c r="AF4" s="29">
        <f t="shared" si="0"/>
        <v>-4755.5378768117371</v>
      </c>
      <c r="AG4" s="29">
        <f t="shared" si="0"/>
        <v>-4570.205365201633</v>
      </c>
      <c r="AH4" s="29">
        <f t="shared" si="0"/>
        <v>-5072.7893632030318</v>
      </c>
      <c r="AI4" s="29">
        <f t="shared" si="0"/>
        <v>-5017.2008735884447</v>
      </c>
      <c r="AJ4" s="29">
        <f t="shared" si="0"/>
        <v>-5189.6441705180332</v>
      </c>
      <c r="AK4" s="29">
        <f t="shared" si="0"/>
        <v>-5594.5458238818828</v>
      </c>
      <c r="AL4" s="29">
        <f t="shared" si="0"/>
        <v>-5977.3871767462988</v>
      </c>
      <c r="AM4" s="29">
        <f t="shared" si="0"/>
        <v>-6796.5314369488915</v>
      </c>
      <c r="AN4" s="29">
        <f t="shared" si="0"/>
        <v>-6491.4187956656533</v>
      </c>
      <c r="AO4" s="29">
        <f t="shared" si="0"/>
        <v>-6430.5398615309823</v>
      </c>
      <c r="AP4" s="29">
        <f t="shared" si="0"/>
        <v>-6306.6692444043001</v>
      </c>
      <c r="AQ4" s="29">
        <f t="shared" si="0"/>
        <v>-6175.7187343332916</v>
      </c>
      <c r="AR4" s="29">
        <f t="shared" si="0"/>
        <v>-5879.2728259837459</v>
      </c>
      <c r="AS4" s="29">
        <f t="shared" si="0"/>
        <v>-5368.1923375965998</v>
      </c>
      <c r="AT4" s="29">
        <f t="shared" si="0"/>
        <v>-5790.9093171303975</v>
      </c>
      <c r="AU4" s="29">
        <f t="shared" si="0"/>
        <v>-5495.8947218818212</v>
      </c>
      <c r="AV4" s="29">
        <f t="shared" si="0"/>
        <v>-5585.1046339102177</v>
      </c>
      <c r="AW4" s="29">
        <f t="shared" si="0"/>
        <v>-5857.5493368326279</v>
      </c>
      <c r="AX4" s="29">
        <f t="shared" si="0"/>
        <v>-6106.4734525792883</v>
      </c>
      <c r="AY4" s="29">
        <f t="shared" si="0"/>
        <v>-6673.5936524010758</v>
      </c>
      <c r="AZ4" s="29">
        <f t="shared" si="0"/>
        <v>-6147.4420505395101</v>
      </c>
      <c r="BA4" s="29">
        <f t="shared" si="0"/>
        <v>-5942.146059906212</v>
      </c>
      <c r="BB4" s="29">
        <f t="shared" si="0"/>
        <v>-5671.963865071797</v>
      </c>
      <c r="BC4" s="29">
        <f t="shared" si="0"/>
        <v>-5359.8474164826039</v>
      </c>
      <c r="BD4" s="29">
        <f t="shared" si="0"/>
        <v>-5085.1083718086302</v>
      </c>
      <c r="BE4" s="29">
        <f t="shared" si="0"/>
        <v>-4797.1230387622054</v>
      </c>
      <c r="BF4" s="29">
        <f t="shared" si="0"/>
        <v>-5126.2812971977546</v>
      </c>
      <c r="BG4" s="29">
        <f t="shared" si="0"/>
        <v>-4847.2118423041684</v>
      </c>
      <c r="BH4" s="29">
        <f t="shared" si="0"/>
        <v>-5031.945447415972</v>
      </c>
      <c r="BI4" s="29">
        <f t="shared" si="0"/>
        <v>-5408.1488769361458</v>
      </c>
      <c r="BJ4" s="29">
        <f t="shared" si="0"/>
        <v>-5714.7130907435057</v>
      </c>
      <c r="BK4" s="29">
        <f t="shared" si="0"/>
        <v>-6285.8173877650115</v>
      </c>
      <c r="BL4" s="29">
        <f t="shared" si="0"/>
        <v>-5803.9062053984817</v>
      </c>
      <c r="BM4" s="29">
        <f t="shared" si="0"/>
        <v>-5624.0431331458385</v>
      </c>
      <c r="BN4" s="29">
        <f t="shared" si="0"/>
        <v>-5394.1754484920821</v>
      </c>
      <c r="BO4" s="29">
        <f t="shared" si="0"/>
        <v>-5017.8991539911949</v>
      </c>
      <c r="BP4" s="29">
        <f t="shared" si="0"/>
        <v>-4723.2660431435797</v>
      </c>
      <c r="BQ4" s="29">
        <f t="shared" si="0"/>
        <v>-4563.0418524932174</v>
      </c>
      <c r="BR4" s="29">
        <f t="shared" si="0"/>
        <v>-4396.9772439372755</v>
      </c>
      <c r="BS4" s="29">
        <f t="shared" si="0"/>
        <v>-3709.8931041577307</v>
      </c>
      <c r="BT4" s="29" t="e">
        <f t="shared" si="0"/>
        <v>#VALUE!</v>
      </c>
      <c r="BU4" s="29" t="e">
        <f t="shared" si="0"/>
        <v>#VALUE!</v>
      </c>
    </row>
    <row r="5" spans="1:73" ht="14.25" customHeight="1" x14ac:dyDescent="0.2">
      <c r="F5" s="1" t="s">
        <v>412</v>
      </c>
      <c r="H5" s="29">
        <f>((H2*(Inputs!$C$13-Inputs!$C$23))-(G1+H4))/Projection!$F$5</f>
        <v>14.925849367610109</v>
      </c>
      <c r="I5" s="29">
        <f>((I2*(Inputs!$C$13-Inputs!$C$23))-(H1+I4))/Projection!$F$5</f>
        <v>14.745786761557836</v>
      </c>
      <c r="J5" s="29">
        <f>((J2*(Inputs!$C$13-Inputs!$C$23))-(I1+J4))/Projection!$F$5</f>
        <v>21.810252620146763</v>
      </c>
      <c r="K5" s="29">
        <f>((K2*(Inputs!$C$13-Inputs!$C$23))-(J1+K4))/Projection!$F$5</f>
        <v>23.883929222909323</v>
      </c>
      <c r="L5" s="29">
        <f>((L2*(Inputs!$C$13-Inputs!$C$23))-(K1+L4))/Projection!$F$5</f>
        <v>36.709849789672333</v>
      </c>
      <c r="M5" s="29">
        <f>((M2*(Inputs!$C$13-Inputs!$C$23))-(L1+M4))/Projection!$F$5</f>
        <v>34.292549426628845</v>
      </c>
      <c r="N5" s="29">
        <f>((N2*(Inputs!$C$13-Inputs!$C$23))-(M1+N4))/Projection!$F$5</f>
        <v>33.833200071911101</v>
      </c>
      <c r="O5" s="29">
        <f>((O2*(Inputs!$C$13-Inputs!$C$23))-(N1+O4))/Projection!$F$5</f>
        <v>32.233434189666653</v>
      </c>
      <c r="P5" s="29">
        <f>((P2*(Inputs!$C$13-Inputs!$C$23))-(O1+P4))/Projection!$F$5</f>
        <v>30.460308770243216</v>
      </c>
      <c r="Q5" s="29">
        <f>((Q2*(Inputs!$C$13-Inputs!$C$23))-(P1+Q4))/Projection!$F$5</f>
        <v>31.18532948884496</v>
      </c>
      <c r="R5" s="29">
        <f>((R2*(Inputs!$C$13-Inputs!$C$23))-(Q1+R4))/Projection!$F$5</f>
        <v>30.733388749212899</v>
      </c>
      <c r="S5" s="29">
        <f>((S2*(Inputs!$C$13-Inputs!$C$23))-(R1+S4))/Projection!$F$5</f>
        <v>28.758353597029124</v>
      </c>
      <c r="T5" s="29">
        <f>((T2*(Inputs!$C$13-Inputs!$C$23))-(S1+T4))/Projection!$F$5</f>
        <v>32.366646203452092</v>
      </c>
      <c r="U5" s="29">
        <f>((U2*(Inputs!$C$13-Inputs!$C$23))-(T1+U4))/Projection!$F$5</f>
        <v>32.404361091984875</v>
      </c>
      <c r="V5" s="29">
        <f>((V2*(Inputs!$C$13-Inputs!$C$23))-(U1+V4))/Projection!$F$5</f>
        <v>40.941287570415248</v>
      </c>
      <c r="W5" s="29">
        <f>((W2*(Inputs!$C$13-Inputs!$C$23))-(V1+W4))/Projection!$F$5</f>
        <v>42.164019821339515</v>
      </c>
      <c r="X5" s="29">
        <f>((X2*(Inputs!$C$13-Inputs!$C$23))-(W1+X4))/Projection!$F$5</f>
        <v>55.520243905546828</v>
      </c>
      <c r="Y5" s="29">
        <f>((Y2*(Inputs!$C$13-Inputs!$C$23))-(X1+Y4))/Projection!$F$5</f>
        <v>52.962380374772557</v>
      </c>
      <c r="Z5" s="29">
        <f>((Z2*(Inputs!$C$13-Inputs!$C$23))-(Y1+Z4))/Projection!$F$5</f>
        <v>52.42714154639291</v>
      </c>
      <c r="AA5" s="29">
        <f>((AA2*(Inputs!$C$13-Inputs!$C$23))-(Z1+AA4))/Projection!$F$5</f>
        <v>51.877024312123254</v>
      </c>
      <c r="AB5" s="29">
        <f>((AB2*(Inputs!$C$13-Inputs!$C$23))-(AA1+AB4))/Projection!$F$5</f>
        <v>48.762464255755994</v>
      </c>
      <c r="AC5" s="29">
        <f>((AC2*(Inputs!$C$13-Inputs!$C$23))-(AB1+AC4))/Projection!$F$5</f>
        <v>49.071075537959786</v>
      </c>
      <c r="AD5" s="29">
        <f>((AD2*(Inputs!$C$13-Inputs!$C$23))-(AC1+AD4))/Projection!$F$5</f>
        <v>47.850449846459945</v>
      </c>
      <c r="AE5" s="29">
        <f>((AE2*(Inputs!$C$13-Inputs!$C$23))-(AD1+AE4))/Projection!$F$5</f>
        <v>45.299253566508256</v>
      </c>
      <c r="AF5" s="29">
        <f>((AF2*(Inputs!$C$13-Inputs!$C$23))-(AE1+AF4))/Projection!$F$5</f>
        <v>41.597816382178941</v>
      </c>
      <c r="AG5" s="29">
        <f>((AG2*(Inputs!$C$13-Inputs!$C$23))-(AF1+AG4))/Projection!$F$5</f>
        <v>40.268761086281714</v>
      </c>
      <c r="AH5" s="29">
        <f>((AH2*(Inputs!$C$13-Inputs!$C$23))-(AG1+AH4))/Projection!$F$5</f>
        <v>47.575055582139974</v>
      </c>
      <c r="AI5" s="29">
        <f>((AI2*(Inputs!$C$13-Inputs!$C$23))-(AH1+AI4))/Projection!$F$5</f>
        <v>47.454076641678135</v>
      </c>
      <c r="AJ5" s="29">
        <f>((AJ2*(Inputs!$C$13-Inputs!$C$23))-(AI1+AJ4))/Projection!$F$5</f>
        <v>56.581288983455842</v>
      </c>
      <c r="AK5" s="29">
        <f>((AK2*(Inputs!$C$13-Inputs!$C$23))-(AJ1+AK4))/Projection!$F$5</f>
        <v>55.179935252170047</v>
      </c>
      <c r="AL5" s="29">
        <f>((AL2*(Inputs!$C$13-Inputs!$C$23))-(AK1+AL4))/Projection!$F$5</f>
        <v>55.264219482099755</v>
      </c>
      <c r="AM5" s="29">
        <f>((AM2*(Inputs!$C$13-Inputs!$C$23))-(AL1+AM4))/Projection!$F$5</f>
        <v>56.48629196394144</v>
      </c>
      <c r="AN5" s="29">
        <f>((AN2*(Inputs!$C$13-Inputs!$C$23))-(AM1+AN4))/Projection!$F$5</f>
        <v>53.045701514092258</v>
      </c>
      <c r="AO5" s="29">
        <f>((AO2*(Inputs!$C$13-Inputs!$C$23))-(AN1+AO4))/Projection!$F$5</f>
        <v>52.794010167871939</v>
      </c>
      <c r="AP5" s="29">
        <f>((AP2*(Inputs!$C$13-Inputs!$C$23))-(AO1+AP4))/Projection!$F$5</f>
        <v>51.239949505551003</v>
      </c>
      <c r="AQ5" s="29">
        <f>((AQ2*(Inputs!$C$13-Inputs!$C$23))-(AP1+AQ4))/Projection!$F$5</f>
        <v>48.710576072188701</v>
      </c>
      <c r="AR5" s="29">
        <f>((AR2*(Inputs!$C$13-Inputs!$C$23))-(AQ1+AR4))/Projection!$F$5</f>
        <v>29.571150878230231</v>
      </c>
      <c r="AS5" s="29">
        <f>((AS2*(Inputs!$C$13-Inputs!$C$23))-(AR1+AS4))/Projection!$F$5</f>
        <v>34.703219625507515</v>
      </c>
      <c r="AT5" s="29">
        <f>((AT2*(Inputs!$C$13-Inputs!$C$23))-(AS1+AT4))/Projection!$F$5</f>
        <v>39.487916082274168</v>
      </c>
      <c r="AU5" s="29">
        <f>((AU2*(Inputs!$C$13-Inputs!$C$23))-(AT1+AU4))/Projection!$F$5</f>
        <v>38.948764540788112</v>
      </c>
      <c r="AV5" s="29">
        <f>((AV2*(Inputs!$C$13-Inputs!$C$23))-(AU1+AV4))/Projection!$F$5</f>
        <v>44.997470995251589</v>
      </c>
      <c r="AW5" s="29">
        <f>((AW2*(Inputs!$C$13-Inputs!$C$23))-(AV1+AW4))/Projection!$F$5</f>
        <v>43.338717196343538</v>
      </c>
      <c r="AX5" s="29">
        <f>((AX2*(Inputs!$C$13-Inputs!$C$23))-(AW1+AX4))/Projection!$F$5</f>
        <v>40.843912194507205</v>
      </c>
      <c r="AY5" s="29">
        <f>((AY2*(Inputs!$C$13-Inputs!$C$23))-(AX1+AY4))/Projection!$F$5</f>
        <v>37.670117801679865</v>
      </c>
      <c r="AZ5" s="29">
        <f>((AZ2*(Inputs!$C$13-Inputs!$C$23))-(AY1+AZ4))/Projection!$F$5</f>
        <v>35.636757819133152</v>
      </c>
      <c r="BA5" s="29">
        <f>((BA2*(Inputs!$C$13-Inputs!$C$23))-(AZ1+BA4))/Projection!$F$5</f>
        <v>34.309601226533651</v>
      </c>
      <c r="BB5" s="29">
        <f>((BB2*(Inputs!$C$13-Inputs!$C$23))-(BA1+BB4))/Projection!$F$5</f>
        <v>32.562981236677309</v>
      </c>
      <c r="BC5" s="29">
        <f>((BC2*(Inputs!$C$13-Inputs!$C$23))-(BB1+BC4))/Projection!$F$5</f>
        <v>31.229273043126621</v>
      </c>
      <c r="BD5" s="29">
        <f>((BD2*(Inputs!$C$13-Inputs!$C$23))-(BC1+BD4))/Projection!$F$5</f>
        <v>32.873194838877509</v>
      </c>
      <c r="BE5" s="29">
        <f>((BE2*(Inputs!$C$13-Inputs!$C$23))-(BD1+BE4))/Projection!$F$5</f>
        <v>31.011484670327562</v>
      </c>
      <c r="BF5" s="29">
        <f>((BF2*(Inputs!$C$13-Inputs!$C$23))-(BE1+BF4))/Projection!$F$5</f>
        <v>35.191361358731044</v>
      </c>
      <c r="BG5" s="29">
        <f>((BG2*(Inputs!$C$13-Inputs!$C$23))-(BF1+BG4))/Projection!$F$5</f>
        <v>34.755288781801326</v>
      </c>
      <c r="BH5" s="29">
        <f>((BH2*(Inputs!$C$13-Inputs!$C$23))-(BG1+BH4))/Projection!$F$5</f>
        <v>41.421517763782369</v>
      </c>
      <c r="BI5" s="29">
        <f>((BI2*(Inputs!$C$13-Inputs!$C$23))-(BH1+BI4))/Projection!$F$5</f>
        <v>40.433522695325706</v>
      </c>
      <c r="BJ5" s="29">
        <f>((BJ2*(Inputs!$C$13-Inputs!$C$23))-(BI1+BJ4))/Projection!$F$5</f>
        <v>38.311337908347731</v>
      </c>
      <c r="BK5" s="29">
        <f>((BK2*(Inputs!$C$13-Inputs!$C$23))-(BJ1+BK4))/Projection!$F$5</f>
        <v>35.163299112830657</v>
      </c>
      <c r="BL5" s="29">
        <f>((BL2*(Inputs!$C$13-Inputs!$C$23))-(BK1+BL4))/Projection!$F$5</f>
        <v>33.415935774500348</v>
      </c>
      <c r="BM5" s="29">
        <f>((BM2*(Inputs!$C$13-Inputs!$C$23))-(BL1+BM4))/Projection!$F$5</f>
        <v>32.253192842361571</v>
      </c>
      <c r="BN5" s="29">
        <f>((BN2*(Inputs!$C$13-Inputs!$C$23))-(BM1+BN4))/Projection!$F$5</f>
        <v>30.767190060852222</v>
      </c>
      <c r="BO5" s="29">
        <f>((BO2*(Inputs!$C$13-Inputs!$C$23))-(BN1+BO4))/Projection!$F$5</f>
        <v>29.018714086307849</v>
      </c>
      <c r="BP5" s="29">
        <f>((BP2*(Inputs!$C$13-Inputs!$C$23))-(BO1+BP4))/Projection!$F$5</f>
        <v>30.53402868912471</v>
      </c>
      <c r="BQ5" s="29">
        <f>((BQ2*(Inputs!$C$13-Inputs!$C$23))-(BP1+BQ4))/Projection!$F$5</f>
        <v>29.498243283576329</v>
      </c>
      <c r="BR5" s="29">
        <f>((BR2*(Inputs!$C$13-Inputs!$C$23))-(BQ1+BR4))/Projection!$F$5</f>
        <v>30.476701908693069</v>
      </c>
      <c r="BS5" s="29">
        <f>((BS2*(Inputs!$C$13-Inputs!$C$23))-(BR1+BS4))/Projection!$F$5</f>
        <v>27.40297733839812</v>
      </c>
      <c r="BT5" s="29" t="e">
        <f ca="1">((BT2*(Inputs!$C$13-Inputs!$C$23))-(BS1+BT4))/Projection!$F$5</f>
        <v>#VALUE!</v>
      </c>
      <c r="BU5" s="29" t="e">
        <f ca="1">((BU2*(Inputs!$C$13-Inputs!$C$23))-(BT1+BU4))/Projection!$F$5</f>
        <v>#VALUE!</v>
      </c>
    </row>
    <row r="6" spans="1:73" ht="14.25" customHeight="1" x14ac:dyDescent="0.2">
      <c r="A6" s="847" t="s">
        <v>694</v>
      </c>
      <c r="B6" s="852"/>
      <c r="C6" s="848"/>
      <c r="F6" s="1" t="s">
        <v>413</v>
      </c>
      <c r="H6" s="29">
        <f>H4/Projection!$F$5</f>
        <v>0</v>
      </c>
      <c r="I6" s="29">
        <f>I4/Projection!$F$5</f>
        <v>0</v>
      </c>
      <c r="J6" s="29">
        <f>J4/Projection!$F$5</f>
        <v>-1.4856925756379715</v>
      </c>
      <c r="K6" s="29">
        <f>K4/Projection!$F$5</f>
        <v>-3.2315988163590976</v>
      </c>
      <c r="L6" s="29">
        <f>L4/Projection!$F$5</f>
        <v>-5.0404208539449558</v>
      </c>
      <c r="M6" s="29">
        <f>M4/Projection!$F$5</f>
        <v>-8.149082167134404</v>
      </c>
      <c r="N6" s="29">
        <f>N4/Projection!$F$5</f>
        <v>-10.976852121954209</v>
      </c>
      <c r="O6" s="29">
        <f>O4/Projection!$F$5</f>
        <v>-14.977967277608899</v>
      </c>
      <c r="P6" s="29">
        <f>P4/Projection!$F$5</f>
        <v>-15.223560584243204</v>
      </c>
      <c r="Q6" s="29">
        <f>Q4/Projection!$F$5</f>
        <v>-15.753514658548831</v>
      </c>
      <c r="R6" s="29">
        <f>R4/Projection!$F$5</f>
        <v>-16.337342982186428</v>
      </c>
      <c r="S6" s="29">
        <f>S4/Projection!$F$5</f>
        <v>-16.676200017815244</v>
      </c>
      <c r="T6" s="29">
        <f>T4/Projection!$F$5</f>
        <v>-16.536199904471665</v>
      </c>
      <c r="U6" s="29">
        <f>U4/Projection!$F$5</f>
        <v>-16.764890284272038</v>
      </c>
      <c r="V6" s="29">
        <f>V4/Projection!$F$5</f>
        <v>-19.38493600805743</v>
      </c>
      <c r="W6" s="29">
        <f>W4/Projection!$F$5</f>
        <v>-20.260033026513518</v>
      </c>
      <c r="X6" s="29">
        <f>X4/Projection!$F$5</f>
        <v>-21.931455640381429</v>
      </c>
      <c r="Y6" s="29">
        <f>Y4/Projection!$F$5</f>
        <v>-25.234460554096596</v>
      </c>
      <c r="Z6" s="29">
        <f>Z4/Projection!$F$5</f>
        <v>-28.185560387347731</v>
      </c>
      <c r="AA6" s="29">
        <f>AA4/Projection!$F$5</f>
        <v>-33.575771526607397</v>
      </c>
      <c r="AB6" s="29">
        <f>AB4/Projection!$F$5</f>
        <v>-32.60227678575599</v>
      </c>
      <c r="AC6" s="29">
        <f>AC4/Projection!$F$5</f>
        <v>-32.703999202797235</v>
      </c>
      <c r="AD6" s="29">
        <f>AD4/Projection!$F$5</f>
        <v>-32.581916457189443</v>
      </c>
      <c r="AE6" s="29">
        <f>AE4/Projection!$F$5</f>
        <v>-32.484848255220768</v>
      </c>
      <c r="AF6" s="29">
        <f>AF4/Projection!$F$5</f>
        <v>-30.742653205735234</v>
      </c>
      <c r="AG6" s="29">
        <f>AG4/Projection!$F$5</f>
        <v>-29.544552532421452</v>
      </c>
      <c r="AH6" s="29">
        <f>AH4/Projection!$F$5</f>
        <v>-32.793557367951777</v>
      </c>
      <c r="AI6" s="29">
        <f>AI4/Projection!$F$5</f>
        <v>-32.434199982368803</v>
      </c>
      <c r="AJ6" s="29">
        <f>AJ4/Projection!$F$5</f>
        <v>-33.548977030199651</v>
      </c>
      <c r="AK6" s="29">
        <f>AK4/Projection!$F$5</f>
        <v>-36.166504517992266</v>
      </c>
      <c r="AL6" s="29">
        <f>AL4/Projection!$F$5</f>
        <v>-38.641420973040233</v>
      </c>
      <c r="AM6" s="29">
        <f>AM4/Projection!$F$5</f>
        <v>-43.93686148244484</v>
      </c>
      <c r="AN6" s="29">
        <f>AN4/Projection!$F$5</f>
        <v>-41.964430106092287</v>
      </c>
      <c r="AO6" s="29">
        <f>AO4/Projection!$F$5</f>
        <v>-41.57087210947472</v>
      </c>
      <c r="AP6" s="29">
        <f>AP4/Projection!$F$5</f>
        <v>-40.770098038622592</v>
      </c>
      <c r="AQ6" s="29">
        <f>AQ4/Projection!$F$5</f>
        <v>-39.923555287305859</v>
      </c>
      <c r="AR6" s="29">
        <f>AR4/Projection!$F$5</f>
        <v>-38.00715087823</v>
      </c>
      <c r="AS6" s="29">
        <f>AS4/Projection!$F$5</f>
        <v>-34.703219625507515</v>
      </c>
      <c r="AT6" s="29">
        <f>AT4/Projection!$F$5</f>
        <v>-37.435916082274247</v>
      </c>
      <c r="AU6" s="29">
        <f>AU4/Projection!$F$5</f>
        <v>-35.528764540788089</v>
      </c>
      <c r="AV6" s="29">
        <f>AV4/Projection!$F$5</f>
        <v>-36.105470995251622</v>
      </c>
      <c r="AW6" s="29">
        <f>AW4/Projection!$F$5</f>
        <v>-37.866717196343501</v>
      </c>
      <c r="AX6" s="29">
        <f>AX4/Projection!$F$5</f>
        <v>-39.475912194507288</v>
      </c>
      <c r="AY6" s="29">
        <f>AY4/Projection!$F$5</f>
        <v>-43.142117801679809</v>
      </c>
      <c r="AZ6" s="29">
        <f>AZ4/Projection!$F$5</f>
        <v>-39.740757819133179</v>
      </c>
      <c r="BA6" s="29">
        <f>BA4/Projection!$F$5</f>
        <v>-38.413601226533679</v>
      </c>
      <c r="BB6" s="29">
        <f>BB4/Projection!$F$5</f>
        <v>-36.666981236677245</v>
      </c>
      <c r="BC6" s="29">
        <f>BC4/Projection!$F$5</f>
        <v>-34.649273043126641</v>
      </c>
      <c r="BD6" s="29">
        <f>BD4/Projection!$F$5</f>
        <v>-32.873194838877417</v>
      </c>
      <c r="BE6" s="29">
        <f>BE4/Projection!$F$5</f>
        <v>-31.011484670327562</v>
      </c>
      <c r="BF6" s="29">
        <f>BF4/Projection!$F$5</f>
        <v>-33.139361358731122</v>
      </c>
      <c r="BG6" s="29">
        <f>BG4/Projection!$F$5</f>
        <v>-31.335288781801307</v>
      </c>
      <c r="BH6" s="29">
        <f>BH4/Projection!$F$5</f>
        <v>-32.529517763782401</v>
      </c>
      <c r="BI6" s="29">
        <f>BI4/Projection!$F$5</f>
        <v>-34.961522695325669</v>
      </c>
      <c r="BJ6" s="29">
        <f>BJ4/Projection!$F$5</f>
        <v>-36.943337908347821</v>
      </c>
      <c r="BK6" s="29">
        <f>BK4/Projection!$F$5</f>
        <v>-40.635299112830602</v>
      </c>
      <c r="BL6" s="29">
        <f>BL4/Projection!$F$5</f>
        <v>-37.519935774500375</v>
      </c>
      <c r="BM6" s="29">
        <f>BM4/Projection!$F$5</f>
        <v>-36.357192842361592</v>
      </c>
      <c r="BN6" s="29">
        <f>BN4/Projection!$F$5</f>
        <v>-34.87119006085215</v>
      </c>
      <c r="BO6" s="29">
        <f>BO4/Projection!$F$5</f>
        <v>-32.438714086307876</v>
      </c>
      <c r="BP6" s="29">
        <f>BP4/Projection!$F$5</f>
        <v>-30.534028689124618</v>
      </c>
      <c r="BQ6" s="29">
        <f>BQ4/Projection!$F$5</f>
        <v>-29.498243283576329</v>
      </c>
      <c r="BR6" s="29">
        <f>BR4/Projection!$F$5</f>
        <v>-28.424701908693152</v>
      </c>
      <c r="BS6" s="29">
        <f>BS4/Projection!$F$5</f>
        <v>-23.982977338398097</v>
      </c>
      <c r="BT6" s="29" t="e">
        <f>BT4/Projection!$F$5</f>
        <v>#VALUE!</v>
      </c>
      <c r="BU6" s="29" t="e">
        <f>BU4/Projection!$F$5</f>
        <v>#VALUE!</v>
      </c>
    </row>
    <row r="7" spans="1:73" ht="14.25" customHeight="1" x14ac:dyDescent="0.2">
      <c r="A7" s="767" t="s">
        <v>674</v>
      </c>
      <c r="B7" s="768" t="s">
        <v>695</v>
      </c>
      <c r="C7" s="769" t="s">
        <v>696</v>
      </c>
      <c r="H7" s="25">
        <f>VLOOKUP(MONTH(Projection!J$9),Modeling!$B$5:$L$16,4,FALSE)</f>
        <v>-1.2333333333333085E-2</v>
      </c>
      <c r="I7" s="25">
        <f>VLOOKUP(MONTH(Projection!K$9),Modeling!$B$5:$L$16,4,FALSE)</f>
        <v>-1.2333333333333085E-2</v>
      </c>
      <c r="J7" s="25">
        <f>VLOOKUP(MONTH(Projection!L$9),Modeling!$B$5:$L$16,4,FALSE)</f>
        <v>-9.3333333333330826E-3</v>
      </c>
      <c r="K7" s="25">
        <f>VLOOKUP(MONTH(Projection!M$9),Modeling!$B$5:$L$16,4,FALSE)</f>
        <v>-4.3333333333330781E-3</v>
      </c>
      <c r="L7" s="25">
        <f>VLOOKUP(MONTH(Projection!N$9),Modeling!$B$5:$L$16,4,FALSE)</f>
        <v>8.6666666666668224E-3</v>
      </c>
      <c r="M7" s="25">
        <f>VLOOKUP(MONTH(Projection!O$9),Modeling!$B$5:$L$16,4,FALSE)</f>
        <v>1.6666666666666829E-2</v>
      </c>
      <c r="N7" s="25">
        <f>VLOOKUP(MONTH(Projection!P$9),Modeling!$B$5:$L$16,4,FALSE)</f>
        <v>1.8666666666666831E-2</v>
      </c>
      <c r="O7" s="25">
        <f>VLOOKUP(MONTH(Projection!Q$9),Modeling!$B$5:$L$16,4,FALSE)</f>
        <v>1.0666666666666824E-2</v>
      </c>
      <c r="P7" s="25">
        <f>VLOOKUP(MONTH(Projection!R$9),Modeling!$B$5:$L$16,4,FALSE)</f>
        <v>4.6666666666668188E-3</v>
      </c>
      <c r="Q7" s="25">
        <f>VLOOKUP(MONTH(Projection!S$9),Modeling!$B$5:$L$16,4,FALSE)</f>
        <v>-1.3333333333331865E-3</v>
      </c>
      <c r="R7" s="25">
        <f>VLOOKUP(MONTH(Projection!T$9),Modeling!$B$5:$L$16,4,FALSE)</f>
        <v>-7.3333333333331918E-3</v>
      </c>
      <c r="S7" s="25">
        <f>VLOOKUP(MONTH(Projection!U$9),Modeling!$B$5:$L$16,4,FALSE)</f>
        <v>-1.2333333333333196E-2</v>
      </c>
      <c r="T7" s="25">
        <f>VLOOKUP(MONTH(Projection!V$9),Modeling!$B$5:$L$16,4,FALSE)</f>
        <v>-1.2333333333333085E-2</v>
      </c>
      <c r="U7" s="25">
        <f>VLOOKUP(MONTH(Projection!W$9),Modeling!$B$5:$L$16,4,FALSE)</f>
        <v>-1.2333333333333085E-2</v>
      </c>
      <c r="V7" s="25">
        <f>VLOOKUP(MONTH(Projection!X$9),Modeling!$B$5:$L$16,4,FALSE)</f>
        <v>-9.3333333333330826E-3</v>
      </c>
      <c r="W7" s="25">
        <f>VLOOKUP(MONTH(Projection!Y$9),Modeling!$B$5:$L$16,4,FALSE)</f>
        <v>-4.3333333333330781E-3</v>
      </c>
      <c r="X7" s="25">
        <f>VLOOKUP(MONTH(Projection!Z$9),Modeling!$B$5:$L$16,4,FALSE)</f>
        <v>8.6666666666668224E-3</v>
      </c>
      <c r="Y7" s="25">
        <f>VLOOKUP(MONTH(Projection!AA$9),Modeling!$B$5:$L$16,4,FALSE)</f>
        <v>1.6666666666666829E-2</v>
      </c>
      <c r="Z7" s="25">
        <f>VLOOKUP(MONTH(Projection!AB$9),Modeling!$B$5:$L$16,4,FALSE)</f>
        <v>1.8666666666666831E-2</v>
      </c>
      <c r="AA7" s="25">
        <f>VLOOKUP(MONTH(Projection!AC$9),Modeling!$B$5:$L$16,4,FALSE)</f>
        <v>1.0666666666666824E-2</v>
      </c>
      <c r="AB7" s="25">
        <f>VLOOKUP(MONTH(Projection!AD$9),Modeling!$B$5:$L$16,4,FALSE)</f>
        <v>4.6666666666668188E-3</v>
      </c>
      <c r="AC7" s="25">
        <f>VLOOKUP(MONTH(Projection!AE$9),Modeling!$B$5:$L$16,4,FALSE)</f>
        <v>-1.3333333333331865E-3</v>
      </c>
      <c r="AD7" s="25">
        <f>VLOOKUP(MONTH(Projection!AF$9),Modeling!$B$5:$L$16,4,FALSE)</f>
        <v>-7.3333333333331918E-3</v>
      </c>
      <c r="AE7" s="25">
        <f>VLOOKUP(MONTH(Projection!AG$9),Modeling!$B$5:$L$16,4,FALSE)</f>
        <v>-1.2333333333333196E-2</v>
      </c>
      <c r="AF7" s="25">
        <f>VLOOKUP(MONTH(Projection!AH$9),Modeling!$B$5:$L$16,4,FALSE)</f>
        <v>-1.2333333333333085E-2</v>
      </c>
      <c r="AG7" s="25">
        <f>VLOOKUP(MONTH(Projection!AI$9),Modeling!$B$5:$L$16,4,FALSE)</f>
        <v>-1.2333333333333085E-2</v>
      </c>
      <c r="AH7" s="25">
        <f>VLOOKUP(MONTH(Projection!AJ$9),Modeling!$B$5:$L$16,4,FALSE)</f>
        <v>-9.3333333333330826E-3</v>
      </c>
      <c r="AI7" s="25">
        <f>VLOOKUP(MONTH(Projection!AK$9),Modeling!$B$5:$L$16,4,FALSE)</f>
        <v>-4.3333333333330781E-3</v>
      </c>
      <c r="AJ7" s="25">
        <f>VLOOKUP(MONTH(Projection!AL$9),Modeling!$B$5:$L$16,4,FALSE)</f>
        <v>8.6666666666668224E-3</v>
      </c>
      <c r="AK7" s="25">
        <f>VLOOKUP(MONTH(Projection!AM$9),Modeling!$B$5:$L$16,4,FALSE)</f>
        <v>1.6666666666666829E-2</v>
      </c>
      <c r="AL7" s="25">
        <f>VLOOKUP(MONTH(Projection!AN$9),Modeling!$B$5:$L$16,4,FALSE)</f>
        <v>1.8666666666666831E-2</v>
      </c>
      <c r="AM7" s="25">
        <f>VLOOKUP(MONTH(Projection!AO$9),Modeling!$B$5:$L$16,4,FALSE)</f>
        <v>1.0666666666666824E-2</v>
      </c>
      <c r="AN7" s="25">
        <f>VLOOKUP(MONTH(Projection!AP$9),Modeling!$B$5:$L$16,4,FALSE)</f>
        <v>4.6666666666668188E-3</v>
      </c>
      <c r="AO7" s="25">
        <f>VLOOKUP(MONTH(Projection!AQ$9),Modeling!$B$5:$L$16,4,FALSE)</f>
        <v>-1.3333333333331865E-3</v>
      </c>
      <c r="AP7" s="25">
        <f>VLOOKUP(MONTH(Projection!AR$9),Modeling!$B$5:$L$16,4,FALSE)</f>
        <v>-7.3333333333331918E-3</v>
      </c>
      <c r="AQ7" s="25">
        <f>VLOOKUP(MONTH(Projection!AS$9),Modeling!$B$5:$L$16,4,FALSE)</f>
        <v>-1.2333333333333196E-2</v>
      </c>
      <c r="AR7" s="25">
        <f>VLOOKUP(MONTH(Projection!AT$9),Modeling!$B$5:$L$16,4,FALSE)</f>
        <v>-1.2333333333333085E-2</v>
      </c>
      <c r="AS7" s="25">
        <f>VLOOKUP(MONTH(Projection!AU$9),Modeling!$B$5:$L$16,4,FALSE)</f>
        <v>-1.2333333333333085E-2</v>
      </c>
      <c r="AT7" s="25">
        <f>VLOOKUP(MONTH(Projection!AV$9),Modeling!$B$5:$L$16,4,FALSE)</f>
        <v>-9.3333333333330826E-3</v>
      </c>
      <c r="AU7" s="25">
        <f>VLOOKUP(MONTH(Projection!AW$9),Modeling!$B$5:$L$16,4,FALSE)</f>
        <v>-4.3333333333330781E-3</v>
      </c>
      <c r="AV7" s="25">
        <f>VLOOKUP(MONTH(Projection!AX$9),Modeling!$B$5:$L$16,4,FALSE)</f>
        <v>8.6666666666668224E-3</v>
      </c>
      <c r="AW7" s="25">
        <f>VLOOKUP(MONTH(Projection!AY$9),Modeling!$B$5:$L$16,4,FALSE)</f>
        <v>1.6666666666666829E-2</v>
      </c>
      <c r="AX7" s="25">
        <f>VLOOKUP(MONTH(Projection!AZ$9),Modeling!$B$5:$L$16,4,FALSE)</f>
        <v>1.8666666666666831E-2</v>
      </c>
      <c r="AY7" s="25">
        <f>VLOOKUP(MONTH(Projection!BA$9),Modeling!$B$5:$L$16,4,FALSE)</f>
        <v>1.0666666666666824E-2</v>
      </c>
      <c r="AZ7" s="25">
        <f>VLOOKUP(MONTH(Projection!BB$9),Modeling!$B$5:$L$16,4,FALSE)</f>
        <v>4.6666666666668188E-3</v>
      </c>
      <c r="BA7" s="25">
        <f>VLOOKUP(MONTH(Projection!BC$9),Modeling!$B$5:$L$16,4,FALSE)</f>
        <v>-1.3333333333331865E-3</v>
      </c>
      <c r="BB7" s="25">
        <f>VLOOKUP(MONTH(Projection!BD$9),Modeling!$B$5:$L$16,4,FALSE)</f>
        <v>-7.3333333333331918E-3</v>
      </c>
      <c r="BC7" s="25">
        <f>VLOOKUP(MONTH(Projection!BE$9),Modeling!$B$5:$L$16,4,FALSE)</f>
        <v>-1.2333333333333196E-2</v>
      </c>
      <c r="BD7" s="25">
        <f>VLOOKUP(MONTH(Projection!BF$9),Modeling!$B$5:$L$16,4,FALSE)</f>
        <v>-1.2333333333333085E-2</v>
      </c>
      <c r="BE7" s="25">
        <f>VLOOKUP(MONTH(Projection!BG$9),Modeling!$B$5:$L$16,4,FALSE)</f>
        <v>-1.2333333333333085E-2</v>
      </c>
      <c r="BF7" s="25">
        <f>VLOOKUP(MONTH(Projection!BH$9),Modeling!$B$5:$L$16,4,FALSE)</f>
        <v>-9.3333333333330826E-3</v>
      </c>
      <c r="BG7" s="25">
        <f>VLOOKUP(MONTH(Projection!BI$9),Modeling!$B$5:$L$16,4,FALSE)</f>
        <v>-4.3333333333330781E-3</v>
      </c>
      <c r="BH7" s="25">
        <f>VLOOKUP(MONTH(Projection!BJ$9),Modeling!$B$5:$L$16,4,FALSE)</f>
        <v>8.6666666666668224E-3</v>
      </c>
      <c r="BI7" s="25">
        <f>VLOOKUP(MONTH(Projection!BK$9),Modeling!$B$5:$L$16,4,FALSE)</f>
        <v>1.6666666666666829E-2</v>
      </c>
      <c r="BJ7" s="25">
        <f>VLOOKUP(MONTH(Projection!BL$9),Modeling!$B$5:$L$16,4,FALSE)</f>
        <v>1.8666666666666831E-2</v>
      </c>
      <c r="BK7" s="25">
        <f>VLOOKUP(MONTH(Projection!BM$9),Modeling!$B$5:$L$16,4,FALSE)</f>
        <v>1.0666666666666824E-2</v>
      </c>
      <c r="BL7" s="25">
        <f>VLOOKUP(MONTH(Projection!BN$9),Modeling!$B$5:$L$16,4,FALSE)</f>
        <v>4.6666666666668188E-3</v>
      </c>
      <c r="BM7" s="25">
        <f>VLOOKUP(MONTH(Projection!BO$9),Modeling!$B$5:$L$16,4,FALSE)</f>
        <v>-1.3333333333331865E-3</v>
      </c>
      <c r="BN7" s="25">
        <f>VLOOKUP(MONTH(Projection!BP$9),Modeling!$B$5:$L$16,4,FALSE)</f>
        <v>-7.3333333333331918E-3</v>
      </c>
      <c r="BO7" s="25">
        <f>VLOOKUP(MONTH(Projection!BV$9),Modeling!$B$5:$L$16,4,FALSE)</f>
        <v>-1.2333333333333085E-2</v>
      </c>
      <c r="BP7" s="25">
        <f>VLOOKUP(MONTH(Projection!BW$9),Modeling!$B$5:$L$16,4,FALSE)</f>
        <v>-1.2333333333333085E-2</v>
      </c>
      <c r="BQ7" s="25">
        <f>VLOOKUP(MONTH(Projection!BX$9),Modeling!$B$5:$L$16,4,FALSE)</f>
        <v>-1.2333333333333085E-2</v>
      </c>
      <c r="BR7" s="25">
        <f>VLOOKUP(MONTH(Projection!BY$9),Modeling!$B$5:$L$16,4,FALSE)</f>
        <v>-1.2333333333333085E-2</v>
      </c>
      <c r="BS7" s="25">
        <f>VLOOKUP(MONTH(Projection!BZ$9),Modeling!$B$5:$L$16,4,FALSE)</f>
        <v>-1.2333333333333085E-2</v>
      </c>
      <c r="BT7" s="25">
        <f>VLOOKUP(MONTH(Projection!CA$9),Modeling!$B$5:$L$16,4,FALSE)</f>
        <v>-1.2333333333333085E-2</v>
      </c>
      <c r="BU7" s="25">
        <f>VLOOKUP(MONTH(Projection!CB$9),Modeling!$B$5:$L$16,4,FALSE)</f>
        <v>-1.2333333333333085E-2</v>
      </c>
    </row>
    <row r="8" spans="1:73" ht="14.25" customHeight="1" x14ac:dyDescent="0.2">
      <c r="A8" s="9">
        <v>0</v>
      </c>
      <c r="B8" s="760" t="e">
        <f>'Attrition Modeling'!H4*(1-Summary!$C$20)</f>
        <v>#DIV/0!</v>
      </c>
      <c r="C8" s="809">
        <v>1</v>
      </c>
      <c r="H8" s="25">
        <f t="shared" ref="H8:BU8" si="1">H2+H7</f>
        <v>9.4880838707752622E-3</v>
      </c>
      <c r="I8" s="25">
        <f t="shared" si="1"/>
        <v>3.1046251650830581E-2</v>
      </c>
      <c r="J8" s="25">
        <f t="shared" si="1"/>
        <v>6.3760520721749869E-2</v>
      </c>
      <c r="K8" s="25">
        <f t="shared" si="1"/>
        <v>9.8953986228402249E-2</v>
      </c>
      <c r="L8" s="25">
        <f t="shared" si="1"/>
        <v>0.15825432092975797</v>
      </c>
      <c r="M8" s="25">
        <f t="shared" si="1"/>
        <v>0.20447576429159195</v>
      </c>
      <c r="N8" s="25">
        <f t="shared" si="1"/>
        <v>0.23989147766872193</v>
      </c>
      <c r="O8" s="25">
        <f t="shared" si="1"/>
        <v>0.25711876847582393</v>
      </c>
      <c r="P8" s="25">
        <f t="shared" si="1"/>
        <v>0.27339471611617477</v>
      </c>
      <c r="Q8" s="25">
        <f t="shared" si="1"/>
        <v>0.28995584890900539</v>
      </c>
      <c r="R8" s="25">
        <f t="shared" si="1"/>
        <v>0.30500269944559377</v>
      </c>
      <c r="S8" s="25">
        <f t="shared" si="1"/>
        <v>0.31766666666666671</v>
      </c>
      <c r="T8" s="25">
        <f t="shared" si="1"/>
        <v>0.34081059400435748</v>
      </c>
      <c r="U8" s="25">
        <f t="shared" si="1"/>
        <v>0.36367531740744646</v>
      </c>
      <c r="V8" s="25">
        <f t="shared" si="1"/>
        <v>0.3981904512705427</v>
      </c>
      <c r="W8" s="25">
        <f t="shared" si="1"/>
        <v>0.43521382377759826</v>
      </c>
      <c r="X8" s="25">
        <f t="shared" si="1"/>
        <v>0.49732023936994524</v>
      </c>
      <c r="Y8" s="25">
        <f t="shared" si="1"/>
        <v>0.54585813384461768</v>
      </c>
      <c r="Z8" s="25">
        <f t="shared" si="1"/>
        <v>0.58329904197187676</v>
      </c>
      <c r="AA8" s="25">
        <f t="shared" si="1"/>
        <v>0.60205525949456073</v>
      </c>
      <c r="AB8" s="25">
        <f t="shared" si="1"/>
        <v>0.61968126456766015</v>
      </c>
      <c r="AC8" s="25">
        <f t="shared" si="1"/>
        <v>0.63760973874187443</v>
      </c>
      <c r="AD8" s="25">
        <f t="shared" si="1"/>
        <v>0.65393215597764998</v>
      </c>
      <c r="AE8" s="25">
        <f t="shared" si="1"/>
        <v>0.66766666666666674</v>
      </c>
      <c r="AF8" s="25">
        <f t="shared" si="1"/>
        <v>0.68353678826965469</v>
      </c>
      <c r="AG8" s="25">
        <f t="shared" si="1"/>
        <v>0.69921545574605859</v>
      </c>
      <c r="AH8" s="25">
        <f t="shared" si="1"/>
        <v>0.72382583325218175</v>
      </c>
      <c r="AI8" s="25">
        <f t="shared" si="1"/>
        <v>0.7507847172570199</v>
      </c>
      <c r="AJ8" s="25">
        <f t="shared" si="1"/>
        <v>0.79745768794891492</v>
      </c>
      <c r="AK8" s="25">
        <f t="shared" si="1"/>
        <v>0.83325510130297598</v>
      </c>
      <c r="AL8" s="25">
        <f t="shared" si="1"/>
        <v>0.85955743830452502</v>
      </c>
      <c r="AM8" s="25">
        <f t="shared" si="1"/>
        <v>0.86990455889150831</v>
      </c>
      <c r="AN8" s="25">
        <f t="shared" si="1"/>
        <v>0.88010524808449075</v>
      </c>
      <c r="AO8" s="25">
        <f t="shared" si="1"/>
        <v>0.89051334466109489</v>
      </c>
      <c r="AP8" s="25">
        <f t="shared" si="1"/>
        <v>0.899820145051341</v>
      </c>
      <c r="AQ8" s="25">
        <f t="shared" si="1"/>
        <v>0.90766666666666684</v>
      </c>
      <c r="AR8" s="25">
        <f t="shared" si="1"/>
        <v>0.89533333333333387</v>
      </c>
      <c r="AS8" s="25">
        <f t="shared" si="1"/>
        <v>0.89533333333333387</v>
      </c>
      <c r="AT8" s="25">
        <f t="shared" si="1"/>
        <v>0.90133333333333387</v>
      </c>
      <c r="AU8" s="25">
        <f t="shared" si="1"/>
        <v>0.91133333333333388</v>
      </c>
      <c r="AV8" s="25">
        <f t="shared" si="1"/>
        <v>0.93733333333333368</v>
      </c>
      <c r="AW8" s="25">
        <f t="shared" si="1"/>
        <v>0.9533333333333337</v>
      </c>
      <c r="AX8" s="25">
        <f t="shared" si="1"/>
        <v>0.9573333333333337</v>
      </c>
      <c r="AY8" s="25">
        <f t="shared" si="1"/>
        <v>0.94133333333333369</v>
      </c>
      <c r="AZ8" s="25">
        <f t="shared" si="1"/>
        <v>0.92933333333333368</v>
      </c>
      <c r="BA8" s="25">
        <f t="shared" si="1"/>
        <v>0.91733333333333367</v>
      </c>
      <c r="BB8" s="25">
        <f t="shared" si="1"/>
        <v>0.90533333333333366</v>
      </c>
      <c r="BC8" s="25">
        <f t="shared" si="1"/>
        <v>0.89533333333333365</v>
      </c>
      <c r="BD8" s="25">
        <f t="shared" si="1"/>
        <v>0.89533333333333387</v>
      </c>
      <c r="BE8" s="25">
        <f t="shared" si="1"/>
        <v>0.89533333333333387</v>
      </c>
      <c r="BF8" s="25">
        <f t="shared" si="1"/>
        <v>0.90133333333333387</v>
      </c>
      <c r="BG8" s="25">
        <f t="shared" si="1"/>
        <v>0.91133333333333388</v>
      </c>
      <c r="BH8" s="25">
        <f t="shared" si="1"/>
        <v>0.93733333333333368</v>
      </c>
      <c r="BI8" s="25">
        <f t="shared" si="1"/>
        <v>0.9533333333333337</v>
      </c>
      <c r="BJ8" s="25">
        <f t="shared" si="1"/>
        <v>0.9573333333333337</v>
      </c>
      <c r="BK8" s="25">
        <f t="shared" si="1"/>
        <v>0.94133333333333369</v>
      </c>
      <c r="BL8" s="25">
        <f t="shared" si="1"/>
        <v>0.92933333333333368</v>
      </c>
      <c r="BM8" s="25">
        <f t="shared" si="1"/>
        <v>0.91733333333333367</v>
      </c>
      <c r="BN8" s="25">
        <f t="shared" si="1"/>
        <v>0.90533333333333366</v>
      </c>
      <c r="BO8" s="25">
        <f t="shared" si="1"/>
        <v>0.89533333333333376</v>
      </c>
      <c r="BP8" s="25">
        <f t="shared" si="1"/>
        <v>0.89533333333333387</v>
      </c>
      <c r="BQ8" s="25">
        <f t="shared" si="1"/>
        <v>0.89533333333333387</v>
      </c>
      <c r="BR8" s="25">
        <f t="shared" si="1"/>
        <v>0.89833333333333387</v>
      </c>
      <c r="BS8" s="25">
        <f t="shared" si="1"/>
        <v>0.90333333333333388</v>
      </c>
      <c r="BT8" s="25">
        <f t="shared" ca="1" si="1"/>
        <v>0.90766666666666729</v>
      </c>
      <c r="BU8" s="25">
        <f t="shared" ca="1" si="1"/>
        <v>0.90766666666666729</v>
      </c>
    </row>
    <row r="9" spans="1:73" ht="14.25" customHeight="1" x14ac:dyDescent="0.2">
      <c r="A9" s="9">
        <v>1</v>
      </c>
      <c r="B9" s="760" t="e">
        <f>'Attrition Modeling'!H5*(1-Summary!$C$20)+B8</f>
        <v>#DIV/0!</v>
      </c>
      <c r="C9" s="24" t="e">
        <f t="shared" ref="C9:C162" si="2">C8*(1-B9)</f>
        <v>#DIV/0!</v>
      </c>
    </row>
    <row r="10" spans="1:73" ht="14.25" customHeight="1" x14ac:dyDescent="0.2">
      <c r="A10" s="9">
        <v>2</v>
      </c>
      <c r="B10" s="25" t="e">
        <f>'Attrition Modeling'!H6*(1-Summary!$C$20)</f>
        <v>#DIV/0!</v>
      </c>
      <c r="C10" s="24" t="e">
        <f t="shared" si="2"/>
        <v>#DIV/0!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</row>
    <row r="11" spans="1:73" ht="14.25" customHeight="1" x14ac:dyDescent="0.2">
      <c r="A11" s="9">
        <v>3</v>
      </c>
      <c r="B11" s="25" t="e">
        <f>'Attrition Modeling'!H7*(1-Summary!$C$20)</f>
        <v>#DIV/0!</v>
      </c>
      <c r="C11" s="24" t="e">
        <f t="shared" si="2"/>
        <v>#DIV/0!</v>
      </c>
      <c r="F11" s="795" t="s">
        <v>708</v>
      </c>
      <c r="G11" s="796"/>
      <c r="H11" s="796">
        <f>'IP Attrition'!H1</f>
        <v>1</v>
      </c>
      <c r="I11" s="796">
        <f>'IP Attrition'!I1</f>
        <v>2</v>
      </c>
      <c r="J11" s="796">
        <f>'IP Attrition'!J1</f>
        <v>3</v>
      </c>
      <c r="K11" s="796">
        <f>'IP Attrition'!K1</f>
        <v>4</v>
      </c>
      <c r="L11" s="796">
        <f>'IP Attrition'!L1</f>
        <v>5</v>
      </c>
      <c r="M11" s="796">
        <f>'IP Attrition'!M1</f>
        <v>6</v>
      </c>
      <c r="N11" s="796">
        <f>'IP Attrition'!N1</f>
        <v>7</v>
      </c>
      <c r="O11" s="796">
        <f>'IP Attrition'!O1</f>
        <v>8</v>
      </c>
      <c r="P11" s="796">
        <f>'IP Attrition'!P1</f>
        <v>9</v>
      </c>
      <c r="Q11" s="796">
        <f>'IP Attrition'!Q1</f>
        <v>10</v>
      </c>
      <c r="R11" s="796">
        <f>'IP Attrition'!R1</f>
        <v>11</v>
      </c>
      <c r="S11" s="796">
        <f>'IP Attrition'!S1</f>
        <v>12</v>
      </c>
      <c r="T11" s="796">
        <f>'IP Attrition'!T1</f>
        <v>1</v>
      </c>
      <c r="U11" s="796">
        <f>'IP Attrition'!U1</f>
        <v>2</v>
      </c>
      <c r="V11" s="796">
        <f>'IP Attrition'!V1</f>
        <v>3</v>
      </c>
      <c r="W11" s="796">
        <f>'IP Attrition'!W1</f>
        <v>4</v>
      </c>
      <c r="X11" s="796">
        <f>'IP Attrition'!X1</f>
        <v>5</v>
      </c>
      <c r="Y11" s="796">
        <f>'IP Attrition'!Y1</f>
        <v>6</v>
      </c>
      <c r="Z11" s="796">
        <f>'IP Attrition'!Z1</f>
        <v>7</v>
      </c>
      <c r="AA11" s="796">
        <f>'IP Attrition'!AA1</f>
        <v>8</v>
      </c>
      <c r="AB11" s="796">
        <f>'IP Attrition'!AB1</f>
        <v>9</v>
      </c>
      <c r="AC11" s="796">
        <f>'IP Attrition'!AC1</f>
        <v>10</v>
      </c>
      <c r="AD11" s="796">
        <f>'IP Attrition'!AD1</f>
        <v>11</v>
      </c>
      <c r="AE11" s="796">
        <f>'IP Attrition'!AE1</f>
        <v>12</v>
      </c>
      <c r="AF11" s="796">
        <f>'IP Attrition'!AF1</f>
        <v>1</v>
      </c>
      <c r="AG11" s="796">
        <f>'IP Attrition'!AG1</f>
        <v>2</v>
      </c>
      <c r="AH11" s="796">
        <f>'IP Attrition'!AH1</f>
        <v>3</v>
      </c>
      <c r="AI11" s="796">
        <f>'IP Attrition'!AI1</f>
        <v>4</v>
      </c>
      <c r="AJ11" s="796">
        <f>'IP Attrition'!AJ1</f>
        <v>5</v>
      </c>
      <c r="AK11" s="796">
        <f>'IP Attrition'!AK1</f>
        <v>6</v>
      </c>
      <c r="AL11" s="796">
        <f>'IP Attrition'!AL1</f>
        <v>7</v>
      </c>
      <c r="AM11" s="796">
        <f>'IP Attrition'!AM1</f>
        <v>8</v>
      </c>
      <c r="AN11" s="796">
        <f>'IP Attrition'!AN1</f>
        <v>9</v>
      </c>
      <c r="AO11" s="796">
        <f>'IP Attrition'!AO1</f>
        <v>10</v>
      </c>
      <c r="AP11" s="796">
        <f>'IP Attrition'!AP1</f>
        <v>11</v>
      </c>
      <c r="AQ11" s="796">
        <f>'IP Attrition'!AQ1</f>
        <v>12</v>
      </c>
      <c r="AR11" s="796">
        <f>'IP Attrition'!AR1</f>
        <v>1</v>
      </c>
      <c r="AS11" s="796">
        <f>'IP Attrition'!AS1</f>
        <v>2</v>
      </c>
      <c r="AT11" s="796">
        <f>'IP Attrition'!AT1</f>
        <v>3</v>
      </c>
      <c r="AU11" s="796">
        <f>'IP Attrition'!AU1</f>
        <v>4</v>
      </c>
      <c r="AV11" s="796">
        <f>'IP Attrition'!AV1</f>
        <v>5</v>
      </c>
      <c r="AW11" s="796">
        <f>'IP Attrition'!AW1</f>
        <v>6</v>
      </c>
      <c r="AX11" s="796">
        <f>'IP Attrition'!AX1</f>
        <v>7</v>
      </c>
      <c r="AY11" s="796">
        <f>'IP Attrition'!AY1</f>
        <v>8</v>
      </c>
      <c r="AZ11" s="796">
        <f>'IP Attrition'!AZ1</f>
        <v>9</v>
      </c>
      <c r="BA11" s="796">
        <f>'IP Attrition'!BA1</f>
        <v>10</v>
      </c>
      <c r="BB11" s="796">
        <f>'IP Attrition'!BB1</f>
        <v>11</v>
      </c>
      <c r="BC11" s="796">
        <f>'IP Attrition'!BC1</f>
        <v>12</v>
      </c>
      <c r="BD11" s="796">
        <f>'IP Attrition'!BD1</f>
        <v>1</v>
      </c>
      <c r="BE11" s="796">
        <f>'IP Attrition'!BE1</f>
        <v>2</v>
      </c>
      <c r="BF11" s="796">
        <f>'IP Attrition'!BF1</f>
        <v>3</v>
      </c>
      <c r="BG11" s="796">
        <f>'IP Attrition'!BG1</f>
        <v>4</v>
      </c>
      <c r="BH11" s="796">
        <f>'IP Attrition'!BH1</f>
        <v>5</v>
      </c>
      <c r="BI11" s="796">
        <f>'IP Attrition'!BI1</f>
        <v>6</v>
      </c>
      <c r="BJ11" s="796">
        <f>'IP Attrition'!BJ1</f>
        <v>7</v>
      </c>
      <c r="BK11" s="796">
        <f>'IP Attrition'!BK1</f>
        <v>8</v>
      </c>
      <c r="BL11" s="796">
        <f>'IP Attrition'!BL1</f>
        <v>9</v>
      </c>
      <c r="BM11" s="796">
        <f>'IP Attrition'!BM1</f>
        <v>10</v>
      </c>
      <c r="BN11" s="796">
        <f>'IP Attrition'!BN1</f>
        <v>11</v>
      </c>
      <c r="BO11" s="796">
        <f>'IP Attrition'!BO1</f>
        <v>12</v>
      </c>
      <c r="BP11" s="796">
        <f>'IP Attrition'!BP1</f>
        <v>1</v>
      </c>
      <c r="BQ11" s="796">
        <f>'IP Attrition'!BQ1</f>
        <v>2</v>
      </c>
      <c r="BR11" s="796">
        <f>'IP Attrition'!BR1</f>
        <v>3</v>
      </c>
      <c r="BS11" s="796">
        <f>'IP Attrition'!BS1</f>
        <v>4</v>
      </c>
      <c r="BT11" s="796">
        <f>'IP Attrition'!BT1</f>
        <v>5</v>
      </c>
      <c r="BU11" s="796">
        <f>'IP Attrition'!BU1</f>
        <v>6</v>
      </c>
    </row>
    <row r="12" spans="1:73" ht="14.25" customHeight="1" x14ac:dyDescent="0.2">
      <c r="A12" s="9">
        <v>4</v>
      </c>
      <c r="B12" s="25" t="e">
        <f>'Attrition Modeling'!H8*(1-Summary!$C$20)</f>
        <v>#DIV/0!</v>
      </c>
      <c r="C12" s="24" t="e">
        <f t="shared" si="2"/>
        <v>#DIV/0!</v>
      </c>
      <c r="F12" s="11" t="s">
        <v>679</v>
      </c>
      <c r="G12" s="797">
        <v>0</v>
      </c>
      <c r="H12" s="797">
        <v>1</v>
      </c>
      <c r="I12" s="797">
        <f t="shared" ref="I12:BU12" si="3">H12+1</f>
        <v>2</v>
      </c>
      <c r="J12" s="797">
        <f t="shared" si="3"/>
        <v>3</v>
      </c>
      <c r="K12" s="797">
        <f t="shared" si="3"/>
        <v>4</v>
      </c>
      <c r="L12" s="797">
        <f t="shared" si="3"/>
        <v>5</v>
      </c>
      <c r="M12" s="797">
        <f t="shared" si="3"/>
        <v>6</v>
      </c>
      <c r="N12" s="797">
        <f t="shared" si="3"/>
        <v>7</v>
      </c>
      <c r="O12" s="797">
        <f t="shared" si="3"/>
        <v>8</v>
      </c>
      <c r="P12" s="797">
        <f t="shared" si="3"/>
        <v>9</v>
      </c>
      <c r="Q12" s="797">
        <f t="shared" si="3"/>
        <v>10</v>
      </c>
      <c r="R12" s="797">
        <f t="shared" si="3"/>
        <v>11</v>
      </c>
      <c r="S12" s="797">
        <f t="shared" si="3"/>
        <v>12</v>
      </c>
      <c r="T12" s="797">
        <f t="shared" si="3"/>
        <v>13</v>
      </c>
      <c r="U12" s="797">
        <f t="shared" si="3"/>
        <v>14</v>
      </c>
      <c r="V12" s="797">
        <f t="shared" si="3"/>
        <v>15</v>
      </c>
      <c r="W12" s="797">
        <f t="shared" si="3"/>
        <v>16</v>
      </c>
      <c r="X12" s="797">
        <f t="shared" si="3"/>
        <v>17</v>
      </c>
      <c r="Y12" s="797">
        <f t="shared" si="3"/>
        <v>18</v>
      </c>
      <c r="Z12" s="797">
        <f t="shared" si="3"/>
        <v>19</v>
      </c>
      <c r="AA12" s="797">
        <f t="shared" si="3"/>
        <v>20</v>
      </c>
      <c r="AB12" s="797">
        <f t="shared" si="3"/>
        <v>21</v>
      </c>
      <c r="AC12" s="797">
        <f t="shared" si="3"/>
        <v>22</v>
      </c>
      <c r="AD12" s="797">
        <f t="shared" si="3"/>
        <v>23</v>
      </c>
      <c r="AE12" s="797">
        <f t="shared" si="3"/>
        <v>24</v>
      </c>
      <c r="AF12" s="797">
        <f t="shared" si="3"/>
        <v>25</v>
      </c>
      <c r="AG12" s="797">
        <f t="shared" si="3"/>
        <v>26</v>
      </c>
      <c r="AH12" s="797">
        <f t="shared" si="3"/>
        <v>27</v>
      </c>
      <c r="AI12" s="797">
        <f t="shared" si="3"/>
        <v>28</v>
      </c>
      <c r="AJ12" s="797">
        <f t="shared" si="3"/>
        <v>29</v>
      </c>
      <c r="AK12" s="797">
        <f t="shared" si="3"/>
        <v>30</v>
      </c>
      <c r="AL12" s="797">
        <f t="shared" si="3"/>
        <v>31</v>
      </c>
      <c r="AM12" s="797">
        <f t="shared" si="3"/>
        <v>32</v>
      </c>
      <c r="AN12" s="797">
        <f t="shared" si="3"/>
        <v>33</v>
      </c>
      <c r="AO12" s="797">
        <f t="shared" si="3"/>
        <v>34</v>
      </c>
      <c r="AP12" s="797">
        <f t="shared" si="3"/>
        <v>35</v>
      </c>
      <c r="AQ12" s="797">
        <f t="shared" si="3"/>
        <v>36</v>
      </c>
      <c r="AR12" s="797">
        <f t="shared" si="3"/>
        <v>37</v>
      </c>
      <c r="AS12" s="797">
        <f t="shared" si="3"/>
        <v>38</v>
      </c>
      <c r="AT12" s="797">
        <f t="shared" si="3"/>
        <v>39</v>
      </c>
      <c r="AU12" s="797">
        <f t="shared" si="3"/>
        <v>40</v>
      </c>
      <c r="AV12" s="797">
        <f t="shared" si="3"/>
        <v>41</v>
      </c>
      <c r="AW12" s="797">
        <f t="shared" si="3"/>
        <v>42</v>
      </c>
      <c r="AX12" s="797">
        <f t="shared" si="3"/>
        <v>43</v>
      </c>
      <c r="AY12" s="797">
        <f t="shared" si="3"/>
        <v>44</v>
      </c>
      <c r="AZ12" s="797">
        <f t="shared" si="3"/>
        <v>45</v>
      </c>
      <c r="BA12" s="797">
        <f t="shared" si="3"/>
        <v>46</v>
      </c>
      <c r="BB12" s="797">
        <f t="shared" si="3"/>
        <v>47</v>
      </c>
      <c r="BC12" s="797">
        <f t="shared" si="3"/>
        <v>48</v>
      </c>
      <c r="BD12" s="797">
        <f t="shared" si="3"/>
        <v>49</v>
      </c>
      <c r="BE12" s="797">
        <f t="shared" si="3"/>
        <v>50</v>
      </c>
      <c r="BF12" s="797">
        <f t="shared" si="3"/>
        <v>51</v>
      </c>
      <c r="BG12" s="797">
        <f t="shared" si="3"/>
        <v>52</v>
      </c>
      <c r="BH12" s="797">
        <f t="shared" si="3"/>
        <v>53</v>
      </c>
      <c r="BI12" s="797">
        <f t="shared" si="3"/>
        <v>54</v>
      </c>
      <c r="BJ12" s="797">
        <f t="shared" si="3"/>
        <v>55</v>
      </c>
      <c r="BK12" s="797">
        <f t="shared" si="3"/>
        <v>56</v>
      </c>
      <c r="BL12" s="797">
        <f t="shared" si="3"/>
        <v>57</v>
      </c>
      <c r="BM12" s="797">
        <f t="shared" si="3"/>
        <v>58</v>
      </c>
      <c r="BN12" s="797">
        <f t="shared" si="3"/>
        <v>59</v>
      </c>
      <c r="BO12" s="797">
        <f t="shared" si="3"/>
        <v>60</v>
      </c>
      <c r="BP12" s="797">
        <f t="shared" si="3"/>
        <v>61</v>
      </c>
      <c r="BQ12" s="797">
        <f t="shared" si="3"/>
        <v>62</v>
      </c>
      <c r="BR12" s="797">
        <f t="shared" si="3"/>
        <v>63</v>
      </c>
      <c r="BS12" s="797">
        <f t="shared" si="3"/>
        <v>64</v>
      </c>
      <c r="BT12" s="797">
        <f t="shared" si="3"/>
        <v>65</v>
      </c>
      <c r="BU12" s="797">
        <f t="shared" si="3"/>
        <v>66</v>
      </c>
    </row>
    <row r="13" spans="1:73" ht="14.25" customHeight="1" x14ac:dyDescent="0.2">
      <c r="A13" s="9">
        <v>5</v>
      </c>
      <c r="B13" s="25" t="e">
        <f>'Attrition Modeling'!H9*(1-Summary!$C$20)</f>
        <v>#DIV/0!</v>
      </c>
      <c r="C13" s="24" t="e">
        <f t="shared" si="2"/>
        <v>#DIV/0!</v>
      </c>
      <c r="E13" s="11">
        <f>'Traditional Attrition'!E70</f>
        <v>0</v>
      </c>
      <c r="F13" s="11">
        <v>0</v>
      </c>
      <c r="G13" s="799"/>
      <c r="H13" s="799">
        <f>IF(H$12=$F13+1,IF(Monthly!D$4=TRUE,0,H$3),IF(H$12&gt;$F13+1,RentalsVacates!G13*(1-IF(H$12-$F13&lt;=12,SUMIFS('Attrition Modeling'!$D:$D,'Attrition Modeling'!$B:$B,$E13,'Attrition Modeling'!$C:$C,H$11),VLOOKUP(RentalsVacates!H$12-RentalsVacates!$F13-1,RentalsVacates!$A$8:$C$162,2,FALSE)*VLOOKUP(H$11,'Attrition Modeling'!$L$15:$N$27,IF(H$12-$F13&lt;=24,2,3),FALSE))*(1+IF('Traditional Attrition'!H135&gt;0,'Attrition Modeling'!$N$9,0))),0))</f>
        <v>2308.858690115092</v>
      </c>
      <c r="I13" s="799">
        <f>IF(I$12=$F13+1,IF(Monthly!E$4=TRUE,0,I$3),IF(I$12&gt;$F13+1,RentalsVacates!H13*(1-IF(I$12-$F13&lt;=12,SUMIFS('Attrition Modeling'!$D:$D,'Attrition Modeling'!$B:$B,$E13,'Attrition Modeling'!$C:$C,I$11),VLOOKUP(RentalsVacates!I$12-RentalsVacates!$F13-1,RentalsVacates!$A$8:$C$162,2,FALSE)*VLOOKUP(I$11,'Attrition Modeling'!$L$15:$N$27,IF(I$12-$F13&lt;=24,2,3),FALSE))*(1+IF('Traditional Attrition'!I135&gt;0,'Attrition Modeling'!$N$9,0))),0))</f>
        <v>2308.858690115092</v>
      </c>
      <c r="J13" s="799">
        <f>IF(J$12=$F13+1,IF(Monthly!F$4=TRUE,0,J$3),IF(J$12&gt;$F13+1,RentalsVacates!I13*(1-IF(J$12-$F13&lt;=12,SUMIFS('Attrition Modeling'!$D:$D,'Attrition Modeling'!$B:$B,$E13,'Attrition Modeling'!$C:$C,J$11),VLOOKUP(RentalsVacates!J$12-RentalsVacates!$F13-1,RentalsVacates!$A$8:$C$162,2,FALSE)*VLOOKUP(J$11,'Attrition Modeling'!$L$15:$N$27,IF(J$12-$F13&lt;=24,2,3),FALSE))*(1+IF('Traditional Attrition'!J135&gt;0,'Attrition Modeling'!$N$9,0))),0))</f>
        <v>2308.858690115092</v>
      </c>
      <c r="K13" s="799">
        <f>IF(K$12=$F13+1,IF(Monthly!G$4=TRUE,0,K$3),IF(K$12&gt;$F13+1,RentalsVacates!J13*(1-IF(K$12-$F13&lt;=12,SUMIFS('Attrition Modeling'!$D:$D,'Attrition Modeling'!$B:$B,$E13,'Attrition Modeling'!$C:$C,K$11),VLOOKUP(RentalsVacates!K$12-RentalsVacates!$F13-1,RentalsVacates!$A$8:$C$162,2,FALSE)*VLOOKUP(K$11,'Attrition Modeling'!$L$15:$N$27,IF(K$12-$F13&lt;=24,2,3),FALSE))*(1+IF('Traditional Attrition'!K135&gt;0,'Attrition Modeling'!$N$9,0))),0))</f>
        <v>2308.858690115092</v>
      </c>
      <c r="L13" s="799">
        <f>IF(L$12=$F13+1,IF(Monthly!H$4=TRUE,0,L$3),IF(L$12&gt;$F13+1,RentalsVacates!K13*(1-IF(L$12-$F13&lt;=12,SUMIFS('Attrition Modeling'!$D:$D,'Attrition Modeling'!$B:$B,$E13,'Attrition Modeling'!$C:$C,L$11),VLOOKUP(RentalsVacates!L$12-RentalsVacates!$F13-1,RentalsVacates!$A$8:$C$162,2,FALSE)*VLOOKUP(L$11,'Attrition Modeling'!$L$15:$N$27,IF(L$12-$F13&lt;=24,2,3),FALSE))*(1+IF('Traditional Attrition'!L135&gt;0,'Attrition Modeling'!$N$9,0))),0))</f>
        <v>2308.858690115092</v>
      </c>
      <c r="M13" s="799">
        <f>IF(M$12=$F13+1,IF(Monthly!I$4=TRUE,0,M$3),IF(M$12&gt;$F13+1,RentalsVacates!L13*(1-IF(M$12-$F13&lt;=12,SUMIFS('Attrition Modeling'!$D:$D,'Attrition Modeling'!$B:$B,$E13,'Attrition Modeling'!$C:$C,M$11),VLOOKUP(RentalsVacates!M$12-RentalsVacates!$F13-1,RentalsVacates!$A$8:$C$162,2,FALSE)*VLOOKUP(M$11,'Attrition Modeling'!$L$15:$N$27,IF(M$12-$F13&lt;=24,2,3),FALSE))*(1+IF('Traditional Attrition'!M135&gt;0,'Attrition Modeling'!$N$9,0))),0))</f>
        <v>2308.858690115092</v>
      </c>
      <c r="N13" s="799">
        <f>IF(N$12=$F13+1,IF(Monthly!J$4=TRUE,0,N$3),IF(N$12&gt;$F13+1,RentalsVacates!M13*(1-IF(N$12-$F13&lt;=12,SUMIFS('Attrition Modeling'!$D:$D,'Attrition Modeling'!$B:$B,$E13,'Attrition Modeling'!$C:$C,N$11),VLOOKUP(RentalsVacates!N$12-RentalsVacates!$F13-1,RentalsVacates!$A$8:$C$162,2,FALSE)*VLOOKUP(N$11,'Attrition Modeling'!$L$15:$N$27,IF(N$12-$F13&lt;=24,2,3),FALSE))*(1+IF('Traditional Attrition'!N135&gt;0,'Attrition Modeling'!$N$9,0))),0))</f>
        <v>2308.858690115092</v>
      </c>
      <c r="O13" s="799">
        <f>IF(O$12=$F13+1,IF(Monthly!K$4=TRUE,0,O$3),IF(O$12&gt;$F13+1,RentalsVacates!N13*(1-IF(O$12-$F13&lt;=12,SUMIFS('Attrition Modeling'!$D:$D,'Attrition Modeling'!$B:$B,$E13,'Attrition Modeling'!$C:$C,O$11),VLOOKUP(RentalsVacates!O$12-RentalsVacates!$F13-1,RentalsVacates!$A$8:$C$162,2,FALSE)*VLOOKUP(O$11,'Attrition Modeling'!$L$15:$N$27,IF(O$12-$F13&lt;=24,2,3),FALSE))*(1+IF('Traditional Attrition'!O135&gt;0,'Attrition Modeling'!$N$9,0))),0))</f>
        <v>2308.858690115092</v>
      </c>
      <c r="P13" s="799">
        <f>IF(P$12=$F13+1,IF(Monthly!L$4=TRUE,0,P$3),IF(P$12&gt;$F13+1,RentalsVacates!O13*(1-IF(P$12-$F13&lt;=12,SUMIFS('Attrition Modeling'!$D:$D,'Attrition Modeling'!$B:$B,$E13,'Attrition Modeling'!$C:$C,P$11),VLOOKUP(RentalsVacates!P$12-RentalsVacates!$F13-1,RentalsVacates!$A$8:$C$162,2,FALSE)*VLOOKUP(P$11,'Attrition Modeling'!$L$15:$N$27,IF(P$12-$F13&lt;=24,2,3),FALSE))*(1+IF('Traditional Attrition'!P135&gt;0,'Attrition Modeling'!$N$9,0))),0))</f>
        <v>2308.858690115092</v>
      </c>
      <c r="Q13" s="799">
        <f>IF(Q$12=$F13+1,IF(Monthly!M$4=TRUE,0,Q$3),IF(Q$12&gt;$F13+1,RentalsVacates!P13*(1-IF(Q$12-$F13&lt;=12,SUMIFS('Attrition Modeling'!$D:$D,'Attrition Modeling'!$B:$B,$E13,'Attrition Modeling'!$C:$C,Q$11),VLOOKUP(RentalsVacates!Q$12-RentalsVacates!$F13-1,RentalsVacates!$A$8:$C$162,2,FALSE)*VLOOKUP(Q$11,'Attrition Modeling'!$L$15:$N$27,IF(Q$12-$F13&lt;=24,2,3),FALSE))*(1+IF('Traditional Attrition'!Q135&gt;0,'Attrition Modeling'!$N$9,0))),0))</f>
        <v>2308.858690115092</v>
      </c>
      <c r="R13" s="799">
        <f>IF(R$12=$F13+1,IF(Monthly!N$4=TRUE,0,R$3),IF(R$12&gt;$F13+1,RentalsVacates!Q13*(1-IF(R$12-$F13&lt;=12,SUMIFS('Attrition Modeling'!$D:$D,'Attrition Modeling'!$B:$B,$E13,'Attrition Modeling'!$C:$C,R$11),VLOOKUP(RentalsVacates!R$12-RentalsVacates!$F13-1,RentalsVacates!$A$8:$C$162,2,FALSE)*VLOOKUP(R$11,'Attrition Modeling'!$L$15:$N$27,IF(R$12-$F13&lt;=24,2,3),FALSE))*(1+IF('Traditional Attrition'!R135&gt;0,'Attrition Modeling'!$N$9,0))),0))</f>
        <v>2308.858690115092</v>
      </c>
      <c r="S13" s="799">
        <f>IF(S$12=$F13+1,IF(Monthly!O$4=TRUE,0,S$3),IF(S$12&gt;$F13+1,RentalsVacates!R13*(1-IF(S$12-$F13&lt;=12,SUMIFS('Attrition Modeling'!$D:$D,'Attrition Modeling'!$B:$B,$E13,'Attrition Modeling'!$C:$C,S$11),VLOOKUP(RentalsVacates!S$12-RentalsVacates!$F13-1,RentalsVacates!$A$8:$C$162,2,FALSE)*VLOOKUP(S$11,'Attrition Modeling'!$L$15:$N$27,IF(S$12-$F13&lt;=24,2,3),FALSE))*(1+IF('Traditional Attrition'!S135&gt;0,'Attrition Modeling'!$N$9,0))),0))</f>
        <v>2308.858690115092</v>
      </c>
      <c r="T13" s="799">
        <f>IF(T$12=$F13+1,IF(Monthly!P$4=TRUE,0,T$3),IF(T$12&gt;$F13+1,RentalsVacates!S13*(1-IF(T$12-$F13&lt;=12,SUMIFS('Attrition Modeling'!$D:$D,'Attrition Modeling'!$B:$B,$E13,'Attrition Modeling'!$C:$C,T$11),VLOOKUP(RentalsVacates!T$12-RentalsVacates!$F13-1,RentalsVacates!$A$8:$C$162,2,FALSE)*VLOOKUP(T$11,'Attrition Modeling'!$L$15:$N$27,IF(T$12-$F13&lt;=24,2,3),FALSE))*(1+IF('Traditional Attrition'!T135&gt;0,'Attrition Modeling'!$N$9,0))),0))</f>
        <v>2184.5592077239248</v>
      </c>
      <c r="U13" s="799">
        <f>IF(U$12=$F13+1,IF(Monthly!Q$4=TRUE,0,U$3),IF(U$12&gt;$F13+1,RentalsVacates!T13*(1-IF(U$12-$F13&lt;=12,SUMIFS('Attrition Modeling'!$D:$D,'Attrition Modeling'!$B:$B,$E13,'Attrition Modeling'!$C:$C,U$11),VLOOKUP(RentalsVacates!U$12-RentalsVacates!$F13-1,RentalsVacates!$A$8:$C$162,2,FALSE)*VLOOKUP(U$11,'Attrition Modeling'!$L$15:$N$27,IF(U$12-$F13&lt;=24,2,3),FALSE))*(1+IF('Traditional Attrition'!U135&gt;0,'Attrition Modeling'!$N$9,0))),0))</f>
        <v>2086.6594000348246</v>
      </c>
      <c r="V13" s="799">
        <f>IF(V$12=$F13+1,IF(Monthly!R$4=TRUE,0,V$3),IF(V$12&gt;$F13+1,RentalsVacates!U13*(1-IF(V$12-$F13&lt;=12,SUMIFS('Attrition Modeling'!$D:$D,'Attrition Modeling'!$B:$B,$E13,'Attrition Modeling'!$C:$C,V$11),VLOOKUP(RentalsVacates!V$12-RentalsVacates!$F13-1,RentalsVacates!$A$8:$C$162,2,FALSE)*VLOOKUP(V$11,'Attrition Modeling'!$L$15:$N$27,IF(V$12-$F13&lt;=24,2,3),FALSE))*(1+IF('Traditional Attrition'!V135&gt;0,'Attrition Modeling'!$N$9,0))),0))</f>
        <v>1989.8496809245989</v>
      </c>
      <c r="W13" s="799">
        <f>IF(W$12=$F13+1,IF(Monthly!S$4=TRUE,0,W$3),IF(W$12&gt;$F13+1,RentalsVacates!V13*(1-IF(W$12-$F13&lt;=12,SUMIFS('Attrition Modeling'!$D:$D,'Attrition Modeling'!$B:$B,$E13,'Attrition Modeling'!$C:$C,W$11),VLOOKUP(RentalsVacates!W$12-RentalsVacates!$F13-1,RentalsVacates!$A$8:$C$162,2,FALSE)*VLOOKUP(W$11,'Attrition Modeling'!$L$15:$N$27,IF(W$12-$F13&lt;=24,2,3),FALSE))*(1+IF('Traditional Attrition'!W135&gt;0,'Attrition Modeling'!$N$9,0))),0))</f>
        <v>1902.395697844704</v>
      </c>
      <c r="X13" s="799">
        <f>IF(X$12=$F13+1,IF(Monthly!T$4=TRUE,0,X$3),IF(X$12&gt;$F13+1,RentalsVacates!W13*(1-IF(X$12-$F13&lt;=12,SUMIFS('Attrition Modeling'!$D:$D,'Attrition Modeling'!$B:$B,$E13,'Attrition Modeling'!$C:$C,X$11),VLOOKUP(RentalsVacates!X$12-RentalsVacates!$F13-1,RentalsVacates!$A$8:$C$162,2,FALSE)*VLOOKUP(X$11,'Attrition Modeling'!$L$15:$N$27,IF(X$12-$F13&lt;=24,2,3),FALSE))*(1+IF('Traditional Attrition'!X135&gt;0,'Attrition Modeling'!$N$9,0))),0))</f>
        <v>1821.8237754656896</v>
      </c>
      <c r="Y13" s="799">
        <f>IF(Y$12=$F13+1,IF(Monthly!U$4=TRUE,0,Y$3),IF(Y$12&gt;$F13+1,RentalsVacates!X13*(1-IF(Y$12-$F13&lt;=12,SUMIFS('Attrition Modeling'!$D:$D,'Attrition Modeling'!$B:$B,$E13,'Attrition Modeling'!$C:$C,Y$11),VLOOKUP(RentalsVacates!Y$12-RentalsVacates!$F13-1,RentalsVacates!$A$8:$C$162,2,FALSE)*VLOOKUP(Y$11,'Attrition Modeling'!$L$15:$N$27,IF(Y$12-$F13&lt;=24,2,3),FALSE))*(1+IF('Traditional Attrition'!Y135&gt;0,'Attrition Modeling'!$N$9,0))),0))</f>
        <v>1722.6868469903811</v>
      </c>
      <c r="Z13" s="799">
        <f>IF(Z$12=$F13+1,IF(Monthly!V$4=TRUE,0,Z$3),IF(Z$12&gt;$F13+1,RentalsVacates!Y13*(1-IF(Z$12-$F13&lt;=12,SUMIFS('Attrition Modeling'!$D:$D,'Attrition Modeling'!$B:$B,$E13,'Attrition Modeling'!$C:$C,Z$11),VLOOKUP(RentalsVacates!Z$12-RentalsVacates!$F13-1,RentalsVacates!$A$8:$C$162,2,FALSE)*VLOOKUP(Z$11,'Attrition Modeling'!$L$15:$N$27,IF(Z$12-$F13&lt;=24,2,3),FALSE))*(1+IF('Traditional Attrition'!Z135&gt;0,'Attrition Modeling'!$N$9,0))),0))</f>
        <v>1644.4355219645204</v>
      </c>
      <c r="AA13" s="799">
        <f>IF(AA$12=$F13+1,IF(Monthly!W$4=TRUE,0,AA$3),IF(AA$12&gt;$F13+1,RentalsVacates!Z13*(1-IF(AA$12-$F13&lt;=12,SUMIFS('Attrition Modeling'!$D:$D,'Attrition Modeling'!$B:$B,$E13,'Attrition Modeling'!$C:$C,AA$11),VLOOKUP(RentalsVacates!AA$12-RentalsVacates!$F13-1,RentalsVacates!$A$8:$C$162,2,FALSE)*VLOOKUP(AA$11,'Attrition Modeling'!$L$15:$N$27,IF(AA$12-$F13&lt;=24,2,3),FALSE))*(1+IF('Traditional Attrition'!AA135&gt;0,'Attrition Modeling'!$N$9,0))),0))</f>
        <v>1567.9170389134895</v>
      </c>
      <c r="AB13" s="799">
        <f>IF(AB$12=$F13+1,IF(Monthly!X$4=TRUE,0,AB$3),IF(AB$12&gt;$F13+1,RentalsVacates!AA13*(1-IF(AB$12-$F13&lt;=12,SUMIFS('Attrition Modeling'!$D:$D,'Attrition Modeling'!$B:$B,$E13,'Attrition Modeling'!$C:$C,AB$11),VLOOKUP(RentalsVacates!AB$12-RentalsVacates!$F13-1,RentalsVacates!$A$8:$C$162,2,FALSE)*VLOOKUP(AB$11,'Attrition Modeling'!$L$15:$N$27,IF(AB$12-$F13&lt;=24,2,3),FALSE))*(1+IF('Traditional Attrition'!AB135&gt;0,'Attrition Modeling'!$N$9,0))),0))</f>
        <v>1502.5254358379154</v>
      </c>
      <c r="AC13" s="799">
        <f>IF(AC$12=$F13+1,IF(Monthly!Y$4=TRUE,0,AC$3),IF(AC$12&gt;$F13+1,RentalsVacates!AB13*(1-IF(AC$12-$F13&lt;=12,SUMIFS('Attrition Modeling'!$D:$D,'Attrition Modeling'!$B:$B,$E13,'Attrition Modeling'!$C:$C,AC$11),VLOOKUP(RentalsVacates!AC$12-RentalsVacates!$F13-1,RentalsVacates!$A$8:$C$162,2,FALSE)*VLOOKUP(AC$11,'Attrition Modeling'!$L$15:$N$27,IF(AC$12-$F13&lt;=24,2,3),FALSE))*(1+IF('Traditional Attrition'!AC135&gt;0,'Attrition Modeling'!$N$9,0))),0))</f>
        <v>1439.4080482844872</v>
      </c>
      <c r="AD13" s="799">
        <f>IF(AD$12=$F13+1,IF(Monthly!Z$4=TRUE,0,AD$3),IF(AD$12&gt;$F13+1,RentalsVacates!AC13*(1-IF(AD$12-$F13&lt;=12,SUMIFS('Attrition Modeling'!$D:$D,'Attrition Modeling'!$B:$B,$E13,'Attrition Modeling'!$C:$C,AD$11),VLOOKUP(RentalsVacates!AD$12-RentalsVacates!$F13-1,RentalsVacates!$A$8:$C$162,2,FALSE)*VLOOKUP(AD$11,'Attrition Modeling'!$L$15:$N$27,IF(AD$12-$F13&lt;=24,2,3),FALSE))*(1+IF('Traditional Attrition'!AD135&gt;0,'Attrition Modeling'!$N$9,0))),0))</f>
        <v>1382.0713330043293</v>
      </c>
      <c r="AE13" s="799">
        <f>IF(AE$12=$F13+1,IF(Monthly!AA$4=TRUE,0,AE$3),IF(AE$12&gt;$F13+1,RentalsVacates!AD13*(1-IF(AE$12-$F13&lt;=12,SUMIFS('Attrition Modeling'!$D:$D,'Attrition Modeling'!$B:$B,$E13,'Attrition Modeling'!$C:$C,AE$11),VLOOKUP(RentalsVacates!AE$12-RentalsVacates!$F13-1,RentalsVacates!$A$8:$C$162,2,FALSE)*VLOOKUP(AE$11,'Attrition Modeling'!$L$15:$N$27,IF(AE$12-$F13&lt;=24,2,3),FALSE))*(1+IF('Traditional Attrition'!AE135&gt;0,'Attrition Modeling'!$N$9,0))),0))</f>
        <v>1328.3176996710183</v>
      </c>
      <c r="AF13" s="799">
        <f>IF(AF$12=$F13+1,IF(Monthly!AB$4=TRUE,0,AF$3),IF(AF$12&gt;$F13+1,RentalsVacates!AE13*(1-IF(AF$12-$F13&lt;=12,SUMIFS('Attrition Modeling'!$D:$D,'Attrition Modeling'!$B:$B,$E13,'Attrition Modeling'!$C:$C,AF$11),VLOOKUP(RentalsVacates!AF$12-RentalsVacates!$F13-1,RentalsVacates!$A$8:$C$162,2,FALSE)*VLOOKUP(AF$11,'Attrition Modeling'!$L$15:$N$27,IF(AF$12-$F13&lt;=24,2,3),FALSE))*(1+IF('Traditional Attrition'!AF135&gt;0,'Attrition Modeling'!$N$9,0))),0))</f>
        <v>1280.6539116684478</v>
      </c>
      <c r="AG13" s="799">
        <f>IF(AG$12=$F13+1,IF(Monthly!AC$4=TRUE,0,AG$3),IF(AG$12&gt;$F13+1,RentalsVacates!AF13*(1-IF(AG$12-$F13&lt;=12,SUMIFS('Attrition Modeling'!$D:$D,'Attrition Modeling'!$B:$B,$E13,'Attrition Modeling'!$C:$C,AG$11),VLOOKUP(RentalsVacates!AG$12-RentalsVacates!$F13-1,RentalsVacates!$A$8:$C$162,2,FALSE)*VLOOKUP(AG$11,'Attrition Modeling'!$L$15:$N$27,IF(AG$12-$F13&lt;=24,2,3),FALSE))*(1+IF('Traditional Attrition'!AG135&gt;0,'Attrition Modeling'!$N$9,0))),0))</f>
        <v>1236.7621085016071</v>
      </c>
      <c r="AH13" s="799">
        <f>IF(AH$12=$F13+1,IF(Monthly!AD$4=TRUE,0,AH$3),IF(AH$12&gt;$F13+1,RentalsVacates!AG13*(1-IF(AH$12-$F13&lt;=12,SUMIFS('Attrition Modeling'!$D:$D,'Attrition Modeling'!$B:$B,$E13,'Attrition Modeling'!$C:$C,AH$11),VLOOKUP(RentalsVacates!AH$12-RentalsVacates!$F13-1,RentalsVacates!$A$8:$C$162,2,FALSE)*VLOOKUP(AH$11,'Attrition Modeling'!$L$15:$N$27,IF(AH$12-$F13&lt;=24,2,3),FALSE))*(1+IF('Traditional Attrition'!AH135&gt;0,'Attrition Modeling'!$N$9,0))),0))</f>
        <v>1196.7062726703687</v>
      </c>
      <c r="AI13" s="799">
        <f>IF(AI$12=$F13+1,IF(Monthly!AE$4=TRUE,0,AI$3),IF(AI$12&gt;$F13+1,RentalsVacates!AH13*(1-IF(AI$12-$F13&lt;=12,SUMIFS('Attrition Modeling'!$D:$D,'Attrition Modeling'!$B:$B,$E13,'Attrition Modeling'!$C:$C,AI$11),VLOOKUP(RentalsVacates!AI$12-RentalsVacates!$F13-1,RentalsVacates!$A$8:$C$162,2,FALSE)*VLOOKUP(AI$11,'Attrition Modeling'!$L$15:$N$27,IF(AI$12-$F13&lt;=24,2,3),FALSE))*(1+IF('Traditional Attrition'!AI135&gt;0,'Attrition Modeling'!$N$9,0))),0))</f>
        <v>1166.2893615019148</v>
      </c>
      <c r="AJ13" s="799">
        <f>IF(AJ$12=$F13+1,IF(Monthly!AF$4=TRUE,0,AJ$3),IF(AJ$12&gt;$F13+1,RentalsVacates!AI13*(1-IF(AJ$12-$F13&lt;=12,SUMIFS('Attrition Modeling'!$D:$D,'Attrition Modeling'!$B:$B,$E13,'Attrition Modeling'!$C:$C,AJ$11),VLOOKUP(RentalsVacates!AJ$12-RentalsVacates!$F13-1,RentalsVacates!$A$8:$C$162,2,FALSE)*VLOOKUP(AJ$11,'Attrition Modeling'!$L$15:$N$27,IF(AJ$12-$F13&lt;=24,2,3),FALSE))*(1+IF('Traditional Attrition'!AJ135&gt;0,'Attrition Modeling'!$N$9,0))),0))</f>
        <v>1130.9613462016932</v>
      </c>
      <c r="AK13" s="799">
        <f>IF(AK$12=$F13+1,IF(Monthly!AG$4=TRUE,0,AK$3),IF(AK$12&gt;$F13+1,RentalsVacates!AJ13*(1-IF(AK$12-$F13&lt;=12,SUMIFS('Attrition Modeling'!$D:$D,'Attrition Modeling'!$B:$B,$E13,'Attrition Modeling'!$C:$C,AK$11),VLOOKUP(RentalsVacates!AK$12-RentalsVacates!$F13-1,RentalsVacates!$A$8:$C$162,2,FALSE)*VLOOKUP(AK$11,'Attrition Modeling'!$L$15:$N$27,IF(AK$12-$F13&lt;=24,2,3),FALSE))*(1+IF('Traditional Attrition'!AK135&gt;0,'Attrition Modeling'!$N$9,0))),0))</f>
        <v>1084.6314804397869</v>
      </c>
      <c r="AL13" s="799">
        <f>IF(AL$12=$F13+1,IF(Monthly!AH$4=TRUE,0,AL$3),IF(AL$12&gt;$F13+1,RentalsVacates!AK13*(1-IF(AL$12-$F13&lt;=12,SUMIFS('Attrition Modeling'!$D:$D,'Attrition Modeling'!$B:$B,$E13,'Attrition Modeling'!$C:$C,AL$11),VLOOKUP(RentalsVacates!AL$12-RentalsVacates!$F13-1,RentalsVacates!$A$8:$C$162,2,FALSE)*VLOOKUP(AL$11,'Attrition Modeling'!$L$15:$N$27,IF(AL$12-$F13&lt;=24,2,3),FALSE))*(1+IF('Traditional Attrition'!AL135&gt;0,'Attrition Modeling'!$N$9,0))),0))</f>
        <v>1044.7838113459875</v>
      </c>
      <c r="AM13" s="799">
        <f>IF(AM$12=$F13+1,IF(Monthly!AI$4=TRUE,0,AM$3),IF(AM$12&gt;$F13+1,RentalsVacates!AL13*(1-IF(AM$12-$F13&lt;=12,SUMIFS('Attrition Modeling'!$D:$D,'Attrition Modeling'!$B:$B,$E13,'Attrition Modeling'!$C:$C,AM$11),VLOOKUP(RentalsVacates!AM$12-RentalsVacates!$F13-1,RentalsVacates!$A$8:$C$162,2,FALSE)*VLOOKUP(AM$11,'Attrition Modeling'!$L$15:$N$27,IF(AM$12-$F13&lt;=24,2,3),FALSE))*(1+IF('Traditional Attrition'!AM135&gt;0,'Attrition Modeling'!$N$9,0))),0))</f>
        <v>1004.0582242918194</v>
      </c>
      <c r="AN13" s="799">
        <f>IF(AN$12=$F13+1,IF(Monthly!AJ$4=TRUE,0,AN$3),IF(AN$12&gt;$F13+1,RentalsVacates!AM13*(1-IF(AN$12-$F13&lt;=12,SUMIFS('Attrition Modeling'!$D:$D,'Attrition Modeling'!$B:$B,$E13,'Attrition Modeling'!$C:$C,AN$11),VLOOKUP(RentalsVacates!AN$12-RentalsVacates!$F13-1,RentalsVacates!$A$8:$C$162,2,FALSE)*VLOOKUP(AN$11,'Attrition Modeling'!$L$15:$N$27,IF(AN$12-$F13&lt;=24,2,3),FALSE))*(1+IF('Traditional Attrition'!AN135&gt;0,'Attrition Modeling'!$N$9,0))),0))</f>
        <v>967.73393544501062</v>
      </c>
      <c r="AO13" s="799">
        <f>IF(AO$12=$F13+1,IF(Monthly!AK$4=TRUE,0,AO$3),IF(AO$12&gt;$F13+1,RentalsVacates!AN13*(1-IF(AO$12-$F13&lt;=12,SUMIFS('Attrition Modeling'!$D:$D,'Attrition Modeling'!$B:$B,$E13,'Attrition Modeling'!$C:$C,AO$11),VLOOKUP(RentalsVacates!AO$12-RentalsVacates!$F13-1,RentalsVacates!$A$8:$C$162,2,FALSE)*VLOOKUP(AO$11,'Attrition Modeling'!$L$15:$N$27,IF(AO$12-$F13&lt;=24,2,3),FALSE))*(1+IF('Traditional Attrition'!AO135&gt;0,'Attrition Modeling'!$N$9,0))),0))</f>
        <v>934.31699472117998</v>
      </c>
      <c r="AP13" s="799">
        <f>IF(AP$12=$F13+1,IF(Monthly!AL$4=TRUE,0,AP$3),IF(AP$12&gt;$F13+1,RentalsVacates!AO13*(1-IF(AP$12-$F13&lt;=12,SUMIFS('Attrition Modeling'!$D:$D,'Attrition Modeling'!$B:$B,$E13,'Attrition Modeling'!$C:$C,AP$11),VLOOKUP(RentalsVacates!AP$12-RentalsVacates!$F13-1,RentalsVacates!$A$8:$C$162,2,FALSE)*VLOOKUP(AP$11,'Attrition Modeling'!$L$15:$N$27,IF(AP$12-$F13&lt;=24,2,3),FALSE))*(1+IF('Traditional Attrition'!AP135&gt;0,'Attrition Modeling'!$N$9,0))),0))</f>
        <v>903.13798181263235</v>
      </c>
      <c r="AQ13" s="799">
        <f>IF(AQ$12=$F13+1,IF(Monthly!AM$4=TRUE,0,AQ$3),IF(AQ$12&gt;$F13+1,RentalsVacates!AP13*(1-IF(AQ$12-$F13&lt;=12,SUMIFS('Attrition Modeling'!$D:$D,'Attrition Modeling'!$B:$B,$E13,'Attrition Modeling'!$C:$C,AQ$11),VLOOKUP(RentalsVacates!AQ$12-RentalsVacates!$F13-1,RentalsVacates!$A$8:$C$162,2,FALSE)*VLOOKUP(AQ$11,'Attrition Modeling'!$L$15:$N$27,IF(AQ$12-$F13&lt;=24,2,3),FALSE))*(1+IF('Traditional Attrition'!AQ135&gt;0,'Attrition Modeling'!$N$9,0))),0))</f>
        <v>878.57581705652512</v>
      </c>
      <c r="AR13" s="799">
        <f>IF(AR$12=$F13+1,IF(Monthly!AN$4=TRUE,0,AR$3),IF(AR$12&gt;$F13+1,RentalsVacates!AQ13*(1-IF(AR$12-$F13&lt;=12,SUMIFS('Attrition Modeling'!$D:$D,'Attrition Modeling'!$B:$B,$E13,'Attrition Modeling'!$C:$C,AR$11),VLOOKUP(RentalsVacates!AR$12-RentalsVacates!$F13-1,RentalsVacates!$A$8:$C$162,2,FALSE)*VLOOKUP(AR$11,'Attrition Modeling'!$L$15:$N$27,IF(AR$12-$F13&lt;=24,2,3),FALSE))*(1+IF('Traditional Attrition'!AR135&gt;0,'Attrition Modeling'!$N$9,0))),0))</f>
        <v>852.40908136024973</v>
      </c>
      <c r="AS13" s="799">
        <f>IF(AS$12=$F13+1,IF(Monthly!AO$4=TRUE,0,AS$3),IF(AS$12&gt;$F13+1,RentalsVacates!AR13*(1-IF(AS$12-$F13&lt;=12,SUMIFS('Attrition Modeling'!$D:$D,'Attrition Modeling'!$B:$B,$E13,'Attrition Modeling'!$C:$C,AS$11),VLOOKUP(RentalsVacates!AS$12-RentalsVacates!$F13-1,RentalsVacates!$A$8:$C$162,2,FALSE)*VLOOKUP(AS$11,'Attrition Modeling'!$L$15:$N$27,IF(AS$12-$F13&lt;=24,2,3),FALSE))*(1+IF('Traditional Attrition'!AS135&gt;0,'Attrition Modeling'!$N$9,0))),0))</f>
        <v>828.07986704281757</v>
      </c>
      <c r="AT13" s="799">
        <f>IF(AT$12=$F13+1,IF(Monthly!AP$4=TRUE,0,AT$3),IF(AT$12&gt;$F13+1,RentalsVacates!AS13*(1-IF(AT$12-$F13&lt;=12,SUMIFS('Attrition Modeling'!$D:$D,'Attrition Modeling'!$B:$B,$E13,'Attrition Modeling'!$C:$C,AT$11),VLOOKUP(RentalsVacates!AT$12-RentalsVacates!$F13-1,RentalsVacates!$A$8:$C$162,2,FALSE)*VLOOKUP(AT$11,'Attrition Modeling'!$L$15:$N$27,IF(AT$12-$F13&lt;=24,2,3),FALSE))*(1+IF('Traditional Attrition'!AT135&gt;0,'Attrition Modeling'!$N$9,0))),0))</f>
        <v>805.67542707271059</v>
      </c>
      <c r="AU13" s="799">
        <f>IF(AU$12=$F13+1,IF(Monthly!AQ$4=TRUE,0,AU$3),IF(AU$12&gt;$F13+1,RentalsVacates!AT13*(1-IF(AU$12-$F13&lt;=12,SUMIFS('Attrition Modeling'!$D:$D,'Attrition Modeling'!$B:$B,$E13,'Attrition Modeling'!$C:$C,AU$11),VLOOKUP(RentalsVacates!AU$12-RentalsVacates!$F13-1,RentalsVacates!$A$8:$C$162,2,FALSE)*VLOOKUP(AU$11,'Attrition Modeling'!$L$15:$N$27,IF(AU$12-$F13&lt;=24,2,3),FALSE))*(1+IF('Traditional Attrition'!AU135&gt;0,'Attrition Modeling'!$N$9,0))),0))</f>
        <v>788.51844224918432</v>
      </c>
      <c r="AV13" s="799">
        <f>IF(AV$12=$F13+1,IF(Monthly!AR$4=TRUE,0,AV$3),IF(AV$12&gt;$F13+1,RentalsVacates!AU13*(1-IF(AV$12-$F13&lt;=12,SUMIFS('Attrition Modeling'!$D:$D,'Attrition Modeling'!$B:$B,$E13,'Attrition Modeling'!$C:$C,AV$11),VLOOKUP(RentalsVacates!AV$12-RentalsVacates!$F13-1,RentalsVacates!$A$8:$C$162,2,FALSE)*VLOOKUP(AV$11,'Attrition Modeling'!$L$15:$N$27,IF(AV$12-$F13&lt;=24,2,3),FALSE))*(1+IF('Traditional Attrition'!AV135&gt;0,'Attrition Modeling'!$N$9,0))),0))</f>
        <v>768.45185998023715</v>
      </c>
      <c r="AW13" s="799">
        <f>IF(AW$12=$F13+1,IF(Monthly!AS$4=TRUE,0,AW$3),IF(AW$12&gt;$F13+1,RentalsVacates!AV13*(1-IF(AW$12-$F13&lt;=12,SUMIFS('Attrition Modeling'!$D:$D,'Attrition Modeling'!$B:$B,$E13,'Attrition Modeling'!$C:$C,AW$11),VLOOKUP(RentalsVacates!AW$12-RentalsVacates!$F13-1,RentalsVacates!$A$8:$C$162,2,FALSE)*VLOOKUP(AW$11,'Attrition Modeling'!$L$15:$N$27,IF(AW$12-$F13&lt;=24,2,3),FALSE))*(1+IF('Traditional Attrition'!AW135&gt;0,'Attrition Modeling'!$N$9,0))),0))</f>
        <v>741.93608089760528</v>
      </c>
      <c r="AX13" s="799">
        <f>IF(AX$12=$F13+1,IF(Monthly!AT$4=TRUE,0,AX$3),IF(AX$12&gt;$F13+1,RentalsVacates!AW13*(1-IF(AX$12-$F13&lt;=12,SUMIFS('Attrition Modeling'!$D:$D,'Attrition Modeling'!$B:$B,$E13,'Attrition Modeling'!$C:$C,AX$11),VLOOKUP(RentalsVacates!AX$12-RentalsVacates!$F13-1,RentalsVacates!$A$8:$C$162,2,FALSE)*VLOOKUP(AX$11,'Attrition Modeling'!$L$15:$N$27,IF(AX$12-$F13&lt;=24,2,3),FALSE))*(1+IF('Traditional Attrition'!AX135&gt;0,'Attrition Modeling'!$N$9,0))),0))</f>
        <v>718.92041673213453</v>
      </c>
      <c r="AY13" s="799">
        <f>IF(AY$12=$F13+1,IF(Monthly!AU$4=TRUE,0,AY$3),IF(AY$12&gt;$F13+1,RentalsVacates!AX13*(1-IF(AY$12-$F13&lt;=12,SUMIFS('Attrition Modeling'!$D:$D,'Attrition Modeling'!$B:$B,$E13,'Attrition Modeling'!$C:$C,AY$11),VLOOKUP(RentalsVacates!AY$12-RentalsVacates!$F13-1,RentalsVacates!$A$8:$C$162,2,FALSE)*VLOOKUP(AY$11,'Attrition Modeling'!$L$15:$N$27,IF(AY$12-$F13&lt;=24,2,3),FALSE))*(1+IF('Traditional Attrition'!AY135&gt;0,'Attrition Modeling'!$N$9,0))),0))</f>
        <v>695.20335509421136</v>
      </c>
      <c r="AZ13" s="799">
        <f>IF(AZ$12=$F13+1,IF(Monthly!AV$4=TRUE,0,AZ$3),IF(AZ$12&gt;$F13+1,RentalsVacates!AY13*(1-IF(AZ$12-$F13&lt;=12,SUMIFS('Attrition Modeling'!$D:$D,'Attrition Modeling'!$B:$B,$E13,'Attrition Modeling'!$C:$C,AZ$11),VLOOKUP(RentalsVacates!AZ$12-RentalsVacates!$F13-1,RentalsVacates!$A$8:$C$162,2,FALSE)*VLOOKUP(AZ$11,'Attrition Modeling'!$L$15:$N$27,IF(AZ$12-$F13&lt;=24,2,3),FALSE))*(1+IF('Traditional Attrition'!AZ135&gt;0,'Attrition Modeling'!$N$9,0))),0))</f>
        <v>673.87106492420537</v>
      </c>
      <c r="BA13" s="799">
        <f>IF(BA$12=$F13+1,IF(Monthly!AW$4=TRUE,0,BA$3),IF(BA$12&gt;$F13+1,RentalsVacates!AZ13*(1-IF(BA$12-$F13&lt;=12,SUMIFS('Attrition Modeling'!$D:$D,'Attrition Modeling'!$B:$B,$E13,'Attrition Modeling'!$C:$C,BA$11),VLOOKUP(RentalsVacates!BA$12-RentalsVacates!$F13-1,RentalsVacates!$A$8:$C$162,2,FALSE)*VLOOKUP(BA$11,'Attrition Modeling'!$L$15:$N$27,IF(BA$12-$F13&lt;=24,2,3),FALSE))*(1+IF('Traditional Attrition'!BA135&gt;0,'Attrition Modeling'!$N$9,0))),0))</f>
        <v>654.09351153785667</v>
      </c>
      <c r="BB13" s="799">
        <f>IF(BB$12=$F13+1,IF(Monthly!AX$4=TRUE,0,BB$3),IF(BB$12&gt;$F13+1,RentalsVacates!BA13*(1-IF(BB$12-$F13&lt;=12,SUMIFS('Attrition Modeling'!$D:$D,'Attrition Modeling'!$B:$B,$E13,'Attrition Modeling'!$C:$C,BB$11),VLOOKUP(RentalsVacates!BB$12-RentalsVacates!$F13-1,RentalsVacates!$A$8:$C$162,2,FALSE)*VLOOKUP(BB$11,'Attrition Modeling'!$L$15:$N$27,IF(BB$12-$F13&lt;=24,2,3),FALSE))*(1+IF('Traditional Attrition'!BB135&gt;0,'Attrition Modeling'!$N$9,0))),0))</f>
        <v>635.50504368986117</v>
      </c>
      <c r="BC13" s="799">
        <f>IF(BC$12=$F13+1,IF(Monthly!AY$4=TRUE,0,BC$3),IF(BC$12&gt;$F13+1,RentalsVacates!BB13*(1-IF(BC$12-$F13&lt;=12,SUMIFS('Attrition Modeling'!$D:$D,'Attrition Modeling'!$B:$B,$E13,'Attrition Modeling'!$C:$C,BC$11),VLOOKUP(RentalsVacates!BC$12-RentalsVacates!$F13-1,RentalsVacates!$A$8:$C$162,2,FALSE)*VLOOKUP(BC$11,'Attrition Modeling'!$L$15:$N$27,IF(BC$12-$F13&lt;=24,2,3),FALSE))*(1+IF('Traditional Attrition'!BC135&gt;0,'Attrition Modeling'!$N$9,0))),0))</f>
        <v>620.75905250520998</v>
      </c>
      <c r="BD13" s="799">
        <f>IF(BD$12=$F13+1,IF(Monthly!AZ$4=TRUE,0,BD$3),IF(BD$12&gt;$F13+1,RentalsVacates!BC13*(1-IF(BD$12-$F13&lt;=12,SUMIFS('Attrition Modeling'!$D:$D,'Attrition Modeling'!$B:$B,$E13,'Attrition Modeling'!$C:$C,BD$11),VLOOKUP(RentalsVacates!BD$12-RentalsVacates!$F13-1,RentalsVacates!$A$8:$C$162,2,FALSE)*VLOOKUP(BD$11,'Attrition Modeling'!$L$15:$N$27,IF(BD$12-$F13&lt;=24,2,3),FALSE))*(1+IF('Traditional Attrition'!BD135&gt;0,'Attrition Modeling'!$N$9,0))),0))</f>
        <v>605.06360135906311</v>
      </c>
      <c r="BE13" s="799">
        <f>IF(BE$12=$F13+1,IF(Monthly!BA$4=TRUE,0,BE$3),IF(BE$12&gt;$F13+1,RentalsVacates!BD13*(1-IF(BE$12-$F13&lt;=12,SUMIFS('Attrition Modeling'!$D:$D,'Attrition Modeling'!$B:$B,$E13,'Attrition Modeling'!$C:$C,BE$11),VLOOKUP(RentalsVacates!BE$12-RentalsVacates!$F13-1,RentalsVacates!$A$8:$C$162,2,FALSE)*VLOOKUP(BE$11,'Attrition Modeling'!$L$15:$N$27,IF(BE$12-$F13&lt;=24,2,3),FALSE))*(1+IF('Traditional Attrition'!BE135&gt;0,'Attrition Modeling'!$N$9,0))),0))</f>
        <v>590.38046586542123</v>
      </c>
      <c r="BF13" s="799">
        <f>IF(BF$12=$F13+1,IF(Monthly!BB$4=TRUE,0,BF$3),IF(BF$12&gt;$F13+1,RentalsVacates!BE13*(1-IF(BF$12-$F13&lt;=12,SUMIFS('Attrition Modeling'!$D:$D,'Attrition Modeling'!$B:$B,$E13,'Attrition Modeling'!$C:$C,BF$11),VLOOKUP(RentalsVacates!BF$12-RentalsVacates!$F13-1,RentalsVacates!$A$8:$C$162,2,FALSE)*VLOOKUP(BF$11,'Attrition Modeling'!$L$15:$N$27,IF(BF$12-$F13&lt;=24,2,3),FALSE))*(1+IF('Traditional Attrition'!BF135&gt;0,'Attrition Modeling'!$N$9,0))),0))</f>
        <v>576.78002986517333</v>
      </c>
      <c r="BG13" s="799">
        <f>IF(BG$12=$F13+1,IF(Monthly!BC$4=TRUE,0,BG$3),IF(BG$12&gt;$F13+1,RentalsVacates!BF13*(1-IF(BG$12-$F13&lt;=12,SUMIFS('Attrition Modeling'!$D:$D,'Attrition Modeling'!$B:$B,$E13,'Attrition Modeling'!$C:$C,BG$11),VLOOKUP(RentalsVacates!BG$12-RentalsVacates!$F13-1,RentalsVacates!$A$8:$C$162,2,FALSE)*VLOOKUP(BG$11,'Attrition Modeling'!$L$15:$N$27,IF(BG$12-$F13&lt;=24,2,3),FALSE))*(1+IF('Traditional Attrition'!BG135&gt;0,'Attrition Modeling'!$N$9,0))),0))</f>
        <v>566.30784354387424</v>
      </c>
      <c r="BH13" s="799">
        <f>IF(BH$12=$F13+1,IF(Monthly!BD$4=TRUE,0,BH$3),IF(BH$12&gt;$F13+1,RentalsVacates!BG13*(1-IF(BH$12-$F13&lt;=12,SUMIFS('Attrition Modeling'!$D:$D,'Attrition Modeling'!$B:$B,$E13,'Attrition Modeling'!$C:$C,BH$11),VLOOKUP(RentalsVacates!BH$12-RentalsVacates!$F13-1,RentalsVacates!$A$8:$C$162,2,FALSE)*VLOOKUP(BH$11,'Attrition Modeling'!$L$15:$N$27,IF(BH$12-$F13&lt;=24,2,3),FALSE))*(1+IF('Traditional Attrition'!BH135&gt;0,'Attrition Modeling'!$N$9,0))),0))</f>
        <v>554.00470747935231</v>
      </c>
      <c r="BI13" s="799">
        <f>IF(BI$12=$F13+1,IF(Monthly!BE$4=TRUE,0,BI$3),IF(BI$12&gt;$F13+1,RentalsVacates!BH13*(1-IF(BI$12-$F13&lt;=12,SUMIFS('Attrition Modeling'!$D:$D,'Attrition Modeling'!$B:$B,$E13,'Attrition Modeling'!$C:$C,BI$11),VLOOKUP(RentalsVacates!BI$12-RentalsVacates!$F13-1,RentalsVacates!$A$8:$C$162,2,FALSE)*VLOOKUP(BI$11,'Attrition Modeling'!$L$15:$N$27,IF(BI$12-$F13&lt;=24,2,3),FALSE))*(1+IF('Traditional Attrition'!BI135&gt;0,'Attrition Modeling'!$N$9,0))),0))</f>
        <v>537.66560509032161</v>
      </c>
      <c r="BJ13" s="799">
        <f>IF(BJ$12=$F13+1,IF(Monthly!BF$4=TRUE,0,BJ$3),IF(BJ$12&gt;$F13+1,RentalsVacates!BI13*(1-IF(BJ$12-$F13&lt;=12,SUMIFS('Attrition Modeling'!$D:$D,'Attrition Modeling'!$B:$B,$E13,'Attrition Modeling'!$C:$C,BJ$11),VLOOKUP(RentalsVacates!BJ$12-RentalsVacates!$F13-1,RentalsVacates!$A$8:$C$162,2,FALSE)*VLOOKUP(BJ$11,'Attrition Modeling'!$L$15:$N$27,IF(BJ$12-$F13&lt;=24,2,3),FALSE))*(1+IF('Traditional Attrition'!BJ135&gt;0,'Attrition Modeling'!$N$9,0))),0))</f>
        <v>523.39333013624037</v>
      </c>
      <c r="BK13" s="799">
        <f>IF(BK$12=$F13+1,IF(Monthly!BG$4=TRUE,0,BK$3),IF(BK$12&gt;$F13+1,RentalsVacates!BJ13*(1-IF(BK$12-$F13&lt;=12,SUMIFS('Attrition Modeling'!$D:$D,'Attrition Modeling'!$B:$B,$E13,'Attrition Modeling'!$C:$C,BK$11),VLOOKUP(RentalsVacates!BK$12-RentalsVacates!$F13-1,RentalsVacates!$A$8:$C$162,2,FALSE)*VLOOKUP(BK$11,'Attrition Modeling'!$L$15:$N$27,IF(BK$12-$F13&lt;=24,2,3),FALSE))*(1+IF('Traditional Attrition'!BK135&gt;0,'Attrition Modeling'!$N$9,0))),0))</f>
        <v>508.60217024869604</v>
      </c>
      <c r="BL13" s="799">
        <f>IF(BL$12=$F13+1,IF(Monthly!BH$4=TRUE,0,BL$3),IF(BL$12&gt;$F13+1,RentalsVacates!BK13*(1-IF(BL$12-$F13&lt;=12,SUMIFS('Attrition Modeling'!$D:$D,'Attrition Modeling'!$B:$B,$E13,'Attrition Modeling'!$C:$C,BL$11),VLOOKUP(RentalsVacates!BL$12-RentalsVacates!$F13-1,RentalsVacates!$A$8:$C$162,2,FALSE)*VLOOKUP(BL$11,'Attrition Modeling'!$L$15:$N$27,IF(BL$12-$F13&lt;=24,2,3),FALSE))*(1+IF('Traditional Attrition'!BL135&gt;0,'Attrition Modeling'!$N$9,0))),0))</f>
        <v>495.21951073339409</v>
      </c>
      <c r="BM13" s="799">
        <f>IF(BM$12=$F13+1,IF(Monthly!BI$4=TRUE,0,BM$3),IF(BM$12&gt;$F13+1,RentalsVacates!BL13*(1-IF(BM$12-$F13&lt;=12,SUMIFS('Attrition Modeling'!$D:$D,'Attrition Modeling'!$B:$B,$E13,'Attrition Modeling'!$C:$C,BM$11),VLOOKUP(RentalsVacates!BM$12-RentalsVacates!$F13-1,RentalsVacates!$A$8:$C$162,2,FALSE)*VLOOKUP(BM$11,'Attrition Modeling'!$L$15:$N$27,IF(BM$12-$F13&lt;=24,2,3),FALSE))*(1+IF('Traditional Attrition'!BM135&gt;0,'Attrition Modeling'!$N$9,0))),0))</f>
        <v>482.74416525364461</v>
      </c>
      <c r="BN13" s="799">
        <f>IF(BN$12=$F13+1,IF(Monthly!BJ$4=TRUE,0,BN$3),IF(BN$12&gt;$F13+1,RentalsVacates!BM13*(1-IF(BN$12-$F13&lt;=12,SUMIFS('Attrition Modeling'!$D:$D,'Attrition Modeling'!$B:$B,$E13,'Attrition Modeling'!$C:$C,BN$11),VLOOKUP(RentalsVacates!BN$12-RentalsVacates!$F13-1,RentalsVacates!$A$8:$C$162,2,FALSE)*VLOOKUP(BN$11,'Attrition Modeling'!$L$15:$N$27,IF(BN$12-$F13&lt;=24,2,3),FALSE))*(1+IF('Traditional Attrition'!BN135&gt;0,'Attrition Modeling'!$N$9,0))),0))</f>
        <v>470.95786713156701</v>
      </c>
      <c r="BO13" s="799">
        <f>IF(BO$12=$F13+1,IF(Monthly!BK$4=TRUE,0,BO$3),IF(BO$12&gt;$F13+1,RentalsVacates!BN13*(1-IF(BO$12-$F13&lt;=12,SUMIFS('Attrition Modeling'!$D:$D,'Attrition Modeling'!$B:$B,$E13,'Attrition Modeling'!$C:$C,BO$11),VLOOKUP(RentalsVacates!BO$12-RentalsVacates!$F13-1,RentalsVacates!$A$8:$C$162,2,FALSE)*VLOOKUP(BO$11,'Attrition Modeling'!$L$15:$N$27,IF(BO$12-$F13&lt;=24,2,3),FALSE))*(1+IF('Traditional Attrition'!BO135&gt;0,'Attrition Modeling'!$N$9,0))),0))</f>
        <v>461.56129592446939</v>
      </c>
      <c r="BP13" s="799">
        <f>IF(BP$12=$F13+1,IF(Monthly!BL$4=TRUE,0,BP$3),IF(BP$12&gt;$F13+1,RentalsVacates!BO13*(1-IF(BP$12-$F13&lt;=12,SUMIFS('Attrition Modeling'!$D:$D,'Attrition Modeling'!$B:$B,$E13,'Attrition Modeling'!$C:$C,BP$11),VLOOKUP(RentalsVacates!BP$12-RentalsVacates!$F13-1,RentalsVacates!$A$8:$C$162,2,FALSE)*VLOOKUP(BP$11,'Attrition Modeling'!$L$15:$N$27,IF(BP$12-$F13&lt;=24,2,3),FALSE))*(1+IF('Traditional Attrition'!BP135&gt;0,'Attrition Modeling'!$N$9,0))),0))</f>
        <v>451.45026593576205</v>
      </c>
      <c r="BQ13" s="799">
        <f>IF(BQ$12=$F13+1,IF(Monthly!BM$4=TRUE,0,BQ$3),IF(BQ$12&gt;$F13+1,RentalsVacates!BP13*(1-IF(BQ$12-$F13&lt;=12,SUMIFS('Attrition Modeling'!$D:$D,'Attrition Modeling'!$B:$B,$E13,'Attrition Modeling'!$C:$C,BQ$11),VLOOKUP(RentalsVacates!BQ$12-RentalsVacates!$F13-1,RentalsVacates!$A$8:$C$162,2,FALSE)*VLOOKUP(BQ$11,'Attrition Modeling'!$L$15:$N$27,IF(BQ$12-$F13&lt;=24,2,3),FALSE))*(1+IF('Traditional Attrition'!BQ135&gt;0,'Attrition Modeling'!$N$9,0))),0))</f>
        <v>441.94972147375921</v>
      </c>
      <c r="BR13" s="799">
        <f>IF(BR$12=$F13+1,IF(Monthly!BN$4=TRUE,0,BR$3),IF(BR$12&gt;$F13+1,RentalsVacates!BQ13*(1-IF(BR$12-$F13&lt;=12,SUMIFS('Attrition Modeling'!$D:$D,'Attrition Modeling'!$B:$B,$E13,'Attrition Modeling'!$C:$C,BR$11),VLOOKUP(RentalsVacates!BR$12-RentalsVacates!$F13-1,RentalsVacates!$A$8:$C$162,2,FALSE)*VLOOKUP(BR$11,'Attrition Modeling'!$L$15:$N$27,IF(BR$12-$F13&lt;=24,2,3),FALSE))*(1+IF('Traditional Attrition'!BR135&gt;0,'Attrition Modeling'!$N$9,0))),0))</f>
        <v>433.11279137955199</v>
      </c>
      <c r="BS13" s="799">
        <f>IF(BS$12=$F13+1,IF(Monthly!BO$4=TRUE,0,BS$3),IF(BS$12&gt;$F13+1,RentalsVacates!BR13*(1-IF(BS$12-$F13&lt;=12,SUMIFS('Attrition Modeling'!$D:$D,'Attrition Modeling'!$B:$B,$E13,'Attrition Modeling'!$C:$C,BS$11),VLOOKUP(RentalsVacates!BS$12-RentalsVacates!$F13-1,RentalsVacates!$A$8:$C$162,2,FALSE)*VLOOKUP(BS$11,'Attrition Modeling'!$L$15:$N$27,IF(BS$12-$F13&lt;=24,2,3),FALSE))*(1+IF('Traditional Attrition'!BS135&gt;0,'Attrition Modeling'!$N$9,0))),0))</f>
        <v>426.28146600284987</v>
      </c>
      <c r="BT13" s="799" t="e">
        <f>IF(BT$11=$F12+1,IF(Monthly!#REF!=TRUE,0,BT$3),IF(BT$11&gt;$F12+1,RentalsVacates!BS12*(1-IF(BT$11-$F12&lt;=12,SUMIFS('Attrition Modeling'!$D:$D,'Attrition Modeling'!$B:$B,$E12,'Attrition Modeling'!$C:$C,BT$10),VLOOKUP(RentalsVacates!BT$11-RentalsVacates!$F12-1,RentalsVacates!$A$7:$C$161,2,FALSE)*VLOOKUP(BT$10,'Attrition Modeling'!$L$15:$N$27,IF(BT$11-$F12&lt;=24,2,3),FALSE))*(1+IF('Traditional Attrition'!BT135&gt;0,'Attrition Modeling'!$N$9,0))),0))</f>
        <v>#VALUE!</v>
      </c>
      <c r="BU13" s="799" t="e">
        <f>IF(BU$11=$F12+1,IF(Monthly!#REF!=TRUE,0,BU$3),IF(BU$11&gt;$F12+1,RentalsVacates!BT12*(1-IF(BU$11-$F12&lt;=12,SUMIFS('Attrition Modeling'!$D:$D,'Attrition Modeling'!$B:$B,$E12,'Attrition Modeling'!$C:$C,BU$10),VLOOKUP(RentalsVacates!BU$11-RentalsVacates!$F12-1,RentalsVacates!$A$7:$C$161,2,FALSE)*VLOOKUP(BU$10,'Attrition Modeling'!$L$15:$N$27,IF(BU$11-$F12&lt;=24,2,3),FALSE))*(1+IF('Traditional Attrition'!BU135&gt;0,'Attrition Modeling'!$N$9,0))),0))</f>
        <v>#VALUE!</v>
      </c>
    </row>
    <row r="14" spans="1:73" ht="14.25" customHeight="1" x14ac:dyDescent="0.2">
      <c r="A14" s="9">
        <v>6</v>
      </c>
      <c r="B14" s="25" t="e">
        <f>'Attrition Modeling'!H10*(1-Summary!$C$20)</f>
        <v>#DIV/0!</v>
      </c>
      <c r="C14" s="24" t="e">
        <f t="shared" si="2"/>
        <v>#DIV/0!</v>
      </c>
      <c r="E14" s="11">
        <f>'Traditional Attrition'!E71</f>
        <v>1</v>
      </c>
      <c r="F14" s="11">
        <f t="shared" ref="F14:F73" si="4">F13+1</f>
        <v>1</v>
      </c>
      <c r="G14" s="799"/>
      <c r="H14" s="799">
        <f>IF(H$12=$F14+1,IF(Monthly!D$4=TRUE,0,H$3),IF(H$12&gt;$F14+1,RentalsVacates!G14*(1-IF(H$12-$F14&lt;=12,SUMIFS('Attrition Modeling'!$D:$D,'Attrition Modeling'!$B:$B,$E14,'Attrition Modeling'!$C:$C,H$11),VLOOKUP(RentalsVacates!H$12-RentalsVacates!$F14-1,RentalsVacates!$A$8:$C$162,2,FALSE)*VLOOKUP(H$11,'Attrition Modeling'!$L$15:$N$27,IF(H$12-$F14&lt;=24,2,3),FALSE))*(1+IF('Traditional Attrition'!H136&gt;0,'Attrition Modeling'!$N$9,0))),0))</f>
        <v>0</v>
      </c>
      <c r="I14" s="799">
        <f>IF(I$12=$F14+1,IF(Monthly!E$4=TRUE,0,I$3),IF(I$12&gt;$F14+1,RentalsVacates!H14*(1-IF(I$12-$F14&lt;=12,SUMIFS('Attrition Modeling'!$D:$D,'Attrition Modeling'!$B:$B,$E14,'Attrition Modeling'!$C:$C,I$11),VLOOKUP(RentalsVacates!I$12-RentalsVacates!$F14-1,RentalsVacates!$A$8:$C$162,2,FALSE)*VLOOKUP(I$11,'Attrition Modeling'!$L$15:$N$27,IF(I$12-$F14&lt;=24,2,3),FALSE))*(1+IF('Traditional Attrition'!I136&gt;0,'Attrition Modeling'!$N$9,0))),0))</f>
        <v>2281.005058304313</v>
      </c>
      <c r="J14" s="799">
        <f>IF(J$12=$F14+1,IF(Monthly!F$4=TRUE,0,J$3),IF(J$12&gt;$F14+1,RentalsVacates!I14*(1-IF(J$12-$F14&lt;=12,SUMIFS('Attrition Modeling'!$D:$D,'Attrition Modeling'!$B:$B,$E14,'Attrition Modeling'!$C:$C,J$11),VLOOKUP(RentalsVacates!J$12-RentalsVacates!$F14-1,RentalsVacates!$A$8:$C$162,2,FALSE)*VLOOKUP(J$11,'Attrition Modeling'!$L$15:$N$27,IF(J$12-$F14&lt;=24,2,3),FALSE))*(1+IF('Traditional Attrition'!J136&gt;0,'Attrition Modeling'!$N$9,0))),0))</f>
        <v>2051.1853589614375</v>
      </c>
      <c r="K14" s="799">
        <f>IF(K$12=$F14+1,IF(Monthly!G$4=TRUE,0,K$3),IF(K$12&gt;$F14+1,RentalsVacates!J14*(1-IF(K$12-$F14&lt;=12,SUMIFS('Attrition Modeling'!$D:$D,'Attrition Modeling'!$B:$B,$E14,'Attrition Modeling'!$C:$C,K$11),VLOOKUP(RentalsVacates!K$12-RentalsVacates!$F14-1,RentalsVacates!$A$8:$C$162,2,FALSE)*VLOOKUP(K$11,'Attrition Modeling'!$L$15:$N$27,IF(K$12-$F14&lt;=24,2,3),FALSE))*(1+IF('Traditional Attrition'!K136&gt;0,'Attrition Modeling'!$N$9,0))),0))</f>
        <v>1879.8875672261399</v>
      </c>
      <c r="L14" s="799">
        <f>IF(L$12=$F14+1,IF(Monthly!H$4=TRUE,0,L$3),IF(L$12&gt;$F14+1,RentalsVacates!K14*(1-IF(L$12-$F14&lt;=12,SUMIFS('Attrition Modeling'!$D:$D,'Attrition Modeling'!$B:$B,$E14,'Attrition Modeling'!$C:$C,L$11),VLOOKUP(RentalsVacates!L$12-RentalsVacates!$F14-1,RentalsVacates!$A$8:$C$162,2,FALSE)*VLOOKUP(L$11,'Attrition Modeling'!$L$15:$N$27,IF(L$12-$F14&lt;=24,2,3),FALSE))*(1+IF('Traditional Attrition'!L136&gt;0,'Attrition Modeling'!$N$9,0))),0))</f>
        <v>1706.9775954678792</v>
      </c>
      <c r="M14" s="799">
        <f>IF(M$12=$F14+1,IF(Monthly!I$4=TRUE,0,M$3),IF(M$12&gt;$F14+1,RentalsVacates!L14*(1-IF(M$12-$F14&lt;=12,SUMIFS('Attrition Modeling'!$D:$D,'Attrition Modeling'!$B:$B,$E14,'Attrition Modeling'!$C:$C,M$11),VLOOKUP(RentalsVacates!M$12-RentalsVacates!$F14-1,RentalsVacates!$A$8:$C$162,2,FALSE)*VLOOKUP(M$11,'Attrition Modeling'!$L$15:$N$27,IF(M$12-$F14&lt;=24,2,3),FALSE))*(1+IF('Traditional Attrition'!M136&gt;0,'Attrition Modeling'!$N$9,0))),0))</f>
        <v>1568.7101399547789</v>
      </c>
      <c r="N14" s="799">
        <f>IF(N$12=$F14+1,IF(Monthly!J$4=TRUE,0,N$3),IF(N$12&gt;$F14+1,RentalsVacates!M14*(1-IF(N$12-$F14&lt;=12,SUMIFS('Attrition Modeling'!$D:$D,'Attrition Modeling'!$B:$B,$E14,'Attrition Modeling'!$C:$C,N$11),VLOOKUP(RentalsVacates!N$12-RentalsVacates!$F14-1,RentalsVacates!$A$8:$C$162,2,FALSE)*VLOOKUP(N$11,'Attrition Modeling'!$L$15:$N$27,IF(N$12-$F14&lt;=24,2,3),FALSE))*(1+IF('Traditional Attrition'!N136&gt;0,'Attrition Modeling'!$N$9,0))),0))</f>
        <v>1407.1396656949519</v>
      </c>
      <c r="O14" s="799">
        <f>IF(O$12=$F14+1,IF(Monthly!K$4=TRUE,0,O$3),IF(O$12&gt;$F14+1,RentalsVacates!N14*(1-IF(O$12-$F14&lt;=12,SUMIFS('Attrition Modeling'!$D:$D,'Attrition Modeling'!$B:$B,$E14,'Attrition Modeling'!$C:$C,O$11),VLOOKUP(RentalsVacates!O$12-RentalsVacates!$F14-1,RentalsVacates!$A$8:$C$162,2,FALSE)*VLOOKUP(O$11,'Attrition Modeling'!$L$15:$N$27,IF(O$12-$F14&lt;=24,2,3),FALSE))*(1+IF('Traditional Attrition'!O136&gt;0,'Attrition Modeling'!$N$9,0))),0))</f>
        <v>1299.8181506043538</v>
      </c>
      <c r="P14" s="799">
        <f>IF(P$12=$F14+1,IF(Monthly!L$4=TRUE,0,P$3),IF(P$12&gt;$F14+1,RentalsVacates!O14*(1-IF(P$12-$F14&lt;=12,SUMIFS('Attrition Modeling'!$D:$D,'Attrition Modeling'!$B:$B,$E14,'Attrition Modeling'!$C:$C,P$11),VLOOKUP(RentalsVacates!P$12-RentalsVacates!$F14-1,RentalsVacates!$A$8:$C$162,2,FALSE)*VLOOKUP(P$11,'Attrition Modeling'!$L$15:$N$27,IF(P$12-$F14&lt;=24,2,3),FALSE))*(1+IF('Traditional Attrition'!P136&gt;0,'Attrition Modeling'!$N$9,0))),0))</f>
        <v>1220.0998744877991</v>
      </c>
      <c r="Q14" s="799">
        <f>IF(Q$12=$F14+1,IF(Monthly!M$4=TRUE,0,Q$3),IF(Q$12&gt;$F14+1,RentalsVacates!P14*(1-IF(Q$12-$F14&lt;=12,SUMIFS('Attrition Modeling'!$D:$D,'Attrition Modeling'!$B:$B,$E14,'Attrition Modeling'!$C:$C,Q$11),VLOOKUP(RentalsVacates!Q$12-RentalsVacates!$F14-1,RentalsVacates!$A$8:$C$162,2,FALSE)*VLOOKUP(Q$11,'Attrition Modeling'!$L$15:$N$27,IF(Q$12-$F14&lt;=24,2,3),FALSE))*(1+IF('Traditional Attrition'!Q136&gt;0,'Attrition Modeling'!$N$9,0))),0))</f>
        <v>1141.8039181661379</v>
      </c>
      <c r="R14" s="799">
        <f>IF(R$12=$F14+1,IF(Monthly!N$4=TRUE,0,R$3),IF(R$12&gt;$F14+1,RentalsVacates!Q14*(1-IF(R$12-$F14&lt;=12,SUMIFS('Attrition Modeling'!$D:$D,'Attrition Modeling'!$B:$B,$E14,'Attrition Modeling'!$C:$C,R$11),VLOOKUP(RentalsVacates!R$12-RentalsVacates!$F14-1,RentalsVacates!$A$8:$C$162,2,FALSE)*VLOOKUP(R$11,'Attrition Modeling'!$L$15:$N$27,IF(R$12-$F14&lt;=24,2,3),FALSE))*(1+IF('Traditional Attrition'!R136&gt;0,'Attrition Modeling'!$N$9,0))),0))</f>
        <v>1073.5949270470426</v>
      </c>
      <c r="S14" s="799">
        <f>IF(S$12=$F14+1,IF(Monthly!O$4=TRUE,0,S$3),IF(S$12&gt;$F14+1,RentalsVacates!R14*(1-IF(S$12-$F14&lt;=12,SUMIFS('Attrition Modeling'!$D:$D,'Attrition Modeling'!$B:$B,$E14,'Attrition Modeling'!$C:$C,S$11),VLOOKUP(RentalsVacates!S$12-RentalsVacates!$F14-1,RentalsVacates!$A$8:$C$162,2,FALSE)*VLOOKUP(S$11,'Attrition Modeling'!$L$15:$N$27,IF(S$12-$F14&lt;=24,2,3),FALSE))*(1+IF('Traditional Attrition'!S136&gt;0,'Attrition Modeling'!$N$9,0))),0))</f>
        <v>1010.8133180548305</v>
      </c>
      <c r="T14" s="799">
        <f>IF(T$12=$F14+1,IF(Monthly!P$4=TRUE,0,T$3),IF(T$12&gt;$F14+1,RentalsVacates!S14*(1-IF(T$12-$F14&lt;=12,SUMIFS('Attrition Modeling'!$D:$D,'Attrition Modeling'!$B:$B,$E14,'Attrition Modeling'!$C:$C,T$11),VLOOKUP(RentalsVacates!T$12-RentalsVacates!$F14-1,RentalsVacates!$A$8:$C$162,2,FALSE)*VLOOKUP(T$11,'Attrition Modeling'!$L$15:$N$27,IF(T$12-$F14&lt;=24,2,3),FALSE))*(1+IF('Traditional Attrition'!T136&gt;0,'Attrition Modeling'!$N$9,0))),0))</f>
        <v>984.89660031096321</v>
      </c>
      <c r="U14" s="799">
        <f>IF(U$12=$F14+1,IF(Monthly!Q$4=TRUE,0,U$3),IF(U$12&gt;$F14+1,RentalsVacates!T14*(1-IF(U$12-$F14&lt;=12,SUMIFS('Attrition Modeling'!$D:$D,'Attrition Modeling'!$B:$B,$E14,'Attrition Modeling'!$C:$C,U$11),VLOOKUP(RentalsVacates!U$12-RentalsVacates!$F14-1,RentalsVacates!$A$8:$C$162,2,FALSE)*VLOOKUP(U$11,'Attrition Modeling'!$L$15:$N$27,IF(U$12-$F14&lt;=24,2,3),FALSE))*(1+IF('Traditional Attrition'!U136&gt;0,'Attrition Modeling'!$N$9,0))),0))</f>
        <v>937.06445479818649</v>
      </c>
      <c r="V14" s="799">
        <f>IF(V$12=$F14+1,IF(Monthly!R$4=TRUE,0,V$3),IF(V$12&gt;$F14+1,RentalsVacates!U14*(1-IF(V$12-$F14&lt;=12,SUMIFS('Attrition Modeling'!$D:$D,'Attrition Modeling'!$B:$B,$E14,'Attrition Modeling'!$C:$C,V$11),VLOOKUP(RentalsVacates!V$12-RentalsVacates!$F14-1,RentalsVacates!$A$8:$C$162,2,FALSE)*VLOOKUP(V$11,'Attrition Modeling'!$L$15:$N$27,IF(V$12-$F14&lt;=24,2,3),FALSE))*(1+IF('Traditional Attrition'!V136&gt;0,'Attrition Modeling'!$N$9,0))),0))</f>
        <v>891.35141339557731</v>
      </c>
      <c r="W14" s="799">
        <f>IF(W$12=$F14+1,IF(Monthly!S$4=TRUE,0,W$3),IF(W$12&gt;$F14+1,RentalsVacates!V14*(1-IF(W$12-$F14&lt;=12,SUMIFS('Attrition Modeling'!$D:$D,'Attrition Modeling'!$B:$B,$E14,'Attrition Modeling'!$C:$C,W$11),VLOOKUP(RentalsVacates!W$12-RentalsVacates!$F14-1,RentalsVacates!$A$8:$C$162,2,FALSE)*VLOOKUP(W$11,'Attrition Modeling'!$L$15:$N$27,IF(W$12-$F14&lt;=24,2,3),FALSE))*(1+IF('Traditional Attrition'!W136&gt;0,'Attrition Modeling'!$N$9,0))),0))</f>
        <v>850.69118096275986</v>
      </c>
      <c r="X14" s="799">
        <f>IF(X$12=$F14+1,IF(Monthly!T$4=TRUE,0,X$3),IF(X$12&gt;$F14+1,RentalsVacates!W14*(1-IF(X$12-$F14&lt;=12,SUMIFS('Attrition Modeling'!$D:$D,'Attrition Modeling'!$B:$B,$E14,'Attrition Modeling'!$C:$C,X$11),VLOOKUP(RentalsVacates!X$12-RentalsVacates!$F14-1,RentalsVacates!$A$8:$C$162,2,FALSE)*VLOOKUP(X$11,'Attrition Modeling'!$L$15:$N$27,IF(X$12-$F14&lt;=24,2,3),FALSE))*(1+IF('Traditional Attrition'!X136&gt;0,'Attrition Modeling'!$N$9,0))),0))</f>
        <v>813.57028625857174</v>
      </c>
      <c r="Y14" s="799">
        <f>IF(Y$12=$F14+1,IF(Monthly!U$4=TRUE,0,Y$3),IF(Y$12&gt;$F14+1,RentalsVacates!X14*(1-IF(Y$12-$F14&lt;=12,SUMIFS('Attrition Modeling'!$D:$D,'Attrition Modeling'!$B:$B,$E14,'Attrition Modeling'!$C:$C,Y$11),VLOOKUP(RentalsVacates!Y$12-RentalsVacates!$F14-1,RentalsVacates!$A$8:$C$162,2,FALSE)*VLOOKUP(Y$11,'Attrition Modeling'!$L$15:$N$27,IF(Y$12-$F14&lt;=24,2,3),FALSE))*(1+IF('Traditional Attrition'!Y136&gt;0,'Attrition Modeling'!$N$9,0))),0))</f>
        <v>775.74083997638786</v>
      </c>
      <c r="Z14" s="799">
        <f>IF(Z$12=$F14+1,IF(Monthly!V$4=TRUE,0,Z$3),IF(Z$12&gt;$F14+1,RentalsVacates!Y14*(1-IF(Z$12-$F14&lt;=12,SUMIFS('Attrition Modeling'!$D:$D,'Attrition Modeling'!$B:$B,$E14,'Attrition Modeling'!$C:$C,Z$11),VLOOKUP(RentalsVacates!Z$12-RentalsVacates!$F14-1,RentalsVacates!$A$8:$C$162,2,FALSE)*VLOOKUP(Z$11,'Attrition Modeling'!$L$15:$N$27,IF(Z$12-$F14&lt;=24,2,3),FALSE))*(1+IF('Traditional Attrition'!Z136&gt;0,'Attrition Modeling'!$N$9,0))),0))</f>
        <v>732.52868033382128</v>
      </c>
      <c r="AA14" s="799">
        <f>IF(AA$12=$F14+1,IF(Monthly!W$4=TRUE,0,AA$3),IF(AA$12&gt;$F14+1,RentalsVacates!Z14*(1-IF(AA$12-$F14&lt;=12,SUMIFS('Attrition Modeling'!$D:$D,'Attrition Modeling'!$B:$B,$E14,'Attrition Modeling'!$C:$C,AA$11),VLOOKUP(RentalsVacates!AA$12-RentalsVacates!$F14-1,RentalsVacates!$A$8:$C$162,2,FALSE)*VLOOKUP(AA$11,'Attrition Modeling'!$L$15:$N$27,IF(AA$12-$F14&lt;=24,2,3),FALSE))*(1+IF('Traditional Attrition'!AA136&gt;0,'Attrition Modeling'!$N$9,0))),0))</f>
        <v>697.78266214781695</v>
      </c>
      <c r="AB14" s="799">
        <f>IF(AB$12=$F14+1,IF(Monthly!X$4=TRUE,0,AB$3),IF(AB$12&gt;$F14+1,RentalsVacates!AA14*(1-IF(AB$12-$F14&lt;=12,SUMIFS('Attrition Modeling'!$D:$D,'Attrition Modeling'!$B:$B,$E14,'Attrition Modeling'!$C:$C,AB$11),VLOOKUP(RentalsVacates!AB$12-RentalsVacates!$F14-1,RentalsVacates!$A$8:$C$162,2,FALSE)*VLOOKUP(AB$11,'Attrition Modeling'!$L$15:$N$27,IF(AB$12-$F14&lt;=24,2,3),FALSE))*(1+IF('Traditional Attrition'!AB136&gt;0,'Attrition Modeling'!$N$9,0))),0))</f>
        <v>668.17511027745331</v>
      </c>
      <c r="AC14" s="799">
        <f>IF(AC$12=$F14+1,IF(Monthly!Y$4=TRUE,0,AC$3),IF(AC$12&gt;$F14+1,RentalsVacates!AB14*(1-IF(AC$12-$F14&lt;=12,SUMIFS('Attrition Modeling'!$D:$D,'Attrition Modeling'!$B:$B,$E14,'Attrition Modeling'!$C:$C,AC$11),VLOOKUP(RentalsVacates!AC$12-RentalsVacates!$F14-1,RentalsVacates!$A$8:$C$162,2,FALSE)*VLOOKUP(AC$11,'Attrition Modeling'!$L$15:$N$27,IF(AC$12-$F14&lt;=24,2,3),FALSE))*(1+IF('Traditional Attrition'!AC136&gt;0,'Attrition Modeling'!$N$9,0))),0))</f>
        <v>639.66343933892813</v>
      </c>
      <c r="AD14" s="799">
        <f>IF(AD$12=$F14+1,IF(Monthly!Z$4=TRUE,0,AD$3),IF(AD$12&gt;$F14+1,RentalsVacates!AC14*(1-IF(AD$12-$F14&lt;=12,SUMIFS('Attrition Modeling'!$D:$D,'Attrition Modeling'!$B:$B,$E14,'Attrition Modeling'!$C:$C,AD$11),VLOOKUP(RentalsVacates!AD$12-RentalsVacates!$F14-1,RentalsVacates!$A$8:$C$162,2,FALSE)*VLOOKUP(AD$11,'Attrition Modeling'!$L$15:$N$27,IF(AD$12-$F14&lt;=24,2,3),FALSE))*(1+IF('Traditional Attrition'!AD136&gt;0,'Attrition Modeling'!$N$9,0))),0))</f>
        <v>613.81408562119384</v>
      </c>
      <c r="AE14" s="799">
        <f>IF(AE$12=$F14+1,IF(Monthly!AA$4=TRUE,0,AE$3),IF(AE$12&gt;$F14+1,RentalsVacates!AD14*(1-IF(AE$12-$F14&lt;=12,SUMIFS('Attrition Modeling'!$D:$D,'Attrition Modeling'!$B:$B,$E14,'Attrition Modeling'!$C:$C,AE$11),VLOOKUP(RentalsVacates!AE$12-RentalsVacates!$F14-1,RentalsVacates!$A$8:$C$162,2,FALSE)*VLOOKUP(AE$11,'Attrition Modeling'!$L$15:$N$27,IF(AE$12-$F14&lt;=24,2,3),FALSE))*(1+IF('Traditional Attrition'!AE136&gt;0,'Attrition Modeling'!$N$9,0))),0))</f>
        <v>589.62057120316399</v>
      </c>
      <c r="AF14" s="799">
        <f>IF(AF$12=$F14+1,IF(Monthly!AB$4=TRUE,0,AF$3),IF(AF$12&gt;$F14+1,RentalsVacates!AE14*(1-IF(AF$12-$F14&lt;=12,SUMIFS('Attrition Modeling'!$D:$D,'Attrition Modeling'!$B:$B,$E14,'Attrition Modeling'!$C:$C,AF$11),VLOOKUP(RentalsVacates!AF$12-RentalsVacates!$F14-1,RentalsVacates!$A$8:$C$162,2,FALSE)*VLOOKUP(AF$11,'Attrition Modeling'!$L$15:$N$27,IF(AF$12-$F14&lt;=24,2,3),FALSE))*(1+IF('Traditional Attrition'!AF136&gt;0,'Attrition Modeling'!$N$9,0))),0))</f>
        <v>566.66745723728093</v>
      </c>
      <c r="AG14" s="799">
        <f>IF(AG$12=$F14+1,IF(Monthly!AC$4=TRUE,0,AG$3),IF(AG$12&gt;$F14+1,RentalsVacates!AF14*(1-IF(AG$12-$F14&lt;=12,SUMIFS('Attrition Modeling'!$D:$D,'Attrition Modeling'!$B:$B,$E14,'Attrition Modeling'!$C:$C,AG$11),VLOOKUP(RentalsVacates!AG$12-RentalsVacates!$F14-1,RentalsVacates!$A$8:$C$162,2,FALSE)*VLOOKUP(AG$11,'Attrition Modeling'!$L$15:$N$27,IF(AG$12-$F14&lt;=24,2,3),FALSE))*(1+IF('Traditional Attrition'!AG136&gt;0,'Attrition Modeling'!$N$9,0))),0))</f>
        <v>546.90791166782185</v>
      </c>
      <c r="AH14" s="799">
        <f>IF(AH$12=$F14+1,IF(Monthly!AD$4=TRUE,0,AH$3),IF(AH$12&gt;$F14+1,RentalsVacates!AG14*(1-IF(AH$12-$F14&lt;=12,SUMIFS('Attrition Modeling'!$D:$D,'Attrition Modeling'!$B:$B,$E14,'Attrition Modeling'!$C:$C,AH$11),VLOOKUP(RentalsVacates!AH$12-RentalsVacates!$F14-1,RentalsVacates!$A$8:$C$162,2,FALSE)*VLOOKUP(AH$11,'Attrition Modeling'!$L$15:$N$27,IF(AH$12-$F14&lt;=24,2,3),FALSE))*(1+IF('Traditional Attrition'!AH136&gt;0,'Attrition Modeling'!$N$9,0))),0))</f>
        <v>528.89347098711289</v>
      </c>
      <c r="AI14" s="799">
        <f>IF(AI$12=$F14+1,IF(Monthly!AE$4=TRUE,0,AI$3),IF(AI$12&gt;$F14+1,RentalsVacates!AH14*(1-IF(AI$12-$F14&lt;=12,SUMIFS('Attrition Modeling'!$D:$D,'Attrition Modeling'!$B:$B,$E14,'Attrition Modeling'!$C:$C,AI$11),VLOOKUP(RentalsVacates!AI$12-RentalsVacates!$F14-1,RentalsVacates!$A$8:$C$162,2,FALSE)*VLOOKUP(AI$11,'Attrition Modeling'!$L$15:$N$27,IF(AI$12-$F14&lt;=24,2,3),FALSE))*(1+IF('Traditional Attrition'!AI136&gt;0,'Attrition Modeling'!$N$9,0))),0))</f>
        <v>515.22673523733226</v>
      </c>
      <c r="AJ14" s="799">
        <f>IF(AJ$12=$F14+1,IF(Monthly!AF$4=TRUE,0,AJ$3),IF(AJ$12&gt;$F14+1,RentalsVacates!AI14*(1-IF(AJ$12-$F14&lt;=12,SUMIFS('Attrition Modeling'!$D:$D,'Attrition Modeling'!$B:$B,$E14,'Attrition Modeling'!$C:$C,AJ$11),VLOOKUP(RentalsVacates!AJ$12-RentalsVacates!$F14-1,RentalsVacates!$A$8:$C$162,2,FALSE)*VLOOKUP(AJ$11,'Attrition Modeling'!$L$15:$N$27,IF(AJ$12-$F14&lt;=24,2,3),FALSE))*(1+IF('Traditional Attrition'!AJ136&gt;0,'Attrition Modeling'!$N$9,0))),0))</f>
        <v>499.36563120571168</v>
      </c>
      <c r="AK14" s="799">
        <f>IF(AK$12=$F14+1,IF(Monthly!AG$4=TRUE,0,AK$3),IF(AK$12&gt;$F14+1,RentalsVacates!AJ14*(1-IF(AK$12-$F14&lt;=12,SUMIFS('Attrition Modeling'!$D:$D,'Attrition Modeling'!$B:$B,$E14,'Attrition Modeling'!$C:$C,AK$11),VLOOKUP(RentalsVacates!AK$12-RentalsVacates!$F14-1,RentalsVacates!$A$8:$C$162,2,FALSE)*VLOOKUP(AK$11,'Attrition Modeling'!$L$15:$N$27,IF(AK$12-$F14&lt;=24,2,3),FALSE))*(1+IF('Traditional Attrition'!AK136&gt;0,'Attrition Modeling'!$N$9,0))),0))</f>
        <v>482.04611719963629</v>
      </c>
      <c r="AL14" s="799">
        <f>IF(AL$12=$F14+1,IF(Monthly!AH$4=TRUE,0,AL$3),IF(AL$12&gt;$F14+1,RentalsVacates!AK14*(1-IF(AL$12-$F14&lt;=12,SUMIFS('Attrition Modeling'!$D:$D,'Attrition Modeling'!$B:$B,$E14,'Attrition Modeling'!$C:$C,AL$11),VLOOKUP(RentalsVacates!AL$12-RentalsVacates!$F14-1,RentalsVacates!$A$8:$C$162,2,FALSE)*VLOOKUP(AL$11,'Attrition Modeling'!$L$15:$N$27,IF(AL$12-$F14&lt;=24,2,3),FALSE))*(1+IF('Traditional Attrition'!AL136&gt;0,'Attrition Modeling'!$N$9,0))),0))</f>
        <v>460.46134693677163</v>
      </c>
      <c r="AM14" s="799">
        <f>IF(AM$12=$F14+1,IF(Monthly!AI$4=TRUE,0,AM$3),IF(AM$12&gt;$F14+1,RentalsVacates!AL14*(1-IF(AM$12-$F14&lt;=12,SUMIFS('Attrition Modeling'!$D:$D,'Attrition Modeling'!$B:$B,$E14,'Attrition Modeling'!$C:$C,AM$11),VLOOKUP(RentalsVacates!AM$12-RentalsVacates!$F14-1,RentalsVacates!$A$8:$C$162,2,FALSE)*VLOOKUP(AM$11,'Attrition Modeling'!$L$15:$N$27,IF(AM$12-$F14&lt;=24,2,3),FALSE))*(1+IF('Traditional Attrition'!AM136&gt;0,'Attrition Modeling'!$N$9,0))),0))</f>
        <v>442.23620338372092</v>
      </c>
      <c r="AN14" s="799">
        <f>IF(AN$12=$F14+1,IF(Monthly!AJ$4=TRUE,0,AN$3),IF(AN$12&gt;$F14+1,RentalsVacates!AM14*(1-IF(AN$12-$F14&lt;=12,SUMIFS('Attrition Modeling'!$D:$D,'Attrition Modeling'!$B:$B,$E14,'Attrition Modeling'!$C:$C,AN$11),VLOOKUP(RentalsVacates!AN$12-RentalsVacates!$F14-1,RentalsVacates!$A$8:$C$162,2,FALSE)*VLOOKUP(AN$11,'Attrition Modeling'!$L$15:$N$27,IF(AN$12-$F14&lt;=24,2,3),FALSE))*(1+IF('Traditional Attrition'!AN136&gt;0,'Attrition Modeling'!$N$9,0))),0))</f>
        <v>425.9950540595591</v>
      </c>
      <c r="AO14" s="799">
        <f>IF(AO$12=$F14+1,IF(Monthly!AK$4=TRUE,0,AO$3),IF(AO$12&gt;$F14+1,RentalsVacates!AN14*(1-IF(AO$12-$F14&lt;=12,SUMIFS('Attrition Modeling'!$D:$D,'Attrition Modeling'!$B:$B,$E14,'Attrition Modeling'!$C:$C,AO$11),VLOOKUP(RentalsVacates!AO$12-RentalsVacates!$F14-1,RentalsVacates!$A$8:$C$162,2,FALSE)*VLOOKUP(AO$11,'Attrition Modeling'!$L$15:$N$27,IF(AO$12-$F14&lt;=24,2,3),FALSE))*(1+IF('Traditional Attrition'!AO136&gt;0,'Attrition Modeling'!$N$9,0))),0))</f>
        <v>411.06595251604665</v>
      </c>
      <c r="AP14" s="799">
        <f>IF(AP$12=$F14+1,IF(Monthly!AL$4=TRUE,0,AP$3),IF(AP$12&gt;$F14+1,RentalsVacates!AO14*(1-IF(AP$12-$F14&lt;=12,SUMIFS('Attrition Modeling'!$D:$D,'Attrition Modeling'!$B:$B,$E14,'Attrition Modeling'!$C:$C,AP$11),VLOOKUP(RentalsVacates!AP$12-RentalsVacates!$F14-1,RentalsVacates!$A$8:$C$162,2,FALSE)*VLOOKUP(AP$11,'Attrition Modeling'!$L$15:$N$27,IF(AP$12-$F14&lt;=24,2,3),FALSE))*(1+IF('Traditional Attrition'!AP136&gt;0,'Attrition Modeling'!$N$9,0))),0))</f>
        <v>397.14726194633698</v>
      </c>
      <c r="AQ14" s="799">
        <f>IF(AQ$12=$F14+1,IF(Monthly!AM$4=TRUE,0,AQ$3),IF(AQ$12&gt;$F14+1,RentalsVacates!AP14*(1-IF(AQ$12-$F14&lt;=12,SUMIFS('Attrition Modeling'!$D:$D,'Attrition Modeling'!$B:$B,$E14,'Attrition Modeling'!$C:$C,AQ$11),VLOOKUP(RentalsVacates!AQ$12-RentalsVacates!$F14-1,RentalsVacates!$A$8:$C$162,2,FALSE)*VLOOKUP(AQ$11,'Attrition Modeling'!$L$15:$N$27,IF(AQ$12-$F14&lt;=24,2,3),FALSE))*(1+IF('Traditional Attrition'!AQ136&gt;0,'Attrition Modeling'!$N$9,0))),0))</f>
        <v>386.1903306683318</v>
      </c>
      <c r="AR14" s="799">
        <f>IF(AR$12=$F14+1,IF(Monthly!AN$4=TRUE,0,AR$3),IF(AR$12&gt;$F14+1,RentalsVacates!AQ14*(1-IF(AR$12-$F14&lt;=12,SUMIFS('Attrition Modeling'!$D:$D,'Attrition Modeling'!$B:$B,$E14,'Attrition Modeling'!$C:$C,AR$11),VLOOKUP(RentalsVacates!AR$12-RentalsVacates!$F14-1,RentalsVacates!$A$8:$C$162,2,FALSE)*VLOOKUP(AR$11,'Attrition Modeling'!$L$15:$N$27,IF(AR$12-$F14&lt;=24,2,3),FALSE))*(1+IF('Traditional Attrition'!AR136&gt;0,'Attrition Modeling'!$N$9,0))),0))</f>
        <v>374.52470954845739</v>
      </c>
      <c r="AS14" s="799">
        <f>IF(AS$12=$F14+1,IF(Monthly!AO$4=TRUE,0,AS$3),IF(AS$12&gt;$F14+1,RentalsVacates!AR14*(1-IF(AS$12-$F14&lt;=12,SUMIFS('Attrition Modeling'!$D:$D,'Attrition Modeling'!$B:$B,$E14,'Attrition Modeling'!$C:$C,AS$11),VLOOKUP(RentalsVacates!AS$12-RentalsVacates!$F14-1,RentalsVacates!$A$8:$C$162,2,FALSE)*VLOOKUP(AS$11,'Attrition Modeling'!$L$15:$N$27,IF(AS$12-$F14&lt;=24,2,3),FALSE))*(1+IF('Traditional Attrition'!AS136&gt;0,'Attrition Modeling'!$N$9,0))),0))</f>
        <v>363.68511934413442</v>
      </c>
      <c r="AT14" s="799">
        <f>IF(AT$12=$F14+1,IF(Monthly!AP$4=TRUE,0,AT$3),IF(AT$12&gt;$F14+1,RentalsVacates!AS14*(1-IF(AT$12-$F14&lt;=12,SUMIFS('Attrition Modeling'!$D:$D,'Attrition Modeling'!$B:$B,$E14,'Attrition Modeling'!$C:$C,AT$11),VLOOKUP(RentalsVacates!AT$12-RentalsVacates!$F14-1,RentalsVacates!$A$8:$C$162,2,FALSE)*VLOOKUP(AT$11,'Attrition Modeling'!$L$15:$N$27,IF(AT$12-$F14&lt;=24,2,3),FALSE))*(1+IF('Traditional Attrition'!AT136&gt;0,'Attrition Modeling'!$N$9,0))),0))</f>
        <v>353.70902651096867</v>
      </c>
      <c r="AU14" s="799">
        <f>IF(AU$12=$F14+1,IF(Monthly!AQ$4=TRUE,0,AU$3),IF(AU$12&gt;$F14+1,RentalsVacates!AT14*(1-IF(AU$12-$F14&lt;=12,SUMIFS('Attrition Modeling'!$D:$D,'Attrition Modeling'!$B:$B,$E14,'Attrition Modeling'!$C:$C,AU$11),VLOOKUP(RentalsVacates!AU$12-RentalsVacates!$F14-1,RentalsVacates!$A$8:$C$162,2,FALSE)*VLOOKUP(AU$11,'Attrition Modeling'!$L$15:$N$27,IF(AU$12-$F14&lt;=24,2,3),FALSE))*(1+IF('Traditional Attrition'!AU136&gt;0,'Attrition Modeling'!$N$9,0))),0))</f>
        <v>346.07374641110027</v>
      </c>
      <c r="AV14" s="799">
        <f>IF(AV$12=$F14+1,IF(Monthly!AR$4=TRUE,0,AV$3),IF(AV$12&gt;$F14+1,RentalsVacates!AU14*(1-IF(AV$12-$F14&lt;=12,SUMIFS('Attrition Modeling'!$D:$D,'Attrition Modeling'!$B:$B,$E14,'Attrition Modeling'!$C:$C,AV$11),VLOOKUP(RentalsVacates!AV$12-RentalsVacates!$F14-1,RentalsVacates!$A$8:$C$162,2,FALSE)*VLOOKUP(AV$11,'Attrition Modeling'!$L$15:$N$27,IF(AV$12-$F14&lt;=24,2,3),FALSE))*(1+IF('Traditional Attrition'!AV136&gt;0,'Attrition Modeling'!$N$9,0))),0))</f>
        <v>337.14774431222838</v>
      </c>
      <c r="AW14" s="799">
        <f>IF(AW$12=$F14+1,IF(Monthly!AS$4=TRUE,0,AW$3),IF(AW$12&gt;$F14+1,RentalsVacates!AV14*(1-IF(AW$12-$F14&lt;=12,SUMIFS('Attrition Modeling'!$D:$D,'Attrition Modeling'!$B:$B,$E14,'Attrition Modeling'!$C:$C,AW$11),VLOOKUP(RentalsVacates!AW$12-RentalsVacates!$F14-1,RentalsVacates!$A$8:$C$162,2,FALSE)*VLOOKUP(AW$11,'Attrition Modeling'!$L$15:$N$27,IF(AW$12-$F14&lt;=24,2,3),FALSE))*(1+IF('Traditional Attrition'!AW136&gt;0,'Attrition Modeling'!$N$9,0))),0))</f>
        <v>327.32379891406163</v>
      </c>
      <c r="AX14" s="799">
        <f>IF(AX$12=$F14+1,IF(Monthly!AT$4=TRUE,0,AX$3),IF(AX$12&gt;$F14+1,RentalsVacates!AW14*(1-IF(AX$12-$F14&lt;=12,SUMIFS('Attrition Modeling'!$D:$D,'Attrition Modeling'!$B:$B,$E14,'Attrition Modeling'!$C:$C,AX$11),VLOOKUP(RentalsVacates!AX$12-RentalsVacates!$F14-1,RentalsVacates!$A$8:$C$162,2,FALSE)*VLOOKUP(AX$11,'Attrition Modeling'!$L$15:$N$27,IF(AX$12-$F14&lt;=24,2,3),FALSE))*(1+IF('Traditional Attrition'!AX136&gt;0,'Attrition Modeling'!$N$9,0))),0))</f>
        <v>314.97823675372581</v>
      </c>
      <c r="AY14" s="799">
        <f>IF(AY$12=$F14+1,IF(Monthly!AU$4=TRUE,0,AY$3),IF(AY$12&gt;$F14+1,RentalsVacates!AX14*(1-IF(AY$12-$F14&lt;=12,SUMIFS('Attrition Modeling'!$D:$D,'Attrition Modeling'!$B:$B,$E14,'Attrition Modeling'!$C:$C,AY$11),VLOOKUP(RentalsVacates!AY$12-RentalsVacates!$F14-1,RentalsVacates!$A$8:$C$162,2,FALSE)*VLOOKUP(AY$11,'Attrition Modeling'!$L$15:$N$27,IF(AY$12-$F14&lt;=24,2,3),FALSE))*(1+IF('Traditional Attrition'!AY136&gt;0,'Attrition Modeling'!$N$9,0))),0))</f>
        <v>304.4514789968718</v>
      </c>
      <c r="AZ14" s="799">
        <f>IF(AZ$12=$F14+1,IF(Monthly!AV$4=TRUE,0,AZ$3),IF(AZ$12&gt;$F14+1,RentalsVacates!AY14*(1-IF(AZ$12-$F14&lt;=12,SUMIFS('Attrition Modeling'!$D:$D,'Attrition Modeling'!$B:$B,$E14,'Attrition Modeling'!$C:$C,AZ$11),VLOOKUP(RentalsVacates!AZ$12-RentalsVacates!$F14-1,RentalsVacates!$A$8:$C$162,2,FALSE)*VLOOKUP(AZ$11,'Attrition Modeling'!$L$15:$N$27,IF(AZ$12-$F14&lt;=24,2,3),FALSE))*(1+IF('Traditional Attrition'!AZ136&gt;0,'Attrition Modeling'!$N$9,0))),0))</f>
        <v>294.98867813325381</v>
      </c>
      <c r="BA14" s="799">
        <f>IF(BA$12=$F14+1,IF(Monthly!AW$4=TRUE,0,BA$3),IF(BA$12&gt;$F14+1,RentalsVacates!AZ14*(1-IF(BA$12-$F14&lt;=12,SUMIFS('Attrition Modeling'!$D:$D,'Attrition Modeling'!$B:$B,$E14,'Attrition Modeling'!$C:$C,BA$11),VLOOKUP(RentalsVacates!BA$12-RentalsVacates!$F14-1,RentalsVacates!$A$8:$C$162,2,FALSE)*VLOOKUP(BA$11,'Attrition Modeling'!$L$15:$N$27,IF(BA$12-$F14&lt;=24,2,3),FALSE))*(1+IF('Traditional Attrition'!BA136&gt;0,'Attrition Modeling'!$N$9,0))),0))</f>
        <v>286.22024764616549</v>
      </c>
      <c r="BB14" s="799">
        <f>IF(BB$12=$F14+1,IF(Monthly!AX$4=TRUE,0,BB$3),IF(BB$12&gt;$F14+1,RentalsVacates!BA14*(1-IF(BB$12-$F14&lt;=12,SUMIFS('Attrition Modeling'!$D:$D,'Attrition Modeling'!$B:$B,$E14,'Attrition Modeling'!$C:$C,BB$11),VLOOKUP(RentalsVacates!BB$12-RentalsVacates!$F14-1,RentalsVacates!$A$8:$C$162,2,FALSE)*VLOOKUP(BB$11,'Attrition Modeling'!$L$15:$N$27,IF(BB$12-$F14&lt;=24,2,3),FALSE))*(1+IF('Traditional Attrition'!BB136&gt;0,'Attrition Modeling'!$N$9,0))),0))</f>
        <v>277.98318696368375</v>
      </c>
      <c r="BC14" s="799">
        <f>IF(BC$12=$F14+1,IF(Monthly!AY$4=TRUE,0,BC$3),IF(BC$12&gt;$F14+1,RentalsVacates!BB14*(1-IF(BC$12-$F14&lt;=12,SUMIFS('Attrition Modeling'!$D:$D,'Attrition Modeling'!$B:$B,$E14,'Attrition Modeling'!$C:$C,BC$11),VLOOKUP(RentalsVacates!BC$12-RentalsVacates!$F14-1,RentalsVacates!$A$8:$C$162,2,FALSE)*VLOOKUP(BC$11,'Attrition Modeling'!$L$15:$N$27,IF(BC$12-$F14&lt;=24,2,3),FALSE))*(1+IF('Traditional Attrition'!BC136&gt;0,'Attrition Modeling'!$N$9,0))),0))</f>
        <v>271.45200874211969</v>
      </c>
      <c r="BD14" s="799">
        <f>IF(BD$12=$F14+1,IF(Monthly!AZ$4=TRUE,0,BD$3),IF(BD$12&gt;$F14+1,RentalsVacates!BC14*(1-IF(BD$12-$F14&lt;=12,SUMIFS('Attrition Modeling'!$D:$D,'Attrition Modeling'!$B:$B,$E14,'Attrition Modeling'!$C:$C,BD$11),VLOOKUP(RentalsVacates!BD$12-RentalsVacates!$F14-1,RentalsVacates!$A$8:$C$162,2,FALSE)*VLOOKUP(BD$11,'Attrition Modeling'!$L$15:$N$27,IF(BD$12-$F14&lt;=24,2,3),FALSE))*(1+IF('Traditional Attrition'!BD136&gt;0,'Attrition Modeling'!$N$9,0))),0))</f>
        <v>264.45613494651582</v>
      </c>
      <c r="BE14" s="799">
        <f>IF(BE$12=$F14+1,IF(Monthly!BA$4=TRUE,0,BE$3),IF(BE$12&gt;$F14+1,RentalsVacates!BD14*(1-IF(BE$12-$F14&lt;=12,SUMIFS('Attrition Modeling'!$D:$D,'Attrition Modeling'!$B:$B,$E14,'Attrition Modeling'!$C:$C,BE$11),VLOOKUP(RentalsVacates!BE$12-RentalsVacates!$F14-1,RentalsVacates!$A$8:$C$162,2,FALSE)*VLOOKUP(BE$11,'Attrition Modeling'!$L$15:$N$27,IF(BE$12-$F14&lt;=24,2,3),FALSE))*(1+IF('Traditional Attrition'!BE136&gt;0,'Attrition Modeling'!$N$9,0))),0))</f>
        <v>257.95833294510601</v>
      </c>
      <c r="BF14" s="799">
        <f>IF(BF$12=$F14+1,IF(Monthly!BB$4=TRUE,0,BF$3),IF(BF$12&gt;$F14+1,RentalsVacates!BE14*(1-IF(BF$12-$F14&lt;=12,SUMIFS('Attrition Modeling'!$D:$D,'Attrition Modeling'!$B:$B,$E14,'Attrition Modeling'!$C:$C,BF$11),VLOOKUP(RentalsVacates!BF$12-RentalsVacates!$F14-1,RentalsVacates!$A$8:$C$162,2,FALSE)*VLOOKUP(BF$11,'Attrition Modeling'!$L$15:$N$27,IF(BF$12-$F14&lt;=24,2,3),FALSE))*(1+IF('Traditional Attrition'!BF136&gt;0,'Attrition Modeling'!$N$9,0))),0))</f>
        <v>251.94213282464827</v>
      </c>
      <c r="BG14" s="799">
        <f>IF(BG$12=$F14+1,IF(Monthly!BC$4=TRUE,0,BG$3),IF(BG$12&gt;$F14+1,RentalsVacates!BF14*(1-IF(BG$12-$F14&lt;=12,SUMIFS('Attrition Modeling'!$D:$D,'Attrition Modeling'!$B:$B,$E14,'Attrition Modeling'!$C:$C,BG$11),VLOOKUP(RentalsVacates!BG$12-RentalsVacates!$F14-1,RentalsVacates!$A$8:$C$162,2,FALSE)*VLOOKUP(BG$11,'Attrition Modeling'!$L$15:$N$27,IF(BG$12-$F14&lt;=24,2,3),FALSE))*(1+IF('Traditional Attrition'!BG136&gt;0,'Attrition Modeling'!$N$9,0))),0))</f>
        <v>247.31151843148464</v>
      </c>
      <c r="BH14" s="799">
        <f>IF(BH$12=$F14+1,IF(Monthly!BD$4=TRUE,0,BH$3),IF(BH$12&gt;$F14+1,RentalsVacates!BG14*(1-IF(BH$12-$F14&lt;=12,SUMIFS('Attrition Modeling'!$D:$D,'Attrition Modeling'!$B:$B,$E14,'Attrition Modeling'!$C:$C,BH$11),VLOOKUP(RentalsVacates!BH$12-RentalsVacates!$F14-1,RentalsVacates!$A$8:$C$162,2,FALSE)*VLOOKUP(BH$11,'Attrition Modeling'!$L$15:$N$27,IF(BH$12-$F14&lt;=24,2,3),FALSE))*(1+IF('Traditional Attrition'!BH136&gt;0,'Attrition Modeling'!$N$9,0))),0))</f>
        <v>241.87302046627565</v>
      </c>
      <c r="BI14" s="799">
        <f>IF(BI$12=$F14+1,IF(Monthly!BE$4=TRUE,0,BI$3),IF(BI$12&gt;$F14+1,RentalsVacates!BH14*(1-IF(BI$12-$F14&lt;=12,SUMIFS('Attrition Modeling'!$D:$D,'Attrition Modeling'!$B:$B,$E14,'Attrition Modeling'!$C:$C,BI$11),VLOOKUP(RentalsVacates!BI$12-RentalsVacates!$F14-1,RentalsVacates!$A$8:$C$162,2,FALSE)*VLOOKUP(BI$11,'Attrition Modeling'!$L$15:$N$27,IF(BI$12-$F14&lt;=24,2,3),FALSE))*(1+IF('Traditional Attrition'!BI136&gt;0,'Attrition Modeling'!$N$9,0))),0))</f>
        <v>235.85636968037377</v>
      </c>
      <c r="BJ14" s="799">
        <f>IF(BJ$12=$F14+1,IF(Monthly!BF$4=TRUE,0,BJ$3),IF(BJ$12&gt;$F14+1,RentalsVacates!BI14*(1-IF(BJ$12-$F14&lt;=12,SUMIFS('Attrition Modeling'!$D:$D,'Attrition Modeling'!$B:$B,$E14,'Attrition Modeling'!$C:$C,BJ$11),VLOOKUP(RentalsVacates!BJ$12-RentalsVacates!$F14-1,RentalsVacates!$A$8:$C$162,2,FALSE)*VLOOKUP(BJ$11,'Attrition Modeling'!$L$15:$N$27,IF(BJ$12-$F14&lt;=24,2,3),FALSE))*(1+IF('Traditional Attrition'!BJ136&gt;0,'Attrition Modeling'!$N$9,0))),0))</f>
        <v>228.25296841982066</v>
      </c>
      <c r="BK14" s="799">
        <f>IF(BK$12=$F14+1,IF(Monthly!BG$4=TRUE,0,BK$3),IF(BK$12&gt;$F14+1,RentalsVacates!BJ14*(1-IF(BK$12-$F14&lt;=12,SUMIFS('Attrition Modeling'!$D:$D,'Attrition Modeling'!$B:$B,$E14,'Attrition Modeling'!$C:$C,BK$11),VLOOKUP(RentalsVacates!BK$12-RentalsVacates!$F14-1,RentalsVacates!$A$8:$C$162,2,FALSE)*VLOOKUP(BK$11,'Attrition Modeling'!$L$15:$N$27,IF(BK$12-$F14&lt;=24,2,3),FALSE))*(1+IF('Traditional Attrition'!BK136&gt;0,'Attrition Modeling'!$N$9,0))),0))</f>
        <v>221.72535473738935</v>
      </c>
      <c r="BL14" s="799">
        <f>IF(BL$12=$F14+1,IF(Monthly!BH$4=TRUE,0,BL$3),IF(BL$12&gt;$F14+1,RentalsVacates!BK14*(1-IF(BL$12-$F14&lt;=12,SUMIFS('Attrition Modeling'!$D:$D,'Attrition Modeling'!$B:$B,$E14,'Attrition Modeling'!$C:$C,BL$11),VLOOKUP(RentalsVacates!BL$12-RentalsVacates!$F14-1,RentalsVacates!$A$8:$C$162,2,FALSE)*VLOOKUP(BL$11,'Attrition Modeling'!$L$15:$N$27,IF(BL$12-$F14&lt;=24,2,3),FALSE))*(1+IF('Traditional Attrition'!BL136&gt;0,'Attrition Modeling'!$N$9,0))),0))</f>
        <v>215.8218358918563</v>
      </c>
      <c r="BM14" s="799">
        <f>IF(BM$12=$F14+1,IF(Monthly!BI$4=TRUE,0,BM$3),IF(BM$12&gt;$F14+1,RentalsVacates!BL14*(1-IF(BM$12-$F14&lt;=12,SUMIFS('Attrition Modeling'!$D:$D,'Attrition Modeling'!$B:$B,$E14,'Attrition Modeling'!$C:$C,BM$11),VLOOKUP(RentalsVacates!BM$12-RentalsVacates!$F14-1,RentalsVacates!$A$8:$C$162,2,FALSE)*VLOOKUP(BM$11,'Attrition Modeling'!$L$15:$N$27,IF(BM$12-$F14&lt;=24,2,3),FALSE))*(1+IF('Traditional Attrition'!BM136&gt;0,'Attrition Modeling'!$N$9,0))),0))</f>
        <v>210.32072379485791</v>
      </c>
      <c r="BN14" s="799">
        <f>IF(BN$12=$F14+1,IF(Monthly!BJ$4=TRUE,0,BN$3),IF(BN$12&gt;$F14+1,RentalsVacates!BM14*(1-IF(BN$12-$F14&lt;=12,SUMIFS('Attrition Modeling'!$D:$D,'Attrition Modeling'!$B:$B,$E14,'Attrition Modeling'!$C:$C,BN$11),VLOOKUP(RentalsVacates!BN$12-RentalsVacates!$F14-1,RentalsVacates!$A$8:$C$162,2,FALSE)*VLOOKUP(BN$11,'Attrition Modeling'!$L$15:$N$27,IF(BN$12-$F14&lt;=24,2,3),FALSE))*(1+IF('Traditional Attrition'!BN136&gt;0,'Attrition Modeling'!$N$9,0))),0))</f>
        <v>205.125394759687</v>
      </c>
      <c r="BO14" s="799">
        <f>IF(BO$12=$F14+1,IF(Monthly!BK$4=TRUE,0,BO$3),IF(BO$12&gt;$F14+1,RentalsVacates!BN14*(1-IF(BO$12-$F14&lt;=12,SUMIFS('Attrition Modeling'!$D:$D,'Attrition Modeling'!$B:$B,$E14,'Attrition Modeling'!$C:$C,BO$11),VLOOKUP(RentalsVacates!BO$12-RentalsVacates!$F14-1,RentalsVacates!$A$8:$C$162,2,FALSE)*VLOOKUP(BO$11,'Attrition Modeling'!$L$15:$N$27,IF(BO$12-$F14&lt;=24,2,3),FALSE))*(1+IF('Traditional Attrition'!BO136&gt;0,'Attrition Modeling'!$N$9,0))),0))</f>
        <v>200.98493021423235</v>
      </c>
      <c r="BP14" s="799">
        <f>IF(BP$12=$F14+1,IF(Monthly!BL$4=TRUE,0,BP$3),IF(BP$12&gt;$F14+1,RentalsVacates!BO14*(1-IF(BP$12-$F14&lt;=12,SUMIFS('Attrition Modeling'!$D:$D,'Attrition Modeling'!$B:$B,$E14,'Attrition Modeling'!$C:$C,BP$11),VLOOKUP(RentalsVacates!BP$12-RentalsVacates!$F14-1,RentalsVacates!$A$8:$C$162,2,FALSE)*VLOOKUP(BP$11,'Attrition Modeling'!$L$15:$N$27,IF(BP$12-$F14&lt;=24,2,3),FALSE))*(1+IF('Traditional Attrition'!BP136&gt;0,'Attrition Modeling'!$N$9,0))),0))</f>
        <v>196.53098586005231</v>
      </c>
      <c r="BQ14" s="799">
        <f>IF(BQ$12=$F14+1,IF(Monthly!BM$4=TRUE,0,BQ$3),IF(BQ$12&gt;$F14+1,RentalsVacates!BP14*(1-IF(BQ$12-$F14&lt;=12,SUMIFS('Attrition Modeling'!$D:$D,'Attrition Modeling'!$B:$B,$E14,'Attrition Modeling'!$C:$C,BQ$11),VLOOKUP(RentalsVacates!BQ$12-RentalsVacates!$F14-1,RentalsVacates!$A$8:$C$162,2,FALSE)*VLOOKUP(BQ$11,'Attrition Modeling'!$L$15:$N$27,IF(BQ$12-$F14&lt;=24,2,3),FALSE))*(1+IF('Traditional Attrition'!BQ136&gt;0,'Attrition Modeling'!$N$9,0))),0))</f>
        <v>192.34729937238848</v>
      </c>
      <c r="BR14" s="799">
        <f>IF(BR$12=$F14+1,IF(Monthly!BN$4=TRUE,0,BR$3),IF(BR$12&gt;$F14+1,RentalsVacates!BQ14*(1-IF(BR$12-$F14&lt;=12,SUMIFS('Attrition Modeling'!$D:$D,'Attrition Modeling'!$B:$B,$E14,'Attrition Modeling'!$C:$C,BR$11),VLOOKUP(RentalsVacates!BR$12-RentalsVacates!$F14-1,RentalsVacates!$A$8:$C$162,2,FALSE)*VLOOKUP(BR$11,'Attrition Modeling'!$L$15:$N$27,IF(BR$12-$F14&lt;=24,2,3),FALSE))*(1+IF('Traditional Attrition'!BR136&gt;0,'Attrition Modeling'!$N$9,0))),0))</f>
        <v>188.45703058662161</v>
      </c>
      <c r="BS14" s="799">
        <f>IF(BS$12=$F14+1,IF(Monthly!BO$4=TRUE,0,BS$3),IF(BS$12&gt;$F14+1,RentalsVacates!BR14*(1-IF(BS$12-$F14&lt;=12,SUMIFS('Attrition Modeling'!$D:$D,'Attrition Modeling'!$B:$B,$E14,'Attrition Modeling'!$C:$C,BS$11),VLOOKUP(RentalsVacates!BS$12-RentalsVacates!$F14-1,RentalsVacates!$A$8:$C$162,2,FALSE)*VLOOKUP(BS$11,'Attrition Modeling'!$L$15:$N$27,IF(BS$12-$F14&lt;=24,2,3),FALSE))*(1+IF('Traditional Attrition'!BS136&gt;0,'Attrition Modeling'!$N$9,0))),0))</f>
        <v>185.45055374529363</v>
      </c>
      <c r="BT14" s="799">
        <f>IF(BT$11=$F13+1,IF(Monthly!#REF!=TRUE,0,BT$3),IF(BT$11&gt;$F13+1,RentalsVacates!BS13*(1-IF(BT$11-$F13&lt;=12,SUMIFS('Attrition Modeling'!$D:$D,'Attrition Modeling'!$B:$B,$E13,'Attrition Modeling'!$C:$C,BT$10),VLOOKUP(RentalsVacates!BT$11-RentalsVacates!$F13-1,RentalsVacates!$A$7:$C$161,2,FALSE)*VLOOKUP(BT$10,'Attrition Modeling'!$L$15:$N$27,IF(BT$11-$F13&lt;=24,2,3),FALSE))*(1+IF('Traditional Attrition'!BT136&gt;0,'Attrition Modeling'!$N$9,0))),0))</f>
        <v>426.28146600284987</v>
      </c>
      <c r="BU14" s="799" t="e">
        <f>IF(BU$11=$F13+1,IF(Monthly!#REF!=TRUE,0,BU$3),IF(BU$11&gt;$F13+1,RentalsVacates!BT13*(1-IF(BU$11-$F13&lt;=12,SUMIFS('Attrition Modeling'!$D:$D,'Attrition Modeling'!$B:$B,$E13,'Attrition Modeling'!$C:$C,BU$10),VLOOKUP(RentalsVacates!BU$11-RentalsVacates!$F13-1,RentalsVacates!$A$7:$C$161,2,FALSE)*VLOOKUP(BU$10,'Attrition Modeling'!$L$15:$N$27,IF(BU$11-$F13&lt;=24,2,3),FALSE))*(1+IF('Traditional Attrition'!BU136&gt;0,'Attrition Modeling'!$N$9,0))),0))</f>
        <v>#VALUE!</v>
      </c>
    </row>
    <row r="15" spans="1:73" ht="14.25" customHeight="1" x14ac:dyDescent="0.2">
      <c r="A15" s="9">
        <v>7</v>
      </c>
      <c r="B15" s="25" t="e">
        <f>'Attrition Modeling'!H11*(1-Summary!$C$20)</f>
        <v>#DIV/0!</v>
      </c>
      <c r="C15" s="24" t="e">
        <f t="shared" si="2"/>
        <v>#DIV/0!</v>
      </c>
      <c r="E15" s="11">
        <f>'Traditional Attrition'!E72</f>
        <v>2</v>
      </c>
      <c r="F15" s="11">
        <f t="shared" si="4"/>
        <v>2</v>
      </c>
      <c r="G15" s="799"/>
      <c r="H15" s="799">
        <f>IF(H$12=$F15+1,IF(Monthly!D$4=TRUE,0,H$3),IF(H$12&gt;$F15+1,RentalsVacates!G15*(1-IF(H$12-$F15&lt;=12,SUMIFS('Attrition Modeling'!$D:$D,'Attrition Modeling'!$B:$B,$E15,'Attrition Modeling'!$C:$C,H$11),VLOOKUP(RentalsVacates!H$12-RentalsVacates!$F15-1,RentalsVacates!$A$8:$C$162,2,FALSE)*VLOOKUP(H$11,'Attrition Modeling'!$L$15:$N$27,IF(H$12-$F15&lt;=24,2,3),FALSE))*(1+IF('Traditional Attrition'!H137&gt;0,'Attrition Modeling'!$N$9,0))),0))</f>
        <v>0</v>
      </c>
      <c r="I15" s="799">
        <f>IF(I$12=$F15+1,IF(Monthly!E$4=TRUE,0,I$3),IF(I$12&gt;$F15+1,RentalsVacates!H15*(1-IF(I$12-$F15&lt;=12,SUMIFS('Attrition Modeling'!$D:$D,'Attrition Modeling'!$B:$B,$E15,'Attrition Modeling'!$C:$C,I$11),VLOOKUP(RentalsVacates!I$12-RentalsVacates!$F15-1,RentalsVacates!$A$8:$C$162,2,FALSE)*VLOOKUP(I$11,'Attrition Modeling'!$L$15:$N$27,IF(I$12-$F15&lt;=24,2,3),FALSE))*(1+IF('Traditional Attrition'!I137&gt;0,'Attrition Modeling'!$N$9,0))),0))</f>
        <v>0</v>
      </c>
      <c r="J15" s="799">
        <f>IF(J$12=$F15+1,IF(Monthly!F$4=TRUE,0,J$3),IF(J$12&gt;$F15+1,RentalsVacates!I15*(1-IF(J$12-$F15&lt;=12,SUMIFS('Attrition Modeling'!$D:$D,'Attrition Modeling'!$B:$B,$E15,'Attrition Modeling'!$C:$C,J$11),VLOOKUP(RentalsVacates!J$12-RentalsVacates!$F15-1,RentalsVacates!$A$8:$C$162,2,FALSE)*VLOOKUP(J$11,'Attrition Modeling'!$L$15:$N$27,IF(J$12-$F15&lt;=24,2,3),FALSE))*(1+IF('Traditional Attrition'!J137&gt;0,'Attrition Modeling'!$N$9,0))),0))</f>
        <v>3373.7973669296325</v>
      </c>
      <c r="K15" s="799">
        <f>IF(K$12=$F15+1,IF(Monthly!G$4=TRUE,0,K$3),IF(K$12&gt;$F15+1,RentalsVacates!J15*(1-IF(K$12-$F15&lt;=12,SUMIFS('Attrition Modeling'!$D:$D,'Attrition Modeling'!$B:$B,$E15,'Attrition Modeling'!$C:$C,K$11),VLOOKUP(RentalsVacates!K$12-RentalsVacates!$F15-1,RentalsVacates!$A$8:$C$162,2,FALSE)*VLOOKUP(K$11,'Attrition Modeling'!$L$15:$N$27,IF(K$12-$F15&lt;=24,2,3),FALSE))*(1+IF('Traditional Attrition'!K137&gt;0,'Attrition Modeling'!$N$9,0))),0))</f>
        <v>3045.2036733396271</v>
      </c>
      <c r="L15" s="799">
        <f>IF(L$12=$F15+1,IF(Monthly!H$4=TRUE,0,L$3),IF(L$12&gt;$F15+1,RentalsVacates!K15*(1-IF(L$12-$F15&lt;=12,SUMIFS('Attrition Modeling'!$D:$D,'Attrition Modeling'!$B:$B,$E15,'Attrition Modeling'!$C:$C,L$11),VLOOKUP(RentalsVacates!L$12-RentalsVacates!$F15-1,RentalsVacates!$A$8:$C$162,2,FALSE)*VLOOKUP(L$11,'Attrition Modeling'!$L$15:$N$27,IF(L$12-$F15&lt;=24,2,3),FALSE))*(1+IF('Traditional Attrition'!L137&gt;0,'Attrition Modeling'!$N$9,0))),0))</f>
        <v>2785.4054107686238</v>
      </c>
      <c r="M15" s="799">
        <f>IF(M$12=$F15+1,IF(Monthly!I$4=TRUE,0,M$3),IF(M$12&gt;$F15+1,RentalsVacates!L15*(1-IF(M$12-$F15&lt;=12,SUMIFS('Attrition Modeling'!$D:$D,'Attrition Modeling'!$B:$B,$E15,'Attrition Modeling'!$C:$C,M$11),VLOOKUP(RentalsVacates!M$12-RentalsVacates!$F15-1,RentalsVacates!$A$8:$C$162,2,FALSE)*VLOOKUP(M$11,'Attrition Modeling'!$L$15:$N$27,IF(M$12-$F15&lt;=24,2,3),FALSE))*(1+IF('Traditional Attrition'!M137&gt;0,'Attrition Modeling'!$N$9,0))),0))</f>
        <v>2526.5667942215891</v>
      </c>
      <c r="N15" s="799">
        <f>IF(N$12=$F15+1,IF(Monthly!J$4=TRUE,0,N$3),IF(N$12&gt;$F15+1,RentalsVacates!M15*(1-IF(N$12-$F15&lt;=12,SUMIFS('Attrition Modeling'!$D:$D,'Attrition Modeling'!$B:$B,$E15,'Attrition Modeling'!$C:$C,N$11),VLOOKUP(RentalsVacates!N$12-RentalsVacates!$F15-1,RentalsVacates!$A$8:$C$162,2,FALSE)*VLOOKUP(N$11,'Attrition Modeling'!$L$15:$N$27,IF(N$12-$F15&lt;=24,2,3),FALSE))*(1+IF('Traditional Attrition'!N137&gt;0,'Attrition Modeling'!$N$9,0))),0))</f>
        <v>2321.3274571099837</v>
      </c>
      <c r="O15" s="799">
        <f>IF(O$12=$F15+1,IF(Monthly!K$4=TRUE,0,O$3),IF(O$12&gt;$F15+1,RentalsVacates!N15*(1-IF(O$12-$F15&lt;=12,SUMIFS('Attrition Modeling'!$D:$D,'Attrition Modeling'!$B:$B,$E15,'Attrition Modeling'!$C:$C,O$11),VLOOKUP(RentalsVacates!O$12-RentalsVacates!$F15-1,RentalsVacates!$A$8:$C$162,2,FALSE)*VLOOKUP(O$11,'Attrition Modeling'!$L$15:$N$27,IF(O$12-$F15&lt;=24,2,3),FALSE))*(1+IF('Traditional Attrition'!O137&gt;0,'Attrition Modeling'!$N$9,0))),0))</f>
        <v>2087.043797233157</v>
      </c>
      <c r="P15" s="799">
        <f>IF(P$12=$F15+1,IF(Monthly!L$4=TRUE,0,P$3),IF(P$12&gt;$F15+1,RentalsVacates!O15*(1-IF(P$12-$F15&lt;=12,SUMIFS('Attrition Modeling'!$D:$D,'Attrition Modeling'!$B:$B,$E15,'Attrition Modeling'!$C:$C,P$11),VLOOKUP(RentalsVacates!P$12-RentalsVacates!$F15-1,RentalsVacates!$A$8:$C$162,2,FALSE)*VLOOKUP(P$11,'Attrition Modeling'!$L$15:$N$27,IF(P$12-$F15&lt;=24,2,3),FALSE))*(1+IF('Traditional Attrition'!P137&gt;0,'Attrition Modeling'!$N$9,0))),0))</f>
        <v>1929.544223127876</v>
      </c>
      <c r="Q15" s="799">
        <f>IF(Q$12=$F15+1,IF(Monthly!M$4=TRUE,0,Q$3),IF(Q$12&gt;$F15+1,RentalsVacates!P15*(1-IF(Q$12-$F15&lt;=12,SUMIFS('Attrition Modeling'!$D:$D,'Attrition Modeling'!$B:$B,$E15,'Attrition Modeling'!$C:$C,Q$11),VLOOKUP(RentalsVacates!Q$12-RentalsVacates!$F15-1,RentalsVacates!$A$8:$C$162,2,FALSE)*VLOOKUP(Q$11,'Attrition Modeling'!$L$15:$N$27,IF(Q$12-$F15&lt;=24,2,3),FALSE))*(1+IF('Traditional Attrition'!Q137&gt;0,'Attrition Modeling'!$N$9,0))),0))</f>
        <v>1794.3458253875369</v>
      </c>
      <c r="R15" s="799">
        <f>IF(R$12=$F15+1,IF(Monthly!N$4=TRUE,0,R$3),IF(R$12&gt;$F15+1,RentalsVacates!Q15*(1-IF(R$12-$F15&lt;=12,SUMIFS('Attrition Modeling'!$D:$D,'Attrition Modeling'!$B:$B,$E15,'Attrition Modeling'!$C:$C,R$11),VLOOKUP(RentalsVacates!R$12-RentalsVacates!$F15-1,RentalsVacates!$A$8:$C$162,2,FALSE)*VLOOKUP(R$11,'Attrition Modeling'!$L$15:$N$27,IF(R$12-$F15&lt;=24,2,3),FALSE))*(1+IF('Traditional Attrition'!R137&gt;0,'Attrition Modeling'!$N$9,0))),0))</f>
        <v>1675.1727683700974</v>
      </c>
      <c r="S15" s="799">
        <f>IF(S$12=$F15+1,IF(Monthly!O$4=TRUE,0,S$3),IF(S$12&gt;$F15+1,RentalsVacates!R15*(1-IF(S$12-$F15&lt;=12,SUMIFS('Attrition Modeling'!$D:$D,'Attrition Modeling'!$B:$B,$E15,'Attrition Modeling'!$C:$C,S$11),VLOOKUP(RentalsVacates!S$12-RentalsVacates!$F15-1,RentalsVacates!$A$8:$C$162,2,FALSE)*VLOOKUP(S$11,'Attrition Modeling'!$L$15:$N$27,IF(S$12-$F15&lt;=24,2,3),FALSE))*(1+IF('Traditional Attrition'!S137&gt;0,'Attrition Modeling'!$N$9,0))),0))</f>
        <v>1571.013323171368</v>
      </c>
      <c r="T15" s="799">
        <f>IF(T$12=$F15+1,IF(Monthly!P$4=TRUE,0,T$3),IF(T$12&gt;$F15+1,RentalsVacates!S15*(1-IF(T$12-$F15&lt;=12,SUMIFS('Attrition Modeling'!$D:$D,'Attrition Modeling'!$B:$B,$E15,'Attrition Modeling'!$C:$C,T$11),VLOOKUP(RentalsVacates!T$12-RentalsVacates!$F15-1,RentalsVacates!$A$8:$C$162,2,FALSE)*VLOOKUP(T$11,'Attrition Modeling'!$L$15:$N$27,IF(T$12-$F15&lt;=24,2,3),FALSE))*(1+IF('Traditional Attrition'!T137&gt;0,'Attrition Modeling'!$N$9,0))),0))</f>
        <v>1481.9604800777986</v>
      </c>
      <c r="U15" s="799">
        <f>IF(U$12=$F15+1,IF(Monthly!Q$4=TRUE,0,U$3),IF(U$12&gt;$F15+1,RentalsVacates!T15*(1-IF(U$12-$F15&lt;=12,SUMIFS('Attrition Modeling'!$D:$D,'Attrition Modeling'!$B:$B,$E15,'Attrition Modeling'!$C:$C,U$11),VLOOKUP(RentalsVacates!U$12-RentalsVacates!$F15-1,RentalsVacates!$A$8:$C$162,2,FALSE)*VLOOKUP(U$11,'Attrition Modeling'!$L$15:$N$27,IF(U$12-$F15&lt;=24,2,3),FALSE))*(1+IF('Traditional Attrition'!U137&gt;0,'Attrition Modeling'!$N$9,0))),0))</f>
        <v>1445.4443662448848</v>
      </c>
      <c r="V15" s="799">
        <f>IF(V$12=$F15+1,IF(Monthly!R$4=TRUE,0,V$3),IF(V$12&gt;$F15+1,RentalsVacates!U15*(1-IF(V$12-$F15&lt;=12,SUMIFS('Attrition Modeling'!$D:$D,'Attrition Modeling'!$B:$B,$E15,'Attrition Modeling'!$C:$C,V$11),VLOOKUP(RentalsVacates!V$12-RentalsVacates!$F15-1,RentalsVacates!$A$8:$C$162,2,FALSE)*VLOOKUP(V$11,'Attrition Modeling'!$L$15:$N$27,IF(V$12-$F15&lt;=24,2,3),FALSE))*(1+IF('Traditional Attrition'!V137&gt;0,'Attrition Modeling'!$N$9,0))),0))</f>
        <v>1369.0285532859259</v>
      </c>
      <c r="W15" s="799">
        <f>IF(W$12=$F15+1,IF(Monthly!S$4=TRUE,0,W$3),IF(W$12&gt;$F15+1,RentalsVacates!V15*(1-IF(W$12-$F15&lt;=12,SUMIFS('Attrition Modeling'!$D:$D,'Attrition Modeling'!$B:$B,$E15,'Attrition Modeling'!$C:$C,W$11),VLOOKUP(RentalsVacates!W$12-RentalsVacates!$F15-1,RentalsVacates!$A$8:$C$162,2,FALSE)*VLOOKUP(W$11,'Attrition Modeling'!$L$15:$N$27,IF(W$12-$F15&lt;=24,2,3),FALSE))*(1+IF('Traditional Attrition'!W137&gt;0,'Attrition Modeling'!$N$9,0))),0))</f>
        <v>1303.3631426736001</v>
      </c>
      <c r="X15" s="799">
        <f>IF(X$12=$F15+1,IF(Monthly!T$4=TRUE,0,X$3),IF(X$12&gt;$F15+1,RentalsVacates!W15*(1-IF(X$12-$F15&lt;=12,SUMIFS('Attrition Modeling'!$D:$D,'Attrition Modeling'!$B:$B,$E15,'Attrition Modeling'!$C:$C,X$11),VLOOKUP(RentalsVacates!X$12-RentalsVacates!$F15-1,RentalsVacates!$A$8:$C$162,2,FALSE)*VLOOKUP(X$11,'Attrition Modeling'!$L$15:$N$27,IF(X$12-$F15&lt;=24,2,3),FALSE))*(1+IF('Traditional Attrition'!X137&gt;0,'Attrition Modeling'!$N$9,0))),0))</f>
        <v>1244.3330431597881</v>
      </c>
      <c r="Y15" s="799">
        <f>IF(Y$12=$F15+1,IF(Monthly!U$4=TRUE,0,Y$3),IF(Y$12&gt;$F15+1,RentalsVacates!X15*(1-IF(Y$12-$F15&lt;=12,SUMIFS('Attrition Modeling'!$D:$D,'Attrition Modeling'!$B:$B,$E15,'Attrition Modeling'!$C:$C,Y$11),VLOOKUP(RentalsVacates!Y$12-RentalsVacates!$F15-1,RentalsVacates!$A$8:$C$162,2,FALSE)*VLOOKUP(Y$11,'Attrition Modeling'!$L$15:$N$27,IF(Y$12-$F15&lt;=24,2,3),FALSE))*(1+IF('Traditional Attrition'!Y137&gt;0,'Attrition Modeling'!$N$9,0))),0))</f>
        <v>1184.7208398512275</v>
      </c>
      <c r="Z15" s="799">
        <f>IF(Z$12=$F15+1,IF(Monthly!V$4=TRUE,0,Z$3),IF(Z$12&gt;$F15+1,RentalsVacates!Y15*(1-IF(Z$12-$F15&lt;=12,SUMIFS('Attrition Modeling'!$D:$D,'Attrition Modeling'!$B:$B,$E15,'Attrition Modeling'!$C:$C,Z$11),VLOOKUP(RentalsVacates!Z$12-RentalsVacates!$F15-1,RentalsVacates!$A$8:$C$162,2,FALSE)*VLOOKUP(Z$11,'Attrition Modeling'!$L$15:$N$27,IF(Z$12-$F15&lt;=24,2,3),FALSE))*(1+IF('Traditional Attrition'!Z137&gt;0,'Attrition Modeling'!$N$9,0))),0))</f>
        <v>1128.3296632907197</v>
      </c>
      <c r="AA15" s="799">
        <f>IF(AA$12=$F15+1,IF(Monthly!W$4=TRUE,0,AA$3),IF(AA$12&gt;$F15+1,RentalsVacates!Z15*(1-IF(AA$12-$F15&lt;=12,SUMIFS('Attrition Modeling'!$D:$D,'Attrition Modeling'!$B:$B,$E15,'Attrition Modeling'!$C:$C,AA$11),VLOOKUP(RentalsVacates!AA$12-RentalsVacates!$F15-1,RentalsVacates!$A$8:$C$162,2,FALSE)*VLOOKUP(AA$11,'Attrition Modeling'!$L$15:$N$27,IF(AA$12-$F15&lt;=24,2,3),FALSE))*(1+IF('Traditional Attrition'!AA137&gt;0,'Attrition Modeling'!$N$9,0))),0))</f>
        <v>1062.6969484747726</v>
      </c>
      <c r="AB15" s="799">
        <f>IF(AB$12=$F15+1,IF(Monthly!X$4=TRUE,0,AB$3),IF(AB$12&gt;$F15+1,RentalsVacates!AA15*(1-IF(AB$12-$F15&lt;=12,SUMIFS('Attrition Modeling'!$D:$D,'Attrition Modeling'!$B:$B,$E15,'Attrition Modeling'!$C:$C,AB$11),VLOOKUP(RentalsVacates!AB$12-RentalsVacates!$F15-1,RentalsVacates!$A$8:$C$162,2,FALSE)*VLOOKUP(AB$11,'Attrition Modeling'!$L$15:$N$27,IF(AB$12-$F15&lt;=24,2,3),FALSE))*(1+IF('Traditional Attrition'!AB137&gt;0,'Attrition Modeling'!$N$9,0))),0))</f>
        <v>1016.7324352304801</v>
      </c>
      <c r="AC15" s="799">
        <f>IF(AC$12=$F15+1,IF(Monthly!Y$4=TRUE,0,AC$3),IF(AC$12&gt;$F15+1,RentalsVacates!AB15*(1-IF(AC$12-$F15&lt;=12,SUMIFS('Attrition Modeling'!$D:$D,'Attrition Modeling'!$B:$B,$E15,'Attrition Modeling'!$C:$C,AC$11),VLOOKUP(RentalsVacates!AC$12-RentalsVacates!$F15-1,RentalsVacates!$A$8:$C$162,2,FALSE)*VLOOKUP(AC$11,'Attrition Modeling'!$L$15:$N$27,IF(AC$12-$F15&lt;=24,2,3),FALSE))*(1+IF('Traditional Attrition'!AC137&gt;0,'Attrition Modeling'!$N$9,0))),0))</f>
        <v>972.59343677890593</v>
      </c>
      <c r="AD15" s="799">
        <f>IF(AD$12=$F15+1,IF(Monthly!Z$4=TRUE,0,AD$3),IF(AD$12&gt;$F15+1,RentalsVacates!AC15*(1-IF(AD$12-$F15&lt;=12,SUMIFS('Attrition Modeling'!$D:$D,'Attrition Modeling'!$B:$B,$E15,'Attrition Modeling'!$C:$C,AD$11),VLOOKUP(RentalsVacates!AD$12-RentalsVacates!$F15-1,RentalsVacates!$A$8:$C$162,2,FALSE)*VLOOKUP(AD$11,'Attrition Modeling'!$L$15:$N$27,IF(AD$12-$F15&lt;=24,2,3),FALSE))*(1+IF('Traditional Attrition'!AD137&gt;0,'Attrition Modeling'!$N$9,0))),0))</f>
        <v>932.66937775881433</v>
      </c>
      <c r="AE15" s="799">
        <f>IF(AE$12=$F15+1,IF(Monthly!AA$4=TRUE,0,AE$3),IF(AE$12&gt;$F15+1,RentalsVacates!AD15*(1-IF(AE$12-$F15&lt;=12,SUMIFS('Attrition Modeling'!$D:$D,'Attrition Modeling'!$B:$B,$E15,'Attrition Modeling'!$C:$C,AE$11),VLOOKUP(RentalsVacates!AE$12-RentalsVacates!$F15-1,RentalsVacates!$A$8:$C$162,2,FALSE)*VLOOKUP(AE$11,'Attrition Modeling'!$L$15:$N$27,IF(AE$12-$F15&lt;=24,2,3),FALSE))*(1+IF('Traditional Attrition'!AE137&gt;0,'Attrition Modeling'!$N$9,0))),0))</f>
        <v>895.37536584605334</v>
      </c>
      <c r="AF15" s="799">
        <f>IF(AF$12=$F15+1,IF(Monthly!AB$4=TRUE,0,AF$3),IF(AF$12&gt;$F15+1,RentalsVacates!AE15*(1-IF(AF$12-$F15&lt;=12,SUMIFS('Attrition Modeling'!$D:$D,'Attrition Modeling'!$B:$B,$E15,'Attrition Modeling'!$C:$C,AF$11),VLOOKUP(RentalsVacates!AF$12-RentalsVacates!$F15-1,RentalsVacates!$A$8:$C$162,2,FALSE)*VLOOKUP(AF$11,'Attrition Modeling'!$L$15:$N$27,IF(AF$12-$F15&lt;=24,2,3),FALSE))*(1+IF('Traditional Attrition'!AF137&gt;0,'Attrition Modeling'!$N$9,0))),0))</f>
        <v>860.05226092231646</v>
      </c>
      <c r="AG15" s="799">
        <f>IF(AG$12=$F15+1,IF(Monthly!AC$4=TRUE,0,AG$3),IF(AG$12&gt;$F15+1,RentalsVacates!AF15*(1-IF(AG$12-$F15&lt;=12,SUMIFS('Attrition Modeling'!$D:$D,'Attrition Modeling'!$B:$B,$E15,'Attrition Modeling'!$C:$C,AG$11),VLOOKUP(RentalsVacates!AG$12-RentalsVacates!$F15-1,RentalsVacates!$A$8:$C$162,2,FALSE)*VLOOKUP(AG$11,'Attrition Modeling'!$L$15:$N$27,IF(AG$12-$F15&lt;=24,2,3),FALSE))*(1+IF('Traditional Attrition'!AG137&gt;0,'Attrition Modeling'!$N$9,0))),0))</f>
        <v>829.84919126255204</v>
      </c>
      <c r="AH15" s="799">
        <f>IF(AH$12=$F15+1,IF(Monthly!AD$4=TRUE,0,AH$3),IF(AH$12&gt;$F15+1,RentalsVacates!AG15*(1-IF(AH$12-$F15&lt;=12,SUMIFS('Attrition Modeling'!$D:$D,'Attrition Modeling'!$B:$B,$E15,'Attrition Modeling'!$C:$C,AH$11),VLOOKUP(RentalsVacates!AH$12-RentalsVacates!$F15-1,RentalsVacates!$A$8:$C$162,2,FALSE)*VLOOKUP(AH$11,'Attrition Modeling'!$L$15:$N$27,IF(AH$12-$F15&lt;=24,2,3),FALSE))*(1+IF('Traditional Attrition'!AH137&gt;0,'Attrition Modeling'!$N$9,0))),0))</f>
        <v>802.03907599525201</v>
      </c>
      <c r="AI15" s="799">
        <f>IF(AI$12=$F15+1,IF(Monthly!AE$4=TRUE,0,AI$3),IF(AI$12&gt;$F15+1,RentalsVacates!AH15*(1-IF(AI$12-$F15&lt;=12,SUMIFS('Attrition Modeling'!$D:$D,'Attrition Modeling'!$B:$B,$E15,'Attrition Modeling'!$C:$C,AI$11),VLOOKUP(RentalsVacates!AI$12-RentalsVacates!$F15-1,RentalsVacates!$A$8:$C$162,2,FALSE)*VLOOKUP(AI$11,'Attrition Modeling'!$L$15:$N$27,IF(AI$12-$F15&lt;=24,2,3),FALSE))*(1+IF('Traditional Attrition'!AI137&gt;0,'Attrition Modeling'!$N$9,0))),0))</f>
        <v>780.96157742394121</v>
      </c>
      <c r="AJ15" s="799">
        <f>IF(AJ$12=$F15+1,IF(Monthly!AF$4=TRUE,0,AJ$3),IF(AJ$12&gt;$F15+1,RentalsVacates!AI15*(1-IF(AJ$12-$F15&lt;=12,SUMIFS('Attrition Modeling'!$D:$D,'Attrition Modeling'!$B:$B,$E15,'Attrition Modeling'!$C:$C,AJ$11),VLOOKUP(RentalsVacates!AJ$12-RentalsVacates!$F15-1,RentalsVacates!$A$8:$C$162,2,FALSE)*VLOOKUP(AJ$11,'Attrition Modeling'!$L$15:$N$27,IF(AJ$12-$F15&lt;=24,2,3),FALSE))*(1+IF('Traditional Attrition'!AJ137&gt;0,'Attrition Modeling'!$N$9,0))),0))</f>
        <v>756.5197462469838</v>
      </c>
      <c r="AK15" s="799">
        <f>IF(AK$12=$F15+1,IF(Monthly!AG$4=TRUE,0,AK$3),IF(AK$12&gt;$F15+1,RentalsVacates!AJ15*(1-IF(AK$12-$F15&lt;=12,SUMIFS('Attrition Modeling'!$D:$D,'Attrition Modeling'!$B:$B,$E15,'Attrition Modeling'!$C:$C,AK$11),VLOOKUP(RentalsVacates!AK$12-RentalsVacates!$F15-1,RentalsVacates!$A$8:$C$162,2,FALSE)*VLOOKUP(AK$11,'Attrition Modeling'!$L$15:$N$27,IF(AK$12-$F15&lt;=24,2,3),FALSE))*(1+IF('Traditional Attrition'!AK137&gt;0,'Attrition Modeling'!$N$9,0))),0))</f>
        <v>729.85365147956497</v>
      </c>
      <c r="AL15" s="799">
        <f>IF(AL$12=$F15+1,IF(Monthly!AH$4=TRUE,0,AL$3),IF(AL$12&gt;$F15+1,RentalsVacates!AK15*(1-IF(AL$12-$F15&lt;=12,SUMIFS('Attrition Modeling'!$D:$D,'Attrition Modeling'!$B:$B,$E15,'Attrition Modeling'!$C:$C,AL$11),VLOOKUP(RentalsVacates!AL$12-RentalsVacates!$F15-1,RentalsVacates!$A$8:$C$162,2,FALSE)*VLOOKUP(AL$11,'Attrition Modeling'!$L$15:$N$27,IF(AL$12-$F15&lt;=24,2,3),FALSE))*(1+IF('Traditional Attrition'!AL137&gt;0,'Attrition Modeling'!$N$9,0))),0))</f>
        <v>702.18433700319611</v>
      </c>
      <c r="AM15" s="799">
        <f>IF(AM$12=$F15+1,IF(Monthly!AI$4=TRUE,0,AM$3),IF(AM$12&gt;$F15+1,RentalsVacates!AL15*(1-IF(AM$12-$F15&lt;=12,SUMIFS('Attrition Modeling'!$D:$D,'Attrition Modeling'!$B:$B,$E15,'Attrition Modeling'!$C:$C,AM$11),VLOOKUP(RentalsVacates!AM$12-RentalsVacates!$F15-1,RentalsVacates!$A$8:$C$162,2,FALSE)*VLOOKUP(AM$11,'Attrition Modeling'!$L$15:$N$27,IF(AM$12-$F15&lt;=24,2,3),FALSE))*(1+IF('Traditional Attrition'!AM137&gt;0,'Attrition Modeling'!$N$9,0))),0))</f>
        <v>668.31029352130656</v>
      </c>
      <c r="AN15" s="799">
        <f>IF(AN$12=$F15+1,IF(Monthly!AJ$4=TRUE,0,AN$3),IF(AN$12&gt;$F15+1,RentalsVacates!AM15*(1-IF(AN$12-$F15&lt;=12,SUMIFS('Attrition Modeling'!$D:$D,'Attrition Modeling'!$B:$B,$E15,'Attrition Modeling'!$C:$C,AN$11),VLOOKUP(RentalsVacates!AN$12-RentalsVacates!$F15-1,RentalsVacates!$A$8:$C$162,2,FALSE)*VLOOKUP(AN$11,'Attrition Modeling'!$L$15:$N$27,IF(AN$12-$F15&lt;=24,2,3),FALSE))*(1+IF('Traditional Attrition'!AN137&gt;0,'Attrition Modeling'!$N$9,0))),0))</f>
        <v>643.38860427897657</v>
      </c>
      <c r="AO15" s="799">
        <f>IF(AO$12=$F15+1,IF(Monthly!AK$4=TRUE,0,AO$3),IF(AO$12&gt;$F15+1,RentalsVacates!AN15*(1-IF(AO$12-$F15&lt;=12,SUMIFS('Attrition Modeling'!$D:$D,'Attrition Modeling'!$B:$B,$E15,'Attrition Modeling'!$C:$C,AO$11),VLOOKUP(RentalsVacates!AO$12-RentalsVacates!$F15-1,RentalsVacates!$A$8:$C$162,2,FALSE)*VLOOKUP(AO$11,'Attrition Modeling'!$L$15:$N$27,IF(AO$12-$F15&lt;=24,2,3),FALSE))*(1+IF('Traditional Attrition'!AO137&gt;0,'Attrition Modeling'!$N$9,0))),0))</f>
        <v>620.49960932957561</v>
      </c>
      <c r="AP15" s="799">
        <f>IF(AP$12=$F15+1,IF(Monthly!AL$4=TRUE,0,AP$3),IF(AP$12&gt;$F15+1,RentalsVacates!AO15*(1-IF(AP$12-$F15&lt;=12,SUMIFS('Attrition Modeling'!$D:$D,'Attrition Modeling'!$B:$B,$E15,'Attrition Modeling'!$C:$C,AP$11),VLOOKUP(RentalsVacates!AP$12-RentalsVacates!$F15-1,RentalsVacates!$A$8:$C$162,2,FALSE)*VLOOKUP(AP$11,'Attrition Modeling'!$L$15:$N$27,IF(AP$12-$F15&lt;=24,2,3),FALSE))*(1+IF('Traditional Attrition'!AP137&gt;0,'Attrition Modeling'!$N$9,0))),0))</f>
        <v>599.17668414341381</v>
      </c>
      <c r="AQ15" s="799">
        <f>IF(AQ$12=$F15+1,IF(Monthly!AM$4=TRUE,0,AQ$3),IF(AQ$12&gt;$F15+1,RentalsVacates!AP15*(1-IF(AQ$12-$F15&lt;=12,SUMIFS('Attrition Modeling'!$D:$D,'Attrition Modeling'!$B:$B,$E15,'Attrition Modeling'!$C:$C,AQ$11),VLOOKUP(RentalsVacates!AQ$12-RentalsVacates!$F15-1,RentalsVacates!$A$8:$C$162,2,FALSE)*VLOOKUP(AQ$11,'Attrition Modeling'!$L$15:$N$27,IF(AQ$12-$F15&lt;=24,2,3),FALSE))*(1+IF('Traditional Attrition'!AQ137&gt;0,'Attrition Modeling'!$N$9,0))),0))</f>
        <v>582.40367320674522</v>
      </c>
      <c r="AR15" s="799">
        <f>IF(AR$12=$F15+1,IF(Monthly!AN$4=TRUE,0,AR$3),IF(AR$12&gt;$F15+1,RentalsVacates!AQ15*(1-IF(AR$12-$F15&lt;=12,SUMIFS('Attrition Modeling'!$D:$D,'Attrition Modeling'!$B:$B,$E15,'Attrition Modeling'!$C:$C,AR$11),VLOOKUP(RentalsVacates!AR$12-RentalsVacates!$F15-1,RentalsVacates!$A$8:$C$162,2,FALSE)*VLOOKUP(AR$11,'Attrition Modeling'!$L$15:$N$27,IF(AR$12-$F15&lt;=24,2,3),FALSE))*(1+IF('Traditional Attrition'!AR137&gt;0,'Attrition Modeling'!$N$9,0))),0))</f>
        <v>564.55707654138655</v>
      </c>
      <c r="AS15" s="799">
        <f>IF(AS$12=$F15+1,IF(Monthly!AO$4=TRUE,0,AS$3),IF(AS$12&gt;$F15+1,RentalsVacates!AR15*(1-IF(AS$12-$F15&lt;=12,SUMIFS('Attrition Modeling'!$D:$D,'Attrition Modeling'!$B:$B,$E15,'Attrition Modeling'!$C:$C,AS$11),VLOOKUP(RentalsVacates!AS$12-RentalsVacates!$F15-1,RentalsVacates!$A$8:$C$162,2,FALSE)*VLOOKUP(AS$11,'Attrition Modeling'!$L$15:$N$27,IF(AS$12-$F15&lt;=24,2,3),FALSE))*(1+IF('Traditional Attrition'!AS137&gt;0,'Attrition Modeling'!$N$9,0))),0))</f>
        <v>547.98501978127103</v>
      </c>
      <c r="AT15" s="799">
        <f>IF(AT$12=$F15+1,IF(Monthly!AP$4=TRUE,0,AT$3),IF(AT$12&gt;$F15+1,RentalsVacates!AS15*(1-IF(AT$12-$F15&lt;=12,SUMIFS('Attrition Modeling'!$D:$D,'Attrition Modeling'!$B:$B,$E15,'Attrition Modeling'!$C:$C,AT$11),VLOOKUP(RentalsVacates!AT$12-RentalsVacates!$F15-1,RentalsVacates!$A$8:$C$162,2,FALSE)*VLOOKUP(AT$11,'Attrition Modeling'!$L$15:$N$27,IF(AT$12-$F15&lt;=24,2,3),FALSE))*(1+IF('Traditional Attrition'!AT137&gt;0,'Attrition Modeling'!$N$9,0))),0))</f>
        <v>532.74252664071037</v>
      </c>
      <c r="AU15" s="799">
        <f>IF(AU$12=$F15+1,IF(Monthly!AQ$4=TRUE,0,AU$3),IF(AU$12&gt;$F15+1,RentalsVacates!AT15*(1-IF(AU$12-$F15&lt;=12,SUMIFS('Attrition Modeling'!$D:$D,'Attrition Modeling'!$B:$B,$E15,'Attrition Modeling'!$C:$C,AU$11),VLOOKUP(RentalsVacates!AU$12-RentalsVacates!$F15-1,RentalsVacates!$A$8:$C$162,2,FALSE)*VLOOKUP(AU$11,'Attrition Modeling'!$L$15:$N$27,IF(AU$12-$F15&lt;=24,2,3),FALSE))*(1+IF('Traditional Attrition'!AU137&gt;0,'Attrition Modeling'!$N$9,0))),0))</f>
        <v>521.08331246273133</v>
      </c>
      <c r="AV15" s="799">
        <f>IF(AV$12=$F15+1,IF(Monthly!AR$4=TRUE,0,AV$3),IF(AV$12&gt;$F15+1,RentalsVacates!AU15*(1-IF(AV$12-$F15&lt;=12,SUMIFS('Attrition Modeling'!$D:$D,'Attrition Modeling'!$B:$B,$E15,'Attrition Modeling'!$C:$C,AV$11),VLOOKUP(RentalsVacates!AV$12-RentalsVacates!$F15-1,RentalsVacates!$A$8:$C$162,2,FALSE)*VLOOKUP(AV$11,'Attrition Modeling'!$L$15:$N$27,IF(AV$12-$F15&lt;=24,2,3),FALSE))*(1+IF('Traditional Attrition'!AV137&gt;0,'Attrition Modeling'!$N$9,0))),0))</f>
        <v>507.4596624854899</v>
      </c>
      <c r="AW15" s="799">
        <f>IF(AW$12=$F15+1,IF(Monthly!AS$4=TRUE,0,AW$3),IF(AW$12&gt;$F15+1,RentalsVacates!AV15*(1-IF(AW$12-$F15&lt;=12,SUMIFS('Attrition Modeling'!$D:$D,'Attrition Modeling'!$B:$B,$E15,'Attrition Modeling'!$C:$C,AW$11),VLOOKUP(RentalsVacates!AW$12-RentalsVacates!$F15-1,RentalsVacates!$A$8:$C$162,2,FALSE)*VLOOKUP(AW$11,'Attrition Modeling'!$L$15:$N$27,IF(AW$12-$F15&lt;=24,2,3),FALSE))*(1+IF('Traditional Attrition'!AW137&gt;0,'Attrition Modeling'!$N$9,0))),0))</f>
        <v>492.47337762613051</v>
      </c>
      <c r="AX15" s="799">
        <f>IF(AX$12=$F15+1,IF(Monthly!AT$4=TRUE,0,AX$3),IF(AX$12&gt;$F15+1,RentalsVacates!AW15*(1-IF(AX$12-$F15&lt;=12,SUMIFS('Attrition Modeling'!$D:$D,'Attrition Modeling'!$B:$B,$E15,'Attrition Modeling'!$C:$C,AX$11),VLOOKUP(RentalsVacates!AX$12-RentalsVacates!$F15-1,RentalsVacates!$A$8:$C$162,2,FALSE)*VLOOKUP(AX$11,'Attrition Modeling'!$L$15:$N$27,IF(AX$12-$F15&lt;=24,2,3),FALSE))*(1+IF('Traditional Attrition'!AX137&gt;0,'Attrition Modeling'!$N$9,0))),0))</f>
        <v>476.78803530093444</v>
      </c>
      <c r="AY15" s="799">
        <f>IF(AY$12=$F15+1,IF(Monthly!AU$4=TRUE,0,AY$3),IF(AY$12&gt;$F15+1,RentalsVacates!AX15*(1-IF(AY$12-$F15&lt;=12,SUMIFS('Attrition Modeling'!$D:$D,'Attrition Modeling'!$B:$B,$E15,'Attrition Modeling'!$C:$C,AY$11),VLOOKUP(RentalsVacates!AY$12-RentalsVacates!$F15-1,RentalsVacates!$A$8:$C$162,2,FALSE)*VLOOKUP(AY$11,'Attrition Modeling'!$L$15:$N$27,IF(AY$12-$F15&lt;=24,2,3),FALSE))*(1+IF('Traditional Attrition'!AY137&gt;0,'Attrition Modeling'!$N$9,0))),0))</f>
        <v>457.41419581031698</v>
      </c>
      <c r="AZ15" s="799">
        <f>IF(AZ$12=$F15+1,IF(Monthly!AV$4=TRUE,0,AZ$3),IF(AZ$12&gt;$F15+1,RentalsVacates!AY15*(1-IF(AZ$12-$F15&lt;=12,SUMIFS('Attrition Modeling'!$D:$D,'Attrition Modeling'!$B:$B,$E15,'Attrition Modeling'!$C:$C,AZ$11),VLOOKUP(RentalsVacates!AZ$12-RentalsVacates!$F15-1,RentalsVacates!$A$8:$C$162,2,FALSE)*VLOOKUP(AZ$11,'Attrition Modeling'!$L$15:$N$27,IF(AZ$12-$F15&lt;=24,2,3),FALSE))*(1+IF('Traditional Attrition'!AZ137&gt;0,'Attrition Modeling'!$N$9,0))),0))</f>
        <v>443.01145092660101</v>
      </c>
      <c r="BA15" s="799">
        <f>IF(BA$12=$F15+1,IF(Monthly!AW$4=TRUE,0,BA$3),IF(BA$12&gt;$F15+1,RentalsVacates!AZ15*(1-IF(BA$12-$F15&lt;=12,SUMIFS('Attrition Modeling'!$D:$D,'Attrition Modeling'!$B:$B,$E15,'Attrition Modeling'!$C:$C,BA$11),VLOOKUP(RentalsVacates!BA$12-RentalsVacates!$F15-1,RentalsVacates!$A$8:$C$162,2,FALSE)*VLOOKUP(BA$11,'Attrition Modeling'!$L$15:$N$27,IF(BA$12-$F15&lt;=24,2,3),FALSE))*(1+IF('Traditional Attrition'!BA137&gt;0,'Attrition Modeling'!$N$9,0))),0))</f>
        <v>429.67293667435422</v>
      </c>
      <c r="BB15" s="799">
        <f>IF(BB$12=$F15+1,IF(Monthly!AX$4=TRUE,0,BB$3),IF(BB$12&gt;$F15+1,RentalsVacates!BA15*(1-IF(BB$12-$F15&lt;=12,SUMIFS('Attrition Modeling'!$D:$D,'Attrition Modeling'!$B:$B,$E15,'Attrition Modeling'!$C:$C,BB$11),VLOOKUP(RentalsVacates!BB$12-RentalsVacates!$F15-1,RentalsVacates!$A$8:$C$162,2,FALSE)*VLOOKUP(BB$11,'Attrition Modeling'!$L$15:$N$27,IF(BB$12-$F15&lt;=24,2,3),FALSE))*(1+IF('Traditional Attrition'!BB137&gt;0,'Attrition Modeling'!$N$9,0))),0))</f>
        <v>417.14929389808054</v>
      </c>
      <c r="BC15" s="799">
        <f>IF(BC$12=$F15+1,IF(Monthly!AY$4=TRUE,0,BC$3),IF(BC$12&gt;$F15+1,RentalsVacates!BB15*(1-IF(BC$12-$F15&lt;=12,SUMIFS('Attrition Modeling'!$D:$D,'Attrition Modeling'!$B:$B,$E15,'Attrition Modeling'!$C:$C,BC$11),VLOOKUP(RentalsVacates!BC$12-RentalsVacates!$F15-1,RentalsVacates!$A$8:$C$162,2,FALSE)*VLOOKUP(BC$11,'Attrition Modeling'!$L$15:$N$27,IF(BC$12-$F15&lt;=24,2,3),FALSE))*(1+IF('Traditional Attrition'!BC137&gt;0,'Attrition Modeling'!$N$9,0))),0))</f>
        <v>407.22424450380908</v>
      </c>
      <c r="BD15" s="799">
        <f>IF(BD$12=$F15+1,IF(Monthly!AZ$4=TRUE,0,BD$3),IF(BD$12&gt;$F15+1,RentalsVacates!BC15*(1-IF(BD$12-$F15&lt;=12,SUMIFS('Attrition Modeling'!$D:$D,'Attrition Modeling'!$B:$B,$E15,'Attrition Modeling'!$C:$C,BD$11),VLOOKUP(RentalsVacates!BD$12-RentalsVacates!$F15-1,RentalsVacates!$A$8:$C$162,2,FALSE)*VLOOKUP(BD$11,'Attrition Modeling'!$L$15:$N$27,IF(BD$12-$F15&lt;=24,2,3),FALSE))*(1+IF('Traditional Attrition'!BD137&gt;0,'Attrition Modeling'!$N$9,0))),0))</f>
        <v>396.59749190872924</v>
      </c>
      <c r="BE15" s="799">
        <f>IF(BE$12=$F15+1,IF(Monthly!BA$4=TRUE,0,BE$3),IF(BE$12&gt;$F15+1,RentalsVacates!BD15*(1-IF(BE$12-$F15&lt;=12,SUMIFS('Attrition Modeling'!$D:$D,'Attrition Modeling'!$B:$B,$E15,'Attrition Modeling'!$C:$C,BE$11),VLOOKUP(RentalsVacates!BE$12-RentalsVacates!$F15-1,RentalsVacates!$A$8:$C$162,2,FALSE)*VLOOKUP(BE$11,'Attrition Modeling'!$L$15:$N$27,IF(BE$12-$F15&lt;=24,2,3),FALSE))*(1+IF('Traditional Attrition'!BE137&gt;0,'Attrition Modeling'!$N$9,0))),0))</f>
        <v>386.66493744427243</v>
      </c>
      <c r="BF15" s="799">
        <f>IF(BF$12=$F15+1,IF(Monthly!BB$4=TRUE,0,BF$3),IF(BF$12&gt;$F15+1,RentalsVacates!BE15*(1-IF(BF$12-$F15&lt;=12,SUMIFS('Attrition Modeling'!$D:$D,'Attrition Modeling'!$B:$B,$E15,'Attrition Modeling'!$C:$C,BF$11),VLOOKUP(RentalsVacates!BF$12-RentalsVacates!$F15-1,RentalsVacates!$A$8:$C$162,2,FALSE)*VLOOKUP(BF$11,'Attrition Modeling'!$L$15:$N$27,IF(BF$12-$F15&lt;=24,2,3),FALSE))*(1+IF('Traditional Attrition'!BF137&gt;0,'Attrition Modeling'!$N$9,0))),0))</f>
        <v>377.53426940852978</v>
      </c>
      <c r="BG15" s="799">
        <f>IF(BG$12=$F15+1,IF(Monthly!BC$4=TRUE,0,BG$3),IF(BG$12&gt;$F15+1,RentalsVacates!BF15*(1-IF(BG$12-$F15&lt;=12,SUMIFS('Attrition Modeling'!$D:$D,'Attrition Modeling'!$B:$B,$E15,'Attrition Modeling'!$C:$C,BG$11),VLOOKUP(RentalsVacates!BG$12-RentalsVacates!$F15-1,RentalsVacates!$A$8:$C$162,2,FALSE)*VLOOKUP(BG$11,'Attrition Modeling'!$L$15:$N$27,IF(BG$12-$F15&lt;=24,2,3),FALSE))*(1+IF('Traditional Attrition'!BG137&gt;0,'Attrition Modeling'!$N$9,0))),0))</f>
        <v>370.50927382109404</v>
      </c>
      <c r="BH15" s="799">
        <f>IF(BH$12=$F15+1,IF(Monthly!BD$4=TRUE,0,BH$3),IF(BH$12&gt;$F15+1,RentalsVacates!BG15*(1-IF(BH$12-$F15&lt;=12,SUMIFS('Attrition Modeling'!$D:$D,'Attrition Modeling'!$B:$B,$E15,'Attrition Modeling'!$C:$C,BH$11),VLOOKUP(RentalsVacates!BH$12-RentalsVacates!$F15-1,RentalsVacates!$A$8:$C$162,2,FALSE)*VLOOKUP(BH$11,'Attrition Modeling'!$L$15:$N$27,IF(BH$12-$F15&lt;=24,2,3),FALSE))*(1+IF('Traditional Attrition'!BH137&gt;0,'Attrition Modeling'!$N$9,0))),0))</f>
        <v>362.26135496546846</v>
      </c>
      <c r="BI15" s="799">
        <f>IF(BI$12=$F15+1,IF(Monthly!BE$4=TRUE,0,BI$3),IF(BI$12&gt;$F15+1,RentalsVacates!BH15*(1-IF(BI$12-$F15&lt;=12,SUMIFS('Attrition Modeling'!$D:$D,'Attrition Modeling'!$B:$B,$E15,'Attrition Modeling'!$C:$C,BI$11),VLOOKUP(RentalsVacates!BI$12-RentalsVacates!$F15-1,RentalsVacates!$A$8:$C$162,2,FALSE)*VLOOKUP(BI$11,'Attrition Modeling'!$L$15:$N$27,IF(BI$12-$F15&lt;=24,2,3),FALSE))*(1+IF('Traditional Attrition'!BI137&gt;0,'Attrition Modeling'!$N$9,0))),0))</f>
        <v>353.13997052133783</v>
      </c>
      <c r="BJ15" s="799">
        <f>IF(BJ$12=$F15+1,IF(Monthly!BF$4=TRUE,0,BJ$3),IF(BJ$12&gt;$F15+1,RentalsVacates!BI15*(1-IF(BJ$12-$F15&lt;=12,SUMIFS('Attrition Modeling'!$D:$D,'Attrition Modeling'!$B:$B,$E15,'Attrition Modeling'!$C:$C,BJ$11),VLOOKUP(RentalsVacates!BJ$12-RentalsVacates!$F15-1,RentalsVacates!$A$8:$C$162,2,FALSE)*VLOOKUP(BJ$11,'Attrition Modeling'!$L$15:$N$27,IF(BJ$12-$F15&lt;=24,2,3),FALSE))*(1+IF('Traditional Attrition'!BJ137&gt;0,'Attrition Modeling'!$N$9,0))),0))</f>
        <v>343.53801222793629</v>
      </c>
      <c r="BK15" s="799">
        <f>IF(BK$12=$F15+1,IF(Monthly!BG$4=TRUE,0,BK$3),IF(BK$12&gt;$F15+1,RentalsVacates!BJ15*(1-IF(BK$12-$F15&lt;=12,SUMIFS('Attrition Modeling'!$D:$D,'Attrition Modeling'!$B:$B,$E15,'Attrition Modeling'!$C:$C,BK$11),VLOOKUP(RentalsVacates!BK$12-RentalsVacates!$F15-1,RentalsVacates!$A$8:$C$162,2,FALSE)*VLOOKUP(BK$11,'Attrition Modeling'!$L$15:$N$27,IF(BK$12-$F15&lt;=24,2,3),FALSE))*(1+IF('Traditional Attrition'!BK137&gt;0,'Attrition Modeling'!$N$9,0))),0))</f>
        <v>331.60659148729997</v>
      </c>
      <c r="BL15" s="799">
        <f>IF(BL$12=$F15+1,IF(Monthly!BH$4=TRUE,0,BL$3),IF(BL$12&gt;$F15+1,RentalsVacates!BK15*(1-IF(BL$12-$F15&lt;=12,SUMIFS('Attrition Modeling'!$D:$D,'Attrition Modeling'!$B:$B,$E15,'Attrition Modeling'!$C:$C,BL$11),VLOOKUP(RentalsVacates!BL$12-RentalsVacates!$F15-1,RentalsVacates!$A$8:$C$162,2,FALSE)*VLOOKUP(BL$11,'Attrition Modeling'!$L$15:$N$27,IF(BL$12-$F15&lt;=24,2,3),FALSE))*(1+IF('Traditional Attrition'!BL137&gt;0,'Attrition Modeling'!$N$9,0))),0))</f>
        <v>322.67183516958482</v>
      </c>
      <c r="BM15" s="799">
        <f>IF(BM$12=$F15+1,IF(Monthly!BI$4=TRUE,0,BM$3),IF(BM$12&gt;$F15+1,RentalsVacates!BL15*(1-IF(BM$12-$F15&lt;=12,SUMIFS('Attrition Modeling'!$D:$D,'Attrition Modeling'!$B:$B,$E15,'Attrition Modeling'!$C:$C,BM$11),VLOOKUP(RentalsVacates!BM$12-RentalsVacates!$F15-1,RentalsVacates!$A$8:$C$162,2,FALSE)*VLOOKUP(BM$11,'Attrition Modeling'!$L$15:$N$27,IF(BM$12-$F15&lt;=24,2,3),FALSE))*(1+IF('Traditional Attrition'!BM137&gt;0,'Attrition Modeling'!$N$9,0))),0))</f>
        <v>314.34945506677286</v>
      </c>
      <c r="BN15" s="799">
        <f>IF(BN$12=$F15+1,IF(Monthly!BJ$4=TRUE,0,BN$3),IF(BN$12&gt;$F15+1,RentalsVacates!BM15*(1-IF(BN$12-$F15&lt;=12,SUMIFS('Attrition Modeling'!$D:$D,'Attrition Modeling'!$B:$B,$E15,'Attrition Modeling'!$C:$C,BN$11),VLOOKUP(RentalsVacates!BN$12-RentalsVacates!$F15-1,RentalsVacates!$A$8:$C$162,2,FALSE)*VLOOKUP(BN$11,'Attrition Modeling'!$L$15:$N$27,IF(BN$12-$F15&lt;=24,2,3),FALSE))*(1+IF('Traditional Attrition'!BN137&gt;0,'Attrition Modeling'!$N$9,0))),0))</f>
        <v>306.49268615519429</v>
      </c>
      <c r="BO15" s="799">
        <f>IF(BO$12=$F15+1,IF(Monthly!BK$4=TRUE,0,BO$3),IF(BO$12&gt;$F15+1,RentalsVacates!BN15*(1-IF(BO$12-$F15&lt;=12,SUMIFS('Attrition Modeling'!$D:$D,'Attrition Modeling'!$B:$B,$E15,'Attrition Modeling'!$C:$C,BO$11),VLOOKUP(RentalsVacates!BO$12-RentalsVacates!$F15-1,RentalsVacates!$A$8:$C$162,2,FALSE)*VLOOKUP(BO$11,'Attrition Modeling'!$L$15:$N$27,IF(BO$12-$F15&lt;=24,2,3),FALSE))*(1+IF('Traditional Attrition'!BO137&gt;0,'Attrition Modeling'!$N$9,0))),0))</f>
        <v>300.23346412524347</v>
      </c>
      <c r="BP15" s="799">
        <f>IF(BP$12=$F15+1,IF(Monthly!BL$4=TRUE,0,BP$3),IF(BP$12&gt;$F15+1,RentalsVacates!BO15*(1-IF(BP$12-$F15&lt;=12,SUMIFS('Attrition Modeling'!$D:$D,'Attrition Modeling'!$B:$B,$E15,'Attrition Modeling'!$C:$C,BP$11),VLOOKUP(RentalsVacates!BP$12-RentalsVacates!$F15-1,RentalsVacates!$A$8:$C$162,2,FALSE)*VLOOKUP(BP$11,'Attrition Modeling'!$L$15:$N$27,IF(BP$12-$F15&lt;=24,2,3),FALSE))*(1+IF('Traditional Attrition'!BP137&gt;0,'Attrition Modeling'!$N$9,0))),0))</f>
        <v>293.50241630835484</v>
      </c>
      <c r="BQ15" s="799">
        <f>IF(BQ$12=$F15+1,IF(Monthly!BM$4=TRUE,0,BQ$3),IF(BQ$12&gt;$F15+1,RentalsVacates!BP15*(1-IF(BQ$12-$F15&lt;=12,SUMIFS('Attrition Modeling'!$D:$D,'Attrition Modeling'!$B:$B,$E15,'Attrition Modeling'!$C:$C,BQ$11),VLOOKUP(RentalsVacates!BQ$12-RentalsVacates!$F15-1,RentalsVacates!$A$8:$C$162,2,FALSE)*VLOOKUP(BQ$11,'Attrition Modeling'!$L$15:$N$27,IF(BQ$12-$F15&lt;=24,2,3),FALSE))*(1+IF('Traditional Attrition'!BQ137&gt;0,'Attrition Modeling'!$N$9,0))),0))</f>
        <v>287.18186359461879</v>
      </c>
      <c r="BR15" s="799">
        <f>IF(BR$12=$F15+1,IF(Monthly!BN$4=TRUE,0,BR$3),IF(BR$12&gt;$F15+1,RentalsVacates!BQ15*(1-IF(BR$12-$F15&lt;=12,SUMIFS('Attrition Modeling'!$D:$D,'Attrition Modeling'!$B:$B,$E15,'Attrition Modeling'!$C:$C,BR$11),VLOOKUP(RentalsVacates!BR$12-RentalsVacates!$F15-1,RentalsVacates!$A$8:$C$162,2,FALSE)*VLOOKUP(BR$11,'Attrition Modeling'!$L$15:$N$27,IF(BR$12-$F15&lt;=24,2,3),FALSE))*(1+IF('Traditional Attrition'!BR137&gt;0,'Attrition Modeling'!$N$9,0))),0))</f>
        <v>281.30642836397641</v>
      </c>
      <c r="BS15" s="799">
        <f>IF(BS$12=$F15+1,IF(Monthly!BO$4=TRUE,0,BS$3),IF(BS$12&gt;$F15+1,RentalsVacates!BR15*(1-IF(BS$12-$F15&lt;=12,SUMIFS('Attrition Modeling'!$D:$D,'Attrition Modeling'!$B:$B,$E15,'Attrition Modeling'!$C:$C,BS$11),VLOOKUP(RentalsVacates!BS$12-RentalsVacates!$F15-1,RentalsVacates!$A$8:$C$162,2,FALSE)*VLOOKUP(BS$11,'Attrition Modeling'!$L$15:$N$27,IF(BS$12-$F15&lt;=24,2,3),FALSE))*(1+IF('Traditional Attrition'!BS137&gt;0,'Attrition Modeling'!$N$9,0))),0))</f>
        <v>276.76711529596594</v>
      </c>
      <c r="BT15" s="799">
        <f>IF(BT$11=$F14+1,IF(Monthly!#REF!=TRUE,0,BT$3),IF(BT$11&gt;$F14+1,RentalsVacates!BS14*(1-IF(BT$11-$F14&lt;=12,SUMIFS('Attrition Modeling'!$D:$D,'Attrition Modeling'!$B:$B,$E14,'Attrition Modeling'!$C:$C,BT$10),VLOOKUP(RentalsVacates!BT$11-RentalsVacates!$F14-1,RentalsVacates!$A$7:$C$161,2,FALSE)*VLOOKUP(BT$10,'Attrition Modeling'!$L$15:$N$27,IF(BT$11-$F14&lt;=24,2,3),FALSE))*(1+IF('Traditional Attrition'!BT137&gt;0,'Attrition Modeling'!$N$9,0))),0))</f>
        <v>185.45055374529363</v>
      </c>
      <c r="BU15" s="799">
        <f>IF(BU$11=$F14+1,IF(Monthly!#REF!=TRUE,0,BU$3),IF(BU$11&gt;$F14+1,RentalsVacates!BT14*(1-IF(BU$11-$F14&lt;=12,SUMIFS('Attrition Modeling'!$D:$D,'Attrition Modeling'!$B:$B,$E14,'Attrition Modeling'!$C:$C,BU$10),VLOOKUP(RentalsVacates!BU$11-RentalsVacates!$F14-1,RentalsVacates!$A$7:$C$161,2,FALSE)*VLOOKUP(BU$10,'Attrition Modeling'!$L$15:$N$27,IF(BU$11-$F14&lt;=24,2,3),FALSE))*(1+IF('Traditional Attrition'!BU137&gt;0,'Attrition Modeling'!$N$9,0))),0))</f>
        <v>426.28146600284987</v>
      </c>
    </row>
    <row r="16" spans="1:73" ht="14.25" customHeight="1" x14ac:dyDescent="0.2">
      <c r="A16" s="9">
        <v>8</v>
      </c>
      <c r="B16" s="25" t="e">
        <f>'Attrition Modeling'!H12*(1-Summary!$C$20)</f>
        <v>#DIV/0!</v>
      </c>
      <c r="C16" s="24" t="e">
        <f t="shared" si="2"/>
        <v>#DIV/0!</v>
      </c>
      <c r="E16" s="11">
        <f>'Traditional Attrition'!E73</f>
        <v>3</v>
      </c>
      <c r="F16" s="11">
        <f t="shared" si="4"/>
        <v>3</v>
      </c>
      <c r="G16" s="799"/>
      <c r="H16" s="799">
        <f>IF(H$12=$F16+1,IF(Monthly!D$4=TRUE,0,H$3),IF(H$12&gt;$F16+1,RentalsVacates!G16*(1-IF(H$12-$F16&lt;=12,SUMIFS('Attrition Modeling'!$D:$D,'Attrition Modeling'!$B:$B,$E16,'Attrition Modeling'!$C:$C,H$11),VLOOKUP(RentalsVacates!H$12-RentalsVacates!$F16-1,RentalsVacates!$A$8:$C$162,2,FALSE)*VLOOKUP(H$11,'Attrition Modeling'!$L$15:$N$27,IF(H$12-$F16&lt;=24,2,3),FALSE))*(1+IF('Traditional Attrition'!H138&gt;0,'Attrition Modeling'!$N$9,0))),0))</f>
        <v>0</v>
      </c>
      <c r="I16" s="799">
        <f>IF(I$12=$F16+1,IF(Monthly!E$4=TRUE,0,I$3),IF(I$12&gt;$F16+1,RentalsVacates!H16*(1-IF(I$12-$F16&lt;=12,SUMIFS('Attrition Modeling'!$D:$D,'Attrition Modeling'!$B:$B,$E16,'Attrition Modeling'!$C:$C,I$11),VLOOKUP(RentalsVacates!I$12-RentalsVacates!$F16-1,RentalsVacates!$A$8:$C$162,2,FALSE)*VLOOKUP(I$11,'Attrition Modeling'!$L$15:$N$27,IF(I$12-$F16&lt;=24,2,3),FALSE))*(1+IF('Traditional Attrition'!I138&gt;0,'Attrition Modeling'!$N$9,0))),0))</f>
        <v>0</v>
      </c>
      <c r="J16" s="799">
        <f>IF(J$12=$F16+1,IF(Monthly!F$4=TRUE,0,J$3),IF(J$12&gt;$F16+1,RentalsVacates!I16*(1-IF(J$12-$F16&lt;=12,SUMIFS('Attrition Modeling'!$D:$D,'Attrition Modeling'!$B:$B,$E16,'Attrition Modeling'!$C:$C,J$11),VLOOKUP(RentalsVacates!J$12-RentalsVacates!$F16-1,RentalsVacates!$A$8:$C$162,2,FALSE)*VLOOKUP(J$11,'Attrition Modeling'!$L$15:$N$27,IF(J$12-$F16&lt;=24,2,3),FALSE))*(1+IF('Traditional Attrition'!J138&gt;0,'Attrition Modeling'!$N$9,0))),0))</f>
        <v>0</v>
      </c>
      <c r="K16" s="799">
        <f>IF(K$12=$F16+1,IF(Monthly!G$4=TRUE,0,K$3),IF(K$12&gt;$F16+1,RentalsVacates!J16*(1-IF(K$12-$F16&lt;=12,SUMIFS('Attrition Modeling'!$D:$D,'Attrition Modeling'!$B:$B,$E16,'Attrition Modeling'!$C:$C,K$11),VLOOKUP(RentalsVacates!K$12-RentalsVacates!$F16-1,RentalsVacates!$A$8:$C$162,2,FALSE)*VLOOKUP(K$11,'Attrition Modeling'!$L$15:$N$27,IF(K$12-$F16&lt;=24,2,3),FALSE))*(1+IF('Traditional Attrition'!K138&gt;0,'Attrition Modeling'!$N$9,0))),0))</f>
        <v>3694.5714901876709</v>
      </c>
      <c r="L16" s="799">
        <f>IF(L$12=$F16+1,IF(Monthly!H$4=TRUE,0,L$3),IF(L$12&gt;$F16+1,RentalsVacates!K16*(1-IF(L$12-$F16&lt;=12,SUMIFS('Attrition Modeling'!$D:$D,'Attrition Modeling'!$B:$B,$E16,'Attrition Modeling'!$C:$C,L$11),VLOOKUP(RentalsVacates!L$12-RentalsVacates!$F16-1,RentalsVacates!$A$8:$C$162,2,FALSE)*VLOOKUP(L$11,'Attrition Modeling'!$L$15:$N$27,IF(L$12-$F16&lt;=24,2,3),FALSE))*(1+IF('Traditional Attrition'!L138&gt;0,'Attrition Modeling'!$N$9,0))),0))</f>
        <v>3347.584096895072</v>
      </c>
      <c r="M16" s="799">
        <f>IF(M$12=$F16+1,IF(Monthly!I$4=TRUE,0,M$3),IF(M$12&gt;$F16+1,RentalsVacates!L16*(1-IF(M$12-$F16&lt;=12,SUMIFS('Attrition Modeling'!$D:$D,'Attrition Modeling'!$B:$B,$E16,'Attrition Modeling'!$C:$C,M$11),VLOOKUP(RentalsVacates!M$12-RentalsVacates!$F16-1,RentalsVacates!$A$8:$C$162,2,FALSE)*VLOOKUP(M$11,'Attrition Modeling'!$L$15:$N$27,IF(M$12-$F16&lt;=24,2,3),FALSE))*(1+IF('Traditional Attrition'!M138&gt;0,'Attrition Modeling'!$N$9,0))),0))</f>
        <v>3047.0501818819453</v>
      </c>
      <c r="N16" s="799">
        <f>IF(N$12=$F16+1,IF(Monthly!J$4=TRUE,0,N$3),IF(N$12&gt;$F16+1,RentalsVacates!M16*(1-IF(N$12-$F16&lt;=12,SUMIFS('Attrition Modeling'!$D:$D,'Attrition Modeling'!$B:$B,$E16,'Attrition Modeling'!$C:$C,N$11),VLOOKUP(RentalsVacates!N$12-RentalsVacates!$F16-1,RentalsVacates!$A$8:$C$162,2,FALSE)*VLOOKUP(N$11,'Attrition Modeling'!$L$15:$N$27,IF(N$12-$F16&lt;=24,2,3),FALSE))*(1+IF('Traditional Attrition'!N138&gt;0,'Attrition Modeling'!$N$9,0))),0))</f>
        <v>2774.5984945739892</v>
      </c>
      <c r="O16" s="799">
        <f>IF(O$12=$F16+1,IF(Monthly!K$4=TRUE,0,O$3),IF(O$12&gt;$F16+1,RentalsVacates!N16*(1-IF(O$12-$F16&lt;=12,SUMIFS('Attrition Modeling'!$D:$D,'Attrition Modeling'!$B:$B,$E16,'Attrition Modeling'!$C:$C,O$11),VLOOKUP(RentalsVacates!O$12-RentalsVacates!$F16-1,RentalsVacates!$A$8:$C$162,2,FALSE)*VLOOKUP(O$11,'Attrition Modeling'!$L$15:$N$27,IF(O$12-$F16&lt;=24,2,3),FALSE))*(1+IF('Traditional Attrition'!O138&gt;0,'Attrition Modeling'!$N$9,0))),0))</f>
        <v>2532.5194095018946</v>
      </c>
      <c r="P16" s="799">
        <f>IF(P$12=$F16+1,IF(Monthly!L$4=TRUE,0,P$3),IF(P$12&gt;$F16+1,RentalsVacates!O16*(1-IF(P$12-$F16&lt;=12,SUMIFS('Attrition Modeling'!$D:$D,'Attrition Modeling'!$B:$B,$E16,'Attrition Modeling'!$C:$C,P$11),VLOOKUP(RentalsVacates!P$12-RentalsVacates!$F16-1,RentalsVacates!$A$8:$C$162,2,FALSE)*VLOOKUP(P$11,'Attrition Modeling'!$L$15:$N$27,IF(P$12-$F16&lt;=24,2,3),FALSE))*(1+IF('Traditional Attrition'!P138&gt;0,'Attrition Modeling'!$N$9,0))),0))</f>
        <v>2282.4050878887583</v>
      </c>
      <c r="Q16" s="799">
        <f>IF(Q$12=$F16+1,IF(Monthly!M$4=TRUE,0,Q$3),IF(Q$12&gt;$F16+1,RentalsVacates!P16*(1-IF(Q$12-$F16&lt;=12,SUMIFS('Attrition Modeling'!$D:$D,'Attrition Modeling'!$B:$B,$E16,'Attrition Modeling'!$C:$C,Q$11),VLOOKUP(RentalsVacates!Q$12-RentalsVacates!$F16-1,RentalsVacates!$A$8:$C$162,2,FALSE)*VLOOKUP(Q$11,'Attrition Modeling'!$L$15:$N$27,IF(Q$12-$F16&lt;=24,2,3),FALSE))*(1+IF('Traditional Attrition'!Q138&gt;0,'Attrition Modeling'!$N$9,0))),0))</f>
        <v>2101.5028474733413</v>
      </c>
      <c r="R16" s="799">
        <f>IF(R$12=$F16+1,IF(Monthly!N$4=TRUE,0,R$3),IF(R$12&gt;$F16+1,RentalsVacates!Q16*(1-IF(R$12-$F16&lt;=12,SUMIFS('Attrition Modeling'!$D:$D,'Attrition Modeling'!$B:$B,$E16,'Attrition Modeling'!$C:$C,R$11),VLOOKUP(RentalsVacates!R$12-RentalsVacates!$F16-1,RentalsVacates!$A$8:$C$162,2,FALSE)*VLOOKUP(R$11,'Attrition Modeling'!$L$15:$N$27,IF(R$12-$F16&lt;=24,2,3),FALSE))*(1+IF('Traditional Attrition'!R138&gt;0,'Attrition Modeling'!$N$9,0))),0))</f>
        <v>1944.7664185701801</v>
      </c>
      <c r="S16" s="799">
        <f>IF(S$12=$F16+1,IF(Monthly!O$4=TRUE,0,S$3),IF(S$12&gt;$F16+1,RentalsVacates!R16*(1-IF(S$12-$F16&lt;=12,SUMIFS('Attrition Modeling'!$D:$D,'Attrition Modeling'!$B:$B,$E16,'Attrition Modeling'!$C:$C,S$11),VLOOKUP(RentalsVacates!S$12-RentalsVacates!$F16-1,RentalsVacates!$A$8:$C$162,2,FALSE)*VLOOKUP(S$11,'Attrition Modeling'!$L$15:$N$27,IF(S$12-$F16&lt;=24,2,3),FALSE))*(1+IF('Traditional Attrition'!S138&gt;0,'Attrition Modeling'!$N$9,0))),0))</f>
        <v>1828.8356445992927</v>
      </c>
      <c r="T16" s="799">
        <f>IF(T$12=$F16+1,IF(Monthly!P$4=TRUE,0,T$3),IF(T$12&gt;$F16+1,RentalsVacates!S16*(1-IF(T$12-$F16&lt;=12,SUMIFS('Attrition Modeling'!$D:$D,'Attrition Modeling'!$B:$B,$E16,'Attrition Modeling'!$C:$C,T$11),VLOOKUP(RentalsVacates!T$12-RentalsVacates!$F16-1,RentalsVacates!$A$8:$C$162,2,FALSE)*VLOOKUP(T$11,'Attrition Modeling'!$L$15:$N$27,IF(T$12-$F16&lt;=24,2,3),FALSE))*(1+IF('Traditional Attrition'!T138&gt;0,'Attrition Modeling'!$N$9,0))),0))</f>
        <v>1726.2676652281405</v>
      </c>
      <c r="U16" s="799">
        <f>IF(U$12=$F16+1,IF(Monthly!Q$4=TRUE,0,U$3),IF(U$12&gt;$F16+1,RentalsVacates!T16*(1-IF(U$12-$F16&lt;=12,SUMIFS('Attrition Modeling'!$D:$D,'Attrition Modeling'!$B:$B,$E16,'Attrition Modeling'!$C:$C,U$11),VLOOKUP(RentalsVacates!U$12-RentalsVacates!$F16-1,RentalsVacates!$A$8:$C$162,2,FALSE)*VLOOKUP(U$11,'Attrition Modeling'!$L$15:$N$27,IF(U$12-$F16&lt;=24,2,3),FALSE))*(1+IF('Traditional Attrition'!U138&gt;0,'Attrition Modeling'!$N$9,0))),0))</f>
        <v>1637.2666213133864</v>
      </c>
      <c r="V16" s="799">
        <f>IF(V$12=$F16+1,IF(Monthly!R$4=TRUE,0,V$3),IF(V$12&gt;$F16+1,RentalsVacates!U16*(1-IF(V$12-$F16&lt;=12,SUMIFS('Attrition Modeling'!$D:$D,'Attrition Modeling'!$B:$B,$E16,'Attrition Modeling'!$C:$C,V$11),VLOOKUP(RentalsVacates!V$12-RentalsVacates!$F16-1,RentalsVacates!$A$8:$C$162,2,FALSE)*VLOOKUP(V$11,'Attrition Modeling'!$L$15:$N$27,IF(V$12-$F16&lt;=24,2,3),FALSE))*(1+IF('Traditional Attrition'!V138&gt;0,'Attrition Modeling'!$N$9,0))),0))</f>
        <v>1584.8380695656892</v>
      </c>
      <c r="W16" s="799">
        <f>IF(W$12=$F16+1,IF(Monthly!S$4=TRUE,0,W$3),IF(W$12&gt;$F16+1,RentalsVacates!V16*(1-IF(W$12-$F16&lt;=12,SUMIFS('Attrition Modeling'!$D:$D,'Attrition Modeling'!$B:$B,$E16,'Attrition Modeling'!$C:$C,W$11),VLOOKUP(RentalsVacates!W$12-RentalsVacates!$F16-1,RentalsVacates!$A$8:$C$162,2,FALSE)*VLOOKUP(W$11,'Attrition Modeling'!$L$15:$N$27,IF(W$12-$F16&lt;=24,2,3),FALSE))*(1+IF('Traditional Attrition'!W138&gt;0,'Attrition Modeling'!$N$9,0))),0))</f>
        <v>1502.4583598222907</v>
      </c>
      <c r="X16" s="799">
        <f>IF(X$12=$F16+1,IF(Monthly!T$4=TRUE,0,X$3),IF(X$12&gt;$F16+1,RentalsVacates!W16*(1-IF(X$12-$F16&lt;=12,SUMIFS('Attrition Modeling'!$D:$D,'Attrition Modeling'!$B:$B,$E16,'Attrition Modeling'!$C:$C,X$11),VLOOKUP(RentalsVacates!X$12-RentalsVacates!$F16-1,RentalsVacates!$A$8:$C$162,2,FALSE)*VLOOKUP(X$11,'Attrition Modeling'!$L$15:$N$27,IF(X$12-$F16&lt;=24,2,3),FALSE))*(1+IF('Traditional Attrition'!X138&gt;0,'Attrition Modeling'!$N$9,0))),0))</f>
        <v>1430.907676950327</v>
      </c>
      <c r="Y16" s="799">
        <f>IF(Y$12=$F16+1,IF(Monthly!U$4=TRUE,0,Y$3),IF(Y$12&gt;$F16+1,RentalsVacates!X16*(1-IF(Y$12-$F16&lt;=12,SUMIFS('Attrition Modeling'!$D:$D,'Attrition Modeling'!$B:$B,$E16,'Attrition Modeling'!$C:$C,Y$11),VLOOKUP(RentalsVacates!Y$12-RentalsVacates!$F16-1,RentalsVacates!$A$8:$C$162,2,FALSE)*VLOOKUP(Y$11,'Attrition Modeling'!$L$15:$N$27,IF(Y$12-$F16&lt;=24,2,3),FALSE))*(1+IF('Traditional Attrition'!Y138&gt;0,'Attrition Modeling'!$N$9,0))),0))</f>
        <v>1359.758197202653</v>
      </c>
      <c r="Z16" s="799">
        <f>IF(Z$12=$F16+1,IF(Monthly!V$4=TRUE,0,Z$3),IF(Z$12&gt;$F16+1,RentalsVacates!Y16*(1-IF(Z$12-$F16&lt;=12,SUMIFS('Attrition Modeling'!$D:$D,'Attrition Modeling'!$B:$B,$E16,'Attrition Modeling'!$C:$C,Z$11),VLOOKUP(RentalsVacates!Z$12-RentalsVacates!$F16-1,RentalsVacates!$A$8:$C$162,2,FALSE)*VLOOKUP(Z$11,'Attrition Modeling'!$L$15:$N$27,IF(Z$12-$F16&lt;=24,2,3),FALSE))*(1+IF('Traditional Attrition'!Z138&gt;0,'Attrition Modeling'!$N$9,0))),0))</f>
        <v>1293.0743807092833</v>
      </c>
      <c r="AA16" s="799">
        <f>IF(AA$12=$F16+1,IF(Monthly!W$4=TRUE,0,AA$3),IF(AA$12&gt;$F16+1,RentalsVacates!Z16*(1-IF(AA$12-$F16&lt;=12,SUMIFS('Attrition Modeling'!$D:$D,'Attrition Modeling'!$B:$B,$E16,'Attrition Modeling'!$C:$C,AA$11),VLOOKUP(RentalsVacates!AA$12-RentalsVacates!$F16-1,RentalsVacates!$A$8:$C$162,2,FALSE)*VLOOKUP(AA$11,'Attrition Modeling'!$L$15:$N$27,IF(AA$12-$F16&lt;=24,2,3),FALSE))*(1+IF('Traditional Attrition'!AA138&gt;0,'Attrition Modeling'!$N$9,0))),0))</f>
        <v>1228.8035841683022</v>
      </c>
      <c r="AB16" s="799">
        <f>IF(AB$12=$F16+1,IF(Monthly!X$4=TRUE,0,AB$3),IF(AB$12&gt;$F16+1,RentalsVacates!AA16*(1-IF(AB$12-$F16&lt;=12,SUMIFS('Attrition Modeling'!$D:$D,'Attrition Modeling'!$B:$B,$E16,'Attrition Modeling'!$C:$C,AB$11),VLOOKUP(RentalsVacates!AB$12-RentalsVacates!$F16-1,RentalsVacates!$A$8:$C$162,2,FALSE)*VLOOKUP(AB$11,'Attrition Modeling'!$L$15:$N$27,IF(AB$12-$F16&lt;=24,2,3),FALSE))*(1+IF('Traditional Attrition'!AB138&gt;0,'Attrition Modeling'!$N$9,0))),0))</f>
        <v>1163.6257905525224</v>
      </c>
      <c r="AC16" s="799">
        <f>IF(AC$12=$F16+1,IF(Monthly!Y$4=TRUE,0,AC$3),IF(AC$12&gt;$F16+1,RentalsVacates!AB16*(1-IF(AC$12-$F16&lt;=12,SUMIFS('Attrition Modeling'!$D:$D,'Attrition Modeling'!$B:$B,$E16,'Attrition Modeling'!$C:$C,AC$11),VLOOKUP(RentalsVacates!AC$12-RentalsVacates!$F16-1,RentalsVacates!$A$8:$C$162,2,FALSE)*VLOOKUP(AC$11,'Attrition Modeling'!$L$15:$N$27,IF(AC$12-$F16&lt;=24,2,3),FALSE))*(1+IF('Traditional Attrition'!AC138&gt;0,'Attrition Modeling'!$N$9,0))),0))</f>
        <v>1112.1313858604904</v>
      </c>
      <c r="AD16" s="799">
        <f>IF(AD$12=$F16+1,IF(Monthly!Z$4=TRUE,0,AD$3),IF(AD$12&gt;$F16+1,RentalsVacates!AC16*(1-IF(AD$12-$F16&lt;=12,SUMIFS('Attrition Modeling'!$D:$D,'Attrition Modeling'!$B:$B,$E16,'Attrition Modeling'!$C:$C,AD$11),VLOOKUP(RentalsVacates!AD$12-RentalsVacates!$F16-1,RentalsVacates!$A$8:$C$162,2,FALSE)*VLOOKUP(AD$11,'Attrition Modeling'!$L$15:$N$27,IF(AD$12-$F16&lt;=24,2,3),FALSE))*(1+IF('Traditional Attrition'!AD138&gt;0,'Attrition Modeling'!$N$9,0))),0))</f>
        <v>1065.6859683006292</v>
      </c>
      <c r="AE16" s="799">
        <f>IF(AE$12=$F16+1,IF(Monthly!AA$4=TRUE,0,AE$3),IF(AE$12&gt;$F16+1,RentalsVacates!AD16*(1-IF(AE$12-$F16&lt;=12,SUMIFS('Attrition Modeling'!$D:$D,'Attrition Modeling'!$B:$B,$E16,'Attrition Modeling'!$C:$C,AE$11),VLOOKUP(RentalsVacates!AE$12-RentalsVacates!$F16-1,RentalsVacates!$A$8:$C$162,2,FALSE)*VLOOKUP(AE$11,'Attrition Modeling'!$L$15:$N$27,IF(AE$12-$F16&lt;=24,2,3),FALSE))*(1+IF('Traditional Attrition'!AE138&gt;0,'Attrition Modeling'!$N$9,0))),0))</f>
        <v>1022.4001303990607</v>
      </c>
      <c r="AF16" s="799">
        <f>IF(AF$12=$F16+1,IF(Monthly!AB$4=TRUE,0,AF$3),IF(AF$12&gt;$F16+1,RentalsVacates!AE16*(1-IF(AF$12-$F16&lt;=12,SUMIFS('Attrition Modeling'!$D:$D,'Attrition Modeling'!$B:$B,$E16,'Attrition Modeling'!$C:$C,AF$11),VLOOKUP(RentalsVacates!AF$12-RentalsVacates!$F16-1,RentalsVacates!$A$8:$C$162,2,FALSE)*VLOOKUP(AF$11,'Attrition Modeling'!$L$15:$N$27,IF(AF$12-$F16&lt;=24,2,3),FALSE))*(1+IF('Traditional Attrition'!AF138&gt;0,'Attrition Modeling'!$N$9,0))),0))</f>
        <v>981.4812347815905</v>
      </c>
      <c r="AG16" s="799">
        <f>IF(AG$12=$F16+1,IF(Monthly!AC$4=TRUE,0,AG$3),IF(AG$12&gt;$F16+1,RentalsVacates!AF16*(1-IF(AG$12-$F16&lt;=12,SUMIFS('Attrition Modeling'!$D:$D,'Attrition Modeling'!$B:$B,$E16,'Attrition Modeling'!$C:$C,AG$11),VLOOKUP(RentalsVacates!AG$12-RentalsVacates!$F16-1,RentalsVacates!$A$8:$C$162,2,FALSE)*VLOOKUP(AG$11,'Attrition Modeling'!$L$15:$N$27,IF(AG$12-$F16&lt;=24,2,3),FALSE))*(1+IF('Traditional Attrition'!AG138&gt;0,'Attrition Modeling'!$N$9,0))),0))</f>
        <v>946.55168508047916</v>
      </c>
      <c r="AH16" s="799">
        <f>IF(AH$12=$F16+1,IF(Monthly!AD$4=TRUE,0,AH$3),IF(AH$12&gt;$F16+1,RentalsVacates!AG16*(1-IF(AH$12-$F16&lt;=12,SUMIFS('Attrition Modeling'!$D:$D,'Attrition Modeling'!$B:$B,$E16,'Attrition Modeling'!$C:$C,AH$11),VLOOKUP(RentalsVacates!AH$12-RentalsVacates!$F16-1,RentalsVacates!$A$8:$C$162,2,FALSE)*VLOOKUP(AH$11,'Attrition Modeling'!$L$15:$N$27,IF(AH$12-$F16&lt;=24,2,3),FALSE))*(1+IF('Traditional Attrition'!AH138&gt;0,'Attrition Modeling'!$N$9,0))),0))</f>
        <v>910.36713231897431</v>
      </c>
      <c r="AI16" s="799">
        <f>IF(AI$12=$F16+1,IF(Monthly!AE$4=TRUE,0,AI$3),IF(AI$12&gt;$F16+1,RentalsVacates!AH16*(1-IF(AI$12-$F16&lt;=12,SUMIFS('Attrition Modeling'!$D:$D,'Attrition Modeling'!$B:$B,$E16,'Attrition Modeling'!$C:$C,AI$11),VLOOKUP(RentalsVacates!AI$12-RentalsVacates!$F16-1,RentalsVacates!$A$8:$C$162,2,FALSE)*VLOOKUP(AI$11,'Attrition Modeling'!$L$15:$N$27,IF(AI$12-$F16&lt;=24,2,3),FALSE))*(1+IF('Traditional Attrition'!AI138&gt;0,'Attrition Modeling'!$N$9,0))),0))</f>
        <v>886.02620343209264</v>
      </c>
      <c r="AJ16" s="799">
        <f>IF(AJ$12=$F16+1,IF(Monthly!AF$4=TRUE,0,AJ$3),IF(AJ$12&gt;$F16+1,RentalsVacates!AI16*(1-IF(AJ$12-$F16&lt;=12,SUMIFS('Attrition Modeling'!$D:$D,'Attrition Modeling'!$B:$B,$E16,'Attrition Modeling'!$C:$C,AJ$11),VLOOKUP(RentalsVacates!AJ$12-RentalsVacates!$F16-1,RentalsVacates!$A$8:$C$162,2,FALSE)*VLOOKUP(AJ$11,'Attrition Modeling'!$L$15:$N$27,IF(AJ$12-$F16&lt;=24,2,3),FALSE))*(1+IF('Traditional Attrition'!AJ138&gt;0,'Attrition Modeling'!$N$9,0))),0))</f>
        <v>857.82435413158487</v>
      </c>
      <c r="AK16" s="799">
        <f>IF(AK$12=$F16+1,IF(Monthly!AG$4=TRUE,0,AK$3),IF(AK$12&gt;$F16+1,RentalsVacates!AJ16*(1-IF(AK$12-$F16&lt;=12,SUMIFS('Attrition Modeling'!$D:$D,'Attrition Modeling'!$B:$B,$E16,'Attrition Modeling'!$C:$C,AK$11),VLOOKUP(RentalsVacates!AK$12-RentalsVacates!$F16-1,RentalsVacates!$A$8:$C$162,2,FALSE)*VLOOKUP(AK$11,'Attrition Modeling'!$L$15:$N$27,IF(AK$12-$F16&lt;=24,2,3),FALSE))*(1+IF('Traditional Attrition'!AK138&gt;0,'Attrition Modeling'!$N$9,0))),0))</f>
        <v>827.0841624381186</v>
      </c>
      <c r="AL16" s="799">
        <f>IF(AL$12=$F16+1,IF(Monthly!AH$4=TRUE,0,AL$3),IF(AL$12&gt;$F16+1,RentalsVacates!AK16*(1-IF(AL$12-$F16&lt;=12,SUMIFS('Attrition Modeling'!$D:$D,'Attrition Modeling'!$B:$B,$E16,'Attrition Modeling'!$C:$C,AL$11),VLOOKUP(RentalsVacates!AL$12-RentalsVacates!$F16-1,RentalsVacates!$A$8:$C$162,2,FALSE)*VLOOKUP(AL$11,'Attrition Modeling'!$L$15:$N$27,IF(AL$12-$F16&lt;=24,2,3),FALSE))*(1+IF('Traditional Attrition'!AL138&gt;0,'Attrition Modeling'!$N$9,0))),0))</f>
        <v>795.21765875208769</v>
      </c>
      <c r="AM16" s="799">
        <f>IF(AM$12=$F16+1,IF(Monthly!AI$4=TRUE,0,AM$3),IF(AM$12&gt;$F16+1,RentalsVacates!AL16*(1-IF(AM$12-$F16&lt;=12,SUMIFS('Attrition Modeling'!$D:$D,'Attrition Modeling'!$B:$B,$E16,'Attrition Modeling'!$C:$C,AM$11),VLOOKUP(RentalsVacates!AM$12-RentalsVacates!$F16-1,RentalsVacates!$A$8:$C$162,2,FALSE)*VLOOKUP(AM$11,'Attrition Modeling'!$L$15:$N$27,IF(AM$12-$F16&lt;=24,2,3),FALSE))*(1+IF('Traditional Attrition'!AM138&gt;0,'Attrition Modeling'!$N$9,0))),0))</f>
        <v>762.73843126888596</v>
      </c>
      <c r="AN16" s="799">
        <f>IF(AN$12=$F16+1,IF(Monthly!AJ$4=TRUE,0,AN$3),IF(AN$12&gt;$F16+1,RentalsVacates!AM16*(1-IF(AN$12-$F16&lt;=12,SUMIFS('Attrition Modeling'!$D:$D,'Attrition Modeling'!$B:$B,$E16,'Attrition Modeling'!$C:$C,AN$11),VLOOKUP(RentalsVacates!AN$12-RentalsVacates!$F16-1,RentalsVacates!$A$8:$C$162,2,FALSE)*VLOOKUP(AN$11,'Attrition Modeling'!$L$15:$N$27,IF(AN$12-$F16&lt;=24,2,3),FALSE))*(1+IF('Traditional Attrition'!AN138&gt;0,'Attrition Modeling'!$N$9,0))),0))</f>
        <v>728.07168515223248</v>
      </c>
      <c r="AO16" s="799">
        <f>IF(AO$12=$F16+1,IF(Monthly!AK$4=TRUE,0,AO$3),IF(AO$12&gt;$F16+1,RentalsVacates!AN16*(1-IF(AO$12-$F16&lt;=12,SUMIFS('Attrition Modeling'!$D:$D,'Attrition Modeling'!$B:$B,$E16,'Attrition Modeling'!$C:$C,AO$11),VLOOKUP(RentalsVacates!AO$12-RentalsVacates!$F16-1,RentalsVacates!$A$8:$C$162,2,FALSE)*VLOOKUP(AO$11,'Attrition Modeling'!$L$15:$N$27,IF(AO$12-$F16&lt;=24,2,3),FALSE))*(1+IF('Traditional Attrition'!AO138&gt;0,'Attrition Modeling'!$N$9,0))),0))</f>
        <v>701.77116364413632</v>
      </c>
      <c r="AP16" s="799">
        <f>IF(AP$12=$F16+1,IF(Monthly!AL$4=TRUE,0,AP$3),IF(AP$12&gt;$F16+1,RentalsVacates!AO16*(1-IF(AP$12-$F16&lt;=12,SUMIFS('Attrition Modeling'!$D:$D,'Attrition Modeling'!$B:$B,$E16,'Attrition Modeling'!$C:$C,AP$11),VLOOKUP(RentalsVacates!AP$12-RentalsVacates!$F16-1,RentalsVacates!$A$8:$C$162,2,FALSE)*VLOOKUP(AP$11,'Attrition Modeling'!$L$15:$N$27,IF(AP$12-$F16&lt;=24,2,3),FALSE))*(1+IF('Traditional Attrition'!AP138&gt;0,'Attrition Modeling'!$N$9,0))),0))</f>
        <v>677.29039592326831</v>
      </c>
      <c r="AQ16" s="799">
        <f>IF(AQ$12=$F16+1,IF(Monthly!AM$4=TRUE,0,AQ$3),IF(AQ$12&gt;$F16+1,RentalsVacates!AP16*(1-IF(AQ$12-$F16&lt;=12,SUMIFS('Attrition Modeling'!$D:$D,'Attrition Modeling'!$B:$B,$E16,'Attrition Modeling'!$C:$C,AQ$11),VLOOKUP(RentalsVacates!AQ$12-RentalsVacates!$F16-1,RentalsVacates!$A$8:$C$162,2,FALSE)*VLOOKUP(AQ$11,'Attrition Modeling'!$L$15:$N$27,IF(AQ$12-$F16&lt;=24,2,3),FALSE))*(1+IF('Traditional Attrition'!AQ138&gt;0,'Attrition Modeling'!$N$9,0))),0))</f>
        <v>658.04843006422198</v>
      </c>
      <c r="AR16" s="799">
        <f>IF(AR$12=$F16+1,IF(Monthly!AN$4=TRUE,0,AR$3),IF(AR$12&gt;$F16+1,RentalsVacates!AQ16*(1-IF(AR$12-$F16&lt;=12,SUMIFS('Attrition Modeling'!$D:$D,'Attrition Modeling'!$B:$B,$E16,'Attrition Modeling'!$C:$C,AR$11),VLOOKUP(RentalsVacates!AR$12-RentalsVacates!$F16-1,RentalsVacates!$A$8:$C$162,2,FALSE)*VLOOKUP(AR$11,'Attrition Modeling'!$L$15:$N$27,IF(AR$12-$F16&lt;=24,2,3),FALSE))*(1+IF('Traditional Attrition'!AR138&gt;0,'Attrition Modeling'!$N$9,0))),0))</f>
        <v>637.58832212731772</v>
      </c>
      <c r="AS16" s="799">
        <f>IF(AS$12=$F16+1,IF(Monthly!AO$4=TRUE,0,AS$3),IF(AS$12&gt;$F16+1,RentalsVacates!AR16*(1-IF(AS$12-$F16&lt;=12,SUMIFS('Attrition Modeling'!$D:$D,'Attrition Modeling'!$B:$B,$E16,'Attrition Modeling'!$C:$C,AS$11),VLOOKUP(RentalsVacates!AS$12-RentalsVacates!$F16-1,RentalsVacates!$A$8:$C$162,2,FALSE)*VLOOKUP(AS$11,'Attrition Modeling'!$L$15:$N$27,IF(AS$12-$F16&lt;=24,2,3),FALSE))*(1+IF('Traditional Attrition'!AS138&gt;0,'Attrition Modeling'!$N$9,0))),0))</f>
        <v>618.60231049645006</v>
      </c>
      <c r="AT16" s="799">
        <f>IF(AT$12=$F16+1,IF(Monthly!AP$4=TRUE,0,AT$3),IF(AT$12&gt;$F16+1,RentalsVacates!AS16*(1-IF(AT$12-$F16&lt;=12,SUMIFS('Attrition Modeling'!$D:$D,'Attrition Modeling'!$B:$B,$E16,'Attrition Modeling'!$C:$C,AT$11),VLOOKUP(RentalsVacates!AT$12-RentalsVacates!$F16-1,RentalsVacates!$A$8:$C$162,2,FALSE)*VLOOKUP(AT$11,'Attrition Modeling'!$L$15:$N$27,IF(AT$12-$F16&lt;=24,2,3),FALSE))*(1+IF('Traditional Attrition'!AT138&gt;0,'Attrition Modeling'!$N$9,0))),0))</f>
        <v>601.1507194112711</v>
      </c>
      <c r="AU16" s="799">
        <f>IF(AU$12=$F16+1,IF(Monthly!AQ$4=TRUE,0,AU$3),IF(AU$12&gt;$F16+1,RentalsVacates!AT16*(1-IF(AU$12-$F16&lt;=12,SUMIFS('Attrition Modeling'!$D:$D,'Attrition Modeling'!$B:$B,$E16,'Attrition Modeling'!$C:$C,AU$11),VLOOKUP(RentalsVacates!AU$12-RentalsVacates!$F16-1,RentalsVacates!$A$8:$C$162,2,FALSE)*VLOOKUP(AU$11,'Attrition Modeling'!$L$15:$N$27,IF(AU$12-$F16&lt;=24,2,3),FALSE))*(1+IF('Traditional Attrition'!AU138&gt;0,'Attrition Modeling'!$N$9,0))),0))</f>
        <v>587.80974174642415</v>
      </c>
      <c r="AV16" s="799">
        <f>IF(AV$12=$F16+1,IF(Monthly!AR$4=TRUE,0,AV$3),IF(AV$12&gt;$F16+1,RentalsVacates!AU16*(1-IF(AV$12-$F16&lt;=12,SUMIFS('Attrition Modeling'!$D:$D,'Attrition Modeling'!$B:$B,$E16,'Attrition Modeling'!$C:$C,AV$11),VLOOKUP(RentalsVacates!AV$12-RentalsVacates!$F16-1,RentalsVacates!$A$8:$C$162,2,FALSE)*VLOOKUP(AV$11,'Attrition Modeling'!$L$15:$N$27,IF(AV$12-$F16&lt;=24,2,3),FALSE))*(1+IF('Traditional Attrition'!AV138&gt;0,'Attrition Modeling'!$N$9,0))),0))</f>
        <v>572.22871135821401</v>
      </c>
      <c r="AW16" s="799">
        <f>IF(AW$12=$F16+1,IF(Monthly!AS$4=TRUE,0,AW$3),IF(AW$12&gt;$F16+1,RentalsVacates!AV16*(1-IF(AW$12-$F16&lt;=12,SUMIFS('Attrition Modeling'!$D:$D,'Attrition Modeling'!$B:$B,$E16,'Attrition Modeling'!$C:$C,AW$11),VLOOKUP(RentalsVacates!AW$12-RentalsVacates!$F16-1,RentalsVacates!$A$8:$C$162,2,FALSE)*VLOOKUP(AW$11,'Attrition Modeling'!$L$15:$N$27,IF(AW$12-$F16&lt;=24,2,3),FALSE))*(1+IF('Traditional Attrition'!AW138&gt;0,'Attrition Modeling'!$N$9,0))),0))</f>
        <v>555.09860405719644</v>
      </c>
      <c r="AX16" s="799">
        <f>IF(AX$12=$F16+1,IF(Monthly!AT$4=TRUE,0,AX$3),IF(AX$12&gt;$F16+1,RentalsVacates!AW16*(1-IF(AX$12-$F16&lt;=12,SUMIFS('Attrition Modeling'!$D:$D,'Attrition Modeling'!$B:$B,$E16,'Attrition Modeling'!$C:$C,AX$11),VLOOKUP(RentalsVacates!AX$12-RentalsVacates!$F16-1,RentalsVacates!$A$8:$C$162,2,FALSE)*VLOOKUP(AX$11,'Attrition Modeling'!$L$15:$N$27,IF(AX$12-$F16&lt;=24,2,3),FALSE))*(1+IF('Traditional Attrition'!AX138&gt;0,'Attrition Modeling'!$N$9,0))),0))</f>
        <v>537.17983575146559</v>
      </c>
      <c r="AY16" s="799">
        <f>IF(AY$12=$F16+1,IF(Monthly!AU$4=TRUE,0,AY$3),IF(AY$12&gt;$F16+1,RentalsVacates!AX16*(1-IF(AY$12-$F16&lt;=12,SUMIFS('Attrition Modeling'!$D:$D,'Attrition Modeling'!$B:$B,$E16,'Attrition Modeling'!$C:$C,AY$11),VLOOKUP(RentalsVacates!AY$12-RentalsVacates!$F16-1,RentalsVacates!$A$8:$C$162,2,FALSE)*VLOOKUP(AY$11,'Attrition Modeling'!$L$15:$N$27,IF(AY$12-$F16&lt;=24,2,3),FALSE))*(1+IF('Traditional Attrition'!AY138&gt;0,'Attrition Modeling'!$N$9,0))),0))</f>
        <v>518.74717599581402</v>
      </c>
      <c r="AZ16" s="799">
        <f>IF(AZ$12=$F16+1,IF(Monthly!AV$4=TRUE,0,AZ$3),IF(AZ$12&gt;$F16+1,RentalsVacates!AY16*(1-IF(AZ$12-$F16&lt;=12,SUMIFS('Attrition Modeling'!$D:$D,'Attrition Modeling'!$B:$B,$E16,'Attrition Modeling'!$C:$C,AZ$11),VLOOKUP(RentalsVacates!AZ$12-RentalsVacates!$F16-1,RentalsVacates!$A$8:$C$162,2,FALSE)*VLOOKUP(AZ$11,'Attrition Modeling'!$L$15:$N$27,IF(AZ$12-$F16&lt;=24,2,3),FALSE))*(1+IF('Traditional Attrition'!AZ138&gt;0,'Attrition Modeling'!$N$9,0))),0))</f>
        <v>498.88770654321939</v>
      </c>
      <c r="BA16" s="799">
        <f>IF(BA$12=$F16+1,IF(Monthly!AW$4=TRUE,0,BA$3),IF(BA$12&gt;$F16+1,RentalsVacates!AZ16*(1-IF(BA$12-$F16&lt;=12,SUMIFS('Attrition Modeling'!$D:$D,'Attrition Modeling'!$B:$B,$E16,'Attrition Modeling'!$C:$C,BA$11),VLOOKUP(RentalsVacates!BA$12-RentalsVacates!$F16-1,RentalsVacates!$A$8:$C$162,2,FALSE)*VLOOKUP(BA$11,'Attrition Modeling'!$L$15:$N$27,IF(BA$12-$F16&lt;=24,2,3),FALSE))*(1+IF('Traditional Attrition'!BA138&gt;0,'Attrition Modeling'!$N$9,0))),0))</f>
        <v>483.67069660958822</v>
      </c>
      <c r="BB16" s="799">
        <f>IF(BB$12=$F16+1,IF(Monthly!AX$4=TRUE,0,BB$3),IF(BB$12&gt;$F16+1,RentalsVacates!BA16*(1-IF(BB$12-$F16&lt;=12,SUMIFS('Attrition Modeling'!$D:$D,'Attrition Modeling'!$B:$B,$E16,'Attrition Modeling'!$C:$C,BB$11),VLOOKUP(RentalsVacates!BB$12-RentalsVacates!$F16-1,RentalsVacates!$A$8:$C$162,2,FALSE)*VLOOKUP(BB$11,'Attrition Modeling'!$L$15:$N$27,IF(BB$12-$F16&lt;=24,2,3),FALSE))*(1+IF('Traditional Attrition'!BB138&gt;0,'Attrition Modeling'!$N$9,0))),0))</f>
        <v>469.39101786560138</v>
      </c>
      <c r="BC16" s="799">
        <f>IF(BC$12=$F16+1,IF(Monthly!AY$4=TRUE,0,BC$3),IF(BC$12&gt;$F16+1,RentalsVacates!BB16*(1-IF(BC$12-$F16&lt;=12,SUMIFS('Attrition Modeling'!$D:$D,'Attrition Modeling'!$B:$B,$E16,'Attrition Modeling'!$C:$C,BC$11),VLOOKUP(RentalsVacates!BC$12-RentalsVacates!$F16-1,RentalsVacates!$A$8:$C$162,2,FALSE)*VLOOKUP(BC$11,'Attrition Modeling'!$L$15:$N$27,IF(BC$12-$F16&lt;=24,2,3),FALSE))*(1+IF('Traditional Attrition'!BC138&gt;0,'Attrition Modeling'!$N$9,0))),0))</f>
        <v>458.08012997816809</v>
      </c>
      <c r="BD16" s="799">
        <f>IF(BD$12=$F16+1,IF(Monthly!AZ$4=TRUE,0,BD$3),IF(BD$12&gt;$F16+1,RentalsVacates!BC16*(1-IF(BD$12-$F16&lt;=12,SUMIFS('Attrition Modeling'!$D:$D,'Attrition Modeling'!$B:$B,$E16,'Attrition Modeling'!$C:$C,BD$11),VLOOKUP(RentalsVacates!BD$12-RentalsVacates!$F16-1,RentalsVacates!$A$8:$C$162,2,FALSE)*VLOOKUP(BD$11,'Attrition Modeling'!$L$15:$N$27,IF(BD$12-$F16&lt;=24,2,3),FALSE))*(1+IF('Traditional Attrition'!BD138&gt;0,'Attrition Modeling'!$N$9,0))),0))</f>
        <v>445.97480212331715</v>
      </c>
      <c r="BE16" s="799">
        <f>IF(BE$12=$F16+1,IF(Monthly!BA$4=TRUE,0,BE$3),IF(BE$12&gt;$F16+1,RentalsVacates!BD16*(1-IF(BE$12-$F16&lt;=12,SUMIFS('Attrition Modeling'!$D:$D,'Attrition Modeling'!$B:$B,$E16,'Attrition Modeling'!$C:$C,BE$11),VLOOKUP(RentalsVacates!BE$12-RentalsVacates!$F16-1,RentalsVacates!$A$8:$C$162,2,FALSE)*VLOOKUP(BE$11,'Attrition Modeling'!$L$15:$N$27,IF(BE$12-$F16&lt;=24,2,3),FALSE))*(1+IF('Traditional Attrition'!BE138&gt;0,'Attrition Modeling'!$N$9,0))),0))</f>
        <v>434.66540771139438</v>
      </c>
      <c r="BF16" s="799">
        <f>IF(BF$12=$F16+1,IF(Monthly!BB$4=TRUE,0,BF$3),IF(BF$12&gt;$F16+1,RentalsVacates!BE16*(1-IF(BF$12-$F16&lt;=12,SUMIFS('Attrition Modeling'!$D:$D,'Attrition Modeling'!$B:$B,$E16,'Attrition Modeling'!$C:$C,BF$11),VLOOKUP(RentalsVacates!BF$12-RentalsVacates!$F16-1,RentalsVacates!$A$8:$C$162,2,FALSE)*VLOOKUP(BF$11,'Attrition Modeling'!$L$15:$N$27,IF(BF$12-$F16&lt;=24,2,3),FALSE))*(1+IF('Traditional Attrition'!BF138&gt;0,'Attrition Modeling'!$N$9,0))),0))</f>
        <v>424.20325621479037</v>
      </c>
      <c r="BG16" s="799">
        <f>IF(BG$12=$F16+1,IF(Monthly!BC$4=TRUE,0,BG$3),IF(BG$12&gt;$F16+1,RentalsVacates!BF16*(1-IF(BG$12-$F16&lt;=12,SUMIFS('Attrition Modeling'!$D:$D,'Attrition Modeling'!$B:$B,$E16,'Attrition Modeling'!$C:$C,BG$11),VLOOKUP(RentalsVacates!BG$12-RentalsVacates!$F16-1,RentalsVacates!$A$8:$C$162,2,FALSE)*VLOOKUP(BG$11,'Attrition Modeling'!$L$15:$N$27,IF(BG$12-$F16&lt;=24,2,3),FALSE))*(1+IF('Traditional Attrition'!BG138&gt;0,'Attrition Modeling'!$N$9,0))),0))</f>
        <v>416.21119644775206</v>
      </c>
      <c r="BH16" s="799">
        <f>IF(BH$12=$F16+1,IF(Monthly!BD$4=TRUE,0,BH$3),IF(BH$12&gt;$F16+1,RentalsVacates!BG16*(1-IF(BH$12-$F16&lt;=12,SUMIFS('Attrition Modeling'!$D:$D,'Attrition Modeling'!$B:$B,$E16,'Attrition Modeling'!$C:$C,BH$11),VLOOKUP(RentalsVacates!BH$12-RentalsVacates!$F16-1,RentalsVacates!$A$8:$C$162,2,FALSE)*VLOOKUP(BH$11,'Attrition Modeling'!$L$15:$N$27,IF(BH$12-$F16&lt;=24,2,3),FALSE))*(1+IF('Traditional Attrition'!BH138&gt;0,'Attrition Modeling'!$N$9,0))),0))</f>
        <v>406.83102197499841</v>
      </c>
      <c r="BI16" s="799">
        <f>IF(BI$12=$F16+1,IF(Monthly!BE$4=TRUE,0,BI$3),IF(BI$12&gt;$F16+1,RentalsVacates!BH16*(1-IF(BI$12-$F16&lt;=12,SUMIFS('Attrition Modeling'!$D:$D,'Attrition Modeling'!$B:$B,$E16,'Attrition Modeling'!$C:$C,BI$11),VLOOKUP(RentalsVacates!BI$12-RentalsVacates!$F16-1,RentalsVacates!$A$8:$C$162,2,FALSE)*VLOOKUP(BI$11,'Attrition Modeling'!$L$15:$N$27,IF(BI$12-$F16&lt;=24,2,3),FALSE))*(1+IF('Traditional Attrition'!BI138&gt;0,'Attrition Modeling'!$N$9,0))),0))</f>
        <v>396.46138660620613</v>
      </c>
      <c r="BJ16" s="799">
        <f>IF(BJ$12=$F16+1,IF(Monthly!BF$4=TRUE,0,BJ$3),IF(BJ$12&gt;$F16+1,RentalsVacates!BI16*(1-IF(BJ$12-$F16&lt;=12,SUMIFS('Attrition Modeling'!$D:$D,'Attrition Modeling'!$B:$B,$E16,'Attrition Modeling'!$C:$C,BJ$11),VLOOKUP(RentalsVacates!BJ$12-RentalsVacates!$F16-1,RentalsVacates!$A$8:$C$162,2,FALSE)*VLOOKUP(BJ$11,'Attrition Modeling'!$L$15:$N$27,IF(BJ$12-$F16&lt;=24,2,3),FALSE))*(1+IF('Traditional Attrition'!BJ138&gt;0,'Attrition Modeling'!$N$9,0))),0))</f>
        <v>385.54986767231554</v>
      </c>
      <c r="BK16" s="799">
        <f>IF(BK$12=$F16+1,IF(Monthly!BG$4=TRUE,0,BK$3),IF(BK$12&gt;$F16+1,RentalsVacates!BJ16*(1-IF(BK$12-$F16&lt;=12,SUMIFS('Attrition Modeling'!$D:$D,'Attrition Modeling'!$B:$B,$E16,'Attrition Modeling'!$C:$C,BK$11),VLOOKUP(RentalsVacates!BK$12-RentalsVacates!$F16-1,RentalsVacates!$A$8:$C$162,2,FALSE)*VLOOKUP(BK$11,'Attrition Modeling'!$L$15:$N$27,IF(BK$12-$F16&lt;=24,2,3),FALSE))*(1+IF('Traditional Attrition'!BK138&gt;0,'Attrition Modeling'!$N$9,0))),0))</f>
        <v>374.25579550417672</v>
      </c>
      <c r="BL16" s="799">
        <f>IF(BL$12=$F16+1,IF(Monthly!BH$4=TRUE,0,BL$3),IF(BL$12&gt;$F16+1,RentalsVacates!BK16*(1-IF(BL$12-$F16&lt;=12,SUMIFS('Attrition Modeling'!$D:$D,'Attrition Modeling'!$B:$B,$E16,'Attrition Modeling'!$C:$C,BL$11),VLOOKUP(RentalsVacates!BL$12-RentalsVacates!$F16-1,RentalsVacates!$A$8:$C$162,2,FALSE)*VLOOKUP(BL$11,'Attrition Modeling'!$L$15:$N$27,IF(BL$12-$F16&lt;=24,2,3),FALSE))*(1+IF('Traditional Attrition'!BL138&gt;0,'Attrition Modeling'!$N$9,0))),0))</f>
        <v>362.00942359716163</v>
      </c>
      <c r="BM16" s="799">
        <f>IF(BM$12=$F16+1,IF(Monthly!BI$4=TRUE,0,BM$3),IF(BM$12&gt;$F16+1,RentalsVacates!BL16*(1-IF(BM$12-$F16&lt;=12,SUMIFS('Attrition Modeling'!$D:$D,'Attrition Modeling'!$B:$B,$E16,'Attrition Modeling'!$C:$C,BM$11),VLOOKUP(RentalsVacates!BM$12-RentalsVacates!$F16-1,RentalsVacates!$A$8:$C$162,2,FALSE)*VLOOKUP(BM$11,'Attrition Modeling'!$L$15:$N$27,IF(BM$12-$F16&lt;=24,2,3),FALSE))*(1+IF('Traditional Attrition'!BM138&gt;0,'Attrition Modeling'!$N$9,0))),0))</f>
        <v>352.5607613245391</v>
      </c>
      <c r="BN16" s="799">
        <f>IF(BN$12=$F16+1,IF(Monthly!BJ$4=TRUE,0,BN$3),IF(BN$12&gt;$F16+1,RentalsVacates!BM16*(1-IF(BN$12-$F16&lt;=12,SUMIFS('Attrition Modeling'!$D:$D,'Attrition Modeling'!$B:$B,$E16,'Attrition Modeling'!$C:$C,BN$11),VLOOKUP(RentalsVacates!BN$12-RentalsVacates!$F16-1,RentalsVacates!$A$8:$C$162,2,FALSE)*VLOOKUP(BN$11,'Attrition Modeling'!$L$15:$N$27,IF(BN$12-$F16&lt;=24,2,3),FALSE))*(1+IF('Traditional Attrition'!BN138&gt;0,'Attrition Modeling'!$N$9,0))),0))</f>
        <v>343.64421605225533</v>
      </c>
      <c r="BO16" s="799">
        <f>IF(BO$12=$F16+1,IF(Monthly!BK$4=TRUE,0,BO$3),IF(BO$12&gt;$F16+1,RentalsVacates!BN16*(1-IF(BO$12-$F16&lt;=12,SUMIFS('Attrition Modeling'!$D:$D,'Attrition Modeling'!$B:$B,$E16,'Attrition Modeling'!$C:$C,BO$11),VLOOKUP(RentalsVacates!BO$12-RentalsVacates!$F16-1,RentalsVacates!$A$8:$C$162,2,FALSE)*VLOOKUP(BO$11,'Attrition Modeling'!$L$15:$N$27,IF(BO$12-$F16&lt;=24,2,3),FALSE))*(1+IF('Traditional Attrition'!BO138&gt;0,'Attrition Modeling'!$N$9,0))),0))</f>
        <v>336.5433788142816</v>
      </c>
      <c r="BP16" s="799">
        <f>IF(BP$12=$F16+1,IF(Monthly!BL$4=TRUE,0,BP$3),IF(BP$12&gt;$F16+1,RentalsVacates!BO16*(1-IF(BP$12-$F16&lt;=12,SUMIFS('Attrition Modeling'!$D:$D,'Attrition Modeling'!$B:$B,$E16,'Attrition Modeling'!$C:$C,BP$11),VLOOKUP(RentalsVacates!BP$12-RentalsVacates!$F16-1,RentalsVacates!$A$8:$C$162,2,FALSE)*VLOOKUP(BP$11,'Attrition Modeling'!$L$15:$N$27,IF(BP$12-$F16&lt;=24,2,3),FALSE))*(1+IF('Traditional Attrition'!BP138&gt;0,'Attrition Modeling'!$N$9,0))),0))</f>
        <v>328.90967631188528</v>
      </c>
      <c r="BQ16" s="799">
        <f>IF(BQ$12=$F16+1,IF(Monthly!BM$4=TRUE,0,BQ$3),IF(BQ$12&gt;$F16+1,RentalsVacates!BP16*(1-IF(BQ$12-$F16&lt;=12,SUMIFS('Attrition Modeling'!$D:$D,'Attrition Modeling'!$B:$B,$E16,'Attrition Modeling'!$C:$C,BQ$11),VLOOKUP(RentalsVacates!BQ$12-RentalsVacates!$F16-1,RentalsVacates!$A$8:$C$162,2,FALSE)*VLOOKUP(BQ$11,'Attrition Modeling'!$L$15:$N$27,IF(BQ$12-$F16&lt;=24,2,3),FALSE))*(1+IF('Traditional Attrition'!BQ138&gt;0,'Attrition Modeling'!$N$9,0))),0))</f>
        <v>321.7439153923043</v>
      </c>
      <c r="BR16" s="799">
        <f>IF(BR$12=$F16+1,IF(Monthly!BN$4=TRUE,0,BR$3),IF(BR$12&gt;$F16+1,RentalsVacates!BQ16*(1-IF(BR$12-$F16&lt;=12,SUMIFS('Attrition Modeling'!$D:$D,'Attrition Modeling'!$B:$B,$E16,'Attrition Modeling'!$C:$C,BR$11),VLOOKUP(RentalsVacates!BR$12-RentalsVacates!$F16-1,RentalsVacates!$A$8:$C$162,2,FALSE)*VLOOKUP(BR$11,'Attrition Modeling'!$L$15:$N$27,IF(BR$12-$F16&lt;=24,2,3),FALSE))*(1+IF('Traditional Attrition'!BR138&gt;0,'Attrition Modeling'!$N$9,0))),0))</f>
        <v>315.08492093762555</v>
      </c>
      <c r="BS16" s="799">
        <f>IF(BS$12=$F16+1,IF(Monthly!BO$4=TRUE,0,BS$3),IF(BS$12&gt;$F16+1,RentalsVacates!BR16*(1-IF(BS$12-$F16&lt;=12,SUMIFS('Attrition Modeling'!$D:$D,'Attrition Modeling'!$B:$B,$E16,'Attrition Modeling'!$C:$C,BS$11),VLOOKUP(RentalsVacates!BS$12-RentalsVacates!$F16-1,RentalsVacates!$A$8:$C$162,2,FALSE)*VLOOKUP(BS$11,'Attrition Modeling'!$L$15:$N$27,IF(BS$12-$F16&lt;=24,2,3),FALSE))*(1+IF('Traditional Attrition'!BS138&gt;0,'Attrition Modeling'!$N$9,0))),0))</f>
        <v>309.94178957115088</v>
      </c>
      <c r="BT16" s="799">
        <f>IF(BT$11=$F15+1,IF(Monthly!#REF!=TRUE,0,BT$3),IF(BT$11&gt;$F15+1,RentalsVacates!BS15*(1-IF(BT$11-$F15&lt;=12,SUMIFS('Attrition Modeling'!$D:$D,'Attrition Modeling'!$B:$B,$E15,'Attrition Modeling'!$C:$C,BT$10),VLOOKUP(RentalsVacates!BT$11-RentalsVacates!$F15-1,RentalsVacates!$A$7:$C$161,2,FALSE)*VLOOKUP(BT$10,'Attrition Modeling'!$L$15:$N$27,IF(BT$11-$F15&lt;=24,2,3),FALSE))*(1+IF('Traditional Attrition'!BT138&gt;0,'Attrition Modeling'!$N$9,0))),0))</f>
        <v>276.76711529596594</v>
      </c>
      <c r="BU16" s="799">
        <f>IF(BU$11=$F15+1,IF(Monthly!#REF!=TRUE,0,BU$3),IF(BU$11&gt;$F15+1,RentalsVacates!BT15*(1-IF(BU$11-$F15&lt;=12,SUMIFS('Attrition Modeling'!$D:$D,'Attrition Modeling'!$B:$B,$E15,'Attrition Modeling'!$C:$C,BU$10),VLOOKUP(RentalsVacates!BU$11-RentalsVacates!$F15-1,RentalsVacates!$A$7:$C$161,2,FALSE)*VLOOKUP(BU$10,'Attrition Modeling'!$L$15:$N$27,IF(BU$11-$F15&lt;=24,2,3),FALSE))*(1+IF('Traditional Attrition'!BU138&gt;0,'Attrition Modeling'!$N$9,0))),0))</f>
        <v>185.45055374529363</v>
      </c>
    </row>
    <row r="17" spans="1:73" ht="14.25" customHeight="1" x14ac:dyDescent="0.2">
      <c r="A17" s="9">
        <v>9</v>
      </c>
      <c r="B17" s="25" t="e">
        <f>'Attrition Modeling'!H13*(1-Summary!$C$20)</f>
        <v>#DIV/0!</v>
      </c>
      <c r="C17" s="24" t="e">
        <f t="shared" si="2"/>
        <v>#DIV/0!</v>
      </c>
      <c r="E17" s="11">
        <f>'Traditional Attrition'!E74</f>
        <v>4</v>
      </c>
      <c r="F17" s="11">
        <f t="shared" si="4"/>
        <v>4</v>
      </c>
      <c r="G17" s="799"/>
      <c r="H17" s="799">
        <f>IF(H$12=$F17+1,IF(Monthly!D$4=TRUE,0,H$3),IF(H$12&gt;$F17+1,RentalsVacates!G17*(1-IF(H$12-$F17&lt;=12,SUMIFS('Attrition Modeling'!$D:$D,'Attrition Modeling'!$B:$B,$E17,'Attrition Modeling'!$C:$C,H$11),VLOOKUP(RentalsVacates!H$12-RentalsVacates!$F17-1,RentalsVacates!$A$8:$C$162,2,FALSE)*VLOOKUP(H$11,'Attrition Modeling'!$L$15:$N$27,IF(H$12-$F17&lt;=24,2,3),FALSE))*(1+IF('Traditional Attrition'!H139&gt;0,'Attrition Modeling'!$N$9,0))),0))</f>
        <v>0</v>
      </c>
      <c r="I17" s="799">
        <f>IF(I$12=$F17+1,IF(Monthly!E$4=TRUE,0,I$3),IF(I$12&gt;$F17+1,RentalsVacates!H17*(1-IF(I$12-$F17&lt;=12,SUMIFS('Attrition Modeling'!$D:$D,'Attrition Modeling'!$B:$B,$E17,'Attrition Modeling'!$C:$C,I$11),VLOOKUP(RentalsVacates!I$12-RentalsVacates!$F17-1,RentalsVacates!$A$8:$C$162,2,FALSE)*VLOOKUP(I$11,'Attrition Modeling'!$L$15:$N$27,IF(I$12-$F17&lt;=24,2,3),FALSE))*(1+IF('Traditional Attrition'!I139&gt;0,'Attrition Modeling'!$N$9,0))),0))</f>
        <v>0</v>
      </c>
      <c r="J17" s="799">
        <f>IF(J$12=$F17+1,IF(Monthly!F$4=TRUE,0,J$3),IF(J$12&gt;$F17+1,RentalsVacates!I17*(1-IF(J$12-$F17&lt;=12,SUMIFS('Attrition Modeling'!$D:$D,'Attrition Modeling'!$B:$B,$E17,'Attrition Modeling'!$C:$C,J$11),VLOOKUP(RentalsVacates!J$12-RentalsVacates!$F17-1,RentalsVacates!$A$8:$C$162,2,FALSE)*VLOOKUP(J$11,'Attrition Modeling'!$L$15:$N$27,IF(J$12-$F17&lt;=24,2,3),FALSE))*(1+IF('Traditional Attrition'!J139&gt;0,'Attrition Modeling'!$N$9,0))),0))</f>
        <v>0</v>
      </c>
      <c r="K17" s="799">
        <f>IF(K$12=$F17+1,IF(Monthly!G$4=TRUE,0,K$3),IF(K$12&gt;$F17+1,RentalsVacates!J17*(1-IF(K$12-$F17&lt;=12,SUMIFS('Attrition Modeling'!$D:$D,'Attrition Modeling'!$B:$B,$E17,'Attrition Modeling'!$C:$C,K$11),VLOOKUP(RentalsVacates!K$12-RentalsVacates!$F17-1,RentalsVacates!$A$8:$C$162,2,FALSE)*VLOOKUP(K$11,'Attrition Modeling'!$L$15:$N$27,IF(K$12-$F17&lt;=24,2,3),FALSE))*(1+IF('Traditional Attrition'!K139&gt;0,'Attrition Modeling'!$N$9,0))),0))</f>
        <v>0</v>
      </c>
      <c r="L17" s="799">
        <f>IF(L$12=$F17+1,IF(Monthly!H$4=TRUE,0,L$3),IF(L$12&gt;$F17+1,RentalsVacates!K17*(1-IF(L$12-$F17&lt;=12,SUMIFS('Attrition Modeling'!$D:$D,'Attrition Modeling'!$B:$B,$E17,'Attrition Modeling'!$C:$C,L$11),VLOOKUP(RentalsVacates!L$12-RentalsVacates!$F17-1,RentalsVacates!$A$8:$C$162,2,FALSE)*VLOOKUP(L$11,'Attrition Modeling'!$L$15:$N$27,IF(L$12-$F17&lt;=24,2,3),FALSE))*(1+IF('Traditional Attrition'!L139&gt;0,'Attrition Modeling'!$N$9,0))),0))</f>
        <v>5678.5951413682178</v>
      </c>
      <c r="M17" s="799">
        <f>IF(M$12=$F17+1,IF(Monthly!I$4=TRUE,0,M$3),IF(M$12&gt;$F17+1,RentalsVacates!L17*(1-IF(M$12-$F17&lt;=12,SUMIFS('Attrition Modeling'!$D:$D,'Attrition Modeling'!$B:$B,$E17,'Attrition Modeling'!$C:$C,M$11),VLOOKUP(RentalsVacates!M$12-RentalsVacates!$F17-1,RentalsVacates!$A$8:$C$162,2,FALSE)*VLOOKUP(M$11,'Attrition Modeling'!$L$15:$N$27,IF(M$12-$F17&lt;=24,2,3),FALSE))*(1+IF('Traditional Attrition'!M139&gt;0,'Attrition Modeling'!$N$9,0))),0))</f>
        <v>5115.6650453157636</v>
      </c>
      <c r="N17" s="799">
        <f>IF(N$12=$F17+1,IF(Monthly!J$4=TRUE,0,N$3),IF(N$12&gt;$F17+1,RentalsVacates!M17*(1-IF(N$12-$F17&lt;=12,SUMIFS('Attrition Modeling'!$D:$D,'Attrition Modeling'!$B:$B,$E17,'Attrition Modeling'!$C:$C,N$11),VLOOKUP(RentalsVacates!N$12-RentalsVacates!$F17-1,RentalsVacates!$A$8:$C$162,2,FALSE)*VLOOKUP(N$11,'Attrition Modeling'!$L$15:$N$27,IF(N$12-$F17&lt;=24,2,3),FALSE))*(1+IF('Traditional Attrition'!N139&gt;0,'Attrition Modeling'!$N$9,0))),0))</f>
        <v>4641.6294639191947</v>
      </c>
      <c r="O17" s="799">
        <f>IF(O$12=$F17+1,IF(Monthly!K$4=TRUE,0,O$3),IF(O$12&gt;$F17+1,RentalsVacates!N17*(1-IF(O$12-$F17&lt;=12,SUMIFS('Attrition Modeling'!$D:$D,'Attrition Modeling'!$B:$B,$E17,'Attrition Modeling'!$C:$C,O$11),VLOOKUP(RentalsVacates!O$12-RentalsVacates!$F17-1,RentalsVacates!$A$8:$C$162,2,FALSE)*VLOOKUP(O$11,'Attrition Modeling'!$L$15:$N$27,IF(O$12-$F17&lt;=24,2,3),FALSE))*(1+IF('Traditional Attrition'!O139&gt;0,'Attrition Modeling'!$N$9,0))),0))</f>
        <v>4163.5151718475736</v>
      </c>
      <c r="P17" s="799">
        <f>IF(P$12=$F17+1,IF(Monthly!L$4=TRUE,0,P$3),IF(P$12&gt;$F17+1,RentalsVacates!O17*(1-IF(P$12-$F17&lt;=12,SUMIFS('Attrition Modeling'!$D:$D,'Attrition Modeling'!$B:$B,$E17,'Attrition Modeling'!$C:$C,P$11),VLOOKUP(RentalsVacates!P$12-RentalsVacates!$F17-1,RentalsVacates!$A$8:$C$162,2,FALSE)*VLOOKUP(P$11,'Attrition Modeling'!$L$15:$N$27,IF(P$12-$F17&lt;=24,2,3),FALSE))*(1+IF('Traditional Attrition'!P139&gt;0,'Attrition Modeling'!$N$9,0))),0))</f>
        <v>3824.9089734667259</v>
      </c>
      <c r="Q17" s="799">
        <f>IF(Q$12=$F17+1,IF(Monthly!M$4=TRUE,0,Q$3),IF(Q$12&gt;$F17+1,RentalsVacates!P17*(1-IF(Q$12-$F17&lt;=12,SUMIFS('Attrition Modeling'!$D:$D,'Attrition Modeling'!$B:$B,$E17,'Attrition Modeling'!$C:$C,Q$11),VLOOKUP(RentalsVacates!Q$12-RentalsVacates!$F17-1,RentalsVacates!$A$8:$C$162,2,FALSE)*VLOOKUP(Q$11,'Attrition Modeling'!$L$15:$N$27,IF(Q$12-$F17&lt;=24,2,3),FALSE))*(1+IF('Traditional Attrition'!Q139&gt;0,'Attrition Modeling'!$N$9,0))),0))</f>
        <v>3442.8198445586263</v>
      </c>
      <c r="R17" s="799">
        <f>IF(R$12=$F17+1,IF(Monthly!N$4=TRUE,0,R$3),IF(R$12&gt;$F17+1,RentalsVacates!Q17*(1-IF(R$12-$F17&lt;=12,SUMIFS('Attrition Modeling'!$D:$D,'Attrition Modeling'!$B:$B,$E17,'Attrition Modeling'!$C:$C,R$11),VLOOKUP(RentalsVacates!R$12-RentalsVacates!$F17-1,RentalsVacates!$A$8:$C$162,2,FALSE)*VLOOKUP(R$11,'Attrition Modeling'!$L$15:$N$27,IF(R$12-$F17&lt;=24,2,3),FALSE))*(1+IF('Traditional Attrition'!R139&gt;0,'Attrition Modeling'!$N$9,0))),0))</f>
        <v>3173.0270201134203</v>
      </c>
      <c r="S17" s="799">
        <f>IF(S$12=$F17+1,IF(Monthly!O$4=TRUE,0,S$3),IF(S$12&gt;$F17+1,RentalsVacates!R17*(1-IF(S$12-$F17&lt;=12,SUMIFS('Attrition Modeling'!$D:$D,'Attrition Modeling'!$B:$B,$E17,'Attrition Modeling'!$C:$C,S$11),VLOOKUP(RentalsVacates!S$12-RentalsVacates!$F17-1,RentalsVacates!$A$8:$C$162,2,FALSE)*VLOOKUP(S$11,'Attrition Modeling'!$L$15:$N$27,IF(S$12-$F17&lt;=24,2,3),FALSE))*(1+IF('Traditional Attrition'!S139&gt;0,'Attrition Modeling'!$N$9,0))),0))</f>
        <v>2960.6357287118685</v>
      </c>
      <c r="T17" s="799">
        <f>IF(T$12=$F17+1,IF(Monthly!P$4=TRUE,0,T$3),IF(T$12&gt;$F17+1,RentalsVacates!S17*(1-IF(T$12-$F17&lt;=12,SUMIFS('Attrition Modeling'!$D:$D,'Attrition Modeling'!$B:$B,$E17,'Attrition Modeling'!$C:$C,T$11),VLOOKUP(RentalsVacates!T$12-RentalsVacates!$F17-1,RentalsVacates!$A$8:$C$162,2,FALSE)*VLOOKUP(T$11,'Attrition Modeling'!$L$15:$N$27,IF(T$12-$F17&lt;=24,2,3),FALSE))*(1+IF('Traditional Attrition'!T139&gt;0,'Attrition Modeling'!$N$9,0))),0))</f>
        <v>2773.8904622431378</v>
      </c>
      <c r="U17" s="799">
        <f>IF(U$12=$F17+1,IF(Monthly!Q$4=TRUE,0,U$3),IF(U$12&gt;$F17+1,RentalsVacates!T17*(1-IF(U$12-$F17&lt;=12,SUMIFS('Attrition Modeling'!$D:$D,'Attrition Modeling'!$B:$B,$E17,'Attrition Modeling'!$C:$C,U$11),VLOOKUP(RentalsVacates!U$12-RentalsVacates!$F17-1,RentalsVacates!$A$8:$C$162,2,FALSE)*VLOOKUP(U$11,'Attrition Modeling'!$L$15:$N$27,IF(U$12-$F17&lt;=24,2,3),FALSE))*(1+IF('Traditional Attrition'!U139&gt;0,'Attrition Modeling'!$N$9,0))),0))</f>
        <v>2629.297177846307</v>
      </c>
      <c r="V17" s="799">
        <f>IF(V$12=$F17+1,IF(Monthly!R$4=TRUE,0,V$3),IF(V$12&gt;$F17+1,RentalsVacates!U17*(1-IF(V$12-$F17&lt;=12,SUMIFS('Attrition Modeling'!$D:$D,'Attrition Modeling'!$B:$B,$E17,'Attrition Modeling'!$C:$C,V$11),VLOOKUP(RentalsVacates!V$12-RentalsVacates!$F17-1,RentalsVacates!$A$8:$C$162,2,FALSE)*VLOOKUP(V$11,'Attrition Modeling'!$L$15:$N$27,IF(V$12-$F17&lt;=24,2,3),FALSE))*(1+IF('Traditional Attrition'!V139&gt;0,'Attrition Modeling'!$N$9,0))),0))</f>
        <v>2491.0871462669165</v>
      </c>
      <c r="W17" s="799">
        <f>IF(W$12=$F17+1,IF(Monthly!S$4=TRUE,0,W$3),IF(W$12&gt;$F17+1,RentalsVacates!V17*(1-IF(W$12-$F17&lt;=12,SUMIFS('Attrition Modeling'!$D:$D,'Attrition Modeling'!$B:$B,$E17,'Attrition Modeling'!$C:$C,W$11),VLOOKUP(RentalsVacates!W$12-RentalsVacates!$F17-1,RentalsVacates!$A$8:$C$162,2,FALSE)*VLOOKUP(W$11,'Attrition Modeling'!$L$15:$N$27,IF(W$12-$F17&lt;=24,2,3),FALSE))*(1+IF('Traditional Attrition'!W139&gt;0,'Attrition Modeling'!$N$9,0))),0))</f>
        <v>2434.535307931123</v>
      </c>
      <c r="X17" s="799">
        <f>IF(X$12=$F17+1,IF(Monthly!T$4=TRUE,0,X$3),IF(X$12&gt;$F17+1,RentalsVacates!W17*(1-IF(X$12-$F17&lt;=12,SUMIFS('Attrition Modeling'!$D:$D,'Attrition Modeling'!$B:$B,$E17,'Attrition Modeling'!$C:$C,X$11),VLOOKUP(RentalsVacates!X$12-RentalsVacates!$F17-1,RentalsVacates!$A$8:$C$162,2,FALSE)*VLOOKUP(X$11,'Attrition Modeling'!$L$15:$N$27,IF(X$12-$F17&lt;=24,2,3),FALSE))*(1+IF('Traditional Attrition'!X139&gt;0,'Attrition Modeling'!$N$9,0))),0))</f>
        <v>2308.8922145566517</v>
      </c>
      <c r="Y17" s="799">
        <f>IF(Y$12=$F17+1,IF(Monthly!U$4=TRUE,0,Y$3),IF(Y$12&gt;$F17+1,RentalsVacates!X17*(1-IF(Y$12-$F17&lt;=12,SUMIFS('Attrition Modeling'!$D:$D,'Attrition Modeling'!$B:$B,$E17,'Attrition Modeling'!$C:$C,Y$11),VLOOKUP(RentalsVacates!Y$12-RentalsVacates!$F17-1,RentalsVacates!$A$8:$C$162,2,FALSE)*VLOOKUP(Y$11,'Attrition Modeling'!$L$15:$N$27,IF(Y$12-$F17&lt;=24,2,3),FALSE))*(1+IF('Traditional Attrition'!Y139&gt;0,'Attrition Modeling'!$N$9,0))),0))</f>
        <v>2188.1756039507645</v>
      </c>
      <c r="Z17" s="799">
        <f>IF(Z$12=$F17+1,IF(Monthly!V$4=TRUE,0,Z$3),IF(Z$12&gt;$F17+1,RentalsVacates!Y17*(1-IF(Z$12-$F17&lt;=12,SUMIFS('Attrition Modeling'!$D:$D,'Attrition Modeling'!$B:$B,$E17,'Attrition Modeling'!$C:$C,Z$11),VLOOKUP(RentalsVacates!Z$12-RentalsVacates!$F17-1,RentalsVacates!$A$8:$C$162,2,FALSE)*VLOOKUP(Z$11,'Attrition Modeling'!$L$15:$N$27,IF(Z$12-$F17&lt;=24,2,3),FALSE))*(1+IF('Traditional Attrition'!Z139&gt;0,'Attrition Modeling'!$N$9,0))),0))</f>
        <v>2076.796810497347</v>
      </c>
      <c r="AA17" s="799">
        <f>IF(AA$12=$F17+1,IF(Monthly!W$4=TRUE,0,AA$3),IF(AA$12&gt;$F17+1,RentalsVacates!Z17*(1-IF(AA$12-$F17&lt;=12,SUMIFS('Attrition Modeling'!$D:$D,'Attrition Modeling'!$B:$B,$E17,'Attrition Modeling'!$C:$C,AA$11),VLOOKUP(RentalsVacates!AA$12-RentalsVacates!$F17-1,RentalsVacates!$A$8:$C$162,2,FALSE)*VLOOKUP(AA$11,'Attrition Modeling'!$L$15:$N$27,IF(AA$12-$F17&lt;=24,2,3),FALSE))*(1+IF('Traditional Attrition'!AA139&gt;0,'Attrition Modeling'!$N$9,0))),0))</f>
        <v>1970.4442825239603</v>
      </c>
      <c r="AB17" s="799">
        <f>IF(AB$12=$F17+1,IF(Monthly!X$4=TRUE,0,AB$3),IF(AB$12&gt;$F17+1,RentalsVacates!AA17*(1-IF(AB$12-$F17&lt;=12,SUMIFS('Attrition Modeling'!$D:$D,'Attrition Modeling'!$B:$B,$E17,'Attrition Modeling'!$C:$C,AB$11),VLOOKUP(RentalsVacates!AB$12-RentalsVacates!$F17-1,RentalsVacates!$A$8:$C$162,2,FALSE)*VLOOKUP(AB$11,'Attrition Modeling'!$L$15:$N$27,IF(AB$12-$F17&lt;=24,2,3),FALSE))*(1+IF('Traditional Attrition'!AB139&gt;0,'Attrition Modeling'!$N$9,0))),0))</f>
        <v>1881.136942058934</v>
      </c>
      <c r="AC17" s="799">
        <f>IF(AC$12=$F17+1,IF(Monthly!Y$4=TRUE,0,AC$3),IF(AC$12&gt;$F17+1,RentalsVacates!AB17*(1-IF(AC$12-$F17&lt;=12,SUMIFS('Attrition Modeling'!$D:$D,'Attrition Modeling'!$B:$B,$E17,'Attrition Modeling'!$C:$C,AC$11),VLOOKUP(RentalsVacates!AC$12-RentalsVacates!$F17-1,RentalsVacates!$A$8:$C$162,2,FALSE)*VLOOKUP(AC$11,'Attrition Modeling'!$L$15:$N$27,IF(AC$12-$F17&lt;=24,2,3),FALSE))*(1+IF('Traditional Attrition'!AC139&gt;0,'Attrition Modeling'!$N$9,0))),0))</f>
        <v>1779.0497945363475</v>
      </c>
      <c r="AD17" s="799">
        <f>IF(AD$12=$F17+1,IF(Monthly!Z$4=TRUE,0,AD$3),IF(AD$12&gt;$F17+1,RentalsVacates!AC17*(1-IF(AD$12-$F17&lt;=12,SUMIFS('Attrition Modeling'!$D:$D,'Attrition Modeling'!$B:$B,$E17,'Attrition Modeling'!$C:$C,AD$11),VLOOKUP(RentalsVacates!AD$12-RentalsVacates!$F17-1,RentalsVacates!$A$8:$C$162,2,FALSE)*VLOOKUP(AD$11,'Attrition Modeling'!$L$15:$N$27,IF(AD$12-$F17&lt;=24,2,3),FALSE))*(1+IF('Traditional Attrition'!AD139&gt;0,'Attrition Modeling'!$N$9,0))),0))</f>
        <v>1703.3131978572087</v>
      </c>
      <c r="AE17" s="799">
        <f>IF(AE$12=$F17+1,IF(Monthly!AA$4=TRUE,0,AE$3),IF(AE$12&gt;$F17+1,RentalsVacates!AD17*(1-IF(AE$12-$F17&lt;=12,SUMIFS('Attrition Modeling'!$D:$D,'Attrition Modeling'!$B:$B,$E17,'Attrition Modeling'!$C:$C,AE$11),VLOOKUP(RentalsVacates!AE$12-RentalsVacates!$F17-1,RentalsVacates!$A$8:$C$162,2,FALSE)*VLOOKUP(AE$11,'Attrition Modeling'!$L$15:$N$27,IF(AE$12-$F17&lt;=24,2,3),FALSE))*(1+IF('Traditional Attrition'!AE139&gt;0,'Attrition Modeling'!$N$9,0))),0))</f>
        <v>1632.9258644109575</v>
      </c>
      <c r="AF17" s="799">
        <f>IF(AF$12=$F17+1,IF(Monthly!AB$4=TRUE,0,AF$3),IF(AF$12&gt;$F17+1,RentalsVacates!AE17*(1-IF(AF$12-$F17&lt;=12,SUMIFS('Attrition Modeling'!$D:$D,'Attrition Modeling'!$B:$B,$E17,'Attrition Modeling'!$C:$C,AF$11),VLOOKUP(RentalsVacates!AF$12-RentalsVacates!$F17-1,RentalsVacates!$A$8:$C$162,2,FALSE)*VLOOKUP(AF$11,'Attrition Modeling'!$L$15:$N$27,IF(AF$12-$F17&lt;=24,2,3),FALSE))*(1+IF('Traditional Attrition'!AF139&gt;0,'Attrition Modeling'!$N$9,0))),0))</f>
        <v>1566.5401444725383</v>
      </c>
      <c r="AG17" s="799">
        <f>IF(AG$12=$F17+1,IF(Monthly!AC$4=TRUE,0,AG$3),IF(AG$12&gt;$F17+1,RentalsVacates!AF17*(1-IF(AG$12-$F17&lt;=12,SUMIFS('Attrition Modeling'!$D:$D,'Attrition Modeling'!$B:$B,$E17,'Attrition Modeling'!$C:$C,AG$11),VLOOKUP(RentalsVacates!AG$12-RentalsVacates!$F17-1,RentalsVacates!$A$8:$C$162,2,FALSE)*VLOOKUP(AG$11,'Attrition Modeling'!$L$15:$N$27,IF(AG$12-$F17&lt;=24,2,3),FALSE))*(1+IF('Traditional Attrition'!AG139&gt;0,'Attrition Modeling'!$N$9,0))),0))</f>
        <v>1509.9811352815839</v>
      </c>
      <c r="AH17" s="799">
        <f>IF(AH$12=$F17+1,IF(Monthly!AD$4=TRUE,0,AH$3),IF(AH$12&gt;$F17+1,RentalsVacates!AG17*(1-IF(AH$12-$F17&lt;=12,SUMIFS('Attrition Modeling'!$D:$D,'Attrition Modeling'!$B:$B,$E17,'Attrition Modeling'!$C:$C,AH$11),VLOOKUP(RentalsVacates!AH$12-RentalsVacates!$F17-1,RentalsVacates!$A$8:$C$162,2,FALSE)*VLOOKUP(AH$11,'Attrition Modeling'!$L$15:$N$27,IF(AH$12-$F17&lt;=24,2,3),FALSE))*(1+IF('Traditional Attrition'!AH139&gt;0,'Attrition Modeling'!$N$9,0))),0))</f>
        <v>1451.4839268307994</v>
      </c>
      <c r="AI17" s="799">
        <f>IF(AI$12=$F17+1,IF(Monthly!AE$4=TRUE,0,AI$3),IF(AI$12&gt;$F17+1,RentalsVacates!AH17*(1-IF(AI$12-$F17&lt;=12,SUMIFS('Attrition Modeling'!$D:$D,'Attrition Modeling'!$B:$B,$E17,'Attrition Modeling'!$C:$C,AI$11),VLOOKUP(RentalsVacates!AI$12-RentalsVacates!$F17-1,RentalsVacates!$A$8:$C$162,2,FALSE)*VLOOKUP(AI$11,'Attrition Modeling'!$L$15:$N$27,IF(AI$12-$F17&lt;=24,2,3),FALSE))*(1+IF('Traditional Attrition'!AI139&gt;0,'Attrition Modeling'!$N$9,0))),0))</f>
        <v>1396.9276640356677</v>
      </c>
      <c r="AJ17" s="799">
        <f>IF(AJ$12=$F17+1,IF(Monthly!AF$4=TRUE,0,AJ$3),IF(AJ$12&gt;$F17+1,RentalsVacates!AI17*(1-IF(AJ$12-$F17&lt;=12,SUMIFS('Attrition Modeling'!$D:$D,'Attrition Modeling'!$B:$B,$E17,'Attrition Modeling'!$C:$C,AJ$11),VLOOKUP(RentalsVacates!AJ$12-RentalsVacates!$F17-1,RentalsVacates!$A$8:$C$162,2,FALSE)*VLOOKUP(AJ$11,'Attrition Modeling'!$L$15:$N$27,IF(AJ$12-$F17&lt;=24,2,3),FALSE))*(1+IF('Traditional Attrition'!AJ139&gt;0,'Attrition Modeling'!$N$9,0))),0))</f>
        <v>1351.6898118790425</v>
      </c>
      <c r="AK17" s="799">
        <f>IF(AK$12=$F17+1,IF(Monthly!AG$4=TRUE,0,AK$3),IF(AK$12&gt;$F17+1,RentalsVacates!AJ17*(1-IF(AK$12-$F17&lt;=12,SUMIFS('Attrition Modeling'!$D:$D,'Attrition Modeling'!$B:$B,$E17,'Attrition Modeling'!$C:$C,AK$11),VLOOKUP(RentalsVacates!AK$12-RentalsVacates!$F17-1,RentalsVacates!$A$8:$C$162,2,FALSE)*VLOOKUP(AK$11,'Attrition Modeling'!$L$15:$N$27,IF(AK$12-$F17&lt;=24,2,3),FALSE))*(1+IF('Traditional Attrition'!AK139&gt;0,'Attrition Modeling'!$N$9,0))),0))</f>
        <v>1302.4277949730561</v>
      </c>
      <c r="AL17" s="799">
        <f>IF(AL$12=$F17+1,IF(Monthly!AH$4=TRUE,0,AL$3),IF(AL$12&gt;$F17+1,RentalsVacates!AK17*(1-IF(AL$12-$F17&lt;=12,SUMIFS('Attrition Modeling'!$D:$D,'Attrition Modeling'!$B:$B,$E17,'Attrition Modeling'!$C:$C,AL$11),VLOOKUP(RentalsVacates!AL$12-RentalsVacates!$F17-1,RentalsVacates!$A$8:$C$162,2,FALSE)*VLOOKUP(AL$11,'Attrition Modeling'!$L$15:$N$27,IF(AL$12-$F17&lt;=24,2,3),FALSE))*(1+IF('Traditional Attrition'!AL139&gt;0,'Attrition Modeling'!$N$9,0))),0))</f>
        <v>1251.4116759782078</v>
      </c>
      <c r="AM17" s="799">
        <f>IF(AM$12=$F17+1,IF(Monthly!AI$4=TRUE,0,AM$3),IF(AM$12&gt;$F17+1,RentalsVacates!AL17*(1-IF(AM$12-$F17&lt;=12,SUMIFS('Attrition Modeling'!$D:$D,'Attrition Modeling'!$B:$B,$E17,'Attrition Modeling'!$C:$C,AM$11),VLOOKUP(RentalsVacates!AM$12-RentalsVacates!$F17-1,RentalsVacates!$A$8:$C$162,2,FALSE)*VLOOKUP(AM$11,'Attrition Modeling'!$L$15:$N$27,IF(AM$12-$F17&lt;=24,2,3),FALSE))*(1+IF('Traditional Attrition'!AM139&gt;0,'Attrition Modeling'!$N$9,0))),0))</f>
        <v>1199.4668882771971</v>
      </c>
      <c r="AN17" s="799">
        <f>IF(AN$12=$F17+1,IF(Monthly!AJ$4=TRUE,0,AN$3),IF(AN$12&gt;$F17+1,RentalsVacates!AM17*(1-IF(AN$12-$F17&lt;=12,SUMIFS('Attrition Modeling'!$D:$D,'Attrition Modeling'!$B:$B,$E17,'Attrition Modeling'!$C:$C,AN$11),VLOOKUP(RentalsVacates!AN$12-RentalsVacates!$F17-1,RentalsVacates!$A$8:$C$162,2,FALSE)*VLOOKUP(AN$11,'Attrition Modeling'!$L$15:$N$27,IF(AN$12-$F17&lt;=24,2,3),FALSE))*(1+IF('Traditional Attrition'!AN139&gt;0,'Attrition Modeling'!$N$9,0))),0))</f>
        <v>1153.3107477533595</v>
      </c>
      <c r="AO17" s="799">
        <f>IF(AO$12=$F17+1,IF(Monthly!AK$4=TRUE,0,AO$3),IF(AO$12&gt;$F17+1,RentalsVacates!AN17*(1-IF(AO$12-$F17&lt;=12,SUMIFS('Attrition Modeling'!$D:$D,'Attrition Modeling'!$B:$B,$E17,'Attrition Modeling'!$C:$C,AO$11),VLOOKUP(RentalsVacates!AO$12-RentalsVacates!$F17-1,RentalsVacates!$A$8:$C$162,2,FALSE)*VLOOKUP(AO$11,'Attrition Modeling'!$L$15:$N$27,IF(AO$12-$F17&lt;=24,2,3),FALSE))*(1+IF('Traditional Attrition'!AO139&gt;0,'Attrition Modeling'!$N$9,0))),0))</f>
        <v>1102.532854016795</v>
      </c>
      <c r="AP17" s="799">
        <f>IF(AP$12=$F17+1,IF(Monthly!AL$4=TRUE,0,AP$3),IF(AP$12&gt;$F17+1,RentalsVacates!AO17*(1-IF(AP$12-$F17&lt;=12,SUMIFS('Attrition Modeling'!$D:$D,'Attrition Modeling'!$B:$B,$E17,'Attrition Modeling'!$C:$C,AP$11),VLOOKUP(RentalsVacates!AP$12-RentalsVacates!$F17-1,RentalsVacates!$A$8:$C$162,2,FALSE)*VLOOKUP(AP$11,'Attrition Modeling'!$L$15:$N$27,IF(AP$12-$F17&lt;=24,2,3),FALSE))*(1+IF('Traditional Attrition'!AP139&gt;0,'Attrition Modeling'!$N$9,0))),0))</f>
        <v>1063.479538168478</v>
      </c>
      <c r="AQ17" s="799">
        <f>IF(AQ$12=$F17+1,IF(Monthly!AM$4=TRUE,0,AQ$3),IF(AQ$12&gt;$F17+1,RentalsVacates!AP17*(1-IF(AQ$12-$F17&lt;=12,SUMIFS('Attrition Modeling'!$D:$D,'Attrition Modeling'!$B:$B,$E17,'Attrition Modeling'!$C:$C,AQ$11),VLOOKUP(RentalsVacates!AQ$12-RentalsVacates!$F17-1,RentalsVacates!$A$8:$C$162,2,FALSE)*VLOOKUP(AQ$11,'Attrition Modeling'!$L$15:$N$27,IF(AQ$12-$F17&lt;=24,2,3),FALSE))*(1+IF('Traditional Attrition'!AQ139&gt;0,'Attrition Modeling'!$N$9,0))),0))</f>
        <v>1032.8085403914877</v>
      </c>
      <c r="AR17" s="799">
        <f>IF(AR$12=$F17+1,IF(Monthly!AN$4=TRUE,0,AR$3),IF(AR$12&gt;$F17+1,RentalsVacates!AQ17*(1-IF(AR$12-$F17&lt;=12,SUMIFS('Attrition Modeling'!$D:$D,'Attrition Modeling'!$B:$B,$E17,'Attrition Modeling'!$C:$C,AR$11),VLOOKUP(RentalsVacates!AR$12-RentalsVacates!$F17-1,RentalsVacates!$A$8:$C$162,2,FALSE)*VLOOKUP(AR$11,'Attrition Modeling'!$L$15:$N$27,IF(AR$12-$F17&lt;=24,2,3),FALSE))*(1+IF('Traditional Attrition'!AR139&gt;0,'Attrition Modeling'!$N$9,0))),0))</f>
        <v>1000.2182461738099</v>
      </c>
      <c r="AS17" s="799">
        <f>IF(AS$12=$F17+1,IF(Monthly!AO$4=TRUE,0,AS$3),IF(AS$12&gt;$F17+1,RentalsVacates!AR17*(1-IF(AS$12-$F17&lt;=12,SUMIFS('Attrition Modeling'!$D:$D,'Attrition Modeling'!$B:$B,$E17,'Attrition Modeling'!$C:$C,AS$11),VLOOKUP(RentalsVacates!AS$12-RentalsVacates!$F17-1,RentalsVacates!$A$8:$C$162,2,FALSE)*VLOOKUP(AS$11,'Attrition Modeling'!$L$15:$N$27,IF(AS$12-$F17&lt;=24,2,3),FALSE))*(1+IF('Traditional Attrition'!AS139&gt;0,'Attrition Modeling'!$N$9,0))),0))</f>
        <v>969.99737906106088</v>
      </c>
      <c r="AT17" s="799">
        <f>IF(AT$12=$F17+1,IF(Monthly!AP$4=TRUE,0,AT$3),IF(AT$12&gt;$F17+1,RentalsVacates!AS17*(1-IF(AT$12-$F17&lt;=12,SUMIFS('Attrition Modeling'!$D:$D,'Attrition Modeling'!$B:$B,$E17,'Attrition Modeling'!$C:$C,AT$11),VLOOKUP(RentalsVacates!AT$12-RentalsVacates!$F17-1,RentalsVacates!$A$8:$C$162,2,FALSE)*VLOOKUP(AT$11,'Attrition Modeling'!$L$15:$N$27,IF(AT$12-$F17&lt;=24,2,3),FALSE))*(1+IF('Traditional Attrition'!AT139&gt;0,'Attrition Modeling'!$N$9,0))),0))</f>
        <v>942.23741603862197</v>
      </c>
      <c r="AU17" s="799">
        <f>IF(AU$12=$F17+1,IF(Monthly!AQ$4=TRUE,0,AU$3),IF(AU$12&gt;$F17+1,RentalsVacates!AT17*(1-IF(AU$12-$F17&lt;=12,SUMIFS('Attrition Modeling'!$D:$D,'Attrition Modeling'!$B:$B,$E17,'Attrition Modeling'!$C:$C,AU$11),VLOOKUP(RentalsVacates!AU$12-RentalsVacates!$F17-1,RentalsVacates!$A$8:$C$162,2,FALSE)*VLOOKUP(AU$11,'Attrition Modeling'!$L$15:$N$27,IF(AU$12-$F17&lt;=24,2,3),FALSE))*(1+IF('Traditional Attrition'!AU139&gt;0,'Attrition Modeling'!$N$9,0))),0))</f>
        <v>921.02936301379134</v>
      </c>
      <c r="AV17" s="799">
        <f>IF(AV$12=$F17+1,IF(Monthly!AR$4=TRUE,0,AV$3),IF(AV$12&gt;$F17+1,RentalsVacates!AU17*(1-IF(AV$12-$F17&lt;=12,SUMIFS('Attrition Modeling'!$D:$D,'Attrition Modeling'!$B:$B,$E17,'Attrition Modeling'!$C:$C,AV$11),VLOOKUP(RentalsVacates!AV$12-RentalsVacates!$F17-1,RentalsVacates!$A$8:$C$162,2,FALSE)*VLOOKUP(AV$11,'Attrition Modeling'!$L$15:$N$27,IF(AV$12-$F17&lt;=24,2,3),FALSE))*(1+IF('Traditional Attrition'!AV139&gt;0,'Attrition Modeling'!$N$9,0))),0))</f>
        <v>896.27309116855088</v>
      </c>
      <c r="AW17" s="799">
        <f>IF(AW$12=$F17+1,IF(Monthly!AS$4=TRUE,0,AW$3),IF(AW$12&gt;$F17+1,RentalsVacates!AV17*(1-IF(AW$12-$F17&lt;=12,SUMIFS('Attrition Modeling'!$D:$D,'Attrition Modeling'!$B:$B,$E17,'Attrition Modeling'!$C:$C,AW$11),VLOOKUP(RentalsVacates!AW$12-RentalsVacates!$F17-1,RentalsVacates!$A$8:$C$162,2,FALSE)*VLOOKUP(AW$11,'Attrition Modeling'!$L$15:$N$27,IF(AW$12-$F17&lt;=24,2,3),FALSE))*(1+IF('Traditional Attrition'!AW139&gt;0,'Attrition Modeling'!$N$9,0))),0))</f>
        <v>869.07090052707417</v>
      </c>
      <c r="AX17" s="799">
        <f>IF(AX$12=$F17+1,IF(Monthly!AT$4=TRUE,0,AX$3),IF(AX$12&gt;$F17+1,RentalsVacates!AW17*(1-IF(AX$12-$F17&lt;=12,SUMIFS('Attrition Modeling'!$D:$D,'Attrition Modeling'!$B:$B,$E17,'Attrition Modeling'!$C:$C,AX$11),VLOOKUP(RentalsVacates!AX$12-RentalsVacates!$F17-1,RentalsVacates!$A$8:$C$162,2,FALSE)*VLOOKUP(AX$11,'Attrition Modeling'!$L$15:$N$27,IF(AX$12-$F17&lt;=24,2,3),FALSE))*(1+IF('Traditional Attrition'!AX139&gt;0,'Attrition Modeling'!$N$9,0))),0))</f>
        <v>840.63341395624991</v>
      </c>
      <c r="AY17" s="799">
        <f>IF(AY$12=$F17+1,IF(Monthly!AU$4=TRUE,0,AY$3),IF(AY$12&gt;$F17+1,RentalsVacates!AX17*(1-IF(AY$12-$F17&lt;=12,SUMIFS('Attrition Modeling'!$D:$D,'Attrition Modeling'!$B:$B,$E17,'Attrition Modeling'!$C:$C,AY$11),VLOOKUP(RentalsVacates!AY$12-RentalsVacates!$F17-1,RentalsVacates!$A$8:$C$162,2,FALSE)*VLOOKUP(AY$11,'Attrition Modeling'!$L$15:$N$27,IF(AY$12-$F17&lt;=24,2,3),FALSE))*(1+IF('Traditional Attrition'!AY139&gt;0,'Attrition Modeling'!$N$9,0))),0))</f>
        <v>811.39850614731904</v>
      </c>
      <c r="AZ17" s="799">
        <f>IF(AZ$12=$F17+1,IF(Monthly!AV$4=TRUE,0,AZ$3),IF(AZ$12&gt;$F17+1,RentalsVacates!AY17*(1-IF(AZ$12-$F17&lt;=12,SUMIFS('Attrition Modeling'!$D:$D,'Attrition Modeling'!$B:$B,$E17,'Attrition Modeling'!$C:$C,AZ$11),VLOOKUP(RentalsVacates!AZ$12-RentalsVacates!$F17-1,RentalsVacates!$A$8:$C$162,2,FALSE)*VLOOKUP(AZ$11,'Attrition Modeling'!$L$15:$N$27,IF(AZ$12-$F17&lt;=24,2,3),FALSE))*(1+IF('Traditional Attrition'!AZ139&gt;0,'Attrition Modeling'!$N$9,0))),0))</f>
        <v>785.16694994529666</v>
      </c>
      <c r="BA17" s="799">
        <f>IF(BA$12=$F17+1,IF(Monthly!AW$4=TRUE,0,BA$3),IF(BA$12&gt;$F17+1,RentalsVacates!AZ17*(1-IF(BA$12-$F17&lt;=12,SUMIFS('Attrition Modeling'!$D:$D,'Attrition Modeling'!$B:$B,$E17,'Attrition Modeling'!$C:$C,BA$11),VLOOKUP(RentalsVacates!BA$12-RentalsVacates!$F17-1,RentalsVacates!$A$8:$C$162,2,FALSE)*VLOOKUP(BA$11,'Attrition Modeling'!$L$15:$N$27,IF(BA$12-$F17&lt;=24,2,3),FALSE))*(1+IF('Traditional Attrition'!BA139&gt;0,'Attrition Modeling'!$N$9,0))),0))</f>
        <v>756.04873150791025</v>
      </c>
      <c r="BB17" s="799">
        <f>IF(BB$12=$F17+1,IF(Monthly!AX$4=TRUE,0,BB$3),IF(BB$12&gt;$F17+1,RentalsVacates!BA17*(1-IF(BB$12-$F17&lt;=12,SUMIFS('Attrition Modeling'!$D:$D,'Attrition Modeling'!$B:$B,$E17,'Attrition Modeling'!$C:$C,BB$11),VLOOKUP(RentalsVacates!BB$12-RentalsVacates!$F17-1,RentalsVacates!$A$8:$C$162,2,FALSE)*VLOOKUP(BB$11,'Attrition Modeling'!$L$15:$N$27,IF(BB$12-$F17&lt;=24,2,3),FALSE))*(1+IF('Traditional Attrition'!BB139&gt;0,'Attrition Modeling'!$N$9,0))),0))</f>
        <v>733.43602914214807</v>
      </c>
      <c r="BC17" s="799">
        <f>IF(BC$12=$F17+1,IF(Monthly!AY$4=TRUE,0,BC$3),IF(BC$12&gt;$F17+1,RentalsVacates!BB17*(1-IF(BC$12-$F17&lt;=12,SUMIFS('Attrition Modeling'!$D:$D,'Attrition Modeling'!$B:$B,$E17,'Attrition Modeling'!$C:$C,BC$11),VLOOKUP(RentalsVacates!BC$12-RentalsVacates!$F17-1,RentalsVacates!$A$8:$C$162,2,FALSE)*VLOOKUP(BC$11,'Attrition Modeling'!$L$15:$N$27,IF(BC$12-$F17&lt;=24,2,3),FALSE))*(1+IF('Traditional Attrition'!BC139&gt;0,'Attrition Modeling'!$N$9,0))),0))</f>
        <v>715.53408685054126</v>
      </c>
      <c r="BD17" s="799">
        <f>IF(BD$12=$F17+1,IF(Monthly!AZ$4=TRUE,0,BD$3),IF(BD$12&gt;$F17+1,RentalsVacates!BC17*(1-IF(BD$12-$F17&lt;=12,SUMIFS('Attrition Modeling'!$D:$D,'Attrition Modeling'!$B:$B,$E17,'Attrition Modeling'!$C:$C,BD$11),VLOOKUP(RentalsVacates!BD$12-RentalsVacates!$F17-1,RentalsVacates!$A$8:$C$162,2,FALSE)*VLOOKUP(BD$11,'Attrition Modeling'!$L$15:$N$27,IF(BD$12-$F17&lt;=24,2,3),FALSE))*(1+IF('Traditional Attrition'!BD139&gt;0,'Attrition Modeling'!$N$9,0))),0))</f>
        <v>696.38331912758076</v>
      </c>
      <c r="BE17" s="799">
        <f>IF(BE$12=$F17+1,IF(Monthly!BA$4=TRUE,0,BE$3),IF(BE$12&gt;$F17+1,RentalsVacates!BD17*(1-IF(BE$12-$F17&lt;=12,SUMIFS('Attrition Modeling'!$D:$D,'Attrition Modeling'!$B:$B,$E17,'Attrition Modeling'!$C:$C,BE$11),VLOOKUP(RentalsVacates!BE$12-RentalsVacates!$F17-1,RentalsVacates!$A$8:$C$162,2,FALSE)*VLOOKUP(BE$11,'Attrition Modeling'!$L$15:$N$27,IF(BE$12-$F17&lt;=24,2,3),FALSE))*(1+IF('Traditional Attrition'!BE139&gt;0,'Attrition Modeling'!$N$9,0))),0))</f>
        <v>678.50010621445006</v>
      </c>
      <c r="BF17" s="799">
        <f>IF(BF$12=$F17+1,IF(Monthly!BB$4=TRUE,0,BF$3),IF(BF$12&gt;$F17+1,RentalsVacates!BE17*(1-IF(BF$12-$F17&lt;=12,SUMIFS('Attrition Modeling'!$D:$D,'Attrition Modeling'!$B:$B,$E17,'Attrition Modeling'!$C:$C,BF$11),VLOOKUP(RentalsVacates!BF$12-RentalsVacates!$F17-1,RentalsVacates!$A$8:$C$162,2,FALSE)*VLOOKUP(BF$11,'Attrition Modeling'!$L$15:$N$27,IF(BF$12-$F17&lt;=24,2,3),FALSE))*(1+IF('Traditional Attrition'!BF139&gt;0,'Attrition Modeling'!$N$9,0))),0))</f>
        <v>661.96397603104401</v>
      </c>
      <c r="BG17" s="799">
        <f>IF(BG$12=$F17+1,IF(Monthly!BC$4=TRUE,0,BG$3),IF(BG$12&gt;$F17+1,RentalsVacates!BF17*(1-IF(BG$12-$F17&lt;=12,SUMIFS('Attrition Modeling'!$D:$D,'Attrition Modeling'!$B:$B,$E17,'Attrition Modeling'!$C:$C,BG$11),VLOOKUP(RentalsVacates!BG$12-RentalsVacates!$F17-1,RentalsVacates!$A$8:$C$162,2,FALSE)*VLOOKUP(BG$11,'Attrition Modeling'!$L$15:$N$27,IF(BG$12-$F17&lt;=24,2,3),FALSE))*(1+IF('Traditional Attrition'!BG139&gt;0,'Attrition Modeling'!$N$9,0))),0))</f>
        <v>649.25187764093721</v>
      </c>
      <c r="BH17" s="799">
        <f>IF(BH$12=$F17+1,IF(Monthly!BD$4=TRUE,0,BH$3),IF(BH$12&gt;$F17+1,RentalsVacates!BG17*(1-IF(BH$12-$F17&lt;=12,SUMIFS('Attrition Modeling'!$D:$D,'Attrition Modeling'!$B:$B,$E17,'Attrition Modeling'!$C:$C,BH$11),VLOOKUP(RentalsVacates!BH$12-RentalsVacates!$F17-1,RentalsVacates!$A$8:$C$162,2,FALSE)*VLOOKUP(BH$11,'Attrition Modeling'!$L$15:$N$27,IF(BH$12-$F17&lt;=24,2,3),FALSE))*(1+IF('Traditional Attrition'!BH139&gt;0,'Attrition Modeling'!$N$9,0))),0))</f>
        <v>634.43674921677609</v>
      </c>
      <c r="BI17" s="799">
        <f>IF(BI$12=$F17+1,IF(Monthly!BE$4=TRUE,0,BI$3),IF(BI$12&gt;$F17+1,RentalsVacates!BH17*(1-IF(BI$12-$F17&lt;=12,SUMIFS('Attrition Modeling'!$D:$D,'Attrition Modeling'!$B:$B,$E17,'Attrition Modeling'!$C:$C,BI$11),VLOOKUP(RentalsVacates!BI$12-RentalsVacates!$F17-1,RentalsVacates!$A$8:$C$162,2,FALSE)*VLOOKUP(BI$11,'Attrition Modeling'!$L$15:$N$27,IF(BI$12-$F17&lt;=24,2,3),FALSE))*(1+IF('Traditional Attrition'!BI139&gt;0,'Attrition Modeling'!$N$9,0))),0))</f>
        <v>618.06520612425265</v>
      </c>
      <c r="BJ17" s="799">
        <f>IF(BJ$12=$F17+1,IF(Monthly!BF$4=TRUE,0,BJ$3),IF(BJ$12&gt;$F17+1,RentalsVacates!BI17*(1-IF(BJ$12-$F17&lt;=12,SUMIFS('Attrition Modeling'!$D:$D,'Attrition Modeling'!$B:$B,$E17,'Attrition Modeling'!$C:$C,BJ$11),VLOOKUP(RentalsVacates!BJ$12-RentalsVacates!$F17-1,RentalsVacates!$A$8:$C$162,2,FALSE)*VLOOKUP(BJ$11,'Attrition Modeling'!$L$15:$N$27,IF(BJ$12-$F17&lt;=24,2,3),FALSE))*(1+IF('Traditional Attrition'!BJ139&gt;0,'Attrition Modeling'!$N$9,0))),0))</f>
        <v>600.84535941141633</v>
      </c>
      <c r="BK17" s="799">
        <f>IF(BK$12=$F17+1,IF(Monthly!BG$4=TRUE,0,BK$3),IF(BK$12&gt;$F17+1,RentalsVacates!BJ17*(1-IF(BK$12-$F17&lt;=12,SUMIFS('Attrition Modeling'!$D:$D,'Attrition Modeling'!$B:$B,$E17,'Attrition Modeling'!$C:$C,BK$11),VLOOKUP(RentalsVacates!BK$12-RentalsVacates!$F17-1,RentalsVacates!$A$8:$C$162,2,FALSE)*VLOOKUP(BK$11,'Attrition Modeling'!$L$15:$N$27,IF(BK$12-$F17&lt;=24,2,3),FALSE))*(1+IF('Traditional Attrition'!BK139&gt;0,'Attrition Modeling'!$N$9,0))),0))</f>
        <v>583.02961032325584</v>
      </c>
      <c r="BL17" s="799">
        <f>IF(BL$12=$F17+1,IF(Monthly!BH$4=TRUE,0,BL$3),IF(BL$12&gt;$F17+1,RentalsVacates!BK17*(1-IF(BL$12-$F17&lt;=12,SUMIFS('Attrition Modeling'!$D:$D,'Attrition Modeling'!$B:$B,$E17,'Attrition Modeling'!$C:$C,BL$11),VLOOKUP(RentalsVacates!BL$12-RentalsVacates!$F17-1,RentalsVacates!$A$8:$C$162,2,FALSE)*VLOOKUP(BL$11,'Attrition Modeling'!$L$15:$N$27,IF(BL$12-$F17&lt;=24,2,3),FALSE))*(1+IF('Traditional Attrition'!BL139&gt;0,'Attrition Modeling'!$N$9,0))),0))</f>
        <v>566.93864274646648</v>
      </c>
      <c r="BM17" s="799">
        <f>IF(BM$12=$F17+1,IF(Monthly!BI$4=TRUE,0,BM$3),IF(BM$12&gt;$F17+1,RentalsVacates!BL17*(1-IF(BM$12-$F17&lt;=12,SUMIFS('Attrition Modeling'!$D:$D,'Attrition Modeling'!$B:$B,$E17,'Attrition Modeling'!$C:$C,BM$11),VLOOKUP(RentalsVacates!BM$12-RentalsVacates!$F17-1,RentalsVacates!$A$8:$C$162,2,FALSE)*VLOOKUP(BM$11,'Attrition Modeling'!$L$15:$N$27,IF(BM$12-$F17&lt;=24,2,3),FALSE))*(1+IF('Traditional Attrition'!BM139&gt;0,'Attrition Modeling'!$N$9,0))),0))</f>
        <v>548.96790683107588</v>
      </c>
      <c r="BN17" s="799">
        <f>IF(BN$12=$F17+1,IF(Monthly!BJ$4=TRUE,0,BN$3),IF(BN$12&gt;$F17+1,RentalsVacates!BM17*(1-IF(BN$12-$F17&lt;=12,SUMIFS('Attrition Modeling'!$D:$D,'Attrition Modeling'!$B:$B,$E17,'Attrition Modeling'!$C:$C,BN$11),VLOOKUP(RentalsVacates!BN$12-RentalsVacates!$F17-1,RentalsVacates!$A$8:$C$162,2,FALSE)*VLOOKUP(BN$11,'Attrition Modeling'!$L$15:$N$27,IF(BN$12-$F17&lt;=24,2,3),FALSE))*(1+IF('Traditional Attrition'!BN139&gt;0,'Attrition Modeling'!$N$9,0))),0))</f>
        <v>534.91799620380652</v>
      </c>
      <c r="BO17" s="799">
        <f>IF(BO$12=$F17+1,IF(Monthly!BK$4=TRUE,0,BO$3),IF(BO$12&gt;$F17+1,RentalsVacates!BN17*(1-IF(BO$12-$F17&lt;=12,SUMIFS('Attrition Modeling'!$D:$D,'Attrition Modeling'!$B:$B,$E17,'Attrition Modeling'!$C:$C,BO$11),VLOOKUP(RentalsVacates!BO$12-RentalsVacates!$F17-1,RentalsVacates!$A$8:$C$162,2,FALSE)*VLOOKUP(BO$11,'Attrition Modeling'!$L$15:$N$27,IF(BO$12-$F17&lt;=24,2,3),FALSE))*(1+IF('Traditional Attrition'!BO139&gt;0,'Attrition Modeling'!$N$9,0))),0))</f>
        <v>523.73343103283605</v>
      </c>
      <c r="BP17" s="799">
        <f>IF(BP$12=$F17+1,IF(Monthly!BL$4=TRUE,0,BP$3),IF(BP$12&gt;$F17+1,RentalsVacates!BO17*(1-IF(BP$12-$F17&lt;=12,SUMIFS('Attrition Modeling'!$D:$D,'Attrition Modeling'!$B:$B,$E17,'Attrition Modeling'!$C:$C,BP$11),VLOOKUP(RentalsVacates!BP$12-RentalsVacates!$F17-1,RentalsVacates!$A$8:$C$162,2,FALSE)*VLOOKUP(BP$11,'Attrition Modeling'!$L$15:$N$27,IF(BP$12-$F17&lt;=24,2,3),FALSE))*(1+IF('Traditional Attrition'!BP139&gt;0,'Attrition Modeling'!$N$9,0))),0))</f>
        <v>511.71342309559225</v>
      </c>
      <c r="BQ17" s="799">
        <f>IF(BQ$12=$F17+1,IF(Monthly!BM$4=TRUE,0,BQ$3),IF(BQ$12&gt;$F17+1,RentalsVacates!BP17*(1-IF(BQ$12-$F17&lt;=12,SUMIFS('Attrition Modeling'!$D:$D,'Attrition Modeling'!$B:$B,$E17,'Attrition Modeling'!$C:$C,BQ$11),VLOOKUP(RentalsVacates!BQ$12-RentalsVacates!$F17-1,RentalsVacates!$A$8:$C$162,2,FALSE)*VLOOKUP(BQ$11,'Attrition Modeling'!$L$15:$N$27,IF(BQ$12-$F17&lt;=24,2,3),FALSE))*(1+IF('Traditional Attrition'!BQ139&gt;0,'Attrition Modeling'!$N$9,0))),0))</f>
        <v>500.43409902228279</v>
      </c>
      <c r="BR17" s="799">
        <f>IF(BR$12=$F17+1,IF(Monthly!BN$4=TRUE,0,BR$3),IF(BR$12&gt;$F17+1,RentalsVacates!BQ17*(1-IF(BR$12-$F17&lt;=12,SUMIFS('Attrition Modeling'!$D:$D,'Attrition Modeling'!$B:$B,$E17,'Attrition Modeling'!$C:$C,BR$11),VLOOKUP(RentalsVacates!BR$12-RentalsVacates!$F17-1,RentalsVacates!$A$8:$C$162,2,FALSE)*VLOOKUP(BR$11,'Attrition Modeling'!$L$15:$N$27,IF(BR$12-$F17&lt;=24,2,3),FALSE))*(1+IF('Traditional Attrition'!BR139&gt;0,'Attrition Modeling'!$N$9,0))),0))</f>
        <v>489.95587951659098</v>
      </c>
      <c r="BS17" s="799">
        <f>IF(BS$12=$F17+1,IF(Monthly!BO$4=TRUE,0,BS$3),IF(BS$12&gt;$F17+1,RentalsVacates!BR17*(1-IF(BS$12-$F17&lt;=12,SUMIFS('Attrition Modeling'!$D:$D,'Attrition Modeling'!$B:$B,$E17,'Attrition Modeling'!$C:$C,BS$11),VLOOKUP(RentalsVacates!BS$12-RentalsVacates!$F17-1,RentalsVacates!$A$8:$C$162,2,FALSE)*VLOOKUP(BS$11,'Attrition Modeling'!$L$15:$N$27,IF(BS$12-$F17&lt;=24,2,3),FALSE))*(1+IF('Traditional Attrition'!BS139&gt;0,'Attrition Modeling'!$N$9,0))),0))</f>
        <v>481.86543752566917</v>
      </c>
      <c r="BT17" s="799">
        <f>IF(BT$11=$F16+1,IF(Monthly!#REF!=TRUE,0,BT$3),IF(BT$11&gt;$F16+1,RentalsVacates!BS16*(1-IF(BT$11-$F16&lt;=12,SUMIFS('Attrition Modeling'!$D:$D,'Attrition Modeling'!$B:$B,$E16,'Attrition Modeling'!$C:$C,BT$10),VLOOKUP(RentalsVacates!BT$11-RentalsVacates!$F16-1,RentalsVacates!$A$7:$C$161,2,FALSE)*VLOOKUP(BT$10,'Attrition Modeling'!$L$15:$N$27,IF(BT$11-$F16&lt;=24,2,3),FALSE))*(1+IF('Traditional Attrition'!BT139&gt;0,'Attrition Modeling'!$N$9,0))),0))</f>
        <v>309.94178957115088</v>
      </c>
      <c r="BU17" s="799">
        <f>IF(BU$11=$F16+1,IF(Monthly!#REF!=TRUE,0,BU$3),IF(BU$11&gt;$F16+1,RentalsVacates!BT16*(1-IF(BU$11-$F16&lt;=12,SUMIFS('Attrition Modeling'!$D:$D,'Attrition Modeling'!$B:$B,$E16,'Attrition Modeling'!$C:$C,BU$10),VLOOKUP(RentalsVacates!BU$11-RentalsVacates!$F16-1,RentalsVacates!$A$7:$C$161,2,FALSE)*VLOOKUP(BU$10,'Attrition Modeling'!$L$15:$N$27,IF(BU$11-$F16&lt;=24,2,3),FALSE))*(1+IF('Traditional Attrition'!BU139&gt;0,'Attrition Modeling'!$N$9,0))),0))</f>
        <v>276.76711529596594</v>
      </c>
    </row>
    <row r="18" spans="1:73" ht="14.25" customHeight="1" x14ac:dyDescent="0.2">
      <c r="A18" s="9">
        <v>10</v>
      </c>
      <c r="B18" s="25" t="e">
        <f>'Attrition Modeling'!H14*(1-Summary!$C$20)</f>
        <v>#DIV/0!</v>
      </c>
      <c r="C18" s="24" t="e">
        <f t="shared" si="2"/>
        <v>#DIV/0!</v>
      </c>
      <c r="E18" s="11">
        <f>'Traditional Attrition'!E75</f>
        <v>5</v>
      </c>
      <c r="F18" s="11">
        <f t="shared" si="4"/>
        <v>5</v>
      </c>
      <c r="G18" s="799"/>
      <c r="H18" s="799">
        <f>IF(H$12=$F18+1,IF(Monthly!D$4=TRUE,0,H$3),IF(H$12&gt;$F18+1,RentalsVacates!G18*(1-IF(H$12-$F18&lt;=12,SUMIFS('Attrition Modeling'!$D:$D,'Attrition Modeling'!$B:$B,$E18,'Attrition Modeling'!$C:$C,H$11),VLOOKUP(RentalsVacates!H$12-RentalsVacates!$F18-1,RentalsVacates!$A$8:$C$162,2,FALSE)*VLOOKUP(H$11,'Attrition Modeling'!$L$15:$N$27,IF(H$12-$F18&lt;=24,2,3),FALSE))*(1+IF('Traditional Attrition'!H140&gt;0,'Attrition Modeling'!$N$9,0))),0))</f>
        <v>0</v>
      </c>
      <c r="I18" s="799">
        <f>IF(I$12=$F18+1,IF(Monthly!E$4=TRUE,0,I$3),IF(I$12&gt;$F18+1,RentalsVacates!H18*(1-IF(I$12-$F18&lt;=12,SUMIFS('Attrition Modeling'!$D:$D,'Attrition Modeling'!$B:$B,$E18,'Attrition Modeling'!$C:$C,I$11),VLOOKUP(RentalsVacates!I$12-RentalsVacates!$F18-1,RentalsVacates!$A$8:$C$162,2,FALSE)*VLOOKUP(I$11,'Attrition Modeling'!$L$15:$N$27,IF(I$12-$F18&lt;=24,2,3),FALSE))*(1+IF('Traditional Attrition'!I140&gt;0,'Attrition Modeling'!$N$9,0))),0))</f>
        <v>0</v>
      </c>
      <c r="J18" s="799">
        <f>IF(J$12=$F18+1,IF(Monthly!F$4=TRUE,0,J$3),IF(J$12&gt;$F18+1,RentalsVacates!I18*(1-IF(J$12-$F18&lt;=12,SUMIFS('Attrition Modeling'!$D:$D,'Attrition Modeling'!$B:$B,$E18,'Attrition Modeling'!$C:$C,J$11),VLOOKUP(RentalsVacates!J$12-RentalsVacates!$F18-1,RentalsVacates!$A$8:$C$162,2,FALSE)*VLOOKUP(J$11,'Attrition Modeling'!$L$15:$N$27,IF(J$12-$F18&lt;=24,2,3),FALSE))*(1+IF('Traditional Attrition'!J140&gt;0,'Attrition Modeling'!$N$9,0))),0))</f>
        <v>0</v>
      </c>
      <c r="K18" s="799">
        <f>IF(K$12=$F18+1,IF(Monthly!G$4=TRUE,0,K$3),IF(K$12&gt;$F18+1,RentalsVacates!J18*(1-IF(K$12-$F18&lt;=12,SUMIFS('Attrition Modeling'!$D:$D,'Attrition Modeling'!$B:$B,$E18,'Attrition Modeling'!$C:$C,K$11),VLOOKUP(RentalsVacates!K$12-RentalsVacates!$F18-1,RentalsVacates!$A$8:$C$162,2,FALSE)*VLOOKUP(K$11,'Attrition Modeling'!$L$15:$N$27,IF(K$12-$F18&lt;=24,2,3),FALSE))*(1+IF('Traditional Attrition'!K140&gt;0,'Attrition Modeling'!$N$9,0))),0))</f>
        <v>0</v>
      </c>
      <c r="L18" s="799">
        <f>IF(L$12=$F18+1,IF(Monthly!H$4=TRUE,0,L$3),IF(L$12&gt;$F18+1,RentalsVacates!K18*(1-IF(L$12-$F18&lt;=12,SUMIFS('Attrition Modeling'!$D:$D,'Attrition Modeling'!$B:$B,$E18,'Attrition Modeling'!$C:$C,L$11),VLOOKUP(RentalsVacates!L$12-RentalsVacates!$F18-1,RentalsVacates!$A$8:$C$162,2,FALSE)*VLOOKUP(L$11,'Attrition Modeling'!$L$15:$N$27,IF(L$12-$F18&lt;=24,2,3),FALSE))*(1+IF('Traditional Attrition'!L140&gt;0,'Attrition Modeling'!$N$9,0))),0))</f>
        <v>0</v>
      </c>
      <c r="M18" s="799">
        <f>IF(M$12=$F18+1,IF(Monthly!I$4=TRUE,0,M$3),IF(M$12&gt;$F18+1,RentalsVacates!L18*(1-IF(M$12-$F18&lt;=12,SUMIFS('Attrition Modeling'!$D:$D,'Attrition Modeling'!$B:$B,$E18,'Attrition Modeling'!$C:$C,M$11),VLOOKUP(RentalsVacates!M$12-RentalsVacates!$F18-1,RentalsVacates!$A$8:$C$162,2,FALSE)*VLOOKUP(M$11,'Attrition Modeling'!$L$15:$N$27,IF(M$12-$F18&lt;=24,2,3),FALSE))*(1+IF('Traditional Attrition'!M140&gt;0,'Attrition Modeling'!$N$9,0))),0))</f>
        <v>5304.6663409112844</v>
      </c>
      <c r="N18" s="799">
        <f>IF(N$12=$F18+1,IF(Monthly!J$4=TRUE,0,N$3),IF(N$12&gt;$F18+1,RentalsVacates!M18*(1-IF(N$12-$F18&lt;=12,SUMIFS('Attrition Modeling'!$D:$D,'Attrition Modeling'!$B:$B,$E18,'Attrition Modeling'!$C:$C,N$11),VLOOKUP(RentalsVacates!N$12-RentalsVacates!$F18-1,RentalsVacates!$A$8:$C$162,2,FALSE)*VLOOKUP(N$11,'Attrition Modeling'!$L$15:$N$27,IF(N$12-$F18&lt;=24,2,3),FALSE))*(1+IF('Traditional Attrition'!N140&gt;0,'Attrition Modeling'!$N$9,0))),0))</f>
        <v>4719.9695723503855</v>
      </c>
      <c r="O18" s="799">
        <f>IF(O$12=$F18+1,IF(Monthly!K$4=TRUE,0,O$3),IF(O$12&gt;$F18+1,RentalsVacates!N18*(1-IF(O$12-$F18&lt;=12,SUMIFS('Attrition Modeling'!$D:$D,'Attrition Modeling'!$B:$B,$E18,'Attrition Modeling'!$C:$C,O$11),VLOOKUP(RentalsVacates!O$12-RentalsVacates!$F18-1,RentalsVacates!$A$8:$C$162,2,FALSE)*VLOOKUP(O$11,'Attrition Modeling'!$L$15:$N$27,IF(O$12-$F18&lt;=24,2,3),FALSE))*(1+IF('Traditional Attrition'!O140&gt;0,'Attrition Modeling'!$N$9,0))),0))</f>
        <v>4090.3454552710482</v>
      </c>
      <c r="P18" s="799">
        <f>IF(P$12=$F18+1,IF(Monthly!L$4=TRUE,0,P$3),IF(P$12&gt;$F18+1,RentalsVacates!O18*(1-IF(P$12-$F18&lt;=12,SUMIFS('Attrition Modeling'!$D:$D,'Attrition Modeling'!$B:$B,$E18,'Attrition Modeling'!$C:$C,P$11),VLOOKUP(RentalsVacates!P$12-RentalsVacates!$F18-1,RentalsVacates!$A$8:$C$162,2,FALSE)*VLOOKUP(P$11,'Attrition Modeling'!$L$15:$N$27,IF(P$12-$F18&lt;=24,2,3),FALSE))*(1+IF('Traditional Attrition'!P140&gt;0,'Attrition Modeling'!$N$9,0))),0))</f>
        <v>3641.9826472260579</v>
      </c>
      <c r="Q18" s="799">
        <f>IF(Q$12=$F18+1,IF(Monthly!M$4=TRUE,0,Q$3),IF(Q$12&gt;$F18+1,RentalsVacates!P18*(1-IF(Q$12-$F18&lt;=12,SUMIFS('Attrition Modeling'!$D:$D,'Attrition Modeling'!$B:$B,$E18,'Attrition Modeling'!$C:$C,Q$11),VLOOKUP(RentalsVacates!Q$12-RentalsVacates!$F18-1,RentalsVacates!$A$8:$C$162,2,FALSE)*VLOOKUP(Q$11,'Attrition Modeling'!$L$15:$N$27,IF(Q$12-$F18&lt;=24,2,3),FALSE))*(1+IF('Traditional Attrition'!Q140&gt;0,'Attrition Modeling'!$N$9,0))),0))</f>
        <v>3305.858969937859</v>
      </c>
      <c r="R18" s="799">
        <f>IF(R$12=$F18+1,IF(Monthly!N$4=TRUE,0,R$3),IF(R$12&gt;$F18+1,RentalsVacates!Q18*(1-IF(R$12-$F18&lt;=12,SUMIFS('Attrition Modeling'!$D:$D,'Attrition Modeling'!$B:$B,$E18,'Attrition Modeling'!$C:$C,R$11),VLOOKUP(RentalsVacates!R$12-RentalsVacates!$F18-1,RentalsVacates!$A$8:$C$162,2,FALSE)*VLOOKUP(R$11,'Attrition Modeling'!$L$15:$N$27,IF(R$12-$F18&lt;=24,2,3),FALSE))*(1+IF('Traditional Attrition'!R140&gt;0,'Attrition Modeling'!$N$9,0))),0))</f>
        <v>2943.506650951992</v>
      </c>
      <c r="S18" s="799">
        <f>IF(S$12=$F18+1,IF(Monthly!O$4=TRUE,0,S$3),IF(S$12&gt;$F18+1,RentalsVacates!R18*(1-IF(S$12-$F18&lt;=12,SUMIFS('Attrition Modeling'!$D:$D,'Attrition Modeling'!$B:$B,$E18,'Attrition Modeling'!$C:$C,S$11),VLOOKUP(RentalsVacates!S$12-RentalsVacates!$F18-1,RentalsVacates!$A$8:$C$162,2,FALSE)*VLOOKUP(S$11,'Attrition Modeling'!$L$15:$N$27,IF(S$12-$F18&lt;=24,2,3),FALSE))*(1+IF('Traditional Attrition'!S140&gt;0,'Attrition Modeling'!$N$9,0))),0))</f>
        <v>2717.187047450258</v>
      </c>
      <c r="T18" s="799">
        <f>IF(T$12=$F18+1,IF(Monthly!P$4=TRUE,0,T$3),IF(T$12&gt;$F18+1,RentalsVacates!S18*(1-IF(T$12-$F18&lt;=12,SUMIFS('Attrition Modeling'!$D:$D,'Attrition Modeling'!$B:$B,$E18,'Attrition Modeling'!$C:$C,T$11),VLOOKUP(RentalsVacates!T$12-RentalsVacates!$F18-1,RentalsVacates!$A$8:$C$162,2,FALSE)*VLOOKUP(T$11,'Attrition Modeling'!$L$15:$N$27,IF(T$12-$F18&lt;=24,2,3),FALSE))*(1+IF('Traditional Attrition'!T140&gt;0,'Attrition Modeling'!$N$9,0))),0))</f>
        <v>2541.2657337969727</v>
      </c>
      <c r="U18" s="799">
        <f>IF(U$12=$F18+1,IF(Monthly!Q$4=TRUE,0,U$3),IF(U$12&gt;$F18+1,RentalsVacates!T18*(1-IF(U$12-$F18&lt;=12,SUMIFS('Attrition Modeling'!$D:$D,'Attrition Modeling'!$B:$B,$E18,'Attrition Modeling'!$C:$C,U$11),VLOOKUP(RentalsVacates!U$12-RentalsVacates!$F18-1,RentalsVacates!$A$8:$C$162,2,FALSE)*VLOOKUP(U$11,'Attrition Modeling'!$L$15:$N$27,IF(U$12-$F18&lt;=24,2,3),FALSE))*(1+IF('Traditional Attrition'!U140&gt;0,'Attrition Modeling'!$N$9,0))),0))</f>
        <v>2398.4646425442929</v>
      </c>
      <c r="V18" s="799">
        <f>IF(V$12=$F18+1,IF(Monthly!R$4=TRUE,0,V$3),IF(V$12&gt;$F18+1,RentalsVacates!U18*(1-IF(V$12-$F18&lt;=12,SUMIFS('Attrition Modeling'!$D:$D,'Attrition Modeling'!$B:$B,$E18,'Attrition Modeling'!$C:$C,V$11),VLOOKUP(RentalsVacates!V$12-RentalsVacates!$F18-1,RentalsVacates!$A$8:$C$162,2,FALSE)*VLOOKUP(V$11,'Attrition Modeling'!$L$15:$N$27,IF(V$12-$F18&lt;=24,2,3),FALSE))*(1+IF('Traditional Attrition'!V140&gt;0,'Attrition Modeling'!$N$9,0))),0))</f>
        <v>2261.6958179848148</v>
      </c>
      <c r="W18" s="799">
        <f>IF(W$12=$F18+1,IF(Monthly!S$4=TRUE,0,W$3),IF(W$12&gt;$F18+1,RentalsVacates!V18*(1-IF(W$12-$F18&lt;=12,SUMIFS('Attrition Modeling'!$D:$D,'Attrition Modeling'!$B:$B,$E18,'Attrition Modeling'!$C:$C,W$11),VLOOKUP(RentalsVacates!W$12-RentalsVacates!$F18-1,RentalsVacates!$A$8:$C$162,2,FALSE)*VLOOKUP(W$11,'Attrition Modeling'!$L$15:$N$27,IF(W$12-$F18&lt;=24,2,3),FALSE))*(1+IF('Traditional Attrition'!W140&gt;0,'Attrition Modeling'!$N$9,0))),0))</f>
        <v>2140.5480588774999</v>
      </c>
      <c r="X18" s="799">
        <f>IF(X$12=$F18+1,IF(Monthly!T$4=TRUE,0,X$3),IF(X$12&gt;$F18+1,RentalsVacates!W18*(1-IF(X$12-$F18&lt;=12,SUMIFS('Attrition Modeling'!$D:$D,'Attrition Modeling'!$B:$B,$E18,'Attrition Modeling'!$C:$C,X$11),VLOOKUP(RentalsVacates!X$12-RentalsVacates!$F18-1,RentalsVacates!$A$8:$C$162,2,FALSE)*VLOOKUP(X$11,'Attrition Modeling'!$L$15:$N$27,IF(X$12-$F18&lt;=24,2,3),FALSE))*(1+IF('Traditional Attrition'!X140&gt;0,'Attrition Modeling'!$N$9,0))),0))</f>
        <v>2087.6478384792367</v>
      </c>
      <c r="Y18" s="799">
        <f>IF(Y$12=$F18+1,IF(Monthly!U$4=TRUE,0,Y$3),IF(Y$12&gt;$F18+1,RentalsVacates!X18*(1-IF(Y$12-$F18&lt;=12,SUMIFS('Attrition Modeling'!$D:$D,'Attrition Modeling'!$B:$B,$E18,'Attrition Modeling'!$C:$C,Y$11),VLOOKUP(RentalsVacates!Y$12-RentalsVacates!$F18-1,RentalsVacates!$A$8:$C$162,2,FALSE)*VLOOKUP(Y$11,'Attrition Modeling'!$L$15:$N$27,IF(Y$12-$F18&lt;=24,2,3),FALSE))*(1+IF('Traditional Attrition'!Y140&gt;0,'Attrition Modeling'!$N$9,0))),0))</f>
        <v>1969.3622544986797</v>
      </c>
      <c r="Z18" s="799">
        <f>IF(Z$12=$F18+1,IF(Monthly!V$4=TRUE,0,Z$3),IF(Z$12&gt;$F18+1,RentalsVacates!Y18*(1-IF(Z$12-$F18&lt;=12,SUMIFS('Attrition Modeling'!$D:$D,'Attrition Modeling'!$B:$B,$E18,'Attrition Modeling'!$C:$C,Z$11),VLOOKUP(RentalsVacates!Z$12-RentalsVacates!$F18-1,RentalsVacates!$A$8:$C$162,2,FALSE)*VLOOKUP(Z$11,'Attrition Modeling'!$L$15:$N$27,IF(Z$12-$F18&lt;=24,2,3),FALSE))*(1+IF('Traditional Attrition'!Z140&gt;0,'Attrition Modeling'!$N$9,0))),0))</f>
        <v>1863.960168580089</v>
      </c>
      <c r="AA18" s="799">
        <f>IF(AA$12=$F18+1,IF(Monthly!W$4=TRUE,0,AA$3),IF(AA$12&gt;$F18+1,RentalsVacates!Z18*(1-IF(AA$12-$F18&lt;=12,SUMIFS('Attrition Modeling'!$D:$D,'Attrition Modeling'!$B:$B,$E18,'Attrition Modeling'!$C:$C,AA$11),VLOOKUP(RentalsVacates!AA$12-RentalsVacates!$F18-1,RentalsVacates!$A$8:$C$162,2,FALSE)*VLOOKUP(AA$11,'Attrition Modeling'!$L$15:$N$27,IF(AA$12-$F18&lt;=24,2,3),FALSE))*(1+IF('Traditional Attrition'!AA140&gt;0,'Attrition Modeling'!$N$9,0))),0))</f>
        <v>1764.8879218376073</v>
      </c>
      <c r="AB18" s="799">
        <f>IF(AB$12=$F18+1,IF(Monthly!X$4=TRUE,0,AB$3),IF(AB$12&gt;$F18+1,RentalsVacates!AA18*(1-IF(AB$12-$F18&lt;=12,SUMIFS('Attrition Modeling'!$D:$D,'Attrition Modeling'!$B:$B,$E18,'Attrition Modeling'!$C:$C,AB$11),VLOOKUP(RentalsVacates!AB$12-RentalsVacates!$F18-1,RentalsVacates!$A$8:$C$162,2,FALSE)*VLOOKUP(AB$11,'Attrition Modeling'!$L$15:$N$27,IF(AB$12-$F18&lt;=24,2,3),FALSE))*(1+IF('Traditional Attrition'!AB140&gt;0,'Attrition Modeling'!$N$9,0))),0))</f>
        <v>1682.473396323878</v>
      </c>
      <c r="AC18" s="799">
        <f>IF(AC$12=$F18+1,IF(Monthly!Y$4=TRUE,0,AC$3),IF(AC$12&gt;$F18+1,RentalsVacates!AB18*(1-IF(AC$12-$F18&lt;=12,SUMIFS('Attrition Modeling'!$D:$D,'Attrition Modeling'!$B:$B,$E18,'Attrition Modeling'!$C:$C,AC$11),VLOOKUP(RentalsVacates!AC$12-RentalsVacates!$F18-1,RentalsVacates!$A$8:$C$162,2,FALSE)*VLOOKUP(AC$11,'Attrition Modeling'!$L$15:$N$27,IF(AC$12-$F18&lt;=24,2,3),FALSE))*(1+IF('Traditional Attrition'!AC140&gt;0,'Attrition Modeling'!$N$9,0))),0))</f>
        <v>1604.4536246899374</v>
      </c>
      <c r="AD18" s="799">
        <f>IF(AD$12=$F18+1,IF(Monthly!Z$4=TRUE,0,AD$3),IF(AD$12&gt;$F18+1,RentalsVacates!AC18*(1-IF(AD$12-$F18&lt;=12,SUMIFS('Attrition Modeling'!$D:$D,'Attrition Modeling'!$B:$B,$E18,'Attrition Modeling'!$C:$C,AD$11),VLOOKUP(RentalsVacates!AD$12-RentalsVacates!$F18-1,RentalsVacates!$A$8:$C$162,2,FALSE)*VLOOKUP(AD$11,'Attrition Modeling'!$L$15:$N$27,IF(AD$12-$F18&lt;=24,2,3),FALSE))*(1+IF('Traditional Attrition'!AD140&gt;0,'Attrition Modeling'!$N$9,0))),0))</f>
        <v>1520.6912842031438</v>
      </c>
      <c r="AE18" s="799">
        <f>IF(AE$12=$F18+1,IF(Monthly!AA$4=TRUE,0,AE$3),IF(AE$12&gt;$F18+1,RentalsVacates!AD18*(1-IF(AE$12-$F18&lt;=12,SUMIFS('Attrition Modeling'!$D:$D,'Attrition Modeling'!$B:$B,$E18,'Attrition Modeling'!$C:$C,AE$11),VLOOKUP(RentalsVacates!AE$12-RentalsVacates!$F18-1,RentalsVacates!$A$8:$C$162,2,FALSE)*VLOOKUP(AE$11,'Attrition Modeling'!$L$15:$N$27,IF(AE$12-$F18&lt;=24,2,3),FALSE))*(1+IF('Traditional Attrition'!AE140&gt;0,'Attrition Modeling'!$N$9,0))),0))</f>
        <v>1456.6334921388584</v>
      </c>
      <c r="AF18" s="799">
        <f>IF(AF$12=$F18+1,IF(Monthly!AB$4=TRUE,0,AF$3),IF(AF$12&gt;$F18+1,RentalsVacates!AE18*(1-IF(AF$12-$F18&lt;=12,SUMIFS('Attrition Modeling'!$D:$D,'Attrition Modeling'!$B:$B,$E18,'Attrition Modeling'!$C:$C,AF$11),VLOOKUP(RentalsVacates!AF$12-RentalsVacates!$F18-1,RentalsVacates!$A$8:$C$162,2,FALSE)*VLOOKUP(AF$11,'Attrition Modeling'!$L$15:$N$27,IF(AF$12-$F18&lt;=24,2,3),FALSE))*(1+IF('Traditional Attrition'!AF140&gt;0,'Attrition Modeling'!$N$9,0))),0))</f>
        <v>1396.3855922674215</v>
      </c>
      <c r="AG18" s="799">
        <f>IF(AG$12=$F18+1,IF(Monthly!AC$4=TRUE,0,AG$3),IF(AG$12&gt;$F18+1,RentalsVacates!AF18*(1-IF(AG$12-$F18&lt;=12,SUMIFS('Attrition Modeling'!$D:$D,'Attrition Modeling'!$B:$B,$E18,'Attrition Modeling'!$C:$C,AG$11),VLOOKUP(RentalsVacates!AG$12-RentalsVacates!$F18-1,RentalsVacates!$A$8:$C$162,2,FALSE)*VLOOKUP(AG$11,'Attrition Modeling'!$L$15:$N$27,IF(AG$12-$F18&lt;=24,2,3),FALSE))*(1+IF('Traditional Attrition'!AG140&gt;0,'Attrition Modeling'!$N$9,0))),0))</f>
        <v>1345.1737007132958</v>
      </c>
      <c r="AH18" s="799">
        <f>IF(AH$12=$F18+1,IF(Monthly!AD$4=TRUE,0,AH$3),IF(AH$12&gt;$F18+1,RentalsVacates!AG18*(1-IF(AH$12-$F18&lt;=12,SUMIFS('Attrition Modeling'!$D:$D,'Attrition Modeling'!$B:$B,$E18,'Attrition Modeling'!$C:$C,AH$11),VLOOKUP(RentalsVacates!AH$12-RentalsVacates!$F18-1,RentalsVacates!$A$8:$C$162,2,FALSE)*VLOOKUP(AH$11,'Attrition Modeling'!$L$15:$N$27,IF(AH$12-$F18&lt;=24,2,3),FALSE))*(1+IF('Traditional Attrition'!AH140&gt;0,'Attrition Modeling'!$N$9,0))),0))</f>
        <v>1292.305897376546</v>
      </c>
      <c r="AI18" s="799">
        <f>IF(AI$12=$F18+1,IF(Monthly!AE$4=TRUE,0,AI$3),IF(AI$12&gt;$F18+1,RentalsVacates!AH18*(1-IF(AI$12-$F18&lt;=12,SUMIFS('Attrition Modeling'!$D:$D,'Attrition Modeling'!$B:$B,$E18,'Attrition Modeling'!$C:$C,AI$11),VLOOKUP(RentalsVacates!AI$12-RentalsVacates!$F18-1,RentalsVacates!$A$8:$C$162,2,FALSE)*VLOOKUP(AI$11,'Attrition Modeling'!$L$15:$N$27,IF(AI$12-$F18&lt;=24,2,3),FALSE))*(1+IF('Traditional Attrition'!AI140&gt;0,'Attrition Modeling'!$N$9,0))),0))</f>
        <v>1243.0812683554798</v>
      </c>
      <c r="AJ18" s="799">
        <f>IF(AJ$12=$F18+1,IF(Monthly!AF$4=TRUE,0,AJ$3),IF(AJ$12&gt;$F18+1,RentalsVacates!AI18*(1-IF(AJ$12-$F18&lt;=12,SUMIFS('Attrition Modeling'!$D:$D,'Attrition Modeling'!$B:$B,$E18,'Attrition Modeling'!$C:$C,AJ$11),VLOOKUP(RentalsVacates!AJ$12-RentalsVacates!$F18-1,RentalsVacates!$A$8:$C$162,2,FALSE)*VLOOKUP(AJ$11,'Attrition Modeling'!$L$15:$N$27,IF(AJ$12-$F18&lt;=24,2,3),FALSE))*(1+IF('Traditional Attrition'!AJ140&gt;0,'Attrition Modeling'!$N$9,0))),0))</f>
        <v>1196.6918332272285</v>
      </c>
      <c r="AK18" s="799">
        <f>IF(AK$12=$F18+1,IF(Monthly!AG$4=TRUE,0,AK$3),IF(AK$12&gt;$F18+1,RentalsVacates!AJ18*(1-IF(AK$12-$F18&lt;=12,SUMIFS('Attrition Modeling'!$D:$D,'Attrition Modeling'!$B:$B,$E18,'Attrition Modeling'!$C:$C,AK$11),VLOOKUP(RentalsVacates!AK$12-RentalsVacates!$F18-1,RentalsVacates!$A$8:$C$162,2,FALSE)*VLOOKUP(AK$11,'Attrition Modeling'!$L$15:$N$27,IF(AK$12-$F18&lt;=24,2,3),FALSE))*(1+IF('Traditional Attrition'!AK140&gt;0,'Attrition Modeling'!$N$9,0))),0))</f>
        <v>1152.3192703913448</v>
      </c>
      <c r="AL18" s="799">
        <f>IF(AL$12=$F18+1,IF(Monthly!AH$4=TRUE,0,AL$3),IF(AL$12&gt;$F18+1,RentalsVacates!AK18*(1-IF(AL$12-$F18&lt;=12,SUMIFS('Attrition Modeling'!$D:$D,'Attrition Modeling'!$B:$B,$E18,'Attrition Modeling'!$C:$C,AL$11),VLOOKUP(RentalsVacates!AL$12-RentalsVacates!$F18-1,RentalsVacates!$A$8:$C$162,2,FALSE)*VLOOKUP(AL$11,'Attrition Modeling'!$L$15:$N$27,IF(AL$12-$F18&lt;=24,2,3),FALSE))*(1+IF('Traditional Attrition'!AL140&gt;0,'Attrition Modeling'!$N$9,0))),0))</f>
        <v>1106.4149528740584</v>
      </c>
      <c r="AM18" s="799">
        <f>IF(AM$12=$F18+1,IF(Monthly!AI$4=TRUE,0,AM$3),IF(AM$12&gt;$F18+1,RentalsVacates!AL18*(1-IF(AM$12-$F18&lt;=12,SUMIFS('Attrition Modeling'!$D:$D,'Attrition Modeling'!$B:$B,$E18,'Attrition Modeling'!$C:$C,AM$11),VLOOKUP(RentalsVacates!AM$12-RentalsVacates!$F18-1,RentalsVacates!$A$8:$C$162,2,FALSE)*VLOOKUP(AM$11,'Attrition Modeling'!$L$15:$N$27,IF(AM$12-$F18&lt;=24,2,3),FALSE))*(1+IF('Traditional Attrition'!AM140&gt;0,'Attrition Modeling'!$N$9,0))),0))</f>
        <v>1059.7244169509124</v>
      </c>
      <c r="AN18" s="799">
        <f>IF(AN$12=$F18+1,IF(Monthly!AJ$4=TRUE,0,AN$3),IF(AN$12&gt;$F18+1,RentalsVacates!AM18*(1-IF(AN$12-$F18&lt;=12,SUMIFS('Attrition Modeling'!$D:$D,'Attrition Modeling'!$B:$B,$E18,'Attrition Modeling'!$C:$C,AN$11),VLOOKUP(RentalsVacates!AN$12-RentalsVacates!$F18-1,RentalsVacates!$A$8:$C$162,2,FALSE)*VLOOKUP(AN$11,'Attrition Modeling'!$L$15:$N$27,IF(AN$12-$F18&lt;=24,2,3),FALSE))*(1+IF('Traditional Attrition'!AN140&gt;0,'Attrition Modeling'!$N$9,0))),0))</f>
        <v>1018.2809325817093</v>
      </c>
      <c r="AO18" s="799">
        <f>IF(AO$12=$F18+1,IF(Monthly!AK$4=TRUE,0,AO$3),IF(AO$12&gt;$F18+1,RentalsVacates!AN18*(1-IF(AO$12-$F18&lt;=12,SUMIFS('Attrition Modeling'!$D:$D,'Attrition Modeling'!$B:$B,$E18,'Attrition Modeling'!$C:$C,AO$11),VLOOKUP(RentalsVacates!AO$12-RentalsVacates!$F18-1,RentalsVacates!$A$8:$C$162,2,FALSE)*VLOOKUP(AO$11,'Attrition Modeling'!$L$15:$N$27,IF(AO$12-$F18&lt;=24,2,3),FALSE))*(1+IF('Traditional Attrition'!AO140&gt;0,'Attrition Modeling'!$N$9,0))),0))</f>
        <v>980.32324670387879</v>
      </c>
      <c r="AP18" s="799">
        <f>IF(AP$12=$F18+1,IF(Monthly!AL$4=TRUE,0,AP$3),IF(AP$12&gt;$F18+1,RentalsVacates!AO18*(1-IF(AP$12-$F18&lt;=12,SUMIFS('Attrition Modeling'!$D:$D,'Attrition Modeling'!$B:$B,$E18,'Attrition Modeling'!$C:$C,AP$11),VLOOKUP(RentalsVacates!AP$12-RentalsVacates!$F18-1,RentalsVacates!$A$8:$C$162,2,FALSE)*VLOOKUP(AP$11,'Attrition Modeling'!$L$15:$N$27,IF(AP$12-$F18&lt;=24,2,3),FALSE))*(1+IF('Traditional Attrition'!AP140&gt;0,'Attrition Modeling'!$N$9,0))),0))</f>
        <v>938.00050440194968</v>
      </c>
      <c r="AQ18" s="799">
        <f>IF(AQ$12=$F18+1,IF(Monthly!AM$4=TRUE,0,AQ$3),IF(AQ$12&gt;$F18+1,RentalsVacates!AP18*(1-IF(AQ$12-$F18&lt;=12,SUMIFS('Attrition Modeling'!$D:$D,'Attrition Modeling'!$B:$B,$E18,'Attrition Modeling'!$C:$C,AQ$11),VLOOKUP(RentalsVacates!AQ$12-RentalsVacates!$F18-1,RentalsVacates!$A$8:$C$162,2,FALSE)*VLOOKUP(AQ$11,'Attrition Modeling'!$L$15:$N$27,IF(AQ$12-$F18&lt;=24,2,3),FALSE))*(1+IF('Traditional Attrition'!AQ140&gt;0,'Attrition Modeling'!$N$9,0))),0))</f>
        <v>910.53176698919196</v>
      </c>
      <c r="AR18" s="799">
        <f>IF(AR$12=$F18+1,IF(Monthly!AN$4=TRUE,0,AR$3),IF(AR$12&gt;$F18+1,RentalsVacates!AQ18*(1-IF(AR$12-$F18&lt;=12,SUMIFS('Attrition Modeling'!$D:$D,'Attrition Modeling'!$B:$B,$E18,'Attrition Modeling'!$C:$C,AR$11),VLOOKUP(RentalsVacates!AR$12-RentalsVacates!$F18-1,RentalsVacates!$A$8:$C$162,2,FALSE)*VLOOKUP(AR$11,'Attrition Modeling'!$L$15:$N$27,IF(AR$12-$F18&lt;=24,2,3),FALSE))*(1+IF('Traditional Attrition'!AR140&gt;0,'Attrition Modeling'!$N$9,0))),0))</f>
        <v>881.36503260033737</v>
      </c>
      <c r="AS18" s="799">
        <f>IF(AS$12=$F18+1,IF(Monthly!AO$4=TRUE,0,AS$3),IF(AS$12&gt;$F18+1,RentalsVacates!AR18*(1-IF(AS$12-$F18&lt;=12,SUMIFS('Attrition Modeling'!$D:$D,'Attrition Modeling'!$B:$B,$E18,'Attrition Modeling'!$C:$C,AS$11),VLOOKUP(RentalsVacates!AS$12-RentalsVacates!$F18-1,RentalsVacates!$A$8:$C$162,2,FALSE)*VLOOKUP(AS$11,'Attrition Modeling'!$L$15:$N$27,IF(AS$12-$F18&lt;=24,2,3),FALSE))*(1+IF('Traditional Attrition'!AS140&gt;0,'Attrition Modeling'!$N$9,0))),0))</f>
        <v>854.33874697758097</v>
      </c>
      <c r="AT18" s="799">
        <f>IF(AT$12=$F18+1,IF(Monthly!AP$4=TRUE,0,AT$3),IF(AT$12&gt;$F18+1,RentalsVacates!AS18*(1-IF(AT$12-$F18&lt;=12,SUMIFS('Attrition Modeling'!$D:$D,'Attrition Modeling'!$B:$B,$E18,'Attrition Modeling'!$C:$C,AT$11),VLOOKUP(RentalsVacates!AT$12-RentalsVacates!$F18-1,RentalsVacates!$A$8:$C$162,2,FALSE)*VLOOKUP(AT$11,'Attrition Modeling'!$L$15:$N$27,IF(AT$12-$F18&lt;=24,2,3),FALSE))*(1+IF('Traditional Attrition'!AT140&gt;0,'Attrition Modeling'!$N$9,0))),0))</f>
        <v>829.53043665281461</v>
      </c>
      <c r="AU18" s="799">
        <f>IF(AU$12=$F18+1,IF(Monthly!AQ$4=TRUE,0,AU$3),IF(AU$12&gt;$F18+1,RentalsVacates!AT18*(1-IF(AU$12-$F18&lt;=12,SUMIFS('Attrition Modeling'!$D:$D,'Attrition Modeling'!$B:$B,$E18,'Attrition Modeling'!$C:$C,AU$11),VLOOKUP(RentalsVacates!AU$12-RentalsVacates!$F18-1,RentalsVacates!$A$8:$C$162,2,FALSE)*VLOOKUP(AU$11,'Attrition Modeling'!$L$15:$N$27,IF(AU$12-$F18&lt;=24,2,3),FALSE))*(1+IF('Traditional Attrition'!AU140&gt;0,'Attrition Modeling'!$N$9,0))),0))</f>
        <v>810.58966745399289</v>
      </c>
      <c r="AV18" s="799">
        <f>IF(AV$12=$F18+1,IF(Monthly!AR$4=TRUE,0,AV$3),IF(AV$12&gt;$F18+1,RentalsVacates!AU18*(1-IF(AV$12-$F18&lt;=12,SUMIFS('Attrition Modeling'!$D:$D,'Attrition Modeling'!$B:$B,$E18,'Attrition Modeling'!$C:$C,AV$11),VLOOKUP(RentalsVacates!AV$12-RentalsVacates!$F18-1,RentalsVacates!$A$8:$C$162,2,FALSE)*VLOOKUP(AV$11,'Attrition Modeling'!$L$15:$N$27,IF(AV$12-$F18&lt;=24,2,3),FALSE))*(1+IF('Traditional Attrition'!AV140&gt;0,'Attrition Modeling'!$N$9,0))),0))</f>
        <v>788.4918694613707</v>
      </c>
      <c r="AW18" s="799">
        <f>IF(AW$12=$F18+1,IF(Monthly!AS$4=TRUE,0,AW$3),IF(AW$12&gt;$F18+1,RentalsVacates!AV18*(1-IF(AW$12-$F18&lt;=12,SUMIFS('Attrition Modeling'!$D:$D,'Attrition Modeling'!$B:$B,$E18,'Attrition Modeling'!$C:$C,AW$11),VLOOKUP(RentalsVacates!AW$12-RentalsVacates!$F18-1,RentalsVacates!$A$8:$C$162,2,FALSE)*VLOOKUP(AW$11,'Attrition Modeling'!$L$15:$N$27,IF(AW$12-$F18&lt;=24,2,3),FALSE))*(1+IF('Traditional Attrition'!AW140&gt;0,'Attrition Modeling'!$N$9,0))),0))</f>
        <v>764.22503579394845</v>
      </c>
      <c r="AX18" s="799">
        <f>IF(AX$12=$F18+1,IF(Monthly!AT$4=TRUE,0,AX$3),IF(AX$12&gt;$F18+1,RentalsVacates!AW18*(1-IF(AX$12-$F18&lt;=12,SUMIFS('Attrition Modeling'!$D:$D,'Attrition Modeling'!$B:$B,$E18,'Attrition Modeling'!$C:$C,AX$11),VLOOKUP(RentalsVacates!AX$12-RentalsVacates!$F18-1,RentalsVacates!$A$8:$C$162,2,FALSE)*VLOOKUP(AX$11,'Attrition Modeling'!$L$15:$N$27,IF(AX$12-$F18&lt;=24,2,3),FALSE))*(1+IF('Traditional Attrition'!AX140&gt;0,'Attrition Modeling'!$N$9,0))),0))</f>
        <v>738.87197809679174</v>
      </c>
      <c r="AY18" s="799">
        <f>IF(AY$12=$F18+1,IF(Monthly!AU$4=TRUE,0,AY$3),IF(AY$12&gt;$F18+1,RentalsVacates!AX18*(1-IF(AY$12-$F18&lt;=12,SUMIFS('Attrition Modeling'!$D:$D,'Attrition Modeling'!$B:$B,$E18,'Attrition Modeling'!$C:$C,AY$11),VLOOKUP(RentalsVacates!AY$12-RentalsVacates!$F18-1,RentalsVacates!$A$8:$C$162,2,FALSE)*VLOOKUP(AY$11,'Attrition Modeling'!$L$15:$N$27,IF(AY$12-$F18&lt;=24,2,3),FALSE))*(1+IF('Traditional Attrition'!AY140&gt;0,'Attrition Modeling'!$N$9,0))),0))</f>
        <v>712.82470533896594</v>
      </c>
      <c r="AZ18" s="799">
        <f>IF(AZ$12=$F18+1,IF(Monthly!AV$4=TRUE,0,AZ$3),IF(AZ$12&gt;$F18+1,RentalsVacates!AY18*(1-IF(AZ$12-$F18&lt;=12,SUMIFS('Attrition Modeling'!$D:$D,'Attrition Modeling'!$B:$B,$E18,'Attrition Modeling'!$C:$C,AZ$11),VLOOKUP(RentalsVacates!AZ$12-RentalsVacates!$F18-1,RentalsVacates!$A$8:$C$162,2,FALSE)*VLOOKUP(AZ$11,'Attrition Modeling'!$L$15:$N$27,IF(AZ$12-$F18&lt;=24,2,3),FALSE))*(1+IF('Traditional Attrition'!AZ140&gt;0,'Attrition Modeling'!$N$9,0))),0))</f>
        <v>689.46865669556689</v>
      </c>
      <c r="BA18" s="799">
        <f>IF(BA$12=$F18+1,IF(Monthly!AW$4=TRUE,0,BA$3),IF(BA$12&gt;$F18+1,RentalsVacates!AZ18*(1-IF(BA$12-$F18&lt;=12,SUMIFS('Attrition Modeling'!$D:$D,'Attrition Modeling'!$B:$B,$E18,'Attrition Modeling'!$C:$C,BA$11),VLOOKUP(RentalsVacates!BA$12-RentalsVacates!$F18-1,RentalsVacates!$A$8:$C$162,2,FALSE)*VLOOKUP(BA$11,'Attrition Modeling'!$L$15:$N$27,IF(BA$12-$F18&lt;=24,2,3),FALSE))*(1+IF('Traditional Attrition'!BA140&gt;0,'Attrition Modeling'!$N$9,0))),0))</f>
        <v>667.87653731473472</v>
      </c>
      <c r="BB18" s="799">
        <f>IF(BB$12=$F18+1,IF(Monthly!AX$4=TRUE,0,BB$3),IF(BB$12&gt;$F18+1,RentalsVacates!BA18*(1-IF(BB$12-$F18&lt;=12,SUMIFS('Attrition Modeling'!$D:$D,'Attrition Modeling'!$B:$B,$E18,'Attrition Modeling'!$C:$C,BB$11),VLOOKUP(RentalsVacates!BB$12-RentalsVacates!$F18-1,RentalsVacates!$A$8:$C$162,2,FALSE)*VLOOKUP(BB$11,'Attrition Modeling'!$L$15:$N$27,IF(BB$12-$F18&lt;=24,2,3),FALSE))*(1+IF('Traditional Attrition'!BB140&gt;0,'Attrition Modeling'!$N$9,0))),0))</f>
        <v>643.58946692189465</v>
      </c>
      <c r="BC18" s="799">
        <f>IF(BC$12=$F18+1,IF(Monthly!AY$4=TRUE,0,BC$3),IF(BC$12&gt;$F18+1,RentalsVacates!BB18*(1-IF(BC$12-$F18&lt;=12,SUMIFS('Attrition Modeling'!$D:$D,'Attrition Modeling'!$B:$B,$E18,'Attrition Modeling'!$C:$C,BC$11),VLOOKUP(RentalsVacates!BC$12-RentalsVacates!$F18-1,RentalsVacates!$A$8:$C$162,2,FALSE)*VLOOKUP(BC$11,'Attrition Modeling'!$L$15:$N$27,IF(BC$12-$F18&lt;=24,2,3),FALSE))*(1+IF('Traditional Attrition'!BC140&gt;0,'Attrition Modeling'!$N$9,0))),0))</f>
        <v>627.67541184153231</v>
      </c>
      <c r="BD18" s="799">
        <f>IF(BD$12=$F18+1,IF(Monthly!AZ$4=TRUE,0,BD$3),IF(BD$12&gt;$F18+1,RentalsVacates!BC18*(1-IF(BD$12-$F18&lt;=12,SUMIFS('Attrition Modeling'!$D:$D,'Attrition Modeling'!$B:$B,$E18,'Attrition Modeling'!$C:$C,BD$11),VLOOKUP(RentalsVacates!BD$12-RentalsVacates!$F18-1,RentalsVacates!$A$8:$C$162,2,FALSE)*VLOOKUP(BD$11,'Attrition Modeling'!$L$15:$N$27,IF(BD$12-$F18&lt;=24,2,3),FALSE))*(1+IF('Traditional Attrition'!BD140&gt;0,'Attrition Modeling'!$N$9,0))),0))</f>
        <v>610.65904001038064</v>
      </c>
      <c r="BE18" s="799">
        <f>IF(BE$12=$F18+1,IF(Monthly!BA$4=TRUE,0,BE$3),IF(BE$12&gt;$F18+1,RentalsVacates!BD18*(1-IF(BE$12-$F18&lt;=12,SUMIFS('Attrition Modeling'!$D:$D,'Attrition Modeling'!$B:$B,$E18,'Attrition Modeling'!$C:$C,BE$11),VLOOKUP(RentalsVacates!BE$12-RentalsVacates!$F18-1,RentalsVacates!$A$8:$C$162,2,FALSE)*VLOOKUP(BE$11,'Attrition Modeling'!$L$15:$N$27,IF(BE$12-$F18&lt;=24,2,3),FALSE))*(1+IF('Traditional Attrition'!BE140&gt;0,'Attrition Modeling'!$N$9,0))),0))</f>
        <v>594.77661779402467</v>
      </c>
      <c r="BF18" s="799">
        <f>IF(BF$12=$F18+1,IF(Monthly!BB$4=TRUE,0,BF$3),IF(BF$12&gt;$F18+1,RentalsVacates!BE18*(1-IF(BF$12-$F18&lt;=12,SUMIFS('Attrition Modeling'!$D:$D,'Attrition Modeling'!$B:$B,$E18,'Attrition Modeling'!$C:$C,BF$11),VLOOKUP(RentalsVacates!BF$12-RentalsVacates!$F18-1,RentalsVacates!$A$8:$C$162,2,FALSE)*VLOOKUP(BF$11,'Attrition Modeling'!$L$15:$N$27,IF(BF$12-$F18&lt;=24,2,3),FALSE))*(1+IF('Traditional Attrition'!BF140&gt;0,'Attrition Modeling'!$N$9,0))),0))</f>
        <v>580.097295411559</v>
      </c>
      <c r="BG18" s="799">
        <f>IF(BG$12=$F18+1,IF(Monthly!BC$4=TRUE,0,BG$3),IF(BG$12&gt;$F18+1,RentalsVacates!BF18*(1-IF(BG$12-$F18&lt;=12,SUMIFS('Attrition Modeling'!$D:$D,'Attrition Modeling'!$B:$B,$E18,'Attrition Modeling'!$C:$C,BG$11),VLOOKUP(RentalsVacates!BG$12-RentalsVacates!$F18-1,RentalsVacates!$A$8:$C$162,2,FALSE)*VLOOKUP(BG$11,'Attrition Modeling'!$L$15:$N$27,IF(BG$12-$F18&lt;=24,2,3),FALSE))*(1+IF('Traditional Attrition'!BG140&gt;0,'Attrition Modeling'!$N$9,0))),0))</f>
        <v>568.8174858516071</v>
      </c>
      <c r="BH18" s="799">
        <f>IF(BH$12=$F18+1,IF(Monthly!BD$4=TRUE,0,BH$3),IF(BH$12&gt;$F18+1,RentalsVacates!BG18*(1-IF(BH$12-$F18&lt;=12,SUMIFS('Attrition Modeling'!$D:$D,'Attrition Modeling'!$B:$B,$E18,'Attrition Modeling'!$C:$C,BH$11),VLOOKUP(RentalsVacates!BH$12-RentalsVacates!$F18-1,RentalsVacates!$A$8:$C$162,2,FALSE)*VLOOKUP(BH$11,'Attrition Modeling'!$L$15:$N$27,IF(BH$12-$F18&lt;=24,2,3),FALSE))*(1+IF('Traditional Attrition'!BH140&gt;0,'Attrition Modeling'!$N$9,0))),0))</f>
        <v>555.58738029414121</v>
      </c>
      <c r="BI18" s="799">
        <f>IF(BI$12=$F18+1,IF(Monthly!BE$4=TRUE,0,BI$3),IF(BI$12&gt;$F18+1,RentalsVacates!BH18*(1-IF(BI$12-$F18&lt;=12,SUMIFS('Attrition Modeling'!$D:$D,'Attrition Modeling'!$B:$B,$E18,'Attrition Modeling'!$C:$C,BI$11),VLOOKUP(RentalsVacates!BI$12-RentalsVacates!$F18-1,RentalsVacates!$A$8:$C$162,2,FALSE)*VLOOKUP(BI$11,'Attrition Modeling'!$L$15:$N$27,IF(BI$12-$F18&lt;=24,2,3),FALSE))*(1+IF('Traditional Attrition'!BI140&gt;0,'Attrition Modeling'!$N$9,0))),0))</f>
        <v>541.07132193032805</v>
      </c>
      <c r="BJ18" s="799">
        <f>IF(BJ$12=$F18+1,IF(Monthly!BF$4=TRUE,0,BJ$3),IF(BJ$12&gt;$F18+1,RentalsVacates!BI18*(1-IF(BJ$12-$F18&lt;=12,SUMIFS('Attrition Modeling'!$D:$D,'Attrition Modeling'!$B:$B,$E18,'Attrition Modeling'!$C:$C,BJ$11),VLOOKUP(RentalsVacates!BJ$12-RentalsVacates!$F18-1,RentalsVacates!$A$8:$C$162,2,FALSE)*VLOOKUP(BJ$11,'Attrition Modeling'!$L$15:$N$27,IF(BJ$12-$F18&lt;=24,2,3),FALSE))*(1+IF('Traditional Attrition'!BJ140&gt;0,'Attrition Modeling'!$N$9,0))),0))</f>
        <v>525.80967641396023</v>
      </c>
      <c r="BK18" s="799">
        <f>IF(BK$12=$F18+1,IF(Monthly!BG$4=TRUE,0,BK$3),IF(BK$12&gt;$F18+1,RentalsVacates!BJ18*(1-IF(BK$12-$F18&lt;=12,SUMIFS('Attrition Modeling'!$D:$D,'Attrition Modeling'!$B:$B,$E18,'Attrition Modeling'!$C:$C,BK$11),VLOOKUP(RentalsVacates!BK$12-RentalsVacates!$F18-1,RentalsVacates!$A$8:$C$162,2,FALSE)*VLOOKUP(BK$11,'Attrition Modeling'!$L$15:$N$27,IF(BK$12-$F18&lt;=24,2,3),FALSE))*(1+IF('Traditional Attrition'!BK140&gt;0,'Attrition Modeling'!$N$9,0))),0))</f>
        <v>510.02700115005672</v>
      </c>
      <c r="BL18" s="799">
        <f>IF(BL$12=$F18+1,IF(Monthly!BH$4=TRUE,0,BL$3),IF(BL$12&gt;$F18+1,RentalsVacates!BK18*(1-IF(BL$12-$F18&lt;=12,SUMIFS('Attrition Modeling'!$D:$D,'Attrition Modeling'!$B:$B,$E18,'Attrition Modeling'!$C:$C,BL$11),VLOOKUP(RentalsVacates!BL$12-RentalsVacates!$F18-1,RentalsVacates!$A$8:$C$162,2,FALSE)*VLOOKUP(BL$11,'Attrition Modeling'!$L$15:$N$27,IF(BL$12-$F18&lt;=24,2,3),FALSE))*(1+IF('Traditional Attrition'!BL140&gt;0,'Attrition Modeling'!$N$9,0))),0))</f>
        <v>495.77892942722781</v>
      </c>
      <c r="BM18" s="799">
        <f>IF(BM$12=$F18+1,IF(Monthly!BI$4=TRUE,0,BM$3),IF(BM$12&gt;$F18+1,RentalsVacates!BL18*(1-IF(BM$12-$F18&lt;=12,SUMIFS('Attrition Modeling'!$D:$D,'Attrition Modeling'!$B:$B,$E18,'Attrition Modeling'!$C:$C,BM$11),VLOOKUP(RentalsVacates!BM$12-RentalsVacates!$F18-1,RentalsVacates!$A$8:$C$162,2,FALSE)*VLOOKUP(BM$11,'Attrition Modeling'!$L$15:$N$27,IF(BM$12-$F18&lt;=24,2,3),FALSE))*(1+IF('Traditional Attrition'!BM140&gt;0,'Attrition Modeling'!$N$9,0))),0))</f>
        <v>482.52421101857556</v>
      </c>
      <c r="BN18" s="799">
        <f>IF(BN$12=$F18+1,IF(Monthly!BJ$4=TRUE,0,BN$3),IF(BN$12&gt;$F18+1,RentalsVacates!BM18*(1-IF(BN$12-$F18&lt;=12,SUMIFS('Attrition Modeling'!$D:$D,'Attrition Modeling'!$B:$B,$E18,'Attrition Modeling'!$C:$C,BN$11),VLOOKUP(RentalsVacates!BN$12-RentalsVacates!$F18-1,RentalsVacates!$A$8:$C$162,2,FALSE)*VLOOKUP(BN$11,'Attrition Modeling'!$L$15:$N$27,IF(BN$12-$F18&lt;=24,2,3),FALSE))*(1+IF('Traditional Attrition'!BN140&gt;0,'Attrition Modeling'!$N$9,0))),0))</f>
        <v>467.52649702471666</v>
      </c>
      <c r="BO18" s="799">
        <f>IF(BO$12=$F18+1,IF(Monthly!BK$4=TRUE,0,BO$3),IF(BO$12&gt;$F18+1,RentalsVacates!BN18*(1-IF(BO$12-$F18&lt;=12,SUMIFS('Attrition Modeling'!$D:$D,'Attrition Modeling'!$B:$B,$E18,'Attrition Modeling'!$C:$C,BO$11),VLOOKUP(RentalsVacates!BO$12-RentalsVacates!$F18-1,RentalsVacates!$A$8:$C$162,2,FALSE)*VLOOKUP(BO$11,'Attrition Modeling'!$L$15:$N$27,IF(BO$12-$F18&lt;=24,2,3),FALSE))*(1+IF('Traditional Attrition'!BO140&gt;0,'Attrition Modeling'!$N$9,0))),0))</f>
        <v>457.63408749959126</v>
      </c>
      <c r="BP18" s="799">
        <f>IF(BP$12=$F18+1,IF(Monthly!BL$4=TRUE,0,BP$3),IF(BP$12&gt;$F18+1,RentalsVacates!BO18*(1-IF(BP$12-$F18&lt;=12,SUMIFS('Attrition Modeling'!$D:$D,'Attrition Modeling'!$B:$B,$E18,'Attrition Modeling'!$C:$C,BP$11),VLOOKUP(RentalsVacates!BP$12-RentalsVacates!$F18-1,RentalsVacates!$A$8:$C$162,2,FALSE)*VLOOKUP(BP$11,'Attrition Modeling'!$L$15:$N$27,IF(BP$12-$F18&lt;=24,2,3),FALSE))*(1+IF('Traditional Attrition'!BP140&gt;0,'Attrition Modeling'!$N$9,0))),0))</f>
        <v>447.0062672716154</v>
      </c>
      <c r="BQ18" s="799">
        <f>IF(BQ$12=$F18+1,IF(Monthly!BM$4=TRUE,0,BQ$3),IF(BQ$12&gt;$F18+1,RentalsVacates!BP18*(1-IF(BQ$12-$F18&lt;=12,SUMIFS('Attrition Modeling'!$D:$D,'Attrition Modeling'!$B:$B,$E18,'Attrition Modeling'!$C:$C,BQ$11),VLOOKUP(RentalsVacates!BQ$12-RentalsVacates!$F18-1,RentalsVacates!$A$8:$C$162,2,FALSE)*VLOOKUP(BQ$11,'Attrition Modeling'!$L$15:$N$27,IF(BQ$12-$F18&lt;=24,2,3),FALSE))*(1+IF('Traditional Attrition'!BQ140&gt;0,'Attrition Modeling'!$N$9,0))),0))</f>
        <v>437.03684124593894</v>
      </c>
      <c r="BR18" s="799">
        <f>IF(BR$12=$F18+1,IF(Monthly!BN$4=TRUE,0,BR$3),IF(BR$12&gt;$F18+1,RentalsVacates!BQ18*(1-IF(BR$12-$F18&lt;=12,SUMIFS('Attrition Modeling'!$D:$D,'Attrition Modeling'!$B:$B,$E18,'Attrition Modeling'!$C:$C,BR$11),VLOOKUP(RentalsVacates!BR$12-RentalsVacates!$F18-1,RentalsVacates!$A$8:$C$162,2,FALSE)*VLOOKUP(BR$11,'Attrition Modeling'!$L$15:$N$27,IF(BR$12-$F18&lt;=24,2,3),FALSE))*(1+IF('Traditional Attrition'!BR140&gt;0,'Attrition Modeling'!$N$9,0))),0))</f>
        <v>427.7785839097337</v>
      </c>
      <c r="BS18" s="799">
        <f>IF(BS$12=$F18+1,IF(Monthly!BO$4=TRUE,0,BS$3),IF(BS$12&gt;$F18+1,RentalsVacates!BR18*(1-IF(BS$12-$F18&lt;=12,SUMIFS('Attrition Modeling'!$D:$D,'Attrition Modeling'!$B:$B,$E18,'Attrition Modeling'!$C:$C,BS$11),VLOOKUP(RentalsVacates!BS$12-RentalsVacates!$F18-1,RentalsVacates!$A$8:$C$162,2,FALSE)*VLOOKUP(BS$11,'Attrition Modeling'!$L$15:$N$27,IF(BS$12-$F18&lt;=24,2,3),FALSE))*(1+IF('Traditional Attrition'!BS140&gt;0,'Attrition Modeling'!$N$9,0))),0))</f>
        <v>420.63236031878563</v>
      </c>
      <c r="BT18" s="799" t="e">
        <f>IF(BT$11=$F17+1,IF(Monthly!#REF!=TRUE,0,BT$3),IF(BT$11&gt;$F17+1,RentalsVacates!BS17*(1-IF(BT$11-$F17&lt;=12,SUMIFS('Attrition Modeling'!$D:$D,'Attrition Modeling'!$B:$B,$E17,'Attrition Modeling'!$C:$C,BT$10),VLOOKUP(RentalsVacates!BT$11-RentalsVacates!$F17-1,RentalsVacates!$A$7:$C$161,2,FALSE)*VLOOKUP(BT$10,'Attrition Modeling'!$L$15:$N$27,IF(BT$11-$F17&lt;=24,2,3),FALSE))*(1+IF('Traditional Attrition'!BT140&gt;0,'Attrition Modeling'!$N$9,0))),0))</f>
        <v>#REF!</v>
      </c>
      <c r="BU18" s="799">
        <f>IF(BU$11=$F17+1,IF(Monthly!#REF!=TRUE,0,BU$3),IF(BU$11&gt;$F17+1,RentalsVacates!BT17*(1-IF(BU$11-$F17&lt;=12,SUMIFS('Attrition Modeling'!$D:$D,'Attrition Modeling'!$B:$B,$E17,'Attrition Modeling'!$C:$C,BU$10),VLOOKUP(RentalsVacates!BU$11-RentalsVacates!$F17-1,RentalsVacates!$A$7:$C$161,2,FALSE)*VLOOKUP(BU$10,'Attrition Modeling'!$L$15:$N$27,IF(BU$11-$F17&lt;=24,2,3),FALSE))*(1+IF('Traditional Attrition'!BU140&gt;0,'Attrition Modeling'!$N$9,0))),0))</f>
        <v>309.94178957115088</v>
      </c>
    </row>
    <row r="19" spans="1:73" ht="14.25" customHeight="1" x14ac:dyDescent="0.2">
      <c r="A19" s="9">
        <v>11</v>
      </c>
      <c r="B19" s="25" t="e">
        <f>'Attrition Modeling'!H15*(1-Summary!$C$20)</f>
        <v>#DIV/0!</v>
      </c>
      <c r="C19" s="24" t="e">
        <f t="shared" si="2"/>
        <v>#DIV/0!</v>
      </c>
      <c r="E19" s="11">
        <f>'Traditional Attrition'!E76</f>
        <v>6</v>
      </c>
      <c r="F19" s="11">
        <f t="shared" si="4"/>
        <v>6</v>
      </c>
      <c r="G19" s="799"/>
      <c r="H19" s="799">
        <f>IF(H$12=$F19+1,IF(Monthly!D$4=TRUE,0,H$3),IF(H$12&gt;$F19+1,RentalsVacates!G19*(1-IF(H$12-$F19&lt;=12,SUMIFS('Attrition Modeling'!$D:$D,'Attrition Modeling'!$B:$B,$E19,'Attrition Modeling'!$C:$C,H$11),VLOOKUP(RentalsVacates!H$12-RentalsVacates!$F19-1,RentalsVacates!$A$8:$C$162,2,FALSE)*VLOOKUP(H$11,'Attrition Modeling'!$L$15:$N$27,IF(H$12-$F19&lt;=24,2,3),FALSE))*(1+IF('Traditional Attrition'!H141&gt;0,'Attrition Modeling'!$N$9,0))),0))</f>
        <v>0</v>
      </c>
      <c r="I19" s="799">
        <f>IF(I$12=$F19+1,IF(Monthly!E$4=TRUE,0,I$3),IF(I$12&gt;$F19+1,RentalsVacates!H19*(1-IF(I$12-$F19&lt;=12,SUMIFS('Attrition Modeling'!$D:$D,'Attrition Modeling'!$B:$B,$E19,'Attrition Modeling'!$C:$C,I$11),VLOOKUP(RentalsVacates!I$12-RentalsVacates!$F19-1,RentalsVacates!$A$8:$C$162,2,FALSE)*VLOOKUP(I$11,'Attrition Modeling'!$L$15:$N$27,IF(I$12-$F19&lt;=24,2,3),FALSE))*(1+IF('Traditional Attrition'!I141&gt;0,'Attrition Modeling'!$N$9,0))),0))</f>
        <v>0</v>
      </c>
      <c r="J19" s="799">
        <f>IF(J$12=$F19+1,IF(Monthly!F$4=TRUE,0,J$3),IF(J$12&gt;$F19+1,RentalsVacates!I19*(1-IF(J$12-$F19&lt;=12,SUMIFS('Attrition Modeling'!$D:$D,'Attrition Modeling'!$B:$B,$E19,'Attrition Modeling'!$C:$C,J$11),VLOOKUP(RentalsVacates!J$12-RentalsVacates!$F19-1,RentalsVacates!$A$8:$C$162,2,FALSE)*VLOOKUP(J$11,'Attrition Modeling'!$L$15:$N$27,IF(J$12-$F19&lt;=24,2,3),FALSE))*(1+IF('Traditional Attrition'!J141&gt;0,'Attrition Modeling'!$N$9,0))),0))</f>
        <v>0</v>
      </c>
      <c r="K19" s="799">
        <f>IF(K$12=$F19+1,IF(Monthly!G$4=TRUE,0,K$3),IF(K$12&gt;$F19+1,RentalsVacates!J19*(1-IF(K$12-$F19&lt;=12,SUMIFS('Attrition Modeling'!$D:$D,'Attrition Modeling'!$B:$B,$E19,'Attrition Modeling'!$C:$C,K$11),VLOOKUP(RentalsVacates!K$12-RentalsVacates!$F19-1,RentalsVacates!$A$8:$C$162,2,FALSE)*VLOOKUP(K$11,'Attrition Modeling'!$L$15:$N$27,IF(K$12-$F19&lt;=24,2,3),FALSE))*(1+IF('Traditional Attrition'!K141&gt;0,'Attrition Modeling'!$N$9,0))),0))</f>
        <v>0</v>
      </c>
      <c r="L19" s="799">
        <f>IF(L$12=$F19+1,IF(Monthly!H$4=TRUE,0,L$3),IF(L$12&gt;$F19+1,RentalsVacates!K19*(1-IF(L$12-$F19&lt;=12,SUMIFS('Attrition Modeling'!$D:$D,'Attrition Modeling'!$B:$B,$E19,'Attrition Modeling'!$C:$C,L$11),VLOOKUP(RentalsVacates!L$12-RentalsVacates!$F19-1,RentalsVacates!$A$8:$C$162,2,FALSE)*VLOOKUP(L$11,'Attrition Modeling'!$L$15:$N$27,IF(L$12-$F19&lt;=24,2,3),FALSE))*(1+IF('Traditional Attrition'!L141&gt;0,'Attrition Modeling'!$N$9,0))),0))</f>
        <v>0</v>
      </c>
      <c r="M19" s="799">
        <f>IF(M$12=$F19+1,IF(Monthly!I$4=TRUE,0,M$3),IF(M$12&gt;$F19+1,RentalsVacates!L19*(1-IF(M$12-$F19&lt;=12,SUMIFS('Attrition Modeling'!$D:$D,'Attrition Modeling'!$B:$B,$E19,'Attrition Modeling'!$C:$C,M$11),VLOOKUP(RentalsVacates!M$12-RentalsVacates!$F19-1,RentalsVacates!$A$8:$C$162,2,FALSE)*VLOOKUP(M$11,'Attrition Modeling'!$L$15:$N$27,IF(M$12-$F19&lt;=24,2,3),FALSE))*(1+IF('Traditional Attrition'!M141&gt;0,'Attrition Modeling'!$N$9,0))),0))</f>
        <v>0</v>
      </c>
      <c r="N19" s="799">
        <f>IF(N$12=$F19+1,IF(Monthly!J$4=TRUE,0,N$3),IF(N$12&gt;$F19+1,RentalsVacates!M19*(1-IF(N$12-$F19&lt;=12,SUMIFS('Attrition Modeling'!$D:$D,'Attrition Modeling'!$B:$B,$E19,'Attrition Modeling'!$C:$C,N$11),VLOOKUP(RentalsVacates!N$12-RentalsVacates!$F19-1,RentalsVacates!$A$8:$C$162,2,FALSE)*VLOOKUP(N$11,'Attrition Modeling'!$L$15:$N$27,IF(N$12-$F19&lt;=24,2,3),FALSE))*(1+IF('Traditional Attrition'!N141&gt;0,'Attrition Modeling'!$N$9,0))),0))</f>
        <v>5233.6102339308454</v>
      </c>
      <c r="O19" s="799">
        <f>IF(O$12=$F19+1,IF(Monthly!K$4=TRUE,0,O$3),IF(O$12&gt;$F19+1,RentalsVacates!N19*(1-IF(O$12-$F19&lt;=12,SUMIFS('Attrition Modeling'!$D:$D,'Attrition Modeling'!$B:$B,$E19,'Attrition Modeling'!$C:$C,O$11),VLOOKUP(RentalsVacates!O$12-RentalsVacates!$F19-1,RentalsVacates!$A$8:$C$162,2,FALSE)*VLOOKUP(O$11,'Attrition Modeling'!$L$15:$N$27,IF(O$12-$F19&lt;=24,2,3),FALSE))*(1+IF('Traditional Attrition'!O141&gt;0,'Attrition Modeling'!$N$9,0))),0))</f>
        <v>4608.1121666564604</v>
      </c>
      <c r="P19" s="799">
        <f>IF(P$12=$F19+1,IF(Monthly!L$4=TRUE,0,P$3),IF(P$12&gt;$F19+1,RentalsVacates!O19*(1-IF(P$12-$F19&lt;=12,SUMIFS('Attrition Modeling'!$D:$D,'Attrition Modeling'!$B:$B,$E19,'Attrition Modeling'!$C:$C,P$11),VLOOKUP(RentalsVacates!P$12-RentalsVacates!$F19-1,RentalsVacates!$A$8:$C$162,2,FALSE)*VLOOKUP(P$11,'Attrition Modeling'!$L$15:$N$27,IF(P$12-$F19&lt;=24,2,3),FALSE))*(1+IF('Traditional Attrition'!P141&gt;0,'Attrition Modeling'!$N$9,0))),0))</f>
        <v>4097.8517591416403</v>
      </c>
      <c r="Q19" s="799">
        <f>IF(Q$12=$F19+1,IF(Monthly!M$4=TRUE,0,Q$3),IF(Q$12&gt;$F19+1,RentalsVacates!P19*(1-IF(Q$12-$F19&lt;=12,SUMIFS('Attrition Modeling'!$D:$D,'Attrition Modeling'!$B:$B,$E19,'Attrition Modeling'!$C:$C,Q$11),VLOOKUP(RentalsVacates!Q$12-RentalsVacates!$F19-1,RentalsVacates!$A$8:$C$162,2,FALSE)*VLOOKUP(Q$11,'Attrition Modeling'!$L$15:$N$27,IF(Q$12-$F19&lt;=24,2,3),FALSE))*(1+IF('Traditional Attrition'!Q141&gt;0,'Attrition Modeling'!$N$9,0))),0))</f>
        <v>3716.1285491385256</v>
      </c>
      <c r="R19" s="799">
        <f>IF(R$12=$F19+1,IF(Monthly!N$4=TRUE,0,R$3),IF(R$12&gt;$F19+1,RentalsVacates!Q19*(1-IF(R$12-$F19&lt;=12,SUMIFS('Attrition Modeling'!$D:$D,'Attrition Modeling'!$B:$B,$E19,'Attrition Modeling'!$C:$C,R$11),VLOOKUP(RentalsVacates!R$12-RentalsVacates!$F19-1,RentalsVacates!$A$8:$C$162,2,FALSE)*VLOOKUP(R$11,'Attrition Modeling'!$L$15:$N$27,IF(R$12-$F19&lt;=24,2,3),FALSE))*(1+IF('Traditional Attrition'!R141&gt;0,'Attrition Modeling'!$N$9,0))),0))</f>
        <v>3390.0515355305401</v>
      </c>
      <c r="S19" s="799">
        <f>IF(S$12=$F19+1,IF(Monthly!O$4=TRUE,0,S$3),IF(S$12&gt;$F19+1,RentalsVacates!R19*(1-IF(S$12-$F19&lt;=12,SUMIFS('Attrition Modeling'!$D:$D,'Attrition Modeling'!$B:$B,$E19,'Attrition Modeling'!$C:$C,S$11),VLOOKUP(RentalsVacates!S$12-RentalsVacates!$F19-1,RentalsVacates!$A$8:$C$162,2,FALSE)*VLOOKUP(S$11,'Attrition Modeling'!$L$15:$N$27,IF(S$12-$F19&lt;=24,2,3),FALSE))*(1+IF('Traditional Attrition'!S141&gt;0,'Attrition Modeling'!$N$9,0))),0))</f>
        <v>3033.3674123819619</v>
      </c>
      <c r="T19" s="799">
        <f>IF(T$12=$F19+1,IF(Monthly!P$4=TRUE,0,T$3),IF(T$12&gt;$F19+1,RentalsVacates!S19*(1-IF(T$12-$F19&lt;=12,SUMIFS('Attrition Modeling'!$D:$D,'Attrition Modeling'!$B:$B,$E19,'Attrition Modeling'!$C:$C,T$11),VLOOKUP(RentalsVacates!T$12-RentalsVacates!$F19-1,RentalsVacates!$A$8:$C$162,2,FALSE)*VLOOKUP(T$11,'Attrition Modeling'!$L$15:$N$27,IF(T$12-$F19&lt;=24,2,3),FALSE))*(1+IF('Traditional Attrition'!T141&gt;0,'Attrition Modeling'!$N$9,0))),0))</f>
        <v>2824.5578314637478</v>
      </c>
      <c r="U19" s="799">
        <f>IF(U$12=$F19+1,IF(Monthly!Q$4=TRUE,0,U$3),IF(U$12&gt;$F19+1,RentalsVacates!T19*(1-IF(U$12-$F19&lt;=12,SUMIFS('Attrition Modeling'!$D:$D,'Attrition Modeling'!$B:$B,$E19,'Attrition Modeling'!$C:$C,U$11),VLOOKUP(RentalsVacates!U$12-RentalsVacates!$F19-1,RentalsVacates!$A$8:$C$162,2,FALSE)*VLOOKUP(U$11,'Attrition Modeling'!$L$15:$N$27,IF(U$12-$F19&lt;=24,2,3),FALSE))*(1+IF('Traditional Attrition'!U141&gt;0,'Attrition Modeling'!$N$9,0))),0))</f>
        <v>2650.1015026142813</v>
      </c>
      <c r="V19" s="799">
        <f>IF(V$12=$F19+1,IF(Monthly!R$4=TRUE,0,V$3),IF(V$12&gt;$F19+1,RentalsVacates!U19*(1-IF(V$12-$F19&lt;=12,SUMIFS('Attrition Modeling'!$D:$D,'Attrition Modeling'!$B:$B,$E19,'Attrition Modeling'!$C:$C,V$11),VLOOKUP(RentalsVacates!V$12-RentalsVacates!$F19-1,RentalsVacates!$A$8:$C$162,2,FALSE)*VLOOKUP(V$11,'Attrition Modeling'!$L$15:$N$27,IF(V$12-$F19&lt;=24,2,3),FALSE))*(1+IF('Traditional Attrition'!V141&gt;0,'Attrition Modeling'!$N$9,0))),0))</f>
        <v>2478.990358316828</v>
      </c>
      <c r="W19" s="799">
        <f>IF(W$12=$F19+1,IF(Monthly!S$4=TRUE,0,W$3),IF(W$12&gt;$F19+1,RentalsVacates!V19*(1-IF(W$12-$F19&lt;=12,SUMIFS('Attrition Modeling'!$D:$D,'Attrition Modeling'!$B:$B,$E19,'Attrition Modeling'!$C:$C,W$11),VLOOKUP(RentalsVacates!W$12-RentalsVacates!$F19-1,RentalsVacates!$A$8:$C$162,2,FALSE)*VLOOKUP(W$11,'Attrition Modeling'!$L$15:$N$27,IF(W$12-$F19&lt;=24,2,3),FALSE))*(1+IF('Traditional Attrition'!W141&gt;0,'Attrition Modeling'!$N$9,0))),0))</f>
        <v>2341.9905427182775</v>
      </c>
      <c r="X19" s="799">
        <f>IF(X$12=$F19+1,IF(Monthly!T$4=TRUE,0,X$3),IF(X$12&gt;$F19+1,RentalsVacates!W19*(1-IF(X$12-$F19&lt;=12,SUMIFS('Attrition Modeling'!$D:$D,'Attrition Modeling'!$B:$B,$E19,'Attrition Modeling'!$C:$C,X$11),VLOOKUP(RentalsVacates!X$12-RentalsVacates!$F19-1,RentalsVacates!$A$8:$C$162,2,FALSE)*VLOOKUP(X$11,'Attrition Modeling'!$L$15:$N$27,IF(X$12-$F19&lt;=24,2,3),FALSE))*(1+IF('Traditional Attrition'!X141&gt;0,'Attrition Modeling'!$N$9,0))),0))</f>
        <v>2207.7904095569761</v>
      </c>
      <c r="Y19" s="799">
        <f>IF(Y$12=$F19+1,IF(Monthly!U$4=TRUE,0,Y$3),IF(Y$12&gt;$F19+1,RentalsVacates!X19*(1-IF(Y$12-$F19&lt;=12,SUMIFS('Attrition Modeling'!$D:$D,'Attrition Modeling'!$B:$B,$E19,'Attrition Modeling'!$C:$C,Y$11),VLOOKUP(RentalsVacates!Y$12-RentalsVacates!$F19-1,RentalsVacates!$A$8:$C$162,2,FALSE)*VLOOKUP(Y$11,'Attrition Modeling'!$L$15:$N$27,IF(Y$12-$F19&lt;=24,2,3),FALSE))*(1+IF('Traditional Attrition'!Y141&gt;0,'Attrition Modeling'!$N$9,0))),0))</f>
        <v>2144.3399924058831</v>
      </c>
      <c r="Z19" s="799">
        <f>IF(Z$12=$F19+1,IF(Monthly!V$4=TRUE,0,Z$3),IF(Z$12&gt;$F19+1,RentalsVacates!Y19*(1-IF(Z$12-$F19&lt;=12,SUMIFS('Attrition Modeling'!$D:$D,'Attrition Modeling'!$B:$B,$E19,'Attrition Modeling'!$C:$C,Z$11),VLOOKUP(RentalsVacates!Z$12-RentalsVacates!$F19-1,RentalsVacates!$A$8:$C$162,2,FALSE)*VLOOKUP(Z$11,'Attrition Modeling'!$L$15:$N$27,IF(Z$12-$F19&lt;=24,2,3),FALSE))*(1+IF('Traditional Attrition'!Z141&gt;0,'Attrition Modeling'!$N$9,0))),0))</f>
        <v>2019.9663235537625</v>
      </c>
      <c r="AA19" s="799">
        <f>IF(AA$12=$F19+1,IF(Monthly!W$4=TRUE,0,AA$3),IF(AA$12&gt;$F19+1,RentalsVacates!Z19*(1-IF(AA$12-$F19&lt;=12,SUMIFS('Attrition Modeling'!$D:$D,'Attrition Modeling'!$B:$B,$E19,'Attrition Modeling'!$C:$C,AA$11),VLOOKUP(RentalsVacates!AA$12-RentalsVacates!$F19-1,RentalsVacates!$A$8:$C$162,2,FALSE)*VLOOKUP(AA$11,'Attrition Modeling'!$L$15:$N$27,IF(AA$12-$F19&lt;=24,2,3),FALSE))*(1+IF('Traditional Attrition'!AA141&gt;0,'Attrition Modeling'!$N$9,0))),0))</f>
        <v>1907.0744262241899</v>
      </c>
      <c r="AB19" s="799">
        <f>IF(AB$12=$F19+1,IF(Monthly!X$4=TRUE,0,AB$3),IF(AB$12&gt;$F19+1,RentalsVacates!AA19*(1-IF(AB$12-$F19&lt;=12,SUMIFS('Attrition Modeling'!$D:$D,'Attrition Modeling'!$B:$B,$E19,'Attrition Modeling'!$C:$C,AB$11),VLOOKUP(RentalsVacates!AB$12-RentalsVacates!$F19-1,RentalsVacates!$A$8:$C$162,2,FALSE)*VLOOKUP(AB$11,'Attrition Modeling'!$L$15:$N$27,IF(AB$12-$F19&lt;=24,2,3),FALSE))*(1+IF('Traditional Attrition'!AB141&gt;0,'Attrition Modeling'!$N$9,0))),0))</f>
        <v>1814.6438098746221</v>
      </c>
      <c r="AC19" s="799">
        <f>IF(AC$12=$F19+1,IF(Monthly!Y$4=TRUE,0,AC$3),IF(AC$12&gt;$F19+1,RentalsVacates!AB19*(1-IF(AC$12-$F19&lt;=12,SUMIFS('Attrition Modeling'!$D:$D,'Attrition Modeling'!$B:$B,$E19,'Attrition Modeling'!$C:$C,AC$11),VLOOKUP(RentalsVacates!AC$12-RentalsVacates!$F19-1,RentalsVacates!$A$8:$C$162,2,FALSE)*VLOOKUP(AC$11,'Attrition Modeling'!$L$15:$N$27,IF(AC$12-$F19&lt;=24,2,3),FALSE))*(1+IF('Traditional Attrition'!AC141&gt;0,'Attrition Modeling'!$N$9,0))),0))</f>
        <v>1727.9453276244285</v>
      </c>
      <c r="AD19" s="799">
        <f>IF(AD$12=$F19+1,IF(Monthly!Z$4=TRUE,0,AD$3),IF(AD$12&gt;$F19+1,RentalsVacates!AC19*(1-IF(AD$12-$F19&lt;=12,SUMIFS('Attrition Modeling'!$D:$D,'Attrition Modeling'!$B:$B,$E19,'Attrition Modeling'!$C:$C,AD$11),VLOOKUP(RentalsVacates!AD$12-RentalsVacates!$F19-1,RentalsVacates!$A$8:$C$162,2,FALSE)*VLOOKUP(AD$11,'Attrition Modeling'!$L$15:$N$27,IF(AD$12-$F19&lt;=24,2,3),FALSE))*(1+IF('Traditional Attrition'!AD141&gt;0,'Attrition Modeling'!$N$9,0))),0))</f>
        <v>1650.8625342390355</v>
      </c>
      <c r="AE19" s="799">
        <f>IF(AE$12=$F19+1,IF(Monthly!AA$4=TRUE,0,AE$3),IF(AE$12&gt;$F19+1,RentalsVacates!AD19*(1-IF(AE$12-$F19&lt;=12,SUMIFS('Attrition Modeling'!$D:$D,'Attrition Modeling'!$B:$B,$E19,'Attrition Modeling'!$C:$C,AE$11),VLOOKUP(RentalsVacates!AE$12-RentalsVacates!$F19-1,RentalsVacates!$A$8:$C$162,2,FALSE)*VLOOKUP(AE$11,'Attrition Modeling'!$L$15:$N$27,IF(AE$12-$F19&lt;=24,2,3),FALSE))*(1+IF('Traditional Attrition'!AE141&gt;0,'Attrition Modeling'!$N$9,0))),0))</f>
        <v>1565.5828127227117</v>
      </c>
      <c r="AF19" s="799">
        <f>IF(AF$12=$F19+1,IF(Monthly!AB$4=TRUE,0,AF$3),IF(AF$12&gt;$F19+1,RentalsVacates!AE19*(1-IF(AF$12-$F19&lt;=12,SUMIFS('Attrition Modeling'!$D:$D,'Attrition Modeling'!$B:$B,$E19,'Attrition Modeling'!$C:$C,AF$11),VLOOKUP(RentalsVacates!AF$12-RentalsVacates!$F19-1,RentalsVacates!$A$8:$C$162,2,FALSE)*VLOOKUP(AF$11,'Attrition Modeling'!$L$15:$N$27,IF(AF$12-$F19&lt;=24,2,3),FALSE))*(1+IF('Traditional Attrition'!AF141&gt;0,'Attrition Modeling'!$N$9,0))),0))</f>
        <v>1499.5745088061135</v>
      </c>
      <c r="AG19" s="799">
        <f>IF(AG$12=$F19+1,IF(Monthly!AC$4=TRUE,0,AG$3),IF(AG$12&gt;$F19+1,RentalsVacates!AF19*(1-IF(AG$12-$F19&lt;=12,SUMIFS('Attrition Modeling'!$D:$D,'Attrition Modeling'!$B:$B,$E19,'Attrition Modeling'!$C:$C,AG$11),VLOOKUP(RentalsVacates!AG$12-RentalsVacates!$F19-1,RentalsVacates!$A$8:$C$162,2,FALSE)*VLOOKUP(AG$11,'Attrition Modeling'!$L$15:$N$27,IF(AG$12-$F19&lt;=24,2,3),FALSE))*(1+IF('Traditional Attrition'!AG141&gt;0,'Attrition Modeling'!$N$9,0))),0))</f>
        <v>1443.622339738808</v>
      </c>
      <c r="AH19" s="799">
        <f>IF(AH$12=$F19+1,IF(Monthly!AD$4=TRUE,0,AH$3),IF(AH$12&gt;$F19+1,RentalsVacates!AG19*(1-IF(AH$12-$F19&lt;=12,SUMIFS('Attrition Modeling'!$D:$D,'Attrition Modeling'!$B:$B,$E19,'Attrition Modeling'!$C:$C,AH$11),VLOOKUP(RentalsVacates!AH$12-RentalsVacates!$F19-1,RentalsVacates!$A$8:$C$162,2,FALSE)*VLOOKUP(AH$11,'Attrition Modeling'!$L$15:$N$27,IF(AH$12-$F19&lt;=24,2,3),FALSE))*(1+IF('Traditional Attrition'!AH141&gt;0,'Attrition Modeling'!$N$9,0))),0))</f>
        <v>1385.9892788175405</v>
      </c>
      <c r="AI19" s="799">
        <f>IF(AI$12=$F19+1,IF(Monthly!AE$4=TRUE,0,AI$3),IF(AI$12&gt;$F19+1,RentalsVacates!AH19*(1-IF(AI$12-$F19&lt;=12,SUMIFS('Attrition Modeling'!$D:$D,'Attrition Modeling'!$B:$B,$E19,'Attrition Modeling'!$C:$C,AI$11),VLOOKUP(RentalsVacates!AI$12-RentalsVacates!$F19-1,RentalsVacates!$A$8:$C$162,2,FALSE)*VLOOKUP(AI$11,'Attrition Modeling'!$L$15:$N$27,IF(AI$12-$F19&lt;=24,2,3),FALSE))*(1+IF('Traditional Attrition'!AI141&gt;0,'Attrition Modeling'!$N$9,0))),0))</f>
        <v>1332.4310416257194</v>
      </c>
      <c r="AJ19" s="799">
        <f>IF(AJ$12=$F19+1,IF(Monthly!AF$4=TRUE,0,AJ$3),IF(AJ$12&gt;$F19+1,RentalsVacates!AI19*(1-IF(AJ$12-$F19&lt;=12,SUMIFS('Attrition Modeling'!$D:$D,'Attrition Modeling'!$B:$B,$E19,'Attrition Modeling'!$C:$C,AJ$11),VLOOKUP(RentalsVacates!AJ$12-RentalsVacates!$F19-1,RentalsVacates!$A$8:$C$162,2,FALSE)*VLOOKUP(AJ$11,'Attrition Modeling'!$L$15:$N$27,IF(AJ$12-$F19&lt;=24,2,3),FALSE))*(1+IF('Traditional Attrition'!AJ141&gt;0,'Attrition Modeling'!$N$9,0))),0))</f>
        <v>1282.040497522152</v>
      </c>
      <c r="AK19" s="799">
        <f>IF(AK$12=$F19+1,IF(Monthly!AG$4=TRUE,0,AK$3),IF(AK$12&gt;$F19+1,RentalsVacates!AJ19*(1-IF(AK$12-$F19&lt;=12,SUMIFS('Attrition Modeling'!$D:$D,'Attrition Modeling'!$B:$B,$E19,'Attrition Modeling'!$C:$C,AK$11),VLOOKUP(RentalsVacates!AK$12-RentalsVacates!$F19-1,RentalsVacates!$A$8:$C$162,2,FALSE)*VLOOKUP(AK$11,'Attrition Modeling'!$L$15:$N$27,IF(AK$12-$F19&lt;=24,2,3),FALSE))*(1+IF('Traditional Attrition'!AK141&gt;0,'Attrition Modeling'!$N$9,0))),0))</f>
        <v>1229.5146170100993</v>
      </c>
      <c r="AL19" s="799">
        <f>IF(AL$12=$F19+1,IF(Monthly!AH$4=TRUE,0,AL$3),IF(AL$12&gt;$F19+1,RentalsVacates!AK19*(1-IF(AL$12-$F19&lt;=12,SUMIFS('Attrition Modeling'!$D:$D,'Attrition Modeling'!$B:$B,$E19,'Attrition Modeling'!$C:$C,AL$11),VLOOKUP(RentalsVacates!AL$12-RentalsVacates!$F19-1,RentalsVacates!$A$8:$C$162,2,FALSE)*VLOOKUP(AL$11,'Attrition Modeling'!$L$15:$N$27,IF(AL$12-$F19&lt;=24,2,3),FALSE))*(1+IF('Traditional Attrition'!AL141&gt;0,'Attrition Modeling'!$N$9,0))),0))</f>
        <v>1179.6822583428195</v>
      </c>
      <c r="AM19" s="799">
        <f>IF(AM$12=$F19+1,IF(Monthly!AI$4=TRUE,0,AM$3),IF(AM$12&gt;$F19+1,RentalsVacates!AL19*(1-IF(AM$12-$F19&lt;=12,SUMIFS('Attrition Modeling'!$D:$D,'Attrition Modeling'!$B:$B,$E19,'Attrition Modeling'!$C:$C,AM$11),VLOOKUP(RentalsVacates!AM$12-RentalsVacates!$F19-1,RentalsVacates!$A$8:$C$162,2,FALSE)*VLOOKUP(AM$11,'Attrition Modeling'!$L$15:$N$27,IF(AM$12-$F19&lt;=24,2,3),FALSE))*(1+IF('Traditional Attrition'!AM141&gt;0,'Attrition Modeling'!$N$9,0))),0))</f>
        <v>1129.052853824739</v>
      </c>
      <c r="AN19" s="799">
        <f>IF(AN$12=$F19+1,IF(Monthly!AJ$4=TRUE,0,AN$3),IF(AN$12&gt;$F19+1,RentalsVacates!AM19*(1-IF(AN$12-$F19&lt;=12,SUMIFS('Attrition Modeling'!$D:$D,'Attrition Modeling'!$B:$B,$E19,'Attrition Modeling'!$C:$C,AN$11),VLOOKUP(RentalsVacates!AN$12-RentalsVacates!$F19-1,RentalsVacates!$A$8:$C$162,2,FALSE)*VLOOKUP(AN$11,'Attrition Modeling'!$L$15:$N$27,IF(AN$12-$F19&lt;=24,2,3),FALSE))*(1+IF('Traditional Attrition'!AN141&gt;0,'Attrition Modeling'!$N$9,0))),0))</f>
        <v>1084.1631600271212</v>
      </c>
      <c r="AO19" s="799">
        <f>IF(AO$12=$F19+1,IF(Monthly!AK$4=TRUE,0,AO$3),IF(AO$12&gt;$F19+1,RentalsVacates!AN19*(1-IF(AO$12-$F19&lt;=12,SUMIFS('Attrition Modeling'!$D:$D,'Attrition Modeling'!$B:$B,$E19,'Attrition Modeling'!$C:$C,AO$11),VLOOKUP(RentalsVacates!AO$12-RentalsVacates!$F19-1,RentalsVacates!$A$8:$C$162,2,FALSE)*VLOOKUP(AO$11,'Attrition Modeling'!$L$15:$N$27,IF(AO$12-$F19&lt;=24,2,3),FALSE))*(1+IF('Traditional Attrition'!AO141&gt;0,'Attrition Modeling'!$N$9,0))),0))</f>
        <v>1043.0908755818709</v>
      </c>
      <c r="AP19" s="799">
        <f>IF(AP$12=$F19+1,IF(Monthly!AL$4=TRUE,0,AP$3),IF(AP$12&gt;$F19+1,RentalsVacates!AO19*(1-IF(AP$12-$F19&lt;=12,SUMIFS('Attrition Modeling'!$D:$D,'Attrition Modeling'!$B:$B,$E19,'Attrition Modeling'!$C:$C,AP$11),VLOOKUP(RentalsVacates!AP$12-RentalsVacates!$F19-1,RentalsVacates!$A$8:$C$162,2,FALSE)*VLOOKUP(AP$11,'Attrition Modeling'!$L$15:$N$27,IF(AP$12-$F19&lt;=24,2,3),FALSE))*(1+IF('Traditional Attrition'!AP141&gt;0,'Attrition Modeling'!$N$9,0))),0))</f>
        <v>1004.9640701782242</v>
      </c>
      <c r="AQ19" s="799">
        <f>IF(AQ$12=$F19+1,IF(Monthly!AM$4=TRUE,0,AQ$3),IF(AQ$12&gt;$F19+1,RentalsVacates!AP19*(1-IF(AQ$12-$F19&lt;=12,SUMIFS('Attrition Modeling'!$D:$D,'Attrition Modeling'!$B:$B,$E19,'Attrition Modeling'!$C:$C,AQ$11),VLOOKUP(RentalsVacates!AQ$12-RentalsVacates!$F19-1,RentalsVacates!$A$8:$C$162,2,FALSE)*VLOOKUP(AQ$11,'Attrition Modeling'!$L$15:$N$27,IF(AQ$12-$F19&lt;=24,2,3),FALSE))*(1+IF('Traditional Attrition'!AQ141&gt;0,'Attrition Modeling'!$N$9,0))),0))</f>
        <v>969.09465586586725</v>
      </c>
      <c r="AR19" s="799">
        <f>IF(AR$12=$F19+1,IF(Monthly!AN$4=TRUE,0,AR$3),IF(AR$12&gt;$F19+1,RentalsVacates!AQ19*(1-IF(AR$12-$F19&lt;=12,SUMIFS('Attrition Modeling'!$D:$D,'Attrition Modeling'!$B:$B,$E19,'Attrition Modeling'!$C:$C,AR$11),VLOOKUP(RentalsVacates!AR$12-RentalsVacates!$F19-1,RentalsVacates!$A$8:$C$162,2,FALSE)*VLOOKUP(AR$11,'Attrition Modeling'!$L$15:$N$27,IF(AR$12-$F19&lt;=24,2,3),FALSE))*(1+IF('Traditional Attrition'!AR141&gt;0,'Attrition Modeling'!$N$9,0))),0))</f>
        <v>937.5739624613816</v>
      </c>
      <c r="AS19" s="799">
        <f>IF(AS$12=$F19+1,IF(Monthly!AO$4=TRUE,0,AS$3),IF(AS$12&gt;$F19+1,RentalsVacates!AR19*(1-IF(AS$12-$F19&lt;=12,SUMIFS('Attrition Modeling'!$D:$D,'Attrition Modeling'!$B:$B,$E19,'Attrition Modeling'!$C:$C,AS$11),VLOOKUP(RentalsVacates!AS$12-RentalsVacates!$F19-1,RentalsVacates!$A$8:$C$162,2,FALSE)*VLOOKUP(AS$11,'Attrition Modeling'!$L$15:$N$27,IF(AS$12-$F19&lt;=24,2,3),FALSE))*(1+IF('Traditional Attrition'!AS141&gt;0,'Attrition Modeling'!$N$9,0))),0))</f>
        <v>908.3889201213027</v>
      </c>
      <c r="AT19" s="799">
        <f>IF(AT$12=$F19+1,IF(Monthly!AP$4=TRUE,0,AT$3),IF(AT$12&gt;$F19+1,RentalsVacates!AS19*(1-IF(AT$12-$F19&lt;=12,SUMIFS('Attrition Modeling'!$D:$D,'Attrition Modeling'!$B:$B,$E19,'Attrition Modeling'!$C:$C,AT$11),VLOOKUP(RentalsVacates!AT$12-RentalsVacates!$F19-1,RentalsVacates!$A$8:$C$162,2,FALSE)*VLOOKUP(AT$11,'Attrition Modeling'!$L$15:$N$27,IF(AT$12-$F19&lt;=24,2,3),FALSE))*(1+IF('Traditional Attrition'!AT141&gt;0,'Attrition Modeling'!$N$9,0))),0))</f>
        <v>881.61836923124838</v>
      </c>
      <c r="AU19" s="799">
        <f>IF(AU$12=$F19+1,IF(Monthly!AQ$4=TRUE,0,AU$3),IF(AU$12&gt;$F19+1,RentalsVacates!AT19*(1-IF(AU$12-$F19&lt;=12,SUMIFS('Attrition Modeling'!$D:$D,'Attrition Modeling'!$B:$B,$E19,'Attrition Modeling'!$C:$C,AU$11),VLOOKUP(RentalsVacates!AU$12-RentalsVacates!$F19-1,RentalsVacates!$A$8:$C$162,2,FALSE)*VLOOKUP(AU$11,'Attrition Modeling'!$L$15:$N$27,IF(AU$12-$F19&lt;=24,2,3),FALSE))*(1+IF('Traditional Attrition'!AU141&gt;0,'Attrition Modeling'!$N$9,0))),0))</f>
        <v>861.19324640311049</v>
      </c>
      <c r="AV19" s="799">
        <f>IF(AV$12=$F19+1,IF(Monthly!AR$4=TRUE,0,AV$3),IF(AV$12&gt;$F19+1,RentalsVacates!AU19*(1-IF(AV$12-$F19&lt;=12,SUMIFS('Attrition Modeling'!$D:$D,'Attrition Modeling'!$B:$B,$E19,'Attrition Modeling'!$C:$C,AV$11),VLOOKUP(RentalsVacates!AV$12-RentalsVacates!$F19-1,RentalsVacates!$A$8:$C$162,2,FALSE)*VLOOKUP(AV$11,'Attrition Modeling'!$L$15:$N$27,IF(AV$12-$F19&lt;=24,2,3),FALSE))*(1+IF('Traditional Attrition'!AV141&gt;0,'Attrition Modeling'!$N$9,0))),0))</f>
        <v>837.37699626746917</v>
      </c>
      <c r="AW19" s="799">
        <f>IF(AW$12=$F19+1,IF(Monthly!AS$4=TRUE,0,AW$3),IF(AW$12&gt;$F19+1,RentalsVacates!AV19*(1-IF(AW$12-$F19&lt;=12,SUMIFS('Attrition Modeling'!$D:$D,'Attrition Modeling'!$B:$B,$E19,'Attrition Modeling'!$C:$C,AW$11),VLOOKUP(RentalsVacates!AW$12-RentalsVacates!$F19-1,RentalsVacates!$A$8:$C$162,2,FALSE)*VLOOKUP(AW$11,'Attrition Modeling'!$L$15:$N$27,IF(AW$12-$F19&lt;=24,2,3),FALSE))*(1+IF('Traditional Attrition'!AW141&gt;0,'Attrition Modeling'!$N$9,0))),0))</f>
        <v>811.23895202698088</v>
      </c>
      <c r="AX19" s="799">
        <f>IF(AX$12=$F19+1,IF(Monthly!AT$4=TRUE,0,AX$3),IF(AX$12&gt;$F19+1,RentalsVacates!AW19*(1-IF(AX$12-$F19&lt;=12,SUMIFS('Attrition Modeling'!$D:$D,'Attrition Modeling'!$B:$B,$E19,'Attrition Modeling'!$C:$C,AX$11),VLOOKUP(RentalsVacates!AX$12-RentalsVacates!$F19-1,RentalsVacates!$A$8:$C$162,2,FALSE)*VLOOKUP(AX$11,'Attrition Modeling'!$L$15:$N$27,IF(AX$12-$F19&lt;=24,2,3),FALSE))*(1+IF('Traditional Attrition'!AX141&gt;0,'Attrition Modeling'!$N$9,0))),0))</f>
        <v>783.94853005582365</v>
      </c>
      <c r="AY19" s="799">
        <f>IF(AY$12=$F19+1,IF(Monthly!AU$4=TRUE,0,AY$3),IF(AY$12&gt;$F19+1,RentalsVacates!AX19*(1-IF(AY$12-$F19&lt;=12,SUMIFS('Attrition Modeling'!$D:$D,'Attrition Modeling'!$B:$B,$E19,'Attrition Modeling'!$C:$C,AY$11),VLOOKUP(RentalsVacates!AY$12-RentalsVacates!$F19-1,RentalsVacates!$A$8:$C$162,2,FALSE)*VLOOKUP(AY$11,'Attrition Modeling'!$L$15:$N$27,IF(AY$12-$F19&lt;=24,2,3),FALSE))*(1+IF('Traditional Attrition'!AY141&gt;0,'Attrition Modeling'!$N$9,0))),0))</f>
        <v>755.92946141059792</v>
      </c>
      <c r="AZ19" s="799">
        <f>IF(AZ$12=$F19+1,IF(Monthly!AV$4=TRUE,0,AZ$3),IF(AZ$12&gt;$F19+1,RentalsVacates!AY19*(1-IF(AZ$12-$F19&lt;=12,SUMIFS('Attrition Modeling'!$D:$D,'Attrition Modeling'!$B:$B,$E19,'Attrition Modeling'!$C:$C,AZ$11),VLOOKUP(RentalsVacates!AZ$12-RentalsVacates!$F19-1,RentalsVacates!$A$8:$C$162,2,FALSE)*VLOOKUP(AZ$11,'Attrition Modeling'!$L$15:$N$27,IF(AZ$12-$F19&lt;=24,2,3),FALSE))*(1+IF('Traditional Attrition'!AZ141&gt;0,'Attrition Modeling'!$N$9,0))),0))</f>
        <v>730.82240020783263</v>
      </c>
      <c r="BA19" s="799">
        <f>IF(BA$12=$F19+1,IF(Monthly!AW$4=TRUE,0,BA$3),IF(BA$12&gt;$F19+1,RentalsVacates!AZ19*(1-IF(BA$12-$F19&lt;=12,SUMIFS('Attrition Modeling'!$D:$D,'Attrition Modeling'!$B:$B,$E19,'Attrition Modeling'!$C:$C,BA$11),VLOOKUP(RentalsVacates!BA$12-RentalsVacates!$F19-1,RentalsVacates!$A$8:$C$162,2,FALSE)*VLOOKUP(BA$11,'Attrition Modeling'!$L$15:$N$27,IF(BA$12-$F19&lt;=24,2,3),FALSE))*(1+IF('Traditional Attrition'!BA141&gt;0,'Attrition Modeling'!$N$9,0))),0))</f>
        <v>707.62606528821823</v>
      </c>
      <c r="BB19" s="799">
        <f>IF(BB$12=$F19+1,IF(Monthly!AX$4=TRUE,0,BB$3),IF(BB$12&gt;$F19+1,RentalsVacates!BA19*(1-IF(BB$12-$F19&lt;=12,SUMIFS('Attrition Modeling'!$D:$D,'Attrition Modeling'!$B:$B,$E19,'Attrition Modeling'!$C:$C,BB$11),VLOOKUP(RentalsVacates!BB$12-RentalsVacates!$F19-1,RentalsVacates!$A$8:$C$162,2,FALSE)*VLOOKUP(BB$11,'Attrition Modeling'!$L$15:$N$27,IF(BB$12-$F19&lt;=24,2,3),FALSE))*(1+IF('Traditional Attrition'!BB141&gt;0,'Attrition Modeling'!$N$9,0))),0))</f>
        <v>685.8960154636502</v>
      </c>
      <c r="BC19" s="799">
        <f>IF(BC$12=$F19+1,IF(Monthly!AY$4=TRUE,0,BC$3),IF(BC$12&gt;$F19+1,RentalsVacates!BB19*(1-IF(BC$12-$F19&lt;=12,SUMIFS('Attrition Modeling'!$D:$D,'Attrition Modeling'!$B:$B,$E19,'Attrition Modeling'!$C:$C,BC$11),VLOOKUP(RentalsVacates!BC$12-RentalsVacates!$F19-1,RentalsVacates!$A$8:$C$162,2,FALSE)*VLOOKUP(BC$11,'Attrition Modeling'!$L$15:$N$27,IF(BC$12-$F19&lt;=24,2,3),FALSE))*(1+IF('Traditional Attrition'!BC141&gt;0,'Attrition Modeling'!$N$9,0))),0))</f>
        <v>665.27516958247395</v>
      </c>
      <c r="BD19" s="799">
        <f>IF(BD$12=$F19+1,IF(Monthly!AZ$4=TRUE,0,BD$3),IF(BD$12&gt;$F19+1,RentalsVacates!BC19*(1-IF(BD$12-$F19&lt;=12,SUMIFS('Attrition Modeling'!$D:$D,'Attrition Modeling'!$B:$B,$E19,'Attrition Modeling'!$C:$C,BD$11),VLOOKUP(RentalsVacates!BD$12-RentalsVacates!$F19-1,RentalsVacates!$A$8:$C$162,2,FALSE)*VLOOKUP(BD$11,'Attrition Modeling'!$L$15:$N$27,IF(BD$12-$F19&lt;=24,2,3),FALSE))*(1+IF('Traditional Attrition'!BD141&gt;0,'Attrition Modeling'!$N$9,0))),0))</f>
        <v>647.00396494643689</v>
      </c>
      <c r="BE19" s="799">
        <f>IF(BE$12=$F19+1,IF(Monthly!BA$4=TRUE,0,BE$3),IF(BE$12&gt;$F19+1,RentalsVacates!BD19*(1-IF(BE$12-$F19&lt;=12,SUMIFS('Attrition Modeling'!$D:$D,'Attrition Modeling'!$B:$B,$E19,'Attrition Modeling'!$C:$C,BE$11),VLOOKUP(RentalsVacates!BE$12-RentalsVacates!$F19-1,RentalsVacates!$A$8:$C$162,2,FALSE)*VLOOKUP(BE$11,'Attrition Modeling'!$L$15:$N$27,IF(BE$12-$F19&lt;=24,2,3),FALSE))*(1+IF('Traditional Attrition'!BE141&gt;0,'Attrition Modeling'!$N$9,0))),0))</f>
        <v>629.95881295835727</v>
      </c>
      <c r="BF19" s="799">
        <f>IF(BF$12=$F19+1,IF(Monthly!BB$4=TRUE,0,BF$3),IF(BF$12&gt;$F19+1,RentalsVacates!BE19*(1-IF(BF$12-$F19&lt;=12,SUMIFS('Attrition Modeling'!$D:$D,'Attrition Modeling'!$B:$B,$E19,'Attrition Modeling'!$C:$C,BF$11),VLOOKUP(RentalsVacates!BF$12-RentalsVacates!$F19-1,RentalsVacates!$A$8:$C$162,2,FALSE)*VLOOKUP(BF$11,'Attrition Modeling'!$L$15:$N$27,IF(BF$12-$F19&lt;=24,2,3),FALSE))*(1+IF('Traditional Attrition'!BF141&gt;0,'Attrition Modeling'!$N$9,0))),0))</f>
        <v>614.21227674286638</v>
      </c>
      <c r="BG19" s="799">
        <f>IF(BG$12=$F19+1,IF(Monthly!BC$4=TRUE,0,BG$3),IF(BG$12&gt;$F19+1,RentalsVacates!BF19*(1-IF(BG$12-$F19&lt;=12,SUMIFS('Attrition Modeling'!$D:$D,'Attrition Modeling'!$B:$B,$E19,'Attrition Modeling'!$C:$C,BG$11),VLOOKUP(RentalsVacates!BG$12-RentalsVacates!$F19-1,RentalsVacates!$A$8:$C$162,2,FALSE)*VLOOKUP(BG$11,'Attrition Modeling'!$L$15:$N$27,IF(BG$12-$F19&lt;=24,2,3),FALSE))*(1+IF('Traditional Attrition'!BG141&gt;0,'Attrition Modeling'!$N$9,0))),0))</f>
        <v>602.11778622736631</v>
      </c>
      <c r="BH19" s="799">
        <f>IF(BH$12=$F19+1,IF(Monthly!BD$4=TRUE,0,BH$3),IF(BH$12&gt;$F19+1,RentalsVacates!BG19*(1-IF(BH$12-$F19&lt;=12,SUMIFS('Attrition Modeling'!$D:$D,'Attrition Modeling'!$B:$B,$E19,'Attrition Modeling'!$C:$C,BH$11),VLOOKUP(RentalsVacates!BH$12-RentalsVacates!$F19-1,RentalsVacates!$A$8:$C$162,2,FALSE)*VLOOKUP(BH$11,'Attrition Modeling'!$L$15:$N$27,IF(BH$12-$F19&lt;=24,2,3),FALSE))*(1+IF('Traditional Attrition'!BH141&gt;0,'Attrition Modeling'!$N$9,0))),0))</f>
        <v>587.93734108853471</v>
      </c>
      <c r="BI19" s="799">
        <f>IF(BI$12=$F19+1,IF(Monthly!BE$4=TRUE,0,BI$3),IF(BI$12&gt;$F19+1,RentalsVacates!BH19*(1-IF(BI$12-$F19&lt;=12,SUMIFS('Attrition Modeling'!$D:$D,'Attrition Modeling'!$B:$B,$E19,'Attrition Modeling'!$C:$C,BI$11),VLOOKUP(RentalsVacates!BI$12-RentalsVacates!$F19-1,RentalsVacates!$A$8:$C$162,2,FALSE)*VLOOKUP(BI$11,'Attrition Modeling'!$L$15:$N$27,IF(BI$12-$F19&lt;=24,2,3),FALSE))*(1+IF('Traditional Attrition'!BI141&gt;0,'Attrition Modeling'!$N$9,0))),0))</f>
        <v>572.27972855500241</v>
      </c>
      <c r="BJ19" s="799">
        <f>IF(BJ$12=$F19+1,IF(Monthly!BF$4=TRUE,0,BJ$3),IF(BJ$12&gt;$F19+1,RentalsVacates!BI19*(1-IF(BJ$12-$F19&lt;=12,SUMIFS('Attrition Modeling'!$D:$D,'Attrition Modeling'!$B:$B,$E19,'Attrition Modeling'!$C:$C,BJ$11),VLOOKUP(RentalsVacates!BJ$12-RentalsVacates!$F19-1,RentalsVacates!$A$8:$C$162,2,FALSE)*VLOOKUP(BJ$11,'Attrition Modeling'!$L$15:$N$27,IF(BJ$12-$F19&lt;=24,2,3),FALSE))*(1+IF('Traditional Attrition'!BJ141&gt;0,'Attrition Modeling'!$N$9,0))),0))</f>
        <v>555.93603324610547</v>
      </c>
      <c r="BK19" s="799">
        <f>IF(BK$12=$F19+1,IF(Monthly!BG$4=TRUE,0,BK$3),IF(BK$12&gt;$F19+1,RentalsVacates!BJ19*(1-IF(BK$12-$F19&lt;=12,SUMIFS('Attrition Modeling'!$D:$D,'Attrition Modeling'!$B:$B,$E19,'Attrition Modeling'!$C:$C,BK$11),VLOOKUP(RentalsVacates!BK$12-RentalsVacates!$F19-1,RentalsVacates!$A$8:$C$162,2,FALSE)*VLOOKUP(BK$11,'Attrition Modeling'!$L$15:$N$27,IF(BK$12-$F19&lt;=24,2,3),FALSE))*(1+IF('Traditional Attrition'!BK141&gt;0,'Attrition Modeling'!$N$9,0))),0))</f>
        <v>539.04217945392963</v>
      </c>
      <c r="BL19" s="799">
        <f>IF(BL$12=$F19+1,IF(Monthly!BH$4=TRUE,0,BL$3),IF(BL$12&gt;$F19+1,RentalsVacates!BK19*(1-IF(BL$12-$F19&lt;=12,SUMIFS('Attrition Modeling'!$D:$D,'Attrition Modeling'!$B:$B,$E19,'Attrition Modeling'!$C:$C,BL$11),VLOOKUP(RentalsVacates!BL$12-RentalsVacates!$F19-1,RentalsVacates!$A$8:$C$162,2,FALSE)*VLOOKUP(BL$11,'Attrition Modeling'!$L$15:$N$27,IF(BL$12-$F19&lt;=24,2,3),FALSE))*(1+IF('Traditional Attrition'!BL141&gt;0,'Attrition Modeling'!$N$9,0))),0))</f>
        <v>523.79827057652892</v>
      </c>
      <c r="BM19" s="799">
        <f>IF(BM$12=$F19+1,IF(Monthly!BI$4=TRUE,0,BM$3),IF(BM$12&gt;$F19+1,RentalsVacates!BL19*(1-IF(BM$12-$F19&lt;=12,SUMIFS('Attrition Modeling'!$D:$D,'Attrition Modeling'!$B:$B,$E19,'Attrition Modeling'!$C:$C,BM$11),VLOOKUP(RentalsVacates!BM$12-RentalsVacates!$F19-1,RentalsVacates!$A$8:$C$162,2,FALSE)*VLOOKUP(BM$11,'Attrition Modeling'!$L$15:$N$27,IF(BM$12-$F19&lt;=24,2,3),FALSE))*(1+IF('Traditional Attrition'!BM141&gt;0,'Attrition Modeling'!$N$9,0))),0))</f>
        <v>509.62343999765346</v>
      </c>
      <c r="BN19" s="799">
        <f>IF(BN$12=$F19+1,IF(Monthly!BJ$4=TRUE,0,BN$3),IF(BN$12&gt;$F19+1,RentalsVacates!BM19*(1-IF(BN$12-$F19&lt;=12,SUMIFS('Attrition Modeling'!$D:$D,'Attrition Modeling'!$B:$B,$E19,'Attrition Modeling'!$C:$C,BN$11),VLOOKUP(RentalsVacates!BN$12-RentalsVacates!$F19-1,RentalsVacates!$A$8:$C$162,2,FALSE)*VLOOKUP(BN$11,'Attrition Modeling'!$L$15:$N$27,IF(BN$12-$F19&lt;=24,2,3),FALSE))*(1+IF('Traditional Attrition'!BN141&gt;0,'Attrition Modeling'!$N$9,0))),0))</f>
        <v>496.26339284161435</v>
      </c>
      <c r="BO19" s="799">
        <f>IF(BO$12=$F19+1,IF(Monthly!BK$4=TRUE,0,BO$3),IF(BO$12&gt;$F19+1,RentalsVacates!BN19*(1-IF(BO$12-$F19&lt;=12,SUMIFS('Attrition Modeling'!$D:$D,'Attrition Modeling'!$B:$B,$E19,'Attrition Modeling'!$C:$C,BO$11),VLOOKUP(RentalsVacates!BO$12-RentalsVacates!$F19-1,RentalsVacates!$A$8:$C$162,2,FALSE)*VLOOKUP(BO$11,'Attrition Modeling'!$L$15:$N$27,IF(BO$12-$F19&lt;=24,2,3),FALSE))*(1+IF('Traditional Attrition'!BO141&gt;0,'Attrition Modeling'!$N$9,0))),0))</f>
        <v>483.51112428507685</v>
      </c>
      <c r="BP19" s="799">
        <f>IF(BP$12=$F19+1,IF(Monthly!BL$4=TRUE,0,BP$3),IF(BP$12&gt;$F19+1,RentalsVacates!BO19*(1-IF(BP$12-$F19&lt;=12,SUMIFS('Attrition Modeling'!$D:$D,'Attrition Modeling'!$B:$B,$E19,'Attrition Modeling'!$C:$C,BP$11),VLOOKUP(RentalsVacates!BP$12-RentalsVacates!$F19-1,RentalsVacates!$A$8:$C$162,2,FALSE)*VLOOKUP(BP$11,'Attrition Modeling'!$L$15:$N$27,IF(BP$12-$F19&lt;=24,2,3),FALSE))*(1+IF('Traditional Attrition'!BP141&gt;0,'Attrition Modeling'!$N$9,0))),0))</f>
        <v>472.14803900280646</v>
      </c>
      <c r="BQ19" s="799">
        <f>IF(BQ$12=$F19+1,IF(Monthly!BM$4=TRUE,0,BQ$3),IF(BQ$12&gt;$F19+1,RentalsVacates!BP19*(1-IF(BQ$12-$F19&lt;=12,SUMIFS('Attrition Modeling'!$D:$D,'Attrition Modeling'!$B:$B,$E19,'Attrition Modeling'!$C:$C,BQ$11),VLOOKUP(RentalsVacates!BQ$12-RentalsVacates!$F19-1,RentalsVacates!$A$8:$C$162,2,FALSE)*VLOOKUP(BQ$11,'Attrition Modeling'!$L$15:$N$27,IF(BQ$12-$F19&lt;=24,2,3),FALSE))*(1+IF('Traditional Attrition'!BQ141&gt;0,'Attrition Modeling'!$N$9,0))),0))</f>
        <v>461.49272851829113</v>
      </c>
      <c r="BR19" s="799">
        <f>IF(BR$12=$F19+1,IF(Monthly!BN$4=TRUE,0,BR$3),IF(BR$12&gt;$F19+1,RentalsVacates!BQ19*(1-IF(BR$12-$F19&lt;=12,SUMIFS('Attrition Modeling'!$D:$D,'Attrition Modeling'!$B:$B,$E19,'Attrition Modeling'!$C:$C,BR$11),VLOOKUP(RentalsVacates!BR$12-RentalsVacates!$F19-1,RentalsVacates!$A$8:$C$162,2,FALSE)*VLOOKUP(BR$11,'Attrition Modeling'!$L$15:$N$27,IF(BR$12-$F19&lt;=24,2,3),FALSE))*(1+IF('Traditional Attrition'!BR141&gt;0,'Attrition Modeling'!$N$9,0))),0))</f>
        <v>451.60090545617732</v>
      </c>
      <c r="BS19" s="799">
        <f>IF(BS$12=$F19+1,IF(Monthly!BO$4=TRUE,0,BS$3),IF(BS$12&gt;$F19+1,RentalsVacates!BR19*(1-IF(BS$12-$F19&lt;=12,SUMIFS('Attrition Modeling'!$D:$D,'Attrition Modeling'!$B:$B,$E19,'Attrition Modeling'!$C:$C,BS$11),VLOOKUP(RentalsVacates!BS$12-RentalsVacates!$F19-1,RentalsVacates!$A$8:$C$162,2,FALSE)*VLOOKUP(BS$11,'Attrition Modeling'!$L$15:$N$27,IF(BS$12-$F19&lt;=24,2,3),FALSE))*(1+IF('Traditional Attrition'!BS141&gt;0,'Attrition Modeling'!$N$9,0))),0))</f>
        <v>443.96812154472661</v>
      </c>
      <c r="BT19" s="799">
        <f>IF(BT$11=$F18+1,IF(Monthly!#REF!=TRUE,0,BT$3),IF(BT$11&gt;$F18+1,RentalsVacates!BS18*(1-IF(BT$11-$F18&lt;=12,SUMIFS('Attrition Modeling'!$D:$D,'Attrition Modeling'!$B:$B,$E18,'Attrition Modeling'!$C:$C,BT$10),VLOOKUP(RentalsVacates!BT$11-RentalsVacates!$F18-1,RentalsVacates!$A$7:$C$161,2,FALSE)*VLOOKUP(BT$10,'Attrition Modeling'!$L$15:$N$27,IF(BT$11-$F18&lt;=24,2,3),FALSE))*(1+IF('Traditional Attrition'!BT141&gt;0,'Attrition Modeling'!$N$9,0))),0))</f>
        <v>0</v>
      </c>
      <c r="BU19" s="799" t="e">
        <f>IF(BU$11=$F18+1,IF(Monthly!#REF!=TRUE,0,BU$3),IF(BU$11&gt;$F18+1,RentalsVacates!BT18*(1-IF(BU$11-$F18&lt;=12,SUMIFS('Attrition Modeling'!$D:$D,'Attrition Modeling'!$B:$B,$E18,'Attrition Modeling'!$C:$C,BU$10),VLOOKUP(RentalsVacates!BU$11-RentalsVacates!$F18-1,RentalsVacates!$A$7:$C$161,2,FALSE)*VLOOKUP(BU$10,'Attrition Modeling'!$L$15:$N$27,IF(BU$11-$F18&lt;=24,2,3),FALSE))*(1+IF('Traditional Attrition'!BU141&gt;0,'Attrition Modeling'!$N$9,0))),0))</f>
        <v>#REF!</v>
      </c>
    </row>
    <row r="20" spans="1:73" ht="14.25" customHeight="1" x14ac:dyDescent="0.2">
      <c r="A20" s="9">
        <v>12</v>
      </c>
      <c r="B20" s="25">
        <f>'Attrition Modeling'!H16*(1-Summary!$C$20)</f>
        <v>5.4496999999999997E-2</v>
      </c>
      <c r="C20" s="24" t="e">
        <f t="shared" si="2"/>
        <v>#DIV/0!</v>
      </c>
      <c r="E20" s="11">
        <f>'Traditional Attrition'!E77</f>
        <v>7</v>
      </c>
      <c r="F20" s="11">
        <f t="shared" si="4"/>
        <v>7</v>
      </c>
      <c r="G20" s="799"/>
      <c r="H20" s="799">
        <f>IF(H$12=$F20+1,IF(Monthly!D$4=TRUE,0,H$3),IF(H$12&gt;$F20+1,RentalsVacates!G20*(1-IF(H$12-$F20&lt;=12,SUMIFS('Attrition Modeling'!$D:$D,'Attrition Modeling'!$B:$B,$E20,'Attrition Modeling'!$C:$C,H$11),VLOOKUP(RentalsVacates!H$12-RentalsVacates!$F20-1,RentalsVacates!$A$8:$C$162,2,FALSE)*VLOOKUP(H$11,'Attrition Modeling'!$L$15:$N$27,IF(H$12-$F20&lt;=24,2,3),FALSE))*(1+IF('Traditional Attrition'!H142&gt;0,'Attrition Modeling'!$N$9,0))),0))</f>
        <v>0</v>
      </c>
      <c r="I20" s="799">
        <f>IF(I$12=$F20+1,IF(Monthly!E$4=TRUE,0,I$3),IF(I$12&gt;$F20+1,RentalsVacates!H20*(1-IF(I$12-$F20&lt;=12,SUMIFS('Attrition Modeling'!$D:$D,'Attrition Modeling'!$B:$B,$E20,'Attrition Modeling'!$C:$C,I$11),VLOOKUP(RentalsVacates!I$12-RentalsVacates!$F20-1,RentalsVacates!$A$8:$C$162,2,FALSE)*VLOOKUP(I$11,'Attrition Modeling'!$L$15:$N$27,IF(I$12-$F20&lt;=24,2,3),FALSE))*(1+IF('Traditional Attrition'!I142&gt;0,'Attrition Modeling'!$N$9,0))),0))</f>
        <v>0</v>
      </c>
      <c r="J20" s="799">
        <f>IF(J$12=$F20+1,IF(Monthly!F$4=TRUE,0,J$3),IF(J$12&gt;$F20+1,RentalsVacates!I20*(1-IF(J$12-$F20&lt;=12,SUMIFS('Attrition Modeling'!$D:$D,'Attrition Modeling'!$B:$B,$E20,'Attrition Modeling'!$C:$C,J$11),VLOOKUP(RentalsVacates!J$12-RentalsVacates!$F20-1,RentalsVacates!$A$8:$C$162,2,FALSE)*VLOOKUP(J$11,'Attrition Modeling'!$L$15:$N$27,IF(J$12-$F20&lt;=24,2,3),FALSE))*(1+IF('Traditional Attrition'!J142&gt;0,'Attrition Modeling'!$N$9,0))),0))</f>
        <v>0</v>
      </c>
      <c r="K20" s="799">
        <f>IF(K$12=$F20+1,IF(Monthly!G$4=TRUE,0,K$3),IF(K$12&gt;$F20+1,RentalsVacates!J20*(1-IF(K$12-$F20&lt;=12,SUMIFS('Attrition Modeling'!$D:$D,'Attrition Modeling'!$B:$B,$E20,'Attrition Modeling'!$C:$C,K$11),VLOOKUP(RentalsVacates!K$12-RentalsVacates!$F20-1,RentalsVacates!$A$8:$C$162,2,FALSE)*VLOOKUP(K$11,'Attrition Modeling'!$L$15:$N$27,IF(K$12-$F20&lt;=24,2,3),FALSE))*(1+IF('Traditional Attrition'!K142&gt;0,'Attrition Modeling'!$N$9,0))),0))</f>
        <v>0</v>
      </c>
      <c r="L20" s="799">
        <f>IF(L$12=$F20+1,IF(Monthly!H$4=TRUE,0,L$3),IF(L$12&gt;$F20+1,RentalsVacates!K20*(1-IF(L$12-$F20&lt;=12,SUMIFS('Attrition Modeling'!$D:$D,'Attrition Modeling'!$B:$B,$E20,'Attrition Modeling'!$C:$C,L$11),VLOOKUP(RentalsVacates!L$12-RentalsVacates!$F20-1,RentalsVacates!$A$8:$C$162,2,FALSE)*VLOOKUP(L$11,'Attrition Modeling'!$L$15:$N$27,IF(L$12-$F20&lt;=24,2,3),FALSE))*(1+IF('Traditional Attrition'!L142&gt;0,'Attrition Modeling'!$N$9,0))),0))</f>
        <v>0</v>
      </c>
      <c r="M20" s="799">
        <f>IF(M$12=$F20+1,IF(Monthly!I$4=TRUE,0,M$3),IF(M$12&gt;$F20+1,RentalsVacates!L20*(1-IF(M$12-$F20&lt;=12,SUMIFS('Attrition Modeling'!$D:$D,'Attrition Modeling'!$B:$B,$E20,'Attrition Modeling'!$C:$C,M$11),VLOOKUP(RentalsVacates!M$12-RentalsVacates!$F20-1,RentalsVacates!$A$8:$C$162,2,FALSE)*VLOOKUP(M$11,'Attrition Modeling'!$L$15:$N$27,IF(M$12-$F20&lt;=24,2,3),FALSE))*(1+IF('Traditional Attrition'!M142&gt;0,'Attrition Modeling'!$N$9,0))),0))</f>
        <v>0</v>
      </c>
      <c r="N20" s="799">
        <f>IF(N$12=$F20+1,IF(Monthly!J$4=TRUE,0,N$3),IF(N$12&gt;$F20+1,RentalsVacates!M20*(1-IF(N$12-$F20&lt;=12,SUMIFS('Attrition Modeling'!$D:$D,'Attrition Modeling'!$B:$B,$E20,'Attrition Modeling'!$C:$C,N$11),VLOOKUP(RentalsVacates!N$12-RentalsVacates!$F20-1,RentalsVacates!$A$8:$C$162,2,FALSE)*VLOOKUP(N$11,'Attrition Modeling'!$L$15:$N$27,IF(N$12-$F20&lt;=24,2,3),FALSE))*(1+IF('Traditional Attrition'!N142&gt;0,'Attrition Modeling'!$N$9,0))),0))</f>
        <v>0</v>
      </c>
      <c r="O20" s="799">
        <f>IF(O$12=$F20+1,IF(Monthly!K$4=TRUE,0,O$3),IF(O$12&gt;$F20+1,RentalsVacates!N20*(1-IF(O$12-$F20&lt;=12,SUMIFS('Attrition Modeling'!$D:$D,'Attrition Modeling'!$B:$B,$E20,'Attrition Modeling'!$C:$C,O$11),VLOOKUP(RentalsVacates!O$12-RentalsVacates!$F20-1,RentalsVacates!$A$8:$C$162,2,FALSE)*VLOOKUP(O$11,'Attrition Modeling'!$L$15:$N$27,IF(O$12-$F20&lt;=24,2,3),FALSE))*(1+IF('Traditional Attrition'!O142&gt;0,'Attrition Modeling'!$N$9,0))),0))</f>
        <v>4986.1446948919001</v>
      </c>
      <c r="P20" s="799">
        <f>IF(P$12=$F20+1,IF(Monthly!L$4=TRUE,0,P$3),IF(P$12&gt;$F20+1,RentalsVacates!O20*(1-IF(P$12-$F20&lt;=12,SUMIFS('Attrition Modeling'!$D:$D,'Attrition Modeling'!$B:$B,$E20,'Attrition Modeling'!$C:$C,P$11),VLOOKUP(RentalsVacates!P$12-RentalsVacates!$F20-1,RentalsVacates!$A$8:$C$162,2,FALSE)*VLOOKUP(P$11,'Attrition Modeling'!$L$15:$N$27,IF(P$12-$F20&lt;=24,2,3),FALSE))*(1+IF('Traditional Attrition'!P142&gt;0,'Attrition Modeling'!$N$9,0))),0))</f>
        <v>4415.7950602917699</v>
      </c>
      <c r="Q20" s="799">
        <f>IF(Q$12=$F20+1,IF(Monthly!M$4=TRUE,0,Q$3),IF(Q$12&gt;$F20+1,RentalsVacates!P20*(1-IF(Q$12-$F20&lt;=12,SUMIFS('Attrition Modeling'!$D:$D,'Attrition Modeling'!$B:$B,$E20,'Attrition Modeling'!$C:$C,Q$11),VLOOKUP(RentalsVacates!Q$12-RentalsVacates!$F20-1,RentalsVacates!$A$8:$C$162,2,FALSE)*VLOOKUP(Q$11,'Attrition Modeling'!$L$15:$N$27,IF(Q$12-$F20&lt;=24,2,3),FALSE))*(1+IF('Traditional Attrition'!Q142&gt;0,'Attrition Modeling'!$N$9,0))),0))</f>
        <v>3988.0194620949169</v>
      </c>
      <c r="R20" s="799">
        <f>IF(R$12=$F20+1,IF(Monthly!N$4=TRUE,0,R$3),IF(R$12&gt;$F20+1,RentalsVacates!Q20*(1-IF(R$12-$F20&lt;=12,SUMIFS('Attrition Modeling'!$D:$D,'Attrition Modeling'!$B:$B,$E20,'Attrition Modeling'!$C:$C,R$11),VLOOKUP(RentalsVacates!R$12-RentalsVacates!$F20-1,RentalsVacates!$A$8:$C$162,2,FALSE)*VLOOKUP(R$11,'Attrition Modeling'!$L$15:$N$27,IF(R$12-$F20&lt;=24,2,3),FALSE))*(1+IF('Traditional Attrition'!R142&gt;0,'Attrition Modeling'!$N$9,0))),0))</f>
        <v>3623.8061670028992</v>
      </c>
      <c r="S20" s="799">
        <f>IF(S$12=$F20+1,IF(Monthly!O$4=TRUE,0,S$3),IF(S$12&gt;$F20+1,RentalsVacates!R20*(1-IF(S$12-$F20&lt;=12,SUMIFS('Attrition Modeling'!$D:$D,'Attrition Modeling'!$B:$B,$E20,'Attrition Modeling'!$C:$C,S$11),VLOOKUP(RentalsVacates!S$12-RentalsVacates!$F20-1,RentalsVacates!$A$8:$C$162,2,FALSE)*VLOOKUP(S$11,'Attrition Modeling'!$L$15:$N$27,IF(S$12-$F20&lt;=24,2,3),FALSE))*(1+IF('Traditional Attrition'!S142&gt;0,'Attrition Modeling'!$N$9,0))),0))</f>
        <v>3329.5592667127476</v>
      </c>
      <c r="T20" s="799">
        <f>IF(T$12=$F20+1,IF(Monthly!P$4=TRUE,0,T$3),IF(T$12&gt;$F20+1,RentalsVacates!S20*(1-IF(T$12-$F20&lt;=12,SUMIFS('Attrition Modeling'!$D:$D,'Attrition Modeling'!$B:$B,$E20,'Attrition Modeling'!$C:$C,T$11),VLOOKUP(RentalsVacates!T$12-RentalsVacates!$F20-1,RentalsVacates!$A$8:$C$162,2,FALSE)*VLOOKUP(T$11,'Attrition Modeling'!$L$15:$N$27,IF(T$12-$F20&lt;=24,2,3),FALSE))*(1+IF('Traditional Attrition'!T142&gt;0,'Attrition Modeling'!$N$9,0))),0))</f>
        <v>3020.3133579897644</v>
      </c>
      <c r="U20" s="799">
        <f>IF(U$12=$F20+1,IF(Monthly!Q$4=TRUE,0,U$3),IF(U$12&gt;$F20+1,RentalsVacates!T20*(1-IF(U$12-$F20&lt;=12,SUMIFS('Attrition Modeling'!$D:$D,'Attrition Modeling'!$B:$B,$E20,'Attrition Modeling'!$C:$C,U$11),VLOOKUP(RentalsVacates!U$12-RentalsVacates!$F20-1,RentalsVacates!$A$8:$C$162,2,FALSE)*VLOOKUP(U$11,'Attrition Modeling'!$L$15:$N$27,IF(U$12-$F20&lt;=24,2,3),FALSE))*(1+IF('Traditional Attrition'!U142&gt;0,'Attrition Modeling'!$N$9,0))),0))</f>
        <v>2829.8482900087633</v>
      </c>
      <c r="V20" s="799">
        <f>IF(V$12=$F20+1,IF(Monthly!R$4=TRUE,0,V$3),IF(V$12&gt;$F20+1,RentalsVacates!U20*(1-IF(V$12-$F20&lt;=12,SUMIFS('Attrition Modeling'!$D:$D,'Attrition Modeling'!$B:$B,$E20,'Attrition Modeling'!$C:$C,V$11),VLOOKUP(RentalsVacates!V$12-RentalsVacates!$F20-1,RentalsVacates!$A$8:$C$162,2,FALSE)*VLOOKUP(V$11,'Attrition Modeling'!$L$15:$N$27,IF(V$12-$F20&lt;=24,2,3),FALSE))*(1+IF('Traditional Attrition'!V142&gt;0,'Attrition Modeling'!$N$9,0))),0))</f>
        <v>2645.8652223596341</v>
      </c>
      <c r="W20" s="799">
        <f>IF(W$12=$F20+1,IF(Monthly!S$4=TRUE,0,W$3),IF(W$12&gt;$F20+1,RentalsVacates!V20*(1-IF(W$12-$F20&lt;=12,SUMIFS('Attrition Modeling'!$D:$D,'Attrition Modeling'!$B:$B,$E20,'Attrition Modeling'!$C:$C,W$11),VLOOKUP(RentalsVacates!W$12-RentalsVacates!$F20-1,RentalsVacates!$A$8:$C$162,2,FALSE)*VLOOKUP(W$11,'Attrition Modeling'!$L$15:$N$27,IF(W$12-$F20&lt;=24,2,3),FALSE))*(1+IF('Traditional Attrition'!W142&gt;0,'Attrition Modeling'!$N$9,0))),0))</f>
        <v>2487.3082828262918</v>
      </c>
      <c r="X20" s="799">
        <f>IF(X$12=$F20+1,IF(Monthly!T$4=TRUE,0,X$3),IF(X$12&gt;$F20+1,RentalsVacates!W20*(1-IF(X$12-$F20&lt;=12,SUMIFS('Attrition Modeling'!$D:$D,'Attrition Modeling'!$B:$B,$E20,'Attrition Modeling'!$C:$C,X$11),VLOOKUP(RentalsVacates!X$12-RentalsVacates!$F20-1,RentalsVacates!$A$8:$C$162,2,FALSE)*VLOOKUP(X$11,'Attrition Modeling'!$L$15:$N$27,IF(X$12-$F20&lt;=24,2,3),FALSE))*(1+IF('Traditional Attrition'!X142&gt;0,'Attrition Modeling'!$N$9,0))),0))</f>
        <v>2348.8856718130046</v>
      </c>
      <c r="Y20" s="799">
        <f>IF(Y$12=$F20+1,IF(Monthly!U$4=TRUE,0,Y$3),IF(Y$12&gt;$F20+1,RentalsVacates!X20*(1-IF(Y$12-$F20&lt;=12,SUMIFS('Attrition Modeling'!$D:$D,'Attrition Modeling'!$B:$B,$E20,'Attrition Modeling'!$C:$C,Y$11),VLOOKUP(RentalsVacates!Y$12-RentalsVacates!$F20-1,RentalsVacates!$A$8:$C$162,2,FALSE)*VLOOKUP(Y$11,'Attrition Modeling'!$L$15:$N$27,IF(Y$12-$F20&lt;=24,2,3),FALSE))*(1+IF('Traditional Attrition'!Y142&gt;0,'Attrition Modeling'!$N$9,0))),0))</f>
        <v>2202.8870421086758</v>
      </c>
      <c r="Z20" s="799">
        <f>IF(Z$12=$F20+1,IF(Monthly!V$4=TRUE,0,Z$3),IF(Z$12&gt;$F20+1,RentalsVacates!Y20*(1-IF(Z$12-$F20&lt;=12,SUMIFS('Attrition Modeling'!$D:$D,'Attrition Modeling'!$B:$B,$E20,'Attrition Modeling'!$C:$C,Z$11),VLOOKUP(RentalsVacates!Z$12-RentalsVacates!$F20-1,RentalsVacates!$A$8:$C$162,2,FALSE)*VLOOKUP(Z$11,'Attrition Modeling'!$L$15:$N$27,IF(Z$12-$F20&lt;=24,2,3),FALSE))*(1+IF('Traditional Attrition'!Z142&gt;0,'Attrition Modeling'!$N$9,0))),0))</f>
        <v>2129.7635064492333</v>
      </c>
      <c r="AA20" s="799">
        <f>IF(AA$12=$F20+1,IF(Monthly!W$4=TRUE,0,AA$3),IF(AA$12&gt;$F20+1,RentalsVacates!Z20*(1-IF(AA$12-$F20&lt;=12,SUMIFS('Attrition Modeling'!$D:$D,'Attrition Modeling'!$B:$B,$E20,'Attrition Modeling'!$C:$C,AA$11),VLOOKUP(RentalsVacates!AA$12-RentalsVacates!$F20-1,RentalsVacates!$A$8:$C$162,2,FALSE)*VLOOKUP(AA$11,'Attrition Modeling'!$L$15:$N$27,IF(AA$12-$F20&lt;=24,2,3),FALSE))*(1+IF('Traditional Attrition'!AA142&gt;0,'Attrition Modeling'!$N$9,0))),0))</f>
        <v>2000.7719661980127</v>
      </c>
      <c r="AB20" s="799">
        <f>IF(AB$12=$F20+1,IF(Monthly!X$4=TRUE,0,AB$3),IF(AB$12&gt;$F20+1,RentalsVacates!AA20*(1-IF(AB$12-$F20&lt;=12,SUMIFS('Attrition Modeling'!$D:$D,'Attrition Modeling'!$B:$B,$E20,'Attrition Modeling'!$C:$C,AB$11),VLOOKUP(RentalsVacates!AB$12-RentalsVacates!$F20-1,RentalsVacates!$A$8:$C$162,2,FALSE)*VLOOKUP(AB$11,'Attrition Modeling'!$L$15:$N$27,IF(AB$12-$F20&lt;=24,2,3),FALSE))*(1+IF('Traditional Attrition'!AB142&gt;0,'Attrition Modeling'!$N$9,0))),0))</f>
        <v>1898.8074509124215</v>
      </c>
      <c r="AC20" s="799">
        <f>IF(AC$12=$F20+1,IF(Monthly!Y$4=TRUE,0,AC$3),IF(AC$12&gt;$F20+1,RentalsVacates!AB20*(1-IF(AC$12-$F20&lt;=12,SUMIFS('Attrition Modeling'!$D:$D,'Attrition Modeling'!$B:$B,$E20,'Attrition Modeling'!$C:$C,AC$11),VLOOKUP(RentalsVacates!AC$12-RentalsVacates!$F20-1,RentalsVacates!$A$8:$C$162,2,FALSE)*VLOOKUP(AC$11,'Attrition Modeling'!$L$15:$N$27,IF(AC$12-$F20&lt;=24,2,3),FALSE))*(1+IF('Traditional Attrition'!AC142&gt;0,'Attrition Modeling'!$N$9,0))),0))</f>
        <v>1804.6482844092466</v>
      </c>
      <c r="AD20" s="799">
        <f>IF(AD$12=$F20+1,IF(Monthly!Z$4=TRUE,0,AD$3),IF(AD$12&gt;$F20+1,RentalsVacates!AC20*(1-IF(AD$12-$F20&lt;=12,SUMIFS('Attrition Modeling'!$D:$D,'Attrition Modeling'!$B:$B,$E20,'Attrition Modeling'!$C:$C,AD$11),VLOOKUP(RentalsVacates!AD$12-RentalsVacates!$F20-1,RentalsVacates!$A$8:$C$162,2,FALSE)*VLOOKUP(AD$11,'Attrition Modeling'!$L$15:$N$27,IF(AD$12-$F20&lt;=24,2,3),FALSE))*(1+IF('Traditional Attrition'!AD142&gt;0,'Attrition Modeling'!$N$9,0))),0))</f>
        <v>1721.7045367080088</v>
      </c>
      <c r="AE20" s="799">
        <f>IF(AE$12=$F20+1,IF(Monthly!AA$4=TRUE,0,AE$3),IF(AE$12&gt;$F20+1,RentalsVacates!AD20*(1-IF(AE$12-$F20&lt;=12,SUMIFS('Attrition Modeling'!$D:$D,'Attrition Modeling'!$B:$B,$E20,'Attrition Modeling'!$C:$C,AE$11),VLOOKUP(RentalsVacates!AE$12-RentalsVacates!$F20-1,RentalsVacates!$A$8:$C$162,2,FALSE)*VLOOKUP(AE$11,'Attrition Modeling'!$L$15:$N$27,IF(AE$12-$F20&lt;=24,2,3),FALSE))*(1+IF('Traditional Attrition'!AE142&gt;0,'Attrition Modeling'!$N$9,0))),0))</f>
        <v>1645.7070381166454</v>
      </c>
      <c r="AF20" s="799">
        <f>IF(AF$12=$F20+1,IF(Monthly!AB$4=TRUE,0,AF$3),IF(AF$12&gt;$F20+1,RentalsVacates!AE20*(1-IF(AF$12-$F20&lt;=12,SUMIFS('Attrition Modeling'!$D:$D,'Attrition Modeling'!$B:$B,$E20,'Attrition Modeling'!$C:$C,AF$11),VLOOKUP(RentalsVacates!AF$12-RentalsVacates!$F20-1,RentalsVacates!$A$8:$C$162,2,FALSE)*VLOOKUP(AF$11,'Attrition Modeling'!$L$15:$N$27,IF(AF$12-$F20&lt;=24,2,3),FALSE))*(1+IF('Traditional Attrition'!AF142&gt;0,'Attrition Modeling'!$N$9,0))),0))</f>
        <v>1560.6169430852722</v>
      </c>
      <c r="AG20" s="799">
        <f>IF(AG$12=$F20+1,IF(Monthly!AC$4=TRUE,0,AG$3),IF(AG$12&gt;$F20+1,RentalsVacates!AF20*(1-IF(AG$12-$F20&lt;=12,SUMIFS('Attrition Modeling'!$D:$D,'Attrition Modeling'!$B:$B,$E20,'Attrition Modeling'!$C:$C,AG$11),VLOOKUP(RentalsVacates!AG$12-RentalsVacates!$F20-1,RentalsVacates!$A$8:$C$162,2,FALSE)*VLOOKUP(AG$11,'Attrition Modeling'!$L$15:$N$27,IF(AG$12-$F20&lt;=24,2,3),FALSE))*(1+IF('Traditional Attrition'!AG142&gt;0,'Attrition Modeling'!$N$9,0))),0))</f>
        <v>1501.2593745061815</v>
      </c>
      <c r="AH20" s="799">
        <f>IF(AH$12=$F20+1,IF(Monthly!AD$4=TRUE,0,AH$3),IF(AH$12&gt;$F20+1,RentalsVacates!AG20*(1-IF(AH$12-$F20&lt;=12,SUMIFS('Attrition Modeling'!$D:$D,'Attrition Modeling'!$B:$B,$E20,'Attrition Modeling'!$C:$C,AH$11),VLOOKUP(RentalsVacates!AH$12-RentalsVacates!$F20-1,RentalsVacates!$A$8:$C$162,2,FALSE)*VLOOKUP(AH$11,'Attrition Modeling'!$L$15:$N$27,IF(AH$12-$F20&lt;=24,2,3),FALSE))*(1+IF('Traditional Attrition'!AH142&gt;0,'Attrition Modeling'!$N$9,0))),0))</f>
        <v>1440.2836114136312</v>
      </c>
      <c r="AI20" s="799">
        <f>IF(AI$12=$F20+1,IF(Monthly!AE$4=TRUE,0,AI$3),IF(AI$12&gt;$F20+1,RentalsVacates!AH20*(1-IF(AI$12-$F20&lt;=12,SUMIFS('Attrition Modeling'!$D:$D,'Attrition Modeling'!$B:$B,$E20,'Attrition Modeling'!$C:$C,AI$11),VLOOKUP(RentalsVacates!AI$12-RentalsVacates!$F20-1,RentalsVacates!$A$8:$C$162,2,FALSE)*VLOOKUP(AI$11,'Attrition Modeling'!$L$15:$N$27,IF(AI$12-$F20&lt;=24,2,3),FALSE))*(1+IF('Traditional Attrition'!AI142&gt;0,'Attrition Modeling'!$N$9,0))),0))</f>
        <v>1383.7483224510972</v>
      </c>
      <c r="AJ20" s="799">
        <f>IF(AJ$12=$F20+1,IF(Monthly!AF$4=TRUE,0,AJ$3),IF(AJ$12&gt;$F20+1,RentalsVacates!AI20*(1-IF(AJ$12-$F20&lt;=12,SUMIFS('Attrition Modeling'!$D:$D,'Attrition Modeling'!$B:$B,$E20,'Attrition Modeling'!$C:$C,AJ$11),VLOOKUP(RentalsVacates!AJ$12-RentalsVacates!$F20-1,RentalsVacates!$A$8:$C$162,2,FALSE)*VLOOKUP(AJ$11,'Attrition Modeling'!$L$15:$N$27,IF(AJ$12-$F20&lt;=24,2,3),FALSE))*(1+IF('Traditional Attrition'!AJ142&gt;0,'Attrition Modeling'!$N$9,0))),0))</f>
        <v>1330.6585711224502</v>
      </c>
      <c r="AK20" s="799">
        <f>IF(AK$12=$F20+1,IF(Monthly!AG$4=TRUE,0,AK$3),IF(AK$12&gt;$F20+1,RentalsVacates!AJ20*(1-IF(AK$12-$F20&lt;=12,SUMIFS('Attrition Modeling'!$D:$D,'Attrition Modeling'!$B:$B,$E20,'Attrition Modeling'!$C:$C,AK$11),VLOOKUP(RentalsVacates!AK$12-RentalsVacates!$F20-1,RentalsVacates!$A$8:$C$162,2,FALSE)*VLOOKUP(AK$11,'Attrition Modeling'!$L$15:$N$27,IF(AK$12-$F20&lt;=24,2,3),FALSE))*(1+IF('Traditional Attrition'!AK142&gt;0,'Attrition Modeling'!$N$9,0))),0))</f>
        <v>1275.409754925746</v>
      </c>
      <c r="AL20" s="799">
        <f>IF(AL$12=$F20+1,IF(Monthly!AH$4=TRUE,0,AL$3),IF(AL$12&gt;$F20+1,RentalsVacates!AK20*(1-IF(AL$12-$F20&lt;=12,SUMIFS('Attrition Modeling'!$D:$D,'Attrition Modeling'!$B:$B,$E20,'Attrition Modeling'!$C:$C,AL$11),VLOOKUP(RentalsVacates!AL$12-RentalsVacates!$F20-1,RentalsVacates!$A$8:$C$162,2,FALSE)*VLOOKUP(AL$11,'Attrition Modeling'!$L$15:$N$27,IF(AL$12-$F20&lt;=24,2,3),FALSE))*(1+IF('Traditional Attrition'!AL142&gt;0,'Attrition Modeling'!$N$9,0))),0))</f>
        <v>1221.9186518610375</v>
      </c>
      <c r="AM20" s="799">
        <f>IF(AM$12=$F20+1,IF(Monthly!AI$4=TRUE,0,AM$3),IF(AM$12&gt;$F20+1,RentalsVacates!AL20*(1-IF(AM$12-$F20&lt;=12,SUMIFS('Attrition Modeling'!$D:$D,'Attrition Modeling'!$B:$B,$E20,'Attrition Modeling'!$C:$C,AM$11),VLOOKUP(RentalsVacates!AM$12-RentalsVacates!$F20-1,RentalsVacates!$A$8:$C$162,2,FALSE)*VLOOKUP(AM$11,'Attrition Modeling'!$L$15:$N$27,IF(AM$12-$F20&lt;=24,2,3),FALSE))*(1+IF('Traditional Attrition'!AM142&gt;0,'Attrition Modeling'!$N$9,0))),0))</f>
        <v>1168.5634087740771</v>
      </c>
      <c r="AN20" s="799">
        <f>IF(AN$12=$F20+1,IF(Monthly!AJ$4=TRUE,0,AN$3),IF(AN$12&gt;$F20+1,RentalsVacates!AM20*(1-IF(AN$12-$F20&lt;=12,SUMIFS('Attrition Modeling'!$D:$D,'Attrition Modeling'!$B:$B,$E20,'Attrition Modeling'!$C:$C,AN$11),VLOOKUP(RentalsVacates!AN$12-RentalsVacates!$F20-1,RentalsVacates!$A$8:$C$162,2,FALSE)*VLOOKUP(AN$11,'Attrition Modeling'!$L$15:$N$27,IF(AN$12-$F20&lt;=24,2,3),FALSE))*(1+IF('Traditional Attrition'!AN142&gt;0,'Attrition Modeling'!$N$9,0))),0))</f>
        <v>1121.3123436877843</v>
      </c>
      <c r="AO20" s="799">
        <f>IF(AO$12=$F20+1,IF(Monthly!AK$4=TRUE,0,AO$3),IF(AO$12&gt;$F20+1,RentalsVacates!AN20*(1-IF(AO$12-$F20&lt;=12,SUMIFS('Attrition Modeling'!$D:$D,'Attrition Modeling'!$B:$B,$E20,'Attrition Modeling'!$C:$C,AO$11),VLOOKUP(RentalsVacates!AO$12-RentalsVacates!$F20-1,RentalsVacates!$A$8:$C$162,2,FALSE)*VLOOKUP(AO$11,'Attrition Modeling'!$L$15:$N$27,IF(AO$12-$F20&lt;=24,2,3),FALSE))*(1+IF('Traditional Attrition'!AO142&gt;0,'Attrition Modeling'!$N$9,0))),0))</f>
        <v>1078.1256590164562</v>
      </c>
      <c r="AP20" s="799">
        <f>IF(AP$12=$F20+1,IF(Monthly!AL$4=TRUE,0,AP$3),IF(AP$12&gt;$F20+1,RentalsVacates!AO20*(1-IF(AP$12-$F20&lt;=12,SUMIFS('Attrition Modeling'!$D:$D,'Attrition Modeling'!$B:$B,$E20,'Attrition Modeling'!$C:$C,AP$11),VLOOKUP(RentalsVacates!AP$12-RentalsVacates!$F20-1,RentalsVacates!$A$8:$C$162,2,FALSE)*VLOOKUP(AP$11,'Attrition Modeling'!$L$15:$N$27,IF(AP$12-$F20&lt;=24,2,3),FALSE))*(1+IF('Traditional Attrition'!AP142&gt;0,'Attrition Modeling'!$N$9,0))),0))</f>
        <v>1038.0759144065239</v>
      </c>
      <c r="AQ20" s="799">
        <f>IF(AQ$12=$F20+1,IF(Monthly!AM$4=TRUE,0,AQ$3),IF(AQ$12&gt;$F20+1,RentalsVacates!AP20*(1-IF(AQ$12-$F20&lt;=12,SUMIFS('Attrition Modeling'!$D:$D,'Attrition Modeling'!$B:$B,$E20,'Attrition Modeling'!$C:$C,AQ$11),VLOOKUP(RentalsVacates!AQ$12-RentalsVacates!$F20-1,RentalsVacates!$A$8:$C$162,2,FALSE)*VLOOKUP(AQ$11,'Attrition Modeling'!$L$15:$N$27,IF(AQ$12-$F20&lt;=24,2,3),FALSE))*(1+IF('Traditional Attrition'!AQ142&gt;0,'Attrition Modeling'!$N$9,0))),0))</f>
        <v>1006.7064836633255</v>
      </c>
      <c r="AR20" s="799">
        <f>IF(AR$12=$F20+1,IF(Monthly!AN$4=TRUE,0,AR$3),IF(AR$12&gt;$F20+1,RentalsVacates!AQ20*(1-IF(AR$12-$F20&lt;=12,SUMIFS('Attrition Modeling'!$D:$D,'Attrition Modeling'!$B:$B,$E20,'Attrition Modeling'!$C:$C,AR$11),VLOOKUP(RentalsVacates!AR$12-RentalsVacates!$F20-1,RentalsVacates!$A$8:$C$162,2,FALSE)*VLOOKUP(AR$11,'Attrition Modeling'!$L$15:$N$27,IF(AR$12-$F20&lt;=24,2,3),FALSE))*(1+IF('Traditional Attrition'!AR142&gt;0,'Attrition Modeling'!$N$9,0))),0))</f>
        <v>966.79751044439251</v>
      </c>
      <c r="AS20" s="799">
        <f>IF(AS$12=$F20+1,IF(Monthly!AO$4=TRUE,0,AS$3),IF(AS$12&gt;$F20+1,RentalsVacates!AR20*(1-IF(AS$12-$F20&lt;=12,SUMIFS('Attrition Modeling'!$D:$D,'Attrition Modeling'!$B:$B,$E20,'Attrition Modeling'!$C:$C,AS$11),VLOOKUP(RentalsVacates!AS$12-RentalsVacates!$F20-1,RentalsVacates!$A$8:$C$162,2,FALSE)*VLOOKUP(AS$11,'Attrition Modeling'!$L$15:$N$27,IF(AS$12-$F20&lt;=24,2,3),FALSE))*(1+IF('Traditional Attrition'!AS142&gt;0,'Attrition Modeling'!$N$9,0))),0))</f>
        <v>936.23935239718355</v>
      </c>
      <c r="AT20" s="799">
        <f>IF(AT$12=$F20+1,IF(Monthly!AP$4=TRUE,0,AT$3),IF(AT$12&gt;$F20+1,RentalsVacates!AS20*(1-IF(AT$12-$F20&lt;=12,SUMIFS('Attrition Modeling'!$D:$D,'Attrition Modeling'!$B:$B,$E20,'Attrition Modeling'!$C:$C,AT$11),VLOOKUP(RentalsVacates!AT$12-RentalsVacates!$F20-1,RentalsVacates!$A$8:$C$162,2,FALSE)*VLOOKUP(AT$11,'Attrition Modeling'!$L$15:$N$27,IF(AT$12-$F20&lt;=24,2,3),FALSE))*(1+IF('Traditional Attrition'!AT142&gt;0,'Attrition Modeling'!$N$9,0))),0))</f>
        <v>908.23041613370197</v>
      </c>
      <c r="AU20" s="799">
        <f>IF(AU$12=$F20+1,IF(Monthly!AQ$4=TRUE,0,AU$3),IF(AU$12&gt;$F20+1,RentalsVacates!AT20*(1-IF(AU$12-$F20&lt;=12,SUMIFS('Attrition Modeling'!$D:$D,'Attrition Modeling'!$B:$B,$E20,'Attrition Modeling'!$C:$C,AU$11),VLOOKUP(RentalsVacates!AU$12-RentalsVacates!$F20-1,RentalsVacates!$A$8:$C$162,2,FALSE)*VLOOKUP(AU$11,'Attrition Modeling'!$L$15:$N$27,IF(AU$12-$F20&lt;=24,2,3),FALSE))*(1+IF('Traditional Attrition'!AU142&gt;0,'Attrition Modeling'!$N$9,0))),0))</f>
        <v>886.87546971721531</v>
      </c>
      <c r="AV20" s="799">
        <f>IF(AV$12=$F20+1,IF(Monthly!AR$4=TRUE,0,AV$3),IF(AV$12&gt;$F20+1,RentalsVacates!AU20*(1-IF(AV$12-$F20&lt;=12,SUMIFS('Attrition Modeling'!$D:$D,'Attrition Modeling'!$B:$B,$E20,'Attrition Modeling'!$C:$C,AV$11),VLOOKUP(RentalsVacates!AV$12-RentalsVacates!$F20-1,RentalsVacates!$A$8:$C$162,2,FALSE)*VLOOKUP(AV$11,'Attrition Modeling'!$L$15:$N$27,IF(AV$12-$F20&lt;=24,2,3),FALSE))*(1+IF('Traditional Attrition'!AV142&gt;0,'Attrition Modeling'!$N$9,0))),0))</f>
        <v>861.98952280829531</v>
      </c>
      <c r="AW20" s="799">
        <f>IF(AW$12=$F20+1,IF(Monthly!AS$4=TRUE,0,AW$3),IF(AW$12&gt;$F20+1,RentalsVacates!AV20*(1-IF(AW$12-$F20&lt;=12,SUMIFS('Attrition Modeling'!$D:$D,'Attrition Modeling'!$B:$B,$E20,'Attrition Modeling'!$C:$C,AW$11),VLOOKUP(RentalsVacates!AW$12-RentalsVacates!$F20-1,RentalsVacates!$A$8:$C$162,2,FALSE)*VLOOKUP(AW$11,'Attrition Modeling'!$L$15:$N$27,IF(AW$12-$F20&lt;=24,2,3),FALSE))*(1+IF('Traditional Attrition'!AW142&gt;0,'Attrition Modeling'!$N$9,0))),0))</f>
        <v>834.69478784066587</v>
      </c>
      <c r="AX20" s="799">
        <f>IF(AX$12=$F20+1,IF(Monthly!AT$4=TRUE,0,AX$3),IF(AX$12&gt;$F20+1,RentalsVacates!AW20*(1-IF(AX$12-$F20&lt;=12,SUMIFS('Attrition Modeling'!$D:$D,'Attrition Modeling'!$B:$B,$E20,'Attrition Modeling'!$C:$C,AX$11),VLOOKUP(RentalsVacates!AX$12-RentalsVacates!$F20-1,RentalsVacates!$A$8:$C$162,2,FALSE)*VLOOKUP(AX$11,'Attrition Modeling'!$L$15:$N$27,IF(AX$12-$F20&lt;=24,2,3),FALSE))*(1+IF('Traditional Attrition'!AX142&gt;0,'Attrition Modeling'!$N$9,0))),0))</f>
        <v>806.21574913663972</v>
      </c>
      <c r="AY20" s="799">
        <f>IF(AY$12=$F20+1,IF(Monthly!AU$4=TRUE,0,AY$3),IF(AY$12&gt;$F20+1,RentalsVacates!AX20*(1-IF(AY$12-$F20&lt;=12,SUMIFS('Attrition Modeling'!$D:$D,'Attrition Modeling'!$B:$B,$E20,'Attrition Modeling'!$C:$C,AY$11),VLOOKUP(RentalsVacates!AY$12-RentalsVacates!$F20-1,RentalsVacates!$A$8:$C$162,2,FALSE)*VLOOKUP(AY$11,'Attrition Modeling'!$L$15:$N$27,IF(AY$12-$F20&lt;=24,2,3),FALSE))*(1+IF('Traditional Attrition'!AY142&gt;0,'Attrition Modeling'!$N$9,0))),0))</f>
        <v>776.9964500060546</v>
      </c>
      <c r="AZ20" s="799">
        <f>IF(AZ$12=$F20+1,IF(Monthly!AV$4=TRUE,0,AZ$3),IF(AZ$12&gt;$F20+1,RentalsVacates!AY20*(1-IF(AZ$12-$F20&lt;=12,SUMIFS('Attrition Modeling'!$D:$D,'Attrition Modeling'!$B:$B,$E20,'Attrition Modeling'!$C:$C,AZ$11),VLOOKUP(RentalsVacates!AZ$12-RentalsVacates!$F20-1,RentalsVacates!$A$8:$C$162,2,FALSE)*VLOOKUP(AZ$11,'Attrition Modeling'!$L$15:$N$27,IF(AZ$12-$F20&lt;=24,2,3),FALSE))*(1+IF('Traditional Attrition'!AZ142&gt;0,'Attrition Modeling'!$N$9,0))),0))</f>
        <v>750.83229415168967</v>
      </c>
      <c r="BA20" s="799">
        <f>IF(BA$12=$F20+1,IF(Monthly!AW$4=TRUE,0,BA$3),IF(BA$12&gt;$F20+1,RentalsVacates!AZ20*(1-IF(BA$12-$F20&lt;=12,SUMIFS('Attrition Modeling'!$D:$D,'Attrition Modeling'!$B:$B,$E20,'Attrition Modeling'!$C:$C,BA$11),VLOOKUP(RentalsVacates!BA$12-RentalsVacates!$F20-1,RentalsVacates!$A$8:$C$162,2,FALSE)*VLOOKUP(BA$11,'Attrition Modeling'!$L$15:$N$27,IF(BA$12-$F20&lt;=24,2,3),FALSE))*(1+IF('Traditional Attrition'!BA142&gt;0,'Attrition Modeling'!$N$9,0))),0))</f>
        <v>726.67499119387162</v>
      </c>
      <c r="BB20" s="799">
        <f>IF(BB$12=$F20+1,IF(Monthly!AX$4=TRUE,0,BB$3),IF(BB$12&gt;$F20+1,RentalsVacates!BA20*(1-IF(BB$12-$F20&lt;=12,SUMIFS('Attrition Modeling'!$D:$D,'Attrition Modeling'!$B:$B,$E20,'Attrition Modeling'!$C:$C,BB$11),VLOOKUP(RentalsVacates!BB$12-RentalsVacates!$F20-1,RentalsVacates!$A$8:$C$162,2,FALSE)*VLOOKUP(BB$11,'Attrition Modeling'!$L$15:$N$27,IF(BB$12-$F20&lt;=24,2,3),FALSE))*(1+IF('Traditional Attrition'!BB142&gt;0,'Attrition Modeling'!$N$9,0))),0))</f>
        <v>704.05856966698366</v>
      </c>
      <c r="BC20" s="799">
        <f>IF(BC$12=$F20+1,IF(Monthly!AY$4=TRUE,0,BC$3),IF(BC$12&gt;$F20+1,RentalsVacates!BB20*(1-IF(BC$12-$F20&lt;=12,SUMIFS('Attrition Modeling'!$D:$D,'Attrition Modeling'!$B:$B,$E20,'Attrition Modeling'!$C:$C,BC$11),VLOOKUP(RentalsVacates!BC$12-RentalsVacates!$F20-1,RentalsVacates!$A$8:$C$162,2,FALSE)*VLOOKUP(BC$11,'Attrition Modeling'!$L$15:$N$27,IF(BC$12-$F20&lt;=24,2,3),FALSE))*(1+IF('Traditional Attrition'!BC142&gt;0,'Attrition Modeling'!$N$9,0))),0))</f>
        <v>686.18402690728033</v>
      </c>
      <c r="BD20" s="799">
        <f>IF(BD$12=$F20+1,IF(Monthly!AZ$4=TRUE,0,BD$3),IF(BD$12&gt;$F20+1,RentalsVacates!BC20*(1-IF(BD$12-$F20&lt;=12,SUMIFS('Attrition Modeling'!$D:$D,'Attrition Modeling'!$B:$B,$E20,'Attrition Modeling'!$C:$C,BD$11),VLOOKUP(RentalsVacates!BD$12-RentalsVacates!$F20-1,RentalsVacates!$A$8:$C$162,2,FALSE)*VLOOKUP(BD$11,'Attrition Modeling'!$L$15:$N$27,IF(BD$12-$F20&lt;=24,2,3),FALSE))*(1+IF('Traditional Attrition'!BD142&gt;0,'Attrition Modeling'!$N$9,0))),0))</f>
        <v>663.27098555306952</v>
      </c>
      <c r="BE20" s="799">
        <f>IF(BE$12=$F20+1,IF(Monthly!BA$4=TRUE,0,BE$3),IF(BE$12&gt;$F20+1,RentalsVacates!BD20*(1-IF(BE$12-$F20&lt;=12,SUMIFS('Attrition Modeling'!$D:$D,'Attrition Modeling'!$B:$B,$E20,'Attrition Modeling'!$C:$C,BE$11),VLOOKUP(RentalsVacates!BE$12-RentalsVacates!$F20-1,RentalsVacates!$A$8:$C$162,2,FALSE)*VLOOKUP(BE$11,'Attrition Modeling'!$L$15:$N$27,IF(BE$12-$F20&lt;=24,2,3),FALSE))*(1+IF('Traditional Attrition'!BE142&gt;0,'Attrition Modeling'!$N$9,0))),0))</f>
        <v>645.56912348819048</v>
      </c>
      <c r="BF20" s="799">
        <f>IF(BF$12=$F20+1,IF(Monthly!BB$4=TRUE,0,BF$3),IF(BF$12&gt;$F20+1,RentalsVacates!BE20*(1-IF(BF$12-$F20&lt;=12,SUMIFS('Attrition Modeling'!$D:$D,'Attrition Modeling'!$B:$B,$E20,'Attrition Modeling'!$C:$C,BF$11),VLOOKUP(RentalsVacates!BF$12-RentalsVacates!$F20-1,RentalsVacates!$A$8:$C$162,2,FALSE)*VLOOKUP(BF$11,'Attrition Modeling'!$L$15:$N$27,IF(BF$12-$F20&lt;=24,2,3),FALSE))*(1+IF('Traditional Attrition'!BF142&gt;0,'Attrition Modeling'!$N$9,0))),0))</f>
        <v>629.22387149066788</v>
      </c>
      <c r="BG20" s="799">
        <f>IF(BG$12=$F20+1,IF(Monthly!BC$4=TRUE,0,BG$3),IF(BG$12&gt;$F20+1,RentalsVacates!BF20*(1-IF(BG$12-$F20&lt;=12,SUMIFS('Attrition Modeling'!$D:$D,'Attrition Modeling'!$B:$B,$E20,'Attrition Modeling'!$C:$C,BG$11),VLOOKUP(RentalsVacates!BG$12-RentalsVacates!$F20-1,RentalsVacates!$A$8:$C$162,2,FALSE)*VLOOKUP(BG$11,'Attrition Modeling'!$L$15:$N$27,IF(BG$12-$F20&lt;=24,2,3),FALSE))*(1+IF('Traditional Attrition'!BG142&gt;0,'Attrition Modeling'!$N$9,0))),0))</f>
        <v>616.6752784538935</v>
      </c>
      <c r="BH20" s="799">
        <f>IF(BH$12=$F20+1,IF(Monthly!BD$4=TRUE,0,BH$3),IF(BH$12&gt;$F20+1,RentalsVacates!BG20*(1-IF(BH$12-$F20&lt;=12,SUMIFS('Attrition Modeling'!$D:$D,'Attrition Modeling'!$B:$B,$E20,'Attrition Modeling'!$C:$C,BH$11),VLOOKUP(RentalsVacates!BH$12-RentalsVacates!$F20-1,RentalsVacates!$A$8:$C$162,2,FALSE)*VLOOKUP(BH$11,'Attrition Modeling'!$L$15:$N$27,IF(BH$12-$F20&lt;=24,2,3),FALSE))*(1+IF('Traditional Attrition'!BH142&gt;0,'Attrition Modeling'!$N$9,0))),0))</f>
        <v>601.96797324251611</v>
      </c>
      <c r="BI20" s="799">
        <f>IF(BI$12=$F20+1,IF(Monthly!BE$4=TRUE,0,BI$3),IF(BI$12&gt;$F20+1,RentalsVacates!BH20*(1-IF(BI$12-$F20&lt;=12,SUMIFS('Attrition Modeling'!$D:$D,'Attrition Modeling'!$B:$B,$E20,'Attrition Modeling'!$C:$C,BI$11),VLOOKUP(RentalsVacates!BI$12-RentalsVacates!$F20-1,RentalsVacates!$A$8:$C$162,2,FALSE)*VLOOKUP(BI$11,'Attrition Modeling'!$L$15:$N$27,IF(BI$12-$F20&lt;=24,2,3),FALSE))*(1+IF('Traditional Attrition'!BI142&gt;0,'Attrition Modeling'!$N$9,0))),0))</f>
        <v>585.73545421402343</v>
      </c>
      <c r="BJ20" s="799">
        <f>IF(BJ$12=$F20+1,IF(Monthly!BF$4=TRUE,0,BJ$3),IF(BJ$12&gt;$F20+1,RentalsVacates!BI20*(1-IF(BJ$12-$F20&lt;=12,SUMIFS('Attrition Modeling'!$D:$D,'Attrition Modeling'!$B:$B,$E20,'Attrition Modeling'!$C:$C,BJ$11),VLOOKUP(RentalsVacates!BJ$12-RentalsVacates!$F20-1,RentalsVacates!$A$8:$C$162,2,FALSE)*VLOOKUP(BJ$11,'Attrition Modeling'!$L$15:$N$27,IF(BJ$12-$F20&lt;=24,2,3),FALSE))*(1+IF('Traditional Attrition'!BJ142&gt;0,'Attrition Modeling'!$N$9,0))),0))</f>
        <v>568.68477939759634</v>
      </c>
      <c r="BK20" s="799">
        <f>IF(BK$12=$F20+1,IF(Monthly!BG$4=TRUE,0,BK$3),IF(BK$12&gt;$F20+1,RentalsVacates!BJ20*(1-IF(BK$12-$F20&lt;=12,SUMIFS('Attrition Modeling'!$D:$D,'Attrition Modeling'!$B:$B,$E20,'Attrition Modeling'!$C:$C,BK$11),VLOOKUP(RentalsVacates!BK$12-RentalsVacates!$F20-1,RentalsVacates!$A$8:$C$162,2,FALSE)*VLOOKUP(BK$11,'Attrition Modeling'!$L$15:$N$27,IF(BK$12-$F20&lt;=24,2,3),FALSE))*(1+IF('Traditional Attrition'!BK142&gt;0,'Attrition Modeling'!$N$9,0))),0))</f>
        <v>551.1874986283616</v>
      </c>
      <c r="BL20" s="799">
        <f>IF(BL$12=$F20+1,IF(Monthly!BH$4=TRUE,0,BL$3),IF(BL$12&gt;$F20+1,RentalsVacates!BK20*(1-IF(BL$12-$F20&lt;=12,SUMIFS('Attrition Modeling'!$D:$D,'Attrition Modeling'!$B:$B,$E20,'Attrition Modeling'!$C:$C,BL$11),VLOOKUP(RentalsVacates!BL$12-RentalsVacates!$F20-1,RentalsVacates!$A$8:$C$162,2,FALSE)*VLOOKUP(BL$11,'Attrition Modeling'!$L$15:$N$27,IF(BL$12-$F20&lt;=24,2,3),FALSE))*(1+IF('Traditional Attrition'!BL142&gt;0,'Attrition Modeling'!$N$9,0))),0))</f>
        <v>535.4068513069036</v>
      </c>
      <c r="BM20" s="799">
        <f>IF(BM$12=$F20+1,IF(Monthly!BI$4=TRUE,0,BM$3),IF(BM$12&gt;$F20+1,RentalsVacates!BL20*(1-IF(BM$12-$F20&lt;=12,SUMIFS('Attrition Modeling'!$D:$D,'Attrition Modeling'!$B:$B,$E20,'Attrition Modeling'!$C:$C,BM$11),VLOOKUP(RentalsVacates!BM$12-RentalsVacates!$F20-1,RentalsVacates!$A$8:$C$162,2,FALSE)*VLOOKUP(BM$11,'Attrition Modeling'!$L$15:$N$27,IF(BM$12-$F20&lt;=24,2,3),FALSE))*(1+IF('Traditional Attrition'!BM142&gt;0,'Attrition Modeling'!$N$9,0))),0))</f>
        <v>520.73961087146279</v>
      </c>
      <c r="BN20" s="799">
        <f>IF(BN$12=$F20+1,IF(Monthly!BJ$4=TRUE,0,BN$3),IF(BN$12&gt;$F20+1,RentalsVacates!BM20*(1-IF(BN$12-$F20&lt;=12,SUMIFS('Attrition Modeling'!$D:$D,'Attrition Modeling'!$B:$B,$E20,'Attrition Modeling'!$C:$C,BN$11),VLOOKUP(RentalsVacates!BN$12-RentalsVacates!$F20-1,RentalsVacates!$A$8:$C$162,2,FALSE)*VLOOKUP(BN$11,'Attrition Modeling'!$L$15:$N$27,IF(BN$12-$F20&lt;=24,2,3),FALSE))*(1+IF('Traditional Attrition'!BN142&gt;0,'Attrition Modeling'!$N$9,0))),0))</f>
        <v>506.92143911937848</v>
      </c>
      <c r="BO20" s="799">
        <f>IF(BO$12=$F20+1,IF(Monthly!BK$4=TRUE,0,BO$3),IF(BO$12&gt;$F20+1,RentalsVacates!BN20*(1-IF(BO$12-$F20&lt;=12,SUMIFS('Attrition Modeling'!$D:$D,'Attrition Modeling'!$B:$B,$E20,'Attrition Modeling'!$C:$C,BO$11),VLOOKUP(RentalsVacates!BO$12-RentalsVacates!$F20-1,RentalsVacates!$A$8:$C$162,2,FALSE)*VLOOKUP(BO$11,'Attrition Modeling'!$L$15:$N$27,IF(BO$12-$F20&lt;=24,2,3),FALSE))*(1+IF('Traditional Attrition'!BO142&gt;0,'Attrition Modeling'!$N$9,0))),0))</f>
        <v>495.93470772740824</v>
      </c>
      <c r="BP20" s="799">
        <f>IF(BP$12=$F20+1,IF(Monthly!BL$4=TRUE,0,BP$3),IF(BP$12&gt;$F20+1,RentalsVacates!BO20*(1-IF(BP$12-$F20&lt;=12,SUMIFS('Attrition Modeling'!$D:$D,'Attrition Modeling'!$B:$B,$E20,'Attrition Modeling'!$C:$C,BP$11),VLOOKUP(RentalsVacates!BP$12-RentalsVacates!$F20-1,RentalsVacates!$A$8:$C$162,2,FALSE)*VLOOKUP(BP$11,'Attrition Modeling'!$L$15:$N$27,IF(BP$12-$F20&lt;=24,2,3),FALSE))*(1+IF('Traditional Attrition'!BP142&gt;0,'Attrition Modeling'!$N$9,0))),0))</f>
        <v>484.1393150023415</v>
      </c>
      <c r="BQ20" s="799">
        <f>IF(BQ$12=$F20+1,IF(Monthly!BM$4=TRUE,0,BQ$3),IF(BQ$12&gt;$F20+1,RentalsVacates!BP20*(1-IF(BQ$12-$F20&lt;=12,SUMIFS('Attrition Modeling'!$D:$D,'Attrition Modeling'!$B:$B,$E20,'Attrition Modeling'!$C:$C,BQ$11),VLOOKUP(RentalsVacates!BQ$12-RentalsVacates!$F20-1,RentalsVacates!$A$8:$C$162,2,FALSE)*VLOOKUP(BQ$11,'Attrition Modeling'!$L$15:$N$27,IF(BQ$12-$F20&lt;=24,2,3),FALSE))*(1+IF('Traditional Attrition'!BQ142&gt;0,'Attrition Modeling'!$N$9,0))),0))</f>
        <v>473.08269885809273</v>
      </c>
      <c r="BR20" s="799">
        <f>IF(BR$12=$F20+1,IF(Monthly!BN$4=TRUE,0,BR$3),IF(BR$12&gt;$F20+1,RentalsVacates!BQ20*(1-IF(BR$12-$F20&lt;=12,SUMIFS('Attrition Modeling'!$D:$D,'Attrition Modeling'!$B:$B,$E20,'Attrition Modeling'!$C:$C,BR$11),VLOOKUP(RentalsVacates!BR$12-RentalsVacates!$F20-1,RentalsVacates!$A$8:$C$162,2,FALSE)*VLOOKUP(BR$11,'Attrition Modeling'!$L$15:$N$27,IF(BR$12-$F20&lt;=24,2,3),FALSE))*(1+IF('Traditional Attrition'!BR142&gt;0,'Attrition Modeling'!$N$9,0))),0))</f>
        <v>462.82192966751376</v>
      </c>
      <c r="BS20" s="799">
        <f>IF(BS$12=$F20+1,IF(Monthly!BO$4=TRUE,0,BS$3),IF(BS$12&gt;$F20+1,RentalsVacates!BR20*(1-IF(BS$12-$F20&lt;=12,SUMIFS('Attrition Modeling'!$D:$D,'Attrition Modeling'!$B:$B,$E20,'Attrition Modeling'!$C:$C,BS$11),VLOOKUP(RentalsVacates!BS$12-RentalsVacates!$F20-1,RentalsVacates!$A$8:$C$162,2,FALSE)*VLOOKUP(BS$11,'Attrition Modeling'!$L$15:$N$27,IF(BS$12-$F20&lt;=24,2,3),FALSE))*(1+IF('Traditional Attrition'!BS142&gt;0,'Attrition Modeling'!$N$9,0))),0))</f>
        <v>454.90708548040368</v>
      </c>
      <c r="BT20" s="799">
        <f>IF(BT$11=$F19+1,IF(Monthly!#REF!=TRUE,0,BT$3),IF(BT$11&gt;$F19+1,RentalsVacates!BS19*(1-IF(BT$11-$F19&lt;=12,SUMIFS('Attrition Modeling'!$D:$D,'Attrition Modeling'!$B:$B,$E19,'Attrition Modeling'!$C:$C,BT$10),VLOOKUP(RentalsVacates!BT$11-RentalsVacates!$F19-1,RentalsVacates!$A$7:$C$161,2,FALSE)*VLOOKUP(BT$10,'Attrition Modeling'!$L$15:$N$27,IF(BT$11-$F19&lt;=24,2,3),FALSE))*(1+IF('Traditional Attrition'!BT142&gt;0,'Attrition Modeling'!$N$9,0))),0))</f>
        <v>0</v>
      </c>
      <c r="BU20" s="799">
        <f>IF(BU$11=$F19+1,IF(Monthly!#REF!=TRUE,0,BU$3),IF(BU$11&gt;$F19+1,RentalsVacates!BT19*(1-IF(BU$11-$F19&lt;=12,SUMIFS('Attrition Modeling'!$D:$D,'Attrition Modeling'!$B:$B,$E19,'Attrition Modeling'!$C:$C,BU$10),VLOOKUP(RentalsVacates!BU$11-RentalsVacates!$F19-1,RentalsVacates!$A$7:$C$161,2,FALSE)*VLOOKUP(BU$10,'Attrition Modeling'!$L$15:$N$27,IF(BU$11-$F19&lt;=24,2,3),FALSE))*(1+IF('Traditional Attrition'!BU142&gt;0,'Attrition Modeling'!$N$9,0))),0))</f>
        <v>0</v>
      </c>
    </row>
    <row r="21" spans="1:73" ht="14.25" customHeight="1" x14ac:dyDescent="0.2">
      <c r="A21" s="9">
        <v>13</v>
      </c>
      <c r="B21" s="25">
        <f>MAX('Attrition Modeling'!H17,$C$3)*(1-Summary!$C$20)</f>
        <v>5.0287655801895564E-2</v>
      </c>
      <c r="C21" s="24" t="e">
        <f t="shared" si="2"/>
        <v>#DIV/0!</v>
      </c>
      <c r="E21" s="11">
        <f>'Traditional Attrition'!E78</f>
        <v>8</v>
      </c>
      <c r="F21" s="11">
        <f t="shared" si="4"/>
        <v>8</v>
      </c>
      <c r="G21" s="799"/>
      <c r="H21" s="799">
        <f>IF(H$12=$F21+1,IF(Monthly!D$4=TRUE,0,H$3),IF(H$12&gt;$F21+1,RentalsVacates!G21*(1-IF(H$12-$F21&lt;=12,SUMIFS('Attrition Modeling'!$D:$D,'Attrition Modeling'!$B:$B,$E21,'Attrition Modeling'!$C:$C,H$11),VLOOKUP(RentalsVacates!H$12-RentalsVacates!$F21-1,RentalsVacates!$A$8:$C$162,2,FALSE)*VLOOKUP(H$11,'Attrition Modeling'!$L$15:$N$27,IF(H$12-$F21&lt;=24,2,3),FALSE))*(1+IF('Traditional Attrition'!H143&gt;0,'Attrition Modeling'!$N$9,0))),0))</f>
        <v>0</v>
      </c>
      <c r="I21" s="799">
        <f>IF(I$12=$F21+1,IF(Monthly!E$4=TRUE,0,I$3),IF(I$12&gt;$F21+1,RentalsVacates!H21*(1-IF(I$12-$F21&lt;=12,SUMIFS('Attrition Modeling'!$D:$D,'Attrition Modeling'!$B:$B,$E21,'Attrition Modeling'!$C:$C,I$11),VLOOKUP(RentalsVacates!I$12-RentalsVacates!$F21-1,RentalsVacates!$A$8:$C$162,2,FALSE)*VLOOKUP(I$11,'Attrition Modeling'!$L$15:$N$27,IF(I$12-$F21&lt;=24,2,3),FALSE))*(1+IF('Traditional Attrition'!I143&gt;0,'Attrition Modeling'!$N$9,0))),0))</f>
        <v>0</v>
      </c>
      <c r="J21" s="799">
        <f>IF(J$12=$F21+1,IF(Monthly!F$4=TRUE,0,J$3),IF(J$12&gt;$F21+1,RentalsVacates!I21*(1-IF(J$12-$F21&lt;=12,SUMIFS('Attrition Modeling'!$D:$D,'Attrition Modeling'!$B:$B,$E21,'Attrition Modeling'!$C:$C,J$11),VLOOKUP(RentalsVacates!J$12-RentalsVacates!$F21-1,RentalsVacates!$A$8:$C$162,2,FALSE)*VLOOKUP(J$11,'Attrition Modeling'!$L$15:$N$27,IF(J$12-$F21&lt;=24,2,3),FALSE))*(1+IF('Traditional Attrition'!J143&gt;0,'Attrition Modeling'!$N$9,0))),0))</f>
        <v>0</v>
      </c>
      <c r="K21" s="799">
        <f>IF(K$12=$F21+1,IF(Monthly!G$4=TRUE,0,K$3),IF(K$12&gt;$F21+1,RentalsVacates!J21*(1-IF(K$12-$F21&lt;=12,SUMIFS('Attrition Modeling'!$D:$D,'Attrition Modeling'!$B:$B,$E21,'Attrition Modeling'!$C:$C,K$11),VLOOKUP(RentalsVacates!K$12-RentalsVacates!$F21-1,RentalsVacates!$A$8:$C$162,2,FALSE)*VLOOKUP(K$11,'Attrition Modeling'!$L$15:$N$27,IF(K$12-$F21&lt;=24,2,3),FALSE))*(1+IF('Traditional Attrition'!K143&gt;0,'Attrition Modeling'!$N$9,0))),0))</f>
        <v>0</v>
      </c>
      <c r="L21" s="799">
        <f>IF(L$12=$F21+1,IF(Monthly!H$4=TRUE,0,L$3),IF(L$12&gt;$F21+1,RentalsVacates!K21*(1-IF(L$12-$F21&lt;=12,SUMIFS('Attrition Modeling'!$D:$D,'Attrition Modeling'!$B:$B,$E21,'Attrition Modeling'!$C:$C,L$11),VLOOKUP(RentalsVacates!L$12-RentalsVacates!$F21-1,RentalsVacates!$A$8:$C$162,2,FALSE)*VLOOKUP(L$11,'Attrition Modeling'!$L$15:$N$27,IF(L$12-$F21&lt;=24,2,3),FALSE))*(1+IF('Traditional Attrition'!L143&gt;0,'Attrition Modeling'!$N$9,0))),0))</f>
        <v>0</v>
      </c>
      <c r="M21" s="799">
        <f>IF(M$12=$F21+1,IF(Monthly!I$4=TRUE,0,M$3),IF(M$12&gt;$F21+1,RentalsVacates!L21*(1-IF(M$12-$F21&lt;=12,SUMIFS('Attrition Modeling'!$D:$D,'Attrition Modeling'!$B:$B,$E21,'Attrition Modeling'!$C:$C,M$11),VLOOKUP(RentalsVacates!M$12-RentalsVacates!$F21-1,RentalsVacates!$A$8:$C$162,2,FALSE)*VLOOKUP(M$11,'Attrition Modeling'!$L$15:$N$27,IF(M$12-$F21&lt;=24,2,3),FALSE))*(1+IF('Traditional Attrition'!M143&gt;0,'Attrition Modeling'!$N$9,0))),0))</f>
        <v>0</v>
      </c>
      <c r="N21" s="799">
        <f>IF(N$12=$F21+1,IF(Monthly!J$4=TRUE,0,N$3),IF(N$12&gt;$F21+1,RentalsVacates!M21*(1-IF(N$12-$F21&lt;=12,SUMIFS('Attrition Modeling'!$D:$D,'Attrition Modeling'!$B:$B,$E21,'Attrition Modeling'!$C:$C,N$11),VLOOKUP(RentalsVacates!N$12-RentalsVacates!$F21-1,RentalsVacates!$A$8:$C$162,2,FALSE)*VLOOKUP(N$11,'Attrition Modeling'!$L$15:$N$27,IF(N$12-$F21&lt;=24,2,3),FALSE))*(1+IF('Traditional Attrition'!N143&gt;0,'Attrition Modeling'!$N$9,0))),0))</f>
        <v>0</v>
      </c>
      <c r="O21" s="799">
        <f>IF(O$12=$F21+1,IF(Monthly!K$4=TRUE,0,O$3),IF(O$12&gt;$F21+1,RentalsVacates!N21*(1-IF(O$12-$F21&lt;=12,SUMIFS('Attrition Modeling'!$D:$D,'Attrition Modeling'!$B:$B,$E21,'Attrition Modeling'!$C:$C,O$11),VLOOKUP(RentalsVacates!O$12-RentalsVacates!$F21-1,RentalsVacates!$A$8:$C$162,2,FALSE)*VLOOKUP(O$11,'Attrition Modeling'!$L$15:$N$27,IF(O$12-$F21&lt;=24,2,3),FALSE))*(1+IF('Traditional Attrition'!O143&gt;0,'Attrition Modeling'!$N$9,0))),0))</f>
        <v>0</v>
      </c>
      <c r="P21" s="799">
        <f>IF(P$12=$F21+1,IF(Monthly!L$4=TRUE,0,P$3),IF(P$12&gt;$F21+1,RentalsVacates!O21*(1-IF(P$12-$F21&lt;=12,SUMIFS('Attrition Modeling'!$D:$D,'Attrition Modeling'!$B:$B,$E21,'Attrition Modeling'!$C:$C,P$11),VLOOKUP(RentalsVacates!P$12-RentalsVacates!$F21-1,RentalsVacates!$A$8:$C$162,2,FALSE)*VLOOKUP(P$11,'Attrition Modeling'!$L$15:$N$27,IF(P$12-$F21&lt;=24,2,3),FALSE))*(1+IF('Traditional Attrition'!P143&gt;0,'Attrition Modeling'!$N$9,0))),0))</f>
        <v>4711.8624123583686</v>
      </c>
      <c r="Q21" s="799">
        <f>IF(Q$12=$F21+1,IF(Monthly!M$4=TRUE,0,Q$3),IF(Q$12&gt;$F21+1,RentalsVacates!P21*(1-IF(Q$12-$F21&lt;=12,SUMIFS('Attrition Modeling'!$D:$D,'Attrition Modeling'!$B:$B,$E21,'Attrition Modeling'!$C:$C,Q$11),VLOOKUP(RentalsVacates!Q$12-RentalsVacates!$F21-1,RentalsVacates!$A$8:$C$162,2,FALSE)*VLOOKUP(Q$11,'Attrition Modeling'!$L$15:$N$27,IF(Q$12-$F21&lt;=24,2,3),FALSE))*(1+IF('Traditional Attrition'!Q143&gt;0,'Attrition Modeling'!$N$9,0))),0))</f>
        <v>4197.0815488971512</v>
      </c>
      <c r="R21" s="799">
        <f>IF(R$12=$F21+1,IF(Monthly!N$4=TRUE,0,R$3),IF(R$12&gt;$F21+1,RentalsVacates!Q21*(1-IF(R$12-$F21&lt;=12,SUMIFS('Attrition Modeling'!$D:$D,'Attrition Modeling'!$B:$B,$E21,'Attrition Modeling'!$C:$C,R$11),VLOOKUP(RentalsVacates!R$12-RentalsVacates!$F21-1,RentalsVacates!$A$8:$C$162,2,FALSE)*VLOOKUP(R$11,'Attrition Modeling'!$L$15:$N$27,IF(R$12-$F21&lt;=24,2,3),FALSE))*(1+IF('Traditional Attrition'!R143&gt;0,'Attrition Modeling'!$N$9,0))),0))</f>
        <v>3819.6964285799913</v>
      </c>
      <c r="S21" s="799">
        <f>IF(S$12=$F21+1,IF(Monthly!O$4=TRUE,0,S$3),IF(S$12&gt;$F21+1,RentalsVacates!R21*(1-IF(S$12-$F21&lt;=12,SUMIFS('Attrition Modeling'!$D:$D,'Attrition Modeling'!$B:$B,$E21,'Attrition Modeling'!$C:$C,S$11),VLOOKUP(RentalsVacates!S$12-RentalsVacates!$F21-1,RentalsVacates!$A$8:$C$162,2,FALSE)*VLOOKUP(S$11,'Attrition Modeling'!$L$15:$N$27,IF(S$12-$F21&lt;=24,2,3),FALSE))*(1+IF('Traditional Attrition'!S143&gt;0,'Attrition Modeling'!$N$9,0))),0))</f>
        <v>3475.6022843563628</v>
      </c>
      <c r="T21" s="799">
        <f>IF(T$12=$F21+1,IF(Monthly!P$4=TRUE,0,T$3),IF(T$12&gt;$F21+1,RentalsVacates!S21*(1-IF(T$12-$F21&lt;=12,SUMIFS('Attrition Modeling'!$D:$D,'Attrition Modeling'!$B:$B,$E21,'Attrition Modeling'!$C:$C,T$11),VLOOKUP(RentalsVacates!T$12-RentalsVacates!$F21-1,RentalsVacates!$A$8:$C$162,2,FALSE)*VLOOKUP(T$11,'Attrition Modeling'!$L$15:$N$27,IF(T$12-$F21&lt;=24,2,3),FALSE))*(1+IF('Traditional Attrition'!T143&gt;0,'Attrition Modeling'!$N$9,0))),0))</f>
        <v>3206.1388740062371</v>
      </c>
      <c r="U21" s="799">
        <f>IF(U$12=$F21+1,IF(Monthly!Q$4=TRUE,0,U$3),IF(U$12&gt;$F21+1,RentalsVacates!T21*(1-IF(U$12-$F21&lt;=12,SUMIFS('Attrition Modeling'!$D:$D,'Attrition Modeling'!$B:$B,$E21,'Attrition Modeling'!$C:$C,U$11),VLOOKUP(RentalsVacates!U$12-RentalsVacates!$F21-1,RentalsVacates!$A$8:$C$162,2,FALSE)*VLOOKUP(U$11,'Attrition Modeling'!$L$15:$N$27,IF(U$12-$F21&lt;=24,2,3),FALSE))*(1+IF('Traditional Attrition'!U143&gt;0,'Attrition Modeling'!$N$9,0))),0))</f>
        <v>2909.8258136046998</v>
      </c>
      <c r="V21" s="799">
        <f>IF(V$12=$F21+1,IF(Monthly!R$4=TRUE,0,V$3),IF(V$12&gt;$F21+1,RentalsVacates!U21*(1-IF(V$12-$F21&lt;=12,SUMIFS('Attrition Modeling'!$D:$D,'Attrition Modeling'!$B:$B,$E21,'Attrition Modeling'!$C:$C,V$11),VLOOKUP(RentalsVacates!V$12-RentalsVacates!$F21-1,RentalsVacates!$A$8:$C$162,2,FALSE)*VLOOKUP(V$11,'Attrition Modeling'!$L$15:$N$27,IF(V$12-$F21&lt;=24,2,3),FALSE))*(1+IF('Traditional Attrition'!V143&gt;0,'Attrition Modeling'!$N$9,0))),0))</f>
        <v>2689.15460460346</v>
      </c>
      <c r="W21" s="799">
        <f>IF(W$12=$F21+1,IF(Monthly!S$4=TRUE,0,W$3),IF(W$12&gt;$F21+1,RentalsVacates!V21*(1-IF(W$12-$F21&lt;=12,SUMIFS('Attrition Modeling'!$D:$D,'Attrition Modeling'!$B:$B,$E21,'Attrition Modeling'!$C:$C,W$11),VLOOKUP(RentalsVacates!W$12-RentalsVacates!$F21-1,RentalsVacates!$A$8:$C$162,2,FALSE)*VLOOKUP(W$11,'Attrition Modeling'!$L$15:$N$27,IF(W$12-$F21&lt;=24,2,3),FALSE))*(1+IF('Traditional Attrition'!W143&gt;0,'Attrition Modeling'!$N$9,0))),0))</f>
        <v>2512.359926831798</v>
      </c>
      <c r="X21" s="799">
        <f>IF(X$12=$F21+1,IF(Monthly!T$4=TRUE,0,X$3),IF(X$12&gt;$F21+1,RentalsVacates!W21*(1-IF(X$12-$F21&lt;=12,SUMIFS('Attrition Modeling'!$D:$D,'Attrition Modeling'!$B:$B,$E21,'Attrition Modeling'!$C:$C,X$11),VLOOKUP(RentalsVacates!X$12-RentalsVacates!$F21-1,RentalsVacates!$A$8:$C$162,2,FALSE)*VLOOKUP(X$11,'Attrition Modeling'!$L$15:$N$27,IF(X$12-$F21&lt;=24,2,3),FALSE))*(1+IF('Traditional Attrition'!X143&gt;0,'Attrition Modeling'!$N$9,0))),0))</f>
        <v>2363.2912112027702</v>
      </c>
      <c r="Y21" s="799">
        <f>IF(Y$12=$F21+1,IF(Monthly!U$4=TRUE,0,Y$3),IF(Y$12&gt;$F21+1,RentalsVacates!X21*(1-IF(Y$12-$F21&lt;=12,SUMIFS('Attrition Modeling'!$D:$D,'Attrition Modeling'!$B:$B,$E21,'Attrition Modeling'!$C:$C,Y$11),VLOOKUP(RentalsVacates!Y$12-RentalsVacates!$F21-1,RentalsVacates!$A$8:$C$162,2,FALSE)*VLOOKUP(Y$11,'Attrition Modeling'!$L$15:$N$27,IF(Y$12-$F21&lt;=24,2,3),FALSE))*(1+IF('Traditional Attrition'!Y143&gt;0,'Attrition Modeling'!$N$9,0))),0))</f>
        <v>2224.387801314931</v>
      </c>
      <c r="Z21" s="799">
        <f>IF(Z$12=$F21+1,IF(Monthly!V$4=TRUE,0,Z$3),IF(Z$12&gt;$F21+1,RentalsVacates!Y21*(1-IF(Z$12-$F21&lt;=12,SUMIFS('Attrition Modeling'!$D:$D,'Attrition Modeling'!$B:$B,$E21,'Attrition Modeling'!$C:$C,Z$11),VLOOKUP(RentalsVacates!Z$12-RentalsVacates!$F21-1,RentalsVacates!$A$8:$C$162,2,FALSE)*VLOOKUP(Z$11,'Attrition Modeling'!$L$15:$N$27,IF(Z$12-$F21&lt;=24,2,3),FALSE))*(1+IF('Traditional Attrition'!Z143&gt;0,'Attrition Modeling'!$N$9,0))),0))</f>
        <v>2092.4513530228578</v>
      </c>
      <c r="AA21" s="799">
        <f>IF(AA$12=$F21+1,IF(Monthly!W$4=TRUE,0,AA$3),IF(AA$12&gt;$F21+1,RentalsVacates!Z21*(1-IF(AA$12-$F21&lt;=12,SUMIFS('Attrition Modeling'!$D:$D,'Attrition Modeling'!$B:$B,$E21,'Attrition Modeling'!$C:$C,AA$11),VLOOKUP(RentalsVacates!AA$12-RentalsVacates!$F21-1,RentalsVacates!$A$8:$C$162,2,FALSE)*VLOOKUP(AA$11,'Attrition Modeling'!$L$15:$N$27,IF(AA$12-$F21&lt;=24,2,3),FALSE))*(1+IF('Traditional Attrition'!AA143&gt;0,'Attrition Modeling'!$N$9,0))),0))</f>
        <v>2021.865205890877</v>
      </c>
      <c r="AB21" s="799">
        <f>IF(AB$12=$F21+1,IF(Monthly!X$4=TRUE,0,AB$3),IF(AB$12&gt;$F21+1,RentalsVacates!AA21*(1-IF(AB$12-$F21&lt;=12,SUMIFS('Attrition Modeling'!$D:$D,'Attrition Modeling'!$B:$B,$E21,'Attrition Modeling'!$C:$C,AB$11),VLOOKUP(RentalsVacates!AB$12-RentalsVacates!$F21-1,RentalsVacates!$A$8:$C$162,2,FALSE)*VLOOKUP(AB$11,'Attrition Modeling'!$L$15:$N$27,IF(AB$12-$F21&lt;=24,2,3),FALSE))*(1+IF('Traditional Attrition'!AB143&gt;0,'Attrition Modeling'!$N$9,0))),0))</f>
        <v>1910.200772036362</v>
      </c>
      <c r="AC21" s="799">
        <f>IF(AC$12=$F21+1,IF(Monthly!Y$4=TRUE,0,AC$3),IF(AC$12&gt;$F21+1,RentalsVacates!AB21*(1-IF(AC$12-$F21&lt;=12,SUMIFS('Attrition Modeling'!$D:$D,'Attrition Modeling'!$B:$B,$E21,'Attrition Modeling'!$C:$C,AC$11),VLOOKUP(RentalsVacates!AC$12-RentalsVacates!$F21-1,RentalsVacates!$A$8:$C$162,2,FALSE)*VLOOKUP(AC$11,'Attrition Modeling'!$L$15:$N$27,IF(AC$12-$F21&lt;=24,2,3),FALSE))*(1+IF('Traditional Attrition'!AC143&gt;0,'Attrition Modeling'!$N$9,0))),0))</f>
        <v>1810.599713688363</v>
      </c>
      <c r="AD21" s="799">
        <f>IF(AD$12=$F21+1,IF(Monthly!Z$4=TRUE,0,AD$3),IF(AD$12&gt;$F21+1,RentalsVacates!AC21*(1-IF(AD$12-$F21&lt;=12,SUMIFS('Attrition Modeling'!$D:$D,'Attrition Modeling'!$B:$B,$E21,'Attrition Modeling'!$C:$C,AD$11),VLOOKUP(RentalsVacates!AD$12-RentalsVacates!$F21-1,RentalsVacates!$A$8:$C$162,2,FALSE)*VLOOKUP(AD$11,'Attrition Modeling'!$L$15:$N$27,IF(AD$12-$F21&lt;=24,2,3),FALSE))*(1+IF('Traditional Attrition'!AD143&gt;0,'Attrition Modeling'!$N$9,0))),0))</f>
        <v>1724.2272905016905</v>
      </c>
      <c r="AE21" s="799">
        <f>IF(AE$12=$F21+1,IF(Monthly!AA$4=TRUE,0,AE$3),IF(AE$12&gt;$F21+1,RentalsVacates!AD21*(1-IF(AE$12-$F21&lt;=12,SUMIFS('Attrition Modeling'!$D:$D,'Attrition Modeling'!$B:$B,$E21,'Attrition Modeling'!$C:$C,AE$11),VLOOKUP(RentalsVacates!AE$12-RentalsVacates!$F21-1,RentalsVacates!$A$8:$C$162,2,FALSE)*VLOOKUP(AE$11,'Attrition Modeling'!$L$15:$N$27,IF(AE$12-$F21&lt;=24,2,3),FALSE))*(1+IF('Traditional Attrition'!AE143&gt;0,'Attrition Modeling'!$N$9,0))),0))</f>
        <v>1645.8123489645984</v>
      </c>
      <c r="AF21" s="799">
        <f>IF(AF$12=$F21+1,IF(Monthly!AB$4=TRUE,0,AF$3),IF(AF$12&gt;$F21+1,RentalsVacates!AE21*(1-IF(AF$12-$F21&lt;=12,SUMIFS('Attrition Modeling'!$D:$D,'Attrition Modeling'!$B:$B,$E21,'Attrition Modeling'!$C:$C,AF$11),VLOOKUP(RentalsVacates!AF$12-RentalsVacates!$F21-1,RentalsVacates!$A$8:$C$162,2,FALSE)*VLOOKUP(AF$11,'Attrition Modeling'!$L$15:$N$27,IF(AF$12-$F21&lt;=24,2,3),FALSE))*(1+IF('Traditional Attrition'!AF143&gt;0,'Attrition Modeling'!$N$9,0))),0))</f>
        <v>1573.0992572439513</v>
      </c>
      <c r="AG21" s="799">
        <f>IF(AG$12=$F21+1,IF(Monthly!AC$4=TRUE,0,AG$3),IF(AG$12&gt;$F21+1,RentalsVacates!AF21*(1-IF(AG$12-$F21&lt;=12,SUMIFS('Attrition Modeling'!$D:$D,'Attrition Modeling'!$B:$B,$E21,'Attrition Modeling'!$C:$C,AG$11),VLOOKUP(RentalsVacates!AG$12-RentalsVacates!$F21-1,RentalsVacates!$A$8:$C$162,2,FALSE)*VLOOKUP(AG$11,'Attrition Modeling'!$L$15:$N$27,IF(AG$12-$F21&lt;=24,2,3),FALSE))*(1+IF('Traditional Attrition'!AG143&gt;0,'Attrition Modeling'!$N$9,0))),0))</f>
        <v>1499.7256509968574</v>
      </c>
      <c r="AH21" s="799">
        <f>IF(AH$12=$F21+1,IF(Monthly!AD$4=TRUE,0,AH$3),IF(AH$12&gt;$F21+1,RentalsVacates!AG21*(1-IF(AH$12-$F21&lt;=12,SUMIFS('Attrition Modeling'!$D:$D,'Attrition Modeling'!$B:$B,$E21,'Attrition Modeling'!$C:$C,AH$11),VLOOKUP(RentalsVacates!AH$12-RentalsVacates!$F21-1,RentalsVacates!$A$8:$C$162,2,FALSE)*VLOOKUP(AH$11,'Attrition Modeling'!$L$15:$N$27,IF(AH$12-$F21&lt;=24,2,3),FALSE))*(1+IF('Traditional Attrition'!AH143&gt;0,'Attrition Modeling'!$N$9,0))),0))</f>
        <v>1437.6324228669037</v>
      </c>
      <c r="AI21" s="799">
        <f>IF(AI$12=$F21+1,IF(Monthly!AE$4=TRUE,0,AI$3),IF(AI$12&gt;$F21+1,RentalsVacates!AH21*(1-IF(AI$12-$F21&lt;=12,SUMIFS('Attrition Modeling'!$D:$D,'Attrition Modeling'!$B:$B,$E21,'Attrition Modeling'!$C:$C,AI$11),VLOOKUP(RentalsVacates!AI$12-RentalsVacates!$F21-1,RentalsVacates!$A$8:$C$162,2,FALSE)*VLOOKUP(AI$11,'Attrition Modeling'!$L$15:$N$27,IF(AI$12-$F21&lt;=24,2,3),FALSE))*(1+IF('Traditional Attrition'!AI143&gt;0,'Attrition Modeling'!$N$9,0))),0))</f>
        <v>1380.2203964378357</v>
      </c>
      <c r="AJ21" s="799">
        <f>IF(AJ$12=$F21+1,IF(Monthly!AF$4=TRUE,0,AJ$3),IF(AJ$12&gt;$F21+1,RentalsVacates!AI21*(1-IF(AJ$12-$F21&lt;=12,SUMIFS('Attrition Modeling'!$D:$D,'Attrition Modeling'!$B:$B,$E21,'Attrition Modeling'!$C:$C,AJ$11),VLOOKUP(RentalsVacates!AJ$12-RentalsVacates!$F21-1,RentalsVacates!$A$8:$C$162,2,FALSE)*VLOOKUP(AJ$11,'Attrition Modeling'!$L$15:$N$27,IF(AJ$12-$F21&lt;=24,2,3),FALSE))*(1+IF('Traditional Attrition'!AJ143&gt;0,'Attrition Modeling'!$N$9,0))),0))</f>
        <v>1326.4296936391663</v>
      </c>
      <c r="AK21" s="799">
        <f>IF(AK$12=$F21+1,IF(Monthly!AG$4=TRUE,0,AK$3),IF(AK$12&gt;$F21+1,RentalsVacates!AJ21*(1-IF(AK$12-$F21&lt;=12,SUMIFS('Attrition Modeling'!$D:$D,'Attrition Modeling'!$B:$B,$E21,'Attrition Modeling'!$C:$C,AK$11),VLOOKUP(RentalsVacates!AK$12-RentalsVacates!$F21-1,RentalsVacates!$A$8:$C$162,2,FALSE)*VLOOKUP(AK$11,'Attrition Modeling'!$L$15:$N$27,IF(AK$12-$F21&lt;=24,2,3),FALSE))*(1+IF('Traditional Attrition'!AK143&gt;0,'Attrition Modeling'!$N$9,0))),0))</f>
        <v>1270.558254953454</v>
      </c>
      <c r="AL21" s="799">
        <f>IF(AL$12=$F21+1,IF(Monthly!AH$4=TRUE,0,AL$3),IF(AL$12&gt;$F21+1,RentalsVacates!AK21*(1-IF(AL$12-$F21&lt;=12,SUMIFS('Attrition Modeling'!$D:$D,'Attrition Modeling'!$B:$B,$E21,'Attrition Modeling'!$C:$C,AL$11),VLOOKUP(RentalsVacates!AL$12-RentalsVacates!$F21-1,RentalsVacates!$A$8:$C$162,2,FALSE)*VLOOKUP(AL$11,'Attrition Modeling'!$L$15:$N$27,IF(AL$12-$F21&lt;=24,2,3),FALSE))*(1+IF('Traditional Attrition'!AL143&gt;0,'Attrition Modeling'!$N$9,0))),0))</f>
        <v>1216.5560931838413</v>
      </c>
      <c r="AM21" s="799">
        <f>IF(AM$12=$F21+1,IF(Monthly!AI$4=TRUE,0,AM$3),IF(AM$12&gt;$F21+1,RentalsVacates!AL21*(1-IF(AM$12-$F21&lt;=12,SUMIFS('Attrition Modeling'!$D:$D,'Attrition Modeling'!$B:$B,$E21,'Attrition Modeling'!$C:$C,AM$11),VLOOKUP(RentalsVacates!AM$12-RentalsVacates!$F21-1,RentalsVacates!$A$8:$C$162,2,FALSE)*VLOOKUP(AM$11,'Attrition Modeling'!$L$15:$N$27,IF(AM$12-$F21&lt;=24,2,3),FALSE))*(1+IF('Traditional Attrition'!AM143&gt;0,'Attrition Modeling'!$N$9,0))),0))</f>
        <v>1163.2767325093555</v>
      </c>
      <c r="AN21" s="799">
        <f>IF(AN$12=$F21+1,IF(Monthly!AJ$4=TRUE,0,AN$3),IF(AN$12&gt;$F21+1,RentalsVacates!AM21*(1-IF(AN$12-$F21&lt;=12,SUMIFS('Attrition Modeling'!$D:$D,'Attrition Modeling'!$B:$B,$E21,'Attrition Modeling'!$C:$C,AN$11),VLOOKUP(RentalsVacates!AN$12-RentalsVacates!$F21-1,RentalsVacates!$A$8:$C$162,2,FALSE)*VLOOKUP(AN$11,'Attrition Modeling'!$L$15:$N$27,IF(AN$12-$F21&lt;=24,2,3),FALSE))*(1+IF('Traditional Attrition'!AN143&gt;0,'Attrition Modeling'!$N$9,0))),0))</f>
        <v>1115.4204016595104</v>
      </c>
      <c r="AO21" s="799">
        <f>IF(AO$12=$F21+1,IF(Monthly!AK$4=TRUE,0,AO$3),IF(AO$12&gt;$F21+1,RentalsVacates!AN21*(1-IF(AO$12-$F21&lt;=12,SUMIFS('Attrition Modeling'!$D:$D,'Attrition Modeling'!$B:$B,$E21,'Attrition Modeling'!$C:$C,AO$11),VLOOKUP(RentalsVacates!AO$12-RentalsVacates!$F21-1,RentalsVacates!$A$8:$C$162,2,FALSE)*VLOOKUP(AO$11,'Attrition Modeling'!$L$15:$N$27,IF(AO$12-$F21&lt;=24,2,3),FALSE))*(1+IF('Traditional Attrition'!AO143&gt;0,'Attrition Modeling'!$N$9,0))),0))</f>
        <v>1071.7297225264306</v>
      </c>
      <c r="AP21" s="799">
        <f>IF(AP$12=$F21+1,IF(Monthly!AL$4=TRUE,0,AP$3),IF(AP$12&gt;$F21+1,RentalsVacates!AO21*(1-IF(AP$12-$F21&lt;=12,SUMIFS('Attrition Modeling'!$D:$D,'Attrition Modeling'!$B:$B,$E21,'Attrition Modeling'!$C:$C,AP$11),VLOOKUP(RentalsVacates!AP$12-RentalsVacates!$F21-1,RentalsVacates!$A$8:$C$162,2,FALSE)*VLOOKUP(AP$11,'Attrition Modeling'!$L$15:$N$27,IF(AP$12-$F21&lt;=24,2,3),FALSE))*(1+IF('Traditional Attrition'!AP143&gt;0,'Attrition Modeling'!$N$9,0))),0))</f>
        <v>1031.2549241953443</v>
      </c>
      <c r="AQ21" s="799">
        <f>IF(AQ$12=$F21+1,IF(Monthly!AM$4=TRUE,0,AQ$3),IF(AQ$12&gt;$F21+1,RentalsVacates!AP21*(1-IF(AQ$12-$F21&lt;=12,SUMIFS('Attrition Modeling'!$D:$D,'Attrition Modeling'!$B:$B,$E21,'Attrition Modeling'!$C:$C,AQ$11),VLOOKUP(RentalsVacates!AQ$12-RentalsVacates!$F21-1,RentalsVacates!$A$8:$C$162,2,FALSE)*VLOOKUP(AQ$11,'Attrition Modeling'!$L$15:$N$27,IF(AQ$12-$F21&lt;=24,2,3),FALSE))*(1+IF('Traditional Attrition'!AQ143&gt;0,'Attrition Modeling'!$N$9,0))),0))</f>
        <v>999.5836412789746</v>
      </c>
      <c r="AR21" s="799">
        <f>IF(AR$12=$F21+1,IF(Monthly!AN$4=TRUE,0,AR$3),IF(AR$12&gt;$F21+1,RentalsVacates!AQ21*(1-IF(AR$12-$F21&lt;=12,SUMIFS('Attrition Modeling'!$D:$D,'Attrition Modeling'!$B:$B,$E21,'Attrition Modeling'!$C:$C,AR$11),VLOOKUP(RentalsVacates!AR$12-RentalsVacates!$F21-1,RentalsVacates!$A$8:$C$162,2,FALSE)*VLOOKUP(AR$11,'Attrition Modeling'!$L$15:$N$27,IF(AR$12-$F21&lt;=24,2,3),FALSE))*(1+IF('Traditional Attrition'!AR143&gt;0,'Attrition Modeling'!$N$9,0))),0))</f>
        <v>966.03378984283438</v>
      </c>
      <c r="AS21" s="799">
        <f>IF(AS$12=$F21+1,IF(Monthly!AO$4=TRUE,0,AS$3),IF(AS$12&gt;$F21+1,RentalsVacates!AR21*(1-IF(AS$12-$F21&lt;=12,SUMIFS('Attrition Modeling'!$D:$D,'Attrition Modeling'!$B:$B,$E21,'Attrition Modeling'!$C:$C,AS$11),VLOOKUP(RentalsVacates!AS$12-RentalsVacates!$F21-1,RentalsVacates!$A$8:$C$162,2,FALSE)*VLOOKUP(AS$11,'Attrition Modeling'!$L$15:$N$27,IF(AS$12-$F21&lt;=24,2,3),FALSE))*(1+IF('Traditional Attrition'!AS143&gt;0,'Attrition Modeling'!$N$9,0))),0))</f>
        <v>928.81844124971781</v>
      </c>
      <c r="AT21" s="799">
        <f>IF(AT$12=$F21+1,IF(Monthly!AP$4=TRUE,0,AT$3),IF(AT$12&gt;$F21+1,RentalsVacates!AS21*(1-IF(AT$12-$F21&lt;=12,SUMIFS('Attrition Modeling'!$D:$D,'Attrition Modeling'!$B:$B,$E21,'Attrition Modeling'!$C:$C,AT$11),VLOOKUP(RentalsVacates!AT$12-RentalsVacates!$F21-1,RentalsVacates!$A$8:$C$162,2,FALSE)*VLOOKUP(AT$11,'Attrition Modeling'!$L$15:$N$27,IF(AT$12-$F21&lt;=24,2,3),FALSE))*(1+IF('Traditional Attrition'!AT143&gt;0,'Attrition Modeling'!$N$9,0))),0))</f>
        <v>900.60361287962553</v>
      </c>
      <c r="AU21" s="799">
        <f>IF(AU$12=$F21+1,IF(Monthly!AQ$4=TRUE,0,AU$3),IF(AU$12&gt;$F21+1,RentalsVacates!AT21*(1-IF(AU$12-$F21&lt;=12,SUMIFS('Attrition Modeling'!$D:$D,'Attrition Modeling'!$B:$B,$E21,'Attrition Modeling'!$C:$C,AU$11),VLOOKUP(RentalsVacates!AU$12-RentalsVacates!$F21-1,RentalsVacates!$A$8:$C$162,2,FALSE)*VLOOKUP(AU$11,'Attrition Modeling'!$L$15:$N$27,IF(AU$12-$F21&lt;=24,2,3),FALSE))*(1+IF('Traditional Attrition'!AU143&gt;0,'Attrition Modeling'!$N$9,0))),0))</f>
        <v>879.10747829162517</v>
      </c>
      <c r="AV21" s="799">
        <f>IF(AV$12=$F21+1,IF(Monthly!AR$4=TRUE,0,AV$3),IF(AV$12&gt;$F21+1,RentalsVacates!AU21*(1-IF(AV$12-$F21&lt;=12,SUMIFS('Attrition Modeling'!$D:$D,'Attrition Modeling'!$B:$B,$E21,'Attrition Modeling'!$C:$C,AV$11),VLOOKUP(RentalsVacates!AV$12-RentalsVacates!$F21-1,RentalsVacates!$A$8:$C$162,2,FALSE)*VLOOKUP(AV$11,'Attrition Modeling'!$L$15:$N$27,IF(AV$12-$F21&lt;=24,2,3),FALSE))*(1+IF('Traditional Attrition'!AV143&gt;0,'Attrition Modeling'!$N$9,0))),0))</f>
        <v>854.07223019978903</v>
      </c>
      <c r="AW21" s="799">
        <f>IF(AW$12=$F21+1,IF(Monthly!AS$4=TRUE,0,AW$3),IF(AW$12&gt;$F21+1,RentalsVacates!AV21*(1-IF(AW$12-$F21&lt;=12,SUMIFS('Attrition Modeling'!$D:$D,'Attrition Modeling'!$B:$B,$E21,'Attrition Modeling'!$C:$C,AW$11),VLOOKUP(RentalsVacates!AW$12-RentalsVacates!$F21-1,RentalsVacates!$A$8:$C$162,2,FALSE)*VLOOKUP(AW$11,'Attrition Modeling'!$L$15:$N$27,IF(AW$12-$F21&lt;=24,2,3),FALSE))*(1+IF('Traditional Attrition'!AW143&gt;0,'Attrition Modeling'!$N$9,0))),0))</f>
        <v>826.63184171392618</v>
      </c>
      <c r="AX21" s="799">
        <f>IF(AX$12=$F21+1,IF(Monthly!AT$4=TRUE,0,AX$3),IF(AX$12&gt;$F21+1,RentalsVacates!AW21*(1-IF(AX$12-$F21&lt;=12,SUMIFS('Attrition Modeling'!$D:$D,'Attrition Modeling'!$B:$B,$E21,'Attrition Modeling'!$C:$C,AX$11),VLOOKUP(RentalsVacates!AX$12-RentalsVacates!$F21-1,RentalsVacates!$A$8:$C$162,2,FALSE)*VLOOKUP(AX$11,'Attrition Modeling'!$L$15:$N$27,IF(AX$12-$F21&lt;=24,2,3),FALSE))*(1+IF('Traditional Attrition'!AX143&gt;0,'Attrition Modeling'!$N$9,0))),0))</f>
        <v>798.02073966625346</v>
      </c>
      <c r="AY21" s="799">
        <f>IF(AY$12=$F21+1,IF(Monthly!AU$4=TRUE,0,AY$3),IF(AY$12&gt;$F21+1,RentalsVacates!AX21*(1-IF(AY$12-$F21&lt;=12,SUMIFS('Attrition Modeling'!$D:$D,'Attrition Modeling'!$B:$B,$E21,'Attrition Modeling'!$C:$C,AY$11),VLOOKUP(RentalsVacates!AY$12-RentalsVacates!$F21-1,RentalsVacates!$A$8:$C$162,2,FALSE)*VLOOKUP(AY$11,'Attrition Modeling'!$L$15:$N$27,IF(AY$12-$F21&lt;=24,2,3),FALSE))*(1+IF('Traditional Attrition'!AY143&gt;0,'Attrition Modeling'!$N$9,0))),0))</f>
        <v>768.68690338129113</v>
      </c>
      <c r="AZ21" s="799">
        <f>IF(AZ$12=$F21+1,IF(Monthly!AV$4=TRUE,0,AZ$3),IF(AZ$12&gt;$F21+1,RentalsVacates!AY21*(1-IF(AZ$12-$F21&lt;=12,SUMIFS('Attrition Modeling'!$D:$D,'Attrition Modeling'!$B:$B,$E21,'Attrition Modeling'!$C:$C,AZ$11),VLOOKUP(RentalsVacates!AZ$12-RentalsVacates!$F21-1,RentalsVacates!$A$8:$C$162,2,FALSE)*VLOOKUP(AZ$11,'Attrition Modeling'!$L$15:$N$27,IF(AZ$12-$F21&lt;=24,2,3),FALSE))*(1+IF('Traditional Attrition'!AZ143&gt;0,'Attrition Modeling'!$N$9,0))),0))</f>
        <v>742.43930656099894</v>
      </c>
      <c r="BA21" s="799">
        <f>IF(BA$12=$F21+1,IF(Monthly!AW$4=TRUE,0,BA$3),IF(BA$12&gt;$F21+1,RentalsVacates!AZ21*(1-IF(BA$12-$F21&lt;=12,SUMIFS('Attrition Modeling'!$D:$D,'Attrition Modeling'!$B:$B,$E21,'Attrition Modeling'!$C:$C,BA$11),VLOOKUP(RentalsVacates!BA$12-RentalsVacates!$F21-1,RentalsVacates!$A$8:$C$162,2,FALSE)*VLOOKUP(BA$11,'Attrition Modeling'!$L$15:$N$27,IF(BA$12-$F21&lt;=24,2,3),FALSE))*(1+IF('Traditional Attrition'!BA143&gt;0,'Attrition Modeling'!$N$9,0))),0))</f>
        <v>718.22123590891522</v>
      </c>
      <c r="BB21" s="799">
        <f>IF(BB$12=$F21+1,IF(Monthly!AX$4=TRUE,0,BB$3),IF(BB$12&gt;$F21+1,RentalsVacates!BA21*(1-IF(BB$12-$F21&lt;=12,SUMIFS('Attrition Modeling'!$D:$D,'Attrition Modeling'!$B:$B,$E21,'Attrition Modeling'!$C:$C,BB$11),VLOOKUP(RentalsVacates!BB$12-RentalsVacates!$F21-1,RentalsVacates!$A$8:$C$162,2,FALSE)*VLOOKUP(BB$11,'Attrition Modeling'!$L$15:$N$27,IF(BB$12-$F21&lt;=24,2,3),FALSE))*(1+IF('Traditional Attrition'!BB143&gt;0,'Attrition Modeling'!$N$9,0))),0))</f>
        <v>695.56227973100886</v>
      </c>
      <c r="BC21" s="799">
        <f>IF(BC$12=$F21+1,IF(Monthly!AY$4=TRUE,0,BC$3),IF(BC$12&gt;$F21+1,RentalsVacates!BB21*(1-IF(BC$12-$F21&lt;=12,SUMIFS('Attrition Modeling'!$D:$D,'Attrition Modeling'!$B:$B,$E21,'Attrition Modeling'!$C:$C,BC$11),VLOOKUP(RentalsVacates!BC$12-RentalsVacates!$F21-1,RentalsVacates!$A$8:$C$162,2,FALSE)*VLOOKUP(BC$11,'Attrition Modeling'!$L$15:$N$27,IF(BC$12-$F21&lt;=24,2,3),FALSE))*(1+IF('Traditional Attrition'!BC143&gt;0,'Attrition Modeling'!$N$9,0))),0))</f>
        <v>677.66492072035203</v>
      </c>
      <c r="BD21" s="799">
        <f>IF(BD$12=$F21+1,IF(Monthly!AZ$4=TRUE,0,BD$3),IF(BD$12&gt;$F21+1,RentalsVacates!BC21*(1-IF(BD$12-$F21&lt;=12,SUMIFS('Attrition Modeling'!$D:$D,'Attrition Modeling'!$B:$B,$E21,'Attrition Modeling'!$C:$C,BD$11),VLOOKUP(RentalsVacates!BD$12-RentalsVacates!$F21-1,RentalsVacates!$A$8:$C$162,2,FALSE)*VLOOKUP(BD$11,'Attrition Modeling'!$L$15:$N$27,IF(BD$12-$F21&lt;=24,2,3),FALSE))*(1+IF('Traditional Attrition'!BD143&gt;0,'Attrition Modeling'!$N$9,0))),0))</f>
        <v>658.55604678299994</v>
      </c>
      <c r="BE21" s="799">
        <f>IF(BE$12=$F21+1,IF(Monthly!BA$4=TRUE,0,BE$3),IF(BE$12&gt;$F21+1,RentalsVacates!BD21*(1-IF(BE$12-$F21&lt;=12,SUMIFS('Attrition Modeling'!$D:$D,'Attrition Modeling'!$B:$B,$E21,'Attrition Modeling'!$C:$C,BE$11),VLOOKUP(RentalsVacates!BE$12-RentalsVacates!$F21-1,RentalsVacates!$A$8:$C$162,2,FALSE)*VLOOKUP(BE$11,'Attrition Modeling'!$L$15:$N$27,IF(BE$12-$F21&lt;=24,2,3),FALSE))*(1+IF('Traditional Attrition'!BE143&gt;0,'Attrition Modeling'!$N$9,0))),0))</f>
        <v>637.18641880261043</v>
      </c>
      <c r="BF21" s="799">
        <f>IF(BF$12=$F21+1,IF(Monthly!BB$4=TRUE,0,BF$3),IF(BF$12&gt;$F21+1,RentalsVacates!BE21*(1-IF(BF$12-$F21&lt;=12,SUMIFS('Attrition Modeling'!$D:$D,'Attrition Modeling'!$B:$B,$E21,'Attrition Modeling'!$C:$C,BF$11),VLOOKUP(RentalsVacates!BF$12-RentalsVacates!$F21-1,RentalsVacates!$A$8:$C$162,2,FALSE)*VLOOKUP(BF$11,'Attrition Modeling'!$L$15:$N$27,IF(BF$12-$F21&lt;=24,2,3),FALSE))*(1+IF('Traditional Attrition'!BF143&gt;0,'Attrition Modeling'!$N$9,0))),0))</f>
        <v>620.84275586376691</v>
      </c>
      <c r="BG21" s="799">
        <f>IF(BG$12=$F21+1,IF(Monthly!BC$4=TRUE,0,BG$3),IF(BG$12&gt;$F21+1,RentalsVacates!BF21*(1-IF(BG$12-$F21&lt;=12,SUMIFS('Attrition Modeling'!$D:$D,'Attrition Modeling'!$B:$B,$E21,'Attrition Modeling'!$C:$C,BG$11),VLOOKUP(RentalsVacates!BG$12-RentalsVacates!$F21-1,RentalsVacates!$A$8:$C$162,2,FALSE)*VLOOKUP(BG$11,'Attrition Modeling'!$L$15:$N$27,IF(BG$12-$F21&lt;=24,2,3),FALSE))*(1+IF('Traditional Attrition'!BG143&gt;0,'Attrition Modeling'!$N$9,0))),0))</f>
        <v>608.30131449947385</v>
      </c>
      <c r="BH21" s="799">
        <f>IF(BH$12=$F21+1,IF(Monthly!BD$4=TRUE,0,BH$3),IF(BH$12&gt;$F21+1,RentalsVacates!BG21*(1-IF(BH$12-$F21&lt;=12,SUMIFS('Attrition Modeling'!$D:$D,'Attrition Modeling'!$B:$B,$E21,'Attrition Modeling'!$C:$C,BH$11),VLOOKUP(RentalsVacates!BH$12-RentalsVacates!$F21-1,RentalsVacates!$A$8:$C$162,2,FALSE)*VLOOKUP(BH$11,'Attrition Modeling'!$L$15:$N$27,IF(BH$12-$F21&lt;=24,2,3),FALSE))*(1+IF('Traditional Attrition'!BH143&gt;0,'Attrition Modeling'!$N$9,0))),0))</f>
        <v>593.60812497830955</v>
      </c>
      <c r="BI21" s="799">
        <f>IF(BI$12=$F21+1,IF(Monthly!BE$4=TRUE,0,BI$3),IF(BI$12&gt;$F21+1,RentalsVacates!BH21*(1-IF(BI$12-$F21&lt;=12,SUMIFS('Attrition Modeling'!$D:$D,'Attrition Modeling'!$B:$B,$E21,'Attrition Modeling'!$C:$C,BI$11),VLOOKUP(RentalsVacates!BI$12-RentalsVacates!$F21-1,RentalsVacates!$A$8:$C$162,2,FALSE)*VLOOKUP(BI$11,'Attrition Modeling'!$L$15:$N$27,IF(BI$12-$F21&lt;=24,2,3),FALSE))*(1+IF('Traditional Attrition'!BI143&gt;0,'Attrition Modeling'!$N$9,0))),0))</f>
        <v>577.39821771792697</v>
      </c>
      <c r="BJ21" s="799">
        <f>IF(BJ$12=$F21+1,IF(Monthly!BF$4=TRUE,0,BJ$3),IF(BJ$12&gt;$F21+1,RentalsVacates!BI21*(1-IF(BJ$12-$F21&lt;=12,SUMIFS('Attrition Modeling'!$D:$D,'Attrition Modeling'!$B:$B,$E21,'Attrition Modeling'!$C:$C,BJ$11),VLOOKUP(RentalsVacates!BJ$12-RentalsVacates!$F21-1,RentalsVacates!$A$8:$C$162,2,FALSE)*VLOOKUP(BJ$11,'Attrition Modeling'!$L$15:$N$27,IF(BJ$12-$F21&lt;=24,2,3),FALSE))*(1+IF('Traditional Attrition'!BJ143&gt;0,'Attrition Modeling'!$N$9,0))),0))</f>
        <v>560.3792374263295</v>
      </c>
      <c r="BK21" s="799">
        <f>IF(BK$12=$F21+1,IF(Monthly!BG$4=TRUE,0,BK$3),IF(BK$12&gt;$F21+1,RentalsVacates!BJ21*(1-IF(BK$12-$F21&lt;=12,SUMIFS('Attrition Modeling'!$D:$D,'Attrition Modeling'!$B:$B,$E21,'Attrition Modeling'!$C:$C,BK$11),VLOOKUP(RentalsVacates!BK$12-RentalsVacates!$F21-1,RentalsVacates!$A$8:$C$162,2,FALSE)*VLOOKUP(BK$11,'Attrition Modeling'!$L$15:$N$27,IF(BK$12-$F21&lt;=24,2,3),FALSE))*(1+IF('Traditional Attrition'!BK143&gt;0,'Attrition Modeling'!$N$9,0))),0))</f>
        <v>542.80489206932339</v>
      </c>
      <c r="BL21" s="799">
        <f>IF(BL$12=$F21+1,IF(Monthly!BH$4=TRUE,0,BL$3),IF(BL$12&gt;$F21+1,RentalsVacates!BK21*(1-IF(BL$12-$F21&lt;=12,SUMIFS('Attrition Modeling'!$D:$D,'Attrition Modeling'!$B:$B,$E21,'Attrition Modeling'!$C:$C,BL$11),VLOOKUP(RentalsVacates!BL$12-RentalsVacates!$F21-1,RentalsVacates!$A$8:$C$162,2,FALSE)*VLOOKUP(BL$11,'Attrition Modeling'!$L$15:$N$27,IF(BL$12-$F21&lt;=24,2,3),FALSE))*(1+IF('Traditional Attrition'!BL143&gt;0,'Attrition Modeling'!$N$9,0))),0))</f>
        <v>527.06998229479962</v>
      </c>
      <c r="BM21" s="799">
        <f>IF(BM$12=$F21+1,IF(Monthly!BI$4=TRUE,0,BM$3),IF(BM$12&gt;$F21+1,RentalsVacates!BL21*(1-IF(BM$12-$F21&lt;=12,SUMIFS('Attrition Modeling'!$D:$D,'Attrition Modeling'!$B:$B,$E21,'Attrition Modeling'!$C:$C,BM$11),VLOOKUP(RentalsVacates!BM$12-RentalsVacates!$F21-1,RentalsVacates!$A$8:$C$162,2,FALSE)*VLOOKUP(BM$11,'Attrition Modeling'!$L$15:$N$27,IF(BM$12-$F21&lt;=24,2,3),FALSE))*(1+IF('Traditional Attrition'!BM143&gt;0,'Attrition Modeling'!$N$9,0))),0))</f>
        <v>512.4520942771702</v>
      </c>
      <c r="BN21" s="799">
        <f>IF(BN$12=$F21+1,IF(Monthly!BJ$4=TRUE,0,BN$3),IF(BN$12&gt;$F21+1,RentalsVacates!BM21*(1-IF(BN$12-$F21&lt;=12,SUMIFS('Attrition Modeling'!$D:$D,'Attrition Modeling'!$B:$B,$E21,'Attrition Modeling'!$C:$C,BN$11),VLOOKUP(RentalsVacates!BN$12-RentalsVacates!$F21-1,RentalsVacates!$A$8:$C$162,2,FALSE)*VLOOKUP(BN$11,'Attrition Modeling'!$L$15:$N$27,IF(BN$12-$F21&lt;=24,2,3),FALSE))*(1+IF('Traditional Attrition'!BN143&gt;0,'Attrition Modeling'!$N$9,0))),0))</f>
        <v>498.68653328917844</v>
      </c>
      <c r="BO21" s="799">
        <f>IF(BO$12=$F21+1,IF(Monthly!BK$4=TRUE,0,BO$3),IF(BO$12&gt;$F21+1,RentalsVacates!BN21*(1-IF(BO$12-$F21&lt;=12,SUMIFS('Attrition Modeling'!$D:$D,'Attrition Modeling'!$B:$B,$E21,'Attrition Modeling'!$C:$C,BO$11),VLOOKUP(RentalsVacates!BO$12-RentalsVacates!$F21-1,RentalsVacates!$A$8:$C$162,2,FALSE)*VLOOKUP(BO$11,'Attrition Modeling'!$L$15:$N$27,IF(BO$12-$F21&lt;=24,2,3),FALSE))*(1+IF('Traditional Attrition'!BO143&gt;0,'Attrition Modeling'!$N$9,0))),0))</f>
        <v>487.74629290971831</v>
      </c>
      <c r="BP21" s="799">
        <f>IF(BP$12=$F21+1,IF(Monthly!BL$4=TRUE,0,BP$3),IF(BP$12&gt;$F21+1,RentalsVacates!BO21*(1-IF(BP$12-$F21&lt;=12,SUMIFS('Attrition Modeling'!$D:$D,'Attrition Modeling'!$B:$B,$E21,'Attrition Modeling'!$C:$C,BP$11),VLOOKUP(RentalsVacates!BP$12-RentalsVacates!$F21-1,RentalsVacates!$A$8:$C$162,2,FALSE)*VLOOKUP(BP$11,'Attrition Modeling'!$L$15:$N$27,IF(BP$12-$F21&lt;=24,2,3),FALSE))*(1+IF('Traditional Attrition'!BP143&gt;0,'Attrition Modeling'!$N$9,0))),0))</f>
        <v>476.00500430741278</v>
      </c>
      <c r="BQ21" s="799">
        <f>IF(BQ$12=$F21+1,IF(Monthly!BM$4=TRUE,0,BQ$3),IF(BQ$12&gt;$F21+1,RentalsVacates!BP21*(1-IF(BQ$12-$F21&lt;=12,SUMIFS('Attrition Modeling'!$D:$D,'Attrition Modeling'!$B:$B,$E21,'Attrition Modeling'!$C:$C,BQ$11),VLOOKUP(RentalsVacates!BQ$12-RentalsVacates!$F21-1,RentalsVacates!$A$8:$C$162,2,FALSE)*VLOOKUP(BQ$11,'Attrition Modeling'!$L$15:$N$27,IF(BQ$12-$F21&lt;=24,2,3),FALSE))*(1+IF('Traditional Attrition'!BQ143&gt;0,'Attrition Modeling'!$N$9,0))),0))</f>
        <v>465.00326105029029</v>
      </c>
      <c r="BR21" s="799">
        <f>IF(BR$12=$F21+1,IF(Monthly!BN$4=TRUE,0,BR$3),IF(BR$12&gt;$F21+1,RentalsVacates!BQ21*(1-IF(BR$12-$F21&lt;=12,SUMIFS('Attrition Modeling'!$D:$D,'Attrition Modeling'!$B:$B,$E21,'Attrition Modeling'!$C:$C,BR$11),VLOOKUP(RentalsVacates!BR$12-RentalsVacates!$F21-1,RentalsVacates!$A$8:$C$162,2,FALSE)*VLOOKUP(BR$11,'Attrition Modeling'!$L$15:$N$27,IF(BR$12-$F21&lt;=24,2,3),FALSE))*(1+IF('Traditional Attrition'!BR143&gt;0,'Attrition Modeling'!$N$9,0))),0))</f>
        <v>454.79709068440951</v>
      </c>
      <c r="BS21" s="799">
        <f>IF(BS$12=$F21+1,IF(Monthly!BO$4=TRUE,0,BS$3),IF(BS$12&gt;$F21+1,RentalsVacates!BR21*(1-IF(BS$12-$F21&lt;=12,SUMIFS('Attrition Modeling'!$D:$D,'Attrition Modeling'!$B:$B,$E21,'Attrition Modeling'!$C:$C,BS$11),VLOOKUP(RentalsVacates!BS$12-RentalsVacates!$F21-1,RentalsVacates!$A$8:$C$162,2,FALSE)*VLOOKUP(BS$11,'Attrition Modeling'!$L$15:$N$27,IF(BS$12-$F21&lt;=24,2,3),FALSE))*(1+IF('Traditional Attrition'!BS143&gt;0,'Attrition Modeling'!$N$9,0))),0))</f>
        <v>446.92704062662619</v>
      </c>
      <c r="BT21" s="799">
        <f>IF(BT$11=$F20+1,IF(Monthly!#REF!=TRUE,0,BT$3),IF(BT$11&gt;$F20+1,RentalsVacates!BS20*(1-IF(BT$11-$F20&lt;=12,SUMIFS('Attrition Modeling'!$D:$D,'Attrition Modeling'!$B:$B,$E20,'Attrition Modeling'!$C:$C,BT$10),VLOOKUP(RentalsVacates!BT$11-RentalsVacates!$F20-1,RentalsVacates!$A$7:$C$161,2,FALSE)*VLOOKUP(BT$10,'Attrition Modeling'!$L$15:$N$27,IF(BT$11-$F20&lt;=24,2,3),FALSE))*(1+IF('Traditional Attrition'!BT143&gt;0,'Attrition Modeling'!$N$9,0))),0))</f>
        <v>0</v>
      </c>
      <c r="BU21" s="799">
        <f>IF(BU$11=$F20+1,IF(Monthly!#REF!=TRUE,0,BU$3),IF(BU$11&gt;$F20+1,RentalsVacates!BT20*(1-IF(BU$11-$F20&lt;=12,SUMIFS('Attrition Modeling'!$D:$D,'Attrition Modeling'!$B:$B,$E20,'Attrition Modeling'!$C:$C,BU$10),VLOOKUP(RentalsVacates!BU$11-RentalsVacates!$F20-1,RentalsVacates!$A$7:$C$161,2,FALSE)*VLOOKUP(BU$10,'Attrition Modeling'!$L$15:$N$27,IF(BU$11-$F20&lt;=24,2,3),FALSE))*(1+IF('Traditional Attrition'!BU143&gt;0,'Attrition Modeling'!$N$9,0))),0))</f>
        <v>0</v>
      </c>
    </row>
    <row r="22" spans="1:73" ht="14.25" customHeight="1" x14ac:dyDescent="0.2">
      <c r="A22" s="9">
        <v>14</v>
      </c>
      <c r="B22" s="25">
        <f>MAX('Attrition Modeling'!H18,$C$3)*(1-Summary!$C$20)</f>
        <v>4.78253472933763E-2</v>
      </c>
      <c r="C22" s="24" t="e">
        <f t="shared" si="2"/>
        <v>#DIV/0!</v>
      </c>
      <c r="E22" s="11">
        <f>'Traditional Attrition'!E79</f>
        <v>9</v>
      </c>
      <c r="F22" s="11">
        <f t="shared" si="4"/>
        <v>9</v>
      </c>
      <c r="G22" s="799"/>
      <c r="H22" s="799">
        <f>IF(H$12=$F22+1,IF(Monthly!D$4=TRUE,0,H$3),IF(H$12&gt;$F22+1,RentalsVacates!G22*(1-IF(H$12-$F22&lt;=12,SUMIFS('Attrition Modeling'!$D:$D,'Attrition Modeling'!$B:$B,$E22,'Attrition Modeling'!$C:$C,H$11),VLOOKUP(RentalsVacates!H$12-RentalsVacates!$F22-1,RentalsVacates!$A$8:$C$162,2,FALSE)*VLOOKUP(H$11,'Attrition Modeling'!$L$15:$N$27,IF(H$12-$F22&lt;=24,2,3),FALSE))*(1+IF('Traditional Attrition'!H144&gt;0,'Attrition Modeling'!$N$9,0))),0))</f>
        <v>0</v>
      </c>
      <c r="I22" s="799">
        <f>IF(I$12=$F22+1,IF(Monthly!E$4=TRUE,0,I$3),IF(I$12&gt;$F22+1,RentalsVacates!H22*(1-IF(I$12-$F22&lt;=12,SUMIFS('Attrition Modeling'!$D:$D,'Attrition Modeling'!$B:$B,$E22,'Attrition Modeling'!$C:$C,I$11),VLOOKUP(RentalsVacates!I$12-RentalsVacates!$F22-1,RentalsVacates!$A$8:$C$162,2,FALSE)*VLOOKUP(I$11,'Attrition Modeling'!$L$15:$N$27,IF(I$12-$F22&lt;=24,2,3),FALSE))*(1+IF('Traditional Attrition'!I144&gt;0,'Attrition Modeling'!$N$9,0))),0))</f>
        <v>0</v>
      </c>
      <c r="J22" s="799">
        <f>IF(J$12=$F22+1,IF(Monthly!F$4=TRUE,0,J$3),IF(J$12&gt;$F22+1,RentalsVacates!I22*(1-IF(J$12-$F22&lt;=12,SUMIFS('Attrition Modeling'!$D:$D,'Attrition Modeling'!$B:$B,$E22,'Attrition Modeling'!$C:$C,J$11),VLOOKUP(RentalsVacates!J$12-RentalsVacates!$F22-1,RentalsVacates!$A$8:$C$162,2,FALSE)*VLOOKUP(J$11,'Attrition Modeling'!$L$15:$N$27,IF(J$12-$F22&lt;=24,2,3),FALSE))*(1+IF('Traditional Attrition'!J144&gt;0,'Attrition Modeling'!$N$9,0))),0))</f>
        <v>0</v>
      </c>
      <c r="K22" s="799">
        <f>IF(K$12=$F22+1,IF(Monthly!G$4=TRUE,0,K$3),IF(K$12&gt;$F22+1,RentalsVacates!J22*(1-IF(K$12-$F22&lt;=12,SUMIFS('Attrition Modeling'!$D:$D,'Attrition Modeling'!$B:$B,$E22,'Attrition Modeling'!$C:$C,K$11),VLOOKUP(RentalsVacates!K$12-RentalsVacates!$F22-1,RentalsVacates!$A$8:$C$162,2,FALSE)*VLOOKUP(K$11,'Attrition Modeling'!$L$15:$N$27,IF(K$12-$F22&lt;=24,2,3),FALSE))*(1+IF('Traditional Attrition'!K144&gt;0,'Attrition Modeling'!$N$9,0))),0))</f>
        <v>0</v>
      </c>
      <c r="L22" s="799">
        <f>IF(L$12=$F22+1,IF(Monthly!H$4=TRUE,0,L$3),IF(L$12&gt;$F22+1,RentalsVacates!K22*(1-IF(L$12-$F22&lt;=12,SUMIFS('Attrition Modeling'!$D:$D,'Attrition Modeling'!$B:$B,$E22,'Attrition Modeling'!$C:$C,L$11),VLOOKUP(RentalsVacates!L$12-RentalsVacates!$F22-1,RentalsVacates!$A$8:$C$162,2,FALSE)*VLOOKUP(L$11,'Attrition Modeling'!$L$15:$N$27,IF(L$12-$F22&lt;=24,2,3),FALSE))*(1+IF('Traditional Attrition'!L144&gt;0,'Attrition Modeling'!$N$9,0))),0))</f>
        <v>0</v>
      </c>
      <c r="M22" s="799">
        <f>IF(M$12=$F22+1,IF(Monthly!I$4=TRUE,0,M$3),IF(M$12&gt;$F22+1,RentalsVacates!L22*(1-IF(M$12-$F22&lt;=12,SUMIFS('Attrition Modeling'!$D:$D,'Attrition Modeling'!$B:$B,$E22,'Attrition Modeling'!$C:$C,M$11),VLOOKUP(RentalsVacates!M$12-RentalsVacates!$F22-1,RentalsVacates!$A$8:$C$162,2,FALSE)*VLOOKUP(M$11,'Attrition Modeling'!$L$15:$N$27,IF(M$12-$F22&lt;=24,2,3),FALSE))*(1+IF('Traditional Attrition'!M144&gt;0,'Attrition Modeling'!$N$9,0))),0))</f>
        <v>0</v>
      </c>
      <c r="N22" s="799">
        <f>IF(N$12=$F22+1,IF(Monthly!J$4=TRUE,0,N$3),IF(N$12&gt;$F22+1,RentalsVacates!M22*(1-IF(N$12-$F22&lt;=12,SUMIFS('Attrition Modeling'!$D:$D,'Attrition Modeling'!$B:$B,$E22,'Attrition Modeling'!$C:$C,N$11),VLOOKUP(RentalsVacates!N$12-RentalsVacates!$F22-1,RentalsVacates!$A$8:$C$162,2,FALSE)*VLOOKUP(N$11,'Attrition Modeling'!$L$15:$N$27,IF(N$12-$F22&lt;=24,2,3),FALSE))*(1+IF('Traditional Attrition'!N144&gt;0,'Attrition Modeling'!$N$9,0))),0))</f>
        <v>0</v>
      </c>
      <c r="O22" s="799">
        <f>IF(O$12=$F22+1,IF(Monthly!K$4=TRUE,0,O$3),IF(O$12&gt;$F22+1,RentalsVacates!N22*(1-IF(O$12-$F22&lt;=12,SUMIFS('Attrition Modeling'!$D:$D,'Attrition Modeling'!$B:$B,$E22,'Attrition Modeling'!$C:$C,O$11),VLOOKUP(RentalsVacates!O$12-RentalsVacates!$F22-1,RentalsVacates!$A$8:$C$162,2,FALSE)*VLOOKUP(O$11,'Attrition Modeling'!$L$15:$N$27,IF(O$12-$F22&lt;=24,2,3),FALSE))*(1+IF('Traditional Attrition'!O144&gt;0,'Attrition Modeling'!$N$9,0))),0))</f>
        <v>0</v>
      </c>
      <c r="P22" s="799">
        <f>IF(P$12=$F22+1,IF(Monthly!L$4=TRUE,0,P$3),IF(P$12&gt;$F22+1,RentalsVacates!O22*(1-IF(P$12-$F22&lt;=12,SUMIFS('Attrition Modeling'!$D:$D,'Attrition Modeling'!$B:$B,$E22,'Attrition Modeling'!$C:$C,P$11),VLOOKUP(RentalsVacates!P$12-RentalsVacates!$F22-1,RentalsVacates!$A$8:$C$162,2,FALSE)*VLOOKUP(P$11,'Attrition Modeling'!$L$15:$N$27,IF(P$12-$F22&lt;=24,2,3),FALSE))*(1+IF('Traditional Attrition'!P144&gt;0,'Attrition Modeling'!$N$9,0))),0))</f>
        <v>0</v>
      </c>
      <c r="Q22" s="799">
        <f>IF(Q$12=$F22+1,IF(Monthly!M$4=TRUE,0,Q$3),IF(Q$12&gt;$F22+1,RentalsVacates!P22*(1-IF(Q$12-$F22&lt;=12,SUMIFS('Attrition Modeling'!$D:$D,'Attrition Modeling'!$B:$B,$E22,'Attrition Modeling'!$C:$C,Q$11),VLOOKUP(RentalsVacates!Q$12-RentalsVacates!$F22-1,RentalsVacates!$A$8:$C$162,2,FALSE)*VLOOKUP(Q$11,'Attrition Modeling'!$L$15:$N$27,IF(Q$12-$F22&lt;=24,2,3),FALSE))*(1+IF('Traditional Attrition'!Q144&gt;0,'Attrition Modeling'!$N$9,0))),0))</f>
        <v>4824.014849745934</v>
      </c>
      <c r="R22" s="799">
        <f>IF(R$12=$F22+1,IF(Monthly!N$4=TRUE,0,R$3),IF(R$12&gt;$F22+1,RentalsVacates!Q22*(1-IF(R$12-$F22&lt;=12,SUMIFS('Attrition Modeling'!$D:$D,'Attrition Modeling'!$B:$B,$E22,'Attrition Modeling'!$C:$C,R$11),VLOOKUP(RentalsVacates!R$12-RentalsVacates!$F22-1,RentalsVacates!$A$8:$C$162,2,FALSE)*VLOOKUP(R$11,'Attrition Modeling'!$L$15:$N$27,IF(R$12-$F22&lt;=24,2,3),FALSE))*(1+IF('Traditional Attrition'!R144&gt;0,'Attrition Modeling'!$N$9,0))),0))</f>
        <v>4340.7532429236308</v>
      </c>
      <c r="S22" s="799">
        <f>IF(S$12=$F22+1,IF(Monthly!O$4=TRUE,0,S$3),IF(S$12&gt;$F22+1,RentalsVacates!R22*(1-IF(S$12-$F22&lt;=12,SUMIFS('Attrition Modeling'!$D:$D,'Attrition Modeling'!$B:$B,$E22,'Attrition Modeling'!$C:$C,S$11),VLOOKUP(RentalsVacates!S$12-RentalsVacates!$F22-1,RentalsVacates!$A$8:$C$162,2,FALSE)*VLOOKUP(S$11,'Attrition Modeling'!$L$15:$N$27,IF(S$12-$F22&lt;=24,2,3),FALSE))*(1+IF('Traditional Attrition'!S144&gt;0,'Attrition Modeling'!$N$9,0))),0))</f>
        <v>3959.6881521995647</v>
      </c>
      <c r="T22" s="799">
        <f>IF(T$12=$F22+1,IF(Monthly!P$4=TRUE,0,T$3),IF(T$12&gt;$F22+1,RentalsVacates!S22*(1-IF(T$12-$F22&lt;=12,SUMIFS('Attrition Modeling'!$D:$D,'Attrition Modeling'!$B:$B,$E22,'Attrition Modeling'!$C:$C,T$11),VLOOKUP(RentalsVacates!T$12-RentalsVacates!$F22-1,RentalsVacates!$A$8:$C$162,2,FALSE)*VLOOKUP(T$11,'Attrition Modeling'!$L$15:$N$27,IF(T$12-$F22&lt;=24,2,3),FALSE))*(1+IF('Traditional Attrition'!T144&gt;0,'Attrition Modeling'!$N$9,0))),0))</f>
        <v>3635.669325711729</v>
      </c>
      <c r="U22" s="799">
        <f>IF(U$12=$F22+1,IF(Monthly!Q$4=TRUE,0,U$3),IF(U$12&gt;$F22+1,RentalsVacates!T22*(1-IF(U$12-$F22&lt;=12,SUMIFS('Attrition Modeling'!$D:$D,'Attrition Modeling'!$B:$B,$E22,'Attrition Modeling'!$C:$C,U$11),VLOOKUP(RentalsVacates!U$12-RentalsVacates!$F22-1,RentalsVacates!$A$8:$C$162,2,FALSE)*VLOOKUP(U$11,'Attrition Modeling'!$L$15:$N$27,IF(U$12-$F22&lt;=24,2,3),FALSE))*(1+IF('Traditional Attrition'!U144&gt;0,'Attrition Modeling'!$N$9,0))),0))</f>
        <v>3367.4665449043737</v>
      </c>
      <c r="V22" s="799">
        <f>IF(V$12=$F22+1,IF(Monthly!R$4=TRUE,0,V$3),IF(V$12&gt;$F22+1,RentalsVacates!U22*(1-IF(V$12-$F22&lt;=12,SUMIFS('Attrition Modeling'!$D:$D,'Attrition Modeling'!$B:$B,$E22,'Attrition Modeling'!$C:$C,V$11),VLOOKUP(RentalsVacates!V$12-RentalsVacates!$F22-1,RentalsVacates!$A$8:$C$162,2,FALSE)*VLOOKUP(V$11,'Attrition Modeling'!$L$15:$N$27,IF(V$12-$F22&lt;=24,2,3),FALSE))*(1+IF('Traditional Attrition'!V144&gt;0,'Attrition Modeling'!$N$9,0))),0))</f>
        <v>3022.5192203659262</v>
      </c>
      <c r="W22" s="799">
        <f>IF(W$12=$F22+1,IF(Monthly!S$4=TRUE,0,W$3),IF(W$12&gt;$F22+1,RentalsVacates!V22*(1-IF(W$12-$F22&lt;=12,SUMIFS('Attrition Modeling'!$D:$D,'Attrition Modeling'!$B:$B,$E22,'Attrition Modeling'!$C:$C,W$11),VLOOKUP(RentalsVacates!W$12-RentalsVacates!$F22-1,RentalsVacates!$A$8:$C$162,2,FALSE)*VLOOKUP(W$11,'Attrition Modeling'!$L$15:$N$27,IF(W$12-$F22&lt;=24,2,3),FALSE))*(1+IF('Traditional Attrition'!W144&gt;0,'Attrition Modeling'!$N$9,0))),0))</f>
        <v>2802.8897956303372</v>
      </c>
      <c r="X22" s="799">
        <f>IF(X$12=$F22+1,IF(Monthly!T$4=TRUE,0,X$3),IF(X$12&gt;$F22+1,RentalsVacates!W22*(1-IF(X$12-$F22&lt;=12,SUMIFS('Attrition Modeling'!$D:$D,'Attrition Modeling'!$B:$B,$E22,'Attrition Modeling'!$C:$C,X$11),VLOOKUP(RentalsVacates!X$12-RentalsVacates!$F22-1,RentalsVacates!$A$8:$C$162,2,FALSE)*VLOOKUP(X$11,'Attrition Modeling'!$L$15:$N$27,IF(X$12-$F22&lt;=24,2,3),FALSE))*(1+IF('Traditional Attrition'!X144&gt;0,'Attrition Modeling'!$N$9,0))),0))</f>
        <v>2603.4914868178485</v>
      </c>
      <c r="Y22" s="799">
        <f>IF(Y$12=$F22+1,IF(Monthly!U$4=TRUE,0,Y$3),IF(Y$12&gt;$F22+1,RentalsVacates!X22*(1-IF(Y$12-$F22&lt;=12,SUMIFS('Attrition Modeling'!$D:$D,'Attrition Modeling'!$B:$B,$E22,'Attrition Modeling'!$C:$C,Y$11),VLOOKUP(RentalsVacates!Y$12-RentalsVacates!$F22-1,RentalsVacates!$A$8:$C$162,2,FALSE)*VLOOKUP(Y$11,'Attrition Modeling'!$L$15:$N$27,IF(Y$12-$F22&lt;=24,2,3),FALSE))*(1+IF('Traditional Attrition'!Y144&gt;0,'Attrition Modeling'!$N$9,0))),0))</f>
        <v>2424.2133707661051</v>
      </c>
      <c r="Z22" s="799">
        <f>IF(Z$12=$F22+1,IF(Monthly!V$4=TRUE,0,Z$3),IF(Z$12&gt;$F22+1,RentalsVacates!Y22*(1-IF(Z$12-$F22&lt;=12,SUMIFS('Attrition Modeling'!$D:$D,'Attrition Modeling'!$B:$B,$E22,'Attrition Modeling'!$C:$C,Z$11),VLOOKUP(RentalsVacates!Z$12-RentalsVacates!$F22-1,RentalsVacates!$A$8:$C$162,2,FALSE)*VLOOKUP(Z$11,'Attrition Modeling'!$L$15:$N$27,IF(Z$12-$F22&lt;=24,2,3),FALSE))*(1+IF('Traditional Attrition'!Z144&gt;0,'Attrition Modeling'!$N$9,0))),0))</f>
        <v>2275.4103783681412</v>
      </c>
      <c r="AA22" s="799">
        <f>IF(AA$12=$F22+1,IF(Monthly!W$4=TRUE,0,AA$3),IF(AA$12&gt;$F22+1,RentalsVacates!Z22*(1-IF(AA$12-$F22&lt;=12,SUMIFS('Attrition Modeling'!$D:$D,'Attrition Modeling'!$B:$B,$E22,'Attrition Modeling'!$C:$C,AA$11),VLOOKUP(RentalsVacates!AA$12-RentalsVacates!$F22-1,RentalsVacates!$A$8:$C$162,2,FALSE)*VLOOKUP(AA$11,'Attrition Modeling'!$L$15:$N$27,IF(AA$12-$F22&lt;=24,2,3),FALSE))*(1+IF('Traditional Attrition'!AA144&gt;0,'Attrition Modeling'!$N$9,0))),0))</f>
        <v>2141.345952121248</v>
      </c>
      <c r="AB22" s="799">
        <f>IF(AB$12=$F22+1,IF(Monthly!X$4=TRUE,0,AB$3),IF(AB$12&gt;$F22+1,RentalsVacates!AA22*(1-IF(AB$12-$F22&lt;=12,SUMIFS('Attrition Modeling'!$D:$D,'Attrition Modeling'!$B:$B,$E22,'Attrition Modeling'!$C:$C,AB$11),VLOOKUP(RentalsVacates!AB$12-RentalsVacates!$F22-1,RentalsVacates!$A$8:$C$162,2,FALSE)*VLOOKUP(AB$11,'Attrition Modeling'!$L$15:$N$27,IF(AB$12-$F22&lt;=24,2,3),FALSE))*(1+IF('Traditional Attrition'!AB144&gt;0,'Attrition Modeling'!$N$9,0))),0))</f>
        <v>2049.6317195496235</v>
      </c>
      <c r="AC22" s="799">
        <f>IF(AC$12=$F22+1,IF(Monthly!Y$4=TRUE,0,AC$3),IF(AC$12&gt;$F22+1,RentalsVacates!AB22*(1-IF(AC$12-$F22&lt;=12,SUMIFS('Attrition Modeling'!$D:$D,'Attrition Modeling'!$B:$B,$E22,'Attrition Modeling'!$C:$C,AC$11),VLOOKUP(RentalsVacates!AC$12-RentalsVacates!$F22-1,RentalsVacates!$A$8:$C$162,2,FALSE)*VLOOKUP(AC$11,'Attrition Modeling'!$L$15:$N$27,IF(AC$12-$F22&lt;=24,2,3),FALSE))*(1+IF('Traditional Attrition'!AC144&gt;0,'Attrition Modeling'!$N$9,0))),0))</f>
        <v>1933.8148092690803</v>
      </c>
      <c r="AD22" s="799">
        <f>IF(AD$12=$F22+1,IF(Monthly!Z$4=TRUE,0,AD$3),IF(AD$12&gt;$F22+1,RentalsVacates!AC22*(1-IF(AD$12-$F22&lt;=12,SUMIFS('Attrition Modeling'!$D:$D,'Attrition Modeling'!$B:$B,$E22,'Attrition Modeling'!$C:$C,AD$11),VLOOKUP(RentalsVacates!AD$12-RentalsVacates!$F22-1,RentalsVacates!$A$8:$C$162,2,FALSE)*VLOOKUP(AD$11,'Attrition Modeling'!$L$15:$N$27,IF(AD$12-$F22&lt;=24,2,3),FALSE))*(1+IF('Traditional Attrition'!AD144&gt;0,'Attrition Modeling'!$N$9,0))),0))</f>
        <v>1836.8150185999714</v>
      </c>
      <c r="AE22" s="799">
        <f>IF(AE$12=$F22+1,IF(Monthly!AA$4=TRUE,0,AE$3),IF(AE$12&gt;$F22+1,RentalsVacates!AD22*(1-IF(AE$12-$F22&lt;=12,SUMIFS('Attrition Modeling'!$D:$D,'Attrition Modeling'!$B:$B,$E22,'Attrition Modeling'!$C:$C,AE$11),VLOOKUP(RentalsVacates!AE$12-RentalsVacates!$F22-1,RentalsVacates!$A$8:$C$162,2,FALSE)*VLOOKUP(AE$11,'Attrition Modeling'!$L$15:$N$27,IF(AE$12-$F22&lt;=24,2,3),FALSE))*(1+IF('Traditional Attrition'!AE144&gt;0,'Attrition Modeling'!$N$9,0))),0))</f>
        <v>1750.112581502872</v>
      </c>
      <c r="AF22" s="799">
        <f>IF(AF$12=$F22+1,IF(Monthly!AB$4=TRUE,0,AF$3),IF(AF$12&gt;$F22+1,RentalsVacates!AE22*(1-IF(AF$12-$F22&lt;=12,SUMIFS('Attrition Modeling'!$D:$D,'Attrition Modeling'!$B:$B,$E22,'Attrition Modeling'!$C:$C,AF$11),VLOOKUP(RentalsVacates!AF$12-RentalsVacates!$F22-1,RentalsVacates!$A$8:$C$162,2,FALSE)*VLOOKUP(AF$11,'Attrition Modeling'!$L$15:$N$27,IF(AF$12-$F22&lt;=24,2,3),FALSE))*(1+IF('Traditional Attrition'!AF144&gt;0,'Attrition Modeling'!$N$9,0))),0))</f>
        <v>1670.4486169878585</v>
      </c>
      <c r="AG22" s="799">
        <f>IF(AG$12=$F22+1,IF(Monthly!AC$4=TRUE,0,AG$3),IF(AG$12&gt;$F22+1,RentalsVacates!AF22*(1-IF(AG$12-$F22&lt;=12,SUMIFS('Attrition Modeling'!$D:$D,'Attrition Modeling'!$B:$B,$E22,'Attrition Modeling'!$C:$C,AG$11),VLOOKUP(RentalsVacates!AG$12-RentalsVacates!$F22-1,RentalsVacates!$A$8:$C$162,2,FALSE)*VLOOKUP(AG$11,'Attrition Modeling'!$L$15:$N$27,IF(AG$12-$F22&lt;=24,2,3),FALSE))*(1+IF('Traditional Attrition'!AG144&gt;0,'Attrition Modeling'!$N$9,0))),0))</f>
        <v>1603.8718545209756</v>
      </c>
      <c r="AH22" s="799">
        <f>IF(AH$12=$F22+1,IF(Monthly!AD$4=TRUE,0,AH$3),IF(AH$12&gt;$F22+1,RentalsVacates!AG22*(1-IF(AH$12-$F22&lt;=12,SUMIFS('Attrition Modeling'!$D:$D,'Attrition Modeling'!$B:$B,$E22,'Attrition Modeling'!$C:$C,AH$11),VLOOKUP(RentalsVacates!AH$12-RentalsVacates!$F22-1,RentalsVacates!$A$8:$C$162,2,FALSE)*VLOOKUP(AH$11,'Attrition Modeling'!$L$15:$N$27,IF(AH$12-$F22&lt;=24,2,3),FALSE))*(1+IF('Traditional Attrition'!AH144&gt;0,'Attrition Modeling'!$N$9,0))),0))</f>
        <v>1522.4378036811765</v>
      </c>
      <c r="AI22" s="799">
        <f>IF(AI$12=$F22+1,IF(Monthly!AE$4=TRUE,0,AI$3),IF(AI$12&gt;$F22+1,RentalsVacates!AH22*(1-IF(AI$12-$F22&lt;=12,SUMIFS('Attrition Modeling'!$D:$D,'Attrition Modeling'!$B:$B,$E22,'Attrition Modeling'!$C:$C,AI$11),VLOOKUP(RentalsVacates!AI$12-RentalsVacates!$F22-1,RentalsVacates!$A$8:$C$162,2,FALSE)*VLOOKUP(AI$11,'Attrition Modeling'!$L$15:$N$27,IF(AI$12-$F22&lt;=24,2,3),FALSE))*(1+IF('Traditional Attrition'!AI144&gt;0,'Attrition Modeling'!$N$9,0))),0))</f>
        <v>1460.4615266813371</v>
      </c>
      <c r="AJ22" s="799">
        <f>IF(AJ$12=$F22+1,IF(Monthly!AF$4=TRUE,0,AJ$3),IF(AJ$12&gt;$F22+1,RentalsVacates!AI22*(1-IF(AJ$12-$F22&lt;=12,SUMIFS('Attrition Modeling'!$D:$D,'Attrition Modeling'!$B:$B,$E22,'Attrition Modeling'!$C:$C,AJ$11),VLOOKUP(RentalsVacates!AJ$12-RentalsVacates!$F22-1,RentalsVacates!$A$8:$C$162,2,FALSE)*VLOOKUP(AJ$11,'Attrition Modeling'!$L$15:$N$27,IF(AJ$12-$F22&lt;=24,2,3),FALSE))*(1+IF('Traditional Attrition'!AJ144&gt;0,'Attrition Modeling'!$N$9,0))),0))</f>
        <v>1402.5543596944012</v>
      </c>
      <c r="AK22" s="799">
        <f>IF(AK$12=$F22+1,IF(Monthly!AG$4=TRUE,0,AK$3),IF(AK$12&gt;$F22+1,RentalsVacates!AJ22*(1-IF(AK$12-$F22&lt;=12,SUMIFS('Attrition Modeling'!$D:$D,'Attrition Modeling'!$B:$B,$E22,'Attrition Modeling'!$C:$C,AK$11),VLOOKUP(RentalsVacates!AK$12-RentalsVacates!$F22-1,RentalsVacates!$A$8:$C$162,2,FALSE)*VLOOKUP(AK$11,'Attrition Modeling'!$L$15:$N$27,IF(AK$12-$F22&lt;=24,2,3),FALSE))*(1+IF('Traditional Attrition'!AK144&gt;0,'Attrition Modeling'!$N$9,0))),0))</f>
        <v>1342.54340782857</v>
      </c>
      <c r="AL22" s="799">
        <f>IF(AL$12=$F22+1,IF(Monthly!AH$4=TRUE,0,AL$3),IF(AL$12&gt;$F22+1,RentalsVacates!AK22*(1-IF(AL$12-$F22&lt;=12,SUMIFS('Attrition Modeling'!$D:$D,'Attrition Modeling'!$B:$B,$E22,'Attrition Modeling'!$C:$C,AL$11),VLOOKUP(RentalsVacates!AL$12-RentalsVacates!$F22-1,RentalsVacates!$A$8:$C$162,2,FALSE)*VLOOKUP(AL$11,'Attrition Modeling'!$L$15:$N$27,IF(AL$12-$F22&lt;=24,2,3),FALSE))*(1+IF('Traditional Attrition'!AL144&gt;0,'Attrition Modeling'!$N$9,0))),0))</f>
        <v>1284.6546570697067</v>
      </c>
      <c r="AM22" s="799">
        <f>IF(AM$12=$F22+1,IF(Monthly!AI$4=TRUE,0,AM$3),IF(AM$12&gt;$F22+1,RentalsVacates!AL22*(1-IF(AM$12-$F22&lt;=12,SUMIFS('Attrition Modeling'!$D:$D,'Attrition Modeling'!$B:$B,$E22,'Attrition Modeling'!$C:$C,AM$11),VLOOKUP(RentalsVacates!AM$12-RentalsVacates!$F22-1,RentalsVacates!$A$8:$C$162,2,FALSE)*VLOOKUP(AM$11,'Attrition Modeling'!$L$15:$N$27,IF(AM$12-$F22&lt;=24,2,3),FALSE))*(1+IF('Traditional Attrition'!AM144&gt;0,'Attrition Modeling'!$N$9,0))),0))</f>
        <v>1227.6384916099657</v>
      </c>
      <c r="AN22" s="799">
        <f>IF(AN$12=$F22+1,IF(Monthly!AJ$4=TRUE,0,AN$3),IF(AN$12&gt;$F22+1,RentalsVacates!AM22*(1-IF(AN$12-$F22&lt;=12,SUMIFS('Attrition Modeling'!$D:$D,'Attrition Modeling'!$B:$B,$E22,'Attrition Modeling'!$C:$C,AN$11),VLOOKUP(RentalsVacates!AN$12-RentalsVacates!$F22-1,RentalsVacates!$A$8:$C$162,2,FALSE)*VLOOKUP(AN$11,'Attrition Modeling'!$L$15:$N$27,IF(AN$12-$F22&lt;=24,2,3),FALSE))*(1+IF('Traditional Attrition'!AN144&gt;0,'Attrition Modeling'!$N$9,0))),0))</f>
        <v>1178.6120711073129</v>
      </c>
      <c r="AO22" s="799">
        <f>IF(AO$12=$F22+1,IF(Monthly!AK$4=TRUE,0,AO$3),IF(AO$12&gt;$F22+1,RentalsVacates!AN22*(1-IF(AO$12-$F22&lt;=12,SUMIFS('Attrition Modeling'!$D:$D,'Attrition Modeling'!$B:$B,$E22,'Attrition Modeling'!$C:$C,AO$11),VLOOKUP(RentalsVacates!AO$12-RentalsVacates!$F22-1,RentalsVacates!$A$8:$C$162,2,FALSE)*VLOOKUP(AO$11,'Attrition Modeling'!$L$15:$N$27,IF(AO$12-$F22&lt;=24,2,3),FALSE))*(1+IF('Traditional Attrition'!AO144&gt;0,'Attrition Modeling'!$N$9,0))),0))</f>
        <v>1131.6423335221818</v>
      </c>
      <c r="AP22" s="799">
        <f>IF(AP$12=$F22+1,IF(Monthly!AL$4=TRUE,0,AP$3),IF(AP$12&gt;$F22+1,RentalsVacates!AO22*(1-IF(AP$12-$F22&lt;=12,SUMIFS('Attrition Modeling'!$D:$D,'Attrition Modeling'!$B:$B,$E22,'Attrition Modeling'!$C:$C,AP$11),VLOOKUP(RentalsVacates!AP$12-RentalsVacates!$F22-1,RentalsVacates!$A$8:$C$162,2,FALSE)*VLOOKUP(AP$11,'Attrition Modeling'!$L$15:$N$27,IF(AP$12-$F22&lt;=24,2,3),FALSE))*(1+IF('Traditional Attrition'!AP144&gt;0,'Attrition Modeling'!$N$9,0))),0))</f>
        <v>1088.1777469615922</v>
      </c>
      <c r="AQ22" s="799">
        <f>IF(AQ$12=$F22+1,IF(Monthly!AM$4=TRUE,0,AQ$3),IF(AQ$12&gt;$F22+1,RentalsVacates!AP22*(1-IF(AQ$12-$F22&lt;=12,SUMIFS('Attrition Modeling'!$D:$D,'Attrition Modeling'!$B:$B,$E22,'Attrition Modeling'!$C:$C,AQ$11),VLOOKUP(RentalsVacates!AQ$12-RentalsVacates!$F22-1,RentalsVacates!$A$8:$C$162,2,FALSE)*VLOOKUP(AQ$11,'Attrition Modeling'!$L$15:$N$27,IF(AQ$12-$F22&lt;=24,2,3),FALSE))*(1+IF('Traditional Attrition'!AQ144&gt;0,'Attrition Modeling'!$N$9,0))),0))</f>
        <v>1054.2020393625021</v>
      </c>
      <c r="AR22" s="799">
        <f>IF(AR$12=$F22+1,IF(Monthly!AN$4=TRUE,0,AR$3),IF(AR$12&gt;$F22+1,RentalsVacates!AQ22*(1-IF(AR$12-$F22&lt;=12,SUMIFS('Attrition Modeling'!$D:$D,'Attrition Modeling'!$B:$B,$E22,'Attrition Modeling'!$C:$C,AR$11),VLOOKUP(RentalsVacates!AR$12-RentalsVacates!$F22-1,RentalsVacates!$A$8:$C$162,2,FALSE)*VLOOKUP(AR$11,'Attrition Modeling'!$L$15:$N$27,IF(AR$12-$F22&lt;=24,2,3),FALSE))*(1+IF('Traditional Attrition'!AR144&gt;0,'Attrition Modeling'!$N$9,0))),0))</f>
        <v>1018.2422275098475</v>
      </c>
      <c r="AS22" s="799">
        <f>IF(AS$12=$F22+1,IF(Monthly!AO$4=TRUE,0,AS$3),IF(AS$12&gt;$F22+1,RentalsVacates!AR22*(1-IF(AS$12-$F22&lt;=12,SUMIFS('Attrition Modeling'!$D:$D,'Attrition Modeling'!$B:$B,$E22,'Attrition Modeling'!$C:$C,AS$11),VLOOKUP(RentalsVacates!AS$12-RentalsVacates!$F22-1,RentalsVacates!$A$8:$C$162,2,FALSE)*VLOOKUP(AS$11,'Attrition Modeling'!$L$15:$N$27,IF(AS$12-$F22&lt;=24,2,3),FALSE))*(1+IF('Traditional Attrition'!AS144&gt;0,'Attrition Modeling'!$N$9,0))),0))</f>
        <v>985.03102121468703</v>
      </c>
      <c r="AT22" s="799">
        <f>IF(AT$12=$F22+1,IF(Monthly!AP$4=TRUE,0,AT$3),IF(AT$12&gt;$F22+1,RentalsVacates!AS22*(1-IF(AT$12-$F22&lt;=12,SUMIFS('Attrition Modeling'!$D:$D,'Attrition Modeling'!$B:$B,$E22,'Attrition Modeling'!$C:$C,AT$11),VLOOKUP(RentalsVacates!AT$12-RentalsVacates!$F22-1,RentalsVacates!$A$8:$C$162,2,FALSE)*VLOOKUP(AT$11,'Attrition Modeling'!$L$15:$N$27,IF(AT$12-$F22&lt;=24,2,3),FALSE))*(1+IF('Traditional Attrition'!AT144&gt;0,'Attrition Modeling'!$N$9,0))),0))</f>
        <v>948.56111758653003</v>
      </c>
      <c r="AU22" s="799">
        <f>IF(AU$12=$F22+1,IF(Monthly!AQ$4=TRUE,0,AU$3),IF(AU$12&gt;$F22+1,RentalsVacates!AT22*(1-IF(AU$12-$F22&lt;=12,SUMIFS('Attrition Modeling'!$D:$D,'Attrition Modeling'!$B:$B,$E22,'Attrition Modeling'!$C:$C,AU$11),VLOOKUP(RentalsVacates!AU$12-RentalsVacates!$F22-1,RentalsVacates!$A$8:$C$162,2,FALSE)*VLOOKUP(AU$11,'Attrition Modeling'!$L$15:$N$27,IF(AU$12-$F22&lt;=24,2,3),FALSE))*(1+IF('Traditional Attrition'!AU144&gt;0,'Attrition Modeling'!$N$9,0))),0))</f>
        <v>925.57165252456218</v>
      </c>
      <c r="AV22" s="799">
        <f>IF(AV$12=$F22+1,IF(Monthly!AR$4=TRUE,0,AV$3),IF(AV$12&gt;$F22+1,RentalsVacates!AU22*(1-IF(AV$12-$F22&lt;=12,SUMIFS('Attrition Modeling'!$D:$D,'Attrition Modeling'!$B:$B,$E22,'Attrition Modeling'!$C:$C,AV$11),VLOOKUP(RentalsVacates!AV$12-RentalsVacates!$F22-1,RentalsVacates!$A$8:$C$162,2,FALSE)*VLOOKUP(AV$11,'Attrition Modeling'!$L$15:$N$27,IF(AV$12-$F22&lt;=24,2,3),FALSE))*(1+IF('Traditional Attrition'!AV144&gt;0,'Attrition Modeling'!$N$9,0))),0))</f>
        <v>898.81423387092548</v>
      </c>
      <c r="AW22" s="799">
        <f>IF(AW$12=$F22+1,IF(Monthly!AS$4=TRUE,0,AW$3),IF(AW$12&gt;$F22+1,RentalsVacates!AV22*(1-IF(AW$12-$F22&lt;=12,SUMIFS('Attrition Modeling'!$D:$D,'Attrition Modeling'!$B:$B,$E22,'Attrition Modeling'!$C:$C,AW$11),VLOOKUP(RentalsVacates!AW$12-RentalsVacates!$F22-1,RentalsVacates!$A$8:$C$162,2,FALSE)*VLOOKUP(AW$11,'Attrition Modeling'!$L$15:$N$27,IF(AW$12-$F22&lt;=24,2,3),FALSE))*(1+IF('Traditional Attrition'!AW144&gt;0,'Attrition Modeling'!$N$9,0))),0))</f>
        <v>869.50638162859832</v>
      </c>
      <c r="AX22" s="799">
        <f>IF(AX$12=$F22+1,IF(Monthly!AT$4=TRUE,0,AX$3),IF(AX$12&gt;$F22+1,RentalsVacates!AW22*(1-IF(AX$12-$F22&lt;=12,SUMIFS('Attrition Modeling'!$D:$D,'Attrition Modeling'!$B:$B,$E22,'Attrition Modeling'!$C:$C,AX$11),VLOOKUP(RentalsVacates!AX$12-RentalsVacates!$F22-1,RentalsVacates!$A$8:$C$162,2,FALSE)*VLOOKUP(AX$11,'Attrition Modeling'!$L$15:$N$27,IF(AX$12-$F22&lt;=24,2,3),FALSE))*(1+IF('Traditional Attrition'!AX144&gt;0,'Attrition Modeling'!$N$9,0))),0))</f>
        <v>838.9702520516181</v>
      </c>
      <c r="AY22" s="799">
        <f>IF(AY$12=$F22+1,IF(Monthly!AU$4=TRUE,0,AY$3),IF(AY$12&gt;$F22+1,RentalsVacates!AX22*(1-IF(AY$12-$F22&lt;=12,SUMIFS('Attrition Modeling'!$D:$D,'Attrition Modeling'!$B:$B,$E22,'Attrition Modeling'!$C:$C,AY$11),VLOOKUP(RentalsVacates!AY$12-RentalsVacates!$F22-1,RentalsVacates!$A$8:$C$162,2,FALSE)*VLOOKUP(AY$11,'Attrition Modeling'!$L$15:$N$27,IF(AY$12-$F22&lt;=24,2,3),FALSE))*(1+IF('Traditional Attrition'!AY144&gt;0,'Attrition Modeling'!$N$9,0))),0))</f>
        <v>807.68597816017063</v>
      </c>
      <c r="AZ22" s="799">
        <f>IF(AZ$12=$F22+1,IF(Monthly!AV$4=TRUE,0,AZ$3),IF(AZ$12&gt;$F22+1,RentalsVacates!AY22*(1-IF(AZ$12-$F22&lt;=12,SUMIFS('Attrition Modeling'!$D:$D,'Attrition Modeling'!$B:$B,$E22,'Attrition Modeling'!$C:$C,AZ$11),VLOOKUP(RentalsVacates!AZ$12-RentalsVacates!$F22-1,RentalsVacates!$A$8:$C$162,2,FALSE)*VLOOKUP(AZ$11,'Attrition Modeling'!$L$15:$N$27,IF(AZ$12-$F22&lt;=24,2,3),FALSE))*(1+IF('Traditional Attrition'!AZ144&gt;0,'Attrition Modeling'!$N$9,0))),0))</f>
        <v>779.71428363946552</v>
      </c>
      <c r="BA22" s="799">
        <f>IF(BA$12=$F22+1,IF(Monthly!AW$4=TRUE,0,BA$3),IF(BA$12&gt;$F22+1,RentalsVacates!AZ22*(1-IF(BA$12-$F22&lt;=12,SUMIFS('Attrition Modeling'!$D:$D,'Attrition Modeling'!$B:$B,$E22,'Attrition Modeling'!$C:$C,BA$11),VLOOKUP(RentalsVacates!BA$12-RentalsVacates!$F22-1,RentalsVacates!$A$8:$C$162,2,FALSE)*VLOOKUP(BA$11,'Attrition Modeling'!$L$15:$N$27,IF(BA$12-$F22&lt;=24,2,3),FALSE))*(1+IF('Traditional Attrition'!BA144&gt;0,'Attrition Modeling'!$N$9,0))),0))</f>
        <v>753.92338662466204</v>
      </c>
      <c r="BB22" s="799">
        <f>IF(BB$12=$F22+1,IF(Monthly!AX$4=TRUE,0,BB$3),IF(BB$12&gt;$F22+1,RentalsVacates!BA22*(1-IF(BB$12-$F22&lt;=12,SUMIFS('Attrition Modeling'!$D:$D,'Attrition Modeling'!$B:$B,$E22,'Attrition Modeling'!$C:$C,BB$11),VLOOKUP(RentalsVacates!BB$12-RentalsVacates!$F22-1,RentalsVacates!$A$8:$C$162,2,FALSE)*VLOOKUP(BB$11,'Attrition Modeling'!$L$15:$N$27,IF(BB$12-$F22&lt;=24,2,3),FALSE))*(1+IF('Traditional Attrition'!BB144&gt;0,'Attrition Modeling'!$N$9,0))),0))</f>
        <v>729.80868146944033</v>
      </c>
      <c r="BC22" s="799">
        <f>IF(BC$12=$F22+1,IF(Monthly!AY$4=TRUE,0,BC$3),IF(BC$12&gt;$F22+1,RentalsVacates!BB22*(1-IF(BC$12-$F22&lt;=12,SUMIFS('Attrition Modeling'!$D:$D,'Attrition Modeling'!$B:$B,$E22,'Attrition Modeling'!$C:$C,BC$11),VLOOKUP(RentalsVacates!BC$12-RentalsVacates!$F22-1,RentalsVacates!$A$8:$C$162,2,FALSE)*VLOOKUP(BC$11,'Attrition Modeling'!$L$15:$N$27,IF(BC$12-$F22&lt;=24,2,3),FALSE))*(1+IF('Traditional Attrition'!BC144&gt;0,'Attrition Modeling'!$N$9,0))),0))</f>
        <v>710.77337232006494</v>
      </c>
      <c r="BD22" s="799">
        <f>IF(BD$12=$F22+1,IF(Monthly!AZ$4=TRUE,0,BD$3),IF(BD$12&gt;$F22+1,RentalsVacates!BC22*(1-IF(BD$12-$F22&lt;=12,SUMIFS('Attrition Modeling'!$D:$D,'Attrition Modeling'!$B:$B,$E22,'Attrition Modeling'!$C:$C,BD$11),VLOOKUP(RentalsVacates!BD$12-RentalsVacates!$F22-1,RentalsVacates!$A$8:$C$162,2,FALSE)*VLOOKUP(BD$11,'Attrition Modeling'!$L$15:$N$27,IF(BD$12-$F22&lt;=24,2,3),FALSE))*(1+IF('Traditional Attrition'!BD144&gt;0,'Attrition Modeling'!$N$9,0))),0))</f>
        <v>690.4601877152046</v>
      </c>
      <c r="BE22" s="799">
        <f>IF(BE$12=$F22+1,IF(Monthly!BA$4=TRUE,0,BE$3),IF(BE$12&gt;$F22+1,RentalsVacates!BD22*(1-IF(BE$12-$F22&lt;=12,SUMIFS('Attrition Modeling'!$D:$D,'Attrition Modeling'!$B:$B,$E22,'Attrition Modeling'!$C:$C,BE$11),VLOOKUP(RentalsVacates!BE$12-RentalsVacates!$F22-1,RentalsVacates!$A$8:$C$162,2,FALSE)*VLOOKUP(BE$11,'Attrition Modeling'!$L$15:$N$27,IF(BE$12-$F22&lt;=24,2,3),FALSE))*(1+IF('Traditional Attrition'!BE144&gt;0,'Attrition Modeling'!$N$9,0))),0))</f>
        <v>671.54020141347962</v>
      </c>
      <c r="BF22" s="799">
        <f>IF(BF$12=$F22+1,IF(Monthly!BB$4=TRUE,0,BF$3),IF(BF$12&gt;$F22+1,RentalsVacates!BE22*(1-IF(BF$12-$F22&lt;=12,SUMIFS('Attrition Modeling'!$D:$D,'Attrition Modeling'!$B:$B,$E22,'Attrition Modeling'!$C:$C,BF$11),VLOOKUP(RentalsVacates!BF$12-RentalsVacates!$F22-1,RentalsVacates!$A$8:$C$162,2,FALSE)*VLOOKUP(BF$11,'Attrition Modeling'!$L$15:$N$27,IF(BF$12-$F22&lt;=24,2,3),FALSE))*(1+IF('Traditional Attrition'!BF144&gt;0,'Attrition Modeling'!$N$9,0))),0))</f>
        <v>650.59757379993698</v>
      </c>
      <c r="BG22" s="799">
        <f>IF(BG$12=$F22+1,IF(Monthly!BC$4=TRUE,0,BG$3),IF(BG$12&gt;$F22+1,RentalsVacates!BF22*(1-IF(BG$12-$F22&lt;=12,SUMIFS('Attrition Modeling'!$D:$D,'Attrition Modeling'!$B:$B,$E22,'Attrition Modeling'!$C:$C,BG$11),VLOOKUP(RentalsVacates!BG$12-RentalsVacates!$F22-1,RentalsVacates!$A$8:$C$162,2,FALSE)*VLOOKUP(BG$11,'Attrition Modeling'!$L$15:$N$27,IF(BG$12-$F22&lt;=24,2,3),FALSE))*(1+IF('Traditional Attrition'!BG144&gt;0,'Attrition Modeling'!$N$9,0))),0))</f>
        <v>637.2834592242167</v>
      </c>
      <c r="BH22" s="799">
        <f>IF(BH$12=$F22+1,IF(Monthly!BD$4=TRUE,0,BH$3),IF(BH$12&gt;$F22+1,RentalsVacates!BG22*(1-IF(BH$12-$F22&lt;=12,SUMIFS('Attrition Modeling'!$D:$D,'Attrition Modeling'!$B:$B,$E22,'Attrition Modeling'!$C:$C,BH$11),VLOOKUP(RentalsVacates!BH$12-RentalsVacates!$F22-1,RentalsVacates!$A$8:$C$162,2,FALSE)*VLOOKUP(BH$11,'Attrition Modeling'!$L$15:$N$27,IF(BH$12-$F22&lt;=24,2,3),FALSE))*(1+IF('Traditional Attrition'!BH144&gt;0,'Attrition Modeling'!$N$9,0))),0))</f>
        <v>621.69131075550479</v>
      </c>
      <c r="BI22" s="799">
        <f>IF(BI$12=$F22+1,IF(Monthly!BE$4=TRUE,0,BI$3),IF(BI$12&gt;$F22+1,RentalsVacates!BH22*(1-IF(BI$12-$F22&lt;=12,SUMIFS('Attrition Modeling'!$D:$D,'Attrition Modeling'!$B:$B,$E22,'Attrition Modeling'!$C:$C,BI$11),VLOOKUP(RentalsVacates!BI$12-RentalsVacates!$F22-1,RentalsVacates!$A$8:$C$162,2,FALSE)*VLOOKUP(BI$11,'Attrition Modeling'!$L$15:$N$27,IF(BI$12-$F22&lt;=24,2,3),FALSE))*(1+IF('Traditional Attrition'!BI144&gt;0,'Attrition Modeling'!$N$9,0))),0))</f>
        <v>604.49733738564521</v>
      </c>
      <c r="BJ22" s="799">
        <f>IF(BJ$12=$F22+1,IF(Monthly!BF$4=TRUE,0,BJ$3),IF(BJ$12&gt;$F22+1,RentalsVacates!BI22*(1-IF(BJ$12-$F22&lt;=12,SUMIFS('Attrition Modeling'!$D:$D,'Attrition Modeling'!$B:$B,$E22,'Attrition Modeling'!$C:$C,BJ$11),VLOOKUP(RentalsVacates!BJ$12-RentalsVacates!$F22-1,RentalsVacates!$A$8:$C$162,2,FALSE)*VLOOKUP(BJ$11,'Attrition Modeling'!$L$15:$N$27,IF(BJ$12-$F22&lt;=24,2,3),FALSE))*(1+IF('Traditional Attrition'!BJ144&gt;0,'Attrition Modeling'!$N$9,0))),0))</f>
        <v>586.45384305801781</v>
      </c>
      <c r="BK22" s="799">
        <f>IF(BK$12=$F22+1,IF(Monthly!BG$4=TRUE,0,BK$3),IF(BK$12&gt;$F22+1,RentalsVacates!BJ22*(1-IF(BK$12-$F22&lt;=12,SUMIFS('Attrition Modeling'!$D:$D,'Attrition Modeling'!$B:$B,$E22,'Attrition Modeling'!$C:$C,BK$11),VLOOKUP(RentalsVacates!BK$12-RentalsVacates!$F22-1,RentalsVacates!$A$8:$C$162,2,FALSE)*VLOOKUP(BK$11,'Attrition Modeling'!$L$15:$N$27,IF(BK$12-$F22&lt;=24,2,3),FALSE))*(1+IF('Traditional Attrition'!BK144&gt;0,'Attrition Modeling'!$N$9,0))),0))</f>
        <v>567.83087088931688</v>
      </c>
      <c r="BL22" s="799">
        <f>IF(BL$12=$F22+1,IF(Monthly!BH$4=TRUE,0,BL$3),IF(BL$12&gt;$F22+1,RentalsVacates!BK22*(1-IF(BL$12-$F22&lt;=12,SUMIFS('Attrition Modeling'!$D:$D,'Attrition Modeling'!$B:$B,$E22,'Attrition Modeling'!$C:$C,BL$11),VLOOKUP(RentalsVacates!BL$12-RentalsVacates!$F22-1,RentalsVacates!$A$8:$C$162,2,FALSE)*VLOOKUP(BL$11,'Attrition Modeling'!$L$15:$N$27,IF(BL$12-$F22&lt;=24,2,3),FALSE))*(1+IF('Traditional Attrition'!BL144&gt;0,'Attrition Modeling'!$N$9,0))),0))</f>
        <v>551.05296831192516</v>
      </c>
      <c r="BM22" s="799">
        <f>IF(BM$12=$F22+1,IF(Monthly!BI$4=TRUE,0,BM$3),IF(BM$12&gt;$F22+1,RentalsVacates!BL22*(1-IF(BM$12-$F22&lt;=12,SUMIFS('Attrition Modeling'!$D:$D,'Attrition Modeling'!$B:$B,$E22,'Attrition Modeling'!$C:$C,BM$11),VLOOKUP(RentalsVacates!BM$12-RentalsVacates!$F22-1,RentalsVacates!$A$8:$C$162,2,FALSE)*VLOOKUP(BM$11,'Attrition Modeling'!$L$15:$N$27,IF(BM$12-$F22&lt;=24,2,3),FALSE))*(1+IF('Traditional Attrition'!BM144&gt;0,'Attrition Modeling'!$N$9,0))),0))</f>
        <v>535.57889170856026</v>
      </c>
      <c r="BN22" s="799">
        <f>IF(BN$12=$F22+1,IF(Monthly!BJ$4=TRUE,0,BN$3),IF(BN$12&gt;$F22+1,RentalsVacates!BM22*(1-IF(BN$12-$F22&lt;=12,SUMIFS('Attrition Modeling'!$D:$D,'Attrition Modeling'!$B:$B,$E22,'Attrition Modeling'!$C:$C,BN$11),VLOOKUP(RentalsVacates!BN$12-RentalsVacates!$F22-1,RentalsVacates!$A$8:$C$162,2,FALSE)*VLOOKUP(BN$11,'Attrition Modeling'!$L$15:$N$27,IF(BN$12-$F22&lt;=24,2,3),FALSE))*(1+IF('Traditional Attrition'!BN144&gt;0,'Attrition Modeling'!$N$9,0))),0))</f>
        <v>521.01370837810703</v>
      </c>
      <c r="BO22" s="799">
        <f>IF(BO$12=$F22+1,IF(Monthly!BK$4=TRUE,0,BO$3),IF(BO$12&gt;$F22+1,RentalsVacates!BN22*(1-IF(BO$12-$F22&lt;=12,SUMIFS('Attrition Modeling'!$D:$D,'Attrition Modeling'!$B:$B,$E22,'Attrition Modeling'!$C:$C,BO$11),VLOOKUP(RentalsVacates!BO$12-RentalsVacates!$F22-1,RentalsVacates!$A$8:$C$162,2,FALSE)*VLOOKUP(BO$11,'Attrition Modeling'!$L$15:$N$27,IF(BO$12-$F22&lt;=24,2,3),FALSE))*(1+IF('Traditional Attrition'!BO144&gt;0,'Attrition Modeling'!$N$9,0))),0))</f>
        <v>509.44302407331287</v>
      </c>
      <c r="BP22" s="799">
        <f>IF(BP$12=$F22+1,IF(Monthly!BL$4=TRUE,0,BP$3),IF(BP$12&gt;$F22+1,RentalsVacates!BO22*(1-IF(BP$12-$F22&lt;=12,SUMIFS('Attrition Modeling'!$D:$D,'Attrition Modeling'!$B:$B,$E22,'Attrition Modeling'!$C:$C,BP$11),VLOOKUP(RentalsVacates!BP$12-RentalsVacates!$F22-1,RentalsVacates!$A$8:$C$162,2,FALSE)*VLOOKUP(BP$11,'Attrition Modeling'!$L$15:$N$27,IF(BP$12-$F22&lt;=24,2,3),FALSE))*(1+IF('Traditional Attrition'!BP144&gt;0,'Attrition Modeling'!$N$9,0))),0))</f>
        <v>497.02968032784804</v>
      </c>
      <c r="BQ22" s="799">
        <f>IF(BQ$12=$F22+1,IF(Monthly!BM$4=TRUE,0,BQ$3),IF(BQ$12&gt;$F22+1,RentalsVacates!BP22*(1-IF(BQ$12-$F22&lt;=12,SUMIFS('Attrition Modeling'!$D:$D,'Attrition Modeling'!$B:$B,$E22,'Attrition Modeling'!$C:$C,BQ$11),VLOOKUP(RentalsVacates!BQ$12-RentalsVacates!$F22-1,RentalsVacates!$A$8:$C$162,2,FALSE)*VLOOKUP(BQ$11,'Attrition Modeling'!$L$15:$N$27,IF(BQ$12-$F22&lt;=24,2,3),FALSE))*(1+IF('Traditional Attrition'!BQ144&gt;0,'Attrition Modeling'!$N$9,0))),0))</f>
        <v>485.40271988825043</v>
      </c>
      <c r="BR22" s="799">
        <f>IF(BR$12=$F22+1,IF(Monthly!BN$4=TRUE,0,BR$3),IF(BR$12&gt;$F22+1,RentalsVacates!BQ22*(1-IF(BR$12-$F22&lt;=12,SUMIFS('Attrition Modeling'!$D:$D,'Attrition Modeling'!$B:$B,$E22,'Attrition Modeling'!$C:$C,BR$11),VLOOKUP(RentalsVacates!BR$12-RentalsVacates!$F22-1,RentalsVacates!$A$8:$C$162,2,FALSE)*VLOOKUP(BR$11,'Attrition Modeling'!$L$15:$N$27,IF(BR$12-$F22&lt;=24,2,3),FALSE))*(1+IF('Traditional Attrition'!BR144&gt;0,'Attrition Modeling'!$N$9,0))),0))</f>
        <v>474.62052625942835</v>
      </c>
      <c r="BS22" s="799">
        <f>IF(BS$12=$F22+1,IF(Monthly!BO$4=TRUE,0,BS$3),IF(BS$12&gt;$F22+1,RentalsVacates!BR22*(1-IF(BS$12-$F22&lt;=12,SUMIFS('Attrition Modeling'!$D:$D,'Attrition Modeling'!$B:$B,$E22,'Attrition Modeling'!$C:$C,BS$11),VLOOKUP(RentalsVacates!BS$12-RentalsVacates!$F22-1,RentalsVacates!$A$8:$C$162,2,FALSE)*VLOOKUP(BS$11,'Attrition Modeling'!$L$15:$N$27,IF(BS$12-$F22&lt;=24,2,3),FALSE))*(1+IF('Traditional Attrition'!BS144&gt;0,'Attrition Modeling'!$N$9,0))),0))</f>
        <v>466.30920067589045</v>
      </c>
      <c r="BT22" s="799">
        <f>IF(BT$11=$F21+1,IF(Monthly!#REF!=TRUE,0,BT$3),IF(BT$11&gt;$F21+1,RentalsVacates!BS21*(1-IF(BT$11-$F21&lt;=12,SUMIFS('Attrition Modeling'!$D:$D,'Attrition Modeling'!$B:$B,$E21,'Attrition Modeling'!$C:$C,BT$10),VLOOKUP(RentalsVacates!BT$11-RentalsVacates!$F21-1,RentalsVacates!$A$7:$C$161,2,FALSE)*VLOOKUP(BT$10,'Attrition Modeling'!$L$15:$N$27,IF(BT$11-$F21&lt;=24,2,3),FALSE))*(1+IF('Traditional Attrition'!BT144&gt;0,'Attrition Modeling'!$N$9,0))),0))</f>
        <v>0</v>
      </c>
      <c r="BU22" s="799">
        <f>IF(BU$11=$F21+1,IF(Monthly!#REF!=TRUE,0,BU$3),IF(BU$11&gt;$F21+1,RentalsVacates!BT21*(1-IF(BU$11-$F21&lt;=12,SUMIFS('Attrition Modeling'!$D:$D,'Attrition Modeling'!$B:$B,$E21,'Attrition Modeling'!$C:$C,BU$10),VLOOKUP(RentalsVacates!BU$11-RentalsVacates!$F21-1,RentalsVacates!$A$7:$C$161,2,FALSE)*VLOOKUP(BU$10,'Attrition Modeling'!$L$15:$N$27,IF(BU$11-$F21&lt;=24,2,3),FALSE))*(1+IF('Traditional Attrition'!BU144&gt;0,'Attrition Modeling'!$N$9,0))),0))</f>
        <v>0</v>
      </c>
    </row>
    <row r="23" spans="1:73" ht="14.25" customHeight="1" x14ac:dyDescent="0.2">
      <c r="A23" s="9">
        <v>15</v>
      </c>
      <c r="B23" s="25">
        <f>MAX('Attrition Modeling'!H19,$C$3)*(1-Summary!$C$20)</f>
        <v>4.6078311603791125E-2</v>
      </c>
      <c r="C23" s="24" t="e">
        <f t="shared" si="2"/>
        <v>#DIV/0!</v>
      </c>
      <c r="E23" s="11">
        <f>'Traditional Attrition'!E80</f>
        <v>10</v>
      </c>
      <c r="F23" s="11">
        <f t="shared" si="4"/>
        <v>10</v>
      </c>
      <c r="G23" s="799"/>
      <c r="H23" s="799">
        <f>IF(H$12=$F23+1,IF(Monthly!D$4=TRUE,0,H$3),IF(H$12&gt;$F23+1,RentalsVacates!G23*(1-IF(H$12-$F23&lt;=12,SUMIFS('Attrition Modeling'!$D:$D,'Attrition Modeling'!$B:$B,$E23,'Attrition Modeling'!$C:$C,H$11),VLOOKUP(RentalsVacates!H$12-RentalsVacates!$F23-1,RentalsVacates!$A$8:$C$162,2,FALSE)*VLOOKUP(H$11,'Attrition Modeling'!$L$15:$N$27,IF(H$12-$F23&lt;=24,2,3),FALSE))*(1+IF('Traditional Attrition'!H145&gt;0,'Attrition Modeling'!$N$9,0))),0))</f>
        <v>0</v>
      </c>
      <c r="I23" s="799">
        <f>IF(I$12=$F23+1,IF(Monthly!E$4=TRUE,0,I$3),IF(I$12&gt;$F23+1,RentalsVacates!H23*(1-IF(I$12-$F23&lt;=12,SUMIFS('Attrition Modeling'!$D:$D,'Attrition Modeling'!$B:$B,$E23,'Attrition Modeling'!$C:$C,I$11),VLOOKUP(RentalsVacates!I$12-RentalsVacates!$F23-1,RentalsVacates!$A$8:$C$162,2,FALSE)*VLOOKUP(I$11,'Attrition Modeling'!$L$15:$N$27,IF(I$12-$F23&lt;=24,2,3),FALSE))*(1+IF('Traditional Attrition'!I145&gt;0,'Attrition Modeling'!$N$9,0))),0))</f>
        <v>0</v>
      </c>
      <c r="J23" s="799">
        <f>IF(J$12=$F23+1,IF(Monthly!F$4=TRUE,0,J$3),IF(J$12&gt;$F23+1,RentalsVacates!I23*(1-IF(J$12-$F23&lt;=12,SUMIFS('Attrition Modeling'!$D:$D,'Attrition Modeling'!$B:$B,$E23,'Attrition Modeling'!$C:$C,J$11),VLOOKUP(RentalsVacates!J$12-RentalsVacates!$F23-1,RentalsVacates!$A$8:$C$162,2,FALSE)*VLOOKUP(J$11,'Attrition Modeling'!$L$15:$N$27,IF(J$12-$F23&lt;=24,2,3),FALSE))*(1+IF('Traditional Attrition'!J145&gt;0,'Attrition Modeling'!$N$9,0))),0))</f>
        <v>0</v>
      </c>
      <c r="K23" s="799">
        <f>IF(K$12=$F23+1,IF(Monthly!G$4=TRUE,0,K$3),IF(K$12&gt;$F23+1,RentalsVacates!J23*(1-IF(K$12-$F23&lt;=12,SUMIFS('Attrition Modeling'!$D:$D,'Attrition Modeling'!$B:$B,$E23,'Attrition Modeling'!$C:$C,K$11),VLOOKUP(RentalsVacates!K$12-RentalsVacates!$F23-1,RentalsVacates!$A$8:$C$162,2,FALSE)*VLOOKUP(K$11,'Attrition Modeling'!$L$15:$N$27,IF(K$12-$F23&lt;=24,2,3),FALSE))*(1+IF('Traditional Attrition'!K145&gt;0,'Attrition Modeling'!$N$9,0))),0))</f>
        <v>0</v>
      </c>
      <c r="L23" s="799">
        <f>IF(L$12=$F23+1,IF(Monthly!H$4=TRUE,0,L$3),IF(L$12&gt;$F23+1,RentalsVacates!K23*(1-IF(L$12-$F23&lt;=12,SUMIFS('Attrition Modeling'!$D:$D,'Attrition Modeling'!$B:$B,$E23,'Attrition Modeling'!$C:$C,L$11),VLOOKUP(RentalsVacates!L$12-RentalsVacates!$F23-1,RentalsVacates!$A$8:$C$162,2,FALSE)*VLOOKUP(L$11,'Attrition Modeling'!$L$15:$N$27,IF(L$12-$F23&lt;=24,2,3),FALSE))*(1+IF('Traditional Attrition'!L145&gt;0,'Attrition Modeling'!$N$9,0))),0))</f>
        <v>0</v>
      </c>
      <c r="M23" s="799">
        <f>IF(M$12=$F23+1,IF(Monthly!I$4=TRUE,0,M$3),IF(M$12&gt;$F23+1,RentalsVacates!L23*(1-IF(M$12-$F23&lt;=12,SUMIFS('Attrition Modeling'!$D:$D,'Attrition Modeling'!$B:$B,$E23,'Attrition Modeling'!$C:$C,M$11),VLOOKUP(RentalsVacates!M$12-RentalsVacates!$F23-1,RentalsVacates!$A$8:$C$162,2,FALSE)*VLOOKUP(M$11,'Attrition Modeling'!$L$15:$N$27,IF(M$12-$F23&lt;=24,2,3),FALSE))*(1+IF('Traditional Attrition'!M145&gt;0,'Attrition Modeling'!$N$9,0))),0))</f>
        <v>0</v>
      </c>
      <c r="N23" s="799">
        <f>IF(N$12=$F23+1,IF(Monthly!J$4=TRUE,0,N$3),IF(N$12&gt;$F23+1,RentalsVacates!M23*(1-IF(N$12-$F23&lt;=12,SUMIFS('Attrition Modeling'!$D:$D,'Attrition Modeling'!$B:$B,$E23,'Attrition Modeling'!$C:$C,N$11),VLOOKUP(RentalsVacates!N$12-RentalsVacates!$F23-1,RentalsVacates!$A$8:$C$162,2,FALSE)*VLOOKUP(N$11,'Attrition Modeling'!$L$15:$N$27,IF(N$12-$F23&lt;=24,2,3),FALSE))*(1+IF('Traditional Attrition'!N145&gt;0,'Attrition Modeling'!$N$9,0))),0))</f>
        <v>0</v>
      </c>
      <c r="O23" s="799">
        <f>IF(O$12=$F23+1,IF(Monthly!K$4=TRUE,0,O$3),IF(O$12&gt;$F23+1,RentalsVacates!N23*(1-IF(O$12-$F23&lt;=12,SUMIFS('Attrition Modeling'!$D:$D,'Attrition Modeling'!$B:$B,$E23,'Attrition Modeling'!$C:$C,O$11),VLOOKUP(RentalsVacates!O$12-RentalsVacates!$F23-1,RentalsVacates!$A$8:$C$162,2,FALSE)*VLOOKUP(O$11,'Attrition Modeling'!$L$15:$N$27,IF(O$12-$F23&lt;=24,2,3),FALSE))*(1+IF('Traditional Attrition'!O145&gt;0,'Attrition Modeling'!$N$9,0))),0))</f>
        <v>0</v>
      </c>
      <c r="P23" s="799">
        <f>IF(P$12=$F23+1,IF(Monthly!L$4=TRUE,0,P$3),IF(P$12&gt;$F23+1,RentalsVacates!O23*(1-IF(P$12-$F23&lt;=12,SUMIFS('Attrition Modeling'!$D:$D,'Attrition Modeling'!$B:$B,$E23,'Attrition Modeling'!$C:$C,P$11),VLOOKUP(RentalsVacates!P$12-RentalsVacates!$F23-1,RentalsVacates!$A$8:$C$162,2,FALSE)*VLOOKUP(P$11,'Attrition Modeling'!$L$15:$N$27,IF(P$12-$F23&lt;=24,2,3),FALSE))*(1+IF('Traditional Attrition'!P145&gt;0,'Attrition Modeling'!$N$9,0))),0))</f>
        <v>0</v>
      </c>
      <c r="Q23" s="799">
        <f>IF(Q$12=$F23+1,IF(Monthly!M$4=TRUE,0,Q$3),IF(Q$12&gt;$F23+1,RentalsVacates!P23*(1-IF(Q$12-$F23&lt;=12,SUMIFS('Attrition Modeling'!$D:$D,'Attrition Modeling'!$B:$B,$E23,'Attrition Modeling'!$C:$C,Q$11),VLOOKUP(RentalsVacates!Q$12-RentalsVacates!$F23-1,RentalsVacates!$A$8:$C$162,2,FALSE)*VLOOKUP(Q$11,'Attrition Modeling'!$L$15:$N$27,IF(Q$12-$F23&lt;=24,2,3),FALSE))*(1+IF('Traditional Attrition'!Q145&gt;0,'Attrition Modeling'!$N$9,0))),0))</f>
        <v>0</v>
      </c>
      <c r="R23" s="799">
        <f>IF(R$12=$F23+1,IF(Monthly!N$4=TRUE,0,R$3),IF(R$12&gt;$F23+1,RentalsVacates!Q23*(1-IF(R$12-$F23&lt;=12,SUMIFS('Attrition Modeling'!$D:$D,'Attrition Modeling'!$B:$B,$E23,'Attrition Modeling'!$C:$C,R$11),VLOOKUP(RentalsVacates!R$12-RentalsVacates!$F23-1,RentalsVacates!$A$8:$C$162,2,FALSE)*VLOOKUP(R$11,'Attrition Modeling'!$L$15:$N$27,IF(R$12-$F23&lt;=24,2,3),FALSE))*(1+IF('Traditional Attrition'!R145&gt;0,'Attrition Modeling'!$N$9,0))),0))</f>
        <v>4754.1047710350431</v>
      </c>
      <c r="S23" s="799">
        <f>IF(S$12=$F23+1,IF(Monthly!O$4=TRUE,0,S$3),IF(S$12&gt;$F23+1,RentalsVacates!R23*(1-IF(S$12-$F23&lt;=12,SUMIFS('Attrition Modeling'!$D:$D,'Attrition Modeling'!$B:$B,$E23,'Attrition Modeling'!$C:$C,S$11),VLOOKUP(RentalsVacates!S$12-RentalsVacates!$F23-1,RentalsVacates!$A$8:$C$162,2,FALSE)*VLOOKUP(S$11,'Attrition Modeling'!$L$15:$N$27,IF(S$12-$F23&lt;=24,2,3),FALSE))*(1+IF('Traditional Attrition'!S145&gt;0,'Attrition Modeling'!$N$9,0))),0))</f>
        <v>4272.1597769237505</v>
      </c>
      <c r="T23" s="799">
        <f>IF(T$12=$F23+1,IF(Monthly!P$4=TRUE,0,T$3),IF(T$12&gt;$F23+1,RentalsVacates!S23*(1-IF(T$12-$F23&lt;=12,SUMIFS('Attrition Modeling'!$D:$D,'Attrition Modeling'!$B:$B,$E23,'Attrition Modeling'!$C:$C,T$11),VLOOKUP(RentalsVacates!T$12-RentalsVacates!$F23-1,RentalsVacates!$A$8:$C$162,2,FALSE)*VLOOKUP(T$11,'Attrition Modeling'!$L$15:$N$27,IF(T$12-$F23&lt;=24,2,3),FALSE))*(1+IF('Traditional Attrition'!T145&gt;0,'Attrition Modeling'!$N$9,0))),0))</f>
        <v>3934.1483324022474</v>
      </c>
      <c r="U23" s="799">
        <f>IF(U$12=$F23+1,IF(Monthly!Q$4=TRUE,0,U$3),IF(U$12&gt;$F23+1,RentalsVacates!T23*(1-IF(U$12-$F23&lt;=12,SUMIFS('Attrition Modeling'!$D:$D,'Attrition Modeling'!$B:$B,$E23,'Attrition Modeling'!$C:$C,U$11),VLOOKUP(RentalsVacates!U$12-RentalsVacates!$F23-1,RentalsVacates!$A$8:$C$162,2,FALSE)*VLOOKUP(U$11,'Attrition Modeling'!$L$15:$N$27,IF(U$12-$F23&lt;=24,2,3),FALSE))*(1+IF('Traditional Attrition'!U145&gt;0,'Attrition Modeling'!$N$9,0))),0))</f>
        <v>3617.8301385194763</v>
      </c>
      <c r="V23" s="799">
        <f>IF(V$12=$F23+1,IF(Monthly!R$4=TRUE,0,V$3),IF(V$12&gt;$F23+1,RentalsVacates!U23*(1-IF(V$12-$F23&lt;=12,SUMIFS('Attrition Modeling'!$D:$D,'Attrition Modeling'!$B:$B,$E23,'Attrition Modeling'!$C:$C,V$11),VLOOKUP(RentalsVacates!V$12-RentalsVacates!$F23-1,RentalsVacates!$A$8:$C$162,2,FALSE)*VLOOKUP(V$11,'Attrition Modeling'!$L$15:$N$27,IF(V$12-$F23&lt;=24,2,3),FALSE))*(1+IF('Traditional Attrition'!V145&gt;0,'Attrition Modeling'!$N$9,0))),0))</f>
        <v>3316.2384841707358</v>
      </c>
      <c r="W23" s="799">
        <f>IF(W$12=$F23+1,IF(Monthly!S$4=TRUE,0,W$3),IF(W$12&gt;$F23+1,RentalsVacates!V23*(1-IF(W$12-$F23&lt;=12,SUMIFS('Attrition Modeling'!$D:$D,'Attrition Modeling'!$B:$B,$E23,'Attrition Modeling'!$C:$C,W$11),VLOOKUP(RentalsVacates!W$12-RentalsVacates!$F23-1,RentalsVacates!$A$8:$C$162,2,FALSE)*VLOOKUP(W$11,'Attrition Modeling'!$L$15:$N$27,IF(W$12-$F23&lt;=24,2,3),FALSE))*(1+IF('Traditional Attrition'!W145&gt;0,'Attrition Modeling'!$N$9,0))),0))</f>
        <v>2958.7972946758673</v>
      </c>
      <c r="X23" s="799">
        <f>IF(X$12=$F23+1,IF(Monthly!T$4=TRUE,0,X$3),IF(X$12&gt;$F23+1,RentalsVacates!W23*(1-IF(X$12-$F23&lt;=12,SUMIFS('Attrition Modeling'!$D:$D,'Attrition Modeling'!$B:$B,$E23,'Attrition Modeling'!$C:$C,X$11),VLOOKUP(RentalsVacates!X$12-RentalsVacates!$F23-1,RentalsVacates!$A$8:$C$162,2,FALSE)*VLOOKUP(X$11,'Attrition Modeling'!$L$15:$N$27,IF(X$12-$F23&lt;=24,2,3),FALSE))*(1+IF('Traditional Attrition'!X145&gt;0,'Attrition Modeling'!$N$9,0))),0))</f>
        <v>2729.4017995955933</v>
      </c>
      <c r="Y23" s="799">
        <f>IF(Y$12=$F23+1,IF(Monthly!U$4=TRUE,0,Y$3),IF(Y$12&gt;$F23+1,RentalsVacates!X23*(1-IF(Y$12-$F23&lt;=12,SUMIFS('Attrition Modeling'!$D:$D,'Attrition Modeling'!$B:$B,$E23,'Attrition Modeling'!$C:$C,Y$11),VLOOKUP(RentalsVacates!Y$12-RentalsVacates!$F23-1,RentalsVacates!$A$8:$C$162,2,FALSE)*VLOOKUP(Y$11,'Attrition Modeling'!$L$15:$N$27,IF(Y$12-$F23&lt;=24,2,3),FALSE))*(1+IF('Traditional Attrition'!Y145&gt;0,'Attrition Modeling'!$N$9,0))),0))</f>
        <v>2543.7239796273366</v>
      </c>
      <c r="Z23" s="799">
        <f>IF(Z$12=$F23+1,IF(Monthly!V$4=TRUE,0,Z$3),IF(Z$12&gt;$F23+1,RentalsVacates!Y23*(1-IF(Z$12-$F23&lt;=12,SUMIFS('Attrition Modeling'!$D:$D,'Attrition Modeling'!$B:$B,$E23,'Attrition Modeling'!$C:$C,Z$11),VLOOKUP(RentalsVacates!Z$12-RentalsVacates!$F23-1,RentalsVacates!$A$8:$C$162,2,FALSE)*VLOOKUP(Z$11,'Attrition Modeling'!$L$15:$N$27,IF(Z$12-$F23&lt;=24,2,3),FALSE))*(1+IF('Traditional Attrition'!Z145&gt;0,'Attrition Modeling'!$N$9,0))),0))</f>
        <v>2381.3320811486519</v>
      </c>
      <c r="AA23" s="799">
        <f>IF(AA$12=$F23+1,IF(Monthly!W$4=TRUE,0,AA$3),IF(AA$12&gt;$F23+1,RentalsVacates!Z23*(1-IF(AA$12-$F23&lt;=12,SUMIFS('Attrition Modeling'!$D:$D,'Attrition Modeling'!$B:$B,$E23,'Attrition Modeling'!$C:$C,AA$11),VLOOKUP(RentalsVacates!AA$12-RentalsVacates!$F23-1,RentalsVacates!$A$8:$C$162,2,FALSE)*VLOOKUP(AA$11,'Attrition Modeling'!$L$15:$N$27,IF(AA$12-$F23&lt;=24,2,3),FALSE))*(1+IF('Traditional Attrition'!AA145&gt;0,'Attrition Modeling'!$N$9,0))),0))</f>
        <v>2224.304019425967</v>
      </c>
      <c r="AB23" s="799">
        <f>IF(AB$12=$F23+1,IF(Monthly!X$4=TRUE,0,AB$3),IF(AB$12&gt;$F23+1,RentalsVacates!AA23*(1-IF(AB$12-$F23&lt;=12,SUMIFS('Attrition Modeling'!$D:$D,'Attrition Modeling'!$B:$B,$E23,'Attrition Modeling'!$C:$C,AB$11),VLOOKUP(RentalsVacates!AB$12-RentalsVacates!$F23-1,RentalsVacates!$A$8:$C$162,2,FALSE)*VLOOKUP(AB$11,'Attrition Modeling'!$L$15:$N$27,IF(AB$12-$F23&lt;=24,2,3),FALSE))*(1+IF('Traditional Attrition'!AB145&gt;0,'Attrition Modeling'!$N$9,0))),0))</f>
        <v>2080.9245148552013</v>
      </c>
      <c r="AC23" s="799">
        <f>IF(AC$12=$F23+1,IF(Monthly!Y$4=TRUE,0,AC$3),IF(AC$12&gt;$F23+1,RentalsVacates!AB23*(1-IF(AC$12-$F23&lt;=12,SUMIFS('Attrition Modeling'!$D:$D,'Attrition Modeling'!$B:$B,$E23,'Attrition Modeling'!$C:$C,AC$11),VLOOKUP(RentalsVacates!AC$12-RentalsVacates!$F23-1,RentalsVacates!$A$8:$C$162,2,FALSE)*VLOOKUP(AC$11,'Attrition Modeling'!$L$15:$N$27,IF(AC$12-$F23&lt;=24,2,3),FALSE))*(1+IF('Traditional Attrition'!AC145&gt;0,'Attrition Modeling'!$N$9,0))),0))</f>
        <v>2009.0238283590602</v>
      </c>
      <c r="AD23" s="799">
        <f>IF(AD$12=$F23+1,IF(Monthly!Z$4=TRUE,0,AD$3),IF(AD$12&gt;$F23+1,RentalsVacates!AC23*(1-IF(AD$12-$F23&lt;=12,SUMIFS('Attrition Modeling'!$D:$D,'Attrition Modeling'!$B:$B,$E23,'Attrition Modeling'!$C:$C,AD$11),VLOOKUP(RentalsVacates!AD$12-RentalsVacates!$F23-1,RentalsVacates!$A$8:$C$162,2,FALSE)*VLOOKUP(AD$11,'Attrition Modeling'!$L$15:$N$27,IF(AD$12-$F23&lt;=24,2,3),FALSE))*(1+IF('Traditional Attrition'!AD145&gt;0,'Attrition Modeling'!$N$9,0))),0))</f>
        <v>1899.8163931867923</v>
      </c>
      <c r="AE23" s="799">
        <f>IF(AE$12=$F23+1,IF(Monthly!AA$4=TRUE,0,AE$3),IF(AE$12&gt;$F23+1,RentalsVacates!AD23*(1-IF(AE$12-$F23&lt;=12,SUMIFS('Attrition Modeling'!$D:$D,'Attrition Modeling'!$B:$B,$E23,'Attrition Modeling'!$C:$C,AE$11),VLOOKUP(RentalsVacates!AE$12-RentalsVacates!$F23-1,RentalsVacates!$A$8:$C$162,2,FALSE)*VLOOKUP(AE$11,'Attrition Modeling'!$L$15:$N$27,IF(AE$12-$F23&lt;=24,2,3),FALSE))*(1+IF('Traditional Attrition'!AE145&gt;0,'Attrition Modeling'!$N$9,0))),0))</f>
        <v>1805.5231066874085</v>
      </c>
      <c r="AF23" s="799">
        <f>IF(AF$12=$F23+1,IF(Monthly!AB$4=TRUE,0,AF$3),IF(AF$12&gt;$F23+1,RentalsVacates!AE23*(1-IF(AF$12-$F23&lt;=12,SUMIFS('Attrition Modeling'!$D:$D,'Attrition Modeling'!$B:$B,$E23,'Attrition Modeling'!$C:$C,AF$11),VLOOKUP(RentalsVacates!AF$12-RentalsVacates!$F23-1,RentalsVacates!$A$8:$C$162,2,FALSE)*VLOOKUP(AF$11,'Attrition Modeling'!$L$15:$N$27,IF(AF$12-$F23&lt;=24,2,3),FALSE))*(1+IF('Traditional Attrition'!AF145&gt;0,'Attrition Modeling'!$N$9,0))),0))</f>
        <v>1720.2208433675098</v>
      </c>
      <c r="AG23" s="799">
        <f>IF(AG$12=$F23+1,IF(Monthly!AC$4=TRUE,0,AG$3),IF(AG$12&gt;$F23+1,RentalsVacates!AF23*(1-IF(AG$12-$F23&lt;=12,SUMIFS('Attrition Modeling'!$D:$D,'Attrition Modeling'!$B:$B,$E23,'Attrition Modeling'!$C:$C,AG$11),VLOOKUP(RentalsVacates!AG$12-RentalsVacates!$F23-1,RentalsVacates!$A$8:$C$162,2,FALSE)*VLOOKUP(AG$11,'Attrition Modeling'!$L$15:$N$27,IF(AG$12-$F23&lt;=24,2,3),FALSE))*(1+IF('Traditional Attrition'!AG145&gt;0,'Attrition Modeling'!$N$9,0))),0))</f>
        <v>1649.5830066245717</v>
      </c>
      <c r="AH23" s="799">
        <f>IF(AH$12=$F23+1,IF(Monthly!AD$4=TRUE,0,AH$3),IF(AH$12&gt;$F23+1,RentalsVacates!AG23*(1-IF(AH$12-$F23&lt;=12,SUMIFS('Attrition Modeling'!$D:$D,'Attrition Modeling'!$B:$B,$E23,'Attrition Modeling'!$C:$C,AH$11),VLOOKUP(RentalsVacates!AH$12-RentalsVacates!$F23-1,RentalsVacates!$A$8:$C$162,2,FALSE)*VLOOKUP(AH$11,'Attrition Modeling'!$L$15:$N$27,IF(AH$12-$F23&lt;=24,2,3),FALSE))*(1+IF('Traditional Attrition'!AH145&gt;0,'Attrition Modeling'!$N$9,0))),0))</f>
        <v>1578.0154222464864</v>
      </c>
      <c r="AI23" s="799">
        <f>IF(AI$12=$F23+1,IF(Monthly!AE$4=TRUE,0,AI$3),IF(AI$12&gt;$F23+1,RentalsVacates!AH23*(1-IF(AI$12-$F23&lt;=12,SUMIFS('Attrition Modeling'!$D:$D,'Attrition Modeling'!$B:$B,$E23,'Attrition Modeling'!$C:$C,AI$11),VLOOKUP(RentalsVacates!AI$12-RentalsVacates!$F23-1,RentalsVacates!$A$8:$C$162,2,FALSE)*VLOOKUP(AI$11,'Attrition Modeling'!$L$15:$N$27,IF(AI$12-$F23&lt;=24,2,3),FALSE))*(1+IF('Traditional Attrition'!AI145&gt;0,'Attrition Modeling'!$N$9,0))),0))</f>
        <v>1499.238116875928</v>
      </c>
      <c r="AJ23" s="799">
        <f>IF(AJ$12=$F23+1,IF(Monthly!AF$4=TRUE,0,AJ$3),IF(AJ$12&gt;$F23+1,RentalsVacates!AI23*(1-IF(AJ$12-$F23&lt;=12,SUMIFS('Attrition Modeling'!$D:$D,'Attrition Modeling'!$B:$B,$E23,'Attrition Modeling'!$C:$C,AJ$11),VLOOKUP(RentalsVacates!AJ$12-RentalsVacates!$F23-1,RentalsVacates!$A$8:$C$162,2,FALSE)*VLOOKUP(AJ$11,'Attrition Modeling'!$L$15:$N$27,IF(AJ$12-$F23&lt;=24,2,3),FALSE))*(1+IF('Traditional Attrition'!AJ145&gt;0,'Attrition Modeling'!$N$9,0))),0))</f>
        <v>1438.6421499036207</v>
      </c>
      <c r="AK23" s="799">
        <f>IF(AK$12=$F23+1,IF(Monthly!AG$4=TRUE,0,AK$3),IF(AK$12&gt;$F23+1,RentalsVacates!AJ23*(1-IF(AK$12-$F23&lt;=12,SUMIFS('Attrition Modeling'!$D:$D,'Attrition Modeling'!$B:$B,$E23,'Attrition Modeling'!$C:$C,AK$11),VLOOKUP(RentalsVacates!AK$12-RentalsVacates!$F23-1,RentalsVacates!$A$8:$C$162,2,FALSE)*VLOOKUP(AK$11,'Attrition Modeling'!$L$15:$N$27,IF(AK$12-$F23&lt;=24,2,3),FALSE))*(1+IF('Traditional Attrition'!AK145&gt;0,'Attrition Modeling'!$N$9,0))),0))</f>
        <v>1376.0172545466655</v>
      </c>
      <c r="AL23" s="799">
        <f>IF(AL$12=$F23+1,IF(Monthly!AH$4=TRUE,0,AL$3),IF(AL$12&gt;$F23+1,RentalsVacates!AK23*(1-IF(AL$12-$F23&lt;=12,SUMIFS('Attrition Modeling'!$D:$D,'Attrition Modeling'!$B:$B,$E23,'Attrition Modeling'!$C:$C,AL$11),VLOOKUP(RentalsVacates!AL$12-RentalsVacates!$F23-1,RentalsVacates!$A$8:$C$162,2,FALSE)*VLOOKUP(AL$11,'Attrition Modeling'!$L$15:$N$27,IF(AL$12-$F23&lt;=24,2,3),FALSE))*(1+IF('Traditional Attrition'!AL145&gt;0,'Attrition Modeling'!$N$9,0))),0))</f>
        <v>1315.7481256029971</v>
      </c>
      <c r="AM23" s="799">
        <f>IF(AM$12=$F23+1,IF(Monthly!AI$4=TRUE,0,AM$3),IF(AM$12&gt;$F23+1,RentalsVacates!AL23*(1-IF(AM$12-$F23&lt;=12,SUMIFS('Attrition Modeling'!$D:$D,'Attrition Modeling'!$B:$B,$E23,'Attrition Modeling'!$C:$C,AM$11),VLOOKUP(RentalsVacates!AM$12-RentalsVacates!$F23-1,RentalsVacates!$A$8:$C$162,2,FALSE)*VLOOKUP(AM$11,'Attrition Modeling'!$L$15:$N$27,IF(AM$12-$F23&lt;=24,2,3),FALSE))*(1+IF('Traditional Attrition'!AM145&gt;0,'Attrition Modeling'!$N$9,0))),0))</f>
        <v>1256.5055886192147</v>
      </c>
      <c r="AN23" s="799">
        <f>IF(AN$12=$F23+1,IF(Monthly!AJ$4=TRUE,0,AN$3),IF(AN$12&gt;$F23+1,RentalsVacates!AM23*(1-IF(AN$12-$F23&lt;=12,SUMIFS('Attrition Modeling'!$D:$D,'Attrition Modeling'!$B:$B,$E23,'Attrition Modeling'!$C:$C,AN$11),VLOOKUP(RentalsVacates!AN$12-RentalsVacates!$F23-1,RentalsVacates!$A$8:$C$162,2,FALSE)*VLOOKUP(AN$11,'Attrition Modeling'!$L$15:$N$27,IF(AN$12-$F23&lt;=24,2,3),FALSE))*(1+IF('Traditional Attrition'!AN145&gt;0,'Attrition Modeling'!$N$9,0))),0))</f>
        <v>1205.6534927149166</v>
      </c>
      <c r="AO23" s="799">
        <f>IF(AO$12=$F23+1,IF(Monthly!AK$4=TRUE,0,AO$3),IF(AO$12&gt;$F23+1,RentalsVacates!AN23*(1-IF(AO$12-$F23&lt;=12,SUMIFS('Attrition Modeling'!$D:$D,'Attrition Modeling'!$B:$B,$E23,'Attrition Modeling'!$C:$C,AO$11),VLOOKUP(RentalsVacates!AO$12-RentalsVacates!$F23-1,RentalsVacates!$A$8:$C$162,2,FALSE)*VLOOKUP(AO$11,'Attrition Modeling'!$L$15:$N$27,IF(AO$12-$F23&lt;=24,2,3),FALSE))*(1+IF('Traditional Attrition'!AO145&gt;0,'Attrition Modeling'!$N$9,0))),0))</f>
        <v>1156.3910810507562</v>
      </c>
      <c r="AP23" s="799">
        <f>IF(AP$12=$F23+1,IF(Monthly!AL$4=TRUE,0,AP$3),IF(AP$12&gt;$F23+1,RentalsVacates!AO23*(1-IF(AP$12-$F23&lt;=12,SUMIFS('Attrition Modeling'!$D:$D,'Attrition Modeling'!$B:$B,$E23,'Attrition Modeling'!$C:$C,AP$11),VLOOKUP(RentalsVacates!AP$12-RentalsVacates!$F23-1,RentalsVacates!$A$8:$C$162,2,FALSE)*VLOOKUP(AP$11,'Attrition Modeling'!$L$15:$N$27,IF(AP$12-$F23&lt;=24,2,3),FALSE))*(1+IF('Traditional Attrition'!AP145&gt;0,'Attrition Modeling'!$N$9,0))),0))</f>
        <v>1111.2025589287152</v>
      </c>
      <c r="AQ23" s="799">
        <f>IF(AQ$12=$F23+1,IF(Monthly!AM$4=TRUE,0,AQ$3),IF(AQ$12&gt;$F23+1,RentalsVacates!AP23*(1-IF(AQ$12-$F23&lt;=12,SUMIFS('Attrition Modeling'!$D:$D,'Attrition Modeling'!$B:$B,$E23,'Attrition Modeling'!$C:$C,AQ$11),VLOOKUP(RentalsVacates!AQ$12-RentalsVacates!$F23-1,RentalsVacates!$A$8:$C$162,2,FALSE)*VLOOKUP(AQ$11,'Attrition Modeling'!$L$15:$N$27,IF(AQ$12-$F23&lt;=24,2,3),FALSE))*(1+IF('Traditional Attrition'!AQ145&gt;0,'Attrition Modeling'!$N$9,0))),0))</f>
        <v>1075.9176621008173</v>
      </c>
      <c r="AR23" s="799">
        <f>IF(AR$12=$F23+1,IF(Monthly!AN$4=TRUE,0,AR$3),IF(AR$12&gt;$F23+1,RentalsVacates!AQ23*(1-IF(AR$12-$F23&lt;=12,SUMIFS('Attrition Modeling'!$D:$D,'Attrition Modeling'!$B:$B,$E23,'Attrition Modeling'!$C:$C,AR$11),VLOOKUP(RentalsVacates!AR$12-RentalsVacates!$F23-1,RentalsVacates!$A$8:$C$162,2,FALSE)*VLOOKUP(AR$11,'Attrition Modeling'!$L$15:$N$27,IF(AR$12-$F23&lt;=24,2,3),FALSE))*(1+IF('Traditional Attrition'!AR145&gt;0,'Attrition Modeling'!$N$9,0))),0))</f>
        <v>1038.6062534982123</v>
      </c>
      <c r="AS23" s="799">
        <f>IF(AS$12=$F23+1,IF(Monthly!AO$4=TRUE,0,AS$3),IF(AS$12&gt;$F23+1,RentalsVacates!AR23*(1-IF(AS$12-$F23&lt;=12,SUMIFS('Attrition Modeling'!$D:$D,'Attrition Modeling'!$B:$B,$E23,'Attrition Modeling'!$C:$C,AS$11),VLOOKUP(RentalsVacates!AS$12-RentalsVacates!$F23-1,RentalsVacates!$A$8:$C$162,2,FALSE)*VLOOKUP(AS$11,'Attrition Modeling'!$L$15:$N$27,IF(AS$12-$F23&lt;=24,2,3),FALSE))*(1+IF('Traditional Attrition'!AS145&gt;0,'Attrition Modeling'!$N$9,0))),0))</f>
        <v>1004.1786670734773</v>
      </c>
      <c r="AT23" s="799">
        <f>IF(AT$12=$F23+1,IF(Monthly!AP$4=TRUE,0,AT$3),IF(AT$12&gt;$F23+1,RentalsVacates!AS23*(1-IF(AT$12-$F23&lt;=12,SUMIFS('Attrition Modeling'!$D:$D,'Attrition Modeling'!$B:$B,$E23,'Attrition Modeling'!$C:$C,AT$11),VLOOKUP(RentalsVacates!AT$12-RentalsVacates!$F23-1,RentalsVacates!$A$8:$C$162,2,FALSE)*VLOOKUP(AT$11,'Attrition Modeling'!$L$15:$N$27,IF(AT$12-$F23&lt;=24,2,3),FALSE))*(1+IF('Traditional Attrition'!AT145&gt;0,'Attrition Modeling'!$N$9,0))),0))</f>
        <v>972.70122223997487</v>
      </c>
      <c r="AU23" s="799">
        <f>IF(AU$12=$F23+1,IF(Monthly!AQ$4=TRUE,0,AU$3),IF(AU$12&gt;$F23+1,RentalsVacates!AT23*(1-IF(AU$12-$F23&lt;=12,SUMIFS('Attrition Modeling'!$D:$D,'Attrition Modeling'!$B:$B,$E23,'Attrition Modeling'!$C:$C,AU$11),VLOOKUP(RentalsVacates!AU$12-RentalsVacates!$F23-1,RentalsVacates!$A$8:$C$162,2,FALSE)*VLOOKUP(AU$11,'Attrition Modeling'!$L$15:$N$27,IF(AU$12-$F23&lt;=24,2,3),FALSE))*(1+IF('Traditional Attrition'!AU145&gt;0,'Attrition Modeling'!$N$9,0))),0))</f>
        <v>943.96821161038679</v>
      </c>
      <c r="AV23" s="799">
        <f>IF(AV$12=$F23+1,IF(Monthly!AR$4=TRUE,0,AV$3),IF(AV$12&gt;$F23+1,RentalsVacates!AU23*(1-IF(AV$12-$F23&lt;=12,SUMIFS('Attrition Modeling'!$D:$D,'Attrition Modeling'!$B:$B,$E23,'Attrition Modeling'!$C:$C,AV$11),VLOOKUP(RentalsVacates!AV$12-RentalsVacates!$F23-1,RentalsVacates!$A$8:$C$162,2,FALSE)*VLOOKUP(AV$11,'Attrition Modeling'!$L$15:$N$27,IF(AV$12-$F23&lt;=24,2,3),FALSE))*(1+IF('Traditional Attrition'!AV145&gt;0,'Attrition Modeling'!$N$9,0))),0))</f>
        <v>916.25873019971232</v>
      </c>
      <c r="AW23" s="799">
        <f>IF(AW$12=$F23+1,IF(Monthly!AS$4=TRUE,0,AW$3),IF(AW$12&gt;$F23+1,RentalsVacates!AV23*(1-IF(AW$12-$F23&lt;=12,SUMIFS('Attrition Modeling'!$D:$D,'Attrition Modeling'!$B:$B,$E23,'Attrition Modeling'!$C:$C,AW$11),VLOOKUP(RentalsVacates!AW$12-RentalsVacates!$F23-1,RentalsVacates!$A$8:$C$162,2,FALSE)*VLOOKUP(AW$11,'Attrition Modeling'!$L$15:$N$27,IF(AW$12-$F23&lt;=24,2,3),FALSE))*(1+IF('Traditional Attrition'!AW145&gt;0,'Attrition Modeling'!$N$9,0))),0))</f>
        <v>885.92984680559846</v>
      </c>
      <c r="AX23" s="799">
        <f>IF(AX$12=$F23+1,IF(Monthly!AT$4=TRUE,0,AX$3),IF(AX$12&gt;$F23+1,RentalsVacates!AW23*(1-IF(AX$12-$F23&lt;=12,SUMIFS('Attrition Modeling'!$D:$D,'Attrition Modeling'!$B:$B,$E23,'Attrition Modeling'!$C:$C,AX$11),VLOOKUP(RentalsVacates!AX$12-RentalsVacates!$F23-1,RentalsVacates!$A$8:$C$162,2,FALSE)*VLOOKUP(AX$11,'Attrition Modeling'!$L$15:$N$27,IF(AX$12-$F23&lt;=24,2,3),FALSE))*(1+IF('Traditional Attrition'!AX145&gt;0,'Attrition Modeling'!$N$9,0))),0))</f>
        <v>854.35371350372338</v>
      </c>
      <c r="AY23" s="799">
        <f>IF(AY$12=$F23+1,IF(Monthly!AU$4=TRUE,0,AY$3),IF(AY$12&gt;$F23+1,RentalsVacates!AX23*(1-IF(AY$12-$F23&lt;=12,SUMIFS('Attrition Modeling'!$D:$D,'Attrition Modeling'!$B:$B,$E23,'Attrition Modeling'!$C:$C,AY$11),VLOOKUP(RentalsVacates!AY$12-RentalsVacates!$F23-1,RentalsVacates!$A$8:$C$162,2,FALSE)*VLOOKUP(AY$11,'Attrition Modeling'!$L$15:$N$27,IF(AY$12-$F23&lt;=24,2,3),FALSE))*(1+IF('Traditional Attrition'!AY145&gt;0,'Attrition Modeling'!$N$9,0))),0))</f>
        <v>822.02890291390668</v>
      </c>
      <c r="AZ23" s="799">
        <f>IF(AZ$12=$F23+1,IF(Monthly!AV$4=TRUE,0,AZ$3),IF(AZ$12&gt;$F23+1,RentalsVacates!AY23*(1-IF(AZ$12-$F23&lt;=12,SUMIFS('Attrition Modeling'!$D:$D,'Attrition Modeling'!$B:$B,$E23,'Attrition Modeling'!$C:$C,AZ$11),VLOOKUP(RentalsVacates!AZ$12-RentalsVacates!$F23-1,RentalsVacates!$A$8:$C$162,2,FALSE)*VLOOKUP(AZ$11,'Attrition Modeling'!$L$15:$N$27,IF(AZ$12-$F23&lt;=24,2,3),FALSE))*(1+IF('Traditional Attrition'!AZ145&gt;0,'Attrition Modeling'!$N$9,0))),0))</f>
        <v>793.14950378116168</v>
      </c>
      <c r="BA23" s="799">
        <f>IF(BA$12=$F23+1,IF(Monthly!AW$4=TRUE,0,BA$3),IF(BA$12&gt;$F23+1,RentalsVacates!AZ23*(1-IF(BA$12-$F23&lt;=12,SUMIFS('Attrition Modeling'!$D:$D,'Attrition Modeling'!$B:$B,$E23,'Attrition Modeling'!$C:$C,BA$11),VLOOKUP(RentalsVacates!BA$12-RentalsVacates!$F23-1,RentalsVacates!$A$8:$C$162,2,FALSE)*VLOOKUP(BA$11,'Attrition Modeling'!$L$15:$N$27,IF(BA$12-$F23&lt;=24,2,3),FALSE))*(1+IF('Traditional Attrition'!BA145&gt;0,'Attrition Modeling'!$N$9,0))),0))</f>
        <v>766.54089411813118</v>
      </c>
      <c r="BB23" s="799">
        <f>IF(BB$12=$F23+1,IF(Monthly!AX$4=TRUE,0,BB$3),IF(BB$12&gt;$F23+1,RentalsVacates!BA23*(1-IF(BB$12-$F23&lt;=12,SUMIFS('Attrition Modeling'!$D:$D,'Attrition Modeling'!$B:$B,$E23,'Attrition Modeling'!$C:$C,BB$11),VLOOKUP(RentalsVacates!BB$12-RentalsVacates!$F23-1,RentalsVacates!$A$8:$C$162,2,FALSE)*VLOOKUP(BB$11,'Attrition Modeling'!$L$15:$N$27,IF(BB$12-$F23&lt;=24,2,3),FALSE))*(1+IF('Traditional Attrition'!BB145&gt;0,'Attrition Modeling'!$N$9,0))),0))</f>
        <v>741.67852890738129</v>
      </c>
      <c r="BC23" s="799">
        <f>IF(BC$12=$F23+1,IF(Monthly!AY$4=TRUE,0,BC$3),IF(BC$12&gt;$F23+1,RentalsVacates!BB23*(1-IF(BC$12-$F23&lt;=12,SUMIFS('Attrition Modeling'!$D:$D,'Attrition Modeling'!$B:$B,$E23,'Attrition Modeling'!$C:$C,BC$11),VLOOKUP(RentalsVacates!BC$12-RentalsVacates!$F23-1,RentalsVacates!$A$8:$C$162,2,FALSE)*VLOOKUP(BC$11,'Attrition Modeling'!$L$15:$N$27,IF(BC$12-$F23&lt;=24,2,3),FALSE))*(1+IF('Traditional Attrition'!BC145&gt;0,'Attrition Modeling'!$N$9,0))),0))</f>
        <v>722.0657244055817</v>
      </c>
      <c r="BD23" s="799">
        <f>IF(BD$12=$F23+1,IF(Monthly!AZ$4=TRUE,0,BD$3),IF(BD$12&gt;$F23+1,RentalsVacates!BC23*(1-IF(BD$12-$F23&lt;=12,SUMIFS('Attrition Modeling'!$D:$D,'Attrition Modeling'!$B:$B,$E23,'Attrition Modeling'!$C:$C,BD$11),VLOOKUP(RentalsVacates!BD$12-RentalsVacates!$F23-1,RentalsVacates!$A$8:$C$162,2,FALSE)*VLOOKUP(BD$11,'Attrition Modeling'!$L$15:$N$27,IF(BD$12-$F23&lt;=24,2,3),FALSE))*(1+IF('Traditional Attrition'!BD145&gt;0,'Attrition Modeling'!$N$9,0))),0))</f>
        <v>701.14765606279798</v>
      </c>
      <c r="BE23" s="799">
        <f>IF(BE$12=$F23+1,IF(Monthly!BA$4=TRUE,0,BE$3),IF(BE$12&gt;$F23+1,RentalsVacates!BD23*(1-IF(BE$12-$F23&lt;=12,SUMIFS('Attrition Modeling'!$D:$D,'Attrition Modeling'!$B:$B,$E23,'Attrition Modeling'!$C:$C,BE$11),VLOOKUP(RentalsVacates!BE$12-RentalsVacates!$F23-1,RentalsVacates!$A$8:$C$162,2,FALSE)*VLOOKUP(BE$11,'Attrition Modeling'!$L$15:$N$27,IF(BE$12-$F23&lt;=24,2,3),FALSE))*(1+IF('Traditional Attrition'!BE145&gt;0,'Attrition Modeling'!$N$9,0))),0))</f>
        <v>681.67530289566957</v>
      </c>
      <c r="BF23" s="799">
        <f>IF(BF$12=$F23+1,IF(Monthly!BB$4=TRUE,0,BF$3),IF(BF$12&gt;$F23+1,RentalsVacates!BE23*(1-IF(BF$12-$F23&lt;=12,SUMIFS('Attrition Modeling'!$D:$D,'Attrition Modeling'!$B:$B,$E23,'Attrition Modeling'!$C:$C,BF$11),VLOOKUP(RentalsVacates!BF$12-RentalsVacates!$F23-1,RentalsVacates!$A$8:$C$162,2,FALSE)*VLOOKUP(BF$11,'Attrition Modeling'!$L$15:$N$27,IF(BF$12-$F23&lt;=24,2,3),FALSE))*(1+IF('Traditional Attrition'!BF145&gt;0,'Attrition Modeling'!$N$9,0))),0))</f>
        <v>663.72322725892639</v>
      </c>
      <c r="BG23" s="799">
        <f>IF(BG$12=$F23+1,IF(Monthly!BC$4=TRUE,0,BG$3),IF(BG$12&gt;$F23+1,RentalsVacates!BF23*(1-IF(BG$12-$F23&lt;=12,SUMIFS('Attrition Modeling'!$D:$D,'Attrition Modeling'!$B:$B,$E23,'Attrition Modeling'!$C:$C,BG$11),VLOOKUP(RentalsVacates!BG$12-RentalsVacates!$F23-1,RentalsVacates!$A$8:$C$162,2,FALSE)*VLOOKUP(BG$11,'Attrition Modeling'!$L$15:$N$27,IF(BG$12-$F23&lt;=24,2,3),FALSE))*(1+IF('Traditional Attrition'!BG145&gt;0,'Attrition Modeling'!$N$9,0))),0))</f>
        <v>647.20881453632967</v>
      </c>
      <c r="BH23" s="799">
        <f>IF(BH$12=$F23+1,IF(Monthly!BD$4=TRUE,0,BH$3),IF(BH$12&gt;$F23+1,RentalsVacates!BG23*(1-IF(BH$12-$F23&lt;=12,SUMIFS('Attrition Modeling'!$D:$D,'Attrition Modeling'!$B:$B,$E23,'Attrition Modeling'!$C:$C,BH$11),VLOOKUP(RentalsVacates!BH$12-RentalsVacates!$F23-1,RentalsVacates!$A$8:$C$162,2,FALSE)*VLOOKUP(BH$11,'Attrition Modeling'!$L$15:$N$27,IF(BH$12-$F23&lt;=24,2,3),FALSE))*(1+IF('Traditional Attrition'!BH145&gt;0,'Attrition Modeling'!$N$9,0))),0))</f>
        <v>631.16706412140161</v>
      </c>
      <c r="BI23" s="799">
        <f>IF(BI$12=$F23+1,IF(Monthly!BE$4=TRUE,0,BI$3),IF(BI$12&gt;$F23+1,RentalsVacates!BH23*(1-IF(BI$12-$F23&lt;=12,SUMIFS('Attrition Modeling'!$D:$D,'Attrition Modeling'!$B:$B,$E23,'Attrition Modeling'!$C:$C,BI$11),VLOOKUP(RentalsVacates!BI$12-RentalsVacates!$F23-1,RentalsVacates!$A$8:$C$162,2,FALSE)*VLOOKUP(BI$11,'Attrition Modeling'!$L$15:$N$27,IF(BI$12-$F23&lt;=24,2,3),FALSE))*(1+IF('Traditional Attrition'!BI145&gt;0,'Attrition Modeling'!$N$9,0))),0))</f>
        <v>613.48545562805577</v>
      </c>
      <c r="BJ23" s="799">
        <f>IF(BJ$12=$F23+1,IF(Monthly!BF$4=TRUE,0,BJ$3),IF(BJ$12&gt;$F23+1,RentalsVacates!BI23*(1-IF(BJ$12-$F23&lt;=12,SUMIFS('Attrition Modeling'!$D:$D,'Attrition Modeling'!$B:$B,$E23,'Attrition Modeling'!$C:$C,BJ$11),VLOOKUP(RentalsVacates!BJ$12-RentalsVacates!$F23-1,RentalsVacates!$A$8:$C$162,2,FALSE)*VLOOKUP(BJ$11,'Attrition Modeling'!$L$15:$N$27,IF(BJ$12-$F23&lt;=24,2,3),FALSE))*(1+IF('Traditional Attrition'!BJ145&gt;0,'Attrition Modeling'!$N$9,0))),0))</f>
        <v>594.93941165922456</v>
      </c>
      <c r="BK23" s="799">
        <f>IF(BK$12=$F23+1,IF(Monthly!BG$4=TRUE,0,BK$3),IF(BK$12&gt;$F23+1,RentalsVacates!BJ23*(1-IF(BK$12-$F23&lt;=12,SUMIFS('Attrition Modeling'!$D:$D,'Attrition Modeling'!$B:$B,$E23,'Attrition Modeling'!$C:$C,BK$11),VLOOKUP(RentalsVacates!BK$12-RentalsVacates!$F23-1,RentalsVacates!$A$8:$C$162,2,FALSE)*VLOOKUP(BK$11,'Attrition Modeling'!$L$15:$N$27,IF(BK$12-$F23&lt;=24,2,3),FALSE))*(1+IF('Traditional Attrition'!BK145&gt;0,'Attrition Modeling'!$N$9,0))),0))</f>
        <v>575.80760179760512</v>
      </c>
      <c r="BL23" s="799">
        <f>IF(BL$12=$F23+1,IF(Monthly!BH$4=TRUE,0,BL$3),IF(BL$12&gt;$F23+1,RentalsVacates!BK23*(1-IF(BL$12-$F23&lt;=12,SUMIFS('Attrition Modeling'!$D:$D,'Attrition Modeling'!$B:$B,$E23,'Attrition Modeling'!$C:$C,BL$11),VLOOKUP(RentalsVacates!BL$12-RentalsVacates!$F23-1,RentalsVacates!$A$8:$C$162,2,FALSE)*VLOOKUP(BL$11,'Attrition Modeling'!$L$15:$N$27,IF(BL$12-$F23&lt;=24,2,3),FALSE))*(1+IF('Traditional Attrition'!BL145&gt;0,'Attrition Modeling'!$N$9,0))),0))</f>
        <v>558.58042544465229</v>
      </c>
      <c r="BM23" s="799">
        <f>IF(BM$12=$F23+1,IF(Monthly!BI$4=TRUE,0,BM$3),IF(BM$12&gt;$F23+1,RentalsVacates!BL23*(1-IF(BM$12-$F23&lt;=12,SUMIFS('Attrition Modeling'!$D:$D,'Attrition Modeling'!$B:$B,$E23,'Attrition Modeling'!$C:$C,BM$11),VLOOKUP(RentalsVacates!BM$12-RentalsVacates!$F23-1,RentalsVacates!$A$8:$C$162,2,FALSE)*VLOOKUP(BM$11,'Attrition Modeling'!$L$15:$N$27,IF(BM$12-$F23&lt;=24,2,3),FALSE))*(1+IF('Traditional Attrition'!BM145&gt;0,'Attrition Modeling'!$N$9,0))),0))</f>
        <v>542.59238370320145</v>
      </c>
      <c r="BN23" s="799">
        <f>IF(BN$12=$F23+1,IF(Monthly!BJ$4=TRUE,0,BN$3),IF(BN$12&gt;$F23+1,RentalsVacates!BM23*(1-IF(BN$12-$F23&lt;=12,SUMIFS('Attrition Modeling'!$D:$D,'Attrition Modeling'!$B:$B,$E23,'Attrition Modeling'!$C:$C,BN$11),VLOOKUP(RentalsVacates!BN$12-RentalsVacates!$F23-1,RentalsVacates!$A$8:$C$162,2,FALSE)*VLOOKUP(BN$11,'Attrition Modeling'!$L$15:$N$27,IF(BN$12-$F23&lt;=24,2,3),FALSE))*(1+IF('Traditional Attrition'!BN145&gt;0,'Attrition Modeling'!$N$9,0))),0))</f>
        <v>527.65201740790167</v>
      </c>
      <c r="BO23" s="799">
        <f>IF(BO$12=$F23+1,IF(Monthly!BK$4=TRUE,0,BO$3),IF(BO$12&gt;$F23+1,RentalsVacates!BN23*(1-IF(BO$12-$F23&lt;=12,SUMIFS('Attrition Modeling'!$D:$D,'Attrition Modeling'!$B:$B,$E23,'Attrition Modeling'!$C:$C,BO$11),VLOOKUP(RentalsVacates!BO$12-RentalsVacates!$F23-1,RentalsVacates!$A$8:$C$162,2,FALSE)*VLOOKUP(BO$11,'Attrition Modeling'!$L$15:$N$27,IF(BO$12-$F23&lt;=24,2,3),FALSE))*(1+IF('Traditional Attrition'!BO145&gt;0,'Attrition Modeling'!$N$9,0))),0))</f>
        <v>515.78861238061836</v>
      </c>
      <c r="BP23" s="799">
        <f>IF(BP$12=$F23+1,IF(Monthly!BL$4=TRUE,0,BP$3),IF(BP$12&gt;$F23+1,RentalsVacates!BO23*(1-IF(BP$12-$F23&lt;=12,SUMIFS('Attrition Modeling'!$D:$D,'Attrition Modeling'!$B:$B,$E23,'Attrition Modeling'!$C:$C,BP$11),VLOOKUP(RentalsVacates!BP$12-RentalsVacates!$F23-1,RentalsVacates!$A$8:$C$162,2,FALSE)*VLOOKUP(BP$11,'Attrition Modeling'!$L$15:$N$27,IF(BP$12-$F23&lt;=24,2,3),FALSE))*(1+IF('Traditional Attrition'!BP145&gt;0,'Attrition Modeling'!$N$9,0))),0))</f>
        <v>503.06602090803113</v>
      </c>
      <c r="BQ23" s="799">
        <f>IF(BQ$12=$F23+1,IF(Monthly!BM$4=TRUE,0,BQ$3),IF(BQ$12&gt;$F23+1,RentalsVacates!BP23*(1-IF(BQ$12-$F23&lt;=12,SUMIFS('Attrition Modeling'!$D:$D,'Attrition Modeling'!$B:$B,$E23,'Attrition Modeling'!$C:$C,BQ$11),VLOOKUP(RentalsVacates!BQ$12-RentalsVacates!$F23-1,RentalsVacates!$A$8:$C$162,2,FALSE)*VLOOKUP(BQ$11,'Attrition Modeling'!$L$15:$N$27,IF(BQ$12-$F23&lt;=24,2,3),FALSE))*(1+IF('Traditional Attrition'!BQ145&gt;0,'Attrition Modeling'!$N$9,0))),0))</f>
        <v>491.15414304591019</v>
      </c>
      <c r="BR23" s="799">
        <f>IF(BR$12=$F23+1,IF(Monthly!BN$4=TRUE,0,BR$3),IF(BR$12&gt;$F23+1,RentalsVacates!BQ23*(1-IF(BR$12-$F23&lt;=12,SUMIFS('Attrition Modeling'!$D:$D,'Attrition Modeling'!$B:$B,$E23,'Attrition Modeling'!$C:$C,BR$11),VLOOKUP(RentalsVacates!BR$12-RentalsVacates!$F23-1,RentalsVacates!$A$8:$C$162,2,FALSE)*VLOOKUP(BR$11,'Attrition Modeling'!$L$15:$N$27,IF(BR$12-$F23&lt;=24,2,3),FALSE))*(1+IF('Traditional Attrition'!BR145&gt;0,'Attrition Modeling'!$N$9,0))),0))</f>
        <v>480.11191741639578</v>
      </c>
      <c r="BS23" s="799">
        <f>IF(BS$12=$F23+1,IF(Monthly!BO$4=TRUE,0,BS$3),IF(BS$12&gt;$F23+1,RentalsVacates!BR23*(1-IF(BS$12-$F23&lt;=12,SUMIFS('Attrition Modeling'!$D:$D,'Attrition Modeling'!$B:$B,$E23,'Attrition Modeling'!$C:$C,BS$11),VLOOKUP(RentalsVacates!BS$12-RentalsVacates!$F23-1,RentalsVacates!$A$8:$C$162,2,FALSE)*VLOOKUP(BS$11,'Attrition Modeling'!$L$15:$N$27,IF(BS$12-$F23&lt;=24,2,3),FALSE))*(1+IF('Traditional Attrition'!BS145&gt;0,'Attrition Modeling'!$N$9,0))),0))</f>
        <v>471.60319469153006</v>
      </c>
      <c r="BT23" s="799">
        <f>IF(BT$11=$F22+1,IF(Monthly!#REF!=TRUE,0,BT$3),IF(BT$11&gt;$F22+1,RentalsVacates!BS22*(1-IF(BT$11-$F22&lt;=12,SUMIFS('Attrition Modeling'!$D:$D,'Attrition Modeling'!$B:$B,$E22,'Attrition Modeling'!$C:$C,BT$10),VLOOKUP(RentalsVacates!BT$11-RentalsVacates!$F22-1,RentalsVacates!$A$7:$C$161,2,FALSE)*VLOOKUP(BT$10,'Attrition Modeling'!$L$15:$N$27,IF(BT$11-$F22&lt;=24,2,3),FALSE))*(1+IF('Traditional Attrition'!BT145&gt;0,'Attrition Modeling'!$N$9,0))),0))</f>
        <v>0</v>
      </c>
      <c r="BU23" s="799">
        <f>IF(BU$11=$F22+1,IF(Monthly!#REF!=TRUE,0,BU$3),IF(BU$11&gt;$F22+1,RentalsVacates!BT22*(1-IF(BU$11-$F22&lt;=12,SUMIFS('Attrition Modeling'!$D:$D,'Attrition Modeling'!$B:$B,$E22,'Attrition Modeling'!$C:$C,BU$10),VLOOKUP(RentalsVacates!BU$11-RentalsVacates!$F22-1,RentalsVacates!$A$7:$C$161,2,FALSE)*VLOOKUP(BU$10,'Attrition Modeling'!$L$15:$N$27,IF(BU$11-$F22&lt;=24,2,3),FALSE))*(1+IF('Traditional Attrition'!BU145&gt;0,'Attrition Modeling'!$N$9,0))),0))</f>
        <v>0</v>
      </c>
    </row>
    <row r="24" spans="1:73" ht="14.25" customHeight="1" x14ac:dyDescent="0.2">
      <c r="A24" s="9">
        <v>16</v>
      </c>
      <c r="B24" s="25">
        <f>MAX('Attrition Modeling'!H20,$C$3)*(1-Summary!$C$20)</f>
        <v>4.4723205445370194E-2</v>
      </c>
      <c r="C24" s="24" t="e">
        <f t="shared" si="2"/>
        <v>#DIV/0!</v>
      </c>
      <c r="E24" s="11">
        <f>'Traditional Attrition'!E81</f>
        <v>11</v>
      </c>
      <c r="F24" s="11">
        <f t="shared" si="4"/>
        <v>11</v>
      </c>
      <c r="G24" s="799"/>
      <c r="H24" s="799">
        <f>IF(H$12=$F24+1,IF(Monthly!D$4=TRUE,0,H$3),IF(H$12&gt;$F24+1,RentalsVacates!G24*(1-IF(H$12-$F24&lt;=12,SUMIFS('Attrition Modeling'!$D:$D,'Attrition Modeling'!$B:$B,$E24,'Attrition Modeling'!$C:$C,H$11),VLOOKUP(RentalsVacates!H$12-RentalsVacates!$F24-1,RentalsVacates!$A$8:$C$162,2,FALSE)*VLOOKUP(H$11,'Attrition Modeling'!$L$15:$N$27,IF(H$12-$F24&lt;=24,2,3),FALSE))*(1+IF('Traditional Attrition'!H146&gt;0,'Attrition Modeling'!$N$9,0))),0))</f>
        <v>0</v>
      </c>
      <c r="I24" s="799">
        <f>IF(I$12=$F24+1,IF(Monthly!E$4=TRUE,0,I$3),IF(I$12&gt;$F24+1,RentalsVacates!H24*(1-IF(I$12-$F24&lt;=12,SUMIFS('Attrition Modeling'!$D:$D,'Attrition Modeling'!$B:$B,$E24,'Attrition Modeling'!$C:$C,I$11),VLOOKUP(RentalsVacates!I$12-RentalsVacates!$F24-1,RentalsVacates!$A$8:$C$162,2,FALSE)*VLOOKUP(I$11,'Attrition Modeling'!$L$15:$N$27,IF(I$12-$F24&lt;=24,2,3),FALSE))*(1+IF('Traditional Attrition'!I146&gt;0,'Attrition Modeling'!$N$9,0))),0))</f>
        <v>0</v>
      </c>
      <c r="J24" s="799">
        <f>IF(J$12=$F24+1,IF(Monthly!F$4=TRUE,0,J$3),IF(J$12&gt;$F24+1,RentalsVacates!I24*(1-IF(J$12-$F24&lt;=12,SUMIFS('Attrition Modeling'!$D:$D,'Attrition Modeling'!$B:$B,$E24,'Attrition Modeling'!$C:$C,J$11),VLOOKUP(RentalsVacates!J$12-RentalsVacates!$F24-1,RentalsVacates!$A$8:$C$162,2,FALSE)*VLOOKUP(J$11,'Attrition Modeling'!$L$15:$N$27,IF(J$12-$F24&lt;=24,2,3),FALSE))*(1+IF('Traditional Attrition'!J146&gt;0,'Attrition Modeling'!$N$9,0))),0))</f>
        <v>0</v>
      </c>
      <c r="K24" s="799">
        <f>IF(K$12=$F24+1,IF(Monthly!G$4=TRUE,0,K$3),IF(K$12&gt;$F24+1,RentalsVacates!J24*(1-IF(K$12-$F24&lt;=12,SUMIFS('Attrition Modeling'!$D:$D,'Attrition Modeling'!$B:$B,$E24,'Attrition Modeling'!$C:$C,K$11),VLOOKUP(RentalsVacates!K$12-RentalsVacates!$F24-1,RentalsVacates!$A$8:$C$162,2,FALSE)*VLOOKUP(K$11,'Attrition Modeling'!$L$15:$N$27,IF(K$12-$F24&lt;=24,2,3),FALSE))*(1+IF('Traditional Attrition'!K146&gt;0,'Attrition Modeling'!$N$9,0))),0))</f>
        <v>0</v>
      </c>
      <c r="L24" s="799">
        <f>IF(L$12=$F24+1,IF(Monthly!H$4=TRUE,0,L$3),IF(L$12&gt;$F24+1,RentalsVacates!K24*(1-IF(L$12-$F24&lt;=12,SUMIFS('Attrition Modeling'!$D:$D,'Attrition Modeling'!$B:$B,$E24,'Attrition Modeling'!$C:$C,L$11),VLOOKUP(RentalsVacates!L$12-RentalsVacates!$F24-1,RentalsVacates!$A$8:$C$162,2,FALSE)*VLOOKUP(L$11,'Attrition Modeling'!$L$15:$N$27,IF(L$12-$F24&lt;=24,2,3),FALSE))*(1+IF('Traditional Attrition'!L146&gt;0,'Attrition Modeling'!$N$9,0))),0))</f>
        <v>0</v>
      </c>
      <c r="M24" s="799">
        <f>IF(M$12=$F24+1,IF(Monthly!I$4=TRUE,0,M$3),IF(M$12&gt;$F24+1,RentalsVacates!L24*(1-IF(M$12-$F24&lt;=12,SUMIFS('Attrition Modeling'!$D:$D,'Attrition Modeling'!$B:$B,$E24,'Attrition Modeling'!$C:$C,M$11),VLOOKUP(RentalsVacates!M$12-RentalsVacates!$F24-1,RentalsVacates!$A$8:$C$162,2,FALSE)*VLOOKUP(M$11,'Attrition Modeling'!$L$15:$N$27,IF(M$12-$F24&lt;=24,2,3),FALSE))*(1+IF('Traditional Attrition'!M146&gt;0,'Attrition Modeling'!$N$9,0))),0))</f>
        <v>0</v>
      </c>
      <c r="N24" s="799">
        <f>IF(N$12=$F24+1,IF(Monthly!J$4=TRUE,0,N$3),IF(N$12&gt;$F24+1,RentalsVacates!M24*(1-IF(N$12-$F24&lt;=12,SUMIFS('Attrition Modeling'!$D:$D,'Attrition Modeling'!$B:$B,$E24,'Attrition Modeling'!$C:$C,N$11),VLOOKUP(RentalsVacates!N$12-RentalsVacates!$F24-1,RentalsVacates!$A$8:$C$162,2,FALSE)*VLOOKUP(N$11,'Attrition Modeling'!$L$15:$N$27,IF(N$12-$F24&lt;=24,2,3),FALSE))*(1+IF('Traditional Attrition'!N146&gt;0,'Attrition Modeling'!$N$9,0))),0))</f>
        <v>0</v>
      </c>
      <c r="O24" s="799">
        <f>IF(O$12=$F24+1,IF(Monthly!K$4=TRUE,0,O$3),IF(O$12&gt;$F24+1,RentalsVacates!N24*(1-IF(O$12-$F24&lt;=12,SUMIFS('Attrition Modeling'!$D:$D,'Attrition Modeling'!$B:$B,$E24,'Attrition Modeling'!$C:$C,O$11),VLOOKUP(RentalsVacates!O$12-RentalsVacates!$F24-1,RentalsVacates!$A$8:$C$162,2,FALSE)*VLOOKUP(O$11,'Attrition Modeling'!$L$15:$N$27,IF(O$12-$F24&lt;=24,2,3),FALSE))*(1+IF('Traditional Attrition'!O146&gt;0,'Attrition Modeling'!$N$9,0))),0))</f>
        <v>0</v>
      </c>
      <c r="P24" s="799">
        <f>IF(P$12=$F24+1,IF(Monthly!L$4=TRUE,0,P$3),IF(P$12&gt;$F24+1,RentalsVacates!O24*(1-IF(P$12-$F24&lt;=12,SUMIFS('Attrition Modeling'!$D:$D,'Attrition Modeling'!$B:$B,$E24,'Attrition Modeling'!$C:$C,P$11),VLOOKUP(RentalsVacates!P$12-RentalsVacates!$F24-1,RentalsVacates!$A$8:$C$162,2,FALSE)*VLOOKUP(P$11,'Attrition Modeling'!$L$15:$N$27,IF(P$12-$F24&lt;=24,2,3),FALSE))*(1+IF('Traditional Attrition'!P146&gt;0,'Attrition Modeling'!$N$9,0))),0))</f>
        <v>0</v>
      </c>
      <c r="Q24" s="799">
        <f>IF(Q$12=$F24+1,IF(Monthly!M$4=TRUE,0,Q$3),IF(Q$12&gt;$F24+1,RentalsVacates!P24*(1-IF(Q$12-$F24&lt;=12,SUMIFS('Attrition Modeling'!$D:$D,'Attrition Modeling'!$B:$B,$E24,'Attrition Modeling'!$C:$C,Q$11),VLOOKUP(RentalsVacates!Q$12-RentalsVacates!$F24-1,RentalsVacates!$A$8:$C$162,2,FALSE)*VLOOKUP(Q$11,'Attrition Modeling'!$L$15:$N$27,IF(Q$12-$F24&lt;=24,2,3),FALSE))*(1+IF('Traditional Attrition'!Q146&gt;0,'Attrition Modeling'!$N$9,0))),0))</f>
        <v>0</v>
      </c>
      <c r="R24" s="799">
        <f>IF(R$12=$F24+1,IF(Monthly!N$4=TRUE,0,R$3),IF(R$12&gt;$F24+1,RentalsVacates!Q24*(1-IF(R$12-$F24&lt;=12,SUMIFS('Attrition Modeling'!$D:$D,'Attrition Modeling'!$B:$B,$E24,'Attrition Modeling'!$C:$C,R$11),VLOOKUP(RentalsVacates!R$12-RentalsVacates!$F24-1,RentalsVacates!$A$8:$C$162,2,FALSE)*VLOOKUP(R$11,'Attrition Modeling'!$L$15:$N$27,IF(R$12-$F24&lt;=24,2,3),FALSE))*(1+IF('Traditional Attrition'!R146&gt;0,'Attrition Modeling'!$N$9,0))),0))</f>
        <v>0</v>
      </c>
      <c r="S24" s="799">
        <f>IF(S$12=$F24+1,IF(Monthly!O$4=TRUE,0,S$3),IF(S$12&gt;$F24+1,RentalsVacates!R24*(1-IF(S$12-$F24&lt;=12,SUMIFS('Attrition Modeling'!$D:$D,'Attrition Modeling'!$B:$B,$E24,'Attrition Modeling'!$C:$C,S$11),VLOOKUP(RentalsVacates!S$12-RentalsVacates!$F24-1,RentalsVacates!$A$8:$C$162,2,FALSE)*VLOOKUP(S$11,'Attrition Modeling'!$L$15:$N$27,IF(S$12-$F24&lt;=24,2,3),FALSE))*(1+IF('Traditional Attrition'!S146&gt;0,'Attrition Modeling'!$N$9,0))),0))</f>
        <v>4448.5893553228962</v>
      </c>
      <c r="T24" s="799">
        <f>IF(T$12=$F24+1,IF(Monthly!P$4=TRUE,0,T$3),IF(T$12&gt;$F24+1,RentalsVacates!S24*(1-IF(T$12-$F24&lt;=12,SUMIFS('Attrition Modeling'!$D:$D,'Attrition Modeling'!$B:$B,$E24,'Attrition Modeling'!$C:$C,T$11),VLOOKUP(RentalsVacates!T$12-RentalsVacates!$F24-1,RentalsVacates!$A$8:$C$162,2,FALSE)*VLOOKUP(T$11,'Attrition Modeling'!$L$15:$N$27,IF(T$12-$F24&lt;=24,2,3),FALSE))*(1+IF('Traditional Attrition'!T146&gt;0,'Attrition Modeling'!$N$9,0))),0))</f>
        <v>4044.680574524225</v>
      </c>
      <c r="U24" s="799">
        <f>IF(U$12=$F24+1,IF(Monthly!Q$4=TRUE,0,U$3),IF(U$12&gt;$F24+1,RentalsVacates!T24*(1-IF(U$12-$F24&lt;=12,SUMIFS('Attrition Modeling'!$D:$D,'Attrition Modeling'!$B:$B,$E24,'Attrition Modeling'!$C:$C,U$11),VLOOKUP(RentalsVacates!U$12-RentalsVacates!$F24-1,RentalsVacates!$A$8:$C$162,2,FALSE)*VLOOKUP(U$11,'Attrition Modeling'!$L$15:$N$27,IF(U$12-$F24&lt;=24,2,3),FALSE))*(1+IF('Traditional Attrition'!U146&gt;0,'Attrition Modeling'!$N$9,0))),0))</f>
        <v>3731.1418708974079</v>
      </c>
      <c r="V24" s="799">
        <f>IF(V$12=$F24+1,IF(Monthly!R$4=TRUE,0,V$3),IF(V$12&gt;$F24+1,RentalsVacates!U24*(1-IF(V$12-$F24&lt;=12,SUMIFS('Attrition Modeling'!$D:$D,'Attrition Modeling'!$B:$B,$E24,'Attrition Modeling'!$C:$C,V$11),VLOOKUP(RentalsVacates!V$12-RentalsVacates!$F24-1,RentalsVacates!$A$8:$C$162,2,FALSE)*VLOOKUP(V$11,'Attrition Modeling'!$L$15:$N$27,IF(V$12-$F24&lt;=24,2,3),FALSE))*(1+IF('Traditional Attrition'!V146&gt;0,'Attrition Modeling'!$N$9,0))),0))</f>
        <v>3398.8850305050669</v>
      </c>
      <c r="W24" s="799">
        <f>IF(W$12=$F24+1,IF(Monthly!S$4=TRUE,0,W$3),IF(W$12&gt;$F24+1,RentalsVacates!V24*(1-IF(W$12-$F24&lt;=12,SUMIFS('Attrition Modeling'!$D:$D,'Attrition Modeling'!$B:$B,$E24,'Attrition Modeling'!$C:$C,W$11),VLOOKUP(RentalsVacates!W$12-RentalsVacates!$F24-1,RentalsVacates!$A$8:$C$162,2,FALSE)*VLOOKUP(W$11,'Attrition Modeling'!$L$15:$N$27,IF(W$12-$F24&lt;=24,2,3),FALSE))*(1+IF('Traditional Attrition'!W146&gt;0,'Attrition Modeling'!$N$9,0))),0))</f>
        <v>3131.361474873187</v>
      </c>
      <c r="X24" s="799">
        <f>IF(X$12=$F24+1,IF(Monthly!T$4=TRUE,0,X$3),IF(X$12&gt;$F24+1,RentalsVacates!W24*(1-IF(X$12-$F24&lt;=12,SUMIFS('Attrition Modeling'!$D:$D,'Attrition Modeling'!$B:$B,$E24,'Attrition Modeling'!$C:$C,X$11),VLOOKUP(RentalsVacates!X$12-RentalsVacates!$F24-1,RentalsVacates!$A$8:$C$162,2,FALSE)*VLOOKUP(X$11,'Attrition Modeling'!$L$15:$N$27,IF(X$12-$F24&lt;=24,2,3),FALSE))*(1+IF('Traditional Attrition'!X146&gt;0,'Attrition Modeling'!$N$9,0))),0))</f>
        <v>2817.6035266750796</v>
      </c>
      <c r="Y24" s="799">
        <f>IF(Y$12=$F24+1,IF(Monthly!U$4=TRUE,0,Y$3),IF(Y$12&gt;$F24+1,RentalsVacates!X24*(1-IF(Y$12-$F24&lt;=12,SUMIFS('Attrition Modeling'!$D:$D,'Attrition Modeling'!$B:$B,$E24,'Attrition Modeling'!$C:$C,Y$11),VLOOKUP(RentalsVacates!Y$12-RentalsVacates!$F24-1,RentalsVacates!$A$8:$C$162,2,FALSE)*VLOOKUP(Y$11,'Attrition Modeling'!$L$15:$N$27,IF(Y$12-$F24&lt;=24,2,3),FALSE))*(1+IF('Traditional Attrition'!Y146&gt;0,'Attrition Modeling'!$N$9,0))),0))</f>
        <v>2617.9596647733074</v>
      </c>
      <c r="Z24" s="799">
        <f>IF(Z$12=$F24+1,IF(Monthly!V$4=TRUE,0,Z$3),IF(Z$12&gt;$F24+1,RentalsVacates!Y24*(1-IF(Z$12-$F24&lt;=12,SUMIFS('Attrition Modeling'!$D:$D,'Attrition Modeling'!$B:$B,$E24,'Attrition Modeling'!$C:$C,Z$11),VLOOKUP(RentalsVacates!Z$12-RentalsVacates!$F24-1,RentalsVacates!$A$8:$C$162,2,FALSE)*VLOOKUP(Z$11,'Attrition Modeling'!$L$15:$N$27,IF(Z$12-$F24&lt;=24,2,3),FALSE))*(1+IF('Traditional Attrition'!Z146&gt;0,'Attrition Modeling'!$N$9,0))),0))</f>
        <v>2437.7267290643254</v>
      </c>
      <c r="AA24" s="799">
        <f>IF(AA$12=$F24+1,IF(Monthly!W$4=TRUE,0,AA$3),IF(AA$12&gt;$F24+1,RentalsVacates!Z24*(1-IF(AA$12-$F24&lt;=12,SUMIFS('Attrition Modeling'!$D:$D,'Attrition Modeling'!$B:$B,$E24,'Attrition Modeling'!$C:$C,AA$11),VLOOKUP(RentalsVacates!AA$12-RentalsVacates!$F24-1,RentalsVacates!$A$8:$C$162,2,FALSE)*VLOOKUP(AA$11,'Attrition Modeling'!$L$15:$N$27,IF(AA$12-$F24&lt;=24,2,3),FALSE))*(1+IF('Traditional Attrition'!AA146&gt;0,'Attrition Modeling'!$N$9,0))),0))</f>
        <v>2271.8450075457076</v>
      </c>
      <c r="AB24" s="799">
        <f>IF(AB$12=$F24+1,IF(Monthly!X$4=TRUE,0,AB$3),IF(AB$12&gt;$F24+1,RentalsVacates!AA24*(1-IF(AB$12-$F24&lt;=12,SUMIFS('Attrition Modeling'!$D:$D,'Attrition Modeling'!$B:$B,$E24,'Attrition Modeling'!$C:$C,AB$11),VLOOKUP(RentalsVacates!AB$12-RentalsVacates!$F24-1,RentalsVacates!$A$8:$C$162,2,FALSE)*VLOOKUP(AB$11,'Attrition Modeling'!$L$15:$N$27,IF(AB$12-$F24&lt;=24,2,3),FALSE))*(1+IF('Traditional Attrition'!AB146&gt;0,'Attrition Modeling'!$N$9,0))),0))</f>
        <v>2143.7177199946454</v>
      </c>
      <c r="AC24" s="799">
        <f>IF(AC$12=$F24+1,IF(Monthly!Y$4=TRUE,0,AC$3),IF(AC$12&gt;$F24+1,RentalsVacates!AB24*(1-IF(AC$12-$F24&lt;=12,SUMIFS('Attrition Modeling'!$D:$D,'Attrition Modeling'!$B:$B,$E24,'Attrition Modeling'!$C:$C,AC$11),VLOOKUP(RentalsVacates!AC$12-RentalsVacates!$F24-1,RentalsVacates!$A$8:$C$162,2,FALSE)*VLOOKUP(AC$11,'Attrition Modeling'!$L$15:$N$27,IF(AC$12-$F24&lt;=24,2,3),FALSE))*(1+IF('Traditional Attrition'!AC146&gt;0,'Attrition Modeling'!$N$9,0))),0))</f>
        <v>2021.4402113063913</v>
      </c>
      <c r="AD24" s="799">
        <f>IF(AD$12=$F24+1,IF(Monthly!Z$4=TRUE,0,AD$3),IF(AD$12&gt;$F24+1,RentalsVacates!AC24*(1-IF(AD$12-$F24&lt;=12,SUMIFS('Attrition Modeling'!$D:$D,'Attrition Modeling'!$B:$B,$E24,'Attrition Modeling'!$C:$C,AD$11),VLOOKUP(RentalsVacates!AD$12-RentalsVacates!$F24-1,RentalsVacates!$A$8:$C$162,2,FALSE)*VLOOKUP(AD$11,'Attrition Modeling'!$L$15:$N$27,IF(AD$12-$F24&lt;=24,2,3),FALSE))*(1+IF('Traditional Attrition'!AD146&gt;0,'Attrition Modeling'!$N$9,0))),0))</f>
        <v>1967.115966424537</v>
      </c>
      <c r="AE24" s="799">
        <f>IF(AE$12=$F24+1,IF(Monthly!AA$4=TRUE,0,AE$3),IF(AE$12&gt;$F24+1,RentalsVacates!AD24*(1-IF(AE$12-$F24&lt;=12,SUMIFS('Attrition Modeling'!$D:$D,'Attrition Modeling'!$B:$B,$E24,'Attrition Modeling'!$C:$C,AE$11),VLOOKUP(RentalsVacates!AE$12-RentalsVacates!$F24-1,RentalsVacates!$A$8:$C$162,2,FALSE)*VLOOKUP(AE$11,'Attrition Modeling'!$L$15:$N$27,IF(AE$12-$F24&lt;=24,2,3),FALSE))*(1+IF('Traditional Attrition'!AE146&gt;0,'Attrition Modeling'!$N$9,0))),0))</f>
        <v>1861.3099630798397</v>
      </c>
      <c r="AF24" s="799">
        <f>IF(AF$12=$F24+1,IF(Monthly!AB$4=TRUE,0,AF$3),IF(AF$12&gt;$F24+1,RentalsVacates!AE24*(1-IF(AF$12-$F24&lt;=12,SUMIFS('Attrition Modeling'!$D:$D,'Attrition Modeling'!$B:$B,$E24,'Attrition Modeling'!$C:$C,AF$11),VLOOKUP(RentalsVacates!AF$12-RentalsVacates!$F24-1,RentalsVacates!$A$8:$C$162,2,FALSE)*VLOOKUP(AF$11,'Attrition Modeling'!$L$15:$N$27,IF(AF$12-$F24&lt;=24,2,3),FALSE))*(1+IF('Traditional Attrition'!AF146&gt;0,'Attrition Modeling'!$N$9,0))),0))</f>
        <v>1768.8445180301148</v>
      </c>
      <c r="AG24" s="799">
        <f>IF(AG$12=$F24+1,IF(Monthly!AC$4=TRUE,0,AG$3),IF(AG$12&gt;$F24+1,RentalsVacates!AF24*(1-IF(AG$12-$F24&lt;=12,SUMIFS('Attrition Modeling'!$D:$D,'Attrition Modeling'!$B:$B,$E24,'Attrition Modeling'!$C:$C,AG$11),VLOOKUP(RentalsVacates!AG$12-RentalsVacates!$F24-1,RentalsVacates!$A$8:$C$162,2,FALSE)*VLOOKUP(AG$11,'Attrition Modeling'!$L$15:$N$27,IF(AG$12-$F24&lt;=24,2,3),FALSE))*(1+IF('Traditional Attrition'!AG146&gt;0,'Attrition Modeling'!$N$9,0))),0))</f>
        <v>1693.4561364365343</v>
      </c>
      <c r="AH24" s="799">
        <f>IF(AH$12=$F24+1,IF(Monthly!AD$4=TRUE,0,AH$3),IF(AH$12&gt;$F24+1,RentalsVacates!AG24*(1-IF(AH$12-$F24&lt;=12,SUMIFS('Attrition Modeling'!$D:$D,'Attrition Modeling'!$B:$B,$E24,'Attrition Modeling'!$C:$C,AH$11),VLOOKUP(RentalsVacates!AH$12-RentalsVacates!$F24-1,RentalsVacates!$A$8:$C$162,2,FALSE)*VLOOKUP(AH$11,'Attrition Modeling'!$L$15:$N$27,IF(AH$12-$F24&lt;=24,2,3),FALSE))*(1+IF('Traditional Attrition'!AH146&gt;0,'Attrition Modeling'!$N$9,0))),0))</f>
        <v>1617.7589441932948</v>
      </c>
      <c r="AI24" s="799">
        <f>IF(AI$12=$F24+1,IF(Monthly!AE$4=TRUE,0,AI$3),IF(AI$12&gt;$F24+1,RentalsVacates!AH24*(1-IF(AI$12-$F24&lt;=12,SUMIFS('Attrition Modeling'!$D:$D,'Attrition Modeling'!$B:$B,$E24,'Attrition Modeling'!$C:$C,AI$11),VLOOKUP(RentalsVacates!AI$12-RentalsVacates!$F24-1,RentalsVacates!$A$8:$C$162,2,FALSE)*VLOOKUP(AI$11,'Attrition Modeling'!$L$15:$N$27,IF(AI$12-$F24&lt;=24,2,3),FALSE))*(1+IF('Traditional Attrition'!AI146&gt;0,'Attrition Modeling'!$N$9,0))),0))</f>
        <v>1548.749345828805</v>
      </c>
      <c r="AJ24" s="799">
        <f>IF(AJ$12=$F24+1,IF(Monthly!AF$4=TRUE,0,AJ$3),IF(AJ$12&gt;$F24+1,RentalsVacates!AI24*(1-IF(AJ$12-$F24&lt;=12,SUMIFS('Attrition Modeling'!$D:$D,'Attrition Modeling'!$B:$B,$E24,'Attrition Modeling'!$C:$C,AJ$11),VLOOKUP(RentalsVacates!AJ$12-RentalsVacates!$F24-1,RentalsVacates!$A$8:$C$162,2,FALSE)*VLOOKUP(AJ$11,'Attrition Modeling'!$L$15:$N$27,IF(AJ$12-$F24&lt;=24,2,3),FALSE))*(1+IF('Traditional Attrition'!AJ146&gt;0,'Attrition Modeling'!$N$9,0))),0))</f>
        <v>1471.9852402073122</v>
      </c>
      <c r="AK24" s="799">
        <f>IF(AK$12=$F24+1,IF(Monthly!AG$4=TRUE,0,AK$3),IF(AK$12&gt;$F24+1,RentalsVacates!AJ24*(1-IF(AK$12-$F24&lt;=12,SUMIFS('Attrition Modeling'!$D:$D,'Attrition Modeling'!$B:$B,$E24,'Attrition Modeling'!$C:$C,AK$11),VLOOKUP(RentalsVacates!AK$12-RentalsVacates!$F24-1,RentalsVacates!$A$8:$C$162,2,FALSE)*VLOOKUP(AK$11,'Attrition Modeling'!$L$15:$N$27,IF(AK$12-$F24&lt;=24,2,3),FALSE))*(1+IF('Traditional Attrition'!AK146&gt;0,'Attrition Modeling'!$N$9,0))),0))</f>
        <v>1406.667884345344</v>
      </c>
      <c r="AL24" s="799">
        <f>IF(AL$12=$F24+1,IF(Monthly!AH$4=TRUE,0,AL$3),IF(AL$12&gt;$F24+1,RentalsVacates!AK24*(1-IF(AL$12-$F24&lt;=12,SUMIFS('Attrition Modeling'!$D:$D,'Attrition Modeling'!$B:$B,$E24,'Attrition Modeling'!$C:$C,AL$11),VLOOKUP(RentalsVacates!AL$12-RentalsVacates!$F24-1,RentalsVacates!$A$8:$C$162,2,FALSE)*VLOOKUP(AL$11,'Attrition Modeling'!$L$15:$N$27,IF(AL$12-$F24&lt;=24,2,3),FALSE))*(1+IF('Traditional Attrition'!AL146&gt;0,'Attrition Modeling'!$N$9,0))),0))</f>
        <v>1343.9854250716132</v>
      </c>
      <c r="AM24" s="799">
        <f>IF(AM$12=$F24+1,IF(Monthly!AI$4=TRUE,0,AM$3),IF(AM$12&gt;$F24+1,RentalsVacates!AL24*(1-IF(AM$12-$F24&lt;=12,SUMIFS('Attrition Modeling'!$D:$D,'Attrition Modeling'!$B:$B,$E24,'Attrition Modeling'!$C:$C,AM$11),VLOOKUP(RentalsVacates!AM$12-RentalsVacates!$F24-1,RentalsVacates!$A$8:$C$162,2,FALSE)*VLOOKUP(AM$11,'Attrition Modeling'!$L$15:$N$27,IF(AM$12-$F24&lt;=24,2,3),FALSE))*(1+IF('Traditional Attrition'!AM146&gt;0,'Attrition Modeling'!$N$9,0))),0))</f>
        <v>1282.5157891001045</v>
      </c>
      <c r="AN24" s="799">
        <f>IF(AN$12=$F24+1,IF(Monthly!AJ$4=TRUE,0,AN$3),IF(AN$12&gt;$F24+1,RentalsVacates!AM24*(1-IF(AN$12-$F24&lt;=12,SUMIFS('Attrition Modeling'!$D:$D,'Attrition Modeling'!$B:$B,$E24,'Attrition Modeling'!$C:$C,AN$11),VLOOKUP(RentalsVacates!AN$12-RentalsVacates!$F24-1,RentalsVacates!$A$8:$C$162,2,FALSE)*VLOOKUP(AN$11,'Attrition Modeling'!$L$15:$N$27,IF(AN$12-$F24&lt;=24,2,3),FALSE))*(1+IF('Traditional Attrition'!AN146&gt;0,'Attrition Modeling'!$N$9,0))),0))</f>
        <v>1229.858750488685</v>
      </c>
      <c r="AO24" s="799">
        <f>IF(AO$12=$F24+1,IF(Monthly!AK$4=TRUE,0,AO$3),IF(AO$12&gt;$F24+1,RentalsVacates!AN24*(1-IF(AO$12-$F24&lt;=12,SUMIFS('Attrition Modeling'!$D:$D,'Attrition Modeling'!$B:$B,$E24,'Attrition Modeling'!$C:$C,AO$11),VLOOKUP(RentalsVacates!AO$12-RentalsVacates!$F24-1,RentalsVacates!$A$8:$C$162,2,FALSE)*VLOOKUP(AO$11,'Attrition Modeling'!$L$15:$N$27,IF(AO$12-$F24&lt;=24,2,3),FALSE))*(1+IF('Traditional Attrition'!AO146&gt;0,'Attrition Modeling'!$N$9,0))),0))</f>
        <v>1178.9335039869368</v>
      </c>
      <c r="AP24" s="799">
        <f>IF(AP$12=$F24+1,IF(Monthly!AL$4=TRUE,0,AP$3),IF(AP$12&gt;$F24+1,RentalsVacates!AO24*(1-IF(AP$12-$F24&lt;=12,SUMIFS('Attrition Modeling'!$D:$D,'Attrition Modeling'!$B:$B,$E24,'Attrition Modeling'!$C:$C,AP$11),VLOOKUP(RentalsVacates!AP$12-RentalsVacates!$F24-1,RentalsVacates!$A$8:$C$162,2,FALSE)*VLOOKUP(AP$11,'Attrition Modeling'!$L$15:$N$27,IF(AP$12-$F24&lt;=24,2,3),FALSE))*(1+IF('Traditional Attrition'!AP146&gt;0,'Attrition Modeling'!$N$9,0))),0))</f>
        <v>1132.5937793394974</v>
      </c>
      <c r="AQ24" s="799">
        <f>IF(AQ$12=$F24+1,IF(Monthly!AM$4=TRUE,0,AQ$3),IF(AQ$12&gt;$F24+1,RentalsVacates!AP24*(1-IF(AQ$12-$F24&lt;=12,SUMIFS('Attrition Modeling'!$D:$D,'Attrition Modeling'!$B:$B,$E24,'Attrition Modeling'!$C:$C,AQ$11),VLOOKUP(RentalsVacates!AQ$12-RentalsVacates!$F24-1,RentalsVacates!$A$8:$C$162,2,FALSE)*VLOOKUP(AQ$11,'Attrition Modeling'!$L$15:$N$27,IF(AQ$12-$F24&lt;=24,2,3),FALSE))*(1+IF('Traditional Attrition'!AQ146&gt;0,'Attrition Modeling'!$N$9,0))),0))</f>
        <v>1096.003407040208</v>
      </c>
      <c r="AR24" s="799">
        <f>IF(AR$12=$F24+1,IF(Monthly!AN$4=TRUE,0,AR$3),IF(AR$12&gt;$F24+1,RentalsVacates!AQ24*(1-IF(AR$12-$F24&lt;=12,SUMIFS('Attrition Modeling'!$D:$D,'Attrition Modeling'!$B:$B,$E24,'Attrition Modeling'!$C:$C,AR$11),VLOOKUP(RentalsVacates!AR$12-RentalsVacates!$F24-1,RentalsVacates!$A$8:$C$162,2,FALSE)*VLOOKUP(AR$11,'Attrition Modeling'!$L$15:$N$27,IF(AR$12-$F24&lt;=24,2,3),FALSE))*(1+IF('Traditional Attrition'!AR146&gt;0,'Attrition Modeling'!$N$9,0))),0))</f>
        <v>1057.34878229847</v>
      </c>
      <c r="AS24" s="799">
        <f>IF(AS$12=$F24+1,IF(Monthly!AO$4=TRUE,0,AS$3),IF(AS$12&gt;$F24+1,RentalsVacates!AR24*(1-IF(AS$12-$F24&lt;=12,SUMIFS('Attrition Modeling'!$D:$D,'Attrition Modeling'!$B:$B,$E24,'Attrition Modeling'!$C:$C,AS$11),VLOOKUP(RentalsVacates!AS$12-RentalsVacates!$F24-1,RentalsVacates!$A$8:$C$162,2,FALSE)*VLOOKUP(AS$11,'Attrition Modeling'!$L$15:$N$27,IF(AS$12-$F24&lt;=24,2,3),FALSE))*(1+IF('Traditional Attrition'!AS146&gt;0,'Attrition Modeling'!$N$9,0))),0))</f>
        <v>1021.7165555845563</v>
      </c>
      <c r="AT24" s="799">
        <f>IF(AT$12=$F24+1,IF(Monthly!AP$4=TRUE,0,AT$3),IF(AT$12&gt;$F24+1,RentalsVacates!AS24*(1-IF(AT$12-$F24&lt;=12,SUMIFS('Attrition Modeling'!$D:$D,'Attrition Modeling'!$B:$B,$E24,'Attrition Modeling'!$C:$C,AT$11),VLOOKUP(RentalsVacates!AT$12-RentalsVacates!$F24-1,RentalsVacates!$A$8:$C$162,2,FALSE)*VLOOKUP(AT$11,'Attrition Modeling'!$L$15:$N$27,IF(AT$12-$F24&lt;=24,2,3),FALSE))*(1+IF('Traditional Attrition'!AT146&gt;0,'Attrition Modeling'!$N$9,0))),0))</f>
        <v>989.16730389277723</v>
      </c>
      <c r="AU24" s="799">
        <f>IF(AU$12=$F24+1,IF(Monthly!AQ$4=TRUE,0,AU$3),IF(AU$12&gt;$F24+1,RentalsVacates!AT24*(1-IF(AU$12-$F24&lt;=12,SUMIFS('Attrition Modeling'!$D:$D,'Attrition Modeling'!$B:$B,$E24,'Attrition Modeling'!$C:$C,AU$11),VLOOKUP(RentalsVacates!AU$12-RentalsVacates!$F24-1,RentalsVacates!$A$8:$C$162,2,FALSE)*VLOOKUP(AU$11,'Attrition Modeling'!$L$15:$N$27,IF(AU$12-$F24&lt;=24,2,3),FALSE))*(1+IF('Traditional Attrition'!AU146&gt;0,'Attrition Modeling'!$N$9,0))),0))</f>
        <v>964.42869940680737</v>
      </c>
      <c r="AV24" s="799">
        <f>IF(AV$12=$F24+1,IF(Monthly!AR$4=TRUE,0,AV$3),IF(AV$12&gt;$F24+1,RentalsVacates!AU24*(1-IF(AV$12-$F24&lt;=12,SUMIFS('Attrition Modeling'!$D:$D,'Attrition Modeling'!$B:$B,$E24,'Attrition Modeling'!$C:$C,AV$11),VLOOKUP(RentalsVacates!AV$12-RentalsVacates!$F24-1,RentalsVacates!$A$8:$C$162,2,FALSE)*VLOOKUP(AV$11,'Attrition Modeling'!$L$15:$N$27,IF(AV$12-$F24&lt;=24,2,3),FALSE))*(1+IF('Traditional Attrition'!AV146&gt;0,'Attrition Modeling'!$N$9,0))),0))</f>
        <v>929.92391814517316</v>
      </c>
      <c r="AW24" s="799">
        <f>IF(AW$12=$F24+1,IF(Monthly!AS$4=TRUE,0,AW$3),IF(AW$12&gt;$F24+1,RentalsVacates!AV24*(1-IF(AW$12-$F24&lt;=12,SUMIFS('Attrition Modeling'!$D:$D,'Attrition Modeling'!$B:$B,$E24,'Attrition Modeling'!$C:$C,AW$11),VLOOKUP(RentalsVacates!AW$12-RentalsVacates!$F24-1,RentalsVacates!$A$8:$C$162,2,FALSE)*VLOOKUP(AW$11,'Attrition Modeling'!$L$15:$N$27,IF(AW$12-$F24&lt;=24,2,3),FALSE))*(1+IF('Traditional Attrition'!AW146&gt;0,'Attrition Modeling'!$N$9,0))),0))</f>
        <v>898.66869718950784</v>
      </c>
      <c r="AX24" s="799">
        <f>IF(AX$12=$F24+1,IF(Monthly!AT$4=TRUE,0,AX$3),IF(AX$12&gt;$F24+1,RentalsVacates!AW24*(1-IF(AX$12-$F24&lt;=12,SUMIFS('Attrition Modeling'!$D:$D,'Attrition Modeling'!$B:$B,$E24,'Attrition Modeling'!$C:$C,AX$11),VLOOKUP(RentalsVacates!AX$12-RentalsVacates!$F24-1,RentalsVacates!$A$8:$C$162,2,FALSE)*VLOOKUP(AX$11,'Attrition Modeling'!$L$15:$N$27,IF(AX$12-$F24&lt;=24,2,3),FALSE))*(1+IF('Traditional Attrition'!AX146&gt;0,'Attrition Modeling'!$N$9,0))),0))</f>
        <v>866.15371864508984</v>
      </c>
      <c r="AY24" s="799">
        <f>IF(AY$12=$F24+1,IF(Monthly!AU$4=TRUE,0,AY$3),IF(AY$12&gt;$F24+1,RentalsVacates!AX24*(1-IF(AY$12-$F24&lt;=12,SUMIFS('Attrition Modeling'!$D:$D,'Attrition Modeling'!$B:$B,$E24,'Attrition Modeling'!$C:$C,AY$11),VLOOKUP(RentalsVacates!AY$12-RentalsVacates!$F24-1,RentalsVacates!$A$8:$C$162,2,FALSE)*VLOOKUP(AY$11,'Attrition Modeling'!$L$15:$N$27,IF(AY$12-$F24&lt;=24,2,3),FALSE))*(1+IF('Traditional Attrition'!AY146&gt;0,'Attrition Modeling'!$N$9,0))),0))</f>
        <v>832.89453009973442</v>
      </c>
      <c r="AZ24" s="799">
        <f>IF(AZ$12=$F24+1,IF(Monthly!AV$4=TRUE,0,AZ$3),IF(AZ$12&gt;$F24+1,RentalsVacates!AY24*(1-IF(AZ$12-$F24&lt;=12,SUMIFS('Attrition Modeling'!$D:$D,'Attrition Modeling'!$B:$B,$E24,'Attrition Modeling'!$C:$C,AZ$11),VLOOKUP(RentalsVacates!AZ$12-RentalsVacates!$F24-1,RentalsVacates!$A$8:$C$162,2,FALSE)*VLOOKUP(AZ$11,'Attrition Modeling'!$L$15:$N$27,IF(AZ$12-$F24&lt;=24,2,3),FALSE))*(1+IF('Traditional Attrition'!AZ146&gt;0,'Attrition Modeling'!$N$9,0))),0))</f>
        <v>803.20455488529637</v>
      </c>
      <c r="BA24" s="799">
        <f>IF(BA$12=$F24+1,IF(Monthly!AW$4=TRUE,0,BA$3),IF(BA$12&gt;$F24+1,RentalsVacates!AZ24*(1-IF(BA$12-$F24&lt;=12,SUMIFS('Attrition Modeling'!$D:$D,'Attrition Modeling'!$B:$B,$E24,'Attrition Modeling'!$C:$C,BA$11),VLOOKUP(RentalsVacates!BA$12-RentalsVacates!$F24-1,RentalsVacates!$A$8:$C$162,2,FALSE)*VLOOKUP(BA$11,'Attrition Modeling'!$L$15:$N$27,IF(BA$12-$F24&lt;=24,2,3),FALSE))*(1+IF('Traditional Attrition'!BA146&gt;0,'Attrition Modeling'!$N$9,0))),0))</f>
        <v>775.86961517370821</v>
      </c>
      <c r="BB24" s="799">
        <f>IF(BB$12=$F24+1,IF(Monthly!AX$4=TRUE,0,BB$3),IF(BB$12&gt;$F24+1,RentalsVacates!BA24*(1-IF(BB$12-$F24&lt;=12,SUMIFS('Attrition Modeling'!$D:$D,'Attrition Modeling'!$B:$B,$E24,'Attrition Modeling'!$C:$C,BB$11),VLOOKUP(RentalsVacates!BB$12-RentalsVacates!$F24-1,RentalsVacates!$A$8:$C$162,2,FALSE)*VLOOKUP(BB$11,'Attrition Modeling'!$L$15:$N$27,IF(BB$12-$F24&lt;=24,2,3),FALSE))*(1+IF('Traditional Attrition'!BB146&gt;0,'Attrition Modeling'!$N$9,0))),0))</f>
        <v>750.34659724135224</v>
      </c>
      <c r="BC24" s="799">
        <f>IF(BC$12=$F24+1,IF(Monthly!AY$4=TRUE,0,BC$3),IF(BC$12&gt;$F24+1,RentalsVacates!BB24*(1-IF(BC$12-$F24&lt;=12,SUMIFS('Attrition Modeling'!$D:$D,'Attrition Modeling'!$B:$B,$E24,'Attrition Modeling'!$C:$C,BC$11),VLOOKUP(RentalsVacates!BC$12-RentalsVacates!$F24-1,RentalsVacates!$A$8:$C$162,2,FALSE)*VLOOKUP(BC$11,'Attrition Modeling'!$L$15:$N$27,IF(BC$12-$F24&lt;=24,2,3),FALSE))*(1+IF('Traditional Attrition'!BC146&gt;0,'Attrition Modeling'!$N$9,0))),0))</f>
        <v>730.22611980600936</v>
      </c>
      <c r="BD24" s="799">
        <f>IF(BD$12=$F24+1,IF(Monthly!AZ$4=TRUE,0,BD$3),IF(BD$12&gt;$F24+1,RentalsVacates!BC24*(1-IF(BD$12-$F24&lt;=12,SUMIFS('Attrition Modeling'!$D:$D,'Attrition Modeling'!$B:$B,$E24,'Attrition Modeling'!$C:$C,BD$11),VLOOKUP(RentalsVacates!BD$12-RentalsVacates!$F24-1,RentalsVacates!$A$8:$C$162,2,FALSE)*VLOOKUP(BD$11,'Attrition Modeling'!$L$15:$N$27,IF(BD$12-$F24&lt;=24,2,3),FALSE))*(1+IF('Traditional Attrition'!BD146&gt;0,'Attrition Modeling'!$N$9,0))),0))</f>
        <v>708.77868806451659</v>
      </c>
      <c r="BE24" s="799">
        <f>IF(BE$12=$F24+1,IF(Monthly!BA$4=TRUE,0,BE$3),IF(BE$12&gt;$F24+1,RentalsVacates!BD24*(1-IF(BE$12-$F24&lt;=12,SUMIFS('Attrition Modeling'!$D:$D,'Attrition Modeling'!$B:$B,$E24,'Attrition Modeling'!$C:$C,BE$11),VLOOKUP(RentalsVacates!BE$12-RentalsVacates!$F24-1,RentalsVacates!$A$8:$C$162,2,FALSE)*VLOOKUP(BE$11,'Attrition Modeling'!$L$15:$N$27,IF(BE$12-$F24&lt;=24,2,3),FALSE))*(1+IF('Traditional Attrition'!BE146&gt;0,'Attrition Modeling'!$N$9,0))),0))</f>
        <v>688.82525707687216</v>
      </c>
      <c r="BF24" s="799">
        <f>IF(BF$12=$F24+1,IF(Monthly!BB$4=TRUE,0,BF$3),IF(BF$12&gt;$F24+1,RentalsVacates!BE24*(1-IF(BF$12-$F24&lt;=12,SUMIFS('Attrition Modeling'!$D:$D,'Attrition Modeling'!$B:$B,$E24,'Attrition Modeling'!$C:$C,BF$11),VLOOKUP(RentalsVacates!BF$12-RentalsVacates!$F24-1,RentalsVacates!$A$8:$C$162,2,FALSE)*VLOOKUP(BF$11,'Attrition Modeling'!$L$15:$N$27,IF(BF$12-$F24&lt;=24,2,3),FALSE))*(1+IF('Traditional Attrition'!BF146&gt;0,'Attrition Modeling'!$N$9,0))),0))</f>
        <v>670.43986278820432</v>
      </c>
      <c r="BG24" s="799">
        <f>IF(BG$12=$F24+1,IF(Monthly!BC$4=TRUE,0,BG$3),IF(BG$12&gt;$F24+1,RentalsVacates!BF24*(1-IF(BG$12-$F24&lt;=12,SUMIFS('Attrition Modeling'!$D:$D,'Attrition Modeling'!$B:$B,$E24,'Attrition Modeling'!$C:$C,BG$11),VLOOKUP(RentalsVacates!BG$12-RentalsVacates!$F24-1,RentalsVacates!$A$8:$C$162,2,FALSE)*VLOOKUP(BG$11,'Attrition Modeling'!$L$15:$N$27,IF(BG$12-$F24&lt;=24,2,3),FALSE))*(1+IF('Traditional Attrition'!BG146&gt;0,'Attrition Modeling'!$N$9,0))),0))</f>
        <v>656.35301239948683</v>
      </c>
      <c r="BH24" s="799">
        <f>IF(BH$12=$F24+1,IF(Monthly!BD$4=TRUE,0,BH$3),IF(BH$12&gt;$F24+1,RentalsVacates!BG24*(1-IF(BH$12-$F24&lt;=12,SUMIFS('Attrition Modeling'!$D:$D,'Attrition Modeling'!$B:$B,$E24,'Attrition Modeling'!$C:$C,BH$11),VLOOKUP(RentalsVacates!BH$12-RentalsVacates!$F24-1,RentalsVacates!$A$8:$C$162,2,FALSE)*VLOOKUP(BH$11,'Attrition Modeling'!$L$15:$N$27,IF(BH$12-$F24&lt;=24,2,3),FALSE))*(1+IF('Traditional Attrition'!BH146&gt;0,'Attrition Modeling'!$N$9,0))),0))</f>
        <v>636.5732494814348</v>
      </c>
      <c r="BI24" s="799">
        <f>IF(BI$12=$F24+1,IF(Monthly!BE$4=TRUE,0,BI$3),IF(BI$12&gt;$F24+1,RentalsVacates!BH24*(1-IF(BI$12-$F24&lt;=12,SUMIFS('Attrition Modeling'!$D:$D,'Attrition Modeling'!$B:$B,$E24,'Attrition Modeling'!$C:$C,BI$11),VLOOKUP(RentalsVacates!BI$12-RentalsVacates!$F24-1,RentalsVacates!$A$8:$C$162,2,FALSE)*VLOOKUP(BI$11,'Attrition Modeling'!$L$15:$N$27,IF(BI$12-$F24&lt;=24,2,3),FALSE))*(1+IF('Traditional Attrition'!BI146&gt;0,'Attrition Modeling'!$N$9,0))),0))</f>
        <v>618.50733945279421</v>
      </c>
      <c r="BJ24" s="799">
        <f>IF(BJ$12=$F24+1,IF(Monthly!BF$4=TRUE,0,BJ$3),IF(BJ$12&gt;$F24+1,RentalsVacates!BI24*(1-IF(BJ$12-$F24&lt;=12,SUMIFS('Attrition Modeling'!$D:$D,'Attrition Modeling'!$B:$B,$E24,'Attrition Modeling'!$C:$C,BJ$11),VLOOKUP(RentalsVacates!BJ$12-RentalsVacates!$F24-1,RentalsVacates!$A$8:$C$162,2,FALSE)*VLOOKUP(BJ$11,'Attrition Modeling'!$L$15:$N$27,IF(BJ$12-$F24&lt;=24,2,3),FALSE))*(1+IF('Traditional Attrition'!BJ146&gt;0,'Attrition Modeling'!$N$9,0))),0))</f>
        <v>599.56786772920134</v>
      </c>
      <c r="BK24" s="799">
        <f>IF(BK$12=$F24+1,IF(Monthly!BG$4=TRUE,0,BK$3),IF(BK$12&gt;$F24+1,RentalsVacates!BJ24*(1-IF(BK$12-$F24&lt;=12,SUMIFS('Attrition Modeling'!$D:$D,'Attrition Modeling'!$B:$B,$E24,'Attrition Modeling'!$C:$C,BK$11),VLOOKUP(RentalsVacates!BK$12-RentalsVacates!$F24-1,RentalsVacates!$A$8:$C$162,2,FALSE)*VLOOKUP(BK$11,'Attrition Modeling'!$L$15:$N$27,IF(BK$12-$F24&lt;=24,2,3),FALSE))*(1+IF('Traditional Attrition'!BK146&gt;0,'Attrition Modeling'!$N$9,0))),0))</f>
        <v>580.04055753077841</v>
      </c>
      <c r="BL24" s="799">
        <f>IF(BL$12=$F24+1,IF(Monthly!BH$4=TRUE,0,BL$3),IF(BL$12&gt;$F24+1,RentalsVacates!BK24*(1-IF(BL$12-$F24&lt;=12,SUMIFS('Attrition Modeling'!$D:$D,'Attrition Modeling'!$B:$B,$E24,'Attrition Modeling'!$C:$C,BL$11),VLOOKUP(RentalsVacates!BL$12-RentalsVacates!$F24-1,RentalsVacates!$A$8:$C$162,2,FALSE)*VLOOKUP(BL$11,'Attrition Modeling'!$L$15:$N$27,IF(BL$12-$F24&lt;=24,2,3),FALSE))*(1+IF('Traditional Attrition'!BL146&gt;0,'Attrition Modeling'!$N$9,0))),0))</f>
        <v>562.46685683389285</v>
      </c>
      <c r="BM24" s="799">
        <f>IF(BM$12=$F24+1,IF(Monthly!BI$4=TRUE,0,BM$3),IF(BM$12&gt;$F24+1,RentalsVacates!BL24*(1-IF(BM$12-$F24&lt;=12,SUMIFS('Attrition Modeling'!$D:$D,'Attrition Modeling'!$B:$B,$E24,'Attrition Modeling'!$C:$C,BM$11),VLOOKUP(RentalsVacates!BM$12-RentalsVacates!$F24-1,RentalsVacates!$A$8:$C$162,2,FALSE)*VLOOKUP(BM$11,'Attrition Modeling'!$L$15:$N$27,IF(BM$12-$F24&lt;=24,2,3),FALSE))*(1+IF('Traditional Attrition'!BM146&gt;0,'Attrition Modeling'!$N$9,0))),0))</f>
        <v>546.16547069686612</v>
      </c>
      <c r="BN24" s="799">
        <f>IF(BN$12=$F24+1,IF(Monthly!BJ$4=TRUE,0,BN$3),IF(BN$12&gt;$F24+1,RentalsVacates!BM24*(1-IF(BN$12-$F24&lt;=12,SUMIFS('Attrition Modeling'!$D:$D,'Attrition Modeling'!$B:$B,$E24,'Attrition Modeling'!$C:$C,BN$11),VLOOKUP(RentalsVacates!BN$12-RentalsVacates!$F24-1,RentalsVacates!$A$8:$C$162,2,FALSE)*VLOOKUP(BN$11,'Attrition Modeling'!$L$15:$N$27,IF(BN$12-$F24&lt;=24,2,3),FALSE))*(1+IF('Traditional Attrition'!BN146&gt;0,'Attrition Modeling'!$N$9,0))),0))</f>
        <v>530.83660721094668</v>
      </c>
      <c r="BO24" s="799">
        <f>IF(BO$12=$F24+1,IF(Monthly!BK$4=TRUE,0,BO$3),IF(BO$12&gt;$F24+1,RentalsVacates!BN24*(1-IF(BO$12-$F24&lt;=12,SUMIFS('Attrition Modeling'!$D:$D,'Attrition Modeling'!$B:$B,$E24,'Attrition Modeling'!$C:$C,BO$11),VLOOKUP(RentalsVacates!BO$12-RentalsVacates!$F24-1,RentalsVacates!$A$8:$C$162,2,FALSE)*VLOOKUP(BO$11,'Attrition Modeling'!$L$15:$N$27,IF(BO$12-$F24&lt;=24,2,3),FALSE))*(1+IF('Traditional Attrition'!BO146&gt;0,'Attrition Modeling'!$N$9,0))),0))</f>
        <v>518.75241377914847</v>
      </c>
      <c r="BP24" s="799">
        <f>IF(BP$12=$F24+1,IF(Monthly!BL$4=TRUE,0,BP$3),IF(BP$12&gt;$F24+1,RentalsVacates!BO24*(1-IF(BP$12-$F24&lt;=12,SUMIFS('Attrition Modeling'!$D:$D,'Attrition Modeling'!$B:$B,$E24,'Attrition Modeling'!$C:$C,BP$11),VLOOKUP(RentalsVacates!BP$12-RentalsVacates!$F24-1,RentalsVacates!$A$8:$C$162,2,FALSE)*VLOOKUP(BP$11,'Attrition Modeling'!$L$15:$N$27,IF(BP$12-$F24&lt;=24,2,3),FALSE))*(1+IF('Traditional Attrition'!BP146&gt;0,'Attrition Modeling'!$N$9,0))),0))</f>
        <v>505.79805790148561</v>
      </c>
      <c r="BQ24" s="799">
        <f>IF(BQ$12=$F24+1,IF(Monthly!BM$4=TRUE,0,BQ$3),IF(BQ$12&gt;$F24+1,RentalsVacates!BP24*(1-IF(BQ$12-$F24&lt;=12,SUMIFS('Attrition Modeling'!$D:$D,'Attrition Modeling'!$B:$B,$E24,'Attrition Modeling'!$C:$C,BQ$11),VLOOKUP(RentalsVacates!BQ$12-RentalsVacates!$F24-1,RentalsVacates!$A$8:$C$162,2,FALSE)*VLOOKUP(BQ$11,'Attrition Modeling'!$L$15:$N$27,IF(BQ$12-$F24&lt;=24,2,3),FALSE))*(1+IF('Traditional Attrition'!BQ146&gt;0,'Attrition Modeling'!$N$9,0))),0))</f>
        <v>493.67413753175049</v>
      </c>
      <c r="BR24" s="799">
        <f>IF(BR$12=$F24+1,IF(Monthly!BN$4=TRUE,0,BR$3),IF(BR$12&gt;$F24+1,RentalsVacates!BQ24*(1-IF(BR$12-$F24&lt;=12,SUMIFS('Attrition Modeling'!$D:$D,'Attrition Modeling'!$B:$B,$E24,'Attrition Modeling'!$C:$C,BR$11),VLOOKUP(RentalsVacates!BR$12-RentalsVacates!$F24-1,RentalsVacates!$A$8:$C$162,2,FALSE)*VLOOKUP(BR$11,'Attrition Modeling'!$L$15:$N$27,IF(BR$12-$F24&lt;=24,2,3),FALSE))*(1+IF('Traditional Attrition'!BR146&gt;0,'Attrition Modeling'!$N$9,0))),0))</f>
        <v>482.43972007995166</v>
      </c>
      <c r="BS24" s="799">
        <f>IF(BS$12=$F24+1,IF(Monthly!BO$4=TRUE,0,BS$3),IF(BS$12&gt;$F24+1,RentalsVacates!BR24*(1-IF(BS$12-$F24&lt;=12,SUMIFS('Attrition Modeling'!$D:$D,'Attrition Modeling'!$B:$B,$E24,'Attrition Modeling'!$C:$C,BS$11),VLOOKUP(RentalsVacates!BS$12-RentalsVacates!$F24-1,RentalsVacates!$A$8:$C$162,2,FALSE)*VLOOKUP(BS$11,'Attrition Modeling'!$L$15:$N$27,IF(BS$12-$F24&lt;=24,2,3),FALSE))*(1+IF('Traditional Attrition'!BS146&gt;0,'Attrition Modeling'!$N$9,0))),0))</f>
        <v>473.78608004317272</v>
      </c>
      <c r="BT24" s="799">
        <f>IF(BT$11=$F23+1,IF(Monthly!#REF!=TRUE,0,BT$3),IF(BT$11&gt;$F23+1,RentalsVacates!BS23*(1-IF(BT$11-$F23&lt;=12,SUMIFS('Attrition Modeling'!$D:$D,'Attrition Modeling'!$B:$B,$E23,'Attrition Modeling'!$C:$C,BT$10),VLOOKUP(RentalsVacates!BT$11-RentalsVacates!$F23-1,RentalsVacates!$A$7:$C$161,2,FALSE)*VLOOKUP(BT$10,'Attrition Modeling'!$L$15:$N$27,IF(BT$11-$F23&lt;=24,2,3),FALSE))*(1+IF('Traditional Attrition'!BT146&gt;0,'Attrition Modeling'!$N$9,0))),0))</f>
        <v>0</v>
      </c>
      <c r="BU24" s="799">
        <f>IF(BU$11=$F23+1,IF(Monthly!#REF!=TRUE,0,BU$3),IF(BU$11&gt;$F23+1,RentalsVacates!BT23*(1-IF(BU$11-$F23&lt;=12,SUMIFS('Attrition Modeling'!$D:$D,'Attrition Modeling'!$B:$B,$E23,'Attrition Modeling'!$C:$C,BU$10),VLOOKUP(RentalsVacates!BU$11-RentalsVacates!$F23-1,RentalsVacates!$A$7:$C$161,2,FALSE)*VLOOKUP(BU$10,'Attrition Modeling'!$L$15:$N$27,IF(BU$11-$F23&lt;=24,2,3),FALSE))*(1+IF('Traditional Attrition'!BU146&gt;0,'Attrition Modeling'!$N$9,0))),0))</f>
        <v>0</v>
      </c>
    </row>
    <row r="25" spans="1:73" ht="14.25" customHeight="1" x14ac:dyDescent="0.2">
      <c r="A25" s="9">
        <v>17</v>
      </c>
      <c r="B25" s="25">
        <f>MAX('Attrition Modeling'!H21,$C$3)*(1-Summary!$C$20)</f>
        <v>4.3616003095271867E-2</v>
      </c>
      <c r="C25" s="24" t="e">
        <f t="shared" si="2"/>
        <v>#DIV/0!</v>
      </c>
      <c r="E25" s="11">
        <f>'Traditional Attrition'!E82</f>
        <v>12</v>
      </c>
      <c r="F25" s="11">
        <f t="shared" si="4"/>
        <v>12</v>
      </c>
      <c r="G25" s="799"/>
      <c r="H25" s="799">
        <f>IF(H$12=$F25+1,IF(Monthly!D$4=TRUE,0,H$3),IF(H$12&gt;$F25+1,RentalsVacates!G25*(1-IF(H$12-$F25&lt;=12,SUMIFS('Attrition Modeling'!$D:$D,'Attrition Modeling'!$B:$B,$E25,'Attrition Modeling'!$C:$C,H$11),VLOOKUP(RentalsVacates!H$12-RentalsVacates!$F25-1,RentalsVacates!$A$8:$C$162,2,FALSE)*VLOOKUP(H$11,'Attrition Modeling'!$L$15:$N$27,IF(H$12-$F25&lt;=24,2,3),FALSE))*(1+IF('Traditional Attrition'!H147&gt;0,'Attrition Modeling'!$N$9,0))),0))</f>
        <v>0</v>
      </c>
      <c r="I25" s="799">
        <f>IF(I$12=$F25+1,IF(Monthly!E$4=TRUE,0,I$3),IF(I$12&gt;$F25+1,RentalsVacates!H25*(1-IF(I$12-$F25&lt;=12,SUMIFS('Attrition Modeling'!$D:$D,'Attrition Modeling'!$B:$B,$E25,'Attrition Modeling'!$C:$C,I$11),VLOOKUP(RentalsVacates!I$12-RentalsVacates!$F25-1,RentalsVacates!$A$8:$C$162,2,FALSE)*VLOOKUP(I$11,'Attrition Modeling'!$L$15:$N$27,IF(I$12-$F25&lt;=24,2,3),FALSE))*(1+IF('Traditional Attrition'!I147&gt;0,'Attrition Modeling'!$N$9,0))),0))</f>
        <v>0</v>
      </c>
      <c r="J25" s="799">
        <f>IF(J$12=$F25+1,IF(Monthly!F$4=TRUE,0,J$3),IF(J$12&gt;$F25+1,RentalsVacates!I25*(1-IF(J$12-$F25&lt;=12,SUMIFS('Attrition Modeling'!$D:$D,'Attrition Modeling'!$B:$B,$E25,'Attrition Modeling'!$C:$C,J$11),VLOOKUP(RentalsVacates!J$12-RentalsVacates!$F25-1,RentalsVacates!$A$8:$C$162,2,FALSE)*VLOOKUP(J$11,'Attrition Modeling'!$L$15:$N$27,IF(J$12-$F25&lt;=24,2,3),FALSE))*(1+IF('Traditional Attrition'!J147&gt;0,'Attrition Modeling'!$N$9,0))),0))</f>
        <v>0</v>
      </c>
      <c r="K25" s="799">
        <f>IF(K$12=$F25+1,IF(Monthly!G$4=TRUE,0,K$3),IF(K$12&gt;$F25+1,RentalsVacates!J25*(1-IF(K$12-$F25&lt;=12,SUMIFS('Attrition Modeling'!$D:$D,'Attrition Modeling'!$B:$B,$E25,'Attrition Modeling'!$C:$C,K$11),VLOOKUP(RentalsVacates!K$12-RentalsVacates!$F25-1,RentalsVacates!$A$8:$C$162,2,FALSE)*VLOOKUP(K$11,'Attrition Modeling'!$L$15:$N$27,IF(K$12-$F25&lt;=24,2,3),FALSE))*(1+IF('Traditional Attrition'!K147&gt;0,'Attrition Modeling'!$N$9,0))),0))</f>
        <v>0</v>
      </c>
      <c r="L25" s="799">
        <f>IF(L$12=$F25+1,IF(Monthly!H$4=TRUE,0,L$3),IF(L$12&gt;$F25+1,RentalsVacates!K25*(1-IF(L$12-$F25&lt;=12,SUMIFS('Attrition Modeling'!$D:$D,'Attrition Modeling'!$B:$B,$E25,'Attrition Modeling'!$C:$C,L$11),VLOOKUP(RentalsVacates!L$12-RentalsVacates!$F25-1,RentalsVacates!$A$8:$C$162,2,FALSE)*VLOOKUP(L$11,'Attrition Modeling'!$L$15:$N$27,IF(L$12-$F25&lt;=24,2,3),FALSE))*(1+IF('Traditional Attrition'!L147&gt;0,'Attrition Modeling'!$N$9,0))),0))</f>
        <v>0</v>
      </c>
      <c r="M25" s="799">
        <f>IF(M$12=$F25+1,IF(Monthly!I$4=TRUE,0,M$3),IF(M$12&gt;$F25+1,RentalsVacates!L25*(1-IF(M$12-$F25&lt;=12,SUMIFS('Attrition Modeling'!$D:$D,'Attrition Modeling'!$B:$B,$E25,'Attrition Modeling'!$C:$C,M$11),VLOOKUP(RentalsVacates!M$12-RentalsVacates!$F25-1,RentalsVacates!$A$8:$C$162,2,FALSE)*VLOOKUP(M$11,'Attrition Modeling'!$L$15:$N$27,IF(M$12-$F25&lt;=24,2,3),FALSE))*(1+IF('Traditional Attrition'!M147&gt;0,'Attrition Modeling'!$N$9,0))),0))</f>
        <v>0</v>
      </c>
      <c r="N25" s="799">
        <f>IF(N$12=$F25+1,IF(Monthly!J$4=TRUE,0,N$3),IF(N$12&gt;$F25+1,RentalsVacates!M25*(1-IF(N$12-$F25&lt;=12,SUMIFS('Attrition Modeling'!$D:$D,'Attrition Modeling'!$B:$B,$E25,'Attrition Modeling'!$C:$C,N$11),VLOOKUP(RentalsVacates!N$12-RentalsVacates!$F25-1,RentalsVacates!$A$8:$C$162,2,FALSE)*VLOOKUP(N$11,'Attrition Modeling'!$L$15:$N$27,IF(N$12-$F25&lt;=24,2,3),FALSE))*(1+IF('Traditional Attrition'!N147&gt;0,'Attrition Modeling'!$N$9,0))),0))</f>
        <v>0</v>
      </c>
      <c r="O25" s="799">
        <f>IF(O$12=$F25+1,IF(Monthly!K$4=TRUE,0,O$3),IF(O$12&gt;$F25+1,RentalsVacates!N25*(1-IF(O$12-$F25&lt;=12,SUMIFS('Attrition Modeling'!$D:$D,'Attrition Modeling'!$B:$B,$E25,'Attrition Modeling'!$C:$C,O$11),VLOOKUP(RentalsVacates!O$12-RentalsVacates!$F25-1,RentalsVacates!$A$8:$C$162,2,FALSE)*VLOOKUP(O$11,'Attrition Modeling'!$L$15:$N$27,IF(O$12-$F25&lt;=24,2,3),FALSE))*(1+IF('Traditional Attrition'!O147&gt;0,'Attrition Modeling'!$N$9,0))),0))</f>
        <v>0</v>
      </c>
      <c r="P25" s="799">
        <f>IF(P$12=$F25+1,IF(Monthly!L$4=TRUE,0,P$3),IF(P$12&gt;$F25+1,RentalsVacates!O25*(1-IF(P$12-$F25&lt;=12,SUMIFS('Attrition Modeling'!$D:$D,'Attrition Modeling'!$B:$B,$E25,'Attrition Modeling'!$C:$C,P$11),VLOOKUP(RentalsVacates!P$12-RentalsVacates!$F25-1,RentalsVacates!$A$8:$C$162,2,FALSE)*VLOOKUP(P$11,'Attrition Modeling'!$L$15:$N$27,IF(P$12-$F25&lt;=24,2,3),FALSE))*(1+IF('Traditional Attrition'!P147&gt;0,'Attrition Modeling'!$N$9,0))),0))</f>
        <v>0</v>
      </c>
      <c r="Q25" s="799">
        <f>IF(Q$12=$F25+1,IF(Monthly!M$4=TRUE,0,Q$3),IF(Q$12&gt;$F25+1,RentalsVacates!P25*(1-IF(Q$12-$F25&lt;=12,SUMIFS('Attrition Modeling'!$D:$D,'Attrition Modeling'!$B:$B,$E25,'Attrition Modeling'!$C:$C,Q$11),VLOOKUP(RentalsVacates!Q$12-RentalsVacates!$F25-1,RentalsVacates!$A$8:$C$162,2,FALSE)*VLOOKUP(Q$11,'Attrition Modeling'!$L$15:$N$27,IF(Q$12-$F25&lt;=24,2,3),FALSE))*(1+IF('Traditional Attrition'!Q147&gt;0,'Attrition Modeling'!$N$9,0))),0))</f>
        <v>0</v>
      </c>
      <c r="R25" s="799">
        <f>IF(R$12=$F25+1,IF(Monthly!N$4=TRUE,0,R$3),IF(R$12&gt;$F25+1,RentalsVacates!Q25*(1-IF(R$12-$F25&lt;=12,SUMIFS('Attrition Modeling'!$D:$D,'Attrition Modeling'!$B:$B,$E25,'Attrition Modeling'!$C:$C,R$11),VLOOKUP(RentalsVacates!R$12-RentalsVacates!$F25-1,RentalsVacates!$A$8:$C$162,2,FALSE)*VLOOKUP(R$11,'Attrition Modeling'!$L$15:$N$27,IF(R$12-$F25&lt;=24,2,3),FALSE))*(1+IF('Traditional Attrition'!R147&gt;0,'Attrition Modeling'!$N$9,0))),0))</f>
        <v>0</v>
      </c>
      <c r="S25" s="799">
        <f>IF(S$12=$F25+1,IF(Monthly!O$4=TRUE,0,S$3),IF(S$12&gt;$F25+1,RentalsVacates!R25*(1-IF(S$12-$F25&lt;=12,SUMIFS('Attrition Modeling'!$D:$D,'Attrition Modeling'!$B:$B,$E25,'Attrition Modeling'!$C:$C,S$11),VLOOKUP(RentalsVacates!S$12-RentalsVacates!$F25-1,RentalsVacates!$A$8:$C$162,2,FALSE)*VLOOKUP(S$11,'Attrition Modeling'!$L$15:$N$27,IF(S$12-$F25&lt;=24,2,3),FALSE))*(1+IF('Traditional Attrition'!S147&gt;0,'Attrition Modeling'!$N$9,0))),0))</f>
        <v>0</v>
      </c>
      <c r="T25" s="799">
        <f>IF(T$12=$F25+1,IF(Monthly!P$4=TRUE,0,T$3),IF(T$12&gt;$F25+1,RentalsVacates!S25*(1-IF(T$12-$F25&lt;=12,SUMIFS('Attrition Modeling'!$D:$D,'Attrition Modeling'!$B:$B,$E25,'Attrition Modeling'!$C:$C,T$11),VLOOKUP(RentalsVacates!T$12-RentalsVacates!$F25-1,RentalsVacates!$A$8:$C$162,2,FALSE)*VLOOKUP(T$11,'Attrition Modeling'!$L$15:$N$27,IF(T$12-$F25&lt;=24,2,3),FALSE))*(1+IF('Traditional Attrition'!T147&gt;0,'Attrition Modeling'!$N$9,0))),0))</f>
        <v>5006.7510743401399</v>
      </c>
      <c r="U25" s="799">
        <f>IF(U$12=$F25+1,IF(Monthly!Q$4=TRUE,0,U$3),IF(U$12&gt;$F25+1,RentalsVacates!T25*(1-IF(U$12-$F25&lt;=12,SUMIFS('Attrition Modeling'!$D:$D,'Attrition Modeling'!$B:$B,$E25,'Attrition Modeling'!$C:$C,U$11),VLOOKUP(RentalsVacates!U$12-RentalsVacates!$F25-1,RentalsVacates!$A$8:$C$162,2,FALSE)*VLOOKUP(U$11,'Attrition Modeling'!$L$15:$N$27,IF(U$12-$F25&lt;=24,2,3),FALSE))*(1+IF('Traditional Attrition'!U147&gt;0,'Attrition Modeling'!$N$9,0))),0))</f>
        <v>4531.3513480846741</v>
      </c>
      <c r="V25" s="799">
        <f>IF(V$12=$F25+1,IF(Monthly!R$4=TRUE,0,V$3),IF(V$12&gt;$F25+1,RentalsVacates!U25*(1-IF(V$12-$F25&lt;=12,SUMIFS('Attrition Modeling'!$D:$D,'Attrition Modeling'!$B:$B,$E25,'Attrition Modeling'!$C:$C,V$11),VLOOKUP(RentalsVacates!V$12-RentalsVacates!$F25-1,RentalsVacates!$A$8:$C$162,2,FALSE)*VLOOKUP(V$11,'Attrition Modeling'!$L$15:$N$27,IF(V$12-$F25&lt;=24,2,3),FALSE))*(1+IF('Traditional Attrition'!V147&gt;0,'Attrition Modeling'!$N$9,0))),0))</f>
        <v>4138.6665246812763</v>
      </c>
      <c r="W25" s="799">
        <f>IF(W$12=$F25+1,IF(Monthly!S$4=TRUE,0,W$3),IF(W$12&gt;$F25+1,RentalsVacates!V25*(1-IF(W$12-$F25&lt;=12,SUMIFS('Attrition Modeling'!$D:$D,'Attrition Modeling'!$B:$B,$E25,'Attrition Modeling'!$C:$C,W$11),VLOOKUP(RentalsVacates!W$12-RentalsVacates!$F25-1,RentalsVacates!$A$8:$C$162,2,FALSE)*VLOOKUP(W$11,'Attrition Modeling'!$L$15:$N$27,IF(W$12-$F25&lt;=24,2,3),FALSE))*(1+IF('Traditional Attrition'!W147&gt;0,'Attrition Modeling'!$N$9,0))),0))</f>
        <v>3768.7298721993739</v>
      </c>
      <c r="X25" s="799">
        <f>IF(X$12=$F25+1,IF(Monthly!T$4=TRUE,0,X$3),IF(X$12&gt;$F25+1,RentalsVacates!W25*(1-IF(X$12-$F25&lt;=12,SUMIFS('Attrition Modeling'!$D:$D,'Attrition Modeling'!$B:$B,$E25,'Attrition Modeling'!$C:$C,X$11),VLOOKUP(RentalsVacates!X$12-RentalsVacates!$F25-1,RentalsVacates!$A$8:$C$162,2,FALSE)*VLOOKUP(X$11,'Attrition Modeling'!$L$15:$N$27,IF(X$12-$F25&lt;=24,2,3),FALSE))*(1+IF('Traditional Attrition'!X147&gt;0,'Attrition Modeling'!$N$9,0))),0))</f>
        <v>3447.4635520612701</v>
      </c>
      <c r="Y25" s="799">
        <f>IF(Y$12=$F25+1,IF(Monthly!U$4=TRUE,0,Y$3),IF(Y$12&gt;$F25+1,RentalsVacates!X25*(1-IF(Y$12-$F25&lt;=12,SUMIFS('Attrition Modeling'!$D:$D,'Attrition Modeling'!$B:$B,$E25,'Attrition Modeling'!$C:$C,Y$11),VLOOKUP(RentalsVacates!Y$12-RentalsVacates!$F25-1,RentalsVacates!$A$8:$C$162,2,FALSE)*VLOOKUP(Y$11,'Attrition Modeling'!$L$15:$N$27,IF(Y$12-$F25&lt;=24,2,3),FALSE))*(1+IF('Traditional Attrition'!Y147&gt;0,'Attrition Modeling'!$N$9,0))),0))</f>
        <v>3135.3248240145012</v>
      </c>
      <c r="Z25" s="799">
        <f>IF(Z$12=$F25+1,IF(Monthly!V$4=TRUE,0,Z$3),IF(Z$12&gt;$F25+1,RentalsVacates!Y25*(1-IF(Z$12-$F25&lt;=12,SUMIFS('Attrition Modeling'!$D:$D,'Attrition Modeling'!$B:$B,$E25,'Attrition Modeling'!$C:$C,Z$11),VLOOKUP(RentalsVacates!Z$12-RentalsVacates!$F25-1,RentalsVacates!$A$8:$C$162,2,FALSE)*VLOOKUP(Z$11,'Attrition Modeling'!$L$15:$N$27,IF(Z$12-$F25&lt;=24,2,3),FALSE))*(1+IF('Traditional Attrition'!Z147&gt;0,'Attrition Modeling'!$N$9,0))),0))</f>
        <v>2898.779678308259</v>
      </c>
      <c r="AA25" s="799">
        <f>IF(AA$12=$F25+1,IF(Monthly!W$4=TRUE,0,AA$3),IF(AA$12&gt;$F25+1,RentalsVacates!Z25*(1-IF(AA$12-$F25&lt;=12,SUMIFS('Attrition Modeling'!$D:$D,'Attrition Modeling'!$B:$B,$E25,'Attrition Modeling'!$C:$C,AA$11),VLOOKUP(RentalsVacates!AA$12-RentalsVacates!$F25-1,RentalsVacates!$A$8:$C$162,2,FALSE)*VLOOKUP(AA$11,'Attrition Modeling'!$L$15:$N$27,IF(AA$12-$F25&lt;=24,2,3),FALSE))*(1+IF('Traditional Attrition'!AA147&gt;0,'Attrition Modeling'!$N$9,0))),0))</f>
        <v>2688.7870345349684</v>
      </c>
      <c r="AB25" s="799">
        <f>IF(AB$12=$F25+1,IF(Monthly!X$4=TRUE,0,AB$3),IF(AB$12&gt;$F25+1,RentalsVacates!AA25*(1-IF(AB$12-$F25&lt;=12,SUMIFS('Attrition Modeling'!$D:$D,'Attrition Modeling'!$B:$B,$E25,'Attrition Modeling'!$C:$C,AB$11),VLOOKUP(RentalsVacates!AB$12-RentalsVacates!$F25-1,RentalsVacates!$A$8:$C$162,2,FALSE)*VLOOKUP(AB$11,'Attrition Modeling'!$L$15:$N$27,IF(AB$12-$F25&lt;=24,2,3),FALSE))*(1+IF('Traditional Attrition'!AB147&gt;0,'Attrition Modeling'!$N$9,0))),0))</f>
        <v>2518.3029868895396</v>
      </c>
      <c r="AC25" s="799">
        <f>IF(AC$12=$F25+1,IF(Monthly!Y$4=TRUE,0,AC$3),IF(AC$12&gt;$F25+1,RentalsVacates!AB25*(1-IF(AC$12-$F25&lt;=12,SUMIFS('Attrition Modeling'!$D:$D,'Attrition Modeling'!$B:$B,$E25,'Attrition Modeling'!$C:$C,AC$11),VLOOKUP(RentalsVacates!AC$12-RentalsVacates!$F25-1,RentalsVacates!$A$8:$C$162,2,FALSE)*VLOOKUP(AC$11,'Attrition Modeling'!$L$15:$N$27,IF(AC$12-$F25&lt;=24,2,3),FALSE))*(1+IF('Traditional Attrition'!AC147&gt;0,'Attrition Modeling'!$N$9,0))),0))</f>
        <v>2363.4570439880481</v>
      </c>
      <c r="AD25" s="799">
        <f>IF(AD$12=$F25+1,IF(Monthly!Z$4=TRUE,0,AD$3),IF(AD$12&gt;$F25+1,RentalsVacates!AC25*(1-IF(AD$12-$F25&lt;=12,SUMIFS('Attrition Modeling'!$D:$D,'Attrition Modeling'!$B:$B,$E25,'Attrition Modeling'!$C:$C,AD$11),VLOOKUP(RentalsVacates!AD$12-RentalsVacates!$F25-1,RentalsVacates!$A$8:$C$162,2,FALSE)*VLOOKUP(AD$11,'Attrition Modeling'!$L$15:$N$27,IF(AD$12-$F25&lt;=24,2,3),FALSE))*(1+IF('Traditional Attrition'!AD147&gt;0,'Attrition Modeling'!$N$9,0))),0))</f>
        <v>2233.3683504099713</v>
      </c>
      <c r="AE25" s="799">
        <f>IF(AE$12=$F25+1,IF(Monthly!AA$4=TRUE,0,AE$3),IF(AE$12&gt;$F25+1,RentalsVacates!AD25*(1-IF(AE$12-$F25&lt;=12,SUMIFS('Attrition Modeling'!$D:$D,'Attrition Modeling'!$B:$B,$E25,'Attrition Modeling'!$C:$C,AE$11),VLOOKUP(RentalsVacates!AE$12-RentalsVacates!$F25-1,RentalsVacates!$A$8:$C$162,2,FALSE)*VLOOKUP(AE$11,'Attrition Modeling'!$L$15:$N$27,IF(AE$12-$F25&lt;=24,2,3),FALSE))*(1+IF('Traditional Attrition'!AE147&gt;0,'Attrition Modeling'!$N$9,0))),0))</f>
        <v>2163.8074130944324</v>
      </c>
      <c r="AF25" s="799">
        <f>IF(AF$12=$F25+1,IF(Monthly!AB$4=TRUE,0,AF$3),IF(AF$12&gt;$F25+1,RentalsVacates!AE25*(1-IF(AF$12-$F25&lt;=12,SUMIFS('Attrition Modeling'!$D:$D,'Attrition Modeling'!$B:$B,$E25,'Attrition Modeling'!$C:$C,AF$11),VLOOKUP(RentalsVacates!AF$12-RentalsVacates!$F25-1,RentalsVacates!$A$8:$C$162,2,FALSE)*VLOOKUP(AF$11,'Attrition Modeling'!$L$15:$N$27,IF(AF$12-$F25&lt;=24,2,3),FALSE))*(1+IF('Traditional Attrition'!AF147&gt;0,'Attrition Modeling'!$N$9,0))),0))</f>
        <v>2047.3168965490472</v>
      </c>
      <c r="AG25" s="799">
        <f>IF(AG$12=$F25+1,IF(Monthly!AC$4=TRUE,0,AG$3),IF(AG$12&gt;$F25+1,RentalsVacates!AF25*(1-IF(AG$12-$F25&lt;=12,SUMIFS('Attrition Modeling'!$D:$D,'Attrition Modeling'!$B:$B,$E25,'Attrition Modeling'!$C:$C,AG$11),VLOOKUP(RentalsVacates!AG$12-RentalsVacates!$F25-1,RentalsVacates!$A$8:$C$162,2,FALSE)*VLOOKUP(AG$11,'Attrition Modeling'!$L$15:$N$27,IF(AG$12-$F25&lt;=24,2,3),FALSE))*(1+IF('Traditional Attrition'!AG147&gt;0,'Attrition Modeling'!$N$9,0))),0))</f>
        <v>1955.5675268170974</v>
      </c>
      <c r="AH25" s="799">
        <f>IF(AH$12=$F25+1,IF(Monthly!AD$4=TRUE,0,AH$3),IF(AH$12&gt;$F25+1,RentalsVacates!AG25*(1-IF(AH$12-$F25&lt;=12,SUMIFS('Attrition Modeling'!$D:$D,'Attrition Modeling'!$B:$B,$E25,'Attrition Modeling'!$C:$C,AH$11),VLOOKUP(RentalsVacates!AH$12-RentalsVacates!$F25-1,RentalsVacates!$A$8:$C$162,2,FALSE)*VLOOKUP(AH$11,'Attrition Modeling'!$L$15:$N$27,IF(AH$12-$F25&lt;=24,2,3),FALSE))*(1+IF('Traditional Attrition'!AH147&gt;0,'Attrition Modeling'!$N$9,0))),0))</f>
        <v>1864.8397621569511</v>
      </c>
      <c r="AI25" s="799">
        <f>IF(AI$12=$F25+1,IF(Monthly!AE$4=TRUE,0,AI$3),IF(AI$12&gt;$F25+1,RentalsVacates!AH25*(1-IF(AI$12-$F25&lt;=12,SUMIFS('Attrition Modeling'!$D:$D,'Attrition Modeling'!$B:$B,$E25,'Attrition Modeling'!$C:$C,AI$11),VLOOKUP(RentalsVacates!AI$12-RentalsVacates!$F25-1,RentalsVacates!$A$8:$C$162,2,FALSE)*VLOOKUP(AI$11,'Attrition Modeling'!$L$15:$N$27,IF(AI$12-$F25&lt;=24,2,3),FALSE))*(1+IF('Traditional Attrition'!AI147&gt;0,'Attrition Modeling'!$N$9,0))),0))</f>
        <v>1782.8799706361117</v>
      </c>
      <c r="AJ25" s="799">
        <f>IF(AJ$12=$F25+1,IF(Monthly!AF$4=TRUE,0,AJ$3),IF(AJ$12&gt;$F25+1,RentalsVacates!AI25*(1-IF(AJ$12-$F25&lt;=12,SUMIFS('Attrition Modeling'!$D:$D,'Attrition Modeling'!$B:$B,$E25,'Attrition Modeling'!$C:$C,AJ$11),VLOOKUP(RentalsVacates!AJ$12-RentalsVacates!$F25-1,RentalsVacates!$A$8:$C$162,2,FALSE)*VLOOKUP(AJ$11,'Attrition Modeling'!$L$15:$N$27,IF(AJ$12-$F25&lt;=24,2,3),FALSE))*(1+IF('Traditional Attrition'!AJ147&gt;0,'Attrition Modeling'!$N$9,0))),0))</f>
        <v>1707.3698826097675</v>
      </c>
      <c r="AK25" s="799">
        <f>IF(AK$12=$F25+1,IF(Monthly!AG$4=TRUE,0,AK$3),IF(AK$12&gt;$F25+1,RentalsVacates!AJ25*(1-IF(AK$12-$F25&lt;=12,SUMIFS('Attrition Modeling'!$D:$D,'Attrition Modeling'!$B:$B,$E25,'Attrition Modeling'!$C:$C,AK$11),VLOOKUP(RentalsVacates!AK$12-RentalsVacates!$F25-1,RentalsVacates!$A$8:$C$162,2,FALSE)*VLOOKUP(AK$11,'Attrition Modeling'!$L$15:$N$27,IF(AK$12-$F25&lt;=24,2,3),FALSE))*(1+IF('Traditional Attrition'!AK147&gt;0,'Attrition Modeling'!$N$9,0))),0))</f>
        <v>1614.4611127206965</v>
      </c>
      <c r="AL25" s="799">
        <f>IF(AL$12=$F25+1,IF(Monthly!AH$4=TRUE,0,AL$3),IF(AL$12&gt;$F25+1,RentalsVacates!AK25*(1-IF(AL$12-$F25&lt;=12,SUMIFS('Attrition Modeling'!$D:$D,'Attrition Modeling'!$B:$B,$E25,'Attrition Modeling'!$C:$C,AL$11),VLOOKUP(RentalsVacates!AL$12-RentalsVacates!$F25-1,RentalsVacates!$A$8:$C$162,2,FALSE)*VLOOKUP(AL$11,'Attrition Modeling'!$L$15:$N$27,IF(AL$12-$F25&lt;=24,2,3),FALSE))*(1+IF('Traditional Attrition'!AL147&gt;0,'Attrition Modeling'!$N$9,0))),0))</f>
        <v>1541.1258333030639</v>
      </c>
      <c r="AM25" s="799">
        <f>IF(AM$12=$F25+1,IF(Monthly!AI$4=TRUE,0,AM$3),IF(AM$12&gt;$F25+1,RentalsVacates!AL25*(1-IF(AM$12-$F25&lt;=12,SUMIFS('Attrition Modeling'!$D:$D,'Attrition Modeling'!$B:$B,$E25,'Attrition Modeling'!$C:$C,AM$11),VLOOKUP(RentalsVacates!AM$12-RentalsVacates!$F25-1,RentalsVacates!$A$8:$C$162,2,FALSE)*VLOOKUP(AM$11,'Attrition Modeling'!$L$15:$N$27,IF(AM$12-$F25&lt;=24,2,3),FALSE))*(1+IF('Traditional Attrition'!AM147&gt;0,'Attrition Modeling'!$N$9,0))),0))</f>
        <v>1469.4145321422691</v>
      </c>
      <c r="AN25" s="799">
        <f>IF(AN$12=$F25+1,IF(Monthly!AJ$4=TRUE,0,AN$3),IF(AN$12&gt;$F25+1,RentalsVacates!AM25*(1-IF(AN$12-$F25&lt;=12,SUMIFS('Attrition Modeling'!$D:$D,'Attrition Modeling'!$B:$B,$E25,'Attrition Modeling'!$C:$C,AN$11),VLOOKUP(RentalsVacates!AN$12-RentalsVacates!$F25-1,RentalsVacates!$A$8:$C$162,2,FALSE)*VLOOKUP(AN$11,'Attrition Modeling'!$L$15:$N$27,IF(AN$12-$F25&lt;=24,2,3),FALSE))*(1+IF('Traditional Attrition'!AN147&gt;0,'Attrition Modeling'!$N$9,0))),0))</f>
        <v>1408.1310780725867</v>
      </c>
      <c r="AO25" s="799">
        <f>IF(AO$12=$F25+1,IF(Monthly!AK$4=TRUE,0,AO$3),IF(AO$12&gt;$F25+1,RentalsVacates!AN25*(1-IF(AO$12-$F25&lt;=12,SUMIFS('Attrition Modeling'!$D:$D,'Attrition Modeling'!$B:$B,$E25,'Attrition Modeling'!$C:$C,AO$11),VLOOKUP(RentalsVacates!AO$12-RentalsVacates!$F25-1,RentalsVacates!$A$8:$C$162,2,FALSE)*VLOOKUP(AO$11,'Attrition Modeling'!$L$15:$N$27,IF(AO$12-$F25&lt;=24,2,3),FALSE))*(1+IF('Traditional Attrition'!AO147&gt;0,'Attrition Modeling'!$N$9,0))),0))</f>
        <v>1348.9789646634918</v>
      </c>
      <c r="AP25" s="799">
        <f>IF(AP$12=$F25+1,IF(Monthly!AL$4=TRUE,0,AP$3),IF(AP$12&gt;$F25+1,RentalsVacates!AO25*(1-IF(AP$12-$F25&lt;=12,SUMIFS('Attrition Modeling'!$D:$D,'Attrition Modeling'!$B:$B,$E25,'Attrition Modeling'!$C:$C,AP$11),VLOOKUP(RentalsVacates!AP$12-RentalsVacates!$F25-1,RentalsVacates!$A$8:$C$162,2,FALSE)*VLOOKUP(AP$11,'Attrition Modeling'!$L$15:$N$27,IF(AP$12-$F25&lt;=24,2,3),FALSE))*(1+IF('Traditional Attrition'!AP147&gt;0,'Attrition Modeling'!$N$9,0))),0))</f>
        <v>1295.2443597277925</v>
      </c>
      <c r="AQ25" s="799">
        <f>IF(AQ$12=$F25+1,IF(Monthly!AM$4=TRUE,0,AQ$3),IF(AQ$12&gt;$F25+1,RentalsVacates!AP25*(1-IF(AQ$12-$F25&lt;=12,SUMIFS('Attrition Modeling'!$D:$D,'Attrition Modeling'!$B:$B,$E25,'Attrition Modeling'!$C:$C,AQ$11),VLOOKUP(RentalsVacates!AQ$12-RentalsVacates!$F25-1,RentalsVacates!$A$8:$C$162,2,FALSE)*VLOOKUP(AQ$11,'Attrition Modeling'!$L$15:$N$27,IF(AQ$12-$F25&lt;=24,2,3),FALSE))*(1+IF('Traditional Attrition'!AQ147&gt;0,'Attrition Modeling'!$N$9,0))),0))</f>
        <v>1244.8677339146377</v>
      </c>
      <c r="AR25" s="799">
        <f>IF(AR$12=$F25+1,IF(Monthly!AN$4=TRUE,0,AR$3),IF(AR$12&gt;$F25+1,RentalsVacates!AQ25*(1-IF(AR$12-$F25&lt;=12,SUMIFS('Attrition Modeling'!$D:$D,'Attrition Modeling'!$B:$B,$E25,'Attrition Modeling'!$C:$C,AR$11),VLOOKUP(RentalsVacates!AR$12-RentalsVacates!$F25-1,RentalsVacates!$A$8:$C$162,2,FALSE)*VLOOKUP(AR$11,'Attrition Modeling'!$L$15:$N$27,IF(AR$12-$F25&lt;=24,2,3),FALSE))*(1+IF('Traditional Attrition'!AR147&gt;0,'Attrition Modeling'!$N$9,0))),0))</f>
        <v>1200.1983662059615</v>
      </c>
      <c r="AS25" s="799">
        <f>IF(AS$12=$F25+1,IF(Monthly!AO$4=TRUE,0,AS$3),IF(AS$12&gt;$F25+1,RentalsVacates!AR25*(1-IF(AS$12-$F25&lt;=12,SUMIFS('Attrition Modeling'!$D:$D,'Attrition Modeling'!$B:$B,$E25,'Attrition Modeling'!$C:$C,AS$11),VLOOKUP(RentalsVacates!AS$12-RentalsVacates!$F25-1,RentalsVacates!$A$8:$C$162,2,FALSE)*VLOOKUP(AS$11,'Attrition Modeling'!$L$15:$N$27,IF(AS$12-$F25&lt;=24,2,3),FALSE))*(1+IF('Traditional Attrition'!AS147&gt;0,'Attrition Modeling'!$N$9,0))),0))</f>
        <v>1159.0640129113658</v>
      </c>
      <c r="AT25" s="799">
        <f>IF(AT$12=$F25+1,IF(Monthly!AP$4=TRUE,0,AT$3),IF(AT$12&gt;$F25+1,RentalsVacates!AS25*(1-IF(AT$12-$F25&lt;=12,SUMIFS('Attrition Modeling'!$D:$D,'Attrition Modeling'!$B:$B,$E25,'Attrition Modeling'!$C:$C,AT$11),VLOOKUP(RentalsVacates!AT$12-RentalsVacates!$F25-1,RentalsVacates!$A$8:$C$162,2,FALSE)*VLOOKUP(AT$11,'Attrition Modeling'!$L$15:$N$27,IF(AT$12-$F25&lt;=24,2,3),FALSE))*(1+IF('Traditional Attrition'!AT147&gt;0,'Attrition Modeling'!$N$9,0))),0))</f>
        <v>1121.5246369069353</v>
      </c>
      <c r="AU25" s="799">
        <f>IF(AU$12=$F25+1,IF(Monthly!AQ$4=TRUE,0,AU$3),IF(AU$12&gt;$F25+1,RentalsVacates!AT25*(1-IF(AU$12-$F25&lt;=12,SUMIFS('Attrition Modeling'!$D:$D,'Attrition Modeling'!$B:$B,$E25,'Attrition Modeling'!$C:$C,AU$11),VLOOKUP(RentalsVacates!AU$12-RentalsVacates!$F25-1,RentalsVacates!$A$8:$C$162,2,FALSE)*VLOOKUP(AU$11,'Attrition Modeling'!$L$15:$N$27,IF(AU$12-$F25&lt;=24,2,3),FALSE))*(1+IF('Traditional Attrition'!AU147&gt;0,'Attrition Modeling'!$N$9,0))),0))</f>
        <v>1093.0186316882034</v>
      </c>
      <c r="AV25" s="799">
        <f>IF(AV$12=$F25+1,IF(Monthly!AR$4=TRUE,0,AV$3),IF(AV$12&gt;$F25+1,RentalsVacates!AU25*(1-IF(AV$12-$F25&lt;=12,SUMIFS('Attrition Modeling'!$D:$D,'Attrition Modeling'!$B:$B,$E25,'Attrition Modeling'!$C:$C,AV$11),VLOOKUP(RentalsVacates!AV$12-RentalsVacates!$F25-1,RentalsVacates!$A$8:$C$162,2,FALSE)*VLOOKUP(AV$11,'Attrition Modeling'!$L$15:$N$27,IF(AV$12-$F25&lt;=24,2,3),FALSE))*(1+IF('Traditional Attrition'!AV147&gt;0,'Attrition Modeling'!$N$9,0))),0))</f>
        <v>1059.9100565624028</v>
      </c>
      <c r="AW25" s="799">
        <f>IF(AW$12=$F25+1,IF(Monthly!AS$4=TRUE,0,AW$3),IF(AW$12&gt;$F25+1,RentalsVacates!AV25*(1-IF(AW$12-$F25&lt;=12,SUMIFS('Attrition Modeling'!$D:$D,'Attrition Modeling'!$B:$B,$E25,'Attrition Modeling'!$C:$C,AW$11),VLOOKUP(RentalsVacates!AW$12-RentalsVacates!$F25-1,RentalsVacates!$A$8:$C$162,2,FALSE)*VLOOKUP(AW$11,'Attrition Modeling'!$L$15:$N$27,IF(AW$12-$F25&lt;=24,2,3),FALSE))*(1+IF('Traditional Attrition'!AW147&gt;0,'Attrition Modeling'!$N$9,0))),0))</f>
        <v>1016.4908090300709</v>
      </c>
      <c r="AX25" s="799">
        <f>IF(AX$12=$F25+1,IF(Monthly!AT$4=TRUE,0,AX$3),IF(AX$12&gt;$F25+1,RentalsVacates!AW25*(1-IF(AX$12-$F25&lt;=12,SUMIFS('Attrition Modeling'!$D:$D,'Attrition Modeling'!$B:$B,$E25,'Attrition Modeling'!$C:$C,AX$11),VLOOKUP(RentalsVacates!AX$12-RentalsVacates!$F25-1,RentalsVacates!$A$8:$C$162,2,FALSE)*VLOOKUP(AX$11,'Attrition Modeling'!$L$15:$N$27,IF(AX$12-$F25&lt;=24,2,3),FALSE))*(1+IF('Traditional Attrition'!AX147&gt;0,'Attrition Modeling'!$N$9,0))),0))</f>
        <v>979.14652193755978</v>
      </c>
      <c r="AY25" s="799">
        <f>IF(AY$12=$F25+1,IF(Monthly!AU$4=TRUE,0,AY$3),IF(AY$12&gt;$F25+1,RentalsVacates!AX25*(1-IF(AY$12-$F25&lt;=12,SUMIFS('Attrition Modeling'!$D:$D,'Attrition Modeling'!$B:$B,$E25,'Attrition Modeling'!$C:$C,AY$11),VLOOKUP(RentalsVacates!AY$12-RentalsVacates!$F25-1,RentalsVacates!$A$8:$C$162,2,FALSE)*VLOOKUP(AY$11,'Attrition Modeling'!$L$15:$N$27,IF(AY$12-$F25&lt;=24,2,3),FALSE))*(1+IF('Traditional Attrition'!AY147&gt;0,'Attrition Modeling'!$N$9,0))),0))</f>
        <v>940.97947102720775</v>
      </c>
      <c r="AZ25" s="799">
        <f>IF(AZ$12=$F25+1,IF(Monthly!AV$4=TRUE,0,AZ$3),IF(AZ$12&gt;$F25+1,RentalsVacates!AY25*(1-IF(AZ$12-$F25&lt;=12,SUMIFS('Attrition Modeling'!$D:$D,'Attrition Modeling'!$B:$B,$E25,'Attrition Modeling'!$C:$C,AZ$11),VLOOKUP(RentalsVacates!AZ$12-RentalsVacates!$F25-1,RentalsVacates!$A$8:$C$162,2,FALSE)*VLOOKUP(AZ$11,'Attrition Modeling'!$L$15:$N$27,IF(AZ$12-$F25&lt;=24,2,3),FALSE))*(1+IF('Traditional Attrition'!AZ147&gt;0,'Attrition Modeling'!$N$9,0))),0))</f>
        <v>906.93721204504789</v>
      </c>
      <c r="BA25" s="799">
        <f>IF(BA$12=$F25+1,IF(Monthly!AW$4=TRUE,0,BA$3),IF(BA$12&gt;$F25+1,RentalsVacates!AZ25*(1-IF(BA$12-$F25&lt;=12,SUMIFS('Attrition Modeling'!$D:$D,'Attrition Modeling'!$B:$B,$E25,'Attrition Modeling'!$C:$C,BA$11),VLOOKUP(RentalsVacates!BA$12-RentalsVacates!$F25-1,RentalsVacates!$A$8:$C$162,2,FALSE)*VLOOKUP(BA$11,'Attrition Modeling'!$L$15:$N$27,IF(BA$12-$F25&lt;=24,2,3),FALSE))*(1+IF('Traditional Attrition'!BA147&gt;0,'Attrition Modeling'!$N$9,0))),0))</f>
        <v>875.61965052829794</v>
      </c>
      <c r="BB25" s="799">
        <f>IF(BB$12=$F25+1,IF(Monthly!AX$4=TRUE,0,BB$3),IF(BB$12&gt;$F25+1,RentalsVacates!BA25*(1-IF(BB$12-$F25&lt;=12,SUMIFS('Attrition Modeling'!$D:$D,'Attrition Modeling'!$B:$B,$E25,'Attrition Modeling'!$C:$C,BB$11),VLOOKUP(RentalsVacates!BB$12-RentalsVacates!$F25-1,RentalsVacates!$A$8:$C$162,2,FALSE)*VLOOKUP(BB$11,'Attrition Modeling'!$L$15:$N$27,IF(BB$12-$F25&lt;=24,2,3),FALSE))*(1+IF('Traditional Attrition'!BB147&gt;0,'Attrition Modeling'!$N$9,0))),0))</f>
        <v>846.39942169691835</v>
      </c>
      <c r="BC25" s="799">
        <f>IF(BC$12=$F25+1,IF(Monthly!AY$4=TRUE,0,BC$3),IF(BC$12&gt;$F25+1,RentalsVacates!BB25*(1-IF(BC$12-$F25&lt;=12,SUMIFS('Attrition Modeling'!$D:$D,'Attrition Modeling'!$B:$B,$E25,'Attrition Modeling'!$C:$C,BC$11),VLOOKUP(RentalsVacates!BC$12-RentalsVacates!$F25-1,RentalsVacates!$A$8:$C$162,2,FALSE)*VLOOKUP(BC$11,'Attrition Modeling'!$L$15:$N$27,IF(BC$12-$F25&lt;=24,2,3),FALSE))*(1+IF('Traditional Attrition'!BC147&gt;0,'Attrition Modeling'!$N$9,0))),0))</f>
        <v>823.38034547174561</v>
      </c>
      <c r="BD25" s="799">
        <f>IF(BD$12=$F25+1,IF(Monthly!AZ$4=TRUE,0,BD$3),IF(BD$12&gt;$F25+1,RentalsVacates!BC25*(1-IF(BD$12-$F25&lt;=12,SUMIFS('Attrition Modeling'!$D:$D,'Attrition Modeling'!$B:$B,$E25,'Attrition Modeling'!$C:$C,BD$11),VLOOKUP(RentalsVacates!BD$12-RentalsVacates!$F25-1,RentalsVacates!$A$8:$C$162,2,FALSE)*VLOOKUP(BD$11,'Attrition Modeling'!$L$15:$N$27,IF(BD$12-$F25&lt;=24,2,3),FALSE))*(1+IF('Traditional Attrition'!BD147&gt;0,'Attrition Modeling'!$N$9,0))),0))</f>
        <v>798.85750355054472</v>
      </c>
      <c r="BE25" s="799">
        <f>IF(BE$12=$F25+1,IF(Monthly!BA$4=TRUE,0,BE$3),IF(BE$12&gt;$F25+1,RentalsVacates!BD25*(1-IF(BE$12-$F25&lt;=12,SUMIFS('Attrition Modeling'!$D:$D,'Attrition Modeling'!$B:$B,$E25,'Attrition Modeling'!$C:$C,BE$11),VLOOKUP(RentalsVacates!BE$12-RentalsVacates!$F25-1,RentalsVacates!$A$8:$C$162,2,FALSE)*VLOOKUP(BE$11,'Attrition Modeling'!$L$15:$N$27,IF(BE$12-$F25&lt;=24,2,3),FALSE))*(1+IF('Traditional Attrition'!BE147&gt;0,'Attrition Modeling'!$N$9,0))),0))</f>
        <v>776.05674293223308</v>
      </c>
      <c r="BF25" s="799">
        <f>IF(BF$12=$F25+1,IF(Monthly!BB$4=TRUE,0,BF$3),IF(BF$12&gt;$F25+1,RentalsVacates!BE25*(1-IF(BF$12-$F25&lt;=12,SUMIFS('Attrition Modeling'!$D:$D,'Attrition Modeling'!$B:$B,$E25,'Attrition Modeling'!$C:$C,BF$11),VLOOKUP(RentalsVacates!BF$12-RentalsVacates!$F25-1,RentalsVacates!$A$8:$C$162,2,FALSE)*VLOOKUP(BF$11,'Attrition Modeling'!$L$15:$N$27,IF(BF$12-$F25&lt;=24,2,3),FALSE))*(1+IF('Traditional Attrition'!BF147&gt;0,'Attrition Modeling'!$N$9,0))),0))</f>
        <v>755.05983502223444</v>
      </c>
      <c r="BG25" s="799">
        <f>IF(BG$12=$F25+1,IF(Monthly!BC$4=TRUE,0,BG$3),IF(BG$12&gt;$F25+1,RentalsVacates!BF25*(1-IF(BG$12-$F25&lt;=12,SUMIFS('Attrition Modeling'!$D:$D,'Attrition Modeling'!$B:$B,$E25,'Attrition Modeling'!$C:$C,BG$11),VLOOKUP(RentalsVacates!BG$12-RentalsVacates!$F25-1,RentalsVacates!$A$8:$C$162,2,FALSE)*VLOOKUP(BG$11,'Attrition Modeling'!$L$15:$N$27,IF(BG$12-$F25&lt;=24,2,3),FALSE))*(1+IF('Traditional Attrition'!BG147&gt;0,'Attrition Modeling'!$N$9,0))),0))</f>
        <v>738.98071718516826</v>
      </c>
      <c r="BH25" s="799">
        <f>IF(BH$12=$F25+1,IF(Monthly!BD$4=TRUE,0,BH$3),IF(BH$12&gt;$F25+1,RentalsVacates!BG25*(1-IF(BH$12-$F25&lt;=12,SUMIFS('Attrition Modeling'!$D:$D,'Attrition Modeling'!$B:$B,$E25,'Attrition Modeling'!$C:$C,BH$11),VLOOKUP(RentalsVacates!BH$12-RentalsVacates!$F25-1,RentalsVacates!$A$8:$C$162,2,FALSE)*VLOOKUP(BH$11,'Attrition Modeling'!$L$15:$N$27,IF(BH$12-$F25&lt;=24,2,3),FALSE))*(1+IF('Traditional Attrition'!BH147&gt;0,'Attrition Modeling'!$N$9,0))),0))</f>
        <v>720.17479387123308</v>
      </c>
      <c r="BI25" s="799">
        <f>IF(BI$12=$F25+1,IF(Monthly!BE$4=TRUE,0,BI$3),IF(BI$12&gt;$F25+1,RentalsVacates!BH25*(1-IF(BI$12-$F25&lt;=12,SUMIFS('Attrition Modeling'!$D:$D,'Attrition Modeling'!$B:$B,$E25,'Attrition Modeling'!$C:$C,BI$11),VLOOKUP(RentalsVacates!BI$12-RentalsVacates!$F25-1,RentalsVacates!$A$8:$C$162,2,FALSE)*VLOOKUP(BI$11,'Attrition Modeling'!$L$15:$N$27,IF(BI$12-$F25&lt;=24,2,3),FALSE))*(1+IF('Traditional Attrition'!BI147&gt;0,'Attrition Modeling'!$N$9,0))),0))</f>
        <v>695.3248367956387</v>
      </c>
      <c r="BJ25" s="799">
        <f>IF(BJ$12=$F25+1,IF(Monthly!BF$4=TRUE,0,BJ$3),IF(BJ$12&gt;$F25+1,RentalsVacates!BI25*(1-IF(BJ$12-$F25&lt;=12,SUMIFS('Attrition Modeling'!$D:$D,'Attrition Modeling'!$B:$B,$E25,'Attrition Modeling'!$C:$C,BJ$11),VLOOKUP(RentalsVacates!BJ$12-RentalsVacates!$F25-1,RentalsVacates!$A$8:$C$162,2,FALSE)*VLOOKUP(BJ$11,'Attrition Modeling'!$L$15:$N$27,IF(BJ$12-$F25&lt;=24,2,3),FALSE))*(1+IF('Traditional Attrition'!BJ147&gt;0,'Attrition Modeling'!$N$9,0))),0))</f>
        <v>673.75510411699872</v>
      </c>
      <c r="BK25" s="799">
        <f>IF(BK$12=$F25+1,IF(Monthly!BG$4=TRUE,0,BK$3),IF(BK$12&gt;$F25+1,RentalsVacates!BJ25*(1-IF(BK$12-$F25&lt;=12,SUMIFS('Attrition Modeling'!$D:$D,'Attrition Modeling'!$B:$B,$E25,'Attrition Modeling'!$C:$C,BK$11),VLOOKUP(RentalsVacates!BK$12-RentalsVacates!$F25-1,RentalsVacates!$A$8:$C$162,2,FALSE)*VLOOKUP(BK$11,'Attrition Modeling'!$L$15:$N$27,IF(BK$12-$F25&lt;=24,2,3),FALSE))*(1+IF('Traditional Attrition'!BK147&gt;0,'Attrition Modeling'!$N$9,0))),0))</f>
        <v>651.52803842057119</v>
      </c>
      <c r="BL25" s="799">
        <f>IF(BL$12=$F25+1,IF(Monthly!BH$4=TRUE,0,BL$3),IF(BL$12&gt;$F25+1,RentalsVacates!BK25*(1-IF(BL$12-$F25&lt;=12,SUMIFS('Attrition Modeling'!$D:$D,'Attrition Modeling'!$B:$B,$E25,'Attrition Modeling'!$C:$C,BL$11),VLOOKUP(RentalsVacates!BL$12-RentalsVacates!$F25-1,RentalsVacates!$A$8:$C$162,2,FALSE)*VLOOKUP(BL$11,'Attrition Modeling'!$L$15:$N$27,IF(BL$12-$F25&lt;=24,2,3),FALSE))*(1+IF('Traditional Attrition'!BL147&gt;0,'Attrition Modeling'!$N$9,0))),0))</f>
        <v>631.53592378585552</v>
      </c>
      <c r="BM25" s="799">
        <f>IF(BM$12=$F25+1,IF(Monthly!BI$4=TRUE,0,BM$3),IF(BM$12&gt;$F25+1,RentalsVacates!BL25*(1-IF(BM$12-$F25&lt;=12,SUMIFS('Attrition Modeling'!$D:$D,'Attrition Modeling'!$B:$B,$E25,'Attrition Modeling'!$C:$C,BM$11),VLOOKUP(RentalsVacates!BM$12-RentalsVacates!$F25-1,RentalsVacates!$A$8:$C$162,2,FALSE)*VLOOKUP(BM$11,'Attrition Modeling'!$L$15:$N$27,IF(BM$12-$F25&lt;=24,2,3),FALSE))*(1+IF('Traditional Attrition'!BM147&gt;0,'Attrition Modeling'!$N$9,0))),0))</f>
        <v>613.0008714617486</v>
      </c>
      <c r="BN25" s="799">
        <f>IF(BN$12=$F25+1,IF(Monthly!BJ$4=TRUE,0,BN$3),IF(BN$12&gt;$F25+1,RentalsVacates!BM25*(1-IF(BN$12-$F25&lt;=12,SUMIFS('Attrition Modeling'!$D:$D,'Attrition Modeling'!$B:$B,$E25,'Attrition Modeling'!$C:$C,BN$11),VLOOKUP(RentalsVacates!BN$12-RentalsVacates!$F25-1,RentalsVacates!$A$8:$C$162,2,FALSE)*VLOOKUP(BN$11,'Attrition Modeling'!$L$15:$N$27,IF(BN$12-$F25&lt;=24,2,3),FALSE))*(1+IF('Traditional Attrition'!BN147&gt;0,'Attrition Modeling'!$N$9,0))),0))</f>
        <v>595.58020180372148</v>
      </c>
      <c r="BO25" s="799">
        <f>IF(BO$12=$F25+1,IF(Monthly!BK$4=TRUE,0,BO$3),IF(BO$12&gt;$F25+1,RentalsVacates!BN25*(1-IF(BO$12-$F25&lt;=12,SUMIFS('Attrition Modeling'!$D:$D,'Attrition Modeling'!$B:$B,$E25,'Attrition Modeling'!$C:$C,BO$11),VLOOKUP(RentalsVacates!BO$12-RentalsVacates!$F25-1,RentalsVacates!$A$8:$C$162,2,FALSE)*VLOOKUP(BO$11,'Attrition Modeling'!$L$15:$N$27,IF(BO$12-$F25&lt;=24,2,3),FALSE))*(1+IF('Traditional Attrition'!BO147&gt;0,'Attrition Modeling'!$N$9,0))),0))</f>
        <v>581.76060982289619</v>
      </c>
      <c r="BP25" s="799">
        <f>IF(BP$12=$F25+1,IF(Monthly!BL$4=TRUE,0,BP$3),IF(BP$12&gt;$F25+1,RentalsVacates!BO25*(1-IF(BP$12-$F25&lt;=12,SUMIFS('Attrition Modeling'!$D:$D,'Attrition Modeling'!$B:$B,$E25,'Attrition Modeling'!$C:$C,BP$11),VLOOKUP(RentalsVacates!BP$12-RentalsVacates!$F25-1,RentalsVacates!$A$8:$C$162,2,FALSE)*VLOOKUP(BP$11,'Attrition Modeling'!$L$15:$N$27,IF(BP$12-$F25&lt;=24,2,3),FALSE))*(1+IF('Traditional Attrition'!BP147&gt;0,'Attrition Modeling'!$N$9,0))),0))</f>
        <v>567.05120656348709</v>
      </c>
      <c r="BQ25" s="799">
        <f>IF(BQ$12=$F25+1,IF(Monthly!BM$4=TRUE,0,BQ$3),IF(BQ$12&gt;$F25+1,RentalsVacates!BP25*(1-IF(BQ$12-$F25&lt;=12,SUMIFS('Attrition Modeling'!$D:$D,'Attrition Modeling'!$B:$B,$E25,'Attrition Modeling'!$C:$C,BQ$11),VLOOKUP(RentalsVacates!BQ$12-RentalsVacates!$F25-1,RentalsVacates!$A$8:$C$162,2,FALSE)*VLOOKUP(BQ$11,'Attrition Modeling'!$L$15:$N$27,IF(BQ$12-$F25&lt;=24,2,3),FALSE))*(1+IF('Traditional Attrition'!BQ147&gt;0,'Attrition Modeling'!$N$9,0))),0))</f>
        <v>553.29052144029811</v>
      </c>
      <c r="BR25" s="799">
        <f>IF(BR$12=$F25+1,IF(Monthly!BN$4=TRUE,0,BR$3),IF(BR$12&gt;$F25+1,RentalsVacates!BQ25*(1-IF(BR$12-$F25&lt;=12,SUMIFS('Attrition Modeling'!$D:$D,'Attrition Modeling'!$B:$B,$E25,'Attrition Modeling'!$C:$C,BR$11),VLOOKUP(RentalsVacates!BR$12-RentalsVacates!$F25-1,RentalsVacates!$A$8:$C$162,2,FALSE)*VLOOKUP(BR$11,'Attrition Modeling'!$L$15:$N$27,IF(BR$12-$F25&lt;=24,2,3),FALSE))*(1+IF('Traditional Attrition'!BR147&gt;0,'Attrition Modeling'!$N$9,0))),0))</f>
        <v>540.54451651386148</v>
      </c>
      <c r="BS25" s="799">
        <f>IF(BS$12=$F25+1,IF(Monthly!BO$4=TRUE,0,BS$3),IF(BS$12&gt;$F25+1,RentalsVacates!BR25*(1-IF(BS$12-$F25&lt;=12,SUMIFS('Attrition Modeling'!$D:$D,'Attrition Modeling'!$B:$B,$E25,'Attrition Modeling'!$C:$C,BS$11),VLOOKUP(RentalsVacates!BS$12-RentalsVacates!$F25-1,RentalsVacates!$A$8:$C$162,2,FALSE)*VLOOKUP(BS$11,'Attrition Modeling'!$L$15:$N$27,IF(BS$12-$F25&lt;=24,2,3),FALSE))*(1+IF('Traditional Attrition'!BS147&gt;0,'Attrition Modeling'!$N$9,0))),0))</f>
        <v>530.73023273359104</v>
      </c>
      <c r="BT25" s="799">
        <f>IF(BT$11=$F24+1,IF(Monthly!#REF!=TRUE,0,BT$3),IF(BT$11&gt;$F24+1,RentalsVacates!BS24*(1-IF(BT$11-$F24&lt;=12,SUMIFS('Attrition Modeling'!$D:$D,'Attrition Modeling'!$B:$B,$E24,'Attrition Modeling'!$C:$C,BT$10),VLOOKUP(RentalsVacates!BT$11-RentalsVacates!$F24-1,RentalsVacates!$A$7:$C$161,2,FALSE)*VLOOKUP(BT$10,'Attrition Modeling'!$L$15:$N$27,IF(BT$11-$F24&lt;=24,2,3),FALSE))*(1+IF('Traditional Attrition'!BT147&gt;0,'Attrition Modeling'!$N$9,0))),0))</f>
        <v>0</v>
      </c>
      <c r="BU25" s="799">
        <f>IF(BU$11=$F24+1,IF(Monthly!#REF!=TRUE,0,BU$3),IF(BU$11&gt;$F24+1,RentalsVacates!BT24*(1-IF(BU$11-$F24&lt;=12,SUMIFS('Attrition Modeling'!$D:$D,'Attrition Modeling'!$B:$B,$E24,'Attrition Modeling'!$C:$C,BU$10),VLOOKUP(RentalsVacates!BU$11-RentalsVacates!$F24-1,RentalsVacates!$A$7:$C$161,2,FALSE)*VLOOKUP(BU$10,'Attrition Modeling'!$L$15:$N$27,IF(BU$11-$F24&lt;=24,2,3),FALSE))*(1+IF('Traditional Attrition'!BU147&gt;0,'Attrition Modeling'!$N$9,0))),0))</f>
        <v>0</v>
      </c>
    </row>
    <row r="26" spans="1:73" ht="14.25" customHeight="1" x14ac:dyDescent="0.2">
      <c r="A26" s="9">
        <v>18</v>
      </c>
      <c r="B26" s="25">
        <f>MAX('Attrition Modeling'!H22,$C$3)*(1-Summary!$C$20)</f>
        <v>4.2679876846816893E-2</v>
      </c>
      <c r="C26" s="24" t="e">
        <f t="shared" si="2"/>
        <v>#DIV/0!</v>
      </c>
      <c r="E26" s="11">
        <f>'Traditional Attrition'!E83</f>
        <v>1</v>
      </c>
      <c r="F26" s="11">
        <f t="shared" si="4"/>
        <v>13</v>
      </c>
      <c r="G26" s="799"/>
      <c r="H26" s="799">
        <f>IF(H$12=$F26+1,IF(Monthly!D$4=TRUE,0,H$3),IF(H$12&gt;$F26+1,RentalsVacates!G26*(1-IF(H$12-$F26&lt;=12,SUMIFS('Attrition Modeling'!$D:$D,'Attrition Modeling'!$B:$B,$E26,'Attrition Modeling'!$C:$C,H$11),VLOOKUP(RentalsVacates!H$12-RentalsVacates!$F26-1,RentalsVacates!$A$8:$C$162,2,FALSE)*VLOOKUP(H$11,'Attrition Modeling'!$L$15:$N$27,IF(H$12-$F26&lt;=24,2,3),FALSE))*(1+IF('Traditional Attrition'!H148&gt;0,'Attrition Modeling'!$N$9,0))),0))</f>
        <v>0</v>
      </c>
      <c r="I26" s="799">
        <f>IF(I$12=$F26+1,IF(Monthly!E$4=TRUE,0,I$3),IF(I$12&gt;$F26+1,RentalsVacates!H26*(1-IF(I$12-$F26&lt;=12,SUMIFS('Attrition Modeling'!$D:$D,'Attrition Modeling'!$B:$B,$E26,'Attrition Modeling'!$C:$C,I$11),VLOOKUP(RentalsVacates!I$12-RentalsVacates!$F26-1,RentalsVacates!$A$8:$C$162,2,FALSE)*VLOOKUP(I$11,'Attrition Modeling'!$L$15:$N$27,IF(I$12-$F26&lt;=24,2,3),FALSE))*(1+IF('Traditional Attrition'!I148&gt;0,'Attrition Modeling'!$N$9,0))),0))</f>
        <v>0</v>
      </c>
      <c r="J26" s="799">
        <f>IF(J$12=$F26+1,IF(Monthly!F$4=TRUE,0,J$3),IF(J$12&gt;$F26+1,RentalsVacates!I26*(1-IF(J$12-$F26&lt;=12,SUMIFS('Attrition Modeling'!$D:$D,'Attrition Modeling'!$B:$B,$E26,'Attrition Modeling'!$C:$C,J$11),VLOOKUP(RentalsVacates!J$12-RentalsVacates!$F26-1,RentalsVacates!$A$8:$C$162,2,FALSE)*VLOOKUP(J$11,'Attrition Modeling'!$L$15:$N$27,IF(J$12-$F26&lt;=24,2,3),FALSE))*(1+IF('Traditional Attrition'!J148&gt;0,'Attrition Modeling'!$N$9,0))),0))</f>
        <v>0</v>
      </c>
      <c r="K26" s="799">
        <f>IF(K$12=$F26+1,IF(Monthly!G$4=TRUE,0,K$3),IF(K$12&gt;$F26+1,RentalsVacates!J26*(1-IF(K$12-$F26&lt;=12,SUMIFS('Attrition Modeling'!$D:$D,'Attrition Modeling'!$B:$B,$E26,'Attrition Modeling'!$C:$C,K$11),VLOOKUP(RentalsVacates!K$12-RentalsVacates!$F26-1,RentalsVacates!$A$8:$C$162,2,FALSE)*VLOOKUP(K$11,'Attrition Modeling'!$L$15:$N$27,IF(K$12-$F26&lt;=24,2,3),FALSE))*(1+IF('Traditional Attrition'!K148&gt;0,'Attrition Modeling'!$N$9,0))),0))</f>
        <v>0</v>
      </c>
      <c r="L26" s="799">
        <f>IF(L$12=$F26+1,IF(Monthly!H$4=TRUE,0,L$3),IF(L$12&gt;$F26+1,RentalsVacates!K26*(1-IF(L$12-$F26&lt;=12,SUMIFS('Attrition Modeling'!$D:$D,'Attrition Modeling'!$B:$B,$E26,'Attrition Modeling'!$C:$C,L$11),VLOOKUP(RentalsVacates!L$12-RentalsVacates!$F26-1,RentalsVacates!$A$8:$C$162,2,FALSE)*VLOOKUP(L$11,'Attrition Modeling'!$L$15:$N$27,IF(L$12-$F26&lt;=24,2,3),FALSE))*(1+IF('Traditional Attrition'!L148&gt;0,'Attrition Modeling'!$N$9,0))),0))</f>
        <v>0</v>
      </c>
      <c r="M26" s="799">
        <f>IF(M$12=$F26+1,IF(Monthly!I$4=TRUE,0,M$3),IF(M$12&gt;$F26+1,RentalsVacates!L26*(1-IF(M$12-$F26&lt;=12,SUMIFS('Attrition Modeling'!$D:$D,'Attrition Modeling'!$B:$B,$E26,'Attrition Modeling'!$C:$C,M$11),VLOOKUP(RentalsVacates!M$12-RentalsVacates!$F26-1,RentalsVacates!$A$8:$C$162,2,FALSE)*VLOOKUP(M$11,'Attrition Modeling'!$L$15:$N$27,IF(M$12-$F26&lt;=24,2,3),FALSE))*(1+IF('Traditional Attrition'!M148&gt;0,'Attrition Modeling'!$N$9,0))),0))</f>
        <v>0</v>
      </c>
      <c r="N26" s="799">
        <f>IF(N$12=$F26+1,IF(Monthly!J$4=TRUE,0,N$3),IF(N$12&gt;$F26+1,RentalsVacates!M26*(1-IF(N$12-$F26&lt;=12,SUMIFS('Attrition Modeling'!$D:$D,'Attrition Modeling'!$B:$B,$E26,'Attrition Modeling'!$C:$C,N$11),VLOOKUP(RentalsVacates!N$12-RentalsVacates!$F26-1,RentalsVacates!$A$8:$C$162,2,FALSE)*VLOOKUP(N$11,'Attrition Modeling'!$L$15:$N$27,IF(N$12-$F26&lt;=24,2,3),FALSE))*(1+IF('Traditional Attrition'!N148&gt;0,'Attrition Modeling'!$N$9,0))),0))</f>
        <v>0</v>
      </c>
      <c r="O26" s="799">
        <f>IF(O$12=$F26+1,IF(Monthly!K$4=TRUE,0,O$3),IF(O$12&gt;$F26+1,RentalsVacates!N26*(1-IF(O$12-$F26&lt;=12,SUMIFS('Attrition Modeling'!$D:$D,'Attrition Modeling'!$B:$B,$E26,'Attrition Modeling'!$C:$C,O$11),VLOOKUP(RentalsVacates!O$12-RentalsVacates!$F26-1,RentalsVacates!$A$8:$C$162,2,FALSE)*VLOOKUP(O$11,'Attrition Modeling'!$L$15:$N$27,IF(O$12-$F26&lt;=24,2,3),FALSE))*(1+IF('Traditional Attrition'!O148&gt;0,'Attrition Modeling'!$N$9,0))),0))</f>
        <v>0</v>
      </c>
      <c r="P26" s="799">
        <f>IF(P$12=$F26+1,IF(Monthly!L$4=TRUE,0,P$3),IF(P$12&gt;$F26+1,RentalsVacates!O26*(1-IF(P$12-$F26&lt;=12,SUMIFS('Attrition Modeling'!$D:$D,'Attrition Modeling'!$B:$B,$E26,'Attrition Modeling'!$C:$C,P$11),VLOOKUP(RentalsVacates!P$12-RentalsVacates!$F26-1,RentalsVacates!$A$8:$C$162,2,FALSE)*VLOOKUP(P$11,'Attrition Modeling'!$L$15:$N$27,IF(P$12-$F26&lt;=24,2,3),FALSE))*(1+IF('Traditional Attrition'!P148&gt;0,'Attrition Modeling'!$N$9,0))),0))</f>
        <v>0</v>
      </c>
      <c r="Q26" s="799">
        <f>IF(Q$12=$F26+1,IF(Monthly!M$4=TRUE,0,Q$3),IF(Q$12&gt;$F26+1,RentalsVacates!P26*(1-IF(Q$12-$F26&lt;=12,SUMIFS('Attrition Modeling'!$D:$D,'Attrition Modeling'!$B:$B,$E26,'Attrition Modeling'!$C:$C,Q$11),VLOOKUP(RentalsVacates!Q$12-RentalsVacates!$F26-1,RentalsVacates!$A$8:$C$162,2,FALSE)*VLOOKUP(Q$11,'Attrition Modeling'!$L$15:$N$27,IF(Q$12-$F26&lt;=24,2,3),FALSE))*(1+IF('Traditional Attrition'!Q148&gt;0,'Attrition Modeling'!$N$9,0))),0))</f>
        <v>0</v>
      </c>
      <c r="R26" s="799">
        <f>IF(R$12=$F26+1,IF(Monthly!N$4=TRUE,0,R$3),IF(R$12&gt;$F26+1,RentalsVacates!Q26*(1-IF(R$12-$F26&lt;=12,SUMIFS('Attrition Modeling'!$D:$D,'Attrition Modeling'!$B:$B,$E26,'Attrition Modeling'!$C:$C,R$11),VLOOKUP(RentalsVacates!R$12-RentalsVacates!$F26-1,RentalsVacates!$A$8:$C$162,2,FALSE)*VLOOKUP(R$11,'Attrition Modeling'!$L$15:$N$27,IF(R$12-$F26&lt;=24,2,3),FALSE))*(1+IF('Traditional Attrition'!R148&gt;0,'Attrition Modeling'!$N$9,0))),0))</f>
        <v>0</v>
      </c>
      <c r="S26" s="799">
        <f>IF(S$12=$F26+1,IF(Monthly!O$4=TRUE,0,S$3),IF(S$12&gt;$F26+1,RentalsVacates!R26*(1-IF(S$12-$F26&lt;=12,SUMIFS('Attrition Modeling'!$D:$D,'Attrition Modeling'!$B:$B,$E26,'Attrition Modeling'!$C:$C,S$11),VLOOKUP(RentalsVacates!S$12-RentalsVacates!$F26-1,RentalsVacates!$A$8:$C$162,2,FALSE)*VLOOKUP(S$11,'Attrition Modeling'!$L$15:$N$27,IF(S$12-$F26&lt;=24,2,3),FALSE))*(1+IF('Traditional Attrition'!S148&gt;0,'Attrition Modeling'!$N$9,0))),0))</f>
        <v>0</v>
      </c>
      <c r="T26" s="799">
        <f>IF(T$12=$F26+1,IF(Monthly!P$4=TRUE,0,T$3),IF(T$12&gt;$F26+1,RentalsVacates!S26*(1-IF(T$12-$F26&lt;=12,SUMIFS('Attrition Modeling'!$D:$D,'Attrition Modeling'!$B:$B,$E26,'Attrition Modeling'!$C:$C,T$11),VLOOKUP(RentalsVacates!T$12-RentalsVacates!$F26-1,RentalsVacates!$A$8:$C$162,2,FALSE)*VLOOKUP(T$11,'Attrition Modeling'!$L$15:$N$27,IF(T$12-$F26&lt;=24,2,3),FALSE))*(1+IF('Traditional Attrition'!T148&gt;0,'Attrition Modeling'!$N$9,0))),0))</f>
        <v>0</v>
      </c>
      <c r="U26" s="799">
        <f>IF(U$12=$F26+1,IF(Monthly!Q$4=TRUE,0,U$3),IF(U$12&gt;$F26+1,RentalsVacates!T26*(1-IF(U$12-$F26&lt;=12,SUMIFS('Attrition Modeling'!$D:$D,'Attrition Modeling'!$B:$B,$E26,'Attrition Modeling'!$C:$C,U$11),VLOOKUP(RentalsVacates!U$12-RentalsVacates!$F26-1,RentalsVacates!$A$8:$C$162,2,FALSE)*VLOOKUP(U$11,'Attrition Modeling'!$L$15:$N$27,IF(U$12-$F26&lt;=24,2,3),FALSE))*(1+IF('Traditional Attrition'!U148&gt;0,'Attrition Modeling'!$N$9,0))),0))</f>
        <v>5012.5851375140992</v>
      </c>
      <c r="V26" s="799">
        <f>IF(V$12=$F26+1,IF(Monthly!R$4=TRUE,0,V$3),IF(V$12&gt;$F26+1,RentalsVacates!U26*(1-IF(V$12-$F26&lt;=12,SUMIFS('Attrition Modeling'!$D:$D,'Attrition Modeling'!$B:$B,$E26,'Attrition Modeling'!$C:$C,V$11),VLOOKUP(RentalsVacates!V$12-RentalsVacates!$F26-1,RentalsVacates!$A$8:$C$162,2,FALSE)*VLOOKUP(V$11,'Attrition Modeling'!$L$15:$N$27,IF(V$12-$F26&lt;=24,2,3),FALSE))*(1+IF('Traditional Attrition'!V148&gt;0,'Attrition Modeling'!$N$9,0))),0))</f>
        <v>4507.548638344545</v>
      </c>
      <c r="W26" s="799">
        <f>IF(W$12=$F26+1,IF(Monthly!S$4=TRUE,0,W$3),IF(W$12&gt;$F26+1,RentalsVacates!V26*(1-IF(W$12-$F26&lt;=12,SUMIFS('Attrition Modeling'!$D:$D,'Attrition Modeling'!$B:$B,$E26,'Attrition Modeling'!$C:$C,W$11),VLOOKUP(RentalsVacates!W$12-RentalsVacates!$F26-1,RentalsVacates!$A$8:$C$162,2,FALSE)*VLOOKUP(W$11,'Attrition Modeling'!$L$15:$N$27,IF(W$12-$F26&lt;=24,2,3),FALSE))*(1+IF('Traditional Attrition'!W148&gt;0,'Attrition Modeling'!$N$9,0))),0))</f>
        <v>4131.1159944030842</v>
      </c>
      <c r="X26" s="799">
        <f>IF(X$12=$F26+1,IF(Monthly!T$4=TRUE,0,X$3),IF(X$12&gt;$F26+1,RentalsVacates!W26*(1-IF(X$12-$F26&lt;=12,SUMIFS('Attrition Modeling'!$D:$D,'Attrition Modeling'!$B:$B,$E26,'Attrition Modeling'!$C:$C,X$11),VLOOKUP(RentalsVacates!X$12-RentalsVacates!$F26-1,RentalsVacates!$A$8:$C$162,2,FALSE)*VLOOKUP(X$11,'Attrition Modeling'!$L$15:$N$27,IF(X$12-$F26&lt;=24,2,3),FALSE))*(1+IF('Traditional Attrition'!X148&gt;0,'Attrition Modeling'!$N$9,0))),0))</f>
        <v>3751.1405307766422</v>
      </c>
      <c r="Y26" s="799">
        <f>IF(Y$12=$F26+1,IF(Monthly!U$4=TRUE,0,Y$3),IF(Y$12&gt;$F26+1,RentalsVacates!X26*(1-IF(Y$12-$F26&lt;=12,SUMIFS('Attrition Modeling'!$D:$D,'Attrition Modeling'!$B:$B,$E26,'Attrition Modeling'!$C:$C,Y$11),VLOOKUP(RentalsVacates!Y$12-RentalsVacates!$F26-1,RentalsVacates!$A$8:$C$162,2,FALSE)*VLOOKUP(Y$11,'Attrition Modeling'!$L$15:$N$27,IF(Y$12-$F26&lt;=24,2,3),FALSE))*(1+IF('Traditional Attrition'!Y148&gt;0,'Attrition Modeling'!$N$9,0))),0))</f>
        <v>3447.2931587668281</v>
      </c>
      <c r="Z26" s="799">
        <f>IF(Z$12=$F26+1,IF(Monthly!V$4=TRUE,0,Z$3),IF(Z$12&gt;$F26+1,RentalsVacates!Y26*(1-IF(Z$12-$F26&lt;=12,SUMIFS('Attrition Modeling'!$D:$D,'Attrition Modeling'!$B:$B,$E26,'Attrition Modeling'!$C:$C,Z$11),VLOOKUP(RentalsVacates!Z$12-RentalsVacates!$F26-1,RentalsVacates!$A$8:$C$162,2,FALSE)*VLOOKUP(Z$11,'Attrition Modeling'!$L$15:$N$27,IF(Z$12-$F26&lt;=24,2,3),FALSE))*(1+IF('Traditional Attrition'!Z148&gt;0,'Attrition Modeling'!$N$9,0))),0))</f>
        <v>3092.236621304356</v>
      </c>
      <c r="AA26" s="799">
        <f>IF(AA$12=$F26+1,IF(Monthly!W$4=TRUE,0,AA$3),IF(AA$12&gt;$F26+1,RentalsVacates!Z26*(1-IF(AA$12-$F26&lt;=12,SUMIFS('Attrition Modeling'!$D:$D,'Attrition Modeling'!$B:$B,$E26,'Attrition Modeling'!$C:$C,AA$11),VLOOKUP(RentalsVacates!AA$12-RentalsVacates!$F26-1,RentalsVacates!$A$8:$C$162,2,FALSE)*VLOOKUP(AA$11,'Attrition Modeling'!$L$15:$N$27,IF(AA$12-$F26&lt;=24,2,3),FALSE))*(1+IF('Traditional Attrition'!AA148&gt;0,'Attrition Modeling'!$N$9,0))),0))</f>
        <v>2856.3939915302062</v>
      </c>
      <c r="AB26" s="799">
        <f>IF(AB$12=$F26+1,IF(Monthly!X$4=TRUE,0,AB$3),IF(AB$12&gt;$F26+1,RentalsVacates!AA26*(1-IF(AB$12-$F26&lt;=12,SUMIFS('Attrition Modeling'!$D:$D,'Attrition Modeling'!$B:$B,$E26,'Attrition Modeling'!$C:$C,AB$11),VLOOKUP(RentalsVacates!AB$12-RentalsVacates!$F26-1,RentalsVacates!$A$8:$C$162,2,FALSE)*VLOOKUP(AB$11,'Attrition Modeling'!$L$15:$N$27,IF(AB$12-$F26&lt;=24,2,3),FALSE))*(1+IF('Traditional Attrition'!AB148&gt;0,'Attrition Modeling'!$N$9,0))),0))</f>
        <v>2681.2104054196416</v>
      </c>
      <c r="AC26" s="799">
        <f>IF(AC$12=$F26+1,IF(Monthly!Y$4=TRUE,0,AC$3),IF(AC$12&gt;$F26+1,RentalsVacates!AB26*(1-IF(AC$12-$F26&lt;=12,SUMIFS('Attrition Modeling'!$D:$D,'Attrition Modeling'!$B:$B,$E26,'Attrition Modeling'!$C:$C,AC$11),VLOOKUP(RentalsVacates!AC$12-RentalsVacates!$F26-1,RentalsVacates!$A$8:$C$162,2,FALSE)*VLOOKUP(AC$11,'Attrition Modeling'!$L$15:$N$27,IF(AC$12-$F26&lt;=24,2,3),FALSE))*(1+IF('Traditional Attrition'!AC148&gt;0,'Attrition Modeling'!$N$9,0))),0))</f>
        <v>2509.1524147735495</v>
      </c>
      <c r="AD26" s="799">
        <f>IF(AD$12=$F26+1,IF(Monthly!Z$4=TRUE,0,AD$3),IF(AD$12&gt;$F26+1,RentalsVacates!AC26*(1-IF(AD$12-$F26&lt;=12,SUMIFS('Attrition Modeling'!$D:$D,'Attrition Modeling'!$B:$B,$E26,'Attrition Modeling'!$C:$C,AD$11),VLOOKUP(RentalsVacates!AD$12-RentalsVacates!$F26-1,RentalsVacates!$A$8:$C$162,2,FALSE)*VLOOKUP(AD$11,'Attrition Modeling'!$L$15:$N$27,IF(AD$12-$F26&lt;=24,2,3),FALSE))*(1+IF('Traditional Attrition'!AD148&gt;0,'Attrition Modeling'!$N$9,0))),0))</f>
        <v>2359.2608685520004</v>
      </c>
      <c r="AE26" s="799">
        <f>IF(AE$12=$F26+1,IF(Monthly!AA$4=TRUE,0,AE$3),IF(AE$12&gt;$F26+1,RentalsVacates!AD26*(1-IF(AE$12-$F26&lt;=12,SUMIFS('Attrition Modeling'!$D:$D,'Attrition Modeling'!$B:$B,$E26,'Attrition Modeling'!$C:$C,AE$11),VLOOKUP(RentalsVacates!AE$12-RentalsVacates!$F26-1,RentalsVacates!$A$8:$C$162,2,FALSE)*VLOOKUP(AE$11,'Attrition Modeling'!$L$15:$N$27,IF(AE$12-$F26&lt;=24,2,3),FALSE))*(1+IF('Traditional Attrition'!AE148&gt;0,'Attrition Modeling'!$N$9,0))),0))</f>
        <v>2221.2961766290773</v>
      </c>
      <c r="AF26" s="799">
        <f>IF(AF$12=$F26+1,IF(Monthly!AB$4=TRUE,0,AF$3),IF(AF$12&gt;$F26+1,RentalsVacates!AE26*(1-IF(AF$12-$F26&lt;=12,SUMIFS('Attrition Modeling'!$D:$D,'Attrition Modeling'!$B:$B,$E26,'Attrition Modeling'!$C:$C,AF$11),VLOOKUP(RentalsVacates!AF$12-RentalsVacates!$F26-1,RentalsVacates!$A$8:$C$162,2,FALSE)*VLOOKUP(AF$11,'Attrition Modeling'!$L$15:$N$27,IF(AF$12-$F26&lt;=24,2,3),FALSE))*(1+IF('Traditional Attrition'!AF148&gt;0,'Attrition Modeling'!$N$9,0))),0))</f>
        <v>2164.3433199472815</v>
      </c>
      <c r="AG26" s="799">
        <f>IF(AG$12=$F26+1,IF(Monthly!AC$4=TRUE,0,AG$3),IF(AG$12&gt;$F26+1,RentalsVacates!AF26*(1-IF(AG$12-$F26&lt;=12,SUMIFS('Attrition Modeling'!$D:$D,'Attrition Modeling'!$B:$B,$E26,'Attrition Modeling'!$C:$C,AG$11),VLOOKUP(RentalsVacates!AG$12-RentalsVacates!$F26-1,RentalsVacates!$A$8:$C$162,2,FALSE)*VLOOKUP(AG$11,'Attrition Modeling'!$L$15:$N$27,IF(AG$12-$F26&lt;=24,2,3),FALSE))*(1+IF('Traditional Attrition'!AG148&gt;0,'Attrition Modeling'!$N$9,0))),0))</f>
        <v>2059.2305755367124</v>
      </c>
      <c r="AH26" s="799">
        <f>IF(AH$12=$F26+1,IF(Monthly!AD$4=TRUE,0,AH$3),IF(AH$12&gt;$F26+1,RentalsVacates!AG26*(1-IF(AH$12-$F26&lt;=12,SUMIFS('Attrition Modeling'!$D:$D,'Attrition Modeling'!$B:$B,$E26,'Attrition Modeling'!$C:$C,AH$11),VLOOKUP(RentalsVacates!AH$12-RentalsVacates!$F26-1,RentalsVacates!$A$8:$C$162,2,FALSE)*VLOOKUP(AH$11,'Attrition Modeling'!$L$15:$N$27,IF(AH$12-$F26&lt;=24,2,3),FALSE))*(1+IF('Traditional Attrition'!AH148&gt;0,'Attrition Modeling'!$N$9,0))),0))</f>
        <v>1958.7746334987637</v>
      </c>
      <c r="AI26" s="799">
        <f>IF(AI$12=$F26+1,IF(Monthly!AE$4=TRUE,0,AI$3),IF(AI$12&gt;$F26+1,RentalsVacates!AH26*(1-IF(AI$12-$F26&lt;=12,SUMIFS('Attrition Modeling'!$D:$D,'Attrition Modeling'!$B:$B,$E26,'Attrition Modeling'!$C:$C,AI$11),VLOOKUP(RentalsVacates!AI$12-RentalsVacates!$F26-1,RentalsVacates!$A$8:$C$162,2,FALSE)*VLOOKUP(AI$11,'Attrition Modeling'!$L$15:$N$27,IF(AI$12-$F26&lt;=24,2,3),FALSE))*(1+IF('Traditional Attrition'!AI148&gt;0,'Attrition Modeling'!$N$9,0))),0))</f>
        <v>1869.4224086807606</v>
      </c>
      <c r="AJ26" s="799">
        <f>IF(AJ$12=$F26+1,IF(Monthly!AF$4=TRUE,0,AJ$3),IF(AJ$12&gt;$F26+1,RentalsVacates!AI26*(1-IF(AJ$12-$F26&lt;=12,SUMIFS('Attrition Modeling'!$D:$D,'Attrition Modeling'!$B:$B,$E26,'Attrition Modeling'!$C:$C,AJ$11),VLOOKUP(RentalsVacates!AJ$12-RentalsVacates!$F26-1,RentalsVacates!$A$8:$C$162,2,FALSE)*VLOOKUP(AJ$11,'Attrition Modeling'!$L$15:$N$27,IF(AJ$12-$F26&lt;=24,2,3),FALSE))*(1+IF('Traditional Attrition'!AJ148&gt;0,'Attrition Modeling'!$N$9,0))),0))</f>
        <v>1787.8479972571558</v>
      </c>
      <c r="AK26" s="799">
        <f>IF(AK$12=$F26+1,IF(Monthly!AG$4=TRUE,0,AK$3),IF(AK$12&gt;$F26+1,RentalsVacates!AJ26*(1-IF(AK$12-$F26&lt;=12,SUMIFS('Attrition Modeling'!$D:$D,'Attrition Modeling'!$B:$B,$E26,'Attrition Modeling'!$C:$C,AK$11),VLOOKUP(RentalsVacates!AK$12-RentalsVacates!$F26-1,RentalsVacates!$A$8:$C$162,2,FALSE)*VLOOKUP(AK$11,'Attrition Modeling'!$L$15:$N$27,IF(AK$12-$F26&lt;=24,2,3),FALSE))*(1+IF('Traditional Attrition'!AK148&gt;0,'Attrition Modeling'!$N$9,0))),0))</f>
        <v>1704.7165199708109</v>
      </c>
      <c r="AL26" s="799">
        <f>IF(AL$12=$F26+1,IF(Monthly!AH$4=TRUE,0,AL$3),IF(AL$12&gt;$F26+1,RentalsVacates!AK26*(1-IF(AL$12-$F26&lt;=12,SUMIFS('Attrition Modeling'!$D:$D,'Attrition Modeling'!$B:$B,$E26,'Attrition Modeling'!$C:$C,AL$11),VLOOKUP(RentalsVacates!AL$12-RentalsVacates!$F26-1,RentalsVacates!$A$8:$C$162,2,FALSE)*VLOOKUP(AL$11,'Attrition Modeling'!$L$15:$N$27,IF(AL$12-$F26&lt;=24,2,3),FALSE))*(1+IF('Traditional Attrition'!AL148&gt;0,'Attrition Modeling'!$N$9,0))),0))</f>
        <v>1609.7563494987478</v>
      </c>
      <c r="AM26" s="799">
        <f>IF(AM$12=$F26+1,IF(Monthly!AI$4=TRUE,0,AM$3),IF(AM$12&gt;$F26+1,RentalsVacates!AL26*(1-IF(AM$12-$F26&lt;=12,SUMIFS('Attrition Modeling'!$D:$D,'Attrition Modeling'!$B:$B,$E26,'Attrition Modeling'!$C:$C,AM$11),VLOOKUP(RentalsVacates!AM$12-RentalsVacates!$F26-1,RentalsVacates!$A$8:$C$162,2,FALSE)*VLOOKUP(AM$11,'Attrition Modeling'!$L$15:$N$27,IF(AM$12-$F26&lt;=24,2,3),FALSE))*(1+IF('Traditional Attrition'!AM148&gt;0,'Attrition Modeling'!$N$9,0))),0))</f>
        <v>1533.4008088948899</v>
      </c>
      <c r="AN26" s="799">
        <f>IF(AN$12=$F26+1,IF(Monthly!AJ$4=TRUE,0,AN$3),IF(AN$12&gt;$F26+1,RentalsVacates!AM26*(1-IF(AN$12-$F26&lt;=12,SUMIFS('Attrition Modeling'!$D:$D,'Attrition Modeling'!$B:$B,$E26,'Attrition Modeling'!$C:$C,AN$11),VLOOKUP(RentalsVacates!AN$12-RentalsVacates!$F26-1,RentalsVacates!$A$8:$C$162,2,FALSE)*VLOOKUP(AN$11,'Attrition Modeling'!$L$15:$N$27,IF(AN$12-$F26&lt;=24,2,3),FALSE))*(1+IF('Traditional Attrition'!AN148&gt;0,'Attrition Modeling'!$N$9,0))),0))</f>
        <v>1468.3372204020657</v>
      </c>
      <c r="AO26" s="799">
        <f>IF(AO$12=$F26+1,IF(Monthly!AK$4=TRUE,0,AO$3),IF(AO$12&gt;$F26+1,RentalsVacates!AN26*(1-IF(AO$12-$F26&lt;=12,SUMIFS('Attrition Modeling'!$D:$D,'Attrition Modeling'!$B:$B,$E26,'Attrition Modeling'!$C:$C,AO$11),VLOOKUP(RentalsVacates!AO$12-RentalsVacates!$F26-1,RentalsVacates!$A$8:$C$162,2,FALSE)*VLOOKUP(AO$11,'Attrition Modeling'!$L$15:$N$27,IF(AO$12-$F26&lt;=24,2,3),FALSE))*(1+IF('Traditional Attrition'!AO148&gt;0,'Attrition Modeling'!$N$9,0))),0))</f>
        <v>1405.6818670209609</v>
      </c>
      <c r="AP26" s="799">
        <f>IF(AP$12=$F26+1,IF(Monthly!AL$4=TRUE,0,AP$3),IF(AP$12&gt;$F26+1,RentalsVacates!AO26*(1-IF(AP$12-$F26&lt;=12,SUMIFS('Attrition Modeling'!$D:$D,'Attrition Modeling'!$B:$B,$E26,'Attrition Modeling'!$C:$C,AP$11),VLOOKUP(RentalsVacates!AP$12-RentalsVacates!$F26-1,RentalsVacates!$A$8:$C$162,2,FALSE)*VLOOKUP(AP$11,'Attrition Modeling'!$L$15:$N$27,IF(AP$12-$F26&lt;=24,2,3),FALSE))*(1+IF('Traditional Attrition'!AP148&gt;0,'Attrition Modeling'!$N$9,0))),0))</f>
        <v>1348.8770450464831</v>
      </c>
      <c r="AQ26" s="799">
        <f>IF(AQ$12=$F26+1,IF(Monthly!AM$4=TRUE,0,AQ$3),IF(AQ$12&gt;$F26+1,RentalsVacates!AP26*(1-IF(AQ$12-$F26&lt;=12,SUMIFS('Attrition Modeling'!$D:$D,'Attrition Modeling'!$B:$B,$E26,'Attrition Modeling'!$C:$C,AQ$11),VLOOKUP(RentalsVacates!AQ$12-RentalsVacates!$F26-1,RentalsVacates!$A$8:$C$162,2,FALSE)*VLOOKUP(AQ$11,'Attrition Modeling'!$L$15:$N$27,IF(AQ$12-$F26&lt;=24,2,3),FALSE))*(1+IF('Traditional Attrition'!AQ148&gt;0,'Attrition Modeling'!$N$9,0))),0))</f>
        <v>1295.7109854822827</v>
      </c>
      <c r="AR26" s="799">
        <f>IF(AR$12=$F26+1,IF(Monthly!AN$4=TRUE,0,AR$3),IF(AR$12&gt;$F26+1,RentalsVacates!AQ26*(1-IF(AR$12-$F26&lt;=12,SUMIFS('Attrition Modeling'!$D:$D,'Attrition Modeling'!$B:$B,$E26,'Attrition Modeling'!$C:$C,AR$11),VLOOKUP(RentalsVacates!AR$12-RentalsVacates!$F26-1,RentalsVacates!$A$8:$C$162,2,FALSE)*VLOOKUP(AR$11,'Attrition Modeling'!$L$15:$N$27,IF(AR$12-$F26&lt;=24,2,3),FALSE))*(1+IF('Traditional Attrition'!AR148&gt;0,'Attrition Modeling'!$N$9,0))),0))</f>
        <v>1245.2707475239399</v>
      </c>
      <c r="AS26" s="799">
        <f>IF(AS$12=$F26+1,IF(Monthly!AO$4=TRUE,0,AS$3),IF(AS$12&gt;$F26+1,RentalsVacates!AR26*(1-IF(AS$12-$F26&lt;=12,SUMIFS('Attrition Modeling'!$D:$D,'Attrition Modeling'!$B:$B,$E26,'Attrition Modeling'!$C:$C,AS$11),VLOOKUP(RentalsVacates!AS$12-RentalsVacates!$F26-1,RentalsVacates!$A$8:$C$162,2,FALSE)*VLOOKUP(AS$11,'Attrition Modeling'!$L$15:$N$27,IF(AS$12-$F26&lt;=24,2,3),FALSE))*(1+IF('Traditional Attrition'!AS148&gt;0,'Attrition Modeling'!$N$9,0))),0))</f>
        <v>1201.8484832527972</v>
      </c>
      <c r="AT26" s="799">
        <f>IF(AT$12=$F26+1,IF(Monthly!AP$4=TRUE,0,AT$3),IF(AT$12&gt;$F26+1,RentalsVacates!AS26*(1-IF(AT$12-$F26&lt;=12,SUMIFS('Attrition Modeling'!$D:$D,'Attrition Modeling'!$B:$B,$E26,'Attrition Modeling'!$C:$C,AT$11),VLOOKUP(RentalsVacates!AT$12-RentalsVacates!$F26-1,RentalsVacates!$A$8:$C$162,2,FALSE)*VLOOKUP(AT$11,'Attrition Modeling'!$L$15:$N$27,IF(AT$12-$F26&lt;=24,2,3),FALSE))*(1+IF('Traditional Attrition'!AT148&gt;0,'Attrition Modeling'!$N$9,0))),0))</f>
        <v>1162.2611455184922</v>
      </c>
      <c r="AU26" s="799">
        <f>IF(AU$12=$F26+1,IF(Monthly!AQ$4=TRUE,0,AU$3),IF(AU$12&gt;$F26+1,RentalsVacates!AT26*(1-IF(AU$12-$F26&lt;=12,SUMIFS('Attrition Modeling'!$D:$D,'Attrition Modeling'!$B:$B,$E26,'Attrition Modeling'!$C:$C,AU$11),VLOOKUP(RentalsVacates!AU$12-RentalsVacates!$F26-1,RentalsVacates!$A$8:$C$162,2,FALSE)*VLOOKUP(AU$11,'Attrition Modeling'!$L$15:$N$27,IF(AU$12-$F26&lt;=24,2,3),FALSE))*(1+IF('Traditional Attrition'!AU148&gt;0,'Attrition Modeling'!$N$9,0))),0))</f>
        <v>1132.2280352242915</v>
      </c>
      <c r="AV26" s="799">
        <f>IF(AV$12=$F26+1,IF(Monthly!AR$4=TRUE,0,AV$3),IF(AV$12&gt;$F26+1,RentalsVacates!AU26*(1-IF(AV$12-$F26&lt;=12,SUMIFS('Attrition Modeling'!$D:$D,'Attrition Modeling'!$B:$B,$E26,'Attrition Modeling'!$C:$C,AV$11),VLOOKUP(RentalsVacates!AV$12-RentalsVacates!$F26-1,RentalsVacates!$A$8:$C$162,2,FALSE)*VLOOKUP(AV$11,'Attrition Modeling'!$L$15:$N$27,IF(AV$12-$F26&lt;=24,2,3),FALSE))*(1+IF('Traditional Attrition'!AV148&gt;0,'Attrition Modeling'!$N$9,0))),0))</f>
        <v>1097.3727270152997</v>
      </c>
      <c r="AW26" s="799">
        <f>IF(AW$12=$F26+1,IF(Monthly!AS$4=TRUE,0,AW$3),IF(AW$12&gt;$F26+1,RentalsVacates!AV26*(1-IF(AW$12-$F26&lt;=12,SUMIFS('Attrition Modeling'!$D:$D,'Attrition Modeling'!$B:$B,$E26,'Attrition Modeling'!$C:$C,AW$11),VLOOKUP(RentalsVacates!AW$12-RentalsVacates!$F26-1,RentalsVacates!$A$8:$C$162,2,FALSE)*VLOOKUP(AW$11,'Attrition Modeling'!$L$15:$N$27,IF(AW$12-$F26&lt;=24,2,3),FALSE))*(1+IF('Traditional Attrition'!AW148&gt;0,'Attrition Modeling'!$N$9,0))),0))</f>
        <v>1059.3125139615158</v>
      </c>
      <c r="AX26" s="799">
        <f>IF(AX$12=$F26+1,IF(Monthly!AT$4=TRUE,0,AX$3),IF(AX$12&gt;$F26+1,RentalsVacates!AW26*(1-IF(AX$12-$F26&lt;=12,SUMIFS('Attrition Modeling'!$D:$D,'Attrition Modeling'!$B:$B,$E26,'Attrition Modeling'!$C:$C,AX$11),VLOOKUP(RentalsVacates!AX$12-RentalsVacates!$F26-1,RentalsVacates!$A$8:$C$162,2,FALSE)*VLOOKUP(AX$11,'Attrition Modeling'!$L$15:$N$27,IF(AX$12-$F26&lt;=24,2,3),FALSE))*(1+IF('Traditional Attrition'!AX148&gt;0,'Attrition Modeling'!$N$9,0))),0))</f>
        <v>1011.8792571949905</v>
      </c>
      <c r="AY26" s="799">
        <f>IF(AY$12=$F26+1,IF(Monthly!AU$4=TRUE,0,AY$3),IF(AY$12&gt;$F26+1,RentalsVacates!AX26*(1-IF(AY$12-$F26&lt;=12,SUMIFS('Attrition Modeling'!$D:$D,'Attrition Modeling'!$B:$B,$E26,'Attrition Modeling'!$C:$C,AY$11),VLOOKUP(RentalsVacates!AY$12-RentalsVacates!$F26-1,RentalsVacates!$A$8:$C$162,2,FALSE)*VLOOKUP(AY$11,'Attrition Modeling'!$L$15:$N$27,IF(AY$12-$F26&lt;=24,2,3),FALSE))*(1+IF('Traditional Attrition'!AY148&gt;0,'Attrition Modeling'!$N$9,0))),0))</f>
        <v>971.82889283017153</v>
      </c>
      <c r="AZ26" s="799">
        <f>IF(AZ$12=$F26+1,IF(Monthly!AV$4=TRUE,0,AZ$3),IF(AZ$12&gt;$F26+1,RentalsVacates!AY26*(1-IF(AZ$12-$F26&lt;=12,SUMIFS('Attrition Modeling'!$D:$D,'Attrition Modeling'!$B:$B,$E26,'Attrition Modeling'!$C:$C,AZ$11),VLOOKUP(RentalsVacates!AZ$12-RentalsVacates!$F26-1,RentalsVacates!$A$8:$C$162,2,FALSE)*VLOOKUP(AZ$11,'Attrition Modeling'!$L$15:$N$27,IF(AZ$12-$F26&lt;=24,2,3),FALSE))*(1+IF('Traditional Attrition'!AZ148&gt;0,'Attrition Modeling'!$N$9,0))),0))</f>
        <v>936.13842234127196</v>
      </c>
      <c r="BA26" s="799">
        <f>IF(BA$12=$F26+1,IF(Monthly!AW$4=TRUE,0,BA$3),IF(BA$12&gt;$F26+1,RentalsVacates!AZ26*(1-IF(BA$12-$F26&lt;=12,SUMIFS('Attrition Modeling'!$D:$D,'Attrition Modeling'!$B:$B,$E26,'Attrition Modeling'!$C:$C,BA$11),VLOOKUP(RentalsVacates!BA$12-RentalsVacates!$F26-1,RentalsVacates!$A$8:$C$162,2,FALSE)*VLOOKUP(BA$11,'Attrition Modeling'!$L$15:$N$27,IF(BA$12-$F26&lt;=24,2,3),FALSE))*(1+IF('Traditional Attrition'!BA148&gt;0,'Attrition Modeling'!$N$9,0))),0))</f>
        <v>903.33122086619937</v>
      </c>
      <c r="BB26" s="799">
        <f>IF(BB$12=$F26+1,IF(Monthly!AX$4=TRUE,0,BB$3),IF(BB$12&gt;$F26+1,RentalsVacates!BA26*(1-IF(BB$12-$F26&lt;=12,SUMIFS('Attrition Modeling'!$D:$D,'Attrition Modeling'!$B:$B,$E26,'Attrition Modeling'!$C:$C,BB$11),VLOOKUP(RentalsVacates!BB$12-RentalsVacates!$F26-1,RentalsVacates!$A$8:$C$162,2,FALSE)*VLOOKUP(BB$11,'Attrition Modeling'!$L$15:$N$27,IF(BB$12-$F26&lt;=24,2,3),FALSE))*(1+IF('Traditional Attrition'!BB148&gt;0,'Attrition Modeling'!$N$9,0))),0))</f>
        <v>872.74443140276435</v>
      </c>
      <c r="BC26" s="799">
        <f>IF(BC$12=$F26+1,IF(Monthly!AY$4=TRUE,0,BC$3),IF(BC$12&gt;$F26+1,RentalsVacates!BB26*(1-IF(BC$12-$F26&lt;=12,SUMIFS('Attrition Modeling'!$D:$D,'Attrition Modeling'!$B:$B,$E26,'Attrition Modeling'!$C:$C,BC$11),VLOOKUP(RentalsVacates!BC$12-RentalsVacates!$F26-1,RentalsVacates!$A$8:$C$162,2,FALSE)*VLOOKUP(BC$11,'Attrition Modeling'!$L$15:$N$27,IF(BC$12-$F26&lt;=24,2,3),FALSE))*(1+IF('Traditional Attrition'!BC148&gt;0,'Attrition Modeling'!$N$9,0))),0))</f>
        <v>848.66620734230514</v>
      </c>
      <c r="BD26" s="799">
        <f>IF(BD$12=$F26+1,IF(Monthly!AZ$4=TRUE,0,BD$3),IF(BD$12&gt;$F26+1,RentalsVacates!BC26*(1-IF(BD$12-$F26&lt;=12,SUMIFS('Attrition Modeling'!$D:$D,'Attrition Modeling'!$B:$B,$E26,'Attrition Modeling'!$C:$C,BD$11),VLOOKUP(RentalsVacates!BD$12-RentalsVacates!$F26-1,RentalsVacates!$A$8:$C$162,2,FALSE)*VLOOKUP(BD$11,'Attrition Modeling'!$L$15:$N$27,IF(BD$12-$F26&lt;=24,2,3),FALSE))*(1+IF('Traditional Attrition'!BD148&gt;0,'Attrition Modeling'!$N$9,0))),0))</f>
        <v>823.0306135796053</v>
      </c>
      <c r="BE26" s="799">
        <f>IF(BE$12=$F26+1,IF(Monthly!BA$4=TRUE,0,BE$3),IF(BE$12&gt;$F26+1,RentalsVacates!BD26*(1-IF(BE$12-$F26&lt;=12,SUMIFS('Attrition Modeling'!$D:$D,'Attrition Modeling'!$B:$B,$E26,'Attrition Modeling'!$C:$C,BE$11),VLOOKUP(RentalsVacates!BE$12-RentalsVacates!$F26-1,RentalsVacates!$A$8:$C$162,2,FALSE)*VLOOKUP(BE$11,'Attrition Modeling'!$L$15:$N$27,IF(BE$12-$F26&lt;=24,2,3),FALSE))*(1+IF('Traditional Attrition'!BE148&gt;0,'Attrition Modeling'!$N$9,0))),0))</f>
        <v>799.21025046505588</v>
      </c>
      <c r="BF26" s="799">
        <f>IF(BF$12=$F26+1,IF(Monthly!BB$4=TRUE,0,BF$3),IF(BF$12&gt;$F26+1,RentalsVacates!BE26*(1-IF(BF$12-$F26&lt;=12,SUMIFS('Attrition Modeling'!$D:$D,'Attrition Modeling'!$B:$B,$E26,'Attrition Modeling'!$C:$C,BF$11),VLOOKUP(RentalsVacates!BF$12-RentalsVacates!$F26-1,RentalsVacates!$A$8:$C$162,2,FALSE)*VLOOKUP(BF$11,'Attrition Modeling'!$L$15:$N$27,IF(BF$12-$F26&lt;=24,2,3),FALSE))*(1+IF('Traditional Attrition'!BF148&gt;0,'Attrition Modeling'!$N$9,0))),0))</f>
        <v>777.28745179175451</v>
      </c>
      <c r="BG26" s="799">
        <f>IF(BG$12=$F26+1,IF(Monthly!BC$4=TRUE,0,BG$3),IF(BG$12&gt;$F26+1,RentalsVacates!BF26*(1-IF(BG$12-$F26&lt;=12,SUMIFS('Attrition Modeling'!$D:$D,'Attrition Modeling'!$B:$B,$E26,'Attrition Modeling'!$C:$C,BG$11),VLOOKUP(RentalsVacates!BG$12-RentalsVacates!$F26-1,RentalsVacates!$A$8:$C$162,2,FALSE)*VLOOKUP(BG$11,'Attrition Modeling'!$L$15:$N$27,IF(BG$12-$F26&lt;=24,2,3),FALSE))*(1+IF('Traditional Attrition'!BG148&gt;0,'Attrition Modeling'!$N$9,0))),0))</f>
        <v>760.50866762815906</v>
      </c>
      <c r="BH26" s="799">
        <f>IF(BH$12=$F26+1,IF(Monthly!BD$4=TRUE,0,BH$3),IF(BH$12&gt;$F26+1,RentalsVacates!BG26*(1-IF(BH$12-$F26&lt;=12,SUMIFS('Attrition Modeling'!$D:$D,'Attrition Modeling'!$B:$B,$E26,'Attrition Modeling'!$C:$C,BH$11),VLOOKUP(RentalsVacates!BH$12-RentalsVacates!$F26-1,RentalsVacates!$A$8:$C$162,2,FALSE)*VLOOKUP(BH$11,'Attrition Modeling'!$L$15:$N$27,IF(BH$12-$F26&lt;=24,2,3),FALSE))*(1+IF('Traditional Attrition'!BH148&gt;0,'Attrition Modeling'!$N$9,0))),0))</f>
        <v>740.89347857132896</v>
      </c>
      <c r="BI26" s="799">
        <f>IF(BI$12=$F26+1,IF(Monthly!BE$4=TRUE,0,BI$3),IF(BI$12&gt;$F26+1,RentalsVacates!BH26*(1-IF(BI$12-$F26&lt;=12,SUMIFS('Attrition Modeling'!$D:$D,'Attrition Modeling'!$B:$B,$E26,'Attrition Modeling'!$C:$C,BI$11),VLOOKUP(RentalsVacates!BI$12-RentalsVacates!$F26-1,RentalsVacates!$A$8:$C$162,2,FALSE)*VLOOKUP(BI$11,'Attrition Modeling'!$L$15:$N$27,IF(BI$12-$F26&lt;=24,2,3),FALSE))*(1+IF('Traditional Attrition'!BI148&gt;0,'Attrition Modeling'!$N$9,0))),0))</f>
        <v>719.30502899059547</v>
      </c>
      <c r="BJ26" s="799">
        <f>IF(BJ$12=$F26+1,IF(Monthly!BF$4=TRUE,0,BJ$3),IF(BJ$12&gt;$F26+1,RentalsVacates!BI26*(1-IF(BJ$12-$F26&lt;=12,SUMIFS('Attrition Modeling'!$D:$D,'Attrition Modeling'!$B:$B,$E26,'Attrition Modeling'!$C:$C,BJ$11),VLOOKUP(RentalsVacates!BJ$12-RentalsVacates!$F26-1,RentalsVacates!$A$8:$C$162,2,FALSE)*VLOOKUP(BJ$11,'Attrition Modeling'!$L$15:$N$27,IF(BJ$12-$F26&lt;=24,2,3),FALSE))*(1+IF('Traditional Attrition'!BJ148&gt;0,'Attrition Modeling'!$N$9,0))),0))</f>
        <v>692.17524198119736</v>
      </c>
      <c r="BK26" s="799">
        <f>IF(BK$12=$F26+1,IF(Monthly!BG$4=TRUE,0,BK$3),IF(BK$12&gt;$F26+1,RentalsVacates!BJ26*(1-IF(BK$12-$F26&lt;=12,SUMIFS('Attrition Modeling'!$D:$D,'Attrition Modeling'!$B:$B,$E26,'Attrition Modeling'!$C:$C,BK$11),VLOOKUP(RentalsVacates!BK$12-RentalsVacates!$F26-1,RentalsVacates!$A$8:$C$162,2,FALSE)*VLOOKUP(BK$11,'Attrition Modeling'!$L$15:$N$27,IF(BK$12-$F26&lt;=24,2,3),FALSE))*(1+IF('Traditional Attrition'!BK148&gt;0,'Attrition Modeling'!$N$9,0))),0))</f>
        <v>669.04233866469008</v>
      </c>
      <c r="BL26" s="799">
        <f>IF(BL$12=$F26+1,IF(Monthly!BH$4=TRUE,0,BL$3),IF(BL$12&gt;$F26+1,RentalsVacates!BK26*(1-IF(BL$12-$F26&lt;=12,SUMIFS('Attrition Modeling'!$D:$D,'Attrition Modeling'!$B:$B,$E26,'Attrition Modeling'!$C:$C,BL$11),VLOOKUP(RentalsVacates!BL$12-RentalsVacates!$F26-1,RentalsVacates!$A$8:$C$162,2,FALSE)*VLOOKUP(BL$11,'Attrition Modeling'!$L$15:$N$27,IF(BL$12-$F26&lt;=24,2,3),FALSE))*(1+IF('Traditional Attrition'!BL148&gt;0,'Attrition Modeling'!$N$9,0))),0))</f>
        <v>648.24751631410368</v>
      </c>
      <c r="BM26" s="799">
        <f>IF(BM$12=$F26+1,IF(Monthly!BI$4=TRUE,0,BM$3),IF(BM$12&gt;$F26+1,RentalsVacates!BL26*(1-IF(BM$12-$F26&lt;=12,SUMIFS('Attrition Modeling'!$D:$D,'Attrition Modeling'!$B:$B,$E26,'Attrition Modeling'!$C:$C,BM$11),VLOOKUP(RentalsVacates!BM$12-RentalsVacates!$F26-1,RentalsVacates!$A$8:$C$162,2,FALSE)*VLOOKUP(BM$11,'Attrition Modeling'!$L$15:$N$27,IF(BM$12-$F26&lt;=24,2,3),FALSE))*(1+IF('Traditional Attrition'!BM148&gt;0,'Attrition Modeling'!$N$9,0))),0))</f>
        <v>628.9785961602928</v>
      </c>
      <c r="BN26" s="799">
        <f>IF(BN$12=$F26+1,IF(Monthly!BJ$4=TRUE,0,BN$3),IF(BN$12&gt;$F26+1,RentalsVacates!BM26*(1-IF(BN$12-$F26&lt;=12,SUMIFS('Attrition Modeling'!$D:$D,'Attrition Modeling'!$B:$B,$E26,'Attrition Modeling'!$C:$C,BN$11),VLOOKUP(RentalsVacates!BN$12-RentalsVacates!$F26-1,RentalsVacates!$A$8:$C$162,2,FALSE)*VLOOKUP(BN$11,'Attrition Modeling'!$L$15:$N$27,IF(BN$12-$F26&lt;=24,2,3),FALSE))*(1+IF('Traditional Attrition'!BN148&gt;0,'Attrition Modeling'!$N$9,0))),0))</f>
        <v>610.87737897820386</v>
      </c>
      <c r="BO26" s="799">
        <f>IF(BO$12=$F26+1,IF(Monthly!BK$4=TRUE,0,BO$3),IF(BO$12&gt;$F26+1,RentalsVacates!BN26*(1-IF(BO$12-$F26&lt;=12,SUMIFS('Attrition Modeling'!$D:$D,'Attrition Modeling'!$B:$B,$E26,'Attrition Modeling'!$C:$C,BO$11),VLOOKUP(RentalsVacates!BO$12-RentalsVacates!$F26-1,RentalsVacates!$A$8:$C$162,2,FALSE)*VLOOKUP(BO$11,'Attrition Modeling'!$L$15:$N$27,IF(BO$12-$F26&lt;=24,2,3),FALSE))*(1+IF('Traditional Attrition'!BO148&gt;0,'Attrition Modeling'!$N$9,0))),0))</f>
        <v>596.52489573197863</v>
      </c>
      <c r="BP26" s="799">
        <f>IF(BP$12=$F26+1,IF(Monthly!BL$4=TRUE,0,BP$3),IF(BP$12&gt;$F26+1,RentalsVacates!BO26*(1-IF(BP$12-$F26&lt;=12,SUMIFS('Attrition Modeling'!$D:$D,'Attrition Modeling'!$B:$B,$E26,'Attrition Modeling'!$C:$C,BP$11),VLOOKUP(RentalsVacates!BP$12-RentalsVacates!$F26-1,RentalsVacates!$A$8:$C$162,2,FALSE)*VLOOKUP(BP$11,'Attrition Modeling'!$L$15:$N$27,IF(BP$12-$F26&lt;=24,2,3),FALSE))*(1+IF('Traditional Attrition'!BP148&gt;0,'Attrition Modeling'!$N$9,0))),0))</f>
        <v>581.15122837245201</v>
      </c>
      <c r="BQ26" s="799">
        <f>IF(BQ$12=$F26+1,IF(Monthly!BM$4=TRUE,0,BQ$3),IF(BQ$12&gt;$F26+1,RentalsVacates!BP26*(1-IF(BQ$12-$F26&lt;=12,SUMIFS('Attrition Modeling'!$D:$D,'Attrition Modeling'!$B:$B,$E26,'Attrition Modeling'!$C:$C,BQ$11),VLOOKUP(RentalsVacates!BQ$12-RentalsVacates!$F26-1,RentalsVacates!$A$8:$C$162,2,FALSE)*VLOOKUP(BQ$11,'Attrition Modeling'!$L$15:$N$27,IF(BQ$12-$F26&lt;=24,2,3),FALSE))*(1+IF('Traditional Attrition'!BQ148&gt;0,'Attrition Modeling'!$N$9,0))),0))</f>
        <v>566.8720904897026</v>
      </c>
      <c r="BR26" s="799">
        <f>IF(BR$12=$F26+1,IF(Monthly!BN$4=TRUE,0,BR$3),IF(BR$12&gt;$F26+1,RentalsVacates!BQ26*(1-IF(BR$12-$F26&lt;=12,SUMIFS('Attrition Modeling'!$D:$D,'Attrition Modeling'!$B:$B,$E26,'Attrition Modeling'!$C:$C,BR$11),VLOOKUP(RentalsVacates!BR$12-RentalsVacates!$F26-1,RentalsVacates!$A$8:$C$162,2,FALSE)*VLOOKUP(BR$11,'Attrition Modeling'!$L$15:$N$27,IF(BR$12-$F26&lt;=24,2,3),FALSE))*(1+IF('Traditional Attrition'!BR148&gt;0,'Attrition Modeling'!$N$9,0))),0))</f>
        <v>553.65128889685764</v>
      </c>
      <c r="BS26" s="799">
        <f>IF(BS$12=$F26+1,IF(Monthly!BO$4=TRUE,0,BS$3),IF(BS$12&gt;$F26+1,RentalsVacates!BR26*(1-IF(BS$12-$F26&lt;=12,SUMIFS('Attrition Modeling'!$D:$D,'Attrition Modeling'!$B:$B,$E26,'Attrition Modeling'!$C:$C,BS$11),VLOOKUP(RentalsVacates!BS$12-RentalsVacates!$F26-1,RentalsVacates!$A$8:$C$162,2,FALSE)*VLOOKUP(BS$11,'Attrition Modeling'!$L$15:$N$27,IF(BS$12-$F26&lt;=24,2,3),FALSE))*(1+IF('Traditional Attrition'!BS148&gt;0,'Attrition Modeling'!$N$9,0))),0))</f>
        <v>543.47535842260163</v>
      </c>
      <c r="BT26" s="799">
        <f>IF(BT$11=$F25+1,IF(Monthly!#REF!=TRUE,0,BT$3),IF(BT$11&gt;$F25+1,RentalsVacates!BS25*(1-IF(BT$11-$F25&lt;=12,SUMIFS('Attrition Modeling'!$D:$D,'Attrition Modeling'!$B:$B,$E25,'Attrition Modeling'!$C:$C,BT$10),VLOOKUP(RentalsVacates!BT$11-RentalsVacates!$F25-1,RentalsVacates!$A$7:$C$161,2,FALSE)*VLOOKUP(BT$10,'Attrition Modeling'!$L$15:$N$27,IF(BT$11-$F25&lt;=24,2,3),FALSE))*(1+IF('Traditional Attrition'!BT148&gt;0,'Attrition Modeling'!$N$9,0))),0))</f>
        <v>0</v>
      </c>
      <c r="BU26" s="799">
        <f>IF(BU$11=$F25+1,IF(Monthly!#REF!=TRUE,0,BU$3),IF(BU$11&gt;$F25+1,RentalsVacates!BT25*(1-IF(BU$11-$F25&lt;=12,SUMIFS('Attrition Modeling'!$D:$D,'Attrition Modeling'!$B:$B,$E25,'Attrition Modeling'!$C:$C,BU$10),VLOOKUP(RentalsVacates!BU$11-RentalsVacates!$F25-1,RentalsVacates!$A$7:$C$161,2,FALSE)*VLOOKUP(BU$10,'Attrition Modeling'!$L$15:$N$27,IF(BU$11-$F25&lt;=24,2,3),FALSE))*(1+IF('Traditional Attrition'!BU148&gt;0,'Attrition Modeling'!$N$9,0))),0))</f>
        <v>0</v>
      </c>
    </row>
    <row r="27" spans="1:73" ht="14.25" customHeight="1" x14ac:dyDescent="0.2">
      <c r="A27" s="9">
        <v>19</v>
      </c>
      <c r="B27" s="25">
        <f>MAX('Attrition Modeling'!H23,$C$3)*(1-Summary!$C$20)</f>
        <v>4.1868967405686693E-2</v>
      </c>
      <c r="C27" s="24" t="e">
        <f t="shared" si="2"/>
        <v>#DIV/0!</v>
      </c>
      <c r="E27" s="11">
        <f>'Traditional Attrition'!E84</f>
        <v>2</v>
      </c>
      <c r="F27" s="11">
        <f t="shared" si="4"/>
        <v>14</v>
      </c>
      <c r="G27" s="799"/>
      <c r="H27" s="799">
        <f>IF(H$12=$F27+1,IF(Monthly!D$4=TRUE,0,H$3),IF(H$12&gt;$F27+1,RentalsVacates!G27*(1-IF(H$12-$F27&lt;=12,SUMIFS('Attrition Modeling'!$D:$D,'Attrition Modeling'!$B:$B,$E27,'Attrition Modeling'!$C:$C,H$11),VLOOKUP(RentalsVacates!H$12-RentalsVacates!$F27-1,RentalsVacates!$A$8:$C$162,2,FALSE)*VLOOKUP(H$11,'Attrition Modeling'!$L$15:$N$27,IF(H$12-$F27&lt;=24,2,3),FALSE))*(1+IF('Traditional Attrition'!H149&gt;0,'Attrition Modeling'!$N$9,0))),0))</f>
        <v>0</v>
      </c>
      <c r="I27" s="799">
        <f>IF(I$12=$F27+1,IF(Monthly!E$4=TRUE,0,I$3),IF(I$12&gt;$F27+1,RentalsVacates!H27*(1-IF(I$12-$F27&lt;=12,SUMIFS('Attrition Modeling'!$D:$D,'Attrition Modeling'!$B:$B,$E27,'Attrition Modeling'!$C:$C,I$11),VLOOKUP(RentalsVacates!I$12-RentalsVacates!$F27-1,RentalsVacates!$A$8:$C$162,2,FALSE)*VLOOKUP(I$11,'Attrition Modeling'!$L$15:$N$27,IF(I$12-$F27&lt;=24,2,3),FALSE))*(1+IF('Traditional Attrition'!I149&gt;0,'Attrition Modeling'!$N$9,0))),0))</f>
        <v>0</v>
      </c>
      <c r="J27" s="799">
        <f>IF(J$12=$F27+1,IF(Monthly!F$4=TRUE,0,J$3),IF(J$12&gt;$F27+1,RentalsVacates!I27*(1-IF(J$12-$F27&lt;=12,SUMIFS('Attrition Modeling'!$D:$D,'Attrition Modeling'!$B:$B,$E27,'Attrition Modeling'!$C:$C,J$11),VLOOKUP(RentalsVacates!J$12-RentalsVacates!$F27-1,RentalsVacates!$A$8:$C$162,2,FALSE)*VLOOKUP(J$11,'Attrition Modeling'!$L$15:$N$27,IF(J$12-$F27&lt;=24,2,3),FALSE))*(1+IF('Traditional Attrition'!J149&gt;0,'Attrition Modeling'!$N$9,0))),0))</f>
        <v>0</v>
      </c>
      <c r="K27" s="799">
        <f>IF(K$12=$F27+1,IF(Monthly!G$4=TRUE,0,K$3),IF(K$12&gt;$F27+1,RentalsVacates!J27*(1-IF(K$12-$F27&lt;=12,SUMIFS('Attrition Modeling'!$D:$D,'Attrition Modeling'!$B:$B,$E27,'Attrition Modeling'!$C:$C,K$11),VLOOKUP(RentalsVacates!K$12-RentalsVacates!$F27-1,RentalsVacates!$A$8:$C$162,2,FALSE)*VLOOKUP(K$11,'Attrition Modeling'!$L$15:$N$27,IF(K$12-$F27&lt;=24,2,3),FALSE))*(1+IF('Traditional Attrition'!K149&gt;0,'Attrition Modeling'!$N$9,0))),0))</f>
        <v>0</v>
      </c>
      <c r="L27" s="799">
        <f>IF(L$12=$F27+1,IF(Monthly!H$4=TRUE,0,L$3),IF(L$12&gt;$F27+1,RentalsVacates!K27*(1-IF(L$12-$F27&lt;=12,SUMIFS('Attrition Modeling'!$D:$D,'Attrition Modeling'!$B:$B,$E27,'Attrition Modeling'!$C:$C,L$11),VLOOKUP(RentalsVacates!L$12-RentalsVacates!$F27-1,RentalsVacates!$A$8:$C$162,2,FALSE)*VLOOKUP(L$11,'Attrition Modeling'!$L$15:$N$27,IF(L$12-$F27&lt;=24,2,3),FALSE))*(1+IF('Traditional Attrition'!L149&gt;0,'Attrition Modeling'!$N$9,0))),0))</f>
        <v>0</v>
      </c>
      <c r="M27" s="799">
        <f>IF(M$12=$F27+1,IF(Monthly!I$4=TRUE,0,M$3),IF(M$12&gt;$F27+1,RentalsVacates!L27*(1-IF(M$12-$F27&lt;=12,SUMIFS('Attrition Modeling'!$D:$D,'Attrition Modeling'!$B:$B,$E27,'Attrition Modeling'!$C:$C,M$11),VLOOKUP(RentalsVacates!M$12-RentalsVacates!$F27-1,RentalsVacates!$A$8:$C$162,2,FALSE)*VLOOKUP(M$11,'Attrition Modeling'!$L$15:$N$27,IF(M$12-$F27&lt;=24,2,3),FALSE))*(1+IF('Traditional Attrition'!M149&gt;0,'Attrition Modeling'!$N$9,0))),0))</f>
        <v>0</v>
      </c>
      <c r="N27" s="799">
        <f>IF(N$12=$F27+1,IF(Monthly!J$4=TRUE,0,N$3),IF(N$12&gt;$F27+1,RentalsVacates!M27*(1-IF(N$12-$F27&lt;=12,SUMIFS('Attrition Modeling'!$D:$D,'Attrition Modeling'!$B:$B,$E27,'Attrition Modeling'!$C:$C,N$11),VLOOKUP(RentalsVacates!N$12-RentalsVacates!$F27-1,RentalsVacates!$A$8:$C$162,2,FALSE)*VLOOKUP(N$11,'Attrition Modeling'!$L$15:$N$27,IF(N$12-$F27&lt;=24,2,3),FALSE))*(1+IF('Traditional Attrition'!N149&gt;0,'Attrition Modeling'!$N$9,0))),0))</f>
        <v>0</v>
      </c>
      <c r="O27" s="799">
        <f>IF(O$12=$F27+1,IF(Monthly!K$4=TRUE,0,O$3),IF(O$12&gt;$F27+1,RentalsVacates!N27*(1-IF(O$12-$F27&lt;=12,SUMIFS('Attrition Modeling'!$D:$D,'Attrition Modeling'!$B:$B,$E27,'Attrition Modeling'!$C:$C,O$11),VLOOKUP(RentalsVacates!O$12-RentalsVacates!$F27-1,RentalsVacates!$A$8:$C$162,2,FALSE)*VLOOKUP(O$11,'Attrition Modeling'!$L$15:$N$27,IF(O$12-$F27&lt;=24,2,3),FALSE))*(1+IF('Traditional Attrition'!O149&gt;0,'Attrition Modeling'!$N$9,0))),0))</f>
        <v>0</v>
      </c>
      <c r="P27" s="799">
        <f>IF(P$12=$F27+1,IF(Monthly!L$4=TRUE,0,P$3),IF(P$12&gt;$F27+1,RentalsVacates!O27*(1-IF(P$12-$F27&lt;=12,SUMIFS('Attrition Modeling'!$D:$D,'Attrition Modeling'!$B:$B,$E27,'Attrition Modeling'!$C:$C,P$11),VLOOKUP(RentalsVacates!P$12-RentalsVacates!$F27-1,RentalsVacates!$A$8:$C$162,2,FALSE)*VLOOKUP(P$11,'Attrition Modeling'!$L$15:$N$27,IF(P$12-$F27&lt;=24,2,3),FALSE))*(1+IF('Traditional Attrition'!P149&gt;0,'Attrition Modeling'!$N$9,0))),0))</f>
        <v>0</v>
      </c>
      <c r="Q27" s="799">
        <f>IF(Q$12=$F27+1,IF(Monthly!M$4=TRUE,0,Q$3),IF(Q$12&gt;$F27+1,RentalsVacates!P27*(1-IF(Q$12-$F27&lt;=12,SUMIFS('Attrition Modeling'!$D:$D,'Attrition Modeling'!$B:$B,$E27,'Attrition Modeling'!$C:$C,Q$11),VLOOKUP(RentalsVacates!Q$12-RentalsVacates!$F27-1,RentalsVacates!$A$8:$C$162,2,FALSE)*VLOOKUP(Q$11,'Attrition Modeling'!$L$15:$N$27,IF(Q$12-$F27&lt;=24,2,3),FALSE))*(1+IF('Traditional Attrition'!Q149&gt;0,'Attrition Modeling'!$N$9,0))),0))</f>
        <v>0</v>
      </c>
      <c r="R27" s="799">
        <f>IF(R$12=$F27+1,IF(Monthly!N$4=TRUE,0,R$3),IF(R$12&gt;$F27+1,RentalsVacates!Q27*(1-IF(R$12-$F27&lt;=12,SUMIFS('Attrition Modeling'!$D:$D,'Attrition Modeling'!$B:$B,$E27,'Attrition Modeling'!$C:$C,R$11),VLOOKUP(RentalsVacates!R$12-RentalsVacates!$F27-1,RentalsVacates!$A$8:$C$162,2,FALSE)*VLOOKUP(R$11,'Attrition Modeling'!$L$15:$N$27,IF(R$12-$F27&lt;=24,2,3),FALSE))*(1+IF('Traditional Attrition'!R149&gt;0,'Attrition Modeling'!$N$9,0))),0))</f>
        <v>0</v>
      </c>
      <c r="S27" s="799">
        <f>IF(S$12=$F27+1,IF(Monthly!O$4=TRUE,0,S$3),IF(S$12&gt;$F27+1,RentalsVacates!R27*(1-IF(S$12-$F27&lt;=12,SUMIFS('Attrition Modeling'!$D:$D,'Attrition Modeling'!$B:$B,$E27,'Attrition Modeling'!$C:$C,S$11),VLOOKUP(RentalsVacates!S$12-RentalsVacates!$F27-1,RentalsVacates!$A$8:$C$162,2,FALSE)*VLOOKUP(S$11,'Attrition Modeling'!$L$15:$N$27,IF(S$12-$F27&lt;=24,2,3),FALSE))*(1+IF('Traditional Attrition'!S149&gt;0,'Attrition Modeling'!$N$9,0))),0))</f>
        <v>0</v>
      </c>
      <c r="T27" s="799">
        <f>IF(T$12=$F27+1,IF(Monthly!P$4=TRUE,0,T$3),IF(T$12&gt;$F27+1,RentalsVacates!S27*(1-IF(T$12-$F27&lt;=12,SUMIFS('Attrition Modeling'!$D:$D,'Attrition Modeling'!$B:$B,$E27,'Attrition Modeling'!$C:$C,T$11),VLOOKUP(RentalsVacates!T$12-RentalsVacates!$F27-1,RentalsVacates!$A$8:$C$162,2,FALSE)*VLOOKUP(T$11,'Attrition Modeling'!$L$15:$N$27,IF(T$12-$F27&lt;=24,2,3),FALSE))*(1+IF('Traditional Attrition'!T149&gt;0,'Attrition Modeling'!$N$9,0))),0))</f>
        <v>0</v>
      </c>
      <c r="U27" s="799">
        <f>IF(U$12=$F27+1,IF(Monthly!Q$4=TRUE,0,U$3),IF(U$12&gt;$F27+1,RentalsVacates!T27*(1-IF(U$12-$F27&lt;=12,SUMIFS('Attrition Modeling'!$D:$D,'Attrition Modeling'!$B:$B,$E27,'Attrition Modeling'!$C:$C,U$11),VLOOKUP(RentalsVacates!U$12-RentalsVacates!$F27-1,RentalsVacates!$A$8:$C$162,2,FALSE)*VLOOKUP(U$11,'Attrition Modeling'!$L$15:$N$27,IF(U$12-$F27&lt;=24,2,3),FALSE))*(1+IF('Traditional Attrition'!U149&gt;0,'Attrition Modeling'!$N$9,0))),0))</f>
        <v>0</v>
      </c>
      <c r="V27" s="799">
        <f>IF(V$12=$F27+1,IF(Monthly!R$4=TRUE,0,V$3),IF(V$12&gt;$F27+1,RentalsVacates!U27*(1-IF(V$12-$F27&lt;=12,SUMIFS('Attrition Modeling'!$D:$D,'Attrition Modeling'!$B:$B,$E27,'Attrition Modeling'!$C:$C,V$11),VLOOKUP(RentalsVacates!V$12-RentalsVacates!$F27-1,RentalsVacates!$A$8:$C$162,2,FALSE)*VLOOKUP(V$11,'Attrition Modeling'!$L$15:$N$27,IF(V$12-$F27&lt;=24,2,3),FALSE))*(1+IF('Traditional Attrition'!V149&gt;0,'Attrition Modeling'!$N$9,0))),0))</f>
        <v>6333.1503128112963</v>
      </c>
      <c r="W27" s="799">
        <f>IF(W$12=$F27+1,IF(Monthly!S$4=TRUE,0,W$3),IF(W$12&gt;$F27+1,RentalsVacates!V27*(1-IF(W$12-$F27&lt;=12,SUMIFS('Attrition Modeling'!$D:$D,'Attrition Modeling'!$B:$B,$E27,'Attrition Modeling'!$C:$C,W$11),VLOOKUP(RentalsVacates!W$12-RentalsVacates!$F27-1,RentalsVacates!$A$8:$C$162,2,FALSE)*VLOOKUP(W$11,'Attrition Modeling'!$L$15:$N$27,IF(W$12-$F27&lt;=24,2,3),FALSE))*(1+IF('Traditional Attrition'!W149&gt;0,'Attrition Modeling'!$N$9,0))),0))</f>
        <v>5716.3280715747896</v>
      </c>
      <c r="X27" s="799">
        <f>IF(X$12=$F27+1,IF(Monthly!T$4=TRUE,0,X$3),IF(X$12&gt;$F27+1,RentalsVacates!W27*(1-IF(X$12-$F27&lt;=12,SUMIFS('Attrition Modeling'!$D:$D,'Attrition Modeling'!$B:$B,$E27,'Attrition Modeling'!$C:$C,X$11),VLOOKUP(RentalsVacates!X$12-RentalsVacates!$F27-1,RentalsVacates!$A$8:$C$162,2,FALSE)*VLOOKUP(X$11,'Attrition Modeling'!$L$15:$N$27,IF(X$12-$F27&lt;=24,2,3),FALSE))*(1+IF('Traditional Attrition'!X149&gt;0,'Attrition Modeling'!$N$9,0))),0))</f>
        <v>5228.6457157827035</v>
      </c>
      <c r="Y27" s="799">
        <f>IF(Y$12=$F27+1,IF(Monthly!U$4=TRUE,0,Y$3),IF(Y$12&gt;$F27+1,RentalsVacates!X27*(1-IF(Y$12-$F27&lt;=12,SUMIFS('Attrition Modeling'!$D:$D,'Attrition Modeling'!$B:$B,$E27,'Attrition Modeling'!$C:$C,Y$11),VLOOKUP(RentalsVacates!Y$12-RentalsVacates!$F27-1,RentalsVacates!$A$8:$C$162,2,FALSE)*VLOOKUP(Y$11,'Attrition Modeling'!$L$15:$N$27,IF(Y$12-$F27&lt;=24,2,3),FALSE))*(1+IF('Traditional Attrition'!Y149&gt;0,'Attrition Modeling'!$N$9,0))),0))</f>
        <v>4742.7647670865081</v>
      </c>
      <c r="Z27" s="799">
        <f>IF(Z$12=$F27+1,IF(Monthly!V$4=TRUE,0,Z$3),IF(Z$12&gt;$F27+1,RentalsVacates!Y27*(1-IF(Z$12-$F27&lt;=12,SUMIFS('Attrition Modeling'!$D:$D,'Attrition Modeling'!$B:$B,$E27,'Attrition Modeling'!$C:$C,Z$11),VLOOKUP(RentalsVacates!Z$12-RentalsVacates!$F27-1,RentalsVacates!$A$8:$C$162,2,FALSE)*VLOOKUP(Z$11,'Attrition Modeling'!$L$15:$N$27,IF(Z$12-$F27&lt;=24,2,3),FALSE))*(1+IF('Traditional Attrition'!Z149&gt;0,'Attrition Modeling'!$N$9,0))),0))</f>
        <v>4357.4981281441533</v>
      </c>
      <c r="AA27" s="799">
        <f>IF(AA$12=$F27+1,IF(Monthly!W$4=TRUE,0,AA$3),IF(AA$12&gt;$F27+1,RentalsVacates!Z27*(1-IF(AA$12-$F27&lt;=12,SUMIFS('Attrition Modeling'!$D:$D,'Attrition Modeling'!$B:$B,$E27,'Attrition Modeling'!$C:$C,AA$11),VLOOKUP(RentalsVacates!AA$12-RentalsVacates!$F27-1,RentalsVacates!$A$8:$C$162,2,FALSE)*VLOOKUP(AA$11,'Attrition Modeling'!$L$15:$N$27,IF(AA$12-$F27&lt;=24,2,3),FALSE))*(1+IF('Traditional Attrition'!AA149&gt;0,'Attrition Modeling'!$N$9,0))),0))</f>
        <v>3917.7107098541774</v>
      </c>
      <c r="AB27" s="799">
        <f>IF(AB$12=$F27+1,IF(Monthly!X$4=TRUE,0,AB$3),IF(AB$12&gt;$F27+1,RentalsVacates!AA27*(1-IF(AB$12-$F27&lt;=12,SUMIFS('Attrition Modeling'!$D:$D,'Attrition Modeling'!$B:$B,$E27,'Attrition Modeling'!$C:$C,AB$11),VLOOKUP(RentalsVacates!AB$12-RentalsVacates!$F27-1,RentalsVacates!$A$8:$C$162,2,FALSE)*VLOOKUP(AB$11,'Attrition Modeling'!$L$15:$N$27,IF(AB$12-$F27&lt;=24,2,3),FALSE))*(1+IF('Traditional Attrition'!AB149&gt;0,'Attrition Modeling'!$N$9,0))),0))</f>
        <v>3622.0591432278552</v>
      </c>
      <c r="AC27" s="799">
        <f>IF(AC$12=$F27+1,IF(Monthly!Y$4=TRUE,0,AC$3),IF(AC$12&gt;$F27+1,RentalsVacates!AB27*(1-IF(AC$12-$F27&lt;=12,SUMIFS('Attrition Modeling'!$D:$D,'Attrition Modeling'!$B:$B,$E27,'Attrition Modeling'!$C:$C,AC$11),VLOOKUP(RentalsVacates!AC$12-RentalsVacates!$F27-1,RentalsVacates!$A$8:$C$162,2,FALSE)*VLOOKUP(AC$11,'Attrition Modeling'!$L$15:$N$27,IF(AC$12-$F27&lt;=24,2,3),FALSE))*(1+IF('Traditional Attrition'!AC149&gt;0,'Attrition Modeling'!$N$9,0))),0))</f>
        <v>3368.270405547963</v>
      </c>
      <c r="AD27" s="799">
        <f>IF(AD$12=$F27+1,IF(Monthly!Z$4=TRUE,0,AD$3),IF(AD$12&gt;$F27+1,RentalsVacates!AC27*(1-IF(AD$12-$F27&lt;=12,SUMIFS('Attrition Modeling'!$D:$D,'Attrition Modeling'!$B:$B,$E27,'Attrition Modeling'!$C:$C,AD$11),VLOOKUP(RentalsVacates!AD$12-RentalsVacates!$F27-1,RentalsVacates!$A$8:$C$162,2,FALSE)*VLOOKUP(AD$11,'Attrition Modeling'!$L$15:$N$27,IF(AD$12-$F27&lt;=24,2,3),FALSE))*(1+IF('Traditional Attrition'!AD149&gt;0,'Attrition Modeling'!$N$9,0))),0))</f>
        <v>3144.5637624855381</v>
      </c>
      <c r="AE27" s="799">
        <f>IF(AE$12=$F27+1,IF(Monthly!AA$4=TRUE,0,AE$3),IF(AE$12&gt;$F27+1,RentalsVacates!AD27*(1-IF(AE$12-$F27&lt;=12,SUMIFS('Attrition Modeling'!$D:$D,'Attrition Modeling'!$B:$B,$E27,'Attrition Modeling'!$C:$C,AE$11),VLOOKUP(RentalsVacates!AE$12-RentalsVacates!$F27-1,RentalsVacates!$A$8:$C$162,2,FALSE)*VLOOKUP(AE$11,'Attrition Modeling'!$L$15:$N$27,IF(AE$12-$F27&lt;=24,2,3),FALSE))*(1+IF('Traditional Attrition'!AE149&gt;0,'Attrition Modeling'!$N$9,0))),0))</f>
        <v>2949.0400391556709</v>
      </c>
      <c r="AF27" s="799">
        <f>IF(AF$12=$F27+1,IF(Monthly!AB$4=TRUE,0,AF$3),IF(AF$12&gt;$F27+1,RentalsVacates!AE27*(1-IF(AF$12-$F27&lt;=12,SUMIFS('Attrition Modeling'!$D:$D,'Attrition Modeling'!$B:$B,$E27,'Attrition Modeling'!$C:$C,AF$11),VLOOKUP(RentalsVacates!AF$12-RentalsVacates!$F27-1,RentalsVacates!$A$8:$C$162,2,FALSE)*VLOOKUP(AF$11,'Attrition Modeling'!$L$15:$N$27,IF(AF$12-$F27&lt;=24,2,3),FALSE))*(1+IF('Traditional Attrition'!AF149&gt;0,'Attrition Modeling'!$N$9,0))),0))</f>
        <v>2781.8737930073326</v>
      </c>
      <c r="AG27" s="799">
        <f>IF(AG$12=$F27+1,IF(Monthly!AC$4=TRUE,0,AG$3),IF(AG$12&gt;$F27+1,RentalsVacates!AF27*(1-IF(AG$12-$F27&lt;=12,SUMIFS('Attrition Modeling'!$D:$D,'Attrition Modeling'!$B:$B,$E27,'Attrition Modeling'!$C:$C,AG$11),VLOOKUP(RentalsVacates!AG$12-RentalsVacates!$F27-1,RentalsVacates!$A$8:$C$162,2,FALSE)*VLOOKUP(AG$11,'Attrition Modeling'!$L$15:$N$27,IF(AG$12-$F27&lt;=24,2,3),FALSE))*(1+IF('Traditional Attrition'!AG149&gt;0,'Attrition Modeling'!$N$9,0))),0))</f>
        <v>2713.3272821793771</v>
      </c>
      <c r="AH27" s="799">
        <f>IF(AH$12=$F27+1,IF(Monthly!AD$4=TRUE,0,AH$3),IF(AH$12&gt;$F27+1,RentalsVacates!AG27*(1-IF(AH$12-$F27&lt;=12,SUMIFS('Attrition Modeling'!$D:$D,'Attrition Modeling'!$B:$B,$E27,'Attrition Modeling'!$C:$C,AH$11),VLOOKUP(RentalsVacates!AH$12-RentalsVacates!$F27-1,RentalsVacates!$A$8:$C$162,2,FALSE)*VLOOKUP(AH$11,'Attrition Modeling'!$L$15:$N$27,IF(AH$12-$F27&lt;=24,2,3),FALSE))*(1+IF('Traditional Attrition'!AH149&gt;0,'Attrition Modeling'!$N$9,0))),0))</f>
        <v>2569.8827367278559</v>
      </c>
      <c r="AI27" s="799">
        <f>IF(AI$12=$F27+1,IF(Monthly!AE$4=TRUE,0,AI$3),IF(AI$12&gt;$F27+1,RentalsVacates!AH27*(1-IF(AI$12-$F27&lt;=12,SUMIFS('Attrition Modeling'!$D:$D,'Attrition Modeling'!$B:$B,$E27,'Attrition Modeling'!$C:$C,AI$11),VLOOKUP(RentalsVacates!AI$12-RentalsVacates!$F27-1,RentalsVacates!$A$8:$C$162,2,FALSE)*VLOOKUP(AI$11,'Attrition Modeling'!$L$15:$N$27,IF(AI$12-$F27&lt;=24,2,3),FALSE))*(1+IF('Traditional Attrition'!AI149&gt;0,'Attrition Modeling'!$N$9,0))),0))</f>
        <v>2446.6183937543478</v>
      </c>
      <c r="AJ27" s="799">
        <f>IF(AJ$12=$F27+1,IF(Monthly!AF$4=TRUE,0,AJ$3),IF(AJ$12&gt;$F27+1,RentalsVacates!AI27*(1-IF(AJ$12-$F27&lt;=12,SUMIFS('Attrition Modeling'!$D:$D,'Attrition Modeling'!$B:$B,$E27,'Attrition Modeling'!$C:$C,AJ$11),VLOOKUP(RentalsVacates!AJ$12-RentalsVacates!$F27-1,RentalsVacates!$A$8:$C$162,2,FALSE)*VLOOKUP(AJ$11,'Attrition Modeling'!$L$15:$N$27,IF(AJ$12-$F27&lt;=24,2,3),FALSE))*(1+IF('Traditional Attrition'!AJ149&gt;0,'Attrition Modeling'!$N$9,0))),0))</f>
        <v>2335.8095772955799</v>
      </c>
      <c r="AK27" s="799">
        <f>IF(AK$12=$F27+1,IF(Monthly!AG$4=TRUE,0,AK$3),IF(AK$12&gt;$F27+1,RentalsVacates!AJ27*(1-IF(AK$12-$F27&lt;=12,SUMIFS('Attrition Modeling'!$D:$D,'Attrition Modeling'!$B:$B,$E27,'Attrition Modeling'!$C:$C,AK$11),VLOOKUP(RentalsVacates!AK$12-RentalsVacates!$F27-1,RentalsVacates!$A$8:$C$162,2,FALSE)*VLOOKUP(AK$11,'Attrition Modeling'!$L$15:$N$27,IF(AK$12-$F27&lt;=24,2,3),FALSE))*(1+IF('Traditional Attrition'!AK149&gt;0,'Attrition Modeling'!$N$9,0))),0))</f>
        <v>2223.9080601115293</v>
      </c>
      <c r="AL27" s="799">
        <f>IF(AL$12=$F27+1,IF(Monthly!AH$4=TRUE,0,AL$3),IF(AL$12&gt;$F27+1,RentalsVacates!AK27*(1-IF(AL$12-$F27&lt;=12,SUMIFS('Attrition Modeling'!$D:$D,'Attrition Modeling'!$B:$B,$E27,'Attrition Modeling'!$C:$C,AL$11),VLOOKUP(RentalsVacates!AL$12-RentalsVacates!$F27-1,RentalsVacates!$A$8:$C$162,2,FALSE)*VLOOKUP(AL$11,'Attrition Modeling'!$L$15:$N$27,IF(AL$12-$F27&lt;=24,2,3),FALSE))*(1+IF('Traditional Attrition'!AL149&gt;0,'Attrition Modeling'!$N$9,0))),0))</f>
        <v>2118.0529186692347</v>
      </c>
      <c r="AM27" s="799">
        <f>IF(AM$12=$F27+1,IF(Monthly!AI$4=TRUE,0,AM$3),IF(AM$12&gt;$F27+1,RentalsVacates!AL27*(1-IF(AM$12-$F27&lt;=12,SUMIFS('Attrition Modeling'!$D:$D,'Attrition Modeling'!$B:$B,$E27,'Attrition Modeling'!$C:$C,AM$11),VLOOKUP(RentalsVacates!AM$12-RentalsVacates!$F27-1,RentalsVacates!$A$8:$C$162,2,FALSE)*VLOOKUP(AM$11,'Attrition Modeling'!$L$15:$N$27,IF(AM$12-$F27&lt;=24,2,3),FALSE))*(1+IF('Traditional Attrition'!AM149&gt;0,'Attrition Modeling'!$N$9,0))),0))</f>
        <v>1994.8499508675411</v>
      </c>
      <c r="AN27" s="799">
        <f>IF(AN$12=$F27+1,IF(Monthly!AJ$4=TRUE,0,AN$3),IF(AN$12&gt;$F27+1,RentalsVacates!AM27*(1-IF(AN$12-$F27&lt;=12,SUMIFS('Attrition Modeling'!$D:$D,'Attrition Modeling'!$B:$B,$E27,'Attrition Modeling'!$C:$C,AN$11),VLOOKUP(RentalsVacates!AN$12-RentalsVacates!$F27-1,RentalsVacates!$A$8:$C$162,2,FALSE)*VLOOKUP(AN$11,'Attrition Modeling'!$L$15:$N$27,IF(AN$12-$F27&lt;=24,2,3),FALSE))*(1+IF('Traditional Attrition'!AN149&gt;0,'Attrition Modeling'!$N$9,0))),0))</f>
        <v>1908.5673026312513</v>
      </c>
      <c r="AO27" s="799">
        <f>IF(AO$12=$F27+1,IF(Monthly!AK$4=TRUE,0,AO$3),IF(AO$12&gt;$F27+1,RentalsVacates!AN27*(1-IF(AO$12-$F27&lt;=12,SUMIFS('Attrition Modeling'!$D:$D,'Attrition Modeling'!$B:$B,$E27,'Attrition Modeling'!$C:$C,AO$11),VLOOKUP(RentalsVacates!AO$12-RentalsVacates!$F27-1,RentalsVacates!$A$8:$C$162,2,FALSE)*VLOOKUP(AO$11,'Attrition Modeling'!$L$15:$N$27,IF(AO$12-$F27&lt;=24,2,3),FALSE))*(1+IF('Traditional Attrition'!AO149&gt;0,'Attrition Modeling'!$N$9,0))),0))</f>
        <v>1825.7114338731458</v>
      </c>
      <c r="AP27" s="799">
        <f>IF(AP$12=$F27+1,IF(Monthly!AL$4=TRUE,0,AP$3),IF(AP$12&gt;$F27+1,RentalsVacates!AO27*(1-IF(AP$12-$F27&lt;=12,SUMIFS('Attrition Modeling'!$D:$D,'Attrition Modeling'!$B:$B,$E27,'Attrition Modeling'!$C:$C,AP$11),VLOOKUP(RentalsVacates!AP$12-RentalsVacates!$F27-1,RentalsVacates!$A$8:$C$162,2,FALSE)*VLOOKUP(AP$11,'Attrition Modeling'!$L$15:$N$27,IF(AP$12-$F27&lt;=24,2,3),FALSE))*(1+IF('Traditional Attrition'!AP149&gt;0,'Attrition Modeling'!$N$9,0))),0))</f>
        <v>1750.7676718825153</v>
      </c>
      <c r="AQ27" s="799">
        <f>IF(AQ$12=$F27+1,IF(Monthly!AM$4=TRUE,0,AQ$3),IF(AQ$12&gt;$F27+1,RentalsVacates!AP27*(1-IF(AQ$12-$F27&lt;=12,SUMIFS('Attrition Modeling'!$D:$D,'Attrition Modeling'!$B:$B,$E27,'Attrition Modeling'!$C:$C,AQ$11),VLOOKUP(RentalsVacates!AQ$12-RentalsVacates!$F27-1,RentalsVacates!$A$8:$C$162,2,FALSE)*VLOOKUP(AQ$11,'Attrition Modeling'!$L$15:$N$27,IF(AQ$12-$F27&lt;=24,2,3),FALSE))*(1+IF('Traditional Attrition'!AQ149&gt;0,'Attrition Modeling'!$N$9,0))),0))</f>
        <v>1680.7609235441475</v>
      </c>
      <c r="AR27" s="799">
        <f>IF(AR$12=$F27+1,IF(Monthly!AN$4=TRUE,0,AR$3),IF(AR$12&gt;$F27+1,RentalsVacates!AQ27*(1-IF(AR$12-$F27&lt;=12,SUMIFS('Attrition Modeling'!$D:$D,'Attrition Modeling'!$B:$B,$E27,'Attrition Modeling'!$C:$C,AR$11),VLOOKUP(RentalsVacates!AR$12-RentalsVacates!$F27-1,RentalsVacates!$A$8:$C$162,2,FALSE)*VLOOKUP(AR$11,'Attrition Modeling'!$L$15:$N$27,IF(AR$12-$F27&lt;=24,2,3),FALSE))*(1+IF('Traditional Attrition'!AR149&gt;0,'Attrition Modeling'!$N$9,0))),0))</f>
        <v>1614.4538787909478</v>
      </c>
      <c r="AS27" s="799">
        <f>IF(AS$12=$F27+1,IF(Monthly!AO$4=TRUE,0,AS$3),IF(AS$12&gt;$F27+1,RentalsVacates!AR27*(1-IF(AS$12-$F27&lt;=12,SUMIFS('Attrition Modeling'!$D:$D,'Attrition Modeling'!$B:$B,$E27,'Attrition Modeling'!$C:$C,AS$11),VLOOKUP(RentalsVacates!AS$12-RentalsVacates!$F27-1,RentalsVacates!$A$8:$C$162,2,FALSE)*VLOOKUP(AS$11,'Attrition Modeling'!$L$15:$N$27,IF(AS$12-$F27&lt;=24,2,3),FALSE))*(1+IF('Traditional Attrition'!AS149&gt;0,'Attrition Modeling'!$N$9,0))),0))</f>
        <v>1557.7579485793251</v>
      </c>
      <c r="AT27" s="799">
        <f>IF(AT$12=$F27+1,IF(Monthly!AP$4=TRUE,0,AT$3),IF(AT$12&gt;$F27+1,RentalsVacates!AS27*(1-IF(AT$12-$F27&lt;=12,SUMIFS('Attrition Modeling'!$D:$D,'Attrition Modeling'!$B:$B,$E27,'Attrition Modeling'!$C:$C,AT$11),VLOOKUP(RentalsVacates!AT$12-RentalsVacates!$F27-1,RentalsVacates!$A$8:$C$162,2,FALSE)*VLOOKUP(AT$11,'Attrition Modeling'!$L$15:$N$27,IF(AT$12-$F27&lt;=24,2,3),FALSE))*(1+IF('Traditional Attrition'!AT149&gt;0,'Attrition Modeling'!$N$9,0))),0))</f>
        <v>1505.5539715619666</v>
      </c>
      <c r="AU27" s="799">
        <f>IF(AU$12=$F27+1,IF(Monthly!AQ$4=TRUE,0,AU$3),IF(AU$12&gt;$F27+1,RentalsVacates!AT27*(1-IF(AU$12-$F27&lt;=12,SUMIFS('Attrition Modeling'!$D:$D,'Attrition Modeling'!$B:$B,$E27,'Attrition Modeling'!$C:$C,AU$11),VLOOKUP(RentalsVacates!AU$12-RentalsVacates!$F27-1,RentalsVacates!$A$8:$C$162,2,FALSE)*VLOOKUP(AU$11,'Attrition Modeling'!$L$15:$N$27,IF(AU$12-$F27&lt;=24,2,3),FALSE))*(1+IF('Traditional Attrition'!AU149&gt;0,'Attrition Modeling'!$N$9,0))),0))</f>
        <v>1465.988179028416</v>
      </c>
      <c r="AV27" s="799">
        <f>IF(AV$12=$F27+1,IF(Monthly!AR$4=TRUE,0,AV$3),IF(AV$12&gt;$F27+1,RentalsVacates!AU27*(1-IF(AV$12-$F27&lt;=12,SUMIFS('Attrition Modeling'!$D:$D,'Attrition Modeling'!$B:$B,$E27,'Attrition Modeling'!$C:$C,AV$11),VLOOKUP(RentalsVacates!AV$12-RentalsVacates!$F27-1,RentalsVacates!$A$8:$C$162,2,FALSE)*VLOOKUP(AV$11,'Attrition Modeling'!$L$15:$N$27,IF(AV$12-$F27&lt;=24,2,3),FALSE))*(1+IF('Traditional Attrition'!AV149&gt;0,'Attrition Modeling'!$N$9,0))),0))</f>
        <v>1420.1070030332789</v>
      </c>
      <c r="AW27" s="799">
        <f>IF(AW$12=$F27+1,IF(Monthly!AS$4=TRUE,0,AW$3),IF(AW$12&gt;$F27+1,RentalsVacates!AV27*(1-IF(AW$12-$F27&lt;=12,SUMIFS('Attrition Modeling'!$D:$D,'Attrition Modeling'!$B:$B,$E27,'Attrition Modeling'!$C:$C,AW$11),VLOOKUP(RentalsVacates!AW$12-RentalsVacates!$F27-1,RentalsVacates!$A$8:$C$162,2,FALSE)*VLOOKUP(AW$11,'Attrition Modeling'!$L$15:$N$27,IF(AW$12-$F27&lt;=24,2,3),FALSE))*(1+IF('Traditional Attrition'!AW149&gt;0,'Attrition Modeling'!$N$9,0))),0))</f>
        <v>1370.050533112139</v>
      </c>
      <c r="AX27" s="799">
        <f>IF(AX$12=$F27+1,IF(Monthly!AT$4=TRUE,0,AX$3),IF(AX$12&gt;$F27+1,RentalsVacates!AW27*(1-IF(AX$12-$F27&lt;=12,SUMIFS('Attrition Modeling'!$D:$D,'Attrition Modeling'!$B:$B,$E27,'Attrition Modeling'!$C:$C,AX$11),VLOOKUP(RentalsVacates!AX$12-RentalsVacates!$F27-1,RentalsVacates!$A$8:$C$162,2,FALSE)*VLOOKUP(AX$11,'Attrition Modeling'!$L$15:$N$27,IF(AX$12-$F27&lt;=24,2,3),FALSE))*(1+IF('Traditional Attrition'!AX149&gt;0,'Attrition Modeling'!$N$9,0))),0))</f>
        <v>1318.1108614089851</v>
      </c>
      <c r="AY27" s="799">
        <f>IF(AY$12=$F27+1,IF(Monthly!AU$4=TRUE,0,AY$3),IF(AY$12&gt;$F27+1,RentalsVacates!AX27*(1-IF(AY$12-$F27&lt;=12,SUMIFS('Attrition Modeling'!$D:$D,'Attrition Modeling'!$B:$B,$E27,'Attrition Modeling'!$C:$C,AY$11),VLOOKUP(RentalsVacates!AY$12-RentalsVacates!$F27-1,RentalsVacates!$A$8:$C$162,2,FALSE)*VLOOKUP(AY$11,'Attrition Modeling'!$L$15:$N$27,IF(AY$12-$F27&lt;=24,2,3),FALSE))*(1+IF('Traditional Attrition'!AY149&gt;0,'Attrition Modeling'!$N$9,0))),0))</f>
        <v>1254.5239337599344</v>
      </c>
      <c r="AZ27" s="799">
        <f>IF(AZ$12=$F27+1,IF(Monthly!AV$4=TRUE,0,AZ$3),IF(AZ$12&gt;$F27+1,RentalsVacates!AY27*(1-IF(AZ$12-$F27&lt;=12,SUMIFS('Attrition Modeling'!$D:$D,'Attrition Modeling'!$B:$B,$E27,'Attrition Modeling'!$C:$C,AZ$11),VLOOKUP(RentalsVacates!AZ$12-RentalsVacates!$F27-1,RentalsVacates!$A$8:$C$162,2,FALSE)*VLOOKUP(AZ$11,'Attrition Modeling'!$L$15:$N$27,IF(AZ$12-$F27&lt;=24,2,3),FALSE))*(1+IF('Traditional Attrition'!AZ149&gt;0,'Attrition Modeling'!$N$9,0))),0))</f>
        <v>1207.7419884161079</v>
      </c>
      <c r="BA27" s="799">
        <f>IF(BA$12=$F27+1,IF(Monthly!AW$4=TRUE,0,BA$3),IF(BA$12&gt;$F27+1,RentalsVacates!AZ27*(1-IF(BA$12-$F27&lt;=12,SUMIFS('Attrition Modeling'!$D:$D,'Attrition Modeling'!$B:$B,$E27,'Attrition Modeling'!$C:$C,BA$11),VLOOKUP(RentalsVacates!BA$12-RentalsVacates!$F27-1,RentalsVacates!$A$8:$C$162,2,FALSE)*VLOOKUP(BA$11,'Attrition Modeling'!$L$15:$N$27,IF(BA$12-$F27&lt;=24,2,3),FALSE))*(1+IF('Traditional Attrition'!BA149&gt;0,'Attrition Modeling'!$N$9,0))),0))</f>
        <v>1164.7757311818577</v>
      </c>
      <c r="BB27" s="799">
        <f>IF(BB$12=$F27+1,IF(Monthly!AX$4=TRUE,0,BB$3),IF(BB$12&gt;$F27+1,RentalsVacates!BA27*(1-IF(BB$12-$F27&lt;=12,SUMIFS('Attrition Modeling'!$D:$D,'Attrition Modeling'!$B:$B,$E27,'Attrition Modeling'!$C:$C,BB$11),VLOOKUP(RentalsVacates!BB$12-RentalsVacates!$F27-1,RentalsVacates!$A$8:$C$162,2,FALSE)*VLOOKUP(BB$11,'Attrition Modeling'!$L$15:$N$27,IF(BB$12-$F27&lt;=24,2,3),FALSE))*(1+IF('Traditional Attrition'!BB149&gt;0,'Attrition Modeling'!$N$9,0))),0))</f>
        <v>1124.7492341442812</v>
      </c>
      <c r="BC27" s="799">
        <f>IF(BC$12=$F27+1,IF(Monthly!AY$4=TRUE,0,BC$3),IF(BC$12&gt;$F27+1,RentalsVacates!BB27*(1-IF(BC$12-$F27&lt;=12,SUMIFS('Attrition Modeling'!$D:$D,'Attrition Modeling'!$B:$B,$E27,'Attrition Modeling'!$C:$C,BC$11),VLOOKUP(RentalsVacates!BC$12-RentalsVacates!$F27-1,RentalsVacates!$A$8:$C$162,2,FALSE)*VLOOKUP(BC$11,'Attrition Modeling'!$L$15:$N$27,IF(BC$12-$F27&lt;=24,2,3),FALSE))*(1+IF('Traditional Attrition'!BC149&gt;0,'Attrition Modeling'!$N$9,0))),0))</f>
        <v>1093.263644493406</v>
      </c>
      <c r="BD27" s="799">
        <f>IF(BD$12=$F27+1,IF(Monthly!AZ$4=TRUE,0,BD$3),IF(BD$12&gt;$F27+1,RentalsVacates!BC27*(1-IF(BD$12-$F27&lt;=12,SUMIFS('Attrition Modeling'!$D:$D,'Attrition Modeling'!$B:$B,$E27,'Attrition Modeling'!$C:$C,BD$11),VLOOKUP(RentalsVacates!BD$12-RentalsVacates!$F27-1,RentalsVacates!$A$8:$C$162,2,FALSE)*VLOOKUP(BD$11,'Attrition Modeling'!$L$15:$N$27,IF(BD$12-$F27&lt;=24,2,3),FALSE))*(1+IF('Traditional Attrition'!BD149&gt;0,'Attrition Modeling'!$N$9,0))),0))</f>
        <v>1059.7627649320787</v>
      </c>
      <c r="BE27" s="799">
        <f>IF(BE$12=$F27+1,IF(Monthly!BA$4=TRUE,0,BE$3),IF(BE$12&gt;$F27+1,RentalsVacates!BD27*(1-IF(BE$12-$F27&lt;=12,SUMIFS('Attrition Modeling'!$D:$D,'Attrition Modeling'!$B:$B,$E27,'Attrition Modeling'!$C:$C,BE$11),VLOOKUP(RentalsVacates!BE$12-RentalsVacates!$F27-1,RentalsVacates!$A$8:$C$162,2,FALSE)*VLOOKUP(BE$11,'Attrition Modeling'!$L$15:$N$27,IF(BE$12-$F27&lt;=24,2,3),FALSE))*(1+IF('Traditional Attrition'!BE149&gt;0,'Attrition Modeling'!$N$9,0))),0))</f>
        <v>1028.6543979972362</v>
      </c>
      <c r="BF27" s="799">
        <f>IF(BF$12=$F27+1,IF(Monthly!BB$4=TRUE,0,BF$3),IF(BF$12&gt;$F27+1,RentalsVacates!BE27*(1-IF(BF$12-$F27&lt;=12,SUMIFS('Attrition Modeling'!$D:$D,'Attrition Modeling'!$B:$B,$E27,'Attrition Modeling'!$C:$C,BF$11),VLOOKUP(RentalsVacates!BF$12-RentalsVacates!$F27-1,RentalsVacates!$A$8:$C$162,2,FALSE)*VLOOKUP(BF$11,'Attrition Modeling'!$L$15:$N$27,IF(BF$12-$F27&lt;=24,2,3),FALSE))*(1+IF('Traditional Attrition'!BF149&gt;0,'Attrition Modeling'!$N$9,0))),0))</f>
        <v>1000.0418318877851</v>
      </c>
      <c r="BG27" s="799">
        <f>IF(BG$12=$F27+1,IF(Monthly!BC$4=TRUE,0,BG$3),IF(BG$12&gt;$F27+1,RentalsVacates!BF27*(1-IF(BG$12-$F27&lt;=12,SUMIFS('Attrition Modeling'!$D:$D,'Attrition Modeling'!$B:$B,$E27,'Attrition Modeling'!$C:$C,BG$11),VLOOKUP(RentalsVacates!BG$12-RentalsVacates!$F27-1,RentalsVacates!$A$8:$C$162,2,FALSE)*VLOOKUP(BG$11,'Attrition Modeling'!$L$15:$N$27,IF(BG$12-$F27&lt;=24,2,3),FALSE))*(1+IF('Traditional Attrition'!BG149&gt;0,'Attrition Modeling'!$N$9,0))),0))</f>
        <v>978.15564611913567</v>
      </c>
      <c r="BH27" s="799">
        <f>IF(BH$12=$F27+1,IF(Monthly!BD$4=TRUE,0,BH$3),IF(BH$12&gt;$F27+1,RentalsVacates!BG27*(1-IF(BH$12-$F27&lt;=12,SUMIFS('Attrition Modeling'!$D:$D,'Attrition Modeling'!$B:$B,$E27,'Attrition Modeling'!$C:$C,BH$11),VLOOKUP(RentalsVacates!BH$12-RentalsVacates!$F27-1,RentalsVacates!$A$8:$C$162,2,FALSE)*VLOOKUP(BH$11,'Attrition Modeling'!$L$15:$N$27,IF(BH$12-$F27&lt;=24,2,3),FALSE))*(1+IF('Traditional Attrition'!BH149&gt;0,'Attrition Modeling'!$N$9,0))),0))</f>
        <v>952.58190421017241</v>
      </c>
      <c r="BI27" s="799">
        <f>IF(BI$12=$F27+1,IF(Monthly!BE$4=TRUE,0,BI$3),IF(BI$12&gt;$F27+1,RentalsVacates!BH27*(1-IF(BI$12-$F27&lt;=12,SUMIFS('Attrition Modeling'!$D:$D,'Attrition Modeling'!$B:$B,$E27,'Attrition Modeling'!$C:$C,BI$11),VLOOKUP(RentalsVacates!BI$12-RentalsVacates!$F27-1,RentalsVacates!$A$8:$C$162,2,FALSE)*VLOOKUP(BI$11,'Attrition Modeling'!$L$15:$N$27,IF(BI$12-$F27&lt;=24,2,3),FALSE))*(1+IF('Traditional Attrition'!BI149&gt;0,'Attrition Modeling'!$N$9,0))),0))</f>
        <v>924.45028149469636</v>
      </c>
      <c r="BJ27" s="799">
        <f>IF(BJ$12=$F27+1,IF(Monthly!BF$4=TRUE,0,BJ$3),IF(BJ$12&gt;$F27+1,RentalsVacates!BI27*(1-IF(BJ$12-$F27&lt;=12,SUMIFS('Attrition Modeling'!$D:$D,'Attrition Modeling'!$B:$B,$E27,'Attrition Modeling'!$C:$C,BJ$11),VLOOKUP(RentalsVacates!BJ$12-RentalsVacates!$F27-1,RentalsVacates!$A$8:$C$162,2,FALSE)*VLOOKUP(BJ$11,'Attrition Modeling'!$L$15:$N$27,IF(BJ$12-$F27&lt;=24,2,3),FALSE))*(1+IF('Traditional Attrition'!BJ149&gt;0,'Attrition Modeling'!$N$9,0))),0))</f>
        <v>895.00641754866115</v>
      </c>
      <c r="BK27" s="799">
        <f>IF(BK$12=$F27+1,IF(Monthly!BG$4=TRUE,0,BK$3),IF(BK$12&gt;$F27+1,RentalsVacates!BJ27*(1-IF(BK$12-$F27&lt;=12,SUMIFS('Attrition Modeling'!$D:$D,'Attrition Modeling'!$B:$B,$E27,'Attrition Modeling'!$C:$C,BK$11),VLOOKUP(RentalsVacates!BK$12-RentalsVacates!$F27-1,RentalsVacates!$A$8:$C$162,2,FALSE)*VLOOKUP(BK$11,'Attrition Modeling'!$L$15:$N$27,IF(BK$12-$F27&lt;=24,2,3),FALSE))*(1+IF('Traditional Attrition'!BK149&gt;0,'Attrition Modeling'!$N$9,0))),0))</f>
        <v>858.63866208324555</v>
      </c>
      <c r="BL27" s="799">
        <f>IF(BL$12=$F27+1,IF(Monthly!BH$4=TRUE,0,BL$3),IF(BL$12&gt;$F27+1,RentalsVacates!BK27*(1-IF(BL$12-$F27&lt;=12,SUMIFS('Attrition Modeling'!$D:$D,'Attrition Modeling'!$B:$B,$E27,'Attrition Modeling'!$C:$C,BL$11),VLOOKUP(RentalsVacates!BL$12-RentalsVacates!$F27-1,RentalsVacates!$A$8:$C$162,2,FALSE)*VLOOKUP(BL$11,'Attrition Modeling'!$L$15:$N$27,IF(BL$12-$F27&lt;=24,2,3),FALSE))*(1+IF('Traditional Attrition'!BL149&gt;0,'Attrition Modeling'!$N$9,0))),0))</f>
        <v>831.60243603133597</v>
      </c>
      <c r="BM27" s="799">
        <f>IF(BM$12=$F27+1,IF(Monthly!BI$4=TRUE,0,BM$3),IF(BM$12&gt;$F27+1,RentalsVacates!BL27*(1-IF(BM$12-$F27&lt;=12,SUMIFS('Attrition Modeling'!$D:$D,'Attrition Modeling'!$B:$B,$E27,'Attrition Modeling'!$C:$C,BM$11),VLOOKUP(RentalsVacates!BM$12-RentalsVacates!$F27-1,RentalsVacates!$A$8:$C$162,2,FALSE)*VLOOKUP(BM$11,'Attrition Modeling'!$L$15:$N$27,IF(BM$12-$F27&lt;=24,2,3),FALSE))*(1+IF('Traditional Attrition'!BM149&gt;0,'Attrition Modeling'!$N$9,0))),0))</f>
        <v>806.56393889541221</v>
      </c>
      <c r="BN27" s="799">
        <f>IF(BN$12=$F27+1,IF(Monthly!BJ$4=TRUE,0,BN$3),IF(BN$12&gt;$F27+1,RentalsVacates!BM27*(1-IF(BN$12-$F27&lt;=12,SUMIFS('Attrition Modeling'!$D:$D,'Attrition Modeling'!$B:$B,$E27,'Attrition Modeling'!$C:$C,BN$11),VLOOKUP(RentalsVacates!BN$12-RentalsVacates!$F27-1,RentalsVacates!$A$8:$C$162,2,FALSE)*VLOOKUP(BN$11,'Attrition Modeling'!$L$15:$N$27,IF(BN$12-$F27&lt;=24,2,3),FALSE))*(1+IF('Traditional Attrition'!BN149&gt;0,'Attrition Modeling'!$N$9,0))),0))</f>
        <v>783.05508417178794</v>
      </c>
      <c r="BO27" s="799">
        <f>IF(BO$12=$F27+1,IF(Monthly!BK$4=TRUE,0,BO$3),IF(BO$12&gt;$F27+1,RentalsVacates!BN27*(1-IF(BO$12-$F27&lt;=12,SUMIFS('Attrition Modeling'!$D:$D,'Attrition Modeling'!$B:$B,$E27,'Attrition Modeling'!$C:$C,BO$11),VLOOKUP(RentalsVacates!BO$12-RentalsVacates!$F27-1,RentalsVacates!$A$8:$C$162,2,FALSE)*VLOOKUP(BO$11,'Attrition Modeling'!$L$15:$N$27,IF(BO$12-$F27&lt;=24,2,3),FALSE))*(1+IF('Traditional Attrition'!BO149&gt;0,'Attrition Modeling'!$N$9,0))),0))</f>
        <v>764.42419949207124</v>
      </c>
      <c r="BP27" s="799">
        <f>IF(BP$12=$F27+1,IF(Monthly!BL$4=TRUE,0,BP$3),IF(BP$12&gt;$F27+1,RentalsVacates!BO27*(1-IF(BP$12-$F27&lt;=12,SUMIFS('Attrition Modeling'!$D:$D,'Attrition Modeling'!$B:$B,$E27,'Attrition Modeling'!$C:$C,BP$11),VLOOKUP(RentalsVacates!BP$12-RentalsVacates!$F27-1,RentalsVacates!$A$8:$C$162,2,FALSE)*VLOOKUP(BP$11,'Attrition Modeling'!$L$15:$N$27,IF(BP$12-$F27&lt;=24,2,3),FALSE))*(1+IF('Traditional Attrition'!BP149&gt;0,'Attrition Modeling'!$N$9,0))),0))</f>
        <v>744.47610711954496</v>
      </c>
      <c r="BQ27" s="799">
        <f>IF(BQ$12=$F27+1,IF(Monthly!BM$4=TRUE,0,BQ$3),IF(BQ$12&gt;$F27+1,RentalsVacates!BP27*(1-IF(BQ$12-$F27&lt;=12,SUMIFS('Attrition Modeling'!$D:$D,'Attrition Modeling'!$B:$B,$E27,'Attrition Modeling'!$C:$C,BQ$11),VLOOKUP(RentalsVacates!BQ$12-RentalsVacates!$F27-1,RentalsVacates!$A$8:$C$162,2,FALSE)*VLOOKUP(BQ$11,'Attrition Modeling'!$L$15:$N$27,IF(BQ$12-$F27&lt;=24,2,3),FALSE))*(1+IF('Traditional Attrition'!BQ149&gt;0,'Attrition Modeling'!$N$9,0))),0))</f>
        <v>725.83113423818997</v>
      </c>
      <c r="BR27" s="799">
        <f>IF(BR$12=$F27+1,IF(Monthly!BN$4=TRUE,0,BR$3),IF(BR$12&gt;$F27+1,RentalsVacates!BQ27*(1-IF(BR$12-$F27&lt;=12,SUMIFS('Attrition Modeling'!$D:$D,'Attrition Modeling'!$B:$B,$E27,'Attrition Modeling'!$C:$C,BR$11),VLOOKUP(RentalsVacates!BR$12-RentalsVacates!$F27-1,RentalsVacates!$A$8:$C$162,2,FALSE)*VLOOKUP(BR$11,'Attrition Modeling'!$L$15:$N$27,IF(BR$12-$F27&lt;=24,2,3),FALSE))*(1+IF('Traditional Attrition'!BR149&gt;0,'Attrition Modeling'!$N$9,0))),0))</f>
        <v>708.69142878535035</v>
      </c>
      <c r="BS27" s="799">
        <f>IF(BS$12=$F27+1,IF(Monthly!BO$4=TRUE,0,BS$3),IF(BS$12&gt;$F27+1,RentalsVacates!BR27*(1-IF(BS$12-$F27&lt;=12,SUMIFS('Attrition Modeling'!$D:$D,'Attrition Modeling'!$B:$B,$E27,'Attrition Modeling'!$C:$C,BS$11),VLOOKUP(RentalsVacates!BS$12-RentalsVacates!$F27-1,RentalsVacates!$A$8:$C$162,2,FALSE)*VLOOKUP(BS$11,'Attrition Modeling'!$L$15:$N$27,IF(BS$12-$F27&lt;=24,2,3),FALSE))*(1+IF('Traditional Attrition'!BS149&gt;0,'Attrition Modeling'!$N$9,0))),0))</f>
        <v>695.50440296152158</v>
      </c>
      <c r="BT27" s="799">
        <f>IF(BT$11=$F26+1,IF(Monthly!#REF!=TRUE,0,BT$3),IF(BT$11&gt;$F26+1,RentalsVacates!BS26*(1-IF(BT$11-$F26&lt;=12,SUMIFS('Attrition Modeling'!$D:$D,'Attrition Modeling'!$B:$B,$E26,'Attrition Modeling'!$C:$C,BT$10),VLOOKUP(RentalsVacates!BT$11-RentalsVacates!$F26-1,RentalsVacates!$A$7:$C$161,2,FALSE)*VLOOKUP(BT$10,'Attrition Modeling'!$L$15:$N$27,IF(BT$11-$F26&lt;=24,2,3),FALSE))*(1+IF('Traditional Attrition'!BT149&gt;0,'Attrition Modeling'!$N$9,0))),0))</f>
        <v>0</v>
      </c>
      <c r="BU27" s="799">
        <f>IF(BU$11=$F26+1,IF(Monthly!#REF!=TRUE,0,BU$3),IF(BU$11&gt;$F26+1,RentalsVacates!BT26*(1-IF(BU$11-$F26&lt;=12,SUMIFS('Attrition Modeling'!$D:$D,'Attrition Modeling'!$B:$B,$E26,'Attrition Modeling'!$C:$C,BU$10),VLOOKUP(RentalsVacates!BU$11-RentalsVacates!$F26-1,RentalsVacates!$A$7:$C$161,2,FALSE)*VLOOKUP(BU$10,'Attrition Modeling'!$L$15:$N$27,IF(BU$11-$F26&lt;=24,2,3),FALSE))*(1+IF('Traditional Attrition'!BU149&gt;0,'Attrition Modeling'!$N$9,0))),0))</f>
        <v>0</v>
      </c>
    </row>
    <row r="28" spans="1:73" ht="14.25" customHeight="1" x14ac:dyDescent="0.2">
      <c r="A28" s="9">
        <v>20</v>
      </c>
      <c r="B28" s="25">
        <f>MAX('Attrition Modeling'!H24,$C$3)*(1-Summary!$C$20)</f>
        <v>4.1153694586752602E-2</v>
      </c>
      <c r="C28" s="24" t="e">
        <f t="shared" si="2"/>
        <v>#DIV/0!</v>
      </c>
      <c r="E28" s="11">
        <f>'Traditional Attrition'!E85</f>
        <v>3</v>
      </c>
      <c r="F28" s="11">
        <f t="shared" si="4"/>
        <v>15</v>
      </c>
      <c r="G28" s="799"/>
      <c r="H28" s="799">
        <f>IF(H$12=$F28+1,IF(Monthly!D$4=TRUE,0,H$3),IF(H$12&gt;$F28+1,RentalsVacates!G28*(1-IF(H$12-$F28&lt;=12,SUMIFS('Attrition Modeling'!$D:$D,'Attrition Modeling'!$B:$B,$E28,'Attrition Modeling'!$C:$C,H$11),VLOOKUP(RentalsVacates!H$12-RentalsVacates!$F28-1,RentalsVacates!$A$8:$C$162,2,FALSE)*VLOOKUP(H$11,'Attrition Modeling'!$L$15:$N$27,IF(H$12-$F28&lt;=24,2,3),FALSE))*(1+IF('Traditional Attrition'!H150&gt;0,'Attrition Modeling'!$N$9,0))),0))</f>
        <v>0</v>
      </c>
      <c r="I28" s="799">
        <f>IF(I$12=$F28+1,IF(Monthly!E$4=TRUE,0,I$3),IF(I$12&gt;$F28+1,RentalsVacates!H28*(1-IF(I$12-$F28&lt;=12,SUMIFS('Attrition Modeling'!$D:$D,'Attrition Modeling'!$B:$B,$E28,'Attrition Modeling'!$C:$C,I$11),VLOOKUP(RentalsVacates!I$12-RentalsVacates!$F28-1,RentalsVacates!$A$8:$C$162,2,FALSE)*VLOOKUP(I$11,'Attrition Modeling'!$L$15:$N$27,IF(I$12-$F28&lt;=24,2,3),FALSE))*(1+IF('Traditional Attrition'!I150&gt;0,'Attrition Modeling'!$N$9,0))),0))</f>
        <v>0</v>
      </c>
      <c r="J28" s="799">
        <f>IF(J$12=$F28+1,IF(Monthly!F$4=TRUE,0,J$3),IF(J$12&gt;$F28+1,RentalsVacates!I28*(1-IF(J$12-$F28&lt;=12,SUMIFS('Attrition Modeling'!$D:$D,'Attrition Modeling'!$B:$B,$E28,'Attrition Modeling'!$C:$C,J$11),VLOOKUP(RentalsVacates!J$12-RentalsVacates!$F28-1,RentalsVacates!$A$8:$C$162,2,FALSE)*VLOOKUP(J$11,'Attrition Modeling'!$L$15:$N$27,IF(J$12-$F28&lt;=24,2,3),FALSE))*(1+IF('Traditional Attrition'!J150&gt;0,'Attrition Modeling'!$N$9,0))),0))</f>
        <v>0</v>
      </c>
      <c r="K28" s="799">
        <f>IF(K$12=$F28+1,IF(Monthly!G$4=TRUE,0,K$3),IF(K$12&gt;$F28+1,RentalsVacates!J28*(1-IF(K$12-$F28&lt;=12,SUMIFS('Attrition Modeling'!$D:$D,'Attrition Modeling'!$B:$B,$E28,'Attrition Modeling'!$C:$C,K$11),VLOOKUP(RentalsVacates!K$12-RentalsVacates!$F28-1,RentalsVacates!$A$8:$C$162,2,FALSE)*VLOOKUP(K$11,'Attrition Modeling'!$L$15:$N$27,IF(K$12-$F28&lt;=24,2,3),FALSE))*(1+IF('Traditional Attrition'!K150&gt;0,'Attrition Modeling'!$N$9,0))),0))</f>
        <v>0</v>
      </c>
      <c r="L28" s="799">
        <f>IF(L$12=$F28+1,IF(Monthly!H$4=TRUE,0,L$3),IF(L$12&gt;$F28+1,RentalsVacates!K28*(1-IF(L$12-$F28&lt;=12,SUMIFS('Attrition Modeling'!$D:$D,'Attrition Modeling'!$B:$B,$E28,'Attrition Modeling'!$C:$C,L$11),VLOOKUP(RentalsVacates!L$12-RentalsVacates!$F28-1,RentalsVacates!$A$8:$C$162,2,FALSE)*VLOOKUP(L$11,'Attrition Modeling'!$L$15:$N$27,IF(L$12-$F28&lt;=24,2,3),FALSE))*(1+IF('Traditional Attrition'!L150&gt;0,'Attrition Modeling'!$N$9,0))),0))</f>
        <v>0</v>
      </c>
      <c r="M28" s="799">
        <f>IF(M$12=$F28+1,IF(Monthly!I$4=TRUE,0,M$3),IF(M$12&gt;$F28+1,RentalsVacates!L28*(1-IF(M$12-$F28&lt;=12,SUMIFS('Attrition Modeling'!$D:$D,'Attrition Modeling'!$B:$B,$E28,'Attrition Modeling'!$C:$C,M$11),VLOOKUP(RentalsVacates!M$12-RentalsVacates!$F28-1,RentalsVacates!$A$8:$C$162,2,FALSE)*VLOOKUP(M$11,'Attrition Modeling'!$L$15:$N$27,IF(M$12-$F28&lt;=24,2,3),FALSE))*(1+IF('Traditional Attrition'!M150&gt;0,'Attrition Modeling'!$N$9,0))),0))</f>
        <v>0</v>
      </c>
      <c r="N28" s="799">
        <f>IF(N$12=$F28+1,IF(Monthly!J$4=TRUE,0,N$3),IF(N$12&gt;$F28+1,RentalsVacates!M28*(1-IF(N$12-$F28&lt;=12,SUMIFS('Attrition Modeling'!$D:$D,'Attrition Modeling'!$B:$B,$E28,'Attrition Modeling'!$C:$C,N$11),VLOOKUP(RentalsVacates!N$12-RentalsVacates!$F28-1,RentalsVacates!$A$8:$C$162,2,FALSE)*VLOOKUP(N$11,'Attrition Modeling'!$L$15:$N$27,IF(N$12-$F28&lt;=24,2,3),FALSE))*(1+IF('Traditional Attrition'!N150&gt;0,'Attrition Modeling'!$N$9,0))),0))</f>
        <v>0</v>
      </c>
      <c r="O28" s="799">
        <f>IF(O$12=$F28+1,IF(Monthly!K$4=TRUE,0,O$3),IF(O$12&gt;$F28+1,RentalsVacates!N28*(1-IF(O$12-$F28&lt;=12,SUMIFS('Attrition Modeling'!$D:$D,'Attrition Modeling'!$B:$B,$E28,'Attrition Modeling'!$C:$C,O$11),VLOOKUP(RentalsVacates!O$12-RentalsVacates!$F28-1,RentalsVacates!$A$8:$C$162,2,FALSE)*VLOOKUP(O$11,'Attrition Modeling'!$L$15:$N$27,IF(O$12-$F28&lt;=24,2,3),FALSE))*(1+IF('Traditional Attrition'!O150&gt;0,'Attrition Modeling'!$N$9,0))),0))</f>
        <v>0</v>
      </c>
      <c r="P28" s="799">
        <f>IF(P$12=$F28+1,IF(Monthly!L$4=TRUE,0,P$3),IF(P$12&gt;$F28+1,RentalsVacates!O28*(1-IF(P$12-$F28&lt;=12,SUMIFS('Attrition Modeling'!$D:$D,'Attrition Modeling'!$B:$B,$E28,'Attrition Modeling'!$C:$C,P$11),VLOOKUP(RentalsVacates!P$12-RentalsVacates!$F28-1,RentalsVacates!$A$8:$C$162,2,FALSE)*VLOOKUP(P$11,'Attrition Modeling'!$L$15:$N$27,IF(P$12-$F28&lt;=24,2,3),FALSE))*(1+IF('Traditional Attrition'!P150&gt;0,'Attrition Modeling'!$N$9,0))),0))</f>
        <v>0</v>
      </c>
      <c r="Q28" s="799">
        <f>IF(Q$12=$F28+1,IF(Monthly!M$4=TRUE,0,Q$3),IF(Q$12&gt;$F28+1,RentalsVacates!P28*(1-IF(Q$12-$F28&lt;=12,SUMIFS('Attrition Modeling'!$D:$D,'Attrition Modeling'!$B:$B,$E28,'Attrition Modeling'!$C:$C,Q$11),VLOOKUP(RentalsVacates!Q$12-RentalsVacates!$F28-1,RentalsVacates!$A$8:$C$162,2,FALSE)*VLOOKUP(Q$11,'Attrition Modeling'!$L$15:$N$27,IF(Q$12-$F28&lt;=24,2,3),FALSE))*(1+IF('Traditional Attrition'!Q150&gt;0,'Attrition Modeling'!$N$9,0))),0))</f>
        <v>0</v>
      </c>
      <c r="R28" s="799">
        <f>IF(R$12=$F28+1,IF(Monthly!N$4=TRUE,0,R$3),IF(R$12&gt;$F28+1,RentalsVacates!Q28*(1-IF(R$12-$F28&lt;=12,SUMIFS('Attrition Modeling'!$D:$D,'Attrition Modeling'!$B:$B,$E28,'Attrition Modeling'!$C:$C,R$11),VLOOKUP(RentalsVacates!R$12-RentalsVacates!$F28-1,RentalsVacates!$A$8:$C$162,2,FALSE)*VLOOKUP(R$11,'Attrition Modeling'!$L$15:$N$27,IF(R$12-$F28&lt;=24,2,3),FALSE))*(1+IF('Traditional Attrition'!R150&gt;0,'Attrition Modeling'!$N$9,0))),0))</f>
        <v>0</v>
      </c>
      <c r="S28" s="799">
        <f>IF(S$12=$F28+1,IF(Monthly!O$4=TRUE,0,S$3),IF(S$12&gt;$F28+1,RentalsVacates!R28*(1-IF(S$12-$F28&lt;=12,SUMIFS('Attrition Modeling'!$D:$D,'Attrition Modeling'!$B:$B,$E28,'Attrition Modeling'!$C:$C,S$11),VLOOKUP(RentalsVacates!S$12-RentalsVacates!$F28-1,RentalsVacates!$A$8:$C$162,2,FALSE)*VLOOKUP(S$11,'Attrition Modeling'!$L$15:$N$27,IF(S$12-$F28&lt;=24,2,3),FALSE))*(1+IF('Traditional Attrition'!S150&gt;0,'Attrition Modeling'!$N$9,0))),0))</f>
        <v>0</v>
      </c>
      <c r="T28" s="799">
        <f>IF(T$12=$F28+1,IF(Monthly!P$4=TRUE,0,T$3),IF(T$12&gt;$F28+1,RentalsVacates!S28*(1-IF(T$12-$F28&lt;=12,SUMIFS('Attrition Modeling'!$D:$D,'Attrition Modeling'!$B:$B,$E28,'Attrition Modeling'!$C:$C,T$11),VLOOKUP(RentalsVacates!T$12-RentalsVacates!$F28-1,RentalsVacates!$A$8:$C$162,2,FALSE)*VLOOKUP(T$11,'Attrition Modeling'!$L$15:$N$27,IF(T$12-$F28&lt;=24,2,3),FALSE))*(1+IF('Traditional Attrition'!T150&gt;0,'Attrition Modeling'!$N$9,0))),0))</f>
        <v>0</v>
      </c>
      <c r="U28" s="799">
        <f>IF(U$12=$F28+1,IF(Monthly!Q$4=TRUE,0,U$3),IF(U$12&gt;$F28+1,RentalsVacates!T28*(1-IF(U$12-$F28&lt;=12,SUMIFS('Attrition Modeling'!$D:$D,'Attrition Modeling'!$B:$B,$E28,'Attrition Modeling'!$C:$C,U$11),VLOOKUP(RentalsVacates!U$12-RentalsVacates!$F28-1,RentalsVacates!$A$8:$C$162,2,FALSE)*VLOOKUP(U$11,'Attrition Modeling'!$L$15:$N$27,IF(U$12-$F28&lt;=24,2,3),FALSE))*(1+IF('Traditional Attrition'!U150&gt;0,'Attrition Modeling'!$N$9,0))),0))</f>
        <v>0</v>
      </c>
      <c r="V28" s="799">
        <f>IF(V$12=$F28+1,IF(Monthly!R$4=TRUE,0,V$3),IF(V$12&gt;$F28+1,RentalsVacates!U28*(1-IF(V$12-$F28&lt;=12,SUMIFS('Attrition Modeling'!$D:$D,'Attrition Modeling'!$B:$B,$E28,'Attrition Modeling'!$C:$C,V$11),VLOOKUP(RentalsVacates!V$12-RentalsVacates!$F28-1,RentalsVacates!$A$8:$C$162,2,FALSE)*VLOOKUP(V$11,'Attrition Modeling'!$L$15:$N$27,IF(V$12-$F28&lt;=24,2,3),FALSE))*(1+IF('Traditional Attrition'!V150&gt;0,'Attrition Modeling'!$N$9,0))),0))</f>
        <v>0</v>
      </c>
      <c r="W28" s="799">
        <f>IF(W$12=$F28+1,IF(Monthly!S$4=TRUE,0,W$3),IF(W$12&gt;$F28+1,RentalsVacates!V28*(1-IF(W$12-$F28&lt;=12,SUMIFS('Attrition Modeling'!$D:$D,'Attrition Modeling'!$B:$B,$E28,'Attrition Modeling'!$C:$C,W$11),VLOOKUP(RentalsVacates!W$12-RentalsVacates!$F28-1,RentalsVacates!$A$8:$C$162,2,FALSE)*VLOOKUP(W$11,'Attrition Modeling'!$L$15:$N$27,IF(W$12-$F28&lt;=24,2,3),FALSE))*(1+IF('Traditional Attrition'!W150&gt;0,'Attrition Modeling'!$N$9,0))),0))</f>
        <v>6522.2930485913312</v>
      </c>
      <c r="X28" s="799">
        <f>IF(X$12=$F28+1,IF(Monthly!T$4=TRUE,0,X$3),IF(X$12&gt;$F28+1,RentalsVacates!W28*(1-IF(X$12-$F28&lt;=12,SUMIFS('Attrition Modeling'!$D:$D,'Attrition Modeling'!$B:$B,$E28,'Attrition Modeling'!$C:$C,X$11),VLOOKUP(RentalsVacates!X$12-RentalsVacates!$F28-1,RentalsVacates!$A$8:$C$162,2,FALSE)*VLOOKUP(X$11,'Attrition Modeling'!$L$15:$N$27,IF(X$12-$F28&lt;=24,2,3),FALSE))*(1+IF('Traditional Attrition'!X150&gt;0,'Attrition Modeling'!$N$9,0))),0))</f>
        <v>5909.7312212639117</v>
      </c>
      <c r="Y28" s="799">
        <f>IF(Y$12=$F28+1,IF(Monthly!U$4=TRUE,0,Y$3),IF(Y$12&gt;$F28+1,RentalsVacates!X28*(1-IF(Y$12-$F28&lt;=12,SUMIFS('Attrition Modeling'!$D:$D,'Attrition Modeling'!$B:$B,$E28,'Attrition Modeling'!$C:$C,Y$11),VLOOKUP(RentalsVacates!Y$12-RentalsVacates!$F28-1,RentalsVacates!$A$8:$C$162,2,FALSE)*VLOOKUP(Y$11,'Attrition Modeling'!$L$15:$N$27,IF(Y$12-$F28&lt;=24,2,3),FALSE))*(1+IF('Traditional Attrition'!Y150&gt;0,'Attrition Modeling'!$N$9,0))),0))</f>
        <v>5379.1770636404835</v>
      </c>
      <c r="Z28" s="799">
        <f>IF(Z$12=$F28+1,IF(Monthly!V$4=TRUE,0,Z$3),IF(Z$12&gt;$F28+1,RentalsVacates!Y28*(1-IF(Z$12-$F28&lt;=12,SUMIFS('Attrition Modeling'!$D:$D,'Attrition Modeling'!$B:$B,$E28,'Attrition Modeling'!$C:$C,Z$11),VLOOKUP(RentalsVacates!Z$12-RentalsVacates!$F28-1,RentalsVacates!$A$8:$C$162,2,FALSE)*VLOOKUP(Z$11,'Attrition Modeling'!$L$15:$N$27,IF(Z$12-$F28&lt;=24,2,3),FALSE))*(1+IF('Traditional Attrition'!Z150&gt;0,'Attrition Modeling'!$N$9,0))),0))</f>
        <v>4898.1984844127765</v>
      </c>
      <c r="AA28" s="799">
        <f>IF(AA$12=$F28+1,IF(Monthly!W$4=TRUE,0,AA$3),IF(AA$12&gt;$F28+1,RentalsVacates!Z28*(1-IF(AA$12-$F28&lt;=12,SUMIFS('Attrition Modeling'!$D:$D,'Attrition Modeling'!$B:$B,$E28,'Attrition Modeling'!$C:$C,AA$11),VLOOKUP(RentalsVacates!AA$12-RentalsVacates!$F28-1,RentalsVacates!$A$8:$C$162,2,FALSE)*VLOOKUP(AA$11,'Attrition Modeling'!$L$15:$N$27,IF(AA$12-$F28&lt;=24,2,3),FALSE))*(1+IF('Traditional Attrition'!AA150&gt;0,'Attrition Modeling'!$N$9,0))),0))</f>
        <v>4470.8388466392307</v>
      </c>
      <c r="AB28" s="799">
        <f>IF(AB$12=$F28+1,IF(Monthly!X$4=TRUE,0,AB$3),IF(AB$12&gt;$F28+1,RentalsVacates!AA28*(1-IF(AB$12-$F28&lt;=12,SUMIFS('Attrition Modeling'!$D:$D,'Attrition Modeling'!$B:$B,$E28,'Attrition Modeling'!$C:$C,AB$11),VLOOKUP(RentalsVacates!AB$12-RentalsVacates!$F28-1,RentalsVacates!$A$8:$C$162,2,FALSE)*VLOOKUP(AB$11,'Attrition Modeling'!$L$15:$N$27,IF(AB$12-$F28&lt;=24,2,3),FALSE))*(1+IF('Traditional Attrition'!AB150&gt;0,'Attrition Modeling'!$N$9,0))),0))</f>
        <v>4029.2940272892524</v>
      </c>
      <c r="AC28" s="799">
        <f>IF(AC$12=$F28+1,IF(Monthly!Y$4=TRUE,0,AC$3),IF(AC$12&gt;$F28+1,RentalsVacates!AB28*(1-IF(AC$12-$F28&lt;=12,SUMIFS('Attrition Modeling'!$D:$D,'Attrition Modeling'!$B:$B,$E28,'Attrition Modeling'!$C:$C,AC$11),VLOOKUP(RentalsVacates!AC$12-RentalsVacates!$F28-1,RentalsVacates!$A$8:$C$162,2,FALSE)*VLOOKUP(AC$11,'Attrition Modeling'!$L$15:$N$27,IF(AC$12-$F28&lt;=24,2,3),FALSE))*(1+IF('Traditional Attrition'!AC150&gt;0,'Attrition Modeling'!$N$9,0))),0))</f>
        <v>3709.9342779192007</v>
      </c>
      <c r="AD28" s="799">
        <f>IF(AD$12=$F28+1,IF(Monthly!Z$4=TRUE,0,AD$3),IF(AD$12&gt;$F28+1,RentalsVacates!AC28*(1-IF(AD$12-$F28&lt;=12,SUMIFS('Attrition Modeling'!$D:$D,'Attrition Modeling'!$B:$B,$E28,'Attrition Modeling'!$C:$C,AD$11),VLOOKUP(RentalsVacates!AD$12-RentalsVacates!$F28-1,RentalsVacates!$A$8:$C$162,2,FALSE)*VLOOKUP(AD$11,'Attrition Modeling'!$L$15:$N$27,IF(AD$12-$F28&lt;=24,2,3),FALSE))*(1+IF('Traditional Attrition'!AD150&gt;0,'Attrition Modeling'!$N$9,0))),0))</f>
        <v>3433.2361754704675</v>
      </c>
      <c r="AE28" s="799">
        <f>IF(AE$12=$F28+1,IF(Monthly!AA$4=TRUE,0,AE$3),IF(AE$12&gt;$F28+1,RentalsVacates!AD28*(1-IF(AE$12-$F28&lt;=12,SUMIFS('Attrition Modeling'!$D:$D,'Attrition Modeling'!$B:$B,$E28,'Attrition Modeling'!$C:$C,AE$11),VLOOKUP(RentalsVacates!AE$12-RentalsVacates!$F28-1,RentalsVacates!$A$8:$C$162,2,FALSE)*VLOOKUP(AE$11,'Attrition Modeling'!$L$15:$N$27,IF(AE$12-$F28&lt;=24,2,3),FALSE))*(1+IF('Traditional Attrition'!AE150&gt;0,'Attrition Modeling'!$N$9,0))),0))</f>
        <v>3228.5752335462598</v>
      </c>
      <c r="AF28" s="799">
        <f>IF(AF$12=$F28+1,IF(Monthly!AB$4=TRUE,0,AF$3),IF(AF$12&gt;$F28+1,RentalsVacates!AE28*(1-IF(AF$12-$F28&lt;=12,SUMIFS('Attrition Modeling'!$D:$D,'Attrition Modeling'!$B:$B,$E28,'Attrition Modeling'!$C:$C,AF$11),VLOOKUP(RentalsVacates!AF$12-RentalsVacates!$F28-1,RentalsVacates!$A$8:$C$162,2,FALSE)*VLOOKUP(AF$11,'Attrition Modeling'!$L$15:$N$27,IF(AF$12-$F28&lt;=24,2,3),FALSE))*(1+IF('Traditional Attrition'!AF150&gt;0,'Attrition Modeling'!$N$9,0))),0))</f>
        <v>3047.5045950061071</v>
      </c>
      <c r="AG28" s="799">
        <f>IF(AG$12=$F28+1,IF(Monthly!AC$4=TRUE,0,AG$3),IF(AG$12&gt;$F28+1,RentalsVacates!AF28*(1-IF(AG$12-$F28&lt;=12,SUMIFS('Attrition Modeling'!$D:$D,'Attrition Modeling'!$B:$B,$E28,'Attrition Modeling'!$C:$C,AG$11),VLOOKUP(RentalsVacates!AG$12-RentalsVacates!$F28-1,RentalsVacates!$A$8:$C$162,2,FALSE)*VLOOKUP(AG$11,'Attrition Modeling'!$L$15:$N$27,IF(AG$12-$F28&lt;=24,2,3),FALSE))*(1+IF('Traditional Attrition'!AG150&gt;0,'Attrition Modeling'!$N$9,0))),0))</f>
        <v>2890.3846444017449</v>
      </c>
      <c r="AH28" s="799">
        <f>IF(AH$12=$F28+1,IF(Monthly!AD$4=TRUE,0,AH$3),IF(AH$12&gt;$F28+1,RentalsVacates!AG28*(1-IF(AH$12-$F28&lt;=12,SUMIFS('Attrition Modeling'!$D:$D,'Attrition Modeling'!$B:$B,$E28,'Attrition Modeling'!$C:$C,AH$11),VLOOKUP(RentalsVacates!AH$12-RentalsVacates!$F28-1,RentalsVacates!$A$8:$C$162,2,FALSE)*VLOOKUP(AH$11,'Attrition Modeling'!$L$15:$N$27,IF(AH$12-$F28&lt;=24,2,3),FALSE))*(1+IF('Traditional Attrition'!AH150&gt;0,'Attrition Modeling'!$N$9,0))),0))</f>
        <v>2797.8287473187124</v>
      </c>
      <c r="AI28" s="799">
        <f>IF(AI$12=$F28+1,IF(Monthly!AE$4=TRUE,0,AI$3),IF(AI$12&gt;$F28+1,RentalsVacates!AH28*(1-IF(AI$12-$F28&lt;=12,SUMIFS('Attrition Modeling'!$D:$D,'Attrition Modeling'!$B:$B,$E28,'Attrition Modeling'!$C:$C,AI$11),VLOOKUP(RentalsVacates!AI$12-RentalsVacates!$F28-1,RentalsVacates!$A$8:$C$162,2,FALSE)*VLOOKUP(AI$11,'Attrition Modeling'!$L$15:$N$27,IF(AI$12-$F28&lt;=24,2,3),FALSE))*(1+IF('Traditional Attrition'!AI150&gt;0,'Attrition Modeling'!$N$9,0))),0))</f>
        <v>2652.397914641268</v>
      </c>
      <c r="AJ28" s="799">
        <f>IF(AJ$12=$F28+1,IF(Monthly!AF$4=TRUE,0,AJ$3),IF(AJ$12&gt;$F28+1,RentalsVacates!AI28*(1-IF(AJ$12-$F28&lt;=12,SUMIFS('Attrition Modeling'!$D:$D,'Attrition Modeling'!$B:$B,$E28,'Attrition Modeling'!$C:$C,AJ$11),VLOOKUP(RentalsVacates!AJ$12-RentalsVacates!$F28-1,RentalsVacates!$A$8:$C$162,2,FALSE)*VLOOKUP(AJ$11,'Attrition Modeling'!$L$15:$N$27,IF(AJ$12-$F28&lt;=24,2,3),FALSE))*(1+IF('Traditional Attrition'!AJ150&gt;0,'Attrition Modeling'!$N$9,0))),0))</f>
        <v>2526.084342754189</v>
      </c>
      <c r="AK28" s="799">
        <f>IF(AK$12=$F28+1,IF(Monthly!AG$4=TRUE,0,AK$3),IF(AK$12&gt;$F28+1,RentalsVacates!AJ28*(1-IF(AK$12-$F28&lt;=12,SUMIFS('Attrition Modeling'!$D:$D,'Attrition Modeling'!$B:$B,$E28,'Attrition Modeling'!$C:$C,AK$11),VLOOKUP(RentalsVacates!AK$12-RentalsVacates!$F28-1,RentalsVacates!$A$8:$C$162,2,FALSE)*VLOOKUP(AK$11,'Attrition Modeling'!$L$15:$N$27,IF(AK$12-$F28&lt;=24,2,3),FALSE))*(1+IF('Traditional Attrition'!AK150&gt;0,'Attrition Modeling'!$N$9,0))),0))</f>
        <v>2400.4790436277212</v>
      </c>
      <c r="AL28" s="799">
        <f>IF(AL$12=$F28+1,IF(Monthly!AH$4=TRUE,0,AL$3),IF(AL$12&gt;$F28+1,RentalsVacates!AK28*(1-IF(AL$12-$F28&lt;=12,SUMIFS('Attrition Modeling'!$D:$D,'Attrition Modeling'!$B:$B,$E28,'Attrition Modeling'!$C:$C,AL$11),VLOOKUP(RentalsVacates!AL$12-RentalsVacates!$F28-1,RentalsVacates!$A$8:$C$162,2,FALSE)*VLOOKUP(AL$11,'Attrition Modeling'!$L$15:$N$27,IF(AL$12-$F28&lt;=24,2,3),FALSE))*(1+IF('Traditional Attrition'!AL150&gt;0,'Attrition Modeling'!$N$9,0))),0))</f>
        <v>2282.7573013571036</v>
      </c>
      <c r="AM28" s="799">
        <f>IF(AM$12=$F28+1,IF(Monthly!AI$4=TRUE,0,AM$3),IF(AM$12&gt;$F28+1,RentalsVacates!AL28*(1-IF(AM$12-$F28&lt;=12,SUMIFS('Attrition Modeling'!$D:$D,'Attrition Modeling'!$B:$B,$E28,'Attrition Modeling'!$C:$C,AM$11),VLOOKUP(RentalsVacates!AM$12-RentalsVacates!$F28-1,RentalsVacates!$A$8:$C$162,2,FALSE)*VLOOKUP(AM$11,'Attrition Modeling'!$L$15:$N$27,IF(AM$12-$F28&lt;=24,2,3),FALSE))*(1+IF('Traditional Attrition'!AM150&gt;0,'Attrition Modeling'!$N$9,0))),0))</f>
        <v>2169.2954369379163</v>
      </c>
      <c r="AN28" s="799">
        <f>IF(AN$12=$F28+1,IF(Monthly!AJ$4=TRUE,0,AN$3),IF(AN$12&gt;$F28+1,RentalsVacates!AM28*(1-IF(AN$12-$F28&lt;=12,SUMIFS('Attrition Modeling'!$D:$D,'Attrition Modeling'!$B:$B,$E28,'Attrition Modeling'!$C:$C,AN$11),VLOOKUP(RentalsVacates!AN$12-RentalsVacates!$F28-1,RentalsVacates!$A$8:$C$162,2,FALSE)*VLOOKUP(AN$11,'Attrition Modeling'!$L$15:$N$27,IF(AN$12-$F28&lt;=24,2,3),FALSE))*(1+IF('Traditional Attrition'!AN150&gt;0,'Attrition Modeling'!$N$9,0))),0))</f>
        <v>2054.2323852817885</v>
      </c>
      <c r="AO28" s="799">
        <f>IF(AO$12=$F28+1,IF(Monthly!AK$4=TRUE,0,AO$3),IF(AO$12&gt;$F28+1,RentalsVacates!AN28*(1-IF(AO$12-$F28&lt;=12,SUMIFS('Attrition Modeling'!$D:$D,'Attrition Modeling'!$B:$B,$E28,'Attrition Modeling'!$C:$C,AO$11),VLOOKUP(RentalsVacates!AO$12-RentalsVacates!$F28-1,RentalsVacates!$A$8:$C$162,2,FALSE)*VLOOKUP(AO$11,'Attrition Modeling'!$L$15:$N$27,IF(AO$12-$F28&lt;=24,2,3),FALSE))*(1+IF('Traditional Attrition'!AO150&gt;0,'Attrition Modeling'!$N$9,0))),0))</f>
        <v>1963.325605251629</v>
      </c>
      <c r="AP28" s="799">
        <f>IF(AP$12=$F28+1,IF(Monthly!AL$4=TRUE,0,AP$3),IF(AP$12&gt;$F28+1,RentalsVacates!AO28*(1-IF(AP$12-$F28&lt;=12,SUMIFS('Attrition Modeling'!$D:$D,'Attrition Modeling'!$B:$B,$E28,'Attrition Modeling'!$C:$C,AP$11),VLOOKUP(RentalsVacates!AP$12-RentalsVacates!$F28-1,RentalsVacates!$A$8:$C$162,2,FALSE)*VLOOKUP(AP$11,'Attrition Modeling'!$L$15:$N$27,IF(AP$12-$F28&lt;=24,2,3),FALSE))*(1+IF('Traditional Attrition'!AP150&gt;0,'Attrition Modeling'!$N$9,0))),0))</f>
        <v>1881.3321657163131</v>
      </c>
      <c r="AQ28" s="799">
        <f>IF(AQ$12=$F28+1,IF(Monthly!AM$4=TRUE,0,AQ$3),IF(AQ$12&gt;$F28+1,RentalsVacates!AP28*(1-IF(AQ$12-$F28&lt;=12,SUMIFS('Attrition Modeling'!$D:$D,'Attrition Modeling'!$B:$B,$E28,'Attrition Modeling'!$C:$C,AQ$11),VLOOKUP(RentalsVacates!AQ$12-RentalsVacates!$F28-1,RentalsVacates!$A$8:$C$162,2,FALSE)*VLOOKUP(AQ$11,'Attrition Modeling'!$L$15:$N$27,IF(AQ$12-$F28&lt;=24,2,3),FALSE))*(1+IF('Traditional Attrition'!AQ150&gt;0,'Attrition Modeling'!$N$9,0))),0))</f>
        <v>1804.9165596310968</v>
      </c>
      <c r="AR28" s="799">
        <f>IF(AR$12=$F28+1,IF(Monthly!AN$4=TRUE,0,AR$3),IF(AR$12&gt;$F28+1,RentalsVacates!AQ28*(1-IF(AR$12-$F28&lt;=12,SUMIFS('Attrition Modeling'!$D:$D,'Attrition Modeling'!$B:$B,$E28,'Attrition Modeling'!$C:$C,AR$11),VLOOKUP(RentalsVacates!AR$12-RentalsVacates!$F28-1,RentalsVacates!$A$8:$C$162,2,FALSE)*VLOOKUP(AR$11,'Attrition Modeling'!$L$15:$N$27,IF(AR$12-$F28&lt;=24,2,3),FALSE))*(1+IF('Traditional Attrition'!AR150&gt;0,'Attrition Modeling'!$N$9,0))),0))</f>
        <v>1732.6794871720379</v>
      </c>
      <c r="AS28" s="799">
        <f>IF(AS$12=$F28+1,IF(Monthly!AO$4=TRUE,0,AS$3),IF(AS$12&gt;$F28+1,RentalsVacates!AR28*(1-IF(AS$12-$F28&lt;=12,SUMIFS('Attrition Modeling'!$D:$D,'Attrition Modeling'!$B:$B,$E28,'Attrition Modeling'!$C:$C,AS$11),VLOOKUP(RentalsVacates!AS$12-RentalsVacates!$F28-1,RentalsVacates!$A$8:$C$162,2,FALSE)*VLOOKUP(AS$11,'Attrition Modeling'!$L$15:$N$27,IF(AS$12-$F28&lt;=24,2,3),FALSE))*(1+IF('Traditional Attrition'!AS150&gt;0,'Attrition Modeling'!$N$9,0))),0))</f>
        <v>1671.0158382722809</v>
      </c>
      <c r="AT28" s="799">
        <f>IF(AT$12=$F28+1,IF(Monthly!AP$4=TRUE,0,AT$3),IF(AT$12&gt;$F28+1,RentalsVacates!AS28*(1-IF(AT$12-$F28&lt;=12,SUMIFS('Attrition Modeling'!$D:$D,'Attrition Modeling'!$B:$B,$E28,'Attrition Modeling'!$C:$C,AT$11),VLOOKUP(RentalsVacates!AT$12-RentalsVacates!$F28-1,RentalsVacates!$A$8:$C$162,2,FALSE)*VLOOKUP(AT$11,'Attrition Modeling'!$L$15:$N$27,IF(AT$12-$F28&lt;=24,2,3),FALSE))*(1+IF('Traditional Attrition'!AT150&gt;0,'Attrition Modeling'!$N$9,0))),0))</f>
        <v>1607.1366421139301</v>
      </c>
      <c r="AU28" s="799">
        <f>IF(AU$12=$F28+1,IF(Monthly!AQ$4=TRUE,0,AU$3),IF(AU$12&gt;$F28+1,RentalsVacates!AT28*(1-IF(AU$12-$F28&lt;=12,SUMIFS('Attrition Modeling'!$D:$D,'Attrition Modeling'!$B:$B,$E28,'Attrition Modeling'!$C:$C,AU$11),VLOOKUP(RentalsVacates!AU$12-RentalsVacates!$F28-1,RentalsVacates!$A$8:$C$162,2,FALSE)*VLOOKUP(AU$11,'Attrition Modeling'!$L$15:$N$27,IF(AU$12-$F28&lt;=24,2,3),FALSE))*(1+IF('Traditional Attrition'!AU150&gt;0,'Attrition Modeling'!$N$9,0))),0))</f>
        <v>1564.1658478833115</v>
      </c>
      <c r="AV28" s="799">
        <f>IF(AV$12=$F28+1,IF(Monthly!AR$4=TRUE,0,AV$3),IF(AV$12&gt;$F28+1,RentalsVacates!AU28*(1-IF(AV$12-$F28&lt;=12,SUMIFS('Attrition Modeling'!$D:$D,'Attrition Modeling'!$B:$B,$E28,'Attrition Modeling'!$C:$C,AV$11),VLOOKUP(RentalsVacates!AV$12-RentalsVacates!$F28-1,RentalsVacates!$A$8:$C$162,2,FALSE)*VLOOKUP(AV$11,'Attrition Modeling'!$L$15:$N$27,IF(AV$12-$F28&lt;=24,2,3),FALSE))*(1+IF('Traditional Attrition'!AV150&gt;0,'Attrition Modeling'!$N$9,0))),0))</f>
        <v>1514.3790928729818</v>
      </c>
      <c r="AW28" s="799">
        <f>IF(AW$12=$F28+1,IF(Monthly!AS$4=TRUE,0,AW$3),IF(AW$12&gt;$F28+1,RentalsVacates!AV28*(1-IF(AW$12-$F28&lt;=12,SUMIFS('Attrition Modeling'!$D:$D,'Attrition Modeling'!$B:$B,$E28,'Attrition Modeling'!$C:$C,AW$11),VLOOKUP(RentalsVacates!AW$12-RentalsVacates!$F28-1,RentalsVacates!$A$8:$C$162,2,FALSE)*VLOOKUP(AW$11,'Attrition Modeling'!$L$15:$N$27,IF(AW$12-$F28&lt;=24,2,3),FALSE))*(1+IF('Traditional Attrition'!AW150&gt;0,'Attrition Modeling'!$N$9,0))),0))</f>
        <v>1460.1112192840815</v>
      </c>
      <c r="AX28" s="799">
        <f>IF(AX$12=$F28+1,IF(Monthly!AT$4=TRUE,0,AX$3),IF(AX$12&gt;$F28+1,RentalsVacates!AW28*(1-IF(AX$12-$F28&lt;=12,SUMIFS('Attrition Modeling'!$D:$D,'Attrition Modeling'!$B:$B,$E28,'Attrition Modeling'!$C:$C,AX$11),VLOOKUP(RentalsVacates!AX$12-RentalsVacates!$F28-1,RentalsVacates!$A$8:$C$162,2,FALSE)*VLOOKUP(AX$11,'Attrition Modeling'!$L$15:$N$27,IF(AX$12-$F28&lt;=24,2,3),FALSE))*(1+IF('Traditional Attrition'!AX150&gt;0,'Attrition Modeling'!$N$9,0))),0))</f>
        <v>1403.8549860439578</v>
      </c>
      <c r="AY28" s="799">
        <f>IF(AY$12=$F28+1,IF(Monthly!AU$4=TRUE,0,AY$3),IF(AY$12&gt;$F28+1,RentalsVacates!AX28*(1-IF(AY$12-$F28&lt;=12,SUMIFS('Attrition Modeling'!$D:$D,'Attrition Modeling'!$B:$B,$E28,'Attrition Modeling'!$C:$C,AY$11),VLOOKUP(RentalsVacates!AY$12-RentalsVacates!$F28-1,RentalsVacates!$A$8:$C$162,2,FALSE)*VLOOKUP(AY$11,'Attrition Modeling'!$L$15:$N$27,IF(AY$12-$F28&lt;=24,2,3),FALSE))*(1+IF('Traditional Attrition'!AY150&gt;0,'Attrition Modeling'!$N$9,0))),0))</f>
        <v>1346.5170673705957</v>
      </c>
      <c r="AZ28" s="799">
        <f>IF(AZ$12=$F28+1,IF(Monthly!AV$4=TRUE,0,AZ$3),IF(AZ$12&gt;$F28+1,RentalsVacates!AY28*(1-IF(AZ$12-$F28&lt;=12,SUMIFS('Attrition Modeling'!$D:$D,'Attrition Modeling'!$B:$B,$E28,'Attrition Modeling'!$C:$C,AZ$11),VLOOKUP(RentalsVacates!AZ$12-RentalsVacates!$F28-1,RentalsVacates!$A$8:$C$162,2,FALSE)*VLOOKUP(AZ$11,'Attrition Modeling'!$L$15:$N$27,IF(AZ$12-$F28&lt;=24,2,3),FALSE))*(1+IF('Traditional Attrition'!AZ150&gt;0,'Attrition Modeling'!$N$9,0))),0))</f>
        <v>1285.3173645594738</v>
      </c>
      <c r="BA28" s="799">
        <f>IF(BA$12=$F28+1,IF(Monthly!AW$4=TRUE,0,BA$3),IF(BA$12&gt;$F28+1,RentalsVacates!AZ28*(1-IF(BA$12-$F28&lt;=12,SUMIFS('Attrition Modeling'!$D:$D,'Attrition Modeling'!$B:$B,$E28,'Attrition Modeling'!$C:$C,BA$11),VLOOKUP(RentalsVacates!BA$12-RentalsVacates!$F28-1,RentalsVacates!$A$8:$C$162,2,FALSE)*VLOOKUP(BA$11,'Attrition Modeling'!$L$15:$N$27,IF(BA$12-$F28&lt;=24,2,3),FALSE))*(1+IF('Traditional Attrition'!BA150&gt;0,'Attrition Modeling'!$N$9,0))),0))</f>
        <v>1238.8871603904192</v>
      </c>
      <c r="BB28" s="799">
        <f>IF(BB$12=$F28+1,IF(Monthly!AX$4=TRUE,0,BB$3),IF(BB$12&gt;$F28+1,RentalsVacates!BA28*(1-IF(BB$12-$F28&lt;=12,SUMIFS('Attrition Modeling'!$D:$D,'Attrition Modeling'!$B:$B,$E28,'Attrition Modeling'!$C:$C,BB$11),VLOOKUP(RentalsVacates!BB$12-RentalsVacates!$F28-1,RentalsVacates!$A$8:$C$162,2,FALSE)*VLOOKUP(BB$11,'Attrition Modeling'!$L$15:$N$27,IF(BB$12-$F28&lt;=24,2,3),FALSE))*(1+IF('Traditional Attrition'!BB150&gt;0,'Attrition Modeling'!$N$9,0))),0))</f>
        <v>1195.6694985982297</v>
      </c>
      <c r="BC28" s="799">
        <f>IF(BC$12=$F28+1,IF(Monthly!AY$4=TRUE,0,BC$3),IF(BC$12&gt;$F28+1,RentalsVacates!BB28*(1-IF(BC$12-$F28&lt;=12,SUMIFS('Attrition Modeling'!$D:$D,'Attrition Modeling'!$B:$B,$E28,'Attrition Modeling'!$C:$C,BC$11),VLOOKUP(RentalsVacates!BC$12-RentalsVacates!$F28-1,RentalsVacates!$A$8:$C$162,2,FALSE)*VLOOKUP(BC$11,'Attrition Modeling'!$L$15:$N$27,IF(BC$12-$F28&lt;=24,2,3),FALSE))*(1+IF('Traditional Attrition'!BC150&gt;0,'Attrition Modeling'!$N$9,0))),0))</f>
        <v>1161.700270909171</v>
      </c>
      <c r="BD28" s="799">
        <f>IF(BD$12=$F28+1,IF(Monthly!AZ$4=TRUE,0,BD$3),IF(BD$12&gt;$F28+1,RentalsVacates!BC28*(1-IF(BD$12-$F28&lt;=12,SUMIFS('Attrition Modeling'!$D:$D,'Attrition Modeling'!$B:$B,$E28,'Attrition Modeling'!$C:$C,BD$11),VLOOKUP(RentalsVacates!BD$12-RentalsVacates!$F28-1,RentalsVacates!$A$8:$C$162,2,FALSE)*VLOOKUP(BD$11,'Attrition Modeling'!$L$15:$N$27,IF(BD$12-$F28&lt;=24,2,3),FALSE))*(1+IF('Traditional Attrition'!BD150&gt;0,'Attrition Modeling'!$N$9,0))),0))</f>
        <v>1125.5805693078573</v>
      </c>
      <c r="BE28" s="799">
        <f>IF(BE$12=$F28+1,IF(Monthly!BA$4=TRUE,0,BE$3),IF(BE$12&gt;$F28+1,RentalsVacates!BD28*(1-IF(BE$12-$F28&lt;=12,SUMIFS('Attrition Modeling'!$D:$D,'Attrition Modeling'!$B:$B,$E28,'Attrition Modeling'!$C:$C,BE$11),VLOOKUP(RentalsVacates!BE$12-RentalsVacates!$F28-1,RentalsVacates!$A$8:$C$162,2,FALSE)*VLOOKUP(BE$11,'Attrition Modeling'!$L$15:$N$27,IF(BE$12-$F28&lt;=24,2,3),FALSE))*(1+IF('Traditional Attrition'!BE150&gt;0,'Attrition Modeling'!$N$9,0))),0))</f>
        <v>1092.0631960456628</v>
      </c>
      <c r="BF28" s="799">
        <f>IF(BF$12=$F28+1,IF(Monthly!BB$4=TRUE,0,BF$3),IF(BF$12&gt;$F28+1,RentalsVacates!BE28*(1-IF(BF$12-$F28&lt;=12,SUMIFS('Attrition Modeling'!$D:$D,'Attrition Modeling'!$B:$B,$E28,'Attrition Modeling'!$C:$C,BF$11),VLOOKUP(RentalsVacates!BF$12-RentalsVacates!$F28-1,RentalsVacates!$A$8:$C$162,2,FALSE)*VLOOKUP(BF$11,'Attrition Modeling'!$L$15:$N$27,IF(BF$12-$F28&lt;=24,2,3),FALSE))*(1+IF('Traditional Attrition'!BF150&gt;0,'Attrition Modeling'!$N$9,0))),0))</f>
        <v>1061.2546458459917</v>
      </c>
      <c r="BG28" s="799">
        <f>IF(BG$12=$F28+1,IF(Monthly!BC$4=TRUE,0,BG$3),IF(BG$12&gt;$F28+1,RentalsVacates!BF28*(1-IF(BG$12-$F28&lt;=12,SUMIFS('Attrition Modeling'!$D:$D,'Attrition Modeling'!$B:$B,$E28,'Attrition Modeling'!$C:$C,BG$11),VLOOKUP(RentalsVacates!BG$12-RentalsVacates!$F28-1,RentalsVacates!$A$8:$C$162,2,FALSE)*VLOOKUP(BG$11,'Attrition Modeling'!$L$15:$N$27,IF(BG$12-$F28&lt;=24,2,3),FALSE))*(1+IF('Traditional Attrition'!BG150&gt;0,'Attrition Modeling'!$N$9,0))),0))</f>
        <v>1037.7028574678425</v>
      </c>
      <c r="BH28" s="799">
        <f>IF(BH$12=$F28+1,IF(Monthly!BD$4=TRUE,0,BH$3),IF(BH$12&gt;$F28+1,RentalsVacates!BG28*(1-IF(BH$12-$F28&lt;=12,SUMIFS('Attrition Modeling'!$D:$D,'Attrition Modeling'!$B:$B,$E28,'Attrition Modeling'!$C:$C,BH$11),VLOOKUP(RentalsVacates!BH$12-RentalsVacates!$F28-1,RentalsVacates!$A$8:$C$162,2,FALSE)*VLOOKUP(BH$11,'Attrition Modeling'!$L$15:$N$27,IF(BH$12-$F28&lt;=24,2,3),FALSE))*(1+IF('Traditional Attrition'!BH150&gt;0,'Attrition Modeling'!$N$9,0))),0))</f>
        <v>1010.1965427407315</v>
      </c>
      <c r="BI28" s="799">
        <f>IF(BI$12=$F28+1,IF(Monthly!BE$4=TRUE,0,BI$3),IF(BI$12&gt;$F28+1,RentalsVacates!BH28*(1-IF(BI$12-$F28&lt;=12,SUMIFS('Attrition Modeling'!$D:$D,'Attrition Modeling'!$B:$B,$E28,'Attrition Modeling'!$C:$C,BI$11),VLOOKUP(RentalsVacates!BI$12-RentalsVacates!$F28-1,RentalsVacates!$A$8:$C$162,2,FALSE)*VLOOKUP(BI$11,'Attrition Modeling'!$L$15:$N$27,IF(BI$12-$F28&lt;=24,2,3),FALSE))*(1+IF('Traditional Attrition'!BI150&gt;0,'Attrition Modeling'!$N$9,0))),0))</f>
        <v>979.95553101101268</v>
      </c>
      <c r="BJ28" s="799">
        <f>IF(BJ$12=$F28+1,IF(Monthly!BF$4=TRUE,0,BJ$3),IF(BJ$12&gt;$F28+1,RentalsVacates!BI28*(1-IF(BJ$12-$F28&lt;=12,SUMIFS('Attrition Modeling'!$D:$D,'Attrition Modeling'!$B:$B,$E28,'Attrition Modeling'!$C:$C,BJ$11),VLOOKUP(RentalsVacates!BJ$12-RentalsVacates!$F28-1,RentalsVacates!$A$8:$C$162,2,FALSE)*VLOOKUP(BJ$11,'Attrition Modeling'!$L$15:$N$27,IF(BJ$12-$F28&lt;=24,2,3),FALSE))*(1+IF('Traditional Attrition'!BJ150&gt;0,'Attrition Modeling'!$N$9,0))),0))</f>
        <v>948.32223922868207</v>
      </c>
      <c r="BK28" s="799">
        <f>IF(BK$12=$F28+1,IF(Monthly!BG$4=TRUE,0,BK$3),IF(BK$12&gt;$F28+1,RentalsVacates!BJ28*(1-IF(BK$12-$F28&lt;=12,SUMIFS('Attrition Modeling'!$D:$D,'Attrition Modeling'!$B:$B,$E28,'Attrition Modeling'!$C:$C,BK$11),VLOOKUP(RentalsVacates!BK$12-RentalsVacates!$F28-1,RentalsVacates!$A$8:$C$162,2,FALSE)*VLOOKUP(BK$11,'Attrition Modeling'!$L$15:$N$27,IF(BK$12-$F28&lt;=24,2,3),FALSE))*(1+IF('Traditional Attrition'!BK150&gt;0,'Attrition Modeling'!$N$9,0))),0))</f>
        <v>915.78173787131652</v>
      </c>
      <c r="BL28" s="799">
        <f>IF(BL$12=$F28+1,IF(Monthly!BH$4=TRUE,0,BL$3),IF(BL$12&gt;$F28+1,RentalsVacates!BK28*(1-IF(BL$12-$F28&lt;=12,SUMIFS('Attrition Modeling'!$D:$D,'Attrition Modeling'!$B:$B,$E28,'Attrition Modeling'!$C:$C,BL$11),VLOOKUP(RentalsVacates!BL$12-RentalsVacates!$F28-1,RentalsVacates!$A$8:$C$162,2,FALSE)*VLOOKUP(BL$11,'Attrition Modeling'!$L$15:$N$27,IF(BL$12-$F28&lt;=24,2,3),FALSE))*(1+IF('Traditional Attrition'!BL150&gt;0,'Attrition Modeling'!$N$9,0))),0))</f>
        <v>880.72238663034477</v>
      </c>
      <c r="BM28" s="799">
        <f>IF(BM$12=$F28+1,IF(Monthly!BI$4=TRUE,0,BM$3),IF(BM$12&gt;$F28+1,RentalsVacates!BL28*(1-IF(BM$12-$F28&lt;=12,SUMIFS('Attrition Modeling'!$D:$D,'Attrition Modeling'!$B:$B,$E28,'Attrition Modeling'!$C:$C,BM$11),VLOOKUP(RentalsVacates!BM$12-RentalsVacates!$F28-1,RentalsVacates!$A$8:$C$162,2,FALSE)*VLOOKUP(BM$11,'Attrition Modeling'!$L$15:$N$27,IF(BM$12-$F28&lt;=24,2,3),FALSE))*(1+IF('Traditional Attrition'!BM150&gt;0,'Attrition Modeling'!$N$9,0))),0))</f>
        <v>853.85870341997429</v>
      </c>
      <c r="BN28" s="799">
        <f>IF(BN$12=$F28+1,IF(Monthly!BJ$4=TRUE,0,BN$3),IF(BN$12&gt;$F28+1,RentalsVacates!BM28*(1-IF(BN$12-$F28&lt;=12,SUMIFS('Attrition Modeling'!$D:$D,'Attrition Modeling'!$B:$B,$E28,'Attrition Modeling'!$C:$C,BN$11),VLOOKUP(RentalsVacates!BN$12-RentalsVacates!$F28-1,RentalsVacates!$A$8:$C$162,2,FALSE)*VLOOKUP(BN$11,'Attrition Modeling'!$L$15:$N$27,IF(BN$12-$F28&lt;=24,2,3),FALSE))*(1+IF('Traditional Attrition'!BN150&gt;0,'Attrition Modeling'!$N$9,0))),0))</f>
        <v>828.64975844343746</v>
      </c>
      <c r="BO28" s="799">
        <f>IF(BO$12=$F28+1,IF(Monthly!BK$4=TRUE,0,BO$3),IF(BO$12&gt;$F28+1,RentalsVacates!BN28*(1-IF(BO$12-$F28&lt;=12,SUMIFS('Attrition Modeling'!$D:$D,'Attrition Modeling'!$B:$B,$E28,'Attrition Modeling'!$C:$C,BO$11),VLOOKUP(RentalsVacates!BO$12-RentalsVacates!$F28-1,RentalsVacates!$A$8:$C$162,2,FALSE)*VLOOKUP(BO$11,'Attrition Modeling'!$L$15:$N$27,IF(BO$12-$F28&lt;=24,2,3),FALSE))*(1+IF('Traditional Attrition'!BO150&gt;0,'Attrition Modeling'!$N$9,0))),0))</f>
        <v>808.6818337091255</v>
      </c>
      <c r="BP28" s="799">
        <f>IF(BP$12=$F28+1,IF(Monthly!BL$4=TRUE,0,BP$3),IF(BP$12&gt;$F28+1,RentalsVacates!BO28*(1-IF(BP$12-$F28&lt;=12,SUMIFS('Attrition Modeling'!$D:$D,'Attrition Modeling'!$B:$B,$E28,'Attrition Modeling'!$C:$C,BP$11),VLOOKUP(RentalsVacates!BP$12-RentalsVacates!$F28-1,RentalsVacates!$A$8:$C$162,2,FALSE)*VLOOKUP(BP$11,'Attrition Modeling'!$L$15:$N$27,IF(BP$12-$F28&lt;=24,2,3),FALSE))*(1+IF('Traditional Attrition'!BP150&gt;0,'Attrition Modeling'!$N$9,0))),0))</f>
        <v>787.31142690327351</v>
      </c>
      <c r="BQ28" s="799">
        <f>IF(BQ$12=$F28+1,IF(Monthly!BM$4=TRUE,0,BQ$3),IF(BQ$12&gt;$F28+1,RentalsVacates!BP28*(1-IF(BQ$12-$F28&lt;=12,SUMIFS('Attrition Modeling'!$D:$D,'Attrition Modeling'!$B:$B,$E28,'Attrition Modeling'!$C:$C,BQ$11),VLOOKUP(RentalsVacates!BQ$12-RentalsVacates!$F28-1,RentalsVacates!$A$8:$C$162,2,FALSE)*VLOOKUP(BQ$11,'Attrition Modeling'!$L$15:$N$27,IF(BQ$12-$F28&lt;=24,2,3),FALSE))*(1+IF('Traditional Attrition'!BQ150&gt;0,'Attrition Modeling'!$N$9,0))),0))</f>
        <v>767.3461387088056</v>
      </c>
      <c r="BR28" s="799">
        <f>IF(BR$12=$F28+1,IF(Monthly!BN$4=TRUE,0,BR$3),IF(BR$12&gt;$F28+1,RentalsVacates!BQ28*(1-IF(BR$12-$F28&lt;=12,SUMIFS('Attrition Modeling'!$D:$D,'Attrition Modeling'!$B:$B,$E28,'Attrition Modeling'!$C:$C,BR$11),VLOOKUP(RentalsVacates!BR$12-RentalsVacates!$F28-1,RentalsVacates!$A$8:$C$162,2,FALSE)*VLOOKUP(BR$11,'Attrition Modeling'!$L$15:$N$27,IF(BR$12-$F28&lt;=24,2,3),FALSE))*(1+IF('Traditional Attrition'!BR150&gt;0,'Attrition Modeling'!$N$9,0))),0))</f>
        <v>748.87654943144571</v>
      </c>
      <c r="BS28" s="799">
        <f>IF(BS$12=$F28+1,IF(Monthly!BO$4=TRUE,0,BS$3),IF(BS$12&gt;$F28+1,RentalsVacates!BR28*(1-IF(BS$12-$F28&lt;=12,SUMIFS('Attrition Modeling'!$D:$D,'Attrition Modeling'!$B:$B,$E28,'Attrition Modeling'!$C:$C,BS$11),VLOOKUP(RentalsVacates!BS$12-RentalsVacates!$F28-1,RentalsVacates!$A$8:$C$162,2,FALSE)*VLOOKUP(BS$11,'Attrition Modeling'!$L$15:$N$27,IF(BS$12-$F28&lt;=24,2,3),FALSE))*(1+IF('Traditional Attrition'!BS150&gt;0,'Attrition Modeling'!$N$9,0))),0))</f>
        <v>734.76759092274665</v>
      </c>
      <c r="BT28" s="799">
        <f>IF(BT$11=$F27+1,IF(Monthly!#REF!=TRUE,0,BT$3),IF(BT$11&gt;$F27+1,RentalsVacates!BS27*(1-IF(BT$11-$F27&lt;=12,SUMIFS('Attrition Modeling'!$D:$D,'Attrition Modeling'!$B:$B,$E27,'Attrition Modeling'!$C:$C,BT$10),VLOOKUP(RentalsVacates!BT$11-RentalsVacates!$F27-1,RentalsVacates!$A$7:$C$161,2,FALSE)*VLOOKUP(BT$10,'Attrition Modeling'!$L$15:$N$27,IF(BT$11-$F27&lt;=24,2,3),FALSE))*(1+IF('Traditional Attrition'!BT150&gt;0,'Attrition Modeling'!$N$9,0))),0))</f>
        <v>0</v>
      </c>
      <c r="BU28" s="799">
        <f>IF(BU$11=$F27+1,IF(Monthly!#REF!=TRUE,0,BU$3),IF(BU$11&gt;$F27+1,RentalsVacates!BT27*(1-IF(BU$11-$F27&lt;=12,SUMIFS('Attrition Modeling'!$D:$D,'Attrition Modeling'!$B:$B,$E27,'Attrition Modeling'!$C:$C,BU$10),VLOOKUP(RentalsVacates!BU$11-RentalsVacates!$F27-1,RentalsVacates!$A$7:$C$161,2,FALSE)*VLOOKUP(BU$10,'Attrition Modeling'!$L$15:$N$27,IF(BU$11-$F27&lt;=24,2,3),FALSE))*(1+IF('Traditional Attrition'!BU150&gt;0,'Attrition Modeling'!$N$9,0))),0))</f>
        <v>0</v>
      </c>
    </row>
    <row r="29" spans="1:73" ht="14.25" customHeight="1" x14ac:dyDescent="0.2">
      <c r="A29" s="9">
        <v>21</v>
      </c>
      <c r="B29" s="25">
        <f>MAX('Attrition Modeling'!H25,$C$3)*(1-Summary!$C$20)</f>
        <v>4.0513861247265755E-2</v>
      </c>
      <c r="C29" s="24" t="e">
        <f t="shared" si="2"/>
        <v>#DIV/0!</v>
      </c>
      <c r="E29" s="11">
        <f>'Traditional Attrition'!E86</f>
        <v>4</v>
      </c>
      <c r="F29" s="11">
        <f t="shared" si="4"/>
        <v>16</v>
      </c>
      <c r="G29" s="799"/>
      <c r="H29" s="799">
        <f>IF(H$12=$F29+1,IF(Monthly!D$4=TRUE,0,H$3),IF(H$12&gt;$F29+1,RentalsVacates!G29*(1-IF(H$12-$F29&lt;=12,SUMIFS('Attrition Modeling'!$D:$D,'Attrition Modeling'!$B:$B,$E29,'Attrition Modeling'!$C:$C,H$11),VLOOKUP(RentalsVacates!H$12-RentalsVacates!$F29-1,RentalsVacates!$A$8:$C$162,2,FALSE)*VLOOKUP(H$11,'Attrition Modeling'!$L$15:$N$27,IF(H$12-$F29&lt;=24,2,3),FALSE))*(1+IF('Traditional Attrition'!H151&gt;0,'Attrition Modeling'!$N$9,0))),0))</f>
        <v>0</v>
      </c>
      <c r="I29" s="799">
        <f>IF(I$12=$F29+1,IF(Monthly!E$4=TRUE,0,I$3),IF(I$12&gt;$F29+1,RentalsVacates!H29*(1-IF(I$12-$F29&lt;=12,SUMIFS('Attrition Modeling'!$D:$D,'Attrition Modeling'!$B:$B,$E29,'Attrition Modeling'!$C:$C,I$11),VLOOKUP(RentalsVacates!I$12-RentalsVacates!$F29-1,RentalsVacates!$A$8:$C$162,2,FALSE)*VLOOKUP(I$11,'Attrition Modeling'!$L$15:$N$27,IF(I$12-$F29&lt;=24,2,3),FALSE))*(1+IF('Traditional Attrition'!I151&gt;0,'Attrition Modeling'!$N$9,0))),0))</f>
        <v>0</v>
      </c>
      <c r="J29" s="799">
        <f>IF(J$12=$F29+1,IF(Monthly!F$4=TRUE,0,J$3),IF(J$12&gt;$F29+1,RentalsVacates!I29*(1-IF(J$12-$F29&lt;=12,SUMIFS('Attrition Modeling'!$D:$D,'Attrition Modeling'!$B:$B,$E29,'Attrition Modeling'!$C:$C,J$11),VLOOKUP(RentalsVacates!J$12-RentalsVacates!$F29-1,RentalsVacates!$A$8:$C$162,2,FALSE)*VLOOKUP(J$11,'Attrition Modeling'!$L$15:$N$27,IF(J$12-$F29&lt;=24,2,3),FALSE))*(1+IF('Traditional Attrition'!J151&gt;0,'Attrition Modeling'!$N$9,0))),0))</f>
        <v>0</v>
      </c>
      <c r="K29" s="799">
        <f>IF(K$12=$F29+1,IF(Monthly!G$4=TRUE,0,K$3),IF(K$12&gt;$F29+1,RentalsVacates!J29*(1-IF(K$12-$F29&lt;=12,SUMIFS('Attrition Modeling'!$D:$D,'Attrition Modeling'!$B:$B,$E29,'Attrition Modeling'!$C:$C,K$11),VLOOKUP(RentalsVacates!K$12-RentalsVacates!$F29-1,RentalsVacates!$A$8:$C$162,2,FALSE)*VLOOKUP(K$11,'Attrition Modeling'!$L$15:$N$27,IF(K$12-$F29&lt;=24,2,3),FALSE))*(1+IF('Traditional Attrition'!K151&gt;0,'Attrition Modeling'!$N$9,0))),0))</f>
        <v>0</v>
      </c>
      <c r="L29" s="799">
        <f>IF(L$12=$F29+1,IF(Monthly!H$4=TRUE,0,L$3),IF(L$12&gt;$F29+1,RentalsVacates!K29*(1-IF(L$12-$F29&lt;=12,SUMIFS('Attrition Modeling'!$D:$D,'Attrition Modeling'!$B:$B,$E29,'Attrition Modeling'!$C:$C,L$11),VLOOKUP(RentalsVacates!L$12-RentalsVacates!$F29-1,RentalsVacates!$A$8:$C$162,2,FALSE)*VLOOKUP(L$11,'Attrition Modeling'!$L$15:$N$27,IF(L$12-$F29&lt;=24,2,3),FALSE))*(1+IF('Traditional Attrition'!L151&gt;0,'Attrition Modeling'!$N$9,0))),0))</f>
        <v>0</v>
      </c>
      <c r="M29" s="799">
        <f>IF(M$12=$F29+1,IF(Monthly!I$4=TRUE,0,M$3),IF(M$12&gt;$F29+1,RentalsVacates!L29*(1-IF(M$12-$F29&lt;=12,SUMIFS('Attrition Modeling'!$D:$D,'Attrition Modeling'!$B:$B,$E29,'Attrition Modeling'!$C:$C,M$11),VLOOKUP(RentalsVacates!M$12-RentalsVacates!$F29-1,RentalsVacates!$A$8:$C$162,2,FALSE)*VLOOKUP(M$11,'Attrition Modeling'!$L$15:$N$27,IF(M$12-$F29&lt;=24,2,3),FALSE))*(1+IF('Traditional Attrition'!M151&gt;0,'Attrition Modeling'!$N$9,0))),0))</f>
        <v>0</v>
      </c>
      <c r="N29" s="799">
        <f>IF(N$12=$F29+1,IF(Monthly!J$4=TRUE,0,N$3),IF(N$12&gt;$F29+1,RentalsVacates!M29*(1-IF(N$12-$F29&lt;=12,SUMIFS('Attrition Modeling'!$D:$D,'Attrition Modeling'!$B:$B,$E29,'Attrition Modeling'!$C:$C,N$11),VLOOKUP(RentalsVacates!N$12-RentalsVacates!$F29-1,RentalsVacates!$A$8:$C$162,2,FALSE)*VLOOKUP(N$11,'Attrition Modeling'!$L$15:$N$27,IF(N$12-$F29&lt;=24,2,3),FALSE))*(1+IF('Traditional Attrition'!N151&gt;0,'Attrition Modeling'!$N$9,0))),0))</f>
        <v>0</v>
      </c>
      <c r="O29" s="799">
        <f>IF(O$12=$F29+1,IF(Monthly!K$4=TRUE,0,O$3),IF(O$12&gt;$F29+1,RentalsVacates!N29*(1-IF(O$12-$F29&lt;=12,SUMIFS('Attrition Modeling'!$D:$D,'Attrition Modeling'!$B:$B,$E29,'Attrition Modeling'!$C:$C,O$11),VLOOKUP(RentalsVacates!O$12-RentalsVacates!$F29-1,RentalsVacates!$A$8:$C$162,2,FALSE)*VLOOKUP(O$11,'Attrition Modeling'!$L$15:$N$27,IF(O$12-$F29&lt;=24,2,3),FALSE))*(1+IF('Traditional Attrition'!O151&gt;0,'Attrition Modeling'!$N$9,0))),0))</f>
        <v>0</v>
      </c>
      <c r="P29" s="799">
        <f>IF(P$12=$F29+1,IF(Monthly!L$4=TRUE,0,P$3),IF(P$12&gt;$F29+1,RentalsVacates!O29*(1-IF(P$12-$F29&lt;=12,SUMIFS('Attrition Modeling'!$D:$D,'Attrition Modeling'!$B:$B,$E29,'Attrition Modeling'!$C:$C,P$11),VLOOKUP(RentalsVacates!P$12-RentalsVacates!$F29-1,RentalsVacates!$A$8:$C$162,2,FALSE)*VLOOKUP(P$11,'Attrition Modeling'!$L$15:$N$27,IF(P$12-$F29&lt;=24,2,3),FALSE))*(1+IF('Traditional Attrition'!P151&gt;0,'Attrition Modeling'!$N$9,0))),0))</f>
        <v>0</v>
      </c>
      <c r="Q29" s="799">
        <f>IF(Q$12=$F29+1,IF(Monthly!M$4=TRUE,0,Q$3),IF(Q$12&gt;$F29+1,RentalsVacates!P29*(1-IF(Q$12-$F29&lt;=12,SUMIFS('Attrition Modeling'!$D:$D,'Attrition Modeling'!$B:$B,$E29,'Attrition Modeling'!$C:$C,Q$11),VLOOKUP(RentalsVacates!Q$12-RentalsVacates!$F29-1,RentalsVacates!$A$8:$C$162,2,FALSE)*VLOOKUP(Q$11,'Attrition Modeling'!$L$15:$N$27,IF(Q$12-$F29&lt;=24,2,3),FALSE))*(1+IF('Traditional Attrition'!Q151&gt;0,'Attrition Modeling'!$N$9,0))),0))</f>
        <v>0</v>
      </c>
      <c r="R29" s="799">
        <f>IF(R$12=$F29+1,IF(Monthly!N$4=TRUE,0,R$3),IF(R$12&gt;$F29+1,RentalsVacates!Q29*(1-IF(R$12-$F29&lt;=12,SUMIFS('Attrition Modeling'!$D:$D,'Attrition Modeling'!$B:$B,$E29,'Attrition Modeling'!$C:$C,R$11),VLOOKUP(RentalsVacates!R$12-RentalsVacates!$F29-1,RentalsVacates!$A$8:$C$162,2,FALSE)*VLOOKUP(R$11,'Attrition Modeling'!$L$15:$N$27,IF(R$12-$F29&lt;=24,2,3),FALSE))*(1+IF('Traditional Attrition'!R151&gt;0,'Attrition Modeling'!$N$9,0))),0))</f>
        <v>0</v>
      </c>
      <c r="S29" s="799">
        <f>IF(S$12=$F29+1,IF(Monthly!O$4=TRUE,0,S$3),IF(S$12&gt;$F29+1,RentalsVacates!R29*(1-IF(S$12-$F29&lt;=12,SUMIFS('Attrition Modeling'!$D:$D,'Attrition Modeling'!$B:$B,$E29,'Attrition Modeling'!$C:$C,S$11),VLOOKUP(RentalsVacates!S$12-RentalsVacates!$F29-1,RentalsVacates!$A$8:$C$162,2,FALSE)*VLOOKUP(S$11,'Attrition Modeling'!$L$15:$N$27,IF(S$12-$F29&lt;=24,2,3),FALSE))*(1+IF('Traditional Attrition'!S151&gt;0,'Attrition Modeling'!$N$9,0))),0))</f>
        <v>0</v>
      </c>
      <c r="T29" s="799">
        <f>IF(T$12=$F29+1,IF(Monthly!P$4=TRUE,0,T$3),IF(T$12&gt;$F29+1,RentalsVacates!S29*(1-IF(T$12-$F29&lt;=12,SUMIFS('Attrition Modeling'!$D:$D,'Attrition Modeling'!$B:$B,$E29,'Attrition Modeling'!$C:$C,T$11),VLOOKUP(RentalsVacates!T$12-RentalsVacates!$F29-1,RentalsVacates!$A$8:$C$162,2,FALSE)*VLOOKUP(T$11,'Attrition Modeling'!$L$15:$N$27,IF(T$12-$F29&lt;=24,2,3),FALSE))*(1+IF('Traditional Attrition'!T151&gt;0,'Attrition Modeling'!$N$9,0))),0))</f>
        <v>0</v>
      </c>
      <c r="U29" s="799">
        <f>IF(U$12=$F29+1,IF(Monthly!Q$4=TRUE,0,U$3),IF(U$12&gt;$F29+1,RentalsVacates!T29*(1-IF(U$12-$F29&lt;=12,SUMIFS('Attrition Modeling'!$D:$D,'Attrition Modeling'!$B:$B,$E29,'Attrition Modeling'!$C:$C,U$11),VLOOKUP(RentalsVacates!U$12-RentalsVacates!$F29-1,RentalsVacates!$A$8:$C$162,2,FALSE)*VLOOKUP(U$11,'Attrition Modeling'!$L$15:$N$27,IF(U$12-$F29&lt;=24,2,3),FALSE))*(1+IF('Traditional Attrition'!U151&gt;0,'Attrition Modeling'!$N$9,0))),0))</f>
        <v>0</v>
      </c>
      <c r="V29" s="799">
        <f>IF(V$12=$F29+1,IF(Monthly!R$4=TRUE,0,V$3),IF(V$12&gt;$F29+1,RentalsVacates!U29*(1-IF(V$12-$F29&lt;=12,SUMIFS('Attrition Modeling'!$D:$D,'Attrition Modeling'!$B:$B,$E29,'Attrition Modeling'!$C:$C,V$11),VLOOKUP(RentalsVacates!V$12-RentalsVacates!$F29-1,RentalsVacates!$A$8:$C$162,2,FALSE)*VLOOKUP(V$11,'Attrition Modeling'!$L$15:$N$27,IF(V$12-$F29&lt;=24,2,3),FALSE))*(1+IF('Traditional Attrition'!V151&gt;0,'Attrition Modeling'!$N$9,0))),0))</f>
        <v>0</v>
      </c>
      <c r="W29" s="799">
        <f>IF(W$12=$F29+1,IF(Monthly!S$4=TRUE,0,W$3),IF(W$12&gt;$F29+1,RentalsVacates!V29*(1-IF(W$12-$F29&lt;=12,SUMIFS('Attrition Modeling'!$D:$D,'Attrition Modeling'!$B:$B,$E29,'Attrition Modeling'!$C:$C,W$11),VLOOKUP(RentalsVacates!W$12-RentalsVacates!$F29-1,RentalsVacates!$A$8:$C$162,2,FALSE)*VLOOKUP(W$11,'Attrition Modeling'!$L$15:$N$27,IF(W$12-$F29&lt;=24,2,3),FALSE))*(1+IF('Traditional Attrition'!W151&gt;0,'Attrition Modeling'!$N$9,0))),0))</f>
        <v>0</v>
      </c>
      <c r="X29" s="799">
        <f>IF(X$12=$F29+1,IF(Monthly!T$4=TRUE,0,X$3),IF(X$12&gt;$F29+1,RentalsVacates!W29*(1-IF(X$12-$F29&lt;=12,SUMIFS('Attrition Modeling'!$D:$D,'Attrition Modeling'!$B:$B,$E29,'Attrition Modeling'!$C:$C,X$11),VLOOKUP(RentalsVacates!X$12-RentalsVacates!$F29-1,RentalsVacates!$A$8:$C$162,2,FALSE)*VLOOKUP(X$11,'Attrition Modeling'!$L$15:$N$27,IF(X$12-$F29&lt;=24,2,3),FALSE))*(1+IF('Traditional Attrition'!X151&gt;0,'Attrition Modeling'!$N$9,0))),0))</f>
        <v>8588.3486065996985</v>
      </c>
      <c r="Y29" s="799">
        <f>IF(Y$12=$F29+1,IF(Monthly!U$4=TRUE,0,Y$3),IF(Y$12&gt;$F29+1,RentalsVacates!X29*(1-IF(Y$12-$F29&lt;=12,SUMIFS('Attrition Modeling'!$D:$D,'Attrition Modeling'!$B:$B,$E29,'Attrition Modeling'!$C:$C,Y$11),VLOOKUP(RentalsVacates!Y$12-RentalsVacates!$F29-1,RentalsVacates!$A$8:$C$162,2,FALSE)*VLOOKUP(Y$11,'Attrition Modeling'!$L$15:$N$27,IF(Y$12-$F29&lt;=24,2,3),FALSE))*(1+IF('Traditional Attrition'!Y151&gt;0,'Attrition Modeling'!$N$9,0))),0))</f>
        <v>7736.9690337146594</v>
      </c>
      <c r="Z29" s="799">
        <f>IF(Z$12=$F29+1,IF(Monthly!V$4=TRUE,0,Z$3),IF(Z$12&gt;$F29+1,RentalsVacates!Y29*(1-IF(Z$12-$F29&lt;=12,SUMIFS('Attrition Modeling'!$D:$D,'Attrition Modeling'!$B:$B,$E29,'Attrition Modeling'!$C:$C,Z$11),VLOOKUP(RentalsVacates!Z$12-RentalsVacates!$F29-1,RentalsVacates!$A$8:$C$162,2,FALSE)*VLOOKUP(Z$11,'Attrition Modeling'!$L$15:$N$27,IF(Z$12-$F29&lt;=24,2,3),FALSE))*(1+IF('Traditional Attrition'!Z151&gt;0,'Attrition Modeling'!$N$9,0))),0))</f>
        <v>7020.0341715499699</v>
      </c>
      <c r="AA29" s="799">
        <f>IF(AA$12=$F29+1,IF(Monthly!W$4=TRUE,0,AA$3),IF(AA$12&gt;$F29+1,RentalsVacates!Z29*(1-IF(AA$12-$F29&lt;=12,SUMIFS('Attrition Modeling'!$D:$D,'Attrition Modeling'!$B:$B,$E29,'Attrition Modeling'!$C:$C,AA$11),VLOOKUP(RentalsVacates!AA$12-RentalsVacates!$F29-1,RentalsVacates!$A$8:$C$162,2,FALSE)*VLOOKUP(AA$11,'Attrition Modeling'!$L$15:$N$27,IF(AA$12-$F29&lt;=24,2,3),FALSE))*(1+IF('Traditional Attrition'!AA151&gt;0,'Attrition Modeling'!$N$9,0))),0))</f>
        <v>6296.9306376855457</v>
      </c>
      <c r="AB29" s="799">
        <f>IF(AB$12=$F29+1,IF(Monthly!X$4=TRUE,0,AB$3),IF(AB$12&gt;$F29+1,RentalsVacates!AA29*(1-IF(AB$12-$F29&lt;=12,SUMIFS('Attrition Modeling'!$D:$D,'Attrition Modeling'!$B:$B,$E29,'Attrition Modeling'!$C:$C,AB$11),VLOOKUP(RentalsVacates!AB$12-RentalsVacates!$F29-1,RentalsVacates!$A$8:$C$162,2,FALSE)*VLOOKUP(AB$11,'Attrition Modeling'!$L$15:$N$27,IF(AB$12-$F29&lt;=24,2,3),FALSE))*(1+IF('Traditional Attrition'!AB151&gt;0,'Attrition Modeling'!$N$9,0))),0))</f>
        <v>5784.8201597144935</v>
      </c>
      <c r="AC29" s="799">
        <f>IF(AC$12=$F29+1,IF(Monthly!Y$4=TRUE,0,AC$3),IF(AC$12&gt;$F29+1,RentalsVacates!AB29*(1-IF(AC$12-$F29&lt;=12,SUMIFS('Attrition Modeling'!$D:$D,'Attrition Modeling'!$B:$B,$E29,'Attrition Modeling'!$C:$C,AC$11),VLOOKUP(RentalsVacates!AC$12-RentalsVacates!$F29-1,RentalsVacates!$A$8:$C$162,2,FALSE)*VLOOKUP(AC$11,'Attrition Modeling'!$L$15:$N$27,IF(AC$12-$F29&lt;=24,2,3),FALSE))*(1+IF('Traditional Attrition'!AC151&gt;0,'Attrition Modeling'!$N$9,0))),0))</f>
        <v>5206.9457812526207</v>
      </c>
      <c r="AD29" s="799">
        <f>IF(AD$12=$F29+1,IF(Monthly!Z$4=TRUE,0,AD$3),IF(AD$12&gt;$F29+1,RentalsVacates!AC29*(1-IF(AD$12-$F29&lt;=12,SUMIFS('Attrition Modeling'!$D:$D,'Attrition Modeling'!$B:$B,$E29,'Attrition Modeling'!$C:$C,AD$11),VLOOKUP(RentalsVacates!AD$12-RentalsVacates!$F29-1,RentalsVacates!$A$8:$C$162,2,FALSE)*VLOOKUP(AD$11,'Attrition Modeling'!$L$15:$N$27,IF(AD$12-$F29&lt;=24,2,3),FALSE))*(1+IF('Traditional Attrition'!AD151&gt;0,'Attrition Modeling'!$N$9,0))),0))</f>
        <v>4798.9091506756604</v>
      </c>
      <c r="AE29" s="799">
        <f>IF(AE$12=$F29+1,IF(Monthly!AA$4=TRUE,0,AE$3),IF(AE$12&gt;$F29+1,RentalsVacates!AD29*(1-IF(AE$12-$F29&lt;=12,SUMIFS('Attrition Modeling'!$D:$D,'Attrition Modeling'!$B:$B,$E29,'Attrition Modeling'!$C:$C,AE$11),VLOOKUP(RentalsVacates!AE$12-RentalsVacates!$F29-1,RentalsVacates!$A$8:$C$162,2,FALSE)*VLOOKUP(AE$11,'Attrition Modeling'!$L$15:$N$27,IF(AE$12-$F29&lt;=24,2,3),FALSE))*(1+IF('Traditional Attrition'!AE151&gt;0,'Attrition Modeling'!$N$9,0))),0))</f>
        <v>4477.6870163005506</v>
      </c>
      <c r="AF29" s="799">
        <f>IF(AF$12=$F29+1,IF(Monthly!AB$4=TRUE,0,AF$3),IF(AF$12&gt;$F29+1,RentalsVacates!AE29*(1-IF(AF$12-$F29&lt;=12,SUMIFS('Attrition Modeling'!$D:$D,'Attrition Modeling'!$B:$B,$E29,'Attrition Modeling'!$C:$C,AF$11),VLOOKUP(RentalsVacates!AF$12-RentalsVacates!$F29-1,RentalsVacates!$A$8:$C$162,2,FALSE)*VLOOKUP(AF$11,'Attrition Modeling'!$L$15:$N$27,IF(AF$12-$F29&lt;=24,2,3),FALSE))*(1+IF('Traditional Attrition'!AF151&gt;0,'Attrition Modeling'!$N$9,0))),0))</f>
        <v>4195.2521166222859</v>
      </c>
      <c r="AG29" s="799">
        <f>IF(AG$12=$F29+1,IF(Monthly!AC$4=TRUE,0,AG$3),IF(AG$12&gt;$F29+1,RentalsVacates!AF29*(1-IF(AG$12-$F29&lt;=12,SUMIFS('Attrition Modeling'!$D:$D,'Attrition Modeling'!$B:$B,$E29,'Attrition Modeling'!$C:$C,AG$11),VLOOKUP(RentalsVacates!AG$12-RentalsVacates!$F29-1,RentalsVacates!$A$8:$C$162,2,FALSE)*VLOOKUP(AG$11,'Attrition Modeling'!$L$15:$N$27,IF(AG$12-$F29&lt;=24,2,3),FALSE))*(1+IF('Traditional Attrition'!AG151&gt;0,'Attrition Modeling'!$N$9,0))),0))</f>
        <v>3976.5681813076108</v>
      </c>
      <c r="AH29" s="799">
        <f>IF(AH$12=$F29+1,IF(Monthly!AD$4=TRUE,0,AH$3),IF(AH$12&gt;$F29+1,RentalsVacates!AG29*(1-IF(AH$12-$F29&lt;=12,SUMIFS('Attrition Modeling'!$D:$D,'Attrition Modeling'!$B:$B,$E29,'Attrition Modeling'!$C:$C,AH$11),VLOOKUP(RentalsVacates!AH$12-RentalsVacates!$F29-1,RentalsVacates!$A$8:$C$162,2,FALSE)*VLOOKUP(AH$11,'Attrition Modeling'!$L$15:$N$27,IF(AH$12-$F29&lt;=24,2,3),FALSE))*(1+IF('Traditional Attrition'!AH151&gt;0,'Attrition Modeling'!$N$9,0))),0))</f>
        <v>3767.5383239955854</v>
      </c>
      <c r="AI29" s="799">
        <f>IF(AI$12=$F29+1,IF(Monthly!AE$4=TRUE,0,AI$3),IF(AI$12&gt;$F29+1,RentalsVacates!AH29*(1-IF(AI$12-$F29&lt;=12,SUMIFS('Attrition Modeling'!$D:$D,'Attrition Modeling'!$B:$B,$E29,'Attrition Modeling'!$C:$C,AI$11),VLOOKUP(RentalsVacates!AI$12-RentalsVacates!$F29-1,RentalsVacates!$A$8:$C$162,2,FALSE)*VLOOKUP(AI$11,'Attrition Modeling'!$L$15:$N$27,IF(AI$12-$F29&lt;=24,2,3),FALSE))*(1+IF('Traditional Attrition'!AI151&gt;0,'Attrition Modeling'!$N$9,0))),0))</f>
        <v>3682.0089122518843</v>
      </c>
      <c r="AJ29" s="799">
        <f>IF(AJ$12=$F29+1,IF(Monthly!AF$4=TRUE,0,AJ$3),IF(AJ$12&gt;$F29+1,RentalsVacates!AI29*(1-IF(AJ$12-$F29&lt;=12,SUMIFS('Attrition Modeling'!$D:$D,'Attrition Modeling'!$B:$B,$E29,'Attrition Modeling'!$C:$C,AJ$11),VLOOKUP(RentalsVacates!AJ$12-RentalsVacates!$F29-1,RentalsVacates!$A$8:$C$162,2,FALSE)*VLOOKUP(AJ$11,'Attrition Modeling'!$L$15:$N$27,IF(AJ$12-$F29&lt;=24,2,3),FALSE))*(1+IF('Traditional Attrition'!AJ151&gt;0,'Attrition Modeling'!$N$9,0))),0))</f>
        <v>3491.9853837121263</v>
      </c>
      <c r="AK29" s="799">
        <f>IF(AK$12=$F29+1,IF(Monthly!AG$4=TRUE,0,AK$3),IF(AK$12&gt;$F29+1,RentalsVacates!AJ29*(1-IF(AK$12-$F29&lt;=12,SUMIFS('Attrition Modeling'!$D:$D,'Attrition Modeling'!$B:$B,$E29,'Attrition Modeling'!$C:$C,AK$11),VLOOKUP(RentalsVacates!AK$12-RentalsVacates!$F29-1,RentalsVacates!$A$8:$C$162,2,FALSE)*VLOOKUP(AK$11,'Attrition Modeling'!$L$15:$N$27,IF(AK$12-$F29&lt;=24,2,3),FALSE))*(1+IF('Traditional Attrition'!AK151&gt;0,'Attrition Modeling'!$N$9,0))),0))</f>
        <v>3309.412703554352</v>
      </c>
      <c r="AL29" s="799">
        <f>IF(AL$12=$F29+1,IF(Monthly!AH$4=TRUE,0,AL$3),IF(AL$12&gt;$F29+1,RentalsVacates!AK29*(1-IF(AL$12-$F29&lt;=12,SUMIFS('Attrition Modeling'!$D:$D,'Attrition Modeling'!$B:$B,$E29,'Attrition Modeling'!$C:$C,AL$11),VLOOKUP(RentalsVacates!AL$12-RentalsVacates!$F29-1,RentalsVacates!$A$8:$C$162,2,FALSE)*VLOOKUP(AL$11,'Attrition Modeling'!$L$15:$N$27,IF(AL$12-$F29&lt;=24,2,3),FALSE))*(1+IF('Traditional Attrition'!AL151&gt;0,'Attrition Modeling'!$N$9,0))),0))</f>
        <v>3140.9626059955503</v>
      </c>
      <c r="AM29" s="799">
        <f>IF(AM$12=$F29+1,IF(Monthly!AI$4=TRUE,0,AM$3),IF(AM$12&gt;$F29+1,RentalsVacates!AL29*(1-IF(AM$12-$F29&lt;=12,SUMIFS('Attrition Modeling'!$D:$D,'Attrition Modeling'!$B:$B,$E29,'Attrition Modeling'!$C:$C,AM$11),VLOOKUP(RentalsVacates!AM$12-RentalsVacates!$F29-1,RentalsVacates!$A$8:$C$162,2,FALSE)*VLOOKUP(AM$11,'Attrition Modeling'!$L$15:$N$27,IF(AM$12-$F29&lt;=24,2,3),FALSE))*(1+IF('Traditional Attrition'!AM151&gt;0,'Attrition Modeling'!$N$9,0))),0))</f>
        <v>2980.1142689174972</v>
      </c>
      <c r="AN29" s="799">
        <f>IF(AN$12=$F29+1,IF(Monthly!AJ$4=TRUE,0,AN$3),IF(AN$12&gt;$F29+1,RentalsVacates!AM29*(1-IF(AN$12-$F29&lt;=12,SUMIFS('Attrition Modeling'!$D:$D,'Attrition Modeling'!$B:$B,$E29,'Attrition Modeling'!$C:$C,AN$11),VLOOKUP(RentalsVacates!AN$12-RentalsVacates!$F29-1,RentalsVacates!$A$8:$C$162,2,FALSE)*VLOOKUP(AN$11,'Attrition Modeling'!$L$15:$N$27,IF(AN$12-$F29&lt;=24,2,3),FALSE))*(1+IF('Traditional Attrition'!AN151&gt;0,'Attrition Modeling'!$N$9,0))),0))</f>
        <v>2845.0451974398766</v>
      </c>
      <c r="AO29" s="799">
        <f>IF(AO$12=$F29+1,IF(Monthly!AK$4=TRUE,0,AO$3),IF(AO$12&gt;$F29+1,RentalsVacates!AN29*(1-IF(AO$12-$F29&lt;=12,SUMIFS('Attrition Modeling'!$D:$D,'Attrition Modeling'!$B:$B,$E29,'Attrition Modeling'!$C:$C,AO$11),VLOOKUP(RentalsVacates!AO$12-RentalsVacates!$F29-1,RentalsVacates!$A$8:$C$162,2,FALSE)*VLOOKUP(AO$11,'Attrition Modeling'!$L$15:$N$27,IF(AO$12-$F29&lt;=24,2,3),FALSE))*(1+IF('Traditional Attrition'!AO151&gt;0,'Attrition Modeling'!$N$9,0))),0))</f>
        <v>2690.6478527885206</v>
      </c>
      <c r="AP29" s="799">
        <f>IF(AP$12=$F29+1,IF(Monthly!AL$4=TRUE,0,AP$3),IF(AP$12&gt;$F29+1,RentalsVacates!AO29*(1-IF(AP$12-$F29&lt;=12,SUMIFS('Attrition Modeling'!$D:$D,'Attrition Modeling'!$B:$B,$E29,'Attrition Modeling'!$C:$C,AP$11),VLOOKUP(RentalsVacates!AP$12-RentalsVacates!$F29-1,RentalsVacates!$A$8:$C$162,2,FALSE)*VLOOKUP(AP$11,'Attrition Modeling'!$L$15:$N$27,IF(AP$12-$F29&lt;=24,2,3),FALSE))*(1+IF('Traditional Attrition'!AP151&gt;0,'Attrition Modeling'!$N$9,0))),0))</f>
        <v>2576.1032729470421</v>
      </c>
      <c r="AQ29" s="799">
        <f>IF(AQ$12=$F29+1,IF(Monthly!AM$4=TRUE,0,AQ$3),IF(AQ$12&gt;$F29+1,RentalsVacates!AP29*(1-IF(AQ$12-$F29&lt;=12,SUMIFS('Attrition Modeling'!$D:$D,'Attrition Modeling'!$B:$B,$E29,'Attrition Modeling'!$C:$C,AQ$11),VLOOKUP(RentalsVacates!AQ$12-RentalsVacates!$F29-1,RentalsVacates!$A$8:$C$162,2,FALSE)*VLOOKUP(AQ$11,'Attrition Modeling'!$L$15:$N$27,IF(AQ$12-$F29&lt;=24,2,3),FALSE))*(1+IF('Traditional Attrition'!AQ151&gt;0,'Attrition Modeling'!$N$9,0))),0))</f>
        <v>2469.6489577377124</v>
      </c>
      <c r="AR29" s="799">
        <f>IF(AR$12=$F29+1,IF(Monthly!AN$4=TRUE,0,AR$3),IF(AR$12&gt;$F29+1,RentalsVacates!AQ29*(1-IF(AR$12-$F29&lt;=12,SUMIFS('Attrition Modeling'!$D:$D,'Attrition Modeling'!$B:$B,$E29,'Attrition Modeling'!$C:$C,AR$11),VLOOKUP(RentalsVacates!AR$12-RentalsVacates!$F29-1,RentalsVacates!$A$8:$C$162,2,FALSE)*VLOOKUP(AR$11,'Attrition Modeling'!$L$15:$N$27,IF(AR$12-$F29&lt;=24,2,3),FALSE))*(1+IF('Traditional Attrition'!AR151&gt;0,'Attrition Modeling'!$N$9,0))),0))</f>
        <v>2369.2467119114908</v>
      </c>
      <c r="AS29" s="799">
        <f>IF(AS$12=$F29+1,IF(Monthly!AO$4=TRUE,0,AS$3),IF(AS$12&gt;$F29+1,RentalsVacates!AR29*(1-IF(AS$12-$F29&lt;=12,SUMIFS('Attrition Modeling'!$D:$D,'Attrition Modeling'!$B:$B,$E29,'Attrition Modeling'!$C:$C,AS$11),VLOOKUP(RentalsVacates!AS$12-RentalsVacates!$F29-1,RentalsVacates!$A$8:$C$162,2,FALSE)*VLOOKUP(AS$11,'Attrition Modeling'!$L$15:$N$27,IF(AS$12-$F29&lt;=24,2,3),FALSE))*(1+IF('Traditional Attrition'!AS151&gt;0,'Attrition Modeling'!$N$9,0))),0))</f>
        <v>2283.7064549142724</v>
      </c>
      <c r="AT29" s="799">
        <f>IF(AT$12=$F29+1,IF(Monthly!AP$4=TRUE,0,AT$3),IF(AT$12&gt;$F29+1,RentalsVacates!AS29*(1-IF(AT$12-$F29&lt;=12,SUMIFS('Attrition Modeling'!$D:$D,'Attrition Modeling'!$B:$B,$E29,'Attrition Modeling'!$C:$C,AT$11),VLOOKUP(RentalsVacates!AT$12-RentalsVacates!$F29-1,RentalsVacates!$A$8:$C$162,2,FALSE)*VLOOKUP(AT$11,'Attrition Modeling'!$L$15:$N$27,IF(AT$12-$F29&lt;=24,2,3),FALSE))*(1+IF('Traditional Attrition'!AT151&gt;0,'Attrition Modeling'!$N$9,0))),0))</f>
        <v>2195.2348512550584</v>
      </c>
      <c r="AU29" s="799">
        <f>IF(AU$12=$F29+1,IF(Monthly!AQ$4=TRUE,0,AU$3),IF(AU$12&gt;$F29+1,RentalsVacates!AT29*(1-IF(AU$12-$F29&lt;=12,SUMIFS('Attrition Modeling'!$D:$D,'Attrition Modeling'!$B:$B,$E29,'Attrition Modeling'!$C:$C,AU$11),VLOOKUP(RentalsVacates!AU$12-RentalsVacates!$F29-1,RentalsVacates!$A$8:$C$162,2,FALSE)*VLOOKUP(AU$11,'Attrition Modeling'!$L$15:$N$27,IF(AU$12-$F29&lt;=24,2,3),FALSE))*(1+IF('Traditional Attrition'!AU151&gt;0,'Attrition Modeling'!$N$9,0))),0))</f>
        <v>2112.7235624779255</v>
      </c>
      <c r="AV29" s="799">
        <f>IF(AV$12=$F29+1,IF(Monthly!AR$4=TRUE,0,AV$3),IF(AV$12&gt;$F29+1,RentalsVacates!AU29*(1-IF(AV$12-$F29&lt;=12,SUMIFS('Attrition Modeling'!$D:$D,'Attrition Modeling'!$B:$B,$E29,'Attrition Modeling'!$C:$C,AV$11),VLOOKUP(RentalsVacates!AV$12-RentalsVacates!$F29-1,RentalsVacates!$A$8:$C$162,2,FALSE)*VLOOKUP(AV$11,'Attrition Modeling'!$L$15:$N$27,IF(AV$12-$F29&lt;=24,2,3),FALSE))*(1+IF('Traditional Attrition'!AV151&gt;0,'Attrition Modeling'!$N$9,0))),0))</f>
        <v>2044.3055057468546</v>
      </c>
      <c r="AW29" s="799">
        <f>IF(AW$12=$F29+1,IF(Monthly!AS$4=TRUE,0,AW$3),IF(AW$12&gt;$F29+1,RentalsVacates!AV29*(1-IF(AW$12-$F29&lt;=12,SUMIFS('Attrition Modeling'!$D:$D,'Attrition Modeling'!$B:$B,$E29,'Attrition Modeling'!$C:$C,AW$11),VLOOKUP(RentalsVacates!AW$12-RentalsVacates!$F29-1,RentalsVacates!$A$8:$C$162,2,FALSE)*VLOOKUP(AW$11,'Attrition Modeling'!$L$15:$N$27,IF(AW$12-$F29&lt;=24,2,3),FALSE))*(1+IF('Traditional Attrition'!AW151&gt;0,'Attrition Modeling'!$N$9,0))),0))</f>
        <v>1969.8012729709144</v>
      </c>
      <c r="AX29" s="799">
        <f>IF(AX$12=$F29+1,IF(Monthly!AT$4=TRUE,0,AX$3),IF(AX$12&gt;$F29+1,RentalsVacates!AW29*(1-IF(AX$12-$F29&lt;=12,SUMIFS('Attrition Modeling'!$D:$D,'Attrition Modeling'!$B:$B,$E29,'Attrition Modeling'!$C:$C,AX$11),VLOOKUP(RentalsVacates!AX$12-RentalsVacates!$F29-1,RentalsVacates!$A$8:$C$162,2,FALSE)*VLOOKUP(AX$11,'Attrition Modeling'!$L$15:$N$27,IF(AX$12-$F29&lt;=24,2,3),FALSE))*(1+IF('Traditional Attrition'!AX151&gt;0,'Attrition Modeling'!$N$9,0))),0))</f>
        <v>1892.6441234337558</v>
      </c>
      <c r="AY29" s="799">
        <f>IF(AY$12=$F29+1,IF(Monthly!AU$4=TRUE,0,AY$3),IF(AY$12&gt;$F29+1,RentalsVacates!AX29*(1-IF(AY$12-$F29&lt;=12,SUMIFS('Attrition Modeling'!$D:$D,'Attrition Modeling'!$B:$B,$E29,'Attrition Modeling'!$C:$C,AY$11),VLOOKUP(RentalsVacates!AY$12-RentalsVacates!$F29-1,RentalsVacates!$A$8:$C$162,2,FALSE)*VLOOKUP(AY$11,'Attrition Modeling'!$L$15:$N$27,IF(AY$12-$F29&lt;=24,2,3),FALSE))*(1+IF('Traditional Attrition'!AY151&gt;0,'Attrition Modeling'!$N$9,0))),0))</f>
        <v>1814.0824485888393</v>
      </c>
      <c r="AZ29" s="799">
        <f>IF(AZ$12=$F29+1,IF(Monthly!AV$4=TRUE,0,AZ$3),IF(AZ$12&gt;$F29+1,RentalsVacates!AY29*(1-IF(AZ$12-$F29&lt;=12,SUMIFS('Attrition Modeling'!$D:$D,'Attrition Modeling'!$B:$B,$E29,'Attrition Modeling'!$C:$C,AZ$11),VLOOKUP(RentalsVacates!AZ$12-RentalsVacates!$F29-1,RentalsVacates!$A$8:$C$162,2,FALSE)*VLOOKUP(AZ$11,'Attrition Modeling'!$L$15:$N$27,IF(AZ$12-$F29&lt;=24,2,3),FALSE))*(1+IF('Traditional Attrition'!AZ151&gt;0,'Attrition Modeling'!$N$9,0))),0))</f>
        <v>1744.2755658501608</v>
      </c>
      <c r="BA29" s="799">
        <f>IF(BA$12=$F29+1,IF(Monthly!AW$4=TRUE,0,BA$3),IF(BA$12&gt;$F29+1,RentalsVacates!AZ29*(1-IF(BA$12-$F29&lt;=12,SUMIFS('Attrition Modeling'!$D:$D,'Attrition Modeling'!$B:$B,$E29,'Attrition Modeling'!$C:$C,BA$11),VLOOKUP(RentalsVacates!BA$12-RentalsVacates!$F29-1,RentalsVacates!$A$8:$C$162,2,FALSE)*VLOOKUP(BA$11,'Attrition Modeling'!$L$15:$N$27,IF(BA$12-$F29&lt;=24,2,3),FALSE))*(1+IF('Traditional Attrition'!BA151&gt;0,'Attrition Modeling'!$N$9,0))),0))</f>
        <v>1667.4787099268458</v>
      </c>
      <c r="BB29" s="799">
        <f>IF(BB$12=$F29+1,IF(Monthly!AX$4=TRUE,0,BB$3),IF(BB$12&gt;$F29+1,RentalsVacates!BA29*(1-IF(BB$12-$F29&lt;=12,SUMIFS('Attrition Modeling'!$D:$D,'Attrition Modeling'!$B:$B,$E29,'Attrition Modeling'!$C:$C,BB$11),VLOOKUP(RentalsVacates!BB$12-RentalsVacates!$F29-1,RentalsVacates!$A$8:$C$162,2,FALSE)*VLOOKUP(BB$11,'Attrition Modeling'!$L$15:$N$27,IF(BB$12-$F29&lt;=24,2,3),FALSE))*(1+IF('Traditional Attrition'!BB151&gt;0,'Attrition Modeling'!$N$9,0))),0))</f>
        <v>1608.4141909042453</v>
      </c>
      <c r="BC29" s="799">
        <f>IF(BC$12=$F29+1,IF(Monthly!AY$4=TRUE,0,BC$3),IF(BC$12&gt;$F29+1,RentalsVacates!BB29*(1-IF(BC$12-$F29&lt;=12,SUMIFS('Attrition Modeling'!$D:$D,'Attrition Modeling'!$B:$B,$E29,'Attrition Modeling'!$C:$C,BC$11),VLOOKUP(RentalsVacates!BC$12-RentalsVacates!$F29-1,RentalsVacates!$A$8:$C$162,2,FALSE)*VLOOKUP(BC$11,'Attrition Modeling'!$L$15:$N$27,IF(BC$12-$F29&lt;=24,2,3),FALSE))*(1+IF('Traditional Attrition'!BC151&gt;0,'Attrition Modeling'!$N$9,0))),0))</f>
        <v>1562.027150718533</v>
      </c>
      <c r="BD29" s="799">
        <f>IF(BD$12=$F29+1,IF(Monthly!AZ$4=TRUE,0,BD$3),IF(BD$12&gt;$F29+1,RentalsVacates!BC29*(1-IF(BD$12-$F29&lt;=12,SUMIFS('Attrition Modeling'!$D:$D,'Attrition Modeling'!$B:$B,$E29,'Attrition Modeling'!$C:$C,BD$11),VLOOKUP(RentalsVacates!BD$12-RentalsVacates!$F29-1,RentalsVacates!$A$8:$C$162,2,FALSE)*VLOOKUP(BD$11,'Attrition Modeling'!$L$15:$N$27,IF(BD$12-$F29&lt;=24,2,3),FALSE))*(1+IF('Traditional Attrition'!BD151&gt;0,'Attrition Modeling'!$N$9,0))),0))</f>
        <v>1512.7373526320246</v>
      </c>
      <c r="BE29" s="799">
        <f>IF(BE$12=$F29+1,IF(Monthly!BA$4=TRUE,0,BE$3),IF(BE$12&gt;$F29+1,RentalsVacates!BD29*(1-IF(BE$12-$F29&lt;=12,SUMIFS('Attrition Modeling'!$D:$D,'Attrition Modeling'!$B:$B,$E29,'Attrition Modeling'!$C:$C,BE$11),VLOOKUP(RentalsVacates!BE$12-RentalsVacates!$F29-1,RentalsVacates!$A$8:$C$162,2,FALSE)*VLOOKUP(BE$11,'Attrition Modeling'!$L$15:$N$27,IF(BE$12-$F29&lt;=24,2,3),FALSE))*(1+IF('Traditional Attrition'!BE151&gt;0,'Attrition Modeling'!$N$9,0))),0))</f>
        <v>1467.0310933378505</v>
      </c>
      <c r="BF29" s="799">
        <f>IF(BF$12=$F29+1,IF(Monthly!BB$4=TRUE,0,BF$3),IF(BF$12&gt;$F29+1,RentalsVacates!BE29*(1-IF(BF$12-$F29&lt;=12,SUMIFS('Attrition Modeling'!$D:$D,'Attrition Modeling'!$B:$B,$E29,'Attrition Modeling'!$C:$C,BF$11),VLOOKUP(RentalsVacates!BF$12-RentalsVacates!$F29-1,RentalsVacates!$A$8:$C$162,2,FALSE)*VLOOKUP(BF$11,'Attrition Modeling'!$L$15:$N$27,IF(BF$12-$F29&lt;=24,2,3),FALSE))*(1+IF('Traditional Attrition'!BF151&gt;0,'Attrition Modeling'!$N$9,0))),0))</f>
        <v>1425.0467232942451</v>
      </c>
      <c r="BG29" s="799">
        <f>IF(BG$12=$F29+1,IF(Monthly!BC$4=TRUE,0,BG$3),IF(BG$12&gt;$F29+1,RentalsVacates!BF29*(1-IF(BG$12-$F29&lt;=12,SUMIFS('Attrition Modeling'!$D:$D,'Attrition Modeling'!$B:$B,$E29,'Attrition Modeling'!$C:$C,BG$11),VLOOKUP(RentalsVacates!BG$12-RentalsVacates!$F29-1,RentalsVacates!$A$8:$C$162,2,FALSE)*VLOOKUP(BG$11,'Attrition Modeling'!$L$15:$N$27,IF(BG$12-$F29&lt;=24,2,3),FALSE))*(1+IF('Traditional Attrition'!BG151&gt;0,'Attrition Modeling'!$N$9,0))),0))</f>
        <v>1392.9715095996462</v>
      </c>
      <c r="BH29" s="799">
        <f>IF(BH$12=$F29+1,IF(Monthly!BD$4=TRUE,0,BH$3),IF(BH$12&gt;$F29+1,RentalsVacates!BG29*(1-IF(BH$12-$F29&lt;=12,SUMIFS('Attrition Modeling'!$D:$D,'Attrition Modeling'!$B:$B,$E29,'Attrition Modeling'!$C:$C,BH$11),VLOOKUP(RentalsVacates!BH$12-RentalsVacates!$F29-1,RentalsVacates!$A$8:$C$162,2,FALSE)*VLOOKUP(BH$11,'Attrition Modeling'!$L$15:$N$27,IF(BH$12-$F29&lt;=24,2,3),FALSE))*(1+IF('Traditional Attrition'!BH151&gt;0,'Attrition Modeling'!$N$9,0))),0))</f>
        <v>1355.5299439458838</v>
      </c>
      <c r="BI29" s="799">
        <f>IF(BI$12=$F29+1,IF(Monthly!BE$4=TRUE,0,BI$3),IF(BI$12&gt;$F29+1,RentalsVacates!BH29*(1-IF(BI$12-$F29&lt;=12,SUMIFS('Attrition Modeling'!$D:$D,'Attrition Modeling'!$B:$B,$E29,'Attrition Modeling'!$C:$C,BI$11),VLOOKUP(RentalsVacates!BI$12-RentalsVacates!$F29-1,RentalsVacates!$A$8:$C$162,2,FALSE)*VLOOKUP(BI$11,'Attrition Modeling'!$L$15:$N$27,IF(BI$12-$F29&lt;=24,2,3),FALSE))*(1+IF('Traditional Attrition'!BI151&gt;0,'Attrition Modeling'!$N$9,0))),0))</f>
        <v>1314.389152909336</v>
      </c>
      <c r="BJ29" s="799">
        <f>IF(BJ$12=$F29+1,IF(Monthly!BF$4=TRUE,0,BJ$3),IF(BJ$12&gt;$F29+1,RentalsVacates!BI29*(1-IF(BJ$12-$F29&lt;=12,SUMIFS('Attrition Modeling'!$D:$D,'Attrition Modeling'!$B:$B,$E29,'Attrition Modeling'!$C:$C,BJ$11),VLOOKUP(RentalsVacates!BJ$12-RentalsVacates!$F29-1,RentalsVacates!$A$8:$C$162,2,FALSE)*VLOOKUP(BJ$11,'Attrition Modeling'!$L$15:$N$27,IF(BJ$12-$F29&lt;=24,2,3),FALSE))*(1+IF('Traditional Attrition'!BJ151&gt;0,'Attrition Modeling'!$N$9,0))),0))</f>
        <v>1271.380091321809</v>
      </c>
      <c r="BK29" s="799">
        <f>IF(BK$12=$F29+1,IF(Monthly!BG$4=TRUE,0,BK$3),IF(BK$12&gt;$F29+1,RentalsVacates!BJ29*(1-IF(BK$12-$F29&lt;=12,SUMIFS('Attrition Modeling'!$D:$D,'Attrition Modeling'!$B:$B,$E29,'Attrition Modeling'!$C:$C,BK$11),VLOOKUP(RentalsVacates!BK$12-RentalsVacates!$F29-1,RentalsVacates!$A$8:$C$162,2,FALSE)*VLOOKUP(BK$11,'Attrition Modeling'!$L$15:$N$27,IF(BK$12-$F29&lt;=24,2,3),FALSE))*(1+IF('Traditional Attrition'!BK151&gt;0,'Attrition Modeling'!$N$9,0))),0))</f>
        <v>1227.165004052107</v>
      </c>
      <c r="BL29" s="799">
        <f>IF(BL$12=$F29+1,IF(Monthly!BH$4=TRUE,0,BL$3),IF(BL$12&gt;$F29+1,RentalsVacates!BK29*(1-IF(BL$12-$F29&lt;=12,SUMIFS('Attrition Modeling'!$D:$D,'Attrition Modeling'!$B:$B,$E29,'Attrition Modeling'!$C:$C,BL$11),VLOOKUP(RentalsVacates!BL$12-RentalsVacates!$F29-1,RentalsVacates!$A$8:$C$162,2,FALSE)*VLOOKUP(BL$11,'Attrition Modeling'!$L$15:$N$27,IF(BL$12-$F29&lt;=24,2,3),FALSE))*(1+IF('Traditional Attrition'!BL151&gt;0,'Attrition Modeling'!$N$9,0))),0))</f>
        <v>1187.4922076036707</v>
      </c>
      <c r="BM29" s="799">
        <f>IF(BM$12=$F29+1,IF(Monthly!BI$4=TRUE,0,BM$3),IF(BM$12&gt;$F29+1,RentalsVacates!BL29*(1-IF(BM$12-$F29&lt;=12,SUMIFS('Attrition Modeling'!$D:$D,'Attrition Modeling'!$B:$B,$E29,'Attrition Modeling'!$C:$C,BM$11),VLOOKUP(RentalsVacates!BM$12-RentalsVacates!$F29-1,RentalsVacates!$A$8:$C$162,2,FALSE)*VLOOKUP(BM$11,'Attrition Modeling'!$L$15:$N$27,IF(BM$12-$F29&lt;=24,2,3),FALSE))*(1+IF('Traditional Attrition'!BM151&gt;0,'Attrition Modeling'!$N$9,0))),0))</f>
        <v>1143.4536021884696</v>
      </c>
      <c r="BN29" s="799">
        <f>IF(BN$12=$F29+1,IF(Monthly!BJ$4=TRUE,0,BN$3),IF(BN$12&gt;$F29+1,RentalsVacates!BM29*(1-IF(BN$12-$F29&lt;=12,SUMIFS('Attrition Modeling'!$D:$D,'Attrition Modeling'!$B:$B,$E29,'Attrition Modeling'!$C:$C,BN$11),VLOOKUP(RentalsVacates!BN$12-RentalsVacates!$F29-1,RentalsVacates!$A$8:$C$162,2,FALSE)*VLOOKUP(BN$11,'Attrition Modeling'!$L$15:$N$27,IF(BN$12-$F29&lt;=24,2,3),FALSE))*(1+IF('Traditional Attrition'!BN151&gt;0,'Attrition Modeling'!$N$9,0))),0))</f>
        <v>1109.2539866110762</v>
      </c>
      <c r="BO29" s="799">
        <f>IF(BO$12=$F29+1,IF(Monthly!BK$4=TRUE,0,BO$3),IF(BO$12&gt;$F29+1,RentalsVacates!BN29*(1-IF(BO$12-$F29&lt;=12,SUMIFS('Attrition Modeling'!$D:$D,'Attrition Modeling'!$B:$B,$E29,'Attrition Modeling'!$C:$C,BO$11),VLOOKUP(RentalsVacates!BO$12-RentalsVacates!$F29-1,RentalsVacates!$A$8:$C$162,2,FALSE)*VLOOKUP(BO$11,'Attrition Modeling'!$L$15:$N$27,IF(BO$12-$F29&lt;=24,2,3),FALSE))*(1+IF('Traditional Attrition'!BO151&gt;0,'Attrition Modeling'!$N$9,0))),0))</f>
        <v>1082.1789588431159</v>
      </c>
      <c r="BP29" s="799">
        <f>IF(BP$12=$F29+1,IF(Monthly!BL$4=TRUE,0,BP$3),IF(BP$12&gt;$F29+1,RentalsVacates!BO29*(1-IF(BP$12-$F29&lt;=12,SUMIFS('Attrition Modeling'!$D:$D,'Attrition Modeling'!$B:$B,$E29,'Attrition Modeling'!$C:$C,BP$11),VLOOKUP(RentalsVacates!BP$12-RentalsVacates!$F29-1,RentalsVacates!$A$8:$C$162,2,FALSE)*VLOOKUP(BP$11,'Attrition Modeling'!$L$15:$N$27,IF(BP$12-$F29&lt;=24,2,3),FALSE))*(1+IF('Traditional Attrition'!BP151&gt;0,'Attrition Modeling'!$N$9,0))),0))</f>
        <v>1053.2151984069083</v>
      </c>
      <c r="BQ29" s="799">
        <f>IF(BQ$12=$F29+1,IF(Monthly!BM$4=TRUE,0,BQ$3),IF(BQ$12&gt;$F29+1,RentalsVacates!BP29*(1-IF(BQ$12-$F29&lt;=12,SUMIFS('Attrition Modeling'!$D:$D,'Attrition Modeling'!$B:$B,$E29,'Attrition Modeling'!$C:$C,BQ$11),VLOOKUP(RentalsVacates!BQ$12-RentalsVacates!$F29-1,RentalsVacates!$A$8:$C$162,2,FALSE)*VLOOKUP(BQ$11,'Attrition Modeling'!$L$15:$N$27,IF(BQ$12-$F29&lt;=24,2,3),FALSE))*(1+IF('Traditional Attrition'!BQ151&gt;0,'Attrition Modeling'!$N$9,0))),0))</f>
        <v>1026.1684970872213</v>
      </c>
      <c r="BR29" s="799">
        <f>IF(BR$12=$F29+1,IF(Monthly!BN$4=TRUE,0,BR$3),IF(BR$12&gt;$F29+1,RentalsVacates!BQ29*(1-IF(BR$12-$F29&lt;=12,SUMIFS('Attrition Modeling'!$D:$D,'Attrition Modeling'!$B:$B,$E29,'Attrition Modeling'!$C:$C,BR$11),VLOOKUP(RentalsVacates!BR$12-RentalsVacates!$F29-1,RentalsVacates!$A$8:$C$162,2,FALSE)*VLOOKUP(BR$11,'Attrition Modeling'!$L$15:$N$27,IF(BR$12-$F29&lt;=24,2,3),FALSE))*(1+IF('Traditional Attrition'!BR151&gt;0,'Attrition Modeling'!$N$9,0))),0))</f>
        <v>1001.1591334887119</v>
      </c>
      <c r="BS29" s="799">
        <f>IF(BS$12=$F29+1,IF(Monthly!BO$4=TRUE,0,BS$3),IF(BS$12&gt;$F29+1,RentalsVacates!BR29*(1-IF(BS$12-$F29&lt;=12,SUMIFS('Attrition Modeling'!$D:$D,'Attrition Modeling'!$B:$B,$E29,'Attrition Modeling'!$C:$C,BS$11),VLOOKUP(RentalsVacates!BS$12-RentalsVacates!$F29-1,RentalsVacates!$A$8:$C$162,2,FALSE)*VLOOKUP(BS$11,'Attrition Modeling'!$L$15:$N$27,IF(BS$12-$F29&lt;=24,2,3),FALSE))*(1+IF('Traditional Attrition'!BS151&gt;0,'Attrition Modeling'!$N$9,0))),0))</f>
        <v>981.9332633962498</v>
      </c>
      <c r="BT29" s="799">
        <f>IF(BT$11=$F28+1,IF(Monthly!#REF!=TRUE,0,BT$3),IF(BT$11&gt;$F28+1,RentalsVacates!BS28*(1-IF(BT$11-$F28&lt;=12,SUMIFS('Attrition Modeling'!$D:$D,'Attrition Modeling'!$B:$B,$E28,'Attrition Modeling'!$C:$C,BT$10),VLOOKUP(RentalsVacates!BT$11-RentalsVacates!$F28-1,RentalsVacates!$A$7:$C$161,2,FALSE)*VLOOKUP(BT$10,'Attrition Modeling'!$L$15:$N$27,IF(BT$11-$F28&lt;=24,2,3),FALSE))*(1+IF('Traditional Attrition'!BT151&gt;0,'Attrition Modeling'!$N$9,0))),0))</f>
        <v>0</v>
      </c>
      <c r="BU29" s="799">
        <f>IF(BU$11=$F28+1,IF(Monthly!#REF!=TRUE,0,BU$3),IF(BU$11&gt;$F28+1,RentalsVacates!BT28*(1-IF(BU$11-$F28&lt;=12,SUMIFS('Attrition Modeling'!$D:$D,'Attrition Modeling'!$B:$B,$E28,'Attrition Modeling'!$C:$C,BU$10),VLOOKUP(RentalsVacates!BU$11-RentalsVacates!$F28-1,RentalsVacates!$A$7:$C$161,2,FALSE)*VLOOKUP(BU$10,'Attrition Modeling'!$L$15:$N$27,IF(BU$11-$F28&lt;=24,2,3),FALSE))*(1+IF('Traditional Attrition'!BU151&gt;0,'Attrition Modeling'!$N$9,0))),0))</f>
        <v>0</v>
      </c>
    </row>
    <row r="30" spans="1:73" ht="14.25" customHeight="1" x14ac:dyDescent="0.2">
      <c r="A30" s="9">
        <v>22</v>
      </c>
      <c r="B30" s="25">
        <f>MAX('Attrition Modeling'!H26,$C$3)*(1-Summary!$C$20)</f>
        <v>3.9935061587350051E-2</v>
      </c>
      <c r="C30" s="24" t="e">
        <f t="shared" si="2"/>
        <v>#DIV/0!</v>
      </c>
      <c r="E30" s="11">
        <f>'Traditional Attrition'!E87</f>
        <v>5</v>
      </c>
      <c r="F30" s="11">
        <f t="shared" si="4"/>
        <v>17</v>
      </c>
      <c r="G30" s="799"/>
      <c r="H30" s="799">
        <f>IF(H$12=$F30+1,IF(Monthly!D$4=TRUE,0,H$3),IF(H$12&gt;$F30+1,RentalsVacates!G30*(1-IF(H$12-$F30&lt;=12,SUMIFS('Attrition Modeling'!$D:$D,'Attrition Modeling'!$B:$B,$E30,'Attrition Modeling'!$C:$C,H$11),VLOOKUP(RentalsVacates!H$12-RentalsVacates!$F30-1,RentalsVacates!$A$8:$C$162,2,FALSE)*VLOOKUP(H$11,'Attrition Modeling'!$L$15:$N$27,IF(H$12-$F30&lt;=24,2,3),FALSE))*(1+IF('Traditional Attrition'!H152&gt;0,'Attrition Modeling'!$N$9,0))),0))</f>
        <v>0</v>
      </c>
      <c r="I30" s="799">
        <f>IF(I$12=$F30+1,IF(Monthly!E$4=TRUE,0,I$3),IF(I$12&gt;$F30+1,RentalsVacates!H30*(1-IF(I$12-$F30&lt;=12,SUMIFS('Attrition Modeling'!$D:$D,'Attrition Modeling'!$B:$B,$E30,'Attrition Modeling'!$C:$C,I$11),VLOOKUP(RentalsVacates!I$12-RentalsVacates!$F30-1,RentalsVacates!$A$8:$C$162,2,FALSE)*VLOOKUP(I$11,'Attrition Modeling'!$L$15:$N$27,IF(I$12-$F30&lt;=24,2,3),FALSE))*(1+IF('Traditional Attrition'!I152&gt;0,'Attrition Modeling'!$N$9,0))),0))</f>
        <v>0</v>
      </c>
      <c r="J30" s="799">
        <f>IF(J$12=$F30+1,IF(Monthly!F$4=TRUE,0,J$3),IF(J$12&gt;$F30+1,RentalsVacates!I30*(1-IF(J$12-$F30&lt;=12,SUMIFS('Attrition Modeling'!$D:$D,'Attrition Modeling'!$B:$B,$E30,'Attrition Modeling'!$C:$C,J$11),VLOOKUP(RentalsVacates!J$12-RentalsVacates!$F30-1,RentalsVacates!$A$8:$C$162,2,FALSE)*VLOOKUP(J$11,'Attrition Modeling'!$L$15:$N$27,IF(J$12-$F30&lt;=24,2,3),FALSE))*(1+IF('Traditional Attrition'!J152&gt;0,'Attrition Modeling'!$N$9,0))),0))</f>
        <v>0</v>
      </c>
      <c r="K30" s="799">
        <f>IF(K$12=$F30+1,IF(Monthly!G$4=TRUE,0,K$3),IF(K$12&gt;$F30+1,RentalsVacates!J30*(1-IF(K$12-$F30&lt;=12,SUMIFS('Attrition Modeling'!$D:$D,'Attrition Modeling'!$B:$B,$E30,'Attrition Modeling'!$C:$C,K$11),VLOOKUP(RentalsVacates!K$12-RentalsVacates!$F30-1,RentalsVacates!$A$8:$C$162,2,FALSE)*VLOOKUP(K$11,'Attrition Modeling'!$L$15:$N$27,IF(K$12-$F30&lt;=24,2,3),FALSE))*(1+IF('Traditional Attrition'!K152&gt;0,'Attrition Modeling'!$N$9,0))),0))</f>
        <v>0</v>
      </c>
      <c r="L30" s="799">
        <f>IF(L$12=$F30+1,IF(Monthly!H$4=TRUE,0,L$3),IF(L$12&gt;$F30+1,RentalsVacates!K30*(1-IF(L$12-$F30&lt;=12,SUMIFS('Attrition Modeling'!$D:$D,'Attrition Modeling'!$B:$B,$E30,'Attrition Modeling'!$C:$C,L$11),VLOOKUP(RentalsVacates!L$12-RentalsVacates!$F30-1,RentalsVacates!$A$8:$C$162,2,FALSE)*VLOOKUP(L$11,'Attrition Modeling'!$L$15:$N$27,IF(L$12-$F30&lt;=24,2,3),FALSE))*(1+IF('Traditional Attrition'!L152&gt;0,'Attrition Modeling'!$N$9,0))),0))</f>
        <v>0</v>
      </c>
      <c r="M30" s="799">
        <f>IF(M$12=$F30+1,IF(Monthly!I$4=TRUE,0,M$3),IF(M$12&gt;$F30+1,RentalsVacates!L30*(1-IF(M$12-$F30&lt;=12,SUMIFS('Attrition Modeling'!$D:$D,'Attrition Modeling'!$B:$B,$E30,'Attrition Modeling'!$C:$C,M$11),VLOOKUP(RentalsVacates!M$12-RentalsVacates!$F30-1,RentalsVacates!$A$8:$C$162,2,FALSE)*VLOOKUP(M$11,'Attrition Modeling'!$L$15:$N$27,IF(M$12-$F30&lt;=24,2,3),FALSE))*(1+IF('Traditional Attrition'!M152&gt;0,'Attrition Modeling'!$N$9,0))),0))</f>
        <v>0</v>
      </c>
      <c r="N30" s="799">
        <f>IF(N$12=$F30+1,IF(Monthly!J$4=TRUE,0,N$3),IF(N$12&gt;$F30+1,RentalsVacates!M30*(1-IF(N$12-$F30&lt;=12,SUMIFS('Attrition Modeling'!$D:$D,'Attrition Modeling'!$B:$B,$E30,'Attrition Modeling'!$C:$C,N$11),VLOOKUP(RentalsVacates!N$12-RentalsVacates!$F30-1,RentalsVacates!$A$8:$C$162,2,FALSE)*VLOOKUP(N$11,'Attrition Modeling'!$L$15:$N$27,IF(N$12-$F30&lt;=24,2,3),FALSE))*(1+IF('Traditional Attrition'!N152&gt;0,'Attrition Modeling'!$N$9,0))),0))</f>
        <v>0</v>
      </c>
      <c r="O30" s="799">
        <f>IF(O$12=$F30+1,IF(Monthly!K$4=TRUE,0,O$3),IF(O$12&gt;$F30+1,RentalsVacates!N30*(1-IF(O$12-$F30&lt;=12,SUMIFS('Attrition Modeling'!$D:$D,'Attrition Modeling'!$B:$B,$E30,'Attrition Modeling'!$C:$C,O$11),VLOOKUP(RentalsVacates!O$12-RentalsVacates!$F30-1,RentalsVacates!$A$8:$C$162,2,FALSE)*VLOOKUP(O$11,'Attrition Modeling'!$L$15:$N$27,IF(O$12-$F30&lt;=24,2,3),FALSE))*(1+IF('Traditional Attrition'!O152&gt;0,'Attrition Modeling'!$N$9,0))),0))</f>
        <v>0</v>
      </c>
      <c r="P30" s="799">
        <f>IF(P$12=$F30+1,IF(Monthly!L$4=TRUE,0,P$3),IF(P$12&gt;$F30+1,RentalsVacates!O30*(1-IF(P$12-$F30&lt;=12,SUMIFS('Attrition Modeling'!$D:$D,'Attrition Modeling'!$B:$B,$E30,'Attrition Modeling'!$C:$C,P$11),VLOOKUP(RentalsVacates!P$12-RentalsVacates!$F30-1,RentalsVacates!$A$8:$C$162,2,FALSE)*VLOOKUP(P$11,'Attrition Modeling'!$L$15:$N$27,IF(P$12-$F30&lt;=24,2,3),FALSE))*(1+IF('Traditional Attrition'!P152&gt;0,'Attrition Modeling'!$N$9,0))),0))</f>
        <v>0</v>
      </c>
      <c r="Q30" s="799">
        <f>IF(Q$12=$F30+1,IF(Monthly!M$4=TRUE,0,Q$3),IF(Q$12&gt;$F30+1,RentalsVacates!P30*(1-IF(Q$12-$F30&lt;=12,SUMIFS('Attrition Modeling'!$D:$D,'Attrition Modeling'!$B:$B,$E30,'Attrition Modeling'!$C:$C,Q$11),VLOOKUP(RentalsVacates!Q$12-RentalsVacates!$F30-1,RentalsVacates!$A$8:$C$162,2,FALSE)*VLOOKUP(Q$11,'Attrition Modeling'!$L$15:$N$27,IF(Q$12-$F30&lt;=24,2,3),FALSE))*(1+IF('Traditional Attrition'!Q152&gt;0,'Attrition Modeling'!$N$9,0))),0))</f>
        <v>0</v>
      </c>
      <c r="R30" s="799">
        <f>IF(R$12=$F30+1,IF(Monthly!N$4=TRUE,0,R$3),IF(R$12&gt;$F30+1,RentalsVacates!Q30*(1-IF(R$12-$F30&lt;=12,SUMIFS('Attrition Modeling'!$D:$D,'Attrition Modeling'!$B:$B,$E30,'Attrition Modeling'!$C:$C,R$11),VLOOKUP(RentalsVacates!R$12-RentalsVacates!$F30-1,RentalsVacates!$A$8:$C$162,2,FALSE)*VLOOKUP(R$11,'Attrition Modeling'!$L$15:$N$27,IF(R$12-$F30&lt;=24,2,3),FALSE))*(1+IF('Traditional Attrition'!R152&gt;0,'Attrition Modeling'!$N$9,0))),0))</f>
        <v>0</v>
      </c>
      <c r="S30" s="799">
        <f>IF(S$12=$F30+1,IF(Monthly!O$4=TRUE,0,S$3),IF(S$12&gt;$F30+1,RentalsVacates!R30*(1-IF(S$12-$F30&lt;=12,SUMIFS('Attrition Modeling'!$D:$D,'Attrition Modeling'!$B:$B,$E30,'Attrition Modeling'!$C:$C,S$11),VLOOKUP(RentalsVacates!S$12-RentalsVacates!$F30-1,RentalsVacates!$A$8:$C$162,2,FALSE)*VLOOKUP(S$11,'Attrition Modeling'!$L$15:$N$27,IF(S$12-$F30&lt;=24,2,3),FALSE))*(1+IF('Traditional Attrition'!S152&gt;0,'Attrition Modeling'!$N$9,0))),0))</f>
        <v>0</v>
      </c>
      <c r="T30" s="799">
        <f>IF(T$12=$F30+1,IF(Monthly!P$4=TRUE,0,T$3),IF(T$12&gt;$F30+1,RentalsVacates!S30*(1-IF(T$12-$F30&lt;=12,SUMIFS('Attrition Modeling'!$D:$D,'Attrition Modeling'!$B:$B,$E30,'Attrition Modeling'!$C:$C,T$11),VLOOKUP(RentalsVacates!T$12-RentalsVacates!$F30-1,RentalsVacates!$A$8:$C$162,2,FALSE)*VLOOKUP(T$11,'Attrition Modeling'!$L$15:$N$27,IF(T$12-$F30&lt;=24,2,3),FALSE))*(1+IF('Traditional Attrition'!T152&gt;0,'Attrition Modeling'!$N$9,0))),0))</f>
        <v>0</v>
      </c>
      <c r="U30" s="799">
        <f>IF(U$12=$F30+1,IF(Monthly!Q$4=TRUE,0,U$3),IF(U$12&gt;$F30+1,RentalsVacates!T30*(1-IF(U$12-$F30&lt;=12,SUMIFS('Attrition Modeling'!$D:$D,'Attrition Modeling'!$B:$B,$E30,'Attrition Modeling'!$C:$C,U$11),VLOOKUP(RentalsVacates!U$12-RentalsVacates!$F30-1,RentalsVacates!$A$8:$C$162,2,FALSE)*VLOOKUP(U$11,'Attrition Modeling'!$L$15:$N$27,IF(U$12-$F30&lt;=24,2,3),FALSE))*(1+IF('Traditional Attrition'!U152&gt;0,'Attrition Modeling'!$N$9,0))),0))</f>
        <v>0</v>
      </c>
      <c r="V30" s="799">
        <f>IF(V$12=$F30+1,IF(Monthly!R$4=TRUE,0,V$3),IF(V$12&gt;$F30+1,RentalsVacates!U30*(1-IF(V$12-$F30&lt;=12,SUMIFS('Attrition Modeling'!$D:$D,'Attrition Modeling'!$B:$B,$E30,'Attrition Modeling'!$C:$C,V$11),VLOOKUP(RentalsVacates!V$12-RentalsVacates!$F30-1,RentalsVacates!$A$8:$C$162,2,FALSE)*VLOOKUP(V$11,'Attrition Modeling'!$L$15:$N$27,IF(V$12-$F30&lt;=24,2,3),FALSE))*(1+IF('Traditional Attrition'!V152&gt;0,'Attrition Modeling'!$N$9,0))),0))</f>
        <v>0</v>
      </c>
      <c r="W30" s="799">
        <f>IF(W$12=$F30+1,IF(Monthly!S$4=TRUE,0,W$3),IF(W$12&gt;$F30+1,RentalsVacates!V30*(1-IF(W$12-$F30&lt;=12,SUMIFS('Attrition Modeling'!$D:$D,'Attrition Modeling'!$B:$B,$E30,'Attrition Modeling'!$C:$C,W$11),VLOOKUP(RentalsVacates!W$12-RentalsVacates!$F30-1,RentalsVacates!$A$8:$C$162,2,FALSE)*VLOOKUP(W$11,'Attrition Modeling'!$L$15:$N$27,IF(W$12-$F30&lt;=24,2,3),FALSE))*(1+IF('Traditional Attrition'!W152&gt;0,'Attrition Modeling'!$N$9,0))),0))</f>
        <v>0</v>
      </c>
      <c r="X30" s="799">
        <f>IF(X$12=$F30+1,IF(Monthly!T$4=TRUE,0,X$3),IF(X$12&gt;$F30+1,RentalsVacates!W30*(1-IF(X$12-$F30&lt;=12,SUMIFS('Attrition Modeling'!$D:$D,'Attrition Modeling'!$B:$B,$E30,'Attrition Modeling'!$C:$C,X$11),VLOOKUP(RentalsVacates!X$12-RentalsVacates!$F30-1,RentalsVacates!$A$8:$C$162,2,FALSE)*VLOOKUP(X$11,'Attrition Modeling'!$L$15:$N$27,IF(X$12-$F30&lt;=24,2,3),FALSE))*(1+IF('Traditional Attrition'!X152&gt;0,'Attrition Modeling'!$N$9,0))),0))</f>
        <v>0</v>
      </c>
      <c r="Y30" s="799">
        <f>IF(Y$12=$F30+1,IF(Monthly!U$4=TRUE,0,Y$3),IF(Y$12&gt;$F30+1,RentalsVacates!X30*(1-IF(Y$12-$F30&lt;=12,SUMIFS('Attrition Modeling'!$D:$D,'Attrition Modeling'!$B:$B,$E30,'Attrition Modeling'!$C:$C,Y$11),VLOOKUP(RentalsVacates!Y$12-RentalsVacates!$F30-1,RentalsVacates!$A$8:$C$162,2,FALSE)*VLOOKUP(Y$11,'Attrition Modeling'!$L$15:$N$27,IF(Y$12-$F30&lt;=24,2,3),FALSE))*(1+IF('Traditional Attrition'!Y152&gt;0,'Attrition Modeling'!$N$9,0))),0))</f>
        <v>8192.6762870081293</v>
      </c>
      <c r="Z30" s="799">
        <f>IF(Z$12=$F30+1,IF(Monthly!V$4=TRUE,0,Z$3),IF(Z$12&gt;$F30+1,RentalsVacates!Y30*(1-IF(Z$12-$F30&lt;=12,SUMIFS('Attrition Modeling'!$D:$D,'Attrition Modeling'!$B:$B,$E30,'Attrition Modeling'!$C:$C,Z$11),VLOOKUP(RentalsVacates!Z$12-RentalsVacates!$F30-1,RentalsVacates!$A$8:$C$162,2,FALSE)*VLOOKUP(Z$11,'Attrition Modeling'!$L$15:$N$27,IF(Z$12-$F30&lt;=24,2,3),FALSE))*(1+IF('Traditional Attrition'!Z152&gt;0,'Attrition Modeling'!$N$9,0))),0))</f>
        <v>7289.6541093576034</v>
      </c>
      <c r="AA30" s="799">
        <f>IF(AA$12=$F30+1,IF(Monthly!W$4=TRUE,0,AA$3),IF(AA$12&gt;$F30+1,RentalsVacates!Z30*(1-IF(AA$12-$F30&lt;=12,SUMIFS('Attrition Modeling'!$D:$D,'Attrition Modeling'!$B:$B,$E30,'Attrition Modeling'!$C:$C,AA$11),VLOOKUP(RentalsVacates!AA$12-RentalsVacates!$F30-1,RentalsVacates!$A$8:$C$162,2,FALSE)*VLOOKUP(AA$11,'Attrition Modeling'!$L$15:$N$27,IF(AA$12-$F30&lt;=24,2,3),FALSE))*(1+IF('Traditional Attrition'!AA152&gt;0,'Attrition Modeling'!$N$9,0))),0))</f>
        <v>6317.2448677165585</v>
      </c>
      <c r="AB30" s="799">
        <f>IF(AB$12=$F30+1,IF(Monthly!X$4=TRUE,0,AB$3),IF(AB$12&gt;$F30+1,RentalsVacates!AA30*(1-IF(AB$12-$F30&lt;=12,SUMIFS('Attrition Modeling'!$D:$D,'Attrition Modeling'!$B:$B,$E30,'Attrition Modeling'!$C:$C,AB$11),VLOOKUP(RentalsVacates!AB$12-RentalsVacates!$F30-1,RentalsVacates!$A$8:$C$162,2,FALSE)*VLOOKUP(AB$11,'Attrition Modeling'!$L$15:$N$27,IF(AB$12-$F30&lt;=24,2,3),FALSE))*(1+IF('Traditional Attrition'!AB152&gt;0,'Attrition Modeling'!$N$9,0))),0))</f>
        <v>5624.7807032662949</v>
      </c>
      <c r="AC30" s="799">
        <f>IF(AC$12=$F30+1,IF(Monthly!Y$4=TRUE,0,AC$3),IF(AC$12&gt;$F30+1,RentalsVacates!AB30*(1-IF(AC$12-$F30&lt;=12,SUMIFS('Attrition Modeling'!$D:$D,'Attrition Modeling'!$B:$B,$E30,'Attrition Modeling'!$C:$C,AC$11),VLOOKUP(RentalsVacates!AC$12-RentalsVacates!$F30-1,RentalsVacates!$A$8:$C$162,2,FALSE)*VLOOKUP(AC$11,'Attrition Modeling'!$L$15:$N$27,IF(AC$12-$F30&lt;=24,2,3),FALSE))*(1+IF('Traditional Attrition'!AC152&gt;0,'Attrition Modeling'!$N$9,0))),0))</f>
        <v>5105.6618174688638</v>
      </c>
      <c r="AD30" s="799">
        <f>IF(AD$12=$F30+1,IF(Monthly!Z$4=TRUE,0,AD$3),IF(AD$12&gt;$F30+1,RentalsVacates!AC30*(1-IF(AD$12-$F30&lt;=12,SUMIFS('Attrition Modeling'!$D:$D,'Attrition Modeling'!$B:$B,$E30,'Attrition Modeling'!$C:$C,AD$11),VLOOKUP(RentalsVacates!AD$12-RentalsVacates!$F30-1,RentalsVacates!$A$8:$C$162,2,FALSE)*VLOOKUP(AD$11,'Attrition Modeling'!$L$15:$N$27,IF(AD$12-$F30&lt;=24,2,3),FALSE))*(1+IF('Traditional Attrition'!AD152&gt;0,'Attrition Modeling'!$N$9,0))),0))</f>
        <v>4546.0346777932064</v>
      </c>
      <c r="AE30" s="799">
        <f>IF(AE$12=$F30+1,IF(Monthly!AA$4=TRUE,0,AE$3),IF(AE$12&gt;$F30+1,RentalsVacates!AD30*(1-IF(AE$12-$F30&lt;=12,SUMIFS('Attrition Modeling'!$D:$D,'Attrition Modeling'!$B:$B,$E30,'Attrition Modeling'!$C:$C,AE$11),VLOOKUP(RentalsVacates!AE$12-RentalsVacates!$F30-1,RentalsVacates!$A$8:$C$162,2,FALSE)*VLOOKUP(AE$11,'Attrition Modeling'!$L$15:$N$27,IF(AE$12-$F30&lt;=24,2,3),FALSE))*(1+IF('Traditional Attrition'!AE152&gt;0,'Attrition Modeling'!$N$9,0))),0))</f>
        <v>4196.5002999957114</v>
      </c>
      <c r="AF30" s="799">
        <f>IF(AF$12=$F30+1,IF(Monthly!AB$4=TRUE,0,AF$3),IF(AF$12&gt;$F30+1,RentalsVacates!AE30*(1-IF(AF$12-$F30&lt;=12,SUMIFS('Attrition Modeling'!$D:$D,'Attrition Modeling'!$B:$B,$E30,'Attrition Modeling'!$C:$C,AF$11),VLOOKUP(RentalsVacates!AF$12-RentalsVacates!$F30-1,RentalsVacates!$A$8:$C$162,2,FALSE)*VLOOKUP(AF$11,'Attrition Modeling'!$L$15:$N$27,IF(AF$12-$F30&lt;=24,2,3),FALSE))*(1+IF('Traditional Attrition'!AF152&gt;0,'Attrition Modeling'!$N$9,0))),0))</f>
        <v>3924.8024622578159</v>
      </c>
      <c r="AG30" s="799">
        <f>IF(AG$12=$F30+1,IF(Monthly!AC$4=TRUE,0,AG$3),IF(AG$12&gt;$F30+1,RentalsVacates!AF30*(1-IF(AG$12-$F30&lt;=12,SUMIFS('Attrition Modeling'!$D:$D,'Attrition Modeling'!$B:$B,$E30,'Attrition Modeling'!$C:$C,AG$11),VLOOKUP(RentalsVacates!AG$12-RentalsVacates!$F30-1,RentalsVacates!$A$8:$C$162,2,FALSE)*VLOOKUP(AG$11,'Attrition Modeling'!$L$15:$N$27,IF(AG$12-$F30&lt;=24,2,3),FALSE))*(1+IF('Traditional Attrition'!AG152&gt;0,'Attrition Modeling'!$N$9,0))),0))</f>
        <v>3704.2564299764085</v>
      </c>
      <c r="AH30" s="799">
        <f>IF(AH$12=$F30+1,IF(Monthly!AD$4=TRUE,0,AH$3),IF(AH$12&gt;$F30+1,RentalsVacates!AG30*(1-IF(AH$12-$F30&lt;=12,SUMIFS('Attrition Modeling'!$D:$D,'Attrition Modeling'!$B:$B,$E30,'Attrition Modeling'!$C:$C,AH$11),VLOOKUP(RentalsVacates!AH$12-RentalsVacates!$F30-1,RentalsVacates!$A$8:$C$162,2,FALSE)*VLOOKUP(AH$11,'Attrition Modeling'!$L$15:$N$27,IF(AH$12-$F30&lt;=24,2,3),FALSE))*(1+IF('Traditional Attrition'!AH152&gt;0,'Attrition Modeling'!$N$9,0))),0))</f>
        <v>3493.0268004842133</v>
      </c>
      <c r="AI30" s="799">
        <f>IF(AI$12=$F30+1,IF(Monthly!AE$4=TRUE,0,AI$3),IF(AI$12&gt;$F30+1,RentalsVacates!AH30*(1-IF(AI$12-$F30&lt;=12,SUMIFS('Attrition Modeling'!$D:$D,'Attrition Modeling'!$B:$B,$E30,'Attrition Modeling'!$C:$C,AI$11),VLOOKUP(RentalsVacates!AI$12-RentalsVacates!$F30-1,RentalsVacates!$A$8:$C$162,2,FALSE)*VLOOKUP(AI$11,'Attrition Modeling'!$L$15:$N$27,IF(AI$12-$F30&lt;=24,2,3),FALSE))*(1+IF('Traditional Attrition'!AI152&gt;0,'Attrition Modeling'!$N$9,0))),0))</f>
        <v>3305.9227849860081</v>
      </c>
      <c r="AJ30" s="799">
        <f>IF(AJ$12=$F30+1,IF(Monthly!AF$4=TRUE,0,AJ$3),IF(AJ$12&gt;$F30+1,RentalsVacates!AI30*(1-IF(AJ$12-$F30&lt;=12,SUMIFS('Attrition Modeling'!$D:$D,'Attrition Modeling'!$B:$B,$E30,'Attrition Modeling'!$C:$C,AJ$11),VLOOKUP(RentalsVacates!AJ$12-RentalsVacates!$F30-1,RentalsVacates!$A$8:$C$162,2,FALSE)*VLOOKUP(AJ$11,'Attrition Modeling'!$L$15:$N$27,IF(AJ$12-$F30&lt;=24,2,3),FALSE))*(1+IF('Traditional Attrition'!AJ152&gt;0,'Attrition Modeling'!$N$9,0))),0))</f>
        <v>3224.2221928315348</v>
      </c>
      <c r="AK30" s="799">
        <f>IF(AK$12=$F30+1,IF(Monthly!AG$4=TRUE,0,AK$3),IF(AK$12&gt;$F30+1,RentalsVacates!AJ30*(1-IF(AK$12-$F30&lt;=12,SUMIFS('Attrition Modeling'!$D:$D,'Attrition Modeling'!$B:$B,$E30,'Attrition Modeling'!$C:$C,AK$11),VLOOKUP(RentalsVacates!AK$12-RentalsVacates!$F30-1,RentalsVacates!$A$8:$C$162,2,FALSE)*VLOOKUP(AK$11,'Attrition Modeling'!$L$15:$N$27,IF(AK$12-$F30&lt;=24,2,3),FALSE))*(1+IF('Traditional Attrition'!AK152&gt;0,'Attrition Modeling'!$N$9,0))),0))</f>
        <v>3041.5386013116313</v>
      </c>
      <c r="AL30" s="799">
        <f>IF(AL$12=$F30+1,IF(Monthly!AH$4=TRUE,0,AL$3),IF(AL$12&gt;$F30+1,RentalsVacates!AK30*(1-IF(AL$12-$F30&lt;=12,SUMIFS('Attrition Modeling'!$D:$D,'Attrition Modeling'!$B:$B,$E30,'Attrition Modeling'!$C:$C,AL$11),VLOOKUP(RentalsVacates!AL$12-RentalsVacates!$F30-1,RentalsVacates!$A$8:$C$162,2,FALSE)*VLOOKUP(AL$11,'Attrition Modeling'!$L$15:$N$27,IF(AL$12-$F30&lt;=24,2,3),FALSE))*(1+IF('Traditional Attrition'!AL152&gt;0,'Attrition Modeling'!$N$9,0))),0))</f>
        <v>2878.7526475096647</v>
      </c>
      <c r="AM30" s="799">
        <f>IF(AM$12=$F30+1,IF(Monthly!AI$4=TRUE,0,AM$3),IF(AM$12&gt;$F30+1,RentalsVacates!AL30*(1-IF(AM$12-$F30&lt;=12,SUMIFS('Attrition Modeling'!$D:$D,'Attrition Modeling'!$B:$B,$E30,'Attrition Modeling'!$C:$C,AM$11),VLOOKUP(RentalsVacates!AM$12-RentalsVacates!$F30-1,RentalsVacates!$A$8:$C$162,2,FALSE)*VLOOKUP(AM$11,'Attrition Modeling'!$L$15:$N$27,IF(AM$12-$F30&lt;=24,2,3),FALSE))*(1+IF('Traditional Attrition'!AM152&gt;0,'Attrition Modeling'!$N$9,0))),0))</f>
        <v>2725.7426758309725</v>
      </c>
      <c r="AN30" s="799">
        <f>IF(AN$12=$F30+1,IF(Monthly!AJ$4=TRUE,0,AN$3),IF(AN$12&gt;$F30+1,RentalsVacates!AM30*(1-IF(AN$12-$F30&lt;=12,SUMIFS('Attrition Modeling'!$D:$D,'Attrition Modeling'!$B:$B,$E30,'Attrition Modeling'!$C:$C,AN$11),VLOOKUP(RentalsVacates!AN$12-RentalsVacates!$F30-1,RentalsVacates!$A$8:$C$162,2,FALSE)*VLOOKUP(AN$11,'Attrition Modeling'!$L$15:$N$27,IF(AN$12-$F30&lt;=24,2,3),FALSE))*(1+IF('Traditional Attrition'!AN152&gt;0,'Attrition Modeling'!$N$9,0))),0))</f>
        <v>2598.4593585610373</v>
      </c>
      <c r="AO30" s="799">
        <f>IF(AO$12=$F30+1,IF(Monthly!AK$4=TRUE,0,AO$3),IF(AO$12&gt;$F30+1,RentalsVacates!AN30*(1-IF(AO$12-$F30&lt;=12,SUMIFS('Attrition Modeling'!$D:$D,'Attrition Modeling'!$B:$B,$E30,'Attrition Modeling'!$C:$C,AO$11),VLOOKUP(RentalsVacates!AO$12-RentalsVacates!$F30-1,RentalsVacates!$A$8:$C$162,2,FALSE)*VLOOKUP(AO$11,'Attrition Modeling'!$L$15:$N$27,IF(AO$12-$F30&lt;=24,2,3),FALSE))*(1+IF('Traditional Attrition'!AO152&gt;0,'Attrition Modeling'!$N$9,0))),0))</f>
        <v>2477.9634231138762</v>
      </c>
      <c r="AP30" s="799">
        <f>IF(AP$12=$F30+1,IF(Monthly!AL$4=TRUE,0,AP$3),IF(AP$12&gt;$F30+1,RentalsVacates!AO30*(1-IF(AP$12-$F30&lt;=12,SUMIFS('Attrition Modeling'!$D:$D,'Attrition Modeling'!$B:$B,$E30,'Attrition Modeling'!$C:$C,AP$11),VLOOKUP(RentalsVacates!AP$12-RentalsVacates!$F30-1,RentalsVacates!$A$8:$C$162,2,FALSE)*VLOOKUP(AP$11,'Attrition Modeling'!$L$15:$N$27,IF(AP$12-$F30&lt;=24,2,3),FALSE))*(1+IF('Traditional Attrition'!AP152&gt;0,'Attrition Modeling'!$N$9,0))),0))</f>
        <v>2348.5985023915359</v>
      </c>
      <c r="AQ30" s="799">
        <f>IF(AQ$12=$F30+1,IF(Monthly!AM$4=TRUE,0,AQ$3),IF(AQ$12&gt;$F30+1,RentalsVacates!AP30*(1-IF(AQ$12-$F30&lt;=12,SUMIFS('Attrition Modeling'!$D:$D,'Attrition Modeling'!$B:$B,$E30,'Attrition Modeling'!$C:$C,AQ$11),VLOOKUP(RentalsVacates!AQ$12-RentalsVacates!$F30-1,RentalsVacates!$A$8:$C$162,2,FALSE)*VLOOKUP(AQ$11,'Attrition Modeling'!$L$15:$N$27,IF(AQ$12-$F30&lt;=24,2,3),FALSE))*(1+IF('Traditional Attrition'!AQ152&gt;0,'Attrition Modeling'!$N$9,0))),0))</f>
        <v>2249.6658419156629</v>
      </c>
      <c r="AR30" s="799">
        <f>IF(AR$12=$F30+1,IF(Monthly!AN$4=TRUE,0,AR$3),IF(AR$12&gt;$F30+1,RentalsVacates!AQ30*(1-IF(AR$12-$F30&lt;=12,SUMIFS('Attrition Modeling'!$D:$D,'Attrition Modeling'!$B:$B,$E30,'Attrition Modeling'!$C:$C,AR$11),VLOOKUP(RentalsVacates!AR$12-RentalsVacates!$F30-1,RentalsVacates!$A$8:$C$162,2,FALSE)*VLOOKUP(AR$11,'Attrition Modeling'!$L$15:$N$27,IF(AR$12-$F30&lt;=24,2,3),FALSE))*(1+IF('Traditional Attrition'!AR152&gt;0,'Attrition Modeling'!$N$9,0))),0))</f>
        <v>2156.6172863803176</v>
      </c>
      <c r="AS30" s="799">
        <f>IF(AS$12=$F30+1,IF(Monthly!AO$4=TRUE,0,AS$3),IF(AS$12&gt;$F30+1,RentalsVacates!AR30*(1-IF(AS$12-$F30&lt;=12,SUMIFS('Attrition Modeling'!$D:$D,'Attrition Modeling'!$B:$B,$E30,'Attrition Modeling'!$C:$C,AS$11),VLOOKUP(RentalsVacates!AS$12-RentalsVacates!$F30-1,RentalsVacates!$A$8:$C$162,2,FALSE)*VLOOKUP(AS$11,'Attrition Modeling'!$L$15:$N$27,IF(AS$12-$F30&lt;=24,2,3),FALSE))*(1+IF('Traditional Attrition'!AS152&gt;0,'Attrition Modeling'!$N$9,0))),0))</f>
        <v>2077.5241969031308</v>
      </c>
      <c r="AT30" s="799">
        <f>IF(AT$12=$F30+1,IF(Monthly!AP$4=TRUE,0,AT$3),IF(AT$12&gt;$F30+1,RentalsVacates!AS30*(1-IF(AT$12-$F30&lt;=12,SUMIFS('Attrition Modeling'!$D:$D,'Attrition Modeling'!$B:$B,$E30,'Attrition Modeling'!$C:$C,AT$11),VLOOKUP(RentalsVacates!AT$12-RentalsVacates!$F30-1,RentalsVacates!$A$8:$C$162,2,FALSE)*VLOOKUP(AT$11,'Attrition Modeling'!$L$15:$N$27,IF(AT$12-$F30&lt;=24,2,3),FALSE))*(1+IF('Traditional Attrition'!AT152&gt;0,'Attrition Modeling'!$N$9,0))),0))</f>
        <v>1995.873670572611</v>
      </c>
      <c r="AU30" s="799">
        <f>IF(AU$12=$F30+1,IF(Monthly!AQ$4=TRUE,0,AU$3),IF(AU$12&gt;$F30+1,RentalsVacates!AT30*(1-IF(AU$12-$F30&lt;=12,SUMIFS('Attrition Modeling'!$D:$D,'Attrition Modeling'!$B:$B,$E30,'Attrition Modeling'!$C:$C,AU$11),VLOOKUP(RentalsVacates!AU$12-RentalsVacates!$F30-1,RentalsVacates!$A$8:$C$162,2,FALSE)*VLOOKUP(AU$11,'Attrition Modeling'!$L$15:$N$27,IF(AU$12-$F30&lt;=24,2,3),FALSE))*(1+IF('Traditional Attrition'!AU152&gt;0,'Attrition Modeling'!$N$9,0))),0))</f>
        <v>1919.8497653917279</v>
      </c>
      <c r="AV30" s="799">
        <f>IF(AV$12=$F30+1,IF(Monthly!AR$4=TRUE,0,AV$3),IF(AV$12&gt;$F30+1,RentalsVacates!AU30*(1-IF(AV$12-$F30&lt;=12,SUMIFS('Attrition Modeling'!$D:$D,'Attrition Modeling'!$B:$B,$E30,'Attrition Modeling'!$C:$C,AV$11),VLOOKUP(RentalsVacates!AV$12-RentalsVacates!$F30-1,RentalsVacates!$A$8:$C$162,2,FALSE)*VLOOKUP(AV$11,'Attrition Modeling'!$L$15:$N$27,IF(AV$12-$F30&lt;=24,2,3),FALSE))*(1+IF('Traditional Attrition'!AV152&gt;0,'Attrition Modeling'!$N$9,0))),0))</f>
        <v>1848.2046136105816</v>
      </c>
      <c r="AW30" s="799">
        <f>IF(AW$12=$F30+1,IF(Monthly!AS$4=TRUE,0,AW$3),IF(AW$12&gt;$F30+1,RentalsVacates!AV30*(1-IF(AW$12-$F30&lt;=12,SUMIFS('Attrition Modeling'!$D:$D,'Attrition Modeling'!$B:$B,$E30,'Attrition Modeling'!$C:$C,AW$11),VLOOKUP(RentalsVacates!AW$12-RentalsVacates!$F30-1,RentalsVacates!$A$8:$C$162,2,FALSE)*VLOOKUP(AW$11,'Attrition Modeling'!$L$15:$N$27,IF(AW$12-$F30&lt;=24,2,3),FALSE))*(1+IF('Traditional Attrition'!AW152&gt;0,'Attrition Modeling'!$N$9,0))),0))</f>
        <v>1779.6743762730016</v>
      </c>
      <c r="AX30" s="799">
        <f>IF(AX$12=$F30+1,IF(Monthly!AT$4=TRUE,0,AX$3),IF(AX$12&gt;$F30+1,RentalsVacates!AW30*(1-IF(AX$12-$F30&lt;=12,SUMIFS('Attrition Modeling'!$D:$D,'Attrition Modeling'!$B:$B,$E30,'Attrition Modeling'!$C:$C,AX$11),VLOOKUP(RentalsVacates!AX$12-RentalsVacates!$F30-1,RentalsVacates!$A$8:$C$162,2,FALSE)*VLOOKUP(AX$11,'Attrition Modeling'!$L$15:$N$27,IF(AX$12-$F30&lt;=24,2,3),FALSE))*(1+IF('Traditional Attrition'!AX152&gt;0,'Attrition Modeling'!$N$9,0))),0))</f>
        <v>1708.7784538104102</v>
      </c>
      <c r="AY30" s="799">
        <f>IF(AY$12=$F30+1,IF(Monthly!AU$4=TRUE,0,AY$3),IF(AY$12&gt;$F30+1,RentalsVacates!AX30*(1-IF(AY$12-$F30&lt;=12,SUMIFS('Attrition Modeling'!$D:$D,'Attrition Modeling'!$B:$B,$E30,'Attrition Modeling'!$C:$C,AY$11),VLOOKUP(RentalsVacates!AY$12-RentalsVacates!$F30-1,RentalsVacates!$A$8:$C$162,2,FALSE)*VLOOKUP(AY$11,'Attrition Modeling'!$L$15:$N$27,IF(AY$12-$F30&lt;=24,2,3),FALSE))*(1+IF('Traditional Attrition'!AY152&gt;0,'Attrition Modeling'!$N$9,0))),0))</f>
        <v>1636.6682734706706</v>
      </c>
      <c r="AZ30" s="799">
        <f>IF(AZ$12=$F30+1,IF(Monthly!AV$4=TRUE,0,AZ$3),IF(AZ$12&gt;$F30+1,RentalsVacates!AY30*(1-IF(AZ$12-$F30&lt;=12,SUMIFS('Attrition Modeling'!$D:$D,'Attrition Modeling'!$B:$B,$E30,'Attrition Modeling'!$C:$C,AZ$11),VLOOKUP(RentalsVacates!AZ$12-RentalsVacates!$F30-1,RentalsVacates!$A$8:$C$162,2,FALSE)*VLOOKUP(AZ$11,'Attrition Modeling'!$L$15:$N$27,IF(AZ$12-$F30&lt;=24,2,3),FALSE))*(1+IF('Traditional Attrition'!AZ152&gt;0,'Attrition Modeling'!$N$9,0))),0))</f>
        <v>1572.6617875162242</v>
      </c>
      <c r="BA30" s="799">
        <f>IF(BA$12=$F30+1,IF(Monthly!AW$4=TRUE,0,BA$3),IF(BA$12&gt;$F30+1,RentalsVacates!AZ30*(1-IF(BA$12-$F30&lt;=12,SUMIFS('Attrition Modeling'!$D:$D,'Attrition Modeling'!$B:$B,$E30,'Attrition Modeling'!$C:$C,BA$11),VLOOKUP(RentalsVacates!BA$12-RentalsVacates!$F30-1,RentalsVacates!$A$8:$C$162,2,FALSE)*VLOOKUP(BA$11,'Attrition Modeling'!$L$15:$N$27,IF(BA$12-$F30&lt;=24,2,3),FALSE))*(1+IF('Traditional Attrition'!BA152&gt;0,'Attrition Modeling'!$N$9,0))),0))</f>
        <v>1514.0388670503946</v>
      </c>
      <c r="BB30" s="799">
        <f>IF(BB$12=$F30+1,IF(Monthly!AX$4=TRUE,0,BB$3),IF(BB$12&gt;$F30+1,RentalsVacates!BA30*(1-IF(BB$12-$F30&lt;=12,SUMIFS('Attrition Modeling'!$D:$D,'Attrition Modeling'!$B:$B,$E30,'Attrition Modeling'!$C:$C,BB$11),VLOOKUP(RentalsVacates!BB$12-RentalsVacates!$F30-1,RentalsVacates!$A$8:$C$162,2,FALSE)*VLOOKUP(BB$11,'Attrition Modeling'!$L$15:$N$27,IF(BB$12-$F30&lt;=24,2,3),FALSE))*(1+IF('Traditional Attrition'!BB152&gt;0,'Attrition Modeling'!$N$9,0))),0))</f>
        <v>1448.6744303498187</v>
      </c>
      <c r="BC30" s="799">
        <f>IF(BC$12=$F30+1,IF(Monthly!AY$4=TRUE,0,BC$3),IF(BC$12&gt;$F30+1,RentalsVacates!BB30*(1-IF(BC$12-$F30&lt;=12,SUMIFS('Attrition Modeling'!$D:$D,'Attrition Modeling'!$B:$B,$E30,'Attrition Modeling'!$C:$C,BC$11),VLOOKUP(RentalsVacates!BC$12-RentalsVacates!$F30-1,RentalsVacates!$A$8:$C$162,2,FALSE)*VLOOKUP(BC$11,'Attrition Modeling'!$L$15:$N$27,IF(BC$12-$F30&lt;=24,2,3),FALSE))*(1+IF('Traditional Attrition'!BC152&gt;0,'Attrition Modeling'!$N$9,0))),0))</f>
        <v>1406.250937678856</v>
      </c>
      <c r="BD30" s="799">
        <f>IF(BD$12=$F30+1,IF(Monthly!AZ$4=TRUE,0,BD$3),IF(BD$12&gt;$F30+1,RentalsVacates!BC30*(1-IF(BD$12-$F30&lt;=12,SUMIFS('Attrition Modeling'!$D:$D,'Attrition Modeling'!$B:$B,$E30,'Attrition Modeling'!$C:$C,BD$11),VLOOKUP(RentalsVacates!BD$12-RentalsVacates!$F30-1,RentalsVacates!$A$8:$C$162,2,FALSE)*VLOOKUP(BD$11,'Attrition Modeling'!$L$15:$N$27,IF(BD$12-$F30&lt;=24,2,3),FALSE))*(1+IF('Traditional Attrition'!BD152&gt;0,'Attrition Modeling'!$N$9,0))),0))</f>
        <v>1361.20501059497</v>
      </c>
      <c r="BE30" s="799">
        <f>IF(BE$12=$F30+1,IF(Monthly!BA$4=TRUE,0,BE$3),IF(BE$12&gt;$F30+1,RentalsVacates!BD30*(1-IF(BE$12-$F30&lt;=12,SUMIFS('Attrition Modeling'!$D:$D,'Attrition Modeling'!$B:$B,$E30,'Attrition Modeling'!$C:$C,BE$11),VLOOKUP(RentalsVacates!BE$12-RentalsVacates!$F30-1,RentalsVacates!$A$8:$C$162,2,FALSE)*VLOOKUP(BE$11,'Attrition Modeling'!$L$15:$N$27,IF(BE$12-$F30&lt;=24,2,3),FALSE))*(1+IF('Traditional Attrition'!BE152&gt;0,'Attrition Modeling'!$N$9,0))),0))</f>
        <v>1319.4648529455017</v>
      </c>
      <c r="BF30" s="799">
        <f>IF(BF$12=$F30+1,IF(Monthly!BB$4=TRUE,0,BF$3),IF(BF$12&gt;$F30+1,RentalsVacates!BE30*(1-IF(BF$12-$F30&lt;=12,SUMIFS('Attrition Modeling'!$D:$D,'Attrition Modeling'!$B:$B,$E30,'Attrition Modeling'!$C:$C,BF$11),VLOOKUP(RentalsVacates!BF$12-RentalsVacates!$F30-1,RentalsVacates!$A$8:$C$162,2,FALSE)*VLOOKUP(BF$11,'Attrition Modeling'!$L$15:$N$27,IF(BF$12-$F30&lt;=24,2,3),FALSE))*(1+IF('Traditional Attrition'!BF152&gt;0,'Attrition Modeling'!$N$9,0))),0))</f>
        <v>1281.1501988925313</v>
      </c>
      <c r="BG30" s="799">
        <f>IF(BG$12=$F30+1,IF(Monthly!BC$4=TRUE,0,BG$3),IF(BG$12&gt;$F30+1,RentalsVacates!BF30*(1-IF(BG$12-$F30&lt;=12,SUMIFS('Attrition Modeling'!$D:$D,'Attrition Modeling'!$B:$B,$E30,'Attrition Modeling'!$C:$C,BG$11),VLOOKUP(RentalsVacates!BG$12-RentalsVacates!$F30-1,RentalsVacates!$A$8:$C$162,2,FALSE)*VLOOKUP(BG$11,'Attrition Modeling'!$L$15:$N$27,IF(BG$12-$F30&lt;=24,2,3),FALSE))*(1+IF('Traditional Attrition'!BG152&gt;0,'Attrition Modeling'!$N$9,0))),0))</f>
        <v>1251.8975408174858</v>
      </c>
      <c r="BH30" s="799">
        <f>IF(BH$12=$F30+1,IF(Monthly!BD$4=TRUE,0,BH$3),IF(BH$12&gt;$F30+1,RentalsVacates!BG30*(1-IF(BH$12-$F30&lt;=12,SUMIFS('Attrition Modeling'!$D:$D,'Attrition Modeling'!$B:$B,$E30,'Attrition Modeling'!$C:$C,BH$11),VLOOKUP(RentalsVacates!BH$12-RentalsVacates!$F30-1,RentalsVacates!$A$8:$C$162,2,FALSE)*VLOOKUP(BH$11,'Attrition Modeling'!$L$15:$N$27,IF(BH$12-$F30&lt;=24,2,3),FALSE))*(1+IF('Traditional Attrition'!BH152&gt;0,'Attrition Modeling'!$N$9,0))),0))</f>
        <v>1217.7690784459674</v>
      </c>
      <c r="BI30" s="799">
        <f>IF(BI$12=$F30+1,IF(Monthly!BE$4=TRUE,0,BI$3),IF(BI$12&gt;$F30+1,RentalsVacates!BH30*(1-IF(BI$12-$F30&lt;=12,SUMIFS('Attrition Modeling'!$D:$D,'Attrition Modeling'!$B:$B,$E30,'Attrition Modeling'!$C:$C,BI$11),VLOOKUP(RentalsVacates!BI$12-RentalsVacates!$F30-1,RentalsVacates!$A$8:$C$162,2,FALSE)*VLOOKUP(BI$11,'Attrition Modeling'!$L$15:$N$27,IF(BI$12-$F30&lt;=24,2,3),FALSE))*(1+IF('Traditional Attrition'!BI152&gt;0,'Attrition Modeling'!$N$9,0))),0))</f>
        <v>1180.2906962120894</v>
      </c>
      <c r="BJ30" s="799">
        <f>IF(BJ$12=$F30+1,IF(Monthly!BF$4=TRUE,0,BJ$3),IF(BJ$12&gt;$F30+1,RentalsVacates!BI30*(1-IF(BJ$12-$F30&lt;=12,SUMIFS('Attrition Modeling'!$D:$D,'Attrition Modeling'!$B:$B,$E30,'Attrition Modeling'!$C:$C,BJ$11),VLOOKUP(RentalsVacates!BJ$12-RentalsVacates!$F30-1,RentalsVacates!$A$8:$C$162,2,FALSE)*VLOOKUP(BJ$11,'Attrition Modeling'!$L$15:$N$27,IF(BJ$12-$F30&lt;=24,2,3),FALSE))*(1+IF('Traditional Attrition'!BJ152&gt;0,'Attrition Modeling'!$N$9,0))),0))</f>
        <v>1141.134718955476</v>
      </c>
      <c r="BK30" s="799">
        <f>IF(BK$12=$F30+1,IF(Monthly!BG$4=TRUE,0,BK$3),IF(BK$12&gt;$F30+1,RentalsVacates!BJ30*(1-IF(BK$12-$F30&lt;=12,SUMIFS('Attrition Modeling'!$D:$D,'Attrition Modeling'!$B:$B,$E30,'Attrition Modeling'!$C:$C,BK$11),VLOOKUP(RentalsVacates!BK$12-RentalsVacates!$F30-1,RentalsVacates!$A$8:$C$162,2,FALSE)*VLOOKUP(BK$11,'Attrition Modeling'!$L$15:$N$27,IF(BK$12-$F30&lt;=24,2,3),FALSE))*(1+IF('Traditional Attrition'!BK152&gt;0,'Attrition Modeling'!$N$9,0))),0))</f>
        <v>1100.9065763824951</v>
      </c>
      <c r="BL30" s="799">
        <f>IF(BL$12=$F30+1,IF(Monthly!BH$4=TRUE,0,BL$3),IF(BL$12&gt;$F30+1,RentalsVacates!BK30*(1-IF(BL$12-$F30&lt;=12,SUMIFS('Attrition Modeling'!$D:$D,'Attrition Modeling'!$B:$B,$E30,'Attrition Modeling'!$C:$C,BL$11),VLOOKUP(RentalsVacates!BL$12-RentalsVacates!$F30-1,RentalsVacates!$A$8:$C$162,2,FALSE)*VLOOKUP(BL$11,'Attrition Modeling'!$L$15:$N$27,IF(BL$12-$F30&lt;=24,2,3),FALSE))*(1+IF('Traditional Attrition'!BL152&gt;0,'Attrition Modeling'!$N$9,0))),0))</f>
        <v>1064.8348362236011</v>
      </c>
      <c r="BM30" s="799">
        <f>IF(BM$12=$F30+1,IF(Monthly!BI$4=TRUE,0,BM$3),IF(BM$12&gt;$F30+1,RentalsVacates!BL30*(1-IF(BM$12-$F30&lt;=12,SUMIFS('Attrition Modeling'!$D:$D,'Attrition Modeling'!$B:$B,$E30,'Attrition Modeling'!$C:$C,BM$11),VLOOKUP(RentalsVacates!BM$12-RentalsVacates!$F30-1,RentalsVacates!$A$8:$C$162,2,FALSE)*VLOOKUP(BM$11,'Attrition Modeling'!$L$15:$N$27,IF(BM$12-$F30&lt;=24,2,3),FALSE))*(1+IF('Traditional Attrition'!BM152&gt;0,'Attrition Modeling'!$N$9,0))),0))</f>
        <v>1031.4873581601262</v>
      </c>
      <c r="BN30" s="799">
        <f>IF(BN$12=$F30+1,IF(Monthly!BJ$4=TRUE,0,BN$3),IF(BN$12&gt;$F30+1,RentalsVacates!BM30*(1-IF(BN$12-$F30&lt;=12,SUMIFS('Attrition Modeling'!$D:$D,'Attrition Modeling'!$B:$B,$E30,'Attrition Modeling'!$C:$C,BN$11),VLOOKUP(RentalsVacates!BN$12-RentalsVacates!$F30-1,RentalsVacates!$A$8:$C$162,2,FALSE)*VLOOKUP(BN$11,'Attrition Modeling'!$L$15:$N$27,IF(BN$12-$F30&lt;=24,2,3),FALSE))*(1+IF('Traditional Attrition'!BN152&gt;0,'Attrition Modeling'!$N$9,0))),0))</f>
        <v>993.9777217568427</v>
      </c>
      <c r="BO30" s="799">
        <f>IF(BO$12=$F30+1,IF(Monthly!BK$4=TRUE,0,BO$3),IF(BO$12&gt;$F30+1,RentalsVacates!BN30*(1-IF(BO$12-$F30&lt;=12,SUMIFS('Attrition Modeling'!$D:$D,'Attrition Modeling'!$B:$B,$E30,'Attrition Modeling'!$C:$C,BO$11),VLOOKUP(RentalsVacates!BO$12-RentalsVacates!$F30-1,RentalsVacates!$A$8:$C$162,2,FALSE)*VLOOKUP(BO$11,'Attrition Modeling'!$L$15:$N$27,IF(BO$12-$F30&lt;=24,2,3),FALSE))*(1+IF('Traditional Attrition'!BO152&gt;0,'Attrition Modeling'!$N$9,0))),0))</f>
        <v>969.39960631883605</v>
      </c>
      <c r="BP30" s="799">
        <f>IF(BP$12=$F30+1,IF(Monthly!BL$4=TRUE,0,BP$3),IF(BP$12&gt;$F30+1,RentalsVacates!BO30*(1-IF(BP$12-$F30&lt;=12,SUMIFS('Attrition Modeling'!$D:$D,'Attrition Modeling'!$B:$B,$E30,'Attrition Modeling'!$C:$C,BP$11),VLOOKUP(RentalsVacates!BP$12-RentalsVacates!$F30-1,RentalsVacates!$A$8:$C$162,2,FALSE)*VLOOKUP(BP$11,'Attrition Modeling'!$L$15:$N$27,IF(BP$12-$F30&lt;=24,2,3),FALSE))*(1+IF('Traditional Attrition'!BP152&gt;0,'Attrition Modeling'!$N$9,0))),0))</f>
        <v>943.11904180588681</v>
      </c>
      <c r="BQ30" s="799">
        <f>IF(BQ$12=$F30+1,IF(Monthly!BM$4=TRUE,0,BQ$3),IF(BQ$12&gt;$F30+1,RentalsVacates!BP30*(1-IF(BQ$12-$F30&lt;=12,SUMIFS('Attrition Modeling'!$D:$D,'Attrition Modeling'!$B:$B,$E30,'Attrition Modeling'!$C:$C,BQ$11),VLOOKUP(RentalsVacates!BQ$12-RentalsVacates!$F30-1,RentalsVacates!$A$8:$C$162,2,FALSE)*VLOOKUP(BQ$11,'Attrition Modeling'!$L$15:$N$27,IF(BQ$12-$F30&lt;=24,2,3),FALSE))*(1+IF('Traditional Attrition'!BQ152&gt;0,'Attrition Modeling'!$N$9,0))),0))</f>
        <v>918.58978105508959</v>
      </c>
      <c r="BR30" s="799">
        <f>IF(BR$12=$F30+1,IF(Monthly!BN$4=TRUE,0,BR$3),IF(BR$12&gt;$F30+1,RentalsVacates!BQ30*(1-IF(BR$12-$F30&lt;=12,SUMIFS('Attrition Modeling'!$D:$D,'Attrition Modeling'!$B:$B,$E30,'Attrition Modeling'!$C:$C,BR$11),VLOOKUP(RentalsVacates!BR$12-RentalsVacates!$F30-1,RentalsVacates!$A$8:$C$162,2,FALSE)*VLOOKUP(BR$11,'Attrition Modeling'!$L$15:$N$27,IF(BR$12-$F30&lt;=24,2,3),FALSE))*(1+IF('Traditional Attrition'!BR152&gt;0,'Attrition Modeling'!$N$9,0))),0))</f>
        <v>895.91862161483073</v>
      </c>
      <c r="BS30" s="799">
        <f>IF(BS$12=$F30+1,IF(Monthly!BO$4=TRUE,0,BS$3),IF(BS$12&gt;$F30+1,RentalsVacates!BR30*(1-IF(BS$12-$F30&lt;=12,SUMIFS('Attrition Modeling'!$D:$D,'Attrition Modeling'!$B:$B,$E30,'Attrition Modeling'!$C:$C,BS$11),VLOOKUP(RentalsVacates!BS$12-RentalsVacates!$F30-1,RentalsVacates!$A$8:$C$162,2,FALSE)*VLOOKUP(BS$11,'Attrition Modeling'!$L$15:$N$27,IF(BS$12-$F30&lt;=24,2,3),FALSE))*(1+IF('Traditional Attrition'!BS152&gt;0,'Attrition Modeling'!$N$9,0))),0))</f>
        <v>878.49776564297133</v>
      </c>
      <c r="BT30" s="799">
        <f>IF(BT$11=$F29+1,IF(Monthly!#REF!=TRUE,0,BT$3),IF(BT$11&gt;$F29+1,RentalsVacates!BS29*(1-IF(BT$11-$F29&lt;=12,SUMIFS('Attrition Modeling'!$D:$D,'Attrition Modeling'!$B:$B,$E29,'Attrition Modeling'!$C:$C,BT$10),VLOOKUP(RentalsVacates!BT$11-RentalsVacates!$F29-1,RentalsVacates!$A$7:$C$161,2,FALSE)*VLOOKUP(BT$10,'Attrition Modeling'!$L$15:$N$27,IF(BT$11-$F29&lt;=24,2,3),FALSE))*(1+IF('Traditional Attrition'!BT152&gt;0,'Attrition Modeling'!$N$9,0))),0))</f>
        <v>0</v>
      </c>
      <c r="BU30" s="799">
        <f>IF(BU$11=$F29+1,IF(Monthly!#REF!=TRUE,0,BU$3),IF(BU$11&gt;$F29+1,RentalsVacates!BT29*(1-IF(BU$11-$F29&lt;=12,SUMIFS('Attrition Modeling'!$D:$D,'Attrition Modeling'!$B:$B,$E29,'Attrition Modeling'!$C:$C,BU$10),VLOOKUP(RentalsVacates!BU$11-RentalsVacates!$F29-1,RentalsVacates!$A$7:$C$161,2,FALSE)*VLOOKUP(BU$10,'Attrition Modeling'!$L$15:$N$27,IF(BU$11-$F29&lt;=24,2,3),FALSE))*(1+IF('Traditional Attrition'!BU152&gt;0,'Attrition Modeling'!$N$9,0))),0))</f>
        <v>0</v>
      </c>
    </row>
    <row r="31" spans="1:73" ht="14.25" customHeight="1" x14ac:dyDescent="0.2">
      <c r="A31" s="9">
        <v>23</v>
      </c>
      <c r="B31" s="25">
        <f>MAX('Attrition Modeling'!H27,$C$3)*(1-Summary!$C$20)</f>
        <v>3.9406658897167428E-2</v>
      </c>
      <c r="C31" s="24" t="e">
        <f t="shared" si="2"/>
        <v>#DIV/0!</v>
      </c>
      <c r="E31" s="11">
        <f>'Traditional Attrition'!E88</f>
        <v>6</v>
      </c>
      <c r="F31" s="11">
        <f t="shared" si="4"/>
        <v>18</v>
      </c>
      <c r="G31" s="799"/>
      <c r="H31" s="799">
        <f>IF(H$12=$F31+1,IF(Monthly!D$4=TRUE,0,H$3),IF(H$12&gt;$F31+1,RentalsVacates!G31*(1-IF(H$12-$F31&lt;=12,SUMIFS('Attrition Modeling'!$D:$D,'Attrition Modeling'!$B:$B,$E31,'Attrition Modeling'!$C:$C,H$11),VLOOKUP(RentalsVacates!H$12-RentalsVacates!$F31-1,RentalsVacates!$A$8:$C$162,2,FALSE)*VLOOKUP(H$11,'Attrition Modeling'!$L$15:$N$27,IF(H$12-$F31&lt;=24,2,3),FALSE))*(1+IF('Traditional Attrition'!H153&gt;0,'Attrition Modeling'!$N$9,0))),0))</f>
        <v>0</v>
      </c>
      <c r="I31" s="799">
        <f>IF(I$12=$F31+1,IF(Monthly!E$4=TRUE,0,I$3),IF(I$12&gt;$F31+1,RentalsVacates!H31*(1-IF(I$12-$F31&lt;=12,SUMIFS('Attrition Modeling'!$D:$D,'Attrition Modeling'!$B:$B,$E31,'Attrition Modeling'!$C:$C,I$11),VLOOKUP(RentalsVacates!I$12-RentalsVacates!$F31-1,RentalsVacates!$A$8:$C$162,2,FALSE)*VLOOKUP(I$11,'Attrition Modeling'!$L$15:$N$27,IF(I$12-$F31&lt;=24,2,3),FALSE))*(1+IF('Traditional Attrition'!I153&gt;0,'Attrition Modeling'!$N$9,0))),0))</f>
        <v>0</v>
      </c>
      <c r="J31" s="799">
        <f>IF(J$12=$F31+1,IF(Monthly!F$4=TRUE,0,J$3),IF(J$12&gt;$F31+1,RentalsVacates!I31*(1-IF(J$12-$F31&lt;=12,SUMIFS('Attrition Modeling'!$D:$D,'Attrition Modeling'!$B:$B,$E31,'Attrition Modeling'!$C:$C,J$11),VLOOKUP(RentalsVacates!J$12-RentalsVacates!$F31-1,RentalsVacates!$A$8:$C$162,2,FALSE)*VLOOKUP(J$11,'Attrition Modeling'!$L$15:$N$27,IF(J$12-$F31&lt;=24,2,3),FALSE))*(1+IF('Traditional Attrition'!J153&gt;0,'Attrition Modeling'!$N$9,0))),0))</f>
        <v>0</v>
      </c>
      <c r="K31" s="799">
        <f>IF(K$12=$F31+1,IF(Monthly!G$4=TRUE,0,K$3),IF(K$12&gt;$F31+1,RentalsVacates!J31*(1-IF(K$12-$F31&lt;=12,SUMIFS('Attrition Modeling'!$D:$D,'Attrition Modeling'!$B:$B,$E31,'Attrition Modeling'!$C:$C,K$11),VLOOKUP(RentalsVacates!K$12-RentalsVacates!$F31-1,RentalsVacates!$A$8:$C$162,2,FALSE)*VLOOKUP(K$11,'Attrition Modeling'!$L$15:$N$27,IF(K$12-$F31&lt;=24,2,3),FALSE))*(1+IF('Traditional Attrition'!K153&gt;0,'Attrition Modeling'!$N$9,0))),0))</f>
        <v>0</v>
      </c>
      <c r="L31" s="799">
        <f>IF(L$12=$F31+1,IF(Monthly!H$4=TRUE,0,L$3),IF(L$12&gt;$F31+1,RentalsVacates!K31*(1-IF(L$12-$F31&lt;=12,SUMIFS('Attrition Modeling'!$D:$D,'Attrition Modeling'!$B:$B,$E31,'Attrition Modeling'!$C:$C,L$11),VLOOKUP(RentalsVacates!L$12-RentalsVacates!$F31-1,RentalsVacates!$A$8:$C$162,2,FALSE)*VLOOKUP(L$11,'Attrition Modeling'!$L$15:$N$27,IF(L$12-$F31&lt;=24,2,3),FALSE))*(1+IF('Traditional Attrition'!L153&gt;0,'Attrition Modeling'!$N$9,0))),0))</f>
        <v>0</v>
      </c>
      <c r="M31" s="799">
        <f>IF(M$12=$F31+1,IF(Monthly!I$4=TRUE,0,M$3),IF(M$12&gt;$F31+1,RentalsVacates!L31*(1-IF(M$12-$F31&lt;=12,SUMIFS('Attrition Modeling'!$D:$D,'Attrition Modeling'!$B:$B,$E31,'Attrition Modeling'!$C:$C,M$11),VLOOKUP(RentalsVacates!M$12-RentalsVacates!$F31-1,RentalsVacates!$A$8:$C$162,2,FALSE)*VLOOKUP(M$11,'Attrition Modeling'!$L$15:$N$27,IF(M$12-$F31&lt;=24,2,3),FALSE))*(1+IF('Traditional Attrition'!M153&gt;0,'Attrition Modeling'!$N$9,0))),0))</f>
        <v>0</v>
      </c>
      <c r="N31" s="799">
        <f>IF(N$12=$F31+1,IF(Monthly!J$4=TRUE,0,N$3),IF(N$12&gt;$F31+1,RentalsVacates!M31*(1-IF(N$12-$F31&lt;=12,SUMIFS('Attrition Modeling'!$D:$D,'Attrition Modeling'!$B:$B,$E31,'Attrition Modeling'!$C:$C,N$11),VLOOKUP(RentalsVacates!N$12-RentalsVacates!$F31-1,RentalsVacates!$A$8:$C$162,2,FALSE)*VLOOKUP(N$11,'Attrition Modeling'!$L$15:$N$27,IF(N$12-$F31&lt;=24,2,3),FALSE))*(1+IF('Traditional Attrition'!N153&gt;0,'Attrition Modeling'!$N$9,0))),0))</f>
        <v>0</v>
      </c>
      <c r="O31" s="799">
        <f>IF(O$12=$F31+1,IF(Monthly!K$4=TRUE,0,O$3),IF(O$12&gt;$F31+1,RentalsVacates!N31*(1-IF(O$12-$F31&lt;=12,SUMIFS('Attrition Modeling'!$D:$D,'Attrition Modeling'!$B:$B,$E31,'Attrition Modeling'!$C:$C,O$11),VLOOKUP(RentalsVacates!O$12-RentalsVacates!$F31-1,RentalsVacates!$A$8:$C$162,2,FALSE)*VLOOKUP(O$11,'Attrition Modeling'!$L$15:$N$27,IF(O$12-$F31&lt;=24,2,3),FALSE))*(1+IF('Traditional Attrition'!O153&gt;0,'Attrition Modeling'!$N$9,0))),0))</f>
        <v>0</v>
      </c>
      <c r="P31" s="799">
        <f>IF(P$12=$F31+1,IF(Monthly!L$4=TRUE,0,P$3),IF(P$12&gt;$F31+1,RentalsVacates!O31*(1-IF(P$12-$F31&lt;=12,SUMIFS('Attrition Modeling'!$D:$D,'Attrition Modeling'!$B:$B,$E31,'Attrition Modeling'!$C:$C,P$11),VLOOKUP(RentalsVacates!P$12-RentalsVacates!$F31-1,RentalsVacates!$A$8:$C$162,2,FALSE)*VLOOKUP(P$11,'Attrition Modeling'!$L$15:$N$27,IF(P$12-$F31&lt;=24,2,3),FALSE))*(1+IF('Traditional Attrition'!P153&gt;0,'Attrition Modeling'!$N$9,0))),0))</f>
        <v>0</v>
      </c>
      <c r="Q31" s="799">
        <f>IF(Q$12=$F31+1,IF(Monthly!M$4=TRUE,0,Q$3),IF(Q$12&gt;$F31+1,RentalsVacates!P31*(1-IF(Q$12-$F31&lt;=12,SUMIFS('Attrition Modeling'!$D:$D,'Attrition Modeling'!$B:$B,$E31,'Attrition Modeling'!$C:$C,Q$11),VLOOKUP(RentalsVacates!Q$12-RentalsVacates!$F31-1,RentalsVacates!$A$8:$C$162,2,FALSE)*VLOOKUP(Q$11,'Attrition Modeling'!$L$15:$N$27,IF(Q$12-$F31&lt;=24,2,3),FALSE))*(1+IF('Traditional Attrition'!Q153&gt;0,'Attrition Modeling'!$N$9,0))),0))</f>
        <v>0</v>
      </c>
      <c r="R31" s="799">
        <f>IF(R$12=$F31+1,IF(Monthly!N$4=TRUE,0,R$3),IF(R$12&gt;$F31+1,RentalsVacates!Q31*(1-IF(R$12-$F31&lt;=12,SUMIFS('Attrition Modeling'!$D:$D,'Attrition Modeling'!$B:$B,$E31,'Attrition Modeling'!$C:$C,R$11),VLOOKUP(RentalsVacates!R$12-RentalsVacates!$F31-1,RentalsVacates!$A$8:$C$162,2,FALSE)*VLOOKUP(R$11,'Attrition Modeling'!$L$15:$N$27,IF(R$12-$F31&lt;=24,2,3),FALSE))*(1+IF('Traditional Attrition'!R153&gt;0,'Attrition Modeling'!$N$9,0))),0))</f>
        <v>0</v>
      </c>
      <c r="S31" s="799">
        <f>IF(S$12=$F31+1,IF(Monthly!O$4=TRUE,0,S$3),IF(S$12&gt;$F31+1,RentalsVacates!R31*(1-IF(S$12-$F31&lt;=12,SUMIFS('Attrition Modeling'!$D:$D,'Attrition Modeling'!$B:$B,$E31,'Attrition Modeling'!$C:$C,S$11),VLOOKUP(RentalsVacates!S$12-RentalsVacates!$F31-1,RentalsVacates!$A$8:$C$162,2,FALSE)*VLOOKUP(S$11,'Attrition Modeling'!$L$15:$N$27,IF(S$12-$F31&lt;=24,2,3),FALSE))*(1+IF('Traditional Attrition'!S153&gt;0,'Attrition Modeling'!$N$9,0))),0))</f>
        <v>0</v>
      </c>
      <c r="T31" s="799">
        <f>IF(T$12=$F31+1,IF(Monthly!P$4=TRUE,0,T$3),IF(T$12&gt;$F31+1,RentalsVacates!S31*(1-IF(T$12-$F31&lt;=12,SUMIFS('Attrition Modeling'!$D:$D,'Attrition Modeling'!$B:$B,$E31,'Attrition Modeling'!$C:$C,T$11),VLOOKUP(RentalsVacates!T$12-RentalsVacates!$F31-1,RentalsVacates!$A$8:$C$162,2,FALSE)*VLOOKUP(T$11,'Attrition Modeling'!$L$15:$N$27,IF(T$12-$F31&lt;=24,2,3),FALSE))*(1+IF('Traditional Attrition'!T153&gt;0,'Attrition Modeling'!$N$9,0))),0))</f>
        <v>0</v>
      </c>
      <c r="U31" s="799">
        <f>IF(U$12=$F31+1,IF(Monthly!Q$4=TRUE,0,U$3),IF(U$12&gt;$F31+1,RentalsVacates!T31*(1-IF(U$12-$F31&lt;=12,SUMIFS('Attrition Modeling'!$D:$D,'Attrition Modeling'!$B:$B,$E31,'Attrition Modeling'!$C:$C,U$11),VLOOKUP(RentalsVacates!U$12-RentalsVacates!$F31-1,RentalsVacates!$A$8:$C$162,2,FALSE)*VLOOKUP(U$11,'Attrition Modeling'!$L$15:$N$27,IF(U$12-$F31&lt;=24,2,3),FALSE))*(1+IF('Traditional Attrition'!U153&gt;0,'Attrition Modeling'!$N$9,0))),0))</f>
        <v>0</v>
      </c>
      <c r="V31" s="799">
        <f>IF(V$12=$F31+1,IF(Monthly!R$4=TRUE,0,V$3),IF(V$12&gt;$F31+1,RentalsVacates!U31*(1-IF(V$12-$F31&lt;=12,SUMIFS('Attrition Modeling'!$D:$D,'Attrition Modeling'!$B:$B,$E31,'Attrition Modeling'!$C:$C,V$11),VLOOKUP(RentalsVacates!V$12-RentalsVacates!$F31-1,RentalsVacates!$A$8:$C$162,2,FALSE)*VLOOKUP(V$11,'Attrition Modeling'!$L$15:$N$27,IF(V$12-$F31&lt;=24,2,3),FALSE))*(1+IF('Traditional Attrition'!V153&gt;0,'Attrition Modeling'!$N$9,0))),0))</f>
        <v>0</v>
      </c>
      <c r="W31" s="799">
        <f>IF(W$12=$F31+1,IF(Monthly!S$4=TRUE,0,W$3),IF(W$12&gt;$F31+1,RentalsVacates!V31*(1-IF(W$12-$F31&lt;=12,SUMIFS('Attrition Modeling'!$D:$D,'Attrition Modeling'!$B:$B,$E31,'Attrition Modeling'!$C:$C,W$11),VLOOKUP(RentalsVacates!W$12-RentalsVacates!$F31-1,RentalsVacates!$A$8:$C$162,2,FALSE)*VLOOKUP(W$11,'Attrition Modeling'!$L$15:$N$27,IF(W$12-$F31&lt;=24,2,3),FALSE))*(1+IF('Traditional Attrition'!W153&gt;0,'Attrition Modeling'!$N$9,0))),0))</f>
        <v>0</v>
      </c>
      <c r="X31" s="799">
        <f>IF(X$12=$F31+1,IF(Monthly!T$4=TRUE,0,X$3),IF(X$12&gt;$F31+1,RentalsVacates!W31*(1-IF(X$12-$F31&lt;=12,SUMIFS('Attrition Modeling'!$D:$D,'Attrition Modeling'!$B:$B,$E31,'Attrition Modeling'!$C:$C,X$11),VLOOKUP(RentalsVacates!X$12-RentalsVacates!$F31-1,RentalsVacates!$A$8:$C$162,2,FALSE)*VLOOKUP(X$11,'Attrition Modeling'!$L$15:$N$27,IF(X$12-$F31&lt;=24,2,3),FALSE))*(1+IF('Traditional Attrition'!X153&gt;0,'Attrition Modeling'!$N$9,0))),0))</f>
        <v>0</v>
      </c>
      <c r="Y31" s="799">
        <f>IF(Y$12=$F31+1,IF(Monthly!U$4=TRUE,0,Y$3),IF(Y$12&gt;$F31+1,RentalsVacates!X31*(1-IF(Y$12-$F31&lt;=12,SUMIFS('Attrition Modeling'!$D:$D,'Attrition Modeling'!$B:$B,$E31,'Attrition Modeling'!$C:$C,Y$11),VLOOKUP(RentalsVacates!Y$12-RentalsVacates!$F31-1,RentalsVacates!$A$8:$C$162,2,FALSE)*VLOOKUP(Y$11,'Attrition Modeling'!$L$15:$N$27,IF(Y$12-$F31&lt;=24,2,3),FALSE))*(1+IF('Traditional Attrition'!Y153&gt;0,'Attrition Modeling'!$N$9,0))),0))</f>
        <v>0</v>
      </c>
      <c r="Z31" s="799">
        <f>IF(Z$12=$F31+1,IF(Monthly!V$4=TRUE,0,Z$3),IF(Z$12&gt;$F31+1,RentalsVacates!Y31*(1-IF(Z$12-$F31&lt;=12,SUMIFS('Attrition Modeling'!$D:$D,'Attrition Modeling'!$B:$B,$E31,'Attrition Modeling'!$C:$C,Z$11),VLOOKUP(RentalsVacates!Z$12-RentalsVacates!$F31-1,RentalsVacates!$A$8:$C$162,2,FALSE)*VLOOKUP(Z$11,'Attrition Modeling'!$L$15:$N$27,IF(Z$12-$F31&lt;=24,2,3),FALSE))*(1+IF('Traditional Attrition'!Z153&gt;0,'Attrition Modeling'!$N$9,0))),0))</f>
        <v>8109.8809438584722</v>
      </c>
      <c r="AA31" s="799">
        <f>IF(AA$12=$F31+1,IF(Monthly!W$4=TRUE,0,AA$3),IF(AA$12&gt;$F31+1,RentalsVacates!Z31*(1-IF(AA$12-$F31&lt;=12,SUMIFS('Attrition Modeling'!$D:$D,'Attrition Modeling'!$B:$B,$E31,'Attrition Modeling'!$C:$C,AA$11),VLOOKUP(RentalsVacates!AA$12-RentalsVacates!$F31-1,RentalsVacates!$A$8:$C$162,2,FALSE)*VLOOKUP(AA$11,'Attrition Modeling'!$L$15:$N$27,IF(AA$12-$F31&lt;=24,2,3),FALSE))*(1+IF('Traditional Attrition'!AA153&gt;0,'Attrition Modeling'!$N$9,0))),0))</f>
        <v>7140.6236569246612</v>
      </c>
      <c r="AB31" s="799">
        <f>IF(AB$12=$F31+1,IF(Monthly!X$4=TRUE,0,AB$3),IF(AB$12&gt;$F31+1,RentalsVacates!AA31*(1-IF(AB$12-$F31&lt;=12,SUMIFS('Attrition Modeling'!$D:$D,'Attrition Modeling'!$B:$B,$E31,'Attrition Modeling'!$C:$C,AB$11),VLOOKUP(RentalsVacates!AB$12-RentalsVacates!$F31-1,RentalsVacates!$A$8:$C$162,2,FALSE)*VLOOKUP(AB$11,'Attrition Modeling'!$L$15:$N$27,IF(AB$12-$F31&lt;=24,2,3),FALSE))*(1+IF('Traditional Attrition'!AB153&gt;0,'Attrition Modeling'!$N$9,0))),0))</f>
        <v>6349.9359728321024</v>
      </c>
      <c r="AC31" s="799">
        <f>IF(AC$12=$F31+1,IF(Monthly!Y$4=TRUE,0,AC$3),IF(AC$12&gt;$F31+1,RentalsVacates!AB31*(1-IF(AC$12-$F31&lt;=12,SUMIFS('Attrition Modeling'!$D:$D,'Attrition Modeling'!$B:$B,$E31,'Attrition Modeling'!$C:$C,AC$11),VLOOKUP(RentalsVacates!AC$12-RentalsVacates!$F31-1,RentalsVacates!$A$8:$C$162,2,FALSE)*VLOOKUP(AC$11,'Attrition Modeling'!$L$15:$N$27,IF(AC$12-$F31&lt;=24,2,3),FALSE))*(1+IF('Traditional Attrition'!AC153&gt;0,'Attrition Modeling'!$N$9,0))),0))</f>
        <v>5758.4265465927674</v>
      </c>
      <c r="AD31" s="799">
        <f>IF(AD$12=$F31+1,IF(Monthly!Z$4=TRUE,0,AD$3),IF(AD$12&gt;$F31+1,RentalsVacates!AC31*(1-IF(AD$12-$F31&lt;=12,SUMIFS('Attrition Modeling'!$D:$D,'Attrition Modeling'!$B:$B,$E31,'Attrition Modeling'!$C:$C,AD$11),VLOOKUP(RentalsVacates!AD$12-RentalsVacates!$F31-1,RentalsVacates!$A$8:$C$162,2,FALSE)*VLOOKUP(AD$11,'Attrition Modeling'!$L$15:$N$27,IF(AD$12-$F31&lt;=24,2,3),FALSE))*(1+IF('Traditional Attrition'!AD153&gt;0,'Attrition Modeling'!$N$9,0))),0))</f>
        <v>5253.1451747120236</v>
      </c>
      <c r="AE31" s="799">
        <f>IF(AE$12=$F31+1,IF(Monthly!AA$4=TRUE,0,AE$3),IF(AE$12&gt;$F31+1,RentalsVacates!AD31*(1-IF(AE$12-$F31&lt;=12,SUMIFS('Attrition Modeling'!$D:$D,'Attrition Modeling'!$B:$B,$E31,'Attrition Modeling'!$C:$C,AE$11),VLOOKUP(RentalsVacates!AE$12-RentalsVacates!$F31-1,RentalsVacates!$A$8:$C$162,2,FALSE)*VLOOKUP(AE$11,'Attrition Modeling'!$L$15:$N$27,IF(AE$12-$F31&lt;=24,2,3),FALSE))*(1+IF('Traditional Attrition'!AE153&gt;0,'Attrition Modeling'!$N$9,0))),0))</f>
        <v>4700.4357362930859</v>
      </c>
      <c r="AF31" s="799">
        <f>IF(AF$12=$F31+1,IF(Monthly!AB$4=TRUE,0,AF$3),IF(AF$12&gt;$F31+1,RentalsVacates!AE31*(1-IF(AF$12-$F31&lt;=12,SUMIFS('Attrition Modeling'!$D:$D,'Attrition Modeling'!$B:$B,$E31,'Attrition Modeling'!$C:$C,AF$11),VLOOKUP(RentalsVacates!AF$12-RentalsVacates!$F31-1,RentalsVacates!$A$8:$C$162,2,FALSE)*VLOOKUP(AF$11,'Attrition Modeling'!$L$15:$N$27,IF(AF$12-$F31&lt;=24,2,3),FALSE))*(1+IF('Traditional Attrition'!AF153&gt;0,'Attrition Modeling'!$N$9,0))),0))</f>
        <v>4376.8692562742235</v>
      </c>
      <c r="AG31" s="799">
        <f>IF(AG$12=$F31+1,IF(Monthly!AC$4=TRUE,0,AG$3),IF(AG$12&gt;$F31+1,RentalsVacates!AF31*(1-IF(AG$12-$F31&lt;=12,SUMIFS('Attrition Modeling'!$D:$D,'Attrition Modeling'!$B:$B,$E31,'Attrition Modeling'!$C:$C,AG$11),VLOOKUP(RentalsVacates!AG$12-RentalsVacates!$F31-1,RentalsVacates!$A$8:$C$162,2,FALSE)*VLOOKUP(AG$11,'Attrition Modeling'!$L$15:$N$27,IF(AG$12-$F31&lt;=24,2,3),FALSE))*(1+IF('Traditional Attrition'!AG153&gt;0,'Attrition Modeling'!$N$9,0))),0))</f>
        <v>4106.5357783053914</v>
      </c>
      <c r="AH31" s="799">
        <f>IF(AH$12=$F31+1,IF(Monthly!AD$4=TRUE,0,AH$3),IF(AH$12&gt;$F31+1,RentalsVacates!AG31*(1-IF(AH$12-$F31&lt;=12,SUMIFS('Attrition Modeling'!$D:$D,'Attrition Modeling'!$B:$B,$E31,'Attrition Modeling'!$C:$C,AH$11),VLOOKUP(RentalsVacates!AH$12-RentalsVacates!$F31-1,RentalsVacates!$A$8:$C$162,2,FALSE)*VLOOKUP(AH$11,'Attrition Modeling'!$L$15:$N$27,IF(AH$12-$F31&lt;=24,2,3),FALSE))*(1+IF('Traditional Attrition'!AH153&gt;0,'Attrition Modeling'!$N$9,0))),0))</f>
        <v>3841.385920674998</v>
      </c>
      <c r="AI31" s="799">
        <f>IF(AI$12=$F31+1,IF(Monthly!AE$4=TRUE,0,AI$3),IF(AI$12&gt;$F31+1,RentalsVacates!AH31*(1-IF(AI$12-$F31&lt;=12,SUMIFS('Attrition Modeling'!$D:$D,'Attrition Modeling'!$B:$B,$E31,'Attrition Modeling'!$C:$C,AI$11),VLOOKUP(RentalsVacates!AI$12-RentalsVacates!$F31-1,RentalsVacates!$A$8:$C$162,2,FALSE)*VLOOKUP(AI$11,'Attrition Modeling'!$L$15:$N$27,IF(AI$12-$F31&lt;=24,2,3),FALSE))*(1+IF('Traditional Attrition'!AI153&gt;0,'Attrition Modeling'!$N$9,0))),0))</f>
        <v>3629.0941862558834</v>
      </c>
      <c r="AJ31" s="799">
        <f>IF(AJ$12=$F31+1,IF(Monthly!AF$4=TRUE,0,AJ$3),IF(AJ$12&gt;$F31+1,RentalsVacates!AI31*(1-IF(AJ$12-$F31&lt;=12,SUMIFS('Attrition Modeling'!$D:$D,'Attrition Modeling'!$B:$B,$E31,'Attrition Modeling'!$C:$C,AJ$11),VLOOKUP(RentalsVacates!AJ$12-RentalsVacates!$F31-1,RentalsVacates!$A$8:$C$162,2,FALSE)*VLOOKUP(AJ$11,'Attrition Modeling'!$L$15:$N$27,IF(AJ$12-$F31&lt;=24,2,3),FALSE))*(1+IF('Traditional Attrition'!AJ153&gt;0,'Attrition Modeling'!$N$9,0))),0))</f>
        <v>3421.1407747595372</v>
      </c>
      <c r="AK31" s="799">
        <f>IF(AK$12=$F31+1,IF(Monthly!AG$4=TRUE,0,AK$3),IF(AK$12&gt;$F31+1,RentalsVacates!AJ31*(1-IF(AK$12-$F31&lt;=12,SUMIFS('Attrition Modeling'!$D:$D,'Attrition Modeling'!$B:$B,$E31,'Attrition Modeling'!$C:$C,AK$11),VLOOKUP(RentalsVacates!AK$12-RentalsVacates!$F31-1,RentalsVacates!$A$8:$C$162,2,FALSE)*VLOOKUP(AK$11,'Attrition Modeling'!$L$15:$N$27,IF(AK$12-$F31&lt;=24,2,3),FALSE))*(1+IF('Traditional Attrition'!AK153&gt;0,'Attrition Modeling'!$N$9,0))),0))</f>
        <v>3322.8194810572672</v>
      </c>
      <c r="AL31" s="799">
        <f>IF(AL$12=$F31+1,IF(Monthly!AH$4=TRUE,0,AL$3),IF(AL$12&gt;$F31+1,RentalsVacates!AK31*(1-IF(AL$12-$F31&lt;=12,SUMIFS('Attrition Modeling'!$D:$D,'Attrition Modeling'!$B:$B,$E31,'Attrition Modeling'!$C:$C,AL$11),VLOOKUP(RentalsVacates!AL$12-RentalsVacates!$F31-1,RentalsVacates!$A$8:$C$162,2,FALSE)*VLOOKUP(AL$11,'Attrition Modeling'!$L$15:$N$27,IF(AL$12-$F31&lt;=24,2,3),FALSE))*(1+IF('Traditional Attrition'!AL153&gt;0,'Attrition Modeling'!$N$9,0))),0))</f>
        <v>3130.0929305774089</v>
      </c>
      <c r="AM31" s="799">
        <f>IF(AM$12=$F31+1,IF(Monthly!AI$4=TRUE,0,AM$3),IF(AM$12&gt;$F31+1,RentalsVacates!AL31*(1-IF(AM$12-$F31&lt;=12,SUMIFS('Attrition Modeling'!$D:$D,'Attrition Modeling'!$B:$B,$E31,'Attrition Modeling'!$C:$C,AM$11),VLOOKUP(RentalsVacates!AM$12-RentalsVacates!$F31-1,RentalsVacates!$A$8:$C$162,2,FALSE)*VLOOKUP(AM$11,'Attrition Modeling'!$L$15:$N$27,IF(AM$12-$F31&lt;=24,2,3),FALSE))*(1+IF('Traditional Attrition'!AM153&gt;0,'Attrition Modeling'!$N$9,0))),0))</f>
        <v>2955.1582667513853</v>
      </c>
      <c r="AN31" s="799">
        <f>IF(AN$12=$F31+1,IF(Monthly!AJ$4=TRUE,0,AN$3),IF(AN$12&gt;$F31+1,RentalsVacates!AM31*(1-IF(AN$12-$F31&lt;=12,SUMIFS('Attrition Modeling'!$D:$D,'Attrition Modeling'!$B:$B,$E31,'Attrition Modeling'!$C:$C,AN$11),VLOOKUP(RentalsVacates!AN$12-RentalsVacates!$F31-1,RentalsVacates!$A$8:$C$162,2,FALSE)*VLOOKUP(AN$11,'Attrition Modeling'!$L$15:$N$27,IF(AN$12-$F31&lt;=24,2,3),FALSE))*(1+IF('Traditional Attrition'!AN153&gt;0,'Attrition Modeling'!$N$9,0))),0))</f>
        <v>2811.9299290156869</v>
      </c>
      <c r="AO31" s="799">
        <f>IF(AO$12=$F31+1,IF(Monthly!AK$4=TRUE,0,AO$3),IF(AO$12&gt;$F31+1,RentalsVacates!AN31*(1-IF(AO$12-$F31&lt;=12,SUMIFS('Attrition Modeling'!$D:$D,'Attrition Modeling'!$B:$B,$E31,'Attrition Modeling'!$C:$C,AO$11),VLOOKUP(RentalsVacates!AO$12-RentalsVacates!$F31-1,RentalsVacates!$A$8:$C$162,2,FALSE)*VLOOKUP(AO$11,'Attrition Modeling'!$L$15:$N$27,IF(AO$12-$F31&lt;=24,2,3),FALSE))*(1+IF('Traditional Attrition'!AO153&gt;0,'Attrition Modeling'!$N$9,0))),0))</f>
        <v>2677.5839732347567</v>
      </c>
      <c r="AP31" s="799">
        <f>IF(AP$12=$F31+1,IF(Monthly!AL$4=TRUE,0,AP$3),IF(AP$12&gt;$F31+1,RentalsVacates!AO31*(1-IF(AP$12-$F31&lt;=12,SUMIFS('Attrition Modeling'!$D:$D,'Attrition Modeling'!$B:$B,$E31,'Attrition Modeling'!$C:$C,AP$11),VLOOKUP(RentalsVacates!AP$12-RentalsVacates!$F31-1,RentalsVacates!$A$8:$C$162,2,FALSE)*VLOOKUP(AP$11,'Attrition Modeling'!$L$15:$N$27,IF(AP$12-$F31&lt;=24,2,3),FALSE))*(1+IF('Traditional Attrition'!AP153&gt;0,'Attrition Modeling'!$N$9,0))),0))</f>
        <v>2558.1382657339032</v>
      </c>
      <c r="AQ31" s="799">
        <f>IF(AQ$12=$F31+1,IF(Monthly!AM$4=TRUE,0,AQ$3),IF(AQ$12&gt;$F31+1,RentalsVacates!AP31*(1-IF(AQ$12-$F31&lt;=12,SUMIFS('Attrition Modeling'!$D:$D,'Attrition Modeling'!$B:$B,$E31,'Attrition Modeling'!$C:$C,AQ$11),VLOOKUP(RentalsVacates!AQ$12-RentalsVacates!$F31-1,RentalsVacates!$A$8:$C$162,2,FALSE)*VLOOKUP(AQ$11,'Attrition Modeling'!$L$15:$N$27,IF(AQ$12-$F31&lt;=24,2,3),FALSE))*(1+IF('Traditional Attrition'!AQ153&gt;0,'Attrition Modeling'!$N$9,0))),0))</f>
        <v>2425.9907886560504</v>
      </c>
      <c r="AR31" s="799">
        <f>IF(AR$12=$F31+1,IF(Monthly!AN$4=TRUE,0,AR$3),IF(AR$12&gt;$F31+1,RentalsVacates!AQ31*(1-IF(AR$12-$F31&lt;=12,SUMIFS('Attrition Modeling'!$D:$D,'Attrition Modeling'!$B:$B,$E31,'Attrition Modeling'!$C:$C,AR$11),VLOOKUP(RentalsVacates!AR$12-RentalsVacates!$F31-1,RentalsVacates!$A$8:$C$162,2,FALSE)*VLOOKUP(AR$11,'Attrition Modeling'!$L$15:$N$27,IF(AR$12-$F31&lt;=24,2,3),FALSE))*(1+IF('Traditional Attrition'!AR153&gt;0,'Attrition Modeling'!$N$9,0))),0))</f>
        <v>2323.7058529917504</v>
      </c>
      <c r="AS31" s="799">
        <f>IF(AS$12=$F31+1,IF(Monthly!AO$4=TRUE,0,AS$3),IF(AS$12&gt;$F31+1,RentalsVacates!AR31*(1-IF(AS$12-$F31&lt;=12,SUMIFS('Attrition Modeling'!$D:$D,'Attrition Modeling'!$B:$B,$E31,'Attrition Modeling'!$C:$C,AS$11),VLOOKUP(RentalsVacates!AS$12-RentalsVacates!$F31-1,RentalsVacates!$A$8:$C$162,2,FALSE)*VLOOKUP(AS$11,'Attrition Modeling'!$L$15:$N$27,IF(AS$12-$F31&lt;=24,2,3),FALSE))*(1+IF('Traditional Attrition'!AS153&gt;0,'Attrition Modeling'!$N$9,0))),0))</f>
        <v>2237.0036704821305</v>
      </c>
      <c r="AT31" s="799">
        <f>IF(AT$12=$F31+1,IF(Monthly!AP$4=TRUE,0,AT$3),IF(AT$12&gt;$F31+1,RentalsVacates!AS31*(1-IF(AT$12-$F31&lt;=12,SUMIFS('Attrition Modeling'!$D:$D,'Attrition Modeling'!$B:$B,$E31,'Attrition Modeling'!$C:$C,AT$11),VLOOKUP(RentalsVacates!AT$12-RentalsVacates!$F31-1,RentalsVacates!$A$8:$C$162,2,FALSE)*VLOOKUP(AT$11,'Attrition Modeling'!$L$15:$N$27,IF(AT$12-$F31&lt;=24,2,3),FALSE))*(1+IF('Traditional Attrition'!AT153&gt;0,'Attrition Modeling'!$N$9,0))),0))</f>
        <v>2147.6968169699289</v>
      </c>
      <c r="AU31" s="799">
        <f>IF(AU$12=$F31+1,IF(Monthly!AQ$4=TRUE,0,AU$3),IF(AU$12&gt;$F31+1,RentalsVacates!AT31*(1-IF(AU$12-$F31&lt;=12,SUMIFS('Attrition Modeling'!$D:$D,'Attrition Modeling'!$B:$B,$E31,'Attrition Modeling'!$C:$C,AU$11),VLOOKUP(RentalsVacates!AU$12-RentalsVacates!$F31-1,RentalsVacates!$A$8:$C$162,2,FALSE)*VLOOKUP(AU$11,'Attrition Modeling'!$L$15:$N$27,IF(AU$12-$F31&lt;=24,2,3),FALSE))*(1+IF('Traditional Attrition'!AU153&gt;0,'Attrition Modeling'!$N$9,0))),0))</f>
        <v>2064.7042157302353</v>
      </c>
      <c r="AV31" s="799">
        <f>IF(AV$12=$F31+1,IF(Monthly!AR$4=TRUE,0,AV$3),IF(AV$12&gt;$F31+1,RentalsVacates!AU31*(1-IF(AV$12-$F31&lt;=12,SUMIFS('Attrition Modeling'!$D:$D,'Attrition Modeling'!$B:$B,$E31,'Attrition Modeling'!$C:$C,AV$11),VLOOKUP(RentalsVacates!AV$12-RentalsVacates!$F31-1,RentalsVacates!$A$8:$C$162,2,FALSE)*VLOOKUP(AV$11,'Attrition Modeling'!$L$15:$N$27,IF(AV$12-$F31&lt;=24,2,3),FALSE))*(1+IF('Traditional Attrition'!AV153&gt;0,'Attrition Modeling'!$N$9,0))),0))</f>
        <v>1986.6201981764013</v>
      </c>
      <c r="AW31" s="799">
        <f>IF(AW$12=$F31+1,IF(Monthly!AS$4=TRUE,0,AW$3),IF(AW$12&gt;$F31+1,RentalsVacates!AV31*(1-IF(AW$12-$F31&lt;=12,SUMIFS('Attrition Modeling'!$D:$D,'Attrition Modeling'!$B:$B,$E31,'Attrition Modeling'!$C:$C,AW$11),VLOOKUP(RentalsVacates!AW$12-RentalsVacates!$F31-1,RentalsVacates!$A$8:$C$162,2,FALSE)*VLOOKUP(AW$11,'Attrition Modeling'!$L$15:$N$27,IF(AW$12-$F31&lt;=24,2,3),FALSE))*(1+IF('Traditional Attrition'!AW153&gt;0,'Attrition Modeling'!$N$9,0))),0))</f>
        <v>1905.2273128861759</v>
      </c>
      <c r="AX31" s="799">
        <f>IF(AX$12=$F31+1,IF(Monthly!AT$4=TRUE,0,AX$3),IF(AX$12&gt;$F31+1,RentalsVacates!AW31*(1-IF(AX$12-$F31&lt;=12,SUMIFS('Attrition Modeling'!$D:$D,'Attrition Modeling'!$B:$B,$E31,'Attrition Modeling'!$C:$C,AX$11),VLOOKUP(RentalsVacates!AX$12-RentalsVacates!$F31-1,RentalsVacates!$A$8:$C$162,2,FALSE)*VLOOKUP(AX$11,'Attrition Modeling'!$L$15:$N$27,IF(AX$12-$F31&lt;=24,2,3),FALSE))*(1+IF('Traditional Attrition'!AX153&gt;0,'Attrition Modeling'!$N$9,0))),0))</f>
        <v>1828.0082465286575</v>
      </c>
      <c r="AY31" s="799">
        <f>IF(AY$12=$F31+1,IF(Monthly!AU$4=TRUE,0,AY$3),IF(AY$12&gt;$F31+1,RentalsVacates!AX31*(1-IF(AY$12-$F31&lt;=12,SUMIFS('Attrition Modeling'!$D:$D,'Attrition Modeling'!$B:$B,$E31,'Attrition Modeling'!$C:$C,AY$11),VLOOKUP(RentalsVacates!AY$12-RentalsVacates!$F31-1,RentalsVacates!$A$8:$C$162,2,FALSE)*VLOOKUP(AY$11,'Attrition Modeling'!$L$15:$N$27,IF(AY$12-$F31&lt;=24,2,3),FALSE))*(1+IF('Traditional Attrition'!AY153&gt;0,'Attrition Modeling'!$N$9,0))),0))</f>
        <v>1749.5540964205607</v>
      </c>
      <c r="AZ31" s="799">
        <f>IF(AZ$12=$F31+1,IF(Monthly!AV$4=TRUE,0,AZ$3),IF(AZ$12&gt;$F31+1,RentalsVacates!AY31*(1-IF(AZ$12-$F31&lt;=12,SUMIFS('Attrition Modeling'!$D:$D,'Attrition Modeling'!$B:$B,$E31,'Attrition Modeling'!$C:$C,AZ$11),VLOOKUP(RentalsVacates!AZ$12-RentalsVacates!$F31-1,RentalsVacates!$A$8:$C$162,2,FALSE)*VLOOKUP(AZ$11,'Attrition Modeling'!$L$15:$N$27,IF(AZ$12-$F31&lt;=24,2,3),FALSE))*(1+IF('Traditional Attrition'!AZ153&gt;0,'Attrition Modeling'!$N$9,0))),0))</f>
        <v>1679.9940688234133</v>
      </c>
      <c r="BA31" s="799">
        <f>IF(BA$12=$F31+1,IF(Monthly!AW$4=TRUE,0,BA$3),IF(BA$12&gt;$F31+1,RentalsVacates!AZ31*(1-IF(BA$12-$F31&lt;=12,SUMIFS('Attrition Modeling'!$D:$D,'Attrition Modeling'!$B:$B,$E31,'Attrition Modeling'!$C:$C,BA$11),VLOOKUP(RentalsVacates!BA$12-RentalsVacates!$F31-1,RentalsVacates!$A$8:$C$162,2,FALSE)*VLOOKUP(BA$11,'Attrition Modeling'!$L$15:$N$27,IF(BA$12-$F31&lt;=24,2,3),FALSE))*(1+IF('Traditional Attrition'!BA153&gt;0,'Attrition Modeling'!$N$9,0))),0))</f>
        <v>1616.3494101547656</v>
      </c>
      <c r="BB31" s="799">
        <f>IF(BB$12=$F31+1,IF(Monthly!AX$4=TRUE,0,BB$3),IF(BB$12&gt;$F31+1,RentalsVacates!BA31*(1-IF(BB$12-$F31&lt;=12,SUMIFS('Attrition Modeling'!$D:$D,'Attrition Modeling'!$B:$B,$E31,'Attrition Modeling'!$C:$C,BB$11),VLOOKUP(RentalsVacates!BB$12-RentalsVacates!$F31-1,RentalsVacates!$A$8:$C$162,2,FALSE)*VLOOKUP(BB$11,'Attrition Modeling'!$L$15:$N$27,IF(BB$12-$F31&lt;=24,2,3),FALSE))*(1+IF('Traditional Attrition'!BB153&gt;0,'Attrition Modeling'!$N$9,0))),0))</f>
        <v>1557.2689974429845</v>
      </c>
      <c r="BC31" s="799">
        <f>IF(BC$12=$F31+1,IF(Monthly!AY$4=TRUE,0,BC$3),IF(BC$12&gt;$F31+1,RentalsVacates!BB31*(1-IF(BC$12-$F31&lt;=12,SUMIFS('Attrition Modeling'!$D:$D,'Attrition Modeling'!$B:$B,$E31,'Attrition Modeling'!$C:$C,BC$11),VLOOKUP(RentalsVacates!BC$12-RentalsVacates!$F31-1,RentalsVacates!$A$8:$C$162,2,FALSE)*VLOOKUP(BC$11,'Attrition Modeling'!$L$15:$N$27,IF(BC$12-$F31&lt;=24,2,3),FALSE))*(1+IF('Traditional Attrition'!BC153&gt;0,'Attrition Modeling'!$N$9,0))),0))</f>
        <v>1501.6865855711201</v>
      </c>
      <c r="BD31" s="799">
        <f>IF(BD$12=$F31+1,IF(Monthly!AZ$4=TRUE,0,BD$3),IF(BD$12&gt;$F31+1,RentalsVacates!BC31*(1-IF(BD$12-$F31&lt;=12,SUMIFS('Attrition Modeling'!$D:$D,'Attrition Modeling'!$B:$B,$E31,'Attrition Modeling'!$C:$C,BD$11),VLOOKUP(RentalsVacates!BD$12-RentalsVacates!$F31-1,RentalsVacates!$A$8:$C$162,2,FALSE)*VLOOKUP(BD$11,'Attrition Modeling'!$L$15:$N$27,IF(BD$12-$F31&lt;=24,2,3),FALSE))*(1+IF('Traditional Attrition'!BD153&gt;0,'Attrition Modeling'!$N$9,0))),0))</f>
        <v>1452.8428506821642</v>
      </c>
      <c r="BE31" s="799">
        <f>IF(BE$12=$F31+1,IF(Monthly!BA$4=TRUE,0,BE$3),IF(BE$12&gt;$F31+1,RentalsVacates!BD31*(1-IF(BE$12-$F31&lt;=12,SUMIFS('Attrition Modeling'!$D:$D,'Attrition Modeling'!$B:$B,$E31,'Attrition Modeling'!$C:$C,BE$11),VLOOKUP(RentalsVacates!BE$12-RentalsVacates!$F31-1,RentalsVacates!$A$8:$C$162,2,FALSE)*VLOOKUP(BE$11,'Attrition Modeling'!$L$15:$N$27,IF(BE$12-$F31&lt;=24,2,3),FALSE))*(1+IF('Traditional Attrition'!BE153&gt;0,'Attrition Modeling'!$N$9,0))),0))</f>
        <v>1407.6183864710151</v>
      </c>
      <c r="BF31" s="799">
        <f>IF(BF$12=$F31+1,IF(Monthly!BB$4=TRUE,0,BF$3),IF(BF$12&gt;$F31+1,RentalsVacates!BE31*(1-IF(BF$12-$F31&lt;=12,SUMIFS('Attrition Modeling'!$D:$D,'Attrition Modeling'!$B:$B,$E31,'Attrition Modeling'!$C:$C,BF$11),VLOOKUP(RentalsVacates!BF$12-RentalsVacates!$F31-1,RentalsVacates!$A$8:$C$162,2,FALSE)*VLOOKUP(BF$11,'Attrition Modeling'!$L$15:$N$27,IF(BF$12-$F31&lt;=24,2,3),FALSE))*(1+IF('Traditional Attrition'!BF153&gt;0,'Attrition Modeling'!$N$9,0))),0))</f>
        <v>1366.1353621693024</v>
      </c>
      <c r="BG31" s="799">
        <f>IF(BG$12=$F31+1,IF(Monthly!BC$4=TRUE,0,BG$3),IF(BG$12&gt;$F31+1,RentalsVacates!BF31*(1-IF(BG$12-$F31&lt;=12,SUMIFS('Attrition Modeling'!$D:$D,'Attrition Modeling'!$B:$B,$E31,'Attrition Modeling'!$C:$C,BG$11),VLOOKUP(RentalsVacates!BG$12-RentalsVacates!$F31-1,RentalsVacates!$A$8:$C$162,2,FALSE)*VLOOKUP(BG$11,'Attrition Modeling'!$L$15:$N$27,IF(BG$12-$F31&lt;=24,2,3),FALSE))*(1+IF('Traditional Attrition'!BG153&gt;0,'Attrition Modeling'!$N$9,0))),0))</f>
        <v>1334.485065911862</v>
      </c>
      <c r="BH31" s="799">
        <f>IF(BH$12=$F31+1,IF(Monthly!BD$4=TRUE,0,BH$3),IF(BH$12&gt;$F31+1,RentalsVacates!BG31*(1-IF(BH$12-$F31&lt;=12,SUMIFS('Attrition Modeling'!$D:$D,'Attrition Modeling'!$B:$B,$E31,'Attrition Modeling'!$C:$C,BH$11),VLOOKUP(RentalsVacates!BH$12-RentalsVacates!$F31-1,RentalsVacates!$A$8:$C$162,2,FALSE)*VLOOKUP(BH$11,'Attrition Modeling'!$L$15:$N$27,IF(BH$12-$F31&lt;=24,2,3),FALSE))*(1+IF('Traditional Attrition'!BH153&gt;0,'Attrition Modeling'!$N$9,0))),0))</f>
        <v>1297.5799574884293</v>
      </c>
      <c r="BI31" s="799">
        <f>IF(BI$12=$F31+1,IF(Monthly!BE$4=TRUE,0,BI$3),IF(BI$12&gt;$F31+1,RentalsVacates!BH31*(1-IF(BI$12-$F31&lt;=12,SUMIFS('Attrition Modeling'!$D:$D,'Attrition Modeling'!$B:$B,$E31,'Attrition Modeling'!$C:$C,BI$11),VLOOKUP(RentalsVacates!BI$12-RentalsVacates!$F31-1,RentalsVacates!$A$8:$C$162,2,FALSE)*VLOOKUP(BI$11,'Attrition Modeling'!$L$15:$N$27,IF(BI$12-$F31&lt;=24,2,3),FALSE))*(1+IF('Traditional Attrition'!BI153&gt;0,'Attrition Modeling'!$N$9,0))),0))</f>
        <v>1257.077050810097</v>
      </c>
      <c r="BJ31" s="799">
        <f>IF(BJ$12=$F31+1,IF(Monthly!BF$4=TRUE,0,BJ$3),IF(BJ$12&gt;$F31+1,RentalsVacates!BI31*(1-IF(BJ$12-$F31&lt;=12,SUMIFS('Attrition Modeling'!$D:$D,'Attrition Modeling'!$B:$B,$E31,'Attrition Modeling'!$C:$C,BJ$11),VLOOKUP(RentalsVacates!BJ$12-RentalsVacates!$F31-1,RentalsVacates!$A$8:$C$162,2,FALSE)*VLOOKUP(BJ$11,'Attrition Modeling'!$L$15:$N$27,IF(BJ$12-$F31&lt;=24,2,3),FALSE))*(1+IF('Traditional Attrition'!BJ153&gt;0,'Attrition Modeling'!$N$9,0))),0))</f>
        <v>1214.7884463475682</v>
      </c>
      <c r="BK31" s="799">
        <f>IF(BK$12=$F31+1,IF(Monthly!BG$4=TRUE,0,BK$3),IF(BK$12&gt;$F31+1,RentalsVacates!BJ31*(1-IF(BK$12-$F31&lt;=12,SUMIFS('Attrition Modeling'!$D:$D,'Attrition Modeling'!$B:$B,$E31,'Attrition Modeling'!$C:$C,BK$11),VLOOKUP(RentalsVacates!BK$12-RentalsVacates!$F31-1,RentalsVacates!$A$8:$C$162,2,FALSE)*VLOOKUP(BK$11,'Attrition Modeling'!$L$15:$N$27,IF(BK$12-$F31&lt;=24,2,3),FALSE))*(1+IF('Traditional Attrition'!BK153&gt;0,'Attrition Modeling'!$N$9,0))),0))</f>
        <v>1171.3707479111467</v>
      </c>
      <c r="BL31" s="799">
        <f>IF(BL$12=$F31+1,IF(Monthly!BH$4=TRUE,0,BL$3),IF(BL$12&gt;$F31+1,RentalsVacates!BK31*(1-IF(BL$12-$F31&lt;=12,SUMIFS('Attrition Modeling'!$D:$D,'Attrition Modeling'!$B:$B,$E31,'Attrition Modeling'!$C:$C,BL$11),VLOOKUP(RentalsVacates!BL$12-RentalsVacates!$F31-1,RentalsVacates!$A$8:$C$162,2,FALSE)*VLOOKUP(BL$11,'Attrition Modeling'!$L$15:$N$27,IF(BL$12-$F31&lt;=24,2,3),FALSE))*(1+IF('Traditional Attrition'!BL153&gt;0,'Attrition Modeling'!$N$9,0))),0))</f>
        <v>1132.4654286184518</v>
      </c>
      <c r="BM31" s="799">
        <f>IF(BM$12=$F31+1,IF(Monthly!BI$4=TRUE,0,BM$3),IF(BM$12&gt;$F31+1,RentalsVacates!BL31*(1-IF(BM$12-$F31&lt;=12,SUMIFS('Attrition Modeling'!$D:$D,'Attrition Modeling'!$B:$B,$E31,'Attrition Modeling'!$C:$C,BM$11),VLOOKUP(RentalsVacates!BM$12-RentalsVacates!$F31-1,RentalsVacates!$A$8:$C$162,2,FALSE)*VLOOKUP(BM$11,'Attrition Modeling'!$L$15:$N$27,IF(BM$12-$F31&lt;=24,2,3),FALSE))*(1+IF('Traditional Attrition'!BM153&gt;0,'Attrition Modeling'!$N$9,0))),0))</f>
        <v>1096.5209264252408</v>
      </c>
      <c r="BN31" s="799">
        <f>IF(BN$12=$F31+1,IF(Monthly!BJ$4=TRUE,0,BN$3),IF(BN$12&gt;$F31+1,RentalsVacates!BM31*(1-IF(BN$12-$F31&lt;=12,SUMIFS('Attrition Modeling'!$D:$D,'Attrition Modeling'!$B:$B,$E31,'Attrition Modeling'!$C:$C,BN$11),VLOOKUP(RentalsVacates!BN$12-RentalsVacates!$F31-1,RentalsVacates!$A$8:$C$162,2,FALSE)*VLOOKUP(BN$11,'Attrition Modeling'!$L$15:$N$27,IF(BN$12-$F31&lt;=24,2,3),FALSE))*(1+IF('Traditional Attrition'!BN153&gt;0,'Attrition Modeling'!$N$9,0))),0))</f>
        <v>1062.8485455821226</v>
      </c>
      <c r="BO31" s="799">
        <f>IF(BO$12=$F31+1,IF(Monthly!BK$4=TRUE,0,BO$3),IF(BO$12&gt;$F31+1,RentalsVacates!BN31*(1-IF(BO$12-$F31&lt;=12,SUMIFS('Attrition Modeling'!$D:$D,'Attrition Modeling'!$B:$B,$E31,'Attrition Modeling'!$C:$C,BO$11),VLOOKUP(RentalsVacates!BO$12-RentalsVacates!$F31-1,RentalsVacates!$A$8:$C$162,2,FALSE)*VLOOKUP(BO$11,'Attrition Modeling'!$L$15:$N$27,IF(BO$12-$F31&lt;=24,2,3),FALSE))*(1+IF('Traditional Attrition'!BO153&gt;0,'Attrition Modeling'!$N$9,0))),0))</f>
        <v>1030.8949614245212</v>
      </c>
      <c r="BP31" s="799">
        <f>IF(BP$12=$F31+1,IF(Monthly!BL$4=TRUE,0,BP$3),IF(BP$12&gt;$F31+1,RentalsVacates!BO31*(1-IF(BP$12-$F31&lt;=12,SUMIFS('Attrition Modeling'!$D:$D,'Attrition Modeling'!$B:$B,$E31,'Attrition Modeling'!$C:$C,BP$11),VLOOKUP(RentalsVacates!BP$12-RentalsVacates!$F31-1,RentalsVacates!$A$8:$C$162,2,FALSE)*VLOOKUP(BP$11,'Attrition Modeling'!$L$15:$N$27,IF(BP$12-$F31&lt;=24,2,3),FALSE))*(1+IF('Traditional Attrition'!BP153&gt;0,'Attrition Modeling'!$N$9,0))),0))</f>
        <v>1002.5823268040705</v>
      </c>
      <c r="BQ31" s="799">
        <f>IF(BQ$12=$F31+1,IF(Monthly!BM$4=TRUE,0,BQ$3),IF(BQ$12&gt;$F31+1,RentalsVacates!BP31*(1-IF(BQ$12-$F31&lt;=12,SUMIFS('Attrition Modeling'!$D:$D,'Attrition Modeling'!$B:$B,$E31,'Attrition Modeling'!$C:$C,BQ$11),VLOOKUP(RentalsVacates!BQ$12-RentalsVacates!$F31-1,RentalsVacates!$A$8:$C$162,2,FALSE)*VLOOKUP(BQ$11,'Attrition Modeling'!$L$15:$N$27,IF(BQ$12-$F31&lt;=24,2,3),FALSE))*(1+IF('Traditional Attrition'!BQ153&gt;0,'Attrition Modeling'!$N$9,0))),0))</f>
        <v>976.16955490961595</v>
      </c>
      <c r="BR31" s="799">
        <f>IF(BR$12=$F31+1,IF(Monthly!BN$4=TRUE,0,BR$3),IF(BR$12&gt;$F31+1,RentalsVacates!BQ31*(1-IF(BR$12-$F31&lt;=12,SUMIFS('Attrition Modeling'!$D:$D,'Attrition Modeling'!$B:$B,$E31,'Attrition Modeling'!$C:$C,BR$11),VLOOKUP(RentalsVacates!BR$12-RentalsVacates!$F31-1,RentalsVacates!$A$8:$C$162,2,FALSE)*VLOOKUP(BR$11,'Attrition Modeling'!$L$15:$N$27,IF(BR$12-$F31&lt;=24,2,3),FALSE))*(1+IF('Traditional Attrition'!BR153&gt;0,'Attrition Modeling'!$N$9,0))),0))</f>
        <v>951.76908787486082</v>
      </c>
      <c r="BS31" s="799">
        <f>IF(BS$12=$F31+1,IF(Monthly!BO$4=TRUE,0,BS$3),IF(BS$12&gt;$F31+1,RentalsVacates!BR31*(1-IF(BS$12-$F31&lt;=12,SUMIFS('Attrition Modeling'!$D:$D,'Attrition Modeling'!$B:$B,$E31,'Attrition Modeling'!$C:$C,BS$11),VLOOKUP(RentalsVacates!BS$12-RentalsVacates!$F31-1,RentalsVacates!$A$8:$C$162,2,FALSE)*VLOOKUP(BS$11,'Attrition Modeling'!$L$15:$N$27,IF(BS$12-$F31&lt;=24,2,3),FALSE))*(1+IF('Traditional Attrition'!BS153&gt;0,'Attrition Modeling'!$N$9,0))),0))</f>
        <v>933.02774609105313</v>
      </c>
      <c r="BT31" s="799">
        <f>IF(BT$11=$F30+1,IF(Monthly!#REF!=TRUE,0,BT$3),IF(BT$11&gt;$F30+1,RentalsVacates!BS30*(1-IF(BT$11-$F30&lt;=12,SUMIFS('Attrition Modeling'!$D:$D,'Attrition Modeling'!$B:$B,$E30,'Attrition Modeling'!$C:$C,BT$10),VLOOKUP(RentalsVacates!BT$11-RentalsVacates!$F30-1,RentalsVacates!$A$7:$C$161,2,FALSE)*VLOOKUP(BT$10,'Attrition Modeling'!$L$15:$N$27,IF(BT$11-$F30&lt;=24,2,3),FALSE))*(1+IF('Traditional Attrition'!BT153&gt;0,'Attrition Modeling'!$N$9,0))),0))</f>
        <v>0</v>
      </c>
      <c r="BU31" s="799">
        <f>IF(BU$11=$F30+1,IF(Monthly!#REF!=TRUE,0,BU$3),IF(BU$11&gt;$F30+1,RentalsVacates!BT30*(1-IF(BU$11-$F30&lt;=12,SUMIFS('Attrition Modeling'!$D:$D,'Attrition Modeling'!$B:$B,$E30,'Attrition Modeling'!$C:$C,BU$10),VLOOKUP(RentalsVacates!BU$11-RentalsVacates!$F30-1,RentalsVacates!$A$7:$C$161,2,FALSE)*VLOOKUP(BU$10,'Attrition Modeling'!$L$15:$N$27,IF(BU$11-$F30&lt;=24,2,3),FALSE))*(1+IF('Traditional Attrition'!BU153&gt;0,'Attrition Modeling'!$N$9,0))),0))</f>
        <v>0</v>
      </c>
    </row>
    <row r="32" spans="1:73" ht="14.25" customHeight="1" x14ac:dyDescent="0.2">
      <c r="A32" s="9">
        <v>24</v>
      </c>
      <c r="B32" s="25">
        <f>MAX('Attrition Modeling'!H28,$C$3)*(1-Summary!$C$20)</f>
        <v>3.6357656416387246E-2</v>
      </c>
      <c r="C32" s="24" t="e">
        <f t="shared" si="2"/>
        <v>#DIV/0!</v>
      </c>
      <c r="E32" s="11">
        <f>'Traditional Attrition'!E89</f>
        <v>7</v>
      </c>
      <c r="F32" s="11">
        <f t="shared" si="4"/>
        <v>19</v>
      </c>
      <c r="G32" s="799"/>
      <c r="H32" s="799">
        <f>IF(H$12=$F32+1,IF(Monthly!D$4=TRUE,0,H$3),IF(H$12&gt;$F32+1,RentalsVacates!G32*(1-IF(H$12-$F32&lt;=12,SUMIFS('Attrition Modeling'!$D:$D,'Attrition Modeling'!$B:$B,$E32,'Attrition Modeling'!$C:$C,H$11),VLOOKUP(RentalsVacates!H$12-RentalsVacates!$F32-1,RentalsVacates!$A$8:$C$162,2,FALSE)*VLOOKUP(H$11,'Attrition Modeling'!$L$15:$N$27,IF(H$12-$F32&lt;=24,2,3),FALSE))*(1+IF('Traditional Attrition'!H154&gt;0,'Attrition Modeling'!$N$9,0))),0))</f>
        <v>0</v>
      </c>
      <c r="I32" s="799">
        <f>IF(I$12=$F32+1,IF(Monthly!E$4=TRUE,0,I$3),IF(I$12&gt;$F32+1,RentalsVacates!H32*(1-IF(I$12-$F32&lt;=12,SUMIFS('Attrition Modeling'!$D:$D,'Attrition Modeling'!$B:$B,$E32,'Attrition Modeling'!$C:$C,I$11),VLOOKUP(RentalsVacates!I$12-RentalsVacates!$F32-1,RentalsVacates!$A$8:$C$162,2,FALSE)*VLOOKUP(I$11,'Attrition Modeling'!$L$15:$N$27,IF(I$12-$F32&lt;=24,2,3),FALSE))*(1+IF('Traditional Attrition'!I154&gt;0,'Attrition Modeling'!$N$9,0))),0))</f>
        <v>0</v>
      </c>
      <c r="J32" s="799">
        <f>IF(J$12=$F32+1,IF(Monthly!F$4=TRUE,0,J$3),IF(J$12&gt;$F32+1,RentalsVacates!I32*(1-IF(J$12-$F32&lt;=12,SUMIFS('Attrition Modeling'!$D:$D,'Attrition Modeling'!$B:$B,$E32,'Attrition Modeling'!$C:$C,J$11),VLOOKUP(RentalsVacates!J$12-RentalsVacates!$F32-1,RentalsVacates!$A$8:$C$162,2,FALSE)*VLOOKUP(J$11,'Attrition Modeling'!$L$15:$N$27,IF(J$12-$F32&lt;=24,2,3),FALSE))*(1+IF('Traditional Attrition'!J154&gt;0,'Attrition Modeling'!$N$9,0))),0))</f>
        <v>0</v>
      </c>
      <c r="K32" s="799">
        <f>IF(K$12=$F32+1,IF(Monthly!G$4=TRUE,0,K$3),IF(K$12&gt;$F32+1,RentalsVacates!J32*(1-IF(K$12-$F32&lt;=12,SUMIFS('Attrition Modeling'!$D:$D,'Attrition Modeling'!$B:$B,$E32,'Attrition Modeling'!$C:$C,K$11),VLOOKUP(RentalsVacates!K$12-RentalsVacates!$F32-1,RentalsVacates!$A$8:$C$162,2,FALSE)*VLOOKUP(K$11,'Attrition Modeling'!$L$15:$N$27,IF(K$12-$F32&lt;=24,2,3),FALSE))*(1+IF('Traditional Attrition'!K154&gt;0,'Attrition Modeling'!$N$9,0))),0))</f>
        <v>0</v>
      </c>
      <c r="L32" s="799">
        <f>IF(L$12=$F32+1,IF(Monthly!H$4=TRUE,0,L$3),IF(L$12&gt;$F32+1,RentalsVacates!K32*(1-IF(L$12-$F32&lt;=12,SUMIFS('Attrition Modeling'!$D:$D,'Attrition Modeling'!$B:$B,$E32,'Attrition Modeling'!$C:$C,L$11),VLOOKUP(RentalsVacates!L$12-RentalsVacates!$F32-1,RentalsVacates!$A$8:$C$162,2,FALSE)*VLOOKUP(L$11,'Attrition Modeling'!$L$15:$N$27,IF(L$12-$F32&lt;=24,2,3),FALSE))*(1+IF('Traditional Attrition'!L154&gt;0,'Attrition Modeling'!$N$9,0))),0))</f>
        <v>0</v>
      </c>
      <c r="M32" s="799">
        <f>IF(M$12=$F32+1,IF(Monthly!I$4=TRUE,0,M$3),IF(M$12&gt;$F32+1,RentalsVacates!L32*(1-IF(M$12-$F32&lt;=12,SUMIFS('Attrition Modeling'!$D:$D,'Attrition Modeling'!$B:$B,$E32,'Attrition Modeling'!$C:$C,M$11),VLOOKUP(RentalsVacates!M$12-RentalsVacates!$F32-1,RentalsVacates!$A$8:$C$162,2,FALSE)*VLOOKUP(M$11,'Attrition Modeling'!$L$15:$N$27,IF(M$12-$F32&lt;=24,2,3),FALSE))*(1+IF('Traditional Attrition'!M154&gt;0,'Attrition Modeling'!$N$9,0))),0))</f>
        <v>0</v>
      </c>
      <c r="N32" s="799">
        <f>IF(N$12=$F32+1,IF(Monthly!J$4=TRUE,0,N$3),IF(N$12&gt;$F32+1,RentalsVacates!M32*(1-IF(N$12-$F32&lt;=12,SUMIFS('Attrition Modeling'!$D:$D,'Attrition Modeling'!$B:$B,$E32,'Attrition Modeling'!$C:$C,N$11),VLOOKUP(RentalsVacates!N$12-RentalsVacates!$F32-1,RentalsVacates!$A$8:$C$162,2,FALSE)*VLOOKUP(N$11,'Attrition Modeling'!$L$15:$N$27,IF(N$12-$F32&lt;=24,2,3),FALSE))*(1+IF('Traditional Attrition'!N154&gt;0,'Attrition Modeling'!$N$9,0))),0))</f>
        <v>0</v>
      </c>
      <c r="O32" s="799">
        <f>IF(O$12=$F32+1,IF(Monthly!K$4=TRUE,0,O$3),IF(O$12&gt;$F32+1,RentalsVacates!N32*(1-IF(O$12-$F32&lt;=12,SUMIFS('Attrition Modeling'!$D:$D,'Attrition Modeling'!$B:$B,$E32,'Attrition Modeling'!$C:$C,O$11),VLOOKUP(RentalsVacates!O$12-RentalsVacates!$F32-1,RentalsVacates!$A$8:$C$162,2,FALSE)*VLOOKUP(O$11,'Attrition Modeling'!$L$15:$N$27,IF(O$12-$F32&lt;=24,2,3),FALSE))*(1+IF('Traditional Attrition'!O154&gt;0,'Attrition Modeling'!$N$9,0))),0))</f>
        <v>0</v>
      </c>
      <c r="P32" s="799">
        <f>IF(P$12=$F32+1,IF(Monthly!L$4=TRUE,0,P$3),IF(P$12&gt;$F32+1,RentalsVacates!O32*(1-IF(P$12-$F32&lt;=12,SUMIFS('Attrition Modeling'!$D:$D,'Attrition Modeling'!$B:$B,$E32,'Attrition Modeling'!$C:$C,P$11),VLOOKUP(RentalsVacates!P$12-RentalsVacates!$F32-1,RentalsVacates!$A$8:$C$162,2,FALSE)*VLOOKUP(P$11,'Attrition Modeling'!$L$15:$N$27,IF(P$12-$F32&lt;=24,2,3),FALSE))*(1+IF('Traditional Attrition'!P154&gt;0,'Attrition Modeling'!$N$9,0))),0))</f>
        <v>0</v>
      </c>
      <c r="Q32" s="799">
        <f>IF(Q$12=$F32+1,IF(Monthly!M$4=TRUE,0,Q$3),IF(Q$12&gt;$F32+1,RentalsVacates!P32*(1-IF(Q$12-$F32&lt;=12,SUMIFS('Attrition Modeling'!$D:$D,'Attrition Modeling'!$B:$B,$E32,'Attrition Modeling'!$C:$C,Q$11),VLOOKUP(RentalsVacates!Q$12-RentalsVacates!$F32-1,RentalsVacates!$A$8:$C$162,2,FALSE)*VLOOKUP(Q$11,'Attrition Modeling'!$L$15:$N$27,IF(Q$12-$F32&lt;=24,2,3),FALSE))*(1+IF('Traditional Attrition'!Q154&gt;0,'Attrition Modeling'!$N$9,0))),0))</f>
        <v>0</v>
      </c>
      <c r="R32" s="799">
        <f>IF(R$12=$F32+1,IF(Monthly!N$4=TRUE,0,R$3),IF(R$12&gt;$F32+1,RentalsVacates!Q32*(1-IF(R$12-$F32&lt;=12,SUMIFS('Attrition Modeling'!$D:$D,'Attrition Modeling'!$B:$B,$E32,'Attrition Modeling'!$C:$C,R$11),VLOOKUP(RentalsVacates!R$12-RentalsVacates!$F32-1,RentalsVacates!$A$8:$C$162,2,FALSE)*VLOOKUP(R$11,'Attrition Modeling'!$L$15:$N$27,IF(R$12-$F32&lt;=24,2,3),FALSE))*(1+IF('Traditional Attrition'!R154&gt;0,'Attrition Modeling'!$N$9,0))),0))</f>
        <v>0</v>
      </c>
      <c r="S32" s="799">
        <f>IF(S$12=$F32+1,IF(Monthly!O$4=TRUE,0,S$3),IF(S$12&gt;$F32+1,RentalsVacates!R32*(1-IF(S$12-$F32&lt;=12,SUMIFS('Attrition Modeling'!$D:$D,'Attrition Modeling'!$B:$B,$E32,'Attrition Modeling'!$C:$C,S$11),VLOOKUP(RentalsVacates!S$12-RentalsVacates!$F32-1,RentalsVacates!$A$8:$C$162,2,FALSE)*VLOOKUP(S$11,'Attrition Modeling'!$L$15:$N$27,IF(S$12-$F32&lt;=24,2,3),FALSE))*(1+IF('Traditional Attrition'!S154&gt;0,'Attrition Modeling'!$N$9,0))),0))</f>
        <v>0</v>
      </c>
      <c r="T32" s="799">
        <f>IF(T$12=$F32+1,IF(Monthly!P$4=TRUE,0,T$3),IF(T$12&gt;$F32+1,RentalsVacates!S32*(1-IF(T$12-$F32&lt;=12,SUMIFS('Attrition Modeling'!$D:$D,'Attrition Modeling'!$B:$B,$E32,'Attrition Modeling'!$C:$C,T$11),VLOOKUP(RentalsVacates!T$12-RentalsVacates!$F32-1,RentalsVacates!$A$8:$C$162,2,FALSE)*VLOOKUP(T$11,'Attrition Modeling'!$L$15:$N$27,IF(T$12-$F32&lt;=24,2,3),FALSE))*(1+IF('Traditional Attrition'!T154&gt;0,'Attrition Modeling'!$N$9,0))),0))</f>
        <v>0</v>
      </c>
      <c r="U32" s="799">
        <f>IF(U$12=$F32+1,IF(Monthly!Q$4=TRUE,0,U$3),IF(U$12&gt;$F32+1,RentalsVacates!T32*(1-IF(U$12-$F32&lt;=12,SUMIFS('Attrition Modeling'!$D:$D,'Attrition Modeling'!$B:$B,$E32,'Attrition Modeling'!$C:$C,U$11),VLOOKUP(RentalsVacates!U$12-RentalsVacates!$F32-1,RentalsVacates!$A$8:$C$162,2,FALSE)*VLOOKUP(U$11,'Attrition Modeling'!$L$15:$N$27,IF(U$12-$F32&lt;=24,2,3),FALSE))*(1+IF('Traditional Attrition'!U154&gt;0,'Attrition Modeling'!$N$9,0))),0))</f>
        <v>0</v>
      </c>
      <c r="V32" s="799">
        <f>IF(V$12=$F32+1,IF(Monthly!R$4=TRUE,0,V$3),IF(V$12&gt;$F32+1,RentalsVacates!U32*(1-IF(V$12-$F32&lt;=12,SUMIFS('Attrition Modeling'!$D:$D,'Attrition Modeling'!$B:$B,$E32,'Attrition Modeling'!$C:$C,V$11),VLOOKUP(RentalsVacates!V$12-RentalsVacates!$F32-1,RentalsVacates!$A$8:$C$162,2,FALSE)*VLOOKUP(V$11,'Attrition Modeling'!$L$15:$N$27,IF(V$12-$F32&lt;=24,2,3),FALSE))*(1+IF('Traditional Attrition'!V154&gt;0,'Attrition Modeling'!$N$9,0))),0))</f>
        <v>0</v>
      </c>
      <c r="W32" s="799">
        <f>IF(W$12=$F32+1,IF(Monthly!S$4=TRUE,0,W$3),IF(W$12&gt;$F32+1,RentalsVacates!V32*(1-IF(W$12-$F32&lt;=12,SUMIFS('Attrition Modeling'!$D:$D,'Attrition Modeling'!$B:$B,$E32,'Attrition Modeling'!$C:$C,W$11),VLOOKUP(RentalsVacates!W$12-RentalsVacates!$F32-1,RentalsVacates!$A$8:$C$162,2,FALSE)*VLOOKUP(W$11,'Attrition Modeling'!$L$15:$N$27,IF(W$12-$F32&lt;=24,2,3),FALSE))*(1+IF('Traditional Attrition'!W154&gt;0,'Attrition Modeling'!$N$9,0))),0))</f>
        <v>0</v>
      </c>
      <c r="X32" s="799">
        <f>IF(X$12=$F32+1,IF(Monthly!T$4=TRUE,0,X$3),IF(X$12&gt;$F32+1,RentalsVacates!W32*(1-IF(X$12-$F32&lt;=12,SUMIFS('Attrition Modeling'!$D:$D,'Attrition Modeling'!$B:$B,$E32,'Attrition Modeling'!$C:$C,X$11),VLOOKUP(RentalsVacates!X$12-RentalsVacates!$F32-1,RentalsVacates!$A$8:$C$162,2,FALSE)*VLOOKUP(X$11,'Attrition Modeling'!$L$15:$N$27,IF(X$12-$F32&lt;=24,2,3),FALSE))*(1+IF('Traditional Attrition'!X154&gt;0,'Attrition Modeling'!$N$9,0))),0))</f>
        <v>0</v>
      </c>
      <c r="Y32" s="799">
        <f>IF(Y$12=$F32+1,IF(Monthly!U$4=TRUE,0,Y$3),IF(Y$12&gt;$F32+1,RentalsVacates!X32*(1-IF(Y$12-$F32&lt;=12,SUMIFS('Attrition Modeling'!$D:$D,'Attrition Modeling'!$B:$B,$E32,'Attrition Modeling'!$C:$C,Y$11),VLOOKUP(RentalsVacates!Y$12-RentalsVacates!$F32-1,RentalsVacates!$A$8:$C$162,2,FALSE)*VLOOKUP(Y$11,'Attrition Modeling'!$L$15:$N$27,IF(Y$12-$F32&lt;=24,2,3),FALSE))*(1+IF('Traditional Attrition'!Y154&gt;0,'Attrition Modeling'!$N$9,0))),0))</f>
        <v>0</v>
      </c>
      <c r="Z32" s="799">
        <f>IF(Z$12=$F32+1,IF(Monthly!V$4=TRUE,0,Z$3),IF(Z$12&gt;$F32+1,RentalsVacates!Y32*(1-IF(Z$12-$F32&lt;=12,SUMIFS('Attrition Modeling'!$D:$D,'Attrition Modeling'!$B:$B,$E32,'Attrition Modeling'!$C:$C,Z$11),VLOOKUP(RentalsVacates!Z$12-RentalsVacates!$F32-1,RentalsVacates!$A$8:$C$162,2,FALSE)*VLOOKUP(Z$11,'Attrition Modeling'!$L$15:$N$27,IF(Z$12-$F32&lt;=24,2,3),FALSE))*(1+IF('Traditional Attrition'!Z154&gt;0,'Attrition Modeling'!$N$9,0))),0))</f>
        <v>0</v>
      </c>
      <c r="AA32" s="799">
        <f>IF(AA$12=$F32+1,IF(Monthly!W$4=TRUE,0,AA$3),IF(AA$12&gt;$F32+1,RentalsVacates!Z32*(1-IF(AA$12-$F32&lt;=12,SUMIFS('Attrition Modeling'!$D:$D,'Attrition Modeling'!$B:$B,$E32,'Attrition Modeling'!$C:$C,AA$11),VLOOKUP(RentalsVacates!AA$12-RentalsVacates!$F32-1,RentalsVacates!$A$8:$C$162,2,FALSE)*VLOOKUP(AA$11,'Attrition Modeling'!$L$15:$N$27,IF(AA$12-$F32&lt;=24,2,3),FALSE))*(1+IF('Traditional Attrition'!AA154&gt;0,'Attrition Modeling'!$N$9,0))),0))</f>
        <v>8024.7840809836634</v>
      </c>
      <c r="AB32" s="799">
        <f>IF(AB$12=$F32+1,IF(Monthly!X$4=TRUE,0,AB$3),IF(AB$12&gt;$F32+1,RentalsVacates!AA32*(1-IF(AB$12-$F32&lt;=12,SUMIFS('Attrition Modeling'!$D:$D,'Attrition Modeling'!$B:$B,$E32,'Attrition Modeling'!$C:$C,AB$11),VLOOKUP(RentalsVacates!AB$12-RentalsVacates!$F32-1,RentalsVacates!$A$8:$C$162,2,FALSE)*VLOOKUP(AB$11,'Attrition Modeling'!$L$15:$N$27,IF(AB$12-$F32&lt;=24,2,3),FALSE))*(1+IF('Traditional Attrition'!AB154&gt;0,'Attrition Modeling'!$N$9,0))),0))</f>
        <v>7106.853906790594</v>
      </c>
      <c r="AC32" s="799">
        <f>IF(AC$12=$F32+1,IF(Monthly!Y$4=TRUE,0,AC$3),IF(AC$12&gt;$F32+1,RentalsVacates!AB32*(1-IF(AC$12-$F32&lt;=12,SUMIFS('Attrition Modeling'!$D:$D,'Attrition Modeling'!$B:$B,$E32,'Attrition Modeling'!$C:$C,AC$11),VLOOKUP(RentalsVacates!AC$12-RentalsVacates!$F32-1,RentalsVacates!$A$8:$C$162,2,FALSE)*VLOOKUP(AC$11,'Attrition Modeling'!$L$15:$N$27,IF(AC$12-$F32&lt;=24,2,3),FALSE))*(1+IF('Traditional Attrition'!AC154&gt;0,'Attrition Modeling'!$N$9,0))),0))</f>
        <v>6418.3847546297793</v>
      </c>
      <c r="AD32" s="799">
        <f>IF(AD$12=$F32+1,IF(Monthly!Z$4=TRUE,0,AD$3),IF(AD$12&gt;$F32+1,RentalsVacates!AC32*(1-IF(AD$12-$F32&lt;=12,SUMIFS('Attrition Modeling'!$D:$D,'Attrition Modeling'!$B:$B,$E32,'Attrition Modeling'!$C:$C,AD$11),VLOOKUP(RentalsVacates!AD$12-RentalsVacates!$F32-1,RentalsVacates!$A$8:$C$162,2,FALSE)*VLOOKUP(AD$11,'Attrition Modeling'!$L$15:$N$27,IF(AD$12-$F32&lt;=24,2,3),FALSE))*(1+IF('Traditional Attrition'!AD154&gt;0,'Attrition Modeling'!$N$9,0))),0))</f>
        <v>5832.2138287175712</v>
      </c>
      <c r="AE32" s="799">
        <f>IF(AE$12=$F32+1,IF(Monthly!AA$4=TRUE,0,AE$3),IF(AE$12&gt;$F32+1,RentalsVacates!AD32*(1-IF(AE$12-$F32&lt;=12,SUMIFS('Attrition Modeling'!$D:$D,'Attrition Modeling'!$B:$B,$E32,'Attrition Modeling'!$C:$C,AE$11),VLOOKUP(RentalsVacates!AE$12-RentalsVacates!$F32-1,RentalsVacates!$A$8:$C$162,2,FALSE)*VLOOKUP(AE$11,'Attrition Modeling'!$L$15:$N$27,IF(AE$12-$F32&lt;=24,2,3),FALSE))*(1+IF('Traditional Attrition'!AE154&gt;0,'Attrition Modeling'!$N$9,0))),0))</f>
        <v>5358.6479805892131</v>
      </c>
      <c r="AF32" s="799">
        <f>IF(AF$12=$F32+1,IF(Monthly!AB$4=TRUE,0,AF$3),IF(AF$12&gt;$F32+1,RentalsVacates!AE32*(1-IF(AF$12-$F32&lt;=12,SUMIFS('Attrition Modeling'!$D:$D,'Attrition Modeling'!$B:$B,$E32,'Attrition Modeling'!$C:$C,AF$11),VLOOKUP(RentalsVacates!AF$12-RentalsVacates!$F32-1,RentalsVacates!$A$8:$C$162,2,FALSE)*VLOOKUP(AF$11,'Attrition Modeling'!$L$15:$N$27,IF(AF$12-$F32&lt;=24,2,3),FALSE))*(1+IF('Traditional Attrition'!AF154&gt;0,'Attrition Modeling'!$N$9,0))),0))</f>
        <v>4860.9424791881302</v>
      </c>
      <c r="AG32" s="799">
        <f>IF(AG$12=$F32+1,IF(Monthly!AC$4=TRUE,0,AG$3),IF(AG$12&gt;$F32+1,RentalsVacates!AF32*(1-IF(AG$12-$F32&lt;=12,SUMIFS('Attrition Modeling'!$D:$D,'Attrition Modeling'!$B:$B,$E32,'Attrition Modeling'!$C:$C,AG$11),VLOOKUP(RentalsVacates!AG$12-RentalsVacates!$F32-1,RentalsVacates!$A$8:$C$162,2,FALSE)*VLOOKUP(AG$11,'Attrition Modeling'!$L$15:$N$27,IF(AG$12-$F32&lt;=24,2,3),FALSE))*(1+IF('Traditional Attrition'!AG154&gt;0,'Attrition Modeling'!$N$9,0))),0))</f>
        <v>4554.4048355687555</v>
      </c>
      <c r="AH32" s="799">
        <f>IF(AH$12=$F32+1,IF(Monthly!AD$4=TRUE,0,AH$3),IF(AH$12&gt;$F32+1,RentalsVacates!AG32*(1-IF(AH$12-$F32&lt;=12,SUMIFS('Attrition Modeling'!$D:$D,'Attrition Modeling'!$B:$B,$E32,'Attrition Modeling'!$C:$C,AH$11),VLOOKUP(RentalsVacates!AH$12-RentalsVacates!$F32-1,RentalsVacates!$A$8:$C$162,2,FALSE)*VLOOKUP(AH$11,'Attrition Modeling'!$L$15:$N$27,IF(AH$12-$F32&lt;=24,2,3),FALSE))*(1+IF('Traditional Attrition'!AH154&gt;0,'Attrition Modeling'!$N$9,0))),0))</f>
        <v>4258.2994309354308</v>
      </c>
      <c r="AI32" s="799">
        <f>IF(AI$12=$F32+1,IF(Monthly!AE$4=TRUE,0,AI$3),IF(AI$12&gt;$F32+1,RentalsVacates!AH32*(1-IF(AI$12-$F32&lt;=12,SUMIFS('Attrition Modeling'!$D:$D,'Attrition Modeling'!$B:$B,$E32,'Attrition Modeling'!$C:$C,AI$11),VLOOKUP(RentalsVacates!AI$12-RentalsVacates!$F32-1,RentalsVacates!$A$8:$C$162,2,FALSE)*VLOOKUP(AI$11,'Attrition Modeling'!$L$15:$N$27,IF(AI$12-$F32&lt;=24,2,3),FALSE))*(1+IF('Traditional Attrition'!AI154&gt;0,'Attrition Modeling'!$N$9,0))),0))</f>
        <v>4003.1152591643704</v>
      </c>
      <c r="AJ32" s="799">
        <f>IF(AJ$12=$F32+1,IF(Monthly!AF$4=TRUE,0,AJ$3),IF(AJ$12&gt;$F32+1,RentalsVacates!AI32*(1-IF(AJ$12-$F32&lt;=12,SUMIFS('Attrition Modeling'!$D:$D,'Attrition Modeling'!$B:$B,$E32,'Attrition Modeling'!$C:$C,AJ$11),VLOOKUP(RentalsVacates!AJ$12-RentalsVacates!$F32-1,RentalsVacates!$A$8:$C$162,2,FALSE)*VLOOKUP(AJ$11,'Attrition Modeling'!$L$15:$N$27,IF(AJ$12-$F32&lt;=24,2,3),FALSE))*(1+IF('Traditional Attrition'!AJ154&gt;0,'Attrition Modeling'!$N$9,0))),0))</f>
        <v>3780.3356101009163</v>
      </c>
      <c r="AK32" s="799">
        <f>IF(AK$12=$F32+1,IF(Monthly!AG$4=TRUE,0,AK$3),IF(AK$12&gt;$F32+1,RentalsVacates!AJ32*(1-IF(AK$12-$F32&lt;=12,SUMIFS('Attrition Modeling'!$D:$D,'Attrition Modeling'!$B:$B,$E32,'Attrition Modeling'!$C:$C,AK$11),VLOOKUP(RentalsVacates!AK$12-RentalsVacates!$F32-1,RentalsVacates!$A$8:$C$162,2,FALSE)*VLOOKUP(AK$11,'Attrition Modeling'!$L$15:$N$27,IF(AK$12-$F32&lt;=24,2,3),FALSE))*(1+IF('Traditional Attrition'!AK154&gt;0,'Attrition Modeling'!$N$9,0))),0))</f>
        <v>3545.3629907348982</v>
      </c>
      <c r="AL32" s="799">
        <f>IF(AL$12=$F32+1,IF(Monthly!AH$4=TRUE,0,AL$3),IF(AL$12&gt;$F32+1,RentalsVacates!AK32*(1-IF(AL$12-$F32&lt;=12,SUMIFS('Attrition Modeling'!$D:$D,'Attrition Modeling'!$B:$B,$E32,'Attrition Modeling'!$C:$C,AL$11),VLOOKUP(RentalsVacates!AL$12-RentalsVacates!$F32-1,RentalsVacates!$A$8:$C$162,2,FALSE)*VLOOKUP(AL$11,'Attrition Modeling'!$L$15:$N$27,IF(AL$12-$F32&lt;=24,2,3),FALSE))*(1+IF('Traditional Attrition'!AL154&gt;0,'Attrition Modeling'!$N$9,0))),0))</f>
        <v>3427.6767580216178</v>
      </c>
      <c r="AM32" s="799">
        <f>IF(AM$12=$F32+1,IF(Monthly!AI$4=TRUE,0,AM$3),IF(AM$12&gt;$F32+1,RentalsVacates!AL32*(1-IF(AM$12-$F32&lt;=12,SUMIFS('Attrition Modeling'!$D:$D,'Attrition Modeling'!$B:$B,$E32,'Attrition Modeling'!$C:$C,AM$11),VLOOKUP(RentalsVacates!AM$12-RentalsVacates!$F32-1,RentalsVacates!$A$8:$C$162,2,FALSE)*VLOOKUP(AM$11,'Attrition Modeling'!$L$15:$N$27,IF(AM$12-$F32&lt;=24,2,3),FALSE))*(1+IF('Traditional Attrition'!AM154&gt;0,'Attrition Modeling'!$N$9,0))),0))</f>
        <v>3220.075630872218</v>
      </c>
      <c r="AN32" s="799">
        <f>IF(AN$12=$F32+1,IF(Monthly!AJ$4=TRUE,0,AN$3),IF(AN$12&gt;$F32+1,RentalsVacates!AM32*(1-IF(AN$12-$F32&lt;=12,SUMIFS('Attrition Modeling'!$D:$D,'Attrition Modeling'!$B:$B,$E32,'Attrition Modeling'!$C:$C,AN$11),VLOOKUP(RentalsVacates!AN$12-RentalsVacates!$F32-1,RentalsVacates!$A$8:$C$162,2,FALSE)*VLOOKUP(AN$11,'Attrition Modeling'!$L$15:$N$27,IF(AN$12-$F32&lt;=24,2,3),FALSE))*(1+IF('Traditional Attrition'!AN154&gt;0,'Attrition Modeling'!$N$9,0))),0))</f>
        <v>3055.972246562636</v>
      </c>
      <c r="AO32" s="799">
        <f>IF(AO$12=$F32+1,IF(Monthly!AK$4=TRUE,0,AO$3),IF(AO$12&gt;$F32+1,RentalsVacates!AN32*(1-IF(AO$12-$F32&lt;=12,SUMIFS('Attrition Modeling'!$D:$D,'Attrition Modeling'!$B:$B,$E32,'Attrition Modeling'!$C:$C,AO$11),VLOOKUP(RentalsVacates!AO$12-RentalsVacates!$F32-1,RentalsVacates!$A$8:$C$162,2,FALSE)*VLOOKUP(AO$11,'Attrition Modeling'!$L$15:$N$27,IF(AO$12-$F32&lt;=24,2,3),FALSE))*(1+IF('Traditional Attrition'!AO154&gt;0,'Attrition Modeling'!$N$9,0))),0))</f>
        <v>2904.4309202133513</v>
      </c>
      <c r="AP32" s="799">
        <f>IF(AP$12=$F32+1,IF(Monthly!AL$4=TRUE,0,AP$3),IF(AP$12&gt;$F32+1,RentalsVacates!AO32*(1-IF(AP$12-$F32&lt;=12,SUMIFS('Attrition Modeling'!$D:$D,'Attrition Modeling'!$B:$B,$E32,'Attrition Modeling'!$C:$C,AP$11),VLOOKUP(RentalsVacates!AP$12-RentalsVacates!$F32-1,RentalsVacates!$A$8:$C$162,2,FALSE)*VLOOKUP(AP$11,'Attrition Modeling'!$L$15:$N$27,IF(AP$12-$F32&lt;=24,2,3),FALSE))*(1+IF('Traditional Attrition'!AP154&gt;0,'Attrition Modeling'!$N$9,0))),0))</f>
        <v>2770.939875147631</v>
      </c>
      <c r="AQ32" s="799">
        <f>IF(AQ$12=$F32+1,IF(Monthly!AM$4=TRUE,0,AQ$3),IF(AQ$12&gt;$F32+1,RentalsVacates!AP32*(1-IF(AQ$12-$F32&lt;=12,SUMIFS('Attrition Modeling'!$D:$D,'Attrition Modeling'!$B:$B,$E32,'Attrition Modeling'!$C:$C,AQ$11),VLOOKUP(RentalsVacates!AQ$12-RentalsVacates!$F32-1,RentalsVacates!$A$8:$C$162,2,FALSE)*VLOOKUP(AQ$11,'Attrition Modeling'!$L$15:$N$27,IF(AQ$12-$F32&lt;=24,2,3),FALSE))*(1+IF('Traditional Attrition'!AQ154&gt;0,'Attrition Modeling'!$N$9,0))),0))</f>
        <v>2648.6282387614406</v>
      </c>
      <c r="AR32" s="799">
        <f>IF(AR$12=$F32+1,IF(Monthly!AN$4=TRUE,0,AR$3),IF(AR$12&gt;$F32+1,RentalsVacates!AQ32*(1-IF(AR$12-$F32&lt;=12,SUMIFS('Attrition Modeling'!$D:$D,'Attrition Modeling'!$B:$B,$E32,'Attrition Modeling'!$C:$C,AR$11),VLOOKUP(RentalsVacates!AR$12-RentalsVacates!$F32-1,RentalsVacates!$A$8:$C$162,2,FALSE)*VLOOKUP(AR$11,'Attrition Modeling'!$L$15:$N$27,IF(AR$12-$F32&lt;=24,2,3),FALSE))*(1+IF('Traditional Attrition'!AR154&gt;0,'Attrition Modeling'!$N$9,0))),0))</f>
        <v>2511.6828266564362</v>
      </c>
      <c r="AS32" s="799">
        <f>IF(AS$12=$F32+1,IF(Monthly!AO$4=TRUE,0,AS$3),IF(AS$12&gt;$F32+1,RentalsVacates!AR32*(1-IF(AS$12-$F32&lt;=12,SUMIFS('Attrition Modeling'!$D:$D,'Attrition Modeling'!$B:$B,$E32,'Attrition Modeling'!$C:$C,AS$11),VLOOKUP(RentalsVacates!AS$12-RentalsVacates!$F32-1,RentalsVacates!$A$8:$C$162,2,FALSE)*VLOOKUP(AS$11,'Attrition Modeling'!$L$15:$N$27,IF(AS$12-$F32&lt;=24,2,3),FALSE))*(1+IF('Traditional Attrition'!AS154&gt;0,'Attrition Modeling'!$N$9,0))),0))</f>
        <v>2416.1517699850633</v>
      </c>
      <c r="AT32" s="799">
        <f>IF(AT$12=$F32+1,IF(Monthly!AP$4=TRUE,0,AT$3),IF(AT$12&gt;$F32+1,RentalsVacates!AS32*(1-IF(AT$12-$F32&lt;=12,SUMIFS('Attrition Modeling'!$D:$D,'Attrition Modeling'!$B:$B,$E32,'Attrition Modeling'!$C:$C,AT$11),VLOOKUP(RentalsVacates!AT$12-RentalsVacates!$F32-1,RentalsVacates!$A$8:$C$162,2,FALSE)*VLOOKUP(AT$11,'Attrition Modeling'!$L$15:$N$27,IF(AT$12-$F32&lt;=24,2,3),FALSE))*(1+IF('Traditional Attrition'!AT154&gt;0,'Attrition Modeling'!$N$9,0))),0))</f>
        <v>2318.0163641890354</v>
      </c>
      <c r="AU32" s="799">
        <f>IF(AU$12=$F32+1,IF(Monthly!AQ$4=TRUE,0,AU$3),IF(AU$12&gt;$F32+1,RentalsVacates!AT32*(1-IF(AU$12-$F32&lt;=12,SUMIFS('Attrition Modeling'!$D:$D,'Attrition Modeling'!$B:$B,$E32,'Attrition Modeling'!$C:$C,AU$11),VLOOKUP(RentalsVacates!AU$12-RentalsVacates!$F32-1,RentalsVacates!$A$8:$C$162,2,FALSE)*VLOOKUP(AU$11,'Attrition Modeling'!$L$15:$N$27,IF(AU$12-$F32&lt;=24,2,3),FALSE))*(1+IF('Traditional Attrition'!AU154&gt;0,'Attrition Modeling'!$N$9,0))),0))</f>
        <v>2227.0275312044782</v>
      </c>
      <c r="AV32" s="799">
        <f>IF(AV$12=$F32+1,IF(Monthly!AR$4=TRUE,0,AV$3),IF(AV$12&gt;$F32+1,RentalsVacates!AU32*(1-IF(AV$12-$F32&lt;=12,SUMIFS('Attrition Modeling'!$D:$D,'Attrition Modeling'!$B:$B,$E32,'Attrition Modeling'!$C:$C,AV$11),VLOOKUP(RentalsVacates!AV$12-RentalsVacates!$F32-1,RentalsVacates!$A$8:$C$162,2,FALSE)*VLOOKUP(AV$11,'Attrition Modeling'!$L$15:$N$27,IF(AV$12-$F32&lt;=24,2,3),FALSE))*(1+IF('Traditional Attrition'!AV154&gt;0,'Attrition Modeling'!$N$9,0))),0))</f>
        <v>2141.5840037107891</v>
      </c>
      <c r="AW32" s="799">
        <f>IF(AW$12=$F32+1,IF(Monthly!AS$4=TRUE,0,AW$3),IF(AW$12&gt;$F32+1,RentalsVacates!AV32*(1-IF(AW$12-$F32&lt;=12,SUMIFS('Attrition Modeling'!$D:$D,'Attrition Modeling'!$B:$B,$E32,'Attrition Modeling'!$C:$C,AW$11),VLOOKUP(RentalsVacates!AW$12-RentalsVacates!$F32-1,RentalsVacates!$A$8:$C$162,2,FALSE)*VLOOKUP(AW$11,'Attrition Modeling'!$L$15:$N$27,IF(AW$12-$F32&lt;=24,2,3),FALSE))*(1+IF('Traditional Attrition'!AW154&gt;0,'Attrition Modeling'!$N$9,0))),0))</f>
        <v>2052.6656413610749</v>
      </c>
      <c r="AX32" s="799">
        <f>IF(AX$12=$F32+1,IF(Monthly!AT$4=TRUE,0,AX$3),IF(AX$12&gt;$F32+1,RentalsVacates!AW32*(1-IF(AX$12-$F32&lt;=12,SUMIFS('Attrition Modeling'!$D:$D,'Attrition Modeling'!$B:$B,$E32,'Attrition Modeling'!$C:$C,AX$11),VLOOKUP(RentalsVacates!AX$12-RentalsVacates!$F32-1,RentalsVacates!$A$8:$C$162,2,FALSE)*VLOOKUP(AX$11,'Attrition Modeling'!$L$15:$N$27,IF(AX$12-$F32&lt;=24,2,3),FALSE))*(1+IF('Traditional Attrition'!AX154&gt;0,'Attrition Modeling'!$N$9,0))),0))</f>
        <v>1966.5761717177886</v>
      </c>
      <c r="AY32" s="799">
        <f>IF(AY$12=$F32+1,IF(Monthly!AU$4=TRUE,0,AY$3),IF(AY$12&gt;$F32+1,RentalsVacates!AX32*(1-IF(AY$12-$F32&lt;=12,SUMIFS('Attrition Modeling'!$D:$D,'Attrition Modeling'!$B:$B,$E32,'Attrition Modeling'!$C:$C,AY$11),VLOOKUP(RentalsVacates!AY$12-RentalsVacates!$F32-1,RentalsVacates!$A$8:$C$162,2,FALSE)*VLOOKUP(AY$11,'Attrition Modeling'!$L$15:$N$27,IF(AY$12-$F32&lt;=24,2,3),FALSE))*(1+IF('Traditional Attrition'!AY154&gt;0,'Attrition Modeling'!$N$9,0))),0))</f>
        <v>1880.7053573790288</v>
      </c>
      <c r="AZ32" s="799">
        <f>IF(AZ$12=$F32+1,IF(Monthly!AV$4=TRUE,0,AZ$3),IF(AZ$12&gt;$F32+1,RentalsVacates!AY32*(1-IF(AZ$12-$F32&lt;=12,SUMIFS('Attrition Modeling'!$D:$D,'Attrition Modeling'!$B:$B,$E32,'Attrition Modeling'!$C:$C,AZ$11),VLOOKUP(RentalsVacates!AZ$12-RentalsVacates!$F32-1,RentalsVacates!$A$8:$C$162,2,FALSE)*VLOOKUP(AZ$11,'Attrition Modeling'!$L$15:$N$27,IF(AZ$12-$F32&lt;=24,2,3),FALSE))*(1+IF('Traditional Attrition'!AZ154&gt;0,'Attrition Modeling'!$N$9,0))),0))</f>
        <v>1804.6587084916712</v>
      </c>
      <c r="BA32" s="799">
        <f>IF(BA$12=$F32+1,IF(Monthly!AW$4=TRUE,0,BA$3),IF(BA$12&gt;$F32+1,RentalsVacates!AZ32*(1-IF(BA$12-$F32&lt;=12,SUMIFS('Attrition Modeling'!$D:$D,'Attrition Modeling'!$B:$B,$E32,'Attrition Modeling'!$C:$C,BA$11),VLOOKUP(RentalsVacates!BA$12-RentalsVacates!$F32-1,RentalsVacates!$A$8:$C$162,2,FALSE)*VLOOKUP(BA$11,'Attrition Modeling'!$L$15:$N$27,IF(BA$12-$F32&lt;=24,2,3),FALSE))*(1+IF('Traditional Attrition'!BA154&gt;0,'Attrition Modeling'!$N$9,0))),0))</f>
        <v>1735.1533409446813</v>
      </c>
      <c r="BB32" s="799">
        <f>IF(BB$12=$F32+1,IF(Monthly!AX$4=TRUE,0,BB$3),IF(BB$12&gt;$F32+1,RentalsVacates!BA32*(1-IF(BB$12-$F32&lt;=12,SUMIFS('Attrition Modeling'!$D:$D,'Attrition Modeling'!$B:$B,$E32,'Attrition Modeling'!$C:$C,BB$11),VLOOKUP(RentalsVacates!BB$12-RentalsVacates!$F32-1,RentalsVacates!$A$8:$C$162,2,FALSE)*VLOOKUP(BB$11,'Attrition Modeling'!$L$15:$N$27,IF(BB$12-$F32&lt;=24,2,3),FALSE))*(1+IF('Traditional Attrition'!BB154&gt;0,'Attrition Modeling'!$N$9,0))),0))</f>
        <v>1670.6966168302574</v>
      </c>
      <c r="BC32" s="799">
        <f>IF(BC$12=$F32+1,IF(Monthly!AY$4=TRUE,0,BC$3),IF(BC$12&gt;$F32+1,RentalsVacates!BB32*(1-IF(BC$12-$F32&lt;=12,SUMIFS('Attrition Modeling'!$D:$D,'Attrition Modeling'!$B:$B,$E32,'Attrition Modeling'!$C:$C,BC$11),VLOOKUP(RentalsVacates!BC$12-RentalsVacates!$F32-1,RentalsVacates!$A$8:$C$162,2,FALSE)*VLOOKUP(BC$11,'Attrition Modeling'!$L$15:$N$27,IF(BC$12-$F32&lt;=24,2,3),FALSE))*(1+IF('Traditional Attrition'!BC154&gt;0,'Attrition Modeling'!$N$9,0))),0))</f>
        <v>1620.2101340140991</v>
      </c>
      <c r="BD32" s="799">
        <f>IF(BD$12=$F32+1,IF(Monthly!AZ$4=TRUE,0,BD$3),IF(BD$12&gt;$F32+1,RentalsVacates!BC32*(1-IF(BD$12-$F32&lt;=12,SUMIFS('Attrition Modeling'!$D:$D,'Attrition Modeling'!$B:$B,$E32,'Attrition Modeling'!$C:$C,BD$11),VLOOKUP(RentalsVacates!BD$12-RentalsVacates!$F32-1,RentalsVacates!$A$8:$C$162,2,FALSE)*VLOOKUP(BD$11,'Attrition Modeling'!$L$15:$N$27,IF(BD$12-$F32&lt;=24,2,3),FALSE))*(1+IF('Traditional Attrition'!BD154&gt;0,'Attrition Modeling'!$N$9,0))),0))</f>
        <v>1555.9799697142564</v>
      </c>
      <c r="BE32" s="799">
        <f>IF(BE$12=$F32+1,IF(Monthly!BA$4=TRUE,0,BE$3),IF(BE$12&gt;$F32+1,RentalsVacates!BD32*(1-IF(BE$12-$F32&lt;=12,SUMIFS('Attrition Modeling'!$D:$D,'Attrition Modeling'!$B:$B,$E32,'Attrition Modeling'!$C:$C,BE$11),VLOOKUP(RentalsVacates!BE$12-RentalsVacates!$F32-1,RentalsVacates!$A$8:$C$162,2,FALSE)*VLOOKUP(BE$11,'Attrition Modeling'!$L$15:$N$27,IF(BE$12-$F32&lt;=24,2,3),FALSE))*(1+IF('Traditional Attrition'!BE154&gt;0,'Attrition Modeling'!$N$9,0))),0))</f>
        <v>1506.7991626484998</v>
      </c>
      <c r="BF32" s="799">
        <f>IF(BF$12=$F32+1,IF(Monthly!BB$4=TRUE,0,BF$3),IF(BF$12&gt;$F32+1,RentalsVacates!BE32*(1-IF(BF$12-$F32&lt;=12,SUMIFS('Attrition Modeling'!$D:$D,'Attrition Modeling'!$B:$B,$E32,'Attrition Modeling'!$C:$C,BF$11),VLOOKUP(RentalsVacates!BF$12-RentalsVacates!$F32-1,RentalsVacates!$A$8:$C$162,2,FALSE)*VLOOKUP(BF$11,'Attrition Modeling'!$L$15:$N$27,IF(BF$12-$F32&lt;=24,2,3),FALSE))*(1+IF('Traditional Attrition'!BF154&gt;0,'Attrition Modeling'!$N$9,0))),0))</f>
        <v>1461.7211154585061</v>
      </c>
      <c r="BG32" s="799">
        <f>IF(BG$12=$F32+1,IF(Monthly!BC$4=TRUE,0,BG$3),IF(BG$12&gt;$F32+1,RentalsVacates!BF32*(1-IF(BG$12-$F32&lt;=12,SUMIFS('Attrition Modeling'!$D:$D,'Attrition Modeling'!$B:$B,$E32,'Attrition Modeling'!$C:$C,BG$11),VLOOKUP(RentalsVacates!BG$12-RentalsVacates!$F32-1,RentalsVacates!$A$8:$C$162,2,FALSE)*VLOOKUP(BG$11,'Attrition Modeling'!$L$15:$N$27,IF(BG$12-$F32&lt;=24,2,3),FALSE))*(1+IF('Traditional Attrition'!BG154&gt;0,'Attrition Modeling'!$N$9,0))),0))</f>
        <v>1427.3521100365733</v>
      </c>
      <c r="BH32" s="799">
        <f>IF(BH$12=$F32+1,IF(Monthly!BD$4=TRUE,0,BH$3),IF(BH$12&gt;$F32+1,RentalsVacates!BG32*(1-IF(BH$12-$F32&lt;=12,SUMIFS('Attrition Modeling'!$D:$D,'Attrition Modeling'!$B:$B,$E32,'Attrition Modeling'!$C:$C,BH$11),VLOOKUP(RentalsVacates!BH$12-RentalsVacates!$F32-1,RentalsVacates!$A$8:$C$162,2,FALSE)*VLOOKUP(BH$11,'Attrition Modeling'!$L$15:$N$27,IF(BH$12-$F32&lt;=24,2,3),FALSE))*(1+IF('Traditional Attrition'!BH154&gt;0,'Attrition Modeling'!$N$9,0))),0))</f>
        <v>1387.3002537798757</v>
      </c>
      <c r="BI32" s="799">
        <f>IF(BI$12=$F32+1,IF(Monthly!BE$4=TRUE,0,BI$3),IF(BI$12&gt;$F32+1,RentalsVacates!BH32*(1-IF(BI$12-$F32&lt;=12,SUMIFS('Attrition Modeling'!$D:$D,'Attrition Modeling'!$B:$B,$E32,'Attrition Modeling'!$C:$C,BI$11),VLOOKUP(RentalsVacates!BI$12-RentalsVacates!$F32-1,RentalsVacates!$A$8:$C$162,2,FALSE)*VLOOKUP(BI$11,'Attrition Modeling'!$L$15:$N$27,IF(BI$12-$F32&lt;=24,2,3),FALSE))*(1+IF('Traditional Attrition'!BI154&gt;0,'Attrition Modeling'!$N$9,0))),0))</f>
        <v>1343.3716540167575</v>
      </c>
      <c r="BJ32" s="799">
        <f>IF(BJ$12=$F32+1,IF(Monthly!BF$4=TRUE,0,BJ$3),IF(BJ$12&gt;$F32+1,RentalsVacates!BI32*(1-IF(BJ$12-$F32&lt;=12,SUMIFS('Attrition Modeling'!$D:$D,'Attrition Modeling'!$B:$B,$E32,'Attrition Modeling'!$C:$C,BJ$11),VLOOKUP(RentalsVacates!BJ$12-RentalsVacates!$F32-1,RentalsVacates!$A$8:$C$162,2,FALSE)*VLOOKUP(BJ$11,'Attrition Modeling'!$L$15:$N$27,IF(BJ$12-$F32&lt;=24,2,3),FALSE))*(1+IF('Traditional Attrition'!BJ154&gt;0,'Attrition Modeling'!$N$9,0))),0))</f>
        <v>1297.5370161515718</v>
      </c>
      <c r="BK32" s="799">
        <f>IF(BK$12=$F32+1,IF(Monthly!BG$4=TRUE,0,BK$3),IF(BK$12&gt;$F32+1,RentalsVacates!BJ32*(1-IF(BK$12-$F32&lt;=12,SUMIFS('Attrition Modeling'!$D:$D,'Attrition Modeling'!$B:$B,$E32,'Attrition Modeling'!$C:$C,BK$11),VLOOKUP(RentalsVacates!BK$12-RentalsVacates!$F32-1,RentalsVacates!$A$8:$C$162,2,FALSE)*VLOOKUP(BK$11,'Attrition Modeling'!$L$15:$N$27,IF(BK$12-$F32&lt;=24,2,3),FALSE))*(1+IF('Traditional Attrition'!BK154&gt;0,'Attrition Modeling'!$N$9,0))),0))</f>
        <v>1250.5109908617658</v>
      </c>
      <c r="BL32" s="799">
        <f>IF(BL$12=$F32+1,IF(Monthly!BH$4=TRUE,0,BL$3),IF(BL$12&gt;$F32+1,RentalsVacates!BK32*(1-IF(BL$12-$F32&lt;=12,SUMIFS('Attrition Modeling'!$D:$D,'Attrition Modeling'!$B:$B,$E32,'Attrition Modeling'!$C:$C,BL$11),VLOOKUP(RentalsVacates!BL$12-RentalsVacates!$F32-1,RentalsVacates!$A$8:$C$162,2,FALSE)*VLOOKUP(BL$11,'Attrition Modeling'!$L$15:$N$27,IF(BL$12-$F32&lt;=24,2,3),FALSE))*(1+IF('Traditional Attrition'!BL154&gt;0,'Attrition Modeling'!$N$9,0))),0))</f>
        <v>1208.4019638999971</v>
      </c>
      <c r="BM32" s="799">
        <f>IF(BM$12=$F32+1,IF(Monthly!BI$4=TRUE,0,BM$3),IF(BM$12&gt;$F32+1,RentalsVacates!BL32*(1-IF(BM$12-$F32&lt;=12,SUMIFS('Attrition Modeling'!$D:$D,'Attrition Modeling'!$B:$B,$E32,'Attrition Modeling'!$C:$C,BM$11),VLOOKUP(RentalsVacates!BM$12-RentalsVacates!$F32-1,RentalsVacates!$A$8:$C$162,2,FALSE)*VLOOKUP(BM$11,'Attrition Modeling'!$L$15:$N$27,IF(BM$12-$F32&lt;=24,2,3),FALSE))*(1+IF('Traditional Attrition'!BM154&gt;0,'Attrition Modeling'!$N$9,0))),0))</f>
        <v>1169.5227993193951</v>
      </c>
      <c r="BN32" s="799">
        <f>IF(BN$12=$F32+1,IF(Monthly!BJ$4=TRUE,0,BN$3),IF(BN$12&gt;$F32+1,RentalsVacates!BM32*(1-IF(BN$12-$F32&lt;=12,SUMIFS('Attrition Modeling'!$D:$D,'Attrition Modeling'!$B:$B,$E32,'Attrition Modeling'!$C:$C,BN$11),VLOOKUP(RentalsVacates!BN$12-RentalsVacates!$F32-1,RentalsVacates!$A$8:$C$162,2,FALSE)*VLOOKUP(BN$11,'Attrition Modeling'!$L$15:$N$27,IF(BN$12-$F32&lt;=24,2,3),FALSE))*(1+IF('Traditional Attrition'!BN154&gt;0,'Attrition Modeling'!$N$9,0))),0))</f>
        <v>1133.1235549044229</v>
      </c>
      <c r="BO32" s="799">
        <f>IF(BO$12=$F32+1,IF(Monthly!BK$4=TRUE,0,BO$3),IF(BO$12&gt;$F32+1,RentalsVacates!BN32*(1-IF(BO$12-$F32&lt;=12,SUMIFS('Attrition Modeling'!$D:$D,'Attrition Modeling'!$B:$B,$E32,'Attrition Modeling'!$C:$C,BO$11),VLOOKUP(RentalsVacates!BO$12-RentalsVacates!$F32-1,RentalsVacates!$A$8:$C$162,2,FALSE)*VLOOKUP(BO$11,'Attrition Modeling'!$L$15:$N$27,IF(BO$12-$F32&lt;=24,2,3),FALSE))*(1+IF('Traditional Attrition'!BO154&gt;0,'Attrition Modeling'!$N$9,0))),0))</f>
        <v>1104.3559689296562</v>
      </c>
      <c r="BP32" s="799">
        <f>IF(BP$12=$F32+1,IF(Monthly!BL$4=TRUE,0,BP$3),IF(BP$12&gt;$F32+1,RentalsVacates!BO32*(1-IF(BP$12-$F32&lt;=12,SUMIFS('Attrition Modeling'!$D:$D,'Attrition Modeling'!$B:$B,$E32,'Attrition Modeling'!$C:$C,BP$11),VLOOKUP(RentalsVacates!BP$12-RentalsVacates!$F32-1,RentalsVacates!$A$8:$C$162,2,FALSE)*VLOOKUP(BP$11,'Attrition Modeling'!$L$15:$N$27,IF(BP$12-$F32&lt;=24,2,3),FALSE))*(1+IF('Traditional Attrition'!BP154&gt;0,'Attrition Modeling'!$N$9,0))),0))</f>
        <v>1073.6254445202594</v>
      </c>
      <c r="BQ32" s="799">
        <f>IF(BQ$12=$F32+1,IF(Monthly!BM$4=TRUE,0,BQ$3),IF(BQ$12&gt;$F32+1,RentalsVacates!BP32*(1-IF(BQ$12-$F32&lt;=12,SUMIFS('Attrition Modeling'!$D:$D,'Attrition Modeling'!$B:$B,$E32,'Attrition Modeling'!$C:$C,BQ$11),VLOOKUP(RentalsVacates!BQ$12-RentalsVacates!$F32-1,RentalsVacates!$A$8:$C$162,2,FALSE)*VLOOKUP(BQ$11,'Attrition Modeling'!$L$15:$N$27,IF(BQ$12-$F32&lt;=24,2,3),FALSE))*(1+IF('Traditional Attrition'!BQ154&gt;0,'Attrition Modeling'!$N$9,0))),0))</f>
        <v>1044.9717419730348</v>
      </c>
      <c r="BR32" s="799">
        <f>IF(BR$12=$F32+1,IF(Monthly!BN$4=TRUE,0,BR$3),IF(BR$12&gt;$F32+1,RentalsVacates!BQ32*(1-IF(BR$12-$F32&lt;=12,SUMIFS('Attrition Modeling'!$D:$D,'Attrition Modeling'!$B:$B,$E32,'Attrition Modeling'!$C:$C,BR$11),VLOOKUP(RentalsVacates!BR$12-RentalsVacates!$F32-1,RentalsVacates!$A$8:$C$162,2,FALSE)*VLOOKUP(BR$11,'Attrition Modeling'!$L$15:$N$27,IF(BR$12-$F32&lt;=24,2,3),FALSE))*(1+IF('Traditional Attrition'!BR154&gt;0,'Attrition Modeling'!$N$9,0))),0))</f>
        <v>1018.5139610299971</v>
      </c>
      <c r="BS32" s="799">
        <f>IF(BS$12=$F32+1,IF(Monthly!BO$4=TRUE,0,BS$3),IF(BS$12&gt;$F32+1,RentalsVacates!BR32*(1-IF(BS$12-$F32&lt;=12,SUMIFS('Attrition Modeling'!$D:$D,'Attrition Modeling'!$B:$B,$E32,'Attrition Modeling'!$C:$C,BS$11),VLOOKUP(RentalsVacates!BS$12-RentalsVacates!$F32-1,RentalsVacates!$A$8:$C$162,2,FALSE)*VLOOKUP(BS$11,'Attrition Modeling'!$L$15:$N$27,IF(BS$12-$F32&lt;=24,2,3),FALSE))*(1+IF('Traditional Attrition'!BS154&gt;0,'Attrition Modeling'!$N$9,0))),0))</f>
        <v>998.20176726506588</v>
      </c>
      <c r="BT32" s="799">
        <f>IF(BT$11=$F31+1,IF(Monthly!#REF!=TRUE,0,BT$3),IF(BT$11&gt;$F31+1,RentalsVacates!BS31*(1-IF(BT$11-$F31&lt;=12,SUMIFS('Attrition Modeling'!$D:$D,'Attrition Modeling'!$B:$B,$E31,'Attrition Modeling'!$C:$C,BT$10),VLOOKUP(RentalsVacates!BT$11-RentalsVacates!$F31-1,RentalsVacates!$A$7:$C$161,2,FALSE)*VLOOKUP(BT$10,'Attrition Modeling'!$L$15:$N$27,IF(BT$11-$F31&lt;=24,2,3),FALSE))*(1+IF('Traditional Attrition'!BT154&gt;0,'Attrition Modeling'!$N$9,0))),0))</f>
        <v>0</v>
      </c>
      <c r="BU32" s="799">
        <f>IF(BU$11=$F31+1,IF(Monthly!#REF!=TRUE,0,BU$3),IF(BU$11&gt;$F31+1,RentalsVacates!BT31*(1-IF(BU$11-$F31&lt;=12,SUMIFS('Attrition Modeling'!$D:$D,'Attrition Modeling'!$B:$B,$E31,'Attrition Modeling'!$C:$C,BU$10),VLOOKUP(RentalsVacates!BU$11-RentalsVacates!$F31-1,RentalsVacates!$A$7:$C$161,2,FALSE)*VLOOKUP(BU$10,'Attrition Modeling'!$L$15:$N$27,IF(BU$11-$F31&lt;=24,2,3),FALSE))*(1+IF('Traditional Attrition'!BU154&gt;0,'Attrition Modeling'!$N$9,0))),0))</f>
        <v>0</v>
      </c>
    </row>
    <row r="33" spans="1:73" ht="14.25" customHeight="1" x14ac:dyDescent="0.2">
      <c r="A33" s="9">
        <v>25</v>
      </c>
      <c r="B33" s="25">
        <f>MAX('Attrition Modeling'!H29,$C$3)*(1-Summary!$C$20)</f>
        <v>3.5735416142973743E-2</v>
      </c>
      <c r="C33" s="24" t="e">
        <f t="shared" si="2"/>
        <v>#DIV/0!</v>
      </c>
      <c r="E33" s="11">
        <f>'Traditional Attrition'!E90</f>
        <v>8</v>
      </c>
      <c r="F33" s="11">
        <f t="shared" si="4"/>
        <v>20</v>
      </c>
      <c r="G33" s="799"/>
      <c r="H33" s="799">
        <f>IF(H$12=$F33+1,IF(Monthly!D$4=TRUE,0,H$3),IF(H$12&gt;$F33+1,RentalsVacates!G33*(1-IF(H$12-$F33&lt;=12,SUMIFS('Attrition Modeling'!$D:$D,'Attrition Modeling'!$B:$B,$E33,'Attrition Modeling'!$C:$C,H$11),VLOOKUP(RentalsVacates!H$12-RentalsVacates!$F33-1,RentalsVacates!$A$8:$C$162,2,FALSE)*VLOOKUP(H$11,'Attrition Modeling'!$L$15:$N$27,IF(H$12-$F33&lt;=24,2,3),FALSE))*(1+IF('Traditional Attrition'!H155&gt;0,'Attrition Modeling'!$N$9,0))),0))</f>
        <v>0</v>
      </c>
      <c r="I33" s="799">
        <f>IF(I$12=$F33+1,IF(Monthly!E$4=TRUE,0,I$3),IF(I$12&gt;$F33+1,RentalsVacates!H33*(1-IF(I$12-$F33&lt;=12,SUMIFS('Attrition Modeling'!$D:$D,'Attrition Modeling'!$B:$B,$E33,'Attrition Modeling'!$C:$C,I$11),VLOOKUP(RentalsVacates!I$12-RentalsVacates!$F33-1,RentalsVacates!$A$8:$C$162,2,FALSE)*VLOOKUP(I$11,'Attrition Modeling'!$L$15:$N$27,IF(I$12-$F33&lt;=24,2,3),FALSE))*(1+IF('Traditional Attrition'!I155&gt;0,'Attrition Modeling'!$N$9,0))),0))</f>
        <v>0</v>
      </c>
      <c r="J33" s="799">
        <f>IF(J$12=$F33+1,IF(Monthly!F$4=TRUE,0,J$3),IF(J$12&gt;$F33+1,RentalsVacates!I33*(1-IF(J$12-$F33&lt;=12,SUMIFS('Attrition Modeling'!$D:$D,'Attrition Modeling'!$B:$B,$E33,'Attrition Modeling'!$C:$C,J$11),VLOOKUP(RentalsVacates!J$12-RentalsVacates!$F33-1,RentalsVacates!$A$8:$C$162,2,FALSE)*VLOOKUP(J$11,'Attrition Modeling'!$L$15:$N$27,IF(J$12-$F33&lt;=24,2,3),FALSE))*(1+IF('Traditional Attrition'!J155&gt;0,'Attrition Modeling'!$N$9,0))),0))</f>
        <v>0</v>
      </c>
      <c r="K33" s="799">
        <f>IF(K$12=$F33+1,IF(Monthly!G$4=TRUE,0,K$3),IF(K$12&gt;$F33+1,RentalsVacates!J33*(1-IF(K$12-$F33&lt;=12,SUMIFS('Attrition Modeling'!$D:$D,'Attrition Modeling'!$B:$B,$E33,'Attrition Modeling'!$C:$C,K$11),VLOOKUP(RentalsVacates!K$12-RentalsVacates!$F33-1,RentalsVacates!$A$8:$C$162,2,FALSE)*VLOOKUP(K$11,'Attrition Modeling'!$L$15:$N$27,IF(K$12-$F33&lt;=24,2,3),FALSE))*(1+IF('Traditional Attrition'!K155&gt;0,'Attrition Modeling'!$N$9,0))),0))</f>
        <v>0</v>
      </c>
      <c r="L33" s="799">
        <f>IF(L$12=$F33+1,IF(Monthly!H$4=TRUE,0,L$3),IF(L$12&gt;$F33+1,RentalsVacates!K33*(1-IF(L$12-$F33&lt;=12,SUMIFS('Attrition Modeling'!$D:$D,'Attrition Modeling'!$B:$B,$E33,'Attrition Modeling'!$C:$C,L$11),VLOOKUP(RentalsVacates!L$12-RentalsVacates!$F33-1,RentalsVacates!$A$8:$C$162,2,FALSE)*VLOOKUP(L$11,'Attrition Modeling'!$L$15:$N$27,IF(L$12-$F33&lt;=24,2,3),FALSE))*(1+IF('Traditional Attrition'!L155&gt;0,'Attrition Modeling'!$N$9,0))),0))</f>
        <v>0</v>
      </c>
      <c r="M33" s="799">
        <f>IF(M$12=$F33+1,IF(Monthly!I$4=TRUE,0,M$3),IF(M$12&gt;$F33+1,RentalsVacates!L33*(1-IF(M$12-$F33&lt;=12,SUMIFS('Attrition Modeling'!$D:$D,'Attrition Modeling'!$B:$B,$E33,'Attrition Modeling'!$C:$C,M$11),VLOOKUP(RentalsVacates!M$12-RentalsVacates!$F33-1,RentalsVacates!$A$8:$C$162,2,FALSE)*VLOOKUP(M$11,'Attrition Modeling'!$L$15:$N$27,IF(M$12-$F33&lt;=24,2,3),FALSE))*(1+IF('Traditional Attrition'!M155&gt;0,'Attrition Modeling'!$N$9,0))),0))</f>
        <v>0</v>
      </c>
      <c r="N33" s="799">
        <f>IF(N$12=$F33+1,IF(Monthly!J$4=TRUE,0,N$3),IF(N$12&gt;$F33+1,RentalsVacates!M33*(1-IF(N$12-$F33&lt;=12,SUMIFS('Attrition Modeling'!$D:$D,'Attrition Modeling'!$B:$B,$E33,'Attrition Modeling'!$C:$C,N$11),VLOOKUP(RentalsVacates!N$12-RentalsVacates!$F33-1,RentalsVacates!$A$8:$C$162,2,FALSE)*VLOOKUP(N$11,'Attrition Modeling'!$L$15:$N$27,IF(N$12-$F33&lt;=24,2,3),FALSE))*(1+IF('Traditional Attrition'!N155&gt;0,'Attrition Modeling'!$N$9,0))),0))</f>
        <v>0</v>
      </c>
      <c r="O33" s="799">
        <f>IF(O$12=$F33+1,IF(Monthly!K$4=TRUE,0,O$3),IF(O$12&gt;$F33+1,RentalsVacates!N33*(1-IF(O$12-$F33&lt;=12,SUMIFS('Attrition Modeling'!$D:$D,'Attrition Modeling'!$B:$B,$E33,'Attrition Modeling'!$C:$C,O$11),VLOOKUP(RentalsVacates!O$12-RentalsVacates!$F33-1,RentalsVacates!$A$8:$C$162,2,FALSE)*VLOOKUP(O$11,'Attrition Modeling'!$L$15:$N$27,IF(O$12-$F33&lt;=24,2,3),FALSE))*(1+IF('Traditional Attrition'!O155&gt;0,'Attrition Modeling'!$N$9,0))),0))</f>
        <v>0</v>
      </c>
      <c r="P33" s="799">
        <f>IF(P$12=$F33+1,IF(Monthly!L$4=TRUE,0,P$3),IF(P$12&gt;$F33+1,RentalsVacates!O33*(1-IF(P$12-$F33&lt;=12,SUMIFS('Attrition Modeling'!$D:$D,'Attrition Modeling'!$B:$B,$E33,'Attrition Modeling'!$C:$C,P$11),VLOOKUP(RentalsVacates!P$12-RentalsVacates!$F33-1,RentalsVacates!$A$8:$C$162,2,FALSE)*VLOOKUP(P$11,'Attrition Modeling'!$L$15:$N$27,IF(P$12-$F33&lt;=24,2,3),FALSE))*(1+IF('Traditional Attrition'!P155&gt;0,'Attrition Modeling'!$N$9,0))),0))</f>
        <v>0</v>
      </c>
      <c r="Q33" s="799">
        <f>IF(Q$12=$F33+1,IF(Monthly!M$4=TRUE,0,Q$3),IF(Q$12&gt;$F33+1,RentalsVacates!P33*(1-IF(Q$12-$F33&lt;=12,SUMIFS('Attrition Modeling'!$D:$D,'Attrition Modeling'!$B:$B,$E33,'Attrition Modeling'!$C:$C,Q$11),VLOOKUP(RentalsVacates!Q$12-RentalsVacates!$F33-1,RentalsVacates!$A$8:$C$162,2,FALSE)*VLOOKUP(Q$11,'Attrition Modeling'!$L$15:$N$27,IF(Q$12-$F33&lt;=24,2,3),FALSE))*(1+IF('Traditional Attrition'!Q155&gt;0,'Attrition Modeling'!$N$9,0))),0))</f>
        <v>0</v>
      </c>
      <c r="R33" s="799">
        <f>IF(R$12=$F33+1,IF(Monthly!N$4=TRUE,0,R$3),IF(R$12&gt;$F33+1,RentalsVacates!Q33*(1-IF(R$12-$F33&lt;=12,SUMIFS('Attrition Modeling'!$D:$D,'Attrition Modeling'!$B:$B,$E33,'Attrition Modeling'!$C:$C,R$11),VLOOKUP(RentalsVacates!R$12-RentalsVacates!$F33-1,RentalsVacates!$A$8:$C$162,2,FALSE)*VLOOKUP(R$11,'Attrition Modeling'!$L$15:$N$27,IF(R$12-$F33&lt;=24,2,3),FALSE))*(1+IF('Traditional Attrition'!R155&gt;0,'Attrition Modeling'!$N$9,0))),0))</f>
        <v>0</v>
      </c>
      <c r="S33" s="799">
        <f>IF(S$12=$F33+1,IF(Monthly!O$4=TRUE,0,S$3),IF(S$12&gt;$F33+1,RentalsVacates!R33*(1-IF(S$12-$F33&lt;=12,SUMIFS('Attrition Modeling'!$D:$D,'Attrition Modeling'!$B:$B,$E33,'Attrition Modeling'!$C:$C,S$11),VLOOKUP(RentalsVacates!S$12-RentalsVacates!$F33-1,RentalsVacates!$A$8:$C$162,2,FALSE)*VLOOKUP(S$11,'Attrition Modeling'!$L$15:$N$27,IF(S$12-$F33&lt;=24,2,3),FALSE))*(1+IF('Traditional Attrition'!S155&gt;0,'Attrition Modeling'!$N$9,0))),0))</f>
        <v>0</v>
      </c>
      <c r="T33" s="799">
        <f>IF(T$12=$F33+1,IF(Monthly!P$4=TRUE,0,T$3),IF(T$12&gt;$F33+1,RentalsVacates!S33*(1-IF(T$12-$F33&lt;=12,SUMIFS('Attrition Modeling'!$D:$D,'Attrition Modeling'!$B:$B,$E33,'Attrition Modeling'!$C:$C,T$11),VLOOKUP(RentalsVacates!T$12-RentalsVacates!$F33-1,RentalsVacates!$A$8:$C$162,2,FALSE)*VLOOKUP(T$11,'Attrition Modeling'!$L$15:$N$27,IF(T$12-$F33&lt;=24,2,3),FALSE))*(1+IF('Traditional Attrition'!T155&gt;0,'Attrition Modeling'!$N$9,0))),0))</f>
        <v>0</v>
      </c>
      <c r="U33" s="799">
        <f>IF(U$12=$F33+1,IF(Monthly!Q$4=TRUE,0,U$3),IF(U$12&gt;$F33+1,RentalsVacates!T33*(1-IF(U$12-$F33&lt;=12,SUMIFS('Attrition Modeling'!$D:$D,'Attrition Modeling'!$B:$B,$E33,'Attrition Modeling'!$C:$C,U$11),VLOOKUP(RentalsVacates!U$12-RentalsVacates!$F33-1,RentalsVacates!$A$8:$C$162,2,FALSE)*VLOOKUP(U$11,'Attrition Modeling'!$L$15:$N$27,IF(U$12-$F33&lt;=24,2,3),FALSE))*(1+IF('Traditional Attrition'!U155&gt;0,'Attrition Modeling'!$N$9,0))),0))</f>
        <v>0</v>
      </c>
      <c r="V33" s="799">
        <f>IF(V$12=$F33+1,IF(Monthly!R$4=TRUE,0,V$3),IF(V$12&gt;$F33+1,RentalsVacates!U33*(1-IF(V$12-$F33&lt;=12,SUMIFS('Attrition Modeling'!$D:$D,'Attrition Modeling'!$B:$B,$E33,'Attrition Modeling'!$C:$C,V$11),VLOOKUP(RentalsVacates!V$12-RentalsVacates!$F33-1,RentalsVacates!$A$8:$C$162,2,FALSE)*VLOOKUP(V$11,'Attrition Modeling'!$L$15:$N$27,IF(V$12-$F33&lt;=24,2,3),FALSE))*(1+IF('Traditional Attrition'!V155&gt;0,'Attrition Modeling'!$N$9,0))),0))</f>
        <v>0</v>
      </c>
      <c r="W33" s="799">
        <f>IF(W$12=$F33+1,IF(Monthly!S$4=TRUE,0,W$3),IF(W$12&gt;$F33+1,RentalsVacates!V33*(1-IF(W$12-$F33&lt;=12,SUMIFS('Attrition Modeling'!$D:$D,'Attrition Modeling'!$B:$B,$E33,'Attrition Modeling'!$C:$C,W$11),VLOOKUP(RentalsVacates!W$12-RentalsVacates!$F33-1,RentalsVacates!$A$8:$C$162,2,FALSE)*VLOOKUP(W$11,'Attrition Modeling'!$L$15:$N$27,IF(W$12-$F33&lt;=24,2,3),FALSE))*(1+IF('Traditional Attrition'!W155&gt;0,'Attrition Modeling'!$N$9,0))),0))</f>
        <v>0</v>
      </c>
      <c r="X33" s="799">
        <f>IF(X$12=$F33+1,IF(Monthly!T$4=TRUE,0,X$3),IF(X$12&gt;$F33+1,RentalsVacates!W33*(1-IF(X$12-$F33&lt;=12,SUMIFS('Attrition Modeling'!$D:$D,'Attrition Modeling'!$B:$B,$E33,'Attrition Modeling'!$C:$C,X$11),VLOOKUP(RentalsVacates!X$12-RentalsVacates!$F33-1,RentalsVacates!$A$8:$C$162,2,FALSE)*VLOOKUP(X$11,'Attrition Modeling'!$L$15:$N$27,IF(X$12-$F33&lt;=24,2,3),FALSE))*(1+IF('Traditional Attrition'!X155&gt;0,'Attrition Modeling'!$N$9,0))),0))</f>
        <v>0</v>
      </c>
      <c r="Y33" s="799">
        <f>IF(Y$12=$F33+1,IF(Monthly!U$4=TRUE,0,Y$3),IF(Y$12&gt;$F33+1,RentalsVacates!X33*(1-IF(Y$12-$F33&lt;=12,SUMIFS('Attrition Modeling'!$D:$D,'Attrition Modeling'!$B:$B,$E33,'Attrition Modeling'!$C:$C,Y$11),VLOOKUP(RentalsVacates!Y$12-RentalsVacates!$F33-1,RentalsVacates!$A$8:$C$162,2,FALSE)*VLOOKUP(Y$11,'Attrition Modeling'!$L$15:$N$27,IF(Y$12-$F33&lt;=24,2,3),FALSE))*(1+IF('Traditional Attrition'!Y155&gt;0,'Attrition Modeling'!$N$9,0))),0))</f>
        <v>0</v>
      </c>
      <c r="Z33" s="799">
        <f>IF(Z$12=$F33+1,IF(Monthly!V$4=TRUE,0,Z$3),IF(Z$12&gt;$F33+1,RentalsVacates!Y33*(1-IF(Z$12-$F33&lt;=12,SUMIFS('Attrition Modeling'!$D:$D,'Attrition Modeling'!$B:$B,$E33,'Attrition Modeling'!$C:$C,Z$11),VLOOKUP(RentalsVacates!Z$12-RentalsVacates!$F33-1,RentalsVacates!$A$8:$C$162,2,FALSE)*VLOOKUP(Z$11,'Attrition Modeling'!$L$15:$N$27,IF(Z$12-$F33&lt;=24,2,3),FALSE))*(1+IF('Traditional Attrition'!Z155&gt;0,'Attrition Modeling'!$N$9,0))),0))</f>
        <v>0</v>
      </c>
      <c r="AA33" s="799">
        <f>IF(AA$12=$F33+1,IF(Monthly!W$4=TRUE,0,AA$3),IF(AA$12&gt;$F33+1,RentalsVacates!Z33*(1-IF(AA$12-$F33&lt;=12,SUMIFS('Attrition Modeling'!$D:$D,'Attrition Modeling'!$B:$B,$E33,'Attrition Modeling'!$C:$C,AA$11),VLOOKUP(RentalsVacates!AA$12-RentalsVacates!$F33-1,RentalsVacates!$A$8:$C$162,2,FALSE)*VLOOKUP(AA$11,'Attrition Modeling'!$L$15:$N$27,IF(AA$12-$F33&lt;=24,2,3),FALSE))*(1+IF('Traditional Attrition'!AA155&gt;0,'Attrition Modeling'!$N$9,0))),0))</f>
        <v>0</v>
      </c>
      <c r="AB33" s="799">
        <f>IF(AB$12=$F33+1,IF(Monthly!X$4=TRUE,0,AB$3),IF(AB$12&gt;$F33+1,RentalsVacates!AA33*(1-IF(AB$12-$F33&lt;=12,SUMIFS('Attrition Modeling'!$D:$D,'Attrition Modeling'!$B:$B,$E33,'Attrition Modeling'!$C:$C,AB$11),VLOOKUP(RentalsVacates!AB$12-RentalsVacates!$F33-1,RentalsVacates!$A$8:$C$162,2,FALSE)*VLOOKUP(AB$11,'Attrition Modeling'!$L$15:$N$27,IF(AB$12-$F33&lt;=24,2,3),FALSE))*(1+IF('Traditional Attrition'!AB155&gt;0,'Attrition Modeling'!$N$9,0))),0))</f>
        <v>7542.9971571765718</v>
      </c>
      <c r="AC33" s="799">
        <f>IF(AC$12=$F33+1,IF(Monthly!Y$4=TRUE,0,AC$3),IF(AC$12&gt;$F33+1,RentalsVacates!AB33*(1-IF(AC$12-$F33&lt;=12,SUMIFS('Attrition Modeling'!$D:$D,'Attrition Modeling'!$B:$B,$E33,'Attrition Modeling'!$C:$C,AC$11),VLOOKUP(RentalsVacates!AC$12-RentalsVacates!$F33-1,RentalsVacates!$A$8:$C$162,2,FALSE)*VLOOKUP(AC$11,'Attrition Modeling'!$L$15:$N$27,IF(AC$12-$F33&lt;=24,2,3),FALSE))*(1+IF('Traditional Attrition'!AC155&gt;0,'Attrition Modeling'!$N$9,0))),0))</f>
        <v>6718.9088774610018</v>
      </c>
      <c r="AD33" s="799">
        <f>IF(AD$12=$F33+1,IF(Monthly!Z$4=TRUE,0,AD$3),IF(AD$12&gt;$F33+1,RentalsVacates!AC33*(1-IF(AD$12-$F33&lt;=12,SUMIFS('Attrition Modeling'!$D:$D,'Attrition Modeling'!$B:$B,$E33,'Attrition Modeling'!$C:$C,AD$11),VLOOKUP(RentalsVacates!AD$12-RentalsVacates!$F33-1,RentalsVacates!$A$8:$C$162,2,FALSE)*VLOOKUP(AD$11,'Attrition Modeling'!$L$15:$N$27,IF(AD$12-$F33&lt;=24,2,3),FALSE))*(1+IF('Traditional Attrition'!AD155&gt;0,'Attrition Modeling'!$N$9,0))),0))</f>
        <v>6114.7709293225089</v>
      </c>
      <c r="AE33" s="799">
        <f>IF(AE$12=$F33+1,IF(Monthly!AA$4=TRUE,0,AE$3),IF(AE$12&gt;$F33+1,RentalsVacates!AD33*(1-IF(AE$12-$F33&lt;=12,SUMIFS('Attrition Modeling'!$D:$D,'Attrition Modeling'!$B:$B,$E33,'Attrition Modeling'!$C:$C,AE$11),VLOOKUP(RentalsVacates!AE$12-RentalsVacates!$F33-1,RentalsVacates!$A$8:$C$162,2,FALSE)*VLOOKUP(AE$11,'Attrition Modeling'!$L$15:$N$27,IF(AE$12-$F33&lt;=24,2,3),FALSE))*(1+IF('Traditional Attrition'!AE155&gt;0,'Attrition Modeling'!$N$9,0))),0))</f>
        <v>5563.9269265620715</v>
      </c>
      <c r="AF33" s="799">
        <f>IF(AF$12=$F33+1,IF(Monthly!AB$4=TRUE,0,AF$3),IF(AF$12&gt;$F33+1,RentalsVacates!AE33*(1-IF(AF$12-$F33&lt;=12,SUMIFS('Attrition Modeling'!$D:$D,'Attrition Modeling'!$B:$B,$E33,'Attrition Modeling'!$C:$C,AF$11),VLOOKUP(RentalsVacates!AF$12-RentalsVacates!$F33-1,RentalsVacates!$A$8:$C$162,2,FALSE)*VLOOKUP(AF$11,'Attrition Modeling'!$L$15:$N$27,IF(AF$12-$F33&lt;=24,2,3),FALSE))*(1+IF('Traditional Attrition'!AF155&gt;0,'Attrition Modeling'!$N$9,0))),0))</f>
        <v>5132.5557275849833</v>
      </c>
      <c r="AG33" s="799">
        <f>IF(AG$12=$F33+1,IF(Monthly!AC$4=TRUE,0,AG$3),IF(AG$12&gt;$F33+1,RentalsVacates!AF33*(1-IF(AG$12-$F33&lt;=12,SUMIFS('Attrition Modeling'!$D:$D,'Attrition Modeling'!$B:$B,$E33,'Attrition Modeling'!$C:$C,AG$11),VLOOKUP(RentalsVacates!AG$12-RentalsVacates!$F33-1,RentalsVacates!$A$8:$C$162,2,FALSE)*VLOOKUP(AG$11,'Attrition Modeling'!$L$15:$N$27,IF(AG$12-$F33&lt;=24,2,3),FALSE))*(1+IF('Traditional Attrition'!AG155&gt;0,'Attrition Modeling'!$N$9,0))),0))</f>
        <v>4658.2021967219316</v>
      </c>
      <c r="AH33" s="799">
        <f>IF(AH$12=$F33+1,IF(Monthly!AD$4=TRUE,0,AH$3),IF(AH$12&gt;$F33+1,RentalsVacates!AG33*(1-IF(AH$12-$F33&lt;=12,SUMIFS('Attrition Modeling'!$D:$D,'Attrition Modeling'!$B:$B,$E33,'Attrition Modeling'!$C:$C,AH$11),VLOOKUP(RentalsVacates!AH$12-RentalsVacates!$F33-1,RentalsVacates!$A$8:$C$162,2,FALSE)*VLOOKUP(AH$11,'Attrition Modeling'!$L$15:$N$27,IF(AH$12-$F33&lt;=24,2,3),FALSE))*(1+IF('Traditional Attrition'!AH155&gt;0,'Attrition Modeling'!$N$9,0))),0))</f>
        <v>4304.9401197560755</v>
      </c>
      <c r="AI33" s="799">
        <f>IF(AI$12=$F33+1,IF(Monthly!AE$4=TRUE,0,AI$3),IF(AI$12&gt;$F33+1,RentalsVacates!AH33*(1-IF(AI$12-$F33&lt;=12,SUMIFS('Attrition Modeling'!$D:$D,'Attrition Modeling'!$B:$B,$E33,'Attrition Modeling'!$C:$C,AI$11),VLOOKUP(RentalsVacates!AI$12-RentalsVacates!$F33-1,RentalsVacates!$A$8:$C$162,2,FALSE)*VLOOKUP(AI$11,'Attrition Modeling'!$L$15:$N$27,IF(AI$12-$F33&lt;=24,2,3),FALSE))*(1+IF('Traditional Attrition'!AI155&gt;0,'Attrition Modeling'!$N$9,0))),0))</f>
        <v>4021.9179015482814</v>
      </c>
      <c r="AJ33" s="799">
        <f>IF(AJ$12=$F33+1,IF(Monthly!AF$4=TRUE,0,AJ$3),IF(AJ$12&gt;$F33+1,RentalsVacates!AI33*(1-IF(AJ$12-$F33&lt;=12,SUMIFS('Attrition Modeling'!$D:$D,'Attrition Modeling'!$B:$B,$E33,'Attrition Modeling'!$C:$C,AJ$11),VLOOKUP(RentalsVacates!AJ$12-RentalsVacates!$F33-1,RentalsVacates!$A$8:$C$162,2,FALSE)*VLOOKUP(AJ$11,'Attrition Modeling'!$L$15:$N$27,IF(AJ$12-$F33&lt;=24,2,3),FALSE))*(1+IF('Traditional Attrition'!AJ155&gt;0,'Attrition Modeling'!$N$9,0))),0))</f>
        <v>3783.2808617093092</v>
      </c>
      <c r="AK33" s="799">
        <f>IF(AK$12=$F33+1,IF(Monthly!AG$4=TRUE,0,AK$3),IF(AK$12&gt;$F33+1,RentalsVacates!AJ33*(1-IF(AK$12-$F33&lt;=12,SUMIFS('Attrition Modeling'!$D:$D,'Attrition Modeling'!$B:$B,$E33,'Attrition Modeling'!$C:$C,AK$11),VLOOKUP(RentalsVacates!AK$12-RentalsVacates!$F33-1,RentalsVacates!$A$8:$C$162,2,FALSE)*VLOOKUP(AK$11,'Attrition Modeling'!$L$15:$N$27,IF(AK$12-$F33&lt;=24,2,3),FALSE))*(1+IF('Traditional Attrition'!AK155&gt;0,'Attrition Modeling'!$N$9,0))),0))</f>
        <v>3560.9169779171912</v>
      </c>
      <c r="AL33" s="799">
        <f>IF(AL$12=$F33+1,IF(Monthly!AH$4=TRUE,0,AL$3),IF(AL$12&gt;$F33+1,RentalsVacates!AK33*(1-IF(AL$12-$F33&lt;=12,SUMIFS('Attrition Modeling'!$D:$D,'Attrition Modeling'!$B:$B,$E33,'Attrition Modeling'!$C:$C,AL$11),VLOOKUP(RentalsVacates!AL$12-RentalsVacates!$F33-1,RentalsVacates!$A$8:$C$162,2,FALSE)*VLOOKUP(AL$11,'Attrition Modeling'!$L$15:$N$27,IF(AL$12-$F33&lt;=24,2,3),FALSE))*(1+IF('Traditional Attrition'!AL155&gt;0,'Attrition Modeling'!$N$9,0))),0))</f>
        <v>3349.7061726558022</v>
      </c>
      <c r="AM33" s="799">
        <f>IF(AM$12=$F33+1,IF(Monthly!AI$4=TRUE,0,AM$3),IF(AM$12&gt;$F33+1,RentalsVacates!AL33*(1-IF(AM$12-$F33&lt;=12,SUMIFS('Attrition Modeling'!$D:$D,'Attrition Modeling'!$B:$B,$E33,'Attrition Modeling'!$C:$C,AM$11),VLOOKUP(RentalsVacates!AM$12-RentalsVacates!$F33-1,RentalsVacates!$A$8:$C$162,2,FALSE)*VLOOKUP(AM$11,'Attrition Modeling'!$L$15:$N$27,IF(AM$12-$F33&lt;=24,2,3),FALSE))*(1+IF('Traditional Attrition'!AM155&gt;0,'Attrition Modeling'!$N$9,0))),0))</f>
        <v>3236.7081560422212</v>
      </c>
      <c r="AN33" s="799">
        <f>IF(AN$12=$F33+1,IF(Monthly!AJ$4=TRUE,0,AN$3),IF(AN$12&gt;$F33+1,RentalsVacates!AM33*(1-IF(AN$12-$F33&lt;=12,SUMIFS('Attrition Modeling'!$D:$D,'Attrition Modeling'!$B:$B,$E33,'Attrition Modeling'!$C:$C,AN$11),VLOOKUP(RentalsVacates!AN$12-RentalsVacates!$F33-1,RentalsVacates!$A$8:$C$162,2,FALSE)*VLOOKUP(AN$11,'Attrition Modeling'!$L$15:$N$27,IF(AN$12-$F33&lt;=24,2,3),FALSE))*(1+IF('Traditional Attrition'!AN155&gt;0,'Attrition Modeling'!$N$9,0))),0))</f>
        <v>3057.9498576434444</v>
      </c>
      <c r="AO33" s="799">
        <f>IF(AO$12=$F33+1,IF(Monthly!AK$4=TRUE,0,AO$3),IF(AO$12&gt;$F33+1,RentalsVacates!AN33*(1-IF(AO$12-$F33&lt;=12,SUMIFS('Attrition Modeling'!$D:$D,'Attrition Modeling'!$B:$B,$E33,'Attrition Modeling'!$C:$C,AO$11),VLOOKUP(RentalsVacates!AO$12-RentalsVacates!$F33-1,RentalsVacates!$A$8:$C$162,2,FALSE)*VLOOKUP(AO$11,'Attrition Modeling'!$L$15:$N$27,IF(AO$12-$F33&lt;=24,2,3),FALSE))*(1+IF('Traditional Attrition'!AO155&gt;0,'Attrition Modeling'!$N$9,0))),0))</f>
        <v>2898.503245195629</v>
      </c>
      <c r="AP33" s="799">
        <f>IF(AP$12=$F33+1,IF(Monthly!AL$4=TRUE,0,AP$3),IF(AP$12&gt;$F33+1,RentalsVacates!AO33*(1-IF(AP$12-$F33&lt;=12,SUMIFS('Attrition Modeling'!$D:$D,'Attrition Modeling'!$B:$B,$E33,'Attrition Modeling'!$C:$C,AP$11),VLOOKUP(RentalsVacates!AP$12-RentalsVacates!$F33-1,RentalsVacates!$A$8:$C$162,2,FALSE)*VLOOKUP(AP$11,'Attrition Modeling'!$L$15:$N$27,IF(AP$12-$F33&lt;=24,2,3),FALSE))*(1+IF('Traditional Attrition'!AP155&gt;0,'Attrition Modeling'!$N$9,0))),0))</f>
        <v>2760.2337276378289</v>
      </c>
      <c r="AQ33" s="799">
        <f>IF(AQ$12=$F33+1,IF(Monthly!AM$4=TRUE,0,AQ$3),IF(AQ$12&gt;$F33+1,RentalsVacates!AP33*(1-IF(AQ$12-$F33&lt;=12,SUMIFS('Attrition Modeling'!$D:$D,'Attrition Modeling'!$B:$B,$E33,'Attrition Modeling'!$C:$C,AQ$11),VLOOKUP(RentalsVacates!AQ$12-RentalsVacates!$F33-1,RentalsVacates!$A$8:$C$162,2,FALSE)*VLOOKUP(AQ$11,'Attrition Modeling'!$L$15:$N$27,IF(AQ$12-$F33&lt;=24,2,3),FALSE))*(1+IF('Traditional Attrition'!AQ155&gt;0,'Attrition Modeling'!$N$9,0))),0))</f>
        <v>2634.7029652065876</v>
      </c>
      <c r="AR33" s="799">
        <f>IF(AR$12=$F33+1,IF(Monthly!AN$4=TRUE,0,AR$3),IF(AR$12&gt;$F33+1,RentalsVacates!AQ33*(1-IF(AR$12-$F33&lt;=12,SUMIFS('Attrition Modeling'!$D:$D,'Attrition Modeling'!$B:$B,$E33,'Attrition Modeling'!$C:$C,AR$11),VLOOKUP(RentalsVacates!AR$12-RentalsVacates!$F33-1,RentalsVacates!$A$8:$C$162,2,FALSE)*VLOOKUP(AR$11,'Attrition Modeling'!$L$15:$N$27,IF(AR$12-$F33&lt;=24,2,3),FALSE))*(1+IF('Traditional Attrition'!AR155&gt;0,'Attrition Modeling'!$N$9,0))),0))</f>
        <v>2518.3000238346558</v>
      </c>
      <c r="AS33" s="799">
        <f>IF(AS$12=$F33+1,IF(Monthly!AO$4=TRUE,0,AS$3),IF(AS$12&gt;$F33+1,RentalsVacates!AR33*(1-IF(AS$12-$F33&lt;=12,SUMIFS('Attrition Modeling'!$D:$D,'Attrition Modeling'!$B:$B,$E33,'Attrition Modeling'!$C:$C,AS$11),VLOOKUP(RentalsVacates!AS$12-RentalsVacates!$F33-1,RentalsVacates!$A$8:$C$162,2,FALSE)*VLOOKUP(AS$11,'Attrition Modeling'!$L$15:$N$27,IF(AS$12-$F33&lt;=24,2,3),FALSE))*(1+IF('Traditional Attrition'!AS155&gt;0,'Attrition Modeling'!$N$9,0))),0))</f>
        <v>2400.8396960708392</v>
      </c>
      <c r="AT33" s="799">
        <f>IF(AT$12=$F33+1,IF(Monthly!AP$4=TRUE,0,AT$3),IF(AT$12&gt;$F33+1,RentalsVacates!AS33*(1-IF(AT$12-$F33&lt;=12,SUMIFS('Attrition Modeling'!$D:$D,'Attrition Modeling'!$B:$B,$E33,'Attrition Modeling'!$C:$C,AT$11),VLOOKUP(RentalsVacates!AT$12-RentalsVacates!$F33-1,RentalsVacates!$A$8:$C$162,2,FALSE)*VLOOKUP(AT$11,'Attrition Modeling'!$L$15:$N$27,IF(AT$12-$F33&lt;=24,2,3),FALSE))*(1+IF('Traditional Attrition'!AT155&gt;0,'Attrition Modeling'!$N$9,0))),0))</f>
        <v>2301.4375908574716</v>
      </c>
      <c r="AU33" s="799">
        <f>IF(AU$12=$F33+1,IF(Monthly!AQ$4=TRUE,0,AU$3),IF(AU$12&gt;$F33+1,RentalsVacates!AT33*(1-IF(AU$12-$F33&lt;=12,SUMIFS('Attrition Modeling'!$D:$D,'Attrition Modeling'!$B:$B,$E33,'Attrition Modeling'!$C:$C,AU$11),VLOOKUP(RentalsVacates!AU$12-RentalsVacates!$F33-1,RentalsVacates!$A$8:$C$162,2,FALSE)*VLOOKUP(AU$11,'Attrition Modeling'!$L$15:$N$27,IF(AU$12-$F33&lt;=24,2,3),FALSE))*(1+IF('Traditional Attrition'!AU155&gt;0,'Attrition Modeling'!$N$9,0))),0))</f>
        <v>2209.5293995218394</v>
      </c>
      <c r="AV33" s="799">
        <f>IF(AV$12=$F33+1,IF(Monthly!AR$4=TRUE,0,AV$3),IF(AV$12&gt;$F33+1,RentalsVacates!AU33*(1-IF(AV$12-$F33&lt;=12,SUMIFS('Attrition Modeling'!$D:$D,'Attrition Modeling'!$B:$B,$E33,'Attrition Modeling'!$C:$C,AV$11),VLOOKUP(RentalsVacates!AV$12-RentalsVacates!$F33-1,RentalsVacates!$A$8:$C$162,2,FALSE)*VLOOKUP(AV$11,'Attrition Modeling'!$L$15:$N$27,IF(AV$12-$F33&lt;=24,2,3),FALSE))*(1+IF('Traditional Attrition'!AV155&gt;0,'Attrition Modeling'!$N$9,0))),0))</f>
        <v>2123.4184135073278</v>
      </c>
      <c r="AW33" s="799">
        <f>IF(AW$12=$F33+1,IF(Monthly!AS$4=TRUE,0,AW$3),IF(AW$12&gt;$F33+1,RentalsVacates!AV33*(1-IF(AW$12-$F33&lt;=12,SUMIFS('Attrition Modeling'!$D:$D,'Attrition Modeling'!$B:$B,$E33,'Attrition Modeling'!$C:$C,AW$11),VLOOKUP(RentalsVacates!AW$12-RentalsVacates!$F33-1,RentalsVacates!$A$8:$C$162,2,FALSE)*VLOOKUP(AW$11,'Attrition Modeling'!$L$15:$N$27,IF(AW$12-$F33&lt;=24,2,3),FALSE))*(1+IF('Traditional Attrition'!AW155&gt;0,'Attrition Modeling'!$N$9,0))),0))</f>
        <v>2033.9764760542441</v>
      </c>
      <c r="AX33" s="799">
        <f>IF(AX$12=$F33+1,IF(Monthly!AT$4=TRUE,0,AX$3),IF(AX$12&gt;$F33+1,RentalsVacates!AW33*(1-IF(AX$12-$F33&lt;=12,SUMIFS('Attrition Modeling'!$D:$D,'Attrition Modeling'!$B:$B,$E33,'Attrition Modeling'!$C:$C,AX$11),VLOOKUP(RentalsVacates!AX$12-RentalsVacates!$F33-1,RentalsVacates!$A$8:$C$162,2,FALSE)*VLOOKUP(AX$11,'Attrition Modeling'!$L$15:$N$27,IF(AX$12-$F33&lt;=24,2,3),FALSE))*(1+IF('Traditional Attrition'!AX155&gt;0,'Attrition Modeling'!$N$9,0))),0))</f>
        <v>1947.5269753979426</v>
      </c>
      <c r="AY33" s="799">
        <f>IF(AY$12=$F33+1,IF(Monthly!AU$4=TRUE,0,AY$3),IF(AY$12&gt;$F33+1,RentalsVacates!AX33*(1-IF(AY$12-$F33&lt;=12,SUMIFS('Attrition Modeling'!$D:$D,'Attrition Modeling'!$B:$B,$E33,'Attrition Modeling'!$C:$C,AY$11),VLOOKUP(RentalsVacates!AY$12-RentalsVacates!$F33-1,RentalsVacates!$A$8:$C$162,2,FALSE)*VLOOKUP(AY$11,'Attrition Modeling'!$L$15:$N$27,IF(AY$12-$F33&lt;=24,2,3),FALSE))*(1+IF('Traditional Attrition'!AY155&gt;0,'Attrition Modeling'!$N$9,0))),0))</f>
        <v>1862.2345727484603</v>
      </c>
      <c r="AZ33" s="799">
        <f>IF(AZ$12=$F33+1,IF(Monthly!AV$4=TRUE,0,AZ$3),IF(AZ$12&gt;$F33+1,RentalsVacates!AY33*(1-IF(AZ$12-$F33&lt;=12,SUMIFS('Attrition Modeling'!$D:$D,'Attrition Modeling'!$B:$B,$E33,'Attrition Modeling'!$C:$C,AZ$11),VLOOKUP(RentalsVacates!AZ$12-RentalsVacates!$F33-1,RentalsVacates!$A$8:$C$162,2,FALSE)*VLOOKUP(AZ$11,'Attrition Modeling'!$L$15:$N$27,IF(AZ$12-$F33&lt;=24,2,3),FALSE))*(1+IF('Traditional Attrition'!AZ155&gt;0,'Attrition Modeling'!$N$9,0))),0))</f>
        <v>1785.6236414516347</v>
      </c>
      <c r="BA33" s="799">
        <f>IF(BA$12=$F33+1,IF(Monthly!AW$4=TRUE,0,BA$3),IF(BA$12&gt;$F33+1,RentalsVacates!AZ33*(1-IF(BA$12-$F33&lt;=12,SUMIFS('Attrition Modeling'!$D:$D,'Attrition Modeling'!$B:$B,$E33,'Attrition Modeling'!$C:$C,BA$11),VLOOKUP(RentalsVacates!BA$12-RentalsVacates!$F33-1,RentalsVacates!$A$8:$C$162,2,FALSE)*VLOOKUP(BA$11,'Attrition Modeling'!$L$15:$N$27,IF(BA$12-$F33&lt;=24,2,3),FALSE))*(1+IF('Traditional Attrition'!BA155&gt;0,'Attrition Modeling'!$N$9,0))),0))</f>
        <v>1715.6813045040276</v>
      </c>
      <c r="BB33" s="799">
        <f>IF(BB$12=$F33+1,IF(Monthly!AX$4=TRUE,0,BB$3),IF(BB$12&gt;$F33+1,RentalsVacates!BA33*(1-IF(BB$12-$F33&lt;=12,SUMIFS('Attrition Modeling'!$D:$D,'Attrition Modeling'!$B:$B,$E33,'Attrition Modeling'!$C:$C,BB$11),VLOOKUP(RentalsVacates!BB$12-RentalsVacates!$F33-1,RentalsVacates!$A$8:$C$162,2,FALSE)*VLOOKUP(BB$11,'Attrition Modeling'!$L$15:$N$27,IF(BB$12-$F33&lt;=24,2,3),FALSE))*(1+IF('Traditional Attrition'!BB155&gt;0,'Attrition Modeling'!$N$9,0))),0))</f>
        <v>1650.8871186746774</v>
      </c>
      <c r="BC33" s="799">
        <f>IF(BC$12=$F33+1,IF(Monthly!AY$4=TRUE,0,BC$3),IF(BC$12&gt;$F33+1,RentalsVacates!BB33*(1-IF(BC$12-$F33&lt;=12,SUMIFS('Attrition Modeling'!$D:$D,'Attrition Modeling'!$B:$B,$E33,'Attrition Modeling'!$C:$C,BC$11),VLOOKUP(RentalsVacates!BC$12-RentalsVacates!$F33-1,RentalsVacates!$A$8:$C$162,2,FALSE)*VLOOKUP(BC$11,'Attrition Modeling'!$L$15:$N$27,IF(BC$12-$F33&lt;=24,2,3),FALSE))*(1+IF('Traditional Attrition'!BC155&gt;0,'Attrition Modeling'!$N$9,0))),0))</f>
        <v>1600.1860633179401</v>
      </c>
      <c r="BD33" s="799">
        <f>IF(BD$12=$F33+1,IF(Monthly!AZ$4=TRUE,0,BD$3),IF(BD$12&gt;$F33+1,RentalsVacates!BC33*(1-IF(BD$12-$F33&lt;=12,SUMIFS('Attrition Modeling'!$D:$D,'Attrition Modeling'!$B:$B,$E33,'Attrition Modeling'!$C:$C,BD$11),VLOOKUP(RentalsVacates!BD$12-RentalsVacates!$F33-1,RentalsVacates!$A$8:$C$162,2,FALSE)*VLOOKUP(BD$11,'Attrition Modeling'!$L$15:$N$27,IF(BD$12-$F33&lt;=24,2,3),FALSE))*(1+IF('Traditional Attrition'!BD155&gt;0,'Attrition Modeling'!$N$9,0))),0))</f>
        <v>1546.477696676598</v>
      </c>
      <c r="BE33" s="799">
        <f>IF(BE$12=$F33+1,IF(Monthly!BA$4=TRUE,0,BE$3),IF(BE$12&gt;$F33+1,RentalsVacates!BD33*(1-IF(BE$12-$F33&lt;=12,SUMIFS('Attrition Modeling'!$D:$D,'Attrition Modeling'!$B:$B,$E33,'Attrition Modeling'!$C:$C,BE$11),VLOOKUP(RentalsVacates!BE$12-RentalsVacates!$F33-1,RentalsVacates!$A$8:$C$162,2,FALSE)*VLOOKUP(BE$11,'Attrition Modeling'!$L$15:$N$27,IF(BE$12-$F33&lt;=24,2,3),FALSE))*(1+IF('Traditional Attrition'!BE155&gt;0,'Attrition Modeling'!$N$9,0))),0))</f>
        <v>1486.9014094096042</v>
      </c>
      <c r="BF33" s="799">
        <f>IF(BF$12=$F33+1,IF(Monthly!BB$4=TRUE,0,BF$3),IF(BF$12&gt;$F33+1,RentalsVacates!BE33*(1-IF(BF$12-$F33&lt;=12,SUMIFS('Attrition Modeling'!$D:$D,'Attrition Modeling'!$B:$B,$E33,'Attrition Modeling'!$C:$C,BF$11),VLOOKUP(RentalsVacates!BF$12-RentalsVacates!$F33-1,RentalsVacates!$A$8:$C$162,2,FALSE)*VLOOKUP(BF$11,'Attrition Modeling'!$L$15:$N$27,IF(BF$12-$F33&lt;=24,2,3),FALSE))*(1+IF('Traditional Attrition'!BF155&gt;0,'Attrition Modeling'!$N$9,0))),0))</f>
        <v>1441.7336282732895</v>
      </c>
      <c r="BG33" s="799">
        <f>IF(BG$12=$F33+1,IF(Monthly!BC$4=TRUE,0,BG$3),IF(BG$12&gt;$F33+1,RentalsVacates!BF33*(1-IF(BG$12-$F33&lt;=12,SUMIFS('Attrition Modeling'!$D:$D,'Attrition Modeling'!$B:$B,$E33,'Attrition Modeling'!$C:$C,BG$11),VLOOKUP(RentalsVacates!BG$12-RentalsVacates!$F33-1,RentalsVacates!$A$8:$C$162,2,FALSE)*VLOOKUP(BG$11,'Attrition Modeling'!$L$15:$N$27,IF(BG$12-$F33&lt;=24,2,3),FALSE))*(1+IF('Traditional Attrition'!BG155&gt;0,'Attrition Modeling'!$N$9,0))),0))</f>
        <v>1407.3214854946095</v>
      </c>
      <c r="BH33" s="799">
        <f>IF(BH$12=$F33+1,IF(Monthly!BD$4=TRUE,0,BH$3),IF(BH$12&gt;$F33+1,RentalsVacates!BG33*(1-IF(BH$12-$F33&lt;=12,SUMIFS('Attrition Modeling'!$D:$D,'Attrition Modeling'!$B:$B,$E33,'Attrition Modeling'!$C:$C,BH$11),VLOOKUP(RentalsVacates!BH$12-RentalsVacates!$F33-1,RentalsVacates!$A$8:$C$162,2,FALSE)*VLOOKUP(BH$11,'Attrition Modeling'!$L$15:$N$27,IF(BH$12-$F33&lt;=24,2,3),FALSE))*(1+IF('Traditional Attrition'!BH155&gt;0,'Attrition Modeling'!$N$9,0))),0))</f>
        <v>1367.2437436890266</v>
      </c>
      <c r="BI33" s="799">
        <f>IF(BI$12=$F33+1,IF(Monthly!BE$4=TRUE,0,BI$3),IF(BI$12&gt;$F33+1,RentalsVacates!BH33*(1-IF(BI$12-$F33&lt;=12,SUMIFS('Attrition Modeling'!$D:$D,'Attrition Modeling'!$B:$B,$E33,'Attrition Modeling'!$C:$C,BI$11),VLOOKUP(RentalsVacates!BI$12-RentalsVacates!$F33-1,RentalsVacates!$A$8:$C$162,2,FALSE)*VLOOKUP(BI$11,'Attrition Modeling'!$L$15:$N$27,IF(BI$12-$F33&lt;=24,2,3),FALSE))*(1+IF('Traditional Attrition'!BI155&gt;0,'Attrition Modeling'!$N$9,0))),0))</f>
        <v>1323.3157266489268</v>
      </c>
      <c r="BJ33" s="799">
        <f>IF(BJ$12=$F33+1,IF(Monthly!BF$4=TRUE,0,BJ$3),IF(BJ$12&gt;$F33+1,RentalsVacates!BI33*(1-IF(BJ$12-$F33&lt;=12,SUMIFS('Attrition Modeling'!$D:$D,'Attrition Modeling'!$B:$B,$E33,'Attrition Modeling'!$C:$C,BJ$11),VLOOKUP(RentalsVacates!BJ$12-RentalsVacates!$F33-1,RentalsVacates!$A$8:$C$162,2,FALSE)*VLOOKUP(BJ$11,'Attrition Modeling'!$L$15:$N$27,IF(BJ$12-$F33&lt;=24,2,3),FALSE))*(1+IF('Traditional Attrition'!BJ155&gt;0,'Attrition Modeling'!$N$9,0))),0))</f>
        <v>1277.5135697686146</v>
      </c>
      <c r="BK33" s="799">
        <f>IF(BK$12=$F33+1,IF(Monthly!BG$4=TRUE,0,BK$3),IF(BK$12&gt;$F33+1,RentalsVacates!BJ33*(1-IF(BK$12-$F33&lt;=12,SUMIFS('Attrition Modeling'!$D:$D,'Attrition Modeling'!$B:$B,$E33,'Attrition Modeling'!$C:$C,BK$11),VLOOKUP(RentalsVacates!BK$12-RentalsVacates!$F33-1,RentalsVacates!$A$8:$C$162,2,FALSE)*VLOOKUP(BK$11,'Attrition Modeling'!$L$15:$N$27,IF(BK$12-$F33&lt;=24,2,3),FALSE))*(1+IF('Traditional Attrition'!BK155&gt;0,'Attrition Modeling'!$N$9,0))),0))</f>
        <v>1230.5544219110252</v>
      </c>
      <c r="BL33" s="799">
        <f>IF(BL$12=$F33+1,IF(Monthly!BH$4=TRUE,0,BL$3),IF(BL$12&gt;$F33+1,RentalsVacates!BK33*(1-IF(BL$12-$F33&lt;=12,SUMIFS('Attrition Modeling'!$D:$D,'Attrition Modeling'!$B:$B,$E33,'Attrition Modeling'!$C:$C,BL$11),VLOOKUP(RentalsVacates!BL$12-RentalsVacates!$F33-1,RentalsVacates!$A$8:$C$162,2,FALSE)*VLOOKUP(BL$11,'Attrition Modeling'!$L$15:$N$27,IF(BL$12-$F33&lt;=24,2,3),FALSE))*(1+IF('Traditional Attrition'!BL155&gt;0,'Attrition Modeling'!$N$9,0))),0))</f>
        <v>1188.5358885007752</v>
      </c>
      <c r="BM33" s="799">
        <f>IF(BM$12=$F33+1,IF(Monthly!BI$4=TRUE,0,BM$3),IF(BM$12&gt;$F33+1,RentalsVacates!BL33*(1-IF(BM$12-$F33&lt;=12,SUMIFS('Attrition Modeling'!$D:$D,'Attrition Modeling'!$B:$B,$E33,'Attrition Modeling'!$C:$C,BM$11),VLOOKUP(RentalsVacates!BM$12-RentalsVacates!$F33-1,RentalsVacates!$A$8:$C$162,2,FALSE)*VLOOKUP(BM$11,'Attrition Modeling'!$L$15:$N$27,IF(BM$12-$F33&lt;=24,2,3),FALSE))*(1+IF('Traditional Attrition'!BM155&gt;0,'Attrition Modeling'!$N$9,0))),0))</f>
        <v>1149.7663273179528</v>
      </c>
      <c r="BN33" s="799">
        <f>IF(BN$12=$F33+1,IF(Monthly!BJ$4=TRUE,0,BN$3),IF(BN$12&gt;$F33+1,RentalsVacates!BM33*(1-IF(BN$12-$F33&lt;=12,SUMIFS('Attrition Modeling'!$D:$D,'Attrition Modeling'!$B:$B,$E33,'Attrition Modeling'!$C:$C,BN$11),VLOOKUP(RentalsVacates!BN$12-RentalsVacates!$F33-1,RentalsVacates!$A$8:$C$162,2,FALSE)*VLOOKUP(BN$11,'Attrition Modeling'!$L$15:$N$27,IF(BN$12-$F33&lt;=24,2,3),FALSE))*(1+IF('Traditional Attrition'!BN155&gt;0,'Attrition Modeling'!$N$9,0))),0))</f>
        <v>1113.4926785827406</v>
      </c>
      <c r="BO33" s="799">
        <f>IF(BO$12=$F33+1,IF(Monthly!BK$4=TRUE,0,BO$3),IF(BO$12&gt;$F33+1,RentalsVacates!BN33*(1-IF(BO$12-$F33&lt;=12,SUMIFS('Attrition Modeling'!$D:$D,'Attrition Modeling'!$B:$B,$E33,'Attrition Modeling'!$C:$C,BO$11),VLOOKUP(RentalsVacates!BO$12-RentalsVacates!$F33-1,RentalsVacates!$A$8:$C$162,2,FALSE)*VLOOKUP(BO$11,'Attrition Modeling'!$L$15:$N$27,IF(BO$12-$F33&lt;=24,2,3),FALSE))*(1+IF('Traditional Attrition'!BO155&gt;0,'Attrition Modeling'!$N$9,0))),0))</f>
        <v>1084.8416450159978</v>
      </c>
      <c r="BP33" s="799">
        <f>IF(BP$12=$F33+1,IF(Monthly!BL$4=TRUE,0,BP$3),IF(BP$12&gt;$F33+1,RentalsVacates!BO33*(1-IF(BP$12-$F33&lt;=12,SUMIFS('Attrition Modeling'!$D:$D,'Attrition Modeling'!$B:$B,$E33,'Attrition Modeling'!$C:$C,BP$11),VLOOKUP(RentalsVacates!BP$12-RentalsVacates!$F33-1,RentalsVacates!$A$8:$C$162,2,FALSE)*VLOOKUP(BP$11,'Attrition Modeling'!$L$15:$N$27,IF(BP$12-$F33&lt;=24,2,3),FALSE))*(1+IF('Traditional Attrition'!BP155&gt;0,'Attrition Modeling'!$N$9,0))),0))</f>
        <v>1054.2511546382984</v>
      </c>
      <c r="BQ33" s="799">
        <f>IF(BQ$12=$F33+1,IF(Monthly!BM$4=TRUE,0,BQ$3),IF(BQ$12&gt;$F33+1,RentalsVacates!BP33*(1-IF(BQ$12-$F33&lt;=12,SUMIFS('Attrition Modeling'!$D:$D,'Attrition Modeling'!$B:$B,$E33,'Attrition Modeling'!$C:$C,BQ$11),VLOOKUP(RentalsVacates!BQ$12-RentalsVacates!$F33-1,RentalsVacates!$A$8:$C$162,2,FALSE)*VLOOKUP(BQ$11,'Attrition Modeling'!$L$15:$N$27,IF(BQ$12-$F33&lt;=24,2,3),FALSE))*(1+IF('Traditional Attrition'!BQ155&gt;0,'Attrition Modeling'!$N$9,0))),0))</f>
        <v>1025.7431343483413</v>
      </c>
      <c r="BR33" s="799">
        <f>IF(BR$12=$F33+1,IF(Monthly!BN$4=TRUE,0,BR$3),IF(BR$12&gt;$F33+1,RentalsVacates!BQ33*(1-IF(BR$12-$F33&lt;=12,SUMIFS('Attrition Modeling'!$D:$D,'Attrition Modeling'!$B:$B,$E33,'Attrition Modeling'!$C:$C,BR$11),VLOOKUP(RentalsVacates!BR$12-RentalsVacates!$F33-1,RentalsVacates!$A$8:$C$162,2,FALSE)*VLOOKUP(BR$11,'Attrition Modeling'!$L$15:$N$27,IF(BR$12-$F33&lt;=24,2,3),FALSE))*(1+IF('Traditional Attrition'!BR155&gt;0,'Attrition Modeling'!$N$9,0))),0))</f>
        <v>999.43309453122549</v>
      </c>
      <c r="BS33" s="799">
        <f>IF(BS$12=$F33+1,IF(Monthly!BO$4=TRUE,0,BS$3),IF(BS$12&gt;$F33+1,RentalsVacates!BR33*(1-IF(BS$12-$F33&lt;=12,SUMIFS('Attrition Modeling'!$D:$D,'Attrition Modeling'!$B:$B,$E33,'Attrition Modeling'!$C:$C,BS$11),VLOOKUP(RentalsVacates!BS$12-RentalsVacates!$F33-1,RentalsVacates!$A$8:$C$162,2,FALSE)*VLOOKUP(BS$11,'Attrition Modeling'!$L$15:$N$27,IF(BS$12-$F33&lt;=24,2,3),FALSE))*(1+IF('Traditional Attrition'!BS155&gt;0,'Attrition Modeling'!$N$9,0))),0))</f>
        <v>979.24387361463687</v>
      </c>
      <c r="BT33" s="799">
        <f>IF(BT$11=$F32+1,IF(Monthly!#REF!=TRUE,0,BT$3),IF(BT$11&gt;$F32+1,RentalsVacates!BS32*(1-IF(BT$11-$F32&lt;=12,SUMIFS('Attrition Modeling'!$D:$D,'Attrition Modeling'!$B:$B,$E32,'Attrition Modeling'!$C:$C,BT$10),VLOOKUP(RentalsVacates!BT$11-RentalsVacates!$F32-1,RentalsVacates!$A$7:$C$161,2,FALSE)*VLOOKUP(BT$10,'Attrition Modeling'!$L$15:$N$27,IF(BT$11-$F32&lt;=24,2,3),FALSE))*(1+IF('Traditional Attrition'!BT155&gt;0,'Attrition Modeling'!$N$9,0))),0))</f>
        <v>0</v>
      </c>
      <c r="BU33" s="799">
        <f>IF(BU$11=$F32+1,IF(Monthly!#REF!=TRUE,0,BU$3),IF(BU$11&gt;$F32+1,RentalsVacates!BT32*(1-IF(BU$11-$F32&lt;=12,SUMIFS('Attrition Modeling'!$D:$D,'Attrition Modeling'!$B:$B,$E32,'Attrition Modeling'!$C:$C,BU$10),VLOOKUP(RentalsVacates!BU$11-RentalsVacates!$F32-1,RentalsVacates!$A$7:$C$161,2,FALSE)*VLOOKUP(BU$10,'Attrition Modeling'!$L$15:$N$27,IF(BU$11-$F32&lt;=24,2,3),FALSE))*(1+IF('Traditional Attrition'!BU155&gt;0,'Attrition Modeling'!$N$9,0))),0))</f>
        <v>0</v>
      </c>
    </row>
    <row r="34" spans="1:73" ht="14.25" customHeight="1" x14ac:dyDescent="0.2">
      <c r="A34" s="9">
        <v>26</v>
      </c>
      <c r="B34" s="25">
        <f>MAX('Attrition Modeling'!H30,$C$3)*(1-Summary!$C$20)</f>
        <v>3.5137583833142298E-2</v>
      </c>
      <c r="C34" s="24" t="e">
        <f t="shared" si="2"/>
        <v>#DIV/0!</v>
      </c>
      <c r="E34" s="11">
        <f>'Traditional Attrition'!E91</f>
        <v>9</v>
      </c>
      <c r="F34" s="11">
        <f t="shared" si="4"/>
        <v>21</v>
      </c>
      <c r="G34" s="799"/>
      <c r="H34" s="799">
        <f>IF(H$12=$F34+1,IF(Monthly!D$4=TRUE,0,H$3),IF(H$12&gt;$F34+1,RentalsVacates!G34*(1-IF(H$12-$F34&lt;=12,SUMIFS('Attrition Modeling'!$D:$D,'Attrition Modeling'!$B:$B,$E34,'Attrition Modeling'!$C:$C,H$11),VLOOKUP(RentalsVacates!H$12-RentalsVacates!$F34-1,RentalsVacates!$A$8:$C$162,2,FALSE)*VLOOKUP(H$11,'Attrition Modeling'!$L$15:$N$27,IF(H$12-$F34&lt;=24,2,3),FALSE))*(1+IF('Traditional Attrition'!H156&gt;0,'Attrition Modeling'!$N$9,0))),0))</f>
        <v>0</v>
      </c>
      <c r="I34" s="799">
        <f>IF(I$12=$F34+1,IF(Monthly!E$4=TRUE,0,I$3),IF(I$12&gt;$F34+1,RentalsVacates!H34*(1-IF(I$12-$F34&lt;=12,SUMIFS('Attrition Modeling'!$D:$D,'Attrition Modeling'!$B:$B,$E34,'Attrition Modeling'!$C:$C,I$11),VLOOKUP(RentalsVacates!I$12-RentalsVacates!$F34-1,RentalsVacates!$A$8:$C$162,2,FALSE)*VLOOKUP(I$11,'Attrition Modeling'!$L$15:$N$27,IF(I$12-$F34&lt;=24,2,3),FALSE))*(1+IF('Traditional Attrition'!I156&gt;0,'Attrition Modeling'!$N$9,0))),0))</f>
        <v>0</v>
      </c>
      <c r="J34" s="799">
        <f>IF(J$12=$F34+1,IF(Monthly!F$4=TRUE,0,J$3),IF(J$12&gt;$F34+1,RentalsVacates!I34*(1-IF(J$12-$F34&lt;=12,SUMIFS('Attrition Modeling'!$D:$D,'Attrition Modeling'!$B:$B,$E34,'Attrition Modeling'!$C:$C,J$11),VLOOKUP(RentalsVacates!J$12-RentalsVacates!$F34-1,RentalsVacates!$A$8:$C$162,2,FALSE)*VLOOKUP(J$11,'Attrition Modeling'!$L$15:$N$27,IF(J$12-$F34&lt;=24,2,3),FALSE))*(1+IF('Traditional Attrition'!J156&gt;0,'Attrition Modeling'!$N$9,0))),0))</f>
        <v>0</v>
      </c>
      <c r="K34" s="799">
        <f>IF(K$12=$F34+1,IF(Monthly!G$4=TRUE,0,K$3),IF(K$12&gt;$F34+1,RentalsVacates!J34*(1-IF(K$12-$F34&lt;=12,SUMIFS('Attrition Modeling'!$D:$D,'Attrition Modeling'!$B:$B,$E34,'Attrition Modeling'!$C:$C,K$11),VLOOKUP(RentalsVacates!K$12-RentalsVacates!$F34-1,RentalsVacates!$A$8:$C$162,2,FALSE)*VLOOKUP(K$11,'Attrition Modeling'!$L$15:$N$27,IF(K$12-$F34&lt;=24,2,3),FALSE))*(1+IF('Traditional Attrition'!K156&gt;0,'Attrition Modeling'!$N$9,0))),0))</f>
        <v>0</v>
      </c>
      <c r="L34" s="799">
        <f>IF(L$12=$F34+1,IF(Monthly!H$4=TRUE,0,L$3),IF(L$12&gt;$F34+1,RentalsVacates!K34*(1-IF(L$12-$F34&lt;=12,SUMIFS('Attrition Modeling'!$D:$D,'Attrition Modeling'!$B:$B,$E34,'Attrition Modeling'!$C:$C,L$11),VLOOKUP(RentalsVacates!L$12-RentalsVacates!$F34-1,RentalsVacates!$A$8:$C$162,2,FALSE)*VLOOKUP(L$11,'Attrition Modeling'!$L$15:$N$27,IF(L$12-$F34&lt;=24,2,3),FALSE))*(1+IF('Traditional Attrition'!L156&gt;0,'Attrition Modeling'!$N$9,0))),0))</f>
        <v>0</v>
      </c>
      <c r="M34" s="799">
        <f>IF(M$12=$F34+1,IF(Monthly!I$4=TRUE,0,M$3),IF(M$12&gt;$F34+1,RentalsVacates!L34*(1-IF(M$12-$F34&lt;=12,SUMIFS('Attrition Modeling'!$D:$D,'Attrition Modeling'!$B:$B,$E34,'Attrition Modeling'!$C:$C,M$11),VLOOKUP(RentalsVacates!M$12-RentalsVacates!$F34-1,RentalsVacates!$A$8:$C$162,2,FALSE)*VLOOKUP(M$11,'Attrition Modeling'!$L$15:$N$27,IF(M$12-$F34&lt;=24,2,3),FALSE))*(1+IF('Traditional Attrition'!M156&gt;0,'Attrition Modeling'!$N$9,0))),0))</f>
        <v>0</v>
      </c>
      <c r="N34" s="799">
        <f>IF(N$12=$F34+1,IF(Monthly!J$4=TRUE,0,N$3),IF(N$12&gt;$F34+1,RentalsVacates!M34*(1-IF(N$12-$F34&lt;=12,SUMIFS('Attrition Modeling'!$D:$D,'Attrition Modeling'!$B:$B,$E34,'Attrition Modeling'!$C:$C,N$11),VLOOKUP(RentalsVacates!N$12-RentalsVacates!$F34-1,RentalsVacates!$A$8:$C$162,2,FALSE)*VLOOKUP(N$11,'Attrition Modeling'!$L$15:$N$27,IF(N$12-$F34&lt;=24,2,3),FALSE))*(1+IF('Traditional Attrition'!N156&gt;0,'Attrition Modeling'!$N$9,0))),0))</f>
        <v>0</v>
      </c>
      <c r="O34" s="799">
        <f>IF(O$12=$F34+1,IF(Monthly!K$4=TRUE,0,O$3),IF(O$12&gt;$F34+1,RentalsVacates!N34*(1-IF(O$12-$F34&lt;=12,SUMIFS('Attrition Modeling'!$D:$D,'Attrition Modeling'!$B:$B,$E34,'Attrition Modeling'!$C:$C,O$11),VLOOKUP(RentalsVacates!O$12-RentalsVacates!$F34-1,RentalsVacates!$A$8:$C$162,2,FALSE)*VLOOKUP(O$11,'Attrition Modeling'!$L$15:$N$27,IF(O$12-$F34&lt;=24,2,3),FALSE))*(1+IF('Traditional Attrition'!O156&gt;0,'Attrition Modeling'!$N$9,0))),0))</f>
        <v>0</v>
      </c>
      <c r="P34" s="799">
        <f>IF(P$12=$F34+1,IF(Monthly!L$4=TRUE,0,P$3),IF(P$12&gt;$F34+1,RentalsVacates!O34*(1-IF(P$12-$F34&lt;=12,SUMIFS('Attrition Modeling'!$D:$D,'Attrition Modeling'!$B:$B,$E34,'Attrition Modeling'!$C:$C,P$11),VLOOKUP(RentalsVacates!P$12-RentalsVacates!$F34-1,RentalsVacates!$A$8:$C$162,2,FALSE)*VLOOKUP(P$11,'Attrition Modeling'!$L$15:$N$27,IF(P$12-$F34&lt;=24,2,3),FALSE))*(1+IF('Traditional Attrition'!P156&gt;0,'Attrition Modeling'!$N$9,0))),0))</f>
        <v>0</v>
      </c>
      <c r="Q34" s="799">
        <f>IF(Q$12=$F34+1,IF(Monthly!M$4=TRUE,0,Q$3),IF(Q$12&gt;$F34+1,RentalsVacates!P34*(1-IF(Q$12-$F34&lt;=12,SUMIFS('Attrition Modeling'!$D:$D,'Attrition Modeling'!$B:$B,$E34,'Attrition Modeling'!$C:$C,Q$11),VLOOKUP(RentalsVacates!Q$12-RentalsVacates!$F34-1,RentalsVacates!$A$8:$C$162,2,FALSE)*VLOOKUP(Q$11,'Attrition Modeling'!$L$15:$N$27,IF(Q$12-$F34&lt;=24,2,3),FALSE))*(1+IF('Traditional Attrition'!Q156&gt;0,'Attrition Modeling'!$N$9,0))),0))</f>
        <v>0</v>
      </c>
      <c r="R34" s="799">
        <f>IF(R$12=$F34+1,IF(Monthly!N$4=TRUE,0,R$3),IF(R$12&gt;$F34+1,RentalsVacates!Q34*(1-IF(R$12-$F34&lt;=12,SUMIFS('Attrition Modeling'!$D:$D,'Attrition Modeling'!$B:$B,$E34,'Attrition Modeling'!$C:$C,R$11),VLOOKUP(RentalsVacates!R$12-RentalsVacates!$F34-1,RentalsVacates!$A$8:$C$162,2,FALSE)*VLOOKUP(R$11,'Attrition Modeling'!$L$15:$N$27,IF(R$12-$F34&lt;=24,2,3),FALSE))*(1+IF('Traditional Attrition'!R156&gt;0,'Attrition Modeling'!$N$9,0))),0))</f>
        <v>0</v>
      </c>
      <c r="S34" s="799">
        <f>IF(S$12=$F34+1,IF(Monthly!O$4=TRUE,0,S$3),IF(S$12&gt;$F34+1,RentalsVacates!R34*(1-IF(S$12-$F34&lt;=12,SUMIFS('Attrition Modeling'!$D:$D,'Attrition Modeling'!$B:$B,$E34,'Attrition Modeling'!$C:$C,S$11),VLOOKUP(RentalsVacates!S$12-RentalsVacates!$F34-1,RentalsVacates!$A$8:$C$162,2,FALSE)*VLOOKUP(S$11,'Attrition Modeling'!$L$15:$N$27,IF(S$12-$F34&lt;=24,2,3),FALSE))*(1+IF('Traditional Attrition'!S156&gt;0,'Attrition Modeling'!$N$9,0))),0))</f>
        <v>0</v>
      </c>
      <c r="T34" s="799">
        <f>IF(T$12=$F34+1,IF(Monthly!P$4=TRUE,0,T$3),IF(T$12&gt;$F34+1,RentalsVacates!S34*(1-IF(T$12-$F34&lt;=12,SUMIFS('Attrition Modeling'!$D:$D,'Attrition Modeling'!$B:$B,$E34,'Attrition Modeling'!$C:$C,T$11),VLOOKUP(RentalsVacates!T$12-RentalsVacates!$F34-1,RentalsVacates!$A$8:$C$162,2,FALSE)*VLOOKUP(T$11,'Attrition Modeling'!$L$15:$N$27,IF(T$12-$F34&lt;=24,2,3),FALSE))*(1+IF('Traditional Attrition'!T156&gt;0,'Attrition Modeling'!$N$9,0))),0))</f>
        <v>0</v>
      </c>
      <c r="U34" s="799">
        <f>IF(U$12=$F34+1,IF(Monthly!Q$4=TRUE,0,U$3),IF(U$12&gt;$F34+1,RentalsVacates!T34*(1-IF(U$12-$F34&lt;=12,SUMIFS('Attrition Modeling'!$D:$D,'Attrition Modeling'!$B:$B,$E34,'Attrition Modeling'!$C:$C,U$11),VLOOKUP(RentalsVacates!U$12-RentalsVacates!$F34-1,RentalsVacates!$A$8:$C$162,2,FALSE)*VLOOKUP(U$11,'Attrition Modeling'!$L$15:$N$27,IF(U$12-$F34&lt;=24,2,3),FALSE))*(1+IF('Traditional Attrition'!U156&gt;0,'Attrition Modeling'!$N$9,0))),0))</f>
        <v>0</v>
      </c>
      <c r="V34" s="799">
        <f>IF(V$12=$F34+1,IF(Monthly!R$4=TRUE,0,V$3),IF(V$12&gt;$F34+1,RentalsVacates!U34*(1-IF(V$12-$F34&lt;=12,SUMIFS('Attrition Modeling'!$D:$D,'Attrition Modeling'!$B:$B,$E34,'Attrition Modeling'!$C:$C,V$11),VLOOKUP(RentalsVacates!V$12-RentalsVacates!$F34-1,RentalsVacates!$A$8:$C$162,2,FALSE)*VLOOKUP(V$11,'Attrition Modeling'!$L$15:$N$27,IF(V$12-$F34&lt;=24,2,3),FALSE))*(1+IF('Traditional Attrition'!V156&gt;0,'Attrition Modeling'!$N$9,0))),0))</f>
        <v>0</v>
      </c>
      <c r="W34" s="799">
        <f>IF(W$12=$F34+1,IF(Monthly!S$4=TRUE,0,W$3),IF(W$12&gt;$F34+1,RentalsVacates!V34*(1-IF(W$12-$F34&lt;=12,SUMIFS('Attrition Modeling'!$D:$D,'Attrition Modeling'!$B:$B,$E34,'Attrition Modeling'!$C:$C,W$11),VLOOKUP(RentalsVacates!W$12-RentalsVacates!$F34-1,RentalsVacates!$A$8:$C$162,2,FALSE)*VLOOKUP(W$11,'Attrition Modeling'!$L$15:$N$27,IF(W$12-$F34&lt;=24,2,3),FALSE))*(1+IF('Traditional Attrition'!W156&gt;0,'Attrition Modeling'!$N$9,0))),0))</f>
        <v>0</v>
      </c>
      <c r="X34" s="799">
        <f>IF(X$12=$F34+1,IF(Monthly!T$4=TRUE,0,X$3),IF(X$12&gt;$F34+1,RentalsVacates!W34*(1-IF(X$12-$F34&lt;=12,SUMIFS('Attrition Modeling'!$D:$D,'Attrition Modeling'!$B:$B,$E34,'Attrition Modeling'!$C:$C,X$11),VLOOKUP(RentalsVacates!X$12-RentalsVacates!$F34-1,RentalsVacates!$A$8:$C$162,2,FALSE)*VLOOKUP(X$11,'Attrition Modeling'!$L$15:$N$27,IF(X$12-$F34&lt;=24,2,3),FALSE))*(1+IF('Traditional Attrition'!X156&gt;0,'Attrition Modeling'!$N$9,0))),0))</f>
        <v>0</v>
      </c>
      <c r="Y34" s="799">
        <f>IF(Y$12=$F34+1,IF(Monthly!U$4=TRUE,0,Y$3),IF(Y$12&gt;$F34+1,RentalsVacates!X34*(1-IF(Y$12-$F34&lt;=12,SUMIFS('Attrition Modeling'!$D:$D,'Attrition Modeling'!$B:$B,$E34,'Attrition Modeling'!$C:$C,Y$11),VLOOKUP(RentalsVacates!Y$12-RentalsVacates!$F34-1,RentalsVacates!$A$8:$C$162,2,FALSE)*VLOOKUP(Y$11,'Attrition Modeling'!$L$15:$N$27,IF(Y$12-$F34&lt;=24,2,3),FALSE))*(1+IF('Traditional Attrition'!Y156&gt;0,'Attrition Modeling'!$N$9,0))),0))</f>
        <v>0</v>
      </c>
      <c r="Z34" s="799">
        <f>IF(Z$12=$F34+1,IF(Monthly!V$4=TRUE,0,Z$3),IF(Z$12&gt;$F34+1,RentalsVacates!Y34*(1-IF(Z$12-$F34&lt;=12,SUMIFS('Attrition Modeling'!$D:$D,'Attrition Modeling'!$B:$B,$E34,'Attrition Modeling'!$C:$C,Z$11),VLOOKUP(RentalsVacates!Z$12-RentalsVacates!$F34-1,RentalsVacates!$A$8:$C$162,2,FALSE)*VLOOKUP(Z$11,'Attrition Modeling'!$L$15:$N$27,IF(Z$12-$F34&lt;=24,2,3),FALSE))*(1+IF('Traditional Attrition'!Z156&gt;0,'Attrition Modeling'!$N$9,0))),0))</f>
        <v>0</v>
      </c>
      <c r="AA34" s="799">
        <f>IF(AA$12=$F34+1,IF(Monthly!W$4=TRUE,0,AA$3),IF(AA$12&gt;$F34+1,RentalsVacates!Z34*(1-IF(AA$12-$F34&lt;=12,SUMIFS('Attrition Modeling'!$D:$D,'Attrition Modeling'!$B:$B,$E34,'Attrition Modeling'!$C:$C,AA$11),VLOOKUP(RentalsVacates!AA$12-RentalsVacates!$F34-1,RentalsVacates!$A$8:$C$162,2,FALSE)*VLOOKUP(AA$11,'Attrition Modeling'!$L$15:$N$27,IF(AA$12-$F34&lt;=24,2,3),FALSE))*(1+IF('Traditional Attrition'!AA156&gt;0,'Attrition Modeling'!$N$9,0))),0))</f>
        <v>0</v>
      </c>
      <c r="AB34" s="799">
        <f>IF(AB$12=$F34+1,IF(Monthly!X$4=TRUE,0,AB$3),IF(AB$12&gt;$F34+1,RentalsVacates!AA34*(1-IF(AB$12-$F34&lt;=12,SUMIFS('Attrition Modeling'!$D:$D,'Attrition Modeling'!$B:$B,$E34,'Attrition Modeling'!$C:$C,AB$11),VLOOKUP(RentalsVacates!AB$12-RentalsVacates!$F34-1,RentalsVacates!$A$8:$C$162,2,FALSE)*VLOOKUP(AB$11,'Attrition Modeling'!$L$15:$N$27,IF(AB$12-$F34&lt;=24,2,3),FALSE))*(1+IF('Traditional Attrition'!AB156&gt;0,'Attrition Modeling'!$N$9,0))),0))</f>
        <v>0</v>
      </c>
      <c r="AC34" s="799">
        <f>IF(AC$12=$F34+1,IF(Monthly!Y$4=TRUE,0,AC$3),IF(AC$12&gt;$F34+1,RentalsVacates!AB34*(1-IF(AC$12-$F34&lt;=12,SUMIFS('Attrition Modeling'!$D:$D,'Attrition Modeling'!$B:$B,$E34,'Attrition Modeling'!$C:$C,AC$11),VLOOKUP(RentalsVacates!AC$12-RentalsVacates!$F34-1,RentalsVacates!$A$8:$C$162,2,FALSE)*VLOOKUP(AC$11,'Attrition Modeling'!$L$15:$N$27,IF(AC$12-$F34&lt;=24,2,3),FALSE))*(1+IF('Traditional Attrition'!AC156&gt;0,'Attrition Modeling'!$N$9,0))),0))</f>
        <v>7590.7358032820339</v>
      </c>
      <c r="AD34" s="799">
        <f>IF(AD$12=$F34+1,IF(Monthly!Z$4=TRUE,0,AD$3),IF(AD$12&gt;$F34+1,RentalsVacates!AC34*(1-IF(AD$12-$F34&lt;=12,SUMIFS('Attrition Modeling'!$D:$D,'Attrition Modeling'!$B:$B,$E34,'Attrition Modeling'!$C:$C,AD$11),VLOOKUP(RentalsVacates!AD$12-RentalsVacates!$F34-1,RentalsVacates!$A$8:$C$162,2,FALSE)*VLOOKUP(AD$11,'Attrition Modeling'!$L$15:$N$27,IF(AD$12-$F34&lt;=24,2,3),FALSE))*(1+IF('Traditional Attrition'!AD156&gt;0,'Attrition Modeling'!$N$9,0))),0))</f>
        <v>6830.3087947601052</v>
      </c>
      <c r="AE34" s="799">
        <f>IF(AE$12=$F34+1,IF(Monthly!AA$4=TRUE,0,AE$3),IF(AE$12&gt;$F34+1,RentalsVacates!AD34*(1-IF(AE$12-$F34&lt;=12,SUMIFS('Attrition Modeling'!$D:$D,'Attrition Modeling'!$B:$B,$E34,'Attrition Modeling'!$C:$C,AE$11),VLOOKUP(RentalsVacates!AE$12-RentalsVacates!$F34-1,RentalsVacates!$A$8:$C$162,2,FALSE)*VLOOKUP(AE$11,'Attrition Modeling'!$L$15:$N$27,IF(AE$12-$F34&lt;=24,2,3),FALSE))*(1+IF('Traditional Attrition'!AE156&gt;0,'Attrition Modeling'!$N$9,0))),0))</f>
        <v>6230.6911489536396</v>
      </c>
      <c r="AF34" s="799">
        <f>IF(AF$12=$F34+1,IF(Monthly!AB$4=TRUE,0,AF$3),IF(AF$12&gt;$F34+1,RentalsVacates!AE34*(1-IF(AF$12-$F34&lt;=12,SUMIFS('Attrition Modeling'!$D:$D,'Attrition Modeling'!$B:$B,$E34,'Attrition Modeling'!$C:$C,AF$11),VLOOKUP(RentalsVacates!AF$12-RentalsVacates!$F34-1,RentalsVacates!$A$8:$C$162,2,FALSE)*VLOOKUP(AF$11,'Attrition Modeling'!$L$15:$N$27,IF(AF$12-$F34&lt;=24,2,3),FALSE))*(1+IF('Traditional Attrition'!AF156&gt;0,'Attrition Modeling'!$N$9,0))),0))</f>
        <v>5720.837555263276</v>
      </c>
      <c r="AG34" s="799">
        <f>IF(AG$12=$F34+1,IF(Monthly!AC$4=TRUE,0,AG$3),IF(AG$12&gt;$F34+1,RentalsVacates!AF34*(1-IF(AG$12-$F34&lt;=12,SUMIFS('Attrition Modeling'!$D:$D,'Attrition Modeling'!$B:$B,$E34,'Attrition Modeling'!$C:$C,AG$11),VLOOKUP(RentalsVacates!AG$12-RentalsVacates!$F34-1,RentalsVacates!$A$8:$C$162,2,FALSE)*VLOOKUP(AG$11,'Attrition Modeling'!$L$15:$N$27,IF(AG$12-$F34&lt;=24,2,3),FALSE))*(1+IF('Traditional Attrition'!AG156&gt;0,'Attrition Modeling'!$N$9,0))),0))</f>
        <v>5298.812226937137</v>
      </c>
      <c r="AH34" s="799">
        <f>IF(AH$12=$F34+1,IF(Monthly!AD$4=TRUE,0,AH$3),IF(AH$12&gt;$F34+1,RentalsVacates!AG34*(1-IF(AH$12-$F34&lt;=12,SUMIFS('Attrition Modeling'!$D:$D,'Attrition Modeling'!$B:$B,$E34,'Attrition Modeling'!$C:$C,AH$11),VLOOKUP(RentalsVacates!AH$12-RentalsVacates!$F34-1,RentalsVacates!$A$8:$C$162,2,FALSE)*VLOOKUP(AH$11,'Attrition Modeling'!$L$15:$N$27,IF(AH$12-$F34&lt;=24,2,3),FALSE))*(1+IF('Traditional Attrition'!AH156&gt;0,'Attrition Modeling'!$N$9,0))),0))</f>
        <v>4756.026997584403</v>
      </c>
      <c r="AI34" s="799">
        <f>IF(AI$12=$F34+1,IF(Monthly!AE$4=TRUE,0,AI$3),IF(AI$12&gt;$F34+1,RentalsVacates!AH34*(1-IF(AI$12-$F34&lt;=12,SUMIFS('Attrition Modeling'!$D:$D,'Attrition Modeling'!$B:$B,$E34,'Attrition Modeling'!$C:$C,AI$11),VLOOKUP(RentalsVacates!AI$12-RentalsVacates!$F34-1,RentalsVacates!$A$8:$C$162,2,FALSE)*VLOOKUP(AI$11,'Attrition Modeling'!$L$15:$N$27,IF(AI$12-$F34&lt;=24,2,3),FALSE))*(1+IF('Traditional Attrition'!AI156&gt;0,'Attrition Modeling'!$N$9,0))),0))</f>
        <v>4410.4333396622105</v>
      </c>
      <c r="AJ34" s="799">
        <f>IF(AJ$12=$F34+1,IF(Monthly!AF$4=TRUE,0,AJ$3),IF(AJ$12&gt;$F34+1,RentalsVacates!AI34*(1-IF(AJ$12-$F34&lt;=12,SUMIFS('Attrition Modeling'!$D:$D,'Attrition Modeling'!$B:$B,$E34,'Attrition Modeling'!$C:$C,AJ$11),VLOOKUP(RentalsVacates!AJ$12-RentalsVacates!$F34-1,RentalsVacates!$A$8:$C$162,2,FALSE)*VLOOKUP(AJ$11,'Attrition Modeling'!$L$15:$N$27,IF(AJ$12-$F34&lt;=24,2,3),FALSE))*(1+IF('Traditional Attrition'!AJ156&gt;0,'Attrition Modeling'!$N$9,0))),0))</f>
        <v>4096.6739651659727</v>
      </c>
      <c r="AK34" s="799">
        <f>IF(AK$12=$F34+1,IF(Monthly!AG$4=TRUE,0,AK$3),IF(AK$12&gt;$F34+1,RentalsVacates!AJ34*(1-IF(AK$12-$F34&lt;=12,SUMIFS('Attrition Modeling'!$D:$D,'Attrition Modeling'!$B:$B,$E34,'Attrition Modeling'!$C:$C,AK$11),VLOOKUP(RentalsVacates!AK$12-RentalsVacates!$F34-1,RentalsVacates!$A$8:$C$162,2,FALSE)*VLOOKUP(AK$11,'Attrition Modeling'!$L$15:$N$27,IF(AK$12-$F34&lt;=24,2,3),FALSE))*(1+IF('Traditional Attrition'!AK156&gt;0,'Attrition Modeling'!$N$9,0))),0))</f>
        <v>3814.5743330865666</v>
      </c>
      <c r="AL34" s="799">
        <f>IF(AL$12=$F34+1,IF(Monthly!AH$4=TRUE,0,AL$3),IF(AL$12&gt;$F34+1,RentalsVacates!AK34*(1-IF(AL$12-$F34&lt;=12,SUMIFS('Attrition Modeling'!$D:$D,'Attrition Modeling'!$B:$B,$E34,'Attrition Modeling'!$C:$C,AL$11),VLOOKUP(RentalsVacates!AL$12-RentalsVacates!$F34-1,RentalsVacates!$A$8:$C$162,2,FALSE)*VLOOKUP(AL$11,'Attrition Modeling'!$L$15:$N$27,IF(AL$12-$F34&lt;=24,2,3),FALSE))*(1+IF('Traditional Attrition'!AL156&gt;0,'Attrition Modeling'!$N$9,0))),0))</f>
        <v>3580.4282458102771</v>
      </c>
      <c r="AM34" s="799">
        <f>IF(AM$12=$F34+1,IF(Monthly!AI$4=TRUE,0,AM$3),IF(AM$12&gt;$F34+1,RentalsVacates!AL34*(1-IF(AM$12-$F34&lt;=12,SUMIFS('Attrition Modeling'!$D:$D,'Attrition Modeling'!$B:$B,$E34,'Attrition Modeling'!$C:$C,AM$11),VLOOKUP(RentalsVacates!AM$12-RentalsVacates!$F34-1,RentalsVacates!$A$8:$C$162,2,FALSE)*VLOOKUP(AM$11,'Attrition Modeling'!$L$15:$N$27,IF(AM$12-$F34&lt;=24,2,3),FALSE))*(1+IF('Traditional Attrition'!AM156&gt;0,'Attrition Modeling'!$N$9,0))),0))</f>
        <v>3369.4737458853128</v>
      </c>
      <c r="AN34" s="799">
        <f>IF(AN$12=$F34+1,IF(Monthly!AJ$4=TRUE,0,AN$3),IF(AN$12&gt;$F34+1,RentalsVacates!AM34*(1-IF(AN$12-$F34&lt;=12,SUMIFS('Attrition Modeling'!$D:$D,'Attrition Modeling'!$B:$B,$E34,'Attrition Modeling'!$C:$C,AN$11),VLOOKUP(RentalsVacates!AN$12-RentalsVacates!$F34-1,RentalsVacates!$A$8:$C$162,2,FALSE)*VLOOKUP(AN$11,'Attrition Modeling'!$L$15:$N$27,IF(AN$12-$F34&lt;=24,2,3),FALSE))*(1+IF('Traditional Attrition'!AN156&gt;0,'Attrition Modeling'!$N$9,0))),0))</f>
        <v>3225.1585788437706</v>
      </c>
      <c r="AO34" s="799">
        <f>IF(AO$12=$F34+1,IF(Monthly!AK$4=TRUE,0,AO$3),IF(AO$12&gt;$F34+1,RentalsVacates!AN34*(1-IF(AO$12-$F34&lt;=12,SUMIFS('Attrition Modeling'!$D:$D,'Attrition Modeling'!$B:$B,$E34,'Attrition Modeling'!$C:$C,AO$11),VLOOKUP(RentalsVacates!AO$12-RentalsVacates!$F34-1,RentalsVacates!$A$8:$C$162,2,FALSE)*VLOOKUP(AO$11,'Attrition Modeling'!$L$15:$N$27,IF(AO$12-$F34&lt;=24,2,3),FALSE))*(1+IF('Traditional Attrition'!AO156&gt;0,'Attrition Modeling'!$N$9,0))),0))</f>
        <v>3042.9171067765105</v>
      </c>
      <c r="AP34" s="799">
        <f>IF(AP$12=$F34+1,IF(Monthly!AL$4=TRUE,0,AP$3),IF(AP$12&gt;$F34+1,RentalsVacates!AO34*(1-IF(AP$12-$F34&lt;=12,SUMIFS('Attrition Modeling'!$D:$D,'Attrition Modeling'!$B:$B,$E34,'Attrition Modeling'!$C:$C,AP$11),VLOOKUP(RentalsVacates!AP$12-RentalsVacates!$F34-1,RentalsVacates!$A$8:$C$162,2,FALSE)*VLOOKUP(AP$11,'Attrition Modeling'!$L$15:$N$27,IF(AP$12-$F34&lt;=24,2,3),FALSE))*(1+IF('Traditional Attrition'!AP156&gt;0,'Attrition Modeling'!$N$9,0))),0))</f>
        <v>2890.2849514294667</v>
      </c>
      <c r="AQ34" s="799">
        <f>IF(AQ$12=$F34+1,IF(Monthly!AM$4=TRUE,0,AQ$3),IF(AQ$12&gt;$F34+1,RentalsVacates!AP34*(1-IF(AQ$12-$F34&lt;=12,SUMIFS('Attrition Modeling'!$D:$D,'Attrition Modeling'!$B:$B,$E34,'Attrition Modeling'!$C:$C,AQ$11),VLOOKUP(RentalsVacates!AQ$12-RentalsVacates!$F34-1,RentalsVacates!$A$8:$C$162,2,FALSE)*VLOOKUP(AQ$11,'Attrition Modeling'!$L$15:$N$27,IF(AQ$12-$F34&lt;=24,2,3),FALSE))*(1+IF('Traditional Attrition'!AQ156&gt;0,'Attrition Modeling'!$N$9,0))),0))</f>
        <v>2753.8559987823946</v>
      </c>
      <c r="AR34" s="799">
        <f>IF(AR$12=$F34+1,IF(Monthly!AN$4=TRUE,0,AR$3),IF(AR$12&gt;$F34+1,RentalsVacates!AQ34*(1-IF(AR$12-$F34&lt;=12,SUMIFS('Attrition Modeling'!$D:$D,'Attrition Modeling'!$B:$B,$E34,'Attrition Modeling'!$C:$C,AR$11),VLOOKUP(RentalsVacates!AR$12-RentalsVacates!$F34-1,RentalsVacates!$A$8:$C$162,2,FALSE)*VLOOKUP(AR$11,'Attrition Modeling'!$L$15:$N$27,IF(AR$12-$F34&lt;=24,2,3),FALSE))*(1+IF('Traditional Attrition'!AR156&gt;0,'Attrition Modeling'!$N$9,0))),0))</f>
        <v>2628.5022993203479</v>
      </c>
      <c r="AS34" s="799">
        <f>IF(AS$12=$F34+1,IF(Monthly!AO$4=TRUE,0,AS$3),IF(AS$12&gt;$F34+1,RentalsVacates!AR34*(1-IF(AS$12-$F34&lt;=12,SUMIFS('Attrition Modeling'!$D:$D,'Attrition Modeling'!$B:$B,$E34,'Attrition Modeling'!$C:$C,AS$11),VLOOKUP(RentalsVacates!AS$12-RentalsVacates!$F34-1,RentalsVacates!$A$8:$C$162,2,FALSE)*VLOOKUP(AS$11,'Attrition Modeling'!$L$15:$N$27,IF(AS$12-$F34&lt;=24,2,3),FALSE))*(1+IF('Traditional Attrition'!AS156&gt;0,'Attrition Modeling'!$N$9,0))),0))</f>
        <v>2523.7417149803996</v>
      </c>
      <c r="AT34" s="799">
        <f>IF(AT$12=$F34+1,IF(Monthly!AP$4=TRUE,0,AT$3),IF(AT$12&gt;$F34+1,RentalsVacates!AS34*(1-IF(AT$12-$F34&lt;=12,SUMIFS('Attrition Modeling'!$D:$D,'Attrition Modeling'!$B:$B,$E34,'Attrition Modeling'!$C:$C,AT$11),VLOOKUP(RentalsVacates!AT$12-RentalsVacates!$F34-1,RentalsVacates!$A$8:$C$162,2,FALSE)*VLOOKUP(AT$11,'Attrition Modeling'!$L$15:$N$27,IF(AT$12-$F34&lt;=24,2,3),FALSE))*(1+IF('Traditional Attrition'!AT156&gt;0,'Attrition Modeling'!$N$9,0))),0))</f>
        <v>2395.6027302199136</v>
      </c>
      <c r="AU34" s="799">
        <f>IF(AU$12=$F34+1,IF(Monthly!AQ$4=TRUE,0,AU$3),IF(AU$12&gt;$F34+1,RentalsVacates!AT34*(1-IF(AU$12-$F34&lt;=12,SUMIFS('Attrition Modeling'!$D:$D,'Attrition Modeling'!$B:$B,$E34,'Attrition Modeling'!$C:$C,AU$11),VLOOKUP(RentalsVacates!AU$12-RentalsVacates!$F34-1,RentalsVacates!$A$8:$C$162,2,FALSE)*VLOOKUP(AU$11,'Attrition Modeling'!$L$15:$N$27,IF(AU$12-$F34&lt;=24,2,3),FALSE))*(1+IF('Traditional Attrition'!AU156&gt;0,'Attrition Modeling'!$N$9,0))),0))</f>
        <v>2298.0811513214608</v>
      </c>
      <c r="AV34" s="799">
        <f>IF(AV$12=$F34+1,IF(Monthly!AR$4=TRUE,0,AV$3),IF(AV$12&gt;$F34+1,RentalsVacates!AU34*(1-IF(AV$12-$F34&lt;=12,SUMIFS('Attrition Modeling'!$D:$D,'Attrition Modeling'!$B:$B,$E34,'Attrition Modeling'!$C:$C,AV$11),VLOOKUP(RentalsVacates!AV$12-RentalsVacates!$F34-1,RentalsVacates!$A$8:$C$162,2,FALSE)*VLOOKUP(AV$11,'Attrition Modeling'!$L$15:$N$27,IF(AV$12-$F34&lt;=24,2,3),FALSE))*(1+IF('Traditional Attrition'!AV156&gt;0,'Attrition Modeling'!$N$9,0))),0))</f>
        <v>2206.9624422367415</v>
      </c>
      <c r="AW34" s="799">
        <f>IF(AW$12=$F34+1,IF(Monthly!AS$4=TRUE,0,AW$3),IF(AW$12&gt;$F34+1,RentalsVacates!AV34*(1-IF(AW$12-$F34&lt;=12,SUMIFS('Attrition Modeling'!$D:$D,'Attrition Modeling'!$B:$B,$E34,'Attrition Modeling'!$C:$C,AW$11),VLOOKUP(RentalsVacates!AW$12-RentalsVacates!$F34-1,RentalsVacates!$A$8:$C$162,2,FALSE)*VLOOKUP(AW$11,'Attrition Modeling'!$L$15:$N$27,IF(AW$12-$F34&lt;=24,2,3),FALSE))*(1+IF('Traditional Attrition'!AW156&gt;0,'Attrition Modeling'!$N$9,0))),0))</f>
        <v>2112.5333629106294</v>
      </c>
      <c r="AX34" s="799">
        <f>IF(AX$12=$F34+1,IF(Monthly!AT$4=TRUE,0,AX$3),IF(AX$12&gt;$F34+1,RentalsVacates!AW34*(1-IF(AX$12-$F34&lt;=12,SUMIFS('Attrition Modeling'!$D:$D,'Attrition Modeling'!$B:$B,$E34,'Attrition Modeling'!$C:$C,AX$11),VLOOKUP(RentalsVacates!AX$12-RentalsVacates!$F34-1,RentalsVacates!$A$8:$C$162,2,FALSE)*VLOOKUP(AX$11,'Attrition Modeling'!$L$15:$N$27,IF(AX$12-$F34&lt;=24,2,3),FALSE))*(1+IF('Traditional Attrition'!AX156&gt;0,'Attrition Modeling'!$N$9,0))),0))</f>
        <v>2021.4436323274585</v>
      </c>
      <c r="AY34" s="799">
        <f>IF(AY$12=$F34+1,IF(Monthly!AU$4=TRUE,0,AY$3),IF(AY$12&gt;$F34+1,RentalsVacates!AX34*(1-IF(AY$12-$F34&lt;=12,SUMIFS('Attrition Modeling'!$D:$D,'Attrition Modeling'!$B:$B,$E34,'Attrition Modeling'!$C:$C,AY$11),VLOOKUP(RentalsVacates!AY$12-RentalsVacates!$F34-1,RentalsVacates!$A$8:$C$162,2,FALSE)*VLOOKUP(AY$11,'Attrition Modeling'!$L$15:$N$27,IF(AY$12-$F34&lt;=24,2,3),FALSE))*(1+IF('Traditional Attrition'!AY156&gt;0,'Attrition Modeling'!$N$9,0))),0))</f>
        <v>1931.7269415623168</v>
      </c>
      <c r="AZ34" s="799">
        <f>IF(AZ$12=$F34+1,IF(Monthly!AV$4=TRUE,0,AZ$3),IF(AZ$12&gt;$F34+1,RentalsVacates!AY34*(1-IF(AZ$12-$F34&lt;=12,SUMIFS('Attrition Modeling'!$D:$D,'Attrition Modeling'!$B:$B,$E34,'Attrition Modeling'!$C:$C,AZ$11),VLOOKUP(RentalsVacates!AZ$12-RentalsVacates!$F34-1,RentalsVacates!$A$8:$C$162,2,FALSE)*VLOOKUP(AZ$11,'Attrition Modeling'!$L$15:$N$27,IF(AZ$12-$F34&lt;=24,2,3),FALSE))*(1+IF('Traditional Attrition'!AZ156&gt;0,'Attrition Modeling'!$N$9,0))),0))</f>
        <v>1854.5823603353649</v>
      </c>
      <c r="BA34" s="799">
        <f>IF(BA$12=$F34+1,IF(Monthly!AW$4=TRUE,0,BA$3),IF(BA$12&gt;$F34+1,RentalsVacates!AZ34*(1-IF(BA$12-$F34&lt;=12,SUMIFS('Attrition Modeling'!$D:$D,'Attrition Modeling'!$B:$B,$E34,'Attrition Modeling'!$C:$C,BA$11),VLOOKUP(RentalsVacates!BA$12-RentalsVacates!$F34-1,RentalsVacates!$A$8:$C$162,2,FALSE)*VLOOKUP(BA$11,'Attrition Modeling'!$L$15:$N$27,IF(BA$12-$F34&lt;=24,2,3),FALSE))*(1+IF('Traditional Attrition'!BA156&gt;0,'Attrition Modeling'!$N$9,0))),0))</f>
        <v>1780.6740329642346</v>
      </c>
      <c r="BB34" s="799">
        <f>IF(BB$12=$F34+1,IF(Monthly!AX$4=TRUE,0,BB$3),IF(BB$12&gt;$F34+1,RentalsVacates!BA34*(1-IF(BB$12-$F34&lt;=12,SUMIFS('Attrition Modeling'!$D:$D,'Attrition Modeling'!$B:$B,$E34,'Attrition Modeling'!$C:$C,BB$11),VLOOKUP(RentalsVacates!BB$12-RentalsVacates!$F34-1,RentalsVacates!$A$8:$C$162,2,FALSE)*VLOOKUP(BB$11,'Attrition Modeling'!$L$15:$N$27,IF(BB$12-$F34&lt;=24,2,3),FALSE))*(1+IF('Traditional Attrition'!BB156&gt;0,'Attrition Modeling'!$N$9,0))),0))</f>
        <v>1712.2811685853667</v>
      </c>
      <c r="BC34" s="799">
        <f>IF(BC$12=$F34+1,IF(Monthly!AY$4=TRUE,0,BC$3),IF(BC$12&gt;$F34+1,RentalsVacates!BB34*(1-IF(BC$12-$F34&lt;=12,SUMIFS('Attrition Modeling'!$D:$D,'Attrition Modeling'!$B:$B,$E34,'Attrition Modeling'!$C:$C,BC$11),VLOOKUP(RentalsVacates!BC$12-RentalsVacates!$F34-1,RentalsVacates!$A$8:$C$162,2,FALSE)*VLOOKUP(BC$11,'Attrition Modeling'!$L$15:$N$27,IF(BC$12-$F34&lt;=24,2,3),FALSE))*(1+IF('Traditional Attrition'!BC156&gt;0,'Attrition Modeling'!$N$9,0))),0))</f>
        <v>1658.8193472296889</v>
      </c>
      <c r="BD34" s="799">
        <f>IF(BD$12=$F34+1,IF(Monthly!AZ$4=TRUE,0,BD$3),IF(BD$12&gt;$F34+1,RentalsVacates!BC34*(1-IF(BD$12-$F34&lt;=12,SUMIFS('Attrition Modeling'!$D:$D,'Attrition Modeling'!$B:$B,$E34,'Attrition Modeling'!$C:$C,BD$11),VLOOKUP(RentalsVacates!BD$12-RentalsVacates!$F34-1,RentalsVacates!$A$8:$C$162,2,FALSE)*VLOOKUP(BD$11,'Attrition Modeling'!$L$15:$N$27,IF(BD$12-$F34&lt;=24,2,3),FALSE))*(1+IF('Traditional Attrition'!BD156&gt;0,'Attrition Modeling'!$N$9,0))),0))</f>
        <v>1602.2354767792058</v>
      </c>
      <c r="BE34" s="799">
        <f>IF(BE$12=$F34+1,IF(Monthly!BA$4=TRUE,0,BE$3),IF(BE$12&gt;$F34+1,RentalsVacates!BD34*(1-IF(BE$12-$F34&lt;=12,SUMIFS('Attrition Modeling'!$D:$D,'Attrition Modeling'!$B:$B,$E34,'Attrition Modeling'!$C:$C,BE$11),VLOOKUP(RentalsVacates!BE$12-RentalsVacates!$F34-1,RentalsVacates!$A$8:$C$162,2,FALSE)*VLOOKUP(BE$11,'Attrition Modeling'!$L$15:$N$27,IF(BE$12-$F34&lt;=24,2,3),FALSE))*(1+IF('Traditional Attrition'!BE156&gt;0,'Attrition Modeling'!$N$9,0))),0))</f>
        <v>1549.9766217493261</v>
      </c>
      <c r="BF34" s="799">
        <f>IF(BF$12=$F34+1,IF(Monthly!BB$4=TRUE,0,BF$3),IF(BF$12&gt;$F34+1,RentalsVacates!BE34*(1-IF(BF$12-$F34&lt;=12,SUMIFS('Attrition Modeling'!$D:$D,'Attrition Modeling'!$B:$B,$E34,'Attrition Modeling'!$C:$C,BF$11),VLOOKUP(RentalsVacates!BF$12-RentalsVacates!$F34-1,RentalsVacates!$A$8:$C$162,2,FALSE)*VLOOKUP(BF$11,'Attrition Modeling'!$L$15:$N$27,IF(BF$12-$F34&lt;=24,2,3),FALSE))*(1+IF('Traditional Attrition'!BF156&gt;0,'Attrition Modeling'!$N$9,0))),0))</f>
        <v>1492.5901061943259</v>
      </c>
      <c r="BG34" s="799">
        <f>IF(BG$12=$F34+1,IF(Monthly!BC$4=TRUE,0,BG$3),IF(BG$12&gt;$F34+1,RentalsVacates!BF34*(1-IF(BG$12-$F34&lt;=12,SUMIFS('Attrition Modeling'!$D:$D,'Attrition Modeling'!$B:$B,$E34,'Attrition Modeling'!$C:$C,BG$11),VLOOKUP(RentalsVacates!BG$12-RentalsVacates!$F34-1,RentalsVacates!$A$8:$C$162,2,FALSE)*VLOOKUP(BG$11,'Attrition Modeling'!$L$15:$N$27,IF(BG$12-$F34&lt;=24,2,3),FALSE))*(1+IF('Traditional Attrition'!BG156&gt;0,'Attrition Modeling'!$N$9,0))),0))</f>
        <v>1456.4154755226623</v>
      </c>
      <c r="BH34" s="799">
        <f>IF(BH$12=$F34+1,IF(Monthly!BD$4=TRUE,0,BH$3),IF(BH$12&gt;$F34+1,RentalsVacates!BG34*(1-IF(BH$12-$F34&lt;=12,SUMIFS('Attrition Modeling'!$D:$D,'Attrition Modeling'!$B:$B,$E34,'Attrition Modeling'!$C:$C,BH$11),VLOOKUP(RentalsVacates!BH$12-RentalsVacates!$F34-1,RentalsVacates!$A$8:$C$162,2,FALSE)*VLOOKUP(BH$11,'Attrition Modeling'!$L$15:$N$27,IF(BH$12-$F34&lt;=24,2,3),FALSE))*(1+IF('Traditional Attrition'!BH156&gt;0,'Attrition Modeling'!$N$9,0))),0))</f>
        <v>1414.3118539328027</v>
      </c>
      <c r="BI34" s="799">
        <f>IF(BI$12=$F34+1,IF(Monthly!BE$4=TRUE,0,BI$3),IF(BI$12&gt;$F34+1,RentalsVacates!BH34*(1-IF(BI$12-$F34&lt;=12,SUMIFS('Attrition Modeling'!$D:$D,'Attrition Modeling'!$B:$B,$E34,'Attrition Modeling'!$C:$C,BI$11),VLOOKUP(RentalsVacates!BI$12-RentalsVacates!$F34-1,RentalsVacates!$A$8:$C$162,2,FALSE)*VLOOKUP(BI$11,'Attrition Modeling'!$L$15:$N$27,IF(BI$12-$F34&lt;=24,2,3),FALSE))*(1+IF('Traditional Attrition'!BI156&gt;0,'Attrition Modeling'!$N$9,0))),0))</f>
        <v>1368.195046613097</v>
      </c>
      <c r="BJ34" s="799">
        <f>IF(BJ$12=$F34+1,IF(Monthly!BF$4=TRUE,0,BJ$3),IF(BJ$12&gt;$F34+1,RentalsVacates!BI34*(1-IF(BJ$12-$F34&lt;=12,SUMIFS('Attrition Modeling'!$D:$D,'Attrition Modeling'!$B:$B,$E34,'Attrition Modeling'!$C:$C,BJ$11),VLOOKUP(RentalsVacates!BJ$12-RentalsVacates!$F34-1,RentalsVacates!$A$8:$C$162,2,FALSE)*VLOOKUP(BJ$11,'Attrition Modeling'!$L$15:$N$27,IF(BJ$12-$F34&lt;=24,2,3),FALSE))*(1+IF('Traditional Attrition'!BJ156&gt;0,'Attrition Modeling'!$N$9,0))),0))</f>
        <v>1320.1455071126431</v>
      </c>
      <c r="BK34" s="799">
        <f>IF(BK$12=$F34+1,IF(Monthly!BG$4=TRUE,0,BK$3),IF(BK$12&gt;$F34+1,RentalsVacates!BJ34*(1-IF(BK$12-$F34&lt;=12,SUMIFS('Attrition Modeling'!$D:$D,'Attrition Modeling'!$B:$B,$E34,'Attrition Modeling'!$C:$C,BK$11),VLOOKUP(RentalsVacates!BK$12-RentalsVacates!$F34-1,RentalsVacates!$A$8:$C$162,2,FALSE)*VLOOKUP(BK$11,'Attrition Modeling'!$L$15:$N$27,IF(BK$12-$F34&lt;=24,2,3),FALSE))*(1+IF('Traditional Attrition'!BK156&gt;0,'Attrition Modeling'!$N$9,0))),0))</f>
        <v>1270.9187395126226</v>
      </c>
      <c r="BL34" s="799">
        <f>IF(BL$12=$F34+1,IF(Monthly!BH$4=TRUE,0,BL$3),IF(BL$12&gt;$F34+1,RentalsVacates!BK34*(1-IF(BL$12-$F34&lt;=12,SUMIFS('Attrition Modeling'!$D:$D,'Attrition Modeling'!$B:$B,$E34,'Attrition Modeling'!$C:$C,BL$11),VLOOKUP(RentalsVacates!BL$12-RentalsVacates!$F34-1,RentalsVacates!$A$8:$C$162,2,FALSE)*VLOOKUP(BL$11,'Attrition Modeling'!$L$15:$N$27,IF(BL$12-$F34&lt;=24,2,3),FALSE))*(1+IF('Traditional Attrition'!BL156&gt;0,'Attrition Modeling'!$N$9,0))),0))</f>
        <v>1226.904417482091</v>
      </c>
      <c r="BM34" s="799">
        <f>IF(BM$12=$F34+1,IF(Monthly!BI$4=TRUE,0,BM$3),IF(BM$12&gt;$F34+1,RentalsVacates!BL34*(1-IF(BM$12-$F34&lt;=12,SUMIFS('Attrition Modeling'!$D:$D,'Attrition Modeling'!$B:$B,$E34,'Attrition Modeling'!$C:$C,BM$11),VLOOKUP(RentalsVacates!BM$12-RentalsVacates!$F34-1,RentalsVacates!$A$8:$C$162,2,FALSE)*VLOOKUP(BM$11,'Attrition Modeling'!$L$15:$N$27,IF(BM$12-$F34&lt;=24,2,3),FALSE))*(1+IF('Traditional Attrition'!BM156&gt;0,'Attrition Modeling'!$N$9,0))),0))</f>
        <v>1186.321647431261</v>
      </c>
      <c r="BN34" s="799">
        <f>IF(BN$12=$F34+1,IF(Monthly!BJ$4=TRUE,0,BN$3),IF(BN$12&gt;$F34+1,RentalsVacates!BM34*(1-IF(BN$12-$F34&lt;=12,SUMIFS('Attrition Modeling'!$D:$D,'Attrition Modeling'!$B:$B,$E34,'Attrition Modeling'!$C:$C,BN$11),VLOOKUP(RentalsVacates!BN$12-RentalsVacates!$F34-1,RentalsVacates!$A$8:$C$162,2,FALSE)*VLOOKUP(BN$11,'Attrition Modeling'!$L$15:$N$27,IF(BN$12-$F34&lt;=24,2,3),FALSE))*(1+IF('Traditional Attrition'!BN156&gt;0,'Attrition Modeling'!$N$9,0))),0))</f>
        <v>1148.376416848695</v>
      </c>
      <c r="BO34" s="799">
        <f>IF(BO$12=$F34+1,IF(Monthly!BK$4=TRUE,0,BO$3),IF(BO$12&gt;$F34+1,RentalsVacates!BN34*(1-IF(BO$12-$F34&lt;=12,SUMIFS('Attrition Modeling'!$D:$D,'Attrition Modeling'!$B:$B,$E34,'Attrition Modeling'!$C:$C,BO$11),VLOOKUP(RentalsVacates!BO$12-RentalsVacates!$F34-1,RentalsVacates!$A$8:$C$162,2,FALSE)*VLOOKUP(BO$11,'Attrition Modeling'!$L$15:$N$27,IF(BO$12-$F34&lt;=24,2,3),FALSE))*(1+IF('Traditional Attrition'!BO156&gt;0,'Attrition Modeling'!$N$9,0))),0))</f>
        <v>1118.4237721767336</v>
      </c>
      <c r="BP34" s="799">
        <f>IF(BP$12=$F34+1,IF(Monthly!BL$4=TRUE,0,BP$3),IF(BP$12&gt;$F34+1,RentalsVacates!BO34*(1-IF(BP$12-$F34&lt;=12,SUMIFS('Attrition Modeling'!$D:$D,'Attrition Modeling'!$B:$B,$E34,'Attrition Modeling'!$C:$C,BP$11),VLOOKUP(RentalsVacates!BP$12-RentalsVacates!$F34-1,RentalsVacates!$A$8:$C$162,2,FALSE)*VLOOKUP(BP$11,'Attrition Modeling'!$L$15:$N$27,IF(BP$12-$F34&lt;=24,2,3),FALSE))*(1+IF('Traditional Attrition'!BP156&gt;0,'Attrition Modeling'!$N$9,0))),0))</f>
        <v>1086.4603511547375</v>
      </c>
      <c r="BQ34" s="799">
        <f>IF(BQ$12=$F34+1,IF(Monthly!BM$4=TRUE,0,BQ$3),IF(BQ$12&gt;$F34+1,RentalsVacates!BP34*(1-IF(BQ$12-$F34&lt;=12,SUMIFS('Attrition Modeling'!$D:$D,'Attrition Modeling'!$B:$B,$E34,'Attrition Modeling'!$C:$C,BQ$11),VLOOKUP(RentalsVacates!BQ$12-RentalsVacates!$F34-1,RentalsVacates!$A$8:$C$162,2,FALSE)*VLOOKUP(BQ$11,'Attrition Modeling'!$L$15:$N$27,IF(BQ$12-$F34&lt;=24,2,3),FALSE))*(1+IF('Traditional Attrition'!BQ156&gt;0,'Attrition Modeling'!$N$9,0))),0))</f>
        <v>1056.6891705320922</v>
      </c>
      <c r="BR34" s="799">
        <f>IF(BR$12=$F34+1,IF(Monthly!BN$4=TRUE,0,BR$3),IF(BR$12&gt;$F34+1,RentalsVacates!BQ34*(1-IF(BR$12-$F34&lt;=12,SUMIFS('Attrition Modeling'!$D:$D,'Attrition Modeling'!$B:$B,$E34,'Attrition Modeling'!$C:$C,BR$11),VLOOKUP(RentalsVacates!BR$12-RentalsVacates!$F34-1,RentalsVacates!$A$8:$C$162,2,FALSE)*VLOOKUP(BR$11,'Attrition Modeling'!$L$15:$N$27,IF(BR$12-$F34&lt;=24,2,3),FALSE))*(1+IF('Traditional Attrition'!BR156&gt;0,'Attrition Modeling'!$N$9,0))),0))</f>
        <v>1023.735301567677</v>
      </c>
      <c r="BS34" s="799">
        <f>IF(BS$12=$F34+1,IF(Monthly!BO$4=TRUE,0,BS$3),IF(BS$12&gt;$F34+1,RentalsVacates!BR34*(1-IF(BS$12-$F34&lt;=12,SUMIFS('Attrition Modeling'!$D:$D,'Attrition Modeling'!$B:$B,$E34,'Attrition Modeling'!$C:$C,BS$11),VLOOKUP(RentalsVacates!BS$12-RentalsVacates!$F34-1,RentalsVacates!$A$8:$C$162,2,FALSE)*VLOOKUP(BS$11,'Attrition Modeling'!$L$15:$N$27,IF(BS$12-$F34&lt;=24,2,3),FALSE))*(1+IF('Traditional Attrition'!BS156&gt;0,'Attrition Modeling'!$N$9,0))),0))</f>
        <v>1002.7851326012108</v>
      </c>
      <c r="BT34" s="799">
        <f>IF(BT$11=$F33+1,IF(Monthly!#REF!=TRUE,0,BT$3),IF(BT$11&gt;$F33+1,RentalsVacates!BS33*(1-IF(BT$11-$F33&lt;=12,SUMIFS('Attrition Modeling'!$D:$D,'Attrition Modeling'!$B:$B,$E33,'Attrition Modeling'!$C:$C,BT$10),VLOOKUP(RentalsVacates!BT$11-RentalsVacates!$F33-1,RentalsVacates!$A$7:$C$161,2,FALSE)*VLOOKUP(BT$10,'Attrition Modeling'!$L$15:$N$27,IF(BT$11-$F33&lt;=24,2,3),FALSE))*(1+IF('Traditional Attrition'!BT156&gt;0,'Attrition Modeling'!$N$9,0))),0))</f>
        <v>0</v>
      </c>
      <c r="BU34" s="799">
        <f>IF(BU$11=$F33+1,IF(Monthly!#REF!=TRUE,0,BU$3),IF(BU$11&gt;$F33+1,RentalsVacates!BT33*(1-IF(BU$11-$F33&lt;=12,SUMIFS('Attrition Modeling'!$D:$D,'Attrition Modeling'!$B:$B,$E33,'Attrition Modeling'!$C:$C,BU$10),VLOOKUP(RentalsVacates!BU$11-RentalsVacates!$F33-1,RentalsVacates!$A$7:$C$161,2,FALSE)*VLOOKUP(BU$10,'Attrition Modeling'!$L$15:$N$27,IF(BU$11-$F33&lt;=24,2,3),FALSE))*(1+IF('Traditional Attrition'!BU156&gt;0,'Attrition Modeling'!$N$9,0))),0))</f>
        <v>0</v>
      </c>
    </row>
    <row r="35" spans="1:73" ht="14.25" customHeight="1" x14ac:dyDescent="0.2">
      <c r="A35" s="9">
        <v>27</v>
      </c>
      <c r="B35" s="25">
        <f>MAX('Attrition Modeling'!H31,$C$3)*(1-Summary!$C$20)</f>
        <v>3.4562316693975192E-2</v>
      </c>
      <c r="C35" s="24" t="e">
        <f t="shared" si="2"/>
        <v>#DIV/0!</v>
      </c>
      <c r="E35" s="11">
        <f>'Traditional Attrition'!E92</f>
        <v>10</v>
      </c>
      <c r="F35" s="11">
        <f t="shared" si="4"/>
        <v>22</v>
      </c>
      <c r="G35" s="799"/>
      <c r="H35" s="799">
        <f>IF(H$12=$F35+1,IF(Monthly!D$4=TRUE,0,H$3),IF(H$12&gt;$F35+1,RentalsVacates!G35*(1-IF(H$12-$F35&lt;=12,SUMIFS('Attrition Modeling'!$D:$D,'Attrition Modeling'!$B:$B,$E35,'Attrition Modeling'!$C:$C,H$11),VLOOKUP(RentalsVacates!H$12-RentalsVacates!$F35-1,RentalsVacates!$A$8:$C$162,2,FALSE)*VLOOKUP(H$11,'Attrition Modeling'!$L$15:$N$27,IF(H$12-$F35&lt;=24,2,3),FALSE))*(1+IF('Traditional Attrition'!H157&gt;0,'Attrition Modeling'!$N$9,0))),0))</f>
        <v>0</v>
      </c>
      <c r="I35" s="799">
        <f>IF(I$12=$F35+1,IF(Monthly!E$4=TRUE,0,I$3),IF(I$12&gt;$F35+1,RentalsVacates!H35*(1-IF(I$12-$F35&lt;=12,SUMIFS('Attrition Modeling'!$D:$D,'Attrition Modeling'!$B:$B,$E35,'Attrition Modeling'!$C:$C,I$11),VLOOKUP(RentalsVacates!I$12-RentalsVacates!$F35-1,RentalsVacates!$A$8:$C$162,2,FALSE)*VLOOKUP(I$11,'Attrition Modeling'!$L$15:$N$27,IF(I$12-$F35&lt;=24,2,3),FALSE))*(1+IF('Traditional Attrition'!I157&gt;0,'Attrition Modeling'!$N$9,0))),0))</f>
        <v>0</v>
      </c>
      <c r="J35" s="799">
        <f>IF(J$12=$F35+1,IF(Monthly!F$4=TRUE,0,J$3),IF(J$12&gt;$F35+1,RentalsVacates!I35*(1-IF(J$12-$F35&lt;=12,SUMIFS('Attrition Modeling'!$D:$D,'Attrition Modeling'!$B:$B,$E35,'Attrition Modeling'!$C:$C,J$11),VLOOKUP(RentalsVacates!J$12-RentalsVacates!$F35-1,RentalsVacates!$A$8:$C$162,2,FALSE)*VLOOKUP(J$11,'Attrition Modeling'!$L$15:$N$27,IF(J$12-$F35&lt;=24,2,3),FALSE))*(1+IF('Traditional Attrition'!J157&gt;0,'Attrition Modeling'!$N$9,0))),0))</f>
        <v>0</v>
      </c>
      <c r="K35" s="799">
        <f>IF(K$12=$F35+1,IF(Monthly!G$4=TRUE,0,K$3),IF(K$12&gt;$F35+1,RentalsVacates!J35*(1-IF(K$12-$F35&lt;=12,SUMIFS('Attrition Modeling'!$D:$D,'Attrition Modeling'!$B:$B,$E35,'Attrition Modeling'!$C:$C,K$11),VLOOKUP(RentalsVacates!K$12-RentalsVacates!$F35-1,RentalsVacates!$A$8:$C$162,2,FALSE)*VLOOKUP(K$11,'Attrition Modeling'!$L$15:$N$27,IF(K$12-$F35&lt;=24,2,3),FALSE))*(1+IF('Traditional Attrition'!K157&gt;0,'Attrition Modeling'!$N$9,0))),0))</f>
        <v>0</v>
      </c>
      <c r="L35" s="799">
        <f>IF(L$12=$F35+1,IF(Monthly!H$4=TRUE,0,L$3),IF(L$12&gt;$F35+1,RentalsVacates!K35*(1-IF(L$12-$F35&lt;=12,SUMIFS('Attrition Modeling'!$D:$D,'Attrition Modeling'!$B:$B,$E35,'Attrition Modeling'!$C:$C,L$11),VLOOKUP(RentalsVacates!L$12-RentalsVacates!$F35-1,RentalsVacates!$A$8:$C$162,2,FALSE)*VLOOKUP(L$11,'Attrition Modeling'!$L$15:$N$27,IF(L$12-$F35&lt;=24,2,3),FALSE))*(1+IF('Traditional Attrition'!L157&gt;0,'Attrition Modeling'!$N$9,0))),0))</f>
        <v>0</v>
      </c>
      <c r="M35" s="799">
        <f>IF(M$12=$F35+1,IF(Monthly!I$4=TRUE,0,M$3),IF(M$12&gt;$F35+1,RentalsVacates!L35*(1-IF(M$12-$F35&lt;=12,SUMIFS('Attrition Modeling'!$D:$D,'Attrition Modeling'!$B:$B,$E35,'Attrition Modeling'!$C:$C,M$11),VLOOKUP(RentalsVacates!M$12-RentalsVacates!$F35-1,RentalsVacates!$A$8:$C$162,2,FALSE)*VLOOKUP(M$11,'Attrition Modeling'!$L$15:$N$27,IF(M$12-$F35&lt;=24,2,3),FALSE))*(1+IF('Traditional Attrition'!M157&gt;0,'Attrition Modeling'!$N$9,0))),0))</f>
        <v>0</v>
      </c>
      <c r="N35" s="799">
        <f>IF(N$12=$F35+1,IF(Monthly!J$4=TRUE,0,N$3),IF(N$12&gt;$F35+1,RentalsVacates!M35*(1-IF(N$12-$F35&lt;=12,SUMIFS('Attrition Modeling'!$D:$D,'Attrition Modeling'!$B:$B,$E35,'Attrition Modeling'!$C:$C,N$11),VLOOKUP(RentalsVacates!N$12-RentalsVacates!$F35-1,RentalsVacates!$A$8:$C$162,2,FALSE)*VLOOKUP(N$11,'Attrition Modeling'!$L$15:$N$27,IF(N$12-$F35&lt;=24,2,3),FALSE))*(1+IF('Traditional Attrition'!N157&gt;0,'Attrition Modeling'!$N$9,0))),0))</f>
        <v>0</v>
      </c>
      <c r="O35" s="799">
        <f>IF(O$12=$F35+1,IF(Monthly!K$4=TRUE,0,O$3),IF(O$12&gt;$F35+1,RentalsVacates!N35*(1-IF(O$12-$F35&lt;=12,SUMIFS('Attrition Modeling'!$D:$D,'Attrition Modeling'!$B:$B,$E35,'Attrition Modeling'!$C:$C,O$11),VLOOKUP(RentalsVacates!O$12-RentalsVacates!$F35-1,RentalsVacates!$A$8:$C$162,2,FALSE)*VLOOKUP(O$11,'Attrition Modeling'!$L$15:$N$27,IF(O$12-$F35&lt;=24,2,3),FALSE))*(1+IF('Traditional Attrition'!O157&gt;0,'Attrition Modeling'!$N$9,0))),0))</f>
        <v>0</v>
      </c>
      <c r="P35" s="799">
        <f>IF(P$12=$F35+1,IF(Monthly!L$4=TRUE,0,P$3),IF(P$12&gt;$F35+1,RentalsVacates!O35*(1-IF(P$12-$F35&lt;=12,SUMIFS('Attrition Modeling'!$D:$D,'Attrition Modeling'!$B:$B,$E35,'Attrition Modeling'!$C:$C,P$11),VLOOKUP(RentalsVacates!P$12-RentalsVacates!$F35-1,RentalsVacates!$A$8:$C$162,2,FALSE)*VLOOKUP(P$11,'Attrition Modeling'!$L$15:$N$27,IF(P$12-$F35&lt;=24,2,3),FALSE))*(1+IF('Traditional Attrition'!P157&gt;0,'Attrition Modeling'!$N$9,0))),0))</f>
        <v>0</v>
      </c>
      <c r="Q35" s="799">
        <f>IF(Q$12=$F35+1,IF(Monthly!M$4=TRUE,0,Q$3),IF(Q$12&gt;$F35+1,RentalsVacates!P35*(1-IF(Q$12-$F35&lt;=12,SUMIFS('Attrition Modeling'!$D:$D,'Attrition Modeling'!$B:$B,$E35,'Attrition Modeling'!$C:$C,Q$11),VLOOKUP(RentalsVacates!Q$12-RentalsVacates!$F35-1,RentalsVacates!$A$8:$C$162,2,FALSE)*VLOOKUP(Q$11,'Attrition Modeling'!$L$15:$N$27,IF(Q$12-$F35&lt;=24,2,3),FALSE))*(1+IF('Traditional Attrition'!Q157&gt;0,'Attrition Modeling'!$N$9,0))),0))</f>
        <v>0</v>
      </c>
      <c r="R35" s="799">
        <f>IF(R$12=$F35+1,IF(Monthly!N$4=TRUE,0,R$3),IF(R$12&gt;$F35+1,RentalsVacates!Q35*(1-IF(R$12-$F35&lt;=12,SUMIFS('Attrition Modeling'!$D:$D,'Attrition Modeling'!$B:$B,$E35,'Attrition Modeling'!$C:$C,R$11),VLOOKUP(RentalsVacates!R$12-RentalsVacates!$F35-1,RentalsVacates!$A$8:$C$162,2,FALSE)*VLOOKUP(R$11,'Attrition Modeling'!$L$15:$N$27,IF(R$12-$F35&lt;=24,2,3),FALSE))*(1+IF('Traditional Attrition'!R157&gt;0,'Attrition Modeling'!$N$9,0))),0))</f>
        <v>0</v>
      </c>
      <c r="S35" s="799">
        <f>IF(S$12=$F35+1,IF(Monthly!O$4=TRUE,0,S$3),IF(S$12&gt;$F35+1,RentalsVacates!R35*(1-IF(S$12-$F35&lt;=12,SUMIFS('Attrition Modeling'!$D:$D,'Attrition Modeling'!$B:$B,$E35,'Attrition Modeling'!$C:$C,S$11),VLOOKUP(RentalsVacates!S$12-RentalsVacates!$F35-1,RentalsVacates!$A$8:$C$162,2,FALSE)*VLOOKUP(S$11,'Attrition Modeling'!$L$15:$N$27,IF(S$12-$F35&lt;=24,2,3),FALSE))*(1+IF('Traditional Attrition'!S157&gt;0,'Attrition Modeling'!$N$9,0))),0))</f>
        <v>0</v>
      </c>
      <c r="T35" s="799">
        <f>IF(T$12=$F35+1,IF(Monthly!P$4=TRUE,0,T$3),IF(T$12&gt;$F35+1,RentalsVacates!S35*(1-IF(T$12-$F35&lt;=12,SUMIFS('Attrition Modeling'!$D:$D,'Attrition Modeling'!$B:$B,$E35,'Attrition Modeling'!$C:$C,T$11),VLOOKUP(RentalsVacates!T$12-RentalsVacates!$F35-1,RentalsVacates!$A$8:$C$162,2,FALSE)*VLOOKUP(T$11,'Attrition Modeling'!$L$15:$N$27,IF(T$12-$F35&lt;=24,2,3),FALSE))*(1+IF('Traditional Attrition'!T157&gt;0,'Attrition Modeling'!$N$9,0))),0))</f>
        <v>0</v>
      </c>
      <c r="U35" s="799">
        <f>IF(U$12=$F35+1,IF(Monthly!Q$4=TRUE,0,U$3),IF(U$12&gt;$F35+1,RentalsVacates!T35*(1-IF(U$12-$F35&lt;=12,SUMIFS('Attrition Modeling'!$D:$D,'Attrition Modeling'!$B:$B,$E35,'Attrition Modeling'!$C:$C,U$11),VLOOKUP(RentalsVacates!U$12-RentalsVacates!$F35-1,RentalsVacates!$A$8:$C$162,2,FALSE)*VLOOKUP(U$11,'Attrition Modeling'!$L$15:$N$27,IF(U$12-$F35&lt;=24,2,3),FALSE))*(1+IF('Traditional Attrition'!U157&gt;0,'Attrition Modeling'!$N$9,0))),0))</f>
        <v>0</v>
      </c>
      <c r="V35" s="799">
        <f>IF(V$12=$F35+1,IF(Monthly!R$4=TRUE,0,V$3),IF(V$12&gt;$F35+1,RentalsVacates!U35*(1-IF(V$12-$F35&lt;=12,SUMIFS('Attrition Modeling'!$D:$D,'Attrition Modeling'!$B:$B,$E35,'Attrition Modeling'!$C:$C,V$11),VLOOKUP(RentalsVacates!V$12-RentalsVacates!$F35-1,RentalsVacates!$A$8:$C$162,2,FALSE)*VLOOKUP(V$11,'Attrition Modeling'!$L$15:$N$27,IF(V$12-$F35&lt;=24,2,3),FALSE))*(1+IF('Traditional Attrition'!V157&gt;0,'Attrition Modeling'!$N$9,0))),0))</f>
        <v>0</v>
      </c>
      <c r="W35" s="799">
        <f>IF(W$12=$F35+1,IF(Monthly!S$4=TRUE,0,W$3),IF(W$12&gt;$F35+1,RentalsVacates!V35*(1-IF(W$12-$F35&lt;=12,SUMIFS('Attrition Modeling'!$D:$D,'Attrition Modeling'!$B:$B,$E35,'Attrition Modeling'!$C:$C,W$11),VLOOKUP(RentalsVacates!W$12-RentalsVacates!$F35-1,RentalsVacates!$A$8:$C$162,2,FALSE)*VLOOKUP(W$11,'Attrition Modeling'!$L$15:$N$27,IF(W$12-$F35&lt;=24,2,3),FALSE))*(1+IF('Traditional Attrition'!W157&gt;0,'Attrition Modeling'!$N$9,0))),0))</f>
        <v>0</v>
      </c>
      <c r="X35" s="799">
        <f>IF(X$12=$F35+1,IF(Monthly!T$4=TRUE,0,X$3),IF(X$12&gt;$F35+1,RentalsVacates!W35*(1-IF(X$12-$F35&lt;=12,SUMIFS('Attrition Modeling'!$D:$D,'Attrition Modeling'!$B:$B,$E35,'Attrition Modeling'!$C:$C,X$11),VLOOKUP(RentalsVacates!X$12-RentalsVacates!$F35-1,RentalsVacates!$A$8:$C$162,2,FALSE)*VLOOKUP(X$11,'Attrition Modeling'!$L$15:$N$27,IF(X$12-$F35&lt;=24,2,3),FALSE))*(1+IF('Traditional Attrition'!X157&gt;0,'Attrition Modeling'!$N$9,0))),0))</f>
        <v>0</v>
      </c>
      <c r="Y35" s="799">
        <f>IF(Y$12=$F35+1,IF(Monthly!U$4=TRUE,0,Y$3),IF(Y$12&gt;$F35+1,RentalsVacates!X35*(1-IF(Y$12-$F35&lt;=12,SUMIFS('Attrition Modeling'!$D:$D,'Attrition Modeling'!$B:$B,$E35,'Attrition Modeling'!$C:$C,Y$11),VLOOKUP(RentalsVacates!Y$12-RentalsVacates!$F35-1,RentalsVacates!$A$8:$C$162,2,FALSE)*VLOOKUP(Y$11,'Attrition Modeling'!$L$15:$N$27,IF(Y$12-$F35&lt;=24,2,3),FALSE))*(1+IF('Traditional Attrition'!Y157&gt;0,'Attrition Modeling'!$N$9,0))),0))</f>
        <v>0</v>
      </c>
      <c r="Z35" s="799">
        <f>IF(Z$12=$F35+1,IF(Monthly!V$4=TRUE,0,Z$3),IF(Z$12&gt;$F35+1,RentalsVacates!Y35*(1-IF(Z$12-$F35&lt;=12,SUMIFS('Attrition Modeling'!$D:$D,'Attrition Modeling'!$B:$B,$E35,'Attrition Modeling'!$C:$C,Z$11),VLOOKUP(RentalsVacates!Z$12-RentalsVacates!$F35-1,RentalsVacates!$A$8:$C$162,2,FALSE)*VLOOKUP(Z$11,'Attrition Modeling'!$L$15:$N$27,IF(Z$12-$F35&lt;=24,2,3),FALSE))*(1+IF('Traditional Attrition'!Z157&gt;0,'Attrition Modeling'!$N$9,0))),0))</f>
        <v>0</v>
      </c>
      <c r="AA35" s="799">
        <f>IF(AA$12=$F35+1,IF(Monthly!W$4=TRUE,0,AA$3),IF(AA$12&gt;$F35+1,RentalsVacates!Z35*(1-IF(AA$12-$F35&lt;=12,SUMIFS('Attrition Modeling'!$D:$D,'Attrition Modeling'!$B:$B,$E35,'Attrition Modeling'!$C:$C,AA$11),VLOOKUP(RentalsVacates!AA$12-RentalsVacates!$F35-1,RentalsVacates!$A$8:$C$162,2,FALSE)*VLOOKUP(AA$11,'Attrition Modeling'!$L$15:$N$27,IF(AA$12-$F35&lt;=24,2,3),FALSE))*(1+IF('Traditional Attrition'!AA157&gt;0,'Attrition Modeling'!$N$9,0))),0))</f>
        <v>0</v>
      </c>
      <c r="AB35" s="799">
        <f>IF(AB$12=$F35+1,IF(Monthly!X$4=TRUE,0,AB$3),IF(AB$12&gt;$F35+1,RentalsVacates!AA35*(1-IF(AB$12-$F35&lt;=12,SUMIFS('Attrition Modeling'!$D:$D,'Attrition Modeling'!$B:$B,$E35,'Attrition Modeling'!$C:$C,AB$11),VLOOKUP(RentalsVacates!AB$12-RentalsVacates!$F35-1,RentalsVacates!$A$8:$C$162,2,FALSE)*VLOOKUP(AB$11,'Attrition Modeling'!$L$15:$N$27,IF(AB$12-$F35&lt;=24,2,3),FALSE))*(1+IF('Traditional Attrition'!AB157&gt;0,'Attrition Modeling'!$N$9,0))),0))</f>
        <v>0</v>
      </c>
      <c r="AC35" s="799">
        <f>IF(AC$12=$F35+1,IF(Monthly!Y$4=TRUE,0,AC$3),IF(AC$12&gt;$F35+1,RentalsVacates!AB35*(1-IF(AC$12-$F35&lt;=12,SUMIFS('Attrition Modeling'!$D:$D,'Attrition Modeling'!$B:$B,$E35,'Attrition Modeling'!$C:$C,AC$11),VLOOKUP(RentalsVacates!AC$12-RentalsVacates!$F35-1,RentalsVacates!$A$8:$C$162,2,FALSE)*VLOOKUP(AC$11,'Attrition Modeling'!$L$15:$N$27,IF(AC$12-$F35&lt;=24,2,3),FALSE))*(1+IF('Traditional Attrition'!AC157&gt;0,'Attrition Modeling'!$N$9,0))),0))</f>
        <v>0</v>
      </c>
      <c r="AD35" s="799">
        <f>IF(AD$12=$F35+1,IF(Monthly!Z$4=TRUE,0,AD$3),IF(AD$12&gt;$F35+1,RentalsVacates!AC35*(1-IF(AD$12-$F35&lt;=12,SUMIFS('Attrition Modeling'!$D:$D,'Attrition Modeling'!$B:$B,$E35,'Attrition Modeling'!$C:$C,AD$11),VLOOKUP(RentalsVacates!AD$12-RentalsVacates!$F35-1,RentalsVacates!$A$8:$C$162,2,FALSE)*VLOOKUP(AD$11,'Attrition Modeling'!$L$15:$N$27,IF(AD$12-$F35&lt;=24,2,3),FALSE))*(1+IF('Traditional Attrition'!AD157&gt;0,'Attrition Modeling'!$N$9,0))),0))</f>
        <v>7401.918928222789</v>
      </c>
      <c r="AE35" s="799">
        <f>IF(AE$12=$F35+1,IF(Monthly!AA$4=TRUE,0,AE$3),IF(AE$12&gt;$F35+1,RentalsVacates!AD35*(1-IF(AE$12-$F35&lt;=12,SUMIFS('Attrition Modeling'!$D:$D,'Attrition Modeling'!$B:$B,$E35,'Attrition Modeling'!$C:$C,AE$11),VLOOKUP(RentalsVacates!AE$12-RentalsVacates!$F35-1,RentalsVacates!$A$8:$C$162,2,FALSE)*VLOOKUP(AE$11,'Attrition Modeling'!$L$15:$N$27,IF(AE$12-$F35&lt;=24,2,3),FALSE))*(1+IF('Traditional Attrition'!AE157&gt;0,'Attrition Modeling'!$N$9,0))),0))</f>
        <v>6651.5530978336674</v>
      </c>
      <c r="AF35" s="799">
        <f>IF(AF$12=$F35+1,IF(Monthly!AB$4=TRUE,0,AF$3),IF(AF$12&gt;$F35+1,RentalsVacates!AE35*(1-IF(AF$12-$F35&lt;=12,SUMIFS('Attrition Modeling'!$D:$D,'Attrition Modeling'!$B:$B,$E35,'Attrition Modeling'!$C:$C,AF$11),VLOOKUP(RentalsVacates!AF$12-RentalsVacates!$F35-1,RentalsVacates!$A$8:$C$162,2,FALSE)*VLOOKUP(AF$11,'Attrition Modeling'!$L$15:$N$27,IF(AF$12-$F35&lt;=24,2,3),FALSE))*(1+IF('Traditional Attrition'!AF157&gt;0,'Attrition Modeling'!$N$9,0))),0))</f>
        <v>6125.2850769008992</v>
      </c>
      <c r="AG35" s="799">
        <f>IF(AG$12=$F35+1,IF(Monthly!AC$4=TRUE,0,AG$3),IF(AG$12&gt;$F35+1,RentalsVacates!AF35*(1-IF(AG$12-$F35&lt;=12,SUMIFS('Attrition Modeling'!$D:$D,'Attrition Modeling'!$B:$B,$E35,'Attrition Modeling'!$C:$C,AG$11),VLOOKUP(RentalsVacates!AG$12-RentalsVacates!$F35-1,RentalsVacates!$A$8:$C$162,2,FALSE)*VLOOKUP(AG$11,'Attrition Modeling'!$L$15:$N$27,IF(AG$12-$F35&lt;=24,2,3),FALSE))*(1+IF('Traditional Attrition'!AG157&gt;0,'Attrition Modeling'!$N$9,0))),0))</f>
        <v>5632.7924333001192</v>
      </c>
      <c r="AH35" s="799">
        <f>IF(AH$12=$F35+1,IF(Monthly!AD$4=TRUE,0,AH$3),IF(AH$12&gt;$F35+1,RentalsVacates!AG35*(1-IF(AH$12-$F35&lt;=12,SUMIFS('Attrition Modeling'!$D:$D,'Attrition Modeling'!$B:$B,$E35,'Attrition Modeling'!$C:$C,AH$11),VLOOKUP(RentalsVacates!AH$12-RentalsVacates!$F35-1,RentalsVacates!$A$8:$C$162,2,FALSE)*VLOOKUP(AH$11,'Attrition Modeling'!$L$15:$N$27,IF(AH$12-$F35&lt;=24,2,3),FALSE))*(1+IF('Traditional Attrition'!AH157&gt;0,'Attrition Modeling'!$N$9,0))),0))</f>
        <v>5163.2283234557435</v>
      </c>
      <c r="AI35" s="799">
        <f>IF(AI$12=$F35+1,IF(Monthly!AE$4=TRUE,0,AI$3),IF(AI$12&gt;$F35+1,RentalsVacates!AH35*(1-IF(AI$12-$F35&lt;=12,SUMIFS('Attrition Modeling'!$D:$D,'Attrition Modeling'!$B:$B,$E35,'Attrition Modeling'!$C:$C,AI$11),VLOOKUP(RentalsVacates!AI$12-RentalsVacates!$F35-1,RentalsVacates!$A$8:$C$162,2,FALSE)*VLOOKUP(AI$11,'Attrition Modeling'!$L$15:$N$27,IF(AI$12-$F35&lt;=24,2,3),FALSE))*(1+IF('Traditional Attrition'!AI157&gt;0,'Attrition Modeling'!$N$9,0))),0))</f>
        <v>4606.7090977188409</v>
      </c>
      <c r="AJ35" s="799">
        <f>IF(AJ$12=$F35+1,IF(Monthly!AF$4=TRUE,0,AJ$3),IF(AJ$12&gt;$F35+1,RentalsVacates!AI35*(1-IF(AJ$12-$F35&lt;=12,SUMIFS('Attrition Modeling'!$D:$D,'Attrition Modeling'!$B:$B,$E35,'Attrition Modeling'!$C:$C,AJ$11),VLOOKUP(RentalsVacates!AJ$12-RentalsVacates!$F35-1,RentalsVacates!$A$8:$C$162,2,FALSE)*VLOOKUP(AJ$11,'Attrition Modeling'!$L$15:$N$27,IF(AJ$12-$F35&lt;=24,2,3),FALSE))*(1+IF('Traditional Attrition'!AJ157&gt;0,'Attrition Modeling'!$N$9,0))),0))</f>
        <v>4249.5510335068811</v>
      </c>
      <c r="AK35" s="799">
        <f>IF(AK$12=$F35+1,IF(Monthly!AG$4=TRUE,0,AK$3),IF(AK$12&gt;$F35+1,RentalsVacates!AJ35*(1-IF(AK$12-$F35&lt;=12,SUMIFS('Attrition Modeling'!$D:$D,'Attrition Modeling'!$B:$B,$E35,'Attrition Modeling'!$C:$C,AK$11),VLOOKUP(RentalsVacates!AK$12-RentalsVacates!$F35-1,RentalsVacates!$A$8:$C$162,2,FALSE)*VLOOKUP(AK$11,'Attrition Modeling'!$L$15:$N$27,IF(AK$12-$F35&lt;=24,2,3),FALSE))*(1+IF('Traditional Attrition'!AK157&gt;0,'Attrition Modeling'!$N$9,0))),0))</f>
        <v>3960.4593461406894</v>
      </c>
      <c r="AL35" s="799">
        <f>IF(AL$12=$F35+1,IF(Monthly!AH$4=TRUE,0,AL$3),IF(AL$12&gt;$F35+1,RentalsVacates!AK35*(1-IF(AL$12-$F35&lt;=12,SUMIFS('Attrition Modeling'!$D:$D,'Attrition Modeling'!$B:$B,$E35,'Attrition Modeling'!$C:$C,AL$11),VLOOKUP(RentalsVacates!AL$12-RentalsVacates!$F35-1,RentalsVacates!$A$8:$C$162,2,FALSE)*VLOOKUP(AL$11,'Attrition Modeling'!$L$15:$N$27,IF(AL$12-$F35&lt;=24,2,3),FALSE))*(1+IF('Traditional Attrition'!AL157&gt;0,'Attrition Modeling'!$N$9,0))),0))</f>
        <v>3707.6227501820117</v>
      </c>
      <c r="AM35" s="799">
        <f>IF(AM$12=$F35+1,IF(Monthly!AI$4=TRUE,0,AM$3),IF(AM$12&gt;$F35+1,RentalsVacates!AL35*(1-IF(AM$12-$F35&lt;=12,SUMIFS('Attrition Modeling'!$D:$D,'Attrition Modeling'!$B:$B,$E35,'Attrition Modeling'!$C:$C,AM$11),VLOOKUP(RentalsVacates!AM$12-RentalsVacates!$F35-1,RentalsVacates!$A$8:$C$162,2,FALSE)*VLOOKUP(AM$11,'Attrition Modeling'!$L$15:$N$27,IF(AM$12-$F35&lt;=24,2,3),FALSE))*(1+IF('Traditional Attrition'!AM157&gt;0,'Attrition Modeling'!$N$9,0))),0))</f>
        <v>3463.1373973541172</v>
      </c>
      <c r="AN35" s="799">
        <f>IF(AN$12=$F35+1,IF(Monthly!AJ$4=TRUE,0,AN$3),IF(AN$12&gt;$F35+1,RentalsVacates!AM35*(1-IF(AN$12-$F35&lt;=12,SUMIFS('Attrition Modeling'!$D:$D,'Attrition Modeling'!$B:$B,$E35,'Attrition Modeling'!$C:$C,AN$11),VLOOKUP(RentalsVacates!AN$12-RentalsVacates!$F35-1,RentalsVacates!$A$8:$C$162,2,FALSE)*VLOOKUP(AN$11,'Attrition Modeling'!$L$15:$N$27,IF(AN$12-$F35&lt;=24,2,3),FALSE))*(1+IF('Traditional Attrition'!AN157&gt;0,'Attrition Modeling'!$N$9,0))),0))</f>
        <v>3239.9022100970856</v>
      </c>
      <c r="AO35" s="799">
        <f>IF(AO$12=$F35+1,IF(Monthly!AK$4=TRUE,0,AO$3),IF(AO$12&gt;$F35+1,RentalsVacates!AN35*(1-IF(AO$12-$F35&lt;=12,SUMIFS('Attrition Modeling'!$D:$D,'Attrition Modeling'!$B:$B,$E35,'Attrition Modeling'!$C:$C,AO$11),VLOOKUP(RentalsVacates!AO$12-RentalsVacates!$F35-1,RentalsVacates!$A$8:$C$162,2,FALSE)*VLOOKUP(AO$11,'Attrition Modeling'!$L$15:$N$27,IF(AO$12-$F35&lt;=24,2,3),FALSE))*(1+IF('Traditional Attrition'!AO157&gt;0,'Attrition Modeling'!$N$9,0))),0))</f>
        <v>3127.9562017611925</v>
      </c>
      <c r="AP35" s="799">
        <f>IF(AP$12=$F35+1,IF(Monthly!AL$4=TRUE,0,AP$3),IF(AP$12&gt;$F35+1,RentalsVacates!AO35*(1-IF(AP$12-$F35&lt;=12,SUMIFS('Attrition Modeling'!$D:$D,'Attrition Modeling'!$B:$B,$E35,'Attrition Modeling'!$C:$C,AP$11),VLOOKUP(RentalsVacates!AP$12-RentalsVacates!$F35-1,RentalsVacates!$A$8:$C$162,2,FALSE)*VLOOKUP(AP$11,'Attrition Modeling'!$L$15:$N$27,IF(AP$12-$F35&lt;=24,2,3),FALSE))*(1+IF('Traditional Attrition'!AP157&gt;0,'Attrition Modeling'!$N$9,0))),0))</f>
        <v>2957.9253294023815</v>
      </c>
      <c r="AQ35" s="799">
        <f>IF(AQ$12=$F35+1,IF(Monthly!AM$4=TRUE,0,AQ$3),IF(AQ$12&gt;$F35+1,RentalsVacates!AP35*(1-IF(AQ$12-$F35&lt;=12,SUMIFS('Attrition Modeling'!$D:$D,'Attrition Modeling'!$B:$B,$E35,'Attrition Modeling'!$C:$C,AQ$11),VLOOKUP(RentalsVacates!AQ$12-RentalsVacates!$F35-1,RentalsVacates!$A$8:$C$162,2,FALSE)*VLOOKUP(AQ$11,'Attrition Modeling'!$L$15:$N$27,IF(AQ$12-$F35&lt;=24,2,3),FALSE))*(1+IF('Traditional Attrition'!AQ157&gt;0,'Attrition Modeling'!$N$9,0))),0))</f>
        <v>2811.1150894605789</v>
      </c>
      <c r="AR35" s="799">
        <f>IF(AR$12=$F35+1,IF(Monthly!AN$4=TRUE,0,AR$3),IF(AR$12&gt;$F35+1,RentalsVacates!AQ35*(1-IF(AR$12-$F35&lt;=12,SUMIFS('Attrition Modeling'!$D:$D,'Attrition Modeling'!$B:$B,$E35,'Attrition Modeling'!$C:$C,AR$11),VLOOKUP(RentalsVacates!AR$12-RentalsVacates!$F35-1,RentalsVacates!$A$8:$C$162,2,FALSE)*VLOOKUP(AR$11,'Attrition Modeling'!$L$15:$N$27,IF(AR$12-$F35&lt;=24,2,3),FALSE))*(1+IF('Traditional Attrition'!AR157&gt;0,'Attrition Modeling'!$N$9,0))),0))</f>
        <v>2678.3034523812521</v>
      </c>
      <c r="AS35" s="799">
        <f>IF(AS$12=$F35+1,IF(Monthly!AO$4=TRUE,0,AS$3),IF(AS$12&gt;$F35+1,RentalsVacates!AR35*(1-IF(AS$12-$F35&lt;=12,SUMIFS('Attrition Modeling'!$D:$D,'Attrition Modeling'!$B:$B,$E35,'Attrition Modeling'!$C:$C,AS$11),VLOOKUP(RentalsVacates!AS$12-RentalsVacates!$F35-1,RentalsVacates!$A$8:$C$162,2,FALSE)*VLOOKUP(AS$11,'Attrition Modeling'!$L$15:$N$27,IF(AS$12-$F35&lt;=24,2,3),FALSE))*(1+IF('Traditional Attrition'!AS157&gt;0,'Attrition Modeling'!$N$9,0))),0))</f>
        <v>2568.3236420872454</v>
      </c>
      <c r="AT35" s="799">
        <f>IF(AT$12=$F35+1,IF(Monthly!AP$4=TRUE,0,AT$3),IF(AT$12&gt;$F35+1,RentalsVacates!AS35*(1-IF(AT$12-$F35&lt;=12,SUMIFS('Attrition Modeling'!$D:$D,'Attrition Modeling'!$B:$B,$E35,'Attrition Modeling'!$C:$C,AT$11),VLOOKUP(RentalsVacates!AT$12-RentalsVacates!$F35-1,RentalsVacates!$A$8:$C$162,2,FALSE)*VLOOKUP(AT$11,'Attrition Modeling'!$L$15:$N$27,IF(AT$12-$F35&lt;=24,2,3),FALSE))*(1+IF('Traditional Attrition'!AT157&gt;0,'Attrition Modeling'!$N$9,0))),0))</f>
        <v>2456.8962581804331</v>
      </c>
      <c r="AU35" s="799">
        <f>IF(AU$12=$F35+1,IF(Monthly!AQ$4=TRUE,0,AU$3),IF(AU$12&gt;$F35+1,RentalsVacates!AT35*(1-IF(AU$12-$F35&lt;=12,SUMIFS('Attrition Modeling'!$D:$D,'Attrition Modeling'!$B:$B,$E35,'Attrition Modeling'!$C:$C,AU$11),VLOOKUP(RentalsVacates!AU$12-RentalsVacates!$F35-1,RentalsVacates!$A$8:$C$162,2,FALSE)*VLOOKUP(AU$11,'Attrition Modeling'!$L$15:$N$27,IF(AU$12-$F35&lt;=24,2,3),FALSE))*(1+IF('Traditional Attrition'!AU157&gt;0,'Attrition Modeling'!$N$9,0))),0))</f>
        <v>2334.2436756607231</v>
      </c>
      <c r="AV35" s="799">
        <f>IF(AV$12=$F35+1,IF(Monthly!AR$4=TRUE,0,AV$3),IF(AV$12&gt;$F35+1,RentalsVacates!AU35*(1-IF(AV$12-$F35&lt;=12,SUMIFS('Attrition Modeling'!$D:$D,'Attrition Modeling'!$B:$B,$E35,'Attrition Modeling'!$C:$C,AV$11),VLOOKUP(RentalsVacates!AV$12-RentalsVacates!$F35-1,RentalsVacates!$A$8:$C$162,2,FALSE)*VLOOKUP(AV$11,'Attrition Modeling'!$L$15:$N$27,IF(AV$12-$F35&lt;=24,2,3),FALSE))*(1+IF('Traditional Attrition'!AV157&gt;0,'Attrition Modeling'!$N$9,0))),0))</f>
        <v>2239.8985872564908</v>
      </c>
      <c r="AW35" s="799">
        <f>IF(AW$12=$F35+1,IF(Monthly!AS$4=TRUE,0,AW$3),IF(AW$12&gt;$F35+1,RentalsVacates!AV35*(1-IF(AW$12-$F35&lt;=12,SUMIFS('Attrition Modeling'!$D:$D,'Attrition Modeling'!$B:$B,$E35,'Attrition Modeling'!$C:$C,AW$11),VLOOKUP(RentalsVacates!AW$12-RentalsVacates!$F35-1,RentalsVacates!$A$8:$C$162,2,FALSE)*VLOOKUP(AW$11,'Attrition Modeling'!$L$15:$N$27,IF(AW$12-$F35&lt;=24,2,3),FALSE))*(1+IF('Traditional Attrition'!AW157&gt;0,'Attrition Modeling'!$N$9,0))),0))</f>
        <v>2142.3945521866667</v>
      </c>
      <c r="AX35" s="799">
        <f>IF(AX$12=$F35+1,IF(Monthly!AT$4=TRUE,0,AX$3),IF(AX$12&gt;$F35+1,RentalsVacates!AW35*(1-IF(AX$12-$F35&lt;=12,SUMIFS('Attrition Modeling'!$D:$D,'Attrition Modeling'!$B:$B,$E35,'Attrition Modeling'!$C:$C,AX$11),VLOOKUP(RentalsVacates!AX$12-RentalsVacates!$F35-1,RentalsVacates!$A$8:$C$162,2,FALSE)*VLOOKUP(AX$11,'Attrition Modeling'!$L$15:$N$27,IF(AX$12-$F35&lt;=24,2,3),FALSE))*(1+IF('Traditional Attrition'!AX157&gt;0,'Attrition Modeling'!$N$9,0))),0))</f>
        <v>2048.5583353170678</v>
      </c>
      <c r="AY35" s="799">
        <f>IF(AY$12=$F35+1,IF(Monthly!AU$4=TRUE,0,AY$3),IF(AY$12&gt;$F35+1,RentalsVacates!AX35*(1-IF(AY$12-$F35&lt;=12,SUMIFS('Attrition Modeling'!$D:$D,'Attrition Modeling'!$B:$B,$E35,'Attrition Modeling'!$C:$C,AY$11),VLOOKUP(RentalsVacates!AY$12-RentalsVacates!$F35-1,RentalsVacates!$A$8:$C$162,2,FALSE)*VLOOKUP(AY$11,'Attrition Modeling'!$L$15:$N$27,IF(AY$12-$F35&lt;=24,2,3),FALSE))*(1+IF('Traditional Attrition'!AY157&gt;0,'Attrition Modeling'!$N$9,0))),0))</f>
        <v>1956.3204741475236</v>
      </c>
      <c r="AZ35" s="799">
        <f>IF(AZ$12=$F35+1,IF(Monthly!AV$4=TRUE,0,AZ$3),IF(AZ$12&gt;$F35+1,RentalsVacates!AY35*(1-IF(AZ$12-$F35&lt;=12,SUMIFS('Attrition Modeling'!$D:$D,'Attrition Modeling'!$B:$B,$E35,'Attrition Modeling'!$C:$C,AZ$11),VLOOKUP(RentalsVacates!AZ$12-RentalsVacates!$F35-1,RentalsVacates!$A$8:$C$162,2,FALSE)*VLOOKUP(AZ$11,'Attrition Modeling'!$L$15:$N$27,IF(AZ$12-$F35&lt;=24,2,3),FALSE))*(1+IF('Traditional Attrition'!AZ157&gt;0,'Attrition Modeling'!$N$9,0))),0))</f>
        <v>1877.1461375811302</v>
      </c>
      <c r="BA35" s="799">
        <f>IF(BA$12=$F35+1,IF(Monthly!AW$4=TRUE,0,BA$3),IF(BA$12&gt;$F35+1,RentalsVacates!AZ35*(1-IF(BA$12-$F35&lt;=12,SUMIFS('Attrition Modeling'!$D:$D,'Attrition Modeling'!$B:$B,$E35,'Attrition Modeling'!$C:$C,BA$11),VLOOKUP(RentalsVacates!BA$12-RentalsVacates!$F35-1,RentalsVacates!$A$8:$C$162,2,FALSE)*VLOOKUP(BA$11,'Attrition Modeling'!$L$15:$N$27,IF(BA$12-$F35&lt;=24,2,3),FALSE))*(1+IF('Traditional Attrition'!BA157&gt;0,'Attrition Modeling'!$N$9,0))),0))</f>
        <v>1800.4468650769895</v>
      </c>
      <c r="BB35" s="799">
        <f>IF(BB$12=$F35+1,IF(Monthly!AX$4=TRUE,0,BB$3),IF(BB$12&gt;$F35+1,RentalsVacates!BA35*(1-IF(BB$12-$F35&lt;=12,SUMIFS('Attrition Modeling'!$D:$D,'Attrition Modeling'!$B:$B,$E35,'Attrition Modeling'!$C:$C,BB$11),VLOOKUP(RentalsVacates!BB$12-RentalsVacates!$F35-1,RentalsVacates!$A$8:$C$162,2,FALSE)*VLOOKUP(BB$11,'Attrition Modeling'!$L$15:$N$27,IF(BB$12-$F35&lt;=24,2,3),FALSE))*(1+IF('Traditional Attrition'!BB157&gt;0,'Attrition Modeling'!$N$9,0))),0))</f>
        <v>1730.0904481819689</v>
      </c>
      <c r="BC35" s="799">
        <f>IF(BC$12=$F35+1,IF(Monthly!AY$4=TRUE,0,BC$3),IF(BC$12&gt;$F35+1,RentalsVacates!BB35*(1-IF(BC$12-$F35&lt;=12,SUMIFS('Attrition Modeling'!$D:$D,'Attrition Modeling'!$B:$B,$E35,'Attrition Modeling'!$C:$C,BC$11),VLOOKUP(RentalsVacates!BC$12-RentalsVacates!$F35-1,RentalsVacates!$A$8:$C$162,2,FALSE)*VLOOKUP(BC$11,'Attrition Modeling'!$L$15:$N$27,IF(BC$12-$F35&lt;=24,2,3),FALSE))*(1+IF('Traditional Attrition'!BC157&gt;0,'Attrition Modeling'!$N$9,0))),0))</f>
        <v>1675.1535129881863</v>
      </c>
      <c r="BD35" s="799">
        <f>IF(BD$12=$F35+1,IF(Monthly!AZ$4=TRUE,0,BD$3),IF(BD$12&gt;$F35+1,RentalsVacates!BC35*(1-IF(BD$12-$F35&lt;=12,SUMIFS('Attrition Modeling'!$D:$D,'Attrition Modeling'!$B:$B,$E35,'Attrition Modeling'!$C:$C,BD$11),VLOOKUP(RentalsVacates!BD$12-RentalsVacates!$F35-1,RentalsVacates!$A$8:$C$162,2,FALSE)*VLOOKUP(BD$11,'Attrition Modeling'!$L$15:$N$27,IF(BD$12-$F35&lt;=24,2,3),FALSE))*(1+IF('Traditional Attrition'!BD157&gt;0,'Attrition Modeling'!$N$9,0))),0))</f>
        <v>1617.0613936775405</v>
      </c>
      <c r="BE35" s="799">
        <f>IF(BE$12=$F35+1,IF(Monthly!BA$4=TRUE,0,BE$3),IF(BE$12&gt;$F35+1,RentalsVacates!BD35*(1-IF(BE$12-$F35&lt;=12,SUMIFS('Attrition Modeling'!$D:$D,'Attrition Modeling'!$B:$B,$E35,'Attrition Modeling'!$C:$C,BE$11),VLOOKUP(RentalsVacates!BE$12-RentalsVacates!$F35-1,RentalsVacates!$A$8:$C$162,2,FALSE)*VLOOKUP(BE$11,'Attrition Modeling'!$L$15:$N$27,IF(BE$12-$F35&lt;=24,2,3),FALSE))*(1+IF('Traditional Attrition'!BE157&gt;0,'Attrition Modeling'!$N$9,0))),0))</f>
        <v>1563.4592507119805</v>
      </c>
      <c r="BF35" s="799">
        <f>IF(BF$12=$F35+1,IF(Monthly!BB$4=TRUE,0,BF$3),IF(BF$12&gt;$F35+1,RentalsVacates!BE35*(1-IF(BF$12-$F35&lt;=12,SUMIFS('Attrition Modeling'!$D:$D,'Attrition Modeling'!$B:$B,$E35,'Attrition Modeling'!$C:$C,BF$11),VLOOKUP(RentalsVacates!BF$12-RentalsVacates!$F35-1,RentalsVacates!$A$8:$C$162,2,FALSE)*VLOOKUP(BF$11,'Attrition Modeling'!$L$15:$N$27,IF(BF$12-$F35&lt;=24,2,3),FALSE))*(1+IF('Traditional Attrition'!BF157&gt;0,'Attrition Modeling'!$N$9,0))),0))</f>
        <v>1514.4503403184337</v>
      </c>
      <c r="BG35" s="799">
        <f>IF(BG$12=$F35+1,IF(Monthly!BC$4=TRUE,0,BG$3),IF(BG$12&gt;$F35+1,RentalsVacates!BF35*(1-IF(BG$12-$F35&lt;=12,SUMIFS('Attrition Modeling'!$D:$D,'Attrition Modeling'!$B:$B,$E35,'Attrition Modeling'!$C:$C,BG$11),VLOOKUP(RentalsVacates!BG$12-RentalsVacates!$F35-1,RentalsVacates!$A$8:$C$162,2,FALSE)*VLOOKUP(BG$11,'Attrition Modeling'!$L$15:$N$27,IF(BG$12-$F35&lt;=24,2,3),FALSE))*(1+IF('Traditional Attrition'!BG157&gt;0,'Attrition Modeling'!$N$9,0))),0))</f>
        <v>1469.7143857093242</v>
      </c>
      <c r="BH35" s="799">
        <f>IF(BH$12=$F35+1,IF(Monthly!BD$4=TRUE,0,BH$3),IF(BH$12&gt;$F35+1,RentalsVacates!BG35*(1-IF(BH$12-$F35&lt;=12,SUMIFS('Attrition Modeling'!$D:$D,'Attrition Modeling'!$B:$B,$E35,'Attrition Modeling'!$C:$C,BH$11),VLOOKUP(RentalsVacates!BH$12-RentalsVacates!$F35-1,RentalsVacates!$A$8:$C$162,2,FALSE)*VLOOKUP(BH$11,'Attrition Modeling'!$L$15:$N$27,IF(BH$12-$F35&lt;=24,2,3),FALSE))*(1+IF('Traditional Attrition'!BH157&gt;0,'Attrition Modeling'!$N$9,0))),0))</f>
        <v>1426.5720182557238</v>
      </c>
      <c r="BI35" s="799">
        <f>IF(BI$12=$F35+1,IF(Monthly!BE$4=TRUE,0,BI$3),IF(BI$12&gt;$F35+1,RentalsVacates!BH35*(1-IF(BI$12-$F35&lt;=12,SUMIFS('Attrition Modeling'!$D:$D,'Attrition Modeling'!$B:$B,$E35,'Attrition Modeling'!$C:$C,BI$11),VLOOKUP(RentalsVacates!BI$12-RentalsVacates!$F35-1,RentalsVacates!$A$8:$C$162,2,FALSE)*VLOOKUP(BI$11,'Attrition Modeling'!$L$15:$N$27,IF(BI$12-$F35&lt;=24,2,3),FALSE))*(1+IF('Traditional Attrition'!BI157&gt;0,'Attrition Modeling'!$N$9,0))),0))</f>
        <v>1379.3513643411325</v>
      </c>
      <c r="BJ35" s="799">
        <f>IF(BJ$12=$F35+1,IF(Monthly!BF$4=TRUE,0,BJ$3),IF(BJ$12&gt;$F35+1,RentalsVacates!BI35*(1-IF(BJ$12-$F35&lt;=12,SUMIFS('Attrition Modeling'!$D:$D,'Attrition Modeling'!$B:$B,$E35,'Attrition Modeling'!$C:$C,BJ$11),VLOOKUP(RentalsVacates!BJ$12-RentalsVacates!$F35-1,RentalsVacates!$A$8:$C$162,2,FALSE)*VLOOKUP(BJ$11,'Attrition Modeling'!$L$15:$N$27,IF(BJ$12-$F35&lt;=24,2,3),FALSE))*(1+IF('Traditional Attrition'!BJ157&gt;0,'Attrition Modeling'!$N$9,0))),0))</f>
        <v>1330.188800614892</v>
      </c>
      <c r="BK35" s="799">
        <f>IF(BK$12=$F35+1,IF(Monthly!BG$4=TRUE,0,BK$3),IF(BK$12&gt;$F35+1,RentalsVacates!BJ35*(1-IF(BK$12-$F35&lt;=12,SUMIFS('Attrition Modeling'!$D:$D,'Attrition Modeling'!$B:$B,$E35,'Attrition Modeling'!$C:$C,BK$11),VLOOKUP(RentalsVacates!BK$12-RentalsVacates!$F35-1,RentalsVacates!$A$8:$C$162,2,FALSE)*VLOOKUP(BK$11,'Attrition Modeling'!$L$15:$N$27,IF(BK$12-$F35&lt;=24,2,3),FALSE))*(1+IF('Traditional Attrition'!BK157&gt;0,'Attrition Modeling'!$N$9,0))),0))</f>
        <v>1279.8605813434667</v>
      </c>
      <c r="BL35" s="799">
        <f>IF(BL$12=$F35+1,IF(Monthly!BH$4=TRUE,0,BL$3),IF(BL$12&gt;$F35+1,RentalsVacates!BK35*(1-IF(BL$12-$F35&lt;=12,SUMIFS('Attrition Modeling'!$D:$D,'Attrition Modeling'!$B:$B,$E35,'Attrition Modeling'!$C:$C,BL$11),VLOOKUP(RentalsVacates!BL$12-RentalsVacates!$F35-1,RentalsVacates!$A$8:$C$162,2,FALSE)*VLOOKUP(BL$11,'Attrition Modeling'!$L$15:$N$27,IF(BL$12-$F35&lt;=24,2,3),FALSE))*(1+IF('Traditional Attrition'!BL157&gt;0,'Attrition Modeling'!$N$9,0))),0))</f>
        <v>1234.896706676938</v>
      </c>
      <c r="BM35" s="799">
        <f>IF(BM$12=$F35+1,IF(Monthly!BI$4=TRUE,0,BM$3),IF(BM$12&gt;$F35+1,RentalsVacates!BL35*(1-IF(BM$12-$F35&lt;=12,SUMIFS('Attrition Modeling'!$D:$D,'Attrition Modeling'!$B:$B,$E35,'Attrition Modeling'!$C:$C,BM$11),VLOOKUP(RentalsVacates!BM$12-RentalsVacates!$F35-1,RentalsVacates!$A$8:$C$162,2,FALSE)*VLOOKUP(BM$11,'Attrition Modeling'!$L$15:$N$27,IF(BM$12-$F35&lt;=24,2,3),FALSE))*(1+IF('Traditional Attrition'!BM157&gt;0,'Attrition Modeling'!$N$9,0))),0))</f>
        <v>1193.4683450811972</v>
      </c>
      <c r="BN35" s="799">
        <f>IF(BN$12=$F35+1,IF(Monthly!BJ$4=TRUE,0,BN$3),IF(BN$12&gt;$F35+1,RentalsVacates!BM35*(1-IF(BN$12-$F35&lt;=12,SUMIFS('Attrition Modeling'!$D:$D,'Attrition Modeling'!$B:$B,$E35,'Attrition Modeling'!$C:$C,BN$11),VLOOKUP(RentalsVacates!BN$12-RentalsVacates!$F35-1,RentalsVacates!$A$8:$C$162,2,FALSE)*VLOOKUP(BN$11,'Attrition Modeling'!$L$15:$N$27,IF(BN$12-$F35&lt;=24,2,3),FALSE))*(1+IF('Traditional Attrition'!BN157&gt;0,'Attrition Modeling'!$N$9,0))),0))</f>
        <v>1154.7588044806078</v>
      </c>
      <c r="BO35" s="799">
        <f>IF(BO$12=$F35+1,IF(Monthly!BK$4=TRUE,0,BO$3),IF(BO$12&gt;$F35+1,RentalsVacates!BN35*(1-IF(BO$12-$F35&lt;=12,SUMIFS('Attrition Modeling'!$D:$D,'Attrition Modeling'!$B:$B,$E35,'Attrition Modeling'!$C:$C,BO$11),VLOOKUP(RentalsVacates!BO$12-RentalsVacates!$F35-1,RentalsVacates!$A$8:$C$162,2,FALSE)*VLOOKUP(BO$11,'Attrition Modeling'!$L$15:$N$27,IF(BO$12-$F35&lt;=24,2,3),FALSE))*(1+IF('Traditional Attrition'!BO157&gt;0,'Attrition Modeling'!$N$9,0))),0))</f>
        <v>1124.2225845466501</v>
      </c>
      <c r="BP35" s="799">
        <f>IF(BP$12=$F35+1,IF(Monthly!BL$4=TRUE,0,BP$3),IF(BP$12&gt;$F35+1,RentalsVacates!BO35*(1-IF(BP$12-$F35&lt;=12,SUMIFS('Attrition Modeling'!$D:$D,'Attrition Modeling'!$B:$B,$E35,'Attrition Modeling'!$C:$C,BP$11),VLOOKUP(RentalsVacates!BP$12-RentalsVacates!$F35-1,RentalsVacates!$A$8:$C$162,2,FALSE)*VLOOKUP(BP$11,'Attrition Modeling'!$L$15:$N$27,IF(BP$12-$F35&lt;=24,2,3),FALSE))*(1+IF('Traditional Attrition'!BP157&gt;0,'Attrition Modeling'!$N$9,0))),0))</f>
        <v>1091.6541298185059</v>
      </c>
      <c r="BQ35" s="799">
        <f>IF(BQ$12=$F35+1,IF(Monthly!BM$4=TRUE,0,BQ$3),IF(BQ$12&gt;$F35+1,RentalsVacates!BP35*(1-IF(BQ$12-$F35&lt;=12,SUMIFS('Attrition Modeling'!$D:$D,'Attrition Modeling'!$B:$B,$E35,'Attrition Modeling'!$C:$C,BQ$11),VLOOKUP(RentalsVacates!BQ$12-RentalsVacates!$F35-1,RentalsVacates!$A$8:$C$162,2,FALSE)*VLOOKUP(BQ$11,'Attrition Modeling'!$L$15:$N$27,IF(BQ$12-$F35&lt;=24,2,3),FALSE))*(1+IF('Traditional Attrition'!BQ157&gt;0,'Attrition Modeling'!$N$9,0))),0))</f>
        <v>1061.3365860481301</v>
      </c>
      <c r="BR35" s="799">
        <f>IF(BR$12=$F35+1,IF(Monthly!BN$4=TRUE,0,BR$3),IF(BR$12&gt;$F35+1,RentalsVacates!BQ35*(1-IF(BR$12-$F35&lt;=12,SUMIFS('Attrition Modeling'!$D:$D,'Attrition Modeling'!$B:$B,$E35,'Attrition Modeling'!$C:$C,BR$11),VLOOKUP(RentalsVacates!BR$12-RentalsVacates!$F35-1,RentalsVacates!$A$8:$C$162,2,FALSE)*VLOOKUP(BR$11,'Attrition Modeling'!$L$15:$N$27,IF(BR$12-$F35&lt;=24,2,3),FALSE))*(1+IF('Traditional Attrition'!BR157&gt;0,'Attrition Modeling'!$N$9,0))),0))</f>
        <v>1033.3860433368959</v>
      </c>
      <c r="BS35" s="799">
        <f>IF(BS$12=$F35+1,IF(Monthly!BO$4=TRUE,0,BS$3),IF(BS$12&gt;$F35+1,RentalsVacates!BR35*(1-IF(BS$12-$F35&lt;=12,SUMIFS('Attrition Modeling'!$D:$D,'Attrition Modeling'!$B:$B,$E35,'Attrition Modeling'!$C:$C,BS$11),VLOOKUP(RentalsVacates!BS$12-RentalsVacates!$F35-1,RentalsVacates!$A$8:$C$162,2,FALSE)*VLOOKUP(BS$11,'Attrition Modeling'!$L$15:$N$27,IF(BS$12-$F35&lt;=24,2,3),FALSE))*(1+IF('Traditional Attrition'!BS157&gt;0,'Attrition Modeling'!$N$9,0))),0))</f>
        <v>1007.6738745886125</v>
      </c>
      <c r="BT35" s="799">
        <f>IF(BT$11=$F34+1,IF(Monthly!#REF!=TRUE,0,BT$3),IF(BT$11&gt;$F34+1,RentalsVacates!BS34*(1-IF(BT$11-$F34&lt;=12,SUMIFS('Attrition Modeling'!$D:$D,'Attrition Modeling'!$B:$B,$E34,'Attrition Modeling'!$C:$C,BT$10),VLOOKUP(RentalsVacates!BT$11-RentalsVacates!$F34-1,RentalsVacates!$A$7:$C$161,2,FALSE)*VLOOKUP(BT$10,'Attrition Modeling'!$L$15:$N$27,IF(BT$11-$F34&lt;=24,2,3),FALSE))*(1+IF('Traditional Attrition'!BT157&gt;0,'Attrition Modeling'!$N$9,0))),0))</f>
        <v>0</v>
      </c>
      <c r="BU35" s="799">
        <f>IF(BU$11=$F34+1,IF(Monthly!#REF!=TRUE,0,BU$3),IF(BU$11&gt;$F34+1,RentalsVacates!BT34*(1-IF(BU$11-$F34&lt;=12,SUMIFS('Attrition Modeling'!$D:$D,'Attrition Modeling'!$B:$B,$E34,'Attrition Modeling'!$C:$C,BU$10),VLOOKUP(RentalsVacates!BU$11-RentalsVacates!$F34-1,RentalsVacates!$A$7:$C$161,2,FALSE)*VLOOKUP(BU$10,'Attrition Modeling'!$L$15:$N$27,IF(BU$11-$F34&lt;=24,2,3),FALSE))*(1+IF('Traditional Attrition'!BU157&gt;0,'Attrition Modeling'!$N$9,0))),0))</f>
        <v>0</v>
      </c>
    </row>
    <row r="36" spans="1:73" ht="14.25" customHeight="1" x14ac:dyDescent="0.2">
      <c r="A36" s="9">
        <v>28</v>
      </c>
      <c r="B36" s="25">
        <f>MAX('Attrition Modeling'!H32,$C$3)*(1-Summary!$C$20)</f>
        <v>3.4007973058436711E-2</v>
      </c>
      <c r="C36" s="24" t="e">
        <f t="shared" si="2"/>
        <v>#DIV/0!</v>
      </c>
      <c r="E36" s="11">
        <f>'Traditional Attrition'!E93</f>
        <v>11</v>
      </c>
      <c r="F36" s="11">
        <f t="shared" si="4"/>
        <v>23</v>
      </c>
      <c r="G36" s="799"/>
      <c r="H36" s="799">
        <f>IF(H$12=$F36+1,IF(Monthly!D$4=TRUE,0,H$3),IF(H$12&gt;$F36+1,RentalsVacates!G36*(1-IF(H$12-$F36&lt;=12,SUMIFS('Attrition Modeling'!$D:$D,'Attrition Modeling'!$B:$B,$E36,'Attrition Modeling'!$C:$C,H$11),VLOOKUP(RentalsVacates!H$12-RentalsVacates!$F36-1,RentalsVacates!$A$8:$C$162,2,FALSE)*VLOOKUP(H$11,'Attrition Modeling'!$L$15:$N$27,IF(H$12-$F36&lt;=24,2,3),FALSE))*(1+IF('Traditional Attrition'!H158&gt;0,'Attrition Modeling'!$N$9,0))),0))</f>
        <v>0</v>
      </c>
      <c r="I36" s="799">
        <f>IF(I$12=$F36+1,IF(Monthly!E$4=TRUE,0,I$3),IF(I$12&gt;$F36+1,RentalsVacates!H36*(1-IF(I$12-$F36&lt;=12,SUMIFS('Attrition Modeling'!$D:$D,'Attrition Modeling'!$B:$B,$E36,'Attrition Modeling'!$C:$C,I$11),VLOOKUP(RentalsVacates!I$12-RentalsVacates!$F36-1,RentalsVacates!$A$8:$C$162,2,FALSE)*VLOOKUP(I$11,'Attrition Modeling'!$L$15:$N$27,IF(I$12-$F36&lt;=24,2,3),FALSE))*(1+IF('Traditional Attrition'!I158&gt;0,'Attrition Modeling'!$N$9,0))),0))</f>
        <v>0</v>
      </c>
      <c r="J36" s="799">
        <f>IF(J$12=$F36+1,IF(Monthly!F$4=TRUE,0,J$3),IF(J$12&gt;$F36+1,RentalsVacates!I36*(1-IF(J$12-$F36&lt;=12,SUMIFS('Attrition Modeling'!$D:$D,'Attrition Modeling'!$B:$B,$E36,'Attrition Modeling'!$C:$C,J$11),VLOOKUP(RentalsVacates!J$12-RentalsVacates!$F36-1,RentalsVacates!$A$8:$C$162,2,FALSE)*VLOOKUP(J$11,'Attrition Modeling'!$L$15:$N$27,IF(J$12-$F36&lt;=24,2,3),FALSE))*(1+IF('Traditional Attrition'!J158&gt;0,'Attrition Modeling'!$N$9,0))),0))</f>
        <v>0</v>
      </c>
      <c r="K36" s="799">
        <f>IF(K$12=$F36+1,IF(Monthly!G$4=TRUE,0,K$3),IF(K$12&gt;$F36+1,RentalsVacates!J36*(1-IF(K$12-$F36&lt;=12,SUMIFS('Attrition Modeling'!$D:$D,'Attrition Modeling'!$B:$B,$E36,'Attrition Modeling'!$C:$C,K$11),VLOOKUP(RentalsVacates!K$12-RentalsVacates!$F36-1,RentalsVacates!$A$8:$C$162,2,FALSE)*VLOOKUP(K$11,'Attrition Modeling'!$L$15:$N$27,IF(K$12-$F36&lt;=24,2,3),FALSE))*(1+IF('Traditional Attrition'!K158&gt;0,'Attrition Modeling'!$N$9,0))),0))</f>
        <v>0</v>
      </c>
      <c r="L36" s="799">
        <f>IF(L$12=$F36+1,IF(Monthly!H$4=TRUE,0,L$3),IF(L$12&gt;$F36+1,RentalsVacates!K36*(1-IF(L$12-$F36&lt;=12,SUMIFS('Attrition Modeling'!$D:$D,'Attrition Modeling'!$B:$B,$E36,'Attrition Modeling'!$C:$C,L$11),VLOOKUP(RentalsVacates!L$12-RentalsVacates!$F36-1,RentalsVacates!$A$8:$C$162,2,FALSE)*VLOOKUP(L$11,'Attrition Modeling'!$L$15:$N$27,IF(L$12-$F36&lt;=24,2,3),FALSE))*(1+IF('Traditional Attrition'!L158&gt;0,'Attrition Modeling'!$N$9,0))),0))</f>
        <v>0</v>
      </c>
      <c r="M36" s="799">
        <f>IF(M$12=$F36+1,IF(Monthly!I$4=TRUE,0,M$3),IF(M$12&gt;$F36+1,RentalsVacates!L36*(1-IF(M$12-$F36&lt;=12,SUMIFS('Attrition Modeling'!$D:$D,'Attrition Modeling'!$B:$B,$E36,'Attrition Modeling'!$C:$C,M$11),VLOOKUP(RentalsVacates!M$12-RentalsVacates!$F36-1,RentalsVacates!$A$8:$C$162,2,FALSE)*VLOOKUP(M$11,'Attrition Modeling'!$L$15:$N$27,IF(M$12-$F36&lt;=24,2,3),FALSE))*(1+IF('Traditional Attrition'!M158&gt;0,'Attrition Modeling'!$N$9,0))),0))</f>
        <v>0</v>
      </c>
      <c r="N36" s="799">
        <f>IF(N$12=$F36+1,IF(Monthly!J$4=TRUE,0,N$3),IF(N$12&gt;$F36+1,RentalsVacates!M36*(1-IF(N$12-$F36&lt;=12,SUMIFS('Attrition Modeling'!$D:$D,'Attrition Modeling'!$B:$B,$E36,'Attrition Modeling'!$C:$C,N$11),VLOOKUP(RentalsVacates!N$12-RentalsVacates!$F36-1,RentalsVacates!$A$8:$C$162,2,FALSE)*VLOOKUP(N$11,'Attrition Modeling'!$L$15:$N$27,IF(N$12-$F36&lt;=24,2,3),FALSE))*(1+IF('Traditional Attrition'!N158&gt;0,'Attrition Modeling'!$N$9,0))),0))</f>
        <v>0</v>
      </c>
      <c r="O36" s="799">
        <f>IF(O$12=$F36+1,IF(Monthly!K$4=TRUE,0,O$3),IF(O$12&gt;$F36+1,RentalsVacates!N36*(1-IF(O$12-$F36&lt;=12,SUMIFS('Attrition Modeling'!$D:$D,'Attrition Modeling'!$B:$B,$E36,'Attrition Modeling'!$C:$C,O$11),VLOOKUP(RentalsVacates!O$12-RentalsVacates!$F36-1,RentalsVacates!$A$8:$C$162,2,FALSE)*VLOOKUP(O$11,'Attrition Modeling'!$L$15:$N$27,IF(O$12-$F36&lt;=24,2,3),FALSE))*(1+IF('Traditional Attrition'!O158&gt;0,'Attrition Modeling'!$N$9,0))),0))</f>
        <v>0</v>
      </c>
      <c r="P36" s="799">
        <f>IF(P$12=$F36+1,IF(Monthly!L$4=TRUE,0,P$3),IF(P$12&gt;$F36+1,RentalsVacates!O36*(1-IF(P$12-$F36&lt;=12,SUMIFS('Attrition Modeling'!$D:$D,'Attrition Modeling'!$B:$B,$E36,'Attrition Modeling'!$C:$C,P$11),VLOOKUP(RentalsVacates!P$12-RentalsVacates!$F36-1,RentalsVacates!$A$8:$C$162,2,FALSE)*VLOOKUP(P$11,'Attrition Modeling'!$L$15:$N$27,IF(P$12-$F36&lt;=24,2,3),FALSE))*(1+IF('Traditional Attrition'!P158&gt;0,'Attrition Modeling'!$N$9,0))),0))</f>
        <v>0</v>
      </c>
      <c r="Q36" s="799">
        <f>IF(Q$12=$F36+1,IF(Monthly!M$4=TRUE,0,Q$3),IF(Q$12&gt;$F36+1,RentalsVacates!P36*(1-IF(Q$12-$F36&lt;=12,SUMIFS('Attrition Modeling'!$D:$D,'Attrition Modeling'!$B:$B,$E36,'Attrition Modeling'!$C:$C,Q$11),VLOOKUP(RentalsVacates!Q$12-RentalsVacates!$F36-1,RentalsVacates!$A$8:$C$162,2,FALSE)*VLOOKUP(Q$11,'Attrition Modeling'!$L$15:$N$27,IF(Q$12-$F36&lt;=24,2,3),FALSE))*(1+IF('Traditional Attrition'!Q158&gt;0,'Attrition Modeling'!$N$9,0))),0))</f>
        <v>0</v>
      </c>
      <c r="R36" s="799">
        <f>IF(R$12=$F36+1,IF(Monthly!N$4=TRUE,0,R$3),IF(R$12&gt;$F36+1,RentalsVacates!Q36*(1-IF(R$12-$F36&lt;=12,SUMIFS('Attrition Modeling'!$D:$D,'Attrition Modeling'!$B:$B,$E36,'Attrition Modeling'!$C:$C,R$11),VLOOKUP(RentalsVacates!R$12-RentalsVacates!$F36-1,RentalsVacates!$A$8:$C$162,2,FALSE)*VLOOKUP(R$11,'Attrition Modeling'!$L$15:$N$27,IF(R$12-$F36&lt;=24,2,3),FALSE))*(1+IF('Traditional Attrition'!R158&gt;0,'Attrition Modeling'!$N$9,0))),0))</f>
        <v>0</v>
      </c>
      <c r="S36" s="799">
        <f>IF(S$12=$F36+1,IF(Monthly!O$4=TRUE,0,S$3),IF(S$12&gt;$F36+1,RentalsVacates!R36*(1-IF(S$12-$F36&lt;=12,SUMIFS('Attrition Modeling'!$D:$D,'Attrition Modeling'!$B:$B,$E36,'Attrition Modeling'!$C:$C,S$11),VLOOKUP(RentalsVacates!S$12-RentalsVacates!$F36-1,RentalsVacates!$A$8:$C$162,2,FALSE)*VLOOKUP(S$11,'Attrition Modeling'!$L$15:$N$27,IF(S$12-$F36&lt;=24,2,3),FALSE))*(1+IF('Traditional Attrition'!S158&gt;0,'Attrition Modeling'!$N$9,0))),0))</f>
        <v>0</v>
      </c>
      <c r="T36" s="799">
        <f>IF(T$12=$F36+1,IF(Monthly!P$4=TRUE,0,T$3),IF(T$12&gt;$F36+1,RentalsVacates!S36*(1-IF(T$12-$F36&lt;=12,SUMIFS('Attrition Modeling'!$D:$D,'Attrition Modeling'!$B:$B,$E36,'Attrition Modeling'!$C:$C,T$11),VLOOKUP(RentalsVacates!T$12-RentalsVacates!$F36-1,RentalsVacates!$A$8:$C$162,2,FALSE)*VLOOKUP(T$11,'Attrition Modeling'!$L$15:$N$27,IF(T$12-$F36&lt;=24,2,3),FALSE))*(1+IF('Traditional Attrition'!T158&gt;0,'Attrition Modeling'!$N$9,0))),0))</f>
        <v>0</v>
      </c>
      <c r="U36" s="799">
        <f>IF(U$12=$F36+1,IF(Monthly!Q$4=TRUE,0,U$3),IF(U$12&gt;$F36+1,RentalsVacates!T36*(1-IF(U$12-$F36&lt;=12,SUMIFS('Attrition Modeling'!$D:$D,'Attrition Modeling'!$B:$B,$E36,'Attrition Modeling'!$C:$C,U$11),VLOOKUP(RentalsVacates!U$12-RentalsVacates!$F36-1,RentalsVacates!$A$8:$C$162,2,FALSE)*VLOOKUP(U$11,'Attrition Modeling'!$L$15:$N$27,IF(U$12-$F36&lt;=24,2,3),FALSE))*(1+IF('Traditional Attrition'!U158&gt;0,'Attrition Modeling'!$N$9,0))),0))</f>
        <v>0</v>
      </c>
      <c r="V36" s="799">
        <f>IF(V$12=$F36+1,IF(Monthly!R$4=TRUE,0,V$3),IF(V$12&gt;$F36+1,RentalsVacates!U36*(1-IF(V$12-$F36&lt;=12,SUMIFS('Attrition Modeling'!$D:$D,'Attrition Modeling'!$B:$B,$E36,'Attrition Modeling'!$C:$C,V$11),VLOOKUP(RentalsVacates!V$12-RentalsVacates!$F36-1,RentalsVacates!$A$8:$C$162,2,FALSE)*VLOOKUP(V$11,'Attrition Modeling'!$L$15:$N$27,IF(V$12-$F36&lt;=24,2,3),FALSE))*(1+IF('Traditional Attrition'!V158&gt;0,'Attrition Modeling'!$N$9,0))),0))</f>
        <v>0</v>
      </c>
      <c r="W36" s="799">
        <f>IF(W$12=$F36+1,IF(Monthly!S$4=TRUE,0,W$3),IF(W$12&gt;$F36+1,RentalsVacates!V36*(1-IF(W$12-$F36&lt;=12,SUMIFS('Attrition Modeling'!$D:$D,'Attrition Modeling'!$B:$B,$E36,'Attrition Modeling'!$C:$C,W$11),VLOOKUP(RentalsVacates!W$12-RentalsVacates!$F36-1,RentalsVacates!$A$8:$C$162,2,FALSE)*VLOOKUP(W$11,'Attrition Modeling'!$L$15:$N$27,IF(W$12-$F36&lt;=24,2,3),FALSE))*(1+IF('Traditional Attrition'!W158&gt;0,'Attrition Modeling'!$N$9,0))),0))</f>
        <v>0</v>
      </c>
      <c r="X36" s="799">
        <f>IF(X$12=$F36+1,IF(Monthly!T$4=TRUE,0,X$3),IF(X$12&gt;$F36+1,RentalsVacates!W36*(1-IF(X$12-$F36&lt;=12,SUMIFS('Attrition Modeling'!$D:$D,'Attrition Modeling'!$B:$B,$E36,'Attrition Modeling'!$C:$C,X$11),VLOOKUP(RentalsVacates!X$12-RentalsVacates!$F36-1,RentalsVacates!$A$8:$C$162,2,FALSE)*VLOOKUP(X$11,'Attrition Modeling'!$L$15:$N$27,IF(X$12-$F36&lt;=24,2,3),FALSE))*(1+IF('Traditional Attrition'!X158&gt;0,'Attrition Modeling'!$N$9,0))),0))</f>
        <v>0</v>
      </c>
      <c r="Y36" s="799">
        <f>IF(Y$12=$F36+1,IF(Monthly!U$4=TRUE,0,Y$3),IF(Y$12&gt;$F36+1,RentalsVacates!X36*(1-IF(Y$12-$F36&lt;=12,SUMIFS('Attrition Modeling'!$D:$D,'Attrition Modeling'!$B:$B,$E36,'Attrition Modeling'!$C:$C,Y$11),VLOOKUP(RentalsVacates!Y$12-RentalsVacates!$F36-1,RentalsVacates!$A$8:$C$162,2,FALSE)*VLOOKUP(Y$11,'Attrition Modeling'!$L$15:$N$27,IF(Y$12-$F36&lt;=24,2,3),FALSE))*(1+IF('Traditional Attrition'!Y158&gt;0,'Attrition Modeling'!$N$9,0))),0))</f>
        <v>0</v>
      </c>
      <c r="Z36" s="799">
        <f>IF(Z$12=$F36+1,IF(Monthly!V$4=TRUE,0,Z$3),IF(Z$12&gt;$F36+1,RentalsVacates!Y36*(1-IF(Z$12-$F36&lt;=12,SUMIFS('Attrition Modeling'!$D:$D,'Attrition Modeling'!$B:$B,$E36,'Attrition Modeling'!$C:$C,Z$11),VLOOKUP(RentalsVacates!Z$12-RentalsVacates!$F36-1,RentalsVacates!$A$8:$C$162,2,FALSE)*VLOOKUP(Z$11,'Attrition Modeling'!$L$15:$N$27,IF(Z$12-$F36&lt;=24,2,3),FALSE))*(1+IF('Traditional Attrition'!Z158&gt;0,'Attrition Modeling'!$N$9,0))),0))</f>
        <v>0</v>
      </c>
      <c r="AA36" s="799">
        <f>IF(AA$12=$F36+1,IF(Monthly!W$4=TRUE,0,AA$3),IF(AA$12&gt;$F36+1,RentalsVacates!Z36*(1-IF(AA$12-$F36&lt;=12,SUMIFS('Attrition Modeling'!$D:$D,'Attrition Modeling'!$B:$B,$E36,'Attrition Modeling'!$C:$C,AA$11),VLOOKUP(RentalsVacates!AA$12-RentalsVacates!$F36-1,RentalsVacates!$A$8:$C$162,2,FALSE)*VLOOKUP(AA$11,'Attrition Modeling'!$L$15:$N$27,IF(AA$12-$F36&lt;=24,2,3),FALSE))*(1+IF('Traditional Attrition'!AA158&gt;0,'Attrition Modeling'!$N$9,0))),0))</f>
        <v>0</v>
      </c>
      <c r="AB36" s="799">
        <f>IF(AB$12=$F36+1,IF(Monthly!X$4=TRUE,0,AB$3),IF(AB$12&gt;$F36+1,RentalsVacates!AA36*(1-IF(AB$12-$F36&lt;=12,SUMIFS('Attrition Modeling'!$D:$D,'Attrition Modeling'!$B:$B,$E36,'Attrition Modeling'!$C:$C,AB$11),VLOOKUP(RentalsVacates!AB$12-RentalsVacates!$F36-1,RentalsVacates!$A$8:$C$162,2,FALSE)*VLOOKUP(AB$11,'Attrition Modeling'!$L$15:$N$27,IF(AB$12-$F36&lt;=24,2,3),FALSE))*(1+IF('Traditional Attrition'!AB158&gt;0,'Attrition Modeling'!$N$9,0))),0))</f>
        <v>0</v>
      </c>
      <c r="AC36" s="799">
        <f>IF(AC$12=$F36+1,IF(Monthly!Y$4=TRUE,0,AC$3),IF(AC$12&gt;$F36+1,RentalsVacates!AB36*(1-IF(AC$12-$F36&lt;=12,SUMIFS('Attrition Modeling'!$D:$D,'Attrition Modeling'!$B:$B,$E36,'Attrition Modeling'!$C:$C,AC$11),VLOOKUP(RentalsVacates!AC$12-RentalsVacates!$F36-1,RentalsVacates!$A$8:$C$162,2,FALSE)*VLOOKUP(AC$11,'Attrition Modeling'!$L$15:$N$27,IF(AC$12-$F36&lt;=24,2,3),FALSE))*(1+IF('Traditional Attrition'!AC158&gt;0,'Attrition Modeling'!$N$9,0))),0))</f>
        <v>0</v>
      </c>
      <c r="AD36" s="799">
        <f>IF(AD$12=$F36+1,IF(Monthly!Z$4=TRUE,0,AD$3),IF(AD$12&gt;$F36+1,RentalsVacates!AC36*(1-IF(AD$12-$F36&lt;=12,SUMIFS('Attrition Modeling'!$D:$D,'Attrition Modeling'!$B:$B,$E36,'Attrition Modeling'!$C:$C,AD$11),VLOOKUP(RentalsVacates!AD$12-RentalsVacates!$F36-1,RentalsVacates!$A$8:$C$162,2,FALSE)*VLOOKUP(AD$11,'Attrition Modeling'!$L$15:$N$27,IF(AD$12-$F36&lt;=24,2,3),FALSE))*(1+IF('Traditional Attrition'!AD158&gt;0,'Attrition Modeling'!$N$9,0))),0))</f>
        <v>0</v>
      </c>
      <c r="AE36" s="799">
        <f>IF(AE$12=$F36+1,IF(Monthly!AA$4=TRUE,0,AE$3),IF(AE$12&gt;$F36+1,RentalsVacates!AD36*(1-IF(AE$12-$F36&lt;=12,SUMIFS('Attrition Modeling'!$D:$D,'Attrition Modeling'!$B:$B,$E36,'Attrition Modeling'!$C:$C,AE$11),VLOOKUP(RentalsVacates!AE$12-RentalsVacates!$F36-1,RentalsVacates!$A$8:$C$162,2,FALSE)*VLOOKUP(AE$11,'Attrition Modeling'!$L$15:$N$27,IF(AE$12-$F36&lt;=24,2,3),FALSE))*(1+IF('Traditional Attrition'!AE158&gt;0,'Attrition Modeling'!$N$9,0))),0))</f>
        <v>7007.2779563034201</v>
      </c>
      <c r="AF36" s="799">
        <f>IF(AF$12=$F36+1,IF(Monthly!AB$4=TRUE,0,AF$3),IF(AF$12&gt;$F36+1,RentalsVacates!AE36*(1-IF(AF$12-$F36&lt;=12,SUMIFS('Attrition Modeling'!$D:$D,'Attrition Modeling'!$B:$B,$E36,'Attrition Modeling'!$C:$C,AF$11),VLOOKUP(RentalsVacates!AF$12-RentalsVacates!$F36-1,RentalsVacates!$A$8:$C$162,2,FALSE)*VLOOKUP(AF$11,'Attrition Modeling'!$L$15:$N$27,IF(AF$12-$F36&lt;=24,2,3),FALSE))*(1+IF('Traditional Attrition'!AF158&gt;0,'Attrition Modeling'!$N$9,0))),0))</f>
        <v>6371.053555716443</v>
      </c>
      <c r="AG36" s="799">
        <f>IF(AG$12=$F36+1,IF(Monthly!AC$4=TRUE,0,AG$3),IF(AG$12&gt;$F36+1,RentalsVacates!AF36*(1-IF(AG$12-$F36&lt;=12,SUMIFS('Attrition Modeling'!$D:$D,'Attrition Modeling'!$B:$B,$E36,'Attrition Modeling'!$C:$C,AG$11),VLOOKUP(RentalsVacates!AG$12-RentalsVacates!$F36-1,RentalsVacates!$A$8:$C$162,2,FALSE)*VLOOKUP(AG$11,'Attrition Modeling'!$L$15:$N$27,IF(AG$12-$F36&lt;=24,2,3),FALSE))*(1+IF('Traditional Attrition'!AG158&gt;0,'Attrition Modeling'!$N$9,0))),0))</f>
        <v>5877.1772567626422</v>
      </c>
      <c r="AH36" s="799">
        <f>IF(AH$12=$F36+1,IF(Monthly!AD$4=TRUE,0,AH$3),IF(AH$12&gt;$F36+1,RentalsVacates!AG36*(1-IF(AH$12-$F36&lt;=12,SUMIFS('Attrition Modeling'!$D:$D,'Attrition Modeling'!$B:$B,$E36,'Attrition Modeling'!$C:$C,AH$11),VLOOKUP(RentalsVacates!AH$12-RentalsVacates!$F36-1,RentalsVacates!$A$8:$C$162,2,FALSE)*VLOOKUP(AH$11,'Attrition Modeling'!$L$15:$N$27,IF(AH$12-$F36&lt;=24,2,3),FALSE))*(1+IF('Traditional Attrition'!AH158&gt;0,'Attrition Modeling'!$N$9,0))),0))</f>
        <v>5353.8167378317412</v>
      </c>
      <c r="AI36" s="799">
        <f>IF(AI$12=$F36+1,IF(Monthly!AE$4=TRUE,0,AI$3),IF(AI$12&gt;$F36+1,RentalsVacates!AH36*(1-IF(AI$12-$F36&lt;=12,SUMIFS('Attrition Modeling'!$D:$D,'Attrition Modeling'!$B:$B,$E36,'Attrition Modeling'!$C:$C,AI$11),VLOOKUP(RentalsVacates!AI$12-RentalsVacates!$F36-1,RentalsVacates!$A$8:$C$162,2,FALSE)*VLOOKUP(AI$11,'Attrition Modeling'!$L$15:$N$27,IF(AI$12-$F36&lt;=24,2,3),FALSE))*(1+IF('Traditional Attrition'!AI158&gt;0,'Attrition Modeling'!$N$9,0))),0))</f>
        <v>4932.4220519122282</v>
      </c>
      <c r="AJ36" s="799">
        <f>IF(AJ$12=$F36+1,IF(Monthly!AF$4=TRUE,0,AJ$3),IF(AJ$12&gt;$F36+1,RentalsVacates!AI36*(1-IF(AJ$12-$F36&lt;=12,SUMIFS('Attrition Modeling'!$D:$D,'Attrition Modeling'!$B:$B,$E36,'Attrition Modeling'!$C:$C,AJ$11),VLOOKUP(RentalsVacates!AJ$12-RentalsVacates!$F36-1,RentalsVacates!$A$8:$C$162,2,FALSE)*VLOOKUP(AJ$11,'Attrition Modeling'!$L$15:$N$27,IF(AJ$12-$F36&lt;=24,2,3),FALSE))*(1+IF('Traditional Attrition'!AJ158&gt;0,'Attrition Modeling'!$N$9,0))),0))</f>
        <v>4438.2004058093125</v>
      </c>
      <c r="AK36" s="799">
        <f>IF(AK$12=$F36+1,IF(Monthly!AG$4=TRUE,0,AK$3),IF(AK$12&gt;$F36+1,RentalsVacates!AJ36*(1-IF(AK$12-$F36&lt;=12,SUMIFS('Attrition Modeling'!$D:$D,'Attrition Modeling'!$B:$B,$E36,'Attrition Modeling'!$C:$C,AK$11),VLOOKUP(RentalsVacates!AK$12-RentalsVacates!$F36-1,RentalsVacates!$A$8:$C$162,2,FALSE)*VLOOKUP(AK$11,'Attrition Modeling'!$L$15:$N$27,IF(AK$12-$F36&lt;=24,2,3),FALSE))*(1+IF('Traditional Attrition'!AK158&gt;0,'Attrition Modeling'!$N$9,0))),0))</f>
        <v>4123.7276772933246</v>
      </c>
      <c r="AL36" s="799">
        <f>IF(AL$12=$F36+1,IF(Monthly!AH$4=TRUE,0,AL$3),IF(AL$12&gt;$F36+1,RentalsVacates!AK36*(1-IF(AL$12-$F36&lt;=12,SUMIFS('Attrition Modeling'!$D:$D,'Attrition Modeling'!$B:$B,$E36,'Attrition Modeling'!$C:$C,AL$11),VLOOKUP(RentalsVacates!AL$12-RentalsVacates!$F36-1,RentalsVacates!$A$8:$C$162,2,FALSE)*VLOOKUP(AL$11,'Attrition Modeling'!$L$15:$N$27,IF(AL$12-$F36&lt;=24,2,3),FALSE))*(1+IF('Traditional Attrition'!AL158&gt;0,'Attrition Modeling'!$N$9,0))),0))</f>
        <v>3839.8304288583245</v>
      </c>
      <c r="AM36" s="799">
        <f>IF(AM$12=$F36+1,IF(Monthly!AI$4=TRUE,0,AM$3),IF(AM$12&gt;$F36+1,RentalsVacates!AL36*(1-IF(AM$12-$F36&lt;=12,SUMIFS('Attrition Modeling'!$D:$D,'Attrition Modeling'!$B:$B,$E36,'Attrition Modeling'!$C:$C,AM$11),VLOOKUP(RentalsVacates!AM$12-RentalsVacates!$F36-1,RentalsVacates!$A$8:$C$162,2,FALSE)*VLOOKUP(AM$11,'Attrition Modeling'!$L$15:$N$27,IF(AM$12-$F36&lt;=24,2,3),FALSE))*(1+IF('Traditional Attrition'!AM158&gt;0,'Attrition Modeling'!$N$9,0))),0))</f>
        <v>3578.5387613861976</v>
      </c>
      <c r="AN36" s="799">
        <f>IF(AN$12=$F36+1,IF(Monthly!AJ$4=TRUE,0,AN$3),IF(AN$12&gt;$F36+1,RentalsVacates!AM36*(1-IF(AN$12-$F36&lt;=12,SUMIFS('Attrition Modeling'!$D:$D,'Attrition Modeling'!$B:$B,$E36,'Attrition Modeling'!$C:$C,AN$11),VLOOKUP(RentalsVacates!AN$12-RentalsVacates!$F36-1,RentalsVacates!$A$8:$C$162,2,FALSE)*VLOOKUP(AN$11,'Attrition Modeling'!$L$15:$N$27,IF(AN$12-$F36&lt;=24,2,3),FALSE))*(1+IF('Traditional Attrition'!AN158&gt;0,'Attrition Modeling'!$N$9,0))),0))</f>
        <v>3376.7166901754149</v>
      </c>
      <c r="AO36" s="799">
        <f>IF(AO$12=$F36+1,IF(Monthly!AK$4=TRUE,0,AO$3),IF(AO$12&gt;$F36+1,RentalsVacates!AN36*(1-IF(AO$12-$F36&lt;=12,SUMIFS('Attrition Modeling'!$D:$D,'Attrition Modeling'!$B:$B,$E36,'Attrition Modeling'!$C:$C,AO$11),VLOOKUP(RentalsVacates!AO$12-RentalsVacates!$F36-1,RentalsVacates!$A$8:$C$162,2,FALSE)*VLOOKUP(AO$11,'Attrition Modeling'!$L$15:$N$27,IF(AO$12-$F36&lt;=24,2,3),FALSE))*(1+IF('Traditional Attrition'!AO158&gt;0,'Attrition Modeling'!$N$9,0))),0))</f>
        <v>3184.1090065379776</v>
      </c>
      <c r="AP36" s="799">
        <f>IF(AP$12=$F36+1,IF(Monthly!AL$4=TRUE,0,AP$3),IF(AP$12&gt;$F36+1,RentalsVacates!AO36*(1-IF(AP$12-$F36&lt;=12,SUMIFS('Attrition Modeling'!$D:$D,'Attrition Modeling'!$B:$B,$E36,'Attrition Modeling'!$C:$C,AP$11),VLOOKUP(RentalsVacates!AP$12-RentalsVacates!$F36-1,RentalsVacates!$A$8:$C$162,2,FALSE)*VLOOKUP(AP$11,'Attrition Modeling'!$L$15:$N$27,IF(AP$12-$F36&lt;=24,2,3),FALSE))*(1+IF('Traditional Attrition'!AP158&gt;0,'Attrition Modeling'!$N$9,0))),0))</f>
        <v>3098.5391655730059</v>
      </c>
      <c r="AQ36" s="799">
        <f>IF(AQ$12=$F36+1,IF(Monthly!AM$4=TRUE,0,AQ$3),IF(AQ$12&gt;$F36+1,RentalsVacates!AP36*(1-IF(AQ$12-$F36&lt;=12,SUMIFS('Attrition Modeling'!$D:$D,'Attrition Modeling'!$B:$B,$E36,'Attrition Modeling'!$C:$C,AQ$11),VLOOKUP(RentalsVacates!AQ$12-RentalsVacates!$F36-1,RentalsVacates!$A$8:$C$162,2,FALSE)*VLOOKUP(AQ$11,'Attrition Modeling'!$L$15:$N$27,IF(AQ$12-$F36&lt;=24,2,3),FALSE))*(1+IF('Traditional Attrition'!AQ158&gt;0,'Attrition Modeling'!$N$9,0))),0))</f>
        <v>2931.8768787978202</v>
      </c>
      <c r="AR36" s="799">
        <f>IF(AR$12=$F36+1,IF(Monthly!AN$4=TRUE,0,AR$3),IF(AR$12&gt;$F36+1,RentalsVacates!AQ36*(1-IF(AR$12-$F36&lt;=12,SUMIFS('Attrition Modeling'!$D:$D,'Attrition Modeling'!$B:$B,$E36,'Attrition Modeling'!$C:$C,AR$11),VLOOKUP(RentalsVacates!AR$12-RentalsVacates!$F36-1,RentalsVacates!$A$8:$C$162,2,FALSE)*VLOOKUP(AR$11,'Attrition Modeling'!$L$15:$N$27,IF(AR$12-$F36&lt;=24,2,3),FALSE))*(1+IF('Traditional Attrition'!AR158&gt;0,'Attrition Modeling'!$N$9,0))),0))</f>
        <v>2786.2282196242218</v>
      </c>
      <c r="AS36" s="799">
        <f>IF(AS$12=$F36+1,IF(Monthly!AO$4=TRUE,0,AS$3),IF(AS$12&gt;$F36+1,RentalsVacates!AR36*(1-IF(AS$12-$F36&lt;=12,SUMIFS('Attrition Modeling'!$D:$D,'Attrition Modeling'!$B:$B,$E36,'Attrition Modeling'!$C:$C,AS$11),VLOOKUP(RentalsVacates!AS$12-RentalsVacates!$F36-1,RentalsVacates!$A$8:$C$162,2,FALSE)*VLOOKUP(AS$11,'Attrition Modeling'!$L$15:$N$27,IF(AS$12-$F36&lt;=24,2,3),FALSE))*(1+IF('Traditional Attrition'!AS158&gt;0,'Attrition Modeling'!$N$9,0))),0))</f>
        <v>2667.4788133950319</v>
      </c>
      <c r="AT36" s="799">
        <f>IF(AT$12=$F36+1,IF(Monthly!AP$4=TRUE,0,AT$3),IF(AT$12&gt;$F36+1,RentalsVacates!AS36*(1-IF(AT$12-$F36&lt;=12,SUMIFS('Attrition Modeling'!$D:$D,'Attrition Modeling'!$B:$B,$E36,'Attrition Modeling'!$C:$C,AT$11),VLOOKUP(RentalsVacates!AT$12-RentalsVacates!$F36-1,RentalsVacates!$A$8:$C$162,2,FALSE)*VLOOKUP(AT$11,'Attrition Modeling'!$L$15:$N$27,IF(AT$12-$F36&lt;=24,2,3),FALSE))*(1+IF('Traditional Attrition'!AT158&gt;0,'Attrition Modeling'!$N$9,0))),0))</f>
        <v>2548.2429783487078</v>
      </c>
      <c r="AU36" s="799">
        <f>IF(AU$12=$F36+1,IF(Monthly!AQ$4=TRUE,0,AU$3),IF(AU$12&gt;$F36+1,RentalsVacates!AT36*(1-IF(AU$12-$F36&lt;=12,SUMIFS('Attrition Modeling'!$D:$D,'Attrition Modeling'!$B:$B,$E36,'Attrition Modeling'!$C:$C,AU$11),VLOOKUP(RentalsVacates!AU$12-RentalsVacates!$F36-1,RentalsVacates!$A$8:$C$162,2,FALSE)*VLOOKUP(AU$11,'Attrition Modeling'!$L$15:$N$27,IF(AU$12-$F36&lt;=24,2,3),FALSE))*(1+IF('Traditional Attrition'!AU158&gt;0,'Attrition Modeling'!$N$9,0))),0))</f>
        <v>2439.5412307229722</v>
      </c>
      <c r="AV36" s="799">
        <f>IF(AV$12=$F36+1,IF(Monthly!AR$4=TRUE,0,AV$3),IF(AV$12&gt;$F36+1,RentalsVacates!AU36*(1-IF(AV$12-$F36&lt;=12,SUMIFS('Attrition Modeling'!$D:$D,'Attrition Modeling'!$B:$B,$E36,'Attrition Modeling'!$C:$C,AV$11),VLOOKUP(RentalsVacates!AV$12-RentalsVacates!$F36-1,RentalsVacates!$A$8:$C$162,2,FALSE)*VLOOKUP(AV$11,'Attrition Modeling'!$L$15:$N$27,IF(AV$12-$F36&lt;=24,2,3),FALSE))*(1+IF('Traditional Attrition'!AV158&gt;0,'Attrition Modeling'!$N$9,0))),0))</f>
        <v>2318.62482729877</v>
      </c>
      <c r="AW36" s="799">
        <f>IF(AW$12=$F36+1,IF(Monthly!AS$4=TRUE,0,AW$3),IF(AW$12&gt;$F36+1,RentalsVacates!AV36*(1-IF(AW$12-$F36&lt;=12,SUMIFS('Attrition Modeling'!$D:$D,'Attrition Modeling'!$B:$B,$E36,'Attrition Modeling'!$C:$C,AW$11),VLOOKUP(RentalsVacates!AW$12-RentalsVacates!$F36-1,RentalsVacates!$A$8:$C$162,2,FALSE)*VLOOKUP(AW$11,'Attrition Modeling'!$L$15:$N$27,IF(AW$12-$F36&lt;=24,2,3),FALSE))*(1+IF('Traditional Attrition'!AW158&gt;0,'Attrition Modeling'!$N$9,0))),0))</f>
        <v>2215.7389838688869</v>
      </c>
      <c r="AX36" s="799">
        <f>IF(AX$12=$F36+1,IF(Monthly!AT$4=TRUE,0,AX$3),IF(AX$12&gt;$F36+1,RentalsVacates!AW36*(1-IF(AX$12-$F36&lt;=12,SUMIFS('Attrition Modeling'!$D:$D,'Attrition Modeling'!$B:$B,$E36,'Attrition Modeling'!$C:$C,AX$11),VLOOKUP(RentalsVacates!AX$12-RentalsVacates!$F36-1,RentalsVacates!$A$8:$C$162,2,FALSE)*VLOOKUP(AX$11,'Attrition Modeling'!$L$15:$N$27,IF(AX$12-$F36&lt;=24,2,3),FALSE))*(1+IF('Traditional Attrition'!AX158&gt;0,'Attrition Modeling'!$N$9,0))),0))</f>
        <v>2117.0035466251366</v>
      </c>
      <c r="AY36" s="799">
        <f>IF(AY$12=$F36+1,IF(Monthly!AU$4=TRUE,0,AY$3),IF(AY$12&gt;$F36+1,RentalsVacates!AX36*(1-IF(AY$12-$F36&lt;=12,SUMIFS('Attrition Modeling'!$D:$D,'Attrition Modeling'!$B:$B,$E36,'Attrition Modeling'!$C:$C,AY$11),VLOOKUP(RentalsVacates!AY$12-RentalsVacates!$F36-1,RentalsVacates!$A$8:$C$162,2,FALSE)*VLOOKUP(AY$11,'Attrition Modeling'!$L$15:$N$27,IF(AY$12-$F36&lt;=24,2,3),FALSE))*(1+IF('Traditional Attrition'!AY158&gt;0,'Attrition Modeling'!$N$9,0))),0))</f>
        <v>2020.1785104797436</v>
      </c>
      <c r="AZ36" s="799">
        <f>IF(AZ$12=$F36+1,IF(Monthly!AV$4=TRUE,0,AZ$3),IF(AZ$12&gt;$F36+1,RentalsVacates!AY36*(1-IF(AZ$12-$F36&lt;=12,SUMIFS('Attrition Modeling'!$D:$D,'Attrition Modeling'!$B:$B,$E36,'Attrition Modeling'!$C:$C,AZ$11),VLOOKUP(RentalsVacates!AZ$12-RentalsVacates!$F36-1,RentalsVacates!$A$8:$C$162,2,FALSE)*VLOOKUP(AZ$11,'Attrition Modeling'!$L$15:$N$27,IF(AZ$12-$F36&lt;=24,2,3),FALSE))*(1+IF('Traditional Attrition'!AZ158&gt;0,'Attrition Modeling'!$N$9,0))),0))</f>
        <v>1937.2348003653192</v>
      </c>
      <c r="BA36" s="799">
        <f>IF(BA$12=$F36+1,IF(Monthly!AW$4=TRUE,0,BA$3),IF(BA$12&gt;$F36+1,RentalsVacates!AZ36*(1-IF(BA$12-$F36&lt;=12,SUMIFS('Attrition Modeling'!$D:$D,'Attrition Modeling'!$B:$B,$E36,'Attrition Modeling'!$C:$C,BA$11),VLOOKUP(RentalsVacates!BA$12-RentalsVacates!$F36-1,RentalsVacates!$A$8:$C$162,2,FALSE)*VLOOKUP(BA$11,'Attrition Modeling'!$L$15:$N$27,IF(BA$12-$F36&lt;=24,2,3),FALSE))*(1+IF('Traditional Attrition'!BA158&gt;0,'Attrition Modeling'!$N$9,0))),0))</f>
        <v>1857.0189546829035</v>
      </c>
      <c r="BB36" s="799">
        <f>IF(BB$12=$F36+1,IF(Monthly!AX$4=TRUE,0,BB$3),IF(BB$12&gt;$F36+1,RentalsVacates!BA36*(1-IF(BB$12-$F36&lt;=12,SUMIFS('Attrition Modeling'!$D:$D,'Attrition Modeling'!$B:$B,$E36,'Attrition Modeling'!$C:$C,BB$11),VLOOKUP(RentalsVacates!BB$12-RentalsVacates!$F36-1,RentalsVacates!$A$8:$C$162,2,FALSE)*VLOOKUP(BB$11,'Attrition Modeling'!$L$15:$N$27,IF(BB$12-$F36&lt;=24,2,3),FALSE))*(1+IF('Traditional Attrition'!BB158&gt;0,'Attrition Modeling'!$N$9,0))),0))</f>
        <v>1784.0260787199561</v>
      </c>
      <c r="BC36" s="799">
        <f>IF(BC$12=$F36+1,IF(Monthly!AY$4=TRUE,0,BC$3),IF(BC$12&gt;$F36+1,RentalsVacates!BB36*(1-IF(BC$12-$F36&lt;=12,SUMIFS('Attrition Modeling'!$D:$D,'Attrition Modeling'!$B:$B,$E36,'Attrition Modeling'!$C:$C,BC$11),VLOOKUP(RentalsVacates!BC$12-RentalsVacates!$F36-1,RentalsVacates!$A$8:$C$162,2,FALSE)*VLOOKUP(BC$11,'Attrition Modeling'!$L$15:$N$27,IF(BC$12-$F36&lt;=24,2,3),FALSE))*(1+IF('Traditional Attrition'!BC158&gt;0,'Attrition Modeling'!$N$9,0))),0))</f>
        <v>1726.3900757656816</v>
      </c>
      <c r="BD36" s="799">
        <f>IF(BD$12=$F36+1,IF(Monthly!AZ$4=TRUE,0,BD$3),IF(BD$12&gt;$F36+1,RentalsVacates!BC36*(1-IF(BD$12-$F36&lt;=12,SUMIFS('Attrition Modeling'!$D:$D,'Attrition Modeling'!$B:$B,$E36,'Attrition Modeling'!$C:$C,BD$11),VLOOKUP(RentalsVacates!BD$12-RentalsVacates!$F36-1,RentalsVacates!$A$8:$C$162,2,FALSE)*VLOOKUP(BD$11,'Attrition Modeling'!$L$15:$N$27,IF(BD$12-$F36&lt;=24,2,3),FALSE))*(1+IF('Traditional Attrition'!BD158&gt;0,'Attrition Modeling'!$N$9,0))),0))</f>
        <v>1665.5025273256656</v>
      </c>
      <c r="BE36" s="799">
        <f>IF(BE$12=$F36+1,IF(Monthly!BA$4=TRUE,0,BE$3),IF(BE$12&gt;$F36+1,RentalsVacates!BD36*(1-IF(BE$12-$F36&lt;=12,SUMIFS('Attrition Modeling'!$D:$D,'Attrition Modeling'!$B:$B,$E36,'Attrition Modeling'!$C:$C,BE$11),VLOOKUP(RentalsVacates!BE$12-RentalsVacates!$F36-1,RentalsVacates!$A$8:$C$162,2,FALSE)*VLOOKUP(BE$11,'Attrition Modeling'!$L$15:$N$27,IF(BE$12-$F36&lt;=24,2,3),FALSE))*(1+IF('Traditional Attrition'!BE158&gt;0,'Attrition Modeling'!$N$9,0))),0))</f>
        <v>1609.3757651448279</v>
      </c>
      <c r="BF36" s="799">
        <f>IF(BF$12=$F36+1,IF(Monthly!BB$4=TRUE,0,BF$3),IF(BF$12&gt;$F36+1,RentalsVacates!BE36*(1-IF(BF$12-$F36&lt;=12,SUMIFS('Attrition Modeling'!$D:$D,'Attrition Modeling'!$B:$B,$E36,'Attrition Modeling'!$C:$C,BF$11),VLOOKUP(RentalsVacates!BF$12-RentalsVacates!$F36-1,RentalsVacates!$A$8:$C$162,2,FALSE)*VLOOKUP(BF$11,'Attrition Modeling'!$L$15:$N$27,IF(BF$12-$F36&lt;=24,2,3),FALSE))*(1+IF('Traditional Attrition'!BF158&gt;0,'Attrition Modeling'!$N$9,0))),0))</f>
        <v>1558.1052081982607</v>
      </c>
      <c r="BG36" s="799">
        <f>IF(BG$12=$F36+1,IF(Monthly!BC$4=TRUE,0,BG$3),IF(BG$12&gt;$F36+1,RentalsVacates!BF36*(1-IF(BG$12-$F36&lt;=12,SUMIFS('Attrition Modeling'!$D:$D,'Attrition Modeling'!$B:$B,$E36,'Attrition Modeling'!$C:$C,BG$11),VLOOKUP(RentalsVacates!BG$12-RentalsVacates!$F36-1,RentalsVacates!$A$8:$C$162,2,FALSE)*VLOOKUP(BG$11,'Attrition Modeling'!$L$15:$N$27,IF(BG$12-$F36&lt;=24,2,3),FALSE))*(1+IF('Traditional Attrition'!BG158&gt;0,'Attrition Modeling'!$N$9,0))),0))</f>
        <v>1519.137736930807</v>
      </c>
      <c r="BH36" s="799">
        <f>IF(BH$12=$F36+1,IF(Monthly!BD$4=TRUE,0,BH$3),IF(BH$12&gt;$F36+1,RentalsVacates!BG36*(1-IF(BH$12-$F36&lt;=12,SUMIFS('Attrition Modeling'!$D:$D,'Attrition Modeling'!$B:$B,$E36,'Attrition Modeling'!$C:$C,BH$11),VLOOKUP(RentalsVacates!BH$12-RentalsVacates!$F36-1,RentalsVacates!$A$8:$C$162,2,FALSE)*VLOOKUP(BH$11,'Attrition Modeling'!$L$15:$N$27,IF(BH$12-$F36&lt;=24,2,3),FALSE))*(1+IF('Traditional Attrition'!BH158&gt;0,'Attrition Modeling'!$N$9,0))),0))</f>
        <v>1464.7868913459215</v>
      </c>
      <c r="BI36" s="799">
        <f>IF(BI$12=$F36+1,IF(Monthly!BE$4=TRUE,0,BI$3),IF(BI$12&gt;$F36+1,RentalsVacates!BH36*(1-IF(BI$12-$F36&lt;=12,SUMIFS('Attrition Modeling'!$D:$D,'Attrition Modeling'!$B:$B,$E36,'Attrition Modeling'!$C:$C,BI$11),VLOOKUP(RentalsVacates!BI$12-RentalsVacates!$F36-1,RentalsVacates!$A$8:$C$162,2,FALSE)*VLOOKUP(BI$11,'Attrition Modeling'!$L$15:$N$27,IF(BI$12-$F36&lt;=24,2,3),FALSE))*(1+IF('Traditional Attrition'!BI158&gt;0,'Attrition Modeling'!$N$9,0))),0))</f>
        <v>1415.554650891997</v>
      </c>
      <c r="BJ36" s="799">
        <f>IF(BJ$12=$F36+1,IF(Monthly!BF$4=TRUE,0,BJ$3),IF(BJ$12&gt;$F36+1,RentalsVacates!BI36*(1-IF(BJ$12-$F36&lt;=12,SUMIFS('Attrition Modeling'!$D:$D,'Attrition Modeling'!$B:$B,$E36,'Attrition Modeling'!$C:$C,BJ$11),VLOOKUP(RentalsVacates!BJ$12-RentalsVacates!$F36-1,RentalsVacates!$A$8:$C$162,2,FALSE)*VLOOKUP(BJ$11,'Attrition Modeling'!$L$15:$N$27,IF(BJ$12-$F36&lt;=24,2,3),FALSE))*(1+IF('Traditional Attrition'!BJ158&gt;0,'Attrition Modeling'!$N$9,0))),0))</f>
        <v>1364.338079928584</v>
      </c>
      <c r="BK36" s="799">
        <f>IF(BK$12=$F36+1,IF(Monthly!BG$4=TRUE,0,BK$3),IF(BK$12&gt;$F36+1,RentalsVacates!BJ36*(1-IF(BK$12-$F36&lt;=12,SUMIFS('Attrition Modeling'!$D:$D,'Attrition Modeling'!$B:$B,$E36,'Attrition Modeling'!$C:$C,BK$11),VLOOKUP(RentalsVacates!BK$12-RentalsVacates!$F36-1,RentalsVacates!$A$8:$C$162,2,FALSE)*VLOOKUP(BK$11,'Attrition Modeling'!$L$15:$N$27,IF(BK$12-$F36&lt;=24,2,3),FALSE))*(1+IF('Traditional Attrition'!BK158&gt;0,'Attrition Modeling'!$N$9,0))),0))</f>
        <v>1311.9492527918314</v>
      </c>
      <c r="BL36" s="799">
        <f>IF(BL$12=$F36+1,IF(Monthly!BH$4=TRUE,0,BL$3),IF(BL$12&gt;$F36+1,RentalsVacates!BK36*(1-IF(BL$12-$F36&lt;=12,SUMIFS('Attrition Modeling'!$D:$D,'Attrition Modeling'!$B:$B,$E36,'Attrition Modeling'!$C:$C,BL$11),VLOOKUP(RentalsVacates!BL$12-RentalsVacates!$F36-1,RentalsVacates!$A$8:$C$162,2,FALSE)*VLOOKUP(BL$11,'Attrition Modeling'!$L$15:$N$27,IF(BL$12-$F36&lt;=24,2,3),FALSE))*(1+IF('Traditional Attrition'!BL158&gt;0,'Attrition Modeling'!$N$9,0))),0))</f>
        <v>1265.1825381715232</v>
      </c>
      <c r="BM36" s="799">
        <f>IF(BM$12=$F36+1,IF(Monthly!BI$4=TRUE,0,BM$3),IF(BM$12&gt;$F36+1,RentalsVacates!BL36*(1-IF(BM$12-$F36&lt;=12,SUMIFS('Attrition Modeling'!$D:$D,'Attrition Modeling'!$B:$B,$E36,'Attrition Modeling'!$C:$C,BM$11),VLOOKUP(RentalsVacates!BM$12-RentalsVacates!$F36-1,RentalsVacates!$A$8:$C$162,2,FALSE)*VLOOKUP(BM$11,'Attrition Modeling'!$L$15:$N$27,IF(BM$12-$F36&lt;=24,2,3),FALSE))*(1+IF('Traditional Attrition'!BM158&gt;0,'Attrition Modeling'!$N$9,0))),0))</f>
        <v>1222.1254013628163</v>
      </c>
      <c r="BN36" s="799">
        <f>IF(BN$12=$F36+1,IF(Monthly!BJ$4=TRUE,0,BN$3),IF(BN$12&gt;$F36+1,RentalsVacates!BM36*(1-IF(BN$12-$F36&lt;=12,SUMIFS('Attrition Modeling'!$D:$D,'Attrition Modeling'!$B:$B,$E36,'Attrition Modeling'!$C:$C,BN$11),VLOOKUP(RentalsVacates!BN$12-RentalsVacates!$F36-1,RentalsVacates!$A$8:$C$162,2,FALSE)*VLOOKUP(BN$11,'Attrition Modeling'!$L$15:$N$27,IF(BN$12-$F36&lt;=24,2,3),FALSE))*(1+IF('Traditional Attrition'!BN158&gt;0,'Attrition Modeling'!$N$9,0))),0))</f>
        <v>1181.9223467199465</v>
      </c>
      <c r="BO36" s="799">
        <f>IF(BO$12=$F36+1,IF(Monthly!BK$4=TRUE,0,BO$3),IF(BO$12&gt;$F36+1,RentalsVacates!BN36*(1-IF(BO$12-$F36&lt;=12,SUMIFS('Attrition Modeling'!$D:$D,'Attrition Modeling'!$B:$B,$E36,'Attrition Modeling'!$C:$C,BO$11),VLOOKUP(RentalsVacates!BO$12-RentalsVacates!$F36-1,RentalsVacates!$A$8:$C$162,2,FALSE)*VLOOKUP(BO$11,'Attrition Modeling'!$L$15:$N$27,IF(BO$12-$F36&lt;=24,2,3),FALSE))*(1+IF('Traditional Attrition'!BO158&gt;0,'Attrition Modeling'!$N$9,0))),0))</f>
        <v>1150.2292038511225</v>
      </c>
      <c r="BP36" s="799">
        <f>IF(BP$12=$F36+1,IF(Monthly!BL$4=TRUE,0,BP$3),IF(BP$12&gt;$F36+1,RentalsVacates!BO36*(1-IF(BP$12-$F36&lt;=12,SUMIFS('Attrition Modeling'!$D:$D,'Attrition Modeling'!$B:$B,$E36,'Attrition Modeling'!$C:$C,BP$11),VLOOKUP(RentalsVacates!BP$12-RentalsVacates!$F36-1,RentalsVacates!$A$8:$C$162,2,FALSE)*VLOOKUP(BP$11,'Attrition Modeling'!$L$15:$N$27,IF(BP$12-$F36&lt;=24,2,3),FALSE))*(1+IF('Traditional Attrition'!BP158&gt;0,'Attrition Modeling'!$N$9,0))),0))</f>
        <v>1116.4458843182329</v>
      </c>
      <c r="BQ36" s="799">
        <f>IF(BQ$12=$F36+1,IF(Monthly!BM$4=TRUE,0,BQ$3),IF(BQ$12&gt;$F36+1,RentalsVacates!BP36*(1-IF(BQ$12-$F36&lt;=12,SUMIFS('Attrition Modeling'!$D:$D,'Attrition Modeling'!$B:$B,$E36,'Attrition Modeling'!$C:$C,BQ$11),VLOOKUP(RentalsVacates!BQ$12-RentalsVacates!$F36-1,RentalsVacates!$A$8:$C$162,2,FALSE)*VLOOKUP(BQ$11,'Attrition Modeling'!$L$15:$N$27,IF(BQ$12-$F36&lt;=24,2,3),FALSE))*(1+IF('Traditional Attrition'!BQ158&gt;0,'Attrition Modeling'!$N$9,0))),0))</f>
        <v>1085.0158677569057</v>
      </c>
      <c r="BR36" s="799">
        <f>IF(BR$12=$F36+1,IF(Monthly!BN$4=TRUE,0,BR$3),IF(BR$12&gt;$F36+1,RentalsVacates!BQ36*(1-IF(BR$12-$F36&lt;=12,SUMIFS('Attrition Modeling'!$D:$D,'Attrition Modeling'!$B:$B,$E36,'Attrition Modeling'!$C:$C,BR$11),VLOOKUP(RentalsVacates!BR$12-RentalsVacates!$F36-1,RentalsVacates!$A$8:$C$162,2,FALSE)*VLOOKUP(BR$11,'Attrition Modeling'!$L$15:$N$27,IF(BR$12-$F36&lt;=24,2,3),FALSE))*(1+IF('Traditional Attrition'!BR158&gt;0,'Attrition Modeling'!$N$9,0))),0))</f>
        <v>1056.0557732580107</v>
      </c>
      <c r="BS36" s="799">
        <f>IF(BS$12=$F36+1,IF(Monthly!BO$4=TRUE,0,BS$3),IF(BS$12&gt;$F36+1,RentalsVacates!BR36*(1-IF(BS$12-$F36&lt;=12,SUMIFS('Attrition Modeling'!$D:$D,'Attrition Modeling'!$B:$B,$E36,'Attrition Modeling'!$C:$C,BS$11),VLOOKUP(RentalsVacates!BS$12-RentalsVacates!$F36-1,RentalsVacates!$A$8:$C$162,2,FALSE)*VLOOKUP(BS$11,'Attrition Modeling'!$L$15:$N$27,IF(BS$12-$F36&lt;=24,2,3),FALSE))*(1+IF('Traditional Attrition'!BS158&gt;0,'Attrition Modeling'!$N$9,0))),0))</f>
        <v>1033.8666098360163</v>
      </c>
      <c r="BT36" s="799">
        <f>IF(BT$11=$F35+1,IF(Monthly!#REF!=TRUE,0,BT$3),IF(BT$11&gt;$F35+1,RentalsVacates!BS35*(1-IF(BT$11-$F35&lt;=12,SUMIFS('Attrition Modeling'!$D:$D,'Attrition Modeling'!$B:$B,$E35,'Attrition Modeling'!$C:$C,BT$10),VLOOKUP(RentalsVacates!BT$11-RentalsVacates!$F35-1,RentalsVacates!$A$7:$C$161,2,FALSE)*VLOOKUP(BT$10,'Attrition Modeling'!$L$15:$N$27,IF(BT$11-$F35&lt;=24,2,3),FALSE))*(1+IF('Traditional Attrition'!BT158&gt;0,'Attrition Modeling'!$N$9,0))),0))</f>
        <v>0</v>
      </c>
      <c r="BU36" s="799">
        <f>IF(BU$11=$F35+1,IF(Monthly!#REF!=TRUE,0,BU$3),IF(BU$11&gt;$F35+1,RentalsVacates!BT35*(1-IF(BU$11-$F35&lt;=12,SUMIFS('Attrition Modeling'!$D:$D,'Attrition Modeling'!$B:$B,$E35,'Attrition Modeling'!$C:$C,BU$10),VLOOKUP(RentalsVacates!BU$11-RentalsVacates!$F35-1,RentalsVacates!$A$7:$C$161,2,FALSE)*VLOOKUP(BU$10,'Attrition Modeling'!$L$15:$N$27,IF(BU$11-$F35&lt;=24,2,3),FALSE))*(1+IF('Traditional Attrition'!BU158&gt;0,'Attrition Modeling'!$N$9,0))),0))</f>
        <v>0</v>
      </c>
    </row>
    <row r="37" spans="1:73" ht="14.25" customHeight="1" x14ac:dyDescent="0.2">
      <c r="A37" s="9">
        <v>29</v>
      </c>
      <c r="B37" s="25">
        <f>MAX('Attrition Modeling'!H33,$C$3)*(1-Summary!$C$20)</f>
        <v>3.3473084141557072E-2</v>
      </c>
      <c r="C37" s="24" t="e">
        <f t="shared" si="2"/>
        <v>#DIV/0!</v>
      </c>
      <c r="E37" s="11">
        <f>'Traditional Attrition'!E94</f>
        <v>12</v>
      </c>
      <c r="F37" s="11">
        <f t="shared" si="4"/>
        <v>24</v>
      </c>
      <c r="G37" s="799"/>
      <c r="H37" s="799">
        <f>IF(H$12=$F37+1,IF(Monthly!D$4=TRUE,0,H$3),IF(H$12&gt;$F37+1,RentalsVacates!G37*(1-IF(H$12-$F37&lt;=12,SUMIFS('Attrition Modeling'!$D:$D,'Attrition Modeling'!$B:$B,$E37,'Attrition Modeling'!$C:$C,H$11),VLOOKUP(RentalsVacates!H$12-RentalsVacates!$F37-1,RentalsVacates!$A$8:$C$162,2,FALSE)*VLOOKUP(H$11,'Attrition Modeling'!$L$15:$N$27,IF(H$12-$F37&lt;=24,2,3),FALSE))*(1+IF('Traditional Attrition'!H159&gt;0,'Attrition Modeling'!$N$9,0))),0))</f>
        <v>0</v>
      </c>
      <c r="I37" s="799">
        <f>IF(I$12=$F37+1,IF(Monthly!E$4=TRUE,0,I$3),IF(I$12&gt;$F37+1,RentalsVacates!H37*(1-IF(I$12-$F37&lt;=12,SUMIFS('Attrition Modeling'!$D:$D,'Attrition Modeling'!$B:$B,$E37,'Attrition Modeling'!$C:$C,I$11),VLOOKUP(RentalsVacates!I$12-RentalsVacates!$F37-1,RentalsVacates!$A$8:$C$162,2,FALSE)*VLOOKUP(I$11,'Attrition Modeling'!$L$15:$N$27,IF(I$12-$F37&lt;=24,2,3),FALSE))*(1+IF('Traditional Attrition'!I159&gt;0,'Attrition Modeling'!$N$9,0))),0))</f>
        <v>0</v>
      </c>
      <c r="J37" s="799">
        <f>IF(J$12=$F37+1,IF(Monthly!F$4=TRUE,0,J$3),IF(J$12&gt;$F37+1,RentalsVacates!I37*(1-IF(J$12-$F37&lt;=12,SUMIFS('Attrition Modeling'!$D:$D,'Attrition Modeling'!$B:$B,$E37,'Attrition Modeling'!$C:$C,J$11),VLOOKUP(RentalsVacates!J$12-RentalsVacates!$F37-1,RentalsVacates!$A$8:$C$162,2,FALSE)*VLOOKUP(J$11,'Attrition Modeling'!$L$15:$N$27,IF(J$12-$F37&lt;=24,2,3),FALSE))*(1+IF('Traditional Attrition'!J159&gt;0,'Attrition Modeling'!$N$9,0))),0))</f>
        <v>0</v>
      </c>
      <c r="K37" s="799">
        <f>IF(K$12=$F37+1,IF(Monthly!G$4=TRUE,0,K$3),IF(K$12&gt;$F37+1,RentalsVacates!J37*(1-IF(K$12-$F37&lt;=12,SUMIFS('Attrition Modeling'!$D:$D,'Attrition Modeling'!$B:$B,$E37,'Attrition Modeling'!$C:$C,K$11),VLOOKUP(RentalsVacates!K$12-RentalsVacates!$F37-1,RentalsVacates!$A$8:$C$162,2,FALSE)*VLOOKUP(K$11,'Attrition Modeling'!$L$15:$N$27,IF(K$12-$F37&lt;=24,2,3),FALSE))*(1+IF('Traditional Attrition'!K159&gt;0,'Attrition Modeling'!$N$9,0))),0))</f>
        <v>0</v>
      </c>
      <c r="L37" s="799">
        <f>IF(L$12=$F37+1,IF(Monthly!H$4=TRUE,0,L$3),IF(L$12&gt;$F37+1,RentalsVacates!K37*(1-IF(L$12-$F37&lt;=12,SUMIFS('Attrition Modeling'!$D:$D,'Attrition Modeling'!$B:$B,$E37,'Attrition Modeling'!$C:$C,L$11),VLOOKUP(RentalsVacates!L$12-RentalsVacates!$F37-1,RentalsVacates!$A$8:$C$162,2,FALSE)*VLOOKUP(L$11,'Attrition Modeling'!$L$15:$N$27,IF(L$12-$F37&lt;=24,2,3),FALSE))*(1+IF('Traditional Attrition'!L159&gt;0,'Attrition Modeling'!$N$9,0))),0))</f>
        <v>0</v>
      </c>
      <c r="M37" s="799">
        <f>IF(M$12=$F37+1,IF(Monthly!I$4=TRUE,0,M$3),IF(M$12&gt;$F37+1,RentalsVacates!L37*(1-IF(M$12-$F37&lt;=12,SUMIFS('Attrition Modeling'!$D:$D,'Attrition Modeling'!$B:$B,$E37,'Attrition Modeling'!$C:$C,M$11),VLOOKUP(RentalsVacates!M$12-RentalsVacates!$F37-1,RentalsVacates!$A$8:$C$162,2,FALSE)*VLOOKUP(M$11,'Attrition Modeling'!$L$15:$N$27,IF(M$12-$F37&lt;=24,2,3),FALSE))*(1+IF('Traditional Attrition'!M159&gt;0,'Attrition Modeling'!$N$9,0))),0))</f>
        <v>0</v>
      </c>
      <c r="N37" s="799">
        <f>IF(N$12=$F37+1,IF(Monthly!J$4=TRUE,0,N$3),IF(N$12&gt;$F37+1,RentalsVacates!M37*(1-IF(N$12-$F37&lt;=12,SUMIFS('Attrition Modeling'!$D:$D,'Attrition Modeling'!$B:$B,$E37,'Attrition Modeling'!$C:$C,N$11),VLOOKUP(RentalsVacates!N$12-RentalsVacates!$F37-1,RentalsVacates!$A$8:$C$162,2,FALSE)*VLOOKUP(N$11,'Attrition Modeling'!$L$15:$N$27,IF(N$12-$F37&lt;=24,2,3),FALSE))*(1+IF('Traditional Attrition'!N159&gt;0,'Attrition Modeling'!$N$9,0))),0))</f>
        <v>0</v>
      </c>
      <c r="O37" s="799">
        <f>IF(O$12=$F37+1,IF(Monthly!K$4=TRUE,0,O$3),IF(O$12&gt;$F37+1,RentalsVacates!N37*(1-IF(O$12-$F37&lt;=12,SUMIFS('Attrition Modeling'!$D:$D,'Attrition Modeling'!$B:$B,$E37,'Attrition Modeling'!$C:$C,O$11),VLOOKUP(RentalsVacates!O$12-RentalsVacates!$F37-1,RentalsVacates!$A$8:$C$162,2,FALSE)*VLOOKUP(O$11,'Attrition Modeling'!$L$15:$N$27,IF(O$12-$F37&lt;=24,2,3),FALSE))*(1+IF('Traditional Attrition'!O159&gt;0,'Attrition Modeling'!$N$9,0))),0))</f>
        <v>0</v>
      </c>
      <c r="P37" s="799">
        <f>IF(P$12=$F37+1,IF(Monthly!L$4=TRUE,0,P$3),IF(P$12&gt;$F37+1,RentalsVacates!O37*(1-IF(P$12-$F37&lt;=12,SUMIFS('Attrition Modeling'!$D:$D,'Attrition Modeling'!$B:$B,$E37,'Attrition Modeling'!$C:$C,P$11),VLOOKUP(RentalsVacates!P$12-RentalsVacates!$F37-1,RentalsVacates!$A$8:$C$162,2,FALSE)*VLOOKUP(P$11,'Attrition Modeling'!$L$15:$N$27,IF(P$12-$F37&lt;=24,2,3),FALSE))*(1+IF('Traditional Attrition'!P159&gt;0,'Attrition Modeling'!$N$9,0))),0))</f>
        <v>0</v>
      </c>
      <c r="Q37" s="799">
        <f>IF(Q$12=$F37+1,IF(Monthly!M$4=TRUE,0,Q$3),IF(Q$12&gt;$F37+1,RentalsVacates!P37*(1-IF(Q$12-$F37&lt;=12,SUMIFS('Attrition Modeling'!$D:$D,'Attrition Modeling'!$B:$B,$E37,'Attrition Modeling'!$C:$C,Q$11),VLOOKUP(RentalsVacates!Q$12-RentalsVacates!$F37-1,RentalsVacates!$A$8:$C$162,2,FALSE)*VLOOKUP(Q$11,'Attrition Modeling'!$L$15:$N$27,IF(Q$12-$F37&lt;=24,2,3),FALSE))*(1+IF('Traditional Attrition'!Q159&gt;0,'Attrition Modeling'!$N$9,0))),0))</f>
        <v>0</v>
      </c>
      <c r="R37" s="799">
        <f>IF(R$12=$F37+1,IF(Monthly!N$4=TRUE,0,R$3),IF(R$12&gt;$F37+1,RentalsVacates!Q37*(1-IF(R$12-$F37&lt;=12,SUMIFS('Attrition Modeling'!$D:$D,'Attrition Modeling'!$B:$B,$E37,'Attrition Modeling'!$C:$C,R$11),VLOOKUP(RentalsVacates!R$12-RentalsVacates!$F37-1,RentalsVacates!$A$8:$C$162,2,FALSE)*VLOOKUP(R$11,'Attrition Modeling'!$L$15:$N$27,IF(R$12-$F37&lt;=24,2,3),FALSE))*(1+IF('Traditional Attrition'!R159&gt;0,'Attrition Modeling'!$N$9,0))),0))</f>
        <v>0</v>
      </c>
      <c r="S37" s="799">
        <f>IF(S$12=$F37+1,IF(Monthly!O$4=TRUE,0,S$3),IF(S$12&gt;$F37+1,RentalsVacates!R37*(1-IF(S$12-$F37&lt;=12,SUMIFS('Attrition Modeling'!$D:$D,'Attrition Modeling'!$B:$B,$E37,'Attrition Modeling'!$C:$C,S$11),VLOOKUP(RentalsVacates!S$12-RentalsVacates!$F37-1,RentalsVacates!$A$8:$C$162,2,FALSE)*VLOOKUP(S$11,'Attrition Modeling'!$L$15:$N$27,IF(S$12-$F37&lt;=24,2,3),FALSE))*(1+IF('Traditional Attrition'!S159&gt;0,'Attrition Modeling'!$N$9,0))),0))</f>
        <v>0</v>
      </c>
      <c r="T37" s="799">
        <f>IF(T$12=$F37+1,IF(Monthly!P$4=TRUE,0,T$3),IF(T$12&gt;$F37+1,RentalsVacates!S37*(1-IF(T$12-$F37&lt;=12,SUMIFS('Attrition Modeling'!$D:$D,'Attrition Modeling'!$B:$B,$E37,'Attrition Modeling'!$C:$C,T$11),VLOOKUP(RentalsVacates!T$12-RentalsVacates!$F37-1,RentalsVacates!$A$8:$C$162,2,FALSE)*VLOOKUP(T$11,'Attrition Modeling'!$L$15:$N$27,IF(T$12-$F37&lt;=24,2,3),FALSE))*(1+IF('Traditional Attrition'!T159&gt;0,'Attrition Modeling'!$N$9,0))),0))</f>
        <v>0</v>
      </c>
      <c r="U37" s="799">
        <f>IF(U$12=$F37+1,IF(Monthly!Q$4=TRUE,0,U$3),IF(U$12&gt;$F37+1,RentalsVacates!T37*(1-IF(U$12-$F37&lt;=12,SUMIFS('Attrition Modeling'!$D:$D,'Attrition Modeling'!$B:$B,$E37,'Attrition Modeling'!$C:$C,U$11),VLOOKUP(RentalsVacates!U$12-RentalsVacates!$F37-1,RentalsVacates!$A$8:$C$162,2,FALSE)*VLOOKUP(U$11,'Attrition Modeling'!$L$15:$N$27,IF(U$12-$F37&lt;=24,2,3),FALSE))*(1+IF('Traditional Attrition'!U159&gt;0,'Attrition Modeling'!$N$9,0))),0))</f>
        <v>0</v>
      </c>
      <c r="V37" s="799">
        <f>IF(V$12=$F37+1,IF(Monthly!R$4=TRUE,0,V$3),IF(V$12&gt;$F37+1,RentalsVacates!U37*(1-IF(V$12-$F37&lt;=12,SUMIFS('Attrition Modeling'!$D:$D,'Attrition Modeling'!$B:$B,$E37,'Attrition Modeling'!$C:$C,V$11),VLOOKUP(RentalsVacates!V$12-RentalsVacates!$F37-1,RentalsVacates!$A$8:$C$162,2,FALSE)*VLOOKUP(V$11,'Attrition Modeling'!$L$15:$N$27,IF(V$12-$F37&lt;=24,2,3),FALSE))*(1+IF('Traditional Attrition'!V159&gt;0,'Attrition Modeling'!$N$9,0))),0))</f>
        <v>0</v>
      </c>
      <c r="W37" s="799">
        <f>IF(W$12=$F37+1,IF(Monthly!S$4=TRUE,0,W$3),IF(W$12&gt;$F37+1,RentalsVacates!V37*(1-IF(W$12-$F37&lt;=12,SUMIFS('Attrition Modeling'!$D:$D,'Attrition Modeling'!$B:$B,$E37,'Attrition Modeling'!$C:$C,W$11),VLOOKUP(RentalsVacates!W$12-RentalsVacates!$F37-1,RentalsVacates!$A$8:$C$162,2,FALSE)*VLOOKUP(W$11,'Attrition Modeling'!$L$15:$N$27,IF(W$12-$F37&lt;=24,2,3),FALSE))*(1+IF('Traditional Attrition'!W159&gt;0,'Attrition Modeling'!$N$9,0))),0))</f>
        <v>0</v>
      </c>
      <c r="X37" s="799">
        <f>IF(X$12=$F37+1,IF(Monthly!T$4=TRUE,0,X$3),IF(X$12&gt;$F37+1,RentalsVacates!W37*(1-IF(X$12-$F37&lt;=12,SUMIFS('Attrition Modeling'!$D:$D,'Attrition Modeling'!$B:$B,$E37,'Attrition Modeling'!$C:$C,X$11),VLOOKUP(RentalsVacates!X$12-RentalsVacates!$F37-1,RentalsVacates!$A$8:$C$162,2,FALSE)*VLOOKUP(X$11,'Attrition Modeling'!$L$15:$N$27,IF(X$12-$F37&lt;=24,2,3),FALSE))*(1+IF('Traditional Attrition'!X159&gt;0,'Attrition Modeling'!$N$9,0))),0))</f>
        <v>0</v>
      </c>
      <c r="Y37" s="799">
        <f>IF(Y$12=$F37+1,IF(Monthly!U$4=TRUE,0,Y$3),IF(Y$12&gt;$F37+1,RentalsVacates!X37*(1-IF(Y$12-$F37&lt;=12,SUMIFS('Attrition Modeling'!$D:$D,'Attrition Modeling'!$B:$B,$E37,'Attrition Modeling'!$C:$C,Y$11),VLOOKUP(RentalsVacates!Y$12-RentalsVacates!$F37-1,RentalsVacates!$A$8:$C$162,2,FALSE)*VLOOKUP(Y$11,'Attrition Modeling'!$L$15:$N$27,IF(Y$12-$F37&lt;=24,2,3),FALSE))*(1+IF('Traditional Attrition'!Y159&gt;0,'Attrition Modeling'!$N$9,0))),0))</f>
        <v>0</v>
      </c>
      <c r="Z37" s="799">
        <f>IF(Z$12=$F37+1,IF(Monthly!V$4=TRUE,0,Z$3),IF(Z$12&gt;$F37+1,RentalsVacates!Y37*(1-IF(Z$12-$F37&lt;=12,SUMIFS('Attrition Modeling'!$D:$D,'Attrition Modeling'!$B:$B,$E37,'Attrition Modeling'!$C:$C,Z$11),VLOOKUP(RentalsVacates!Z$12-RentalsVacates!$F37-1,RentalsVacates!$A$8:$C$162,2,FALSE)*VLOOKUP(Z$11,'Attrition Modeling'!$L$15:$N$27,IF(Z$12-$F37&lt;=24,2,3),FALSE))*(1+IF('Traditional Attrition'!Z159&gt;0,'Attrition Modeling'!$N$9,0))),0))</f>
        <v>0</v>
      </c>
      <c r="AA37" s="799">
        <f>IF(AA$12=$F37+1,IF(Monthly!W$4=TRUE,0,AA$3),IF(AA$12&gt;$F37+1,RentalsVacates!Z37*(1-IF(AA$12-$F37&lt;=12,SUMIFS('Attrition Modeling'!$D:$D,'Attrition Modeling'!$B:$B,$E37,'Attrition Modeling'!$C:$C,AA$11),VLOOKUP(RentalsVacates!AA$12-RentalsVacates!$F37-1,RentalsVacates!$A$8:$C$162,2,FALSE)*VLOOKUP(AA$11,'Attrition Modeling'!$L$15:$N$27,IF(AA$12-$F37&lt;=24,2,3),FALSE))*(1+IF('Traditional Attrition'!AA159&gt;0,'Attrition Modeling'!$N$9,0))),0))</f>
        <v>0</v>
      </c>
      <c r="AB37" s="799">
        <f>IF(AB$12=$F37+1,IF(Monthly!X$4=TRUE,0,AB$3),IF(AB$12&gt;$F37+1,RentalsVacates!AA37*(1-IF(AB$12-$F37&lt;=12,SUMIFS('Attrition Modeling'!$D:$D,'Attrition Modeling'!$B:$B,$E37,'Attrition Modeling'!$C:$C,AB$11),VLOOKUP(RentalsVacates!AB$12-RentalsVacates!$F37-1,RentalsVacates!$A$8:$C$162,2,FALSE)*VLOOKUP(AB$11,'Attrition Modeling'!$L$15:$N$27,IF(AB$12-$F37&lt;=24,2,3),FALSE))*(1+IF('Traditional Attrition'!AB159&gt;0,'Attrition Modeling'!$N$9,0))),0))</f>
        <v>0</v>
      </c>
      <c r="AC37" s="799">
        <f>IF(AC$12=$F37+1,IF(Monthly!Y$4=TRUE,0,AC$3),IF(AC$12&gt;$F37+1,RentalsVacates!AB37*(1-IF(AC$12-$F37&lt;=12,SUMIFS('Attrition Modeling'!$D:$D,'Attrition Modeling'!$B:$B,$E37,'Attrition Modeling'!$C:$C,AC$11),VLOOKUP(RentalsVacates!AC$12-RentalsVacates!$F37-1,RentalsVacates!$A$8:$C$162,2,FALSE)*VLOOKUP(AC$11,'Attrition Modeling'!$L$15:$N$27,IF(AC$12-$F37&lt;=24,2,3),FALSE))*(1+IF('Traditional Attrition'!AC159&gt;0,'Attrition Modeling'!$N$9,0))),0))</f>
        <v>0</v>
      </c>
      <c r="AD37" s="799">
        <f>IF(AD$12=$F37+1,IF(Monthly!Z$4=TRUE,0,AD$3),IF(AD$12&gt;$F37+1,RentalsVacates!AC37*(1-IF(AD$12-$F37&lt;=12,SUMIFS('Attrition Modeling'!$D:$D,'Attrition Modeling'!$B:$B,$E37,'Attrition Modeling'!$C:$C,AD$11),VLOOKUP(RentalsVacates!AD$12-RentalsVacates!$F37-1,RentalsVacates!$A$8:$C$162,2,FALSE)*VLOOKUP(AD$11,'Attrition Modeling'!$L$15:$N$27,IF(AD$12-$F37&lt;=24,2,3),FALSE))*(1+IF('Traditional Attrition'!AD159&gt;0,'Attrition Modeling'!$N$9,0))),0))</f>
        <v>0</v>
      </c>
      <c r="AE37" s="799">
        <f>IF(AE$12=$F37+1,IF(Monthly!AA$4=TRUE,0,AE$3),IF(AE$12&gt;$F37+1,RentalsVacates!AD37*(1-IF(AE$12-$F37&lt;=12,SUMIFS('Attrition Modeling'!$D:$D,'Attrition Modeling'!$B:$B,$E37,'Attrition Modeling'!$C:$C,AE$11),VLOOKUP(RentalsVacates!AE$12-RentalsVacates!$F37-1,RentalsVacates!$A$8:$C$162,2,FALSE)*VLOOKUP(AE$11,'Attrition Modeling'!$L$15:$N$27,IF(AE$12-$F37&lt;=24,2,3),FALSE))*(1+IF('Traditional Attrition'!AE159&gt;0,'Attrition Modeling'!$N$9,0))),0))</f>
        <v>0</v>
      </c>
      <c r="AF37" s="799">
        <f>IF(AF$12=$F37+1,IF(Monthly!AB$4=TRUE,0,AF$3),IF(AF$12&gt;$F37+1,RentalsVacates!AE37*(1-IF(AF$12-$F37&lt;=12,SUMIFS('Attrition Modeling'!$D:$D,'Attrition Modeling'!$B:$B,$E37,'Attrition Modeling'!$C:$C,AF$11),VLOOKUP(RentalsVacates!AF$12-RentalsVacates!$F37-1,RentalsVacates!$A$8:$C$162,2,FALSE)*VLOOKUP(AF$11,'Attrition Modeling'!$L$15:$N$27,IF(AF$12-$F37&lt;=24,2,3),FALSE))*(1+IF('Traditional Attrition'!AF159&gt;0,'Attrition Modeling'!$N$9,0))),0))</f>
        <v>6434.7078332590754</v>
      </c>
      <c r="AG37" s="799">
        <f>IF(AG$12=$F37+1,IF(Monthly!AC$4=TRUE,0,AG$3),IF(AG$12&gt;$F37+1,RentalsVacates!AF37*(1-IF(AG$12-$F37&lt;=12,SUMIFS('Attrition Modeling'!$D:$D,'Attrition Modeling'!$B:$B,$E37,'Attrition Modeling'!$C:$C,AG$11),VLOOKUP(RentalsVacates!AG$12-RentalsVacates!$F37-1,RentalsVacates!$A$8:$C$162,2,FALSE)*VLOOKUP(AG$11,'Attrition Modeling'!$L$15:$N$27,IF(AG$12-$F37&lt;=24,2,3),FALSE))*(1+IF('Traditional Attrition'!AG159&gt;0,'Attrition Modeling'!$N$9,0))),0))</f>
        <v>5823.721128099497</v>
      </c>
      <c r="AH37" s="799">
        <f>IF(AH$12=$F37+1,IF(Monthly!AD$4=TRUE,0,AH$3),IF(AH$12&gt;$F37+1,RentalsVacates!AG37*(1-IF(AH$12-$F37&lt;=12,SUMIFS('Attrition Modeling'!$D:$D,'Attrition Modeling'!$B:$B,$E37,'Attrition Modeling'!$C:$C,AH$11),VLOOKUP(RentalsVacates!AH$12-RentalsVacates!$F37-1,RentalsVacates!$A$8:$C$162,2,FALSE)*VLOOKUP(AH$11,'Attrition Modeling'!$L$15:$N$27,IF(AH$12-$F37&lt;=24,2,3),FALSE))*(1+IF('Traditional Attrition'!AH159&gt;0,'Attrition Modeling'!$N$9,0))),0))</f>
        <v>5319.0401340501139</v>
      </c>
      <c r="AI37" s="799">
        <f>IF(AI$12=$F37+1,IF(Monthly!AE$4=TRUE,0,AI$3),IF(AI$12&gt;$F37+1,RentalsVacates!AH37*(1-IF(AI$12-$F37&lt;=12,SUMIFS('Attrition Modeling'!$D:$D,'Attrition Modeling'!$B:$B,$E37,'Attrition Modeling'!$C:$C,AI$11),VLOOKUP(RentalsVacates!AI$12-RentalsVacates!$F37-1,RentalsVacates!$A$8:$C$162,2,FALSE)*VLOOKUP(AI$11,'Attrition Modeling'!$L$15:$N$27,IF(AI$12-$F37&lt;=24,2,3),FALSE))*(1+IF('Traditional Attrition'!AI159&gt;0,'Attrition Modeling'!$N$9,0))),0))</f>
        <v>4843.5952317191814</v>
      </c>
      <c r="AJ37" s="799">
        <f>IF(AJ$12=$F37+1,IF(Monthly!AF$4=TRUE,0,AJ$3),IF(AJ$12&gt;$F37+1,RentalsVacates!AI37*(1-IF(AJ$12-$F37&lt;=12,SUMIFS('Attrition Modeling'!$D:$D,'Attrition Modeling'!$B:$B,$E37,'Attrition Modeling'!$C:$C,AJ$11),VLOOKUP(RentalsVacates!AJ$12-RentalsVacates!$F37-1,RentalsVacates!$A$8:$C$162,2,FALSE)*VLOOKUP(AJ$11,'Attrition Modeling'!$L$15:$N$27,IF(AJ$12-$F37&lt;=24,2,3),FALSE))*(1+IF('Traditional Attrition'!AJ159&gt;0,'Attrition Modeling'!$N$9,0))),0))</f>
        <v>4430.701745292472</v>
      </c>
      <c r="AK37" s="799">
        <f>IF(AK$12=$F37+1,IF(Monthly!AG$4=TRUE,0,AK$3),IF(AK$12&gt;$F37+1,RentalsVacates!AJ37*(1-IF(AK$12-$F37&lt;=12,SUMIFS('Attrition Modeling'!$D:$D,'Attrition Modeling'!$B:$B,$E37,'Attrition Modeling'!$C:$C,AK$11),VLOOKUP(RentalsVacates!AK$12-RentalsVacates!$F37-1,RentalsVacates!$A$8:$C$162,2,FALSE)*VLOOKUP(AK$11,'Attrition Modeling'!$L$15:$N$27,IF(AK$12-$F37&lt;=24,2,3),FALSE))*(1+IF('Traditional Attrition'!AK159&gt;0,'Attrition Modeling'!$N$9,0))),0))</f>
        <v>4029.539097378969</v>
      </c>
      <c r="AL37" s="799">
        <f>IF(AL$12=$F37+1,IF(Monthly!AH$4=TRUE,0,AL$3),IF(AL$12&gt;$F37+1,RentalsVacates!AK37*(1-IF(AL$12-$F37&lt;=12,SUMIFS('Attrition Modeling'!$D:$D,'Attrition Modeling'!$B:$B,$E37,'Attrition Modeling'!$C:$C,AL$11),VLOOKUP(RentalsVacates!AL$12-RentalsVacates!$F37-1,RentalsVacates!$A$8:$C$162,2,FALSE)*VLOOKUP(AL$11,'Attrition Modeling'!$L$15:$N$27,IF(AL$12-$F37&lt;=24,2,3),FALSE))*(1+IF('Traditional Attrition'!AL159&gt;0,'Attrition Modeling'!$N$9,0))),0))</f>
        <v>3725.5297948601751</v>
      </c>
      <c r="AM37" s="799">
        <f>IF(AM$12=$F37+1,IF(Monthly!AI$4=TRUE,0,AM$3),IF(AM$12&gt;$F37+1,RentalsVacates!AL37*(1-IF(AM$12-$F37&lt;=12,SUMIFS('Attrition Modeling'!$D:$D,'Attrition Modeling'!$B:$B,$E37,'Attrition Modeling'!$C:$C,AM$11),VLOOKUP(RentalsVacates!AM$12-RentalsVacates!$F37-1,RentalsVacates!$A$8:$C$162,2,FALSE)*VLOOKUP(AM$11,'Attrition Modeling'!$L$15:$N$27,IF(AM$12-$F37&lt;=24,2,3),FALSE))*(1+IF('Traditional Attrition'!AM159&gt;0,'Attrition Modeling'!$N$9,0))),0))</f>
        <v>3455.6459340986607</v>
      </c>
      <c r="AN37" s="799">
        <f>IF(AN$12=$F37+1,IF(Monthly!AJ$4=TRUE,0,AN$3),IF(AN$12&gt;$F37+1,RentalsVacates!AM37*(1-IF(AN$12-$F37&lt;=12,SUMIFS('Attrition Modeling'!$D:$D,'Attrition Modeling'!$B:$B,$E37,'Attrition Modeling'!$C:$C,AN$11),VLOOKUP(RentalsVacates!AN$12-RentalsVacates!$F37-1,RentalsVacates!$A$8:$C$162,2,FALSE)*VLOOKUP(AN$11,'Attrition Modeling'!$L$15:$N$27,IF(AN$12-$F37&lt;=24,2,3),FALSE))*(1+IF('Traditional Attrition'!AN159&gt;0,'Attrition Modeling'!$N$9,0))),0))</f>
        <v>3236.5387684854122</v>
      </c>
      <c r="AO37" s="799">
        <f>IF(AO$12=$F37+1,IF(Monthly!AK$4=TRUE,0,AO$3),IF(AO$12&gt;$F37+1,RentalsVacates!AN37*(1-IF(AO$12-$F37&lt;=12,SUMIFS('Attrition Modeling'!$D:$D,'Attrition Modeling'!$B:$B,$E37,'Attrition Modeling'!$C:$C,AO$11),VLOOKUP(RentalsVacates!AO$12-RentalsVacates!$F37-1,RentalsVacates!$A$8:$C$162,2,FALSE)*VLOOKUP(AO$11,'Attrition Modeling'!$L$15:$N$27,IF(AO$12-$F37&lt;=24,2,3),FALSE))*(1+IF('Traditional Attrition'!AO159&gt;0,'Attrition Modeling'!$N$9,0))),0))</f>
        <v>3037.5297930156398</v>
      </c>
      <c r="AP37" s="799">
        <f>IF(AP$12=$F37+1,IF(Monthly!AL$4=TRUE,0,AP$3),IF(AP$12&gt;$F37+1,RentalsVacates!AO37*(1-IF(AP$12-$F37&lt;=12,SUMIFS('Attrition Modeling'!$D:$D,'Attrition Modeling'!$B:$B,$E37,'Attrition Modeling'!$C:$C,AP$11),VLOOKUP(RentalsVacates!AP$12-RentalsVacates!$F37-1,RentalsVacates!$A$8:$C$162,2,FALSE)*VLOOKUP(AP$11,'Attrition Modeling'!$L$15:$N$27,IF(AP$12-$F37&lt;=24,2,3),FALSE))*(1+IF('Traditional Attrition'!AP159&gt;0,'Attrition Modeling'!$N$9,0))),0))</f>
        <v>2870.3389894074112</v>
      </c>
      <c r="AQ37" s="799">
        <f>IF(AQ$12=$F37+1,IF(Monthly!AM$4=TRUE,0,AQ$3),IF(AQ$12&gt;$F37+1,RentalsVacates!AP37*(1-IF(AQ$12-$F37&lt;=12,SUMIFS('Attrition Modeling'!$D:$D,'Attrition Modeling'!$B:$B,$E37,'Attrition Modeling'!$C:$C,AQ$11),VLOOKUP(RentalsVacates!AQ$12-RentalsVacates!$F37-1,RentalsVacates!$A$8:$C$162,2,FALSE)*VLOOKUP(AQ$11,'Attrition Modeling'!$L$15:$N$27,IF(AQ$12-$F37&lt;=24,2,3),FALSE))*(1+IF('Traditional Attrition'!AQ159&gt;0,'Attrition Modeling'!$N$9,0))),0))</f>
        <v>2780.9388371755299</v>
      </c>
      <c r="AR37" s="799">
        <f>IF(AR$12=$F37+1,IF(Monthly!AN$4=TRUE,0,AR$3),IF(AR$12&gt;$F37+1,RentalsVacates!AQ37*(1-IF(AR$12-$F37&lt;=12,SUMIFS('Attrition Modeling'!$D:$D,'Attrition Modeling'!$B:$B,$E37,'Attrition Modeling'!$C:$C,AR$11),VLOOKUP(RentalsVacates!AR$12-RentalsVacates!$F37-1,RentalsVacates!$A$8:$C$162,2,FALSE)*VLOOKUP(AR$11,'Attrition Modeling'!$L$15:$N$27,IF(AR$12-$F37&lt;=24,2,3),FALSE))*(1+IF('Traditional Attrition'!AR159&gt;0,'Attrition Modeling'!$N$9,0))),0))</f>
        <v>2631.2244958421579</v>
      </c>
      <c r="AS37" s="799">
        <f>IF(AS$12=$F37+1,IF(Monthly!AO$4=TRUE,0,AS$3),IF(AS$12&gt;$F37+1,RentalsVacates!AR37*(1-IF(AS$12-$F37&lt;=12,SUMIFS('Attrition Modeling'!$D:$D,'Attrition Modeling'!$B:$B,$E37,'Attrition Modeling'!$C:$C,AS$11),VLOOKUP(RentalsVacates!AS$12-RentalsVacates!$F37-1,RentalsVacates!$A$8:$C$162,2,FALSE)*VLOOKUP(AS$11,'Attrition Modeling'!$L$15:$N$27,IF(AS$12-$F37&lt;=24,2,3),FALSE))*(1+IF('Traditional Attrition'!AS159&gt;0,'Attrition Modeling'!$N$9,0))),0))</f>
        <v>2513.3076313236697</v>
      </c>
      <c r="AT37" s="799">
        <f>IF(AT$12=$F37+1,IF(Monthly!AP$4=TRUE,0,AT$3),IF(AT$12&gt;$F37+1,RentalsVacates!AS37*(1-IF(AT$12-$F37&lt;=12,SUMIFS('Attrition Modeling'!$D:$D,'Attrition Modeling'!$B:$B,$E37,'Attrition Modeling'!$C:$C,AT$11),VLOOKUP(RentalsVacates!AT$12-RentalsVacates!$F37-1,RentalsVacates!$A$8:$C$162,2,FALSE)*VLOOKUP(AT$11,'Attrition Modeling'!$L$15:$N$27,IF(AT$12-$F37&lt;=24,2,3),FALSE))*(1+IF('Traditional Attrition'!AT159&gt;0,'Attrition Modeling'!$N$9,0))),0))</f>
        <v>2396.703740040804</v>
      </c>
      <c r="AU37" s="799">
        <f>IF(AU$12=$F37+1,IF(Monthly!AQ$4=TRUE,0,AU$3),IF(AU$12&gt;$F37+1,RentalsVacates!AT37*(1-IF(AU$12-$F37&lt;=12,SUMIFS('Attrition Modeling'!$D:$D,'Attrition Modeling'!$B:$B,$E37,'Attrition Modeling'!$C:$C,AU$11),VLOOKUP(RentalsVacates!AU$12-RentalsVacates!$F37-1,RentalsVacates!$A$8:$C$162,2,FALSE)*VLOOKUP(AU$11,'Attrition Modeling'!$L$15:$N$27,IF(AU$12-$F37&lt;=24,2,3),FALSE))*(1+IF('Traditional Attrition'!AU159&gt;0,'Attrition Modeling'!$N$9,0))),0))</f>
        <v>2291.3685027420465</v>
      </c>
      <c r="AV37" s="799">
        <f>IF(AV$12=$F37+1,IF(Monthly!AR$4=TRUE,0,AV$3),IF(AV$12&gt;$F37+1,RentalsVacates!AU37*(1-IF(AV$12-$F37&lt;=12,SUMIFS('Attrition Modeling'!$D:$D,'Attrition Modeling'!$B:$B,$E37,'Attrition Modeling'!$C:$C,AV$11),VLOOKUP(RentalsVacates!AV$12-RentalsVacates!$F37-1,RentalsVacates!$A$8:$C$162,2,FALSE)*VLOOKUP(AV$11,'Attrition Modeling'!$L$15:$N$27,IF(AV$12-$F37&lt;=24,2,3),FALSE))*(1+IF('Traditional Attrition'!AV159&gt;0,'Attrition Modeling'!$N$9,0))),0))</f>
        <v>2194.3224647627694</v>
      </c>
      <c r="AW37" s="799">
        <f>IF(AW$12=$F37+1,IF(Monthly!AS$4=TRUE,0,AW$3),IF(AW$12&gt;$F37+1,RentalsVacates!AV37*(1-IF(AW$12-$F37&lt;=12,SUMIFS('Attrition Modeling'!$D:$D,'Attrition Modeling'!$B:$B,$E37,'Attrition Modeling'!$C:$C,AW$11),VLOOKUP(RentalsVacates!AW$12-RentalsVacates!$F37-1,RentalsVacates!$A$8:$C$162,2,FALSE)*VLOOKUP(AW$11,'Attrition Modeling'!$L$15:$N$27,IF(AW$12-$F37&lt;=24,2,3),FALSE))*(1+IF('Traditional Attrition'!AW159&gt;0,'Attrition Modeling'!$N$9,0))),0))</f>
        <v>2074.9155319021293</v>
      </c>
      <c r="AX37" s="799">
        <f>IF(AX$12=$F37+1,IF(Monthly!AT$4=TRUE,0,AX$3),IF(AX$12&gt;$F37+1,RentalsVacates!AW37*(1-IF(AX$12-$F37&lt;=12,SUMIFS('Attrition Modeling'!$D:$D,'Attrition Modeling'!$B:$B,$E37,'Attrition Modeling'!$C:$C,AX$11),VLOOKUP(RentalsVacates!AX$12-RentalsVacates!$F37-1,RentalsVacates!$A$8:$C$162,2,FALSE)*VLOOKUP(AX$11,'Attrition Modeling'!$L$15:$N$27,IF(AX$12-$F37&lt;=24,2,3),FALSE))*(1+IF('Traditional Attrition'!AX159&gt;0,'Attrition Modeling'!$N$9,0))),0))</f>
        <v>1980.664571565525</v>
      </c>
      <c r="AY37" s="799">
        <f>IF(AY$12=$F37+1,IF(Monthly!AU$4=TRUE,0,AY$3),IF(AY$12&gt;$F37+1,RentalsVacates!AX37*(1-IF(AY$12-$F37&lt;=12,SUMIFS('Attrition Modeling'!$D:$D,'Attrition Modeling'!$B:$B,$E37,'Attrition Modeling'!$C:$C,AY$11),VLOOKUP(RentalsVacates!AY$12-RentalsVacates!$F37-1,RentalsVacates!$A$8:$C$162,2,FALSE)*VLOOKUP(AY$11,'Attrition Modeling'!$L$15:$N$27,IF(AY$12-$F37&lt;=24,2,3),FALSE))*(1+IF('Traditional Attrition'!AY159&gt;0,'Attrition Modeling'!$N$9,0))),0))</f>
        <v>1888.5007582540388</v>
      </c>
      <c r="AZ37" s="799">
        <f>IF(AZ$12=$F37+1,IF(Monthly!AV$4=TRUE,0,AZ$3),IF(AZ$12&gt;$F37+1,RentalsVacates!AY37*(1-IF(AZ$12-$F37&lt;=12,SUMIFS('Attrition Modeling'!$D:$D,'Attrition Modeling'!$B:$B,$E37,'Attrition Modeling'!$C:$C,AZ$11),VLOOKUP(RentalsVacates!AZ$12-RentalsVacates!$F37-1,RentalsVacates!$A$8:$C$162,2,FALSE)*VLOOKUP(AZ$11,'Attrition Modeling'!$L$15:$N$27,IF(AZ$12-$F37&lt;=24,2,3),FALSE))*(1+IF('Traditional Attrition'!AZ159&gt;0,'Attrition Modeling'!$N$9,0))),0))</f>
        <v>1809.7388793237326</v>
      </c>
      <c r="BA37" s="799">
        <f>IF(BA$12=$F37+1,IF(Monthly!AW$4=TRUE,0,BA$3),IF(BA$12&gt;$F37+1,RentalsVacates!AZ37*(1-IF(BA$12-$F37&lt;=12,SUMIFS('Attrition Modeling'!$D:$D,'Attrition Modeling'!$B:$B,$E37,'Attrition Modeling'!$C:$C,BA$11),VLOOKUP(RentalsVacates!BA$12-RentalsVacates!$F37-1,RentalsVacates!$A$8:$C$162,2,FALSE)*VLOOKUP(BA$11,'Attrition Modeling'!$L$15:$N$27,IF(BA$12-$F37&lt;=24,2,3),FALSE))*(1+IF('Traditional Attrition'!BA159&gt;0,'Attrition Modeling'!$N$9,0))),0))</f>
        <v>1733.7162127569718</v>
      </c>
      <c r="BB37" s="799">
        <f>IF(BB$12=$F37+1,IF(Monthly!AX$4=TRUE,0,BB$3),IF(BB$12&gt;$F37+1,RentalsVacates!BA37*(1-IF(BB$12-$F37&lt;=12,SUMIFS('Attrition Modeling'!$D:$D,'Attrition Modeling'!$B:$B,$E37,'Attrition Modeling'!$C:$C,BB$11),VLOOKUP(RentalsVacates!BB$12-RentalsVacates!$F37-1,RentalsVacates!$A$8:$C$162,2,FALSE)*VLOOKUP(BB$11,'Attrition Modeling'!$L$15:$N$27,IF(BB$12-$F37&lt;=24,2,3),FALSE))*(1+IF('Traditional Attrition'!BB159&gt;0,'Attrition Modeling'!$N$9,0))),0))</f>
        <v>1664.6561620049188</v>
      </c>
      <c r="BC37" s="799">
        <f>IF(BC$12=$F37+1,IF(Monthly!AY$4=TRUE,0,BC$3),IF(BC$12&gt;$F37+1,RentalsVacates!BB37*(1-IF(BC$12-$F37&lt;=12,SUMIFS('Attrition Modeling'!$D:$D,'Attrition Modeling'!$B:$B,$E37,'Attrition Modeling'!$C:$C,BC$11),VLOOKUP(RentalsVacates!BC$12-RentalsVacates!$F37-1,RentalsVacates!$A$8:$C$162,2,FALSE)*VLOOKUP(BC$11,'Attrition Modeling'!$L$15:$N$27,IF(BC$12-$F37&lt;=24,2,3),FALSE))*(1+IF('Traditional Attrition'!BC159&gt;0,'Attrition Modeling'!$N$9,0))),0))</f>
        <v>1599.9118070489876</v>
      </c>
      <c r="BD37" s="799">
        <f>IF(BD$12=$F37+1,IF(Monthly!AZ$4=TRUE,0,BD$3),IF(BD$12&gt;$F37+1,RentalsVacates!BC37*(1-IF(BD$12-$F37&lt;=12,SUMIFS('Attrition Modeling'!$D:$D,'Attrition Modeling'!$B:$B,$E37,'Attrition Modeling'!$C:$C,BD$11),VLOOKUP(RentalsVacates!BD$12-RentalsVacates!$F37-1,RentalsVacates!$A$8:$C$162,2,FALSE)*VLOOKUP(BD$11,'Attrition Modeling'!$L$15:$N$27,IF(BD$12-$F37&lt;=24,2,3),FALSE))*(1+IF('Traditional Attrition'!BD159&gt;0,'Attrition Modeling'!$N$9,0))),0))</f>
        <v>1542.502455948058</v>
      </c>
      <c r="BE37" s="799">
        <f>IF(BE$12=$F37+1,IF(Monthly!BA$4=TRUE,0,BE$3),IF(BE$12&gt;$F37+1,RentalsVacates!BD37*(1-IF(BE$12-$F37&lt;=12,SUMIFS('Attrition Modeling'!$D:$D,'Attrition Modeling'!$B:$B,$E37,'Attrition Modeling'!$C:$C,BE$11),VLOOKUP(RentalsVacates!BE$12-RentalsVacates!$F37-1,RentalsVacates!$A$8:$C$162,2,FALSE)*VLOOKUP(BE$11,'Attrition Modeling'!$L$15:$N$27,IF(BE$12-$F37&lt;=24,2,3),FALSE))*(1+IF('Traditional Attrition'!BE159&gt;0,'Attrition Modeling'!$N$9,0))),0))</f>
        <v>1489.6363275085359</v>
      </c>
      <c r="BF37" s="799">
        <f>IF(BF$12=$F37+1,IF(Monthly!BB$4=TRUE,0,BF$3),IF(BF$12&gt;$F37+1,RentalsVacates!BE37*(1-IF(BF$12-$F37&lt;=12,SUMIFS('Attrition Modeling'!$D:$D,'Attrition Modeling'!$B:$B,$E37,'Attrition Modeling'!$C:$C,BF$11),VLOOKUP(RentalsVacates!BF$12-RentalsVacates!$F37-1,RentalsVacates!$A$8:$C$162,2,FALSE)*VLOOKUP(BF$11,'Attrition Modeling'!$L$15:$N$27,IF(BF$12-$F37&lt;=24,2,3),FALSE))*(1+IF('Traditional Attrition'!BF159&gt;0,'Attrition Modeling'!$N$9,0))),0))</f>
        <v>1441.3904863942555</v>
      </c>
      <c r="BG37" s="799">
        <f>IF(BG$12=$F37+1,IF(Monthly!BC$4=TRUE,0,BG$3),IF(BG$12&gt;$F37+1,RentalsVacates!BF37*(1-IF(BG$12-$F37&lt;=12,SUMIFS('Attrition Modeling'!$D:$D,'Attrition Modeling'!$B:$B,$E37,'Attrition Modeling'!$C:$C,BG$11),VLOOKUP(RentalsVacates!BG$12-RentalsVacates!$F37-1,RentalsVacates!$A$8:$C$162,2,FALSE)*VLOOKUP(BG$11,'Attrition Modeling'!$L$15:$N$27,IF(BG$12-$F37&lt;=24,2,3),FALSE))*(1+IF('Traditional Attrition'!BG159&gt;0,'Attrition Modeling'!$N$9,0))),0))</f>
        <v>1404.7543899811592</v>
      </c>
      <c r="BH37" s="799">
        <f>IF(BH$12=$F37+1,IF(Monthly!BD$4=TRUE,0,BH$3),IF(BH$12&gt;$F37+1,RentalsVacates!BG37*(1-IF(BH$12-$F37&lt;=12,SUMIFS('Attrition Modeling'!$D:$D,'Attrition Modeling'!$B:$B,$E37,'Attrition Modeling'!$C:$C,BH$11),VLOOKUP(RentalsVacates!BH$12-RentalsVacates!$F37-1,RentalsVacates!$A$8:$C$162,2,FALSE)*VLOOKUP(BH$11,'Attrition Modeling'!$L$15:$N$27,IF(BH$12-$F37&lt;=24,2,3),FALSE))*(1+IF('Traditional Attrition'!BH159&gt;0,'Attrition Modeling'!$N$9,0))),0))</f>
        <v>1362.2030419019832</v>
      </c>
      <c r="BI37" s="799">
        <f>IF(BI$12=$F37+1,IF(Monthly!BE$4=TRUE,0,BI$3),IF(BI$12&gt;$F37+1,RentalsVacates!BH37*(1-IF(BI$12-$F37&lt;=12,SUMIFS('Attrition Modeling'!$D:$D,'Attrition Modeling'!$B:$B,$E37,'Attrition Modeling'!$C:$C,BI$11),VLOOKUP(RentalsVacates!BI$12-RentalsVacates!$F37-1,RentalsVacates!$A$8:$C$162,2,FALSE)*VLOOKUP(BI$11,'Attrition Modeling'!$L$15:$N$27,IF(BI$12-$F37&lt;=24,2,3),FALSE))*(1+IF('Traditional Attrition'!BI159&gt;0,'Attrition Modeling'!$N$9,0))),0))</f>
        <v>1306.4003530800044</v>
      </c>
      <c r="BJ37" s="799">
        <f>IF(BJ$12=$F37+1,IF(Monthly!BF$4=TRUE,0,BJ$3),IF(BJ$12&gt;$F37+1,RentalsVacates!BI37*(1-IF(BJ$12-$F37&lt;=12,SUMIFS('Attrition Modeling'!$D:$D,'Attrition Modeling'!$B:$B,$E37,'Attrition Modeling'!$C:$C,BJ$11),VLOOKUP(RentalsVacates!BJ$12-RentalsVacates!$F37-1,RentalsVacates!$A$8:$C$162,2,FALSE)*VLOOKUP(BJ$11,'Attrition Modeling'!$L$15:$N$27,IF(BJ$12-$F37&lt;=24,2,3),FALSE))*(1+IF('Traditional Attrition'!BJ159&gt;0,'Attrition Modeling'!$N$9,0))),0))</f>
        <v>1258.4052414569792</v>
      </c>
      <c r="BK37" s="799">
        <f>IF(BK$12=$F37+1,IF(Monthly!BG$4=TRUE,0,BK$3),IF(BK$12&gt;$F37+1,RentalsVacates!BJ37*(1-IF(BK$12-$F37&lt;=12,SUMIFS('Attrition Modeling'!$D:$D,'Attrition Modeling'!$B:$B,$E37,'Attrition Modeling'!$C:$C,BK$11),VLOOKUP(RentalsVacates!BK$12-RentalsVacates!$F37-1,RentalsVacates!$A$8:$C$162,2,FALSE)*VLOOKUP(BK$11,'Attrition Modeling'!$L$15:$N$27,IF(BK$12-$F37&lt;=24,2,3),FALSE))*(1+IF('Traditional Attrition'!BK159&gt;0,'Attrition Modeling'!$N$9,0))),0))</f>
        <v>1209.3527086230779</v>
      </c>
      <c r="BL37" s="799">
        <f>IF(BL$12=$F37+1,IF(Monthly!BH$4=TRUE,0,BL$3),IF(BL$12&gt;$F37+1,RentalsVacates!BK37*(1-IF(BL$12-$F37&lt;=12,SUMIFS('Attrition Modeling'!$D:$D,'Attrition Modeling'!$B:$B,$E37,'Attrition Modeling'!$C:$C,BL$11),VLOOKUP(RentalsVacates!BL$12-RentalsVacates!$F37-1,RentalsVacates!$A$8:$C$162,2,FALSE)*VLOOKUP(BL$11,'Attrition Modeling'!$L$15:$N$27,IF(BL$12-$F37&lt;=24,2,3),FALSE))*(1+IF('Traditional Attrition'!BL159&gt;0,'Attrition Modeling'!$N$9,0))),0))</f>
        <v>1165.6013842049356</v>
      </c>
      <c r="BM37" s="799">
        <f>IF(BM$12=$F37+1,IF(Monthly!BI$4=TRUE,0,BM$3),IF(BM$12&gt;$F37+1,RentalsVacates!BL37*(1-IF(BM$12-$F37&lt;=12,SUMIFS('Attrition Modeling'!$D:$D,'Attrition Modeling'!$B:$B,$E37,'Attrition Modeling'!$C:$C,BM$11),VLOOKUP(RentalsVacates!BM$12-RentalsVacates!$F37-1,RentalsVacates!$A$8:$C$162,2,FALSE)*VLOOKUP(BM$11,'Attrition Modeling'!$L$15:$N$27,IF(BM$12-$F37&lt;=24,2,3),FALSE))*(1+IF('Traditional Attrition'!BM159&gt;0,'Attrition Modeling'!$N$9,0))),0))</f>
        <v>1125.3518580315254</v>
      </c>
      <c r="BN37" s="799">
        <f>IF(BN$12=$F37+1,IF(Monthly!BJ$4=TRUE,0,BN$3),IF(BN$12&gt;$F37+1,RentalsVacates!BM37*(1-IF(BN$12-$F37&lt;=12,SUMIFS('Attrition Modeling'!$D:$D,'Attrition Modeling'!$B:$B,$E37,'Attrition Modeling'!$C:$C,BN$11),VLOOKUP(RentalsVacates!BN$12-RentalsVacates!$F37-1,RentalsVacates!$A$8:$C$162,2,FALSE)*VLOOKUP(BN$11,'Attrition Modeling'!$L$15:$N$27,IF(BN$12-$F37&lt;=24,2,3),FALSE))*(1+IF('Traditional Attrition'!BN159&gt;0,'Attrition Modeling'!$N$9,0))),0))</f>
        <v>1087.7978369589516</v>
      </c>
      <c r="BO37" s="799">
        <f>IF(BO$12=$F37+1,IF(Monthly!BK$4=TRUE,0,BO$3),IF(BO$12&gt;$F37+1,RentalsVacates!BN37*(1-IF(BO$12-$F37&lt;=12,SUMIFS('Attrition Modeling'!$D:$D,'Attrition Modeling'!$B:$B,$E37,'Attrition Modeling'!$C:$C,BO$11),VLOOKUP(RentalsVacates!BO$12-RentalsVacates!$F37-1,RentalsVacates!$A$8:$C$162,2,FALSE)*VLOOKUP(BO$11,'Attrition Modeling'!$L$15:$N$27,IF(BO$12-$F37&lt;=24,2,3),FALSE))*(1+IF('Traditional Attrition'!BO159&gt;0,'Attrition Modeling'!$N$9,0))),0))</f>
        <v>1058.2135760477922</v>
      </c>
      <c r="BP37" s="799">
        <f>IF(BP$12=$F37+1,IF(Monthly!BL$4=TRUE,0,BP$3),IF(BP$12&gt;$F37+1,RentalsVacates!BO37*(1-IF(BP$12-$F37&lt;=12,SUMIFS('Attrition Modeling'!$D:$D,'Attrition Modeling'!$B:$B,$E37,'Attrition Modeling'!$C:$C,BP$11),VLOOKUP(RentalsVacates!BP$12-RentalsVacates!$F37-1,RentalsVacates!$A$8:$C$162,2,FALSE)*VLOOKUP(BP$11,'Attrition Modeling'!$L$15:$N$27,IF(BP$12-$F37&lt;=24,2,3),FALSE))*(1+IF('Traditional Attrition'!BP159&gt;0,'Attrition Modeling'!$N$9,0))),0))</f>
        <v>1026.6966660474438</v>
      </c>
      <c r="BQ37" s="799">
        <f>IF(BQ$12=$F37+1,IF(Monthly!BM$4=TRUE,0,BQ$3),IF(BQ$12&gt;$F37+1,RentalsVacates!BP37*(1-IF(BQ$12-$F37&lt;=12,SUMIFS('Attrition Modeling'!$D:$D,'Attrition Modeling'!$B:$B,$E37,'Attrition Modeling'!$C:$C,BQ$11),VLOOKUP(RentalsVacates!BQ$12-RentalsVacates!$F37-1,RentalsVacates!$A$8:$C$162,2,FALSE)*VLOOKUP(BQ$11,'Attrition Modeling'!$L$15:$N$27,IF(BQ$12-$F37&lt;=24,2,3),FALSE))*(1+IF('Traditional Attrition'!BQ159&gt;0,'Attrition Modeling'!$N$9,0))),0))</f>
        <v>997.39298572132509</v>
      </c>
      <c r="BR37" s="799">
        <f>IF(BR$12=$F37+1,IF(Monthly!BN$4=TRUE,0,BR$3),IF(BR$12&gt;$F37+1,RentalsVacates!BQ37*(1-IF(BR$12-$F37&lt;=12,SUMIFS('Attrition Modeling'!$D:$D,'Attrition Modeling'!$B:$B,$E37,'Attrition Modeling'!$C:$C,BR$11),VLOOKUP(RentalsVacates!BR$12-RentalsVacates!$F37-1,RentalsVacates!$A$8:$C$162,2,FALSE)*VLOOKUP(BR$11,'Attrition Modeling'!$L$15:$N$27,IF(BR$12-$F37&lt;=24,2,3),FALSE))*(1+IF('Traditional Attrition'!BR159&gt;0,'Attrition Modeling'!$N$9,0))),0))</f>
        <v>970.40762819174313</v>
      </c>
      <c r="BS37" s="799">
        <f>IF(BS$12=$F37+1,IF(Monthly!BO$4=TRUE,0,BS$3),IF(BS$12&gt;$F37+1,RentalsVacates!BR37*(1-IF(BS$12-$F37&lt;=12,SUMIFS('Attrition Modeling'!$D:$D,'Attrition Modeling'!$B:$B,$E37,'Attrition Modeling'!$C:$C,BS$11),VLOOKUP(RentalsVacates!BS$12-RentalsVacates!$F37-1,RentalsVacates!$A$8:$C$162,2,FALSE)*VLOOKUP(BS$11,'Attrition Modeling'!$L$15:$N$27,IF(BS$12-$F37&lt;=24,2,3),FALSE))*(1+IF('Traditional Attrition'!BS159&gt;0,'Attrition Modeling'!$N$9,0))),0))</f>
        <v>949.7426452593329</v>
      </c>
      <c r="BT37" s="799">
        <f>IF(BT$11=$F36+1,IF(Monthly!#REF!=TRUE,0,BT$3),IF(BT$11&gt;$F36+1,RentalsVacates!BS36*(1-IF(BT$11-$F36&lt;=12,SUMIFS('Attrition Modeling'!$D:$D,'Attrition Modeling'!$B:$B,$E36,'Attrition Modeling'!$C:$C,BT$10),VLOOKUP(RentalsVacates!BT$11-RentalsVacates!$F36-1,RentalsVacates!$A$7:$C$161,2,FALSE)*VLOOKUP(BT$10,'Attrition Modeling'!$L$15:$N$27,IF(BT$11-$F36&lt;=24,2,3),FALSE))*(1+IF('Traditional Attrition'!BT159&gt;0,'Attrition Modeling'!$N$9,0))),0))</f>
        <v>0</v>
      </c>
      <c r="BU37" s="799">
        <f>IF(BU$11=$F36+1,IF(Monthly!#REF!=TRUE,0,BU$3),IF(BU$11&gt;$F36+1,RentalsVacates!BT36*(1-IF(BU$11-$F36&lt;=12,SUMIFS('Attrition Modeling'!$D:$D,'Attrition Modeling'!$B:$B,$E36,'Attrition Modeling'!$C:$C,BU$10),VLOOKUP(RentalsVacates!BU$11-RentalsVacates!$F36-1,RentalsVacates!$A$7:$C$161,2,FALSE)*VLOOKUP(BU$10,'Attrition Modeling'!$L$15:$N$27,IF(BU$11-$F36&lt;=24,2,3),FALSE))*(1+IF('Traditional Attrition'!BU159&gt;0,'Attrition Modeling'!$N$9,0))),0))</f>
        <v>0</v>
      </c>
    </row>
    <row r="38" spans="1:73" ht="14.25" customHeight="1" x14ac:dyDescent="0.2">
      <c r="A38" s="9">
        <v>30</v>
      </c>
      <c r="B38" s="25">
        <f>MAX('Attrition Modeling'!H34,$C$3)*(1-Summary!$C$20)</f>
        <v>3.2956330586721552E-2</v>
      </c>
      <c r="C38" s="24" t="e">
        <f t="shared" si="2"/>
        <v>#DIV/0!</v>
      </c>
      <c r="E38" s="11">
        <f>'Traditional Attrition'!E95</f>
        <v>1</v>
      </c>
      <c r="F38" s="11">
        <f t="shared" si="4"/>
        <v>25</v>
      </c>
      <c r="G38" s="799"/>
      <c r="H38" s="799">
        <f>IF(H$12=$F38+1,IF(Monthly!D$4=TRUE,0,H$3),IF(H$12&gt;$F38+1,RentalsVacates!G38*(1-IF(H$12-$F38&lt;=12,SUMIFS('Attrition Modeling'!$D:$D,'Attrition Modeling'!$B:$B,$E38,'Attrition Modeling'!$C:$C,H$11),VLOOKUP(RentalsVacates!H$12-RentalsVacates!$F38-1,RentalsVacates!$A$8:$C$162,2,FALSE)*VLOOKUP(H$11,'Attrition Modeling'!$L$15:$N$27,IF(H$12-$F38&lt;=24,2,3),FALSE))*(1+IF('Traditional Attrition'!H160&gt;0,'Attrition Modeling'!$N$9,0))),0))</f>
        <v>0</v>
      </c>
      <c r="I38" s="799">
        <f>IF(I$12=$F38+1,IF(Monthly!E$4=TRUE,0,I$3),IF(I$12&gt;$F38+1,RentalsVacates!H38*(1-IF(I$12-$F38&lt;=12,SUMIFS('Attrition Modeling'!$D:$D,'Attrition Modeling'!$B:$B,$E38,'Attrition Modeling'!$C:$C,I$11),VLOOKUP(RentalsVacates!I$12-RentalsVacates!$F38-1,RentalsVacates!$A$8:$C$162,2,FALSE)*VLOOKUP(I$11,'Attrition Modeling'!$L$15:$N$27,IF(I$12-$F38&lt;=24,2,3),FALSE))*(1+IF('Traditional Attrition'!I160&gt;0,'Attrition Modeling'!$N$9,0))),0))</f>
        <v>0</v>
      </c>
      <c r="J38" s="799">
        <f>IF(J$12=$F38+1,IF(Monthly!F$4=TRUE,0,J$3),IF(J$12&gt;$F38+1,RentalsVacates!I38*(1-IF(J$12-$F38&lt;=12,SUMIFS('Attrition Modeling'!$D:$D,'Attrition Modeling'!$B:$B,$E38,'Attrition Modeling'!$C:$C,J$11),VLOOKUP(RentalsVacates!J$12-RentalsVacates!$F38-1,RentalsVacates!$A$8:$C$162,2,FALSE)*VLOOKUP(J$11,'Attrition Modeling'!$L$15:$N$27,IF(J$12-$F38&lt;=24,2,3),FALSE))*(1+IF('Traditional Attrition'!J160&gt;0,'Attrition Modeling'!$N$9,0))),0))</f>
        <v>0</v>
      </c>
      <c r="K38" s="799">
        <f>IF(K$12=$F38+1,IF(Monthly!G$4=TRUE,0,K$3),IF(K$12&gt;$F38+1,RentalsVacates!J38*(1-IF(K$12-$F38&lt;=12,SUMIFS('Attrition Modeling'!$D:$D,'Attrition Modeling'!$B:$B,$E38,'Attrition Modeling'!$C:$C,K$11),VLOOKUP(RentalsVacates!K$12-RentalsVacates!$F38-1,RentalsVacates!$A$8:$C$162,2,FALSE)*VLOOKUP(K$11,'Attrition Modeling'!$L$15:$N$27,IF(K$12-$F38&lt;=24,2,3),FALSE))*(1+IF('Traditional Attrition'!K160&gt;0,'Attrition Modeling'!$N$9,0))),0))</f>
        <v>0</v>
      </c>
      <c r="L38" s="799">
        <f>IF(L$12=$F38+1,IF(Monthly!H$4=TRUE,0,L$3),IF(L$12&gt;$F38+1,RentalsVacates!K38*(1-IF(L$12-$F38&lt;=12,SUMIFS('Attrition Modeling'!$D:$D,'Attrition Modeling'!$B:$B,$E38,'Attrition Modeling'!$C:$C,L$11),VLOOKUP(RentalsVacates!L$12-RentalsVacates!$F38-1,RentalsVacates!$A$8:$C$162,2,FALSE)*VLOOKUP(L$11,'Attrition Modeling'!$L$15:$N$27,IF(L$12-$F38&lt;=24,2,3),FALSE))*(1+IF('Traditional Attrition'!L160&gt;0,'Attrition Modeling'!$N$9,0))),0))</f>
        <v>0</v>
      </c>
      <c r="M38" s="799">
        <f>IF(M$12=$F38+1,IF(Monthly!I$4=TRUE,0,M$3),IF(M$12&gt;$F38+1,RentalsVacates!L38*(1-IF(M$12-$F38&lt;=12,SUMIFS('Attrition Modeling'!$D:$D,'Attrition Modeling'!$B:$B,$E38,'Attrition Modeling'!$C:$C,M$11),VLOOKUP(RentalsVacates!M$12-RentalsVacates!$F38-1,RentalsVacates!$A$8:$C$162,2,FALSE)*VLOOKUP(M$11,'Attrition Modeling'!$L$15:$N$27,IF(M$12-$F38&lt;=24,2,3),FALSE))*(1+IF('Traditional Attrition'!M160&gt;0,'Attrition Modeling'!$N$9,0))),0))</f>
        <v>0</v>
      </c>
      <c r="N38" s="799">
        <f>IF(N$12=$F38+1,IF(Monthly!J$4=TRUE,0,N$3),IF(N$12&gt;$F38+1,RentalsVacates!M38*(1-IF(N$12-$F38&lt;=12,SUMIFS('Attrition Modeling'!$D:$D,'Attrition Modeling'!$B:$B,$E38,'Attrition Modeling'!$C:$C,N$11),VLOOKUP(RentalsVacates!N$12-RentalsVacates!$F38-1,RentalsVacates!$A$8:$C$162,2,FALSE)*VLOOKUP(N$11,'Attrition Modeling'!$L$15:$N$27,IF(N$12-$F38&lt;=24,2,3),FALSE))*(1+IF('Traditional Attrition'!N160&gt;0,'Attrition Modeling'!$N$9,0))),0))</f>
        <v>0</v>
      </c>
      <c r="O38" s="799">
        <f>IF(O$12=$F38+1,IF(Monthly!K$4=TRUE,0,O$3),IF(O$12&gt;$F38+1,RentalsVacates!N38*(1-IF(O$12-$F38&lt;=12,SUMIFS('Attrition Modeling'!$D:$D,'Attrition Modeling'!$B:$B,$E38,'Attrition Modeling'!$C:$C,O$11),VLOOKUP(RentalsVacates!O$12-RentalsVacates!$F38-1,RentalsVacates!$A$8:$C$162,2,FALSE)*VLOOKUP(O$11,'Attrition Modeling'!$L$15:$N$27,IF(O$12-$F38&lt;=24,2,3),FALSE))*(1+IF('Traditional Attrition'!O160&gt;0,'Attrition Modeling'!$N$9,0))),0))</f>
        <v>0</v>
      </c>
      <c r="P38" s="799">
        <f>IF(P$12=$F38+1,IF(Monthly!L$4=TRUE,0,P$3),IF(P$12&gt;$F38+1,RentalsVacates!O38*(1-IF(P$12-$F38&lt;=12,SUMIFS('Attrition Modeling'!$D:$D,'Attrition Modeling'!$B:$B,$E38,'Attrition Modeling'!$C:$C,P$11),VLOOKUP(RentalsVacates!P$12-RentalsVacates!$F38-1,RentalsVacates!$A$8:$C$162,2,FALSE)*VLOOKUP(P$11,'Attrition Modeling'!$L$15:$N$27,IF(P$12-$F38&lt;=24,2,3),FALSE))*(1+IF('Traditional Attrition'!P160&gt;0,'Attrition Modeling'!$N$9,0))),0))</f>
        <v>0</v>
      </c>
      <c r="Q38" s="799">
        <f>IF(Q$12=$F38+1,IF(Monthly!M$4=TRUE,0,Q$3),IF(Q$12&gt;$F38+1,RentalsVacates!P38*(1-IF(Q$12-$F38&lt;=12,SUMIFS('Attrition Modeling'!$D:$D,'Attrition Modeling'!$B:$B,$E38,'Attrition Modeling'!$C:$C,Q$11),VLOOKUP(RentalsVacates!Q$12-RentalsVacates!$F38-1,RentalsVacates!$A$8:$C$162,2,FALSE)*VLOOKUP(Q$11,'Attrition Modeling'!$L$15:$N$27,IF(Q$12-$F38&lt;=24,2,3),FALSE))*(1+IF('Traditional Attrition'!Q160&gt;0,'Attrition Modeling'!$N$9,0))),0))</f>
        <v>0</v>
      </c>
      <c r="R38" s="799">
        <f>IF(R$12=$F38+1,IF(Monthly!N$4=TRUE,0,R$3),IF(R$12&gt;$F38+1,RentalsVacates!Q38*(1-IF(R$12-$F38&lt;=12,SUMIFS('Attrition Modeling'!$D:$D,'Attrition Modeling'!$B:$B,$E38,'Attrition Modeling'!$C:$C,R$11),VLOOKUP(RentalsVacates!R$12-RentalsVacates!$F38-1,RentalsVacates!$A$8:$C$162,2,FALSE)*VLOOKUP(R$11,'Attrition Modeling'!$L$15:$N$27,IF(R$12-$F38&lt;=24,2,3),FALSE))*(1+IF('Traditional Attrition'!R160&gt;0,'Attrition Modeling'!$N$9,0))),0))</f>
        <v>0</v>
      </c>
      <c r="S38" s="799">
        <f>IF(S$12=$F38+1,IF(Monthly!O$4=TRUE,0,S$3),IF(S$12&gt;$F38+1,RentalsVacates!R38*(1-IF(S$12-$F38&lt;=12,SUMIFS('Attrition Modeling'!$D:$D,'Attrition Modeling'!$B:$B,$E38,'Attrition Modeling'!$C:$C,S$11),VLOOKUP(RentalsVacates!S$12-RentalsVacates!$F38-1,RentalsVacates!$A$8:$C$162,2,FALSE)*VLOOKUP(S$11,'Attrition Modeling'!$L$15:$N$27,IF(S$12-$F38&lt;=24,2,3),FALSE))*(1+IF('Traditional Attrition'!S160&gt;0,'Attrition Modeling'!$N$9,0))),0))</f>
        <v>0</v>
      </c>
      <c r="T38" s="799">
        <f>IF(T$12=$F38+1,IF(Monthly!P$4=TRUE,0,T$3),IF(T$12&gt;$F38+1,RentalsVacates!S38*(1-IF(T$12-$F38&lt;=12,SUMIFS('Attrition Modeling'!$D:$D,'Attrition Modeling'!$B:$B,$E38,'Attrition Modeling'!$C:$C,T$11),VLOOKUP(RentalsVacates!T$12-RentalsVacates!$F38-1,RentalsVacates!$A$8:$C$162,2,FALSE)*VLOOKUP(T$11,'Attrition Modeling'!$L$15:$N$27,IF(T$12-$F38&lt;=24,2,3),FALSE))*(1+IF('Traditional Attrition'!T160&gt;0,'Attrition Modeling'!$N$9,0))),0))</f>
        <v>0</v>
      </c>
      <c r="U38" s="799">
        <f>IF(U$12=$F38+1,IF(Monthly!Q$4=TRUE,0,U$3),IF(U$12&gt;$F38+1,RentalsVacates!T38*(1-IF(U$12-$F38&lt;=12,SUMIFS('Attrition Modeling'!$D:$D,'Attrition Modeling'!$B:$B,$E38,'Attrition Modeling'!$C:$C,U$11),VLOOKUP(RentalsVacates!U$12-RentalsVacates!$F38-1,RentalsVacates!$A$8:$C$162,2,FALSE)*VLOOKUP(U$11,'Attrition Modeling'!$L$15:$N$27,IF(U$12-$F38&lt;=24,2,3),FALSE))*(1+IF('Traditional Attrition'!U160&gt;0,'Attrition Modeling'!$N$9,0))),0))</f>
        <v>0</v>
      </c>
      <c r="V38" s="799">
        <f>IF(V$12=$F38+1,IF(Monthly!R$4=TRUE,0,V$3),IF(V$12&gt;$F38+1,RentalsVacates!U38*(1-IF(V$12-$F38&lt;=12,SUMIFS('Attrition Modeling'!$D:$D,'Attrition Modeling'!$B:$B,$E38,'Attrition Modeling'!$C:$C,V$11),VLOOKUP(RentalsVacates!V$12-RentalsVacates!$F38-1,RentalsVacates!$A$8:$C$162,2,FALSE)*VLOOKUP(V$11,'Attrition Modeling'!$L$15:$N$27,IF(V$12-$F38&lt;=24,2,3),FALSE))*(1+IF('Traditional Attrition'!V160&gt;0,'Attrition Modeling'!$N$9,0))),0))</f>
        <v>0</v>
      </c>
      <c r="W38" s="799">
        <f>IF(W$12=$F38+1,IF(Monthly!S$4=TRUE,0,W$3),IF(W$12&gt;$F38+1,RentalsVacates!V38*(1-IF(W$12-$F38&lt;=12,SUMIFS('Attrition Modeling'!$D:$D,'Attrition Modeling'!$B:$B,$E38,'Attrition Modeling'!$C:$C,W$11),VLOOKUP(RentalsVacates!W$12-RentalsVacates!$F38-1,RentalsVacates!$A$8:$C$162,2,FALSE)*VLOOKUP(W$11,'Attrition Modeling'!$L$15:$N$27,IF(W$12-$F38&lt;=24,2,3),FALSE))*(1+IF('Traditional Attrition'!W160&gt;0,'Attrition Modeling'!$N$9,0))),0))</f>
        <v>0</v>
      </c>
      <c r="X38" s="799">
        <f>IF(X$12=$F38+1,IF(Monthly!T$4=TRUE,0,X$3),IF(X$12&gt;$F38+1,RentalsVacates!W38*(1-IF(X$12-$F38&lt;=12,SUMIFS('Attrition Modeling'!$D:$D,'Attrition Modeling'!$B:$B,$E38,'Attrition Modeling'!$C:$C,X$11),VLOOKUP(RentalsVacates!X$12-RentalsVacates!$F38-1,RentalsVacates!$A$8:$C$162,2,FALSE)*VLOOKUP(X$11,'Attrition Modeling'!$L$15:$N$27,IF(X$12-$F38&lt;=24,2,3),FALSE))*(1+IF('Traditional Attrition'!X160&gt;0,'Attrition Modeling'!$N$9,0))),0))</f>
        <v>0</v>
      </c>
      <c r="Y38" s="799">
        <f>IF(Y$12=$F38+1,IF(Monthly!U$4=TRUE,0,Y$3),IF(Y$12&gt;$F38+1,RentalsVacates!X38*(1-IF(Y$12-$F38&lt;=12,SUMIFS('Attrition Modeling'!$D:$D,'Attrition Modeling'!$B:$B,$E38,'Attrition Modeling'!$C:$C,Y$11),VLOOKUP(RentalsVacates!Y$12-RentalsVacates!$F38-1,RentalsVacates!$A$8:$C$162,2,FALSE)*VLOOKUP(Y$11,'Attrition Modeling'!$L$15:$N$27,IF(Y$12-$F38&lt;=24,2,3),FALSE))*(1+IF('Traditional Attrition'!Y160&gt;0,'Attrition Modeling'!$N$9,0))),0))</f>
        <v>0</v>
      </c>
      <c r="Z38" s="799">
        <f>IF(Z$12=$F38+1,IF(Monthly!V$4=TRUE,0,Z$3),IF(Z$12&gt;$F38+1,RentalsVacates!Y38*(1-IF(Z$12-$F38&lt;=12,SUMIFS('Attrition Modeling'!$D:$D,'Attrition Modeling'!$B:$B,$E38,'Attrition Modeling'!$C:$C,Z$11),VLOOKUP(RentalsVacates!Z$12-RentalsVacates!$F38-1,RentalsVacates!$A$8:$C$162,2,FALSE)*VLOOKUP(Z$11,'Attrition Modeling'!$L$15:$N$27,IF(Z$12-$F38&lt;=24,2,3),FALSE))*(1+IF('Traditional Attrition'!Z160&gt;0,'Attrition Modeling'!$N$9,0))),0))</f>
        <v>0</v>
      </c>
      <c r="AA38" s="799">
        <f>IF(AA$12=$F38+1,IF(Monthly!W$4=TRUE,0,AA$3),IF(AA$12&gt;$F38+1,RentalsVacates!Z38*(1-IF(AA$12-$F38&lt;=12,SUMIFS('Attrition Modeling'!$D:$D,'Attrition Modeling'!$B:$B,$E38,'Attrition Modeling'!$C:$C,AA$11),VLOOKUP(RentalsVacates!AA$12-RentalsVacates!$F38-1,RentalsVacates!$A$8:$C$162,2,FALSE)*VLOOKUP(AA$11,'Attrition Modeling'!$L$15:$N$27,IF(AA$12-$F38&lt;=24,2,3),FALSE))*(1+IF('Traditional Attrition'!AA160&gt;0,'Attrition Modeling'!$N$9,0))),0))</f>
        <v>0</v>
      </c>
      <c r="AB38" s="799">
        <f>IF(AB$12=$F38+1,IF(Monthly!X$4=TRUE,0,AB$3),IF(AB$12&gt;$F38+1,RentalsVacates!AA38*(1-IF(AB$12-$F38&lt;=12,SUMIFS('Attrition Modeling'!$D:$D,'Attrition Modeling'!$B:$B,$E38,'Attrition Modeling'!$C:$C,AB$11),VLOOKUP(RentalsVacates!AB$12-RentalsVacates!$F38-1,RentalsVacates!$A$8:$C$162,2,FALSE)*VLOOKUP(AB$11,'Attrition Modeling'!$L$15:$N$27,IF(AB$12-$F38&lt;=24,2,3),FALSE))*(1+IF('Traditional Attrition'!AB160&gt;0,'Attrition Modeling'!$N$9,0))),0))</f>
        <v>0</v>
      </c>
      <c r="AC38" s="799">
        <f>IF(AC$12=$F38+1,IF(Monthly!Y$4=TRUE,0,AC$3),IF(AC$12&gt;$F38+1,RentalsVacates!AB38*(1-IF(AC$12-$F38&lt;=12,SUMIFS('Attrition Modeling'!$D:$D,'Attrition Modeling'!$B:$B,$E38,'Attrition Modeling'!$C:$C,AC$11),VLOOKUP(RentalsVacates!AC$12-RentalsVacates!$F38-1,RentalsVacates!$A$8:$C$162,2,FALSE)*VLOOKUP(AC$11,'Attrition Modeling'!$L$15:$N$27,IF(AC$12-$F38&lt;=24,2,3),FALSE))*(1+IF('Traditional Attrition'!AC160&gt;0,'Attrition Modeling'!$N$9,0))),0))</f>
        <v>0</v>
      </c>
      <c r="AD38" s="799">
        <f>IF(AD$12=$F38+1,IF(Monthly!Z$4=TRUE,0,AD$3),IF(AD$12&gt;$F38+1,RentalsVacates!AC38*(1-IF(AD$12-$F38&lt;=12,SUMIFS('Attrition Modeling'!$D:$D,'Attrition Modeling'!$B:$B,$E38,'Attrition Modeling'!$C:$C,AD$11),VLOOKUP(RentalsVacates!AD$12-RentalsVacates!$F38-1,RentalsVacates!$A$8:$C$162,2,FALSE)*VLOOKUP(AD$11,'Attrition Modeling'!$L$15:$N$27,IF(AD$12-$F38&lt;=24,2,3),FALSE))*(1+IF('Traditional Attrition'!AD160&gt;0,'Attrition Modeling'!$N$9,0))),0))</f>
        <v>0</v>
      </c>
      <c r="AE38" s="799">
        <f>IF(AE$12=$F38+1,IF(Monthly!AA$4=TRUE,0,AE$3),IF(AE$12&gt;$F38+1,RentalsVacates!AD38*(1-IF(AE$12-$F38&lt;=12,SUMIFS('Attrition Modeling'!$D:$D,'Attrition Modeling'!$B:$B,$E38,'Attrition Modeling'!$C:$C,AE$11),VLOOKUP(RentalsVacates!AE$12-RentalsVacates!$F38-1,RentalsVacates!$A$8:$C$162,2,FALSE)*VLOOKUP(AE$11,'Attrition Modeling'!$L$15:$N$27,IF(AE$12-$F38&lt;=24,2,3),FALSE))*(1+IF('Traditional Attrition'!AE160&gt;0,'Attrition Modeling'!$N$9,0))),0))</f>
        <v>0</v>
      </c>
      <c r="AF38" s="799">
        <f>IF(AF$12=$F38+1,IF(Monthly!AB$4=TRUE,0,AF$3),IF(AF$12&gt;$F38+1,RentalsVacates!AE38*(1-IF(AF$12-$F38&lt;=12,SUMIFS('Attrition Modeling'!$D:$D,'Attrition Modeling'!$B:$B,$E38,'Attrition Modeling'!$C:$C,AF$11),VLOOKUP(RentalsVacates!AF$12-RentalsVacates!$F38-1,RentalsVacates!$A$8:$C$162,2,FALSE)*VLOOKUP(AF$11,'Attrition Modeling'!$L$15:$N$27,IF(AF$12-$F38&lt;=24,2,3),FALSE))*(1+IF('Traditional Attrition'!AF160&gt;0,'Attrition Modeling'!$N$9,0))),0))</f>
        <v>0</v>
      </c>
      <c r="AG38" s="799">
        <f>IF(AG$12=$F38+1,IF(Monthly!AC$4=TRUE,0,AG$3),IF(AG$12&gt;$F38+1,RentalsVacates!AF38*(1-IF(AG$12-$F38&lt;=12,SUMIFS('Attrition Modeling'!$D:$D,'Attrition Modeling'!$B:$B,$E38,'Attrition Modeling'!$C:$C,AG$11),VLOOKUP(RentalsVacates!AG$12-RentalsVacates!$F38-1,RentalsVacates!$A$8:$C$162,2,FALSE)*VLOOKUP(AG$11,'Attrition Modeling'!$L$15:$N$27,IF(AG$12-$F38&lt;=24,2,3),FALSE))*(1+IF('Traditional Attrition'!AG160&gt;0,'Attrition Modeling'!$N$9,0))),0))</f>
        <v>6229.1181348774999</v>
      </c>
      <c r="AH38" s="799">
        <f>IF(AH$12=$F38+1,IF(Monthly!AD$4=TRUE,0,AH$3),IF(AH$12&gt;$F38+1,RentalsVacates!AG38*(1-IF(AH$12-$F38&lt;=12,SUMIFS('Attrition Modeling'!$D:$D,'Attrition Modeling'!$B:$B,$E38,'Attrition Modeling'!$C:$C,AH$11),VLOOKUP(RentalsVacates!AH$12-RentalsVacates!$F38-1,RentalsVacates!$A$8:$C$162,2,FALSE)*VLOOKUP(AH$11,'Attrition Modeling'!$L$15:$N$27,IF(AH$12-$F38&lt;=24,2,3),FALSE))*(1+IF('Traditional Attrition'!AH160&gt;0,'Attrition Modeling'!$N$9,0))),0))</f>
        <v>5601.5114350514923</v>
      </c>
      <c r="AI38" s="799">
        <f>IF(AI$12=$F38+1,IF(Monthly!AE$4=TRUE,0,AI$3),IF(AI$12&gt;$F38+1,RentalsVacates!AH38*(1-IF(AI$12-$F38&lt;=12,SUMIFS('Attrition Modeling'!$D:$D,'Attrition Modeling'!$B:$B,$E38,'Attrition Modeling'!$C:$C,AI$11),VLOOKUP(RentalsVacates!AI$12-RentalsVacates!$F38-1,RentalsVacates!$A$8:$C$162,2,FALSE)*VLOOKUP(AI$11,'Attrition Modeling'!$L$15:$N$27,IF(AI$12-$F38&lt;=24,2,3),FALSE))*(1+IF('Traditional Attrition'!AI160&gt;0,'Attrition Modeling'!$N$9,0))),0))</f>
        <v>5133.7201966769317</v>
      </c>
      <c r="AJ38" s="799">
        <f>IF(AJ$12=$F38+1,IF(Monthly!AF$4=TRUE,0,AJ$3),IF(AJ$12&gt;$F38+1,RentalsVacates!AI38*(1-IF(AJ$12-$F38&lt;=12,SUMIFS('Attrition Modeling'!$D:$D,'Attrition Modeling'!$B:$B,$E38,'Attrition Modeling'!$C:$C,AJ$11),VLOOKUP(RentalsVacates!AJ$12-RentalsVacates!$F38-1,RentalsVacates!$A$8:$C$162,2,FALSE)*VLOOKUP(AJ$11,'Attrition Modeling'!$L$15:$N$27,IF(AJ$12-$F38&lt;=24,2,3),FALSE))*(1+IF('Traditional Attrition'!AJ160&gt;0,'Attrition Modeling'!$N$9,0))),0))</f>
        <v>4661.5263114160052</v>
      </c>
      <c r="AK38" s="799">
        <f>IF(AK$12=$F38+1,IF(Monthly!AG$4=TRUE,0,AK$3),IF(AK$12&gt;$F38+1,RentalsVacates!AJ38*(1-IF(AK$12-$F38&lt;=12,SUMIFS('Attrition Modeling'!$D:$D,'Attrition Modeling'!$B:$B,$E38,'Attrition Modeling'!$C:$C,AK$11),VLOOKUP(RentalsVacates!AK$12-RentalsVacates!$F38-1,RentalsVacates!$A$8:$C$162,2,FALSE)*VLOOKUP(AK$11,'Attrition Modeling'!$L$15:$N$27,IF(AK$12-$F38&lt;=24,2,3),FALSE))*(1+IF('Traditional Attrition'!AK160&gt;0,'Attrition Modeling'!$N$9,0))),0))</f>
        <v>4283.9364803613144</v>
      </c>
      <c r="AL38" s="799">
        <f>IF(AL$12=$F38+1,IF(Monthly!AH$4=TRUE,0,AL$3),IF(AL$12&gt;$F38+1,RentalsVacates!AK38*(1-IF(AL$12-$F38&lt;=12,SUMIFS('Attrition Modeling'!$D:$D,'Attrition Modeling'!$B:$B,$E38,'Attrition Modeling'!$C:$C,AL$11),VLOOKUP(RentalsVacates!AL$12-RentalsVacates!$F38-1,RentalsVacates!$A$8:$C$162,2,FALSE)*VLOOKUP(AL$11,'Attrition Modeling'!$L$15:$N$27,IF(AL$12-$F38&lt;=24,2,3),FALSE))*(1+IF('Traditional Attrition'!AL160&gt;0,'Attrition Modeling'!$N$9,0))),0))</f>
        <v>3842.7092381820135</v>
      </c>
      <c r="AM38" s="799">
        <f>IF(AM$12=$F38+1,IF(Monthly!AI$4=TRUE,0,AM$3),IF(AM$12&gt;$F38+1,RentalsVacates!AL38*(1-IF(AM$12-$F38&lt;=12,SUMIFS('Attrition Modeling'!$D:$D,'Attrition Modeling'!$B:$B,$E38,'Attrition Modeling'!$C:$C,AM$11),VLOOKUP(RentalsVacates!AM$12-RentalsVacates!$F38-1,RentalsVacates!$A$8:$C$162,2,FALSE)*VLOOKUP(AM$11,'Attrition Modeling'!$L$15:$N$27,IF(AM$12-$F38&lt;=24,2,3),FALSE))*(1+IF('Traditional Attrition'!AM160&gt;0,'Attrition Modeling'!$N$9,0))),0))</f>
        <v>3549.6286097636148</v>
      </c>
      <c r="AN38" s="799">
        <f>IF(AN$12=$F38+1,IF(Monthly!AJ$4=TRUE,0,AN$3),IF(AN$12&gt;$F38+1,RentalsVacates!AM38*(1-IF(AN$12-$F38&lt;=12,SUMIFS('Attrition Modeling'!$D:$D,'Attrition Modeling'!$B:$B,$E38,'Attrition Modeling'!$C:$C,AN$11),VLOOKUP(RentalsVacates!AN$12-RentalsVacates!$F38-1,RentalsVacates!$A$8:$C$162,2,FALSE)*VLOOKUP(AN$11,'Attrition Modeling'!$L$15:$N$27,IF(AN$12-$F38&lt;=24,2,3),FALSE))*(1+IF('Traditional Attrition'!AN160&gt;0,'Attrition Modeling'!$N$9,0))),0))</f>
        <v>3331.9287157493713</v>
      </c>
      <c r="AO38" s="799">
        <f>IF(AO$12=$F38+1,IF(Monthly!AK$4=TRUE,0,AO$3),IF(AO$12&gt;$F38+1,RentalsVacates!AN38*(1-IF(AO$12-$F38&lt;=12,SUMIFS('Attrition Modeling'!$D:$D,'Attrition Modeling'!$B:$B,$E38,'Attrition Modeling'!$C:$C,AO$11),VLOOKUP(RentalsVacates!AO$12-RentalsVacates!$F38-1,RentalsVacates!$A$8:$C$162,2,FALSE)*VLOOKUP(AO$11,'Attrition Modeling'!$L$15:$N$27,IF(AO$12-$F38&lt;=24,2,3),FALSE))*(1+IF('Traditional Attrition'!AO160&gt;0,'Attrition Modeling'!$N$9,0))),0))</f>
        <v>3118.1129858651943</v>
      </c>
      <c r="AP38" s="799">
        <f>IF(AP$12=$F38+1,IF(Monthly!AL$4=TRUE,0,AP$3),IF(AP$12&gt;$F38+1,RentalsVacates!AO38*(1-IF(AP$12-$F38&lt;=12,SUMIFS('Attrition Modeling'!$D:$D,'Attrition Modeling'!$B:$B,$E38,'Attrition Modeling'!$C:$C,AP$11),VLOOKUP(RentalsVacates!AP$12-RentalsVacates!$F38-1,RentalsVacates!$A$8:$C$162,2,FALSE)*VLOOKUP(AP$11,'Attrition Modeling'!$L$15:$N$27,IF(AP$12-$F38&lt;=24,2,3),FALSE))*(1+IF('Traditional Attrition'!AP160&gt;0,'Attrition Modeling'!$N$9,0))),0))</f>
        <v>2931.8434017646182</v>
      </c>
      <c r="AQ38" s="799">
        <f>IF(AQ$12=$F38+1,IF(Monthly!AM$4=TRUE,0,AQ$3),IF(AQ$12&gt;$F38+1,RentalsVacates!AP38*(1-IF(AQ$12-$F38&lt;=12,SUMIFS('Attrition Modeling'!$D:$D,'Attrition Modeling'!$B:$B,$E38,'Attrition Modeling'!$C:$C,AQ$11),VLOOKUP(RentalsVacates!AQ$12-RentalsVacates!$F38-1,RentalsVacates!$A$8:$C$162,2,FALSE)*VLOOKUP(AQ$11,'Attrition Modeling'!$L$15:$N$27,IF(AQ$12-$F38&lt;=24,2,3),FALSE))*(1+IF('Traditional Attrition'!AQ160&gt;0,'Attrition Modeling'!$N$9,0))),0))</f>
        <v>2760.395268545265</v>
      </c>
      <c r="AR38" s="799">
        <f>IF(AR$12=$F38+1,IF(Monthly!AN$4=TRUE,0,AR$3),IF(AR$12&gt;$F38+1,RentalsVacates!AQ38*(1-IF(AR$12-$F38&lt;=12,SUMIFS('Attrition Modeling'!$D:$D,'Attrition Modeling'!$B:$B,$E38,'Attrition Modeling'!$C:$C,AR$11),VLOOKUP(RentalsVacates!AR$12-RentalsVacates!$F38-1,RentalsVacates!$A$8:$C$162,2,FALSE)*VLOOKUP(AR$11,'Attrition Modeling'!$L$15:$N$27,IF(AR$12-$F38&lt;=24,2,3),FALSE))*(1+IF('Traditional Attrition'!AR160&gt;0,'Attrition Modeling'!$N$9,0))),0))</f>
        <v>2689.6201968692567</v>
      </c>
      <c r="AS38" s="799">
        <f>IF(AS$12=$F38+1,IF(Monthly!AO$4=TRUE,0,AS$3),IF(AS$12&gt;$F38+1,RentalsVacates!AR38*(1-IF(AS$12-$F38&lt;=12,SUMIFS('Attrition Modeling'!$D:$D,'Attrition Modeling'!$B:$B,$E38,'Attrition Modeling'!$C:$C,AS$11),VLOOKUP(RentalsVacates!AS$12-RentalsVacates!$F38-1,RentalsVacates!$A$8:$C$162,2,FALSE)*VLOOKUP(AS$11,'Attrition Modeling'!$L$15:$N$27,IF(AS$12-$F38&lt;=24,2,3),FALSE))*(1+IF('Traditional Attrition'!AS160&gt;0,'Attrition Modeling'!$N$9,0))),0))</f>
        <v>2558.997038468533</v>
      </c>
      <c r="AT38" s="799">
        <f>IF(AT$12=$F38+1,IF(Monthly!AP$4=TRUE,0,AT$3),IF(AT$12&gt;$F38+1,RentalsVacates!AS38*(1-IF(AT$12-$F38&lt;=12,SUMIFS('Attrition Modeling'!$D:$D,'Attrition Modeling'!$B:$B,$E38,'Attrition Modeling'!$C:$C,AT$11),VLOOKUP(RentalsVacates!AT$12-RentalsVacates!$F38-1,RentalsVacates!$A$8:$C$162,2,FALSE)*VLOOKUP(AT$11,'Attrition Modeling'!$L$15:$N$27,IF(AT$12-$F38&lt;=24,2,3),FALSE))*(1+IF('Traditional Attrition'!AT160&gt;0,'Attrition Modeling'!$N$9,0))),0))</f>
        <v>2434.1608684807811</v>
      </c>
      <c r="AU38" s="799">
        <f>IF(AU$12=$F38+1,IF(Monthly!AQ$4=TRUE,0,AU$3),IF(AU$12&gt;$F38+1,RentalsVacates!AT38*(1-IF(AU$12-$F38&lt;=12,SUMIFS('Attrition Modeling'!$D:$D,'Attrition Modeling'!$B:$B,$E38,'Attrition Modeling'!$C:$C,AU$11),VLOOKUP(RentalsVacates!AU$12-RentalsVacates!$F38-1,RentalsVacates!$A$8:$C$162,2,FALSE)*VLOOKUP(AU$11,'Attrition Modeling'!$L$15:$N$27,IF(AU$12-$F38&lt;=24,2,3),FALSE))*(1+IF('Traditional Attrition'!AU160&gt;0,'Attrition Modeling'!$N$9,0))),0))</f>
        <v>2323.1232404433044</v>
      </c>
      <c r="AV38" s="799">
        <f>IF(AV$12=$F38+1,IF(Monthly!AR$4=TRUE,0,AV$3),IF(AV$12&gt;$F38+1,RentalsVacates!AU38*(1-IF(AV$12-$F38&lt;=12,SUMIFS('Attrition Modeling'!$D:$D,'Attrition Modeling'!$B:$B,$E38,'Attrition Modeling'!$C:$C,AV$11),VLOOKUP(RentalsVacates!AV$12-RentalsVacates!$F38-1,RentalsVacates!$A$8:$C$162,2,FALSE)*VLOOKUP(AV$11,'Attrition Modeling'!$L$15:$N$27,IF(AV$12-$F38&lt;=24,2,3),FALSE))*(1+IF('Traditional Attrition'!AV160&gt;0,'Attrition Modeling'!$N$9,0))),0))</f>
        <v>2221.7510678815161</v>
      </c>
      <c r="AW38" s="799">
        <f>IF(AW$12=$F38+1,IF(Monthly!AS$4=TRUE,0,AW$3),IF(AW$12&gt;$F38+1,RentalsVacates!AV38*(1-IF(AW$12-$F38&lt;=12,SUMIFS('Attrition Modeling'!$D:$D,'Attrition Modeling'!$B:$B,$E38,'Attrition Modeling'!$C:$C,AW$11),VLOOKUP(RentalsVacates!AW$12-RentalsVacates!$F38-1,RentalsVacates!$A$8:$C$162,2,FALSE)*VLOOKUP(AW$11,'Attrition Modeling'!$L$15:$N$27,IF(AW$12-$F38&lt;=24,2,3),FALSE))*(1+IF('Traditional Attrition'!AW160&gt;0,'Attrition Modeling'!$N$9,0))),0))</f>
        <v>2118.4439362244289</v>
      </c>
      <c r="AX38" s="799">
        <f>IF(AX$12=$F38+1,IF(Monthly!AT$4=TRUE,0,AX$3),IF(AX$12&gt;$F38+1,RentalsVacates!AW38*(1-IF(AX$12-$F38&lt;=12,SUMIFS('Attrition Modeling'!$D:$D,'Attrition Modeling'!$B:$B,$E38,'Attrition Modeling'!$C:$C,AX$11),VLOOKUP(RentalsVacates!AX$12-RentalsVacates!$F38-1,RentalsVacates!$A$8:$C$162,2,FALSE)*VLOOKUP(AX$11,'Attrition Modeling'!$L$15:$N$27,IF(AX$12-$F38&lt;=24,2,3),FALSE))*(1+IF('Traditional Attrition'!AX160&gt;0,'Attrition Modeling'!$N$9,0))),0))</f>
        <v>2000.437338081751</v>
      </c>
      <c r="AY38" s="799">
        <f>IF(AY$12=$F38+1,IF(Monthly!AU$4=TRUE,0,AY$3),IF(AY$12&gt;$F38+1,RentalsVacates!AX38*(1-IF(AY$12-$F38&lt;=12,SUMIFS('Attrition Modeling'!$D:$D,'Attrition Modeling'!$B:$B,$E38,'Attrition Modeling'!$C:$C,AY$11),VLOOKUP(RentalsVacates!AY$12-RentalsVacates!$F38-1,RentalsVacates!$A$8:$C$162,2,FALSE)*VLOOKUP(AY$11,'Attrition Modeling'!$L$15:$N$27,IF(AY$12-$F38&lt;=24,2,3),FALSE))*(1+IF('Traditional Attrition'!AY160&gt;0,'Attrition Modeling'!$N$9,0))),0))</f>
        <v>1905.5506339908266</v>
      </c>
      <c r="AZ38" s="799">
        <f>IF(AZ$12=$F38+1,IF(Monthly!AV$4=TRUE,0,AZ$3),IF(AZ$12&gt;$F38+1,RentalsVacates!AY38*(1-IF(AZ$12-$F38&lt;=12,SUMIFS('Attrition Modeling'!$D:$D,'Attrition Modeling'!$B:$B,$E38,'Attrition Modeling'!$C:$C,AZ$11),VLOOKUP(RentalsVacates!AZ$12-RentalsVacates!$F38-1,RentalsVacates!$A$8:$C$162,2,FALSE)*VLOOKUP(AZ$11,'Attrition Modeling'!$L$15:$N$27,IF(AZ$12-$F38&lt;=24,2,3),FALSE))*(1+IF('Traditional Attrition'!AZ160&gt;0,'Attrition Modeling'!$N$9,0))),0))</f>
        <v>1824.6963905451273</v>
      </c>
      <c r="BA38" s="799">
        <f>IF(BA$12=$F38+1,IF(Monthly!AW$4=TRUE,0,BA$3),IF(BA$12&gt;$F38+1,RentalsVacates!AZ38*(1-IF(BA$12-$F38&lt;=12,SUMIFS('Attrition Modeling'!$D:$D,'Attrition Modeling'!$B:$B,$E38,'Attrition Modeling'!$C:$C,BA$11),VLOOKUP(RentalsVacates!BA$12-RentalsVacates!$F38-1,RentalsVacates!$A$8:$C$162,2,FALSE)*VLOOKUP(BA$11,'Attrition Modeling'!$L$15:$N$27,IF(BA$12-$F38&lt;=24,2,3),FALSE))*(1+IF('Traditional Attrition'!BA160&gt;0,'Attrition Modeling'!$N$9,0))),0))</f>
        <v>1746.8348505839419</v>
      </c>
      <c r="BB38" s="799">
        <f>IF(BB$12=$F38+1,IF(Monthly!AX$4=TRUE,0,BB$3),IF(BB$12&gt;$F38+1,RentalsVacates!BA38*(1-IF(BB$12-$F38&lt;=12,SUMIFS('Attrition Modeling'!$D:$D,'Attrition Modeling'!$B:$B,$E38,'Attrition Modeling'!$C:$C,BB$11),VLOOKUP(RentalsVacates!BB$12-RentalsVacates!$F38-1,RentalsVacates!$A$8:$C$162,2,FALSE)*VLOOKUP(BB$11,'Attrition Modeling'!$L$15:$N$27,IF(BB$12-$F38&lt;=24,2,3),FALSE))*(1+IF('Traditional Attrition'!BB160&gt;0,'Attrition Modeling'!$N$9,0))),0))</f>
        <v>1676.2437410062621</v>
      </c>
      <c r="BC38" s="799">
        <f>IF(BC$12=$F38+1,IF(Monthly!AY$4=TRUE,0,BC$3),IF(BC$12&gt;$F38+1,RentalsVacates!BB38*(1-IF(BC$12-$F38&lt;=12,SUMIFS('Attrition Modeling'!$D:$D,'Attrition Modeling'!$B:$B,$E38,'Attrition Modeling'!$C:$C,BC$11),VLOOKUP(RentalsVacates!BC$12-RentalsVacates!$F38-1,RentalsVacates!$A$8:$C$162,2,FALSE)*VLOOKUP(BC$11,'Attrition Modeling'!$L$15:$N$27,IF(BC$12-$F38&lt;=24,2,3),FALSE))*(1+IF('Traditional Attrition'!BC160&gt;0,'Attrition Modeling'!$N$9,0))),0))</f>
        <v>1610.1745059297723</v>
      </c>
      <c r="BD38" s="799">
        <f>IF(BD$12=$F38+1,IF(Monthly!AZ$4=TRUE,0,BD$3),IF(BD$12&gt;$F38+1,RentalsVacates!BC38*(1-IF(BD$12-$F38&lt;=12,SUMIFS('Attrition Modeling'!$D:$D,'Attrition Modeling'!$B:$B,$E38,'Attrition Modeling'!$C:$C,BD$11),VLOOKUP(RentalsVacates!BD$12-RentalsVacates!$F38-1,RentalsVacates!$A$8:$C$162,2,FALSE)*VLOOKUP(BD$11,'Attrition Modeling'!$L$15:$N$27,IF(BD$12-$F38&lt;=24,2,3),FALSE))*(1+IF('Traditional Attrition'!BD160&gt;0,'Attrition Modeling'!$N$9,0))),0))</f>
        <v>1547.4926377172217</v>
      </c>
      <c r="BE38" s="799">
        <f>IF(BE$12=$F38+1,IF(Monthly!BA$4=TRUE,0,BE$3),IF(BE$12&gt;$F38+1,RentalsVacates!BD38*(1-IF(BE$12-$F38&lt;=12,SUMIFS('Attrition Modeling'!$D:$D,'Attrition Modeling'!$B:$B,$E38,'Attrition Modeling'!$C:$C,BE$11),VLOOKUP(RentalsVacates!BE$12-RentalsVacates!$F38-1,RentalsVacates!$A$8:$C$162,2,FALSE)*VLOOKUP(BE$11,'Attrition Modeling'!$L$15:$N$27,IF(BE$12-$F38&lt;=24,2,3),FALSE))*(1+IF('Traditional Attrition'!BE160&gt;0,'Attrition Modeling'!$N$9,0))),0))</f>
        <v>1493.5319754225243</v>
      </c>
      <c r="BF38" s="799">
        <f>IF(BF$12=$F38+1,IF(Monthly!BB$4=TRUE,0,BF$3),IF(BF$12&gt;$F38+1,RentalsVacates!BE38*(1-IF(BF$12-$F38&lt;=12,SUMIFS('Attrition Modeling'!$D:$D,'Attrition Modeling'!$B:$B,$E38,'Attrition Modeling'!$C:$C,BF$11),VLOOKUP(RentalsVacates!BF$12-RentalsVacates!$F38-1,RentalsVacates!$A$8:$C$162,2,FALSE)*VLOOKUP(BF$11,'Attrition Modeling'!$L$15:$N$27,IF(BF$12-$F38&lt;=24,2,3),FALSE))*(1+IF('Traditional Attrition'!BF160&gt;0,'Attrition Modeling'!$N$9,0))),0))</f>
        <v>1444.3369599510117</v>
      </c>
      <c r="BG38" s="799">
        <f>IF(BG$12=$F38+1,IF(Monthly!BC$4=TRUE,0,BG$3),IF(BG$12&gt;$F38+1,RentalsVacates!BF38*(1-IF(BG$12-$F38&lt;=12,SUMIFS('Attrition Modeling'!$D:$D,'Attrition Modeling'!$B:$B,$E38,'Attrition Modeling'!$C:$C,BG$11),VLOOKUP(RentalsVacates!BG$12-RentalsVacates!$F38-1,RentalsVacates!$A$8:$C$162,2,FALSE)*VLOOKUP(BG$11,'Attrition Modeling'!$L$15:$N$27,IF(BG$12-$F38&lt;=24,2,3),FALSE))*(1+IF('Traditional Attrition'!BG160&gt;0,'Attrition Modeling'!$N$9,0))),0))</f>
        <v>1407.0149421003264</v>
      </c>
      <c r="BH38" s="799">
        <f>IF(BH$12=$F38+1,IF(Monthly!BD$4=TRUE,0,BH$3),IF(BH$12&gt;$F38+1,RentalsVacates!BG38*(1-IF(BH$12-$F38&lt;=12,SUMIFS('Attrition Modeling'!$D:$D,'Attrition Modeling'!$B:$B,$E38,'Attrition Modeling'!$C:$C,BH$11),VLOOKUP(RentalsVacates!BH$12-RentalsVacates!$F38-1,RentalsVacates!$A$8:$C$162,2,FALSE)*VLOOKUP(BH$11,'Attrition Modeling'!$L$15:$N$27,IF(BH$12-$F38&lt;=24,2,3),FALSE))*(1+IF('Traditional Attrition'!BH160&gt;0,'Attrition Modeling'!$N$9,0))),0))</f>
        <v>1363.7003995030407</v>
      </c>
      <c r="BI38" s="799">
        <f>IF(BI$12=$F38+1,IF(Monthly!BE$4=TRUE,0,BI$3),IF(BI$12&gt;$F38+1,RentalsVacates!BH38*(1-IF(BI$12-$F38&lt;=12,SUMIFS('Attrition Modeling'!$D:$D,'Attrition Modeling'!$B:$B,$E38,'Attrition Modeling'!$C:$C,BI$11),VLOOKUP(RentalsVacates!BI$12-RentalsVacates!$F38-1,RentalsVacates!$A$8:$C$162,2,FALSE)*VLOOKUP(BI$11,'Attrition Modeling'!$L$15:$N$27,IF(BI$12-$F38&lt;=24,2,3),FALSE))*(1+IF('Traditional Attrition'!BI160&gt;0,'Attrition Modeling'!$N$9,0))),0))</f>
        <v>1316.4031353476028</v>
      </c>
      <c r="BJ38" s="799">
        <f>IF(BJ$12=$F38+1,IF(Monthly!BF$4=TRUE,0,BJ$3),IF(BJ$12&gt;$F38+1,RentalsVacates!BI38*(1-IF(BJ$12-$F38&lt;=12,SUMIFS('Attrition Modeling'!$D:$D,'Attrition Modeling'!$B:$B,$E38,'Attrition Modeling'!$C:$C,BJ$11),VLOOKUP(RentalsVacates!BJ$12-RentalsVacates!$F38-1,RentalsVacates!$A$8:$C$162,2,FALSE)*VLOOKUP(BJ$11,'Attrition Modeling'!$L$15:$N$27,IF(BJ$12-$F38&lt;=24,2,3),FALSE))*(1+IF('Traditional Attrition'!BJ160&gt;0,'Attrition Modeling'!$N$9,0))),0))</f>
        <v>1257.4580298152516</v>
      </c>
      <c r="BK38" s="799">
        <f>IF(BK$12=$F38+1,IF(Monthly!BG$4=TRUE,0,BK$3),IF(BK$12&gt;$F38+1,RentalsVacates!BJ38*(1-IF(BK$12-$F38&lt;=12,SUMIFS('Attrition Modeling'!$D:$D,'Attrition Modeling'!$B:$B,$E38,'Attrition Modeling'!$C:$C,BK$11),VLOOKUP(RentalsVacates!BK$12-RentalsVacates!$F38-1,RentalsVacates!$A$8:$C$162,2,FALSE)*VLOOKUP(BK$11,'Attrition Modeling'!$L$15:$N$27,IF(BK$12-$F38&lt;=24,2,3),FALSE))*(1+IF('Traditional Attrition'!BK160&gt;0,'Attrition Modeling'!$N$9,0))),0))</f>
        <v>1207.6876131282106</v>
      </c>
      <c r="BL38" s="799">
        <f>IF(BL$12=$F38+1,IF(Monthly!BH$4=TRUE,0,BL$3),IF(BL$12&gt;$F38+1,RentalsVacates!BK38*(1-IF(BL$12-$F38&lt;=12,SUMIFS('Attrition Modeling'!$D:$D,'Attrition Modeling'!$B:$B,$E38,'Attrition Modeling'!$C:$C,BL$11),VLOOKUP(RentalsVacates!BL$12-RentalsVacates!$F38-1,RentalsVacates!$A$8:$C$162,2,FALSE)*VLOOKUP(BL$11,'Attrition Modeling'!$L$15:$N$27,IF(BL$12-$F38&lt;=24,2,3),FALSE))*(1+IF('Traditional Attrition'!BL160&gt;0,'Attrition Modeling'!$N$9,0))),0))</f>
        <v>1163.335217933788</v>
      </c>
      <c r="BM38" s="799">
        <f>IF(BM$12=$F38+1,IF(Monthly!BI$4=TRUE,0,BM$3),IF(BM$12&gt;$F38+1,RentalsVacates!BL38*(1-IF(BM$12-$F38&lt;=12,SUMIFS('Attrition Modeling'!$D:$D,'Attrition Modeling'!$B:$B,$E38,'Attrition Modeling'!$C:$C,BM$11),VLOOKUP(RentalsVacates!BM$12-RentalsVacates!$F38-1,RentalsVacates!$A$8:$C$162,2,FALSE)*VLOOKUP(BM$11,'Attrition Modeling'!$L$15:$N$27,IF(BM$12-$F38&lt;=24,2,3),FALSE))*(1+IF('Traditional Attrition'!BM160&gt;0,'Attrition Modeling'!$N$9,0))),0))</f>
        <v>1122.5658488245178</v>
      </c>
      <c r="BN38" s="799">
        <f>IF(BN$12=$F38+1,IF(Monthly!BJ$4=TRUE,0,BN$3),IF(BN$12&gt;$F38+1,RentalsVacates!BM38*(1-IF(BN$12-$F38&lt;=12,SUMIFS('Attrition Modeling'!$D:$D,'Attrition Modeling'!$B:$B,$E38,'Attrition Modeling'!$C:$C,BN$11),VLOOKUP(RentalsVacates!BN$12-RentalsVacates!$F38-1,RentalsVacates!$A$8:$C$162,2,FALSE)*VLOOKUP(BN$11,'Attrition Modeling'!$L$15:$N$27,IF(BN$12-$F38&lt;=24,2,3),FALSE))*(1+IF('Traditional Attrition'!BN160&gt;0,'Attrition Modeling'!$N$9,0))),0))</f>
        <v>1084.5557762357355</v>
      </c>
      <c r="BO38" s="799">
        <f>IF(BO$12=$F38+1,IF(Monthly!BK$4=TRUE,0,BO$3),IF(BO$12&gt;$F38+1,RentalsVacates!BN38*(1-IF(BO$12-$F38&lt;=12,SUMIFS('Attrition Modeling'!$D:$D,'Attrition Modeling'!$B:$B,$E38,'Attrition Modeling'!$C:$C,BO$11),VLOOKUP(RentalsVacates!BO$12-RentalsVacates!$F38-1,RentalsVacates!$A$8:$C$162,2,FALSE)*VLOOKUP(BO$11,'Attrition Modeling'!$L$15:$N$27,IF(BO$12-$F38&lt;=24,2,3),FALSE))*(1+IF('Traditional Attrition'!BO160&gt;0,'Attrition Modeling'!$N$9,0))),0))</f>
        <v>1054.6338700663705</v>
      </c>
      <c r="BP38" s="799">
        <f>IF(BP$12=$F38+1,IF(Monthly!BL$4=TRUE,0,BP$3),IF(BP$12&gt;$F38+1,RentalsVacates!BO38*(1-IF(BP$12-$F38&lt;=12,SUMIFS('Attrition Modeling'!$D:$D,'Attrition Modeling'!$B:$B,$E38,'Attrition Modeling'!$C:$C,BP$11),VLOOKUP(RentalsVacates!BP$12-RentalsVacates!$F38-1,RentalsVacates!$A$8:$C$162,2,FALSE)*VLOOKUP(BP$11,'Attrition Modeling'!$L$15:$N$27,IF(BP$12-$F38&lt;=24,2,3),FALSE))*(1+IF('Traditional Attrition'!BP160&gt;0,'Attrition Modeling'!$N$9,0))),0))</f>
        <v>1022.7766272216573</v>
      </c>
      <c r="BQ38" s="799">
        <f>IF(BQ$12=$F38+1,IF(Monthly!BM$4=TRUE,0,BQ$3),IF(BQ$12&gt;$F38+1,RentalsVacates!BP38*(1-IF(BQ$12-$F38&lt;=12,SUMIFS('Attrition Modeling'!$D:$D,'Attrition Modeling'!$B:$B,$E38,'Attrition Modeling'!$C:$C,BQ$11),VLOOKUP(RentalsVacates!BQ$12-RentalsVacates!$F38-1,RentalsVacates!$A$8:$C$162,2,FALSE)*VLOOKUP(BQ$11,'Attrition Modeling'!$L$15:$N$27,IF(BQ$12-$F38&lt;=24,2,3),FALSE))*(1+IF('Traditional Attrition'!BQ160&gt;0,'Attrition Modeling'!$N$9,0))),0))</f>
        <v>993.17516374810259</v>
      </c>
      <c r="BR38" s="799">
        <f>IF(BR$12=$F38+1,IF(Monthly!BN$4=TRUE,0,BR$3),IF(BR$12&gt;$F38+1,RentalsVacates!BQ38*(1-IF(BR$12-$F38&lt;=12,SUMIFS('Attrition Modeling'!$D:$D,'Attrition Modeling'!$B:$B,$E38,'Attrition Modeling'!$C:$C,BR$11),VLOOKUP(RentalsVacates!BR$12-RentalsVacates!$F38-1,RentalsVacates!$A$8:$C$162,2,FALSE)*VLOOKUP(BR$11,'Attrition Modeling'!$L$15:$N$27,IF(BR$12-$F38&lt;=24,2,3),FALSE))*(1+IF('Traditional Attrition'!BR160&gt;0,'Attrition Modeling'!$N$9,0))),0))</f>
        <v>965.93179549862987</v>
      </c>
      <c r="BS38" s="799">
        <f>IF(BS$12=$F38+1,IF(Monthly!BO$4=TRUE,0,BS$3),IF(BS$12&gt;$F38+1,RentalsVacates!BR38*(1-IF(BS$12-$F38&lt;=12,SUMIFS('Attrition Modeling'!$D:$D,'Attrition Modeling'!$B:$B,$E38,'Attrition Modeling'!$C:$C,BS$11),VLOOKUP(RentalsVacates!BS$12-RentalsVacates!$F38-1,RentalsVacates!$A$8:$C$162,2,FALSE)*VLOOKUP(BS$11,'Attrition Modeling'!$L$15:$N$27,IF(BS$12-$F38&lt;=24,2,3),FALSE))*(1+IF('Traditional Attrition'!BS160&gt;0,'Attrition Modeling'!$N$9,0))),0))</f>
        <v>945.08087210334543</v>
      </c>
      <c r="BT38" s="799">
        <f>IF(BT$11=$F37+1,IF(Monthly!#REF!=TRUE,0,BT$3),IF(BT$11&gt;$F37+1,RentalsVacates!BS37*(1-IF(BT$11-$F37&lt;=12,SUMIFS('Attrition Modeling'!$D:$D,'Attrition Modeling'!$B:$B,$E37,'Attrition Modeling'!$C:$C,BT$10),VLOOKUP(RentalsVacates!BT$11-RentalsVacates!$F37-1,RentalsVacates!$A$7:$C$161,2,FALSE)*VLOOKUP(BT$10,'Attrition Modeling'!$L$15:$N$27,IF(BT$11-$F37&lt;=24,2,3),FALSE))*(1+IF('Traditional Attrition'!BT160&gt;0,'Attrition Modeling'!$N$9,0))),0))</f>
        <v>0</v>
      </c>
      <c r="BU38" s="799">
        <f>IF(BU$11=$F37+1,IF(Monthly!#REF!=TRUE,0,BU$3),IF(BU$11&gt;$F37+1,RentalsVacates!BT37*(1-IF(BU$11-$F37&lt;=12,SUMIFS('Attrition Modeling'!$D:$D,'Attrition Modeling'!$B:$B,$E37,'Attrition Modeling'!$C:$C,BU$10),VLOOKUP(RentalsVacates!BU$11-RentalsVacates!$F37-1,RentalsVacates!$A$7:$C$161,2,FALSE)*VLOOKUP(BU$10,'Attrition Modeling'!$L$15:$N$27,IF(BU$11-$F37&lt;=24,2,3),FALSE))*(1+IF('Traditional Attrition'!BU160&gt;0,'Attrition Modeling'!$N$9,0))),0))</f>
        <v>0</v>
      </c>
    </row>
    <row r="39" spans="1:73" ht="14.25" customHeight="1" x14ac:dyDescent="0.2">
      <c r="A39" s="9">
        <v>31</v>
      </c>
      <c r="B39" s="25">
        <f>MAX('Attrition Modeling'!H35,$C$3)*(1-Summary!$C$20)</f>
        <v>3.2456522859089947E-2</v>
      </c>
      <c r="C39" s="24" t="e">
        <f t="shared" si="2"/>
        <v>#DIV/0!</v>
      </c>
      <c r="E39" s="11">
        <f>'Traditional Attrition'!E96</f>
        <v>2</v>
      </c>
      <c r="F39" s="11">
        <f t="shared" si="4"/>
        <v>26</v>
      </c>
      <c r="G39" s="799"/>
      <c r="H39" s="799">
        <f>IF(H$12=$F39+1,IF(Monthly!D$4=TRUE,0,H$3),IF(H$12&gt;$F39+1,RentalsVacates!G39*(1-IF(H$12-$F39&lt;=12,SUMIFS('Attrition Modeling'!$D:$D,'Attrition Modeling'!$B:$B,$E39,'Attrition Modeling'!$C:$C,H$11),VLOOKUP(RentalsVacates!H$12-RentalsVacates!$F39-1,RentalsVacates!$A$8:$C$162,2,FALSE)*VLOOKUP(H$11,'Attrition Modeling'!$L$15:$N$27,IF(H$12-$F39&lt;=24,2,3),FALSE))*(1+IF('Traditional Attrition'!H161&gt;0,'Attrition Modeling'!$N$9,0))),0))</f>
        <v>0</v>
      </c>
      <c r="I39" s="799">
        <f>IF(I$12=$F39+1,IF(Monthly!E$4=TRUE,0,I$3),IF(I$12&gt;$F39+1,RentalsVacates!H39*(1-IF(I$12-$F39&lt;=12,SUMIFS('Attrition Modeling'!$D:$D,'Attrition Modeling'!$B:$B,$E39,'Attrition Modeling'!$C:$C,I$11),VLOOKUP(RentalsVacates!I$12-RentalsVacates!$F39-1,RentalsVacates!$A$8:$C$162,2,FALSE)*VLOOKUP(I$11,'Attrition Modeling'!$L$15:$N$27,IF(I$12-$F39&lt;=24,2,3),FALSE))*(1+IF('Traditional Attrition'!I161&gt;0,'Attrition Modeling'!$N$9,0))),0))</f>
        <v>0</v>
      </c>
      <c r="J39" s="799">
        <f>IF(J$12=$F39+1,IF(Monthly!F$4=TRUE,0,J$3),IF(J$12&gt;$F39+1,RentalsVacates!I39*(1-IF(J$12-$F39&lt;=12,SUMIFS('Attrition Modeling'!$D:$D,'Attrition Modeling'!$B:$B,$E39,'Attrition Modeling'!$C:$C,J$11),VLOOKUP(RentalsVacates!J$12-RentalsVacates!$F39-1,RentalsVacates!$A$8:$C$162,2,FALSE)*VLOOKUP(J$11,'Attrition Modeling'!$L$15:$N$27,IF(J$12-$F39&lt;=24,2,3),FALSE))*(1+IF('Traditional Attrition'!J161&gt;0,'Attrition Modeling'!$N$9,0))),0))</f>
        <v>0</v>
      </c>
      <c r="K39" s="799">
        <f>IF(K$12=$F39+1,IF(Monthly!G$4=TRUE,0,K$3),IF(K$12&gt;$F39+1,RentalsVacates!J39*(1-IF(K$12-$F39&lt;=12,SUMIFS('Attrition Modeling'!$D:$D,'Attrition Modeling'!$B:$B,$E39,'Attrition Modeling'!$C:$C,K$11),VLOOKUP(RentalsVacates!K$12-RentalsVacates!$F39-1,RentalsVacates!$A$8:$C$162,2,FALSE)*VLOOKUP(K$11,'Attrition Modeling'!$L$15:$N$27,IF(K$12-$F39&lt;=24,2,3),FALSE))*(1+IF('Traditional Attrition'!K161&gt;0,'Attrition Modeling'!$N$9,0))),0))</f>
        <v>0</v>
      </c>
      <c r="L39" s="799">
        <f>IF(L$12=$F39+1,IF(Monthly!H$4=TRUE,0,L$3),IF(L$12&gt;$F39+1,RentalsVacates!K39*(1-IF(L$12-$F39&lt;=12,SUMIFS('Attrition Modeling'!$D:$D,'Attrition Modeling'!$B:$B,$E39,'Attrition Modeling'!$C:$C,L$11),VLOOKUP(RentalsVacates!L$12-RentalsVacates!$F39-1,RentalsVacates!$A$8:$C$162,2,FALSE)*VLOOKUP(L$11,'Attrition Modeling'!$L$15:$N$27,IF(L$12-$F39&lt;=24,2,3),FALSE))*(1+IF('Traditional Attrition'!L161&gt;0,'Attrition Modeling'!$N$9,0))),0))</f>
        <v>0</v>
      </c>
      <c r="M39" s="799">
        <f>IF(M$12=$F39+1,IF(Monthly!I$4=TRUE,0,M$3),IF(M$12&gt;$F39+1,RentalsVacates!L39*(1-IF(M$12-$F39&lt;=12,SUMIFS('Attrition Modeling'!$D:$D,'Attrition Modeling'!$B:$B,$E39,'Attrition Modeling'!$C:$C,M$11),VLOOKUP(RentalsVacates!M$12-RentalsVacates!$F39-1,RentalsVacates!$A$8:$C$162,2,FALSE)*VLOOKUP(M$11,'Attrition Modeling'!$L$15:$N$27,IF(M$12-$F39&lt;=24,2,3),FALSE))*(1+IF('Traditional Attrition'!M161&gt;0,'Attrition Modeling'!$N$9,0))),0))</f>
        <v>0</v>
      </c>
      <c r="N39" s="799">
        <f>IF(N$12=$F39+1,IF(Monthly!J$4=TRUE,0,N$3),IF(N$12&gt;$F39+1,RentalsVacates!M39*(1-IF(N$12-$F39&lt;=12,SUMIFS('Attrition Modeling'!$D:$D,'Attrition Modeling'!$B:$B,$E39,'Attrition Modeling'!$C:$C,N$11),VLOOKUP(RentalsVacates!N$12-RentalsVacates!$F39-1,RentalsVacates!$A$8:$C$162,2,FALSE)*VLOOKUP(N$11,'Attrition Modeling'!$L$15:$N$27,IF(N$12-$F39&lt;=24,2,3),FALSE))*(1+IF('Traditional Attrition'!N161&gt;0,'Attrition Modeling'!$N$9,0))),0))</f>
        <v>0</v>
      </c>
      <c r="O39" s="799">
        <f>IF(O$12=$F39+1,IF(Monthly!K$4=TRUE,0,O$3),IF(O$12&gt;$F39+1,RentalsVacates!N39*(1-IF(O$12-$F39&lt;=12,SUMIFS('Attrition Modeling'!$D:$D,'Attrition Modeling'!$B:$B,$E39,'Attrition Modeling'!$C:$C,O$11),VLOOKUP(RentalsVacates!O$12-RentalsVacates!$F39-1,RentalsVacates!$A$8:$C$162,2,FALSE)*VLOOKUP(O$11,'Attrition Modeling'!$L$15:$N$27,IF(O$12-$F39&lt;=24,2,3),FALSE))*(1+IF('Traditional Attrition'!O161&gt;0,'Attrition Modeling'!$N$9,0))),0))</f>
        <v>0</v>
      </c>
      <c r="P39" s="799">
        <f>IF(P$12=$F39+1,IF(Monthly!L$4=TRUE,0,P$3),IF(P$12&gt;$F39+1,RentalsVacates!O39*(1-IF(P$12-$F39&lt;=12,SUMIFS('Attrition Modeling'!$D:$D,'Attrition Modeling'!$B:$B,$E39,'Attrition Modeling'!$C:$C,P$11),VLOOKUP(RentalsVacates!P$12-RentalsVacates!$F39-1,RentalsVacates!$A$8:$C$162,2,FALSE)*VLOOKUP(P$11,'Attrition Modeling'!$L$15:$N$27,IF(P$12-$F39&lt;=24,2,3),FALSE))*(1+IF('Traditional Attrition'!P161&gt;0,'Attrition Modeling'!$N$9,0))),0))</f>
        <v>0</v>
      </c>
      <c r="Q39" s="799">
        <f>IF(Q$12=$F39+1,IF(Monthly!M$4=TRUE,0,Q$3),IF(Q$12&gt;$F39+1,RentalsVacates!P39*(1-IF(Q$12-$F39&lt;=12,SUMIFS('Attrition Modeling'!$D:$D,'Attrition Modeling'!$B:$B,$E39,'Attrition Modeling'!$C:$C,Q$11),VLOOKUP(RentalsVacates!Q$12-RentalsVacates!$F39-1,RentalsVacates!$A$8:$C$162,2,FALSE)*VLOOKUP(Q$11,'Attrition Modeling'!$L$15:$N$27,IF(Q$12-$F39&lt;=24,2,3),FALSE))*(1+IF('Traditional Attrition'!Q161&gt;0,'Attrition Modeling'!$N$9,0))),0))</f>
        <v>0</v>
      </c>
      <c r="R39" s="799">
        <f>IF(R$12=$F39+1,IF(Monthly!N$4=TRUE,0,R$3),IF(R$12&gt;$F39+1,RentalsVacates!Q39*(1-IF(R$12-$F39&lt;=12,SUMIFS('Attrition Modeling'!$D:$D,'Attrition Modeling'!$B:$B,$E39,'Attrition Modeling'!$C:$C,R$11),VLOOKUP(RentalsVacates!R$12-RentalsVacates!$F39-1,RentalsVacates!$A$8:$C$162,2,FALSE)*VLOOKUP(R$11,'Attrition Modeling'!$L$15:$N$27,IF(R$12-$F39&lt;=24,2,3),FALSE))*(1+IF('Traditional Attrition'!R161&gt;0,'Attrition Modeling'!$N$9,0))),0))</f>
        <v>0</v>
      </c>
      <c r="S39" s="799">
        <f>IF(S$12=$F39+1,IF(Monthly!O$4=TRUE,0,S$3),IF(S$12&gt;$F39+1,RentalsVacates!R39*(1-IF(S$12-$F39&lt;=12,SUMIFS('Attrition Modeling'!$D:$D,'Attrition Modeling'!$B:$B,$E39,'Attrition Modeling'!$C:$C,S$11),VLOOKUP(RentalsVacates!S$12-RentalsVacates!$F39-1,RentalsVacates!$A$8:$C$162,2,FALSE)*VLOOKUP(S$11,'Attrition Modeling'!$L$15:$N$27,IF(S$12-$F39&lt;=24,2,3),FALSE))*(1+IF('Traditional Attrition'!S161&gt;0,'Attrition Modeling'!$N$9,0))),0))</f>
        <v>0</v>
      </c>
      <c r="T39" s="799">
        <f>IF(T$12=$F39+1,IF(Monthly!P$4=TRUE,0,T$3),IF(T$12&gt;$F39+1,RentalsVacates!S39*(1-IF(T$12-$F39&lt;=12,SUMIFS('Attrition Modeling'!$D:$D,'Attrition Modeling'!$B:$B,$E39,'Attrition Modeling'!$C:$C,T$11),VLOOKUP(RentalsVacates!T$12-RentalsVacates!$F39-1,RentalsVacates!$A$8:$C$162,2,FALSE)*VLOOKUP(T$11,'Attrition Modeling'!$L$15:$N$27,IF(T$12-$F39&lt;=24,2,3),FALSE))*(1+IF('Traditional Attrition'!T161&gt;0,'Attrition Modeling'!$N$9,0))),0))</f>
        <v>0</v>
      </c>
      <c r="U39" s="799">
        <f>IF(U$12=$F39+1,IF(Monthly!Q$4=TRUE,0,U$3),IF(U$12&gt;$F39+1,RentalsVacates!T39*(1-IF(U$12-$F39&lt;=12,SUMIFS('Attrition Modeling'!$D:$D,'Attrition Modeling'!$B:$B,$E39,'Attrition Modeling'!$C:$C,U$11),VLOOKUP(RentalsVacates!U$12-RentalsVacates!$F39-1,RentalsVacates!$A$8:$C$162,2,FALSE)*VLOOKUP(U$11,'Attrition Modeling'!$L$15:$N$27,IF(U$12-$F39&lt;=24,2,3),FALSE))*(1+IF('Traditional Attrition'!U161&gt;0,'Attrition Modeling'!$N$9,0))),0))</f>
        <v>0</v>
      </c>
      <c r="V39" s="799">
        <f>IF(V$12=$F39+1,IF(Monthly!R$4=TRUE,0,V$3),IF(V$12&gt;$F39+1,RentalsVacates!U39*(1-IF(V$12-$F39&lt;=12,SUMIFS('Attrition Modeling'!$D:$D,'Attrition Modeling'!$B:$B,$E39,'Attrition Modeling'!$C:$C,V$11),VLOOKUP(RentalsVacates!V$12-RentalsVacates!$F39-1,RentalsVacates!$A$8:$C$162,2,FALSE)*VLOOKUP(V$11,'Attrition Modeling'!$L$15:$N$27,IF(V$12-$F39&lt;=24,2,3),FALSE))*(1+IF('Traditional Attrition'!V161&gt;0,'Attrition Modeling'!$N$9,0))),0))</f>
        <v>0</v>
      </c>
      <c r="W39" s="799">
        <f>IF(W$12=$F39+1,IF(Monthly!S$4=TRUE,0,W$3),IF(W$12&gt;$F39+1,RentalsVacates!V39*(1-IF(W$12-$F39&lt;=12,SUMIFS('Attrition Modeling'!$D:$D,'Attrition Modeling'!$B:$B,$E39,'Attrition Modeling'!$C:$C,W$11),VLOOKUP(RentalsVacates!W$12-RentalsVacates!$F39-1,RentalsVacates!$A$8:$C$162,2,FALSE)*VLOOKUP(W$11,'Attrition Modeling'!$L$15:$N$27,IF(W$12-$F39&lt;=24,2,3),FALSE))*(1+IF('Traditional Attrition'!W161&gt;0,'Attrition Modeling'!$N$9,0))),0))</f>
        <v>0</v>
      </c>
      <c r="X39" s="799">
        <f>IF(X$12=$F39+1,IF(Monthly!T$4=TRUE,0,X$3),IF(X$12&gt;$F39+1,RentalsVacates!W39*(1-IF(X$12-$F39&lt;=12,SUMIFS('Attrition Modeling'!$D:$D,'Attrition Modeling'!$B:$B,$E39,'Attrition Modeling'!$C:$C,X$11),VLOOKUP(RentalsVacates!X$12-RentalsVacates!$F39-1,RentalsVacates!$A$8:$C$162,2,FALSE)*VLOOKUP(X$11,'Attrition Modeling'!$L$15:$N$27,IF(X$12-$F39&lt;=24,2,3),FALSE))*(1+IF('Traditional Attrition'!X161&gt;0,'Attrition Modeling'!$N$9,0))),0))</f>
        <v>0</v>
      </c>
      <c r="Y39" s="799">
        <f>IF(Y$12=$F39+1,IF(Monthly!U$4=TRUE,0,Y$3),IF(Y$12&gt;$F39+1,RentalsVacates!X39*(1-IF(Y$12-$F39&lt;=12,SUMIFS('Attrition Modeling'!$D:$D,'Attrition Modeling'!$B:$B,$E39,'Attrition Modeling'!$C:$C,Y$11),VLOOKUP(RentalsVacates!Y$12-RentalsVacates!$F39-1,RentalsVacates!$A$8:$C$162,2,FALSE)*VLOOKUP(Y$11,'Attrition Modeling'!$L$15:$N$27,IF(Y$12-$F39&lt;=24,2,3),FALSE))*(1+IF('Traditional Attrition'!Y161&gt;0,'Attrition Modeling'!$N$9,0))),0))</f>
        <v>0</v>
      </c>
      <c r="Z39" s="799">
        <f>IF(Z$12=$F39+1,IF(Monthly!V$4=TRUE,0,Z$3),IF(Z$12&gt;$F39+1,RentalsVacates!Y39*(1-IF(Z$12-$F39&lt;=12,SUMIFS('Attrition Modeling'!$D:$D,'Attrition Modeling'!$B:$B,$E39,'Attrition Modeling'!$C:$C,Z$11),VLOOKUP(RentalsVacates!Z$12-RentalsVacates!$F39-1,RentalsVacates!$A$8:$C$162,2,FALSE)*VLOOKUP(Z$11,'Attrition Modeling'!$L$15:$N$27,IF(Z$12-$F39&lt;=24,2,3),FALSE))*(1+IF('Traditional Attrition'!Z161&gt;0,'Attrition Modeling'!$N$9,0))),0))</f>
        <v>0</v>
      </c>
      <c r="AA39" s="799">
        <f>IF(AA$12=$F39+1,IF(Monthly!W$4=TRUE,0,AA$3),IF(AA$12&gt;$F39+1,RentalsVacates!Z39*(1-IF(AA$12-$F39&lt;=12,SUMIFS('Attrition Modeling'!$D:$D,'Attrition Modeling'!$B:$B,$E39,'Attrition Modeling'!$C:$C,AA$11),VLOOKUP(RentalsVacates!AA$12-RentalsVacates!$F39-1,RentalsVacates!$A$8:$C$162,2,FALSE)*VLOOKUP(AA$11,'Attrition Modeling'!$L$15:$N$27,IF(AA$12-$F39&lt;=24,2,3),FALSE))*(1+IF('Traditional Attrition'!AA161&gt;0,'Attrition Modeling'!$N$9,0))),0))</f>
        <v>0</v>
      </c>
      <c r="AB39" s="799">
        <f>IF(AB$12=$F39+1,IF(Monthly!X$4=TRUE,0,AB$3),IF(AB$12&gt;$F39+1,RentalsVacates!AA39*(1-IF(AB$12-$F39&lt;=12,SUMIFS('Attrition Modeling'!$D:$D,'Attrition Modeling'!$B:$B,$E39,'Attrition Modeling'!$C:$C,AB$11),VLOOKUP(RentalsVacates!AB$12-RentalsVacates!$F39-1,RentalsVacates!$A$8:$C$162,2,FALSE)*VLOOKUP(AB$11,'Attrition Modeling'!$L$15:$N$27,IF(AB$12-$F39&lt;=24,2,3),FALSE))*(1+IF('Traditional Attrition'!AB161&gt;0,'Attrition Modeling'!$N$9,0))),0))</f>
        <v>0</v>
      </c>
      <c r="AC39" s="799">
        <f>IF(AC$12=$F39+1,IF(Monthly!Y$4=TRUE,0,AC$3),IF(AC$12&gt;$F39+1,RentalsVacates!AB39*(1-IF(AC$12-$F39&lt;=12,SUMIFS('Attrition Modeling'!$D:$D,'Attrition Modeling'!$B:$B,$E39,'Attrition Modeling'!$C:$C,AC$11),VLOOKUP(RentalsVacates!AC$12-RentalsVacates!$F39-1,RentalsVacates!$A$8:$C$162,2,FALSE)*VLOOKUP(AC$11,'Attrition Modeling'!$L$15:$N$27,IF(AC$12-$F39&lt;=24,2,3),FALSE))*(1+IF('Traditional Attrition'!AC161&gt;0,'Attrition Modeling'!$N$9,0))),0))</f>
        <v>0</v>
      </c>
      <c r="AD39" s="799">
        <f>IF(AD$12=$F39+1,IF(Monthly!Z$4=TRUE,0,AD$3),IF(AD$12&gt;$F39+1,RentalsVacates!AC39*(1-IF(AD$12-$F39&lt;=12,SUMIFS('Attrition Modeling'!$D:$D,'Attrition Modeling'!$B:$B,$E39,'Attrition Modeling'!$C:$C,AD$11),VLOOKUP(RentalsVacates!AD$12-RentalsVacates!$F39-1,RentalsVacates!$A$8:$C$162,2,FALSE)*VLOOKUP(AD$11,'Attrition Modeling'!$L$15:$N$27,IF(AD$12-$F39&lt;=24,2,3),FALSE))*(1+IF('Traditional Attrition'!AD161&gt;0,'Attrition Modeling'!$N$9,0))),0))</f>
        <v>0</v>
      </c>
      <c r="AE39" s="799">
        <f>IF(AE$12=$F39+1,IF(Monthly!AA$4=TRUE,0,AE$3),IF(AE$12&gt;$F39+1,RentalsVacates!AD39*(1-IF(AE$12-$F39&lt;=12,SUMIFS('Attrition Modeling'!$D:$D,'Attrition Modeling'!$B:$B,$E39,'Attrition Modeling'!$C:$C,AE$11),VLOOKUP(RentalsVacates!AE$12-RentalsVacates!$F39-1,RentalsVacates!$A$8:$C$162,2,FALSE)*VLOOKUP(AE$11,'Attrition Modeling'!$L$15:$N$27,IF(AE$12-$F39&lt;=24,2,3),FALSE))*(1+IF('Traditional Attrition'!AE161&gt;0,'Attrition Modeling'!$N$9,0))),0))</f>
        <v>0</v>
      </c>
      <c r="AF39" s="799">
        <f>IF(AF$12=$F39+1,IF(Monthly!AB$4=TRUE,0,AF$3),IF(AF$12&gt;$F39+1,RentalsVacates!AE39*(1-IF(AF$12-$F39&lt;=12,SUMIFS('Attrition Modeling'!$D:$D,'Attrition Modeling'!$B:$B,$E39,'Attrition Modeling'!$C:$C,AF$11),VLOOKUP(RentalsVacates!AF$12-RentalsVacates!$F39-1,RentalsVacates!$A$8:$C$162,2,FALSE)*VLOOKUP(AF$11,'Attrition Modeling'!$L$15:$N$27,IF(AF$12-$F39&lt;=24,2,3),FALSE))*(1+IF('Traditional Attrition'!AF161&gt;0,'Attrition Modeling'!$N$9,0))),0))</f>
        <v>0</v>
      </c>
      <c r="AG39" s="799">
        <f>IF(AG$12=$F39+1,IF(Monthly!AC$4=TRUE,0,AG$3),IF(AG$12&gt;$F39+1,RentalsVacates!AF39*(1-IF(AG$12-$F39&lt;=12,SUMIFS('Attrition Modeling'!$D:$D,'Attrition Modeling'!$B:$B,$E39,'Attrition Modeling'!$C:$C,AG$11),VLOOKUP(RentalsVacates!AG$12-RentalsVacates!$F39-1,RentalsVacates!$A$8:$C$162,2,FALSE)*VLOOKUP(AG$11,'Attrition Modeling'!$L$15:$N$27,IF(AG$12-$F39&lt;=24,2,3),FALSE))*(1+IF('Traditional Attrition'!AG161&gt;0,'Attrition Modeling'!$N$9,0))),0))</f>
        <v>0</v>
      </c>
      <c r="AH39" s="799">
        <f>IF(AH$12=$F39+1,IF(Monthly!AD$4=TRUE,0,AH$3),IF(AH$12&gt;$F39+1,RentalsVacates!AG39*(1-IF(AH$12-$F39&lt;=12,SUMIFS('Attrition Modeling'!$D:$D,'Attrition Modeling'!$B:$B,$E39,'Attrition Modeling'!$C:$C,AH$11),VLOOKUP(RentalsVacates!AH$12-RentalsVacates!$F39-1,RentalsVacates!$A$8:$C$162,2,FALSE)*VLOOKUP(AH$11,'Attrition Modeling'!$L$15:$N$27,IF(AH$12-$F39&lt;=24,2,3),FALSE))*(1+IF('Traditional Attrition'!AH161&gt;0,'Attrition Modeling'!$N$9,0))),0))</f>
        <v>7359.3185759933986</v>
      </c>
      <c r="AI39" s="799">
        <f>IF(AI$12=$F39+1,IF(Monthly!AE$4=TRUE,0,AI$3),IF(AI$12&gt;$F39+1,RentalsVacates!AH39*(1-IF(AI$12-$F39&lt;=12,SUMIFS('Attrition Modeling'!$D:$D,'Attrition Modeling'!$B:$B,$E39,'Attrition Modeling'!$C:$C,AI$11),VLOOKUP(RentalsVacates!AI$12-RentalsVacates!$F39-1,RentalsVacates!$A$8:$C$162,2,FALSE)*VLOOKUP(AI$11,'Attrition Modeling'!$L$15:$N$27,IF(AI$12-$F39&lt;=24,2,3),FALSE))*(1+IF('Traditional Attrition'!AI161&gt;0,'Attrition Modeling'!$N$9,0))),0))</f>
        <v>6642.5518558296608</v>
      </c>
      <c r="AJ39" s="799">
        <f>IF(AJ$12=$F39+1,IF(Monthly!AF$4=TRUE,0,AJ$3),IF(AJ$12&gt;$F39+1,RentalsVacates!AI39*(1-IF(AJ$12-$F39&lt;=12,SUMIFS('Attrition Modeling'!$D:$D,'Attrition Modeling'!$B:$B,$E39,'Attrition Modeling'!$C:$C,AJ$11),VLOOKUP(RentalsVacates!AJ$12-RentalsVacates!$F39-1,RentalsVacates!$A$8:$C$162,2,FALSE)*VLOOKUP(AJ$11,'Attrition Modeling'!$L$15:$N$27,IF(AJ$12-$F39&lt;=24,2,3),FALSE))*(1+IF('Traditional Attrition'!AJ161&gt;0,'Attrition Modeling'!$N$9,0))),0))</f>
        <v>6075.8497182055571</v>
      </c>
      <c r="AK39" s="799">
        <f>IF(AK$12=$F39+1,IF(Monthly!AG$4=TRUE,0,AK$3),IF(AK$12&gt;$F39+1,RentalsVacates!AJ39*(1-IF(AK$12-$F39&lt;=12,SUMIFS('Attrition Modeling'!$D:$D,'Attrition Modeling'!$B:$B,$E39,'Attrition Modeling'!$C:$C,AK$11),VLOOKUP(RentalsVacates!AK$12-RentalsVacates!$F39-1,RentalsVacates!$A$8:$C$162,2,FALSE)*VLOOKUP(AK$11,'Attrition Modeling'!$L$15:$N$27,IF(AK$12-$F39&lt;=24,2,3),FALSE))*(1+IF('Traditional Attrition'!AK161&gt;0,'Attrition Modeling'!$N$9,0))),0))</f>
        <v>5511.2408719212935</v>
      </c>
      <c r="AL39" s="799">
        <f>IF(AL$12=$F39+1,IF(Monthly!AH$4=TRUE,0,AL$3),IF(AL$12&gt;$F39+1,RentalsVacates!AK39*(1-IF(AL$12-$F39&lt;=12,SUMIFS('Attrition Modeling'!$D:$D,'Attrition Modeling'!$B:$B,$E39,'Attrition Modeling'!$C:$C,AL$11),VLOOKUP(RentalsVacates!AL$12-RentalsVacates!$F39-1,RentalsVacates!$A$8:$C$162,2,FALSE)*VLOOKUP(AL$11,'Attrition Modeling'!$L$15:$N$27,IF(AL$12-$F39&lt;=24,2,3),FALSE))*(1+IF('Traditional Attrition'!AL161&gt;0,'Attrition Modeling'!$N$9,0))),0))</f>
        <v>5063.5489977929465</v>
      </c>
      <c r="AM39" s="799">
        <f>IF(AM$12=$F39+1,IF(Monthly!AI$4=TRUE,0,AM$3),IF(AM$12&gt;$F39+1,RentalsVacates!AL39*(1-IF(AM$12-$F39&lt;=12,SUMIFS('Attrition Modeling'!$D:$D,'Attrition Modeling'!$B:$B,$E39,'Attrition Modeling'!$C:$C,AM$11),VLOOKUP(RentalsVacates!AM$12-RentalsVacates!$F39-1,RentalsVacates!$A$8:$C$162,2,FALSE)*VLOOKUP(AM$11,'Attrition Modeling'!$L$15:$N$27,IF(AM$12-$F39&lt;=24,2,3),FALSE))*(1+IF('Traditional Attrition'!AM161&gt;0,'Attrition Modeling'!$N$9,0))),0))</f>
        <v>4552.5022742748852</v>
      </c>
      <c r="AN39" s="799">
        <f>IF(AN$12=$F39+1,IF(Monthly!AJ$4=TRUE,0,AN$3),IF(AN$12&gt;$F39+1,RentalsVacates!AM39*(1-IF(AN$12-$F39&lt;=12,SUMIFS('Attrition Modeling'!$D:$D,'Attrition Modeling'!$B:$B,$E39,'Attrition Modeling'!$C:$C,AN$11),VLOOKUP(RentalsVacates!AN$12-RentalsVacates!$F39-1,RentalsVacates!$A$8:$C$162,2,FALSE)*VLOOKUP(AN$11,'Attrition Modeling'!$L$15:$N$27,IF(AN$12-$F39&lt;=24,2,3),FALSE))*(1+IF('Traditional Attrition'!AN161&gt;0,'Attrition Modeling'!$N$9,0))),0))</f>
        <v>4208.9459146708441</v>
      </c>
      <c r="AO39" s="799">
        <f>IF(AO$12=$F39+1,IF(Monthly!AK$4=TRUE,0,AO$3),IF(AO$12&gt;$F39+1,RentalsVacates!AN39*(1-IF(AO$12-$F39&lt;=12,SUMIFS('Attrition Modeling'!$D:$D,'Attrition Modeling'!$B:$B,$E39,'Attrition Modeling'!$C:$C,AO$11),VLOOKUP(RentalsVacates!AO$12-RentalsVacates!$F39-1,RentalsVacates!$A$8:$C$162,2,FALSE)*VLOOKUP(AO$11,'Attrition Modeling'!$L$15:$N$27,IF(AO$12-$F39&lt;=24,2,3),FALSE))*(1+IF('Traditional Attrition'!AO161&gt;0,'Attrition Modeling'!$N$9,0))),0))</f>
        <v>3914.0354705262675</v>
      </c>
      <c r="AP39" s="799">
        <f>IF(AP$12=$F39+1,IF(Monthly!AL$4=TRUE,0,AP$3),IF(AP$12&gt;$F39+1,RentalsVacates!AO39*(1-IF(AP$12-$F39&lt;=12,SUMIFS('Attrition Modeling'!$D:$D,'Attrition Modeling'!$B:$B,$E39,'Attrition Modeling'!$C:$C,AP$11),VLOOKUP(RentalsVacates!AP$12-RentalsVacates!$F39-1,RentalsVacates!$A$8:$C$162,2,FALSE)*VLOOKUP(AP$11,'Attrition Modeling'!$L$15:$N$27,IF(AP$12-$F39&lt;=24,2,3),FALSE))*(1+IF('Traditional Attrition'!AP161&gt;0,'Attrition Modeling'!$N$9,0))),0))</f>
        <v>3654.0813604000514</v>
      </c>
      <c r="AQ39" s="799">
        <f>IF(AQ$12=$F39+1,IF(Monthly!AM$4=TRUE,0,AQ$3),IF(AQ$12&gt;$F39+1,RentalsVacates!AP39*(1-IF(AQ$12-$F39&lt;=12,SUMIFS('Attrition Modeling'!$D:$D,'Attrition Modeling'!$B:$B,$E39,'Attrition Modeling'!$C:$C,AQ$11),VLOOKUP(RentalsVacates!AQ$12-RentalsVacates!$F39-1,RentalsVacates!$A$8:$C$162,2,FALSE)*VLOOKUP(AQ$11,'Attrition Modeling'!$L$15:$N$27,IF(AQ$12-$F39&lt;=24,2,3),FALSE))*(1+IF('Traditional Attrition'!AQ161&gt;0,'Attrition Modeling'!$N$9,0))),0))</f>
        <v>3426.8766837262483</v>
      </c>
      <c r="AR39" s="799">
        <f>IF(AR$12=$F39+1,IF(Monthly!AN$4=TRUE,0,AR$3),IF(AR$12&gt;$F39+1,RentalsVacates!AQ39*(1-IF(AR$12-$F39&lt;=12,SUMIFS('Attrition Modeling'!$D:$D,'Attrition Modeling'!$B:$B,$E39,'Attrition Modeling'!$C:$C,AR$11),VLOOKUP(RentalsVacates!AR$12-RentalsVacates!$F39-1,RentalsVacates!$A$8:$C$162,2,FALSE)*VLOOKUP(AR$11,'Attrition Modeling'!$L$15:$N$27,IF(AR$12-$F39&lt;=24,2,3),FALSE))*(1+IF('Traditional Attrition'!AR161&gt;0,'Attrition Modeling'!$N$9,0))),0))</f>
        <v>3232.6242817155262</v>
      </c>
      <c r="AS39" s="799">
        <f>IF(AS$12=$F39+1,IF(Monthly!AO$4=TRUE,0,AS$3),IF(AS$12&gt;$F39+1,RentalsVacates!AR39*(1-IF(AS$12-$F39&lt;=12,SUMIFS('Attrition Modeling'!$D:$D,'Attrition Modeling'!$B:$B,$E39,'Attrition Modeling'!$C:$C,AS$11),VLOOKUP(RentalsVacates!AS$12-RentalsVacates!$F39-1,RentalsVacates!$A$8:$C$162,2,FALSE)*VLOOKUP(AS$11,'Attrition Modeling'!$L$15:$N$27,IF(AS$12-$F39&lt;=24,2,3),FALSE))*(1+IF('Traditional Attrition'!AS161&gt;0,'Attrition Modeling'!$N$9,0))),0))</f>
        <v>3152.9710940381001</v>
      </c>
      <c r="AT39" s="799">
        <f>IF(AT$12=$F39+1,IF(Monthly!AP$4=TRUE,0,AT$3),IF(AT$12&gt;$F39+1,RentalsVacates!AS39*(1-IF(AT$12-$F39&lt;=12,SUMIFS('Attrition Modeling'!$D:$D,'Attrition Modeling'!$B:$B,$E39,'Attrition Modeling'!$C:$C,AT$11),VLOOKUP(RentalsVacates!AT$12-RentalsVacates!$F39-1,RentalsVacates!$A$8:$C$162,2,FALSE)*VLOOKUP(AT$11,'Attrition Modeling'!$L$15:$N$27,IF(AT$12-$F39&lt;=24,2,3),FALSE))*(1+IF('Traditional Attrition'!AT161&gt;0,'Attrition Modeling'!$N$9,0))),0))</f>
        <v>2986.2840495460673</v>
      </c>
      <c r="AU39" s="799">
        <f>IF(AU$12=$F39+1,IF(Monthly!AQ$4=TRUE,0,AU$3),IF(AU$12&gt;$F39+1,RentalsVacates!AT39*(1-IF(AU$12-$F39&lt;=12,SUMIFS('Attrition Modeling'!$D:$D,'Attrition Modeling'!$B:$B,$E39,'Attrition Modeling'!$C:$C,AU$11),VLOOKUP(RentalsVacates!AU$12-RentalsVacates!$F39-1,RentalsVacates!$A$8:$C$162,2,FALSE)*VLOOKUP(AU$11,'Attrition Modeling'!$L$15:$N$27,IF(AU$12-$F39&lt;=24,2,3),FALSE))*(1+IF('Traditional Attrition'!AU161&gt;0,'Attrition Modeling'!$N$9,0))),0))</f>
        <v>2843.0470309697816</v>
      </c>
      <c r="AV39" s="799">
        <f>IF(AV$12=$F39+1,IF(Monthly!AR$4=TRUE,0,AV$3),IF(AV$12&gt;$F39+1,RentalsVacates!AU39*(1-IF(AV$12-$F39&lt;=12,SUMIFS('Attrition Modeling'!$D:$D,'Attrition Modeling'!$B:$B,$E39,'Attrition Modeling'!$C:$C,AV$11),VLOOKUP(RentalsVacates!AV$12-RentalsVacates!$F39-1,RentalsVacates!$A$8:$C$162,2,FALSE)*VLOOKUP(AV$11,'Attrition Modeling'!$L$15:$N$27,IF(AV$12-$F39&lt;=24,2,3),FALSE))*(1+IF('Traditional Attrition'!AV161&gt;0,'Attrition Modeling'!$N$9,0))),0))</f>
        <v>2714.2837234418948</v>
      </c>
      <c r="AW39" s="799">
        <f>IF(AW$12=$F39+1,IF(Monthly!AS$4=TRUE,0,AW$3),IF(AW$12&gt;$F39+1,RentalsVacates!AV39*(1-IF(AW$12-$F39&lt;=12,SUMIFS('Attrition Modeling'!$D:$D,'Attrition Modeling'!$B:$B,$E39,'Attrition Modeling'!$C:$C,AW$11),VLOOKUP(RentalsVacates!AW$12-RentalsVacates!$F39-1,RentalsVacates!$A$8:$C$162,2,FALSE)*VLOOKUP(AW$11,'Attrition Modeling'!$L$15:$N$27,IF(AW$12-$F39&lt;=24,2,3),FALSE))*(1+IF('Traditional Attrition'!AW161&gt;0,'Attrition Modeling'!$N$9,0))),0))</f>
        <v>2584.2506635240629</v>
      </c>
      <c r="AX39" s="799">
        <f>IF(AX$12=$F39+1,IF(Monthly!AT$4=TRUE,0,AX$3),IF(AX$12&gt;$F39+1,RentalsVacates!AW39*(1-IF(AX$12-$F39&lt;=12,SUMIFS('Attrition Modeling'!$D:$D,'Attrition Modeling'!$B:$B,$E39,'Attrition Modeling'!$C:$C,AX$11),VLOOKUP(RentalsVacates!AX$12-RentalsVacates!$F39-1,RentalsVacates!$A$8:$C$162,2,FALSE)*VLOOKUP(AX$11,'Attrition Modeling'!$L$15:$N$27,IF(AX$12-$F39&lt;=24,2,3),FALSE))*(1+IF('Traditional Attrition'!AX161&gt;0,'Attrition Modeling'!$N$9,0))),0))</f>
        <v>2461.2436811688822</v>
      </c>
      <c r="AY39" s="799">
        <f>IF(AY$12=$F39+1,IF(Monthly!AU$4=TRUE,0,AY$3),IF(AY$12&gt;$F39+1,RentalsVacates!AX39*(1-IF(AY$12-$F39&lt;=12,SUMIFS('Attrition Modeling'!$D:$D,'Attrition Modeling'!$B:$B,$E39,'Attrition Modeling'!$C:$C,AY$11),VLOOKUP(RentalsVacates!AY$12-RentalsVacates!$F39-1,RentalsVacates!$A$8:$C$162,2,FALSE)*VLOOKUP(AY$11,'Attrition Modeling'!$L$15:$N$27,IF(AY$12-$F39&lt;=24,2,3),FALSE))*(1+IF('Traditional Attrition'!AY161&gt;0,'Attrition Modeling'!$N$9,0))),0))</f>
        <v>2318.0779824602346</v>
      </c>
      <c r="AZ39" s="799">
        <f>IF(AZ$12=$F39+1,IF(Monthly!AV$4=TRUE,0,AZ$3),IF(AZ$12&gt;$F39+1,RentalsVacates!AY39*(1-IF(AZ$12-$F39&lt;=12,SUMIFS('Attrition Modeling'!$D:$D,'Attrition Modeling'!$B:$B,$E39,'Attrition Modeling'!$C:$C,AZ$11),VLOOKUP(RentalsVacates!AZ$12-RentalsVacates!$F39-1,RentalsVacates!$A$8:$C$162,2,FALSE)*VLOOKUP(AZ$11,'Attrition Modeling'!$L$15:$N$27,IF(AZ$12-$F39&lt;=24,2,3),FALSE))*(1+IF('Traditional Attrition'!AZ161&gt;0,'Attrition Modeling'!$N$9,0))),0))</f>
        <v>2217.8148488556631</v>
      </c>
      <c r="BA39" s="799">
        <f>IF(BA$12=$F39+1,IF(Monthly!AW$4=TRUE,0,BA$3),IF(BA$12&gt;$F39+1,RentalsVacates!AZ39*(1-IF(BA$12-$F39&lt;=12,SUMIFS('Attrition Modeling'!$D:$D,'Attrition Modeling'!$B:$B,$E39,'Attrition Modeling'!$C:$C,BA$11),VLOOKUP(RentalsVacates!BA$12-RentalsVacates!$F39-1,RentalsVacates!$A$8:$C$162,2,FALSE)*VLOOKUP(BA$11,'Attrition Modeling'!$L$15:$N$27,IF(BA$12-$F39&lt;=24,2,3),FALSE))*(1+IF('Traditional Attrition'!BA161&gt;0,'Attrition Modeling'!$N$9,0))),0))</f>
        <v>2121.5337400924441</v>
      </c>
      <c r="BB39" s="799">
        <f>IF(BB$12=$F39+1,IF(Monthly!AX$4=TRUE,0,BB$3),IF(BB$12&gt;$F39+1,RentalsVacates!BA39*(1-IF(BB$12-$F39&lt;=12,SUMIFS('Attrition Modeling'!$D:$D,'Attrition Modeling'!$B:$B,$E39,'Attrition Modeling'!$C:$C,BB$11),VLOOKUP(RentalsVacates!BB$12-RentalsVacates!$F39-1,RentalsVacates!$A$8:$C$162,2,FALSE)*VLOOKUP(BB$11,'Attrition Modeling'!$L$15:$N$27,IF(BB$12-$F39&lt;=24,2,3),FALSE))*(1+IF('Traditional Attrition'!BB161&gt;0,'Attrition Modeling'!$N$9,0))),0))</f>
        <v>2034.4467466483161</v>
      </c>
      <c r="BC39" s="799">
        <f>IF(BC$12=$F39+1,IF(Monthly!AY$4=TRUE,0,BC$3),IF(BC$12&gt;$F39+1,RentalsVacates!BB39*(1-IF(BC$12-$F39&lt;=12,SUMIFS('Attrition Modeling'!$D:$D,'Attrition Modeling'!$B:$B,$E39,'Attrition Modeling'!$C:$C,BC$11),VLOOKUP(RentalsVacates!BC$12-RentalsVacates!$F39-1,RentalsVacates!$A$8:$C$162,2,FALSE)*VLOOKUP(BC$11,'Attrition Modeling'!$L$15:$N$27,IF(BC$12-$F39&lt;=24,2,3),FALSE))*(1+IF('Traditional Attrition'!BC161&gt;0,'Attrition Modeling'!$N$9,0))),0))</f>
        <v>1953.0967173510096</v>
      </c>
      <c r="BD39" s="799">
        <f>IF(BD$12=$F39+1,IF(Monthly!AZ$4=TRUE,0,BD$3),IF(BD$12&gt;$F39+1,RentalsVacates!BC39*(1-IF(BD$12-$F39&lt;=12,SUMIFS('Attrition Modeling'!$D:$D,'Attrition Modeling'!$B:$B,$E39,'Attrition Modeling'!$C:$C,BD$11),VLOOKUP(RentalsVacates!BD$12-RentalsVacates!$F39-1,RentalsVacates!$A$8:$C$162,2,FALSE)*VLOOKUP(BD$11,'Attrition Modeling'!$L$15:$N$27,IF(BD$12-$F39&lt;=24,2,3),FALSE))*(1+IF('Traditional Attrition'!BD161&gt;0,'Attrition Modeling'!$N$9,0))),0))</f>
        <v>1876.0458592363163</v>
      </c>
      <c r="BE39" s="799">
        <f>IF(BE$12=$F39+1,IF(Monthly!BA$4=TRUE,0,BE$3),IF(BE$12&gt;$F39+1,RentalsVacates!BD39*(1-IF(BE$12-$F39&lt;=12,SUMIFS('Attrition Modeling'!$D:$D,'Attrition Modeling'!$B:$B,$E39,'Attrition Modeling'!$C:$C,BE$11),VLOOKUP(RentalsVacates!BE$12-RentalsVacates!$F39-1,RentalsVacates!$A$8:$C$162,2,FALSE)*VLOOKUP(BE$11,'Attrition Modeling'!$L$15:$N$27,IF(BE$12-$F39&lt;=24,2,3),FALSE))*(1+IF('Traditional Attrition'!BE161&gt;0,'Attrition Modeling'!$N$9,0))),0))</f>
        <v>1810.1634165686316</v>
      </c>
      <c r="BF39" s="799">
        <f>IF(BF$12=$F39+1,IF(Monthly!BB$4=TRUE,0,BF$3),IF(BF$12&gt;$F39+1,RentalsVacates!BE39*(1-IF(BF$12-$F39&lt;=12,SUMIFS('Attrition Modeling'!$D:$D,'Attrition Modeling'!$B:$B,$E39,'Attrition Modeling'!$C:$C,BF$11),VLOOKUP(RentalsVacates!BF$12-RentalsVacates!$F39-1,RentalsVacates!$A$8:$C$162,2,FALSE)*VLOOKUP(BF$11,'Attrition Modeling'!$L$15:$N$27,IF(BF$12-$F39&lt;=24,2,3),FALSE))*(1+IF('Traditional Attrition'!BF161&gt;0,'Attrition Modeling'!$N$9,0))),0))</f>
        <v>1749.5007638873251</v>
      </c>
      <c r="BG39" s="799">
        <f>IF(BG$12=$F39+1,IF(Monthly!BC$4=TRUE,0,BG$3),IF(BG$12&gt;$F39+1,RentalsVacates!BF39*(1-IF(BG$12-$F39&lt;=12,SUMIFS('Attrition Modeling'!$D:$D,'Attrition Modeling'!$B:$B,$E39,'Attrition Modeling'!$C:$C,BG$11),VLOOKUP(RentalsVacates!BG$12-RentalsVacates!$F39-1,RentalsVacates!$A$8:$C$162,2,FALSE)*VLOOKUP(BG$11,'Attrition Modeling'!$L$15:$N$27,IF(BG$12-$F39&lt;=24,2,3),FALSE))*(1+IF('Traditional Attrition'!BG161&gt;0,'Attrition Modeling'!$N$9,0))),0))</f>
        <v>1703.5240765225806</v>
      </c>
      <c r="BH39" s="799">
        <f>IF(BH$12=$F39+1,IF(Monthly!BD$4=TRUE,0,BH$3),IF(BH$12&gt;$F39+1,RentalsVacates!BG39*(1-IF(BH$12-$F39&lt;=12,SUMIFS('Attrition Modeling'!$D:$D,'Attrition Modeling'!$B:$B,$E39,'Attrition Modeling'!$C:$C,BH$11),VLOOKUP(RentalsVacates!BH$12-RentalsVacates!$F39-1,RentalsVacates!$A$8:$C$162,2,FALSE)*VLOOKUP(BH$11,'Attrition Modeling'!$L$15:$N$27,IF(BH$12-$F39&lt;=24,2,3),FALSE))*(1+IF('Traditional Attrition'!BH161&gt;0,'Attrition Modeling'!$N$9,0))),0))</f>
        <v>1650.2087162181842</v>
      </c>
      <c r="BI39" s="799">
        <f>IF(BI$12=$F39+1,IF(Monthly!BE$4=TRUE,0,BI$3),IF(BI$12&gt;$F39+1,RentalsVacates!BH39*(1-IF(BI$12-$F39&lt;=12,SUMIFS('Attrition Modeling'!$D:$D,'Attrition Modeling'!$B:$B,$E39,'Attrition Modeling'!$C:$C,BI$11),VLOOKUP(RentalsVacates!BI$12-RentalsVacates!$F39-1,RentalsVacates!$A$8:$C$162,2,FALSE)*VLOOKUP(BI$11,'Attrition Modeling'!$L$15:$N$27,IF(BI$12-$F39&lt;=24,2,3),FALSE))*(1+IF('Traditional Attrition'!BI161&gt;0,'Attrition Modeling'!$N$9,0))),0))</f>
        <v>1592.0415338928094</v>
      </c>
      <c r="BJ39" s="799">
        <f>IF(BJ$12=$F39+1,IF(Monthly!BF$4=TRUE,0,BJ$3),IF(BJ$12&gt;$F39+1,RentalsVacates!BI39*(1-IF(BJ$12-$F39&lt;=12,SUMIFS('Attrition Modeling'!$D:$D,'Attrition Modeling'!$B:$B,$E39,'Attrition Modeling'!$C:$C,BJ$11),VLOOKUP(RentalsVacates!BJ$12-RentalsVacates!$F39-1,RentalsVacates!$A$8:$C$162,2,FALSE)*VLOOKUP(BJ$11,'Attrition Modeling'!$L$15:$N$27,IF(BJ$12-$F39&lt;=24,2,3),FALSE))*(1+IF('Traditional Attrition'!BJ161&gt;0,'Attrition Modeling'!$N$9,0))),0))</f>
        <v>1531.6860122462149</v>
      </c>
      <c r="BK39" s="799">
        <f>IF(BK$12=$F39+1,IF(Monthly!BG$4=TRUE,0,BK$3),IF(BK$12&gt;$F39+1,RentalsVacates!BJ39*(1-IF(BK$12-$F39&lt;=12,SUMIFS('Attrition Modeling'!$D:$D,'Attrition Modeling'!$B:$B,$E39,'Attrition Modeling'!$C:$C,BK$11),VLOOKUP(RentalsVacates!BK$12-RentalsVacates!$F39-1,RentalsVacates!$A$8:$C$162,2,FALSE)*VLOOKUP(BK$11,'Attrition Modeling'!$L$15:$N$27,IF(BK$12-$F39&lt;=24,2,3),FALSE))*(1+IF('Traditional Attrition'!BK161&gt;0,'Attrition Modeling'!$N$9,0))),0))</f>
        <v>1457.7960152108719</v>
      </c>
      <c r="BL39" s="799">
        <f>IF(BL$12=$F39+1,IF(Monthly!BH$4=TRUE,0,BL$3),IF(BL$12&gt;$F39+1,RentalsVacates!BK39*(1-IF(BL$12-$F39&lt;=12,SUMIFS('Attrition Modeling'!$D:$D,'Attrition Modeling'!$B:$B,$E39,'Attrition Modeling'!$C:$C,BL$11),VLOOKUP(RentalsVacates!BL$12-RentalsVacates!$F39-1,RentalsVacates!$A$8:$C$162,2,FALSE)*VLOOKUP(BL$11,'Attrition Modeling'!$L$15:$N$27,IF(BL$12-$F39&lt;=24,2,3),FALSE))*(1+IF('Traditional Attrition'!BL161&gt;0,'Attrition Modeling'!$N$9,0))),0))</f>
        <v>1403.4339327740345</v>
      </c>
      <c r="BM39" s="799">
        <f>IF(BM$12=$F39+1,IF(Monthly!BI$4=TRUE,0,BM$3),IF(BM$12&gt;$F39+1,RentalsVacates!BL39*(1-IF(BM$12-$F39&lt;=12,SUMIFS('Attrition Modeling'!$D:$D,'Attrition Modeling'!$B:$B,$E39,'Attrition Modeling'!$C:$C,BM$11),VLOOKUP(RentalsVacates!BM$12-RentalsVacates!$F39-1,RentalsVacates!$A$8:$C$162,2,FALSE)*VLOOKUP(BM$11,'Attrition Modeling'!$L$15:$N$27,IF(BM$12-$F39&lt;=24,2,3),FALSE))*(1+IF('Traditional Attrition'!BM161&gt;0,'Attrition Modeling'!$N$9,0))),0))</f>
        <v>1353.5057991617177</v>
      </c>
      <c r="BN39" s="799">
        <f>IF(BN$12=$F39+1,IF(Monthly!BJ$4=TRUE,0,BN$3),IF(BN$12&gt;$F39+1,RentalsVacates!BM39*(1-IF(BN$12-$F39&lt;=12,SUMIFS('Attrition Modeling'!$D:$D,'Attrition Modeling'!$B:$B,$E39,'Attrition Modeling'!$C:$C,BN$11),VLOOKUP(RentalsVacates!BN$12-RentalsVacates!$F39-1,RentalsVacates!$A$8:$C$162,2,FALSE)*VLOOKUP(BN$11,'Attrition Modeling'!$L$15:$N$27,IF(BN$12-$F39&lt;=24,2,3),FALSE))*(1+IF('Traditional Attrition'!BN161&gt;0,'Attrition Modeling'!$N$9,0))),0))</f>
        <v>1306.9937587661657</v>
      </c>
      <c r="BO39" s="799">
        <f>IF(BO$12=$F39+1,IF(Monthly!BK$4=TRUE,0,BO$3),IF(BO$12&gt;$F39+1,RentalsVacates!BN39*(1-IF(BO$12-$F39&lt;=12,SUMIFS('Attrition Modeling'!$D:$D,'Attrition Modeling'!$B:$B,$E39,'Attrition Modeling'!$C:$C,BO$11),VLOOKUP(RentalsVacates!BO$12-RentalsVacates!$F39-1,RentalsVacates!$A$8:$C$162,2,FALSE)*VLOOKUP(BO$11,'Attrition Modeling'!$L$15:$N$27,IF(BO$12-$F39&lt;=24,2,3),FALSE))*(1+IF('Traditional Attrition'!BO161&gt;0,'Attrition Modeling'!$N$9,0))),0))</f>
        <v>1270.4065196594195</v>
      </c>
      <c r="BP39" s="799">
        <f>IF(BP$12=$F39+1,IF(Monthly!BL$4=TRUE,0,BP$3),IF(BP$12&gt;$F39+1,RentalsVacates!BO39*(1-IF(BP$12-$F39&lt;=12,SUMIFS('Attrition Modeling'!$D:$D,'Attrition Modeling'!$B:$B,$E39,'Attrition Modeling'!$C:$C,BP$11),VLOOKUP(RentalsVacates!BP$12-RentalsVacates!$F39-1,RentalsVacates!$A$8:$C$162,2,FALSE)*VLOOKUP(BP$11,'Attrition Modeling'!$L$15:$N$27,IF(BP$12-$F39&lt;=24,2,3),FALSE))*(1+IF('Traditional Attrition'!BP161&gt;0,'Attrition Modeling'!$N$9,0))),0))</f>
        <v>1231.477450698422</v>
      </c>
      <c r="BQ39" s="799">
        <f>IF(BQ$12=$F39+1,IF(Monthly!BM$4=TRUE,0,BQ$3),IF(BQ$12&gt;$F39+1,RentalsVacates!BP39*(1-IF(BQ$12-$F39&lt;=12,SUMIFS('Attrition Modeling'!$D:$D,'Attrition Modeling'!$B:$B,$E39,'Attrition Modeling'!$C:$C,BQ$11),VLOOKUP(RentalsVacates!BQ$12-RentalsVacates!$F39-1,RentalsVacates!$A$8:$C$162,2,FALSE)*VLOOKUP(BQ$11,'Attrition Modeling'!$L$15:$N$27,IF(BQ$12-$F39&lt;=24,2,3),FALSE))*(1+IF('Traditional Attrition'!BQ161&gt;0,'Attrition Modeling'!$N$9,0))),0))</f>
        <v>1195.3285561760088</v>
      </c>
      <c r="BR39" s="799">
        <f>IF(BR$12=$F39+1,IF(Monthly!BN$4=TRUE,0,BR$3),IF(BR$12&gt;$F39+1,RentalsVacates!BQ39*(1-IF(BR$12-$F39&lt;=12,SUMIFS('Attrition Modeling'!$D:$D,'Attrition Modeling'!$B:$B,$E39,'Attrition Modeling'!$C:$C,BR$11),VLOOKUP(RentalsVacates!BR$12-RentalsVacates!$F39-1,RentalsVacates!$A$8:$C$162,2,FALSE)*VLOOKUP(BR$11,'Attrition Modeling'!$L$15:$N$27,IF(BR$12-$F39&lt;=24,2,3),FALSE))*(1+IF('Traditional Attrition'!BR161&gt;0,'Attrition Modeling'!$N$9,0))),0))</f>
        <v>1162.0798602070904</v>
      </c>
      <c r="BS39" s="799">
        <f>IF(BS$12=$F39+1,IF(Monthly!BO$4=TRUE,0,BS$3),IF(BS$12&gt;$F39+1,RentalsVacates!BR39*(1-IF(BS$12-$F39&lt;=12,SUMIFS('Attrition Modeling'!$D:$D,'Attrition Modeling'!$B:$B,$E39,'Attrition Modeling'!$C:$C,BS$11),VLOOKUP(RentalsVacates!BS$12-RentalsVacates!$F39-1,RentalsVacates!$A$8:$C$162,2,FALSE)*VLOOKUP(BS$11,'Attrition Modeling'!$L$15:$N$27,IF(BS$12-$F39&lt;=24,2,3),FALSE))*(1+IF('Traditional Attrition'!BS161&gt;0,'Attrition Modeling'!$N$9,0))),0))</f>
        <v>1136.6474283952255</v>
      </c>
      <c r="BT39" s="799">
        <f>IF(BT$11=$F38+1,IF(Monthly!#REF!=TRUE,0,BT$3),IF(BT$11&gt;$F38+1,RentalsVacates!BS38*(1-IF(BT$11-$F38&lt;=12,SUMIFS('Attrition Modeling'!$D:$D,'Attrition Modeling'!$B:$B,$E38,'Attrition Modeling'!$C:$C,BT$10),VLOOKUP(RentalsVacates!BT$11-RentalsVacates!$F38-1,RentalsVacates!$A$7:$C$161,2,FALSE)*VLOOKUP(BT$10,'Attrition Modeling'!$L$15:$N$27,IF(BT$11-$F38&lt;=24,2,3),FALSE))*(1+IF('Traditional Attrition'!BT161&gt;0,'Attrition Modeling'!$N$9,0))),0))</f>
        <v>0</v>
      </c>
      <c r="BU39" s="799">
        <f>IF(BU$11=$F38+1,IF(Monthly!#REF!=TRUE,0,BU$3),IF(BU$11&gt;$F38+1,RentalsVacates!BT38*(1-IF(BU$11-$F38&lt;=12,SUMIFS('Attrition Modeling'!$D:$D,'Attrition Modeling'!$B:$B,$E38,'Attrition Modeling'!$C:$C,BU$10),VLOOKUP(RentalsVacates!BU$11-RentalsVacates!$F38-1,RentalsVacates!$A$7:$C$161,2,FALSE)*VLOOKUP(BU$10,'Attrition Modeling'!$L$15:$N$27,IF(BU$11-$F38&lt;=24,2,3),FALSE))*(1+IF('Traditional Attrition'!BU161&gt;0,'Attrition Modeling'!$N$9,0))),0))</f>
        <v>0</v>
      </c>
    </row>
    <row r="40" spans="1:73" ht="14.25" customHeight="1" x14ac:dyDescent="0.2">
      <c r="A40" s="9">
        <v>32</v>
      </c>
      <c r="B40" s="25">
        <f>MAX('Attrition Modeling'!H36,$C$3)*(1-Summary!$C$20)</f>
        <v>3.1972584752881415E-2</v>
      </c>
      <c r="C40" s="24" t="e">
        <f t="shared" si="2"/>
        <v>#DIV/0!</v>
      </c>
      <c r="E40" s="11">
        <f>'Traditional Attrition'!E97</f>
        <v>3</v>
      </c>
      <c r="F40" s="11">
        <f t="shared" si="4"/>
        <v>27</v>
      </c>
      <c r="G40" s="799"/>
      <c r="H40" s="799">
        <f>IF(H$12=$F40+1,IF(Monthly!D$4=TRUE,0,H$3),IF(H$12&gt;$F40+1,RentalsVacates!G40*(1-IF(H$12-$F40&lt;=12,SUMIFS('Attrition Modeling'!$D:$D,'Attrition Modeling'!$B:$B,$E40,'Attrition Modeling'!$C:$C,H$11),VLOOKUP(RentalsVacates!H$12-RentalsVacates!$F40-1,RentalsVacates!$A$8:$C$162,2,FALSE)*VLOOKUP(H$11,'Attrition Modeling'!$L$15:$N$27,IF(H$12-$F40&lt;=24,2,3),FALSE))*(1+IF('Traditional Attrition'!H162&gt;0,'Attrition Modeling'!$N$9,0))),0))</f>
        <v>0</v>
      </c>
      <c r="I40" s="799">
        <f>IF(I$12=$F40+1,IF(Monthly!E$4=TRUE,0,I$3),IF(I$12&gt;$F40+1,RentalsVacates!H40*(1-IF(I$12-$F40&lt;=12,SUMIFS('Attrition Modeling'!$D:$D,'Attrition Modeling'!$B:$B,$E40,'Attrition Modeling'!$C:$C,I$11),VLOOKUP(RentalsVacates!I$12-RentalsVacates!$F40-1,RentalsVacates!$A$8:$C$162,2,FALSE)*VLOOKUP(I$11,'Attrition Modeling'!$L$15:$N$27,IF(I$12-$F40&lt;=24,2,3),FALSE))*(1+IF('Traditional Attrition'!I162&gt;0,'Attrition Modeling'!$N$9,0))),0))</f>
        <v>0</v>
      </c>
      <c r="J40" s="799">
        <f>IF(J$12=$F40+1,IF(Monthly!F$4=TRUE,0,J$3),IF(J$12&gt;$F40+1,RentalsVacates!I40*(1-IF(J$12-$F40&lt;=12,SUMIFS('Attrition Modeling'!$D:$D,'Attrition Modeling'!$B:$B,$E40,'Attrition Modeling'!$C:$C,J$11),VLOOKUP(RentalsVacates!J$12-RentalsVacates!$F40-1,RentalsVacates!$A$8:$C$162,2,FALSE)*VLOOKUP(J$11,'Attrition Modeling'!$L$15:$N$27,IF(J$12-$F40&lt;=24,2,3),FALSE))*(1+IF('Traditional Attrition'!J162&gt;0,'Attrition Modeling'!$N$9,0))),0))</f>
        <v>0</v>
      </c>
      <c r="K40" s="799">
        <f>IF(K$12=$F40+1,IF(Monthly!G$4=TRUE,0,K$3),IF(K$12&gt;$F40+1,RentalsVacates!J40*(1-IF(K$12-$F40&lt;=12,SUMIFS('Attrition Modeling'!$D:$D,'Attrition Modeling'!$B:$B,$E40,'Attrition Modeling'!$C:$C,K$11),VLOOKUP(RentalsVacates!K$12-RentalsVacates!$F40-1,RentalsVacates!$A$8:$C$162,2,FALSE)*VLOOKUP(K$11,'Attrition Modeling'!$L$15:$N$27,IF(K$12-$F40&lt;=24,2,3),FALSE))*(1+IF('Traditional Attrition'!K162&gt;0,'Attrition Modeling'!$N$9,0))),0))</f>
        <v>0</v>
      </c>
      <c r="L40" s="799">
        <f>IF(L$12=$F40+1,IF(Monthly!H$4=TRUE,0,L$3),IF(L$12&gt;$F40+1,RentalsVacates!K40*(1-IF(L$12-$F40&lt;=12,SUMIFS('Attrition Modeling'!$D:$D,'Attrition Modeling'!$B:$B,$E40,'Attrition Modeling'!$C:$C,L$11),VLOOKUP(RentalsVacates!L$12-RentalsVacates!$F40-1,RentalsVacates!$A$8:$C$162,2,FALSE)*VLOOKUP(L$11,'Attrition Modeling'!$L$15:$N$27,IF(L$12-$F40&lt;=24,2,3),FALSE))*(1+IF('Traditional Attrition'!L162&gt;0,'Attrition Modeling'!$N$9,0))),0))</f>
        <v>0</v>
      </c>
      <c r="M40" s="799">
        <f>IF(M$12=$F40+1,IF(Monthly!I$4=TRUE,0,M$3),IF(M$12&gt;$F40+1,RentalsVacates!L40*(1-IF(M$12-$F40&lt;=12,SUMIFS('Attrition Modeling'!$D:$D,'Attrition Modeling'!$B:$B,$E40,'Attrition Modeling'!$C:$C,M$11),VLOOKUP(RentalsVacates!M$12-RentalsVacates!$F40-1,RentalsVacates!$A$8:$C$162,2,FALSE)*VLOOKUP(M$11,'Attrition Modeling'!$L$15:$N$27,IF(M$12-$F40&lt;=24,2,3),FALSE))*(1+IF('Traditional Attrition'!M162&gt;0,'Attrition Modeling'!$N$9,0))),0))</f>
        <v>0</v>
      </c>
      <c r="N40" s="799">
        <f>IF(N$12=$F40+1,IF(Monthly!J$4=TRUE,0,N$3),IF(N$12&gt;$F40+1,RentalsVacates!M40*(1-IF(N$12-$F40&lt;=12,SUMIFS('Attrition Modeling'!$D:$D,'Attrition Modeling'!$B:$B,$E40,'Attrition Modeling'!$C:$C,N$11),VLOOKUP(RentalsVacates!N$12-RentalsVacates!$F40-1,RentalsVacates!$A$8:$C$162,2,FALSE)*VLOOKUP(N$11,'Attrition Modeling'!$L$15:$N$27,IF(N$12-$F40&lt;=24,2,3),FALSE))*(1+IF('Traditional Attrition'!N162&gt;0,'Attrition Modeling'!$N$9,0))),0))</f>
        <v>0</v>
      </c>
      <c r="O40" s="799">
        <f>IF(O$12=$F40+1,IF(Monthly!K$4=TRUE,0,O$3),IF(O$12&gt;$F40+1,RentalsVacates!N40*(1-IF(O$12-$F40&lt;=12,SUMIFS('Attrition Modeling'!$D:$D,'Attrition Modeling'!$B:$B,$E40,'Attrition Modeling'!$C:$C,O$11),VLOOKUP(RentalsVacates!O$12-RentalsVacates!$F40-1,RentalsVacates!$A$8:$C$162,2,FALSE)*VLOOKUP(O$11,'Attrition Modeling'!$L$15:$N$27,IF(O$12-$F40&lt;=24,2,3),FALSE))*(1+IF('Traditional Attrition'!O162&gt;0,'Attrition Modeling'!$N$9,0))),0))</f>
        <v>0</v>
      </c>
      <c r="P40" s="799">
        <f>IF(P$12=$F40+1,IF(Monthly!L$4=TRUE,0,P$3),IF(P$12&gt;$F40+1,RentalsVacates!O40*(1-IF(P$12-$F40&lt;=12,SUMIFS('Attrition Modeling'!$D:$D,'Attrition Modeling'!$B:$B,$E40,'Attrition Modeling'!$C:$C,P$11),VLOOKUP(RentalsVacates!P$12-RentalsVacates!$F40-1,RentalsVacates!$A$8:$C$162,2,FALSE)*VLOOKUP(P$11,'Attrition Modeling'!$L$15:$N$27,IF(P$12-$F40&lt;=24,2,3),FALSE))*(1+IF('Traditional Attrition'!P162&gt;0,'Attrition Modeling'!$N$9,0))),0))</f>
        <v>0</v>
      </c>
      <c r="Q40" s="799">
        <f>IF(Q$12=$F40+1,IF(Monthly!M$4=TRUE,0,Q$3),IF(Q$12&gt;$F40+1,RentalsVacates!P40*(1-IF(Q$12-$F40&lt;=12,SUMIFS('Attrition Modeling'!$D:$D,'Attrition Modeling'!$B:$B,$E40,'Attrition Modeling'!$C:$C,Q$11),VLOOKUP(RentalsVacates!Q$12-RentalsVacates!$F40-1,RentalsVacates!$A$8:$C$162,2,FALSE)*VLOOKUP(Q$11,'Attrition Modeling'!$L$15:$N$27,IF(Q$12-$F40&lt;=24,2,3),FALSE))*(1+IF('Traditional Attrition'!Q162&gt;0,'Attrition Modeling'!$N$9,0))),0))</f>
        <v>0</v>
      </c>
      <c r="R40" s="799">
        <f>IF(R$12=$F40+1,IF(Monthly!N$4=TRUE,0,R$3),IF(R$12&gt;$F40+1,RentalsVacates!Q40*(1-IF(R$12-$F40&lt;=12,SUMIFS('Attrition Modeling'!$D:$D,'Attrition Modeling'!$B:$B,$E40,'Attrition Modeling'!$C:$C,R$11),VLOOKUP(RentalsVacates!R$12-RentalsVacates!$F40-1,RentalsVacates!$A$8:$C$162,2,FALSE)*VLOOKUP(R$11,'Attrition Modeling'!$L$15:$N$27,IF(R$12-$F40&lt;=24,2,3),FALSE))*(1+IF('Traditional Attrition'!R162&gt;0,'Attrition Modeling'!$N$9,0))),0))</f>
        <v>0</v>
      </c>
      <c r="S40" s="799">
        <f>IF(S$12=$F40+1,IF(Monthly!O$4=TRUE,0,S$3),IF(S$12&gt;$F40+1,RentalsVacates!R40*(1-IF(S$12-$F40&lt;=12,SUMIFS('Attrition Modeling'!$D:$D,'Attrition Modeling'!$B:$B,$E40,'Attrition Modeling'!$C:$C,S$11),VLOOKUP(RentalsVacates!S$12-RentalsVacates!$F40-1,RentalsVacates!$A$8:$C$162,2,FALSE)*VLOOKUP(S$11,'Attrition Modeling'!$L$15:$N$27,IF(S$12-$F40&lt;=24,2,3),FALSE))*(1+IF('Traditional Attrition'!S162&gt;0,'Attrition Modeling'!$N$9,0))),0))</f>
        <v>0</v>
      </c>
      <c r="T40" s="799">
        <f>IF(T$12=$F40+1,IF(Monthly!P$4=TRUE,0,T$3),IF(T$12&gt;$F40+1,RentalsVacates!S40*(1-IF(T$12-$F40&lt;=12,SUMIFS('Attrition Modeling'!$D:$D,'Attrition Modeling'!$B:$B,$E40,'Attrition Modeling'!$C:$C,T$11),VLOOKUP(RentalsVacates!T$12-RentalsVacates!$F40-1,RentalsVacates!$A$8:$C$162,2,FALSE)*VLOOKUP(T$11,'Attrition Modeling'!$L$15:$N$27,IF(T$12-$F40&lt;=24,2,3),FALSE))*(1+IF('Traditional Attrition'!T162&gt;0,'Attrition Modeling'!$N$9,0))),0))</f>
        <v>0</v>
      </c>
      <c r="U40" s="799">
        <f>IF(U$12=$F40+1,IF(Monthly!Q$4=TRUE,0,U$3),IF(U$12&gt;$F40+1,RentalsVacates!T40*(1-IF(U$12-$F40&lt;=12,SUMIFS('Attrition Modeling'!$D:$D,'Attrition Modeling'!$B:$B,$E40,'Attrition Modeling'!$C:$C,U$11),VLOOKUP(RentalsVacates!U$12-RentalsVacates!$F40-1,RentalsVacates!$A$8:$C$162,2,FALSE)*VLOOKUP(U$11,'Attrition Modeling'!$L$15:$N$27,IF(U$12-$F40&lt;=24,2,3),FALSE))*(1+IF('Traditional Attrition'!U162&gt;0,'Attrition Modeling'!$N$9,0))),0))</f>
        <v>0</v>
      </c>
      <c r="V40" s="799">
        <f>IF(V$12=$F40+1,IF(Monthly!R$4=TRUE,0,V$3),IF(V$12&gt;$F40+1,RentalsVacates!U40*(1-IF(V$12-$F40&lt;=12,SUMIFS('Attrition Modeling'!$D:$D,'Attrition Modeling'!$B:$B,$E40,'Attrition Modeling'!$C:$C,V$11),VLOOKUP(RentalsVacates!V$12-RentalsVacates!$F40-1,RentalsVacates!$A$8:$C$162,2,FALSE)*VLOOKUP(V$11,'Attrition Modeling'!$L$15:$N$27,IF(V$12-$F40&lt;=24,2,3),FALSE))*(1+IF('Traditional Attrition'!V162&gt;0,'Attrition Modeling'!$N$9,0))),0))</f>
        <v>0</v>
      </c>
      <c r="W40" s="799">
        <f>IF(W$12=$F40+1,IF(Monthly!S$4=TRUE,0,W$3),IF(W$12&gt;$F40+1,RentalsVacates!V40*(1-IF(W$12-$F40&lt;=12,SUMIFS('Attrition Modeling'!$D:$D,'Attrition Modeling'!$B:$B,$E40,'Attrition Modeling'!$C:$C,W$11),VLOOKUP(RentalsVacates!W$12-RentalsVacates!$F40-1,RentalsVacates!$A$8:$C$162,2,FALSE)*VLOOKUP(W$11,'Attrition Modeling'!$L$15:$N$27,IF(W$12-$F40&lt;=24,2,3),FALSE))*(1+IF('Traditional Attrition'!W162&gt;0,'Attrition Modeling'!$N$9,0))),0))</f>
        <v>0</v>
      </c>
      <c r="X40" s="799">
        <f>IF(X$12=$F40+1,IF(Monthly!T$4=TRUE,0,X$3),IF(X$12&gt;$F40+1,RentalsVacates!W40*(1-IF(X$12-$F40&lt;=12,SUMIFS('Attrition Modeling'!$D:$D,'Attrition Modeling'!$B:$B,$E40,'Attrition Modeling'!$C:$C,X$11),VLOOKUP(RentalsVacates!X$12-RentalsVacates!$F40-1,RentalsVacates!$A$8:$C$162,2,FALSE)*VLOOKUP(X$11,'Attrition Modeling'!$L$15:$N$27,IF(X$12-$F40&lt;=24,2,3),FALSE))*(1+IF('Traditional Attrition'!X162&gt;0,'Attrition Modeling'!$N$9,0))),0))</f>
        <v>0</v>
      </c>
      <c r="Y40" s="799">
        <f>IF(Y$12=$F40+1,IF(Monthly!U$4=TRUE,0,Y$3),IF(Y$12&gt;$F40+1,RentalsVacates!X40*(1-IF(Y$12-$F40&lt;=12,SUMIFS('Attrition Modeling'!$D:$D,'Attrition Modeling'!$B:$B,$E40,'Attrition Modeling'!$C:$C,Y$11),VLOOKUP(RentalsVacates!Y$12-RentalsVacates!$F40-1,RentalsVacates!$A$8:$C$162,2,FALSE)*VLOOKUP(Y$11,'Attrition Modeling'!$L$15:$N$27,IF(Y$12-$F40&lt;=24,2,3),FALSE))*(1+IF('Traditional Attrition'!Y162&gt;0,'Attrition Modeling'!$N$9,0))),0))</f>
        <v>0</v>
      </c>
      <c r="Z40" s="799">
        <f>IF(Z$12=$F40+1,IF(Monthly!V$4=TRUE,0,Z$3),IF(Z$12&gt;$F40+1,RentalsVacates!Y40*(1-IF(Z$12-$F40&lt;=12,SUMIFS('Attrition Modeling'!$D:$D,'Attrition Modeling'!$B:$B,$E40,'Attrition Modeling'!$C:$C,Z$11),VLOOKUP(RentalsVacates!Z$12-RentalsVacates!$F40-1,RentalsVacates!$A$8:$C$162,2,FALSE)*VLOOKUP(Z$11,'Attrition Modeling'!$L$15:$N$27,IF(Z$12-$F40&lt;=24,2,3),FALSE))*(1+IF('Traditional Attrition'!Z162&gt;0,'Attrition Modeling'!$N$9,0))),0))</f>
        <v>0</v>
      </c>
      <c r="AA40" s="799">
        <f>IF(AA$12=$F40+1,IF(Monthly!W$4=TRUE,0,AA$3),IF(AA$12&gt;$F40+1,RentalsVacates!Z40*(1-IF(AA$12-$F40&lt;=12,SUMIFS('Attrition Modeling'!$D:$D,'Attrition Modeling'!$B:$B,$E40,'Attrition Modeling'!$C:$C,AA$11),VLOOKUP(RentalsVacates!AA$12-RentalsVacates!$F40-1,RentalsVacates!$A$8:$C$162,2,FALSE)*VLOOKUP(AA$11,'Attrition Modeling'!$L$15:$N$27,IF(AA$12-$F40&lt;=24,2,3),FALSE))*(1+IF('Traditional Attrition'!AA162&gt;0,'Attrition Modeling'!$N$9,0))),0))</f>
        <v>0</v>
      </c>
      <c r="AB40" s="799">
        <f>IF(AB$12=$F40+1,IF(Monthly!X$4=TRUE,0,AB$3),IF(AB$12&gt;$F40+1,RentalsVacates!AA40*(1-IF(AB$12-$F40&lt;=12,SUMIFS('Attrition Modeling'!$D:$D,'Attrition Modeling'!$B:$B,$E40,'Attrition Modeling'!$C:$C,AB$11),VLOOKUP(RentalsVacates!AB$12-RentalsVacates!$F40-1,RentalsVacates!$A$8:$C$162,2,FALSE)*VLOOKUP(AB$11,'Attrition Modeling'!$L$15:$N$27,IF(AB$12-$F40&lt;=24,2,3),FALSE))*(1+IF('Traditional Attrition'!AB162&gt;0,'Attrition Modeling'!$N$9,0))),0))</f>
        <v>0</v>
      </c>
      <c r="AC40" s="799">
        <f>IF(AC$12=$F40+1,IF(Monthly!Y$4=TRUE,0,AC$3),IF(AC$12&gt;$F40+1,RentalsVacates!AB40*(1-IF(AC$12-$F40&lt;=12,SUMIFS('Attrition Modeling'!$D:$D,'Attrition Modeling'!$B:$B,$E40,'Attrition Modeling'!$C:$C,AC$11),VLOOKUP(RentalsVacates!AC$12-RentalsVacates!$F40-1,RentalsVacates!$A$8:$C$162,2,FALSE)*VLOOKUP(AC$11,'Attrition Modeling'!$L$15:$N$27,IF(AC$12-$F40&lt;=24,2,3),FALSE))*(1+IF('Traditional Attrition'!AC162&gt;0,'Attrition Modeling'!$N$9,0))),0))</f>
        <v>0</v>
      </c>
      <c r="AD40" s="799">
        <f>IF(AD$12=$F40+1,IF(Monthly!Z$4=TRUE,0,AD$3),IF(AD$12&gt;$F40+1,RentalsVacates!AC40*(1-IF(AD$12-$F40&lt;=12,SUMIFS('Attrition Modeling'!$D:$D,'Attrition Modeling'!$B:$B,$E40,'Attrition Modeling'!$C:$C,AD$11),VLOOKUP(RentalsVacates!AD$12-RentalsVacates!$F40-1,RentalsVacates!$A$8:$C$162,2,FALSE)*VLOOKUP(AD$11,'Attrition Modeling'!$L$15:$N$27,IF(AD$12-$F40&lt;=24,2,3),FALSE))*(1+IF('Traditional Attrition'!AD162&gt;0,'Attrition Modeling'!$N$9,0))),0))</f>
        <v>0</v>
      </c>
      <c r="AE40" s="799">
        <f>IF(AE$12=$F40+1,IF(Monthly!AA$4=TRUE,0,AE$3),IF(AE$12&gt;$F40+1,RentalsVacates!AD40*(1-IF(AE$12-$F40&lt;=12,SUMIFS('Attrition Modeling'!$D:$D,'Attrition Modeling'!$B:$B,$E40,'Attrition Modeling'!$C:$C,AE$11),VLOOKUP(RentalsVacates!AE$12-RentalsVacates!$F40-1,RentalsVacates!$A$8:$C$162,2,FALSE)*VLOOKUP(AE$11,'Attrition Modeling'!$L$15:$N$27,IF(AE$12-$F40&lt;=24,2,3),FALSE))*(1+IF('Traditional Attrition'!AE162&gt;0,'Attrition Modeling'!$N$9,0))),0))</f>
        <v>0</v>
      </c>
      <c r="AF40" s="799">
        <f>IF(AF$12=$F40+1,IF(Monthly!AB$4=TRUE,0,AF$3),IF(AF$12&gt;$F40+1,RentalsVacates!AE40*(1-IF(AF$12-$F40&lt;=12,SUMIFS('Attrition Modeling'!$D:$D,'Attrition Modeling'!$B:$B,$E40,'Attrition Modeling'!$C:$C,AF$11),VLOOKUP(RentalsVacates!AF$12-RentalsVacates!$F40-1,RentalsVacates!$A$8:$C$162,2,FALSE)*VLOOKUP(AF$11,'Attrition Modeling'!$L$15:$N$27,IF(AF$12-$F40&lt;=24,2,3),FALSE))*(1+IF('Traditional Attrition'!AF162&gt;0,'Attrition Modeling'!$N$9,0))),0))</f>
        <v>0</v>
      </c>
      <c r="AG40" s="799">
        <f>IF(AG$12=$F40+1,IF(Monthly!AC$4=TRUE,0,AG$3),IF(AG$12&gt;$F40+1,RentalsVacates!AF40*(1-IF(AG$12-$F40&lt;=12,SUMIFS('Attrition Modeling'!$D:$D,'Attrition Modeling'!$B:$B,$E40,'Attrition Modeling'!$C:$C,AG$11),VLOOKUP(RentalsVacates!AG$12-RentalsVacates!$F40-1,RentalsVacates!$A$8:$C$162,2,FALSE)*VLOOKUP(AG$11,'Attrition Modeling'!$L$15:$N$27,IF(AG$12-$F40&lt;=24,2,3),FALSE))*(1+IF('Traditional Attrition'!AG162&gt;0,'Attrition Modeling'!$N$9,0))),0))</f>
        <v>0</v>
      </c>
      <c r="AH40" s="799">
        <f>IF(AH$12=$F40+1,IF(Monthly!AD$4=TRUE,0,AH$3),IF(AH$12&gt;$F40+1,RentalsVacates!AG40*(1-IF(AH$12-$F40&lt;=12,SUMIFS('Attrition Modeling'!$D:$D,'Attrition Modeling'!$B:$B,$E40,'Attrition Modeling'!$C:$C,AH$11),VLOOKUP(RentalsVacates!AH$12-RentalsVacates!$F40-1,RentalsVacates!$A$8:$C$162,2,FALSE)*VLOOKUP(AH$11,'Attrition Modeling'!$L$15:$N$27,IF(AH$12-$F40&lt;=24,2,3),FALSE))*(1+IF('Traditional Attrition'!AH162&gt;0,'Attrition Modeling'!$N$9,0))),0))</f>
        <v>0</v>
      </c>
      <c r="AI40" s="799">
        <f>IF(AI$12=$F40+1,IF(Monthly!AE$4=TRUE,0,AI$3),IF(AI$12&gt;$F40+1,RentalsVacates!AH40*(1-IF(AI$12-$F40&lt;=12,SUMIFS('Attrition Modeling'!$D:$D,'Attrition Modeling'!$B:$B,$E40,'Attrition Modeling'!$C:$C,AI$11),VLOOKUP(RentalsVacates!AI$12-RentalsVacates!$F40-1,RentalsVacates!$A$8:$C$162,2,FALSE)*VLOOKUP(AI$11,'Attrition Modeling'!$L$15:$N$27,IF(AI$12-$F40&lt;=24,2,3),FALSE))*(1+IF('Traditional Attrition'!AI162&gt;0,'Attrition Modeling'!$N$9,0))),0))</f>
        <v>7340.6045134883607</v>
      </c>
      <c r="AJ40" s="799">
        <f>IF(AJ$12=$F40+1,IF(Monthly!AF$4=TRUE,0,AJ$3),IF(AJ$12&gt;$F40+1,RentalsVacates!AI40*(1-IF(AJ$12-$F40&lt;=12,SUMIFS('Attrition Modeling'!$D:$D,'Attrition Modeling'!$B:$B,$E40,'Attrition Modeling'!$C:$C,AJ$11),VLOOKUP(RentalsVacates!AJ$12-RentalsVacates!$F40-1,RentalsVacates!$A$8:$C$162,2,FALSE)*VLOOKUP(AJ$11,'Attrition Modeling'!$L$15:$N$27,IF(AJ$12-$F40&lt;=24,2,3),FALSE))*(1+IF('Traditional Attrition'!AJ162&gt;0,'Attrition Modeling'!$N$9,0))),0))</f>
        <v>6651.1883708877931</v>
      </c>
      <c r="AK40" s="799">
        <f>IF(AK$12=$F40+1,IF(Monthly!AG$4=TRUE,0,AK$3),IF(AK$12&gt;$F40+1,RentalsVacates!AJ40*(1-IF(AK$12-$F40&lt;=12,SUMIFS('Attrition Modeling'!$D:$D,'Attrition Modeling'!$B:$B,$E40,'Attrition Modeling'!$C:$C,AK$11),VLOOKUP(RentalsVacates!AK$12-RentalsVacates!$F40-1,RentalsVacates!$A$8:$C$162,2,FALSE)*VLOOKUP(AK$11,'Attrition Modeling'!$L$15:$N$27,IF(AK$12-$F40&lt;=24,2,3),FALSE))*(1+IF('Traditional Attrition'!AK162&gt;0,'Attrition Modeling'!$N$9,0))),0))</f>
        <v>6054.0688892751568</v>
      </c>
      <c r="AL40" s="799">
        <f>IF(AL$12=$F40+1,IF(Monthly!AH$4=TRUE,0,AL$3),IF(AL$12&gt;$F40+1,RentalsVacates!AK40*(1-IF(AL$12-$F40&lt;=12,SUMIFS('Attrition Modeling'!$D:$D,'Attrition Modeling'!$B:$B,$E40,'Attrition Modeling'!$C:$C,AL$11),VLOOKUP(RentalsVacates!AL$12-RentalsVacates!$F40-1,RentalsVacates!$A$8:$C$162,2,FALSE)*VLOOKUP(AL$11,'Attrition Modeling'!$L$15:$N$27,IF(AL$12-$F40&lt;=24,2,3),FALSE))*(1+IF('Traditional Attrition'!AL162&gt;0,'Attrition Modeling'!$N$9,0))),0))</f>
        <v>5512.7449249475076</v>
      </c>
      <c r="AM40" s="799">
        <f>IF(AM$12=$F40+1,IF(Monthly!AI$4=TRUE,0,AM$3),IF(AM$12&gt;$F40+1,RentalsVacates!AL40*(1-IF(AM$12-$F40&lt;=12,SUMIFS('Attrition Modeling'!$D:$D,'Attrition Modeling'!$B:$B,$E40,'Attrition Modeling'!$C:$C,AM$11),VLOOKUP(RentalsVacates!AM$12-RentalsVacates!$F40-1,RentalsVacates!$A$8:$C$162,2,FALSE)*VLOOKUP(AM$11,'Attrition Modeling'!$L$15:$N$27,IF(AM$12-$F40&lt;=24,2,3),FALSE))*(1+IF('Traditional Attrition'!AM162&gt;0,'Attrition Modeling'!$N$9,0))),0))</f>
        <v>5031.767136529862</v>
      </c>
      <c r="AN40" s="799">
        <f>IF(AN$12=$F40+1,IF(Monthly!AJ$4=TRUE,0,AN$3),IF(AN$12&gt;$F40+1,RentalsVacates!AM40*(1-IF(AN$12-$F40&lt;=12,SUMIFS('Attrition Modeling'!$D:$D,'Attrition Modeling'!$B:$B,$E40,'Attrition Modeling'!$C:$C,AN$11),VLOOKUP(RentalsVacates!AN$12-RentalsVacates!$F40-1,RentalsVacates!$A$8:$C$162,2,FALSE)*VLOOKUP(AN$11,'Attrition Modeling'!$L$15:$N$27,IF(AN$12-$F40&lt;=24,2,3),FALSE))*(1+IF('Traditional Attrition'!AN162&gt;0,'Attrition Modeling'!$N$9,0))),0))</f>
        <v>4534.8244401988713</v>
      </c>
      <c r="AO40" s="799">
        <f>IF(AO$12=$F40+1,IF(Monthly!AK$4=TRUE,0,AO$3),IF(AO$12&gt;$F40+1,RentalsVacates!AN40*(1-IF(AO$12-$F40&lt;=12,SUMIFS('Attrition Modeling'!$D:$D,'Attrition Modeling'!$B:$B,$E40,'Attrition Modeling'!$C:$C,AO$11),VLOOKUP(RentalsVacates!AO$12-RentalsVacates!$F40-1,RentalsVacates!$A$8:$C$162,2,FALSE)*VLOOKUP(AO$11,'Attrition Modeling'!$L$15:$N$27,IF(AO$12-$F40&lt;=24,2,3),FALSE))*(1+IF('Traditional Attrition'!AO162&gt;0,'Attrition Modeling'!$N$9,0))),0))</f>
        <v>4175.3966131774177</v>
      </c>
      <c r="AP40" s="799">
        <f>IF(AP$12=$F40+1,IF(Monthly!AL$4=TRUE,0,AP$3),IF(AP$12&gt;$F40+1,RentalsVacates!AO40*(1-IF(AP$12-$F40&lt;=12,SUMIFS('Attrition Modeling'!$D:$D,'Attrition Modeling'!$B:$B,$E40,'Attrition Modeling'!$C:$C,AP$11),VLOOKUP(RentalsVacates!AP$12-RentalsVacates!$F40-1,RentalsVacates!$A$8:$C$162,2,FALSE)*VLOOKUP(AP$11,'Attrition Modeling'!$L$15:$N$27,IF(AP$12-$F40&lt;=24,2,3),FALSE))*(1+IF('Traditional Attrition'!AP162&gt;0,'Attrition Modeling'!$N$9,0))),0))</f>
        <v>3863.9829240688746</v>
      </c>
      <c r="AQ40" s="799">
        <f>IF(AQ$12=$F40+1,IF(Monthly!AM$4=TRUE,0,AQ$3),IF(AQ$12&gt;$F40+1,RentalsVacates!AP40*(1-IF(AQ$12-$F40&lt;=12,SUMIFS('Attrition Modeling'!$D:$D,'Attrition Modeling'!$B:$B,$E40,'Attrition Modeling'!$C:$C,AQ$11),VLOOKUP(RentalsVacates!AQ$12-RentalsVacates!$F40-1,RentalsVacates!$A$8:$C$162,2,FALSE)*VLOOKUP(AQ$11,'Attrition Modeling'!$L$15:$N$27,IF(AQ$12-$F40&lt;=24,2,3),FALSE))*(1+IF('Traditional Attrition'!AQ162&gt;0,'Attrition Modeling'!$N$9,0))),0))</f>
        <v>3633.6444491136458</v>
      </c>
      <c r="AR40" s="799">
        <f>IF(AR$12=$F40+1,IF(Monthly!AN$4=TRUE,0,AR$3),IF(AR$12&gt;$F40+1,RentalsVacates!AQ40*(1-IF(AR$12-$F40&lt;=12,SUMIFS('Attrition Modeling'!$D:$D,'Attrition Modeling'!$B:$B,$E40,'Attrition Modeling'!$C:$C,AR$11),VLOOKUP(RentalsVacates!AR$12-RentalsVacates!$F40-1,RentalsVacates!$A$8:$C$162,2,FALSE)*VLOOKUP(AR$11,'Attrition Modeling'!$L$15:$N$27,IF(AR$12-$F40&lt;=24,2,3),FALSE))*(1+IF('Traditional Attrition'!AR162&gt;0,'Attrition Modeling'!$N$9,0))),0))</f>
        <v>3429.8560059042238</v>
      </c>
      <c r="AS40" s="799">
        <f>IF(AS$12=$F40+1,IF(Monthly!AO$4=TRUE,0,AS$3),IF(AS$12&gt;$F40+1,RentalsVacates!AR40*(1-IF(AS$12-$F40&lt;=12,SUMIFS('Attrition Modeling'!$D:$D,'Attrition Modeling'!$B:$B,$E40,'Attrition Modeling'!$C:$C,AS$11),VLOOKUP(RentalsVacates!AS$12-RentalsVacates!$F40-1,RentalsVacates!$A$8:$C$162,2,FALSE)*VLOOKUP(AS$11,'Attrition Modeling'!$L$15:$N$27,IF(AS$12-$F40&lt;=24,2,3),FALSE))*(1+IF('Traditional Attrition'!AS162&gt;0,'Attrition Modeling'!$N$9,0))),0))</f>
        <v>3253.0231941963002</v>
      </c>
      <c r="AT40" s="799">
        <f>IF(AT$12=$F40+1,IF(Monthly!AP$4=TRUE,0,AT$3),IF(AT$12&gt;$F40+1,RentalsVacates!AS40*(1-IF(AT$12-$F40&lt;=12,SUMIFS('Attrition Modeling'!$D:$D,'Attrition Modeling'!$B:$B,$E40,'Attrition Modeling'!$C:$C,AT$11),VLOOKUP(RentalsVacates!AT$12-RentalsVacates!$F40-1,RentalsVacates!$A$8:$C$162,2,FALSE)*VLOOKUP(AT$11,'Attrition Modeling'!$L$15:$N$27,IF(AT$12-$F40&lt;=24,2,3),FALSE))*(1+IF('Traditional Attrition'!AT162&gt;0,'Attrition Modeling'!$N$9,0))),0))</f>
        <v>3148.8548854717465</v>
      </c>
      <c r="AU40" s="799">
        <f>IF(AU$12=$F40+1,IF(Monthly!AQ$4=TRUE,0,AU$3),IF(AU$12&gt;$F40+1,RentalsVacates!AT40*(1-IF(AU$12-$F40&lt;=12,SUMIFS('Attrition Modeling'!$D:$D,'Attrition Modeling'!$B:$B,$E40,'Attrition Modeling'!$C:$C,AU$11),VLOOKUP(RentalsVacates!AU$12-RentalsVacates!$F40-1,RentalsVacates!$A$8:$C$162,2,FALSE)*VLOOKUP(AU$11,'Attrition Modeling'!$L$15:$N$27,IF(AU$12-$F40&lt;=24,2,3),FALSE))*(1+IF('Traditional Attrition'!AU162&gt;0,'Attrition Modeling'!$N$9,0))),0))</f>
        <v>2985.1777524758613</v>
      </c>
      <c r="AV40" s="799">
        <f>IF(AV$12=$F40+1,IF(Monthly!AR$4=TRUE,0,AV$3),IF(AV$12&gt;$F40+1,RentalsVacates!AU40*(1-IF(AV$12-$F40&lt;=12,SUMIFS('Attrition Modeling'!$D:$D,'Attrition Modeling'!$B:$B,$E40,'Attrition Modeling'!$C:$C,AV$11),VLOOKUP(RentalsVacates!AV$12-RentalsVacates!$F40-1,RentalsVacates!$A$8:$C$162,2,FALSE)*VLOOKUP(AV$11,'Attrition Modeling'!$L$15:$N$27,IF(AV$12-$F40&lt;=24,2,3),FALSE))*(1+IF('Traditional Attrition'!AV162&gt;0,'Attrition Modeling'!$N$9,0))),0))</f>
        <v>2843.0164038517933</v>
      </c>
      <c r="AW40" s="799">
        <f>IF(AW$12=$F40+1,IF(Monthly!AS$4=TRUE,0,AW$3),IF(AW$12&gt;$F40+1,RentalsVacates!AV40*(1-IF(AW$12-$F40&lt;=12,SUMIFS('Attrition Modeling'!$D:$D,'Attrition Modeling'!$B:$B,$E40,'Attrition Modeling'!$C:$C,AW$11),VLOOKUP(RentalsVacates!AW$12-RentalsVacates!$F40-1,RentalsVacates!$A$8:$C$162,2,FALSE)*VLOOKUP(AW$11,'Attrition Modeling'!$L$15:$N$27,IF(AW$12-$F40&lt;=24,2,3),FALSE))*(1+IF('Traditional Attrition'!AW162&gt;0,'Attrition Modeling'!$N$9,0))),0))</f>
        <v>2701.6521905579821</v>
      </c>
      <c r="AX40" s="799">
        <f>IF(AX$12=$F40+1,IF(Monthly!AT$4=TRUE,0,AX$3),IF(AX$12&gt;$F40+1,RentalsVacates!AW40*(1-IF(AX$12-$F40&lt;=12,SUMIFS('Attrition Modeling'!$D:$D,'Attrition Modeling'!$B:$B,$E40,'Attrition Modeling'!$C:$C,AX$11),VLOOKUP(RentalsVacates!AX$12-RentalsVacates!$F40-1,RentalsVacates!$A$8:$C$162,2,FALSE)*VLOOKUP(AX$11,'Attrition Modeling'!$L$15:$N$27,IF(AX$12-$F40&lt;=24,2,3),FALSE))*(1+IF('Traditional Attrition'!AX162&gt;0,'Attrition Modeling'!$N$9,0))),0))</f>
        <v>2569.1606348720497</v>
      </c>
      <c r="AY40" s="799">
        <f>IF(AY$12=$F40+1,IF(Monthly!AU$4=TRUE,0,AY$3),IF(AY$12&gt;$F40+1,RentalsVacates!AX40*(1-IF(AY$12-$F40&lt;=12,SUMIFS('Attrition Modeling'!$D:$D,'Attrition Modeling'!$B:$B,$E40,'Attrition Modeling'!$C:$C,AY$11),VLOOKUP(RentalsVacates!AY$12-RentalsVacates!$F40-1,RentalsVacates!$A$8:$C$162,2,FALSE)*VLOOKUP(AY$11,'Attrition Modeling'!$L$15:$N$27,IF(AY$12-$F40&lt;=24,2,3),FALSE))*(1+IF('Traditional Attrition'!AY162&gt;0,'Attrition Modeling'!$N$9,0))),0))</f>
        <v>2441.4634173659806</v>
      </c>
      <c r="AZ40" s="799">
        <f>IF(AZ$12=$F40+1,IF(Monthly!AV$4=TRUE,0,AZ$3),IF(AZ$12&gt;$F40+1,RentalsVacates!AY40*(1-IF(AZ$12-$F40&lt;=12,SUMIFS('Attrition Modeling'!$D:$D,'Attrition Modeling'!$B:$B,$E40,'Attrition Modeling'!$C:$C,AZ$11),VLOOKUP(RentalsVacates!AZ$12-RentalsVacates!$F40-1,RentalsVacates!$A$8:$C$162,2,FALSE)*VLOOKUP(AZ$11,'Attrition Modeling'!$L$15:$N$27,IF(AZ$12-$F40&lt;=24,2,3),FALSE))*(1+IF('Traditional Attrition'!AZ162&gt;0,'Attrition Modeling'!$N$9,0))),0))</f>
        <v>2311.9641216382092</v>
      </c>
      <c r="BA40" s="799">
        <f>IF(BA$12=$F40+1,IF(Monthly!AW$4=TRUE,0,BA$3),IF(BA$12&gt;$F40+1,RentalsVacates!AZ40*(1-IF(BA$12-$F40&lt;=12,SUMIFS('Attrition Modeling'!$D:$D,'Attrition Modeling'!$B:$B,$E40,'Attrition Modeling'!$C:$C,BA$11),VLOOKUP(RentalsVacates!BA$12-RentalsVacates!$F40-1,RentalsVacates!$A$8:$C$162,2,FALSE)*VLOOKUP(BA$11,'Attrition Modeling'!$L$15:$N$27,IF(BA$12-$F40&lt;=24,2,3),FALSE))*(1+IF('Traditional Attrition'!BA162&gt;0,'Attrition Modeling'!$N$9,0))),0))</f>
        <v>2209.6518344066185</v>
      </c>
      <c r="BB40" s="799">
        <f>IF(BB$12=$F40+1,IF(Monthly!AX$4=TRUE,0,BB$3),IF(BB$12&gt;$F40+1,RentalsVacates!BA40*(1-IF(BB$12-$F40&lt;=12,SUMIFS('Attrition Modeling'!$D:$D,'Attrition Modeling'!$B:$B,$E40,'Attrition Modeling'!$C:$C,BB$11),VLOOKUP(RentalsVacates!BB$12-RentalsVacates!$F40-1,RentalsVacates!$A$8:$C$162,2,FALSE)*VLOOKUP(BB$11,'Attrition Modeling'!$L$15:$N$27,IF(BB$12-$F40&lt;=24,2,3),FALSE))*(1+IF('Traditional Attrition'!BB162&gt;0,'Attrition Modeling'!$N$9,0))),0))</f>
        <v>2117.3711889579495</v>
      </c>
      <c r="BC40" s="799">
        <f>IF(BC$12=$F40+1,IF(Monthly!AY$4=TRUE,0,BC$3),IF(BC$12&gt;$F40+1,RentalsVacates!BB40*(1-IF(BC$12-$F40&lt;=12,SUMIFS('Attrition Modeling'!$D:$D,'Attrition Modeling'!$B:$B,$E40,'Attrition Modeling'!$C:$C,BC$11),VLOOKUP(RentalsVacates!BC$12-RentalsVacates!$F40-1,RentalsVacates!$A$8:$C$162,2,FALSE)*VLOOKUP(BC$11,'Attrition Modeling'!$L$15:$N$27,IF(BC$12-$F40&lt;=24,2,3),FALSE))*(1+IF('Traditional Attrition'!BC162&gt;0,'Attrition Modeling'!$N$9,0))),0))</f>
        <v>2031.3681929638892</v>
      </c>
      <c r="BD40" s="799">
        <f>IF(BD$12=$F40+1,IF(Monthly!AZ$4=TRUE,0,BD$3),IF(BD$12&gt;$F40+1,RentalsVacates!BC40*(1-IF(BD$12-$F40&lt;=12,SUMIFS('Attrition Modeling'!$D:$D,'Attrition Modeling'!$B:$B,$E40,'Attrition Modeling'!$C:$C,BD$11),VLOOKUP(RentalsVacates!BD$12-RentalsVacates!$F40-1,RentalsVacates!$A$8:$C$162,2,FALSE)*VLOOKUP(BD$11,'Attrition Modeling'!$L$15:$N$27,IF(BD$12-$F40&lt;=24,2,3),FALSE))*(1+IF('Traditional Attrition'!BD162&gt;0,'Attrition Modeling'!$N$9,0))),0))</f>
        <v>1950.0679851713739</v>
      </c>
      <c r="BE40" s="799">
        <f>IF(BE$12=$F40+1,IF(Monthly!BA$4=TRUE,0,BE$3),IF(BE$12&gt;$F40+1,RentalsVacates!BD40*(1-IF(BE$12-$F40&lt;=12,SUMIFS('Attrition Modeling'!$D:$D,'Attrition Modeling'!$B:$B,$E40,'Attrition Modeling'!$C:$C,BE$11),VLOOKUP(RentalsVacates!BE$12-RentalsVacates!$F40-1,RentalsVacates!$A$8:$C$162,2,FALSE)*VLOOKUP(BE$11,'Attrition Modeling'!$L$15:$N$27,IF(BE$12-$F40&lt;=24,2,3),FALSE))*(1+IF('Traditional Attrition'!BE162&gt;0,'Attrition Modeling'!$N$9,0))),0))</f>
        <v>1880.6677825034674</v>
      </c>
      <c r="BF40" s="799">
        <f>IF(BF$12=$F40+1,IF(Monthly!BB$4=TRUE,0,BF$3),IF(BF$12&gt;$F40+1,RentalsVacates!BE40*(1-IF(BF$12-$F40&lt;=12,SUMIFS('Attrition Modeling'!$D:$D,'Attrition Modeling'!$B:$B,$E40,'Attrition Modeling'!$C:$C,BF$11),VLOOKUP(RentalsVacates!BF$12-RentalsVacates!$F40-1,RentalsVacates!$A$8:$C$162,2,FALSE)*VLOOKUP(BF$11,'Attrition Modeling'!$L$15:$N$27,IF(BF$12-$F40&lt;=24,2,3),FALSE))*(1+IF('Traditional Attrition'!BF162&gt;0,'Attrition Modeling'!$N$9,0))),0))</f>
        <v>1808.7740616686954</v>
      </c>
      <c r="BG40" s="799">
        <f>IF(BG$12=$F40+1,IF(Monthly!BC$4=TRUE,0,BG$3),IF(BG$12&gt;$F40+1,RentalsVacates!BF40*(1-IF(BG$12-$F40&lt;=12,SUMIFS('Attrition Modeling'!$D:$D,'Attrition Modeling'!$B:$B,$E40,'Attrition Modeling'!$C:$C,BG$11),VLOOKUP(RentalsVacates!BG$12-RentalsVacates!$F40-1,RentalsVacates!$A$8:$C$162,2,FALSE)*VLOOKUP(BG$11,'Attrition Modeling'!$L$15:$N$27,IF(BG$12-$F40&lt;=24,2,3),FALSE))*(1+IF('Traditional Attrition'!BG162&gt;0,'Attrition Modeling'!$N$9,0))),0))</f>
        <v>1760.4119896600503</v>
      </c>
      <c r="BH40" s="799">
        <f>IF(BH$12=$F40+1,IF(Monthly!BD$4=TRUE,0,BH$3),IF(BH$12&gt;$F40+1,RentalsVacates!BG40*(1-IF(BH$12-$F40&lt;=12,SUMIFS('Attrition Modeling'!$D:$D,'Attrition Modeling'!$B:$B,$E40,'Attrition Modeling'!$C:$C,BH$11),VLOOKUP(RentalsVacates!BH$12-RentalsVacates!$F40-1,RentalsVacates!$A$8:$C$162,2,FALSE)*VLOOKUP(BH$11,'Attrition Modeling'!$L$15:$N$27,IF(BH$12-$F40&lt;=24,2,3),FALSE))*(1+IF('Traditional Attrition'!BH162&gt;0,'Attrition Modeling'!$N$9,0))),0))</f>
        <v>1704.3788007465748</v>
      </c>
      <c r="BI40" s="799">
        <f>IF(BI$12=$F40+1,IF(Monthly!BE$4=TRUE,0,BI$3),IF(BI$12&gt;$F40+1,RentalsVacates!BH40*(1-IF(BI$12-$F40&lt;=12,SUMIFS('Attrition Modeling'!$D:$D,'Attrition Modeling'!$B:$B,$E40,'Attrition Modeling'!$C:$C,BI$11),VLOOKUP(RentalsVacates!BI$12-RentalsVacates!$F40-1,RentalsVacates!$A$8:$C$162,2,FALSE)*VLOOKUP(BI$11,'Attrition Modeling'!$L$15:$N$27,IF(BI$12-$F40&lt;=24,2,3),FALSE))*(1+IF('Traditional Attrition'!BI162&gt;0,'Attrition Modeling'!$N$9,0))),0))</f>
        <v>1643.3022752307313</v>
      </c>
      <c r="BJ40" s="799">
        <f>IF(BJ$12=$F40+1,IF(Monthly!BF$4=TRUE,0,BJ$3),IF(BJ$12&gt;$F40+1,RentalsVacates!BI40*(1-IF(BJ$12-$F40&lt;=12,SUMIFS('Attrition Modeling'!$D:$D,'Attrition Modeling'!$B:$B,$E40,'Attrition Modeling'!$C:$C,BJ$11),VLOOKUP(RentalsVacates!BJ$12-RentalsVacates!$F40-1,RentalsVacates!$A$8:$C$162,2,FALSE)*VLOOKUP(BJ$11,'Attrition Modeling'!$L$15:$N$27,IF(BJ$12-$F40&lt;=24,2,3),FALSE))*(1+IF('Traditional Attrition'!BJ162&gt;0,'Attrition Modeling'!$N$9,0))),0))</f>
        <v>1579.9879229687619</v>
      </c>
      <c r="BK40" s="799">
        <f>IF(BK$12=$F40+1,IF(Monthly!BG$4=TRUE,0,BK$3),IF(BK$12&gt;$F40+1,RentalsVacates!BJ40*(1-IF(BK$12-$F40&lt;=12,SUMIFS('Attrition Modeling'!$D:$D,'Attrition Modeling'!$B:$B,$E40,'Attrition Modeling'!$C:$C,BK$11),VLOOKUP(RentalsVacates!BK$12-RentalsVacates!$F40-1,RentalsVacates!$A$8:$C$162,2,FALSE)*VLOOKUP(BK$11,'Attrition Modeling'!$L$15:$N$27,IF(BK$12-$F40&lt;=24,2,3),FALSE))*(1+IF('Traditional Attrition'!BK162&gt;0,'Attrition Modeling'!$N$9,0))),0))</f>
        <v>1515.4561729428083</v>
      </c>
      <c r="BL40" s="799">
        <f>IF(BL$12=$F40+1,IF(Monthly!BH$4=TRUE,0,BL$3),IF(BL$12&gt;$F40+1,RentalsVacates!BK40*(1-IF(BL$12-$F40&lt;=12,SUMIFS('Attrition Modeling'!$D:$D,'Attrition Modeling'!$B:$B,$E40,'Attrition Modeling'!$C:$C,BL$11),VLOOKUP(RentalsVacates!BL$12-RentalsVacates!$F40-1,RentalsVacates!$A$8:$C$162,2,FALSE)*VLOOKUP(BL$11,'Attrition Modeling'!$L$15:$N$27,IF(BL$12-$F40&lt;=24,2,3),FALSE))*(1+IF('Traditional Attrition'!BL162&gt;0,'Attrition Modeling'!$N$9,0))),0))</f>
        <v>1446.5781247881805</v>
      </c>
      <c r="BM40" s="799">
        <f>IF(BM$12=$F40+1,IF(Monthly!BI$4=TRUE,0,BM$3),IF(BM$12&gt;$F40+1,RentalsVacates!BL40*(1-IF(BM$12-$F40&lt;=12,SUMIFS('Attrition Modeling'!$D:$D,'Attrition Modeling'!$B:$B,$E40,'Attrition Modeling'!$C:$C,BM$11),VLOOKUP(RentalsVacates!BM$12-RentalsVacates!$F40-1,RentalsVacates!$A$8:$C$162,2,FALSE)*VLOOKUP(BM$11,'Attrition Modeling'!$L$15:$N$27,IF(BM$12-$F40&lt;=24,2,3),FALSE))*(1+IF('Traditional Attrition'!BM162&gt;0,'Attrition Modeling'!$N$9,0))),0))</f>
        <v>1394.3226122335645</v>
      </c>
      <c r="BN40" s="799">
        <f>IF(BN$12=$F40+1,IF(Monthly!BJ$4=TRUE,0,BN$3),IF(BN$12&gt;$F40+1,RentalsVacates!BM40*(1-IF(BN$12-$F40&lt;=12,SUMIFS('Attrition Modeling'!$D:$D,'Attrition Modeling'!$B:$B,$E40,'Attrition Modeling'!$C:$C,BN$11),VLOOKUP(RentalsVacates!BN$12-RentalsVacates!$F40-1,RentalsVacates!$A$8:$C$162,2,FALSE)*VLOOKUP(BN$11,'Attrition Modeling'!$L$15:$N$27,IF(BN$12-$F40&lt;=24,2,3),FALSE))*(1+IF('Traditional Attrition'!BN162&gt;0,'Attrition Modeling'!$N$9,0))),0))</f>
        <v>1345.6826997287626</v>
      </c>
      <c r="BO40" s="799">
        <f>IF(BO$12=$F40+1,IF(Monthly!BK$4=TRUE,0,BO$3),IF(BO$12&gt;$F40+1,RentalsVacates!BN40*(1-IF(BO$12-$F40&lt;=12,SUMIFS('Attrition Modeling'!$D:$D,'Attrition Modeling'!$B:$B,$E40,'Attrition Modeling'!$C:$C,BO$11),VLOOKUP(RentalsVacates!BO$12-RentalsVacates!$F40-1,RentalsVacates!$A$8:$C$162,2,FALSE)*VLOOKUP(BO$11,'Attrition Modeling'!$L$15:$N$27,IF(BO$12-$F40&lt;=24,2,3),FALSE))*(1+IF('Traditional Attrition'!BO162&gt;0,'Attrition Modeling'!$N$9,0))),0))</f>
        <v>1307.451564722053</v>
      </c>
      <c r="BP40" s="799">
        <f>IF(BP$12=$F40+1,IF(Monthly!BL$4=TRUE,0,BP$3),IF(BP$12&gt;$F40+1,RentalsVacates!BO40*(1-IF(BP$12-$F40&lt;=12,SUMIFS('Attrition Modeling'!$D:$D,'Attrition Modeling'!$B:$B,$E40,'Attrition Modeling'!$C:$C,BP$11),VLOOKUP(RentalsVacates!BP$12-RentalsVacates!$F40-1,RentalsVacates!$A$8:$C$162,2,FALSE)*VLOOKUP(BP$11,'Attrition Modeling'!$L$15:$N$27,IF(BP$12-$F40&lt;=24,2,3),FALSE))*(1+IF('Traditional Attrition'!BP162&gt;0,'Attrition Modeling'!$N$9,0))),0))</f>
        <v>1266.8001492420756</v>
      </c>
      <c r="BQ40" s="799">
        <f>IF(BQ$12=$F40+1,IF(Monthly!BM$4=TRUE,0,BQ$3),IF(BQ$12&gt;$F40+1,RentalsVacates!BP40*(1-IF(BQ$12-$F40&lt;=12,SUMIFS('Attrition Modeling'!$D:$D,'Attrition Modeling'!$B:$B,$E40,'Attrition Modeling'!$C:$C,BQ$11),VLOOKUP(RentalsVacates!BQ$12-RentalsVacates!$F40-1,RentalsVacates!$A$8:$C$162,2,FALSE)*VLOOKUP(BQ$11,'Attrition Modeling'!$L$15:$N$27,IF(BQ$12-$F40&lt;=24,2,3),FALSE))*(1+IF('Traditional Attrition'!BQ162&gt;0,'Attrition Modeling'!$N$9,0))),0))</f>
        <v>1229.0775600214213</v>
      </c>
      <c r="BR40" s="799">
        <f>IF(BR$12=$F40+1,IF(Monthly!BN$4=TRUE,0,BR$3),IF(BR$12&gt;$F40+1,RentalsVacates!BQ40*(1-IF(BR$12-$F40&lt;=12,SUMIFS('Attrition Modeling'!$D:$D,'Attrition Modeling'!$B:$B,$E40,'Attrition Modeling'!$C:$C,BR$11),VLOOKUP(RentalsVacates!BR$12-RentalsVacates!$F40-1,RentalsVacates!$A$8:$C$162,2,FALSE)*VLOOKUP(BR$11,'Attrition Modeling'!$L$15:$N$27,IF(BR$12-$F40&lt;=24,2,3),FALSE))*(1+IF('Traditional Attrition'!BR162&gt;0,'Attrition Modeling'!$N$9,0))),0))</f>
        <v>1194.4036530128144</v>
      </c>
      <c r="BS40" s="799">
        <f>IF(BS$12=$F40+1,IF(Monthly!BO$4=TRUE,0,BS$3),IF(BS$12&gt;$F40+1,RentalsVacates!BR40*(1-IF(BS$12-$F40&lt;=12,SUMIFS('Attrition Modeling'!$D:$D,'Attrition Modeling'!$B:$B,$E40,'Attrition Modeling'!$C:$C,BS$11),VLOOKUP(RentalsVacates!BS$12-RentalsVacates!$F40-1,RentalsVacates!$A$8:$C$162,2,FALSE)*VLOOKUP(BS$11,'Attrition Modeling'!$L$15:$N$27,IF(BS$12-$F40&lt;=24,2,3),FALSE))*(1+IF('Traditional Attrition'!BS162&gt;0,'Attrition Modeling'!$N$9,0))),0))</f>
        <v>1167.896968510697</v>
      </c>
      <c r="BT40" s="799">
        <f>IF(BT$11=$F39+1,IF(Monthly!#REF!=TRUE,0,BT$3),IF(BT$11&gt;$F39+1,RentalsVacates!BS39*(1-IF(BT$11-$F39&lt;=12,SUMIFS('Attrition Modeling'!$D:$D,'Attrition Modeling'!$B:$B,$E39,'Attrition Modeling'!$C:$C,BT$10),VLOOKUP(RentalsVacates!BT$11-RentalsVacates!$F39-1,RentalsVacates!$A$7:$C$161,2,FALSE)*VLOOKUP(BT$10,'Attrition Modeling'!$L$15:$N$27,IF(BT$11-$F39&lt;=24,2,3),FALSE))*(1+IF('Traditional Attrition'!BT162&gt;0,'Attrition Modeling'!$N$9,0))),0))</f>
        <v>0</v>
      </c>
      <c r="BU40" s="799">
        <f>IF(BU$11=$F39+1,IF(Monthly!#REF!=TRUE,0,BU$3),IF(BU$11&gt;$F39+1,RentalsVacates!BT39*(1-IF(BU$11-$F39&lt;=12,SUMIFS('Attrition Modeling'!$D:$D,'Attrition Modeling'!$B:$B,$E39,'Attrition Modeling'!$C:$C,BU$10),VLOOKUP(RentalsVacates!BU$11-RentalsVacates!$F39-1,RentalsVacates!$A$7:$C$161,2,FALSE)*VLOOKUP(BU$10,'Attrition Modeling'!$L$15:$N$27,IF(BU$11-$F39&lt;=24,2,3),FALSE))*(1+IF('Traditional Attrition'!BU162&gt;0,'Attrition Modeling'!$N$9,0))),0))</f>
        <v>0</v>
      </c>
    </row>
    <row r="41" spans="1:73" ht="14.25" customHeight="1" x14ac:dyDescent="0.2">
      <c r="A41" s="9">
        <v>33</v>
      </c>
      <c r="B41" s="25">
        <f>MAX('Attrition Modeling'!H37,$C$3)*(1-Summary!$C$20)</f>
        <v>3.1503539437305585E-2</v>
      </c>
      <c r="C41" s="24" t="e">
        <f t="shared" si="2"/>
        <v>#DIV/0!</v>
      </c>
      <c r="E41" s="11">
        <f>'Traditional Attrition'!E98</f>
        <v>4</v>
      </c>
      <c r="F41" s="11">
        <f t="shared" si="4"/>
        <v>28</v>
      </c>
      <c r="G41" s="799"/>
      <c r="H41" s="799">
        <f>IF(H$12=$F41+1,IF(Monthly!D$4=TRUE,0,H$3),IF(H$12&gt;$F41+1,RentalsVacates!G41*(1-IF(H$12-$F41&lt;=12,SUMIFS('Attrition Modeling'!$D:$D,'Attrition Modeling'!$B:$B,$E41,'Attrition Modeling'!$C:$C,H$11),VLOOKUP(RentalsVacates!H$12-RentalsVacates!$F41-1,RentalsVacates!$A$8:$C$162,2,FALSE)*VLOOKUP(H$11,'Attrition Modeling'!$L$15:$N$27,IF(H$12-$F41&lt;=24,2,3),FALSE))*(1+IF('Traditional Attrition'!H163&gt;0,'Attrition Modeling'!$N$9,0))),0))</f>
        <v>0</v>
      </c>
      <c r="I41" s="799">
        <f>IF(I$12=$F41+1,IF(Monthly!E$4=TRUE,0,I$3),IF(I$12&gt;$F41+1,RentalsVacates!H41*(1-IF(I$12-$F41&lt;=12,SUMIFS('Attrition Modeling'!$D:$D,'Attrition Modeling'!$B:$B,$E41,'Attrition Modeling'!$C:$C,I$11),VLOOKUP(RentalsVacates!I$12-RentalsVacates!$F41-1,RentalsVacates!$A$8:$C$162,2,FALSE)*VLOOKUP(I$11,'Attrition Modeling'!$L$15:$N$27,IF(I$12-$F41&lt;=24,2,3),FALSE))*(1+IF('Traditional Attrition'!I163&gt;0,'Attrition Modeling'!$N$9,0))),0))</f>
        <v>0</v>
      </c>
      <c r="J41" s="799">
        <f>IF(J$12=$F41+1,IF(Monthly!F$4=TRUE,0,J$3),IF(J$12&gt;$F41+1,RentalsVacates!I41*(1-IF(J$12-$F41&lt;=12,SUMIFS('Attrition Modeling'!$D:$D,'Attrition Modeling'!$B:$B,$E41,'Attrition Modeling'!$C:$C,J$11),VLOOKUP(RentalsVacates!J$12-RentalsVacates!$F41-1,RentalsVacates!$A$8:$C$162,2,FALSE)*VLOOKUP(J$11,'Attrition Modeling'!$L$15:$N$27,IF(J$12-$F41&lt;=24,2,3),FALSE))*(1+IF('Traditional Attrition'!J163&gt;0,'Attrition Modeling'!$N$9,0))),0))</f>
        <v>0</v>
      </c>
      <c r="K41" s="799">
        <f>IF(K$12=$F41+1,IF(Monthly!G$4=TRUE,0,K$3),IF(K$12&gt;$F41+1,RentalsVacates!J41*(1-IF(K$12-$F41&lt;=12,SUMIFS('Attrition Modeling'!$D:$D,'Attrition Modeling'!$B:$B,$E41,'Attrition Modeling'!$C:$C,K$11),VLOOKUP(RentalsVacates!K$12-RentalsVacates!$F41-1,RentalsVacates!$A$8:$C$162,2,FALSE)*VLOOKUP(K$11,'Attrition Modeling'!$L$15:$N$27,IF(K$12-$F41&lt;=24,2,3),FALSE))*(1+IF('Traditional Attrition'!K163&gt;0,'Attrition Modeling'!$N$9,0))),0))</f>
        <v>0</v>
      </c>
      <c r="L41" s="799">
        <f>IF(L$12=$F41+1,IF(Monthly!H$4=TRUE,0,L$3),IF(L$12&gt;$F41+1,RentalsVacates!K41*(1-IF(L$12-$F41&lt;=12,SUMIFS('Attrition Modeling'!$D:$D,'Attrition Modeling'!$B:$B,$E41,'Attrition Modeling'!$C:$C,L$11),VLOOKUP(RentalsVacates!L$12-RentalsVacates!$F41-1,RentalsVacates!$A$8:$C$162,2,FALSE)*VLOOKUP(L$11,'Attrition Modeling'!$L$15:$N$27,IF(L$12-$F41&lt;=24,2,3),FALSE))*(1+IF('Traditional Attrition'!L163&gt;0,'Attrition Modeling'!$N$9,0))),0))</f>
        <v>0</v>
      </c>
      <c r="M41" s="799">
        <f>IF(M$12=$F41+1,IF(Monthly!I$4=TRUE,0,M$3),IF(M$12&gt;$F41+1,RentalsVacates!L41*(1-IF(M$12-$F41&lt;=12,SUMIFS('Attrition Modeling'!$D:$D,'Attrition Modeling'!$B:$B,$E41,'Attrition Modeling'!$C:$C,M$11),VLOOKUP(RentalsVacates!M$12-RentalsVacates!$F41-1,RentalsVacates!$A$8:$C$162,2,FALSE)*VLOOKUP(M$11,'Attrition Modeling'!$L$15:$N$27,IF(M$12-$F41&lt;=24,2,3),FALSE))*(1+IF('Traditional Attrition'!M163&gt;0,'Attrition Modeling'!$N$9,0))),0))</f>
        <v>0</v>
      </c>
      <c r="N41" s="799">
        <f>IF(N$12=$F41+1,IF(Monthly!J$4=TRUE,0,N$3),IF(N$12&gt;$F41+1,RentalsVacates!M41*(1-IF(N$12-$F41&lt;=12,SUMIFS('Attrition Modeling'!$D:$D,'Attrition Modeling'!$B:$B,$E41,'Attrition Modeling'!$C:$C,N$11),VLOOKUP(RentalsVacates!N$12-RentalsVacates!$F41-1,RentalsVacates!$A$8:$C$162,2,FALSE)*VLOOKUP(N$11,'Attrition Modeling'!$L$15:$N$27,IF(N$12-$F41&lt;=24,2,3),FALSE))*(1+IF('Traditional Attrition'!N163&gt;0,'Attrition Modeling'!$N$9,0))),0))</f>
        <v>0</v>
      </c>
      <c r="O41" s="799">
        <f>IF(O$12=$F41+1,IF(Monthly!K$4=TRUE,0,O$3),IF(O$12&gt;$F41+1,RentalsVacates!N41*(1-IF(O$12-$F41&lt;=12,SUMIFS('Attrition Modeling'!$D:$D,'Attrition Modeling'!$B:$B,$E41,'Attrition Modeling'!$C:$C,O$11),VLOOKUP(RentalsVacates!O$12-RentalsVacates!$F41-1,RentalsVacates!$A$8:$C$162,2,FALSE)*VLOOKUP(O$11,'Attrition Modeling'!$L$15:$N$27,IF(O$12-$F41&lt;=24,2,3),FALSE))*(1+IF('Traditional Attrition'!O163&gt;0,'Attrition Modeling'!$N$9,0))),0))</f>
        <v>0</v>
      </c>
      <c r="P41" s="799">
        <f>IF(P$12=$F41+1,IF(Monthly!L$4=TRUE,0,P$3),IF(P$12&gt;$F41+1,RentalsVacates!O41*(1-IF(P$12-$F41&lt;=12,SUMIFS('Attrition Modeling'!$D:$D,'Attrition Modeling'!$B:$B,$E41,'Attrition Modeling'!$C:$C,P$11),VLOOKUP(RentalsVacates!P$12-RentalsVacates!$F41-1,RentalsVacates!$A$8:$C$162,2,FALSE)*VLOOKUP(P$11,'Attrition Modeling'!$L$15:$N$27,IF(P$12-$F41&lt;=24,2,3),FALSE))*(1+IF('Traditional Attrition'!P163&gt;0,'Attrition Modeling'!$N$9,0))),0))</f>
        <v>0</v>
      </c>
      <c r="Q41" s="799">
        <f>IF(Q$12=$F41+1,IF(Monthly!M$4=TRUE,0,Q$3),IF(Q$12&gt;$F41+1,RentalsVacates!P41*(1-IF(Q$12-$F41&lt;=12,SUMIFS('Attrition Modeling'!$D:$D,'Attrition Modeling'!$B:$B,$E41,'Attrition Modeling'!$C:$C,Q$11),VLOOKUP(RentalsVacates!Q$12-RentalsVacates!$F41-1,RentalsVacates!$A$8:$C$162,2,FALSE)*VLOOKUP(Q$11,'Attrition Modeling'!$L$15:$N$27,IF(Q$12-$F41&lt;=24,2,3),FALSE))*(1+IF('Traditional Attrition'!Q163&gt;0,'Attrition Modeling'!$N$9,0))),0))</f>
        <v>0</v>
      </c>
      <c r="R41" s="799">
        <f>IF(R$12=$F41+1,IF(Monthly!N$4=TRUE,0,R$3),IF(R$12&gt;$F41+1,RentalsVacates!Q41*(1-IF(R$12-$F41&lt;=12,SUMIFS('Attrition Modeling'!$D:$D,'Attrition Modeling'!$B:$B,$E41,'Attrition Modeling'!$C:$C,R$11),VLOOKUP(RentalsVacates!R$12-RentalsVacates!$F41-1,RentalsVacates!$A$8:$C$162,2,FALSE)*VLOOKUP(R$11,'Attrition Modeling'!$L$15:$N$27,IF(R$12-$F41&lt;=24,2,3),FALSE))*(1+IF('Traditional Attrition'!R163&gt;0,'Attrition Modeling'!$N$9,0))),0))</f>
        <v>0</v>
      </c>
      <c r="S41" s="799">
        <f>IF(S$12=$F41+1,IF(Monthly!O$4=TRUE,0,S$3),IF(S$12&gt;$F41+1,RentalsVacates!R41*(1-IF(S$12-$F41&lt;=12,SUMIFS('Attrition Modeling'!$D:$D,'Attrition Modeling'!$B:$B,$E41,'Attrition Modeling'!$C:$C,S$11),VLOOKUP(RentalsVacates!S$12-RentalsVacates!$F41-1,RentalsVacates!$A$8:$C$162,2,FALSE)*VLOOKUP(S$11,'Attrition Modeling'!$L$15:$N$27,IF(S$12-$F41&lt;=24,2,3),FALSE))*(1+IF('Traditional Attrition'!S163&gt;0,'Attrition Modeling'!$N$9,0))),0))</f>
        <v>0</v>
      </c>
      <c r="T41" s="799">
        <f>IF(T$12=$F41+1,IF(Monthly!P$4=TRUE,0,T$3),IF(T$12&gt;$F41+1,RentalsVacates!S41*(1-IF(T$12-$F41&lt;=12,SUMIFS('Attrition Modeling'!$D:$D,'Attrition Modeling'!$B:$B,$E41,'Attrition Modeling'!$C:$C,T$11),VLOOKUP(RentalsVacates!T$12-RentalsVacates!$F41-1,RentalsVacates!$A$8:$C$162,2,FALSE)*VLOOKUP(T$11,'Attrition Modeling'!$L$15:$N$27,IF(T$12-$F41&lt;=24,2,3),FALSE))*(1+IF('Traditional Attrition'!T163&gt;0,'Attrition Modeling'!$N$9,0))),0))</f>
        <v>0</v>
      </c>
      <c r="U41" s="799">
        <f>IF(U$12=$F41+1,IF(Monthly!Q$4=TRUE,0,U$3),IF(U$12&gt;$F41+1,RentalsVacates!T41*(1-IF(U$12-$F41&lt;=12,SUMIFS('Attrition Modeling'!$D:$D,'Attrition Modeling'!$B:$B,$E41,'Attrition Modeling'!$C:$C,U$11),VLOOKUP(RentalsVacates!U$12-RentalsVacates!$F41-1,RentalsVacates!$A$8:$C$162,2,FALSE)*VLOOKUP(U$11,'Attrition Modeling'!$L$15:$N$27,IF(U$12-$F41&lt;=24,2,3),FALSE))*(1+IF('Traditional Attrition'!U163&gt;0,'Attrition Modeling'!$N$9,0))),0))</f>
        <v>0</v>
      </c>
      <c r="V41" s="799">
        <f>IF(V$12=$F41+1,IF(Monthly!R$4=TRUE,0,V$3),IF(V$12&gt;$F41+1,RentalsVacates!U41*(1-IF(V$12-$F41&lt;=12,SUMIFS('Attrition Modeling'!$D:$D,'Attrition Modeling'!$B:$B,$E41,'Attrition Modeling'!$C:$C,V$11),VLOOKUP(RentalsVacates!V$12-RentalsVacates!$F41-1,RentalsVacates!$A$8:$C$162,2,FALSE)*VLOOKUP(V$11,'Attrition Modeling'!$L$15:$N$27,IF(V$12-$F41&lt;=24,2,3),FALSE))*(1+IF('Traditional Attrition'!V163&gt;0,'Attrition Modeling'!$N$9,0))),0))</f>
        <v>0</v>
      </c>
      <c r="W41" s="799">
        <f>IF(W$12=$F41+1,IF(Monthly!S$4=TRUE,0,W$3),IF(W$12&gt;$F41+1,RentalsVacates!V41*(1-IF(W$12-$F41&lt;=12,SUMIFS('Attrition Modeling'!$D:$D,'Attrition Modeling'!$B:$B,$E41,'Attrition Modeling'!$C:$C,W$11),VLOOKUP(RentalsVacates!W$12-RentalsVacates!$F41-1,RentalsVacates!$A$8:$C$162,2,FALSE)*VLOOKUP(W$11,'Attrition Modeling'!$L$15:$N$27,IF(W$12-$F41&lt;=24,2,3),FALSE))*(1+IF('Traditional Attrition'!W163&gt;0,'Attrition Modeling'!$N$9,0))),0))</f>
        <v>0</v>
      </c>
      <c r="X41" s="799">
        <f>IF(X$12=$F41+1,IF(Monthly!T$4=TRUE,0,X$3),IF(X$12&gt;$F41+1,RentalsVacates!W41*(1-IF(X$12-$F41&lt;=12,SUMIFS('Attrition Modeling'!$D:$D,'Attrition Modeling'!$B:$B,$E41,'Attrition Modeling'!$C:$C,X$11),VLOOKUP(RentalsVacates!X$12-RentalsVacates!$F41-1,RentalsVacates!$A$8:$C$162,2,FALSE)*VLOOKUP(X$11,'Attrition Modeling'!$L$15:$N$27,IF(X$12-$F41&lt;=24,2,3),FALSE))*(1+IF('Traditional Attrition'!X163&gt;0,'Attrition Modeling'!$N$9,0))),0))</f>
        <v>0</v>
      </c>
      <c r="Y41" s="799">
        <f>IF(Y$12=$F41+1,IF(Monthly!U$4=TRUE,0,Y$3),IF(Y$12&gt;$F41+1,RentalsVacates!X41*(1-IF(Y$12-$F41&lt;=12,SUMIFS('Attrition Modeling'!$D:$D,'Attrition Modeling'!$B:$B,$E41,'Attrition Modeling'!$C:$C,Y$11),VLOOKUP(RentalsVacates!Y$12-RentalsVacates!$F41-1,RentalsVacates!$A$8:$C$162,2,FALSE)*VLOOKUP(Y$11,'Attrition Modeling'!$L$15:$N$27,IF(Y$12-$F41&lt;=24,2,3),FALSE))*(1+IF('Traditional Attrition'!Y163&gt;0,'Attrition Modeling'!$N$9,0))),0))</f>
        <v>0</v>
      </c>
      <c r="Z41" s="799">
        <f>IF(Z$12=$F41+1,IF(Monthly!V$4=TRUE,0,Z$3),IF(Z$12&gt;$F41+1,RentalsVacates!Y41*(1-IF(Z$12-$F41&lt;=12,SUMIFS('Attrition Modeling'!$D:$D,'Attrition Modeling'!$B:$B,$E41,'Attrition Modeling'!$C:$C,Z$11),VLOOKUP(RentalsVacates!Z$12-RentalsVacates!$F41-1,RentalsVacates!$A$8:$C$162,2,FALSE)*VLOOKUP(Z$11,'Attrition Modeling'!$L$15:$N$27,IF(Z$12-$F41&lt;=24,2,3),FALSE))*(1+IF('Traditional Attrition'!Z163&gt;0,'Attrition Modeling'!$N$9,0))),0))</f>
        <v>0</v>
      </c>
      <c r="AA41" s="799">
        <f>IF(AA$12=$F41+1,IF(Monthly!W$4=TRUE,0,AA$3),IF(AA$12&gt;$F41+1,RentalsVacates!Z41*(1-IF(AA$12-$F41&lt;=12,SUMIFS('Attrition Modeling'!$D:$D,'Attrition Modeling'!$B:$B,$E41,'Attrition Modeling'!$C:$C,AA$11),VLOOKUP(RentalsVacates!AA$12-RentalsVacates!$F41-1,RentalsVacates!$A$8:$C$162,2,FALSE)*VLOOKUP(AA$11,'Attrition Modeling'!$L$15:$N$27,IF(AA$12-$F41&lt;=24,2,3),FALSE))*(1+IF('Traditional Attrition'!AA163&gt;0,'Attrition Modeling'!$N$9,0))),0))</f>
        <v>0</v>
      </c>
      <c r="AB41" s="799">
        <f>IF(AB$12=$F41+1,IF(Monthly!X$4=TRUE,0,AB$3),IF(AB$12&gt;$F41+1,RentalsVacates!AA41*(1-IF(AB$12-$F41&lt;=12,SUMIFS('Attrition Modeling'!$D:$D,'Attrition Modeling'!$B:$B,$E41,'Attrition Modeling'!$C:$C,AB$11),VLOOKUP(RentalsVacates!AB$12-RentalsVacates!$F41-1,RentalsVacates!$A$8:$C$162,2,FALSE)*VLOOKUP(AB$11,'Attrition Modeling'!$L$15:$N$27,IF(AB$12-$F41&lt;=24,2,3),FALSE))*(1+IF('Traditional Attrition'!AB163&gt;0,'Attrition Modeling'!$N$9,0))),0))</f>
        <v>0</v>
      </c>
      <c r="AC41" s="799">
        <f>IF(AC$12=$F41+1,IF(Monthly!Y$4=TRUE,0,AC$3),IF(AC$12&gt;$F41+1,RentalsVacates!AB41*(1-IF(AC$12-$F41&lt;=12,SUMIFS('Attrition Modeling'!$D:$D,'Attrition Modeling'!$B:$B,$E41,'Attrition Modeling'!$C:$C,AC$11),VLOOKUP(RentalsVacates!AC$12-RentalsVacates!$F41-1,RentalsVacates!$A$8:$C$162,2,FALSE)*VLOOKUP(AC$11,'Attrition Modeling'!$L$15:$N$27,IF(AC$12-$F41&lt;=24,2,3),FALSE))*(1+IF('Traditional Attrition'!AC163&gt;0,'Attrition Modeling'!$N$9,0))),0))</f>
        <v>0</v>
      </c>
      <c r="AD41" s="799">
        <f>IF(AD$12=$F41+1,IF(Monthly!Z$4=TRUE,0,AD$3),IF(AD$12&gt;$F41+1,RentalsVacates!AC41*(1-IF(AD$12-$F41&lt;=12,SUMIFS('Attrition Modeling'!$D:$D,'Attrition Modeling'!$B:$B,$E41,'Attrition Modeling'!$C:$C,AD$11),VLOOKUP(RentalsVacates!AD$12-RentalsVacates!$F41-1,RentalsVacates!$A$8:$C$162,2,FALSE)*VLOOKUP(AD$11,'Attrition Modeling'!$L$15:$N$27,IF(AD$12-$F41&lt;=24,2,3),FALSE))*(1+IF('Traditional Attrition'!AD163&gt;0,'Attrition Modeling'!$N$9,0))),0))</f>
        <v>0</v>
      </c>
      <c r="AE41" s="799">
        <f>IF(AE$12=$F41+1,IF(Monthly!AA$4=TRUE,0,AE$3),IF(AE$12&gt;$F41+1,RentalsVacates!AD41*(1-IF(AE$12-$F41&lt;=12,SUMIFS('Attrition Modeling'!$D:$D,'Attrition Modeling'!$B:$B,$E41,'Attrition Modeling'!$C:$C,AE$11),VLOOKUP(RentalsVacates!AE$12-RentalsVacates!$F41-1,RentalsVacates!$A$8:$C$162,2,FALSE)*VLOOKUP(AE$11,'Attrition Modeling'!$L$15:$N$27,IF(AE$12-$F41&lt;=24,2,3),FALSE))*(1+IF('Traditional Attrition'!AE163&gt;0,'Attrition Modeling'!$N$9,0))),0))</f>
        <v>0</v>
      </c>
      <c r="AF41" s="799">
        <f>IF(AF$12=$F41+1,IF(Monthly!AB$4=TRUE,0,AF$3),IF(AF$12&gt;$F41+1,RentalsVacates!AE41*(1-IF(AF$12-$F41&lt;=12,SUMIFS('Attrition Modeling'!$D:$D,'Attrition Modeling'!$B:$B,$E41,'Attrition Modeling'!$C:$C,AF$11),VLOOKUP(RentalsVacates!AF$12-RentalsVacates!$F41-1,RentalsVacates!$A$8:$C$162,2,FALSE)*VLOOKUP(AF$11,'Attrition Modeling'!$L$15:$N$27,IF(AF$12-$F41&lt;=24,2,3),FALSE))*(1+IF('Traditional Attrition'!AF163&gt;0,'Attrition Modeling'!$N$9,0))),0))</f>
        <v>0</v>
      </c>
      <c r="AG41" s="799">
        <f>IF(AG$12=$F41+1,IF(Monthly!AC$4=TRUE,0,AG$3),IF(AG$12&gt;$F41+1,RentalsVacates!AF41*(1-IF(AG$12-$F41&lt;=12,SUMIFS('Attrition Modeling'!$D:$D,'Attrition Modeling'!$B:$B,$E41,'Attrition Modeling'!$C:$C,AG$11),VLOOKUP(RentalsVacates!AG$12-RentalsVacates!$F41-1,RentalsVacates!$A$8:$C$162,2,FALSE)*VLOOKUP(AG$11,'Attrition Modeling'!$L$15:$N$27,IF(AG$12-$F41&lt;=24,2,3),FALSE))*(1+IF('Traditional Attrition'!AG163&gt;0,'Attrition Modeling'!$N$9,0))),0))</f>
        <v>0</v>
      </c>
      <c r="AH41" s="799">
        <f>IF(AH$12=$F41+1,IF(Monthly!AD$4=TRUE,0,AH$3),IF(AH$12&gt;$F41+1,RentalsVacates!AG41*(1-IF(AH$12-$F41&lt;=12,SUMIFS('Attrition Modeling'!$D:$D,'Attrition Modeling'!$B:$B,$E41,'Attrition Modeling'!$C:$C,AH$11),VLOOKUP(RentalsVacates!AH$12-RentalsVacates!$F41-1,RentalsVacates!$A$8:$C$162,2,FALSE)*VLOOKUP(AH$11,'Attrition Modeling'!$L$15:$N$27,IF(AH$12-$F41&lt;=24,2,3),FALSE))*(1+IF('Traditional Attrition'!AH163&gt;0,'Attrition Modeling'!$N$9,0))),0))</f>
        <v>0</v>
      </c>
      <c r="AI41" s="799">
        <f>IF(AI$12=$F41+1,IF(Monthly!AE$4=TRUE,0,AI$3),IF(AI$12&gt;$F41+1,RentalsVacates!AH41*(1-IF(AI$12-$F41&lt;=12,SUMIFS('Attrition Modeling'!$D:$D,'Attrition Modeling'!$B:$B,$E41,'Attrition Modeling'!$C:$C,AI$11),VLOOKUP(RentalsVacates!AI$12-RentalsVacates!$F41-1,RentalsVacates!$A$8:$C$162,2,FALSE)*VLOOKUP(AI$11,'Attrition Modeling'!$L$15:$N$27,IF(AI$12-$F41&lt;=24,2,3),FALSE))*(1+IF('Traditional Attrition'!AI163&gt;0,'Attrition Modeling'!$N$9,0))),0))</f>
        <v>0</v>
      </c>
      <c r="AJ41" s="799">
        <f>IF(AJ$12=$F41+1,IF(Monthly!AF$4=TRUE,0,AJ$3),IF(AJ$12&gt;$F41+1,RentalsVacates!AI41*(1-IF(AJ$12-$F41&lt;=12,SUMIFS('Attrition Modeling'!$D:$D,'Attrition Modeling'!$B:$B,$E41,'Attrition Modeling'!$C:$C,AJ$11),VLOOKUP(RentalsVacates!AJ$12-RentalsVacates!$F41-1,RentalsVacates!$A$8:$C$162,2,FALSE)*VLOOKUP(AJ$11,'Attrition Modeling'!$L$15:$N$27,IF(AJ$12-$F41&lt;=24,2,3),FALSE))*(1+IF('Traditional Attrition'!AJ163&gt;0,'Attrition Modeling'!$N$9,0))),0))</f>
        <v>8752.4801805153693</v>
      </c>
      <c r="AK41" s="799">
        <f>IF(AK$12=$F41+1,IF(Monthly!AG$4=TRUE,0,AK$3),IF(AK$12&gt;$F41+1,RentalsVacates!AJ41*(1-IF(AK$12-$F41&lt;=12,SUMIFS('Attrition Modeling'!$D:$D,'Attrition Modeling'!$B:$B,$E41,'Attrition Modeling'!$C:$C,AK$11),VLOOKUP(RentalsVacates!AK$12-RentalsVacates!$F41-1,RentalsVacates!$A$8:$C$162,2,FALSE)*VLOOKUP(AK$11,'Attrition Modeling'!$L$15:$N$27,IF(AK$12-$F41&lt;=24,2,3),FALSE))*(1+IF('Traditional Attrition'!AK163&gt;0,'Attrition Modeling'!$N$9,0))),0))</f>
        <v>7884.8299279341327</v>
      </c>
      <c r="AL41" s="799">
        <f>IF(AL$12=$F41+1,IF(Monthly!AH$4=TRUE,0,AL$3),IF(AL$12&gt;$F41+1,RentalsVacates!AK41*(1-IF(AL$12-$F41&lt;=12,SUMIFS('Attrition Modeling'!$D:$D,'Attrition Modeling'!$B:$B,$E41,'Attrition Modeling'!$C:$C,AL$11),VLOOKUP(RentalsVacates!AL$12-RentalsVacates!$F41-1,RentalsVacates!$A$8:$C$162,2,FALSE)*VLOOKUP(AL$11,'Attrition Modeling'!$L$15:$N$27,IF(AL$12-$F41&lt;=24,2,3),FALSE))*(1+IF('Traditional Attrition'!AL163&gt;0,'Attrition Modeling'!$N$9,0))),0))</f>
        <v>7154.1937533621103</v>
      </c>
      <c r="AM41" s="799">
        <f>IF(AM$12=$F41+1,IF(Monthly!AI$4=TRUE,0,AM$3),IF(AM$12&gt;$F41+1,RentalsVacates!AL41*(1-IF(AM$12-$F41&lt;=12,SUMIFS('Attrition Modeling'!$D:$D,'Attrition Modeling'!$B:$B,$E41,'Attrition Modeling'!$C:$C,AM$11),VLOOKUP(RentalsVacates!AM$12-RentalsVacates!$F41-1,RentalsVacates!$A$8:$C$162,2,FALSE)*VLOOKUP(AM$11,'Attrition Modeling'!$L$15:$N$27,IF(AM$12-$F41&lt;=24,2,3),FALSE))*(1+IF('Traditional Attrition'!AM163&gt;0,'Attrition Modeling'!$N$9,0))),0))</f>
        <v>6417.2710178614188</v>
      </c>
      <c r="AN41" s="799">
        <f>IF(AN$12=$F41+1,IF(Monthly!AJ$4=TRUE,0,AN$3),IF(AN$12&gt;$F41+1,RentalsVacates!AM41*(1-IF(AN$12-$F41&lt;=12,SUMIFS('Attrition Modeling'!$D:$D,'Attrition Modeling'!$B:$B,$E41,'Attrition Modeling'!$C:$C,AN$11),VLOOKUP(RentalsVacates!AN$12-RentalsVacates!$F41-1,RentalsVacates!$A$8:$C$162,2,FALSE)*VLOOKUP(AN$11,'Attrition Modeling'!$L$15:$N$27,IF(AN$12-$F41&lt;=24,2,3),FALSE))*(1+IF('Traditional Attrition'!AN163&gt;0,'Attrition Modeling'!$N$9,0))),0))</f>
        <v>5895.3736177918026</v>
      </c>
      <c r="AO41" s="799">
        <f>IF(AO$12=$F41+1,IF(Monthly!AK$4=TRUE,0,AO$3),IF(AO$12&gt;$F41+1,RentalsVacates!AN41*(1-IF(AO$12-$F41&lt;=12,SUMIFS('Attrition Modeling'!$D:$D,'Attrition Modeling'!$B:$B,$E41,'Attrition Modeling'!$C:$C,AO$11),VLOOKUP(RentalsVacates!AO$12-RentalsVacates!$F41-1,RentalsVacates!$A$8:$C$162,2,FALSE)*VLOOKUP(AO$11,'Attrition Modeling'!$L$15:$N$27,IF(AO$12-$F41&lt;=24,2,3),FALSE))*(1+IF('Traditional Attrition'!AO163&gt;0,'Attrition Modeling'!$N$9,0))),0))</f>
        <v>5306.4555060574357</v>
      </c>
      <c r="AP41" s="799">
        <f>IF(AP$12=$F41+1,IF(Monthly!AL$4=TRUE,0,AP$3),IF(AP$12&gt;$F41+1,RentalsVacates!AO41*(1-IF(AP$12-$F41&lt;=12,SUMIFS('Attrition Modeling'!$D:$D,'Attrition Modeling'!$B:$B,$E41,'Attrition Modeling'!$C:$C,AP$11),VLOOKUP(RentalsVacates!AP$12-RentalsVacates!$F41-1,RentalsVacates!$A$8:$C$162,2,FALSE)*VLOOKUP(AP$11,'Attrition Modeling'!$L$15:$N$27,IF(AP$12-$F41&lt;=24,2,3),FALSE))*(1+IF('Traditional Attrition'!AP163&gt;0,'Attrition Modeling'!$N$9,0))),0))</f>
        <v>4890.6209043617464</v>
      </c>
      <c r="AQ41" s="799">
        <f>IF(AQ$12=$F41+1,IF(Monthly!AM$4=TRUE,0,AQ$3),IF(AQ$12&gt;$F41+1,RentalsVacates!AP41*(1-IF(AQ$12-$F41&lt;=12,SUMIFS('Attrition Modeling'!$D:$D,'Attrition Modeling'!$B:$B,$E41,'Attrition Modeling'!$C:$C,AQ$11),VLOOKUP(RentalsVacates!AQ$12-RentalsVacates!$F41-1,RentalsVacates!$A$8:$C$162,2,FALSE)*VLOOKUP(AQ$11,'Attrition Modeling'!$L$15:$N$27,IF(AQ$12-$F41&lt;=24,2,3),FALSE))*(1+IF('Traditional Attrition'!AQ163&gt;0,'Attrition Modeling'!$N$9,0))),0))</f>
        <v>4563.2599071031455</v>
      </c>
      <c r="AR41" s="799">
        <f>IF(AR$12=$F41+1,IF(Monthly!AN$4=TRUE,0,AR$3),IF(AR$12&gt;$F41+1,RentalsVacates!AQ41*(1-IF(AR$12-$F41&lt;=12,SUMIFS('Attrition Modeling'!$D:$D,'Attrition Modeling'!$B:$B,$E41,'Attrition Modeling'!$C:$C,AR$11),VLOOKUP(RentalsVacates!AR$12-RentalsVacates!$F41-1,RentalsVacates!$A$8:$C$162,2,FALSE)*VLOOKUP(AR$11,'Attrition Modeling'!$L$15:$N$27,IF(AR$12-$F41&lt;=24,2,3),FALSE))*(1+IF('Traditional Attrition'!AR163&gt;0,'Attrition Modeling'!$N$9,0))),0))</f>
        <v>4275.4274057745133</v>
      </c>
      <c r="AS41" s="799">
        <f>IF(AS$12=$F41+1,IF(Monthly!AO$4=TRUE,0,AS$3),IF(AS$12&gt;$F41+1,RentalsVacates!AR41*(1-IF(AS$12-$F41&lt;=12,SUMIFS('Attrition Modeling'!$D:$D,'Attrition Modeling'!$B:$B,$E41,'Attrition Modeling'!$C:$C,AS$11),VLOOKUP(RentalsVacates!AS$12-RentalsVacates!$F41-1,RentalsVacates!$A$8:$C$162,2,FALSE)*VLOOKUP(AS$11,'Attrition Modeling'!$L$15:$N$27,IF(AS$12-$F41&lt;=24,2,3),FALSE))*(1+IF('Traditional Attrition'!AS163&gt;0,'Attrition Modeling'!$N$9,0))),0))</f>
        <v>4052.5642108445859</v>
      </c>
      <c r="AT41" s="799">
        <f>IF(AT$12=$F41+1,IF(Monthly!AP$4=TRUE,0,AT$3),IF(AT$12&gt;$F41+1,RentalsVacates!AS41*(1-IF(AT$12-$F41&lt;=12,SUMIFS('Attrition Modeling'!$D:$D,'Attrition Modeling'!$B:$B,$E41,'Attrition Modeling'!$C:$C,AT$11),VLOOKUP(RentalsVacates!AT$12-RentalsVacates!$F41-1,RentalsVacates!$A$8:$C$162,2,FALSE)*VLOOKUP(AT$11,'Attrition Modeling'!$L$15:$N$27,IF(AT$12-$F41&lt;=24,2,3),FALSE))*(1+IF('Traditional Attrition'!AT163&gt;0,'Attrition Modeling'!$N$9,0))),0))</f>
        <v>3839.539592601498</v>
      </c>
      <c r="AU41" s="799">
        <f>IF(AU$12=$F41+1,IF(Monthly!AQ$4=TRUE,0,AU$3),IF(AU$12&gt;$F41+1,RentalsVacates!AT41*(1-IF(AU$12-$F41&lt;=12,SUMIFS('Attrition Modeling'!$D:$D,'Attrition Modeling'!$B:$B,$E41,'Attrition Modeling'!$C:$C,AU$11),VLOOKUP(RentalsVacates!AU$12-RentalsVacates!$F41-1,RentalsVacates!$A$8:$C$162,2,FALSE)*VLOOKUP(AU$11,'Attrition Modeling'!$L$15:$N$27,IF(AU$12-$F41&lt;=24,2,3),FALSE))*(1+IF('Traditional Attrition'!AU163&gt;0,'Attrition Modeling'!$N$9,0))),0))</f>
        <v>3752.3756318183246</v>
      </c>
      <c r="AV41" s="799">
        <f>IF(AV$12=$F41+1,IF(Monthly!AR$4=TRUE,0,AV$3),IF(AV$12&gt;$F41+1,RentalsVacates!AU41*(1-IF(AV$12-$F41&lt;=12,SUMIFS('Attrition Modeling'!$D:$D,'Attrition Modeling'!$B:$B,$E41,'Attrition Modeling'!$C:$C,AV$11),VLOOKUP(RentalsVacates!AV$12-RentalsVacates!$F41-1,RentalsVacates!$A$8:$C$162,2,FALSE)*VLOOKUP(AV$11,'Attrition Modeling'!$L$15:$N$27,IF(AV$12-$F41&lt;=24,2,3),FALSE))*(1+IF('Traditional Attrition'!AV163&gt;0,'Attrition Modeling'!$N$9,0))),0))</f>
        <v>3558.7205715081545</v>
      </c>
      <c r="AW41" s="799">
        <f>IF(AW$12=$F41+1,IF(Monthly!AS$4=TRUE,0,AW$3),IF(AW$12&gt;$F41+1,RentalsVacates!AV41*(1-IF(AW$12-$F41&lt;=12,SUMIFS('Attrition Modeling'!$D:$D,'Attrition Modeling'!$B:$B,$E41,'Attrition Modeling'!$C:$C,AW$11),VLOOKUP(RentalsVacates!AW$12-RentalsVacates!$F41-1,RentalsVacates!$A$8:$C$162,2,FALSE)*VLOOKUP(AW$11,'Attrition Modeling'!$L$15:$N$27,IF(AW$12-$F41&lt;=24,2,3),FALSE))*(1+IF('Traditional Attrition'!AW163&gt;0,'Attrition Modeling'!$N$9,0))),0))</f>
        <v>3372.6587524342826</v>
      </c>
      <c r="AX41" s="799">
        <f>IF(AX$12=$F41+1,IF(Monthly!AT$4=TRUE,0,AX$3),IF(AX$12&gt;$F41+1,RentalsVacates!AW41*(1-IF(AX$12-$F41&lt;=12,SUMIFS('Attrition Modeling'!$D:$D,'Attrition Modeling'!$B:$B,$E41,'Attrition Modeling'!$C:$C,AX$11),VLOOKUP(RentalsVacates!AX$12-RentalsVacates!$F41-1,RentalsVacates!$A$8:$C$162,2,FALSE)*VLOOKUP(AX$11,'Attrition Modeling'!$L$15:$N$27,IF(AX$12-$F41&lt;=24,2,3),FALSE))*(1+IF('Traditional Attrition'!AX163&gt;0,'Attrition Modeling'!$N$9,0))),0))</f>
        <v>3200.9894120495287</v>
      </c>
      <c r="AY41" s="799">
        <f>IF(AY$12=$F41+1,IF(Monthly!AU$4=TRUE,0,AY$3),IF(AY$12&gt;$F41+1,RentalsVacates!AX41*(1-IF(AY$12-$F41&lt;=12,SUMIFS('Attrition Modeling'!$D:$D,'Attrition Modeling'!$B:$B,$E41,'Attrition Modeling'!$C:$C,AY$11),VLOOKUP(RentalsVacates!AY$12-RentalsVacates!$F41-1,RentalsVacates!$A$8:$C$162,2,FALSE)*VLOOKUP(AY$11,'Attrition Modeling'!$L$15:$N$27,IF(AY$12-$F41&lt;=24,2,3),FALSE))*(1+IF('Traditional Attrition'!AY163&gt;0,'Attrition Modeling'!$N$9,0))),0))</f>
        <v>3037.0671090746964</v>
      </c>
      <c r="AZ41" s="799">
        <f>IF(AZ$12=$F41+1,IF(Monthly!AV$4=TRUE,0,AZ$3),IF(AZ$12&gt;$F41+1,RentalsVacates!AY41*(1-IF(AZ$12-$F41&lt;=12,SUMIFS('Attrition Modeling'!$D:$D,'Attrition Modeling'!$B:$B,$E41,'Attrition Modeling'!$C:$C,AZ$11),VLOOKUP(RentalsVacates!AZ$12-RentalsVacates!$F41-1,RentalsVacates!$A$8:$C$162,2,FALSE)*VLOOKUP(AZ$11,'Attrition Modeling'!$L$15:$N$27,IF(AZ$12-$F41&lt;=24,2,3),FALSE))*(1+IF('Traditional Attrition'!AZ163&gt;0,'Attrition Modeling'!$N$9,0))),0))</f>
        <v>2899.4167381756815</v>
      </c>
      <c r="BA41" s="799">
        <f>IF(BA$12=$F41+1,IF(Monthly!AW$4=TRUE,0,BA$3),IF(BA$12&gt;$F41+1,RentalsVacates!AZ41*(1-IF(BA$12-$F41&lt;=12,SUMIFS('Attrition Modeling'!$D:$D,'Attrition Modeling'!$B:$B,$E41,'Attrition Modeling'!$C:$C,BA$11),VLOOKUP(RentalsVacates!BA$12-RentalsVacates!$F41-1,RentalsVacates!$A$8:$C$162,2,FALSE)*VLOOKUP(BA$11,'Attrition Modeling'!$L$15:$N$27,IF(BA$12-$F41&lt;=24,2,3),FALSE))*(1+IF('Traditional Attrition'!BA163&gt;0,'Attrition Modeling'!$N$9,0))),0))</f>
        <v>2742.0687122761806</v>
      </c>
      <c r="BB41" s="799">
        <f>IF(BB$12=$F41+1,IF(Monthly!AX$4=TRUE,0,BB$3),IF(BB$12&gt;$F41+1,RentalsVacates!BA41*(1-IF(BB$12-$F41&lt;=12,SUMIFS('Attrition Modeling'!$D:$D,'Attrition Modeling'!$B:$B,$E41,'Attrition Modeling'!$C:$C,BB$11),VLOOKUP(RentalsVacates!BB$12-RentalsVacates!$F41-1,RentalsVacates!$A$8:$C$162,2,FALSE)*VLOOKUP(BB$11,'Attrition Modeling'!$L$15:$N$27,IF(BB$12-$F41&lt;=24,2,3),FALSE))*(1+IF('Traditional Attrition'!BB163&gt;0,'Attrition Modeling'!$N$9,0))),0))</f>
        <v>2625.3350757214657</v>
      </c>
      <c r="BC41" s="799">
        <f>IF(BC$12=$F41+1,IF(Monthly!AY$4=TRUE,0,BC$3),IF(BC$12&gt;$F41+1,RentalsVacates!BB41*(1-IF(BC$12-$F41&lt;=12,SUMIFS('Attrition Modeling'!$D:$D,'Attrition Modeling'!$B:$B,$E41,'Attrition Modeling'!$C:$C,BC$11),VLOOKUP(RentalsVacates!BC$12-RentalsVacates!$F41-1,RentalsVacates!$A$8:$C$162,2,FALSE)*VLOOKUP(BC$11,'Attrition Modeling'!$L$15:$N$27,IF(BC$12-$F41&lt;=24,2,3),FALSE))*(1+IF('Traditional Attrition'!BC163&gt;0,'Attrition Modeling'!$N$9,0))),0))</f>
        <v>2516.8463165106436</v>
      </c>
      <c r="BD41" s="799">
        <f>IF(BD$12=$F41+1,IF(Monthly!AZ$4=TRUE,0,BD$3),IF(BD$12&gt;$F41+1,RentalsVacates!BC41*(1-IF(BD$12-$F41&lt;=12,SUMIFS('Attrition Modeling'!$D:$D,'Attrition Modeling'!$B:$B,$E41,'Attrition Modeling'!$C:$C,BD$11),VLOOKUP(RentalsVacates!BD$12-RentalsVacates!$F41-1,RentalsVacates!$A$8:$C$162,2,FALSE)*VLOOKUP(BD$11,'Attrition Modeling'!$L$15:$N$27,IF(BD$12-$F41&lt;=24,2,3),FALSE))*(1+IF('Traditional Attrition'!BD163&gt;0,'Attrition Modeling'!$N$9,0))),0))</f>
        <v>2414.5252875298274</v>
      </c>
      <c r="BE41" s="799">
        <f>IF(BE$12=$F41+1,IF(Monthly!BA$4=TRUE,0,BE$3),IF(BE$12&gt;$F41+1,RentalsVacates!BD41*(1-IF(BE$12-$F41&lt;=12,SUMIFS('Attrition Modeling'!$D:$D,'Attrition Modeling'!$B:$B,$E41,'Attrition Modeling'!$C:$C,BE$11),VLOOKUP(RentalsVacates!BE$12-RentalsVacates!$F41-1,RentalsVacates!$A$8:$C$162,2,FALSE)*VLOOKUP(BE$11,'Attrition Modeling'!$L$15:$N$27,IF(BE$12-$F41&lt;=24,2,3),FALSE))*(1+IF('Traditional Attrition'!BE163&gt;0,'Attrition Modeling'!$N$9,0))),0))</f>
        <v>2327.3502742299461</v>
      </c>
      <c r="BF41" s="799">
        <f>IF(BF$12=$F41+1,IF(Monthly!BB$4=TRUE,0,BF$3),IF(BF$12&gt;$F41+1,RentalsVacates!BE41*(1-IF(BF$12-$F41&lt;=12,SUMIFS('Attrition Modeling'!$D:$D,'Attrition Modeling'!$B:$B,$E41,'Attrition Modeling'!$C:$C,BF$11),VLOOKUP(RentalsVacates!BF$12-RentalsVacates!$F41-1,RentalsVacates!$A$8:$C$162,2,FALSE)*VLOOKUP(BF$11,'Attrition Modeling'!$L$15:$N$27,IF(BF$12-$F41&lt;=24,2,3),FALSE))*(1+IF('Traditional Attrition'!BF163&gt;0,'Attrition Modeling'!$N$9,0))),0))</f>
        <v>2237.1878934236247</v>
      </c>
      <c r="BG41" s="799">
        <f>IF(BG$12=$F41+1,IF(Monthly!BC$4=TRUE,0,BG$3),IF(BG$12&gt;$F41+1,RentalsVacates!BF41*(1-IF(BG$12-$F41&lt;=12,SUMIFS('Attrition Modeling'!$D:$D,'Attrition Modeling'!$B:$B,$E41,'Attrition Modeling'!$C:$C,BG$11),VLOOKUP(RentalsVacates!BG$12-RentalsVacates!$F41-1,RentalsVacates!$A$8:$C$162,2,FALSE)*VLOOKUP(BG$11,'Attrition Modeling'!$L$15:$N$27,IF(BG$12-$F41&lt;=24,2,3),FALSE))*(1+IF('Traditional Attrition'!BG163&gt;0,'Attrition Modeling'!$N$9,0))),0))</f>
        <v>2153.0997348298201</v>
      </c>
      <c r="BH41" s="799">
        <f>IF(BH$12=$F41+1,IF(Monthly!BD$4=TRUE,0,BH$3),IF(BH$12&gt;$F41+1,RentalsVacates!BG41*(1-IF(BH$12-$F41&lt;=12,SUMIFS('Attrition Modeling'!$D:$D,'Attrition Modeling'!$B:$B,$E41,'Attrition Modeling'!$C:$C,BH$11),VLOOKUP(RentalsVacates!BH$12-RentalsVacates!$F41-1,RentalsVacates!$A$8:$C$162,2,FALSE)*VLOOKUP(BH$11,'Attrition Modeling'!$L$15:$N$27,IF(BH$12-$F41&lt;=24,2,3),FALSE))*(1+IF('Traditional Attrition'!BH163&gt;0,'Attrition Modeling'!$N$9,0))),0))</f>
        <v>2083.3741434550234</v>
      </c>
      <c r="BI41" s="799">
        <f>IF(BI$12=$F41+1,IF(Monthly!BE$4=TRUE,0,BI$3),IF(BI$12&gt;$F41+1,RentalsVacates!BH41*(1-IF(BI$12-$F41&lt;=12,SUMIFS('Attrition Modeling'!$D:$D,'Attrition Modeling'!$B:$B,$E41,'Attrition Modeling'!$C:$C,BI$11),VLOOKUP(RentalsVacates!BI$12-RentalsVacates!$F41-1,RentalsVacates!$A$8:$C$162,2,FALSE)*VLOOKUP(BI$11,'Attrition Modeling'!$L$15:$N$27,IF(BI$12-$F41&lt;=24,2,3),FALSE))*(1+IF('Traditional Attrition'!BI163&gt;0,'Attrition Modeling'!$N$9,0))),0))</f>
        <v>2007.4460633774613</v>
      </c>
      <c r="BJ41" s="799">
        <f>IF(BJ$12=$F41+1,IF(Monthly!BF$4=TRUE,0,BJ$3),IF(BJ$12&gt;$F41+1,RentalsVacates!BI41*(1-IF(BJ$12-$F41&lt;=12,SUMIFS('Attrition Modeling'!$D:$D,'Attrition Modeling'!$B:$B,$E41,'Attrition Modeling'!$C:$C,BJ$11),VLOOKUP(RentalsVacates!BJ$12-RentalsVacates!$F41-1,RentalsVacates!$A$8:$C$162,2,FALSE)*VLOOKUP(BJ$11,'Attrition Modeling'!$L$15:$N$27,IF(BJ$12-$F41&lt;=24,2,3),FALSE))*(1+IF('Traditional Attrition'!BJ163&gt;0,'Attrition Modeling'!$N$9,0))),0))</f>
        <v>1928.8143667565189</v>
      </c>
      <c r="BK41" s="799">
        <f>IF(BK$12=$F41+1,IF(Monthly!BG$4=TRUE,0,BK$3),IF(BK$12&gt;$F41+1,RentalsVacates!BJ41*(1-IF(BK$12-$F41&lt;=12,SUMIFS('Attrition Modeling'!$D:$D,'Attrition Modeling'!$B:$B,$E41,'Attrition Modeling'!$C:$C,BK$11),VLOOKUP(RentalsVacates!BK$12-RentalsVacates!$F41-1,RentalsVacates!$A$8:$C$162,2,FALSE)*VLOOKUP(BK$11,'Attrition Modeling'!$L$15:$N$27,IF(BK$12-$F41&lt;=24,2,3),FALSE))*(1+IF('Traditional Attrition'!BK163&gt;0,'Attrition Modeling'!$N$9,0))),0))</f>
        <v>1848.7513030029315</v>
      </c>
      <c r="BL41" s="799">
        <f>IF(BL$12=$F41+1,IF(Monthly!BH$4=TRUE,0,BL$3),IF(BL$12&gt;$F41+1,RentalsVacates!BK41*(1-IF(BL$12-$F41&lt;=12,SUMIFS('Attrition Modeling'!$D:$D,'Attrition Modeling'!$B:$B,$E41,'Attrition Modeling'!$C:$C,BL$11),VLOOKUP(RentalsVacates!BL$12-RentalsVacates!$F41-1,RentalsVacates!$A$8:$C$162,2,FALSE)*VLOOKUP(BL$11,'Attrition Modeling'!$L$15:$N$27,IF(BL$12-$F41&lt;=24,2,3),FALSE))*(1+IF('Traditional Attrition'!BL163&gt;0,'Attrition Modeling'!$N$9,0))),0))</f>
        <v>1777.6103438243142</v>
      </c>
      <c r="BM41" s="799">
        <f>IF(BM$12=$F41+1,IF(Monthly!BI$4=TRUE,0,BM$3),IF(BM$12&gt;$F41+1,RentalsVacates!BL41*(1-IF(BM$12-$F41&lt;=12,SUMIFS('Attrition Modeling'!$D:$D,'Attrition Modeling'!$B:$B,$E41,'Attrition Modeling'!$C:$C,BM$11),VLOOKUP(RentalsVacates!BM$12-RentalsVacates!$F41-1,RentalsVacates!$A$8:$C$162,2,FALSE)*VLOOKUP(BM$11,'Attrition Modeling'!$L$15:$N$27,IF(BM$12-$F41&lt;=24,2,3),FALSE))*(1+IF('Traditional Attrition'!BM163&gt;0,'Attrition Modeling'!$N$9,0))),0))</f>
        <v>1699.345826373522</v>
      </c>
      <c r="BN41" s="799">
        <f>IF(BN$12=$F41+1,IF(Monthly!BJ$4=TRUE,0,BN$3),IF(BN$12&gt;$F41+1,RentalsVacates!BM41*(1-IF(BN$12-$F41&lt;=12,SUMIFS('Attrition Modeling'!$D:$D,'Attrition Modeling'!$B:$B,$E41,'Attrition Modeling'!$C:$C,BN$11),VLOOKUP(RentalsVacates!BN$12-RentalsVacates!$F41-1,RentalsVacates!$A$8:$C$162,2,FALSE)*VLOOKUP(BN$11,'Attrition Modeling'!$L$15:$N$27,IF(BN$12-$F41&lt;=24,2,3),FALSE))*(1+IF('Traditional Attrition'!BN163&gt;0,'Attrition Modeling'!$N$9,0))),0))</f>
        <v>1639.1525277782919</v>
      </c>
      <c r="BO41" s="799">
        <f>IF(BO$12=$F41+1,IF(Monthly!BK$4=TRUE,0,BO$3),IF(BO$12&gt;$F41+1,RentalsVacates!BN41*(1-IF(BO$12-$F41&lt;=12,SUMIFS('Attrition Modeling'!$D:$D,'Attrition Modeling'!$B:$B,$E41,'Attrition Modeling'!$C:$C,BO$11),VLOOKUP(RentalsVacates!BO$12-RentalsVacates!$F41-1,RentalsVacates!$A$8:$C$162,2,FALSE)*VLOOKUP(BO$11,'Attrition Modeling'!$L$15:$N$27,IF(BO$12-$F41&lt;=24,2,3),FALSE))*(1+IF('Traditional Attrition'!BO163&gt;0,'Attrition Modeling'!$N$9,0))),0))</f>
        <v>1591.8789867920509</v>
      </c>
      <c r="BP41" s="799">
        <f>IF(BP$12=$F41+1,IF(Monthly!BL$4=TRUE,0,BP$3),IF(BP$12&gt;$F41+1,RentalsVacates!BO41*(1-IF(BP$12-$F41&lt;=12,SUMIFS('Attrition Modeling'!$D:$D,'Attrition Modeling'!$B:$B,$E41,'Attrition Modeling'!$C:$C,BP$11),VLOOKUP(RentalsVacates!BP$12-RentalsVacates!$F41-1,RentalsVacates!$A$8:$C$162,2,FALSE)*VLOOKUP(BP$11,'Attrition Modeling'!$L$15:$N$27,IF(BP$12-$F41&lt;=24,2,3),FALSE))*(1+IF('Traditional Attrition'!BP163&gt;0,'Attrition Modeling'!$N$9,0))),0))</f>
        <v>1541.6472134191984</v>
      </c>
      <c r="BQ41" s="799">
        <f>IF(BQ$12=$F41+1,IF(Monthly!BM$4=TRUE,0,BQ$3),IF(BQ$12&gt;$F41+1,RentalsVacates!BP41*(1-IF(BQ$12-$F41&lt;=12,SUMIFS('Attrition Modeling'!$D:$D,'Attrition Modeling'!$B:$B,$E41,'Attrition Modeling'!$C:$C,BQ$11),VLOOKUP(RentalsVacates!BQ$12-RentalsVacates!$F41-1,RentalsVacates!$A$8:$C$162,2,FALSE)*VLOOKUP(BQ$11,'Attrition Modeling'!$L$15:$N$27,IF(BQ$12-$F41&lt;=24,2,3),FALSE))*(1+IF('Traditional Attrition'!BQ163&gt;0,'Attrition Modeling'!$N$9,0))),0))</f>
        <v>1495.0674636998701</v>
      </c>
      <c r="BR41" s="799">
        <f>IF(BR$12=$F41+1,IF(Monthly!BN$4=TRUE,0,BR$3),IF(BR$12&gt;$F41+1,RentalsVacates!BQ41*(1-IF(BR$12-$F41&lt;=12,SUMIFS('Attrition Modeling'!$D:$D,'Attrition Modeling'!$B:$B,$E41,'Attrition Modeling'!$C:$C,BR$11),VLOOKUP(RentalsVacates!BR$12-RentalsVacates!$F41-1,RentalsVacates!$A$8:$C$162,2,FALSE)*VLOOKUP(BR$11,'Attrition Modeling'!$L$15:$N$27,IF(BR$12-$F41&lt;=24,2,3),FALSE))*(1+IF('Traditional Attrition'!BR163&gt;0,'Attrition Modeling'!$N$9,0))),0))</f>
        <v>1452.2807321021683</v>
      </c>
      <c r="BS41" s="799">
        <f>IF(BS$12=$F41+1,IF(Monthly!BO$4=TRUE,0,BS$3),IF(BS$12&gt;$F41+1,RentalsVacates!BR41*(1-IF(BS$12-$F41&lt;=12,SUMIFS('Attrition Modeling'!$D:$D,'Attrition Modeling'!$B:$B,$E41,'Attrition Modeling'!$C:$C,BS$11),VLOOKUP(RentalsVacates!BS$12-RentalsVacates!$F41-1,RentalsVacates!$A$8:$C$162,2,FALSE)*VLOOKUP(BS$11,'Attrition Modeling'!$L$15:$N$27,IF(BS$12-$F41&lt;=24,2,3),FALSE))*(1+IF('Traditional Attrition'!BS163&gt;0,'Attrition Modeling'!$N$9,0))),0))</f>
        <v>1419.5925303293573</v>
      </c>
      <c r="BT41" s="799">
        <f>IF(BT$11=$F40+1,IF(Monthly!#REF!=TRUE,0,BT$3),IF(BT$11&gt;$F40+1,RentalsVacates!BS40*(1-IF(BT$11-$F40&lt;=12,SUMIFS('Attrition Modeling'!$D:$D,'Attrition Modeling'!$B:$B,$E40,'Attrition Modeling'!$C:$C,BT$10),VLOOKUP(RentalsVacates!BT$11-RentalsVacates!$F40-1,RentalsVacates!$A$7:$C$161,2,FALSE)*VLOOKUP(BT$10,'Attrition Modeling'!$L$15:$N$27,IF(BT$11-$F40&lt;=24,2,3),FALSE))*(1+IF('Traditional Attrition'!BT163&gt;0,'Attrition Modeling'!$N$9,0))),0))</f>
        <v>0</v>
      </c>
      <c r="BU41" s="799">
        <f>IF(BU$11=$F40+1,IF(Monthly!#REF!=TRUE,0,BU$3),IF(BU$11&gt;$F40+1,RentalsVacates!BT40*(1-IF(BU$11-$F40&lt;=12,SUMIFS('Attrition Modeling'!$D:$D,'Attrition Modeling'!$B:$B,$E40,'Attrition Modeling'!$C:$C,BU$10),VLOOKUP(RentalsVacates!BU$11-RentalsVacates!$F40-1,RentalsVacates!$A$7:$C$161,2,FALSE)*VLOOKUP(BU$10,'Attrition Modeling'!$L$15:$N$27,IF(BU$11-$F40&lt;=24,2,3),FALSE))*(1+IF('Traditional Attrition'!BU163&gt;0,'Attrition Modeling'!$N$9,0))),0))</f>
        <v>0</v>
      </c>
    </row>
    <row r="42" spans="1:73" ht="14.25" customHeight="1" x14ac:dyDescent="0.2">
      <c r="A42" s="9">
        <v>34</v>
      </c>
      <c r="B42" s="25">
        <f>MAX('Attrition Modeling'!H38,$C$3)*(1-Summary!$C$20)</f>
        <v>3.1048497586196516E-2</v>
      </c>
      <c r="C42" s="24" t="e">
        <f t="shared" si="2"/>
        <v>#DIV/0!</v>
      </c>
      <c r="E42" s="11">
        <f>'Traditional Attrition'!E99</f>
        <v>5</v>
      </c>
      <c r="F42" s="11">
        <f t="shared" si="4"/>
        <v>29</v>
      </c>
      <c r="G42" s="799"/>
      <c r="H42" s="799">
        <f>IF(H$12=$F42+1,IF(Monthly!D$4=TRUE,0,H$3),IF(H$12&gt;$F42+1,RentalsVacates!G42*(1-IF(H$12-$F42&lt;=12,SUMIFS('Attrition Modeling'!$D:$D,'Attrition Modeling'!$B:$B,$E42,'Attrition Modeling'!$C:$C,H$11),VLOOKUP(RentalsVacates!H$12-RentalsVacates!$F42-1,RentalsVacates!$A$8:$C$162,2,FALSE)*VLOOKUP(H$11,'Attrition Modeling'!$L$15:$N$27,IF(H$12-$F42&lt;=24,2,3),FALSE))*(1+IF('Traditional Attrition'!H164&gt;0,'Attrition Modeling'!$N$9,0))),0))</f>
        <v>0</v>
      </c>
      <c r="I42" s="799">
        <f>IF(I$12=$F42+1,IF(Monthly!E$4=TRUE,0,I$3),IF(I$12&gt;$F42+1,RentalsVacates!H42*(1-IF(I$12-$F42&lt;=12,SUMIFS('Attrition Modeling'!$D:$D,'Attrition Modeling'!$B:$B,$E42,'Attrition Modeling'!$C:$C,I$11),VLOOKUP(RentalsVacates!I$12-RentalsVacates!$F42-1,RentalsVacates!$A$8:$C$162,2,FALSE)*VLOOKUP(I$11,'Attrition Modeling'!$L$15:$N$27,IF(I$12-$F42&lt;=24,2,3),FALSE))*(1+IF('Traditional Attrition'!I164&gt;0,'Attrition Modeling'!$N$9,0))),0))</f>
        <v>0</v>
      </c>
      <c r="J42" s="799">
        <f>IF(J$12=$F42+1,IF(Monthly!F$4=TRUE,0,J$3),IF(J$12&gt;$F42+1,RentalsVacates!I42*(1-IF(J$12-$F42&lt;=12,SUMIFS('Attrition Modeling'!$D:$D,'Attrition Modeling'!$B:$B,$E42,'Attrition Modeling'!$C:$C,J$11),VLOOKUP(RentalsVacates!J$12-RentalsVacates!$F42-1,RentalsVacates!$A$8:$C$162,2,FALSE)*VLOOKUP(J$11,'Attrition Modeling'!$L$15:$N$27,IF(J$12-$F42&lt;=24,2,3),FALSE))*(1+IF('Traditional Attrition'!J164&gt;0,'Attrition Modeling'!$N$9,0))),0))</f>
        <v>0</v>
      </c>
      <c r="K42" s="799">
        <f>IF(K$12=$F42+1,IF(Monthly!G$4=TRUE,0,K$3),IF(K$12&gt;$F42+1,RentalsVacates!J42*(1-IF(K$12-$F42&lt;=12,SUMIFS('Attrition Modeling'!$D:$D,'Attrition Modeling'!$B:$B,$E42,'Attrition Modeling'!$C:$C,K$11),VLOOKUP(RentalsVacates!K$12-RentalsVacates!$F42-1,RentalsVacates!$A$8:$C$162,2,FALSE)*VLOOKUP(K$11,'Attrition Modeling'!$L$15:$N$27,IF(K$12-$F42&lt;=24,2,3),FALSE))*(1+IF('Traditional Attrition'!K164&gt;0,'Attrition Modeling'!$N$9,0))),0))</f>
        <v>0</v>
      </c>
      <c r="L42" s="799">
        <f>IF(L$12=$F42+1,IF(Monthly!H$4=TRUE,0,L$3),IF(L$12&gt;$F42+1,RentalsVacates!K42*(1-IF(L$12-$F42&lt;=12,SUMIFS('Attrition Modeling'!$D:$D,'Attrition Modeling'!$B:$B,$E42,'Attrition Modeling'!$C:$C,L$11),VLOOKUP(RentalsVacates!L$12-RentalsVacates!$F42-1,RentalsVacates!$A$8:$C$162,2,FALSE)*VLOOKUP(L$11,'Attrition Modeling'!$L$15:$N$27,IF(L$12-$F42&lt;=24,2,3),FALSE))*(1+IF('Traditional Attrition'!L164&gt;0,'Attrition Modeling'!$N$9,0))),0))</f>
        <v>0</v>
      </c>
      <c r="M42" s="799">
        <f>IF(M$12=$F42+1,IF(Monthly!I$4=TRUE,0,M$3),IF(M$12&gt;$F42+1,RentalsVacates!L42*(1-IF(M$12-$F42&lt;=12,SUMIFS('Attrition Modeling'!$D:$D,'Attrition Modeling'!$B:$B,$E42,'Attrition Modeling'!$C:$C,M$11),VLOOKUP(RentalsVacates!M$12-RentalsVacates!$F42-1,RentalsVacates!$A$8:$C$162,2,FALSE)*VLOOKUP(M$11,'Attrition Modeling'!$L$15:$N$27,IF(M$12-$F42&lt;=24,2,3),FALSE))*(1+IF('Traditional Attrition'!M164&gt;0,'Attrition Modeling'!$N$9,0))),0))</f>
        <v>0</v>
      </c>
      <c r="N42" s="799">
        <f>IF(N$12=$F42+1,IF(Monthly!J$4=TRUE,0,N$3),IF(N$12&gt;$F42+1,RentalsVacates!M42*(1-IF(N$12-$F42&lt;=12,SUMIFS('Attrition Modeling'!$D:$D,'Attrition Modeling'!$B:$B,$E42,'Attrition Modeling'!$C:$C,N$11),VLOOKUP(RentalsVacates!N$12-RentalsVacates!$F42-1,RentalsVacates!$A$8:$C$162,2,FALSE)*VLOOKUP(N$11,'Attrition Modeling'!$L$15:$N$27,IF(N$12-$F42&lt;=24,2,3),FALSE))*(1+IF('Traditional Attrition'!N164&gt;0,'Attrition Modeling'!$N$9,0))),0))</f>
        <v>0</v>
      </c>
      <c r="O42" s="799">
        <f>IF(O$12=$F42+1,IF(Monthly!K$4=TRUE,0,O$3),IF(O$12&gt;$F42+1,RentalsVacates!N42*(1-IF(O$12-$F42&lt;=12,SUMIFS('Attrition Modeling'!$D:$D,'Attrition Modeling'!$B:$B,$E42,'Attrition Modeling'!$C:$C,O$11),VLOOKUP(RentalsVacates!O$12-RentalsVacates!$F42-1,RentalsVacates!$A$8:$C$162,2,FALSE)*VLOOKUP(O$11,'Attrition Modeling'!$L$15:$N$27,IF(O$12-$F42&lt;=24,2,3),FALSE))*(1+IF('Traditional Attrition'!O164&gt;0,'Attrition Modeling'!$N$9,0))),0))</f>
        <v>0</v>
      </c>
      <c r="P42" s="799">
        <f>IF(P$12=$F42+1,IF(Monthly!L$4=TRUE,0,P$3),IF(P$12&gt;$F42+1,RentalsVacates!O42*(1-IF(P$12-$F42&lt;=12,SUMIFS('Attrition Modeling'!$D:$D,'Attrition Modeling'!$B:$B,$E42,'Attrition Modeling'!$C:$C,P$11),VLOOKUP(RentalsVacates!P$12-RentalsVacates!$F42-1,RentalsVacates!$A$8:$C$162,2,FALSE)*VLOOKUP(P$11,'Attrition Modeling'!$L$15:$N$27,IF(P$12-$F42&lt;=24,2,3),FALSE))*(1+IF('Traditional Attrition'!P164&gt;0,'Attrition Modeling'!$N$9,0))),0))</f>
        <v>0</v>
      </c>
      <c r="Q42" s="799">
        <f>IF(Q$12=$F42+1,IF(Monthly!M$4=TRUE,0,Q$3),IF(Q$12&gt;$F42+1,RentalsVacates!P42*(1-IF(Q$12-$F42&lt;=12,SUMIFS('Attrition Modeling'!$D:$D,'Attrition Modeling'!$B:$B,$E42,'Attrition Modeling'!$C:$C,Q$11),VLOOKUP(RentalsVacates!Q$12-RentalsVacates!$F42-1,RentalsVacates!$A$8:$C$162,2,FALSE)*VLOOKUP(Q$11,'Attrition Modeling'!$L$15:$N$27,IF(Q$12-$F42&lt;=24,2,3),FALSE))*(1+IF('Traditional Attrition'!Q164&gt;0,'Attrition Modeling'!$N$9,0))),0))</f>
        <v>0</v>
      </c>
      <c r="R42" s="799">
        <f>IF(R$12=$F42+1,IF(Monthly!N$4=TRUE,0,R$3),IF(R$12&gt;$F42+1,RentalsVacates!Q42*(1-IF(R$12-$F42&lt;=12,SUMIFS('Attrition Modeling'!$D:$D,'Attrition Modeling'!$B:$B,$E42,'Attrition Modeling'!$C:$C,R$11),VLOOKUP(RentalsVacates!R$12-RentalsVacates!$F42-1,RentalsVacates!$A$8:$C$162,2,FALSE)*VLOOKUP(R$11,'Attrition Modeling'!$L$15:$N$27,IF(R$12-$F42&lt;=24,2,3),FALSE))*(1+IF('Traditional Attrition'!R164&gt;0,'Attrition Modeling'!$N$9,0))),0))</f>
        <v>0</v>
      </c>
      <c r="S42" s="799">
        <f>IF(S$12=$F42+1,IF(Monthly!O$4=TRUE,0,S$3),IF(S$12&gt;$F42+1,RentalsVacates!R42*(1-IF(S$12-$F42&lt;=12,SUMIFS('Attrition Modeling'!$D:$D,'Attrition Modeling'!$B:$B,$E42,'Attrition Modeling'!$C:$C,S$11),VLOOKUP(RentalsVacates!S$12-RentalsVacates!$F42-1,RentalsVacates!$A$8:$C$162,2,FALSE)*VLOOKUP(S$11,'Attrition Modeling'!$L$15:$N$27,IF(S$12-$F42&lt;=24,2,3),FALSE))*(1+IF('Traditional Attrition'!S164&gt;0,'Attrition Modeling'!$N$9,0))),0))</f>
        <v>0</v>
      </c>
      <c r="T42" s="799">
        <f>IF(T$12=$F42+1,IF(Monthly!P$4=TRUE,0,T$3),IF(T$12&gt;$F42+1,RentalsVacates!S42*(1-IF(T$12-$F42&lt;=12,SUMIFS('Attrition Modeling'!$D:$D,'Attrition Modeling'!$B:$B,$E42,'Attrition Modeling'!$C:$C,T$11),VLOOKUP(RentalsVacates!T$12-RentalsVacates!$F42-1,RentalsVacates!$A$8:$C$162,2,FALSE)*VLOOKUP(T$11,'Attrition Modeling'!$L$15:$N$27,IF(T$12-$F42&lt;=24,2,3),FALSE))*(1+IF('Traditional Attrition'!T164&gt;0,'Attrition Modeling'!$N$9,0))),0))</f>
        <v>0</v>
      </c>
      <c r="U42" s="799">
        <f>IF(U$12=$F42+1,IF(Monthly!Q$4=TRUE,0,U$3),IF(U$12&gt;$F42+1,RentalsVacates!T42*(1-IF(U$12-$F42&lt;=12,SUMIFS('Attrition Modeling'!$D:$D,'Attrition Modeling'!$B:$B,$E42,'Attrition Modeling'!$C:$C,U$11),VLOOKUP(RentalsVacates!U$12-RentalsVacates!$F42-1,RentalsVacates!$A$8:$C$162,2,FALSE)*VLOOKUP(U$11,'Attrition Modeling'!$L$15:$N$27,IF(U$12-$F42&lt;=24,2,3),FALSE))*(1+IF('Traditional Attrition'!U164&gt;0,'Attrition Modeling'!$N$9,0))),0))</f>
        <v>0</v>
      </c>
      <c r="V42" s="799">
        <f>IF(V$12=$F42+1,IF(Monthly!R$4=TRUE,0,V$3),IF(V$12&gt;$F42+1,RentalsVacates!U42*(1-IF(V$12-$F42&lt;=12,SUMIFS('Attrition Modeling'!$D:$D,'Attrition Modeling'!$B:$B,$E42,'Attrition Modeling'!$C:$C,V$11),VLOOKUP(RentalsVacates!V$12-RentalsVacates!$F42-1,RentalsVacates!$A$8:$C$162,2,FALSE)*VLOOKUP(V$11,'Attrition Modeling'!$L$15:$N$27,IF(V$12-$F42&lt;=24,2,3),FALSE))*(1+IF('Traditional Attrition'!V164&gt;0,'Attrition Modeling'!$N$9,0))),0))</f>
        <v>0</v>
      </c>
      <c r="W42" s="799">
        <f>IF(W$12=$F42+1,IF(Monthly!S$4=TRUE,0,W$3),IF(W$12&gt;$F42+1,RentalsVacates!V42*(1-IF(W$12-$F42&lt;=12,SUMIFS('Attrition Modeling'!$D:$D,'Attrition Modeling'!$B:$B,$E42,'Attrition Modeling'!$C:$C,W$11),VLOOKUP(RentalsVacates!W$12-RentalsVacates!$F42-1,RentalsVacates!$A$8:$C$162,2,FALSE)*VLOOKUP(W$11,'Attrition Modeling'!$L$15:$N$27,IF(W$12-$F42&lt;=24,2,3),FALSE))*(1+IF('Traditional Attrition'!W164&gt;0,'Attrition Modeling'!$N$9,0))),0))</f>
        <v>0</v>
      </c>
      <c r="X42" s="799">
        <f>IF(X$12=$F42+1,IF(Monthly!T$4=TRUE,0,X$3),IF(X$12&gt;$F42+1,RentalsVacates!W42*(1-IF(X$12-$F42&lt;=12,SUMIFS('Attrition Modeling'!$D:$D,'Attrition Modeling'!$B:$B,$E42,'Attrition Modeling'!$C:$C,X$11),VLOOKUP(RentalsVacates!X$12-RentalsVacates!$F42-1,RentalsVacates!$A$8:$C$162,2,FALSE)*VLOOKUP(X$11,'Attrition Modeling'!$L$15:$N$27,IF(X$12-$F42&lt;=24,2,3),FALSE))*(1+IF('Traditional Attrition'!X164&gt;0,'Attrition Modeling'!$N$9,0))),0))</f>
        <v>0</v>
      </c>
      <c r="Y42" s="799">
        <f>IF(Y$12=$F42+1,IF(Monthly!U$4=TRUE,0,Y$3),IF(Y$12&gt;$F42+1,RentalsVacates!X42*(1-IF(Y$12-$F42&lt;=12,SUMIFS('Attrition Modeling'!$D:$D,'Attrition Modeling'!$B:$B,$E42,'Attrition Modeling'!$C:$C,Y$11),VLOOKUP(RentalsVacates!Y$12-RentalsVacates!$F42-1,RentalsVacates!$A$8:$C$162,2,FALSE)*VLOOKUP(Y$11,'Attrition Modeling'!$L$15:$N$27,IF(Y$12-$F42&lt;=24,2,3),FALSE))*(1+IF('Traditional Attrition'!Y164&gt;0,'Attrition Modeling'!$N$9,0))),0))</f>
        <v>0</v>
      </c>
      <c r="Z42" s="799">
        <f>IF(Z$12=$F42+1,IF(Monthly!V$4=TRUE,0,Z$3),IF(Z$12&gt;$F42+1,RentalsVacates!Y42*(1-IF(Z$12-$F42&lt;=12,SUMIFS('Attrition Modeling'!$D:$D,'Attrition Modeling'!$B:$B,$E42,'Attrition Modeling'!$C:$C,Z$11),VLOOKUP(RentalsVacates!Z$12-RentalsVacates!$F42-1,RentalsVacates!$A$8:$C$162,2,FALSE)*VLOOKUP(Z$11,'Attrition Modeling'!$L$15:$N$27,IF(Z$12-$F42&lt;=24,2,3),FALSE))*(1+IF('Traditional Attrition'!Z164&gt;0,'Attrition Modeling'!$N$9,0))),0))</f>
        <v>0</v>
      </c>
      <c r="AA42" s="799">
        <f>IF(AA$12=$F42+1,IF(Monthly!W$4=TRUE,0,AA$3),IF(AA$12&gt;$F42+1,RentalsVacates!Z42*(1-IF(AA$12-$F42&lt;=12,SUMIFS('Attrition Modeling'!$D:$D,'Attrition Modeling'!$B:$B,$E42,'Attrition Modeling'!$C:$C,AA$11),VLOOKUP(RentalsVacates!AA$12-RentalsVacates!$F42-1,RentalsVacates!$A$8:$C$162,2,FALSE)*VLOOKUP(AA$11,'Attrition Modeling'!$L$15:$N$27,IF(AA$12-$F42&lt;=24,2,3),FALSE))*(1+IF('Traditional Attrition'!AA164&gt;0,'Attrition Modeling'!$N$9,0))),0))</f>
        <v>0</v>
      </c>
      <c r="AB42" s="799">
        <f>IF(AB$12=$F42+1,IF(Monthly!X$4=TRUE,0,AB$3),IF(AB$12&gt;$F42+1,RentalsVacates!AA42*(1-IF(AB$12-$F42&lt;=12,SUMIFS('Attrition Modeling'!$D:$D,'Attrition Modeling'!$B:$B,$E42,'Attrition Modeling'!$C:$C,AB$11),VLOOKUP(RentalsVacates!AB$12-RentalsVacates!$F42-1,RentalsVacates!$A$8:$C$162,2,FALSE)*VLOOKUP(AB$11,'Attrition Modeling'!$L$15:$N$27,IF(AB$12-$F42&lt;=24,2,3),FALSE))*(1+IF('Traditional Attrition'!AB164&gt;0,'Attrition Modeling'!$N$9,0))),0))</f>
        <v>0</v>
      </c>
      <c r="AC42" s="799">
        <f>IF(AC$12=$F42+1,IF(Monthly!Y$4=TRUE,0,AC$3),IF(AC$12&gt;$F42+1,RentalsVacates!AB42*(1-IF(AC$12-$F42&lt;=12,SUMIFS('Attrition Modeling'!$D:$D,'Attrition Modeling'!$B:$B,$E42,'Attrition Modeling'!$C:$C,AC$11),VLOOKUP(RentalsVacates!AC$12-RentalsVacates!$F42-1,RentalsVacates!$A$8:$C$162,2,FALSE)*VLOOKUP(AC$11,'Attrition Modeling'!$L$15:$N$27,IF(AC$12-$F42&lt;=24,2,3),FALSE))*(1+IF('Traditional Attrition'!AC164&gt;0,'Attrition Modeling'!$N$9,0))),0))</f>
        <v>0</v>
      </c>
      <c r="AD42" s="799">
        <f>IF(AD$12=$F42+1,IF(Monthly!Z$4=TRUE,0,AD$3),IF(AD$12&gt;$F42+1,RentalsVacates!AC42*(1-IF(AD$12-$F42&lt;=12,SUMIFS('Attrition Modeling'!$D:$D,'Attrition Modeling'!$B:$B,$E42,'Attrition Modeling'!$C:$C,AD$11),VLOOKUP(RentalsVacates!AD$12-RentalsVacates!$F42-1,RentalsVacates!$A$8:$C$162,2,FALSE)*VLOOKUP(AD$11,'Attrition Modeling'!$L$15:$N$27,IF(AD$12-$F42&lt;=24,2,3),FALSE))*(1+IF('Traditional Attrition'!AD164&gt;0,'Attrition Modeling'!$N$9,0))),0))</f>
        <v>0</v>
      </c>
      <c r="AE42" s="799">
        <f>IF(AE$12=$F42+1,IF(Monthly!AA$4=TRUE,0,AE$3),IF(AE$12&gt;$F42+1,RentalsVacates!AD42*(1-IF(AE$12-$F42&lt;=12,SUMIFS('Attrition Modeling'!$D:$D,'Attrition Modeling'!$B:$B,$E42,'Attrition Modeling'!$C:$C,AE$11),VLOOKUP(RentalsVacates!AE$12-RentalsVacates!$F42-1,RentalsVacates!$A$8:$C$162,2,FALSE)*VLOOKUP(AE$11,'Attrition Modeling'!$L$15:$N$27,IF(AE$12-$F42&lt;=24,2,3),FALSE))*(1+IF('Traditional Attrition'!AE164&gt;0,'Attrition Modeling'!$N$9,0))),0))</f>
        <v>0</v>
      </c>
      <c r="AF42" s="799">
        <f>IF(AF$12=$F42+1,IF(Monthly!AB$4=TRUE,0,AF$3),IF(AF$12&gt;$F42+1,RentalsVacates!AE42*(1-IF(AF$12-$F42&lt;=12,SUMIFS('Attrition Modeling'!$D:$D,'Attrition Modeling'!$B:$B,$E42,'Attrition Modeling'!$C:$C,AF$11),VLOOKUP(RentalsVacates!AF$12-RentalsVacates!$F42-1,RentalsVacates!$A$8:$C$162,2,FALSE)*VLOOKUP(AF$11,'Attrition Modeling'!$L$15:$N$27,IF(AF$12-$F42&lt;=24,2,3),FALSE))*(1+IF('Traditional Attrition'!AF164&gt;0,'Attrition Modeling'!$N$9,0))),0))</f>
        <v>0</v>
      </c>
      <c r="AG42" s="799">
        <f>IF(AG$12=$F42+1,IF(Monthly!AC$4=TRUE,0,AG$3),IF(AG$12&gt;$F42+1,RentalsVacates!AF42*(1-IF(AG$12-$F42&lt;=12,SUMIFS('Attrition Modeling'!$D:$D,'Attrition Modeling'!$B:$B,$E42,'Attrition Modeling'!$C:$C,AG$11),VLOOKUP(RentalsVacates!AG$12-RentalsVacates!$F42-1,RentalsVacates!$A$8:$C$162,2,FALSE)*VLOOKUP(AG$11,'Attrition Modeling'!$L$15:$N$27,IF(AG$12-$F42&lt;=24,2,3),FALSE))*(1+IF('Traditional Attrition'!AG164&gt;0,'Attrition Modeling'!$N$9,0))),0))</f>
        <v>0</v>
      </c>
      <c r="AH42" s="799">
        <f>IF(AH$12=$F42+1,IF(Monthly!AD$4=TRUE,0,AH$3),IF(AH$12&gt;$F42+1,RentalsVacates!AG42*(1-IF(AH$12-$F42&lt;=12,SUMIFS('Attrition Modeling'!$D:$D,'Attrition Modeling'!$B:$B,$E42,'Attrition Modeling'!$C:$C,AH$11),VLOOKUP(RentalsVacates!AH$12-RentalsVacates!$F42-1,RentalsVacates!$A$8:$C$162,2,FALSE)*VLOOKUP(AH$11,'Attrition Modeling'!$L$15:$N$27,IF(AH$12-$F42&lt;=24,2,3),FALSE))*(1+IF('Traditional Attrition'!AH164&gt;0,'Attrition Modeling'!$N$9,0))),0))</f>
        <v>0</v>
      </c>
      <c r="AI42" s="799">
        <f>IF(AI$12=$F42+1,IF(Monthly!AE$4=TRUE,0,AI$3),IF(AI$12&gt;$F42+1,RentalsVacates!AH42*(1-IF(AI$12-$F42&lt;=12,SUMIFS('Attrition Modeling'!$D:$D,'Attrition Modeling'!$B:$B,$E42,'Attrition Modeling'!$C:$C,AI$11),VLOOKUP(RentalsVacates!AI$12-RentalsVacates!$F42-1,RentalsVacates!$A$8:$C$162,2,FALSE)*VLOOKUP(AI$11,'Attrition Modeling'!$L$15:$N$27,IF(AI$12-$F42&lt;=24,2,3),FALSE))*(1+IF('Traditional Attrition'!AI164&gt;0,'Attrition Modeling'!$N$9,0))),0))</f>
        <v>0</v>
      </c>
      <c r="AJ42" s="799">
        <f>IF(AJ$12=$F42+1,IF(Monthly!AF$4=TRUE,0,AJ$3),IF(AJ$12&gt;$F42+1,RentalsVacates!AI42*(1-IF(AJ$12-$F42&lt;=12,SUMIFS('Attrition Modeling'!$D:$D,'Attrition Modeling'!$B:$B,$E42,'Attrition Modeling'!$C:$C,AJ$11),VLOOKUP(RentalsVacates!AJ$12-RentalsVacates!$F42-1,RentalsVacates!$A$8:$C$162,2,FALSE)*VLOOKUP(AJ$11,'Attrition Modeling'!$L$15:$N$27,IF(AJ$12-$F42&lt;=24,2,3),FALSE))*(1+IF('Traditional Attrition'!AJ164&gt;0,'Attrition Modeling'!$N$9,0))),0))</f>
        <v>0</v>
      </c>
      <c r="AK42" s="799">
        <f>IF(AK$12=$F42+1,IF(Monthly!AG$4=TRUE,0,AK$3),IF(AK$12&gt;$F42+1,RentalsVacates!AJ42*(1-IF(AK$12-$F42&lt;=12,SUMIFS('Attrition Modeling'!$D:$D,'Attrition Modeling'!$B:$B,$E42,'Attrition Modeling'!$C:$C,AK$11),VLOOKUP(RentalsVacates!AK$12-RentalsVacates!$F42-1,RentalsVacates!$A$8:$C$162,2,FALSE)*VLOOKUP(AK$11,'Attrition Modeling'!$L$15:$N$27,IF(AK$12-$F42&lt;=24,2,3),FALSE))*(1+IF('Traditional Attrition'!AK164&gt;0,'Attrition Modeling'!$N$9,0))),0))</f>
        <v>8535.7067386350245</v>
      </c>
      <c r="AL42" s="799">
        <f>IF(AL$12=$F42+1,IF(Monthly!AH$4=TRUE,0,AL$3),IF(AL$12&gt;$F42+1,RentalsVacates!AK42*(1-IF(AL$12-$F42&lt;=12,SUMIFS('Attrition Modeling'!$D:$D,'Attrition Modeling'!$B:$B,$E42,'Attrition Modeling'!$C:$C,AL$11),VLOOKUP(RentalsVacates!AL$12-RentalsVacates!$F42-1,RentalsVacates!$A$8:$C$162,2,FALSE)*VLOOKUP(AL$11,'Attrition Modeling'!$L$15:$N$27,IF(AL$12-$F42&lt;=24,2,3),FALSE))*(1+IF('Traditional Attrition'!AL164&gt;0,'Attrition Modeling'!$N$9,0))),0))</f>
        <v>7594.8746812117824</v>
      </c>
      <c r="AM42" s="799">
        <f>IF(AM$12=$F42+1,IF(Monthly!AI$4=TRUE,0,AM$3),IF(AM$12&gt;$F42+1,RentalsVacates!AL42*(1-IF(AM$12-$F42&lt;=12,SUMIFS('Attrition Modeling'!$D:$D,'Attrition Modeling'!$B:$B,$E42,'Attrition Modeling'!$C:$C,AM$11),VLOOKUP(RentalsVacates!AM$12-RentalsVacates!$F42-1,RentalsVacates!$A$8:$C$162,2,FALSE)*VLOOKUP(AM$11,'Attrition Modeling'!$L$15:$N$27,IF(AM$12-$F42&lt;=24,2,3),FALSE))*(1+IF('Traditional Attrition'!AM164&gt;0,'Attrition Modeling'!$N$9,0))),0))</f>
        <v>6581.7502972117918</v>
      </c>
      <c r="AN42" s="799">
        <f>IF(AN$12=$F42+1,IF(Monthly!AJ$4=TRUE,0,AN$3),IF(AN$12&gt;$F42+1,RentalsVacates!AM42*(1-IF(AN$12-$F42&lt;=12,SUMIFS('Attrition Modeling'!$D:$D,'Attrition Modeling'!$B:$B,$E42,'Attrition Modeling'!$C:$C,AN$11),VLOOKUP(RentalsVacates!AN$12-RentalsVacates!$F42-1,RentalsVacates!$A$8:$C$162,2,FALSE)*VLOOKUP(AN$11,'Attrition Modeling'!$L$15:$N$27,IF(AN$12-$F42&lt;=24,2,3),FALSE))*(1+IF('Traditional Attrition'!AN164&gt;0,'Attrition Modeling'!$N$9,0))),0))</f>
        <v>5860.2923965579512</v>
      </c>
      <c r="AO42" s="799">
        <f>IF(AO$12=$F42+1,IF(Monthly!AK$4=TRUE,0,AO$3),IF(AO$12&gt;$F42+1,RentalsVacates!AN42*(1-IF(AO$12-$F42&lt;=12,SUMIFS('Attrition Modeling'!$D:$D,'Attrition Modeling'!$B:$B,$E42,'Attrition Modeling'!$C:$C,AO$11),VLOOKUP(RentalsVacates!AO$12-RentalsVacates!$F42-1,RentalsVacates!$A$8:$C$162,2,FALSE)*VLOOKUP(AO$11,'Attrition Modeling'!$L$15:$N$27,IF(AO$12-$F42&lt;=24,2,3),FALSE))*(1+IF('Traditional Attrition'!AO164&gt;0,'Attrition Modeling'!$N$9,0))),0))</f>
        <v>5319.4378068702626</v>
      </c>
      <c r="AP42" s="799">
        <f>IF(AP$12=$F42+1,IF(Monthly!AL$4=TRUE,0,AP$3),IF(AP$12&gt;$F42+1,RentalsVacates!AO42*(1-IF(AP$12-$F42&lt;=12,SUMIFS('Attrition Modeling'!$D:$D,'Attrition Modeling'!$B:$B,$E42,'Attrition Modeling'!$C:$C,AP$11),VLOOKUP(RentalsVacates!AP$12-RentalsVacates!$F42-1,RentalsVacates!$A$8:$C$162,2,FALSE)*VLOOKUP(AP$11,'Attrition Modeling'!$L$15:$N$27,IF(AP$12-$F42&lt;=24,2,3),FALSE))*(1+IF('Traditional Attrition'!AP164&gt;0,'Attrition Modeling'!$N$9,0))),0))</f>
        <v>4736.378867408981</v>
      </c>
      <c r="AQ42" s="799">
        <f>IF(AQ$12=$F42+1,IF(Monthly!AM$4=TRUE,0,AQ$3),IF(AQ$12&gt;$F42+1,RentalsVacates!AP42*(1-IF(AQ$12-$F42&lt;=12,SUMIFS('Attrition Modeling'!$D:$D,'Attrition Modeling'!$B:$B,$E42,'Attrition Modeling'!$C:$C,AQ$11),VLOOKUP(RentalsVacates!AQ$12-RentalsVacates!$F42-1,RentalsVacates!$A$8:$C$162,2,FALSE)*VLOOKUP(AQ$11,'Attrition Modeling'!$L$15:$N$27,IF(AQ$12-$F42&lt;=24,2,3),FALSE))*(1+IF('Traditional Attrition'!AQ164&gt;0,'Attrition Modeling'!$N$9,0))),0))</f>
        <v>4372.2093531463561</v>
      </c>
      <c r="AR42" s="799">
        <f>IF(AR$12=$F42+1,IF(Monthly!AN$4=TRUE,0,AR$3),IF(AR$12&gt;$F42+1,RentalsVacates!AQ42*(1-IF(AR$12-$F42&lt;=12,SUMIFS('Attrition Modeling'!$D:$D,'Attrition Modeling'!$B:$B,$E42,'Attrition Modeling'!$C:$C,AR$11),VLOOKUP(RentalsVacates!AR$12-RentalsVacates!$F42-1,RentalsVacates!$A$8:$C$162,2,FALSE)*VLOOKUP(AR$11,'Attrition Modeling'!$L$15:$N$27,IF(AR$12-$F42&lt;=24,2,3),FALSE))*(1+IF('Traditional Attrition'!AR164&gt;0,'Attrition Modeling'!$N$9,0))),0))</f>
        <v>4089.1354242850903</v>
      </c>
      <c r="AS42" s="799">
        <f>IF(AS$12=$F42+1,IF(Monthly!AO$4=TRUE,0,AS$3),IF(AS$12&gt;$F42+1,RentalsVacates!AR42*(1-IF(AS$12-$F42&lt;=12,SUMIFS('Attrition Modeling'!$D:$D,'Attrition Modeling'!$B:$B,$E42,'Attrition Modeling'!$C:$C,AS$11),VLOOKUP(RentalsVacates!AS$12-RentalsVacates!$F42-1,RentalsVacates!$A$8:$C$162,2,FALSE)*VLOOKUP(AS$11,'Attrition Modeling'!$L$15:$N$27,IF(AS$12-$F42&lt;=24,2,3),FALSE))*(1+IF('Traditional Attrition'!AS164&gt;0,'Attrition Modeling'!$N$9,0))),0))</f>
        <v>3859.3550463017805</v>
      </c>
      <c r="AT42" s="799">
        <f>IF(AT$12=$F42+1,IF(Monthly!AP$4=TRUE,0,AT$3),IF(AT$12&gt;$F42+1,RentalsVacates!AS42*(1-IF(AT$12-$F42&lt;=12,SUMIFS('Attrition Modeling'!$D:$D,'Attrition Modeling'!$B:$B,$E42,'Attrition Modeling'!$C:$C,AT$11),VLOOKUP(RentalsVacates!AT$12-RentalsVacates!$F42-1,RentalsVacates!$A$8:$C$162,2,FALSE)*VLOOKUP(AT$11,'Attrition Modeling'!$L$15:$N$27,IF(AT$12-$F42&lt;=24,2,3),FALSE))*(1+IF('Traditional Attrition'!AT164&gt;0,'Attrition Modeling'!$N$9,0))),0))</f>
        <v>3639.2811524125414</v>
      </c>
      <c r="AU42" s="799">
        <f>IF(AU$12=$F42+1,IF(Monthly!AQ$4=TRUE,0,AU$3),IF(AU$12&gt;$F42+1,RentalsVacates!AT42*(1-IF(AU$12-$F42&lt;=12,SUMIFS('Attrition Modeling'!$D:$D,'Attrition Modeling'!$B:$B,$E42,'Attrition Modeling'!$C:$C,AU$11),VLOOKUP(RentalsVacates!AU$12-RentalsVacates!$F42-1,RentalsVacates!$A$8:$C$162,2,FALSE)*VLOOKUP(AU$11,'Attrition Modeling'!$L$15:$N$27,IF(AU$12-$F42&lt;=24,2,3),FALSE))*(1+IF('Traditional Attrition'!AU164&gt;0,'Attrition Modeling'!$N$9,0))),0))</f>
        <v>3444.3430210907518</v>
      </c>
      <c r="AV42" s="799">
        <f>IF(AV$12=$F42+1,IF(Monthly!AR$4=TRUE,0,AV$3),IF(AV$12&gt;$F42+1,RentalsVacates!AU42*(1-IF(AV$12-$F42&lt;=12,SUMIFS('Attrition Modeling'!$D:$D,'Attrition Modeling'!$B:$B,$E42,'Attrition Modeling'!$C:$C,AV$11),VLOOKUP(RentalsVacates!AV$12-RentalsVacates!$F42-1,RentalsVacates!$A$8:$C$162,2,FALSE)*VLOOKUP(AV$11,'Attrition Modeling'!$L$15:$N$27,IF(AV$12-$F42&lt;=24,2,3),FALSE))*(1+IF('Traditional Attrition'!AV164&gt;0,'Attrition Modeling'!$N$9,0))),0))</f>
        <v>3359.2215942733278</v>
      </c>
      <c r="AW42" s="799">
        <f>IF(AW$12=$F42+1,IF(Monthly!AS$4=TRUE,0,AW$3),IF(AW$12&gt;$F42+1,RentalsVacates!AV42*(1-IF(AW$12-$F42&lt;=12,SUMIFS('Attrition Modeling'!$D:$D,'Attrition Modeling'!$B:$B,$E42,'Attrition Modeling'!$C:$C,AW$11),VLOOKUP(RentalsVacates!AW$12-RentalsVacates!$F42-1,RentalsVacates!$A$8:$C$162,2,FALSE)*VLOOKUP(AW$11,'Attrition Modeling'!$L$15:$N$27,IF(AW$12-$F42&lt;=24,2,3),FALSE))*(1+IF('Traditional Attrition'!AW164&gt;0,'Attrition Modeling'!$N$9,0))),0))</f>
        <v>3168.8889717520078</v>
      </c>
      <c r="AX42" s="799">
        <f>IF(AX$12=$F42+1,IF(Monthly!AT$4=TRUE,0,AX$3),IF(AX$12&gt;$F42+1,RentalsVacates!AW42*(1-IF(AX$12-$F42&lt;=12,SUMIFS('Attrition Modeling'!$D:$D,'Attrition Modeling'!$B:$B,$E42,'Attrition Modeling'!$C:$C,AX$11),VLOOKUP(RentalsVacates!AX$12-RentalsVacates!$F42-1,RentalsVacates!$A$8:$C$162,2,FALSE)*VLOOKUP(AX$11,'Attrition Modeling'!$L$15:$N$27,IF(AX$12-$F42&lt;=24,2,3),FALSE))*(1+IF('Traditional Attrition'!AX164&gt;0,'Attrition Modeling'!$N$9,0))),0))</f>
        <v>2999.2871085579227</v>
      </c>
      <c r="AY42" s="799">
        <f>IF(AY$12=$F42+1,IF(Monthly!AU$4=TRUE,0,AY$3),IF(AY$12&gt;$F42+1,RentalsVacates!AX42*(1-IF(AY$12-$F42&lt;=12,SUMIFS('Attrition Modeling'!$D:$D,'Attrition Modeling'!$B:$B,$E42,'Attrition Modeling'!$C:$C,AY$11),VLOOKUP(RentalsVacates!AY$12-RentalsVacates!$F42-1,RentalsVacates!$A$8:$C$162,2,FALSE)*VLOOKUP(AY$11,'Attrition Modeling'!$L$15:$N$27,IF(AY$12-$F42&lt;=24,2,3),FALSE))*(1+IF('Traditional Attrition'!AY164&gt;0,'Attrition Modeling'!$N$9,0))),0))</f>
        <v>2839.8705515523338</v>
      </c>
      <c r="AZ42" s="799">
        <f>IF(AZ$12=$F42+1,IF(Monthly!AV$4=TRUE,0,AZ$3),IF(AZ$12&gt;$F42+1,RentalsVacates!AY42*(1-IF(AZ$12-$F42&lt;=12,SUMIFS('Attrition Modeling'!$D:$D,'Attrition Modeling'!$B:$B,$E42,'Attrition Modeling'!$C:$C,AZ$11),VLOOKUP(RentalsVacates!AZ$12-RentalsVacates!$F42-1,RentalsVacates!$A$8:$C$162,2,FALSE)*VLOOKUP(AZ$11,'Attrition Modeling'!$L$15:$N$27,IF(AZ$12-$F42&lt;=24,2,3),FALSE))*(1+IF('Traditional Attrition'!AZ164&gt;0,'Attrition Modeling'!$N$9,0))),0))</f>
        <v>2707.2578336960587</v>
      </c>
      <c r="BA42" s="799">
        <f>IF(BA$12=$F42+1,IF(Monthly!AW$4=TRUE,0,BA$3),IF(BA$12&gt;$F42+1,RentalsVacates!AZ42*(1-IF(BA$12-$F42&lt;=12,SUMIFS('Attrition Modeling'!$D:$D,'Attrition Modeling'!$B:$B,$E42,'Attrition Modeling'!$C:$C,BA$11),VLOOKUP(RentalsVacates!BA$12-RentalsVacates!$F42-1,RentalsVacates!$A$8:$C$162,2,FALSE)*VLOOKUP(BA$11,'Attrition Modeling'!$L$15:$N$27,IF(BA$12-$F42&lt;=24,2,3),FALSE))*(1+IF('Traditional Attrition'!BA164&gt;0,'Attrition Modeling'!$N$9,0))),0))</f>
        <v>2581.716687903996</v>
      </c>
      <c r="BB42" s="799">
        <f>IF(BB$12=$F42+1,IF(Monthly!AX$4=TRUE,0,BB$3),IF(BB$12&gt;$F42+1,RentalsVacates!BA42*(1-IF(BB$12-$F42&lt;=12,SUMIFS('Attrition Modeling'!$D:$D,'Attrition Modeling'!$B:$B,$E42,'Attrition Modeling'!$C:$C,BB$11),VLOOKUP(RentalsVacates!BB$12-RentalsVacates!$F42-1,RentalsVacates!$A$8:$C$162,2,FALSE)*VLOOKUP(BB$11,'Attrition Modeling'!$L$15:$N$27,IF(BB$12-$F42&lt;=24,2,3),FALSE))*(1+IF('Traditional Attrition'!BB164&gt;0,'Attrition Modeling'!$N$9,0))),0))</f>
        <v>2446.9352090722582</v>
      </c>
      <c r="BC42" s="799">
        <f>IF(BC$12=$F42+1,IF(Monthly!AY$4=TRUE,0,BC$3),IF(BC$12&gt;$F42+1,RentalsVacates!BB42*(1-IF(BC$12-$F42&lt;=12,SUMIFS('Attrition Modeling'!$D:$D,'Attrition Modeling'!$B:$B,$E42,'Attrition Modeling'!$C:$C,BC$11),VLOOKUP(RentalsVacates!BC$12-RentalsVacates!$F42-1,RentalsVacates!$A$8:$C$162,2,FALSE)*VLOOKUP(BC$11,'Attrition Modeling'!$L$15:$N$27,IF(BC$12-$F42&lt;=24,2,3),FALSE))*(1+IF('Traditional Attrition'!BC164&gt;0,'Attrition Modeling'!$N$9,0))),0))</f>
        <v>2343.8602007219174</v>
      </c>
      <c r="BD42" s="799">
        <f>IF(BD$12=$F42+1,IF(Monthly!AZ$4=TRUE,0,BD$3),IF(BD$12&gt;$F42+1,RentalsVacates!BC42*(1-IF(BD$12-$F42&lt;=12,SUMIFS('Attrition Modeling'!$D:$D,'Attrition Modeling'!$B:$B,$E42,'Attrition Modeling'!$C:$C,BD$11),VLOOKUP(RentalsVacates!BD$12-RentalsVacates!$F42-1,RentalsVacates!$A$8:$C$162,2,FALSE)*VLOOKUP(BD$11,'Attrition Modeling'!$L$15:$N$27,IF(BD$12-$F42&lt;=24,2,3),FALSE))*(1+IF('Traditional Attrition'!BD164&gt;0,'Attrition Modeling'!$N$9,0))),0))</f>
        <v>2246.9156670091925</v>
      </c>
      <c r="BE42" s="799">
        <f>IF(BE$12=$F42+1,IF(Monthly!BA$4=TRUE,0,BE$3),IF(BE$12&gt;$F42+1,RentalsVacates!BD42*(1-IF(BE$12-$F42&lt;=12,SUMIFS('Attrition Modeling'!$D:$D,'Attrition Modeling'!$B:$B,$E42,'Attrition Modeling'!$C:$C,BE$11),VLOOKUP(RentalsVacates!BE$12-RentalsVacates!$F42-1,RentalsVacates!$A$8:$C$162,2,FALSE)*VLOOKUP(BE$11,'Attrition Modeling'!$L$15:$N$27,IF(BE$12-$F42&lt;=24,2,3),FALSE))*(1+IF('Traditional Attrition'!BE164&gt;0,'Attrition Modeling'!$N$9,0))),0))</f>
        <v>2164.5109199913618</v>
      </c>
      <c r="BF42" s="799">
        <f>IF(BF$12=$F42+1,IF(Monthly!BB$4=TRUE,0,BF$3),IF(BF$12&gt;$F42+1,RentalsVacates!BE42*(1-IF(BF$12-$F42&lt;=12,SUMIFS('Attrition Modeling'!$D:$D,'Attrition Modeling'!$B:$B,$E42,'Attrition Modeling'!$C:$C,BF$11),VLOOKUP(RentalsVacates!BF$12-RentalsVacates!$F42-1,RentalsVacates!$A$8:$C$162,2,FALSE)*VLOOKUP(BF$11,'Attrition Modeling'!$L$15:$N$27,IF(BF$12-$F42&lt;=24,2,3),FALSE))*(1+IF('Traditional Attrition'!BF164&gt;0,'Attrition Modeling'!$N$9,0))),0))</f>
        <v>2079.4416552728567</v>
      </c>
      <c r="BG42" s="799">
        <f>IF(BG$12=$F42+1,IF(Monthly!BC$4=TRUE,0,BG$3),IF(BG$12&gt;$F42+1,RentalsVacates!BF42*(1-IF(BG$12-$F42&lt;=12,SUMIFS('Attrition Modeling'!$D:$D,'Attrition Modeling'!$B:$B,$E42,'Attrition Modeling'!$C:$C,BG$11),VLOOKUP(RentalsVacates!BG$12-RentalsVacates!$F42-1,RentalsVacates!$A$8:$C$162,2,FALSE)*VLOOKUP(BG$11,'Attrition Modeling'!$L$15:$N$27,IF(BG$12-$F42&lt;=24,2,3),FALSE))*(1+IF('Traditional Attrition'!BG164&gt;0,'Attrition Modeling'!$N$9,0))),0))</f>
        <v>2000.2346004574647</v>
      </c>
      <c r="BH42" s="799">
        <f>IF(BH$12=$F42+1,IF(Monthly!BD$4=TRUE,0,BH$3),IF(BH$12&gt;$F42+1,RentalsVacates!BG42*(1-IF(BH$12-$F42&lt;=12,SUMIFS('Attrition Modeling'!$D:$D,'Attrition Modeling'!$B:$B,$E42,'Attrition Modeling'!$C:$C,BH$11),VLOOKUP(RentalsVacates!BH$12-RentalsVacates!$F42-1,RentalsVacates!$A$8:$C$162,2,FALSE)*VLOOKUP(BH$11,'Attrition Modeling'!$L$15:$N$27,IF(BH$12-$F42&lt;=24,2,3),FALSE))*(1+IF('Traditional Attrition'!BH164&gt;0,'Attrition Modeling'!$N$9,0))),0))</f>
        <v>1925.5896391011083</v>
      </c>
      <c r="BI42" s="799">
        <f>IF(BI$12=$F42+1,IF(Monthly!BE$4=TRUE,0,BI$3),IF(BI$12&gt;$F42+1,RentalsVacates!BH42*(1-IF(BI$12-$F42&lt;=12,SUMIFS('Attrition Modeling'!$D:$D,'Attrition Modeling'!$B:$B,$E42,'Attrition Modeling'!$C:$C,BI$11),VLOOKUP(RentalsVacates!BI$12-RentalsVacates!$F42-1,RentalsVacates!$A$8:$C$162,2,FALSE)*VLOOKUP(BI$11,'Attrition Modeling'!$L$15:$N$27,IF(BI$12-$F42&lt;=24,2,3),FALSE))*(1+IF('Traditional Attrition'!BI164&gt;0,'Attrition Modeling'!$N$9,0))),0))</f>
        <v>1854.1900148329978</v>
      </c>
      <c r="BJ42" s="799">
        <f>IF(BJ$12=$F42+1,IF(Monthly!BF$4=TRUE,0,BJ$3),IF(BJ$12&gt;$F42+1,RentalsVacates!BI42*(1-IF(BJ$12-$F42&lt;=12,SUMIFS('Attrition Modeling'!$D:$D,'Attrition Modeling'!$B:$B,$E42,'Attrition Modeling'!$C:$C,BJ$11),VLOOKUP(RentalsVacates!BJ$12-RentalsVacates!$F42-1,RentalsVacates!$A$8:$C$162,2,FALSE)*VLOOKUP(BJ$11,'Attrition Modeling'!$L$15:$N$27,IF(BJ$12-$F42&lt;=24,2,3),FALSE))*(1+IF('Traditional Attrition'!BJ164&gt;0,'Attrition Modeling'!$N$9,0))),0))</f>
        <v>1780.3256533098499</v>
      </c>
      <c r="BK42" s="799">
        <f>IF(BK$12=$F42+1,IF(Monthly!BG$4=TRUE,0,BK$3),IF(BK$12&gt;$F42+1,RentalsVacates!BJ42*(1-IF(BK$12-$F42&lt;=12,SUMIFS('Attrition Modeling'!$D:$D,'Attrition Modeling'!$B:$B,$E42,'Attrition Modeling'!$C:$C,BK$11),VLOOKUP(RentalsVacates!BK$12-RentalsVacates!$F42-1,RentalsVacates!$A$8:$C$162,2,FALSE)*VLOOKUP(BK$11,'Attrition Modeling'!$L$15:$N$27,IF(BK$12-$F42&lt;=24,2,3),FALSE))*(1+IF('Traditional Attrition'!BK164&gt;0,'Attrition Modeling'!$N$9,0))),0))</f>
        <v>1705.1961924734471</v>
      </c>
      <c r="BL42" s="799">
        <f>IF(BL$12=$F42+1,IF(Monthly!BH$4=TRUE,0,BL$3),IF(BL$12&gt;$F42+1,RentalsVacates!BK42*(1-IF(BL$12-$F42&lt;=12,SUMIFS('Attrition Modeling'!$D:$D,'Attrition Modeling'!$B:$B,$E42,'Attrition Modeling'!$C:$C,BL$11),VLOOKUP(RentalsVacates!BL$12-RentalsVacates!$F42-1,RentalsVacates!$A$8:$C$162,2,FALSE)*VLOOKUP(BL$11,'Attrition Modeling'!$L$15:$N$27,IF(BL$12-$F42&lt;=24,2,3),FALSE))*(1+IF('Traditional Attrition'!BL164&gt;0,'Attrition Modeling'!$N$9,0))),0))</f>
        <v>1638.5097307681192</v>
      </c>
      <c r="BM42" s="799">
        <f>IF(BM$12=$F42+1,IF(Monthly!BI$4=TRUE,0,BM$3),IF(BM$12&gt;$F42+1,RentalsVacates!BL42*(1-IF(BM$12-$F42&lt;=12,SUMIFS('Attrition Modeling'!$D:$D,'Attrition Modeling'!$B:$B,$E42,'Attrition Modeling'!$C:$C,BM$11),VLOOKUP(RentalsVacates!BM$12-RentalsVacates!$F42-1,RentalsVacates!$A$8:$C$162,2,FALSE)*VLOOKUP(BM$11,'Attrition Modeling'!$L$15:$N$27,IF(BM$12-$F42&lt;=24,2,3),FALSE))*(1+IF('Traditional Attrition'!BM164&gt;0,'Attrition Modeling'!$N$9,0))),0))</f>
        <v>1577.4322464725226</v>
      </c>
      <c r="BN42" s="799">
        <f>IF(BN$12=$F42+1,IF(Monthly!BJ$4=TRUE,0,BN$3),IF(BN$12&gt;$F42+1,RentalsVacates!BM42*(1-IF(BN$12-$F42&lt;=12,SUMIFS('Attrition Modeling'!$D:$D,'Attrition Modeling'!$B:$B,$E42,'Attrition Modeling'!$C:$C,BN$11),VLOOKUP(RentalsVacates!BN$12-RentalsVacates!$F42-1,RentalsVacates!$A$8:$C$162,2,FALSE)*VLOOKUP(BN$11,'Attrition Modeling'!$L$15:$N$27,IF(BN$12-$F42&lt;=24,2,3),FALSE))*(1+IF('Traditional Attrition'!BN164&gt;0,'Attrition Modeling'!$N$9,0))),0))</f>
        <v>1509.3309761102419</v>
      </c>
      <c r="BO42" s="799">
        <f>IF(BO$12=$F42+1,IF(Monthly!BK$4=TRUE,0,BO$3),IF(BO$12&gt;$F42+1,RentalsVacates!BN42*(1-IF(BO$12-$F42&lt;=12,SUMIFS('Attrition Modeling'!$D:$D,'Attrition Modeling'!$B:$B,$E42,'Attrition Modeling'!$C:$C,BO$11),VLOOKUP(RentalsVacates!BO$12-RentalsVacates!$F42-1,RentalsVacates!$A$8:$C$162,2,FALSE)*VLOOKUP(BO$11,'Attrition Modeling'!$L$15:$N$27,IF(BO$12-$F42&lt;=24,2,3),FALSE))*(1+IF('Traditional Attrition'!BO164&gt;0,'Attrition Modeling'!$N$9,0))),0))</f>
        <v>1465.1311957720136</v>
      </c>
      <c r="BP42" s="799">
        <f>IF(BP$12=$F42+1,IF(Monthly!BL$4=TRUE,0,BP$3),IF(BP$12&gt;$F42+1,RentalsVacates!BO42*(1-IF(BP$12-$F42&lt;=12,SUMIFS('Attrition Modeling'!$D:$D,'Attrition Modeling'!$B:$B,$E42,'Attrition Modeling'!$C:$C,BP$11),VLOOKUP(RentalsVacates!BP$12-RentalsVacates!$F42-1,RentalsVacates!$A$8:$C$162,2,FALSE)*VLOOKUP(BP$11,'Attrition Modeling'!$L$15:$N$27,IF(BP$12-$F42&lt;=24,2,3),FALSE))*(1+IF('Traditional Attrition'!BP164&gt;0,'Attrition Modeling'!$N$9,0))),0))</f>
        <v>1418.1991787011423</v>
      </c>
      <c r="BQ42" s="799">
        <f>IF(BQ$12=$F42+1,IF(Monthly!BM$4=TRUE,0,BQ$3),IF(BQ$12&gt;$F42+1,RentalsVacates!BP42*(1-IF(BQ$12-$F42&lt;=12,SUMIFS('Attrition Modeling'!$D:$D,'Attrition Modeling'!$B:$B,$E42,'Attrition Modeling'!$C:$C,BQ$11),VLOOKUP(RentalsVacates!BQ$12-RentalsVacates!$F42-1,RentalsVacates!$A$8:$C$162,2,FALSE)*VLOOKUP(BQ$11,'Attrition Modeling'!$L$15:$N$27,IF(BQ$12-$F42&lt;=24,2,3),FALSE))*(1+IF('Traditional Attrition'!BQ164&gt;0,'Attrition Modeling'!$N$9,0))),0))</f>
        <v>1374.7113448799473</v>
      </c>
      <c r="BR42" s="799">
        <f>IF(BR$12=$F42+1,IF(Monthly!BN$4=TRUE,0,BR$3),IF(BR$12&gt;$F42+1,RentalsVacates!BQ42*(1-IF(BR$12-$F42&lt;=12,SUMIFS('Attrition Modeling'!$D:$D,'Attrition Modeling'!$B:$B,$E42,'Attrition Modeling'!$C:$C,BR$11),VLOOKUP(RentalsVacates!BR$12-RentalsVacates!$F42-1,RentalsVacates!$A$8:$C$162,2,FALSE)*VLOOKUP(BR$11,'Attrition Modeling'!$L$15:$N$27,IF(BR$12-$F42&lt;=24,2,3),FALSE))*(1+IF('Traditional Attrition'!BR164&gt;0,'Attrition Modeling'!$N$9,0))),0))</f>
        <v>1334.792441785115</v>
      </c>
      <c r="BS42" s="799">
        <f>IF(BS$12=$F42+1,IF(Monthly!BO$4=TRUE,0,BS$3),IF(BS$12&gt;$F42+1,RentalsVacates!BR42*(1-IF(BS$12-$F42&lt;=12,SUMIFS('Attrition Modeling'!$D:$D,'Attrition Modeling'!$B:$B,$E42,'Attrition Modeling'!$C:$C,BS$11),VLOOKUP(RentalsVacates!BS$12-RentalsVacates!$F42-1,RentalsVacates!$A$8:$C$162,2,FALSE)*VLOOKUP(BS$11,'Attrition Modeling'!$L$15:$N$27,IF(BS$12-$F42&lt;=24,2,3),FALSE))*(1+IF('Traditional Attrition'!BS164&gt;0,'Attrition Modeling'!$N$9,0))),0))</f>
        <v>1304.3149638637535</v>
      </c>
      <c r="BT42" s="799">
        <f>IF(BT$11=$F41+1,IF(Monthly!#REF!=TRUE,0,BT$3),IF(BT$11&gt;$F41+1,RentalsVacates!BS41*(1-IF(BT$11-$F41&lt;=12,SUMIFS('Attrition Modeling'!$D:$D,'Attrition Modeling'!$B:$B,$E41,'Attrition Modeling'!$C:$C,BT$10),VLOOKUP(RentalsVacates!BT$11-RentalsVacates!$F41-1,RentalsVacates!$A$7:$C$161,2,FALSE)*VLOOKUP(BT$10,'Attrition Modeling'!$L$15:$N$27,IF(BT$11-$F41&lt;=24,2,3),FALSE))*(1+IF('Traditional Attrition'!BT164&gt;0,'Attrition Modeling'!$N$9,0))),0))</f>
        <v>0</v>
      </c>
      <c r="BU42" s="799">
        <f>IF(BU$11=$F41+1,IF(Monthly!#REF!=TRUE,0,BU$3),IF(BU$11&gt;$F41+1,RentalsVacates!BT41*(1-IF(BU$11-$F41&lt;=12,SUMIFS('Attrition Modeling'!$D:$D,'Attrition Modeling'!$B:$B,$E41,'Attrition Modeling'!$C:$C,BU$10),VLOOKUP(RentalsVacates!BU$11-RentalsVacates!$F41-1,RentalsVacates!$A$7:$C$161,2,FALSE)*VLOOKUP(BU$10,'Attrition Modeling'!$L$15:$N$27,IF(BU$11-$F41&lt;=24,2,3),FALSE))*(1+IF('Traditional Attrition'!BU164&gt;0,'Attrition Modeling'!$N$9,0))),0))</f>
        <v>0</v>
      </c>
    </row>
    <row r="43" spans="1:73" ht="14.25" customHeight="1" x14ac:dyDescent="0.2">
      <c r="A43" s="9">
        <v>35</v>
      </c>
      <c r="B43" s="25">
        <f>MAX('Attrition Modeling'!H39,$C$3)*(1-Summary!$C$20)</f>
        <v>3.0606647228771017E-2</v>
      </c>
      <c r="C43" s="24" t="e">
        <f t="shared" si="2"/>
        <v>#DIV/0!</v>
      </c>
      <c r="E43" s="11">
        <f>'Traditional Attrition'!E100</f>
        <v>6</v>
      </c>
      <c r="F43" s="11">
        <f t="shared" si="4"/>
        <v>30</v>
      </c>
      <c r="G43" s="799"/>
      <c r="H43" s="799">
        <f>IF(H$12=$F43+1,IF(Monthly!D$4=TRUE,0,H$3),IF(H$12&gt;$F43+1,RentalsVacates!G43*(1-IF(H$12-$F43&lt;=12,SUMIFS('Attrition Modeling'!$D:$D,'Attrition Modeling'!$B:$B,$E43,'Attrition Modeling'!$C:$C,H$11),VLOOKUP(RentalsVacates!H$12-RentalsVacates!$F43-1,RentalsVacates!$A$8:$C$162,2,FALSE)*VLOOKUP(H$11,'Attrition Modeling'!$L$15:$N$27,IF(H$12-$F43&lt;=24,2,3),FALSE))*(1+IF('Traditional Attrition'!H165&gt;0,'Attrition Modeling'!$N$9,0))),0))</f>
        <v>0</v>
      </c>
      <c r="I43" s="799">
        <f>IF(I$12=$F43+1,IF(Monthly!E$4=TRUE,0,I$3),IF(I$12&gt;$F43+1,RentalsVacates!H43*(1-IF(I$12-$F43&lt;=12,SUMIFS('Attrition Modeling'!$D:$D,'Attrition Modeling'!$B:$B,$E43,'Attrition Modeling'!$C:$C,I$11),VLOOKUP(RentalsVacates!I$12-RentalsVacates!$F43-1,RentalsVacates!$A$8:$C$162,2,FALSE)*VLOOKUP(I$11,'Attrition Modeling'!$L$15:$N$27,IF(I$12-$F43&lt;=24,2,3),FALSE))*(1+IF('Traditional Attrition'!I165&gt;0,'Attrition Modeling'!$N$9,0))),0))</f>
        <v>0</v>
      </c>
      <c r="J43" s="799">
        <f>IF(J$12=$F43+1,IF(Monthly!F$4=TRUE,0,J$3),IF(J$12&gt;$F43+1,RentalsVacates!I43*(1-IF(J$12-$F43&lt;=12,SUMIFS('Attrition Modeling'!$D:$D,'Attrition Modeling'!$B:$B,$E43,'Attrition Modeling'!$C:$C,J$11),VLOOKUP(RentalsVacates!J$12-RentalsVacates!$F43-1,RentalsVacates!$A$8:$C$162,2,FALSE)*VLOOKUP(J$11,'Attrition Modeling'!$L$15:$N$27,IF(J$12-$F43&lt;=24,2,3),FALSE))*(1+IF('Traditional Attrition'!J165&gt;0,'Attrition Modeling'!$N$9,0))),0))</f>
        <v>0</v>
      </c>
      <c r="K43" s="799">
        <f>IF(K$12=$F43+1,IF(Monthly!G$4=TRUE,0,K$3),IF(K$12&gt;$F43+1,RentalsVacates!J43*(1-IF(K$12-$F43&lt;=12,SUMIFS('Attrition Modeling'!$D:$D,'Attrition Modeling'!$B:$B,$E43,'Attrition Modeling'!$C:$C,K$11),VLOOKUP(RentalsVacates!K$12-RentalsVacates!$F43-1,RentalsVacates!$A$8:$C$162,2,FALSE)*VLOOKUP(K$11,'Attrition Modeling'!$L$15:$N$27,IF(K$12-$F43&lt;=24,2,3),FALSE))*(1+IF('Traditional Attrition'!K165&gt;0,'Attrition Modeling'!$N$9,0))),0))</f>
        <v>0</v>
      </c>
      <c r="L43" s="799">
        <f>IF(L$12=$F43+1,IF(Monthly!H$4=TRUE,0,L$3),IF(L$12&gt;$F43+1,RentalsVacates!K43*(1-IF(L$12-$F43&lt;=12,SUMIFS('Attrition Modeling'!$D:$D,'Attrition Modeling'!$B:$B,$E43,'Attrition Modeling'!$C:$C,L$11),VLOOKUP(RentalsVacates!L$12-RentalsVacates!$F43-1,RentalsVacates!$A$8:$C$162,2,FALSE)*VLOOKUP(L$11,'Attrition Modeling'!$L$15:$N$27,IF(L$12-$F43&lt;=24,2,3),FALSE))*(1+IF('Traditional Attrition'!L165&gt;0,'Attrition Modeling'!$N$9,0))),0))</f>
        <v>0</v>
      </c>
      <c r="M43" s="799">
        <f>IF(M$12=$F43+1,IF(Monthly!I$4=TRUE,0,M$3),IF(M$12&gt;$F43+1,RentalsVacates!L43*(1-IF(M$12-$F43&lt;=12,SUMIFS('Attrition Modeling'!$D:$D,'Attrition Modeling'!$B:$B,$E43,'Attrition Modeling'!$C:$C,M$11),VLOOKUP(RentalsVacates!M$12-RentalsVacates!$F43-1,RentalsVacates!$A$8:$C$162,2,FALSE)*VLOOKUP(M$11,'Attrition Modeling'!$L$15:$N$27,IF(M$12-$F43&lt;=24,2,3),FALSE))*(1+IF('Traditional Attrition'!M165&gt;0,'Attrition Modeling'!$N$9,0))),0))</f>
        <v>0</v>
      </c>
      <c r="N43" s="799">
        <f>IF(N$12=$F43+1,IF(Monthly!J$4=TRUE,0,N$3),IF(N$12&gt;$F43+1,RentalsVacates!M43*(1-IF(N$12-$F43&lt;=12,SUMIFS('Attrition Modeling'!$D:$D,'Attrition Modeling'!$B:$B,$E43,'Attrition Modeling'!$C:$C,N$11),VLOOKUP(RentalsVacates!N$12-RentalsVacates!$F43-1,RentalsVacates!$A$8:$C$162,2,FALSE)*VLOOKUP(N$11,'Attrition Modeling'!$L$15:$N$27,IF(N$12-$F43&lt;=24,2,3),FALSE))*(1+IF('Traditional Attrition'!N165&gt;0,'Attrition Modeling'!$N$9,0))),0))</f>
        <v>0</v>
      </c>
      <c r="O43" s="799">
        <f>IF(O$12=$F43+1,IF(Monthly!K$4=TRUE,0,O$3),IF(O$12&gt;$F43+1,RentalsVacates!N43*(1-IF(O$12-$F43&lt;=12,SUMIFS('Attrition Modeling'!$D:$D,'Attrition Modeling'!$B:$B,$E43,'Attrition Modeling'!$C:$C,O$11),VLOOKUP(RentalsVacates!O$12-RentalsVacates!$F43-1,RentalsVacates!$A$8:$C$162,2,FALSE)*VLOOKUP(O$11,'Attrition Modeling'!$L$15:$N$27,IF(O$12-$F43&lt;=24,2,3),FALSE))*(1+IF('Traditional Attrition'!O165&gt;0,'Attrition Modeling'!$N$9,0))),0))</f>
        <v>0</v>
      </c>
      <c r="P43" s="799">
        <f>IF(P$12=$F43+1,IF(Monthly!L$4=TRUE,0,P$3),IF(P$12&gt;$F43+1,RentalsVacates!O43*(1-IF(P$12-$F43&lt;=12,SUMIFS('Attrition Modeling'!$D:$D,'Attrition Modeling'!$B:$B,$E43,'Attrition Modeling'!$C:$C,P$11),VLOOKUP(RentalsVacates!P$12-RentalsVacates!$F43-1,RentalsVacates!$A$8:$C$162,2,FALSE)*VLOOKUP(P$11,'Attrition Modeling'!$L$15:$N$27,IF(P$12-$F43&lt;=24,2,3),FALSE))*(1+IF('Traditional Attrition'!P165&gt;0,'Attrition Modeling'!$N$9,0))),0))</f>
        <v>0</v>
      </c>
      <c r="Q43" s="799">
        <f>IF(Q$12=$F43+1,IF(Monthly!M$4=TRUE,0,Q$3),IF(Q$12&gt;$F43+1,RentalsVacates!P43*(1-IF(Q$12-$F43&lt;=12,SUMIFS('Attrition Modeling'!$D:$D,'Attrition Modeling'!$B:$B,$E43,'Attrition Modeling'!$C:$C,Q$11),VLOOKUP(RentalsVacates!Q$12-RentalsVacates!$F43-1,RentalsVacates!$A$8:$C$162,2,FALSE)*VLOOKUP(Q$11,'Attrition Modeling'!$L$15:$N$27,IF(Q$12-$F43&lt;=24,2,3),FALSE))*(1+IF('Traditional Attrition'!Q165&gt;0,'Attrition Modeling'!$N$9,0))),0))</f>
        <v>0</v>
      </c>
      <c r="R43" s="799">
        <f>IF(R$12=$F43+1,IF(Monthly!N$4=TRUE,0,R$3),IF(R$12&gt;$F43+1,RentalsVacates!Q43*(1-IF(R$12-$F43&lt;=12,SUMIFS('Attrition Modeling'!$D:$D,'Attrition Modeling'!$B:$B,$E43,'Attrition Modeling'!$C:$C,R$11),VLOOKUP(RentalsVacates!R$12-RentalsVacates!$F43-1,RentalsVacates!$A$8:$C$162,2,FALSE)*VLOOKUP(R$11,'Attrition Modeling'!$L$15:$N$27,IF(R$12-$F43&lt;=24,2,3),FALSE))*(1+IF('Traditional Attrition'!R165&gt;0,'Attrition Modeling'!$N$9,0))),0))</f>
        <v>0</v>
      </c>
      <c r="S43" s="799">
        <f>IF(S$12=$F43+1,IF(Monthly!O$4=TRUE,0,S$3),IF(S$12&gt;$F43+1,RentalsVacates!R43*(1-IF(S$12-$F43&lt;=12,SUMIFS('Attrition Modeling'!$D:$D,'Attrition Modeling'!$B:$B,$E43,'Attrition Modeling'!$C:$C,S$11),VLOOKUP(RentalsVacates!S$12-RentalsVacates!$F43-1,RentalsVacates!$A$8:$C$162,2,FALSE)*VLOOKUP(S$11,'Attrition Modeling'!$L$15:$N$27,IF(S$12-$F43&lt;=24,2,3),FALSE))*(1+IF('Traditional Attrition'!S165&gt;0,'Attrition Modeling'!$N$9,0))),0))</f>
        <v>0</v>
      </c>
      <c r="T43" s="799">
        <f>IF(T$12=$F43+1,IF(Monthly!P$4=TRUE,0,T$3),IF(T$12&gt;$F43+1,RentalsVacates!S43*(1-IF(T$12-$F43&lt;=12,SUMIFS('Attrition Modeling'!$D:$D,'Attrition Modeling'!$B:$B,$E43,'Attrition Modeling'!$C:$C,T$11),VLOOKUP(RentalsVacates!T$12-RentalsVacates!$F43-1,RentalsVacates!$A$8:$C$162,2,FALSE)*VLOOKUP(T$11,'Attrition Modeling'!$L$15:$N$27,IF(T$12-$F43&lt;=24,2,3),FALSE))*(1+IF('Traditional Attrition'!T165&gt;0,'Attrition Modeling'!$N$9,0))),0))</f>
        <v>0</v>
      </c>
      <c r="U43" s="799">
        <f>IF(U$12=$F43+1,IF(Monthly!Q$4=TRUE,0,U$3),IF(U$12&gt;$F43+1,RentalsVacates!T43*(1-IF(U$12-$F43&lt;=12,SUMIFS('Attrition Modeling'!$D:$D,'Attrition Modeling'!$B:$B,$E43,'Attrition Modeling'!$C:$C,U$11),VLOOKUP(RentalsVacates!U$12-RentalsVacates!$F43-1,RentalsVacates!$A$8:$C$162,2,FALSE)*VLOOKUP(U$11,'Attrition Modeling'!$L$15:$N$27,IF(U$12-$F43&lt;=24,2,3),FALSE))*(1+IF('Traditional Attrition'!U165&gt;0,'Attrition Modeling'!$N$9,0))),0))</f>
        <v>0</v>
      </c>
      <c r="V43" s="799">
        <f>IF(V$12=$F43+1,IF(Monthly!R$4=TRUE,0,V$3),IF(V$12&gt;$F43+1,RentalsVacates!U43*(1-IF(V$12-$F43&lt;=12,SUMIFS('Attrition Modeling'!$D:$D,'Attrition Modeling'!$B:$B,$E43,'Attrition Modeling'!$C:$C,V$11),VLOOKUP(RentalsVacates!V$12-RentalsVacates!$F43-1,RentalsVacates!$A$8:$C$162,2,FALSE)*VLOOKUP(V$11,'Attrition Modeling'!$L$15:$N$27,IF(V$12-$F43&lt;=24,2,3),FALSE))*(1+IF('Traditional Attrition'!V165&gt;0,'Attrition Modeling'!$N$9,0))),0))</f>
        <v>0</v>
      </c>
      <c r="W43" s="799">
        <f>IF(W$12=$F43+1,IF(Monthly!S$4=TRUE,0,W$3),IF(W$12&gt;$F43+1,RentalsVacates!V43*(1-IF(W$12-$F43&lt;=12,SUMIFS('Attrition Modeling'!$D:$D,'Attrition Modeling'!$B:$B,$E43,'Attrition Modeling'!$C:$C,W$11),VLOOKUP(RentalsVacates!W$12-RentalsVacates!$F43-1,RentalsVacates!$A$8:$C$162,2,FALSE)*VLOOKUP(W$11,'Attrition Modeling'!$L$15:$N$27,IF(W$12-$F43&lt;=24,2,3),FALSE))*(1+IF('Traditional Attrition'!W165&gt;0,'Attrition Modeling'!$N$9,0))),0))</f>
        <v>0</v>
      </c>
      <c r="X43" s="799">
        <f>IF(X$12=$F43+1,IF(Monthly!T$4=TRUE,0,X$3),IF(X$12&gt;$F43+1,RentalsVacates!W43*(1-IF(X$12-$F43&lt;=12,SUMIFS('Attrition Modeling'!$D:$D,'Attrition Modeling'!$B:$B,$E43,'Attrition Modeling'!$C:$C,X$11),VLOOKUP(RentalsVacates!X$12-RentalsVacates!$F43-1,RentalsVacates!$A$8:$C$162,2,FALSE)*VLOOKUP(X$11,'Attrition Modeling'!$L$15:$N$27,IF(X$12-$F43&lt;=24,2,3),FALSE))*(1+IF('Traditional Attrition'!X165&gt;0,'Attrition Modeling'!$N$9,0))),0))</f>
        <v>0</v>
      </c>
      <c r="Y43" s="799">
        <f>IF(Y$12=$F43+1,IF(Monthly!U$4=TRUE,0,Y$3),IF(Y$12&gt;$F43+1,RentalsVacates!X43*(1-IF(Y$12-$F43&lt;=12,SUMIFS('Attrition Modeling'!$D:$D,'Attrition Modeling'!$B:$B,$E43,'Attrition Modeling'!$C:$C,Y$11),VLOOKUP(RentalsVacates!Y$12-RentalsVacates!$F43-1,RentalsVacates!$A$8:$C$162,2,FALSE)*VLOOKUP(Y$11,'Attrition Modeling'!$L$15:$N$27,IF(Y$12-$F43&lt;=24,2,3),FALSE))*(1+IF('Traditional Attrition'!Y165&gt;0,'Attrition Modeling'!$N$9,0))),0))</f>
        <v>0</v>
      </c>
      <c r="Z43" s="799">
        <f>IF(Z$12=$F43+1,IF(Monthly!V$4=TRUE,0,Z$3),IF(Z$12&gt;$F43+1,RentalsVacates!Y43*(1-IF(Z$12-$F43&lt;=12,SUMIFS('Attrition Modeling'!$D:$D,'Attrition Modeling'!$B:$B,$E43,'Attrition Modeling'!$C:$C,Z$11),VLOOKUP(RentalsVacates!Z$12-RentalsVacates!$F43-1,RentalsVacates!$A$8:$C$162,2,FALSE)*VLOOKUP(Z$11,'Attrition Modeling'!$L$15:$N$27,IF(Z$12-$F43&lt;=24,2,3),FALSE))*(1+IF('Traditional Attrition'!Z165&gt;0,'Attrition Modeling'!$N$9,0))),0))</f>
        <v>0</v>
      </c>
      <c r="AA43" s="799">
        <f>IF(AA$12=$F43+1,IF(Monthly!W$4=TRUE,0,AA$3),IF(AA$12&gt;$F43+1,RentalsVacates!Z43*(1-IF(AA$12-$F43&lt;=12,SUMIFS('Attrition Modeling'!$D:$D,'Attrition Modeling'!$B:$B,$E43,'Attrition Modeling'!$C:$C,AA$11),VLOOKUP(RentalsVacates!AA$12-RentalsVacates!$F43-1,RentalsVacates!$A$8:$C$162,2,FALSE)*VLOOKUP(AA$11,'Attrition Modeling'!$L$15:$N$27,IF(AA$12-$F43&lt;=24,2,3),FALSE))*(1+IF('Traditional Attrition'!AA165&gt;0,'Attrition Modeling'!$N$9,0))),0))</f>
        <v>0</v>
      </c>
      <c r="AB43" s="799">
        <f>IF(AB$12=$F43+1,IF(Monthly!X$4=TRUE,0,AB$3),IF(AB$12&gt;$F43+1,RentalsVacates!AA43*(1-IF(AB$12-$F43&lt;=12,SUMIFS('Attrition Modeling'!$D:$D,'Attrition Modeling'!$B:$B,$E43,'Attrition Modeling'!$C:$C,AB$11),VLOOKUP(RentalsVacates!AB$12-RentalsVacates!$F43-1,RentalsVacates!$A$8:$C$162,2,FALSE)*VLOOKUP(AB$11,'Attrition Modeling'!$L$15:$N$27,IF(AB$12-$F43&lt;=24,2,3),FALSE))*(1+IF('Traditional Attrition'!AB165&gt;0,'Attrition Modeling'!$N$9,0))),0))</f>
        <v>0</v>
      </c>
      <c r="AC43" s="799">
        <f>IF(AC$12=$F43+1,IF(Monthly!Y$4=TRUE,0,AC$3),IF(AC$12&gt;$F43+1,RentalsVacates!AB43*(1-IF(AC$12-$F43&lt;=12,SUMIFS('Attrition Modeling'!$D:$D,'Attrition Modeling'!$B:$B,$E43,'Attrition Modeling'!$C:$C,AC$11),VLOOKUP(RentalsVacates!AC$12-RentalsVacates!$F43-1,RentalsVacates!$A$8:$C$162,2,FALSE)*VLOOKUP(AC$11,'Attrition Modeling'!$L$15:$N$27,IF(AC$12-$F43&lt;=24,2,3),FALSE))*(1+IF('Traditional Attrition'!AC165&gt;0,'Attrition Modeling'!$N$9,0))),0))</f>
        <v>0</v>
      </c>
      <c r="AD43" s="799">
        <f>IF(AD$12=$F43+1,IF(Monthly!Z$4=TRUE,0,AD$3),IF(AD$12&gt;$F43+1,RentalsVacates!AC43*(1-IF(AD$12-$F43&lt;=12,SUMIFS('Attrition Modeling'!$D:$D,'Attrition Modeling'!$B:$B,$E43,'Attrition Modeling'!$C:$C,AD$11),VLOOKUP(RentalsVacates!AD$12-RentalsVacates!$F43-1,RentalsVacates!$A$8:$C$162,2,FALSE)*VLOOKUP(AD$11,'Attrition Modeling'!$L$15:$N$27,IF(AD$12-$F43&lt;=24,2,3),FALSE))*(1+IF('Traditional Attrition'!AD165&gt;0,'Attrition Modeling'!$N$9,0))),0))</f>
        <v>0</v>
      </c>
      <c r="AE43" s="799">
        <f>IF(AE$12=$F43+1,IF(Monthly!AA$4=TRUE,0,AE$3),IF(AE$12&gt;$F43+1,RentalsVacates!AD43*(1-IF(AE$12-$F43&lt;=12,SUMIFS('Attrition Modeling'!$D:$D,'Attrition Modeling'!$B:$B,$E43,'Attrition Modeling'!$C:$C,AE$11),VLOOKUP(RentalsVacates!AE$12-RentalsVacates!$F43-1,RentalsVacates!$A$8:$C$162,2,FALSE)*VLOOKUP(AE$11,'Attrition Modeling'!$L$15:$N$27,IF(AE$12-$F43&lt;=24,2,3),FALSE))*(1+IF('Traditional Attrition'!AE165&gt;0,'Attrition Modeling'!$N$9,0))),0))</f>
        <v>0</v>
      </c>
      <c r="AF43" s="799">
        <f>IF(AF$12=$F43+1,IF(Monthly!AB$4=TRUE,0,AF$3),IF(AF$12&gt;$F43+1,RentalsVacates!AE43*(1-IF(AF$12-$F43&lt;=12,SUMIFS('Attrition Modeling'!$D:$D,'Attrition Modeling'!$B:$B,$E43,'Attrition Modeling'!$C:$C,AF$11),VLOOKUP(RentalsVacates!AF$12-RentalsVacates!$F43-1,RentalsVacates!$A$8:$C$162,2,FALSE)*VLOOKUP(AF$11,'Attrition Modeling'!$L$15:$N$27,IF(AF$12-$F43&lt;=24,2,3),FALSE))*(1+IF('Traditional Attrition'!AF165&gt;0,'Attrition Modeling'!$N$9,0))),0))</f>
        <v>0</v>
      </c>
      <c r="AG43" s="799">
        <f>IF(AG$12=$F43+1,IF(Monthly!AC$4=TRUE,0,AG$3),IF(AG$12&gt;$F43+1,RentalsVacates!AF43*(1-IF(AG$12-$F43&lt;=12,SUMIFS('Attrition Modeling'!$D:$D,'Attrition Modeling'!$B:$B,$E43,'Attrition Modeling'!$C:$C,AG$11),VLOOKUP(RentalsVacates!AG$12-RentalsVacates!$F43-1,RentalsVacates!$A$8:$C$162,2,FALSE)*VLOOKUP(AG$11,'Attrition Modeling'!$L$15:$N$27,IF(AG$12-$F43&lt;=24,2,3),FALSE))*(1+IF('Traditional Attrition'!AG165&gt;0,'Attrition Modeling'!$N$9,0))),0))</f>
        <v>0</v>
      </c>
      <c r="AH43" s="799">
        <f>IF(AH$12=$F43+1,IF(Monthly!AD$4=TRUE,0,AH$3),IF(AH$12&gt;$F43+1,RentalsVacates!AG43*(1-IF(AH$12-$F43&lt;=12,SUMIFS('Attrition Modeling'!$D:$D,'Attrition Modeling'!$B:$B,$E43,'Attrition Modeling'!$C:$C,AH$11),VLOOKUP(RentalsVacates!AH$12-RentalsVacates!$F43-1,RentalsVacates!$A$8:$C$162,2,FALSE)*VLOOKUP(AH$11,'Attrition Modeling'!$L$15:$N$27,IF(AH$12-$F43&lt;=24,2,3),FALSE))*(1+IF('Traditional Attrition'!AH165&gt;0,'Attrition Modeling'!$N$9,0))),0))</f>
        <v>0</v>
      </c>
      <c r="AI43" s="799">
        <f>IF(AI$12=$F43+1,IF(Monthly!AE$4=TRUE,0,AI$3),IF(AI$12&gt;$F43+1,RentalsVacates!AH43*(1-IF(AI$12-$F43&lt;=12,SUMIFS('Attrition Modeling'!$D:$D,'Attrition Modeling'!$B:$B,$E43,'Attrition Modeling'!$C:$C,AI$11),VLOOKUP(RentalsVacates!AI$12-RentalsVacates!$F43-1,RentalsVacates!$A$8:$C$162,2,FALSE)*VLOOKUP(AI$11,'Attrition Modeling'!$L$15:$N$27,IF(AI$12-$F43&lt;=24,2,3),FALSE))*(1+IF('Traditional Attrition'!AI165&gt;0,'Attrition Modeling'!$N$9,0))),0))</f>
        <v>0</v>
      </c>
      <c r="AJ43" s="799">
        <f>IF(AJ$12=$F43+1,IF(Monthly!AF$4=TRUE,0,AJ$3),IF(AJ$12&gt;$F43+1,RentalsVacates!AI43*(1-IF(AJ$12-$F43&lt;=12,SUMIFS('Attrition Modeling'!$D:$D,'Attrition Modeling'!$B:$B,$E43,'Attrition Modeling'!$C:$C,AJ$11),VLOOKUP(RentalsVacates!AJ$12-RentalsVacates!$F43-1,RentalsVacates!$A$8:$C$162,2,FALSE)*VLOOKUP(AJ$11,'Attrition Modeling'!$L$15:$N$27,IF(AJ$12-$F43&lt;=24,2,3),FALSE))*(1+IF('Traditional Attrition'!AJ165&gt;0,'Attrition Modeling'!$N$9,0))),0))</f>
        <v>0</v>
      </c>
      <c r="AK43" s="799">
        <f>IF(AK$12=$F43+1,IF(Monthly!AG$4=TRUE,0,AK$3),IF(AK$12&gt;$F43+1,RentalsVacates!AJ43*(1-IF(AK$12-$F43&lt;=12,SUMIFS('Attrition Modeling'!$D:$D,'Attrition Modeling'!$B:$B,$E43,'Attrition Modeling'!$C:$C,AK$11),VLOOKUP(RentalsVacates!AK$12-RentalsVacates!$F43-1,RentalsVacates!$A$8:$C$162,2,FALSE)*VLOOKUP(AK$11,'Attrition Modeling'!$L$15:$N$27,IF(AK$12-$F43&lt;=24,2,3),FALSE))*(1+IF('Traditional Attrition'!AK165&gt;0,'Attrition Modeling'!$N$9,0))),0))</f>
        <v>0</v>
      </c>
      <c r="AL43" s="799">
        <f>IF(AL$12=$F43+1,IF(Monthly!AH$4=TRUE,0,AL$3),IF(AL$12&gt;$F43+1,RentalsVacates!AK43*(1-IF(AL$12-$F43&lt;=12,SUMIFS('Attrition Modeling'!$D:$D,'Attrition Modeling'!$B:$B,$E43,'Attrition Modeling'!$C:$C,AL$11),VLOOKUP(RentalsVacates!AL$12-RentalsVacates!$F43-1,RentalsVacates!$A$8:$C$162,2,FALSE)*VLOOKUP(AL$11,'Attrition Modeling'!$L$15:$N$27,IF(AL$12-$F43&lt;=24,2,3),FALSE))*(1+IF('Traditional Attrition'!AL165&gt;0,'Attrition Modeling'!$N$9,0))),0))</f>
        <v>8548.7445478691952</v>
      </c>
      <c r="AM43" s="799">
        <f>IF(AM$12=$F43+1,IF(Monthly!AI$4=TRUE,0,AM$3),IF(AM$12&gt;$F43+1,RentalsVacates!AL43*(1-IF(AM$12-$F43&lt;=12,SUMIFS('Attrition Modeling'!$D:$D,'Attrition Modeling'!$B:$B,$E43,'Attrition Modeling'!$C:$C,AM$11),VLOOKUP(RentalsVacates!AM$12-RentalsVacates!$F43-1,RentalsVacates!$A$8:$C$162,2,FALSE)*VLOOKUP(AM$11,'Attrition Modeling'!$L$15:$N$27,IF(AM$12-$F43&lt;=24,2,3),FALSE))*(1+IF('Traditional Attrition'!AM165&gt;0,'Attrition Modeling'!$N$9,0))),0))</f>
        <v>7527.0362139838799</v>
      </c>
      <c r="AN43" s="799">
        <f>IF(AN$12=$F43+1,IF(Monthly!AJ$4=TRUE,0,AN$3),IF(AN$12&gt;$F43+1,RentalsVacates!AM43*(1-IF(AN$12-$F43&lt;=12,SUMIFS('Attrition Modeling'!$D:$D,'Attrition Modeling'!$B:$B,$E43,'Attrition Modeling'!$C:$C,AN$11),VLOOKUP(RentalsVacates!AN$12-RentalsVacates!$F43-1,RentalsVacates!$A$8:$C$162,2,FALSE)*VLOOKUP(AN$11,'Attrition Modeling'!$L$15:$N$27,IF(AN$12-$F43&lt;=24,2,3),FALSE))*(1+IF('Traditional Attrition'!AN165&gt;0,'Attrition Modeling'!$N$9,0))),0))</f>
        <v>6693.5607196768524</v>
      </c>
      <c r="AO43" s="799">
        <f>IF(AO$12=$F43+1,IF(Monthly!AK$4=TRUE,0,AO$3),IF(AO$12&gt;$F43+1,RentalsVacates!AN43*(1-IF(AO$12-$F43&lt;=12,SUMIFS('Attrition Modeling'!$D:$D,'Attrition Modeling'!$B:$B,$E43,'Attrition Modeling'!$C:$C,AO$11),VLOOKUP(RentalsVacates!AO$12-RentalsVacates!$F43-1,RentalsVacates!$A$8:$C$162,2,FALSE)*VLOOKUP(AO$11,'Attrition Modeling'!$L$15:$N$27,IF(AO$12-$F43&lt;=24,2,3),FALSE))*(1+IF('Traditional Attrition'!AO165&gt;0,'Attrition Modeling'!$N$9,0))),0))</f>
        <v>6070.0419507106926</v>
      </c>
      <c r="AP43" s="799">
        <f>IF(AP$12=$F43+1,IF(Monthly!AL$4=TRUE,0,AP$3),IF(AP$12&gt;$F43+1,RentalsVacates!AO43*(1-IF(AP$12-$F43&lt;=12,SUMIFS('Attrition Modeling'!$D:$D,'Attrition Modeling'!$B:$B,$E43,'Attrition Modeling'!$C:$C,AP$11),VLOOKUP(RentalsVacates!AP$12-RentalsVacates!$F43-1,RentalsVacates!$A$8:$C$162,2,FALSE)*VLOOKUP(AP$11,'Attrition Modeling'!$L$15:$N$27,IF(AP$12-$F43&lt;=24,2,3),FALSE))*(1+IF('Traditional Attrition'!AP165&gt;0,'Attrition Modeling'!$N$9,0))),0))</f>
        <v>5537.4174395855935</v>
      </c>
      <c r="AQ43" s="799">
        <f>IF(AQ$12=$F43+1,IF(Monthly!AM$4=TRUE,0,AQ$3),IF(AQ$12&gt;$F43+1,RentalsVacates!AP43*(1-IF(AQ$12-$F43&lt;=12,SUMIFS('Attrition Modeling'!$D:$D,'Attrition Modeling'!$B:$B,$E43,'Attrition Modeling'!$C:$C,AQ$11),VLOOKUP(RentalsVacates!AQ$12-RentalsVacates!$F43-1,RentalsVacates!$A$8:$C$162,2,FALSE)*VLOOKUP(AQ$11,'Attrition Modeling'!$L$15:$N$27,IF(AQ$12-$F43&lt;=24,2,3),FALSE))*(1+IF('Traditional Attrition'!AQ165&gt;0,'Attrition Modeling'!$N$9,0))),0))</f>
        <v>4954.7983073259629</v>
      </c>
      <c r="AR43" s="799">
        <f>IF(AR$12=$F43+1,IF(Monthly!AN$4=TRUE,0,AR$3),IF(AR$12&gt;$F43+1,RentalsVacates!AQ43*(1-IF(AR$12-$F43&lt;=12,SUMIFS('Attrition Modeling'!$D:$D,'Attrition Modeling'!$B:$B,$E43,'Attrition Modeling'!$C:$C,AR$11),VLOOKUP(RentalsVacates!AR$12-RentalsVacates!$F43-1,RentalsVacates!$A$8:$C$162,2,FALSE)*VLOOKUP(AR$11,'Attrition Modeling'!$L$15:$N$27,IF(AR$12-$F43&lt;=24,2,3),FALSE))*(1+IF('Traditional Attrition'!AR165&gt;0,'Attrition Modeling'!$N$9,0))),0))</f>
        <v>4613.7221311054964</v>
      </c>
      <c r="AS43" s="799">
        <f>IF(AS$12=$F43+1,IF(Monthly!AO$4=TRUE,0,AS$3),IF(AS$12&gt;$F43+1,RentalsVacates!AR43*(1-IF(AS$12-$F43&lt;=12,SUMIFS('Attrition Modeling'!$D:$D,'Attrition Modeling'!$B:$B,$E43,'Attrition Modeling'!$C:$C,AS$11),VLOOKUP(RentalsVacates!AS$12-RentalsVacates!$F43-1,RentalsVacates!$A$8:$C$162,2,FALSE)*VLOOKUP(AS$11,'Attrition Modeling'!$L$15:$N$27,IF(AS$12-$F43&lt;=24,2,3),FALSE))*(1+IF('Traditional Attrition'!AS165&gt;0,'Attrition Modeling'!$N$9,0))),0))</f>
        <v>4328.7596437532411</v>
      </c>
      <c r="AT43" s="799">
        <f>IF(AT$12=$F43+1,IF(Monthly!AP$4=TRUE,0,AT$3),IF(AT$12&gt;$F43+1,RentalsVacates!AS43*(1-IF(AT$12-$F43&lt;=12,SUMIFS('Attrition Modeling'!$D:$D,'Attrition Modeling'!$B:$B,$E43,'Attrition Modeling'!$C:$C,AT$11),VLOOKUP(RentalsVacates!AT$12-RentalsVacates!$F43-1,RentalsVacates!$A$8:$C$162,2,FALSE)*VLOOKUP(AT$11,'Attrition Modeling'!$L$15:$N$27,IF(AT$12-$F43&lt;=24,2,3),FALSE))*(1+IF('Traditional Attrition'!AT165&gt;0,'Attrition Modeling'!$N$9,0))),0))</f>
        <v>4049.2612866901</v>
      </c>
      <c r="AU43" s="799">
        <f>IF(AU$12=$F43+1,IF(Monthly!AQ$4=TRUE,0,AU$3),IF(AU$12&gt;$F43+1,RentalsVacates!AT43*(1-IF(AU$12-$F43&lt;=12,SUMIFS('Attrition Modeling'!$D:$D,'Attrition Modeling'!$B:$B,$E43,'Attrition Modeling'!$C:$C,AU$11),VLOOKUP(RentalsVacates!AU$12-RentalsVacates!$F43-1,RentalsVacates!$A$8:$C$162,2,FALSE)*VLOOKUP(AU$11,'Attrition Modeling'!$L$15:$N$27,IF(AU$12-$F43&lt;=24,2,3),FALSE))*(1+IF('Traditional Attrition'!AU165&gt;0,'Attrition Modeling'!$N$9,0))),0))</f>
        <v>3825.4814532083951</v>
      </c>
      <c r="AV43" s="799">
        <f>IF(AV$12=$F43+1,IF(Monthly!AR$4=TRUE,0,AV$3),IF(AV$12&gt;$F43+1,RentalsVacates!AU43*(1-IF(AV$12-$F43&lt;=12,SUMIFS('Attrition Modeling'!$D:$D,'Attrition Modeling'!$B:$B,$E43,'Attrition Modeling'!$C:$C,AV$11),VLOOKUP(RentalsVacates!AV$12-RentalsVacates!$F43-1,RentalsVacates!$A$8:$C$162,2,FALSE)*VLOOKUP(AV$11,'Attrition Modeling'!$L$15:$N$27,IF(AV$12-$F43&lt;=24,2,3),FALSE))*(1+IF('Traditional Attrition'!AV165&gt;0,'Attrition Modeling'!$N$9,0))),0))</f>
        <v>3606.2747096018256</v>
      </c>
      <c r="AW43" s="799">
        <f>IF(AW$12=$F43+1,IF(Monthly!AS$4=TRUE,0,AW$3),IF(AW$12&gt;$F43+1,RentalsVacates!AV43*(1-IF(AW$12-$F43&lt;=12,SUMIFS('Attrition Modeling'!$D:$D,'Attrition Modeling'!$B:$B,$E43,'Attrition Modeling'!$C:$C,AW$11),VLOOKUP(RentalsVacates!AW$12-RentalsVacates!$F43-1,RentalsVacates!$A$8:$C$162,2,FALSE)*VLOOKUP(AW$11,'Attrition Modeling'!$L$15:$N$27,IF(AW$12-$F43&lt;=24,2,3),FALSE))*(1+IF('Traditional Attrition'!AW165&gt;0,'Attrition Modeling'!$N$9,0))),0))</f>
        <v>3502.6327906519246</v>
      </c>
      <c r="AX43" s="799">
        <f>IF(AX$12=$F43+1,IF(Monthly!AT$4=TRUE,0,AX$3),IF(AX$12&gt;$F43+1,RentalsVacates!AW43*(1-IF(AX$12-$F43&lt;=12,SUMIFS('Attrition Modeling'!$D:$D,'Attrition Modeling'!$B:$B,$E43,'Attrition Modeling'!$C:$C,AX$11),VLOOKUP(RentalsVacates!AX$12-RentalsVacates!$F43-1,RentalsVacates!$A$8:$C$162,2,FALSE)*VLOOKUP(AX$11,'Attrition Modeling'!$L$15:$N$27,IF(AX$12-$F43&lt;=24,2,3),FALSE))*(1+IF('Traditional Attrition'!AX165&gt;0,'Attrition Modeling'!$N$9,0))),0))</f>
        <v>3299.476904757938</v>
      </c>
      <c r="AY43" s="799">
        <f>IF(AY$12=$F43+1,IF(Monthly!AU$4=TRUE,0,AY$3),IF(AY$12&gt;$F43+1,RentalsVacates!AX43*(1-IF(AY$12-$F43&lt;=12,SUMIFS('Attrition Modeling'!$D:$D,'Attrition Modeling'!$B:$B,$E43,'Attrition Modeling'!$C:$C,AY$11),VLOOKUP(RentalsVacates!AY$12-RentalsVacates!$F43-1,RentalsVacates!$A$8:$C$162,2,FALSE)*VLOOKUP(AY$11,'Attrition Modeling'!$L$15:$N$27,IF(AY$12-$F43&lt;=24,2,3),FALSE))*(1+IF('Traditional Attrition'!AY165&gt;0,'Attrition Modeling'!$N$9,0))),0))</f>
        <v>3115.0757077528756</v>
      </c>
      <c r="AZ43" s="799">
        <f>IF(AZ$12=$F43+1,IF(Monthly!AV$4=TRUE,0,AZ$3),IF(AZ$12&gt;$F43+1,RentalsVacates!AY43*(1-IF(AZ$12-$F43&lt;=12,SUMIFS('Attrition Modeling'!$D:$D,'Attrition Modeling'!$B:$B,$E43,'Attrition Modeling'!$C:$C,AZ$11),VLOOKUP(RentalsVacates!AZ$12-RentalsVacates!$F43-1,RentalsVacates!$A$8:$C$162,2,FALSE)*VLOOKUP(AZ$11,'Attrition Modeling'!$L$15:$N$27,IF(AZ$12-$F43&lt;=24,2,3),FALSE))*(1+IF('Traditional Attrition'!AZ165&gt;0,'Attrition Modeling'!$N$9,0))),0))</f>
        <v>2964.0966144968074</v>
      </c>
      <c r="BA43" s="799">
        <f>IF(BA$12=$F43+1,IF(Monthly!AW$4=TRUE,0,BA$3),IF(BA$12&gt;$F43+1,RentalsVacates!AZ43*(1-IF(BA$12-$F43&lt;=12,SUMIFS('Attrition Modeling'!$D:$D,'Attrition Modeling'!$B:$B,$E43,'Attrition Modeling'!$C:$C,BA$11),VLOOKUP(RentalsVacates!BA$12-RentalsVacates!$F43-1,RentalsVacates!$A$8:$C$162,2,FALSE)*VLOOKUP(BA$11,'Attrition Modeling'!$L$15:$N$27,IF(BA$12-$F43&lt;=24,2,3),FALSE))*(1+IF('Traditional Attrition'!BA165&gt;0,'Attrition Modeling'!$N$9,0))),0))</f>
        <v>2822.4805704437508</v>
      </c>
      <c r="BB43" s="799">
        <f>IF(BB$12=$F43+1,IF(Monthly!AX$4=TRUE,0,BB$3),IF(BB$12&gt;$F43+1,RentalsVacates!BA43*(1-IF(BB$12-$F43&lt;=12,SUMIFS('Attrition Modeling'!$D:$D,'Attrition Modeling'!$B:$B,$E43,'Attrition Modeling'!$C:$C,BB$11),VLOOKUP(RentalsVacates!BB$12-RentalsVacates!$F43-1,RentalsVacates!$A$8:$C$162,2,FALSE)*VLOOKUP(BB$11,'Attrition Modeling'!$L$15:$N$27,IF(BB$12-$F43&lt;=24,2,3),FALSE))*(1+IF('Traditional Attrition'!BB165&gt;0,'Attrition Modeling'!$N$9,0))),0))</f>
        <v>2696.571096823478</v>
      </c>
      <c r="BC43" s="799">
        <f>IF(BC$12=$F43+1,IF(Monthly!AY$4=TRUE,0,BC$3),IF(BC$12&gt;$F43+1,RentalsVacates!BB43*(1-IF(BC$12-$F43&lt;=12,SUMIFS('Attrition Modeling'!$D:$D,'Attrition Modeling'!$B:$B,$E43,'Attrition Modeling'!$C:$C,BC$11),VLOOKUP(RentalsVacates!BC$12-RentalsVacates!$F43-1,RentalsVacates!$A$8:$C$162,2,FALSE)*VLOOKUP(BC$11,'Attrition Modeling'!$L$15:$N$27,IF(BC$12-$F43&lt;=24,2,3),FALSE))*(1+IF('Traditional Attrition'!BC165&gt;0,'Attrition Modeling'!$N$9,0))),0))</f>
        <v>2557.2725014428061</v>
      </c>
      <c r="BD43" s="799">
        <f>IF(BD$12=$F43+1,IF(Monthly!AZ$4=TRUE,0,BD$3),IF(BD$12&gt;$F43+1,RentalsVacates!BC43*(1-IF(BD$12-$F43&lt;=12,SUMIFS('Attrition Modeling'!$D:$D,'Attrition Modeling'!$B:$B,$E43,'Attrition Modeling'!$C:$C,BD$11),VLOOKUP(RentalsVacates!BD$12-RentalsVacates!$F43-1,RentalsVacates!$A$8:$C$162,2,FALSE)*VLOOKUP(BD$11,'Attrition Modeling'!$L$15:$N$27,IF(BD$12-$F43&lt;=24,2,3),FALSE))*(1+IF('Traditional Attrition'!BD165&gt;0,'Attrition Modeling'!$N$9,0))),0))</f>
        <v>2449.4524493184263</v>
      </c>
      <c r="BE43" s="799">
        <f>IF(BE$12=$F43+1,IF(Monthly!BA$4=TRUE,0,BE$3),IF(BE$12&gt;$F43+1,RentalsVacates!BD43*(1-IF(BE$12-$F43&lt;=12,SUMIFS('Attrition Modeling'!$D:$D,'Attrition Modeling'!$B:$B,$E43,'Attrition Modeling'!$C:$C,BE$11),VLOOKUP(RentalsVacates!BE$12-RentalsVacates!$F43-1,RentalsVacates!$A$8:$C$162,2,FALSE)*VLOOKUP(BE$11,'Attrition Modeling'!$L$15:$N$27,IF(BE$12-$F43&lt;=24,2,3),FALSE))*(1+IF('Traditional Attrition'!BE165&gt;0,'Attrition Modeling'!$N$9,0))),0))</f>
        <v>2358.0584060336387</v>
      </c>
      <c r="BF43" s="799">
        <f>IF(BF$12=$F43+1,IF(Monthly!BB$4=TRUE,0,BF$3),IF(BF$12&gt;$F43+1,RentalsVacates!BE43*(1-IF(BF$12-$F43&lt;=12,SUMIFS('Attrition Modeling'!$D:$D,'Attrition Modeling'!$B:$B,$E43,'Attrition Modeling'!$C:$C,BF$11),VLOOKUP(RentalsVacates!BF$12-RentalsVacates!$F43-1,RentalsVacates!$A$8:$C$162,2,FALSE)*VLOOKUP(BF$11,'Attrition Modeling'!$L$15:$N$27,IF(BF$12-$F43&lt;=24,2,3),FALSE))*(1+IF('Traditional Attrition'!BF165&gt;0,'Attrition Modeling'!$N$9,0))),0))</f>
        <v>2263.9187408110624</v>
      </c>
      <c r="BG43" s="799">
        <f>IF(BG$12=$F43+1,IF(Monthly!BC$4=TRUE,0,BG$3),IF(BG$12&gt;$F43+1,RentalsVacates!BF43*(1-IF(BG$12-$F43&lt;=12,SUMIFS('Attrition Modeling'!$D:$D,'Attrition Modeling'!$B:$B,$E43,'Attrition Modeling'!$C:$C,BG$11),VLOOKUP(RentalsVacates!BG$12-RentalsVacates!$F43-1,RentalsVacates!$A$8:$C$162,2,FALSE)*VLOOKUP(BG$11,'Attrition Modeling'!$L$15:$N$27,IF(BG$12-$F43&lt;=24,2,3),FALSE))*(1+IF('Traditional Attrition'!BG165&gt;0,'Attrition Modeling'!$N$9,0))),0))</f>
        <v>2176.4350215958507</v>
      </c>
      <c r="BH43" s="799">
        <f>IF(BH$12=$F43+1,IF(Monthly!BD$4=TRUE,0,BH$3),IF(BH$12&gt;$F43+1,RentalsVacates!BG43*(1-IF(BH$12-$F43&lt;=12,SUMIFS('Attrition Modeling'!$D:$D,'Attrition Modeling'!$B:$B,$E43,'Attrition Modeling'!$C:$C,BH$11),VLOOKUP(RentalsVacates!BH$12-RentalsVacates!$F43-1,RentalsVacates!$A$8:$C$162,2,FALSE)*VLOOKUP(BH$11,'Attrition Modeling'!$L$15:$N$27,IF(BH$12-$F43&lt;=24,2,3),FALSE))*(1+IF('Traditional Attrition'!BH165&gt;0,'Attrition Modeling'!$N$9,0))),0))</f>
        <v>2094.1255124970066</v>
      </c>
      <c r="BI43" s="799">
        <f>IF(BI$12=$F43+1,IF(Monthly!BE$4=TRUE,0,BI$3),IF(BI$12&gt;$F43+1,RentalsVacates!BH43*(1-IF(BI$12-$F43&lt;=12,SUMIFS('Attrition Modeling'!$D:$D,'Attrition Modeling'!$B:$B,$E43,'Attrition Modeling'!$C:$C,BI$11),VLOOKUP(RentalsVacates!BI$12-RentalsVacates!$F43-1,RentalsVacates!$A$8:$C$162,2,FALSE)*VLOOKUP(BI$11,'Attrition Modeling'!$L$15:$N$27,IF(BI$12-$F43&lt;=24,2,3),FALSE))*(1+IF('Traditional Attrition'!BI165&gt;0,'Attrition Modeling'!$N$9,0))),0))</f>
        <v>2008.3280773463605</v>
      </c>
      <c r="BJ43" s="799">
        <f>IF(BJ$12=$F43+1,IF(Monthly!BF$4=TRUE,0,BJ$3),IF(BJ$12&gt;$F43+1,RentalsVacates!BI43*(1-IF(BJ$12-$F43&lt;=12,SUMIFS('Attrition Modeling'!$D:$D,'Attrition Modeling'!$B:$B,$E43,'Attrition Modeling'!$C:$C,BJ$11),VLOOKUP(RentalsVacates!BJ$12-RentalsVacates!$F43-1,RentalsVacates!$A$8:$C$162,2,FALSE)*VLOOKUP(BJ$11,'Attrition Modeling'!$L$15:$N$27,IF(BJ$12-$F43&lt;=24,2,3),FALSE))*(1+IF('Traditional Attrition'!BJ165&gt;0,'Attrition Modeling'!$N$9,0))),0))</f>
        <v>1926.9303260001718</v>
      </c>
      <c r="BK43" s="799">
        <f>IF(BK$12=$F43+1,IF(Monthly!BG$4=TRUE,0,BK$3),IF(BK$12&gt;$F43+1,RentalsVacates!BJ43*(1-IF(BK$12-$F43&lt;=12,SUMIFS('Attrition Modeling'!$D:$D,'Attrition Modeling'!$B:$B,$E43,'Attrition Modeling'!$C:$C,BK$11),VLOOKUP(RentalsVacates!BK$12-RentalsVacates!$F43-1,RentalsVacates!$A$8:$C$162,2,FALSE)*VLOOKUP(BK$11,'Attrition Modeling'!$L$15:$N$27,IF(BK$12-$F43&lt;=24,2,3),FALSE))*(1+IF('Traditional Attrition'!BK165&gt;0,'Attrition Modeling'!$N$9,0))),0))</f>
        <v>1844.2306547427033</v>
      </c>
      <c r="BL43" s="799">
        <f>IF(BL$12=$F43+1,IF(Monthly!BH$4=TRUE,0,BL$3),IF(BL$12&gt;$F43+1,RentalsVacates!BK43*(1-IF(BL$12-$F43&lt;=12,SUMIFS('Attrition Modeling'!$D:$D,'Attrition Modeling'!$B:$B,$E43,'Attrition Modeling'!$C:$C,BL$11),VLOOKUP(RentalsVacates!BL$12-RentalsVacates!$F43-1,RentalsVacates!$A$8:$C$162,2,FALSE)*VLOOKUP(BL$11,'Attrition Modeling'!$L$15:$N$27,IF(BL$12-$F43&lt;=24,2,3),FALSE))*(1+IF('Traditional Attrition'!BL165&gt;0,'Attrition Modeling'!$N$9,0))),0))</f>
        <v>1770.9064085808573</v>
      </c>
      <c r="BM43" s="799">
        <f>IF(BM$12=$F43+1,IF(Monthly!BI$4=TRUE,0,BM$3),IF(BM$12&gt;$F43+1,RentalsVacates!BL43*(1-IF(BM$12-$F43&lt;=12,SUMIFS('Attrition Modeling'!$D:$D,'Attrition Modeling'!$B:$B,$E43,'Attrition Modeling'!$C:$C,BM$11),VLOOKUP(RentalsVacates!BM$12-RentalsVacates!$F43-1,RentalsVacates!$A$8:$C$162,2,FALSE)*VLOOKUP(BM$11,'Attrition Modeling'!$L$15:$N$27,IF(BM$12-$F43&lt;=24,2,3),FALSE))*(1+IF('Traditional Attrition'!BM165&gt;0,'Attrition Modeling'!$N$9,0))),0))</f>
        <v>1703.8176396382471</v>
      </c>
      <c r="BN43" s="799">
        <f>IF(BN$12=$F43+1,IF(Monthly!BJ$4=TRUE,0,BN$3),IF(BN$12&gt;$F43+1,RentalsVacates!BM43*(1-IF(BN$12-$F43&lt;=12,SUMIFS('Attrition Modeling'!$D:$D,'Attrition Modeling'!$B:$B,$E43,'Attrition Modeling'!$C:$C,BN$11),VLOOKUP(RentalsVacates!BN$12-RentalsVacates!$F43-1,RentalsVacates!$A$8:$C$162,2,FALSE)*VLOOKUP(BN$11,'Attrition Modeling'!$L$15:$N$27,IF(BN$12-$F43&lt;=24,2,3),FALSE))*(1+IF('Traditional Attrition'!BN165&gt;0,'Attrition Modeling'!$N$9,0))),0))</f>
        <v>1641.5401093573398</v>
      </c>
      <c r="BO43" s="799">
        <f>IF(BO$12=$F43+1,IF(Monthly!BK$4=TRUE,0,BO$3),IF(BO$12&gt;$F43+1,RentalsVacates!BN43*(1-IF(BO$12-$F43&lt;=12,SUMIFS('Attrition Modeling'!$D:$D,'Attrition Modeling'!$B:$B,$E43,'Attrition Modeling'!$C:$C,BO$11),VLOOKUP(RentalsVacates!BO$12-RentalsVacates!$F43-1,RentalsVacates!$A$8:$C$162,2,FALSE)*VLOOKUP(BO$11,'Attrition Modeling'!$L$15:$N$27,IF(BO$12-$F43&lt;=24,2,3),FALSE))*(1+IF('Traditional Attrition'!BO165&gt;0,'Attrition Modeling'!$N$9,0))),0))</f>
        <v>1582.9498731089452</v>
      </c>
      <c r="BP43" s="799">
        <f>IF(BP$12=$F43+1,IF(Monthly!BL$4=TRUE,0,BP$3),IF(BP$12&gt;$F43+1,RentalsVacates!BO43*(1-IF(BP$12-$F43&lt;=12,SUMIFS('Attrition Modeling'!$D:$D,'Attrition Modeling'!$B:$B,$E43,'Attrition Modeling'!$C:$C,BP$11),VLOOKUP(RentalsVacates!BP$12-RentalsVacates!$F43-1,RentalsVacates!$A$8:$C$162,2,FALSE)*VLOOKUP(BP$11,'Attrition Modeling'!$L$15:$N$27,IF(BP$12-$F43&lt;=24,2,3),FALSE))*(1+IF('Traditional Attrition'!BP165&gt;0,'Attrition Modeling'!$N$9,0))),0))</f>
        <v>1531.4629751852788</v>
      </c>
      <c r="BQ43" s="799">
        <f>IF(BQ$12=$F43+1,IF(Monthly!BM$4=TRUE,0,BQ$3),IF(BQ$12&gt;$F43+1,RentalsVacates!BP43*(1-IF(BQ$12-$F43&lt;=12,SUMIFS('Attrition Modeling'!$D:$D,'Attrition Modeling'!$B:$B,$E43,'Attrition Modeling'!$C:$C,BQ$11),VLOOKUP(RentalsVacates!BQ$12-RentalsVacates!$F43-1,RentalsVacates!$A$8:$C$162,2,FALSE)*VLOOKUP(BQ$11,'Attrition Modeling'!$L$15:$N$27,IF(BQ$12-$F43&lt;=24,2,3),FALSE))*(1+IF('Traditional Attrition'!BQ165&gt;0,'Attrition Modeling'!$N$9,0))),0))</f>
        <v>1483.7912036103651</v>
      </c>
      <c r="BR43" s="799">
        <f>IF(BR$12=$F43+1,IF(Monthly!BN$4=TRUE,0,BR$3),IF(BR$12&gt;$F43+1,RentalsVacates!BQ43*(1-IF(BR$12-$F43&lt;=12,SUMIFS('Attrition Modeling'!$D:$D,'Attrition Modeling'!$B:$B,$E43,'Attrition Modeling'!$C:$C,BR$11),VLOOKUP(RentalsVacates!BR$12-RentalsVacates!$F43-1,RentalsVacates!$A$8:$C$162,2,FALSE)*VLOOKUP(BR$11,'Attrition Modeling'!$L$15:$N$27,IF(BR$12-$F43&lt;=24,2,3),FALSE))*(1+IF('Traditional Attrition'!BR165&gt;0,'Attrition Modeling'!$N$9,0))),0))</f>
        <v>1440.0633387645873</v>
      </c>
      <c r="BS43" s="799">
        <f>IF(BS$12=$F43+1,IF(Monthly!BO$4=TRUE,0,BS$3),IF(BS$12&gt;$F43+1,RentalsVacates!BR43*(1-IF(BS$12-$F43&lt;=12,SUMIFS('Attrition Modeling'!$D:$D,'Attrition Modeling'!$B:$B,$E43,'Attrition Modeling'!$C:$C,BS$11),VLOOKUP(RentalsVacates!BS$12-RentalsVacates!$F43-1,RentalsVacates!$A$8:$C$162,2,FALSE)*VLOOKUP(BS$11,'Attrition Modeling'!$L$15:$N$27,IF(BS$12-$F43&lt;=24,2,3),FALSE))*(1+IF('Traditional Attrition'!BS165&gt;0,'Attrition Modeling'!$N$9,0))),0))</f>
        <v>1406.7002968848988</v>
      </c>
      <c r="BT43" s="799">
        <f>IF(BT$11=$F42+1,IF(Monthly!#REF!=TRUE,0,BT$3),IF(BT$11&gt;$F42+1,RentalsVacates!BS42*(1-IF(BT$11-$F42&lt;=12,SUMIFS('Attrition Modeling'!$D:$D,'Attrition Modeling'!$B:$B,$E42,'Attrition Modeling'!$C:$C,BT$10),VLOOKUP(RentalsVacates!BT$11-RentalsVacates!$F42-1,RentalsVacates!$A$7:$C$161,2,FALSE)*VLOOKUP(BT$10,'Attrition Modeling'!$L$15:$N$27,IF(BT$11-$F42&lt;=24,2,3),FALSE))*(1+IF('Traditional Attrition'!BT165&gt;0,'Attrition Modeling'!$N$9,0))),0))</f>
        <v>0</v>
      </c>
      <c r="BU43" s="799">
        <f>IF(BU$11=$F42+1,IF(Monthly!#REF!=TRUE,0,BU$3),IF(BU$11&gt;$F42+1,RentalsVacates!BT42*(1-IF(BU$11-$F42&lt;=12,SUMIFS('Attrition Modeling'!$D:$D,'Attrition Modeling'!$B:$B,$E42,'Attrition Modeling'!$C:$C,BU$10),VLOOKUP(RentalsVacates!BU$11-RentalsVacates!$F42-1,RentalsVacates!$A$7:$C$161,2,FALSE)*VLOOKUP(BU$10,'Attrition Modeling'!$L$15:$N$27,IF(BU$11-$F42&lt;=24,2,3),FALSE))*(1+IF('Traditional Attrition'!BU165&gt;0,'Attrition Modeling'!$N$9,0))),0))</f>
        <v>0</v>
      </c>
    </row>
    <row r="44" spans="1:73" ht="14.25" customHeight="1" x14ac:dyDescent="0.2">
      <c r="A44" s="9">
        <v>36</v>
      </c>
      <c r="B44" s="25">
        <f>MAX('Attrition Modeling'!H40,$C$3)*(1-Summary!$C$20)</f>
        <v>3.0177245030469362E-2</v>
      </c>
      <c r="C44" s="24" t="e">
        <f t="shared" si="2"/>
        <v>#DIV/0!</v>
      </c>
      <c r="E44" s="11">
        <f>'Traditional Attrition'!E101</f>
        <v>7</v>
      </c>
      <c r="F44" s="11">
        <f t="shared" si="4"/>
        <v>31</v>
      </c>
      <c r="G44" s="799"/>
      <c r="H44" s="799">
        <f>IF(H$12=$F44+1,IF(Monthly!D$4=TRUE,0,H$3),IF(H$12&gt;$F44+1,RentalsVacates!G44*(1-IF(H$12-$F44&lt;=12,SUMIFS('Attrition Modeling'!$D:$D,'Attrition Modeling'!$B:$B,$E44,'Attrition Modeling'!$C:$C,H$11),VLOOKUP(RentalsVacates!H$12-RentalsVacates!$F44-1,RentalsVacates!$A$8:$C$162,2,FALSE)*VLOOKUP(H$11,'Attrition Modeling'!$L$15:$N$27,IF(H$12-$F44&lt;=24,2,3),FALSE))*(1+IF('Traditional Attrition'!H166&gt;0,'Attrition Modeling'!$N$9,0))),0))</f>
        <v>0</v>
      </c>
      <c r="I44" s="799">
        <f>IF(I$12=$F44+1,IF(Monthly!E$4=TRUE,0,I$3),IF(I$12&gt;$F44+1,RentalsVacates!H44*(1-IF(I$12-$F44&lt;=12,SUMIFS('Attrition Modeling'!$D:$D,'Attrition Modeling'!$B:$B,$E44,'Attrition Modeling'!$C:$C,I$11),VLOOKUP(RentalsVacates!I$12-RentalsVacates!$F44-1,RentalsVacates!$A$8:$C$162,2,FALSE)*VLOOKUP(I$11,'Attrition Modeling'!$L$15:$N$27,IF(I$12-$F44&lt;=24,2,3),FALSE))*(1+IF('Traditional Attrition'!I166&gt;0,'Attrition Modeling'!$N$9,0))),0))</f>
        <v>0</v>
      </c>
      <c r="J44" s="799">
        <f>IF(J$12=$F44+1,IF(Monthly!F$4=TRUE,0,J$3),IF(J$12&gt;$F44+1,RentalsVacates!I44*(1-IF(J$12-$F44&lt;=12,SUMIFS('Attrition Modeling'!$D:$D,'Attrition Modeling'!$B:$B,$E44,'Attrition Modeling'!$C:$C,J$11),VLOOKUP(RentalsVacates!J$12-RentalsVacates!$F44-1,RentalsVacates!$A$8:$C$162,2,FALSE)*VLOOKUP(J$11,'Attrition Modeling'!$L$15:$N$27,IF(J$12-$F44&lt;=24,2,3),FALSE))*(1+IF('Traditional Attrition'!J166&gt;0,'Attrition Modeling'!$N$9,0))),0))</f>
        <v>0</v>
      </c>
      <c r="K44" s="799">
        <f>IF(K$12=$F44+1,IF(Monthly!G$4=TRUE,0,K$3),IF(K$12&gt;$F44+1,RentalsVacates!J44*(1-IF(K$12-$F44&lt;=12,SUMIFS('Attrition Modeling'!$D:$D,'Attrition Modeling'!$B:$B,$E44,'Attrition Modeling'!$C:$C,K$11),VLOOKUP(RentalsVacates!K$12-RentalsVacates!$F44-1,RentalsVacates!$A$8:$C$162,2,FALSE)*VLOOKUP(K$11,'Attrition Modeling'!$L$15:$N$27,IF(K$12-$F44&lt;=24,2,3),FALSE))*(1+IF('Traditional Attrition'!K166&gt;0,'Attrition Modeling'!$N$9,0))),0))</f>
        <v>0</v>
      </c>
      <c r="L44" s="799">
        <f>IF(L$12=$F44+1,IF(Monthly!H$4=TRUE,0,L$3),IF(L$12&gt;$F44+1,RentalsVacates!K44*(1-IF(L$12-$F44&lt;=12,SUMIFS('Attrition Modeling'!$D:$D,'Attrition Modeling'!$B:$B,$E44,'Attrition Modeling'!$C:$C,L$11),VLOOKUP(RentalsVacates!L$12-RentalsVacates!$F44-1,RentalsVacates!$A$8:$C$162,2,FALSE)*VLOOKUP(L$11,'Attrition Modeling'!$L$15:$N$27,IF(L$12-$F44&lt;=24,2,3),FALSE))*(1+IF('Traditional Attrition'!L166&gt;0,'Attrition Modeling'!$N$9,0))),0))</f>
        <v>0</v>
      </c>
      <c r="M44" s="799">
        <f>IF(M$12=$F44+1,IF(Monthly!I$4=TRUE,0,M$3),IF(M$12&gt;$F44+1,RentalsVacates!L44*(1-IF(M$12-$F44&lt;=12,SUMIFS('Attrition Modeling'!$D:$D,'Attrition Modeling'!$B:$B,$E44,'Attrition Modeling'!$C:$C,M$11),VLOOKUP(RentalsVacates!M$12-RentalsVacates!$F44-1,RentalsVacates!$A$8:$C$162,2,FALSE)*VLOOKUP(M$11,'Attrition Modeling'!$L$15:$N$27,IF(M$12-$F44&lt;=24,2,3),FALSE))*(1+IF('Traditional Attrition'!M166&gt;0,'Attrition Modeling'!$N$9,0))),0))</f>
        <v>0</v>
      </c>
      <c r="N44" s="799">
        <f>IF(N$12=$F44+1,IF(Monthly!J$4=TRUE,0,N$3),IF(N$12&gt;$F44+1,RentalsVacates!M44*(1-IF(N$12-$F44&lt;=12,SUMIFS('Attrition Modeling'!$D:$D,'Attrition Modeling'!$B:$B,$E44,'Attrition Modeling'!$C:$C,N$11),VLOOKUP(RentalsVacates!N$12-RentalsVacates!$F44-1,RentalsVacates!$A$8:$C$162,2,FALSE)*VLOOKUP(N$11,'Attrition Modeling'!$L$15:$N$27,IF(N$12-$F44&lt;=24,2,3),FALSE))*(1+IF('Traditional Attrition'!N166&gt;0,'Attrition Modeling'!$N$9,0))),0))</f>
        <v>0</v>
      </c>
      <c r="O44" s="799">
        <f>IF(O$12=$F44+1,IF(Monthly!K$4=TRUE,0,O$3),IF(O$12&gt;$F44+1,RentalsVacates!N44*(1-IF(O$12-$F44&lt;=12,SUMIFS('Attrition Modeling'!$D:$D,'Attrition Modeling'!$B:$B,$E44,'Attrition Modeling'!$C:$C,O$11),VLOOKUP(RentalsVacates!O$12-RentalsVacates!$F44-1,RentalsVacates!$A$8:$C$162,2,FALSE)*VLOOKUP(O$11,'Attrition Modeling'!$L$15:$N$27,IF(O$12-$F44&lt;=24,2,3),FALSE))*(1+IF('Traditional Attrition'!O166&gt;0,'Attrition Modeling'!$N$9,0))),0))</f>
        <v>0</v>
      </c>
      <c r="P44" s="799">
        <f>IF(P$12=$F44+1,IF(Monthly!L$4=TRUE,0,P$3),IF(P$12&gt;$F44+1,RentalsVacates!O44*(1-IF(P$12-$F44&lt;=12,SUMIFS('Attrition Modeling'!$D:$D,'Attrition Modeling'!$B:$B,$E44,'Attrition Modeling'!$C:$C,P$11),VLOOKUP(RentalsVacates!P$12-RentalsVacates!$F44-1,RentalsVacates!$A$8:$C$162,2,FALSE)*VLOOKUP(P$11,'Attrition Modeling'!$L$15:$N$27,IF(P$12-$F44&lt;=24,2,3),FALSE))*(1+IF('Traditional Attrition'!P166&gt;0,'Attrition Modeling'!$N$9,0))),0))</f>
        <v>0</v>
      </c>
      <c r="Q44" s="799">
        <f>IF(Q$12=$F44+1,IF(Monthly!M$4=TRUE,0,Q$3),IF(Q$12&gt;$F44+1,RentalsVacates!P44*(1-IF(Q$12-$F44&lt;=12,SUMIFS('Attrition Modeling'!$D:$D,'Attrition Modeling'!$B:$B,$E44,'Attrition Modeling'!$C:$C,Q$11),VLOOKUP(RentalsVacates!Q$12-RentalsVacates!$F44-1,RentalsVacates!$A$8:$C$162,2,FALSE)*VLOOKUP(Q$11,'Attrition Modeling'!$L$15:$N$27,IF(Q$12-$F44&lt;=24,2,3),FALSE))*(1+IF('Traditional Attrition'!Q166&gt;0,'Attrition Modeling'!$N$9,0))),0))</f>
        <v>0</v>
      </c>
      <c r="R44" s="799">
        <f>IF(R$12=$F44+1,IF(Monthly!N$4=TRUE,0,R$3),IF(R$12&gt;$F44+1,RentalsVacates!Q44*(1-IF(R$12-$F44&lt;=12,SUMIFS('Attrition Modeling'!$D:$D,'Attrition Modeling'!$B:$B,$E44,'Attrition Modeling'!$C:$C,R$11),VLOOKUP(RentalsVacates!R$12-RentalsVacates!$F44-1,RentalsVacates!$A$8:$C$162,2,FALSE)*VLOOKUP(R$11,'Attrition Modeling'!$L$15:$N$27,IF(R$12-$F44&lt;=24,2,3),FALSE))*(1+IF('Traditional Attrition'!R166&gt;0,'Attrition Modeling'!$N$9,0))),0))</f>
        <v>0</v>
      </c>
      <c r="S44" s="799">
        <f>IF(S$12=$F44+1,IF(Monthly!O$4=TRUE,0,S$3),IF(S$12&gt;$F44+1,RentalsVacates!R44*(1-IF(S$12-$F44&lt;=12,SUMIFS('Attrition Modeling'!$D:$D,'Attrition Modeling'!$B:$B,$E44,'Attrition Modeling'!$C:$C,S$11),VLOOKUP(RentalsVacates!S$12-RentalsVacates!$F44-1,RentalsVacates!$A$8:$C$162,2,FALSE)*VLOOKUP(S$11,'Attrition Modeling'!$L$15:$N$27,IF(S$12-$F44&lt;=24,2,3),FALSE))*(1+IF('Traditional Attrition'!S166&gt;0,'Attrition Modeling'!$N$9,0))),0))</f>
        <v>0</v>
      </c>
      <c r="T44" s="799">
        <f>IF(T$12=$F44+1,IF(Monthly!P$4=TRUE,0,T$3),IF(T$12&gt;$F44+1,RentalsVacates!S44*(1-IF(T$12-$F44&lt;=12,SUMIFS('Attrition Modeling'!$D:$D,'Attrition Modeling'!$B:$B,$E44,'Attrition Modeling'!$C:$C,T$11),VLOOKUP(RentalsVacates!T$12-RentalsVacates!$F44-1,RentalsVacates!$A$8:$C$162,2,FALSE)*VLOOKUP(T$11,'Attrition Modeling'!$L$15:$N$27,IF(T$12-$F44&lt;=24,2,3),FALSE))*(1+IF('Traditional Attrition'!T166&gt;0,'Attrition Modeling'!$N$9,0))),0))</f>
        <v>0</v>
      </c>
      <c r="U44" s="799">
        <f>IF(U$12=$F44+1,IF(Monthly!Q$4=TRUE,0,U$3),IF(U$12&gt;$F44+1,RentalsVacates!T44*(1-IF(U$12-$F44&lt;=12,SUMIFS('Attrition Modeling'!$D:$D,'Attrition Modeling'!$B:$B,$E44,'Attrition Modeling'!$C:$C,U$11),VLOOKUP(RentalsVacates!U$12-RentalsVacates!$F44-1,RentalsVacates!$A$8:$C$162,2,FALSE)*VLOOKUP(U$11,'Attrition Modeling'!$L$15:$N$27,IF(U$12-$F44&lt;=24,2,3),FALSE))*(1+IF('Traditional Attrition'!U166&gt;0,'Attrition Modeling'!$N$9,0))),0))</f>
        <v>0</v>
      </c>
      <c r="V44" s="799">
        <f>IF(V$12=$F44+1,IF(Monthly!R$4=TRUE,0,V$3),IF(V$12&gt;$F44+1,RentalsVacates!U44*(1-IF(V$12-$F44&lt;=12,SUMIFS('Attrition Modeling'!$D:$D,'Attrition Modeling'!$B:$B,$E44,'Attrition Modeling'!$C:$C,V$11),VLOOKUP(RentalsVacates!V$12-RentalsVacates!$F44-1,RentalsVacates!$A$8:$C$162,2,FALSE)*VLOOKUP(V$11,'Attrition Modeling'!$L$15:$N$27,IF(V$12-$F44&lt;=24,2,3),FALSE))*(1+IF('Traditional Attrition'!V166&gt;0,'Attrition Modeling'!$N$9,0))),0))</f>
        <v>0</v>
      </c>
      <c r="W44" s="799">
        <f>IF(W$12=$F44+1,IF(Monthly!S$4=TRUE,0,W$3),IF(W$12&gt;$F44+1,RentalsVacates!V44*(1-IF(W$12-$F44&lt;=12,SUMIFS('Attrition Modeling'!$D:$D,'Attrition Modeling'!$B:$B,$E44,'Attrition Modeling'!$C:$C,W$11),VLOOKUP(RentalsVacates!W$12-RentalsVacates!$F44-1,RentalsVacates!$A$8:$C$162,2,FALSE)*VLOOKUP(W$11,'Attrition Modeling'!$L$15:$N$27,IF(W$12-$F44&lt;=24,2,3),FALSE))*(1+IF('Traditional Attrition'!W166&gt;0,'Attrition Modeling'!$N$9,0))),0))</f>
        <v>0</v>
      </c>
      <c r="X44" s="799">
        <f>IF(X$12=$F44+1,IF(Monthly!T$4=TRUE,0,X$3),IF(X$12&gt;$F44+1,RentalsVacates!W44*(1-IF(X$12-$F44&lt;=12,SUMIFS('Attrition Modeling'!$D:$D,'Attrition Modeling'!$B:$B,$E44,'Attrition Modeling'!$C:$C,X$11),VLOOKUP(RentalsVacates!X$12-RentalsVacates!$F44-1,RentalsVacates!$A$8:$C$162,2,FALSE)*VLOOKUP(X$11,'Attrition Modeling'!$L$15:$N$27,IF(X$12-$F44&lt;=24,2,3),FALSE))*(1+IF('Traditional Attrition'!X166&gt;0,'Attrition Modeling'!$N$9,0))),0))</f>
        <v>0</v>
      </c>
      <c r="Y44" s="799">
        <f>IF(Y$12=$F44+1,IF(Monthly!U$4=TRUE,0,Y$3),IF(Y$12&gt;$F44+1,RentalsVacates!X44*(1-IF(Y$12-$F44&lt;=12,SUMIFS('Attrition Modeling'!$D:$D,'Attrition Modeling'!$B:$B,$E44,'Attrition Modeling'!$C:$C,Y$11),VLOOKUP(RentalsVacates!Y$12-RentalsVacates!$F44-1,RentalsVacates!$A$8:$C$162,2,FALSE)*VLOOKUP(Y$11,'Attrition Modeling'!$L$15:$N$27,IF(Y$12-$F44&lt;=24,2,3),FALSE))*(1+IF('Traditional Attrition'!Y166&gt;0,'Attrition Modeling'!$N$9,0))),0))</f>
        <v>0</v>
      </c>
      <c r="Z44" s="799">
        <f>IF(Z$12=$F44+1,IF(Monthly!V$4=TRUE,0,Z$3),IF(Z$12&gt;$F44+1,RentalsVacates!Y44*(1-IF(Z$12-$F44&lt;=12,SUMIFS('Attrition Modeling'!$D:$D,'Attrition Modeling'!$B:$B,$E44,'Attrition Modeling'!$C:$C,Z$11),VLOOKUP(RentalsVacates!Z$12-RentalsVacates!$F44-1,RentalsVacates!$A$8:$C$162,2,FALSE)*VLOOKUP(Z$11,'Attrition Modeling'!$L$15:$N$27,IF(Z$12-$F44&lt;=24,2,3),FALSE))*(1+IF('Traditional Attrition'!Z166&gt;0,'Attrition Modeling'!$N$9,0))),0))</f>
        <v>0</v>
      </c>
      <c r="AA44" s="799">
        <f>IF(AA$12=$F44+1,IF(Monthly!W$4=TRUE,0,AA$3),IF(AA$12&gt;$F44+1,RentalsVacates!Z44*(1-IF(AA$12-$F44&lt;=12,SUMIFS('Attrition Modeling'!$D:$D,'Attrition Modeling'!$B:$B,$E44,'Attrition Modeling'!$C:$C,AA$11),VLOOKUP(RentalsVacates!AA$12-RentalsVacates!$F44-1,RentalsVacates!$A$8:$C$162,2,FALSE)*VLOOKUP(AA$11,'Attrition Modeling'!$L$15:$N$27,IF(AA$12-$F44&lt;=24,2,3),FALSE))*(1+IF('Traditional Attrition'!AA166&gt;0,'Attrition Modeling'!$N$9,0))),0))</f>
        <v>0</v>
      </c>
      <c r="AB44" s="799">
        <f>IF(AB$12=$F44+1,IF(Monthly!X$4=TRUE,0,AB$3),IF(AB$12&gt;$F44+1,RentalsVacates!AA44*(1-IF(AB$12-$F44&lt;=12,SUMIFS('Attrition Modeling'!$D:$D,'Attrition Modeling'!$B:$B,$E44,'Attrition Modeling'!$C:$C,AB$11),VLOOKUP(RentalsVacates!AB$12-RentalsVacates!$F44-1,RentalsVacates!$A$8:$C$162,2,FALSE)*VLOOKUP(AB$11,'Attrition Modeling'!$L$15:$N$27,IF(AB$12-$F44&lt;=24,2,3),FALSE))*(1+IF('Traditional Attrition'!AB166&gt;0,'Attrition Modeling'!$N$9,0))),0))</f>
        <v>0</v>
      </c>
      <c r="AC44" s="799">
        <f>IF(AC$12=$F44+1,IF(Monthly!Y$4=TRUE,0,AC$3),IF(AC$12&gt;$F44+1,RentalsVacates!AB44*(1-IF(AC$12-$F44&lt;=12,SUMIFS('Attrition Modeling'!$D:$D,'Attrition Modeling'!$B:$B,$E44,'Attrition Modeling'!$C:$C,AC$11),VLOOKUP(RentalsVacates!AC$12-RentalsVacates!$F44-1,RentalsVacates!$A$8:$C$162,2,FALSE)*VLOOKUP(AC$11,'Attrition Modeling'!$L$15:$N$27,IF(AC$12-$F44&lt;=24,2,3),FALSE))*(1+IF('Traditional Attrition'!AC166&gt;0,'Attrition Modeling'!$N$9,0))),0))</f>
        <v>0</v>
      </c>
      <c r="AD44" s="799">
        <f>IF(AD$12=$F44+1,IF(Monthly!Z$4=TRUE,0,AD$3),IF(AD$12&gt;$F44+1,RentalsVacates!AC44*(1-IF(AD$12-$F44&lt;=12,SUMIFS('Attrition Modeling'!$D:$D,'Attrition Modeling'!$B:$B,$E44,'Attrition Modeling'!$C:$C,AD$11),VLOOKUP(RentalsVacates!AD$12-RentalsVacates!$F44-1,RentalsVacates!$A$8:$C$162,2,FALSE)*VLOOKUP(AD$11,'Attrition Modeling'!$L$15:$N$27,IF(AD$12-$F44&lt;=24,2,3),FALSE))*(1+IF('Traditional Attrition'!AD166&gt;0,'Attrition Modeling'!$N$9,0))),0))</f>
        <v>0</v>
      </c>
      <c r="AE44" s="799">
        <f>IF(AE$12=$F44+1,IF(Monthly!AA$4=TRUE,0,AE$3),IF(AE$12&gt;$F44+1,RentalsVacates!AD44*(1-IF(AE$12-$F44&lt;=12,SUMIFS('Attrition Modeling'!$D:$D,'Attrition Modeling'!$B:$B,$E44,'Attrition Modeling'!$C:$C,AE$11),VLOOKUP(RentalsVacates!AE$12-RentalsVacates!$F44-1,RentalsVacates!$A$8:$C$162,2,FALSE)*VLOOKUP(AE$11,'Attrition Modeling'!$L$15:$N$27,IF(AE$12-$F44&lt;=24,2,3),FALSE))*(1+IF('Traditional Attrition'!AE166&gt;0,'Attrition Modeling'!$N$9,0))),0))</f>
        <v>0</v>
      </c>
      <c r="AF44" s="799">
        <f>IF(AF$12=$F44+1,IF(Monthly!AB$4=TRUE,0,AF$3),IF(AF$12&gt;$F44+1,RentalsVacates!AE44*(1-IF(AF$12-$F44&lt;=12,SUMIFS('Attrition Modeling'!$D:$D,'Attrition Modeling'!$B:$B,$E44,'Attrition Modeling'!$C:$C,AF$11),VLOOKUP(RentalsVacates!AF$12-RentalsVacates!$F44-1,RentalsVacates!$A$8:$C$162,2,FALSE)*VLOOKUP(AF$11,'Attrition Modeling'!$L$15:$N$27,IF(AF$12-$F44&lt;=24,2,3),FALSE))*(1+IF('Traditional Attrition'!AF166&gt;0,'Attrition Modeling'!$N$9,0))),0))</f>
        <v>0</v>
      </c>
      <c r="AG44" s="799">
        <f>IF(AG$12=$F44+1,IF(Monthly!AC$4=TRUE,0,AG$3),IF(AG$12&gt;$F44+1,RentalsVacates!AF44*(1-IF(AG$12-$F44&lt;=12,SUMIFS('Attrition Modeling'!$D:$D,'Attrition Modeling'!$B:$B,$E44,'Attrition Modeling'!$C:$C,AG$11),VLOOKUP(RentalsVacates!AG$12-RentalsVacates!$F44-1,RentalsVacates!$A$8:$C$162,2,FALSE)*VLOOKUP(AG$11,'Attrition Modeling'!$L$15:$N$27,IF(AG$12-$F44&lt;=24,2,3),FALSE))*(1+IF('Traditional Attrition'!AG166&gt;0,'Attrition Modeling'!$N$9,0))),0))</f>
        <v>0</v>
      </c>
      <c r="AH44" s="799">
        <f>IF(AH$12=$F44+1,IF(Monthly!AD$4=TRUE,0,AH$3),IF(AH$12&gt;$F44+1,RentalsVacates!AG44*(1-IF(AH$12-$F44&lt;=12,SUMIFS('Attrition Modeling'!$D:$D,'Attrition Modeling'!$B:$B,$E44,'Attrition Modeling'!$C:$C,AH$11),VLOOKUP(RentalsVacates!AH$12-RentalsVacates!$F44-1,RentalsVacates!$A$8:$C$162,2,FALSE)*VLOOKUP(AH$11,'Attrition Modeling'!$L$15:$N$27,IF(AH$12-$F44&lt;=24,2,3),FALSE))*(1+IF('Traditional Attrition'!AH166&gt;0,'Attrition Modeling'!$N$9,0))),0))</f>
        <v>0</v>
      </c>
      <c r="AI44" s="799">
        <f>IF(AI$12=$F44+1,IF(Monthly!AE$4=TRUE,0,AI$3),IF(AI$12&gt;$F44+1,RentalsVacates!AH44*(1-IF(AI$12-$F44&lt;=12,SUMIFS('Attrition Modeling'!$D:$D,'Attrition Modeling'!$B:$B,$E44,'Attrition Modeling'!$C:$C,AI$11),VLOOKUP(RentalsVacates!AI$12-RentalsVacates!$F44-1,RentalsVacates!$A$8:$C$162,2,FALSE)*VLOOKUP(AI$11,'Attrition Modeling'!$L$15:$N$27,IF(AI$12-$F44&lt;=24,2,3),FALSE))*(1+IF('Traditional Attrition'!AI166&gt;0,'Attrition Modeling'!$N$9,0))),0))</f>
        <v>0</v>
      </c>
      <c r="AJ44" s="799">
        <f>IF(AJ$12=$F44+1,IF(Monthly!AF$4=TRUE,0,AJ$3),IF(AJ$12&gt;$F44+1,RentalsVacates!AI44*(1-IF(AJ$12-$F44&lt;=12,SUMIFS('Attrition Modeling'!$D:$D,'Attrition Modeling'!$B:$B,$E44,'Attrition Modeling'!$C:$C,AJ$11),VLOOKUP(RentalsVacates!AJ$12-RentalsVacates!$F44-1,RentalsVacates!$A$8:$C$162,2,FALSE)*VLOOKUP(AJ$11,'Attrition Modeling'!$L$15:$N$27,IF(AJ$12-$F44&lt;=24,2,3),FALSE))*(1+IF('Traditional Attrition'!AJ166&gt;0,'Attrition Modeling'!$N$9,0))),0))</f>
        <v>0</v>
      </c>
      <c r="AK44" s="799">
        <f>IF(AK$12=$F44+1,IF(Monthly!AG$4=TRUE,0,AK$3),IF(AK$12&gt;$F44+1,RentalsVacates!AJ44*(1-IF(AK$12-$F44&lt;=12,SUMIFS('Attrition Modeling'!$D:$D,'Attrition Modeling'!$B:$B,$E44,'Attrition Modeling'!$C:$C,AK$11),VLOOKUP(RentalsVacates!AK$12-RentalsVacates!$F44-1,RentalsVacates!$A$8:$C$162,2,FALSE)*VLOOKUP(AK$11,'Attrition Modeling'!$L$15:$N$27,IF(AK$12-$F44&lt;=24,2,3),FALSE))*(1+IF('Traditional Attrition'!AK166&gt;0,'Attrition Modeling'!$N$9,0))),0))</f>
        <v>0</v>
      </c>
      <c r="AL44" s="799">
        <f>IF(AL$12=$F44+1,IF(Monthly!AH$4=TRUE,0,AL$3),IF(AL$12&gt;$F44+1,RentalsVacates!AK44*(1-IF(AL$12-$F44&lt;=12,SUMIFS('Attrition Modeling'!$D:$D,'Attrition Modeling'!$B:$B,$E44,'Attrition Modeling'!$C:$C,AL$11),VLOOKUP(RentalsVacates!AL$12-RentalsVacates!$F44-1,RentalsVacates!$A$8:$C$162,2,FALSE)*VLOOKUP(AL$11,'Attrition Modeling'!$L$15:$N$27,IF(AL$12-$F44&lt;=24,2,3),FALSE))*(1+IF('Traditional Attrition'!AL166&gt;0,'Attrition Modeling'!$N$9,0))),0))</f>
        <v>0</v>
      </c>
      <c r="AM44" s="799">
        <f>IF(AM$12=$F44+1,IF(Monthly!AI$4=TRUE,0,AM$3),IF(AM$12&gt;$F44+1,RentalsVacates!AL44*(1-IF(AM$12-$F44&lt;=12,SUMIFS('Attrition Modeling'!$D:$D,'Attrition Modeling'!$B:$B,$E44,'Attrition Modeling'!$C:$C,AM$11),VLOOKUP(RentalsVacates!AM$12-RentalsVacates!$F44-1,RentalsVacates!$A$8:$C$162,2,FALSE)*VLOOKUP(AM$11,'Attrition Modeling'!$L$15:$N$27,IF(AM$12-$F44&lt;=24,2,3),FALSE))*(1+IF('Traditional Attrition'!AM166&gt;0,'Attrition Modeling'!$N$9,0))),0))</f>
        <v>8737.785224895837</v>
      </c>
      <c r="AN44" s="799">
        <f>IF(AN$12=$F44+1,IF(Monthly!AJ$4=TRUE,0,AN$3),IF(AN$12&gt;$F44+1,RentalsVacates!AM44*(1-IF(AN$12-$F44&lt;=12,SUMIFS('Attrition Modeling'!$D:$D,'Attrition Modeling'!$B:$B,$E44,'Attrition Modeling'!$C:$C,AN$11),VLOOKUP(RentalsVacates!AN$12-RentalsVacates!$F44-1,RentalsVacates!$A$8:$C$162,2,FALSE)*VLOOKUP(AN$11,'Attrition Modeling'!$L$15:$N$27,IF(AN$12-$F44&lt;=24,2,3),FALSE))*(1+IF('Traditional Attrition'!AN166&gt;0,'Attrition Modeling'!$N$9,0))),0))</f>
        <v>7738.2970601542002</v>
      </c>
      <c r="AO44" s="799">
        <f>IF(AO$12=$F44+1,IF(Monthly!AK$4=TRUE,0,AO$3),IF(AO$12&gt;$F44+1,RentalsVacates!AN44*(1-IF(AO$12-$F44&lt;=12,SUMIFS('Attrition Modeling'!$D:$D,'Attrition Modeling'!$B:$B,$E44,'Attrition Modeling'!$C:$C,AO$11),VLOOKUP(RentalsVacates!AO$12-RentalsVacates!$F44-1,RentalsVacates!$A$8:$C$162,2,FALSE)*VLOOKUP(AO$11,'Attrition Modeling'!$L$15:$N$27,IF(AO$12-$F44&lt;=24,2,3),FALSE))*(1+IF('Traditional Attrition'!AO166&gt;0,'Attrition Modeling'!$N$9,0))),0))</f>
        <v>6988.657502897734</v>
      </c>
      <c r="AP44" s="799">
        <f>IF(AP$12=$F44+1,IF(Monthly!AL$4=TRUE,0,AP$3),IF(AP$12&gt;$F44+1,RentalsVacates!AO44*(1-IF(AP$12-$F44&lt;=12,SUMIFS('Attrition Modeling'!$D:$D,'Attrition Modeling'!$B:$B,$E44,'Attrition Modeling'!$C:$C,AP$11),VLOOKUP(RentalsVacates!AP$12-RentalsVacates!$F44-1,RentalsVacates!$A$8:$C$162,2,FALSE)*VLOOKUP(AP$11,'Attrition Modeling'!$L$15:$N$27,IF(AP$12-$F44&lt;=24,2,3),FALSE))*(1+IF('Traditional Attrition'!AP166&gt;0,'Attrition Modeling'!$N$9,0))),0))</f>
        <v>6350.4053575426433</v>
      </c>
      <c r="AQ44" s="799">
        <f>IF(AQ$12=$F44+1,IF(Monthly!AM$4=TRUE,0,AQ$3),IF(AQ$12&gt;$F44+1,RentalsVacates!AP44*(1-IF(AQ$12-$F44&lt;=12,SUMIFS('Attrition Modeling'!$D:$D,'Attrition Modeling'!$B:$B,$E44,'Attrition Modeling'!$C:$C,AQ$11),VLOOKUP(RentalsVacates!AQ$12-RentalsVacates!$F44-1,RentalsVacates!$A$8:$C$162,2,FALSE)*VLOOKUP(AQ$11,'Attrition Modeling'!$L$15:$N$27,IF(AQ$12-$F44&lt;=24,2,3),FALSE))*(1+IF('Traditional Attrition'!AQ166&gt;0,'Attrition Modeling'!$N$9,0))),0))</f>
        <v>5834.763238199288</v>
      </c>
      <c r="AR44" s="799">
        <f>IF(AR$12=$F44+1,IF(Monthly!AN$4=TRUE,0,AR$3),IF(AR$12&gt;$F44+1,RentalsVacates!AQ44*(1-IF(AR$12-$F44&lt;=12,SUMIFS('Attrition Modeling'!$D:$D,'Attrition Modeling'!$B:$B,$E44,'Attrition Modeling'!$C:$C,AR$11),VLOOKUP(RentalsVacates!AR$12-RentalsVacates!$F44-1,RentalsVacates!$A$8:$C$162,2,FALSE)*VLOOKUP(AR$11,'Attrition Modeling'!$L$15:$N$27,IF(AR$12-$F44&lt;=24,2,3),FALSE))*(1+IF('Traditional Attrition'!AR166&gt;0,'Attrition Modeling'!$N$9,0))),0))</f>
        <v>5292.8366601624766</v>
      </c>
      <c r="AS44" s="799">
        <f>IF(AS$12=$F44+1,IF(Monthly!AO$4=TRUE,0,AS$3),IF(AS$12&gt;$F44+1,RentalsVacates!AR44*(1-IF(AS$12-$F44&lt;=12,SUMIFS('Attrition Modeling'!$D:$D,'Attrition Modeling'!$B:$B,$E44,'Attrition Modeling'!$C:$C,AS$11),VLOOKUP(RentalsVacates!AS$12-RentalsVacates!$F44-1,RentalsVacates!$A$8:$C$162,2,FALSE)*VLOOKUP(AS$11,'Attrition Modeling'!$L$15:$N$27,IF(AS$12-$F44&lt;=24,2,3),FALSE))*(1+IF('Traditional Attrition'!AS166&gt;0,'Attrition Modeling'!$N$9,0))),0))</f>
        <v>4959.0631821147736</v>
      </c>
      <c r="AT44" s="799">
        <f>IF(AT$12=$F44+1,IF(Monthly!AP$4=TRUE,0,AT$3),IF(AT$12&gt;$F44+1,RentalsVacates!AS44*(1-IF(AT$12-$F44&lt;=12,SUMIFS('Attrition Modeling'!$D:$D,'Attrition Modeling'!$B:$B,$E44,'Attrition Modeling'!$C:$C,AT$11),VLOOKUP(RentalsVacates!AT$12-RentalsVacates!$F44-1,RentalsVacates!$A$8:$C$162,2,FALSE)*VLOOKUP(AT$11,'Attrition Modeling'!$L$15:$N$27,IF(AT$12-$F44&lt;=24,2,3),FALSE))*(1+IF('Traditional Attrition'!AT166&gt;0,'Attrition Modeling'!$N$9,0))),0))</f>
        <v>4636.6488462888401</v>
      </c>
      <c r="AU44" s="799">
        <f>IF(AU$12=$F44+1,IF(Monthly!AQ$4=TRUE,0,AU$3),IF(AU$12&gt;$F44+1,RentalsVacates!AT44*(1-IF(AU$12-$F44&lt;=12,SUMIFS('Attrition Modeling'!$D:$D,'Attrition Modeling'!$B:$B,$E44,'Attrition Modeling'!$C:$C,AU$11),VLOOKUP(RentalsVacates!AU$12-RentalsVacates!$F44-1,RentalsVacates!$A$8:$C$162,2,FALSE)*VLOOKUP(AU$11,'Attrition Modeling'!$L$15:$N$27,IF(AU$12-$F44&lt;=24,2,3),FALSE))*(1+IF('Traditional Attrition'!AU166&gt;0,'Attrition Modeling'!$N$9,0))),0))</f>
        <v>4358.7915901649922</v>
      </c>
      <c r="AV44" s="799">
        <f>IF(AV$12=$F44+1,IF(Monthly!AR$4=TRUE,0,AV$3),IF(AV$12&gt;$F44+1,RentalsVacates!AU44*(1-IF(AV$12-$F44&lt;=12,SUMIFS('Attrition Modeling'!$D:$D,'Attrition Modeling'!$B:$B,$E44,'Attrition Modeling'!$C:$C,AV$11),VLOOKUP(RentalsVacates!AV$12-RentalsVacates!$F44-1,RentalsVacates!$A$8:$C$162,2,FALSE)*VLOOKUP(AV$11,'Attrition Modeling'!$L$15:$N$27,IF(AV$12-$F44&lt;=24,2,3),FALSE))*(1+IF('Traditional Attrition'!AV166&gt;0,'Attrition Modeling'!$N$9,0))),0))</f>
        <v>4116.2179948695139</v>
      </c>
      <c r="AW44" s="799">
        <f>IF(AW$12=$F44+1,IF(Monthly!AS$4=TRUE,0,AW$3),IF(AW$12&gt;$F44+1,RentalsVacates!AV44*(1-IF(AW$12-$F44&lt;=12,SUMIFS('Attrition Modeling'!$D:$D,'Attrition Modeling'!$B:$B,$E44,'Attrition Modeling'!$C:$C,AW$11),VLOOKUP(RentalsVacates!AW$12-RentalsVacates!$F44-1,RentalsVacates!$A$8:$C$162,2,FALSE)*VLOOKUP(AW$11,'Attrition Modeling'!$L$15:$N$27,IF(AW$12-$F44&lt;=24,2,3),FALSE))*(1+IF('Traditional Attrition'!AW166&gt;0,'Attrition Modeling'!$N$9,0))),0))</f>
        <v>3860.3680852605071</v>
      </c>
      <c r="AX44" s="799">
        <f>IF(AX$12=$F44+1,IF(Monthly!AT$4=TRUE,0,AX$3),IF(AX$12&gt;$F44+1,RentalsVacates!AW44*(1-IF(AX$12-$F44&lt;=12,SUMIFS('Attrition Modeling'!$D:$D,'Attrition Modeling'!$B:$B,$E44,'Attrition Modeling'!$C:$C,AX$11),VLOOKUP(RentalsVacates!AX$12-RentalsVacates!$F44-1,RentalsVacates!$A$8:$C$162,2,FALSE)*VLOOKUP(AX$11,'Attrition Modeling'!$L$15:$N$27,IF(AX$12-$F44&lt;=24,2,3),FALSE))*(1+IF('Traditional Attrition'!AX166&gt;0,'Attrition Modeling'!$N$9,0))),0))</f>
        <v>3732.225444287455</v>
      </c>
      <c r="AY44" s="799">
        <f>IF(AY$12=$F44+1,IF(Monthly!AU$4=TRUE,0,AY$3),IF(AY$12&gt;$F44+1,RentalsVacates!AX44*(1-IF(AY$12-$F44&lt;=12,SUMIFS('Attrition Modeling'!$D:$D,'Attrition Modeling'!$B:$B,$E44,'Attrition Modeling'!$C:$C,AY$11),VLOOKUP(RentalsVacates!AY$12-RentalsVacates!$F44-1,RentalsVacates!$A$8:$C$162,2,FALSE)*VLOOKUP(AY$11,'Attrition Modeling'!$L$15:$N$27,IF(AY$12-$F44&lt;=24,2,3),FALSE))*(1+IF('Traditional Attrition'!AY166&gt;0,'Attrition Modeling'!$N$9,0))),0))</f>
        <v>3506.1789808347717</v>
      </c>
      <c r="AZ44" s="799">
        <f>IF(AZ$12=$F44+1,IF(Monthly!AV$4=TRUE,0,AZ$3),IF(AZ$12&gt;$F44+1,RentalsVacates!AY44*(1-IF(AZ$12-$F44&lt;=12,SUMIFS('Attrition Modeling'!$D:$D,'Attrition Modeling'!$B:$B,$E44,'Attrition Modeling'!$C:$C,AZ$11),VLOOKUP(RentalsVacates!AZ$12-RentalsVacates!$F44-1,RentalsVacates!$A$8:$C$162,2,FALSE)*VLOOKUP(AZ$11,'Attrition Modeling'!$L$15:$N$27,IF(AZ$12-$F44&lt;=24,2,3),FALSE))*(1+IF('Traditional Attrition'!AZ166&gt;0,'Attrition Modeling'!$N$9,0))),0))</f>
        <v>3327.495029677309</v>
      </c>
      <c r="BA44" s="799">
        <f>IF(BA$12=$F44+1,IF(Monthly!AW$4=TRUE,0,BA$3),IF(BA$12&gt;$F44+1,RentalsVacates!AZ44*(1-IF(BA$12-$F44&lt;=12,SUMIFS('Attrition Modeling'!$D:$D,'Attrition Modeling'!$B:$B,$E44,'Attrition Modeling'!$C:$C,BA$11),VLOOKUP(RentalsVacates!BA$12-RentalsVacates!$F44-1,RentalsVacates!$A$8:$C$162,2,FALSE)*VLOOKUP(BA$11,'Attrition Modeling'!$L$15:$N$27,IF(BA$12-$F44&lt;=24,2,3),FALSE))*(1+IF('Traditional Attrition'!BA166&gt;0,'Attrition Modeling'!$N$9,0))),0))</f>
        <v>3162.4892738871063</v>
      </c>
      <c r="BB44" s="799">
        <f>IF(BB$12=$F44+1,IF(Monthly!AX$4=TRUE,0,BB$3),IF(BB$12&gt;$F44+1,RentalsVacates!BA44*(1-IF(BB$12-$F44&lt;=12,SUMIFS('Attrition Modeling'!$D:$D,'Attrition Modeling'!$B:$B,$E44,'Attrition Modeling'!$C:$C,BB$11),VLOOKUP(RentalsVacates!BB$12-RentalsVacates!$F44-1,RentalsVacates!$A$8:$C$162,2,FALSE)*VLOOKUP(BB$11,'Attrition Modeling'!$L$15:$N$27,IF(BB$12-$F44&lt;=24,2,3),FALSE))*(1+IF('Traditional Attrition'!BB166&gt;0,'Attrition Modeling'!$N$9,0))),0))</f>
        <v>3017.137564799355</v>
      </c>
      <c r="BC44" s="799">
        <f>IF(BC$12=$F44+1,IF(Monthly!AY$4=TRUE,0,BC$3),IF(BC$12&gt;$F44+1,RentalsVacates!BB44*(1-IF(BC$12-$F44&lt;=12,SUMIFS('Attrition Modeling'!$D:$D,'Attrition Modeling'!$B:$B,$E44,'Attrition Modeling'!$C:$C,BC$11),VLOOKUP(RentalsVacates!BC$12-RentalsVacates!$F44-1,RentalsVacates!$A$8:$C$162,2,FALSE)*VLOOKUP(BC$11,'Attrition Modeling'!$L$15:$N$27,IF(BC$12-$F44&lt;=24,2,3),FALSE))*(1+IF('Traditional Attrition'!BC166&gt;0,'Attrition Modeling'!$N$9,0))),0))</f>
        <v>2883.9585535683032</v>
      </c>
      <c r="BD44" s="799">
        <f>IF(BD$12=$F44+1,IF(Monthly!AZ$4=TRUE,0,BD$3),IF(BD$12&gt;$F44+1,RentalsVacates!BC44*(1-IF(BD$12-$F44&lt;=12,SUMIFS('Attrition Modeling'!$D:$D,'Attrition Modeling'!$B:$B,$E44,'Attrition Modeling'!$C:$C,BD$11),VLOOKUP(RentalsVacates!BD$12-RentalsVacates!$F44-1,RentalsVacates!$A$8:$C$162,2,FALSE)*VLOOKUP(BD$11,'Attrition Modeling'!$L$15:$N$27,IF(BD$12-$F44&lt;=24,2,3),FALSE))*(1+IF('Traditional Attrition'!BD166&gt;0,'Attrition Modeling'!$N$9,0))),0))</f>
        <v>2734.8455573265774</v>
      </c>
      <c r="BE44" s="799">
        <f>IF(BE$12=$F44+1,IF(Monthly!BA$4=TRUE,0,BE$3),IF(BE$12&gt;$F44+1,RentalsVacates!BD44*(1-IF(BE$12-$F44&lt;=12,SUMIFS('Attrition Modeling'!$D:$D,'Attrition Modeling'!$B:$B,$E44,'Attrition Modeling'!$C:$C,BE$11),VLOOKUP(RentalsVacates!BE$12-RentalsVacates!$F44-1,RentalsVacates!$A$8:$C$162,2,FALSE)*VLOOKUP(BE$11,'Attrition Modeling'!$L$15:$N$27,IF(BE$12-$F44&lt;=24,2,3),FALSE))*(1+IF('Traditional Attrition'!BE166&gt;0,'Attrition Modeling'!$N$9,0))),0))</f>
        <v>2630.8265772421328</v>
      </c>
      <c r="BF44" s="799">
        <f>IF(BF$12=$F44+1,IF(Monthly!BB$4=TRUE,0,BF$3),IF(BF$12&gt;$F44+1,RentalsVacates!BE44*(1-IF(BF$12-$F44&lt;=12,SUMIFS('Attrition Modeling'!$D:$D,'Attrition Modeling'!$B:$B,$E44,'Attrition Modeling'!$C:$C,BF$11),VLOOKUP(RentalsVacates!BF$12-RentalsVacates!$F44-1,RentalsVacates!$A$8:$C$162,2,FALSE)*VLOOKUP(BF$11,'Attrition Modeling'!$L$15:$N$27,IF(BF$12-$F44&lt;=24,2,3),FALSE))*(1+IF('Traditional Attrition'!BF166&gt;0,'Attrition Modeling'!$N$9,0))),0))</f>
        <v>2523.9718519124285</v>
      </c>
      <c r="BG44" s="799">
        <f>IF(BG$12=$F44+1,IF(Monthly!BC$4=TRUE,0,BG$3),IF(BG$12&gt;$F44+1,RentalsVacates!BF44*(1-IF(BG$12-$F44&lt;=12,SUMIFS('Attrition Modeling'!$D:$D,'Attrition Modeling'!$B:$B,$E44,'Attrition Modeling'!$C:$C,BG$11),VLOOKUP(RentalsVacates!BG$12-RentalsVacates!$F44-1,RentalsVacates!$A$8:$C$162,2,FALSE)*VLOOKUP(BG$11,'Attrition Modeling'!$L$15:$N$27,IF(BG$12-$F44&lt;=24,2,3),FALSE))*(1+IF('Traditional Attrition'!BG166&gt;0,'Attrition Modeling'!$N$9,0))),0))</f>
        <v>2424.8986715676783</v>
      </c>
      <c r="BH44" s="799">
        <f>IF(BH$12=$F44+1,IF(Monthly!BD$4=TRUE,0,BH$3),IF(BH$12&gt;$F44+1,RentalsVacates!BG44*(1-IF(BH$12-$F44&lt;=12,SUMIFS('Attrition Modeling'!$D:$D,'Attrition Modeling'!$B:$B,$E44,'Attrition Modeling'!$C:$C,BH$11),VLOOKUP(RentalsVacates!BH$12-RentalsVacates!$F44-1,RentalsVacates!$A$8:$C$162,2,FALSE)*VLOOKUP(BH$11,'Attrition Modeling'!$L$15:$N$27,IF(BH$12-$F44&lt;=24,2,3),FALSE))*(1+IF('Traditional Attrition'!BH166&gt;0,'Attrition Modeling'!$N$9,0))),0))</f>
        <v>2331.8634964697558</v>
      </c>
      <c r="BI44" s="799">
        <f>IF(BI$12=$F44+1,IF(Monthly!BE$4=TRUE,0,BI$3),IF(BI$12&gt;$F44+1,RentalsVacates!BH44*(1-IF(BI$12-$F44&lt;=12,SUMIFS('Attrition Modeling'!$D:$D,'Attrition Modeling'!$B:$B,$E44,'Attrition Modeling'!$C:$C,BI$11),VLOOKUP(RentalsVacates!BI$12-RentalsVacates!$F44-1,RentalsVacates!$A$8:$C$162,2,FALSE)*VLOOKUP(BI$11,'Attrition Modeling'!$L$15:$N$27,IF(BI$12-$F44&lt;=24,2,3),FALSE))*(1+IF('Traditional Attrition'!BI166&gt;0,'Attrition Modeling'!$N$9,0))),0))</f>
        <v>2235.0447478379506</v>
      </c>
      <c r="BJ44" s="799">
        <f>IF(BJ$12=$F44+1,IF(Monthly!BF$4=TRUE,0,BJ$3),IF(BJ$12&gt;$F44+1,RentalsVacates!BI44*(1-IF(BJ$12-$F44&lt;=12,SUMIFS('Attrition Modeling'!$D:$D,'Attrition Modeling'!$B:$B,$E44,'Attrition Modeling'!$C:$C,BJ$11),VLOOKUP(RentalsVacates!BJ$12-RentalsVacates!$F44-1,RentalsVacates!$A$8:$C$162,2,FALSE)*VLOOKUP(BJ$11,'Attrition Modeling'!$L$15:$N$27,IF(BJ$12-$F44&lt;=24,2,3),FALSE))*(1+IF('Traditional Attrition'!BJ166&gt;0,'Attrition Modeling'!$N$9,0))),0))</f>
        <v>2141.3062387046284</v>
      </c>
      <c r="BK44" s="799">
        <f>IF(BK$12=$F44+1,IF(Monthly!BG$4=TRUE,0,BK$3),IF(BK$12&gt;$F44+1,RentalsVacates!BJ44*(1-IF(BK$12-$F44&lt;=12,SUMIFS('Attrition Modeling'!$D:$D,'Attrition Modeling'!$B:$B,$E44,'Attrition Modeling'!$C:$C,BK$11),VLOOKUP(RentalsVacates!BK$12-RentalsVacates!$F44-1,RentalsVacates!$A$8:$C$162,2,FALSE)*VLOOKUP(BK$11,'Attrition Modeling'!$L$15:$N$27,IF(BK$12-$F44&lt;=24,2,3),FALSE))*(1+IF('Traditional Attrition'!BK166&gt;0,'Attrition Modeling'!$N$9,0))),0))</f>
        <v>2047.8058123745263</v>
      </c>
      <c r="BL44" s="799">
        <f>IF(BL$12=$F44+1,IF(Monthly!BH$4=TRUE,0,BL$3),IF(BL$12&gt;$F44+1,RentalsVacates!BK44*(1-IF(BL$12-$F44&lt;=12,SUMIFS('Attrition Modeling'!$D:$D,'Attrition Modeling'!$B:$B,$E44,'Attrition Modeling'!$C:$C,BL$11),VLOOKUP(RentalsVacates!BL$12-RentalsVacates!$F44-1,RentalsVacates!$A$8:$C$162,2,FALSE)*VLOOKUP(BL$11,'Attrition Modeling'!$L$15:$N$27,IF(BL$12-$F44&lt;=24,2,3),FALSE))*(1+IF('Traditional Attrition'!BL166&gt;0,'Attrition Modeling'!$N$9,0))),0))</f>
        <v>1965.0024274678331</v>
      </c>
      <c r="BM44" s="799">
        <f>IF(BM$12=$F44+1,IF(Monthly!BI$4=TRUE,0,BM$3),IF(BM$12&gt;$F44+1,RentalsVacates!BL44*(1-IF(BM$12-$F44&lt;=12,SUMIFS('Attrition Modeling'!$D:$D,'Attrition Modeling'!$B:$B,$E44,'Attrition Modeling'!$C:$C,BM$11),VLOOKUP(RentalsVacates!BM$12-RentalsVacates!$F44-1,RentalsVacates!$A$8:$C$162,2,FALSE)*VLOOKUP(BM$11,'Attrition Modeling'!$L$15:$N$27,IF(BM$12-$F44&lt;=24,2,3),FALSE))*(1+IF('Traditional Attrition'!BM166&gt;0,'Attrition Modeling'!$N$9,0))),0))</f>
        <v>1889.3215159973031</v>
      </c>
      <c r="BN44" s="799">
        <f>IF(BN$12=$F44+1,IF(Monthly!BJ$4=TRUE,0,BN$3),IF(BN$12&gt;$F44+1,RentalsVacates!BM44*(1-IF(BN$12-$F44&lt;=12,SUMIFS('Attrition Modeling'!$D:$D,'Attrition Modeling'!$B:$B,$E44,'Attrition Modeling'!$C:$C,BN$11),VLOOKUP(RentalsVacates!BN$12-RentalsVacates!$F44-1,RentalsVacates!$A$8:$C$162,2,FALSE)*VLOOKUP(BN$11,'Attrition Modeling'!$L$15:$N$27,IF(BN$12-$F44&lt;=24,2,3),FALSE))*(1+IF('Traditional Attrition'!BN166&gt;0,'Attrition Modeling'!$N$9,0))),0))</f>
        <v>1819.1378193484629</v>
      </c>
      <c r="BO44" s="799">
        <f>IF(BO$12=$F44+1,IF(Monthly!BK$4=TRUE,0,BO$3),IF(BO$12&gt;$F44+1,RentalsVacates!BN44*(1-IF(BO$12-$F44&lt;=12,SUMIFS('Attrition Modeling'!$D:$D,'Attrition Modeling'!$B:$B,$E44,'Attrition Modeling'!$C:$C,BO$11),VLOOKUP(RentalsVacates!BO$12-RentalsVacates!$F44-1,RentalsVacates!$A$8:$C$162,2,FALSE)*VLOOKUP(BO$11,'Attrition Modeling'!$L$15:$N$27,IF(BO$12-$F44&lt;=24,2,3),FALSE))*(1+IF('Traditional Attrition'!BO166&gt;0,'Attrition Modeling'!$N$9,0))),0))</f>
        <v>1764.1656183326929</v>
      </c>
      <c r="BP44" s="799">
        <f>IF(BP$12=$F44+1,IF(Monthly!BL$4=TRUE,0,BP$3),IF(BP$12&gt;$F44+1,RentalsVacates!BO44*(1-IF(BP$12-$F44&lt;=12,SUMIFS('Attrition Modeling'!$D:$D,'Attrition Modeling'!$B:$B,$E44,'Attrition Modeling'!$C:$C,BP$11),VLOOKUP(RentalsVacates!BP$12-RentalsVacates!$F44-1,RentalsVacates!$A$8:$C$162,2,FALSE)*VLOOKUP(BP$11,'Attrition Modeling'!$L$15:$N$27,IF(BP$12-$F44&lt;=24,2,3),FALSE))*(1+IF('Traditional Attrition'!BP166&gt;0,'Attrition Modeling'!$N$9,0))),0))</f>
        <v>1705.8847791487303</v>
      </c>
      <c r="BQ44" s="799">
        <f>IF(BQ$12=$F44+1,IF(Monthly!BM$4=TRUE,0,BQ$3),IF(BQ$12&gt;$F44+1,RentalsVacates!BP44*(1-IF(BQ$12-$F44&lt;=12,SUMIFS('Attrition Modeling'!$D:$D,'Attrition Modeling'!$B:$B,$E44,'Attrition Modeling'!$C:$C,BQ$11),VLOOKUP(RentalsVacates!BQ$12-RentalsVacates!$F44-1,RentalsVacates!$A$8:$C$162,2,FALSE)*VLOOKUP(BQ$11,'Attrition Modeling'!$L$15:$N$27,IF(BQ$12-$F44&lt;=24,2,3),FALSE))*(1+IF('Traditional Attrition'!BQ166&gt;0,'Attrition Modeling'!$N$9,0))),0))</f>
        <v>1651.9658394241194</v>
      </c>
      <c r="BR44" s="799">
        <f>IF(BR$12=$F44+1,IF(Monthly!BN$4=TRUE,0,BR$3),IF(BR$12&gt;$F44+1,RentalsVacates!BQ44*(1-IF(BR$12-$F44&lt;=12,SUMIFS('Attrition Modeling'!$D:$D,'Attrition Modeling'!$B:$B,$E44,'Attrition Modeling'!$C:$C,BR$11),VLOOKUP(RentalsVacates!BR$12-RentalsVacates!$F44-1,RentalsVacates!$A$8:$C$162,2,FALSE)*VLOOKUP(BR$11,'Attrition Modeling'!$L$15:$N$27,IF(BR$12-$F44&lt;=24,2,3),FALSE))*(1+IF('Traditional Attrition'!BR166&gt;0,'Attrition Modeling'!$N$9,0))),0))</f>
        <v>1602.5449239419747</v>
      </c>
      <c r="BS44" s="799">
        <f>IF(BS$12=$F44+1,IF(Monthly!BO$4=TRUE,0,BS$3),IF(BS$12&gt;$F44+1,RentalsVacates!BR44*(1-IF(BS$12-$F44&lt;=12,SUMIFS('Attrition Modeling'!$D:$D,'Attrition Modeling'!$B:$B,$E44,'Attrition Modeling'!$C:$C,BS$11),VLOOKUP(RentalsVacates!BS$12-RentalsVacates!$F44-1,RentalsVacates!$A$8:$C$162,2,FALSE)*VLOOKUP(BS$11,'Attrition Modeling'!$L$15:$N$27,IF(BS$12-$F44&lt;=24,2,3),FALSE))*(1+IF('Traditional Attrition'!BS166&gt;0,'Attrition Modeling'!$N$9,0))),0))</f>
        <v>1564.8647710062514</v>
      </c>
      <c r="BT44" s="799">
        <f>IF(BT$11=$F43+1,IF(Monthly!#REF!=TRUE,0,BT$3),IF(BT$11&gt;$F43+1,RentalsVacates!BS43*(1-IF(BT$11-$F43&lt;=12,SUMIFS('Attrition Modeling'!$D:$D,'Attrition Modeling'!$B:$B,$E43,'Attrition Modeling'!$C:$C,BT$10),VLOOKUP(RentalsVacates!BT$11-RentalsVacates!$F43-1,RentalsVacates!$A$7:$C$161,2,FALSE)*VLOOKUP(BT$10,'Attrition Modeling'!$L$15:$N$27,IF(BT$11-$F43&lt;=24,2,3),FALSE))*(1+IF('Traditional Attrition'!BT166&gt;0,'Attrition Modeling'!$N$9,0))),0))</f>
        <v>0</v>
      </c>
      <c r="BU44" s="799">
        <f>IF(BU$11=$F43+1,IF(Monthly!#REF!=TRUE,0,BU$3),IF(BU$11&gt;$F43+1,RentalsVacates!BT43*(1-IF(BU$11-$F43&lt;=12,SUMIFS('Attrition Modeling'!$D:$D,'Attrition Modeling'!$B:$B,$E43,'Attrition Modeling'!$C:$C,BU$10),VLOOKUP(RentalsVacates!BU$11-RentalsVacates!$F43-1,RentalsVacates!$A$7:$C$161,2,FALSE)*VLOOKUP(BU$10,'Attrition Modeling'!$L$15:$N$27,IF(BU$11-$F43&lt;=24,2,3),FALSE))*(1+IF('Traditional Attrition'!BU166&gt;0,'Attrition Modeling'!$N$9,0))),0))</f>
        <v>0</v>
      </c>
    </row>
    <row r="45" spans="1:73" ht="14.25" customHeight="1" x14ac:dyDescent="0.2">
      <c r="A45" s="9">
        <v>37</v>
      </c>
      <c r="B45" s="25">
        <f>MAX('Attrition Modeling'!H41,$C$3)*(1-Summary!$C$20)</f>
        <v>2.9759608768683998E-2</v>
      </c>
      <c r="C45" s="24" t="e">
        <f t="shared" si="2"/>
        <v>#DIV/0!</v>
      </c>
      <c r="E45" s="11">
        <f>'Traditional Attrition'!E102</f>
        <v>8</v>
      </c>
      <c r="F45" s="11">
        <f t="shared" si="4"/>
        <v>32</v>
      </c>
      <c r="G45" s="799"/>
      <c r="H45" s="799">
        <f>IF(H$12=$F45+1,IF(Monthly!D$4=TRUE,0,H$3),IF(H$12&gt;$F45+1,RentalsVacates!G45*(1-IF(H$12-$F45&lt;=12,SUMIFS('Attrition Modeling'!$D:$D,'Attrition Modeling'!$B:$B,$E45,'Attrition Modeling'!$C:$C,H$11),VLOOKUP(RentalsVacates!H$12-RentalsVacates!$F45-1,RentalsVacates!$A$8:$C$162,2,FALSE)*VLOOKUP(H$11,'Attrition Modeling'!$L$15:$N$27,IF(H$12-$F45&lt;=24,2,3),FALSE))*(1+IF('Traditional Attrition'!H167&gt;0,'Attrition Modeling'!$N$9,0))),0))</f>
        <v>0</v>
      </c>
      <c r="I45" s="799">
        <f>IF(I$12=$F45+1,IF(Monthly!E$4=TRUE,0,I$3),IF(I$12&gt;$F45+1,RentalsVacates!H45*(1-IF(I$12-$F45&lt;=12,SUMIFS('Attrition Modeling'!$D:$D,'Attrition Modeling'!$B:$B,$E45,'Attrition Modeling'!$C:$C,I$11),VLOOKUP(RentalsVacates!I$12-RentalsVacates!$F45-1,RentalsVacates!$A$8:$C$162,2,FALSE)*VLOOKUP(I$11,'Attrition Modeling'!$L$15:$N$27,IF(I$12-$F45&lt;=24,2,3),FALSE))*(1+IF('Traditional Attrition'!I167&gt;0,'Attrition Modeling'!$N$9,0))),0))</f>
        <v>0</v>
      </c>
      <c r="J45" s="799">
        <f>IF(J$12=$F45+1,IF(Monthly!F$4=TRUE,0,J$3),IF(J$12&gt;$F45+1,RentalsVacates!I45*(1-IF(J$12-$F45&lt;=12,SUMIFS('Attrition Modeling'!$D:$D,'Attrition Modeling'!$B:$B,$E45,'Attrition Modeling'!$C:$C,J$11),VLOOKUP(RentalsVacates!J$12-RentalsVacates!$F45-1,RentalsVacates!$A$8:$C$162,2,FALSE)*VLOOKUP(J$11,'Attrition Modeling'!$L$15:$N$27,IF(J$12-$F45&lt;=24,2,3),FALSE))*(1+IF('Traditional Attrition'!J167&gt;0,'Attrition Modeling'!$N$9,0))),0))</f>
        <v>0</v>
      </c>
      <c r="K45" s="799">
        <f>IF(K$12=$F45+1,IF(Monthly!G$4=TRUE,0,K$3),IF(K$12&gt;$F45+1,RentalsVacates!J45*(1-IF(K$12-$F45&lt;=12,SUMIFS('Attrition Modeling'!$D:$D,'Attrition Modeling'!$B:$B,$E45,'Attrition Modeling'!$C:$C,K$11),VLOOKUP(RentalsVacates!K$12-RentalsVacates!$F45-1,RentalsVacates!$A$8:$C$162,2,FALSE)*VLOOKUP(K$11,'Attrition Modeling'!$L$15:$N$27,IF(K$12-$F45&lt;=24,2,3),FALSE))*(1+IF('Traditional Attrition'!K167&gt;0,'Attrition Modeling'!$N$9,0))),0))</f>
        <v>0</v>
      </c>
      <c r="L45" s="799">
        <f>IF(L$12=$F45+1,IF(Monthly!H$4=TRUE,0,L$3),IF(L$12&gt;$F45+1,RentalsVacates!K45*(1-IF(L$12-$F45&lt;=12,SUMIFS('Attrition Modeling'!$D:$D,'Attrition Modeling'!$B:$B,$E45,'Attrition Modeling'!$C:$C,L$11),VLOOKUP(RentalsVacates!L$12-RentalsVacates!$F45-1,RentalsVacates!$A$8:$C$162,2,FALSE)*VLOOKUP(L$11,'Attrition Modeling'!$L$15:$N$27,IF(L$12-$F45&lt;=24,2,3),FALSE))*(1+IF('Traditional Attrition'!L167&gt;0,'Attrition Modeling'!$N$9,0))),0))</f>
        <v>0</v>
      </c>
      <c r="M45" s="799">
        <f>IF(M$12=$F45+1,IF(Monthly!I$4=TRUE,0,M$3),IF(M$12&gt;$F45+1,RentalsVacates!L45*(1-IF(M$12-$F45&lt;=12,SUMIFS('Attrition Modeling'!$D:$D,'Attrition Modeling'!$B:$B,$E45,'Attrition Modeling'!$C:$C,M$11),VLOOKUP(RentalsVacates!M$12-RentalsVacates!$F45-1,RentalsVacates!$A$8:$C$162,2,FALSE)*VLOOKUP(M$11,'Attrition Modeling'!$L$15:$N$27,IF(M$12-$F45&lt;=24,2,3),FALSE))*(1+IF('Traditional Attrition'!M167&gt;0,'Attrition Modeling'!$N$9,0))),0))</f>
        <v>0</v>
      </c>
      <c r="N45" s="799">
        <f>IF(N$12=$F45+1,IF(Monthly!J$4=TRUE,0,N$3),IF(N$12&gt;$F45+1,RentalsVacates!M45*(1-IF(N$12-$F45&lt;=12,SUMIFS('Attrition Modeling'!$D:$D,'Attrition Modeling'!$B:$B,$E45,'Attrition Modeling'!$C:$C,N$11),VLOOKUP(RentalsVacates!N$12-RentalsVacates!$F45-1,RentalsVacates!$A$8:$C$162,2,FALSE)*VLOOKUP(N$11,'Attrition Modeling'!$L$15:$N$27,IF(N$12-$F45&lt;=24,2,3),FALSE))*(1+IF('Traditional Attrition'!N167&gt;0,'Attrition Modeling'!$N$9,0))),0))</f>
        <v>0</v>
      </c>
      <c r="O45" s="799">
        <f>IF(O$12=$F45+1,IF(Monthly!K$4=TRUE,0,O$3),IF(O$12&gt;$F45+1,RentalsVacates!N45*(1-IF(O$12-$F45&lt;=12,SUMIFS('Attrition Modeling'!$D:$D,'Attrition Modeling'!$B:$B,$E45,'Attrition Modeling'!$C:$C,O$11),VLOOKUP(RentalsVacates!O$12-RentalsVacates!$F45-1,RentalsVacates!$A$8:$C$162,2,FALSE)*VLOOKUP(O$11,'Attrition Modeling'!$L$15:$N$27,IF(O$12-$F45&lt;=24,2,3),FALSE))*(1+IF('Traditional Attrition'!O167&gt;0,'Attrition Modeling'!$N$9,0))),0))</f>
        <v>0</v>
      </c>
      <c r="P45" s="799">
        <f>IF(P$12=$F45+1,IF(Monthly!L$4=TRUE,0,P$3),IF(P$12&gt;$F45+1,RentalsVacates!O45*(1-IF(P$12-$F45&lt;=12,SUMIFS('Attrition Modeling'!$D:$D,'Attrition Modeling'!$B:$B,$E45,'Attrition Modeling'!$C:$C,P$11),VLOOKUP(RentalsVacates!P$12-RentalsVacates!$F45-1,RentalsVacates!$A$8:$C$162,2,FALSE)*VLOOKUP(P$11,'Attrition Modeling'!$L$15:$N$27,IF(P$12-$F45&lt;=24,2,3),FALSE))*(1+IF('Traditional Attrition'!P167&gt;0,'Attrition Modeling'!$N$9,0))),0))</f>
        <v>0</v>
      </c>
      <c r="Q45" s="799">
        <f>IF(Q$12=$F45+1,IF(Monthly!M$4=TRUE,0,Q$3),IF(Q$12&gt;$F45+1,RentalsVacates!P45*(1-IF(Q$12-$F45&lt;=12,SUMIFS('Attrition Modeling'!$D:$D,'Attrition Modeling'!$B:$B,$E45,'Attrition Modeling'!$C:$C,Q$11),VLOOKUP(RentalsVacates!Q$12-RentalsVacates!$F45-1,RentalsVacates!$A$8:$C$162,2,FALSE)*VLOOKUP(Q$11,'Attrition Modeling'!$L$15:$N$27,IF(Q$12-$F45&lt;=24,2,3),FALSE))*(1+IF('Traditional Attrition'!Q167&gt;0,'Attrition Modeling'!$N$9,0))),0))</f>
        <v>0</v>
      </c>
      <c r="R45" s="799">
        <f>IF(R$12=$F45+1,IF(Monthly!N$4=TRUE,0,R$3),IF(R$12&gt;$F45+1,RentalsVacates!Q45*(1-IF(R$12-$F45&lt;=12,SUMIFS('Attrition Modeling'!$D:$D,'Attrition Modeling'!$B:$B,$E45,'Attrition Modeling'!$C:$C,R$11),VLOOKUP(RentalsVacates!R$12-RentalsVacates!$F45-1,RentalsVacates!$A$8:$C$162,2,FALSE)*VLOOKUP(R$11,'Attrition Modeling'!$L$15:$N$27,IF(R$12-$F45&lt;=24,2,3),FALSE))*(1+IF('Traditional Attrition'!R167&gt;0,'Attrition Modeling'!$N$9,0))),0))</f>
        <v>0</v>
      </c>
      <c r="S45" s="799">
        <f>IF(S$12=$F45+1,IF(Monthly!O$4=TRUE,0,S$3),IF(S$12&gt;$F45+1,RentalsVacates!R45*(1-IF(S$12-$F45&lt;=12,SUMIFS('Attrition Modeling'!$D:$D,'Attrition Modeling'!$B:$B,$E45,'Attrition Modeling'!$C:$C,S$11),VLOOKUP(RentalsVacates!S$12-RentalsVacates!$F45-1,RentalsVacates!$A$8:$C$162,2,FALSE)*VLOOKUP(S$11,'Attrition Modeling'!$L$15:$N$27,IF(S$12-$F45&lt;=24,2,3),FALSE))*(1+IF('Traditional Attrition'!S167&gt;0,'Attrition Modeling'!$N$9,0))),0))</f>
        <v>0</v>
      </c>
      <c r="T45" s="799">
        <f>IF(T$12=$F45+1,IF(Monthly!P$4=TRUE,0,T$3),IF(T$12&gt;$F45+1,RentalsVacates!S45*(1-IF(T$12-$F45&lt;=12,SUMIFS('Attrition Modeling'!$D:$D,'Attrition Modeling'!$B:$B,$E45,'Attrition Modeling'!$C:$C,T$11),VLOOKUP(RentalsVacates!T$12-RentalsVacates!$F45-1,RentalsVacates!$A$8:$C$162,2,FALSE)*VLOOKUP(T$11,'Attrition Modeling'!$L$15:$N$27,IF(T$12-$F45&lt;=24,2,3),FALSE))*(1+IF('Traditional Attrition'!T167&gt;0,'Attrition Modeling'!$N$9,0))),0))</f>
        <v>0</v>
      </c>
      <c r="U45" s="799">
        <f>IF(U$12=$F45+1,IF(Monthly!Q$4=TRUE,0,U$3),IF(U$12&gt;$F45+1,RentalsVacates!T45*(1-IF(U$12-$F45&lt;=12,SUMIFS('Attrition Modeling'!$D:$D,'Attrition Modeling'!$B:$B,$E45,'Attrition Modeling'!$C:$C,U$11),VLOOKUP(RentalsVacates!U$12-RentalsVacates!$F45-1,RentalsVacates!$A$8:$C$162,2,FALSE)*VLOOKUP(U$11,'Attrition Modeling'!$L$15:$N$27,IF(U$12-$F45&lt;=24,2,3),FALSE))*(1+IF('Traditional Attrition'!U167&gt;0,'Attrition Modeling'!$N$9,0))),0))</f>
        <v>0</v>
      </c>
      <c r="V45" s="799">
        <f>IF(V$12=$F45+1,IF(Monthly!R$4=TRUE,0,V$3),IF(V$12&gt;$F45+1,RentalsVacates!U45*(1-IF(V$12-$F45&lt;=12,SUMIFS('Attrition Modeling'!$D:$D,'Attrition Modeling'!$B:$B,$E45,'Attrition Modeling'!$C:$C,V$11),VLOOKUP(RentalsVacates!V$12-RentalsVacates!$F45-1,RentalsVacates!$A$8:$C$162,2,FALSE)*VLOOKUP(V$11,'Attrition Modeling'!$L$15:$N$27,IF(V$12-$F45&lt;=24,2,3),FALSE))*(1+IF('Traditional Attrition'!V167&gt;0,'Attrition Modeling'!$N$9,0))),0))</f>
        <v>0</v>
      </c>
      <c r="W45" s="799">
        <f>IF(W$12=$F45+1,IF(Monthly!S$4=TRUE,0,W$3),IF(W$12&gt;$F45+1,RentalsVacates!V45*(1-IF(W$12-$F45&lt;=12,SUMIFS('Attrition Modeling'!$D:$D,'Attrition Modeling'!$B:$B,$E45,'Attrition Modeling'!$C:$C,W$11),VLOOKUP(RentalsVacates!W$12-RentalsVacates!$F45-1,RentalsVacates!$A$8:$C$162,2,FALSE)*VLOOKUP(W$11,'Attrition Modeling'!$L$15:$N$27,IF(W$12-$F45&lt;=24,2,3),FALSE))*(1+IF('Traditional Attrition'!W167&gt;0,'Attrition Modeling'!$N$9,0))),0))</f>
        <v>0</v>
      </c>
      <c r="X45" s="799">
        <f>IF(X$12=$F45+1,IF(Monthly!T$4=TRUE,0,X$3),IF(X$12&gt;$F45+1,RentalsVacates!W45*(1-IF(X$12-$F45&lt;=12,SUMIFS('Attrition Modeling'!$D:$D,'Attrition Modeling'!$B:$B,$E45,'Attrition Modeling'!$C:$C,X$11),VLOOKUP(RentalsVacates!X$12-RentalsVacates!$F45-1,RentalsVacates!$A$8:$C$162,2,FALSE)*VLOOKUP(X$11,'Attrition Modeling'!$L$15:$N$27,IF(X$12-$F45&lt;=24,2,3),FALSE))*(1+IF('Traditional Attrition'!X167&gt;0,'Attrition Modeling'!$N$9,0))),0))</f>
        <v>0</v>
      </c>
      <c r="Y45" s="799">
        <f>IF(Y$12=$F45+1,IF(Monthly!U$4=TRUE,0,Y$3),IF(Y$12&gt;$F45+1,RentalsVacates!X45*(1-IF(Y$12-$F45&lt;=12,SUMIFS('Attrition Modeling'!$D:$D,'Attrition Modeling'!$B:$B,$E45,'Attrition Modeling'!$C:$C,Y$11),VLOOKUP(RentalsVacates!Y$12-RentalsVacates!$F45-1,RentalsVacates!$A$8:$C$162,2,FALSE)*VLOOKUP(Y$11,'Attrition Modeling'!$L$15:$N$27,IF(Y$12-$F45&lt;=24,2,3),FALSE))*(1+IF('Traditional Attrition'!Y167&gt;0,'Attrition Modeling'!$N$9,0))),0))</f>
        <v>0</v>
      </c>
      <c r="Z45" s="799">
        <f>IF(Z$12=$F45+1,IF(Monthly!V$4=TRUE,0,Z$3),IF(Z$12&gt;$F45+1,RentalsVacates!Y45*(1-IF(Z$12-$F45&lt;=12,SUMIFS('Attrition Modeling'!$D:$D,'Attrition Modeling'!$B:$B,$E45,'Attrition Modeling'!$C:$C,Z$11),VLOOKUP(RentalsVacates!Z$12-RentalsVacates!$F45-1,RentalsVacates!$A$8:$C$162,2,FALSE)*VLOOKUP(Z$11,'Attrition Modeling'!$L$15:$N$27,IF(Z$12-$F45&lt;=24,2,3),FALSE))*(1+IF('Traditional Attrition'!Z167&gt;0,'Attrition Modeling'!$N$9,0))),0))</f>
        <v>0</v>
      </c>
      <c r="AA45" s="799">
        <f>IF(AA$12=$F45+1,IF(Monthly!W$4=TRUE,0,AA$3),IF(AA$12&gt;$F45+1,RentalsVacates!Z45*(1-IF(AA$12-$F45&lt;=12,SUMIFS('Attrition Modeling'!$D:$D,'Attrition Modeling'!$B:$B,$E45,'Attrition Modeling'!$C:$C,AA$11),VLOOKUP(RentalsVacates!AA$12-RentalsVacates!$F45-1,RentalsVacates!$A$8:$C$162,2,FALSE)*VLOOKUP(AA$11,'Attrition Modeling'!$L$15:$N$27,IF(AA$12-$F45&lt;=24,2,3),FALSE))*(1+IF('Traditional Attrition'!AA167&gt;0,'Attrition Modeling'!$N$9,0))),0))</f>
        <v>0</v>
      </c>
      <c r="AB45" s="799">
        <f>IF(AB$12=$F45+1,IF(Monthly!X$4=TRUE,0,AB$3),IF(AB$12&gt;$F45+1,RentalsVacates!AA45*(1-IF(AB$12-$F45&lt;=12,SUMIFS('Attrition Modeling'!$D:$D,'Attrition Modeling'!$B:$B,$E45,'Attrition Modeling'!$C:$C,AB$11),VLOOKUP(RentalsVacates!AB$12-RentalsVacates!$F45-1,RentalsVacates!$A$8:$C$162,2,FALSE)*VLOOKUP(AB$11,'Attrition Modeling'!$L$15:$N$27,IF(AB$12-$F45&lt;=24,2,3),FALSE))*(1+IF('Traditional Attrition'!AB167&gt;0,'Attrition Modeling'!$N$9,0))),0))</f>
        <v>0</v>
      </c>
      <c r="AC45" s="799">
        <f>IF(AC$12=$F45+1,IF(Monthly!Y$4=TRUE,0,AC$3),IF(AC$12&gt;$F45+1,RentalsVacates!AB45*(1-IF(AC$12-$F45&lt;=12,SUMIFS('Attrition Modeling'!$D:$D,'Attrition Modeling'!$B:$B,$E45,'Attrition Modeling'!$C:$C,AC$11),VLOOKUP(RentalsVacates!AC$12-RentalsVacates!$F45-1,RentalsVacates!$A$8:$C$162,2,FALSE)*VLOOKUP(AC$11,'Attrition Modeling'!$L$15:$N$27,IF(AC$12-$F45&lt;=24,2,3),FALSE))*(1+IF('Traditional Attrition'!AC167&gt;0,'Attrition Modeling'!$N$9,0))),0))</f>
        <v>0</v>
      </c>
      <c r="AD45" s="799">
        <f>IF(AD$12=$F45+1,IF(Monthly!Z$4=TRUE,0,AD$3),IF(AD$12&gt;$F45+1,RentalsVacates!AC45*(1-IF(AD$12-$F45&lt;=12,SUMIFS('Attrition Modeling'!$D:$D,'Attrition Modeling'!$B:$B,$E45,'Attrition Modeling'!$C:$C,AD$11),VLOOKUP(RentalsVacates!AD$12-RentalsVacates!$F45-1,RentalsVacates!$A$8:$C$162,2,FALSE)*VLOOKUP(AD$11,'Attrition Modeling'!$L$15:$N$27,IF(AD$12-$F45&lt;=24,2,3),FALSE))*(1+IF('Traditional Attrition'!AD167&gt;0,'Attrition Modeling'!$N$9,0))),0))</f>
        <v>0</v>
      </c>
      <c r="AE45" s="799">
        <f>IF(AE$12=$F45+1,IF(Monthly!AA$4=TRUE,0,AE$3),IF(AE$12&gt;$F45+1,RentalsVacates!AD45*(1-IF(AE$12-$F45&lt;=12,SUMIFS('Attrition Modeling'!$D:$D,'Attrition Modeling'!$B:$B,$E45,'Attrition Modeling'!$C:$C,AE$11),VLOOKUP(RentalsVacates!AE$12-RentalsVacates!$F45-1,RentalsVacates!$A$8:$C$162,2,FALSE)*VLOOKUP(AE$11,'Attrition Modeling'!$L$15:$N$27,IF(AE$12-$F45&lt;=24,2,3),FALSE))*(1+IF('Traditional Attrition'!AE167&gt;0,'Attrition Modeling'!$N$9,0))),0))</f>
        <v>0</v>
      </c>
      <c r="AF45" s="799">
        <f>IF(AF$12=$F45+1,IF(Monthly!AB$4=TRUE,0,AF$3),IF(AF$12&gt;$F45+1,RentalsVacates!AE45*(1-IF(AF$12-$F45&lt;=12,SUMIFS('Attrition Modeling'!$D:$D,'Attrition Modeling'!$B:$B,$E45,'Attrition Modeling'!$C:$C,AF$11),VLOOKUP(RentalsVacates!AF$12-RentalsVacates!$F45-1,RentalsVacates!$A$8:$C$162,2,FALSE)*VLOOKUP(AF$11,'Attrition Modeling'!$L$15:$N$27,IF(AF$12-$F45&lt;=24,2,3),FALSE))*(1+IF('Traditional Attrition'!AF167&gt;0,'Attrition Modeling'!$N$9,0))),0))</f>
        <v>0</v>
      </c>
      <c r="AG45" s="799">
        <f>IF(AG$12=$F45+1,IF(Monthly!AC$4=TRUE,0,AG$3),IF(AG$12&gt;$F45+1,RentalsVacates!AF45*(1-IF(AG$12-$F45&lt;=12,SUMIFS('Attrition Modeling'!$D:$D,'Attrition Modeling'!$B:$B,$E45,'Attrition Modeling'!$C:$C,AG$11),VLOOKUP(RentalsVacates!AG$12-RentalsVacates!$F45-1,RentalsVacates!$A$8:$C$162,2,FALSE)*VLOOKUP(AG$11,'Attrition Modeling'!$L$15:$N$27,IF(AG$12-$F45&lt;=24,2,3),FALSE))*(1+IF('Traditional Attrition'!AG167&gt;0,'Attrition Modeling'!$N$9,0))),0))</f>
        <v>0</v>
      </c>
      <c r="AH45" s="799">
        <f>IF(AH$12=$F45+1,IF(Monthly!AD$4=TRUE,0,AH$3),IF(AH$12&gt;$F45+1,RentalsVacates!AG45*(1-IF(AH$12-$F45&lt;=12,SUMIFS('Attrition Modeling'!$D:$D,'Attrition Modeling'!$B:$B,$E45,'Attrition Modeling'!$C:$C,AH$11),VLOOKUP(RentalsVacates!AH$12-RentalsVacates!$F45-1,RentalsVacates!$A$8:$C$162,2,FALSE)*VLOOKUP(AH$11,'Attrition Modeling'!$L$15:$N$27,IF(AH$12-$F45&lt;=24,2,3),FALSE))*(1+IF('Traditional Attrition'!AH167&gt;0,'Attrition Modeling'!$N$9,0))),0))</f>
        <v>0</v>
      </c>
      <c r="AI45" s="799">
        <f>IF(AI$12=$F45+1,IF(Monthly!AE$4=TRUE,0,AI$3),IF(AI$12&gt;$F45+1,RentalsVacates!AH45*(1-IF(AI$12-$F45&lt;=12,SUMIFS('Attrition Modeling'!$D:$D,'Attrition Modeling'!$B:$B,$E45,'Attrition Modeling'!$C:$C,AI$11),VLOOKUP(RentalsVacates!AI$12-RentalsVacates!$F45-1,RentalsVacates!$A$8:$C$162,2,FALSE)*VLOOKUP(AI$11,'Attrition Modeling'!$L$15:$N$27,IF(AI$12-$F45&lt;=24,2,3),FALSE))*(1+IF('Traditional Attrition'!AI167&gt;0,'Attrition Modeling'!$N$9,0))),0))</f>
        <v>0</v>
      </c>
      <c r="AJ45" s="799">
        <f>IF(AJ$12=$F45+1,IF(Monthly!AF$4=TRUE,0,AJ$3),IF(AJ$12&gt;$F45+1,RentalsVacates!AI45*(1-IF(AJ$12-$F45&lt;=12,SUMIFS('Attrition Modeling'!$D:$D,'Attrition Modeling'!$B:$B,$E45,'Attrition Modeling'!$C:$C,AJ$11),VLOOKUP(RentalsVacates!AJ$12-RentalsVacates!$F45-1,RentalsVacates!$A$8:$C$162,2,FALSE)*VLOOKUP(AJ$11,'Attrition Modeling'!$L$15:$N$27,IF(AJ$12-$F45&lt;=24,2,3),FALSE))*(1+IF('Traditional Attrition'!AJ167&gt;0,'Attrition Modeling'!$N$9,0))),0))</f>
        <v>0</v>
      </c>
      <c r="AK45" s="799">
        <f>IF(AK$12=$F45+1,IF(Monthly!AG$4=TRUE,0,AK$3),IF(AK$12&gt;$F45+1,RentalsVacates!AJ45*(1-IF(AK$12-$F45&lt;=12,SUMIFS('Attrition Modeling'!$D:$D,'Attrition Modeling'!$B:$B,$E45,'Attrition Modeling'!$C:$C,AK$11),VLOOKUP(RentalsVacates!AK$12-RentalsVacates!$F45-1,RentalsVacates!$A$8:$C$162,2,FALSE)*VLOOKUP(AK$11,'Attrition Modeling'!$L$15:$N$27,IF(AK$12-$F45&lt;=24,2,3),FALSE))*(1+IF('Traditional Attrition'!AK167&gt;0,'Attrition Modeling'!$N$9,0))),0))</f>
        <v>0</v>
      </c>
      <c r="AL45" s="799">
        <f>IF(AL$12=$F45+1,IF(Monthly!AH$4=TRUE,0,AL$3),IF(AL$12&gt;$F45+1,RentalsVacates!AK45*(1-IF(AL$12-$F45&lt;=12,SUMIFS('Attrition Modeling'!$D:$D,'Attrition Modeling'!$B:$B,$E45,'Attrition Modeling'!$C:$C,AL$11),VLOOKUP(RentalsVacates!AL$12-RentalsVacates!$F45-1,RentalsVacates!$A$8:$C$162,2,FALSE)*VLOOKUP(AL$11,'Attrition Modeling'!$L$15:$N$27,IF(AL$12-$F45&lt;=24,2,3),FALSE))*(1+IF('Traditional Attrition'!AL167&gt;0,'Attrition Modeling'!$N$9,0))),0))</f>
        <v>0</v>
      </c>
      <c r="AM45" s="799">
        <f>IF(AM$12=$F45+1,IF(Monthly!AI$4=TRUE,0,AM$3),IF(AM$12&gt;$F45+1,RentalsVacates!AL45*(1-IF(AM$12-$F45&lt;=12,SUMIFS('Attrition Modeling'!$D:$D,'Attrition Modeling'!$B:$B,$E45,'Attrition Modeling'!$C:$C,AM$11),VLOOKUP(RentalsVacates!AM$12-RentalsVacates!$F45-1,RentalsVacates!$A$8:$C$162,2,FALSE)*VLOOKUP(AM$11,'Attrition Modeling'!$L$15:$N$27,IF(AM$12-$F45&lt;=24,2,3),FALSE))*(1+IF('Traditional Attrition'!AM167&gt;0,'Attrition Modeling'!$N$9,0))),0))</f>
        <v>0</v>
      </c>
      <c r="AN45" s="799">
        <f>IF(AN$12=$F45+1,IF(Monthly!AJ$4=TRUE,0,AN$3),IF(AN$12&gt;$F45+1,RentalsVacates!AM45*(1-IF(AN$12-$F45&lt;=12,SUMIFS('Attrition Modeling'!$D:$D,'Attrition Modeling'!$B:$B,$E45,'Attrition Modeling'!$C:$C,AN$11),VLOOKUP(RentalsVacates!AN$12-RentalsVacates!$F45-1,RentalsVacates!$A$8:$C$162,2,FALSE)*VLOOKUP(AN$11,'Attrition Modeling'!$L$15:$N$27,IF(AN$12-$F45&lt;=24,2,3),FALSE))*(1+IF('Traditional Attrition'!AN167&gt;0,'Attrition Modeling'!$N$9,0))),0))</f>
        <v>8205.5651171075442</v>
      </c>
      <c r="AO45" s="799">
        <f>IF(AO$12=$F45+1,IF(Monthly!AK$4=TRUE,0,AO$3),IF(AO$12&gt;$F45+1,RentalsVacates!AN45*(1-IF(AO$12-$F45&lt;=12,SUMIFS('Attrition Modeling'!$D:$D,'Attrition Modeling'!$B:$B,$E45,'Attrition Modeling'!$C:$C,AO$11),VLOOKUP(RentalsVacates!AO$12-RentalsVacates!$F45-1,RentalsVacates!$A$8:$C$162,2,FALSE)*VLOOKUP(AO$11,'Attrition Modeling'!$L$15:$N$27,IF(AO$12-$F45&lt;=24,2,3),FALSE))*(1+IF('Traditional Attrition'!AO167&gt;0,'Attrition Modeling'!$N$9,0))),0))</f>
        <v>7309.0898963767995</v>
      </c>
      <c r="AP45" s="799">
        <f>IF(AP$12=$F45+1,IF(Monthly!AL$4=TRUE,0,AP$3),IF(AP$12&gt;$F45+1,RentalsVacates!AO45*(1-IF(AP$12-$F45&lt;=12,SUMIFS('Attrition Modeling'!$D:$D,'Attrition Modeling'!$B:$B,$E45,'Attrition Modeling'!$C:$C,AP$11),VLOOKUP(RentalsVacates!AP$12-RentalsVacates!$F45-1,RentalsVacates!$A$8:$C$162,2,FALSE)*VLOOKUP(AP$11,'Attrition Modeling'!$L$15:$N$27,IF(AP$12-$F45&lt;=24,2,3),FALSE))*(1+IF('Traditional Attrition'!AP167&gt;0,'Attrition Modeling'!$N$9,0))),0))</f>
        <v>6651.8851845269919</v>
      </c>
      <c r="AQ45" s="799">
        <f>IF(AQ$12=$F45+1,IF(Monthly!AM$4=TRUE,0,AQ$3),IF(AQ$12&gt;$F45+1,RentalsVacates!AP45*(1-IF(AQ$12-$F45&lt;=12,SUMIFS('Attrition Modeling'!$D:$D,'Attrition Modeling'!$B:$B,$E45,'Attrition Modeling'!$C:$C,AQ$11),VLOOKUP(RentalsVacates!AQ$12-RentalsVacates!$F45-1,RentalsVacates!$A$8:$C$162,2,FALSE)*VLOOKUP(AQ$11,'Attrition Modeling'!$L$15:$N$27,IF(AQ$12-$F45&lt;=24,2,3),FALSE))*(1+IF('Traditional Attrition'!AQ167&gt;0,'Attrition Modeling'!$N$9,0))),0))</f>
        <v>6052.6556952624333</v>
      </c>
      <c r="AR45" s="799">
        <f>IF(AR$12=$F45+1,IF(Monthly!AN$4=TRUE,0,AR$3),IF(AR$12&gt;$F45+1,RentalsVacates!AQ45*(1-IF(AR$12-$F45&lt;=12,SUMIFS('Attrition Modeling'!$D:$D,'Attrition Modeling'!$B:$B,$E45,'Attrition Modeling'!$C:$C,AR$11),VLOOKUP(RentalsVacates!AR$12-RentalsVacates!$F45-1,RentalsVacates!$A$8:$C$162,2,FALSE)*VLOOKUP(AR$11,'Attrition Modeling'!$L$15:$N$27,IF(AR$12-$F45&lt;=24,2,3),FALSE))*(1+IF('Traditional Attrition'!AR167&gt;0,'Attrition Modeling'!$N$9,0))),0))</f>
        <v>5583.3933597352943</v>
      </c>
      <c r="AS45" s="799">
        <f>IF(AS$12=$F45+1,IF(Monthly!AO$4=TRUE,0,AS$3),IF(AS$12&gt;$F45+1,RentalsVacates!AR45*(1-IF(AS$12-$F45&lt;=12,SUMIFS('Attrition Modeling'!$D:$D,'Attrition Modeling'!$B:$B,$E45,'Attrition Modeling'!$C:$C,AS$11),VLOOKUP(RentalsVacates!AS$12-RentalsVacates!$F45-1,RentalsVacates!$A$8:$C$162,2,FALSE)*VLOOKUP(AS$11,'Attrition Modeling'!$L$15:$N$27,IF(AS$12-$F45&lt;=24,2,3),FALSE))*(1+IF('Traditional Attrition'!AS167&gt;0,'Attrition Modeling'!$N$9,0))),0))</f>
        <v>5067.3731750632915</v>
      </c>
      <c r="AT45" s="799">
        <f>IF(AT$12=$F45+1,IF(Monthly!AP$4=TRUE,0,AT$3),IF(AT$12&gt;$F45+1,RentalsVacates!AS45*(1-IF(AT$12-$F45&lt;=12,SUMIFS('Attrition Modeling'!$D:$D,'Attrition Modeling'!$B:$B,$E45,'Attrition Modeling'!$C:$C,AT$11),VLOOKUP(RentalsVacates!AT$12-RentalsVacates!$F45-1,RentalsVacates!$A$8:$C$162,2,FALSE)*VLOOKUP(AT$11,'Attrition Modeling'!$L$15:$N$27,IF(AT$12-$F45&lt;=24,2,3),FALSE))*(1+IF('Traditional Attrition'!AT167&gt;0,'Attrition Modeling'!$N$9,0))),0))</f>
        <v>4683.080974556482</v>
      </c>
      <c r="AU45" s="799">
        <f>IF(AU$12=$F45+1,IF(Monthly!AQ$4=TRUE,0,AU$3),IF(AU$12&gt;$F45+1,RentalsVacates!AT45*(1-IF(AU$12-$F45&lt;=12,SUMIFS('Attrition Modeling'!$D:$D,'Attrition Modeling'!$B:$B,$E45,'Attrition Modeling'!$C:$C,AU$11),VLOOKUP(RentalsVacates!AU$12-RentalsVacates!$F45-1,RentalsVacates!$A$8:$C$162,2,FALSE)*VLOOKUP(AU$11,'Attrition Modeling'!$L$15:$N$27,IF(AU$12-$F45&lt;=24,2,3),FALSE))*(1+IF('Traditional Attrition'!AU167&gt;0,'Attrition Modeling'!$N$9,0))),0))</f>
        <v>4375.1984190284402</v>
      </c>
      <c r="AV45" s="799">
        <f>IF(AV$12=$F45+1,IF(Monthly!AR$4=TRUE,0,AV$3),IF(AV$12&gt;$F45+1,RentalsVacates!AU45*(1-IF(AV$12-$F45&lt;=12,SUMIFS('Attrition Modeling'!$D:$D,'Attrition Modeling'!$B:$B,$E45,'Attrition Modeling'!$C:$C,AV$11),VLOOKUP(RentalsVacates!AV$12-RentalsVacates!$F45-1,RentalsVacates!$A$8:$C$162,2,FALSE)*VLOOKUP(AV$11,'Attrition Modeling'!$L$15:$N$27,IF(AV$12-$F45&lt;=24,2,3),FALSE))*(1+IF('Traditional Attrition'!AV167&gt;0,'Attrition Modeling'!$N$9,0))),0))</f>
        <v>4115.599783506028</v>
      </c>
      <c r="AW45" s="799">
        <f>IF(AW$12=$F45+1,IF(Monthly!AS$4=TRUE,0,AW$3),IF(AW$12&gt;$F45+1,RentalsVacates!AV45*(1-IF(AW$12-$F45&lt;=12,SUMIFS('Attrition Modeling'!$D:$D,'Attrition Modeling'!$B:$B,$E45,'Attrition Modeling'!$C:$C,AW$11),VLOOKUP(RentalsVacates!AW$12-RentalsVacates!$F45-1,RentalsVacates!$A$8:$C$162,2,FALSE)*VLOOKUP(AW$11,'Attrition Modeling'!$L$15:$N$27,IF(AW$12-$F45&lt;=24,2,3),FALSE))*(1+IF('Traditional Attrition'!AW167&gt;0,'Attrition Modeling'!$N$9,0))),0))</f>
        <v>3873.7037188345498</v>
      </c>
      <c r="AX45" s="799">
        <f>IF(AX$12=$F45+1,IF(Monthly!AT$4=TRUE,0,AX$3),IF(AX$12&gt;$F45+1,RentalsVacates!AW45*(1-IF(AX$12-$F45&lt;=12,SUMIFS('Attrition Modeling'!$D:$D,'Attrition Modeling'!$B:$B,$E45,'Attrition Modeling'!$C:$C,AX$11),VLOOKUP(RentalsVacates!AX$12-RentalsVacates!$F45-1,RentalsVacates!$A$8:$C$162,2,FALSE)*VLOOKUP(AX$11,'Attrition Modeling'!$L$15:$N$27,IF(AX$12-$F45&lt;=24,2,3),FALSE))*(1+IF('Traditional Attrition'!AX167&gt;0,'Attrition Modeling'!$N$9,0))),0))</f>
        <v>3643.940405937085</v>
      </c>
      <c r="AY45" s="799">
        <f>IF(AY$12=$F45+1,IF(Monthly!AU$4=TRUE,0,AY$3),IF(AY$12&gt;$F45+1,RentalsVacates!AX45*(1-IF(AY$12-$F45&lt;=12,SUMIFS('Attrition Modeling'!$D:$D,'Attrition Modeling'!$B:$B,$E45,'Attrition Modeling'!$C:$C,AY$11),VLOOKUP(RentalsVacates!AY$12-RentalsVacates!$F45-1,RentalsVacates!$A$8:$C$162,2,FALSE)*VLOOKUP(AY$11,'Attrition Modeling'!$L$15:$N$27,IF(AY$12-$F45&lt;=24,2,3),FALSE))*(1+IF('Traditional Attrition'!AY167&gt;0,'Attrition Modeling'!$N$9,0))),0))</f>
        <v>3521.0167770259209</v>
      </c>
      <c r="AZ45" s="799">
        <f>IF(AZ$12=$F45+1,IF(Monthly!AV$4=TRUE,0,AZ$3),IF(AZ$12&gt;$F45+1,RentalsVacates!AY45*(1-IF(AZ$12-$F45&lt;=12,SUMIFS('Attrition Modeling'!$D:$D,'Attrition Modeling'!$B:$B,$E45,'Attrition Modeling'!$C:$C,AZ$11),VLOOKUP(RentalsVacates!AZ$12-RentalsVacates!$F45-1,RentalsVacates!$A$8:$C$162,2,FALSE)*VLOOKUP(AZ$11,'Attrition Modeling'!$L$15:$N$27,IF(AZ$12-$F45&lt;=24,2,3),FALSE))*(1+IF('Traditional Attrition'!AZ167&gt;0,'Attrition Modeling'!$N$9,0))),0))</f>
        <v>3326.5565608585389</v>
      </c>
      <c r="BA45" s="799">
        <f>IF(BA$12=$F45+1,IF(Monthly!AW$4=TRUE,0,BA$3),IF(BA$12&gt;$F45+1,RentalsVacates!AZ45*(1-IF(BA$12-$F45&lt;=12,SUMIFS('Attrition Modeling'!$D:$D,'Attrition Modeling'!$B:$B,$E45,'Attrition Modeling'!$C:$C,BA$11),VLOOKUP(RentalsVacates!BA$12-RentalsVacates!$F45-1,RentalsVacates!$A$8:$C$162,2,FALSE)*VLOOKUP(BA$11,'Attrition Modeling'!$L$15:$N$27,IF(BA$12-$F45&lt;=24,2,3),FALSE))*(1+IF('Traditional Attrition'!BA167&gt;0,'Attrition Modeling'!$N$9,0))),0))</f>
        <v>3153.1043463236351</v>
      </c>
      <c r="BB45" s="799">
        <f>IF(BB$12=$F45+1,IF(Monthly!AX$4=TRUE,0,BB$3),IF(BB$12&gt;$F45+1,RentalsVacates!BA45*(1-IF(BB$12-$F45&lt;=12,SUMIFS('Attrition Modeling'!$D:$D,'Attrition Modeling'!$B:$B,$E45,'Attrition Modeling'!$C:$C,BB$11),VLOOKUP(RentalsVacates!BB$12-RentalsVacates!$F45-1,RentalsVacates!$A$8:$C$162,2,FALSE)*VLOOKUP(BB$11,'Attrition Modeling'!$L$15:$N$27,IF(BB$12-$F45&lt;=24,2,3),FALSE))*(1+IF('Traditional Attrition'!BB167&gt;0,'Attrition Modeling'!$N$9,0))),0))</f>
        <v>3002.6893976779088</v>
      </c>
      <c r="BC45" s="799">
        <f>IF(BC$12=$F45+1,IF(Monthly!AY$4=TRUE,0,BC$3),IF(BC$12&gt;$F45+1,RentalsVacates!BB45*(1-IF(BC$12-$F45&lt;=12,SUMIFS('Attrition Modeling'!$D:$D,'Attrition Modeling'!$B:$B,$E45,'Attrition Modeling'!$C:$C,BC$11),VLOOKUP(RentalsVacates!BC$12-RentalsVacates!$F45-1,RentalsVacates!$A$8:$C$162,2,FALSE)*VLOOKUP(BC$11,'Attrition Modeling'!$L$15:$N$27,IF(BC$12-$F45&lt;=24,2,3),FALSE))*(1+IF('Traditional Attrition'!BC167&gt;0,'Attrition Modeling'!$N$9,0))),0))</f>
        <v>2866.132161361083</v>
      </c>
      <c r="BD45" s="799">
        <f>IF(BD$12=$F45+1,IF(Monthly!AZ$4=TRUE,0,BD$3),IF(BD$12&gt;$F45+1,RentalsVacates!BC45*(1-IF(BD$12-$F45&lt;=12,SUMIFS('Attrition Modeling'!$D:$D,'Attrition Modeling'!$B:$B,$E45,'Attrition Modeling'!$C:$C,BD$11),VLOOKUP(RentalsVacates!BD$12-RentalsVacates!$F45-1,RentalsVacates!$A$8:$C$162,2,FALSE)*VLOOKUP(BD$11,'Attrition Modeling'!$L$15:$N$27,IF(BD$12-$F45&lt;=24,2,3),FALSE))*(1+IF('Traditional Attrition'!BD167&gt;0,'Attrition Modeling'!$N$9,0))),0))</f>
        <v>2739.5045231229478</v>
      </c>
      <c r="BE45" s="799">
        <f>IF(BE$12=$F45+1,IF(Monthly!BA$4=TRUE,0,BE$3),IF(BE$12&gt;$F45+1,RentalsVacates!BD45*(1-IF(BE$12-$F45&lt;=12,SUMIFS('Attrition Modeling'!$D:$D,'Attrition Modeling'!$B:$B,$E45,'Attrition Modeling'!$C:$C,BE$11),VLOOKUP(RentalsVacates!BE$12-RentalsVacates!$F45-1,RentalsVacates!$A$8:$C$162,2,FALSE)*VLOOKUP(BE$11,'Attrition Modeling'!$L$15:$N$27,IF(BE$12-$F45&lt;=24,2,3),FALSE))*(1+IF('Traditional Attrition'!BE167&gt;0,'Attrition Modeling'!$N$9,0))),0))</f>
        <v>2611.7266189213287</v>
      </c>
      <c r="BF45" s="799">
        <f>IF(BF$12=$F45+1,IF(Monthly!BB$4=TRUE,0,BF$3),IF(BF$12&gt;$F45+1,RentalsVacates!BE45*(1-IF(BF$12-$F45&lt;=12,SUMIFS('Attrition Modeling'!$D:$D,'Attrition Modeling'!$B:$B,$E45,'Attrition Modeling'!$C:$C,BF$11),VLOOKUP(RentalsVacates!BF$12-RentalsVacates!$F45-1,RentalsVacates!$A$8:$C$162,2,FALSE)*VLOOKUP(BF$11,'Attrition Modeling'!$L$15:$N$27,IF(BF$12-$F45&lt;=24,2,3),FALSE))*(1+IF('Traditional Attrition'!BF167&gt;0,'Attrition Modeling'!$N$9,0))),0))</f>
        <v>2503.5931502072599</v>
      </c>
      <c r="BG45" s="799">
        <f>IF(BG$12=$F45+1,IF(Monthly!BC$4=TRUE,0,BG$3),IF(BG$12&gt;$F45+1,RentalsVacates!BF45*(1-IF(BG$12-$F45&lt;=12,SUMIFS('Attrition Modeling'!$D:$D,'Attrition Modeling'!$B:$B,$E45,'Attrition Modeling'!$C:$C,BG$11),VLOOKUP(RentalsVacates!BG$12-RentalsVacates!$F45-1,RentalsVacates!$A$8:$C$162,2,FALSE)*VLOOKUP(BG$11,'Attrition Modeling'!$L$15:$N$27,IF(BG$12-$F45&lt;=24,2,3),FALSE))*(1+IF('Traditional Attrition'!BG167&gt;0,'Attrition Modeling'!$N$9,0))),0))</f>
        <v>2403.6118519135721</v>
      </c>
      <c r="BH45" s="799">
        <f>IF(BH$12=$F45+1,IF(Monthly!BD$4=TRUE,0,BH$3),IF(BH$12&gt;$F45+1,RentalsVacates!BG45*(1-IF(BH$12-$F45&lt;=12,SUMIFS('Attrition Modeling'!$D:$D,'Attrition Modeling'!$B:$B,$E45,'Attrition Modeling'!$C:$C,BH$11),VLOOKUP(RentalsVacates!BH$12-RentalsVacates!$F45-1,RentalsVacates!$A$8:$C$162,2,FALSE)*VLOOKUP(BH$11,'Attrition Modeling'!$L$15:$N$27,IF(BH$12-$F45&lt;=24,2,3),FALSE))*(1+IF('Traditional Attrition'!BH167&gt;0,'Attrition Modeling'!$N$9,0))),0))</f>
        <v>2309.9369786083175</v>
      </c>
      <c r="BI45" s="799">
        <f>IF(BI$12=$F45+1,IF(Monthly!BE$4=TRUE,0,BI$3),IF(BI$12&gt;$F45+1,RentalsVacates!BH45*(1-IF(BI$12-$F45&lt;=12,SUMIFS('Attrition Modeling'!$D:$D,'Attrition Modeling'!$B:$B,$E45,'Attrition Modeling'!$C:$C,BI$11),VLOOKUP(RentalsVacates!BI$12-RentalsVacates!$F45-1,RentalsVacates!$A$8:$C$162,2,FALSE)*VLOOKUP(BI$11,'Attrition Modeling'!$L$15:$N$27,IF(BI$12-$F45&lt;=24,2,3),FALSE))*(1+IF('Traditional Attrition'!BI167&gt;0,'Attrition Modeling'!$N$9,0))),0))</f>
        <v>2212.6385670248969</v>
      </c>
      <c r="BJ45" s="799">
        <f>IF(BJ$12=$F45+1,IF(Monthly!BF$4=TRUE,0,BJ$3),IF(BJ$12&gt;$F45+1,RentalsVacates!BI45*(1-IF(BJ$12-$F45&lt;=12,SUMIFS('Attrition Modeling'!$D:$D,'Attrition Modeling'!$B:$B,$E45,'Attrition Modeling'!$C:$C,BJ$11),VLOOKUP(RentalsVacates!BJ$12-RentalsVacates!$F45-1,RentalsVacates!$A$8:$C$162,2,FALSE)*VLOOKUP(BJ$11,'Attrition Modeling'!$L$15:$N$27,IF(BJ$12-$F45&lt;=24,2,3),FALSE))*(1+IF('Traditional Attrition'!BJ167&gt;0,'Attrition Modeling'!$N$9,0))),0))</f>
        <v>2118.5954443515966</v>
      </c>
      <c r="BK45" s="799">
        <f>IF(BK$12=$F45+1,IF(Monthly!BG$4=TRUE,0,BK$3),IF(BK$12&gt;$F45+1,RentalsVacates!BJ45*(1-IF(BK$12-$F45&lt;=12,SUMIFS('Attrition Modeling'!$D:$D,'Attrition Modeling'!$B:$B,$E45,'Attrition Modeling'!$C:$C,BK$11),VLOOKUP(RentalsVacates!BK$12-RentalsVacates!$F45-1,RentalsVacates!$A$8:$C$162,2,FALSE)*VLOOKUP(BK$11,'Attrition Modeling'!$L$15:$N$27,IF(BK$12-$F45&lt;=24,2,3),FALSE))*(1+IF('Traditional Attrition'!BK167&gt;0,'Attrition Modeling'!$N$9,0))),0))</f>
        <v>2025.811057807183</v>
      </c>
      <c r="BL45" s="799">
        <f>IF(BL$12=$F45+1,IF(Monthly!BH$4=TRUE,0,BL$3),IF(BL$12&gt;$F45+1,RentalsVacates!BK45*(1-IF(BL$12-$F45&lt;=12,SUMIFS('Attrition Modeling'!$D:$D,'Attrition Modeling'!$B:$B,$E45,'Attrition Modeling'!$C:$C,BL$11),VLOOKUP(RentalsVacates!BL$12-RentalsVacates!$F45-1,RentalsVacates!$A$8:$C$162,2,FALSE)*VLOOKUP(BL$11,'Attrition Modeling'!$L$15:$N$27,IF(BL$12-$F45&lt;=24,2,3),FALSE))*(1+IF('Traditional Attrition'!BL167&gt;0,'Attrition Modeling'!$N$9,0))),0))</f>
        <v>1942.4707128038367</v>
      </c>
      <c r="BM45" s="799">
        <f>IF(BM$12=$F45+1,IF(Monthly!BI$4=TRUE,0,BM$3),IF(BM$12&gt;$F45+1,RentalsVacates!BL45*(1-IF(BM$12-$F45&lt;=12,SUMIFS('Attrition Modeling'!$D:$D,'Attrition Modeling'!$B:$B,$E45,'Attrition Modeling'!$C:$C,BM$11),VLOOKUP(RentalsVacates!BM$12-RentalsVacates!$F45-1,RentalsVacates!$A$8:$C$162,2,FALSE)*VLOOKUP(BM$11,'Attrition Modeling'!$L$15:$N$27,IF(BM$12-$F45&lt;=24,2,3),FALSE))*(1+IF('Traditional Attrition'!BM167&gt;0,'Attrition Modeling'!$N$9,0))),0))</f>
        <v>1866.3847235998992</v>
      </c>
      <c r="BN45" s="799">
        <f>IF(BN$12=$F45+1,IF(Monthly!BJ$4=TRUE,0,BN$3),IF(BN$12&gt;$F45+1,RentalsVacates!BM45*(1-IF(BN$12-$F45&lt;=12,SUMIFS('Attrition Modeling'!$D:$D,'Attrition Modeling'!$B:$B,$E45,'Attrition Modeling'!$C:$C,BN$11),VLOOKUP(RentalsVacates!BN$12-RentalsVacates!$F45-1,RentalsVacates!$A$8:$C$162,2,FALSE)*VLOOKUP(BN$11,'Attrition Modeling'!$L$15:$N$27,IF(BN$12-$F45&lt;=24,2,3),FALSE))*(1+IF('Traditional Attrition'!BN167&gt;0,'Attrition Modeling'!$N$9,0))),0))</f>
        <v>1795.8990930270631</v>
      </c>
      <c r="BO45" s="799">
        <f>IF(BO$12=$F45+1,IF(Monthly!BK$4=TRUE,0,BO$3),IF(BO$12&gt;$F45+1,RentalsVacates!BN45*(1-IF(BO$12-$F45&lt;=12,SUMIFS('Attrition Modeling'!$D:$D,'Attrition Modeling'!$B:$B,$E45,'Attrition Modeling'!$C:$C,BO$11),VLOOKUP(RentalsVacates!BO$12-RentalsVacates!$F45-1,RentalsVacates!$A$8:$C$162,2,FALSE)*VLOOKUP(BO$11,'Attrition Modeling'!$L$15:$N$27,IF(BO$12-$F45&lt;=24,2,3),FALSE))*(1+IF('Traditional Attrition'!BO167&gt;0,'Attrition Modeling'!$N$9,0))),0))</f>
        <v>1740.7445168596889</v>
      </c>
      <c r="BP45" s="799">
        <f>IF(BP$12=$F45+1,IF(Monthly!BL$4=TRUE,0,BP$3),IF(BP$12&gt;$F45+1,RentalsVacates!BO45*(1-IF(BP$12-$F45&lt;=12,SUMIFS('Attrition Modeling'!$D:$D,'Attrition Modeling'!$B:$B,$E45,'Attrition Modeling'!$C:$C,BP$11),VLOOKUP(RentalsVacates!BP$12-RentalsVacates!$F45-1,RentalsVacates!$A$8:$C$162,2,FALSE)*VLOOKUP(BP$11,'Attrition Modeling'!$L$15:$N$27,IF(BP$12-$F45&lt;=24,2,3),FALSE))*(1+IF('Traditional Attrition'!BP167&gt;0,'Attrition Modeling'!$N$9,0))),0))</f>
        <v>1682.3184707369323</v>
      </c>
      <c r="BQ45" s="799">
        <f>IF(BQ$12=$F45+1,IF(Monthly!BM$4=TRUE,0,BQ$3),IF(BQ$12&gt;$F45+1,RentalsVacates!BP45*(1-IF(BQ$12-$F45&lt;=12,SUMIFS('Attrition Modeling'!$D:$D,'Attrition Modeling'!$B:$B,$E45,'Attrition Modeling'!$C:$C,BQ$11),VLOOKUP(RentalsVacates!BQ$12-RentalsVacates!$F45-1,RentalsVacates!$A$8:$C$162,2,FALSE)*VLOOKUP(BQ$11,'Attrition Modeling'!$L$15:$N$27,IF(BQ$12-$F45&lt;=24,2,3),FALSE))*(1+IF('Traditional Attrition'!BQ167&gt;0,'Attrition Modeling'!$N$9,0))),0))</f>
        <v>1617.5090727723957</v>
      </c>
      <c r="BR45" s="799">
        <f>IF(BR$12=$F45+1,IF(Monthly!BN$4=TRUE,0,BR$3),IF(BR$12&gt;$F45+1,RentalsVacates!BQ45*(1-IF(BR$12-$F45&lt;=12,SUMIFS('Attrition Modeling'!$D:$D,'Attrition Modeling'!$B:$B,$E45,'Attrition Modeling'!$C:$C,BR$11),VLOOKUP(RentalsVacates!BR$12-RentalsVacates!$F45-1,RentalsVacates!$A$8:$C$162,2,FALSE)*VLOOKUP(BR$11,'Attrition Modeling'!$L$15:$N$27,IF(BR$12-$F45&lt;=24,2,3),FALSE))*(1+IF('Traditional Attrition'!BR167&gt;0,'Attrition Modeling'!$N$9,0))),0))</f>
        <v>1568.3738070966463</v>
      </c>
      <c r="BS45" s="799">
        <f>IF(BS$12=$F45+1,IF(Monthly!BO$4=TRUE,0,BS$3),IF(BS$12&gt;$F45+1,RentalsVacates!BR45*(1-IF(BS$12-$F45&lt;=12,SUMIFS('Attrition Modeling'!$D:$D,'Attrition Modeling'!$B:$B,$E45,'Attrition Modeling'!$C:$C,BS$11),VLOOKUP(RentalsVacates!BS$12-RentalsVacates!$F45-1,RentalsVacates!$A$8:$C$162,2,FALSE)*VLOOKUP(BS$11,'Attrition Modeling'!$L$15:$N$27,IF(BS$12-$F45&lt;=24,2,3),FALSE))*(1+IF('Traditional Attrition'!BS167&gt;0,'Attrition Modeling'!$N$9,0))),0))</f>
        <v>1530.9389423464975</v>
      </c>
      <c r="BT45" s="799">
        <f>IF(BT$11=$F44+1,IF(Monthly!#REF!=TRUE,0,BT$3),IF(BT$11&gt;$F44+1,RentalsVacates!BS44*(1-IF(BT$11-$F44&lt;=12,SUMIFS('Attrition Modeling'!$D:$D,'Attrition Modeling'!$B:$B,$E44,'Attrition Modeling'!$C:$C,BT$10),VLOOKUP(RentalsVacates!BT$11-RentalsVacates!$F44-1,RentalsVacates!$A$7:$C$161,2,FALSE)*VLOOKUP(BT$10,'Attrition Modeling'!$L$15:$N$27,IF(BT$11-$F44&lt;=24,2,3),FALSE))*(1+IF('Traditional Attrition'!BT167&gt;0,'Attrition Modeling'!$N$9,0))),0))</f>
        <v>0</v>
      </c>
      <c r="BU45" s="799">
        <f>IF(BU$11=$F44+1,IF(Monthly!#REF!=TRUE,0,BU$3),IF(BU$11&gt;$F44+1,RentalsVacates!BT44*(1-IF(BU$11-$F44&lt;=12,SUMIFS('Attrition Modeling'!$D:$D,'Attrition Modeling'!$B:$B,$E44,'Attrition Modeling'!$C:$C,BU$10),VLOOKUP(RentalsVacates!BU$11-RentalsVacates!$F44-1,RentalsVacates!$A$7:$C$161,2,FALSE)*VLOOKUP(BU$10,'Attrition Modeling'!$L$15:$N$27,IF(BU$11-$F44&lt;=24,2,3),FALSE))*(1+IF('Traditional Attrition'!BU167&gt;0,'Attrition Modeling'!$N$9,0))),0))</f>
        <v>0</v>
      </c>
    </row>
    <row r="46" spans="1:73" ht="14.25" customHeight="1" x14ac:dyDescent="0.2">
      <c r="A46" s="9">
        <v>38</v>
      </c>
      <c r="B46" s="25">
        <f>MAX('Attrition Modeling'!H42,$C$3)*(1-Summary!$C$20)</f>
        <v>2.9353110812107445E-2</v>
      </c>
      <c r="C46" s="24" t="e">
        <f t="shared" si="2"/>
        <v>#DIV/0!</v>
      </c>
      <c r="E46" s="11">
        <f>'Traditional Attrition'!E103</f>
        <v>9</v>
      </c>
      <c r="F46" s="11">
        <f t="shared" si="4"/>
        <v>33</v>
      </c>
      <c r="G46" s="799"/>
      <c r="H46" s="799">
        <f>IF(H$12=$F46+1,IF(Monthly!D$4=TRUE,0,H$3),IF(H$12&gt;$F46+1,RentalsVacates!G46*(1-IF(H$12-$F46&lt;=12,SUMIFS('Attrition Modeling'!$D:$D,'Attrition Modeling'!$B:$B,$E46,'Attrition Modeling'!$C:$C,H$11),VLOOKUP(RentalsVacates!H$12-RentalsVacates!$F46-1,RentalsVacates!$A$8:$C$162,2,FALSE)*VLOOKUP(H$11,'Attrition Modeling'!$L$15:$N$27,IF(H$12-$F46&lt;=24,2,3),FALSE))*(1+IF('Traditional Attrition'!H168&gt;0,'Attrition Modeling'!$N$9,0))),0))</f>
        <v>0</v>
      </c>
      <c r="I46" s="799">
        <f>IF(I$12=$F46+1,IF(Monthly!E$4=TRUE,0,I$3),IF(I$12&gt;$F46+1,RentalsVacates!H46*(1-IF(I$12-$F46&lt;=12,SUMIFS('Attrition Modeling'!$D:$D,'Attrition Modeling'!$B:$B,$E46,'Attrition Modeling'!$C:$C,I$11),VLOOKUP(RentalsVacates!I$12-RentalsVacates!$F46-1,RentalsVacates!$A$8:$C$162,2,FALSE)*VLOOKUP(I$11,'Attrition Modeling'!$L$15:$N$27,IF(I$12-$F46&lt;=24,2,3),FALSE))*(1+IF('Traditional Attrition'!I168&gt;0,'Attrition Modeling'!$N$9,0))),0))</f>
        <v>0</v>
      </c>
      <c r="J46" s="799">
        <f>IF(J$12=$F46+1,IF(Monthly!F$4=TRUE,0,J$3),IF(J$12&gt;$F46+1,RentalsVacates!I46*(1-IF(J$12-$F46&lt;=12,SUMIFS('Attrition Modeling'!$D:$D,'Attrition Modeling'!$B:$B,$E46,'Attrition Modeling'!$C:$C,J$11),VLOOKUP(RentalsVacates!J$12-RentalsVacates!$F46-1,RentalsVacates!$A$8:$C$162,2,FALSE)*VLOOKUP(J$11,'Attrition Modeling'!$L$15:$N$27,IF(J$12-$F46&lt;=24,2,3),FALSE))*(1+IF('Traditional Attrition'!J168&gt;0,'Attrition Modeling'!$N$9,0))),0))</f>
        <v>0</v>
      </c>
      <c r="K46" s="799">
        <f>IF(K$12=$F46+1,IF(Monthly!G$4=TRUE,0,K$3),IF(K$12&gt;$F46+1,RentalsVacates!J46*(1-IF(K$12-$F46&lt;=12,SUMIFS('Attrition Modeling'!$D:$D,'Attrition Modeling'!$B:$B,$E46,'Attrition Modeling'!$C:$C,K$11),VLOOKUP(RentalsVacates!K$12-RentalsVacates!$F46-1,RentalsVacates!$A$8:$C$162,2,FALSE)*VLOOKUP(K$11,'Attrition Modeling'!$L$15:$N$27,IF(K$12-$F46&lt;=24,2,3),FALSE))*(1+IF('Traditional Attrition'!K168&gt;0,'Attrition Modeling'!$N$9,0))),0))</f>
        <v>0</v>
      </c>
      <c r="L46" s="799">
        <f>IF(L$12=$F46+1,IF(Monthly!H$4=TRUE,0,L$3),IF(L$12&gt;$F46+1,RentalsVacates!K46*(1-IF(L$12-$F46&lt;=12,SUMIFS('Attrition Modeling'!$D:$D,'Attrition Modeling'!$B:$B,$E46,'Attrition Modeling'!$C:$C,L$11),VLOOKUP(RentalsVacates!L$12-RentalsVacates!$F46-1,RentalsVacates!$A$8:$C$162,2,FALSE)*VLOOKUP(L$11,'Attrition Modeling'!$L$15:$N$27,IF(L$12-$F46&lt;=24,2,3),FALSE))*(1+IF('Traditional Attrition'!L168&gt;0,'Attrition Modeling'!$N$9,0))),0))</f>
        <v>0</v>
      </c>
      <c r="M46" s="799">
        <f>IF(M$12=$F46+1,IF(Monthly!I$4=TRUE,0,M$3),IF(M$12&gt;$F46+1,RentalsVacates!L46*(1-IF(M$12-$F46&lt;=12,SUMIFS('Attrition Modeling'!$D:$D,'Attrition Modeling'!$B:$B,$E46,'Attrition Modeling'!$C:$C,M$11),VLOOKUP(RentalsVacates!M$12-RentalsVacates!$F46-1,RentalsVacates!$A$8:$C$162,2,FALSE)*VLOOKUP(M$11,'Attrition Modeling'!$L$15:$N$27,IF(M$12-$F46&lt;=24,2,3),FALSE))*(1+IF('Traditional Attrition'!M168&gt;0,'Attrition Modeling'!$N$9,0))),0))</f>
        <v>0</v>
      </c>
      <c r="N46" s="799">
        <f>IF(N$12=$F46+1,IF(Monthly!J$4=TRUE,0,N$3),IF(N$12&gt;$F46+1,RentalsVacates!M46*(1-IF(N$12-$F46&lt;=12,SUMIFS('Attrition Modeling'!$D:$D,'Attrition Modeling'!$B:$B,$E46,'Attrition Modeling'!$C:$C,N$11),VLOOKUP(RentalsVacates!N$12-RentalsVacates!$F46-1,RentalsVacates!$A$8:$C$162,2,FALSE)*VLOOKUP(N$11,'Attrition Modeling'!$L$15:$N$27,IF(N$12-$F46&lt;=24,2,3),FALSE))*(1+IF('Traditional Attrition'!N168&gt;0,'Attrition Modeling'!$N$9,0))),0))</f>
        <v>0</v>
      </c>
      <c r="O46" s="799">
        <f>IF(O$12=$F46+1,IF(Monthly!K$4=TRUE,0,O$3),IF(O$12&gt;$F46+1,RentalsVacates!N46*(1-IF(O$12-$F46&lt;=12,SUMIFS('Attrition Modeling'!$D:$D,'Attrition Modeling'!$B:$B,$E46,'Attrition Modeling'!$C:$C,O$11),VLOOKUP(RentalsVacates!O$12-RentalsVacates!$F46-1,RentalsVacates!$A$8:$C$162,2,FALSE)*VLOOKUP(O$11,'Attrition Modeling'!$L$15:$N$27,IF(O$12-$F46&lt;=24,2,3),FALSE))*(1+IF('Traditional Attrition'!O168&gt;0,'Attrition Modeling'!$N$9,0))),0))</f>
        <v>0</v>
      </c>
      <c r="P46" s="799">
        <f>IF(P$12=$F46+1,IF(Monthly!L$4=TRUE,0,P$3),IF(P$12&gt;$F46+1,RentalsVacates!O46*(1-IF(P$12-$F46&lt;=12,SUMIFS('Attrition Modeling'!$D:$D,'Attrition Modeling'!$B:$B,$E46,'Attrition Modeling'!$C:$C,P$11),VLOOKUP(RentalsVacates!P$12-RentalsVacates!$F46-1,RentalsVacates!$A$8:$C$162,2,FALSE)*VLOOKUP(P$11,'Attrition Modeling'!$L$15:$N$27,IF(P$12-$F46&lt;=24,2,3),FALSE))*(1+IF('Traditional Attrition'!P168&gt;0,'Attrition Modeling'!$N$9,0))),0))</f>
        <v>0</v>
      </c>
      <c r="Q46" s="799">
        <f>IF(Q$12=$F46+1,IF(Monthly!M$4=TRUE,0,Q$3),IF(Q$12&gt;$F46+1,RentalsVacates!P46*(1-IF(Q$12-$F46&lt;=12,SUMIFS('Attrition Modeling'!$D:$D,'Attrition Modeling'!$B:$B,$E46,'Attrition Modeling'!$C:$C,Q$11),VLOOKUP(RentalsVacates!Q$12-RentalsVacates!$F46-1,RentalsVacates!$A$8:$C$162,2,FALSE)*VLOOKUP(Q$11,'Attrition Modeling'!$L$15:$N$27,IF(Q$12-$F46&lt;=24,2,3),FALSE))*(1+IF('Traditional Attrition'!Q168&gt;0,'Attrition Modeling'!$N$9,0))),0))</f>
        <v>0</v>
      </c>
      <c r="R46" s="799">
        <f>IF(R$12=$F46+1,IF(Monthly!N$4=TRUE,0,R$3),IF(R$12&gt;$F46+1,RentalsVacates!Q46*(1-IF(R$12-$F46&lt;=12,SUMIFS('Attrition Modeling'!$D:$D,'Attrition Modeling'!$B:$B,$E46,'Attrition Modeling'!$C:$C,R$11),VLOOKUP(RentalsVacates!R$12-RentalsVacates!$F46-1,RentalsVacates!$A$8:$C$162,2,FALSE)*VLOOKUP(R$11,'Attrition Modeling'!$L$15:$N$27,IF(R$12-$F46&lt;=24,2,3),FALSE))*(1+IF('Traditional Attrition'!R168&gt;0,'Attrition Modeling'!$N$9,0))),0))</f>
        <v>0</v>
      </c>
      <c r="S46" s="799">
        <f>IF(S$12=$F46+1,IF(Monthly!O$4=TRUE,0,S$3),IF(S$12&gt;$F46+1,RentalsVacates!R46*(1-IF(S$12-$F46&lt;=12,SUMIFS('Attrition Modeling'!$D:$D,'Attrition Modeling'!$B:$B,$E46,'Attrition Modeling'!$C:$C,S$11),VLOOKUP(RentalsVacates!S$12-RentalsVacates!$F46-1,RentalsVacates!$A$8:$C$162,2,FALSE)*VLOOKUP(S$11,'Attrition Modeling'!$L$15:$N$27,IF(S$12-$F46&lt;=24,2,3),FALSE))*(1+IF('Traditional Attrition'!S168&gt;0,'Attrition Modeling'!$N$9,0))),0))</f>
        <v>0</v>
      </c>
      <c r="T46" s="799">
        <f>IF(T$12=$F46+1,IF(Monthly!P$4=TRUE,0,T$3),IF(T$12&gt;$F46+1,RentalsVacates!S46*(1-IF(T$12-$F46&lt;=12,SUMIFS('Attrition Modeling'!$D:$D,'Attrition Modeling'!$B:$B,$E46,'Attrition Modeling'!$C:$C,T$11),VLOOKUP(RentalsVacates!T$12-RentalsVacates!$F46-1,RentalsVacates!$A$8:$C$162,2,FALSE)*VLOOKUP(T$11,'Attrition Modeling'!$L$15:$N$27,IF(T$12-$F46&lt;=24,2,3),FALSE))*(1+IF('Traditional Attrition'!T168&gt;0,'Attrition Modeling'!$N$9,0))),0))</f>
        <v>0</v>
      </c>
      <c r="U46" s="799">
        <f>IF(U$12=$F46+1,IF(Monthly!Q$4=TRUE,0,U$3),IF(U$12&gt;$F46+1,RentalsVacates!T46*(1-IF(U$12-$F46&lt;=12,SUMIFS('Attrition Modeling'!$D:$D,'Attrition Modeling'!$B:$B,$E46,'Attrition Modeling'!$C:$C,U$11),VLOOKUP(RentalsVacates!U$12-RentalsVacates!$F46-1,RentalsVacates!$A$8:$C$162,2,FALSE)*VLOOKUP(U$11,'Attrition Modeling'!$L$15:$N$27,IF(U$12-$F46&lt;=24,2,3),FALSE))*(1+IF('Traditional Attrition'!U168&gt;0,'Attrition Modeling'!$N$9,0))),0))</f>
        <v>0</v>
      </c>
      <c r="V46" s="799">
        <f>IF(V$12=$F46+1,IF(Monthly!R$4=TRUE,0,V$3),IF(V$12&gt;$F46+1,RentalsVacates!U46*(1-IF(V$12-$F46&lt;=12,SUMIFS('Attrition Modeling'!$D:$D,'Attrition Modeling'!$B:$B,$E46,'Attrition Modeling'!$C:$C,V$11),VLOOKUP(RentalsVacates!V$12-RentalsVacates!$F46-1,RentalsVacates!$A$8:$C$162,2,FALSE)*VLOOKUP(V$11,'Attrition Modeling'!$L$15:$N$27,IF(V$12-$F46&lt;=24,2,3),FALSE))*(1+IF('Traditional Attrition'!V168&gt;0,'Attrition Modeling'!$N$9,0))),0))</f>
        <v>0</v>
      </c>
      <c r="W46" s="799">
        <f>IF(W$12=$F46+1,IF(Monthly!S$4=TRUE,0,W$3),IF(W$12&gt;$F46+1,RentalsVacates!V46*(1-IF(W$12-$F46&lt;=12,SUMIFS('Attrition Modeling'!$D:$D,'Attrition Modeling'!$B:$B,$E46,'Attrition Modeling'!$C:$C,W$11),VLOOKUP(RentalsVacates!W$12-RentalsVacates!$F46-1,RentalsVacates!$A$8:$C$162,2,FALSE)*VLOOKUP(W$11,'Attrition Modeling'!$L$15:$N$27,IF(W$12-$F46&lt;=24,2,3),FALSE))*(1+IF('Traditional Attrition'!W168&gt;0,'Attrition Modeling'!$N$9,0))),0))</f>
        <v>0</v>
      </c>
      <c r="X46" s="799">
        <f>IF(X$12=$F46+1,IF(Monthly!T$4=TRUE,0,X$3),IF(X$12&gt;$F46+1,RentalsVacates!W46*(1-IF(X$12-$F46&lt;=12,SUMIFS('Attrition Modeling'!$D:$D,'Attrition Modeling'!$B:$B,$E46,'Attrition Modeling'!$C:$C,X$11),VLOOKUP(RentalsVacates!X$12-RentalsVacates!$F46-1,RentalsVacates!$A$8:$C$162,2,FALSE)*VLOOKUP(X$11,'Attrition Modeling'!$L$15:$N$27,IF(X$12-$F46&lt;=24,2,3),FALSE))*(1+IF('Traditional Attrition'!X168&gt;0,'Attrition Modeling'!$N$9,0))),0))</f>
        <v>0</v>
      </c>
      <c r="Y46" s="799">
        <f>IF(Y$12=$F46+1,IF(Monthly!U$4=TRUE,0,Y$3),IF(Y$12&gt;$F46+1,RentalsVacates!X46*(1-IF(Y$12-$F46&lt;=12,SUMIFS('Attrition Modeling'!$D:$D,'Attrition Modeling'!$B:$B,$E46,'Attrition Modeling'!$C:$C,Y$11),VLOOKUP(RentalsVacates!Y$12-RentalsVacates!$F46-1,RentalsVacates!$A$8:$C$162,2,FALSE)*VLOOKUP(Y$11,'Attrition Modeling'!$L$15:$N$27,IF(Y$12-$F46&lt;=24,2,3),FALSE))*(1+IF('Traditional Attrition'!Y168&gt;0,'Attrition Modeling'!$N$9,0))),0))</f>
        <v>0</v>
      </c>
      <c r="Z46" s="799">
        <f>IF(Z$12=$F46+1,IF(Monthly!V$4=TRUE,0,Z$3),IF(Z$12&gt;$F46+1,RentalsVacates!Y46*(1-IF(Z$12-$F46&lt;=12,SUMIFS('Attrition Modeling'!$D:$D,'Attrition Modeling'!$B:$B,$E46,'Attrition Modeling'!$C:$C,Z$11),VLOOKUP(RentalsVacates!Z$12-RentalsVacates!$F46-1,RentalsVacates!$A$8:$C$162,2,FALSE)*VLOOKUP(Z$11,'Attrition Modeling'!$L$15:$N$27,IF(Z$12-$F46&lt;=24,2,3),FALSE))*(1+IF('Traditional Attrition'!Z168&gt;0,'Attrition Modeling'!$N$9,0))),0))</f>
        <v>0</v>
      </c>
      <c r="AA46" s="799">
        <f>IF(AA$12=$F46+1,IF(Monthly!W$4=TRUE,0,AA$3),IF(AA$12&gt;$F46+1,RentalsVacates!Z46*(1-IF(AA$12-$F46&lt;=12,SUMIFS('Attrition Modeling'!$D:$D,'Attrition Modeling'!$B:$B,$E46,'Attrition Modeling'!$C:$C,AA$11),VLOOKUP(RentalsVacates!AA$12-RentalsVacates!$F46-1,RentalsVacates!$A$8:$C$162,2,FALSE)*VLOOKUP(AA$11,'Attrition Modeling'!$L$15:$N$27,IF(AA$12-$F46&lt;=24,2,3),FALSE))*(1+IF('Traditional Attrition'!AA168&gt;0,'Attrition Modeling'!$N$9,0))),0))</f>
        <v>0</v>
      </c>
      <c r="AB46" s="799">
        <f>IF(AB$12=$F46+1,IF(Monthly!X$4=TRUE,0,AB$3),IF(AB$12&gt;$F46+1,RentalsVacates!AA46*(1-IF(AB$12-$F46&lt;=12,SUMIFS('Attrition Modeling'!$D:$D,'Attrition Modeling'!$B:$B,$E46,'Attrition Modeling'!$C:$C,AB$11),VLOOKUP(RentalsVacates!AB$12-RentalsVacates!$F46-1,RentalsVacates!$A$8:$C$162,2,FALSE)*VLOOKUP(AB$11,'Attrition Modeling'!$L$15:$N$27,IF(AB$12-$F46&lt;=24,2,3),FALSE))*(1+IF('Traditional Attrition'!AB168&gt;0,'Attrition Modeling'!$N$9,0))),0))</f>
        <v>0</v>
      </c>
      <c r="AC46" s="799">
        <f>IF(AC$12=$F46+1,IF(Monthly!Y$4=TRUE,0,AC$3),IF(AC$12&gt;$F46+1,RentalsVacates!AB46*(1-IF(AC$12-$F46&lt;=12,SUMIFS('Attrition Modeling'!$D:$D,'Attrition Modeling'!$B:$B,$E46,'Attrition Modeling'!$C:$C,AC$11),VLOOKUP(RentalsVacates!AC$12-RentalsVacates!$F46-1,RentalsVacates!$A$8:$C$162,2,FALSE)*VLOOKUP(AC$11,'Attrition Modeling'!$L$15:$N$27,IF(AC$12-$F46&lt;=24,2,3),FALSE))*(1+IF('Traditional Attrition'!AC168&gt;0,'Attrition Modeling'!$N$9,0))),0))</f>
        <v>0</v>
      </c>
      <c r="AD46" s="799">
        <f>IF(AD$12=$F46+1,IF(Monthly!Z$4=TRUE,0,AD$3),IF(AD$12&gt;$F46+1,RentalsVacates!AC46*(1-IF(AD$12-$F46&lt;=12,SUMIFS('Attrition Modeling'!$D:$D,'Attrition Modeling'!$B:$B,$E46,'Attrition Modeling'!$C:$C,AD$11),VLOOKUP(RentalsVacates!AD$12-RentalsVacates!$F46-1,RentalsVacates!$A$8:$C$162,2,FALSE)*VLOOKUP(AD$11,'Attrition Modeling'!$L$15:$N$27,IF(AD$12-$F46&lt;=24,2,3),FALSE))*(1+IF('Traditional Attrition'!AD168&gt;0,'Attrition Modeling'!$N$9,0))),0))</f>
        <v>0</v>
      </c>
      <c r="AE46" s="799">
        <f>IF(AE$12=$F46+1,IF(Monthly!AA$4=TRUE,0,AE$3),IF(AE$12&gt;$F46+1,RentalsVacates!AD46*(1-IF(AE$12-$F46&lt;=12,SUMIFS('Attrition Modeling'!$D:$D,'Attrition Modeling'!$B:$B,$E46,'Attrition Modeling'!$C:$C,AE$11),VLOOKUP(RentalsVacates!AE$12-RentalsVacates!$F46-1,RentalsVacates!$A$8:$C$162,2,FALSE)*VLOOKUP(AE$11,'Attrition Modeling'!$L$15:$N$27,IF(AE$12-$F46&lt;=24,2,3),FALSE))*(1+IF('Traditional Attrition'!AE168&gt;0,'Attrition Modeling'!$N$9,0))),0))</f>
        <v>0</v>
      </c>
      <c r="AF46" s="799">
        <f>IF(AF$12=$F46+1,IF(Monthly!AB$4=TRUE,0,AF$3),IF(AF$12&gt;$F46+1,RentalsVacates!AE46*(1-IF(AF$12-$F46&lt;=12,SUMIFS('Attrition Modeling'!$D:$D,'Attrition Modeling'!$B:$B,$E46,'Attrition Modeling'!$C:$C,AF$11),VLOOKUP(RentalsVacates!AF$12-RentalsVacates!$F46-1,RentalsVacates!$A$8:$C$162,2,FALSE)*VLOOKUP(AF$11,'Attrition Modeling'!$L$15:$N$27,IF(AF$12-$F46&lt;=24,2,3),FALSE))*(1+IF('Traditional Attrition'!AF168&gt;0,'Attrition Modeling'!$N$9,0))),0))</f>
        <v>0</v>
      </c>
      <c r="AG46" s="799">
        <f>IF(AG$12=$F46+1,IF(Monthly!AC$4=TRUE,0,AG$3),IF(AG$12&gt;$F46+1,RentalsVacates!AF46*(1-IF(AG$12-$F46&lt;=12,SUMIFS('Attrition Modeling'!$D:$D,'Attrition Modeling'!$B:$B,$E46,'Attrition Modeling'!$C:$C,AG$11),VLOOKUP(RentalsVacates!AG$12-RentalsVacates!$F46-1,RentalsVacates!$A$8:$C$162,2,FALSE)*VLOOKUP(AG$11,'Attrition Modeling'!$L$15:$N$27,IF(AG$12-$F46&lt;=24,2,3),FALSE))*(1+IF('Traditional Attrition'!AG168&gt;0,'Attrition Modeling'!$N$9,0))),0))</f>
        <v>0</v>
      </c>
      <c r="AH46" s="799">
        <f>IF(AH$12=$F46+1,IF(Monthly!AD$4=TRUE,0,AH$3),IF(AH$12&gt;$F46+1,RentalsVacates!AG46*(1-IF(AH$12-$F46&lt;=12,SUMIFS('Attrition Modeling'!$D:$D,'Attrition Modeling'!$B:$B,$E46,'Attrition Modeling'!$C:$C,AH$11),VLOOKUP(RentalsVacates!AH$12-RentalsVacates!$F46-1,RentalsVacates!$A$8:$C$162,2,FALSE)*VLOOKUP(AH$11,'Attrition Modeling'!$L$15:$N$27,IF(AH$12-$F46&lt;=24,2,3),FALSE))*(1+IF('Traditional Attrition'!AH168&gt;0,'Attrition Modeling'!$N$9,0))),0))</f>
        <v>0</v>
      </c>
      <c r="AI46" s="799">
        <f>IF(AI$12=$F46+1,IF(Monthly!AE$4=TRUE,0,AI$3),IF(AI$12&gt;$F46+1,RentalsVacates!AH46*(1-IF(AI$12-$F46&lt;=12,SUMIFS('Attrition Modeling'!$D:$D,'Attrition Modeling'!$B:$B,$E46,'Attrition Modeling'!$C:$C,AI$11),VLOOKUP(RentalsVacates!AI$12-RentalsVacates!$F46-1,RentalsVacates!$A$8:$C$162,2,FALSE)*VLOOKUP(AI$11,'Attrition Modeling'!$L$15:$N$27,IF(AI$12-$F46&lt;=24,2,3),FALSE))*(1+IF('Traditional Attrition'!AI168&gt;0,'Attrition Modeling'!$N$9,0))),0))</f>
        <v>0</v>
      </c>
      <c r="AJ46" s="799">
        <f>IF(AJ$12=$F46+1,IF(Monthly!AF$4=TRUE,0,AJ$3),IF(AJ$12&gt;$F46+1,RentalsVacates!AI46*(1-IF(AJ$12-$F46&lt;=12,SUMIFS('Attrition Modeling'!$D:$D,'Attrition Modeling'!$B:$B,$E46,'Attrition Modeling'!$C:$C,AJ$11),VLOOKUP(RentalsVacates!AJ$12-RentalsVacates!$F46-1,RentalsVacates!$A$8:$C$162,2,FALSE)*VLOOKUP(AJ$11,'Attrition Modeling'!$L$15:$N$27,IF(AJ$12-$F46&lt;=24,2,3),FALSE))*(1+IF('Traditional Attrition'!AJ168&gt;0,'Attrition Modeling'!$N$9,0))),0))</f>
        <v>0</v>
      </c>
      <c r="AK46" s="799">
        <f>IF(AK$12=$F46+1,IF(Monthly!AG$4=TRUE,0,AK$3),IF(AK$12&gt;$F46+1,RentalsVacates!AJ46*(1-IF(AK$12-$F46&lt;=12,SUMIFS('Attrition Modeling'!$D:$D,'Attrition Modeling'!$B:$B,$E46,'Attrition Modeling'!$C:$C,AK$11),VLOOKUP(RentalsVacates!AK$12-RentalsVacates!$F46-1,RentalsVacates!$A$8:$C$162,2,FALSE)*VLOOKUP(AK$11,'Attrition Modeling'!$L$15:$N$27,IF(AK$12-$F46&lt;=24,2,3),FALSE))*(1+IF('Traditional Attrition'!AK168&gt;0,'Attrition Modeling'!$N$9,0))),0))</f>
        <v>0</v>
      </c>
      <c r="AL46" s="799">
        <f>IF(AL$12=$F46+1,IF(Monthly!AH$4=TRUE,0,AL$3),IF(AL$12&gt;$F46+1,RentalsVacates!AK46*(1-IF(AL$12-$F46&lt;=12,SUMIFS('Attrition Modeling'!$D:$D,'Attrition Modeling'!$B:$B,$E46,'Attrition Modeling'!$C:$C,AL$11),VLOOKUP(RentalsVacates!AL$12-RentalsVacates!$F46-1,RentalsVacates!$A$8:$C$162,2,FALSE)*VLOOKUP(AL$11,'Attrition Modeling'!$L$15:$N$27,IF(AL$12-$F46&lt;=24,2,3),FALSE))*(1+IF('Traditional Attrition'!AL168&gt;0,'Attrition Modeling'!$N$9,0))),0))</f>
        <v>0</v>
      </c>
      <c r="AM46" s="799">
        <f>IF(AM$12=$F46+1,IF(Monthly!AI$4=TRUE,0,AM$3),IF(AM$12&gt;$F46+1,RentalsVacates!AL46*(1-IF(AM$12-$F46&lt;=12,SUMIFS('Attrition Modeling'!$D:$D,'Attrition Modeling'!$B:$B,$E46,'Attrition Modeling'!$C:$C,AM$11),VLOOKUP(RentalsVacates!AM$12-RentalsVacates!$F46-1,RentalsVacates!$A$8:$C$162,2,FALSE)*VLOOKUP(AM$11,'Attrition Modeling'!$L$15:$N$27,IF(AM$12-$F46&lt;=24,2,3),FALSE))*(1+IF('Traditional Attrition'!AM168&gt;0,'Attrition Modeling'!$N$9,0))),0))</f>
        <v>0</v>
      </c>
      <c r="AN46" s="799">
        <f>IF(AN$12=$F46+1,IF(Monthly!AJ$4=TRUE,0,AN$3),IF(AN$12&gt;$F46+1,RentalsVacates!AM46*(1-IF(AN$12-$F46&lt;=12,SUMIFS('Attrition Modeling'!$D:$D,'Attrition Modeling'!$B:$B,$E46,'Attrition Modeling'!$C:$C,AN$11),VLOOKUP(RentalsVacates!AN$12-RentalsVacates!$F46-1,RentalsVacates!$A$8:$C$162,2,FALSE)*VLOOKUP(AN$11,'Attrition Modeling'!$L$15:$N$27,IF(AN$12-$F46&lt;=24,2,3),FALSE))*(1+IF('Traditional Attrition'!AN168&gt;0,'Attrition Modeling'!$N$9,0))),0))</f>
        <v>0</v>
      </c>
      <c r="AO46" s="799">
        <f>IF(AO$12=$F46+1,IF(Monthly!AK$4=TRUE,0,AO$3),IF(AO$12&gt;$F46+1,RentalsVacates!AN46*(1-IF(AO$12-$F46&lt;=12,SUMIFS('Attrition Modeling'!$D:$D,'Attrition Modeling'!$B:$B,$E46,'Attrition Modeling'!$C:$C,AO$11),VLOOKUP(RentalsVacates!AO$12-RentalsVacates!$F46-1,RentalsVacates!$A$8:$C$162,2,FALSE)*VLOOKUP(AO$11,'Attrition Modeling'!$L$15:$N$27,IF(AO$12-$F46&lt;=24,2,3),FALSE))*(1+IF('Traditional Attrition'!AO168&gt;0,'Attrition Modeling'!$N$9,0))),0))</f>
        <v>8166.6313360117347</v>
      </c>
      <c r="AP46" s="799">
        <f>IF(AP$12=$F46+1,IF(Monthly!AL$4=TRUE,0,AP$3),IF(AP$12&gt;$F46+1,RentalsVacates!AO46*(1-IF(AP$12-$F46&lt;=12,SUMIFS('Attrition Modeling'!$D:$D,'Attrition Modeling'!$B:$B,$E46,'Attrition Modeling'!$C:$C,AP$11),VLOOKUP(RentalsVacates!AP$12-RentalsVacates!$F46-1,RentalsVacates!$A$8:$C$162,2,FALSE)*VLOOKUP(AP$11,'Attrition Modeling'!$L$15:$N$27,IF(AP$12-$F46&lt;=24,2,3),FALSE))*(1+IF('Traditional Attrition'!AP168&gt;0,'Attrition Modeling'!$N$9,0))),0))</f>
        <v>7348.5120920433501</v>
      </c>
      <c r="AQ46" s="799">
        <f>IF(AQ$12=$F46+1,IF(Monthly!AM$4=TRUE,0,AQ$3),IF(AQ$12&gt;$F46+1,RentalsVacates!AP46*(1-IF(AQ$12-$F46&lt;=12,SUMIFS('Attrition Modeling'!$D:$D,'Attrition Modeling'!$B:$B,$E46,'Attrition Modeling'!$C:$C,AQ$11),VLOOKUP(RentalsVacates!AQ$12-RentalsVacates!$F46-1,RentalsVacates!$A$8:$C$162,2,FALSE)*VLOOKUP(AQ$11,'Attrition Modeling'!$L$15:$N$27,IF(AQ$12-$F46&lt;=24,2,3),FALSE))*(1+IF('Traditional Attrition'!AQ168&gt;0,'Attrition Modeling'!$N$9,0))),0))</f>
        <v>6703.4025291797088</v>
      </c>
      <c r="AR46" s="799">
        <f>IF(AR$12=$F46+1,IF(Monthly!AN$4=TRUE,0,AR$3),IF(AR$12&gt;$F46+1,RentalsVacates!AQ46*(1-IF(AR$12-$F46&lt;=12,SUMIFS('Attrition Modeling'!$D:$D,'Attrition Modeling'!$B:$B,$E46,'Attrition Modeling'!$C:$C,AR$11),VLOOKUP(RentalsVacates!AR$12-RentalsVacates!$F46-1,RentalsVacates!$A$8:$C$162,2,FALSE)*VLOOKUP(AR$11,'Attrition Modeling'!$L$15:$N$27,IF(AR$12-$F46&lt;=24,2,3),FALSE))*(1+IF('Traditional Attrition'!AR168&gt;0,'Attrition Modeling'!$N$9,0))),0))</f>
        <v>6154.8672563265018</v>
      </c>
      <c r="AS46" s="799">
        <f>IF(AS$12=$F46+1,IF(Monthly!AO$4=TRUE,0,AS$3),IF(AS$12&gt;$F46+1,RentalsVacates!AR46*(1-IF(AS$12-$F46&lt;=12,SUMIFS('Attrition Modeling'!$D:$D,'Attrition Modeling'!$B:$B,$E46,'Attrition Modeling'!$C:$C,AS$11),VLOOKUP(RentalsVacates!AS$12-RentalsVacates!$F46-1,RentalsVacates!$A$8:$C$162,2,FALSE)*VLOOKUP(AS$11,'Attrition Modeling'!$L$15:$N$27,IF(AS$12-$F46&lt;=24,2,3),FALSE))*(1+IF('Traditional Attrition'!AS168&gt;0,'Attrition Modeling'!$N$9,0))),0))</f>
        <v>5700.8236220573845</v>
      </c>
      <c r="AT46" s="799">
        <f>IF(AT$12=$F46+1,IF(Monthly!AP$4=TRUE,0,AT$3),IF(AT$12&gt;$F46+1,RentalsVacates!AS46*(1-IF(AT$12-$F46&lt;=12,SUMIFS('Attrition Modeling'!$D:$D,'Attrition Modeling'!$B:$B,$E46,'Attrition Modeling'!$C:$C,AT$11),VLOOKUP(RentalsVacates!AT$12-RentalsVacates!$F46-1,RentalsVacates!$A$8:$C$162,2,FALSE)*VLOOKUP(AT$11,'Attrition Modeling'!$L$15:$N$27,IF(AT$12-$F46&lt;=24,2,3),FALSE))*(1+IF('Traditional Attrition'!AT168&gt;0,'Attrition Modeling'!$N$9,0))),0))</f>
        <v>5116.8582493144995</v>
      </c>
      <c r="AU46" s="799">
        <f>IF(AU$12=$F46+1,IF(Monthly!AQ$4=TRUE,0,AU$3),IF(AU$12&gt;$F46+1,RentalsVacates!AT46*(1-IF(AU$12-$F46&lt;=12,SUMIFS('Attrition Modeling'!$D:$D,'Attrition Modeling'!$B:$B,$E46,'Attrition Modeling'!$C:$C,AU$11),VLOOKUP(RentalsVacates!AU$12-RentalsVacates!$F46-1,RentalsVacates!$A$8:$C$162,2,FALSE)*VLOOKUP(AU$11,'Attrition Modeling'!$L$15:$N$27,IF(AU$12-$F46&lt;=24,2,3),FALSE))*(1+IF('Traditional Attrition'!AU168&gt;0,'Attrition Modeling'!$N$9,0))),0))</f>
        <v>4745.0450194173409</v>
      </c>
      <c r="AV46" s="799">
        <f>IF(AV$12=$F46+1,IF(Monthly!AR$4=TRUE,0,AV$3),IF(AV$12&gt;$F46+1,RentalsVacates!AU46*(1-IF(AV$12-$F46&lt;=12,SUMIFS('Attrition Modeling'!$D:$D,'Attrition Modeling'!$B:$B,$E46,'Attrition Modeling'!$C:$C,AV$11),VLOOKUP(RentalsVacates!AV$12-RentalsVacates!$F46-1,RentalsVacates!$A$8:$C$162,2,FALSE)*VLOOKUP(AV$11,'Attrition Modeling'!$L$15:$N$27,IF(AV$12-$F46&lt;=24,2,3),FALSE))*(1+IF('Traditional Attrition'!AV168&gt;0,'Attrition Modeling'!$N$9,0))),0))</f>
        <v>4407.4812830242863</v>
      </c>
      <c r="AW46" s="799">
        <f>IF(AW$12=$F46+1,IF(Monthly!AS$4=TRUE,0,AW$3),IF(AW$12&gt;$F46+1,RentalsVacates!AV46*(1-IF(AW$12-$F46&lt;=12,SUMIFS('Attrition Modeling'!$D:$D,'Attrition Modeling'!$B:$B,$E46,'Attrition Modeling'!$C:$C,AW$11),VLOOKUP(RentalsVacates!AW$12-RentalsVacates!$F46-1,RentalsVacates!$A$8:$C$162,2,FALSE)*VLOOKUP(AW$11,'Attrition Modeling'!$L$15:$N$27,IF(AW$12-$F46&lt;=24,2,3),FALSE))*(1+IF('Traditional Attrition'!AW168&gt;0,'Attrition Modeling'!$N$9,0))),0))</f>
        <v>4103.9792570124</v>
      </c>
      <c r="AX46" s="799">
        <f>IF(AX$12=$F46+1,IF(Monthly!AT$4=TRUE,0,AX$3),IF(AX$12&gt;$F46+1,RentalsVacates!AW46*(1-IF(AX$12-$F46&lt;=12,SUMIFS('Attrition Modeling'!$D:$D,'Attrition Modeling'!$B:$B,$E46,'Attrition Modeling'!$C:$C,AX$11),VLOOKUP(RentalsVacates!AX$12-RentalsVacates!$F46-1,RentalsVacates!$A$8:$C$162,2,FALSE)*VLOOKUP(AX$11,'Attrition Modeling'!$L$15:$N$27,IF(AX$12-$F46&lt;=24,2,3),FALSE))*(1+IF('Traditional Attrition'!AX168&gt;0,'Attrition Modeling'!$N$9,0))),0))</f>
        <v>3852.0689253778423</v>
      </c>
      <c r="AY46" s="799">
        <f>IF(AY$12=$F46+1,IF(Monthly!AU$4=TRUE,0,AY$3),IF(AY$12&gt;$F46+1,RentalsVacates!AX46*(1-IF(AY$12-$F46&lt;=12,SUMIFS('Attrition Modeling'!$D:$D,'Attrition Modeling'!$B:$B,$E46,'Attrition Modeling'!$C:$C,AY$11),VLOOKUP(RentalsVacates!AY$12-RentalsVacates!$F46-1,RentalsVacates!$A$8:$C$162,2,FALSE)*VLOOKUP(AY$11,'Attrition Modeling'!$L$15:$N$27,IF(AY$12-$F46&lt;=24,2,3),FALSE))*(1+IF('Traditional Attrition'!AY168&gt;0,'Attrition Modeling'!$N$9,0))),0))</f>
        <v>3625.1096852979795</v>
      </c>
      <c r="AZ46" s="799">
        <f>IF(AZ$12=$F46+1,IF(Monthly!AV$4=TRUE,0,AZ$3),IF(AZ$12&gt;$F46+1,RentalsVacates!AY46*(1-IF(AZ$12-$F46&lt;=12,SUMIFS('Attrition Modeling'!$D:$D,'Attrition Modeling'!$B:$B,$E46,'Attrition Modeling'!$C:$C,AZ$11),VLOOKUP(RentalsVacates!AZ$12-RentalsVacates!$F46-1,RentalsVacates!$A$8:$C$162,2,FALSE)*VLOOKUP(AZ$11,'Attrition Modeling'!$L$15:$N$27,IF(AZ$12-$F46&lt;=24,2,3),FALSE))*(1+IF('Traditional Attrition'!AZ168&gt;0,'Attrition Modeling'!$N$9,0))),0))</f>
        <v>3469.8455849569236</v>
      </c>
      <c r="BA46" s="799">
        <f>IF(BA$12=$F46+1,IF(Monthly!AW$4=TRUE,0,BA$3),IF(BA$12&gt;$F46+1,RentalsVacates!AZ46*(1-IF(BA$12-$F46&lt;=12,SUMIFS('Attrition Modeling'!$D:$D,'Attrition Modeling'!$B:$B,$E46,'Attrition Modeling'!$C:$C,BA$11),VLOOKUP(RentalsVacates!BA$12-RentalsVacates!$F46-1,RentalsVacates!$A$8:$C$162,2,FALSE)*VLOOKUP(BA$11,'Attrition Modeling'!$L$15:$N$27,IF(BA$12-$F46&lt;=24,2,3),FALSE))*(1+IF('Traditional Attrition'!BA168&gt;0,'Attrition Modeling'!$N$9,0))),0))</f>
        <v>3273.7777787421569</v>
      </c>
      <c r="BB46" s="799">
        <f>IF(BB$12=$F46+1,IF(Monthly!AX$4=TRUE,0,BB$3),IF(BB$12&gt;$F46+1,RentalsVacates!BA46*(1-IF(BB$12-$F46&lt;=12,SUMIFS('Attrition Modeling'!$D:$D,'Attrition Modeling'!$B:$B,$E46,'Attrition Modeling'!$C:$C,BB$11),VLOOKUP(RentalsVacates!BB$12-RentalsVacates!$F46-1,RentalsVacates!$A$8:$C$162,2,FALSE)*VLOOKUP(BB$11,'Attrition Modeling'!$L$15:$N$27,IF(BB$12-$F46&lt;=24,2,3),FALSE))*(1+IF('Traditional Attrition'!BB168&gt;0,'Attrition Modeling'!$N$9,0))),0))</f>
        <v>3109.5656950860207</v>
      </c>
      <c r="BC46" s="799">
        <f>IF(BC$12=$F46+1,IF(Monthly!AY$4=TRUE,0,BC$3),IF(BC$12&gt;$F46+1,RentalsVacates!BB46*(1-IF(BC$12-$F46&lt;=12,SUMIFS('Attrition Modeling'!$D:$D,'Attrition Modeling'!$B:$B,$E46,'Attrition Modeling'!$C:$C,BC$11),VLOOKUP(RentalsVacates!BC$12-RentalsVacates!$F46-1,RentalsVacates!$A$8:$C$162,2,FALSE)*VLOOKUP(BC$11,'Attrition Modeling'!$L$15:$N$27,IF(BC$12-$F46&lt;=24,2,3),FALSE))*(1+IF('Traditional Attrition'!BC168&gt;0,'Attrition Modeling'!$N$9,0))),0))</f>
        <v>2962.786122103767</v>
      </c>
      <c r="BD46" s="799">
        <f>IF(BD$12=$F46+1,IF(Monthly!AZ$4=TRUE,0,BD$3),IF(BD$12&gt;$F46+1,RentalsVacates!BC46*(1-IF(BD$12-$F46&lt;=12,SUMIFS('Attrition Modeling'!$D:$D,'Attrition Modeling'!$B:$B,$E46,'Attrition Modeling'!$C:$C,BD$11),VLOOKUP(RentalsVacates!BD$12-RentalsVacates!$F46-1,RentalsVacates!$A$8:$C$162,2,FALSE)*VLOOKUP(BD$11,'Attrition Modeling'!$L$15:$N$27,IF(BD$12-$F46&lt;=24,2,3),FALSE))*(1+IF('Traditional Attrition'!BD168&gt;0,'Attrition Modeling'!$N$9,0))),0))</f>
        <v>2827.9220619333259</v>
      </c>
      <c r="BE46" s="799">
        <f>IF(BE$12=$F46+1,IF(Monthly!BA$4=TRUE,0,BE$3),IF(BE$12&gt;$F46+1,RentalsVacates!BD46*(1-IF(BE$12-$F46&lt;=12,SUMIFS('Attrition Modeling'!$D:$D,'Attrition Modeling'!$B:$B,$E46,'Attrition Modeling'!$C:$C,BE$11),VLOOKUP(RentalsVacates!BE$12-RentalsVacates!$F46-1,RentalsVacates!$A$8:$C$162,2,FALSE)*VLOOKUP(BE$11,'Attrition Modeling'!$L$15:$N$27,IF(BE$12-$F46&lt;=24,2,3),FALSE))*(1+IF('Traditional Attrition'!BE168&gt;0,'Attrition Modeling'!$N$9,0))),0))</f>
        <v>2715.2134796533833</v>
      </c>
      <c r="BF46" s="799">
        <f>IF(BF$12=$F46+1,IF(Monthly!BB$4=TRUE,0,BF$3),IF(BF$12&gt;$F46+1,RentalsVacates!BE46*(1-IF(BF$12-$F46&lt;=12,SUMIFS('Attrition Modeling'!$D:$D,'Attrition Modeling'!$B:$B,$E46,'Attrition Modeling'!$C:$C,BF$11),VLOOKUP(RentalsVacates!BF$12-RentalsVacates!$F46-1,RentalsVacates!$A$8:$C$162,2,FALSE)*VLOOKUP(BF$11,'Attrition Modeling'!$L$15:$N$27,IF(BF$12-$F46&lt;=24,2,3),FALSE))*(1+IF('Traditional Attrition'!BF168&gt;0,'Attrition Modeling'!$N$9,0))),0))</f>
        <v>2577.352819576497</v>
      </c>
      <c r="BG46" s="799">
        <f>IF(BG$12=$F46+1,IF(Monthly!BC$4=TRUE,0,BG$3),IF(BG$12&gt;$F46+1,RentalsVacates!BF46*(1-IF(BG$12-$F46&lt;=12,SUMIFS('Attrition Modeling'!$D:$D,'Attrition Modeling'!$B:$B,$E46,'Attrition Modeling'!$C:$C,BG$11),VLOOKUP(RentalsVacates!BG$12-RentalsVacates!$F46-1,RentalsVacates!$A$8:$C$162,2,FALSE)*VLOOKUP(BG$11,'Attrition Modeling'!$L$15:$N$27,IF(BG$12-$F46&lt;=24,2,3),FALSE))*(1+IF('Traditional Attrition'!BG168&gt;0,'Attrition Modeling'!$N$9,0))),0))</f>
        <v>2472.432453118071</v>
      </c>
      <c r="BH46" s="799">
        <f>IF(BH$12=$F46+1,IF(Monthly!BD$4=TRUE,0,BH$3),IF(BH$12&gt;$F46+1,RentalsVacates!BG46*(1-IF(BH$12-$F46&lt;=12,SUMIFS('Attrition Modeling'!$D:$D,'Attrition Modeling'!$B:$B,$E46,'Attrition Modeling'!$C:$C,BH$11),VLOOKUP(RentalsVacates!BH$12-RentalsVacates!$F46-1,RentalsVacates!$A$8:$C$162,2,FALSE)*VLOOKUP(BH$11,'Attrition Modeling'!$L$15:$N$27,IF(BH$12-$F46&lt;=24,2,3),FALSE))*(1+IF('Traditional Attrition'!BH168&gt;0,'Attrition Modeling'!$N$9,0))),0))</f>
        <v>2374.4007307405827</v>
      </c>
      <c r="BI46" s="799">
        <f>IF(BI$12=$F46+1,IF(Monthly!BE$4=TRUE,0,BI$3),IF(BI$12&gt;$F46+1,RentalsVacates!BH46*(1-IF(BI$12-$F46&lt;=12,SUMIFS('Attrition Modeling'!$D:$D,'Attrition Modeling'!$B:$B,$E46,'Attrition Modeling'!$C:$C,BI$11),VLOOKUP(RentalsVacates!BI$12-RentalsVacates!$F46-1,RentalsVacates!$A$8:$C$162,2,FALSE)*VLOOKUP(BI$11,'Attrition Modeling'!$L$15:$N$27,IF(BI$12-$F46&lt;=24,2,3),FALSE))*(1+IF('Traditional Attrition'!BI168&gt;0,'Attrition Modeling'!$N$9,0))),0))</f>
        <v>2272.8074862593389</v>
      </c>
      <c r="BJ46" s="799">
        <f>IF(BJ$12=$F46+1,IF(Monthly!BF$4=TRUE,0,BJ$3),IF(BJ$12&gt;$F46+1,RentalsVacates!BI46*(1-IF(BJ$12-$F46&lt;=12,SUMIFS('Attrition Modeling'!$D:$D,'Attrition Modeling'!$B:$B,$E46,'Attrition Modeling'!$C:$C,BJ$11),VLOOKUP(RentalsVacates!BJ$12-RentalsVacates!$F46-1,RentalsVacates!$A$8:$C$162,2,FALSE)*VLOOKUP(BJ$11,'Attrition Modeling'!$L$15:$N$27,IF(BJ$12-$F46&lt;=24,2,3),FALSE))*(1+IF('Traditional Attrition'!BJ168&gt;0,'Attrition Modeling'!$N$9,0))),0))</f>
        <v>2174.8069409304198</v>
      </c>
      <c r="BK46" s="799">
        <f>IF(BK$12=$F46+1,IF(Monthly!BG$4=TRUE,0,BK$3),IF(BK$12&gt;$F46+1,RentalsVacates!BJ46*(1-IF(BK$12-$F46&lt;=12,SUMIFS('Attrition Modeling'!$D:$D,'Attrition Modeling'!$B:$B,$E46,'Attrition Modeling'!$C:$C,BK$11),VLOOKUP(RentalsVacates!BK$12-RentalsVacates!$F46-1,RentalsVacates!$A$8:$C$162,2,FALSE)*VLOOKUP(BK$11,'Attrition Modeling'!$L$15:$N$27,IF(BK$12-$F46&lt;=24,2,3),FALSE))*(1+IF('Traditional Attrition'!BK168&gt;0,'Attrition Modeling'!$N$9,0))),0))</f>
        <v>2078.283605491833</v>
      </c>
      <c r="BL46" s="799">
        <f>IF(BL$12=$F46+1,IF(Monthly!BH$4=TRUE,0,BL$3),IF(BL$12&gt;$F46+1,RentalsVacates!BK46*(1-IF(BL$12-$F46&lt;=12,SUMIFS('Attrition Modeling'!$D:$D,'Attrition Modeling'!$B:$B,$E46,'Attrition Modeling'!$C:$C,BL$11),VLOOKUP(RentalsVacates!BL$12-RentalsVacates!$F46-1,RentalsVacates!$A$8:$C$162,2,FALSE)*VLOOKUP(BL$11,'Attrition Modeling'!$L$15:$N$27,IF(BL$12-$F46&lt;=24,2,3),FALSE))*(1+IF('Traditional Attrition'!BL168&gt;0,'Attrition Modeling'!$N$9,0))),0))</f>
        <v>1995.2862030293304</v>
      </c>
      <c r="BM46" s="799">
        <f>IF(BM$12=$F46+1,IF(Monthly!BI$4=TRUE,0,BM$3),IF(BM$12&gt;$F46+1,RentalsVacates!BL46*(1-IF(BM$12-$F46&lt;=12,SUMIFS('Attrition Modeling'!$D:$D,'Attrition Modeling'!$B:$B,$E46,'Attrition Modeling'!$C:$C,BM$11),VLOOKUP(RentalsVacates!BM$12-RentalsVacates!$F46-1,RentalsVacates!$A$8:$C$162,2,FALSE)*VLOOKUP(BM$11,'Attrition Modeling'!$L$15:$N$27,IF(BM$12-$F46&lt;=24,2,3),FALSE))*(1+IF('Traditional Attrition'!BM168&gt;0,'Attrition Modeling'!$N$9,0))),0))</f>
        <v>1915.7705832075585</v>
      </c>
      <c r="BN46" s="799">
        <f>IF(BN$12=$F46+1,IF(Monthly!BJ$4=TRUE,0,BN$3),IF(BN$12&gt;$F46+1,RentalsVacates!BM46*(1-IF(BN$12-$F46&lt;=12,SUMIFS('Attrition Modeling'!$D:$D,'Attrition Modeling'!$B:$B,$E46,'Attrition Modeling'!$C:$C,BN$11),VLOOKUP(RentalsVacates!BN$12-RentalsVacates!$F46-1,RentalsVacates!$A$8:$C$162,2,FALSE)*VLOOKUP(BN$11,'Attrition Modeling'!$L$15:$N$27,IF(BN$12-$F46&lt;=24,2,3),FALSE))*(1+IF('Traditional Attrition'!BN168&gt;0,'Attrition Modeling'!$N$9,0))),0))</f>
        <v>1842.1888746787799</v>
      </c>
      <c r="BO46" s="799">
        <f>IF(BO$12=$F46+1,IF(Monthly!BK$4=TRUE,0,BO$3),IF(BO$12&gt;$F46+1,RentalsVacates!BN46*(1-IF(BO$12-$F46&lt;=12,SUMIFS('Attrition Modeling'!$D:$D,'Attrition Modeling'!$B:$B,$E46,'Attrition Modeling'!$C:$C,BO$11),VLOOKUP(RentalsVacates!BO$12-RentalsVacates!$F46-1,RentalsVacates!$A$8:$C$162,2,FALSE)*VLOOKUP(BO$11,'Attrition Modeling'!$L$15:$N$27,IF(BO$12-$F46&lt;=24,2,3),FALSE))*(1+IF('Traditional Attrition'!BO168&gt;0,'Attrition Modeling'!$N$9,0))),0))</f>
        <v>1784.6710006704704</v>
      </c>
      <c r="BP46" s="799">
        <f>IF(BP$12=$F46+1,IF(Monthly!BL$4=TRUE,0,BP$3),IF(BP$12&gt;$F46+1,RentalsVacates!BO46*(1-IF(BP$12-$F46&lt;=12,SUMIFS('Attrition Modeling'!$D:$D,'Attrition Modeling'!$B:$B,$E46,'Attrition Modeling'!$C:$C,BP$11),VLOOKUP(RentalsVacates!BP$12-RentalsVacates!$F46-1,RentalsVacates!$A$8:$C$162,2,FALSE)*VLOOKUP(BP$11,'Attrition Modeling'!$L$15:$N$27,IF(BP$12-$F46&lt;=24,2,3),FALSE))*(1+IF('Traditional Attrition'!BP168&gt;0,'Attrition Modeling'!$N$9,0))),0))</f>
        <v>1723.7942132931591</v>
      </c>
      <c r="BQ46" s="799">
        <f>IF(BQ$12=$F46+1,IF(Monthly!BM$4=TRUE,0,BQ$3),IF(BQ$12&gt;$F46+1,RentalsVacates!BP46*(1-IF(BQ$12-$F46&lt;=12,SUMIFS('Attrition Modeling'!$D:$D,'Attrition Modeling'!$B:$B,$E46,'Attrition Modeling'!$C:$C,BQ$11),VLOOKUP(RentalsVacates!BQ$12-RentalsVacates!$F46-1,RentalsVacates!$A$8:$C$162,2,FALSE)*VLOOKUP(BQ$11,'Attrition Modeling'!$L$15:$N$27,IF(BQ$12-$F46&lt;=24,2,3),FALSE))*(1+IF('Traditional Attrition'!BQ168&gt;0,'Attrition Modeling'!$N$9,0))),0))</f>
        <v>1667.5705725116445</v>
      </c>
      <c r="BR46" s="799">
        <f>IF(BR$12=$F46+1,IF(Monthly!BN$4=TRUE,0,BR$3),IF(BR$12&gt;$F46+1,RentalsVacates!BQ46*(1-IF(BR$12-$F46&lt;=12,SUMIFS('Attrition Modeling'!$D:$D,'Attrition Modeling'!$B:$B,$E46,'Attrition Modeling'!$C:$C,BR$11),VLOOKUP(RentalsVacates!BR$12-RentalsVacates!$F46-1,RentalsVacates!$A$8:$C$162,2,FALSE)*VLOOKUP(BR$11,'Attrition Modeling'!$L$15:$N$27,IF(BR$12-$F46&lt;=24,2,3),FALSE))*(1+IF('Traditional Attrition'!BR168&gt;0,'Attrition Modeling'!$N$9,0))),0))</f>
        <v>1605.8302447830263</v>
      </c>
      <c r="BS46" s="799">
        <f>IF(BS$12=$F46+1,IF(Monthly!BO$4=TRUE,0,BS$3),IF(BS$12&gt;$F46+1,RentalsVacates!BR46*(1-IF(BS$12-$F46&lt;=12,SUMIFS('Attrition Modeling'!$D:$D,'Attrition Modeling'!$B:$B,$E46,'Attrition Modeling'!$C:$C,BS$11),VLOOKUP(RentalsVacates!BS$12-RentalsVacates!$F46-1,RentalsVacates!$A$8:$C$162,2,FALSE)*VLOOKUP(BS$11,'Attrition Modeling'!$L$15:$N$27,IF(BS$12-$F46&lt;=24,2,3),FALSE))*(1+IF('Traditional Attrition'!BS168&gt;0,'Attrition Modeling'!$N$9,0))),0))</f>
        <v>1566.9111096599033</v>
      </c>
      <c r="BT46" s="799">
        <f>IF(BT$11=$F45+1,IF(Monthly!#REF!=TRUE,0,BT$3),IF(BT$11&gt;$F45+1,RentalsVacates!BS45*(1-IF(BT$11-$F45&lt;=12,SUMIFS('Attrition Modeling'!$D:$D,'Attrition Modeling'!$B:$B,$E45,'Attrition Modeling'!$C:$C,BT$10),VLOOKUP(RentalsVacates!BT$11-RentalsVacates!$F45-1,RentalsVacates!$A$7:$C$161,2,FALSE)*VLOOKUP(BT$10,'Attrition Modeling'!$L$15:$N$27,IF(BT$11-$F45&lt;=24,2,3),FALSE))*(1+IF('Traditional Attrition'!BT168&gt;0,'Attrition Modeling'!$N$9,0))),0))</f>
        <v>0</v>
      </c>
      <c r="BU46" s="799">
        <f>IF(BU$11=$F45+1,IF(Monthly!#REF!=TRUE,0,BU$3),IF(BU$11&gt;$F45+1,RentalsVacates!BT45*(1-IF(BU$11-$F45&lt;=12,SUMIFS('Attrition Modeling'!$D:$D,'Attrition Modeling'!$B:$B,$E45,'Attrition Modeling'!$C:$C,BU$10),VLOOKUP(RentalsVacates!BU$11-RentalsVacates!$F45-1,RentalsVacates!$A$7:$C$161,2,FALSE)*VLOOKUP(BU$10,'Attrition Modeling'!$L$15:$N$27,IF(BU$11-$F45&lt;=24,2,3),FALSE))*(1+IF('Traditional Attrition'!BU168&gt;0,'Attrition Modeling'!$N$9,0))),0))</f>
        <v>0</v>
      </c>
    </row>
    <row r="47" spans="1:73" ht="14.25" customHeight="1" x14ac:dyDescent="0.2">
      <c r="A47" s="9">
        <v>39</v>
      </c>
      <c r="B47" s="25">
        <f>MAX('Attrition Modeling'!H43,$C$3)*(1-Summary!$C$20)</f>
        <v>2.8957172447224414E-2</v>
      </c>
      <c r="C47" s="24" t="e">
        <f t="shared" si="2"/>
        <v>#DIV/0!</v>
      </c>
      <c r="E47" s="11">
        <f>'Traditional Attrition'!E104</f>
        <v>10</v>
      </c>
      <c r="F47" s="11">
        <f t="shared" si="4"/>
        <v>34</v>
      </c>
      <c r="G47" s="799"/>
      <c r="H47" s="799">
        <f>IF(H$12=$F47+1,IF(Monthly!D$4=TRUE,0,H$3),IF(H$12&gt;$F47+1,RentalsVacates!G47*(1-IF(H$12-$F47&lt;=12,SUMIFS('Attrition Modeling'!$D:$D,'Attrition Modeling'!$B:$B,$E47,'Attrition Modeling'!$C:$C,H$11),VLOOKUP(RentalsVacates!H$12-RentalsVacates!$F47-1,RentalsVacates!$A$8:$C$162,2,FALSE)*VLOOKUP(H$11,'Attrition Modeling'!$L$15:$N$27,IF(H$12-$F47&lt;=24,2,3),FALSE))*(1+IF('Traditional Attrition'!H169&gt;0,'Attrition Modeling'!$N$9,0))),0))</f>
        <v>0</v>
      </c>
      <c r="I47" s="799">
        <f>IF(I$12=$F47+1,IF(Monthly!E$4=TRUE,0,I$3),IF(I$12&gt;$F47+1,RentalsVacates!H47*(1-IF(I$12-$F47&lt;=12,SUMIFS('Attrition Modeling'!$D:$D,'Attrition Modeling'!$B:$B,$E47,'Attrition Modeling'!$C:$C,I$11),VLOOKUP(RentalsVacates!I$12-RentalsVacates!$F47-1,RentalsVacates!$A$8:$C$162,2,FALSE)*VLOOKUP(I$11,'Attrition Modeling'!$L$15:$N$27,IF(I$12-$F47&lt;=24,2,3),FALSE))*(1+IF('Traditional Attrition'!I169&gt;0,'Attrition Modeling'!$N$9,0))),0))</f>
        <v>0</v>
      </c>
      <c r="J47" s="799">
        <f>IF(J$12=$F47+1,IF(Monthly!F$4=TRUE,0,J$3),IF(J$12&gt;$F47+1,RentalsVacates!I47*(1-IF(J$12-$F47&lt;=12,SUMIFS('Attrition Modeling'!$D:$D,'Attrition Modeling'!$B:$B,$E47,'Attrition Modeling'!$C:$C,J$11),VLOOKUP(RentalsVacates!J$12-RentalsVacates!$F47-1,RentalsVacates!$A$8:$C$162,2,FALSE)*VLOOKUP(J$11,'Attrition Modeling'!$L$15:$N$27,IF(J$12-$F47&lt;=24,2,3),FALSE))*(1+IF('Traditional Attrition'!J169&gt;0,'Attrition Modeling'!$N$9,0))),0))</f>
        <v>0</v>
      </c>
      <c r="K47" s="799">
        <f>IF(K$12=$F47+1,IF(Monthly!G$4=TRUE,0,K$3),IF(K$12&gt;$F47+1,RentalsVacates!J47*(1-IF(K$12-$F47&lt;=12,SUMIFS('Attrition Modeling'!$D:$D,'Attrition Modeling'!$B:$B,$E47,'Attrition Modeling'!$C:$C,K$11),VLOOKUP(RentalsVacates!K$12-RentalsVacates!$F47-1,RentalsVacates!$A$8:$C$162,2,FALSE)*VLOOKUP(K$11,'Attrition Modeling'!$L$15:$N$27,IF(K$12-$F47&lt;=24,2,3),FALSE))*(1+IF('Traditional Attrition'!K169&gt;0,'Attrition Modeling'!$N$9,0))),0))</f>
        <v>0</v>
      </c>
      <c r="L47" s="799">
        <f>IF(L$12=$F47+1,IF(Monthly!H$4=TRUE,0,L$3),IF(L$12&gt;$F47+1,RentalsVacates!K47*(1-IF(L$12-$F47&lt;=12,SUMIFS('Attrition Modeling'!$D:$D,'Attrition Modeling'!$B:$B,$E47,'Attrition Modeling'!$C:$C,L$11),VLOOKUP(RentalsVacates!L$12-RentalsVacates!$F47-1,RentalsVacates!$A$8:$C$162,2,FALSE)*VLOOKUP(L$11,'Attrition Modeling'!$L$15:$N$27,IF(L$12-$F47&lt;=24,2,3),FALSE))*(1+IF('Traditional Attrition'!L169&gt;0,'Attrition Modeling'!$N$9,0))),0))</f>
        <v>0</v>
      </c>
      <c r="M47" s="799">
        <f>IF(M$12=$F47+1,IF(Monthly!I$4=TRUE,0,M$3),IF(M$12&gt;$F47+1,RentalsVacates!L47*(1-IF(M$12-$F47&lt;=12,SUMIFS('Attrition Modeling'!$D:$D,'Attrition Modeling'!$B:$B,$E47,'Attrition Modeling'!$C:$C,M$11),VLOOKUP(RentalsVacates!M$12-RentalsVacates!$F47-1,RentalsVacates!$A$8:$C$162,2,FALSE)*VLOOKUP(M$11,'Attrition Modeling'!$L$15:$N$27,IF(M$12-$F47&lt;=24,2,3),FALSE))*(1+IF('Traditional Attrition'!M169&gt;0,'Attrition Modeling'!$N$9,0))),0))</f>
        <v>0</v>
      </c>
      <c r="N47" s="799">
        <f>IF(N$12=$F47+1,IF(Monthly!J$4=TRUE,0,N$3),IF(N$12&gt;$F47+1,RentalsVacates!M47*(1-IF(N$12-$F47&lt;=12,SUMIFS('Attrition Modeling'!$D:$D,'Attrition Modeling'!$B:$B,$E47,'Attrition Modeling'!$C:$C,N$11),VLOOKUP(RentalsVacates!N$12-RentalsVacates!$F47-1,RentalsVacates!$A$8:$C$162,2,FALSE)*VLOOKUP(N$11,'Attrition Modeling'!$L$15:$N$27,IF(N$12-$F47&lt;=24,2,3),FALSE))*(1+IF('Traditional Attrition'!N169&gt;0,'Attrition Modeling'!$N$9,0))),0))</f>
        <v>0</v>
      </c>
      <c r="O47" s="799">
        <f>IF(O$12=$F47+1,IF(Monthly!K$4=TRUE,0,O$3),IF(O$12&gt;$F47+1,RentalsVacates!N47*(1-IF(O$12-$F47&lt;=12,SUMIFS('Attrition Modeling'!$D:$D,'Attrition Modeling'!$B:$B,$E47,'Attrition Modeling'!$C:$C,O$11),VLOOKUP(RentalsVacates!O$12-RentalsVacates!$F47-1,RentalsVacates!$A$8:$C$162,2,FALSE)*VLOOKUP(O$11,'Attrition Modeling'!$L$15:$N$27,IF(O$12-$F47&lt;=24,2,3),FALSE))*(1+IF('Traditional Attrition'!O169&gt;0,'Attrition Modeling'!$N$9,0))),0))</f>
        <v>0</v>
      </c>
      <c r="P47" s="799">
        <f>IF(P$12=$F47+1,IF(Monthly!L$4=TRUE,0,P$3),IF(P$12&gt;$F47+1,RentalsVacates!O47*(1-IF(P$12-$F47&lt;=12,SUMIFS('Attrition Modeling'!$D:$D,'Attrition Modeling'!$B:$B,$E47,'Attrition Modeling'!$C:$C,P$11),VLOOKUP(RentalsVacates!P$12-RentalsVacates!$F47-1,RentalsVacates!$A$8:$C$162,2,FALSE)*VLOOKUP(P$11,'Attrition Modeling'!$L$15:$N$27,IF(P$12-$F47&lt;=24,2,3),FALSE))*(1+IF('Traditional Attrition'!P169&gt;0,'Attrition Modeling'!$N$9,0))),0))</f>
        <v>0</v>
      </c>
      <c r="Q47" s="799">
        <f>IF(Q$12=$F47+1,IF(Monthly!M$4=TRUE,0,Q$3),IF(Q$12&gt;$F47+1,RentalsVacates!P47*(1-IF(Q$12-$F47&lt;=12,SUMIFS('Attrition Modeling'!$D:$D,'Attrition Modeling'!$B:$B,$E47,'Attrition Modeling'!$C:$C,Q$11),VLOOKUP(RentalsVacates!Q$12-RentalsVacates!$F47-1,RentalsVacates!$A$8:$C$162,2,FALSE)*VLOOKUP(Q$11,'Attrition Modeling'!$L$15:$N$27,IF(Q$12-$F47&lt;=24,2,3),FALSE))*(1+IF('Traditional Attrition'!Q169&gt;0,'Attrition Modeling'!$N$9,0))),0))</f>
        <v>0</v>
      </c>
      <c r="R47" s="799">
        <f>IF(R$12=$F47+1,IF(Monthly!N$4=TRUE,0,R$3),IF(R$12&gt;$F47+1,RentalsVacates!Q47*(1-IF(R$12-$F47&lt;=12,SUMIFS('Attrition Modeling'!$D:$D,'Attrition Modeling'!$B:$B,$E47,'Attrition Modeling'!$C:$C,R$11),VLOOKUP(RentalsVacates!R$12-RentalsVacates!$F47-1,RentalsVacates!$A$8:$C$162,2,FALSE)*VLOOKUP(R$11,'Attrition Modeling'!$L$15:$N$27,IF(R$12-$F47&lt;=24,2,3),FALSE))*(1+IF('Traditional Attrition'!R169&gt;0,'Attrition Modeling'!$N$9,0))),0))</f>
        <v>0</v>
      </c>
      <c r="S47" s="799">
        <f>IF(S$12=$F47+1,IF(Monthly!O$4=TRUE,0,S$3),IF(S$12&gt;$F47+1,RentalsVacates!R47*(1-IF(S$12-$F47&lt;=12,SUMIFS('Attrition Modeling'!$D:$D,'Attrition Modeling'!$B:$B,$E47,'Attrition Modeling'!$C:$C,S$11),VLOOKUP(RentalsVacates!S$12-RentalsVacates!$F47-1,RentalsVacates!$A$8:$C$162,2,FALSE)*VLOOKUP(S$11,'Attrition Modeling'!$L$15:$N$27,IF(S$12-$F47&lt;=24,2,3),FALSE))*(1+IF('Traditional Attrition'!S169&gt;0,'Attrition Modeling'!$N$9,0))),0))</f>
        <v>0</v>
      </c>
      <c r="T47" s="799">
        <f>IF(T$12=$F47+1,IF(Monthly!P$4=TRUE,0,T$3),IF(T$12&gt;$F47+1,RentalsVacates!S47*(1-IF(T$12-$F47&lt;=12,SUMIFS('Attrition Modeling'!$D:$D,'Attrition Modeling'!$B:$B,$E47,'Attrition Modeling'!$C:$C,T$11),VLOOKUP(RentalsVacates!T$12-RentalsVacates!$F47-1,RentalsVacates!$A$8:$C$162,2,FALSE)*VLOOKUP(T$11,'Attrition Modeling'!$L$15:$N$27,IF(T$12-$F47&lt;=24,2,3),FALSE))*(1+IF('Traditional Attrition'!T169&gt;0,'Attrition Modeling'!$N$9,0))),0))</f>
        <v>0</v>
      </c>
      <c r="U47" s="799">
        <f>IF(U$12=$F47+1,IF(Monthly!Q$4=TRUE,0,U$3),IF(U$12&gt;$F47+1,RentalsVacates!T47*(1-IF(U$12-$F47&lt;=12,SUMIFS('Attrition Modeling'!$D:$D,'Attrition Modeling'!$B:$B,$E47,'Attrition Modeling'!$C:$C,U$11),VLOOKUP(RentalsVacates!U$12-RentalsVacates!$F47-1,RentalsVacates!$A$8:$C$162,2,FALSE)*VLOOKUP(U$11,'Attrition Modeling'!$L$15:$N$27,IF(U$12-$F47&lt;=24,2,3),FALSE))*(1+IF('Traditional Attrition'!U169&gt;0,'Attrition Modeling'!$N$9,0))),0))</f>
        <v>0</v>
      </c>
      <c r="V47" s="799">
        <f>IF(V$12=$F47+1,IF(Monthly!R$4=TRUE,0,V$3),IF(V$12&gt;$F47+1,RentalsVacates!U47*(1-IF(V$12-$F47&lt;=12,SUMIFS('Attrition Modeling'!$D:$D,'Attrition Modeling'!$B:$B,$E47,'Attrition Modeling'!$C:$C,V$11),VLOOKUP(RentalsVacates!V$12-RentalsVacates!$F47-1,RentalsVacates!$A$8:$C$162,2,FALSE)*VLOOKUP(V$11,'Attrition Modeling'!$L$15:$N$27,IF(V$12-$F47&lt;=24,2,3),FALSE))*(1+IF('Traditional Attrition'!V169&gt;0,'Attrition Modeling'!$N$9,0))),0))</f>
        <v>0</v>
      </c>
      <c r="W47" s="799">
        <f>IF(W$12=$F47+1,IF(Monthly!S$4=TRUE,0,W$3),IF(W$12&gt;$F47+1,RentalsVacates!V47*(1-IF(W$12-$F47&lt;=12,SUMIFS('Attrition Modeling'!$D:$D,'Attrition Modeling'!$B:$B,$E47,'Attrition Modeling'!$C:$C,W$11),VLOOKUP(RentalsVacates!W$12-RentalsVacates!$F47-1,RentalsVacates!$A$8:$C$162,2,FALSE)*VLOOKUP(W$11,'Attrition Modeling'!$L$15:$N$27,IF(W$12-$F47&lt;=24,2,3),FALSE))*(1+IF('Traditional Attrition'!W169&gt;0,'Attrition Modeling'!$N$9,0))),0))</f>
        <v>0</v>
      </c>
      <c r="X47" s="799">
        <f>IF(X$12=$F47+1,IF(Monthly!T$4=TRUE,0,X$3),IF(X$12&gt;$F47+1,RentalsVacates!W47*(1-IF(X$12-$F47&lt;=12,SUMIFS('Attrition Modeling'!$D:$D,'Attrition Modeling'!$B:$B,$E47,'Attrition Modeling'!$C:$C,X$11),VLOOKUP(RentalsVacates!X$12-RentalsVacates!$F47-1,RentalsVacates!$A$8:$C$162,2,FALSE)*VLOOKUP(X$11,'Attrition Modeling'!$L$15:$N$27,IF(X$12-$F47&lt;=24,2,3),FALSE))*(1+IF('Traditional Attrition'!X169&gt;0,'Attrition Modeling'!$N$9,0))),0))</f>
        <v>0</v>
      </c>
      <c r="Y47" s="799">
        <f>IF(Y$12=$F47+1,IF(Monthly!U$4=TRUE,0,Y$3),IF(Y$12&gt;$F47+1,RentalsVacates!X47*(1-IF(Y$12-$F47&lt;=12,SUMIFS('Attrition Modeling'!$D:$D,'Attrition Modeling'!$B:$B,$E47,'Attrition Modeling'!$C:$C,Y$11),VLOOKUP(RentalsVacates!Y$12-RentalsVacates!$F47-1,RentalsVacates!$A$8:$C$162,2,FALSE)*VLOOKUP(Y$11,'Attrition Modeling'!$L$15:$N$27,IF(Y$12-$F47&lt;=24,2,3),FALSE))*(1+IF('Traditional Attrition'!Y169&gt;0,'Attrition Modeling'!$N$9,0))),0))</f>
        <v>0</v>
      </c>
      <c r="Z47" s="799">
        <f>IF(Z$12=$F47+1,IF(Monthly!V$4=TRUE,0,Z$3),IF(Z$12&gt;$F47+1,RentalsVacates!Y47*(1-IF(Z$12-$F47&lt;=12,SUMIFS('Attrition Modeling'!$D:$D,'Attrition Modeling'!$B:$B,$E47,'Attrition Modeling'!$C:$C,Z$11),VLOOKUP(RentalsVacates!Z$12-RentalsVacates!$F47-1,RentalsVacates!$A$8:$C$162,2,FALSE)*VLOOKUP(Z$11,'Attrition Modeling'!$L$15:$N$27,IF(Z$12-$F47&lt;=24,2,3),FALSE))*(1+IF('Traditional Attrition'!Z169&gt;0,'Attrition Modeling'!$N$9,0))),0))</f>
        <v>0</v>
      </c>
      <c r="AA47" s="799">
        <f>IF(AA$12=$F47+1,IF(Monthly!W$4=TRUE,0,AA$3),IF(AA$12&gt;$F47+1,RentalsVacates!Z47*(1-IF(AA$12-$F47&lt;=12,SUMIFS('Attrition Modeling'!$D:$D,'Attrition Modeling'!$B:$B,$E47,'Attrition Modeling'!$C:$C,AA$11),VLOOKUP(RentalsVacates!AA$12-RentalsVacates!$F47-1,RentalsVacates!$A$8:$C$162,2,FALSE)*VLOOKUP(AA$11,'Attrition Modeling'!$L$15:$N$27,IF(AA$12-$F47&lt;=24,2,3),FALSE))*(1+IF('Traditional Attrition'!AA169&gt;0,'Attrition Modeling'!$N$9,0))),0))</f>
        <v>0</v>
      </c>
      <c r="AB47" s="799">
        <f>IF(AB$12=$F47+1,IF(Monthly!X$4=TRUE,0,AB$3),IF(AB$12&gt;$F47+1,RentalsVacates!AA47*(1-IF(AB$12-$F47&lt;=12,SUMIFS('Attrition Modeling'!$D:$D,'Attrition Modeling'!$B:$B,$E47,'Attrition Modeling'!$C:$C,AB$11),VLOOKUP(RentalsVacates!AB$12-RentalsVacates!$F47-1,RentalsVacates!$A$8:$C$162,2,FALSE)*VLOOKUP(AB$11,'Attrition Modeling'!$L$15:$N$27,IF(AB$12-$F47&lt;=24,2,3),FALSE))*(1+IF('Traditional Attrition'!AB169&gt;0,'Attrition Modeling'!$N$9,0))),0))</f>
        <v>0</v>
      </c>
      <c r="AC47" s="799">
        <f>IF(AC$12=$F47+1,IF(Monthly!Y$4=TRUE,0,AC$3),IF(AC$12&gt;$F47+1,RentalsVacates!AB47*(1-IF(AC$12-$F47&lt;=12,SUMIFS('Attrition Modeling'!$D:$D,'Attrition Modeling'!$B:$B,$E47,'Attrition Modeling'!$C:$C,AC$11),VLOOKUP(RentalsVacates!AC$12-RentalsVacates!$F47-1,RentalsVacates!$A$8:$C$162,2,FALSE)*VLOOKUP(AC$11,'Attrition Modeling'!$L$15:$N$27,IF(AC$12-$F47&lt;=24,2,3),FALSE))*(1+IF('Traditional Attrition'!AC169&gt;0,'Attrition Modeling'!$N$9,0))),0))</f>
        <v>0</v>
      </c>
      <c r="AD47" s="799">
        <f>IF(AD$12=$F47+1,IF(Monthly!Z$4=TRUE,0,AD$3),IF(AD$12&gt;$F47+1,RentalsVacates!AC47*(1-IF(AD$12-$F47&lt;=12,SUMIFS('Attrition Modeling'!$D:$D,'Attrition Modeling'!$B:$B,$E47,'Attrition Modeling'!$C:$C,AD$11),VLOOKUP(RentalsVacates!AD$12-RentalsVacates!$F47-1,RentalsVacates!$A$8:$C$162,2,FALSE)*VLOOKUP(AD$11,'Attrition Modeling'!$L$15:$N$27,IF(AD$12-$F47&lt;=24,2,3),FALSE))*(1+IF('Traditional Attrition'!AD169&gt;0,'Attrition Modeling'!$N$9,0))),0))</f>
        <v>0</v>
      </c>
      <c r="AE47" s="799">
        <f>IF(AE$12=$F47+1,IF(Monthly!AA$4=TRUE,0,AE$3),IF(AE$12&gt;$F47+1,RentalsVacates!AD47*(1-IF(AE$12-$F47&lt;=12,SUMIFS('Attrition Modeling'!$D:$D,'Attrition Modeling'!$B:$B,$E47,'Attrition Modeling'!$C:$C,AE$11),VLOOKUP(RentalsVacates!AE$12-RentalsVacates!$F47-1,RentalsVacates!$A$8:$C$162,2,FALSE)*VLOOKUP(AE$11,'Attrition Modeling'!$L$15:$N$27,IF(AE$12-$F47&lt;=24,2,3),FALSE))*(1+IF('Traditional Attrition'!AE169&gt;0,'Attrition Modeling'!$N$9,0))),0))</f>
        <v>0</v>
      </c>
      <c r="AF47" s="799">
        <f>IF(AF$12=$F47+1,IF(Monthly!AB$4=TRUE,0,AF$3),IF(AF$12&gt;$F47+1,RentalsVacates!AE47*(1-IF(AF$12-$F47&lt;=12,SUMIFS('Attrition Modeling'!$D:$D,'Attrition Modeling'!$B:$B,$E47,'Attrition Modeling'!$C:$C,AF$11),VLOOKUP(RentalsVacates!AF$12-RentalsVacates!$F47-1,RentalsVacates!$A$8:$C$162,2,FALSE)*VLOOKUP(AF$11,'Attrition Modeling'!$L$15:$N$27,IF(AF$12-$F47&lt;=24,2,3),FALSE))*(1+IF('Traditional Attrition'!AF169&gt;0,'Attrition Modeling'!$N$9,0))),0))</f>
        <v>0</v>
      </c>
      <c r="AG47" s="799">
        <f>IF(AG$12=$F47+1,IF(Monthly!AC$4=TRUE,0,AG$3),IF(AG$12&gt;$F47+1,RentalsVacates!AF47*(1-IF(AG$12-$F47&lt;=12,SUMIFS('Attrition Modeling'!$D:$D,'Attrition Modeling'!$B:$B,$E47,'Attrition Modeling'!$C:$C,AG$11),VLOOKUP(RentalsVacates!AG$12-RentalsVacates!$F47-1,RentalsVacates!$A$8:$C$162,2,FALSE)*VLOOKUP(AG$11,'Attrition Modeling'!$L$15:$N$27,IF(AG$12-$F47&lt;=24,2,3),FALSE))*(1+IF('Traditional Attrition'!AG169&gt;0,'Attrition Modeling'!$N$9,0))),0))</f>
        <v>0</v>
      </c>
      <c r="AH47" s="799">
        <f>IF(AH$12=$F47+1,IF(Monthly!AD$4=TRUE,0,AH$3),IF(AH$12&gt;$F47+1,RentalsVacates!AG47*(1-IF(AH$12-$F47&lt;=12,SUMIFS('Attrition Modeling'!$D:$D,'Attrition Modeling'!$B:$B,$E47,'Attrition Modeling'!$C:$C,AH$11),VLOOKUP(RentalsVacates!AH$12-RentalsVacates!$F47-1,RentalsVacates!$A$8:$C$162,2,FALSE)*VLOOKUP(AH$11,'Attrition Modeling'!$L$15:$N$27,IF(AH$12-$F47&lt;=24,2,3),FALSE))*(1+IF('Traditional Attrition'!AH169&gt;0,'Attrition Modeling'!$N$9,0))),0))</f>
        <v>0</v>
      </c>
      <c r="AI47" s="799">
        <f>IF(AI$12=$F47+1,IF(Monthly!AE$4=TRUE,0,AI$3),IF(AI$12&gt;$F47+1,RentalsVacates!AH47*(1-IF(AI$12-$F47&lt;=12,SUMIFS('Attrition Modeling'!$D:$D,'Attrition Modeling'!$B:$B,$E47,'Attrition Modeling'!$C:$C,AI$11),VLOOKUP(RentalsVacates!AI$12-RentalsVacates!$F47-1,RentalsVacates!$A$8:$C$162,2,FALSE)*VLOOKUP(AI$11,'Attrition Modeling'!$L$15:$N$27,IF(AI$12-$F47&lt;=24,2,3),FALSE))*(1+IF('Traditional Attrition'!AI169&gt;0,'Attrition Modeling'!$N$9,0))),0))</f>
        <v>0</v>
      </c>
      <c r="AJ47" s="799">
        <f>IF(AJ$12=$F47+1,IF(Monthly!AF$4=TRUE,0,AJ$3),IF(AJ$12&gt;$F47+1,RentalsVacates!AI47*(1-IF(AJ$12-$F47&lt;=12,SUMIFS('Attrition Modeling'!$D:$D,'Attrition Modeling'!$B:$B,$E47,'Attrition Modeling'!$C:$C,AJ$11),VLOOKUP(RentalsVacates!AJ$12-RentalsVacates!$F47-1,RentalsVacates!$A$8:$C$162,2,FALSE)*VLOOKUP(AJ$11,'Attrition Modeling'!$L$15:$N$27,IF(AJ$12-$F47&lt;=24,2,3),FALSE))*(1+IF('Traditional Attrition'!AJ169&gt;0,'Attrition Modeling'!$N$9,0))),0))</f>
        <v>0</v>
      </c>
      <c r="AK47" s="799">
        <f>IF(AK$12=$F47+1,IF(Monthly!AG$4=TRUE,0,AK$3),IF(AK$12&gt;$F47+1,RentalsVacates!AJ47*(1-IF(AK$12-$F47&lt;=12,SUMIFS('Attrition Modeling'!$D:$D,'Attrition Modeling'!$B:$B,$E47,'Attrition Modeling'!$C:$C,AK$11),VLOOKUP(RentalsVacates!AK$12-RentalsVacates!$F47-1,RentalsVacates!$A$8:$C$162,2,FALSE)*VLOOKUP(AK$11,'Attrition Modeling'!$L$15:$N$27,IF(AK$12-$F47&lt;=24,2,3),FALSE))*(1+IF('Traditional Attrition'!AK169&gt;0,'Attrition Modeling'!$N$9,0))),0))</f>
        <v>0</v>
      </c>
      <c r="AL47" s="799">
        <f>IF(AL$12=$F47+1,IF(Monthly!AH$4=TRUE,0,AL$3),IF(AL$12&gt;$F47+1,RentalsVacates!AK47*(1-IF(AL$12-$F47&lt;=12,SUMIFS('Attrition Modeling'!$D:$D,'Attrition Modeling'!$B:$B,$E47,'Attrition Modeling'!$C:$C,AL$11),VLOOKUP(RentalsVacates!AL$12-RentalsVacates!$F47-1,RentalsVacates!$A$8:$C$162,2,FALSE)*VLOOKUP(AL$11,'Attrition Modeling'!$L$15:$N$27,IF(AL$12-$F47&lt;=24,2,3),FALSE))*(1+IF('Traditional Attrition'!AL169&gt;0,'Attrition Modeling'!$N$9,0))),0))</f>
        <v>0</v>
      </c>
      <c r="AM47" s="799">
        <f>IF(AM$12=$F47+1,IF(Monthly!AI$4=TRUE,0,AM$3),IF(AM$12&gt;$F47+1,RentalsVacates!AL47*(1-IF(AM$12-$F47&lt;=12,SUMIFS('Attrition Modeling'!$D:$D,'Attrition Modeling'!$B:$B,$E47,'Attrition Modeling'!$C:$C,AM$11),VLOOKUP(RentalsVacates!AM$12-RentalsVacates!$F47-1,RentalsVacates!$A$8:$C$162,2,FALSE)*VLOOKUP(AM$11,'Attrition Modeling'!$L$15:$N$27,IF(AM$12-$F47&lt;=24,2,3),FALSE))*(1+IF('Traditional Attrition'!AM169&gt;0,'Attrition Modeling'!$N$9,0))),0))</f>
        <v>0</v>
      </c>
      <c r="AN47" s="799">
        <f>IF(AN$12=$F47+1,IF(Monthly!AJ$4=TRUE,0,AN$3),IF(AN$12&gt;$F47+1,RentalsVacates!AM47*(1-IF(AN$12-$F47&lt;=12,SUMIFS('Attrition Modeling'!$D:$D,'Attrition Modeling'!$B:$B,$E47,'Attrition Modeling'!$C:$C,AN$11),VLOOKUP(RentalsVacates!AN$12-RentalsVacates!$F47-1,RentalsVacates!$A$8:$C$162,2,FALSE)*VLOOKUP(AN$11,'Attrition Modeling'!$L$15:$N$27,IF(AN$12-$F47&lt;=24,2,3),FALSE))*(1+IF('Traditional Attrition'!AN169&gt;0,'Attrition Modeling'!$N$9,0))),0))</f>
        <v>0</v>
      </c>
      <c r="AO47" s="799">
        <f>IF(AO$12=$F47+1,IF(Monthly!AK$4=TRUE,0,AO$3),IF(AO$12&gt;$F47+1,RentalsVacates!AN47*(1-IF(AO$12-$F47&lt;=12,SUMIFS('Attrition Modeling'!$D:$D,'Attrition Modeling'!$B:$B,$E47,'Attrition Modeling'!$C:$C,AO$11),VLOOKUP(RentalsVacates!AO$12-RentalsVacates!$F47-1,RentalsVacates!$A$8:$C$162,2,FALSE)*VLOOKUP(AO$11,'Attrition Modeling'!$L$15:$N$27,IF(AO$12-$F47&lt;=24,2,3),FALSE))*(1+IF('Traditional Attrition'!AO169&gt;0,'Attrition Modeling'!$N$9,0))),0))</f>
        <v>0</v>
      </c>
      <c r="AP47" s="799">
        <f>IF(AP$12=$F47+1,IF(Monthly!AL$4=TRUE,0,AP$3),IF(AP$12&gt;$F47+1,RentalsVacates!AO47*(1-IF(AP$12-$F47&lt;=12,SUMIFS('Attrition Modeling'!$D:$D,'Attrition Modeling'!$B:$B,$E47,'Attrition Modeling'!$C:$C,AP$11),VLOOKUP(RentalsVacates!AP$12-RentalsVacates!$F47-1,RentalsVacates!$A$8:$C$162,2,FALSE)*VLOOKUP(AP$11,'Attrition Modeling'!$L$15:$N$27,IF(AP$12-$F47&lt;=24,2,3),FALSE))*(1+IF('Traditional Attrition'!AP169&gt;0,'Attrition Modeling'!$N$9,0))),0))</f>
        <v>7926.2358732950806</v>
      </c>
      <c r="AQ47" s="799">
        <f>IF(AQ$12=$F47+1,IF(Monthly!AM$4=TRUE,0,AQ$3),IF(AQ$12&gt;$F47+1,RentalsVacates!AP47*(1-IF(AQ$12-$F47&lt;=12,SUMIFS('Attrition Modeling'!$D:$D,'Attrition Modeling'!$B:$B,$E47,'Attrition Modeling'!$C:$C,AQ$11),VLOOKUP(RentalsVacates!AQ$12-RentalsVacates!$F47-1,RentalsVacates!$A$8:$C$162,2,FALSE)*VLOOKUP(AQ$11,'Attrition Modeling'!$L$15:$N$27,IF(AQ$12-$F47&lt;=24,2,3),FALSE))*(1+IF('Traditional Attrition'!AQ169&gt;0,'Attrition Modeling'!$N$9,0))),0))</f>
        <v>7122.7176747577278</v>
      </c>
      <c r="AR47" s="799">
        <f>IF(AR$12=$F47+1,IF(Monthly!AN$4=TRUE,0,AR$3),IF(AR$12&gt;$F47+1,RentalsVacates!AQ47*(1-IF(AR$12-$F47&lt;=12,SUMIFS('Attrition Modeling'!$D:$D,'Attrition Modeling'!$B:$B,$E47,'Attrition Modeling'!$C:$C,AR$11),VLOOKUP(RentalsVacates!AR$12-RentalsVacates!$F47-1,RentalsVacates!$A$8:$C$162,2,FALSE)*VLOOKUP(AR$11,'Attrition Modeling'!$L$15:$N$27,IF(AR$12-$F47&lt;=24,2,3),FALSE))*(1+IF('Traditional Attrition'!AR169&gt;0,'Attrition Modeling'!$N$9,0))),0))</f>
        <v>6559.1713150994965</v>
      </c>
      <c r="AS47" s="799">
        <f>IF(AS$12=$F47+1,IF(Monthly!AO$4=TRUE,0,AS$3),IF(AS$12&gt;$F47+1,RentalsVacates!AR47*(1-IF(AS$12-$F47&lt;=12,SUMIFS('Attrition Modeling'!$D:$D,'Attrition Modeling'!$B:$B,$E47,'Attrition Modeling'!$C:$C,AS$11),VLOOKUP(RentalsVacates!AS$12-RentalsVacates!$F47-1,RentalsVacates!$A$8:$C$162,2,FALSE)*VLOOKUP(AS$11,'Attrition Modeling'!$L$15:$N$27,IF(AS$12-$F47&lt;=24,2,3),FALSE))*(1+IF('Traditional Attrition'!AS169&gt;0,'Attrition Modeling'!$N$9,0))),0))</f>
        <v>6031.7928208338626</v>
      </c>
      <c r="AT47" s="799">
        <f>IF(AT$12=$F47+1,IF(Monthly!AP$4=TRUE,0,AT$3),IF(AT$12&gt;$F47+1,RentalsVacates!AS47*(1-IF(AT$12-$F47&lt;=12,SUMIFS('Attrition Modeling'!$D:$D,'Attrition Modeling'!$B:$B,$E47,'Attrition Modeling'!$C:$C,AT$11),VLOOKUP(RentalsVacates!AT$12-RentalsVacates!$F47-1,RentalsVacates!$A$8:$C$162,2,FALSE)*VLOOKUP(AT$11,'Attrition Modeling'!$L$15:$N$27,IF(AT$12-$F47&lt;=24,2,3),FALSE))*(1+IF('Traditional Attrition'!AT169&gt;0,'Attrition Modeling'!$N$9,0))),0))</f>
        <v>5528.9670092636743</v>
      </c>
      <c r="AU47" s="799">
        <f>IF(AU$12=$F47+1,IF(Monthly!AQ$4=TRUE,0,AU$3),IF(AU$12&gt;$F47+1,RentalsVacates!AT47*(1-IF(AU$12-$F47&lt;=12,SUMIFS('Attrition Modeling'!$D:$D,'Attrition Modeling'!$B:$B,$E47,'Attrition Modeling'!$C:$C,AU$11),VLOOKUP(RentalsVacates!AU$12-RentalsVacates!$F47-1,RentalsVacates!$A$8:$C$162,2,FALSE)*VLOOKUP(AU$11,'Attrition Modeling'!$L$15:$N$27,IF(AU$12-$F47&lt;=24,2,3),FALSE))*(1+IF('Traditional Attrition'!AU169&gt;0,'Attrition Modeling'!$N$9,0))),0))</f>
        <v>4933.0265924624118</v>
      </c>
      <c r="AV47" s="799">
        <f>IF(AV$12=$F47+1,IF(Monthly!AR$4=TRUE,0,AV$3),IF(AV$12&gt;$F47+1,RentalsVacates!AU47*(1-IF(AV$12-$F47&lt;=12,SUMIFS('Attrition Modeling'!$D:$D,'Attrition Modeling'!$B:$B,$E47,'Attrition Modeling'!$C:$C,AV$11),VLOOKUP(RentalsVacates!AV$12-RentalsVacates!$F47-1,RentalsVacates!$A$8:$C$162,2,FALSE)*VLOOKUP(AV$11,'Attrition Modeling'!$L$15:$N$27,IF(AV$12-$F47&lt;=24,2,3),FALSE))*(1+IF('Traditional Attrition'!AV169&gt;0,'Attrition Modeling'!$N$9,0))),0))</f>
        <v>4550.5691394093328</v>
      </c>
      <c r="AW47" s="799">
        <f>IF(AW$12=$F47+1,IF(Monthly!AS$4=TRUE,0,AW$3),IF(AW$12&gt;$F47+1,RentalsVacates!AV47*(1-IF(AW$12-$F47&lt;=12,SUMIFS('Attrition Modeling'!$D:$D,'Attrition Modeling'!$B:$B,$E47,'Attrition Modeling'!$C:$C,AW$11),VLOOKUP(RentalsVacates!AW$12-RentalsVacates!$F47-1,RentalsVacates!$A$8:$C$162,2,FALSE)*VLOOKUP(AW$11,'Attrition Modeling'!$L$15:$N$27,IF(AW$12-$F47&lt;=24,2,3),FALSE))*(1+IF('Traditional Attrition'!AW169&gt;0,'Attrition Modeling'!$N$9,0))),0))</f>
        <v>4240.9995635610485</v>
      </c>
      <c r="AX47" s="799">
        <f>IF(AX$12=$F47+1,IF(Monthly!AT$4=TRUE,0,AX$3),IF(AX$12&gt;$F47+1,RentalsVacates!AW47*(1-IF(AX$12-$F47&lt;=12,SUMIFS('Attrition Modeling'!$D:$D,'Attrition Modeling'!$B:$B,$E47,'Attrition Modeling'!$C:$C,AX$11),VLOOKUP(RentalsVacates!AX$12-RentalsVacates!$F47-1,RentalsVacates!$A$8:$C$162,2,FALSE)*VLOOKUP(AX$11,'Attrition Modeling'!$L$15:$N$27,IF(AX$12-$F47&lt;=24,2,3),FALSE))*(1+IF('Traditional Attrition'!AX169&gt;0,'Attrition Modeling'!$N$9,0))),0))</f>
        <v>3970.2532184034071</v>
      </c>
      <c r="AY47" s="799">
        <f>IF(AY$12=$F47+1,IF(Monthly!AU$4=TRUE,0,AY$3),IF(AY$12&gt;$F47+1,RentalsVacates!AX47*(1-IF(AY$12-$F47&lt;=12,SUMIFS('Attrition Modeling'!$D:$D,'Attrition Modeling'!$B:$B,$E47,'Attrition Modeling'!$C:$C,AY$11),VLOOKUP(RentalsVacates!AY$12-RentalsVacates!$F47-1,RentalsVacates!$A$8:$C$162,2,FALSE)*VLOOKUP(AY$11,'Attrition Modeling'!$L$15:$N$27,IF(AY$12-$F47&lt;=24,2,3),FALSE))*(1+IF('Traditional Attrition'!AY169&gt;0,'Attrition Modeling'!$N$9,0))),0))</f>
        <v>3708.4496789602995</v>
      </c>
      <c r="AZ47" s="799">
        <f>IF(AZ$12=$F47+1,IF(Monthly!AV$4=TRUE,0,AZ$3),IF(AZ$12&gt;$F47+1,RentalsVacates!AY47*(1-IF(AZ$12-$F47&lt;=12,SUMIFS('Attrition Modeling'!$D:$D,'Attrition Modeling'!$B:$B,$E47,'Attrition Modeling'!$C:$C,AZ$11),VLOOKUP(RentalsVacates!AZ$12-RentalsVacates!$F47-1,RentalsVacates!$A$8:$C$162,2,FALSE)*VLOOKUP(AZ$11,'Attrition Modeling'!$L$15:$N$27,IF(AZ$12-$F47&lt;=24,2,3),FALSE))*(1+IF('Traditional Attrition'!AZ169&gt;0,'Attrition Modeling'!$N$9,0))),0))</f>
        <v>3469.4015663591435</v>
      </c>
      <c r="BA47" s="799">
        <f>IF(BA$12=$F47+1,IF(Monthly!AW$4=TRUE,0,BA$3),IF(BA$12&gt;$F47+1,RentalsVacates!AZ47*(1-IF(BA$12-$F47&lt;=12,SUMIFS('Attrition Modeling'!$D:$D,'Attrition Modeling'!$B:$B,$E47,'Attrition Modeling'!$C:$C,BA$11),VLOOKUP(RentalsVacates!BA$12-RentalsVacates!$F47-1,RentalsVacates!$A$8:$C$162,2,FALSE)*VLOOKUP(BA$11,'Attrition Modeling'!$L$15:$N$27,IF(BA$12-$F47&lt;=24,2,3),FALSE))*(1+IF('Traditional Attrition'!BA169&gt;0,'Attrition Modeling'!$N$9,0))),0))</f>
        <v>3349.5258320058638</v>
      </c>
      <c r="BB47" s="799">
        <f>IF(BB$12=$F47+1,IF(Monthly!AX$4=TRUE,0,BB$3),IF(BB$12&gt;$F47+1,RentalsVacates!BA47*(1-IF(BB$12-$F47&lt;=12,SUMIFS('Attrition Modeling'!$D:$D,'Attrition Modeling'!$B:$B,$E47,'Attrition Modeling'!$C:$C,BB$11),VLOOKUP(RentalsVacates!BB$12-RentalsVacates!$F47-1,RentalsVacates!$A$8:$C$162,2,FALSE)*VLOOKUP(BB$11,'Attrition Modeling'!$L$15:$N$27,IF(BB$12-$F47&lt;=24,2,3),FALSE))*(1+IF('Traditional Attrition'!BB169&gt;0,'Attrition Modeling'!$N$9,0))),0))</f>
        <v>3167.4507764524456</v>
      </c>
      <c r="BC47" s="799">
        <f>IF(BC$12=$F47+1,IF(Monthly!AY$4=TRUE,0,BC$3),IF(BC$12&gt;$F47+1,RentalsVacates!BB47*(1-IF(BC$12-$F47&lt;=12,SUMIFS('Attrition Modeling'!$D:$D,'Attrition Modeling'!$B:$B,$E47,'Attrition Modeling'!$C:$C,BC$11),VLOOKUP(RentalsVacates!BC$12-RentalsVacates!$F47-1,RentalsVacates!$A$8:$C$162,2,FALSE)*VLOOKUP(BC$11,'Attrition Modeling'!$L$15:$N$27,IF(BC$12-$F47&lt;=24,2,3),FALSE))*(1+IF('Traditional Attrition'!BC169&gt;0,'Attrition Modeling'!$N$9,0))),0))</f>
        <v>3010.241193143328</v>
      </c>
      <c r="BD47" s="799">
        <f>IF(BD$12=$F47+1,IF(Monthly!AZ$4=TRUE,0,BD$3),IF(BD$12&gt;$F47+1,RentalsVacates!BC47*(1-IF(BD$12-$F47&lt;=12,SUMIFS('Attrition Modeling'!$D:$D,'Attrition Modeling'!$B:$B,$E47,'Attrition Modeling'!$C:$C,BD$11),VLOOKUP(RentalsVacates!BD$12-RentalsVacates!$F47-1,RentalsVacates!$A$8:$C$162,2,FALSE)*VLOOKUP(BD$11,'Attrition Modeling'!$L$15:$N$27,IF(BD$12-$F47&lt;=24,2,3),FALSE))*(1+IF('Traditional Attrition'!BD169&gt;0,'Attrition Modeling'!$N$9,0))),0))</f>
        <v>2868.0218075465232</v>
      </c>
      <c r="BE47" s="799">
        <f>IF(BE$12=$F47+1,IF(Monthly!BA$4=TRUE,0,BE$3),IF(BE$12&gt;$F47+1,RentalsVacates!BD47*(1-IF(BE$12-$F47&lt;=12,SUMIFS('Attrition Modeling'!$D:$D,'Attrition Modeling'!$B:$B,$E47,'Attrition Modeling'!$C:$C,BE$11),VLOOKUP(RentalsVacates!BE$12-RentalsVacates!$F47-1,RentalsVacates!$A$8:$C$162,2,FALSE)*VLOOKUP(BE$11,'Attrition Modeling'!$L$15:$N$27,IF(BE$12-$F47&lt;=24,2,3),FALSE))*(1+IF('Traditional Attrition'!BE169&gt;0,'Attrition Modeling'!$N$9,0))),0))</f>
        <v>2750.2515474094207</v>
      </c>
      <c r="BF47" s="799">
        <f>IF(BF$12=$F47+1,IF(Monthly!BB$4=TRUE,0,BF$3),IF(BF$12&gt;$F47+1,RentalsVacates!BE47*(1-IF(BF$12-$F47&lt;=12,SUMIFS('Attrition Modeling'!$D:$D,'Attrition Modeling'!$B:$B,$E47,'Attrition Modeling'!$C:$C,BF$11),VLOOKUP(RentalsVacates!BF$12-RentalsVacates!$F47-1,RentalsVacates!$A$8:$C$162,2,FALSE)*VLOOKUP(BF$11,'Attrition Modeling'!$L$15:$N$27,IF(BF$12-$F47&lt;=24,2,3),FALSE))*(1+IF('Traditional Attrition'!BF169&gt;0,'Attrition Modeling'!$N$9,0))),0))</f>
        <v>2630.9311743880348</v>
      </c>
      <c r="BG47" s="799">
        <f>IF(BG$12=$F47+1,IF(Monthly!BC$4=TRUE,0,BG$3),IF(BG$12&gt;$F47+1,RentalsVacates!BF47*(1-IF(BG$12-$F47&lt;=12,SUMIFS('Attrition Modeling'!$D:$D,'Attrition Modeling'!$B:$B,$E47,'Attrition Modeling'!$C:$C,BG$11),VLOOKUP(RentalsVacates!BG$12-RentalsVacates!$F47-1,RentalsVacates!$A$8:$C$162,2,FALSE)*VLOOKUP(BG$11,'Attrition Modeling'!$L$15:$N$27,IF(BG$12-$F47&lt;=24,2,3),FALSE))*(1+IF('Traditional Attrition'!BG169&gt;0,'Attrition Modeling'!$N$9,0))),0))</f>
        <v>2499.5904627499744</v>
      </c>
      <c r="BH47" s="799">
        <f>IF(BH$12=$F47+1,IF(Monthly!BD$4=TRUE,0,BH$3),IF(BH$12&gt;$F47+1,RentalsVacates!BG47*(1-IF(BH$12-$F47&lt;=12,SUMIFS('Attrition Modeling'!$D:$D,'Attrition Modeling'!$B:$B,$E47,'Attrition Modeling'!$C:$C,BH$11),VLOOKUP(RentalsVacates!BH$12-RentalsVacates!$F47-1,RentalsVacates!$A$8:$C$162,2,FALSE)*VLOOKUP(BH$11,'Attrition Modeling'!$L$15:$N$27,IF(BH$12-$F47&lt;=24,2,3),FALSE))*(1+IF('Traditional Attrition'!BH169&gt;0,'Attrition Modeling'!$N$9,0))),0))</f>
        <v>2398.5624142897937</v>
      </c>
      <c r="BI47" s="799">
        <f>IF(BI$12=$F47+1,IF(Monthly!BE$4=TRUE,0,BI$3),IF(BI$12&gt;$F47+1,RentalsVacates!BH47*(1-IF(BI$12-$F47&lt;=12,SUMIFS('Attrition Modeling'!$D:$D,'Attrition Modeling'!$B:$B,$E47,'Attrition Modeling'!$C:$C,BI$11),VLOOKUP(RentalsVacates!BI$12-RentalsVacates!$F47-1,RentalsVacates!$A$8:$C$162,2,FALSE)*VLOOKUP(BI$11,'Attrition Modeling'!$L$15:$N$27,IF(BI$12-$F47&lt;=24,2,3),FALSE))*(1+IF('Traditional Attrition'!BI169&gt;0,'Attrition Modeling'!$N$9,0))),0))</f>
        <v>2294.1516543158227</v>
      </c>
      <c r="BJ47" s="799">
        <f>IF(BJ$12=$F47+1,IF(Monthly!BF$4=TRUE,0,BJ$3),IF(BJ$12&gt;$F47+1,RentalsVacates!BI47*(1-IF(BJ$12-$F47&lt;=12,SUMIFS('Attrition Modeling'!$D:$D,'Attrition Modeling'!$B:$B,$E47,'Attrition Modeling'!$C:$C,BJ$11),VLOOKUP(RentalsVacates!BJ$12-RentalsVacates!$F47-1,RentalsVacates!$A$8:$C$162,2,FALSE)*VLOOKUP(BJ$11,'Attrition Modeling'!$L$15:$N$27,IF(BJ$12-$F47&lt;=24,2,3),FALSE))*(1+IF('Traditional Attrition'!BJ169&gt;0,'Attrition Modeling'!$N$9,0))),0))</f>
        <v>2193.6685234441516</v>
      </c>
      <c r="BK47" s="799">
        <f>IF(BK$12=$F47+1,IF(Monthly!BG$4=TRUE,0,BK$3),IF(BK$12&gt;$F47+1,RentalsVacates!BJ47*(1-IF(BK$12-$F47&lt;=12,SUMIFS('Attrition Modeling'!$D:$D,'Attrition Modeling'!$B:$B,$E47,'Attrition Modeling'!$C:$C,BK$11),VLOOKUP(RentalsVacates!BK$12-RentalsVacates!$F47-1,RentalsVacates!$A$8:$C$162,2,FALSE)*VLOOKUP(BK$11,'Attrition Modeling'!$L$15:$N$27,IF(BK$12-$F47&lt;=24,2,3),FALSE))*(1+IF('Traditional Attrition'!BK169&gt;0,'Attrition Modeling'!$N$9,0))),0))</f>
        <v>2094.8969682342663</v>
      </c>
      <c r="BL47" s="799">
        <f>IF(BL$12=$F47+1,IF(Monthly!BH$4=TRUE,0,BL$3),IF(BL$12&gt;$F47+1,RentalsVacates!BK47*(1-IF(BL$12-$F47&lt;=12,SUMIFS('Attrition Modeling'!$D:$D,'Attrition Modeling'!$B:$B,$E47,'Attrition Modeling'!$C:$C,BL$11),VLOOKUP(RentalsVacates!BL$12-RentalsVacates!$F47-1,RentalsVacates!$A$8:$C$162,2,FALSE)*VLOOKUP(BL$11,'Attrition Modeling'!$L$15:$N$27,IF(BL$12-$F47&lt;=24,2,3),FALSE))*(1+IF('Traditional Attrition'!BL169&gt;0,'Attrition Modeling'!$N$9,0))),0))</f>
        <v>2010.1142959539632</v>
      </c>
      <c r="BM47" s="799">
        <f>IF(BM$12=$F47+1,IF(Monthly!BI$4=TRUE,0,BM$3),IF(BM$12&gt;$F47+1,RentalsVacates!BL47*(1-IF(BM$12-$F47&lt;=12,SUMIFS('Attrition Modeling'!$D:$D,'Attrition Modeling'!$B:$B,$E47,'Attrition Modeling'!$C:$C,BM$11),VLOOKUP(RentalsVacates!BM$12-RentalsVacates!$F47-1,RentalsVacates!$A$8:$C$162,2,FALSE)*VLOOKUP(BM$11,'Attrition Modeling'!$L$15:$N$27,IF(BM$12-$F47&lt;=24,2,3),FALSE))*(1+IF('Traditional Attrition'!BM169&gt;0,'Attrition Modeling'!$N$9,0))),0))</f>
        <v>1927.9820095734744</v>
      </c>
      <c r="BN47" s="799">
        <f>IF(BN$12=$F47+1,IF(Monthly!BJ$4=TRUE,0,BN$3),IF(BN$12&gt;$F47+1,RentalsVacates!BM47*(1-IF(BN$12-$F47&lt;=12,SUMIFS('Attrition Modeling'!$D:$D,'Attrition Modeling'!$B:$B,$E47,'Attrition Modeling'!$C:$C,BN$11),VLOOKUP(RentalsVacates!BN$12-RentalsVacates!$F47-1,RentalsVacates!$A$8:$C$162,2,FALSE)*VLOOKUP(BN$11,'Attrition Modeling'!$L$15:$N$27,IF(BN$12-$F47&lt;=24,2,3),FALSE))*(1+IF('Traditional Attrition'!BN169&gt;0,'Attrition Modeling'!$N$9,0))),0))</f>
        <v>1852.6418767082646</v>
      </c>
      <c r="BO47" s="799">
        <f>IF(BO$12=$F47+1,IF(Monthly!BK$4=TRUE,0,BO$3),IF(BO$12&gt;$F47+1,RentalsVacates!BN47*(1-IF(BO$12-$F47&lt;=12,SUMIFS('Attrition Modeling'!$D:$D,'Attrition Modeling'!$B:$B,$E47,'Attrition Modeling'!$C:$C,BO$11),VLOOKUP(RentalsVacates!BO$12-RentalsVacates!$F47-1,RentalsVacates!$A$8:$C$162,2,FALSE)*VLOOKUP(BO$11,'Attrition Modeling'!$L$15:$N$27,IF(BO$12-$F47&lt;=24,2,3),FALSE))*(1+IF('Traditional Attrition'!BO169&gt;0,'Attrition Modeling'!$N$9,0))),0))</f>
        <v>1793.81346873401</v>
      </c>
      <c r="BP47" s="799">
        <f>IF(BP$12=$F47+1,IF(Monthly!BL$4=TRUE,0,BP$3),IF(BP$12&gt;$F47+1,RentalsVacates!BO47*(1-IF(BP$12-$F47&lt;=12,SUMIFS('Attrition Modeling'!$D:$D,'Attrition Modeling'!$B:$B,$E47,'Attrition Modeling'!$C:$C,BP$11),VLOOKUP(RentalsVacates!BP$12-RentalsVacates!$F47-1,RentalsVacates!$A$8:$C$162,2,FALSE)*VLOOKUP(BP$11,'Attrition Modeling'!$L$15:$N$27,IF(BP$12-$F47&lt;=24,2,3),FALSE))*(1+IF('Traditional Attrition'!BP169&gt;0,'Attrition Modeling'!$N$9,0))),0))</f>
        <v>1731.606378315859</v>
      </c>
      <c r="BQ47" s="799">
        <f>IF(BQ$12=$F47+1,IF(Monthly!BM$4=TRUE,0,BQ$3),IF(BQ$12&gt;$F47+1,RentalsVacates!BP47*(1-IF(BQ$12-$F47&lt;=12,SUMIFS('Attrition Modeling'!$D:$D,'Attrition Modeling'!$B:$B,$E47,'Attrition Modeling'!$C:$C,BQ$11),VLOOKUP(RentalsVacates!BQ$12-RentalsVacates!$F47-1,RentalsVacates!$A$8:$C$162,2,FALSE)*VLOOKUP(BQ$11,'Attrition Modeling'!$L$15:$N$27,IF(BQ$12-$F47&lt;=24,2,3),FALSE))*(1+IF('Traditional Attrition'!BQ169&gt;0,'Attrition Modeling'!$N$9,0))),0))</f>
        <v>1674.2073129411826</v>
      </c>
      <c r="BR47" s="799">
        <f>IF(BR$12=$F47+1,IF(Monthly!BN$4=TRUE,0,BR$3),IF(BR$12&gt;$F47+1,RentalsVacates!BQ47*(1-IF(BR$12-$F47&lt;=12,SUMIFS('Attrition Modeling'!$D:$D,'Attrition Modeling'!$B:$B,$E47,'Attrition Modeling'!$C:$C,BR$11),VLOOKUP(RentalsVacates!BR$12-RentalsVacates!$F47-1,RentalsVacates!$A$8:$C$162,2,FALSE)*VLOOKUP(BR$11,'Attrition Modeling'!$L$15:$N$27,IF(BR$12-$F47&lt;=24,2,3),FALSE))*(1+IF('Traditional Attrition'!BR169&gt;0,'Attrition Modeling'!$N$9,0))),0))</f>
        <v>1621.726843019891</v>
      </c>
      <c r="BS47" s="799">
        <f>IF(BS$12=$F47+1,IF(Monthly!BO$4=TRUE,0,BS$3),IF(BS$12&gt;$F47+1,RentalsVacates!BR47*(1-IF(BS$12-$F47&lt;=12,SUMIFS('Attrition Modeling'!$D:$D,'Attrition Modeling'!$B:$B,$E47,'Attrition Modeling'!$C:$C,BS$11),VLOOKUP(RentalsVacates!BS$12-RentalsVacates!$F47-1,RentalsVacates!$A$8:$C$162,2,FALSE)*VLOOKUP(BS$11,'Attrition Modeling'!$L$15:$N$27,IF(BS$12-$F47&lt;=24,2,3),FALSE))*(1+IF('Traditional Attrition'!BS169&gt;0,'Attrition Modeling'!$N$9,0))),0))</f>
        <v>1573.8220048708515</v>
      </c>
      <c r="BT47" s="799">
        <f>IF(BT$11=$F46+1,IF(Monthly!#REF!=TRUE,0,BT$3),IF(BT$11&gt;$F46+1,RentalsVacates!BS46*(1-IF(BT$11-$F46&lt;=12,SUMIFS('Attrition Modeling'!$D:$D,'Attrition Modeling'!$B:$B,$E46,'Attrition Modeling'!$C:$C,BT$10),VLOOKUP(RentalsVacates!BT$11-RentalsVacates!$F46-1,RentalsVacates!$A$7:$C$161,2,FALSE)*VLOOKUP(BT$10,'Attrition Modeling'!$L$15:$N$27,IF(BT$11-$F46&lt;=24,2,3),FALSE))*(1+IF('Traditional Attrition'!BT169&gt;0,'Attrition Modeling'!$N$9,0))),0))</f>
        <v>0</v>
      </c>
      <c r="BU47" s="799">
        <f>IF(BU$11=$F46+1,IF(Monthly!#REF!=TRUE,0,BU$3),IF(BU$11&gt;$F46+1,RentalsVacates!BT46*(1-IF(BU$11-$F46&lt;=12,SUMIFS('Attrition Modeling'!$D:$D,'Attrition Modeling'!$B:$B,$E46,'Attrition Modeling'!$C:$C,BU$10),VLOOKUP(RentalsVacates!BU$11-RentalsVacates!$F46-1,RentalsVacates!$A$7:$C$161,2,FALSE)*VLOOKUP(BU$10,'Attrition Modeling'!$L$15:$N$27,IF(BU$11-$F46&lt;=24,2,3),FALSE))*(1+IF('Traditional Attrition'!BU169&gt;0,'Attrition Modeling'!$N$9,0))),0))</f>
        <v>0</v>
      </c>
    </row>
    <row r="48" spans="1:73" ht="14.25" customHeight="1" x14ac:dyDescent="0.2">
      <c r="A48" s="9">
        <v>40</v>
      </c>
      <c r="B48" s="25">
        <f>MAX('Attrition Modeling'!H44,$C$3)*(1-Summary!$C$20)</f>
        <v>2.8571258923215721E-2</v>
      </c>
      <c r="C48" s="24" t="e">
        <f t="shared" si="2"/>
        <v>#DIV/0!</v>
      </c>
      <c r="E48" s="11">
        <f>'Traditional Attrition'!E105</f>
        <v>11</v>
      </c>
      <c r="F48" s="11">
        <f t="shared" si="4"/>
        <v>35</v>
      </c>
      <c r="G48" s="799"/>
      <c r="H48" s="799">
        <f>IF(H$12=$F48+1,IF(Monthly!D$4=TRUE,0,H$3),IF(H$12&gt;$F48+1,RentalsVacates!G48*(1-IF(H$12-$F48&lt;=12,SUMIFS('Attrition Modeling'!$D:$D,'Attrition Modeling'!$B:$B,$E48,'Attrition Modeling'!$C:$C,H$11),VLOOKUP(RentalsVacates!H$12-RentalsVacates!$F48-1,RentalsVacates!$A$8:$C$162,2,FALSE)*VLOOKUP(H$11,'Attrition Modeling'!$L$15:$N$27,IF(H$12-$F48&lt;=24,2,3),FALSE))*(1+IF('Traditional Attrition'!H170&gt;0,'Attrition Modeling'!$N$9,0))),0))</f>
        <v>0</v>
      </c>
      <c r="I48" s="799">
        <f>IF(I$12=$F48+1,IF(Monthly!E$4=TRUE,0,I$3),IF(I$12&gt;$F48+1,RentalsVacates!H48*(1-IF(I$12-$F48&lt;=12,SUMIFS('Attrition Modeling'!$D:$D,'Attrition Modeling'!$B:$B,$E48,'Attrition Modeling'!$C:$C,I$11),VLOOKUP(RentalsVacates!I$12-RentalsVacates!$F48-1,RentalsVacates!$A$8:$C$162,2,FALSE)*VLOOKUP(I$11,'Attrition Modeling'!$L$15:$N$27,IF(I$12-$F48&lt;=24,2,3),FALSE))*(1+IF('Traditional Attrition'!I170&gt;0,'Attrition Modeling'!$N$9,0))),0))</f>
        <v>0</v>
      </c>
      <c r="J48" s="799">
        <f>IF(J$12=$F48+1,IF(Monthly!F$4=TRUE,0,J$3),IF(J$12&gt;$F48+1,RentalsVacates!I48*(1-IF(J$12-$F48&lt;=12,SUMIFS('Attrition Modeling'!$D:$D,'Attrition Modeling'!$B:$B,$E48,'Attrition Modeling'!$C:$C,J$11),VLOOKUP(RentalsVacates!J$12-RentalsVacates!$F48-1,RentalsVacates!$A$8:$C$162,2,FALSE)*VLOOKUP(J$11,'Attrition Modeling'!$L$15:$N$27,IF(J$12-$F48&lt;=24,2,3),FALSE))*(1+IF('Traditional Attrition'!J170&gt;0,'Attrition Modeling'!$N$9,0))),0))</f>
        <v>0</v>
      </c>
      <c r="K48" s="799">
        <f>IF(K$12=$F48+1,IF(Monthly!G$4=TRUE,0,K$3),IF(K$12&gt;$F48+1,RentalsVacates!J48*(1-IF(K$12-$F48&lt;=12,SUMIFS('Attrition Modeling'!$D:$D,'Attrition Modeling'!$B:$B,$E48,'Attrition Modeling'!$C:$C,K$11),VLOOKUP(RentalsVacates!K$12-RentalsVacates!$F48-1,RentalsVacates!$A$8:$C$162,2,FALSE)*VLOOKUP(K$11,'Attrition Modeling'!$L$15:$N$27,IF(K$12-$F48&lt;=24,2,3),FALSE))*(1+IF('Traditional Attrition'!K170&gt;0,'Attrition Modeling'!$N$9,0))),0))</f>
        <v>0</v>
      </c>
      <c r="L48" s="799">
        <f>IF(L$12=$F48+1,IF(Monthly!H$4=TRUE,0,L$3),IF(L$12&gt;$F48+1,RentalsVacates!K48*(1-IF(L$12-$F48&lt;=12,SUMIFS('Attrition Modeling'!$D:$D,'Attrition Modeling'!$B:$B,$E48,'Attrition Modeling'!$C:$C,L$11),VLOOKUP(RentalsVacates!L$12-RentalsVacates!$F48-1,RentalsVacates!$A$8:$C$162,2,FALSE)*VLOOKUP(L$11,'Attrition Modeling'!$L$15:$N$27,IF(L$12-$F48&lt;=24,2,3),FALSE))*(1+IF('Traditional Attrition'!L170&gt;0,'Attrition Modeling'!$N$9,0))),0))</f>
        <v>0</v>
      </c>
      <c r="M48" s="799">
        <f>IF(M$12=$F48+1,IF(Monthly!I$4=TRUE,0,M$3),IF(M$12&gt;$F48+1,RentalsVacates!L48*(1-IF(M$12-$F48&lt;=12,SUMIFS('Attrition Modeling'!$D:$D,'Attrition Modeling'!$B:$B,$E48,'Attrition Modeling'!$C:$C,M$11),VLOOKUP(RentalsVacates!M$12-RentalsVacates!$F48-1,RentalsVacates!$A$8:$C$162,2,FALSE)*VLOOKUP(M$11,'Attrition Modeling'!$L$15:$N$27,IF(M$12-$F48&lt;=24,2,3),FALSE))*(1+IF('Traditional Attrition'!M170&gt;0,'Attrition Modeling'!$N$9,0))),0))</f>
        <v>0</v>
      </c>
      <c r="N48" s="799">
        <f>IF(N$12=$F48+1,IF(Monthly!J$4=TRUE,0,N$3),IF(N$12&gt;$F48+1,RentalsVacates!M48*(1-IF(N$12-$F48&lt;=12,SUMIFS('Attrition Modeling'!$D:$D,'Attrition Modeling'!$B:$B,$E48,'Attrition Modeling'!$C:$C,N$11),VLOOKUP(RentalsVacates!N$12-RentalsVacates!$F48-1,RentalsVacates!$A$8:$C$162,2,FALSE)*VLOOKUP(N$11,'Attrition Modeling'!$L$15:$N$27,IF(N$12-$F48&lt;=24,2,3),FALSE))*(1+IF('Traditional Attrition'!N170&gt;0,'Attrition Modeling'!$N$9,0))),0))</f>
        <v>0</v>
      </c>
      <c r="O48" s="799">
        <f>IF(O$12=$F48+1,IF(Monthly!K$4=TRUE,0,O$3),IF(O$12&gt;$F48+1,RentalsVacates!N48*(1-IF(O$12-$F48&lt;=12,SUMIFS('Attrition Modeling'!$D:$D,'Attrition Modeling'!$B:$B,$E48,'Attrition Modeling'!$C:$C,O$11),VLOOKUP(RentalsVacates!O$12-RentalsVacates!$F48-1,RentalsVacates!$A$8:$C$162,2,FALSE)*VLOOKUP(O$11,'Attrition Modeling'!$L$15:$N$27,IF(O$12-$F48&lt;=24,2,3),FALSE))*(1+IF('Traditional Attrition'!O170&gt;0,'Attrition Modeling'!$N$9,0))),0))</f>
        <v>0</v>
      </c>
      <c r="P48" s="799">
        <f>IF(P$12=$F48+1,IF(Monthly!L$4=TRUE,0,P$3),IF(P$12&gt;$F48+1,RentalsVacates!O48*(1-IF(P$12-$F48&lt;=12,SUMIFS('Attrition Modeling'!$D:$D,'Attrition Modeling'!$B:$B,$E48,'Attrition Modeling'!$C:$C,P$11),VLOOKUP(RentalsVacates!P$12-RentalsVacates!$F48-1,RentalsVacates!$A$8:$C$162,2,FALSE)*VLOOKUP(P$11,'Attrition Modeling'!$L$15:$N$27,IF(P$12-$F48&lt;=24,2,3),FALSE))*(1+IF('Traditional Attrition'!P170&gt;0,'Attrition Modeling'!$N$9,0))),0))</f>
        <v>0</v>
      </c>
      <c r="Q48" s="799">
        <f>IF(Q$12=$F48+1,IF(Monthly!M$4=TRUE,0,Q$3),IF(Q$12&gt;$F48+1,RentalsVacates!P48*(1-IF(Q$12-$F48&lt;=12,SUMIFS('Attrition Modeling'!$D:$D,'Attrition Modeling'!$B:$B,$E48,'Attrition Modeling'!$C:$C,Q$11),VLOOKUP(RentalsVacates!Q$12-RentalsVacates!$F48-1,RentalsVacates!$A$8:$C$162,2,FALSE)*VLOOKUP(Q$11,'Attrition Modeling'!$L$15:$N$27,IF(Q$12-$F48&lt;=24,2,3),FALSE))*(1+IF('Traditional Attrition'!Q170&gt;0,'Attrition Modeling'!$N$9,0))),0))</f>
        <v>0</v>
      </c>
      <c r="R48" s="799">
        <f>IF(R$12=$F48+1,IF(Monthly!N$4=TRUE,0,R$3),IF(R$12&gt;$F48+1,RentalsVacates!Q48*(1-IF(R$12-$F48&lt;=12,SUMIFS('Attrition Modeling'!$D:$D,'Attrition Modeling'!$B:$B,$E48,'Attrition Modeling'!$C:$C,R$11),VLOOKUP(RentalsVacates!R$12-RentalsVacates!$F48-1,RentalsVacates!$A$8:$C$162,2,FALSE)*VLOOKUP(R$11,'Attrition Modeling'!$L$15:$N$27,IF(R$12-$F48&lt;=24,2,3),FALSE))*(1+IF('Traditional Attrition'!R170&gt;0,'Attrition Modeling'!$N$9,0))),0))</f>
        <v>0</v>
      </c>
      <c r="S48" s="799">
        <f>IF(S$12=$F48+1,IF(Monthly!O$4=TRUE,0,S$3),IF(S$12&gt;$F48+1,RentalsVacates!R48*(1-IF(S$12-$F48&lt;=12,SUMIFS('Attrition Modeling'!$D:$D,'Attrition Modeling'!$B:$B,$E48,'Attrition Modeling'!$C:$C,S$11),VLOOKUP(RentalsVacates!S$12-RentalsVacates!$F48-1,RentalsVacates!$A$8:$C$162,2,FALSE)*VLOOKUP(S$11,'Attrition Modeling'!$L$15:$N$27,IF(S$12-$F48&lt;=24,2,3),FALSE))*(1+IF('Traditional Attrition'!S170&gt;0,'Attrition Modeling'!$N$9,0))),0))</f>
        <v>0</v>
      </c>
      <c r="T48" s="799">
        <f>IF(T$12=$F48+1,IF(Monthly!P$4=TRUE,0,T$3),IF(T$12&gt;$F48+1,RentalsVacates!S48*(1-IF(T$12-$F48&lt;=12,SUMIFS('Attrition Modeling'!$D:$D,'Attrition Modeling'!$B:$B,$E48,'Attrition Modeling'!$C:$C,T$11),VLOOKUP(RentalsVacates!T$12-RentalsVacates!$F48-1,RentalsVacates!$A$8:$C$162,2,FALSE)*VLOOKUP(T$11,'Attrition Modeling'!$L$15:$N$27,IF(T$12-$F48&lt;=24,2,3),FALSE))*(1+IF('Traditional Attrition'!T170&gt;0,'Attrition Modeling'!$N$9,0))),0))</f>
        <v>0</v>
      </c>
      <c r="U48" s="799">
        <f>IF(U$12=$F48+1,IF(Monthly!Q$4=TRUE,0,U$3),IF(U$12&gt;$F48+1,RentalsVacates!T48*(1-IF(U$12-$F48&lt;=12,SUMIFS('Attrition Modeling'!$D:$D,'Attrition Modeling'!$B:$B,$E48,'Attrition Modeling'!$C:$C,U$11),VLOOKUP(RentalsVacates!U$12-RentalsVacates!$F48-1,RentalsVacates!$A$8:$C$162,2,FALSE)*VLOOKUP(U$11,'Attrition Modeling'!$L$15:$N$27,IF(U$12-$F48&lt;=24,2,3),FALSE))*(1+IF('Traditional Attrition'!U170&gt;0,'Attrition Modeling'!$N$9,0))),0))</f>
        <v>0</v>
      </c>
      <c r="V48" s="799">
        <f>IF(V$12=$F48+1,IF(Monthly!R$4=TRUE,0,V$3),IF(V$12&gt;$F48+1,RentalsVacates!U48*(1-IF(V$12-$F48&lt;=12,SUMIFS('Attrition Modeling'!$D:$D,'Attrition Modeling'!$B:$B,$E48,'Attrition Modeling'!$C:$C,V$11),VLOOKUP(RentalsVacates!V$12-RentalsVacates!$F48-1,RentalsVacates!$A$8:$C$162,2,FALSE)*VLOOKUP(V$11,'Attrition Modeling'!$L$15:$N$27,IF(V$12-$F48&lt;=24,2,3),FALSE))*(1+IF('Traditional Attrition'!V170&gt;0,'Attrition Modeling'!$N$9,0))),0))</f>
        <v>0</v>
      </c>
      <c r="W48" s="799">
        <f>IF(W$12=$F48+1,IF(Monthly!S$4=TRUE,0,W$3),IF(W$12&gt;$F48+1,RentalsVacates!V48*(1-IF(W$12-$F48&lt;=12,SUMIFS('Attrition Modeling'!$D:$D,'Attrition Modeling'!$B:$B,$E48,'Attrition Modeling'!$C:$C,W$11),VLOOKUP(RentalsVacates!W$12-RentalsVacates!$F48-1,RentalsVacates!$A$8:$C$162,2,FALSE)*VLOOKUP(W$11,'Attrition Modeling'!$L$15:$N$27,IF(W$12-$F48&lt;=24,2,3),FALSE))*(1+IF('Traditional Attrition'!W170&gt;0,'Attrition Modeling'!$N$9,0))),0))</f>
        <v>0</v>
      </c>
      <c r="X48" s="799">
        <f>IF(X$12=$F48+1,IF(Monthly!T$4=TRUE,0,X$3),IF(X$12&gt;$F48+1,RentalsVacates!W48*(1-IF(X$12-$F48&lt;=12,SUMIFS('Attrition Modeling'!$D:$D,'Attrition Modeling'!$B:$B,$E48,'Attrition Modeling'!$C:$C,X$11),VLOOKUP(RentalsVacates!X$12-RentalsVacates!$F48-1,RentalsVacates!$A$8:$C$162,2,FALSE)*VLOOKUP(X$11,'Attrition Modeling'!$L$15:$N$27,IF(X$12-$F48&lt;=24,2,3),FALSE))*(1+IF('Traditional Attrition'!X170&gt;0,'Attrition Modeling'!$N$9,0))),0))</f>
        <v>0</v>
      </c>
      <c r="Y48" s="799">
        <f>IF(Y$12=$F48+1,IF(Monthly!U$4=TRUE,0,Y$3),IF(Y$12&gt;$F48+1,RentalsVacates!X48*(1-IF(Y$12-$F48&lt;=12,SUMIFS('Attrition Modeling'!$D:$D,'Attrition Modeling'!$B:$B,$E48,'Attrition Modeling'!$C:$C,Y$11),VLOOKUP(RentalsVacates!Y$12-RentalsVacates!$F48-1,RentalsVacates!$A$8:$C$162,2,FALSE)*VLOOKUP(Y$11,'Attrition Modeling'!$L$15:$N$27,IF(Y$12-$F48&lt;=24,2,3),FALSE))*(1+IF('Traditional Attrition'!Y170&gt;0,'Attrition Modeling'!$N$9,0))),0))</f>
        <v>0</v>
      </c>
      <c r="Z48" s="799">
        <f>IF(Z$12=$F48+1,IF(Monthly!V$4=TRUE,0,Z$3),IF(Z$12&gt;$F48+1,RentalsVacates!Y48*(1-IF(Z$12-$F48&lt;=12,SUMIFS('Attrition Modeling'!$D:$D,'Attrition Modeling'!$B:$B,$E48,'Attrition Modeling'!$C:$C,Z$11),VLOOKUP(RentalsVacates!Z$12-RentalsVacates!$F48-1,RentalsVacates!$A$8:$C$162,2,FALSE)*VLOOKUP(Z$11,'Attrition Modeling'!$L$15:$N$27,IF(Z$12-$F48&lt;=24,2,3),FALSE))*(1+IF('Traditional Attrition'!Z170&gt;0,'Attrition Modeling'!$N$9,0))),0))</f>
        <v>0</v>
      </c>
      <c r="AA48" s="799">
        <f>IF(AA$12=$F48+1,IF(Monthly!W$4=TRUE,0,AA$3),IF(AA$12&gt;$F48+1,RentalsVacates!Z48*(1-IF(AA$12-$F48&lt;=12,SUMIFS('Attrition Modeling'!$D:$D,'Attrition Modeling'!$B:$B,$E48,'Attrition Modeling'!$C:$C,AA$11),VLOOKUP(RentalsVacates!AA$12-RentalsVacates!$F48-1,RentalsVacates!$A$8:$C$162,2,FALSE)*VLOOKUP(AA$11,'Attrition Modeling'!$L$15:$N$27,IF(AA$12-$F48&lt;=24,2,3),FALSE))*(1+IF('Traditional Attrition'!AA170&gt;0,'Attrition Modeling'!$N$9,0))),0))</f>
        <v>0</v>
      </c>
      <c r="AB48" s="799">
        <f>IF(AB$12=$F48+1,IF(Monthly!X$4=TRUE,0,AB$3),IF(AB$12&gt;$F48+1,RentalsVacates!AA48*(1-IF(AB$12-$F48&lt;=12,SUMIFS('Attrition Modeling'!$D:$D,'Attrition Modeling'!$B:$B,$E48,'Attrition Modeling'!$C:$C,AB$11),VLOOKUP(RentalsVacates!AB$12-RentalsVacates!$F48-1,RentalsVacates!$A$8:$C$162,2,FALSE)*VLOOKUP(AB$11,'Attrition Modeling'!$L$15:$N$27,IF(AB$12-$F48&lt;=24,2,3),FALSE))*(1+IF('Traditional Attrition'!AB170&gt;0,'Attrition Modeling'!$N$9,0))),0))</f>
        <v>0</v>
      </c>
      <c r="AC48" s="799">
        <f>IF(AC$12=$F48+1,IF(Monthly!Y$4=TRUE,0,AC$3),IF(AC$12&gt;$F48+1,RentalsVacates!AB48*(1-IF(AC$12-$F48&lt;=12,SUMIFS('Attrition Modeling'!$D:$D,'Attrition Modeling'!$B:$B,$E48,'Attrition Modeling'!$C:$C,AC$11),VLOOKUP(RentalsVacates!AC$12-RentalsVacates!$F48-1,RentalsVacates!$A$8:$C$162,2,FALSE)*VLOOKUP(AC$11,'Attrition Modeling'!$L$15:$N$27,IF(AC$12-$F48&lt;=24,2,3),FALSE))*(1+IF('Traditional Attrition'!AC170&gt;0,'Attrition Modeling'!$N$9,0))),0))</f>
        <v>0</v>
      </c>
      <c r="AD48" s="799">
        <f>IF(AD$12=$F48+1,IF(Monthly!Z$4=TRUE,0,AD$3),IF(AD$12&gt;$F48+1,RentalsVacates!AC48*(1-IF(AD$12-$F48&lt;=12,SUMIFS('Attrition Modeling'!$D:$D,'Attrition Modeling'!$B:$B,$E48,'Attrition Modeling'!$C:$C,AD$11),VLOOKUP(RentalsVacates!AD$12-RentalsVacates!$F48-1,RentalsVacates!$A$8:$C$162,2,FALSE)*VLOOKUP(AD$11,'Attrition Modeling'!$L$15:$N$27,IF(AD$12-$F48&lt;=24,2,3),FALSE))*(1+IF('Traditional Attrition'!AD170&gt;0,'Attrition Modeling'!$N$9,0))),0))</f>
        <v>0</v>
      </c>
      <c r="AE48" s="799">
        <f>IF(AE$12=$F48+1,IF(Monthly!AA$4=TRUE,0,AE$3),IF(AE$12&gt;$F48+1,RentalsVacates!AD48*(1-IF(AE$12-$F48&lt;=12,SUMIFS('Attrition Modeling'!$D:$D,'Attrition Modeling'!$B:$B,$E48,'Attrition Modeling'!$C:$C,AE$11),VLOOKUP(RentalsVacates!AE$12-RentalsVacates!$F48-1,RentalsVacates!$A$8:$C$162,2,FALSE)*VLOOKUP(AE$11,'Attrition Modeling'!$L$15:$N$27,IF(AE$12-$F48&lt;=24,2,3),FALSE))*(1+IF('Traditional Attrition'!AE170&gt;0,'Attrition Modeling'!$N$9,0))),0))</f>
        <v>0</v>
      </c>
      <c r="AF48" s="799">
        <f>IF(AF$12=$F48+1,IF(Monthly!AB$4=TRUE,0,AF$3),IF(AF$12&gt;$F48+1,RentalsVacates!AE48*(1-IF(AF$12-$F48&lt;=12,SUMIFS('Attrition Modeling'!$D:$D,'Attrition Modeling'!$B:$B,$E48,'Attrition Modeling'!$C:$C,AF$11),VLOOKUP(RentalsVacates!AF$12-RentalsVacates!$F48-1,RentalsVacates!$A$8:$C$162,2,FALSE)*VLOOKUP(AF$11,'Attrition Modeling'!$L$15:$N$27,IF(AF$12-$F48&lt;=24,2,3),FALSE))*(1+IF('Traditional Attrition'!AF170&gt;0,'Attrition Modeling'!$N$9,0))),0))</f>
        <v>0</v>
      </c>
      <c r="AG48" s="799">
        <f>IF(AG$12=$F48+1,IF(Monthly!AC$4=TRUE,0,AG$3),IF(AG$12&gt;$F48+1,RentalsVacates!AF48*(1-IF(AG$12-$F48&lt;=12,SUMIFS('Attrition Modeling'!$D:$D,'Attrition Modeling'!$B:$B,$E48,'Attrition Modeling'!$C:$C,AG$11),VLOOKUP(RentalsVacates!AG$12-RentalsVacates!$F48-1,RentalsVacates!$A$8:$C$162,2,FALSE)*VLOOKUP(AG$11,'Attrition Modeling'!$L$15:$N$27,IF(AG$12-$F48&lt;=24,2,3),FALSE))*(1+IF('Traditional Attrition'!AG170&gt;0,'Attrition Modeling'!$N$9,0))),0))</f>
        <v>0</v>
      </c>
      <c r="AH48" s="799">
        <f>IF(AH$12=$F48+1,IF(Monthly!AD$4=TRUE,0,AH$3),IF(AH$12&gt;$F48+1,RentalsVacates!AG48*(1-IF(AH$12-$F48&lt;=12,SUMIFS('Attrition Modeling'!$D:$D,'Attrition Modeling'!$B:$B,$E48,'Attrition Modeling'!$C:$C,AH$11),VLOOKUP(RentalsVacates!AH$12-RentalsVacates!$F48-1,RentalsVacates!$A$8:$C$162,2,FALSE)*VLOOKUP(AH$11,'Attrition Modeling'!$L$15:$N$27,IF(AH$12-$F48&lt;=24,2,3),FALSE))*(1+IF('Traditional Attrition'!AH170&gt;0,'Attrition Modeling'!$N$9,0))),0))</f>
        <v>0</v>
      </c>
      <c r="AI48" s="799">
        <f>IF(AI$12=$F48+1,IF(Monthly!AE$4=TRUE,0,AI$3),IF(AI$12&gt;$F48+1,RentalsVacates!AH48*(1-IF(AI$12-$F48&lt;=12,SUMIFS('Attrition Modeling'!$D:$D,'Attrition Modeling'!$B:$B,$E48,'Attrition Modeling'!$C:$C,AI$11),VLOOKUP(RentalsVacates!AI$12-RentalsVacates!$F48-1,RentalsVacates!$A$8:$C$162,2,FALSE)*VLOOKUP(AI$11,'Attrition Modeling'!$L$15:$N$27,IF(AI$12-$F48&lt;=24,2,3),FALSE))*(1+IF('Traditional Attrition'!AI170&gt;0,'Attrition Modeling'!$N$9,0))),0))</f>
        <v>0</v>
      </c>
      <c r="AJ48" s="799">
        <f>IF(AJ$12=$F48+1,IF(Monthly!AF$4=TRUE,0,AJ$3),IF(AJ$12&gt;$F48+1,RentalsVacates!AI48*(1-IF(AJ$12-$F48&lt;=12,SUMIFS('Attrition Modeling'!$D:$D,'Attrition Modeling'!$B:$B,$E48,'Attrition Modeling'!$C:$C,AJ$11),VLOOKUP(RentalsVacates!AJ$12-RentalsVacates!$F48-1,RentalsVacates!$A$8:$C$162,2,FALSE)*VLOOKUP(AJ$11,'Attrition Modeling'!$L$15:$N$27,IF(AJ$12-$F48&lt;=24,2,3),FALSE))*(1+IF('Traditional Attrition'!AJ170&gt;0,'Attrition Modeling'!$N$9,0))),0))</f>
        <v>0</v>
      </c>
      <c r="AK48" s="799">
        <f>IF(AK$12=$F48+1,IF(Monthly!AG$4=TRUE,0,AK$3),IF(AK$12&gt;$F48+1,RentalsVacates!AJ48*(1-IF(AK$12-$F48&lt;=12,SUMIFS('Attrition Modeling'!$D:$D,'Attrition Modeling'!$B:$B,$E48,'Attrition Modeling'!$C:$C,AK$11),VLOOKUP(RentalsVacates!AK$12-RentalsVacates!$F48-1,RentalsVacates!$A$8:$C$162,2,FALSE)*VLOOKUP(AK$11,'Attrition Modeling'!$L$15:$N$27,IF(AK$12-$F48&lt;=24,2,3),FALSE))*(1+IF('Traditional Attrition'!AK170&gt;0,'Attrition Modeling'!$N$9,0))),0))</f>
        <v>0</v>
      </c>
      <c r="AL48" s="799">
        <f>IF(AL$12=$F48+1,IF(Monthly!AH$4=TRUE,0,AL$3),IF(AL$12&gt;$F48+1,RentalsVacates!AK48*(1-IF(AL$12-$F48&lt;=12,SUMIFS('Attrition Modeling'!$D:$D,'Attrition Modeling'!$B:$B,$E48,'Attrition Modeling'!$C:$C,AL$11),VLOOKUP(RentalsVacates!AL$12-RentalsVacates!$F48-1,RentalsVacates!$A$8:$C$162,2,FALSE)*VLOOKUP(AL$11,'Attrition Modeling'!$L$15:$N$27,IF(AL$12-$F48&lt;=24,2,3),FALSE))*(1+IF('Traditional Attrition'!AL170&gt;0,'Attrition Modeling'!$N$9,0))),0))</f>
        <v>0</v>
      </c>
      <c r="AM48" s="799">
        <f>IF(AM$12=$F48+1,IF(Monthly!AI$4=TRUE,0,AM$3),IF(AM$12&gt;$F48+1,RentalsVacates!AL48*(1-IF(AM$12-$F48&lt;=12,SUMIFS('Attrition Modeling'!$D:$D,'Attrition Modeling'!$B:$B,$E48,'Attrition Modeling'!$C:$C,AM$11),VLOOKUP(RentalsVacates!AM$12-RentalsVacates!$F48-1,RentalsVacates!$A$8:$C$162,2,FALSE)*VLOOKUP(AM$11,'Attrition Modeling'!$L$15:$N$27,IF(AM$12-$F48&lt;=24,2,3),FALSE))*(1+IF('Traditional Attrition'!AM170&gt;0,'Attrition Modeling'!$N$9,0))),0))</f>
        <v>0</v>
      </c>
      <c r="AN48" s="799">
        <f>IF(AN$12=$F48+1,IF(Monthly!AJ$4=TRUE,0,AN$3),IF(AN$12&gt;$F48+1,RentalsVacates!AM48*(1-IF(AN$12-$F48&lt;=12,SUMIFS('Attrition Modeling'!$D:$D,'Attrition Modeling'!$B:$B,$E48,'Attrition Modeling'!$C:$C,AN$11),VLOOKUP(RentalsVacates!AN$12-RentalsVacates!$F48-1,RentalsVacates!$A$8:$C$162,2,FALSE)*VLOOKUP(AN$11,'Attrition Modeling'!$L$15:$N$27,IF(AN$12-$F48&lt;=24,2,3),FALSE))*(1+IF('Traditional Attrition'!AN170&gt;0,'Attrition Modeling'!$N$9,0))),0))</f>
        <v>0</v>
      </c>
      <c r="AO48" s="799">
        <f>IF(AO$12=$F48+1,IF(Monthly!AK$4=TRUE,0,AO$3),IF(AO$12&gt;$F48+1,RentalsVacates!AN48*(1-IF(AO$12-$F48&lt;=12,SUMIFS('Attrition Modeling'!$D:$D,'Attrition Modeling'!$B:$B,$E48,'Attrition Modeling'!$C:$C,AO$11),VLOOKUP(RentalsVacates!AO$12-RentalsVacates!$F48-1,RentalsVacates!$A$8:$C$162,2,FALSE)*VLOOKUP(AO$11,'Attrition Modeling'!$L$15:$N$27,IF(AO$12-$F48&lt;=24,2,3),FALSE))*(1+IF('Traditional Attrition'!AO170&gt;0,'Attrition Modeling'!$N$9,0))),0))</f>
        <v>0</v>
      </c>
      <c r="AP48" s="799">
        <f>IF(AP$12=$F48+1,IF(Monthly!AL$4=TRUE,0,AP$3),IF(AP$12&gt;$F48+1,RentalsVacates!AO48*(1-IF(AP$12-$F48&lt;=12,SUMIFS('Attrition Modeling'!$D:$D,'Attrition Modeling'!$B:$B,$E48,'Attrition Modeling'!$C:$C,AP$11),VLOOKUP(RentalsVacates!AP$12-RentalsVacates!$F48-1,RentalsVacates!$A$8:$C$162,2,FALSE)*VLOOKUP(AP$11,'Attrition Modeling'!$L$15:$N$27,IF(AP$12-$F48&lt;=24,2,3),FALSE))*(1+IF('Traditional Attrition'!AP170&gt;0,'Attrition Modeling'!$N$9,0))),0))</f>
        <v>0</v>
      </c>
      <c r="AQ48" s="799">
        <f>IF(AQ$12=$F48+1,IF(Monthly!AM$4=TRUE,0,AQ$3),IF(AQ$12&gt;$F48+1,RentalsVacates!AP48*(1-IF(AQ$12-$F48&lt;=12,SUMIFS('Attrition Modeling'!$D:$D,'Attrition Modeling'!$B:$B,$E48,'Attrition Modeling'!$C:$C,AQ$11),VLOOKUP(RentalsVacates!AQ$12-RentalsVacates!$F48-1,RentalsVacates!$A$8:$C$162,2,FALSE)*VLOOKUP(AQ$11,'Attrition Modeling'!$L$15:$N$27,IF(AQ$12-$F48&lt;=24,2,3),FALSE))*(1+IF('Traditional Attrition'!AQ170&gt;0,'Attrition Modeling'!$N$9,0))),0))</f>
        <v>7534.9706468860677</v>
      </c>
      <c r="AR48" s="799">
        <f>IF(AR$12=$F48+1,IF(Monthly!AN$4=TRUE,0,AR$3),IF(AR$12&gt;$F48+1,RentalsVacates!AQ48*(1-IF(AR$12-$F48&lt;=12,SUMIFS('Attrition Modeling'!$D:$D,'Attrition Modeling'!$B:$B,$E48,'Attrition Modeling'!$C:$C,AR$11),VLOOKUP(RentalsVacates!AR$12-RentalsVacates!$F48-1,RentalsVacates!$A$8:$C$162,2,FALSE)*VLOOKUP(AR$11,'Attrition Modeling'!$L$15:$N$27,IF(AR$12-$F48&lt;=24,2,3),FALSE))*(1+IF('Traditional Attrition'!AR170&gt;0,'Attrition Modeling'!$N$9,0))),0))</f>
        <v>6850.8344939961771</v>
      </c>
      <c r="AS48" s="799">
        <f>IF(AS$12=$F48+1,IF(Monthly!AO$4=TRUE,0,AS$3),IF(AS$12&gt;$F48+1,RentalsVacates!AR48*(1-IF(AS$12-$F48&lt;=12,SUMIFS('Attrition Modeling'!$D:$D,'Attrition Modeling'!$B:$B,$E48,'Attrition Modeling'!$C:$C,AS$11),VLOOKUP(RentalsVacates!AS$12-RentalsVacates!$F48-1,RentalsVacates!$A$8:$C$162,2,FALSE)*VLOOKUP(AS$11,'Attrition Modeling'!$L$15:$N$27,IF(AS$12-$F48&lt;=24,2,3),FALSE))*(1+IF('Traditional Attrition'!AS170&gt;0,'Attrition Modeling'!$N$9,0))),0))</f>
        <v>6319.7661620396757</v>
      </c>
      <c r="AT48" s="799">
        <f>IF(AT$12=$F48+1,IF(Monthly!AP$4=TRUE,0,AT$3),IF(AT$12&gt;$F48+1,RentalsVacates!AS48*(1-IF(AT$12-$F48&lt;=12,SUMIFS('Attrition Modeling'!$D:$D,'Attrition Modeling'!$B:$B,$E48,'Attrition Modeling'!$C:$C,AT$11),VLOOKUP(RentalsVacates!AT$12-RentalsVacates!$F48-1,RentalsVacates!$A$8:$C$162,2,FALSE)*VLOOKUP(AT$11,'Attrition Modeling'!$L$15:$N$27,IF(AT$12-$F48&lt;=24,2,3),FALSE))*(1+IF('Traditional Attrition'!AT170&gt;0,'Attrition Modeling'!$N$9,0))),0))</f>
        <v>5756.9932604258611</v>
      </c>
      <c r="AU48" s="799">
        <f>IF(AU$12=$F48+1,IF(Monthly!AQ$4=TRUE,0,AU$3),IF(AU$12&gt;$F48+1,RentalsVacates!AT48*(1-IF(AU$12-$F48&lt;=12,SUMIFS('Attrition Modeling'!$D:$D,'Attrition Modeling'!$B:$B,$E48,'Attrition Modeling'!$C:$C,AU$11),VLOOKUP(RentalsVacates!AU$12-RentalsVacates!$F48-1,RentalsVacates!$A$8:$C$162,2,FALSE)*VLOOKUP(AU$11,'Attrition Modeling'!$L$15:$N$27,IF(AU$12-$F48&lt;=24,2,3),FALSE))*(1+IF('Traditional Attrition'!AU170&gt;0,'Attrition Modeling'!$N$9,0))),0))</f>
        <v>5303.8648689224174</v>
      </c>
      <c r="AV48" s="799">
        <f>IF(AV$12=$F48+1,IF(Monthly!AR$4=TRUE,0,AV$3),IF(AV$12&gt;$F48+1,RentalsVacates!AU48*(1-IF(AV$12-$F48&lt;=12,SUMIFS('Attrition Modeling'!$D:$D,'Attrition Modeling'!$B:$B,$E48,'Attrition Modeling'!$C:$C,AV$11),VLOOKUP(RentalsVacates!AV$12-RentalsVacates!$F48-1,RentalsVacates!$A$8:$C$162,2,FALSE)*VLOOKUP(AV$11,'Attrition Modeling'!$L$15:$N$27,IF(AV$12-$F48&lt;=24,2,3),FALSE))*(1+IF('Traditional Attrition'!AV170&gt;0,'Attrition Modeling'!$N$9,0))),0))</f>
        <v>4772.4251829754239</v>
      </c>
      <c r="AW48" s="799">
        <f>IF(AW$12=$F48+1,IF(Monthly!AS$4=TRUE,0,AW$3),IF(AW$12&gt;$F48+1,RentalsVacates!AV48*(1-IF(AW$12-$F48&lt;=12,SUMIFS('Attrition Modeling'!$D:$D,'Attrition Modeling'!$B:$B,$E48,'Attrition Modeling'!$C:$C,AW$11),VLOOKUP(RentalsVacates!AW$12-RentalsVacates!$F48-1,RentalsVacates!$A$8:$C$162,2,FALSE)*VLOOKUP(AW$11,'Attrition Modeling'!$L$15:$N$27,IF(AW$12-$F48&lt;=24,2,3),FALSE))*(1+IF('Traditional Attrition'!AW170&gt;0,'Attrition Modeling'!$N$9,0))),0))</f>
        <v>4434.2706537287841</v>
      </c>
      <c r="AX48" s="799">
        <f>IF(AX$12=$F48+1,IF(Monthly!AT$4=TRUE,0,AX$3),IF(AX$12&gt;$F48+1,RentalsVacates!AW48*(1-IF(AX$12-$F48&lt;=12,SUMIFS('Attrition Modeling'!$D:$D,'Attrition Modeling'!$B:$B,$E48,'Attrition Modeling'!$C:$C,AX$11),VLOOKUP(RentalsVacates!AX$12-RentalsVacates!$F48-1,RentalsVacates!$A$8:$C$162,2,FALSE)*VLOOKUP(AX$11,'Attrition Modeling'!$L$15:$N$27,IF(AX$12-$F48&lt;=24,2,3),FALSE))*(1+IF('Traditional Attrition'!AX170&gt;0,'Attrition Modeling'!$N$9,0))),0))</f>
        <v>4128.9941330842503</v>
      </c>
      <c r="AY48" s="799">
        <f>IF(AY$12=$F48+1,IF(Monthly!AU$4=TRUE,0,AY$3),IF(AY$12&gt;$F48+1,RentalsVacates!AX48*(1-IF(AY$12-$F48&lt;=12,SUMIFS('Attrition Modeling'!$D:$D,'Attrition Modeling'!$B:$B,$E48,'Attrition Modeling'!$C:$C,AY$11),VLOOKUP(RentalsVacates!AY$12-RentalsVacates!$F48-1,RentalsVacates!$A$8:$C$162,2,FALSE)*VLOOKUP(AY$11,'Attrition Modeling'!$L$15:$N$27,IF(AY$12-$F48&lt;=24,2,3),FALSE))*(1+IF('Traditional Attrition'!AY170&gt;0,'Attrition Modeling'!$N$9,0))),0))</f>
        <v>3848.0255377244321</v>
      </c>
      <c r="AZ48" s="799">
        <f>IF(AZ$12=$F48+1,IF(Monthly!AV$4=TRUE,0,AZ$3),IF(AZ$12&gt;$F48+1,RentalsVacates!AY48*(1-IF(AZ$12-$F48&lt;=12,SUMIFS('Attrition Modeling'!$D:$D,'Attrition Modeling'!$B:$B,$E48,'Attrition Modeling'!$C:$C,AZ$11),VLOOKUP(RentalsVacates!AZ$12-RentalsVacates!$F48-1,RentalsVacates!$A$8:$C$162,2,FALSE)*VLOOKUP(AZ$11,'Attrition Modeling'!$L$15:$N$27,IF(AZ$12-$F48&lt;=24,2,3),FALSE))*(1+IF('Traditional Attrition'!AZ170&gt;0,'Attrition Modeling'!$N$9,0))),0))</f>
        <v>3631.0049782504034</v>
      </c>
      <c r="BA48" s="799">
        <f>IF(BA$12=$F48+1,IF(Monthly!AW$4=TRUE,0,BA$3),IF(BA$12&gt;$F48+1,RentalsVacates!AZ48*(1-IF(BA$12-$F48&lt;=12,SUMIFS('Attrition Modeling'!$D:$D,'Attrition Modeling'!$B:$B,$E48,'Attrition Modeling'!$C:$C,BA$11),VLOOKUP(RentalsVacates!BA$12-RentalsVacates!$F48-1,RentalsVacates!$A$8:$C$162,2,FALSE)*VLOOKUP(BA$11,'Attrition Modeling'!$L$15:$N$27,IF(BA$12-$F48&lt;=24,2,3),FALSE))*(1+IF('Traditional Attrition'!BA170&gt;0,'Attrition Modeling'!$N$9,0))),0))</f>
        <v>3423.8927084613488</v>
      </c>
      <c r="BB48" s="799">
        <f>IF(BB$12=$F48+1,IF(Monthly!AX$4=TRUE,0,BB$3),IF(BB$12&gt;$F48+1,RentalsVacates!BA48*(1-IF(BB$12-$F48&lt;=12,SUMIFS('Attrition Modeling'!$D:$D,'Attrition Modeling'!$B:$B,$E48,'Attrition Modeling'!$C:$C,BB$11),VLOOKUP(RentalsVacates!BB$12-RentalsVacates!$F48-1,RentalsVacates!$A$8:$C$162,2,FALSE)*VLOOKUP(BB$11,'Attrition Modeling'!$L$15:$N$27,IF(BB$12-$F48&lt;=24,2,3),FALSE))*(1+IF('Traditional Attrition'!BB170&gt;0,'Attrition Modeling'!$N$9,0))),0))</f>
        <v>3331.8789130973773</v>
      </c>
      <c r="BC48" s="799">
        <f>IF(BC$12=$F48+1,IF(Monthly!AY$4=TRUE,0,BC$3),IF(BC$12&gt;$F48+1,RentalsVacates!BB48*(1-IF(BC$12-$F48&lt;=12,SUMIFS('Attrition Modeling'!$D:$D,'Attrition Modeling'!$B:$B,$E48,'Attrition Modeling'!$C:$C,BC$11),VLOOKUP(RentalsVacates!BC$12-RentalsVacates!$F48-1,RentalsVacates!$A$8:$C$162,2,FALSE)*VLOOKUP(BC$11,'Attrition Modeling'!$L$15:$N$27,IF(BC$12-$F48&lt;=24,2,3),FALSE))*(1+IF('Traditional Attrition'!BC170&gt;0,'Attrition Modeling'!$N$9,0))),0))</f>
        <v>3152.6658939157596</v>
      </c>
      <c r="BD48" s="799">
        <f>IF(BD$12=$F48+1,IF(Monthly!AZ$4=TRUE,0,BD$3),IF(BD$12&gt;$F48+1,RentalsVacates!BC48*(1-IF(BD$12-$F48&lt;=12,SUMIFS('Attrition Modeling'!$D:$D,'Attrition Modeling'!$B:$B,$E48,'Attrition Modeling'!$C:$C,BD$11),VLOOKUP(RentalsVacates!BD$12-RentalsVacates!$F48-1,RentalsVacates!$A$8:$C$162,2,FALSE)*VLOOKUP(BD$11,'Attrition Modeling'!$L$15:$N$27,IF(BD$12-$F48&lt;=24,2,3),FALSE))*(1+IF('Traditional Attrition'!BD170&gt;0,'Attrition Modeling'!$N$9,0))),0))</f>
        <v>2996.0489624232455</v>
      </c>
      <c r="BE48" s="799">
        <f>IF(BE$12=$F48+1,IF(Monthly!BA$4=TRUE,0,BE$3),IF(BE$12&gt;$F48+1,RentalsVacates!BD48*(1-IF(BE$12-$F48&lt;=12,SUMIFS('Attrition Modeling'!$D:$D,'Attrition Modeling'!$B:$B,$E48,'Attrition Modeling'!$C:$C,BE$11),VLOOKUP(RentalsVacates!BE$12-RentalsVacates!$F48-1,RentalsVacates!$A$8:$C$162,2,FALSE)*VLOOKUP(BE$11,'Attrition Modeling'!$L$15:$N$27,IF(BE$12-$F48&lt;=24,2,3),FALSE))*(1+IF('Traditional Attrition'!BE170&gt;0,'Attrition Modeling'!$N$9,0))),0))</f>
        <v>2868.3569690626568</v>
      </c>
      <c r="BF48" s="799">
        <f>IF(BF$12=$F48+1,IF(Monthly!BB$4=TRUE,0,BF$3),IF(BF$12&gt;$F48+1,RentalsVacates!BE48*(1-IF(BF$12-$F48&lt;=12,SUMIFS('Attrition Modeling'!$D:$D,'Attrition Modeling'!$B:$B,$E48,'Attrition Modeling'!$C:$C,BF$11),VLOOKUP(RentalsVacates!BF$12-RentalsVacates!$F48-1,RentalsVacates!$A$8:$C$162,2,FALSE)*VLOOKUP(BF$11,'Attrition Modeling'!$L$15:$N$27,IF(BF$12-$F48&lt;=24,2,3),FALSE))*(1+IF('Traditional Attrition'!BF170&gt;0,'Attrition Modeling'!$N$9,0))),0))</f>
        <v>2740.1419156947786</v>
      </c>
      <c r="BG48" s="799">
        <f>IF(BG$12=$F48+1,IF(Monthly!BC$4=TRUE,0,BG$3),IF(BG$12&gt;$F48+1,RentalsVacates!BF48*(1-IF(BG$12-$F48&lt;=12,SUMIFS('Attrition Modeling'!$D:$D,'Attrition Modeling'!$B:$B,$E48,'Attrition Modeling'!$C:$C,BG$11),VLOOKUP(RentalsVacates!BG$12-RentalsVacates!$F48-1,RentalsVacates!$A$8:$C$162,2,FALSE)*VLOOKUP(BG$11,'Attrition Modeling'!$L$15:$N$27,IF(BG$12-$F48&lt;=24,2,3),FALSE))*(1+IF('Traditional Attrition'!BG170&gt;0,'Attrition Modeling'!$N$9,0))),0))</f>
        <v>2623.2542336686442</v>
      </c>
      <c r="BH48" s="799">
        <f>IF(BH$12=$F48+1,IF(Monthly!BD$4=TRUE,0,BH$3),IF(BH$12&gt;$F48+1,RentalsVacates!BG48*(1-IF(BH$12-$F48&lt;=12,SUMIFS('Attrition Modeling'!$D:$D,'Attrition Modeling'!$B:$B,$E48,'Attrition Modeling'!$C:$C,BH$11),VLOOKUP(RentalsVacates!BH$12-RentalsVacates!$F48-1,RentalsVacates!$A$8:$C$162,2,FALSE)*VLOOKUP(BH$11,'Attrition Modeling'!$L$15:$N$27,IF(BH$12-$F48&lt;=24,2,3),FALSE))*(1+IF('Traditional Attrition'!BH170&gt;0,'Attrition Modeling'!$N$9,0))),0))</f>
        <v>2493.2320544130303</v>
      </c>
      <c r="BI48" s="799">
        <f>IF(BI$12=$F48+1,IF(Monthly!BE$4=TRUE,0,BI$3),IF(BI$12&gt;$F48+1,RentalsVacates!BH48*(1-IF(BI$12-$F48&lt;=12,SUMIFS('Attrition Modeling'!$D:$D,'Attrition Modeling'!$B:$B,$E48,'Attrition Modeling'!$C:$C,BI$11),VLOOKUP(RentalsVacates!BI$12-RentalsVacates!$F48-1,RentalsVacates!$A$8:$C$162,2,FALSE)*VLOOKUP(BI$11,'Attrition Modeling'!$L$15:$N$27,IF(BI$12-$F48&lt;=24,2,3),FALSE))*(1+IF('Traditional Attrition'!BI170&gt;0,'Attrition Modeling'!$N$9,0))),0))</f>
        <v>2382.5982512360183</v>
      </c>
      <c r="BJ48" s="799">
        <f>IF(BJ$12=$F48+1,IF(Monthly!BF$4=TRUE,0,BJ$3),IF(BJ$12&gt;$F48+1,RentalsVacates!BI48*(1-IF(BJ$12-$F48&lt;=12,SUMIFS('Attrition Modeling'!$D:$D,'Attrition Modeling'!$B:$B,$E48,'Attrition Modeling'!$C:$C,BJ$11),VLOOKUP(RentalsVacates!BJ$12-RentalsVacates!$F48-1,RentalsVacates!$A$8:$C$162,2,FALSE)*VLOOKUP(BJ$11,'Attrition Modeling'!$L$15:$N$27,IF(BJ$12-$F48&lt;=24,2,3),FALSE))*(1+IF('Traditional Attrition'!BJ170&gt;0,'Attrition Modeling'!$N$9,0))),0))</f>
        <v>2276.4274062833242</v>
      </c>
      <c r="BK48" s="799">
        <f>IF(BK$12=$F48+1,IF(Monthly!BG$4=TRUE,0,BK$3),IF(BK$12&gt;$F48+1,RentalsVacates!BJ48*(1-IF(BK$12-$F48&lt;=12,SUMIFS('Attrition Modeling'!$D:$D,'Attrition Modeling'!$B:$B,$E48,'Attrition Modeling'!$C:$C,BK$11),VLOOKUP(RentalsVacates!BK$12-RentalsVacates!$F48-1,RentalsVacates!$A$8:$C$162,2,FALSE)*VLOOKUP(BK$11,'Attrition Modeling'!$L$15:$N$27,IF(BK$12-$F48&lt;=24,2,3),FALSE))*(1+IF('Traditional Attrition'!BK170&gt;0,'Attrition Modeling'!$N$9,0))),0))</f>
        <v>2172.3108278075229</v>
      </c>
      <c r="BL48" s="799">
        <f>IF(BL$12=$F48+1,IF(Monthly!BH$4=TRUE,0,BL$3),IF(BL$12&gt;$F48+1,RentalsVacates!BK48*(1-IF(BL$12-$F48&lt;=12,SUMIFS('Attrition Modeling'!$D:$D,'Attrition Modeling'!$B:$B,$E48,'Attrition Modeling'!$C:$C,BL$11),VLOOKUP(RentalsVacates!BL$12-RentalsVacates!$F48-1,RentalsVacates!$A$8:$C$162,2,FALSE)*VLOOKUP(BL$11,'Attrition Modeling'!$L$15:$N$27,IF(BL$12-$F48&lt;=24,2,3),FALSE))*(1+IF('Traditional Attrition'!BL170&gt;0,'Attrition Modeling'!$N$9,0))),0))</f>
        <v>2083.1209276846348</v>
      </c>
      <c r="BM48" s="799">
        <f>IF(BM$12=$F48+1,IF(Monthly!BI$4=TRUE,0,BM$3),IF(BM$12&gt;$F48+1,RentalsVacates!BL48*(1-IF(BM$12-$F48&lt;=12,SUMIFS('Attrition Modeling'!$D:$D,'Attrition Modeling'!$B:$B,$E48,'Attrition Modeling'!$C:$C,BM$11),VLOOKUP(RentalsVacates!BM$12-RentalsVacates!$F48-1,RentalsVacates!$A$8:$C$162,2,FALSE)*VLOOKUP(BM$11,'Attrition Modeling'!$L$15:$N$27,IF(BM$12-$F48&lt;=24,2,3),FALSE))*(1+IF('Traditional Attrition'!BM170&gt;0,'Attrition Modeling'!$N$9,0))),0))</f>
        <v>1996.8643175713694</v>
      </c>
      <c r="BN48" s="799">
        <f>IF(BN$12=$F48+1,IF(Monthly!BJ$4=TRUE,0,BN$3),IF(BN$12&gt;$F48+1,RentalsVacates!BM48*(1-IF(BN$12-$F48&lt;=12,SUMIFS('Attrition Modeling'!$D:$D,'Attrition Modeling'!$B:$B,$E48,'Attrition Modeling'!$C:$C,BN$11),VLOOKUP(RentalsVacates!BN$12-RentalsVacates!$F48-1,RentalsVacates!$A$8:$C$162,2,FALSE)*VLOOKUP(BN$11,'Attrition Modeling'!$L$15:$N$27,IF(BN$12-$F48&lt;=24,2,3),FALSE))*(1+IF('Traditional Attrition'!BN170&gt;0,'Attrition Modeling'!$N$9,0))),0))</f>
        <v>1918.3746128326197</v>
      </c>
      <c r="BO48" s="799">
        <f>IF(BO$12=$F48+1,IF(Monthly!BK$4=TRUE,0,BO$3),IF(BO$12&gt;$F48+1,RentalsVacates!BN48*(1-IF(BO$12-$F48&lt;=12,SUMIFS('Attrition Modeling'!$D:$D,'Attrition Modeling'!$B:$B,$E48,'Attrition Modeling'!$C:$C,BO$11),VLOOKUP(RentalsVacates!BO$12-RentalsVacates!$F48-1,RentalsVacates!$A$8:$C$162,2,FALSE)*VLOOKUP(BO$11,'Attrition Modeling'!$L$15:$N$27,IF(BO$12-$F48&lt;=24,2,3),FALSE))*(1+IF('Traditional Attrition'!BO170&gt;0,'Attrition Modeling'!$N$9,0))),0))</f>
        <v>1856.3982515162209</v>
      </c>
      <c r="BP48" s="799">
        <f>IF(BP$12=$F48+1,IF(Monthly!BL$4=TRUE,0,BP$3),IF(BP$12&gt;$F48+1,RentalsVacates!BO48*(1-IF(BP$12-$F48&lt;=12,SUMIFS('Attrition Modeling'!$D:$D,'Attrition Modeling'!$B:$B,$E48,'Attrition Modeling'!$C:$C,BP$11),VLOOKUP(RentalsVacates!BP$12-RentalsVacates!$F48-1,RentalsVacates!$A$8:$C$162,2,FALSE)*VLOOKUP(BP$11,'Attrition Modeling'!$L$15:$N$27,IF(BP$12-$F48&lt;=24,2,3),FALSE))*(1+IF('Traditional Attrition'!BP170&gt;0,'Attrition Modeling'!$N$9,0))),0))</f>
        <v>1790.9254826154709</v>
      </c>
      <c r="BQ48" s="799">
        <f>IF(BQ$12=$F48+1,IF(Monthly!BM$4=TRUE,0,BQ$3),IF(BQ$12&gt;$F48+1,RentalsVacates!BP48*(1-IF(BQ$12-$F48&lt;=12,SUMIFS('Attrition Modeling'!$D:$D,'Attrition Modeling'!$B:$B,$E48,'Attrition Modeling'!$C:$C,BQ$11),VLOOKUP(RentalsVacates!BQ$12-RentalsVacates!$F48-1,RentalsVacates!$A$8:$C$162,2,FALSE)*VLOOKUP(BQ$11,'Attrition Modeling'!$L$15:$N$27,IF(BQ$12-$F48&lt;=24,2,3),FALSE))*(1+IF('Traditional Attrition'!BQ170&gt;0,'Attrition Modeling'!$N$9,0))),0))</f>
        <v>1730.5720175218059</v>
      </c>
      <c r="BR48" s="799">
        <f>IF(BR$12=$F48+1,IF(Monthly!BN$4=TRUE,0,BR$3),IF(BR$12&gt;$F48+1,RentalsVacates!BQ48*(1-IF(BR$12-$F48&lt;=12,SUMIFS('Attrition Modeling'!$D:$D,'Attrition Modeling'!$B:$B,$E48,'Attrition Modeling'!$C:$C,BR$11),VLOOKUP(RentalsVacates!BR$12-RentalsVacates!$F48-1,RentalsVacates!$A$8:$C$162,2,FALSE)*VLOOKUP(BR$11,'Attrition Modeling'!$L$15:$N$27,IF(BR$12-$F48&lt;=24,2,3),FALSE))*(1+IF('Traditional Attrition'!BR170&gt;0,'Attrition Modeling'!$N$9,0))),0))</f>
        <v>1675.4404608672899</v>
      </c>
      <c r="BS48" s="799">
        <f>IF(BS$12=$F48+1,IF(Monthly!BO$4=TRUE,0,BS$3),IF(BS$12&gt;$F48+1,RentalsVacates!BR48*(1-IF(BS$12-$F48&lt;=12,SUMIFS('Attrition Modeling'!$D:$D,'Attrition Modeling'!$B:$B,$E48,'Attrition Modeling'!$C:$C,BS$11),VLOOKUP(RentalsVacates!BS$12-RentalsVacates!$F48-1,RentalsVacates!$A$8:$C$162,2,FALSE)*VLOOKUP(BS$11,'Attrition Modeling'!$L$15:$N$27,IF(BS$12-$F48&lt;=24,2,3),FALSE))*(1+IF('Traditional Attrition'!BS170&gt;0,'Attrition Modeling'!$N$9,0))),0))</f>
        <v>1633.5384906565157</v>
      </c>
      <c r="BT48" s="799">
        <f>IF(BT$11=$F47+1,IF(Monthly!#REF!=TRUE,0,BT$3),IF(BT$11&gt;$F47+1,RentalsVacates!BS47*(1-IF(BT$11-$F47&lt;=12,SUMIFS('Attrition Modeling'!$D:$D,'Attrition Modeling'!$B:$B,$E47,'Attrition Modeling'!$C:$C,BT$10),VLOOKUP(RentalsVacates!BT$11-RentalsVacates!$F47-1,RentalsVacates!$A$7:$C$161,2,FALSE)*VLOOKUP(BT$10,'Attrition Modeling'!$L$15:$N$27,IF(BT$11-$F47&lt;=24,2,3),FALSE))*(1+IF('Traditional Attrition'!BT170&gt;0,'Attrition Modeling'!$N$9,0))),0))</f>
        <v>0</v>
      </c>
      <c r="BU48" s="799">
        <f>IF(BU$11=$F47+1,IF(Monthly!#REF!=TRUE,0,BU$3),IF(BU$11&gt;$F47+1,RentalsVacates!BT47*(1-IF(BU$11-$F47&lt;=12,SUMIFS('Attrition Modeling'!$D:$D,'Attrition Modeling'!$B:$B,$E47,'Attrition Modeling'!$C:$C,BU$10),VLOOKUP(RentalsVacates!BU$11-RentalsVacates!$F47-1,RentalsVacates!$A$7:$C$161,2,FALSE)*VLOOKUP(BU$10,'Attrition Modeling'!$L$15:$N$27,IF(BU$11-$F47&lt;=24,2,3),FALSE))*(1+IF('Traditional Attrition'!BU170&gt;0,'Attrition Modeling'!$N$9,0))),0))</f>
        <v>0</v>
      </c>
    </row>
    <row r="49" spans="1:73" ht="14.25" customHeight="1" x14ac:dyDescent="0.2">
      <c r="A49" s="9">
        <v>41</v>
      </c>
      <c r="B49" s="25">
        <f>MAX('Attrition Modeling'!H45,$C$3)*(1-Summary!$C$20)</f>
        <v>2.819487510880158E-2</v>
      </c>
      <c r="C49" s="24" t="e">
        <f t="shared" si="2"/>
        <v>#DIV/0!</v>
      </c>
      <c r="E49" s="11">
        <f>'Traditional Attrition'!E106</f>
        <v>12</v>
      </c>
      <c r="F49" s="11">
        <f t="shared" si="4"/>
        <v>36</v>
      </c>
      <c r="G49" s="799"/>
      <c r="H49" s="799">
        <f>IF(H$12=$F49+1,IF(Monthly!D$4=TRUE,0,H$3),IF(H$12&gt;$F49+1,RentalsVacates!G49*(1-IF(H$12-$F49&lt;=12,SUMIFS('Attrition Modeling'!$D:$D,'Attrition Modeling'!$B:$B,$E49,'Attrition Modeling'!$C:$C,H$11),VLOOKUP(RentalsVacates!H$12-RentalsVacates!$F49-1,RentalsVacates!$A$8:$C$162,2,FALSE)*VLOOKUP(H$11,'Attrition Modeling'!$L$15:$N$27,IF(H$12-$F49&lt;=24,2,3),FALSE))*(1+IF('Traditional Attrition'!H171&gt;0,'Attrition Modeling'!$N$9,0))),0))</f>
        <v>0</v>
      </c>
      <c r="I49" s="799">
        <f>IF(I$12=$F49+1,IF(Monthly!E$4=TRUE,0,I$3),IF(I$12&gt;$F49+1,RentalsVacates!H49*(1-IF(I$12-$F49&lt;=12,SUMIFS('Attrition Modeling'!$D:$D,'Attrition Modeling'!$B:$B,$E49,'Attrition Modeling'!$C:$C,I$11),VLOOKUP(RentalsVacates!I$12-RentalsVacates!$F49-1,RentalsVacates!$A$8:$C$162,2,FALSE)*VLOOKUP(I$11,'Attrition Modeling'!$L$15:$N$27,IF(I$12-$F49&lt;=24,2,3),FALSE))*(1+IF('Traditional Attrition'!I171&gt;0,'Attrition Modeling'!$N$9,0))),0))</f>
        <v>0</v>
      </c>
      <c r="J49" s="799">
        <f>IF(J$12=$F49+1,IF(Monthly!F$4=TRUE,0,J$3),IF(J$12&gt;$F49+1,RentalsVacates!I49*(1-IF(J$12-$F49&lt;=12,SUMIFS('Attrition Modeling'!$D:$D,'Attrition Modeling'!$B:$B,$E49,'Attrition Modeling'!$C:$C,J$11),VLOOKUP(RentalsVacates!J$12-RentalsVacates!$F49-1,RentalsVacates!$A$8:$C$162,2,FALSE)*VLOOKUP(J$11,'Attrition Modeling'!$L$15:$N$27,IF(J$12-$F49&lt;=24,2,3),FALSE))*(1+IF('Traditional Attrition'!J171&gt;0,'Attrition Modeling'!$N$9,0))),0))</f>
        <v>0</v>
      </c>
      <c r="K49" s="799">
        <f>IF(K$12=$F49+1,IF(Monthly!G$4=TRUE,0,K$3),IF(K$12&gt;$F49+1,RentalsVacates!J49*(1-IF(K$12-$F49&lt;=12,SUMIFS('Attrition Modeling'!$D:$D,'Attrition Modeling'!$B:$B,$E49,'Attrition Modeling'!$C:$C,K$11),VLOOKUP(RentalsVacates!K$12-RentalsVacates!$F49-1,RentalsVacates!$A$8:$C$162,2,FALSE)*VLOOKUP(K$11,'Attrition Modeling'!$L$15:$N$27,IF(K$12-$F49&lt;=24,2,3),FALSE))*(1+IF('Traditional Attrition'!K171&gt;0,'Attrition Modeling'!$N$9,0))),0))</f>
        <v>0</v>
      </c>
      <c r="L49" s="799">
        <f>IF(L$12=$F49+1,IF(Monthly!H$4=TRUE,0,L$3),IF(L$12&gt;$F49+1,RentalsVacates!K49*(1-IF(L$12-$F49&lt;=12,SUMIFS('Attrition Modeling'!$D:$D,'Attrition Modeling'!$B:$B,$E49,'Attrition Modeling'!$C:$C,L$11),VLOOKUP(RentalsVacates!L$12-RentalsVacates!$F49-1,RentalsVacates!$A$8:$C$162,2,FALSE)*VLOOKUP(L$11,'Attrition Modeling'!$L$15:$N$27,IF(L$12-$F49&lt;=24,2,3),FALSE))*(1+IF('Traditional Attrition'!L171&gt;0,'Attrition Modeling'!$N$9,0))),0))</f>
        <v>0</v>
      </c>
      <c r="M49" s="799">
        <f>IF(M$12=$F49+1,IF(Monthly!I$4=TRUE,0,M$3),IF(M$12&gt;$F49+1,RentalsVacates!L49*(1-IF(M$12-$F49&lt;=12,SUMIFS('Attrition Modeling'!$D:$D,'Attrition Modeling'!$B:$B,$E49,'Attrition Modeling'!$C:$C,M$11),VLOOKUP(RentalsVacates!M$12-RentalsVacates!$F49-1,RentalsVacates!$A$8:$C$162,2,FALSE)*VLOOKUP(M$11,'Attrition Modeling'!$L$15:$N$27,IF(M$12-$F49&lt;=24,2,3),FALSE))*(1+IF('Traditional Attrition'!M171&gt;0,'Attrition Modeling'!$N$9,0))),0))</f>
        <v>0</v>
      </c>
      <c r="N49" s="799">
        <f>IF(N$12=$F49+1,IF(Monthly!J$4=TRUE,0,N$3),IF(N$12&gt;$F49+1,RentalsVacates!M49*(1-IF(N$12-$F49&lt;=12,SUMIFS('Attrition Modeling'!$D:$D,'Attrition Modeling'!$B:$B,$E49,'Attrition Modeling'!$C:$C,N$11),VLOOKUP(RentalsVacates!N$12-RentalsVacates!$F49-1,RentalsVacates!$A$8:$C$162,2,FALSE)*VLOOKUP(N$11,'Attrition Modeling'!$L$15:$N$27,IF(N$12-$F49&lt;=24,2,3),FALSE))*(1+IF('Traditional Attrition'!N171&gt;0,'Attrition Modeling'!$N$9,0))),0))</f>
        <v>0</v>
      </c>
      <c r="O49" s="799">
        <f>IF(O$12=$F49+1,IF(Monthly!K$4=TRUE,0,O$3),IF(O$12&gt;$F49+1,RentalsVacates!N49*(1-IF(O$12-$F49&lt;=12,SUMIFS('Attrition Modeling'!$D:$D,'Attrition Modeling'!$B:$B,$E49,'Attrition Modeling'!$C:$C,O$11),VLOOKUP(RentalsVacates!O$12-RentalsVacates!$F49-1,RentalsVacates!$A$8:$C$162,2,FALSE)*VLOOKUP(O$11,'Attrition Modeling'!$L$15:$N$27,IF(O$12-$F49&lt;=24,2,3),FALSE))*(1+IF('Traditional Attrition'!O171&gt;0,'Attrition Modeling'!$N$9,0))),0))</f>
        <v>0</v>
      </c>
      <c r="P49" s="799">
        <f>IF(P$12=$F49+1,IF(Monthly!L$4=TRUE,0,P$3),IF(P$12&gt;$F49+1,RentalsVacates!O49*(1-IF(P$12-$F49&lt;=12,SUMIFS('Attrition Modeling'!$D:$D,'Attrition Modeling'!$B:$B,$E49,'Attrition Modeling'!$C:$C,P$11),VLOOKUP(RentalsVacates!P$12-RentalsVacates!$F49-1,RentalsVacates!$A$8:$C$162,2,FALSE)*VLOOKUP(P$11,'Attrition Modeling'!$L$15:$N$27,IF(P$12-$F49&lt;=24,2,3),FALSE))*(1+IF('Traditional Attrition'!P171&gt;0,'Attrition Modeling'!$N$9,0))),0))</f>
        <v>0</v>
      </c>
      <c r="Q49" s="799">
        <f>IF(Q$12=$F49+1,IF(Monthly!M$4=TRUE,0,Q$3),IF(Q$12&gt;$F49+1,RentalsVacates!P49*(1-IF(Q$12-$F49&lt;=12,SUMIFS('Attrition Modeling'!$D:$D,'Attrition Modeling'!$B:$B,$E49,'Attrition Modeling'!$C:$C,Q$11),VLOOKUP(RentalsVacates!Q$12-RentalsVacates!$F49-1,RentalsVacates!$A$8:$C$162,2,FALSE)*VLOOKUP(Q$11,'Attrition Modeling'!$L$15:$N$27,IF(Q$12-$F49&lt;=24,2,3),FALSE))*(1+IF('Traditional Attrition'!Q171&gt;0,'Attrition Modeling'!$N$9,0))),0))</f>
        <v>0</v>
      </c>
      <c r="R49" s="799">
        <f>IF(R$12=$F49+1,IF(Monthly!N$4=TRUE,0,R$3),IF(R$12&gt;$F49+1,RentalsVacates!Q49*(1-IF(R$12-$F49&lt;=12,SUMIFS('Attrition Modeling'!$D:$D,'Attrition Modeling'!$B:$B,$E49,'Attrition Modeling'!$C:$C,R$11),VLOOKUP(RentalsVacates!R$12-RentalsVacates!$F49-1,RentalsVacates!$A$8:$C$162,2,FALSE)*VLOOKUP(R$11,'Attrition Modeling'!$L$15:$N$27,IF(R$12-$F49&lt;=24,2,3),FALSE))*(1+IF('Traditional Attrition'!R171&gt;0,'Attrition Modeling'!$N$9,0))),0))</f>
        <v>0</v>
      </c>
      <c r="S49" s="799">
        <f>IF(S$12=$F49+1,IF(Monthly!O$4=TRUE,0,S$3),IF(S$12&gt;$F49+1,RentalsVacates!R49*(1-IF(S$12-$F49&lt;=12,SUMIFS('Attrition Modeling'!$D:$D,'Attrition Modeling'!$B:$B,$E49,'Attrition Modeling'!$C:$C,S$11),VLOOKUP(RentalsVacates!S$12-RentalsVacates!$F49-1,RentalsVacates!$A$8:$C$162,2,FALSE)*VLOOKUP(S$11,'Attrition Modeling'!$L$15:$N$27,IF(S$12-$F49&lt;=24,2,3),FALSE))*(1+IF('Traditional Attrition'!S171&gt;0,'Attrition Modeling'!$N$9,0))),0))</f>
        <v>0</v>
      </c>
      <c r="T49" s="799">
        <f>IF(T$12=$F49+1,IF(Monthly!P$4=TRUE,0,T$3),IF(T$12&gt;$F49+1,RentalsVacates!S49*(1-IF(T$12-$F49&lt;=12,SUMIFS('Attrition Modeling'!$D:$D,'Attrition Modeling'!$B:$B,$E49,'Attrition Modeling'!$C:$C,T$11),VLOOKUP(RentalsVacates!T$12-RentalsVacates!$F49-1,RentalsVacates!$A$8:$C$162,2,FALSE)*VLOOKUP(T$11,'Attrition Modeling'!$L$15:$N$27,IF(T$12-$F49&lt;=24,2,3),FALSE))*(1+IF('Traditional Attrition'!T171&gt;0,'Attrition Modeling'!$N$9,0))),0))</f>
        <v>0</v>
      </c>
      <c r="U49" s="799">
        <f>IF(U$12=$F49+1,IF(Monthly!Q$4=TRUE,0,U$3),IF(U$12&gt;$F49+1,RentalsVacates!T49*(1-IF(U$12-$F49&lt;=12,SUMIFS('Attrition Modeling'!$D:$D,'Attrition Modeling'!$B:$B,$E49,'Attrition Modeling'!$C:$C,U$11),VLOOKUP(RentalsVacates!U$12-RentalsVacates!$F49-1,RentalsVacates!$A$8:$C$162,2,FALSE)*VLOOKUP(U$11,'Attrition Modeling'!$L$15:$N$27,IF(U$12-$F49&lt;=24,2,3),FALSE))*(1+IF('Traditional Attrition'!U171&gt;0,'Attrition Modeling'!$N$9,0))),0))</f>
        <v>0</v>
      </c>
      <c r="V49" s="799">
        <f>IF(V$12=$F49+1,IF(Monthly!R$4=TRUE,0,V$3),IF(V$12&gt;$F49+1,RentalsVacates!U49*(1-IF(V$12-$F49&lt;=12,SUMIFS('Attrition Modeling'!$D:$D,'Attrition Modeling'!$B:$B,$E49,'Attrition Modeling'!$C:$C,V$11),VLOOKUP(RentalsVacates!V$12-RentalsVacates!$F49-1,RentalsVacates!$A$8:$C$162,2,FALSE)*VLOOKUP(V$11,'Attrition Modeling'!$L$15:$N$27,IF(V$12-$F49&lt;=24,2,3),FALSE))*(1+IF('Traditional Attrition'!V171&gt;0,'Attrition Modeling'!$N$9,0))),0))</f>
        <v>0</v>
      </c>
      <c r="W49" s="799">
        <f>IF(W$12=$F49+1,IF(Monthly!S$4=TRUE,0,W$3),IF(W$12&gt;$F49+1,RentalsVacates!V49*(1-IF(W$12-$F49&lt;=12,SUMIFS('Attrition Modeling'!$D:$D,'Attrition Modeling'!$B:$B,$E49,'Attrition Modeling'!$C:$C,W$11),VLOOKUP(RentalsVacates!W$12-RentalsVacates!$F49-1,RentalsVacates!$A$8:$C$162,2,FALSE)*VLOOKUP(W$11,'Attrition Modeling'!$L$15:$N$27,IF(W$12-$F49&lt;=24,2,3),FALSE))*(1+IF('Traditional Attrition'!W171&gt;0,'Attrition Modeling'!$N$9,0))),0))</f>
        <v>0</v>
      </c>
      <c r="X49" s="799">
        <f>IF(X$12=$F49+1,IF(Monthly!T$4=TRUE,0,X$3),IF(X$12&gt;$F49+1,RentalsVacates!W49*(1-IF(X$12-$F49&lt;=12,SUMIFS('Attrition Modeling'!$D:$D,'Attrition Modeling'!$B:$B,$E49,'Attrition Modeling'!$C:$C,X$11),VLOOKUP(RentalsVacates!X$12-RentalsVacates!$F49-1,RentalsVacates!$A$8:$C$162,2,FALSE)*VLOOKUP(X$11,'Attrition Modeling'!$L$15:$N$27,IF(X$12-$F49&lt;=24,2,3),FALSE))*(1+IF('Traditional Attrition'!X171&gt;0,'Attrition Modeling'!$N$9,0))),0))</f>
        <v>0</v>
      </c>
      <c r="Y49" s="799">
        <f>IF(Y$12=$F49+1,IF(Monthly!U$4=TRUE,0,Y$3),IF(Y$12&gt;$F49+1,RentalsVacates!X49*(1-IF(Y$12-$F49&lt;=12,SUMIFS('Attrition Modeling'!$D:$D,'Attrition Modeling'!$B:$B,$E49,'Attrition Modeling'!$C:$C,Y$11),VLOOKUP(RentalsVacates!Y$12-RentalsVacates!$F49-1,RentalsVacates!$A$8:$C$162,2,FALSE)*VLOOKUP(Y$11,'Attrition Modeling'!$L$15:$N$27,IF(Y$12-$F49&lt;=24,2,3),FALSE))*(1+IF('Traditional Attrition'!Y171&gt;0,'Attrition Modeling'!$N$9,0))),0))</f>
        <v>0</v>
      </c>
      <c r="Z49" s="799">
        <f>IF(Z$12=$F49+1,IF(Monthly!V$4=TRUE,0,Z$3),IF(Z$12&gt;$F49+1,RentalsVacates!Y49*(1-IF(Z$12-$F49&lt;=12,SUMIFS('Attrition Modeling'!$D:$D,'Attrition Modeling'!$B:$B,$E49,'Attrition Modeling'!$C:$C,Z$11),VLOOKUP(RentalsVacates!Z$12-RentalsVacates!$F49-1,RentalsVacates!$A$8:$C$162,2,FALSE)*VLOOKUP(Z$11,'Attrition Modeling'!$L$15:$N$27,IF(Z$12-$F49&lt;=24,2,3),FALSE))*(1+IF('Traditional Attrition'!Z171&gt;0,'Attrition Modeling'!$N$9,0))),0))</f>
        <v>0</v>
      </c>
      <c r="AA49" s="799">
        <f>IF(AA$12=$F49+1,IF(Monthly!W$4=TRUE,0,AA$3),IF(AA$12&gt;$F49+1,RentalsVacates!Z49*(1-IF(AA$12-$F49&lt;=12,SUMIFS('Attrition Modeling'!$D:$D,'Attrition Modeling'!$B:$B,$E49,'Attrition Modeling'!$C:$C,AA$11),VLOOKUP(RentalsVacates!AA$12-RentalsVacates!$F49-1,RentalsVacates!$A$8:$C$162,2,FALSE)*VLOOKUP(AA$11,'Attrition Modeling'!$L$15:$N$27,IF(AA$12-$F49&lt;=24,2,3),FALSE))*(1+IF('Traditional Attrition'!AA171&gt;0,'Attrition Modeling'!$N$9,0))),0))</f>
        <v>0</v>
      </c>
      <c r="AB49" s="799">
        <f>IF(AB$12=$F49+1,IF(Monthly!X$4=TRUE,0,AB$3),IF(AB$12&gt;$F49+1,RentalsVacates!AA49*(1-IF(AB$12-$F49&lt;=12,SUMIFS('Attrition Modeling'!$D:$D,'Attrition Modeling'!$B:$B,$E49,'Attrition Modeling'!$C:$C,AB$11),VLOOKUP(RentalsVacates!AB$12-RentalsVacates!$F49-1,RentalsVacates!$A$8:$C$162,2,FALSE)*VLOOKUP(AB$11,'Attrition Modeling'!$L$15:$N$27,IF(AB$12-$F49&lt;=24,2,3),FALSE))*(1+IF('Traditional Attrition'!AB171&gt;0,'Attrition Modeling'!$N$9,0))),0))</f>
        <v>0</v>
      </c>
      <c r="AC49" s="799">
        <f>IF(AC$12=$F49+1,IF(Monthly!Y$4=TRUE,0,AC$3),IF(AC$12&gt;$F49+1,RentalsVacates!AB49*(1-IF(AC$12-$F49&lt;=12,SUMIFS('Attrition Modeling'!$D:$D,'Attrition Modeling'!$B:$B,$E49,'Attrition Modeling'!$C:$C,AC$11),VLOOKUP(RentalsVacates!AC$12-RentalsVacates!$F49-1,RentalsVacates!$A$8:$C$162,2,FALSE)*VLOOKUP(AC$11,'Attrition Modeling'!$L$15:$N$27,IF(AC$12-$F49&lt;=24,2,3),FALSE))*(1+IF('Traditional Attrition'!AC171&gt;0,'Attrition Modeling'!$N$9,0))),0))</f>
        <v>0</v>
      </c>
      <c r="AD49" s="799">
        <f>IF(AD$12=$F49+1,IF(Monthly!Z$4=TRUE,0,AD$3),IF(AD$12&gt;$F49+1,RentalsVacates!AC49*(1-IF(AD$12-$F49&lt;=12,SUMIFS('Attrition Modeling'!$D:$D,'Attrition Modeling'!$B:$B,$E49,'Attrition Modeling'!$C:$C,AD$11),VLOOKUP(RentalsVacates!AD$12-RentalsVacates!$F49-1,RentalsVacates!$A$8:$C$162,2,FALSE)*VLOOKUP(AD$11,'Attrition Modeling'!$L$15:$N$27,IF(AD$12-$F49&lt;=24,2,3),FALSE))*(1+IF('Traditional Attrition'!AD171&gt;0,'Attrition Modeling'!$N$9,0))),0))</f>
        <v>0</v>
      </c>
      <c r="AE49" s="799">
        <f>IF(AE$12=$F49+1,IF(Monthly!AA$4=TRUE,0,AE$3),IF(AE$12&gt;$F49+1,RentalsVacates!AD49*(1-IF(AE$12-$F49&lt;=12,SUMIFS('Attrition Modeling'!$D:$D,'Attrition Modeling'!$B:$B,$E49,'Attrition Modeling'!$C:$C,AE$11),VLOOKUP(RentalsVacates!AE$12-RentalsVacates!$F49-1,RentalsVacates!$A$8:$C$162,2,FALSE)*VLOOKUP(AE$11,'Attrition Modeling'!$L$15:$N$27,IF(AE$12-$F49&lt;=24,2,3),FALSE))*(1+IF('Traditional Attrition'!AE171&gt;0,'Attrition Modeling'!$N$9,0))),0))</f>
        <v>0</v>
      </c>
      <c r="AF49" s="799">
        <f>IF(AF$12=$F49+1,IF(Monthly!AB$4=TRUE,0,AF$3),IF(AF$12&gt;$F49+1,RentalsVacates!AE49*(1-IF(AF$12-$F49&lt;=12,SUMIFS('Attrition Modeling'!$D:$D,'Attrition Modeling'!$B:$B,$E49,'Attrition Modeling'!$C:$C,AF$11),VLOOKUP(RentalsVacates!AF$12-RentalsVacates!$F49-1,RentalsVacates!$A$8:$C$162,2,FALSE)*VLOOKUP(AF$11,'Attrition Modeling'!$L$15:$N$27,IF(AF$12-$F49&lt;=24,2,3),FALSE))*(1+IF('Traditional Attrition'!AF171&gt;0,'Attrition Modeling'!$N$9,0))),0))</f>
        <v>0</v>
      </c>
      <c r="AG49" s="799">
        <f>IF(AG$12=$F49+1,IF(Monthly!AC$4=TRUE,0,AG$3),IF(AG$12&gt;$F49+1,RentalsVacates!AF49*(1-IF(AG$12-$F49&lt;=12,SUMIFS('Attrition Modeling'!$D:$D,'Attrition Modeling'!$B:$B,$E49,'Attrition Modeling'!$C:$C,AG$11),VLOOKUP(RentalsVacates!AG$12-RentalsVacates!$F49-1,RentalsVacates!$A$8:$C$162,2,FALSE)*VLOOKUP(AG$11,'Attrition Modeling'!$L$15:$N$27,IF(AG$12-$F49&lt;=24,2,3),FALSE))*(1+IF('Traditional Attrition'!AG171&gt;0,'Attrition Modeling'!$N$9,0))),0))</f>
        <v>0</v>
      </c>
      <c r="AH49" s="799">
        <f>IF(AH$12=$F49+1,IF(Monthly!AD$4=TRUE,0,AH$3),IF(AH$12&gt;$F49+1,RentalsVacates!AG49*(1-IF(AH$12-$F49&lt;=12,SUMIFS('Attrition Modeling'!$D:$D,'Attrition Modeling'!$B:$B,$E49,'Attrition Modeling'!$C:$C,AH$11),VLOOKUP(RentalsVacates!AH$12-RentalsVacates!$F49-1,RentalsVacates!$A$8:$C$162,2,FALSE)*VLOOKUP(AH$11,'Attrition Modeling'!$L$15:$N$27,IF(AH$12-$F49&lt;=24,2,3),FALSE))*(1+IF('Traditional Attrition'!AH171&gt;0,'Attrition Modeling'!$N$9,0))),0))</f>
        <v>0</v>
      </c>
      <c r="AI49" s="799">
        <f>IF(AI$12=$F49+1,IF(Monthly!AE$4=TRUE,0,AI$3),IF(AI$12&gt;$F49+1,RentalsVacates!AH49*(1-IF(AI$12-$F49&lt;=12,SUMIFS('Attrition Modeling'!$D:$D,'Attrition Modeling'!$B:$B,$E49,'Attrition Modeling'!$C:$C,AI$11),VLOOKUP(RentalsVacates!AI$12-RentalsVacates!$F49-1,RentalsVacates!$A$8:$C$162,2,FALSE)*VLOOKUP(AI$11,'Attrition Modeling'!$L$15:$N$27,IF(AI$12-$F49&lt;=24,2,3),FALSE))*(1+IF('Traditional Attrition'!AI171&gt;0,'Attrition Modeling'!$N$9,0))),0))</f>
        <v>0</v>
      </c>
      <c r="AJ49" s="799">
        <f>IF(AJ$12=$F49+1,IF(Monthly!AF$4=TRUE,0,AJ$3),IF(AJ$12&gt;$F49+1,RentalsVacates!AI49*(1-IF(AJ$12-$F49&lt;=12,SUMIFS('Attrition Modeling'!$D:$D,'Attrition Modeling'!$B:$B,$E49,'Attrition Modeling'!$C:$C,AJ$11),VLOOKUP(RentalsVacates!AJ$12-RentalsVacates!$F49-1,RentalsVacates!$A$8:$C$162,2,FALSE)*VLOOKUP(AJ$11,'Attrition Modeling'!$L$15:$N$27,IF(AJ$12-$F49&lt;=24,2,3),FALSE))*(1+IF('Traditional Attrition'!AJ171&gt;0,'Attrition Modeling'!$N$9,0))),0))</f>
        <v>0</v>
      </c>
      <c r="AK49" s="799">
        <f>IF(AK$12=$F49+1,IF(Monthly!AG$4=TRUE,0,AK$3),IF(AK$12&gt;$F49+1,RentalsVacates!AJ49*(1-IF(AK$12-$F49&lt;=12,SUMIFS('Attrition Modeling'!$D:$D,'Attrition Modeling'!$B:$B,$E49,'Attrition Modeling'!$C:$C,AK$11),VLOOKUP(RentalsVacates!AK$12-RentalsVacates!$F49-1,RentalsVacates!$A$8:$C$162,2,FALSE)*VLOOKUP(AK$11,'Attrition Modeling'!$L$15:$N$27,IF(AK$12-$F49&lt;=24,2,3),FALSE))*(1+IF('Traditional Attrition'!AK171&gt;0,'Attrition Modeling'!$N$9,0))),0))</f>
        <v>0</v>
      </c>
      <c r="AL49" s="799">
        <f>IF(AL$12=$F49+1,IF(Monthly!AH$4=TRUE,0,AL$3),IF(AL$12&gt;$F49+1,RentalsVacates!AK49*(1-IF(AL$12-$F49&lt;=12,SUMIFS('Attrition Modeling'!$D:$D,'Attrition Modeling'!$B:$B,$E49,'Attrition Modeling'!$C:$C,AL$11),VLOOKUP(RentalsVacates!AL$12-RentalsVacates!$F49-1,RentalsVacates!$A$8:$C$162,2,FALSE)*VLOOKUP(AL$11,'Attrition Modeling'!$L$15:$N$27,IF(AL$12-$F49&lt;=24,2,3),FALSE))*(1+IF('Traditional Attrition'!AL171&gt;0,'Attrition Modeling'!$N$9,0))),0))</f>
        <v>0</v>
      </c>
      <c r="AM49" s="799">
        <f>IF(AM$12=$F49+1,IF(Monthly!AI$4=TRUE,0,AM$3),IF(AM$12&gt;$F49+1,RentalsVacates!AL49*(1-IF(AM$12-$F49&lt;=12,SUMIFS('Attrition Modeling'!$D:$D,'Attrition Modeling'!$B:$B,$E49,'Attrition Modeling'!$C:$C,AM$11),VLOOKUP(RentalsVacates!AM$12-RentalsVacates!$F49-1,RentalsVacates!$A$8:$C$162,2,FALSE)*VLOOKUP(AM$11,'Attrition Modeling'!$L$15:$N$27,IF(AM$12-$F49&lt;=24,2,3),FALSE))*(1+IF('Traditional Attrition'!AM171&gt;0,'Attrition Modeling'!$N$9,0))),0))</f>
        <v>0</v>
      </c>
      <c r="AN49" s="799">
        <f>IF(AN$12=$F49+1,IF(Monthly!AJ$4=TRUE,0,AN$3),IF(AN$12&gt;$F49+1,RentalsVacates!AM49*(1-IF(AN$12-$F49&lt;=12,SUMIFS('Attrition Modeling'!$D:$D,'Attrition Modeling'!$B:$B,$E49,'Attrition Modeling'!$C:$C,AN$11),VLOOKUP(RentalsVacates!AN$12-RentalsVacates!$F49-1,RentalsVacates!$A$8:$C$162,2,FALSE)*VLOOKUP(AN$11,'Attrition Modeling'!$L$15:$N$27,IF(AN$12-$F49&lt;=24,2,3),FALSE))*(1+IF('Traditional Attrition'!AN171&gt;0,'Attrition Modeling'!$N$9,0))),0))</f>
        <v>0</v>
      </c>
      <c r="AO49" s="799">
        <f>IF(AO$12=$F49+1,IF(Monthly!AK$4=TRUE,0,AO$3),IF(AO$12&gt;$F49+1,RentalsVacates!AN49*(1-IF(AO$12-$F49&lt;=12,SUMIFS('Attrition Modeling'!$D:$D,'Attrition Modeling'!$B:$B,$E49,'Attrition Modeling'!$C:$C,AO$11),VLOOKUP(RentalsVacates!AO$12-RentalsVacates!$F49-1,RentalsVacates!$A$8:$C$162,2,FALSE)*VLOOKUP(AO$11,'Attrition Modeling'!$L$15:$N$27,IF(AO$12-$F49&lt;=24,2,3),FALSE))*(1+IF('Traditional Attrition'!AO171&gt;0,'Attrition Modeling'!$N$9,0))),0))</f>
        <v>0</v>
      </c>
      <c r="AP49" s="799">
        <f>IF(AP$12=$F49+1,IF(Monthly!AL$4=TRUE,0,AP$3),IF(AP$12&gt;$F49+1,RentalsVacates!AO49*(1-IF(AP$12-$F49&lt;=12,SUMIFS('Attrition Modeling'!$D:$D,'Attrition Modeling'!$B:$B,$E49,'Attrition Modeling'!$C:$C,AP$11),VLOOKUP(RentalsVacates!AP$12-RentalsVacates!$F49-1,RentalsVacates!$A$8:$C$162,2,FALSE)*VLOOKUP(AP$11,'Attrition Modeling'!$L$15:$N$27,IF(AP$12-$F49&lt;=24,2,3),FALSE))*(1+IF('Traditional Attrition'!AP171&gt;0,'Attrition Modeling'!$N$9,0))),0))</f>
        <v>0</v>
      </c>
      <c r="AQ49" s="799">
        <f>IF(AQ$12=$F49+1,IF(Monthly!AM$4=TRUE,0,AQ$3),IF(AQ$12&gt;$F49+1,RentalsVacates!AP49*(1-IF(AQ$12-$F49&lt;=12,SUMIFS('Attrition Modeling'!$D:$D,'Attrition Modeling'!$B:$B,$E49,'Attrition Modeling'!$C:$C,AQ$11),VLOOKUP(RentalsVacates!AQ$12-RentalsVacates!$F49-1,RentalsVacates!$A$8:$C$162,2,FALSE)*VLOOKUP(AQ$11,'Attrition Modeling'!$L$15:$N$27,IF(AQ$12-$F49&lt;=24,2,3),FALSE))*(1+IF('Traditional Attrition'!AQ171&gt;0,'Attrition Modeling'!$N$9,0))),0))</f>
        <v>0</v>
      </c>
      <c r="AR49" s="799">
        <f>IF(AR$12=$F49+1,IF(Monthly!AN$4=TRUE,0,AR$3),IF(AR$12&gt;$F49+1,RentalsVacates!AQ49*(1-IF(AR$12-$F49&lt;=12,SUMIFS('Attrition Modeling'!$D:$D,'Attrition Modeling'!$B:$B,$E49,'Attrition Modeling'!$C:$C,AR$11),VLOOKUP(RentalsVacates!AR$12-RentalsVacates!$F49-1,RentalsVacates!$A$8:$C$162,2,FALSE)*VLOOKUP(AR$11,'Attrition Modeling'!$L$15:$N$27,IF(AR$12-$F49&lt;=24,2,3),FALSE))*(1+IF('Traditional Attrition'!AR171&gt;0,'Attrition Modeling'!$N$9,0))),0))</f>
        <v>4574.3198259837809</v>
      </c>
      <c r="AS49" s="799">
        <f>IF(AS$12=$F49+1,IF(Monthly!AO$4=TRUE,0,AS$3),IF(AS$12&gt;$F49+1,RentalsVacates!AR49*(1-IF(AS$12-$F49&lt;=12,SUMIFS('Attrition Modeling'!$D:$D,'Attrition Modeling'!$B:$B,$E49,'Attrition Modeling'!$C:$C,AS$11),VLOOKUP(RentalsVacates!AS$12-RentalsVacates!$F49-1,RentalsVacates!$A$8:$C$162,2,FALSE)*VLOOKUP(AS$11,'Attrition Modeling'!$L$15:$N$27,IF(AS$12-$F49&lt;=24,2,3),FALSE))*(1+IF('Traditional Attrition'!AS171&gt;0,'Attrition Modeling'!$N$9,0))),0))</f>
        <v>4139.980199190124</v>
      </c>
      <c r="AT49" s="799">
        <f>IF(AT$12=$F49+1,IF(Monthly!AP$4=TRUE,0,AT$3),IF(AT$12&gt;$F49+1,RentalsVacates!AS49*(1-IF(AT$12-$F49&lt;=12,SUMIFS('Attrition Modeling'!$D:$D,'Attrition Modeling'!$B:$B,$E49,'Attrition Modeling'!$C:$C,AT$11),VLOOKUP(RentalsVacates!AT$12-RentalsVacates!$F49-1,RentalsVacates!$A$8:$C$162,2,FALSE)*VLOOKUP(AT$11,'Attrition Modeling'!$L$15:$N$27,IF(AT$12-$F49&lt;=24,2,3),FALSE))*(1+IF('Traditional Attrition'!AT171&gt;0,'Attrition Modeling'!$N$9,0))),0))</f>
        <v>3781.2114195191998</v>
      </c>
      <c r="AU49" s="799">
        <f>IF(AU$12=$F49+1,IF(Monthly!AQ$4=TRUE,0,AU$3),IF(AU$12&gt;$F49+1,RentalsVacates!AT49*(1-IF(AU$12-$F49&lt;=12,SUMIFS('Attrition Modeling'!$D:$D,'Attrition Modeling'!$B:$B,$E49,'Attrition Modeling'!$C:$C,AU$11),VLOOKUP(RentalsVacates!AU$12-RentalsVacates!$F49-1,RentalsVacates!$A$8:$C$162,2,FALSE)*VLOOKUP(AU$11,'Attrition Modeling'!$L$15:$N$27,IF(AU$12-$F49&lt;=24,2,3),FALSE))*(1+IF('Traditional Attrition'!AU171&gt;0,'Attrition Modeling'!$N$9,0))),0))</f>
        <v>3443.2260596161091</v>
      </c>
      <c r="AV49" s="799">
        <f>IF(AV$12=$F49+1,IF(Monthly!AR$4=TRUE,0,AV$3),IF(AV$12&gt;$F49+1,RentalsVacates!AU49*(1-IF(AV$12-$F49&lt;=12,SUMIFS('Attrition Modeling'!$D:$D,'Attrition Modeling'!$B:$B,$E49,'Attrition Modeling'!$C:$C,AV$11),VLOOKUP(RentalsVacates!AV$12-RentalsVacates!$F49-1,RentalsVacates!$A$8:$C$162,2,FALSE)*VLOOKUP(AV$11,'Attrition Modeling'!$L$15:$N$27,IF(AV$12-$F49&lt;=24,2,3),FALSE))*(1+IF('Traditional Attrition'!AV171&gt;0,'Attrition Modeling'!$N$9,0))),0))</f>
        <v>3149.7073933576189</v>
      </c>
      <c r="AW49" s="799">
        <f>IF(AW$12=$F49+1,IF(Monthly!AS$4=TRUE,0,AW$3),IF(AW$12&gt;$F49+1,RentalsVacates!AV49*(1-IF(AW$12-$F49&lt;=12,SUMIFS('Attrition Modeling'!$D:$D,'Attrition Modeling'!$B:$B,$E49,'Attrition Modeling'!$C:$C,AW$11),VLOOKUP(RentalsVacates!AW$12-RentalsVacates!$F49-1,RentalsVacates!$A$8:$C$162,2,FALSE)*VLOOKUP(AW$11,'Attrition Modeling'!$L$15:$N$27,IF(AW$12-$F49&lt;=24,2,3),FALSE))*(1+IF('Traditional Attrition'!AW171&gt;0,'Attrition Modeling'!$N$9,0))),0))</f>
        <v>2864.5279724194866</v>
      </c>
      <c r="AX49" s="799">
        <f>IF(AX$12=$F49+1,IF(Monthly!AT$4=TRUE,0,AX$3),IF(AX$12&gt;$F49+1,RentalsVacates!AW49*(1-IF(AX$12-$F49&lt;=12,SUMIFS('Attrition Modeling'!$D:$D,'Attrition Modeling'!$B:$B,$E49,'Attrition Modeling'!$C:$C,AX$11),VLOOKUP(RentalsVacates!AX$12-RentalsVacates!$F49-1,RentalsVacates!$A$8:$C$162,2,FALSE)*VLOOKUP(AX$11,'Attrition Modeling'!$L$15:$N$27,IF(AX$12-$F49&lt;=24,2,3),FALSE))*(1+IF('Traditional Attrition'!AX171&gt;0,'Attrition Modeling'!$N$9,0))),0))</f>
        <v>2648.4131439252633</v>
      </c>
      <c r="AY49" s="799">
        <f>IF(AY$12=$F49+1,IF(Monthly!AU$4=TRUE,0,AY$3),IF(AY$12&gt;$F49+1,RentalsVacates!AX49*(1-IF(AY$12-$F49&lt;=12,SUMIFS('Attrition Modeling'!$D:$D,'Attrition Modeling'!$B:$B,$E49,'Attrition Modeling'!$C:$C,AY$11),VLOOKUP(RentalsVacates!AY$12-RentalsVacates!$F49-1,RentalsVacates!$A$8:$C$162,2,FALSE)*VLOOKUP(AY$11,'Attrition Modeling'!$L$15:$N$27,IF(AY$12-$F49&lt;=24,2,3),FALSE))*(1+IF('Traditional Attrition'!AY171&gt;0,'Attrition Modeling'!$N$9,0))),0))</f>
        <v>2456.5574875404468</v>
      </c>
      <c r="AZ49" s="799">
        <f>IF(AZ$12=$F49+1,IF(Monthly!AV$4=TRUE,0,AZ$3),IF(AZ$12&gt;$F49+1,RentalsVacates!AY49*(1-IF(AZ$12-$F49&lt;=12,SUMIFS('Attrition Modeling'!$D:$D,'Attrition Modeling'!$B:$B,$E49,'Attrition Modeling'!$C:$C,AZ$11),VLOOKUP(RentalsVacates!AZ$12-RentalsVacates!$F49-1,RentalsVacates!$A$8:$C$162,2,FALSE)*VLOOKUP(AZ$11,'Attrition Modeling'!$L$15:$N$27,IF(AZ$12-$F49&lt;=24,2,3),FALSE))*(1+IF('Traditional Attrition'!AZ171&gt;0,'Attrition Modeling'!$N$9,0))),0))</f>
        <v>2300.7980843707519</v>
      </c>
      <c r="BA49" s="799">
        <f>IF(BA$12=$F49+1,IF(Monthly!AW$4=TRUE,0,BA$3),IF(BA$12&gt;$F49+1,RentalsVacates!AZ49*(1-IF(BA$12-$F49&lt;=12,SUMIFS('Attrition Modeling'!$D:$D,'Attrition Modeling'!$B:$B,$E49,'Attrition Modeling'!$C:$C,BA$11),VLOOKUP(RentalsVacates!BA$12-RentalsVacates!$F49-1,RentalsVacates!$A$8:$C$162,2,FALSE)*VLOOKUP(BA$11,'Attrition Modeling'!$L$15:$N$27,IF(BA$12-$F49&lt;=24,2,3),FALSE))*(1+IF('Traditional Attrition'!BA171&gt;0,'Attrition Modeling'!$N$9,0))),0))</f>
        <v>2159.3261285913654</v>
      </c>
      <c r="BB49" s="799">
        <f>IF(BB$12=$F49+1,IF(Monthly!AX$4=TRUE,0,BB$3),IF(BB$12&gt;$F49+1,RentalsVacates!BA49*(1-IF(BB$12-$F49&lt;=12,SUMIFS('Attrition Modeling'!$D:$D,'Attrition Modeling'!$B:$B,$E49,'Attrition Modeling'!$C:$C,BB$11),VLOOKUP(RentalsVacates!BB$12-RentalsVacates!$F49-1,RentalsVacates!$A$8:$C$162,2,FALSE)*VLOOKUP(BB$11,'Attrition Modeling'!$L$15:$N$27,IF(BB$12-$F49&lt;=24,2,3),FALSE))*(1+IF('Traditional Attrition'!BB171&gt;0,'Attrition Modeling'!$N$9,0))),0))</f>
        <v>2040.4731476192781</v>
      </c>
      <c r="BC49" s="799">
        <f>IF(BC$12=$F49+1,IF(Monthly!AY$4=TRUE,0,BC$3),IF(BC$12&gt;$F49+1,RentalsVacates!BB49*(1-IF(BC$12-$F49&lt;=12,SUMIFS('Attrition Modeling'!$D:$D,'Attrition Modeling'!$B:$B,$E49,'Attrition Modeling'!$C:$C,BC$11),VLOOKUP(RentalsVacates!BC$12-RentalsVacates!$F49-1,RentalsVacates!$A$8:$C$162,2,FALSE)*VLOOKUP(BC$11,'Attrition Modeling'!$L$15:$N$27,IF(BC$12-$F49&lt;=24,2,3),FALSE))*(1+IF('Traditional Attrition'!BC171&gt;0,'Attrition Modeling'!$N$9,0))),0))</f>
        <v>1976.9201628688984</v>
      </c>
      <c r="BD49" s="799">
        <f>IF(BD$12=$F49+1,IF(Monthly!AZ$4=TRUE,0,BD$3),IF(BD$12&gt;$F49+1,RentalsVacates!BC49*(1-IF(BD$12-$F49&lt;=12,SUMIFS('Attrition Modeling'!$D:$D,'Attrition Modeling'!$B:$B,$E49,'Attrition Modeling'!$C:$C,BD$11),VLOOKUP(RentalsVacates!BD$12-RentalsVacates!$F49-1,RentalsVacates!$A$8:$C$162,2,FALSE)*VLOOKUP(BD$11,'Attrition Modeling'!$L$15:$N$27,IF(BD$12-$F49&lt;=24,2,3),FALSE))*(1+IF('Traditional Attrition'!BD171&gt;0,'Attrition Modeling'!$N$9,0))),0))</f>
        <v>1870.4908893818247</v>
      </c>
      <c r="BE49" s="799">
        <f>IF(BE$12=$F49+1,IF(Monthly!BA$4=TRUE,0,BE$3),IF(BE$12&gt;$F49+1,RentalsVacates!BD49*(1-IF(BE$12-$F49&lt;=12,SUMIFS('Attrition Modeling'!$D:$D,'Attrition Modeling'!$B:$B,$E49,'Attrition Modeling'!$C:$C,BE$11),VLOOKUP(RentalsVacates!BE$12-RentalsVacates!$F49-1,RentalsVacates!$A$8:$C$162,2,FALSE)*VLOOKUP(BE$11,'Attrition Modeling'!$L$15:$N$27,IF(BE$12-$F49&lt;=24,2,3),FALSE))*(1+IF('Traditional Attrition'!BE171&gt;0,'Attrition Modeling'!$N$9,0))),0))</f>
        <v>1786.6658789599342</v>
      </c>
      <c r="BF49" s="799">
        <f>IF(BF$12=$F49+1,IF(Monthly!BB$4=TRUE,0,BF$3),IF(BF$12&gt;$F49+1,RentalsVacates!BE49*(1-IF(BF$12-$F49&lt;=12,SUMIFS('Attrition Modeling'!$D:$D,'Attrition Modeling'!$B:$B,$E49,'Attrition Modeling'!$C:$C,BF$11),VLOOKUP(RentalsVacates!BF$12-RentalsVacates!$F49-1,RentalsVacates!$A$8:$C$162,2,FALSE)*VLOOKUP(BF$11,'Attrition Modeling'!$L$15:$N$27,IF(BF$12-$F49&lt;=24,2,3),FALSE))*(1+IF('Traditional Attrition'!BF171&gt;0,'Attrition Modeling'!$N$9,0))),0))</f>
        <v>1703.7742379556337</v>
      </c>
      <c r="BG49" s="799">
        <f>IF(BG$12=$F49+1,IF(Monthly!BC$4=TRUE,0,BG$3),IF(BG$12&gt;$F49+1,RentalsVacates!BF49*(1-IF(BG$12-$F49&lt;=12,SUMIFS('Attrition Modeling'!$D:$D,'Attrition Modeling'!$B:$B,$E49,'Attrition Modeling'!$C:$C,BG$11),VLOOKUP(RentalsVacates!BG$12-RentalsVacates!$F49-1,RentalsVacates!$A$8:$C$162,2,FALSE)*VLOOKUP(BG$11,'Attrition Modeling'!$L$15:$N$27,IF(BG$12-$F49&lt;=24,2,3),FALSE))*(1+IF('Traditional Attrition'!BG171&gt;0,'Attrition Modeling'!$N$9,0))),0))</f>
        <v>1628.8932834762491</v>
      </c>
      <c r="BH49" s="799">
        <f>IF(BH$12=$F49+1,IF(Monthly!BD$4=TRUE,0,BH$3),IF(BH$12&gt;$F49+1,RentalsVacates!BG49*(1-IF(BH$12-$F49&lt;=12,SUMIFS('Attrition Modeling'!$D:$D,'Attrition Modeling'!$B:$B,$E49,'Attrition Modeling'!$C:$C,BH$11),VLOOKUP(RentalsVacates!BH$12-RentalsVacates!$F49-1,RentalsVacates!$A$8:$C$162,2,FALSE)*VLOOKUP(BH$11,'Attrition Modeling'!$L$15:$N$27,IF(BH$12-$F49&lt;=24,2,3),FALSE))*(1+IF('Traditional Attrition'!BH171&gt;0,'Attrition Modeling'!$N$9,0))),0))</f>
        <v>1559.9049739733225</v>
      </c>
      <c r="BI49" s="799">
        <f>IF(BI$12=$F49+1,IF(Monthly!BE$4=TRUE,0,BI$3),IF(BI$12&gt;$F49+1,RentalsVacates!BH49*(1-IF(BI$12-$F49&lt;=12,SUMIFS('Attrition Modeling'!$D:$D,'Attrition Modeling'!$B:$B,$E49,'Attrition Modeling'!$C:$C,BI$11),VLOOKUP(RentalsVacates!BI$12-RentalsVacates!$F49-1,RentalsVacates!$A$8:$C$162,2,FALSE)*VLOOKUP(BI$11,'Attrition Modeling'!$L$15:$N$27,IF(BI$12-$F49&lt;=24,2,3),FALSE))*(1+IF('Traditional Attrition'!BI171&gt;0,'Attrition Modeling'!$N$9,0))),0))</f>
        <v>1475.0207003593493</v>
      </c>
      <c r="BJ49" s="799">
        <f>IF(BJ$12=$F49+1,IF(Monthly!BF$4=TRUE,0,BJ$3),IF(BJ$12&gt;$F49+1,RentalsVacates!BI49*(1-IF(BJ$12-$F49&lt;=12,SUMIFS('Attrition Modeling'!$D:$D,'Attrition Modeling'!$B:$B,$E49,'Attrition Modeling'!$C:$C,BJ$11),VLOOKUP(RentalsVacates!BJ$12-RentalsVacates!$F49-1,RentalsVacates!$A$8:$C$162,2,FALSE)*VLOOKUP(BJ$11,'Attrition Modeling'!$L$15:$N$27,IF(BJ$12-$F49&lt;=24,2,3),FALSE))*(1+IF('Traditional Attrition'!BJ171&gt;0,'Attrition Modeling'!$N$9,0))),0))</f>
        <v>1408.0193620456907</v>
      </c>
      <c r="BK49" s="799">
        <f>IF(BK$12=$F49+1,IF(Monthly!BG$4=TRUE,0,BK$3),IF(BK$12&gt;$F49+1,RentalsVacates!BJ49*(1-IF(BK$12-$F49&lt;=12,SUMIFS('Attrition Modeling'!$D:$D,'Attrition Modeling'!$B:$B,$E49,'Attrition Modeling'!$C:$C,BK$11),VLOOKUP(RentalsVacates!BK$12-RentalsVacates!$F49-1,RentalsVacates!$A$8:$C$162,2,FALSE)*VLOOKUP(BK$11,'Attrition Modeling'!$L$15:$N$27,IF(BK$12-$F49&lt;=24,2,3),FALSE))*(1+IF('Traditional Attrition'!BK171&gt;0,'Attrition Modeling'!$N$9,0))),0))</f>
        <v>1342.5017395842726</v>
      </c>
      <c r="BL49" s="799">
        <f>IF(BL$12=$F49+1,IF(Monthly!BH$4=TRUE,0,BL$3),IF(BL$12&gt;$F49+1,RentalsVacates!BK49*(1-IF(BL$12-$F49&lt;=12,SUMIFS('Attrition Modeling'!$D:$D,'Attrition Modeling'!$B:$B,$E49,'Attrition Modeling'!$C:$C,BL$11),VLOOKUP(RentalsVacates!BL$12-RentalsVacates!$F49-1,RentalsVacates!$A$8:$C$162,2,FALSE)*VLOOKUP(BL$11,'Attrition Modeling'!$L$15:$N$27,IF(BL$12-$F49&lt;=24,2,3),FALSE))*(1+IF('Traditional Attrition'!BL171&gt;0,'Attrition Modeling'!$N$9,0))),0))</f>
        <v>1286.5113148970095</v>
      </c>
      <c r="BM49" s="799">
        <f>IF(BM$12=$F49+1,IF(Monthly!BI$4=TRUE,0,BM$3),IF(BM$12&gt;$F49+1,RentalsVacates!BL49*(1-IF(BM$12-$F49&lt;=12,SUMIFS('Attrition Modeling'!$D:$D,'Attrition Modeling'!$B:$B,$E49,'Attrition Modeling'!$C:$C,BM$11),VLOOKUP(RentalsVacates!BM$12-RentalsVacates!$F49-1,RentalsVacates!$A$8:$C$162,2,FALSE)*VLOOKUP(BM$11,'Attrition Modeling'!$L$15:$N$27,IF(BM$12-$F49&lt;=24,2,3),FALSE))*(1+IF('Traditional Attrition'!BM171&gt;0,'Attrition Modeling'!$N$9,0))),0))</f>
        <v>1232.4681477615784</v>
      </c>
      <c r="BN49" s="799">
        <f>IF(BN$12=$F49+1,IF(Monthly!BJ$4=TRUE,0,BN$3),IF(BN$12&gt;$F49+1,RentalsVacates!BM49*(1-IF(BN$12-$F49&lt;=12,SUMIFS('Attrition Modeling'!$D:$D,'Attrition Modeling'!$B:$B,$E49,'Attrition Modeling'!$C:$C,BN$11),VLOOKUP(RentalsVacates!BN$12-RentalsVacates!$F49-1,RentalsVacates!$A$8:$C$162,2,FALSE)*VLOOKUP(BN$11,'Attrition Modeling'!$L$15:$N$27,IF(BN$12-$F49&lt;=24,2,3),FALSE))*(1+IF('Traditional Attrition'!BN171&gt;0,'Attrition Modeling'!$N$9,0))),0))</f>
        <v>1183.3745808857436</v>
      </c>
      <c r="BO49" s="799">
        <f>IF(BO$12=$F49+1,IF(Monthly!BK$4=TRUE,0,BO$3),IF(BO$12&gt;$F49+1,RentalsVacates!BN49*(1-IF(BO$12-$F49&lt;=12,SUMIFS('Attrition Modeling'!$D:$D,'Attrition Modeling'!$B:$B,$E49,'Attrition Modeling'!$C:$C,BO$11),VLOOKUP(RentalsVacates!BO$12-RentalsVacates!$F49-1,RentalsVacates!$A$8:$C$162,2,FALSE)*VLOOKUP(BO$11,'Attrition Modeling'!$L$15:$N$27,IF(BO$12-$F49&lt;=24,2,3),FALSE))*(1+IF('Traditional Attrition'!BO171&gt;0,'Attrition Modeling'!$N$9,0))),0))</f>
        <v>1137.3489657110067</v>
      </c>
      <c r="BP49" s="799">
        <f>IF(BP$12=$F49+1,IF(Monthly!BL$4=TRUE,0,BP$3),IF(BP$12&gt;$F49+1,RentalsVacates!BO49*(1-IF(BP$12-$F49&lt;=12,SUMIFS('Attrition Modeling'!$D:$D,'Attrition Modeling'!$B:$B,$E49,'Attrition Modeling'!$C:$C,BP$11),VLOOKUP(RentalsVacates!BP$12-RentalsVacates!$F49-1,RentalsVacates!$A$8:$C$162,2,FALSE)*VLOOKUP(BP$11,'Attrition Modeling'!$L$15:$N$27,IF(BP$12-$F49&lt;=24,2,3),FALSE))*(1+IF('Traditional Attrition'!BP171&gt;0,'Attrition Modeling'!$N$9,0))),0))</f>
        <v>1096.5376748579085</v>
      </c>
      <c r="BQ49" s="799">
        <f>IF(BQ$12=$F49+1,IF(Monthly!BM$4=TRUE,0,BQ$3),IF(BQ$12&gt;$F49+1,RentalsVacates!BP49*(1-IF(BQ$12-$F49&lt;=12,SUMIFS('Attrition Modeling'!$D:$D,'Attrition Modeling'!$B:$B,$E49,'Attrition Modeling'!$C:$C,BQ$11),VLOOKUP(RentalsVacates!BQ$12-RentalsVacates!$F49-1,RentalsVacates!$A$8:$C$162,2,FALSE)*VLOOKUP(BQ$11,'Attrition Modeling'!$L$15:$N$27,IF(BQ$12-$F49&lt;=24,2,3),FALSE))*(1+IF('Traditional Attrition'!BQ171&gt;0,'Attrition Modeling'!$N$9,0))),0))</f>
        <v>1058.9560805244437</v>
      </c>
      <c r="BR49" s="799">
        <f>IF(BR$12=$F49+1,IF(Monthly!BN$4=TRUE,0,BR$3),IF(BR$12&gt;$F49+1,RentalsVacates!BQ49*(1-IF(BR$12-$F49&lt;=12,SUMIFS('Attrition Modeling'!$D:$D,'Attrition Modeling'!$B:$B,$E49,'Attrition Modeling'!$C:$C,BR$11),VLOOKUP(RentalsVacates!BR$12-RentalsVacates!$F49-1,RentalsVacates!$A$8:$C$162,2,FALSE)*VLOOKUP(BR$11,'Attrition Modeling'!$L$15:$N$27,IF(BR$12-$F49&lt;=24,2,3),FALSE))*(1+IF('Traditional Attrition'!BR171&gt;0,'Attrition Modeling'!$N$9,0))),0))</f>
        <v>1024.658966615149</v>
      </c>
      <c r="BS49" s="799">
        <f>IF(BS$12=$F49+1,IF(Monthly!BO$4=TRUE,0,BS$3),IF(BS$12&gt;$F49+1,RentalsVacates!BR49*(1-IF(BS$12-$F49&lt;=12,SUMIFS('Attrition Modeling'!$D:$D,'Attrition Modeling'!$B:$B,$E49,'Attrition Modeling'!$C:$C,BS$11),VLOOKUP(RentalsVacates!BS$12-RentalsVacates!$F49-1,RentalsVacates!$A$8:$C$162,2,FALSE)*VLOOKUP(BS$11,'Attrition Modeling'!$L$15:$N$27,IF(BS$12-$F49&lt;=24,2,3),FALSE))*(1+IF('Traditional Attrition'!BS171&gt;0,'Attrition Modeling'!$N$9,0))),0))</f>
        <v>998.61501458008047</v>
      </c>
      <c r="BT49" s="799">
        <f>IF(BT$11=$F48+1,IF(Monthly!#REF!=TRUE,0,BT$3),IF(BT$11&gt;$F48+1,RentalsVacates!BS48*(1-IF(BT$11-$F48&lt;=12,SUMIFS('Attrition Modeling'!$D:$D,'Attrition Modeling'!$B:$B,$E48,'Attrition Modeling'!$C:$C,BT$10),VLOOKUP(RentalsVacates!BT$11-RentalsVacates!$F48-1,RentalsVacates!$A$7:$C$161,2,FALSE)*VLOOKUP(BT$10,'Attrition Modeling'!$L$15:$N$27,IF(BT$11-$F48&lt;=24,2,3),FALSE))*(1+IF('Traditional Attrition'!BT171&gt;0,'Attrition Modeling'!$N$9,0))),0))</f>
        <v>0</v>
      </c>
      <c r="BU49" s="799">
        <f>IF(BU$11=$F48+1,IF(Monthly!#REF!=TRUE,0,BU$3),IF(BU$11&gt;$F48+1,RentalsVacates!BT48*(1-IF(BU$11-$F48&lt;=12,SUMIFS('Attrition Modeling'!$D:$D,'Attrition Modeling'!$B:$B,$E48,'Attrition Modeling'!$C:$C,BU$10),VLOOKUP(RentalsVacates!BU$11-RentalsVacates!$F48-1,RentalsVacates!$A$7:$C$161,2,FALSE)*VLOOKUP(BU$10,'Attrition Modeling'!$L$15:$N$27,IF(BU$11-$F48&lt;=24,2,3),FALSE))*(1+IF('Traditional Attrition'!BU171&gt;0,'Attrition Modeling'!$N$9,0))),0))</f>
        <v>0</v>
      </c>
    </row>
    <row r="50" spans="1:73" ht="14.25" customHeight="1" x14ac:dyDescent="0.2">
      <c r="A50" s="9">
        <v>42</v>
      </c>
      <c r="B50" s="25">
        <f>MAX('Attrition Modeling'!H46,$C$3)*(1-Summary!$C$20)</f>
        <v>2.7827561672518826E-2</v>
      </c>
      <c r="C50" s="24" t="e">
        <f t="shared" si="2"/>
        <v>#DIV/0!</v>
      </c>
      <c r="E50" s="11">
        <f>'Traditional Attrition'!E107</f>
        <v>1</v>
      </c>
      <c r="F50" s="11">
        <f t="shared" si="4"/>
        <v>37</v>
      </c>
      <c r="G50" s="799"/>
      <c r="H50" s="799">
        <f>IF(H$12=$F50+1,IF(Monthly!D$4=TRUE,0,H$3),IF(H$12&gt;$F50+1,RentalsVacates!G50*(1-IF(H$12-$F50&lt;=12,SUMIFS('Attrition Modeling'!$D:$D,'Attrition Modeling'!$B:$B,$E50,'Attrition Modeling'!$C:$C,H$11),VLOOKUP(RentalsVacates!H$12-RentalsVacates!$F50-1,RentalsVacates!$A$8:$C$162,2,FALSE)*VLOOKUP(H$11,'Attrition Modeling'!$L$15:$N$27,IF(H$12-$F50&lt;=24,2,3),FALSE))*(1+IF('Traditional Attrition'!H172&gt;0,'Attrition Modeling'!$N$9,0))),0))</f>
        <v>0</v>
      </c>
      <c r="I50" s="799">
        <f>IF(I$12=$F50+1,IF(Monthly!E$4=TRUE,0,I$3),IF(I$12&gt;$F50+1,RentalsVacates!H50*(1-IF(I$12-$F50&lt;=12,SUMIFS('Attrition Modeling'!$D:$D,'Attrition Modeling'!$B:$B,$E50,'Attrition Modeling'!$C:$C,I$11),VLOOKUP(RentalsVacates!I$12-RentalsVacates!$F50-1,RentalsVacates!$A$8:$C$162,2,FALSE)*VLOOKUP(I$11,'Attrition Modeling'!$L$15:$N$27,IF(I$12-$F50&lt;=24,2,3),FALSE))*(1+IF('Traditional Attrition'!I172&gt;0,'Attrition Modeling'!$N$9,0))),0))</f>
        <v>0</v>
      </c>
      <c r="J50" s="799">
        <f>IF(J$12=$F50+1,IF(Monthly!F$4=TRUE,0,J$3),IF(J$12&gt;$F50+1,RentalsVacates!I50*(1-IF(J$12-$F50&lt;=12,SUMIFS('Attrition Modeling'!$D:$D,'Attrition Modeling'!$B:$B,$E50,'Attrition Modeling'!$C:$C,J$11),VLOOKUP(RentalsVacates!J$12-RentalsVacates!$F50-1,RentalsVacates!$A$8:$C$162,2,FALSE)*VLOOKUP(J$11,'Attrition Modeling'!$L$15:$N$27,IF(J$12-$F50&lt;=24,2,3),FALSE))*(1+IF('Traditional Attrition'!J172&gt;0,'Attrition Modeling'!$N$9,0))),0))</f>
        <v>0</v>
      </c>
      <c r="K50" s="799">
        <f>IF(K$12=$F50+1,IF(Monthly!G$4=TRUE,0,K$3),IF(K$12&gt;$F50+1,RentalsVacates!J50*(1-IF(K$12-$F50&lt;=12,SUMIFS('Attrition Modeling'!$D:$D,'Attrition Modeling'!$B:$B,$E50,'Attrition Modeling'!$C:$C,K$11),VLOOKUP(RentalsVacates!K$12-RentalsVacates!$F50-1,RentalsVacates!$A$8:$C$162,2,FALSE)*VLOOKUP(K$11,'Attrition Modeling'!$L$15:$N$27,IF(K$12-$F50&lt;=24,2,3),FALSE))*(1+IF('Traditional Attrition'!K172&gt;0,'Attrition Modeling'!$N$9,0))),0))</f>
        <v>0</v>
      </c>
      <c r="L50" s="799">
        <f>IF(L$12=$F50+1,IF(Monthly!H$4=TRUE,0,L$3),IF(L$12&gt;$F50+1,RentalsVacates!K50*(1-IF(L$12-$F50&lt;=12,SUMIFS('Attrition Modeling'!$D:$D,'Attrition Modeling'!$B:$B,$E50,'Attrition Modeling'!$C:$C,L$11),VLOOKUP(RentalsVacates!L$12-RentalsVacates!$F50-1,RentalsVacates!$A$8:$C$162,2,FALSE)*VLOOKUP(L$11,'Attrition Modeling'!$L$15:$N$27,IF(L$12-$F50&lt;=24,2,3),FALSE))*(1+IF('Traditional Attrition'!L172&gt;0,'Attrition Modeling'!$N$9,0))),0))</f>
        <v>0</v>
      </c>
      <c r="M50" s="799">
        <f>IF(M$12=$F50+1,IF(Monthly!I$4=TRUE,0,M$3),IF(M$12&gt;$F50+1,RentalsVacates!L50*(1-IF(M$12-$F50&lt;=12,SUMIFS('Attrition Modeling'!$D:$D,'Attrition Modeling'!$B:$B,$E50,'Attrition Modeling'!$C:$C,M$11),VLOOKUP(RentalsVacates!M$12-RentalsVacates!$F50-1,RentalsVacates!$A$8:$C$162,2,FALSE)*VLOOKUP(M$11,'Attrition Modeling'!$L$15:$N$27,IF(M$12-$F50&lt;=24,2,3),FALSE))*(1+IF('Traditional Attrition'!M172&gt;0,'Attrition Modeling'!$N$9,0))),0))</f>
        <v>0</v>
      </c>
      <c r="N50" s="799">
        <f>IF(N$12=$F50+1,IF(Monthly!J$4=TRUE,0,N$3),IF(N$12&gt;$F50+1,RentalsVacates!M50*(1-IF(N$12-$F50&lt;=12,SUMIFS('Attrition Modeling'!$D:$D,'Attrition Modeling'!$B:$B,$E50,'Attrition Modeling'!$C:$C,N$11),VLOOKUP(RentalsVacates!N$12-RentalsVacates!$F50-1,RentalsVacates!$A$8:$C$162,2,FALSE)*VLOOKUP(N$11,'Attrition Modeling'!$L$15:$N$27,IF(N$12-$F50&lt;=24,2,3),FALSE))*(1+IF('Traditional Attrition'!N172&gt;0,'Attrition Modeling'!$N$9,0))),0))</f>
        <v>0</v>
      </c>
      <c r="O50" s="799">
        <f>IF(O$12=$F50+1,IF(Monthly!K$4=TRUE,0,O$3),IF(O$12&gt;$F50+1,RentalsVacates!N50*(1-IF(O$12-$F50&lt;=12,SUMIFS('Attrition Modeling'!$D:$D,'Attrition Modeling'!$B:$B,$E50,'Attrition Modeling'!$C:$C,O$11),VLOOKUP(RentalsVacates!O$12-RentalsVacates!$F50-1,RentalsVacates!$A$8:$C$162,2,FALSE)*VLOOKUP(O$11,'Attrition Modeling'!$L$15:$N$27,IF(O$12-$F50&lt;=24,2,3),FALSE))*(1+IF('Traditional Attrition'!O172&gt;0,'Attrition Modeling'!$N$9,0))),0))</f>
        <v>0</v>
      </c>
      <c r="P50" s="799">
        <f>IF(P$12=$F50+1,IF(Monthly!L$4=TRUE,0,P$3),IF(P$12&gt;$F50+1,RentalsVacates!O50*(1-IF(P$12-$F50&lt;=12,SUMIFS('Attrition Modeling'!$D:$D,'Attrition Modeling'!$B:$B,$E50,'Attrition Modeling'!$C:$C,P$11),VLOOKUP(RentalsVacates!P$12-RentalsVacates!$F50-1,RentalsVacates!$A$8:$C$162,2,FALSE)*VLOOKUP(P$11,'Attrition Modeling'!$L$15:$N$27,IF(P$12-$F50&lt;=24,2,3),FALSE))*(1+IF('Traditional Attrition'!P172&gt;0,'Attrition Modeling'!$N$9,0))),0))</f>
        <v>0</v>
      </c>
      <c r="Q50" s="799">
        <f>IF(Q$12=$F50+1,IF(Monthly!M$4=TRUE,0,Q$3),IF(Q$12&gt;$F50+1,RentalsVacates!P50*(1-IF(Q$12-$F50&lt;=12,SUMIFS('Attrition Modeling'!$D:$D,'Attrition Modeling'!$B:$B,$E50,'Attrition Modeling'!$C:$C,Q$11),VLOOKUP(RentalsVacates!Q$12-RentalsVacates!$F50-1,RentalsVacates!$A$8:$C$162,2,FALSE)*VLOOKUP(Q$11,'Attrition Modeling'!$L$15:$N$27,IF(Q$12-$F50&lt;=24,2,3),FALSE))*(1+IF('Traditional Attrition'!Q172&gt;0,'Attrition Modeling'!$N$9,0))),0))</f>
        <v>0</v>
      </c>
      <c r="R50" s="799">
        <f>IF(R$12=$F50+1,IF(Monthly!N$4=TRUE,0,R$3),IF(R$12&gt;$F50+1,RentalsVacates!Q50*(1-IF(R$12-$F50&lt;=12,SUMIFS('Attrition Modeling'!$D:$D,'Attrition Modeling'!$B:$B,$E50,'Attrition Modeling'!$C:$C,R$11),VLOOKUP(RentalsVacates!R$12-RentalsVacates!$F50-1,RentalsVacates!$A$8:$C$162,2,FALSE)*VLOOKUP(R$11,'Attrition Modeling'!$L$15:$N$27,IF(R$12-$F50&lt;=24,2,3),FALSE))*(1+IF('Traditional Attrition'!R172&gt;0,'Attrition Modeling'!$N$9,0))),0))</f>
        <v>0</v>
      </c>
      <c r="S50" s="799">
        <f>IF(S$12=$F50+1,IF(Monthly!O$4=TRUE,0,S$3),IF(S$12&gt;$F50+1,RentalsVacates!R50*(1-IF(S$12-$F50&lt;=12,SUMIFS('Attrition Modeling'!$D:$D,'Attrition Modeling'!$B:$B,$E50,'Attrition Modeling'!$C:$C,S$11),VLOOKUP(RentalsVacates!S$12-RentalsVacates!$F50-1,RentalsVacates!$A$8:$C$162,2,FALSE)*VLOOKUP(S$11,'Attrition Modeling'!$L$15:$N$27,IF(S$12-$F50&lt;=24,2,3),FALSE))*(1+IF('Traditional Attrition'!S172&gt;0,'Attrition Modeling'!$N$9,0))),0))</f>
        <v>0</v>
      </c>
      <c r="T50" s="799">
        <f>IF(T$12=$F50+1,IF(Monthly!P$4=TRUE,0,T$3),IF(T$12&gt;$F50+1,RentalsVacates!S50*(1-IF(T$12-$F50&lt;=12,SUMIFS('Attrition Modeling'!$D:$D,'Attrition Modeling'!$B:$B,$E50,'Attrition Modeling'!$C:$C,T$11),VLOOKUP(RentalsVacates!T$12-RentalsVacates!$F50-1,RentalsVacates!$A$8:$C$162,2,FALSE)*VLOOKUP(T$11,'Attrition Modeling'!$L$15:$N$27,IF(T$12-$F50&lt;=24,2,3),FALSE))*(1+IF('Traditional Attrition'!T172&gt;0,'Attrition Modeling'!$N$9,0))),0))</f>
        <v>0</v>
      </c>
      <c r="U50" s="799">
        <f>IF(U$12=$F50+1,IF(Monthly!Q$4=TRUE,0,U$3),IF(U$12&gt;$F50+1,RentalsVacates!T50*(1-IF(U$12-$F50&lt;=12,SUMIFS('Attrition Modeling'!$D:$D,'Attrition Modeling'!$B:$B,$E50,'Attrition Modeling'!$C:$C,U$11),VLOOKUP(RentalsVacates!U$12-RentalsVacates!$F50-1,RentalsVacates!$A$8:$C$162,2,FALSE)*VLOOKUP(U$11,'Attrition Modeling'!$L$15:$N$27,IF(U$12-$F50&lt;=24,2,3),FALSE))*(1+IF('Traditional Attrition'!U172&gt;0,'Attrition Modeling'!$N$9,0))),0))</f>
        <v>0</v>
      </c>
      <c r="V50" s="799">
        <f>IF(V$12=$F50+1,IF(Monthly!R$4=TRUE,0,V$3),IF(V$12&gt;$F50+1,RentalsVacates!U50*(1-IF(V$12-$F50&lt;=12,SUMIFS('Attrition Modeling'!$D:$D,'Attrition Modeling'!$B:$B,$E50,'Attrition Modeling'!$C:$C,V$11),VLOOKUP(RentalsVacates!V$12-RentalsVacates!$F50-1,RentalsVacates!$A$8:$C$162,2,FALSE)*VLOOKUP(V$11,'Attrition Modeling'!$L$15:$N$27,IF(V$12-$F50&lt;=24,2,3),FALSE))*(1+IF('Traditional Attrition'!V172&gt;0,'Attrition Modeling'!$N$9,0))),0))</f>
        <v>0</v>
      </c>
      <c r="W50" s="799">
        <f>IF(W$12=$F50+1,IF(Monthly!S$4=TRUE,0,W$3),IF(W$12&gt;$F50+1,RentalsVacates!V50*(1-IF(W$12-$F50&lt;=12,SUMIFS('Attrition Modeling'!$D:$D,'Attrition Modeling'!$B:$B,$E50,'Attrition Modeling'!$C:$C,W$11),VLOOKUP(RentalsVacates!W$12-RentalsVacates!$F50-1,RentalsVacates!$A$8:$C$162,2,FALSE)*VLOOKUP(W$11,'Attrition Modeling'!$L$15:$N$27,IF(W$12-$F50&lt;=24,2,3),FALSE))*(1+IF('Traditional Attrition'!W172&gt;0,'Attrition Modeling'!$N$9,0))),0))</f>
        <v>0</v>
      </c>
      <c r="X50" s="799">
        <f>IF(X$12=$F50+1,IF(Monthly!T$4=TRUE,0,X$3),IF(X$12&gt;$F50+1,RentalsVacates!W50*(1-IF(X$12-$F50&lt;=12,SUMIFS('Attrition Modeling'!$D:$D,'Attrition Modeling'!$B:$B,$E50,'Attrition Modeling'!$C:$C,X$11),VLOOKUP(RentalsVacates!X$12-RentalsVacates!$F50-1,RentalsVacates!$A$8:$C$162,2,FALSE)*VLOOKUP(X$11,'Attrition Modeling'!$L$15:$N$27,IF(X$12-$F50&lt;=24,2,3),FALSE))*(1+IF('Traditional Attrition'!X172&gt;0,'Attrition Modeling'!$N$9,0))),0))</f>
        <v>0</v>
      </c>
      <c r="Y50" s="799">
        <f>IF(Y$12=$F50+1,IF(Monthly!U$4=TRUE,0,Y$3),IF(Y$12&gt;$F50+1,RentalsVacates!X50*(1-IF(Y$12-$F50&lt;=12,SUMIFS('Attrition Modeling'!$D:$D,'Attrition Modeling'!$B:$B,$E50,'Attrition Modeling'!$C:$C,Y$11),VLOOKUP(RentalsVacates!Y$12-RentalsVacates!$F50-1,RentalsVacates!$A$8:$C$162,2,FALSE)*VLOOKUP(Y$11,'Attrition Modeling'!$L$15:$N$27,IF(Y$12-$F50&lt;=24,2,3),FALSE))*(1+IF('Traditional Attrition'!Y172&gt;0,'Attrition Modeling'!$N$9,0))),0))</f>
        <v>0</v>
      </c>
      <c r="Z50" s="799">
        <f>IF(Z$12=$F50+1,IF(Monthly!V$4=TRUE,0,Z$3),IF(Z$12&gt;$F50+1,RentalsVacates!Y50*(1-IF(Z$12-$F50&lt;=12,SUMIFS('Attrition Modeling'!$D:$D,'Attrition Modeling'!$B:$B,$E50,'Attrition Modeling'!$C:$C,Z$11),VLOOKUP(RentalsVacates!Z$12-RentalsVacates!$F50-1,RentalsVacates!$A$8:$C$162,2,FALSE)*VLOOKUP(Z$11,'Attrition Modeling'!$L$15:$N$27,IF(Z$12-$F50&lt;=24,2,3),FALSE))*(1+IF('Traditional Attrition'!Z172&gt;0,'Attrition Modeling'!$N$9,0))),0))</f>
        <v>0</v>
      </c>
      <c r="AA50" s="799">
        <f>IF(AA$12=$F50+1,IF(Monthly!W$4=TRUE,0,AA$3),IF(AA$12&gt;$F50+1,RentalsVacates!Z50*(1-IF(AA$12-$F50&lt;=12,SUMIFS('Attrition Modeling'!$D:$D,'Attrition Modeling'!$B:$B,$E50,'Attrition Modeling'!$C:$C,AA$11),VLOOKUP(RentalsVacates!AA$12-RentalsVacates!$F50-1,RentalsVacates!$A$8:$C$162,2,FALSE)*VLOOKUP(AA$11,'Attrition Modeling'!$L$15:$N$27,IF(AA$12-$F50&lt;=24,2,3),FALSE))*(1+IF('Traditional Attrition'!AA172&gt;0,'Attrition Modeling'!$N$9,0))),0))</f>
        <v>0</v>
      </c>
      <c r="AB50" s="799">
        <f>IF(AB$12=$F50+1,IF(Monthly!X$4=TRUE,0,AB$3),IF(AB$12&gt;$F50+1,RentalsVacates!AA50*(1-IF(AB$12-$F50&lt;=12,SUMIFS('Attrition Modeling'!$D:$D,'Attrition Modeling'!$B:$B,$E50,'Attrition Modeling'!$C:$C,AB$11),VLOOKUP(RentalsVacates!AB$12-RentalsVacates!$F50-1,RentalsVacates!$A$8:$C$162,2,FALSE)*VLOOKUP(AB$11,'Attrition Modeling'!$L$15:$N$27,IF(AB$12-$F50&lt;=24,2,3),FALSE))*(1+IF('Traditional Attrition'!AB172&gt;0,'Attrition Modeling'!$N$9,0))),0))</f>
        <v>0</v>
      </c>
      <c r="AC50" s="799">
        <f>IF(AC$12=$F50+1,IF(Monthly!Y$4=TRUE,0,AC$3),IF(AC$12&gt;$F50+1,RentalsVacates!AB50*(1-IF(AC$12-$F50&lt;=12,SUMIFS('Attrition Modeling'!$D:$D,'Attrition Modeling'!$B:$B,$E50,'Attrition Modeling'!$C:$C,AC$11),VLOOKUP(RentalsVacates!AC$12-RentalsVacates!$F50-1,RentalsVacates!$A$8:$C$162,2,FALSE)*VLOOKUP(AC$11,'Attrition Modeling'!$L$15:$N$27,IF(AC$12-$F50&lt;=24,2,3),FALSE))*(1+IF('Traditional Attrition'!AC172&gt;0,'Attrition Modeling'!$N$9,0))),0))</f>
        <v>0</v>
      </c>
      <c r="AD50" s="799">
        <f>IF(AD$12=$F50+1,IF(Monthly!Z$4=TRUE,0,AD$3),IF(AD$12&gt;$F50+1,RentalsVacates!AC50*(1-IF(AD$12-$F50&lt;=12,SUMIFS('Attrition Modeling'!$D:$D,'Attrition Modeling'!$B:$B,$E50,'Attrition Modeling'!$C:$C,AD$11),VLOOKUP(RentalsVacates!AD$12-RentalsVacates!$F50-1,RentalsVacates!$A$8:$C$162,2,FALSE)*VLOOKUP(AD$11,'Attrition Modeling'!$L$15:$N$27,IF(AD$12-$F50&lt;=24,2,3),FALSE))*(1+IF('Traditional Attrition'!AD172&gt;0,'Attrition Modeling'!$N$9,0))),0))</f>
        <v>0</v>
      </c>
      <c r="AE50" s="799">
        <f>IF(AE$12=$F50+1,IF(Monthly!AA$4=TRUE,0,AE$3),IF(AE$12&gt;$F50+1,RentalsVacates!AD50*(1-IF(AE$12-$F50&lt;=12,SUMIFS('Attrition Modeling'!$D:$D,'Attrition Modeling'!$B:$B,$E50,'Attrition Modeling'!$C:$C,AE$11),VLOOKUP(RentalsVacates!AE$12-RentalsVacates!$F50-1,RentalsVacates!$A$8:$C$162,2,FALSE)*VLOOKUP(AE$11,'Attrition Modeling'!$L$15:$N$27,IF(AE$12-$F50&lt;=24,2,3),FALSE))*(1+IF('Traditional Attrition'!AE172&gt;0,'Attrition Modeling'!$N$9,0))),0))</f>
        <v>0</v>
      </c>
      <c r="AF50" s="799">
        <f>IF(AF$12=$F50+1,IF(Monthly!AB$4=TRUE,0,AF$3),IF(AF$12&gt;$F50+1,RentalsVacates!AE50*(1-IF(AF$12-$F50&lt;=12,SUMIFS('Attrition Modeling'!$D:$D,'Attrition Modeling'!$B:$B,$E50,'Attrition Modeling'!$C:$C,AF$11),VLOOKUP(RentalsVacates!AF$12-RentalsVacates!$F50-1,RentalsVacates!$A$8:$C$162,2,FALSE)*VLOOKUP(AF$11,'Attrition Modeling'!$L$15:$N$27,IF(AF$12-$F50&lt;=24,2,3),FALSE))*(1+IF('Traditional Attrition'!AF172&gt;0,'Attrition Modeling'!$N$9,0))),0))</f>
        <v>0</v>
      </c>
      <c r="AG50" s="799">
        <f>IF(AG$12=$F50+1,IF(Monthly!AC$4=TRUE,0,AG$3),IF(AG$12&gt;$F50+1,RentalsVacates!AF50*(1-IF(AG$12-$F50&lt;=12,SUMIFS('Attrition Modeling'!$D:$D,'Attrition Modeling'!$B:$B,$E50,'Attrition Modeling'!$C:$C,AG$11),VLOOKUP(RentalsVacates!AG$12-RentalsVacates!$F50-1,RentalsVacates!$A$8:$C$162,2,FALSE)*VLOOKUP(AG$11,'Attrition Modeling'!$L$15:$N$27,IF(AG$12-$F50&lt;=24,2,3),FALSE))*(1+IF('Traditional Attrition'!AG172&gt;0,'Attrition Modeling'!$N$9,0))),0))</f>
        <v>0</v>
      </c>
      <c r="AH50" s="799">
        <f>IF(AH$12=$F50+1,IF(Monthly!AD$4=TRUE,0,AH$3),IF(AH$12&gt;$F50+1,RentalsVacates!AG50*(1-IF(AH$12-$F50&lt;=12,SUMIFS('Attrition Modeling'!$D:$D,'Attrition Modeling'!$B:$B,$E50,'Attrition Modeling'!$C:$C,AH$11),VLOOKUP(RentalsVacates!AH$12-RentalsVacates!$F50-1,RentalsVacates!$A$8:$C$162,2,FALSE)*VLOOKUP(AH$11,'Attrition Modeling'!$L$15:$N$27,IF(AH$12-$F50&lt;=24,2,3),FALSE))*(1+IF('Traditional Attrition'!AH172&gt;0,'Attrition Modeling'!$N$9,0))),0))</f>
        <v>0</v>
      </c>
      <c r="AI50" s="799">
        <f>IF(AI$12=$F50+1,IF(Monthly!AE$4=TRUE,0,AI$3),IF(AI$12&gt;$F50+1,RentalsVacates!AH50*(1-IF(AI$12-$F50&lt;=12,SUMIFS('Attrition Modeling'!$D:$D,'Attrition Modeling'!$B:$B,$E50,'Attrition Modeling'!$C:$C,AI$11),VLOOKUP(RentalsVacates!AI$12-RentalsVacates!$F50-1,RentalsVacates!$A$8:$C$162,2,FALSE)*VLOOKUP(AI$11,'Attrition Modeling'!$L$15:$N$27,IF(AI$12-$F50&lt;=24,2,3),FALSE))*(1+IF('Traditional Attrition'!AI172&gt;0,'Attrition Modeling'!$N$9,0))),0))</f>
        <v>0</v>
      </c>
      <c r="AJ50" s="799">
        <f>IF(AJ$12=$F50+1,IF(Monthly!AF$4=TRUE,0,AJ$3),IF(AJ$12&gt;$F50+1,RentalsVacates!AI50*(1-IF(AJ$12-$F50&lt;=12,SUMIFS('Attrition Modeling'!$D:$D,'Attrition Modeling'!$B:$B,$E50,'Attrition Modeling'!$C:$C,AJ$11),VLOOKUP(RentalsVacates!AJ$12-RentalsVacates!$F50-1,RentalsVacates!$A$8:$C$162,2,FALSE)*VLOOKUP(AJ$11,'Attrition Modeling'!$L$15:$N$27,IF(AJ$12-$F50&lt;=24,2,3),FALSE))*(1+IF('Traditional Attrition'!AJ172&gt;0,'Attrition Modeling'!$N$9,0))),0))</f>
        <v>0</v>
      </c>
      <c r="AK50" s="799">
        <f>IF(AK$12=$F50+1,IF(Monthly!AG$4=TRUE,0,AK$3),IF(AK$12&gt;$F50+1,RentalsVacates!AJ50*(1-IF(AK$12-$F50&lt;=12,SUMIFS('Attrition Modeling'!$D:$D,'Attrition Modeling'!$B:$B,$E50,'Attrition Modeling'!$C:$C,AK$11),VLOOKUP(RentalsVacates!AK$12-RentalsVacates!$F50-1,RentalsVacates!$A$8:$C$162,2,FALSE)*VLOOKUP(AK$11,'Attrition Modeling'!$L$15:$N$27,IF(AK$12-$F50&lt;=24,2,3),FALSE))*(1+IF('Traditional Attrition'!AK172&gt;0,'Attrition Modeling'!$N$9,0))),0))</f>
        <v>0</v>
      </c>
      <c r="AL50" s="799">
        <f>IF(AL$12=$F50+1,IF(Monthly!AH$4=TRUE,0,AL$3),IF(AL$12&gt;$F50+1,RentalsVacates!AK50*(1-IF(AL$12-$F50&lt;=12,SUMIFS('Attrition Modeling'!$D:$D,'Attrition Modeling'!$B:$B,$E50,'Attrition Modeling'!$C:$C,AL$11),VLOOKUP(RentalsVacates!AL$12-RentalsVacates!$F50-1,RentalsVacates!$A$8:$C$162,2,FALSE)*VLOOKUP(AL$11,'Attrition Modeling'!$L$15:$N$27,IF(AL$12-$F50&lt;=24,2,3),FALSE))*(1+IF('Traditional Attrition'!AL172&gt;0,'Attrition Modeling'!$N$9,0))),0))</f>
        <v>0</v>
      </c>
      <c r="AM50" s="799">
        <f>IF(AM$12=$F50+1,IF(Monthly!AI$4=TRUE,0,AM$3),IF(AM$12&gt;$F50+1,RentalsVacates!AL50*(1-IF(AM$12-$F50&lt;=12,SUMIFS('Attrition Modeling'!$D:$D,'Attrition Modeling'!$B:$B,$E50,'Attrition Modeling'!$C:$C,AM$11),VLOOKUP(RentalsVacates!AM$12-RentalsVacates!$F50-1,RentalsVacates!$A$8:$C$162,2,FALSE)*VLOOKUP(AM$11,'Attrition Modeling'!$L$15:$N$27,IF(AM$12-$F50&lt;=24,2,3),FALSE))*(1+IF('Traditional Attrition'!AM172&gt;0,'Attrition Modeling'!$N$9,0))),0))</f>
        <v>0</v>
      </c>
      <c r="AN50" s="799">
        <f>IF(AN$12=$F50+1,IF(Monthly!AJ$4=TRUE,0,AN$3),IF(AN$12&gt;$F50+1,RentalsVacates!AM50*(1-IF(AN$12-$F50&lt;=12,SUMIFS('Attrition Modeling'!$D:$D,'Attrition Modeling'!$B:$B,$E50,'Attrition Modeling'!$C:$C,AN$11),VLOOKUP(RentalsVacates!AN$12-RentalsVacates!$F50-1,RentalsVacates!$A$8:$C$162,2,FALSE)*VLOOKUP(AN$11,'Attrition Modeling'!$L$15:$N$27,IF(AN$12-$F50&lt;=24,2,3),FALSE))*(1+IF('Traditional Attrition'!AN172&gt;0,'Attrition Modeling'!$N$9,0))),0))</f>
        <v>0</v>
      </c>
      <c r="AO50" s="799">
        <f>IF(AO$12=$F50+1,IF(Monthly!AK$4=TRUE,0,AO$3),IF(AO$12&gt;$F50+1,RentalsVacates!AN50*(1-IF(AO$12-$F50&lt;=12,SUMIFS('Attrition Modeling'!$D:$D,'Attrition Modeling'!$B:$B,$E50,'Attrition Modeling'!$C:$C,AO$11),VLOOKUP(RentalsVacates!AO$12-RentalsVacates!$F50-1,RentalsVacates!$A$8:$C$162,2,FALSE)*VLOOKUP(AO$11,'Attrition Modeling'!$L$15:$N$27,IF(AO$12-$F50&lt;=24,2,3),FALSE))*(1+IF('Traditional Attrition'!AO172&gt;0,'Attrition Modeling'!$N$9,0))),0))</f>
        <v>0</v>
      </c>
      <c r="AP50" s="799">
        <f>IF(AP$12=$F50+1,IF(Monthly!AL$4=TRUE,0,AP$3),IF(AP$12&gt;$F50+1,RentalsVacates!AO50*(1-IF(AP$12-$F50&lt;=12,SUMIFS('Attrition Modeling'!$D:$D,'Attrition Modeling'!$B:$B,$E50,'Attrition Modeling'!$C:$C,AP$11),VLOOKUP(RentalsVacates!AP$12-RentalsVacates!$F50-1,RentalsVacates!$A$8:$C$162,2,FALSE)*VLOOKUP(AP$11,'Attrition Modeling'!$L$15:$N$27,IF(AP$12-$F50&lt;=24,2,3),FALSE))*(1+IF('Traditional Attrition'!AP172&gt;0,'Attrition Modeling'!$N$9,0))),0))</f>
        <v>0</v>
      </c>
      <c r="AQ50" s="799">
        <f>IF(AQ$12=$F50+1,IF(Monthly!AM$4=TRUE,0,AQ$3),IF(AQ$12&gt;$F50+1,RentalsVacates!AP50*(1-IF(AQ$12-$F50&lt;=12,SUMIFS('Attrition Modeling'!$D:$D,'Attrition Modeling'!$B:$B,$E50,'Attrition Modeling'!$C:$C,AQ$11),VLOOKUP(RentalsVacates!AQ$12-RentalsVacates!$F50-1,RentalsVacates!$A$8:$C$162,2,FALSE)*VLOOKUP(AQ$11,'Attrition Modeling'!$L$15:$N$27,IF(AQ$12-$F50&lt;=24,2,3),FALSE))*(1+IF('Traditional Attrition'!AQ172&gt;0,'Attrition Modeling'!$N$9,0))),0))</f>
        <v>0</v>
      </c>
      <c r="AR50" s="799">
        <f>IF(AR$12=$F50+1,IF(Monthly!AN$4=TRUE,0,AR$3),IF(AR$12&gt;$F50+1,RentalsVacates!AQ50*(1-IF(AR$12-$F50&lt;=12,SUMIFS('Attrition Modeling'!$D:$D,'Attrition Modeling'!$B:$B,$E50,'Attrition Modeling'!$C:$C,AR$11),VLOOKUP(RentalsVacates!AR$12-RentalsVacates!$F50-1,RentalsVacates!$A$8:$C$162,2,FALSE)*VLOOKUP(AR$11,'Attrition Modeling'!$L$15:$N$27,IF(AR$12-$F50&lt;=24,2,3),FALSE))*(1+IF('Traditional Attrition'!AR172&gt;0,'Attrition Modeling'!$N$9,0))),0))</f>
        <v>0</v>
      </c>
      <c r="AS50" s="799">
        <f>IF(AS$12=$F50+1,IF(Monthly!AO$4=TRUE,0,AS$3),IF(AS$12&gt;$F50+1,RentalsVacates!AR50*(1-IF(AS$12-$F50&lt;=12,SUMIFS('Attrition Modeling'!$D:$D,'Attrition Modeling'!$B:$B,$E50,'Attrition Modeling'!$C:$C,AS$11),VLOOKUP(RentalsVacates!AS$12-RentalsVacates!$F50-1,RentalsVacates!$A$8:$C$162,2,FALSE)*VLOOKUP(AS$11,'Attrition Modeling'!$L$15:$N$27,IF(AS$12-$F50&lt;=24,2,3),FALSE))*(1+IF('Traditional Attrition'!AS172&gt;0,'Attrition Modeling'!$N$9,0))),0))</f>
        <v>5368.1923375965989</v>
      </c>
      <c r="AT50" s="799">
        <f>IF(AT$12=$F50+1,IF(Monthly!AP$4=TRUE,0,AT$3),IF(AT$12&gt;$F50+1,RentalsVacates!AS50*(1-IF(AT$12-$F50&lt;=12,SUMIFS('Attrition Modeling'!$D:$D,'Attrition Modeling'!$B:$B,$E50,'Attrition Modeling'!$C:$C,AT$11),VLOOKUP(RentalsVacates!AT$12-RentalsVacates!$F50-1,RentalsVacates!$A$8:$C$162,2,FALSE)*VLOOKUP(AT$11,'Attrition Modeling'!$L$15:$N$27,IF(AT$12-$F50&lt;=24,2,3),FALSE))*(1+IF('Traditional Attrition'!AT172&gt;0,'Attrition Modeling'!$N$9,0))),0))</f>
        <v>4827.327097272092</v>
      </c>
      <c r="AU50" s="799">
        <f>IF(AU$12=$F50+1,IF(Monthly!AQ$4=TRUE,0,AU$3),IF(AU$12&gt;$F50+1,RentalsVacates!AT50*(1-IF(AU$12-$F50&lt;=12,SUMIFS('Attrition Modeling'!$D:$D,'Attrition Modeling'!$B:$B,$E50,'Attrition Modeling'!$C:$C,AU$11),VLOOKUP(RentalsVacates!AU$12-RentalsVacates!$F50-1,RentalsVacates!$A$8:$C$162,2,FALSE)*VLOOKUP(AU$11,'Attrition Modeling'!$L$15:$N$27,IF(AU$12-$F50&lt;=24,2,3),FALSE))*(1+IF('Traditional Attrition'!AU172&gt;0,'Attrition Modeling'!$N$9,0))),0))</f>
        <v>4424.1892393822736</v>
      </c>
      <c r="AV50" s="799">
        <f>IF(AV$12=$F50+1,IF(Monthly!AR$4=TRUE,0,AV$3),IF(AV$12&gt;$F50+1,RentalsVacates!AU50*(1-IF(AV$12-$F50&lt;=12,SUMIFS('Attrition Modeling'!$D:$D,'Attrition Modeling'!$B:$B,$E50,'Attrition Modeling'!$C:$C,AV$11),VLOOKUP(RentalsVacates!AV$12-RentalsVacates!$F50-1,RentalsVacates!$A$8:$C$162,2,FALSE)*VLOOKUP(AV$11,'Attrition Modeling'!$L$15:$N$27,IF(AV$12-$F50&lt;=24,2,3),FALSE))*(1+IF('Traditional Attrition'!AV172&gt;0,'Attrition Modeling'!$N$9,0))),0))</f>
        <v>4017.2572239939477</v>
      </c>
      <c r="AW50" s="799">
        <f>IF(AW$12=$F50+1,IF(Monthly!AS$4=TRUE,0,AW$3),IF(AW$12&gt;$F50+1,RentalsVacates!AV50*(1-IF(AW$12-$F50&lt;=12,SUMIFS('Attrition Modeling'!$D:$D,'Attrition Modeling'!$B:$B,$E50,'Attrition Modeling'!$C:$C,AW$11),VLOOKUP(RentalsVacates!AW$12-RentalsVacates!$F50-1,RentalsVacates!$A$8:$C$162,2,FALSE)*VLOOKUP(AW$11,'Attrition Modeling'!$L$15:$N$27,IF(AW$12-$F50&lt;=24,2,3),FALSE))*(1+IF('Traditional Attrition'!AW172&gt;0,'Attrition Modeling'!$N$9,0))),0))</f>
        <v>3691.8540458983302</v>
      </c>
      <c r="AX50" s="799">
        <f>IF(AX$12=$F50+1,IF(Monthly!AT$4=TRUE,0,AX$3),IF(AX$12&gt;$F50+1,RentalsVacates!AW50*(1-IF(AX$12-$F50&lt;=12,SUMIFS('Attrition Modeling'!$D:$D,'Attrition Modeling'!$B:$B,$E50,'Attrition Modeling'!$C:$C,AX$11),VLOOKUP(RentalsVacates!AX$12-RentalsVacates!$F50-1,RentalsVacates!$A$8:$C$162,2,FALSE)*VLOOKUP(AX$11,'Attrition Modeling'!$L$15:$N$27,IF(AX$12-$F50&lt;=24,2,3),FALSE))*(1+IF('Traditional Attrition'!AX172&gt;0,'Attrition Modeling'!$N$9,0))),0))</f>
        <v>3311.6087769342053</v>
      </c>
      <c r="AY50" s="799">
        <f>IF(AY$12=$F50+1,IF(Monthly!AU$4=TRUE,0,AY$3),IF(AY$12&gt;$F50+1,RentalsVacates!AX50*(1-IF(AY$12-$F50&lt;=12,SUMIFS('Attrition Modeling'!$D:$D,'Attrition Modeling'!$B:$B,$E50,'Attrition Modeling'!$C:$C,AY$11),VLOOKUP(RentalsVacates!AY$12-RentalsVacates!$F50-1,RentalsVacates!$A$8:$C$162,2,FALSE)*VLOOKUP(AY$11,'Attrition Modeling'!$L$15:$N$27,IF(AY$12-$F50&lt;=24,2,3),FALSE))*(1+IF('Traditional Attrition'!AY172&gt;0,'Attrition Modeling'!$N$9,0))),0))</f>
        <v>3059.0347929918403</v>
      </c>
      <c r="AZ50" s="799">
        <f>IF(AZ$12=$F50+1,IF(Monthly!AV$4=TRUE,0,AZ$3),IF(AZ$12&gt;$F50+1,RentalsVacates!AY50*(1-IF(AZ$12-$F50&lt;=12,SUMIFS('Attrition Modeling'!$D:$D,'Attrition Modeling'!$B:$B,$E50,'Attrition Modeling'!$C:$C,AZ$11),VLOOKUP(RentalsVacates!AZ$12-RentalsVacates!$F50-1,RentalsVacates!$A$8:$C$162,2,FALSE)*VLOOKUP(AZ$11,'Attrition Modeling'!$L$15:$N$27,IF(AZ$12-$F50&lt;=24,2,3),FALSE))*(1+IF('Traditional Attrition'!AZ172&gt;0,'Attrition Modeling'!$N$9,0))),0))</f>
        <v>2871.4231796561689</v>
      </c>
      <c r="BA50" s="799">
        <f>IF(BA$12=$F50+1,IF(Monthly!AW$4=TRUE,0,BA$3),IF(BA$12&gt;$F50+1,RentalsVacates!AZ50*(1-IF(BA$12-$F50&lt;=12,SUMIFS('Attrition Modeling'!$D:$D,'Attrition Modeling'!$B:$B,$E50,'Attrition Modeling'!$C:$C,BA$11),VLOOKUP(RentalsVacates!BA$12-RentalsVacates!$F50-1,RentalsVacates!$A$8:$C$162,2,FALSE)*VLOOKUP(BA$11,'Attrition Modeling'!$L$15:$N$27,IF(BA$12-$F50&lt;=24,2,3),FALSE))*(1+IF('Traditional Attrition'!BA172&gt;0,'Attrition Modeling'!$N$9,0))),0))</f>
        <v>2687.1589005128362</v>
      </c>
      <c r="BB50" s="799">
        <f>IF(BB$12=$F50+1,IF(Monthly!AX$4=TRUE,0,BB$3),IF(BB$12&gt;$F50+1,RentalsVacates!BA50*(1-IF(BB$12-$F50&lt;=12,SUMIFS('Attrition Modeling'!$D:$D,'Attrition Modeling'!$B:$B,$E50,'Attrition Modeling'!$C:$C,BB$11),VLOOKUP(RentalsVacates!BB$12-RentalsVacates!$F50-1,RentalsVacates!$A$8:$C$162,2,FALSE)*VLOOKUP(BB$11,'Attrition Modeling'!$L$15:$N$27,IF(BB$12-$F50&lt;=24,2,3),FALSE))*(1+IF('Traditional Attrition'!BB172&gt;0,'Attrition Modeling'!$N$9,0))),0))</f>
        <v>2526.6336170867125</v>
      </c>
      <c r="BC50" s="799">
        <f>IF(BC$12=$F50+1,IF(Monthly!AY$4=TRUE,0,BC$3),IF(BC$12&gt;$F50+1,RentalsVacates!BB50*(1-IF(BC$12-$F50&lt;=12,SUMIFS('Attrition Modeling'!$D:$D,'Attrition Modeling'!$B:$B,$E50,'Attrition Modeling'!$C:$C,BC$11),VLOOKUP(RentalsVacates!BC$12-RentalsVacates!$F50-1,RentalsVacates!$A$8:$C$162,2,FALSE)*VLOOKUP(BC$11,'Attrition Modeling'!$L$15:$N$27,IF(BC$12-$F50&lt;=24,2,3),FALSE))*(1+IF('Traditional Attrition'!BC172&gt;0,'Attrition Modeling'!$N$9,0))),0))</f>
        <v>2378.8813132910691</v>
      </c>
      <c r="BD50" s="799">
        <f>IF(BD$12=$F50+1,IF(Monthly!AZ$4=TRUE,0,BD$3),IF(BD$12&gt;$F50+1,RentalsVacates!BC50*(1-IF(BD$12-$F50&lt;=12,SUMIFS('Attrition Modeling'!$D:$D,'Attrition Modeling'!$B:$B,$E50,'Attrition Modeling'!$C:$C,BD$11),VLOOKUP(RentalsVacates!BD$12-RentalsVacates!$F50-1,RentalsVacates!$A$8:$C$162,2,FALSE)*VLOOKUP(BD$11,'Attrition Modeling'!$L$15:$N$27,IF(BD$12-$F50&lt;=24,2,3),FALSE))*(1+IF('Traditional Attrition'!BD172&gt;0,'Attrition Modeling'!$N$9,0))),0))</f>
        <v>2317.888057225382</v>
      </c>
      <c r="BE50" s="799">
        <f>IF(BE$12=$F50+1,IF(Monthly!BA$4=TRUE,0,BE$3),IF(BE$12&gt;$F50+1,RentalsVacates!BD50*(1-IF(BE$12-$F50&lt;=12,SUMIFS('Attrition Modeling'!$D:$D,'Attrition Modeling'!$B:$B,$E50,'Attrition Modeling'!$C:$C,BE$11),VLOOKUP(RentalsVacates!BE$12-RentalsVacates!$F50-1,RentalsVacates!$A$8:$C$162,2,FALSE)*VLOOKUP(BE$11,'Attrition Modeling'!$L$15:$N$27,IF(BE$12-$F50&lt;=24,2,3),FALSE))*(1+IF('Traditional Attrition'!BE172&gt;0,'Attrition Modeling'!$N$9,0))),0))</f>
        <v>2205.3183125430196</v>
      </c>
      <c r="BF50" s="799">
        <f>IF(BF$12=$F50+1,IF(Monthly!BB$4=TRUE,0,BF$3),IF(BF$12&gt;$F50+1,RentalsVacates!BE50*(1-IF(BF$12-$F50&lt;=12,SUMIFS('Attrition Modeling'!$D:$D,'Attrition Modeling'!$B:$B,$E50,'Attrition Modeling'!$C:$C,BF$11),VLOOKUP(RentalsVacates!BF$12-RentalsVacates!$F50-1,RentalsVacates!$A$8:$C$162,2,FALSE)*VLOOKUP(BF$11,'Attrition Modeling'!$L$15:$N$27,IF(BF$12-$F50&lt;=24,2,3),FALSE))*(1+IF('Traditional Attrition'!BF172&gt;0,'Attrition Modeling'!$N$9,0))),0))</f>
        <v>2097.7357371811968</v>
      </c>
      <c r="BG50" s="799">
        <f>IF(BG$12=$F50+1,IF(Monthly!BC$4=TRUE,0,BG$3),IF(BG$12&gt;$F50+1,RentalsVacates!BF50*(1-IF(BG$12-$F50&lt;=12,SUMIFS('Attrition Modeling'!$D:$D,'Attrition Modeling'!$B:$B,$E50,'Attrition Modeling'!$C:$C,BG$11),VLOOKUP(RentalsVacates!BG$12-RentalsVacates!$F50-1,RentalsVacates!$A$8:$C$162,2,FALSE)*VLOOKUP(BG$11,'Attrition Modeling'!$L$15:$N$27,IF(BG$12-$F50&lt;=24,2,3),FALSE))*(1+IF('Traditional Attrition'!BG172&gt;0,'Attrition Modeling'!$N$9,0))),0))</f>
        <v>2002.0446086604168</v>
      </c>
      <c r="BH50" s="799">
        <f>IF(BH$12=$F50+1,IF(Monthly!BD$4=TRUE,0,BH$3),IF(BH$12&gt;$F50+1,RentalsVacates!BG50*(1-IF(BH$12-$F50&lt;=12,SUMIFS('Attrition Modeling'!$D:$D,'Attrition Modeling'!$B:$B,$E50,'Attrition Modeling'!$C:$C,BH$11),VLOOKUP(RentalsVacates!BH$12-RentalsVacates!$F50-1,RentalsVacates!$A$8:$C$162,2,FALSE)*VLOOKUP(BH$11,'Attrition Modeling'!$L$15:$N$27,IF(BH$12-$F50&lt;=24,2,3),FALSE))*(1+IF('Traditional Attrition'!BH172&gt;0,'Attrition Modeling'!$N$9,0))),0))</f>
        <v>1914.6830739762759</v>
      </c>
      <c r="BI50" s="799">
        <f>IF(BI$12=$F50+1,IF(Monthly!BE$4=TRUE,0,BI$3),IF(BI$12&gt;$F50+1,RentalsVacates!BH50*(1-IF(BI$12-$F50&lt;=12,SUMIFS('Attrition Modeling'!$D:$D,'Attrition Modeling'!$B:$B,$E50,'Attrition Modeling'!$C:$C,BI$11),VLOOKUP(RentalsVacates!BI$12-RentalsVacates!$F50-1,RentalsVacates!$A$8:$C$162,2,FALSE)*VLOOKUP(BI$11,'Attrition Modeling'!$L$15:$N$27,IF(BI$12-$F50&lt;=24,2,3),FALSE))*(1+IF('Traditional Attrition'!BI172&gt;0,'Attrition Modeling'!$N$9,0))),0))</f>
        <v>1825.6540107007622</v>
      </c>
      <c r="BJ50" s="799">
        <f>IF(BJ$12=$F50+1,IF(Monthly!BF$4=TRUE,0,BJ$3),IF(BJ$12&gt;$F50+1,RentalsVacates!BI50*(1-IF(BJ$12-$F50&lt;=12,SUMIFS('Attrition Modeling'!$D:$D,'Attrition Modeling'!$B:$B,$E50,'Attrition Modeling'!$C:$C,BJ$11),VLOOKUP(RentalsVacates!BJ$12-RentalsVacates!$F50-1,RentalsVacates!$A$8:$C$162,2,FALSE)*VLOOKUP(BJ$11,'Attrition Modeling'!$L$15:$N$27,IF(BJ$12-$F50&lt;=24,2,3),FALSE))*(1+IF('Traditional Attrition'!BJ172&gt;0,'Attrition Modeling'!$N$9,0))),0))</f>
        <v>1723.9570927392244</v>
      </c>
      <c r="BK50" s="799">
        <f>IF(BK$12=$F50+1,IF(Monthly!BG$4=TRUE,0,BK$3),IF(BK$12&gt;$F50+1,RentalsVacates!BJ50*(1-IF(BK$12-$F50&lt;=12,SUMIFS('Attrition Modeling'!$D:$D,'Attrition Modeling'!$B:$B,$E50,'Attrition Modeling'!$C:$C,BK$11),VLOOKUP(RentalsVacates!BK$12-RentalsVacates!$F50-1,RentalsVacates!$A$8:$C$162,2,FALSE)*VLOOKUP(BK$11,'Attrition Modeling'!$L$15:$N$27,IF(BK$12-$F50&lt;=24,2,3),FALSE))*(1+IF('Traditional Attrition'!BK172&gt;0,'Attrition Modeling'!$N$9,0))),0))</f>
        <v>1642.1846705742507</v>
      </c>
      <c r="BL50" s="799">
        <f>IF(BL$12=$F50+1,IF(Monthly!BH$4=TRUE,0,BL$3),IF(BL$12&gt;$F50+1,RentalsVacates!BK50*(1-IF(BL$12-$F50&lt;=12,SUMIFS('Attrition Modeling'!$D:$D,'Attrition Modeling'!$B:$B,$E50,'Attrition Modeling'!$C:$C,BL$11),VLOOKUP(RentalsVacates!BL$12-RentalsVacates!$F50-1,RentalsVacates!$A$8:$C$162,2,FALSE)*VLOOKUP(BL$11,'Attrition Modeling'!$L$15:$N$27,IF(BL$12-$F50&lt;=24,2,3),FALSE))*(1+IF('Traditional Attrition'!BL172&gt;0,'Attrition Modeling'!$N$9,0))),0))</f>
        <v>1572.5052840657288</v>
      </c>
      <c r="BM50" s="799">
        <f>IF(BM$12=$F50+1,IF(Monthly!BI$4=TRUE,0,BM$3),IF(BM$12&gt;$F50+1,RentalsVacates!BL50*(1-IF(BM$12-$F50&lt;=12,SUMIFS('Attrition Modeling'!$D:$D,'Attrition Modeling'!$B:$B,$E50,'Attrition Modeling'!$C:$C,BM$11),VLOOKUP(RentalsVacates!BM$12-RentalsVacates!$F50-1,RentalsVacates!$A$8:$C$162,2,FALSE)*VLOOKUP(BM$11,'Attrition Modeling'!$L$15:$N$27,IF(BM$12-$F50&lt;=24,2,3),FALSE))*(1+IF('Traditional Attrition'!BM172&gt;0,'Attrition Modeling'!$N$9,0))),0))</f>
        <v>1505.404979791065</v>
      </c>
      <c r="BN50" s="799">
        <f>IF(BN$12=$F50+1,IF(Monthly!BJ$4=TRUE,0,BN$3),IF(BN$12&gt;$F50+1,RentalsVacates!BM50*(1-IF(BN$12-$F50&lt;=12,SUMIFS('Attrition Modeling'!$D:$D,'Attrition Modeling'!$B:$B,$E50,'Attrition Modeling'!$C:$C,BN$11),VLOOKUP(RentalsVacates!BN$12-RentalsVacates!$F50-1,RentalsVacates!$A$8:$C$162,2,FALSE)*VLOOKUP(BN$11,'Attrition Modeling'!$L$15:$N$27,IF(BN$12-$F50&lt;=24,2,3),FALSE))*(1+IF('Traditional Attrition'!BN172&gt;0,'Attrition Modeling'!$N$9,0))),0))</f>
        <v>1444.5702604404109</v>
      </c>
      <c r="BO50" s="799">
        <f>IF(BO$12=$F50+1,IF(Monthly!BK$4=TRUE,0,BO$3),IF(BO$12&gt;$F50+1,RentalsVacates!BN50*(1-IF(BO$12-$F50&lt;=12,SUMIFS('Attrition Modeling'!$D:$D,'Attrition Modeling'!$B:$B,$E50,'Attrition Modeling'!$C:$C,BO$11),VLOOKUP(RentalsVacates!BO$12-RentalsVacates!$F50-1,RentalsVacates!$A$8:$C$162,2,FALSE)*VLOOKUP(BO$11,'Attrition Modeling'!$L$15:$N$27,IF(BO$12-$F50&lt;=24,2,3),FALSE))*(1+IF('Traditional Attrition'!BO172&gt;0,'Attrition Modeling'!$N$9,0))),0))</f>
        <v>1387.6324477663131</v>
      </c>
      <c r="BP50" s="799">
        <f>IF(BP$12=$F50+1,IF(Monthly!BL$4=TRUE,0,BP$3),IF(BP$12&gt;$F50+1,RentalsVacates!BO50*(1-IF(BP$12-$F50&lt;=12,SUMIFS('Attrition Modeling'!$D:$D,'Attrition Modeling'!$B:$B,$E50,'Attrition Modeling'!$C:$C,BP$11),VLOOKUP(RentalsVacates!BP$12-RentalsVacates!$F50-1,RentalsVacates!$A$8:$C$162,2,FALSE)*VLOOKUP(BP$11,'Attrition Modeling'!$L$15:$N$27,IF(BP$12-$F50&lt;=24,2,3),FALSE))*(1+IF('Traditional Attrition'!BP172&gt;0,'Attrition Modeling'!$N$9,0))),0))</f>
        <v>1333.613834319119</v>
      </c>
      <c r="BQ50" s="799">
        <f>IF(BQ$12=$F50+1,IF(Monthly!BM$4=TRUE,0,BQ$3),IF(BQ$12&gt;$F50+1,RentalsVacates!BP50*(1-IF(BQ$12-$F50&lt;=12,SUMIFS('Attrition Modeling'!$D:$D,'Attrition Modeling'!$B:$B,$E50,'Attrition Modeling'!$C:$C,BQ$11),VLOOKUP(RentalsVacates!BQ$12-RentalsVacates!$F50-1,RentalsVacates!$A$8:$C$162,2,FALSE)*VLOOKUP(BQ$11,'Attrition Modeling'!$L$15:$N$27,IF(BQ$12-$F50&lt;=24,2,3),FALSE))*(1+IF('Traditional Attrition'!BQ172&gt;0,'Attrition Modeling'!$N$9,0))),0))</f>
        <v>1287.1110697881122</v>
      </c>
      <c r="BR50" s="799">
        <f>IF(BR$12=$F50+1,IF(Monthly!BN$4=TRUE,0,BR$3),IF(BR$12&gt;$F50+1,RentalsVacates!BQ50*(1-IF(BR$12-$F50&lt;=12,SUMIFS('Attrition Modeling'!$D:$D,'Attrition Modeling'!$B:$B,$E50,'Attrition Modeling'!$C:$C,BR$11),VLOOKUP(RentalsVacates!BR$12-RentalsVacates!$F50-1,RentalsVacates!$A$8:$C$162,2,FALSE)*VLOOKUP(BR$11,'Attrition Modeling'!$L$15:$N$27,IF(BR$12-$F50&lt;=24,2,3),FALSE))*(1+IF('Traditional Attrition'!BR172&gt;0,'Attrition Modeling'!$N$9,0))),0))</f>
        <v>1244.7152925073024</v>
      </c>
      <c r="BS50" s="799">
        <f>IF(BS$12=$F50+1,IF(Monthly!BO$4=TRUE,0,BS$3),IF(BS$12&gt;$F50+1,RentalsVacates!BR50*(1-IF(BS$12-$F50&lt;=12,SUMIFS('Attrition Modeling'!$D:$D,'Attrition Modeling'!$B:$B,$E50,'Attrition Modeling'!$C:$C,BS$11),VLOOKUP(RentalsVacates!BS$12-RentalsVacates!$F50-1,RentalsVacates!$A$8:$C$162,2,FALSE)*VLOOKUP(BS$11,'Attrition Modeling'!$L$15:$N$27,IF(BS$12-$F50&lt;=24,2,3),FALSE))*(1+IF('Traditional Attrition'!BS172&gt;0,'Attrition Modeling'!$N$9,0))),0))</f>
        <v>1212.5515470281628</v>
      </c>
      <c r="BT50" s="799">
        <f>IF(BT$11=$F49+1,IF(Monthly!#REF!=TRUE,0,BT$3),IF(BT$11&gt;$F49+1,RentalsVacates!BS49*(1-IF(BT$11-$F49&lt;=12,SUMIFS('Attrition Modeling'!$D:$D,'Attrition Modeling'!$B:$B,$E49,'Attrition Modeling'!$C:$C,BT$10),VLOOKUP(RentalsVacates!BT$11-RentalsVacates!$F49-1,RentalsVacates!$A$7:$C$161,2,FALSE)*VLOOKUP(BT$10,'Attrition Modeling'!$L$15:$N$27,IF(BT$11-$F49&lt;=24,2,3),FALSE))*(1+IF('Traditional Attrition'!BT172&gt;0,'Attrition Modeling'!$N$9,0))),0))</f>
        <v>0</v>
      </c>
      <c r="BU50" s="799">
        <f>IF(BU$11=$F49+1,IF(Monthly!#REF!=TRUE,0,BU$3),IF(BU$11&gt;$F49+1,RentalsVacates!BT49*(1-IF(BU$11-$F49&lt;=12,SUMIFS('Attrition Modeling'!$D:$D,'Attrition Modeling'!$B:$B,$E49,'Attrition Modeling'!$C:$C,BU$10),VLOOKUP(RentalsVacates!BU$11-RentalsVacates!$F49-1,RentalsVacates!$A$7:$C$161,2,FALSE)*VLOOKUP(BU$10,'Attrition Modeling'!$L$15:$N$27,IF(BU$11-$F49&lt;=24,2,3),FALSE))*(1+IF('Traditional Attrition'!BU172&gt;0,'Attrition Modeling'!$N$9,0))),0))</f>
        <v>0</v>
      </c>
    </row>
    <row r="51" spans="1:73" ht="14.25" customHeight="1" x14ac:dyDescent="0.2">
      <c r="A51" s="9">
        <v>43</v>
      </c>
      <c r="B51" s="25">
        <f>MAX('Attrition Modeling'!H47,$C$3)*(1-Summary!$C$20)</f>
        <v>2.7468891712509644E-2</v>
      </c>
      <c r="C51" s="24" t="e">
        <f t="shared" si="2"/>
        <v>#DIV/0!</v>
      </c>
      <c r="E51" s="11">
        <f>'Traditional Attrition'!E108</f>
        <v>2</v>
      </c>
      <c r="F51" s="11">
        <f t="shared" si="4"/>
        <v>38</v>
      </c>
      <c r="G51" s="799"/>
      <c r="H51" s="799">
        <f>IF(H$12=$F51+1,IF(Monthly!D$4=TRUE,0,H$3),IF(H$12&gt;$F51+1,RentalsVacates!G51*(1-IF(H$12-$F51&lt;=12,SUMIFS('Attrition Modeling'!$D:$D,'Attrition Modeling'!$B:$B,$E51,'Attrition Modeling'!$C:$C,H$11),VLOOKUP(RentalsVacates!H$12-RentalsVacates!$F51-1,RentalsVacates!$A$8:$C$162,2,FALSE)*VLOOKUP(H$11,'Attrition Modeling'!$L$15:$N$27,IF(H$12-$F51&lt;=24,2,3),FALSE))*(1+IF('Traditional Attrition'!H173&gt;0,'Attrition Modeling'!$N$9,0))),0))</f>
        <v>0</v>
      </c>
      <c r="I51" s="799">
        <f>IF(I$12=$F51+1,IF(Monthly!E$4=TRUE,0,I$3),IF(I$12&gt;$F51+1,RentalsVacates!H51*(1-IF(I$12-$F51&lt;=12,SUMIFS('Attrition Modeling'!$D:$D,'Attrition Modeling'!$B:$B,$E51,'Attrition Modeling'!$C:$C,I$11),VLOOKUP(RentalsVacates!I$12-RentalsVacates!$F51-1,RentalsVacates!$A$8:$C$162,2,FALSE)*VLOOKUP(I$11,'Attrition Modeling'!$L$15:$N$27,IF(I$12-$F51&lt;=24,2,3),FALSE))*(1+IF('Traditional Attrition'!I173&gt;0,'Attrition Modeling'!$N$9,0))),0))</f>
        <v>0</v>
      </c>
      <c r="J51" s="799">
        <f>IF(J$12=$F51+1,IF(Monthly!F$4=TRUE,0,J$3),IF(J$12&gt;$F51+1,RentalsVacates!I51*(1-IF(J$12-$F51&lt;=12,SUMIFS('Attrition Modeling'!$D:$D,'Attrition Modeling'!$B:$B,$E51,'Attrition Modeling'!$C:$C,J$11),VLOOKUP(RentalsVacates!J$12-RentalsVacates!$F51-1,RentalsVacates!$A$8:$C$162,2,FALSE)*VLOOKUP(J$11,'Attrition Modeling'!$L$15:$N$27,IF(J$12-$F51&lt;=24,2,3),FALSE))*(1+IF('Traditional Attrition'!J173&gt;0,'Attrition Modeling'!$N$9,0))),0))</f>
        <v>0</v>
      </c>
      <c r="K51" s="799">
        <f>IF(K$12=$F51+1,IF(Monthly!G$4=TRUE,0,K$3),IF(K$12&gt;$F51+1,RentalsVacates!J51*(1-IF(K$12-$F51&lt;=12,SUMIFS('Attrition Modeling'!$D:$D,'Attrition Modeling'!$B:$B,$E51,'Attrition Modeling'!$C:$C,K$11),VLOOKUP(RentalsVacates!K$12-RentalsVacates!$F51-1,RentalsVacates!$A$8:$C$162,2,FALSE)*VLOOKUP(K$11,'Attrition Modeling'!$L$15:$N$27,IF(K$12-$F51&lt;=24,2,3),FALSE))*(1+IF('Traditional Attrition'!K173&gt;0,'Attrition Modeling'!$N$9,0))),0))</f>
        <v>0</v>
      </c>
      <c r="L51" s="799">
        <f>IF(L$12=$F51+1,IF(Monthly!H$4=TRUE,0,L$3),IF(L$12&gt;$F51+1,RentalsVacates!K51*(1-IF(L$12-$F51&lt;=12,SUMIFS('Attrition Modeling'!$D:$D,'Attrition Modeling'!$B:$B,$E51,'Attrition Modeling'!$C:$C,L$11),VLOOKUP(RentalsVacates!L$12-RentalsVacates!$F51-1,RentalsVacates!$A$8:$C$162,2,FALSE)*VLOOKUP(L$11,'Attrition Modeling'!$L$15:$N$27,IF(L$12-$F51&lt;=24,2,3),FALSE))*(1+IF('Traditional Attrition'!L173&gt;0,'Attrition Modeling'!$N$9,0))),0))</f>
        <v>0</v>
      </c>
      <c r="M51" s="799">
        <f>IF(M$12=$F51+1,IF(Monthly!I$4=TRUE,0,M$3),IF(M$12&gt;$F51+1,RentalsVacates!L51*(1-IF(M$12-$F51&lt;=12,SUMIFS('Attrition Modeling'!$D:$D,'Attrition Modeling'!$B:$B,$E51,'Attrition Modeling'!$C:$C,M$11),VLOOKUP(RentalsVacates!M$12-RentalsVacates!$F51-1,RentalsVacates!$A$8:$C$162,2,FALSE)*VLOOKUP(M$11,'Attrition Modeling'!$L$15:$N$27,IF(M$12-$F51&lt;=24,2,3),FALSE))*(1+IF('Traditional Attrition'!M173&gt;0,'Attrition Modeling'!$N$9,0))),0))</f>
        <v>0</v>
      </c>
      <c r="N51" s="799">
        <f>IF(N$12=$F51+1,IF(Monthly!J$4=TRUE,0,N$3),IF(N$12&gt;$F51+1,RentalsVacates!M51*(1-IF(N$12-$F51&lt;=12,SUMIFS('Attrition Modeling'!$D:$D,'Attrition Modeling'!$B:$B,$E51,'Attrition Modeling'!$C:$C,N$11),VLOOKUP(RentalsVacates!N$12-RentalsVacates!$F51-1,RentalsVacates!$A$8:$C$162,2,FALSE)*VLOOKUP(N$11,'Attrition Modeling'!$L$15:$N$27,IF(N$12-$F51&lt;=24,2,3),FALSE))*(1+IF('Traditional Attrition'!N173&gt;0,'Attrition Modeling'!$N$9,0))),0))</f>
        <v>0</v>
      </c>
      <c r="O51" s="799">
        <f>IF(O$12=$F51+1,IF(Monthly!K$4=TRUE,0,O$3),IF(O$12&gt;$F51+1,RentalsVacates!N51*(1-IF(O$12-$F51&lt;=12,SUMIFS('Attrition Modeling'!$D:$D,'Attrition Modeling'!$B:$B,$E51,'Attrition Modeling'!$C:$C,O$11),VLOOKUP(RentalsVacates!O$12-RentalsVacates!$F51-1,RentalsVacates!$A$8:$C$162,2,FALSE)*VLOOKUP(O$11,'Attrition Modeling'!$L$15:$N$27,IF(O$12-$F51&lt;=24,2,3),FALSE))*(1+IF('Traditional Attrition'!O173&gt;0,'Attrition Modeling'!$N$9,0))),0))</f>
        <v>0</v>
      </c>
      <c r="P51" s="799">
        <f>IF(P$12=$F51+1,IF(Monthly!L$4=TRUE,0,P$3),IF(P$12&gt;$F51+1,RentalsVacates!O51*(1-IF(P$12-$F51&lt;=12,SUMIFS('Attrition Modeling'!$D:$D,'Attrition Modeling'!$B:$B,$E51,'Attrition Modeling'!$C:$C,P$11),VLOOKUP(RentalsVacates!P$12-RentalsVacates!$F51-1,RentalsVacates!$A$8:$C$162,2,FALSE)*VLOOKUP(P$11,'Attrition Modeling'!$L$15:$N$27,IF(P$12-$F51&lt;=24,2,3),FALSE))*(1+IF('Traditional Attrition'!P173&gt;0,'Attrition Modeling'!$N$9,0))),0))</f>
        <v>0</v>
      </c>
      <c r="Q51" s="799">
        <f>IF(Q$12=$F51+1,IF(Monthly!M$4=TRUE,0,Q$3),IF(Q$12&gt;$F51+1,RentalsVacates!P51*(1-IF(Q$12-$F51&lt;=12,SUMIFS('Attrition Modeling'!$D:$D,'Attrition Modeling'!$B:$B,$E51,'Attrition Modeling'!$C:$C,Q$11),VLOOKUP(RentalsVacates!Q$12-RentalsVacates!$F51-1,RentalsVacates!$A$8:$C$162,2,FALSE)*VLOOKUP(Q$11,'Attrition Modeling'!$L$15:$N$27,IF(Q$12-$F51&lt;=24,2,3),FALSE))*(1+IF('Traditional Attrition'!Q173&gt;0,'Attrition Modeling'!$N$9,0))),0))</f>
        <v>0</v>
      </c>
      <c r="R51" s="799">
        <f>IF(R$12=$F51+1,IF(Monthly!N$4=TRUE,0,R$3),IF(R$12&gt;$F51+1,RentalsVacates!Q51*(1-IF(R$12-$F51&lt;=12,SUMIFS('Attrition Modeling'!$D:$D,'Attrition Modeling'!$B:$B,$E51,'Attrition Modeling'!$C:$C,R$11),VLOOKUP(RentalsVacates!R$12-RentalsVacates!$F51-1,RentalsVacates!$A$8:$C$162,2,FALSE)*VLOOKUP(R$11,'Attrition Modeling'!$L$15:$N$27,IF(R$12-$F51&lt;=24,2,3),FALSE))*(1+IF('Traditional Attrition'!R173&gt;0,'Attrition Modeling'!$N$9,0))),0))</f>
        <v>0</v>
      </c>
      <c r="S51" s="799">
        <f>IF(S$12=$F51+1,IF(Monthly!O$4=TRUE,0,S$3),IF(S$12&gt;$F51+1,RentalsVacates!R51*(1-IF(S$12-$F51&lt;=12,SUMIFS('Attrition Modeling'!$D:$D,'Attrition Modeling'!$B:$B,$E51,'Attrition Modeling'!$C:$C,S$11),VLOOKUP(RentalsVacates!S$12-RentalsVacates!$F51-1,RentalsVacates!$A$8:$C$162,2,FALSE)*VLOOKUP(S$11,'Attrition Modeling'!$L$15:$N$27,IF(S$12-$F51&lt;=24,2,3),FALSE))*(1+IF('Traditional Attrition'!S173&gt;0,'Attrition Modeling'!$N$9,0))),0))</f>
        <v>0</v>
      </c>
      <c r="T51" s="799">
        <f>IF(T$12=$F51+1,IF(Monthly!P$4=TRUE,0,T$3),IF(T$12&gt;$F51+1,RentalsVacates!S51*(1-IF(T$12-$F51&lt;=12,SUMIFS('Attrition Modeling'!$D:$D,'Attrition Modeling'!$B:$B,$E51,'Attrition Modeling'!$C:$C,T$11),VLOOKUP(RentalsVacates!T$12-RentalsVacates!$F51-1,RentalsVacates!$A$8:$C$162,2,FALSE)*VLOOKUP(T$11,'Attrition Modeling'!$L$15:$N$27,IF(T$12-$F51&lt;=24,2,3),FALSE))*(1+IF('Traditional Attrition'!T173&gt;0,'Attrition Modeling'!$N$9,0))),0))</f>
        <v>0</v>
      </c>
      <c r="U51" s="799">
        <f>IF(U$12=$F51+1,IF(Monthly!Q$4=TRUE,0,U$3),IF(U$12&gt;$F51+1,RentalsVacates!T51*(1-IF(U$12-$F51&lt;=12,SUMIFS('Attrition Modeling'!$D:$D,'Attrition Modeling'!$B:$B,$E51,'Attrition Modeling'!$C:$C,U$11),VLOOKUP(RentalsVacates!U$12-RentalsVacates!$F51-1,RentalsVacates!$A$8:$C$162,2,FALSE)*VLOOKUP(U$11,'Attrition Modeling'!$L$15:$N$27,IF(U$12-$F51&lt;=24,2,3),FALSE))*(1+IF('Traditional Attrition'!U173&gt;0,'Attrition Modeling'!$N$9,0))),0))</f>
        <v>0</v>
      </c>
      <c r="V51" s="799">
        <f>IF(V$12=$F51+1,IF(Monthly!R$4=TRUE,0,V$3),IF(V$12&gt;$F51+1,RentalsVacates!U51*(1-IF(V$12-$F51&lt;=12,SUMIFS('Attrition Modeling'!$D:$D,'Attrition Modeling'!$B:$B,$E51,'Attrition Modeling'!$C:$C,V$11),VLOOKUP(RentalsVacates!V$12-RentalsVacates!$F51-1,RentalsVacates!$A$8:$C$162,2,FALSE)*VLOOKUP(V$11,'Attrition Modeling'!$L$15:$N$27,IF(V$12-$F51&lt;=24,2,3),FALSE))*(1+IF('Traditional Attrition'!V173&gt;0,'Attrition Modeling'!$N$9,0))),0))</f>
        <v>0</v>
      </c>
      <c r="W51" s="799">
        <f>IF(W$12=$F51+1,IF(Monthly!S$4=TRUE,0,W$3),IF(W$12&gt;$F51+1,RentalsVacates!V51*(1-IF(W$12-$F51&lt;=12,SUMIFS('Attrition Modeling'!$D:$D,'Attrition Modeling'!$B:$B,$E51,'Attrition Modeling'!$C:$C,W$11),VLOOKUP(RentalsVacates!W$12-RentalsVacates!$F51-1,RentalsVacates!$A$8:$C$162,2,FALSE)*VLOOKUP(W$11,'Attrition Modeling'!$L$15:$N$27,IF(W$12-$F51&lt;=24,2,3),FALSE))*(1+IF('Traditional Attrition'!W173&gt;0,'Attrition Modeling'!$N$9,0))),0))</f>
        <v>0</v>
      </c>
      <c r="X51" s="799">
        <f>IF(X$12=$F51+1,IF(Monthly!T$4=TRUE,0,X$3),IF(X$12&gt;$F51+1,RentalsVacates!W51*(1-IF(X$12-$F51&lt;=12,SUMIFS('Attrition Modeling'!$D:$D,'Attrition Modeling'!$B:$B,$E51,'Attrition Modeling'!$C:$C,X$11),VLOOKUP(RentalsVacates!X$12-RentalsVacates!$F51-1,RentalsVacates!$A$8:$C$162,2,FALSE)*VLOOKUP(X$11,'Attrition Modeling'!$L$15:$N$27,IF(X$12-$F51&lt;=24,2,3),FALSE))*(1+IF('Traditional Attrition'!X173&gt;0,'Attrition Modeling'!$N$9,0))),0))</f>
        <v>0</v>
      </c>
      <c r="Y51" s="799">
        <f>IF(Y$12=$F51+1,IF(Monthly!U$4=TRUE,0,Y$3),IF(Y$12&gt;$F51+1,RentalsVacates!X51*(1-IF(Y$12-$F51&lt;=12,SUMIFS('Attrition Modeling'!$D:$D,'Attrition Modeling'!$B:$B,$E51,'Attrition Modeling'!$C:$C,Y$11),VLOOKUP(RentalsVacates!Y$12-RentalsVacates!$F51-1,RentalsVacates!$A$8:$C$162,2,FALSE)*VLOOKUP(Y$11,'Attrition Modeling'!$L$15:$N$27,IF(Y$12-$F51&lt;=24,2,3),FALSE))*(1+IF('Traditional Attrition'!Y173&gt;0,'Attrition Modeling'!$N$9,0))),0))</f>
        <v>0</v>
      </c>
      <c r="Z51" s="799">
        <f>IF(Z$12=$F51+1,IF(Monthly!V$4=TRUE,0,Z$3),IF(Z$12&gt;$F51+1,RentalsVacates!Y51*(1-IF(Z$12-$F51&lt;=12,SUMIFS('Attrition Modeling'!$D:$D,'Attrition Modeling'!$B:$B,$E51,'Attrition Modeling'!$C:$C,Z$11),VLOOKUP(RentalsVacates!Z$12-RentalsVacates!$F51-1,RentalsVacates!$A$8:$C$162,2,FALSE)*VLOOKUP(Z$11,'Attrition Modeling'!$L$15:$N$27,IF(Z$12-$F51&lt;=24,2,3),FALSE))*(1+IF('Traditional Attrition'!Z173&gt;0,'Attrition Modeling'!$N$9,0))),0))</f>
        <v>0</v>
      </c>
      <c r="AA51" s="799">
        <f>IF(AA$12=$F51+1,IF(Monthly!W$4=TRUE,0,AA$3),IF(AA$12&gt;$F51+1,RentalsVacates!Z51*(1-IF(AA$12-$F51&lt;=12,SUMIFS('Attrition Modeling'!$D:$D,'Attrition Modeling'!$B:$B,$E51,'Attrition Modeling'!$C:$C,AA$11),VLOOKUP(RentalsVacates!AA$12-RentalsVacates!$F51-1,RentalsVacates!$A$8:$C$162,2,FALSE)*VLOOKUP(AA$11,'Attrition Modeling'!$L$15:$N$27,IF(AA$12-$F51&lt;=24,2,3),FALSE))*(1+IF('Traditional Attrition'!AA173&gt;0,'Attrition Modeling'!$N$9,0))),0))</f>
        <v>0</v>
      </c>
      <c r="AB51" s="799">
        <f>IF(AB$12=$F51+1,IF(Monthly!X$4=TRUE,0,AB$3),IF(AB$12&gt;$F51+1,RentalsVacates!AA51*(1-IF(AB$12-$F51&lt;=12,SUMIFS('Attrition Modeling'!$D:$D,'Attrition Modeling'!$B:$B,$E51,'Attrition Modeling'!$C:$C,AB$11),VLOOKUP(RentalsVacates!AB$12-RentalsVacates!$F51-1,RentalsVacates!$A$8:$C$162,2,FALSE)*VLOOKUP(AB$11,'Attrition Modeling'!$L$15:$N$27,IF(AB$12-$F51&lt;=24,2,3),FALSE))*(1+IF('Traditional Attrition'!AB173&gt;0,'Attrition Modeling'!$N$9,0))),0))</f>
        <v>0</v>
      </c>
      <c r="AC51" s="799">
        <f>IF(AC$12=$F51+1,IF(Monthly!Y$4=TRUE,0,AC$3),IF(AC$12&gt;$F51+1,RentalsVacates!AB51*(1-IF(AC$12-$F51&lt;=12,SUMIFS('Attrition Modeling'!$D:$D,'Attrition Modeling'!$B:$B,$E51,'Attrition Modeling'!$C:$C,AC$11),VLOOKUP(RentalsVacates!AC$12-RentalsVacates!$F51-1,RentalsVacates!$A$8:$C$162,2,FALSE)*VLOOKUP(AC$11,'Attrition Modeling'!$L$15:$N$27,IF(AC$12-$F51&lt;=24,2,3),FALSE))*(1+IF('Traditional Attrition'!AC173&gt;0,'Attrition Modeling'!$N$9,0))),0))</f>
        <v>0</v>
      </c>
      <c r="AD51" s="799">
        <f>IF(AD$12=$F51+1,IF(Monthly!Z$4=TRUE,0,AD$3),IF(AD$12&gt;$F51+1,RentalsVacates!AC51*(1-IF(AD$12-$F51&lt;=12,SUMIFS('Attrition Modeling'!$D:$D,'Attrition Modeling'!$B:$B,$E51,'Attrition Modeling'!$C:$C,AD$11),VLOOKUP(RentalsVacates!AD$12-RentalsVacates!$F51-1,RentalsVacates!$A$8:$C$162,2,FALSE)*VLOOKUP(AD$11,'Attrition Modeling'!$L$15:$N$27,IF(AD$12-$F51&lt;=24,2,3),FALSE))*(1+IF('Traditional Attrition'!AD173&gt;0,'Attrition Modeling'!$N$9,0))),0))</f>
        <v>0</v>
      </c>
      <c r="AE51" s="799">
        <f>IF(AE$12=$F51+1,IF(Monthly!AA$4=TRUE,0,AE$3),IF(AE$12&gt;$F51+1,RentalsVacates!AD51*(1-IF(AE$12-$F51&lt;=12,SUMIFS('Attrition Modeling'!$D:$D,'Attrition Modeling'!$B:$B,$E51,'Attrition Modeling'!$C:$C,AE$11),VLOOKUP(RentalsVacates!AE$12-RentalsVacates!$F51-1,RentalsVacates!$A$8:$C$162,2,FALSE)*VLOOKUP(AE$11,'Attrition Modeling'!$L$15:$N$27,IF(AE$12-$F51&lt;=24,2,3),FALSE))*(1+IF('Traditional Attrition'!AE173&gt;0,'Attrition Modeling'!$N$9,0))),0))</f>
        <v>0</v>
      </c>
      <c r="AF51" s="799">
        <f>IF(AF$12=$F51+1,IF(Monthly!AB$4=TRUE,0,AF$3),IF(AF$12&gt;$F51+1,RentalsVacates!AE51*(1-IF(AF$12-$F51&lt;=12,SUMIFS('Attrition Modeling'!$D:$D,'Attrition Modeling'!$B:$B,$E51,'Attrition Modeling'!$C:$C,AF$11),VLOOKUP(RentalsVacates!AF$12-RentalsVacates!$F51-1,RentalsVacates!$A$8:$C$162,2,FALSE)*VLOOKUP(AF$11,'Attrition Modeling'!$L$15:$N$27,IF(AF$12-$F51&lt;=24,2,3),FALSE))*(1+IF('Traditional Attrition'!AF173&gt;0,'Attrition Modeling'!$N$9,0))),0))</f>
        <v>0</v>
      </c>
      <c r="AG51" s="799">
        <f>IF(AG$12=$F51+1,IF(Monthly!AC$4=TRUE,0,AG$3),IF(AG$12&gt;$F51+1,RentalsVacates!AF51*(1-IF(AG$12-$F51&lt;=12,SUMIFS('Attrition Modeling'!$D:$D,'Attrition Modeling'!$B:$B,$E51,'Attrition Modeling'!$C:$C,AG$11),VLOOKUP(RentalsVacates!AG$12-RentalsVacates!$F51-1,RentalsVacates!$A$8:$C$162,2,FALSE)*VLOOKUP(AG$11,'Attrition Modeling'!$L$15:$N$27,IF(AG$12-$F51&lt;=24,2,3),FALSE))*(1+IF('Traditional Attrition'!AG173&gt;0,'Attrition Modeling'!$N$9,0))),0))</f>
        <v>0</v>
      </c>
      <c r="AH51" s="799">
        <f>IF(AH$12=$F51+1,IF(Monthly!AD$4=TRUE,0,AH$3),IF(AH$12&gt;$F51+1,RentalsVacates!AG51*(1-IF(AH$12-$F51&lt;=12,SUMIFS('Attrition Modeling'!$D:$D,'Attrition Modeling'!$B:$B,$E51,'Attrition Modeling'!$C:$C,AH$11),VLOOKUP(RentalsVacates!AH$12-RentalsVacates!$F51-1,RentalsVacates!$A$8:$C$162,2,FALSE)*VLOOKUP(AH$11,'Attrition Modeling'!$L$15:$N$27,IF(AH$12-$F51&lt;=24,2,3),FALSE))*(1+IF('Traditional Attrition'!AH173&gt;0,'Attrition Modeling'!$N$9,0))),0))</f>
        <v>0</v>
      </c>
      <c r="AI51" s="799">
        <f>IF(AI$12=$F51+1,IF(Monthly!AE$4=TRUE,0,AI$3),IF(AI$12&gt;$F51+1,RentalsVacates!AH51*(1-IF(AI$12-$F51&lt;=12,SUMIFS('Attrition Modeling'!$D:$D,'Attrition Modeling'!$B:$B,$E51,'Attrition Modeling'!$C:$C,AI$11),VLOOKUP(RentalsVacates!AI$12-RentalsVacates!$F51-1,RentalsVacates!$A$8:$C$162,2,FALSE)*VLOOKUP(AI$11,'Attrition Modeling'!$L$15:$N$27,IF(AI$12-$F51&lt;=24,2,3),FALSE))*(1+IF('Traditional Attrition'!AI173&gt;0,'Attrition Modeling'!$N$9,0))),0))</f>
        <v>0</v>
      </c>
      <c r="AJ51" s="799">
        <f>IF(AJ$12=$F51+1,IF(Monthly!AF$4=TRUE,0,AJ$3),IF(AJ$12&gt;$F51+1,RentalsVacates!AI51*(1-IF(AJ$12-$F51&lt;=12,SUMIFS('Attrition Modeling'!$D:$D,'Attrition Modeling'!$B:$B,$E51,'Attrition Modeling'!$C:$C,AJ$11),VLOOKUP(RentalsVacates!AJ$12-RentalsVacates!$F51-1,RentalsVacates!$A$8:$C$162,2,FALSE)*VLOOKUP(AJ$11,'Attrition Modeling'!$L$15:$N$27,IF(AJ$12-$F51&lt;=24,2,3),FALSE))*(1+IF('Traditional Attrition'!AJ173&gt;0,'Attrition Modeling'!$N$9,0))),0))</f>
        <v>0</v>
      </c>
      <c r="AK51" s="799">
        <f>IF(AK$12=$F51+1,IF(Monthly!AG$4=TRUE,0,AK$3),IF(AK$12&gt;$F51+1,RentalsVacates!AJ51*(1-IF(AK$12-$F51&lt;=12,SUMIFS('Attrition Modeling'!$D:$D,'Attrition Modeling'!$B:$B,$E51,'Attrition Modeling'!$C:$C,AK$11),VLOOKUP(RentalsVacates!AK$12-RentalsVacates!$F51-1,RentalsVacates!$A$8:$C$162,2,FALSE)*VLOOKUP(AK$11,'Attrition Modeling'!$L$15:$N$27,IF(AK$12-$F51&lt;=24,2,3),FALSE))*(1+IF('Traditional Attrition'!AK173&gt;0,'Attrition Modeling'!$N$9,0))),0))</f>
        <v>0</v>
      </c>
      <c r="AL51" s="799">
        <f>IF(AL$12=$F51+1,IF(Monthly!AH$4=TRUE,0,AL$3),IF(AL$12&gt;$F51+1,RentalsVacates!AK51*(1-IF(AL$12-$F51&lt;=12,SUMIFS('Attrition Modeling'!$D:$D,'Attrition Modeling'!$B:$B,$E51,'Attrition Modeling'!$C:$C,AL$11),VLOOKUP(RentalsVacates!AL$12-RentalsVacates!$F51-1,RentalsVacates!$A$8:$C$162,2,FALSE)*VLOOKUP(AL$11,'Attrition Modeling'!$L$15:$N$27,IF(AL$12-$F51&lt;=24,2,3),FALSE))*(1+IF('Traditional Attrition'!AL173&gt;0,'Attrition Modeling'!$N$9,0))),0))</f>
        <v>0</v>
      </c>
      <c r="AM51" s="799">
        <f>IF(AM$12=$F51+1,IF(Monthly!AI$4=TRUE,0,AM$3),IF(AM$12&gt;$F51+1,RentalsVacates!AL51*(1-IF(AM$12-$F51&lt;=12,SUMIFS('Attrition Modeling'!$D:$D,'Attrition Modeling'!$B:$B,$E51,'Attrition Modeling'!$C:$C,AM$11),VLOOKUP(RentalsVacates!AM$12-RentalsVacates!$F51-1,RentalsVacates!$A$8:$C$162,2,FALSE)*VLOOKUP(AM$11,'Attrition Modeling'!$L$15:$N$27,IF(AM$12-$F51&lt;=24,2,3),FALSE))*(1+IF('Traditional Attrition'!AM173&gt;0,'Attrition Modeling'!$N$9,0))),0))</f>
        <v>0</v>
      </c>
      <c r="AN51" s="799">
        <f>IF(AN$12=$F51+1,IF(Monthly!AJ$4=TRUE,0,AN$3),IF(AN$12&gt;$F51+1,RentalsVacates!AM51*(1-IF(AN$12-$F51&lt;=12,SUMIFS('Attrition Modeling'!$D:$D,'Attrition Modeling'!$B:$B,$E51,'Attrition Modeling'!$C:$C,AN$11),VLOOKUP(RentalsVacates!AN$12-RentalsVacates!$F51-1,RentalsVacates!$A$8:$C$162,2,FALSE)*VLOOKUP(AN$11,'Attrition Modeling'!$L$15:$N$27,IF(AN$12-$F51&lt;=24,2,3),FALSE))*(1+IF('Traditional Attrition'!AN173&gt;0,'Attrition Modeling'!$N$9,0))),0))</f>
        <v>0</v>
      </c>
      <c r="AO51" s="799">
        <f>IF(AO$12=$F51+1,IF(Monthly!AK$4=TRUE,0,AO$3),IF(AO$12&gt;$F51+1,RentalsVacates!AN51*(1-IF(AO$12-$F51&lt;=12,SUMIFS('Attrition Modeling'!$D:$D,'Attrition Modeling'!$B:$B,$E51,'Attrition Modeling'!$C:$C,AO$11),VLOOKUP(RentalsVacates!AO$12-RentalsVacates!$F51-1,RentalsVacates!$A$8:$C$162,2,FALSE)*VLOOKUP(AO$11,'Attrition Modeling'!$L$15:$N$27,IF(AO$12-$F51&lt;=24,2,3),FALSE))*(1+IF('Traditional Attrition'!AO173&gt;0,'Attrition Modeling'!$N$9,0))),0))</f>
        <v>0</v>
      </c>
      <c r="AP51" s="799">
        <f>IF(AP$12=$F51+1,IF(Monthly!AL$4=TRUE,0,AP$3),IF(AP$12&gt;$F51+1,RentalsVacates!AO51*(1-IF(AP$12-$F51&lt;=12,SUMIFS('Attrition Modeling'!$D:$D,'Attrition Modeling'!$B:$B,$E51,'Attrition Modeling'!$C:$C,AP$11),VLOOKUP(RentalsVacates!AP$12-RentalsVacates!$F51-1,RentalsVacates!$A$8:$C$162,2,FALSE)*VLOOKUP(AP$11,'Attrition Modeling'!$L$15:$N$27,IF(AP$12-$F51&lt;=24,2,3),FALSE))*(1+IF('Traditional Attrition'!AP173&gt;0,'Attrition Modeling'!$N$9,0))),0))</f>
        <v>0</v>
      </c>
      <c r="AQ51" s="799">
        <f>IF(AQ$12=$F51+1,IF(Monthly!AM$4=TRUE,0,AQ$3),IF(AQ$12&gt;$F51+1,RentalsVacates!AP51*(1-IF(AQ$12-$F51&lt;=12,SUMIFS('Attrition Modeling'!$D:$D,'Attrition Modeling'!$B:$B,$E51,'Attrition Modeling'!$C:$C,AQ$11),VLOOKUP(RentalsVacates!AQ$12-RentalsVacates!$F51-1,RentalsVacates!$A$8:$C$162,2,FALSE)*VLOOKUP(AQ$11,'Attrition Modeling'!$L$15:$N$27,IF(AQ$12-$F51&lt;=24,2,3),FALSE))*(1+IF('Traditional Attrition'!AQ173&gt;0,'Attrition Modeling'!$N$9,0))),0))</f>
        <v>0</v>
      </c>
      <c r="AR51" s="799">
        <f>IF(AR$12=$F51+1,IF(Monthly!AN$4=TRUE,0,AR$3),IF(AR$12&gt;$F51+1,RentalsVacates!AQ51*(1-IF(AR$12-$F51&lt;=12,SUMIFS('Attrition Modeling'!$D:$D,'Attrition Modeling'!$B:$B,$E51,'Attrition Modeling'!$C:$C,AR$11),VLOOKUP(RentalsVacates!AR$12-RentalsVacates!$F51-1,RentalsVacates!$A$8:$C$162,2,FALSE)*VLOOKUP(AR$11,'Attrition Modeling'!$L$15:$N$27,IF(AR$12-$F51&lt;=24,2,3),FALSE))*(1+IF('Traditional Attrition'!AR173&gt;0,'Attrition Modeling'!$N$9,0))),0))</f>
        <v>0</v>
      </c>
      <c r="AS51" s="799">
        <f>IF(AS$12=$F51+1,IF(Monthly!AO$4=TRUE,0,AS$3),IF(AS$12&gt;$F51+1,RentalsVacates!AR51*(1-IF(AS$12-$F51&lt;=12,SUMIFS('Attrition Modeling'!$D:$D,'Attrition Modeling'!$B:$B,$E51,'Attrition Modeling'!$C:$C,AS$11),VLOOKUP(RentalsVacates!AS$12-RentalsVacates!$F51-1,RentalsVacates!$A$8:$C$162,2,FALSE)*VLOOKUP(AS$11,'Attrition Modeling'!$L$15:$N$27,IF(AS$12-$F51&lt;=24,2,3),FALSE))*(1+IF('Traditional Attrition'!AS173&gt;0,'Attrition Modeling'!$N$9,0))),0))</f>
        <v>0</v>
      </c>
      <c r="AT51" s="799">
        <f>IF(AT$12=$F51+1,IF(Monthly!AP$4=TRUE,0,AT$3),IF(AT$12&gt;$F51+1,RentalsVacates!AS51*(1-IF(AT$12-$F51&lt;=12,SUMIFS('Attrition Modeling'!$D:$D,'Attrition Modeling'!$B:$B,$E51,'Attrition Modeling'!$C:$C,AT$11),VLOOKUP(RentalsVacates!AT$12-RentalsVacates!$F51-1,RentalsVacates!$A$8:$C$162,2,FALSE)*VLOOKUP(AT$11,'Attrition Modeling'!$L$15:$N$27,IF(AT$12-$F51&lt;=24,2,3),FALSE))*(1+IF('Traditional Attrition'!AT173&gt;0,'Attrition Modeling'!$N$9,0))),0))</f>
        <v>6108.3303171303851</v>
      </c>
      <c r="AU51" s="799">
        <f>IF(AU$12=$F51+1,IF(Monthly!AQ$4=TRUE,0,AU$3),IF(AU$12&gt;$F51+1,RentalsVacates!AT51*(1-IF(AU$12-$F51&lt;=12,SUMIFS('Attrition Modeling'!$D:$D,'Attrition Modeling'!$B:$B,$E51,'Attrition Modeling'!$C:$C,AU$11),VLOOKUP(RentalsVacates!AU$12-RentalsVacates!$F51-1,RentalsVacates!$A$8:$C$162,2,FALSE)*VLOOKUP(AU$11,'Attrition Modeling'!$L$15:$N$27,IF(AU$12-$F51&lt;=24,2,3),FALSE))*(1+IF('Traditional Attrition'!AU173&gt;0,'Attrition Modeling'!$N$9,0))),0))</f>
        <v>5513.4045992292176</v>
      </c>
      <c r="AV51" s="799">
        <f>IF(AV$12=$F51+1,IF(Monthly!AR$4=TRUE,0,AV$3),IF(AV$12&gt;$F51+1,RentalsVacates!AU51*(1-IF(AV$12-$F51&lt;=12,SUMIFS('Attrition Modeling'!$D:$D,'Attrition Modeling'!$B:$B,$E51,'Attrition Modeling'!$C:$C,AV$11),VLOOKUP(RentalsVacates!AV$12-RentalsVacates!$F51-1,RentalsVacates!$A$8:$C$162,2,FALSE)*VLOOKUP(AV$11,'Attrition Modeling'!$L$15:$N$27,IF(AV$12-$F51&lt;=24,2,3),FALSE))*(1+IF('Traditional Attrition'!AV173&gt;0,'Attrition Modeling'!$N$9,0))),0))</f>
        <v>5043.0344403229437</v>
      </c>
      <c r="AW51" s="799">
        <f>IF(AW$12=$F51+1,IF(Monthly!AS$4=TRUE,0,AW$3),IF(AW$12&gt;$F51+1,RentalsVacates!AV51*(1-IF(AW$12-$F51&lt;=12,SUMIFS('Attrition Modeling'!$D:$D,'Attrition Modeling'!$B:$B,$E51,'Attrition Modeling'!$C:$C,AW$11),VLOOKUP(RentalsVacates!AW$12-RentalsVacates!$F51-1,RentalsVacates!$A$8:$C$162,2,FALSE)*VLOOKUP(AW$11,'Attrition Modeling'!$L$15:$N$27,IF(AW$12-$F51&lt;=24,2,3),FALSE))*(1+IF('Traditional Attrition'!AW173&gt;0,'Attrition Modeling'!$N$9,0))),0))</f>
        <v>4574.4017405063523</v>
      </c>
      <c r="AX51" s="799">
        <f>IF(AX$12=$F51+1,IF(Monthly!AT$4=TRUE,0,AX$3),IF(AX$12&gt;$F51+1,RentalsVacates!AW51*(1-IF(AX$12-$F51&lt;=12,SUMIFS('Attrition Modeling'!$D:$D,'Attrition Modeling'!$B:$B,$E51,'Attrition Modeling'!$C:$C,AX$11),VLOOKUP(RentalsVacates!AX$12-RentalsVacates!$F51-1,RentalsVacates!$A$8:$C$162,2,FALSE)*VLOOKUP(AX$11,'Attrition Modeling'!$L$15:$N$27,IF(AX$12-$F51&lt;=24,2,3),FALSE))*(1+IF('Traditional Attrition'!AX173&gt;0,'Attrition Modeling'!$N$9,0))),0))</f>
        <v>4202.8116511206699</v>
      </c>
      <c r="AY51" s="799">
        <f>IF(AY$12=$F51+1,IF(Monthly!AU$4=TRUE,0,AY$3),IF(AY$12&gt;$F51+1,RentalsVacates!AX51*(1-IF(AY$12-$F51&lt;=12,SUMIFS('Attrition Modeling'!$D:$D,'Attrition Modeling'!$B:$B,$E51,'Attrition Modeling'!$C:$C,AY$11),VLOOKUP(RentalsVacates!AY$12-RentalsVacates!$F51-1,RentalsVacates!$A$8:$C$162,2,FALSE)*VLOOKUP(AY$11,'Attrition Modeling'!$L$15:$N$27,IF(AY$12-$F51&lt;=24,2,3),FALSE))*(1+IF('Traditional Attrition'!AY173&gt;0,'Attrition Modeling'!$N$9,0))),0))</f>
        <v>3778.6362111664143</v>
      </c>
      <c r="AZ51" s="799">
        <f>IF(AZ$12=$F51+1,IF(Monthly!AV$4=TRUE,0,AZ$3),IF(AZ$12&gt;$F51+1,RentalsVacates!AY51*(1-IF(AZ$12-$F51&lt;=12,SUMIFS('Attrition Modeling'!$D:$D,'Attrition Modeling'!$B:$B,$E51,'Attrition Modeling'!$C:$C,AZ$11),VLOOKUP(RentalsVacates!AZ$12-RentalsVacates!$F51-1,RentalsVacates!$A$8:$C$162,2,FALSE)*VLOOKUP(AZ$11,'Attrition Modeling'!$L$15:$N$27,IF(AZ$12-$F51&lt;=24,2,3),FALSE))*(1+IF('Traditional Attrition'!AZ173&gt;0,'Attrition Modeling'!$N$9,0))),0))</f>
        <v>3493.4799558226186</v>
      </c>
      <c r="BA51" s="799">
        <f>IF(BA$12=$F51+1,IF(Monthly!AW$4=TRUE,0,BA$3),IF(BA$12&gt;$F51+1,RentalsVacates!AZ51*(1-IF(BA$12-$F51&lt;=12,SUMIFS('Attrition Modeling'!$D:$D,'Attrition Modeling'!$B:$B,$E51,'Attrition Modeling'!$C:$C,BA$11),VLOOKUP(RentalsVacates!BA$12-RentalsVacates!$F51-1,RentalsVacates!$A$8:$C$162,2,FALSE)*VLOOKUP(BA$11,'Attrition Modeling'!$L$15:$N$27,IF(BA$12-$F51&lt;=24,2,3),FALSE))*(1+IF('Traditional Attrition'!BA173&gt;0,'Attrition Modeling'!$N$9,0))),0))</f>
        <v>3248.7004442136185</v>
      </c>
      <c r="BB51" s="799">
        <f>IF(BB$12=$F51+1,IF(Monthly!AX$4=TRUE,0,BB$3),IF(BB$12&gt;$F51+1,RentalsVacates!BA51*(1-IF(BB$12-$F51&lt;=12,SUMIFS('Attrition Modeling'!$D:$D,'Attrition Modeling'!$B:$B,$E51,'Attrition Modeling'!$C:$C,BB$11),VLOOKUP(RentalsVacates!BB$12-RentalsVacates!$F51-1,RentalsVacates!$A$8:$C$162,2,FALSE)*VLOOKUP(BB$11,'Attrition Modeling'!$L$15:$N$27,IF(BB$12-$F51&lt;=24,2,3),FALSE))*(1+IF('Traditional Attrition'!BB173&gt;0,'Attrition Modeling'!$N$9,0))),0))</f>
        <v>3032.9351453547802</v>
      </c>
      <c r="BC51" s="799">
        <f>IF(BC$12=$F51+1,IF(Monthly!AY$4=TRUE,0,BC$3),IF(BC$12&gt;$F51+1,RentalsVacates!BB51*(1-IF(BC$12-$F51&lt;=12,SUMIFS('Attrition Modeling'!$D:$D,'Attrition Modeling'!$B:$B,$E51,'Attrition Modeling'!$C:$C,BC$11),VLOOKUP(RentalsVacates!BC$12-RentalsVacates!$F51-1,RentalsVacates!$A$8:$C$162,2,FALSE)*VLOOKUP(BC$11,'Attrition Modeling'!$L$15:$N$27,IF(BC$12-$F51&lt;=24,2,3),FALSE))*(1+IF('Traditional Attrition'!BC173&gt;0,'Attrition Modeling'!$N$9,0))),0))</f>
        <v>2844.3523030183128</v>
      </c>
      <c r="BD51" s="799">
        <f>IF(BD$12=$F51+1,IF(Monthly!AZ$4=TRUE,0,BD$3),IF(BD$12&gt;$F51+1,RentalsVacates!BC51*(1-IF(BD$12-$F51&lt;=12,SUMIFS('Attrition Modeling'!$D:$D,'Attrition Modeling'!$B:$B,$E51,'Attrition Modeling'!$C:$C,BD$11),VLOOKUP(RentalsVacates!BD$12-RentalsVacates!$F51-1,RentalsVacates!$A$8:$C$162,2,FALSE)*VLOOKUP(BD$11,'Attrition Modeling'!$L$15:$N$27,IF(BD$12-$F51&lt;=24,2,3),FALSE))*(1+IF('Traditional Attrition'!BD173&gt;0,'Attrition Modeling'!$N$9,0))),0))</f>
        <v>2683.1202780522885</v>
      </c>
      <c r="BE51" s="799">
        <f>IF(BE$12=$F51+1,IF(Monthly!BA$4=TRUE,0,BE$3),IF(BE$12&gt;$F51+1,RentalsVacates!BD51*(1-IF(BE$12-$F51&lt;=12,SUMIFS('Attrition Modeling'!$D:$D,'Attrition Modeling'!$B:$B,$E51,'Attrition Modeling'!$C:$C,BE$11),VLOOKUP(RentalsVacates!BE$12-RentalsVacates!$F51-1,RentalsVacates!$A$8:$C$162,2,FALSE)*VLOOKUP(BE$11,'Attrition Modeling'!$L$15:$N$27,IF(BE$12-$F51&lt;=24,2,3),FALSE))*(1+IF('Traditional Attrition'!BE173&gt;0,'Attrition Modeling'!$N$9,0))),0))</f>
        <v>2617.0070943217661</v>
      </c>
      <c r="BF51" s="799">
        <f>IF(BF$12=$F51+1,IF(Monthly!BB$4=TRUE,0,BF$3),IF(BF$12&gt;$F51+1,RentalsVacates!BE51*(1-IF(BF$12-$F51&lt;=12,SUMIFS('Attrition Modeling'!$D:$D,'Attrition Modeling'!$B:$B,$E51,'Attrition Modeling'!$C:$C,BF$11),VLOOKUP(RentalsVacates!BF$12-RentalsVacates!$F51-1,RentalsVacates!$A$8:$C$162,2,FALSE)*VLOOKUP(BF$11,'Attrition Modeling'!$L$15:$N$27,IF(BF$12-$F51&lt;=24,2,3),FALSE))*(1+IF('Traditional Attrition'!BF173&gt;0,'Attrition Modeling'!$N$9,0))),0))</f>
        <v>2478.6546752995869</v>
      </c>
      <c r="BG51" s="799">
        <f>IF(BG$12=$F51+1,IF(Monthly!BC$4=TRUE,0,BG$3),IF(BG$12&gt;$F51+1,RentalsVacates!BF51*(1-IF(BG$12-$F51&lt;=12,SUMIFS('Attrition Modeling'!$D:$D,'Attrition Modeling'!$B:$B,$E51,'Attrition Modeling'!$C:$C,BG$11),VLOOKUP(RentalsVacates!BG$12-RentalsVacates!$F51-1,RentalsVacates!$A$8:$C$162,2,FALSE)*VLOOKUP(BG$11,'Attrition Modeling'!$L$15:$N$27,IF(BG$12-$F51&lt;=24,2,3),FALSE))*(1+IF('Traditional Attrition'!BG173&gt;0,'Attrition Modeling'!$N$9,0))),0))</f>
        <v>2359.7660833640502</v>
      </c>
      <c r="BH51" s="799">
        <f>IF(BH$12=$F51+1,IF(Monthly!BD$4=TRUE,0,BH$3),IF(BH$12&gt;$F51+1,RentalsVacates!BG51*(1-IF(BH$12-$F51&lt;=12,SUMIFS('Attrition Modeling'!$D:$D,'Attrition Modeling'!$B:$B,$E51,'Attrition Modeling'!$C:$C,BH$11),VLOOKUP(RentalsVacates!BH$12-RentalsVacates!$F51-1,RentalsVacates!$A$8:$C$162,2,FALSE)*VLOOKUP(BH$11,'Attrition Modeling'!$L$15:$N$27,IF(BH$12-$F51&lt;=24,2,3),FALSE))*(1+IF('Traditional Attrition'!BH173&gt;0,'Attrition Modeling'!$N$9,0))),0))</f>
        <v>2252.8908602051715</v>
      </c>
      <c r="BI51" s="799">
        <f>IF(BI$12=$F51+1,IF(Monthly!BE$4=TRUE,0,BI$3),IF(BI$12&gt;$F51+1,RentalsVacates!BH51*(1-IF(BI$12-$F51&lt;=12,SUMIFS('Attrition Modeling'!$D:$D,'Attrition Modeling'!$B:$B,$E51,'Attrition Modeling'!$C:$C,BI$11),VLOOKUP(RentalsVacates!BI$12-RentalsVacates!$F51-1,RentalsVacates!$A$8:$C$162,2,FALSE)*VLOOKUP(BI$11,'Attrition Modeling'!$L$15:$N$27,IF(BI$12-$F51&lt;=24,2,3),FALSE))*(1+IF('Traditional Attrition'!BI173&gt;0,'Attrition Modeling'!$N$9,0))),0))</f>
        <v>2144.9617260165342</v>
      </c>
      <c r="BJ51" s="799">
        <f>IF(BJ$12=$F51+1,IF(Monthly!BF$4=TRUE,0,BJ$3),IF(BJ$12&gt;$F51+1,RentalsVacates!BI51*(1-IF(BJ$12-$F51&lt;=12,SUMIFS('Attrition Modeling'!$D:$D,'Attrition Modeling'!$B:$B,$E51,'Attrition Modeling'!$C:$C,BJ$11),VLOOKUP(RentalsVacates!BJ$12-RentalsVacates!$F51-1,RentalsVacates!$A$8:$C$162,2,FALSE)*VLOOKUP(BJ$11,'Attrition Modeling'!$L$15:$N$27,IF(BJ$12-$F51&lt;=24,2,3),FALSE))*(1+IF('Traditional Attrition'!BJ173&gt;0,'Attrition Modeling'!$N$9,0))),0))</f>
        <v>2042.8643277614995</v>
      </c>
      <c r="BK51" s="799">
        <f>IF(BK$12=$F51+1,IF(Monthly!BG$4=TRUE,0,BK$3),IF(BK$12&gt;$F51+1,RentalsVacates!BJ51*(1-IF(BK$12-$F51&lt;=12,SUMIFS('Attrition Modeling'!$D:$D,'Attrition Modeling'!$B:$B,$E51,'Attrition Modeling'!$C:$C,BK$11),VLOOKUP(RentalsVacates!BK$12-RentalsVacates!$F51-1,RentalsVacates!$A$8:$C$162,2,FALSE)*VLOOKUP(BK$11,'Attrition Modeling'!$L$15:$N$27,IF(BK$12-$F51&lt;=24,2,3),FALSE))*(1+IF('Traditional Attrition'!BK173&gt;0,'Attrition Modeling'!$N$9,0))),0))</f>
        <v>1924.0349322454695</v>
      </c>
      <c r="BL51" s="799">
        <f>IF(BL$12=$F51+1,IF(Monthly!BH$4=TRUE,0,BL$3),IF(BL$12&gt;$F51+1,RentalsVacates!BK51*(1-IF(BL$12-$F51&lt;=12,SUMIFS('Attrition Modeling'!$D:$D,'Attrition Modeling'!$B:$B,$E51,'Attrition Modeling'!$C:$C,BL$11),VLOOKUP(RentalsVacates!BL$12-RentalsVacates!$F51-1,RentalsVacates!$A$8:$C$162,2,FALSE)*VLOOKUP(BL$11,'Attrition Modeling'!$L$15:$N$27,IF(BL$12-$F51&lt;=24,2,3),FALSE))*(1+IF('Traditional Attrition'!BL173&gt;0,'Attrition Modeling'!$N$9,0))),0))</f>
        <v>1840.8152248278398</v>
      </c>
      <c r="BM51" s="799">
        <f>IF(BM$12=$F51+1,IF(Monthly!BI$4=TRUE,0,BM$3),IF(BM$12&gt;$F51+1,RentalsVacates!BL51*(1-IF(BM$12-$F51&lt;=12,SUMIFS('Attrition Modeling'!$D:$D,'Attrition Modeling'!$B:$B,$E51,'Attrition Modeling'!$C:$C,BM$11),VLOOKUP(RentalsVacates!BM$12-RentalsVacates!$F51-1,RentalsVacates!$A$8:$C$162,2,FALSE)*VLOOKUP(BM$11,'Attrition Modeling'!$L$15:$N$27,IF(BM$12-$F51&lt;=24,2,3),FALSE))*(1+IF('Traditional Attrition'!BM173&gt;0,'Attrition Modeling'!$N$9,0))),0))</f>
        <v>1760.9006499181769</v>
      </c>
      <c r="BN51" s="799">
        <f>IF(BN$12=$F51+1,IF(Monthly!BJ$4=TRUE,0,BN$3),IF(BN$12&gt;$F51+1,RentalsVacates!BM51*(1-IF(BN$12-$F51&lt;=12,SUMIFS('Attrition Modeling'!$D:$D,'Attrition Modeling'!$B:$B,$E51,'Attrition Modeling'!$C:$C,BN$11),VLOOKUP(RentalsVacates!BN$12-RentalsVacates!$F51-1,RentalsVacates!$A$8:$C$162,2,FALSE)*VLOOKUP(BN$11,'Attrition Modeling'!$L$15:$N$27,IF(BN$12-$F51&lt;=24,2,3),FALSE))*(1+IF('Traditional Attrition'!BN173&gt;0,'Attrition Modeling'!$N$9,0))),0))</f>
        <v>1688.6173105315956</v>
      </c>
      <c r="BO51" s="799">
        <f>IF(BO$12=$F51+1,IF(Monthly!BK$4=TRUE,0,BO$3),IF(BO$12&gt;$F51+1,RentalsVacates!BN51*(1-IF(BO$12-$F51&lt;=12,SUMIFS('Attrition Modeling'!$D:$D,'Attrition Modeling'!$B:$B,$E51,'Attrition Modeling'!$C:$C,BO$11),VLOOKUP(RentalsVacates!BO$12-RentalsVacates!$F51-1,RentalsVacates!$A$8:$C$162,2,FALSE)*VLOOKUP(BO$11,'Attrition Modeling'!$L$15:$N$27,IF(BO$12-$F51&lt;=24,2,3),FALSE))*(1+IF('Traditional Attrition'!BO173&gt;0,'Attrition Modeling'!$N$9,0))),0))</f>
        <v>1621.095726145081</v>
      </c>
      <c r="BP51" s="799">
        <f>IF(BP$12=$F51+1,IF(Monthly!BL$4=TRUE,0,BP$3),IF(BP$12&gt;$F51+1,RentalsVacates!BO51*(1-IF(BP$12-$F51&lt;=12,SUMIFS('Attrition Modeling'!$D:$D,'Attrition Modeling'!$B:$B,$E51,'Attrition Modeling'!$C:$C,BP$11),VLOOKUP(RentalsVacates!BP$12-RentalsVacates!$F51-1,RentalsVacates!$A$8:$C$162,2,FALSE)*VLOOKUP(BP$11,'Attrition Modeling'!$L$15:$N$27,IF(BP$12-$F51&lt;=24,2,3),FALSE))*(1+IF('Traditional Attrition'!BP173&gt;0,'Attrition Modeling'!$N$9,0))),0))</f>
        <v>1557.1425098625041</v>
      </c>
      <c r="BQ51" s="799">
        <f>IF(BQ$12=$F51+1,IF(Monthly!BM$4=TRUE,0,BQ$3),IF(BQ$12&gt;$F51+1,RentalsVacates!BP51*(1-IF(BQ$12-$F51&lt;=12,SUMIFS('Attrition Modeling'!$D:$D,'Attrition Modeling'!$B:$B,$E51,'Attrition Modeling'!$C:$C,BQ$11),VLOOKUP(RentalsVacates!BQ$12-RentalsVacates!$F51-1,RentalsVacates!$A$8:$C$162,2,FALSE)*VLOOKUP(BQ$11,'Attrition Modeling'!$L$15:$N$27,IF(BQ$12-$F51&lt;=24,2,3),FALSE))*(1+IF('Traditional Attrition'!BQ173&gt;0,'Attrition Modeling'!$N$9,0))),0))</f>
        <v>1502.4592239362253</v>
      </c>
      <c r="BR51" s="799">
        <f>IF(BR$12=$F51+1,IF(Monthly!BN$4=TRUE,0,BR$3),IF(BR$12&gt;$F51+1,RentalsVacates!BQ51*(1-IF(BR$12-$F51&lt;=12,SUMIFS('Attrition Modeling'!$D:$D,'Attrition Modeling'!$B:$B,$E51,'Attrition Modeling'!$C:$C,BR$11),VLOOKUP(RentalsVacates!BR$12-RentalsVacates!$F51-1,RentalsVacates!$A$8:$C$162,2,FALSE)*VLOOKUP(BR$11,'Attrition Modeling'!$L$15:$N$27,IF(BR$12-$F51&lt;=24,2,3),FALSE))*(1+IF('Traditional Attrition'!BR173&gt;0,'Attrition Modeling'!$N$9,0))),0))</f>
        <v>1452.1084317175644</v>
      </c>
      <c r="BS51" s="799">
        <f>IF(BS$12=$F51+1,IF(Monthly!BO$4=TRUE,0,BS$3),IF(BS$12&gt;$F51+1,RentalsVacates!BR51*(1-IF(BS$12-$F51&lt;=12,SUMIFS('Attrition Modeling'!$D:$D,'Attrition Modeling'!$B:$B,$E51,'Attrition Modeling'!$C:$C,BS$11),VLOOKUP(RentalsVacates!BS$12-RentalsVacates!$F51-1,RentalsVacates!$A$8:$C$162,2,FALSE)*VLOOKUP(BS$11,'Attrition Modeling'!$L$15:$N$27,IF(BS$12-$F51&lt;=24,2,3),FALSE))*(1+IF('Traditional Attrition'!BS173&gt;0,'Attrition Modeling'!$N$9,0))),0))</f>
        <v>1413.9471820840158</v>
      </c>
      <c r="BT51" s="799">
        <f>IF(BT$11=$F50+1,IF(Monthly!#REF!=TRUE,0,BT$3),IF(BT$11&gt;$F50+1,RentalsVacates!BS50*(1-IF(BT$11-$F50&lt;=12,SUMIFS('Attrition Modeling'!$D:$D,'Attrition Modeling'!$B:$B,$E50,'Attrition Modeling'!$C:$C,BT$10),VLOOKUP(RentalsVacates!BT$11-RentalsVacates!$F50-1,RentalsVacates!$A$7:$C$161,2,FALSE)*VLOOKUP(BT$10,'Attrition Modeling'!$L$15:$N$27,IF(BT$11-$F50&lt;=24,2,3),FALSE))*(1+IF('Traditional Attrition'!BT173&gt;0,'Attrition Modeling'!$N$9,0))),0))</f>
        <v>0</v>
      </c>
      <c r="BU51" s="799">
        <f>IF(BU$11=$F50+1,IF(Monthly!#REF!=TRUE,0,BU$3),IF(BU$11&gt;$F50+1,RentalsVacates!BT50*(1-IF(BU$11-$F50&lt;=12,SUMIFS('Attrition Modeling'!$D:$D,'Attrition Modeling'!$B:$B,$E50,'Attrition Modeling'!$C:$C,BU$10),VLOOKUP(RentalsVacates!BU$11-RentalsVacates!$F50-1,RentalsVacates!$A$7:$C$161,2,FALSE)*VLOOKUP(BU$10,'Attrition Modeling'!$L$15:$N$27,IF(BU$11-$F50&lt;=24,2,3),FALSE))*(1+IF('Traditional Attrition'!BU173&gt;0,'Attrition Modeling'!$N$9,0))),0))</f>
        <v>0</v>
      </c>
    </row>
    <row r="52" spans="1:73" ht="14.25" customHeight="1" x14ac:dyDescent="0.2">
      <c r="A52" s="9">
        <v>44</v>
      </c>
      <c r="B52" s="25">
        <f>MAX('Attrition Modeling'!H48,$C$3)*(1-Summary!$C$20)</f>
        <v>2.7118467773799754E-2</v>
      </c>
      <c r="C52" s="24" t="e">
        <f t="shared" si="2"/>
        <v>#DIV/0!</v>
      </c>
      <c r="E52" s="11">
        <f>'Traditional Attrition'!E109</f>
        <v>3</v>
      </c>
      <c r="F52" s="11">
        <f t="shared" si="4"/>
        <v>39</v>
      </c>
      <c r="G52" s="799"/>
      <c r="H52" s="799">
        <f>IF(H$12=$F52+1,IF(Monthly!D$4=TRUE,0,H$3),IF(H$12&gt;$F52+1,RentalsVacates!G52*(1-IF(H$12-$F52&lt;=12,SUMIFS('Attrition Modeling'!$D:$D,'Attrition Modeling'!$B:$B,$E52,'Attrition Modeling'!$C:$C,H$11),VLOOKUP(RentalsVacates!H$12-RentalsVacates!$F52-1,RentalsVacates!$A$8:$C$162,2,FALSE)*VLOOKUP(H$11,'Attrition Modeling'!$L$15:$N$27,IF(H$12-$F52&lt;=24,2,3),FALSE))*(1+IF('Traditional Attrition'!H174&gt;0,'Attrition Modeling'!$N$9,0))),0))</f>
        <v>0</v>
      </c>
      <c r="I52" s="799">
        <f>IF(I$12=$F52+1,IF(Monthly!E$4=TRUE,0,I$3),IF(I$12&gt;$F52+1,RentalsVacates!H52*(1-IF(I$12-$F52&lt;=12,SUMIFS('Attrition Modeling'!$D:$D,'Attrition Modeling'!$B:$B,$E52,'Attrition Modeling'!$C:$C,I$11),VLOOKUP(RentalsVacates!I$12-RentalsVacates!$F52-1,RentalsVacates!$A$8:$C$162,2,FALSE)*VLOOKUP(I$11,'Attrition Modeling'!$L$15:$N$27,IF(I$12-$F52&lt;=24,2,3),FALSE))*(1+IF('Traditional Attrition'!I174&gt;0,'Attrition Modeling'!$N$9,0))),0))</f>
        <v>0</v>
      </c>
      <c r="J52" s="799">
        <f>IF(J$12=$F52+1,IF(Monthly!F$4=TRUE,0,J$3),IF(J$12&gt;$F52+1,RentalsVacates!I52*(1-IF(J$12-$F52&lt;=12,SUMIFS('Attrition Modeling'!$D:$D,'Attrition Modeling'!$B:$B,$E52,'Attrition Modeling'!$C:$C,J$11),VLOOKUP(RentalsVacates!J$12-RentalsVacates!$F52-1,RentalsVacates!$A$8:$C$162,2,FALSE)*VLOOKUP(J$11,'Attrition Modeling'!$L$15:$N$27,IF(J$12-$F52&lt;=24,2,3),FALSE))*(1+IF('Traditional Attrition'!J174&gt;0,'Attrition Modeling'!$N$9,0))),0))</f>
        <v>0</v>
      </c>
      <c r="K52" s="799">
        <f>IF(K$12=$F52+1,IF(Monthly!G$4=TRUE,0,K$3),IF(K$12&gt;$F52+1,RentalsVacates!J52*(1-IF(K$12-$F52&lt;=12,SUMIFS('Attrition Modeling'!$D:$D,'Attrition Modeling'!$B:$B,$E52,'Attrition Modeling'!$C:$C,K$11),VLOOKUP(RentalsVacates!K$12-RentalsVacates!$F52-1,RentalsVacates!$A$8:$C$162,2,FALSE)*VLOOKUP(K$11,'Attrition Modeling'!$L$15:$N$27,IF(K$12-$F52&lt;=24,2,3),FALSE))*(1+IF('Traditional Attrition'!K174&gt;0,'Attrition Modeling'!$N$9,0))),0))</f>
        <v>0</v>
      </c>
      <c r="L52" s="799">
        <f>IF(L$12=$F52+1,IF(Monthly!H$4=TRUE,0,L$3),IF(L$12&gt;$F52+1,RentalsVacates!K52*(1-IF(L$12-$F52&lt;=12,SUMIFS('Attrition Modeling'!$D:$D,'Attrition Modeling'!$B:$B,$E52,'Attrition Modeling'!$C:$C,L$11),VLOOKUP(RentalsVacates!L$12-RentalsVacates!$F52-1,RentalsVacates!$A$8:$C$162,2,FALSE)*VLOOKUP(L$11,'Attrition Modeling'!$L$15:$N$27,IF(L$12-$F52&lt;=24,2,3),FALSE))*(1+IF('Traditional Attrition'!L174&gt;0,'Attrition Modeling'!$N$9,0))),0))</f>
        <v>0</v>
      </c>
      <c r="M52" s="799">
        <f>IF(M$12=$F52+1,IF(Monthly!I$4=TRUE,0,M$3),IF(M$12&gt;$F52+1,RentalsVacates!L52*(1-IF(M$12-$F52&lt;=12,SUMIFS('Attrition Modeling'!$D:$D,'Attrition Modeling'!$B:$B,$E52,'Attrition Modeling'!$C:$C,M$11),VLOOKUP(RentalsVacates!M$12-RentalsVacates!$F52-1,RentalsVacates!$A$8:$C$162,2,FALSE)*VLOOKUP(M$11,'Attrition Modeling'!$L$15:$N$27,IF(M$12-$F52&lt;=24,2,3),FALSE))*(1+IF('Traditional Attrition'!M174&gt;0,'Attrition Modeling'!$N$9,0))),0))</f>
        <v>0</v>
      </c>
      <c r="N52" s="799">
        <f>IF(N$12=$F52+1,IF(Monthly!J$4=TRUE,0,N$3),IF(N$12&gt;$F52+1,RentalsVacates!M52*(1-IF(N$12-$F52&lt;=12,SUMIFS('Attrition Modeling'!$D:$D,'Attrition Modeling'!$B:$B,$E52,'Attrition Modeling'!$C:$C,N$11),VLOOKUP(RentalsVacates!N$12-RentalsVacates!$F52-1,RentalsVacates!$A$8:$C$162,2,FALSE)*VLOOKUP(N$11,'Attrition Modeling'!$L$15:$N$27,IF(N$12-$F52&lt;=24,2,3),FALSE))*(1+IF('Traditional Attrition'!N174&gt;0,'Attrition Modeling'!$N$9,0))),0))</f>
        <v>0</v>
      </c>
      <c r="O52" s="799">
        <f>IF(O$12=$F52+1,IF(Monthly!K$4=TRUE,0,O$3),IF(O$12&gt;$F52+1,RentalsVacates!N52*(1-IF(O$12-$F52&lt;=12,SUMIFS('Attrition Modeling'!$D:$D,'Attrition Modeling'!$B:$B,$E52,'Attrition Modeling'!$C:$C,O$11),VLOOKUP(RentalsVacates!O$12-RentalsVacates!$F52-1,RentalsVacates!$A$8:$C$162,2,FALSE)*VLOOKUP(O$11,'Attrition Modeling'!$L$15:$N$27,IF(O$12-$F52&lt;=24,2,3),FALSE))*(1+IF('Traditional Attrition'!O174&gt;0,'Attrition Modeling'!$N$9,0))),0))</f>
        <v>0</v>
      </c>
      <c r="P52" s="799">
        <f>IF(P$12=$F52+1,IF(Monthly!L$4=TRUE,0,P$3),IF(P$12&gt;$F52+1,RentalsVacates!O52*(1-IF(P$12-$F52&lt;=12,SUMIFS('Attrition Modeling'!$D:$D,'Attrition Modeling'!$B:$B,$E52,'Attrition Modeling'!$C:$C,P$11),VLOOKUP(RentalsVacates!P$12-RentalsVacates!$F52-1,RentalsVacates!$A$8:$C$162,2,FALSE)*VLOOKUP(P$11,'Attrition Modeling'!$L$15:$N$27,IF(P$12-$F52&lt;=24,2,3),FALSE))*(1+IF('Traditional Attrition'!P174&gt;0,'Attrition Modeling'!$N$9,0))),0))</f>
        <v>0</v>
      </c>
      <c r="Q52" s="799">
        <f>IF(Q$12=$F52+1,IF(Monthly!M$4=TRUE,0,Q$3),IF(Q$12&gt;$F52+1,RentalsVacates!P52*(1-IF(Q$12-$F52&lt;=12,SUMIFS('Attrition Modeling'!$D:$D,'Attrition Modeling'!$B:$B,$E52,'Attrition Modeling'!$C:$C,Q$11),VLOOKUP(RentalsVacates!Q$12-RentalsVacates!$F52-1,RentalsVacates!$A$8:$C$162,2,FALSE)*VLOOKUP(Q$11,'Attrition Modeling'!$L$15:$N$27,IF(Q$12-$F52&lt;=24,2,3),FALSE))*(1+IF('Traditional Attrition'!Q174&gt;0,'Attrition Modeling'!$N$9,0))),0))</f>
        <v>0</v>
      </c>
      <c r="R52" s="799">
        <f>IF(R$12=$F52+1,IF(Monthly!N$4=TRUE,0,R$3),IF(R$12&gt;$F52+1,RentalsVacates!Q52*(1-IF(R$12-$F52&lt;=12,SUMIFS('Attrition Modeling'!$D:$D,'Attrition Modeling'!$B:$B,$E52,'Attrition Modeling'!$C:$C,R$11),VLOOKUP(RentalsVacates!R$12-RentalsVacates!$F52-1,RentalsVacates!$A$8:$C$162,2,FALSE)*VLOOKUP(R$11,'Attrition Modeling'!$L$15:$N$27,IF(R$12-$F52&lt;=24,2,3),FALSE))*(1+IF('Traditional Attrition'!R174&gt;0,'Attrition Modeling'!$N$9,0))),0))</f>
        <v>0</v>
      </c>
      <c r="S52" s="799">
        <f>IF(S$12=$F52+1,IF(Monthly!O$4=TRUE,0,S$3),IF(S$12&gt;$F52+1,RentalsVacates!R52*(1-IF(S$12-$F52&lt;=12,SUMIFS('Attrition Modeling'!$D:$D,'Attrition Modeling'!$B:$B,$E52,'Attrition Modeling'!$C:$C,S$11),VLOOKUP(RentalsVacates!S$12-RentalsVacates!$F52-1,RentalsVacates!$A$8:$C$162,2,FALSE)*VLOOKUP(S$11,'Attrition Modeling'!$L$15:$N$27,IF(S$12-$F52&lt;=24,2,3),FALSE))*(1+IF('Traditional Attrition'!S174&gt;0,'Attrition Modeling'!$N$9,0))),0))</f>
        <v>0</v>
      </c>
      <c r="T52" s="799">
        <f>IF(T$12=$F52+1,IF(Monthly!P$4=TRUE,0,T$3),IF(T$12&gt;$F52+1,RentalsVacates!S52*(1-IF(T$12-$F52&lt;=12,SUMIFS('Attrition Modeling'!$D:$D,'Attrition Modeling'!$B:$B,$E52,'Attrition Modeling'!$C:$C,T$11),VLOOKUP(RentalsVacates!T$12-RentalsVacates!$F52-1,RentalsVacates!$A$8:$C$162,2,FALSE)*VLOOKUP(T$11,'Attrition Modeling'!$L$15:$N$27,IF(T$12-$F52&lt;=24,2,3),FALSE))*(1+IF('Traditional Attrition'!T174&gt;0,'Attrition Modeling'!$N$9,0))),0))</f>
        <v>0</v>
      </c>
      <c r="U52" s="799">
        <f>IF(U$12=$F52+1,IF(Monthly!Q$4=TRUE,0,U$3),IF(U$12&gt;$F52+1,RentalsVacates!T52*(1-IF(U$12-$F52&lt;=12,SUMIFS('Attrition Modeling'!$D:$D,'Attrition Modeling'!$B:$B,$E52,'Attrition Modeling'!$C:$C,U$11),VLOOKUP(RentalsVacates!U$12-RentalsVacates!$F52-1,RentalsVacates!$A$8:$C$162,2,FALSE)*VLOOKUP(U$11,'Attrition Modeling'!$L$15:$N$27,IF(U$12-$F52&lt;=24,2,3),FALSE))*(1+IF('Traditional Attrition'!U174&gt;0,'Attrition Modeling'!$N$9,0))),0))</f>
        <v>0</v>
      </c>
      <c r="V52" s="799">
        <f>IF(V$12=$F52+1,IF(Monthly!R$4=TRUE,0,V$3),IF(V$12&gt;$F52+1,RentalsVacates!U52*(1-IF(V$12-$F52&lt;=12,SUMIFS('Attrition Modeling'!$D:$D,'Attrition Modeling'!$B:$B,$E52,'Attrition Modeling'!$C:$C,V$11),VLOOKUP(RentalsVacates!V$12-RentalsVacates!$F52-1,RentalsVacates!$A$8:$C$162,2,FALSE)*VLOOKUP(V$11,'Attrition Modeling'!$L$15:$N$27,IF(V$12-$F52&lt;=24,2,3),FALSE))*(1+IF('Traditional Attrition'!V174&gt;0,'Attrition Modeling'!$N$9,0))),0))</f>
        <v>0</v>
      </c>
      <c r="W52" s="799">
        <f>IF(W$12=$F52+1,IF(Monthly!S$4=TRUE,0,W$3),IF(W$12&gt;$F52+1,RentalsVacates!V52*(1-IF(W$12-$F52&lt;=12,SUMIFS('Attrition Modeling'!$D:$D,'Attrition Modeling'!$B:$B,$E52,'Attrition Modeling'!$C:$C,W$11),VLOOKUP(RentalsVacates!W$12-RentalsVacates!$F52-1,RentalsVacates!$A$8:$C$162,2,FALSE)*VLOOKUP(W$11,'Attrition Modeling'!$L$15:$N$27,IF(W$12-$F52&lt;=24,2,3),FALSE))*(1+IF('Traditional Attrition'!W174&gt;0,'Attrition Modeling'!$N$9,0))),0))</f>
        <v>0</v>
      </c>
      <c r="X52" s="799">
        <f>IF(X$12=$F52+1,IF(Monthly!T$4=TRUE,0,X$3),IF(X$12&gt;$F52+1,RentalsVacates!W52*(1-IF(X$12-$F52&lt;=12,SUMIFS('Attrition Modeling'!$D:$D,'Attrition Modeling'!$B:$B,$E52,'Attrition Modeling'!$C:$C,X$11),VLOOKUP(RentalsVacates!X$12-RentalsVacates!$F52-1,RentalsVacates!$A$8:$C$162,2,FALSE)*VLOOKUP(X$11,'Attrition Modeling'!$L$15:$N$27,IF(X$12-$F52&lt;=24,2,3),FALSE))*(1+IF('Traditional Attrition'!X174&gt;0,'Attrition Modeling'!$N$9,0))),0))</f>
        <v>0</v>
      </c>
      <c r="Y52" s="799">
        <f>IF(Y$12=$F52+1,IF(Monthly!U$4=TRUE,0,Y$3),IF(Y$12&gt;$F52+1,RentalsVacates!X52*(1-IF(Y$12-$F52&lt;=12,SUMIFS('Attrition Modeling'!$D:$D,'Attrition Modeling'!$B:$B,$E52,'Attrition Modeling'!$C:$C,Y$11),VLOOKUP(RentalsVacates!Y$12-RentalsVacates!$F52-1,RentalsVacates!$A$8:$C$162,2,FALSE)*VLOOKUP(Y$11,'Attrition Modeling'!$L$15:$N$27,IF(Y$12-$F52&lt;=24,2,3),FALSE))*(1+IF('Traditional Attrition'!Y174&gt;0,'Attrition Modeling'!$N$9,0))),0))</f>
        <v>0</v>
      </c>
      <c r="Z52" s="799">
        <f>IF(Z$12=$F52+1,IF(Monthly!V$4=TRUE,0,Z$3),IF(Z$12&gt;$F52+1,RentalsVacates!Y52*(1-IF(Z$12-$F52&lt;=12,SUMIFS('Attrition Modeling'!$D:$D,'Attrition Modeling'!$B:$B,$E52,'Attrition Modeling'!$C:$C,Z$11),VLOOKUP(RentalsVacates!Z$12-RentalsVacates!$F52-1,RentalsVacates!$A$8:$C$162,2,FALSE)*VLOOKUP(Z$11,'Attrition Modeling'!$L$15:$N$27,IF(Z$12-$F52&lt;=24,2,3),FALSE))*(1+IF('Traditional Attrition'!Z174&gt;0,'Attrition Modeling'!$N$9,0))),0))</f>
        <v>0</v>
      </c>
      <c r="AA52" s="799">
        <f>IF(AA$12=$F52+1,IF(Monthly!W$4=TRUE,0,AA$3),IF(AA$12&gt;$F52+1,RentalsVacates!Z52*(1-IF(AA$12-$F52&lt;=12,SUMIFS('Attrition Modeling'!$D:$D,'Attrition Modeling'!$B:$B,$E52,'Attrition Modeling'!$C:$C,AA$11),VLOOKUP(RentalsVacates!AA$12-RentalsVacates!$F52-1,RentalsVacates!$A$8:$C$162,2,FALSE)*VLOOKUP(AA$11,'Attrition Modeling'!$L$15:$N$27,IF(AA$12-$F52&lt;=24,2,3),FALSE))*(1+IF('Traditional Attrition'!AA174&gt;0,'Attrition Modeling'!$N$9,0))),0))</f>
        <v>0</v>
      </c>
      <c r="AB52" s="799">
        <f>IF(AB$12=$F52+1,IF(Monthly!X$4=TRUE,0,AB$3),IF(AB$12&gt;$F52+1,RentalsVacates!AA52*(1-IF(AB$12-$F52&lt;=12,SUMIFS('Attrition Modeling'!$D:$D,'Attrition Modeling'!$B:$B,$E52,'Attrition Modeling'!$C:$C,AB$11),VLOOKUP(RentalsVacates!AB$12-RentalsVacates!$F52-1,RentalsVacates!$A$8:$C$162,2,FALSE)*VLOOKUP(AB$11,'Attrition Modeling'!$L$15:$N$27,IF(AB$12-$F52&lt;=24,2,3),FALSE))*(1+IF('Traditional Attrition'!AB174&gt;0,'Attrition Modeling'!$N$9,0))),0))</f>
        <v>0</v>
      </c>
      <c r="AC52" s="799">
        <f>IF(AC$12=$F52+1,IF(Monthly!Y$4=TRUE,0,AC$3),IF(AC$12&gt;$F52+1,RentalsVacates!AB52*(1-IF(AC$12-$F52&lt;=12,SUMIFS('Attrition Modeling'!$D:$D,'Attrition Modeling'!$B:$B,$E52,'Attrition Modeling'!$C:$C,AC$11),VLOOKUP(RentalsVacates!AC$12-RentalsVacates!$F52-1,RentalsVacates!$A$8:$C$162,2,FALSE)*VLOOKUP(AC$11,'Attrition Modeling'!$L$15:$N$27,IF(AC$12-$F52&lt;=24,2,3),FALSE))*(1+IF('Traditional Attrition'!AC174&gt;0,'Attrition Modeling'!$N$9,0))),0))</f>
        <v>0</v>
      </c>
      <c r="AD52" s="799">
        <f>IF(AD$12=$F52+1,IF(Monthly!Z$4=TRUE,0,AD$3),IF(AD$12&gt;$F52+1,RentalsVacates!AC52*(1-IF(AD$12-$F52&lt;=12,SUMIFS('Attrition Modeling'!$D:$D,'Attrition Modeling'!$B:$B,$E52,'Attrition Modeling'!$C:$C,AD$11),VLOOKUP(RentalsVacates!AD$12-RentalsVacates!$F52-1,RentalsVacates!$A$8:$C$162,2,FALSE)*VLOOKUP(AD$11,'Attrition Modeling'!$L$15:$N$27,IF(AD$12-$F52&lt;=24,2,3),FALSE))*(1+IF('Traditional Attrition'!AD174&gt;0,'Attrition Modeling'!$N$9,0))),0))</f>
        <v>0</v>
      </c>
      <c r="AE52" s="799">
        <f>IF(AE$12=$F52+1,IF(Monthly!AA$4=TRUE,0,AE$3),IF(AE$12&gt;$F52+1,RentalsVacates!AD52*(1-IF(AE$12-$F52&lt;=12,SUMIFS('Attrition Modeling'!$D:$D,'Attrition Modeling'!$B:$B,$E52,'Attrition Modeling'!$C:$C,AE$11),VLOOKUP(RentalsVacates!AE$12-RentalsVacates!$F52-1,RentalsVacates!$A$8:$C$162,2,FALSE)*VLOOKUP(AE$11,'Attrition Modeling'!$L$15:$N$27,IF(AE$12-$F52&lt;=24,2,3),FALSE))*(1+IF('Traditional Attrition'!AE174&gt;0,'Attrition Modeling'!$N$9,0))),0))</f>
        <v>0</v>
      </c>
      <c r="AF52" s="799">
        <f>IF(AF$12=$F52+1,IF(Monthly!AB$4=TRUE,0,AF$3),IF(AF$12&gt;$F52+1,RentalsVacates!AE52*(1-IF(AF$12-$F52&lt;=12,SUMIFS('Attrition Modeling'!$D:$D,'Attrition Modeling'!$B:$B,$E52,'Attrition Modeling'!$C:$C,AF$11),VLOOKUP(RentalsVacates!AF$12-RentalsVacates!$F52-1,RentalsVacates!$A$8:$C$162,2,FALSE)*VLOOKUP(AF$11,'Attrition Modeling'!$L$15:$N$27,IF(AF$12-$F52&lt;=24,2,3),FALSE))*(1+IF('Traditional Attrition'!AF174&gt;0,'Attrition Modeling'!$N$9,0))),0))</f>
        <v>0</v>
      </c>
      <c r="AG52" s="799">
        <f>IF(AG$12=$F52+1,IF(Monthly!AC$4=TRUE,0,AG$3),IF(AG$12&gt;$F52+1,RentalsVacates!AF52*(1-IF(AG$12-$F52&lt;=12,SUMIFS('Attrition Modeling'!$D:$D,'Attrition Modeling'!$B:$B,$E52,'Attrition Modeling'!$C:$C,AG$11),VLOOKUP(RentalsVacates!AG$12-RentalsVacates!$F52-1,RentalsVacates!$A$8:$C$162,2,FALSE)*VLOOKUP(AG$11,'Attrition Modeling'!$L$15:$N$27,IF(AG$12-$F52&lt;=24,2,3),FALSE))*(1+IF('Traditional Attrition'!AG174&gt;0,'Attrition Modeling'!$N$9,0))),0))</f>
        <v>0</v>
      </c>
      <c r="AH52" s="799">
        <f>IF(AH$12=$F52+1,IF(Monthly!AD$4=TRUE,0,AH$3),IF(AH$12&gt;$F52+1,RentalsVacates!AG52*(1-IF(AH$12-$F52&lt;=12,SUMIFS('Attrition Modeling'!$D:$D,'Attrition Modeling'!$B:$B,$E52,'Attrition Modeling'!$C:$C,AH$11),VLOOKUP(RentalsVacates!AH$12-RentalsVacates!$F52-1,RentalsVacates!$A$8:$C$162,2,FALSE)*VLOOKUP(AH$11,'Attrition Modeling'!$L$15:$N$27,IF(AH$12-$F52&lt;=24,2,3),FALSE))*(1+IF('Traditional Attrition'!AH174&gt;0,'Attrition Modeling'!$N$9,0))),0))</f>
        <v>0</v>
      </c>
      <c r="AI52" s="799">
        <f>IF(AI$12=$F52+1,IF(Monthly!AE$4=TRUE,0,AI$3),IF(AI$12&gt;$F52+1,RentalsVacates!AH52*(1-IF(AI$12-$F52&lt;=12,SUMIFS('Attrition Modeling'!$D:$D,'Attrition Modeling'!$B:$B,$E52,'Attrition Modeling'!$C:$C,AI$11),VLOOKUP(RentalsVacates!AI$12-RentalsVacates!$F52-1,RentalsVacates!$A$8:$C$162,2,FALSE)*VLOOKUP(AI$11,'Attrition Modeling'!$L$15:$N$27,IF(AI$12-$F52&lt;=24,2,3),FALSE))*(1+IF('Traditional Attrition'!AI174&gt;0,'Attrition Modeling'!$N$9,0))),0))</f>
        <v>0</v>
      </c>
      <c r="AJ52" s="799">
        <f>IF(AJ$12=$F52+1,IF(Monthly!AF$4=TRUE,0,AJ$3),IF(AJ$12&gt;$F52+1,RentalsVacates!AI52*(1-IF(AJ$12-$F52&lt;=12,SUMIFS('Attrition Modeling'!$D:$D,'Attrition Modeling'!$B:$B,$E52,'Attrition Modeling'!$C:$C,AJ$11),VLOOKUP(RentalsVacates!AJ$12-RentalsVacates!$F52-1,RentalsVacates!$A$8:$C$162,2,FALSE)*VLOOKUP(AJ$11,'Attrition Modeling'!$L$15:$N$27,IF(AJ$12-$F52&lt;=24,2,3),FALSE))*(1+IF('Traditional Attrition'!AJ174&gt;0,'Attrition Modeling'!$N$9,0))),0))</f>
        <v>0</v>
      </c>
      <c r="AK52" s="799">
        <f>IF(AK$12=$F52+1,IF(Monthly!AG$4=TRUE,0,AK$3),IF(AK$12&gt;$F52+1,RentalsVacates!AJ52*(1-IF(AK$12-$F52&lt;=12,SUMIFS('Attrition Modeling'!$D:$D,'Attrition Modeling'!$B:$B,$E52,'Attrition Modeling'!$C:$C,AK$11),VLOOKUP(RentalsVacates!AK$12-RentalsVacates!$F52-1,RentalsVacates!$A$8:$C$162,2,FALSE)*VLOOKUP(AK$11,'Attrition Modeling'!$L$15:$N$27,IF(AK$12-$F52&lt;=24,2,3),FALSE))*(1+IF('Traditional Attrition'!AK174&gt;0,'Attrition Modeling'!$N$9,0))),0))</f>
        <v>0</v>
      </c>
      <c r="AL52" s="799">
        <f>IF(AL$12=$F52+1,IF(Monthly!AH$4=TRUE,0,AL$3),IF(AL$12&gt;$F52+1,RentalsVacates!AK52*(1-IF(AL$12-$F52&lt;=12,SUMIFS('Attrition Modeling'!$D:$D,'Attrition Modeling'!$B:$B,$E52,'Attrition Modeling'!$C:$C,AL$11),VLOOKUP(RentalsVacates!AL$12-RentalsVacates!$F52-1,RentalsVacates!$A$8:$C$162,2,FALSE)*VLOOKUP(AL$11,'Attrition Modeling'!$L$15:$N$27,IF(AL$12-$F52&lt;=24,2,3),FALSE))*(1+IF('Traditional Attrition'!AL174&gt;0,'Attrition Modeling'!$N$9,0))),0))</f>
        <v>0</v>
      </c>
      <c r="AM52" s="799">
        <f>IF(AM$12=$F52+1,IF(Monthly!AI$4=TRUE,0,AM$3),IF(AM$12&gt;$F52+1,RentalsVacates!AL52*(1-IF(AM$12-$F52&lt;=12,SUMIFS('Attrition Modeling'!$D:$D,'Attrition Modeling'!$B:$B,$E52,'Attrition Modeling'!$C:$C,AM$11),VLOOKUP(RentalsVacates!AM$12-RentalsVacates!$F52-1,RentalsVacates!$A$8:$C$162,2,FALSE)*VLOOKUP(AM$11,'Attrition Modeling'!$L$15:$N$27,IF(AM$12-$F52&lt;=24,2,3),FALSE))*(1+IF('Traditional Attrition'!AM174&gt;0,'Attrition Modeling'!$N$9,0))),0))</f>
        <v>0</v>
      </c>
      <c r="AN52" s="799">
        <f>IF(AN$12=$F52+1,IF(Monthly!AJ$4=TRUE,0,AN$3),IF(AN$12&gt;$F52+1,RentalsVacates!AM52*(1-IF(AN$12-$F52&lt;=12,SUMIFS('Attrition Modeling'!$D:$D,'Attrition Modeling'!$B:$B,$E52,'Attrition Modeling'!$C:$C,AN$11),VLOOKUP(RentalsVacates!AN$12-RentalsVacates!$F52-1,RentalsVacates!$A$8:$C$162,2,FALSE)*VLOOKUP(AN$11,'Attrition Modeling'!$L$15:$N$27,IF(AN$12-$F52&lt;=24,2,3),FALSE))*(1+IF('Traditional Attrition'!AN174&gt;0,'Attrition Modeling'!$N$9,0))),0))</f>
        <v>0</v>
      </c>
      <c r="AO52" s="799">
        <f>IF(AO$12=$F52+1,IF(Monthly!AK$4=TRUE,0,AO$3),IF(AO$12&gt;$F52+1,RentalsVacates!AN52*(1-IF(AO$12-$F52&lt;=12,SUMIFS('Attrition Modeling'!$D:$D,'Attrition Modeling'!$B:$B,$E52,'Attrition Modeling'!$C:$C,AO$11),VLOOKUP(RentalsVacates!AO$12-RentalsVacates!$F52-1,RentalsVacates!$A$8:$C$162,2,FALSE)*VLOOKUP(AO$11,'Attrition Modeling'!$L$15:$N$27,IF(AO$12-$F52&lt;=24,2,3),FALSE))*(1+IF('Traditional Attrition'!AO174&gt;0,'Attrition Modeling'!$N$9,0))),0))</f>
        <v>0</v>
      </c>
      <c r="AP52" s="799">
        <f>IF(AP$12=$F52+1,IF(Monthly!AL$4=TRUE,0,AP$3),IF(AP$12&gt;$F52+1,RentalsVacates!AO52*(1-IF(AP$12-$F52&lt;=12,SUMIFS('Attrition Modeling'!$D:$D,'Attrition Modeling'!$B:$B,$E52,'Attrition Modeling'!$C:$C,AP$11),VLOOKUP(RentalsVacates!AP$12-RentalsVacates!$F52-1,RentalsVacates!$A$8:$C$162,2,FALSE)*VLOOKUP(AP$11,'Attrition Modeling'!$L$15:$N$27,IF(AP$12-$F52&lt;=24,2,3),FALSE))*(1+IF('Traditional Attrition'!AP174&gt;0,'Attrition Modeling'!$N$9,0))),0))</f>
        <v>0</v>
      </c>
      <c r="AQ52" s="799">
        <f>IF(AQ$12=$F52+1,IF(Monthly!AM$4=TRUE,0,AQ$3),IF(AQ$12&gt;$F52+1,RentalsVacates!AP52*(1-IF(AQ$12-$F52&lt;=12,SUMIFS('Attrition Modeling'!$D:$D,'Attrition Modeling'!$B:$B,$E52,'Attrition Modeling'!$C:$C,AQ$11),VLOOKUP(RentalsVacates!AQ$12-RentalsVacates!$F52-1,RentalsVacates!$A$8:$C$162,2,FALSE)*VLOOKUP(AQ$11,'Attrition Modeling'!$L$15:$N$27,IF(AQ$12-$F52&lt;=24,2,3),FALSE))*(1+IF('Traditional Attrition'!AQ174&gt;0,'Attrition Modeling'!$N$9,0))),0))</f>
        <v>0</v>
      </c>
      <c r="AR52" s="799">
        <f>IF(AR$12=$F52+1,IF(Monthly!AN$4=TRUE,0,AR$3),IF(AR$12&gt;$F52+1,RentalsVacates!AQ52*(1-IF(AR$12-$F52&lt;=12,SUMIFS('Attrition Modeling'!$D:$D,'Attrition Modeling'!$B:$B,$E52,'Attrition Modeling'!$C:$C,AR$11),VLOOKUP(RentalsVacates!AR$12-RentalsVacates!$F52-1,RentalsVacates!$A$8:$C$162,2,FALSE)*VLOOKUP(AR$11,'Attrition Modeling'!$L$15:$N$27,IF(AR$12-$F52&lt;=24,2,3),FALSE))*(1+IF('Traditional Attrition'!AR174&gt;0,'Attrition Modeling'!$N$9,0))),0))</f>
        <v>0</v>
      </c>
      <c r="AS52" s="799">
        <f>IF(AS$12=$F52+1,IF(Monthly!AO$4=TRUE,0,AS$3),IF(AS$12&gt;$F52+1,RentalsVacates!AR52*(1-IF(AS$12-$F52&lt;=12,SUMIFS('Attrition Modeling'!$D:$D,'Attrition Modeling'!$B:$B,$E52,'Attrition Modeling'!$C:$C,AS$11),VLOOKUP(RentalsVacates!AS$12-RentalsVacates!$F52-1,RentalsVacates!$A$8:$C$162,2,FALSE)*VLOOKUP(AS$11,'Attrition Modeling'!$L$15:$N$27,IF(AS$12-$F52&lt;=24,2,3),FALSE))*(1+IF('Traditional Attrition'!AS174&gt;0,'Attrition Modeling'!$N$9,0))),0))</f>
        <v>0</v>
      </c>
      <c r="AT52" s="799">
        <f>IF(AT$12=$F52+1,IF(Monthly!AP$4=TRUE,0,AT$3),IF(AT$12&gt;$F52+1,RentalsVacates!AS52*(1-IF(AT$12-$F52&lt;=12,SUMIFS('Attrition Modeling'!$D:$D,'Attrition Modeling'!$B:$B,$E52,'Attrition Modeling'!$C:$C,AT$11),VLOOKUP(RentalsVacates!AT$12-RentalsVacates!$F52-1,RentalsVacates!$A$8:$C$162,2,FALSE)*VLOOKUP(AT$11,'Attrition Modeling'!$L$15:$N$27,IF(AT$12-$F52&lt;=24,2,3),FALSE))*(1+IF('Traditional Attrition'!AT174&gt;0,'Attrition Modeling'!$N$9,0))),0))</f>
        <v>0</v>
      </c>
      <c r="AU52" s="799">
        <f>IF(AU$12=$F52+1,IF(Monthly!AQ$4=TRUE,0,AU$3),IF(AU$12&gt;$F52+1,RentalsVacates!AT52*(1-IF(AU$12-$F52&lt;=12,SUMIFS('Attrition Modeling'!$D:$D,'Attrition Modeling'!$B:$B,$E52,'Attrition Modeling'!$C:$C,AU$11),VLOOKUP(RentalsVacates!AU$12-RentalsVacates!$F52-1,RentalsVacates!$A$8:$C$162,2,FALSE)*VLOOKUP(AU$11,'Attrition Modeling'!$L$15:$N$27,IF(AU$12-$F52&lt;=24,2,3),FALSE))*(1+IF('Traditional Attrition'!AU174&gt;0,'Attrition Modeling'!$N$9,0))),0))</f>
        <v>6024.9297218818247</v>
      </c>
      <c r="AV52" s="799">
        <f>IF(AV$12=$F52+1,IF(Monthly!AR$4=TRUE,0,AV$3),IF(AV$12&gt;$F52+1,RentalsVacates!AU52*(1-IF(AV$12-$F52&lt;=12,SUMIFS('Attrition Modeling'!$D:$D,'Attrition Modeling'!$B:$B,$E52,'Attrition Modeling'!$C:$C,AV$11),VLOOKUP(RentalsVacates!AV$12-RentalsVacates!$F52-1,RentalsVacates!$A$8:$C$162,2,FALSE)*VLOOKUP(AV$11,'Attrition Modeling'!$L$15:$N$27,IF(AV$12-$F52&lt;=24,2,3),FALSE))*(1+IF('Traditional Attrition'!AV174&gt;0,'Attrition Modeling'!$N$9,0))),0))</f>
        <v>5459.0793480240745</v>
      </c>
      <c r="AW52" s="799">
        <f>IF(AW$12=$F52+1,IF(Monthly!AS$4=TRUE,0,AW$3),IF(AW$12&gt;$F52+1,RentalsVacates!AV52*(1-IF(AW$12-$F52&lt;=12,SUMIFS('Attrition Modeling'!$D:$D,'Attrition Modeling'!$B:$B,$E52,'Attrition Modeling'!$C:$C,AW$11),VLOOKUP(RentalsVacates!AW$12-RentalsVacates!$F52-1,RentalsVacates!$A$8:$C$162,2,FALSE)*VLOOKUP(AW$11,'Attrition Modeling'!$L$15:$N$27,IF(AW$12-$F52&lt;=24,2,3),FALSE))*(1+IF('Traditional Attrition'!AW174&gt;0,'Attrition Modeling'!$N$9,0))),0))</f>
        <v>4968.9830752073003</v>
      </c>
      <c r="AX52" s="799">
        <f>IF(AX$12=$F52+1,IF(Monthly!AT$4=TRUE,0,AX$3),IF(AX$12&gt;$F52+1,RentalsVacates!AW52*(1-IF(AX$12-$F52&lt;=12,SUMIFS('Attrition Modeling'!$D:$D,'Attrition Modeling'!$B:$B,$E52,'Attrition Modeling'!$C:$C,AX$11),VLOOKUP(RentalsVacates!AX$12-RentalsVacates!$F52-1,RentalsVacates!$A$8:$C$162,2,FALSE)*VLOOKUP(AX$11,'Attrition Modeling'!$L$15:$N$27,IF(AX$12-$F52&lt;=24,2,3),FALSE))*(1+IF('Traditional Attrition'!AX174&gt;0,'Attrition Modeling'!$N$9,0))),0))</f>
        <v>4524.6819504359473</v>
      </c>
      <c r="AY52" s="799">
        <f>IF(AY$12=$F52+1,IF(Monthly!AU$4=TRUE,0,AY$3),IF(AY$12&gt;$F52+1,RentalsVacates!AX52*(1-IF(AY$12-$F52&lt;=12,SUMIFS('Attrition Modeling'!$D:$D,'Attrition Modeling'!$B:$B,$E52,'Attrition Modeling'!$C:$C,AY$11),VLOOKUP(RentalsVacates!AY$12-RentalsVacates!$F52-1,RentalsVacates!$A$8:$C$162,2,FALSE)*VLOOKUP(AY$11,'Attrition Modeling'!$L$15:$N$27,IF(AY$12-$F52&lt;=24,2,3),FALSE))*(1+IF('Traditional Attrition'!AY174&gt;0,'Attrition Modeling'!$N$9,0))),0))</f>
        <v>4129.9110064792685</v>
      </c>
      <c r="AZ52" s="799">
        <f>IF(AZ$12=$F52+1,IF(Monthly!AV$4=TRUE,0,AZ$3),IF(AZ$12&gt;$F52+1,RentalsVacates!AY52*(1-IF(AZ$12-$F52&lt;=12,SUMIFS('Attrition Modeling'!$D:$D,'Attrition Modeling'!$B:$B,$E52,'Attrition Modeling'!$C:$C,AZ$11),VLOOKUP(RentalsVacates!AZ$12-RentalsVacates!$F52-1,RentalsVacates!$A$8:$C$162,2,FALSE)*VLOOKUP(AZ$11,'Attrition Modeling'!$L$15:$N$27,IF(AZ$12-$F52&lt;=24,2,3),FALSE))*(1+IF('Traditional Attrition'!AZ174&gt;0,'Attrition Modeling'!$N$9,0))),0))</f>
        <v>3722.036584734421</v>
      </c>
      <c r="BA52" s="799">
        <f>IF(BA$12=$F52+1,IF(Monthly!AW$4=TRUE,0,BA$3),IF(BA$12&gt;$F52+1,RentalsVacates!AZ52*(1-IF(BA$12-$F52&lt;=12,SUMIFS('Attrition Modeling'!$D:$D,'Attrition Modeling'!$B:$B,$E52,'Attrition Modeling'!$C:$C,BA$11),VLOOKUP(RentalsVacates!BA$12-RentalsVacates!$F52-1,RentalsVacates!$A$8:$C$162,2,FALSE)*VLOOKUP(BA$11,'Attrition Modeling'!$L$15:$N$27,IF(BA$12-$F52&lt;=24,2,3),FALSE))*(1+IF('Traditional Attrition'!BA174&gt;0,'Attrition Modeling'!$N$9,0))),0))</f>
        <v>3427.029900487395</v>
      </c>
      <c r="BB52" s="799">
        <f>IF(BB$12=$F52+1,IF(Monthly!AX$4=TRUE,0,BB$3),IF(BB$12&gt;$F52+1,RentalsVacates!BA52*(1-IF(BB$12-$F52&lt;=12,SUMIFS('Attrition Modeling'!$D:$D,'Attrition Modeling'!$B:$B,$E52,'Attrition Modeling'!$C:$C,BB$11),VLOOKUP(RentalsVacates!BB$12-RentalsVacates!$F52-1,RentalsVacates!$A$8:$C$162,2,FALSE)*VLOOKUP(BB$11,'Attrition Modeling'!$L$15:$N$27,IF(BB$12-$F52&lt;=24,2,3),FALSE))*(1+IF('Traditional Attrition'!BB174&gt;0,'Attrition Modeling'!$N$9,0))),0))</f>
        <v>3171.4316608787458</v>
      </c>
      <c r="BC52" s="799">
        <f>IF(BC$12=$F52+1,IF(Monthly!AY$4=TRUE,0,BC$3),IF(BC$12&gt;$F52+1,RentalsVacates!BB52*(1-IF(BC$12-$F52&lt;=12,SUMIFS('Attrition Modeling'!$D:$D,'Attrition Modeling'!$B:$B,$E52,'Attrition Modeling'!$C:$C,BC$11),VLOOKUP(RentalsVacates!BC$12-RentalsVacates!$F52-1,RentalsVacates!$A$8:$C$162,2,FALSE)*VLOOKUP(BC$11,'Attrition Modeling'!$L$15:$N$27,IF(BC$12-$F52&lt;=24,2,3),FALSE))*(1+IF('Traditional Attrition'!BC174&gt;0,'Attrition Modeling'!$N$9,0))),0))</f>
        <v>2982.3773232828898</v>
      </c>
      <c r="BD52" s="799">
        <f>IF(BD$12=$F52+1,IF(Monthly!AZ$4=TRUE,0,BD$3),IF(BD$12&gt;$F52+1,RentalsVacates!BC52*(1-IF(BD$12-$F52&lt;=12,SUMIFS('Attrition Modeling'!$D:$D,'Attrition Modeling'!$B:$B,$E52,'Attrition Modeling'!$C:$C,BD$11),VLOOKUP(RentalsVacates!BD$12-RentalsVacates!$F52-1,RentalsVacates!$A$8:$C$162,2,FALSE)*VLOOKUP(BD$11,'Attrition Modeling'!$L$15:$N$27,IF(BD$12-$F52&lt;=24,2,3),FALSE))*(1+IF('Traditional Attrition'!BD174&gt;0,'Attrition Modeling'!$N$9,0))),0))</f>
        <v>2815.1143892544496</v>
      </c>
      <c r="BE52" s="799">
        <f>IF(BE$12=$F52+1,IF(Monthly!BA$4=TRUE,0,BE$3),IF(BE$12&gt;$F52+1,RentalsVacates!BD52*(1-IF(BE$12-$F52&lt;=12,SUMIFS('Attrition Modeling'!$D:$D,'Attrition Modeling'!$B:$B,$E52,'Attrition Modeling'!$C:$C,BE$11),VLOOKUP(RentalsVacates!BE$12-RentalsVacates!$F52-1,RentalsVacates!$A$8:$C$162,2,FALSE)*VLOOKUP(BE$11,'Attrition Modeling'!$L$15:$N$27,IF(BE$12-$F52&lt;=24,2,3),FALSE))*(1+IF('Traditional Attrition'!BE174&gt;0,'Attrition Modeling'!$N$9,0))),0))</f>
        <v>2669.9757618968092</v>
      </c>
      <c r="BF52" s="799">
        <f>IF(BF$12=$F52+1,IF(Monthly!BB$4=TRUE,0,BF$3),IF(BF$12&gt;$F52+1,RentalsVacates!BE52*(1-IF(BF$12-$F52&lt;=12,SUMIFS('Attrition Modeling'!$D:$D,'Attrition Modeling'!$B:$B,$E52,'Attrition Modeling'!$C:$C,BF$11),VLOOKUP(RentalsVacates!BF$12-RentalsVacates!$F52-1,RentalsVacates!$A$8:$C$162,2,FALSE)*VLOOKUP(BF$11,'Attrition Modeling'!$L$15:$N$27,IF(BF$12-$F52&lt;=24,2,3),FALSE))*(1+IF('Traditional Attrition'!BF174&gt;0,'Attrition Modeling'!$N$9,0))),0))</f>
        <v>2584.4777980493495</v>
      </c>
      <c r="BG52" s="799">
        <f>IF(BG$12=$F52+1,IF(Monthly!BC$4=TRUE,0,BG$3),IF(BG$12&gt;$F52+1,RentalsVacates!BF52*(1-IF(BG$12-$F52&lt;=12,SUMIFS('Attrition Modeling'!$D:$D,'Attrition Modeling'!$B:$B,$E52,'Attrition Modeling'!$C:$C,BG$11),VLOOKUP(RentalsVacates!BG$12-RentalsVacates!$F52-1,RentalsVacates!$A$8:$C$162,2,FALSE)*VLOOKUP(BG$11,'Attrition Modeling'!$L$15:$N$27,IF(BG$12-$F52&lt;=24,2,3),FALSE))*(1+IF('Traditional Attrition'!BG174&gt;0,'Attrition Modeling'!$N$9,0))),0))</f>
        <v>2450.1369244104994</v>
      </c>
      <c r="BH52" s="799">
        <f>IF(BH$12=$F52+1,IF(Monthly!BD$4=TRUE,0,BH$3),IF(BH$12&gt;$F52+1,RentalsVacates!BG52*(1-IF(BH$12-$F52&lt;=12,SUMIFS('Attrition Modeling'!$D:$D,'Attrition Modeling'!$B:$B,$E52,'Attrition Modeling'!$C:$C,BH$11),VLOOKUP(RentalsVacates!BH$12-RentalsVacates!$F52-1,RentalsVacates!$A$8:$C$162,2,FALSE)*VLOOKUP(BH$11,'Attrition Modeling'!$L$15:$N$27,IF(BH$12-$F52&lt;=24,2,3),FALSE))*(1+IF('Traditional Attrition'!BH174&gt;0,'Attrition Modeling'!$N$9,0))),0))</f>
        <v>2333.4555076342504</v>
      </c>
      <c r="BI52" s="799">
        <f>IF(BI$12=$F52+1,IF(Monthly!BE$4=TRUE,0,BI$3),IF(BI$12&gt;$F52+1,RentalsVacates!BH52*(1-IF(BI$12-$F52&lt;=12,SUMIFS('Attrition Modeling'!$D:$D,'Attrition Modeling'!$B:$B,$E52,'Attrition Modeling'!$C:$C,BI$11),VLOOKUP(RentalsVacates!BI$12-RentalsVacates!$F52-1,RentalsVacates!$A$8:$C$162,2,FALSE)*VLOOKUP(BI$11,'Attrition Modeling'!$L$15:$N$27,IF(BI$12-$F52&lt;=24,2,3),FALSE))*(1+IF('Traditional Attrition'!BI174&gt;0,'Attrition Modeling'!$N$9,0))),0))</f>
        <v>2217.4283536417815</v>
      </c>
      <c r="BJ52" s="799">
        <f>IF(BJ$12=$F52+1,IF(Monthly!BF$4=TRUE,0,BJ$3),IF(BJ$12&gt;$F52+1,RentalsVacates!BI52*(1-IF(BJ$12-$F52&lt;=12,SUMIFS('Attrition Modeling'!$D:$D,'Attrition Modeling'!$B:$B,$E52,'Attrition Modeling'!$C:$C,BJ$11),VLOOKUP(RentalsVacates!BJ$12-RentalsVacates!$F52-1,RentalsVacates!$A$8:$C$162,2,FALSE)*VLOOKUP(BJ$11,'Attrition Modeling'!$L$15:$N$27,IF(BJ$12-$F52&lt;=24,2,3),FALSE))*(1+IF('Traditional Attrition'!BJ174&gt;0,'Attrition Modeling'!$N$9,0))),0))</f>
        <v>2108.6835887816469</v>
      </c>
      <c r="BK52" s="799">
        <f>IF(BK$12=$F52+1,IF(Monthly!BG$4=TRUE,0,BK$3),IF(BK$12&gt;$F52+1,RentalsVacates!BJ52*(1-IF(BK$12-$F52&lt;=12,SUMIFS('Attrition Modeling'!$D:$D,'Attrition Modeling'!$B:$B,$E52,'Attrition Modeling'!$C:$C,BK$11),VLOOKUP(RentalsVacates!BK$12-RentalsVacates!$F52-1,RentalsVacates!$A$8:$C$162,2,FALSE)*VLOOKUP(BK$11,'Attrition Modeling'!$L$15:$N$27,IF(BK$12-$F52&lt;=24,2,3),FALSE))*(1+IF('Traditional Attrition'!BK174&gt;0,'Attrition Modeling'!$N$9,0))),0))</f>
        <v>2003.8738609533443</v>
      </c>
      <c r="BL52" s="799">
        <f>IF(BL$12=$F52+1,IF(Monthly!BH$4=TRUE,0,BL$3),IF(BL$12&gt;$F52+1,RentalsVacates!BK52*(1-IF(BL$12-$F52&lt;=12,SUMIFS('Attrition Modeling'!$D:$D,'Attrition Modeling'!$B:$B,$E52,'Attrition Modeling'!$C:$C,BL$11),VLOOKUP(RentalsVacates!BL$12-RentalsVacates!$F52-1,RentalsVacates!$A$8:$C$162,2,FALSE)*VLOOKUP(BL$11,'Attrition Modeling'!$L$15:$N$27,IF(BL$12-$F52&lt;=24,2,3),FALSE))*(1+IF('Traditional Attrition'!BL174&gt;0,'Attrition Modeling'!$N$9,0))),0))</f>
        <v>1897.585045861978</v>
      </c>
      <c r="BM52" s="799">
        <f>IF(BM$12=$F52+1,IF(Monthly!BI$4=TRUE,0,BM$3),IF(BM$12&gt;$F52+1,RentalsVacates!BL52*(1-IF(BM$12-$F52&lt;=12,SUMIFS('Attrition Modeling'!$D:$D,'Attrition Modeling'!$B:$B,$E52,'Attrition Modeling'!$C:$C,BM$11),VLOOKUP(RentalsVacates!BM$12-RentalsVacates!$F52-1,RentalsVacates!$A$8:$C$162,2,FALSE)*VLOOKUP(BM$11,'Attrition Modeling'!$L$15:$N$27,IF(BM$12-$F52&lt;=24,2,3),FALSE))*(1+IF('Traditional Attrition'!BM174&gt;0,'Attrition Modeling'!$N$9,0))),0))</f>
        <v>1813.6104441622622</v>
      </c>
      <c r="BN52" s="799">
        <f>IF(BN$12=$F52+1,IF(Monthly!BJ$4=TRUE,0,BN$3),IF(BN$12&gt;$F52+1,RentalsVacates!BM52*(1-IF(BN$12-$F52&lt;=12,SUMIFS('Attrition Modeling'!$D:$D,'Attrition Modeling'!$B:$B,$E52,'Attrition Modeling'!$C:$C,BN$11),VLOOKUP(RentalsVacates!BN$12-RentalsVacates!$F52-1,RentalsVacates!$A$8:$C$162,2,FALSE)*VLOOKUP(BN$11,'Attrition Modeling'!$L$15:$N$27,IF(BN$12-$F52&lt;=24,2,3),FALSE))*(1+IF('Traditional Attrition'!BN174&gt;0,'Attrition Modeling'!$N$9,0))),0))</f>
        <v>1737.8694881556414</v>
      </c>
      <c r="BO52" s="799">
        <f>IF(BO$12=$F52+1,IF(Monthly!BK$4=TRUE,0,BO$3),IF(BO$12&gt;$F52+1,RentalsVacates!BN52*(1-IF(BO$12-$F52&lt;=12,SUMIFS('Attrition Modeling'!$D:$D,'Attrition Modeling'!$B:$B,$E52,'Attrition Modeling'!$C:$C,BO$11),VLOOKUP(RentalsVacates!BO$12-RentalsVacates!$F52-1,RentalsVacates!$A$8:$C$162,2,FALSE)*VLOOKUP(BO$11,'Attrition Modeling'!$L$15:$N$27,IF(BO$12-$F52&lt;=24,2,3),FALSE))*(1+IF('Traditional Attrition'!BO174&gt;0,'Attrition Modeling'!$N$9,0))),0))</f>
        <v>1667.2810228891401</v>
      </c>
      <c r="BP52" s="799">
        <f>IF(BP$12=$F52+1,IF(Monthly!BL$4=TRUE,0,BP$3),IF(BP$12&gt;$F52+1,RentalsVacates!BO52*(1-IF(BP$12-$F52&lt;=12,SUMIFS('Attrition Modeling'!$D:$D,'Attrition Modeling'!$B:$B,$E52,'Attrition Modeling'!$C:$C,BP$11),VLOOKUP(RentalsVacates!BP$12-RentalsVacates!$F52-1,RentalsVacates!$A$8:$C$162,2,FALSE)*VLOOKUP(BP$11,'Attrition Modeling'!$L$15:$N$27,IF(BP$12-$F52&lt;=24,2,3),FALSE))*(1+IF('Traditional Attrition'!BP174&gt;0,'Attrition Modeling'!$N$9,0))),0))</f>
        <v>1600.5524534063086</v>
      </c>
      <c r="BQ52" s="799">
        <f>IF(BQ$12=$F52+1,IF(Monthly!BM$4=TRUE,0,BQ$3),IF(BQ$12&gt;$F52+1,RentalsVacates!BP52*(1-IF(BQ$12-$F52&lt;=12,SUMIFS('Attrition Modeling'!$D:$D,'Attrition Modeling'!$B:$B,$E52,'Attrition Modeling'!$C:$C,BQ$11),VLOOKUP(RentalsVacates!BQ$12-RentalsVacates!$F52-1,RentalsVacates!$A$8:$C$162,2,FALSE)*VLOOKUP(BQ$11,'Attrition Modeling'!$L$15:$N$27,IF(BQ$12-$F52&lt;=24,2,3),FALSE))*(1+IF('Traditional Attrition'!BQ174&gt;0,'Attrition Modeling'!$N$9,0))),0))</f>
        <v>1543.5910215528179</v>
      </c>
      <c r="BR52" s="799">
        <f>IF(BR$12=$F52+1,IF(Monthly!BN$4=TRUE,0,BR$3),IF(BR$12&gt;$F52+1,RentalsVacates!BQ52*(1-IF(BR$12-$F52&lt;=12,SUMIFS('Attrition Modeling'!$D:$D,'Attrition Modeling'!$B:$B,$E52,'Attrition Modeling'!$C:$C,BR$11),VLOOKUP(RentalsVacates!BR$12-RentalsVacates!$F52-1,RentalsVacates!$A$8:$C$162,2,FALSE)*VLOOKUP(BR$11,'Attrition Modeling'!$L$15:$N$27,IF(BR$12-$F52&lt;=24,2,3),FALSE))*(1+IF('Traditional Attrition'!BR174&gt;0,'Attrition Modeling'!$N$9,0))),0))</f>
        <v>1484.5829909910065</v>
      </c>
      <c r="BS52" s="799">
        <f>IF(BS$12=$F52+1,IF(Monthly!BO$4=TRUE,0,BS$3),IF(BS$12&gt;$F52+1,RentalsVacates!BR52*(1-IF(BS$12-$F52&lt;=12,SUMIFS('Attrition Modeling'!$D:$D,'Attrition Modeling'!$B:$B,$E52,'Attrition Modeling'!$C:$C,BS$11),VLOOKUP(RentalsVacates!BS$12-RentalsVacates!$F52-1,RentalsVacates!$A$8:$C$162,2,FALSE)*VLOOKUP(BS$11,'Attrition Modeling'!$L$15:$N$27,IF(BS$12-$F52&lt;=24,2,3),FALSE))*(1+IF('Traditional Attrition'!BS174&gt;0,'Attrition Modeling'!$N$9,0))),0))</f>
        <v>1444.8889733496437</v>
      </c>
      <c r="BT52" s="799">
        <f>IF(BT$11=$F51+1,IF(Monthly!#REF!=TRUE,0,BT$3),IF(BT$11&gt;$F51+1,RentalsVacates!BS51*(1-IF(BT$11-$F51&lt;=12,SUMIFS('Attrition Modeling'!$D:$D,'Attrition Modeling'!$B:$B,$E51,'Attrition Modeling'!$C:$C,BT$10),VLOOKUP(RentalsVacates!BT$11-RentalsVacates!$F51-1,RentalsVacates!$A$7:$C$161,2,FALSE)*VLOOKUP(BT$10,'Attrition Modeling'!$L$15:$N$27,IF(BT$11-$F51&lt;=24,2,3),FALSE))*(1+IF('Traditional Attrition'!BT174&gt;0,'Attrition Modeling'!$N$9,0))),0))</f>
        <v>0</v>
      </c>
      <c r="BU52" s="799">
        <f>IF(BU$11=$F51+1,IF(Monthly!#REF!=TRUE,0,BU$3),IF(BU$11&gt;$F51+1,RentalsVacates!BT51*(1-IF(BU$11-$F51&lt;=12,SUMIFS('Attrition Modeling'!$D:$D,'Attrition Modeling'!$B:$B,$E51,'Attrition Modeling'!$C:$C,BU$10),VLOOKUP(RentalsVacates!BU$11-RentalsVacates!$F51-1,RentalsVacates!$A$7:$C$161,2,FALSE)*VLOOKUP(BU$10,'Attrition Modeling'!$L$15:$N$27,IF(BU$11-$F51&lt;=24,2,3),FALSE))*(1+IF('Traditional Attrition'!BU174&gt;0,'Attrition Modeling'!$N$9,0))),0))</f>
        <v>0</v>
      </c>
    </row>
    <row r="53" spans="1:73" ht="14.25" customHeight="1" x14ac:dyDescent="0.2">
      <c r="A53" s="9">
        <v>45</v>
      </c>
      <c r="B53" s="25">
        <f>MAX('Attrition Modeling'!H49,$C$3)*(1-Summary!$C$20)</f>
        <v>2.6775919200803668E-2</v>
      </c>
      <c r="C53" s="24" t="e">
        <f t="shared" si="2"/>
        <v>#DIV/0!</v>
      </c>
      <c r="E53" s="11">
        <f>'Traditional Attrition'!E110</f>
        <v>4</v>
      </c>
      <c r="F53" s="11">
        <f t="shared" si="4"/>
        <v>40</v>
      </c>
      <c r="G53" s="799"/>
      <c r="H53" s="799">
        <f>IF(H$12=$F53+1,IF(Monthly!D$4=TRUE,0,H$3),IF(H$12&gt;$F53+1,RentalsVacates!G53*(1-IF(H$12-$F53&lt;=12,SUMIFS('Attrition Modeling'!$D:$D,'Attrition Modeling'!$B:$B,$E53,'Attrition Modeling'!$C:$C,H$11),VLOOKUP(RentalsVacates!H$12-RentalsVacates!$F53-1,RentalsVacates!$A$8:$C$162,2,FALSE)*VLOOKUP(H$11,'Attrition Modeling'!$L$15:$N$27,IF(H$12-$F53&lt;=24,2,3),FALSE))*(1+IF('Traditional Attrition'!H175&gt;0,'Attrition Modeling'!$N$9,0))),0))</f>
        <v>0</v>
      </c>
      <c r="I53" s="799">
        <f>IF(I$12=$F53+1,IF(Monthly!E$4=TRUE,0,I$3),IF(I$12&gt;$F53+1,RentalsVacates!H53*(1-IF(I$12-$F53&lt;=12,SUMIFS('Attrition Modeling'!$D:$D,'Attrition Modeling'!$B:$B,$E53,'Attrition Modeling'!$C:$C,I$11),VLOOKUP(RentalsVacates!I$12-RentalsVacates!$F53-1,RentalsVacates!$A$8:$C$162,2,FALSE)*VLOOKUP(I$11,'Attrition Modeling'!$L$15:$N$27,IF(I$12-$F53&lt;=24,2,3),FALSE))*(1+IF('Traditional Attrition'!I175&gt;0,'Attrition Modeling'!$N$9,0))),0))</f>
        <v>0</v>
      </c>
      <c r="J53" s="799">
        <f>IF(J$12=$F53+1,IF(Monthly!F$4=TRUE,0,J$3),IF(J$12&gt;$F53+1,RentalsVacates!I53*(1-IF(J$12-$F53&lt;=12,SUMIFS('Attrition Modeling'!$D:$D,'Attrition Modeling'!$B:$B,$E53,'Attrition Modeling'!$C:$C,J$11),VLOOKUP(RentalsVacates!J$12-RentalsVacates!$F53-1,RentalsVacates!$A$8:$C$162,2,FALSE)*VLOOKUP(J$11,'Attrition Modeling'!$L$15:$N$27,IF(J$12-$F53&lt;=24,2,3),FALSE))*(1+IF('Traditional Attrition'!J175&gt;0,'Attrition Modeling'!$N$9,0))),0))</f>
        <v>0</v>
      </c>
      <c r="K53" s="799">
        <f>IF(K$12=$F53+1,IF(Monthly!G$4=TRUE,0,K$3),IF(K$12&gt;$F53+1,RentalsVacates!J53*(1-IF(K$12-$F53&lt;=12,SUMIFS('Attrition Modeling'!$D:$D,'Attrition Modeling'!$B:$B,$E53,'Attrition Modeling'!$C:$C,K$11),VLOOKUP(RentalsVacates!K$12-RentalsVacates!$F53-1,RentalsVacates!$A$8:$C$162,2,FALSE)*VLOOKUP(K$11,'Attrition Modeling'!$L$15:$N$27,IF(K$12-$F53&lt;=24,2,3),FALSE))*(1+IF('Traditional Attrition'!K175&gt;0,'Attrition Modeling'!$N$9,0))),0))</f>
        <v>0</v>
      </c>
      <c r="L53" s="799">
        <f>IF(L$12=$F53+1,IF(Monthly!H$4=TRUE,0,L$3),IF(L$12&gt;$F53+1,RentalsVacates!K53*(1-IF(L$12-$F53&lt;=12,SUMIFS('Attrition Modeling'!$D:$D,'Attrition Modeling'!$B:$B,$E53,'Attrition Modeling'!$C:$C,L$11),VLOOKUP(RentalsVacates!L$12-RentalsVacates!$F53-1,RentalsVacates!$A$8:$C$162,2,FALSE)*VLOOKUP(L$11,'Attrition Modeling'!$L$15:$N$27,IF(L$12-$F53&lt;=24,2,3),FALSE))*(1+IF('Traditional Attrition'!L175&gt;0,'Attrition Modeling'!$N$9,0))),0))</f>
        <v>0</v>
      </c>
      <c r="M53" s="799">
        <f>IF(M$12=$F53+1,IF(Monthly!I$4=TRUE,0,M$3),IF(M$12&gt;$F53+1,RentalsVacates!L53*(1-IF(M$12-$F53&lt;=12,SUMIFS('Attrition Modeling'!$D:$D,'Attrition Modeling'!$B:$B,$E53,'Attrition Modeling'!$C:$C,M$11),VLOOKUP(RentalsVacates!M$12-RentalsVacates!$F53-1,RentalsVacates!$A$8:$C$162,2,FALSE)*VLOOKUP(M$11,'Attrition Modeling'!$L$15:$N$27,IF(M$12-$F53&lt;=24,2,3),FALSE))*(1+IF('Traditional Attrition'!M175&gt;0,'Attrition Modeling'!$N$9,0))),0))</f>
        <v>0</v>
      </c>
      <c r="N53" s="799">
        <f>IF(N$12=$F53+1,IF(Monthly!J$4=TRUE,0,N$3),IF(N$12&gt;$F53+1,RentalsVacates!M53*(1-IF(N$12-$F53&lt;=12,SUMIFS('Attrition Modeling'!$D:$D,'Attrition Modeling'!$B:$B,$E53,'Attrition Modeling'!$C:$C,N$11),VLOOKUP(RentalsVacates!N$12-RentalsVacates!$F53-1,RentalsVacates!$A$8:$C$162,2,FALSE)*VLOOKUP(N$11,'Attrition Modeling'!$L$15:$N$27,IF(N$12-$F53&lt;=24,2,3),FALSE))*(1+IF('Traditional Attrition'!N175&gt;0,'Attrition Modeling'!$N$9,0))),0))</f>
        <v>0</v>
      </c>
      <c r="O53" s="799">
        <f>IF(O$12=$F53+1,IF(Monthly!K$4=TRUE,0,O$3),IF(O$12&gt;$F53+1,RentalsVacates!N53*(1-IF(O$12-$F53&lt;=12,SUMIFS('Attrition Modeling'!$D:$D,'Attrition Modeling'!$B:$B,$E53,'Attrition Modeling'!$C:$C,O$11),VLOOKUP(RentalsVacates!O$12-RentalsVacates!$F53-1,RentalsVacates!$A$8:$C$162,2,FALSE)*VLOOKUP(O$11,'Attrition Modeling'!$L$15:$N$27,IF(O$12-$F53&lt;=24,2,3),FALSE))*(1+IF('Traditional Attrition'!O175&gt;0,'Attrition Modeling'!$N$9,0))),0))</f>
        <v>0</v>
      </c>
      <c r="P53" s="799">
        <f>IF(P$12=$F53+1,IF(Monthly!L$4=TRUE,0,P$3),IF(P$12&gt;$F53+1,RentalsVacates!O53*(1-IF(P$12-$F53&lt;=12,SUMIFS('Attrition Modeling'!$D:$D,'Attrition Modeling'!$B:$B,$E53,'Attrition Modeling'!$C:$C,P$11),VLOOKUP(RentalsVacates!P$12-RentalsVacates!$F53-1,RentalsVacates!$A$8:$C$162,2,FALSE)*VLOOKUP(P$11,'Attrition Modeling'!$L$15:$N$27,IF(P$12-$F53&lt;=24,2,3),FALSE))*(1+IF('Traditional Attrition'!P175&gt;0,'Attrition Modeling'!$N$9,0))),0))</f>
        <v>0</v>
      </c>
      <c r="Q53" s="799">
        <f>IF(Q$12=$F53+1,IF(Monthly!M$4=TRUE,0,Q$3),IF(Q$12&gt;$F53+1,RentalsVacates!P53*(1-IF(Q$12-$F53&lt;=12,SUMIFS('Attrition Modeling'!$D:$D,'Attrition Modeling'!$B:$B,$E53,'Attrition Modeling'!$C:$C,Q$11),VLOOKUP(RentalsVacates!Q$12-RentalsVacates!$F53-1,RentalsVacates!$A$8:$C$162,2,FALSE)*VLOOKUP(Q$11,'Attrition Modeling'!$L$15:$N$27,IF(Q$12-$F53&lt;=24,2,3),FALSE))*(1+IF('Traditional Attrition'!Q175&gt;0,'Attrition Modeling'!$N$9,0))),0))</f>
        <v>0</v>
      </c>
      <c r="R53" s="799">
        <f>IF(R$12=$F53+1,IF(Monthly!N$4=TRUE,0,R$3),IF(R$12&gt;$F53+1,RentalsVacates!Q53*(1-IF(R$12-$F53&lt;=12,SUMIFS('Attrition Modeling'!$D:$D,'Attrition Modeling'!$B:$B,$E53,'Attrition Modeling'!$C:$C,R$11),VLOOKUP(RentalsVacates!R$12-RentalsVacates!$F53-1,RentalsVacates!$A$8:$C$162,2,FALSE)*VLOOKUP(R$11,'Attrition Modeling'!$L$15:$N$27,IF(R$12-$F53&lt;=24,2,3),FALSE))*(1+IF('Traditional Attrition'!R175&gt;0,'Attrition Modeling'!$N$9,0))),0))</f>
        <v>0</v>
      </c>
      <c r="S53" s="799">
        <f>IF(S$12=$F53+1,IF(Monthly!O$4=TRUE,0,S$3),IF(S$12&gt;$F53+1,RentalsVacates!R53*(1-IF(S$12-$F53&lt;=12,SUMIFS('Attrition Modeling'!$D:$D,'Attrition Modeling'!$B:$B,$E53,'Attrition Modeling'!$C:$C,S$11),VLOOKUP(RentalsVacates!S$12-RentalsVacates!$F53-1,RentalsVacates!$A$8:$C$162,2,FALSE)*VLOOKUP(S$11,'Attrition Modeling'!$L$15:$N$27,IF(S$12-$F53&lt;=24,2,3),FALSE))*(1+IF('Traditional Attrition'!S175&gt;0,'Attrition Modeling'!$N$9,0))),0))</f>
        <v>0</v>
      </c>
      <c r="T53" s="799">
        <f>IF(T$12=$F53+1,IF(Monthly!P$4=TRUE,0,T$3),IF(T$12&gt;$F53+1,RentalsVacates!S53*(1-IF(T$12-$F53&lt;=12,SUMIFS('Attrition Modeling'!$D:$D,'Attrition Modeling'!$B:$B,$E53,'Attrition Modeling'!$C:$C,T$11),VLOOKUP(RentalsVacates!T$12-RentalsVacates!$F53-1,RentalsVacates!$A$8:$C$162,2,FALSE)*VLOOKUP(T$11,'Attrition Modeling'!$L$15:$N$27,IF(T$12-$F53&lt;=24,2,3),FALSE))*(1+IF('Traditional Attrition'!T175&gt;0,'Attrition Modeling'!$N$9,0))),0))</f>
        <v>0</v>
      </c>
      <c r="U53" s="799">
        <f>IF(U$12=$F53+1,IF(Monthly!Q$4=TRUE,0,U$3),IF(U$12&gt;$F53+1,RentalsVacates!T53*(1-IF(U$12-$F53&lt;=12,SUMIFS('Attrition Modeling'!$D:$D,'Attrition Modeling'!$B:$B,$E53,'Attrition Modeling'!$C:$C,U$11),VLOOKUP(RentalsVacates!U$12-RentalsVacates!$F53-1,RentalsVacates!$A$8:$C$162,2,FALSE)*VLOOKUP(U$11,'Attrition Modeling'!$L$15:$N$27,IF(U$12-$F53&lt;=24,2,3),FALSE))*(1+IF('Traditional Attrition'!U175&gt;0,'Attrition Modeling'!$N$9,0))),0))</f>
        <v>0</v>
      </c>
      <c r="V53" s="799">
        <f>IF(V$12=$F53+1,IF(Monthly!R$4=TRUE,0,V$3),IF(V$12&gt;$F53+1,RentalsVacates!U53*(1-IF(V$12-$F53&lt;=12,SUMIFS('Attrition Modeling'!$D:$D,'Attrition Modeling'!$B:$B,$E53,'Attrition Modeling'!$C:$C,V$11),VLOOKUP(RentalsVacates!V$12-RentalsVacates!$F53-1,RentalsVacates!$A$8:$C$162,2,FALSE)*VLOOKUP(V$11,'Attrition Modeling'!$L$15:$N$27,IF(V$12-$F53&lt;=24,2,3),FALSE))*(1+IF('Traditional Attrition'!V175&gt;0,'Attrition Modeling'!$N$9,0))),0))</f>
        <v>0</v>
      </c>
      <c r="W53" s="799">
        <f>IF(W$12=$F53+1,IF(Monthly!S$4=TRUE,0,W$3),IF(W$12&gt;$F53+1,RentalsVacates!V53*(1-IF(W$12-$F53&lt;=12,SUMIFS('Attrition Modeling'!$D:$D,'Attrition Modeling'!$B:$B,$E53,'Attrition Modeling'!$C:$C,W$11),VLOOKUP(RentalsVacates!W$12-RentalsVacates!$F53-1,RentalsVacates!$A$8:$C$162,2,FALSE)*VLOOKUP(W$11,'Attrition Modeling'!$L$15:$N$27,IF(W$12-$F53&lt;=24,2,3),FALSE))*(1+IF('Traditional Attrition'!W175&gt;0,'Attrition Modeling'!$N$9,0))),0))</f>
        <v>0</v>
      </c>
      <c r="X53" s="799">
        <f>IF(X$12=$F53+1,IF(Monthly!T$4=TRUE,0,X$3),IF(X$12&gt;$F53+1,RentalsVacates!W53*(1-IF(X$12-$F53&lt;=12,SUMIFS('Attrition Modeling'!$D:$D,'Attrition Modeling'!$B:$B,$E53,'Attrition Modeling'!$C:$C,X$11),VLOOKUP(RentalsVacates!X$12-RentalsVacates!$F53-1,RentalsVacates!$A$8:$C$162,2,FALSE)*VLOOKUP(X$11,'Attrition Modeling'!$L$15:$N$27,IF(X$12-$F53&lt;=24,2,3),FALSE))*(1+IF('Traditional Attrition'!X175&gt;0,'Attrition Modeling'!$N$9,0))),0))</f>
        <v>0</v>
      </c>
      <c r="Y53" s="799">
        <f>IF(Y$12=$F53+1,IF(Monthly!U$4=TRUE,0,Y$3),IF(Y$12&gt;$F53+1,RentalsVacates!X53*(1-IF(Y$12-$F53&lt;=12,SUMIFS('Attrition Modeling'!$D:$D,'Attrition Modeling'!$B:$B,$E53,'Attrition Modeling'!$C:$C,Y$11),VLOOKUP(RentalsVacates!Y$12-RentalsVacates!$F53-1,RentalsVacates!$A$8:$C$162,2,FALSE)*VLOOKUP(Y$11,'Attrition Modeling'!$L$15:$N$27,IF(Y$12-$F53&lt;=24,2,3),FALSE))*(1+IF('Traditional Attrition'!Y175&gt;0,'Attrition Modeling'!$N$9,0))),0))</f>
        <v>0</v>
      </c>
      <c r="Z53" s="799">
        <f>IF(Z$12=$F53+1,IF(Monthly!V$4=TRUE,0,Z$3),IF(Z$12&gt;$F53+1,RentalsVacates!Y53*(1-IF(Z$12-$F53&lt;=12,SUMIFS('Attrition Modeling'!$D:$D,'Attrition Modeling'!$B:$B,$E53,'Attrition Modeling'!$C:$C,Z$11),VLOOKUP(RentalsVacates!Z$12-RentalsVacates!$F53-1,RentalsVacates!$A$8:$C$162,2,FALSE)*VLOOKUP(Z$11,'Attrition Modeling'!$L$15:$N$27,IF(Z$12-$F53&lt;=24,2,3),FALSE))*(1+IF('Traditional Attrition'!Z175&gt;0,'Attrition Modeling'!$N$9,0))),0))</f>
        <v>0</v>
      </c>
      <c r="AA53" s="799">
        <f>IF(AA$12=$F53+1,IF(Monthly!W$4=TRUE,0,AA$3),IF(AA$12&gt;$F53+1,RentalsVacates!Z53*(1-IF(AA$12-$F53&lt;=12,SUMIFS('Attrition Modeling'!$D:$D,'Attrition Modeling'!$B:$B,$E53,'Attrition Modeling'!$C:$C,AA$11),VLOOKUP(RentalsVacates!AA$12-RentalsVacates!$F53-1,RentalsVacates!$A$8:$C$162,2,FALSE)*VLOOKUP(AA$11,'Attrition Modeling'!$L$15:$N$27,IF(AA$12-$F53&lt;=24,2,3),FALSE))*(1+IF('Traditional Attrition'!AA175&gt;0,'Attrition Modeling'!$N$9,0))),0))</f>
        <v>0</v>
      </c>
      <c r="AB53" s="799">
        <f>IF(AB$12=$F53+1,IF(Monthly!X$4=TRUE,0,AB$3),IF(AB$12&gt;$F53+1,RentalsVacates!AA53*(1-IF(AB$12-$F53&lt;=12,SUMIFS('Attrition Modeling'!$D:$D,'Attrition Modeling'!$B:$B,$E53,'Attrition Modeling'!$C:$C,AB$11),VLOOKUP(RentalsVacates!AB$12-RentalsVacates!$F53-1,RentalsVacates!$A$8:$C$162,2,FALSE)*VLOOKUP(AB$11,'Attrition Modeling'!$L$15:$N$27,IF(AB$12-$F53&lt;=24,2,3),FALSE))*(1+IF('Traditional Attrition'!AB175&gt;0,'Attrition Modeling'!$N$9,0))),0))</f>
        <v>0</v>
      </c>
      <c r="AC53" s="799">
        <f>IF(AC$12=$F53+1,IF(Monthly!Y$4=TRUE,0,AC$3),IF(AC$12&gt;$F53+1,RentalsVacates!AB53*(1-IF(AC$12-$F53&lt;=12,SUMIFS('Attrition Modeling'!$D:$D,'Attrition Modeling'!$B:$B,$E53,'Attrition Modeling'!$C:$C,AC$11),VLOOKUP(RentalsVacates!AC$12-RentalsVacates!$F53-1,RentalsVacates!$A$8:$C$162,2,FALSE)*VLOOKUP(AC$11,'Attrition Modeling'!$L$15:$N$27,IF(AC$12-$F53&lt;=24,2,3),FALSE))*(1+IF('Traditional Attrition'!AC175&gt;0,'Attrition Modeling'!$N$9,0))),0))</f>
        <v>0</v>
      </c>
      <c r="AD53" s="799">
        <f>IF(AD$12=$F53+1,IF(Monthly!Z$4=TRUE,0,AD$3),IF(AD$12&gt;$F53+1,RentalsVacates!AC53*(1-IF(AD$12-$F53&lt;=12,SUMIFS('Attrition Modeling'!$D:$D,'Attrition Modeling'!$B:$B,$E53,'Attrition Modeling'!$C:$C,AD$11),VLOOKUP(RentalsVacates!AD$12-RentalsVacates!$F53-1,RentalsVacates!$A$8:$C$162,2,FALSE)*VLOOKUP(AD$11,'Attrition Modeling'!$L$15:$N$27,IF(AD$12-$F53&lt;=24,2,3),FALSE))*(1+IF('Traditional Attrition'!AD175&gt;0,'Attrition Modeling'!$N$9,0))),0))</f>
        <v>0</v>
      </c>
      <c r="AE53" s="799">
        <f>IF(AE$12=$F53+1,IF(Monthly!AA$4=TRUE,0,AE$3),IF(AE$12&gt;$F53+1,RentalsVacates!AD53*(1-IF(AE$12-$F53&lt;=12,SUMIFS('Attrition Modeling'!$D:$D,'Attrition Modeling'!$B:$B,$E53,'Attrition Modeling'!$C:$C,AE$11),VLOOKUP(RentalsVacates!AE$12-RentalsVacates!$F53-1,RentalsVacates!$A$8:$C$162,2,FALSE)*VLOOKUP(AE$11,'Attrition Modeling'!$L$15:$N$27,IF(AE$12-$F53&lt;=24,2,3),FALSE))*(1+IF('Traditional Attrition'!AE175&gt;0,'Attrition Modeling'!$N$9,0))),0))</f>
        <v>0</v>
      </c>
      <c r="AF53" s="799">
        <f>IF(AF$12=$F53+1,IF(Monthly!AB$4=TRUE,0,AF$3),IF(AF$12&gt;$F53+1,RentalsVacates!AE53*(1-IF(AF$12-$F53&lt;=12,SUMIFS('Attrition Modeling'!$D:$D,'Attrition Modeling'!$B:$B,$E53,'Attrition Modeling'!$C:$C,AF$11),VLOOKUP(RentalsVacates!AF$12-RentalsVacates!$F53-1,RentalsVacates!$A$8:$C$162,2,FALSE)*VLOOKUP(AF$11,'Attrition Modeling'!$L$15:$N$27,IF(AF$12-$F53&lt;=24,2,3),FALSE))*(1+IF('Traditional Attrition'!AF175&gt;0,'Attrition Modeling'!$N$9,0))),0))</f>
        <v>0</v>
      </c>
      <c r="AG53" s="799">
        <f>IF(AG$12=$F53+1,IF(Monthly!AC$4=TRUE,0,AG$3),IF(AG$12&gt;$F53+1,RentalsVacates!AF53*(1-IF(AG$12-$F53&lt;=12,SUMIFS('Attrition Modeling'!$D:$D,'Attrition Modeling'!$B:$B,$E53,'Attrition Modeling'!$C:$C,AG$11),VLOOKUP(RentalsVacates!AG$12-RentalsVacates!$F53-1,RentalsVacates!$A$8:$C$162,2,FALSE)*VLOOKUP(AG$11,'Attrition Modeling'!$L$15:$N$27,IF(AG$12-$F53&lt;=24,2,3),FALSE))*(1+IF('Traditional Attrition'!AG175&gt;0,'Attrition Modeling'!$N$9,0))),0))</f>
        <v>0</v>
      </c>
      <c r="AH53" s="799">
        <f>IF(AH$12=$F53+1,IF(Monthly!AD$4=TRUE,0,AH$3),IF(AH$12&gt;$F53+1,RentalsVacates!AG53*(1-IF(AH$12-$F53&lt;=12,SUMIFS('Attrition Modeling'!$D:$D,'Attrition Modeling'!$B:$B,$E53,'Attrition Modeling'!$C:$C,AH$11),VLOOKUP(RentalsVacates!AH$12-RentalsVacates!$F53-1,RentalsVacates!$A$8:$C$162,2,FALSE)*VLOOKUP(AH$11,'Attrition Modeling'!$L$15:$N$27,IF(AH$12-$F53&lt;=24,2,3),FALSE))*(1+IF('Traditional Attrition'!AH175&gt;0,'Attrition Modeling'!$N$9,0))),0))</f>
        <v>0</v>
      </c>
      <c r="AI53" s="799">
        <f>IF(AI$12=$F53+1,IF(Monthly!AE$4=TRUE,0,AI$3),IF(AI$12&gt;$F53+1,RentalsVacates!AH53*(1-IF(AI$12-$F53&lt;=12,SUMIFS('Attrition Modeling'!$D:$D,'Attrition Modeling'!$B:$B,$E53,'Attrition Modeling'!$C:$C,AI$11),VLOOKUP(RentalsVacates!AI$12-RentalsVacates!$F53-1,RentalsVacates!$A$8:$C$162,2,FALSE)*VLOOKUP(AI$11,'Attrition Modeling'!$L$15:$N$27,IF(AI$12-$F53&lt;=24,2,3),FALSE))*(1+IF('Traditional Attrition'!AI175&gt;0,'Attrition Modeling'!$N$9,0))),0))</f>
        <v>0</v>
      </c>
      <c r="AJ53" s="799">
        <f>IF(AJ$12=$F53+1,IF(Monthly!AF$4=TRUE,0,AJ$3),IF(AJ$12&gt;$F53+1,RentalsVacates!AI53*(1-IF(AJ$12-$F53&lt;=12,SUMIFS('Attrition Modeling'!$D:$D,'Attrition Modeling'!$B:$B,$E53,'Attrition Modeling'!$C:$C,AJ$11),VLOOKUP(RentalsVacates!AJ$12-RentalsVacates!$F53-1,RentalsVacates!$A$8:$C$162,2,FALSE)*VLOOKUP(AJ$11,'Attrition Modeling'!$L$15:$N$27,IF(AJ$12-$F53&lt;=24,2,3),FALSE))*(1+IF('Traditional Attrition'!AJ175&gt;0,'Attrition Modeling'!$N$9,0))),0))</f>
        <v>0</v>
      </c>
      <c r="AK53" s="799">
        <f>IF(AK$12=$F53+1,IF(Monthly!AG$4=TRUE,0,AK$3),IF(AK$12&gt;$F53+1,RentalsVacates!AJ53*(1-IF(AK$12-$F53&lt;=12,SUMIFS('Attrition Modeling'!$D:$D,'Attrition Modeling'!$B:$B,$E53,'Attrition Modeling'!$C:$C,AK$11),VLOOKUP(RentalsVacates!AK$12-RentalsVacates!$F53-1,RentalsVacates!$A$8:$C$162,2,FALSE)*VLOOKUP(AK$11,'Attrition Modeling'!$L$15:$N$27,IF(AK$12-$F53&lt;=24,2,3),FALSE))*(1+IF('Traditional Attrition'!AK175&gt;0,'Attrition Modeling'!$N$9,0))),0))</f>
        <v>0</v>
      </c>
      <c r="AL53" s="799">
        <f>IF(AL$12=$F53+1,IF(Monthly!AH$4=TRUE,0,AL$3),IF(AL$12&gt;$F53+1,RentalsVacates!AK53*(1-IF(AL$12-$F53&lt;=12,SUMIFS('Attrition Modeling'!$D:$D,'Attrition Modeling'!$B:$B,$E53,'Attrition Modeling'!$C:$C,AL$11),VLOOKUP(RentalsVacates!AL$12-RentalsVacates!$F53-1,RentalsVacates!$A$8:$C$162,2,FALSE)*VLOOKUP(AL$11,'Attrition Modeling'!$L$15:$N$27,IF(AL$12-$F53&lt;=24,2,3),FALSE))*(1+IF('Traditional Attrition'!AL175&gt;0,'Attrition Modeling'!$N$9,0))),0))</f>
        <v>0</v>
      </c>
      <c r="AM53" s="799">
        <f>IF(AM$12=$F53+1,IF(Monthly!AI$4=TRUE,0,AM$3),IF(AM$12&gt;$F53+1,RentalsVacates!AL53*(1-IF(AM$12-$F53&lt;=12,SUMIFS('Attrition Modeling'!$D:$D,'Attrition Modeling'!$B:$B,$E53,'Attrition Modeling'!$C:$C,AM$11),VLOOKUP(RentalsVacates!AM$12-RentalsVacates!$F53-1,RentalsVacates!$A$8:$C$162,2,FALSE)*VLOOKUP(AM$11,'Attrition Modeling'!$L$15:$N$27,IF(AM$12-$F53&lt;=24,2,3),FALSE))*(1+IF('Traditional Attrition'!AM175&gt;0,'Attrition Modeling'!$N$9,0))),0))</f>
        <v>0</v>
      </c>
      <c r="AN53" s="799">
        <f>IF(AN$12=$F53+1,IF(Monthly!AJ$4=TRUE,0,AN$3),IF(AN$12&gt;$F53+1,RentalsVacates!AM53*(1-IF(AN$12-$F53&lt;=12,SUMIFS('Attrition Modeling'!$D:$D,'Attrition Modeling'!$B:$B,$E53,'Attrition Modeling'!$C:$C,AN$11),VLOOKUP(RentalsVacates!AN$12-RentalsVacates!$F53-1,RentalsVacates!$A$8:$C$162,2,FALSE)*VLOOKUP(AN$11,'Attrition Modeling'!$L$15:$N$27,IF(AN$12-$F53&lt;=24,2,3),FALSE))*(1+IF('Traditional Attrition'!AN175&gt;0,'Attrition Modeling'!$N$9,0))),0))</f>
        <v>0</v>
      </c>
      <c r="AO53" s="799">
        <f>IF(AO$12=$F53+1,IF(Monthly!AK$4=TRUE,0,AO$3),IF(AO$12&gt;$F53+1,RentalsVacates!AN53*(1-IF(AO$12-$F53&lt;=12,SUMIFS('Attrition Modeling'!$D:$D,'Attrition Modeling'!$B:$B,$E53,'Attrition Modeling'!$C:$C,AO$11),VLOOKUP(RentalsVacates!AO$12-RentalsVacates!$F53-1,RentalsVacates!$A$8:$C$162,2,FALSE)*VLOOKUP(AO$11,'Attrition Modeling'!$L$15:$N$27,IF(AO$12-$F53&lt;=24,2,3),FALSE))*(1+IF('Traditional Attrition'!AO175&gt;0,'Attrition Modeling'!$N$9,0))),0))</f>
        <v>0</v>
      </c>
      <c r="AP53" s="799">
        <f>IF(AP$12=$F53+1,IF(Monthly!AL$4=TRUE,0,AP$3),IF(AP$12&gt;$F53+1,RentalsVacates!AO53*(1-IF(AP$12-$F53&lt;=12,SUMIFS('Attrition Modeling'!$D:$D,'Attrition Modeling'!$B:$B,$E53,'Attrition Modeling'!$C:$C,AP$11),VLOOKUP(RentalsVacates!AP$12-RentalsVacates!$F53-1,RentalsVacates!$A$8:$C$162,2,FALSE)*VLOOKUP(AP$11,'Attrition Modeling'!$L$15:$N$27,IF(AP$12-$F53&lt;=24,2,3),FALSE))*(1+IF('Traditional Attrition'!AP175&gt;0,'Attrition Modeling'!$N$9,0))),0))</f>
        <v>0</v>
      </c>
      <c r="AQ53" s="799">
        <f>IF(AQ$12=$F53+1,IF(Monthly!AM$4=TRUE,0,AQ$3),IF(AQ$12&gt;$F53+1,RentalsVacates!AP53*(1-IF(AQ$12-$F53&lt;=12,SUMIFS('Attrition Modeling'!$D:$D,'Attrition Modeling'!$B:$B,$E53,'Attrition Modeling'!$C:$C,AQ$11),VLOOKUP(RentalsVacates!AQ$12-RentalsVacates!$F53-1,RentalsVacates!$A$8:$C$162,2,FALSE)*VLOOKUP(AQ$11,'Attrition Modeling'!$L$15:$N$27,IF(AQ$12-$F53&lt;=24,2,3),FALSE))*(1+IF('Traditional Attrition'!AQ175&gt;0,'Attrition Modeling'!$N$9,0))),0))</f>
        <v>0</v>
      </c>
      <c r="AR53" s="799">
        <f>IF(AR$12=$F53+1,IF(Monthly!AN$4=TRUE,0,AR$3),IF(AR$12&gt;$F53+1,RentalsVacates!AQ53*(1-IF(AR$12-$F53&lt;=12,SUMIFS('Attrition Modeling'!$D:$D,'Attrition Modeling'!$B:$B,$E53,'Attrition Modeling'!$C:$C,AR$11),VLOOKUP(RentalsVacates!AR$12-RentalsVacates!$F53-1,RentalsVacates!$A$8:$C$162,2,FALSE)*VLOOKUP(AR$11,'Attrition Modeling'!$L$15:$N$27,IF(AR$12-$F53&lt;=24,2,3),FALSE))*(1+IF('Traditional Attrition'!AR175&gt;0,'Attrition Modeling'!$N$9,0))),0))</f>
        <v>0</v>
      </c>
      <c r="AS53" s="799">
        <f>IF(AS$12=$F53+1,IF(Monthly!AO$4=TRUE,0,AS$3),IF(AS$12&gt;$F53+1,RentalsVacates!AR53*(1-IF(AS$12-$F53&lt;=12,SUMIFS('Attrition Modeling'!$D:$D,'Attrition Modeling'!$B:$B,$E53,'Attrition Modeling'!$C:$C,AS$11),VLOOKUP(RentalsVacates!AS$12-RentalsVacates!$F53-1,RentalsVacates!$A$8:$C$162,2,FALSE)*VLOOKUP(AS$11,'Attrition Modeling'!$L$15:$N$27,IF(AS$12-$F53&lt;=24,2,3),FALSE))*(1+IF('Traditional Attrition'!AS175&gt;0,'Attrition Modeling'!$N$9,0))),0))</f>
        <v>0</v>
      </c>
      <c r="AT53" s="799">
        <f>IF(AT$12=$F53+1,IF(Monthly!AP$4=TRUE,0,AT$3),IF(AT$12&gt;$F53+1,RentalsVacates!AS53*(1-IF(AT$12-$F53&lt;=12,SUMIFS('Attrition Modeling'!$D:$D,'Attrition Modeling'!$B:$B,$E53,'Attrition Modeling'!$C:$C,AT$11),VLOOKUP(RentalsVacates!AT$12-RentalsVacates!$F53-1,RentalsVacates!$A$8:$C$162,2,FALSE)*VLOOKUP(AT$11,'Attrition Modeling'!$L$15:$N$27,IF(AT$12-$F53&lt;=24,2,3),FALSE))*(1+IF('Traditional Attrition'!AT175&gt;0,'Attrition Modeling'!$N$9,0))),0))</f>
        <v>0</v>
      </c>
      <c r="AU53" s="799">
        <f>IF(AU$12=$F53+1,IF(Monthly!AQ$4=TRUE,0,AU$3),IF(AU$12&gt;$F53+1,RentalsVacates!AT53*(1-IF(AU$12-$F53&lt;=12,SUMIFS('Attrition Modeling'!$D:$D,'Attrition Modeling'!$B:$B,$E53,'Attrition Modeling'!$C:$C,AU$11),VLOOKUP(RentalsVacates!AU$12-RentalsVacates!$F53-1,RentalsVacates!$A$8:$C$162,2,FALSE)*VLOOKUP(AU$11,'Attrition Modeling'!$L$15:$N$27,IF(AU$12-$F53&lt;=24,2,3),FALSE))*(1+IF('Traditional Attrition'!AU175&gt;0,'Attrition Modeling'!$N$9,0))),0))</f>
        <v>0</v>
      </c>
      <c r="AV53" s="799">
        <f>IF(AV$12=$F53+1,IF(Monthly!AR$4=TRUE,0,AV$3),IF(AV$12&gt;$F53+1,RentalsVacates!AU53*(1-IF(AV$12-$F53&lt;=12,SUMIFS('Attrition Modeling'!$D:$D,'Attrition Modeling'!$B:$B,$E53,'Attrition Modeling'!$C:$C,AV$11),VLOOKUP(RentalsVacates!AV$12-RentalsVacates!$F53-1,RentalsVacates!$A$8:$C$162,2,FALSE)*VLOOKUP(AV$11,'Attrition Modeling'!$L$15:$N$27,IF(AV$12-$F53&lt;=24,2,3),FALSE))*(1+IF('Traditional Attrition'!AV175&gt;0,'Attrition Modeling'!$N$9,0))),0))</f>
        <v>6960.5956339102122</v>
      </c>
      <c r="AW53" s="799">
        <f>IF(AW$12=$F53+1,IF(Monthly!AS$4=TRUE,0,AW$3),IF(AW$12&gt;$F53+1,RentalsVacates!AV53*(1-IF(AW$12-$F53&lt;=12,SUMIFS('Attrition Modeling'!$D:$D,'Attrition Modeling'!$B:$B,$E53,'Attrition Modeling'!$C:$C,AW$11),VLOOKUP(RentalsVacates!AW$12-RentalsVacates!$F53-1,RentalsVacates!$A$8:$C$162,2,FALSE)*VLOOKUP(AW$11,'Attrition Modeling'!$L$15:$N$27,IF(AW$12-$F53&lt;=24,2,3),FALSE))*(1+IF('Traditional Attrition'!AW175&gt;0,'Attrition Modeling'!$N$9,0))),0))</f>
        <v>6270.5783547711198</v>
      </c>
      <c r="AX53" s="799">
        <f>IF(AX$12=$F53+1,IF(Monthly!AT$4=TRUE,0,AX$3),IF(AX$12&gt;$F53+1,RentalsVacates!AW53*(1-IF(AX$12-$F53&lt;=12,SUMIFS('Attrition Modeling'!$D:$D,'Attrition Modeling'!$B:$B,$E53,'Attrition Modeling'!$C:$C,AX$11),VLOOKUP(RentalsVacates!AX$12-RentalsVacates!$F53-1,RentalsVacates!$A$8:$C$162,2,FALSE)*VLOOKUP(AX$11,'Attrition Modeling'!$L$15:$N$27,IF(AX$12-$F53&lt;=24,2,3),FALSE))*(1+IF('Traditional Attrition'!AX175&gt;0,'Attrition Modeling'!$N$9,0))),0))</f>
        <v>5689.5244292764355</v>
      </c>
      <c r="AY53" s="799">
        <f>IF(AY$12=$F53+1,IF(Monthly!AU$4=TRUE,0,AY$3),IF(AY$12&gt;$F53+1,RentalsVacates!AX53*(1-IF(AY$12-$F53&lt;=12,SUMIFS('Attrition Modeling'!$D:$D,'Attrition Modeling'!$B:$B,$E53,'Attrition Modeling'!$C:$C,AY$11),VLOOKUP(RentalsVacates!AY$12-RentalsVacates!$F53-1,RentalsVacates!$A$8:$C$162,2,FALSE)*VLOOKUP(AY$11,'Attrition Modeling'!$L$15:$N$27,IF(AY$12-$F53&lt;=24,2,3),FALSE))*(1+IF('Traditional Attrition'!AY175&gt;0,'Attrition Modeling'!$N$9,0))),0))</f>
        <v>5103.4709827717161</v>
      </c>
      <c r="AZ53" s="799">
        <f>IF(AZ$12=$F53+1,IF(Monthly!AV$4=TRUE,0,AZ$3),IF(AZ$12&gt;$F53+1,RentalsVacates!AY53*(1-IF(AZ$12-$F53&lt;=12,SUMIFS('Attrition Modeling'!$D:$D,'Attrition Modeling'!$B:$B,$E53,'Attrition Modeling'!$C:$C,AZ$11),VLOOKUP(RentalsVacates!AZ$12-RentalsVacates!$F53-1,RentalsVacates!$A$8:$C$162,2,FALSE)*VLOOKUP(AZ$11,'Attrition Modeling'!$L$15:$N$27,IF(AZ$12-$F53&lt;=24,2,3),FALSE))*(1+IF('Traditional Attrition'!AZ175&gt;0,'Attrition Modeling'!$N$9,0))),0))</f>
        <v>4688.4209981558406</v>
      </c>
      <c r="BA53" s="799">
        <f>IF(BA$12=$F53+1,IF(Monthly!AW$4=TRUE,0,BA$3),IF(BA$12&gt;$F53+1,RentalsVacates!AZ53*(1-IF(BA$12-$F53&lt;=12,SUMIFS('Attrition Modeling'!$D:$D,'Attrition Modeling'!$B:$B,$E53,'Attrition Modeling'!$C:$C,BA$11),VLOOKUP(RentalsVacates!BA$12-RentalsVacates!$F53-1,RentalsVacates!$A$8:$C$162,2,FALSE)*VLOOKUP(BA$11,'Attrition Modeling'!$L$15:$N$27,IF(BA$12-$F53&lt;=24,2,3),FALSE))*(1+IF('Traditional Attrition'!BA175&gt;0,'Attrition Modeling'!$N$9,0))),0))</f>
        <v>4220.0713700819033</v>
      </c>
      <c r="BB53" s="799">
        <f>IF(BB$12=$F53+1,IF(Monthly!AX$4=TRUE,0,BB$3),IF(BB$12&gt;$F53+1,RentalsVacates!BA53*(1-IF(BB$12-$F53&lt;=12,SUMIFS('Attrition Modeling'!$D:$D,'Attrition Modeling'!$B:$B,$E53,'Attrition Modeling'!$C:$C,BB$11),VLOOKUP(RentalsVacates!BB$12-RentalsVacates!$F53-1,RentalsVacates!$A$8:$C$162,2,FALSE)*VLOOKUP(BB$11,'Attrition Modeling'!$L$15:$N$27,IF(BB$12-$F53&lt;=24,2,3),FALSE))*(1+IF('Traditional Attrition'!BB175&gt;0,'Attrition Modeling'!$N$9,0))),0))</f>
        <v>3889.3700770432283</v>
      </c>
      <c r="BC53" s="799">
        <f>IF(BC$12=$F53+1,IF(Monthly!AY$4=TRUE,0,BC$3),IF(BC$12&gt;$F53+1,RentalsVacates!BB53*(1-IF(BC$12-$F53&lt;=12,SUMIFS('Attrition Modeling'!$D:$D,'Attrition Modeling'!$B:$B,$E53,'Attrition Modeling'!$C:$C,BC$11),VLOOKUP(RentalsVacates!BC$12-RentalsVacates!$F53-1,RentalsVacates!$A$8:$C$162,2,FALSE)*VLOOKUP(BC$11,'Attrition Modeling'!$L$15:$N$27,IF(BC$12-$F53&lt;=24,2,3),FALSE))*(1+IF('Traditional Attrition'!BC175&gt;0,'Attrition Modeling'!$N$9,0))),0))</f>
        <v>3629.0292957749248</v>
      </c>
      <c r="BD53" s="799">
        <f>IF(BD$12=$F53+1,IF(Monthly!AZ$4=TRUE,0,BD$3),IF(BD$12&gt;$F53+1,RentalsVacates!BC53*(1-IF(BD$12-$F53&lt;=12,SUMIFS('Attrition Modeling'!$D:$D,'Attrition Modeling'!$B:$B,$E53,'Attrition Modeling'!$C:$C,BD$11),VLOOKUP(RentalsVacates!BD$12-RentalsVacates!$F53-1,RentalsVacates!$A$8:$C$162,2,FALSE)*VLOOKUP(BD$11,'Attrition Modeling'!$L$15:$N$27,IF(BD$12-$F53&lt;=24,2,3),FALSE))*(1+IF('Traditional Attrition'!BD175&gt;0,'Attrition Modeling'!$N$9,0))),0))</f>
        <v>3400.1243898825746</v>
      </c>
      <c r="BE53" s="799">
        <f>IF(BE$12=$F53+1,IF(Monthly!BA$4=TRUE,0,BE$3),IF(BE$12&gt;$F53+1,RentalsVacates!BD53*(1-IF(BE$12-$F53&lt;=12,SUMIFS('Attrition Modeling'!$D:$D,'Attrition Modeling'!$B:$B,$E53,'Attrition Modeling'!$C:$C,BE$11),VLOOKUP(RentalsVacates!BE$12-RentalsVacates!$F53-1,RentalsVacates!$A$8:$C$162,2,FALSE)*VLOOKUP(BE$11,'Attrition Modeling'!$L$15:$N$27,IF(BE$12-$F53&lt;=24,2,3),FALSE))*(1+IF('Traditional Attrition'!BE175&gt;0,'Attrition Modeling'!$N$9,0))),0))</f>
        <v>3222.8877038696287</v>
      </c>
      <c r="BF53" s="799">
        <f>IF(BF$12=$F53+1,IF(Monthly!BB$4=TRUE,0,BF$3),IF(BF$12&gt;$F53+1,RentalsVacates!BE53*(1-IF(BF$12-$F53&lt;=12,SUMIFS('Attrition Modeling'!$D:$D,'Attrition Modeling'!$B:$B,$E53,'Attrition Modeling'!$C:$C,BF$11),VLOOKUP(RentalsVacates!BF$12-RentalsVacates!$F53-1,RentalsVacates!$A$8:$C$162,2,FALSE)*VLOOKUP(BF$11,'Attrition Modeling'!$L$15:$N$27,IF(BF$12-$F53&lt;=24,2,3),FALSE))*(1+IF('Traditional Attrition'!BF175&gt;0,'Attrition Modeling'!$N$9,0))),0))</f>
        <v>3053.475354789517</v>
      </c>
      <c r="BG53" s="799">
        <f>IF(BG$12=$F53+1,IF(Monthly!BC$4=TRUE,0,BG$3),IF(BG$12&gt;$F53+1,RentalsVacates!BF53*(1-IF(BG$12-$F53&lt;=12,SUMIFS('Attrition Modeling'!$D:$D,'Attrition Modeling'!$B:$B,$E53,'Attrition Modeling'!$C:$C,BG$11),VLOOKUP(RentalsVacates!BG$12-RentalsVacates!$F53-1,RentalsVacates!$A$8:$C$162,2,FALSE)*VLOOKUP(BG$11,'Attrition Modeling'!$L$15:$N$27,IF(BG$12-$F53&lt;=24,2,3),FALSE))*(1+IF('Traditional Attrition'!BG175&gt;0,'Attrition Modeling'!$N$9,0))),0))</f>
        <v>2984.1563649319523</v>
      </c>
      <c r="BH53" s="799">
        <f>IF(BH$12=$F53+1,IF(Monthly!BD$4=TRUE,0,BH$3),IF(BH$12&gt;$F53+1,RentalsVacates!BG53*(1-IF(BH$12-$F53&lt;=12,SUMIFS('Attrition Modeling'!$D:$D,'Attrition Modeling'!$B:$B,$E53,'Attrition Modeling'!$C:$C,BH$11),VLOOKUP(RentalsVacates!BH$12-RentalsVacates!$F53-1,RentalsVacates!$A$8:$C$162,2,FALSE)*VLOOKUP(BH$11,'Attrition Modeling'!$L$15:$N$27,IF(BH$12-$F53&lt;=24,2,3),FALSE))*(1+IF('Traditional Attrition'!BH175&gt;0,'Attrition Modeling'!$N$9,0))),0))</f>
        <v>2830.148067914567</v>
      </c>
      <c r="BI53" s="799">
        <f>IF(BI$12=$F53+1,IF(Monthly!BE$4=TRUE,0,BI$3),IF(BI$12&gt;$F53+1,RentalsVacates!BH53*(1-IF(BI$12-$F53&lt;=12,SUMIFS('Attrition Modeling'!$D:$D,'Attrition Modeling'!$B:$B,$E53,'Attrition Modeling'!$C:$C,BI$11),VLOOKUP(RentalsVacates!BI$12-RentalsVacates!$F53-1,RentalsVacates!$A$8:$C$162,2,FALSE)*VLOOKUP(BI$11,'Attrition Modeling'!$L$15:$N$27,IF(BI$12-$F53&lt;=24,2,3),FALSE))*(1+IF('Traditional Attrition'!BI175&gt;0,'Attrition Modeling'!$N$9,0))),0))</f>
        <v>2682.1784571559942</v>
      </c>
      <c r="BJ53" s="799">
        <f>IF(BJ$12=$F53+1,IF(Monthly!BF$4=TRUE,0,BJ$3),IF(BJ$12&gt;$F53+1,RentalsVacates!BI53*(1-IF(BJ$12-$F53&lt;=12,SUMIFS('Attrition Modeling'!$D:$D,'Attrition Modeling'!$B:$B,$E53,'Attrition Modeling'!$C:$C,BJ$11),VLOOKUP(RentalsVacates!BJ$12-RentalsVacates!$F53-1,RentalsVacates!$A$8:$C$162,2,FALSE)*VLOOKUP(BJ$11,'Attrition Modeling'!$L$15:$N$27,IF(BJ$12-$F53&lt;=24,2,3),FALSE))*(1+IF('Traditional Attrition'!BJ175&gt;0,'Attrition Modeling'!$N$9,0))),0))</f>
        <v>2545.6547705535982</v>
      </c>
      <c r="BK53" s="799">
        <f>IF(BK$12=$F53+1,IF(Monthly!BG$4=TRUE,0,BK$3),IF(BK$12&gt;$F53+1,RentalsVacates!BJ53*(1-IF(BK$12-$F53&lt;=12,SUMIFS('Attrition Modeling'!$D:$D,'Attrition Modeling'!$B:$B,$E53,'Attrition Modeling'!$C:$C,BK$11),VLOOKUP(RentalsVacates!BK$12-RentalsVacates!$F53-1,RentalsVacates!$A$8:$C$162,2,FALSE)*VLOOKUP(BK$11,'Attrition Modeling'!$L$15:$N$27,IF(BK$12-$F53&lt;=24,2,3),FALSE))*(1+IF('Traditional Attrition'!BK175&gt;0,'Attrition Modeling'!$N$9,0))),0))</f>
        <v>2415.2920798813934</v>
      </c>
      <c r="BL53" s="799">
        <f>IF(BL$12=$F53+1,IF(Monthly!BH$4=TRUE,0,BL$3),IF(BL$12&gt;$F53+1,RentalsVacates!BK53*(1-IF(BL$12-$F53&lt;=12,SUMIFS('Attrition Modeling'!$D:$D,'Attrition Modeling'!$B:$B,$E53,'Attrition Modeling'!$C:$C,BL$11),VLOOKUP(RentalsVacates!BL$12-RentalsVacates!$F53-1,RentalsVacates!$A$8:$C$162,2,FALSE)*VLOOKUP(BL$11,'Attrition Modeling'!$L$15:$N$27,IF(BL$12-$F53&lt;=24,2,3),FALSE))*(1+IF('Traditional Attrition'!BL175&gt;0,'Attrition Modeling'!$N$9,0))),0))</f>
        <v>2305.8227008111298</v>
      </c>
      <c r="BM53" s="799">
        <f>IF(BM$12=$F53+1,IF(Monthly!BI$4=TRUE,0,BM$3),IF(BM$12&gt;$F53+1,RentalsVacates!BL53*(1-IF(BM$12-$F53&lt;=12,SUMIFS('Attrition Modeling'!$D:$D,'Attrition Modeling'!$B:$B,$E53,'Attrition Modeling'!$C:$C,BM$11),VLOOKUP(RentalsVacates!BM$12-RentalsVacates!$F53-1,RentalsVacates!$A$8:$C$162,2,FALSE)*VLOOKUP(BM$11,'Attrition Modeling'!$L$15:$N$27,IF(BM$12-$F53&lt;=24,2,3),FALSE))*(1+IF('Traditional Attrition'!BM175&gt;0,'Attrition Modeling'!$N$9,0))),0))</f>
        <v>2180.6883435213349</v>
      </c>
      <c r="BN53" s="799">
        <f>IF(BN$12=$F53+1,IF(Monthly!BJ$4=TRUE,0,BN$3),IF(BN$12&gt;$F53+1,RentalsVacates!BM53*(1-IF(BN$12-$F53&lt;=12,SUMIFS('Attrition Modeling'!$D:$D,'Attrition Modeling'!$B:$B,$E53,'Attrition Modeling'!$C:$C,BN$11),VLOOKUP(RentalsVacates!BN$12-RentalsVacates!$F53-1,RentalsVacates!$A$8:$C$162,2,FALSE)*VLOOKUP(BN$11,'Attrition Modeling'!$L$15:$N$27,IF(BN$12-$F53&lt;=24,2,3),FALSE))*(1+IF('Traditional Attrition'!BN175&gt;0,'Attrition Modeling'!$N$9,0))),0))</f>
        <v>2087.8534413935854</v>
      </c>
      <c r="BO53" s="799">
        <f>IF(BO$12=$F53+1,IF(Monthly!BK$4=TRUE,0,BO$3),IF(BO$12&gt;$F53+1,RentalsVacates!BN53*(1-IF(BO$12-$F53&lt;=12,SUMIFS('Attrition Modeling'!$D:$D,'Attrition Modeling'!$B:$B,$E53,'Attrition Modeling'!$C:$C,BO$11),VLOOKUP(RentalsVacates!BO$12-RentalsVacates!$F53-1,RentalsVacates!$A$8:$C$162,2,FALSE)*VLOOKUP(BO$11,'Attrition Modeling'!$L$15:$N$27,IF(BO$12-$F53&lt;=24,2,3),FALSE))*(1+IF('Traditional Attrition'!BO175&gt;0,'Attrition Modeling'!$N$9,0))),0))</f>
        <v>2001.5754529701121</v>
      </c>
      <c r="BP53" s="799">
        <f>IF(BP$12=$F53+1,IF(Monthly!BL$4=TRUE,0,BP$3),IF(BP$12&gt;$F53+1,RentalsVacates!BO53*(1-IF(BP$12-$F53&lt;=12,SUMIFS('Attrition Modeling'!$D:$D,'Attrition Modeling'!$B:$B,$E53,'Attrition Modeling'!$C:$C,BP$11),VLOOKUP(RentalsVacates!BP$12-RentalsVacates!$F53-1,RentalsVacates!$A$8:$C$162,2,FALSE)*VLOOKUP(BP$11,'Attrition Modeling'!$L$15:$N$27,IF(BP$12-$F53&lt;=24,2,3),FALSE))*(1+IF('Traditional Attrition'!BP175&gt;0,'Attrition Modeling'!$N$9,0))),0))</f>
        <v>1920.2024829213949</v>
      </c>
      <c r="BQ53" s="799">
        <f>IF(BQ$12=$F53+1,IF(Monthly!BM$4=TRUE,0,BQ$3),IF(BQ$12&gt;$F53+1,RentalsVacates!BP53*(1-IF(BQ$12-$F53&lt;=12,SUMIFS('Attrition Modeling'!$D:$D,'Attrition Modeling'!$B:$B,$E53,'Attrition Modeling'!$C:$C,BQ$11),VLOOKUP(RentalsVacates!BQ$12-RentalsVacates!$F53-1,RentalsVacates!$A$8:$C$162,2,FALSE)*VLOOKUP(BQ$11,'Attrition Modeling'!$L$15:$N$27,IF(BQ$12-$F53&lt;=24,2,3),FALSE))*(1+IF('Traditional Attrition'!BQ175&gt;0,'Attrition Modeling'!$N$9,0))),0))</f>
        <v>1850.8747033153302</v>
      </c>
      <c r="BR53" s="799">
        <f>IF(BR$12=$F53+1,IF(Monthly!BN$4=TRUE,0,BR$3),IF(BR$12&gt;$F53+1,RentalsVacates!BQ53*(1-IF(BR$12-$F53&lt;=12,SUMIFS('Attrition Modeling'!$D:$D,'Attrition Modeling'!$B:$B,$E53,'Attrition Modeling'!$C:$C,BR$11),VLOOKUP(RentalsVacates!BR$12-RentalsVacates!$F53-1,RentalsVacates!$A$8:$C$162,2,FALSE)*VLOOKUP(BR$11,'Attrition Modeling'!$L$15:$N$27,IF(BR$12-$F53&lt;=24,2,3),FALSE))*(1+IF('Traditional Attrition'!BR175&gt;0,'Attrition Modeling'!$N$9,0))),0))</f>
        <v>1779.1711562932476</v>
      </c>
      <c r="BS53" s="799">
        <f>IF(BS$12=$F53+1,IF(Monthly!BO$4=TRUE,0,BS$3),IF(BS$12&gt;$F53+1,RentalsVacates!BR53*(1-IF(BS$12-$F53&lt;=12,SUMIFS('Attrition Modeling'!$D:$D,'Attrition Modeling'!$B:$B,$E53,'Attrition Modeling'!$C:$C,BS$11),VLOOKUP(RentalsVacates!BS$12-RentalsVacates!$F53-1,RentalsVacates!$A$8:$C$162,2,FALSE)*VLOOKUP(BS$11,'Attrition Modeling'!$L$15:$N$27,IF(BS$12-$F53&lt;=24,2,3),FALSE))*(1+IF('Traditional Attrition'!BS175&gt;0,'Attrition Modeling'!$N$9,0))),0))</f>
        <v>1712.2982634103159</v>
      </c>
      <c r="BT53" s="799">
        <f>IF(BT$11=$F52+1,IF(Monthly!#REF!=TRUE,0,BT$3),IF(BT$11&gt;$F52+1,RentalsVacates!BS52*(1-IF(BT$11-$F52&lt;=12,SUMIFS('Attrition Modeling'!$D:$D,'Attrition Modeling'!$B:$B,$E52,'Attrition Modeling'!$C:$C,BT$10),VLOOKUP(RentalsVacates!BT$11-RentalsVacates!$F52-1,RentalsVacates!$A$7:$C$161,2,FALSE)*VLOOKUP(BT$10,'Attrition Modeling'!$L$15:$N$27,IF(BT$11-$F52&lt;=24,2,3),FALSE))*(1+IF('Traditional Attrition'!BT175&gt;0,'Attrition Modeling'!$N$9,0))),0))</f>
        <v>0</v>
      </c>
      <c r="BU53" s="799">
        <f>IF(BU$11=$F52+1,IF(Monthly!#REF!=TRUE,0,BU$3),IF(BU$11&gt;$F52+1,RentalsVacates!BT52*(1-IF(BU$11-$F52&lt;=12,SUMIFS('Attrition Modeling'!$D:$D,'Attrition Modeling'!$B:$B,$E52,'Attrition Modeling'!$C:$C,BU$10),VLOOKUP(RentalsVacates!BU$11-RentalsVacates!$F52-1,RentalsVacates!$A$7:$C$161,2,FALSE)*VLOOKUP(BU$10,'Attrition Modeling'!$L$15:$N$27,IF(BU$11-$F52&lt;=24,2,3),FALSE))*(1+IF('Traditional Attrition'!BU175&gt;0,'Attrition Modeling'!$N$9,0))),0))</f>
        <v>0</v>
      </c>
    </row>
    <row r="54" spans="1:73" ht="14.25" customHeight="1" x14ac:dyDescent="0.2">
      <c r="A54" s="9">
        <v>46</v>
      </c>
      <c r="B54" s="25">
        <f>MAX('Attrition Modeling'!H50,$C$3)*(1-Summary!$C$20)</f>
        <v>2.6440899780837919E-2</v>
      </c>
      <c r="C54" s="24" t="e">
        <f t="shared" si="2"/>
        <v>#DIV/0!</v>
      </c>
      <c r="E54" s="11">
        <f>'Traditional Attrition'!E111</f>
        <v>5</v>
      </c>
      <c r="F54" s="11">
        <f t="shared" si="4"/>
        <v>41</v>
      </c>
      <c r="G54" s="799"/>
      <c r="H54" s="799">
        <f>IF(H$12=$F54+1,IF(Monthly!D$4=TRUE,0,H$3),IF(H$12&gt;$F54+1,RentalsVacates!G54*(1-IF(H$12-$F54&lt;=12,SUMIFS('Attrition Modeling'!$D:$D,'Attrition Modeling'!$B:$B,$E54,'Attrition Modeling'!$C:$C,H$11),VLOOKUP(RentalsVacates!H$12-RentalsVacates!$F54-1,RentalsVacates!$A$8:$C$162,2,FALSE)*VLOOKUP(H$11,'Attrition Modeling'!$L$15:$N$27,IF(H$12-$F54&lt;=24,2,3),FALSE))*(1+IF('Traditional Attrition'!H176&gt;0,'Attrition Modeling'!$N$9,0))),0))</f>
        <v>0</v>
      </c>
      <c r="I54" s="799">
        <f>IF(I$12=$F54+1,IF(Monthly!E$4=TRUE,0,I$3),IF(I$12&gt;$F54+1,RentalsVacates!H54*(1-IF(I$12-$F54&lt;=12,SUMIFS('Attrition Modeling'!$D:$D,'Attrition Modeling'!$B:$B,$E54,'Attrition Modeling'!$C:$C,I$11),VLOOKUP(RentalsVacates!I$12-RentalsVacates!$F54-1,RentalsVacates!$A$8:$C$162,2,FALSE)*VLOOKUP(I$11,'Attrition Modeling'!$L$15:$N$27,IF(I$12-$F54&lt;=24,2,3),FALSE))*(1+IF('Traditional Attrition'!I176&gt;0,'Attrition Modeling'!$N$9,0))),0))</f>
        <v>0</v>
      </c>
      <c r="J54" s="799">
        <f>IF(J$12=$F54+1,IF(Monthly!F$4=TRUE,0,J$3),IF(J$12&gt;$F54+1,RentalsVacates!I54*(1-IF(J$12-$F54&lt;=12,SUMIFS('Attrition Modeling'!$D:$D,'Attrition Modeling'!$B:$B,$E54,'Attrition Modeling'!$C:$C,J$11),VLOOKUP(RentalsVacates!J$12-RentalsVacates!$F54-1,RentalsVacates!$A$8:$C$162,2,FALSE)*VLOOKUP(J$11,'Attrition Modeling'!$L$15:$N$27,IF(J$12-$F54&lt;=24,2,3),FALSE))*(1+IF('Traditional Attrition'!J176&gt;0,'Attrition Modeling'!$N$9,0))),0))</f>
        <v>0</v>
      </c>
      <c r="K54" s="799">
        <f>IF(K$12=$F54+1,IF(Monthly!G$4=TRUE,0,K$3),IF(K$12&gt;$F54+1,RentalsVacates!J54*(1-IF(K$12-$F54&lt;=12,SUMIFS('Attrition Modeling'!$D:$D,'Attrition Modeling'!$B:$B,$E54,'Attrition Modeling'!$C:$C,K$11),VLOOKUP(RentalsVacates!K$12-RentalsVacates!$F54-1,RentalsVacates!$A$8:$C$162,2,FALSE)*VLOOKUP(K$11,'Attrition Modeling'!$L$15:$N$27,IF(K$12-$F54&lt;=24,2,3),FALSE))*(1+IF('Traditional Attrition'!K176&gt;0,'Attrition Modeling'!$N$9,0))),0))</f>
        <v>0</v>
      </c>
      <c r="L54" s="799">
        <f>IF(L$12=$F54+1,IF(Monthly!H$4=TRUE,0,L$3),IF(L$12&gt;$F54+1,RentalsVacates!K54*(1-IF(L$12-$F54&lt;=12,SUMIFS('Attrition Modeling'!$D:$D,'Attrition Modeling'!$B:$B,$E54,'Attrition Modeling'!$C:$C,L$11),VLOOKUP(RentalsVacates!L$12-RentalsVacates!$F54-1,RentalsVacates!$A$8:$C$162,2,FALSE)*VLOOKUP(L$11,'Attrition Modeling'!$L$15:$N$27,IF(L$12-$F54&lt;=24,2,3),FALSE))*(1+IF('Traditional Attrition'!L176&gt;0,'Attrition Modeling'!$N$9,0))),0))</f>
        <v>0</v>
      </c>
      <c r="M54" s="799">
        <f>IF(M$12=$F54+1,IF(Monthly!I$4=TRUE,0,M$3),IF(M$12&gt;$F54+1,RentalsVacates!L54*(1-IF(M$12-$F54&lt;=12,SUMIFS('Attrition Modeling'!$D:$D,'Attrition Modeling'!$B:$B,$E54,'Attrition Modeling'!$C:$C,M$11),VLOOKUP(RentalsVacates!M$12-RentalsVacates!$F54-1,RentalsVacates!$A$8:$C$162,2,FALSE)*VLOOKUP(M$11,'Attrition Modeling'!$L$15:$N$27,IF(M$12-$F54&lt;=24,2,3),FALSE))*(1+IF('Traditional Attrition'!M176&gt;0,'Attrition Modeling'!$N$9,0))),0))</f>
        <v>0</v>
      </c>
      <c r="N54" s="799">
        <f>IF(N$12=$F54+1,IF(Monthly!J$4=TRUE,0,N$3),IF(N$12&gt;$F54+1,RentalsVacates!M54*(1-IF(N$12-$F54&lt;=12,SUMIFS('Attrition Modeling'!$D:$D,'Attrition Modeling'!$B:$B,$E54,'Attrition Modeling'!$C:$C,N$11),VLOOKUP(RentalsVacates!N$12-RentalsVacates!$F54-1,RentalsVacates!$A$8:$C$162,2,FALSE)*VLOOKUP(N$11,'Attrition Modeling'!$L$15:$N$27,IF(N$12-$F54&lt;=24,2,3),FALSE))*(1+IF('Traditional Attrition'!N176&gt;0,'Attrition Modeling'!$N$9,0))),0))</f>
        <v>0</v>
      </c>
      <c r="O54" s="799">
        <f>IF(O$12=$F54+1,IF(Monthly!K$4=TRUE,0,O$3),IF(O$12&gt;$F54+1,RentalsVacates!N54*(1-IF(O$12-$F54&lt;=12,SUMIFS('Attrition Modeling'!$D:$D,'Attrition Modeling'!$B:$B,$E54,'Attrition Modeling'!$C:$C,O$11),VLOOKUP(RentalsVacates!O$12-RentalsVacates!$F54-1,RentalsVacates!$A$8:$C$162,2,FALSE)*VLOOKUP(O$11,'Attrition Modeling'!$L$15:$N$27,IF(O$12-$F54&lt;=24,2,3),FALSE))*(1+IF('Traditional Attrition'!O176&gt;0,'Attrition Modeling'!$N$9,0))),0))</f>
        <v>0</v>
      </c>
      <c r="P54" s="799">
        <f>IF(P$12=$F54+1,IF(Monthly!L$4=TRUE,0,P$3),IF(P$12&gt;$F54+1,RentalsVacates!O54*(1-IF(P$12-$F54&lt;=12,SUMIFS('Attrition Modeling'!$D:$D,'Attrition Modeling'!$B:$B,$E54,'Attrition Modeling'!$C:$C,P$11),VLOOKUP(RentalsVacates!P$12-RentalsVacates!$F54-1,RentalsVacates!$A$8:$C$162,2,FALSE)*VLOOKUP(P$11,'Attrition Modeling'!$L$15:$N$27,IF(P$12-$F54&lt;=24,2,3),FALSE))*(1+IF('Traditional Attrition'!P176&gt;0,'Attrition Modeling'!$N$9,0))),0))</f>
        <v>0</v>
      </c>
      <c r="Q54" s="799">
        <f>IF(Q$12=$F54+1,IF(Monthly!M$4=TRUE,0,Q$3),IF(Q$12&gt;$F54+1,RentalsVacates!P54*(1-IF(Q$12-$F54&lt;=12,SUMIFS('Attrition Modeling'!$D:$D,'Attrition Modeling'!$B:$B,$E54,'Attrition Modeling'!$C:$C,Q$11),VLOOKUP(RentalsVacates!Q$12-RentalsVacates!$F54-1,RentalsVacates!$A$8:$C$162,2,FALSE)*VLOOKUP(Q$11,'Attrition Modeling'!$L$15:$N$27,IF(Q$12-$F54&lt;=24,2,3),FALSE))*(1+IF('Traditional Attrition'!Q176&gt;0,'Attrition Modeling'!$N$9,0))),0))</f>
        <v>0</v>
      </c>
      <c r="R54" s="799">
        <f>IF(R$12=$F54+1,IF(Monthly!N$4=TRUE,0,R$3),IF(R$12&gt;$F54+1,RentalsVacates!Q54*(1-IF(R$12-$F54&lt;=12,SUMIFS('Attrition Modeling'!$D:$D,'Attrition Modeling'!$B:$B,$E54,'Attrition Modeling'!$C:$C,R$11),VLOOKUP(RentalsVacates!R$12-RentalsVacates!$F54-1,RentalsVacates!$A$8:$C$162,2,FALSE)*VLOOKUP(R$11,'Attrition Modeling'!$L$15:$N$27,IF(R$12-$F54&lt;=24,2,3),FALSE))*(1+IF('Traditional Attrition'!R176&gt;0,'Attrition Modeling'!$N$9,0))),0))</f>
        <v>0</v>
      </c>
      <c r="S54" s="799">
        <f>IF(S$12=$F54+1,IF(Monthly!O$4=TRUE,0,S$3),IF(S$12&gt;$F54+1,RentalsVacates!R54*(1-IF(S$12-$F54&lt;=12,SUMIFS('Attrition Modeling'!$D:$D,'Attrition Modeling'!$B:$B,$E54,'Attrition Modeling'!$C:$C,S$11),VLOOKUP(RentalsVacates!S$12-RentalsVacates!$F54-1,RentalsVacates!$A$8:$C$162,2,FALSE)*VLOOKUP(S$11,'Attrition Modeling'!$L$15:$N$27,IF(S$12-$F54&lt;=24,2,3),FALSE))*(1+IF('Traditional Attrition'!S176&gt;0,'Attrition Modeling'!$N$9,0))),0))</f>
        <v>0</v>
      </c>
      <c r="T54" s="799">
        <f>IF(T$12=$F54+1,IF(Monthly!P$4=TRUE,0,T$3),IF(T$12&gt;$F54+1,RentalsVacates!S54*(1-IF(T$12-$F54&lt;=12,SUMIFS('Attrition Modeling'!$D:$D,'Attrition Modeling'!$B:$B,$E54,'Attrition Modeling'!$C:$C,T$11),VLOOKUP(RentalsVacates!T$12-RentalsVacates!$F54-1,RentalsVacates!$A$8:$C$162,2,FALSE)*VLOOKUP(T$11,'Attrition Modeling'!$L$15:$N$27,IF(T$12-$F54&lt;=24,2,3),FALSE))*(1+IF('Traditional Attrition'!T176&gt;0,'Attrition Modeling'!$N$9,0))),0))</f>
        <v>0</v>
      </c>
      <c r="U54" s="799">
        <f>IF(U$12=$F54+1,IF(Monthly!Q$4=TRUE,0,U$3),IF(U$12&gt;$F54+1,RentalsVacates!T54*(1-IF(U$12-$F54&lt;=12,SUMIFS('Attrition Modeling'!$D:$D,'Attrition Modeling'!$B:$B,$E54,'Attrition Modeling'!$C:$C,U$11),VLOOKUP(RentalsVacates!U$12-RentalsVacates!$F54-1,RentalsVacates!$A$8:$C$162,2,FALSE)*VLOOKUP(U$11,'Attrition Modeling'!$L$15:$N$27,IF(U$12-$F54&lt;=24,2,3),FALSE))*(1+IF('Traditional Attrition'!U176&gt;0,'Attrition Modeling'!$N$9,0))),0))</f>
        <v>0</v>
      </c>
      <c r="V54" s="799">
        <f>IF(V$12=$F54+1,IF(Monthly!R$4=TRUE,0,V$3),IF(V$12&gt;$F54+1,RentalsVacates!U54*(1-IF(V$12-$F54&lt;=12,SUMIFS('Attrition Modeling'!$D:$D,'Attrition Modeling'!$B:$B,$E54,'Attrition Modeling'!$C:$C,V$11),VLOOKUP(RentalsVacates!V$12-RentalsVacates!$F54-1,RentalsVacates!$A$8:$C$162,2,FALSE)*VLOOKUP(V$11,'Attrition Modeling'!$L$15:$N$27,IF(V$12-$F54&lt;=24,2,3),FALSE))*(1+IF('Traditional Attrition'!V176&gt;0,'Attrition Modeling'!$N$9,0))),0))</f>
        <v>0</v>
      </c>
      <c r="W54" s="799">
        <f>IF(W$12=$F54+1,IF(Monthly!S$4=TRUE,0,W$3),IF(W$12&gt;$F54+1,RentalsVacates!V54*(1-IF(W$12-$F54&lt;=12,SUMIFS('Attrition Modeling'!$D:$D,'Attrition Modeling'!$B:$B,$E54,'Attrition Modeling'!$C:$C,W$11),VLOOKUP(RentalsVacates!W$12-RentalsVacates!$F54-1,RentalsVacates!$A$8:$C$162,2,FALSE)*VLOOKUP(W$11,'Attrition Modeling'!$L$15:$N$27,IF(W$12-$F54&lt;=24,2,3),FALSE))*(1+IF('Traditional Attrition'!W176&gt;0,'Attrition Modeling'!$N$9,0))),0))</f>
        <v>0</v>
      </c>
      <c r="X54" s="799">
        <f>IF(X$12=$F54+1,IF(Monthly!T$4=TRUE,0,X$3),IF(X$12&gt;$F54+1,RentalsVacates!W54*(1-IF(X$12-$F54&lt;=12,SUMIFS('Attrition Modeling'!$D:$D,'Attrition Modeling'!$B:$B,$E54,'Attrition Modeling'!$C:$C,X$11),VLOOKUP(RentalsVacates!X$12-RentalsVacates!$F54-1,RentalsVacates!$A$8:$C$162,2,FALSE)*VLOOKUP(X$11,'Attrition Modeling'!$L$15:$N$27,IF(X$12-$F54&lt;=24,2,3),FALSE))*(1+IF('Traditional Attrition'!X176&gt;0,'Attrition Modeling'!$N$9,0))),0))</f>
        <v>0</v>
      </c>
      <c r="Y54" s="799">
        <f>IF(Y$12=$F54+1,IF(Monthly!U$4=TRUE,0,Y$3),IF(Y$12&gt;$F54+1,RentalsVacates!X54*(1-IF(Y$12-$F54&lt;=12,SUMIFS('Attrition Modeling'!$D:$D,'Attrition Modeling'!$B:$B,$E54,'Attrition Modeling'!$C:$C,Y$11),VLOOKUP(RentalsVacates!Y$12-RentalsVacates!$F54-1,RentalsVacates!$A$8:$C$162,2,FALSE)*VLOOKUP(Y$11,'Attrition Modeling'!$L$15:$N$27,IF(Y$12-$F54&lt;=24,2,3),FALSE))*(1+IF('Traditional Attrition'!Y176&gt;0,'Attrition Modeling'!$N$9,0))),0))</f>
        <v>0</v>
      </c>
      <c r="Z54" s="799">
        <f>IF(Z$12=$F54+1,IF(Monthly!V$4=TRUE,0,Z$3),IF(Z$12&gt;$F54+1,RentalsVacates!Y54*(1-IF(Z$12-$F54&lt;=12,SUMIFS('Attrition Modeling'!$D:$D,'Attrition Modeling'!$B:$B,$E54,'Attrition Modeling'!$C:$C,Z$11),VLOOKUP(RentalsVacates!Z$12-RentalsVacates!$F54-1,RentalsVacates!$A$8:$C$162,2,FALSE)*VLOOKUP(Z$11,'Attrition Modeling'!$L$15:$N$27,IF(Z$12-$F54&lt;=24,2,3),FALSE))*(1+IF('Traditional Attrition'!Z176&gt;0,'Attrition Modeling'!$N$9,0))),0))</f>
        <v>0</v>
      </c>
      <c r="AA54" s="799">
        <f>IF(AA$12=$F54+1,IF(Monthly!W$4=TRUE,0,AA$3),IF(AA$12&gt;$F54+1,RentalsVacates!Z54*(1-IF(AA$12-$F54&lt;=12,SUMIFS('Attrition Modeling'!$D:$D,'Attrition Modeling'!$B:$B,$E54,'Attrition Modeling'!$C:$C,AA$11),VLOOKUP(RentalsVacates!AA$12-RentalsVacates!$F54-1,RentalsVacates!$A$8:$C$162,2,FALSE)*VLOOKUP(AA$11,'Attrition Modeling'!$L$15:$N$27,IF(AA$12-$F54&lt;=24,2,3),FALSE))*(1+IF('Traditional Attrition'!AA176&gt;0,'Attrition Modeling'!$N$9,0))),0))</f>
        <v>0</v>
      </c>
      <c r="AB54" s="799">
        <f>IF(AB$12=$F54+1,IF(Monthly!X$4=TRUE,0,AB$3),IF(AB$12&gt;$F54+1,RentalsVacates!AA54*(1-IF(AB$12-$F54&lt;=12,SUMIFS('Attrition Modeling'!$D:$D,'Attrition Modeling'!$B:$B,$E54,'Attrition Modeling'!$C:$C,AB$11),VLOOKUP(RentalsVacates!AB$12-RentalsVacates!$F54-1,RentalsVacates!$A$8:$C$162,2,FALSE)*VLOOKUP(AB$11,'Attrition Modeling'!$L$15:$N$27,IF(AB$12-$F54&lt;=24,2,3),FALSE))*(1+IF('Traditional Attrition'!AB176&gt;0,'Attrition Modeling'!$N$9,0))),0))</f>
        <v>0</v>
      </c>
      <c r="AC54" s="799">
        <f>IF(AC$12=$F54+1,IF(Monthly!Y$4=TRUE,0,AC$3),IF(AC$12&gt;$F54+1,RentalsVacates!AB54*(1-IF(AC$12-$F54&lt;=12,SUMIFS('Attrition Modeling'!$D:$D,'Attrition Modeling'!$B:$B,$E54,'Attrition Modeling'!$C:$C,AC$11),VLOOKUP(RentalsVacates!AC$12-RentalsVacates!$F54-1,RentalsVacates!$A$8:$C$162,2,FALSE)*VLOOKUP(AC$11,'Attrition Modeling'!$L$15:$N$27,IF(AC$12-$F54&lt;=24,2,3),FALSE))*(1+IF('Traditional Attrition'!AC176&gt;0,'Attrition Modeling'!$N$9,0))),0))</f>
        <v>0</v>
      </c>
      <c r="AD54" s="799">
        <f>IF(AD$12=$F54+1,IF(Monthly!Z$4=TRUE,0,AD$3),IF(AD$12&gt;$F54+1,RentalsVacates!AC54*(1-IF(AD$12-$F54&lt;=12,SUMIFS('Attrition Modeling'!$D:$D,'Attrition Modeling'!$B:$B,$E54,'Attrition Modeling'!$C:$C,AD$11),VLOOKUP(RentalsVacates!AD$12-RentalsVacates!$F54-1,RentalsVacates!$A$8:$C$162,2,FALSE)*VLOOKUP(AD$11,'Attrition Modeling'!$L$15:$N$27,IF(AD$12-$F54&lt;=24,2,3),FALSE))*(1+IF('Traditional Attrition'!AD176&gt;0,'Attrition Modeling'!$N$9,0))),0))</f>
        <v>0</v>
      </c>
      <c r="AE54" s="799">
        <f>IF(AE$12=$F54+1,IF(Monthly!AA$4=TRUE,0,AE$3),IF(AE$12&gt;$F54+1,RentalsVacates!AD54*(1-IF(AE$12-$F54&lt;=12,SUMIFS('Attrition Modeling'!$D:$D,'Attrition Modeling'!$B:$B,$E54,'Attrition Modeling'!$C:$C,AE$11),VLOOKUP(RentalsVacates!AE$12-RentalsVacates!$F54-1,RentalsVacates!$A$8:$C$162,2,FALSE)*VLOOKUP(AE$11,'Attrition Modeling'!$L$15:$N$27,IF(AE$12-$F54&lt;=24,2,3),FALSE))*(1+IF('Traditional Attrition'!AE176&gt;0,'Attrition Modeling'!$N$9,0))),0))</f>
        <v>0</v>
      </c>
      <c r="AF54" s="799">
        <f>IF(AF$12=$F54+1,IF(Monthly!AB$4=TRUE,0,AF$3),IF(AF$12&gt;$F54+1,RentalsVacates!AE54*(1-IF(AF$12-$F54&lt;=12,SUMIFS('Attrition Modeling'!$D:$D,'Attrition Modeling'!$B:$B,$E54,'Attrition Modeling'!$C:$C,AF$11),VLOOKUP(RentalsVacates!AF$12-RentalsVacates!$F54-1,RentalsVacates!$A$8:$C$162,2,FALSE)*VLOOKUP(AF$11,'Attrition Modeling'!$L$15:$N$27,IF(AF$12-$F54&lt;=24,2,3),FALSE))*(1+IF('Traditional Attrition'!AF176&gt;0,'Attrition Modeling'!$N$9,0))),0))</f>
        <v>0</v>
      </c>
      <c r="AG54" s="799">
        <f>IF(AG$12=$F54+1,IF(Monthly!AC$4=TRUE,0,AG$3),IF(AG$12&gt;$F54+1,RentalsVacates!AF54*(1-IF(AG$12-$F54&lt;=12,SUMIFS('Attrition Modeling'!$D:$D,'Attrition Modeling'!$B:$B,$E54,'Attrition Modeling'!$C:$C,AG$11),VLOOKUP(RentalsVacates!AG$12-RentalsVacates!$F54-1,RentalsVacates!$A$8:$C$162,2,FALSE)*VLOOKUP(AG$11,'Attrition Modeling'!$L$15:$N$27,IF(AG$12-$F54&lt;=24,2,3),FALSE))*(1+IF('Traditional Attrition'!AG176&gt;0,'Attrition Modeling'!$N$9,0))),0))</f>
        <v>0</v>
      </c>
      <c r="AH54" s="799">
        <f>IF(AH$12=$F54+1,IF(Monthly!AD$4=TRUE,0,AH$3),IF(AH$12&gt;$F54+1,RentalsVacates!AG54*(1-IF(AH$12-$F54&lt;=12,SUMIFS('Attrition Modeling'!$D:$D,'Attrition Modeling'!$B:$B,$E54,'Attrition Modeling'!$C:$C,AH$11),VLOOKUP(RentalsVacates!AH$12-RentalsVacates!$F54-1,RentalsVacates!$A$8:$C$162,2,FALSE)*VLOOKUP(AH$11,'Attrition Modeling'!$L$15:$N$27,IF(AH$12-$F54&lt;=24,2,3),FALSE))*(1+IF('Traditional Attrition'!AH176&gt;0,'Attrition Modeling'!$N$9,0))),0))</f>
        <v>0</v>
      </c>
      <c r="AI54" s="799">
        <f>IF(AI$12=$F54+1,IF(Monthly!AE$4=TRUE,0,AI$3),IF(AI$12&gt;$F54+1,RentalsVacates!AH54*(1-IF(AI$12-$F54&lt;=12,SUMIFS('Attrition Modeling'!$D:$D,'Attrition Modeling'!$B:$B,$E54,'Attrition Modeling'!$C:$C,AI$11),VLOOKUP(RentalsVacates!AI$12-RentalsVacates!$F54-1,RentalsVacates!$A$8:$C$162,2,FALSE)*VLOOKUP(AI$11,'Attrition Modeling'!$L$15:$N$27,IF(AI$12-$F54&lt;=24,2,3),FALSE))*(1+IF('Traditional Attrition'!AI176&gt;0,'Attrition Modeling'!$N$9,0))),0))</f>
        <v>0</v>
      </c>
      <c r="AJ54" s="799">
        <f>IF(AJ$12=$F54+1,IF(Monthly!AF$4=TRUE,0,AJ$3),IF(AJ$12&gt;$F54+1,RentalsVacates!AI54*(1-IF(AJ$12-$F54&lt;=12,SUMIFS('Attrition Modeling'!$D:$D,'Attrition Modeling'!$B:$B,$E54,'Attrition Modeling'!$C:$C,AJ$11),VLOOKUP(RentalsVacates!AJ$12-RentalsVacates!$F54-1,RentalsVacates!$A$8:$C$162,2,FALSE)*VLOOKUP(AJ$11,'Attrition Modeling'!$L$15:$N$27,IF(AJ$12-$F54&lt;=24,2,3),FALSE))*(1+IF('Traditional Attrition'!AJ176&gt;0,'Attrition Modeling'!$N$9,0))),0))</f>
        <v>0</v>
      </c>
      <c r="AK54" s="799">
        <f>IF(AK$12=$F54+1,IF(Monthly!AG$4=TRUE,0,AK$3),IF(AK$12&gt;$F54+1,RentalsVacates!AJ54*(1-IF(AK$12-$F54&lt;=12,SUMIFS('Attrition Modeling'!$D:$D,'Attrition Modeling'!$B:$B,$E54,'Attrition Modeling'!$C:$C,AK$11),VLOOKUP(RentalsVacates!AK$12-RentalsVacates!$F54-1,RentalsVacates!$A$8:$C$162,2,FALSE)*VLOOKUP(AK$11,'Attrition Modeling'!$L$15:$N$27,IF(AK$12-$F54&lt;=24,2,3),FALSE))*(1+IF('Traditional Attrition'!AK176&gt;0,'Attrition Modeling'!$N$9,0))),0))</f>
        <v>0</v>
      </c>
      <c r="AL54" s="799">
        <f>IF(AL$12=$F54+1,IF(Monthly!AH$4=TRUE,0,AL$3),IF(AL$12&gt;$F54+1,RentalsVacates!AK54*(1-IF(AL$12-$F54&lt;=12,SUMIFS('Attrition Modeling'!$D:$D,'Attrition Modeling'!$B:$B,$E54,'Attrition Modeling'!$C:$C,AL$11),VLOOKUP(RentalsVacates!AL$12-RentalsVacates!$F54-1,RentalsVacates!$A$8:$C$162,2,FALSE)*VLOOKUP(AL$11,'Attrition Modeling'!$L$15:$N$27,IF(AL$12-$F54&lt;=24,2,3),FALSE))*(1+IF('Traditional Attrition'!AL176&gt;0,'Attrition Modeling'!$N$9,0))),0))</f>
        <v>0</v>
      </c>
      <c r="AM54" s="799">
        <f>IF(AM$12=$F54+1,IF(Monthly!AI$4=TRUE,0,AM$3),IF(AM$12&gt;$F54+1,RentalsVacates!AL54*(1-IF(AM$12-$F54&lt;=12,SUMIFS('Attrition Modeling'!$D:$D,'Attrition Modeling'!$B:$B,$E54,'Attrition Modeling'!$C:$C,AM$11),VLOOKUP(RentalsVacates!AM$12-RentalsVacates!$F54-1,RentalsVacates!$A$8:$C$162,2,FALSE)*VLOOKUP(AM$11,'Attrition Modeling'!$L$15:$N$27,IF(AM$12-$F54&lt;=24,2,3),FALSE))*(1+IF('Traditional Attrition'!AM176&gt;0,'Attrition Modeling'!$N$9,0))),0))</f>
        <v>0</v>
      </c>
      <c r="AN54" s="799">
        <f>IF(AN$12=$F54+1,IF(Monthly!AJ$4=TRUE,0,AN$3),IF(AN$12&gt;$F54+1,RentalsVacates!AM54*(1-IF(AN$12-$F54&lt;=12,SUMIFS('Attrition Modeling'!$D:$D,'Attrition Modeling'!$B:$B,$E54,'Attrition Modeling'!$C:$C,AN$11),VLOOKUP(RentalsVacates!AN$12-RentalsVacates!$F54-1,RentalsVacates!$A$8:$C$162,2,FALSE)*VLOOKUP(AN$11,'Attrition Modeling'!$L$15:$N$27,IF(AN$12-$F54&lt;=24,2,3),FALSE))*(1+IF('Traditional Attrition'!AN176&gt;0,'Attrition Modeling'!$N$9,0))),0))</f>
        <v>0</v>
      </c>
      <c r="AO54" s="799">
        <f>IF(AO$12=$F54+1,IF(Monthly!AK$4=TRUE,0,AO$3),IF(AO$12&gt;$F54+1,RentalsVacates!AN54*(1-IF(AO$12-$F54&lt;=12,SUMIFS('Attrition Modeling'!$D:$D,'Attrition Modeling'!$B:$B,$E54,'Attrition Modeling'!$C:$C,AO$11),VLOOKUP(RentalsVacates!AO$12-RentalsVacates!$F54-1,RentalsVacates!$A$8:$C$162,2,FALSE)*VLOOKUP(AO$11,'Attrition Modeling'!$L$15:$N$27,IF(AO$12-$F54&lt;=24,2,3),FALSE))*(1+IF('Traditional Attrition'!AO176&gt;0,'Attrition Modeling'!$N$9,0))),0))</f>
        <v>0</v>
      </c>
      <c r="AP54" s="799">
        <f>IF(AP$12=$F54+1,IF(Monthly!AL$4=TRUE,0,AP$3),IF(AP$12&gt;$F54+1,RentalsVacates!AO54*(1-IF(AP$12-$F54&lt;=12,SUMIFS('Attrition Modeling'!$D:$D,'Attrition Modeling'!$B:$B,$E54,'Attrition Modeling'!$C:$C,AP$11),VLOOKUP(RentalsVacates!AP$12-RentalsVacates!$F54-1,RentalsVacates!$A$8:$C$162,2,FALSE)*VLOOKUP(AP$11,'Attrition Modeling'!$L$15:$N$27,IF(AP$12-$F54&lt;=24,2,3),FALSE))*(1+IF('Traditional Attrition'!AP176&gt;0,'Attrition Modeling'!$N$9,0))),0))</f>
        <v>0</v>
      </c>
      <c r="AQ54" s="799">
        <f>IF(AQ$12=$F54+1,IF(Monthly!AM$4=TRUE,0,AQ$3),IF(AQ$12&gt;$F54+1,RentalsVacates!AP54*(1-IF(AQ$12-$F54&lt;=12,SUMIFS('Attrition Modeling'!$D:$D,'Attrition Modeling'!$B:$B,$E54,'Attrition Modeling'!$C:$C,AQ$11),VLOOKUP(RentalsVacates!AQ$12-RentalsVacates!$F54-1,RentalsVacates!$A$8:$C$162,2,FALSE)*VLOOKUP(AQ$11,'Attrition Modeling'!$L$15:$N$27,IF(AQ$12-$F54&lt;=24,2,3),FALSE))*(1+IF('Traditional Attrition'!AQ176&gt;0,'Attrition Modeling'!$N$9,0))),0))</f>
        <v>0</v>
      </c>
      <c r="AR54" s="799">
        <f>IF(AR$12=$F54+1,IF(Monthly!AN$4=TRUE,0,AR$3),IF(AR$12&gt;$F54+1,RentalsVacates!AQ54*(1-IF(AR$12-$F54&lt;=12,SUMIFS('Attrition Modeling'!$D:$D,'Attrition Modeling'!$B:$B,$E54,'Attrition Modeling'!$C:$C,AR$11),VLOOKUP(RentalsVacates!AR$12-RentalsVacates!$F54-1,RentalsVacates!$A$8:$C$162,2,FALSE)*VLOOKUP(AR$11,'Attrition Modeling'!$L$15:$N$27,IF(AR$12-$F54&lt;=24,2,3),FALSE))*(1+IF('Traditional Attrition'!AR176&gt;0,'Attrition Modeling'!$N$9,0))),0))</f>
        <v>0</v>
      </c>
      <c r="AS54" s="799">
        <f>IF(AS$12=$F54+1,IF(Monthly!AO$4=TRUE,0,AS$3),IF(AS$12&gt;$F54+1,RentalsVacates!AR54*(1-IF(AS$12-$F54&lt;=12,SUMIFS('Attrition Modeling'!$D:$D,'Attrition Modeling'!$B:$B,$E54,'Attrition Modeling'!$C:$C,AS$11),VLOOKUP(RentalsVacates!AS$12-RentalsVacates!$F54-1,RentalsVacates!$A$8:$C$162,2,FALSE)*VLOOKUP(AS$11,'Attrition Modeling'!$L$15:$N$27,IF(AS$12-$F54&lt;=24,2,3),FALSE))*(1+IF('Traditional Attrition'!AS176&gt;0,'Attrition Modeling'!$N$9,0))),0))</f>
        <v>0</v>
      </c>
      <c r="AT54" s="799">
        <f>IF(AT$12=$F54+1,IF(Monthly!AP$4=TRUE,0,AT$3),IF(AT$12&gt;$F54+1,RentalsVacates!AS54*(1-IF(AT$12-$F54&lt;=12,SUMIFS('Attrition Modeling'!$D:$D,'Attrition Modeling'!$B:$B,$E54,'Attrition Modeling'!$C:$C,AT$11),VLOOKUP(RentalsVacates!AT$12-RentalsVacates!$F54-1,RentalsVacates!$A$8:$C$162,2,FALSE)*VLOOKUP(AT$11,'Attrition Modeling'!$L$15:$N$27,IF(AT$12-$F54&lt;=24,2,3),FALSE))*(1+IF('Traditional Attrition'!AT176&gt;0,'Attrition Modeling'!$N$9,0))),0))</f>
        <v>0</v>
      </c>
      <c r="AU54" s="799">
        <f>IF(AU$12=$F54+1,IF(Monthly!AQ$4=TRUE,0,AU$3),IF(AU$12&gt;$F54+1,RentalsVacates!AT54*(1-IF(AU$12-$F54&lt;=12,SUMIFS('Attrition Modeling'!$D:$D,'Attrition Modeling'!$B:$B,$E54,'Attrition Modeling'!$C:$C,AU$11),VLOOKUP(RentalsVacates!AU$12-RentalsVacates!$F54-1,RentalsVacates!$A$8:$C$162,2,FALSE)*VLOOKUP(AU$11,'Attrition Modeling'!$L$15:$N$27,IF(AU$12-$F54&lt;=24,2,3),FALSE))*(1+IF('Traditional Attrition'!AU176&gt;0,'Attrition Modeling'!$N$9,0))),0))</f>
        <v>0</v>
      </c>
      <c r="AV54" s="799">
        <f>IF(AV$12=$F54+1,IF(Monthly!AR$4=TRUE,0,AV$3),IF(AV$12&gt;$F54+1,RentalsVacates!AU54*(1-IF(AV$12-$F54&lt;=12,SUMIFS('Attrition Modeling'!$D:$D,'Attrition Modeling'!$B:$B,$E54,'Attrition Modeling'!$C:$C,AV$11),VLOOKUP(RentalsVacates!AV$12-RentalsVacates!$F54-1,RentalsVacates!$A$8:$C$162,2,FALSE)*VLOOKUP(AV$11,'Attrition Modeling'!$L$15:$N$27,IF(AV$12-$F54&lt;=24,2,3),FALSE))*(1+IF('Traditional Attrition'!AV176&gt;0,'Attrition Modeling'!$N$9,0))),0))</f>
        <v>0</v>
      </c>
      <c r="AW54" s="799">
        <f>IF(AW$12=$F54+1,IF(Monthly!AS$4=TRUE,0,AW$3),IF(AW$12&gt;$F54+1,RentalsVacates!AV54*(1-IF(AW$12-$F54&lt;=12,SUMIFS('Attrition Modeling'!$D:$D,'Attrition Modeling'!$B:$B,$E54,'Attrition Modeling'!$C:$C,AW$11),VLOOKUP(RentalsVacates!AW$12-RentalsVacates!$F54-1,RentalsVacates!$A$8:$C$162,2,FALSE)*VLOOKUP(AW$11,'Attrition Modeling'!$L$15:$N$27,IF(AW$12-$F54&lt;=24,2,3),FALSE))*(1+IF('Traditional Attrition'!AW176&gt;0,'Attrition Modeling'!$N$9,0))),0))</f>
        <v>6704.0053368326335</v>
      </c>
      <c r="AX54" s="799">
        <f>IF(AX$12=$F54+1,IF(Monthly!AT$4=TRUE,0,AX$3),IF(AX$12&gt;$F54+1,RentalsVacates!AW54*(1-IF(AX$12-$F54&lt;=12,SUMIFS('Attrition Modeling'!$D:$D,'Attrition Modeling'!$B:$B,$E54,'Attrition Modeling'!$C:$C,AX$11),VLOOKUP(RentalsVacates!AX$12-RentalsVacates!$F54-1,RentalsVacates!$A$8:$C$162,2,FALSE)*VLOOKUP(AX$11,'Attrition Modeling'!$L$15:$N$27,IF(AX$12-$F54&lt;=24,2,3),FALSE))*(1+IF('Traditional Attrition'!AX176&gt;0,'Attrition Modeling'!$N$9,0))),0))</f>
        <v>5965.0690861903959</v>
      </c>
      <c r="AY54" s="799">
        <f>IF(AY$12=$F54+1,IF(Monthly!AU$4=TRUE,0,AY$3),IF(AY$12&gt;$F54+1,RentalsVacates!AX54*(1-IF(AY$12-$F54&lt;=12,SUMIFS('Attrition Modeling'!$D:$D,'Attrition Modeling'!$B:$B,$E54,'Attrition Modeling'!$C:$C,AY$11),VLOOKUP(RentalsVacates!AY$12-RentalsVacates!$F54-1,RentalsVacates!$A$8:$C$162,2,FALSE)*VLOOKUP(AY$11,'Attrition Modeling'!$L$15:$N$27,IF(AY$12-$F54&lt;=24,2,3),FALSE))*(1+IF('Traditional Attrition'!AY176&gt;0,'Attrition Modeling'!$N$9,0))),0))</f>
        <v>5169.3539233827596</v>
      </c>
      <c r="AZ54" s="799">
        <f>IF(AZ$12=$F54+1,IF(Monthly!AV$4=TRUE,0,AZ$3),IF(AZ$12&gt;$F54+1,RentalsVacates!AY54*(1-IF(AZ$12-$F54&lt;=12,SUMIFS('Attrition Modeling'!$D:$D,'Attrition Modeling'!$B:$B,$E54,'Attrition Modeling'!$C:$C,AZ$11),VLOOKUP(RentalsVacates!AZ$12-RentalsVacates!$F54-1,RentalsVacates!$A$8:$C$162,2,FALSE)*VLOOKUP(AZ$11,'Attrition Modeling'!$L$15:$N$27,IF(AZ$12-$F54&lt;=24,2,3),FALSE))*(1+IF('Traditional Attrition'!AZ176&gt;0,'Attrition Modeling'!$N$9,0))),0))</f>
        <v>4602.7157100065506</v>
      </c>
      <c r="BA54" s="799">
        <f>IF(BA$12=$F54+1,IF(Monthly!AW$4=TRUE,0,BA$3),IF(BA$12&gt;$F54+1,RentalsVacates!AZ54*(1-IF(BA$12-$F54&lt;=12,SUMIFS('Attrition Modeling'!$D:$D,'Attrition Modeling'!$B:$B,$E54,'Attrition Modeling'!$C:$C,BA$11),VLOOKUP(RentalsVacates!BA$12-RentalsVacates!$F54-1,RentalsVacates!$A$8:$C$162,2,FALSE)*VLOOKUP(BA$11,'Attrition Modeling'!$L$15:$N$27,IF(BA$12-$F54&lt;=24,2,3),FALSE))*(1+IF('Traditional Attrition'!BA176&gt;0,'Attrition Modeling'!$N$9,0))),0))</f>
        <v>4177.9246333280516</v>
      </c>
      <c r="BB54" s="799">
        <f>IF(BB$12=$F54+1,IF(Monthly!AX$4=TRUE,0,BB$3),IF(BB$12&gt;$F54+1,RentalsVacates!BA54*(1-IF(BB$12-$F54&lt;=12,SUMIFS('Attrition Modeling'!$D:$D,'Attrition Modeling'!$B:$B,$E54,'Attrition Modeling'!$C:$C,BB$11),VLOOKUP(RentalsVacates!BB$12-RentalsVacates!$F54-1,RentalsVacates!$A$8:$C$162,2,FALSE)*VLOOKUP(BB$11,'Attrition Modeling'!$L$15:$N$27,IF(BB$12-$F54&lt;=24,2,3),FALSE))*(1+IF('Traditional Attrition'!BB176&gt;0,'Attrition Modeling'!$N$9,0))),0))</f>
        <v>3719.9859574192442</v>
      </c>
      <c r="BC54" s="799">
        <f>IF(BC$12=$F54+1,IF(Monthly!AY$4=TRUE,0,BC$3),IF(BC$12&gt;$F54+1,RentalsVacates!BB54*(1-IF(BC$12-$F54&lt;=12,SUMIFS('Attrition Modeling'!$D:$D,'Attrition Modeling'!$B:$B,$E54,'Attrition Modeling'!$C:$C,BC$11),VLOOKUP(RentalsVacates!BC$12-RentalsVacates!$F54-1,RentalsVacates!$A$8:$C$162,2,FALSE)*VLOOKUP(BC$11,'Attrition Modeling'!$L$15:$N$27,IF(BC$12-$F54&lt;=24,2,3),FALSE))*(1+IF('Traditional Attrition'!BC176&gt;0,'Attrition Modeling'!$N$9,0))),0))</f>
        <v>3433.9646071216825</v>
      </c>
      <c r="BD54" s="799">
        <f>IF(BD$12=$F54+1,IF(Monthly!AZ$4=TRUE,0,BD$3),IF(BD$12&gt;$F54+1,RentalsVacates!BC54*(1-IF(BD$12-$F54&lt;=12,SUMIFS('Attrition Modeling'!$D:$D,'Attrition Modeling'!$B:$B,$E54,'Attrition Modeling'!$C:$C,BD$11),VLOOKUP(RentalsVacates!BD$12-RentalsVacates!$F54-1,RentalsVacates!$A$8:$C$162,2,FALSE)*VLOOKUP(BD$11,'Attrition Modeling'!$L$15:$N$27,IF(BD$12-$F54&lt;=24,2,3),FALSE))*(1+IF('Traditional Attrition'!BD176&gt;0,'Attrition Modeling'!$N$9,0))),0))</f>
        <v>3211.636311655011</v>
      </c>
      <c r="BE54" s="799">
        <f>IF(BE$12=$F54+1,IF(Monthly!BA$4=TRUE,0,BE$3),IF(BE$12&gt;$F54+1,RentalsVacates!BD54*(1-IF(BE$12-$F54&lt;=12,SUMIFS('Attrition Modeling'!$D:$D,'Attrition Modeling'!$B:$B,$E54,'Attrition Modeling'!$C:$C,BE$11),VLOOKUP(RentalsVacates!BE$12-RentalsVacates!$F54-1,RentalsVacates!$A$8:$C$162,2,FALSE)*VLOOKUP(BE$11,'Attrition Modeling'!$L$15:$N$27,IF(BE$12-$F54&lt;=24,2,3),FALSE))*(1+IF('Traditional Attrition'!BE176&gt;0,'Attrition Modeling'!$N$9,0))),0))</f>
        <v>3031.1651535578121</v>
      </c>
      <c r="BF54" s="799">
        <f>IF(BF$12=$F54+1,IF(Monthly!BB$4=TRUE,0,BF$3),IF(BF$12&gt;$F54+1,RentalsVacates!BE54*(1-IF(BF$12-$F54&lt;=12,SUMIFS('Attrition Modeling'!$D:$D,'Attrition Modeling'!$B:$B,$E54,'Attrition Modeling'!$C:$C,BF$11),VLOOKUP(RentalsVacates!BF$12-RentalsVacates!$F54-1,RentalsVacates!$A$8:$C$162,2,FALSE)*VLOOKUP(BF$11,'Attrition Modeling'!$L$15:$N$27,IF(BF$12-$F54&lt;=24,2,3),FALSE))*(1+IF('Traditional Attrition'!BF176&gt;0,'Attrition Modeling'!$N$9,0))),0))</f>
        <v>2858.3175377355601</v>
      </c>
      <c r="BG54" s="799">
        <f>IF(BG$12=$F54+1,IF(Monthly!BC$4=TRUE,0,BG$3),IF(BG$12&gt;$F54+1,RentalsVacates!BF54*(1-IF(BG$12-$F54&lt;=12,SUMIFS('Attrition Modeling'!$D:$D,'Attrition Modeling'!$B:$B,$E54,'Attrition Modeling'!$C:$C,BG$11),VLOOKUP(RentalsVacates!BG$12-RentalsVacates!$F54-1,RentalsVacates!$A$8:$C$162,2,FALSE)*VLOOKUP(BG$11,'Attrition Modeling'!$L$15:$N$27,IF(BG$12-$F54&lt;=24,2,3),FALSE))*(1+IF('Traditional Attrition'!BG176&gt;0,'Attrition Modeling'!$N$9,0))),0))</f>
        <v>2705.2117302435795</v>
      </c>
      <c r="BH54" s="799">
        <f>IF(BH$12=$F54+1,IF(Monthly!BD$4=TRUE,0,BH$3),IF(BH$12&gt;$F54+1,RentalsVacates!BG54*(1-IF(BH$12-$F54&lt;=12,SUMIFS('Attrition Modeling'!$D:$D,'Attrition Modeling'!$B:$B,$E54,'Attrition Modeling'!$C:$C,BH$11),VLOOKUP(RentalsVacates!BH$12-RentalsVacates!$F54-1,RentalsVacates!$A$8:$C$162,2,FALSE)*VLOOKUP(BH$11,'Attrition Modeling'!$L$15:$N$27,IF(BH$12-$F54&lt;=24,2,3),FALSE))*(1+IF('Traditional Attrition'!BH176&gt;0,'Attrition Modeling'!$N$9,0))),0))</f>
        <v>2638.356750669378</v>
      </c>
      <c r="BI54" s="799">
        <f>IF(BI$12=$F54+1,IF(Monthly!BE$4=TRUE,0,BI$3),IF(BI$12&gt;$F54+1,RentalsVacates!BH54*(1-IF(BI$12-$F54&lt;=12,SUMIFS('Attrition Modeling'!$D:$D,'Attrition Modeling'!$B:$B,$E54,'Attrition Modeling'!$C:$C,BI$11),VLOOKUP(RentalsVacates!BI$12-RentalsVacates!$F54-1,RentalsVacates!$A$8:$C$162,2,FALSE)*VLOOKUP(BI$11,'Attrition Modeling'!$L$15:$N$27,IF(BI$12-$F54&lt;=24,2,3),FALSE))*(1+IF('Traditional Attrition'!BI176&gt;0,'Attrition Modeling'!$N$9,0))),0))</f>
        <v>2488.8681428449331</v>
      </c>
      <c r="BJ54" s="799">
        <f>IF(BJ$12=$F54+1,IF(Monthly!BF$4=TRUE,0,BJ$3),IF(BJ$12&gt;$F54+1,RentalsVacates!BI54*(1-IF(BJ$12-$F54&lt;=12,SUMIFS('Attrition Modeling'!$D:$D,'Attrition Modeling'!$B:$B,$E54,'Attrition Modeling'!$C:$C,BJ$11),VLOOKUP(RentalsVacates!BJ$12-RentalsVacates!$F54-1,RentalsVacates!$A$8:$C$162,2,FALSE)*VLOOKUP(BJ$11,'Attrition Modeling'!$L$15:$N$27,IF(BJ$12-$F54&lt;=24,2,3),FALSE))*(1+IF('Traditional Attrition'!BJ176&gt;0,'Attrition Modeling'!$N$9,0))),0))</f>
        <v>2355.6616221893596</v>
      </c>
      <c r="BK54" s="799">
        <f>IF(BK$12=$F54+1,IF(Monthly!BG$4=TRUE,0,BK$3),IF(BK$12&gt;$F54+1,RentalsVacates!BJ54*(1-IF(BK$12-$F54&lt;=12,SUMIFS('Attrition Modeling'!$D:$D,'Attrition Modeling'!$B:$B,$E54,'Attrition Modeling'!$C:$C,BK$11),VLOOKUP(RentalsVacates!BK$12-RentalsVacates!$F54-1,RentalsVacates!$A$8:$C$162,2,FALSE)*VLOOKUP(BK$11,'Attrition Modeling'!$L$15:$N$27,IF(BK$12-$F54&lt;=24,2,3),FALSE))*(1+IF('Traditional Attrition'!BK176&gt;0,'Attrition Modeling'!$N$9,0))),0))</f>
        <v>2230.4547141183994</v>
      </c>
      <c r="BL54" s="799">
        <f>IF(BL$12=$F54+1,IF(Monthly!BH$4=TRUE,0,BL$3),IF(BL$12&gt;$F54+1,RentalsVacates!BK54*(1-IF(BL$12-$F54&lt;=12,SUMIFS('Attrition Modeling'!$D:$D,'Attrition Modeling'!$B:$B,$E54,'Attrition Modeling'!$C:$C,BL$11),VLOOKUP(RentalsVacates!BL$12-RentalsVacates!$F54-1,RentalsVacates!$A$8:$C$162,2,FALSE)*VLOOKUP(BL$11,'Attrition Modeling'!$L$15:$N$27,IF(BL$12-$F54&lt;=24,2,3),FALSE))*(1+IF('Traditional Attrition'!BL176&gt;0,'Attrition Modeling'!$N$9,0))),0))</f>
        <v>2126.2997336975845</v>
      </c>
      <c r="BM54" s="799">
        <f>IF(BM$12=$F54+1,IF(Monthly!BI$4=TRUE,0,BM$3),IF(BM$12&gt;$F54+1,RentalsVacates!BL54*(1-IF(BM$12-$F54&lt;=12,SUMIFS('Attrition Modeling'!$D:$D,'Attrition Modeling'!$B:$B,$E54,'Attrition Modeling'!$C:$C,BM$11),VLOOKUP(RentalsVacates!BM$12-RentalsVacates!$F54-1,RentalsVacates!$A$8:$C$162,2,FALSE)*VLOOKUP(BM$11,'Attrition Modeling'!$L$15:$N$27,IF(BM$12-$F54&lt;=24,2,3),FALSE))*(1+IF('Traditional Attrition'!BM176&gt;0,'Attrition Modeling'!$N$9,0))),0))</f>
        <v>2027.6988167316088</v>
      </c>
      <c r="BN54" s="799">
        <f>IF(BN$12=$F54+1,IF(Monthly!BJ$4=TRUE,0,BN$3),IF(BN$12&gt;$F54+1,RentalsVacates!BM54*(1-IF(BN$12-$F54&lt;=12,SUMIFS('Attrition Modeling'!$D:$D,'Attrition Modeling'!$B:$B,$E54,'Attrition Modeling'!$C:$C,BN$11),VLOOKUP(RentalsVacates!BN$12-RentalsVacates!$F54-1,RentalsVacates!$A$8:$C$162,2,FALSE)*VLOOKUP(BN$11,'Attrition Modeling'!$L$15:$N$27,IF(BN$12-$F54&lt;=24,2,3),FALSE))*(1+IF('Traditional Attrition'!BN176&gt;0,'Attrition Modeling'!$N$9,0))),0))</f>
        <v>1921.8404758745683</v>
      </c>
      <c r="BO54" s="799">
        <f>IF(BO$12=$F54+1,IF(Monthly!BK$4=TRUE,0,BO$3),IF(BO$12&gt;$F54+1,RentalsVacates!BN54*(1-IF(BO$12-$F54&lt;=12,SUMIFS('Attrition Modeling'!$D:$D,'Attrition Modeling'!$B:$B,$E54,'Attrition Modeling'!$C:$C,BO$11),VLOOKUP(RentalsVacates!BO$12-RentalsVacates!$F54-1,RentalsVacates!$A$8:$C$162,2,FALSE)*VLOOKUP(BO$11,'Attrition Modeling'!$L$15:$N$27,IF(BO$12-$F54&lt;=24,2,3),FALSE))*(1+IF('Traditional Attrition'!BO176&gt;0,'Attrition Modeling'!$N$9,0))),0))</f>
        <v>1840.8846245041102</v>
      </c>
      <c r="BP54" s="799">
        <f>IF(BP$12=$F54+1,IF(Monthly!BL$4=TRUE,0,BP$3),IF(BP$12&gt;$F54+1,RentalsVacates!BO54*(1-IF(BP$12-$F54&lt;=12,SUMIFS('Attrition Modeling'!$D:$D,'Attrition Modeling'!$B:$B,$E54,'Attrition Modeling'!$C:$C,BP$11),VLOOKUP(RentalsVacates!BP$12-RentalsVacates!$F54-1,RentalsVacates!$A$8:$C$162,2,FALSE)*VLOOKUP(BP$11,'Attrition Modeling'!$L$15:$N$27,IF(BP$12-$F54&lt;=24,2,3),FALSE))*(1+IF('Traditional Attrition'!BP176&gt;0,'Attrition Modeling'!$N$9,0))),0))</f>
        <v>1764.7436919149957</v>
      </c>
      <c r="BQ54" s="799">
        <f>IF(BQ$12=$F54+1,IF(Monthly!BM$4=TRUE,0,BQ$3),IF(BQ$12&gt;$F54+1,RentalsVacates!BP54*(1-IF(BQ$12-$F54&lt;=12,SUMIFS('Attrition Modeling'!$D:$D,'Attrition Modeling'!$B:$B,$E54,'Attrition Modeling'!$C:$C,BQ$11),VLOOKUP(RentalsVacates!BQ$12-RentalsVacates!$F54-1,RentalsVacates!$A$8:$C$162,2,FALSE)*VLOOKUP(BQ$11,'Attrition Modeling'!$L$15:$N$27,IF(BQ$12-$F54&lt;=24,2,3),FALSE))*(1+IF('Traditional Attrition'!BQ176&gt;0,'Attrition Modeling'!$N$9,0))),0))</f>
        <v>1700.0224121541328</v>
      </c>
      <c r="BR54" s="799">
        <f>IF(BR$12=$F54+1,IF(Monthly!BN$4=TRUE,0,BR$3),IF(BR$12&gt;$F54+1,RentalsVacates!BQ54*(1-IF(BR$12-$F54&lt;=12,SUMIFS('Attrition Modeling'!$D:$D,'Attrition Modeling'!$B:$B,$E54,'Attrition Modeling'!$C:$C,BR$11),VLOOKUP(RentalsVacates!BR$12-RentalsVacates!$F54-1,RentalsVacates!$A$8:$C$162,2,FALSE)*VLOOKUP(BR$11,'Attrition Modeling'!$L$15:$N$27,IF(BR$12-$F54&lt;=24,2,3),FALSE))*(1+IF('Traditional Attrition'!BR176&gt;0,'Attrition Modeling'!$N$9,0))),0))</f>
        <v>1633.2084010668111</v>
      </c>
      <c r="BS54" s="799">
        <f>IF(BS$12=$F54+1,IF(Monthly!BO$4=TRUE,0,BS$3),IF(BS$12&gt;$F54+1,RentalsVacates!BR54*(1-IF(BS$12-$F54&lt;=12,SUMIFS('Attrition Modeling'!$D:$D,'Attrition Modeling'!$B:$B,$E54,'Attrition Modeling'!$C:$C,BS$11),VLOOKUP(RentalsVacates!BS$12-RentalsVacates!$F54-1,RentalsVacates!$A$8:$C$162,2,FALSE)*VLOOKUP(BS$11,'Attrition Modeling'!$L$15:$N$27,IF(BS$12-$F54&lt;=24,2,3),FALSE))*(1+IF('Traditional Attrition'!BS176&gt;0,'Attrition Modeling'!$N$9,0))),0))</f>
        <v>1570.9986117129072</v>
      </c>
      <c r="BT54" s="799">
        <f>IF(BT$11=$F53+1,IF(Monthly!#REF!=TRUE,0,BT$3),IF(BT$11&gt;$F53+1,RentalsVacates!BS53*(1-IF(BT$11-$F53&lt;=12,SUMIFS('Attrition Modeling'!$D:$D,'Attrition Modeling'!$B:$B,$E53,'Attrition Modeling'!$C:$C,BT$10),VLOOKUP(RentalsVacates!BT$11-RentalsVacates!$F53-1,RentalsVacates!$A$7:$C$161,2,FALSE)*VLOOKUP(BT$10,'Attrition Modeling'!$L$15:$N$27,IF(BT$11-$F53&lt;=24,2,3),FALSE))*(1+IF('Traditional Attrition'!BT176&gt;0,'Attrition Modeling'!$N$9,0))),0))</f>
        <v>0</v>
      </c>
      <c r="BU54" s="799">
        <f>IF(BU$11=$F53+1,IF(Monthly!#REF!=TRUE,0,BU$3),IF(BU$11&gt;$F53+1,RentalsVacates!BT53*(1-IF(BU$11-$F53&lt;=12,SUMIFS('Attrition Modeling'!$D:$D,'Attrition Modeling'!$B:$B,$E53,'Attrition Modeling'!$C:$C,BU$10),VLOOKUP(RentalsVacates!BU$11-RentalsVacates!$F53-1,RentalsVacates!$A$7:$C$161,2,FALSE)*VLOOKUP(BU$10,'Attrition Modeling'!$L$15:$N$27,IF(BU$11-$F53&lt;=24,2,3),FALSE))*(1+IF('Traditional Attrition'!BU176&gt;0,'Attrition Modeling'!$N$9,0))),0))</f>
        <v>0</v>
      </c>
    </row>
    <row r="55" spans="1:73" ht="14.25" customHeight="1" x14ac:dyDescent="0.2">
      <c r="A55" s="9">
        <v>47</v>
      </c>
      <c r="B55" s="25">
        <f>MAX('Attrition Modeling'!H51,$C$3)*(1-Summary!$C$20)</f>
        <v>2.6113085641081973E-2</v>
      </c>
      <c r="C55" s="24" t="e">
        <f t="shared" si="2"/>
        <v>#DIV/0!</v>
      </c>
      <c r="E55" s="11">
        <f>'Traditional Attrition'!E112</f>
        <v>6</v>
      </c>
      <c r="F55" s="11">
        <f t="shared" si="4"/>
        <v>42</v>
      </c>
      <c r="G55" s="799"/>
      <c r="H55" s="799">
        <f>IF(H$12=$F55+1,IF(Monthly!D$4=TRUE,0,H$3),IF(H$12&gt;$F55+1,RentalsVacates!G55*(1-IF(H$12-$F55&lt;=12,SUMIFS('Attrition Modeling'!$D:$D,'Attrition Modeling'!$B:$B,$E55,'Attrition Modeling'!$C:$C,H$11),VLOOKUP(RentalsVacates!H$12-RentalsVacates!$F55-1,RentalsVacates!$A$8:$C$162,2,FALSE)*VLOOKUP(H$11,'Attrition Modeling'!$L$15:$N$27,IF(H$12-$F55&lt;=24,2,3),FALSE))*(1+IF('Traditional Attrition'!H177&gt;0,'Attrition Modeling'!$N$9,0))),0))</f>
        <v>0</v>
      </c>
      <c r="I55" s="799">
        <f>IF(I$12=$F55+1,IF(Monthly!E$4=TRUE,0,I$3),IF(I$12&gt;$F55+1,RentalsVacates!H55*(1-IF(I$12-$F55&lt;=12,SUMIFS('Attrition Modeling'!$D:$D,'Attrition Modeling'!$B:$B,$E55,'Attrition Modeling'!$C:$C,I$11),VLOOKUP(RentalsVacates!I$12-RentalsVacates!$F55-1,RentalsVacates!$A$8:$C$162,2,FALSE)*VLOOKUP(I$11,'Attrition Modeling'!$L$15:$N$27,IF(I$12-$F55&lt;=24,2,3),FALSE))*(1+IF('Traditional Attrition'!I177&gt;0,'Attrition Modeling'!$N$9,0))),0))</f>
        <v>0</v>
      </c>
      <c r="J55" s="799">
        <f>IF(J$12=$F55+1,IF(Monthly!F$4=TRUE,0,J$3),IF(J$12&gt;$F55+1,RentalsVacates!I55*(1-IF(J$12-$F55&lt;=12,SUMIFS('Attrition Modeling'!$D:$D,'Attrition Modeling'!$B:$B,$E55,'Attrition Modeling'!$C:$C,J$11),VLOOKUP(RentalsVacates!J$12-RentalsVacates!$F55-1,RentalsVacates!$A$8:$C$162,2,FALSE)*VLOOKUP(J$11,'Attrition Modeling'!$L$15:$N$27,IF(J$12-$F55&lt;=24,2,3),FALSE))*(1+IF('Traditional Attrition'!J177&gt;0,'Attrition Modeling'!$N$9,0))),0))</f>
        <v>0</v>
      </c>
      <c r="K55" s="799">
        <f>IF(K$12=$F55+1,IF(Monthly!G$4=TRUE,0,K$3),IF(K$12&gt;$F55+1,RentalsVacates!J55*(1-IF(K$12-$F55&lt;=12,SUMIFS('Attrition Modeling'!$D:$D,'Attrition Modeling'!$B:$B,$E55,'Attrition Modeling'!$C:$C,K$11),VLOOKUP(RentalsVacates!K$12-RentalsVacates!$F55-1,RentalsVacates!$A$8:$C$162,2,FALSE)*VLOOKUP(K$11,'Attrition Modeling'!$L$15:$N$27,IF(K$12-$F55&lt;=24,2,3),FALSE))*(1+IF('Traditional Attrition'!K177&gt;0,'Attrition Modeling'!$N$9,0))),0))</f>
        <v>0</v>
      </c>
      <c r="L55" s="799">
        <f>IF(L$12=$F55+1,IF(Monthly!H$4=TRUE,0,L$3),IF(L$12&gt;$F55+1,RentalsVacates!K55*(1-IF(L$12-$F55&lt;=12,SUMIFS('Attrition Modeling'!$D:$D,'Attrition Modeling'!$B:$B,$E55,'Attrition Modeling'!$C:$C,L$11),VLOOKUP(RentalsVacates!L$12-RentalsVacates!$F55-1,RentalsVacates!$A$8:$C$162,2,FALSE)*VLOOKUP(L$11,'Attrition Modeling'!$L$15:$N$27,IF(L$12-$F55&lt;=24,2,3),FALSE))*(1+IF('Traditional Attrition'!L177&gt;0,'Attrition Modeling'!$N$9,0))),0))</f>
        <v>0</v>
      </c>
      <c r="M55" s="799">
        <f>IF(M$12=$F55+1,IF(Monthly!I$4=TRUE,0,M$3),IF(M$12&gt;$F55+1,RentalsVacates!L55*(1-IF(M$12-$F55&lt;=12,SUMIFS('Attrition Modeling'!$D:$D,'Attrition Modeling'!$B:$B,$E55,'Attrition Modeling'!$C:$C,M$11),VLOOKUP(RentalsVacates!M$12-RentalsVacates!$F55-1,RentalsVacates!$A$8:$C$162,2,FALSE)*VLOOKUP(M$11,'Attrition Modeling'!$L$15:$N$27,IF(M$12-$F55&lt;=24,2,3),FALSE))*(1+IF('Traditional Attrition'!M177&gt;0,'Attrition Modeling'!$N$9,0))),0))</f>
        <v>0</v>
      </c>
      <c r="N55" s="799">
        <f>IF(N$12=$F55+1,IF(Monthly!J$4=TRUE,0,N$3),IF(N$12&gt;$F55+1,RentalsVacates!M55*(1-IF(N$12-$F55&lt;=12,SUMIFS('Attrition Modeling'!$D:$D,'Attrition Modeling'!$B:$B,$E55,'Attrition Modeling'!$C:$C,N$11),VLOOKUP(RentalsVacates!N$12-RentalsVacates!$F55-1,RentalsVacates!$A$8:$C$162,2,FALSE)*VLOOKUP(N$11,'Attrition Modeling'!$L$15:$N$27,IF(N$12-$F55&lt;=24,2,3),FALSE))*(1+IF('Traditional Attrition'!N177&gt;0,'Attrition Modeling'!$N$9,0))),0))</f>
        <v>0</v>
      </c>
      <c r="O55" s="799">
        <f>IF(O$12=$F55+1,IF(Monthly!K$4=TRUE,0,O$3),IF(O$12&gt;$F55+1,RentalsVacates!N55*(1-IF(O$12-$F55&lt;=12,SUMIFS('Attrition Modeling'!$D:$D,'Attrition Modeling'!$B:$B,$E55,'Attrition Modeling'!$C:$C,O$11),VLOOKUP(RentalsVacates!O$12-RentalsVacates!$F55-1,RentalsVacates!$A$8:$C$162,2,FALSE)*VLOOKUP(O$11,'Attrition Modeling'!$L$15:$N$27,IF(O$12-$F55&lt;=24,2,3),FALSE))*(1+IF('Traditional Attrition'!O177&gt;0,'Attrition Modeling'!$N$9,0))),0))</f>
        <v>0</v>
      </c>
      <c r="P55" s="799">
        <f>IF(P$12=$F55+1,IF(Monthly!L$4=TRUE,0,P$3),IF(P$12&gt;$F55+1,RentalsVacates!O55*(1-IF(P$12-$F55&lt;=12,SUMIFS('Attrition Modeling'!$D:$D,'Attrition Modeling'!$B:$B,$E55,'Attrition Modeling'!$C:$C,P$11),VLOOKUP(RentalsVacates!P$12-RentalsVacates!$F55-1,RentalsVacates!$A$8:$C$162,2,FALSE)*VLOOKUP(P$11,'Attrition Modeling'!$L$15:$N$27,IF(P$12-$F55&lt;=24,2,3),FALSE))*(1+IF('Traditional Attrition'!P177&gt;0,'Attrition Modeling'!$N$9,0))),0))</f>
        <v>0</v>
      </c>
      <c r="Q55" s="799">
        <f>IF(Q$12=$F55+1,IF(Monthly!M$4=TRUE,0,Q$3),IF(Q$12&gt;$F55+1,RentalsVacates!P55*(1-IF(Q$12-$F55&lt;=12,SUMIFS('Attrition Modeling'!$D:$D,'Attrition Modeling'!$B:$B,$E55,'Attrition Modeling'!$C:$C,Q$11),VLOOKUP(RentalsVacates!Q$12-RentalsVacates!$F55-1,RentalsVacates!$A$8:$C$162,2,FALSE)*VLOOKUP(Q$11,'Attrition Modeling'!$L$15:$N$27,IF(Q$12-$F55&lt;=24,2,3),FALSE))*(1+IF('Traditional Attrition'!Q177&gt;0,'Attrition Modeling'!$N$9,0))),0))</f>
        <v>0</v>
      </c>
      <c r="R55" s="799">
        <f>IF(R$12=$F55+1,IF(Monthly!N$4=TRUE,0,R$3),IF(R$12&gt;$F55+1,RentalsVacates!Q55*(1-IF(R$12-$F55&lt;=12,SUMIFS('Attrition Modeling'!$D:$D,'Attrition Modeling'!$B:$B,$E55,'Attrition Modeling'!$C:$C,R$11),VLOOKUP(RentalsVacates!R$12-RentalsVacates!$F55-1,RentalsVacates!$A$8:$C$162,2,FALSE)*VLOOKUP(R$11,'Attrition Modeling'!$L$15:$N$27,IF(R$12-$F55&lt;=24,2,3),FALSE))*(1+IF('Traditional Attrition'!R177&gt;0,'Attrition Modeling'!$N$9,0))),0))</f>
        <v>0</v>
      </c>
      <c r="S55" s="799">
        <f>IF(S$12=$F55+1,IF(Monthly!O$4=TRUE,0,S$3),IF(S$12&gt;$F55+1,RentalsVacates!R55*(1-IF(S$12-$F55&lt;=12,SUMIFS('Attrition Modeling'!$D:$D,'Attrition Modeling'!$B:$B,$E55,'Attrition Modeling'!$C:$C,S$11),VLOOKUP(RentalsVacates!S$12-RentalsVacates!$F55-1,RentalsVacates!$A$8:$C$162,2,FALSE)*VLOOKUP(S$11,'Attrition Modeling'!$L$15:$N$27,IF(S$12-$F55&lt;=24,2,3),FALSE))*(1+IF('Traditional Attrition'!S177&gt;0,'Attrition Modeling'!$N$9,0))),0))</f>
        <v>0</v>
      </c>
      <c r="T55" s="799">
        <f>IF(T$12=$F55+1,IF(Monthly!P$4=TRUE,0,T$3),IF(T$12&gt;$F55+1,RentalsVacates!S55*(1-IF(T$12-$F55&lt;=12,SUMIFS('Attrition Modeling'!$D:$D,'Attrition Modeling'!$B:$B,$E55,'Attrition Modeling'!$C:$C,T$11),VLOOKUP(RentalsVacates!T$12-RentalsVacates!$F55-1,RentalsVacates!$A$8:$C$162,2,FALSE)*VLOOKUP(T$11,'Attrition Modeling'!$L$15:$N$27,IF(T$12-$F55&lt;=24,2,3),FALSE))*(1+IF('Traditional Attrition'!T177&gt;0,'Attrition Modeling'!$N$9,0))),0))</f>
        <v>0</v>
      </c>
      <c r="U55" s="799">
        <f>IF(U$12=$F55+1,IF(Monthly!Q$4=TRUE,0,U$3),IF(U$12&gt;$F55+1,RentalsVacates!T55*(1-IF(U$12-$F55&lt;=12,SUMIFS('Attrition Modeling'!$D:$D,'Attrition Modeling'!$B:$B,$E55,'Attrition Modeling'!$C:$C,U$11),VLOOKUP(RentalsVacates!U$12-RentalsVacates!$F55-1,RentalsVacates!$A$8:$C$162,2,FALSE)*VLOOKUP(U$11,'Attrition Modeling'!$L$15:$N$27,IF(U$12-$F55&lt;=24,2,3),FALSE))*(1+IF('Traditional Attrition'!U177&gt;0,'Attrition Modeling'!$N$9,0))),0))</f>
        <v>0</v>
      </c>
      <c r="V55" s="799">
        <f>IF(V$12=$F55+1,IF(Monthly!R$4=TRUE,0,V$3),IF(V$12&gt;$F55+1,RentalsVacates!U55*(1-IF(V$12-$F55&lt;=12,SUMIFS('Attrition Modeling'!$D:$D,'Attrition Modeling'!$B:$B,$E55,'Attrition Modeling'!$C:$C,V$11),VLOOKUP(RentalsVacates!V$12-RentalsVacates!$F55-1,RentalsVacates!$A$8:$C$162,2,FALSE)*VLOOKUP(V$11,'Attrition Modeling'!$L$15:$N$27,IF(V$12-$F55&lt;=24,2,3),FALSE))*(1+IF('Traditional Attrition'!V177&gt;0,'Attrition Modeling'!$N$9,0))),0))</f>
        <v>0</v>
      </c>
      <c r="W55" s="799">
        <f>IF(W$12=$F55+1,IF(Monthly!S$4=TRUE,0,W$3),IF(W$12&gt;$F55+1,RentalsVacates!V55*(1-IF(W$12-$F55&lt;=12,SUMIFS('Attrition Modeling'!$D:$D,'Attrition Modeling'!$B:$B,$E55,'Attrition Modeling'!$C:$C,W$11),VLOOKUP(RentalsVacates!W$12-RentalsVacates!$F55-1,RentalsVacates!$A$8:$C$162,2,FALSE)*VLOOKUP(W$11,'Attrition Modeling'!$L$15:$N$27,IF(W$12-$F55&lt;=24,2,3),FALSE))*(1+IF('Traditional Attrition'!W177&gt;0,'Attrition Modeling'!$N$9,0))),0))</f>
        <v>0</v>
      </c>
      <c r="X55" s="799">
        <f>IF(X$12=$F55+1,IF(Monthly!T$4=TRUE,0,X$3),IF(X$12&gt;$F55+1,RentalsVacates!W55*(1-IF(X$12-$F55&lt;=12,SUMIFS('Attrition Modeling'!$D:$D,'Attrition Modeling'!$B:$B,$E55,'Attrition Modeling'!$C:$C,X$11),VLOOKUP(RentalsVacates!X$12-RentalsVacates!$F55-1,RentalsVacates!$A$8:$C$162,2,FALSE)*VLOOKUP(X$11,'Attrition Modeling'!$L$15:$N$27,IF(X$12-$F55&lt;=24,2,3),FALSE))*(1+IF('Traditional Attrition'!X177&gt;0,'Attrition Modeling'!$N$9,0))),0))</f>
        <v>0</v>
      </c>
      <c r="Y55" s="799">
        <f>IF(Y$12=$F55+1,IF(Monthly!U$4=TRUE,0,Y$3),IF(Y$12&gt;$F55+1,RentalsVacates!X55*(1-IF(Y$12-$F55&lt;=12,SUMIFS('Attrition Modeling'!$D:$D,'Attrition Modeling'!$B:$B,$E55,'Attrition Modeling'!$C:$C,Y$11),VLOOKUP(RentalsVacates!Y$12-RentalsVacates!$F55-1,RentalsVacates!$A$8:$C$162,2,FALSE)*VLOOKUP(Y$11,'Attrition Modeling'!$L$15:$N$27,IF(Y$12-$F55&lt;=24,2,3),FALSE))*(1+IF('Traditional Attrition'!Y177&gt;0,'Attrition Modeling'!$N$9,0))),0))</f>
        <v>0</v>
      </c>
      <c r="Z55" s="799">
        <f>IF(Z$12=$F55+1,IF(Monthly!V$4=TRUE,0,Z$3),IF(Z$12&gt;$F55+1,RentalsVacates!Y55*(1-IF(Z$12-$F55&lt;=12,SUMIFS('Attrition Modeling'!$D:$D,'Attrition Modeling'!$B:$B,$E55,'Attrition Modeling'!$C:$C,Z$11),VLOOKUP(RentalsVacates!Z$12-RentalsVacates!$F55-1,RentalsVacates!$A$8:$C$162,2,FALSE)*VLOOKUP(Z$11,'Attrition Modeling'!$L$15:$N$27,IF(Z$12-$F55&lt;=24,2,3),FALSE))*(1+IF('Traditional Attrition'!Z177&gt;0,'Attrition Modeling'!$N$9,0))),0))</f>
        <v>0</v>
      </c>
      <c r="AA55" s="799">
        <f>IF(AA$12=$F55+1,IF(Monthly!W$4=TRUE,0,AA$3),IF(AA$12&gt;$F55+1,RentalsVacates!Z55*(1-IF(AA$12-$F55&lt;=12,SUMIFS('Attrition Modeling'!$D:$D,'Attrition Modeling'!$B:$B,$E55,'Attrition Modeling'!$C:$C,AA$11),VLOOKUP(RentalsVacates!AA$12-RentalsVacates!$F55-1,RentalsVacates!$A$8:$C$162,2,FALSE)*VLOOKUP(AA$11,'Attrition Modeling'!$L$15:$N$27,IF(AA$12-$F55&lt;=24,2,3),FALSE))*(1+IF('Traditional Attrition'!AA177&gt;0,'Attrition Modeling'!$N$9,0))),0))</f>
        <v>0</v>
      </c>
      <c r="AB55" s="799">
        <f>IF(AB$12=$F55+1,IF(Monthly!X$4=TRUE,0,AB$3),IF(AB$12&gt;$F55+1,RentalsVacates!AA55*(1-IF(AB$12-$F55&lt;=12,SUMIFS('Attrition Modeling'!$D:$D,'Attrition Modeling'!$B:$B,$E55,'Attrition Modeling'!$C:$C,AB$11),VLOOKUP(RentalsVacates!AB$12-RentalsVacates!$F55-1,RentalsVacates!$A$8:$C$162,2,FALSE)*VLOOKUP(AB$11,'Attrition Modeling'!$L$15:$N$27,IF(AB$12-$F55&lt;=24,2,3),FALSE))*(1+IF('Traditional Attrition'!AB177&gt;0,'Attrition Modeling'!$N$9,0))),0))</f>
        <v>0</v>
      </c>
      <c r="AC55" s="799">
        <f>IF(AC$12=$F55+1,IF(Monthly!Y$4=TRUE,0,AC$3),IF(AC$12&gt;$F55+1,RentalsVacates!AB55*(1-IF(AC$12-$F55&lt;=12,SUMIFS('Attrition Modeling'!$D:$D,'Attrition Modeling'!$B:$B,$E55,'Attrition Modeling'!$C:$C,AC$11),VLOOKUP(RentalsVacates!AC$12-RentalsVacates!$F55-1,RentalsVacates!$A$8:$C$162,2,FALSE)*VLOOKUP(AC$11,'Attrition Modeling'!$L$15:$N$27,IF(AC$12-$F55&lt;=24,2,3),FALSE))*(1+IF('Traditional Attrition'!AC177&gt;0,'Attrition Modeling'!$N$9,0))),0))</f>
        <v>0</v>
      </c>
      <c r="AD55" s="799">
        <f>IF(AD$12=$F55+1,IF(Monthly!Z$4=TRUE,0,AD$3),IF(AD$12&gt;$F55+1,RentalsVacates!AC55*(1-IF(AD$12-$F55&lt;=12,SUMIFS('Attrition Modeling'!$D:$D,'Attrition Modeling'!$B:$B,$E55,'Attrition Modeling'!$C:$C,AD$11),VLOOKUP(RentalsVacates!AD$12-RentalsVacates!$F55-1,RentalsVacates!$A$8:$C$162,2,FALSE)*VLOOKUP(AD$11,'Attrition Modeling'!$L$15:$N$27,IF(AD$12-$F55&lt;=24,2,3),FALSE))*(1+IF('Traditional Attrition'!AD177&gt;0,'Attrition Modeling'!$N$9,0))),0))</f>
        <v>0</v>
      </c>
      <c r="AE55" s="799">
        <f>IF(AE$12=$F55+1,IF(Monthly!AA$4=TRUE,0,AE$3),IF(AE$12&gt;$F55+1,RentalsVacates!AD55*(1-IF(AE$12-$F55&lt;=12,SUMIFS('Attrition Modeling'!$D:$D,'Attrition Modeling'!$B:$B,$E55,'Attrition Modeling'!$C:$C,AE$11),VLOOKUP(RentalsVacates!AE$12-RentalsVacates!$F55-1,RentalsVacates!$A$8:$C$162,2,FALSE)*VLOOKUP(AE$11,'Attrition Modeling'!$L$15:$N$27,IF(AE$12-$F55&lt;=24,2,3),FALSE))*(1+IF('Traditional Attrition'!AE177&gt;0,'Attrition Modeling'!$N$9,0))),0))</f>
        <v>0</v>
      </c>
      <c r="AF55" s="799">
        <f>IF(AF$12=$F55+1,IF(Monthly!AB$4=TRUE,0,AF$3),IF(AF$12&gt;$F55+1,RentalsVacates!AE55*(1-IF(AF$12-$F55&lt;=12,SUMIFS('Attrition Modeling'!$D:$D,'Attrition Modeling'!$B:$B,$E55,'Attrition Modeling'!$C:$C,AF$11),VLOOKUP(RentalsVacates!AF$12-RentalsVacates!$F55-1,RentalsVacates!$A$8:$C$162,2,FALSE)*VLOOKUP(AF$11,'Attrition Modeling'!$L$15:$N$27,IF(AF$12-$F55&lt;=24,2,3),FALSE))*(1+IF('Traditional Attrition'!AF177&gt;0,'Attrition Modeling'!$N$9,0))),0))</f>
        <v>0</v>
      </c>
      <c r="AG55" s="799">
        <f>IF(AG$12=$F55+1,IF(Monthly!AC$4=TRUE,0,AG$3),IF(AG$12&gt;$F55+1,RentalsVacates!AF55*(1-IF(AG$12-$F55&lt;=12,SUMIFS('Attrition Modeling'!$D:$D,'Attrition Modeling'!$B:$B,$E55,'Attrition Modeling'!$C:$C,AG$11),VLOOKUP(RentalsVacates!AG$12-RentalsVacates!$F55-1,RentalsVacates!$A$8:$C$162,2,FALSE)*VLOOKUP(AG$11,'Attrition Modeling'!$L$15:$N$27,IF(AG$12-$F55&lt;=24,2,3),FALSE))*(1+IF('Traditional Attrition'!AG177&gt;0,'Attrition Modeling'!$N$9,0))),0))</f>
        <v>0</v>
      </c>
      <c r="AH55" s="799">
        <f>IF(AH$12=$F55+1,IF(Monthly!AD$4=TRUE,0,AH$3),IF(AH$12&gt;$F55+1,RentalsVacates!AG55*(1-IF(AH$12-$F55&lt;=12,SUMIFS('Attrition Modeling'!$D:$D,'Attrition Modeling'!$B:$B,$E55,'Attrition Modeling'!$C:$C,AH$11),VLOOKUP(RentalsVacates!AH$12-RentalsVacates!$F55-1,RentalsVacates!$A$8:$C$162,2,FALSE)*VLOOKUP(AH$11,'Attrition Modeling'!$L$15:$N$27,IF(AH$12-$F55&lt;=24,2,3),FALSE))*(1+IF('Traditional Attrition'!AH177&gt;0,'Attrition Modeling'!$N$9,0))),0))</f>
        <v>0</v>
      </c>
      <c r="AI55" s="799">
        <f>IF(AI$12=$F55+1,IF(Monthly!AE$4=TRUE,0,AI$3),IF(AI$12&gt;$F55+1,RentalsVacates!AH55*(1-IF(AI$12-$F55&lt;=12,SUMIFS('Attrition Modeling'!$D:$D,'Attrition Modeling'!$B:$B,$E55,'Attrition Modeling'!$C:$C,AI$11),VLOOKUP(RentalsVacates!AI$12-RentalsVacates!$F55-1,RentalsVacates!$A$8:$C$162,2,FALSE)*VLOOKUP(AI$11,'Attrition Modeling'!$L$15:$N$27,IF(AI$12-$F55&lt;=24,2,3),FALSE))*(1+IF('Traditional Attrition'!AI177&gt;0,'Attrition Modeling'!$N$9,0))),0))</f>
        <v>0</v>
      </c>
      <c r="AJ55" s="799">
        <f>IF(AJ$12=$F55+1,IF(Monthly!AF$4=TRUE,0,AJ$3),IF(AJ$12&gt;$F55+1,RentalsVacates!AI55*(1-IF(AJ$12-$F55&lt;=12,SUMIFS('Attrition Modeling'!$D:$D,'Attrition Modeling'!$B:$B,$E55,'Attrition Modeling'!$C:$C,AJ$11),VLOOKUP(RentalsVacates!AJ$12-RentalsVacates!$F55-1,RentalsVacates!$A$8:$C$162,2,FALSE)*VLOOKUP(AJ$11,'Attrition Modeling'!$L$15:$N$27,IF(AJ$12-$F55&lt;=24,2,3),FALSE))*(1+IF('Traditional Attrition'!AJ177&gt;0,'Attrition Modeling'!$N$9,0))),0))</f>
        <v>0</v>
      </c>
      <c r="AK55" s="799">
        <f>IF(AK$12=$F55+1,IF(Monthly!AG$4=TRUE,0,AK$3),IF(AK$12&gt;$F55+1,RentalsVacates!AJ55*(1-IF(AK$12-$F55&lt;=12,SUMIFS('Attrition Modeling'!$D:$D,'Attrition Modeling'!$B:$B,$E55,'Attrition Modeling'!$C:$C,AK$11),VLOOKUP(RentalsVacates!AK$12-RentalsVacates!$F55-1,RentalsVacates!$A$8:$C$162,2,FALSE)*VLOOKUP(AK$11,'Attrition Modeling'!$L$15:$N$27,IF(AK$12-$F55&lt;=24,2,3),FALSE))*(1+IF('Traditional Attrition'!AK177&gt;0,'Attrition Modeling'!$N$9,0))),0))</f>
        <v>0</v>
      </c>
      <c r="AL55" s="799">
        <f>IF(AL$12=$F55+1,IF(Monthly!AH$4=TRUE,0,AL$3),IF(AL$12&gt;$F55+1,RentalsVacates!AK55*(1-IF(AL$12-$F55&lt;=12,SUMIFS('Attrition Modeling'!$D:$D,'Attrition Modeling'!$B:$B,$E55,'Attrition Modeling'!$C:$C,AL$11),VLOOKUP(RentalsVacates!AL$12-RentalsVacates!$F55-1,RentalsVacates!$A$8:$C$162,2,FALSE)*VLOOKUP(AL$11,'Attrition Modeling'!$L$15:$N$27,IF(AL$12-$F55&lt;=24,2,3),FALSE))*(1+IF('Traditional Attrition'!AL177&gt;0,'Attrition Modeling'!$N$9,0))),0))</f>
        <v>0</v>
      </c>
      <c r="AM55" s="799">
        <f>IF(AM$12=$F55+1,IF(Monthly!AI$4=TRUE,0,AM$3),IF(AM$12&gt;$F55+1,RentalsVacates!AL55*(1-IF(AM$12-$F55&lt;=12,SUMIFS('Attrition Modeling'!$D:$D,'Attrition Modeling'!$B:$B,$E55,'Attrition Modeling'!$C:$C,AM$11),VLOOKUP(RentalsVacates!AM$12-RentalsVacates!$F55-1,RentalsVacates!$A$8:$C$162,2,FALSE)*VLOOKUP(AM$11,'Attrition Modeling'!$L$15:$N$27,IF(AM$12-$F55&lt;=24,2,3),FALSE))*(1+IF('Traditional Attrition'!AM177&gt;0,'Attrition Modeling'!$N$9,0))),0))</f>
        <v>0</v>
      </c>
      <c r="AN55" s="799">
        <f>IF(AN$12=$F55+1,IF(Monthly!AJ$4=TRUE,0,AN$3),IF(AN$12&gt;$F55+1,RentalsVacates!AM55*(1-IF(AN$12-$F55&lt;=12,SUMIFS('Attrition Modeling'!$D:$D,'Attrition Modeling'!$B:$B,$E55,'Attrition Modeling'!$C:$C,AN$11),VLOOKUP(RentalsVacates!AN$12-RentalsVacates!$F55-1,RentalsVacates!$A$8:$C$162,2,FALSE)*VLOOKUP(AN$11,'Attrition Modeling'!$L$15:$N$27,IF(AN$12-$F55&lt;=24,2,3),FALSE))*(1+IF('Traditional Attrition'!AN177&gt;0,'Attrition Modeling'!$N$9,0))),0))</f>
        <v>0</v>
      </c>
      <c r="AO55" s="799">
        <f>IF(AO$12=$F55+1,IF(Monthly!AK$4=TRUE,0,AO$3),IF(AO$12&gt;$F55+1,RentalsVacates!AN55*(1-IF(AO$12-$F55&lt;=12,SUMIFS('Attrition Modeling'!$D:$D,'Attrition Modeling'!$B:$B,$E55,'Attrition Modeling'!$C:$C,AO$11),VLOOKUP(RentalsVacates!AO$12-RentalsVacates!$F55-1,RentalsVacates!$A$8:$C$162,2,FALSE)*VLOOKUP(AO$11,'Attrition Modeling'!$L$15:$N$27,IF(AO$12-$F55&lt;=24,2,3),FALSE))*(1+IF('Traditional Attrition'!AO177&gt;0,'Attrition Modeling'!$N$9,0))),0))</f>
        <v>0</v>
      </c>
      <c r="AP55" s="799">
        <f>IF(AP$12=$F55+1,IF(Monthly!AL$4=TRUE,0,AP$3),IF(AP$12&gt;$F55+1,RentalsVacates!AO55*(1-IF(AP$12-$F55&lt;=12,SUMIFS('Attrition Modeling'!$D:$D,'Attrition Modeling'!$B:$B,$E55,'Attrition Modeling'!$C:$C,AP$11),VLOOKUP(RentalsVacates!AP$12-RentalsVacates!$F55-1,RentalsVacates!$A$8:$C$162,2,FALSE)*VLOOKUP(AP$11,'Attrition Modeling'!$L$15:$N$27,IF(AP$12-$F55&lt;=24,2,3),FALSE))*(1+IF('Traditional Attrition'!AP177&gt;0,'Attrition Modeling'!$N$9,0))),0))</f>
        <v>0</v>
      </c>
      <c r="AQ55" s="799">
        <f>IF(AQ$12=$F55+1,IF(Monthly!AM$4=TRUE,0,AQ$3),IF(AQ$12&gt;$F55+1,RentalsVacates!AP55*(1-IF(AQ$12-$F55&lt;=12,SUMIFS('Attrition Modeling'!$D:$D,'Attrition Modeling'!$B:$B,$E55,'Attrition Modeling'!$C:$C,AQ$11),VLOOKUP(RentalsVacates!AQ$12-RentalsVacates!$F55-1,RentalsVacates!$A$8:$C$162,2,FALSE)*VLOOKUP(AQ$11,'Attrition Modeling'!$L$15:$N$27,IF(AQ$12-$F55&lt;=24,2,3),FALSE))*(1+IF('Traditional Attrition'!AQ177&gt;0,'Attrition Modeling'!$N$9,0))),0))</f>
        <v>0</v>
      </c>
      <c r="AR55" s="799">
        <f>IF(AR$12=$F55+1,IF(Monthly!AN$4=TRUE,0,AR$3),IF(AR$12&gt;$F55+1,RentalsVacates!AQ55*(1-IF(AR$12-$F55&lt;=12,SUMIFS('Attrition Modeling'!$D:$D,'Attrition Modeling'!$B:$B,$E55,'Attrition Modeling'!$C:$C,AR$11),VLOOKUP(RentalsVacates!AR$12-RentalsVacates!$F55-1,RentalsVacates!$A$8:$C$162,2,FALSE)*VLOOKUP(AR$11,'Attrition Modeling'!$L$15:$N$27,IF(AR$12-$F55&lt;=24,2,3),FALSE))*(1+IF('Traditional Attrition'!AR177&gt;0,'Attrition Modeling'!$N$9,0))),0))</f>
        <v>0</v>
      </c>
      <c r="AS55" s="799">
        <f>IF(AS$12=$F55+1,IF(Monthly!AO$4=TRUE,0,AS$3),IF(AS$12&gt;$F55+1,RentalsVacates!AR55*(1-IF(AS$12-$F55&lt;=12,SUMIFS('Attrition Modeling'!$D:$D,'Attrition Modeling'!$B:$B,$E55,'Attrition Modeling'!$C:$C,AS$11),VLOOKUP(RentalsVacates!AS$12-RentalsVacates!$F55-1,RentalsVacates!$A$8:$C$162,2,FALSE)*VLOOKUP(AS$11,'Attrition Modeling'!$L$15:$N$27,IF(AS$12-$F55&lt;=24,2,3),FALSE))*(1+IF('Traditional Attrition'!AS177&gt;0,'Attrition Modeling'!$N$9,0))),0))</f>
        <v>0</v>
      </c>
      <c r="AT55" s="799">
        <f>IF(AT$12=$F55+1,IF(Monthly!AP$4=TRUE,0,AT$3),IF(AT$12&gt;$F55+1,RentalsVacates!AS55*(1-IF(AT$12-$F55&lt;=12,SUMIFS('Attrition Modeling'!$D:$D,'Attrition Modeling'!$B:$B,$E55,'Attrition Modeling'!$C:$C,AT$11),VLOOKUP(RentalsVacates!AT$12-RentalsVacates!$F55-1,RentalsVacates!$A$8:$C$162,2,FALSE)*VLOOKUP(AT$11,'Attrition Modeling'!$L$15:$N$27,IF(AT$12-$F55&lt;=24,2,3),FALSE))*(1+IF('Traditional Attrition'!AT177&gt;0,'Attrition Modeling'!$N$9,0))),0))</f>
        <v>0</v>
      </c>
      <c r="AU55" s="799">
        <f>IF(AU$12=$F55+1,IF(Monthly!AQ$4=TRUE,0,AU$3),IF(AU$12&gt;$F55+1,RentalsVacates!AT55*(1-IF(AU$12-$F55&lt;=12,SUMIFS('Attrition Modeling'!$D:$D,'Attrition Modeling'!$B:$B,$E55,'Attrition Modeling'!$C:$C,AU$11),VLOOKUP(RentalsVacates!AU$12-RentalsVacates!$F55-1,RentalsVacates!$A$8:$C$162,2,FALSE)*VLOOKUP(AU$11,'Attrition Modeling'!$L$15:$N$27,IF(AU$12-$F55&lt;=24,2,3),FALSE))*(1+IF('Traditional Attrition'!AU177&gt;0,'Attrition Modeling'!$N$9,0))),0))</f>
        <v>0</v>
      </c>
      <c r="AV55" s="799">
        <f>IF(AV$12=$F55+1,IF(Monthly!AR$4=TRUE,0,AV$3),IF(AV$12&gt;$F55+1,RentalsVacates!AU55*(1-IF(AV$12-$F55&lt;=12,SUMIFS('Attrition Modeling'!$D:$D,'Attrition Modeling'!$B:$B,$E55,'Attrition Modeling'!$C:$C,AV$11),VLOOKUP(RentalsVacates!AV$12-RentalsVacates!$F55-1,RentalsVacates!$A$8:$C$162,2,FALSE)*VLOOKUP(AV$11,'Attrition Modeling'!$L$15:$N$27,IF(AV$12-$F55&lt;=24,2,3),FALSE))*(1+IF('Traditional Attrition'!AV177&gt;0,'Attrition Modeling'!$N$9,0))),0))</f>
        <v>0</v>
      </c>
      <c r="AW55" s="799">
        <f>IF(AW$12=$F55+1,IF(Monthly!AS$4=TRUE,0,AW$3),IF(AW$12&gt;$F55+1,RentalsVacates!AV55*(1-IF(AW$12-$F55&lt;=12,SUMIFS('Attrition Modeling'!$D:$D,'Attrition Modeling'!$B:$B,$E55,'Attrition Modeling'!$C:$C,AW$11),VLOOKUP(RentalsVacates!AW$12-RentalsVacates!$F55-1,RentalsVacates!$A$8:$C$162,2,FALSE)*VLOOKUP(AW$11,'Attrition Modeling'!$L$15:$N$27,IF(AW$12-$F55&lt;=24,2,3),FALSE))*(1+IF('Traditional Attrition'!AW177&gt;0,'Attrition Modeling'!$N$9,0))),0))</f>
        <v>0</v>
      </c>
      <c r="AX55" s="799">
        <f>IF(AX$12=$F55+1,IF(Monthly!AT$4=TRUE,0,AX$3),IF(AX$12&gt;$F55+1,RentalsVacates!AW55*(1-IF(AX$12-$F55&lt;=12,SUMIFS('Attrition Modeling'!$D:$D,'Attrition Modeling'!$B:$B,$E55,'Attrition Modeling'!$C:$C,AX$11),VLOOKUP(RentalsVacates!AX$12-RentalsVacates!$F55-1,RentalsVacates!$A$8:$C$162,2,FALSE)*VLOOKUP(AX$11,'Attrition Modeling'!$L$15:$N$27,IF(AX$12-$F55&lt;=24,2,3),FALSE))*(1+IF('Traditional Attrition'!AX177&gt;0,'Attrition Modeling'!$N$9,0))),0))</f>
        <v>6318.0874525792751</v>
      </c>
      <c r="AY55" s="799">
        <f>IF(AY$12=$F55+1,IF(Monthly!AU$4=TRUE,0,AY$3),IF(AY$12&gt;$F55+1,RentalsVacates!AX55*(1-IF(AY$12-$F55&lt;=12,SUMIFS('Attrition Modeling'!$D:$D,'Attrition Modeling'!$B:$B,$E55,'Attrition Modeling'!$C:$C,AY$11),VLOOKUP(RentalsVacates!AY$12-RentalsVacates!$F55-1,RentalsVacates!$A$8:$C$162,2,FALSE)*VLOOKUP(AY$11,'Attrition Modeling'!$L$15:$N$27,IF(AY$12-$F55&lt;=24,2,3),FALSE))*(1+IF('Traditional Attrition'!AY177&gt;0,'Attrition Modeling'!$N$9,0))),0))</f>
        <v>5562.9774398317923</v>
      </c>
      <c r="AZ55" s="799">
        <f>IF(AZ$12=$F55+1,IF(Monthly!AV$4=TRUE,0,AZ$3),IF(AZ$12&gt;$F55+1,RentalsVacates!AY55*(1-IF(AZ$12-$F55&lt;=12,SUMIFS('Attrition Modeling'!$D:$D,'Attrition Modeling'!$B:$B,$E55,'Attrition Modeling'!$C:$C,AZ$11),VLOOKUP(RentalsVacates!AZ$12-RentalsVacates!$F55-1,RentalsVacates!$A$8:$C$162,2,FALSE)*VLOOKUP(AZ$11,'Attrition Modeling'!$L$15:$N$27,IF(AZ$12-$F55&lt;=24,2,3),FALSE))*(1+IF('Traditional Attrition'!AZ177&gt;0,'Attrition Modeling'!$N$9,0))),0))</f>
        <v>4946.9839412395222</v>
      </c>
      <c r="BA55" s="799">
        <f>IF(BA$12=$F55+1,IF(Monthly!AW$4=TRUE,0,BA$3),IF(BA$12&gt;$F55+1,RentalsVacates!AZ55*(1-IF(BA$12-$F55&lt;=12,SUMIFS('Attrition Modeling'!$D:$D,'Attrition Modeling'!$B:$B,$E55,'Attrition Modeling'!$C:$C,BA$11),VLOOKUP(RentalsVacates!BA$12-RentalsVacates!$F55-1,RentalsVacates!$A$8:$C$162,2,FALSE)*VLOOKUP(BA$11,'Attrition Modeling'!$L$15:$N$27,IF(BA$12-$F55&lt;=24,2,3),FALSE))*(1+IF('Traditional Attrition'!BA177&gt;0,'Attrition Modeling'!$N$9,0))),0))</f>
        <v>4486.1623447356606</v>
      </c>
      <c r="BB55" s="799">
        <f>IF(BB$12=$F55+1,IF(Monthly!AX$4=TRUE,0,BB$3),IF(BB$12&gt;$F55+1,RentalsVacates!BA55*(1-IF(BB$12-$F55&lt;=12,SUMIFS('Attrition Modeling'!$D:$D,'Attrition Modeling'!$B:$B,$E55,'Attrition Modeling'!$C:$C,BB$11),VLOOKUP(RentalsVacates!BB$12-RentalsVacates!$F55-1,RentalsVacates!$A$8:$C$162,2,FALSE)*VLOOKUP(BB$11,'Attrition Modeling'!$L$15:$N$27,IF(BB$12-$F55&lt;=24,2,3),FALSE))*(1+IF('Traditional Attrition'!BB177&gt;0,'Attrition Modeling'!$N$9,0))),0))</f>
        <v>4092.5176145846767</v>
      </c>
      <c r="BC55" s="799">
        <f>IF(BC$12=$F55+1,IF(Monthly!AY$4=TRUE,0,BC$3),IF(BC$12&gt;$F55+1,RentalsVacates!BB55*(1-IF(BC$12-$F55&lt;=12,SUMIFS('Attrition Modeling'!$D:$D,'Attrition Modeling'!$B:$B,$E55,'Attrition Modeling'!$C:$C,BC$11),VLOOKUP(RentalsVacates!BC$12-RentalsVacates!$F55-1,RentalsVacates!$A$8:$C$162,2,FALSE)*VLOOKUP(BC$11,'Attrition Modeling'!$L$15:$N$27,IF(BC$12-$F55&lt;=24,2,3),FALSE))*(1+IF('Traditional Attrition'!BC177&gt;0,'Attrition Modeling'!$N$9,0))),0))</f>
        <v>3661.9235538369253</v>
      </c>
      <c r="BD55" s="799">
        <f>IF(BD$12=$F55+1,IF(Monthly!AZ$4=TRUE,0,BD$3),IF(BD$12&gt;$F55+1,RentalsVacates!BC55*(1-IF(BD$12-$F55&lt;=12,SUMIFS('Attrition Modeling'!$D:$D,'Attrition Modeling'!$B:$B,$E55,'Attrition Modeling'!$C:$C,BD$11),VLOOKUP(RentalsVacates!BD$12-RentalsVacates!$F55-1,RentalsVacates!$A$8:$C$162,2,FALSE)*VLOOKUP(BD$11,'Attrition Modeling'!$L$15:$N$27,IF(BD$12-$F55&lt;=24,2,3),FALSE))*(1+IF('Traditional Attrition'!BD177&gt;0,'Attrition Modeling'!$N$9,0))),0))</f>
        <v>3409.8457081034981</v>
      </c>
      <c r="BE55" s="799">
        <f>IF(BE$12=$F55+1,IF(Monthly!BA$4=TRUE,0,BE$3),IF(BE$12&gt;$F55+1,RentalsVacates!BD55*(1-IF(BE$12-$F55&lt;=12,SUMIFS('Attrition Modeling'!$D:$D,'Attrition Modeling'!$B:$B,$E55,'Attrition Modeling'!$C:$C,BE$11),VLOOKUP(RentalsVacates!BE$12-RentalsVacates!$F55-1,RentalsVacates!$A$8:$C$162,2,FALSE)*VLOOKUP(BE$11,'Attrition Modeling'!$L$15:$N$27,IF(BE$12-$F55&lt;=24,2,3),FALSE))*(1+IF('Traditional Attrition'!BE177&gt;0,'Attrition Modeling'!$N$9,0))),0))</f>
        <v>3199.2395886067088</v>
      </c>
      <c r="BF55" s="799">
        <f>IF(BF$12=$F55+1,IF(Monthly!BB$4=TRUE,0,BF$3),IF(BF$12&gt;$F55+1,RentalsVacates!BE55*(1-IF(BF$12-$F55&lt;=12,SUMIFS('Attrition Modeling'!$D:$D,'Attrition Modeling'!$B:$B,$E55,'Attrition Modeling'!$C:$C,BF$11),VLOOKUP(RentalsVacates!BF$12-RentalsVacates!$F55-1,RentalsVacates!$A$8:$C$162,2,FALSE)*VLOOKUP(BF$11,'Attrition Modeling'!$L$15:$N$27,IF(BF$12-$F55&lt;=24,2,3),FALSE))*(1+IF('Traditional Attrition'!BF177&gt;0,'Attrition Modeling'!$N$9,0))),0))</f>
        <v>2992.6718226746561</v>
      </c>
      <c r="BG55" s="799">
        <f>IF(BG$12=$F55+1,IF(Monthly!BC$4=TRUE,0,BG$3),IF(BG$12&gt;$F55+1,RentalsVacates!BF55*(1-IF(BG$12-$F55&lt;=12,SUMIFS('Attrition Modeling'!$D:$D,'Attrition Modeling'!$B:$B,$E55,'Attrition Modeling'!$C:$C,BG$11),VLOOKUP(RentalsVacates!BG$12-RentalsVacates!$F55-1,RentalsVacates!$A$8:$C$162,2,FALSE)*VLOOKUP(BG$11,'Attrition Modeling'!$L$15:$N$27,IF(BG$12-$F55&lt;=24,2,3),FALSE))*(1+IF('Traditional Attrition'!BG177&gt;0,'Attrition Modeling'!$N$9,0))),0))</f>
        <v>2827.2837297045076</v>
      </c>
      <c r="BH55" s="799">
        <f>IF(BH$12=$F55+1,IF(Monthly!BD$4=TRUE,0,BH$3),IF(BH$12&gt;$F55+1,RentalsVacates!BG55*(1-IF(BH$12-$F55&lt;=12,SUMIFS('Attrition Modeling'!$D:$D,'Attrition Modeling'!$B:$B,$E55,'Attrition Modeling'!$C:$C,BH$11),VLOOKUP(RentalsVacates!BH$12-RentalsVacates!$F55-1,RentalsVacates!$A$8:$C$162,2,FALSE)*VLOOKUP(BH$11,'Attrition Modeling'!$L$15:$N$27,IF(BH$12-$F55&lt;=24,2,3),FALSE))*(1+IF('Traditional Attrition'!BH177&gt;0,'Attrition Modeling'!$N$9,0))),0))</f>
        <v>2665.2754525187497</v>
      </c>
      <c r="BI55" s="799">
        <f>IF(BI$12=$F55+1,IF(Monthly!BE$4=TRUE,0,BI$3),IF(BI$12&gt;$F55+1,RentalsVacates!BH55*(1-IF(BI$12-$F55&lt;=12,SUMIFS('Attrition Modeling'!$D:$D,'Attrition Modeling'!$B:$B,$E55,'Attrition Modeling'!$C:$C,BI$11),VLOOKUP(RentalsVacates!BI$12-RentalsVacates!$F55-1,RentalsVacates!$A$8:$C$162,2,FALSE)*VLOOKUP(BI$11,'Attrition Modeling'!$L$15:$N$27,IF(BI$12-$F55&lt;=24,2,3),FALSE))*(1+IF('Traditional Attrition'!BI177&gt;0,'Attrition Modeling'!$N$9,0))),0))</f>
        <v>2588.6772217479142</v>
      </c>
      <c r="BJ55" s="799">
        <f>IF(BJ$12=$F55+1,IF(Monthly!BF$4=TRUE,0,BJ$3),IF(BJ$12&gt;$F55+1,RentalsVacates!BI55*(1-IF(BJ$12-$F55&lt;=12,SUMIFS('Attrition Modeling'!$D:$D,'Attrition Modeling'!$B:$B,$E55,'Attrition Modeling'!$C:$C,BJ$11),VLOOKUP(RentalsVacates!BJ$12-RentalsVacates!$F55-1,RentalsVacates!$A$8:$C$162,2,FALSE)*VLOOKUP(BJ$11,'Attrition Modeling'!$L$15:$N$27,IF(BJ$12-$F55&lt;=24,2,3),FALSE))*(1+IF('Traditional Attrition'!BJ177&gt;0,'Attrition Modeling'!$N$9,0))),0))</f>
        <v>2438.5315896732777</v>
      </c>
      <c r="BK55" s="799">
        <f>IF(BK$12=$F55+1,IF(Monthly!BG$4=TRUE,0,BK$3),IF(BK$12&gt;$F55+1,RentalsVacates!BJ55*(1-IF(BK$12-$F55&lt;=12,SUMIFS('Attrition Modeling'!$D:$D,'Attrition Modeling'!$B:$B,$E55,'Attrition Modeling'!$C:$C,BK$11),VLOOKUP(RentalsVacates!BK$12-RentalsVacates!$F55-1,RentalsVacates!$A$8:$C$162,2,FALSE)*VLOOKUP(BK$11,'Attrition Modeling'!$L$15:$N$27,IF(BK$12-$F55&lt;=24,2,3),FALSE))*(1+IF('Traditional Attrition'!BK177&gt;0,'Attrition Modeling'!$N$9,0))),0))</f>
        <v>2302.2469127228264</v>
      </c>
      <c r="BL55" s="799">
        <f>IF(BL$12=$F55+1,IF(Monthly!BH$4=TRUE,0,BL$3),IF(BL$12&gt;$F55+1,RentalsVacates!BK55*(1-IF(BL$12-$F55&lt;=12,SUMIFS('Attrition Modeling'!$D:$D,'Attrition Modeling'!$B:$B,$E55,'Attrition Modeling'!$C:$C,BL$11),VLOOKUP(RentalsVacates!BL$12-RentalsVacates!$F55-1,RentalsVacates!$A$8:$C$162,2,FALSE)*VLOOKUP(BL$11,'Attrition Modeling'!$L$15:$N$27,IF(BL$12-$F55&lt;=24,2,3),FALSE))*(1+IF('Traditional Attrition'!BL177&gt;0,'Attrition Modeling'!$N$9,0))),0))</f>
        <v>2190.66338026826</v>
      </c>
      <c r="BM55" s="799">
        <f>IF(BM$12=$F55+1,IF(Monthly!BI$4=TRUE,0,BM$3),IF(BM$12&gt;$F55+1,RentalsVacates!BL55*(1-IF(BM$12-$F55&lt;=12,SUMIFS('Attrition Modeling'!$D:$D,'Attrition Modeling'!$B:$B,$E55,'Attrition Modeling'!$C:$C,BM$11),VLOOKUP(RentalsVacates!BM$12-RentalsVacates!$F55-1,RentalsVacates!$A$8:$C$162,2,FALSE)*VLOOKUP(BM$11,'Attrition Modeling'!$L$15:$N$27,IF(BM$12-$F55&lt;=24,2,3),FALSE))*(1+IF('Traditional Attrition'!BM177&gt;0,'Attrition Modeling'!$N$9,0))),0))</f>
        <v>2085.9997602471717</v>
      </c>
      <c r="BN55" s="799">
        <f>IF(BN$12=$F55+1,IF(Monthly!BJ$4=TRUE,0,BN$3),IF(BN$12&gt;$F55+1,RentalsVacates!BM55*(1-IF(BN$12-$F55&lt;=12,SUMIFS('Attrition Modeling'!$D:$D,'Attrition Modeling'!$B:$B,$E55,'Attrition Modeling'!$C:$C,BN$11),VLOOKUP(RentalsVacates!BN$12-RentalsVacates!$F55-1,RentalsVacates!$A$8:$C$162,2,FALSE)*VLOOKUP(BN$11,'Attrition Modeling'!$L$15:$N$27,IF(BN$12-$F55&lt;=24,2,3),FALSE))*(1+IF('Traditional Attrition'!BN177&gt;0,'Attrition Modeling'!$N$9,0))),0))</f>
        <v>1992.9443342736126</v>
      </c>
      <c r="BO55" s="799">
        <f>IF(BO$12=$F55+1,IF(Monthly!BK$4=TRUE,0,BO$3),IF(BO$12&gt;$F55+1,RentalsVacates!BN55*(1-IF(BO$12-$F55&lt;=12,SUMIFS('Attrition Modeling'!$D:$D,'Attrition Modeling'!$B:$B,$E55,'Attrition Modeling'!$C:$C,BO$11),VLOOKUP(RentalsVacates!BO$12-RentalsVacates!$F55-1,RentalsVacates!$A$8:$C$162,2,FALSE)*VLOOKUP(BO$11,'Attrition Modeling'!$L$15:$N$27,IF(BO$12-$F55&lt;=24,2,3),FALSE))*(1+IF('Traditional Attrition'!BO177&gt;0,'Attrition Modeling'!$N$9,0))),0))</f>
        <v>1889.9934620480635</v>
      </c>
      <c r="BP55" s="799">
        <f>IF(BP$12=$F55+1,IF(Monthly!BL$4=TRUE,0,BP$3),IF(BP$12&gt;$F55+1,RentalsVacates!BO55*(1-IF(BP$12-$F55&lt;=12,SUMIFS('Attrition Modeling'!$D:$D,'Attrition Modeling'!$B:$B,$E55,'Attrition Modeling'!$C:$C,BP$11),VLOOKUP(RentalsVacates!BP$12-RentalsVacates!$F55-1,RentalsVacates!$A$8:$C$162,2,FALSE)*VLOOKUP(BP$11,'Attrition Modeling'!$L$15:$N$27,IF(BP$12-$F55&lt;=24,2,3),FALSE))*(1+IF('Traditional Attrition'!BP177&gt;0,'Attrition Modeling'!$N$9,0))),0))</f>
        <v>1810.3073146086381</v>
      </c>
      <c r="BQ55" s="799">
        <f>IF(BQ$12=$F55+1,IF(Monthly!BM$4=TRUE,0,BQ$3),IF(BQ$12&gt;$F55+1,RentalsVacates!BP55*(1-IF(BQ$12-$F55&lt;=12,SUMIFS('Attrition Modeling'!$D:$D,'Attrition Modeling'!$B:$B,$E55,'Attrition Modeling'!$C:$C,BQ$11),VLOOKUP(RentalsVacates!BQ$12-RentalsVacates!$F55-1,RentalsVacates!$A$8:$C$162,2,FALSE)*VLOOKUP(BQ$11,'Attrition Modeling'!$L$15:$N$27,IF(BQ$12-$F55&lt;=24,2,3),FALSE))*(1+IF('Traditional Attrition'!BQ177&gt;0,'Attrition Modeling'!$N$9,0))),0))</f>
        <v>1742.7610737676914</v>
      </c>
      <c r="BR55" s="799">
        <f>IF(BR$12=$F55+1,IF(Monthly!BN$4=TRUE,0,BR$3),IF(BR$12&gt;$F55+1,RentalsVacates!BQ55*(1-IF(BR$12-$F55&lt;=12,SUMIFS('Attrition Modeling'!$D:$D,'Attrition Modeling'!$B:$B,$E55,'Attrition Modeling'!$C:$C,BR$11),VLOOKUP(RentalsVacates!BR$12-RentalsVacates!$F55-1,RentalsVacates!$A$8:$C$162,2,FALSE)*VLOOKUP(BR$11,'Attrition Modeling'!$L$15:$N$27,IF(BR$12-$F55&lt;=24,2,3),FALSE))*(1+IF('Traditional Attrition'!BR177&gt;0,'Attrition Modeling'!$N$9,0))),0))</f>
        <v>1673.1856367778209</v>
      </c>
      <c r="BS55" s="799">
        <f>IF(BS$12=$F55+1,IF(Monthly!BO$4=TRUE,0,BS$3),IF(BS$12&gt;$F55+1,RentalsVacates!BR55*(1-IF(BS$12-$F55&lt;=12,SUMIFS('Attrition Modeling'!$D:$D,'Attrition Modeling'!$B:$B,$E55,'Attrition Modeling'!$C:$C,BS$11),VLOOKUP(RentalsVacates!BS$12-RentalsVacates!$F55-1,RentalsVacates!$A$8:$C$162,2,FALSE)*VLOOKUP(BS$11,'Attrition Modeling'!$L$15:$N$27,IF(BS$12-$F55&lt;=24,2,3),FALSE))*(1+IF('Traditional Attrition'!BS177&gt;0,'Attrition Modeling'!$N$9,0))),0))</f>
        <v>1608.5293839697558</v>
      </c>
      <c r="BT55" s="799">
        <f>IF(BT$11=$F54+1,IF(Monthly!#REF!=TRUE,0,BT$3),IF(BT$11&gt;$F54+1,RentalsVacates!BS54*(1-IF(BT$11-$F54&lt;=12,SUMIFS('Attrition Modeling'!$D:$D,'Attrition Modeling'!$B:$B,$E54,'Attrition Modeling'!$C:$C,BT$10),VLOOKUP(RentalsVacates!BT$11-RentalsVacates!$F54-1,RentalsVacates!$A$7:$C$161,2,FALSE)*VLOOKUP(BT$10,'Attrition Modeling'!$L$15:$N$27,IF(BT$11-$F54&lt;=24,2,3),FALSE))*(1+IF('Traditional Attrition'!BT177&gt;0,'Attrition Modeling'!$N$9,0))),0))</f>
        <v>0</v>
      </c>
      <c r="BU55" s="799">
        <f>IF(BU$11=$F54+1,IF(Monthly!#REF!=TRUE,0,BU$3),IF(BU$11&gt;$F54+1,RentalsVacates!BT54*(1-IF(BU$11-$F54&lt;=12,SUMIFS('Attrition Modeling'!$D:$D,'Attrition Modeling'!$B:$B,$E54,'Attrition Modeling'!$C:$C,BU$10),VLOOKUP(RentalsVacates!BU$11-RentalsVacates!$F54-1,RentalsVacates!$A$7:$C$161,2,FALSE)*VLOOKUP(BU$10,'Attrition Modeling'!$L$15:$N$27,IF(BU$11-$F54&lt;=24,2,3),FALSE))*(1+IF('Traditional Attrition'!BU177&gt;0,'Attrition Modeling'!$N$9,0))),0))</f>
        <v>0</v>
      </c>
    </row>
    <row r="56" spans="1:73" ht="14.25" customHeight="1" x14ac:dyDescent="0.2">
      <c r="A56" s="9">
        <v>48</v>
      </c>
      <c r="B56" s="25">
        <f>MAX('Attrition Modeling'!H52,$C$3)*(1-Summary!$C$20)</f>
        <v>2.5618873453481676E-2</v>
      </c>
      <c r="C56" s="24" t="e">
        <f t="shared" si="2"/>
        <v>#DIV/0!</v>
      </c>
      <c r="E56" s="11">
        <f>'Traditional Attrition'!E113</f>
        <v>7</v>
      </c>
      <c r="F56" s="11">
        <f t="shared" si="4"/>
        <v>43</v>
      </c>
      <c r="G56" s="799"/>
      <c r="H56" s="799">
        <f>IF(H$12=$F56+1,IF(Monthly!D$4=TRUE,0,H$3),IF(H$12&gt;$F56+1,RentalsVacates!G56*(1-IF(H$12-$F56&lt;=12,SUMIFS('Attrition Modeling'!$D:$D,'Attrition Modeling'!$B:$B,$E56,'Attrition Modeling'!$C:$C,H$11),VLOOKUP(RentalsVacates!H$12-RentalsVacates!$F56-1,RentalsVacates!$A$8:$C$162,2,FALSE)*VLOOKUP(H$11,'Attrition Modeling'!$L$15:$N$27,IF(H$12-$F56&lt;=24,2,3),FALSE))*(1+IF('Traditional Attrition'!H178&gt;0,'Attrition Modeling'!$N$9,0))),0))</f>
        <v>0</v>
      </c>
      <c r="I56" s="799">
        <f>IF(I$12=$F56+1,IF(Monthly!E$4=TRUE,0,I$3),IF(I$12&gt;$F56+1,RentalsVacates!H56*(1-IF(I$12-$F56&lt;=12,SUMIFS('Attrition Modeling'!$D:$D,'Attrition Modeling'!$B:$B,$E56,'Attrition Modeling'!$C:$C,I$11),VLOOKUP(RentalsVacates!I$12-RentalsVacates!$F56-1,RentalsVacates!$A$8:$C$162,2,FALSE)*VLOOKUP(I$11,'Attrition Modeling'!$L$15:$N$27,IF(I$12-$F56&lt;=24,2,3),FALSE))*(1+IF('Traditional Attrition'!I178&gt;0,'Attrition Modeling'!$N$9,0))),0))</f>
        <v>0</v>
      </c>
      <c r="J56" s="799">
        <f>IF(J$12=$F56+1,IF(Monthly!F$4=TRUE,0,J$3),IF(J$12&gt;$F56+1,RentalsVacates!I56*(1-IF(J$12-$F56&lt;=12,SUMIFS('Attrition Modeling'!$D:$D,'Attrition Modeling'!$B:$B,$E56,'Attrition Modeling'!$C:$C,J$11),VLOOKUP(RentalsVacates!J$12-RentalsVacates!$F56-1,RentalsVacates!$A$8:$C$162,2,FALSE)*VLOOKUP(J$11,'Attrition Modeling'!$L$15:$N$27,IF(J$12-$F56&lt;=24,2,3),FALSE))*(1+IF('Traditional Attrition'!J178&gt;0,'Attrition Modeling'!$N$9,0))),0))</f>
        <v>0</v>
      </c>
      <c r="K56" s="799">
        <f>IF(K$12=$F56+1,IF(Monthly!G$4=TRUE,0,K$3),IF(K$12&gt;$F56+1,RentalsVacates!J56*(1-IF(K$12-$F56&lt;=12,SUMIFS('Attrition Modeling'!$D:$D,'Attrition Modeling'!$B:$B,$E56,'Attrition Modeling'!$C:$C,K$11),VLOOKUP(RentalsVacates!K$12-RentalsVacates!$F56-1,RentalsVacates!$A$8:$C$162,2,FALSE)*VLOOKUP(K$11,'Attrition Modeling'!$L$15:$N$27,IF(K$12-$F56&lt;=24,2,3),FALSE))*(1+IF('Traditional Attrition'!K178&gt;0,'Attrition Modeling'!$N$9,0))),0))</f>
        <v>0</v>
      </c>
      <c r="L56" s="799">
        <f>IF(L$12=$F56+1,IF(Monthly!H$4=TRUE,0,L$3),IF(L$12&gt;$F56+1,RentalsVacates!K56*(1-IF(L$12-$F56&lt;=12,SUMIFS('Attrition Modeling'!$D:$D,'Attrition Modeling'!$B:$B,$E56,'Attrition Modeling'!$C:$C,L$11),VLOOKUP(RentalsVacates!L$12-RentalsVacates!$F56-1,RentalsVacates!$A$8:$C$162,2,FALSE)*VLOOKUP(L$11,'Attrition Modeling'!$L$15:$N$27,IF(L$12-$F56&lt;=24,2,3),FALSE))*(1+IF('Traditional Attrition'!L178&gt;0,'Attrition Modeling'!$N$9,0))),0))</f>
        <v>0</v>
      </c>
      <c r="M56" s="799">
        <f>IF(M$12=$F56+1,IF(Monthly!I$4=TRUE,0,M$3),IF(M$12&gt;$F56+1,RentalsVacates!L56*(1-IF(M$12-$F56&lt;=12,SUMIFS('Attrition Modeling'!$D:$D,'Attrition Modeling'!$B:$B,$E56,'Attrition Modeling'!$C:$C,M$11),VLOOKUP(RentalsVacates!M$12-RentalsVacates!$F56-1,RentalsVacates!$A$8:$C$162,2,FALSE)*VLOOKUP(M$11,'Attrition Modeling'!$L$15:$N$27,IF(M$12-$F56&lt;=24,2,3),FALSE))*(1+IF('Traditional Attrition'!M178&gt;0,'Attrition Modeling'!$N$9,0))),0))</f>
        <v>0</v>
      </c>
      <c r="N56" s="799">
        <f>IF(N$12=$F56+1,IF(Monthly!J$4=TRUE,0,N$3),IF(N$12&gt;$F56+1,RentalsVacates!M56*(1-IF(N$12-$F56&lt;=12,SUMIFS('Attrition Modeling'!$D:$D,'Attrition Modeling'!$B:$B,$E56,'Attrition Modeling'!$C:$C,N$11),VLOOKUP(RentalsVacates!N$12-RentalsVacates!$F56-1,RentalsVacates!$A$8:$C$162,2,FALSE)*VLOOKUP(N$11,'Attrition Modeling'!$L$15:$N$27,IF(N$12-$F56&lt;=24,2,3),FALSE))*(1+IF('Traditional Attrition'!N178&gt;0,'Attrition Modeling'!$N$9,0))),0))</f>
        <v>0</v>
      </c>
      <c r="O56" s="799">
        <f>IF(O$12=$F56+1,IF(Monthly!K$4=TRUE,0,O$3),IF(O$12&gt;$F56+1,RentalsVacates!N56*(1-IF(O$12-$F56&lt;=12,SUMIFS('Attrition Modeling'!$D:$D,'Attrition Modeling'!$B:$B,$E56,'Attrition Modeling'!$C:$C,O$11),VLOOKUP(RentalsVacates!O$12-RentalsVacates!$F56-1,RentalsVacates!$A$8:$C$162,2,FALSE)*VLOOKUP(O$11,'Attrition Modeling'!$L$15:$N$27,IF(O$12-$F56&lt;=24,2,3),FALSE))*(1+IF('Traditional Attrition'!O178&gt;0,'Attrition Modeling'!$N$9,0))),0))</f>
        <v>0</v>
      </c>
      <c r="P56" s="799">
        <f>IF(P$12=$F56+1,IF(Monthly!L$4=TRUE,0,P$3),IF(P$12&gt;$F56+1,RentalsVacates!O56*(1-IF(P$12-$F56&lt;=12,SUMIFS('Attrition Modeling'!$D:$D,'Attrition Modeling'!$B:$B,$E56,'Attrition Modeling'!$C:$C,P$11),VLOOKUP(RentalsVacates!P$12-RentalsVacates!$F56-1,RentalsVacates!$A$8:$C$162,2,FALSE)*VLOOKUP(P$11,'Attrition Modeling'!$L$15:$N$27,IF(P$12-$F56&lt;=24,2,3),FALSE))*(1+IF('Traditional Attrition'!P178&gt;0,'Attrition Modeling'!$N$9,0))),0))</f>
        <v>0</v>
      </c>
      <c r="Q56" s="799">
        <f>IF(Q$12=$F56+1,IF(Monthly!M$4=TRUE,0,Q$3),IF(Q$12&gt;$F56+1,RentalsVacates!P56*(1-IF(Q$12-$F56&lt;=12,SUMIFS('Attrition Modeling'!$D:$D,'Attrition Modeling'!$B:$B,$E56,'Attrition Modeling'!$C:$C,Q$11),VLOOKUP(RentalsVacates!Q$12-RentalsVacates!$F56-1,RentalsVacates!$A$8:$C$162,2,FALSE)*VLOOKUP(Q$11,'Attrition Modeling'!$L$15:$N$27,IF(Q$12-$F56&lt;=24,2,3),FALSE))*(1+IF('Traditional Attrition'!Q178&gt;0,'Attrition Modeling'!$N$9,0))),0))</f>
        <v>0</v>
      </c>
      <c r="R56" s="799">
        <f>IF(R$12=$F56+1,IF(Monthly!N$4=TRUE,0,R$3),IF(R$12&gt;$F56+1,RentalsVacates!Q56*(1-IF(R$12-$F56&lt;=12,SUMIFS('Attrition Modeling'!$D:$D,'Attrition Modeling'!$B:$B,$E56,'Attrition Modeling'!$C:$C,R$11),VLOOKUP(RentalsVacates!R$12-RentalsVacates!$F56-1,RentalsVacates!$A$8:$C$162,2,FALSE)*VLOOKUP(R$11,'Attrition Modeling'!$L$15:$N$27,IF(R$12-$F56&lt;=24,2,3),FALSE))*(1+IF('Traditional Attrition'!R178&gt;0,'Attrition Modeling'!$N$9,0))),0))</f>
        <v>0</v>
      </c>
      <c r="S56" s="799">
        <f>IF(S$12=$F56+1,IF(Monthly!O$4=TRUE,0,S$3),IF(S$12&gt;$F56+1,RentalsVacates!R56*(1-IF(S$12-$F56&lt;=12,SUMIFS('Attrition Modeling'!$D:$D,'Attrition Modeling'!$B:$B,$E56,'Attrition Modeling'!$C:$C,S$11),VLOOKUP(RentalsVacates!S$12-RentalsVacates!$F56-1,RentalsVacates!$A$8:$C$162,2,FALSE)*VLOOKUP(S$11,'Attrition Modeling'!$L$15:$N$27,IF(S$12-$F56&lt;=24,2,3),FALSE))*(1+IF('Traditional Attrition'!S178&gt;0,'Attrition Modeling'!$N$9,0))),0))</f>
        <v>0</v>
      </c>
      <c r="T56" s="799">
        <f>IF(T$12=$F56+1,IF(Monthly!P$4=TRUE,0,T$3),IF(T$12&gt;$F56+1,RentalsVacates!S56*(1-IF(T$12-$F56&lt;=12,SUMIFS('Attrition Modeling'!$D:$D,'Attrition Modeling'!$B:$B,$E56,'Attrition Modeling'!$C:$C,T$11),VLOOKUP(RentalsVacates!T$12-RentalsVacates!$F56-1,RentalsVacates!$A$8:$C$162,2,FALSE)*VLOOKUP(T$11,'Attrition Modeling'!$L$15:$N$27,IF(T$12-$F56&lt;=24,2,3),FALSE))*(1+IF('Traditional Attrition'!T178&gt;0,'Attrition Modeling'!$N$9,0))),0))</f>
        <v>0</v>
      </c>
      <c r="U56" s="799">
        <f>IF(U$12=$F56+1,IF(Monthly!Q$4=TRUE,0,U$3),IF(U$12&gt;$F56+1,RentalsVacates!T56*(1-IF(U$12-$F56&lt;=12,SUMIFS('Attrition Modeling'!$D:$D,'Attrition Modeling'!$B:$B,$E56,'Attrition Modeling'!$C:$C,U$11),VLOOKUP(RentalsVacates!U$12-RentalsVacates!$F56-1,RentalsVacates!$A$8:$C$162,2,FALSE)*VLOOKUP(U$11,'Attrition Modeling'!$L$15:$N$27,IF(U$12-$F56&lt;=24,2,3),FALSE))*(1+IF('Traditional Attrition'!U178&gt;0,'Attrition Modeling'!$N$9,0))),0))</f>
        <v>0</v>
      </c>
      <c r="V56" s="799">
        <f>IF(V$12=$F56+1,IF(Monthly!R$4=TRUE,0,V$3),IF(V$12&gt;$F56+1,RentalsVacates!U56*(1-IF(V$12-$F56&lt;=12,SUMIFS('Attrition Modeling'!$D:$D,'Attrition Modeling'!$B:$B,$E56,'Attrition Modeling'!$C:$C,V$11),VLOOKUP(RentalsVacates!V$12-RentalsVacates!$F56-1,RentalsVacates!$A$8:$C$162,2,FALSE)*VLOOKUP(V$11,'Attrition Modeling'!$L$15:$N$27,IF(V$12-$F56&lt;=24,2,3),FALSE))*(1+IF('Traditional Attrition'!V178&gt;0,'Attrition Modeling'!$N$9,0))),0))</f>
        <v>0</v>
      </c>
      <c r="W56" s="799">
        <f>IF(W$12=$F56+1,IF(Monthly!S$4=TRUE,0,W$3),IF(W$12&gt;$F56+1,RentalsVacates!V56*(1-IF(W$12-$F56&lt;=12,SUMIFS('Attrition Modeling'!$D:$D,'Attrition Modeling'!$B:$B,$E56,'Attrition Modeling'!$C:$C,W$11),VLOOKUP(RentalsVacates!W$12-RentalsVacates!$F56-1,RentalsVacates!$A$8:$C$162,2,FALSE)*VLOOKUP(W$11,'Attrition Modeling'!$L$15:$N$27,IF(W$12-$F56&lt;=24,2,3),FALSE))*(1+IF('Traditional Attrition'!W178&gt;0,'Attrition Modeling'!$N$9,0))),0))</f>
        <v>0</v>
      </c>
      <c r="X56" s="799">
        <f>IF(X$12=$F56+1,IF(Monthly!T$4=TRUE,0,X$3),IF(X$12&gt;$F56+1,RentalsVacates!W56*(1-IF(X$12-$F56&lt;=12,SUMIFS('Attrition Modeling'!$D:$D,'Attrition Modeling'!$B:$B,$E56,'Attrition Modeling'!$C:$C,X$11),VLOOKUP(RentalsVacates!X$12-RentalsVacates!$F56-1,RentalsVacates!$A$8:$C$162,2,FALSE)*VLOOKUP(X$11,'Attrition Modeling'!$L$15:$N$27,IF(X$12-$F56&lt;=24,2,3),FALSE))*(1+IF('Traditional Attrition'!X178&gt;0,'Attrition Modeling'!$N$9,0))),0))</f>
        <v>0</v>
      </c>
      <c r="Y56" s="799">
        <f>IF(Y$12=$F56+1,IF(Monthly!U$4=TRUE,0,Y$3),IF(Y$12&gt;$F56+1,RentalsVacates!X56*(1-IF(Y$12-$F56&lt;=12,SUMIFS('Attrition Modeling'!$D:$D,'Attrition Modeling'!$B:$B,$E56,'Attrition Modeling'!$C:$C,Y$11),VLOOKUP(RentalsVacates!Y$12-RentalsVacates!$F56-1,RentalsVacates!$A$8:$C$162,2,FALSE)*VLOOKUP(Y$11,'Attrition Modeling'!$L$15:$N$27,IF(Y$12-$F56&lt;=24,2,3),FALSE))*(1+IF('Traditional Attrition'!Y178&gt;0,'Attrition Modeling'!$N$9,0))),0))</f>
        <v>0</v>
      </c>
      <c r="Z56" s="799">
        <f>IF(Z$12=$F56+1,IF(Monthly!V$4=TRUE,0,Z$3),IF(Z$12&gt;$F56+1,RentalsVacates!Y56*(1-IF(Z$12-$F56&lt;=12,SUMIFS('Attrition Modeling'!$D:$D,'Attrition Modeling'!$B:$B,$E56,'Attrition Modeling'!$C:$C,Z$11),VLOOKUP(RentalsVacates!Z$12-RentalsVacates!$F56-1,RentalsVacates!$A$8:$C$162,2,FALSE)*VLOOKUP(Z$11,'Attrition Modeling'!$L$15:$N$27,IF(Z$12-$F56&lt;=24,2,3),FALSE))*(1+IF('Traditional Attrition'!Z178&gt;0,'Attrition Modeling'!$N$9,0))),0))</f>
        <v>0</v>
      </c>
      <c r="AA56" s="799">
        <f>IF(AA$12=$F56+1,IF(Monthly!W$4=TRUE,0,AA$3),IF(AA$12&gt;$F56+1,RentalsVacates!Z56*(1-IF(AA$12-$F56&lt;=12,SUMIFS('Attrition Modeling'!$D:$D,'Attrition Modeling'!$B:$B,$E56,'Attrition Modeling'!$C:$C,AA$11),VLOOKUP(RentalsVacates!AA$12-RentalsVacates!$F56-1,RentalsVacates!$A$8:$C$162,2,FALSE)*VLOOKUP(AA$11,'Attrition Modeling'!$L$15:$N$27,IF(AA$12-$F56&lt;=24,2,3),FALSE))*(1+IF('Traditional Attrition'!AA178&gt;0,'Attrition Modeling'!$N$9,0))),0))</f>
        <v>0</v>
      </c>
      <c r="AB56" s="799">
        <f>IF(AB$12=$F56+1,IF(Monthly!X$4=TRUE,0,AB$3),IF(AB$12&gt;$F56+1,RentalsVacates!AA56*(1-IF(AB$12-$F56&lt;=12,SUMIFS('Attrition Modeling'!$D:$D,'Attrition Modeling'!$B:$B,$E56,'Attrition Modeling'!$C:$C,AB$11),VLOOKUP(RentalsVacates!AB$12-RentalsVacates!$F56-1,RentalsVacates!$A$8:$C$162,2,FALSE)*VLOOKUP(AB$11,'Attrition Modeling'!$L$15:$N$27,IF(AB$12-$F56&lt;=24,2,3),FALSE))*(1+IF('Traditional Attrition'!AB178&gt;0,'Attrition Modeling'!$N$9,0))),0))</f>
        <v>0</v>
      </c>
      <c r="AC56" s="799">
        <f>IF(AC$12=$F56+1,IF(Monthly!Y$4=TRUE,0,AC$3),IF(AC$12&gt;$F56+1,RentalsVacates!AB56*(1-IF(AC$12-$F56&lt;=12,SUMIFS('Attrition Modeling'!$D:$D,'Attrition Modeling'!$B:$B,$E56,'Attrition Modeling'!$C:$C,AC$11),VLOOKUP(RentalsVacates!AC$12-RentalsVacates!$F56-1,RentalsVacates!$A$8:$C$162,2,FALSE)*VLOOKUP(AC$11,'Attrition Modeling'!$L$15:$N$27,IF(AC$12-$F56&lt;=24,2,3),FALSE))*(1+IF('Traditional Attrition'!AC178&gt;0,'Attrition Modeling'!$N$9,0))),0))</f>
        <v>0</v>
      </c>
      <c r="AD56" s="799">
        <f>IF(AD$12=$F56+1,IF(Monthly!Z$4=TRUE,0,AD$3),IF(AD$12&gt;$F56+1,RentalsVacates!AC56*(1-IF(AD$12-$F56&lt;=12,SUMIFS('Attrition Modeling'!$D:$D,'Attrition Modeling'!$B:$B,$E56,'Attrition Modeling'!$C:$C,AD$11),VLOOKUP(RentalsVacates!AD$12-RentalsVacates!$F56-1,RentalsVacates!$A$8:$C$162,2,FALSE)*VLOOKUP(AD$11,'Attrition Modeling'!$L$15:$N$27,IF(AD$12-$F56&lt;=24,2,3),FALSE))*(1+IF('Traditional Attrition'!AD178&gt;0,'Attrition Modeling'!$N$9,0))),0))</f>
        <v>0</v>
      </c>
      <c r="AE56" s="799">
        <f>IF(AE$12=$F56+1,IF(Monthly!AA$4=TRUE,0,AE$3),IF(AE$12&gt;$F56+1,RentalsVacates!AD56*(1-IF(AE$12-$F56&lt;=12,SUMIFS('Attrition Modeling'!$D:$D,'Attrition Modeling'!$B:$B,$E56,'Attrition Modeling'!$C:$C,AE$11),VLOOKUP(RentalsVacates!AE$12-RentalsVacates!$F56-1,RentalsVacates!$A$8:$C$162,2,FALSE)*VLOOKUP(AE$11,'Attrition Modeling'!$L$15:$N$27,IF(AE$12-$F56&lt;=24,2,3),FALSE))*(1+IF('Traditional Attrition'!AE178&gt;0,'Attrition Modeling'!$N$9,0))),0))</f>
        <v>0</v>
      </c>
      <c r="AF56" s="799">
        <f>IF(AF$12=$F56+1,IF(Monthly!AB$4=TRUE,0,AF$3),IF(AF$12&gt;$F56+1,RentalsVacates!AE56*(1-IF(AF$12-$F56&lt;=12,SUMIFS('Attrition Modeling'!$D:$D,'Attrition Modeling'!$B:$B,$E56,'Attrition Modeling'!$C:$C,AF$11),VLOOKUP(RentalsVacates!AF$12-RentalsVacates!$F56-1,RentalsVacates!$A$8:$C$162,2,FALSE)*VLOOKUP(AF$11,'Attrition Modeling'!$L$15:$N$27,IF(AF$12-$F56&lt;=24,2,3),FALSE))*(1+IF('Traditional Attrition'!AF178&gt;0,'Attrition Modeling'!$N$9,0))),0))</f>
        <v>0</v>
      </c>
      <c r="AG56" s="799">
        <f>IF(AG$12=$F56+1,IF(Monthly!AC$4=TRUE,0,AG$3),IF(AG$12&gt;$F56+1,RentalsVacates!AF56*(1-IF(AG$12-$F56&lt;=12,SUMIFS('Attrition Modeling'!$D:$D,'Attrition Modeling'!$B:$B,$E56,'Attrition Modeling'!$C:$C,AG$11),VLOOKUP(RentalsVacates!AG$12-RentalsVacates!$F56-1,RentalsVacates!$A$8:$C$162,2,FALSE)*VLOOKUP(AG$11,'Attrition Modeling'!$L$15:$N$27,IF(AG$12-$F56&lt;=24,2,3),FALSE))*(1+IF('Traditional Attrition'!AG178&gt;0,'Attrition Modeling'!$N$9,0))),0))</f>
        <v>0</v>
      </c>
      <c r="AH56" s="799">
        <f>IF(AH$12=$F56+1,IF(Monthly!AD$4=TRUE,0,AH$3),IF(AH$12&gt;$F56+1,RentalsVacates!AG56*(1-IF(AH$12-$F56&lt;=12,SUMIFS('Attrition Modeling'!$D:$D,'Attrition Modeling'!$B:$B,$E56,'Attrition Modeling'!$C:$C,AH$11),VLOOKUP(RentalsVacates!AH$12-RentalsVacates!$F56-1,RentalsVacates!$A$8:$C$162,2,FALSE)*VLOOKUP(AH$11,'Attrition Modeling'!$L$15:$N$27,IF(AH$12-$F56&lt;=24,2,3),FALSE))*(1+IF('Traditional Attrition'!AH178&gt;0,'Attrition Modeling'!$N$9,0))),0))</f>
        <v>0</v>
      </c>
      <c r="AI56" s="799">
        <f>IF(AI$12=$F56+1,IF(Monthly!AE$4=TRUE,0,AI$3),IF(AI$12&gt;$F56+1,RentalsVacates!AH56*(1-IF(AI$12-$F56&lt;=12,SUMIFS('Attrition Modeling'!$D:$D,'Attrition Modeling'!$B:$B,$E56,'Attrition Modeling'!$C:$C,AI$11),VLOOKUP(RentalsVacates!AI$12-RentalsVacates!$F56-1,RentalsVacates!$A$8:$C$162,2,FALSE)*VLOOKUP(AI$11,'Attrition Modeling'!$L$15:$N$27,IF(AI$12-$F56&lt;=24,2,3),FALSE))*(1+IF('Traditional Attrition'!AI178&gt;0,'Attrition Modeling'!$N$9,0))),0))</f>
        <v>0</v>
      </c>
      <c r="AJ56" s="799">
        <f>IF(AJ$12=$F56+1,IF(Monthly!AF$4=TRUE,0,AJ$3),IF(AJ$12&gt;$F56+1,RentalsVacates!AI56*(1-IF(AJ$12-$F56&lt;=12,SUMIFS('Attrition Modeling'!$D:$D,'Attrition Modeling'!$B:$B,$E56,'Attrition Modeling'!$C:$C,AJ$11),VLOOKUP(RentalsVacates!AJ$12-RentalsVacates!$F56-1,RentalsVacates!$A$8:$C$162,2,FALSE)*VLOOKUP(AJ$11,'Attrition Modeling'!$L$15:$N$27,IF(AJ$12-$F56&lt;=24,2,3),FALSE))*(1+IF('Traditional Attrition'!AJ178&gt;0,'Attrition Modeling'!$N$9,0))),0))</f>
        <v>0</v>
      </c>
      <c r="AK56" s="799">
        <f>IF(AK$12=$F56+1,IF(Monthly!AG$4=TRUE,0,AK$3),IF(AK$12&gt;$F56+1,RentalsVacates!AJ56*(1-IF(AK$12-$F56&lt;=12,SUMIFS('Attrition Modeling'!$D:$D,'Attrition Modeling'!$B:$B,$E56,'Attrition Modeling'!$C:$C,AK$11),VLOOKUP(RentalsVacates!AK$12-RentalsVacates!$F56-1,RentalsVacates!$A$8:$C$162,2,FALSE)*VLOOKUP(AK$11,'Attrition Modeling'!$L$15:$N$27,IF(AK$12-$F56&lt;=24,2,3),FALSE))*(1+IF('Traditional Attrition'!AK178&gt;0,'Attrition Modeling'!$N$9,0))),0))</f>
        <v>0</v>
      </c>
      <c r="AL56" s="799">
        <f>IF(AL$12=$F56+1,IF(Monthly!AH$4=TRUE,0,AL$3),IF(AL$12&gt;$F56+1,RentalsVacates!AK56*(1-IF(AL$12-$F56&lt;=12,SUMIFS('Attrition Modeling'!$D:$D,'Attrition Modeling'!$B:$B,$E56,'Attrition Modeling'!$C:$C,AL$11),VLOOKUP(RentalsVacates!AL$12-RentalsVacates!$F56-1,RentalsVacates!$A$8:$C$162,2,FALSE)*VLOOKUP(AL$11,'Attrition Modeling'!$L$15:$N$27,IF(AL$12-$F56&lt;=24,2,3),FALSE))*(1+IF('Traditional Attrition'!AL178&gt;0,'Attrition Modeling'!$N$9,0))),0))</f>
        <v>0</v>
      </c>
      <c r="AM56" s="799">
        <f>IF(AM$12=$F56+1,IF(Monthly!AI$4=TRUE,0,AM$3),IF(AM$12&gt;$F56+1,RentalsVacates!AL56*(1-IF(AM$12-$F56&lt;=12,SUMIFS('Attrition Modeling'!$D:$D,'Attrition Modeling'!$B:$B,$E56,'Attrition Modeling'!$C:$C,AM$11),VLOOKUP(RentalsVacates!AM$12-RentalsVacates!$F56-1,RentalsVacates!$A$8:$C$162,2,FALSE)*VLOOKUP(AM$11,'Attrition Modeling'!$L$15:$N$27,IF(AM$12-$F56&lt;=24,2,3),FALSE))*(1+IF('Traditional Attrition'!AM178&gt;0,'Attrition Modeling'!$N$9,0))),0))</f>
        <v>0</v>
      </c>
      <c r="AN56" s="799">
        <f>IF(AN$12=$F56+1,IF(Monthly!AJ$4=TRUE,0,AN$3),IF(AN$12&gt;$F56+1,RentalsVacates!AM56*(1-IF(AN$12-$F56&lt;=12,SUMIFS('Attrition Modeling'!$D:$D,'Attrition Modeling'!$B:$B,$E56,'Attrition Modeling'!$C:$C,AN$11),VLOOKUP(RentalsVacates!AN$12-RentalsVacates!$F56-1,RentalsVacates!$A$8:$C$162,2,FALSE)*VLOOKUP(AN$11,'Attrition Modeling'!$L$15:$N$27,IF(AN$12-$F56&lt;=24,2,3),FALSE))*(1+IF('Traditional Attrition'!AN178&gt;0,'Attrition Modeling'!$N$9,0))),0))</f>
        <v>0</v>
      </c>
      <c r="AO56" s="799">
        <f>IF(AO$12=$F56+1,IF(Monthly!AK$4=TRUE,0,AO$3),IF(AO$12&gt;$F56+1,RentalsVacates!AN56*(1-IF(AO$12-$F56&lt;=12,SUMIFS('Attrition Modeling'!$D:$D,'Attrition Modeling'!$B:$B,$E56,'Attrition Modeling'!$C:$C,AO$11),VLOOKUP(RentalsVacates!AO$12-RentalsVacates!$F56-1,RentalsVacates!$A$8:$C$162,2,FALSE)*VLOOKUP(AO$11,'Attrition Modeling'!$L$15:$N$27,IF(AO$12-$F56&lt;=24,2,3),FALSE))*(1+IF('Traditional Attrition'!AO178&gt;0,'Attrition Modeling'!$N$9,0))),0))</f>
        <v>0</v>
      </c>
      <c r="AP56" s="799">
        <f>IF(AP$12=$F56+1,IF(Monthly!AL$4=TRUE,0,AP$3),IF(AP$12&gt;$F56+1,RentalsVacates!AO56*(1-IF(AP$12-$F56&lt;=12,SUMIFS('Attrition Modeling'!$D:$D,'Attrition Modeling'!$B:$B,$E56,'Attrition Modeling'!$C:$C,AP$11),VLOOKUP(RentalsVacates!AP$12-RentalsVacates!$F56-1,RentalsVacates!$A$8:$C$162,2,FALSE)*VLOOKUP(AP$11,'Attrition Modeling'!$L$15:$N$27,IF(AP$12-$F56&lt;=24,2,3),FALSE))*(1+IF('Traditional Attrition'!AP178&gt;0,'Attrition Modeling'!$N$9,0))),0))</f>
        <v>0</v>
      </c>
      <c r="AQ56" s="799">
        <f>IF(AQ$12=$F56+1,IF(Monthly!AM$4=TRUE,0,AQ$3),IF(AQ$12&gt;$F56+1,RentalsVacates!AP56*(1-IF(AQ$12-$F56&lt;=12,SUMIFS('Attrition Modeling'!$D:$D,'Attrition Modeling'!$B:$B,$E56,'Attrition Modeling'!$C:$C,AQ$11),VLOOKUP(RentalsVacates!AQ$12-RentalsVacates!$F56-1,RentalsVacates!$A$8:$C$162,2,FALSE)*VLOOKUP(AQ$11,'Attrition Modeling'!$L$15:$N$27,IF(AQ$12-$F56&lt;=24,2,3),FALSE))*(1+IF('Traditional Attrition'!AQ178&gt;0,'Attrition Modeling'!$N$9,0))),0))</f>
        <v>0</v>
      </c>
      <c r="AR56" s="799">
        <f>IF(AR$12=$F56+1,IF(Monthly!AN$4=TRUE,0,AR$3),IF(AR$12&gt;$F56+1,RentalsVacates!AQ56*(1-IF(AR$12-$F56&lt;=12,SUMIFS('Attrition Modeling'!$D:$D,'Attrition Modeling'!$B:$B,$E56,'Attrition Modeling'!$C:$C,AR$11),VLOOKUP(RentalsVacates!AR$12-RentalsVacates!$F56-1,RentalsVacates!$A$8:$C$162,2,FALSE)*VLOOKUP(AR$11,'Attrition Modeling'!$L$15:$N$27,IF(AR$12-$F56&lt;=24,2,3),FALSE))*(1+IF('Traditional Attrition'!AR178&gt;0,'Attrition Modeling'!$N$9,0))),0))</f>
        <v>0</v>
      </c>
      <c r="AS56" s="799">
        <f>IF(AS$12=$F56+1,IF(Monthly!AO$4=TRUE,0,AS$3),IF(AS$12&gt;$F56+1,RentalsVacates!AR56*(1-IF(AS$12-$F56&lt;=12,SUMIFS('Attrition Modeling'!$D:$D,'Attrition Modeling'!$B:$B,$E56,'Attrition Modeling'!$C:$C,AS$11),VLOOKUP(RentalsVacates!AS$12-RentalsVacates!$F56-1,RentalsVacates!$A$8:$C$162,2,FALSE)*VLOOKUP(AS$11,'Attrition Modeling'!$L$15:$N$27,IF(AS$12-$F56&lt;=24,2,3),FALSE))*(1+IF('Traditional Attrition'!AS178&gt;0,'Attrition Modeling'!$N$9,0))),0))</f>
        <v>0</v>
      </c>
      <c r="AT56" s="799">
        <f>IF(AT$12=$F56+1,IF(Monthly!AP$4=TRUE,0,AT$3),IF(AT$12&gt;$F56+1,RentalsVacates!AS56*(1-IF(AT$12-$F56&lt;=12,SUMIFS('Attrition Modeling'!$D:$D,'Attrition Modeling'!$B:$B,$E56,'Attrition Modeling'!$C:$C,AT$11),VLOOKUP(RentalsVacates!AT$12-RentalsVacates!$F56-1,RentalsVacates!$A$8:$C$162,2,FALSE)*VLOOKUP(AT$11,'Attrition Modeling'!$L$15:$N$27,IF(AT$12-$F56&lt;=24,2,3),FALSE))*(1+IF('Traditional Attrition'!AT178&gt;0,'Attrition Modeling'!$N$9,0))),0))</f>
        <v>0</v>
      </c>
      <c r="AU56" s="799">
        <f>IF(AU$12=$F56+1,IF(Monthly!AQ$4=TRUE,0,AU$3),IF(AU$12&gt;$F56+1,RentalsVacates!AT56*(1-IF(AU$12-$F56&lt;=12,SUMIFS('Attrition Modeling'!$D:$D,'Attrition Modeling'!$B:$B,$E56,'Attrition Modeling'!$C:$C,AU$11),VLOOKUP(RentalsVacates!AU$12-RentalsVacates!$F56-1,RentalsVacates!$A$8:$C$162,2,FALSE)*VLOOKUP(AU$11,'Attrition Modeling'!$L$15:$N$27,IF(AU$12-$F56&lt;=24,2,3),FALSE))*(1+IF('Traditional Attrition'!AU178&gt;0,'Attrition Modeling'!$N$9,0))),0))</f>
        <v>0</v>
      </c>
      <c r="AV56" s="799">
        <f>IF(AV$12=$F56+1,IF(Monthly!AR$4=TRUE,0,AV$3),IF(AV$12&gt;$F56+1,RentalsVacates!AU56*(1-IF(AV$12-$F56&lt;=12,SUMIFS('Attrition Modeling'!$D:$D,'Attrition Modeling'!$B:$B,$E56,'Attrition Modeling'!$C:$C,AV$11),VLOOKUP(RentalsVacates!AV$12-RentalsVacates!$F56-1,RentalsVacates!$A$8:$C$162,2,FALSE)*VLOOKUP(AV$11,'Attrition Modeling'!$L$15:$N$27,IF(AV$12-$F56&lt;=24,2,3),FALSE))*(1+IF('Traditional Attrition'!AV178&gt;0,'Attrition Modeling'!$N$9,0))),0))</f>
        <v>0</v>
      </c>
      <c r="AW56" s="799">
        <f>IF(AW$12=$F56+1,IF(Monthly!AS$4=TRUE,0,AW$3),IF(AW$12&gt;$F56+1,RentalsVacates!AV56*(1-IF(AW$12-$F56&lt;=12,SUMIFS('Attrition Modeling'!$D:$D,'Attrition Modeling'!$B:$B,$E56,'Attrition Modeling'!$C:$C,AW$11),VLOOKUP(RentalsVacates!AW$12-RentalsVacates!$F56-1,RentalsVacates!$A$8:$C$162,2,FALSE)*VLOOKUP(AW$11,'Attrition Modeling'!$L$15:$N$27,IF(AW$12-$F56&lt;=24,2,3),FALSE))*(1+IF('Traditional Attrition'!AW178&gt;0,'Attrition Modeling'!$N$9,0))),0))</f>
        <v>0</v>
      </c>
      <c r="AX56" s="799">
        <f>IF(AX$12=$F56+1,IF(Monthly!AT$4=TRUE,0,AX$3),IF(AX$12&gt;$F56+1,RentalsVacates!AW56*(1-IF(AX$12-$F56&lt;=12,SUMIFS('Attrition Modeling'!$D:$D,'Attrition Modeling'!$B:$B,$E56,'Attrition Modeling'!$C:$C,AX$11),VLOOKUP(RentalsVacates!AX$12-RentalsVacates!$F56-1,RentalsVacates!$A$8:$C$162,2,FALSE)*VLOOKUP(AX$11,'Attrition Modeling'!$L$15:$N$27,IF(AX$12-$F56&lt;=24,2,3),FALSE))*(1+IF('Traditional Attrition'!AX178&gt;0,'Attrition Modeling'!$N$9,0))),0))</f>
        <v>0</v>
      </c>
      <c r="AY56" s="799">
        <f>IF(AY$12=$F56+1,IF(Monthly!AU$4=TRUE,0,AY$3),IF(AY$12&gt;$F56+1,RentalsVacates!AX56*(1-IF(AY$12-$F56&lt;=12,SUMIFS('Attrition Modeling'!$D:$D,'Attrition Modeling'!$B:$B,$E56,'Attrition Modeling'!$C:$C,AY$11),VLOOKUP(RentalsVacates!AY$12-RentalsVacates!$F56-1,RentalsVacates!$A$8:$C$162,2,FALSE)*VLOOKUP(AY$11,'Attrition Modeling'!$L$15:$N$27,IF(AY$12-$F56&lt;=24,2,3),FALSE))*(1+IF('Traditional Attrition'!AY178&gt;0,'Attrition Modeling'!$N$9,0))),0))</f>
        <v>5827.1376524010848</v>
      </c>
      <c r="AZ56" s="799">
        <f>IF(AZ$12=$F56+1,IF(Monthly!AV$4=TRUE,0,AZ$3),IF(AZ$12&gt;$F56+1,RentalsVacates!AY56*(1-IF(AZ$12-$F56&lt;=12,SUMIFS('Attrition Modeling'!$D:$D,'Attrition Modeling'!$B:$B,$E56,'Attrition Modeling'!$C:$C,AZ$11),VLOOKUP(RentalsVacates!AZ$12-RentalsVacates!$F56-1,RentalsVacates!$A$8:$C$162,2,FALSE)*VLOOKUP(AZ$11,'Attrition Modeling'!$L$15:$N$27,IF(AZ$12-$F56&lt;=24,2,3),FALSE))*(1+IF('Traditional Attrition'!AZ178&gt;0,'Attrition Modeling'!$N$9,0))),0))</f>
        <v>5160.5894404696473</v>
      </c>
      <c r="BA56" s="799">
        <f>IF(BA$12=$F56+1,IF(Monthly!AW$4=TRUE,0,BA$3),IF(BA$12&gt;$F56+1,RentalsVacates!AZ56*(1-IF(BA$12-$F56&lt;=12,SUMIFS('Attrition Modeling'!$D:$D,'Attrition Modeling'!$B:$B,$E56,'Attrition Modeling'!$C:$C,BA$11),VLOOKUP(RentalsVacates!BA$12-RentalsVacates!$F56-1,RentalsVacates!$A$8:$C$162,2,FALSE)*VLOOKUP(BA$11,'Attrition Modeling'!$L$15:$N$27,IF(BA$12-$F56&lt;=24,2,3),FALSE))*(1+IF('Traditional Attrition'!BA178&gt;0,'Attrition Modeling'!$N$9,0))),0))</f>
        <v>4660.6626538312739</v>
      </c>
      <c r="BB56" s="799">
        <f>IF(BB$12=$F56+1,IF(Monthly!AX$4=TRUE,0,BB$3),IF(BB$12&gt;$F56+1,RentalsVacates!BA56*(1-IF(BB$12-$F56&lt;=12,SUMIFS('Attrition Modeling'!$D:$D,'Attrition Modeling'!$B:$B,$E56,'Attrition Modeling'!$C:$C,BB$11),VLOOKUP(RentalsVacates!BB$12-RentalsVacates!$F56-1,RentalsVacates!$A$8:$C$162,2,FALSE)*VLOOKUP(BB$11,'Attrition Modeling'!$L$15:$N$27,IF(BB$12-$F56&lt;=24,2,3),FALSE))*(1+IF('Traditional Attrition'!BB178&gt;0,'Attrition Modeling'!$N$9,0))),0))</f>
        <v>4235.0189681375969</v>
      </c>
      <c r="BC56" s="799">
        <f>IF(BC$12=$F56+1,IF(Monthly!AY$4=TRUE,0,BC$3),IF(BC$12&gt;$F56+1,RentalsVacates!BB56*(1-IF(BC$12-$F56&lt;=12,SUMIFS('Attrition Modeling'!$D:$D,'Attrition Modeling'!$B:$B,$E56,'Attrition Modeling'!$C:$C,BC$11),VLOOKUP(RentalsVacates!BC$12-RentalsVacates!$F56-1,RentalsVacates!$A$8:$C$162,2,FALSE)*VLOOKUP(BC$11,'Attrition Modeling'!$L$15:$N$27,IF(BC$12-$F56&lt;=24,2,3),FALSE))*(1+IF('Traditional Attrition'!BC178&gt;0,'Attrition Modeling'!$N$9,0))),0))</f>
        <v>3891.1426274570695</v>
      </c>
      <c r="BD56" s="799">
        <f>IF(BD$12=$F56+1,IF(Monthly!AZ$4=TRUE,0,BD$3),IF(BD$12&gt;$F56+1,RentalsVacates!BC56*(1-IF(BD$12-$F56&lt;=12,SUMIFS('Attrition Modeling'!$D:$D,'Attrition Modeling'!$B:$B,$E56,'Attrition Modeling'!$C:$C,BD$11),VLOOKUP(RentalsVacates!BD$12-RentalsVacates!$F56-1,RentalsVacates!$A$8:$C$162,2,FALSE)*VLOOKUP(BD$11,'Attrition Modeling'!$L$15:$N$27,IF(BD$12-$F56&lt;=24,2,3),FALSE))*(1+IF('Traditional Attrition'!BD178&gt;0,'Attrition Modeling'!$N$9,0))),0))</f>
        <v>3529.7374559591831</v>
      </c>
      <c r="BE56" s="799">
        <f>IF(BE$12=$F56+1,IF(Monthly!BA$4=TRUE,0,BE$3),IF(BE$12&gt;$F56+1,RentalsVacates!BD56*(1-IF(BE$12-$F56&lt;=12,SUMIFS('Attrition Modeling'!$D:$D,'Attrition Modeling'!$B:$B,$E56,'Attrition Modeling'!$C:$C,BE$11),VLOOKUP(RentalsVacates!BE$12-RentalsVacates!$F56-1,RentalsVacates!$A$8:$C$162,2,FALSE)*VLOOKUP(BE$11,'Attrition Modeling'!$L$15:$N$27,IF(BE$12-$F56&lt;=24,2,3),FALSE))*(1+IF('Traditional Attrition'!BE178&gt;0,'Attrition Modeling'!$N$9,0))),0))</f>
        <v>3307.1474115434571</v>
      </c>
      <c r="BF56" s="799">
        <f>IF(BF$12=$F56+1,IF(Monthly!BB$4=TRUE,0,BF$3),IF(BF$12&gt;$F56+1,RentalsVacates!BE56*(1-IF(BF$12-$F56&lt;=12,SUMIFS('Attrition Modeling'!$D:$D,'Attrition Modeling'!$B:$B,$E56,'Attrition Modeling'!$C:$C,BF$11),VLOOKUP(RentalsVacates!BF$12-RentalsVacates!$F56-1,RentalsVacates!$A$8:$C$162,2,FALSE)*VLOOKUP(BF$11,'Attrition Modeling'!$L$15:$N$27,IF(BF$12-$F56&lt;=24,2,3),FALSE))*(1+IF('Traditional Attrition'!BF178&gt;0,'Attrition Modeling'!$N$9,0))),0))</f>
        <v>3092.1326603668995</v>
      </c>
      <c r="BG56" s="799">
        <f>IF(BG$12=$F56+1,IF(Monthly!BC$4=TRUE,0,BG$3),IF(BG$12&gt;$F56+1,RentalsVacates!BF56*(1-IF(BG$12-$F56&lt;=12,SUMIFS('Attrition Modeling'!$D:$D,'Attrition Modeling'!$B:$B,$E56,'Attrition Modeling'!$C:$C,BG$11),VLOOKUP(RentalsVacates!BG$12-RentalsVacates!$F56-1,RentalsVacates!$A$8:$C$162,2,FALSE)*VLOOKUP(BG$11,'Attrition Modeling'!$L$15:$N$27,IF(BG$12-$F56&lt;=24,2,3),FALSE))*(1+IF('Traditional Attrition'!BG178&gt;0,'Attrition Modeling'!$N$9,0))),0))</f>
        <v>2906.8325600006278</v>
      </c>
      <c r="BH56" s="799">
        <f>IF(BH$12=$F56+1,IF(Monthly!BD$4=TRUE,0,BH$3),IF(BH$12&gt;$F56+1,RentalsVacates!BG56*(1-IF(BH$12-$F56&lt;=12,SUMIFS('Attrition Modeling'!$D:$D,'Attrition Modeling'!$B:$B,$E56,'Attrition Modeling'!$C:$C,BH$11),VLOOKUP(RentalsVacates!BH$12-RentalsVacates!$F56-1,RentalsVacates!$A$8:$C$162,2,FALSE)*VLOOKUP(BH$11,'Attrition Modeling'!$L$15:$N$27,IF(BH$12-$F56&lt;=24,2,3),FALSE))*(1+IF('Traditional Attrition'!BH178&gt;0,'Attrition Modeling'!$N$9,0))),0))</f>
        <v>2745.0627643094736</v>
      </c>
      <c r="BI56" s="799">
        <f>IF(BI$12=$F56+1,IF(Monthly!BE$4=TRUE,0,BI$3),IF(BI$12&gt;$F56+1,RentalsVacates!BH56*(1-IF(BI$12-$F56&lt;=12,SUMIFS('Attrition Modeling'!$D:$D,'Attrition Modeling'!$B:$B,$E56,'Attrition Modeling'!$C:$C,BI$11),VLOOKUP(RentalsVacates!BI$12-RentalsVacates!$F56-1,RentalsVacates!$A$8:$C$162,2,FALSE)*VLOOKUP(BI$11,'Attrition Modeling'!$L$15:$N$27,IF(BI$12-$F56&lt;=24,2,3),FALSE))*(1+IF('Traditional Attrition'!BI178&gt;0,'Attrition Modeling'!$N$9,0))),0))</f>
        <v>2574.4391333465337</v>
      </c>
      <c r="BJ56" s="799">
        <f>IF(BJ$12=$F56+1,IF(Monthly!BF$4=TRUE,0,BJ$3),IF(BJ$12&gt;$F56+1,RentalsVacates!BI56*(1-IF(BJ$12-$F56&lt;=12,SUMIFS('Attrition Modeling'!$D:$D,'Attrition Modeling'!$B:$B,$E56,'Attrition Modeling'!$C:$C,BJ$11),VLOOKUP(RentalsVacates!BJ$12-RentalsVacates!$F56-1,RentalsVacates!$A$8:$C$162,2,FALSE)*VLOOKUP(BJ$11,'Attrition Modeling'!$L$15:$N$27,IF(BJ$12-$F56&lt;=24,2,3),FALSE))*(1+IF('Traditional Attrition'!BJ178&gt;0,'Attrition Modeling'!$N$9,0))),0))</f>
        <v>2488.9821452341844</v>
      </c>
      <c r="BK56" s="799">
        <f>IF(BK$12=$F56+1,IF(Monthly!BG$4=TRUE,0,BK$3),IF(BK$12&gt;$F56+1,RentalsVacates!BJ56*(1-IF(BK$12-$F56&lt;=12,SUMIFS('Attrition Modeling'!$D:$D,'Attrition Modeling'!$B:$B,$E56,'Attrition Modeling'!$C:$C,BK$11),VLOOKUP(RentalsVacates!BK$12-RentalsVacates!$F56-1,RentalsVacates!$A$8:$C$162,2,FALSE)*VLOOKUP(BK$11,'Attrition Modeling'!$L$15:$N$27,IF(BK$12-$F56&lt;=24,2,3),FALSE))*(1+IF('Traditional Attrition'!BK178&gt;0,'Attrition Modeling'!$N$9,0))),0))</f>
        <v>2338.2341210524687</v>
      </c>
      <c r="BL56" s="799">
        <f>IF(BL$12=$F56+1,IF(Monthly!BH$4=TRUE,0,BL$3),IF(BL$12&gt;$F56+1,RentalsVacates!BK56*(1-IF(BL$12-$F56&lt;=12,SUMIFS('Attrition Modeling'!$D:$D,'Attrition Modeling'!$B:$B,$E56,'Attrition Modeling'!$C:$C,BL$11),VLOOKUP(RentalsVacates!BL$12-RentalsVacates!$F56-1,RentalsVacates!$A$8:$C$162,2,FALSE)*VLOOKUP(BL$11,'Attrition Modeling'!$L$15:$N$27,IF(BL$12-$F56&lt;=24,2,3),FALSE))*(1+IF('Traditional Attrition'!BL178&gt;0,'Attrition Modeling'!$N$9,0))),0))</f>
        <v>2219.0716613592735</v>
      </c>
      <c r="BM56" s="799">
        <f>IF(BM$12=$F56+1,IF(Monthly!BI$4=TRUE,0,BM$3),IF(BM$12&gt;$F56+1,RentalsVacates!BL56*(1-IF(BM$12-$F56&lt;=12,SUMIFS('Attrition Modeling'!$D:$D,'Attrition Modeling'!$B:$B,$E56,'Attrition Modeling'!$C:$C,BM$11),VLOOKUP(RentalsVacates!BM$12-RentalsVacates!$F56-1,RentalsVacates!$A$8:$C$162,2,FALSE)*VLOOKUP(BM$11,'Attrition Modeling'!$L$15:$N$27,IF(BM$12-$F56&lt;=24,2,3),FALSE))*(1+IF('Traditional Attrition'!BM178&gt;0,'Attrition Modeling'!$N$9,0))),0))</f>
        <v>2109.0310472127462</v>
      </c>
      <c r="BN56" s="799">
        <f>IF(BN$12=$F56+1,IF(Monthly!BJ$4=TRUE,0,BN$3),IF(BN$12&gt;$F56+1,RentalsVacates!BM56*(1-IF(BN$12-$F56&lt;=12,SUMIFS('Attrition Modeling'!$D:$D,'Attrition Modeling'!$B:$B,$E56,'Attrition Modeling'!$C:$C,BN$11),VLOOKUP(RentalsVacates!BN$12-RentalsVacates!$F56-1,RentalsVacates!$A$8:$C$162,2,FALSE)*VLOOKUP(BN$11,'Attrition Modeling'!$L$15:$N$27,IF(BN$12-$F56&lt;=24,2,3),FALSE))*(1+IF('Traditional Attrition'!BN178&gt;0,'Attrition Modeling'!$N$9,0))),0))</f>
        <v>2012.0975114177895</v>
      </c>
      <c r="BO56" s="799">
        <f>IF(BO$12=$F56+1,IF(Monthly!BK$4=TRUE,0,BO$3),IF(BO$12&gt;$F56+1,RentalsVacates!BN56*(1-IF(BO$12-$F56&lt;=12,SUMIFS('Attrition Modeling'!$D:$D,'Attrition Modeling'!$B:$B,$E56,'Attrition Modeling'!$C:$C,BO$11),VLOOKUP(RentalsVacates!BO$12-RentalsVacates!$F56-1,RentalsVacates!$A$8:$C$162,2,FALSE)*VLOOKUP(BO$11,'Attrition Modeling'!$L$15:$N$27,IF(BO$12-$F56&lt;=24,2,3),FALSE))*(1+IF('Traditional Attrition'!BO178&gt;0,'Attrition Modeling'!$N$9,0))),0))</f>
        <v>1923.2818206128854</v>
      </c>
      <c r="BP56" s="799">
        <f>IF(BP$12=$F56+1,IF(Monthly!BL$4=TRUE,0,BP$3),IF(BP$12&gt;$F56+1,RentalsVacates!BO56*(1-IF(BP$12-$F56&lt;=12,SUMIFS('Attrition Modeling'!$D:$D,'Attrition Modeling'!$B:$B,$E56,'Attrition Modeling'!$C:$C,BP$11),VLOOKUP(RentalsVacates!BP$12-RentalsVacates!$F56-1,RentalsVacates!$A$8:$C$162,2,FALSE)*VLOOKUP(BP$11,'Attrition Modeling'!$L$15:$N$27,IF(BP$12-$F56&lt;=24,2,3),FALSE))*(1+IF('Traditional Attrition'!BP178&gt;0,'Attrition Modeling'!$N$9,0))),0))</f>
        <v>1840.4135715373252</v>
      </c>
      <c r="BQ56" s="799">
        <f>IF(BQ$12=$F56+1,IF(Monthly!BM$4=TRUE,0,BQ$3),IF(BQ$12&gt;$F56+1,RentalsVacates!BP56*(1-IF(BQ$12-$F56&lt;=12,SUMIFS('Attrition Modeling'!$D:$D,'Attrition Modeling'!$B:$B,$E56,'Attrition Modeling'!$C:$C,BQ$11),VLOOKUP(RentalsVacates!BQ$12-RentalsVacates!$F56-1,RentalsVacates!$A$8:$C$162,2,FALSE)*VLOOKUP(BQ$11,'Attrition Modeling'!$L$15:$N$27,IF(BQ$12-$F56&lt;=24,2,3),FALSE))*(1+IF('Traditional Attrition'!BQ178&gt;0,'Attrition Modeling'!$N$9,0))),0))</f>
        <v>1770.4140272734726</v>
      </c>
      <c r="BR56" s="799">
        <f>IF(BR$12=$F56+1,IF(Monthly!BN$4=TRUE,0,BR$3),IF(BR$12&gt;$F56+1,RentalsVacates!BQ56*(1-IF(BR$12-$F56&lt;=12,SUMIFS('Attrition Modeling'!$D:$D,'Attrition Modeling'!$B:$B,$E56,'Attrition Modeling'!$C:$C,BR$11),VLOOKUP(RentalsVacates!BR$12-RentalsVacates!$F56-1,RentalsVacates!$A$8:$C$162,2,FALSE)*VLOOKUP(BR$11,'Attrition Modeling'!$L$15:$N$27,IF(BR$12-$F56&lt;=24,2,3),FALSE))*(1+IF('Traditional Attrition'!BR178&gt;0,'Attrition Modeling'!$N$9,0))),0))</f>
        <v>1698.506169020621</v>
      </c>
      <c r="BS56" s="799">
        <f>IF(BS$12=$F56+1,IF(Monthly!BO$4=TRUE,0,BS$3),IF(BS$12&gt;$F56+1,RentalsVacates!BR56*(1-IF(BS$12-$F56&lt;=12,SUMIFS('Attrition Modeling'!$D:$D,'Attrition Modeling'!$B:$B,$E56,'Attrition Modeling'!$C:$C,BS$11),VLOOKUP(RentalsVacates!BS$12-RentalsVacates!$F56-1,RentalsVacates!$A$8:$C$162,2,FALSE)*VLOOKUP(BS$11,'Attrition Modeling'!$L$15:$N$27,IF(BS$12-$F56&lt;=24,2,3),FALSE))*(1+IF('Traditional Attrition'!BS178&gt;0,'Attrition Modeling'!$N$9,0))),0))</f>
        <v>1631.8348993420202</v>
      </c>
      <c r="BT56" s="799">
        <f>IF(BT$11=$F55+1,IF(Monthly!#REF!=TRUE,0,BT$3),IF(BT$11&gt;$F55+1,RentalsVacates!BS55*(1-IF(BT$11-$F55&lt;=12,SUMIFS('Attrition Modeling'!$D:$D,'Attrition Modeling'!$B:$B,$E55,'Attrition Modeling'!$C:$C,BT$10),VLOOKUP(RentalsVacates!BT$11-RentalsVacates!$F55-1,RentalsVacates!$A$7:$C$161,2,FALSE)*VLOOKUP(BT$10,'Attrition Modeling'!$L$15:$N$27,IF(BT$11-$F55&lt;=24,2,3),FALSE))*(1+IF('Traditional Attrition'!BT178&gt;0,'Attrition Modeling'!$N$9,0))),0))</f>
        <v>0</v>
      </c>
      <c r="BU56" s="799">
        <f>IF(BU$11=$F55+1,IF(Monthly!#REF!=TRUE,0,BU$3),IF(BU$11&gt;$F55+1,RentalsVacates!BT55*(1-IF(BU$11-$F55&lt;=12,SUMIFS('Attrition Modeling'!$D:$D,'Attrition Modeling'!$B:$B,$E55,'Attrition Modeling'!$C:$C,BU$10),VLOOKUP(RentalsVacates!BU$11-RentalsVacates!$F55-1,RentalsVacates!$A$7:$C$161,2,FALSE)*VLOOKUP(BU$10,'Attrition Modeling'!$L$15:$N$27,IF(BU$11-$F55&lt;=24,2,3),FALSE))*(1+IF('Traditional Attrition'!BU178&gt;0,'Attrition Modeling'!$N$9,0))),0))</f>
        <v>0</v>
      </c>
    </row>
    <row r="57" spans="1:73" ht="14.25" customHeight="1" x14ac:dyDescent="0.2">
      <c r="A57" s="9">
        <v>49</v>
      </c>
      <c r="B57" s="25">
        <f>MAX('Attrition Modeling'!H53,$C$3)*(1-Summary!$C$20)</f>
        <v>2.5302590083221485E-2</v>
      </c>
      <c r="C57" s="24" t="e">
        <f t="shared" si="2"/>
        <v>#DIV/0!</v>
      </c>
      <c r="E57" s="11">
        <f>'Traditional Attrition'!E114</f>
        <v>8</v>
      </c>
      <c r="F57" s="11">
        <f t="shared" si="4"/>
        <v>44</v>
      </c>
      <c r="G57" s="799"/>
      <c r="H57" s="799">
        <f>IF(H$12=$F57+1,IF(Monthly!D$4=TRUE,0,H$3),IF(H$12&gt;$F57+1,RentalsVacates!G57*(1-IF(H$12-$F57&lt;=12,SUMIFS('Attrition Modeling'!$D:$D,'Attrition Modeling'!$B:$B,$E57,'Attrition Modeling'!$C:$C,H$11),VLOOKUP(RentalsVacates!H$12-RentalsVacates!$F57-1,RentalsVacates!$A$8:$C$162,2,FALSE)*VLOOKUP(H$11,'Attrition Modeling'!$L$15:$N$27,IF(H$12-$F57&lt;=24,2,3),FALSE))*(1+IF('Traditional Attrition'!H179&gt;0,'Attrition Modeling'!$N$9,0))),0))</f>
        <v>0</v>
      </c>
      <c r="I57" s="799">
        <f>IF(I$12=$F57+1,IF(Monthly!E$4=TRUE,0,I$3),IF(I$12&gt;$F57+1,RentalsVacates!H57*(1-IF(I$12-$F57&lt;=12,SUMIFS('Attrition Modeling'!$D:$D,'Attrition Modeling'!$B:$B,$E57,'Attrition Modeling'!$C:$C,I$11),VLOOKUP(RentalsVacates!I$12-RentalsVacates!$F57-1,RentalsVacates!$A$8:$C$162,2,FALSE)*VLOOKUP(I$11,'Attrition Modeling'!$L$15:$N$27,IF(I$12-$F57&lt;=24,2,3),FALSE))*(1+IF('Traditional Attrition'!I179&gt;0,'Attrition Modeling'!$N$9,0))),0))</f>
        <v>0</v>
      </c>
      <c r="J57" s="799">
        <f>IF(J$12=$F57+1,IF(Monthly!F$4=TRUE,0,J$3),IF(J$12&gt;$F57+1,RentalsVacates!I57*(1-IF(J$12-$F57&lt;=12,SUMIFS('Attrition Modeling'!$D:$D,'Attrition Modeling'!$B:$B,$E57,'Attrition Modeling'!$C:$C,J$11),VLOOKUP(RentalsVacates!J$12-RentalsVacates!$F57-1,RentalsVacates!$A$8:$C$162,2,FALSE)*VLOOKUP(J$11,'Attrition Modeling'!$L$15:$N$27,IF(J$12-$F57&lt;=24,2,3),FALSE))*(1+IF('Traditional Attrition'!J179&gt;0,'Attrition Modeling'!$N$9,0))),0))</f>
        <v>0</v>
      </c>
      <c r="K57" s="799">
        <f>IF(K$12=$F57+1,IF(Monthly!G$4=TRUE,0,K$3),IF(K$12&gt;$F57+1,RentalsVacates!J57*(1-IF(K$12-$F57&lt;=12,SUMIFS('Attrition Modeling'!$D:$D,'Attrition Modeling'!$B:$B,$E57,'Attrition Modeling'!$C:$C,K$11),VLOOKUP(RentalsVacates!K$12-RentalsVacates!$F57-1,RentalsVacates!$A$8:$C$162,2,FALSE)*VLOOKUP(K$11,'Attrition Modeling'!$L$15:$N$27,IF(K$12-$F57&lt;=24,2,3),FALSE))*(1+IF('Traditional Attrition'!K179&gt;0,'Attrition Modeling'!$N$9,0))),0))</f>
        <v>0</v>
      </c>
      <c r="L57" s="799">
        <f>IF(L$12=$F57+1,IF(Monthly!H$4=TRUE,0,L$3),IF(L$12&gt;$F57+1,RentalsVacates!K57*(1-IF(L$12-$F57&lt;=12,SUMIFS('Attrition Modeling'!$D:$D,'Attrition Modeling'!$B:$B,$E57,'Attrition Modeling'!$C:$C,L$11),VLOOKUP(RentalsVacates!L$12-RentalsVacates!$F57-1,RentalsVacates!$A$8:$C$162,2,FALSE)*VLOOKUP(L$11,'Attrition Modeling'!$L$15:$N$27,IF(L$12-$F57&lt;=24,2,3),FALSE))*(1+IF('Traditional Attrition'!L179&gt;0,'Attrition Modeling'!$N$9,0))),0))</f>
        <v>0</v>
      </c>
      <c r="M57" s="799">
        <f>IF(M$12=$F57+1,IF(Monthly!I$4=TRUE,0,M$3),IF(M$12&gt;$F57+1,RentalsVacates!L57*(1-IF(M$12-$F57&lt;=12,SUMIFS('Attrition Modeling'!$D:$D,'Attrition Modeling'!$B:$B,$E57,'Attrition Modeling'!$C:$C,M$11),VLOOKUP(RentalsVacates!M$12-RentalsVacates!$F57-1,RentalsVacates!$A$8:$C$162,2,FALSE)*VLOOKUP(M$11,'Attrition Modeling'!$L$15:$N$27,IF(M$12-$F57&lt;=24,2,3),FALSE))*(1+IF('Traditional Attrition'!M179&gt;0,'Attrition Modeling'!$N$9,0))),0))</f>
        <v>0</v>
      </c>
      <c r="N57" s="799">
        <f>IF(N$12=$F57+1,IF(Monthly!J$4=TRUE,0,N$3),IF(N$12&gt;$F57+1,RentalsVacates!M57*(1-IF(N$12-$F57&lt;=12,SUMIFS('Attrition Modeling'!$D:$D,'Attrition Modeling'!$B:$B,$E57,'Attrition Modeling'!$C:$C,N$11),VLOOKUP(RentalsVacates!N$12-RentalsVacates!$F57-1,RentalsVacates!$A$8:$C$162,2,FALSE)*VLOOKUP(N$11,'Attrition Modeling'!$L$15:$N$27,IF(N$12-$F57&lt;=24,2,3),FALSE))*(1+IF('Traditional Attrition'!N179&gt;0,'Attrition Modeling'!$N$9,0))),0))</f>
        <v>0</v>
      </c>
      <c r="O57" s="799">
        <f>IF(O$12=$F57+1,IF(Monthly!K$4=TRUE,0,O$3),IF(O$12&gt;$F57+1,RentalsVacates!N57*(1-IF(O$12-$F57&lt;=12,SUMIFS('Attrition Modeling'!$D:$D,'Attrition Modeling'!$B:$B,$E57,'Attrition Modeling'!$C:$C,O$11),VLOOKUP(RentalsVacates!O$12-RentalsVacates!$F57-1,RentalsVacates!$A$8:$C$162,2,FALSE)*VLOOKUP(O$11,'Attrition Modeling'!$L$15:$N$27,IF(O$12-$F57&lt;=24,2,3),FALSE))*(1+IF('Traditional Attrition'!O179&gt;0,'Attrition Modeling'!$N$9,0))),0))</f>
        <v>0</v>
      </c>
      <c r="P57" s="799">
        <f>IF(P$12=$F57+1,IF(Monthly!L$4=TRUE,0,P$3),IF(P$12&gt;$F57+1,RentalsVacates!O57*(1-IF(P$12-$F57&lt;=12,SUMIFS('Attrition Modeling'!$D:$D,'Attrition Modeling'!$B:$B,$E57,'Attrition Modeling'!$C:$C,P$11),VLOOKUP(RentalsVacates!P$12-RentalsVacates!$F57-1,RentalsVacates!$A$8:$C$162,2,FALSE)*VLOOKUP(P$11,'Attrition Modeling'!$L$15:$N$27,IF(P$12-$F57&lt;=24,2,3),FALSE))*(1+IF('Traditional Attrition'!P179&gt;0,'Attrition Modeling'!$N$9,0))),0))</f>
        <v>0</v>
      </c>
      <c r="Q57" s="799">
        <f>IF(Q$12=$F57+1,IF(Monthly!M$4=TRUE,0,Q$3),IF(Q$12&gt;$F57+1,RentalsVacates!P57*(1-IF(Q$12-$F57&lt;=12,SUMIFS('Attrition Modeling'!$D:$D,'Attrition Modeling'!$B:$B,$E57,'Attrition Modeling'!$C:$C,Q$11),VLOOKUP(RentalsVacates!Q$12-RentalsVacates!$F57-1,RentalsVacates!$A$8:$C$162,2,FALSE)*VLOOKUP(Q$11,'Attrition Modeling'!$L$15:$N$27,IF(Q$12-$F57&lt;=24,2,3),FALSE))*(1+IF('Traditional Attrition'!Q179&gt;0,'Attrition Modeling'!$N$9,0))),0))</f>
        <v>0</v>
      </c>
      <c r="R57" s="799">
        <f>IF(R$12=$F57+1,IF(Monthly!N$4=TRUE,0,R$3),IF(R$12&gt;$F57+1,RentalsVacates!Q57*(1-IF(R$12-$F57&lt;=12,SUMIFS('Attrition Modeling'!$D:$D,'Attrition Modeling'!$B:$B,$E57,'Attrition Modeling'!$C:$C,R$11),VLOOKUP(RentalsVacates!R$12-RentalsVacates!$F57-1,RentalsVacates!$A$8:$C$162,2,FALSE)*VLOOKUP(R$11,'Attrition Modeling'!$L$15:$N$27,IF(R$12-$F57&lt;=24,2,3),FALSE))*(1+IF('Traditional Attrition'!R179&gt;0,'Attrition Modeling'!$N$9,0))),0))</f>
        <v>0</v>
      </c>
      <c r="S57" s="799">
        <f>IF(S$12=$F57+1,IF(Monthly!O$4=TRUE,0,S$3),IF(S$12&gt;$F57+1,RentalsVacates!R57*(1-IF(S$12-$F57&lt;=12,SUMIFS('Attrition Modeling'!$D:$D,'Attrition Modeling'!$B:$B,$E57,'Attrition Modeling'!$C:$C,S$11),VLOOKUP(RentalsVacates!S$12-RentalsVacates!$F57-1,RentalsVacates!$A$8:$C$162,2,FALSE)*VLOOKUP(S$11,'Attrition Modeling'!$L$15:$N$27,IF(S$12-$F57&lt;=24,2,3),FALSE))*(1+IF('Traditional Attrition'!S179&gt;0,'Attrition Modeling'!$N$9,0))),0))</f>
        <v>0</v>
      </c>
      <c r="T57" s="799">
        <f>IF(T$12=$F57+1,IF(Monthly!P$4=TRUE,0,T$3),IF(T$12&gt;$F57+1,RentalsVacates!S57*(1-IF(T$12-$F57&lt;=12,SUMIFS('Attrition Modeling'!$D:$D,'Attrition Modeling'!$B:$B,$E57,'Attrition Modeling'!$C:$C,T$11),VLOOKUP(RentalsVacates!T$12-RentalsVacates!$F57-1,RentalsVacates!$A$8:$C$162,2,FALSE)*VLOOKUP(T$11,'Attrition Modeling'!$L$15:$N$27,IF(T$12-$F57&lt;=24,2,3),FALSE))*(1+IF('Traditional Attrition'!T179&gt;0,'Attrition Modeling'!$N$9,0))),0))</f>
        <v>0</v>
      </c>
      <c r="U57" s="799">
        <f>IF(U$12=$F57+1,IF(Monthly!Q$4=TRUE,0,U$3),IF(U$12&gt;$F57+1,RentalsVacates!T57*(1-IF(U$12-$F57&lt;=12,SUMIFS('Attrition Modeling'!$D:$D,'Attrition Modeling'!$B:$B,$E57,'Attrition Modeling'!$C:$C,U$11),VLOOKUP(RentalsVacates!U$12-RentalsVacates!$F57-1,RentalsVacates!$A$8:$C$162,2,FALSE)*VLOOKUP(U$11,'Attrition Modeling'!$L$15:$N$27,IF(U$12-$F57&lt;=24,2,3),FALSE))*(1+IF('Traditional Attrition'!U179&gt;0,'Attrition Modeling'!$N$9,0))),0))</f>
        <v>0</v>
      </c>
      <c r="V57" s="799">
        <f>IF(V$12=$F57+1,IF(Monthly!R$4=TRUE,0,V$3),IF(V$12&gt;$F57+1,RentalsVacates!U57*(1-IF(V$12-$F57&lt;=12,SUMIFS('Attrition Modeling'!$D:$D,'Attrition Modeling'!$B:$B,$E57,'Attrition Modeling'!$C:$C,V$11),VLOOKUP(RentalsVacates!V$12-RentalsVacates!$F57-1,RentalsVacates!$A$8:$C$162,2,FALSE)*VLOOKUP(V$11,'Attrition Modeling'!$L$15:$N$27,IF(V$12-$F57&lt;=24,2,3),FALSE))*(1+IF('Traditional Attrition'!V179&gt;0,'Attrition Modeling'!$N$9,0))),0))</f>
        <v>0</v>
      </c>
      <c r="W57" s="799">
        <f>IF(W$12=$F57+1,IF(Monthly!S$4=TRUE,0,W$3),IF(W$12&gt;$F57+1,RentalsVacates!V57*(1-IF(W$12-$F57&lt;=12,SUMIFS('Attrition Modeling'!$D:$D,'Attrition Modeling'!$B:$B,$E57,'Attrition Modeling'!$C:$C,W$11),VLOOKUP(RentalsVacates!W$12-RentalsVacates!$F57-1,RentalsVacates!$A$8:$C$162,2,FALSE)*VLOOKUP(W$11,'Attrition Modeling'!$L$15:$N$27,IF(W$12-$F57&lt;=24,2,3),FALSE))*(1+IF('Traditional Attrition'!W179&gt;0,'Attrition Modeling'!$N$9,0))),0))</f>
        <v>0</v>
      </c>
      <c r="X57" s="799">
        <f>IF(X$12=$F57+1,IF(Monthly!T$4=TRUE,0,X$3),IF(X$12&gt;$F57+1,RentalsVacates!W57*(1-IF(X$12-$F57&lt;=12,SUMIFS('Attrition Modeling'!$D:$D,'Attrition Modeling'!$B:$B,$E57,'Attrition Modeling'!$C:$C,X$11),VLOOKUP(RentalsVacates!X$12-RentalsVacates!$F57-1,RentalsVacates!$A$8:$C$162,2,FALSE)*VLOOKUP(X$11,'Attrition Modeling'!$L$15:$N$27,IF(X$12-$F57&lt;=24,2,3),FALSE))*(1+IF('Traditional Attrition'!X179&gt;0,'Attrition Modeling'!$N$9,0))),0))</f>
        <v>0</v>
      </c>
      <c r="Y57" s="799">
        <f>IF(Y$12=$F57+1,IF(Monthly!U$4=TRUE,0,Y$3),IF(Y$12&gt;$F57+1,RentalsVacates!X57*(1-IF(Y$12-$F57&lt;=12,SUMIFS('Attrition Modeling'!$D:$D,'Attrition Modeling'!$B:$B,$E57,'Attrition Modeling'!$C:$C,Y$11),VLOOKUP(RentalsVacates!Y$12-RentalsVacates!$F57-1,RentalsVacates!$A$8:$C$162,2,FALSE)*VLOOKUP(Y$11,'Attrition Modeling'!$L$15:$N$27,IF(Y$12-$F57&lt;=24,2,3),FALSE))*(1+IF('Traditional Attrition'!Y179&gt;0,'Attrition Modeling'!$N$9,0))),0))</f>
        <v>0</v>
      </c>
      <c r="Z57" s="799">
        <f>IF(Z$12=$F57+1,IF(Monthly!V$4=TRUE,0,Z$3),IF(Z$12&gt;$F57+1,RentalsVacates!Y57*(1-IF(Z$12-$F57&lt;=12,SUMIFS('Attrition Modeling'!$D:$D,'Attrition Modeling'!$B:$B,$E57,'Attrition Modeling'!$C:$C,Z$11),VLOOKUP(RentalsVacates!Z$12-RentalsVacates!$F57-1,RentalsVacates!$A$8:$C$162,2,FALSE)*VLOOKUP(Z$11,'Attrition Modeling'!$L$15:$N$27,IF(Z$12-$F57&lt;=24,2,3),FALSE))*(1+IF('Traditional Attrition'!Z179&gt;0,'Attrition Modeling'!$N$9,0))),0))</f>
        <v>0</v>
      </c>
      <c r="AA57" s="799">
        <f>IF(AA$12=$F57+1,IF(Monthly!W$4=TRUE,0,AA$3),IF(AA$12&gt;$F57+1,RentalsVacates!Z57*(1-IF(AA$12-$F57&lt;=12,SUMIFS('Attrition Modeling'!$D:$D,'Attrition Modeling'!$B:$B,$E57,'Attrition Modeling'!$C:$C,AA$11),VLOOKUP(RentalsVacates!AA$12-RentalsVacates!$F57-1,RentalsVacates!$A$8:$C$162,2,FALSE)*VLOOKUP(AA$11,'Attrition Modeling'!$L$15:$N$27,IF(AA$12-$F57&lt;=24,2,3),FALSE))*(1+IF('Traditional Attrition'!AA179&gt;0,'Attrition Modeling'!$N$9,0))),0))</f>
        <v>0</v>
      </c>
      <c r="AB57" s="799">
        <f>IF(AB$12=$F57+1,IF(Monthly!X$4=TRUE,0,AB$3),IF(AB$12&gt;$F57+1,RentalsVacates!AA57*(1-IF(AB$12-$F57&lt;=12,SUMIFS('Attrition Modeling'!$D:$D,'Attrition Modeling'!$B:$B,$E57,'Attrition Modeling'!$C:$C,AB$11),VLOOKUP(RentalsVacates!AB$12-RentalsVacates!$F57-1,RentalsVacates!$A$8:$C$162,2,FALSE)*VLOOKUP(AB$11,'Attrition Modeling'!$L$15:$N$27,IF(AB$12-$F57&lt;=24,2,3),FALSE))*(1+IF('Traditional Attrition'!AB179&gt;0,'Attrition Modeling'!$N$9,0))),0))</f>
        <v>0</v>
      </c>
      <c r="AC57" s="799">
        <f>IF(AC$12=$F57+1,IF(Monthly!Y$4=TRUE,0,AC$3),IF(AC$12&gt;$F57+1,RentalsVacates!AB57*(1-IF(AC$12-$F57&lt;=12,SUMIFS('Attrition Modeling'!$D:$D,'Attrition Modeling'!$B:$B,$E57,'Attrition Modeling'!$C:$C,AC$11),VLOOKUP(RentalsVacates!AC$12-RentalsVacates!$F57-1,RentalsVacates!$A$8:$C$162,2,FALSE)*VLOOKUP(AC$11,'Attrition Modeling'!$L$15:$N$27,IF(AC$12-$F57&lt;=24,2,3),FALSE))*(1+IF('Traditional Attrition'!AC179&gt;0,'Attrition Modeling'!$N$9,0))),0))</f>
        <v>0</v>
      </c>
      <c r="AD57" s="799">
        <f>IF(AD$12=$F57+1,IF(Monthly!Z$4=TRUE,0,AD$3),IF(AD$12&gt;$F57+1,RentalsVacates!AC57*(1-IF(AD$12-$F57&lt;=12,SUMIFS('Attrition Modeling'!$D:$D,'Attrition Modeling'!$B:$B,$E57,'Attrition Modeling'!$C:$C,AD$11),VLOOKUP(RentalsVacates!AD$12-RentalsVacates!$F57-1,RentalsVacates!$A$8:$C$162,2,FALSE)*VLOOKUP(AD$11,'Attrition Modeling'!$L$15:$N$27,IF(AD$12-$F57&lt;=24,2,3),FALSE))*(1+IF('Traditional Attrition'!AD179&gt;0,'Attrition Modeling'!$N$9,0))),0))</f>
        <v>0</v>
      </c>
      <c r="AE57" s="799">
        <f>IF(AE$12=$F57+1,IF(Monthly!AA$4=TRUE,0,AE$3),IF(AE$12&gt;$F57+1,RentalsVacates!AD57*(1-IF(AE$12-$F57&lt;=12,SUMIFS('Attrition Modeling'!$D:$D,'Attrition Modeling'!$B:$B,$E57,'Attrition Modeling'!$C:$C,AE$11),VLOOKUP(RentalsVacates!AE$12-RentalsVacates!$F57-1,RentalsVacates!$A$8:$C$162,2,FALSE)*VLOOKUP(AE$11,'Attrition Modeling'!$L$15:$N$27,IF(AE$12-$F57&lt;=24,2,3),FALSE))*(1+IF('Traditional Attrition'!AE179&gt;0,'Attrition Modeling'!$N$9,0))),0))</f>
        <v>0</v>
      </c>
      <c r="AF57" s="799">
        <f>IF(AF$12=$F57+1,IF(Monthly!AB$4=TRUE,0,AF$3),IF(AF$12&gt;$F57+1,RentalsVacates!AE57*(1-IF(AF$12-$F57&lt;=12,SUMIFS('Attrition Modeling'!$D:$D,'Attrition Modeling'!$B:$B,$E57,'Attrition Modeling'!$C:$C,AF$11),VLOOKUP(RentalsVacates!AF$12-RentalsVacates!$F57-1,RentalsVacates!$A$8:$C$162,2,FALSE)*VLOOKUP(AF$11,'Attrition Modeling'!$L$15:$N$27,IF(AF$12-$F57&lt;=24,2,3),FALSE))*(1+IF('Traditional Attrition'!AF179&gt;0,'Attrition Modeling'!$N$9,0))),0))</f>
        <v>0</v>
      </c>
      <c r="AG57" s="799">
        <f>IF(AG$12=$F57+1,IF(Monthly!AC$4=TRUE,0,AG$3),IF(AG$12&gt;$F57+1,RentalsVacates!AF57*(1-IF(AG$12-$F57&lt;=12,SUMIFS('Attrition Modeling'!$D:$D,'Attrition Modeling'!$B:$B,$E57,'Attrition Modeling'!$C:$C,AG$11),VLOOKUP(RentalsVacates!AG$12-RentalsVacates!$F57-1,RentalsVacates!$A$8:$C$162,2,FALSE)*VLOOKUP(AG$11,'Attrition Modeling'!$L$15:$N$27,IF(AG$12-$F57&lt;=24,2,3),FALSE))*(1+IF('Traditional Attrition'!AG179&gt;0,'Attrition Modeling'!$N$9,0))),0))</f>
        <v>0</v>
      </c>
      <c r="AH57" s="799">
        <f>IF(AH$12=$F57+1,IF(Monthly!AD$4=TRUE,0,AH$3),IF(AH$12&gt;$F57+1,RentalsVacates!AG57*(1-IF(AH$12-$F57&lt;=12,SUMIFS('Attrition Modeling'!$D:$D,'Attrition Modeling'!$B:$B,$E57,'Attrition Modeling'!$C:$C,AH$11),VLOOKUP(RentalsVacates!AH$12-RentalsVacates!$F57-1,RentalsVacates!$A$8:$C$162,2,FALSE)*VLOOKUP(AH$11,'Attrition Modeling'!$L$15:$N$27,IF(AH$12-$F57&lt;=24,2,3),FALSE))*(1+IF('Traditional Attrition'!AH179&gt;0,'Attrition Modeling'!$N$9,0))),0))</f>
        <v>0</v>
      </c>
      <c r="AI57" s="799">
        <f>IF(AI$12=$F57+1,IF(Monthly!AE$4=TRUE,0,AI$3),IF(AI$12&gt;$F57+1,RentalsVacates!AH57*(1-IF(AI$12-$F57&lt;=12,SUMIFS('Attrition Modeling'!$D:$D,'Attrition Modeling'!$B:$B,$E57,'Attrition Modeling'!$C:$C,AI$11),VLOOKUP(RentalsVacates!AI$12-RentalsVacates!$F57-1,RentalsVacates!$A$8:$C$162,2,FALSE)*VLOOKUP(AI$11,'Attrition Modeling'!$L$15:$N$27,IF(AI$12-$F57&lt;=24,2,3),FALSE))*(1+IF('Traditional Attrition'!AI179&gt;0,'Attrition Modeling'!$N$9,0))),0))</f>
        <v>0</v>
      </c>
      <c r="AJ57" s="799">
        <f>IF(AJ$12=$F57+1,IF(Monthly!AF$4=TRUE,0,AJ$3),IF(AJ$12&gt;$F57+1,RentalsVacates!AI57*(1-IF(AJ$12-$F57&lt;=12,SUMIFS('Attrition Modeling'!$D:$D,'Attrition Modeling'!$B:$B,$E57,'Attrition Modeling'!$C:$C,AJ$11),VLOOKUP(RentalsVacates!AJ$12-RentalsVacates!$F57-1,RentalsVacates!$A$8:$C$162,2,FALSE)*VLOOKUP(AJ$11,'Attrition Modeling'!$L$15:$N$27,IF(AJ$12-$F57&lt;=24,2,3),FALSE))*(1+IF('Traditional Attrition'!AJ179&gt;0,'Attrition Modeling'!$N$9,0))),0))</f>
        <v>0</v>
      </c>
      <c r="AK57" s="799">
        <f>IF(AK$12=$F57+1,IF(Monthly!AG$4=TRUE,0,AK$3),IF(AK$12&gt;$F57+1,RentalsVacates!AJ57*(1-IF(AK$12-$F57&lt;=12,SUMIFS('Attrition Modeling'!$D:$D,'Attrition Modeling'!$B:$B,$E57,'Attrition Modeling'!$C:$C,AK$11),VLOOKUP(RentalsVacates!AK$12-RentalsVacates!$F57-1,RentalsVacates!$A$8:$C$162,2,FALSE)*VLOOKUP(AK$11,'Attrition Modeling'!$L$15:$N$27,IF(AK$12-$F57&lt;=24,2,3),FALSE))*(1+IF('Traditional Attrition'!AK179&gt;0,'Attrition Modeling'!$N$9,0))),0))</f>
        <v>0</v>
      </c>
      <c r="AL57" s="799">
        <f>IF(AL$12=$F57+1,IF(Monthly!AH$4=TRUE,0,AL$3),IF(AL$12&gt;$F57+1,RentalsVacates!AK57*(1-IF(AL$12-$F57&lt;=12,SUMIFS('Attrition Modeling'!$D:$D,'Attrition Modeling'!$B:$B,$E57,'Attrition Modeling'!$C:$C,AL$11),VLOOKUP(RentalsVacates!AL$12-RentalsVacates!$F57-1,RentalsVacates!$A$8:$C$162,2,FALSE)*VLOOKUP(AL$11,'Attrition Modeling'!$L$15:$N$27,IF(AL$12-$F57&lt;=24,2,3),FALSE))*(1+IF('Traditional Attrition'!AL179&gt;0,'Attrition Modeling'!$N$9,0))),0))</f>
        <v>0</v>
      </c>
      <c r="AM57" s="799">
        <f>IF(AM$12=$F57+1,IF(Monthly!AI$4=TRUE,0,AM$3),IF(AM$12&gt;$F57+1,RentalsVacates!AL57*(1-IF(AM$12-$F57&lt;=12,SUMIFS('Attrition Modeling'!$D:$D,'Attrition Modeling'!$B:$B,$E57,'Attrition Modeling'!$C:$C,AM$11),VLOOKUP(RentalsVacates!AM$12-RentalsVacates!$F57-1,RentalsVacates!$A$8:$C$162,2,FALSE)*VLOOKUP(AM$11,'Attrition Modeling'!$L$15:$N$27,IF(AM$12-$F57&lt;=24,2,3),FALSE))*(1+IF('Traditional Attrition'!AM179&gt;0,'Attrition Modeling'!$N$9,0))),0))</f>
        <v>0</v>
      </c>
      <c r="AN57" s="799">
        <f>IF(AN$12=$F57+1,IF(Monthly!AJ$4=TRUE,0,AN$3),IF(AN$12&gt;$F57+1,RentalsVacates!AM57*(1-IF(AN$12-$F57&lt;=12,SUMIFS('Attrition Modeling'!$D:$D,'Attrition Modeling'!$B:$B,$E57,'Attrition Modeling'!$C:$C,AN$11),VLOOKUP(RentalsVacates!AN$12-RentalsVacates!$F57-1,RentalsVacates!$A$8:$C$162,2,FALSE)*VLOOKUP(AN$11,'Attrition Modeling'!$L$15:$N$27,IF(AN$12-$F57&lt;=24,2,3),FALSE))*(1+IF('Traditional Attrition'!AN179&gt;0,'Attrition Modeling'!$N$9,0))),0))</f>
        <v>0</v>
      </c>
      <c r="AO57" s="799">
        <f>IF(AO$12=$F57+1,IF(Monthly!AK$4=TRUE,0,AO$3),IF(AO$12&gt;$F57+1,RentalsVacates!AN57*(1-IF(AO$12-$F57&lt;=12,SUMIFS('Attrition Modeling'!$D:$D,'Attrition Modeling'!$B:$B,$E57,'Attrition Modeling'!$C:$C,AO$11),VLOOKUP(RentalsVacates!AO$12-RentalsVacates!$F57-1,RentalsVacates!$A$8:$C$162,2,FALSE)*VLOOKUP(AO$11,'Attrition Modeling'!$L$15:$N$27,IF(AO$12-$F57&lt;=24,2,3),FALSE))*(1+IF('Traditional Attrition'!AO179&gt;0,'Attrition Modeling'!$N$9,0))),0))</f>
        <v>0</v>
      </c>
      <c r="AP57" s="799">
        <f>IF(AP$12=$F57+1,IF(Monthly!AL$4=TRUE,0,AP$3),IF(AP$12&gt;$F57+1,RentalsVacates!AO57*(1-IF(AP$12-$F57&lt;=12,SUMIFS('Attrition Modeling'!$D:$D,'Attrition Modeling'!$B:$B,$E57,'Attrition Modeling'!$C:$C,AP$11),VLOOKUP(RentalsVacates!AP$12-RentalsVacates!$F57-1,RentalsVacates!$A$8:$C$162,2,FALSE)*VLOOKUP(AP$11,'Attrition Modeling'!$L$15:$N$27,IF(AP$12-$F57&lt;=24,2,3),FALSE))*(1+IF('Traditional Attrition'!AP179&gt;0,'Attrition Modeling'!$N$9,0))),0))</f>
        <v>0</v>
      </c>
      <c r="AQ57" s="799">
        <f>IF(AQ$12=$F57+1,IF(Monthly!AM$4=TRUE,0,AQ$3),IF(AQ$12&gt;$F57+1,RentalsVacates!AP57*(1-IF(AQ$12-$F57&lt;=12,SUMIFS('Attrition Modeling'!$D:$D,'Attrition Modeling'!$B:$B,$E57,'Attrition Modeling'!$C:$C,AQ$11),VLOOKUP(RentalsVacates!AQ$12-RentalsVacates!$F57-1,RentalsVacates!$A$8:$C$162,2,FALSE)*VLOOKUP(AQ$11,'Attrition Modeling'!$L$15:$N$27,IF(AQ$12-$F57&lt;=24,2,3),FALSE))*(1+IF('Traditional Attrition'!AQ179&gt;0,'Attrition Modeling'!$N$9,0))),0))</f>
        <v>0</v>
      </c>
      <c r="AR57" s="799">
        <f>IF(AR$12=$F57+1,IF(Monthly!AN$4=TRUE,0,AR$3),IF(AR$12&gt;$F57+1,RentalsVacates!AQ57*(1-IF(AR$12-$F57&lt;=12,SUMIFS('Attrition Modeling'!$D:$D,'Attrition Modeling'!$B:$B,$E57,'Attrition Modeling'!$C:$C,AR$11),VLOOKUP(RentalsVacates!AR$12-RentalsVacates!$F57-1,RentalsVacates!$A$8:$C$162,2,FALSE)*VLOOKUP(AR$11,'Attrition Modeling'!$L$15:$N$27,IF(AR$12-$F57&lt;=24,2,3),FALSE))*(1+IF('Traditional Attrition'!AR179&gt;0,'Attrition Modeling'!$N$9,0))),0))</f>
        <v>0</v>
      </c>
      <c r="AS57" s="799">
        <f>IF(AS$12=$F57+1,IF(Monthly!AO$4=TRUE,0,AS$3),IF(AS$12&gt;$F57+1,RentalsVacates!AR57*(1-IF(AS$12-$F57&lt;=12,SUMIFS('Attrition Modeling'!$D:$D,'Attrition Modeling'!$B:$B,$E57,'Attrition Modeling'!$C:$C,AS$11),VLOOKUP(RentalsVacates!AS$12-RentalsVacates!$F57-1,RentalsVacates!$A$8:$C$162,2,FALSE)*VLOOKUP(AS$11,'Attrition Modeling'!$L$15:$N$27,IF(AS$12-$F57&lt;=24,2,3),FALSE))*(1+IF('Traditional Attrition'!AS179&gt;0,'Attrition Modeling'!$N$9,0))),0))</f>
        <v>0</v>
      </c>
      <c r="AT57" s="799">
        <f>IF(AT$12=$F57+1,IF(Monthly!AP$4=TRUE,0,AT$3),IF(AT$12&gt;$F57+1,RentalsVacates!AS57*(1-IF(AT$12-$F57&lt;=12,SUMIFS('Attrition Modeling'!$D:$D,'Attrition Modeling'!$B:$B,$E57,'Attrition Modeling'!$C:$C,AT$11),VLOOKUP(RentalsVacates!AT$12-RentalsVacates!$F57-1,RentalsVacates!$A$8:$C$162,2,FALSE)*VLOOKUP(AT$11,'Attrition Modeling'!$L$15:$N$27,IF(AT$12-$F57&lt;=24,2,3),FALSE))*(1+IF('Traditional Attrition'!AT179&gt;0,'Attrition Modeling'!$N$9,0))),0))</f>
        <v>0</v>
      </c>
      <c r="AU57" s="799">
        <f>IF(AU$12=$F57+1,IF(Monthly!AQ$4=TRUE,0,AU$3),IF(AU$12&gt;$F57+1,RentalsVacates!AT57*(1-IF(AU$12-$F57&lt;=12,SUMIFS('Attrition Modeling'!$D:$D,'Attrition Modeling'!$B:$B,$E57,'Attrition Modeling'!$C:$C,AU$11),VLOOKUP(RentalsVacates!AU$12-RentalsVacates!$F57-1,RentalsVacates!$A$8:$C$162,2,FALSE)*VLOOKUP(AU$11,'Attrition Modeling'!$L$15:$N$27,IF(AU$12-$F57&lt;=24,2,3),FALSE))*(1+IF('Traditional Attrition'!AU179&gt;0,'Attrition Modeling'!$N$9,0))),0))</f>
        <v>0</v>
      </c>
      <c r="AV57" s="799">
        <f>IF(AV$12=$F57+1,IF(Monthly!AR$4=TRUE,0,AV$3),IF(AV$12&gt;$F57+1,RentalsVacates!AU57*(1-IF(AV$12-$F57&lt;=12,SUMIFS('Attrition Modeling'!$D:$D,'Attrition Modeling'!$B:$B,$E57,'Attrition Modeling'!$C:$C,AV$11),VLOOKUP(RentalsVacates!AV$12-RentalsVacates!$F57-1,RentalsVacates!$A$8:$C$162,2,FALSE)*VLOOKUP(AV$11,'Attrition Modeling'!$L$15:$N$27,IF(AV$12-$F57&lt;=24,2,3),FALSE))*(1+IF('Traditional Attrition'!AV179&gt;0,'Attrition Modeling'!$N$9,0))),0))</f>
        <v>0</v>
      </c>
      <c r="AW57" s="799">
        <f>IF(AW$12=$F57+1,IF(Monthly!AS$4=TRUE,0,AW$3),IF(AW$12&gt;$F57+1,RentalsVacates!AV57*(1-IF(AW$12-$F57&lt;=12,SUMIFS('Attrition Modeling'!$D:$D,'Attrition Modeling'!$B:$B,$E57,'Attrition Modeling'!$C:$C,AW$11),VLOOKUP(RentalsVacates!AW$12-RentalsVacates!$F57-1,RentalsVacates!$A$8:$C$162,2,FALSE)*VLOOKUP(AW$11,'Attrition Modeling'!$L$15:$N$27,IF(AW$12-$F57&lt;=24,2,3),FALSE))*(1+IF('Traditional Attrition'!AW179&gt;0,'Attrition Modeling'!$N$9,0))),0))</f>
        <v>0</v>
      </c>
      <c r="AX57" s="799">
        <f>IF(AX$12=$F57+1,IF(Monthly!AT$4=TRUE,0,AX$3),IF(AX$12&gt;$F57+1,RentalsVacates!AW57*(1-IF(AX$12-$F57&lt;=12,SUMIFS('Attrition Modeling'!$D:$D,'Attrition Modeling'!$B:$B,$E57,'Attrition Modeling'!$C:$C,AX$11),VLOOKUP(RentalsVacates!AX$12-RentalsVacates!$F57-1,RentalsVacates!$A$8:$C$162,2,FALSE)*VLOOKUP(AX$11,'Attrition Modeling'!$L$15:$N$27,IF(AX$12-$F57&lt;=24,2,3),FALSE))*(1+IF('Traditional Attrition'!AX179&gt;0,'Attrition Modeling'!$N$9,0))),0))</f>
        <v>0</v>
      </c>
      <c r="AY57" s="799">
        <f>IF(AY$12=$F57+1,IF(Monthly!AU$4=TRUE,0,AY$3),IF(AY$12&gt;$F57+1,RentalsVacates!AX57*(1-IF(AY$12-$F57&lt;=12,SUMIFS('Attrition Modeling'!$D:$D,'Attrition Modeling'!$B:$B,$E57,'Attrition Modeling'!$C:$C,AY$11),VLOOKUP(RentalsVacates!AY$12-RentalsVacates!$F57-1,RentalsVacates!$A$8:$C$162,2,FALSE)*VLOOKUP(AY$11,'Attrition Modeling'!$L$15:$N$27,IF(AY$12-$F57&lt;=24,2,3),FALSE))*(1+IF('Traditional Attrition'!AY179&gt;0,'Attrition Modeling'!$N$9,0))),0))</f>
        <v>0</v>
      </c>
      <c r="AZ57" s="799">
        <f>IF(AZ$12=$F57+1,IF(Monthly!AV$4=TRUE,0,AZ$3),IF(AZ$12&gt;$F57+1,RentalsVacates!AY57*(1-IF(AZ$12-$F57&lt;=12,SUMIFS('Attrition Modeling'!$D:$D,'Attrition Modeling'!$B:$B,$E57,'Attrition Modeling'!$C:$C,AZ$11),VLOOKUP(RentalsVacates!AZ$12-RentalsVacates!$F57-1,RentalsVacates!$A$8:$C$162,2,FALSE)*VLOOKUP(AZ$11,'Attrition Modeling'!$L$15:$N$27,IF(AZ$12-$F57&lt;=24,2,3),FALSE))*(1+IF('Traditional Attrition'!AZ179&gt;0,'Attrition Modeling'!$N$9,0))),0))</f>
        <v>5512.600050539505</v>
      </c>
      <c r="BA57" s="799">
        <f>IF(BA$12=$F57+1,IF(Monthly!AW$4=TRUE,0,BA$3),IF(BA$12&gt;$F57+1,RentalsVacates!AZ57*(1-IF(BA$12-$F57&lt;=12,SUMIFS('Attrition Modeling'!$D:$D,'Attrition Modeling'!$B:$B,$E57,'Attrition Modeling'!$C:$C,BA$11),VLOOKUP(RentalsVacates!BA$12-RentalsVacates!$F57-1,RentalsVacates!$A$8:$C$162,2,FALSE)*VLOOKUP(BA$11,'Attrition Modeling'!$L$15:$N$27,IF(BA$12-$F57&lt;=24,2,3),FALSE))*(1+IF('Traditional Attrition'!BA179&gt;0,'Attrition Modeling'!$N$9,0))),0))</f>
        <v>4910.3369185579577</v>
      </c>
      <c r="BB57" s="799">
        <f>IF(BB$12=$F57+1,IF(Monthly!AX$4=TRUE,0,BB$3),IF(BB$12&gt;$F57+1,RentalsVacates!BA57*(1-IF(BB$12-$F57&lt;=12,SUMIFS('Attrition Modeling'!$D:$D,'Attrition Modeling'!$B:$B,$E57,'Attrition Modeling'!$C:$C,BB$11),VLOOKUP(RentalsVacates!BB$12-RentalsVacates!$F57-1,RentalsVacates!$A$8:$C$162,2,FALSE)*VLOOKUP(BB$11,'Attrition Modeling'!$L$15:$N$27,IF(BB$12-$F57&lt;=24,2,3),FALSE))*(1+IF('Traditional Attrition'!BB179&gt;0,'Attrition Modeling'!$N$9,0))),0))</f>
        <v>4468.8186713619471</v>
      </c>
      <c r="BC57" s="799">
        <f>IF(BC$12=$F57+1,IF(Monthly!AY$4=TRUE,0,BC$3),IF(BC$12&gt;$F57+1,RentalsVacates!BB57*(1-IF(BC$12-$F57&lt;=12,SUMIFS('Attrition Modeling'!$D:$D,'Attrition Modeling'!$B:$B,$E57,'Attrition Modeling'!$C:$C,BC$11),VLOOKUP(RentalsVacates!BC$12-RentalsVacates!$F57-1,RentalsVacates!$A$8:$C$162,2,FALSE)*VLOOKUP(BC$11,'Attrition Modeling'!$L$15:$N$27,IF(BC$12-$F57&lt;=24,2,3),FALSE))*(1+IF('Traditional Attrition'!BC179&gt;0,'Attrition Modeling'!$N$9,0))),0))</f>
        <v>4066.2488951599903</v>
      </c>
      <c r="BD57" s="799">
        <f>IF(BD$12=$F57+1,IF(Monthly!AZ$4=TRUE,0,BD$3),IF(BD$12&gt;$F57+1,RentalsVacates!BC57*(1-IF(BD$12-$F57&lt;=12,SUMIFS('Attrition Modeling'!$D:$D,'Attrition Modeling'!$B:$B,$E57,'Attrition Modeling'!$C:$C,BD$11),VLOOKUP(RentalsVacates!BD$12-RentalsVacates!$F57-1,RentalsVacates!$A$8:$C$162,2,FALSE)*VLOOKUP(BD$11,'Attrition Modeling'!$L$15:$N$27,IF(BD$12-$F57&lt;=24,2,3),FALSE))*(1+IF('Traditional Attrition'!BD179&gt;0,'Attrition Modeling'!$N$9,0))),0))</f>
        <v>3750.9926589807255</v>
      </c>
      <c r="BE57" s="799">
        <f>IF(BE$12=$F57+1,IF(Monthly!BA$4=TRUE,0,BE$3),IF(BE$12&gt;$F57+1,RentalsVacates!BD57*(1-IF(BE$12-$F57&lt;=12,SUMIFS('Attrition Modeling'!$D:$D,'Attrition Modeling'!$B:$B,$E57,'Attrition Modeling'!$C:$C,BE$11),VLOOKUP(RentalsVacates!BE$12-RentalsVacates!$F57-1,RentalsVacates!$A$8:$C$162,2,FALSE)*VLOOKUP(BE$11,'Attrition Modeling'!$L$15:$N$27,IF(BE$12-$F57&lt;=24,2,3),FALSE))*(1+IF('Traditional Attrition'!BE179&gt;0,'Attrition Modeling'!$N$9,0))),0))</f>
        <v>3404.3239219096322</v>
      </c>
      <c r="BF57" s="799">
        <f>IF(BF$12=$F57+1,IF(Monthly!BB$4=TRUE,0,BF$3),IF(BF$12&gt;$F57+1,RentalsVacates!BE57*(1-IF(BF$12-$F57&lt;=12,SUMIFS('Attrition Modeling'!$D:$D,'Attrition Modeling'!$B:$B,$E57,'Attrition Modeling'!$C:$C,BF$11),VLOOKUP(RentalsVacates!BF$12-RentalsVacates!$F57-1,RentalsVacates!$A$8:$C$162,2,FALSE)*VLOOKUP(BF$11,'Attrition Modeling'!$L$15:$N$27,IF(BF$12-$F57&lt;=24,2,3),FALSE))*(1+IF('Traditional Attrition'!BF179&gt;0,'Attrition Modeling'!$N$9,0))),0))</f>
        <v>3146.1516725030579</v>
      </c>
      <c r="BG57" s="799">
        <f>IF(BG$12=$F57+1,IF(Monthly!BC$4=TRUE,0,BG$3),IF(BG$12&gt;$F57+1,RentalsVacates!BF57*(1-IF(BG$12-$F57&lt;=12,SUMIFS('Attrition Modeling'!$D:$D,'Attrition Modeling'!$B:$B,$E57,'Attrition Modeling'!$C:$C,BG$11),VLOOKUP(RentalsVacates!BG$12-RentalsVacates!$F57-1,RentalsVacates!$A$8:$C$162,2,FALSE)*VLOOKUP(BG$11,'Attrition Modeling'!$L$15:$N$27,IF(BG$12-$F57&lt;=24,2,3),FALSE))*(1+IF('Traditional Attrition'!BG179&gt;0,'Attrition Modeling'!$N$9,0))),0))</f>
        <v>2939.3123668682028</v>
      </c>
      <c r="BH57" s="799">
        <f>IF(BH$12=$F57+1,IF(Monthly!BD$4=TRUE,0,BH$3),IF(BH$12&gt;$F57+1,RentalsVacates!BG57*(1-IF(BH$12-$F57&lt;=12,SUMIFS('Attrition Modeling'!$D:$D,'Attrition Modeling'!$B:$B,$E57,'Attrition Modeling'!$C:$C,BH$11),VLOOKUP(RentalsVacates!BH$12-RentalsVacates!$F57-1,RentalsVacates!$A$8:$C$162,2,FALSE)*VLOOKUP(BH$11,'Attrition Modeling'!$L$15:$N$27,IF(BH$12-$F57&lt;=24,2,3),FALSE))*(1+IF('Traditional Attrition'!BH179&gt;0,'Attrition Modeling'!$N$9,0))),0))</f>
        <v>2764.9107953887133</v>
      </c>
      <c r="BI57" s="799">
        <f>IF(BI$12=$F57+1,IF(Monthly!BE$4=TRUE,0,BI$3),IF(BI$12&gt;$F57+1,RentalsVacates!BH57*(1-IF(BI$12-$F57&lt;=12,SUMIFS('Attrition Modeling'!$D:$D,'Attrition Modeling'!$B:$B,$E57,'Attrition Modeling'!$C:$C,BI$11),VLOOKUP(RentalsVacates!BI$12-RentalsVacates!$F57-1,RentalsVacates!$A$8:$C$162,2,FALSE)*VLOOKUP(BI$11,'Attrition Modeling'!$L$15:$N$27,IF(BI$12-$F57&lt;=24,2,3),FALSE))*(1+IF('Traditional Attrition'!BI179&gt;0,'Attrition Modeling'!$N$9,0))),0))</f>
        <v>2602.4020297763154</v>
      </c>
      <c r="BJ57" s="799">
        <f>IF(BJ$12=$F57+1,IF(Monthly!BF$4=TRUE,0,BJ$3),IF(BJ$12&gt;$F57+1,RentalsVacates!BI57*(1-IF(BJ$12-$F57&lt;=12,SUMIFS('Attrition Modeling'!$D:$D,'Attrition Modeling'!$B:$B,$E57,'Attrition Modeling'!$C:$C,BJ$11),VLOOKUP(RentalsVacates!BJ$12-RentalsVacates!$F57-1,RentalsVacates!$A$8:$C$162,2,FALSE)*VLOOKUP(BJ$11,'Attrition Modeling'!$L$15:$N$27,IF(BJ$12-$F57&lt;=24,2,3),FALSE))*(1+IF('Traditional Attrition'!BJ179&gt;0,'Attrition Modeling'!$N$9,0))),0))</f>
        <v>2448.0441967429751</v>
      </c>
      <c r="BK57" s="799">
        <f>IF(BK$12=$F57+1,IF(Monthly!BG$4=TRUE,0,BK$3),IF(BK$12&gt;$F57+1,RentalsVacates!BJ57*(1-IF(BK$12-$F57&lt;=12,SUMIFS('Attrition Modeling'!$D:$D,'Attrition Modeling'!$B:$B,$E57,'Attrition Modeling'!$C:$C,BK$11),VLOOKUP(RentalsVacates!BK$12-RentalsVacates!$F57-1,RentalsVacates!$A$8:$C$162,2,FALSE)*VLOOKUP(BK$11,'Attrition Modeling'!$L$15:$N$27,IF(BK$12-$F57&lt;=24,2,3),FALSE))*(1+IF('Traditional Attrition'!BK179&gt;0,'Attrition Modeling'!$N$9,0))),0))</f>
        <v>2365.4625837428648</v>
      </c>
      <c r="BL57" s="799">
        <f>IF(BL$12=$F57+1,IF(Monthly!BH$4=TRUE,0,BL$3),IF(BL$12&gt;$F57+1,RentalsVacates!BK57*(1-IF(BL$12-$F57&lt;=12,SUMIFS('Attrition Modeling'!$D:$D,'Attrition Modeling'!$B:$B,$E57,'Attrition Modeling'!$C:$C,BL$11),VLOOKUP(RentalsVacates!BL$12-RentalsVacates!$F57-1,RentalsVacates!$A$8:$C$162,2,FALSE)*VLOOKUP(BL$11,'Attrition Modeling'!$L$15:$N$27,IF(BL$12-$F57&lt;=24,2,3),FALSE))*(1+IF('Traditional Attrition'!BL179&gt;0,'Attrition Modeling'!$N$9,0))),0))</f>
        <v>2234.8218073705843</v>
      </c>
      <c r="BM57" s="799">
        <f>IF(BM$12=$F57+1,IF(Monthly!BI$4=TRUE,0,BM$3),IF(BM$12&gt;$F57+1,RentalsVacates!BL57*(1-IF(BM$12-$F57&lt;=12,SUMIFS('Attrition Modeling'!$D:$D,'Attrition Modeling'!$B:$B,$E57,'Attrition Modeling'!$C:$C,BM$11),VLOOKUP(RentalsVacates!BM$12-RentalsVacates!$F57-1,RentalsVacates!$A$8:$C$162,2,FALSE)*VLOOKUP(BM$11,'Attrition Modeling'!$L$15:$N$27,IF(BM$12-$F57&lt;=24,2,3),FALSE))*(1+IF('Traditional Attrition'!BM179&gt;0,'Attrition Modeling'!$N$9,0))),0))</f>
        <v>2118.2944661131487</v>
      </c>
      <c r="BN57" s="799">
        <f>IF(BN$12=$F57+1,IF(Monthly!BJ$4=TRUE,0,BN$3),IF(BN$12&gt;$F57+1,RentalsVacates!BM57*(1-IF(BN$12-$F57&lt;=12,SUMIFS('Attrition Modeling'!$D:$D,'Attrition Modeling'!$B:$B,$E57,'Attrition Modeling'!$C:$C,BN$11),VLOOKUP(RentalsVacates!BN$12-RentalsVacates!$F57-1,RentalsVacates!$A$8:$C$162,2,FALSE)*VLOOKUP(BN$11,'Attrition Modeling'!$L$15:$N$27,IF(BN$12-$F57&lt;=24,2,3),FALSE))*(1+IF('Traditional Attrition'!BN179&gt;0,'Attrition Modeling'!$N$9,0))),0))</f>
        <v>2017.2438447759785</v>
      </c>
      <c r="BO57" s="799">
        <f>IF(BO$12=$F57+1,IF(Monthly!BK$4=TRUE,0,BO$3),IF(BO$12&gt;$F57+1,RentalsVacates!BN57*(1-IF(BO$12-$F57&lt;=12,SUMIFS('Attrition Modeling'!$D:$D,'Attrition Modeling'!$B:$B,$E57,'Attrition Modeling'!$C:$C,BO$11),VLOOKUP(RentalsVacates!BO$12-RentalsVacates!$F57-1,RentalsVacates!$A$8:$C$162,2,FALSE)*VLOOKUP(BO$11,'Attrition Modeling'!$L$15:$N$27,IF(BO$12-$F57&lt;=24,2,3),FALSE))*(1+IF('Traditional Attrition'!BO179&gt;0,'Attrition Modeling'!$N$9,0))),0))</f>
        <v>1925.503005835805</v>
      </c>
      <c r="BP57" s="799">
        <f>IF(BP$12=$F57+1,IF(Monthly!BL$4=TRUE,0,BP$3),IF(BP$12&gt;$F57+1,RentalsVacates!BO57*(1-IF(BP$12-$F57&lt;=12,SUMIFS('Attrition Modeling'!$D:$D,'Attrition Modeling'!$B:$B,$E57,'Attrition Modeling'!$C:$C,BP$11),VLOOKUP(RentalsVacates!BP$12-RentalsVacates!$F57-1,RentalsVacates!$A$8:$C$162,2,FALSE)*VLOOKUP(BP$11,'Attrition Modeling'!$L$15:$N$27,IF(BP$12-$F57&lt;=24,2,3),FALSE))*(1+IF('Traditional Attrition'!BP179&gt;0,'Attrition Modeling'!$N$9,0))),0))</f>
        <v>1840.4329935954652</v>
      </c>
      <c r="BQ57" s="799">
        <f>IF(BQ$12=$F57+1,IF(Monthly!BM$4=TRUE,0,BQ$3),IF(BQ$12&gt;$F57+1,RentalsVacates!BP57*(1-IF(BQ$12-$F57&lt;=12,SUMIFS('Attrition Modeling'!$D:$D,'Attrition Modeling'!$B:$B,$E57,'Attrition Modeling'!$C:$C,BQ$11),VLOOKUP(RentalsVacates!BQ$12-RentalsVacates!$F57-1,RentalsVacates!$A$8:$C$162,2,FALSE)*VLOOKUP(BQ$11,'Attrition Modeling'!$L$15:$N$27,IF(BQ$12-$F57&lt;=24,2,3),FALSE))*(1+IF('Traditional Attrition'!BQ179&gt;0,'Attrition Modeling'!$N$9,0))),0))</f>
        <v>1754.5902184658012</v>
      </c>
      <c r="BR57" s="799">
        <f>IF(BR$12=$F57+1,IF(Monthly!BN$4=TRUE,0,BR$3),IF(BR$12&gt;$F57+1,RentalsVacates!BQ57*(1-IF(BR$12-$F57&lt;=12,SUMIFS('Attrition Modeling'!$D:$D,'Attrition Modeling'!$B:$B,$E57,'Attrition Modeling'!$C:$C,BR$11),VLOOKUP(RentalsVacates!BR$12-RentalsVacates!$F57-1,RentalsVacates!$A$8:$C$162,2,FALSE)*VLOOKUP(BR$11,'Attrition Modeling'!$L$15:$N$27,IF(BR$12-$F57&lt;=24,2,3),FALSE))*(1+IF('Traditional Attrition'!BR179&gt;0,'Attrition Modeling'!$N$9,0))),0))</f>
        <v>1681.9448178637874</v>
      </c>
      <c r="BS57" s="799">
        <f>IF(BS$12=$F57+1,IF(Monthly!BO$4=TRUE,0,BS$3),IF(BS$12&gt;$F57+1,RentalsVacates!BR57*(1-IF(BS$12-$F57&lt;=12,SUMIFS('Attrition Modeling'!$D:$D,'Attrition Modeling'!$B:$B,$E57,'Attrition Modeling'!$C:$C,BS$11),VLOOKUP(RentalsVacates!BS$12-RentalsVacates!$F57-1,RentalsVacates!$A$8:$C$162,2,FALSE)*VLOOKUP(BS$11,'Attrition Modeling'!$L$15:$N$27,IF(BS$12-$F57&lt;=24,2,3),FALSE))*(1+IF('Traditional Attrition'!BS179&gt;0,'Attrition Modeling'!$N$9,0))),0))</f>
        <v>1614.7761460951974</v>
      </c>
      <c r="BT57" s="799">
        <f>IF(BT$11=$F56+1,IF(Monthly!#REF!=TRUE,0,BT$3),IF(BT$11&gt;$F56+1,RentalsVacates!BS56*(1-IF(BT$11-$F56&lt;=12,SUMIFS('Attrition Modeling'!$D:$D,'Attrition Modeling'!$B:$B,$E56,'Attrition Modeling'!$C:$C,BT$10),VLOOKUP(RentalsVacates!BT$11-RentalsVacates!$F56-1,RentalsVacates!$A$7:$C$161,2,FALSE)*VLOOKUP(BT$10,'Attrition Modeling'!$L$15:$N$27,IF(BT$11-$F56&lt;=24,2,3),FALSE))*(1+IF('Traditional Attrition'!BT179&gt;0,'Attrition Modeling'!$N$9,0))),0))</f>
        <v>0</v>
      </c>
      <c r="BU57" s="799">
        <f>IF(BU$11=$F56+1,IF(Monthly!#REF!=TRUE,0,BU$3),IF(BU$11&gt;$F56+1,RentalsVacates!BT56*(1-IF(BU$11-$F56&lt;=12,SUMIFS('Attrition Modeling'!$D:$D,'Attrition Modeling'!$B:$B,$E56,'Attrition Modeling'!$C:$C,BU$10),VLOOKUP(RentalsVacates!BU$11-RentalsVacates!$F56-1,RentalsVacates!$A$7:$C$161,2,FALSE)*VLOOKUP(BU$10,'Attrition Modeling'!$L$15:$N$27,IF(BU$11-$F56&lt;=24,2,3),FALSE))*(1+IF('Traditional Attrition'!BU179&gt;0,'Attrition Modeling'!$N$9,0))),0))</f>
        <v>0</v>
      </c>
    </row>
    <row r="58" spans="1:73" ht="14.25" customHeight="1" x14ac:dyDescent="0.2">
      <c r="A58" s="9">
        <v>50</v>
      </c>
      <c r="B58" s="25">
        <f>MAX('Attrition Modeling'!H54,$C$3)*(1-Summary!$C$20)</f>
        <v>2.4992696715136584E-2</v>
      </c>
      <c r="C58" s="24" t="e">
        <f t="shared" si="2"/>
        <v>#DIV/0!</v>
      </c>
      <c r="E58" s="11">
        <f>'Traditional Attrition'!E115</f>
        <v>9</v>
      </c>
      <c r="F58" s="11">
        <f t="shared" si="4"/>
        <v>45</v>
      </c>
      <c r="G58" s="799"/>
      <c r="H58" s="799">
        <f>IF(H$12=$F58+1,IF(Monthly!D$4=TRUE,0,H$3),IF(H$12&gt;$F58+1,RentalsVacates!G58*(1-IF(H$12-$F58&lt;=12,SUMIFS('Attrition Modeling'!$D:$D,'Attrition Modeling'!$B:$B,$E58,'Attrition Modeling'!$C:$C,H$11),VLOOKUP(RentalsVacates!H$12-RentalsVacates!$F58-1,RentalsVacates!$A$8:$C$162,2,FALSE)*VLOOKUP(H$11,'Attrition Modeling'!$L$15:$N$27,IF(H$12-$F58&lt;=24,2,3),FALSE))*(1+IF('Traditional Attrition'!H180&gt;0,'Attrition Modeling'!$N$9,0))),0))</f>
        <v>0</v>
      </c>
      <c r="I58" s="799">
        <f>IF(I$12=$F58+1,IF(Monthly!E$4=TRUE,0,I$3),IF(I$12&gt;$F58+1,RentalsVacates!H58*(1-IF(I$12-$F58&lt;=12,SUMIFS('Attrition Modeling'!$D:$D,'Attrition Modeling'!$B:$B,$E58,'Attrition Modeling'!$C:$C,I$11),VLOOKUP(RentalsVacates!I$12-RentalsVacates!$F58-1,RentalsVacates!$A$8:$C$162,2,FALSE)*VLOOKUP(I$11,'Attrition Modeling'!$L$15:$N$27,IF(I$12-$F58&lt;=24,2,3),FALSE))*(1+IF('Traditional Attrition'!I180&gt;0,'Attrition Modeling'!$N$9,0))),0))</f>
        <v>0</v>
      </c>
      <c r="J58" s="799">
        <f>IF(J$12=$F58+1,IF(Monthly!F$4=TRUE,0,J$3),IF(J$12&gt;$F58+1,RentalsVacates!I58*(1-IF(J$12-$F58&lt;=12,SUMIFS('Attrition Modeling'!$D:$D,'Attrition Modeling'!$B:$B,$E58,'Attrition Modeling'!$C:$C,J$11),VLOOKUP(RentalsVacates!J$12-RentalsVacates!$F58-1,RentalsVacates!$A$8:$C$162,2,FALSE)*VLOOKUP(J$11,'Attrition Modeling'!$L$15:$N$27,IF(J$12-$F58&lt;=24,2,3),FALSE))*(1+IF('Traditional Attrition'!J180&gt;0,'Attrition Modeling'!$N$9,0))),0))</f>
        <v>0</v>
      </c>
      <c r="K58" s="799">
        <f>IF(K$12=$F58+1,IF(Monthly!G$4=TRUE,0,K$3),IF(K$12&gt;$F58+1,RentalsVacates!J58*(1-IF(K$12-$F58&lt;=12,SUMIFS('Attrition Modeling'!$D:$D,'Attrition Modeling'!$B:$B,$E58,'Attrition Modeling'!$C:$C,K$11),VLOOKUP(RentalsVacates!K$12-RentalsVacates!$F58-1,RentalsVacates!$A$8:$C$162,2,FALSE)*VLOOKUP(K$11,'Attrition Modeling'!$L$15:$N$27,IF(K$12-$F58&lt;=24,2,3),FALSE))*(1+IF('Traditional Attrition'!K180&gt;0,'Attrition Modeling'!$N$9,0))),0))</f>
        <v>0</v>
      </c>
      <c r="L58" s="799">
        <f>IF(L$12=$F58+1,IF(Monthly!H$4=TRUE,0,L$3),IF(L$12&gt;$F58+1,RentalsVacates!K58*(1-IF(L$12-$F58&lt;=12,SUMIFS('Attrition Modeling'!$D:$D,'Attrition Modeling'!$B:$B,$E58,'Attrition Modeling'!$C:$C,L$11),VLOOKUP(RentalsVacates!L$12-RentalsVacates!$F58-1,RentalsVacates!$A$8:$C$162,2,FALSE)*VLOOKUP(L$11,'Attrition Modeling'!$L$15:$N$27,IF(L$12-$F58&lt;=24,2,3),FALSE))*(1+IF('Traditional Attrition'!L180&gt;0,'Attrition Modeling'!$N$9,0))),0))</f>
        <v>0</v>
      </c>
      <c r="M58" s="799">
        <f>IF(M$12=$F58+1,IF(Monthly!I$4=TRUE,0,M$3),IF(M$12&gt;$F58+1,RentalsVacates!L58*(1-IF(M$12-$F58&lt;=12,SUMIFS('Attrition Modeling'!$D:$D,'Attrition Modeling'!$B:$B,$E58,'Attrition Modeling'!$C:$C,M$11),VLOOKUP(RentalsVacates!M$12-RentalsVacates!$F58-1,RentalsVacates!$A$8:$C$162,2,FALSE)*VLOOKUP(M$11,'Attrition Modeling'!$L$15:$N$27,IF(M$12-$F58&lt;=24,2,3),FALSE))*(1+IF('Traditional Attrition'!M180&gt;0,'Attrition Modeling'!$N$9,0))),0))</f>
        <v>0</v>
      </c>
      <c r="N58" s="799">
        <f>IF(N$12=$F58+1,IF(Monthly!J$4=TRUE,0,N$3),IF(N$12&gt;$F58+1,RentalsVacates!M58*(1-IF(N$12-$F58&lt;=12,SUMIFS('Attrition Modeling'!$D:$D,'Attrition Modeling'!$B:$B,$E58,'Attrition Modeling'!$C:$C,N$11),VLOOKUP(RentalsVacates!N$12-RentalsVacates!$F58-1,RentalsVacates!$A$8:$C$162,2,FALSE)*VLOOKUP(N$11,'Attrition Modeling'!$L$15:$N$27,IF(N$12-$F58&lt;=24,2,3),FALSE))*(1+IF('Traditional Attrition'!N180&gt;0,'Attrition Modeling'!$N$9,0))),0))</f>
        <v>0</v>
      </c>
      <c r="O58" s="799">
        <f>IF(O$12=$F58+1,IF(Monthly!K$4=TRUE,0,O$3),IF(O$12&gt;$F58+1,RentalsVacates!N58*(1-IF(O$12-$F58&lt;=12,SUMIFS('Attrition Modeling'!$D:$D,'Attrition Modeling'!$B:$B,$E58,'Attrition Modeling'!$C:$C,O$11),VLOOKUP(RentalsVacates!O$12-RentalsVacates!$F58-1,RentalsVacates!$A$8:$C$162,2,FALSE)*VLOOKUP(O$11,'Attrition Modeling'!$L$15:$N$27,IF(O$12-$F58&lt;=24,2,3),FALSE))*(1+IF('Traditional Attrition'!O180&gt;0,'Attrition Modeling'!$N$9,0))),0))</f>
        <v>0</v>
      </c>
      <c r="P58" s="799">
        <f>IF(P$12=$F58+1,IF(Monthly!L$4=TRUE,0,P$3),IF(P$12&gt;$F58+1,RentalsVacates!O58*(1-IF(P$12-$F58&lt;=12,SUMIFS('Attrition Modeling'!$D:$D,'Attrition Modeling'!$B:$B,$E58,'Attrition Modeling'!$C:$C,P$11),VLOOKUP(RentalsVacates!P$12-RentalsVacates!$F58-1,RentalsVacates!$A$8:$C$162,2,FALSE)*VLOOKUP(P$11,'Attrition Modeling'!$L$15:$N$27,IF(P$12-$F58&lt;=24,2,3),FALSE))*(1+IF('Traditional Attrition'!P180&gt;0,'Attrition Modeling'!$N$9,0))),0))</f>
        <v>0</v>
      </c>
      <c r="Q58" s="799">
        <f>IF(Q$12=$F58+1,IF(Monthly!M$4=TRUE,0,Q$3),IF(Q$12&gt;$F58+1,RentalsVacates!P58*(1-IF(Q$12-$F58&lt;=12,SUMIFS('Attrition Modeling'!$D:$D,'Attrition Modeling'!$B:$B,$E58,'Attrition Modeling'!$C:$C,Q$11),VLOOKUP(RentalsVacates!Q$12-RentalsVacates!$F58-1,RentalsVacates!$A$8:$C$162,2,FALSE)*VLOOKUP(Q$11,'Attrition Modeling'!$L$15:$N$27,IF(Q$12-$F58&lt;=24,2,3),FALSE))*(1+IF('Traditional Attrition'!Q180&gt;0,'Attrition Modeling'!$N$9,0))),0))</f>
        <v>0</v>
      </c>
      <c r="R58" s="799">
        <f>IF(R$12=$F58+1,IF(Monthly!N$4=TRUE,0,R$3),IF(R$12&gt;$F58+1,RentalsVacates!Q58*(1-IF(R$12-$F58&lt;=12,SUMIFS('Attrition Modeling'!$D:$D,'Attrition Modeling'!$B:$B,$E58,'Attrition Modeling'!$C:$C,R$11),VLOOKUP(RentalsVacates!R$12-RentalsVacates!$F58-1,RentalsVacates!$A$8:$C$162,2,FALSE)*VLOOKUP(R$11,'Attrition Modeling'!$L$15:$N$27,IF(R$12-$F58&lt;=24,2,3),FALSE))*(1+IF('Traditional Attrition'!R180&gt;0,'Attrition Modeling'!$N$9,0))),0))</f>
        <v>0</v>
      </c>
      <c r="S58" s="799">
        <f>IF(S$12=$F58+1,IF(Monthly!O$4=TRUE,0,S$3),IF(S$12&gt;$F58+1,RentalsVacates!R58*(1-IF(S$12-$F58&lt;=12,SUMIFS('Attrition Modeling'!$D:$D,'Attrition Modeling'!$B:$B,$E58,'Attrition Modeling'!$C:$C,S$11),VLOOKUP(RentalsVacates!S$12-RentalsVacates!$F58-1,RentalsVacates!$A$8:$C$162,2,FALSE)*VLOOKUP(S$11,'Attrition Modeling'!$L$15:$N$27,IF(S$12-$F58&lt;=24,2,3),FALSE))*(1+IF('Traditional Attrition'!S180&gt;0,'Attrition Modeling'!$N$9,0))),0))</f>
        <v>0</v>
      </c>
      <c r="T58" s="799">
        <f>IF(T$12=$F58+1,IF(Monthly!P$4=TRUE,0,T$3),IF(T$12&gt;$F58+1,RentalsVacates!S58*(1-IF(T$12-$F58&lt;=12,SUMIFS('Attrition Modeling'!$D:$D,'Attrition Modeling'!$B:$B,$E58,'Attrition Modeling'!$C:$C,T$11),VLOOKUP(RentalsVacates!T$12-RentalsVacates!$F58-1,RentalsVacates!$A$8:$C$162,2,FALSE)*VLOOKUP(T$11,'Attrition Modeling'!$L$15:$N$27,IF(T$12-$F58&lt;=24,2,3),FALSE))*(1+IF('Traditional Attrition'!T180&gt;0,'Attrition Modeling'!$N$9,0))),0))</f>
        <v>0</v>
      </c>
      <c r="U58" s="799">
        <f>IF(U$12=$F58+1,IF(Monthly!Q$4=TRUE,0,U$3),IF(U$12&gt;$F58+1,RentalsVacates!T58*(1-IF(U$12-$F58&lt;=12,SUMIFS('Attrition Modeling'!$D:$D,'Attrition Modeling'!$B:$B,$E58,'Attrition Modeling'!$C:$C,U$11),VLOOKUP(RentalsVacates!U$12-RentalsVacates!$F58-1,RentalsVacates!$A$8:$C$162,2,FALSE)*VLOOKUP(U$11,'Attrition Modeling'!$L$15:$N$27,IF(U$12-$F58&lt;=24,2,3),FALSE))*(1+IF('Traditional Attrition'!U180&gt;0,'Attrition Modeling'!$N$9,0))),0))</f>
        <v>0</v>
      </c>
      <c r="V58" s="799">
        <f>IF(V$12=$F58+1,IF(Monthly!R$4=TRUE,0,V$3),IF(V$12&gt;$F58+1,RentalsVacates!U58*(1-IF(V$12-$F58&lt;=12,SUMIFS('Attrition Modeling'!$D:$D,'Attrition Modeling'!$B:$B,$E58,'Attrition Modeling'!$C:$C,V$11),VLOOKUP(RentalsVacates!V$12-RentalsVacates!$F58-1,RentalsVacates!$A$8:$C$162,2,FALSE)*VLOOKUP(V$11,'Attrition Modeling'!$L$15:$N$27,IF(V$12-$F58&lt;=24,2,3),FALSE))*(1+IF('Traditional Attrition'!V180&gt;0,'Attrition Modeling'!$N$9,0))),0))</f>
        <v>0</v>
      </c>
      <c r="W58" s="799">
        <f>IF(W$12=$F58+1,IF(Monthly!S$4=TRUE,0,W$3),IF(W$12&gt;$F58+1,RentalsVacates!V58*(1-IF(W$12-$F58&lt;=12,SUMIFS('Attrition Modeling'!$D:$D,'Attrition Modeling'!$B:$B,$E58,'Attrition Modeling'!$C:$C,W$11),VLOOKUP(RentalsVacates!W$12-RentalsVacates!$F58-1,RentalsVacates!$A$8:$C$162,2,FALSE)*VLOOKUP(W$11,'Attrition Modeling'!$L$15:$N$27,IF(W$12-$F58&lt;=24,2,3),FALSE))*(1+IF('Traditional Attrition'!W180&gt;0,'Attrition Modeling'!$N$9,0))),0))</f>
        <v>0</v>
      </c>
      <c r="X58" s="799">
        <f>IF(X$12=$F58+1,IF(Monthly!T$4=TRUE,0,X$3),IF(X$12&gt;$F58+1,RentalsVacates!W58*(1-IF(X$12-$F58&lt;=12,SUMIFS('Attrition Modeling'!$D:$D,'Attrition Modeling'!$B:$B,$E58,'Attrition Modeling'!$C:$C,X$11),VLOOKUP(RentalsVacates!X$12-RentalsVacates!$F58-1,RentalsVacates!$A$8:$C$162,2,FALSE)*VLOOKUP(X$11,'Attrition Modeling'!$L$15:$N$27,IF(X$12-$F58&lt;=24,2,3),FALSE))*(1+IF('Traditional Attrition'!X180&gt;0,'Attrition Modeling'!$N$9,0))),0))</f>
        <v>0</v>
      </c>
      <c r="Y58" s="799">
        <f>IF(Y$12=$F58+1,IF(Monthly!U$4=TRUE,0,Y$3),IF(Y$12&gt;$F58+1,RentalsVacates!X58*(1-IF(Y$12-$F58&lt;=12,SUMIFS('Attrition Modeling'!$D:$D,'Attrition Modeling'!$B:$B,$E58,'Attrition Modeling'!$C:$C,Y$11),VLOOKUP(RentalsVacates!Y$12-RentalsVacates!$F58-1,RentalsVacates!$A$8:$C$162,2,FALSE)*VLOOKUP(Y$11,'Attrition Modeling'!$L$15:$N$27,IF(Y$12-$F58&lt;=24,2,3),FALSE))*(1+IF('Traditional Attrition'!Y180&gt;0,'Attrition Modeling'!$N$9,0))),0))</f>
        <v>0</v>
      </c>
      <c r="Z58" s="799">
        <f>IF(Z$12=$F58+1,IF(Monthly!V$4=TRUE,0,Z$3),IF(Z$12&gt;$F58+1,RentalsVacates!Y58*(1-IF(Z$12-$F58&lt;=12,SUMIFS('Attrition Modeling'!$D:$D,'Attrition Modeling'!$B:$B,$E58,'Attrition Modeling'!$C:$C,Z$11),VLOOKUP(RentalsVacates!Z$12-RentalsVacates!$F58-1,RentalsVacates!$A$8:$C$162,2,FALSE)*VLOOKUP(Z$11,'Attrition Modeling'!$L$15:$N$27,IF(Z$12-$F58&lt;=24,2,3),FALSE))*(1+IF('Traditional Attrition'!Z180&gt;0,'Attrition Modeling'!$N$9,0))),0))</f>
        <v>0</v>
      </c>
      <c r="AA58" s="799">
        <f>IF(AA$12=$F58+1,IF(Monthly!W$4=TRUE,0,AA$3),IF(AA$12&gt;$F58+1,RentalsVacates!Z58*(1-IF(AA$12-$F58&lt;=12,SUMIFS('Attrition Modeling'!$D:$D,'Attrition Modeling'!$B:$B,$E58,'Attrition Modeling'!$C:$C,AA$11),VLOOKUP(RentalsVacates!AA$12-RentalsVacates!$F58-1,RentalsVacates!$A$8:$C$162,2,FALSE)*VLOOKUP(AA$11,'Attrition Modeling'!$L$15:$N$27,IF(AA$12-$F58&lt;=24,2,3),FALSE))*(1+IF('Traditional Attrition'!AA180&gt;0,'Attrition Modeling'!$N$9,0))),0))</f>
        <v>0</v>
      </c>
      <c r="AB58" s="799">
        <f>IF(AB$12=$F58+1,IF(Monthly!X$4=TRUE,0,AB$3),IF(AB$12&gt;$F58+1,RentalsVacates!AA58*(1-IF(AB$12-$F58&lt;=12,SUMIFS('Attrition Modeling'!$D:$D,'Attrition Modeling'!$B:$B,$E58,'Attrition Modeling'!$C:$C,AB$11),VLOOKUP(RentalsVacates!AB$12-RentalsVacates!$F58-1,RentalsVacates!$A$8:$C$162,2,FALSE)*VLOOKUP(AB$11,'Attrition Modeling'!$L$15:$N$27,IF(AB$12-$F58&lt;=24,2,3),FALSE))*(1+IF('Traditional Attrition'!AB180&gt;0,'Attrition Modeling'!$N$9,0))),0))</f>
        <v>0</v>
      </c>
      <c r="AC58" s="799">
        <f>IF(AC$12=$F58+1,IF(Monthly!Y$4=TRUE,0,AC$3),IF(AC$12&gt;$F58+1,RentalsVacates!AB58*(1-IF(AC$12-$F58&lt;=12,SUMIFS('Attrition Modeling'!$D:$D,'Attrition Modeling'!$B:$B,$E58,'Attrition Modeling'!$C:$C,AC$11),VLOOKUP(RentalsVacates!AC$12-RentalsVacates!$F58-1,RentalsVacates!$A$8:$C$162,2,FALSE)*VLOOKUP(AC$11,'Attrition Modeling'!$L$15:$N$27,IF(AC$12-$F58&lt;=24,2,3),FALSE))*(1+IF('Traditional Attrition'!AC180&gt;0,'Attrition Modeling'!$N$9,0))),0))</f>
        <v>0</v>
      </c>
      <c r="AD58" s="799">
        <f>IF(AD$12=$F58+1,IF(Monthly!Z$4=TRUE,0,AD$3),IF(AD$12&gt;$F58+1,RentalsVacates!AC58*(1-IF(AD$12-$F58&lt;=12,SUMIFS('Attrition Modeling'!$D:$D,'Attrition Modeling'!$B:$B,$E58,'Attrition Modeling'!$C:$C,AD$11),VLOOKUP(RentalsVacates!AD$12-RentalsVacates!$F58-1,RentalsVacates!$A$8:$C$162,2,FALSE)*VLOOKUP(AD$11,'Attrition Modeling'!$L$15:$N$27,IF(AD$12-$F58&lt;=24,2,3),FALSE))*(1+IF('Traditional Attrition'!AD180&gt;0,'Attrition Modeling'!$N$9,0))),0))</f>
        <v>0</v>
      </c>
      <c r="AE58" s="799">
        <f>IF(AE$12=$F58+1,IF(Monthly!AA$4=TRUE,0,AE$3),IF(AE$12&gt;$F58+1,RentalsVacates!AD58*(1-IF(AE$12-$F58&lt;=12,SUMIFS('Attrition Modeling'!$D:$D,'Attrition Modeling'!$B:$B,$E58,'Attrition Modeling'!$C:$C,AE$11),VLOOKUP(RentalsVacates!AE$12-RentalsVacates!$F58-1,RentalsVacates!$A$8:$C$162,2,FALSE)*VLOOKUP(AE$11,'Attrition Modeling'!$L$15:$N$27,IF(AE$12-$F58&lt;=24,2,3),FALSE))*(1+IF('Traditional Attrition'!AE180&gt;0,'Attrition Modeling'!$N$9,0))),0))</f>
        <v>0</v>
      </c>
      <c r="AF58" s="799">
        <f>IF(AF$12=$F58+1,IF(Monthly!AB$4=TRUE,0,AF$3),IF(AF$12&gt;$F58+1,RentalsVacates!AE58*(1-IF(AF$12-$F58&lt;=12,SUMIFS('Attrition Modeling'!$D:$D,'Attrition Modeling'!$B:$B,$E58,'Attrition Modeling'!$C:$C,AF$11),VLOOKUP(RentalsVacates!AF$12-RentalsVacates!$F58-1,RentalsVacates!$A$8:$C$162,2,FALSE)*VLOOKUP(AF$11,'Attrition Modeling'!$L$15:$N$27,IF(AF$12-$F58&lt;=24,2,3),FALSE))*(1+IF('Traditional Attrition'!AF180&gt;0,'Attrition Modeling'!$N$9,0))),0))</f>
        <v>0</v>
      </c>
      <c r="AG58" s="799">
        <f>IF(AG$12=$F58+1,IF(Monthly!AC$4=TRUE,0,AG$3),IF(AG$12&gt;$F58+1,RentalsVacates!AF58*(1-IF(AG$12-$F58&lt;=12,SUMIFS('Attrition Modeling'!$D:$D,'Attrition Modeling'!$B:$B,$E58,'Attrition Modeling'!$C:$C,AG$11),VLOOKUP(RentalsVacates!AG$12-RentalsVacates!$F58-1,RentalsVacates!$A$8:$C$162,2,FALSE)*VLOOKUP(AG$11,'Attrition Modeling'!$L$15:$N$27,IF(AG$12-$F58&lt;=24,2,3),FALSE))*(1+IF('Traditional Attrition'!AG180&gt;0,'Attrition Modeling'!$N$9,0))),0))</f>
        <v>0</v>
      </c>
      <c r="AH58" s="799">
        <f>IF(AH$12=$F58+1,IF(Monthly!AD$4=TRUE,0,AH$3),IF(AH$12&gt;$F58+1,RentalsVacates!AG58*(1-IF(AH$12-$F58&lt;=12,SUMIFS('Attrition Modeling'!$D:$D,'Attrition Modeling'!$B:$B,$E58,'Attrition Modeling'!$C:$C,AH$11),VLOOKUP(RentalsVacates!AH$12-RentalsVacates!$F58-1,RentalsVacates!$A$8:$C$162,2,FALSE)*VLOOKUP(AH$11,'Attrition Modeling'!$L$15:$N$27,IF(AH$12-$F58&lt;=24,2,3),FALSE))*(1+IF('Traditional Attrition'!AH180&gt;0,'Attrition Modeling'!$N$9,0))),0))</f>
        <v>0</v>
      </c>
      <c r="AI58" s="799">
        <f>IF(AI$12=$F58+1,IF(Monthly!AE$4=TRUE,0,AI$3),IF(AI$12&gt;$F58+1,RentalsVacates!AH58*(1-IF(AI$12-$F58&lt;=12,SUMIFS('Attrition Modeling'!$D:$D,'Attrition Modeling'!$B:$B,$E58,'Attrition Modeling'!$C:$C,AI$11),VLOOKUP(RentalsVacates!AI$12-RentalsVacates!$F58-1,RentalsVacates!$A$8:$C$162,2,FALSE)*VLOOKUP(AI$11,'Attrition Modeling'!$L$15:$N$27,IF(AI$12-$F58&lt;=24,2,3),FALSE))*(1+IF('Traditional Attrition'!AI180&gt;0,'Attrition Modeling'!$N$9,0))),0))</f>
        <v>0</v>
      </c>
      <c r="AJ58" s="799">
        <f>IF(AJ$12=$F58+1,IF(Monthly!AF$4=TRUE,0,AJ$3),IF(AJ$12&gt;$F58+1,RentalsVacates!AI58*(1-IF(AJ$12-$F58&lt;=12,SUMIFS('Attrition Modeling'!$D:$D,'Attrition Modeling'!$B:$B,$E58,'Attrition Modeling'!$C:$C,AJ$11),VLOOKUP(RentalsVacates!AJ$12-RentalsVacates!$F58-1,RentalsVacates!$A$8:$C$162,2,FALSE)*VLOOKUP(AJ$11,'Attrition Modeling'!$L$15:$N$27,IF(AJ$12-$F58&lt;=24,2,3),FALSE))*(1+IF('Traditional Attrition'!AJ180&gt;0,'Attrition Modeling'!$N$9,0))),0))</f>
        <v>0</v>
      </c>
      <c r="AK58" s="799">
        <f>IF(AK$12=$F58+1,IF(Monthly!AG$4=TRUE,0,AK$3),IF(AK$12&gt;$F58+1,RentalsVacates!AJ58*(1-IF(AK$12-$F58&lt;=12,SUMIFS('Attrition Modeling'!$D:$D,'Attrition Modeling'!$B:$B,$E58,'Attrition Modeling'!$C:$C,AK$11),VLOOKUP(RentalsVacates!AK$12-RentalsVacates!$F58-1,RentalsVacates!$A$8:$C$162,2,FALSE)*VLOOKUP(AK$11,'Attrition Modeling'!$L$15:$N$27,IF(AK$12-$F58&lt;=24,2,3),FALSE))*(1+IF('Traditional Attrition'!AK180&gt;0,'Attrition Modeling'!$N$9,0))),0))</f>
        <v>0</v>
      </c>
      <c r="AL58" s="799">
        <f>IF(AL$12=$F58+1,IF(Monthly!AH$4=TRUE,0,AL$3),IF(AL$12&gt;$F58+1,RentalsVacates!AK58*(1-IF(AL$12-$F58&lt;=12,SUMIFS('Attrition Modeling'!$D:$D,'Attrition Modeling'!$B:$B,$E58,'Attrition Modeling'!$C:$C,AL$11),VLOOKUP(RentalsVacates!AL$12-RentalsVacates!$F58-1,RentalsVacates!$A$8:$C$162,2,FALSE)*VLOOKUP(AL$11,'Attrition Modeling'!$L$15:$N$27,IF(AL$12-$F58&lt;=24,2,3),FALSE))*(1+IF('Traditional Attrition'!AL180&gt;0,'Attrition Modeling'!$N$9,0))),0))</f>
        <v>0</v>
      </c>
      <c r="AM58" s="799">
        <f>IF(AM$12=$F58+1,IF(Monthly!AI$4=TRUE,0,AM$3),IF(AM$12&gt;$F58+1,RentalsVacates!AL58*(1-IF(AM$12-$F58&lt;=12,SUMIFS('Attrition Modeling'!$D:$D,'Attrition Modeling'!$B:$B,$E58,'Attrition Modeling'!$C:$C,AM$11),VLOOKUP(RentalsVacates!AM$12-RentalsVacates!$F58-1,RentalsVacates!$A$8:$C$162,2,FALSE)*VLOOKUP(AM$11,'Attrition Modeling'!$L$15:$N$27,IF(AM$12-$F58&lt;=24,2,3),FALSE))*(1+IF('Traditional Attrition'!AM180&gt;0,'Attrition Modeling'!$N$9,0))),0))</f>
        <v>0</v>
      </c>
      <c r="AN58" s="799">
        <f>IF(AN$12=$F58+1,IF(Monthly!AJ$4=TRUE,0,AN$3),IF(AN$12&gt;$F58+1,RentalsVacates!AM58*(1-IF(AN$12-$F58&lt;=12,SUMIFS('Attrition Modeling'!$D:$D,'Attrition Modeling'!$B:$B,$E58,'Attrition Modeling'!$C:$C,AN$11),VLOOKUP(RentalsVacates!AN$12-RentalsVacates!$F58-1,RentalsVacates!$A$8:$C$162,2,FALSE)*VLOOKUP(AN$11,'Attrition Modeling'!$L$15:$N$27,IF(AN$12-$F58&lt;=24,2,3),FALSE))*(1+IF('Traditional Attrition'!AN180&gt;0,'Attrition Modeling'!$N$9,0))),0))</f>
        <v>0</v>
      </c>
      <c r="AO58" s="799">
        <f>IF(AO$12=$F58+1,IF(Monthly!AK$4=TRUE,0,AO$3),IF(AO$12&gt;$F58+1,RentalsVacates!AN58*(1-IF(AO$12-$F58&lt;=12,SUMIFS('Attrition Modeling'!$D:$D,'Attrition Modeling'!$B:$B,$E58,'Attrition Modeling'!$C:$C,AO$11),VLOOKUP(RentalsVacates!AO$12-RentalsVacates!$F58-1,RentalsVacates!$A$8:$C$162,2,FALSE)*VLOOKUP(AO$11,'Attrition Modeling'!$L$15:$N$27,IF(AO$12-$F58&lt;=24,2,3),FALSE))*(1+IF('Traditional Attrition'!AO180&gt;0,'Attrition Modeling'!$N$9,0))),0))</f>
        <v>0</v>
      </c>
      <c r="AP58" s="799">
        <f>IF(AP$12=$F58+1,IF(Monthly!AL$4=TRUE,0,AP$3),IF(AP$12&gt;$F58+1,RentalsVacates!AO58*(1-IF(AP$12-$F58&lt;=12,SUMIFS('Attrition Modeling'!$D:$D,'Attrition Modeling'!$B:$B,$E58,'Attrition Modeling'!$C:$C,AP$11),VLOOKUP(RentalsVacates!AP$12-RentalsVacates!$F58-1,RentalsVacates!$A$8:$C$162,2,FALSE)*VLOOKUP(AP$11,'Attrition Modeling'!$L$15:$N$27,IF(AP$12-$F58&lt;=24,2,3),FALSE))*(1+IF('Traditional Attrition'!AP180&gt;0,'Attrition Modeling'!$N$9,0))),0))</f>
        <v>0</v>
      </c>
      <c r="AQ58" s="799">
        <f>IF(AQ$12=$F58+1,IF(Monthly!AM$4=TRUE,0,AQ$3),IF(AQ$12&gt;$F58+1,RentalsVacates!AP58*(1-IF(AQ$12-$F58&lt;=12,SUMIFS('Attrition Modeling'!$D:$D,'Attrition Modeling'!$B:$B,$E58,'Attrition Modeling'!$C:$C,AQ$11),VLOOKUP(RentalsVacates!AQ$12-RentalsVacates!$F58-1,RentalsVacates!$A$8:$C$162,2,FALSE)*VLOOKUP(AQ$11,'Attrition Modeling'!$L$15:$N$27,IF(AQ$12-$F58&lt;=24,2,3),FALSE))*(1+IF('Traditional Attrition'!AQ180&gt;0,'Attrition Modeling'!$N$9,0))),0))</f>
        <v>0</v>
      </c>
      <c r="AR58" s="799">
        <f>IF(AR$12=$F58+1,IF(Monthly!AN$4=TRUE,0,AR$3),IF(AR$12&gt;$F58+1,RentalsVacates!AQ58*(1-IF(AR$12-$F58&lt;=12,SUMIFS('Attrition Modeling'!$D:$D,'Attrition Modeling'!$B:$B,$E58,'Attrition Modeling'!$C:$C,AR$11),VLOOKUP(RentalsVacates!AR$12-RentalsVacates!$F58-1,RentalsVacates!$A$8:$C$162,2,FALSE)*VLOOKUP(AR$11,'Attrition Modeling'!$L$15:$N$27,IF(AR$12-$F58&lt;=24,2,3),FALSE))*(1+IF('Traditional Attrition'!AR180&gt;0,'Attrition Modeling'!$N$9,0))),0))</f>
        <v>0</v>
      </c>
      <c r="AS58" s="799">
        <f>IF(AS$12=$F58+1,IF(Monthly!AO$4=TRUE,0,AS$3),IF(AS$12&gt;$F58+1,RentalsVacates!AR58*(1-IF(AS$12-$F58&lt;=12,SUMIFS('Attrition Modeling'!$D:$D,'Attrition Modeling'!$B:$B,$E58,'Attrition Modeling'!$C:$C,AS$11),VLOOKUP(RentalsVacates!AS$12-RentalsVacates!$F58-1,RentalsVacates!$A$8:$C$162,2,FALSE)*VLOOKUP(AS$11,'Attrition Modeling'!$L$15:$N$27,IF(AS$12-$F58&lt;=24,2,3),FALSE))*(1+IF('Traditional Attrition'!AS180&gt;0,'Attrition Modeling'!$N$9,0))),0))</f>
        <v>0</v>
      </c>
      <c r="AT58" s="799">
        <f>IF(AT$12=$F58+1,IF(Monthly!AP$4=TRUE,0,AT$3),IF(AT$12&gt;$F58+1,RentalsVacates!AS58*(1-IF(AT$12-$F58&lt;=12,SUMIFS('Attrition Modeling'!$D:$D,'Attrition Modeling'!$B:$B,$E58,'Attrition Modeling'!$C:$C,AT$11),VLOOKUP(RentalsVacates!AT$12-RentalsVacates!$F58-1,RentalsVacates!$A$8:$C$162,2,FALSE)*VLOOKUP(AT$11,'Attrition Modeling'!$L$15:$N$27,IF(AT$12-$F58&lt;=24,2,3),FALSE))*(1+IF('Traditional Attrition'!AT180&gt;0,'Attrition Modeling'!$N$9,0))),0))</f>
        <v>0</v>
      </c>
      <c r="AU58" s="799">
        <f>IF(AU$12=$F58+1,IF(Monthly!AQ$4=TRUE,0,AU$3),IF(AU$12&gt;$F58+1,RentalsVacates!AT58*(1-IF(AU$12-$F58&lt;=12,SUMIFS('Attrition Modeling'!$D:$D,'Attrition Modeling'!$B:$B,$E58,'Attrition Modeling'!$C:$C,AU$11),VLOOKUP(RentalsVacates!AU$12-RentalsVacates!$F58-1,RentalsVacates!$A$8:$C$162,2,FALSE)*VLOOKUP(AU$11,'Attrition Modeling'!$L$15:$N$27,IF(AU$12-$F58&lt;=24,2,3),FALSE))*(1+IF('Traditional Attrition'!AU180&gt;0,'Attrition Modeling'!$N$9,0))),0))</f>
        <v>0</v>
      </c>
      <c r="AV58" s="799">
        <f>IF(AV$12=$F58+1,IF(Monthly!AR$4=TRUE,0,AV$3),IF(AV$12&gt;$F58+1,RentalsVacates!AU58*(1-IF(AV$12-$F58&lt;=12,SUMIFS('Attrition Modeling'!$D:$D,'Attrition Modeling'!$B:$B,$E58,'Attrition Modeling'!$C:$C,AV$11),VLOOKUP(RentalsVacates!AV$12-RentalsVacates!$F58-1,RentalsVacates!$A$8:$C$162,2,FALSE)*VLOOKUP(AV$11,'Attrition Modeling'!$L$15:$N$27,IF(AV$12-$F58&lt;=24,2,3),FALSE))*(1+IF('Traditional Attrition'!AV180&gt;0,'Attrition Modeling'!$N$9,0))),0))</f>
        <v>0</v>
      </c>
      <c r="AW58" s="799">
        <f>IF(AW$12=$F58+1,IF(Monthly!AS$4=TRUE,0,AW$3),IF(AW$12&gt;$F58+1,RentalsVacates!AV58*(1-IF(AW$12-$F58&lt;=12,SUMIFS('Attrition Modeling'!$D:$D,'Attrition Modeling'!$B:$B,$E58,'Attrition Modeling'!$C:$C,AW$11),VLOOKUP(RentalsVacates!AW$12-RentalsVacates!$F58-1,RentalsVacates!$A$8:$C$162,2,FALSE)*VLOOKUP(AW$11,'Attrition Modeling'!$L$15:$N$27,IF(AW$12-$F58&lt;=24,2,3),FALSE))*(1+IF('Traditional Attrition'!AW180&gt;0,'Attrition Modeling'!$N$9,0))),0))</f>
        <v>0</v>
      </c>
      <c r="AX58" s="799">
        <f>IF(AX$12=$F58+1,IF(Monthly!AT$4=TRUE,0,AX$3),IF(AX$12&gt;$F58+1,RentalsVacates!AW58*(1-IF(AX$12-$F58&lt;=12,SUMIFS('Attrition Modeling'!$D:$D,'Attrition Modeling'!$B:$B,$E58,'Attrition Modeling'!$C:$C,AX$11),VLOOKUP(RentalsVacates!AX$12-RentalsVacates!$F58-1,RentalsVacates!$A$8:$C$162,2,FALSE)*VLOOKUP(AX$11,'Attrition Modeling'!$L$15:$N$27,IF(AX$12-$F58&lt;=24,2,3),FALSE))*(1+IF('Traditional Attrition'!AX180&gt;0,'Attrition Modeling'!$N$9,0))),0))</f>
        <v>0</v>
      </c>
      <c r="AY58" s="799">
        <f>IF(AY$12=$F58+1,IF(Monthly!AU$4=TRUE,0,AY$3),IF(AY$12&gt;$F58+1,RentalsVacates!AX58*(1-IF(AY$12-$F58&lt;=12,SUMIFS('Attrition Modeling'!$D:$D,'Attrition Modeling'!$B:$B,$E58,'Attrition Modeling'!$C:$C,AY$11),VLOOKUP(RentalsVacates!AY$12-RentalsVacates!$F58-1,RentalsVacates!$A$8:$C$162,2,FALSE)*VLOOKUP(AY$11,'Attrition Modeling'!$L$15:$N$27,IF(AY$12-$F58&lt;=24,2,3),FALSE))*(1+IF('Traditional Attrition'!AY180&gt;0,'Attrition Modeling'!$N$9,0))),0))</f>
        <v>0</v>
      </c>
      <c r="AZ58" s="799">
        <f>IF(AZ$12=$F58+1,IF(Monthly!AV$4=TRUE,0,AZ$3),IF(AZ$12&gt;$F58+1,RentalsVacates!AY58*(1-IF(AZ$12-$F58&lt;=12,SUMIFS('Attrition Modeling'!$D:$D,'Attrition Modeling'!$B:$B,$E58,'Attrition Modeling'!$C:$C,AZ$11),VLOOKUP(RentalsVacates!AZ$12-RentalsVacates!$F58-1,RentalsVacates!$A$8:$C$162,2,FALSE)*VLOOKUP(AZ$11,'Attrition Modeling'!$L$15:$N$27,IF(AZ$12-$F58&lt;=24,2,3),FALSE))*(1+IF('Traditional Attrition'!AZ180&gt;0,'Attrition Modeling'!$N$9,0))),0))</f>
        <v>0</v>
      </c>
      <c r="BA58" s="799">
        <f>IF(BA$12=$F58+1,IF(Monthly!AW$4=TRUE,0,BA$3),IF(BA$12&gt;$F58+1,RentalsVacates!AZ58*(1-IF(BA$12-$F58&lt;=12,SUMIFS('Attrition Modeling'!$D:$D,'Attrition Modeling'!$B:$B,$E58,'Attrition Modeling'!$C:$C,BA$11),VLOOKUP(RentalsVacates!BA$12-RentalsVacates!$F58-1,RentalsVacates!$A$8:$C$162,2,FALSE)*VLOOKUP(BA$11,'Attrition Modeling'!$L$15:$N$27,IF(BA$12-$F58&lt;=24,2,3),FALSE))*(1+IF('Traditional Attrition'!BA180&gt;0,'Attrition Modeling'!$N$9,0))),0))</f>
        <v>5307.3040599062078</v>
      </c>
      <c r="BB58" s="799">
        <f>IF(BB$12=$F58+1,IF(Monthly!AX$4=TRUE,0,BB$3),IF(BB$12&gt;$F58+1,RentalsVacates!BA58*(1-IF(BB$12-$F58&lt;=12,SUMIFS('Attrition Modeling'!$D:$D,'Attrition Modeling'!$B:$B,$E58,'Attrition Modeling'!$C:$C,BB$11),VLOOKUP(RentalsVacates!BB$12-RentalsVacates!$F58-1,RentalsVacates!$A$8:$C$162,2,FALSE)*VLOOKUP(BB$11,'Attrition Modeling'!$L$15:$N$27,IF(BB$12-$F58&lt;=24,2,3),FALSE))*(1+IF('Traditional Attrition'!BB180&gt;0,'Attrition Modeling'!$N$9,0))),0))</f>
        <v>4775.6273616017052</v>
      </c>
      <c r="BC58" s="799">
        <f>IF(BC$12=$F58+1,IF(Monthly!AY$4=TRUE,0,BC$3),IF(BC$12&gt;$F58+1,RentalsVacates!BB58*(1-IF(BC$12-$F58&lt;=12,SUMIFS('Attrition Modeling'!$D:$D,'Attrition Modeling'!$B:$B,$E58,'Attrition Modeling'!$C:$C,BC$11),VLOOKUP(RentalsVacates!BC$12-RentalsVacates!$F58-1,RentalsVacates!$A$8:$C$162,2,FALSE)*VLOOKUP(BC$11,'Attrition Modeling'!$L$15:$N$27,IF(BC$12-$F58&lt;=24,2,3),FALSE))*(1+IF('Traditional Attrition'!BC180&gt;0,'Attrition Modeling'!$N$9,0))),0))</f>
        <v>4356.3856374194347</v>
      </c>
      <c r="BD58" s="799">
        <f>IF(BD$12=$F58+1,IF(Monthly!AZ$4=TRUE,0,BD$3),IF(BD$12&gt;$F58+1,RentalsVacates!BC58*(1-IF(BD$12-$F58&lt;=12,SUMIFS('Attrition Modeling'!$D:$D,'Attrition Modeling'!$B:$B,$E58,'Attrition Modeling'!$C:$C,BD$11),VLOOKUP(RentalsVacates!BD$12-RentalsVacates!$F58-1,RentalsVacates!$A$8:$C$162,2,FALSE)*VLOOKUP(BD$11,'Attrition Modeling'!$L$15:$N$27,IF(BD$12-$F58&lt;=24,2,3),FALSE))*(1+IF('Traditional Attrition'!BD180&gt;0,'Attrition Modeling'!$N$9,0))),0))</f>
        <v>3999.9053016684979</v>
      </c>
      <c r="BE58" s="799">
        <f>IF(BE$12=$F58+1,IF(Monthly!BA$4=TRUE,0,BE$3),IF(BE$12&gt;$F58+1,RentalsVacates!BD58*(1-IF(BE$12-$F58&lt;=12,SUMIFS('Attrition Modeling'!$D:$D,'Attrition Modeling'!$B:$B,$E58,'Attrition Modeling'!$C:$C,BE$11),VLOOKUP(RentalsVacates!BE$12-RentalsVacates!$F58-1,RentalsVacates!$A$8:$C$162,2,FALSE)*VLOOKUP(BE$11,'Attrition Modeling'!$L$15:$N$27,IF(BE$12-$F58&lt;=24,2,3),FALSE))*(1+IF('Traditional Attrition'!BE180&gt;0,'Attrition Modeling'!$N$9,0))),0))</f>
        <v>3704.8328875502079</v>
      </c>
      <c r="BF58" s="799">
        <f>IF(BF$12=$F58+1,IF(Monthly!BB$4=TRUE,0,BF$3),IF(BF$12&gt;$F58+1,RentalsVacates!BE58*(1-IF(BF$12-$F58&lt;=12,SUMIFS('Attrition Modeling'!$D:$D,'Attrition Modeling'!$B:$B,$E58,'Attrition Modeling'!$C:$C,BF$11),VLOOKUP(RentalsVacates!BF$12-RentalsVacates!$F58-1,RentalsVacates!$A$8:$C$162,2,FALSE)*VLOOKUP(BF$11,'Attrition Modeling'!$L$15:$N$27,IF(BF$12-$F58&lt;=24,2,3),FALSE))*(1+IF('Traditional Attrition'!BF180&gt;0,'Attrition Modeling'!$N$9,0))),0))</f>
        <v>3325.3273526381199</v>
      </c>
      <c r="BG58" s="799">
        <f>IF(BG$12=$F58+1,IF(Monthly!BC$4=TRUE,0,BG$3),IF(BG$12&gt;$F58+1,RentalsVacates!BF58*(1-IF(BG$12-$F58&lt;=12,SUMIFS('Attrition Modeling'!$D:$D,'Attrition Modeling'!$B:$B,$E58,'Attrition Modeling'!$C:$C,BG$11),VLOOKUP(RentalsVacates!BG$12-RentalsVacates!$F58-1,RentalsVacates!$A$8:$C$162,2,FALSE)*VLOOKUP(BG$11,'Attrition Modeling'!$L$15:$N$27,IF(BG$12-$F58&lt;=24,2,3),FALSE))*(1+IF('Traditional Attrition'!BG180&gt;0,'Attrition Modeling'!$N$9,0))),0))</f>
        <v>3083.6945687681769</v>
      </c>
      <c r="BH58" s="799">
        <f>IF(BH$12=$F58+1,IF(Monthly!BD$4=TRUE,0,BH$3),IF(BH$12&gt;$F58+1,RentalsVacates!BG58*(1-IF(BH$12-$F58&lt;=12,SUMIFS('Attrition Modeling'!$D:$D,'Attrition Modeling'!$B:$B,$E58,'Attrition Modeling'!$C:$C,BH$11),VLOOKUP(RentalsVacates!BH$12-RentalsVacates!$F58-1,RentalsVacates!$A$8:$C$162,2,FALSE)*VLOOKUP(BH$11,'Attrition Modeling'!$L$15:$N$27,IF(BH$12-$F58&lt;=24,2,3),FALSE))*(1+IF('Traditional Attrition'!BH180&gt;0,'Attrition Modeling'!$N$9,0))),0))</f>
        <v>2864.3197353854212</v>
      </c>
      <c r="BI58" s="799">
        <f>IF(BI$12=$F58+1,IF(Monthly!BE$4=TRUE,0,BI$3),IF(BI$12&gt;$F58+1,RentalsVacates!BH58*(1-IF(BI$12-$F58&lt;=12,SUMIFS('Attrition Modeling'!$D:$D,'Attrition Modeling'!$B:$B,$E58,'Attrition Modeling'!$C:$C,BI$11),VLOOKUP(RentalsVacates!BI$12-RentalsVacates!$F58-1,RentalsVacates!$A$8:$C$162,2,FALSE)*VLOOKUP(BI$11,'Attrition Modeling'!$L$15:$N$27,IF(BI$12-$F58&lt;=24,2,3),FALSE))*(1+IF('Traditional Attrition'!BI180&gt;0,'Attrition Modeling'!$N$9,0))),0))</f>
        <v>2667.0808165989533</v>
      </c>
      <c r="BJ58" s="799">
        <f>IF(BJ$12=$F58+1,IF(Monthly!BF$4=TRUE,0,BJ$3),IF(BJ$12&gt;$F58+1,RentalsVacates!BI58*(1-IF(BJ$12-$F58&lt;=12,SUMIFS('Attrition Modeling'!$D:$D,'Attrition Modeling'!$B:$B,$E58,'Attrition Modeling'!$C:$C,BJ$11),VLOOKUP(RentalsVacates!BJ$12-RentalsVacates!$F58-1,RentalsVacates!$A$8:$C$162,2,FALSE)*VLOOKUP(BJ$11,'Attrition Modeling'!$L$15:$N$27,IF(BJ$12-$F58&lt;=24,2,3),FALSE))*(1+IF('Traditional Attrition'!BJ180&gt;0,'Attrition Modeling'!$N$9,0))),0))</f>
        <v>2503.3701419269009</v>
      </c>
      <c r="BK58" s="799">
        <f>IF(BK$12=$F58+1,IF(Monthly!BG$4=TRUE,0,BK$3),IF(BK$12&gt;$F58+1,RentalsVacates!BJ58*(1-IF(BK$12-$F58&lt;=12,SUMIFS('Attrition Modeling'!$D:$D,'Attrition Modeling'!$B:$B,$E58,'Attrition Modeling'!$C:$C,BK$11),VLOOKUP(RentalsVacates!BK$12-RentalsVacates!$F58-1,RentalsVacates!$A$8:$C$162,2,FALSE)*VLOOKUP(BK$11,'Attrition Modeling'!$L$15:$N$27,IF(BK$12-$F58&lt;=24,2,3),FALSE))*(1+IF('Traditional Attrition'!BK180&gt;0,'Attrition Modeling'!$N$9,0))),0))</f>
        <v>2355.8746022424398</v>
      </c>
      <c r="BL58" s="799">
        <f>IF(BL$12=$F58+1,IF(Monthly!BH$4=TRUE,0,BL$3),IF(BL$12&gt;$F58+1,RentalsVacates!BK58*(1-IF(BL$12-$F58&lt;=12,SUMIFS('Attrition Modeling'!$D:$D,'Attrition Modeling'!$B:$B,$E58,'Attrition Modeling'!$C:$C,BL$11),VLOOKUP(RentalsVacates!BL$12-RentalsVacates!$F58-1,RentalsVacates!$A$8:$C$162,2,FALSE)*VLOOKUP(BL$11,'Attrition Modeling'!$L$15:$N$27,IF(BL$12-$F58&lt;=24,2,3),FALSE))*(1+IF('Traditional Attrition'!BL180&gt;0,'Attrition Modeling'!$N$9,0))),0))</f>
        <v>2254.9720689709675</v>
      </c>
      <c r="BM58" s="799">
        <f>IF(BM$12=$F58+1,IF(Monthly!BI$4=TRUE,0,BM$3),IF(BM$12&gt;$F58+1,RentalsVacates!BL58*(1-IF(BM$12-$F58&lt;=12,SUMIFS('Attrition Modeling'!$D:$D,'Attrition Modeling'!$B:$B,$E58,'Attrition Modeling'!$C:$C,BM$11),VLOOKUP(RentalsVacates!BM$12-RentalsVacates!$F58-1,RentalsVacates!$A$8:$C$162,2,FALSE)*VLOOKUP(BM$11,'Attrition Modeling'!$L$15:$N$27,IF(BM$12-$F58&lt;=24,2,3),FALSE))*(1+IF('Traditional Attrition'!BM180&gt;0,'Attrition Modeling'!$N$9,0))),0))</f>
        <v>2127.5521547951034</v>
      </c>
      <c r="BN58" s="799">
        <f>IF(BN$12=$F58+1,IF(Monthly!BJ$4=TRUE,0,BN$3),IF(BN$12&gt;$F58+1,RentalsVacates!BM58*(1-IF(BN$12-$F58&lt;=12,SUMIFS('Attrition Modeling'!$D:$D,'Attrition Modeling'!$B:$B,$E58,'Attrition Modeling'!$C:$C,BN$11),VLOOKUP(RentalsVacates!BN$12-RentalsVacates!$F58-1,RentalsVacates!$A$8:$C$162,2,FALSE)*VLOOKUP(BN$11,'Attrition Modeling'!$L$15:$N$27,IF(BN$12-$F58&lt;=24,2,3),FALSE))*(1+IF('Traditional Attrition'!BN180&gt;0,'Attrition Modeling'!$N$9,0))),0))</f>
        <v>2020.8345349570702</v>
      </c>
      <c r="BO58" s="799">
        <f>IF(BO$12=$F58+1,IF(Monthly!BK$4=TRUE,0,BO$3),IF(BO$12&gt;$F58+1,RentalsVacates!BN58*(1-IF(BO$12-$F58&lt;=12,SUMIFS('Attrition Modeling'!$D:$D,'Attrition Modeling'!$B:$B,$E58,'Attrition Modeling'!$C:$C,BO$11),VLOOKUP(RentalsVacates!BO$12-RentalsVacates!$F58-1,RentalsVacates!$A$8:$C$162,2,FALSE)*VLOOKUP(BO$11,'Attrition Modeling'!$L$15:$N$27,IF(BO$12-$F58&lt;=24,2,3),FALSE))*(1+IF('Traditional Attrition'!BO180&gt;0,'Attrition Modeling'!$N$9,0))),0))</f>
        <v>1925.44589898854</v>
      </c>
      <c r="BP58" s="799">
        <f>IF(BP$12=$F58+1,IF(Monthly!BL$4=TRUE,0,BP$3),IF(BP$12&gt;$F58+1,RentalsVacates!BO58*(1-IF(BP$12-$F58&lt;=12,SUMIFS('Attrition Modeling'!$D:$D,'Attrition Modeling'!$B:$B,$E58,'Attrition Modeling'!$C:$C,BP$11),VLOOKUP(RentalsVacates!BP$12-RentalsVacates!$F58-1,RentalsVacates!$A$8:$C$162,2,FALSE)*VLOOKUP(BP$11,'Attrition Modeling'!$L$15:$N$27,IF(BP$12-$F58&lt;=24,2,3),FALSE))*(1+IF('Traditional Attrition'!BP180&gt;0,'Attrition Modeling'!$N$9,0))),0))</f>
        <v>1837.80087809458</v>
      </c>
      <c r="BQ58" s="799">
        <f>IF(BQ$12=$F58+1,IF(Monthly!BM$4=TRUE,0,BQ$3),IF(BQ$12&gt;$F58+1,RentalsVacates!BP58*(1-IF(BQ$12-$F58&lt;=12,SUMIFS('Attrition Modeling'!$D:$D,'Attrition Modeling'!$B:$B,$E58,'Attrition Modeling'!$C:$C,BQ$11),VLOOKUP(RentalsVacates!BQ$12-RentalsVacates!$F58-1,RentalsVacates!$A$8:$C$162,2,FALSE)*VLOOKUP(BQ$11,'Attrition Modeling'!$L$15:$N$27,IF(BQ$12-$F58&lt;=24,2,3),FALSE))*(1+IF('Traditional Attrition'!BQ180&gt;0,'Attrition Modeling'!$N$9,0))),0))</f>
        <v>1764.5541877875407</v>
      </c>
      <c r="BR58" s="799">
        <f>IF(BR$12=$F58+1,IF(Monthly!BN$4=TRUE,0,BR$3),IF(BR$12&gt;$F58+1,RentalsVacates!BQ58*(1-IF(BR$12-$F58&lt;=12,SUMIFS('Attrition Modeling'!$D:$D,'Attrition Modeling'!$B:$B,$E58,'Attrition Modeling'!$C:$C,BR$11),VLOOKUP(RentalsVacates!BR$12-RentalsVacates!$F58-1,RentalsVacates!$A$8:$C$162,2,FALSE)*VLOOKUP(BR$11,'Attrition Modeling'!$L$15:$N$27,IF(BR$12-$F58&lt;=24,2,3),FALSE))*(1+IF('Traditional Attrition'!BR180&gt;0,'Attrition Modeling'!$N$9,0))),0))</f>
        <v>1674.9617462013719</v>
      </c>
      <c r="BS58" s="799">
        <f>IF(BS$12=$F58+1,IF(Monthly!BO$4=TRUE,0,BS$3),IF(BS$12&gt;$F58+1,RentalsVacates!BR58*(1-IF(BS$12-$F58&lt;=12,SUMIFS('Attrition Modeling'!$D:$D,'Attrition Modeling'!$B:$B,$E58,'Attrition Modeling'!$C:$C,BS$11),VLOOKUP(RentalsVacates!BS$12-RentalsVacates!$F58-1,RentalsVacates!$A$8:$C$162,2,FALSE)*VLOOKUP(BS$11,'Attrition Modeling'!$L$15:$N$27,IF(BS$12-$F58&lt;=24,2,3),FALSE))*(1+IF('Traditional Attrition'!BS180&gt;0,'Attrition Modeling'!$N$9,0))),0))</f>
        <v>1606.7764364989271</v>
      </c>
      <c r="BT58" s="799">
        <f>IF(BT$11=$F57+1,IF(Monthly!#REF!=TRUE,0,BT$3),IF(BT$11&gt;$F57+1,RentalsVacates!BS57*(1-IF(BT$11-$F57&lt;=12,SUMIFS('Attrition Modeling'!$D:$D,'Attrition Modeling'!$B:$B,$E57,'Attrition Modeling'!$C:$C,BT$10),VLOOKUP(RentalsVacates!BT$11-RentalsVacates!$F57-1,RentalsVacates!$A$7:$C$161,2,FALSE)*VLOOKUP(BT$10,'Attrition Modeling'!$L$15:$N$27,IF(BT$11-$F57&lt;=24,2,3),FALSE))*(1+IF('Traditional Attrition'!BT180&gt;0,'Attrition Modeling'!$N$9,0))),0))</f>
        <v>0</v>
      </c>
      <c r="BU58" s="799">
        <f>IF(BU$11=$F57+1,IF(Monthly!#REF!=TRUE,0,BU$3),IF(BU$11&gt;$F57+1,RentalsVacates!BT57*(1-IF(BU$11-$F57&lt;=12,SUMIFS('Attrition Modeling'!$D:$D,'Attrition Modeling'!$B:$B,$E57,'Attrition Modeling'!$C:$C,BU$10),VLOOKUP(RentalsVacates!BU$11-RentalsVacates!$F57-1,RentalsVacates!$A$7:$C$161,2,FALSE)*VLOOKUP(BU$10,'Attrition Modeling'!$L$15:$N$27,IF(BU$11-$F57&lt;=24,2,3),FALSE))*(1+IF('Traditional Attrition'!BU180&gt;0,'Attrition Modeling'!$N$9,0))),0))</f>
        <v>0</v>
      </c>
    </row>
    <row r="59" spans="1:73" ht="14.25" customHeight="1" x14ac:dyDescent="0.2">
      <c r="A59" s="9">
        <v>51</v>
      </c>
      <c r="B59" s="25">
        <f>MAX('Attrition Modeling'!H55,$C$3)*(1-Summary!$C$20)</f>
        <v>2.4688940254515027E-2</v>
      </c>
      <c r="C59" s="24" t="e">
        <f t="shared" si="2"/>
        <v>#DIV/0!</v>
      </c>
      <c r="E59" s="11">
        <f>'Traditional Attrition'!E116</f>
        <v>10</v>
      </c>
      <c r="F59" s="11">
        <f t="shared" si="4"/>
        <v>46</v>
      </c>
      <c r="G59" s="799"/>
      <c r="H59" s="799">
        <f>IF(H$12=$F59+1,IF(Monthly!D$4=TRUE,0,H$3),IF(H$12&gt;$F59+1,RentalsVacates!G59*(1-IF(H$12-$F59&lt;=12,SUMIFS('Attrition Modeling'!$D:$D,'Attrition Modeling'!$B:$B,$E59,'Attrition Modeling'!$C:$C,H$11),VLOOKUP(RentalsVacates!H$12-RentalsVacates!$F59-1,RentalsVacates!$A$8:$C$162,2,FALSE)*VLOOKUP(H$11,'Attrition Modeling'!$L$15:$N$27,IF(H$12-$F59&lt;=24,2,3),FALSE))*(1+IF('Traditional Attrition'!H181&gt;0,'Attrition Modeling'!$N$9,0))),0))</f>
        <v>0</v>
      </c>
      <c r="I59" s="799">
        <f>IF(I$12=$F59+1,IF(Monthly!E$4=TRUE,0,I$3),IF(I$12&gt;$F59+1,RentalsVacates!H59*(1-IF(I$12-$F59&lt;=12,SUMIFS('Attrition Modeling'!$D:$D,'Attrition Modeling'!$B:$B,$E59,'Attrition Modeling'!$C:$C,I$11),VLOOKUP(RentalsVacates!I$12-RentalsVacates!$F59-1,RentalsVacates!$A$8:$C$162,2,FALSE)*VLOOKUP(I$11,'Attrition Modeling'!$L$15:$N$27,IF(I$12-$F59&lt;=24,2,3),FALSE))*(1+IF('Traditional Attrition'!I181&gt;0,'Attrition Modeling'!$N$9,0))),0))</f>
        <v>0</v>
      </c>
      <c r="J59" s="799">
        <f>IF(J$12=$F59+1,IF(Monthly!F$4=TRUE,0,J$3),IF(J$12&gt;$F59+1,RentalsVacates!I59*(1-IF(J$12-$F59&lt;=12,SUMIFS('Attrition Modeling'!$D:$D,'Attrition Modeling'!$B:$B,$E59,'Attrition Modeling'!$C:$C,J$11),VLOOKUP(RentalsVacates!J$12-RentalsVacates!$F59-1,RentalsVacates!$A$8:$C$162,2,FALSE)*VLOOKUP(J$11,'Attrition Modeling'!$L$15:$N$27,IF(J$12-$F59&lt;=24,2,3),FALSE))*(1+IF('Traditional Attrition'!J181&gt;0,'Attrition Modeling'!$N$9,0))),0))</f>
        <v>0</v>
      </c>
      <c r="K59" s="799">
        <f>IF(K$12=$F59+1,IF(Monthly!G$4=TRUE,0,K$3),IF(K$12&gt;$F59+1,RentalsVacates!J59*(1-IF(K$12-$F59&lt;=12,SUMIFS('Attrition Modeling'!$D:$D,'Attrition Modeling'!$B:$B,$E59,'Attrition Modeling'!$C:$C,K$11),VLOOKUP(RentalsVacates!K$12-RentalsVacates!$F59-1,RentalsVacates!$A$8:$C$162,2,FALSE)*VLOOKUP(K$11,'Attrition Modeling'!$L$15:$N$27,IF(K$12-$F59&lt;=24,2,3),FALSE))*(1+IF('Traditional Attrition'!K181&gt;0,'Attrition Modeling'!$N$9,0))),0))</f>
        <v>0</v>
      </c>
      <c r="L59" s="799">
        <f>IF(L$12=$F59+1,IF(Monthly!H$4=TRUE,0,L$3),IF(L$12&gt;$F59+1,RentalsVacates!K59*(1-IF(L$12-$F59&lt;=12,SUMIFS('Attrition Modeling'!$D:$D,'Attrition Modeling'!$B:$B,$E59,'Attrition Modeling'!$C:$C,L$11),VLOOKUP(RentalsVacates!L$12-RentalsVacates!$F59-1,RentalsVacates!$A$8:$C$162,2,FALSE)*VLOOKUP(L$11,'Attrition Modeling'!$L$15:$N$27,IF(L$12-$F59&lt;=24,2,3),FALSE))*(1+IF('Traditional Attrition'!L181&gt;0,'Attrition Modeling'!$N$9,0))),0))</f>
        <v>0</v>
      </c>
      <c r="M59" s="799">
        <f>IF(M$12=$F59+1,IF(Monthly!I$4=TRUE,0,M$3),IF(M$12&gt;$F59+1,RentalsVacates!L59*(1-IF(M$12-$F59&lt;=12,SUMIFS('Attrition Modeling'!$D:$D,'Attrition Modeling'!$B:$B,$E59,'Attrition Modeling'!$C:$C,M$11),VLOOKUP(RentalsVacates!M$12-RentalsVacates!$F59-1,RentalsVacates!$A$8:$C$162,2,FALSE)*VLOOKUP(M$11,'Attrition Modeling'!$L$15:$N$27,IF(M$12-$F59&lt;=24,2,3),FALSE))*(1+IF('Traditional Attrition'!M181&gt;0,'Attrition Modeling'!$N$9,0))),0))</f>
        <v>0</v>
      </c>
      <c r="N59" s="799">
        <f>IF(N$12=$F59+1,IF(Monthly!J$4=TRUE,0,N$3),IF(N$12&gt;$F59+1,RentalsVacates!M59*(1-IF(N$12-$F59&lt;=12,SUMIFS('Attrition Modeling'!$D:$D,'Attrition Modeling'!$B:$B,$E59,'Attrition Modeling'!$C:$C,N$11),VLOOKUP(RentalsVacates!N$12-RentalsVacates!$F59-1,RentalsVacates!$A$8:$C$162,2,FALSE)*VLOOKUP(N$11,'Attrition Modeling'!$L$15:$N$27,IF(N$12-$F59&lt;=24,2,3),FALSE))*(1+IF('Traditional Attrition'!N181&gt;0,'Attrition Modeling'!$N$9,0))),0))</f>
        <v>0</v>
      </c>
      <c r="O59" s="799">
        <f>IF(O$12=$F59+1,IF(Monthly!K$4=TRUE,0,O$3),IF(O$12&gt;$F59+1,RentalsVacates!N59*(1-IF(O$12-$F59&lt;=12,SUMIFS('Attrition Modeling'!$D:$D,'Attrition Modeling'!$B:$B,$E59,'Attrition Modeling'!$C:$C,O$11),VLOOKUP(RentalsVacates!O$12-RentalsVacates!$F59-1,RentalsVacates!$A$8:$C$162,2,FALSE)*VLOOKUP(O$11,'Attrition Modeling'!$L$15:$N$27,IF(O$12-$F59&lt;=24,2,3),FALSE))*(1+IF('Traditional Attrition'!O181&gt;0,'Attrition Modeling'!$N$9,0))),0))</f>
        <v>0</v>
      </c>
      <c r="P59" s="799">
        <f>IF(P$12=$F59+1,IF(Monthly!L$4=TRUE,0,P$3),IF(P$12&gt;$F59+1,RentalsVacates!O59*(1-IF(P$12-$F59&lt;=12,SUMIFS('Attrition Modeling'!$D:$D,'Attrition Modeling'!$B:$B,$E59,'Attrition Modeling'!$C:$C,P$11),VLOOKUP(RentalsVacates!P$12-RentalsVacates!$F59-1,RentalsVacates!$A$8:$C$162,2,FALSE)*VLOOKUP(P$11,'Attrition Modeling'!$L$15:$N$27,IF(P$12-$F59&lt;=24,2,3),FALSE))*(1+IF('Traditional Attrition'!P181&gt;0,'Attrition Modeling'!$N$9,0))),0))</f>
        <v>0</v>
      </c>
      <c r="Q59" s="799">
        <f>IF(Q$12=$F59+1,IF(Monthly!M$4=TRUE,0,Q$3),IF(Q$12&gt;$F59+1,RentalsVacates!P59*(1-IF(Q$12-$F59&lt;=12,SUMIFS('Attrition Modeling'!$D:$D,'Attrition Modeling'!$B:$B,$E59,'Attrition Modeling'!$C:$C,Q$11),VLOOKUP(RentalsVacates!Q$12-RentalsVacates!$F59-1,RentalsVacates!$A$8:$C$162,2,FALSE)*VLOOKUP(Q$11,'Attrition Modeling'!$L$15:$N$27,IF(Q$12-$F59&lt;=24,2,3),FALSE))*(1+IF('Traditional Attrition'!Q181&gt;0,'Attrition Modeling'!$N$9,0))),0))</f>
        <v>0</v>
      </c>
      <c r="R59" s="799">
        <f>IF(R$12=$F59+1,IF(Monthly!N$4=TRUE,0,R$3),IF(R$12&gt;$F59+1,RentalsVacates!Q59*(1-IF(R$12-$F59&lt;=12,SUMIFS('Attrition Modeling'!$D:$D,'Attrition Modeling'!$B:$B,$E59,'Attrition Modeling'!$C:$C,R$11),VLOOKUP(RentalsVacates!R$12-RentalsVacates!$F59-1,RentalsVacates!$A$8:$C$162,2,FALSE)*VLOOKUP(R$11,'Attrition Modeling'!$L$15:$N$27,IF(R$12-$F59&lt;=24,2,3),FALSE))*(1+IF('Traditional Attrition'!R181&gt;0,'Attrition Modeling'!$N$9,0))),0))</f>
        <v>0</v>
      </c>
      <c r="S59" s="799">
        <f>IF(S$12=$F59+1,IF(Monthly!O$4=TRUE,0,S$3),IF(S$12&gt;$F59+1,RentalsVacates!R59*(1-IF(S$12-$F59&lt;=12,SUMIFS('Attrition Modeling'!$D:$D,'Attrition Modeling'!$B:$B,$E59,'Attrition Modeling'!$C:$C,S$11),VLOOKUP(RentalsVacates!S$12-RentalsVacates!$F59-1,RentalsVacates!$A$8:$C$162,2,FALSE)*VLOOKUP(S$11,'Attrition Modeling'!$L$15:$N$27,IF(S$12-$F59&lt;=24,2,3),FALSE))*(1+IF('Traditional Attrition'!S181&gt;0,'Attrition Modeling'!$N$9,0))),0))</f>
        <v>0</v>
      </c>
      <c r="T59" s="799">
        <f>IF(T$12=$F59+1,IF(Monthly!P$4=TRUE,0,T$3),IF(T$12&gt;$F59+1,RentalsVacates!S59*(1-IF(T$12-$F59&lt;=12,SUMIFS('Attrition Modeling'!$D:$D,'Attrition Modeling'!$B:$B,$E59,'Attrition Modeling'!$C:$C,T$11),VLOOKUP(RentalsVacates!T$12-RentalsVacates!$F59-1,RentalsVacates!$A$8:$C$162,2,FALSE)*VLOOKUP(T$11,'Attrition Modeling'!$L$15:$N$27,IF(T$12-$F59&lt;=24,2,3),FALSE))*(1+IF('Traditional Attrition'!T181&gt;0,'Attrition Modeling'!$N$9,0))),0))</f>
        <v>0</v>
      </c>
      <c r="U59" s="799">
        <f>IF(U$12=$F59+1,IF(Monthly!Q$4=TRUE,0,U$3),IF(U$12&gt;$F59+1,RentalsVacates!T59*(1-IF(U$12-$F59&lt;=12,SUMIFS('Attrition Modeling'!$D:$D,'Attrition Modeling'!$B:$B,$E59,'Attrition Modeling'!$C:$C,U$11),VLOOKUP(RentalsVacates!U$12-RentalsVacates!$F59-1,RentalsVacates!$A$8:$C$162,2,FALSE)*VLOOKUP(U$11,'Attrition Modeling'!$L$15:$N$27,IF(U$12-$F59&lt;=24,2,3),FALSE))*(1+IF('Traditional Attrition'!U181&gt;0,'Attrition Modeling'!$N$9,0))),0))</f>
        <v>0</v>
      </c>
      <c r="V59" s="799">
        <f>IF(V$12=$F59+1,IF(Monthly!R$4=TRUE,0,V$3),IF(V$12&gt;$F59+1,RentalsVacates!U59*(1-IF(V$12-$F59&lt;=12,SUMIFS('Attrition Modeling'!$D:$D,'Attrition Modeling'!$B:$B,$E59,'Attrition Modeling'!$C:$C,V$11),VLOOKUP(RentalsVacates!V$12-RentalsVacates!$F59-1,RentalsVacates!$A$8:$C$162,2,FALSE)*VLOOKUP(V$11,'Attrition Modeling'!$L$15:$N$27,IF(V$12-$F59&lt;=24,2,3),FALSE))*(1+IF('Traditional Attrition'!V181&gt;0,'Attrition Modeling'!$N$9,0))),0))</f>
        <v>0</v>
      </c>
      <c r="W59" s="799">
        <f>IF(W$12=$F59+1,IF(Monthly!S$4=TRUE,0,W$3),IF(W$12&gt;$F59+1,RentalsVacates!V59*(1-IF(W$12-$F59&lt;=12,SUMIFS('Attrition Modeling'!$D:$D,'Attrition Modeling'!$B:$B,$E59,'Attrition Modeling'!$C:$C,W$11),VLOOKUP(RentalsVacates!W$12-RentalsVacates!$F59-1,RentalsVacates!$A$8:$C$162,2,FALSE)*VLOOKUP(W$11,'Attrition Modeling'!$L$15:$N$27,IF(W$12-$F59&lt;=24,2,3),FALSE))*(1+IF('Traditional Attrition'!W181&gt;0,'Attrition Modeling'!$N$9,0))),0))</f>
        <v>0</v>
      </c>
      <c r="X59" s="799">
        <f>IF(X$12=$F59+1,IF(Monthly!T$4=TRUE,0,X$3),IF(X$12&gt;$F59+1,RentalsVacates!W59*(1-IF(X$12-$F59&lt;=12,SUMIFS('Attrition Modeling'!$D:$D,'Attrition Modeling'!$B:$B,$E59,'Attrition Modeling'!$C:$C,X$11),VLOOKUP(RentalsVacates!X$12-RentalsVacates!$F59-1,RentalsVacates!$A$8:$C$162,2,FALSE)*VLOOKUP(X$11,'Attrition Modeling'!$L$15:$N$27,IF(X$12-$F59&lt;=24,2,3),FALSE))*(1+IF('Traditional Attrition'!X181&gt;0,'Attrition Modeling'!$N$9,0))),0))</f>
        <v>0</v>
      </c>
      <c r="Y59" s="799">
        <f>IF(Y$12=$F59+1,IF(Monthly!U$4=TRUE,0,Y$3),IF(Y$12&gt;$F59+1,RentalsVacates!X59*(1-IF(Y$12-$F59&lt;=12,SUMIFS('Attrition Modeling'!$D:$D,'Attrition Modeling'!$B:$B,$E59,'Attrition Modeling'!$C:$C,Y$11),VLOOKUP(RentalsVacates!Y$12-RentalsVacates!$F59-1,RentalsVacates!$A$8:$C$162,2,FALSE)*VLOOKUP(Y$11,'Attrition Modeling'!$L$15:$N$27,IF(Y$12-$F59&lt;=24,2,3),FALSE))*(1+IF('Traditional Attrition'!Y181&gt;0,'Attrition Modeling'!$N$9,0))),0))</f>
        <v>0</v>
      </c>
      <c r="Z59" s="799">
        <f>IF(Z$12=$F59+1,IF(Monthly!V$4=TRUE,0,Z$3),IF(Z$12&gt;$F59+1,RentalsVacates!Y59*(1-IF(Z$12-$F59&lt;=12,SUMIFS('Attrition Modeling'!$D:$D,'Attrition Modeling'!$B:$B,$E59,'Attrition Modeling'!$C:$C,Z$11),VLOOKUP(RentalsVacates!Z$12-RentalsVacates!$F59-1,RentalsVacates!$A$8:$C$162,2,FALSE)*VLOOKUP(Z$11,'Attrition Modeling'!$L$15:$N$27,IF(Z$12-$F59&lt;=24,2,3),FALSE))*(1+IF('Traditional Attrition'!Z181&gt;0,'Attrition Modeling'!$N$9,0))),0))</f>
        <v>0</v>
      </c>
      <c r="AA59" s="799">
        <f>IF(AA$12=$F59+1,IF(Monthly!W$4=TRUE,0,AA$3),IF(AA$12&gt;$F59+1,RentalsVacates!Z59*(1-IF(AA$12-$F59&lt;=12,SUMIFS('Attrition Modeling'!$D:$D,'Attrition Modeling'!$B:$B,$E59,'Attrition Modeling'!$C:$C,AA$11),VLOOKUP(RentalsVacates!AA$12-RentalsVacates!$F59-1,RentalsVacates!$A$8:$C$162,2,FALSE)*VLOOKUP(AA$11,'Attrition Modeling'!$L$15:$N$27,IF(AA$12-$F59&lt;=24,2,3),FALSE))*(1+IF('Traditional Attrition'!AA181&gt;0,'Attrition Modeling'!$N$9,0))),0))</f>
        <v>0</v>
      </c>
      <c r="AB59" s="799">
        <f>IF(AB$12=$F59+1,IF(Monthly!X$4=TRUE,0,AB$3),IF(AB$12&gt;$F59+1,RentalsVacates!AA59*(1-IF(AB$12-$F59&lt;=12,SUMIFS('Attrition Modeling'!$D:$D,'Attrition Modeling'!$B:$B,$E59,'Attrition Modeling'!$C:$C,AB$11),VLOOKUP(RentalsVacates!AB$12-RentalsVacates!$F59-1,RentalsVacates!$A$8:$C$162,2,FALSE)*VLOOKUP(AB$11,'Attrition Modeling'!$L$15:$N$27,IF(AB$12-$F59&lt;=24,2,3),FALSE))*(1+IF('Traditional Attrition'!AB181&gt;0,'Attrition Modeling'!$N$9,0))),0))</f>
        <v>0</v>
      </c>
      <c r="AC59" s="799">
        <f>IF(AC$12=$F59+1,IF(Monthly!Y$4=TRUE,0,AC$3),IF(AC$12&gt;$F59+1,RentalsVacates!AB59*(1-IF(AC$12-$F59&lt;=12,SUMIFS('Attrition Modeling'!$D:$D,'Attrition Modeling'!$B:$B,$E59,'Attrition Modeling'!$C:$C,AC$11),VLOOKUP(RentalsVacates!AC$12-RentalsVacates!$F59-1,RentalsVacates!$A$8:$C$162,2,FALSE)*VLOOKUP(AC$11,'Attrition Modeling'!$L$15:$N$27,IF(AC$12-$F59&lt;=24,2,3),FALSE))*(1+IF('Traditional Attrition'!AC181&gt;0,'Attrition Modeling'!$N$9,0))),0))</f>
        <v>0</v>
      </c>
      <c r="AD59" s="799">
        <f>IF(AD$12=$F59+1,IF(Monthly!Z$4=TRUE,0,AD$3),IF(AD$12&gt;$F59+1,RentalsVacates!AC59*(1-IF(AD$12-$F59&lt;=12,SUMIFS('Attrition Modeling'!$D:$D,'Attrition Modeling'!$B:$B,$E59,'Attrition Modeling'!$C:$C,AD$11),VLOOKUP(RentalsVacates!AD$12-RentalsVacates!$F59-1,RentalsVacates!$A$8:$C$162,2,FALSE)*VLOOKUP(AD$11,'Attrition Modeling'!$L$15:$N$27,IF(AD$12-$F59&lt;=24,2,3),FALSE))*(1+IF('Traditional Attrition'!AD181&gt;0,'Attrition Modeling'!$N$9,0))),0))</f>
        <v>0</v>
      </c>
      <c r="AE59" s="799">
        <f>IF(AE$12=$F59+1,IF(Monthly!AA$4=TRUE,0,AE$3),IF(AE$12&gt;$F59+1,RentalsVacates!AD59*(1-IF(AE$12-$F59&lt;=12,SUMIFS('Attrition Modeling'!$D:$D,'Attrition Modeling'!$B:$B,$E59,'Attrition Modeling'!$C:$C,AE$11),VLOOKUP(RentalsVacates!AE$12-RentalsVacates!$F59-1,RentalsVacates!$A$8:$C$162,2,FALSE)*VLOOKUP(AE$11,'Attrition Modeling'!$L$15:$N$27,IF(AE$12-$F59&lt;=24,2,3),FALSE))*(1+IF('Traditional Attrition'!AE181&gt;0,'Attrition Modeling'!$N$9,0))),0))</f>
        <v>0</v>
      </c>
      <c r="AF59" s="799">
        <f>IF(AF$12=$F59+1,IF(Monthly!AB$4=TRUE,0,AF$3),IF(AF$12&gt;$F59+1,RentalsVacates!AE59*(1-IF(AF$12-$F59&lt;=12,SUMIFS('Attrition Modeling'!$D:$D,'Attrition Modeling'!$B:$B,$E59,'Attrition Modeling'!$C:$C,AF$11),VLOOKUP(RentalsVacates!AF$12-RentalsVacates!$F59-1,RentalsVacates!$A$8:$C$162,2,FALSE)*VLOOKUP(AF$11,'Attrition Modeling'!$L$15:$N$27,IF(AF$12-$F59&lt;=24,2,3),FALSE))*(1+IF('Traditional Attrition'!AF181&gt;0,'Attrition Modeling'!$N$9,0))),0))</f>
        <v>0</v>
      </c>
      <c r="AG59" s="799">
        <f>IF(AG$12=$F59+1,IF(Monthly!AC$4=TRUE,0,AG$3),IF(AG$12&gt;$F59+1,RentalsVacates!AF59*(1-IF(AG$12-$F59&lt;=12,SUMIFS('Attrition Modeling'!$D:$D,'Attrition Modeling'!$B:$B,$E59,'Attrition Modeling'!$C:$C,AG$11),VLOOKUP(RentalsVacates!AG$12-RentalsVacates!$F59-1,RentalsVacates!$A$8:$C$162,2,FALSE)*VLOOKUP(AG$11,'Attrition Modeling'!$L$15:$N$27,IF(AG$12-$F59&lt;=24,2,3),FALSE))*(1+IF('Traditional Attrition'!AG181&gt;0,'Attrition Modeling'!$N$9,0))),0))</f>
        <v>0</v>
      </c>
      <c r="AH59" s="799">
        <f>IF(AH$12=$F59+1,IF(Monthly!AD$4=TRUE,0,AH$3),IF(AH$12&gt;$F59+1,RentalsVacates!AG59*(1-IF(AH$12-$F59&lt;=12,SUMIFS('Attrition Modeling'!$D:$D,'Attrition Modeling'!$B:$B,$E59,'Attrition Modeling'!$C:$C,AH$11),VLOOKUP(RentalsVacates!AH$12-RentalsVacates!$F59-1,RentalsVacates!$A$8:$C$162,2,FALSE)*VLOOKUP(AH$11,'Attrition Modeling'!$L$15:$N$27,IF(AH$12-$F59&lt;=24,2,3),FALSE))*(1+IF('Traditional Attrition'!AH181&gt;0,'Attrition Modeling'!$N$9,0))),0))</f>
        <v>0</v>
      </c>
      <c r="AI59" s="799">
        <f>IF(AI$12=$F59+1,IF(Monthly!AE$4=TRUE,0,AI$3),IF(AI$12&gt;$F59+1,RentalsVacates!AH59*(1-IF(AI$12-$F59&lt;=12,SUMIFS('Attrition Modeling'!$D:$D,'Attrition Modeling'!$B:$B,$E59,'Attrition Modeling'!$C:$C,AI$11),VLOOKUP(RentalsVacates!AI$12-RentalsVacates!$F59-1,RentalsVacates!$A$8:$C$162,2,FALSE)*VLOOKUP(AI$11,'Attrition Modeling'!$L$15:$N$27,IF(AI$12-$F59&lt;=24,2,3),FALSE))*(1+IF('Traditional Attrition'!AI181&gt;0,'Attrition Modeling'!$N$9,0))),0))</f>
        <v>0</v>
      </c>
      <c r="AJ59" s="799">
        <f>IF(AJ$12=$F59+1,IF(Monthly!AF$4=TRUE,0,AJ$3),IF(AJ$12&gt;$F59+1,RentalsVacates!AI59*(1-IF(AJ$12-$F59&lt;=12,SUMIFS('Attrition Modeling'!$D:$D,'Attrition Modeling'!$B:$B,$E59,'Attrition Modeling'!$C:$C,AJ$11),VLOOKUP(RentalsVacates!AJ$12-RentalsVacates!$F59-1,RentalsVacates!$A$8:$C$162,2,FALSE)*VLOOKUP(AJ$11,'Attrition Modeling'!$L$15:$N$27,IF(AJ$12-$F59&lt;=24,2,3),FALSE))*(1+IF('Traditional Attrition'!AJ181&gt;0,'Attrition Modeling'!$N$9,0))),0))</f>
        <v>0</v>
      </c>
      <c r="AK59" s="799">
        <f>IF(AK$12=$F59+1,IF(Monthly!AG$4=TRUE,0,AK$3),IF(AK$12&gt;$F59+1,RentalsVacates!AJ59*(1-IF(AK$12-$F59&lt;=12,SUMIFS('Attrition Modeling'!$D:$D,'Attrition Modeling'!$B:$B,$E59,'Attrition Modeling'!$C:$C,AK$11),VLOOKUP(RentalsVacates!AK$12-RentalsVacates!$F59-1,RentalsVacates!$A$8:$C$162,2,FALSE)*VLOOKUP(AK$11,'Attrition Modeling'!$L$15:$N$27,IF(AK$12-$F59&lt;=24,2,3),FALSE))*(1+IF('Traditional Attrition'!AK181&gt;0,'Attrition Modeling'!$N$9,0))),0))</f>
        <v>0</v>
      </c>
      <c r="AL59" s="799">
        <f>IF(AL$12=$F59+1,IF(Monthly!AH$4=TRUE,0,AL$3),IF(AL$12&gt;$F59+1,RentalsVacates!AK59*(1-IF(AL$12-$F59&lt;=12,SUMIFS('Attrition Modeling'!$D:$D,'Attrition Modeling'!$B:$B,$E59,'Attrition Modeling'!$C:$C,AL$11),VLOOKUP(RentalsVacates!AL$12-RentalsVacates!$F59-1,RentalsVacates!$A$8:$C$162,2,FALSE)*VLOOKUP(AL$11,'Attrition Modeling'!$L$15:$N$27,IF(AL$12-$F59&lt;=24,2,3),FALSE))*(1+IF('Traditional Attrition'!AL181&gt;0,'Attrition Modeling'!$N$9,0))),0))</f>
        <v>0</v>
      </c>
      <c r="AM59" s="799">
        <f>IF(AM$12=$F59+1,IF(Monthly!AI$4=TRUE,0,AM$3),IF(AM$12&gt;$F59+1,RentalsVacates!AL59*(1-IF(AM$12-$F59&lt;=12,SUMIFS('Attrition Modeling'!$D:$D,'Attrition Modeling'!$B:$B,$E59,'Attrition Modeling'!$C:$C,AM$11),VLOOKUP(RentalsVacates!AM$12-RentalsVacates!$F59-1,RentalsVacates!$A$8:$C$162,2,FALSE)*VLOOKUP(AM$11,'Attrition Modeling'!$L$15:$N$27,IF(AM$12-$F59&lt;=24,2,3),FALSE))*(1+IF('Traditional Attrition'!AM181&gt;0,'Attrition Modeling'!$N$9,0))),0))</f>
        <v>0</v>
      </c>
      <c r="AN59" s="799">
        <f>IF(AN$12=$F59+1,IF(Monthly!AJ$4=TRUE,0,AN$3),IF(AN$12&gt;$F59+1,RentalsVacates!AM59*(1-IF(AN$12-$F59&lt;=12,SUMIFS('Attrition Modeling'!$D:$D,'Attrition Modeling'!$B:$B,$E59,'Attrition Modeling'!$C:$C,AN$11),VLOOKUP(RentalsVacates!AN$12-RentalsVacates!$F59-1,RentalsVacates!$A$8:$C$162,2,FALSE)*VLOOKUP(AN$11,'Attrition Modeling'!$L$15:$N$27,IF(AN$12-$F59&lt;=24,2,3),FALSE))*(1+IF('Traditional Attrition'!AN181&gt;0,'Attrition Modeling'!$N$9,0))),0))</f>
        <v>0</v>
      </c>
      <c r="AO59" s="799">
        <f>IF(AO$12=$F59+1,IF(Monthly!AK$4=TRUE,0,AO$3),IF(AO$12&gt;$F59+1,RentalsVacates!AN59*(1-IF(AO$12-$F59&lt;=12,SUMIFS('Attrition Modeling'!$D:$D,'Attrition Modeling'!$B:$B,$E59,'Attrition Modeling'!$C:$C,AO$11),VLOOKUP(RentalsVacates!AO$12-RentalsVacates!$F59-1,RentalsVacates!$A$8:$C$162,2,FALSE)*VLOOKUP(AO$11,'Attrition Modeling'!$L$15:$N$27,IF(AO$12-$F59&lt;=24,2,3),FALSE))*(1+IF('Traditional Attrition'!AO181&gt;0,'Attrition Modeling'!$N$9,0))),0))</f>
        <v>0</v>
      </c>
      <c r="AP59" s="799">
        <f>IF(AP$12=$F59+1,IF(Monthly!AL$4=TRUE,0,AP$3),IF(AP$12&gt;$F59+1,RentalsVacates!AO59*(1-IF(AP$12-$F59&lt;=12,SUMIFS('Attrition Modeling'!$D:$D,'Attrition Modeling'!$B:$B,$E59,'Attrition Modeling'!$C:$C,AP$11),VLOOKUP(RentalsVacates!AP$12-RentalsVacates!$F59-1,RentalsVacates!$A$8:$C$162,2,FALSE)*VLOOKUP(AP$11,'Attrition Modeling'!$L$15:$N$27,IF(AP$12-$F59&lt;=24,2,3),FALSE))*(1+IF('Traditional Attrition'!AP181&gt;0,'Attrition Modeling'!$N$9,0))),0))</f>
        <v>0</v>
      </c>
      <c r="AQ59" s="799">
        <f>IF(AQ$12=$F59+1,IF(Monthly!AM$4=TRUE,0,AQ$3),IF(AQ$12&gt;$F59+1,RentalsVacates!AP59*(1-IF(AQ$12-$F59&lt;=12,SUMIFS('Attrition Modeling'!$D:$D,'Attrition Modeling'!$B:$B,$E59,'Attrition Modeling'!$C:$C,AQ$11),VLOOKUP(RentalsVacates!AQ$12-RentalsVacates!$F59-1,RentalsVacates!$A$8:$C$162,2,FALSE)*VLOOKUP(AQ$11,'Attrition Modeling'!$L$15:$N$27,IF(AQ$12-$F59&lt;=24,2,3),FALSE))*(1+IF('Traditional Attrition'!AQ181&gt;0,'Attrition Modeling'!$N$9,0))),0))</f>
        <v>0</v>
      </c>
      <c r="AR59" s="799">
        <f>IF(AR$12=$F59+1,IF(Monthly!AN$4=TRUE,0,AR$3),IF(AR$12&gt;$F59+1,RentalsVacates!AQ59*(1-IF(AR$12-$F59&lt;=12,SUMIFS('Attrition Modeling'!$D:$D,'Attrition Modeling'!$B:$B,$E59,'Attrition Modeling'!$C:$C,AR$11),VLOOKUP(RentalsVacates!AR$12-RentalsVacates!$F59-1,RentalsVacates!$A$8:$C$162,2,FALSE)*VLOOKUP(AR$11,'Attrition Modeling'!$L$15:$N$27,IF(AR$12-$F59&lt;=24,2,3),FALSE))*(1+IF('Traditional Attrition'!AR181&gt;0,'Attrition Modeling'!$N$9,0))),0))</f>
        <v>0</v>
      </c>
      <c r="AS59" s="799">
        <f>IF(AS$12=$F59+1,IF(Monthly!AO$4=TRUE,0,AS$3),IF(AS$12&gt;$F59+1,RentalsVacates!AR59*(1-IF(AS$12-$F59&lt;=12,SUMIFS('Attrition Modeling'!$D:$D,'Attrition Modeling'!$B:$B,$E59,'Attrition Modeling'!$C:$C,AS$11),VLOOKUP(RentalsVacates!AS$12-RentalsVacates!$F59-1,RentalsVacates!$A$8:$C$162,2,FALSE)*VLOOKUP(AS$11,'Attrition Modeling'!$L$15:$N$27,IF(AS$12-$F59&lt;=24,2,3),FALSE))*(1+IF('Traditional Attrition'!AS181&gt;0,'Attrition Modeling'!$N$9,0))),0))</f>
        <v>0</v>
      </c>
      <c r="AT59" s="799">
        <f>IF(AT$12=$F59+1,IF(Monthly!AP$4=TRUE,0,AT$3),IF(AT$12&gt;$F59+1,RentalsVacates!AS59*(1-IF(AT$12-$F59&lt;=12,SUMIFS('Attrition Modeling'!$D:$D,'Attrition Modeling'!$B:$B,$E59,'Attrition Modeling'!$C:$C,AT$11),VLOOKUP(RentalsVacates!AT$12-RentalsVacates!$F59-1,RentalsVacates!$A$8:$C$162,2,FALSE)*VLOOKUP(AT$11,'Attrition Modeling'!$L$15:$N$27,IF(AT$12-$F59&lt;=24,2,3),FALSE))*(1+IF('Traditional Attrition'!AT181&gt;0,'Attrition Modeling'!$N$9,0))),0))</f>
        <v>0</v>
      </c>
      <c r="AU59" s="799">
        <f>IF(AU$12=$F59+1,IF(Monthly!AQ$4=TRUE,0,AU$3),IF(AU$12&gt;$F59+1,RentalsVacates!AT59*(1-IF(AU$12-$F59&lt;=12,SUMIFS('Attrition Modeling'!$D:$D,'Attrition Modeling'!$B:$B,$E59,'Attrition Modeling'!$C:$C,AU$11),VLOOKUP(RentalsVacates!AU$12-RentalsVacates!$F59-1,RentalsVacates!$A$8:$C$162,2,FALSE)*VLOOKUP(AU$11,'Attrition Modeling'!$L$15:$N$27,IF(AU$12-$F59&lt;=24,2,3),FALSE))*(1+IF('Traditional Attrition'!AU181&gt;0,'Attrition Modeling'!$N$9,0))),0))</f>
        <v>0</v>
      </c>
      <c r="AV59" s="799">
        <f>IF(AV$12=$F59+1,IF(Monthly!AR$4=TRUE,0,AV$3),IF(AV$12&gt;$F59+1,RentalsVacates!AU59*(1-IF(AV$12-$F59&lt;=12,SUMIFS('Attrition Modeling'!$D:$D,'Attrition Modeling'!$B:$B,$E59,'Attrition Modeling'!$C:$C,AV$11),VLOOKUP(RentalsVacates!AV$12-RentalsVacates!$F59-1,RentalsVacates!$A$8:$C$162,2,FALSE)*VLOOKUP(AV$11,'Attrition Modeling'!$L$15:$N$27,IF(AV$12-$F59&lt;=24,2,3),FALSE))*(1+IF('Traditional Attrition'!AV181&gt;0,'Attrition Modeling'!$N$9,0))),0))</f>
        <v>0</v>
      </c>
      <c r="AW59" s="799">
        <f>IF(AW$12=$F59+1,IF(Monthly!AS$4=TRUE,0,AW$3),IF(AW$12&gt;$F59+1,RentalsVacates!AV59*(1-IF(AW$12-$F59&lt;=12,SUMIFS('Attrition Modeling'!$D:$D,'Attrition Modeling'!$B:$B,$E59,'Attrition Modeling'!$C:$C,AW$11),VLOOKUP(RentalsVacates!AW$12-RentalsVacates!$F59-1,RentalsVacates!$A$8:$C$162,2,FALSE)*VLOOKUP(AW$11,'Attrition Modeling'!$L$15:$N$27,IF(AW$12-$F59&lt;=24,2,3),FALSE))*(1+IF('Traditional Attrition'!AW181&gt;0,'Attrition Modeling'!$N$9,0))),0))</f>
        <v>0</v>
      </c>
      <c r="AX59" s="799">
        <f>IF(AX$12=$F59+1,IF(Monthly!AT$4=TRUE,0,AX$3),IF(AX$12&gt;$F59+1,RentalsVacates!AW59*(1-IF(AX$12-$F59&lt;=12,SUMIFS('Attrition Modeling'!$D:$D,'Attrition Modeling'!$B:$B,$E59,'Attrition Modeling'!$C:$C,AX$11),VLOOKUP(RentalsVacates!AX$12-RentalsVacates!$F59-1,RentalsVacates!$A$8:$C$162,2,FALSE)*VLOOKUP(AX$11,'Attrition Modeling'!$L$15:$N$27,IF(AX$12-$F59&lt;=24,2,3),FALSE))*(1+IF('Traditional Attrition'!AX181&gt;0,'Attrition Modeling'!$N$9,0))),0))</f>
        <v>0</v>
      </c>
      <c r="AY59" s="799">
        <f>IF(AY$12=$F59+1,IF(Monthly!AU$4=TRUE,0,AY$3),IF(AY$12&gt;$F59+1,RentalsVacates!AX59*(1-IF(AY$12-$F59&lt;=12,SUMIFS('Attrition Modeling'!$D:$D,'Attrition Modeling'!$B:$B,$E59,'Attrition Modeling'!$C:$C,AY$11),VLOOKUP(RentalsVacates!AY$12-RentalsVacates!$F59-1,RentalsVacates!$A$8:$C$162,2,FALSE)*VLOOKUP(AY$11,'Attrition Modeling'!$L$15:$N$27,IF(AY$12-$F59&lt;=24,2,3),FALSE))*(1+IF('Traditional Attrition'!AY181&gt;0,'Attrition Modeling'!$N$9,0))),0))</f>
        <v>0</v>
      </c>
      <c r="AZ59" s="799">
        <f>IF(AZ$12=$F59+1,IF(Monthly!AV$4=TRUE,0,AZ$3),IF(AZ$12&gt;$F59+1,RentalsVacates!AY59*(1-IF(AZ$12-$F59&lt;=12,SUMIFS('Attrition Modeling'!$D:$D,'Attrition Modeling'!$B:$B,$E59,'Attrition Modeling'!$C:$C,AZ$11),VLOOKUP(RentalsVacates!AZ$12-RentalsVacates!$F59-1,RentalsVacates!$A$8:$C$162,2,FALSE)*VLOOKUP(AZ$11,'Attrition Modeling'!$L$15:$N$27,IF(AZ$12-$F59&lt;=24,2,3),FALSE))*(1+IF('Traditional Attrition'!AZ181&gt;0,'Attrition Modeling'!$N$9,0))),0))</f>
        <v>0</v>
      </c>
      <c r="BA59" s="799">
        <f>IF(BA$12=$F59+1,IF(Monthly!AW$4=TRUE,0,BA$3),IF(BA$12&gt;$F59+1,RentalsVacates!AZ59*(1-IF(BA$12-$F59&lt;=12,SUMIFS('Attrition Modeling'!$D:$D,'Attrition Modeling'!$B:$B,$E59,'Attrition Modeling'!$C:$C,BA$11),VLOOKUP(RentalsVacates!BA$12-RentalsVacates!$F59-1,RentalsVacates!$A$8:$C$162,2,FALSE)*VLOOKUP(BA$11,'Attrition Modeling'!$L$15:$N$27,IF(BA$12-$F59&lt;=24,2,3),FALSE))*(1+IF('Traditional Attrition'!BA181&gt;0,'Attrition Modeling'!$N$9,0))),0))</f>
        <v>0</v>
      </c>
      <c r="BB59" s="799">
        <f>IF(BB$12=$F59+1,IF(Monthly!AX$4=TRUE,0,BB$3),IF(BB$12&gt;$F59+1,RentalsVacates!BA59*(1-IF(BB$12-$F59&lt;=12,SUMIFS('Attrition Modeling'!$D:$D,'Attrition Modeling'!$B:$B,$E59,'Attrition Modeling'!$C:$C,BB$11),VLOOKUP(RentalsVacates!BB$12-RentalsVacates!$F59-1,RentalsVacates!$A$8:$C$162,2,FALSE)*VLOOKUP(BB$11,'Attrition Modeling'!$L$15:$N$27,IF(BB$12-$F59&lt;=24,2,3),FALSE))*(1+IF('Traditional Attrition'!BB181&gt;0,'Attrition Modeling'!$N$9,0))),0))</f>
        <v>5037.1218650718074</v>
      </c>
      <c r="BC59" s="799">
        <f>IF(BC$12=$F59+1,IF(Monthly!AY$4=TRUE,0,BC$3),IF(BC$12&gt;$F59+1,RentalsVacates!BB59*(1-IF(BC$12-$F59&lt;=12,SUMIFS('Attrition Modeling'!$D:$D,'Attrition Modeling'!$B:$B,$E59,'Attrition Modeling'!$C:$C,BC$11),VLOOKUP(RentalsVacates!BC$12-RentalsVacates!$F59-1,RentalsVacates!$A$8:$C$162,2,FALSE)*VLOOKUP(BC$11,'Attrition Modeling'!$L$15:$N$27,IF(BC$12-$F59&lt;=24,2,3),FALSE))*(1+IF('Traditional Attrition'!BC181&gt;0,'Attrition Modeling'!$N$9,0))),0))</f>
        <v>4526.4861545610856</v>
      </c>
      <c r="BD59" s="799">
        <f>IF(BD$12=$F59+1,IF(Monthly!AZ$4=TRUE,0,BD$3),IF(BD$12&gt;$F59+1,RentalsVacates!BC59*(1-IF(BD$12-$F59&lt;=12,SUMIFS('Attrition Modeling'!$D:$D,'Attrition Modeling'!$B:$B,$E59,'Attrition Modeling'!$C:$C,BD$11),VLOOKUP(RentalsVacates!BD$12-RentalsVacates!$F59-1,RentalsVacates!$A$8:$C$162,2,FALSE)*VLOOKUP(BD$11,'Attrition Modeling'!$L$15:$N$27,IF(BD$12-$F59&lt;=24,2,3),FALSE))*(1+IF('Traditional Attrition'!BD181&gt;0,'Attrition Modeling'!$N$9,0))),0))</f>
        <v>4168.352516401259</v>
      </c>
      <c r="BE59" s="799">
        <f>IF(BE$12=$F59+1,IF(Monthly!BA$4=TRUE,0,BE$3),IF(BE$12&gt;$F59+1,RentalsVacates!BD59*(1-IF(BE$12-$F59&lt;=12,SUMIFS('Attrition Modeling'!$D:$D,'Attrition Modeling'!$B:$B,$E59,'Attrition Modeling'!$C:$C,BE$11),VLOOKUP(RentalsVacates!BE$12-RentalsVacates!$F59-1,RentalsVacates!$A$8:$C$162,2,FALSE)*VLOOKUP(BE$11,'Attrition Modeling'!$L$15:$N$27,IF(BE$12-$F59&lt;=24,2,3),FALSE))*(1+IF('Traditional Attrition'!BE181&gt;0,'Attrition Modeling'!$N$9,0))),0))</f>
        <v>3833.2035519874948</v>
      </c>
      <c r="BF59" s="799">
        <f>IF(BF$12=$F59+1,IF(Monthly!BB$4=TRUE,0,BF$3),IF(BF$12&gt;$F59+1,RentalsVacates!BE59*(1-IF(BF$12-$F59&lt;=12,SUMIFS('Attrition Modeling'!$D:$D,'Attrition Modeling'!$B:$B,$E59,'Attrition Modeling'!$C:$C,BF$11),VLOOKUP(RentalsVacates!BF$12-RentalsVacates!$F59-1,RentalsVacates!$A$8:$C$162,2,FALSE)*VLOOKUP(BF$11,'Attrition Modeling'!$L$15:$N$27,IF(BF$12-$F59&lt;=24,2,3),FALSE))*(1+IF('Traditional Attrition'!BF181&gt;0,'Attrition Modeling'!$N$9,0))),0))</f>
        <v>3513.6578142286535</v>
      </c>
      <c r="BG59" s="799">
        <f>IF(BG$12=$F59+1,IF(Monthly!BC$4=TRUE,0,BG$3),IF(BG$12&gt;$F59+1,RentalsVacates!BF59*(1-IF(BG$12-$F59&lt;=12,SUMIFS('Attrition Modeling'!$D:$D,'Attrition Modeling'!$B:$B,$E59,'Attrition Modeling'!$C:$C,BG$11),VLOOKUP(RentalsVacates!BG$12-RentalsVacates!$F59-1,RentalsVacates!$A$8:$C$162,2,FALSE)*VLOOKUP(BG$11,'Attrition Modeling'!$L$15:$N$27,IF(BG$12-$F59&lt;=24,2,3),FALSE))*(1+IF('Traditional Attrition'!BG181&gt;0,'Attrition Modeling'!$N$9,0))),0))</f>
        <v>3134.9377569738181</v>
      </c>
      <c r="BH59" s="799">
        <f>IF(BH$12=$F59+1,IF(Monthly!BD$4=TRUE,0,BH$3),IF(BH$12&gt;$F59+1,RentalsVacates!BG59*(1-IF(BH$12-$F59&lt;=12,SUMIFS('Attrition Modeling'!$D:$D,'Attrition Modeling'!$B:$B,$E59,'Attrition Modeling'!$C:$C,BH$11),VLOOKUP(RentalsVacates!BH$12-RentalsVacates!$F59-1,RentalsVacates!$A$8:$C$162,2,FALSE)*VLOOKUP(BH$11,'Attrition Modeling'!$L$15:$N$27,IF(BH$12-$F59&lt;=24,2,3),FALSE))*(1+IF('Traditional Attrition'!BH181&gt;0,'Attrition Modeling'!$N$9,0))),0))</f>
        <v>2891.8860953743929</v>
      </c>
      <c r="BI59" s="799">
        <f>IF(BI$12=$F59+1,IF(Monthly!BE$4=TRUE,0,BI$3),IF(BI$12&gt;$F59+1,RentalsVacates!BH59*(1-IF(BI$12-$F59&lt;=12,SUMIFS('Attrition Modeling'!$D:$D,'Attrition Modeling'!$B:$B,$E59,'Attrition Modeling'!$C:$C,BI$11),VLOOKUP(RentalsVacates!BI$12-RentalsVacates!$F59-1,RentalsVacates!$A$8:$C$162,2,FALSE)*VLOOKUP(BI$11,'Attrition Modeling'!$L$15:$N$27,IF(BI$12-$F59&lt;=24,2,3),FALSE))*(1+IF('Traditional Attrition'!BI181&gt;0,'Attrition Modeling'!$N$9,0))),0))</f>
        <v>2695.1546702448313</v>
      </c>
      <c r="BJ59" s="799">
        <f>IF(BJ$12=$F59+1,IF(Monthly!BF$4=TRUE,0,BJ$3),IF(BJ$12&gt;$F59+1,RentalsVacates!BI59*(1-IF(BJ$12-$F59&lt;=12,SUMIFS('Attrition Modeling'!$D:$D,'Attrition Modeling'!$B:$B,$E59,'Attrition Modeling'!$C:$C,BJ$11),VLOOKUP(RentalsVacates!BJ$12-RentalsVacates!$F59-1,RentalsVacates!$A$8:$C$162,2,FALSE)*VLOOKUP(BJ$11,'Attrition Modeling'!$L$15:$N$27,IF(BJ$12-$F59&lt;=24,2,3),FALSE))*(1+IF('Traditional Attrition'!BJ181&gt;0,'Attrition Modeling'!$N$9,0))),0))</f>
        <v>2523.0954031623737</v>
      </c>
      <c r="BK59" s="799">
        <f>IF(BK$12=$F59+1,IF(Monthly!BG$4=TRUE,0,BK$3),IF(BK$12&gt;$F59+1,RentalsVacates!BJ59*(1-IF(BK$12-$F59&lt;=12,SUMIFS('Attrition Modeling'!$D:$D,'Attrition Modeling'!$B:$B,$E59,'Attrition Modeling'!$C:$C,BK$11),VLOOKUP(RentalsVacates!BK$12-RentalsVacates!$F59-1,RentalsVacates!$A$8:$C$162,2,FALSE)*VLOOKUP(BK$11,'Attrition Modeling'!$L$15:$N$27,IF(BK$12-$F59&lt;=24,2,3),FALSE))*(1+IF('Traditional Attrition'!BK181&gt;0,'Attrition Modeling'!$N$9,0))),0))</f>
        <v>2356.7192879466847</v>
      </c>
      <c r="BL59" s="799">
        <f>IF(BL$12=$F59+1,IF(Monthly!BH$4=TRUE,0,BL$3),IF(BL$12&gt;$F59+1,RentalsVacates!BK59*(1-IF(BL$12-$F59&lt;=12,SUMIFS('Attrition Modeling'!$D:$D,'Attrition Modeling'!$B:$B,$E59,'Attrition Modeling'!$C:$C,BL$11),VLOOKUP(RentalsVacates!BL$12-RentalsVacates!$F59-1,RentalsVacates!$A$8:$C$162,2,FALSE)*VLOOKUP(BL$11,'Attrition Modeling'!$L$15:$N$27,IF(BL$12-$F59&lt;=24,2,3),FALSE))*(1+IF('Traditional Attrition'!BL181&gt;0,'Attrition Modeling'!$N$9,0))),0))</f>
        <v>2204.8042435251191</v>
      </c>
      <c r="BM59" s="799">
        <f>IF(BM$12=$F59+1,IF(Monthly!BI$4=TRUE,0,BM$3),IF(BM$12&gt;$F59+1,RentalsVacates!BL59*(1-IF(BM$12-$F59&lt;=12,SUMIFS('Attrition Modeling'!$D:$D,'Attrition Modeling'!$B:$B,$E59,'Attrition Modeling'!$C:$C,BM$11),VLOOKUP(RentalsVacates!BM$12-RentalsVacates!$F59-1,RentalsVacates!$A$8:$C$162,2,FALSE)*VLOOKUP(BM$11,'Attrition Modeling'!$L$15:$N$27,IF(BM$12-$F59&lt;=24,2,3),FALSE))*(1+IF('Traditional Attrition'!BM181&gt;0,'Attrition Modeling'!$N$9,0))),0))</f>
        <v>2128.6232299576509</v>
      </c>
      <c r="BN59" s="799">
        <f>IF(BN$12=$F59+1,IF(Monthly!BJ$4=TRUE,0,BN$3),IF(BN$12&gt;$F59+1,RentalsVacates!BM59*(1-IF(BN$12-$F59&lt;=12,SUMIFS('Attrition Modeling'!$D:$D,'Attrition Modeling'!$B:$B,$E59,'Attrition Modeling'!$C:$C,BN$11),VLOOKUP(RentalsVacates!BN$12-RentalsVacates!$F59-1,RentalsVacates!$A$8:$C$162,2,FALSE)*VLOOKUP(BN$11,'Attrition Modeling'!$L$15:$N$27,IF(BN$12-$F59&lt;=24,2,3),FALSE))*(1+IF('Traditional Attrition'!BN181&gt;0,'Attrition Modeling'!$N$9,0))),0))</f>
        <v>2012.9145558690739</v>
      </c>
      <c r="BO59" s="799">
        <f>IF(BO$12=$F59+1,IF(Monthly!BK$4=TRUE,0,BO$3),IF(BO$12&gt;$F59+1,RentalsVacates!BN59*(1-IF(BO$12-$F59&lt;=12,SUMIFS('Attrition Modeling'!$D:$D,'Attrition Modeling'!$B:$B,$E59,'Attrition Modeling'!$C:$C,BO$11),VLOOKUP(RentalsVacates!BO$12-RentalsVacates!$F59-1,RentalsVacates!$A$8:$C$162,2,FALSE)*VLOOKUP(BO$11,'Attrition Modeling'!$L$15:$N$27,IF(BO$12-$F59&lt;=24,2,3),FALSE))*(1+IF('Traditional Attrition'!BO181&gt;0,'Attrition Modeling'!$N$9,0))),0))</f>
        <v>1913.0078861529753</v>
      </c>
      <c r="BP59" s="799">
        <f>IF(BP$12=$F59+1,IF(Monthly!BL$4=TRUE,0,BP$3),IF(BP$12&gt;$F59+1,RentalsVacates!BO59*(1-IF(BP$12-$F59&lt;=12,SUMIFS('Attrition Modeling'!$D:$D,'Attrition Modeling'!$B:$B,$E59,'Attrition Modeling'!$C:$C,BP$11),VLOOKUP(RentalsVacates!BP$12-RentalsVacates!$F59-1,RentalsVacates!$A$8:$C$162,2,FALSE)*VLOOKUP(BP$11,'Attrition Modeling'!$L$15:$N$27,IF(BP$12-$F59&lt;=24,2,3),FALSE))*(1+IF('Traditional Attrition'!BP181&gt;0,'Attrition Modeling'!$N$9,0))),0))</f>
        <v>1822.6274851305498</v>
      </c>
      <c r="BQ59" s="799">
        <f>IF(BQ$12=$F59+1,IF(Monthly!BM$4=TRUE,0,BQ$3),IF(BQ$12&gt;$F59+1,RentalsVacates!BP59*(1-IF(BQ$12-$F59&lt;=12,SUMIFS('Attrition Modeling'!$D:$D,'Attrition Modeling'!$B:$B,$E59,'Attrition Modeling'!$C:$C,BQ$11),VLOOKUP(RentalsVacates!BQ$12-RentalsVacates!$F59-1,RentalsVacates!$A$8:$C$162,2,FALSE)*VLOOKUP(BQ$11,'Attrition Modeling'!$L$15:$N$27,IF(BQ$12-$F59&lt;=24,2,3),FALSE))*(1+IF('Traditional Attrition'!BQ181&gt;0,'Attrition Modeling'!$N$9,0))),0))</f>
        <v>1747.7845001532201</v>
      </c>
      <c r="BR59" s="799">
        <f>IF(BR$12=$F59+1,IF(Monthly!BN$4=TRUE,0,BR$3),IF(BR$12&gt;$F59+1,RentalsVacates!BQ59*(1-IF(BR$12-$F59&lt;=12,SUMIFS('Attrition Modeling'!$D:$D,'Attrition Modeling'!$B:$B,$E59,'Attrition Modeling'!$C:$C,BR$11),VLOOKUP(RentalsVacates!BR$12-RentalsVacates!$F59-1,RentalsVacates!$A$8:$C$162,2,FALSE)*VLOOKUP(BR$11,'Attrition Modeling'!$L$15:$N$27,IF(BR$12-$F59&lt;=24,2,3),FALSE))*(1+IF('Traditional Attrition'!BR181&gt;0,'Attrition Modeling'!$N$9,0))),0))</f>
        <v>1671.9564186398336</v>
      </c>
      <c r="BS59" s="799">
        <f>IF(BS$12=$F59+1,IF(Monthly!BO$4=TRUE,0,BS$3),IF(BS$12&gt;$F59+1,RentalsVacates!BR59*(1-IF(BS$12-$F59&lt;=12,SUMIFS('Attrition Modeling'!$D:$D,'Attrition Modeling'!$B:$B,$E59,'Attrition Modeling'!$C:$C,BS$11),VLOOKUP(RentalsVacates!BS$12-RentalsVacates!$F59-1,RentalsVacates!$A$8:$C$162,2,FALSE)*VLOOKUP(BS$11,'Attrition Modeling'!$L$15:$N$27,IF(BS$12-$F59&lt;=24,2,3),FALSE))*(1+IF('Traditional Attrition'!BS181&gt;0,'Attrition Modeling'!$N$9,0))),0))</f>
        <v>1588.4894135012223</v>
      </c>
      <c r="BT59" s="799">
        <f>IF(BT$11=$F58+1,IF(Monthly!#REF!=TRUE,0,BT$3),IF(BT$11&gt;$F58+1,RentalsVacates!BS58*(1-IF(BT$11-$F58&lt;=12,SUMIFS('Attrition Modeling'!$D:$D,'Attrition Modeling'!$B:$B,$E58,'Attrition Modeling'!$C:$C,BT$10),VLOOKUP(RentalsVacates!BT$11-RentalsVacates!$F58-1,RentalsVacates!$A$7:$C$161,2,FALSE)*VLOOKUP(BT$10,'Attrition Modeling'!$L$15:$N$27,IF(BT$11-$F58&lt;=24,2,3),FALSE))*(1+IF('Traditional Attrition'!BT181&gt;0,'Attrition Modeling'!$N$9,0))),0))</f>
        <v>0</v>
      </c>
      <c r="BU59" s="799">
        <f>IF(BU$11=$F58+1,IF(Monthly!#REF!=TRUE,0,BU$3),IF(BU$11&gt;$F58+1,RentalsVacates!BT58*(1-IF(BU$11-$F58&lt;=12,SUMIFS('Attrition Modeling'!$D:$D,'Attrition Modeling'!$B:$B,$E58,'Attrition Modeling'!$C:$C,BU$10),VLOOKUP(RentalsVacates!BU$11-RentalsVacates!$F58-1,RentalsVacates!$A$7:$C$161,2,FALSE)*VLOOKUP(BU$10,'Attrition Modeling'!$L$15:$N$27,IF(BU$11-$F58&lt;=24,2,3),FALSE))*(1+IF('Traditional Attrition'!BU181&gt;0,'Attrition Modeling'!$N$9,0))),0))</f>
        <v>0</v>
      </c>
    </row>
    <row r="60" spans="1:73" ht="14.25" customHeight="1" x14ac:dyDescent="0.2">
      <c r="A60" s="9">
        <v>52</v>
      </c>
      <c r="B60" s="25">
        <f>MAX('Attrition Modeling'!H56,$C$3)*(1-Summary!$C$20)</f>
        <v>2.4391082351935767E-2</v>
      </c>
      <c r="C60" s="24" t="e">
        <f t="shared" si="2"/>
        <v>#DIV/0!</v>
      </c>
      <c r="E60" s="11">
        <f>'Traditional Attrition'!E117</f>
        <v>11</v>
      </c>
      <c r="F60" s="11">
        <f t="shared" si="4"/>
        <v>47</v>
      </c>
      <c r="G60" s="799"/>
      <c r="H60" s="799">
        <f>IF(H$12=$F60+1,IF(Monthly!D$4=TRUE,0,H$3),IF(H$12&gt;$F60+1,RentalsVacates!G60*(1-IF(H$12-$F60&lt;=12,SUMIFS('Attrition Modeling'!$D:$D,'Attrition Modeling'!$B:$B,$E60,'Attrition Modeling'!$C:$C,H$11),VLOOKUP(RentalsVacates!H$12-RentalsVacates!$F60-1,RentalsVacates!$A$8:$C$162,2,FALSE)*VLOOKUP(H$11,'Attrition Modeling'!$L$15:$N$27,IF(H$12-$F60&lt;=24,2,3),FALSE))*(1+IF('Traditional Attrition'!H182&gt;0,'Attrition Modeling'!$N$9,0))),0))</f>
        <v>0</v>
      </c>
      <c r="I60" s="799">
        <f>IF(I$12=$F60+1,IF(Monthly!E$4=TRUE,0,I$3),IF(I$12&gt;$F60+1,RentalsVacates!H60*(1-IF(I$12-$F60&lt;=12,SUMIFS('Attrition Modeling'!$D:$D,'Attrition Modeling'!$B:$B,$E60,'Attrition Modeling'!$C:$C,I$11),VLOOKUP(RentalsVacates!I$12-RentalsVacates!$F60-1,RentalsVacates!$A$8:$C$162,2,FALSE)*VLOOKUP(I$11,'Attrition Modeling'!$L$15:$N$27,IF(I$12-$F60&lt;=24,2,3),FALSE))*(1+IF('Traditional Attrition'!I182&gt;0,'Attrition Modeling'!$N$9,0))),0))</f>
        <v>0</v>
      </c>
      <c r="J60" s="799">
        <f>IF(J$12=$F60+1,IF(Monthly!F$4=TRUE,0,J$3),IF(J$12&gt;$F60+1,RentalsVacates!I60*(1-IF(J$12-$F60&lt;=12,SUMIFS('Attrition Modeling'!$D:$D,'Attrition Modeling'!$B:$B,$E60,'Attrition Modeling'!$C:$C,J$11),VLOOKUP(RentalsVacates!J$12-RentalsVacates!$F60-1,RentalsVacates!$A$8:$C$162,2,FALSE)*VLOOKUP(J$11,'Attrition Modeling'!$L$15:$N$27,IF(J$12-$F60&lt;=24,2,3),FALSE))*(1+IF('Traditional Attrition'!J182&gt;0,'Attrition Modeling'!$N$9,0))),0))</f>
        <v>0</v>
      </c>
      <c r="K60" s="799">
        <f>IF(K$12=$F60+1,IF(Monthly!G$4=TRUE,0,K$3),IF(K$12&gt;$F60+1,RentalsVacates!J60*(1-IF(K$12-$F60&lt;=12,SUMIFS('Attrition Modeling'!$D:$D,'Attrition Modeling'!$B:$B,$E60,'Attrition Modeling'!$C:$C,K$11),VLOOKUP(RentalsVacates!K$12-RentalsVacates!$F60-1,RentalsVacates!$A$8:$C$162,2,FALSE)*VLOOKUP(K$11,'Attrition Modeling'!$L$15:$N$27,IF(K$12-$F60&lt;=24,2,3),FALSE))*(1+IF('Traditional Attrition'!K182&gt;0,'Attrition Modeling'!$N$9,0))),0))</f>
        <v>0</v>
      </c>
      <c r="L60" s="799">
        <f>IF(L$12=$F60+1,IF(Monthly!H$4=TRUE,0,L$3),IF(L$12&gt;$F60+1,RentalsVacates!K60*(1-IF(L$12-$F60&lt;=12,SUMIFS('Attrition Modeling'!$D:$D,'Attrition Modeling'!$B:$B,$E60,'Attrition Modeling'!$C:$C,L$11),VLOOKUP(RentalsVacates!L$12-RentalsVacates!$F60-1,RentalsVacates!$A$8:$C$162,2,FALSE)*VLOOKUP(L$11,'Attrition Modeling'!$L$15:$N$27,IF(L$12-$F60&lt;=24,2,3),FALSE))*(1+IF('Traditional Attrition'!L182&gt;0,'Attrition Modeling'!$N$9,0))),0))</f>
        <v>0</v>
      </c>
      <c r="M60" s="799">
        <f>IF(M$12=$F60+1,IF(Monthly!I$4=TRUE,0,M$3),IF(M$12&gt;$F60+1,RentalsVacates!L60*(1-IF(M$12-$F60&lt;=12,SUMIFS('Attrition Modeling'!$D:$D,'Attrition Modeling'!$B:$B,$E60,'Attrition Modeling'!$C:$C,M$11),VLOOKUP(RentalsVacates!M$12-RentalsVacates!$F60-1,RentalsVacates!$A$8:$C$162,2,FALSE)*VLOOKUP(M$11,'Attrition Modeling'!$L$15:$N$27,IF(M$12-$F60&lt;=24,2,3),FALSE))*(1+IF('Traditional Attrition'!M182&gt;0,'Attrition Modeling'!$N$9,0))),0))</f>
        <v>0</v>
      </c>
      <c r="N60" s="799">
        <f>IF(N$12=$F60+1,IF(Monthly!J$4=TRUE,0,N$3),IF(N$12&gt;$F60+1,RentalsVacates!M60*(1-IF(N$12-$F60&lt;=12,SUMIFS('Attrition Modeling'!$D:$D,'Attrition Modeling'!$B:$B,$E60,'Attrition Modeling'!$C:$C,N$11),VLOOKUP(RentalsVacates!N$12-RentalsVacates!$F60-1,RentalsVacates!$A$8:$C$162,2,FALSE)*VLOOKUP(N$11,'Attrition Modeling'!$L$15:$N$27,IF(N$12-$F60&lt;=24,2,3),FALSE))*(1+IF('Traditional Attrition'!N182&gt;0,'Attrition Modeling'!$N$9,0))),0))</f>
        <v>0</v>
      </c>
      <c r="O60" s="799">
        <f>IF(O$12=$F60+1,IF(Monthly!K$4=TRUE,0,O$3),IF(O$12&gt;$F60+1,RentalsVacates!N60*(1-IF(O$12-$F60&lt;=12,SUMIFS('Attrition Modeling'!$D:$D,'Attrition Modeling'!$B:$B,$E60,'Attrition Modeling'!$C:$C,O$11),VLOOKUP(RentalsVacates!O$12-RentalsVacates!$F60-1,RentalsVacates!$A$8:$C$162,2,FALSE)*VLOOKUP(O$11,'Attrition Modeling'!$L$15:$N$27,IF(O$12-$F60&lt;=24,2,3),FALSE))*(1+IF('Traditional Attrition'!O182&gt;0,'Attrition Modeling'!$N$9,0))),0))</f>
        <v>0</v>
      </c>
      <c r="P60" s="799">
        <f>IF(P$12=$F60+1,IF(Monthly!L$4=TRUE,0,P$3),IF(P$12&gt;$F60+1,RentalsVacates!O60*(1-IF(P$12-$F60&lt;=12,SUMIFS('Attrition Modeling'!$D:$D,'Attrition Modeling'!$B:$B,$E60,'Attrition Modeling'!$C:$C,P$11),VLOOKUP(RentalsVacates!P$12-RentalsVacates!$F60-1,RentalsVacates!$A$8:$C$162,2,FALSE)*VLOOKUP(P$11,'Attrition Modeling'!$L$15:$N$27,IF(P$12-$F60&lt;=24,2,3),FALSE))*(1+IF('Traditional Attrition'!P182&gt;0,'Attrition Modeling'!$N$9,0))),0))</f>
        <v>0</v>
      </c>
      <c r="Q60" s="799">
        <f>IF(Q$12=$F60+1,IF(Monthly!M$4=TRUE,0,Q$3),IF(Q$12&gt;$F60+1,RentalsVacates!P60*(1-IF(Q$12-$F60&lt;=12,SUMIFS('Attrition Modeling'!$D:$D,'Attrition Modeling'!$B:$B,$E60,'Attrition Modeling'!$C:$C,Q$11),VLOOKUP(RentalsVacates!Q$12-RentalsVacates!$F60-1,RentalsVacates!$A$8:$C$162,2,FALSE)*VLOOKUP(Q$11,'Attrition Modeling'!$L$15:$N$27,IF(Q$12-$F60&lt;=24,2,3),FALSE))*(1+IF('Traditional Attrition'!Q182&gt;0,'Attrition Modeling'!$N$9,0))),0))</f>
        <v>0</v>
      </c>
      <c r="R60" s="799">
        <f>IF(R$12=$F60+1,IF(Monthly!N$4=TRUE,0,R$3),IF(R$12&gt;$F60+1,RentalsVacates!Q60*(1-IF(R$12-$F60&lt;=12,SUMIFS('Attrition Modeling'!$D:$D,'Attrition Modeling'!$B:$B,$E60,'Attrition Modeling'!$C:$C,R$11),VLOOKUP(RentalsVacates!R$12-RentalsVacates!$F60-1,RentalsVacates!$A$8:$C$162,2,FALSE)*VLOOKUP(R$11,'Attrition Modeling'!$L$15:$N$27,IF(R$12-$F60&lt;=24,2,3),FALSE))*(1+IF('Traditional Attrition'!R182&gt;0,'Attrition Modeling'!$N$9,0))),0))</f>
        <v>0</v>
      </c>
      <c r="S60" s="799">
        <f>IF(S$12=$F60+1,IF(Monthly!O$4=TRUE,0,S$3),IF(S$12&gt;$F60+1,RentalsVacates!R60*(1-IF(S$12-$F60&lt;=12,SUMIFS('Attrition Modeling'!$D:$D,'Attrition Modeling'!$B:$B,$E60,'Attrition Modeling'!$C:$C,S$11),VLOOKUP(RentalsVacates!S$12-RentalsVacates!$F60-1,RentalsVacates!$A$8:$C$162,2,FALSE)*VLOOKUP(S$11,'Attrition Modeling'!$L$15:$N$27,IF(S$12-$F60&lt;=24,2,3),FALSE))*(1+IF('Traditional Attrition'!S182&gt;0,'Attrition Modeling'!$N$9,0))),0))</f>
        <v>0</v>
      </c>
      <c r="T60" s="799">
        <f>IF(T$12=$F60+1,IF(Monthly!P$4=TRUE,0,T$3),IF(T$12&gt;$F60+1,RentalsVacates!S60*(1-IF(T$12-$F60&lt;=12,SUMIFS('Attrition Modeling'!$D:$D,'Attrition Modeling'!$B:$B,$E60,'Attrition Modeling'!$C:$C,T$11),VLOOKUP(RentalsVacates!T$12-RentalsVacates!$F60-1,RentalsVacates!$A$8:$C$162,2,FALSE)*VLOOKUP(T$11,'Attrition Modeling'!$L$15:$N$27,IF(T$12-$F60&lt;=24,2,3),FALSE))*(1+IF('Traditional Attrition'!T182&gt;0,'Attrition Modeling'!$N$9,0))),0))</f>
        <v>0</v>
      </c>
      <c r="U60" s="799">
        <f>IF(U$12=$F60+1,IF(Monthly!Q$4=TRUE,0,U$3),IF(U$12&gt;$F60+1,RentalsVacates!T60*(1-IF(U$12-$F60&lt;=12,SUMIFS('Attrition Modeling'!$D:$D,'Attrition Modeling'!$B:$B,$E60,'Attrition Modeling'!$C:$C,U$11),VLOOKUP(RentalsVacates!U$12-RentalsVacates!$F60-1,RentalsVacates!$A$8:$C$162,2,FALSE)*VLOOKUP(U$11,'Attrition Modeling'!$L$15:$N$27,IF(U$12-$F60&lt;=24,2,3),FALSE))*(1+IF('Traditional Attrition'!U182&gt;0,'Attrition Modeling'!$N$9,0))),0))</f>
        <v>0</v>
      </c>
      <c r="V60" s="799">
        <f>IF(V$12=$F60+1,IF(Monthly!R$4=TRUE,0,V$3),IF(V$12&gt;$F60+1,RentalsVacates!U60*(1-IF(V$12-$F60&lt;=12,SUMIFS('Attrition Modeling'!$D:$D,'Attrition Modeling'!$B:$B,$E60,'Attrition Modeling'!$C:$C,V$11),VLOOKUP(RentalsVacates!V$12-RentalsVacates!$F60-1,RentalsVacates!$A$8:$C$162,2,FALSE)*VLOOKUP(V$11,'Attrition Modeling'!$L$15:$N$27,IF(V$12-$F60&lt;=24,2,3),FALSE))*(1+IF('Traditional Attrition'!V182&gt;0,'Attrition Modeling'!$N$9,0))),0))</f>
        <v>0</v>
      </c>
      <c r="W60" s="799">
        <f>IF(W$12=$F60+1,IF(Monthly!S$4=TRUE,0,W$3),IF(W$12&gt;$F60+1,RentalsVacates!V60*(1-IF(W$12-$F60&lt;=12,SUMIFS('Attrition Modeling'!$D:$D,'Attrition Modeling'!$B:$B,$E60,'Attrition Modeling'!$C:$C,W$11),VLOOKUP(RentalsVacates!W$12-RentalsVacates!$F60-1,RentalsVacates!$A$8:$C$162,2,FALSE)*VLOOKUP(W$11,'Attrition Modeling'!$L$15:$N$27,IF(W$12-$F60&lt;=24,2,3),FALSE))*(1+IF('Traditional Attrition'!W182&gt;0,'Attrition Modeling'!$N$9,0))),0))</f>
        <v>0</v>
      </c>
      <c r="X60" s="799">
        <f>IF(X$12=$F60+1,IF(Monthly!T$4=TRUE,0,X$3),IF(X$12&gt;$F60+1,RentalsVacates!W60*(1-IF(X$12-$F60&lt;=12,SUMIFS('Attrition Modeling'!$D:$D,'Attrition Modeling'!$B:$B,$E60,'Attrition Modeling'!$C:$C,X$11),VLOOKUP(RentalsVacates!X$12-RentalsVacates!$F60-1,RentalsVacates!$A$8:$C$162,2,FALSE)*VLOOKUP(X$11,'Attrition Modeling'!$L$15:$N$27,IF(X$12-$F60&lt;=24,2,3),FALSE))*(1+IF('Traditional Attrition'!X182&gt;0,'Attrition Modeling'!$N$9,0))),0))</f>
        <v>0</v>
      </c>
      <c r="Y60" s="799">
        <f>IF(Y$12=$F60+1,IF(Monthly!U$4=TRUE,0,Y$3),IF(Y$12&gt;$F60+1,RentalsVacates!X60*(1-IF(Y$12-$F60&lt;=12,SUMIFS('Attrition Modeling'!$D:$D,'Attrition Modeling'!$B:$B,$E60,'Attrition Modeling'!$C:$C,Y$11),VLOOKUP(RentalsVacates!Y$12-RentalsVacates!$F60-1,RentalsVacates!$A$8:$C$162,2,FALSE)*VLOOKUP(Y$11,'Attrition Modeling'!$L$15:$N$27,IF(Y$12-$F60&lt;=24,2,3),FALSE))*(1+IF('Traditional Attrition'!Y182&gt;0,'Attrition Modeling'!$N$9,0))),0))</f>
        <v>0</v>
      </c>
      <c r="Z60" s="799">
        <f>IF(Z$12=$F60+1,IF(Monthly!V$4=TRUE,0,Z$3),IF(Z$12&gt;$F60+1,RentalsVacates!Y60*(1-IF(Z$12-$F60&lt;=12,SUMIFS('Attrition Modeling'!$D:$D,'Attrition Modeling'!$B:$B,$E60,'Attrition Modeling'!$C:$C,Z$11),VLOOKUP(RentalsVacates!Z$12-RentalsVacates!$F60-1,RentalsVacates!$A$8:$C$162,2,FALSE)*VLOOKUP(Z$11,'Attrition Modeling'!$L$15:$N$27,IF(Z$12-$F60&lt;=24,2,3),FALSE))*(1+IF('Traditional Attrition'!Z182&gt;0,'Attrition Modeling'!$N$9,0))),0))</f>
        <v>0</v>
      </c>
      <c r="AA60" s="799">
        <f>IF(AA$12=$F60+1,IF(Monthly!W$4=TRUE,0,AA$3),IF(AA$12&gt;$F60+1,RentalsVacates!Z60*(1-IF(AA$12-$F60&lt;=12,SUMIFS('Attrition Modeling'!$D:$D,'Attrition Modeling'!$B:$B,$E60,'Attrition Modeling'!$C:$C,AA$11),VLOOKUP(RentalsVacates!AA$12-RentalsVacates!$F60-1,RentalsVacates!$A$8:$C$162,2,FALSE)*VLOOKUP(AA$11,'Attrition Modeling'!$L$15:$N$27,IF(AA$12-$F60&lt;=24,2,3),FALSE))*(1+IF('Traditional Attrition'!AA182&gt;0,'Attrition Modeling'!$N$9,0))),0))</f>
        <v>0</v>
      </c>
      <c r="AB60" s="799">
        <f>IF(AB$12=$F60+1,IF(Monthly!X$4=TRUE,0,AB$3),IF(AB$12&gt;$F60+1,RentalsVacates!AA60*(1-IF(AB$12-$F60&lt;=12,SUMIFS('Attrition Modeling'!$D:$D,'Attrition Modeling'!$B:$B,$E60,'Attrition Modeling'!$C:$C,AB$11),VLOOKUP(RentalsVacates!AB$12-RentalsVacates!$F60-1,RentalsVacates!$A$8:$C$162,2,FALSE)*VLOOKUP(AB$11,'Attrition Modeling'!$L$15:$N$27,IF(AB$12-$F60&lt;=24,2,3),FALSE))*(1+IF('Traditional Attrition'!AB182&gt;0,'Attrition Modeling'!$N$9,0))),0))</f>
        <v>0</v>
      </c>
      <c r="AC60" s="799">
        <f>IF(AC$12=$F60+1,IF(Monthly!Y$4=TRUE,0,AC$3),IF(AC$12&gt;$F60+1,RentalsVacates!AB60*(1-IF(AC$12-$F60&lt;=12,SUMIFS('Attrition Modeling'!$D:$D,'Attrition Modeling'!$B:$B,$E60,'Attrition Modeling'!$C:$C,AC$11),VLOOKUP(RentalsVacates!AC$12-RentalsVacates!$F60-1,RentalsVacates!$A$8:$C$162,2,FALSE)*VLOOKUP(AC$11,'Attrition Modeling'!$L$15:$N$27,IF(AC$12-$F60&lt;=24,2,3),FALSE))*(1+IF('Traditional Attrition'!AC182&gt;0,'Attrition Modeling'!$N$9,0))),0))</f>
        <v>0</v>
      </c>
      <c r="AD60" s="799">
        <f>IF(AD$12=$F60+1,IF(Monthly!Z$4=TRUE,0,AD$3),IF(AD$12&gt;$F60+1,RentalsVacates!AC60*(1-IF(AD$12-$F60&lt;=12,SUMIFS('Attrition Modeling'!$D:$D,'Attrition Modeling'!$B:$B,$E60,'Attrition Modeling'!$C:$C,AD$11),VLOOKUP(RentalsVacates!AD$12-RentalsVacates!$F60-1,RentalsVacates!$A$8:$C$162,2,FALSE)*VLOOKUP(AD$11,'Attrition Modeling'!$L$15:$N$27,IF(AD$12-$F60&lt;=24,2,3),FALSE))*(1+IF('Traditional Attrition'!AD182&gt;0,'Attrition Modeling'!$N$9,0))),0))</f>
        <v>0</v>
      </c>
      <c r="AE60" s="799">
        <f>IF(AE$12=$F60+1,IF(Monthly!AA$4=TRUE,0,AE$3),IF(AE$12&gt;$F60+1,RentalsVacates!AD60*(1-IF(AE$12-$F60&lt;=12,SUMIFS('Attrition Modeling'!$D:$D,'Attrition Modeling'!$B:$B,$E60,'Attrition Modeling'!$C:$C,AE$11),VLOOKUP(RentalsVacates!AE$12-RentalsVacates!$F60-1,RentalsVacates!$A$8:$C$162,2,FALSE)*VLOOKUP(AE$11,'Attrition Modeling'!$L$15:$N$27,IF(AE$12-$F60&lt;=24,2,3),FALSE))*(1+IF('Traditional Attrition'!AE182&gt;0,'Attrition Modeling'!$N$9,0))),0))</f>
        <v>0</v>
      </c>
      <c r="AF60" s="799">
        <f>IF(AF$12=$F60+1,IF(Monthly!AB$4=TRUE,0,AF$3),IF(AF$12&gt;$F60+1,RentalsVacates!AE60*(1-IF(AF$12-$F60&lt;=12,SUMIFS('Attrition Modeling'!$D:$D,'Attrition Modeling'!$B:$B,$E60,'Attrition Modeling'!$C:$C,AF$11),VLOOKUP(RentalsVacates!AF$12-RentalsVacates!$F60-1,RentalsVacates!$A$8:$C$162,2,FALSE)*VLOOKUP(AF$11,'Attrition Modeling'!$L$15:$N$27,IF(AF$12-$F60&lt;=24,2,3),FALSE))*(1+IF('Traditional Attrition'!AF182&gt;0,'Attrition Modeling'!$N$9,0))),0))</f>
        <v>0</v>
      </c>
      <c r="AG60" s="799">
        <f>IF(AG$12=$F60+1,IF(Monthly!AC$4=TRUE,0,AG$3),IF(AG$12&gt;$F60+1,RentalsVacates!AF60*(1-IF(AG$12-$F60&lt;=12,SUMIFS('Attrition Modeling'!$D:$D,'Attrition Modeling'!$B:$B,$E60,'Attrition Modeling'!$C:$C,AG$11),VLOOKUP(RentalsVacates!AG$12-RentalsVacates!$F60-1,RentalsVacates!$A$8:$C$162,2,FALSE)*VLOOKUP(AG$11,'Attrition Modeling'!$L$15:$N$27,IF(AG$12-$F60&lt;=24,2,3),FALSE))*(1+IF('Traditional Attrition'!AG182&gt;0,'Attrition Modeling'!$N$9,0))),0))</f>
        <v>0</v>
      </c>
      <c r="AH60" s="799">
        <f>IF(AH$12=$F60+1,IF(Monthly!AD$4=TRUE,0,AH$3),IF(AH$12&gt;$F60+1,RentalsVacates!AG60*(1-IF(AH$12-$F60&lt;=12,SUMIFS('Attrition Modeling'!$D:$D,'Attrition Modeling'!$B:$B,$E60,'Attrition Modeling'!$C:$C,AH$11),VLOOKUP(RentalsVacates!AH$12-RentalsVacates!$F60-1,RentalsVacates!$A$8:$C$162,2,FALSE)*VLOOKUP(AH$11,'Attrition Modeling'!$L$15:$N$27,IF(AH$12-$F60&lt;=24,2,3),FALSE))*(1+IF('Traditional Attrition'!AH182&gt;0,'Attrition Modeling'!$N$9,0))),0))</f>
        <v>0</v>
      </c>
      <c r="AI60" s="799">
        <f>IF(AI$12=$F60+1,IF(Monthly!AE$4=TRUE,0,AI$3),IF(AI$12&gt;$F60+1,RentalsVacates!AH60*(1-IF(AI$12-$F60&lt;=12,SUMIFS('Attrition Modeling'!$D:$D,'Attrition Modeling'!$B:$B,$E60,'Attrition Modeling'!$C:$C,AI$11),VLOOKUP(RentalsVacates!AI$12-RentalsVacates!$F60-1,RentalsVacates!$A$8:$C$162,2,FALSE)*VLOOKUP(AI$11,'Attrition Modeling'!$L$15:$N$27,IF(AI$12-$F60&lt;=24,2,3),FALSE))*(1+IF('Traditional Attrition'!AI182&gt;0,'Attrition Modeling'!$N$9,0))),0))</f>
        <v>0</v>
      </c>
      <c r="AJ60" s="799">
        <f>IF(AJ$12=$F60+1,IF(Monthly!AF$4=TRUE,0,AJ$3),IF(AJ$12&gt;$F60+1,RentalsVacates!AI60*(1-IF(AJ$12-$F60&lt;=12,SUMIFS('Attrition Modeling'!$D:$D,'Attrition Modeling'!$B:$B,$E60,'Attrition Modeling'!$C:$C,AJ$11),VLOOKUP(RentalsVacates!AJ$12-RentalsVacates!$F60-1,RentalsVacates!$A$8:$C$162,2,FALSE)*VLOOKUP(AJ$11,'Attrition Modeling'!$L$15:$N$27,IF(AJ$12-$F60&lt;=24,2,3),FALSE))*(1+IF('Traditional Attrition'!AJ182&gt;0,'Attrition Modeling'!$N$9,0))),0))</f>
        <v>0</v>
      </c>
      <c r="AK60" s="799">
        <f>IF(AK$12=$F60+1,IF(Monthly!AG$4=TRUE,0,AK$3),IF(AK$12&gt;$F60+1,RentalsVacates!AJ60*(1-IF(AK$12-$F60&lt;=12,SUMIFS('Attrition Modeling'!$D:$D,'Attrition Modeling'!$B:$B,$E60,'Attrition Modeling'!$C:$C,AK$11),VLOOKUP(RentalsVacates!AK$12-RentalsVacates!$F60-1,RentalsVacates!$A$8:$C$162,2,FALSE)*VLOOKUP(AK$11,'Attrition Modeling'!$L$15:$N$27,IF(AK$12-$F60&lt;=24,2,3),FALSE))*(1+IF('Traditional Attrition'!AK182&gt;0,'Attrition Modeling'!$N$9,0))),0))</f>
        <v>0</v>
      </c>
      <c r="AL60" s="799">
        <f>IF(AL$12=$F60+1,IF(Monthly!AH$4=TRUE,0,AL$3),IF(AL$12&gt;$F60+1,RentalsVacates!AK60*(1-IF(AL$12-$F60&lt;=12,SUMIFS('Attrition Modeling'!$D:$D,'Attrition Modeling'!$B:$B,$E60,'Attrition Modeling'!$C:$C,AL$11),VLOOKUP(RentalsVacates!AL$12-RentalsVacates!$F60-1,RentalsVacates!$A$8:$C$162,2,FALSE)*VLOOKUP(AL$11,'Attrition Modeling'!$L$15:$N$27,IF(AL$12-$F60&lt;=24,2,3),FALSE))*(1+IF('Traditional Attrition'!AL182&gt;0,'Attrition Modeling'!$N$9,0))),0))</f>
        <v>0</v>
      </c>
      <c r="AM60" s="799">
        <f>IF(AM$12=$F60+1,IF(Monthly!AI$4=TRUE,0,AM$3),IF(AM$12&gt;$F60+1,RentalsVacates!AL60*(1-IF(AM$12-$F60&lt;=12,SUMIFS('Attrition Modeling'!$D:$D,'Attrition Modeling'!$B:$B,$E60,'Attrition Modeling'!$C:$C,AM$11),VLOOKUP(RentalsVacates!AM$12-RentalsVacates!$F60-1,RentalsVacates!$A$8:$C$162,2,FALSE)*VLOOKUP(AM$11,'Attrition Modeling'!$L$15:$N$27,IF(AM$12-$F60&lt;=24,2,3),FALSE))*(1+IF('Traditional Attrition'!AM182&gt;0,'Attrition Modeling'!$N$9,0))),0))</f>
        <v>0</v>
      </c>
      <c r="AN60" s="799">
        <f>IF(AN$12=$F60+1,IF(Monthly!AJ$4=TRUE,0,AN$3),IF(AN$12&gt;$F60+1,RentalsVacates!AM60*(1-IF(AN$12-$F60&lt;=12,SUMIFS('Attrition Modeling'!$D:$D,'Attrition Modeling'!$B:$B,$E60,'Attrition Modeling'!$C:$C,AN$11),VLOOKUP(RentalsVacates!AN$12-RentalsVacates!$F60-1,RentalsVacates!$A$8:$C$162,2,FALSE)*VLOOKUP(AN$11,'Attrition Modeling'!$L$15:$N$27,IF(AN$12-$F60&lt;=24,2,3),FALSE))*(1+IF('Traditional Attrition'!AN182&gt;0,'Attrition Modeling'!$N$9,0))),0))</f>
        <v>0</v>
      </c>
      <c r="AO60" s="799">
        <f>IF(AO$12=$F60+1,IF(Monthly!AK$4=TRUE,0,AO$3),IF(AO$12&gt;$F60+1,RentalsVacates!AN60*(1-IF(AO$12-$F60&lt;=12,SUMIFS('Attrition Modeling'!$D:$D,'Attrition Modeling'!$B:$B,$E60,'Attrition Modeling'!$C:$C,AO$11),VLOOKUP(RentalsVacates!AO$12-RentalsVacates!$F60-1,RentalsVacates!$A$8:$C$162,2,FALSE)*VLOOKUP(AO$11,'Attrition Modeling'!$L$15:$N$27,IF(AO$12-$F60&lt;=24,2,3),FALSE))*(1+IF('Traditional Attrition'!AO182&gt;0,'Attrition Modeling'!$N$9,0))),0))</f>
        <v>0</v>
      </c>
      <c r="AP60" s="799">
        <f>IF(AP$12=$F60+1,IF(Monthly!AL$4=TRUE,0,AP$3),IF(AP$12&gt;$F60+1,RentalsVacates!AO60*(1-IF(AP$12-$F60&lt;=12,SUMIFS('Attrition Modeling'!$D:$D,'Attrition Modeling'!$B:$B,$E60,'Attrition Modeling'!$C:$C,AP$11),VLOOKUP(RentalsVacates!AP$12-RentalsVacates!$F60-1,RentalsVacates!$A$8:$C$162,2,FALSE)*VLOOKUP(AP$11,'Attrition Modeling'!$L$15:$N$27,IF(AP$12-$F60&lt;=24,2,3),FALSE))*(1+IF('Traditional Attrition'!AP182&gt;0,'Attrition Modeling'!$N$9,0))),0))</f>
        <v>0</v>
      </c>
      <c r="AQ60" s="799">
        <f>IF(AQ$12=$F60+1,IF(Monthly!AM$4=TRUE,0,AQ$3),IF(AQ$12&gt;$F60+1,RentalsVacates!AP60*(1-IF(AQ$12-$F60&lt;=12,SUMIFS('Attrition Modeling'!$D:$D,'Attrition Modeling'!$B:$B,$E60,'Attrition Modeling'!$C:$C,AQ$11),VLOOKUP(RentalsVacates!AQ$12-RentalsVacates!$F60-1,RentalsVacates!$A$8:$C$162,2,FALSE)*VLOOKUP(AQ$11,'Attrition Modeling'!$L$15:$N$27,IF(AQ$12-$F60&lt;=24,2,3),FALSE))*(1+IF('Traditional Attrition'!AQ182&gt;0,'Attrition Modeling'!$N$9,0))),0))</f>
        <v>0</v>
      </c>
      <c r="AR60" s="799">
        <f>IF(AR$12=$F60+1,IF(Monthly!AN$4=TRUE,0,AR$3),IF(AR$12&gt;$F60+1,RentalsVacates!AQ60*(1-IF(AR$12-$F60&lt;=12,SUMIFS('Attrition Modeling'!$D:$D,'Attrition Modeling'!$B:$B,$E60,'Attrition Modeling'!$C:$C,AR$11),VLOOKUP(RentalsVacates!AR$12-RentalsVacates!$F60-1,RentalsVacates!$A$8:$C$162,2,FALSE)*VLOOKUP(AR$11,'Attrition Modeling'!$L$15:$N$27,IF(AR$12-$F60&lt;=24,2,3),FALSE))*(1+IF('Traditional Attrition'!AR182&gt;0,'Attrition Modeling'!$N$9,0))),0))</f>
        <v>0</v>
      </c>
      <c r="AS60" s="799">
        <f>IF(AS$12=$F60+1,IF(Monthly!AO$4=TRUE,0,AS$3),IF(AS$12&gt;$F60+1,RentalsVacates!AR60*(1-IF(AS$12-$F60&lt;=12,SUMIFS('Attrition Modeling'!$D:$D,'Attrition Modeling'!$B:$B,$E60,'Attrition Modeling'!$C:$C,AS$11),VLOOKUP(RentalsVacates!AS$12-RentalsVacates!$F60-1,RentalsVacates!$A$8:$C$162,2,FALSE)*VLOOKUP(AS$11,'Attrition Modeling'!$L$15:$N$27,IF(AS$12-$F60&lt;=24,2,3),FALSE))*(1+IF('Traditional Attrition'!AS182&gt;0,'Attrition Modeling'!$N$9,0))),0))</f>
        <v>0</v>
      </c>
      <c r="AT60" s="799">
        <f>IF(AT$12=$F60+1,IF(Monthly!AP$4=TRUE,0,AT$3),IF(AT$12&gt;$F60+1,RentalsVacates!AS60*(1-IF(AT$12-$F60&lt;=12,SUMIFS('Attrition Modeling'!$D:$D,'Attrition Modeling'!$B:$B,$E60,'Attrition Modeling'!$C:$C,AT$11),VLOOKUP(RentalsVacates!AT$12-RentalsVacates!$F60-1,RentalsVacates!$A$8:$C$162,2,FALSE)*VLOOKUP(AT$11,'Attrition Modeling'!$L$15:$N$27,IF(AT$12-$F60&lt;=24,2,3),FALSE))*(1+IF('Traditional Attrition'!AT182&gt;0,'Attrition Modeling'!$N$9,0))),0))</f>
        <v>0</v>
      </c>
      <c r="AU60" s="799">
        <f>IF(AU$12=$F60+1,IF(Monthly!AQ$4=TRUE,0,AU$3),IF(AU$12&gt;$F60+1,RentalsVacates!AT60*(1-IF(AU$12-$F60&lt;=12,SUMIFS('Attrition Modeling'!$D:$D,'Attrition Modeling'!$B:$B,$E60,'Attrition Modeling'!$C:$C,AU$11),VLOOKUP(RentalsVacates!AU$12-RentalsVacates!$F60-1,RentalsVacates!$A$8:$C$162,2,FALSE)*VLOOKUP(AU$11,'Attrition Modeling'!$L$15:$N$27,IF(AU$12-$F60&lt;=24,2,3),FALSE))*(1+IF('Traditional Attrition'!AU182&gt;0,'Attrition Modeling'!$N$9,0))),0))</f>
        <v>0</v>
      </c>
      <c r="AV60" s="799">
        <f>IF(AV$12=$F60+1,IF(Monthly!AR$4=TRUE,0,AV$3),IF(AV$12&gt;$F60+1,RentalsVacates!AU60*(1-IF(AV$12-$F60&lt;=12,SUMIFS('Attrition Modeling'!$D:$D,'Attrition Modeling'!$B:$B,$E60,'Attrition Modeling'!$C:$C,AV$11),VLOOKUP(RentalsVacates!AV$12-RentalsVacates!$F60-1,RentalsVacates!$A$8:$C$162,2,FALSE)*VLOOKUP(AV$11,'Attrition Modeling'!$L$15:$N$27,IF(AV$12-$F60&lt;=24,2,3),FALSE))*(1+IF('Traditional Attrition'!AV182&gt;0,'Attrition Modeling'!$N$9,0))),0))</f>
        <v>0</v>
      </c>
      <c r="AW60" s="799">
        <f>IF(AW$12=$F60+1,IF(Monthly!AS$4=TRUE,0,AW$3),IF(AW$12&gt;$F60+1,RentalsVacates!AV60*(1-IF(AW$12-$F60&lt;=12,SUMIFS('Attrition Modeling'!$D:$D,'Attrition Modeling'!$B:$B,$E60,'Attrition Modeling'!$C:$C,AW$11),VLOOKUP(RentalsVacates!AW$12-RentalsVacates!$F60-1,RentalsVacates!$A$8:$C$162,2,FALSE)*VLOOKUP(AW$11,'Attrition Modeling'!$L$15:$N$27,IF(AW$12-$F60&lt;=24,2,3),FALSE))*(1+IF('Traditional Attrition'!AW182&gt;0,'Attrition Modeling'!$N$9,0))),0))</f>
        <v>0</v>
      </c>
      <c r="AX60" s="799">
        <f>IF(AX$12=$F60+1,IF(Monthly!AT$4=TRUE,0,AX$3),IF(AX$12&gt;$F60+1,RentalsVacates!AW60*(1-IF(AX$12-$F60&lt;=12,SUMIFS('Attrition Modeling'!$D:$D,'Attrition Modeling'!$B:$B,$E60,'Attrition Modeling'!$C:$C,AX$11),VLOOKUP(RentalsVacates!AX$12-RentalsVacates!$F60-1,RentalsVacates!$A$8:$C$162,2,FALSE)*VLOOKUP(AX$11,'Attrition Modeling'!$L$15:$N$27,IF(AX$12-$F60&lt;=24,2,3),FALSE))*(1+IF('Traditional Attrition'!AX182&gt;0,'Attrition Modeling'!$N$9,0))),0))</f>
        <v>0</v>
      </c>
      <c r="AY60" s="799">
        <f>IF(AY$12=$F60+1,IF(Monthly!AU$4=TRUE,0,AY$3),IF(AY$12&gt;$F60+1,RentalsVacates!AX60*(1-IF(AY$12-$F60&lt;=12,SUMIFS('Attrition Modeling'!$D:$D,'Attrition Modeling'!$B:$B,$E60,'Attrition Modeling'!$C:$C,AY$11),VLOOKUP(RentalsVacates!AY$12-RentalsVacates!$F60-1,RentalsVacates!$A$8:$C$162,2,FALSE)*VLOOKUP(AY$11,'Attrition Modeling'!$L$15:$N$27,IF(AY$12-$F60&lt;=24,2,3),FALSE))*(1+IF('Traditional Attrition'!AY182&gt;0,'Attrition Modeling'!$N$9,0))),0))</f>
        <v>0</v>
      </c>
      <c r="AZ60" s="799">
        <f>IF(AZ$12=$F60+1,IF(Monthly!AV$4=TRUE,0,AZ$3),IF(AZ$12&gt;$F60+1,RentalsVacates!AY60*(1-IF(AZ$12-$F60&lt;=12,SUMIFS('Attrition Modeling'!$D:$D,'Attrition Modeling'!$B:$B,$E60,'Attrition Modeling'!$C:$C,AZ$11),VLOOKUP(RentalsVacates!AZ$12-RentalsVacates!$F60-1,RentalsVacates!$A$8:$C$162,2,FALSE)*VLOOKUP(AZ$11,'Attrition Modeling'!$L$15:$N$27,IF(AZ$12-$F60&lt;=24,2,3),FALSE))*(1+IF('Traditional Attrition'!AZ182&gt;0,'Attrition Modeling'!$N$9,0))),0))</f>
        <v>0</v>
      </c>
      <c r="BA60" s="799">
        <f>IF(BA$12=$F60+1,IF(Monthly!AW$4=TRUE,0,BA$3),IF(BA$12&gt;$F60+1,RentalsVacates!AZ60*(1-IF(BA$12-$F60&lt;=12,SUMIFS('Attrition Modeling'!$D:$D,'Attrition Modeling'!$B:$B,$E60,'Attrition Modeling'!$C:$C,BA$11),VLOOKUP(RentalsVacates!BA$12-RentalsVacates!$F60-1,RentalsVacates!$A$8:$C$162,2,FALSE)*VLOOKUP(BA$11,'Attrition Modeling'!$L$15:$N$27,IF(BA$12-$F60&lt;=24,2,3),FALSE))*(1+IF('Traditional Attrition'!BA182&gt;0,'Attrition Modeling'!$N$9,0))),0))</f>
        <v>0</v>
      </c>
      <c r="BB60" s="799">
        <f>IF(BB$12=$F60+1,IF(Monthly!AX$4=TRUE,0,BB$3),IF(BB$12&gt;$F60+1,RentalsVacates!BA60*(1-IF(BB$12-$F60&lt;=12,SUMIFS('Attrition Modeling'!$D:$D,'Attrition Modeling'!$B:$B,$E60,'Attrition Modeling'!$C:$C,BB$11),VLOOKUP(RentalsVacates!BB$12-RentalsVacates!$F60-1,RentalsVacates!$A$8:$C$162,2,FALSE)*VLOOKUP(BB$11,'Attrition Modeling'!$L$15:$N$27,IF(BB$12-$F60&lt;=24,2,3),FALSE))*(1+IF('Traditional Attrition'!BB182&gt;0,'Attrition Modeling'!$N$9,0))),0))</f>
        <v>0</v>
      </c>
      <c r="BC60" s="799">
        <f>IF(BC$12=$F60+1,IF(Monthly!AY$4=TRUE,0,BC$3),IF(BC$12&gt;$F60+1,RentalsVacates!BB60*(1-IF(BC$12-$F60&lt;=12,SUMIFS('Attrition Modeling'!$D:$D,'Attrition Modeling'!$B:$B,$E60,'Attrition Modeling'!$C:$C,BC$11),VLOOKUP(RentalsVacates!BC$12-RentalsVacates!$F60-1,RentalsVacates!$A$8:$C$162,2,FALSE)*VLOOKUP(BC$11,'Attrition Modeling'!$L$15:$N$27,IF(BC$12-$F60&lt;=24,2,3),FALSE))*(1+IF('Traditional Attrition'!BC182&gt;0,'Attrition Modeling'!$N$9,0))),0))</f>
        <v>4830.8124164826004</v>
      </c>
      <c r="BD60" s="799">
        <f>IF(BD$12=$F60+1,IF(Monthly!AZ$4=TRUE,0,BD$3),IF(BD$12&gt;$F60+1,RentalsVacates!BC60*(1-IF(BD$12-$F60&lt;=12,SUMIFS('Attrition Modeling'!$D:$D,'Attrition Modeling'!$B:$B,$E60,'Attrition Modeling'!$C:$C,BD$11),VLOOKUP(RentalsVacates!BD$12-RentalsVacates!$F60-1,RentalsVacates!$A$8:$C$162,2,FALSE)*VLOOKUP(BD$11,'Attrition Modeling'!$L$15:$N$27,IF(BD$12-$F60&lt;=24,2,3),FALSE))*(1+IF('Traditional Attrition'!BD182&gt;0,'Attrition Modeling'!$N$9,0))),0))</f>
        <v>4392.1997692905461</v>
      </c>
      <c r="BE60" s="799">
        <f>IF(BE$12=$F60+1,IF(Monthly!BA$4=TRUE,0,BE$3),IF(BE$12&gt;$F60+1,RentalsVacates!BD60*(1-IF(BE$12-$F60&lt;=12,SUMIFS('Attrition Modeling'!$D:$D,'Attrition Modeling'!$B:$B,$E60,'Attrition Modeling'!$C:$C,BE$11),VLOOKUP(RentalsVacates!BE$12-RentalsVacates!$F60-1,RentalsVacates!$A$8:$C$162,2,FALSE)*VLOOKUP(BE$11,'Attrition Modeling'!$L$15:$N$27,IF(BE$12-$F60&lt;=24,2,3),FALSE))*(1+IF('Traditional Attrition'!BE182&gt;0,'Attrition Modeling'!$N$9,0))),0))</f>
        <v>4051.7218016588613</v>
      </c>
      <c r="BF60" s="799">
        <f>IF(BF$12=$F60+1,IF(Monthly!BB$4=TRUE,0,BF$3),IF(BF$12&gt;$F60+1,RentalsVacates!BE60*(1-IF(BF$12-$F60&lt;=12,SUMIFS('Attrition Modeling'!$D:$D,'Attrition Modeling'!$B:$B,$E60,'Attrition Modeling'!$C:$C,BF$11),VLOOKUP(RentalsVacates!BF$12-RentalsVacates!$F60-1,RentalsVacates!$A$8:$C$162,2,FALSE)*VLOOKUP(BF$11,'Attrition Modeling'!$L$15:$N$27,IF(BF$12-$F60&lt;=24,2,3),FALSE))*(1+IF('Traditional Attrition'!BF182&gt;0,'Attrition Modeling'!$N$9,0))),0))</f>
        <v>3690.917433840988</v>
      </c>
      <c r="BG60" s="799">
        <f>IF(BG$12=$F60+1,IF(Monthly!BC$4=TRUE,0,BG$3),IF(BG$12&gt;$F60+1,RentalsVacates!BF60*(1-IF(BG$12-$F60&lt;=12,SUMIFS('Attrition Modeling'!$D:$D,'Attrition Modeling'!$B:$B,$E60,'Attrition Modeling'!$C:$C,BG$11),VLOOKUP(RentalsVacates!BG$12-RentalsVacates!$F60-1,RentalsVacates!$A$8:$C$162,2,FALSE)*VLOOKUP(BG$11,'Attrition Modeling'!$L$15:$N$27,IF(BG$12-$F60&lt;=24,2,3),FALSE))*(1+IF('Traditional Attrition'!BG182&gt;0,'Attrition Modeling'!$N$9,0))),0))</f>
        <v>3400.4082384481367</v>
      </c>
      <c r="BH60" s="799">
        <f>IF(BH$12=$F60+1,IF(Monthly!BD$4=TRUE,0,BH$3),IF(BH$12&gt;$F60+1,RentalsVacates!BG60*(1-IF(BH$12-$F60&lt;=12,SUMIFS('Attrition Modeling'!$D:$D,'Attrition Modeling'!$B:$B,$E60,'Attrition Modeling'!$C:$C,BH$11),VLOOKUP(RentalsVacates!BH$12-RentalsVacates!$F60-1,RentalsVacates!$A$8:$C$162,2,FALSE)*VLOOKUP(BH$11,'Attrition Modeling'!$L$15:$N$27,IF(BH$12-$F60&lt;=24,2,3),FALSE))*(1+IF('Traditional Attrition'!BH182&gt;0,'Attrition Modeling'!$N$9,0))),0))</f>
        <v>3059.6921887385979</v>
      </c>
      <c r="BI60" s="799">
        <f>IF(BI$12=$F60+1,IF(Monthly!BE$4=TRUE,0,BI$3),IF(BI$12&gt;$F60+1,RentalsVacates!BH60*(1-IF(BI$12-$F60&lt;=12,SUMIFS('Attrition Modeling'!$D:$D,'Attrition Modeling'!$B:$B,$E60,'Attrition Modeling'!$C:$C,BI$11),VLOOKUP(RentalsVacates!BI$12-RentalsVacates!$F60-1,RentalsVacates!$A$8:$C$162,2,FALSE)*VLOOKUP(BI$11,'Attrition Modeling'!$L$15:$N$27,IF(BI$12-$F60&lt;=24,2,3),FALSE))*(1+IF('Traditional Attrition'!BI182&gt;0,'Attrition Modeling'!$N$9,0))),0))</f>
        <v>2842.8949143856325</v>
      </c>
      <c r="BJ60" s="799">
        <f>IF(BJ$12=$F60+1,IF(Monthly!BF$4=TRUE,0,BJ$3),IF(BJ$12&gt;$F60+1,RentalsVacates!BI60*(1-IF(BJ$12-$F60&lt;=12,SUMIFS('Attrition Modeling'!$D:$D,'Attrition Modeling'!$B:$B,$E60,'Attrition Modeling'!$C:$C,BJ$11),VLOOKUP(RentalsVacates!BJ$12-RentalsVacates!$F60-1,RentalsVacates!$A$8:$C$162,2,FALSE)*VLOOKUP(BJ$11,'Attrition Modeling'!$L$15:$N$27,IF(BJ$12-$F60&lt;=24,2,3),FALSE))*(1+IF('Traditional Attrition'!BJ182&gt;0,'Attrition Modeling'!$N$9,0))),0))</f>
        <v>2647.1763541547875</v>
      </c>
      <c r="BK60" s="799">
        <f>IF(BK$12=$F60+1,IF(Monthly!BG$4=TRUE,0,BK$3),IF(BK$12&gt;$F60+1,RentalsVacates!BJ60*(1-IF(BK$12-$F60&lt;=12,SUMIFS('Attrition Modeling'!$D:$D,'Attrition Modeling'!$B:$B,$E60,'Attrition Modeling'!$C:$C,BK$11),VLOOKUP(RentalsVacates!BK$12-RentalsVacates!$F60-1,RentalsVacates!$A$8:$C$162,2,FALSE)*VLOOKUP(BK$11,'Attrition Modeling'!$L$15:$N$27,IF(BK$12-$F60&lt;=24,2,3),FALSE))*(1+IF('Traditional Attrition'!BK182&gt;0,'Attrition Modeling'!$N$9,0))),0))</f>
        <v>2467.0420652884054</v>
      </c>
      <c r="BL60" s="799">
        <f>IF(BL$12=$F60+1,IF(Monthly!BH$4=TRUE,0,BL$3),IF(BL$12&gt;$F60+1,RentalsVacates!BK60*(1-IF(BL$12-$F60&lt;=12,SUMIFS('Attrition Modeling'!$D:$D,'Attrition Modeling'!$B:$B,$E60,'Attrition Modeling'!$C:$C,BL$11),VLOOKUP(RentalsVacates!BL$12-RentalsVacates!$F60-1,RentalsVacates!$A$8:$C$162,2,FALSE)*VLOOKUP(BL$11,'Attrition Modeling'!$L$15:$N$27,IF(BL$12-$F60&lt;=24,2,3),FALSE))*(1+IF('Traditional Attrition'!BL182&gt;0,'Attrition Modeling'!$N$9,0))),0))</f>
        <v>2327.9060735944763</v>
      </c>
      <c r="BM60" s="799">
        <f>IF(BM$12=$F60+1,IF(Monthly!BI$4=TRUE,0,BM$3),IF(BM$12&gt;$F60+1,RentalsVacates!BL60*(1-IF(BM$12-$F60&lt;=12,SUMIFS('Attrition Modeling'!$D:$D,'Attrition Modeling'!$B:$B,$E60,'Attrition Modeling'!$C:$C,BM$11),VLOOKUP(RentalsVacates!BM$12-RentalsVacates!$F60-1,RentalsVacates!$A$8:$C$162,2,FALSE)*VLOOKUP(BM$11,'Attrition Modeling'!$L$15:$N$27,IF(BM$12-$F60&lt;=24,2,3),FALSE))*(1+IF('Traditional Attrition'!BM182&gt;0,'Attrition Modeling'!$N$9,0))),0))</f>
        <v>2195.1224741100727</v>
      </c>
      <c r="BN60" s="799">
        <f>IF(BN$12=$F60+1,IF(Monthly!BJ$4=TRUE,0,BN$3),IF(BN$12&gt;$F60+1,RentalsVacates!BM60*(1-IF(BN$12-$F60&lt;=12,SUMIFS('Attrition Modeling'!$D:$D,'Attrition Modeling'!$B:$B,$E60,'Attrition Modeling'!$C:$C,BN$11),VLOOKUP(RentalsVacates!BN$12-RentalsVacates!$F60-1,RentalsVacates!$A$8:$C$162,2,FALSE)*VLOOKUP(BN$11,'Attrition Modeling'!$L$15:$N$27,IF(BN$12-$F60&lt;=24,2,3),FALSE))*(1+IF('Traditional Attrition'!BN182&gt;0,'Attrition Modeling'!$N$9,0))),0))</f>
        <v>2136.1306868871643</v>
      </c>
      <c r="BO60" s="799">
        <f>IF(BO$12=$F60+1,IF(Monthly!BK$4=TRUE,0,BO$3),IF(BO$12&gt;$F60+1,RentalsVacates!BN60*(1-IF(BO$12-$F60&lt;=12,SUMIFS('Attrition Modeling'!$D:$D,'Attrition Modeling'!$B:$B,$E60,'Attrition Modeling'!$C:$C,BO$11),VLOOKUP(RentalsVacates!BO$12-RentalsVacates!$F60-1,RentalsVacates!$A$8:$C$162,2,FALSE)*VLOOKUP(BO$11,'Attrition Modeling'!$L$15:$N$27,IF(BO$12-$F60&lt;=24,2,3),FALSE))*(1+IF('Traditional Attrition'!BO182&gt;0,'Attrition Modeling'!$N$9,0))),0))</f>
        <v>2021.2338254620074</v>
      </c>
      <c r="BP60" s="799">
        <f>IF(BP$12=$F60+1,IF(Monthly!BL$4=TRUE,0,BP$3),IF(BP$12&gt;$F60+1,RentalsVacates!BO60*(1-IF(BP$12-$F60&lt;=12,SUMIFS('Attrition Modeling'!$D:$D,'Attrition Modeling'!$B:$B,$E60,'Attrition Modeling'!$C:$C,BP$11),VLOOKUP(RentalsVacates!BP$12-RentalsVacates!$F60-1,RentalsVacates!$A$8:$C$162,2,FALSE)*VLOOKUP(BP$11,'Attrition Modeling'!$L$15:$N$27,IF(BP$12-$F60&lt;=24,2,3),FALSE))*(1+IF('Traditional Attrition'!BP182&gt;0,'Attrition Modeling'!$N$9,0))),0))</f>
        <v>1920.8237438914691</v>
      </c>
      <c r="BQ60" s="799">
        <f>IF(BQ$12=$F60+1,IF(Monthly!BM$4=TRUE,0,BQ$3),IF(BQ$12&gt;$F60+1,RentalsVacates!BP60*(1-IF(BQ$12-$F60&lt;=12,SUMIFS('Attrition Modeling'!$D:$D,'Attrition Modeling'!$B:$B,$E60,'Attrition Modeling'!$C:$C,BQ$11),VLOOKUP(RentalsVacates!BQ$12-RentalsVacates!$F60-1,RentalsVacates!$A$8:$C$162,2,FALSE)*VLOOKUP(BQ$11,'Attrition Modeling'!$L$15:$N$27,IF(BQ$12-$F60&lt;=24,2,3),FALSE))*(1+IF('Traditional Attrition'!BQ182&gt;0,'Attrition Modeling'!$N$9,0))),0))</f>
        <v>1838.9579880817009</v>
      </c>
      <c r="BR60" s="799">
        <f>IF(BR$12=$F60+1,IF(Monthly!BN$4=TRUE,0,BR$3),IF(BR$12&gt;$F60+1,RentalsVacates!BQ60*(1-IF(BR$12-$F60&lt;=12,SUMIFS('Attrition Modeling'!$D:$D,'Attrition Modeling'!$B:$B,$E60,'Attrition Modeling'!$C:$C,BR$11),VLOOKUP(RentalsVacates!BR$12-RentalsVacates!$F60-1,RentalsVacates!$A$8:$C$162,2,FALSE)*VLOOKUP(BR$11,'Attrition Modeling'!$L$15:$N$27,IF(BR$12-$F60&lt;=24,2,3),FALSE))*(1+IF('Traditional Attrition'!BR182&gt;0,'Attrition Modeling'!$N$9,0))),0))</f>
        <v>1756.7568885929466</v>
      </c>
      <c r="BS60" s="799">
        <f>IF(BS$12=$F60+1,IF(Monthly!BO$4=TRUE,0,BS$3),IF(BS$12&gt;$F60+1,RentalsVacates!BR60*(1-IF(BS$12-$F60&lt;=12,SUMIFS('Attrition Modeling'!$D:$D,'Attrition Modeling'!$B:$B,$E60,'Attrition Modeling'!$C:$C,BS$11),VLOOKUP(RentalsVacates!BS$12-RentalsVacates!$F60-1,RentalsVacates!$A$8:$C$162,2,FALSE)*VLOOKUP(BS$11,'Attrition Modeling'!$L$15:$N$27,IF(BS$12-$F60&lt;=24,2,3),FALSE))*(1+IF('Traditional Attrition'!BS182&gt;0,'Attrition Modeling'!$N$9,0))),0))</f>
        <v>1681.8179814455016</v>
      </c>
      <c r="BT60" s="799">
        <f>IF(BT$11=$F59+1,IF(Monthly!#REF!=TRUE,0,BT$3),IF(BT$11&gt;$F59+1,RentalsVacates!BS59*(1-IF(BT$11-$F59&lt;=12,SUMIFS('Attrition Modeling'!$D:$D,'Attrition Modeling'!$B:$B,$E59,'Attrition Modeling'!$C:$C,BT$10),VLOOKUP(RentalsVacates!BT$11-RentalsVacates!$F59-1,RentalsVacates!$A$7:$C$161,2,FALSE)*VLOOKUP(BT$10,'Attrition Modeling'!$L$15:$N$27,IF(BT$11-$F59&lt;=24,2,3),FALSE))*(1+IF('Traditional Attrition'!BT182&gt;0,'Attrition Modeling'!$N$9,0))),0))</f>
        <v>0</v>
      </c>
      <c r="BU60" s="799">
        <f>IF(BU$11=$F59+1,IF(Monthly!#REF!=TRUE,0,BU$3),IF(BU$11&gt;$F59+1,RentalsVacates!BT59*(1-IF(BU$11-$F59&lt;=12,SUMIFS('Attrition Modeling'!$D:$D,'Attrition Modeling'!$B:$B,$E59,'Attrition Modeling'!$C:$C,BU$10),VLOOKUP(RentalsVacates!BU$11-RentalsVacates!$F59-1,RentalsVacates!$A$7:$C$161,2,FALSE)*VLOOKUP(BU$10,'Attrition Modeling'!$L$15:$N$27,IF(BU$11-$F59&lt;=24,2,3),FALSE))*(1+IF('Traditional Attrition'!BU182&gt;0,'Attrition Modeling'!$N$9,0))),0))</f>
        <v>0</v>
      </c>
    </row>
    <row r="61" spans="1:73" ht="14.25" customHeight="1" x14ac:dyDescent="0.2">
      <c r="A61" s="9">
        <v>53</v>
      </c>
      <c r="B61" s="25">
        <f>MAX('Attrition Modeling'!H57,$C$3)*(1-Summary!$C$20)</f>
        <v>2.4098898279641297E-2</v>
      </c>
      <c r="C61" s="24" t="e">
        <f t="shared" si="2"/>
        <v>#DIV/0!</v>
      </c>
      <c r="E61" s="11">
        <f>'Traditional Attrition'!E118</f>
        <v>12</v>
      </c>
      <c r="F61" s="11">
        <f t="shared" si="4"/>
        <v>48</v>
      </c>
      <c r="G61" s="799"/>
      <c r="H61" s="799">
        <f>IF(H$12=$F61+1,IF(Monthly!D$4=TRUE,0,H$3),IF(H$12&gt;$F61+1,RentalsVacates!G61*(1-IF(H$12-$F61&lt;=12,SUMIFS('Attrition Modeling'!$D:$D,'Attrition Modeling'!$B:$B,$E61,'Attrition Modeling'!$C:$C,H$11),VLOOKUP(RentalsVacates!H$12-RentalsVacates!$F61-1,RentalsVacates!$A$8:$C$162,2,FALSE)*VLOOKUP(H$11,'Attrition Modeling'!$L$15:$N$27,IF(H$12-$F61&lt;=24,2,3),FALSE))*(1+IF('Traditional Attrition'!H183&gt;0,'Attrition Modeling'!$N$9,0))),0))</f>
        <v>0</v>
      </c>
      <c r="I61" s="799">
        <f>IF(I$12=$F61+1,IF(Monthly!E$4=TRUE,0,I$3),IF(I$12&gt;$F61+1,RentalsVacates!H61*(1-IF(I$12-$F61&lt;=12,SUMIFS('Attrition Modeling'!$D:$D,'Attrition Modeling'!$B:$B,$E61,'Attrition Modeling'!$C:$C,I$11),VLOOKUP(RentalsVacates!I$12-RentalsVacates!$F61-1,RentalsVacates!$A$8:$C$162,2,FALSE)*VLOOKUP(I$11,'Attrition Modeling'!$L$15:$N$27,IF(I$12-$F61&lt;=24,2,3),FALSE))*(1+IF('Traditional Attrition'!I183&gt;0,'Attrition Modeling'!$N$9,0))),0))</f>
        <v>0</v>
      </c>
      <c r="J61" s="799">
        <f>IF(J$12=$F61+1,IF(Monthly!F$4=TRUE,0,J$3),IF(J$12&gt;$F61+1,RentalsVacates!I61*(1-IF(J$12-$F61&lt;=12,SUMIFS('Attrition Modeling'!$D:$D,'Attrition Modeling'!$B:$B,$E61,'Attrition Modeling'!$C:$C,J$11),VLOOKUP(RentalsVacates!J$12-RentalsVacates!$F61-1,RentalsVacates!$A$8:$C$162,2,FALSE)*VLOOKUP(J$11,'Attrition Modeling'!$L$15:$N$27,IF(J$12-$F61&lt;=24,2,3),FALSE))*(1+IF('Traditional Attrition'!J183&gt;0,'Attrition Modeling'!$N$9,0))),0))</f>
        <v>0</v>
      </c>
      <c r="K61" s="799">
        <f>IF(K$12=$F61+1,IF(Monthly!G$4=TRUE,0,K$3),IF(K$12&gt;$F61+1,RentalsVacates!J61*(1-IF(K$12-$F61&lt;=12,SUMIFS('Attrition Modeling'!$D:$D,'Attrition Modeling'!$B:$B,$E61,'Attrition Modeling'!$C:$C,K$11),VLOOKUP(RentalsVacates!K$12-RentalsVacates!$F61-1,RentalsVacates!$A$8:$C$162,2,FALSE)*VLOOKUP(K$11,'Attrition Modeling'!$L$15:$N$27,IF(K$12-$F61&lt;=24,2,3),FALSE))*(1+IF('Traditional Attrition'!K183&gt;0,'Attrition Modeling'!$N$9,0))),0))</f>
        <v>0</v>
      </c>
      <c r="L61" s="799">
        <f>IF(L$12=$F61+1,IF(Monthly!H$4=TRUE,0,L$3),IF(L$12&gt;$F61+1,RentalsVacates!K61*(1-IF(L$12-$F61&lt;=12,SUMIFS('Attrition Modeling'!$D:$D,'Attrition Modeling'!$B:$B,$E61,'Attrition Modeling'!$C:$C,L$11),VLOOKUP(RentalsVacates!L$12-RentalsVacates!$F61-1,RentalsVacates!$A$8:$C$162,2,FALSE)*VLOOKUP(L$11,'Attrition Modeling'!$L$15:$N$27,IF(L$12-$F61&lt;=24,2,3),FALSE))*(1+IF('Traditional Attrition'!L183&gt;0,'Attrition Modeling'!$N$9,0))),0))</f>
        <v>0</v>
      </c>
      <c r="M61" s="799">
        <f>IF(M$12=$F61+1,IF(Monthly!I$4=TRUE,0,M$3),IF(M$12&gt;$F61+1,RentalsVacates!L61*(1-IF(M$12-$F61&lt;=12,SUMIFS('Attrition Modeling'!$D:$D,'Attrition Modeling'!$B:$B,$E61,'Attrition Modeling'!$C:$C,M$11),VLOOKUP(RentalsVacates!M$12-RentalsVacates!$F61-1,RentalsVacates!$A$8:$C$162,2,FALSE)*VLOOKUP(M$11,'Attrition Modeling'!$L$15:$N$27,IF(M$12-$F61&lt;=24,2,3),FALSE))*(1+IF('Traditional Attrition'!M183&gt;0,'Attrition Modeling'!$N$9,0))),0))</f>
        <v>0</v>
      </c>
      <c r="N61" s="799">
        <f>IF(N$12=$F61+1,IF(Monthly!J$4=TRUE,0,N$3),IF(N$12&gt;$F61+1,RentalsVacates!M61*(1-IF(N$12-$F61&lt;=12,SUMIFS('Attrition Modeling'!$D:$D,'Attrition Modeling'!$B:$B,$E61,'Attrition Modeling'!$C:$C,N$11),VLOOKUP(RentalsVacates!N$12-RentalsVacates!$F61-1,RentalsVacates!$A$8:$C$162,2,FALSE)*VLOOKUP(N$11,'Attrition Modeling'!$L$15:$N$27,IF(N$12-$F61&lt;=24,2,3),FALSE))*(1+IF('Traditional Attrition'!N183&gt;0,'Attrition Modeling'!$N$9,0))),0))</f>
        <v>0</v>
      </c>
      <c r="O61" s="799">
        <f>IF(O$12=$F61+1,IF(Monthly!K$4=TRUE,0,O$3),IF(O$12&gt;$F61+1,RentalsVacates!N61*(1-IF(O$12-$F61&lt;=12,SUMIFS('Attrition Modeling'!$D:$D,'Attrition Modeling'!$B:$B,$E61,'Attrition Modeling'!$C:$C,O$11),VLOOKUP(RentalsVacates!O$12-RentalsVacates!$F61-1,RentalsVacates!$A$8:$C$162,2,FALSE)*VLOOKUP(O$11,'Attrition Modeling'!$L$15:$N$27,IF(O$12-$F61&lt;=24,2,3),FALSE))*(1+IF('Traditional Attrition'!O183&gt;0,'Attrition Modeling'!$N$9,0))),0))</f>
        <v>0</v>
      </c>
      <c r="P61" s="799">
        <f>IF(P$12=$F61+1,IF(Monthly!L$4=TRUE,0,P$3),IF(P$12&gt;$F61+1,RentalsVacates!O61*(1-IF(P$12-$F61&lt;=12,SUMIFS('Attrition Modeling'!$D:$D,'Attrition Modeling'!$B:$B,$E61,'Attrition Modeling'!$C:$C,P$11),VLOOKUP(RentalsVacates!P$12-RentalsVacates!$F61-1,RentalsVacates!$A$8:$C$162,2,FALSE)*VLOOKUP(P$11,'Attrition Modeling'!$L$15:$N$27,IF(P$12-$F61&lt;=24,2,3),FALSE))*(1+IF('Traditional Attrition'!P183&gt;0,'Attrition Modeling'!$N$9,0))),0))</f>
        <v>0</v>
      </c>
      <c r="Q61" s="799">
        <f>IF(Q$12=$F61+1,IF(Monthly!M$4=TRUE,0,Q$3),IF(Q$12&gt;$F61+1,RentalsVacates!P61*(1-IF(Q$12-$F61&lt;=12,SUMIFS('Attrition Modeling'!$D:$D,'Attrition Modeling'!$B:$B,$E61,'Attrition Modeling'!$C:$C,Q$11),VLOOKUP(RentalsVacates!Q$12-RentalsVacates!$F61-1,RentalsVacates!$A$8:$C$162,2,FALSE)*VLOOKUP(Q$11,'Attrition Modeling'!$L$15:$N$27,IF(Q$12-$F61&lt;=24,2,3),FALSE))*(1+IF('Traditional Attrition'!Q183&gt;0,'Attrition Modeling'!$N$9,0))),0))</f>
        <v>0</v>
      </c>
      <c r="R61" s="799">
        <f>IF(R$12=$F61+1,IF(Monthly!N$4=TRUE,0,R$3),IF(R$12&gt;$F61+1,RentalsVacates!Q61*(1-IF(R$12-$F61&lt;=12,SUMIFS('Attrition Modeling'!$D:$D,'Attrition Modeling'!$B:$B,$E61,'Attrition Modeling'!$C:$C,R$11),VLOOKUP(RentalsVacates!R$12-RentalsVacates!$F61-1,RentalsVacates!$A$8:$C$162,2,FALSE)*VLOOKUP(R$11,'Attrition Modeling'!$L$15:$N$27,IF(R$12-$F61&lt;=24,2,3),FALSE))*(1+IF('Traditional Attrition'!R183&gt;0,'Attrition Modeling'!$N$9,0))),0))</f>
        <v>0</v>
      </c>
      <c r="S61" s="799">
        <f>IF(S$12=$F61+1,IF(Monthly!O$4=TRUE,0,S$3),IF(S$12&gt;$F61+1,RentalsVacates!R61*(1-IF(S$12-$F61&lt;=12,SUMIFS('Attrition Modeling'!$D:$D,'Attrition Modeling'!$B:$B,$E61,'Attrition Modeling'!$C:$C,S$11),VLOOKUP(RentalsVacates!S$12-RentalsVacates!$F61-1,RentalsVacates!$A$8:$C$162,2,FALSE)*VLOOKUP(S$11,'Attrition Modeling'!$L$15:$N$27,IF(S$12-$F61&lt;=24,2,3),FALSE))*(1+IF('Traditional Attrition'!S183&gt;0,'Attrition Modeling'!$N$9,0))),0))</f>
        <v>0</v>
      </c>
      <c r="T61" s="799">
        <f>IF(T$12=$F61+1,IF(Monthly!P$4=TRUE,0,T$3),IF(T$12&gt;$F61+1,RentalsVacates!S61*(1-IF(T$12-$F61&lt;=12,SUMIFS('Attrition Modeling'!$D:$D,'Attrition Modeling'!$B:$B,$E61,'Attrition Modeling'!$C:$C,T$11),VLOOKUP(RentalsVacates!T$12-RentalsVacates!$F61-1,RentalsVacates!$A$8:$C$162,2,FALSE)*VLOOKUP(T$11,'Attrition Modeling'!$L$15:$N$27,IF(T$12-$F61&lt;=24,2,3),FALSE))*(1+IF('Traditional Attrition'!T183&gt;0,'Attrition Modeling'!$N$9,0))),0))</f>
        <v>0</v>
      </c>
      <c r="U61" s="799">
        <f>IF(U$12=$F61+1,IF(Monthly!Q$4=TRUE,0,U$3),IF(U$12&gt;$F61+1,RentalsVacates!T61*(1-IF(U$12-$F61&lt;=12,SUMIFS('Attrition Modeling'!$D:$D,'Attrition Modeling'!$B:$B,$E61,'Attrition Modeling'!$C:$C,U$11),VLOOKUP(RentalsVacates!U$12-RentalsVacates!$F61-1,RentalsVacates!$A$8:$C$162,2,FALSE)*VLOOKUP(U$11,'Attrition Modeling'!$L$15:$N$27,IF(U$12-$F61&lt;=24,2,3),FALSE))*(1+IF('Traditional Attrition'!U183&gt;0,'Attrition Modeling'!$N$9,0))),0))</f>
        <v>0</v>
      </c>
      <c r="V61" s="799">
        <f>IF(V$12=$F61+1,IF(Monthly!R$4=TRUE,0,V$3),IF(V$12&gt;$F61+1,RentalsVacates!U61*(1-IF(V$12-$F61&lt;=12,SUMIFS('Attrition Modeling'!$D:$D,'Attrition Modeling'!$B:$B,$E61,'Attrition Modeling'!$C:$C,V$11),VLOOKUP(RentalsVacates!V$12-RentalsVacates!$F61-1,RentalsVacates!$A$8:$C$162,2,FALSE)*VLOOKUP(V$11,'Attrition Modeling'!$L$15:$N$27,IF(V$12-$F61&lt;=24,2,3),FALSE))*(1+IF('Traditional Attrition'!V183&gt;0,'Attrition Modeling'!$N$9,0))),0))</f>
        <v>0</v>
      </c>
      <c r="W61" s="799">
        <f>IF(W$12=$F61+1,IF(Monthly!S$4=TRUE,0,W$3),IF(W$12&gt;$F61+1,RentalsVacates!V61*(1-IF(W$12-$F61&lt;=12,SUMIFS('Attrition Modeling'!$D:$D,'Attrition Modeling'!$B:$B,$E61,'Attrition Modeling'!$C:$C,W$11),VLOOKUP(RentalsVacates!W$12-RentalsVacates!$F61-1,RentalsVacates!$A$8:$C$162,2,FALSE)*VLOOKUP(W$11,'Attrition Modeling'!$L$15:$N$27,IF(W$12-$F61&lt;=24,2,3),FALSE))*(1+IF('Traditional Attrition'!W183&gt;0,'Attrition Modeling'!$N$9,0))),0))</f>
        <v>0</v>
      </c>
      <c r="X61" s="799">
        <f>IF(X$12=$F61+1,IF(Monthly!T$4=TRUE,0,X$3),IF(X$12&gt;$F61+1,RentalsVacates!W61*(1-IF(X$12-$F61&lt;=12,SUMIFS('Attrition Modeling'!$D:$D,'Attrition Modeling'!$B:$B,$E61,'Attrition Modeling'!$C:$C,X$11),VLOOKUP(RentalsVacates!X$12-RentalsVacates!$F61-1,RentalsVacates!$A$8:$C$162,2,FALSE)*VLOOKUP(X$11,'Attrition Modeling'!$L$15:$N$27,IF(X$12-$F61&lt;=24,2,3),FALSE))*(1+IF('Traditional Attrition'!X183&gt;0,'Attrition Modeling'!$N$9,0))),0))</f>
        <v>0</v>
      </c>
      <c r="Y61" s="799">
        <f>IF(Y$12=$F61+1,IF(Monthly!U$4=TRUE,0,Y$3),IF(Y$12&gt;$F61+1,RentalsVacates!X61*(1-IF(Y$12-$F61&lt;=12,SUMIFS('Attrition Modeling'!$D:$D,'Attrition Modeling'!$B:$B,$E61,'Attrition Modeling'!$C:$C,Y$11),VLOOKUP(RentalsVacates!Y$12-RentalsVacates!$F61-1,RentalsVacates!$A$8:$C$162,2,FALSE)*VLOOKUP(Y$11,'Attrition Modeling'!$L$15:$N$27,IF(Y$12-$F61&lt;=24,2,3),FALSE))*(1+IF('Traditional Attrition'!Y183&gt;0,'Attrition Modeling'!$N$9,0))),0))</f>
        <v>0</v>
      </c>
      <c r="Z61" s="799">
        <f>IF(Z$12=$F61+1,IF(Monthly!V$4=TRUE,0,Z$3),IF(Z$12&gt;$F61+1,RentalsVacates!Y61*(1-IF(Z$12-$F61&lt;=12,SUMIFS('Attrition Modeling'!$D:$D,'Attrition Modeling'!$B:$B,$E61,'Attrition Modeling'!$C:$C,Z$11),VLOOKUP(RentalsVacates!Z$12-RentalsVacates!$F61-1,RentalsVacates!$A$8:$C$162,2,FALSE)*VLOOKUP(Z$11,'Attrition Modeling'!$L$15:$N$27,IF(Z$12-$F61&lt;=24,2,3),FALSE))*(1+IF('Traditional Attrition'!Z183&gt;0,'Attrition Modeling'!$N$9,0))),0))</f>
        <v>0</v>
      </c>
      <c r="AA61" s="799">
        <f>IF(AA$12=$F61+1,IF(Monthly!W$4=TRUE,0,AA$3),IF(AA$12&gt;$F61+1,RentalsVacates!Z61*(1-IF(AA$12-$F61&lt;=12,SUMIFS('Attrition Modeling'!$D:$D,'Attrition Modeling'!$B:$B,$E61,'Attrition Modeling'!$C:$C,AA$11),VLOOKUP(RentalsVacates!AA$12-RentalsVacates!$F61-1,RentalsVacates!$A$8:$C$162,2,FALSE)*VLOOKUP(AA$11,'Attrition Modeling'!$L$15:$N$27,IF(AA$12-$F61&lt;=24,2,3),FALSE))*(1+IF('Traditional Attrition'!AA183&gt;0,'Attrition Modeling'!$N$9,0))),0))</f>
        <v>0</v>
      </c>
      <c r="AB61" s="799">
        <f>IF(AB$12=$F61+1,IF(Monthly!X$4=TRUE,0,AB$3),IF(AB$12&gt;$F61+1,RentalsVacates!AA61*(1-IF(AB$12-$F61&lt;=12,SUMIFS('Attrition Modeling'!$D:$D,'Attrition Modeling'!$B:$B,$E61,'Attrition Modeling'!$C:$C,AB$11),VLOOKUP(RentalsVacates!AB$12-RentalsVacates!$F61-1,RentalsVacates!$A$8:$C$162,2,FALSE)*VLOOKUP(AB$11,'Attrition Modeling'!$L$15:$N$27,IF(AB$12-$F61&lt;=24,2,3),FALSE))*(1+IF('Traditional Attrition'!AB183&gt;0,'Attrition Modeling'!$N$9,0))),0))</f>
        <v>0</v>
      </c>
      <c r="AC61" s="799">
        <f>IF(AC$12=$F61+1,IF(Monthly!Y$4=TRUE,0,AC$3),IF(AC$12&gt;$F61+1,RentalsVacates!AB61*(1-IF(AC$12-$F61&lt;=12,SUMIFS('Attrition Modeling'!$D:$D,'Attrition Modeling'!$B:$B,$E61,'Attrition Modeling'!$C:$C,AC$11),VLOOKUP(RentalsVacates!AC$12-RentalsVacates!$F61-1,RentalsVacates!$A$8:$C$162,2,FALSE)*VLOOKUP(AC$11,'Attrition Modeling'!$L$15:$N$27,IF(AC$12-$F61&lt;=24,2,3),FALSE))*(1+IF('Traditional Attrition'!AC183&gt;0,'Attrition Modeling'!$N$9,0))),0))</f>
        <v>0</v>
      </c>
      <c r="AD61" s="799">
        <f>IF(AD$12=$F61+1,IF(Monthly!Z$4=TRUE,0,AD$3),IF(AD$12&gt;$F61+1,RentalsVacates!AC61*(1-IF(AD$12-$F61&lt;=12,SUMIFS('Attrition Modeling'!$D:$D,'Attrition Modeling'!$B:$B,$E61,'Attrition Modeling'!$C:$C,AD$11),VLOOKUP(RentalsVacates!AD$12-RentalsVacates!$F61-1,RentalsVacates!$A$8:$C$162,2,FALSE)*VLOOKUP(AD$11,'Attrition Modeling'!$L$15:$N$27,IF(AD$12-$F61&lt;=24,2,3),FALSE))*(1+IF('Traditional Attrition'!AD183&gt;0,'Attrition Modeling'!$N$9,0))),0))</f>
        <v>0</v>
      </c>
      <c r="AE61" s="799">
        <f>IF(AE$12=$F61+1,IF(Monthly!AA$4=TRUE,0,AE$3),IF(AE$12&gt;$F61+1,RentalsVacates!AD61*(1-IF(AE$12-$F61&lt;=12,SUMIFS('Attrition Modeling'!$D:$D,'Attrition Modeling'!$B:$B,$E61,'Attrition Modeling'!$C:$C,AE$11),VLOOKUP(RentalsVacates!AE$12-RentalsVacates!$F61-1,RentalsVacates!$A$8:$C$162,2,FALSE)*VLOOKUP(AE$11,'Attrition Modeling'!$L$15:$N$27,IF(AE$12-$F61&lt;=24,2,3),FALSE))*(1+IF('Traditional Attrition'!AE183&gt;0,'Attrition Modeling'!$N$9,0))),0))</f>
        <v>0</v>
      </c>
      <c r="AF61" s="799">
        <f>IF(AF$12=$F61+1,IF(Monthly!AB$4=TRUE,0,AF$3),IF(AF$12&gt;$F61+1,RentalsVacates!AE61*(1-IF(AF$12-$F61&lt;=12,SUMIFS('Attrition Modeling'!$D:$D,'Attrition Modeling'!$B:$B,$E61,'Attrition Modeling'!$C:$C,AF$11),VLOOKUP(RentalsVacates!AF$12-RentalsVacates!$F61-1,RentalsVacates!$A$8:$C$162,2,FALSE)*VLOOKUP(AF$11,'Attrition Modeling'!$L$15:$N$27,IF(AF$12-$F61&lt;=24,2,3),FALSE))*(1+IF('Traditional Attrition'!AF183&gt;0,'Attrition Modeling'!$N$9,0))),0))</f>
        <v>0</v>
      </c>
      <c r="AG61" s="799">
        <f>IF(AG$12=$F61+1,IF(Monthly!AC$4=TRUE,0,AG$3),IF(AG$12&gt;$F61+1,RentalsVacates!AF61*(1-IF(AG$12-$F61&lt;=12,SUMIFS('Attrition Modeling'!$D:$D,'Attrition Modeling'!$B:$B,$E61,'Attrition Modeling'!$C:$C,AG$11),VLOOKUP(RentalsVacates!AG$12-RentalsVacates!$F61-1,RentalsVacates!$A$8:$C$162,2,FALSE)*VLOOKUP(AG$11,'Attrition Modeling'!$L$15:$N$27,IF(AG$12-$F61&lt;=24,2,3),FALSE))*(1+IF('Traditional Attrition'!AG183&gt;0,'Attrition Modeling'!$N$9,0))),0))</f>
        <v>0</v>
      </c>
      <c r="AH61" s="799">
        <f>IF(AH$12=$F61+1,IF(Monthly!AD$4=TRUE,0,AH$3),IF(AH$12&gt;$F61+1,RentalsVacates!AG61*(1-IF(AH$12-$F61&lt;=12,SUMIFS('Attrition Modeling'!$D:$D,'Attrition Modeling'!$B:$B,$E61,'Attrition Modeling'!$C:$C,AH$11),VLOOKUP(RentalsVacates!AH$12-RentalsVacates!$F61-1,RentalsVacates!$A$8:$C$162,2,FALSE)*VLOOKUP(AH$11,'Attrition Modeling'!$L$15:$N$27,IF(AH$12-$F61&lt;=24,2,3),FALSE))*(1+IF('Traditional Attrition'!AH183&gt;0,'Attrition Modeling'!$N$9,0))),0))</f>
        <v>0</v>
      </c>
      <c r="AI61" s="799">
        <f>IF(AI$12=$F61+1,IF(Monthly!AE$4=TRUE,0,AI$3),IF(AI$12&gt;$F61+1,RentalsVacates!AH61*(1-IF(AI$12-$F61&lt;=12,SUMIFS('Attrition Modeling'!$D:$D,'Attrition Modeling'!$B:$B,$E61,'Attrition Modeling'!$C:$C,AI$11),VLOOKUP(RentalsVacates!AI$12-RentalsVacates!$F61-1,RentalsVacates!$A$8:$C$162,2,FALSE)*VLOOKUP(AI$11,'Attrition Modeling'!$L$15:$N$27,IF(AI$12-$F61&lt;=24,2,3),FALSE))*(1+IF('Traditional Attrition'!AI183&gt;0,'Attrition Modeling'!$N$9,0))),0))</f>
        <v>0</v>
      </c>
      <c r="AJ61" s="799">
        <f>IF(AJ$12=$F61+1,IF(Monthly!AF$4=TRUE,0,AJ$3),IF(AJ$12&gt;$F61+1,RentalsVacates!AI61*(1-IF(AJ$12-$F61&lt;=12,SUMIFS('Attrition Modeling'!$D:$D,'Attrition Modeling'!$B:$B,$E61,'Attrition Modeling'!$C:$C,AJ$11),VLOOKUP(RentalsVacates!AJ$12-RentalsVacates!$F61-1,RentalsVacates!$A$8:$C$162,2,FALSE)*VLOOKUP(AJ$11,'Attrition Modeling'!$L$15:$N$27,IF(AJ$12-$F61&lt;=24,2,3),FALSE))*(1+IF('Traditional Attrition'!AJ183&gt;0,'Attrition Modeling'!$N$9,0))),0))</f>
        <v>0</v>
      </c>
      <c r="AK61" s="799">
        <f>IF(AK$12=$F61+1,IF(Monthly!AG$4=TRUE,0,AK$3),IF(AK$12&gt;$F61+1,RentalsVacates!AJ61*(1-IF(AK$12-$F61&lt;=12,SUMIFS('Attrition Modeling'!$D:$D,'Attrition Modeling'!$B:$B,$E61,'Attrition Modeling'!$C:$C,AK$11),VLOOKUP(RentalsVacates!AK$12-RentalsVacates!$F61-1,RentalsVacates!$A$8:$C$162,2,FALSE)*VLOOKUP(AK$11,'Attrition Modeling'!$L$15:$N$27,IF(AK$12-$F61&lt;=24,2,3),FALSE))*(1+IF('Traditional Attrition'!AK183&gt;0,'Attrition Modeling'!$N$9,0))),0))</f>
        <v>0</v>
      </c>
      <c r="AL61" s="799">
        <f>IF(AL$12=$F61+1,IF(Monthly!AH$4=TRUE,0,AL$3),IF(AL$12&gt;$F61+1,RentalsVacates!AK61*(1-IF(AL$12-$F61&lt;=12,SUMIFS('Attrition Modeling'!$D:$D,'Attrition Modeling'!$B:$B,$E61,'Attrition Modeling'!$C:$C,AL$11),VLOOKUP(RentalsVacates!AL$12-RentalsVacates!$F61-1,RentalsVacates!$A$8:$C$162,2,FALSE)*VLOOKUP(AL$11,'Attrition Modeling'!$L$15:$N$27,IF(AL$12-$F61&lt;=24,2,3),FALSE))*(1+IF('Traditional Attrition'!AL183&gt;0,'Attrition Modeling'!$N$9,0))),0))</f>
        <v>0</v>
      </c>
      <c r="AM61" s="799">
        <f>IF(AM$12=$F61+1,IF(Monthly!AI$4=TRUE,0,AM$3),IF(AM$12&gt;$F61+1,RentalsVacates!AL61*(1-IF(AM$12-$F61&lt;=12,SUMIFS('Attrition Modeling'!$D:$D,'Attrition Modeling'!$B:$B,$E61,'Attrition Modeling'!$C:$C,AM$11),VLOOKUP(RentalsVacates!AM$12-RentalsVacates!$F61-1,RentalsVacates!$A$8:$C$162,2,FALSE)*VLOOKUP(AM$11,'Attrition Modeling'!$L$15:$N$27,IF(AM$12-$F61&lt;=24,2,3),FALSE))*(1+IF('Traditional Attrition'!AM183&gt;0,'Attrition Modeling'!$N$9,0))),0))</f>
        <v>0</v>
      </c>
      <c r="AN61" s="799">
        <f>IF(AN$12=$F61+1,IF(Monthly!AJ$4=TRUE,0,AN$3),IF(AN$12&gt;$F61+1,RentalsVacates!AM61*(1-IF(AN$12-$F61&lt;=12,SUMIFS('Attrition Modeling'!$D:$D,'Attrition Modeling'!$B:$B,$E61,'Attrition Modeling'!$C:$C,AN$11),VLOOKUP(RentalsVacates!AN$12-RentalsVacates!$F61-1,RentalsVacates!$A$8:$C$162,2,FALSE)*VLOOKUP(AN$11,'Attrition Modeling'!$L$15:$N$27,IF(AN$12-$F61&lt;=24,2,3),FALSE))*(1+IF('Traditional Attrition'!AN183&gt;0,'Attrition Modeling'!$N$9,0))),0))</f>
        <v>0</v>
      </c>
      <c r="AO61" s="799">
        <f>IF(AO$12=$F61+1,IF(Monthly!AK$4=TRUE,0,AO$3),IF(AO$12&gt;$F61+1,RentalsVacates!AN61*(1-IF(AO$12-$F61&lt;=12,SUMIFS('Attrition Modeling'!$D:$D,'Attrition Modeling'!$B:$B,$E61,'Attrition Modeling'!$C:$C,AO$11),VLOOKUP(RentalsVacates!AO$12-RentalsVacates!$F61-1,RentalsVacates!$A$8:$C$162,2,FALSE)*VLOOKUP(AO$11,'Attrition Modeling'!$L$15:$N$27,IF(AO$12-$F61&lt;=24,2,3),FALSE))*(1+IF('Traditional Attrition'!AO183&gt;0,'Attrition Modeling'!$N$9,0))),0))</f>
        <v>0</v>
      </c>
      <c r="AP61" s="799">
        <f>IF(AP$12=$F61+1,IF(Monthly!AL$4=TRUE,0,AP$3),IF(AP$12&gt;$F61+1,RentalsVacates!AO61*(1-IF(AP$12-$F61&lt;=12,SUMIFS('Attrition Modeling'!$D:$D,'Attrition Modeling'!$B:$B,$E61,'Attrition Modeling'!$C:$C,AP$11),VLOOKUP(RentalsVacates!AP$12-RentalsVacates!$F61-1,RentalsVacates!$A$8:$C$162,2,FALSE)*VLOOKUP(AP$11,'Attrition Modeling'!$L$15:$N$27,IF(AP$12-$F61&lt;=24,2,3),FALSE))*(1+IF('Traditional Attrition'!AP183&gt;0,'Attrition Modeling'!$N$9,0))),0))</f>
        <v>0</v>
      </c>
      <c r="AQ61" s="799">
        <f>IF(AQ$12=$F61+1,IF(Monthly!AM$4=TRUE,0,AQ$3),IF(AQ$12&gt;$F61+1,RentalsVacates!AP61*(1-IF(AQ$12-$F61&lt;=12,SUMIFS('Attrition Modeling'!$D:$D,'Attrition Modeling'!$B:$B,$E61,'Attrition Modeling'!$C:$C,AQ$11),VLOOKUP(RentalsVacates!AQ$12-RentalsVacates!$F61-1,RentalsVacates!$A$8:$C$162,2,FALSE)*VLOOKUP(AQ$11,'Attrition Modeling'!$L$15:$N$27,IF(AQ$12-$F61&lt;=24,2,3),FALSE))*(1+IF('Traditional Attrition'!AQ183&gt;0,'Attrition Modeling'!$N$9,0))),0))</f>
        <v>0</v>
      </c>
      <c r="AR61" s="799">
        <f>IF(AR$12=$F61+1,IF(Monthly!AN$4=TRUE,0,AR$3),IF(AR$12&gt;$F61+1,RentalsVacates!AQ61*(1-IF(AR$12-$F61&lt;=12,SUMIFS('Attrition Modeling'!$D:$D,'Attrition Modeling'!$B:$B,$E61,'Attrition Modeling'!$C:$C,AR$11),VLOOKUP(RentalsVacates!AR$12-RentalsVacates!$F61-1,RentalsVacates!$A$8:$C$162,2,FALSE)*VLOOKUP(AR$11,'Attrition Modeling'!$L$15:$N$27,IF(AR$12-$F61&lt;=24,2,3),FALSE))*(1+IF('Traditional Attrition'!AR183&gt;0,'Attrition Modeling'!$N$9,0))),0))</f>
        <v>0</v>
      </c>
      <c r="AS61" s="799">
        <f>IF(AS$12=$F61+1,IF(Monthly!AO$4=TRUE,0,AS$3),IF(AS$12&gt;$F61+1,RentalsVacates!AR61*(1-IF(AS$12-$F61&lt;=12,SUMIFS('Attrition Modeling'!$D:$D,'Attrition Modeling'!$B:$B,$E61,'Attrition Modeling'!$C:$C,AS$11),VLOOKUP(RentalsVacates!AS$12-RentalsVacates!$F61-1,RentalsVacates!$A$8:$C$162,2,FALSE)*VLOOKUP(AS$11,'Attrition Modeling'!$L$15:$N$27,IF(AS$12-$F61&lt;=24,2,3),FALSE))*(1+IF('Traditional Attrition'!AS183&gt;0,'Attrition Modeling'!$N$9,0))),0))</f>
        <v>0</v>
      </c>
      <c r="AT61" s="799">
        <f>IF(AT$12=$F61+1,IF(Monthly!AP$4=TRUE,0,AT$3),IF(AT$12&gt;$F61+1,RentalsVacates!AS61*(1-IF(AT$12-$F61&lt;=12,SUMIFS('Attrition Modeling'!$D:$D,'Attrition Modeling'!$B:$B,$E61,'Attrition Modeling'!$C:$C,AT$11),VLOOKUP(RentalsVacates!AT$12-RentalsVacates!$F61-1,RentalsVacates!$A$8:$C$162,2,FALSE)*VLOOKUP(AT$11,'Attrition Modeling'!$L$15:$N$27,IF(AT$12-$F61&lt;=24,2,3),FALSE))*(1+IF('Traditional Attrition'!AT183&gt;0,'Attrition Modeling'!$N$9,0))),0))</f>
        <v>0</v>
      </c>
      <c r="AU61" s="799">
        <f>IF(AU$12=$F61+1,IF(Monthly!AQ$4=TRUE,0,AU$3),IF(AU$12&gt;$F61+1,RentalsVacates!AT61*(1-IF(AU$12-$F61&lt;=12,SUMIFS('Attrition Modeling'!$D:$D,'Attrition Modeling'!$B:$B,$E61,'Attrition Modeling'!$C:$C,AU$11),VLOOKUP(RentalsVacates!AU$12-RentalsVacates!$F61-1,RentalsVacates!$A$8:$C$162,2,FALSE)*VLOOKUP(AU$11,'Attrition Modeling'!$L$15:$N$27,IF(AU$12-$F61&lt;=24,2,3),FALSE))*(1+IF('Traditional Attrition'!AU183&gt;0,'Attrition Modeling'!$N$9,0))),0))</f>
        <v>0</v>
      </c>
      <c r="AV61" s="799">
        <f>IF(AV$12=$F61+1,IF(Monthly!AR$4=TRUE,0,AV$3),IF(AV$12&gt;$F61+1,RentalsVacates!AU61*(1-IF(AV$12-$F61&lt;=12,SUMIFS('Attrition Modeling'!$D:$D,'Attrition Modeling'!$B:$B,$E61,'Attrition Modeling'!$C:$C,AV$11),VLOOKUP(RentalsVacates!AV$12-RentalsVacates!$F61-1,RentalsVacates!$A$8:$C$162,2,FALSE)*VLOOKUP(AV$11,'Attrition Modeling'!$L$15:$N$27,IF(AV$12-$F61&lt;=24,2,3),FALSE))*(1+IF('Traditional Attrition'!AV183&gt;0,'Attrition Modeling'!$N$9,0))),0))</f>
        <v>0</v>
      </c>
      <c r="AW61" s="799">
        <f>IF(AW$12=$F61+1,IF(Monthly!AS$4=TRUE,0,AW$3),IF(AW$12&gt;$F61+1,RentalsVacates!AV61*(1-IF(AW$12-$F61&lt;=12,SUMIFS('Attrition Modeling'!$D:$D,'Attrition Modeling'!$B:$B,$E61,'Attrition Modeling'!$C:$C,AW$11),VLOOKUP(RentalsVacates!AW$12-RentalsVacates!$F61-1,RentalsVacates!$A$8:$C$162,2,FALSE)*VLOOKUP(AW$11,'Attrition Modeling'!$L$15:$N$27,IF(AW$12-$F61&lt;=24,2,3),FALSE))*(1+IF('Traditional Attrition'!AW183&gt;0,'Attrition Modeling'!$N$9,0))),0))</f>
        <v>0</v>
      </c>
      <c r="AX61" s="799">
        <f>IF(AX$12=$F61+1,IF(Monthly!AT$4=TRUE,0,AX$3),IF(AX$12&gt;$F61+1,RentalsVacates!AW61*(1-IF(AX$12-$F61&lt;=12,SUMIFS('Attrition Modeling'!$D:$D,'Attrition Modeling'!$B:$B,$E61,'Attrition Modeling'!$C:$C,AX$11),VLOOKUP(RentalsVacates!AX$12-RentalsVacates!$F61-1,RentalsVacates!$A$8:$C$162,2,FALSE)*VLOOKUP(AX$11,'Attrition Modeling'!$L$15:$N$27,IF(AX$12-$F61&lt;=24,2,3),FALSE))*(1+IF('Traditional Attrition'!AX183&gt;0,'Attrition Modeling'!$N$9,0))),0))</f>
        <v>0</v>
      </c>
      <c r="AY61" s="799">
        <f>IF(AY$12=$F61+1,IF(Monthly!AU$4=TRUE,0,AY$3),IF(AY$12&gt;$F61+1,RentalsVacates!AX61*(1-IF(AY$12-$F61&lt;=12,SUMIFS('Attrition Modeling'!$D:$D,'Attrition Modeling'!$B:$B,$E61,'Attrition Modeling'!$C:$C,AY$11),VLOOKUP(RentalsVacates!AY$12-RentalsVacates!$F61-1,RentalsVacates!$A$8:$C$162,2,FALSE)*VLOOKUP(AY$11,'Attrition Modeling'!$L$15:$N$27,IF(AY$12-$F61&lt;=24,2,3),FALSE))*(1+IF('Traditional Attrition'!AY183&gt;0,'Attrition Modeling'!$N$9,0))),0))</f>
        <v>0</v>
      </c>
      <c r="AZ61" s="799">
        <f>IF(AZ$12=$F61+1,IF(Monthly!AV$4=TRUE,0,AZ$3),IF(AZ$12&gt;$F61+1,RentalsVacates!AY61*(1-IF(AZ$12-$F61&lt;=12,SUMIFS('Attrition Modeling'!$D:$D,'Attrition Modeling'!$B:$B,$E61,'Attrition Modeling'!$C:$C,AZ$11),VLOOKUP(RentalsVacates!AZ$12-RentalsVacates!$F61-1,RentalsVacates!$A$8:$C$162,2,FALSE)*VLOOKUP(AZ$11,'Attrition Modeling'!$L$15:$N$27,IF(AZ$12-$F61&lt;=24,2,3),FALSE))*(1+IF('Traditional Attrition'!AZ183&gt;0,'Attrition Modeling'!$N$9,0))),0))</f>
        <v>0</v>
      </c>
      <c r="BA61" s="799">
        <f>IF(BA$12=$F61+1,IF(Monthly!AW$4=TRUE,0,BA$3),IF(BA$12&gt;$F61+1,RentalsVacates!AZ61*(1-IF(BA$12-$F61&lt;=12,SUMIFS('Attrition Modeling'!$D:$D,'Attrition Modeling'!$B:$B,$E61,'Attrition Modeling'!$C:$C,BA$11),VLOOKUP(RentalsVacates!BA$12-RentalsVacates!$F61-1,RentalsVacates!$A$8:$C$162,2,FALSE)*VLOOKUP(BA$11,'Attrition Modeling'!$L$15:$N$27,IF(BA$12-$F61&lt;=24,2,3),FALSE))*(1+IF('Traditional Attrition'!BA183&gt;0,'Attrition Modeling'!$N$9,0))),0))</f>
        <v>0</v>
      </c>
      <c r="BB61" s="799">
        <f>IF(BB$12=$F61+1,IF(Monthly!AX$4=TRUE,0,BB$3),IF(BB$12&gt;$F61+1,RentalsVacates!BA61*(1-IF(BB$12-$F61&lt;=12,SUMIFS('Attrition Modeling'!$D:$D,'Attrition Modeling'!$B:$B,$E61,'Attrition Modeling'!$C:$C,BB$11),VLOOKUP(RentalsVacates!BB$12-RentalsVacates!$F61-1,RentalsVacates!$A$8:$C$162,2,FALSE)*VLOOKUP(BB$11,'Attrition Modeling'!$L$15:$N$27,IF(BB$12-$F61&lt;=24,2,3),FALSE))*(1+IF('Traditional Attrition'!BB183&gt;0,'Attrition Modeling'!$N$9,0))),0))</f>
        <v>0</v>
      </c>
      <c r="BC61" s="799">
        <f>IF(BC$12=$F61+1,IF(Monthly!AY$4=TRUE,0,BC$3),IF(BC$12&gt;$F61+1,RentalsVacates!BB61*(1-IF(BC$12-$F61&lt;=12,SUMIFS('Attrition Modeling'!$D:$D,'Attrition Modeling'!$B:$B,$E61,'Attrition Modeling'!$C:$C,BC$11),VLOOKUP(RentalsVacates!BC$12-RentalsVacates!$F61-1,RentalsVacates!$A$8:$C$162,2,FALSE)*VLOOKUP(BC$11,'Attrition Modeling'!$L$15:$N$27,IF(BC$12-$F61&lt;=24,2,3),FALSE))*(1+IF('Traditional Attrition'!BC183&gt;0,'Attrition Modeling'!$N$9,0))),0))</f>
        <v>0</v>
      </c>
      <c r="BD61" s="799">
        <f>IF(BD$12=$F61+1,IF(Monthly!AZ$4=TRUE,0,BD$3),IF(BD$12&gt;$F61+1,RentalsVacates!BC61*(1-IF(BD$12-$F61&lt;=12,SUMIFS('Attrition Modeling'!$D:$D,'Attrition Modeling'!$B:$B,$E61,'Attrition Modeling'!$C:$C,BD$11),VLOOKUP(RentalsVacates!BD$12-RentalsVacates!$F61-1,RentalsVacates!$A$8:$C$162,2,FALSE)*VLOOKUP(BD$11,'Attrition Modeling'!$L$15:$N$27,IF(BD$12-$F61&lt;=24,2,3),FALSE))*(1+IF('Traditional Attrition'!BD183&gt;0,'Attrition Modeling'!$N$9,0))),0))</f>
        <v>5085.1083718086447</v>
      </c>
      <c r="BE61" s="799">
        <f>IF(BE$12=$F61+1,IF(Monthly!BA$4=TRUE,0,BE$3),IF(BE$12&gt;$F61+1,RentalsVacates!BD61*(1-IF(BE$12-$F61&lt;=12,SUMIFS('Attrition Modeling'!$D:$D,'Attrition Modeling'!$B:$B,$E61,'Attrition Modeling'!$C:$C,BE$11),VLOOKUP(RentalsVacates!BE$12-RentalsVacates!$F61-1,RentalsVacates!$A$8:$C$162,2,FALSE)*VLOOKUP(BE$11,'Attrition Modeling'!$L$15:$N$27,IF(BE$12-$F61&lt;=24,2,3),FALSE))*(1+IF('Traditional Attrition'!BE183&gt;0,'Attrition Modeling'!$N$9,0))),0))</f>
        <v>4602.268483816847</v>
      </c>
      <c r="BF61" s="799">
        <f>IF(BF$12=$F61+1,IF(Monthly!BB$4=TRUE,0,BF$3),IF(BF$12&gt;$F61+1,RentalsVacates!BE61*(1-IF(BF$12-$F61&lt;=12,SUMIFS('Attrition Modeling'!$D:$D,'Attrition Modeling'!$B:$B,$E61,'Attrition Modeling'!$C:$C,BF$11),VLOOKUP(RentalsVacates!BF$12-RentalsVacates!$F61-1,RentalsVacates!$A$8:$C$162,2,FALSE)*VLOOKUP(BF$11,'Attrition Modeling'!$L$15:$N$27,IF(BF$12-$F61&lt;=24,2,3),FALSE))*(1+IF('Traditional Attrition'!BF183&gt;0,'Attrition Modeling'!$N$9,0))),0))</f>
        <v>4203.4380140527819</v>
      </c>
      <c r="BG61" s="799">
        <f>IF(BG$12=$F61+1,IF(Monthly!BC$4=TRUE,0,BG$3),IF(BG$12&gt;$F61+1,RentalsVacates!BF61*(1-IF(BG$12-$F61&lt;=12,SUMIFS('Attrition Modeling'!$D:$D,'Attrition Modeling'!$B:$B,$E61,'Attrition Modeling'!$C:$C,BG$11),VLOOKUP(RentalsVacates!BG$12-RentalsVacates!$F61-1,RentalsVacates!$A$8:$C$162,2,FALSE)*VLOOKUP(BG$11,'Attrition Modeling'!$L$15:$N$27,IF(BG$12-$F61&lt;=24,2,3),FALSE))*(1+IF('Traditional Attrition'!BG183&gt;0,'Attrition Modeling'!$N$9,0))),0))</f>
        <v>3827.7117315508076</v>
      </c>
      <c r="BH61" s="799">
        <f>IF(BH$12=$F61+1,IF(Monthly!BD$4=TRUE,0,BH$3),IF(BH$12&gt;$F61+1,RentalsVacates!BG61*(1-IF(BH$12-$F61&lt;=12,SUMIFS('Attrition Modeling'!$D:$D,'Attrition Modeling'!$B:$B,$E61,'Attrition Modeling'!$C:$C,BH$11),VLOOKUP(RentalsVacates!BH$12-RentalsVacates!$F61-1,RentalsVacates!$A$8:$C$162,2,FALSE)*VLOOKUP(BH$11,'Attrition Modeling'!$L$15:$N$27,IF(BH$12-$F61&lt;=24,2,3),FALSE))*(1+IF('Traditional Attrition'!BH183&gt;0,'Attrition Modeling'!$N$9,0))),0))</f>
        <v>3501.4174880668261</v>
      </c>
      <c r="BI61" s="799">
        <f>IF(BI$12=$F61+1,IF(Monthly!BE$4=TRUE,0,BI$3),IF(BI$12&gt;$F61+1,RentalsVacates!BH61*(1-IF(BI$12-$F61&lt;=12,SUMIFS('Attrition Modeling'!$D:$D,'Attrition Modeling'!$B:$B,$E61,'Attrition Modeling'!$C:$C,BI$11),VLOOKUP(RentalsVacates!BI$12-RentalsVacates!$F61-1,RentalsVacates!$A$8:$C$162,2,FALSE)*VLOOKUP(BI$11,'Attrition Modeling'!$L$15:$N$27,IF(BI$12-$F61&lt;=24,2,3),FALSE))*(1+IF('Traditional Attrition'!BI183&gt;0,'Attrition Modeling'!$N$9,0))),0))</f>
        <v>3184.3936864859743</v>
      </c>
      <c r="BJ61" s="799">
        <f>IF(BJ$12=$F61+1,IF(Monthly!BF$4=TRUE,0,BJ$3),IF(BJ$12&gt;$F61+1,RentalsVacates!BI61*(1-IF(BJ$12-$F61&lt;=12,SUMIFS('Attrition Modeling'!$D:$D,'Attrition Modeling'!$B:$B,$E61,'Attrition Modeling'!$C:$C,BJ$11),VLOOKUP(RentalsVacates!BJ$12-RentalsVacates!$F61-1,RentalsVacates!$A$8:$C$162,2,FALSE)*VLOOKUP(BJ$11,'Attrition Modeling'!$L$15:$N$27,IF(BJ$12-$F61&lt;=24,2,3),FALSE))*(1+IF('Traditional Attrition'!BJ183&gt;0,'Attrition Modeling'!$N$9,0))),0))</f>
        <v>2944.1465316181766</v>
      </c>
      <c r="BK61" s="799">
        <f>IF(BK$12=$F61+1,IF(Monthly!BG$4=TRUE,0,BK$3),IF(BK$12&gt;$F61+1,RentalsVacates!BJ61*(1-IF(BK$12-$F61&lt;=12,SUMIFS('Attrition Modeling'!$D:$D,'Attrition Modeling'!$B:$B,$E61,'Attrition Modeling'!$C:$C,BK$11),VLOOKUP(RentalsVacates!BK$12-RentalsVacates!$F61-1,RentalsVacates!$A$8:$C$162,2,FALSE)*VLOOKUP(BK$11,'Attrition Modeling'!$L$15:$N$27,IF(BK$12-$F61&lt;=24,2,3),FALSE))*(1+IF('Traditional Attrition'!BK183&gt;0,'Attrition Modeling'!$N$9,0))),0))</f>
        <v>2730.8674340527909</v>
      </c>
      <c r="BL61" s="799">
        <f>IF(BL$12=$F61+1,IF(Monthly!BH$4=TRUE,0,BL$3),IF(BL$12&gt;$F61+1,RentalsVacates!BK61*(1-IF(BL$12-$F61&lt;=12,SUMIFS('Attrition Modeling'!$D:$D,'Attrition Modeling'!$B:$B,$E61,'Attrition Modeling'!$C:$C,BL$11),VLOOKUP(RentalsVacates!BL$12-RentalsVacates!$F61-1,RentalsVacates!$A$8:$C$162,2,FALSE)*VLOOKUP(BL$11,'Attrition Modeling'!$L$15:$N$27,IF(BL$12-$F61&lt;=24,2,3),FALSE))*(1+IF('Traditional Attrition'!BL183&gt;0,'Attrition Modeling'!$N$9,0))),0))</f>
        <v>2557.7152551109107</v>
      </c>
      <c r="BM61" s="799">
        <f>IF(BM$12=$F61+1,IF(Monthly!BI$4=TRUE,0,BM$3),IF(BM$12&gt;$F61+1,RentalsVacates!BL61*(1-IF(BM$12-$F61&lt;=12,SUMIFS('Attrition Modeling'!$D:$D,'Attrition Modeling'!$B:$B,$E61,'Attrition Modeling'!$C:$C,BM$11),VLOOKUP(RentalsVacates!BM$12-RentalsVacates!$F61-1,RentalsVacates!$A$8:$C$162,2,FALSE)*VLOOKUP(BM$11,'Attrition Modeling'!$L$15:$N$27,IF(BM$12-$F61&lt;=24,2,3),FALSE))*(1+IF('Traditional Attrition'!BM183&gt;0,'Attrition Modeling'!$N$9,0))),0))</f>
        <v>2400.4459223844474</v>
      </c>
      <c r="BN61" s="799">
        <f>IF(BN$12=$F61+1,IF(Monthly!BJ$4=TRUE,0,BN$3),IF(BN$12&gt;$F61+1,RentalsVacates!BM61*(1-IF(BN$12-$F61&lt;=12,SUMIFS('Attrition Modeling'!$D:$D,'Attrition Modeling'!$B:$B,$E61,'Attrition Modeling'!$C:$C,BN$11),VLOOKUP(RentalsVacates!BN$12-RentalsVacates!$F61-1,RentalsVacates!$A$8:$C$162,2,FALSE)*VLOOKUP(BN$11,'Attrition Modeling'!$L$15:$N$27,IF(BN$12-$F61&lt;=24,2,3),FALSE))*(1+IF('Traditional Attrition'!BN183&gt;0,'Attrition Modeling'!$N$9,0))),0))</f>
        <v>2268.3212980583394</v>
      </c>
      <c r="BO61" s="799">
        <f>IF(BO$12=$F61+1,IF(Monthly!BK$4=TRUE,0,BO$3),IF(BO$12&gt;$F61+1,RentalsVacates!BN61*(1-IF(BO$12-$F61&lt;=12,SUMIFS('Attrition Modeling'!$D:$D,'Attrition Modeling'!$B:$B,$E61,'Attrition Modeling'!$C:$C,BO$11),VLOOKUP(RentalsVacates!BO$12-RentalsVacates!$F61-1,RentalsVacates!$A$8:$C$162,2,FALSE)*VLOOKUP(BO$11,'Attrition Modeling'!$L$15:$N$27,IF(BO$12-$F61&lt;=24,2,3),FALSE))*(1+IF('Traditional Attrition'!BO183&gt;0,'Attrition Modeling'!$N$9,0))),0))</f>
        <v>2197.6717092447548</v>
      </c>
      <c r="BP61" s="799">
        <f>IF(BP$12=$F61+1,IF(Monthly!BL$4=TRUE,0,BP$3),IF(BP$12&gt;$F61+1,RentalsVacates!BO61*(1-IF(BP$12-$F61&lt;=12,SUMIFS('Attrition Modeling'!$D:$D,'Attrition Modeling'!$B:$B,$E61,'Attrition Modeling'!$C:$C,BP$11),VLOOKUP(RentalsVacates!BP$12-RentalsVacates!$F61-1,RentalsVacates!$A$8:$C$162,2,FALSE)*VLOOKUP(BP$11,'Attrition Modeling'!$L$15:$N$27,IF(BP$12-$F61&lt;=24,2,3),FALSE))*(1+IF('Traditional Attrition'!BP183&gt;0,'Attrition Modeling'!$N$9,0))),0))</f>
        <v>2079.3580778846572</v>
      </c>
      <c r="BQ61" s="799">
        <f>IF(BQ$12=$F61+1,IF(Monthly!BM$4=TRUE,0,BQ$3),IF(BQ$12&gt;$F61+1,RentalsVacates!BP61*(1-IF(BQ$12-$F61&lt;=12,SUMIFS('Attrition Modeling'!$D:$D,'Attrition Modeling'!$B:$B,$E61,'Attrition Modeling'!$C:$C,BQ$11),VLOOKUP(RentalsVacates!BQ$12-RentalsVacates!$F61-1,RentalsVacates!$A$8:$C$162,2,FALSE)*VLOOKUP(BQ$11,'Attrition Modeling'!$L$15:$N$27,IF(BQ$12-$F61&lt;=24,2,3),FALSE))*(1+IF('Traditional Attrition'!BQ183&gt;0,'Attrition Modeling'!$N$9,0))),0))</f>
        <v>1986.17280040537</v>
      </c>
      <c r="BR61" s="799">
        <f>IF(BR$12=$F61+1,IF(Monthly!BN$4=TRUE,0,BR$3),IF(BR$12&gt;$F61+1,RentalsVacates!BQ61*(1-IF(BR$12-$F61&lt;=12,SUMIFS('Attrition Modeling'!$D:$D,'Attrition Modeling'!$B:$B,$E61,'Attrition Modeling'!$C:$C,BR$11),VLOOKUP(RentalsVacates!BR$12-RentalsVacates!$F61-1,RentalsVacates!$A$8:$C$162,2,FALSE)*VLOOKUP(BR$11,'Attrition Modeling'!$L$15:$N$27,IF(BR$12-$F61&lt;=24,2,3),FALSE))*(1+IF('Traditional Attrition'!BR183&gt;0,'Attrition Modeling'!$N$9,0))),0))</f>
        <v>1894.0251164525384</v>
      </c>
      <c r="BS61" s="799">
        <f>IF(BS$12=$F61+1,IF(Monthly!BO$4=TRUE,0,BS$3),IF(BS$12&gt;$F61+1,RentalsVacates!BR61*(1-IF(BS$12-$F61&lt;=12,SUMIFS('Attrition Modeling'!$D:$D,'Attrition Modeling'!$B:$B,$E61,'Attrition Modeling'!$C:$C,BS$11),VLOOKUP(RentalsVacates!BS$12-RentalsVacates!$F61-1,RentalsVacates!$A$8:$C$162,2,FALSE)*VLOOKUP(BS$11,'Attrition Modeling'!$L$15:$N$27,IF(BS$12-$F61&lt;=24,2,3),FALSE))*(1+IF('Traditional Attrition'!BS183&gt;0,'Attrition Modeling'!$N$9,0))),0))</f>
        <v>1810.7826272961865</v>
      </c>
      <c r="BT61" s="799">
        <f>IF(BT$11=$F60+1,IF(Monthly!#REF!=TRUE,0,BT$3),IF(BT$11&gt;$F60+1,RentalsVacates!BS60*(1-IF(BT$11-$F60&lt;=12,SUMIFS('Attrition Modeling'!$D:$D,'Attrition Modeling'!$B:$B,$E60,'Attrition Modeling'!$C:$C,BT$10),VLOOKUP(RentalsVacates!BT$11-RentalsVacates!$F60-1,RentalsVacates!$A$7:$C$161,2,FALSE)*VLOOKUP(BT$10,'Attrition Modeling'!$L$15:$N$27,IF(BT$11-$F60&lt;=24,2,3),FALSE))*(1+IF('Traditional Attrition'!BT183&gt;0,'Attrition Modeling'!$N$9,0))),0))</f>
        <v>0</v>
      </c>
      <c r="BU61" s="799">
        <f>IF(BU$11=$F60+1,IF(Monthly!#REF!=TRUE,0,BU$3),IF(BU$11&gt;$F60+1,RentalsVacates!BT60*(1-IF(BU$11-$F60&lt;=12,SUMIFS('Attrition Modeling'!$D:$D,'Attrition Modeling'!$B:$B,$E60,'Attrition Modeling'!$C:$C,BU$10),VLOOKUP(RentalsVacates!BU$11-RentalsVacates!$F60-1,RentalsVacates!$A$7:$C$161,2,FALSE)*VLOOKUP(BU$10,'Attrition Modeling'!$L$15:$N$27,IF(BU$11-$F60&lt;=24,2,3),FALSE))*(1+IF('Traditional Attrition'!BU183&gt;0,'Attrition Modeling'!$N$9,0))),0))</f>
        <v>0</v>
      </c>
    </row>
    <row r="62" spans="1:73" ht="14.25" customHeight="1" x14ac:dyDescent="0.2">
      <c r="A62" s="9">
        <v>54</v>
      </c>
      <c r="B62" s="25">
        <f>MAX('Attrition Modeling'!H58,$C$3)*(1-Summary!$C$20)</f>
        <v>2.3812175912941283E-2</v>
      </c>
      <c r="C62" s="24" t="e">
        <f t="shared" si="2"/>
        <v>#DIV/0!</v>
      </c>
      <c r="E62" s="11">
        <f>'Traditional Attrition'!E119</f>
        <v>1</v>
      </c>
      <c r="F62" s="11">
        <f t="shared" si="4"/>
        <v>49</v>
      </c>
      <c r="G62" s="799"/>
      <c r="H62" s="799">
        <f>IF(H$12=$F62+1,IF(Monthly!D$4=TRUE,0,H$3),IF(H$12&gt;$F62+1,RentalsVacates!G62*(1-IF(H$12-$F62&lt;=12,SUMIFS('Attrition Modeling'!$D:$D,'Attrition Modeling'!$B:$B,$E62,'Attrition Modeling'!$C:$C,H$11),VLOOKUP(RentalsVacates!H$12-RentalsVacates!$F62-1,RentalsVacates!$A$8:$C$162,2,FALSE)*VLOOKUP(H$11,'Attrition Modeling'!$L$15:$N$27,IF(H$12-$F62&lt;=24,2,3),FALSE))*(1+IF('Traditional Attrition'!H184&gt;0,'Attrition Modeling'!$N$9,0))),0))</f>
        <v>0</v>
      </c>
      <c r="I62" s="799">
        <f>IF(I$12=$F62+1,IF(Monthly!E$4=TRUE,0,I$3),IF(I$12&gt;$F62+1,RentalsVacates!H62*(1-IF(I$12-$F62&lt;=12,SUMIFS('Attrition Modeling'!$D:$D,'Attrition Modeling'!$B:$B,$E62,'Attrition Modeling'!$C:$C,I$11),VLOOKUP(RentalsVacates!I$12-RentalsVacates!$F62-1,RentalsVacates!$A$8:$C$162,2,FALSE)*VLOOKUP(I$11,'Attrition Modeling'!$L$15:$N$27,IF(I$12-$F62&lt;=24,2,3),FALSE))*(1+IF('Traditional Attrition'!I184&gt;0,'Attrition Modeling'!$N$9,0))),0))</f>
        <v>0</v>
      </c>
      <c r="J62" s="799">
        <f>IF(J$12=$F62+1,IF(Monthly!F$4=TRUE,0,J$3),IF(J$12&gt;$F62+1,RentalsVacates!I62*(1-IF(J$12-$F62&lt;=12,SUMIFS('Attrition Modeling'!$D:$D,'Attrition Modeling'!$B:$B,$E62,'Attrition Modeling'!$C:$C,J$11),VLOOKUP(RentalsVacates!J$12-RentalsVacates!$F62-1,RentalsVacates!$A$8:$C$162,2,FALSE)*VLOOKUP(J$11,'Attrition Modeling'!$L$15:$N$27,IF(J$12-$F62&lt;=24,2,3),FALSE))*(1+IF('Traditional Attrition'!J184&gt;0,'Attrition Modeling'!$N$9,0))),0))</f>
        <v>0</v>
      </c>
      <c r="K62" s="799">
        <f>IF(K$12=$F62+1,IF(Monthly!G$4=TRUE,0,K$3),IF(K$12&gt;$F62+1,RentalsVacates!J62*(1-IF(K$12-$F62&lt;=12,SUMIFS('Attrition Modeling'!$D:$D,'Attrition Modeling'!$B:$B,$E62,'Attrition Modeling'!$C:$C,K$11),VLOOKUP(RentalsVacates!K$12-RentalsVacates!$F62-1,RentalsVacates!$A$8:$C$162,2,FALSE)*VLOOKUP(K$11,'Attrition Modeling'!$L$15:$N$27,IF(K$12-$F62&lt;=24,2,3),FALSE))*(1+IF('Traditional Attrition'!K184&gt;0,'Attrition Modeling'!$N$9,0))),0))</f>
        <v>0</v>
      </c>
      <c r="L62" s="799">
        <f>IF(L$12=$F62+1,IF(Monthly!H$4=TRUE,0,L$3),IF(L$12&gt;$F62+1,RentalsVacates!K62*(1-IF(L$12-$F62&lt;=12,SUMIFS('Attrition Modeling'!$D:$D,'Attrition Modeling'!$B:$B,$E62,'Attrition Modeling'!$C:$C,L$11),VLOOKUP(RentalsVacates!L$12-RentalsVacates!$F62-1,RentalsVacates!$A$8:$C$162,2,FALSE)*VLOOKUP(L$11,'Attrition Modeling'!$L$15:$N$27,IF(L$12-$F62&lt;=24,2,3),FALSE))*(1+IF('Traditional Attrition'!L184&gt;0,'Attrition Modeling'!$N$9,0))),0))</f>
        <v>0</v>
      </c>
      <c r="M62" s="799">
        <f>IF(M$12=$F62+1,IF(Monthly!I$4=TRUE,0,M$3),IF(M$12&gt;$F62+1,RentalsVacates!L62*(1-IF(M$12-$F62&lt;=12,SUMIFS('Attrition Modeling'!$D:$D,'Attrition Modeling'!$B:$B,$E62,'Attrition Modeling'!$C:$C,M$11),VLOOKUP(RentalsVacates!M$12-RentalsVacates!$F62-1,RentalsVacates!$A$8:$C$162,2,FALSE)*VLOOKUP(M$11,'Attrition Modeling'!$L$15:$N$27,IF(M$12-$F62&lt;=24,2,3),FALSE))*(1+IF('Traditional Attrition'!M184&gt;0,'Attrition Modeling'!$N$9,0))),0))</f>
        <v>0</v>
      </c>
      <c r="N62" s="799">
        <f>IF(N$12=$F62+1,IF(Monthly!J$4=TRUE,0,N$3),IF(N$12&gt;$F62+1,RentalsVacates!M62*(1-IF(N$12-$F62&lt;=12,SUMIFS('Attrition Modeling'!$D:$D,'Attrition Modeling'!$B:$B,$E62,'Attrition Modeling'!$C:$C,N$11),VLOOKUP(RentalsVacates!N$12-RentalsVacates!$F62-1,RentalsVacates!$A$8:$C$162,2,FALSE)*VLOOKUP(N$11,'Attrition Modeling'!$L$15:$N$27,IF(N$12-$F62&lt;=24,2,3),FALSE))*(1+IF('Traditional Attrition'!N184&gt;0,'Attrition Modeling'!$N$9,0))),0))</f>
        <v>0</v>
      </c>
      <c r="O62" s="799">
        <f>IF(O$12=$F62+1,IF(Monthly!K$4=TRUE,0,O$3),IF(O$12&gt;$F62+1,RentalsVacates!N62*(1-IF(O$12-$F62&lt;=12,SUMIFS('Attrition Modeling'!$D:$D,'Attrition Modeling'!$B:$B,$E62,'Attrition Modeling'!$C:$C,O$11),VLOOKUP(RentalsVacates!O$12-RentalsVacates!$F62-1,RentalsVacates!$A$8:$C$162,2,FALSE)*VLOOKUP(O$11,'Attrition Modeling'!$L$15:$N$27,IF(O$12-$F62&lt;=24,2,3),FALSE))*(1+IF('Traditional Attrition'!O184&gt;0,'Attrition Modeling'!$N$9,0))),0))</f>
        <v>0</v>
      </c>
      <c r="P62" s="799">
        <f>IF(P$12=$F62+1,IF(Monthly!L$4=TRUE,0,P$3),IF(P$12&gt;$F62+1,RentalsVacates!O62*(1-IF(P$12-$F62&lt;=12,SUMIFS('Attrition Modeling'!$D:$D,'Attrition Modeling'!$B:$B,$E62,'Attrition Modeling'!$C:$C,P$11),VLOOKUP(RentalsVacates!P$12-RentalsVacates!$F62-1,RentalsVacates!$A$8:$C$162,2,FALSE)*VLOOKUP(P$11,'Attrition Modeling'!$L$15:$N$27,IF(P$12-$F62&lt;=24,2,3),FALSE))*(1+IF('Traditional Attrition'!P184&gt;0,'Attrition Modeling'!$N$9,0))),0))</f>
        <v>0</v>
      </c>
      <c r="Q62" s="799">
        <f>IF(Q$12=$F62+1,IF(Monthly!M$4=TRUE,0,Q$3),IF(Q$12&gt;$F62+1,RentalsVacates!P62*(1-IF(Q$12-$F62&lt;=12,SUMIFS('Attrition Modeling'!$D:$D,'Attrition Modeling'!$B:$B,$E62,'Attrition Modeling'!$C:$C,Q$11),VLOOKUP(RentalsVacates!Q$12-RentalsVacates!$F62-1,RentalsVacates!$A$8:$C$162,2,FALSE)*VLOOKUP(Q$11,'Attrition Modeling'!$L$15:$N$27,IF(Q$12-$F62&lt;=24,2,3),FALSE))*(1+IF('Traditional Attrition'!Q184&gt;0,'Attrition Modeling'!$N$9,0))),0))</f>
        <v>0</v>
      </c>
      <c r="R62" s="799">
        <f>IF(R$12=$F62+1,IF(Monthly!N$4=TRUE,0,R$3),IF(R$12&gt;$F62+1,RentalsVacates!Q62*(1-IF(R$12-$F62&lt;=12,SUMIFS('Attrition Modeling'!$D:$D,'Attrition Modeling'!$B:$B,$E62,'Attrition Modeling'!$C:$C,R$11),VLOOKUP(RentalsVacates!R$12-RentalsVacates!$F62-1,RentalsVacates!$A$8:$C$162,2,FALSE)*VLOOKUP(R$11,'Attrition Modeling'!$L$15:$N$27,IF(R$12-$F62&lt;=24,2,3),FALSE))*(1+IF('Traditional Attrition'!R184&gt;0,'Attrition Modeling'!$N$9,0))),0))</f>
        <v>0</v>
      </c>
      <c r="S62" s="799">
        <f>IF(S$12=$F62+1,IF(Monthly!O$4=TRUE,0,S$3),IF(S$12&gt;$F62+1,RentalsVacates!R62*(1-IF(S$12-$F62&lt;=12,SUMIFS('Attrition Modeling'!$D:$D,'Attrition Modeling'!$B:$B,$E62,'Attrition Modeling'!$C:$C,S$11),VLOOKUP(RentalsVacates!S$12-RentalsVacates!$F62-1,RentalsVacates!$A$8:$C$162,2,FALSE)*VLOOKUP(S$11,'Attrition Modeling'!$L$15:$N$27,IF(S$12-$F62&lt;=24,2,3),FALSE))*(1+IF('Traditional Attrition'!S184&gt;0,'Attrition Modeling'!$N$9,0))),0))</f>
        <v>0</v>
      </c>
      <c r="T62" s="799">
        <f>IF(T$12=$F62+1,IF(Monthly!P$4=TRUE,0,T$3),IF(T$12&gt;$F62+1,RentalsVacates!S62*(1-IF(T$12-$F62&lt;=12,SUMIFS('Attrition Modeling'!$D:$D,'Attrition Modeling'!$B:$B,$E62,'Attrition Modeling'!$C:$C,T$11),VLOOKUP(RentalsVacates!T$12-RentalsVacates!$F62-1,RentalsVacates!$A$8:$C$162,2,FALSE)*VLOOKUP(T$11,'Attrition Modeling'!$L$15:$N$27,IF(T$12-$F62&lt;=24,2,3),FALSE))*(1+IF('Traditional Attrition'!T184&gt;0,'Attrition Modeling'!$N$9,0))),0))</f>
        <v>0</v>
      </c>
      <c r="U62" s="799">
        <f>IF(U$12=$F62+1,IF(Monthly!Q$4=TRUE,0,U$3),IF(U$12&gt;$F62+1,RentalsVacates!T62*(1-IF(U$12-$F62&lt;=12,SUMIFS('Attrition Modeling'!$D:$D,'Attrition Modeling'!$B:$B,$E62,'Attrition Modeling'!$C:$C,U$11),VLOOKUP(RentalsVacates!U$12-RentalsVacates!$F62-1,RentalsVacates!$A$8:$C$162,2,FALSE)*VLOOKUP(U$11,'Attrition Modeling'!$L$15:$N$27,IF(U$12-$F62&lt;=24,2,3),FALSE))*(1+IF('Traditional Attrition'!U184&gt;0,'Attrition Modeling'!$N$9,0))),0))</f>
        <v>0</v>
      </c>
      <c r="V62" s="799">
        <f>IF(V$12=$F62+1,IF(Monthly!R$4=TRUE,0,V$3),IF(V$12&gt;$F62+1,RentalsVacates!U62*(1-IF(V$12-$F62&lt;=12,SUMIFS('Attrition Modeling'!$D:$D,'Attrition Modeling'!$B:$B,$E62,'Attrition Modeling'!$C:$C,V$11),VLOOKUP(RentalsVacates!V$12-RentalsVacates!$F62-1,RentalsVacates!$A$8:$C$162,2,FALSE)*VLOOKUP(V$11,'Attrition Modeling'!$L$15:$N$27,IF(V$12-$F62&lt;=24,2,3),FALSE))*(1+IF('Traditional Attrition'!V184&gt;0,'Attrition Modeling'!$N$9,0))),0))</f>
        <v>0</v>
      </c>
      <c r="W62" s="799">
        <f>IF(W$12=$F62+1,IF(Monthly!S$4=TRUE,0,W$3),IF(W$12&gt;$F62+1,RentalsVacates!V62*(1-IF(W$12-$F62&lt;=12,SUMIFS('Attrition Modeling'!$D:$D,'Attrition Modeling'!$B:$B,$E62,'Attrition Modeling'!$C:$C,W$11),VLOOKUP(RentalsVacates!W$12-RentalsVacates!$F62-1,RentalsVacates!$A$8:$C$162,2,FALSE)*VLOOKUP(W$11,'Attrition Modeling'!$L$15:$N$27,IF(W$12-$F62&lt;=24,2,3),FALSE))*(1+IF('Traditional Attrition'!W184&gt;0,'Attrition Modeling'!$N$9,0))),0))</f>
        <v>0</v>
      </c>
      <c r="X62" s="799">
        <f>IF(X$12=$F62+1,IF(Monthly!T$4=TRUE,0,X$3),IF(X$12&gt;$F62+1,RentalsVacates!W62*(1-IF(X$12-$F62&lt;=12,SUMIFS('Attrition Modeling'!$D:$D,'Attrition Modeling'!$B:$B,$E62,'Attrition Modeling'!$C:$C,X$11),VLOOKUP(RentalsVacates!X$12-RentalsVacates!$F62-1,RentalsVacates!$A$8:$C$162,2,FALSE)*VLOOKUP(X$11,'Attrition Modeling'!$L$15:$N$27,IF(X$12-$F62&lt;=24,2,3),FALSE))*(1+IF('Traditional Attrition'!X184&gt;0,'Attrition Modeling'!$N$9,0))),0))</f>
        <v>0</v>
      </c>
      <c r="Y62" s="799">
        <f>IF(Y$12=$F62+1,IF(Monthly!U$4=TRUE,0,Y$3),IF(Y$12&gt;$F62+1,RentalsVacates!X62*(1-IF(Y$12-$F62&lt;=12,SUMIFS('Attrition Modeling'!$D:$D,'Attrition Modeling'!$B:$B,$E62,'Attrition Modeling'!$C:$C,Y$11),VLOOKUP(RentalsVacates!Y$12-RentalsVacates!$F62-1,RentalsVacates!$A$8:$C$162,2,FALSE)*VLOOKUP(Y$11,'Attrition Modeling'!$L$15:$N$27,IF(Y$12-$F62&lt;=24,2,3),FALSE))*(1+IF('Traditional Attrition'!Y184&gt;0,'Attrition Modeling'!$N$9,0))),0))</f>
        <v>0</v>
      </c>
      <c r="Z62" s="799">
        <f>IF(Z$12=$F62+1,IF(Monthly!V$4=TRUE,0,Z$3),IF(Z$12&gt;$F62+1,RentalsVacates!Y62*(1-IF(Z$12-$F62&lt;=12,SUMIFS('Attrition Modeling'!$D:$D,'Attrition Modeling'!$B:$B,$E62,'Attrition Modeling'!$C:$C,Z$11),VLOOKUP(RentalsVacates!Z$12-RentalsVacates!$F62-1,RentalsVacates!$A$8:$C$162,2,FALSE)*VLOOKUP(Z$11,'Attrition Modeling'!$L$15:$N$27,IF(Z$12-$F62&lt;=24,2,3),FALSE))*(1+IF('Traditional Attrition'!Z184&gt;0,'Attrition Modeling'!$N$9,0))),0))</f>
        <v>0</v>
      </c>
      <c r="AA62" s="799">
        <f>IF(AA$12=$F62+1,IF(Monthly!W$4=TRUE,0,AA$3),IF(AA$12&gt;$F62+1,RentalsVacates!Z62*(1-IF(AA$12-$F62&lt;=12,SUMIFS('Attrition Modeling'!$D:$D,'Attrition Modeling'!$B:$B,$E62,'Attrition Modeling'!$C:$C,AA$11),VLOOKUP(RentalsVacates!AA$12-RentalsVacates!$F62-1,RentalsVacates!$A$8:$C$162,2,FALSE)*VLOOKUP(AA$11,'Attrition Modeling'!$L$15:$N$27,IF(AA$12-$F62&lt;=24,2,3),FALSE))*(1+IF('Traditional Attrition'!AA184&gt;0,'Attrition Modeling'!$N$9,0))),0))</f>
        <v>0</v>
      </c>
      <c r="AB62" s="799">
        <f>IF(AB$12=$F62+1,IF(Monthly!X$4=TRUE,0,AB$3),IF(AB$12&gt;$F62+1,RentalsVacates!AA62*(1-IF(AB$12-$F62&lt;=12,SUMIFS('Attrition Modeling'!$D:$D,'Attrition Modeling'!$B:$B,$E62,'Attrition Modeling'!$C:$C,AB$11),VLOOKUP(RentalsVacates!AB$12-RentalsVacates!$F62-1,RentalsVacates!$A$8:$C$162,2,FALSE)*VLOOKUP(AB$11,'Attrition Modeling'!$L$15:$N$27,IF(AB$12-$F62&lt;=24,2,3),FALSE))*(1+IF('Traditional Attrition'!AB184&gt;0,'Attrition Modeling'!$N$9,0))),0))</f>
        <v>0</v>
      </c>
      <c r="AC62" s="799">
        <f>IF(AC$12=$F62+1,IF(Monthly!Y$4=TRUE,0,AC$3),IF(AC$12&gt;$F62+1,RentalsVacates!AB62*(1-IF(AC$12-$F62&lt;=12,SUMIFS('Attrition Modeling'!$D:$D,'Attrition Modeling'!$B:$B,$E62,'Attrition Modeling'!$C:$C,AC$11),VLOOKUP(RentalsVacates!AC$12-RentalsVacates!$F62-1,RentalsVacates!$A$8:$C$162,2,FALSE)*VLOOKUP(AC$11,'Attrition Modeling'!$L$15:$N$27,IF(AC$12-$F62&lt;=24,2,3),FALSE))*(1+IF('Traditional Attrition'!AC184&gt;0,'Attrition Modeling'!$N$9,0))),0))</f>
        <v>0</v>
      </c>
      <c r="AD62" s="799">
        <f>IF(AD$12=$F62+1,IF(Monthly!Z$4=TRUE,0,AD$3),IF(AD$12&gt;$F62+1,RentalsVacates!AC62*(1-IF(AD$12-$F62&lt;=12,SUMIFS('Attrition Modeling'!$D:$D,'Attrition Modeling'!$B:$B,$E62,'Attrition Modeling'!$C:$C,AD$11),VLOOKUP(RentalsVacates!AD$12-RentalsVacates!$F62-1,RentalsVacates!$A$8:$C$162,2,FALSE)*VLOOKUP(AD$11,'Attrition Modeling'!$L$15:$N$27,IF(AD$12-$F62&lt;=24,2,3),FALSE))*(1+IF('Traditional Attrition'!AD184&gt;0,'Attrition Modeling'!$N$9,0))),0))</f>
        <v>0</v>
      </c>
      <c r="AE62" s="799">
        <f>IF(AE$12=$F62+1,IF(Monthly!AA$4=TRUE,0,AE$3),IF(AE$12&gt;$F62+1,RentalsVacates!AD62*(1-IF(AE$12-$F62&lt;=12,SUMIFS('Attrition Modeling'!$D:$D,'Attrition Modeling'!$B:$B,$E62,'Attrition Modeling'!$C:$C,AE$11),VLOOKUP(RentalsVacates!AE$12-RentalsVacates!$F62-1,RentalsVacates!$A$8:$C$162,2,FALSE)*VLOOKUP(AE$11,'Attrition Modeling'!$L$15:$N$27,IF(AE$12-$F62&lt;=24,2,3),FALSE))*(1+IF('Traditional Attrition'!AE184&gt;0,'Attrition Modeling'!$N$9,0))),0))</f>
        <v>0</v>
      </c>
      <c r="AF62" s="799">
        <f>IF(AF$12=$F62+1,IF(Monthly!AB$4=TRUE,0,AF$3),IF(AF$12&gt;$F62+1,RentalsVacates!AE62*(1-IF(AF$12-$F62&lt;=12,SUMIFS('Attrition Modeling'!$D:$D,'Attrition Modeling'!$B:$B,$E62,'Attrition Modeling'!$C:$C,AF$11),VLOOKUP(RentalsVacates!AF$12-RentalsVacates!$F62-1,RentalsVacates!$A$8:$C$162,2,FALSE)*VLOOKUP(AF$11,'Attrition Modeling'!$L$15:$N$27,IF(AF$12-$F62&lt;=24,2,3),FALSE))*(1+IF('Traditional Attrition'!AF184&gt;0,'Attrition Modeling'!$N$9,0))),0))</f>
        <v>0</v>
      </c>
      <c r="AG62" s="799">
        <f>IF(AG$12=$F62+1,IF(Monthly!AC$4=TRUE,0,AG$3),IF(AG$12&gt;$F62+1,RentalsVacates!AF62*(1-IF(AG$12-$F62&lt;=12,SUMIFS('Attrition Modeling'!$D:$D,'Attrition Modeling'!$B:$B,$E62,'Attrition Modeling'!$C:$C,AG$11),VLOOKUP(RentalsVacates!AG$12-RentalsVacates!$F62-1,RentalsVacates!$A$8:$C$162,2,FALSE)*VLOOKUP(AG$11,'Attrition Modeling'!$L$15:$N$27,IF(AG$12-$F62&lt;=24,2,3),FALSE))*(1+IF('Traditional Attrition'!AG184&gt;0,'Attrition Modeling'!$N$9,0))),0))</f>
        <v>0</v>
      </c>
      <c r="AH62" s="799">
        <f>IF(AH$12=$F62+1,IF(Monthly!AD$4=TRUE,0,AH$3),IF(AH$12&gt;$F62+1,RentalsVacates!AG62*(1-IF(AH$12-$F62&lt;=12,SUMIFS('Attrition Modeling'!$D:$D,'Attrition Modeling'!$B:$B,$E62,'Attrition Modeling'!$C:$C,AH$11),VLOOKUP(RentalsVacates!AH$12-RentalsVacates!$F62-1,RentalsVacates!$A$8:$C$162,2,FALSE)*VLOOKUP(AH$11,'Attrition Modeling'!$L$15:$N$27,IF(AH$12-$F62&lt;=24,2,3),FALSE))*(1+IF('Traditional Attrition'!AH184&gt;0,'Attrition Modeling'!$N$9,0))),0))</f>
        <v>0</v>
      </c>
      <c r="AI62" s="799">
        <f>IF(AI$12=$F62+1,IF(Monthly!AE$4=TRUE,0,AI$3),IF(AI$12&gt;$F62+1,RentalsVacates!AH62*(1-IF(AI$12-$F62&lt;=12,SUMIFS('Attrition Modeling'!$D:$D,'Attrition Modeling'!$B:$B,$E62,'Attrition Modeling'!$C:$C,AI$11),VLOOKUP(RentalsVacates!AI$12-RentalsVacates!$F62-1,RentalsVacates!$A$8:$C$162,2,FALSE)*VLOOKUP(AI$11,'Attrition Modeling'!$L$15:$N$27,IF(AI$12-$F62&lt;=24,2,3),FALSE))*(1+IF('Traditional Attrition'!AI184&gt;0,'Attrition Modeling'!$N$9,0))),0))</f>
        <v>0</v>
      </c>
      <c r="AJ62" s="799">
        <f>IF(AJ$12=$F62+1,IF(Monthly!AF$4=TRUE,0,AJ$3),IF(AJ$12&gt;$F62+1,RentalsVacates!AI62*(1-IF(AJ$12-$F62&lt;=12,SUMIFS('Attrition Modeling'!$D:$D,'Attrition Modeling'!$B:$B,$E62,'Attrition Modeling'!$C:$C,AJ$11),VLOOKUP(RentalsVacates!AJ$12-RentalsVacates!$F62-1,RentalsVacates!$A$8:$C$162,2,FALSE)*VLOOKUP(AJ$11,'Attrition Modeling'!$L$15:$N$27,IF(AJ$12-$F62&lt;=24,2,3),FALSE))*(1+IF('Traditional Attrition'!AJ184&gt;0,'Attrition Modeling'!$N$9,0))),0))</f>
        <v>0</v>
      </c>
      <c r="AK62" s="799">
        <f>IF(AK$12=$F62+1,IF(Monthly!AG$4=TRUE,0,AK$3),IF(AK$12&gt;$F62+1,RentalsVacates!AJ62*(1-IF(AK$12-$F62&lt;=12,SUMIFS('Attrition Modeling'!$D:$D,'Attrition Modeling'!$B:$B,$E62,'Attrition Modeling'!$C:$C,AK$11),VLOOKUP(RentalsVacates!AK$12-RentalsVacates!$F62-1,RentalsVacates!$A$8:$C$162,2,FALSE)*VLOOKUP(AK$11,'Attrition Modeling'!$L$15:$N$27,IF(AK$12-$F62&lt;=24,2,3),FALSE))*(1+IF('Traditional Attrition'!AK184&gt;0,'Attrition Modeling'!$N$9,0))),0))</f>
        <v>0</v>
      </c>
      <c r="AL62" s="799">
        <f>IF(AL$12=$F62+1,IF(Monthly!AH$4=TRUE,0,AL$3),IF(AL$12&gt;$F62+1,RentalsVacates!AK62*(1-IF(AL$12-$F62&lt;=12,SUMIFS('Attrition Modeling'!$D:$D,'Attrition Modeling'!$B:$B,$E62,'Attrition Modeling'!$C:$C,AL$11),VLOOKUP(RentalsVacates!AL$12-RentalsVacates!$F62-1,RentalsVacates!$A$8:$C$162,2,FALSE)*VLOOKUP(AL$11,'Attrition Modeling'!$L$15:$N$27,IF(AL$12-$F62&lt;=24,2,3),FALSE))*(1+IF('Traditional Attrition'!AL184&gt;0,'Attrition Modeling'!$N$9,0))),0))</f>
        <v>0</v>
      </c>
      <c r="AM62" s="799">
        <f>IF(AM$12=$F62+1,IF(Monthly!AI$4=TRUE,0,AM$3),IF(AM$12&gt;$F62+1,RentalsVacates!AL62*(1-IF(AM$12-$F62&lt;=12,SUMIFS('Attrition Modeling'!$D:$D,'Attrition Modeling'!$B:$B,$E62,'Attrition Modeling'!$C:$C,AM$11),VLOOKUP(RentalsVacates!AM$12-RentalsVacates!$F62-1,RentalsVacates!$A$8:$C$162,2,FALSE)*VLOOKUP(AM$11,'Attrition Modeling'!$L$15:$N$27,IF(AM$12-$F62&lt;=24,2,3),FALSE))*(1+IF('Traditional Attrition'!AM184&gt;0,'Attrition Modeling'!$N$9,0))),0))</f>
        <v>0</v>
      </c>
      <c r="AN62" s="799">
        <f>IF(AN$12=$F62+1,IF(Monthly!AJ$4=TRUE,0,AN$3),IF(AN$12&gt;$F62+1,RentalsVacates!AM62*(1-IF(AN$12-$F62&lt;=12,SUMIFS('Attrition Modeling'!$D:$D,'Attrition Modeling'!$B:$B,$E62,'Attrition Modeling'!$C:$C,AN$11),VLOOKUP(RentalsVacates!AN$12-RentalsVacates!$F62-1,RentalsVacates!$A$8:$C$162,2,FALSE)*VLOOKUP(AN$11,'Attrition Modeling'!$L$15:$N$27,IF(AN$12-$F62&lt;=24,2,3),FALSE))*(1+IF('Traditional Attrition'!AN184&gt;0,'Attrition Modeling'!$N$9,0))),0))</f>
        <v>0</v>
      </c>
      <c r="AO62" s="799">
        <f>IF(AO$12=$F62+1,IF(Monthly!AK$4=TRUE,0,AO$3),IF(AO$12&gt;$F62+1,RentalsVacates!AN62*(1-IF(AO$12-$F62&lt;=12,SUMIFS('Attrition Modeling'!$D:$D,'Attrition Modeling'!$B:$B,$E62,'Attrition Modeling'!$C:$C,AO$11),VLOOKUP(RentalsVacates!AO$12-RentalsVacates!$F62-1,RentalsVacates!$A$8:$C$162,2,FALSE)*VLOOKUP(AO$11,'Attrition Modeling'!$L$15:$N$27,IF(AO$12-$F62&lt;=24,2,3),FALSE))*(1+IF('Traditional Attrition'!AO184&gt;0,'Attrition Modeling'!$N$9,0))),0))</f>
        <v>0</v>
      </c>
      <c r="AP62" s="799">
        <f>IF(AP$12=$F62+1,IF(Monthly!AL$4=TRUE,0,AP$3),IF(AP$12&gt;$F62+1,RentalsVacates!AO62*(1-IF(AP$12-$F62&lt;=12,SUMIFS('Attrition Modeling'!$D:$D,'Attrition Modeling'!$B:$B,$E62,'Attrition Modeling'!$C:$C,AP$11),VLOOKUP(RentalsVacates!AP$12-RentalsVacates!$F62-1,RentalsVacates!$A$8:$C$162,2,FALSE)*VLOOKUP(AP$11,'Attrition Modeling'!$L$15:$N$27,IF(AP$12-$F62&lt;=24,2,3),FALSE))*(1+IF('Traditional Attrition'!AP184&gt;0,'Attrition Modeling'!$N$9,0))),0))</f>
        <v>0</v>
      </c>
      <c r="AQ62" s="799">
        <f>IF(AQ$12=$F62+1,IF(Monthly!AM$4=TRUE,0,AQ$3),IF(AQ$12&gt;$F62+1,RentalsVacates!AP62*(1-IF(AQ$12-$F62&lt;=12,SUMIFS('Attrition Modeling'!$D:$D,'Attrition Modeling'!$B:$B,$E62,'Attrition Modeling'!$C:$C,AQ$11),VLOOKUP(RentalsVacates!AQ$12-RentalsVacates!$F62-1,RentalsVacates!$A$8:$C$162,2,FALSE)*VLOOKUP(AQ$11,'Attrition Modeling'!$L$15:$N$27,IF(AQ$12-$F62&lt;=24,2,3),FALSE))*(1+IF('Traditional Attrition'!AQ184&gt;0,'Attrition Modeling'!$N$9,0))),0))</f>
        <v>0</v>
      </c>
      <c r="AR62" s="799">
        <f>IF(AR$12=$F62+1,IF(Monthly!AN$4=TRUE,0,AR$3),IF(AR$12&gt;$F62+1,RentalsVacates!AQ62*(1-IF(AR$12-$F62&lt;=12,SUMIFS('Attrition Modeling'!$D:$D,'Attrition Modeling'!$B:$B,$E62,'Attrition Modeling'!$C:$C,AR$11),VLOOKUP(RentalsVacates!AR$12-RentalsVacates!$F62-1,RentalsVacates!$A$8:$C$162,2,FALSE)*VLOOKUP(AR$11,'Attrition Modeling'!$L$15:$N$27,IF(AR$12-$F62&lt;=24,2,3),FALSE))*(1+IF('Traditional Attrition'!AR184&gt;0,'Attrition Modeling'!$N$9,0))),0))</f>
        <v>0</v>
      </c>
      <c r="AS62" s="799">
        <f>IF(AS$12=$F62+1,IF(Monthly!AO$4=TRUE,0,AS$3),IF(AS$12&gt;$F62+1,RentalsVacates!AR62*(1-IF(AS$12-$F62&lt;=12,SUMIFS('Attrition Modeling'!$D:$D,'Attrition Modeling'!$B:$B,$E62,'Attrition Modeling'!$C:$C,AS$11),VLOOKUP(RentalsVacates!AS$12-RentalsVacates!$F62-1,RentalsVacates!$A$8:$C$162,2,FALSE)*VLOOKUP(AS$11,'Attrition Modeling'!$L$15:$N$27,IF(AS$12-$F62&lt;=24,2,3),FALSE))*(1+IF('Traditional Attrition'!AS184&gt;0,'Attrition Modeling'!$N$9,0))),0))</f>
        <v>0</v>
      </c>
      <c r="AT62" s="799">
        <f>IF(AT$12=$F62+1,IF(Monthly!AP$4=TRUE,0,AT$3),IF(AT$12&gt;$F62+1,RentalsVacates!AS62*(1-IF(AT$12-$F62&lt;=12,SUMIFS('Attrition Modeling'!$D:$D,'Attrition Modeling'!$B:$B,$E62,'Attrition Modeling'!$C:$C,AT$11),VLOOKUP(RentalsVacates!AT$12-RentalsVacates!$F62-1,RentalsVacates!$A$8:$C$162,2,FALSE)*VLOOKUP(AT$11,'Attrition Modeling'!$L$15:$N$27,IF(AT$12-$F62&lt;=24,2,3),FALSE))*(1+IF('Traditional Attrition'!AT184&gt;0,'Attrition Modeling'!$N$9,0))),0))</f>
        <v>0</v>
      </c>
      <c r="AU62" s="799">
        <f>IF(AU$12=$F62+1,IF(Monthly!AQ$4=TRUE,0,AU$3),IF(AU$12&gt;$F62+1,RentalsVacates!AT62*(1-IF(AU$12-$F62&lt;=12,SUMIFS('Attrition Modeling'!$D:$D,'Attrition Modeling'!$B:$B,$E62,'Attrition Modeling'!$C:$C,AU$11),VLOOKUP(RentalsVacates!AU$12-RentalsVacates!$F62-1,RentalsVacates!$A$8:$C$162,2,FALSE)*VLOOKUP(AU$11,'Attrition Modeling'!$L$15:$N$27,IF(AU$12-$F62&lt;=24,2,3),FALSE))*(1+IF('Traditional Attrition'!AU184&gt;0,'Attrition Modeling'!$N$9,0))),0))</f>
        <v>0</v>
      </c>
      <c r="AV62" s="799">
        <f>IF(AV$12=$F62+1,IF(Monthly!AR$4=TRUE,0,AV$3),IF(AV$12&gt;$F62+1,RentalsVacates!AU62*(1-IF(AV$12-$F62&lt;=12,SUMIFS('Attrition Modeling'!$D:$D,'Attrition Modeling'!$B:$B,$E62,'Attrition Modeling'!$C:$C,AV$11),VLOOKUP(RentalsVacates!AV$12-RentalsVacates!$F62-1,RentalsVacates!$A$8:$C$162,2,FALSE)*VLOOKUP(AV$11,'Attrition Modeling'!$L$15:$N$27,IF(AV$12-$F62&lt;=24,2,3),FALSE))*(1+IF('Traditional Attrition'!AV184&gt;0,'Attrition Modeling'!$N$9,0))),0))</f>
        <v>0</v>
      </c>
      <c r="AW62" s="799">
        <f>IF(AW$12=$F62+1,IF(Monthly!AS$4=TRUE,0,AW$3),IF(AW$12&gt;$F62+1,RentalsVacates!AV62*(1-IF(AW$12-$F62&lt;=12,SUMIFS('Attrition Modeling'!$D:$D,'Attrition Modeling'!$B:$B,$E62,'Attrition Modeling'!$C:$C,AW$11),VLOOKUP(RentalsVacates!AW$12-RentalsVacates!$F62-1,RentalsVacates!$A$8:$C$162,2,FALSE)*VLOOKUP(AW$11,'Attrition Modeling'!$L$15:$N$27,IF(AW$12-$F62&lt;=24,2,3),FALSE))*(1+IF('Traditional Attrition'!AW184&gt;0,'Attrition Modeling'!$N$9,0))),0))</f>
        <v>0</v>
      </c>
      <c r="AX62" s="799">
        <f>IF(AX$12=$F62+1,IF(Monthly!AT$4=TRUE,0,AX$3),IF(AX$12&gt;$F62+1,RentalsVacates!AW62*(1-IF(AX$12-$F62&lt;=12,SUMIFS('Attrition Modeling'!$D:$D,'Attrition Modeling'!$B:$B,$E62,'Attrition Modeling'!$C:$C,AX$11),VLOOKUP(RentalsVacates!AX$12-RentalsVacates!$F62-1,RentalsVacates!$A$8:$C$162,2,FALSE)*VLOOKUP(AX$11,'Attrition Modeling'!$L$15:$N$27,IF(AX$12-$F62&lt;=24,2,3),FALSE))*(1+IF('Traditional Attrition'!AX184&gt;0,'Attrition Modeling'!$N$9,0))),0))</f>
        <v>0</v>
      </c>
      <c r="AY62" s="799">
        <f>IF(AY$12=$F62+1,IF(Monthly!AU$4=TRUE,0,AY$3),IF(AY$12&gt;$F62+1,RentalsVacates!AX62*(1-IF(AY$12-$F62&lt;=12,SUMIFS('Attrition Modeling'!$D:$D,'Attrition Modeling'!$B:$B,$E62,'Attrition Modeling'!$C:$C,AY$11),VLOOKUP(RentalsVacates!AY$12-RentalsVacates!$F62-1,RentalsVacates!$A$8:$C$162,2,FALSE)*VLOOKUP(AY$11,'Attrition Modeling'!$L$15:$N$27,IF(AY$12-$F62&lt;=24,2,3),FALSE))*(1+IF('Traditional Attrition'!AY184&gt;0,'Attrition Modeling'!$N$9,0))),0))</f>
        <v>0</v>
      </c>
      <c r="AZ62" s="799">
        <f>IF(AZ$12=$F62+1,IF(Monthly!AV$4=TRUE,0,AZ$3),IF(AZ$12&gt;$F62+1,RentalsVacates!AY62*(1-IF(AZ$12-$F62&lt;=12,SUMIFS('Attrition Modeling'!$D:$D,'Attrition Modeling'!$B:$B,$E62,'Attrition Modeling'!$C:$C,AZ$11),VLOOKUP(RentalsVacates!AZ$12-RentalsVacates!$F62-1,RentalsVacates!$A$8:$C$162,2,FALSE)*VLOOKUP(AZ$11,'Attrition Modeling'!$L$15:$N$27,IF(AZ$12-$F62&lt;=24,2,3),FALSE))*(1+IF('Traditional Attrition'!AZ184&gt;0,'Attrition Modeling'!$N$9,0))),0))</f>
        <v>0</v>
      </c>
      <c r="BA62" s="799">
        <f>IF(BA$12=$F62+1,IF(Monthly!AW$4=TRUE,0,BA$3),IF(BA$12&gt;$F62+1,RentalsVacates!AZ62*(1-IF(BA$12-$F62&lt;=12,SUMIFS('Attrition Modeling'!$D:$D,'Attrition Modeling'!$B:$B,$E62,'Attrition Modeling'!$C:$C,BA$11),VLOOKUP(RentalsVacates!BA$12-RentalsVacates!$F62-1,RentalsVacates!$A$8:$C$162,2,FALSE)*VLOOKUP(BA$11,'Attrition Modeling'!$L$15:$N$27,IF(BA$12-$F62&lt;=24,2,3),FALSE))*(1+IF('Traditional Attrition'!BA184&gt;0,'Attrition Modeling'!$N$9,0))),0))</f>
        <v>0</v>
      </c>
      <c r="BB62" s="799">
        <f>IF(BB$12=$F62+1,IF(Monthly!AX$4=TRUE,0,BB$3),IF(BB$12&gt;$F62+1,RentalsVacates!BA62*(1-IF(BB$12-$F62&lt;=12,SUMIFS('Attrition Modeling'!$D:$D,'Attrition Modeling'!$B:$B,$E62,'Attrition Modeling'!$C:$C,BB$11),VLOOKUP(RentalsVacates!BB$12-RentalsVacates!$F62-1,RentalsVacates!$A$8:$C$162,2,FALSE)*VLOOKUP(BB$11,'Attrition Modeling'!$L$15:$N$27,IF(BB$12-$F62&lt;=24,2,3),FALSE))*(1+IF('Traditional Attrition'!BB184&gt;0,'Attrition Modeling'!$N$9,0))),0))</f>
        <v>0</v>
      </c>
      <c r="BC62" s="799">
        <f>IF(BC$12=$F62+1,IF(Monthly!AY$4=TRUE,0,BC$3),IF(BC$12&gt;$F62+1,RentalsVacates!BB62*(1-IF(BC$12-$F62&lt;=12,SUMIFS('Attrition Modeling'!$D:$D,'Attrition Modeling'!$B:$B,$E62,'Attrition Modeling'!$C:$C,BC$11),VLOOKUP(RentalsVacates!BC$12-RentalsVacates!$F62-1,RentalsVacates!$A$8:$C$162,2,FALSE)*VLOOKUP(BC$11,'Attrition Modeling'!$L$15:$N$27,IF(BC$12-$F62&lt;=24,2,3),FALSE))*(1+IF('Traditional Attrition'!BC184&gt;0,'Attrition Modeling'!$N$9,0))),0))</f>
        <v>0</v>
      </c>
      <c r="BD62" s="799">
        <f>IF(BD$12=$F62+1,IF(Monthly!AZ$4=TRUE,0,BD$3),IF(BD$12&gt;$F62+1,RentalsVacates!BC62*(1-IF(BD$12-$F62&lt;=12,SUMIFS('Attrition Modeling'!$D:$D,'Attrition Modeling'!$B:$B,$E62,'Attrition Modeling'!$C:$C,BD$11),VLOOKUP(RentalsVacates!BD$12-RentalsVacates!$F62-1,RentalsVacates!$A$8:$C$162,2,FALSE)*VLOOKUP(BD$11,'Attrition Modeling'!$L$15:$N$27,IF(BD$12-$F62&lt;=24,2,3),FALSE))*(1+IF('Traditional Attrition'!BD184&gt;0,'Attrition Modeling'!$N$9,0))),0))</f>
        <v>0</v>
      </c>
      <c r="BE62" s="799">
        <f>IF(BE$12=$F62+1,IF(Monthly!BA$4=TRUE,0,BE$3),IF(BE$12&gt;$F62+1,RentalsVacates!BD62*(1-IF(BE$12-$F62&lt;=12,SUMIFS('Attrition Modeling'!$D:$D,'Attrition Modeling'!$B:$B,$E62,'Attrition Modeling'!$C:$C,BE$11),VLOOKUP(RentalsVacates!BE$12-RentalsVacates!$F62-1,RentalsVacates!$A$8:$C$162,2,FALSE)*VLOOKUP(BE$11,'Attrition Modeling'!$L$15:$N$27,IF(BE$12-$F62&lt;=24,2,3),FALSE))*(1+IF('Traditional Attrition'!BE184&gt;0,'Attrition Modeling'!$N$9,0))),0))</f>
        <v>4797.1230387622054</v>
      </c>
      <c r="BF62" s="799">
        <f>IF(BF$12=$F62+1,IF(Monthly!BB$4=TRUE,0,BF$3),IF(BF$12&gt;$F62+1,RentalsVacates!BE62*(1-IF(BF$12-$F62&lt;=12,SUMIFS('Attrition Modeling'!$D:$D,'Attrition Modeling'!$B:$B,$E62,'Attrition Modeling'!$C:$C,BF$11),VLOOKUP(RentalsVacates!BF$12-RentalsVacates!$F62-1,RentalsVacates!$A$8:$C$162,2,FALSE)*VLOOKUP(BF$11,'Attrition Modeling'!$L$15:$N$27,IF(BF$12-$F62&lt;=24,2,3),FALSE))*(1+IF('Traditional Attrition'!BF184&gt;0,'Attrition Modeling'!$N$9,0))),0))</f>
        <v>4313.7951432516693</v>
      </c>
      <c r="BG62" s="799">
        <f>IF(BG$12=$F62+1,IF(Monthly!BC$4=TRUE,0,BG$3),IF(BG$12&gt;$F62+1,RentalsVacates!BF62*(1-IF(BG$12-$F62&lt;=12,SUMIFS('Attrition Modeling'!$D:$D,'Attrition Modeling'!$B:$B,$E62,'Attrition Modeling'!$C:$C,BG$11),VLOOKUP(RentalsVacates!BG$12-RentalsVacates!$F62-1,RentalsVacates!$A$8:$C$162,2,FALSE)*VLOOKUP(BG$11,'Attrition Modeling'!$L$15:$N$27,IF(BG$12-$F62&lt;=24,2,3),FALSE))*(1+IF('Traditional Attrition'!BG184&gt;0,'Attrition Modeling'!$N$9,0))),0))</f>
        <v>3953.5431656285418</v>
      </c>
      <c r="BH62" s="799">
        <f>IF(BH$12=$F62+1,IF(Monthly!BD$4=TRUE,0,BH$3),IF(BH$12&gt;$F62+1,RentalsVacates!BG62*(1-IF(BH$12-$F62&lt;=12,SUMIFS('Attrition Modeling'!$D:$D,'Attrition Modeling'!$B:$B,$E62,'Attrition Modeling'!$C:$C,BH$11),VLOOKUP(RentalsVacates!BH$12-RentalsVacates!$F62-1,RentalsVacates!$A$8:$C$162,2,FALSE)*VLOOKUP(BH$11,'Attrition Modeling'!$L$15:$N$27,IF(BH$12-$F62&lt;=24,2,3),FALSE))*(1+IF('Traditional Attrition'!BH184&gt;0,'Attrition Modeling'!$N$9,0))),0))</f>
        <v>3589.9006536869424</v>
      </c>
      <c r="BI62" s="799">
        <f>IF(BI$12=$F62+1,IF(Monthly!BE$4=TRUE,0,BI$3),IF(BI$12&gt;$F62+1,RentalsVacates!BH62*(1-IF(BI$12-$F62&lt;=12,SUMIFS('Attrition Modeling'!$D:$D,'Attrition Modeling'!$B:$B,$E62,'Attrition Modeling'!$C:$C,BI$11),VLOOKUP(RentalsVacates!BI$12-RentalsVacates!$F62-1,RentalsVacates!$A$8:$C$162,2,FALSE)*VLOOKUP(BI$11,'Attrition Modeling'!$L$15:$N$27,IF(BI$12-$F62&lt;=24,2,3),FALSE))*(1+IF('Traditional Attrition'!BI184&gt;0,'Attrition Modeling'!$N$9,0))),0))</f>
        <v>3299.1139261704307</v>
      </c>
      <c r="BJ62" s="799">
        <f>IF(BJ$12=$F62+1,IF(Monthly!BF$4=TRUE,0,BJ$3),IF(BJ$12&gt;$F62+1,RentalsVacates!BI62*(1-IF(BJ$12-$F62&lt;=12,SUMIFS('Attrition Modeling'!$D:$D,'Attrition Modeling'!$B:$B,$E62,'Attrition Modeling'!$C:$C,BJ$11),VLOOKUP(RentalsVacates!BJ$12-RentalsVacates!$F62-1,RentalsVacates!$A$8:$C$162,2,FALSE)*VLOOKUP(BJ$11,'Attrition Modeling'!$L$15:$N$27,IF(BJ$12-$F62&lt;=24,2,3),FALSE))*(1+IF('Traditional Attrition'!BJ184&gt;0,'Attrition Modeling'!$N$9,0))),0))</f>
        <v>2959.3192196072905</v>
      </c>
      <c r="BK62" s="799">
        <f>IF(BK$12=$F62+1,IF(Monthly!BG$4=TRUE,0,BK$3),IF(BK$12&gt;$F62+1,RentalsVacates!BJ62*(1-IF(BK$12-$F62&lt;=12,SUMIFS('Attrition Modeling'!$D:$D,'Attrition Modeling'!$B:$B,$E62,'Attrition Modeling'!$C:$C,BK$11),VLOOKUP(RentalsVacates!BK$12-RentalsVacates!$F62-1,RentalsVacates!$A$8:$C$162,2,FALSE)*VLOOKUP(BK$11,'Attrition Modeling'!$L$15:$N$27,IF(BK$12-$F62&lt;=24,2,3),FALSE))*(1+IF('Traditional Attrition'!BK184&gt;0,'Attrition Modeling'!$N$9,0))),0))</f>
        <v>2733.6141030308727</v>
      </c>
      <c r="BL62" s="799">
        <f>IF(BL$12=$F62+1,IF(Monthly!BH$4=TRUE,0,BL$3),IF(BL$12&gt;$F62+1,RentalsVacates!BK62*(1-IF(BL$12-$F62&lt;=12,SUMIFS('Attrition Modeling'!$D:$D,'Attrition Modeling'!$B:$B,$E62,'Attrition Modeling'!$C:$C,BL$11),VLOOKUP(RentalsVacates!BL$12-RentalsVacates!$F62-1,RentalsVacates!$A$8:$C$162,2,FALSE)*VLOOKUP(BL$11,'Attrition Modeling'!$L$15:$N$27,IF(BL$12-$F62&lt;=24,2,3),FALSE))*(1+IF('Traditional Attrition'!BL184&gt;0,'Attrition Modeling'!$N$9,0))),0))</f>
        <v>2565.9606479993354</v>
      </c>
      <c r="BM62" s="799">
        <f>IF(BM$12=$F62+1,IF(Monthly!BI$4=TRUE,0,BM$3),IF(BM$12&gt;$F62+1,RentalsVacates!BL62*(1-IF(BM$12-$F62&lt;=12,SUMIFS('Attrition Modeling'!$D:$D,'Attrition Modeling'!$B:$B,$E62,'Attrition Modeling'!$C:$C,BM$11),VLOOKUP(RentalsVacates!BM$12-RentalsVacates!$F62-1,RentalsVacates!$A$8:$C$162,2,FALSE)*VLOOKUP(BM$11,'Attrition Modeling'!$L$15:$N$27,IF(BM$12-$F62&lt;=24,2,3),FALSE))*(1+IF('Traditional Attrition'!BM184&gt;0,'Attrition Modeling'!$N$9,0))),0))</f>
        <v>2401.2984371264774</v>
      </c>
      <c r="BN62" s="799">
        <f>IF(BN$12=$F62+1,IF(Monthly!BJ$4=TRUE,0,BN$3),IF(BN$12&gt;$F62+1,RentalsVacates!BM62*(1-IF(BN$12-$F62&lt;=12,SUMIFS('Attrition Modeling'!$D:$D,'Attrition Modeling'!$B:$B,$E62,'Attrition Modeling'!$C:$C,BN$11),VLOOKUP(RentalsVacates!BN$12-RentalsVacates!$F62-1,RentalsVacates!$A$8:$C$162,2,FALSE)*VLOOKUP(BN$11,'Attrition Modeling'!$L$15:$N$27,IF(BN$12-$F62&lt;=24,2,3),FALSE))*(1+IF('Traditional Attrition'!BN184&gt;0,'Attrition Modeling'!$N$9,0))),0))</f>
        <v>2257.8498631932907</v>
      </c>
      <c r="BO62" s="799">
        <f>IF(BO$12=$F62+1,IF(Monthly!BK$4=TRUE,0,BO$3),IF(BO$12&gt;$F62+1,RentalsVacates!BN62*(1-IF(BO$12-$F62&lt;=12,SUMIFS('Attrition Modeling'!$D:$D,'Attrition Modeling'!$B:$B,$E62,'Attrition Modeling'!$C:$C,BO$11),VLOOKUP(RentalsVacates!BO$12-RentalsVacates!$F62-1,RentalsVacates!$A$8:$C$162,2,FALSE)*VLOOKUP(BO$11,'Attrition Modeling'!$L$15:$N$27,IF(BO$12-$F62&lt;=24,2,3),FALSE))*(1+IF('Traditional Attrition'!BO184&gt;0,'Attrition Modeling'!$N$9,0))),0))</f>
        <v>2125.8154769429639</v>
      </c>
      <c r="BP62" s="799">
        <f>IF(BP$12=$F62+1,IF(Monthly!BL$4=TRUE,0,BP$3),IF(BP$12&gt;$F62+1,RentalsVacates!BO62*(1-IF(BP$12-$F62&lt;=12,SUMIFS('Attrition Modeling'!$D:$D,'Attrition Modeling'!$B:$B,$E62,'Attrition Modeling'!$C:$C,BP$11),VLOOKUP(RentalsVacates!BP$12-RentalsVacates!$F62-1,RentalsVacates!$A$8:$C$162,2,FALSE)*VLOOKUP(BP$11,'Attrition Modeling'!$L$15:$N$27,IF(BP$12-$F62&lt;=24,2,3),FALSE))*(1+IF('Traditional Attrition'!BP184&gt;0,'Attrition Modeling'!$N$9,0))),0))</f>
        <v>2071.3106947963493</v>
      </c>
      <c r="BQ62" s="799">
        <f>IF(BQ$12=$F62+1,IF(Monthly!BM$4=TRUE,0,BQ$3),IF(BQ$12&gt;$F62+1,RentalsVacates!BP62*(1-IF(BQ$12-$F62&lt;=12,SUMIFS('Attrition Modeling'!$D:$D,'Attrition Modeling'!$B:$B,$E62,'Attrition Modeling'!$C:$C,BQ$11),VLOOKUP(RentalsVacates!BQ$12-RentalsVacates!$F62-1,RentalsVacates!$A$8:$C$162,2,FALSE)*VLOOKUP(BQ$11,'Attrition Modeling'!$L$15:$N$27,IF(BQ$12-$F62&lt;=24,2,3),FALSE))*(1+IF('Traditional Attrition'!BQ184&gt;0,'Attrition Modeling'!$N$9,0))),0))</f>
        <v>1970.7161404803039</v>
      </c>
      <c r="BR62" s="799">
        <f>IF(BR$12=$F62+1,IF(Monthly!BN$4=TRUE,0,BR$3),IF(BR$12&gt;$F62+1,RentalsVacates!BQ62*(1-IF(BR$12-$F62&lt;=12,SUMIFS('Attrition Modeling'!$D:$D,'Attrition Modeling'!$B:$B,$E62,'Attrition Modeling'!$C:$C,BR$11),VLOOKUP(RentalsVacates!BR$12-RentalsVacates!$F62-1,RentalsVacates!$A$8:$C$162,2,FALSE)*VLOOKUP(BR$11,'Attrition Modeling'!$L$15:$N$27,IF(BR$12-$F62&lt;=24,2,3),FALSE))*(1+IF('Traditional Attrition'!BR184&gt;0,'Attrition Modeling'!$N$9,0))),0))</f>
        <v>1874.5782194853514</v>
      </c>
      <c r="BS62" s="799">
        <f>IF(BS$12=$F62+1,IF(Monthly!BO$4=TRUE,0,BS$3),IF(BS$12&gt;$F62+1,RentalsVacates!BR62*(1-IF(BS$12-$F62&lt;=12,SUMIFS('Attrition Modeling'!$D:$D,'Attrition Modeling'!$B:$B,$E62,'Attrition Modeling'!$C:$C,BS$11),VLOOKUP(RentalsVacates!BS$12-RentalsVacates!$F62-1,RentalsVacates!$A$8:$C$162,2,FALSE)*VLOOKUP(BS$11,'Attrition Modeling'!$L$15:$N$27,IF(BS$12-$F62&lt;=24,2,3),FALSE))*(1+IF('Traditional Attrition'!BS184&gt;0,'Attrition Modeling'!$N$9,0))),0))</f>
        <v>1789.0667310058409</v>
      </c>
      <c r="BT62" s="799">
        <f>IF(BT$11=$F61+1,IF(Monthly!#REF!=TRUE,0,BT$3),IF(BT$11&gt;$F61+1,RentalsVacates!BS61*(1-IF(BT$11-$F61&lt;=12,SUMIFS('Attrition Modeling'!$D:$D,'Attrition Modeling'!$B:$B,$E61,'Attrition Modeling'!$C:$C,BT$10),VLOOKUP(RentalsVacates!BT$11-RentalsVacates!$F61-1,RentalsVacates!$A$7:$C$161,2,FALSE)*VLOOKUP(BT$10,'Attrition Modeling'!$L$15:$N$27,IF(BT$11-$F61&lt;=24,2,3),FALSE))*(1+IF('Traditional Attrition'!BT184&gt;0,'Attrition Modeling'!$N$9,0))),0))</f>
        <v>0</v>
      </c>
      <c r="BU62" s="799">
        <f>IF(BU$11=$F61+1,IF(Monthly!#REF!=TRUE,0,BU$3),IF(BU$11&gt;$F61+1,RentalsVacates!BT61*(1-IF(BU$11-$F61&lt;=12,SUMIFS('Attrition Modeling'!$D:$D,'Attrition Modeling'!$B:$B,$E61,'Attrition Modeling'!$C:$C,BU$10),VLOOKUP(RentalsVacates!BU$11-RentalsVacates!$F61-1,RentalsVacates!$A$7:$C$161,2,FALSE)*VLOOKUP(BU$10,'Attrition Modeling'!$L$15:$N$27,IF(BU$11-$F61&lt;=24,2,3),FALSE))*(1+IF('Traditional Attrition'!BU184&gt;0,'Attrition Modeling'!$N$9,0))),0))</f>
        <v>0</v>
      </c>
    </row>
    <row r="63" spans="1:73" ht="14.25" customHeight="1" x14ac:dyDescent="0.2">
      <c r="A63" s="9">
        <v>55</v>
      </c>
      <c r="B63" s="25">
        <f>MAX('Attrition Modeling'!H59,$C$3)*(1-Summary!$C$20)</f>
        <v>2.3530714805082079E-2</v>
      </c>
      <c r="C63" s="24" t="e">
        <f t="shared" si="2"/>
        <v>#DIV/0!</v>
      </c>
      <c r="E63" s="11">
        <f>'Traditional Attrition'!E120</f>
        <v>2</v>
      </c>
      <c r="F63" s="11">
        <f t="shared" si="4"/>
        <v>50</v>
      </c>
      <c r="G63" s="799"/>
      <c r="H63" s="799">
        <f>IF(H$12=$F63+1,IF(Monthly!D$4=TRUE,0,H$3),IF(H$12&gt;$F63+1,RentalsVacates!G63*(1-IF(H$12-$F63&lt;=12,SUMIFS('Attrition Modeling'!$D:$D,'Attrition Modeling'!$B:$B,$E63,'Attrition Modeling'!$C:$C,H$11),VLOOKUP(RentalsVacates!H$12-RentalsVacates!$F63-1,RentalsVacates!$A$8:$C$162,2,FALSE)*VLOOKUP(H$11,'Attrition Modeling'!$L$15:$N$27,IF(H$12-$F63&lt;=24,2,3),FALSE))*(1+IF('Traditional Attrition'!H185&gt;0,'Attrition Modeling'!$N$9,0))),0))</f>
        <v>0</v>
      </c>
      <c r="I63" s="799">
        <f>IF(I$12=$F63+1,IF(Monthly!E$4=TRUE,0,I$3),IF(I$12&gt;$F63+1,RentalsVacates!H63*(1-IF(I$12-$F63&lt;=12,SUMIFS('Attrition Modeling'!$D:$D,'Attrition Modeling'!$B:$B,$E63,'Attrition Modeling'!$C:$C,I$11),VLOOKUP(RentalsVacates!I$12-RentalsVacates!$F63-1,RentalsVacates!$A$8:$C$162,2,FALSE)*VLOOKUP(I$11,'Attrition Modeling'!$L$15:$N$27,IF(I$12-$F63&lt;=24,2,3),FALSE))*(1+IF('Traditional Attrition'!I185&gt;0,'Attrition Modeling'!$N$9,0))),0))</f>
        <v>0</v>
      </c>
      <c r="J63" s="799">
        <f>IF(J$12=$F63+1,IF(Monthly!F$4=TRUE,0,J$3),IF(J$12&gt;$F63+1,RentalsVacates!I63*(1-IF(J$12-$F63&lt;=12,SUMIFS('Attrition Modeling'!$D:$D,'Attrition Modeling'!$B:$B,$E63,'Attrition Modeling'!$C:$C,J$11),VLOOKUP(RentalsVacates!J$12-RentalsVacates!$F63-1,RentalsVacates!$A$8:$C$162,2,FALSE)*VLOOKUP(J$11,'Attrition Modeling'!$L$15:$N$27,IF(J$12-$F63&lt;=24,2,3),FALSE))*(1+IF('Traditional Attrition'!J185&gt;0,'Attrition Modeling'!$N$9,0))),0))</f>
        <v>0</v>
      </c>
      <c r="K63" s="799">
        <f>IF(K$12=$F63+1,IF(Monthly!G$4=TRUE,0,K$3),IF(K$12&gt;$F63+1,RentalsVacates!J63*(1-IF(K$12-$F63&lt;=12,SUMIFS('Attrition Modeling'!$D:$D,'Attrition Modeling'!$B:$B,$E63,'Attrition Modeling'!$C:$C,K$11),VLOOKUP(RentalsVacates!K$12-RentalsVacates!$F63-1,RentalsVacates!$A$8:$C$162,2,FALSE)*VLOOKUP(K$11,'Attrition Modeling'!$L$15:$N$27,IF(K$12-$F63&lt;=24,2,3),FALSE))*(1+IF('Traditional Attrition'!K185&gt;0,'Attrition Modeling'!$N$9,0))),0))</f>
        <v>0</v>
      </c>
      <c r="L63" s="799">
        <f>IF(L$12=$F63+1,IF(Monthly!H$4=TRUE,0,L$3),IF(L$12&gt;$F63+1,RentalsVacates!K63*(1-IF(L$12-$F63&lt;=12,SUMIFS('Attrition Modeling'!$D:$D,'Attrition Modeling'!$B:$B,$E63,'Attrition Modeling'!$C:$C,L$11),VLOOKUP(RentalsVacates!L$12-RentalsVacates!$F63-1,RentalsVacates!$A$8:$C$162,2,FALSE)*VLOOKUP(L$11,'Attrition Modeling'!$L$15:$N$27,IF(L$12-$F63&lt;=24,2,3),FALSE))*(1+IF('Traditional Attrition'!L185&gt;0,'Attrition Modeling'!$N$9,0))),0))</f>
        <v>0</v>
      </c>
      <c r="M63" s="799">
        <f>IF(M$12=$F63+1,IF(Monthly!I$4=TRUE,0,M$3),IF(M$12&gt;$F63+1,RentalsVacates!L63*(1-IF(M$12-$F63&lt;=12,SUMIFS('Attrition Modeling'!$D:$D,'Attrition Modeling'!$B:$B,$E63,'Attrition Modeling'!$C:$C,M$11),VLOOKUP(RentalsVacates!M$12-RentalsVacates!$F63-1,RentalsVacates!$A$8:$C$162,2,FALSE)*VLOOKUP(M$11,'Attrition Modeling'!$L$15:$N$27,IF(M$12-$F63&lt;=24,2,3),FALSE))*(1+IF('Traditional Attrition'!M185&gt;0,'Attrition Modeling'!$N$9,0))),0))</f>
        <v>0</v>
      </c>
      <c r="N63" s="799">
        <f>IF(N$12=$F63+1,IF(Monthly!J$4=TRUE,0,N$3),IF(N$12&gt;$F63+1,RentalsVacates!M63*(1-IF(N$12-$F63&lt;=12,SUMIFS('Attrition Modeling'!$D:$D,'Attrition Modeling'!$B:$B,$E63,'Attrition Modeling'!$C:$C,N$11),VLOOKUP(RentalsVacates!N$12-RentalsVacates!$F63-1,RentalsVacates!$A$8:$C$162,2,FALSE)*VLOOKUP(N$11,'Attrition Modeling'!$L$15:$N$27,IF(N$12-$F63&lt;=24,2,3),FALSE))*(1+IF('Traditional Attrition'!N185&gt;0,'Attrition Modeling'!$N$9,0))),0))</f>
        <v>0</v>
      </c>
      <c r="O63" s="799">
        <f>IF(O$12=$F63+1,IF(Monthly!K$4=TRUE,0,O$3),IF(O$12&gt;$F63+1,RentalsVacates!N63*(1-IF(O$12-$F63&lt;=12,SUMIFS('Attrition Modeling'!$D:$D,'Attrition Modeling'!$B:$B,$E63,'Attrition Modeling'!$C:$C,O$11),VLOOKUP(RentalsVacates!O$12-RentalsVacates!$F63-1,RentalsVacates!$A$8:$C$162,2,FALSE)*VLOOKUP(O$11,'Attrition Modeling'!$L$15:$N$27,IF(O$12-$F63&lt;=24,2,3),FALSE))*(1+IF('Traditional Attrition'!O185&gt;0,'Attrition Modeling'!$N$9,0))),0))</f>
        <v>0</v>
      </c>
      <c r="P63" s="799">
        <f>IF(P$12=$F63+1,IF(Monthly!L$4=TRUE,0,P$3),IF(P$12&gt;$F63+1,RentalsVacates!O63*(1-IF(P$12-$F63&lt;=12,SUMIFS('Attrition Modeling'!$D:$D,'Attrition Modeling'!$B:$B,$E63,'Attrition Modeling'!$C:$C,P$11),VLOOKUP(RentalsVacates!P$12-RentalsVacates!$F63-1,RentalsVacates!$A$8:$C$162,2,FALSE)*VLOOKUP(P$11,'Attrition Modeling'!$L$15:$N$27,IF(P$12-$F63&lt;=24,2,3),FALSE))*(1+IF('Traditional Attrition'!P185&gt;0,'Attrition Modeling'!$N$9,0))),0))</f>
        <v>0</v>
      </c>
      <c r="Q63" s="799">
        <f>IF(Q$12=$F63+1,IF(Monthly!M$4=TRUE,0,Q$3),IF(Q$12&gt;$F63+1,RentalsVacates!P63*(1-IF(Q$12-$F63&lt;=12,SUMIFS('Attrition Modeling'!$D:$D,'Attrition Modeling'!$B:$B,$E63,'Attrition Modeling'!$C:$C,Q$11),VLOOKUP(RentalsVacates!Q$12-RentalsVacates!$F63-1,RentalsVacates!$A$8:$C$162,2,FALSE)*VLOOKUP(Q$11,'Attrition Modeling'!$L$15:$N$27,IF(Q$12-$F63&lt;=24,2,3),FALSE))*(1+IF('Traditional Attrition'!Q185&gt;0,'Attrition Modeling'!$N$9,0))),0))</f>
        <v>0</v>
      </c>
      <c r="R63" s="799">
        <f>IF(R$12=$F63+1,IF(Monthly!N$4=TRUE,0,R$3),IF(R$12&gt;$F63+1,RentalsVacates!Q63*(1-IF(R$12-$F63&lt;=12,SUMIFS('Attrition Modeling'!$D:$D,'Attrition Modeling'!$B:$B,$E63,'Attrition Modeling'!$C:$C,R$11),VLOOKUP(RentalsVacates!R$12-RentalsVacates!$F63-1,RentalsVacates!$A$8:$C$162,2,FALSE)*VLOOKUP(R$11,'Attrition Modeling'!$L$15:$N$27,IF(R$12-$F63&lt;=24,2,3),FALSE))*(1+IF('Traditional Attrition'!R185&gt;0,'Attrition Modeling'!$N$9,0))),0))</f>
        <v>0</v>
      </c>
      <c r="S63" s="799">
        <f>IF(S$12=$F63+1,IF(Monthly!O$4=TRUE,0,S$3),IF(S$12&gt;$F63+1,RentalsVacates!R63*(1-IF(S$12-$F63&lt;=12,SUMIFS('Attrition Modeling'!$D:$D,'Attrition Modeling'!$B:$B,$E63,'Attrition Modeling'!$C:$C,S$11),VLOOKUP(RentalsVacates!S$12-RentalsVacates!$F63-1,RentalsVacates!$A$8:$C$162,2,FALSE)*VLOOKUP(S$11,'Attrition Modeling'!$L$15:$N$27,IF(S$12-$F63&lt;=24,2,3),FALSE))*(1+IF('Traditional Attrition'!S185&gt;0,'Attrition Modeling'!$N$9,0))),0))</f>
        <v>0</v>
      </c>
      <c r="T63" s="799">
        <f>IF(T$12=$F63+1,IF(Monthly!P$4=TRUE,0,T$3),IF(T$12&gt;$F63+1,RentalsVacates!S63*(1-IF(T$12-$F63&lt;=12,SUMIFS('Attrition Modeling'!$D:$D,'Attrition Modeling'!$B:$B,$E63,'Attrition Modeling'!$C:$C,T$11),VLOOKUP(RentalsVacates!T$12-RentalsVacates!$F63-1,RentalsVacates!$A$8:$C$162,2,FALSE)*VLOOKUP(T$11,'Attrition Modeling'!$L$15:$N$27,IF(T$12-$F63&lt;=24,2,3),FALSE))*(1+IF('Traditional Attrition'!T185&gt;0,'Attrition Modeling'!$N$9,0))),0))</f>
        <v>0</v>
      </c>
      <c r="U63" s="799">
        <f>IF(U$12=$F63+1,IF(Monthly!Q$4=TRUE,0,U$3),IF(U$12&gt;$F63+1,RentalsVacates!T63*(1-IF(U$12-$F63&lt;=12,SUMIFS('Attrition Modeling'!$D:$D,'Attrition Modeling'!$B:$B,$E63,'Attrition Modeling'!$C:$C,U$11),VLOOKUP(RentalsVacates!U$12-RentalsVacates!$F63-1,RentalsVacates!$A$8:$C$162,2,FALSE)*VLOOKUP(U$11,'Attrition Modeling'!$L$15:$N$27,IF(U$12-$F63&lt;=24,2,3),FALSE))*(1+IF('Traditional Attrition'!U185&gt;0,'Attrition Modeling'!$N$9,0))),0))</f>
        <v>0</v>
      </c>
      <c r="V63" s="799">
        <f>IF(V$12=$F63+1,IF(Monthly!R$4=TRUE,0,V$3),IF(V$12&gt;$F63+1,RentalsVacates!U63*(1-IF(V$12-$F63&lt;=12,SUMIFS('Attrition Modeling'!$D:$D,'Attrition Modeling'!$B:$B,$E63,'Attrition Modeling'!$C:$C,V$11),VLOOKUP(RentalsVacates!V$12-RentalsVacates!$F63-1,RentalsVacates!$A$8:$C$162,2,FALSE)*VLOOKUP(V$11,'Attrition Modeling'!$L$15:$N$27,IF(V$12-$F63&lt;=24,2,3),FALSE))*(1+IF('Traditional Attrition'!V185&gt;0,'Attrition Modeling'!$N$9,0))),0))</f>
        <v>0</v>
      </c>
      <c r="W63" s="799">
        <f>IF(W$12=$F63+1,IF(Monthly!S$4=TRUE,0,W$3),IF(W$12&gt;$F63+1,RentalsVacates!V63*(1-IF(W$12-$F63&lt;=12,SUMIFS('Attrition Modeling'!$D:$D,'Attrition Modeling'!$B:$B,$E63,'Attrition Modeling'!$C:$C,W$11),VLOOKUP(RentalsVacates!W$12-RentalsVacates!$F63-1,RentalsVacates!$A$8:$C$162,2,FALSE)*VLOOKUP(W$11,'Attrition Modeling'!$L$15:$N$27,IF(W$12-$F63&lt;=24,2,3),FALSE))*(1+IF('Traditional Attrition'!W185&gt;0,'Attrition Modeling'!$N$9,0))),0))</f>
        <v>0</v>
      </c>
      <c r="X63" s="799">
        <f>IF(X$12=$F63+1,IF(Monthly!T$4=TRUE,0,X$3),IF(X$12&gt;$F63+1,RentalsVacates!W63*(1-IF(X$12-$F63&lt;=12,SUMIFS('Attrition Modeling'!$D:$D,'Attrition Modeling'!$B:$B,$E63,'Attrition Modeling'!$C:$C,X$11),VLOOKUP(RentalsVacates!X$12-RentalsVacates!$F63-1,RentalsVacates!$A$8:$C$162,2,FALSE)*VLOOKUP(X$11,'Attrition Modeling'!$L$15:$N$27,IF(X$12-$F63&lt;=24,2,3),FALSE))*(1+IF('Traditional Attrition'!X185&gt;0,'Attrition Modeling'!$N$9,0))),0))</f>
        <v>0</v>
      </c>
      <c r="Y63" s="799">
        <f>IF(Y$12=$F63+1,IF(Monthly!U$4=TRUE,0,Y$3),IF(Y$12&gt;$F63+1,RentalsVacates!X63*(1-IF(Y$12-$F63&lt;=12,SUMIFS('Attrition Modeling'!$D:$D,'Attrition Modeling'!$B:$B,$E63,'Attrition Modeling'!$C:$C,Y$11),VLOOKUP(RentalsVacates!Y$12-RentalsVacates!$F63-1,RentalsVacates!$A$8:$C$162,2,FALSE)*VLOOKUP(Y$11,'Attrition Modeling'!$L$15:$N$27,IF(Y$12-$F63&lt;=24,2,3),FALSE))*(1+IF('Traditional Attrition'!Y185&gt;0,'Attrition Modeling'!$N$9,0))),0))</f>
        <v>0</v>
      </c>
      <c r="Z63" s="799">
        <f>IF(Z$12=$F63+1,IF(Monthly!V$4=TRUE,0,Z$3),IF(Z$12&gt;$F63+1,RentalsVacates!Y63*(1-IF(Z$12-$F63&lt;=12,SUMIFS('Attrition Modeling'!$D:$D,'Attrition Modeling'!$B:$B,$E63,'Attrition Modeling'!$C:$C,Z$11),VLOOKUP(RentalsVacates!Z$12-RentalsVacates!$F63-1,RentalsVacates!$A$8:$C$162,2,FALSE)*VLOOKUP(Z$11,'Attrition Modeling'!$L$15:$N$27,IF(Z$12-$F63&lt;=24,2,3),FALSE))*(1+IF('Traditional Attrition'!Z185&gt;0,'Attrition Modeling'!$N$9,0))),0))</f>
        <v>0</v>
      </c>
      <c r="AA63" s="799">
        <f>IF(AA$12=$F63+1,IF(Monthly!W$4=TRUE,0,AA$3),IF(AA$12&gt;$F63+1,RentalsVacates!Z63*(1-IF(AA$12-$F63&lt;=12,SUMIFS('Attrition Modeling'!$D:$D,'Attrition Modeling'!$B:$B,$E63,'Attrition Modeling'!$C:$C,AA$11),VLOOKUP(RentalsVacates!AA$12-RentalsVacates!$F63-1,RentalsVacates!$A$8:$C$162,2,FALSE)*VLOOKUP(AA$11,'Attrition Modeling'!$L$15:$N$27,IF(AA$12-$F63&lt;=24,2,3),FALSE))*(1+IF('Traditional Attrition'!AA185&gt;0,'Attrition Modeling'!$N$9,0))),0))</f>
        <v>0</v>
      </c>
      <c r="AB63" s="799">
        <f>IF(AB$12=$F63+1,IF(Monthly!X$4=TRUE,0,AB$3),IF(AB$12&gt;$F63+1,RentalsVacates!AA63*(1-IF(AB$12-$F63&lt;=12,SUMIFS('Attrition Modeling'!$D:$D,'Attrition Modeling'!$B:$B,$E63,'Attrition Modeling'!$C:$C,AB$11),VLOOKUP(RentalsVacates!AB$12-RentalsVacates!$F63-1,RentalsVacates!$A$8:$C$162,2,FALSE)*VLOOKUP(AB$11,'Attrition Modeling'!$L$15:$N$27,IF(AB$12-$F63&lt;=24,2,3),FALSE))*(1+IF('Traditional Attrition'!AB185&gt;0,'Attrition Modeling'!$N$9,0))),0))</f>
        <v>0</v>
      </c>
      <c r="AC63" s="799">
        <f>IF(AC$12=$F63+1,IF(Monthly!Y$4=TRUE,0,AC$3),IF(AC$12&gt;$F63+1,RentalsVacates!AB63*(1-IF(AC$12-$F63&lt;=12,SUMIFS('Attrition Modeling'!$D:$D,'Attrition Modeling'!$B:$B,$E63,'Attrition Modeling'!$C:$C,AC$11),VLOOKUP(RentalsVacates!AC$12-RentalsVacates!$F63-1,RentalsVacates!$A$8:$C$162,2,FALSE)*VLOOKUP(AC$11,'Attrition Modeling'!$L$15:$N$27,IF(AC$12-$F63&lt;=24,2,3),FALSE))*(1+IF('Traditional Attrition'!AC185&gt;0,'Attrition Modeling'!$N$9,0))),0))</f>
        <v>0</v>
      </c>
      <c r="AD63" s="799">
        <f>IF(AD$12=$F63+1,IF(Monthly!Z$4=TRUE,0,AD$3),IF(AD$12&gt;$F63+1,RentalsVacates!AC63*(1-IF(AD$12-$F63&lt;=12,SUMIFS('Attrition Modeling'!$D:$D,'Attrition Modeling'!$B:$B,$E63,'Attrition Modeling'!$C:$C,AD$11),VLOOKUP(RentalsVacates!AD$12-RentalsVacates!$F63-1,RentalsVacates!$A$8:$C$162,2,FALSE)*VLOOKUP(AD$11,'Attrition Modeling'!$L$15:$N$27,IF(AD$12-$F63&lt;=24,2,3),FALSE))*(1+IF('Traditional Attrition'!AD185&gt;0,'Attrition Modeling'!$N$9,0))),0))</f>
        <v>0</v>
      </c>
      <c r="AE63" s="799">
        <f>IF(AE$12=$F63+1,IF(Monthly!AA$4=TRUE,0,AE$3),IF(AE$12&gt;$F63+1,RentalsVacates!AD63*(1-IF(AE$12-$F63&lt;=12,SUMIFS('Attrition Modeling'!$D:$D,'Attrition Modeling'!$B:$B,$E63,'Attrition Modeling'!$C:$C,AE$11),VLOOKUP(RentalsVacates!AE$12-RentalsVacates!$F63-1,RentalsVacates!$A$8:$C$162,2,FALSE)*VLOOKUP(AE$11,'Attrition Modeling'!$L$15:$N$27,IF(AE$12-$F63&lt;=24,2,3),FALSE))*(1+IF('Traditional Attrition'!AE185&gt;0,'Attrition Modeling'!$N$9,0))),0))</f>
        <v>0</v>
      </c>
      <c r="AF63" s="799">
        <f>IF(AF$12=$F63+1,IF(Monthly!AB$4=TRUE,0,AF$3),IF(AF$12&gt;$F63+1,RentalsVacates!AE63*(1-IF(AF$12-$F63&lt;=12,SUMIFS('Attrition Modeling'!$D:$D,'Attrition Modeling'!$B:$B,$E63,'Attrition Modeling'!$C:$C,AF$11),VLOOKUP(RentalsVacates!AF$12-RentalsVacates!$F63-1,RentalsVacates!$A$8:$C$162,2,FALSE)*VLOOKUP(AF$11,'Attrition Modeling'!$L$15:$N$27,IF(AF$12-$F63&lt;=24,2,3),FALSE))*(1+IF('Traditional Attrition'!AF185&gt;0,'Attrition Modeling'!$N$9,0))),0))</f>
        <v>0</v>
      </c>
      <c r="AG63" s="799">
        <f>IF(AG$12=$F63+1,IF(Monthly!AC$4=TRUE,0,AG$3),IF(AG$12&gt;$F63+1,RentalsVacates!AF63*(1-IF(AG$12-$F63&lt;=12,SUMIFS('Attrition Modeling'!$D:$D,'Attrition Modeling'!$B:$B,$E63,'Attrition Modeling'!$C:$C,AG$11),VLOOKUP(RentalsVacates!AG$12-RentalsVacates!$F63-1,RentalsVacates!$A$8:$C$162,2,FALSE)*VLOOKUP(AG$11,'Attrition Modeling'!$L$15:$N$27,IF(AG$12-$F63&lt;=24,2,3),FALSE))*(1+IF('Traditional Attrition'!AG185&gt;0,'Attrition Modeling'!$N$9,0))),0))</f>
        <v>0</v>
      </c>
      <c r="AH63" s="799">
        <f>IF(AH$12=$F63+1,IF(Monthly!AD$4=TRUE,0,AH$3),IF(AH$12&gt;$F63+1,RentalsVacates!AG63*(1-IF(AH$12-$F63&lt;=12,SUMIFS('Attrition Modeling'!$D:$D,'Attrition Modeling'!$B:$B,$E63,'Attrition Modeling'!$C:$C,AH$11),VLOOKUP(RentalsVacates!AH$12-RentalsVacates!$F63-1,RentalsVacates!$A$8:$C$162,2,FALSE)*VLOOKUP(AH$11,'Attrition Modeling'!$L$15:$N$27,IF(AH$12-$F63&lt;=24,2,3),FALSE))*(1+IF('Traditional Attrition'!AH185&gt;0,'Attrition Modeling'!$N$9,0))),0))</f>
        <v>0</v>
      </c>
      <c r="AI63" s="799">
        <f>IF(AI$12=$F63+1,IF(Monthly!AE$4=TRUE,0,AI$3),IF(AI$12&gt;$F63+1,RentalsVacates!AH63*(1-IF(AI$12-$F63&lt;=12,SUMIFS('Attrition Modeling'!$D:$D,'Attrition Modeling'!$B:$B,$E63,'Attrition Modeling'!$C:$C,AI$11),VLOOKUP(RentalsVacates!AI$12-RentalsVacates!$F63-1,RentalsVacates!$A$8:$C$162,2,FALSE)*VLOOKUP(AI$11,'Attrition Modeling'!$L$15:$N$27,IF(AI$12-$F63&lt;=24,2,3),FALSE))*(1+IF('Traditional Attrition'!AI185&gt;0,'Attrition Modeling'!$N$9,0))),0))</f>
        <v>0</v>
      </c>
      <c r="AJ63" s="799">
        <f>IF(AJ$12=$F63+1,IF(Monthly!AF$4=TRUE,0,AJ$3),IF(AJ$12&gt;$F63+1,RentalsVacates!AI63*(1-IF(AJ$12-$F63&lt;=12,SUMIFS('Attrition Modeling'!$D:$D,'Attrition Modeling'!$B:$B,$E63,'Attrition Modeling'!$C:$C,AJ$11),VLOOKUP(RentalsVacates!AJ$12-RentalsVacates!$F63-1,RentalsVacates!$A$8:$C$162,2,FALSE)*VLOOKUP(AJ$11,'Attrition Modeling'!$L$15:$N$27,IF(AJ$12-$F63&lt;=24,2,3),FALSE))*(1+IF('Traditional Attrition'!AJ185&gt;0,'Attrition Modeling'!$N$9,0))),0))</f>
        <v>0</v>
      </c>
      <c r="AK63" s="799">
        <f>IF(AK$12=$F63+1,IF(Monthly!AG$4=TRUE,0,AK$3),IF(AK$12&gt;$F63+1,RentalsVacates!AJ63*(1-IF(AK$12-$F63&lt;=12,SUMIFS('Attrition Modeling'!$D:$D,'Attrition Modeling'!$B:$B,$E63,'Attrition Modeling'!$C:$C,AK$11),VLOOKUP(RentalsVacates!AK$12-RentalsVacates!$F63-1,RentalsVacates!$A$8:$C$162,2,FALSE)*VLOOKUP(AK$11,'Attrition Modeling'!$L$15:$N$27,IF(AK$12-$F63&lt;=24,2,3),FALSE))*(1+IF('Traditional Attrition'!AK185&gt;0,'Attrition Modeling'!$N$9,0))),0))</f>
        <v>0</v>
      </c>
      <c r="AL63" s="799">
        <f>IF(AL$12=$F63+1,IF(Monthly!AH$4=TRUE,0,AL$3),IF(AL$12&gt;$F63+1,RentalsVacates!AK63*(1-IF(AL$12-$F63&lt;=12,SUMIFS('Attrition Modeling'!$D:$D,'Attrition Modeling'!$B:$B,$E63,'Attrition Modeling'!$C:$C,AL$11),VLOOKUP(RentalsVacates!AL$12-RentalsVacates!$F63-1,RentalsVacates!$A$8:$C$162,2,FALSE)*VLOOKUP(AL$11,'Attrition Modeling'!$L$15:$N$27,IF(AL$12-$F63&lt;=24,2,3),FALSE))*(1+IF('Traditional Attrition'!AL185&gt;0,'Attrition Modeling'!$N$9,0))),0))</f>
        <v>0</v>
      </c>
      <c r="AM63" s="799">
        <f>IF(AM$12=$F63+1,IF(Monthly!AI$4=TRUE,0,AM$3),IF(AM$12&gt;$F63+1,RentalsVacates!AL63*(1-IF(AM$12-$F63&lt;=12,SUMIFS('Attrition Modeling'!$D:$D,'Attrition Modeling'!$B:$B,$E63,'Attrition Modeling'!$C:$C,AM$11),VLOOKUP(RentalsVacates!AM$12-RentalsVacates!$F63-1,RentalsVacates!$A$8:$C$162,2,FALSE)*VLOOKUP(AM$11,'Attrition Modeling'!$L$15:$N$27,IF(AM$12-$F63&lt;=24,2,3),FALSE))*(1+IF('Traditional Attrition'!AM185&gt;0,'Attrition Modeling'!$N$9,0))),0))</f>
        <v>0</v>
      </c>
      <c r="AN63" s="799">
        <f>IF(AN$12=$F63+1,IF(Monthly!AJ$4=TRUE,0,AN$3),IF(AN$12&gt;$F63+1,RentalsVacates!AM63*(1-IF(AN$12-$F63&lt;=12,SUMIFS('Attrition Modeling'!$D:$D,'Attrition Modeling'!$B:$B,$E63,'Attrition Modeling'!$C:$C,AN$11),VLOOKUP(RentalsVacates!AN$12-RentalsVacates!$F63-1,RentalsVacates!$A$8:$C$162,2,FALSE)*VLOOKUP(AN$11,'Attrition Modeling'!$L$15:$N$27,IF(AN$12-$F63&lt;=24,2,3),FALSE))*(1+IF('Traditional Attrition'!AN185&gt;0,'Attrition Modeling'!$N$9,0))),0))</f>
        <v>0</v>
      </c>
      <c r="AO63" s="799">
        <f>IF(AO$12=$F63+1,IF(Monthly!AK$4=TRUE,0,AO$3),IF(AO$12&gt;$F63+1,RentalsVacates!AN63*(1-IF(AO$12-$F63&lt;=12,SUMIFS('Attrition Modeling'!$D:$D,'Attrition Modeling'!$B:$B,$E63,'Attrition Modeling'!$C:$C,AO$11),VLOOKUP(RentalsVacates!AO$12-RentalsVacates!$F63-1,RentalsVacates!$A$8:$C$162,2,FALSE)*VLOOKUP(AO$11,'Attrition Modeling'!$L$15:$N$27,IF(AO$12-$F63&lt;=24,2,3),FALSE))*(1+IF('Traditional Attrition'!AO185&gt;0,'Attrition Modeling'!$N$9,0))),0))</f>
        <v>0</v>
      </c>
      <c r="AP63" s="799">
        <f>IF(AP$12=$F63+1,IF(Monthly!AL$4=TRUE,0,AP$3),IF(AP$12&gt;$F63+1,RentalsVacates!AO63*(1-IF(AP$12-$F63&lt;=12,SUMIFS('Attrition Modeling'!$D:$D,'Attrition Modeling'!$B:$B,$E63,'Attrition Modeling'!$C:$C,AP$11),VLOOKUP(RentalsVacates!AP$12-RentalsVacates!$F63-1,RentalsVacates!$A$8:$C$162,2,FALSE)*VLOOKUP(AP$11,'Attrition Modeling'!$L$15:$N$27,IF(AP$12-$F63&lt;=24,2,3),FALSE))*(1+IF('Traditional Attrition'!AP185&gt;0,'Attrition Modeling'!$N$9,0))),0))</f>
        <v>0</v>
      </c>
      <c r="AQ63" s="799">
        <f>IF(AQ$12=$F63+1,IF(Monthly!AM$4=TRUE,0,AQ$3),IF(AQ$12&gt;$F63+1,RentalsVacates!AP63*(1-IF(AQ$12-$F63&lt;=12,SUMIFS('Attrition Modeling'!$D:$D,'Attrition Modeling'!$B:$B,$E63,'Attrition Modeling'!$C:$C,AQ$11),VLOOKUP(RentalsVacates!AQ$12-RentalsVacates!$F63-1,RentalsVacates!$A$8:$C$162,2,FALSE)*VLOOKUP(AQ$11,'Attrition Modeling'!$L$15:$N$27,IF(AQ$12-$F63&lt;=24,2,3),FALSE))*(1+IF('Traditional Attrition'!AQ185&gt;0,'Attrition Modeling'!$N$9,0))),0))</f>
        <v>0</v>
      </c>
      <c r="AR63" s="799">
        <f>IF(AR$12=$F63+1,IF(Monthly!AN$4=TRUE,0,AR$3),IF(AR$12&gt;$F63+1,RentalsVacates!AQ63*(1-IF(AR$12-$F63&lt;=12,SUMIFS('Attrition Modeling'!$D:$D,'Attrition Modeling'!$B:$B,$E63,'Attrition Modeling'!$C:$C,AR$11),VLOOKUP(RentalsVacates!AR$12-RentalsVacates!$F63-1,RentalsVacates!$A$8:$C$162,2,FALSE)*VLOOKUP(AR$11,'Attrition Modeling'!$L$15:$N$27,IF(AR$12-$F63&lt;=24,2,3),FALSE))*(1+IF('Traditional Attrition'!AR185&gt;0,'Attrition Modeling'!$N$9,0))),0))</f>
        <v>0</v>
      </c>
      <c r="AS63" s="799">
        <f>IF(AS$12=$F63+1,IF(Monthly!AO$4=TRUE,0,AS$3),IF(AS$12&gt;$F63+1,RentalsVacates!AR63*(1-IF(AS$12-$F63&lt;=12,SUMIFS('Attrition Modeling'!$D:$D,'Attrition Modeling'!$B:$B,$E63,'Attrition Modeling'!$C:$C,AS$11),VLOOKUP(RentalsVacates!AS$12-RentalsVacates!$F63-1,RentalsVacates!$A$8:$C$162,2,FALSE)*VLOOKUP(AS$11,'Attrition Modeling'!$L$15:$N$27,IF(AS$12-$F63&lt;=24,2,3),FALSE))*(1+IF('Traditional Attrition'!AS185&gt;0,'Attrition Modeling'!$N$9,0))),0))</f>
        <v>0</v>
      </c>
      <c r="AT63" s="799">
        <f>IF(AT$12=$F63+1,IF(Monthly!AP$4=TRUE,0,AT$3),IF(AT$12&gt;$F63+1,RentalsVacates!AS63*(1-IF(AT$12-$F63&lt;=12,SUMIFS('Attrition Modeling'!$D:$D,'Attrition Modeling'!$B:$B,$E63,'Attrition Modeling'!$C:$C,AT$11),VLOOKUP(RentalsVacates!AT$12-RentalsVacates!$F63-1,RentalsVacates!$A$8:$C$162,2,FALSE)*VLOOKUP(AT$11,'Attrition Modeling'!$L$15:$N$27,IF(AT$12-$F63&lt;=24,2,3),FALSE))*(1+IF('Traditional Attrition'!AT185&gt;0,'Attrition Modeling'!$N$9,0))),0))</f>
        <v>0</v>
      </c>
      <c r="AU63" s="799">
        <f>IF(AU$12=$F63+1,IF(Monthly!AQ$4=TRUE,0,AU$3),IF(AU$12&gt;$F63+1,RentalsVacates!AT63*(1-IF(AU$12-$F63&lt;=12,SUMIFS('Attrition Modeling'!$D:$D,'Attrition Modeling'!$B:$B,$E63,'Attrition Modeling'!$C:$C,AU$11),VLOOKUP(RentalsVacates!AU$12-RentalsVacates!$F63-1,RentalsVacates!$A$8:$C$162,2,FALSE)*VLOOKUP(AU$11,'Attrition Modeling'!$L$15:$N$27,IF(AU$12-$F63&lt;=24,2,3),FALSE))*(1+IF('Traditional Attrition'!AU185&gt;0,'Attrition Modeling'!$N$9,0))),0))</f>
        <v>0</v>
      </c>
      <c r="AV63" s="799">
        <f>IF(AV$12=$F63+1,IF(Monthly!AR$4=TRUE,0,AV$3),IF(AV$12&gt;$F63+1,RentalsVacates!AU63*(1-IF(AV$12-$F63&lt;=12,SUMIFS('Attrition Modeling'!$D:$D,'Attrition Modeling'!$B:$B,$E63,'Attrition Modeling'!$C:$C,AV$11),VLOOKUP(RentalsVacates!AV$12-RentalsVacates!$F63-1,RentalsVacates!$A$8:$C$162,2,FALSE)*VLOOKUP(AV$11,'Attrition Modeling'!$L$15:$N$27,IF(AV$12-$F63&lt;=24,2,3),FALSE))*(1+IF('Traditional Attrition'!AV185&gt;0,'Attrition Modeling'!$N$9,0))),0))</f>
        <v>0</v>
      </c>
      <c r="AW63" s="799">
        <f>IF(AW$12=$F63+1,IF(Monthly!AS$4=TRUE,0,AW$3),IF(AW$12&gt;$F63+1,RentalsVacates!AV63*(1-IF(AW$12-$F63&lt;=12,SUMIFS('Attrition Modeling'!$D:$D,'Attrition Modeling'!$B:$B,$E63,'Attrition Modeling'!$C:$C,AW$11),VLOOKUP(RentalsVacates!AW$12-RentalsVacates!$F63-1,RentalsVacates!$A$8:$C$162,2,FALSE)*VLOOKUP(AW$11,'Attrition Modeling'!$L$15:$N$27,IF(AW$12-$F63&lt;=24,2,3),FALSE))*(1+IF('Traditional Attrition'!AW185&gt;0,'Attrition Modeling'!$N$9,0))),0))</f>
        <v>0</v>
      </c>
      <c r="AX63" s="799">
        <f>IF(AX$12=$F63+1,IF(Monthly!AT$4=TRUE,0,AX$3),IF(AX$12&gt;$F63+1,RentalsVacates!AW63*(1-IF(AX$12-$F63&lt;=12,SUMIFS('Attrition Modeling'!$D:$D,'Attrition Modeling'!$B:$B,$E63,'Attrition Modeling'!$C:$C,AX$11),VLOOKUP(RentalsVacates!AX$12-RentalsVacates!$F63-1,RentalsVacates!$A$8:$C$162,2,FALSE)*VLOOKUP(AX$11,'Attrition Modeling'!$L$15:$N$27,IF(AX$12-$F63&lt;=24,2,3),FALSE))*(1+IF('Traditional Attrition'!AX185&gt;0,'Attrition Modeling'!$N$9,0))),0))</f>
        <v>0</v>
      </c>
      <c r="AY63" s="799">
        <f>IF(AY$12=$F63+1,IF(Monthly!AU$4=TRUE,0,AY$3),IF(AY$12&gt;$F63+1,RentalsVacates!AX63*(1-IF(AY$12-$F63&lt;=12,SUMIFS('Attrition Modeling'!$D:$D,'Attrition Modeling'!$B:$B,$E63,'Attrition Modeling'!$C:$C,AY$11),VLOOKUP(RentalsVacates!AY$12-RentalsVacates!$F63-1,RentalsVacates!$A$8:$C$162,2,FALSE)*VLOOKUP(AY$11,'Attrition Modeling'!$L$15:$N$27,IF(AY$12-$F63&lt;=24,2,3),FALSE))*(1+IF('Traditional Attrition'!AY185&gt;0,'Attrition Modeling'!$N$9,0))),0))</f>
        <v>0</v>
      </c>
      <c r="AZ63" s="799">
        <f>IF(AZ$12=$F63+1,IF(Monthly!AV$4=TRUE,0,AZ$3),IF(AZ$12&gt;$F63+1,RentalsVacates!AY63*(1-IF(AZ$12-$F63&lt;=12,SUMIFS('Attrition Modeling'!$D:$D,'Attrition Modeling'!$B:$B,$E63,'Attrition Modeling'!$C:$C,AZ$11),VLOOKUP(RentalsVacates!AZ$12-RentalsVacates!$F63-1,RentalsVacates!$A$8:$C$162,2,FALSE)*VLOOKUP(AZ$11,'Attrition Modeling'!$L$15:$N$27,IF(AZ$12-$F63&lt;=24,2,3),FALSE))*(1+IF('Traditional Attrition'!AZ185&gt;0,'Attrition Modeling'!$N$9,0))),0))</f>
        <v>0</v>
      </c>
      <c r="BA63" s="799">
        <f>IF(BA$12=$F63+1,IF(Monthly!AW$4=TRUE,0,BA$3),IF(BA$12&gt;$F63+1,RentalsVacates!AZ63*(1-IF(BA$12-$F63&lt;=12,SUMIFS('Attrition Modeling'!$D:$D,'Attrition Modeling'!$B:$B,$E63,'Attrition Modeling'!$C:$C,BA$11),VLOOKUP(RentalsVacates!BA$12-RentalsVacates!$F63-1,RentalsVacates!$A$8:$C$162,2,FALSE)*VLOOKUP(BA$11,'Attrition Modeling'!$L$15:$N$27,IF(BA$12-$F63&lt;=24,2,3),FALSE))*(1+IF('Traditional Attrition'!BA185&gt;0,'Attrition Modeling'!$N$9,0))),0))</f>
        <v>0</v>
      </c>
      <c r="BB63" s="799">
        <f>IF(BB$12=$F63+1,IF(Monthly!AX$4=TRUE,0,BB$3),IF(BB$12&gt;$F63+1,RentalsVacates!BA63*(1-IF(BB$12-$F63&lt;=12,SUMIFS('Attrition Modeling'!$D:$D,'Attrition Modeling'!$B:$B,$E63,'Attrition Modeling'!$C:$C,BB$11),VLOOKUP(RentalsVacates!BB$12-RentalsVacates!$F63-1,RentalsVacates!$A$8:$C$162,2,FALSE)*VLOOKUP(BB$11,'Attrition Modeling'!$L$15:$N$27,IF(BB$12-$F63&lt;=24,2,3),FALSE))*(1+IF('Traditional Attrition'!BB185&gt;0,'Attrition Modeling'!$N$9,0))),0))</f>
        <v>0</v>
      </c>
      <c r="BC63" s="799">
        <f>IF(BC$12=$F63+1,IF(Monthly!AY$4=TRUE,0,BC$3),IF(BC$12&gt;$F63+1,RentalsVacates!BB63*(1-IF(BC$12-$F63&lt;=12,SUMIFS('Attrition Modeling'!$D:$D,'Attrition Modeling'!$B:$B,$E63,'Attrition Modeling'!$C:$C,BC$11),VLOOKUP(RentalsVacates!BC$12-RentalsVacates!$F63-1,RentalsVacates!$A$8:$C$162,2,FALSE)*VLOOKUP(BC$11,'Attrition Modeling'!$L$15:$N$27,IF(BC$12-$F63&lt;=24,2,3),FALSE))*(1+IF('Traditional Attrition'!BC185&gt;0,'Attrition Modeling'!$N$9,0))),0))</f>
        <v>0</v>
      </c>
      <c r="BD63" s="799">
        <f>IF(BD$12=$F63+1,IF(Monthly!AZ$4=TRUE,0,BD$3),IF(BD$12&gt;$F63+1,RentalsVacates!BC63*(1-IF(BD$12-$F63&lt;=12,SUMIFS('Attrition Modeling'!$D:$D,'Attrition Modeling'!$B:$B,$E63,'Attrition Modeling'!$C:$C,BD$11),VLOOKUP(RentalsVacates!BD$12-RentalsVacates!$F63-1,RentalsVacates!$A$8:$C$162,2,FALSE)*VLOOKUP(BD$11,'Attrition Modeling'!$L$15:$N$27,IF(BD$12-$F63&lt;=24,2,3),FALSE))*(1+IF('Traditional Attrition'!BD185&gt;0,'Attrition Modeling'!$N$9,0))),0))</f>
        <v>0</v>
      </c>
      <c r="BE63" s="799">
        <f>IF(BE$12=$F63+1,IF(Monthly!BA$4=TRUE,0,BE$3),IF(BE$12&gt;$F63+1,RentalsVacates!BD63*(1-IF(BE$12-$F63&lt;=12,SUMIFS('Attrition Modeling'!$D:$D,'Attrition Modeling'!$B:$B,$E63,'Attrition Modeling'!$C:$C,BE$11),VLOOKUP(RentalsVacates!BE$12-RentalsVacates!$F63-1,RentalsVacates!$A$8:$C$162,2,FALSE)*VLOOKUP(BE$11,'Attrition Modeling'!$L$15:$N$27,IF(BE$12-$F63&lt;=24,2,3),FALSE))*(1+IF('Traditional Attrition'!BE185&gt;0,'Attrition Modeling'!$N$9,0))),0))</f>
        <v>0</v>
      </c>
      <c r="BF63" s="799">
        <f>IF(BF$12=$F63+1,IF(Monthly!BB$4=TRUE,0,BF$3),IF(BF$12&gt;$F63+1,RentalsVacates!BE63*(1-IF(BF$12-$F63&lt;=12,SUMIFS('Attrition Modeling'!$D:$D,'Attrition Modeling'!$B:$B,$E63,'Attrition Modeling'!$C:$C,BF$11),VLOOKUP(RentalsVacates!BF$12-RentalsVacates!$F63-1,RentalsVacates!$A$8:$C$162,2,FALSE)*VLOOKUP(BF$11,'Attrition Modeling'!$L$15:$N$27,IF(BF$12-$F63&lt;=24,2,3),FALSE))*(1+IF('Traditional Attrition'!BF185&gt;0,'Attrition Modeling'!$N$9,0))),0))</f>
        <v>5443.7022971977422</v>
      </c>
      <c r="BG63" s="799">
        <f>IF(BG$12=$F63+1,IF(Monthly!BC$4=TRUE,0,BG$3),IF(BG$12&gt;$F63+1,RentalsVacates!BF63*(1-IF(BG$12-$F63&lt;=12,SUMIFS('Attrition Modeling'!$D:$D,'Attrition Modeling'!$B:$B,$E63,'Attrition Modeling'!$C:$C,BG$11),VLOOKUP(RentalsVacates!BG$12-RentalsVacates!$F63-1,RentalsVacates!$A$8:$C$162,2,FALSE)*VLOOKUP(BG$11,'Attrition Modeling'!$L$15:$N$27,IF(BG$12-$F63&lt;=24,2,3),FALSE))*(1+IF('Traditional Attrition'!BG185&gt;0,'Attrition Modeling'!$N$9,0))),0))</f>
        <v>4913.5085570003303</v>
      </c>
      <c r="BH63" s="799">
        <f>IF(BH$12=$F63+1,IF(Monthly!BD$4=TRUE,0,BH$3),IF(BH$12&gt;$F63+1,RentalsVacates!BG63*(1-IF(BH$12-$F63&lt;=12,SUMIFS('Attrition Modeling'!$D:$D,'Attrition Modeling'!$B:$B,$E63,'Attrition Modeling'!$C:$C,BH$11),VLOOKUP(RentalsVacates!BH$12-RentalsVacates!$F63-1,RentalsVacates!$A$8:$C$162,2,FALSE)*VLOOKUP(BH$11,'Attrition Modeling'!$L$15:$N$27,IF(BH$12-$F63&lt;=24,2,3),FALSE))*(1+IF('Traditional Attrition'!BH185&gt;0,'Attrition Modeling'!$N$9,0))),0))</f>
        <v>4494.3178810490881</v>
      </c>
      <c r="BI63" s="799">
        <f>IF(BI$12=$F63+1,IF(Monthly!BE$4=TRUE,0,BI$3),IF(BI$12&gt;$F63+1,RentalsVacates!BH63*(1-IF(BI$12-$F63&lt;=12,SUMIFS('Attrition Modeling'!$D:$D,'Attrition Modeling'!$B:$B,$E63,'Attrition Modeling'!$C:$C,BI$11),VLOOKUP(RentalsVacates!BI$12-RentalsVacates!$F63-1,RentalsVacates!$A$8:$C$162,2,FALSE)*VLOOKUP(BI$11,'Attrition Modeling'!$L$15:$N$27,IF(BI$12-$F63&lt;=24,2,3),FALSE))*(1+IF('Traditional Attrition'!BI185&gt;0,'Attrition Modeling'!$N$9,0))),0))</f>
        <v>4076.6756167826675</v>
      </c>
      <c r="BJ63" s="799">
        <f>IF(BJ$12=$F63+1,IF(Monthly!BF$4=TRUE,0,BJ$3),IF(BJ$12&gt;$F63+1,RentalsVacates!BI63*(1-IF(BJ$12-$F63&lt;=12,SUMIFS('Attrition Modeling'!$D:$D,'Attrition Modeling'!$B:$B,$E63,'Attrition Modeling'!$C:$C,BJ$11),VLOOKUP(RentalsVacates!BJ$12-RentalsVacates!$F63-1,RentalsVacates!$A$8:$C$162,2,FALSE)*VLOOKUP(BJ$11,'Attrition Modeling'!$L$15:$N$27,IF(BJ$12-$F63&lt;=24,2,3),FALSE))*(1+IF('Traditional Attrition'!BJ185&gt;0,'Attrition Modeling'!$N$9,0))),0))</f>
        <v>3745.5170647423693</v>
      </c>
      <c r="BK63" s="799">
        <f>IF(BK$12=$F63+1,IF(Monthly!BG$4=TRUE,0,BK$3),IF(BK$12&gt;$F63+1,RentalsVacates!BJ63*(1-IF(BK$12-$F63&lt;=12,SUMIFS('Attrition Modeling'!$D:$D,'Attrition Modeling'!$B:$B,$E63,'Attrition Modeling'!$C:$C,BK$11),VLOOKUP(RentalsVacates!BK$12-RentalsVacates!$F63-1,RentalsVacates!$A$8:$C$162,2,FALSE)*VLOOKUP(BK$11,'Attrition Modeling'!$L$15:$N$27,IF(BK$12-$F63&lt;=24,2,3),FALSE))*(1+IF('Traditional Attrition'!BK185&gt;0,'Attrition Modeling'!$N$9,0))),0))</f>
        <v>3367.4948071021468</v>
      </c>
      <c r="BL63" s="799">
        <f>IF(BL$12=$F63+1,IF(Monthly!BH$4=TRUE,0,BL$3),IF(BL$12&gt;$F63+1,RentalsVacates!BK63*(1-IF(BL$12-$F63&lt;=12,SUMIFS('Attrition Modeling'!$D:$D,'Attrition Modeling'!$B:$B,$E63,'Attrition Modeling'!$C:$C,BL$11),VLOOKUP(RentalsVacates!BL$12-RentalsVacates!$F63-1,RentalsVacates!$A$8:$C$162,2,FALSE)*VLOOKUP(BL$11,'Attrition Modeling'!$L$15:$N$27,IF(BL$12-$F63&lt;=24,2,3),FALSE))*(1+IF('Traditional Attrition'!BL185&gt;0,'Attrition Modeling'!$N$9,0))),0))</f>
        <v>3113.3654981612085</v>
      </c>
      <c r="BM63" s="799">
        <f>IF(BM$12=$F63+1,IF(Monthly!BI$4=TRUE,0,BM$3),IF(BM$12&gt;$F63+1,RentalsVacates!BL63*(1-IF(BM$12-$F63&lt;=12,SUMIFS('Attrition Modeling'!$D:$D,'Attrition Modeling'!$B:$B,$E63,'Attrition Modeling'!$C:$C,BM$11),VLOOKUP(RentalsVacates!BM$12-RentalsVacates!$F63-1,RentalsVacates!$A$8:$C$162,2,FALSE)*VLOOKUP(BM$11,'Attrition Modeling'!$L$15:$N$27,IF(BM$12-$F63&lt;=24,2,3),FALSE))*(1+IF('Traditional Attrition'!BM185&gt;0,'Attrition Modeling'!$N$9,0))),0))</f>
        <v>2895.2196677178331</v>
      </c>
      <c r="BN63" s="799">
        <f>IF(BN$12=$F63+1,IF(Monthly!BJ$4=TRUE,0,BN$3),IF(BN$12&gt;$F63+1,RentalsVacates!BM63*(1-IF(BN$12-$F63&lt;=12,SUMIFS('Attrition Modeling'!$D:$D,'Attrition Modeling'!$B:$B,$E63,'Attrition Modeling'!$C:$C,BN$11),VLOOKUP(RentalsVacates!BN$12-RentalsVacates!$F63-1,RentalsVacates!$A$8:$C$162,2,FALSE)*VLOOKUP(BN$11,'Attrition Modeling'!$L$15:$N$27,IF(BN$12-$F63&lt;=24,2,3),FALSE))*(1+IF('Traditional Attrition'!BN185&gt;0,'Attrition Modeling'!$N$9,0))),0))</f>
        <v>2702.9311056930455</v>
      </c>
      <c r="BO63" s="799">
        <f>IF(BO$12=$F63+1,IF(Monthly!BK$4=TRUE,0,BO$3),IF(BO$12&gt;$F63+1,RentalsVacates!BN63*(1-IF(BO$12-$F63&lt;=12,SUMIFS('Attrition Modeling'!$D:$D,'Attrition Modeling'!$B:$B,$E63,'Attrition Modeling'!$C:$C,BO$11),VLOOKUP(RentalsVacates!BO$12-RentalsVacates!$F63-1,RentalsVacates!$A$8:$C$162,2,FALSE)*VLOOKUP(BO$11,'Attrition Modeling'!$L$15:$N$27,IF(BO$12-$F63&lt;=24,2,3),FALSE))*(1+IF('Traditional Attrition'!BO185&gt;0,'Attrition Modeling'!$N$9,0))),0))</f>
        <v>2534.8673634359984</v>
      </c>
      <c r="BP63" s="799">
        <f>IF(BP$12=$F63+1,IF(Monthly!BL$4=TRUE,0,BP$3),IF(BP$12&gt;$F63+1,RentalsVacates!BO63*(1-IF(BP$12-$F63&lt;=12,SUMIFS('Attrition Modeling'!$D:$D,'Attrition Modeling'!$B:$B,$E63,'Attrition Modeling'!$C:$C,BP$11),VLOOKUP(RentalsVacates!BP$12-RentalsVacates!$F63-1,RentalsVacates!$A$8:$C$162,2,FALSE)*VLOOKUP(BP$11,'Attrition Modeling'!$L$15:$N$27,IF(BP$12-$F63&lt;=24,2,3),FALSE))*(1+IF('Traditional Attrition'!BP185&gt;0,'Attrition Modeling'!$N$9,0))),0))</f>
        <v>2391.1784829856497</v>
      </c>
      <c r="BQ63" s="799">
        <f>IF(BQ$12=$F63+1,IF(Monthly!BM$4=TRUE,0,BQ$3),IF(BQ$12&gt;$F63+1,RentalsVacates!BP63*(1-IF(BQ$12-$F63&lt;=12,SUMIFS('Attrition Modeling'!$D:$D,'Attrition Modeling'!$B:$B,$E63,'Attrition Modeling'!$C:$C,BQ$11),VLOOKUP(RentalsVacates!BQ$12-RentalsVacates!$F63-1,RentalsVacates!$A$8:$C$162,2,FALSE)*VLOOKUP(BQ$11,'Attrition Modeling'!$L$15:$N$27,IF(BQ$12-$F63&lt;=24,2,3),FALSE))*(1+IF('Traditional Attrition'!BQ185&gt;0,'Attrition Modeling'!$N$9,0))),0))</f>
        <v>2332.2588647817056</v>
      </c>
      <c r="BR63" s="799">
        <f>IF(BR$12=$F63+1,IF(Monthly!BN$4=TRUE,0,BR$3),IF(BR$12&gt;$F63+1,RentalsVacates!BQ63*(1-IF(BR$12-$F63&lt;=12,SUMIFS('Attrition Modeling'!$D:$D,'Attrition Modeling'!$B:$B,$E63,'Attrition Modeling'!$C:$C,BR$11),VLOOKUP(RentalsVacates!BR$12-RentalsVacates!$F63-1,RentalsVacates!$A$8:$C$162,2,FALSE)*VLOOKUP(BR$11,'Attrition Modeling'!$L$15:$N$27,IF(BR$12-$F63&lt;=24,2,3),FALSE))*(1+IF('Traditional Attrition'!BR185&gt;0,'Attrition Modeling'!$N$9,0))),0))</f>
        <v>2208.960133024887</v>
      </c>
      <c r="BS63" s="799">
        <f>IF(BS$12=$F63+1,IF(Monthly!BO$4=TRUE,0,BS$3),IF(BS$12&gt;$F63+1,RentalsVacates!BR63*(1-IF(BS$12-$F63&lt;=12,SUMIFS('Attrition Modeling'!$D:$D,'Attrition Modeling'!$B:$B,$E63,'Attrition Modeling'!$C:$C,BS$11),VLOOKUP(RentalsVacates!BS$12-RentalsVacates!$F63-1,RentalsVacates!$A$8:$C$162,2,FALSE)*VLOOKUP(BS$11,'Attrition Modeling'!$L$15:$N$27,IF(BS$12-$F63&lt;=24,2,3),FALSE))*(1+IF('Traditional Attrition'!BS185&gt;0,'Attrition Modeling'!$N$9,0))),0))</f>
        <v>2103.007431152319</v>
      </c>
      <c r="BT63" s="799">
        <f>IF(BT$11=$F62+1,IF(Monthly!#REF!=TRUE,0,BT$3),IF(BT$11&gt;$F62+1,RentalsVacates!BS62*(1-IF(BT$11-$F62&lt;=12,SUMIFS('Attrition Modeling'!$D:$D,'Attrition Modeling'!$B:$B,$E62,'Attrition Modeling'!$C:$C,BT$10),VLOOKUP(RentalsVacates!BT$11-RentalsVacates!$F62-1,RentalsVacates!$A$7:$C$161,2,FALSE)*VLOOKUP(BT$10,'Attrition Modeling'!$L$15:$N$27,IF(BT$11-$F62&lt;=24,2,3),FALSE))*(1+IF('Traditional Attrition'!BT185&gt;0,'Attrition Modeling'!$N$9,0))),0))</f>
        <v>0</v>
      </c>
      <c r="BU63" s="799">
        <f>IF(BU$11=$F62+1,IF(Monthly!#REF!=TRUE,0,BU$3),IF(BU$11&gt;$F62+1,RentalsVacates!BT62*(1-IF(BU$11-$F62&lt;=12,SUMIFS('Attrition Modeling'!$D:$D,'Attrition Modeling'!$B:$B,$E62,'Attrition Modeling'!$C:$C,BU$10),VLOOKUP(RentalsVacates!BU$11-RentalsVacates!$F62-1,RentalsVacates!$A$7:$C$161,2,FALSE)*VLOOKUP(BU$10,'Attrition Modeling'!$L$15:$N$27,IF(BU$11-$F62&lt;=24,2,3),FALSE))*(1+IF('Traditional Attrition'!BU185&gt;0,'Attrition Modeling'!$N$9,0))),0))</f>
        <v>0</v>
      </c>
    </row>
    <row r="64" spans="1:73" ht="14.25" customHeight="1" x14ac:dyDescent="0.2">
      <c r="A64" s="9">
        <v>56</v>
      </c>
      <c r="B64" s="25">
        <f>MAX('Attrition Modeling'!H60,$C$3)*(1-Summary!$C$20)</f>
        <v>2.3254325345475398E-2</v>
      </c>
      <c r="C64" s="24" t="e">
        <f t="shared" si="2"/>
        <v>#DIV/0!</v>
      </c>
      <c r="E64" s="11">
        <f>'Traditional Attrition'!E121</f>
        <v>3</v>
      </c>
      <c r="F64" s="11">
        <f t="shared" si="4"/>
        <v>51</v>
      </c>
      <c r="G64" s="799"/>
      <c r="H64" s="799">
        <f>IF(H$12=$F64+1,IF(Monthly!D$4=TRUE,0,H$3),IF(H$12&gt;$F64+1,RentalsVacates!G64*(1-IF(H$12-$F64&lt;=12,SUMIFS('Attrition Modeling'!$D:$D,'Attrition Modeling'!$B:$B,$E64,'Attrition Modeling'!$C:$C,H$11),VLOOKUP(RentalsVacates!H$12-RentalsVacates!$F64-1,RentalsVacates!$A$8:$C$162,2,FALSE)*VLOOKUP(H$11,'Attrition Modeling'!$L$15:$N$27,IF(H$12-$F64&lt;=24,2,3),FALSE))*(1+IF('Traditional Attrition'!H186&gt;0,'Attrition Modeling'!$N$9,0))),0))</f>
        <v>0</v>
      </c>
      <c r="I64" s="799">
        <f>IF(I$12=$F64+1,IF(Monthly!E$4=TRUE,0,I$3),IF(I$12&gt;$F64+1,RentalsVacates!H64*(1-IF(I$12-$F64&lt;=12,SUMIFS('Attrition Modeling'!$D:$D,'Attrition Modeling'!$B:$B,$E64,'Attrition Modeling'!$C:$C,I$11),VLOOKUP(RentalsVacates!I$12-RentalsVacates!$F64-1,RentalsVacates!$A$8:$C$162,2,FALSE)*VLOOKUP(I$11,'Attrition Modeling'!$L$15:$N$27,IF(I$12-$F64&lt;=24,2,3),FALSE))*(1+IF('Traditional Attrition'!I186&gt;0,'Attrition Modeling'!$N$9,0))),0))</f>
        <v>0</v>
      </c>
      <c r="J64" s="799">
        <f>IF(J$12=$F64+1,IF(Monthly!F$4=TRUE,0,J$3),IF(J$12&gt;$F64+1,RentalsVacates!I64*(1-IF(J$12-$F64&lt;=12,SUMIFS('Attrition Modeling'!$D:$D,'Attrition Modeling'!$B:$B,$E64,'Attrition Modeling'!$C:$C,J$11),VLOOKUP(RentalsVacates!J$12-RentalsVacates!$F64-1,RentalsVacates!$A$8:$C$162,2,FALSE)*VLOOKUP(J$11,'Attrition Modeling'!$L$15:$N$27,IF(J$12-$F64&lt;=24,2,3),FALSE))*(1+IF('Traditional Attrition'!J186&gt;0,'Attrition Modeling'!$N$9,0))),0))</f>
        <v>0</v>
      </c>
      <c r="K64" s="799">
        <f>IF(K$12=$F64+1,IF(Monthly!G$4=TRUE,0,K$3),IF(K$12&gt;$F64+1,RentalsVacates!J64*(1-IF(K$12-$F64&lt;=12,SUMIFS('Attrition Modeling'!$D:$D,'Attrition Modeling'!$B:$B,$E64,'Attrition Modeling'!$C:$C,K$11),VLOOKUP(RentalsVacates!K$12-RentalsVacates!$F64-1,RentalsVacates!$A$8:$C$162,2,FALSE)*VLOOKUP(K$11,'Attrition Modeling'!$L$15:$N$27,IF(K$12-$F64&lt;=24,2,3),FALSE))*(1+IF('Traditional Attrition'!K186&gt;0,'Attrition Modeling'!$N$9,0))),0))</f>
        <v>0</v>
      </c>
      <c r="L64" s="799">
        <f>IF(L$12=$F64+1,IF(Monthly!H$4=TRUE,0,L$3),IF(L$12&gt;$F64+1,RentalsVacates!K64*(1-IF(L$12-$F64&lt;=12,SUMIFS('Attrition Modeling'!$D:$D,'Attrition Modeling'!$B:$B,$E64,'Attrition Modeling'!$C:$C,L$11),VLOOKUP(RentalsVacates!L$12-RentalsVacates!$F64-1,RentalsVacates!$A$8:$C$162,2,FALSE)*VLOOKUP(L$11,'Attrition Modeling'!$L$15:$N$27,IF(L$12-$F64&lt;=24,2,3),FALSE))*(1+IF('Traditional Attrition'!L186&gt;0,'Attrition Modeling'!$N$9,0))),0))</f>
        <v>0</v>
      </c>
      <c r="M64" s="799">
        <f>IF(M$12=$F64+1,IF(Monthly!I$4=TRUE,0,M$3),IF(M$12&gt;$F64+1,RentalsVacates!L64*(1-IF(M$12-$F64&lt;=12,SUMIFS('Attrition Modeling'!$D:$D,'Attrition Modeling'!$B:$B,$E64,'Attrition Modeling'!$C:$C,M$11),VLOOKUP(RentalsVacates!M$12-RentalsVacates!$F64-1,RentalsVacates!$A$8:$C$162,2,FALSE)*VLOOKUP(M$11,'Attrition Modeling'!$L$15:$N$27,IF(M$12-$F64&lt;=24,2,3),FALSE))*(1+IF('Traditional Attrition'!M186&gt;0,'Attrition Modeling'!$N$9,0))),0))</f>
        <v>0</v>
      </c>
      <c r="N64" s="799">
        <f>IF(N$12=$F64+1,IF(Monthly!J$4=TRUE,0,N$3),IF(N$12&gt;$F64+1,RentalsVacates!M64*(1-IF(N$12-$F64&lt;=12,SUMIFS('Attrition Modeling'!$D:$D,'Attrition Modeling'!$B:$B,$E64,'Attrition Modeling'!$C:$C,N$11),VLOOKUP(RentalsVacates!N$12-RentalsVacates!$F64-1,RentalsVacates!$A$8:$C$162,2,FALSE)*VLOOKUP(N$11,'Attrition Modeling'!$L$15:$N$27,IF(N$12-$F64&lt;=24,2,3),FALSE))*(1+IF('Traditional Attrition'!N186&gt;0,'Attrition Modeling'!$N$9,0))),0))</f>
        <v>0</v>
      </c>
      <c r="O64" s="799">
        <f>IF(O$12=$F64+1,IF(Monthly!K$4=TRUE,0,O$3),IF(O$12&gt;$F64+1,RentalsVacates!N64*(1-IF(O$12-$F64&lt;=12,SUMIFS('Attrition Modeling'!$D:$D,'Attrition Modeling'!$B:$B,$E64,'Attrition Modeling'!$C:$C,O$11),VLOOKUP(RentalsVacates!O$12-RentalsVacates!$F64-1,RentalsVacates!$A$8:$C$162,2,FALSE)*VLOOKUP(O$11,'Attrition Modeling'!$L$15:$N$27,IF(O$12-$F64&lt;=24,2,3),FALSE))*(1+IF('Traditional Attrition'!O186&gt;0,'Attrition Modeling'!$N$9,0))),0))</f>
        <v>0</v>
      </c>
      <c r="P64" s="799">
        <f>IF(P$12=$F64+1,IF(Monthly!L$4=TRUE,0,P$3),IF(P$12&gt;$F64+1,RentalsVacates!O64*(1-IF(P$12-$F64&lt;=12,SUMIFS('Attrition Modeling'!$D:$D,'Attrition Modeling'!$B:$B,$E64,'Attrition Modeling'!$C:$C,P$11),VLOOKUP(RentalsVacates!P$12-RentalsVacates!$F64-1,RentalsVacates!$A$8:$C$162,2,FALSE)*VLOOKUP(P$11,'Attrition Modeling'!$L$15:$N$27,IF(P$12-$F64&lt;=24,2,3),FALSE))*(1+IF('Traditional Attrition'!P186&gt;0,'Attrition Modeling'!$N$9,0))),0))</f>
        <v>0</v>
      </c>
      <c r="Q64" s="799">
        <f>IF(Q$12=$F64+1,IF(Monthly!M$4=TRUE,0,Q$3),IF(Q$12&gt;$F64+1,RentalsVacates!P64*(1-IF(Q$12-$F64&lt;=12,SUMIFS('Attrition Modeling'!$D:$D,'Attrition Modeling'!$B:$B,$E64,'Attrition Modeling'!$C:$C,Q$11),VLOOKUP(RentalsVacates!Q$12-RentalsVacates!$F64-1,RentalsVacates!$A$8:$C$162,2,FALSE)*VLOOKUP(Q$11,'Attrition Modeling'!$L$15:$N$27,IF(Q$12-$F64&lt;=24,2,3),FALSE))*(1+IF('Traditional Attrition'!Q186&gt;0,'Attrition Modeling'!$N$9,0))),0))</f>
        <v>0</v>
      </c>
      <c r="R64" s="799">
        <f>IF(R$12=$F64+1,IF(Monthly!N$4=TRUE,0,R$3),IF(R$12&gt;$F64+1,RentalsVacates!Q64*(1-IF(R$12-$F64&lt;=12,SUMIFS('Attrition Modeling'!$D:$D,'Attrition Modeling'!$B:$B,$E64,'Attrition Modeling'!$C:$C,R$11),VLOOKUP(RentalsVacates!R$12-RentalsVacates!$F64-1,RentalsVacates!$A$8:$C$162,2,FALSE)*VLOOKUP(R$11,'Attrition Modeling'!$L$15:$N$27,IF(R$12-$F64&lt;=24,2,3),FALSE))*(1+IF('Traditional Attrition'!R186&gt;0,'Attrition Modeling'!$N$9,0))),0))</f>
        <v>0</v>
      </c>
      <c r="S64" s="799">
        <f>IF(S$12=$F64+1,IF(Monthly!O$4=TRUE,0,S$3),IF(S$12&gt;$F64+1,RentalsVacates!R64*(1-IF(S$12-$F64&lt;=12,SUMIFS('Attrition Modeling'!$D:$D,'Attrition Modeling'!$B:$B,$E64,'Attrition Modeling'!$C:$C,S$11),VLOOKUP(RentalsVacates!S$12-RentalsVacates!$F64-1,RentalsVacates!$A$8:$C$162,2,FALSE)*VLOOKUP(S$11,'Attrition Modeling'!$L$15:$N$27,IF(S$12-$F64&lt;=24,2,3),FALSE))*(1+IF('Traditional Attrition'!S186&gt;0,'Attrition Modeling'!$N$9,0))),0))</f>
        <v>0</v>
      </c>
      <c r="T64" s="799">
        <f>IF(T$12=$F64+1,IF(Monthly!P$4=TRUE,0,T$3),IF(T$12&gt;$F64+1,RentalsVacates!S64*(1-IF(T$12-$F64&lt;=12,SUMIFS('Attrition Modeling'!$D:$D,'Attrition Modeling'!$B:$B,$E64,'Attrition Modeling'!$C:$C,T$11),VLOOKUP(RentalsVacates!T$12-RentalsVacates!$F64-1,RentalsVacates!$A$8:$C$162,2,FALSE)*VLOOKUP(T$11,'Attrition Modeling'!$L$15:$N$27,IF(T$12-$F64&lt;=24,2,3),FALSE))*(1+IF('Traditional Attrition'!T186&gt;0,'Attrition Modeling'!$N$9,0))),0))</f>
        <v>0</v>
      </c>
      <c r="U64" s="799">
        <f>IF(U$12=$F64+1,IF(Monthly!Q$4=TRUE,0,U$3),IF(U$12&gt;$F64+1,RentalsVacates!T64*(1-IF(U$12-$F64&lt;=12,SUMIFS('Attrition Modeling'!$D:$D,'Attrition Modeling'!$B:$B,$E64,'Attrition Modeling'!$C:$C,U$11),VLOOKUP(RentalsVacates!U$12-RentalsVacates!$F64-1,RentalsVacates!$A$8:$C$162,2,FALSE)*VLOOKUP(U$11,'Attrition Modeling'!$L$15:$N$27,IF(U$12-$F64&lt;=24,2,3),FALSE))*(1+IF('Traditional Attrition'!U186&gt;0,'Attrition Modeling'!$N$9,0))),0))</f>
        <v>0</v>
      </c>
      <c r="V64" s="799">
        <f>IF(V$12=$F64+1,IF(Monthly!R$4=TRUE,0,V$3),IF(V$12&gt;$F64+1,RentalsVacates!U64*(1-IF(V$12-$F64&lt;=12,SUMIFS('Attrition Modeling'!$D:$D,'Attrition Modeling'!$B:$B,$E64,'Attrition Modeling'!$C:$C,V$11),VLOOKUP(RentalsVacates!V$12-RentalsVacates!$F64-1,RentalsVacates!$A$8:$C$162,2,FALSE)*VLOOKUP(V$11,'Attrition Modeling'!$L$15:$N$27,IF(V$12-$F64&lt;=24,2,3),FALSE))*(1+IF('Traditional Attrition'!V186&gt;0,'Attrition Modeling'!$N$9,0))),0))</f>
        <v>0</v>
      </c>
      <c r="W64" s="799">
        <f>IF(W$12=$F64+1,IF(Monthly!S$4=TRUE,0,W$3),IF(W$12&gt;$F64+1,RentalsVacates!V64*(1-IF(W$12-$F64&lt;=12,SUMIFS('Attrition Modeling'!$D:$D,'Attrition Modeling'!$B:$B,$E64,'Attrition Modeling'!$C:$C,W$11),VLOOKUP(RentalsVacates!W$12-RentalsVacates!$F64-1,RentalsVacates!$A$8:$C$162,2,FALSE)*VLOOKUP(W$11,'Attrition Modeling'!$L$15:$N$27,IF(W$12-$F64&lt;=24,2,3),FALSE))*(1+IF('Traditional Attrition'!W186&gt;0,'Attrition Modeling'!$N$9,0))),0))</f>
        <v>0</v>
      </c>
      <c r="X64" s="799">
        <f>IF(X$12=$F64+1,IF(Monthly!T$4=TRUE,0,X$3),IF(X$12&gt;$F64+1,RentalsVacates!W64*(1-IF(X$12-$F64&lt;=12,SUMIFS('Attrition Modeling'!$D:$D,'Attrition Modeling'!$B:$B,$E64,'Attrition Modeling'!$C:$C,X$11),VLOOKUP(RentalsVacates!X$12-RentalsVacates!$F64-1,RentalsVacates!$A$8:$C$162,2,FALSE)*VLOOKUP(X$11,'Attrition Modeling'!$L$15:$N$27,IF(X$12-$F64&lt;=24,2,3),FALSE))*(1+IF('Traditional Attrition'!X186&gt;0,'Attrition Modeling'!$N$9,0))),0))</f>
        <v>0</v>
      </c>
      <c r="Y64" s="799">
        <f>IF(Y$12=$F64+1,IF(Monthly!U$4=TRUE,0,Y$3),IF(Y$12&gt;$F64+1,RentalsVacates!X64*(1-IF(Y$12-$F64&lt;=12,SUMIFS('Attrition Modeling'!$D:$D,'Attrition Modeling'!$B:$B,$E64,'Attrition Modeling'!$C:$C,Y$11),VLOOKUP(RentalsVacates!Y$12-RentalsVacates!$F64-1,RentalsVacates!$A$8:$C$162,2,FALSE)*VLOOKUP(Y$11,'Attrition Modeling'!$L$15:$N$27,IF(Y$12-$F64&lt;=24,2,3),FALSE))*(1+IF('Traditional Attrition'!Y186&gt;0,'Attrition Modeling'!$N$9,0))),0))</f>
        <v>0</v>
      </c>
      <c r="Z64" s="799">
        <f>IF(Z$12=$F64+1,IF(Monthly!V$4=TRUE,0,Z$3),IF(Z$12&gt;$F64+1,RentalsVacates!Y64*(1-IF(Z$12-$F64&lt;=12,SUMIFS('Attrition Modeling'!$D:$D,'Attrition Modeling'!$B:$B,$E64,'Attrition Modeling'!$C:$C,Z$11),VLOOKUP(RentalsVacates!Z$12-RentalsVacates!$F64-1,RentalsVacates!$A$8:$C$162,2,FALSE)*VLOOKUP(Z$11,'Attrition Modeling'!$L$15:$N$27,IF(Z$12-$F64&lt;=24,2,3),FALSE))*(1+IF('Traditional Attrition'!Z186&gt;0,'Attrition Modeling'!$N$9,0))),0))</f>
        <v>0</v>
      </c>
      <c r="AA64" s="799">
        <f>IF(AA$12=$F64+1,IF(Monthly!W$4=TRUE,0,AA$3),IF(AA$12&gt;$F64+1,RentalsVacates!Z64*(1-IF(AA$12-$F64&lt;=12,SUMIFS('Attrition Modeling'!$D:$D,'Attrition Modeling'!$B:$B,$E64,'Attrition Modeling'!$C:$C,AA$11),VLOOKUP(RentalsVacates!AA$12-RentalsVacates!$F64-1,RentalsVacates!$A$8:$C$162,2,FALSE)*VLOOKUP(AA$11,'Attrition Modeling'!$L$15:$N$27,IF(AA$12-$F64&lt;=24,2,3),FALSE))*(1+IF('Traditional Attrition'!AA186&gt;0,'Attrition Modeling'!$N$9,0))),0))</f>
        <v>0</v>
      </c>
      <c r="AB64" s="799">
        <f>IF(AB$12=$F64+1,IF(Monthly!X$4=TRUE,0,AB$3),IF(AB$12&gt;$F64+1,RentalsVacates!AA64*(1-IF(AB$12-$F64&lt;=12,SUMIFS('Attrition Modeling'!$D:$D,'Attrition Modeling'!$B:$B,$E64,'Attrition Modeling'!$C:$C,AB$11),VLOOKUP(RentalsVacates!AB$12-RentalsVacates!$F64-1,RentalsVacates!$A$8:$C$162,2,FALSE)*VLOOKUP(AB$11,'Attrition Modeling'!$L$15:$N$27,IF(AB$12-$F64&lt;=24,2,3),FALSE))*(1+IF('Traditional Attrition'!AB186&gt;0,'Attrition Modeling'!$N$9,0))),0))</f>
        <v>0</v>
      </c>
      <c r="AC64" s="799">
        <f>IF(AC$12=$F64+1,IF(Monthly!Y$4=TRUE,0,AC$3),IF(AC$12&gt;$F64+1,RentalsVacates!AB64*(1-IF(AC$12-$F64&lt;=12,SUMIFS('Attrition Modeling'!$D:$D,'Attrition Modeling'!$B:$B,$E64,'Attrition Modeling'!$C:$C,AC$11),VLOOKUP(RentalsVacates!AC$12-RentalsVacates!$F64-1,RentalsVacates!$A$8:$C$162,2,FALSE)*VLOOKUP(AC$11,'Attrition Modeling'!$L$15:$N$27,IF(AC$12-$F64&lt;=24,2,3),FALSE))*(1+IF('Traditional Attrition'!AC186&gt;0,'Attrition Modeling'!$N$9,0))),0))</f>
        <v>0</v>
      </c>
      <c r="AD64" s="799">
        <f>IF(AD$12=$F64+1,IF(Monthly!Z$4=TRUE,0,AD$3),IF(AD$12&gt;$F64+1,RentalsVacates!AC64*(1-IF(AD$12-$F64&lt;=12,SUMIFS('Attrition Modeling'!$D:$D,'Attrition Modeling'!$B:$B,$E64,'Attrition Modeling'!$C:$C,AD$11),VLOOKUP(RentalsVacates!AD$12-RentalsVacates!$F64-1,RentalsVacates!$A$8:$C$162,2,FALSE)*VLOOKUP(AD$11,'Attrition Modeling'!$L$15:$N$27,IF(AD$12-$F64&lt;=24,2,3),FALSE))*(1+IF('Traditional Attrition'!AD186&gt;0,'Attrition Modeling'!$N$9,0))),0))</f>
        <v>0</v>
      </c>
      <c r="AE64" s="799">
        <f>IF(AE$12=$F64+1,IF(Monthly!AA$4=TRUE,0,AE$3),IF(AE$12&gt;$F64+1,RentalsVacates!AD64*(1-IF(AE$12-$F64&lt;=12,SUMIFS('Attrition Modeling'!$D:$D,'Attrition Modeling'!$B:$B,$E64,'Attrition Modeling'!$C:$C,AE$11),VLOOKUP(RentalsVacates!AE$12-RentalsVacates!$F64-1,RentalsVacates!$A$8:$C$162,2,FALSE)*VLOOKUP(AE$11,'Attrition Modeling'!$L$15:$N$27,IF(AE$12-$F64&lt;=24,2,3),FALSE))*(1+IF('Traditional Attrition'!AE186&gt;0,'Attrition Modeling'!$N$9,0))),0))</f>
        <v>0</v>
      </c>
      <c r="AF64" s="799">
        <f>IF(AF$12=$F64+1,IF(Monthly!AB$4=TRUE,0,AF$3),IF(AF$12&gt;$F64+1,RentalsVacates!AE64*(1-IF(AF$12-$F64&lt;=12,SUMIFS('Attrition Modeling'!$D:$D,'Attrition Modeling'!$B:$B,$E64,'Attrition Modeling'!$C:$C,AF$11),VLOOKUP(RentalsVacates!AF$12-RentalsVacates!$F64-1,RentalsVacates!$A$8:$C$162,2,FALSE)*VLOOKUP(AF$11,'Attrition Modeling'!$L$15:$N$27,IF(AF$12-$F64&lt;=24,2,3),FALSE))*(1+IF('Traditional Attrition'!AF186&gt;0,'Attrition Modeling'!$N$9,0))),0))</f>
        <v>0</v>
      </c>
      <c r="AG64" s="799">
        <f>IF(AG$12=$F64+1,IF(Monthly!AC$4=TRUE,0,AG$3),IF(AG$12&gt;$F64+1,RentalsVacates!AF64*(1-IF(AG$12-$F64&lt;=12,SUMIFS('Attrition Modeling'!$D:$D,'Attrition Modeling'!$B:$B,$E64,'Attrition Modeling'!$C:$C,AG$11),VLOOKUP(RentalsVacates!AG$12-RentalsVacates!$F64-1,RentalsVacates!$A$8:$C$162,2,FALSE)*VLOOKUP(AG$11,'Attrition Modeling'!$L$15:$N$27,IF(AG$12-$F64&lt;=24,2,3),FALSE))*(1+IF('Traditional Attrition'!AG186&gt;0,'Attrition Modeling'!$N$9,0))),0))</f>
        <v>0</v>
      </c>
      <c r="AH64" s="799">
        <f>IF(AH$12=$F64+1,IF(Monthly!AD$4=TRUE,0,AH$3),IF(AH$12&gt;$F64+1,RentalsVacates!AG64*(1-IF(AH$12-$F64&lt;=12,SUMIFS('Attrition Modeling'!$D:$D,'Attrition Modeling'!$B:$B,$E64,'Attrition Modeling'!$C:$C,AH$11),VLOOKUP(RentalsVacates!AH$12-RentalsVacates!$F64-1,RentalsVacates!$A$8:$C$162,2,FALSE)*VLOOKUP(AH$11,'Attrition Modeling'!$L$15:$N$27,IF(AH$12-$F64&lt;=24,2,3),FALSE))*(1+IF('Traditional Attrition'!AH186&gt;0,'Attrition Modeling'!$N$9,0))),0))</f>
        <v>0</v>
      </c>
      <c r="AI64" s="799">
        <f>IF(AI$12=$F64+1,IF(Monthly!AE$4=TRUE,0,AI$3),IF(AI$12&gt;$F64+1,RentalsVacates!AH64*(1-IF(AI$12-$F64&lt;=12,SUMIFS('Attrition Modeling'!$D:$D,'Attrition Modeling'!$B:$B,$E64,'Attrition Modeling'!$C:$C,AI$11),VLOOKUP(RentalsVacates!AI$12-RentalsVacates!$F64-1,RentalsVacates!$A$8:$C$162,2,FALSE)*VLOOKUP(AI$11,'Attrition Modeling'!$L$15:$N$27,IF(AI$12-$F64&lt;=24,2,3),FALSE))*(1+IF('Traditional Attrition'!AI186&gt;0,'Attrition Modeling'!$N$9,0))),0))</f>
        <v>0</v>
      </c>
      <c r="AJ64" s="799">
        <f>IF(AJ$12=$F64+1,IF(Monthly!AF$4=TRUE,0,AJ$3),IF(AJ$12&gt;$F64+1,RentalsVacates!AI64*(1-IF(AJ$12-$F64&lt;=12,SUMIFS('Attrition Modeling'!$D:$D,'Attrition Modeling'!$B:$B,$E64,'Attrition Modeling'!$C:$C,AJ$11),VLOOKUP(RentalsVacates!AJ$12-RentalsVacates!$F64-1,RentalsVacates!$A$8:$C$162,2,FALSE)*VLOOKUP(AJ$11,'Attrition Modeling'!$L$15:$N$27,IF(AJ$12-$F64&lt;=24,2,3),FALSE))*(1+IF('Traditional Attrition'!AJ186&gt;0,'Attrition Modeling'!$N$9,0))),0))</f>
        <v>0</v>
      </c>
      <c r="AK64" s="799">
        <f>IF(AK$12=$F64+1,IF(Monthly!AG$4=TRUE,0,AK$3),IF(AK$12&gt;$F64+1,RentalsVacates!AJ64*(1-IF(AK$12-$F64&lt;=12,SUMIFS('Attrition Modeling'!$D:$D,'Attrition Modeling'!$B:$B,$E64,'Attrition Modeling'!$C:$C,AK$11),VLOOKUP(RentalsVacates!AK$12-RentalsVacates!$F64-1,RentalsVacates!$A$8:$C$162,2,FALSE)*VLOOKUP(AK$11,'Attrition Modeling'!$L$15:$N$27,IF(AK$12-$F64&lt;=24,2,3),FALSE))*(1+IF('Traditional Attrition'!AK186&gt;0,'Attrition Modeling'!$N$9,0))),0))</f>
        <v>0</v>
      </c>
      <c r="AL64" s="799">
        <f>IF(AL$12=$F64+1,IF(Monthly!AH$4=TRUE,0,AL$3),IF(AL$12&gt;$F64+1,RentalsVacates!AK64*(1-IF(AL$12-$F64&lt;=12,SUMIFS('Attrition Modeling'!$D:$D,'Attrition Modeling'!$B:$B,$E64,'Attrition Modeling'!$C:$C,AL$11),VLOOKUP(RentalsVacates!AL$12-RentalsVacates!$F64-1,RentalsVacates!$A$8:$C$162,2,FALSE)*VLOOKUP(AL$11,'Attrition Modeling'!$L$15:$N$27,IF(AL$12-$F64&lt;=24,2,3),FALSE))*(1+IF('Traditional Attrition'!AL186&gt;0,'Attrition Modeling'!$N$9,0))),0))</f>
        <v>0</v>
      </c>
      <c r="AM64" s="799">
        <f>IF(AM$12=$F64+1,IF(Monthly!AI$4=TRUE,0,AM$3),IF(AM$12&gt;$F64+1,RentalsVacates!AL64*(1-IF(AM$12-$F64&lt;=12,SUMIFS('Attrition Modeling'!$D:$D,'Attrition Modeling'!$B:$B,$E64,'Attrition Modeling'!$C:$C,AM$11),VLOOKUP(RentalsVacates!AM$12-RentalsVacates!$F64-1,RentalsVacates!$A$8:$C$162,2,FALSE)*VLOOKUP(AM$11,'Attrition Modeling'!$L$15:$N$27,IF(AM$12-$F64&lt;=24,2,3),FALSE))*(1+IF('Traditional Attrition'!AM186&gt;0,'Attrition Modeling'!$N$9,0))),0))</f>
        <v>0</v>
      </c>
      <c r="AN64" s="799">
        <f>IF(AN$12=$F64+1,IF(Monthly!AJ$4=TRUE,0,AN$3),IF(AN$12&gt;$F64+1,RentalsVacates!AM64*(1-IF(AN$12-$F64&lt;=12,SUMIFS('Attrition Modeling'!$D:$D,'Attrition Modeling'!$B:$B,$E64,'Attrition Modeling'!$C:$C,AN$11),VLOOKUP(RentalsVacates!AN$12-RentalsVacates!$F64-1,RentalsVacates!$A$8:$C$162,2,FALSE)*VLOOKUP(AN$11,'Attrition Modeling'!$L$15:$N$27,IF(AN$12-$F64&lt;=24,2,3),FALSE))*(1+IF('Traditional Attrition'!AN186&gt;0,'Attrition Modeling'!$N$9,0))),0))</f>
        <v>0</v>
      </c>
      <c r="AO64" s="799">
        <f>IF(AO$12=$F64+1,IF(Monthly!AK$4=TRUE,0,AO$3),IF(AO$12&gt;$F64+1,RentalsVacates!AN64*(1-IF(AO$12-$F64&lt;=12,SUMIFS('Attrition Modeling'!$D:$D,'Attrition Modeling'!$B:$B,$E64,'Attrition Modeling'!$C:$C,AO$11),VLOOKUP(RentalsVacates!AO$12-RentalsVacates!$F64-1,RentalsVacates!$A$8:$C$162,2,FALSE)*VLOOKUP(AO$11,'Attrition Modeling'!$L$15:$N$27,IF(AO$12-$F64&lt;=24,2,3),FALSE))*(1+IF('Traditional Attrition'!AO186&gt;0,'Attrition Modeling'!$N$9,0))),0))</f>
        <v>0</v>
      </c>
      <c r="AP64" s="799">
        <f>IF(AP$12=$F64+1,IF(Monthly!AL$4=TRUE,0,AP$3),IF(AP$12&gt;$F64+1,RentalsVacates!AO64*(1-IF(AP$12-$F64&lt;=12,SUMIFS('Attrition Modeling'!$D:$D,'Attrition Modeling'!$B:$B,$E64,'Attrition Modeling'!$C:$C,AP$11),VLOOKUP(RentalsVacates!AP$12-RentalsVacates!$F64-1,RentalsVacates!$A$8:$C$162,2,FALSE)*VLOOKUP(AP$11,'Attrition Modeling'!$L$15:$N$27,IF(AP$12-$F64&lt;=24,2,3),FALSE))*(1+IF('Traditional Attrition'!AP186&gt;0,'Attrition Modeling'!$N$9,0))),0))</f>
        <v>0</v>
      </c>
      <c r="AQ64" s="799">
        <f>IF(AQ$12=$F64+1,IF(Monthly!AM$4=TRUE,0,AQ$3),IF(AQ$12&gt;$F64+1,RentalsVacates!AP64*(1-IF(AQ$12-$F64&lt;=12,SUMIFS('Attrition Modeling'!$D:$D,'Attrition Modeling'!$B:$B,$E64,'Attrition Modeling'!$C:$C,AQ$11),VLOOKUP(RentalsVacates!AQ$12-RentalsVacates!$F64-1,RentalsVacates!$A$8:$C$162,2,FALSE)*VLOOKUP(AQ$11,'Attrition Modeling'!$L$15:$N$27,IF(AQ$12-$F64&lt;=24,2,3),FALSE))*(1+IF('Traditional Attrition'!AQ186&gt;0,'Attrition Modeling'!$N$9,0))),0))</f>
        <v>0</v>
      </c>
      <c r="AR64" s="799">
        <f>IF(AR$12=$F64+1,IF(Monthly!AN$4=TRUE,0,AR$3),IF(AR$12&gt;$F64+1,RentalsVacates!AQ64*(1-IF(AR$12-$F64&lt;=12,SUMIFS('Attrition Modeling'!$D:$D,'Attrition Modeling'!$B:$B,$E64,'Attrition Modeling'!$C:$C,AR$11),VLOOKUP(RentalsVacates!AR$12-RentalsVacates!$F64-1,RentalsVacates!$A$8:$C$162,2,FALSE)*VLOOKUP(AR$11,'Attrition Modeling'!$L$15:$N$27,IF(AR$12-$F64&lt;=24,2,3),FALSE))*(1+IF('Traditional Attrition'!AR186&gt;0,'Attrition Modeling'!$N$9,0))),0))</f>
        <v>0</v>
      </c>
      <c r="AS64" s="799">
        <f>IF(AS$12=$F64+1,IF(Monthly!AO$4=TRUE,0,AS$3),IF(AS$12&gt;$F64+1,RentalsVacates!AR64*(1-IF(AS$12-$F64&lt;=12,SUMIFS('Attrition Modeling'!$D:$D,'Attrition Modeling'!$B:$B,$E64,'Attrition Modeling'!$C:$C,AS$11),VLOOKUP(RentalsVacates!AS$12-RentalsVacates!$F64-1,RentalsVacates!$A$8:$C$162,2,FALSE)*VLOOKUP(AS$11,'Attrition Modeling'!$L$15:$N$27,IF(AS$12-$F64&lt;=24,2,3),FALSE))*(1+IF('Traditional Attrition'!AS186&gt;0,'Attrition Modeling'!$N$9,0))),0))</f>
        <v>0</v>
      </c>
      <c r="AT64" s="799">
        <f>IF(AT$12=$F64+1,IF(Monthly!AP$4=TRUE,0,AT$3),IF(AT$12&gt;$F64+1,RentalsVacates!AS64*(1-IF(AT$12-$F64&lt;=12,SUMIFS('Attrition Modeling'!$D:$D,'Attrition Modeling'!$B:$B,$E64,'Attrition Modeling'!$C:$C,AT$11),VLOOKUP(RentalsVacates!AT$12-RentalsVacates!$F64-1,RentalsVacates!$A$8:$C$162,2,FALSE)*VLOOKUP(AT$11,'Attrition Modeling'!$L$15:$N$27,IF(AT$12-$F64&lt;=24,2,3),FALSE))*(1+IF('Traditional Attrition'!AT186&gt;0,'Attrition Modeling'!$N$9,0))),0))</f>
        <v>0</v>
      </c>
      <c r="AU64" s="799">
        <f>IF(AU$12=$F64+1,IF(Monthly!AQ$4=TRUE,0,AU$3),IF(AU$12&gt;$F64+1,RentalsVacates!AT64*(1-IF(AU$12-$F64&lt;=12,SUMIFS('Attrition Modeling'!$D:$D,'Attrition Modeling'!$B:$B,$E64,'Attrition Modeling'!$C:$C,AU$11),VLOOKUP(RentalsVacates!AU$12-RentalsVacates!$F64-1,RentalsVacates!$A$8:$C$162,2,FALSE)*VLOOKUP(AU$11,'Attrition Modeling'!$L$15:$N$27,IF(AU$12-$F64&lt;=24,2,3),FALSE))*(1+IF('Traditional Attrition'!AU186&gt;0,'Attrition Modeling'!$N$9,0))),0))</f>
        <v>0</v>
      </c>
      <c r="AV64" s="799">
        <f>IF(AV$12=$F64+1,IF(Monthly!AR$4=TRUE,0,AV$3),IF(AV$12&gt;$F64+1,RentalsVacates!AU64*(1-IF(AV$12-$F64&lt;=12,SUMIFS('Attrition Modeling'!$D:$D,'Attrition Modeling'!$B:$B,$E64,'Attrition Modeling'!$C:$C,AV$11),VLOOKUP(RentalsVacates!AV$12-RentalsVacates!$F64-1,RentalsVacates!$A$8:$C$162,2,FALSE)*VLOOKUP(AV$11,'Attrition Modeling'!$L$15:$N$27,IF(AV$12-$F64&lt;=24,2,3),FALSE))*(1+IF('Traditional Attrition'!AV186&gt;0,'Attrition Modeling'!$N$9,0))),0))</f>
        <v>0</v>
      </c>
      <c r="AW64" s="799">
        <f>IF(AW$12=$F64+1,IF(Monthly!AS$4=TRUE,0,AW$3),IF(AW$12&gt;$F64+1,RentalsVacates!AV64*(1-IF(AW$12-$F64&lt;=12,SUMIFS('Attrition Modeling'!$D:$D,'Attrition Modeling'!$B:$B,$E64,'Attrition Modeling'!$C:$C,AW$11),VLOOKUP(RentalsVacates!AW$12-RentalsVacates!$F64-1,RentalsVacates!$A$8:$C$162,2,FALSE)*VLOOKUP(AW$11,'Attrition Modeling'!$L$15:$N$27,IF(AW$12-$F64&lt;=24,2,3),FALSE))*(1+IF('Traditional Attrition'!AW186&gt;0,'Attrition Modeling'!$N$9,0))),0))</f>
        <v>0</v>
      </c>
      <c r="AX64" s="799">
        <f>IF(AX$12=$F64+1,IF(Monthly!AT$4=TRUE,0,AX$3),IF(AX$12&gt;$F64+1,RentalsVacates!AW64*(1-IF(AX$12-$F64&lt;=12,SUMIFS('Attrition Modeling'!$D:$D,'Attrition Modeling'!$B:$B,$E64,'Attrition Modeling'!$C:$C,AX$11),VLOOKUP(RentalsVacates!AX$12-RentalsVacates!$F64-1,RentalsVacates!$A$8:$C$162,2,FALSE)*VLOOKUP(AX$11,'Attrition Modeling'!$L$15:$N$27,IF(AX$12-$F64&lt;=24,2,3),FALSE))*(1+IF('Traditional Attrition'!AX186&gt;0,'Attrition Modeling'!$N$9,0))),0))</f>
        <v>0</v>
      </c>
      <c r="AY64" s="799">
        <f>IF(AY$12=$F64+1,IF(Monthly!AU$4=TRUE,0,AY$3),IF(AY$12&gt;$F64+1,RentalsVacates!AX64*(1-IF(AY$12-$F64&lt;=12,SUMIFS('Attrition Modeling'!$D:$D,'Attrition Modeling'!$B:$B,$E64,'Attrition Modeling'!$C:$C,AY$11),VLOOKUP(RentalsVacates!AY$12-RentalsVacates!$F64-1,RentalsVacates!$A$8:$C$162,2,FALSE)*VLOOKUP(AY$11,'Attrition Modeling'!$L$15:$N$27,IF(AY$12-$F64&lt;=24,2,3),FALSE))*(1+IF('Traditional Attrition'!AY186&gt;0,'Attrition Modeling'!$N$9,0))),0))</f>
        <v>0</v>
      </c>
      <c r="AZ64" s="799">
        <f>IF(AZ$12=$F64+1,IF(Monthly!AV$4=TRUE,0,AZ$3),IF(AZ$12&gt;$F64+1,RentalsVacates!AY64*(1-IF(AZ$12-$F64&lt;=12,SUMIFS('Attrition Modeling'!$D:$D,'Attrition Modeling'!$B:$B,$E64,'Attrition Modeling'!$C:$C,AZ$11),VLOOKUP(RentalsVacates!AZ$12-RentalsVacates!$F64-1,RentalsVacates!$A$8:$C$162,2,FALSE)*VLOOKUP(AZ$11,'Attrition Modeling'!$L$15:$N$27,IF(AZ$12-$F64&lt;=24,2,3),FALSE))*(1+IF('Traditional Attrition'!AZ186&gt;0,'Attrition Modeling'!$N$9,0))),0))</f>
        <v>0</v>
      </c>
      <c r="BA64" s="799">
        <f>IF(BA$12=$F64+1,IF(Monthly!AW$4=TRUE,0,BA$3),IF(BA$12&gt;$F64+1,RentalsVacates!AZ64*(1-IF(BA$12-$F64&lt;=12,SUMIFS('Attrition Modeling'!$D:$D,'Attrition Modeling'!$B:$B,$E64,'Attrition Modeling'!$C:$C,BA$11),VLOOKUP(RentalsVacates!BA$12-RentalsVacates!$F64-1,RentalsVacates!$A$8:$C$162,2,FALSE)*VLOOKUP(BA$11,'Attrition Modeling'!$L$15:$N$27,IF(BA$12-$F64&lt;=24,2,3),FALSE))*(1+IF('Traditional Attrition'!BA186&gt;0,'Attrition Modeling'!$N$9,0))),0))</f>
        <v>0</v>
      </c>
      <c r="BB64" s="799">
        <f>IF(BB$12=$F64+1,IF(Monthly!AX$4=TRUE,0,BB$3),IF(BB$12&gt;$F64+1,RentalsVacates!BA64*(1-IF(BB$12-$F64&lt;=12,SUMIFS('Attrition Modeling'!$D:$D,'Attrition Modeling'!$B:$B,$E64,'Attrition Modeling'!$C:$C,BB$11),VLOOKUP(RentalsVacates!BB$12-RentalsVacates!$F64-1,RentalsVacates!$A$8:$C$162,2,FALSE)*VLOOKUP(BB$11,'Attrition Modeling'!$L$15:$N$27,IF(BB$12-$F64&lt;=24,2,3),FALSE))*(1+IF('Traditional Attrition'!BB186&gt;0,'Attrition Modeling'!$N$9,0))),0))</f>
        <v>0</v>
      </c>
      <c r="BC64" s="799">
        <f>IF(BC$12=$F64+1,IF(Monthly!AY$4=TRUE,0,BC$3),IF(BC$12&gt;$F64+1,RentalsVacates!BB64*(1-IF(BC$12-$F64&lt;=12,SUMIFS('Attrition Modeling'!$D:$D,'Attrition Modeling'!$B:$B,$E64,'Attrition Modeling'!$C:$C,BC$11),VLOOKUP(RentalsVacates!BC$12-RentalsVacates!$F64-1,RentalsVacates!$A$8:$C$162,2,FALSE)*VLOOKUP(BC$11,'Attrition Modeling'!$L$15:$N$27,IF(BC$12-$F64&lt;=24,2,3),FALSE))*(1+IF('Traditional Attrition'!BC186&gt;0,'Attrition Modeling'!$N$9,0))),0))</f>
        <v>0</v>
      </c>
      <c r="BD64" s="799">
        <f>IF(BD$12=$F64+1,IF(Monthly!AZ$4=TRUE,0,BD$3),IF(BD$12&gt;$F64+1,RentalsVacates!BC64*(1-IF(BD$12-$F64&lt;=12,SUMIFS('Attrition Modeling'!$D:$D,'Attrition Modeling'!$B:$B,$E64,'Attrition Modeling'!$C:$C,BD$11),VLOOKUP(RentalsVacates!BD$12-RentalsVacates!$F64-1,RentalsVacates!$A$8:$C$162,2,FALSE)*VLOOKUP(BD$11,'Attrition Modeling'!$L$15:$N$27,IF(BD$12-$F64&lt;=24,2,3),FALSE))*(1+IF('Traditional Attrition'!BD186&gt;0,'Attrition Modeling'!$N$9,0))),0))</f>
        <v>0</v>
      </c>
      <c r="BE64" s="799">
        <f>IF(BE$12=$F64+1,IF(Monthly!BA$4=TRUE,0,BE$3),IF(BE$12&gt;$F64+1,RentalsVacates!BD64*(1-IF(BE$12-$F64&lt;=12,SUMIFS('Attrition Modeling'!$D:$D,'Attrition Modeling'!$B:$B,$E64,'Attrition Modeling'!$C:$C,BE$11),VLOOKUP(RentalsVacates!BE$12-RentalsVacates!$F64-1,RentalsVacates!$A$8:$C$162,2,FALSE)*VLOOKUP(BE$11,'Attrition Modeling'!$L$15:$N$27,IF(BE$12-$F64&lt;=24,2,3),FALSE))*(1+IF('Traditional Attrition'!BE186&gt;0,'Attrition Modeling'!$N$9,0))),0))</f>
        <v>0</v>
      </c>
      <c r="BF64" s="799">
        <f>IF(BF$12=$F64+1,IF(Monthly!BB$4=TRUE,0,BF$3),IF(BF$12&gt;$F64+1,RentalsVacates!BE64*(1-IF(BF$12-$F64&lt;=12,SUMIFS('Attrition Modeling'!$D:$D,'Attrition Modeling'!$B:$B,$E64,'Attrition Modeling'!$C:$C,BF$11),VLOOKUP(RentalsVacates!BF$12-RentalsVacates!$F64-1,RentalsVacates!$A$8:$C$162,2,FALSE)*VLOOKUP(BF$11,'Attrition Modeling'!$L$15:$N$27,IF(BF$12-$F64&lt;=24,2,3),FALSE))*(1+IF('Traditional Attrition'!BF186&gt;0,'Attrition Modeling'!$N$9,0))),0))</f>
        <v>0</v>
      </c>
      <c r="BG64" s="799">
        <f>IF(BG$12=$F64+1,IF(Monthly!BC$4=TRUE,0,BG$3),IF(BG$12&gt;$F64+1,RentalsVacates!BF64*(1-IF(BG$12-$F64&lt;=12,SUMIFS('Attrition Modeling'!$D:$D,'Attrition Modeling'!$B:$B,$E64,'Attrition Modeling'!$C:$C,BG$11),VLOOKUP(RentalsVacates!BG$12-RentalsVacates!$F64-1,RentalsVacates!$A$8:$C$162,2,FALSE)*VLOOKUP(BG$11,'Attrition Modeling'!$L$15:$N$27,IF(BG$12-$F64&lt;=24,2,3),FALSE))*(1+IF('Traditional Attrition'!BG186&gt;0,'Attrition Modeling'!$N$9,0))),0))</f>
        <v>5376.246842304171</v>
      </c>
      <c r="BH64" s="799">
        <f>IF(BH$12=$F64+1,IF(Monthly!BD$4=TRUE,0,BH$3),IF(BH$12&gt;$F64+1,RentalsVacates!BG64*(1-IF(BH$12-$F64&lt;=12,SUMIFS('Attrition Modeling'!$D:$D,'Attrition Modeling'!$B:$B,$E64,'Attrition Modeling'!$C:$C,BH$11),VLOOKUP(RentalsVacates!BH$12-RentalsVacates!$F64-1,RentalsVacates!$A$8:$C$162,2,FALSE)*VLOOKUP(BH$11,'Attrition Modeling'!$L$15:$N$27,IF(BH$12-$F64&lt;=24,2,3),FALSE))*(1+IF('Traditional Attrition'!BH186&gt;0,'Attrition Modeling'!$N$9,0))),0))</f>
        <v>4871.3195774066844</v>
      </c>
      <c r="BI64" s="799">
        <f>IF(BI$12=$F64+1,IF(Monthly!BE$4=TRUE,0,BI$3),IF(BI$12&gt;$F64+1,RentalsVacates!BH64*(1-IF(BI$12-$F64&lt;=12,SUMIFS('Attrition Modeling'!$D:$D,'Attrition Modeling'!$B:$B,$E64,'Attrition Modeling'!$C:$C,BI$11),VLOOKUP(RentalsVacates!BI$12-RentalsVacates!$F64-1,RentalsVacates!$A$8:$C$162,2,FALSE)*VLOOKUP(BI$11,'Attrition Modeling'!$L$15:$N$27,IF(BI$12-$F64&lt;=24,2,3),FALSE))*(1+IF('Traditional Attrition'!BI186&gt;0,'Attrition Modeling'!$N$9,0))),0))</f>
        <v>4433.9902373503737</v>
      </c>
      <c r="BJ64" s="799">
        <f>IF(BJ$12=$F64+1,IF(Monthly!BF$4=TRUE,0,BJ$3),IF(BJ$12&gt;$F64+1,RentalsVacates!BI64*(1-IF(BJ$12-$F64&lt;=12,SUMIFS('Attrition Modeling'!$D:$D,'Attrition Modeling'!$B:$B,$E64,'Attrition Modeling'!$C:$C,BJ$11),VLOOKUP(RentalsVacates!BJ$12-RentalsVacates!$F64-1,RentalsVacates!$A$8:$C$162,2,FALSE)*VLOOKUP(BJ$11,'Attrition Modeling'!$L$15:$N$27,IF(BJ$12-$F64&lt;=24,2,3),FALSE))*(1+IF('Traditional Attrition'!BJ186&gt;0,'Attrition Modeling'!$N$9,0))),0))</f>
        <v>4037.5254436767141</v>
      </c>
      <c r="BK64" s="799">
        <f>IF(BK$12=$F64+1,IF(Monthly!BG$4=TRUE,0,BK$3),IF(BK$12&gt;$F64+1,RentalsVacates!BJ64*(1-IF(BK$12-$F64&lt;=12,SUMIFS('Attrition Modeling'!$D:$D,'Attrition Modeling'!$B:$B,$E64,'Attrition Modeling'!$C:$C,BK$11),VLOOKUP(RentalsVacates!BK$12-RentalsVacates!$F64-1,RentalsVacates!$A$8:$C$162,2,FALSE)*VLOOKUP(BK$11,'Attrition Modeling'!$L$15:$N$27,IF(BK$12-$F64&lt;=24,2,3),FALSE))*(1+IF('Traditional Attrition'!BK186&gt;0,'Attrition Modeling'!$N$9,0))),0))</f>
        <v>3685.2580913834117</v>
      </c>
      <c r="BL64" s="799">
        <f>IF(BL$12=$F64+1,IF(Monthly!BH$4=TRUE,0,BL$3),IF(BL$12&gt;$F64+1,RentalsVacates!BK64*(1-IF(BL$12-$F64&lt;=12,SUMIFS('Attrition Modeling'!$D:$D,'Attrition Modeling'!$B:$B,$E64,'Attrition Modeling'!$C:$C,BL$11),VLOOKUP(RentalsVacates!BL$12-RentalsVacates!$F64-1,RentalsVacates!$A$8:$C$162,2,FALSE)*VLOOKUP(BL$11,'Attrition Modeling'!$L$15:$N$27,IF(BL$12-$F64&lt;=24,2,3),FALSE))*(1+IF('Traditional Attrition'!BL186&gt;0,'Attrition Modeling'!$N$9,0))),0))</f>
        <v>3321.2980664227448</v>
      </c>
      <c r="BM64" s="799">
        <f>IF(BM$12=$F64+1,IF(Monthly!BI$4=TRUE,0,BM$3),IF(BM$12&gt;$F64+1,RentalsVacates!BL64*(1-IF(BM$12-$F64&lt;=12,SUMIFS('Attrition Modeling'!$D:$D,'Attrition Modeling'!$B:$B,$E64,'Attrition Modeling'!$C:$C,BM$11),VLOOKUP(RentalsVacates!BM$12-RentalsVacates!$F64-1,RentalsVacates!$A$8:$C$162,2,FALSE)*VLOOKUP(BM$11,'Attrition Modeling'!$L$15:$N$27,IF(BM$12-$F64&lt;=24,2,3),FALSE))*(1+IF('Traditional Attrition'!BM186&gt;0,'Attrition Modeling'!$N$9,0))),0))</f>
        <v>3058.0537087530729</v>
      </c>
      <c r="BN64" s="799">
        <f>IF(BN$12=$F64+1,IF(Monthly!BJ$4=TRUE,0,BN$3),IF(BN$12&gt;$F64+1,RentalsVacates!BM64*(1-IF(BN$12-$F64&lt;=12,SUMIFS('Attrition Modeling'!$D:$D,'Attrition Modeling'!$B:$B,$E64,'Attrition Modeling'!$C:$C,BN$11),VLOOKUP(RentalsVacates!BN$12-RentalsVacates!$F64-1,RentalsVacates!$A$8:$C$162,2,FALSE)*VLOOKUP(BN$11,'Attrition Modeling'!$L$15:$N$27,IF(BN$12-$F64&lt;=24,2,3),FALSE))*(1+IF('Traditional Attrition'!BN186&gt;0,'Attrition Modeling'!$N$9,0))),0))</f>
        <v>2829.9748278320685</v>
      </c>
      <c r="BO64" s="799">
        <f>IF(BO$12=$F64+1,IF(Monthly!BK$4=TRUE,0,BO$3),IF(BO$12&gt;$F64+1,RentalsVacates!BN64*(1-IF(BO$12-$F64&lt;=12,SUMIFS('Attrition Modeling'!$D:$D,'Attrition Modeling'!$B:$B,$E64,'Attrition Modeling'!$C:$C,BO$11),VLOOKUP(RentalsVacates!BO$12-RentalsVacates!$F64-1,RentalsVacates!$A$8:$C$162,2,FALSE)*VLOOKUP(BO$11,'Attrition Modeling'!$L$15:$N$27,IF(BO$12-$F64&lt;=24,2,3),FALSE))*(1+IF('Traditional Attrition'!BO186&gt;0,'Attrition Modeling'!$N$9,0))),0))</f>
        <v>2661.2753022870365</v>
      </c>
      <c r="BP64" s="799">
        <f>IF(BP$12=$F64+1,IF(Monthly!BL$4=TRUE,0,BP$3),IF(BP$12&gt;$F64+1,RentalsVacates!BO64*(1-IF(BP$12-$F64&lt;=12,SUMIFS('Attrition Modeling'!$D:$D,'Attrition Modeling'!$B:$B,$E64,'Attrition Modeling'!$C:$C,BP$11),VLOOKUP(RentalsVacates!BP$12-RentalsVacates!$F64-1,RentalsVacates!$A$8:$C$162,2,FALSE)*VLOOKUP(BP$11,'Attrition Modeling'!$L$15:$N$27,IF(BP$12-$F64&lt;=24,2,3),FALSE))*(1+IF('Traditional Attrition'!BP186&gt;0,'Attrition Modeling'!$N$9,0))),0))</f>
        <v>2512.0209769396429</v>
      </c>
      <c r="BQ64" s="799">
        <f>IF(BQ$12=$F64+1,IF(Monthly!BM$4=TRUE,0,BQ$3),IF(BQ$12&gt;$F64+1,RentalsVacates!BP64*(1-IF(BQ$12-$F64&lt;=12,SUMIFS('Attrition Modeling'!$D:$D,'Attrition Modeling'!$B:$B,$E64,'Attrition Modeling'!$C:$C,BQ$11),VLOOKUP(RentalsVacates!BQ$12-RentalsVacates!$F64-1,RentalsVacates!$A$8:$C$162,2,FALSE)*VLOOKUP(BQ$11,'Attrition Modeling'!$L$15:$N$27,IF(BQ$12-$F64&lt;=24,2,3),FALSE))*(1+IF('Traditional Attrition'!BQ186&gt;0,'Attrition Modeling'!$N$9,0))),0))</f>
        <v>2382.5089123932439</v>
      </c>
      <c r="BR64" s="799">
        <f>IF(BR$12=$F64+1,IF(Monthly!BN$4=TRUE,0,BR$3),IF(BR$12&gt;$F64+1,RentalsVacates!BQ64*(1-IF(BR$12-$F64&lt;=12,SUMIFS('Attrition Modeling'!$D:$D,'Attrition Modeling'!$B:$B,$E64,'Attrition Modeling'!$C:$C,BR$11),VLOOKUP(RentalsVacates!BR$12-RentalsVacates!$F64-1,RentalsVacates!$A$8:$C$162,2,FALSE)*VLOOKUP(BR$11,'Attrition Modeling'!$L$15:$N$27,IF(BR$12-$F64&lt;=24,2,3),FALSE))*(1+IF('Traditional Attrition'!BR186&gt;0,'Attrition Modeling'!$N$9,0))),0))</f>
        <v>2306.2162120005873</v>
      </c>
      <c r="BS64" s="799">
        <f>IF(BS$12=$F64+1,IF(Monthly!BO$4=TRUE,0,BS$3),IF(BS$12&gt;$F64+1,RentalsVacates!BR64*(1-IF(BS$12-$F64&lt;=12,SUMIFS('Attrition Modeling'!$D:$D,'Attrition Modeling'!$B:$B,$E64,'Attrition Modeling'!$C:$C,BS$11),VLOOKUP(RentalsVacates!BS$12-RentalsVacates!$F64-1,RentalsVacates!$A$8:$C$162,2,FALSE)*VLOOKUP(BS$11,'Attrition Modeling'!$L$15:$N$27,IF(BS$12-$F64&lt;=24,2,3),FALSE))*(1+IF('Traditional Attrition'!BS186&gt;0,'Attrition Modeling'!$N$9,0))),0))</f>
        <v>2186.3393452099049</v>
      </c>
      <c r="BT64" s="799">
        <f>IF(BT$11=$F63+1,IF(Monthly!#REF!=TRUE,0,BT$3),IF(BT$11&gt;$F63+1,RentalsVacates!BS63*(1-IF(BT$11-$F63&lt;=12,SUMIFS('Attrition Modeling'!$D:$D,'Attrition Modeling'!$B:$B,$E63,'Attrition Modeling'!$C:$C,BT$10),VLOOKUP(RentalsVacates!BT$11-RentalsVacates!$F63-1,RentalsVacates!$A$7:$C$161,2,FALSE)*VLOOKUP(BT$10,'Attrition Modeling'!$L$15:$N$27,IF(BT$11-$F63&lt;=24,2,3),FALSE))*(1+IF('Traditional Attrition'!BT186&gt;0,'Attrition Modeling'!$N$9,0))),0))</f>
        <v>0</v>
      </c>
      <c r="BU64" s="799">
        <f>IF(BU$11=$F63+1,IF(Monthly!#REF!=TRUE,0,BU$3),IF(BU$11&gt;$F63+1,RentalsVacates!BT63*(1-IF(BU$11-$F63&lt;=12,SUMIFS('Attrition Modeling'!$D:$D,'Attrition Modeling'!$B:$B,$E63,'Attrition Modeling'!$C:$C,BU$10),VLOOKUP(RentalsVacates!BU$11-RentalsVacates!$F63-1,RentalsVacates!$A$7:$C$161,2,FALSE)*VLOOKUP(BU$10,'Attrition Modeling'!$L$15:$N$27,IF(BU$11-$F63&lt;=24,2,3),FALSE))*(1+IF('Traditional Attrition'!BU186&gt;0,'Attrition Modeling'!$N$9,0))),0))</f>
        <v>0</v>
      </c>
    </row>
    <row r="65" spans="1:73" ht="14.25" customHeight="1" x14ac:dyDescent="0.2">
      <c r="A65" s="9">
        <v>57</v>
      </c>
      <c r="B65" s="25">
        <f>MAX('Attrition Modeling'!H61,$C$3)*(1-Summary!$C$20)</f>
        <v>2.2982827992432273E-2</v>
      </c>
      <c r="C65" s="24" t="e">
        <f t="shared" si="2"/>
        <v>#DIV/0!</v>
      </c>
      <c r="E65" s="11">
        <f>'Traditional Attrition'!E122</f>
        <v>4</v>
      </c>
      <c r="F65" s="11">
        <f t="shared" si="4"/>
        <v>52</v>
      </c>
      <c r="G65" s="799"/>
      <c r="H65" s="799">
        <f>IF(H$12=$F65+1,IF(Monthly!D$4=TRUE,0,H$3),IF(H$12&gt;$F65+1,RentalsVacates!G65*(1-IF(H$12-$F65&lt;=12,SUMIFS('Attrition Modeling'!$D:$D,'Attrition Modeling'!$B:$B,$E65,'Attrition Modeling'!$C:$C,H$11),VLOOKUP(RentalsVacates!H$12-RentalsVacates!$F65-1,RentalsVacates!$A$8:$C$162,2,FALSE)*VLOOKUP(H$11,'Attrition Modeling'!$L$15:$N$27,IF(H$12-$F65&lt;=24,2,3),FALSE))*(1+IF('Traditional Attrition'!H187&gt;0,'Attrition Modeling'!$N$9,0))),0))</f>
        <v>0</v>
      </c>
      <c r="I65" s="799">
        <f>IF(I$12=$F65+1,IF(Monthly!E$4=TRUE,0,I$3),IF(I$12&gt;$F65+1,RentalsVacates!H65*(1-IF(I$12-$F65&lt;=12,SUMIFS('Attrition Modeling'!$D:$D,'Attrition Modeling'!$B:$B,$E65,'Attrition Modeling'!$C:$C,I$11),VLOOKUP(RentalsVacates!I$12-RentalsVacates!$F65-1,RentalsVacates!$A$8:$C$162,2,FALSE)*VLOOKUP(I$11,'Attrition Modeling'!$L$15:$N$27,IF(I$12-$F65&lt;=24,2,3),FALSE))*(1+IF('Traditional Attrition'!I187&gt;0,'Attrition Modeling'!$N$9,0))),0))</f>
        <v>0</v>
      </c>
      <c r="J65" s="799">
        <f>IF(J$12=$F65+1,IF(Monthly!F$4=TRUE,0,J$3),IF(J$12&gt;$F65+1,RentalsVacates!I65*(1-IF(J$12-$F65&lt;=12,SUMIFS('Attrition Modeling'!$D:$D,'Attrition Modeling'!$B:$B,$E65,'Attrition Modeling'!$C:$C,J$11),VLOOKUP(RentalsVacates!J$12-RentalsVacates!$F65-1,RentalsVacates!$A$8:$C$162,2,FALSE)*VLOOKUP(J$11,'Attrition Modeling'!$L$15:$N$27,IF(J$12-$F65&lt;=24,2,3),FALSE))*(1+IF('Traditional Attrition'!J187&gt;0,'Attrition Modeling'!$N$9,0))),0))</f>
        <v>0</v>
      </c>
      <c r="K65" s="799">
        <f>IF(K$12=$F65+1,IF(Monthly!G$4=TRUE,0,K$3),IF(K$12&gt;$F65+1,RentalsVacates!J65*(1-IF(K$12-$F65&lt;=12,SUMIFS('Attrition Modeling'!$D:$D,'Attrition Modeling'!$B:$B,$E65,'Attrition Modeling'!$C:$C,K$11),VLOOKUP(RentalsVacates!K$12-RentalsVacates!$F65-1,RentalsVacates!$A$8:$C$162,2,FALSE)*VLOOKUP(K$11,'Attrition Modeling'!$L$15:$N$27,IF(K$12-$F65&lt;=24,2,3),FALSE))*(1+IF('Traditional Attrition'!K187&gt;0,'Attrition Modeling'!$N$9,0))),0))</f>
        <v>0</v>
      </c>
      <c r="L65" s="799">
        <f>IF(L$12=$F65+1,IF(Monthly!H$4=TRUE,0,L$3),IF(L$12&gt;$F65+1,RentalsVacates!K65*(1-IF(L$12-$F65&lt;=12,SUMIFS('Attrition Modeling'!$D:$D,'Attrition Modeling'!$B:$B,$E65,'Attrition Modeling'!$C:$C,L$11),VLOOKUP(RentalsVacates!L$12-RentalsVacates!$F65-1,RentalsVacates!$A$8:$C$162,2,FALSE)*VLOOKUP(L$11,'Attrition Modeling'!$L$15:$N$27,IF(L$12-$F65&lt;=24,2,3),FALSE))*(1+IF('Traditional Attrition'!L187&gt;0,'Attrition Modeling'!$N$9,0))),0))</f>
        <v>0</v>
      </c>
      <c r="M65" s="799">
        <f>IF(M$12=$F65+1,IF(Monthly!I$4=TRUE,0,M$3),IF(M$12&gt;$F65+1,RentalsVacates!L65*(1-IF(M$12-$F65&lt;=12,SUMIFS('Attrition Modeling'!$D:$D,'Attrition Modeling'!$B:$B,$E65,'Attrition Modeling'!$C:$C,M$11),VLOOKUP(RentalsVacates!M$12-RentalsVacates!$F65-1,RentalsVacates!$A$8:$C$162,2,FALSE)*VLOOKUP(M$11,'Attrition Modeling'!$L$15:$N$27,IF(M$12-$F65&lt;=24,2,3),FALSE))*(1+IF('Traditional Attrition'!M187&gt;0,'Attrition Modeling'!$N$9,0))),0))</f>
        <v>0</v>
      </c>
      <c r="N65" s="799">
        <f>IF(N$12=$F65+1,IF(Monthly!J$4=TRUE,0,N$3),IF(N$12&gt;$F65+1,RentalsVacates!M65*(1-IF(N$12-$F65&lt;=12,SUMIFS('Attrition Modeling'!$D:$D,'Attrition Modeling'!$B:$B,$E65,'Attrition Modeling'!$C:$C,N$11),VLOOKUP(RentalsVacates!N$12-RentalsVacates!$F65-1,RentalsVacates!$A$8:$C$162,2,FALSE)*VLOOKUP(N$11,'Attrition Modeling'!$L$15:$N$27,IF(N$12-$F65&lt;=24,2,3),FALSE))*(1+IF('Traditional Attrition'!N187&gt;0,'Attrition Modeling'!$N$9,0))),0))</f>
        <v>0</v>
      </c>
      <c r="O65" s="799">
        <f>IF(O$12=$F65+1,IF(Monthly!K$4=TRUE,0,O$3),IF(O$12&gt;$F65+1,RentalsVacates!N65*(1-IF(O$12-$F65&lt;=12,SUMIFS('Attrition Modeling'!$D:$D,'Attrition Modeling'!$B:$B,$E65,'Attrition Modeling'!$C:$C,O$11),VLOOKUP(RentalsVacates!O$12-RentalsVacates!$F65-1,RentalsVacates!$A$8:$C$162,2,FALSE)*VLOOKUP(O$11,'Attrition Modeling'!$L$15:$N$27,IF(O$12-$F65&lt;=24,2,3),FALSE))*(1+IF('Traditional Attrition'!O187&gt;0,'Attrition Modeling'!$N$9,0))),0))</f>
        <v>0</v>
      </c>
      <c r="P65" s="799">
        <f>IF(P$12=$F65+1,IF(Monthly!L$4=TRUE,0,P$3),IF(P$12&gt;$F65+1,RentalsVacates!O65*(1-IF(P$12-$F65&lt;=12,SUMIFS('Attrition Modeling'!$D:$D,'Attrition Modeling'!$B:$B,$E65,'Attrition Modeling'!$C:$C,P$11),VLOOKUP(RentalsVacates!P$12-RentalsVacates!$F65-1,RentalsVacates!$A$8:$C$162,2,FALSE)*VLOOKUP(P$11,'Attrition Modeling'!$L$15:$N$27,IF(P$12-$F65&lt;=24,2,3),FALSE))*(1+IF('Traditional Attrition'!P187&gt;0,'Attrition Modeling'!$N$9,0))),0))</f>
        <v>0</v>
      </c>
      <c r="Q65" s="799">
        <f>IF(Q$12=$F65+1,IF(Monthly!M$4=TRUE,0,Q$3),IF(Q$12&gt;$F65+1,RentalsVacates!P65*(1-IF(Q$12-$F65&lt;=12,SUMIFS('Attrition Modeling'!$D:$D,'Attrition Modeling'!$B:$B,$E65,'Attrition Modeling'!$C:$C,Q$11),VLOOKUP(RentalsVacates!Q$12-RentalsVacates!$F65-1,RentalsVacates!$A$8:$C$162,2,FALSE)*VLOOKUP(Q$11,'Attrition Modeling'!$L$15:$N$27,IF(Q$12-$F65&lt;=24,2,3),FALSE))*(1+IF('Traditional Attrition'!Q187&gt;0,'Attrition Modeling'!$N$9,0))),0))</f>
        <v>0</v>
      </c>
      <c r="R65" s="799">
        <f>IF(R$12=$F65+1,IF(Monthly!N$4=TRUE,0,R$3),IF(R$12&gt;$F65+1,RentalsVacates!Q65*(1-IF(R$12-$F65&lt;=12,SUMIFS('Attrition Modeling'!$D:$D,'Attrition Modeling'!$B:$B,$E65,'Attrition Modeling'!$C:$C,R$11),VLOOKUP(RentalsVacates!R$12-RentalsVacates!$F65-1,RentalsVacates!$A$8:$C$162,2,FALSE)*VLOOKUP(R$11,'Attrition Modeling'!$L$15:$N$27,IF(R$12-$F65&lt;=24,2,3),FALSE))*(1+IF('Traditional Attrition'!R187&gt;0,'Attrition Modeling'!$N$9,0))),0))</f>
        <v>0</v>
      </c>
      <c r="S65" s="799">
        <f>IF(S$12=$F65+1,IF(Monthly!O$4=TRUE,0,S$3),IF(S$12&gt;$F65+1,RentalsVacates!R65*(1-IF(S$12-$F65&lt;=12,SUMIFS('Attrition Modeling'!$D:$D,'Attrition Modeling'!$B:$B,$E65,'Attrition Modeling'!$C:$C,S$11),VLOOKUP(RentalsVacates!S$12-RentalsVacates!$F65-1,RentalsVacates!$A$8:$C$162,2,FALSE)*VLOOKUP(S$11,'Attrition Modeling'!$L$15:$N$27,IF(S$12-$F65&lt;=24,2,3),FALSE))*(1+IF('Traditional Attrition'!S187&gt;0,'Attrition Modeling'!$N$9,0))),0))</f>
        <v>0</v>
      </c>
      <c r="T65" s="799">
        <f>IF(T$12=$F65+1,IF(Monthly!P$4=TRUE,0,T$3),IF(T$12&gt;$F65+1,RentalsVacates!S65*(1-IF(T$12-$F65&lt;=12,SUMIFS('Attrition Modeling'!$D:$D,'Attrition Modeling'!$B:$B,$E65,'Attrition Modeling'!$C:$C,T$11),VLOOKUP(RentalsVacates!T$12-RentalsVacates!$F65-1,RentalsVacates!$A$8:$C$162,2,FALSE)*VLOOKUP(T$11,'Attrition Modeling'!$L$15:$N$27,IF(T$12-$F65&lt;=24,2,3),FALSE))*(1+IF('Traditional Attrition'!T187&gt;0,'Attrition Modeling'!$N$9,0))),0))</f>
        <v>0</v>
      </c>
      <c r="U65" s="799">
        <f>IF(U$12=$F65+1,IF(Monthly!Q$4=TRUE,0,U$3),IF(U$12&gt;$F65+1,RentalsVacates!T65*(1-IF(U$12-$F65&lt;=12,SUMIFS('Attrition Modeling'!$D:$D,'Attrition Modeling'!$B:$B,$E65,'Attrition Modeling'!$C:$C,U$11),VLOOKUP(RentalsVacates!U$12-RentalsVacates!$F65-1,RentalsVacates!$A$8:$C$162,2,FALSE)*VLOOKUP(U$11,'Attrition Modeling'!$L$15:$N$27,IF(U$12-$F65&lt;=24,2,3),FALSE))*(1+IF('Traditional Attrition'!U187&gt;0,'Attrition Modeling'!$N$9,0))),0))</f>
        <v>0</v>
      </c>
      <c r="V65" s="799">
        <f>IF(V$12=$F65+1,IF(Monthly!R$4=TRUE,0,V$3),IF(V$12&gt;$F65+1,RentalsVacates!U65*(1-IF(V$12-$F65&lt;=12,SUMIFS('Attrition Modeling'!$D:$D,'Attrition Modeling'!$B:$B,$E65,'Attrition Modeling'!$C:$C,V$11),VLOOKUP(RentalsVacates!V$12-RentalsVacates!$F65-1,RentalsVacates!$A$8:$C$162,2,FALSE)*VLOOKUP(V$11,'Attrition Modeling'!$L$15:$N$27,IF(V$12-$F65&lt;=24,2,3),FALSE))*(1+IF('Traditional Attrition'!V187&gt;0,'Attrition Modeling'!$N$9,0))),0))</f>
        <v>0</v>
      </c>
      <c r="W65" s="799">
        <f>IF(W$12=$F65+1,IF(Monthly!S$4=TRUE,0,W$3),IF(W$12&gt;$F65+1,RentalsVacates!V65*(1-IF(W$12-$F65&lt;=12,SUMIFS('Attrition Modeling'!$D:$D,'Attrition Modeling'!$B:$B,$E65,'Attrition Modeling'!$C:$C,W$11),VLOOKUP(RentalsVacates!W$12-RentalsVacates!$F65-1,RentalsVacates!$A$8:$C$162,2,FALSE)*VLOOKUP(W$11,'Attrition Modeling'!$L$15:$N$27,IF(W$12-$F65&lt;=24,2,3),FALSE))*(1+IF('Traditional Attrition'!W187&gt;0,'Attrition Modeling'!$N$9,0))),0))</f>
        <v>0</v>
      </c>
      <c r="X65" s="799">
        <f>IF(X$12=$F65+1,IF(Monthly!T$4=TRUE,0,X$3),IF(X$12&gt;$F65+1,RentalsVacates!W65*(1-IF(X$12-$F65&lt;=12,SUMIFS('Attrition Modeling'!$D:$D,'Attrition Modeling'!$B:$B,$E65,'Attrition Modeling'!$C:$C,X$11),VLOOKUP(RentalsVacates!X$12-RentalsVacates!$F65-1,RentalsVacates!$A$8:$C$162,2,FALSE)*VLOOKUP(X$11,'Attrition Modeling'!$L$15:$N$27,IF(X$12-$F65&lt;=24,2,3),FALSE))*(1+IF('Traditional Attrition'!X187&gt;0,'Attrition Modeling'!$N$9,0))),0))</f>
        <v>0</v>
      </c>
      <c r="Y65" s="799">
        <f>IF(Y$12=$F65+1,IF(Monthly!U$4=TRUE,0,Y$3),IF(Y$12&gt;$F65+1,RentalsVacates!X65*(1-IF(Y$12-$F65&lt;=12,SUMIFS('Attrition Modeling'!$D:$D,'Attrition Modeling'!$B:$B,$E65,'Attrition Modeling'!$C:$C,Y$11),VLOOKUP(RentalsVacates!Y$12-RentalsVacates!$F65-1,RentalsVacates!$A$8:$C$162,2,FALSE)*VLOOKUP(Y$11,'Attrition Modeling'!$L$15:$N$27,IF(Y$12-$F65&lt;=24,2,3),FALSE))*(1+IF('Traditional Attrition'!Y187&gt;0,'Attrition Modeling'!$N$9,0))),0))</f>
        <v>0</v>
      </c>
      <c r="Z65" s="799">
        <f>IF(Z$12=$F65+1,IF(Monthly!V$4=TRUE,0,Z$3),IF(Z$12&gt;$F65+1,RentalsVacates!Y65*(1-IF(Z$12-$F65&lt;=12,SUMIFS('Attrition Modeling'!$D:$D,'Attrition Modeling'!$B:$B,$E65,'Attrition Modeling'!$C:$C,Z$11),VLOOKUP(RentalsVacates!Z$12-RentalsVacates!$F65-1,RentalsVacates!$A$8:$C$162,2,FALSE)*VLOOKUP(Z$11,'Attrition Modeling'!$L$15:$N$27,IF(Z$12-$F65&lt;=24,2,3),FALSE))*(1+IF('Traditional Attrition'!Z187&gt;0,'Attrition Modeling'!$N$9,0))),0))</f>
        <v>0</v>
      </c>
      <c r="AA65" s="799">
        <f>IF(AA$12=$F65+1,IF(Monthly!W$4=TRUE,0,AA$3),IF(AA$12&gt;$F65+1,RentalsVacates!Z65*(1-IF(AA$12-$F65&lt;=12,SUMIFS('Attrition Modeling'!$D:$D,'Attrition Modeling'!$B:$B,$E65,'Attrition Modeling'!$C:$C,AA$11),VLOOKUP(RentalsVacates!AA$12-RentalsVacates!$F65-1,RentalsVacates!$A$8:$C$162,2,FALSE)*VLOOKUP(AA$11,'Attrition Modeling'!$L$15:$N$27,IF(AA$12-$F65&lt;=24,2,3),FALSE))*(1+IF('Traditional Attrition'!AA187&gt;0,'Attrition Modeling'!$N$9,0))),0))</f>
        <v>0</v>
      </c>
      <c r="AB65" s="799">
        <f>IF(AB$12=$F65+1,IF(Monthly!X$4=TRUE,0,AB$3),IF(AB$12&gt;$F65+1,RentalsVacates!AA65*(1-IF(AB$12-$F65&lt;=12,SUMIFS('Attrition Modeling'!$D:$D,'Attrition Modeling'!$B:$B,$E65,'Attrition Modeling'!$C:$C,AB$11),VLOOKUP(RentalsVacates!AB$12-RentalsVacates!$F65-1,RentalsVacates!$A$8:$C$162,2,FALSE)*VLOOKUP(AB$11,'Attrition Modeling'!$L$15:$N$27,IF(AB$12-$F65&lt;=24,2,3),FALSE))*(1+IF('Traditional Attrition'!AB187&gt;0,'Attrition Modeling'!$N$9,0))),0))</f>
        <v>0</v>
      </c>
      <c r="AC65" s="799">
        <f>IF(AC$12=$F65+1,IF(Monthly!Y$4=TRUE,0,AC$3),IF(AC$12&gt;$F65+1,RentalsVacates!AB65*(1-IF(AC$12-$F65&lt;=12,SUMIFS('Attrition Modeling'!$D:$D,'Attrition Modeling'!$B:$B,$E65,'Attrition Modeling'!$C:$C,AC$11),VLOOKUP(RentalsVacates!AC$12-RentalsVacates!$F65-1,RentalsVacates!$A$8:$C$162,2,FALSE)*VLOOKUP(AC$11,'Attrition Modeling'!$L$15:$N$27,IF(AC$12-$F65&lt;=24,2,3),FALSE))*(1+IF('Traditional Attrition'!AC187&gt;0,'Attrition Modeling'!$N$9,0))),0))</f>
        <v>0</v>
      </c>
      <c r="AD65" s="799">
        <f>IF(AD$12=$F65+1,IF(Monthly!Z$4=TRUE,0,AD$3),IF(AD$12&gt;$F65+1,RentalsVacates!AC65*(1-IF(AD$12-$F65&lt;=12,SUMIFS('Attrition Modeling'!$D:$D,'Attrition Modeling'!$B:$B,$E65,'Attrition Modeling'!$C:$C,AD$11),VLOOKUP(RentalsVacates!AD$12-RentalsVacates!$F65-1,RentalsVacates!$A$8:$C$162,2,FALSE)*VLOOKUP(AD$11,'Attrition Modeling'!$L$15:$N$27,IF(AD$12-$F65&lt;=24,2,3),FALSE))*(1+IF('Traditional Attrition'!AD187&gt;0,'Attrition Modeling'!$N$9,0))),0))</f>
        <v>0</v>
      </c>
      <c r="AE65" s="799">
        <f>IF(AE$12=$F65+1,IF(Monthly!AA$4=TRUE,0,AE$3),IF(AE$12&gt;$F65+1,RentalsVacates!AD65*(1-IF(AE$12-$F65&lt;=12,SUMIFS('Attrition Modeling'!$D:$D,'Attrition Modeling'!$B:$B,$E65,'Attrition Modeling'!$C:$C,AE$11),VLOOKUP(RentalsVacates!AE$12-RentalsVacates!$F65-1,RentalsVacates!$A$8:$C$162,2,FALSE)*VLOOKUP(AE$11,'Attrition Modeling'!$L$15:$N$27,IF(AE$12-$F65&lt;=24,2,3),FALSE))*(1+IF('Traditional Attrition'!AE187&gt;0,'Attrition Modeling'!$N$9,0))),0))</f>
        <v>0</v>
      </c>
      <c r="AF65" s="799">
        <f>IF(AF$12=$F65+1,IF(Monthly!AB$4=TRUE,0,AF$3),IF(AF$12&gt;$F65+1,RentalsVacates!AE65*(1-IF(AF$12-$F65&lt;=12,SUMIFS('Attrition Modeling'!$D:$D,'Attrition Modeling'!$B:$B,$E65,'Attrition Modeling'!$C:$C,AF$11),VLOOKUP(RentalsVacates!AF$12-RentalsVacates!$F65-1,RentalsVacates!$A$8:$C$162,2,FALSE)*VLOOKUP(AF$11,'Attrition Modeling'!$L$15:$N$27,IF(AF$12-$F65&lt;=24,2,3),FALSE))*(1+IF('Traditional Attrition'!AF187&gt;0,'Attrition Modeling'!$N$9,0))),0))</f>
        <v>0</v>
      </c>
      <c r="AG65" s="799">
        <f>IF(AG$12=$F65+1,IF(Monthly!AC$4=TRUE,0,AG$3),IF(AG$12&gt;$F65+1,RentalsVacates!AF65*(1-IF(AG$12-$F65&lt;=12,SUMIFS('Attrition Modeling'!$D:$D,'Attrition Modeling'!$B:$B,$E65,'Attrition Modeling'!$C:$C,AG$11),VLOOKUP(RentalsVacates!AG$12-RentalsVacates!$F65-1,RentalsVacates!$A$8:$C$162,2,FALSE)*VLOOKUP(AG$11,'Attrition Modeling'!$L$15:$N$27,IF(AG$12-$F65&lt;=24,2,3),FALSE))*(1+IF('Traditional Attrition'!AG187&gt;0,'Attrition Modeling'!$N$9,0))),0))</f>
        <v>0</v>
      </c>
      <c r="AH65" s="799">
        <f>IF(AH$12=$F65+1,IF(Monthly!AD$4=TRUE,0,AH$3),IF(AH$12&gt;$F65+1,RentalsVacates!AG65*(1-IF(AH$12-$F65&lt;=12,SUMIFS('Attrition Modeling'!$D:$D,'Attrition Modeling'!$B:$B,$E65,'Attrition Modeling'!$C:$C,AH$11),VLOOKUP(RentalsVacates!AH$12-RentalsVacates!$F65-1,RentalsVacates!$A$8:$C$162,2,FALSE)*VLOOKUP(AH$11,'Attrition Modeling'!$L$15:$N$27,IF(AH$12-$F65&lt;=24,2,3),FALSE))*(1+IF('Traditional Attrition'!AH187&gt;0,'Attrition Modeling'!$N$9,0))),0))</f>
        <v>0</v>
      </c>
      <c r="AI65" s="799">
        <f>IF(AI$12=$F65+1,IF(Monthly!AE$4=TRUE,0,AI$3),IF(AI$12&gt;$F65+1,RentalsVacates!AH65*(1-IF(AI$12-$F65&lt;=12,SUMIFS('Attrition Modeling'!$D:$D,'Attrition Modeling'!$B:$B,$E65,'Attrition Modeling'!$C:$C,AI$11),VLOOKUP(RentalsVacates!AI$12-RentalsVacates!$F65-1,RentalsVacates!$A$8:$C$162,2,FALSE)*VLOOKUP(AI$11,'Attrition Modeling'!$L$15:$N$27,IF(AI$12-$F65&lt;=24,2,3),FALSE))*(1+IF('Traditional Attrition'!AI187&gt;0,'Attrition Modeling'!$N$9,0))),0))</f>
        <v>0</v>
      </c>
      <c r="AJ65" s="799">
        <f>IF(AJ$12=$F65+1,IF(Monthly!AF$4=TRUE,0,AJ$3),IF(AJ$12&gt;$F65+1,RentalsVacates!AI65*(1-IF(AJ$12-$F65&lt;=12,SUMIFS('Attrition Modeling'!$D:$D,'Attrition Modeling'!$B:$B,$E65,'Attrition Modeling'!$C:$C,AJ$11),VLOOKUP(RentalsVacates!AJ$12-RentalsVacates!$F65-1,RentalsVacates!$A$8:$C$162,2,FALSE)*VLOOKUP(AJ$11,'Attrition Modeling'!$L$15:$N$27,IF(AJ$12-$F65&lt;=24,2,3),FALSE))*(1+IF('Traditional Attrition'!AJ187&gt;0,'Attrition Modeling'!$N$9,0))),0))</f>
        <v>0</v>
      </c>
      <c r="AK65" s="799">
        <f>IF(AK$12=$F65+1,IF(Monthly!AG$4=TRUE,0,AK$3),IF(AK$12&gt;$F65+1,RentalsVacates!AJ65*(1-IF(AK$12-$F65&lt;=12,SUMIFS('Attrition Modeling'!$D:$D,'Attrition Modeling'!$B:$B,$E65,'Attrition Modeling'!$C:$C,AK$11),VLOOKUP(RentalsVacates!AK$12-RentalsVacates!$F65-1,RentalsVacates!$A$8:$C$162,2,FALSE)*VLOOKUP(AK$11,'Attrition Modeling'!$L$15:$N$27,IF(AK$12-$F65&lt;=24,2,3),FALSE))*(1+IF('Traditional Attrition'!AK187&gt;0,'Attrition Modeling'!$N$9,0))),0))</f>
        <v>0</v>
      </c>
      <c r="AL65" s="799">
        <f>IF(AL$12=$F65+1,IF(Monthly!AH$4=TRUE,0,AL$3),IF(AL$12&gt;$F65+1,RentalsVacates!AK65*(1-IF(AL$12-$F65&lt;=12,SUMIFS('Attrition Modeling'!$D:$D,'Attrition Modeling'!$B:$B,$E65,'Attrition Modeling'!$C:$C,AL$11),VLOOKUP(RentalsVacates!AL$12-RentalsVacates!$F65-1,RentalsVacates!$A$8:$C$162,2,FALSE)*VLOOKUP(AL$11,'Attrition Modeling'!$L$15:$N$27,IF(AL$12-$F65&lt;=24,2,3),FALSE))*(1+IF('Traditional Attrition'!AL187&gt;0,'Attrition Modeling'!$N$9,0))),0))</f>
        <v>0</v>
      </c>
      <c r="AM65" s="799">
        <f>IF(AM$12=$F65+1,IF(Monthly!AI$4=TRUE,0,AM$3),IF(AM$12&gt;$F65+1,RentalsVacates!AL65*(1-IF(AM$12-$F65&lt;=12,SUMIFS('Attrition Modeling'!$D:$D,'Attrition Modeling'!$B:$B,$E65,'Attrition Modeling'!$C:$C,AM$11),VLOOKUP(RentalsVacates!AM$12-RentalsVacates!$F65-1,RentalsVacates!$A$8:$C$162,2,FALSE)*VLOOKUP(AM$11,'Attrition Modeling'!$L$15:$N$27,IF(AM$12-$F65&lt;=24,2,3),FALSE))*(1+IF('Traditional Attrition'!AM187&gt;0,'Attrition Modeling'!$N$9,0))),0))</f>
        <v>0</v>
      </c>
      <c r="AN65" s="799">
        <f>IF(AN$12=$F65+1,IF(Monthly!AJ$4=TRUE,0,AN$3),IF(AN$12&gt;$F65+1,RentalsVacates!AM65*(1-IF(AN$12-$F65&lt;=12,SUMIFS('Attrition Modeling'!$D:$D,'Attrition Modeling'!$B:$B,$E65,'Attrition Modeling'!$C:$C,AN$11),VLOOKUP(RentalsVacates!AN$12-RentalsVacates!$F65-1,RentalsVacates!$A$8:$C$162,2,FALSE)*VLOOKUP(AN$11,'Attrition Modeling'!$L$15:$N$27,IF(AN$12-$F65&lt;=24,2,3),FALSE))*(1+IF('Traditional Attrition'!AN187&gt;0,'Attrition Modeling'!$N$9,0))),0))</f>
        <v>0</v>
      </c>
      <c r="AO65" s="799">
        <f>IF(AO$12=$F65+1,IF(Monthly!AK$4=TRUE,0,AO$3),IF(AO$12&gt;$F65+1,RentalsVacates!AN65*(1-IF(AO$12-$F65&lt;=12,SUMIFS('Attrition Modeling'!$D:$D,'Attrition Modeling'!$B:$B,$E65,'Attrition Modeling'!$C:$C,AO$11),VLOOKUP(RentalsVacates!AO$12-RentalsVacates!$F65-1,RentalsVacates!$A$8:$C$162,2,FALSE)*VLOOKUP(AO$11,'Attrition Modeling'!$L$15:$N$27,IF(AO$12-$F65&lt;=24,2,3),FALSE))*(1+IF('Traditional Attrition'!AO187&gt;0,'Attrition Modeling'!$N$9,0))),0))</f>
        <v>0</v>
      </c>
      <c r="AP65" s="799">
        <f>IF(AP$12=$F65+1,IF(Monthly!AL$4=TRUE,0,AP$3),IF(AP$12&gt;$F65+1,RentalsVacates!AO65*(1-IF(AP$12-$F65&lt;=12,SUMIFS('Attrition Modeling'!$D:$D,'Attrition Modeling'!$B:$B,$E65,'Attrition Modeling'!$C:$C,AP$11),VLOOKUP(RentalsVacates!AP$12-RentalsVacates!$F65-1,RentalsVacates!$A$8:$C$162,2,FALSE)*VLOOKUP(AP$11,'Attrition Modeling'!$L$15:$N$27,IF(AP$12-$F65&lt;=24,2,3),FALSE))*(1+IF('Traditional Attrition'!AP187&gt;0,'Attrition Modeling'!$N$9,0))),0))</f>
        <v>0</v>
      </c>
      <c r="AQ65" s="799">
        <f>IF(AQ$12=$F65+1,IF(Monthly!AM$4=TRUE,0,AQ$3),IF(AQ$12&gt;$F65+1,RentalsVacates!AP65*(1-IF(AQ$12-$F65&lt;=12,SUMIFS('Attrition Modeling'!$D:$D,'Attrition Modeling'!$B:$B,$E65,'Attrition Modeling'!$C:$C,AQ$11),VLOOKUP(RentalsVacates!AQ$12-RentalsVacates!$F65-1,RentalsVacates!$A$8:$C$162,2,FALSE)*VLOOKUP(AQ$11,'Attrition Modeling'!$L$15:$N$27,IF(AQ$12-$F65&lt;=24,2,3),FALSE))*(1+IF('Traditional Attrition'!AQ187&gt;0,'Attrition Modeling'!$N$9,0))),0))</f>
        <v>0</v>
      </c>
      <c r="AR65" s="799">
        <f>IF(AR$12=$F65+1,IF(Monthly!AN$4=TRUE,0,AR$3),IF(AR$12&gt;$F65+1,RentalsVacates!AQ65*(1-IF(AR$12-$F65&lt;=12,SUMIFS('Attrition Modeling'!$D:$D,'Attrition Modeling'!$B:$B,$E65,'Attrition Modeling'!$C:$C,AR$11),VLOOKUP(RentalsVacates!AR$12-RentalsVacates!$F65-1,RentalsVacates!$A$8:$C$162,2,FALSE)*VLOOKUP(AR$11,'Attrition Modeling'!$L$15:$N$27,IF(AR$12-$F65&lt;=24,2,3),FALSE))*(1+IF('Traditional Attrition'!AR187&gt;0,'Attrition Modeling'!$N$9,0))),0))</f>
        <v>0</v>
      </c>
      <c r="AS65" s="799">
        <f>IF(AS$12=$F65+1,IF(Monthly!AO$4=TRUE,0,AS$3),IF(AS$12&gt;$F65+1,RentalsVacates!AR65*(1-IF(AS$12-$F65&lt;=12,SUMIFS('Attrition Modeling'!$D:$D,'Attrition Modeling'!$B:$B,$E65,'Attrition Modeling'!$C:$C,AS$11),VLOOKUP(RentalsVacates!AS$12-RentalsVacates!$F65-1,RentalsVacates!$A$8:$C$162,2,FALSE)*VLOOKUP(AS$11,'Attrition Modeling'!$L$15:$N$27,IF(AS$12-$F65&lt;=24,2,3),FALSE))*(1+IF('Traditional Attrition'!AS187&gt;0,'Attrition Modeling'!$N$9,0))),0))</f>
        <v>0</v>
      </c>
      <c r="AT65" s="799">
        <f>IF(AT$12=$F65+1,IF(Monthly!AP$4=TRUE,0,AT$3),IF(AT$12&gt;$F65+1,RentalsVacates!AS65*(1-IF(AT$12-$F65&lt;=12,SUMIFS('Attrition Modeling'!$D:$D,'Attrition Modeling'!$B:$B,$E65,'Attrition Modeling'!$C:$C,AT$11),VLOOKUP(RentalsVacates!AT$12-RentalsVacates!$F65-1,RentalsVacates!$A$8:$C$162,2,FALSE)*VLOOKUP(AT$11,'Attrition Modeling'!$L$15:$N$27,IF(AT$12-$F65&lt;=24,2,3),FALSE))*(1+IF('Traditional Attrition'!AT187&gt;0,'Attrition Modeling'!$N$9,0))),0))</f>
        <v>0</v>
      </c>
      <c r="AU65" s="799">
        <f>IF(AU$12=$F65+1,IF(Monthly!AQ$4=TRUE,0,AU$3),IF(AU$12&gt;$F65+1,RentalsVacates!AT65*(1-IF(AU$12-$F65&lt;=12,SUMIFS('Attrition Modeling'!$D:$D,'Attrition Modeling'!$B:$B,$E65,'Attrition Modeling'!$C:$C,AU$11),VLOOKUP(RentalsVacates!AU$12-RentalsVacates!$F65-1,RentalsVacates!$A$8:$C$162,2,FALSE)*VLOOKUP(AU$11,'Attrition Modeling'!$L$15:$N$27,IF(AU$12-$F65&lt;=24,2,3),FALSE))*(1+IF('Traditional Attrition'!AU187&gt;0,'Attrition Modeling'!$N$9,0))),0))</f>
        <v>0</v>
      </c>
      <c r="AV65" s="799">
        <f>IF(AV$12=$F65+1,IF(Monthly!AR$4=TRUE,0,AV$3),IF(AV$12&gt;$F65+1,RentalsVacates!AU65*(1-IF(AV$12-$F65&lt;=12,SUMIFS('Attrition Modeling'!$D:$D,'Attrition Modeling'!$B:$B,$E65,'Attrition Modeling'!$C:$C,AV$11),VLOOKUP(RentalsVacates!AV$12-RentalsVacates!$F65-1,RentalsVacates!$A$8:$C$162,2,FALSE)*VLOOKUP(AV$11,'Attrition Modeling'!$L$15:$N$27,IF(AV$12-$F65&lt;=24,2,3),FALSE))*(1+IF('Traditional Attrition'!AV187&gt;0,'Attrition Modeling'!$N$9,0))),0))</f>
        <v>0</v>
      </c>
      <c r="AW65" s="799">
        <f>IF(AW$12=$F65+1,IF(Monthly!AS$4=TRUE,0,AW$3),IF(AW$12&gt;$F65+1,RentalsVacates!AV65*(1-IF(AW$12-$F65&lt;=12,SUMIFS('Attrition Modeling'!$D:$D,'Attrition Modeling'!$B:$B,$E65,'Attrition Modeling'!$C:$C,AW$11),VLOOKUP(RentalsVacates!AW$12-RentalsVacates!$F65-1,RentalsVacates!$A$8:$C$162,2,FALSE)*VLOOKUP(AW$11,'Attrition Modeling'!$L$15:$N$27,IF(AW$12-$F65&lt;=24,2,3),FALSE))*(1+IF('Traditional Attrition'!AW187&gt;0,'Attrition Modeling'!$N$9,0))),0))</f>
        <v>0</v>
      </c>
      <c r="AX65" s="799">
        <f>IF(AX$12=$F65+1,IF(Monthly!AT$4=TRUE,0,AX$3),IF(AX$12&gt;$F65+1,RentalsVacates!AW65*(1-IF(AX$12-$F65&lt;=12,SUMIFS('Attrition Modeling'!$D:$D,'Attrition Modeling'!$B:$B,$E65,'Attrition Modeling'!$C:$C,AX$11),VLOOKUP(RentalsVacates!AX$12-RentalsVacates!$F65-1,RentalsVacates!$A$8:$C$162,2,FALSE)*VLOOKUP(AX$11,'Attrition Modeling'!$L$15:$N$27,IF(AX$12-$F65&lt;=24,2,3),FALSE))*(1+IF('Traditional Attrition'!AX187&gt;0,'Attrition Modeling'!$N$9,0))),0))</f>
        <v>0</v>
      </c>
      <c r="AY65" s="799">
        <f>IF(AY$12=$F65+1,IF(Monthly!AU$4=TRUE,0,AY$3),IF(AY$12&gt;$F65+1,RentalsVacates!AX65*(1-IF(AY$12-$F65&lt;=12,SUMIFS('Attrition Modeling'!$D:$D,'Attrition Modeling'!$B:$B,$E65,'Attrition Modeling'!$C:$C,AY$11),VLOOKUP(RentalsVacates!AY$12-RentalsVacates!$F65-1,RentalsVacates!$A$8:$C$162,2,FALSE)*VLOOKUP(AY$11,'Attrition Modeling'!$L$15:$N$27,IF(AY$12-$F65&lt;=24,2,3),FALSE))*(1+IF('Traditional Attrition'!AY187&gt;0,'Attrition Modeling'!$N$9,0))),0))</f>
        <v>0</v>
      </c>
      <c r="AZ65" s="799">
        <f>IF(AZ$12=$F65+1,IF(Monthly!AV$4=TRUE,0,AZ$3),IF(AZ$12&gt;$F65+1,RentalsVacates!AY65*(1-IF(AZ$12-$F65&lt;=12,SUMIFS('Attrition Modeling'!$D:$D,'Attrition Modeling'!$B:$B,$E65,'Attrition Modeling'!$C:$C,AZ$11),VLOOKUP(RentalsVacates!AZ$12-RentalsVacates!$F65-1,RentalsVacates!$A$8:$C$162,2,FALSE)*VLOOKUP(AZ$11,'Attrition Modeling'!$L$15:$N$27,IF(AZ$12-$F65&lt;=24,2,3),FALSE))*(1+IF('Traditional Attrition'!AZ187&gt;0,'Attrition Modeling'!$N$9,0))),0))</f>
        <v>0</v>
      </c>
      <c r="BA65" s="799">
        <f>IF(BA$12=$F65+1,IF(Monthly!AW$4=TRUE,0,BA$3),IF(BA$12&gt;$F65+1,RentalsVacates!AZ65*(1-IF(BA$12-$F65&lt;=12,SUMIFS('Attrition Modeling'!$D:$D,'Attrition Modeling'!$B:$B,$E65,'Attrition Modeling'!$C:$C,BA$11),VLOOKUP(RentalsVacates!BA$12-RentalsVacates!$F65-1,RentalsVacates!$A$8:$C$162,2,FALSE)*VLOOKUP(BA$11,'Attrition Modeling'!$L$15:$N$27,IF(BA$12-$F65&lt;=24,2,3),FALSE))*(1+IF('Traditional Attrition'!BA187&gt;0,'Attrition Modeling'!$N$9,0))),0))</f>
        <v>0</v>
      </c>
      <c r="BB65" s="799">
        <f>IF(BB$12=$F65+1,IF(Monthly!AX$4=TRUE,0,BB$3),IF(BB$12&gt;$F65+1,RentalsVacates!BA65*(1-IF(BB$12-$F65&lt;=12,SUMIFS('Attrition Modeling'!$D:$D,'Attrition Modeling'!$B:$B,$E65,'Attrition Modeling'!$C:$C,BB$11),VLOOKUP(RentalsVacates!BB$12-RentalsVacates!$F65-1,RentalsVacates!$A$8:$C$162,2,FALSE)*VLOOKUP(BB$11,'Attrition Modeling'!$L$15:$N$27,IF(BB$12-$F65&lt;=24,2,3),FALSE))*(1+IF('Traditional Attrition'!BB187&gt;0,'Attrition Modeling'!$N$9,0))),0))</f>
        <v>0</v>
      </c>
      <c r="BC65" s="799">
        <f>IF(BC$12=$F65+1,IF(Monthly!AY$4=TRUE,0,BC$3),IF(BC$12&gt;$F65+1,RentalsVacates!BB65*(1-IF(BC$12-$F65&lt;=12,SUMIFS('Attrition Modeling'!$D:$D,'Attrition Modeling'!$B:$B,$E65,'Attrition Modeling'!$C:$C,BC$11),VLOOKUP(RentalsVacates!BC$12-RentalsVacates!$F65-1,RentalsVacates!$A$8:$C$162,2,FALSE)*VLOOKUP(BC$11,'Attrition Modeling'!$L$15:$N$27,IF(BC$12-$F65&lt;=24,2,3),FALSE))*(1+IF('Traditional Attrition'!BC187&gt;0,'Attrition Modeling'!$N$9,0))),0))</f>
        <v>0</v>
      </c>
      <c r="BD65" s="799">
        <f>IF(BD$12=$F65+1,IF(Monthly!AZ$4=TRUE,0,BD$3),IF(BD$12&gt;$F65+1,RentalsVacates!BC65*(1-IF(BD$12-$F65&lt;=12,SUMIFS('Attrition Modeling'!$D:$D,'Attrition Modeling'!$B:$B,$E65,'Attrition Modeling'!$C:$C,BD$11),VLOOKUP(RentalsVacates!BD$12-RentalsVacates!$F65-1,RentalsVacates!$A$8:$C$162,2,FALSE)*VLOOKUP(BD$11,'Attrition Modeling'!$L$15:$N$27,IF(BD$12-$F65&lt;=24,2,3),FALSE))*(1+IF('Traditional Attrition'!BD187&gt;0,'Attrition Modeling'!$N$9,0))),0))</f>
        <v>0</v>
      </c>
      <c r="BE65" s="799">
        <f>IF(BE$12=$F65+1,IF(Monthly!BA$4=TRUE,0,BE$3),IF(BE$12&gt;$F65+1,RentalsVacates!BD65*(1-IF(BE$12-$F65&lt;=12,SUMIFS('Attrition Modeling'!$D:$D,'Attrition Modeling'!$B:$B,$E65,'Attrition Modeling'!$C:$C,BE$11),VLOOKUP(RentalsVacates!BE$12-RentalsVacates!$F65-1,RentalsVacates!$A$8:$C$162,2,FALSE)*VLOOKUP(BE$11,'Attrition Modeling'!$L$15:$N$27,IF(BE$12-$F65&lt;=24,2,3),FALSE))*(1+IF('Traditional Attrition'!BE187&gt;0,'Attrition Modeling'!$N$9,0))),0))</f>
        <v>0</v>
      </c>
      <c r="BF65" s="799">
        <f>IF(BF$12=$F65+1,IF(Monthly!BB$4=TRUE,0,BF$3),IF(BF$12&gt;$F65+1,RentalsVacates!BE65*(1-IF(BF$12-$F65&lt;=12,SUMIFS('Attrition Modeling'!$D:$D,'Attrition Modeling'!$B:$B,$E65,'Attrition Modeling'!$C:$C,BF$11),VLOOKUP(RentalsVacates!BF$12-RentalsVacates!$F65-1,RentalsVacates!$A$8:$C$162,2,FALSE)*VLOOKUP(BF$11,'Attrition Modeling'!$L$15:$N$27,IF(BF$12-$F65&lt;=24,2,3),FALSE))*(1+IF('Traditional Attrition'!BF187&gt;0,'Attrition Modeling'!$N$9,0))),0))</f>
        <v>0</v>
      </c>
      <c r="BG65" s="799">
        <f>IF(BG$12=$F65+1,IF(Monthly!BC$4=TRUE,0,BG$3),IF(BG$12&gt;$F65+1,RentalsVacates!BF65*(1-IF(BG$12-$F65&lt;=12,SUMIFS('Attrition Modeling'!$D:$D,'Attrition Modeling'!$B:$B,$E65,'Attrition Modeling'!$C:$C,BG$11),VLOOKUP(RentalsVacates!BG$12-RentalsVacates!$F65-1,RentalsVacates!$A$8:$C$162,2,FALSE)*VLOOKUP(BG$11,'Attrition Modeling'!$L$15:$N$27,IF(BG$12-$F65&lt;=24,2,3),FALSE))*(1+IF('Traditional Attrition'!BG187&gt;0,'Attrition Modeling'!$N$9,0))),0))</f>
        <v>0</v>
      </c>
      <c r="BH65" s="799">
        <f>IF(BH$12=$F65+1,IF(Monthly!BD$4=TRUE,0,BH$3),IF(BH$12&gt;$F65+1,RentalsVacates!BG65*(1-IF(BH$12-$F65&lt;=12,SUMIFS('Attrition Modeling'!$D:$D,'Attrition Modeling'!$B:$B,$E65,'Attrition Modeling'!$C:$C,BH$11),VLOOKUP(RentalsVacates!BH$12-RentalsVacates!$F65-1,RentalsVacates!$A$8:$C$162,2,FALSE)*VLOOKUP(BH$11,'Attrition Modeling'!$L$15:$N$27,IF(BH$12-$F65&lt;=24,2,3),FALSE))*(1+IF('Traditional Attrition'!BH187&gt;0,'Attrition Modeling'!$N$9,0))),0))</f>
        <v>6407.4364474159675</v>
      </c>
      <c r="BI65" s="799">
        <f>IF(BI$12=$F65+1,IF(Monthly!BE$4=TRUE,0,BI$3),IF(BI$12&gt;$F65+1,RentalsVacates!BH65*(1-IF(BI$12-$F65&lt;=12,SUMIFS('Attrition Modeling'!$D:$D,'Attrition Modeling'!$B:$B,$E65,'Attrition Modeling'!$C:$C,BI$11),VLOOKUP(RentalsVacates!BI$12-RentalsVacates!$F65-1,RentalsVacates!$A$8:$C$162,2,FALSE)*VLOOKUP(BI$11,'Attrition Modeling'!$L$15:$N$27,IF(BI$12-$F65&lt;=24,2,3),FALSE))*(1+IF('Traditional Attrition'!BI187&gt;0,'Attrition Modeling'!$N$9,0))),0))</f>
        <v>5772.2549060312795</v>
      </c>
      <c r="BJ65" s="799">
        <f>IF(BJ$12=$F65+1,IF(Monthly!BF$4=TRUE,0,BJ$3),IF(BJ$12&gt;$F65+1,RentalsVacates!BI65*(1-IF(BJ$12-$F65&lt;=12,SUMIFS('Attrition Modeling'!$D:$D,'Attrition Modeling'!$B:$B,$E65,'Attrition Modeling'!$C:$C,BJ$11),VLOOKUP(RentalsVacates!BJ$12-RentalsVacates!$F65-1,RentalsVacates!$A$8:$C$162,2,FALSE)*VLOOKUP(BJ$11,'Attrition Modeling'!$L$15:$N$27,IF(BJ$12-$F65&lt;=24,2,3),FALSE))*(1+IF('Traditional Attrition'!BJ187&gt;0,'Attrition Modeling'!$N$9,0))),0))</f>
        <v>5237.3773903786023</v>
      </c>
      <c r="BK65" s="799">
        <f>IF(BK$12=$F65+1,IF(Monthly!BG$4=TRUE,0,BK$3),IF(BK$12&gt;$F65+1,RentalsVacates!BJ65*(1-IF(BK$12-$F65&lt;=12,SUMIFS('Attrition Modeling'!$D:$D,'Attrition Modeling'!$B:$B,$E65,'Attrition Modeling'!$C:$C,BK$11),VLOOKUP(RentalsVacates!BK$12-RentalsVacates!$F65-1,RentalsVacates!$A$8:$C$162,2,FALSE)*VLOOKUP(BK$11,'Attrition Modeling'!$L$15:$N$27,IF(BK$12-$F65&lt;=24,2,3),FALSE))*(1+IF('Traditional Attrition'!BK187&gt;0,'Attrition Modeling'!$N$9,0))),0))</f>
        <v>4697.8976661184815</v>
      </c>
      <c r="BL65" s="799">
        <f>IF(BL$12=$F65+1,IF(Monthly!BH$4=TRUE,0,BL$3),IF(BL$12&gt;$F65+1,RentalsVacates!BK65*(1-IF(BL$12-$F65&lt;=12,SUMIFS('Attrition Modeling'!$D:$D,'Attrition Modeling'!$B:$B,$E65,'Attrition Modeling'!$C:$C,BL$11),VLOOKUP(RentalsVacates!BL$12-RentalsVacates!$F65-1,RentalsVacates!$A$8:$C$162,2,FALSE)*VLOOKUP(BL$11,'Attrition Modeling'!$L$15:$N$27,IF(BL$12-$F65&lt;=24,2,3),FALSE))*(1+IF('Traditional Attrition'!BL187&gt;0,'Attrition Modeling'!$N$9,0))),0))</f>
        <v>4315.8317426260637</v>
      </c>
      <c r="BM65" s="799">
        <f>IF(BM$12=$F65+1,IF(Monthly!BI$4=TRUE,0,BM$3),IF(BM$12&gt;$F65+1,RentalsVacates!BL65*(1-IF(BM$12-$F65&lt;=12,SUMIFS('Attrition Modeling'!$D:$D,'Attrition Modeling'!$B:$B,$E65,'Attrition Modeling'!$C:$C,BM$11),VLOOKUP(RentalsVacates!BM$12-RentalsVacates!$F65-1,RentalsVacates!$A$8:$C$162,2,FALSE)*VLOOKUP(BM$11,'Attrition Modeling'!$L$15:$N$27,IF(BM$12-$F65&lt;=24,2,3),FALSE))*(1+IF('Traditional Attrition'!BM187&gt;0,'Attrition Modeling'!$N$9,0))),0))</f>
        <v>3884.7019033297029</v>
      </c>
      <c r="BN65" s="799">
        <f>IF(BN$12=$F65+1,IF(Monthly!BJ$4=TRUE,0,BN$3),IF(BN$12&gt;$F65+1,RentalsVacates!BM65*(1-IF(BN$12-$F65&lt;=12,SUMIFS('Attrition Modeling'!$D:$D,'Attrition Modeling'!$B:$B,$E65,'Attrition Modeling'!$C:$C,BN$11),VLOOKUP(RentalsVacates!BN$12-RentalsVacates!$F65-1,RentalsVacates!$A$8:$C$162,2,FALSE)*VLOOKUP(BN$11,'Attrition Modeling'!$L$15:$N$27,IF(BN$12-$F65&lt;=24,2,3),FALSE))*(1+IF('Traditional Attrition'!BN187&gt;0,'Attrition Modeling'!$N$9,0))),0))</f>
        <v>3580.2814730003456</v>
      </c>
      <c r="BO65" s="799">
        <f>IF(BO$12=$F65+1,IF(Monthly!BK$4=TRUE,0,BO$3),IF(BO$12&gt;$F65+1,RentalsVacates!BN65*(1-IF(BO$12-$F65&lt;=12,SUMIFS('Attrition Modeling'!$D:$D,'Attrition Modeling'!$B:$B,$E65,'Attrition Modeling'!$C:$C,BO$11),VLOOKUP(RentalsVacates!BO$12-RentalsVacates!$F65-1,RentalsVacates!$A$8:$C$162,2,FALSE)*VLOOKUP(BO$11,'Attrition Modeling'!$L$15:$N$27,IF(BO$12-$F65&lt;=24,2,3),FALSE))*(1+IF('Traditional Attrition'!BO187&gt;0,'Attrition Modeling'!$N$9,0))),0))</f>
        <v>3340.6299979856726</v>
      </c>
      <c r="BP65" s="799">
        <f>IF(BP$12=$F65+1,IF(Monthly!BL$4=TRUE,0,BP$3),IF(BP$12&gt;$F65+1,RentalsVacates!BO65*(1-IF(BP$12-$F65&lt;=12,SUMIFS('Attrition Modeling'!$D:$D,'Attrition Modeling'!$B:$B,$E65,'Attrition Modeling'!$C:$C,BP$11),VLOOKUP(RentalsVacates!BP$12-RentalsVacates!$F65-1,RentalsVacates!$A$8:$C$162,2,FALSE)*VLOOKUP(BP$11,'Attrition Modeling'!$L$15:$N$27,IF(BP$12-$F65&lt;=24,2,3),FALSE))*(1+IF('Traditional Attrition'!BP187&gt;0,'Attrition Modeling'!$N$9,0))),0))</f>
        <v>3129.9161863886284</v>
      </c>
      <c r="BQ65" s="799">
        <f>IF(BQ$12=$F65+1,IF(Monthly!BM$4=TRUE,0,BQ$3),IF(BQ$12&gt;$F65+1,RentalsVacates!BP65*(1-IF(BQ$12-$F65&lt;=12,SUMIFS('Attrition Modeling'!$D:$D,'Attrition Modeling'!$B:$B,$E65,'Attrition Modeling'!$C:$C,BQ$11),VLOOKUP(RentalsVacates!BQ$12-RentalsVacates!$F65-1,RentalsVacates!$A$8:$C$162,2,FALSE)*VLOOKUP(BQ$11,'Attrition Modeling'!$L$15:$N$27,IF(BQ$12-$F65&lt;=24,2,3),FALSE))*(1+IF('Traditional Attrition'!BQ187&gt;0,'Attrition Modeling'!$N$9,0))),0))</f>
        <v>2966.7645164013561</v>
      </c>
      <c r="BR65" s="799">
        <f>IF(BR$12=$F65+1,IF(Monthly!BN$4=TRUE,0,BR$3),IF(BR$12&gt;$F65+1,RentalsVacates!BQ65*(1-IF(BR$12-$F65&lt;=12,SUMIFS('Attrition Modeling'!$D:$D,'Attrition Modeling'!$B:$B,$E65,'Attrition Modeling'!$C:$C,BR$11),VLOOKUP(RentalsVacates!BR$12-RentalsVacates!$F65-1,RentalsVacates!$A$8:$C$162,2,FALSE)*VLOOKUP(BR$11,'Attrition Modeling'!$L$15:$N$27,IF(BR$12-$F65&lt;=24,2,3),FALSE))*(1+IF('Traditional Attrition'!BR187&gt;0,'Attrition Modeling'!$N$9,0))),0))</f>
        <v>2810.8153825585573</v>
      </c>
      <c r="BS65" s="799">
        <f>IF(BS$12=$F65+1,IF(Monthly!BO$4=TRUE,0,BS$3),IF(BS$12&gt;$F65+1,RentalsVacates!BR65*(1-IF(BS$12-$F65&lt;=12,SUMIFS('Attrition Modeling'!$D:$D,'Attrition Modeling'!$B:$B,$E65,'Attrition Modeling'!$C:$C,BS$11),VLOOKUP(RentalsVacates!BS$12-RentalsVacates!$F65-1,RentalsVacates!$A$8:$C$162,2,FALSE)*VLOOKUP(BS$11,'Attrition Modeling'!$L$15:$N$27,IF(BS$12-$F65&lt;=24,2,3),FALSE))*(1+IF('Traditional Attrition'!BS187&gt;0,'Attrition Modeling'!$N$9,0))),0))</f>
        <v>2747.0051793127891</v>
      </c>
      <c r="BT65" s="799">
        <f>IF(BT$11=$F64+1,IF(Monthly!#REF!=TRUE,0,BT$3),IF(BT$11&gt;$F64+1,RentalsVacates!BS64*(1-IF(BT$11-$F64&lt;=12,SUMIFS('Attrition Modeling'!$D:$D,'Attrition Modeling'!$B:$B,$E64,'Attrition Modeling'!$C:$C,BT$10),VLOOKUP(RentalsVacates!BT$11-RentalsVacates!$F64-1,RentalsVacates!$A$7:$C$161,2,FALSE)*VLOOKUP(BT$10,'Attrition Modeling'!$L$15:$N$27,IF(BT$11-$F64&lt;=24,2,3),FALSE))*(1+IF('Traditional Attrition'!BT187&gt;0,'Attrition Modeling'!$N$9,0))),0))</f>
        <v>0</v>
      </c>
      <c r="BU65" s="799">
        <f>IF(BU$11=$F64+1,IF(Monthly!#REF!=TRUE,0,BU$3),IF(BU$11&gt;$F64+1,RentalsVacates!BT64*(1-IF(BU$11-$F64&lt;=12,SUMIFS('Attrition Modeling'!$D:$D,'Attrition Modeling'!$B:$B,$E64,'Attrition Modeling'!$C:$C,BU$10),VLOOKUP(RentalsVacates!BU$11-RentalsVacates!$F64-1,RentalsVacates!$A$7:$C$161,2,FALSE)*VLOOKUP(BU$10,'Attrition Modeling'!$L$15:$N$27,IF(BU$11-$F64&lt;=24,2,3),FALSE))*(1+IF('Traditional Attrition'!BU187&gt;0,'Attrition Modeling'!$N$9,0))),0))</f>
        <v>0</v>
      </c>
    </row>
    <row r="66" spans="1:73" ht="14.25" customHeight="1" x14ac:dyDescent="0.2">
      <c r="A66" s="9">
        <v>58</v>
      </c>
      <c r="B66" s="25">
        <f>MAX('Attrition Modeling'!H62,$C$3)*(1-Summary!$C$20)</f>
        <v>2.271605257262637E-2</v>
      </c>
      <c r="C66" s="24" t="e">
        <f t="shared" si="2"/>
        <v>#DIV/0!</v>
      </c>
      <c r="E66" s="11">
        <f>'Traditional Attrition'!E123</f>
        <v>5</v>
      </c>
      <c r="F66" s="11">
        <f t="shared" si="4"/>
        <v>53</v>
      </c>
      <c r="G66" s="799"/>
      <c r="H66" s="799">
        <f>IF(H$12=$F66+1,IF(Monthly!D$4=TRUE,0,H$3),IF(H$12&gt;$F66+1,RentalsVacates!G66*(1-IF(H$12-$F66&lt;=12,SUMIFS('Attrition Modeling'!$D:$D,'Attrition Modeling'!$B:$B,$E66,'Attrition Modeling'!$C:$C,H$11),VLOOKUP(RentalsVacates!H$12-RentalsVacates!$F66-1,RentalsVacates!$A$8:$C$162,2,FALSE)*VLOOKUP(H$11,'Attrition Modeling'!$L$15:$N$27,IF(H$12-$F66&lt;=24,2,3),FALSE))*(1+IF('Traditional Attrition'!H188&gt;0,'Attrition Modeling'!$N$9,0))),0))</f>
        <v>0</v>
      </c>
      <c r="I66" s="799">
        <f>IF(I$12=$F66+1,IF(Monthly!E$4=TRUE,0,I$3),IF(I$12&gt;$F66+1,RentalsVacates!H66*(1-IF(I$12-$F66&lt;=12,SUMIFS('Attrition Modeling'!$D:$D,'Attrition Modeling'!$B:$B,$E66,'Attrition Modeling'!$C:$C,I$11),VLOOKUP(RentalsVacates!I$12-RentalsVacates!$F66-1,RentalsVacates!$A$8:$C$162,2,FALSE)*VLOOKUP(I$11,'Attrition Modeling'!$L$15:$N$27,IF(I$12-$F66&lt;=24,2,3),FALSE))*(1+IF('Traditional Attrition'!I188&gt;0,'Attrition Modeling'!$N$9,0))),0))</f>
        <v>0</v>
      </c>
      <c r="J66" s="799">
        <f>IF(J$12=$F66+1,IF(Monthly!F$4=TRUE,0,J$3),IF(J$12&gt;$F66+1,RentalsVacates!I66*(1-IF(J$12-$F66&lt;=12,SUMIFS('Attrition Modeling'!$D:$D,'Attrition Modeling'!$B:$B,$E66,'Attrition Modeling'!$C:$C,J$11),VLOOKUP(RentalsVacates!J$12-RentalsVacates!$F66-1,RentalsVacates!$A$8:$C$162,2,FALSE)*VLOOKUP(J$11,'Attrition Modeling'!$L$15:$N$27,IF(J$12-$F66&lt;=24,2,3),FALSE))*(1+IF('Traditional Attrition'!J188&gt;0,'Attrition Modeling'!$N$9,0))),0))</f>
        <v>0</v>
      </c>
      <c r="K66" s="799">
        <f>IF(K$12=$F66+1,IF(Monthly!G$4=TRUE,0,K$3),IF(K$12&gt;$F66+1,RentalsVacates!J66*(1-IF(K$12-$F66&lt;=12,SUMIFS('Attrition Modeling'!$D:$D,'Attrition Modeling'!$B:$B,$E66,'Attrition Modeling'!$C:$C,K$11),VLOOKUP(RentalsVacates!K$12-RentalsVacates!$F66-1,RentalsVacates!$A$8:$C$162,2,FALSE)*VLOOKUP(K$11,'Attrition Modeling'!$L$15:$N$27,IF(K$12-$F66&lt;=24,2,3),FALSE))*(1+IF('Traditional Attrition'!K188&gt;0,'Attrition Modeling'!$N$9,0))),0))</f>
        <v>0</v>
      </c>
      <c r="L66" s="799">
        <f>IF(L$12=$F66+1,IF(Monthly!H$4=TRUE,0,L$3),IF(L$12&gt;$F66+1,RentalsVacates!K66*(1-IF(L$12-$F66&lt;=12,SUMIFS('Attrition Modeling'!$D:$D,'Attrition Modeling'!$B:$B,$E66,'Attrition Modeling'!$C:$C,L$11),VLOOKUP(RentalsVacates!L$12-RentalsVacates!$F66-1,RentalsVacates!$A$8:$C$162,2,FALSE)*VLOOKUP(L$11,'Attrition Modeling'!$L$15:$N$27,IF(L$12-$F66&lt;=24,2,3),FALSE))*(1+IF('Traditional Attrition'!L188&gt;0,'Attrition Modeling'!$N$9,0))),0))</f>
        <v>0</v>
      </c>
      <c r="M66" s="799">
        <f>IF(M$12=$F66+1,IF(Monthly!I$4=TRUE,0,M$3),IF(M$12&gt;$F66+1,RentalsVacates!L66*(1-IF(M$12-$F66&lt;=12,SUMIFS('Attrition Modeling'!$D:$D,'Attrition Modeling'!$B:$B,$E66,'Attrition Modeling'!$C:$C,M$11),VLOOKUP(RentalsVacates!M$12-RentalsVacates!$F66-1,RentalsVacates!$A$8:$C$162,2,FALSE)*VLOOKUP(M$11,'Attrition Modeling'!$L$15:$N$27,IF(M$12-$F66&lt;=24,2,3),FALSE))*(1+IF('Traditional Attrition'!M188&gt;0,'Attrition Modeling'!$N$9,0))),0))</f>
        <v>0</v>
      </c>
      <c r="N66" s="799">
        <f>IF(N$12=$F66+1,IF(Monthly!J$4=TRUE,0,N$3),IF(N$12&gt;$F66+1,RentalsVacates!M66*(1-IF(N$12-$F66&lt;=12,SUMIFS('Attrition Modeling'!$D:$D,'Attrition Modeling'!$B:$B,$E66,'Attrition Modeling'!$C:$C,N$11),VLOOKUP(RentalsVacates!N$12-RentalsVacates!$F66-1,RentalsVacates!$A$8:$C$162,2,FALSE)*VLOOKUP(N$11,'Attrition Modeling'!$L$15:$N$27,IF(N$12-$F66&lt;=24,2,3),FALSE))*(1+IF('Traditional Attrition'!N188&gt;0,'Attrition Modeling'!$N$9,0))),0))</f>
        <v>0</v>
      </c>
      <c r="O66" s="799">
        <f>IF(O$12=$F66+1,IF(Monthly!K$4=TRUE,0,O$3),IF(O$12&gt;$F66+1,RentalsVacates!N66*(1-IF(O$12-$F66&lt;=12,SUMIFS('Attrition Modeling'!$D:$D,'Attrition Modeling'!$B:$B,$E66,'Attrition Modeling'!$C:$C,O$11),VLOOKUP(RentalsVacates!O$12-RentalsVacates!$F66-1,RentalsVacates!$A$8:$C$162,2,FALSE)*VLOOKUP(O$11,'Attrition Modeling'!$L$15:$N$27,IF(O$12-$F66&lt;=24,2,3),FALSE))*(1+IF('Traditional Attrition'!O188&gt;0,'Attrition Modeling'!$N$9,0))),0))</f>
        <v>0</v>
      </c>
      <c r="P66" s="799">
        <f>IF(P$12=$F66+1,IF(Monthly!L$4=TRUE,0,P$3),IF(P$12&gt;$F66+1,RentalsVacates!O66*(1-IF(P$12-$F66&lt;=12,SUMIFS('Attrition Modeling'!$D:$D,'Attrition Modeling'!$B:$B,$E66,'Attrition Modeling'!$C:$C,P$11),VLOOKUP(RentalsVacates!P$12-RentalsVacates!$F66-1,RentalsVacates!$A$8:$C$162,2,FALSE)*VLOOKUP(P$11,'Attrition Modeling'!$L$15:$N$27,IF(P$12-$F66&lt;=24,2,3),FALSE))*(1+IF('Traditional Attrition'!P188&gt;0,'Attrition Modeling'!$N$9,0))),0))</f>
        <v>0</v>
      </c>
      <c r="Q66" s="799">
        <f>IF(Q$12=$F66+1,IF(Monthly!M$4=TRUE,0,Q$3),IF(Q$12&gt;$F66+1,RentalsVacates!P66*(1-IF(Q$12-$F66&lt;=12,SUMIFS('Attrition Modeling'!$D:$D,'Attrition Modeling'!$B:$B,$E66,'Attrition Modeling'!$C:$C,Q$11),VLOOKUP(RentalsVacates!Q$12-RentalsVacates!$F66-1,RentalsVacates!$A$8:$C$162,2,FALSE)*VLOOKUP(Q$11,'Attrition Modeling'!$L$15:$N$27,IF(Q$12-$F66&lt;=24,2,3),FALSE))*(1+IF('Traditional Attrition'!Q188&gt;0,'Attrition Modeling'!$N$9,0))),0))</f>
        <v>0</v>
      </c>
      <c r="R66" s="799">
        <f>IF(R$12=$F66+1,IF(Monthly!N$4=TRUE,0,R$3),IF(R$12&gt;$F66+1,RentalsVacates!Q66*(1-IF(R$12-$F66&lt;=12,SUMIFS('Attrition Modeling'!$D:$D,'Attrition Modeling'!$B:$B,$E66,'Attrition Modeling'!$C:$C,R$11),VLOOKUP(RentalsVacates!R$12-RentalsVacates!$F66-1,RentalsVacates!$A$8:$C$162,2,FALSE)*VLOOKUP(R$11,'Attrition Modeling'!$L$15:$N$27,IF(R$12-$F66&lt;=24,2,3),FALSE))*(1+IF('Traditional Attrition'!R188&gt;0,'Attrition Modeling'!$N$9,0))),0))</f>
        <v>0</v>
      </c>
      <c r="S66" s="799">
        <f>IF(S$12=$F66+1,IF(Monthly!O$4=TRUE,0,S$3),IF(S$12&gt;$F66+1,RentalsVacates!R66*(1-IF(S$12-$F66&lt;=12,SUMIFS('Attrition Modeling'!$D:$D,'Attrition Modeling'!$B:$B,$E66,'Attrition Modeling'!$C:$C,S$11),VLOOKUP(RentalsVacates!S$12-RentalsVacates!$F66-1,RentalsVacates!$A$8:$C$162,2,FALSE)*VLOOKUP(S$11,'Attrition Modeling'!$L$15:$N$27,IF(S$12-$F66&lt;=24,2,3),FALSE))*(1+IF('Traditional Attrition'!S188&gt;0,'Attrition Modeling'!$N$9,0))),0))</f>
        <v>0</v>
      </c>
      <c r="T66" s="799">
        <f>IF(T$12=$F66+1,IF(Monthly!P$4=TRUE,0,T$3),IF(T$12&gt;$F66+1,RentalsVacates!S66*(1-IF(T$12-$F66&lt;=12,SUMIFS('Attrition Modeling'!$D:$D,'Attrition Modeling'!$B:$B,$E66,'Attrition Modeling'!$C:$C,T$11),VLOOKUP(RentalsVacates!T$12-RentalsVacates!$F66-1,RentalsVacates!$A$8:$C$162,2,FALSE)*VLOOKUP(T$11,'Attrition Modeling'!$L$15:$N$27,IF(T$12-$F66&lt;=24,2,3),FALSE))*(1+IF('Traditional Attrition'!T188&gt;0,'Attrition Modeling'!$N$9,0))),0))</f>
        <v>0</v>
      </c>
      <c r="U66" s="799">
        <f>IF(U$12=$F66+1,IF(Monthly!Q$4=TRUE,0,U$3),IF(U$12&gt;$F66+1,RentalsVacates!T66*(1-IF(U$12-$F66&lt;=12,SUMIFS('Attrition Modeling'!$D:$D,'Attrition Modeling'!$B:$B,$E66,'Attrition Modeling'!$C:$C,U$11),VLOOKUP(RentalsVacates!U$12-RentalsVacates!$F66-1,RentalsVacates!$A$8:$C$162,2,FALSE)*VLOOKUP(U$11,'Attrition Modeling'!$L$15:$N$27,IF(U$12-$F66&lt;=24,2,3),FALSE))*(1+IF('Traditional Attrition'!U188&gt;0,'Attrition Modeling'!$N$9,0))),0))</f>
        <v>0</v>
      </c>
      <c r="V66" s="799">
        <f>IF(V$12=$F66+1,IF(Monthly!R$4=TRUE,0,V$3),IF(V$12&gt;$F66+1,RentalsVacates!U66*(1-IF(V$12-$F66&lt;=12,SUMIFS('Attrition Modeling'!$D:$D,'Attrition Modeling'!$B:$B,$E66,'Attrition Modeling'!$C:$C,V$11),VLOOKUP(RentalsVacates!V$12-RentalsVacates!$F66-1,RentalsVacates!$A$8:$C$162,2,FALSE)*VLOOKUP(V$11,'Attrition Modeling'!$L$15:$N$27,IF(V$12-$F66&lt;=24,2,3),FALSE))*(1+IF('Traditional Attrition'!V188&gt;0,'Attrition Modeling'!$N$9,0))),0))</f>
        <v>0</v>
      </c>
      <c r="W66" s="799">
        <f>IF(W$12=$F66+1,IF(Monthly!S$4=TRUE,0,W$3),IF(W$12&gt;$F66+1,RentalsVacates!V66*(1-IF(W$12-$F66&lt;=12,SUMIFS('Attrition Modeling'!$D:$D,'Attrition Modeling'!$B:$B,$E66,'Attrition Modeling'!$C:$C,W$11),VLOOKUP(RentalsVacates!W$12-RentalsVacates!$F66-1,RentalsVacates!$A$8:$C$162,2,FALSE)*VLOOKUP(W$11,'Attrition Modeling'!$L$15:$N$27,IF(W$12-$F66&lt;=24,2,3),FALSE))*(1+IF('Traditional Attrition'!W188&gt;0,'Attrition Modeling'!$N$9,0))),0))</f>
        <v>0</v>
      </c>
      <c r="X66" s="799">
        <f>IF(X$12=$F66+1,IF(Monthly!T$4=TRUE,0,X$3),IF(X$12&gt;$F66+1,RentalsVacates!W66*(1-IF(X$12-$F66&lt;=12,SUMIFS('Attrition Modeling'!$D:$D,'Attrition Modeling'!$B:$B,$E66,'Attrition Modeling'!$C:$C,X$11),VLOOKUP(RentalsVacates!X$12-RentalsVacates!$F66-1,RentalsVacates!$A$8:$C$162,2,FALSE)*VLOOKUP(X$11,'Attrition Modeling'!$L$15:$N$27,IF(X$12-$F66&lt;=24,2,3),FALSE))*(1+IF('Traditional Attrition'!X188&gt;0,'Attrition Modeling'!$N$9,0))),0))</f>
        <v>0</v>
      </c>
      <c r="Y66" s="799">
        <f>IF(Y$12=$F66+1,IF(Monthly!U$4=TRUE,0,Y$3),IF(Y$12&gt;$F66+1,RentalsVacates!X66*(1-IF(Y$12-$F66&lt;=12,SUMIFS('Attrition Modeling'!$D:$D,'Attrition Modeling'!$B:$B,$E66,'Attrition Modeling'!$C:$C,Y$11),VLOOKUP(RentalsVacates!Y$12-RentalsVacates!$F66-1,RentalsVacates!$A$8:$C$162,2,FALSE)*VLOOKUP(Y$11,'Attrition Modeling'!$L$15:$N$27,IF(Y$12-$F66&lt;=24,2,3),FALSE))*(1+IF('Traditional Attrition'!Y188&gt;0,'Attrition Modeling'!$N$9,0))),0))</f>
        <v>0</v>
      </c>
      <c r="Z66" s="799">
        <f>IF(Z$12=$F66+1,IF(Monthly!V$4=TRUE,0,Z$3),IF(Z$12&gt;$F66+1,RentalsVacates!Y66*(1-IF(Z$12-$F66&lt;=12,SUMIFS('Attrition Modeling'!$D:$D,'Attrition Modeling'!$B:$B,$E66,'Attrition Modeling'!$C:$C,Z$11),VLOOKUP(RentalsVacates!Z$12-RentalsVacates!$F66-1,RentalsVacates!$A$8:$C$162,2,FALSE)*VLOOKUP(Z$11,'Attrition Modeling'!$L$15:$N$27,IF(Z$12-$F66&lt;=24,2,3),FALSE))*(1+IF('Traditional Attrition'!Z188&gt;0,'Attrition Modeling'!$N$9,0))),0))</f>
        <v>0</v>
      </c>
      <c r="AA66" s="799">
        <f>IF(AA$12=$F66+1,IF(Monthly!W$4=TRUE,0,AA$3),IF(AA$12&gt;$F66+1,RentalsVacates!Z66*(1-IF(AA$12-$F66&lt;=12,SUMIFS('Attrition Modeling'!$D:$D,'Attrition Modeling'!$B:$B,$E66,'Attrition Modeling'!$C:$C,AA$11),VLOOKUP(RentalsVacates!AA$12-RentalsVacates!$F66-1,RentalsVacates!$A$8:$C$162,2,FALSE)*VLOOKUP(AA$11,'Attrition Modeling'!$L$15:$N$27,IF(AA$12-$F66&lt;=24,2,3),FALSE))*(1+IF('Traditional Attrition'!AA188&gt;0,'Attrition Modeling'!$N$9,0))),0))</f>
        <v>0</v>
      </c>
      <c r="AB66" s="799">
        <f>IF(AB$12=$F66+1,IF(Monthly!X$4=TRUE,0,AB$3),IF(AB$12&gt;$F66+1,RentalsVacates!AA66*(1-IF(AB$12-$F66&lt;=12,SUMIFS('Attrition Modeling'!$D:$D,'Attrition Modeling'!$B:$B,$E66,'Attrition Modeling'!$C:$C,AB$11),VLOOKUP(RentalsVacates!AB$12-RentalsVacates!$F66-1,RentalsVacates!$A$8:$C$162,2,FALSE)*VLOOKUP(AB$11,'Attrition Modeling'!$L$15:$N$27,IF(AB$12-$F66&lt;=24,2,3),FALSE))*(1+IF('Traditional Attrition'!AB188&gt;0,'Attrition Modeling'!$N$9,0))),0))</f>
        <v>0</v>
      </c>
      <c r="AC66" s="799">
        <f>IF(AC$12=$F66+1,IF(Monthly!Y$4=TRUE,0,AC$3),IF(AC$12&gt;$F66+1,RentalsVacates!AB66*(1-IF(AC$12-$F66&lt;=12,SUMIFS('Attrition Modeling'!$D:$D,'Attrition Modeling'!$B:$B,$E66,'Attrition Modeling'!$C:$C,AC$11),VLOOKUP(RentalsVacates!AC$12-RentalsVacates!$F66-1,RentalsVacates!$A$8:$C$162,2,FALSE)*VLOOKUP(AC$11,'Attrition Modeling'!$L$15:$N$27,IF(AC$12-$F66&lt;=24,2,3),FALSE))*(1+IF('Traditional Attrition'!AC188&gt;0,'Attrition Modeling'!$N$9,0))),0))</f>
        <v>0</v>
      </c>
      <c r="AD66" s="799">
        <f>IF(AD$12=$F66+1,IF(Monthly!Z$4=TRUE,0,AD$3),IF(AD$12&gt;$F66+1,RentalsVacates!AC66*(1-IF(AD$12-$F66&lt;=12,SUMIFS('Attrition Modeling'!$D:$D,'Attrition Modeling'!$B:$B,$E66,'Attrition Modeling'!$C:$C,AD$11),VLOOKUP(RentalsVacates!AD$12-RentalsVacates!$F66-1,RentalsVacates!$A$8:$C$162,2,FALSE)*VLOOKUP(AD$11,'Attrition Modeling'!$L$15:$N$27,IF(AD$12-$F66&lt;=24,2,3),FALSE))*(1+IF('Traditional Attrition'!AD188&gt;0,'Attrition Modeling'!$N$9,0))),0))</f>
        <v>0</v>
      </c>
      <c r="AE66" s="799">
        <f>IF(AE$12=$F66+1,IF(Monthly!AA$4=TRUE,0,AE$3),IF(AE$12&gt;$F66+1,RentalsVacates!AD66*(1-IF(AE$12-$F66&lt;=12,SUMIFS('Attrition Modeling'!$D:$D,'Attrition Modeling'!$B:$B,$E66,'Attrition Modeling'!$C:$C,AE$11),VLOOKUP(RentalsVacates!AE$12-RentalsVacates!$F66-1,RentalsVacates!$A$8:$C$162,2,FALSE)*VLOOKUP(AE$11,'Attrition Modeling'!$L$15:$N$27,IF(AE$12-$F66&lt;=24,2,3),FALSE))*(1+IF('Traditional Attrition'!AE188&gt;0,'Attrition Modeling'!$N$9,0))),0))</f>
        <v>0</v>
      </c>
      <c r="AF66" s="799">
        <f>IF(AF$12=$F66+1,IF(Monthly!AB$4=TRUE,0,AF$3),IF(AF$12&gt;$F66+1,RentalsVacates!AE66*(1-IF(AF$12-$F66&lt;=12,SUMIFS('Attrition Modeling'!$D:$D,'Attrition Modeling'!$B:$B,$E66,'Attrition Modeling'!$C:$C,AF$11),VLOOKUP(RentalsVacates!AF$12-RentalsVacates!$F66-1,RentalsVacates!$A$8:$C$162,2,FALSE)*VLOOKUP(AF$11,'Attrition Modeling'!$L$15:$N$27,IF(AF$12-$F66&lt;=24,2,3),FALSE))*(1+IF('Traditional Attrition'!AF188&gt;0,'Attrition Modeling'!$N$9,0))),0))</f>
        <v>0</v>
      </c>
      <c r="AG66" s="799">
        <f>IF(AG$12=$F66+1,IF(Monthly!AC$4=TRUE,0,AG$3),IF(AG$12&gt;$F66+1,RentalsVacates!AF66*(1-IF(AG$12-$F66&lt;=12,SUMIFS('Attrition Modeling'!$D:$D,'Attrition Modeling'!$B:$B,$E66,'Attrition Modeling'!$C:$C,AG$11),VLOOKUP(RentalsVacates!AG$12-RentalsVacates!$F66-1,RentalsVacates!$A$8:$C$162,2,FALSE)*VLOOKUP(AG$11,'Attrition Modeling'!$L$15:$N$27,IF(AG$12-$F66&lt;=24,2,3),FALSE))*(1+IF('Traditional Attrition'!AG188&gt;0,'Attrition Modeling'!$N$9,0))),0))</f>
        <v>0</v>
      </c>
      <c r="AH66" s="799">
        <f>IF(AH$12=$F66+1,IF(Monthly!AD$4=TRUE,0,AH$3),IF(AH$12&gt;$F66+1,RentalsVacates!AG66*(1-IF(AH$12-$F66&lt;=12,SUMIFS('Attrition Modeling'!$D:$D,'Attrition Modeling'!$B:$B,$E66,'Attrition Modeling'!$C:$C,AH$11),VLOOKUP(RentalsVacates!AH$12-RentalsVacates!$F66-1,RentalsVacates!$A$8:$C$162,2,FALSE)*VLOOKUP(AH$11,'Attrition Modeling'!$L$15:$N$27,IF(AH$12-$F66&lt;=24,2,3),FALSE))*(1+IF('Traditional Attrition'!AH188&gt;0,'Attrition Modeling'!$N$9,0))),0))</f>
        <v>0</v>
      </c>
      <c r="AI66" s="799">
        <f>IF(AI$12=$F66+1,IF(Monthly!AE$4=TRUE,0,AI$3),IF(AI$12&gt;$F66+1,RentalsVacates!AH66*(1-IF(AI$12-$F66&lt;=12,SUMIFS('Attrition Modeling'!$D:$D,'Attrition Modeling'!$B:$B,$E66,'Attrition Modeling'!$C:$C,AI$11),VLOOKUP(RentalsVacates!AI$12-RentalsVacates!$F66-1,RentalsVacates!$A$8:$C$162,2,FALSE)*VLOOKUP(AI$11,'Attrition Modeling'!$L$15:$N$27,IF(AI$12-$F66&lt;=24,2,3),FALSE))*(1+IF('Traditional Attrition'!AI188&gt;0,'Attrition Modeling'!$N$9,0))),0))</f>
        <v>0</v>
      </c>
      <c r="AJ66" s="799">
        <f>IF(AJ$12=$F66+1,IF(Monthly!AF$4=TRUE,0,AJ$3),IF(AJ$12&gt;$F66+1,RentalsVacates!AI66*(1-IF(AJ$12-$F66&lt;=12,SUMIFS('Attrition Modeling'!$D:$D,'Attrition Modeling'!$B:$B,$E66,'Attrition Modeling'!$C:$C,AJ$11),VLOOKUP(RentalsVacates!AJ$12-RentalsVacates!$F66-1,RentalsVacates!$A$8:$C$162,2,FALSE)*VLOOKUP(AJ$11,'Attrition Modeling'!$L$15:$N$27,IF(AJ$12-$F66&lt;=24,2,3),FALSE))*(1+IF('Traditional Attrition'!AJ188&gt;0,'Attrition Modeling'!$N$9,0))),0))</f>
        <v>0</v>
      </c>
      <c r="AK66" s="799">
        <f>IF(AK$12=$F66+1,IF(Monthly!AG$4=TRUE,0,AK$3),IF(AK$12&gt;$F66+1,RentalsVacates!AJ66*(1-IF(AK$12-$F66&lt;=12,SUMIFS('Attrition Modeling'!$D:$D,'Attrition Modeling'!$B:$B,$E66,'Attrition Modeling'!$C:$C,AK$11),VLOOKUP(RentalsVacates!AK$12-RentalsVacates!$F66-1,RentalsVacates!$A$8:$C$162,2,FALSE)*VLOOKUP(AK$11,'Attrition Modeling'!$L$15:$N$27,IF(AK$12-$F66&lt;=24,2,3),FALSE))*(1+IF('Traditional Attrition'!AK188&gt;0,'Attrition Modeling'!$N$9,0))),0))</f>
        <v>0</v>
      </c>
      <c r="AL66" s="799">
        <f>IF(AL$12=$F66+1,IF(Monthly!AH$4=TRUE,0,AL$3),IF(AL$12&gt;$F66+1,RentalsVacates!AK66*(1-IF(AL$12-$F66&lt;=12,SUMIFS('Attrition Modeling'!$D:$D,'Attrition Modeling'!$B:$B,$E66,'Attrition Modeling'!$C:$C,AL$11),VLOOKUP(RentalsVacates!AL$12-RentalsVacates!$F66-1,RentalsVacates!$A$8:$C$162,2,FALSE)*VLOOKUP(AL$11,'Attrition Modeling'!$L$15:$N$27,IF(AL$12-$F66&lt;=24,2,3),FALSE))*(1+IF('Traditional Attrition'!AL188&gt;0,'Attrition Modeling'!$N$9,0))),0))</f>
        <v>0</v>
      </c>
      <c r="AM66" s="799">
        <f>IF(AM$12=$F66+1,IF(Monthly!AI$4=TRUE,0,AM$3),IF(AM$12&gt;$F66+1,RentalsVacates!AL66*(1-IF(AM$12-$F66&lt;=12,SUMIFS('Attrition Modeling'!$D:$D,'Attrition Modeling'!$B:$B,$E66,'Attrition Modeling'!$C:$C,AM$11),VLOOKUP(RentalsVacates!AM$12-RentalsVacates!$F66-1,RentalsVacates!$A$8:$C$162,2,FALSE)*VLOOKUP(AM$11,'Attrition Modeling'!$L$15:$N$27,IF(AM$12-$F66&lt;=24,2,3),FALSE))*(1+IF('Traditional Attrition'!AM188&gt;0,'Attrition Modeling'!$N$9,0))),0))</f>
        <v>0</v>
      </c>
      <c r="AN66" s="799">
        <f>IF(AN$12=$F66+1,IF(Monthly!AJ$4=TRUE,0,AN$3),IF(AN$12&gt;$F66+1,RentalsVacates!AM66*(1-IF(AN$12-$F66&lt;=12,SUMIFS('Attrition Modeling'!$D:$D,'Attrition Modeling'!$B:$B,$E66,'Attrition Modeling'!$C:$C,AN$11),VLOOKUP(RentalsVacates!AN$12-RentalsVacates!$F66-1,RentalsVacates!$A$8:$C$162,2,FALSE)*VLOOKUP(AN$11,'Attrition Modeling'!$L$15:$N$27,IF(AN$12-$F66&lt;=24,2,3),FALSE))*(1+IF('Traditional Attrition'!AN188&gt;0,'Attrition Modeling'!$N$9,0))),0))</f>
        <v>0</v>
      </c>
      <c r="AO66" s="799">
        <f>IF(AO$12=$F66+1,IF(Monthly!AK$4=TRUE,0,AO$3),IF(AO$12&gt;$F66+1,RentalsVacates!AN66*(1-IF(AO$12-$F66&lt;=12,SUMIFS('Attrition Modeling'!$D:$D,'Attrition Modeling'!$B:$B,$E66,'Attrition Modeling'!$C:$C,AO$11),VLOOKUP(RentalsVacates!AO$12-RentalsVacates!$F66-1,RentalsVacates!$A$8:$C$162,2,FALSE)*VLOOKUP(AO$11,'Attrition Modeling'!$L$15:$N$27,IF(AO$12-$F66&lt;=24,2,3),FALSE))*(1+IF('Traditional Attrition'!AO188&gt;0,'Attrition Modeling'!$N$9,0))),0))</f>
        <v>0</v>
      </c>
      <c r="AP66" s="799">
        <f>IF(AP$12=$F66+1,IF(Monthly!AL$4=TRUE,0,AP$3),IF(AP$12&gt;$F66+1,RentalsVacates!AO66*(1-IF(AP$12-$F66&lt;=12,SUMIFS('Attrition Modeling'!$D:$D,'Attrition Modeling'!$B:$B,$E66,'Attrition Modeling'!$C:$C,AP$11),VLOOKUP(RentalsVacates!AP$12-RentalsVacates!$F66-1,RentalsVacates!$A$8:$C$162,2,FALSE)*VLOOKUP(AP$11,'Attrition Modeling'!$L$15:$N$27,IF(AP$12-$F66&lt;=24,2,3),FALSE))*(1+IF('Traditional Attrition'!AP188&gt;0,'Attrition Modeling'!$N$9,0))),0))</f>
        <v>0</v>
      </c>
      <c r="AQ66" s="799">
        <f>IF(AQ$12=$F66+1,IF(Monthly!AM$4=TRUE,0,AQ$3),IF(AQ$12&gt;$F66+1,RentalsVacates!AP66*(1-IF(AQ$12-$F66&lt;=12,SUMIFS('Attrition Modeling'!$D:$D,'Attrition Modeling'!$B:$B,$E66,'Attrition Modeling'!$C:$C,AQ$11),VLOOKUP(RentalsVacates!AQ$12-RentalsVacates!$F66-1,RentalsVacates!$A$8:$C$162,2,FALSE)*VLOOKUP(AQ$11,'Attrition Modeling'!$L$15:$N$27,IF(AQ$12-$F66&lt;=24,2,3),FALSE))*(1+IF('Traditional Attrition'!AQ188&gt;0,'Attrition Modeling'!$N$9,0))),0))</f>
        <v>0</v>
      </c>
      <c r="AR66" s="799">
        <f>IF(AR$12=$F66+1,IF(Monthly!AN$4=TRUE,0,AR$3),IF(AR$12&gt;$F66+1,RentalsVacates!AQ66*(1-IF(AR$12-$F66&lt;=12,SUMIFS('Attrition Modeling'!$D:$D,'Attrition Modeling'!$B:$B,$E66,'Attrition Modeling'!$C:$C,AR$11),VLOOKUP(RentalsVacates!AR$12-RentalsVacates!$F66-1,RentalsVacates!$A$8:$C$162,2,FALSE)*VLOOKUP(AR$11,'Attrition Modeling'!$L$15:$N$27,IF(AR$12-$F66&lt;=24,2,3),FALSE))*(1+IF('Traditional Attrition'!AR188&gt;0,'Attrition Modeling'!$N$9,0))),0))</f>
        <v>0</v>
      </c>
      <c r="AS66" s="799">
        <f>IF(AS$12=$F66+1,IF(Monthly!AO$4=TRUE,0,AS$3),IF(AS$12&gt;$F66+1,RentalsVacates!AR66*(1-IF(AS$12-$F66&lt;=12,SUMIFS('Attrition Modeling'!$D:$D,'Attrition Modeling'!$B:$B,$E66,'Attrition Modeling'!$C:$C,AS$11),VLOOKUP(RentalsVacates!AS$12-RentalsVacates!$F66-1,RentalsVacates!$A$8:$C$162,2,FALSE)*VLOOKUP(AS$11,'Attrition Modeling'!$L$15:$N$27,IF(AS$12-$F66&lt;=24,2,3),FALSE))*(1+IF('Traditional Attrition'!AS188&gt;0,'Attrition Modeling'!$N$9,0))),0))</f>
        <v>0</v>
      </c>
      <c r="AT66" s="799">
        <f>IF(AT$12=$F66+1,IF(Monthly!AP$4=TRUE,0,AT$3),IF(AT$12&gt;$F66+1,RentalsVacates!AS66*(1-IF(AT$12-$F66&lt;=12,SUMIFS('Attrition Modeling'!$D:$D,'Attrition Modeling'!$B:$B,$E66,'Attrition Modeling'!$C:$C,AT$11),VLOOKUP(RentalsVacates!AT$12-RentalsVacates!$F66-1,RentalsVacates!$A$8:$C$162,2,FALSE)*VLOOKUP(AT$11,'Attrition Modeling'!$L$15:$N$27,IF(AT$12-$F66&lt;=24,2,3),FALSE))*(1+IF('Traditional Attrition'!AT188&gt;0,'Attrition Modeling'!$N$9,0))),0))</f>
        <v>0</v>
      </c>
      <c r="AU66" s="799">
        <f>IF(AU$12=$F66+1,IF(Monthly!AQ$4=TRUE,0,AU$3),IF(AU$12&gt;$F66+1,RentalsVacates!AT66*(1-IF(AU$12-$F66&lt;=12,SUMIFS('Attrition Modeling'!$D:$D,'Attrition Modeling'!$B:$B,$E66,'Attrition Modeling'!$C:$C,AU$11),VLOOKUP(RentalsVacates!AU$12-RentalsVacates!$F66-1,RentalsVacates!$A$8:$C$162,2,FALSE)*VLOOKUP(AU$11,'Attrition Modeling'!$L$15:$N$27,IF(AU$12-$F66&lt;=24,2,3),FALSE))*(1+IF('Traditional Attrition'!AU188&gt;0,'Attrition Modeling'!$N$9,0))),0))</f>
        <v>0</v>
      </c>
      <c r="AV66" s="799">
        <f>IF(AV$12=$F66+1,IF(Monthly!AR$4=TRUE,0,AV$3),IF(AV$12&gt;$F66+1,RentalsVacates!AU66*(1-IF(AV$12-$F66&lt;=12,SUMIFS('Attrition Modeling'!$D:$D,'Attrition Modeling'!$B:$B,$E66,'Attrition Modeling'!$C:$C,AV$11),VLOOKUP(RentalsVacates!AV$12-RentalsVacates!$F66-1,RentalsVacates!$A$8:$C$162,2,FALSE)*VLOOKUP(AV$11,'Attrition Modeling'!$L$15:$N$27,IF(AV$12-$F66&lt;=24,2,3),FALSE))*(1+IF('Traditional Attrition'!AV188&gt;0,'Attrition Modeling'!$N$9,0))),0))</f>
        <v>0</v>
      </c>
      <c r="AW66" s="799">
        <f>IF(AW$12=$F66+1,IF(Monthly!AS$4=TRUE,0,AW$3),IF(AW$12&gt;$F66+1,RentalsVacates!AV66*(1-IF(AW$12-$F66&lt;=12,SUMIFS('Attrition Modeling'!$D:$D,'Attrition Modeling'!$B:$B,$E66,'Attrition Modeling'!$C:$C,AW$11),VLOOKUP(RentalsVacates!AW$12-RentalsVacates!$F66-1,RentalsVacates!$A$8:$C$162,2,FALSE)*VLOOKUP(AW$11,'Attrition Modeling'!$L$15:$N$27,IF(AW$12-$F66&lt;=24,2,3),FALSE))*(1+IF('Traditional Attrition'!AW188&gt;0,'Attrition Modeling'!$N$9,0))),0))</f>
        <v>0</v>
      </c>
      <c r="AX66" s="799">
        <f>IF(AX$12=$F66+1,IF(Monthly!AT$4=TRUE,0,AX$3),IF(AX$12&gt;$F66+1,RentalsVacates!AW66*(1-IF(AX$12-$F66&lt;=12,SUMIFS('Attrition Modeling'!$D:$D,'Attrition Modeling'!$B:$B,$E66,'Attrition Modeling'!$C:$C,AX$11),VLOOKUP(RentalsVacates!AX$12-RentalsVacates!$F66-1,RentalsVacates!$A$8:$C$162,2,FALSE)*VLOOKUP(AX$11,'Attrition Modeling'!$L$15:$N$27,IF(AX$12-$F66&lt;=24,2,3),FALSE))*(1+IF('Traditional Attrition'!AX188&gt;0,'Attrition Modeling'!$N$9,0))),0))</f>
        <v>0</v>
      </c>
      <c r="AY66" s="799">
        <f>IF(AY$12=$F66+1,IF(Monthly!AU$4=TRUE,0,AY$3),IF(AY$12&gt;$F66+1,RentalsVacates!AX66*(1-IF(AY$12-$F66&lt;=12,SUMIFS('Attrition Modeling'!$D:$D,'Attrition Modeling'!$B:$B,$E66,'Attrition Modeling'!$C:$C,AY$11),VLOOKUP(RentalsVacates!AY$12-RentalsVacates!$F66-1,RentalsVacates!$A$8:$C$162,2,FALSE)*VLOOKUP(AY$11,'Attrition Modeling'!$L$15:$N$27,IF(AY$12-$F66&lt;=24,2,3),FALSE))*(1+IF('Traditional Attrition'!AY188&gt;0,'Attrition Modeling'!$N$9,0))),0))</f>
        <v>0</v>
      </c>
      <c r="AZ66" s="799">
        <f>IF(AZ$12=$F66+1,IF(Monthly!AV$4=TRUE,0,AZ$3),IF(AZ$12&gt;$F66+1,RentalsVacates!AY66*(1-IF(AZ$12-$F66&lt;=12,SUMIFS('Attrition Modeling'!$D:$D,'Attrition Modeling'!$B:$B,$E66,'Attrition Modeling'!$C:$C,AZ$11),VLOOKUP(RentalsVacates!AZ$12-RentalsVacates!$F66-1,RentalsVacates!$A$8:$C$162,2,FALSE)*VLOOKUP(AZ$11,'Attrition Modeling'!$L$15:$N$27,IF(AZ$12-$F66&lt;=24,2,3),FALSE))*(1+IF('Traditional Attrition'!AZ188&gt;0,'Attrition Modeling'!$N$9,0))),0))</f>
        <v>0</v>
      </c>
      <c r="BA66" s="799">
        <f>IF(BA$12=$F66+1,IF(Monthly!AW$4=TRUE,0,BA$3),IF(BA$12&gt;$F66+1,RentalsVacates!AZ66*(1-IF(BA$12-$F66&lt;=12,SUMIFS('Attrition Modeling'!$D:$D,'Attrition Modeling'!$B:$B,$E66,'Attrition Modeling'!$C:$C,BA$11),VLOOKUP(RentalsVacates!BA$12-RentalsVacates!$F66-1,RentalsVacates!$A$8:$C$162,2,FALSE)*VLOOKUP(BA$11,'Attrition Modeling'!$L$15:$N$27,IF(BA$12-$F66&lt;=24,2,3),FALSE))*(1+IF('Traditional Attrition'!BA188&gt;0,'Attrition Modeling'!$N$9,0))),0))</f>
        <v>0</v>
      </c>
      <c r="BB66" s="799">
        <f>IF(BB$12=$F66+1,IF(Monthly!AX$4=TRUE,0,BB$3),IF(BB$12&gt;$F66+1,RentalsVacates!BA66*(1-IF(BB$12-$F66&lt;=12,SUMIFS('Attrition Modeling'!$D:$D,'Attrition Modeling'!$B:$B,$E66,'Attrition Modeling'!$C:$C,BB$11),VLOOKUP(RentalsVacates!BB$12-RentalsVacates!$F66-1,RentalsVacates!$A$8:$C$162,2,FALSE)*VLOOKUP(BB$11,'Attrition Modeling'!$L$15:$N$27,IF(BB$12-$F66&lt;=24,2,3),FALSE))*(1+IF('Traditional Attrition'!BB188&gt;0,'Attrition Modeling'!$N$9,0))),0))</f>
        <v>0</v>
      </c>
      <c r="BC66" s="799">
        <f>IF(BC$12=$F66+1,IF(Monthly!AY$4=TRUE,0,BC$3),IF(BC$12&gt;$F66+1,RentalsVacates!BB66*(1-IF(BC$12-$F66&lt;=12,SUMIFS('Attrition Modeling'!$D:$D,'Attrition Modeling'!$B:$B,$E66,'Attrition Modeling'!$C:$C,BC$11),VLOOKUP(RentalsVacates!BC$12-RentalsVacates!$F66-1,RentalsVacates!$A$8:$C$162,2,FALSE)*VLOOKUP(BC$11,'Attrition Modeling'!$L$15:$N$27,IF(BC$12-$F66&lt;=24,2,3),FALSE))*(1+IF('Traditional Attrition'!BC188&gt;0,'Attrition Modeling'!$N$9,0))),0))</f>
        <v>0</v>
      </c>
      <c r="BD66" s="799">
        <f>IF(BD$12=$F66+1,IF(Monthly!AZ$4=TRUE,0,BD$3),IF(BD$12&gt;$F66+1,RentalsVacates!BC66*(1-IF(BD$12-$F66&lt;=12,SUMIFS('Attrition Modeling'!$D:$D,'Attrition Modeling'!$B:$B,$E66,'Attrition Modeling'!$C:$C,BD$11),VLOOKUP(RentalsVacates!BD$12-RentalsVacates!$F66-1,RentalsVacates!$A$8:$C$162,2,FALSE)*VLOOKUP(BD$11,'Attrition Modeling'!$L$15:$N$27,IF(BD$12-$F66&lt;=24,2,3),FALSE))*(1+IF('Traditional Attrition'!BD188&gt;0,'Attrition Modeling'!$N$9,0))),0))</f>
        <v>0</v>
      </c>
      <c r="BE66" s="799">
        <f>IF(BE$12=$F66+1,IF(Monthly!BA$4=TRUE,0,BE$3),IF(BE$12&gt;$F66+1,RentalsVacates!BD66*(1-IF(BE$12-$F66&lt;=12,SUMIFS('Attrition Modeling'!$D:$D,'Attrition Modeling'!$B:$B,$E66,'Attrition Modeling'!$C:$C,BE$11),VLOOKUP(RentalsVacates!BE$12-RentalsVacates!$F66-1,RentalsVacates!$A$8:$C$162,2,FALSE)*VLOOKUP(BE$11,'Attrition Modeling'!$L$15:$N$27,IF(BE$12-$F66&lt;=24,2,3),FALSE))*(1+IF('Traditional Attrition'!BE188&gt;0,'Attrition Modeling'!$N$9,0))),0))</f>
        <v>0</v>
      </c>
      <c r="BF66" s="799">
        <f>IF(BF$12=$F66+1,IF(Monthly!BB$4=TRUE,0,BF$3),IF(BF$12&gt;$F66+1,RentalsVacates!BE66*(1-IF(BF$12-$F66&lt;=12,SUMIFS('Attrition Modeling'!$D:$D,'Attrition Modeling'!$B:$B,$E66,'Attrition Modeling'!$C:$C,BF$11),VLOOKUP(RentalsVacates!BF$12-RentalsVacates!$F66-1,RentalsVacates!$A$8:$C$162,2,FALSE)*VLOOKUP(BF$11,'Attrition Modeling'!$L$15:$N$27,IF(BF$12-$F66&lt;=24,2,3),FALSE))*(1+IF('Traditional Attrition'!BF188&gt;0,'Attrition Modeling'!$N$9,0))),0))</f>
        <v>0</v>
      </c>
      <c r="BG66" s="799">
        <f>IF(BG$12=$F66+1,IF(Monthly!BC$4=TRUE,0,BG$3),IF(BG$12&gt;$F66+1,RentalsVacates!BF66*(1-IF(BG$12-$F66&lt;=12,SUMIFS('Attrition Modeling'!$D:$D,'Attrition Modeling'!$B:$B,$E66,'Attrition Modeling'!$C:$C,BG$11),VLOOKUP(RentalsVacates!BG$12-RentalsVacates!$F66-1,RentalsVacates!$A$8:$C$162,2,FALSE)*VLOOKUP(BG$11,'Attrition Modeling'!$L$15:$N$27,IF(BG$12-$F66&lt;=24,2,3),FALSE))*(1+IF('Traditional Attrition'!BG188&gt;0,'Attrition Modeling'!$N$9,0))),0))</f>
        <v>0</v>
      </c>
      <c r="BH66" s="799">
        <f>IF(BH$12=$F66+1,IF(Monthly!BD$4=TRUE,0,BH$3),IF(BH$12&gt;$F66+1,RentalsVacates!BG66*(1-IF(BH$12-$F66&lt;=12,SUMIFS('Attrition Modeling'!$D:$D,'Attrition Modeling'!$B:$B,$E66,'Attrition Modeling'!$C:$C,BH$11),VLOOKUP(RentalsVacates!BH$12-RentalsVacates!$F66-1,RentalsVacates!$A$8:$C$162,2,FALSE)*VLOOKUP(BH$11,'Attrition Modeling'!$L$15:$N$27,IF(BH$12-$F66&lt;=24,2,3),FALSE))*(1+IF('Traditional Attrition'!BH188&gt;0,'Attrition Modeling'!$N$9,0))),0))</f>
        <v>0</v>
      </c>
      <c r="BI66" s="799">
        <f>IF(BI$12=$F66+1,IF(Monthly!BE$4=TRUE,0,BI$3),IF(BI$12&gt;$F66+1,RentalsVacates!BH66*(1-IF(BI$12-$F66&lt;=12,SUMIFS('Attrition Modeling'!$D:$D,'Attrition Modeling'!$B:$B,$E66,'Attrition Modeling'!$C:$C,BI$11),VLOOKUP(RentalsVacates!BI$12-RentalsVacates!$F66-1,RentalsVacates!$A$8:$C$162,2,FALSE)*VLOOKUP(BI$11,'Attrition Modeling'!$L$15:$N$27,IF(BI$12-$F66&lt;=24,2,3),FALSE))*(1+IF('Traditional Attrition'!BI188&gt;0,'Attrition Modeling'!$N$9,0))),0))</f>
        <v>6254.6048769361514</v>
      </c>
      <c r="BJ66" s="799">
        <f>IF(BJ$12=$F66+1,IF(Monthly!BF$4=TRUE,0,BJ$3),IF(BJ$12&gt;$F66+1,RentalsVacates!BI66*(1-IF(BJ$12-$F66&lt;=12,SUMIFS('Attrition Modeling'!$D:$D,'Attrition Modeling'!$B:$B,$E66,'Attrition Modeling'!$C:$C,BJ$11),VLOOKUP(RentalsVacates!BJ$12-RentalsVacates!$F66-1,RentalsVacates!$A$8:$C$162,2,FALSE)*VLOOKUP(BJ$11,'Attrition Modeling'!$L$15:$N$27,IF(BJ$12-$F66&lt;=24,2,3),FALSE))*(1+IF('Traditional Attrition'!BJ188&gt;0,'Attrition Modeling'!$N$9,0))),0))</f>
        <v>5565.2029381251305</v>
      </c>
      <c r="BK66" s="799">
        <f>IF(BK$12=$F66+1,IF(Monthly!BG$4=TRUE,0,BK$3),IF(BK$12&gt;$F66+1,RentalsVacates!BJ66*(1-IF(BK$12-$F66&lt;=12,SUMIFS('Attrition Modeling'!$D:$D,'Attrition Modeling'!$B:$B,$E66,'Attrition Modeling'!$C:$C,BK$11),VLOOKUP(RentalsVacates!BK$12-RentalsVacates!$F66-1,RentalsVacates!$A$8:$C$162,2,FALSE)*VLOOKUP(BK$11,'Attrition Modeling'!$L$15:$N$27,IF(BK$12-$F66&lt;=24,2,3),FALSE))*(1+IF('Traditional Attrition'!BK188&gt;0,'Attrition Modeling'!$N$9,0))),0))</f>
        <v>4822.8282400315784</v>
      </c>
      <c r="BL66" s="799">
        <f>IF(BL$12=$F66+1,IF(Monthly!BH$4=TRUE,0,BL$3),IF(BL$12&gt;$F66+1,RentalsVacates!BK66*(1-IF(BL$12-$F66&lt;=12,SUMIFS('Attrition Modeling'!$D:$D,'Attrition Modeling'!$B:$B,$E66,'Attrition Modeling'!$C:$C,BL$11),VLOOKUP(RentalsVacates!BL$12-RentalsVacates!$F66-1,RentalsVacates!$A$8:$C$162,2,FALSE)*VLOOKUP(BL$11,'Attrition Modeling'!$L$15:$N$27,IF(BL$12-$F66&lt;=24,2,3),FALSE))*(1+IF('Traditional Attrition'!BL188&gt;0,'Attrition Modeling'!$N$9,0))),0))</f>
        <v>4294.1744047833408</v>
      </c>
      <c r="BM66" s="799">
        <f>IF(BM$12=$F66+1,IF(Monthly!BI$4=TRUE,0,BM$3),IF(BM$12&gt;$F66+1,RentalsVacates!BL66*(1-IF(BM$12-$F66&lt;=12,SUMIFS('Attrition Modeling'!$D:$D,'Attrition Modeling'!$B:$B,$E66,'Attrition Modeling'!$C:$C,BM$11),VLOOKUP(RentalsVacates!BM$12-RentalsVacates!$F66-1,RentalsVacates!$A$8:$C$162,2,FALSE)*VLOOKUP(BM$11,'Attrition Modeling'!$L$15:$N$27,IF(BM$12-$F66&lt;=24,2,3),FALSE))*(1+IF('Traditional Attrition'!BM188&gt;0,'Attrition Modeling'!$N$9,0))),0))</f>
        <v>3897.8590371217197</v>
      </c>
      <c r="BN66" s="799">
        <f>IF(BN$12=$F66+1,IF(Monthly!BJ$4=TRUE,0,BN$3),IF(BN$12&gt;$F66+1,RentalsVacates!BM66*(1-IF(BN$12-$F66&lt;=12,SUMIFS('Attrition Modeling'!$D:$D,'Attrition Modeling'!$B:$B,$E66,'Attrition Modeling'!$C:$C,BN$11),VLOOKUP(RentalsVacates!BN$12-RentalsVacates!$F66-1,RentalsVacates!$A$8:$C$162,2,FALSE)*VLOOKUP(BN$11,'Attrition Modeling'!$L$15:$N$27,IF(BN$12-$F66&lt;=24,2,3),FALSE))*(1+IF('Traditional Attrition'!BN188&gt;0,'Attrition Modeling'!$N$9,0))),0))</f>
        <v>3470.6181069958884</v>
      </c>
      <c r="BO66" s="799">
        <f>IF(BO$12=$F66+1,IF(Monthly!BK$4=TRUE,0,BO$3),IF(BO$12&gt;$F66+1,RentalsVacates!BN66*(1-IF(BO$12-$F66&lt;=12,SUMIFS('Attrition Modeling'!$D:$D,'Attrition Modeling'!$B:$B,$E66,'Attrition Modeling'!$C:$C,BO$11),VLOOKUP(RentalsVacates!BO$12-RentalsVacates!$F66-1,RentalsVacates!$A$8:$C$162,2,FALSE)*VLOOKUP(BO$11,'Attrition Modeling'!$L$15:$N$27,IF(BO$12-$F66&lt;=24,2,3),FALSE))*(1+IF('Traditional Attrition'!BO188&gt;0,'Attrition Modeling'!$N$9,0))),0))</f>
        <v>3203.770089639715</v>
      </c>
      <c r="BP66" s="799">
        <f>IF(BP$12=$F66+1,IF(Monthly!BL$4=TRUE,0,BP$3),IF(BP$12&gt;$F66+1,RentalsVacates!BO66*(1-IF(BP$12-$F66&lt;=12,SUMIFS('Attrition Modeling'!$D:$D,'Attrition Modeling'!$B:$B,$E66,'Attrition Modeling'!$C:$C,BP$11),VLOOKUP(RentalsVacates!BP$12-RentalsVacates!$F66-1,RentalsVacates!$A$8:$C$162,2,FALSE)*VLOOKUP(BP$11,'Attrition Modeling'!$L$15:$N$27,IF(BP$12-$F66&lt;=24,2,3),FALSE))*(1+IF('Traditional Attrition'!BP188&gt;0,'Attrition Modeling'!$N$9,0))),0))</f>
        <v>2996.3454872953894</v>
      </c>
      <c r="BQ66" s="799">
        <f>IF(BQ$12=$F66+1,IF(Monthly!BM$4=TRUE,0,BQ$3),IF(BQ$12&gt;$F66+1,RentalsVacates!BP66*(1-IF(BQ$12-$F66&lt;=12,SUMIFS('Attrition Modeling'!$D:$D,'Attrition Modeling'!$B:$B,$E66,'Attrition Modeling'!$C:$C,BQ$11),VLOOKUP(RentalsVacates!BQ$12-RentalsVacates!$F66-1,RentalsVacates!$A$8:$C$162,2,FALSE)*VLOOKUP(BQ$11,'Attrition Modeling'!$L$15:$N$27,IF(BQ$12-$F66&lt;=24,2,3),FALSE))*(1+IF('Traditional Attrition'!BQ188&gt;0,'Attrition Modeling'!$N$9,0))),0))</f>
        <v>2827.9721449623485</v>
      </c>
      <c r="BR66" s="799">
        <f>IF(BR$12=$F66+1,IF(Monthly!BN$4=TRUE,0,BR$3),IF(BR$12&gt;$F66+1,RentalsVacates!BQ66*(1-IF(BR$12-$F66&lt;=12,SUMIFS('Attrition Modeling'!$D:$D,'Attrition Modeling'!$B:$B,$E66,'Attrition Modeling'!$C:$C,BR$11),VLOOKUP(RentalsVacates!BR$12-RentalsVacates!$F66-1,RentalsVacates!$A$8:$C$162,2,FALSE)*VLOOKUP(BR$11,'Attrition Modeling'!$L$15:$N$27,IF(BR$12-$F66&lt;=24,2,3),FALSE))*(1+IF('Traditional Attrition'!BR188&gt;0,'Attrition Modeling'!$N$9,0))),0))</f>
        <v>2666.7113036338096</v>
      </c>
      <c r="BS66" s="799">
        <f>IF(BS$12=$F66+1,IF(Monthly!BO$4=TRUE,0,BS$3),IF(BS$12&gt;$F66+1,RentalsVacates!BR66*(1-IF(BS$12-$F66&lt;=12,SUMIFS('Attrition Modeling'!$D:$D,'Attrition Modeling'!$B:$B,$E66,'Attrition Modeling'!$C:$C,BS$11),VLOOKUP(RentalsVacates!BS$12-RentalsVacates!$F66-1,RentalsVacates!$A$8:$C$162,2,FALSE)*VLOOKUP(BS$11,'Attrition Modeling'!$L$15:$N$27,IF(BS$12-$F66&lt;=24,2,3),FALSE))*(1+IF('Traditional Attrition'!BS188&gt;0,'Attrition Modeling'!$N$9,0))),0))</f>
        <v>2523.8688859875515</v>
      </c>
      <c r="BT66" s="799">
        <f>IF(BT$11=$F65+1,IF(Monthly!#REF!=TRUE,0,BT$3),IF(BT$11&gt;$F65+1,RentalsVacates!BS65*(1-IF(BT$11-$F65&lt;=12,SUMIFS('Attrition Modeling'!$D:$D,'Attrition Modeling'!$B:$B,$E65,'Attrition Modeling'!$C:$C,BT$10),VLOOKUP(RentalsVacates!BT$11-RentalsVacates!$F65-1,RentalsVacates!$A$7:$C$161,2,FALSE)*VLOOKUP(BT$10,'Attrition Modeling'!$L$15:$N$27,IF(BT$11-$F65&lt;=24,2,3),FALSE))*(1+IF('Traditional Attrition'!BT188&gt;0,'Attrition Modeling'!$N$9,0))),0))</f>
        <v>0</v>
      </c>
      <c r="BU66" s="799">
        <f>IF(BU$11=$F65+1,IF(Monthly!#REF!=TRUE,0,BU$3),IF(BU$11&gt;$F65+1,RentalsVacates!BT65*(1-IF(BU$11-$F65&lt;=12,SUMIFS('Attrition Modeling'!$D:$D,'Attrition Modeling'!$B:$B,$E65,'Attrition Modeling'!$C:$C,BU$10),VLOOKUP(RentalsVacates!BU$11-RentalsVacates!$F65-1,RentalsVacates!$A$7:$C$161,2,FALSE)*VLOOKUP(BU$10,'Attrition Modeling'!$L$15:$N$27,IF(BU$11-$F65&lt;=24,2,3),FALSE))*(1+IF('Traditional Attrition'!BU188&gt;0,'Attrition Modeling'!$N$9,0))),0))</f>
        <v>0</v>
      </c>
    </row>
    <row r="67" spans="1:73" ht="14.25" customHeight="1" x14ac:dyDescent="0.2">
      <c r="A67" s="9">
        <v>59</v>
      </c>
      <c r="B67" s="25">
        <f>MAX('Attrition Modeling'!H63,$C$3)*(1-Summary!$C$20)</f>
        <v>2.2453837640441385E-2</v>
      </c>
      <c r="C67" s="24" t="e">
        <f t="shared" si="2"/>
        <v>#DIV/0!</v>
      </c>
      <c r="E67" s="11">
        <f>'Traditional Attrition'!E124</f>
        <v>6</v>
      </c>
      <c r="F67" s="11">
        <f t="shared" si="4"/>
        <v>54</v>
      </c>
      <c r="G67" s="799"/>
      <c r="H67" s="799">
        <f>IF(H$12=$F67+1,IF(Monthly!D$4=TRUE,0,H$3),IF(H$12&gt;$F67+1,RentalsVacates!G67*(1-IF(H$12-$F67&lt;=12,SUMIFS('Attrition Modeling'!$D:$D,'Attrition Modeling'!$B:$B,$E67,'Attrition Modeling'!$C:$C,H$11),VLOOKUP(RentalsVacates!H$12-RentalsVacates!$F67-1,RentalsVacates!$A$8:$C$162,2,FALSE)*VLOOKUP(H$11,'Attrition Modeling'!$L$15:$N$27,IF(H$12-$F67&lt;=24,2,3),FALSE))*(1+IF('Traditional Attrition'!H189&gt;0,'Attrition Modeling'!$N$9,0))),0))</f>
        <v>0</v>
      </c>
      <c r="I67" s="799">
        <f>IF(I$12=$F67+1,IF(Monthly!E$4=TRUE,0,I$3),IF(I$12&gt;$F67+1,RentalsVacates!H67*(1-IF(I$12-$F67&lt;=12,SUMIFS('Attrition Modeling'!$D:$D,'Attrition Modeling'!$B:$B,$E67,'Attrition Modeling'!$C:$C,I$11),VLOOKUP(RentalsVacates!I$12-RentalsVacates!$F67-1,RentalsVacates!$A$8:$C$162,2,FALSE)*VLOOKUP(I$11,'Attrition Modeling'!$L$15:$N$27,IF(I$12-$F67&lt;=24,2,3),FALSE))*(1+IF('Traditional Attrition'!I189&gt;0,'Attrition Modeling'!$N$9,0))),0))</f>
        <v>0</v>
      </c>
      <c r="J67" s="799">
        <f>IF(J$12=$F67+1,IF(Monthly!F$4=TRUE,0,J$3),IF(J$12&gt;$F67+1,RentalsVacates!I67*(1-IF(J$12-$F67&lt;=12,SUMIFS('Attrition Modeling'!$D:$D,'Attrition Modeling'!$B:$B,$E67,'Attrition Modeling'!$C:$C,J$11),VLOOKUP(RentalsVacates!J$12-RentalsVacates!$F67-1,RentalsVacates!$A$8:$C$162,2,FALSE)*VLOOKUP(J$11,'Attrition Modeling'!$L$15:$N$27,IF(J$12-$F67&lt;=24,2,3),FALSE))*(1+IF('Traditional Attrition'!J189&gt;0,'Attrition Modeling'!$N$9,0))),0))</f>
        <v>0</v>
      </c>
      <c r="K67" s="799">
        <f>IF(K$12=$F67+1,IF(Monthly!G$4=TRUE,0,K$3),IF(K$12&gt;$F67+1,RentalsVacates!J67*(1-IF(K$12-$F67&lt;=12,SUMIFS('Attrition Modeling'!$D:$D,'Attrition Modeling'!$B:$B,$E67,'Attrition Modeling'!$C:$C,K$11),VLOOKUP(RentalsVacates!K$12-RentalsVacates!$F67-1,RentalsVacates!$A$8:$C$162,2,FALSE)*VLOOKUP(K$11,'Attrition Modeling'!$L$15:$N$27,IF(K$12-$F67&lt;=24,2,3),FALSE))*(1+IF('Traditional Attrition'!K189&gt;0,'Attrition Modeling'!$N$9,0))),0))</f>
        <v>0</v>
      </c>
      <c r="L67" s="799">
        <f>IF(L$12=$F67+1,IF(Monthly!H$4=TRUE,0,L$3),IF(L$12&gt;$F67+1,RentalsVacates!K67*(1-IF(L$12-$F67&lt;=12,SUMIFS('Attrition Modeling'!$D:$D,'Attrition Modeling'!$B:$B,$E67,'Attrition Modeling'!$C:$C,L$11),VLOOKUP(RentalsVacates!L$12-RentalsVacates!$F67-1,RentalsVacates!$A$8:$C$162,2,FALSE)*VLOOKUP(L$11,'Attrition Modeling'!$L$15:$N$27,IF(L$12-$F67&lt;=24,2,3),FALSE))*(1+IF('Traditional Attrition'!L189&gt;0,'Attrition Modeling'!$N$9,0))),0))</f>
        <v>0</v>
      </c>
      <c r="M67" s="799">
        <f>IF(M$12=$F67+1,IF(Monthly!I$4=TRUE,0,M$3),IF(M$12&gt;$F67+1,RentalsVacates!L67*(1-IF(M$12-$F67&lt;=12,SUMIFS('Attrition Modeling'!$D:$D,'Attrition Modeling'!$B:$B,$E67,'Attrition Modeling'!$C:$C,M$11),VLOOKUP(RentalsVacates!M$12-RentalsVacates!$F67-1,RentalsVacates!$A$8:$C$162,2,FALSE)*VLOOKUP(M$11,'Attrition Modeling'!$L$15:$N$27,IF(M$12-$F67&lt;=24,2,3),FALSE))*(1+IF('Traditional Attrition'!M189&gt;0,'Attrition Modeling'!$N$9,0))),0))</f>
        <v>0</v>
      </c>
      <c r="N67" s="799">
        <f>IF(N$12=$F67+1,IF(Monthly!J$4=TRUE,0,N$3),IF(N$12&gt;$F67+1,RentalsVacates!M67*(1-IF(N$12-$F67&lt;=12,SUMIFS('Attrition Modeling'!$D:$D,'Attrition Modeling'!$B:$B,$E67,'Attrition Modeling'!$C:$C,N$11),VLOOKUP(RentalsVacates!N$12-RentalsVacates!$F67-1,RentalsVacates!$A$8:$C$162,2,FALSE)*VLOOKUP(N$11,'Attrition Modeling'!$L$15:$N$27,IF(N$12-$F67&lt;=24,2,3),FALSE))*(1+IF('Traditional Attrition'!N189&gt;0,'Attrition Modeling'!$N$9,0))),0))</f>
        <v>0</v>
      </c>
      <c r="O67" s="799">
        <f>IF(O$12=$F67+1,IF(Monthly!K$4=TRUE,0,O$3),IF(O$12&gt;$F67+1,RentalsVacates!N67*(1-IF(O$12-$F67&lt;=12,SUMIFS('Attrition Modeling'!$D:$D,'Attrition Modeling'!$B:$B,$E67,'Attrition Modeling'!$C:$C,O$11),VLOOKUP(RentalsVacates!O$12-RentalsVacates!$F67-1,RentalsVacates!$A$8:$C$162,2,FALSE)*VLOOKUP(O$11,'Attrition Modeling'!$L$15:$N$27,IF(O$12-$F67&lt;=24,2,3),FALSE))*(1+IF('Traditional Attrition'!O189&gt;0,'Attrition Modeling'!$N$9,0))),0))</f>
        <v>0</v>
      </c>
      <c r="P67" s="799">
        <f>IF(P$12=$F67+1,IF(Monthly!L$4=TRUE,0,P$3),IF(P$12&gt;$F67+1,RentalsVacates!O67*(1-IF(P$12-$F67&lt;=12,SUMIFS('Attrition Modeling'!$D:$D,'Attrition Modeling'!$B:$B,$E67,'Attrition Modeling'!$C:$C,P$11),VLOOKUP(RentalsVacates!P$12-RentalsVacates!$F67-1,RentalsVacates!$A$8:$C$162,2,FALSE)*VLOOKUP(P$11,'Attrition Modeling'!$L$15:$N$27,IF(P$12-$F67&lt;=24,2,3),FALSE))*(1+IF('Traditional Attrition'!P189&gt;0,'Attrition Modeling'!$N$9,0))),0))</f>
        <v>0</v>
      </c>
      <c r="Q67" s="799">
        <f>IF(Q$12=$F67+1,IF(Monthly!M$4=TRUE,0,Q$3),IF(Q$12&gt;$F67+1,RentalsVacates!P67*(1-IF(Q$12-$F67&lt;=12,SUMIFS('Attrition Modeling'!$D:$D,'Attrition Modeling'!$B:$B,$E67,'Attrition Modeling'!$C:$C,Q$11),VLOOKUP(RentalsVacates!Q$12-RentalsVacates!$F67-1,RentalsVacates!$A$8:$C$162,2,FALSE)*VLOOKUP(Q$11,'Attrition Modeling'!$L$15:$N$27,IF(Q$12-$F67&lt;=24,2,3),FALSE))*(1+IF('Traditional Attrition'!Q189&gt;0,'Attrition Modeling'!$N$9,0))),0))</f>
        <v>0</v>
      </c>
      <c r="R67" s="799">
        <f>IF(R$12=$F67+1,IF(Monthly!N$4=TRUE,0,R$3),IF(R$12&gt;$F67+1,RentalsVacates!Q67*(1-IF(R$12-$F67&lt;=12,SUMIFS('Attrition Modeling'!$D:$D,'Attrition Modeling'!$B:$B,$E67,'Attrition Modeling'!$C:$C,R$11),VLOOKUP(RentalsVacates!R$12-RentalsVacates!$F67-1,RentalsVacates!$A$8:$C$162,2,FALSE)*VLOOKUP(R$11,'Attrition Modeling'!$L$15:$N$27,IF(R$12-$F67&lt;=24,2,3),FALSE))*(1+IF('Traditional Attrition'!R189&gt;0,'Attrition Modeling'!$N$9,0))),0))</f>
        <v>0</v>
      </c>
      <c r="S67" s="799">
        <f>IF(S$12=$F67+1,IF(Monthly!O$4=TRUE,0,S$3),IF(S$12&gt;$F67+1,RentalsVacates!R67*(1-IF(S$12-$F67&lt;=12,SUMIFS('Attrition Modeling'!$D:$D,'Attrition Modeling'!$B:$B,$E67,'Attrition Modeling'!$C:$C,S$11),VLOOKUP(RentalsVacates!S$12-RentalsVacates!$F67-1,RentalsVacates!$A$8:$C$162,2,FALSE)*VLOOKUP(S$11,'Attrition Modeling'!$L$15:$N$27,IF(S$12-$F67&lt;=24,2,3),FALSE))*(1+IF('Traditional Attrition'!S189&gt;0,'Attrition Modeling'!$N$9,0))),0))</f>
        <v>0</v>
      </c>
      <c r="T67" s="799">
        <f>IF(T$12=$F67+1,IF(Monthly!P$4=TRUE,0,T$3),IF(T$12&gt;$F67+1,RentalsVacates!S67*(1-IF(T$12-$F67&lt;=12,SUMIFS('Attrition Modeling'!$D:$D,'Attrition Modeling'!$B:$B,$E67,'Attrition Modeling'!$C:$C,T$11),VLOOKUP(RentalsVacates!T$12-RentalsVacates!$F67-1,RentalsVacates!$A$8:$C$162,2,FALSE)*VLOOKUP(T$11,'Attrition Modeling'!$L$15:$N$27,IF(T$12-$F67&lt;=24,2,3),FALSE))*(1+IF('Traditional Attrition'!T189&gt;0,'Attrition Modeling'!$N$9,0))),0))</f>
        <v>0</v>
      </c>
      <c r="U67" s="799">
        <f>IF(U$12=$F67+1,IF(Monthly!Q$4=TRUE,0,U$3),IF(U$12&gt;$F67+1,RentalsVacates!T67*(1-IF(U$12-$F67&lt;=12,SUMIFS('Attrition Modeling'!$D:$D,'Attrition Modeling'!$B:$B,$E67,'Attrition Modeling'!$C:$C,U$11),VLOOKUP(RentalsVacates!U$12-RentalsVacates!$F67-1,RentalsVacates!$A$8:$C$162,2,FALSE)*VLOOKUP(U$11,'Attrition Modeling'!$L$15:$N$27,IF(U$12-$F67&lt;=24,2,3),FALSE))*(1+IF('Traditional Attrition'!U189&gt;0,'Attrition Modeling'!$N$9,0))),0))</f>
        <v>0</v>
      </c>
      <c r="V67" s="799">
        <f>IF(V$12=$F67+1,IF(Monthly!R$4=TRUE,0,V$3),IF(V$12&gt;$F67+1,RentalsVacates!U67*(1-IF(V$12-$F67&lt;=12,SUMIFS('Attrition Modeling'!$D:$D,'Attrition Modeling'!$B:$B,$E67,'Attrition Modeling'!$C:$C,V$11),VLOOKUP(RentalsVacates!V$12-RentalsVacates!$F67-1,RentalsVacates!$A$8:$C$162,2,FALSE)*VLOOKUP(V$11,'Attrition Modeling'!$L$15:$N$27,IF(V$12-$F67&lt;=24,2,3),FALSE))*(1+IF('Traditional Attrition'!V189&gt;0,'Attrition Modeling'!$N$9,0))),0))</f>
        <v>0</v>
      </c>
      <c r="W67" s="799">
        <f>IF(W$12=$F67+1,IF(Monthly!S$4=TRUE,0,W$3),IF(W$12&gt;$F67+1,RentalsVacates!V67*(1-IF(W$12-$F67&lt;=12,SUMIFS('Attrition Modeling'!$D:$D,'Attrition Modeling'!$B:$B,$E67,'Attrition Modeling'!$C:$C,W$11),VLOOKUP(RentalsVacates!W$12-RentalsVacates!$F67-1,RentalsVacates!$A$8:$C$162,2,FALSE)*VLOOKUP(W$11,'Attrition Modeling'!$L$15:$N$27,IF(W$12-$F67&lt;=24,2,3),FALSE))*(1+IF('Traditional Attrition'!W189&gt;0,'Attrition Modeling'!$N$9,0))),0))</f>
        <v>0</v>
      </c>
      <c r="X67" s="799">
        <f>IF(X$12=$F67+1,IF(Monthly!T$4=TRUE,0,X$3),IF(X$12&gt;$F67+1,RentalsVacates!W67*(1-IF(X$12-$F67&lt;=12,SUMIFS('Attrition Modeling'!$D:$D,'Attrition Modeling'!$B:$B,$E67,'Attrition Modeling'!$C:$C,X$11),VLOOKUP(RentalsVacates!X$12-RentalsVacates!$F67-1,RentalsVacates!$A$8:$C$162,2,FALSE)*VLOOKUP(X$11,'Attrition Modeling'!$L$15:$N$27,IF(X$12-$F67&lt;=24,2,3),FALSE))*(1+IF('Traditional Attrition'!X189&gt;0,'Attrition Modeling'!$N$9,0))),0))</f>
        <v>0</v>
      </c>
      <c r="Y67" s="799">
        <f>IF(Y$12=$F67+1,IF(Monthly!U$4=TRUE,0,Y$3),IF(Y$12&gt;$F67+1,RentalsVacates!X67*(1-IF(Y$12-$F67&lt;=12,SUMIFS('Attrition Modeling'!$D:$D,'Attrition Modeling'!$B:$B,$E67,'Attrition Modeling'!$C:$C,Y$11),VLOOKUP(RentalsVacates!Y$12-RentalsVacates!$F67-1,RentalsVacates!$A$8:$C$162,2,FALSE)*VLOOKUP(Y$11,'Attrition Modeling'!$L$15:$N$27,IF(Y$12-$F67&lt;=24,2,3),FALSE))*(1+IF('Traditional Attrition'!Y189&gt;0,'Attrition Modeling'!$N$9,0))),0))</f>
        <v>0</v>
      </c>
      <c r="Z67" s="799">
        <f>IF(Z$12=$F67+1,IF(Monthly!V$4=TRUE,0,Z$3),IF(Z$12&gt;$F67+1,RentalsVacates!Y67*(1-IF(Z$12-$F67&lt;=12,SUMIFS('Attrition Modeling'!$D:$D,'Attrition Modeling'!$B:$B,$E67,'Attrition Modeling'!$C:$C,Z$11),VLOOKUP(RentalsVacates!Z$12-RentalsVacates!$F67-1,RentalsVacates!$A$8:$C$162,2,FALSE)*VLOOKUP(Z$11,'Attrition Modeling'!$L$15:$N$27,IF(Z$12-$F67&lt;=24,2,3),FALSE))*(1+IF('Traditional Attrition'!Z189&gt;0,'Attrition Modeling'!$N$9,0))),0))</f>
        <v>0</v>
      </c>
      <c r="AA67" s="799">
        <f>IF(AA$12=$F67+1,IF(Monthly!W$4=TRUE,0,AA$3),IF(AA$12&gt;$F67+1,RentalsVacates!Z67*(1-IF(AA$12-$F67&lt;=12,SUMIFS('Attrition Modeling'!$D:$D,'Attrition Modeling'!$B:$B,$E67,'Attrition Modeling'!$C:$C,AA$11),VLOOKUP(RentalsVacates!AA$12-RentalsVacates!$F67-1,RentalsVacates!$A$8:$C$162,2,FALSE)*VLOOKUP(AA$11,'Attrition Modeling'!$L$15:$N$27,IF(AA$12-$F67&lt;=24,2,3),FALSE))*(1+IF('Traditional Attrition'!AA189&gt;0,'Attrition Modeling'!$N$9,0))),0))</f>
        <v>0</v>
      </c>
      <c r="AB67" s="799">
        <f>IF(AB$12=$F67+1,IF(Monthly!X$4=TRUE,0,AB$3),IF(AB$12&gt;$F67+1,RentalsVacates!AA67*(1-IF(AB$12-$F67&lt;=12,SUMIFS('Attrition Modeling'!$D:$D,'Attrition Modeling'!$B:$B,$E67,'Attrition Modeling'!$C:$C,AB$11),VLOOKUP(RentalsVacates!AB$12-RentalsVacates!$F67-1,RentalsVacates!$A$8:$C$162,2,FALSE)*VLOOKUP(AB$11,'Attrition Modeling'!$L$15:$N$27,IF(AB$12-$F67&lt;=24,2,3),FALSE))*(1+IF('Traditional Attrition'!AB189&gt;0,'Attrition Modeling'!$N$9,0))),0))</f>
        <v>0</v>
      </c>
      <c r="AC67" s="799">
        <f>IF(AC$12=$F67+1,IF(Monthly!Y$4=TRUE,0,AC$3),IF(AC$12&gt;$F67+1,RentalsVacates!AB67*(1-IF(AC$12-$F67&lt;=12,SUMIFS('Attrition Modeling'!$D:$D,'Attrition Modeling'!$B:$B,$E67,'Attrition Modeling'!$C:$C,AC$11),VLOOKUP(RentalsVacates!AC$12-RentalsVacates!$F67-1,RentalsVacates!$A$8:$C$162,2,FALSE)*VLOOKUP(AC$11,'Attrition Modeling'!$L$15:$N$27,IF(AC$12-$F67&lt;=24,2,3),FALSE))*(1+IF('Traditional Attrition'!AC189&gt;0,'Attrition Modeling'!$N$9,0))),0))</f>
        <v>0</v>
      </c>
      <c r="AD67" s="799">
        <f>IF(AD$12=$F67+1,IF(Monthly!Z$4=TRUE,0,AD$3),IF(AD$12&gt;$F67+1,RentalsVacates!AC67*(1-IF(AD$12-$F67&lt;=12,SUMIFS('Attrition Modeling'!$D:$D,'Attrition Modeling'!$B:$B,$E67,'Attrition Modeling'!$C:$C,AD$11),VLOOKUP(RentalsVacates!AD$12-RentalsVacates!$F67-1,RentalsVacates!$A$8:$C$162,2,FALSE)*VLOOKUP(AD$11,'Attrition Modeling'!$L$15:$N$27,IF(AD$12-$F67&lt;=24,2,3),FALSE))*(1+IF('Traditional Attrition'!AD189&gt;0,'Attrition Modeling'!$N$9,0))),0))</f>
        <v>0</v>
      </c>
      <c r="AE67" s="799">
        <f>IF(AE$12=$F67+1,IF(Monthly!AA$4=TRUE,0,AE$3),IF(AE$12&gt;$F67+1,RentalsVacates!AD67*(1-IF(AE$12-$F67&lt;=12,SUMIFS('Attrition Modeling'!$D:$D,'Attrition Modeling'!$B:$B,$E67,'Attrition Modeling'!$C:$C,AE$11),VLOOKUP(RentalsVacates!AE$12-RentalsVacates!$F67-1,RentalsVacates!$A$8:$C$162,2,FALSE)*VLOOKUP(AE$11,'Attrition Modeling'!$L$15:$N$27,IF(AE$12-$F67&lt;=24,2,3),FALSE))*(1+IF('Traditional Attrition'!AE189&gt;0,'Attrition Modeling'!$N$9,0))),0))</f>
        <v>0</v>
      </c>
      <c r="AF67" s="799">
        <f>IF(AF$12=$F67+1,IF(Monthly!AB$4=TRUE,0,AF$3),IF(AF$12&gt;$F67+1,RentalsVacates!AE67*(1-IF(AF$12-$F67&lt;=12,SUMIFS('Attrition Modeling'!$D:$D,'Attrition Modeling'!$B:$B,$E67,'Attrition Modeling'!$C:$C,AF$11),VLOOKUP(RentalsVacates!AF$12-RentalsVacates!$F67-1,RentalsVacates!$A$8:$C$162,2,FALSE)*VLOOKUP(AF$11,'Attrition Modeling'!$L$15:$N$27,IF(AF$12-$F67&lt;=24,2,3),FALSE))*(1+IF('Traditional Attrition'!AF189&gt;0,'Attrition Modeling'!$N$9,0))),0))</f>
        <v>0</v>
      </c>
      <c r="AG67" s="799">
        <f>IF(AG$12=$F67+1,IF(Monthly!AC$4=TRUE,0,AG$3),IF(AG$12&gt;$F67+1,RentalsVacates!AF67*(1-IF(AG$12-$F67&lt;=12,SUMIFS('Attrition Modeling'!$D:$D,'Attrition Modeling'!$B:$B,$E67,'Attrition Modeling'!$C:$C,AG$11),VLOOKUP(RentalsVacates!AG$12-RentalsVacates!$F67-1,RentalsVacates!$A$8:$C$162,2,FALSE)*VLOOKUP(AG$11,'Attrition Modeling'!$L$15:$N$27,IF(AG$12-$F67&lt;=24,2,3),FALSE))*(1+IF('Traditional Attrition'!AG189&gt;0,'Attrition Modeling'!$N$9,0))),0))</f>
        <v>0</v>
      </c>
      <c r="AH67" s="799">
        <f>IF(AH$12=$F67+1,IF(Monthly!AD$4=TRUE,0,AH$3),IF(AH$12&gt;$F67+1,RentalsVacates!AG67*(1-IF(AH$12-$F67&lt;=12,SUMIFS('Attrition Modeling'!$D:$D,'Attrition Modeling'!$B:$B,$E67,'Attrition Modeling'!$C:$C,AH$11),VLOOKUP(RentalsVacates!AH$12-RentalsVacates!$F67-1,RentalsVacates!$A$8:$C$162,2,FALSE)*VLOOKUP(AH$11,'Attrition Modeling'!$L$15:$N$27,IF(AH$12-$F67&lt;=24,2,3),FALSE))*(1+IF('Traditional Attrition'!AH189&gt;0,'Attrition Modeling'!$N$9,0))),0))</f>
        <v>0</v>
      </c>
      <c r="AI67" s="799">
        <f>IF(AI$12=$F67+1,IF(Monthly!AE$4=TRUE,0,AI$3),IF(AI$12&gt;$F67+1,RentalsVacates!AH67*(1-IF(AI$12-$F67&lt;=12,SUMIFS('Attrition Modeling'!$D:$D,'Attrition Modeling'!$B:$B,$E67,'Attrition Modeling'!$C:$C,AI$11),VLOOKUP(RentalsVacates!AI$12-RentalsVacates!$F67-1,RentalsVacates!$A$8:$C$162,2,FALSE)*VLOOKUP(AI$11,'Attrition Modeling'!$L$15:$N$27,IF(AI$12-$F67&lt;=24,2,3),FALSE))*(1+IF('Traditional Attrition'!AI189&gt;0,'Attrition Modeling'!$N$9,0))),0))</f>
        <v>0</v>
      </c>
      <c r="AJ67" s="799">
        <f>IF(AJ$12=$F67+1,IF(Monthly!AF$4=TRUE,0,AJ$3),IF(AJ$12&gt;$F67+1,RentalsVacates!AI67*(1-IF(AJ$12-$F67&lt;=12,SUMIFS('Attrition Modeling'!$D:$D,'Attrition Modeling'!$B:$B,$E67,'Attrition Modeling'!$C:$C,AJ$11),VLOOKUP(RentalsVacates!AJ$12-RentalsVacates!$F67-1,RentalsVacates!$A$8:$C$162,2,FALSE)*VLOOKUP(AJ$11,'Attrition Modeling'!$L$15:$N$27,IF(AJ$12-$F67&lt;=24,2,3),FALSE))*(1+IF('Traditional Attrition'!AJ189&gt;0,'Attrition Modeling'!$N$9,0))),0))</f>
        <v>0</v>
      </c>
      <c r="AK67" s="799">
        <f>IF(AK$12=$F67+1,IF(Monthly!AG$4=TRUE,0,AK$3),IF(AK$12&gt;$F67+1,RentalsVacates!AJ67*(1-IF(AK$12-$F67&lt;=12,SUMIFS('Attrition Modeling'!$D:$D,'Attrition Modeling'!$B:$B,$E67,'Attrition Modeling'!$C:$C,AK$11),VLOOKUP(RentalsVacates!AK$12-RentalsVacates!$F67-1,RentalsVacates!$A$8:$C$162,2,FALSE)*VLOOKUP(AK$11,'Attrition Modeling'!$L$15:$N$27,IF(AK$12-$F67&lt;=24,2,3),FALSE))*(1+IF('Traditional Attrition'!AK189&gt;0,'Attrition Modeling'!$N$9,0))),0))</f>
        <v>0</v>
      </c>
      <c r="AL67" s="799">
        <f>IF(AL$12=$F67+1,IF(Monthly!AH$4=TRUE,0,AL$3),IF(AL$12&gt;$F67+1,RentalsVacates!AK67*(1-IF(AL$12-$F67&lt;=12,SUMIFS('Attrition Modeling'!$D:$D,'Attrition Modeling'!$B:$B,$E67,'Attrition Modeling'!$C:$C,AL$11),VLOOKUP(RentalsVacates!AL$12-RentalsVacates!$F67-1,RentalsVacates!$A$8:$C$162,2,FALSE)*VLOOKUP(AL$11,'Attrition Modeling'!$L$15:$N$27,IF(AL$12-$F67&lt;=24,2,3),FALSE))*(1+IF('Traditional Attrition'!AL189&gt;0,'Attrition Modeling'!$N$9,0))),0))</f>
        <v>0</v>
      </c>
      <c r="AM67" s="799">
        <f>IF(AM$12=$F67+1,IF(Monthly!AI$4=TRUE,0,AM$3),IF(AM$12&gt;$F67+1,RentalsVacates!AL67*(1-IF(AM$12-$F67&lt;=12,SUMIFS('Attrition Modeling'!$D:$D,'Attrition Modeling'!$B:$B,$E67,'Attrition Modeling'!$C:$C,AM$11),VLOOKUP(RentalsVacates!AM$12-RentalsVacates!$F67-1,RentalsVacates!$A$8:$C$162,2,FALSE)*VLOOKUP(AM$11,'Attrition Modeling'!$L$15:$N$27,IF(AM$12-$F67&lt;=24,2,3),FALSE))*(1+IF('Traditional Attrition'!AM189&gt;0,'Attrition Modeling'!$N$9,0))),0))</f>
        <v>0</v>
      </c>
      <c r="AN67" s="799">
        <f>IF(AN$12=$F67+1,IF(Monthly!AJ$4=TRUE,0,AN$3),IF(AN$12&gt;$F67+1,RentalsVacates!AM67*(1-IF(AN$12-$F67&lt;=12,SUMIFS('Attrition Modeling'!$D:$D,'Attrition Modeling'!$B:$B,$E67,'Attrition Modeling'!$C:$C,AN$11),VLOOKUP(RentalsVacates!AN$12-RentalsVacates!$F67-1,RentalsVacates!$A$8:$C$162,2,FALSE)*VLOOKUP(AN$11,'Attrition Modeling'!$L$15:$N$27,IF(AN$12-$F67&lt;=24,2,3),FALSE))*(1+IF('Traditional Attrition'!AN189&gt;0,'Attrition Modeling'!$N$9,0))),0))</f>
        <v>0</v>
      </c>
      <c r="AO67" s="799">
        <f>IF(AO$12=$F67+1,IF(Monthly!AK$4=TRUE,0,AO$3),IF(AO$12&gt;$F67+1,RentalsVacates!AN67*(1-IF(AO$12-$F67&lt;=12,SUMIFS('Attrition Modeling'!$D:$D,'Attrition Modeling'!$B:$B,$E67,'Attrition Modeling'!$C:$C,AO$11),VLOOKUP(RentalsVacates!AO$12-RentalsVacates!$F67-1,RentalsVacates!$A$8:$C$162,2,FALSE)*VLOOKUP(AO$11,'Attrition Modeling'!$L$15:$N$27,IF(AO$12-$F67&lt;=24,2,3),FALSE))*(1+IF('Traditional Attrition'!AO189&gt;0,'Attrition Modeling'!$N$9,0))),0))</f>
        <v>0</v>
      </c>
      <c r="AP67" s="799">
        <f>IF(AP$12=$F67+1,IF(Monthly!AL$4=TRUE,0,AP$3),IF(AP$12&gt;$F67+1,RentalsVacates!AO67*(1-IF(AP$12-$F67&lt;=12,SUMIFS('Attrition Modeling'!$D:$D,'Attrition Modeling'!$B:$B,$E67,'Attrition Modeling'!$C:$C,AP$11),VLOOKUP(RentalsVacates!AP$12-RentalsVacates!$F67-1,RentalsVacates!$A$8:$C$162,2,FALSE)*VLOOKUP(AP$11,'Attrition Modeling'!$L$15:$N$27,IF(AP$12-$F67&lt;=24,2,3),FALSE))*(1+IF('Traditional Attrition'!AP189&gt;0,'Attrition Modeling'!$N$9,0))),0))</f>
        <v>0</v>
      </c>
      <c r="AQ67" s="799">
        <f>IF(AQ$12=$F67+1,IF(Monthly!AM$4=TRUE,0,AQ$3),IF(AQ$12&gt;$F67+1,RentalsVacates!AP67*(1-IF(AQ$12-$F67&lt;=12,SUMIFS('Attrition Modeling'!$D:$D,'Attrition Modeling'!$B:$B,$E67,'Attrition Modeling'!$C:$C,AQ$11),VLOOKUP(RentalsVacates!AQ$12-RentalsVacates!$F67-1,RentalsVacates!$A$8:$C$162,2,FALSE)*VLOOKUP(AQ$11,'Attrition Modeling'!$L$15:$N$27,IF(AQ$12-$F67&lt;=24,2,3),FALSE))*(1+IF('Traditional Attrition'!AQ189&gt;0,'Attrition Modeling'!$N$9,0))),0))</f>
        <v>0</v>
      </c>
      <c r="AR67" s="799">
        <f>IF(AR$12=$F67+1,IF(Monthly!AN$4=TRUE,0,AR$3),IF(AR$12&gt;$F67+1,RentalsVacates!AQ67*(1-IF(AR$12-$F67&lt;=12,SUMIFS('Attrition Modeling'!$D:$D,'Attrition Modeling'!$B:$B,$E67,'Attrition Modeling'!$C:$C,AR$11),VLOOKUP(RentalsVacates!AR$12-RentalsVacates!$F67-1,RentalsVacates!$A$8:$C$162,2,FALSE)*VLOOKUP(AR$11,'Attrition Modeling'!$L$15:$N$27,IF(AR$12-$F67&lt;=24,2,3),FALSE))*(1+IF('Traditional Attrition'!AR189&gt;0,'Attrition Modeling'!$N$9,0))),0))</f>
        <v>0</v>
      </c>
      <c r="AS67" s="799">
        <f>IF(AS$12=$F67+1,IF(Monthly!AO$4=TRUE,0,AS$3),IF(AS$12&gt;$F67+1,RentalsVacates!AR67*(1-IF(AS$12-$F67&lt;=12,SUMIFS('Attrition Modeling'!$D:$D,'Attrition Modeling'!$B:$B,$E67,'Attrition Modeling'!$C:$C,AS$11),VLOOKUP(RentalsVacates!AS$12-RentalsVacates!$F67-1,RentalsVacates!$A$8:$C$162,2,FALSE)*VLOOKUP(AS$11,'Attrition Modeling'!$L$15:$N$27,IF(AS$12-$F67&lt;=24,2,3),FALSE))*(1+IF('Traditional Attrition'!AS189&gt;0,'Attrition Modeling'!$N$9,0))),0))</f>
        <v>0</v>
      </c>
      <c r="AT67" s="799">
        <f>IF(AT$12=$F67+1,IF(Monthly!AP$4=TRUE,0,AT$3),IF(AT$12&gt;$F67+1,RentalsVacates!AS67*(1-IF(AT$12-$F67&lt;=12,SUMIFS('Attrition Modeling'!$D:$D,'Attrition Modeling'!$B:$B,$E67,'Attrition Modeling'!$C:$C,AT$11),VLOOKUP(RentalsVacates!AT$12-RentalsVacates!$F67-1,RentalsVacates!$A$8:$C$162,2,FALSE)*VLOOKUP(AT$11,'Attrition Modeling'!$L$15:$N$27,IF(AT$12-$F67&lt;=24,2,3),FALSE))*(1+IF('Traditional Attrition'!AT189&gt;0,'Attrition Modeling'!$N$9,0))),0))</f>
        <v>0</v>
      </c>
      <c r="AU67" s="799">
        <f>IF(AU$12=$F67+1,IF(Monthly!AQ$4=TRUE,0,AU$3),IF(AU$12&gt;$F67+1,RentalsVacates!AT67*(1-IF(AU$12-$F67&lt;=12,SUMIFS('Attrition Modeling'!$D:$D,'Attrition Modeling'!$B:$B,$E67,'Attrition Modeling'!$C:$C,AU$11),VLOOKUP(RentalsVacates!AU$12-RentalsVacates!$F67-1,RentalsVacates!$A$8:$C$162,2,FALSE)*VLOOKUP(AU$11,'Attrition Modeling'!$L$15:$N$27,IF(AU$12-$F67&lt;=24,2,3),FALSE))*(1+IF('Traditional Attrition'!AU189&gt;0,'Attrition Modeling'!$N$9,0))),0))</f>
        <v>0</v>
      </c>
      <c r="AV67" s="799">
        <f>IF(AV$12=$F67+1,IF(Monthly!AR$4=TRUE,0,AV$3),IF(AV$12&gt;$F67+1,RentalsVacates!AU67*(1-IF(AV$12-$F67&lt;=12,SUMIFS('Attrition Modeling'!$D:$D,'Attrition Modeling'!$B:$B,$E67,'Attrition Modeling'!$C:$C,AV$11),VLOOKUP(RentalsVacates!AV$12-RentalsVacates!$F67-1,RentalsVacates!$A$8:$C$162,2,FALSE)*VLOOKUP(AV$11,'Attrition Modeling'!$L$15:$N$27,IF(AV$12-$F67&lt;=24,2,3),FALSE))*(1+IF('Traditional Attrition'!AV189&gt;0,'Attrition Modeling'!$N$9,0))),0))</f>
        <v>0</v>
      </c>
      <c r="AW67" s="799">
        <f>IF(AW$12=$F67+1,IF(Monthly!AS$4=TRUE,0,AW$3),IF(AW$12&gt;$F67+1,RentalsVacates!AV67*(1-IF(AW$12-$F67&lt;=12,SUMIFS('Attrition Modeling'!$D:$D,'Attrition Modeling'!$B:$B,$E67,'Attrition Modeling'!$C:$C,AW$11),VLOOKUP(RentalsVacates!AW$12-RentalsVacates!$F67-1,RentalsVacates!$A$8:$C$162,2,FALSE)*VLOOKUP(AW$11,'Attrition Modeling'!$L$15:$N$27,IF(AW$12-$F67&lt;=24,2,3),FALSE))*(1+IF('Traditional Attrition'!AW189&gt;0,'Attrition Modeling'!$N$9,0))),0))</f>
        <v>0</v>
      </c>
      <c r="AX67" s="799">
        <f>IF(AX$12=$F67+1,IF(Monthly!AT$4=TRUE,0,AX$3),IF(AX$12&gt;$F67+1,RentalsVacates!AW67*(1-IF(AX$12-$F67&lt;=12,SUMIFS('Attrition Modeling'!$D:$D,'Attrition Modeling'!$B:$B,$E67,'Attrition Modeling'!$C:$C,AX$11),VLOOKUP(RentalsVacates!AX$12-RentalsVacates!$F67-1,RentalsVacates!$A$8:$C$162,2,FALSE)*VLOOKUP(AX$11,'Attrition Modeling'!$L$15:$N$27,IF(AX$12-$F67&lt;=24,2,3),FALSE))*(1+IF('Traditional Attrition'!AX189&gt;0,'Attrition Modeling'!$N$9,0))),0))</f>
        <v>0</v>
      </c>
      <c r="AY67" s="799">
        <f>IF(AY$12=$F67+1,IF(Monthly!AU$4=TRUE,0,AY$3),IF(AY$12&gt;$F67+1,RentalsVacates!AX67*(1-IF(AY$12-$F67&lt;=12,SUMIFS('Attrition Modeling'!$D:$D,'Attrition Modeling'!$B:$B,$E67,'Attrition Modeling'!$C:$C,AY$11),VLOOKUP(RentalsVacates!AY$12-RentalsVacates!$F67-1,RentalsVacates!$A$8:$C$162,2,FALSE)*VLOOKUP(AY$11,'Attrition Modeling'!$L$15:$N$27,IF(AY$12-$F67&lt;=24,2,3),FALSE))*(1+IF('Traditional Attrition'!AY189&gt;0,'Attrition Modeling'!$N$9,0))),0))</f>
        <v>0</v>
      </c>
      <c r="AZ67" s="799">
        <f>IF(AZ$12=$F67+1,IF(Monthly!AV$4=TRUE,0,AZ$3),IF(AZ$12&gt;$F67+1,RentalsVacates!AY67*(1-IF(AZ$12-$F67&lt;=12,SUMIFS('Attrition Modeling'!$D:$D,'Attrition Modeling'!$B:$B,$E67,'Attrition Modeling'!$C:$C,AZ$11),VLOOKUP(RentalsVacates!AZ$12-RentalsVacates!$F67-1,RentalsVacates!$A$8:$C$162,2,FALSE)*VLOOKUP(AZ$11,'Attrition Modeling'!$L$15:$N$27,IF(AZ$12-$F67&lt;=24,2,3),FALSE))*(1+IF('Traditional Attrition'!AZ189&gt;0,'Attrition Modeling'!$N$9,0))),0))</f>
        <v>0</v>
      </c>
      <c r="BA67" s="799">
        <f>IF(BA$12=$F67+1,IF(Monthly!AW$4=TRUE,0,BA$3),IF(BA$12&gt;$F67+1,RentalsVacates!AZ67*(1-IF(BA$12-$F67&lt;=12,SUMIFS('Attrition Modeling'!$D:$D,'Attrition Modeling'!$B:$B,$E67,'Attrition Modeling'!$C:$C,BA$11),VLOOKUP(RentalsVacates!BA$12-RentalsVacates!$F67-1,RentalsVacates!$A$8:$C$162,2,FALSE)*VLOOKUP(BA$11,'Attrition Modeling'!$L$15:$N$27,IF(BA$12-$F67&lt;=24,2,3),FALSE))*(1+IF('Traditional Attrition'!BA189&gt;0,'Attrition Modeling'!$N$9,0))),0))</f>
        <v>0</v>
      </c>
      <c r="BB67" s="799">
        <f>IF(BB$12=$F67+1,IF(Monthly!AX$4=TRUE,0,BB$3),IF(BB$12&gt;$F67+1,RentalsVacates!BA67*(1-IF(BB$12-$F67&lt;=12,SUMIFS('Attrition Modeling'!$D:$D,'Attrition Modeling'!$B:$B,$E67,'Attrition Modeling'!$C:$C,BB$11),VLOOKUP(RentalsVacates!BB$12-RentalsVacates!$F67-1,RentalsVacates!$A$8:$C$162,2,FALSE)*VLOOKUP(BB$11,'Attrition Modeling'!$L$15:$N$27,IF(BB$12-$F67&lt;=24,2,3),FALSE))*(1+IF('Traditional Attrition'!BB189&gt;0,'Attrition Modeling'!$N$9,0))),0))</f>
        <v>0</v>
      </c>
      <c r="BC67" s="799">
        <f>IF(BC$12=$F67+1,IF(Monthly!AY$4=TRUE,0,BC$3),IF(BC$12&gt;$F67+1,RentalsVacates!BB67*(1-IF(BC$12-$F67&lt;=12,SUMIFS('Attrition Modeling'!$D:$D,'Attrition Modeling'!$B:$B,$E67,'Attrition Modeling'!$C:$C,BC$11),VLOOKUP(RentalsVacates!BC$12-RentalsVacates!$F67-1,RentalsVacates!$A$8:$C$162,2,FALSE)*VLOOKUP(BC$11,'Attrition Modeling'!$L$15:$N$27,IF(BC$12-$F67&lt;=24,2,3),FALSE))*(1+IF('Traditional Attrition'!BC189&gt;0,'Attrition Modeling'!$N$9,0))),0))</f>
        <v>0</v>
      </c>
      <c r="BD67" s="799">
        <f>IF(BD$12=$F67+1,IF(Monthly!AZ$4=TRUE,0,BD$3),IF(BD$12&gt;$F67+1,RentalsVacates!BC67*(1-IF(BD$12-$F67&lt;=12,SUMIFS('Attrition Modeling'!$D:$D,'Attrition Modeling'!$B:$B,$E67,'Attrition Modeling'!$C:$C,BD$11),VLOOKUP(RentalsVacates!BD$12-RentalsVacates!$F67-1,RentalsVacates!$A$8:$C$162,2,FALSE)*VLOOKUP(BD$11,'Attrition Modeling'!$L$15:$N$27,IF(BD$12-$F67&lt;=24,2,3),FALSE))*(1+IF('Traditional Attrition'!BD189&gt;0,'Attrition Modeling'!$N$9,0))),0))</f>
        <v>0</v>
      </c>
      <c r="BE67" s="799">
        <f>IF(BE$12=$F67+1,IF(Monthly!BA$4=TRUE,0,BE$3),IF(BE$12&gt;$F67+1,RentalsVacates!BD67*(1-IF(BE$12-$F67&lt;=12,SUMIFS('Attrition Modeling'!$D:$D,'Attrition Modeling'!$B:$B,$E67,'Attrition Modeling'!$C:$C,BE$11),VLOOKUP(RentalsVacates!BE$12-RentalsVacates!$F67-1,RentalsVacates!$A$8:$C$162,2,FALSE)*VLOOKUP(BE$11,'Attrition Modeling'!$L$15:$N$27,IF(BE$12-$F67&lt;=24,2,3),FALSE))*(1+IF('Traditional Attrition'!BE189&gt;0,'Attrition Modeling'!$N$9,0))),0))</f>
        <v>0</v>
      </c>
      <c r="BF67" s="799">
        <f>IF(BF$12=$F67+1,IF(Monthly!BB$4=TRUE,0,BF$3),IF(BF$12&gt;$F67+1,RentalsVacates!BE67*(1-IF(BF$12-$F67&lt;=12,SUMIFS('Attrition Modeling'!$D:$D,'Attrition Modeling'!$B:$B,$E67,'Attrition Modeling'!$C:$C,BF$11),VLOOKUP(RentalsVacates!BF$12-RentalsVacates!$F67-1,RentalsVacates!$A$8:$C$162,2,FALSE)*VLOOKUP(BF$11,'Attrition Modeling'!$L$15:$N$27,IF(BF$12-$F67&lt;=24,2,3),FALSE))*(1+IF('Traditional Attrition'!BF189&gt;0,'Attrition Modeling'!$N$9,0))),0))</f>
        <v>0</v>
      </c>
      <c r="BG67" s="799">
        <f>IF(BG$12=$F67+1,IF(Monthly!BC$4=TRUE,0,BG$3),IF(BG$12&gt;$F67+1,RentalsVacates!BF67*(1-IF(BG$12-$F67&lt;=12,SUMIFS('Attrition Modeling'!$D:$D,'Attrition Modeling'!$B:$B,$E67,'Attrition Modeling'!$C:$C,BG$11),VLOOKUP(RentalsVacates!BG$12-RentalsVacates!$F67-1,RentalsVacates!$A$8:$C$162,2,FALSE)*VLOOKUP(BG$11,'Attrition Modeling'!$L$15:$N$27,IF(BG$12-$F67&lt;=24,2,3),FALSE))*(1+IF('Traditional Attrition'!BG189&gt;0,'Attrition Modeling'!$N$9,0))),0))</f>
        <v>0</v>
      </c>
      <c r="BH67" s="799">
        <f>IF(BH$12=$F67+1,IF(Monthly!BD$4=TRUE,0,BH$3),IF(BH$12&gt;$F67+1,RentalsVacates!BG67*(1-IF(BH$12-$F67&lt;=12,SUMIFS('Attrition Modeling'!$D:$D,'Attrition Modeling'!$B:$B,$E67,'Attrition Modeling'!$C:$C,BH$11),VLOOKUP(RentalsVacates!BH$12-RentalsVacates!$F67-1,RentalsVacates!$A$8:$C$162,2,FALSE)*VLOOKUP(BH$11,'Attrition Modeling'!$L$15:$N$27,IF(BH$12-$F67&lt;=24,2,3),FALSE))*(1+IF('Traditional Attrition'!BH189&gt;0,'Attrition Modeling'!$N$9,0))),0))</f>
        <v>0</v>
      </c>
      <c r="BI67" s="799">
        <f>IF(BI$12=$F67+1,IF(Monthly!BE$4=TRUE,0,BI$3),IF(BI$12&gt;$F67+1,RentalsVacates!BH67*(1-IF(BI$12-$F67&lt;=12,SUMIFS('Attrition Modeling'!$D:$D,'Attrition Modeling'!$B:$B,$E67,'Attrition Modeling'!$C:$C,BI$11),VLOOKUP(RentalsVacates!BI$12-RentalsVacates!$F67-1,RentalsVacates!$A$8:$C$162,2,FALSE)*VLOOKUP(BI$11,'Attrition Modeling'!$L$15:$N$27,IF(BI$12-$F67&lt;=24,2,3),FALSE))*(1+IF('Traditional Attrition'!BI189&gt;0,'Attrition Modeling'!$N$9,0))),0))</f>
        <v>0</v>
      </c>
      <c r="BJ67" s="799">
        <f>IF(BJ$12=$F67+1,IF(Monthly!BF$4=TRUE,0,BJ$3),IF(BJ$12&gt;$F67+1,RentalsVacates!BI67*(1-IF(BJ$12-$F67&lt;=12,SUMIFS('Attrition Modeling'!$D:$D,'Attrition Modeling'!$B:$B,$E67,'Attrition Modeling'!$C:$C,BJ$11),VLOOKUP(RentalsVacates!BJ$12-RentalsVacates!$F67-1,RentalsVacates!$A$8:$C$162,2,FALSE)*VLOOKUP(BJ$11,'Attrition Modeling'!$L$15:$N$27,IF(BJ$12-$F67&lt;=24,2,3),FALSE))*(1+IF('Traditional Attrition'!BJ189&gt;0,'Attrition Modeling'!$N$9,0))),0))</f>
        <v>5926.3270907434926</v>
      </c>
      <c r="BK67" s="799">
        <f>IF(BK$12=$F67+1,IF(Monthly!BG$4=TRUE,0,BK$3),IF(BK$12&gt;$F67+1,RentalsVacates!BJ67*(1-IF(BK$12-$F67&lt;=12,SUMIFS('Attrition Modeling'!$D:$D,'Attrition Modeling'!$B:$B,$E67,'Attrition Modeling'!$C:$C,BK$11),VLOOKUP(RentalsVacates!BK$12-RentalsVacates!$F67-1,RentalsVacates!$A$8:$C$162,2,FALSE)*VLOOKUP(BK$11,'Attrition Modeling'!$L$15:$N$27,IF(BK$12-$F67&lt;=24,2,3),FALSE))*(1+IF('Traditional Attrition'!BK189&gt;0,'Attrition Modeling'!$N$9,0))),0))</f>
        <v>5218.0385526970304</v>
      </c>
      <c r="BL67" s="799">
        <f>IF(BL$12=$F67+1,IF(Monthly!BH$4=TRUE,0,BL$3),IF(BL$12&gt;$F67+1,RentalsVacates!BK67*(1-IF(BL$12-$F67&lt;=12,SUMIFS('Attrition Modeling'!$D:$D,'Attrition Modeling'!$B:$B,$E67,'Attrition Modeling'!$C:$C,BL$11),VLOOKUP(RentalsVacates!BL$12-RentalsVacates!$F67-1,RentalsVacates!$A$8:$C$162,2,FALSE)*VLOOKUP(BL$11,'Attrition Modeling'!$L$15:$N$27,IF(BL$12-$F67&lt;=24,2,3),FALSE))*(1+IF('Traditional Attrition'!BL189&gt;0,'Attrition Modeling'!$N$9,0))),0))</f>
        <v>4640.2404475221911</v>
      </c>
      <c r="BM67" s="799">
        <f>IF(BM$12=$F67+1,IF(Monthly!BI$4=TRUE,0,BM$3),IF(BM$12&gt;$F67+1,RentalsVacates!BL67*(1-IF(BM$12-$F67&lt;=12,SUMIFS('Attrition Modeling'!$D:$D,'Attrition Modeling'!$B:$B,$E67,'Attrition Modeling'!$C:$C,BM$11),VLOOKUP(RentalsVacates!BM$12-RentalsVacates!$F67-1,RentalsVacates!$A$8:$C$162,2,FALSE)*VLOOKUP(BM$11,'Attrition Modeling'!$L$15:$N$27,IF(BM$12-$F67&lt;=24,2,3),FALSE))*(1+IF('Traditional Attrition'!BM189&gt;0,'Attrition Modeling'!$N$9,0))),0))</f>
        <v>4207.9926301473906</v>
      </c>
      <c r="BN67" s="799">
        <f>IF(BN$12=$F67+1,IF(Monthly!BJ$4=TRUE,0,BN$3),IF(BN$12&gt;$F67+1,RentalsVacates!BM67*(1-IF(BN$12-$F67&lt;=12,SUMIFS('Attrition Modeling'!$D:$D,'Attrition Modeling'!$B:$B,$E67,'Attrition Modeling'!$C:$C,BN$11),VLOOKUP(RentalsVacates!BN$12-RentalsVacates!$F67-1,RentalsVacates!$A$8:$C$162,2,FALSE)*VLOOKUP(BN$11,'Attrition Modeling'!$L$15:$N$27,IF(BN$12-$F67&lt;=24,2,3),FALSE))*(1+IF('Traditional Attrition'!BN189&gt;0,'Attrition Modeling'!$N$9,0))),0))</f>
        <v>3838.7562993856463</v>
      </c>
      <c r="BO67" s="799">
        <f>IF(BO$12=$F67+1,IF(Monthly!BK$4=TRUE,0,BO$3),IF(BO$12&gt;$F67+1,RentalsVacates!BN67*(1-IF(BO$12-$F67&lt;=12,SUMIFS('Attrition Modeling'!$D:$D,'Attrition Modeling'!$B:$B,$E67,'Attrition Modeling'!$C:$C,BO$11),VLOOKUP(RentalsVacates!BO$12-RentalsVacates!$F67-1,RentalsVacates!$A$8:$C$162,2,FALSE)*VLOOKUP(BO$11,'Attrition Modeling'!$L$15:$N$27,IF(BO$12-$F67&lt;=24,2,3),FALSE))*(1+IF('Traditional Attrition'!BO189&gt;0,'Attrition Modeling'!$N$9,0))),0))</f>
        <v>3434.8617242510627</v>
      </c>
      <c r="BP67" s="799">
        <f>IF(BP$12=$F67+1,IF(Monthly!BL$4=TRUE,0,BP$3),IF(BP$12&gt;$F67+1,RentalsVacates!BO67*(1-IF(BP$12-$F67&lt;=12,SUMIFS('Attrition Modeling'!$D:$D,'Attrition Modeling'!$B:$B,$E67,'Attrition Modeling'!$C:$C,BP$11),VLOOKUP(RentalsVacates!BP$12-RentalsVacates!$F67-1,RentalsVacates!$A$8:$C$162,2,FALSE)*VLOOKUP(BP$11,'Attrition Modeling'!$L$15:$N$27,IF(BP$12-$F67&lt;=24,2,3),FALSE))*(1+IF('Traditional Attrition'!BP189&gt;0,'Attrition Modeling'!$N$9,0))),0))</f>
        <v>3198.4142585648437</v>
      </c>
      <c r="BQ67" s="799">
        <f>IF(BQ$12=$F67+1,IF(Monthly!BM$4=TRUE,0,BQ$3),IF(BQ$12&gt;$F67+1,RentalsVacates!BP67*(1-IF(BQ$12-$F67&lt;=12,SUMIFS('Attrition Modeling'!$D:$D,'Attrition Modeling'!$B:$B,$E67,'Attrition Modeling'!$C:$C,BQ$11),VLOOKUP(RentalsVacates!BQ$12-RentalsVacates!$F67-1,RentalsVacates!$A$8:$C$162,2,FALSE)*VLOOKUP(BQ$11,'Attrition Modeling'!$L$15:$N$27,IF(BQ$12-$F67&lt;=24,2,3),FALSE))*(1+IF('Traditional Attrition'!BQ189&gt;0,'Attrition Modeling'!$N$9,0))),0))</f>
        <v>3000.8670164891337</v>
      </c>
      <c r="BR67" s="799">
        <f>IF(BR$12=$F67+1,IF(Monthly!BN$4=TRUE,0,BR$3),IF(BR$12&gt;$F67+1,RentalsVacates!BQ67*(1-IF(BR$12-$F67&lt;=12,SUMIFS('Attrition Modeling'!$D:$D,'Attrition Modeling'!$B:$B,$E67,'Attrition Modeling'!$C:$C,BR$11),VLOOKUP(RentalsVacates!BR$12-RentalsVacates!$F67-1,RentalsVacates!$A$8:$C$162,2,FALSE)*VLOOKUP(BR$11,'Attrition Modeling'!$L$15:$N$27,IF(BR$12-$F67&lt;=24,2,3),FALSE))*(1+IF('Traditional Attrition'!BR189&gt;0,'Attrition Modeling'!$N$9,0))),0))</f>
        <v>2807.1077251678771</v>
      </c>
      <c r="BS67" s="799">
        <f>IF(BS$12=$F67+1,IF(Monthly!BO$4=TRUE,0,BS$3),IF(BS$12&gt;$F67+1,RentalsVacates!BR67*(1-IF(BS$12-$F67&lt;=12,SUMIFS('Attrition Modeling'!$D:$D,'Attrition Modeling'!$B:$B,$E67,'Attrition Modeling'!$C:$C,BS$11),VLOOKUP(RentalsVacates!BS$12-RentalsVacates!$F67-1,RentalsVacates!$A$8:$C$162,2,FALSE)*VLOOKUP(BS$11,'Attrition Modeling'!$L$15:$N$27,IF(BS$12-$F67&lt;=24,2,3),FALSE))*(1+IF('Traditional Attrition'!BS189&gt;0,'Attrition Modeling'!$N$9,0))),0))</f>
        <v>2651.9747132854186</v>
      </c>
      <c r="BT67" s="799">
        <f>IF(BT$11=$F66+1,IF(Monthly!#REF!=TRUE,0,BT$3),IF(BT$11&gt;$F66+1,RentalsVacates!BS66*(1-IF(BT$11-$F66&lt;=12,SUMIFS('Attrition Modeling'!$D:$D,'Attrition Modeling'!$B:$B,$E66,'Attrition Modeling'!$C:$C,BT$10),VLOOKUP(RentalsVacates!BT$11-RentalsVacates!$F66-1,RentalsVacates!$A$7:$C$161,2,FALSE)*VLOOKUP(BT$10,'Attrition Modeling'!$L$15:$N$27,IF(BT$11-$F66&lt;=24,2,3),FALSE))*(1+IF('Traditional Attrition'!BT189&gt;0,'Attrition Modeling'!$N$9,0))),0))</f>
        <v>0</v>
      </c>
      <c r="BU67" s="799">
        <f>IF(BU$11=$F66+1,IF(Monthly!#REF!=TRUE,0,BU$3),IF(BU$11&gt;$F66+1,RentalsVacates!BT66*(1-IF(BU$11-$F66&lt;=12,SUMIFS('Attrition Modeling'!$D:$D,'Attrition Modeling'!$B:$B,$E66,'Attrition Modeling'!$C:$C,BU$10),VLOOKUP(RentalsVacates!BU$11-RentalsVacates!$F66-1,RentalsVacates!$A$7:$C$161,2,FALSE)*VLOOKUP(BU$10,'Attrition Modeling'!$L$15:$N$27,IF(BU$11-$F66&lt;=24,2,3),FALSE))*(1+IF('Traditional Attrition'!BU189&gt;0,'Attrition Modeling'!$N$9,0))),0))</f>
        <v>0</v>
      </c>
    </row>
    <row r="68" spans="1:73" ht="14.25" customHeight="1" x14ac:dyDescent="0.2">
      <c r="A68" s="9">
        <v>60</v>
      </c>
      <c r="B68" s="25">
        <f>MAX('Attrition Modeling'!H64,$C$3)*(1-Summary!$C$20)</f>
        <v>2.2196029891162761E-2</v>
      </c>
      <c r="C68" s="24" t="e">
        <f t="shared" si="2"/>
        <v>#DIV/0!</v>
      </c>
      <c r="E68" s="11">
        <f>'Traditional Attrition'!E125</f>
        <v>7</v>
      </c>
      <c r="F68" s="11">
        <f t="shared" si="4"/>
        <v>55</v>
      </c>
      <c r="G68" s="799"/>
      <c r="H68" s="799">
        <f>IF(H$12=$F68+1,IF(Monthly!D$4=TRUE,0,H$3),IF(H$12&gt;$F68+1,RentalsVacates!G68*(1-IF(H$12-$F68&lt;=12,SUMIFS('Attrition Modeling'!$D:$D,'Attrition Modeling'!$B:$B,$E68,'Attrition Modeling'!$C:$C,H$11),VLOOKUP(RentalsVacates!H$12-RentalsVacates!$F68-1,RentalsVacates!$A$8:$C$162,2,FALSE)*VLOOKUP(H$11,'Attrition Modeling'!$L$15:$N$27,IF(H$12-$F68&lt;=24,2,3),FALSE))*(1+IF('Traditional Attrition'!H190&gt;0,'Attrition Modeling'!$N$9,0))),0))</f>
        <v>0</v>
      </c>
      <c r="I68" s="799">
        <f>IF(I$12=$F68+1,IF(Monthly!E$4=TRUE,0,I$3),IF(I$12&gt;$F68+1,RentalsVacates!H68*(1-IF(I$12-$F68&lt;=12,SUMIFS('Attrition Modeling'!$D:$D,'Attrition Modeling'!$B:$B,$E68,'Attrition Modeling'!$C:$C,I$11),VLOOKUP(RentalsVacates!I$12-RentalsVacates!$F68-1,RentalsVacates!$A$8:$C$162,2,FALSE)*VLOOKUP(I$11,'Attrition Modeling'!$L$15:$N$27,IF(I$12-$F68&lt;=24,2,3),FALSE))*(1+IF('Traditional Attrition'!I190&gt;0,'Attrition Modeling'!$N$9,0))),0))</f>
        <v>0</v>
      </c>
      <c r="J68" s="799">
        <f>IF(J$12=$F68+1,IF(Monthly!F$4=TRUE,0,J$3),IF(J$12&gt;$F68+1,RentalsVacates!I68*(1-IF(J$12-$F68&lt;=12,SUMIFS('Attrition Modeling'!$D:$D,'Attrition Modeling'!$B:$B,$E68,'Attrition Modeling'!$C:$C,J$11),VLOOKUP(RentalsVacates!J$12-RentalsVacates!$F68-1,RentalsVacates!$A$8:$C$162,2,FALSE)*VLOOKUP(J$11,'Attrition Modeling'!$L$15:$N$27,IF(J$12-$F68&lt;=24,2,3),FALSE))*(1+IF('Traditional Attrition'!J190&gt;0,'Attrition Modeling'!$N$9,0))),0))</f>
        <v>0</v>
      </c>
      <c r="K68" s="799">
        <f>IF(K$12=$F68+1,IF(Monthly!G$4=TRUE,0,K$3),IF(K$12&gt;$F68+1,RentalsVacates!J68*(1-IF(K$12-$F68&lt;=12,SUMIFS('Attrition Modeling'!$D:$D,'Attrition Modeling'!$B:$B,$E68,'Attrition Modeling'!$C:$C,K$11),VLOOKUP(RentalsVacates!K$12-RentalsVacates!$F68-1,RentalsVacates!$A$8:$C$162,2,FALSE)*VLOOKUP(K$11,'Attrition Modeling'!$L$15:$N$27,IF(K$12-$F68&lt;=24,2,3),FALSE))*(1+IF('Traditional Attrition'!K190&gt;0,'Attrition Modeling'!$N$9,0))),0))</f>
        <v>0</v>
      </c>
      <c r="L68" s="799">
        <f>IF(L$12=$F68+1,IF(Monthly!H$4=TRUE,0,L$3),IF(L$12&gt;$F68+1,RentalsVacates!K68*(1-IF(L$12-$F68&lt;=12,SUMIFS('Attrition Modeling'!$D:$D,'Attrition Modeling'!$B:$B,$E68,'Attrition Modeling'!$C:$C,L$11),VLOOKUP(RentalsVacates!L$12-RentalsVacates!$F68-1,RentalsVacates!$A$8:$C$162,2,FALSE)*VLOOKUP(L$11,'Attrition Modeling'!$L$15:$N$27,IF(L$12-$F68&lt;=24,2,3),FALSE))*(1+IF('Traditional Attrition'!L190&gt;0,'Attrition Modeling'!$N$9,0))),0))</f>
        <v>0</v>
      </c>
      <c r="M68" s="799">
        <f>IF(M$12=$F68+1,IF(Monthly!I$4=TRUE,0,M$3),IF(M$12&gt;$F68+1,RentalsVacates!L68*(1-IF(M$12-$F68&lt;=12,SUMIFS('Attrition Modeling'!$D:$D,'Attrition Modeling'!$B:$B,$E68,'Attrition Modeling'!$C:$C,M$11),VLOOKUP(RentalsVacates!M$12-RentalsVacates!$F68-1,RentalsVacates!$A$8:$C$162,2,FALSE)*VLOOKUP(M$11,'Attrition Modeling'!$L$15:$N$27,IF(M$12-$F68&lt;=24,2,3),FALSE))*(1+IF('Traditional Attrition'!M190&gt;0,'Attrition Modeling'!$N$9,0))),0))</f>
        <v>0</v>
      </c>
      <c r="N68" s="799">
        <f>IF(N$12=$F68+1,IF(Monthly!J$4=TRUE,0,N$3),IF(N$12&gt;$F68+1,RentalsVacates!M68*(1-IF(N$12-$F68&lt;=12,SUMIFS('Attrition Modeling'!$D:$D,'Attrition Modeling'!$B:$B,$E68,'Attrition Modeling'!$C:$C,N$11),VLOOKUP(RentalsVacates!N$12-RentalsVacates!$F68-1,RentalsVacates!$A$8:$C$162,2,FALSE)*VLOOKUP(N$11,'Attrition Modeling'!$L$15:$N$27,IF(N$12-$F68&lt;=24,2,3),FALSE))*(1+IF('Traditional Attrition'!N190&gt;0,'Attrition Modeling'!$N$9,0))),0))</f>
        <v>0</v>
      </c>
      <c r="O68" s="799">
        <f>IF(O$12=$F68+1,IF(Monthly!K$4=TRUE,0,O$3),IF(O$12&gt;$F68+1,RentalsVacates!N68*(1-IF(O$12-$F68&lt;=12,SUMIFS('Attrition Modeling'!$D:$D,'Attrition Modeling'!$B:$B,$E68,'Attrition Modeling'!$C:$C,O$11),VLOOKUP(RentalsVacates!O$12-RentalsVacates!$F68-1,RentalsVacates!$A$8:$C$162,2,FALSE)*VLOOKUP(O$11,'Attrition Modeling'!$L$15:$N$27,IF(O$12-$F68&lt;=24,2,3),FALSE))*(1+IF('Traditional Attrition'!O190&gt;0,'Attrition Modeling'!$N$9,0))),0))</f>
        <v>0</v>
      </c>
      <c r="P68" s="799">
        <f>IF(P$12=$F68+1,IF(Monthly!L$4=TRUE,0,P$3),IF(P$12&gt;$F68+1,RentalsVacates!O68*(1-IF(P$12-$F68&lt;=12,SUMIFS('Attrition Modeling'!$D:$D,'Attrition Modeling'!$B:$B,$E68,'Attrition Modeling'!$C:$C,P$11),VLOOKUP(RentalsVacates!P$12-RentalsVacates!$F68-1,RentalsVacates!$A$8:$C$162,2,FALSE)*VLOOKUP(P$11,'Attrition Modeling'!$L$15:$N$27,IF(P$12-$F68&lt;=24,2,3),FALSE))*(1+IF('Traditional Attrition'!P190&gt;0,'Attrition Modeling'!$N$9,0))),0))</f>
        <v>0</v>
      </c>
      <c r="Q68" s="799">
        <f>IF(Q$12=$F68+1,IF(Monthly!M$4=TRUE,0,Q$3),IF(Q$12&gt;$F68+1,RentalsVacates!P68*(1-IF(Q$12-$F68&lt;=12,SUMIFS('Attrition Modeling'!$D:$D,'Attrition Modeling'!$B:$B,$E68,'Attrition Modeling'!$C:$C,Q$11),VLOOKUP(RentalsVacates!Q$12-RentalsVacates!$F68-1,RentalsVacates!$A$8:$C$162,2,FALSE)*VLOOKUP(Q$11,'Attrition Modeling'!$L$15:$N$27,IF(Q$12-$F68&lt;=24,2,3),FALSE))*(1+IF('Traditional Attrition'!Q190&gt;0,'Attrition Modeling'!$N$9,0))),0))</f>
        <v>0</v>
      </c>
      <c r="R68" s="799">
        <f>IF(R$12=$F68+1,IF(Monthly!N$4=TRUE,0,R$3),IF(R$12&gt;$F68+1,RentalsVacates!Q68*(1-IF(R$12-$F68&lt;=12,SUMIFS('Attrition Modeling'!$D:$D,'Attrition Modeling'!$B:$B,$E68,'Attrition Modeling'!$C:$C,R$11),VLOOKUP(RentalsVacates!R$12-RentalsVacates!$F68-1,RentalsVacates!$A$8:$C$162,2,FALSE)*VLOOKUP(R$11,'Attrition Modeling'!$L$15:$N$27,IF(R$12-$F68&lt;=24,2,3),FALSE))*(1+IF('Traditional Attrition'!R190&gt;0,'Attrition Modeling'!$N$9,0))),0))</f>
        <v>0</v>
      </c>
      <c r="S68" s="799">
        <f>IF(S$12=$F68+1,IF(Monthly!O$4=TRUE,0,S$3),IF(S$12&gt;$F68+1,RentalsVacates!R68*(1-IF(S$12-$F68&lt;=12,SUMIFS('Attrition Modeling'!$D:$D,'Attrition Modeling'!$B:$B,$E68,'Attrition Modeling'!$C:$C,S$11),VLOOKUP(RentalsVacates!S$12-RentalsVacates!$F68-1,RentalsVacates!$A$8:$C$162,2,FALSE)*VLOOKUP(S$11,'Attrition Modeling'!$L$15:$N$27,IF(S$12-$F68&lt;=24,2,3),FALSE))*(1+IF('Traditional Attrition'!S190&gt;0,'Attrition Modeling'!$N$9,0))),0))</f>
        <v>0</v>
      </c>
      <c r="T68" s="799">
        <f>IF(T$12=$F68+1,IF(Monthly!P$4=TRUE,0,T$3),IF(T$12&gt;$F68+1,RentalsVacates!S68*(1-IF(T$12-$F68&lt;=12,SUMIFS('Attrition Modeling'!$D:$D,'Attrition Modeling'!$B:$B,$E68,'Attrition Modeling'!$C:$C,T$11),VLOOKUP(RentalsVacates!T$12-RentalsVacates!$F68-1,RentalsVacates!$A$8:$C$162,2,FALSE)*VLOOKUP(T$11,'Attrition Modeling'!$L$15:$N$27,IF(T$12-$F68&lt;=24,2,3),FALSE))*(1+IF('Traditional Attrition'!T190&gt;0,'Attrition Modeling'!$N$9,0))),0))</f>
        <v>0</v>
      </c>
      <c r="U68" s="799">
        <f>IF(U$12=$F68+1,IF(Monthly!Q$4=TRUE,0,U$3),IF(U$12&gt;$F68+1,RentalsVacates!T68*(1-IF(U$12-$F68&lt;=12,SUMIFS('Attrition Modeling'!$D:$D,'Attrition Modeling'!$B:$B,$E68,'Attrition Modeling'!$C:$C,U$11),VLOOKUP(RentalsVacates!U$12-RentalsVacates!$F68-1,RentalsVacates!$A$8:$C$162,2,FALSE)*VLOOKUP(U$11,'Attrition Modeling'!$L$15:$N$27,IF(U$12-$F68&lt;=24,2,3),FALSE))*(1+IF('Traditional Attrition'!U190&gt;0,'Attrition Modeling'!$N$9,0))),0))</f>
        <v>0</v>
      </c>
      <c r="V68" s="799">
        <f>IF(V$12=$F68+1,IF(Monthly!R$4=TRUE,0,V$3),IF(V$12&gt;$F68+1,RentalsVacates!U68*(1-IF(V$12-$F68&lt;=12,SUMIFS('Attrition Modeling'!$D:$D,'Attrition Modeling'!$B:$B,$E68,'Attrition Modeling'!$C:$C,V$11),VLOOKUP(RentalsVacates!V$12-RentalsVacates!$F68-1,RentalsVacates!$A$8:$C$162,2,FALSE)*VLOOKUP(V$11,'Attrition Modeling'!$L$15:$N$27,IF(V$12-$F68&lt;=24,2,3),FALSE))*(1+IF('Traditional Attrition'!V190&gt;0,'Attrition Modeling'!$N$9,0))),0))</f>
        <v>0</v>
      </c>
      <c r="W68" s="799">
        <f>IF(W$12=$F68+1,IF(Monthly!S$4=TRUE,0,W$3),IF(W$12&gt;$F68+1,RentalsVacates!V68*(1-IF(W$12-$F68&lt;=12,SUMIFS('Attrition Modeling'!$D:$D,'Attrition Modeling'!$B:$B,$E68,'Attrition Modeling'!$C:$C,W$11),VLOOKUP(RentalsVacates!W$12-RentalsVacates!$F68-1,RentalsVacates!$A$8:$C$162,2,FALSE)*VLOOKUP(W$11,'Attrition Modeling'!$L$15:$N$27,IF(W$12-$F68&lt;=24,2,3),FALSE))*(1+IF('Traditional Attrition'!W190&gt;0,'Attrition Modeling'!$N$9,0))),0))</f>
        <v>0</v>
      </c>
      <c r="X68" s="799">
        <f>IF(X$12=$F68+1,IF(Monthly!T$4=TRUE,0,X$3),IF(X$12&gt;$F68+1,RentalsVacates!W68*(1-IF(X$12-$F68&lt;=12,SUMIFS('Attrition Modeling'!$D:$D,'Attrition Modeling'!$B:$B,$E68,'Attrition Modeling'!$C:$C,X$11),VLOOKUP(RentalsVacates!X$12-RentalsVacates!$F68-1,RentalsVacates!$A$8:$C$162,2,FALSE)*VLOOKUP(X$11,'Attrition Modeling'!$L$15:$N$27,IF(X$12-$F68&lt;=24,2,3),FALSE))*(1+IF('Traditional Attrition'!X190&gt;0,'Attrition Modeling'!$N$9,0))),0))</f>
        <v>0</v>
      </c>
      <c r="Y68" s="799">
        <f>IF(Y$12=$F68+1,IF(Monthly!U$4=TRUE,0,Y$3),IF(Y$12&gt;$F68+1,RentalsVacates!X68*(1-IF(Y$12-$F68&lt;=12,SUMIFS('Attrition Modeling'!$D:$D,'Attrition Modeling'!$B:$B,$E68,'Attrition Modeling'!$C:$C,Y$11),VLOOKUP(RentalsVacates!Y$12-RentalsVacates!$F68-1,RentalsVacates!$A$8:$C$162,2,FALSE)*VLOOKUP(Y$11,'Attrition Modeling'!$L$15:$N$27,IF(Y$12-$F68&lt;=24,2,3),FALSE))*(1+IF('Traditional Attrition'!Y190&gt;0,'Attrition Modeling'!$N$9,0))),0))</f>
        <v>0</v>
      </c>
      <c r="Z68" s="799">
        <f>IF(Z$12=$F68+1,IF(Monthly!V$4=TRUE,0,Z$3),IF(Z$12&gt;$F68+1,RentalsVacates!Y68*(1-IF(Z$12-$F68&lt;=12,SUMIFS('Attrition Modeling'!$D:$D,'Attrition Modeling'!$B:$B,$E68,'Attrition Modeling'!$C:$C,Z$11),VLOOKUP(RentalsVacates!Z$12-RentalsVacates!$F68-1,RentalsVacates!$A$8:$C$162,2,FALSE)*VLOOKUP(Z$11,'Attrition Modeling'!$L$15:$N$27,IF(Z$12-$F68&lt;=24,2,3),FALSE))*(1+IF('Traditional Attrition'!Z190&gt;0,'Attrition Modeling'!$N$9,0))),0))</f>
        <v>0</v>
      </c>
      <c r="AA68" s="799">
        <f>IF(AA$12=$F68+1,IF(Monthly!W$4=TRUE,0,AA$3),IF(AA$12&gt;$F68+1,RentalsVacates!Z68*(1-IF(AA$12-$F68&lt;=12,SUMIFS('Attrition Modeling'!$D:$D,'Attrition Modeling'!$B:$B,$E68,'Attrition Modeling'!$C:$C,AA$11),VLOOKUP(RentalsVacates!AA$12-RentalsVacates!$F68-1,RentalsVacates!$A$8:$C$162,2,FALSE)*VLOOKUP(AA$11,'Attrition Modeling'!$L$15:$N$27,IF(AA$12-$F68&lt;=24,2,3),FALSE))*(1+IF('Traditional Attrition'!AA190&gt;0,'Attrition Modeling'!$N$9,0))),0))</f>
        <v>0</v>
      </c>
      <c r="AB68" s="799">
        <f>IF(AB$12=$F68+1,IF(Monthly!X$4=TRUE,0,AB$3),IF(AB$12&gt;$F68+1,RentalsVacates!AA68*(1-IF(AB$12-$F68&lt;=12,SUMIFS('Attrition Modeling'!$D:$D,'Attrition Modeling'!$B:$B,$E68,'Attrition Modeling'!$C:$C,AB$11),VLOOKUP(RentalsVacates!AB$12-RentalsVacates!$F68-1,RentalsVacates!$A$8:$C$162,2,FALSE)*VLOOKUP(AB$11,'Attrition Modeling'!$L$15:$N$27,IF(AB$12-$F68&lt;=24,2,3),FALSE))*(1+IF('Traditional Attrition'!AB190&gt;0,'Attrition Modeling'!$N$9,0))),0))</f>
        <v>0</v>
      </c>
      <c r="AC68" s="799">
        <f>IF(AC$12=$F68+1,IF(Monthly!Y$4=TRUE,0,AC$3),IF(AC$12&gt;$F68+1,RentalsVacates!AB68*(1-IF(AC$12-$F68&lt;=12,SUMIFS('Attrition Modeling'!$D:$D,'Attrition Modeling'!$B:$B,$E68,'Attrition Modeling'!$C:$C,AC$11),VLOOKUP(RentalsVacates!AC$12-RentalsVacates!$F68-1,RentalsVacates!$A$8:$C$162,2,FALSE)*VLOOKUP(AC$11,'Attrition Modeling'!$L$15:$N$27,IF(AC$12-$F68&lt;=24,2,3),FALSE))*(1+IF('Traditional Attrition'!AC190&gt;0,'Attrition Modeling'!$N$9,0))),0))</f>
        <v>0</v>
      </c>
      <c r="AD68" s="799">
        <f>IF(AD$12=$F68+1,IF(Monthly!Z$4=TRUE,0,AD$3),IF(AD$12&gt;$F68+1,RentalsVacates!AC68*(1-IF(AD$12-$F68&lt;=12,SUMIFS('Attrition Modeling'!$D:$D,'Attrition Modeling'!$B:$B,$E68,'Attrition Modeling'!$C:$C,AD$11),VLOOKUP(RentalsVacates!AD$12-RentalsVacates!$F68-1,RentalsVacates!$A$8:$C$162,2,FALSE)*VLOOKUP(AD$11,'Attrition Modeling'!$L$15:$N$27,IF(AD$12-$F68&lt;=24,2,3),FALSE))*(1+IF('Traditional Attrition'!AD190&gt;0,'Attrition Modeling'!$N$9,0))),0))</f>
        <v>0</v>
      </c>
      <c r="AE68" s="799">
        <f>IF(AE$12=$F68+1,IF(Monthly!AA$4=TRUE,0,AE$3),IF(AE$12&gt;$F68+1,RentalsVacates!AD68*(1-IF(AE$12-$F68&lt;=12,SUMIFS('Attrition Modeling'!$D:$D,'Attrition Modeling'!$B:$B,$E68,'Attrition Modeling'!$C:$C,AE$11),VLOOKUP(RentalsVacates!AE$12-RentalsVacates!$F68-1,RentalsVacates!$A$8:$C$162,2,FALSE)*VLOOKUP(AE$11,'Attrition Modeling'!$L$15:$N$27,IF(AE$12-$F68&lt;=24,2,3),FALSE))*(1+IF('Traditional Attrition'!AE190&gt;0,'Attrition Modeling'!$N$9,0))),0))</f>
        <v>0</v>
      </c>
      <c r="AF68" s="799">
        <f>IF(AF$12=$F68+1,IF(Monthly!AB$4=TRUE,0,AF$3),IF(AF$12&gt;$F68+1,RentalsVacates!AE68*(1-IF(AF$12-$F68&lt;=12,SUMIFS('Attrition Modeling'!$D:$D,'Attrition Modeling'!$B:$B,$E68,'Attrition Modeling'!$C:$C,AF$11),VLOOKUP(RentalsVacates!AF$12-RentalsVacates!$F68-1,RentalsVacates!$A$8:$C$162,2,FALSE)*VLOOKUP(AF$11,'Attrition Modeling'!$L$15:$N$27,IF(AF$12-$F68&lt;=24,2,3),FALSE))*(1+IF('Traditional Attrition'!AF190&gt;0,'Attrition Modeling'!$N$9,0))),0))</f>
        <v>0</v>
      </c>
      <c r="AG68" s="799">
        <f>IF(AG$12=$F68+1,IF(Monthly!AC$4=TRUE,0,AG$3),IF(AG$12&gt;$F68+1,RentalsVacates!AF68*(1-IF(AG$12-$F68&lt;=12,SUMIFS('Attrition Modeling'!$D:$D,'Attrition Modeling'!$B:$B,$E68,'Attrition Modeling'!$C:$C,AG$11),VLOOKUP(RentalsVacates!AG$12-RentalsVacates!$F68-1,RentalsVacates!$A$8:$C$162,2,FALSE)*VLOOKUP(AG$11,'Attrition Modeling'!$L$15:$N$27,IF(AG$12-$F68&lt;=24,2,3),FALSE))*(1+IF('Traditional Attrition'!AG190&gt;0,'Attrition Modeling'!$N$9,0))),0))</f>
        <v>0</v>
      </c>
      <c r="AH68" s="799">
        <f>IF(AH$12=$F68+1,IF(Monthly!AD$4=TRUE,0,AH$3),IF(AH$12&gt;$F68+1,RentalsVacates!AG68*(1-IF(AH$12-$F68&lt;=12,SUMIFS('Attrition Modeling'!$D:$D,'Attrition Modeling'!$B:$B,$E68,'Attrition Modeling'!$C:$C,AH$11),VLOOKUP(RentalsVacates!AH$12-RentalsVacates!$F68-1,RentalsVacates!$A$8:$C$162,2,FALSE)*VLOOKUP(AH$11,'Attrition Modeling'!$L$15:$N$27,IF(AH$12-$F68&lt;=24,2,3),FALSE))*(1+IF('Traditional Attrition'!AH190&gt;0,'Attrition Modeling'!$N$9,0))),0))</f>
        <v>0</v>
      </c>
      <c r="AI68" s="799">
        <f>IF(AI$12=$F68+1,IF(Monthly!AE$4=TRUE,0,AI$3),IF(AI$12&gt;$F68+1,RentalsVacates!AH68*(1-IF(AI$12-$F68&lt;=12,SUMIFS('Attrition Modeling'!$D:$D,'Attrition Modeling'!$B:$B,$E68,'Attrition Modeling'!$C:$C,AI$11),VLOOKUP(RentalsVacates!AI$12-RentalsVacates!$F68-1,RentalsVacates!$A$8:$C$162,2,FALSE)*VLOOKUP(AI$11,'Attrition Modeling'!$L$15:$N$27,IF(AI$12-$F68&lt;=24,2,3),FALSE))*(1+IF('Traditional Attrition'!AI190&gt;0,'Attrition Modeling'!$N$9,0))),0))</f>
        <v>0</v>
      </c>
      <c r="AJ68" s="799">
        <f>IF(AJ$12=$F68+1,IF(Monthly!AF$4=TRUE,0,AJ$3),IF(AJ$12&gt;$F68+1,RentalsVacates!AI68*(1-IF(AJ$12-$F68&lt;=12,SUMIFS('Attrition Modeling'!$D:$D,'Attrition Modeling'!$B:$B,$E68,'Attrition Modeling'!$C:$C,AJ$11),VLOOKUP(RentalsVacates!AJ$12-RentalsVacates!$F68-1,RentalsVacates!$A$8:$C$162,2,FALSE)*VLOOKUP(AJ$11,'Attrition Modeling'!$L$15:$N$27,IF(AJ$12-$F68&lt;=24,2,3),FALSE))*(1+IF('Traditional Attrition'!AJ190&gt;0,'Attrition Modeling'!$N$9,0))),0))</f>
        <v>0</v>
      </c>
      <c r="AK68" s="799">
        <f>IF(AK$12=$F68+1,IF(Monthly!AG$4=TRUE,0,AK$3),IF(AK$12&gt;$F68+1,RentalsVacates!AJ68*(1-IF(AK$12-$F68&lt;=12,SUMIFS('Attrition Modeling'!$D:$D,'Attrition Modeling'!$B:$B,$E68,'Attrition Modeling'!$C:$C,AK$11),VLOOKUP(RentalsVacates!AK$12-RentalsVacates!$F68-1,RentalsVacates!$A$8:$C$162,2,FALSE)*VLOOKUP(AK$11,'Attrition Modeling'!$L$15:$N$27,IF(AK$12-$F68&lt;=24,2,3),FALSE))*(1+IF('Traditional Attrition'!AK190&gt;0,'Attrition Modeling'!$N$9,0))),0))</f>
        <v>0</v>
      </c>
      <c r="AL68" s="799">
        <f>IF(AL$12=$F68+1,IF(Monthly!AH$4=TRUE,0,AL$3),IF(AL$12&gt;$F68+1,RentalsVacates!AK68*(1-IF(AL$12-$F68&lt;=12,SUMIFS('Attrition Modeling'!$D:$D,'Attrition Modeling'!$B:$B,$E68,'Attrition Modeling'!$C:$C,AL$11),VLOOKUP(RentalsVacates!AL$12-RentalsVacates!$F68-1,RentalsVacates!$A$8:$C$162,2,FALSE)*VLOOKUP(AL$11,'Attrition Modeling'!$L$15:$N$27,IF(AL$12-$F68&lt;=24,2,3),FALSE))*(1+IF('Traditional Attrition'!AL190&gt;0,'Attrition Modeling'!$N$9,0))),0))</f>
        <v>0</v>
      </c>
      <c r="AM68" s="799">
        <f>IF(AM$12=$F68+1,IF(Monthly!AI$4=TRUE,0,AM$3),IF(AM$12&gt;$F68+1,RentalsVacates!AL68*(1-IF(AM$12-$F68&lt;=12,SUMIFS('Attrition Modeling'!$D:$D,'Attrition Modeling'!$B:$B,$E68,'Attrition Modeling'!$C:$C,AM$11),VLOOKUP(RentalsVacates!AM$12-RentalsVacates!$F68-1,RentalsVacates!$A$8:$C$162,2,FALSE)*VLOOKUP(AM$11,'Attrition Modeling'!$L$15:$N$27,IF(AM$12-$F68&lt;=24,2,3),FALSE))*(1+IF('Traditional Attrition'!AM190&gt;0,'Attrition Modeling'!$N$9,0))),0))</f>
        <v>0</v>
      </c>
      <c r="AN68" s="799">
        <f>IF(AN$12=$F68+1,IF(Monthly!AJ$4=TRUE,0,AN$3),IF(AN$12&gt;$F68+1,RentalsVacates!AM68*(1-IF(AN$12-$F68&lt;=12,SUMIFS('Attrition Modeling'!$D:$D,'Attrition Modeling'!$B:$B,$E68,'Attrition Modeling'!$C:$C,AN$11),VLOOKUP(RentalsVacates!AN$12-RentalsVacates!$F68-1,RentalsVacates!$A$8:$C$162,2,FALSE)*VLOOKUP(AN$11,'Attrition Modeling'!$L$15:$N$27,IF(AN$12-$F68&lt;=24,2,3),FALSE))*(1+IF('Traditional Attrition'!AN190&gt;0,'Attrition Modeling'!$N$9,0))),0))</f>
        <v>0</v>
      </c>
      <c r="AO68" s="799">
        <f>IF(AO$12=$F68+1,IF(Monthly!AK$4=TRUE,0,AO$3),IF(AO$12&gt;$F68+1,RentalsVacates!AN68*(1-IF(AO$12-$F68&lt;=12,SUMIFS('Attrition Modeling'!$D:$D,'Attrition Modeling'!$B:$B,$E68,'Attrition Modeling'!$C:$C,AO$11),VLOOKUP(RentalsVacates!AO$12-RentalsVacates!$F68-1,RentalsVacates!$A$8:$C$162,2,FALSE)*VLOOKUP(AO$11,'Attrition Modeling'!$L$15:$N$27,IF(AO$12-$F68&lt;=24,2,3),FALSE))*(1+IF('Traditional Attrition'!AO190&gt;0,'Attrition Modeling'!$N$9,0))),0))</f>
        <v>0</v>
      </c>
      <c r="AP68" s="799">
        <f>IF(AP$12=$F68+1,IF(Monthly!AL$4=TRUE,0,AP$3),IF(AP$12&gt;$F68+1,RentalsVacates!AO68*(1-IF(AP$12-$F68&lt;=12,SUMIFS('Attrition Modeling'!$D:$D,'Attrition Modeling'!$B:$B,$E68,'Attrition Modeling'!$C:$C,AP$11),VLOOKUP(RentalsVacates!AP$12-RentalsVacates!$F68-1,RentalsVacates!$A$8:$C$162,2,FALSE)*VLOOKUP(AP$11,'Attrition Modeling'!$L$15:$N$27,IF(AP$12-$F68&lt;=24,2,3),FALSE))*(1+IF('Traditional Attrition'!AP190&gt;0,'Attrition Modeling'!$N$9,0))),0))</f>
        <v>0</v>
      </c>
      <c r="AQ68" s="799">
        <f>IF(AQ$12=$F68+1,IF(Monthly!AM$4=TRUE,0,AQ$3),IF(AQ$12&gt;$F68+1,RentalsVacates!AP68*(1-IF(AQ$12-$F68&lt;=12,SUMIFS('Attrition Modeling'!$D:$D,'Attrition Modeling'!$B:$B,$E68,'Attrition Modeling'!$C:$C,AQ$11),VLOOKUP(RentalsVacates!AQ$12-RentalsVacates!$F68-1,RentalsVacates!$A$8:$C$162,2,FALSE)*VLOOKUP(AQ$11,'Attrition Modeling'!$L$15:$N$27,IF(AQ$12-$F68&lt;=24,2,3),FALSE))*(1+IF('Traditional Attrition'!AQ190&gt;0,'Attrition Modeling'!$N$9,0))),0))</f>
        <v>0</v>
      </c>
      <c r="AR68" s="799">
        <f>IF(AR$12=$F68+1,IF(Monthly!AN$4=TRUE,0,AR$3),IF(AR$12&gt;$F68+1,RentalsVacates!AQ68*(1-IF(AR$12-$F68&lt;=12,SUMIFS('Attrition Modeling'!$D:$D,'Attrition Modeling'!$B:$B,$E68,'Attrition Modeling'!$C:$C,AR$11),VLOOKUP(RentalsVacates!AR$12-RentalsVacates!$F68-1,RentalsVacates!$A$8:$C$162,2,FALSE)*VLOOKUP(AR$11,'Attrition Modeling'!$L$15:$N$27,IF(AR$12-$F68&lt;=24,2,3),FALSE))*(1+IF('Traditional Attrition'!AR190&gt;0,'Attrition Modeling'!$N$9,0))),0))</f>
        <v>0</v>
      </c>
      <c r="AS68" s="799">
        <f>IF(AS$12=$F68+1,IF(Monthly!AO$4=TRUE,0,AS$3),IF(AS$12&gt;$F68+1,RentalsVacates!AR68*(1-IF(AS$12-$F68&lt;=12,SUMIFS('Attrition Modeling'!$D:$D,'Attrition Modeling'!$B:$B,$E68,'Attrition Modeling'!$C:$C,AS$11),VLOOKUP(RentalsVacates!AS$12-RentalsVacates!$F68-1,RentalsVacates!$A$8:$C$162,2,FALSE)*VLOOKUP(AS$11,'Attrition Modeling'!$L$15:$N$27,IF(AS$12-$F68&lt;=24,2,3),FALSE))*(1+IF('Traditional Attrition'!AS190&gt;0,'Attrition Modeling'!$N$9,0))),0))</f>
        <v>0</v>
      </c>
      <c r="AT68" s="799">
        <f>IF(AT$12=$F68+1,IF(Monthly!AP$4=TRUE,0,AT$3),IF(AT$12&gt;$F68+1,RentalsVacates!AS68*(1-IF(AT$12-$F68&lt;=12,SUMIFS('Attrition Modeling'!$D:$D,'Attrition Modeling'!$B:$B,$E68,'Attrition Modeling'!$C:$C,AT$11),VLOOKUP(RentalsVacates!AT$12-RentalsVacates!$F68-1,RentalsVacates!$A$8:$C$162,2,FALSE)*VLOOKUP(AT$11,'Attrition Modeling'!$L$15:$N$27,IF(AT$12-$F68&lt;=24,2,3),FALSE))*(1+IF('Traditional Attrition'!AT190&gt;0,'Attrition Modeling'!$N$9,0))),0))</f>
        <v>0</v>
      </c>
      <c r="AU68" s="799">
        <f>IF(AU$12=$F68+1,IF(Monthly!AQ$4=TRUE,0,AU$3),IF(AU$12&gt;$F68+1,RentalsVacates!AT68*(1-IF(AU$12-$F68&lt;=12,SUMIFS('Attrition Modeling'!$D:$D,'Attrition Modeling'!$B:$B,$E68,'Attrition Modeling'!$C:$C,AU$11),VLOOKUP(RentalsVacates!AU$12-RentalsVacates!$F68-1,RentalsVacates!$A$8:$C$162,2,FALSE)*VLOOKUP(AU$11,'Attrition Modeling'!$L$15:$N$27,IF(AU$12-$F68&lt;=24,2,3),FALSE))*(1+IF('Traditional Attrition'!AU190&gt;0,'Attrition Modeling'!$N$9,0))),0))</f>
        <v>0</v>
      </c>
      <c r="AV68" s="799">
        <f>IF(AV$12=$F68+1,IF(Monthly!AR$4=TRUE,0,AV$3),IF(AV$12&gt;$F68+1,RentalsVacates!AU68*(1-IF(AV$12-$F68&lt;=12,SUMIFS('Attrition Modeling'!$D:$D,'Attrition Modeling'!$B:$B,$E68,'Attrition Modeling'!$C:$C,AV$11),VLOOKUP(RentalsVacates!AV$12-RentalsVacates!$F68-1,RentalsVacates!$A$8:$C$162,2,FALSE)*VLOOKUP(AV$11,'Attrition Modeling'!$L$15:$N$27,IF(AV$12-$F68&lt;=24,2,3),FALSE))*(1+IF('Traditional Attrition'!AV190&gt;0,'Attrition Modeling'!$N$9,0))),0))</f>
        <v>0</v>
      </c>
      <c r="AW68" s="799">
        <f>IF(AW$12=$F68+1,IF(Monthly!AS$4=TRUE,0,AW$3),IF(AW$12&gt;$F68+1,RentalsVacates!AV68*(1-IF(AW$12-$F68&lt;=12,SUMIFS('Attrition Modeling'!$D:$D,'Attrition Modeling'!$B:$B,$E68,'Attrition Modeling'!$C:$C,AW$11),VLOOKUP(RentalsVacates!AW$12-RentalsVacates!$F68-1,RentalsVacates!$A$8:$C$162,2,FALSE)*VLOOKUP(AW$11,'Attrition Modeling'!$L$15:$N$27,IF(AW$12-$F68&lt;=24,2,3),FALSE))*(1+IF('Traditional Attrition'!AW190&gt;0,'Attrition Modeling'!$N$9,0))),0))</f>
        <v>0</v>
      </c>
      <c r="AX68" s="799">
        <f>IF(AX$12=$F68+1,IF(Monthly!AT$4=TRUE,0,AX$3),IF(AX$12&gt;$F68+1,RentalsVacates!AW68*(1-IF(AX$12-$F68&lt;=12,SUMIFS('Attrition Modeling'!$D:$D,'Attrition Modeling'!$B:$B,$E68,'Attrition Modeling'!$C:$C,AX$11),VLOOKUP(RentalsVacates!AX$12-RentalsVacates!$F68-1,RentalsVacates!$A$8:$C$162,2,FALSE)*VLOOKUP(AX$11,'Attrition Modeling'!$L$15:$N$27,IF(AX$12-$F68&lt;=24,2,3),FALSE))*(1+IF('Traditional Attrition'!AX190&gt;0,'Attrition Modeling'!$N$9,0))),0))</f>
        <v>0</v>
      </c>
      <c r="AY68" s="799">
        <f>IF(AY$12=$F68+1,IF(Monthly!AU$4=TRUE,0,AY$3),IF(AY$12&gt;$F68+1,RentalsVacates!AX68*(1-IF(AY$12-$F68&lt;=12,SUMIFS('Attrition Modeling'!$D:$D,'Attrition Modeling'!$B:$B,$E68,'Attrition Modeling'!$C:$C,AY$11),VLOOKUP(RentalsVacates!AY$12-RentalsVacates!$F68-1,RentalsVacates!$A$8:$C$162,2,FALSE)*VLOOKUP(AY$11,'Attrition Modeling'!$L$15:$N$27,IF(AY$12-$F68&lt;=24,2,3),FALSE))*(1+IF('Traditional Attrition'!AY190&gt;0,'Attrition Modeling'!$N$9,0))),0))</f>
        <v>0</v>
      </c>
      <c r="AZ68" s="799">
        <f>IF(AZ$12=$F68+1,IF(Monthly!AV$4=TRUE,0,AZ$3),IF(AZ$12&gt;$F68+1,RentalsVacates!AY68*(1-IF(AZ$12-$F68&lt;=12,SUMIFS('Attrition Modeling'!$D:$D,'Attrition Modeling'!$B:$B,$E68,'Attrition Modeling'!$C:$C,AZ$11),VLOOKUP(RentalsVacates!AZ$12-RentalsVacates!$F68-1,RentalsVacates!$A$8:$C$162,2,FALSE)*VLOOKUP(AZ$11,'Attrition Modeling'!$L$15:$N$27,IF(AZ$12-$F68&lt;=24,2,3),FALSE))*(1+IF('Traditional Attrition'!AZ190&gt;0,'Attrition Modeling'!$N$9,0))),0))</f>
        <v>0</v>
      </c>
      <c r="BA68" s="799">
        <f>IF(BA$12=$F68+1,IF(Monthly!AW$4=TRUE,0,BA$3),IF(BA$12&gt;$F68+1,RentalsVacates!AZ68*(1-IF(BA$12-$F68&lt;=12,SUMIFS('Attrition Modeling'!$D:$D,'Attrition Modeling'!$B:$B,$E68,'Attrition Modeling'!$C:$C,BA$11),VLOOKUP(RentalsVacates!BA$12-RentalsVacates!$F68-1,RentalsVacates!$A$8:$C$162,2,FALSE)*VLOOKUP(BA$11,'Attrition Modeling'!$L$15:$N$27,IF(BA$12-$F68&lt;=24,2,3),FALSE))*(1+IF('Traditional Attrition'!BA190&gt;0,'Attrition Modeling'!$N$9,0))),0))</f>
        <v>0</v>
      </c>
      <c r="BB68" s="799">
        <f>IF(BB$12=$F68+1,IF(Monthly!AX$4=TRUE,0,BB$3),IF(BB$12&gt;$F68+1,RentalsVacates!BA68*(1-IF(BB$12-$F68&lt;=12,SUMIFS('Attrition Modeling'!$D:$D,'Attrition Modeling'!$B:$B,$E68,'Attrition Modeling'!$C:$C,BB$11),VLOOKUP(RentalsVacates!BB$12-RentalsVacates!$F68-1,RentalsVacates!$A$8:$C$162,2,FALSE)*VLOOKUP(BB$11,'Attrition Modeling'!$L$15:$N$27,IF(BB$12-$F68&lt;=24,2,3),FALSE))*(1+IF('Traditional Attrition'!BB190&gt;0,'Attrition Modeling'!$N$9,0))),0))</f>
        <v>0</v>
      </c>
      <c r="BC68" s="799">
        <f>IF(BC$12=$F68+1,IF(Monthly!AY$4=TRUE,0,BC$3),IF(BC$12&gt;$F68+1,RentalsVacates!BB68*(1-IF(BC$12-$F68&lt;=12,SUMIFS('Attrition Modeling'!$D:$D,'Attrition Modeling'!$B:$B,$E68,'Attrition Modeling'!$C:$C,BC$11),VLOOKUP(RentalsVacates!BC$12-RentalsVacates!$F68-1,RentalsVacates!$A$8:$C$162,2,FALSE)*VLOOKUP(BC$11,'Attrition Modeling'!$L$15:$N$27,IF(BC$12-$F68&lt;=24,2,3),FALSE))*(1+IF('Traditional Attrition'!BC190&gt;0,'Attrition Modeling'!$N$9,0))),0))</f>
        <v>0</v>
      </c>
      <c r="BD68" s="799">
        <f>IF(BD$12=$F68+1,IF(Monthly!AZ$4=TRUE,0,BD$3),IF(BD$12&gt;$F68+1,RentalsVacates!BC68*(1-IF(BD$12-$F68&lt;=12,SUMIFS('Attrition Modeling'!$D:$D,'Attrition Modeling'!$B:$B,$E68,'Attrition Modeling'!$C:$C,BD$11),VLOOKUP(RentalsVacates!BD$12-RentalsVacates!$F68-1,RentalsVacates!$A$8:$C$162,2,FALSE)*VLOOKUP(BD$11,'Attrition Modeling'!$L$15:$N$27,IF(BD$12-$F68&lt;=24,2,3),FALSE))*(1+IF('Traditional Attrition'!BD190&gt;0,'Attrition Modeling'!$N$9,0))),0))</f>
        <v>0</v>
      </c>
      <c r="BE68" s="799">
        <f>IF(BE$12=$F68+1,IF(Monthly!BA$4=TRUE,0,BE$3),IF(BE$12&gt;$F68+1,RentalsVacates!BD68*(1-IF(BE$12-$F68&lt;=12,SUMIFS('Attrition Modeling'!$D:$D,'Attrition Modeling'!$B:$B,$E68,'Attrition Modeling'!$C:$C,BE$11),VLOOKUP(RentalsVacates!BE$12-RentalsVacates!$F68-1,RentalsVacates!$A$8:$C$162,2,FALSE)*VLOOKUP(BE$11,'Attrition Modeling'!$L$15:$N$27,IF(BE$12-$F68&lt;=24,2,3),FALSE))*(1+IF('Traditional Attrition'!BE190&gt;0,'Attrition Modeling'!$N$9,0))),0))</f>
        <v>0</v>
      </c>
      <c r="BF68" s="799">
        <f>IF(BF$12=$F68+1,IF(Monthly!BB$4=TRUE,0,BF$3),IF(BF$12&gt;$F68+1,RentalsVacates!BE68*(1-IF(BF$12-$F68&lt;=12,SUMIFS('Attrition Modeling'!$D:$D,'Attrition Modeling'!$B:$B,$E68,'Attrition Modeling'!$C:$C,BF$11),VLOOKUP(RentalsVacates!BF$12-RentalsVacates!$F68-1,RentalsVacates!$A$8:$C$162,2,FALSE)*VLOOKUP(BF$11,'Attrition Modeling'!$L$15:$N$27,IF(BF$12-$F68&lt;=24,2,3),FALSE))*(1+IF('Traditional Attrition'!BF190&gt;0,'Attrition Modeling'!$N$9,0))),0))</f>
        <v>0</v>
      </c>
      <c r="BG68" s="799">
        <f>IF(BG$12=$F68+1,IF(Monthly!BC$4=TRUE,0,BG$3),IF(BG$12&gt;$F68+1,RentalsVacates!BF68*(1-IF(BG$12-$F68&lt;=12,SUMIFS('Attrition Modeling'!$D:$D,'Attrition Modeling'!$B:$B,$E68,'Attrition Modeling'!$C:$C,BG$11),VLOOKUP(RentalsVacates!BG$12-RentalsVacates!$F68-1,RentalsVacates!$A$8:$C$162,2,FALSE)*VLOOKUP(BG$11,'Attrition Modeling'!$L$15:$N$27,IF(BG$12-$F68&lt;=24,2,3),FALSE))*(1+IF('Traditional Attrition'!BG190&gt;0,'Attrition Modeling'!$N$9,0))),0))</f>
        <v>0</v>
      </c>
      <c r="BH68" s="799">
        <f>IF(BH$12=$F68+1,IF(Monthly!BD$4=TRUE,0,BH$3),IF(BH$12&gt;$F68+1,RentalsVacates!BG68*(1-IF(BH$12-$F68&lt;=12,SUMIFS('Attrition Modeling'!$D:$D,'Attrition Modeling'!$B:$B,$E68,'Attrition Modeling'!$C:$C,BH$11),VLOOKUP(RentalsVacates!BH$12-RentalsVacates!$F68-1,RentalsVacates!$A$8:$C$162,2,FALSE)*VLOOKUP(BH$11,'Attrition Modeling'!$L$15:$N$27,IF(BH$12-$F68&lt;=24,2,3),FALSE))*(1+IF('Traditional Attrition'!BH190&gt;0,'Attrition Modeling'!$N$9,0))),0))</f>
        <v>0</v>
      </c>
      <c r="BI68" s="799">
        <f>IF(BI$12=$F68+1,IF(Monthly!BE$4=TRUE,0,BI$3),IF(BI$12&gt;$F68+1,RentalsVacates!BH68*(1-IF(BI$12-$F68&lt;=12,SUMIFS('Attrition Modeling'!$D:$D,'Attrition Modeling'!$B:$B,$E68,'Attrition Modeling'!$C:$C,BI$11),VLOOKUP(RentalsVacates!BI$12-RentalsVacates!$F68-1,RentalsVacates!$A$8:$C$162,2,FALSE)*VLOOKUP(BI$11,'Attrition Modeling'!$L$15:$N$27,IF(BI$12-$F68&lt;=24,2,3),FALSE))*(1+IF('Traditional Attrition'!BI190&gt;0,'Attrition Modeling'!$N$9,0))),0))</f>
        <v>0</v>
      </c>
      <c r="BJ68" s="799">
        <f>IF(BJ$12=$F68+1,IF(Monthly!BF$4=TRUE,0,BJ$3),IF(BJ$12&gt;$F68+1,RentalsVacates!BI68*(1-IF(BJ$12-$F68&lt;=12,SUMIFS('Attrition Modeling'!$D:$D,'Attrition Modeling'!$B:$B,$E68,'Attrition Modeling'!$C:$C,BJ$11),VLOOKUP(RentalsVacates!BJ$12-RentalsVacates!$F68-1,RentalsVacates!$A$8:$C$162,2,FALSE)*VLOOKUP(BJ$11,'Attrition Modeling'!$L$15:$N$27,IF(BJ$12-$F68&lt;=24,2,3),FALSE))*(1+IF('Traditional Attrition'!BJ190&gt;0,'Attrition Modeling'!$N$9,0))),0))</f>
        <v>0</v>
      </c>
      <c r="BK68" s="799">
        <f>IF(BK$12=$F68+1,IF(Monthly!BG$4=TRUE,0,BK$3),IF(BK$12&gt;$F68+1,RentalsVacates!BJ68*(1-IF(BK$12-$F68&lt;=12,SUMIFS('Attrition Modeling'!$D:$D,'Attrition Modeling'!$B:$B,$E68,'Attrition Modeling'!$C:$C,BK$11),VLOOKUP(RentalsVacates!BK$12-RentalsVacates!$F68-1,RentalsVacates!$A$8:$C$162,2,FALSE)*VLOOKUP(BK$11,'Attrition Modeling'!$L$15:$N$27,IF(BK$12-$F68&lt;=24,2,3),FALSE))*(1+IF('Traditional Attrition'!BK190&gt;0,'Attrition Modeling'!$N$9,0))),0))</f>
        <v>5439.3613877650196</v>
      </c>
      <c r="BL68" s="799">
        <f>IF(BL$12=$F68+1,IF(Monthly!BH$4=TRUE,0,BL$3),IF(BL$12&gt;$F68+1,RentalsVacates!BK68*(1-IF(BL$12-$F68&lt;=12,SUMIFS('Attrition Modeling'!$D:$D,'Attrition Modeling'!$B:$B,$E68,'Attrition Modeling'!$C:$C,BL$11),VLOOKUP(RentalsVacates!BL$12-RentalsVacates!$F68-1,RentalsVacates!$A$8:$C$162,2,FALSE)*VLOOKUP(BL$11,'Attrition Modeling'!$L$15:$N$27,IF(BL$12-$F68&lt;=24,2,3),FALSE))*(1+IF('Traditional Attrition'!BL190&gt;0,'Attrition Modeling'!$N$9,0))),0))</f>
        <v>4817.1697006388813</v>
      </c>
      <c r="BM68" s="799">
        <f>IF(BM$12=$F68+1,IF(Monthly!BI$4=TRUE,0,BM$3),IF(BM$12&gt;$F68+1,RentalsVacates!BL68*(1-IF(BM$12-$F68&lt;=12,SUMIFS('Attrition Modeling'!$D:$D,'Attrition Modeling'!$B:$B,$E68,'Attrition Modeling'!$C:$C,BM$11),VLOOKUP(RentalsVacates!BM$12-RentalsVacates!$F68-1,RentalsVacates!$A$8:$C$162,2,FALSE)*VLOOKUP(BM$11,'Attrition Modeling'!$L$15:$N$27,IF(BM$12-$F68&lt;=24,2,3),FALSE))*(1+IF('Traditional Attrition'!BM190&gt;0,'Attrition Modeling'!$N$9,0))),0))</f>
        <v>4350.511347574281</v>
      </c>
      <c r="BN68" s="799">
        <f>IF(BN$12=$F68+1,IF(Monthly!BJ$4=TRUE,0,BN$3),IF(BN$12&gt;$F68+1,RentalsVacates!BM68*(1-IF(BN$12-$F68&lt;=12,SUMIFS('Attrition Modeling'!$D:$D,'Attrition Modeling'!$B:$B,$E68,'Attrition Modeling'!$C:$C,BN$11),VLOOKUP(RentalsVacates!BN$12-RentalsVacates!$F68-1,RentalsVacates!$A$8:$C$162,2,FALSE)*VLOOKUP(BN$11,'Attrition Modeling'!$L$15:$N$27,IF(BN$12-$F68&lt;=24,2,3),FALSE))*(1+IF('Traditional Attrition'!BN190&gt;0,'Attrition Modeling'!$N$9,0))),0))</f>
        <v>3953.1928068059533</v>
      </c>
      <c r="BO68" s="799">
        <f>IF(BO$12=$F68+1,IF(Monthly!BK$4=TRUE,0,BO$3),IF(BO$12&gt;$F68+1,RentalsVacates!BN68*(1-IF(BO$12-$F68&lt;=12,SUMIFS('Attrition Modeling'!$D:$D,'Attrition Modeling'!$B:$B,$E68,'Attrition Modeling'!$C:$C,BO$11),VLOOKUP(RentalsVacates!BO$12-RentalsVacates!$F68-1,RentalsVacates!$A$8:$C$162,2,FALSE)*VLOOKUP(BO$11,'Attrition Modeling'!$L$15:$N$27,IF(BO$12-$F68&lt;=24,2,3),FALSE))*(1+IF('Traditional Attrition'!BO190&gt;0,'Attrition Modeling'!$N$9,0))),0))</f>
        <v>3632.2002713210813</v>
      </c>
      <c r="BP68" s="799">
        <f>IF(BP$12=$F68+1,IF(Monthly!BL$4=TRUE,0,BP$3),IF(BP$12&gt;$F68+1,RentalsVacates!BO68*(1-IF(BP$12-$F68&lt;=12,SUMIFS('Attrition Modeling'!$D:$D,'Attrition Modeling'!$B:$B,$E68,'Attrition Modeling'!$C:$C,BP$11),VLOOKUP(RentalsVacates!BP$12-RentalsVacates!$F68-1,RentalsVacates!$A$8:$C$162,2,FALSE)*VLOOKUP(BP$11,'Attrition Modeling'!$L$15:$N$27,IF(BP$12-$F68&lt;=24,2,3),FALSE))*(1+IF('Traditional Attrition'!BP190&gt;0,'Attrition Modeling'!$N$9,0))),0))</f>
        <v>3351.0712029790711</v>
      </c>
      <c r="BQ68" s="799">
        <f>IF(BQ$12=$F68+1,IF(Monthly!BM$4=TRUE,0,BQ$3),IF(BQ$12&gt;$F68+1,RentalsVacates!BP68*(1-IF(BQ$12-$F68&lt;=12,SUMIFS('Attrition Modeling'!$D:$D,'Attrition Modeling'!$B:$B,$E68,'Attrition Modeling'!$C:$C,BQ$11),VLOOKUP(RentalsVacates!BQ$12-RentalsVacates!$F68-1,RentalsVacates!$A$8:$C$162,2,FALSE)*VLOOKUP(BQ$11,'Attrition Modeling'!$L$15:$N$27,IF(BQ$12-$F68&lt;=24,2,3),FALSE))*(1+IF('Traditional Attrition'!BQ190&gt;0,'Attrition Modeling'!$N$9,0))),0))</f>
        <v>3139.7480954623752</v>
      </c>
      <c r="BR68" s="799">
        <f>IF(BR$12=$F68+1,IF(Monthly!BN$4=TRUE,0,BR$3),IF(BR$12&gt;$F68+1,RentalsVacates!BQ68*(1-IF(BR$12-$F68&lt;=12,SUMIFS('Attrition Modeling'!$D:$D,'Attrition Modeling'!$B:$B,$E68,'Attrition Modeling'!$C:$C,BR$11),VLOOKUP(RentalsVacates!BR$12-RentalsVacates!$F68-1,RentalsVacates!$A$8:$C$162,2,FALSE)*VLOOKUP(BR$11,'Attrition Modeling'!$L$15:$N$27,IF(BR$12-$F68&lt;=24,2,3),FALSE))*(1+IF('Traditional Attrition'!BR190&gt;0,'Attrition Modeling'!$N$9,0))),0))</f>
        <v>2935.6168392787126</v>
      </c>
      <c r="BS68" s="799">
        <f>IF(BS$12=$F68+1,IF(Monthly!BO$4=TRUE,0,BS$3),IF(BS$12&gt;$F68+1,RentalsVacates!BR68*(1-IF(BS$12-$F68&lt;=12,SUMIFS('Attrition Modeling'!$D:$D,'Attrition Modeling'!$B:$B,$E68,'Attrition Modeling'!$C:$C,BS$11),VLOOKUP(RentalsVacates!BS$12-RentalsVacates!$F68-1,RentalsVacates!$A$8:$C$162,2,FALSE)*VLOOKUP(BS$11,'Attrition Modeling'!$L$15:$N$27,IF(BS$12-$F68&lt;=24,2,3),FALSE))*(1+IF('Traditional Attrition'!BS190&gt;0,'Attrition Modeling'!$N$9,0))),0))</f>
        <v>2759.6961545268764</v>
      </c>
      <c r="BT68" s="799">
        <f>IF(BT$11=$F67+1,IF(Monthly!#REF!=TRUE,0,BT$3),IF(BT$11&gt;$F67+1,RentalsVacates!BS67*(1-IF(BT$11-$F67&lt;=12,SUMIFS('Attrition Modeling'!$D:$D,'Attrition Modeling'!$B:$B,$E67,'Attrition Modeling'!$C:$C,BT$10),VLOOKUP(RentalsVacates!BT$11-RentalsVacates!$F67-1,RentalsVacates!$A$7:$C$161,2,FALSE)*VLOOKUP(BT$10,'Attrition Modeling'!$L$15:$N$27,IF(BT$11-$F67&lt;=24,2,3),FALSE))*(1+IF('Traditional Attrition'!BT190&gt;0,'Attrition Modeling'!$N$9,0))),0))</f>
        <v>0</v>
      </c>
      <c r="BU68" s="799">
        <f>IF(BU$11=$F67+1,IF(Monthly!#REF!=TRUE,0,BU$3),IF(BU$11&gt;$F67+1,RentalsVacates!BT67*(1-IF(BU$11-$F67&lt;=12,SUMIFS('Attrition Modeling'!$D:$D,'Attrition Modeling'!$B:$B,$E67,'Attrition Modeling'!$C:$C,BU$10),VLOOKUP(RentalsVacates!BU$11-RentalsVacates!$F67-1,RentalsVacates!$A$7:$C$161,2,FALSE)*VLOOKUP(BU$10,'Attrition Modeling'!$L$15:$N$27,IF(BU$11-$F67&lt;=24,2,3),FALSE))*(1+IF('Traditional Attrition'!BU190&gt;0,'Attrition Modeling'!$N$9,0))),0))</f>
        <v>0</v>
      </c>
    </row>
    <row r="69" spans="1:73" ht="14.25" customHeight="1" x14ac:dyDescent="0.2">
      <c r="A69" s="9">
        <v>61</v>
      </c>
      <c r="B69" s="25">
        <f>MAX('Attrition Modeling'!H65,$C$3)*(1-Summary!$C$20)</f>
        <v>2.1942483622672745E-2</v>
      </c>
      <c r="C69" s="24" t="e">
        <f t="shared" si="2"/>
        <v>#DIV/0!</v>
      </c>
      <c r="E69" s="11">
        <f>'Traditional Attrition'!E126</f>
        <v>8</v>
      </c>
      <c r="F69" s="11">
        <f t="shared" si="4"/>
        <v>56</v>
      </c>
      <c r="G69" s="799"/>
      <c r="H69" s="799">
        <f>IF(H$12=$F69+1,IF(Monthly!D$4=TRUE,0,H$3),IF(H$12&gt;$F69+1,RentalsVacates!G69*(1-IF(H$12-$F69&lt;=12,SUMIFS('Attrition Modeling'!$D:$D,'Attrition Modeling'!$B:$B,$E69,'Attrition Modeling'!$C:$C,H$11),VLOOKUP(RentalsVacates!H$12-RentalsVacates!$F69-1,RentalsVacates!$A$8:$C$162,2,FALSE)*VLOOKUP(H$11,'Attrition Modeling'!$L$15:$N$27,IF(H$12-$F69&lt;=24,2,3),FALSE))*(1+IF('Traditional Attrition'!H191&gt;0,'Attrition Modeling'!$N$9,0))),0))</f>
        <v>0</v>
      </c>
      <c r="I69" s="799">
        <f>IF(I$12=$F69+1,IF(Monthly!E$4=TRUE,0,I$3),IF(I$12&gt;$F69+1,RentalsVacates!H69*(1-IF(I$12-$F69&lt;=12,SUMIFS('Attrition Modeling'!$D:$D,'Attrition Modeling'!$B:$B,$E69,'Attrition Modeling'!$C:$C,I$11),VLOOKUP(RentalsVacates!I$12-RentalsVacates!$F69-1,RentalsVacates!$A$8:$C$162,2,FALSE)*VLOOKUP(I$11,'Attrition Modeling'!$L$15:$N$27,IF(I$12-$F69&lt;=24,2,3),FALSE))*(1+IF('Traditional Attrition'!I191&gt;0,'Attrition Modeling'!$N$9,0))),0))</f>
        <v>0</v>
      </c>
      <c r="J69" s="799">
        <f>IF(J$12=$F69+1,IF(Monthly!F$4=TRUE,0,J$3),IF(J$12&gt;$F69+1,RentalsVacates!I69*(1-IF(J$12-$F69&lt;=12,SUMIFS('Attrition Modeling'!$D:$D,'Attrition Modeling'!$B:$B,$E69,'Attrition Modeling'!$C:$C,J$11),VLOOKUP(RentalsVacates!J$12-RentalsVacates!$F69-1,RentalsVacates!$A$8:$C$162,2,FALSE)*VLOOKUP(J$11,'Attrition Modeling'!$L$15:$N$27,IF(J$12-$F69&lt;=24,2,3),FALSE))*(1+IF('Traditional Attrition'!J191&gt;0,'Attrition Modeling'!$N$9,0))),0))</f>
        <v>0</v>
      </c>
      <c r="K69" s="799">
        <f>IF(K$12=$F69+1,IF(Monthly!G$4=TRUE,0,K$3),IF(K$12&gt;$F69+1,RentalsVacates!J69*(1-IF(K$12-$F69&lt;=12,SUMIFS('Attrition Modeling'!$D:$D,'Attrition Modeling'!$B:$B,$E69,'Attrition Modeling'!$C:$C,K$11),VLOOKUP(RentalsVacates!K$12-RentalsVacates!$F69-1,RentalsVacates!$A$8:$C$162,2,FALSE)*VLOOKUP(K$11,'Attrition Modeling'!$L$15:$N$27,IF(K$12-$F69&lt;=24,2,3),FALSE))*(1+IF('Traditional Attrition'!K191&gt;0,'Attrition Modeling'!$N$9,0))),0))</f>
        <v>0</v>
      </c>
      <c r="L69" s="799">
        <f>IF(L$12=$F69+1,IF(Monthly!H$4=TRUE,0,L$3),IF(L$12&gt;$F69+1,RentalsVacates!K69*(1-IF(L$12-$F69&lt;=12,SUMIFS('Attrition Modeling'!$D:$D,'Attrition Modeling'!$B:$B,$E69,'Attrition Modeling'!$C:$C,L$11),VLOOKUP(RentalsVacates!L$12-RentalsVacates!$F69-1,RentalsVacates!$A$8:$C$162,2,FALSE)*VLOOKUP(L$11,'Attrition Modeling'!$L$15:$N$27,IF(L$12-$F69&lt;=24,2,3),FALSE))*(1+IF('Traditional Attrition'!L191&gt;0,'Attrition Modeling'!$N$9,0))),0))</f>
        <v>0</v>
      </c>
      <c r="M69" s="799">
        <f>IF(M$12=$F69+1,IF(Monthly!I$4=TRUE,0,M$3),IF(M$12&gt;$F69+1,RentalsVacates!L69*(1-IF(M$12-$F69&lt;=12,SUMIFS('Attrition Modeling'!$D:$D,'Attrition Modeling'!$B:$B,$E69,'Attrition Modeling'!$C:$C,M$11),VLOOKUP(RentalsVacates!M$12-RentalsVacates!$F69-1,RentalsVacates!$A$8:$C$162,2,FALSE)*VLOOKUP(M$11,'Attrition Modeling'!$L$15:$N$27,IF(M$12-$F69&lt;=24,2,3),FALSE))*(1+IF('Traditional Attrition'!M191&gt;0,'Attrition Modeling'!$N$9,0))),0))</f>
        <v>0</v>
      </c>
      <c r="N69" s="799">
        <f>IF(N$12=$F69+1,IF(Monthly!J$4=TRUE,0,N$3),IF(N$12&gt;$F69+1,RentalsVacates!M69*(1-IF(N$12-$F69&lt;=12,SUMIFS('Attrition Modeling'!$D:$D,'Attrition Modeling'!$B:$B,$E69,'Attrition Modeling'!$C:$C,N$11),VLOOKUP(RentalsVacates!N$12-RentalsVacates!$F69-1,RentalsVacates!$A$8:$C$162,2,FALSE)*VLOOKUP(N$11,'Attrition Modeling'!$L$15:$N$27,IF(N$12-$F69&lt;=24,2,3),FALSE))*(1+IF('Traditional Attrition'!N191&gt;0,'Attrition Modeling'!$N$9,0))),0))</f>
        <v>0</v>
      </c>
      <c r="O69" s="799">
        <f>IF(O$12=$F69+1,IF(Monthly!K$4=TRUE,0,O$3),IF(O$12&gt;$F69+1,RentalsVacates!N69*(1-IF(O$12-$F69&lt;=12,SUMIFS('Attrition Modeling'!$D:$D,'Attrition Modeling'!$B:$B,$E69,'Attrition Modeling'!$C:$C,O$11),VLOOKUP(RentalsVacates!O$12-RentalsVacates!$F69-1,RentalsVacates!$A$8:$C$162,2,FALSE)*VLOOKUP(O$11,'Attrition Modeling'!$L$15:$N$27,IF(O$12-$F69&lt;=24,2,3),FALSE))*(1+IF('Traditional Attrition'!O191&gt;0,'Attrition Modeling'!$N$9,0))),0))</f>
        <v>0</v>
      </c>
      <c r="P69" s="799">
        <f>IF(P$12=$F69+1,IF(Monthly!L$4=TRUE,0,P$3),IF(P$12&gt;$F69+1,RentalsVacates!O69*(1-IF(P$12-$F69&lt;=12,SUMIFS('Attrition Modeling'!$D:$D,'Attrition Modeling'!$B:$B,$E69,'Attrition Modeling'!$C:$C,P$11),VLOOKUP(RentalsVacates!P$12-RentalsVacates!$F69-1,RentalsVacates!$A$8:$C$162,2,FALSE)*VLOOKUP(P$11,'Attrition Modeling'!$L$15:$N$27,IF(P$12-$F69&lt;=24,2,3),FALSE))*(1+IF('Traditional Attrition'!P191&gt;0,'Attrition Modeling'!$N$9,0))),0))</f>
        <v>0</v>
      </c>
      <c r="Q69" s="799">
        <f>IF(Q$12=$F69+1,IF(Monthly!M$4=TRUE,0,Q$3),IF(Q$12&gt;$F69+1,RentalsVacates!P69*(1-IF(Q$12-$F69&lt;=12,SUMIFS('Attrition Modeling'!$D:$D,'Attrition Modeling'!$B:$B,$E69,'Attrition Modeling'!$C:$C,Q$11),VLOOKUP(RentalsVacates!Q$12-RentalsVacates!$F69-1,RentalsVacates!$A$8:$C$162,2,FALSE)*VLOOKUP(Q$11,'Attrition Modeling'!$L$15:$N$27,IF(Q$12-$F69&lt;=24,2,3),FALSE))*(1+IF('Traditional Attrition'!Q191&gt;0,'Attrition Modeling'!$N$9,0))),0))</f>
        <v>0</v>
      </c>
      <c r="R69" s="799">
        <f>IF(R$12=$F69+1,IF(Monthly!N$4=TRUE,0,R$3),IF(R$12&gt;$F69+1,RentalsVacates!Q69*(1-IF(R$12-$F69&lt;=12,SUMIFS('Attrition Modeling'!$D:$D,'Attrition Modeling'!$B:$B,$E69,'Attrition Modeling'!$C:$C,R$11),VLOOKUP(RentalsVacates!R$12-RentalsVacates!$F69-1,RentalsVacates!$A$8:$C$162,2,FALSE)*VLOOKUP(R$11,'Attrition Modeling'!$L$15:$N$27,IF(R$12-$F69&lt;=24,2,3),FALSE))*(1+IF('Traditional Attrition'!R191&gt;0,'Attrition Modeling'!$N$9,0))),0))</f>
        <v>0</v>
      </c>
      <c r="S69" s="799">
        <f>IF(S$12=$F69+1,IF(Monthly!O$4=TRUE,0,S$3),IF(S$12&gt;$F69+1,RentalsVacates!R69*(1-IF(S$12-$F69&lt;=12,SUMIFS('Attrition Modeling'!$D:$D,'Attrition Modeling'!$B:$B,$E69,'Attrition Modeling'!$C:$C,S$11),VLOOKUP(RentalsVacates!S$12-RentalsVacates!$F69-1,RentalsVacates!$A$8:$C$162,2,FALSE)*VLOOKUP(S$11,'Attrition Modeling'!$L$15:$N$27,IF(S$12-$F69&lt;=24,2,3),FALSE))*(1+IF('Traditional Attrition'!S191&gt;0,'Attrition Modeling'!$N$9,0))),0))</f>
        <v>0</v>
      </c>
      <c r="T69" s="799">
        <f>IF(T$12=$F69+1,IF(Monthly!P$4=TRUE,0,T$3),IF(T$12&gt;$F69+1,RentalsVacates!S69*(1-IF(T$12-$F69&lt;=12,SUMIFS('Attrition Modeling'!$D:$D,'Attrition Modeling'!$B:$B,$E69,'Attrition Modeling'!$C:$C,T$11),VLOOKUP(RentalsVacates!T$12-RentalsVacates!$F69-1,RentalsVacates!$A$8:$C$162,2,FALSE)*VLOOKUP(T$11,'Attrition Modeling'!$L$15:$N$27,IF(T$12-$F69&lt;=24,2,3),FALSE))*(1+IF('Traditional Attrition'!T191&gt;0,'Attrition Modeling'!$N$9,0))),0))</f>
        <v>0</v>
      </c>
      <c r="U69" s="799">
        <f>IF(U$12=$F69+1,IF(Monthly!Q$4=TRUE,0,U$3),IF(U$12&gt;$F69+1,RentalsVacates!T69*(1-IF(U$12-$F69&lt;=12,SUMIFS('Attrition Modeling'!$D:$D,'Attrition Modeling'!$B:$B,$E69,'Attrition Modeling'!$C:$C,U$11),VLOOKUP(RentalsVacates!U$12-RentalsVacates!$F69-1,RentalsVacates!$A$8:$C$162,2,FALSE)*VLOOKUP(U$11,'Attrition Modeling'!$L$15:$N$27,IF(U$12-$F69&lt;=24,2,3),FALSE))*(1+IF('Traditional Attrition'!U191&gt;0,'Attrition Modeling'!$N$9,0))),0))</f>
        <v>0</v>
      </c>
      <c r="V69" s="799">
        <f>IF(V$12=$F69+1,IF(Monthly!R$4=TRUE,0,V$3),IF(V$12&gt;$F69+1,RentalsVacates!U69*(1-IF(V$12-$F69&lt;=12,SUMIFS('Attrition Modeling'!$D:$D,'Attrition Modeling'!$B:$B,$E69,'Attrition Modeling'!$C:$C,V$11),VLOOKUP(RentalsVacates!V$12-RentalsVacates!$F69-1,RentalsVacates!$A$8:$C$162,2,FALSE)*VLOOKUP(V$11,'Attrition Modeling'!$L$15:$N$27,IF(V$12-$F69&lt;=24,2,3),FALSE))*(1+IF('Traditional Attrition'!V191&gt;0,'Attrition Modeling'!$N$9,0))),0))</f>
        <v>0</v>
      </c>
      <c r="W69" s="799">
        <f>IF(W$12=$F69+1,IF(Monthly!S$4=TRUE,0,W$3),IF(W$12&gt;$F69+1,RentalsVacates!V69*(1-IF(W$12-$F69&lt;=12,SUMIFS('Attrition Modeling'!$D:$D,'Attrition Modeling'!$B:$B,$E69,'Attrition Modeling'!$C:$C,W$11),VLOOKUP(RentalsVacates!W$12-RentalsVacates!$F69-1,RentalsVacates!$A$8:$C$162,2,FALSE)*VLOOKUP(W$11,'Attrition Modeling'!$L$15:$N$27,IF(W$12-$F69&lt;=24,2,3),FALSE))*(1+IF('Traditional Attrition'!W191&gt;0,'Attrition Modeling'!$N$9,0))),0))</f>
        <v>0</v>
      </c>
      <c r="X69" s="799">
        <f>IF(X$12=$F69+1,IF(Monthly!T$4=TRUE,0,X$3),IF(X$12&gt;$F69+1,RentalsVacates!W69*(1-IF(X$12-$F69&lt;=12,SUMIFS('Attrition Modeling'!$D:$D,'Attrition Modeling'!$B:$B,$E69,'Attrition Modeling'!$C:$C,X$11),VLOOKUP(RentalsVacates!X$12-RentalsVacates!$F69-1,RentalsVacates!$A$8:$C$162,2,FALSE)*VLOOKUP(X$11,'Attrition Modeling'!$L$15:$N$27,IF(X$12-$F69&lt;=24,2,3),FALSE))*(1+IF('Traditional Attrition'!X191&gt;0,'Attrition Modeling'!$N$9,0))),0))</f>
        <v>0</v>
      </c>
      <c r="Y69" s="799">
        <f>IF(Y$12=$F69+1,IF(Monthly!U$4=TRUE,0,Y$3),IF(Y$12&gt;$F69+1,RentalsVacates!X69*(1-IF(Y$12-$F69&lt;=12,SUMIFS('Attrition Modeling'!$D:$D,'Attrition Modeling'!$B:$B,$E69,'Attrition Modeling'!$C:$C,Y$11),VLOOKUP(RentalsVacates!Y$12-RentalsVacates!$F69-1,RentalsVacates!$A$8:$C$162,2,FALSE)*VLOOKUP(Y$11,'Attrition Modeling'!$L$15:$N$27,IF(Y$12-$F69&lt;=24,2,3),FALSE))*(1+IF('Traditional Attrition'!Y191&gt;0,'Attrition Modeling'!$N$9,0))),0))</f>
        <v>0</v>
      </c>
      <c r="Z69" s="799">
        <f>IF(Z$12=$F69+1,IF(Monthly!V$4=TRUE,0,Z$3),IF(Z$12&gt;$F69+1,RentalsVacates!Y69*(1-IF(Z$12-$F69&lt;=12,SUMIFS('Attrition Modeling'!$D:$D,'Attrition Modeling'!$B:$B,$E69,'Attrition Modeling'!$C:$C,Z$11),VLOOKUP(RentalsVacates!Z$12-RentalsVacates!$F69-1,RentalsVacates!$A$8:$C$162,2,FALSE)*VLOOKUP(Z$11,'Attrition Modeling'!$L$15:$N$27,IF(Z$12-$F69&lt;=24,2,3),FALSE))*(1+IF('Traditional Attrition'!Z191&gt;0,'Attrition Modeling'!$N$9,0))),0))</f>
        <v>0</v>
      </c>
      <c r="AA69" s="799">
        <f>IF(AA$12=$F69+1,IF(Monthly!W$4=TRUE,0,AA$3),IF(AA$12&gt;$F69+1,RentalsVacates!Z69*(1-IF(AA$12-$F69&lt;=12,SUMIFS('Attrition Modeling'!$D:$D,'Attrition Modeling'!$B:$B,$E69,'Attrition Modeling'!$C:$C,AA$11),VLOOKUP(RentalsVacates!AA$12-RentalsVacates!$F69-1,RentalsVacates!$A$8:$C$162,2,FALSE)*VLOOKUP(AA$11,'Attrition Modeling'!$L$15:$N$27,IF(AA$12-$F69&lt;=24,2,3),FALSE))*(1+IF('Traditional Attrition'!AA191&gt;0,'Attrition Modeling'!$N$9,0))),0))</f>
        <v>0</v>
      </c>
      <c r="AB69" s="799">
        <f>IF(AB$12=$F69+1,IF(Monthly!X$4=TRUE,0,AB$3),IF(AB$12&gt;$F69+1,RentalsVacates!AA69*(1-IF(AB$12-$F69&lt;=12,SUMIFS('Attrition Modeling'!$D:$D,'Attrition Modeling'!$B:$B,$E69,'Attrition Modeling'!$C:$C,AB$11),VLOOKUP(RentalsVacates!AB$12-RentalsVacates!$F69-1,RentalsVacates!$A$8:$C$162,2,FALSE)*VLOOKUP(AB$11,'Attrition Modeling'!$L$15:$N$27,IF(AB$12-$F69&lt;=24,2,3),FALSE))*(1+IF('Traditional Attrition'!AB191&gt;0,'Attrition Modeling'!$N$9,0))),0))</f>
        <v>0</v>
      </c>
      <c r="AC69" s="799">
        <f>IF(AC$12=$F69+1,IF(Monthly!Y$4=TRUE,0,AC$3),IF(AC$12&gt;$F69+1,RentalsVacates!AB69*(1-IF(AC$12-$F69&lt;=12,SUMIFS('Attrition Modeling'!$D:$D,'Attrition Modeling'!$B:$B,$E69,'Attrition Modeling'!$C:$C,AC$11),VLOOKUP(RentalsVacates!AC$12-RentalsVacates!$F69-1,RentalsVacates!$A$8:$C$162,2,FALSE)*VLOOKUP(AC$11,'Attrition Modeling'!$L$15:$N$27,IF(AC$12-$F69&lt;=24,2,3),FALSE))*(1+IF('Traditional Attrition'!AC191&gt;0,'Attrition Modeling'!$N$9,0))),0))</f>
        <v>0</v>
      </c>
      <c r="AD69" s="799">
        <f>IF(AD$12=$F69+1,IF(Monthly!Z$4=TRUE,0,AD$3),IF(AD$12&gt;$F69+1,RentalsVacates!AC69*(1-IF(AD$12-$F69&lt;=12,SUMIFS('Attrition Modeling'!$D:$D,'Attrition Modeling'!$B:$B,$E69,'Attrition Modeling'!$C:$C,AD$11),VLOOKUP(RentalsVacates!AD$12-RentalsVacates!$F69-1,RentalsVacates!$A$8:$C$162,2,FALSE)*VLOOKUP(AD$11,'Attrition Modeling'!$L$15:$N$27,IF(AD$12-$F69&lt;=24,2,3),FALSE))*(1+IF('Traditional Attrition'!AD191&gt;0,'Attrition Modeling'!$N$9,0))),0))</f>
        <v>0</v>
      </c>
      <c r="AE69" s="799">
        <f>IF(AE$12=$F69+1,IF(Monthly!AA$4=TRUE,0,AE$3),IF(AE$12&gt;$F69+1,RentalsVacates!AD69*(1-IF(AE$12-$F69&lt;=12,SUMIFS('Attrition Modeling'!$D:$D,'Attrition Modeling'!$B:$B,$E69,'Attrition Modeling'!$C:$C,AE$11),VLOOKUP(RentalsVacates!AE$12-RentalsVacates!$F69-1,RentalsVacates!$A$8:$C$162,2,FALSE)*VLOOKUP(AE$11,'Attrition Modeling'!$L$15:$N$27,IF(AE$12-$F69&lt;=24,2,3),FALSE))*(1+IF('Traditional Attrition'!AE191&gt;0,'Attrition Modeling'!$N$9,0))),0))</f>
        <v>0</v>
      </c>
      <c r="AF69" s="799">
        <f>IF(AF$12=$F69+1,IF(Monthly!AB$4=TRUE,0,AF$3),IF(AF$12&gt;$F69+1,RentalsVacates!AE69*(1-IF(AF$12-$F69&lt;=12,SUMIFS('Attrition Modeling'!$D:$D,'Attrition Modeling'!$B:$B,$E69,'Attrition Modeling'!$C:$C,AF$11),VLOOKUP(RentalsVacates!AF$12-RentalsVacates!$F69-1,RentalsVacates!$A$8:$C$162,2,FALSE)*VLOOKUP(AF$11,'Attrition Modeling'!$L$15:$N$27,IF(AF$12-$F69&lt;=24,2,3),FALSE))*(1+IF('Traditional Attrition'!AF191&gt;0,'Attrition Modeling'!$N$9,0))),0))</f>
        <v>0</v>
      </c>
      <c r="AG69" s="799">
        <f>IF(AG$12=$F69+1,IF(Monthly!AC$4=TRUE,0,AG$3),IF(AG$12&gt;$F69+1,RentalsVacates!AF69*(1-IF(AG$12-$F69&lt;=12,SUMIFS('Attrition Modeling'!$D:$D,'Attrition Modeling'!$B:$B,$E69,'Attrition Modeling'!$C:$C,AG$11),VLOOKUP(RentalsVacates!AG$12-RentalsVacates!$F69-1,RentalsVacates!$A$8:$C$162,2,FALSE)*VLOOKUP(AG$11,'Attrition Modeling'!$L$15:$N$27,IF(AG$12-$F69&lt;=24,2,3),FALSE))*(1+IF('Traditional Attrition'!AG191&gt;0,'Attrition Modeling'!$N$9,0))),0))</f>
        <v>0</v>
      </c>
      <c r="AH69" s="799">
        <f>IF(AH$12=$F69+1,IF(Monthly!AD$4=TRUE,0,AH$3),IF(AH$12&gt;$F69+1,RentalsVacates!AG69*(1-IF(AH$12-$F69&lt;=12,SUMIFS('Attrition Modeling'!$D:$D,'Attrition Modeling'!$B:$B,$E69,'Attrition Modeling'!$C:$C,AH$11),VLOOKUP(RentalsVacates!AH$12-RentalsVacates!$F69-1,RentalsVacates!$A$8:$C$162,2,FALSE)*VLOOKUP(AH$11,'Attrition Modeling'!$L$15:$N$27,IF(AH$12-$F69&lt;=24,2,3),FALSE))*(1+IF('Traditional Attrition'!AH191&gt;0,'Attrition Modeling'!$N$9,0))),0))</f>
        <v>0</v>
      </c>
      <c r="AI69" s="799">
        <f>IF(AI$12=$F69+1,IF(Monthly!AE$4=TRUE,0,AI$3),IF(AI$12&gt;$F69+1,RentalsVacates!AH69*(1-IF(AI$12-$F69&lt;=12,SUMIFS('Attrition Modeling'!$D:$D,'Attrition Modeling'!$B:$B,$E69,'Attrition Modeling'!$C:$C,AI$11),VLOOKUP(RentalsVacates!AI$12-RentalsVacates!$F69-1,RentalsVacates!$A$8:$C$162,2,FALSE)*VLOOKUP(AI$11,'Attrition Modeling'!$L$15:$N$27,IF(AI$12-$F69&lt;=24,2,3),FALSE))*(1+IF('Traditional Attrition'!AI191&gt;0,'Attrition Modeling'!$N$9,0))),0))</f>
        <v>0</v>
      </c>
      <c r="AJ69" s="799">
        <f>IF(AJ$12=$F69+1,IF(Monthly!AF$4=TRUE,0,AJ$3),IF(AJ$12&gt;$F69+1,RentalsVacates!AI69*(1-IF(AJ$12-$F69&lt;=12,SUMIFS('Attrition Modeling'!$D:$D,'Attrition Modeling'!$B:$B,$E69,'Attrition Modeling'!$C:$C,AJ$11),VLOOKUP(RentalsVacates!AJ$12-RentalsVacates!$F69-1,RentalsVacates!$A$8:$C$162,2,FALSE)*VLOOKUP(AJ$11,'Attrition Modeling'!$L$15:$N$27,IF(AJ$12-$F69&lt;=24,2,3),FALSE))*(1+IF('Traditional Attrition'!AJ191&gt;0,'Attrition Modeling'!$N$9,0))),0))</f>
        <v>0</v>
      </c>
      <c r="AK69" s="799">
        <f>IF(AK$12=$F69+1,IF(Monthly!AG$4=TRUE,0,AK$3),IF(AK$12&gt;$F69+1,RentalsVacates!AJ69*(1-IF(AK$12-$F69&lt;=12,SUMIFS('Attrition Modeling'!$D:$D,'Attrition Modeling'!$B:$B,$E69,'Attrition Modeling'!$C:$C,AK$11),VLOOKUP(RentalsVacates!AK$12-RentalsVacates!$F69-1,RentalsVacates!$A$8:$C$162,2,FALSE)*VLOOKUP(AK$11,'Attrition Modeling'!$L$15:$N$27,IF(AK$12-$F69&lt;=24,2,3),FALSE))*(1+IF('Traditional Attrition'!AK191&gt;0,'Attrition Modeling'!$N$9,0))),0))</f>
        <v>0</v>
      </c>
      <c r="AL69" s="799">
        <f>IF(AL$12=$F69+1,IF(Monthly!AH$4=TRUE,0,AL$3),IF(AL$12&gt;$F69+1,RentalsVacates!AK69*(1-IF(AL$12-$F69&lt;=12,SUMIFS('Attrition Modeling'!$D:$D,'Attrition Modeling'!$B:$B,$E69,'Attrition Modeling'!$C:$C,AL$11),VLOOKUP(RentalsVacates!AL$12-RentalsVacates!$F69-1,RentalsVacates!$A$8:$C$162,2,FALSE)*VLOOKUP(AL$11,'Attrition Modeling'!$L$15:$N$27,IF(AL$12-$F69&lt;=24,2,3),FALSE))*(1+IF('Traditional Attrition'!AL191&gt;0,'Attrition Modeling'!$N$9,0))),0))</f>
        <v>0</v>
      </c>
      <c r="AM69" s="799">
        <f>IF(AM$12=$F69+1,IF(Monthly!AI$4=TRUE,0,AM$3),IF(AM$12&gt;$F69+1,RentalsVacates!AL69*(1-IF(AM$12-$F69&lt;=12,SUMIFS('Attrition Modeling'!$D:$D,'Attrition Modeling'!$B:$B,$E69,'Attrition Modeling'!$C:$C,AM$11),VLOOKUP(RentalsVacates!AM$12-RentalsVacates!$F69-1,RentalsVacates!$A$8:$C$162,2,FALSE)*VLOOKUP(AM$11,'Attrition Modeling'!$L$15:$N$27,IF(AM$12-$F69&lt;=24,2,3),FALSE))*(1+IF('Traditional Attrition'!AM191&gt;0,'Attrition Modeling'!$N$9,0))),0))</f>
        <v>0</v>
      </c>
      <c r="AN69" s="799">
        <f>IF(AN$12=$F69+1,IF(Monthly!AJ$4=TRUE,0,AN$3),IF(AN$12&gt;$F69+1,RentalsVacates!AM69*(1-IF(AN$12-$F69&lt;=12,SUMIFS('Attrition Modeling'!$D:$D,'Attrition Modeling'!$B:$B,$E69,'Attrition Modeling'!$C:$C,AN$11),VLOOKUP(RentalsVacates!AN$12-RentalsVacates!$F69-1,RentalsVacates!$A$8:$C$162,2,FALSE)*VLOOKUP(AN$11,'Attrition Modeling'!$L$15:$N$27,IF(AN$12-$F69&lt;=24,2,3),FALSE))*(1+IF('Traditional Attrition'!AN191&gt;0,'Attrition Modeling'!$N$9,0))),0))</f>
        <v>0</v>
      </c>
      <c r="AO69" s="799">
        <f>IF(AO$12=$F69+1,IF(Monthly!AK$4=TRUE,0,AO$3),IF(AO$12&gt;$F69+1,RentalsVacates!AN69*(1-IF(AO$12-$F69&lt;=12,SUMIFS('Attrition Modeling'!$D:$D,'Attrition Modeling'!$B:$B,$E69,'Attrition Modeling'!$C:$C,AO$11),VLOOKUP(RentalsVacates!AO$12-RentalsVacates!$F69-1,RentalsVacates!$A$8:$C$162,2,FALSE)*VLOOKUP(AO$11,'Attrition Modeling'!$L$15:$N$27,IF(AO$12-$F69&lt;=24,2,3),FALSE))*(1+IF('Traditional Attrition'!AO191&gt;0,'Attrition Modeling'!$N$9,0))),0))</f>
        <v>0</v>
      </c>
      <c r="AP69" s="799">
        <f>IF(AP$12=$F69+1,IF(Monthly!AL$4=TRUE,0,AP$3),IF(AP$12&gt;$F69+1,RentalsVacates!AO69*(1-IF(AP$12-$F69&lt;=12,SUMIFS('Attrition Modeling'!$D:$D,'Attrition Modeling'!$B:$B,$E69,'Attrition Modeling'!$C:$C,AP$11),VLOOKUP(RentalsVacates!AP$12-RentalsVacates!$F69-1,RentalsVacates!$A$8:$C$162,2,FALSE)*VLOOKUP(AP$11,'Attrition Modeling'!$L$15:$N$27,IF(AP$12-$F69&lt;=24,2,3),FALSE))*(1+IF('Traditional Attrition'!AP191&gt;0,'Attrition Modeling'!$N$9,0))),0))</f>
        <v>0</v>
      </c>
      <c r="AQ69" s="799">
        <f>IF(AQ$12=$F69+1,IF(Monthly!AM$4=TRUE,0,AQ$3),IF(AQ$12&gt;$F69+1,RentalsVacates!AP69*(1-IF(AQ$12-$F69&lt;=12,SUMIFS('Attrition Modeling'!$D:$D,'Attrition Modeling'!$B:$B,$E69,'Attrition Modeling'!$C:$C,AQ$11),VLOOKUP(RentalsVacates!AQ$12-RentalsVacates!$F69-1,RentalsVacates!$A$8:$C$162,2,FALSE)*VLOOKUP(AQ$11,'Attrition Modeling'!$L$15:$N$27,IF(AQ$12-$F69&lt;=24,2,3),FALSE))*(1+IF('Traditional Attrition'!AQ191&gt;0,'Attrition Modeling'!$N$9,0))),0))</f>
        <v>0</v>
      </c>
      <c r="AR69" s="799">
        <f>IF(AR$12=$F69+1,IF(Monthly!AN$4=TRUE,0,AR$3),IF(AR$12&gt;$F69+1,RentalsVacates!AQ69*(1-IF(AR$12-$F69&lt;=12,SUMIFS('Attrition Modeling'!$D:$D,'Attrition Modeling'!$B:$B,$E69,'Attrition Modeling'!$C:$C,AR$11),VLOOKUP(RentalsVacates!AR$12-RentalsVacates!$F69-1,RentalsVacates!$A$8:$C$162,2,FALSE)*VLOOKUP(AR$11,'Attrition Modeling'!$L$15:$N$27,IF(AR$12-$F69&lt;=24,2,3),FALSE))*(1+IF('Traditional Attrition'!AR191&gt;0,'Attrition Modeling'!$N$9,0))),0))</f>
        <v>0</v>
      </c>
      <c r="AS69" s="799">
        <f>IF(AS$12=$F69+1,IF(Monthly!AO$4=TRUE,0,AS$3),IF(AS$12&gt;$F69+1,RentalsVacates!AR69*(1-IF(AS$12-$F69&lt;=12,SUMIFS('Attrition Modeling'!$D:$D,'Attrition Modeling'!$B:$B,$E69,'Attrition Modeling'!$C:$C,AS$11),VLOOKUP(RentalsVacates!AS$12-RentalsVacates!$F69-1,RentalsVacates!$A$8:$C$162,2,FALSE)*VLOOKUP(AS$11,'Attrition Modeling'!$L$15:$N$27,IF(AS$12-$F69&lt;=24,2,3),FALSE))*(1+IF('Traditional Attrition'!AS191&gt;0,'Attrition Modeling'!$N$9,0))),0))</f>
        <v>0</v>
      </c>
      <c r="AT69" s="799">
        <f>IF(AT$12=$F69+1,IF(Monthly!AP$4=TRUE,0,AT$3),IF(AT$12&gt;$F69+1,RentalsVacates!AS69*(1-IF(AT$12-$F69&lt;=12,SUMIFS('Attrition Modeling'!$D:$D,'Attrition Modeling'!$B:$B,$E69,'Attrition Modeling'!$C:$C,AT$11),VLOOKUP(RentalsVacates!AT$12-RentalsVacates!$F69-1,RentalsVacates!$A$8:$C$162,2,FALSE)*VLOOKUP(AT$11,'Attrition Modeling'!$L$15:$N$27,IF(AT$12-$F69&lt;=24,2,3),FALSE))*(1+IF('Traditional Attrition'!AT191&gt;0,'Attrition Modeling'!$N$9,0))),0))</f>
        <v>0</v>
      </c>
      <c r="AU69" s="799">
        <f>IF(AU$12=$F69+1,IF(Monthly!AQ$4=TRUE,0,AU$3),IF(AU$12&gt;$F69+1,RentalsVacates!AT69*(1-IF(AU$12-$F69&lt;=12,SUMIFS('Attrition Modeling'!$D:$D,'Attrition Modeling'!$B:$B,$E69,'Attrition Modeling'!$C:$C,AU$11),VLOOKUP(RentalsVacates!AU$12-RentalsVacates!$F69-1,RentalsVacates!$A$8:$C$162,2,FALSE)*VLOOKUP(AU$11,'Attrition Modeling'!$L$15:$N$27,IF(AU$12-$F69&lt;=24,2,3),FALSE))*(1+IF('Traditional Attrition'!AU191&gt;0,'Attrition Modeling'!$N$9,0))),0))</f>
        <v>0</v>
      </c>
      <c r="AV69" s="799">
        <f>IF(AV$12=$F69+1,IF(Monthly!AR$4=TRUE,0,AV$3),IF(AV$12&gt;$F69+1,RentalsVacates!AU69*(1-IF(AV$12-$F69&lt;=12,SUMIFS('Attrition Modeling'!$D:$D,'Attrition Modeling'!$B:$B,$E69,'Attrition Modeling'!$C:$C,AV$11),VLOOKUP(RentalsVacates!AV$12-RentalsVacates!$F69-1,RentalsVacates!$A$8:$C$162,2,FALSE)*VLOOKUP(AV$11,'Attrition Modeling'!$L$15:$N$27,IF(AV$12-$F69&lt;=24,2,3),FALSE))*(1+IF('Traditional Attrition'!AV191&gt;0,'Attrition Modeling'!$N$9,0))),0))</f>
        <v>0</v>
      </c>
      <c r="AW69" s="799">
        <f>IF(AW$12=$F69+1,IF(Monthly!AS$4=TRUE,0,AW$3),IF(AW$12&gt;$F69+1,RentalsVacates!AV69*(1-IF(AW$12-$F69&lt;=12,SUMIFS('Attrition Modeling'!$D:$D,'Attrition Modeling'!$B:$B,$E69,'Attrition Modeling'!$C:$C,AW$11),VLOOKUP(RentalsVacates!AW$12-RentalsVacates!$F69-1,RentalsVacates!$A$8:$C$162,2,FALSE)*VLOOKUP(AW$11,'Attrition Modeling'!$L$15:$N$27,IF(AW$12-$F69&lt;=24,2,3),FALSE))*(1+IF('Traditional Attrition'!AW191&gt;0,'Attrition Modeling'!$N$9,0))),0))</f>
        <v>0</v>
      </c>
      <c r="AX69" s="799">
        <f>IF(AX$12=$F69+1,IF(Monthly!AT$4=TRUE,0,AX$3),IF(AX$12&gt;$F69+1,RentalsVacates!AW69*(1-IF(AX$12-$F69&lt;=12,SUMIFS('Attrition Modeling'!$D:$D,'Attrition Modeling'!$B:$B,$E69,'Attrition Modeling'!$C:$C,AX$11),VLOOKUP(RentalsVacates!AX$12-RentalsVacates!$F69-1,RentalsVacates!$A$8:$C$162,2,FALSE)*VLOOKUP(AX$11,'Attrition Modeling'!$L$15:$N$27,IF(AX$12-$F69&lt;=24,2,3),FALSE))*(1+IF('Traditional Attrition'!AX191&gt;0,'Attrition Modeling'!$N$9,0))),0))</f>
        <v>0</v>
      </c>
      <c r="AY69" s="799">
        <f>IF(AY$12=$F69+1,IF(Monthly!AU$4=TRUE,0,AY$3),IF(AY$12&gt;$F69+1,RentalsVacates!AX69*(1-IF(AY$12-$F69&lt;=12,SUMIFS('Attrition Modeling'!$D:$D,'Attrition Modeling'!$B:$B,$E69,'Attrition Modeling'!$C:$C,AY$11),VLOOKUP(RentalsVacates!AY$12-RentalsVacates!$F69-1,RentalsVacates!$A$8:$C$162,2,FALSE)*VLOOKUP(AY$11,'Attrition Modeling'!$L$15:$N$27,IF(AY$12-$F69&lt;=24,2,3),FALSE))*(1+IF('Traditional Attrition'!AY191&gt;0,'Attrition Modeling'!$N$9,0))),0))</f>
        <v>0</v>
      </c>
      <c r="AZ69" s="799">
        <f>IF(AZ$12=$F69+1,IF(Monthly!AV$4=TRUE,0,AZ$3),IF(AZ$12&gt;$F69+1,RentalsVacates!AY69*(1-IF(AZ$12-$F69&lt;=12,SUMIFS('Attrition Modeling'!$D:$D,'Attrition Modeling'!$B:$B,$E69,'Attrition Modeling'!$C:$C,AZ$11),VLOOKUP(RentalsVacates!AZ$12-RentalsVacates!$F69-1,RentalsVacates!$A$8:$C$162,2,FALSE)*VLOOKUP(AZ$11,'Attrition Modeling'!$L$15:$N$27,IF(AZ$12-$F69&lt;=24,2,3),FALSE))*(1+IF('Traditional Attrition'!AZ191&gt;0,'Attrition Modeling'!$N$9,0))),0))</f>
        <v>0</v>
      </c>
      <c r="BA69" s="799">
        <f>IF(BA$12=$F69+1,IF(Monthly!AW$4=TRUE,0,BA$3),IF(BA$12&gt;$F69+1,RentalsVacates!AZ69*(1-IF(BA$12-$F69&lt;=12,SUMIFS('Attrition Modeling'!$D:$D,'Attrition Modeling'!$B:$B,$E69,'Attrition Modeling'!$C:$C,BA$11),VLOOKUP(RentalsVacates!BA$12-RentalsVacates!$F69-1,RentalsVacates!$A$8:$C$162,2,FALSE)*VLOOKUP(BA$11,'Attrition Modeling'!$L$15:$N$27,IF(BA$12-$F69&lt;=24,2,3),FALSE))*(1+IF('Traditional Attrition'!BA191&gt;0,'Attrition Modeling'!$N$9,0))),0))</f>
        <v>0</v>
      </c>
      <c r="BB69" s="799">
        <f>IF(BB$12=$F69+1,IF(Monthly!AX$4=TRUE,0,BB$3),IF(BB$12&gt;$F69+1,RentalsVacates!BA69*(1-IF(BB$12-$F69&lt;=12,SUMIFS('Attrition Modeling'!$D:$D,'Attrition Modeling'!$B:$B,$E69,'Attrition Modeling'!$C:$C,BB$11),VLOOKUP(RentalsVacates!BB$12-RentalsVacates!$F69-1,RentalsVacates!$A$8:$C$162,2,FALSE)*VLOOKUP(BB$11,'Attrition Modeling'!$L$15:$N$27,IF(BB$12-$F69&lt;=24,2,3),FALSE))*(1+IF('Traditional Attrition'!BB191&gt;0,'Attrition Modeling'!$N$9,0))),0))</f>
        <v>0</v>
      </c>
      <c r="BC69" s="799">
        <f>IF(BC$12=$F69+1,IF(Monthly!AY$4=TRUE,0,BC$3),IF(BC$12&gt;$F69+1,RentalsVacates!BB69*(1-IF(BC$12-$F69&lt;=12,SUMIFS('Attrition Modeling'!$D:$D,'Attrition Modeling'!$B:$B,$E69,'Attrition Modeling'!$C:$C,BC$11),VLOOKUP(RentalsVacates!BC$12-RentalsVacates!$F69-1,RentalsVacates!$A$8:$C$162,2,FALSE)*VLOOKUP(BC$11,'Attrition Modeling'!$L$15:$N$27,IF(BC$12-$F69&lt;=24,2,3),FALSE))*(1+IF('Traditional Attrition'!BC191&gt;0,'Attrition Modeling'!$N$9,0))),0))</f>
        <v>0</v>
      </c>
      <c r="BD69" s="799">
        <f>IF(BD$12=$F69+1,IF(Monthly!AZ$4=TRUE,0,BD$3),IF(BD$12&gt;$F69+1,RentalsVacates!BC69*(1-IF(BD$12-$F69&lt;=12,SUMIFS('Attrition Modeling'!$D:$D,'Attrition Modeling'!$B:$B,$E69,'Attrition Modeling'!$C:$C,BD$11),VLOOKUP(RentalsVacates!BD$12-RentalsVacates!$F69-1,RentalsVacates!$A$8:$C$162,2,FALSE)*VLOOKUP(BD$11,'Attrition Modeling'!$L$15:$N$27,IF(BD$12-$F69&lt;=24,2,3),FALSE))*(1+IF('Traditional Attrition'!BD191&gt;0,'Attrition Modeling'!$N$9,0))),0))</f>
        <v>0</v>
      </c>
      <c r="BE69" s="799">
        <f>IF(BE$12=$F69+1,IF(Monthly!BA$4=TRUE,0,BE$3),IF(BE$12&gt;$F69+1,RentalsVacates!BD69*(1-IF(BE$12-$F69&lt;=12,SUMIFS('Attrition Modeling'!$D:$D,'Attrition Modeling'!$B:$B,$E69,'Attrition Modeling'!$C:$C,BE$11),VLOOKUP(RentalsVacates!BE$12-RentalsVacates!$F69-1,RentalsVacates!$A$8:$C$162,2,FALSE)*VLOOKUP(BE$11,'Attrition Modeling'!$L$15:$N$27,IF(BE$12-$F69&lt;=24,2,3),FALSE))*(1+IF('Traditional Attrition'!BE191&gt;0,'Attrition Modeling'!$N$9,0))),0))</f>
        <v>0</v>
      </c>
      <c r="BF69" s="799">
        <f>IF(BF$12=$F69+1,IF(Monthly!BB$4=TRUE,0,BF$3),IF(BF$12&gt;$F69+1,RentalsVacates!BE69*(1-IF(BF$12-$F69&lt;=12,SUMIFS('Attrition Modeling'!$D:$D,'Attrition Modeling'!$B:$B,$E69,'Attrition Modeling'!$C:$C,BF$11),VLOOKUP(RentalsVacates!BF$12-RentalsVacates!$F69-1,RentalsVacates!$A$8:$C$162,2,FALSE)*VLOOKUP(BF$11,'Attrition Modeling'!$L$15:$N$27,IF(BF$12-$F69&lt;=24,2,3),FALSE))*(1+IF('Traditional Attrition'!BF191&gt;0,'Attrition Modeling'!$N$9,0))),0))</f>
        <v>0</v>
      </c>
      <c r="BG69" s="799">
        <f>IF(BG$12=$F69+1,IF(Monthly!BC$4=TRUE,0,BG$3),IF(BG$12&gt;$F69+1,RentalsVacates!BF69*(1-IF(BG$12-$F69&lt;=12,SUMIFS('Attrition Modeling'!$D:$D,'Attrition Modeling'!$B:$B,$E69,'Attrition Modeling'!$C:$C,BG$11),VLOOKUP(RentalsVacates!BG$12-RentalsVacates!$F69-1,RentalsVacates!$A$8:$C$162,2,FALSE)*VLOOKUP(BG$11,'Attrition Modeling'!$L$15:$N$27,IF(BG$12-$F69&lt;=24,2,3),FALSE))*(1+IF('Traditional Attrition'!BG191&gt;0,'Attrition Modeling'!$N$9,0))),0))</f>
        <v>0</v>
      </c>
      <c r="BH69" s="799">
        <f>IF(BH$12=$F69+1,IF(Monthly!BD$4=TRUE,0,BH$3),IF(BH$12&gt;$F69+1,RentalsVacates!BG69*(1-IF(BH$12-$F69&lt;=12,SUMIFS('Attrition Modeling'!$D:$D,'Attrition Modeling'!$B:$B,$E69,'Attrition Modeling'!$C:$C,BH$11),VLOOKUP(RentalsVacates!BH$12-RentalsVacates!$F69-1,RentalsVacates!$A$8:$C$162,2,FALSE)*VLOOKUP(BH$11,'Attrition Modeling'!$L$15:$N$27,IF(BH$12-$F69&lt;=24,2,3),FALSE))*(1+IF('Traditional Attrition'!BH191&gt;0,'Attrition Modeling'!$N$9,0))),0))</f>
        <v>0</v>
      </c>
      <c r="BI69" s="799">
        <f>IF(BI$12=$F69+1,IF(Monthly!BE$4=TRUE,0,BI$3),IF(BI$12&gt;$F69+1,RentalsVacates!BH69*(1-IF(BI$12-$F69&lt;=12,SUMIFS('Attrition Modeling'!$D:$D,'Attrition Modeling'!$B:$B,$E69,'Attrition Modeling'!$C:$C,BI$11),VLOOKUP(RentalsVacates!BI$12-RentalsVacates!$F69-1,RentalsVacates!$A$8:$C$162,2,FALSE)*VLOOKUP(BI$11,'Attrition Modeling'!$L$15:$N$27,IF(BI$12-$F69&lt;=24,2,3),FALSE))*(1+IF('Traditional Attrition'!BI191&gt;0,'Attrition Modeling'!$N$9,0))),0))</f>
        <v>0</v>
      </c>
      <c r="BJ69" s="799">
        <f>IF(BJ$12=$F69+1,IF(Monthly!BF$4=TRUE,0,BJ$3),IF(BJ$12&gt;$F69+1,RentalsVacates!BI69*(1-IF(BJ$12-$F69&lt;=12,SUMIFS('Attrition Modeling'!$D:$D,'Attrition Modeling'!$B:$B,$E69,'Attrition Modeling'!$C:$C,BJ$11),VLOOKUP(RentalsVacates!BJ$12-RentalsVacates!$F69-1,RentalsVacates!$A$8:$C$162,2,FALSE)*VLOOKUP(BJ$11,'Attrition Modeling'!$L$15:$N$27,IF(BJ$12-$F69&lt;=24,2,3),FALSE))*(1+IF('Traditional Attrition'!BJ191&gt;0,'Attrition Modeling'!$N$9,0))),0))</f>
        <v>0</v>
      </c>
      <c r="BK69" s="799">
        <f>IF(BK$12=$F69+1,IF(Monthly!BG$4=TRUE,0,BK$3),IF(BK$12&gt;$F69+1,RentalsVacates!BJ69*(1-IF(BK$12-$F69&lt;=12,SUMIFS('Attrition Modeling'!$D:$D,'Attrition Modeling'!$B:$B,$E69,'Attrition Modeling'!$C:$C,BK$11),VLOOKUP(RentalsVacates!BK$12-RentalsVacates!$F69-1,RentalsVacates!$A$8:$C$162,2,FALSE)*VLOOKUP(BK$11,'Attrition Modeling'!$L$15:$N$27,IF(BK$12-$F69&lt;=24,2,3),FALSE))*(1+IF('Traditional Attrition'!BK191&gt;0,'Attrition Modeling'!$N$9,0))),0))</f>
        <v>0</v>
      </c>
      <c r="BL69" s="799">
        <f>IF(BL$12=$F69+1,IF(Monthly!BH$4=TRUE,0,BL$3),IF(BL$12&gt;$F69+1,RentalsVacates!BK69*(1-IF(BL$12-$F69&lt;=12,SUMIFS('Attrition Modeling'!$D:$D,'Attrition Modeling'!$B:$B,$E69,'Attrition Modeling'!$C:$C,BL$11),VLOOKUP(RentalsVacates!BL$12-RentalsVacates!$F69-1,RentalsVacates!$A$8:$C$162,2,FALSE)*VLOOKUP(BL$11,'Attrition Modeling'!$L$15:$N$27,IF(BL$12-$F69&lt;=24,2,3),FALSE))*(1+IF('Traditional Attrition'!BL191&gt;0,'Attrition Modeling'!$N$9,0))),0))</f>
        <v>5169.0642053984775</v>
      </c>
      <c r="BM69" s="799">
        <f>IF(BM$12=$F69+1,IF(Monthly!BI$4=TRUE,0,BM$3),IF(BM$12&gt;$F69+1,RentalsVacates!BL69*(1-IF(BM$12-$F69&lt;=12,SUMIFS('Attrition Modeling'!$D:$D,'Attrition Modeling'!$B:$B,$E69,'Attrition Modeling'!$C:$C,BM$11),VLOOKUP(RentalsVacates!BM$12-RentalsVacates!$F69-1,RentalsVacates!$A$8:$C$162,2,FALSE)*VLOOKUP(BM$11,'Attrition Modeling'!$L$15:$N$27,IF(BM$12-$F69&lt;=24,2,3),FALSE))*(1+IF('Traditional Attrition'!BM191&gt;0,'Attrition Modeling'!$N$9,0))),0))</f>
        <v>4604.3330859238631</v>
      </c>
      <c r="BN69" s="799">
        <f>IF(BN$12=$F69+1,IF(Monthly!BJ$4=TRUE,0,BN$3),IF(BN$12&gt;$F69+1,RentalsVacates!BM69*(1-IF(BN$12-$F69&lt;=12,SUMIFS('Attrition Modeling'!$D:$D,'Attrition Modeling'!$B:$B,$E69,'Attrition Modeling'!$C:$C,BN$11),VLOOKUP(RentalsVacates!BN$12-RentalsVacates!$F69-1,RentalsVacates!$A$8:$C$162,2,FALSE)*VLOOKUP(BN$11,'Attrition Modeling'!$L$15:$N$27,IF(BN$12-$F69&lt;=24,2,3),FALSE))*(1+IF('Traditional Attrition'!BN191&gt;0,'Attrition Modeling'!$N$9,0))),0))</f>
        <v>4190.3295038232864</v>
      </c>
      <c r="BO69" s="799">
        <f>IF(BO$12=$F69+1,IF(Monthly!BK$4=TRUE,0,BO$3),IF(BO$12&gt;$F69+1,RentalsVacates!BN69*(1-IF(BO$12-$F69&lt;=12,SUMIFS('Attrition Modeling'!$D:$D,'Attrition Modeling'!$B:$B,$E69,'Attrition Modeling'!$C:$C,BO$11),VLOOKUP(RentalsVacates!BO$12-RentalsVacates!$F69-1,RentalsVacates!$A$8:$C$162,2,FALSE)*VLOOKUP(BO$11,'Attrition Modeling'!$L$15:$N$27,IF(BO$12-$F69&lt;=24,2,3),FALSE))*(1+IF('Traditional Attrition'!BO191&gt;0,'Attrition Modeling'!$N$9,0))),0))</f>
        <v>3812.8471903481491</v>
      </c>
      <c r="BP69" s="799">
        <f>IF(BP$12=$F69+1,IF(Monthly!BL$4=TRUE,0,BP$3),IF(BP$12&gt;$F69+1,RentalsVacates!BO69*(1-IF(BP$12-$F69&lt;=12,SUMIFS('Attrition Modeling'!$D:$D,'Attrition Modeling'!$B:$B,$E69,'Attrition Modeling'!$C:$C,BP$11),VLOOKUP(RentalsVacates!BP$12-RentalsVacates!$F69-1,RentalsVacates!$A$8:$C$162,2,FALSE)*VLOOKUP(BP$11,'Attrition Modeling'!$L$15:$N$27,IF(BP$12-$F69&lt;=24,2,3),FALSE))*(1+IF('Traditional Attrition'!BP191&gt;0,'Attrition Modeling'!$N$9,0))),0))</f>
        <v>3517.2371858089291</v>
      </c>
      <c r="BQ69" s="799">
        <f>IF(BQ$12=$F69+1,IF(Monthly!BM$4=TRUE,0,BQ$3),IF(BQ$12&gt;$F69+1,RentalsVacates!BP69*(1-IF(BQ$12-$F69&lt;=12,SUMIFS('Attrition Modeling'!$D:$D,'Attrition Modeling'!$B:$B,$E69,'Attrition Modeling'!$C:$C,BQ$11),VLOOKUP(RentalsVacates!BQ$12-RentalsVacates!$F69-1,RentalsVacates!$A$8:$C$162,2,FALSE)*VLOOKUP(BQ$11,'Attrition Modeling'!$L$15:$N$27,IF(BQ$12-$F69&lt;=24,2,3),FALSE))*(1+IF('Traditional Attrition'!BQ191&gt;0,'Attrition Modeling'!$N$9,0))),0))</f>
        <v>3192.1722539262851</v>
      </c>
      <c r="BR69" s="799">
        <f>IF(BR$12=$F69+1,IF(Monthly!BN$4=TRUE,0,BR$3),IF(BR$12&gt;$F69+1,RentalsVacates!BQ69*(1-IF(BR$12-$F69&lt;=12,SUMIFS('Attrition Modeling'!$D:$D,'Attrition Modeling'!$B:$B,$E69,'Attrition Modeling'!$C:$C,BR$11),VLOOKUP(RentalsVacates!BR$12-RentalsVacates!$F69-1,RentalsVacates!$A$8:$C$162,2,FALSE)*VLOOKUP(BR$11,'Attrition Modeling'!$L$15:$N$27,IF(BR$12-$F69&lt;=24,2,3),FALSE))*(1+IF('Traditional Attrition'!BR191&gt;0,'Attrition Modeling'!$N$9,0))),0))</f>
        <v>2950.0888593393465</v>
      </c>
      <c r="BS69" s="799">
        <f>IF(BS$12=$F69+1,IF(Monthly!BO$4=TRUE,0,BS$3),IF(BS$12&gt;$F69+1,RentalsVacates!BR69*(1-IF(BS$12-$F69&lt;=12,SUMIFS('Attrition Modeling'!$D:$D,'Attrition Modeling'!$B:$B,$E69,'Attrition Modeling'!$C:$C,BS$11),VLOOKUP(RentalsVacates!BS$12-RentalsVacates!$F69-1,RentalsVacates!$A$8:$C$162,2,FALSE)*VLOOKUP(BS$11,'Attrition Modeling'!$L$15:$N$27,IF(BS$12-$F69&lt;=24,2,3),FALSE))*(1+IF('Traditional Attrition'!BS191&gt;0,'Attrition Modeling'!$N$9,0))),0))</f>
        <v>2756.139426907373</v>
      </c>
      <c r="BT69" s="799">
        <f>IF(BT$11=$F68+1,IF(Monthly!#REF!=TRUE,0,BT$3),IF(BT$11&gt;$F68+1,RentalsVacates!BS68*(1-IF(BT$11-$F68&lt;=12,SUMIFS('Attrition Modeling'!$D:$D,'Attrition Modeling'!$B:$B,$E68,'Attrition Modeling'!$C:$C,BT$10),VLOOKUP(RentalsVacates!BT$11-RentalsVacates!$F68-1,RentalsVacates!$A$7:$C$161,2,FALSE)*VLOOKUP(BT$10,'Attrition Modeling'!$L$15:$N$27,IF(BT$11-$F68&lt;=24,2,3),FALSE))*(1+IF('Traditional Attrition'!BT191&gt;0,'Attrition Modeling'!$N$9,0))),0))</f>
        <v>0</v>
      </c>
      <c r="BU69" s="799">
        <f>IF(BU$11=$F68+1,IF(Monthly!#REF!=TRUE,0,BU$3),IF(BU$11&gt;$F68+1,RentalsVacates!BT68*(1-IF(BU$11-$F68&lt;=12,SUMIFS('Attrition Modeling'!$D:$D,'Attrition Modeling'!$B:$B,$E68,'Attrition Modeling'!$C:$C,BU$10),VLOOKUP(RentalsVacates!BU$11-RentalsVacates!$F68-1,RentalsVacates!$A$7:$C$161,2,FALSE)*VLOOKUP(BU$10,'Attrition Modeling'!$L$15:$N$27,IF(BU$11-$F68&lt;=24,2,3),FALSE))*(1+IF('Traditional Attrition'!BU191&gt;0,'Attrition Modeling'!$N$9,0))),0))</f>
        <v>0</v>
      </c>
    </row>
    <row r="70" spans="1:73" ht="14.25" customHeight="1" x14ac:dyDescent="0.2">
      <c r="A70" s="9">
        <v>62</v>
      </c>
      <c r="B70" s="25">
        <f>MAX('Attrition Modeling'!H66,$C$3)*(1-Summary!$C$20)</f>
        <v>2.1693060240916329E-2</v>
      </c>
      <c r="C70" s="24" t="e">
        <f t="shared" si="2"/>
        <v>#DIV/0!</v>
      </c>
      <c r="E70" s="11">
        <f>'Traditional Attrition'!E127</f>
        <v>9</v>
      </c>
      <c r="F70" s="11">
        <f t="shared" si="4"/>
        <v>57</v>
      </c>
      <c r="G70" s="799"/>
      <c r="H70" s="799">
        <f>IF(H$12=$F70+1,IF(Monthly!D$4=TRUE,0,H$3),IF(H$12&gt;$F70+1,RentalsVacates!G70*(1-IF(H$12-$F70&lt;=12,SUMIFS('Attrition Modeling'!$D:$D,'Attrition Modeling'!$B:$B,$E70,'Attrition Modeling'!$C:$C,H$11),VLOOKUP(RentalsVacates!H$12-RentalsVacates!$F70-1,RentalsVacates!$A$8:$C$162,2,FALSE)*VLOOKUP(H$11,'Attrition Modeling'!$L$15:$N$27,IF(H$12-$F70&lt;=24,2,3),FALSE))*(1+IF('Traditional Attrition'!H192&gt;0,'Attrition Modeling'!$N$9,0))),0))</f>
        <v>0</v>
      </c>
      <c r="I70" s="799">
        <f>IF(I$12=$F70+1,IF(Monthly!E$4=TRUE,0,I$3),IF(I$12&gt;$F70+1,RentalsVacates!H70*(1-IF(I$12-$F70&lt;=12,SUMIFS('Attrition Modeling'!$D:$D,'Attrition Modeling'!$B:$B,$E70,'Attrition Modeling'!$C:$C,I$11),VLOOKUP(RentalsVacates!I$12-RentalsVacates!$F70-1,RentalsVacates!$A$8:$C$162,2,FALSE)*VLOOKUP(I$11,'Attrition Modeling'!$L$15:$N$27,IF(I$12-$F70&lt;=24,2,3),FALSE))*(1+IF('Traditional Attrition'!I192&gt;0,'Attrition Modeling'!$N$9,0))),0))</f>
        <v>0</v>
      </c>
      <c r="J70" s="799">
        <f>IF(J$12=$F70+1,IF(Monthly!F$4=TRUE,0,J$3),IF(J$12&gt;$F70+1,RentalsVacates!I70*(1-IF(J$12-$F70&lt;=12,SUMIFS('Attrition Modeling'!$D:$D,'Attrition Modeling'!$B:$B,$E70,'Attrition Modeling'!$C:$C,J$11),VLOOKUP(RentalsVacates!J$12-RentalsVacates!$F70-1,RentalsVacates!$A$8:$C$162,2,FALSE)*VLOOKUP(J$11,'Attrition Modeling'!$L$15:$N$27,IF(J$12-$F70&lt;=24,2,3),FALSE))*(1+IF('Traditional Attrition'!J192&gt;0,'Attrition Modeling'!$N$9,0))),0))</f>
        <v>0</v>
      </c>
      <c r="K70" s="799">
        <f>IF(K$12=$F70+1,IF(Monthly!G$4=TRUE,0,K$3),IF(K$12&gt;$F70+1,RentalsVacates!J70*(1-IF(K$12-$F70&lt;=12,SUMIFS('Attrition Modeling'!$D:$D,'Attrition Modeling'!$B:$B,$E70,'Attrition Modeling'!$C:$C,K$11),VLOOKUP(RentalsVacates!K$12-RentalsVacates!$F70-1,RentalsVacates!$A$8:$C$162,2,FALSE)*VLOOKUP(K$11,'Attrition Modeling'!$L$15:$N$27,IF(K$12-$F70&lt;=24,2,3),FALSE))*(1+IF('Traditional Attrition'!K192&gt;0,'Attrition Modeling'!$N$9,0))),0))</f>
        <v>0</v>
      </c>
      <c r="L70" s="799">
        <f>IF(L$12=$F70+1,IF(Monthly!H$4=TRUE,0,L$3),IF(L$12&gt;$F70+1,RentalsVacates!K70*(1-IF(L$12-$F70&lt;=12,SUMIFS('Attrition Modeling'!$D:$D,'Attrition Modeling'!$B:$B,$E70,'Attrition Modeling'!$C:$C,L$11),VLOOKUP(RentalsVacates!L$12-RentalsVacates!$F70-1,RentalsVacates!$A$8:$C$162,2,FALSE)*VLOOKUP(L$11,'Attrition Modeling'!$L$15:$N$27,IF(L$12-$F70&lt;=24,2,3),FALSE))*(1+IF('Traditional Attrition'!L192&gt;0,'Attrition Modeling'!$N$9,0))),0))</f>
        <v>0</v>
      </c>
      <c r="M70" s="799">
        <f>IF(M$12=$F70+1,IF(Monthly!I$4=TRUE,0,M$3),IF(M$12&gt;$F70+1,RentalsVacates!L70*(1-IF(M$12-$F70&lt;=12,SUMIFS('Attrition Modeling'!$D:$D,'Attrition Modeling'!$B:$B,$E70,'Attrition Modeling'!$C:$C,M$11),VLOOKUP(RentalsVacates!M$12-RentalsVacates!$F70-1,RentalsVacates!$A$8:$C$162,2,FALSE)*VLOOKUP(M$11,'Attrition Modeling'!$L$15:$N$27,IF(M$12-$F70&lt;=24,2,3),FALSE))*(1+IF('Traditional Attrition'!M192&gt;0,'Attrition Modeling'!$N$9,0))),0))</f>
        <v>0</v>
      </c>
      <c r="N70" s="799">
        <f>IF(N$12=$F70+1,IF(Monthly!J$4=TRUE,0,N$3),IF(N$12&gt;$F70+1,RentalsVacates!M70*(1-IF(N$12-$F70&lt;=12,SUMIFS('Attrition Modeling'!$D:$D,'Attrition Modeling'!$B:$B,$E70,'Attrition Modeling'!$C:$C,N$11),VLOOKUP(RentalsVacates!N$12-RentalsVacates!$F70-1,RentalsVacates!$A$8:$C$162,2,FALSE)*VLOOKUP(N$11,'Attrition Modeling'!$L$15:$N$27,IF(N$12-$F70&lt;=24,2,3),FALSE))*(1+IF('Traditional Attrition'!N192&gt;0,'Attrition Modeling'!$N$9,0))),0))</f>
        <v>0</v>
      </c>
      <c r="O70" s="799">
        <f>IF(O$12=$F70+1,IF(Monthly!K$4=TRUE,0,O$3),IF(O$12&gt;$F70+1,RentalsVacates!N70*(1-IF(O$12-$F70&lt;=12,SUMIFS('Attrition Modeling'!$D:$D,'Attrition Modeling'!$B:$B,$E70,'Attrition Modeling'!$C:$C,O$11),VLOOKUP(RentalsVacates!O$12-RentalsVacates!$F70-1,RentalsVacates!$A$8:$C$162,2,FALSE)*VLOOKUP(O$11,'Attrition Modeling'!$L$15:$N$27,IF(O$12-$F70&lt;=24,2,3),FALSE))*(1+IF('Traditional Attrition'!O192&gt;0,'Attrition Modeling'!$N$9,0))),0))</f>
        <v>0</v>
      </c>
      <c r="P70" s="799">
        <f>IF(P$12=$F70+1,IF(Monthly!L$4=TRUE,0,P$3),IF(P$12&gt;$F70+1,RentalsVacates!O70*(1-IF(P$12-$F70&lt;=12,SUMIFS('Attrition Modeling'!$D:$D,'Attrition Modeling'!$B:$B,$E70,'Attrition Modeling'!$C:$C,P$11),VLOOKUP(RentalsVacates!P$12-RentalsVacates!$F70-1,RentalsVacates!$A$8:$C$162,2,FALSE)*VLOOKUP(P$11,'Attrition Modeling'!$L$15:$N$27,IF(P$12-$F70&lt;=24,2,3),FALSE))*(1+IF('Traditional Attrition'!P192&gt;0,'Attrition Modeling'!$N$9,0))),0))</f>
        <v>0</v>
      </c>
      <c r="Q70" s="799">
        <f>IF(Q$12=$F70+1,IF(Monthly!M$4=TRUE,0,Q$3),IF(Q$12&gt;$F70+1,RentalsVacates!P70*(1-IF(Q$12-$F70&lt;=12,SUMIFS('Attrition Modeling'!$D:$D,'Attrition Modeling'!$B:$B,$E70,'Attrition Modeling'!$C:$C,Q$11),VLOOKUP(RentalsVacates!Q$12-RentalsVacates!$F70-1,RentalsVacates!$A$8:$C$162,2,FALSE)*VLOOKUP(Q$11,'Attrition Modeling'!$L$15:$N$27,IF(Q$12-$F70&lt;=24,2,3),FALSE))*(1+IF('Traditional Attrition'!Q192&gt;0,'Attrition Modeling'!$N$9,0))),0))</f>
        <v>0</v>
      </c>
      <c r="R70" s="799">
        <f>IF(R$12=$F70+1,IF(Monthly!N$4=TRUE,0,R$3),IF(R$12&gt;$F70+1,RentalsVacates!Q70*(1-IF(R$12-$F70&lt;=12,SUMIFS('Attrition Modeling'!$D:$D,'Attrition Modeling'!$B:$B,$E70,'Attrition Modeling'!$C:$C,R$11),VLOOKUP(RentalsVacates!R$12-RentalsVacates!$F70-1,RentalsVacates!$A$8:$C$162,2,FALSE)*VLOOKUP(R$11,'Attrition Modeling'!$L$15:$N$27,IF(R$12-$F70&lt;=24,2,3),FALSE))*(1+IF('Traditional Attrition'!R192&gt;0,'Attrition Modeling'!$N$9,0))),0))</f>
        <v>0</v>
      </c>
      <c r="S70" s="799">
        <f>IF(S$12=$F70+1,IF(Monthly!O$4=TRUE,0,S$3),IF(S$12&gt;$F70+1,RentalsVacates!R70*(1-IF(S$12-$F70&lt;=12,SUMIFS('Attrition Modeling'!$D:$D,'Attrition Modeling'!$B:$B,$E70,'Attrition Modeling'!$C:$C,S$11),VLOOKUP(RentalsVacates!S$12-RentalsVacates!$F70-1,RentalsVacates!$A$8:$C$162,2,FALSE)*VLOOKUP(S$11,'Attrition Modeling'!$L$15:$N$27,IF(S$12-$F70&lt;=24,2,3),FALSE))*(1+IF('Traditional Attrition'!S192&gt;0,'Attrition Modeling'!$N$9,0))),0))</f>
        <v>0</v>
      </c>
      <c r="T70" s="799">
        <f>IF(T$12=$F70+1,IF(Monthly!P$4=TRUE,0,T$3),IF(T$12&gt;$F70+1,RentalsVacates!S70*(1-IF(T$12-$F70&lt;=12,SUMIFS('Attrition Modeling'!$D:$D,'Attrition Modeling'!$B:$B,$E70,'Attrition Modeling'!$C:$C,T$11),VLOOKUP(RentalsVacates!T$12-RentalsVacates!$F70-1,RentalsVacates!$A$8:$C$162,2,FALSE)*VLOOKUP(T$11,'Attrition Modeling'!$L$15:$N$27,IF(T$12-$F70&lt;=24,2,3),FALSE))*(1+IF('Traditional Attrition'!T192&gt;0,'Attrition Modeling'!$N$9,0))),0))</f>
        <v>0</v>
      </c>
      <c r="U70" s="799">
        <f>IF(U$12=$F70+1,IF(Monthly!Q$4=TRUE,0,U$3),IF(U$12&gt;$F70+1,RentalsVacates!T70*(1-IF(U$12-$F70&lt;=12,SUMIFS('Attrition Modeling'!$D:$D,'Attrition Modeling'!$B:$B,$E70,'Attrition Modeling'!$C:$C,U$11),VLOOKUP(RentalsVacates!U$12-RentalsVacates!$F70-1,RentalsVacates!$A$8:$C$162,2,FALSE)*VLOOKUP(U$11,'Attrition Modeling'!$L$15:$N$27,IF(U$12-$F70&lt;=24,2,3),FALSE))*(1+IF('Traditional Attrition'!U192&gt;0,'Attrition Modeling'!$N$9,0))),0))</f>
        <v>0</v>
      </c>
      <c r="V70" s="799">
        <f>IF(V$12=$F70+1,IF(Monthly!R$4=TRUE,0,V$3),IF(V$12&gt;$F70+1,RentalsVacates!U70*(1-IF(V$12-$F70&lt;=12,SUMIFS('Attrition Modeling'!$D:$D,'Attrition Modeling'!$B:$B,$E70,'Attrition Modeling'!$C:$C,V$11),VLOOKUP(RentalsVacates!V$12-RentalsVacates!$F70-1,RentalsVacates!$A$8:$C$162,2,FALSE)*VLOOKUP(V$11,'Attrition Modeling'!$L$15:$N$27,IF(V$12-$F70&lt;=24,2,3),FALSE))*(1+IF('Traditional Attrition'!V192&gt;0,'Attrition Modeling'!$N$9,0))),0))</f>
        <v>0</v>
      </c>
      <c r="W70" s="799">
        <f>IF(W$12=$F70+1,IF(Monthly!S$4=TRUE,0,W$3),IF(W$12&gt;$F70+1,RentalsVacates!V70*(1-IF(W$12-$F70&lt;=12,SUMIFS('Attrition Modeling'!$D:$D,'Attrition Modeling'!$B:$B,$E70,'Attrition Modeling'!$C:$C,W$11),VLOOKUP(RentalsVacates!W$12-RentalsVacates!$F70-1,RentalsVacates!$A$8:$C$162,2,FALSE)*VLOOKUP(W$11,'Attrition Modeling'!$L$15:$N$27,IF(W$12-$F70&lt;=24,2,3),FALSE))*(1+IF('Traditional Attrition'!W192&gt;0,'Attrition Modeling'!$N$9,0))),0))</f>
        <v>0</v>
      </c>
      <c r="X70" s="799">
        <f>IF(X$12=$F70+1,IF(Monthly!T$4=TRUE,0,X$3),IF(X$12&gt;$F70+1,RentalsVacates!W70*(1-IF(X$12-$F70&lt;=12,SUMIFS('Attrition Modeling'!$D:$D,'Attrition Modeling'!$B:$B,$E70,'Attrition Modeling'!$C:$C,X$11),VLOOKUP(RentalsVacates!X$12-RentalsVacates!$F70-1,RentalsVacates!$A$8:$C$162,2,FALSE)*VLOOKUP(X$11,'Attrition Modeling'!$L$15:$N$27,IF(X$12-$F70&lt;=24,2,3),FALSE))*(1+IF('Traditional Attrition'!X192&gt;0,'Attrition Modeling'!$N$9,0))),0))</f>
        <v>0</v>
      </c>
      <c r="Y70" s="799">
        <f>IF(Y$12=$F70+1,IF(Monthly!U$4=TRUE,0,Y$3),IF(Y$12&gt;$F70+1,RentalsVacates!X70*(1-IF(Y$12-$F70&lt;=12,SUMIFS('Attrition Modeling'!$D:$D,'Attrition Modeling'!$B:$B,$E70,'Attrition Modeling'!$C:$C,Y$11),VLOOKUP(RentalsVacates!Y$12-RentalsVacates!$F70-1,RentalsVacates!$A$8:$C$162,2,FALSE)*VLOOKUP(Y$11,'Attrition Modeling'!$L$15:$N$27,IF(Y$12-$F70&lt;=24,2,3),FALSE))*(1+IF('Traditional Attrition'!Y192&gt;0,'Attrition Modeling'!$N$9,0))),0))</f>
        <v>0</v>
      </c>
      <c r="Z70" s="799">
        <f>IF(Z$12=$F70+1,IF(Monthly!V$4=TRUE,0,Z$3),IF(Z$12&gt;$F70+1,RentalsVacates!Y70*(1-IF(Z$12-$F70&lt;=12,SUMIFS('Attrition Modeling'!$D:$D,'Attrition Modeling'!$B:$B,$E70,'Attrition Modeling'!$C:$C,Z$11),VLOOKUP(RentalsVacates!Z$12-RentalsVacates!$F70-1,RentalsVacates!$A$8:$C$162,2,FALSE)*VLOOKUP(Z$11,'Attrition Modeling'!$L$15:$N$27,IF(Z$12-$F70&lt;=24,2,3),FALSE))*(1+IF('Traditional Attrition'!Z192&gt;0,'Attrition Modeling'!$N$9,0))),0))</f>
        <v>0</v>
      </c>
      <c r="AA70" s="799">
        <f>IF(AA$12=$F70+1,IF(Monthly!W$4=TRUE,0,AA$3),IF(AA$12&gt;$F70+1,RentalsVacates!Z70*(1-IF(AA$12-$F70&lt;=12,SUMIFS('Attrition Modeling'!$D:$D,'Attrition Modeling'!$B:$B,$E70,'Attrition Modeling'!$C:$C,AA$11),VLOOKUP(RentalsVacates!AA$12-RentalsVacates!$F70-1,RentalsVacates!$A$8:$C$162,2,FALSE)*VLOOKUP(AA$11,'Attrition Modeling'!$L$15:$N$27,IF(AA$12-$F70&lt;=24,2,3),FALSE))*(1+IF('Traditional Attrition'!AA192&gt;0,'Attrition Modeling'!$N$9,0))),0))</f>
        <v>0</v>
      </c>
      <c r="AB70" s="799">
        <f>IF(AB$12=$F70+1,IF(Monthly!X$4=TRUE,0,AB$3),IF(AB$12&gt;$F70+1,RentalsVacates!AA70*(1-IF(AB$12-$F70&lt;=12,SUMIFS('Attrition Modeling'!$D:$D,'Attrition Modeling'!$B:$B,$E70,'Attrition Modeling'!$C:$C,AB$11),VLOOKUP(RentalsVacates!AB$12-RentalsVacates!$F70-1,RentalsVacates!$A$8:$C$162,2,FALSE)*VLOOKUP(AB$11,'Attrition Modeling'!$L$15:$N$27,IF(AB$12-$F70&lt;=24,2,3),FALSE))*(1+IF('Traditional Attrition'!AB192&gt;0,'Attrition Modeling'!$N$9,0))),0))</f>
        <v>0</v>
      </c>
      <c r="AC70" s="799">
        <f>IF(AC$12=$F70+1,IF(Monthly!Y$4=TRUE,0,AC$3),IF(AC$12&gt;$F70+1,RentalsVacates!AB70*(1-IF(AC$12-$F70&lt;=12,SUMIFS('Attrition Modeling'!$D:$D,'Attrition Modeling'!$B:$B,$E70,'Attrition Modeling'!$C:$C,AC$11),VLOOKUP(RentalsVacates!AC$12-RentalsVacates!$F70-1,RentalsVacates!$A$8:$C$162,2,FALSE)*VLOOKUP(AC$11,'Attrition Modeling'!$L$15:$N$27,IF(AC$12-$F70&lt;=24,2,3),FALSE))*(1+IF('Traditional Attrition'!AC192&gt;0,'Attrition Modeling'!$N$9,0))),0))</f>
        <v>0</v>
      </c>
      <c r="AD70" s="799">
        <f>IF(AD$12=$F70+1,IF(Monthly!Z$4=TRUE,0,AD$3),IF(AD$12&gt;$F70+1,RentalsVacates!AC70*(1-IF(AD$12-$F70&lt;=12,SUMIFS('Attrition Modeling'!$D:$D,'Attrition Modeling'!$B:$B,$E70,'Attrition Modeling'!$C:$C,AD$11),VLOOKUP(RentalsVacates!AD$12-RentalsVacates!$F70-1,RentalsVacates!$A$8:$C$162,2,FALSE)*VLOOKUP(AD$11,'Attrition Modeling'!$L$15:$N$27,IF(AD$12-$F70&lt;=24,2,3),FALSE))*(1+IF('Traditional Attrition'!AD192&gt;0,'Attrition Modeling'!$N$9,0))),0))</f>
        <v>0</v>
      </c>
      <c r="AE70" s="799">
        <f>IF(AE$12=$F70+1,IF(Monthly!AA$4=TRUE,0,AE$3),IF(AE$12&gt;$F70+1,RentalsVacates!AD70*(1-IF(AE$12-$F70&lt;=12,SUMIFS('Attrition Modeling'!$D:$D,'Attrition Modeling'!$B:$B,$E70,'Attrition Modeling'!$C:$C,AE$11),VLOOKUP(RentalsVacates!AE$12-RentalsVacates!$F70-1,RentalsVacates!$A$8:$C$162,2,FALSE)*VLOOKUP(AE$11,'Attrition Modeling'!$L$15:$N$27,IF(AE$12-$F70&lt;=24,2,3),FALSE))*(1+IF('Traditional Attrition'!AE192&gt;0,'Attrition Modeling'!$N$9,0))),0))</f>
        <v>0</v>
      </c>
      <c r="AF70" s="799">
        <f>IF(AF$12=$F70+1,IF(Monthly!AB$4=TRUE,0,AF$3),IF(AF$12&gt;$F70+1,RentalsVacates!AE70*(1-IF(AF$12-$F70&lt;=12,SUMIFS('Attrition Modeling'!$D:$D,'Attrition Modeling'!$B:$B,$E70,'Attrition Modeling'!$C:$C,AF$11),VLOOKUP(RentalsVacates!AF$12-RentalsVacates!$F70-1,RentalsVacates!$A$8:$C$162,2,FALSE)*VLOOKUP(AF$11,'Attrition Modeling'!$L$15:$N$27,IF(AF$12-$F70&lt;=24,2,3),FALSE))*(1+IF('Traditional Attrition'!AF192&gt;0,'Attrition Modeling'!$N$9,0))),0))</f>
        <v>0</v>
      </c>
      <c r="AG70" s="799">
        <f>IF(AG$12=$F70+1,IF(Monthly!AC$4=TRUE,0,AG$3),IF(AG$12&gt;$F70+1,RentalsVacates!AF70*(1-IF(AG$12-$F70&lt;=12,SUMIFS('Attrition Modeling'!$D:$D,'Attrition Modeling'!$B:$B,$E70,'Attrition Modeling'!$C:$C,AG$11),VLOOKUP(RentalsVacates!AG$12-RentalsVacates!$F70-1,RentalsVacates!$A$8:$C$162,2,FALSE)*VLOOKUP(AG$11,'Attrition Modeling'!$L$15:$N$27,IF(AG$12-$F70&lt;=24,2,3),FALSE))*(1+IF('Traditional Attrition'!AG192&gt;0,'Attrition Modeling'!$N$9,0))),0))</f>
        <v>0</v>
      </c>
      <c r="AH70" s="799">
        <f>IF(AH$12=$F70+1,IF(Monthly!AD$4=TRUE,0,AH$3),IF(AH$12&gt;$F70+1,RentalsVacates!AG70*(1-IF(AH$12-$F70&lt;=12,SUMIFS('Attrition Modeling'!$D:$D,'Attrition Modeling'!$B:$B,$E70,'Attrition Modeling'!$C:$C,AH$11),VLOOKUP(RentalsVacates!AH$12-RentalsVacates!$F70-1,RentalsVacates!$A$8:$C$162,2,FALSE)*VLOOKUP(AH$11,'Attrition Modeling'!$L$15:$N$27,IF(AH$12-$F70&lt;=24,2,3),FALSE))*(1+IF('Traditional Attrition'!AH192&gt;0,'Attrition Modeling'!$N$9,0))),0))</f>
        <v>0</v>
      </c>
      <c r="AI70" s="799">
        <f>IF(AI$12=$F70+1,IF(Monthly!AE$4=TRUE,0,AI$3),IF(AI$12&gt;$F70+1,RentalsVacates!AH70*(1-IF(AI$12-$F70&lt;=12,SUMIFS('Attrition Modeling'!$D:$D,'Attrition Modeling'!$B:$B,$E70,'Attrition Modeling'!$C:$C,AI$11),VLOOKUP(RentalsVacates!AI$12-RentalsVacates!$F70-1,RentalsVacates!$A$8:$C$162,2,FALSE)*VLOOKUP(AI$11,'Attrition Modeling'!$L$15:$N$27,IF(AI$12-$F70&lt;=24,2,3),FALSE))*(1+IF('Traditional Attrition'!AI192&gt;0,'Attrition Modeling'!$N$9,0))),0))</f>
        <v>0</v>
      </c>
      <c r="AJ70" s="799">
        <f>IF(AJ$12=$F70+1,IF(Monthly!AF$4=TRUE,0,AJ$3),IF(AJ$12&gt;$F70+1,RentalsVacates!AI70*(1-IF(AJ$12-$F70&lt;=12,SUMIFS('Attrition Modeling'!$D:$D,'Attrition Modeling'!$B:$B,$E70,'Attrition Modeling'!$C:$C,AJ$11),VLOOKUP(RentalsVacates!AJ$12-RentalsVacates!$F70-1,RentalsVacates!$A$8:$C$162,2,FALSE)*VLOOKUP(AJ$11,'Attrition Modeling'!$L$15:$N$27,IF(AJ$12-$F70&lt;=24,2,3),FALSE))*(1+IF('Traditional Attrition'!AJ192&gt;0,'Attrition Modeling'!$N$9,0))),0))</f>
        <v>0</v>
      </c>
      <c r="AK70" s="799">
        <f>IF(AK$12=$F70+1,IF(Monthly!AG$4=TRUE,0,AK$3),IF(AK$12&gt;$F70+1,RentalsVacates!AJ70*(1-IF(AK$12-$F70&lt;=12,SUMIFS('Attrition Modeling'!$D:$D,'Attrition Modeling'!$B:$B,$E70,'Attrition Modeling'!$C:$C,AK$11),VLOOKUP(RentalsVacates!AK$12-RentalsVacates!$F70-1,RentalsVacates!$A$8:$C$162,2,FALSE)*VLOOKUP(AK$11,'Attrition Modeling'!$L$15:$N$27,IF(AK$12-$F70&lt;=24,2,3),FALSE))*(1+IF('Traditional Attrition'!AK192&gt;0,'Attrition Modeling'!$N$9,0))),0))</f>
        <v>0</v>
      </c>
      <c r="AL70" s="799">
        <f>IF(AL$12=$F70+1,IF(Monthly!AH$4=TRUE,0,AL$3),IF(AL$12&gt;$F70+1,RentalsVacates!AK70*(1-IF(AL$12-$F70&lt;=12,SUMIFS('Attrition Modeling'!$D:$D,'Attrition Modeling'!$B:$B,$E70,'Attrition Modeling'!$C:$C,AL$11),VLOOKUP(RentalsVacates!AL$12-RentalsVacates!$F70-1,RentalsVacates!$A$8:$C$162,2,FALSE)*VLOOKUP(AL$11,'Attrition Modeling'!$L$15:$N$27,IF(AL$12-$F70&lt;=24,2,3),FALSE))*(1+IF('Traditional Attrition'!AL192&gt;0,'Attrition Modeling'!$N$9,0))),0))</f>
        <v>0</v>
      </c>
      <c r="AM70" s="799">
        <f>IF(AM$12=$F70+1,IF(Monthly!AI$4=TRUE,0,AM$3),IF(AM$12&gt;$F70+1,RentalsVacates!AL70*(1-IF(AM$12-$F70&lt;=12,SUMIFS('Attrition Modeling'!$D:$D,'Attrition Modeling'!$B:$B,$E70,'Attrition Modeling'!$C:$C,AM$11),VLOOKUP(RentalsVacates!AM$12-RentalsVacates!$F70-1,RentalsVacates!$A$8:$C$162,2,FALSE)*VLOOKUP(AM$11,'Attrition Modeling'!$L$15:$N$27,IF(AM$12-$F70&lt;=24,2,3),FALSE))*(1+IF('Traditional Attrition'!AM192&gt;0,'Attrition Modeling'!$N$9,0))),0))</f>
        <v>0</v>
      </c>
      <c r="AN70" s="799">
        <f>IF(AN$12=$F70+1,IF(Monthly!AJ$4=TRUE,0,AN$3),IF(AN$12&gt;$F70+1,RentalsVacates!AM70*(1-IF(AN$12-$F70&lt;=12,SUMIFS('Attrition Modeling'!$D:$D,'Attrition Modeling'!$B:$B,$E70,'Attrition Modeling'!$C:$C,AN$11),VLOOKUP(RentalsVacates!AN$12-RentalsVacates!$F70-1,RentalsVacates!$A$8:$C$162,2,FALSE)*VLOOKUP(AN$11,'Attrition Modeling'!$L$15:$N$27,IF(AN$12-$F70&lt;=24,2,3),FALSE))*(1+IF('Traditional Attrition'!AN192&gt;0,'Attrition Modeling'!$N$9,0))),0))</f>
        <v>0</v>
      </c>
      <c r="AO70" s="799">
        <f>IF(AO$12=$F70+1,IF(Monthly!AK$4=TRUE,0,AO$3),IF(AO$12&gt;$F70+1,RentalsVacates!AN70*(1-IF(AO$12-$F70&lt;=12,SUMIFS('Attrition Modeling'!$D:$D,'Attrition Modeling'!$B:$B,$E70,'Attrition Modeling'!$C:$C,AO$11),VLOOKUP(RentalsVacates!AO$12-RentalsVacates!$F70-1,RentalsVacates!$A$8:$C$162,2,FALSE)*VLOOKUP(AO$11,'Attrition Modeling'!$L$15:$N$27,IF(AO$12-$F70&lt;=24,2,3),FALSE))*(1+IF('Traditional Attrition'!AO192&gt;0,'Attrition Modeling'!$N$9,0))),0))</f>
        <v>0</v>
      </c>
      <c r="AP70" s="799">
        <f>IF(AP$12=$F70+1,IF(Monthly!AL$4=TRUE,0,AP$3),IF(AP$12&gt;$F70+1,RentalsVacates!AO70*(1-IF(AP$12-$F70&lt;=12,SUMIFS('Attrition Modeling'!$D:$D,'Attrition Modeling'!$B:$B,$E70,'Attrition Modeling'!$C:$C,AP$11),VLOOKUP(RentalsVacates!AP$12-RentalsVacates!$F70-1,RentalsVacates!$A$8:$C$162,2,FALSE)*VLOOKUP(AP$11,'Attrition Modeling'!$L$15:$N$27,IF(AP$12-$F70&lt;=24,2,3),FALSE))*(1+IF('Traditional Attrition'!AP192&gt;0,'Attrition Modeling'!$N$9,0))),0))</f>
        <v>0</v>
      </c>
      <c r="AQ70" s="799">
        <f>IF(AQ$12=$F70+1,IF(Monthly!AM$4=TRUE,0,AQ$3),IF(AQ$12&gt;$F70+1,RentalsVacates!AP70*(1-IF(AQ$12-$F70&lt;=12,SUMIFS('Attrition Modeling'!$D:$D,'Attrition Modeling'!$B:$B,$E70,'Attrition Modeling'!$C:$C,AQ$11),VLOOKUP(RentalsVacates!AQ$12-RentalsVacates!$F70-1,RentalsVacates!$A$8:$C$162,2,FALSE)*VLOOKUP(AQ$11,'Attrition Modeling'!$L$15:$N$27,IF(AQ$12-$F70&lt;=24,2,3),FALSE))*(1+IF('Traditional Attrition'!AQ192&gt;0,'Attrition Modeling'!$N$9,0))),0))</f>
        <v>0</v>
      </c>
      <c r="AR70" s="799">
        <f>IF(AR$12=$F70+1,IF(Monthly!AN$4=TRUE,0,AR$3),IF(AR$12&gt;$F70+1,RentalsVacates!AQ70*(1-IF(AR$12-$F70&lt;=12,SUMIFS('Attrition Modeling'!$D:$D,'Attrition Modeling'!$B:$B,$E70,'Attrition Modeling'!$C:$C,AR$11),VLOOKUP(RentalsVacates!AR$12-RentalsVacates!$F70-1,RentalsVacates!$A$8:$C$162,2,FALSE)*VLOOKUP(AR$11,'Attrition Modeling'!$L$15:$N$27,IF(AR$12-$F70&lt;=24,2,3),FALSE))*(1+IF('Traditional Attrition'!AR192&gt;0,'Attrition Modeling'!$N$9,0))),0))</f>
        <v>0</v>
      </c>
      <c r="AS70" s="799">
        <f>IF(AS$12=$F70+1,IF(Monthly!AO$4=TRUE,0,AS$3),IF(AS$12&gt;$F70+1,RentalsVacates!AR70*(1-IF(AS$12-$F70&lt;=12,SUMIFS('Attrition Modeling'!$D:$D,'Attrition Modeling'!$B:$B,$E70,'Attrition Modeling'!$C:$C,AS$11),VLOOKUP(RentalsVacates!AS$12-RentalsVacates!$F70-1,RentalsVacates!$A$8:$C$162,2,FALSE)*VLOOKUP(AS$11,'Attrition Modeling'!$L$15:$N$27,IF(AS$12-$F70&lt;=24,2,3),FALSE))*(1+IF('Traditional Attrition'!AS192&gt;0,'Attrition Modeling'!$N$9,0))),0))</f>
        <v>0</v>
      </c>
      <c r="AT70" s="799">
        <f>IF(AT$12=$F70+1,IF(Monthly!AP$4=TRUE,0,AT$3),IF(AT$12&gt;$F70+1,RentalsVacates!AS70*(1-IF(AT$12-$F70&lt;=12,SUMIFS('Attrition Modeling'!$D:$D,'Attrition Modeling'!$B:$B,$E70,'Attrition Modeling'!$C:$C,AT$11),VLOOKUP(RentalsVacates!AT$12-RentalsVacates!$F70-1,RentalsVacates!$A$8:$C$162,2,FALSE)*VLOOKUP(AT$11,'Attrition Modeling'!$L$15:$N$27,IF(AT$12-$F70&lt;=24,2,3),FALSE))*(1+IF('Traditional Attrition'!AT192&gt;0,'Attrition Modeling'!$N$9,0))),0))</f>
        <v>0</v>
      </c>
      <c r="AU70" s="799">
        <f>IF(AU$12=$F70+1,IF(Monthly!AQ$4=TRUE,0,AU$3),IF(AU$12&gt;$F70+1,RentalsVacates!AT70*(1-IF(AU$12-$F70&lt;=12,SUMIFS('Attrition Modeling'!$D:$D,'Attrition Modeling'!$B:$B,$E70,'Attrition Modeling'!$C:$C,AU$11),VLOOKUP(RentalsVacates!AU$12-RentalsVacates!$F70-1,RentalsVacates!$A$8:$C$162,2,FALSE)*VLOOKUP(AU$11,'Attrition Modeling'!$L$15:$N$27,IF(AU$12-$F70&lt;=24,2,3),FALSE))*(1+IF('Traditional Attrition'!AU192&gt;0,'Attrition Modeling'!$N$9,0))),0))</f>
        <v>0</v>
      </c>
      <c r="AV70" s="799">
        <f>IF(AV$12=$F70+1,IF(Monthly!AR$4=TRUE,0,AV$3),IF(AV$12&gt;$F70+1,RentalsVacates!AU70*(1-IF(AV$12-$F70&lt;=12,SUMIFS('Attrition Modeling'!$D:$D,'Attrition Modeling'!$B:$B,$E70,'Attrition Modeling'!$C:$C,AV$11),VLOOKUP(RentalsVacates!AV$12-RentalsVacates!$F70-1,RentalsVacates!$A$8:$C$162,2,FALSE)*VLOOKUP(AV$11,'Attrition Modeling'!$L$15:$N$27,IF(AV$12-$F70&lt;=24,2,3),FALSE))*(1+IF('Traditional Attrition'!AV192&gt;0,'Attrition Modeling'!$N$9,0))),0))</f>
        <v>0</v>
      </c>
      <c r="AW70" s="799">
        <f>IF(AW$12=$F70+1,IF(Monthly!AS$4=TRUE,0,AW$3),IF(AW$12&gt;$F70+1,RentalsVacates!AV70*(1-IF(AW$12-$F70&lt;=12,SUMIFS('Attrition Modeling'!$D:$D,'Attrition Modeling'!$B:$B,$E70,'Attrition Modeling'!$C:$C,AW$11),VLOOKUP(RentalsVacates!AW$12-RentalsVacates!$F70-1,RentalsVacates!$A$8:$C$162,2,FALSE)*VLOOKUP(AW$11,'Attrition Modeling'!$L$15:$N$27,IF(AW$12-$F70&lt;=24,2,3),FALSE))*(1+IF('Traditional Attrition'!AW192&gt;0,'Attrition Modeling'!$N$9,0))),0))</f>
        <v>0</v>
      </c>
      <c r="AX70" s="799">
        <f>IF(AX$12=$F70+1,IF(Monthly!AT$4=TRUE,0,AX$3),IF(AX$12&gt;$F70+1,RentalsVacates!AW70*(1-IF(AX$12-$F70&lt;=12,SUMIFS('Attrition Modeling'!$D:$D,'Attrition Modeling'!$B:$B,$E70,'Attrition Modeling'!$C:$C,AX$11),VLOOKUP(RentalsVacates!AX$12-RentalsVacates!$F70-1,RentalsVacates!$A$8:$C$162,2,FALSE)*VLOOKUP(AX$11,'Attrition Modeling'!$L$15:$N$27,IF(AX$12-$F70&lt;=24,2,3),FALSE))*(1+IF('Traditional Attrition'!AX192&gt;0,'Attrition Modeling'!$N$9,0))),0))</f>
        <v>0</v>
      </c>
      <c r="AY70" s="799">
        <f>IF(AY$12=$F70+1,IF(Monthly!AU$4=TRUE,0,AY$3),IF(AY$12&gt;$F70+1,RentalsVacates!AX70*(1-IF(AY$12-$F70&lt;=12,SUMIFS('Attrition Modeling'!$D:$D,'Attrition Modeling'!$B:$B,$E70,'Attrition Modeling'!$C:$C,AY$11),VLOOKUP(RentalsVacates!AY$12-RentalsVacates!$F70-1,RentalsVacates!$A$8:$C$162,2,FALSE)*VLOOKUP(AY$11,'Attrition Modeling'!$L$15:$N$27,IF(AY$12-$F70&lt;=24,2,3),FALSE))*(1+IF('Traditional Attrition'!AY192&gt;0,'Attrition Modeling'!$N$9,0))),0))</f>
        <v>0</v>
      </c>
      <c r="AZ70" s="799">
        <f>IF(AZ$12=$F70+1,IF(Monthly!AV$4=TRUE,0,AZ$3),IF(AZ$12&gt;$F70+1,RentalsVacates!AY70*(1-IF(AZ$12-$F70&lt;=12,SUMIFS('Attrition Modeling'!$D:$D,'Attrition Modeling'!$B:$B,$E70,'Attrition Modeling'!$C:$C,AZ$11),VLOOKUP(RentalsVacates!AZ$12-RentalsVacates!$F70-1,RentalsVacates!$A$8:$C$162,2,FALSE)*VLOOKUP(AZ$11,'Attrition Modeling'!$L$15:$N$27,IF(AZ$12-$F70&lt;=24,2,3),FALSE))*(1+IF('Traditional Attrition'!AZ192&gt;0,'Attrition Modeling'!$N$9,0))),0))</f>
        <v>0</v>
      </c>
      <c r="BA70" s="799">
        <f>IF(BA$12=$F70+1,IF(Monthly!AW$4=TRUE,0,BA$3),IF(BA$12&gt;$F70+1,RentalsVacates!AZ70*(1-IF(BA$12-$F70&lt;=12,SUMIFS('Attrition Modeling'!$D:$D,'Attrition Modeling'!$B:$B,$E70,'Attrition Modeling'!$C:$C,BA$11),VLOOKUP(RentalsVacates!BA$12-RentalsVacates!$F70-1,RentalsVacates!$A$8:$C$162,2,FALSE)*VLOOKUP(BA$11,'Attrition Modeling'!$L$15:$N$27,IF(BA$12-$F70&lt;=24,2,3),FALSE))*(1+IF('Traditional Attrition'!BA192&gt;0,'Attrition Modeling'!$N$9,0))),0))</f>
        <v>0</v>
      </c>
      <c r="BB70" s="799">
        <f>IF(BB$12=$F70+1,IF(Monthly!AX$4=TRUE,0,BB$3),IF(BB$12&gt;$F70+1,RentalsVacates!BA70*(1-IF(BB$12-$F70&lt;=12,SUMIFS('Attrition Modeling'!$D:$D,'Attrition Modeling'!$B:$B,$E70,'Attrition Modeling'!$C:$C,BB$11),VLOOKUP(RentalsVacates!BB$12-RentalsVacates!$F70-1,RentalsVacates!$A$8:$C$162,2,FALSE)*VLOOKUP(BB$11,'Attrition Modeling'!$L$15:$N$27,IF(BB$12-$F70&lt;=24,2,3),FALSE))*(1+IF('Traditional Attrition'!BB192&gt;0,'Attrition Modeling'!$N$9,0))),0))</f>
        <v>0</v>
      </c>
      <c r="BC70" s="799">
        <f>IF(BC$12=$F70+1,IF(Monthly!AY$4=TRUE,0,BC$3),IF(BC$12&gt;$F70+1,RentalsVacates!BB70*(1-IF(BC$12-$F70&lt;=12,SUMIFS('Attrition Modeling'!$D:$D,'Attrition Modeling'!$B:$B,$E70,'Attrition Modeling'!$C:$C,BC$11),VLOOKUP(RentalsVacates!BC$12-RentalsVacates!$F70-1,RentalsVacates!$A$8:$C$162,2,FALSE)*VLOOKUP(BC$11,'Attrition Modeling'!$L$15:$N$27,IF(BC$12-$F70&lt;=24,2,3),FALSE))*(1+IF('Traditional Attrition'!BC192&gt;0,'Attrition Modeling'!$N$9,0))),0))</f>
        <v>0</v>
      </c>
      <c r="BD70" s="799">
        <f>IF(BD$12=$F70+1,IF(Monthly!AZ$4=TRUE,0,BD$3),IF(BD$12&gt;$F70+1,RentalsVacates!BC70*(1-IF(BD$12-$F70&lt;=12,SUMIFS('Attrition Modeling'!$D:$D,'Attrition Modeling'!$B:$B,$E70,'Attrition Modeling'!$C:$C,BD$11),VLOOKUP(RentalsVacates!BD$12-RentalsVacates!$F70-1,RentalsVacates!$A$8:$C$162,2,FALSE)*VLOOKUP(BD$11,'Attrition Modeling'!$L$15:$N$27,IF(BD$12-$F70&lt;=24,2,3),FALSE))*(1+IF('Traditional Attrition'!BD192&gt;0,'Attrition Modeling'!$N$9,0))),0))</f>
        <v>0</v>
      </c>
      <c r="BE70" s="799">
        <f>IF(BE$12=$F70+1,IF(Monthly!BA$4=TRUE,0,BE$3),IF(BE$12&gt;$F70+1,RentalsVacates!BD70*(1-IF(BE$12-$F70&lt;=12,SUMIFS('Attrition Modeling'!$D:$D,'Attrition Modeling'!$B:$B,$E70,'Attrition Modeling'!$C:$C,BE$11),VLOOKUP(RentalsVacates!BE$12-RentalsVacates!$F70-1,RentalsVacates!$A$8:$C$162,2,FALSE)*VLOOKUP(BE$11,'Attrition Modeling'!$L$15:$N$27,IF(BE$12-$F70&lt;=24,2,3),FALSE))*(1+IF('Traditional Attrition'!BE192&gt;0,'Attrition Modeling'!$N$9,0))),0))</f>
        <v>0</v>
      </c>
      <c r="BF70" s="799">
        <f>IF(BF$12=$F70+1,IF(Monthly!BB$4=TRUE,0,BF$3),IF(BF$12&gt;$F70+1,RentalsVacates!BE70*(1-IF(BF$12-$F70&lt;=12,SUMIFS('Attrition Modeling'!$D:$D,'Attrition Modeling'!$B:$B,$E70,'Attrition Modeling'!$C:$C,BF$11),VLOOKUP(RentalsVacates!BF$12-RentalsVacates!$F70-1,RentalsVacates!$A$8:$C$162,2,FALSE)*VLOOKUP(BF$11,'Attrition Modeling'!$L$15:$N$27,IF(BF$12-$F70&lt;=24,2,3),FALSE))*(1+IF('Traditional Attrition'!BF192&gt;0,'Attrition Modeling'!$N$9,0))),0))</f>
        <v>0</v>
      </c>
      <c r="BG70" s="799">
        <f>IF(BG$12=$F70+1,IF(Monthly!BC$4=TRUE,0,BG$3),IF(BG$12&gt;$F70+1,RentalsVacates!BF70*(1-IF(BG$12-$F70&lt;=12,SUMIFS('Attrition Modeling'!$D:$D,'Attrition Modeling'!$B:$B,$E70,'Attrition Modeling'!$C:$C,BG$11),VLOOKUP(RentalsVacates!BG$12-RentalsVacates!$F70-1,RentalsVacates!$A$8:$C$162,2,FALSE)*VLOOKUP(BG$11,'Attrition Modeling'!$L$15:$N$27,IF(BG$12-$F70&lt;=24,2,3),FALSE))*(1+IF('Traditional Attrition'!BG192&gt;0,'Attrition Modeling'!$N$9,0))),0))</f>
        <v>0</v>
      </c>
      <c r="BH70" s="799">
        <f>IF(BH$12=$F70+1,IF(Monthly!BD$4=TRUE,0,BH$3),IF(BH$12&gt;$F70+1,RentalsVacates!BG70*(1-IF(BH$12-$F70&lt;=12,SUMIFS('Attrition Modeling'!$D:$D,'Attrition Modeling'!$B:$B,$E70,'Attrition Modeling'!$C:$C,BH$11),VLOOKUP(RentalsVacates!BH$12-RentalsVacates!$F70-1,RentalsVacates!$A$8:$C$162,2,FALSE)*VLOOKUP(BH$11,'Attrition Modeling'!$L$15:$N$27,IF(BH$12-$F70&lt;=24,2,3),FALSE))*(1+IF('Traditional Attrition'!BH192&gt;0,'Attrition Modeling'!$N$9,0))),0))</f>
        <v>0</v>
      </c>
      <c r="BI70" s="799">
        <f>IF(BI$12=$F70+1,IF(Monthly!BE$4=TRUE,0,BI$3),IF(BI$12&gt;$F70+1,RentalsVacates!BH70*(1-IF(BI$12-$F70&lt;=12,SUMIFS('Attrition Modeling'!$D:$D,'Attrition Modeling'!$B:$B,$E70,'Attrition Modeling'!$C:$C,BI$11),VLOOKUP(RentalsVacates!BI$12-RentalsVacates!$F70-1,RentalsVacates!$A$8:$C$162,2,FALSE)*VLOOKUP(BI$11,'Attrition Modeling'!$L$15:$N$27,IF(BI$12-$F70&lt;=24,2,3),FALSE))*(1+IF('Traditional Attrition'!BI192&gt;0,'Attrition Modeling'!$N$9,0))),0))</f>
        <v>0</v>
      </c>
      <c r="BJ70" s="799">
        <f>IF(BJ$12=$F70+1,IF(Monthly!BF$4=TRUE,0,BJ$3),IF(BJ$12&gt;$F70+1,RentalsVacates!BI70*(1-IF(BJ$12-$F70&lt;=12,SUMIFS('Attrition Modeling'!$D:$D,'Attrition Modeling'!$B:$B,$E70,'Attrition Modeling'!$C:$C,BJ$11),VLOOKUP(RentalsVacates!BJ$12-RentalsVacates!$F70-1,RentalsVacates!$A$8:$C$162,2,FALSE)*VLOOKUP(BJ$11,'Attrition Modeling'!$L$15:$N$27,IF(BJ$12-$F70&lt;=24,2,3),FALSE))*(1+IF('Traditional Attrition'!BJ192&gt;0,'Attrition Modeling'!$N$9,0))),0))</f>
        <v>0</v>
      </c>
      <c r="BK70" s="799">
        <f>IF(BK$12=$F70+1,IF(Monthly!BG$4=TRUE,0,BK$3),IF(BK$12&gt;$F70+1,RentalsVacates!BJ70*(1-IF(BK$12-$F70&lt;=12,SUMIFS('Attrition Modeling'!$D:$D,'Attrition Modeling'!$B:$B,$E70,'Attrition Modeling'!$C:$C,BK$11),VLOOKUP(RentalsVacates!BK$12-RentalsVacates!$F70-1,RentalsVacates!$A$8:$C$162,2,FALSE)*VLOOKUP(BK$11,'Attrition Modeling'!$L$15:$N$27,IF(BK$12-$F70&lt;=24,2,3),FALSE))*(1+IF('Traditional Attrition'!BK192&gt;0,'Attrition Modeling'!$N$9,0))),0))</f>
        <v>0</v>
      </c>
      <c r="BL70" s="799">
        <f>IF(BL$12=$F70+1,IF(Monthly!BH$4=TRUE,0,BL$3),IF(BL$12&gt;$F70+1,RentalsVacates!BK70*(1-IF(BL$12-$F70&lt;=12,SUMIFS('Attrition Modeling'!$D:$D,'Attrition Modeling'!$B:$B,$E70,'Attrition Modeling'!$C:$C,BL$11),VLOOKUP(RentalsVacates!BL$12-RentalsVacates!$F70-1,RentalsVacates!$A$8:$C$162,2,FALSE)*VLOOKUP(BL$11,'Attrition Modeling'!$L$15:$N$27,IF(BL$12-$F70&lt;=24,2,3),FALSE))*(1+IF('Traditional Attrition'!BL192&gt;0,'Attrition Modeling'!$N$9,0))),0))</f>
        <v>0</v>
      </c>
      <c r="BM70" s="799">
        <f>IF(BM$12=$F70+1,IF(Monthly!BI$4=TRUE,0,BM$3),IF(BM$12&gt;$F70+1,RentalsVacates!BL70*(1-IF(BM$12-$F70&lt;=12,SUMIFS('Attrition Modeling'!$D:$D,'Attrition Modeling'!$B:$B,$E70,'Attrition Modeling'!$C:$C,BM$11),VLOOKUP(RentalsVacates!BM$12-RentalsVacates!$F70-1,RentalsVacates!$A$8:$C$162,2,FALSE)*VLOOKUP(BM$11,'Attrition Modeling'!$L$15:$N$27,IF(BM$12-$F70&lt;=24,2,3),FALSE))*(1+IF('Traditional Attrition'!BM192&gt;0,'Attrition Modeling'!$N$9,0))),0))</f>
        <v>4989.2011331458352</v>
      </c>
      <c r="BN70" s="799">
        <f>IF(BN$12=$F70+1,IF(Monthly!BJ$4=TRUE,0,BN$3),IF(BN$12&gt;$F70+1,RentalsVacates!BM70*(1-IF(BN$12-$F70&lt;=12,SUMIFS('Attrition Modeling'!$D:$D,'Attrition Modeling'!$B:$B,$E70,'Attrition Modeling'!$C:$C,BN$11),VLOOKUP(RentalsVacates!BN$12-RentalsVacates!$F70-1,RentalsVacates!$A$8:$C$162,2,FALSE)*VLOOKUP(BN$11,'Attrition Modeling'!$L$15:$N$27,IF(BN$12-$F70&lt;=24,2,3),FALSE))*(1+IF('Traditional Attrition'!BN192&gt;0,'Attrition Modeling'!$N$9,0))),0))</f>
        <v>4489.3914452692115</v>
      </c>
      <c r="BO70" s="799">
        <f>IF(BO$12=$F70+1,IF(Monthly!BK$4=TRUE,0,BO$3),IF(BO$12&gt;$F70+1,RentalsVacates!BN70*(1-IF(BO$12-$F70&lt;=12,SUMIFS('Attrition Modeling'!$D:$D,'Attrition Modeling'!$B:$B,$E70,'Attrition Modeling'!$C:$C,BO$11),VLOOKUP(RentalsVacates!BO$12-RentalsVacates!$F70-1,RentalsVacates!$A$8:$C$162,2,FALSE)*VLOOKUP(BO$11,'Attrition Modeling'!$L$15:$N$27,IF(BO$12-$F70&lt;=24,2,3),FALSE))*(1+IF('Traditional Attrition'!BO192&gt;0,'Attrition Modeling'!$N$9,0))),0))</f>
        <v>4095.2777367380359</v>
      </c>
      <c r="BP70" s="799">
        <f>IF(BP$12=$F70+1,IF(Monthly!BL$4=TRUE,0,BP$3),IF(BP$12&gt;$F70+1,RentalsVacates!BO70*(1-IF(BP$12-$F70&lt;=12,SUMIFS('Attrition Modeling'!$D:$D,'Attrition Modeling'!$B:$B,$E70,'Attrition Modeling'!$C:$C,BP$11),VLOOKUP(RentalsVacates!BP$12-RentalsVacates!$F70-1,RentalsVacates!$A$8:$C$162,2,FALSE)*VLOOKUP(BP$11,'Attrition Modeling'!$L$15:$N$27,IF(BP$12-$F70&lt;=24,2,3),FALSE))*(1+IF('Traditional Attrition'!BP192&gt;0,'Attrition Modeling'!$N$9,0))),0))</f>
        <v>3760.1636986129593</v>
      </c>
      <c r="BQ70" s="799">
        <f>IF(BQ$12=$F70+1,IF(Monthly!BM$4=TRUE,0,BQ$3),IF(BQ$12&gt;$F70+1,RentalsVacates!BP70*(1-IF(BQ$12-$F70&lt;=12,SUMIFS('Attrition Modeling'!$D:$D,'Attrition Modeling'!$B:$B,$E70,'Attrition Modeling'!$C:$C,BQ$11),VLOOKUP(RentalsVacates!BQ$12-RentalsVacates!$F70-1,RentalsVacates!$A$8:$C$162,2,FALSE)*VLOOKUP(BQ$11,'Attrition Modeling'!$L$15:$N$27,IF(BQ$12-$F70&lt;=24,2,3),FALSE))*(1+IF('Traditional Attrition'!BQ192&gt;0,'Attrition Modeling'!$N$9,0))),0))</f>
        <v>3482.7769865908358</v>
      </c>
      <c r="BR70" s="799">
        <f>IF(BR$12=$F70+1,IF(Monthly!BN$4=TRUE,0,BR$3),IF(BR$12&gt;$F70+1,RentalsVacates!BQ70*(1-IF(BR$12-$F70&lt;=12,SUMIFS('Attrition Modeling'!$D:$D,'Attrition Modeling'!$B:$B,$E70,'Attrition Modeling'!$C:$C,BR$11),VLOOKUP(RentalsVacates!BR$12-RentalsVacates!$F70-1,RentalsVacates!$A$8:$C$162,2,FALSE)*VLOOKUP(BR$11,'Attrition Modeling'!$L$15:$N$27,IF(BR$12-$F70&lt;=24,2,3),FALSE))*(1+IF('Traditional Attrition'!BR192&gt;0,'Attrition Modeling'!$N$9,0))),0))</f>
        <v>3126.0178065162791</v>
      </c>
      <c r="BS70" s="799">
        <f>IF(BS$12=$F70+1,IF(Monthly!BO$4=TRUE,0,BS$3),IF(BS$12&gt;$F70+1,RentalsVacates!BR70*(1-IF(BS$12-$F70&lt;=12,SUMIFS('Attrition Modeling'!$D:$D,'Attrition Modeling'!$B:$B,$E70,'Attrition Modeling'!$C:$C,BS$11),VLOOKUP(RentalsVacates!BS$12-RentalsVacates!$F70-1,RentalsVacates!$A$8:$C$162,2,FALSE)*VLOOKUP(BS$11,'Attrition Modeling'!$L$15:$N$27,IF(BS$12-$F70&lt;=24,2,3),FALSE))*(1+IF('Traditional Attrition'!BS192&gt;0,'Attrition Modeling'!$N$9,0))),0))</f>
        <v>2898.8677232571699</v>
      </c>
      <c r="BT70" s="799">
        <f>IF(BT$11=$F69+1,IF(Monthly!#REF!=TRUE,0,BT$3),IF(BT$11&gt;$F69+1,RentalsVacates!BS69*(1-IF(BT$11-$F69&lt;=12,SUMIFS('Attrition Modeling'!$D:$D,'Attrition Modeling'!$B:$B,$E69,'Attrition Modeling'!$C:$C,BT$10),VLOOKUP(RentalsVacates!BT$11-RentalsVacates!$F69-1,RentalsVacates!$A$7:$C$161,2,FALSE)*VLOOKUP(BT$10,'Attrition Modeling'!$L$15:$N$27,IF(BT$11-$F69&lt;=24,2,3),FALSE))*(1+IF('Traditional Attrition'!BT192&gt;0,'Attrition Modeling'!$N$9,0))),0))</f>
        <v>0</v>
      </c>
      <c r="BU70" s="799">
        <f>IF(BU$11=$F69+1,IF(Monthly!#REF!=TRUE,0,BU$3),IF(BU$11&gt;$F69+1,RentalsVacates!BT69*(1-IF(BU$11-$F69&lt;=12,SUMIFS('Attrition Modeling'!$D:$D,'Attrition Modeling'!$B:$B,$E69,'Attrition Modeling'!$C:$C,BU$10),VLOOKUP(RentalsVacates!BU$11-RentalsVacates!$F69-1,RentalsVacates!$A$7:$C$161,2,FALSE)*VLOOKUP(BU$10,'Attrition Modeling'!$L$15:$N$27,IF(BU$11-$F69&lt;=24,2,3),FALSE))*(1+IF('Traditional Attrition'!BU192&gt;0,'Attrition Modeling'!$N$9,0))),0))</f>
        <v>0</v>
      </c>
    </row>
    <row r="71" spans="1:73" ht="14.25" customHeight="1" x14ac:dyDescent="0.2">
      <c r="A71" s="9">
        <v>63</v>
      </c>
      <c r="B71" s="25">
        <f>MAX('Attrition Modeling'!H67,$C$3)*(1-Summary!$C$20)</f>
        <v>2.1447627804935004E-2</v>
      </c>
      <c r="C71" s="24" t="e">
        <f t="shared" si="2"/>
        <v>#DIV/0!</v>
      </c>
      <c r="E71" s="11">
        <f>'Traditional Attrition'!E128</f>
        <v>10</v>
      </c>
      <c r="F71" s="11">
        <f t="shared" si="4"/>
        <v>58</v>
      </c>
      <c r="G71" s="799"/>
      <c r="H71" s="799">
        <f>IF(H$12=$F71+1,IF(Monthly!D$4=TRUE,0,H$3),IF(H$12&gt;$F71+1,RentalsVacates!G71*(1-IF(H$12-$F71&lt;=12,SUMIFS('Attrition Modeling'!$D:$D,'Attrition Modeling'!$B:$B,$E71,'Attrition Modeling'!$C:$C,H$11),VLOOKUP(RentalsVacates!H$12-RentalsVacates!$F71-1,RentalsVacates!$A$8:$C$162,2,FALSE)*VLOOKUP(H$11,'Attrition Modeling'!$L$15:$N$27,IF(H$12-$F71&lt;=24,2,3),FALSE))*(1+IF('Traditional Attrition'!H193&gt;0,'Attrition Modeling'!$N$9,0))),0))</f>
        <v>0</v>
      </c>
      <c r="I71" s="799">
        <f>IF(I$12=$F71+1,IF(Monthly!E$4=TRUE,0,I$3),IF(I$12&gt;$F71+1,RentalsVacates!H71*(1-IF(I$12-$F71&lt;=12,SUMIFS('Attrition Modeling'!$D:$D,'Attrition Modeling'!$B:$B,$E71,'Attrition Modeling'!$C:$C,I$11),VLOOKUP(RentalsVacates!I$12-RentalsVacates!$F71-1,RentalsVacates!$A$8:$C$162,2,FALSE)*VLOOKUP(I$11,'Attrition Modeling'!$L$15:$N$27,IF(I$12-$F71&lt;=24,2,3),FALSE))*(1+IF('Traditional Attrition'!I193&gt;0,'Attrition Modeling'!$N$9,0))),0))</f>
        <v>0</v>
      </c>
      <c r="J71" s="799">
        <f>IF(J$12=$F71+1,IF(Monthly!F$4=TRUE,0,J$3),IF(J$12&gt;$F71+1,RentalsVacates!I71*(1-IF(J$12-$F71&lt;=12,SUMIFS('Attrition Modeling'!$D:$D,'Attrition Modeling'!$B:$B,$E71,'Attrition Modeling'!$C:$C,J$11),VLOOKUP(RentalsVacates!J$12-RentalsVacates!$F71-1,RentalsVacates!$A$8:$C$162,2,FALSE)*VLOOKUP(J$11,'Attrition Modeling'!$L$15:$N$27,IF(J$12-$F71&lt;=24,2,3),FALSE))*(1+IF('Traditional Attrition'!J193&gt;0,'Attrition Modeling'!$N$9,0))),0))</f>
        <v>0</v>
      </c>
      <c r="K71" s="799">
        <f>IF(K$12=$F71+1,IF(Monthly!G$4=TRUE,0,K$3),IF(K$12&gt;$F71+1,RentalsVacates!J71*(1-IF(K$12-$F71&lt;=12,SUMIFS('Attrition Modeling'!$D:$D,'Attrition Modeling'!$B:$B,$E71,'Attrition Modeling'!$C:$C,K$11),VLOOKUP(RentalsVacates!K$12-RentalsVacates!$F71-1,RentalsVacates!$A$8:$C$162,2,FALSE)*VLOOKUP(K$11,'Attrition Modeling'!$L$15:$N$27,IF(K$12-$F71&lt;=24,2,3),FALSE))*(1+IF('Traditional Attrition'!K193&gt;0,'Attrition Modeling'!$N$9,0))),0))</f>
        <v>0</v>
      </c>
      <c r="L71" s="799">
        <f>IF(L$12=$F71+1,IF(Monthly!H$4=TRUE,0,L$3),IF(L$12&gt;$F71+1,RentalsVacates!K71*(1-IF(L$12-$F71&lt;=12,SUMIFS('Attrition Modeling'!$D:$D,'Attrition Modeling'!$B:$B,$E71,'Attrition Modeling'!$C:$C,L$11),VLOOKUP(RentalsVacates!L$12-RentalsVacates!$F71-1,RentalsVacates!$A$8:$C$162,2,FALSE)*VLOOKUP(L$11,'Attrition Modeling'!$L$15:$N$27,IF(L$12-$F71&lt;=24,2,3),FALSE))*(1+IF('Traditional Attrition'!L193&gt;0,'Attrition Modeling'!$N$9,0))),0))</f>
        <v>0</v>
      </c>
      <c r="M71" s="799">
        <f>IF(M$12=$F71+1,IF(Monthly!I$4=TRUE,0,M$3),IF(M$12&gt;$F71+1,RentalsVacates!L71*(1-IF(M$12-$F71&lt;=12,SUMIFS('Attrition Modeling'!$D:$D,'Attrition Modeling'!$B:$B,$E71,'Attrition Modeling'!$C:$C,M$11),VLOOKUP(RentalsVacates!M$12-RentalsVacates!$F71-1,RentalsVacates!$A$8:$C$162,2,FALSE)*VLOOKUP(M$11,'Attrition Modeling'!$L$15:$N$27,IF(M$12-$F71&lt;=24,2,3),FALSE))*(1+IF('Traditional Attrition'!M193&gt;0,'Attrition Modeling'!$N$9,0))),0))</f>
        <v>0</v>
      </c>
      <c r="N71" s="799">
        <f>IF(N$12=$F71+1,IF(Monthly!J$4=TRUE,0,N$3),IF(N$12&gt;$F71+1,RentalsVacates!M71*(1-IF(N$12-$F71&lt;=12,SUMIFS('Attrition Modeling'!$D:$D,'Attrition Modeling'!$B:$B,$E71,'Attrition Modeling'!$C:$C,N$11),VLOOKUP(RentalsVacates!N$12-RentalsVacates!$F71-1,RentalsVacates!$A$8:$C$162,2,FALSE)*VLOOKUP(N$11,'Attrition Modeling'!$L$15:$N$27,IF(N$12-$F71&lt;=24,2,3),FALSE))*(1+IF('Traditional Attrition'!N193&gt;0,'Attrition Modeling'!$N$9,0))),0))</f>
        <v>0</v>
      </c>
      <c r="O71" s="799">
        <f>IF(O$12=$F71+1,IF(Monthly!K$4=TRUE,0,O$3),IF(O$12&gt;$F71+1,RentalsVacates!N71*(1-IF(O$12-$F71&lt;=12,SUMIFS('Attrition Modeling'!$D:$D,'Attrition Modeling'!$B:$B,$E71,'Attrition Modeling'!$C:$C,O$11),VLOOKUP(RentalsVacates!O$12-RentalsVacates!$F71-1,RentalsVacates!$A$8:$C$162,2,FALSE)*VLOOKUP(O$11,'Attrition Modeling'!$L$15:$N$27,IF(O$12-$F71&lt;=24,2,3),FALSE))*(1+IF('Traditional Attrition'!O193&gt;0,'Attrition Modeling'!$N$9,0))),0))</f>
        <v>0</v>
      </c>
      <c r="P71" s="799">
        <f>IF(P$12=$F71+1,IF(Monthly!L$4=TRUE,0,P$3),IF(P$12&gt;$F71+1,RentalsVacates!O71*(1-IF(P$12-$F71&lt;=12,SUMIFS('Attrition Modeling'!$D:$D,'Attrition Modeling'!$B:$B,$E71,'Attrition Modeling'!$C:$C,P$11),VLOOKUP(RentalsVacates!P$12-RentalsVacates!$F71-1,RentalsVacates!$A$8:$C$162,2,FALSE)*VLOOKUP(P$11,'Attrition Modeling'!$L$15:$N$27,IF(P$12-$F71&lt;=24,2,3),FALSE))*(1+IF('Traditional Attrition'!P193&gt;0,'Attrition Modeling'!$N$9,0))),0))</f>
        <v>0</v>
      </c>
      <c r="Q71" s="799">
        <f>IF(Q$12=$F71+1,IF(Monthly!M$4=TRUE,0,Q$3),IF(Q$12&gt;$F71+1,RentalsVacates!P71*(1-IF(Q$12-$F71&lt;=12,SUMIFS('Attrition Modeling'!$D:$D,'Attrition Modeling'!$B:$B,$E71,'Attrition Modeling'!$C:$C,Q$11),VLOOKUP(RentalsVacates!Q$12-RentalsVacates!$F71-1,RentalsVacates!$A$8:$C$162,2,FALSE)*VLOOKUP(Q$11,'Attrition Modeling'!$L$15:$N$27,IF(Q$12-$F71&lt;=24,2,3),FALSE))*(1+IF('Traditional Attrition'!Q193&gt;0,'Attrition Modeling'!$N$9,0))),0))</f>
        <v>0</v>
      </c>
      <c r="R71" s="799">
        <f>IF(R$12=$F71+1,IF(Monthly!N$4=TRUE,0,R$3),IF(R$12&gt;$F71+1,RentalsVacates!Q71*(1-IF(R$12-$F71&lt;=12,SUMIFS('Attrition Modeling'!$D:$D,'Attrition Modeling'!$B:$B,$E71,'Attrition Modeling'!$C:$C,R$11),VLOOKUP(RentalsVacates!R$12-RentalsVacates!$F71-1,RentalsVacates!$A$8:$C$162,2,FALSE)*VLOOKUP(R$11,'Attrition Modeling'!$L$15:$N$27,IF(R$12-$F71&lt;=24,2,3),FALSE))*(1+IF('Traditional Attrition'!R193&gt;0,'Attrition Modeling'!$N$9,0))),0))</f>
        <v>0</v>
      </c>
      <c r="S71" s="799">
        <f>IF(S$12=$F71+1,IF(Monthly!O$4=TRUE,0,S$3),IF(S$12&gt;$F71+1,RentalsVacates!R71*(1-IF(S$12-$F71&lt;=12,SUMIFS('Attrition Modeling'!$D:$D,'Attrition Modeling'!$B:$B,$E71,'Attrition Modeling'!$C:$C,S$11),VLOOKUP(RentalsVacates!S$12-RentalsVacates!$F71-1,RentalsVacates!$A$8:$C$162,2,FALSE)*VLOOKUP(S$11,'Attrition Modeling'!$L$15:$N$27,IF(S$12-$F71&lt;=24,2,3),FALSE))*(1+IF('Traditional Attrition'!S193&gt;0,'Attrition Modeling'!$N$9,0))),0))</f>
        <v>0</v>
      </c>
      <c r="T71" s="799">
        <f>IF(T$12=$F71+1,IF(Monthly!P$4=TRUE,0,T$3),IF(T$12&gt;$F71+1,RentalsVacates!S71*(1-IF(T$12-$F71&lt;=12,SUMIFS('Attrition Modeling'!$D:$D,'Attrition Modeling'!$B:$B,$E71,'Attrition Modeling'!$C:$C,T$11),VLOOKUP(RentalsVacates!T$12-RentalsVacates!$F71-1,RentalsVacates!$A$8:$C$162,2,FALSE)*VLOOKUP(T$11,'Attrition Modeling'!$L$15:$N$27,IF(T$12-$F71&lt;=24,2,3),FALSE))*(1+IF('Traditional Attrition'!T193&gt;0,'Attrition Modeling'!$N$9,0))),0))</f>
        <v>0</v>
      </c>
      <c r="U71" s="799">
        <f>IF(U$12=$F71+1,IF(Monthly!Q$4=TRUE,0,U$3),IF(U$12&gt;$F71+1,RentalsVacates!T71*(1-IF(U$12-$F71&lt;=12,SUMIFS('Attrition Modeling'!$D:$D,'Attrition Modeling'!$B:$B,$E71,'Attrition Modeling'!$C:$C,U$11),VLOOKUP(RentalsVacates!U$12-RentalsVacates!$F71-1,RentalsVacates!$A$8:$C$162,2,FALSE)*VLOOKUP(U$11,'Attrition Modeling'!$L$15:$N$27,IF(U$12-$F71&lt;=24,2,3),FALSE))*(1+IF('Traditional Attrition'!U193&gt;0,'Attrition Modeling'!$N$9,0))),0))</f>
        <v>0</v>
      </c>
      <c r="V71" s="799">
        <f>IF(V$12=$F71+1,IF(Monthly!R$4=TRUE,0,V$3),IF(V$12&gt;$F71+1,RentalsVacates!U71*(1-IF(V$12-$F71&lt;=12,SUMIFS('Attrition Modeling'!$D:$D,'Attrition Modeling'!$B:$B,$E71,'Attrition Modeling'!$C:$C,V$11),VLOOKUP(RentalsVacates!V$12-RentalsVacates!$F71-1,RentalsVacates!$A$8:$C$162,2,FALSE)*VLOOKUP(V$11,'Attrition Modeling'!$L$15:$N$27,IF(V$12-$F71&lt;=24,2,3),FALSE))*(1+IF('Traditional Attrition'!V193&gt;0,'Attrition Modeling'!$N$9,0))),0))</f>
        <v>0</v>
      </c>
      <c r="W71" s="799">
        <f>IF(W$12=$F71+1,IF(Monthly!S$4=TRUE,0,W$3),IF(W$12&gt;$F71+1,RentalsVacates!V71*(1-IF(W$12-$F71&lt;=12,SUMIFS('Attrition Modeling'!$D:$D,'Attrition Modeling'!$B:$B,$E71,'Attrition Modeling'!$C:$C,W$11),VLOOKUP(RentalsVacates!W$12-RentalsVacates!$F71-1,RentalsVacates!$A$8:$C$162,2,FALSE)*VLOOKUP(W$11,'Attrition Modeling'!$L$15:$N$27,IF(W$12-$F71&lt;=24,2,3),FALSE))*(1+IF('Traditional Attrition'!W193&gt;0,'Attrition Modeling'!$N$9,0))),0))</f>
        <v>0</v>
      </c>
      <c r="X71" s="799">
        <f>IF(X$12=$F71+1,IF(Monthly!T$4=TRUE,0,X$3),IF(X$12&gt;$F71+1,RentalsVacates!W71*(1-IF(X$12-$F71&lt;=12,SUMIFS('Attrition Modeling'!$D:$D,'Attrition Modeling'!$B:$B,$E71,'Attrition Modeling'!$C:$C,X$11),VLOOKUP(RentalsVacates!X$12-RentalsVacates!$F71-1,RentalsVacates!$A$8:$C$162,2,FALSE)*VLOOKUP(X$11,'Attrition Modeling'!$L$15:$N$27,IF(X$12-$F71&lt;=24,2,3),FALSE))*(1+IF('Traditional Attrition'!X193&gt;0,'Attrition Modeling'!$N$9,0))),0))</f>
        <v>0</v>
      </c>
      <c r="Y71" s="799">
        <f>IF(Y$12=$F71+1,IF(Monthly!U$4=TRUE,0,Y$3),IF(Y$12&gt;$F71+1,RentalsVacates!X71*(1-IF(Y$12-$F71&lt;=12,SUMIFS('Attrition Modeling'!$D:$D,'Attrition Modeling'!$B:$B,$E71,'Attrition Modeling'!$C:$C,Y$11),VLOOKUP(RentalsVacates!Y$12-RentalsVacates!$F71-1,RentalsVacates!$A$8:$C$162,2,FALSE)*VLOOKUP(Y$11,'Attrition Modeling'!$L$15:$N$27,IF(Y$12-$F71&lt;=24,2,3),FALSE))*(1+IF('Traditional Attrition'!Y193&gt;0,'Attrition Modeling'!$N$9,0))),0))</f>
        <v>0</v>
      </c>
      <c r="Z71" s="799">
        <f>IF(Z$12=$F71+1,IF(Monthly!V$4=TRUE,0,Z$3),IF(Z$12&gt;$F71+1,RentalsVacates!Y71*(1-IF(Z$12-$F71&lt;=12,SUMIFS('Attrition Modeling'!$D:$D,'Attrition Modeling'!$B:$B,$E71,'Attrition Modeling'!$C:$C,Z$11),VLOOKUP(RentalsVacates!Z$12-RentalsVacates!$F71-1,RentalsVacates!$A$8:$C$162,2,FALSE)*VLOOKUP(Z$11,'Attrition Modeling'!$L$15:$N$27,IF(Z$12-$F71&lt;=24,2,3),FALSE))*(1+IF('Traditional Attrition'!Z193&gt;0,'Attrition Modeling'!$N$9,0))),0))</f>
        <v>0</v>
      </c>
      <c r="AA71" s="799">
        <f>IF(AA$12=$F71+1,IF(Monthly!W$4=TRUE,0,AA$3),IF(AA$12&gt;$F71+1,RentalsVacates!Z71*(1-IF(AA$12-$F71&lt;=12,SUMIFS('Attrition Modeling'!$D:$D,'Attrition Modeling'!$B:$B,$E71,'Attrition Modeling'!$C:$C,AA$11),VLOOKUP(RentalsVacates!AA$12-RentalsVacates!$F71-1,RentalsVacates!$A$8:$C$162,2,FALSE)*VLOOKUP(AA$11,'Attrition Modeling'!$L$15:$N$27,IF(AA$12-$F71&lt;=24,2,3),FALSE))*(1+IF('Traditional Attrition'!AA193&gt;0,'Attrition Modeling'!$N$9,0))),0))</f>
        <v>0</v>
      </c>
      <c r="AB71" s="799">
        <f>IF(AB$12=$F71+1,IF(Monthly!X$4=TRUE,0,AB$3),IF(AB$12&gt;$F71+1,RentalsVacates!AA71*(1-IF(AB$12-$F71&lt;=12,SUMIFS('Attrition Modeling'!$D:$D,'Attrition Modeling'!$B:$B,$E71,'Attrition Modeling'!$C:$C,AB$11),VLOOKUP(RentalsVacates!AB$12-RentalsVacates!$F71-1,RentalsVacates!$A$8:$C$162,2,FALSE)*VLOOKUP(AB$11,'Attrition Modeling'!$L$15:$N$27,IF(AB$12-$F71&lt;=24,2,3),FALSE))*(1+IF('Traditional Attrition'!AB193&gt;0,'Attrition Modeling'!$N$9,0))),0))</f>
        <v>0</v>
      </c>
      <c r="AC71" s="799">
        <f>IF(AC$12=$F71+1,IF(Monthly!Y$4=TRUE,0,AC$3),IF(AC$12&gt;$F71+1,RentalsVacates!AB71*(1-IF(AC$12-$F71&lt;=12,SUMIFS('Attrition Modeling'!$D:$D,'Attrition Modeling'!$B:$B,$E71,'Attrition Modeling'!$C:$C,AC$11),VLOOKUP(RentalsVacates!AC$12-RentalsVacates!$F71-1,RentalsVacates!$A$8:$C$162,2,FALSE)*VLOOKUP(AC$11,'Attrition Modeling'!$L$15:$N$27,IF(AC$12-$F71&lt;=24,2,3),FALSE))*(1+IF('Traditional Attrition'!AC193&gt;0,'Attrition Modeling'!$N$9,0))),0))</f>
        <v>0</v>
      </c>
      <c r="AD71" s="799">
        <f>IF(AD$12=$F71+1,IF(Monthly!Z$4=TRUE,0,AD$3),IF(AD$12&gt;$F71+1,RentalsVacates!AC71*(1-IF(AD$12-$F71&lt;=12,SUMIFS('Attrition Modeling'!$D:$D,'Attrition Modeling'!$B:$B,$E71,'Attrition Modeling'!$C:$C,AD$11),VLOOKUP(RentalsVacates!AD$12-RentalsVacates!$F71-1,RentalsVacates!$A$8:$C$162,2,FALSE)*VLOOKUP(AD$11,'Attrition Modeling'!$L$15:$N$27,IF(AD$12-$F71&lt;=24,2,3),FALSE))*(1+IF('Traditional Attrition'!AD193&gt;0,'Attrition Modeling'!$N$9,0))),0))</f>
        <v>0</v>
      </c>
      <c r="AE71" s="799">
        <f>IF(AE$12=$F71+1,IF(Monthly!AA$4=TRUE,0,AE$3),IF(AE$12&gt;$F71+1,RentalsVacates!AD71*(1-IF(AE$12-$F71&lt;=12,SUMIFS('Attrition Modeling'!$D:$D,'Attrition Modeling'!$B:$B,$E71,'Attrition Modeling'!$C:$C,AE$11),VLOOKUP(RentalsVacates!AE$12-RentalsVacates!$F71-1,RentalsVacates!$A$8:$C$162,2,FALSE)*VLOOKUP(AE$11,'Attrition Modeling'!$L$15:$N$27,IF(AE$12-$F71&lt;=24,2,3),FALSE))*(1+IF('Traditional Attrition'!AE193&gt;0,'Attrition Modeling'!$N$9,0))),0))</f>
        <v>0</v>
      </c>
      <c r="AF71" s="799">
        <f>IF(AF$12=$F71+1,IF(Monthly!AB$4=TRUE,0,AF$3),IF(AF$12&gt;$F71+1,RentalsVacates!AE71*(1-IF(AF$12-$F71&lt;=12,SUMIFS('Attrition Modeling'!$D:$D,'Attrition Modeling'!$B:$B,$E71,'Attrition Modeling'!$C:$C,AF$11),VLOOKUP(RentalsVacates!AF$12-RentalsVacates!$F71-1,RentalsVacates!$A$8:$C$162,2,FALSE)*VLOOKUP(AF$11,'Attrition Modeling'!$L$15:$N$27,IF(AF$12-$F71&lt;=24,2,3),FALSE))*(1+IF('Traditional Attrition'!AF193&gt;0,'Attrition Modeling'!$N$9,0))),0))</f>
        <v>0</v>
      </c>
      <c r="AG71" s="799">
        <f>IF(AG$12=$F71+1,IF(Monthly!AC$4=TRUE,0,AG$3),IF(AG$12&gt;$F71+1,RentalsVacates!AF71*(1-IF(AG$12-$F71&lt;=12,SUMIFS('Attrition Modeling'!$D:$D,'Attrition Modeling'!$B:$B,$E71,'Attrition Modeling'!$C:$C,AG$11),VLOOKUP(RentalsVacates!AG$12-RentalsVacates!$F71-1,RentalsVacates!$A$8:$C$162,2,FALSE)*VLOOKUP(AG$11,'Attrition Modeling'!$L$15:$N$27,IF(AG$12-$F71&lt;=24,2,3),FALSE))*(1+IF('Traditional Attrition'!AG193&gt;0,'Attrition Modeling'!$N$9,0))),0))</f>
        <v>0</v>
      </c>
      <c r="AH71" s="799">
        <f>IF(AH$12=$F71+1,IF(Monthly!AD$4=TRUE,0,AH$3),IF(AH$12&gt;$F71+1,RentalsVacates!AG71*(1-IF(AH$12-$F71&lt;=12,SUMIFS('Attrition Modeling'!$D:$D,'Attrition Modeling'!$B:$B,$E71,'Attrition Modeling'!$C:$C,AH$11),VLOOKUP(RentalsVacates!AH$12-RentalsVacates!$F71-1,RentalsVacates!$A$8:$C$162,2,FALSE)*VLOOKUP(AH$11,'Attrition Modeling'!$L$15:$N$27,IF(AH$12-$F71&lt;=24,2,3),FALSE))*(1+IF('Traditional Attrition'!AH193&gt;0,'Attrition Modeling'!$N$9,0))),0))</f>
        <v>0</v>
      </c>
      <c r="AI71" s="799">
        <f>IF(AI$12=$F71+1,IF(Monthly!AE$4=TRUE,0,AI$3),IF(AI$12&gt;$F71+1,RentalsVacates!AH71*(1-IF(AI$12-$F71&lt;=12,SUMIFS('Attrition Modeling'!$D:$D,'Attrition Modeling'!$B:$B,$E71,'Attrition Modeling'!$C:$C,AI$11),VLOOKUP(RentalsVacates!AI$12-RentalsVacates!$F71-1,RentalsVacates!$A$8:$C$162,2,FALSE)*VLOOKUP(AI$11,'Attrition Modeling'!$L$15:$N$27,IF(AI$12-$F71&lt;=24,2,3),FALSE))*(1+IF('Traditional Attrition'!AI193&gt;0,'Attrition Modeling'!$N$9,0))),0))</f>
        <v>0</v>
      </c>
      <c r="AJ71" s="799">
        <f>IF(AJ$12=$F71+1,IF(Monthly!AF$4=TRUE,0,AJ$3),IF(AJ$12&gt;$F71+1,RentalsVacates!AI71*(1-IF(AJ$12-$F71&lt;=12,SUMIFS('Attrition Modeling'!$D:$D,'Attrition Modeling'!$B:$B,$E71,'Attrition Modeling'!$C:$C,AJ$11),VLOOKUP(RentalsVacates!AJ$12-RentalsVacates!$F71-1,RentalsVacates!$A$8:$C$162,2,FALSE)*VLOOKUP(AJ$11,'Attrition Modeling'!$L$15:$N$27,IF(AJ$12-$F71&lt;=24,2,3),FALSE))*(1+IF('Traditional Attrition'!AJ193&gt;0,'Attrition Modeling'!$N$9,0))),0))</f>
        <v>0</v>
      </c>
      <c r="AK71" s="799">
        <f>IF(AK$12=$F71+1,IF(Monthly!AG$4=TRUE,0,AK$3),IF(AK$12&gt;$F71+1,RentalsVacates!AJ71*(1-IF(AK$12-$F71&lt;=12,SUMIFS('Attrition Modeling'!$D:$D,'Attrition Modeling'!$B:$B,$E71,'Attrition Modeling'!$C:$C,AK$11),VLOOKUP(RentalsVacates!AK$12-RentalsVacates!$F71-1,RentalsVacates!$A$8:$C$162,2,FALSE)*VLOOKUP(AK$11,'Attrition Modeling'!$L$15:$N$27,IF(AK$12-$F71&lt;=24,2,3),FALSE))*(1+IF('Traditional Attrition'!AK193&gt;0,'Attrition Modeling'!$N$9,0))),0))</f>
        <v>0</v>
      </c>
      <c r="AL71" s="799">
        <f>IF(AL$12=$F71+1,IF(Monthly!AH$4=TRUE,0,AL$3),IF(AL$12&gt;$F71+1,RentalsVacates!AK71*(1-IF(AL$12-$F71&lt;=12,SUMIFS('Attrition Modeling'!$D:$D,'Attrition Modeling'!$B:$B,$E71,'Attrition Modeling'!$C:$C,AL$11),VLOOKUP(RentalsVacates!AL$12-RentalsVacates!$F71-1,RentalsVacates!$A$8:$C$162,2,FALSE)*VLOOKUP(AL$11,'Attrition Modeling'!$L$15:$N$27,IF(AL$12-$F71&lt;=24,2,3),FALSE))*(1+IF('Traditional Attrition'!AL193&gt;0,'Attrition Modeling'!$N$9,0))),0))</f>
        <v>0</v>
      </c>
      <c r="AM71" s="799">
        <f>IF(AM$12=$F71+1,IF(Monthly!AI$4=TRUE,0,AM$3),IF(AM$12&gt;$F71+1,RentalsVacates!AL71*(1-IF(AM$12-$F71&lt;=12,SUMIFS('Attrition Modeling'!$D:$D,'Attrition Modeling'!$B:$B,$E71,'Attrition Modeling'!$C:$C,AM$11),VLOOKUP(RentalsVacates!AM$12-RentalsVacates!$F71-1,RentalsVacates!$A$8:$C$162,2,FALSE)*VLOOKUP(AM$11,'Attrition Modeling'!$L$15:$N$27,IF(AM$12-$F71&lt;=24,2,3),FALSE))*(1+IF('Traditional Attrition'!AM193&gt;0,'Attrition Modeling'!$N$9,0))),0))</f>
        <v>0</v>
      </c>
      <c r="AN71" s="799">
        <f>IF(AN$12=$F71+1,IF(Monthly!AJ$4=TRUE,0,AN$3),IF(AN$12&gt;$F71+1,RentalsVacates!AM71*(1-IF(AN$12-$F71&lt;=12,SUMIFS('Attrition Modeling'!$D:$D,'Attrition Modeling'!$B:$B,$E71,'Attrition Modeling'!$C:$C,AN$11),VLOOKUP(RentalsVacates!AN$12-RentalsVacates!$F71-1,RentalsVacates!$A$8:$C$162,2,FALSE)*VLOOKUP(AN$11,'Attrition Modeling'!$L$15:$N$27,IF(AN$12-$F71&lt;=24,2,3),FALSE))*(1+IF('Traditional Attrition'!AN193&gt;0,'Attrition Modeling'!$N$9,0))),0))</f>
        <v>0</v>
      </c>
      <c r="AO71" s="799">
        <f>IF(AO$12=$F71+1,IF(Monthly!AK$4=TRUE,0,AO$3),IF(AO$12&gt;$F71+1,RentalsVacates!AN71*(1-IF(AO$12-$F71&lt;=12,SUMIFS('Attrition Modeling'!$D:$D,'Attrition Modeling'!$B:$B,$E71,'Attrition Modeling'!$C:$C,AO$11),VLOOKUP(RentalsVacates!AO$12-RentalsVacates!$F71-1,RentalsVacates!$A$8:$C$162,2,FALSE)*VLOOKUP(AO$11,'Attrition Modeling'!$L$15:$N$27,IF(AO$12-$F71&lt;=24,2,3),FALSE))*(1+IF('Traditional Attrition'!AO193&gt;0,'Attrition Modeling'!$N$9,0))),0))</f>
        <v>0</v>
      </c>
      <c r="AP71" s="799">
        <f>IF(AP$12=$F71+1,IF(Monthly!AL$4=TRUE,0,AP$3),IF(AP$12&gt;$F71+1,RentalsVacates!AO71*(1-IF(AP$12-$F71&lt;=12,SUMIFS('Attrition Modeling'!$D:$D,'Attrition Modeling'!$B:$B,$E71,'Attrition Modeling'!$C:$C,AP$11),VLOOKUP(RentalsVacates!AP$12-RentalsVacates!$F71-1,RentalsVacates!$A$8:$C$162,2,FALSE)*VLOOKUP(AP$11,'Attrition Modeling'!$L$15:$N$27,IF(AP$12-$F71&lt;=24,2,3),FALSE))*(1+IF('Traditional Attrition'!AP193&gt;0,'Attrition Modeling'!$N$9,0))),0))</f>
        <v>0</v>
      </c>
      <c r="AQ71" s="799">
        <f>IF(AQ$12=$F71+1,IF(Monthly!AM$4=TRUE,0,AQ$3),IF(AQ$12&gt;$F71+1,RentalsVacates!AP71*(1-IF(AQ$12-$F71&lt;=12,SUMIFS('Attrition Modeling'!$D:$D,'Attrition Modeling'!$B:$B,$E71,'Attrition Modeling'!$C:$C,AQ$11),VLOOKUP(RentalsVacates!AQ$12-RentalsVacates!$F71-1,RentalsVacates!$A$8:$C$162,2,FALSE)*VLOOKUP(AQ$11,'Attrition Modeling'!$L$15:$N$27,IF(AQ$12-$F71&lt;=24,2,3),FALSE))*(1+IF('Traditional Attrition'!AQ193&gt;0,'Attrition Modeling'!$N$9,0))),0))</f>
        <v>0</v>
      </c>
      <c r="AR71" s="799">
        <f>IF(AR$12=$F71+1,IF(Monthly!AN$4=TRUE,0,AR$3),IF(AR$12&gt;$F71+1,RentalsVacates!AQ71*(1-IF(AR$12-$F71&lt;=12,SUMIFS('Attrition Modeling'!$D:$D,'Attrition Modeling'!$B:$B,$E71,'Attrition Modeling'!$C:$C,AR$11),VLOOKUP(RentalsVacates!AR$12-RentalsVacates!$F71-1,RentalsVacates!$A$8:$C$162,2,FALSE)*VLOOKUP(AR$11,'Attrition Modeling'!$L$15:$N$27,IF(AR$12-$F71&lt;=24,2,3),FALSE))*(1+IF('Traditional Attrition'!AR193&gt;0,'Attrition Modeling'!$N$9,0))),0))</f>
        <v>0</v>
      </c>
      <c r="AS71" s="799">
        <f>IF(AS$12=$F71+1,IF(Monthly!AO$4=TRUE,0,AS$3),IF(AS$12&gt;$F71+1,RentalsVacates!AR71*(1-IF(AS$12-$F71&lt;=12,SUMIFS('Attrition Modeling'!$D:$D,'Attrition Modeling'!$B:$B,$E71,'Attrition Modeling'!$C:$C,AS$11),VLOOKUP(RentalsVacates!AS$12-RentalsVacates!$F71-1,RentalsVacates!$A$8:$C$162,2,FALSE)*VLOOKUP(AS$11,'Attrition Modeling'!$L$15:$N$27,IF(AS$12-$F71&lt;=24,2,3),FALSE))*(1+IF('Traditional Attrition'!AS193&gt;0,'Attrition Modeling'!$N$9,0))),0))</f>
        <v>0</v>
      </c>
      <c r="AT71" s="799">
        <f>IF(AT$12=$F71+1,IF(Monthly!AP$4=TRUE,0,AT$3),IF(AT$12&gt;$F71+1,RentalsVacates!AS71*(1-IF(AT$12-$F71&lt;=12,SUMIFS('Attrition Modeling'!$D:$D,'Attrition Modeling'!$B:$B,$E71,'Attrition Modeling'!$C:$C,AT$11),VLOOKUP(RentalsVacates!AT$12-RentalsVacates!$F71-1,RentalsVacates!$A$8:$C$162,2,FALSE)*VLOOKUP(AT$11,'Attrition Modeling'!$L$15:$N$27,IF(AT$12-$F71&lt;=24,2,3),FALSE))*(1+IF('Traditional Attrition'!AT193&gt;0,'Attrition Modeling'!$N$9,0))),0))</f>
        <v>0</v>
      </c>
      <c r="AU71" s="799">
        <f>IF(AU$12=$F71+1,IF(Monthly!AQ$4=TRUE,0,AU$3),IF(AU$12&gt;$F71+1,RentalsVacates!AT71*(1-IF(AU$12-$F71&lt;=12,SUMIFS('Attrition Modeling'!$D:$D,'Attrition Modeling'!$B:$B,$E71,'Attrition Modeling'!$C:$C,AU$11),VLOOKUP(RentalsVacates!AU$12-RentalsVacates!$F71-1,RentalsVacates!$A$8:$C$162,2,FALSE)*VLOOKUP(AU$11,'Attrition Modeling'!$L$15:$N$27,IF(AU$12-$F71&lt;=24,2,3),FALSE))*(1+IF('Traditional Attrition'!AU193&gt;0,'Attrition Modeling'!$N$9,0))),0))</f>
        <v>0</v>
      </c>
      <c r="AV71" s="799">
        <f>IF(AV$12=$F71+1,IF(Monthly!AR$4=TRUE,0,AV$3),IF(AV$12&gt;$F71+1,RentalsVacates!AU71*(1-IF(AV$12-$F71&lt;=12,SUMIFS('Attrition Modeling'!$D:$D,'Attrition Modeling'!$B:$B,$E71,'Attrition Modeling'!$C:$C,AV$11),VLOOKUP(RentalsVacates!AV$12-RentalsVacates!$F71-1,RentalsVacates!$A$8:$C$162,2,FALSE)*VLOOKUP(AV$11,'Attrition Modeling'!$L$15:$N$27,IF(AV$12-$F71&lt;=24,2,3),FALSE))*(1+IF('Traditional Attrition'!AV193&gt;0,'Attrition Modeling'!$N$9,0))),0))</f>
        <v>0</v>
      </c>
      <c r="AW71" s="799">
        <f>IF(AW$12=$F71+1,IF(Monthly!AS$4=TRUE,0,AW$3),IF(AW$12&gt;$F71+1,RentalsVacates!AV71*(1-IF(AW$12-$F71&lt;=12,SUMIFS('Attrition Modeling'!$D:$D,'Attrition Modeling'!$B:$B,$E71,'Attrition Modeling'!$C:$C,AW$11),VLOOKUP(RentalsVacates!AW$12-RentalsVacates!$F71-1,RentalsVacates!$A$8:$C$162,2,FALSE)*VLOOKUP(AW$11,'Attrition Modeling'!$L$15:$N$27,IF(AW$12-$F71&lt;=24,2,3),FALSE))*(1+IF('Traditional Attrition'!AW193&gt;0,'Attrition Modeling'!$N$9,0))),0))</f>
        <v>0</v>
      </c>
      <c r="AX71" s="799">
        <f>IF(AX$12=$F71+1,IF(Monthly!AT$4=TRUE,0,AX$3),IF(AX$12&gt;$F71+1,RentalsVacates!AW71*(1-IF(AX$12-$F71&lt;=12,SUMIFS('Attrition Modeling'!$D:$D,'Attrition Modeling'!$B:$B,$E71,'Attrition Modeling'!$C:$C,AX$11),VLOOKUP(RentalsVacates!AX$12-RentalsVacates!$F71-1,RentalsVacates!$A$8:$C$162,2,FALSE)*VLOOKUP(AX$11,'Attrition Modeling'!$L$15:$N$27,IF(AX$12-$F71&lt;=24,2,3),FALSE))*(1+IF('Traditional Attrition'!AX193&gt;0,'Attrition Modeling'!$N$9,0))),0))</f>
        <v>0</v>
      </c>
      <c r="AY71" s="799">
        <f>IF(AY$12=$F71+1,IF(Monthly!AU$4=TRUE,0,AY$3),IF(AY$12&gt;$F71+1,RentalsVacates!AX71*(1-IF(AY$12-$F71&lt;=12,SUMIFS('Attrition Modeling'!$D:$D,'Attrition Modeling'!$B:$B,$E71,'Attrition Modeling'!$C:$C,AY$11),VLOOKUP(RentalsVacates!AY$12-RentalsVacates!$F71-1,RentalsVacates!$A$8:$C$162,2,FALSE)*VLOOKUP(AY$11,'Attrition Modeling'!$L$15:$N$27,IF(AY$12-$F71&lt;=24,2,3),FALSE))*(1+IF('Traditional Attrition'!AY193&gt;0,'Attrition Modeling'!$N$9,0))),0))</f>
        <v>0</v>
      </c>
      <c r="AZ71" s="799">
        <f>IF(AZ$12=$F71+1,IF(Monthly!AV$4=TRUE,0,AZ$3),IF(AZ$12&gt;$F71+1,RentalsVacates!AY71*(1-IF(AZ$12-$F71&lt;=12,SUMIFS('Attrition Modeling'!$D:$D,'Attrition Modeling'!$B:$B,$E71,'Attrition Modeling'!$C:$C,AZ$11),VLOOKUP(RentalsVacates!AZ$12-RentalsVacates!$F71-1,RentalsVacates!$A$8:$C$162,2,FALSE)*VLOOKUP(AZ$11,'Attrition Modeling'!$L$15:$N$27,IF(AZ$12-$F71&lt;=24,2,3),FALSE))*(1+IF('Traditional Attrition'!AZ193&gt;0,'Attrition Modeling'!$N$9,0))),0))</f>
        <v>0</v>
      </c>
      <c r="BA71" s="799">
        <f>IF(BA$12=$F71+1,IF(Monthly!AW$4=TRUE,0,BA$3),IF(BA$12&gt;$F71+1,RentalsVacates!AZ71*(1-IF(BA$12-$F71&lt;=12,SUMIFS('Attrition Modeling'!$D:$D,'Attrition Modeling'!$B:$B,$E71,'Attrition Modeling'!$C:$C,BA$11),VLOOKUP(RentalsVacates!BA$12-RentalsVacates!$F71-1,RentalsVacates!$A$8:$C$162,2,FALSE)*VLOOKUP(BA$11,'Attrition Modeling'!$L$15:$N$27,IF(BA$12-$F71&lt;=24,2,3),FALSE))*(1+IF('Traditional Attrition'!BA193&gt;0,'Attrition Modeling'!$N$9,0))),0))</f>
        <v>0</v>
      </c>
      <c r="BB71" s="799">
        <f>IF(BB$12=$F71+1,IF(Monthly!AX$4=TRUE,0,BB$3),IF(BB$12&gt;$F71+1,RentalsVacates!BA71*(1-IF(BB$12-$F71&lt;=12,SUMIFS('Attrition Modeling'!$D:$D,'Attrition Modeling'!$B:$B,$E71,'Attrition Modeling'!$C:$C,BB$11),VLOOKUP(RentalsVacates!BB$12-RentalsVacates!$F71-1,RentalsVacates!$A$8:$C$162,2,FALSE)*VLOOKUP(BB$11,'Attrition Modeling'!$L$15:$N$27,IF(BB$12-$F71&lt;=24,2,3),FALSE))*(1+IF('Traditional Attrition'!BB193&gt;0,'Attrition Modeling'!$N$9,0))),0))</f>
        <v>0</v>
      </c>
      <c r="BC71" s="799">
        <f>IF(BC$12=$F71+1,IF(Monthly!AY$4=TRUE,0,BC$3),IF(BC$12&gt;$F71+1,RentalsVacates!BB71*(1-IF(BC$12-$F71&lt;=12,SUMIFS('Attrition Modeling'!$D:$D,'Attrition Modeling'!$B:$B,$E71,'Attrition Modeling'!$C:$C,BC$11),VLOOKUP(RentalsVacates!BC$12-RentalsVacates!$F71-1,RentalsVacates!$A$8:$C$162,2,FALSE)*VLOOKUP(BC$11,'Attrition Modeling'!$L$15:$N$27,IF(BC$12-$F71&lt;=24,2,3),FALSE))*(1+IF('Traditional Attrition'!BC193&gt;0,'Attrition Modeling'!$N$9,0))),0))</f>
        <v>0</v>
      </c>
      <c r="BD71" s="799">
        <f>IF(BD$12=$F71+1,IF(Monthly!AZ$4=TRUE,0,BD$3),IF(BD$12&gt;$F71+1,RentalsVacates!BC71*(1-IF(BD$12-$F71&lt;=12,SUMIFS('Attrition Modeling'!$D:$D,'Attrition Modeling'!$B:$B,$E71,'Attrition Modeling'!$C:$C,BD$11),VLOOKUP(RentalsVacates!BD$12-RentalsVacates!$F71-1,RentalsVacates!$A$8:$C$162,2,FALSE)*VLOOKUP(BD$11,'Attrition Modeling'!$L$15:$N$27,IF(BD$12-$F71&lt;=24,2,3),FALSE))*(1+IF('Traditional Attrition'!BD193&gt;0,'Attrition Modeling'!$N$9,0))),0))</f>
        <v>0</v>
      </c>
      <c r="BE71" s="799">
        <f>IF(BE$12=$F71+1,IF(Monthly!BA$4=TRUE,0,BE$3),IF(BE$12&gt;$F71+1,RentalsVacates!BD71*(1-IF(BE$12-$F71&lt;=12,SUMIFS('Attrition Modeling'!$D:$D,'Attrition Modeling'!$B:$B,$E71,'Attrition Modeling'!$C:$C,BE$11),VLOOKUP(RentalsVacates!BE$12-RentalsVacates!$F71-1,RentalsVacates!$A$8:$C$162,2,FALSE)*VLOOKUP(BE$11,'Attrition Modeling'!$L$15:$N$27,IF(BE$12-$F71&lt;=24,2,3),FALSE))*(1+IF('Traditional Attrition'!BE193&gt;0,'Attrition Modeling'!$N$9,0))),0))</f>
        <v>0</v>
      </c>
      <c r="BF71" s="799">
        <f>IF(BF$12=$F71+1,IF(Monthly!BB$4=TRUE,0,BF$3),IF(BF$12&gt;$F71+1,RentalsVacates!BE71*(1-IF(BF$12-$F71&lt;=12,SUMIFS('Attrition Modeling'!$D:$D,'Attrition Modeling'!$B:$B,$E71,'Attrition Modeling'!$C:$C,BF$11),VLOOKUP(RentalsVacates!BF$12-RentalsVacates!$F71-1,RentalsVacates!$A$8:$C$162,2,FALSE)*VLOOKUP(BF$11,'Attrition Modeling'!$L$15:$N$27,IF(BF$12-$F71&lt;=24,2,3),FALSE))*(1+IF('Traditional Attrition'!BF193&gt;0,'Attrition Modeling'!$N$9,0))),0))</f>
        <v>0</v>
      </c>
      <c r="BG71" s="799">
        <f>IF(BG$12=$F71+1,IF(Monthly!BC$4=TRUE,0,BG$3),IF(BG$12&gt;$F71+1,RentalsVacates!BF71*(1-IF(BG$12-$F71&lt;=12,SUMIFS('Attrition Modeling'!$D:$D,'Attrition Modeling'!$B:$B,$E71,'Attrition Modeling'!$C:$C,BG$11),VLOOKUP(RentalsVacates!BG$12-RentalsVacates!$F71-1,RentalsVacates!$A$8:$C$162,2,FALSE)*VLOOKUP(BG$11,'Attrition Modeling'!$L$15:$N$27,IF(BG$12-$F71&lt;=24,2,3),FALSE))*(1+IF('Traditional Attrition'!BG193&gt;0,'Attrition Modeling'!$N$9,0))),0))</f>
        <v>0</v>
      </c>
      <c r="BH71" s="799">
        <f>IF(BH$12=$F71+1,IF(Monthly!BD$4=TRUE,0,BH$3),IF(BH$12&gt;$F71+1,RentalsVacates!BG71*(1-IF(BH$12-$F71&lt;=12,SUMIFS('Attrition Modeling'!$D:$D,'Attrition Modeling'!$B:$B,$E71,'Attrition Modeling'!$C:$C,BH$11),VLOOKUP(RentalsVacates!BH$12-RentalsVacates!$F71-1,RentalsVacates!$A$8:$C$162,2,FALSE)*VLOOKUP(BH$11,'Attrition Modeling'!$L$15:$N$27,IF(BH$12-$F71&lt;=24,2,3),FALSE))*(1+IF('Traditional Attrition'!BH193&gt;0,'Attrition Modeling'!$N$9,0))),0))</f>
        <v>0</v>
      </c>
      <c r="BI71" s="799">
        <f>IF(BI$12=$F71+1,IF(Monthly!BE$4=TRUE,0,BI$3),IF(BI$12&gt;$F71+1,RentalsVacates!BH71*(1-IF(BI$12-$F71&lt;=12,SUMIFS('Attrition Modeling'!$D:$D,'Attrition Modeling'!$B:$B,$E71,'Attrition Modeling'!$C:$C,BI$11),VLOOKUP(RentalsVacates!BI$12-RentalsVacates!$F71-1,RentalsVacates!$A$8:$C$162,2,FALSE)*VLOOKUP(BI$11,'Attrition Modeling'!$L$15:$N$27,IF(BI$12-$F71&lt;=24,2,3),FALSE))*(1+IF('Traditional Attrition'!BI193&gt;0,'Attrition Modeling'!$N$9,0))),0))</f>
        <v>0</v>
      </c>
      <c r="BJ71" s="799">
        <f>IF(BJ$12=$F71+1,IF(Monthly!BF$4=TRUE,0,BJ$3),IF(BJ$12&gt;$F71+1,RentalsVacates!BI71*(1-IF(BJ$12-$F71&lt;=12,SUMIFS('Attrition Modeling'!$D:$D,'Attrition Modeling'!$B:$B,$E71,'Attrition Modeling'!$C:$C,BJ$11),VLOOKUP(RentalsVacates!BJ$12-RentalsVacates!$F71-1,RentalsVacates!$A$8:$C$162,2,FALSE)*VLOOKUP(BJ$11,'Attrition Modeling'!$L$15:$N$27,IF(BJ$12-$F71&lt;=24,2,3),FALSE))*(1+IF('Traditional Attrition'!BJ193&gt;0,'Attrition Modeling'!$N$9,0))),0))</f>
        <v>0</v>
      </c>
      <c r="BK71" s="799">
        <f>IF(BK$12=$F71+1,IF(Monthly!BG$4=TRUE,0,BK$3),IF(BK$12&gt;$F71+1,RentalsVacates!BJ71*(1-IF(BK$12-$F71&lt;=12,SUMIFS('Attrition Modeling'!$D:$D,'Attrition Modeling'!$B:$B,$E71,'Attrition Modeling'!$C:$C,BK$11),VLOOKUP(RentalsVacates!BK$12-RentalsVacates!$F71-1,RentalsVacates!$A$8:$C$162,2,FALSE)*VLOOKUP(BK$11,'Attrition Modeling'!$L$15:$N$27,IF(BK$12-$F71&lt;=24,2,3),FALSE))*(1+IF('Traditional Attrition'!BK193&gt;0,'Attrition Modeling'!$N$9,0))),0))</f>
        <v>0</v>
      </c>
      <c r="BL71" s="799">
        <f>IF(BL$12=$F71+1,IF(Monthly!BH$4=TRUE,0,BL$3),IF(BL$12&gt;$F71+1,RentalsVacates!BK71*(1-IF(BL$12-$F71&lt;=12,SUMIFS('Attrition Modeling'!$D:$D,'Attrition Modeling'!$B:$B,$E71,'Attrition Modeling'!$C:$C,BL$11),VLOOKUP(RentalsVacates!BL$12-RentalsVacates!$F71-1,RentalsVacates!$A$8:$C$162,2,FALSE)*VLOOKUP(BL$11,'Attrition Modeling'!$L$15:$N$27,IF(BL$12-$F71&lt;=24,2,3),FALSE))*(1+IF('Traditional Attrition'!BL193&gt;0,'Attrition Modeling'!$N$9,0))),0))</f>
        <v>0</v>
      </c>
      <c r="BM71" s="799">
        <f>IF(BM$12=$F71+1,IF(Monthly!BI$4=TRUE,0,BM$3),IF(BM$12&gt;$F71+1,RentalsVacates!BL71*(1-IF(BM$12-$F71&lt;=12,SUMIFS('Attrition Modeling'!$D:$D,'Attrition Modeling'!$B:$B,$E71,'Attrition Modeling'!$C:$C,BM$11),VLOOKUP(RentalsVacates!BM$12-RentalsVacates!$F71-1,RentalsVacates!$A$8:$C$162,2,FALSE)*VLOOKUP(BM$11,'Attrition Modeling'!$L$15:$N$27,IF(BM$12-$F71&lt;=24,2,3),FALSE))*(1+IF('Traditional Attrition'!BM193&gt;0,'Attrition Modeling'!$N$9,0))),0))</f>
        <v>0</v>
      </c>
      <c r="BN71" s="799">
        <f>IF(BN$12=$F71+1,IF(Monthly!BJ$4=TRUE,0,BN$3),IF(BN$12&gt;$F71+1,RentalsVacates!BM71*(1-IF(BN$12-$F71&lt;=12,SUMIFS('Attrition Modeling'!$D:$D,'Attrition Modeling'!$B:$B,$E71,'Attrition Modeling'!$C:$C,BN$11),VLOOKUP(RentalsVacates!BN$12-RentalsVacates!$F71-1,RentalsVacates!$A$8:$C$162,2,FALSE)*VLOOKUP(BN$11,'Attrition Modeling'!$L$15:$N$27,IF(BN$12-$F71&lt;=24,2,3),FALSE))*(1+IF('Traditional Attrition'!BN193&gt;0,'Attrition Modeling'!$N$9,0))),0))</f>
        <v>4759.3334484920924</v>
      </c>
      <c r="BO71" s="799">
        <f>IF(BO$12=$F71+1,IF(Monthly!BK$4=TRUE,0,BO$3),IF(BO$12&gt;$F71+1,RentalsVacates!BN71*(1-IF(BO$12-$F71&lt;=12,SUMIFS('Attrition Modeling'!$D:$D,'Attrition Modeling'!$B:$B,$E71,'Attrition Modeling'!$C:$C,BO$11),VLOOKUP(RentalsVacates!BO$12-RentalsVacates!$F71-1,RentalsVacates!$A$8:$C$162,2,FALSE)*VLOOKUP(BO$11,'Attrition Modeling'!$L$15:$N$27,IF(BO$12-$F71&lt;=24,2,3),FALSE))*(1+IF('Traditional Attrition'!BO193&gt;0,'Attrition Modeling'!$N$9,0))),0))</f>
        <v>4276.8583998179311</v>
      </c>
      <c r="BP71" s="799">
        <f>IF(BP$12=$F71+1,IF(Monthly!BL$4=TRUE,0,BP$3),IF(BP$12&gt;$F71+1,RentalsVacates!BO71*(1-IF(BP$12-$F71&lt;=12,SUMIFS('Attrition Modeling'!$D:$D,'Attrition Modeling'!$B:$B,$E71,'Attrition Modeling'!$C:$C,BP$11),VLOOKUP(RentalsVacates!BP$12-RentalsVacates!$F71-1,RentalsVacates!$A$8:$C$162,2,FALSE)*VLOOKUP(BP$11,'Attrition Modeling'!$L$15:$N$27,IF(BP$12-$F71&lt;=24,2,3),FALSE))*(1+IF('Traditional Attrition'!BP193&gt;0,'Attrition Modeling'!$N$9,0))),0))</f>
        <v>3938.4752022734483</v>
      </c>
      <c r="BQ71" s="799">
        <f>IF(BQ$12=$F71+1,IF(Monthly!BM$4=TRUE,0,BQ$3),IF(BQ$12&gt;$F71+1,RentalsVacates!BP71*(1-IF(BQ$12-$F71&lt;=12,SUMIFS('Attrition Modeling'!$D:$D,'Attrition Modeling'!$B:$B,$E71,'Attrition Modeling'!$C:$C,BQ$11),VLOOKUP(RentalsVacates!BQ$12-RentalsVacates!$F71-1,RentalsVacates!$A$8:$C$162,2,FALSE)*VLOOKUP(BQ$11,'Attrition Modeling'!$L$15:$N$27,IF(BQ$12-$F71&lt;=24,2,3),FALSE))*(1+IF('Traditional Attrition'!BQ193&gt;0,'Attrition Modeling'!$N$9,0))),0))</f>
        <v>3621.8091141205118</v>
      </c>
      <c r="BR71" s="799">
        <f>IF(BR$12=$F71+1,IF(Monthly!BN$4=TRUE,0,BR$3),IF(BR$12&gt;$F71+1,RentalsVacates!BQ71*(1-IF(BR$12-$F71&lt;=12,SUMIFS('Attrition Modeling'!$D:$D,'Attrition Modeling'!$B:$B,$E71,'Attrition Modeling'!$C:$C,BR$11),VLOOKUP(RentalsVacates!BR$12-RentalsVacates!$F71-1,RentalsVacates!$A$8:$C$162,2,FALSE)*VLOOKUP(BR$11,'Attrition Modeling'!$L$15:$N$27,IF(BR$12-$F71&lt;=24,2,3),FALSE))*(1+IF('Traditional Attrition'!BR193&gt;0,'Attrition Modeling'!$N$9,0))),0))</f>
        <v>3319.8857620999115</v>
      </c>
      <c r="BS71" s="799">
        <f>IF(BS$12=$F71+1,IF(Monthly!BO$4=TRUE,0,BS$3),IF(BS$12&gt;$F71+1,RentalsVacates!BR71*(1-IF(BS$12-$F71&lt;=12,SUMIFS('Attrition Modeling'!$D:$D,'Attrition Modeling'!$B:$B,$E71,'Attrition Modeling'!$C:$C,BS$11),VLOOKUP(RentalsVacates!BS$12-RentalsVacates!$F71-1,RentalsVacates!$A$8:$C$162,2,FALSE)*VLOOKUP(BS$11,'Attrition Modeling'!$L$15:$N$27,IF(BS$12-$F71&lt;=24,2,3),FALSE))*(1+IF('Traditional Attrition'!BS193&gt;0,'Attrition Modeling'!$N$9,0))),0))</f>
        <v>2962.0514502865954</v>
      </c>
      <c r="BT71" s="799">
        <f>IF(BT$11=$F70+1,IF(Monthly!#REF!=TRUE,0,BT$3),IF(BT$11&gt;$F70+1,RentalsVacates!BS70*(1-IF(BT$11-$F70&lt;=12,SUMIFS('Attrition Modeling'!$D:$D,'Attrition Modeling'!$B:$B,$E70,'Attrition Modeling'!$C:$C,BT$10),VLOOKUP(RentalsVacates!BT$11-RentalsVacates!$F70-1,RentalsVacates!$A$7:$C$161,2,FALSE)*VLOOKUP(BT$10,'Attrition Modeling'!$L$15:$N$27,IF(BT$11-$F70&lt;=24,2,3),FALSE))*(1+IF('Traditional Attrition'!BT193&gt;0,'Attrition Modeling'!$N$9,0))),0))</f>
        <v>0</v>
      </c>
      <c r="BU71" s="799">
        <f>IF(BU$11=$F70+1,IF(Monthly!#REF!=TRUE,0,BU$3),IF(BU$11&gt;$F70+1,RentalsVacates!BT70*(1-IF(BU$11-$F70&lt;=12,SUMIFS('Attrition Modeling'!$D:$D,'Attrition Modeling'!$B:$B,$E70,'Attrition Modeling'!$C:$C,BU$10),VLOOKUP(RentalsVacates!BU$11-RentalsVacates!$F70-1,RentalsVacates!$A$7:$C$161,2,FALSE)*VLOOKUP(BU$10,'Attrition Modeling'!$L$15:$N$27,IF(BU$11-$F70&lt;=24,2,3),FALSE))*(1+IF('Traditional Attrition'!BU193&gt;0,'Attrition Modeling'!$N$9,0))),0))</f>
        <v>0</v>
      </c>
    </row>
    <row r="72" spans="1:73" ht="14.25" customHeight="1" x14ac:dyDescent="0.2">
      <c r="A72" s="9">
        <v>64</v>
      </c>
      <c r="B72" s="25">
        <f>MAX('Attrition Modeling'!H68,$C$3)*(1-Summary!$C$20)</f>
        <v>2.1206060607729324E-2</v>
      </c>
      <c r="C72" s="24" t="e">
        <f t="shared" si="2"/>
        <v>#DIV/0!</v>
      </c>
      <c r="E72" s="11">
        <f>'Traditional Attrition'!E129</f>
        <v>11</v>
      </c>
      <c r="F72" s="11">
        <f t="shared" si="4"/>
        <v>59</v>
      </c>
      <c r="G72" s="799"/>
      <c r="H72" s="799">
        <f>IF(H$12=$F72+1,IF(Monthly!D$4=TRUE,0,H$3),IF(H$12&gt;$F72+1,RentalsVacates!G72*(1-IF(H$12-$F72&lt;=12,SUMIFS('Attrition Modeling'!$D:$D,'Attrition Modeling'!$B:$B,$E72,'Attrition Modeling'!$C:$C,H$11),VLOOKUP(RentalsVacates!H$12-RentalsVacates!$F72-1,RentalsVacates!$A$8:$C$162,2,FALSE)*VLOOKUP(H$11,'Attrition Modeling'!$L$15:$N$27,IF(H$12-$F72&lt;=24,2,3),FALSE))*(1+IF('Traditional Attrition'!H194&gt;0,'Attrition Modeling'!$N$9,0))),0))</f>
        <v>0</v>
      </c>
      <c r="I72" s="799">
        <f>IF(I$12=$F72+1,IF(Monthly!E$4=TRUE,0,I$3),IF(I$12&gt;$F72+1,RentalsVacates!H72*(1-IF(I$12-$F72&lt;=12,SUMIFS('Attrition Modeling'!$D:$D,'Attrition Modeling'!$B:$B,$E72,'Attrition Modeling'!$C:$C,I$11),VLOOKUP(RentalsVacates!I$12-RentalsVacates!$F72-1,RentalsVacates!$A$8:$C$162,2,FALSE)*VLOOKUP(I$11,'Attrition Modeling'!$L$15:$N$27,IF(I$12-$F72&lt;=24,2,3),FALSE))*(1+IF('Traditional Attrition'!I194&gt;0,'Attrition Modeling'!$N$9,0))),0))</f>
        <v>0</v>
      </c>
      <c r="J72" s="799">
        <f>IF(J$12=$F72+1,IF(Monthly!F$4=TRUE,0,J$3),IF(J$12&gt;$F72+1,RentalsVacates!I72*(1-IF(J$12-$F72&lt;=12,SUMIFS('Attrition Modeling'!$D:$D,'Attrition Modeling'!$B:$B,$E72,'Attrition Modeling'!$C:$C,J$11),VLOOKUP(RentalsVacates!J$12-RentalsVacates!$F72-1,RentalsVacates!$A$8:$C$162,2,FALSE)*VLOOKUP(J$11,'Attrition Modeling'!$L$15:$N$27,IF(J$12-$F72&lt;=24,2,3),FALSE))*(1+IF('Traditional Attrition'!J194&gt;0,'Attrition Modeling'!$N$9,0))),0))</f>
        <v>0</v>
      </c>
      <c r="K72" s="799">
        <f>IF(K$12=$F72+1,IF(Monthly!G$4=TRUE,0,K$3),IF(K$12&gt;$F72+1,RentalsVacates!J72*(1-IF(K$12-$F72&lt;=12,SUMIFS('Attrition Modeling'!$D:$D,'Attrition Modeling'!$B:$B,$E72,'Attrition Modeling'!$C:$C,K$11),VLOOKUP(RentalsVacates!K$12-RentalsVacates!$F72-1,RentalsVacates!$A$8:$C$162,2,FALSE)*VLOOKUP(K$11,'Attrition Modeling'!$L$15:$N$27,IF(K$12-$F72&lt;=24,2,3),FALSE))*(1+IF('Traditional Attrition'!K194&gt;0,'Attrition Modeling'!$N$9,0))),0))</f>
        <v>0</v>
      </c>
      <c r="L72" s="799">
        <f>IF(L$12=$F72+1,IF(Monthly!H$4=TRUE,0,L$3),IF(L$12&gt;$F72+1,RentalsVacates!K72*(1-IF(L$12-$F72&lt;=12,SUMIFS('Attrition Modeling'!$D:$D,'Attrition Modeling'!$B:$B,$E72,'Attrition Modeling'!$C:$C,L$11),VLOOKUP(RentalsVacates!L$12-RentalsVacates!$F72-1,RentalsVacates!$A$8:$C$162,2,FALSE)*VLOOKUP(L$11,'Attrition Modeling'!$L$15:$N$27,IF(L$12-$F72&lt;=24,2,3),FALSE))*(1+IF('Traditional Attrition'!L194&gt;0,'Attrition Modeling'!$N$9,0))),0))</f>
        <v>0</v>
      </c>
      <c r="M72" s="799">
        <f>IF(M$12=$F72+1,IF(Monthly!I$4=TRUE,0,M$3),IF(M$12&gt;$F72+1,RentalsVacates!L72*(1-IF(M$12-$F72&lt;=12,SUMIFS('Attrition Modeling'!$D:$D,'Attrition Modeling'!$B:$B,$E72,'Attrition Modeling'!$C:$C,M$11),VLOOKUP(RentalsVacates!M$12-RentalsVacates!$F72-1,RentalsVacates!$A$8:$C$162,2,FALSE)*VLOOKUP(M$11,'Attrition Modeling'!$L$15:$N$27,IF(M$12-$F72&lt;=24,2,3),FALSE))*(1+IF('Traditional Attrition'!M194&gt;0,'Attrition Modeling'!$N$9,0))),0))</f>
        <v>0</v>
      </c>
      <c r="N72" s="799">
        <f>IF(N$12=$F72+1,IF(Monthly!J$4=TRUE,0,N$3),IF(N$12&gt;$F72+1,RentalsVacates!M72*(1-IF(N$12-$F72&lt;=12,SUMIFS('Attrition Modeling'!$D:$D,'Attrition Modeling'!$B:$B,$E72,'Attrition Modeling'!$C:$C,N$11),VLOOKUP(RentalsVacates!N$12-RentalsVacates!$F72-1,RentalsVacates!$A$8:$C$162,2,FALSE)*VLOOKUP(N$11,'Attrition Modeling'!$L$15:$N$27,IF(N$12-$F72&lt;=24,2,3),FALSE))*(1+IF('Traditional Attrition'!N194&gt;0,'Attrition Modeling'!$N$9,0))),0))</f>
        <v>0</v>
      </c>
      <c r="O72" s="799">
        <f>IF(O$12=$F72+1,IF(Monthly!K$4=TRUE,0,O$3),IF(O$12&gt;$F72+1,RentalsVacates!N72*(1-IF(O$12-$F72&lt;=12,SUMIFS('Attrition Modeling'!$D:$D,'Attrition Modeling'!$B:$B,$E72,'Attrition Modeling'!$C:$C,O$11),VLOOKUP(RentalsVacates!O$12-RentalsVacates!$F72-1,RentalsVacates!$A$8:$C$162,2,FALSE)*VLOOKUP(O$11,'Attrition Modeling'!$L$15:$N$27,IF(O$12-$F72&lt;=24,2,3),FALSE))*(1+IF('Traditional Attrition'!O194&gt;0,'Attrition Modeling'!$N$9,0))),0))</f>
        <v>0</v>
      </c>
      <c r="P72" s="799">
        <f>IF(P$12=$F72+1,IF(Monthly!L$4=TRUE,0,P$3),IF(P$12&gt;$F72+1,RentalsVacates!O72*(1-IF(P$12-$F72&lt;=12,SUMIFS('Attrition Modeling'!$D:$D,'Attrition Modeling'!$B:$B,$E72,'Attrition Modeling'!$C:$C,P$11),VLOOKUP(RentalsVacates!P$12-RentalsVacates!$F72-1,RentalsVacates!$A$8:$C$162,2,FALSE)*VLOOKUP(P$11,'Attrition Modeling'!$L$15:$N$27,IF(P$12-$F72&lt;=24,2,3),FALSE))*(1+IF('Traditional Attrition'!P194&gt;0,'Attrition Modeling'!$N$9,0))),0))</f>
        <v>0</v>
      </c>
      <c r="Q72" s="799">
        <f>IF(Q$12=$F72+1,IF(Monthly!M$4=TRUE,0,Q$3),IF(Q$12&gt;$F72+1,RentalsVacates!P72*(1-IF(Q$12-$F72&lt;=12,SUMIFS('Attrition Modeling'!$D:$D,'Attrition Modeling'!$B:$B,$E72,'Attrition Modeling'!$C:$C,Q$11),VLOOKUP(RentalsVacates!Q$12-RentalsVacates!$F72-1,RentalsVacates!$A$8:$C$162,2,FALSE)*VLOOKUP(Q$11,'Attrition Modeling'!$L$15:$N$27,IF(Q$12-$F72&lt;=24,2,3),FALSE))*(1+IF('Traditional Attrition'!Q194&gt;0,'Attrition Modeling'!$N$9,0))),0))</f>
        <v>0</v>
      </c>
      <c r="R72" s="799">
        <f>IF(R$12=$F72+1,IF(Monthly!N$4=TRUE,0,R$3),IF(R$12&gt;$F72+1,RentalsVacates!Q72*(1-IF(R$12-$F72&lt;=12,SUMIFS('Attrition Modeling'!$D:$D,'Attrition Modeling'!$B:$B,$E72,'Attrition Modeling'!$C:$C,R$11),VLOOKUP(RentalsVacates!R$12-RentalsVacates!$F72-1,RentalsVacates!$A$8:$C$162,2,FALSE)*VLOOKUP(R$11,'Attrition Modeling'!$L$15:$N$27,IF(R$12-$F72&lt;=24,2,3),FALSE))*(1+IF('Traditional Attrition'!R194&gt;0,'Attrition Modeling'!$N$9,0))),0))</f>
        <v>0</v>
      </c>
      <c r="S72" s="799">
        <f>IF(S$12=$F72+1,IF(Monthly!O$4=TRUE,0,S$3),IF(S$12&gt;$F72+1,RentalsVacates!R72*(1-IF(S$12-$F72&lt;=12,SUMIFS('Attrition Modeling'!$D:$D,'Attrition Modeling'!$B:$B,$E72,'Attrition Modeling'!$C:$C,S$11),VLOOKUP(RentalsVacates!S$12-RentalsVacates!$F72-1,RentalsVacates!$A$8:$C$162,2,FALSE)*VLOOKUP(S$11,'Attrition Modeling'!$L$15:$N$27,IF(S$12-$F72&lt;=24,2,3),FALSE))*(1+IF('Traditional Attrition'!S194&gt;0,'Attrition Modeling'!$N$9,0))),0))</f>
        <v>0</v>
      </c>
      <c r="T72" s="799">
        <f>IF(T$12=$F72+1,IF(Monthly!P$4=TRUE,0,T$3),IF(T$12&gt;$F72+1,RentalsVacates!S72*(1-IF(T$12-$F72&lt;=12,SUMIFS('Attrition Modeling'!$D:$D,'Attrition Modeling'!$B:$B,$E72,'Attrition Modeling'!$C:$C,T$11),VLOOKUP(RentalsVacates!T$12-RentalsVacates!$F72-1,RentalsVacates!$A$8:$C$162,2,FALSE)*VLOOKUP(T$11,'Attrition Modeling'!$L$15:$N$27,IF(T$12-$F72&lt;=24,2,3),FALSE))*(1+IF('Traditional Attrition'!T194&gt;0,'Attrition Modeling'!$N$9,0))),0))</f>
        <v>0</v>
      </c>
      <c r="U72" s="799">
        <f>IF(U$12=$F72+1,IF(Monthly!Q$4=TRUE,0,U$3),IF(U$12&gt;$F72+1,RentalsVacates!T72*(1-IF(U$12-$F72&lt;=12,SUMIFS('Attrition Modeling'!$D:$D,'Attrition Modeling'!$B:$B,$E72,'Attrition Modeling'!$C:$C,U$11),VLOOKUP(RentalsVacates!U$12-RentalsVacates!$F72-1,RentalsVacates!$A$8:$C$162,2,FALSE)*VLOOKUP(U$11,'Attrition Modeling'!$L$15:$N$27,IF(U$12-$F72&lt;=24,2,3),FALSE))*(1+IF('Traditional Attrition'!U194&gt;0,'Attrition Modeling'!$N$9,0))),0))</f>
        <v>0</v>
      </c>
      <c r="V72" s="799">
        <f>IF(V$12=$F72+1,IF(Monthly!R$4=TRUE,0,V$3),IF(V$12&gt;$F72+1,RentalsVacates!U72*(1-IF(V$12-$F72&lt;=12,SUMIFS('Attrition Modeling'!$D:$D,'Attrition Modeling'!$B:$B,$E72,'Attrition Modeling'!$C:$C,V$11),VLOOKUP(RentalsVacates!V$12-RentalsVacates!$F72-1,RentalsVacates!$A$8:$C$162,2,FALSE)*VLOOKUP(V$11,'Attrition Modeling'!$L$15:$N$27,IF(V$12-$F72&lt;=24,2,3),FALSE))*(1+IF('Traditional Attrition'!V194&gt;0,'Attrition Modeling'!$N$9,0))),0))</f>
        <v>0</v>
      </c>
      <c r="W72" s="799">
        <f>IF(W$12=$F72+1,IF(Monthly!S$4=TRUE,0,W$3),IF(W$12&gt;$F72+1,RentalsVacates!V72*(1-IF(W$12-$F72&lt;=12,SUMIFS('Attrition Modeling'!$D:$D,'Attrition Modeling'!$B:$B,$E72,'Attrition Modeling'!$C:$C,W$11),VLOOKUP(RentalsVacates!W$12-RentalsVacates!$F72-1,RentalsVacates!$A$8:$C$162,2,FALSE)*VLOOKUP(W$11,'Attrition Modeling'!$L$15:$N$27,IF(W$12-$F72&lt;=24,2,3),FALSE))*(1+IF('Traditional Attrition'!W194&gt;0,'Attrition Modeling'!$N$9,0))),0))</f>
        <v>0</v>
      </c>
      <c r="X72" s="799">
        <f>IF(X$12=$F72+1,IF(Monthly!T$4=TRUE,0,X$3),IF(X$12&gt;$F72+1,RentalsVacates!W72*(1-IF(X$12-$F72&lt;=12,SUMIFS('Attrition Modeling'!$D:$D,'Attrition Modeling'!$B:$B,$E72,'Attrition Modeling'!$C:$C,X$11),VLOOKUP(RentalsVacates!X$12-RentalsVacates!$F72-1,RentalsVacates!$A$8:$C$162,2,FALSE)*VLOOKUP(X$11,'Attrition Modeling'!$L$15:$N$27,IF(X$12-$F72&lt;=24,2,3),FALSE))*(1+IF('Traditional Attrition'!X194&gt;0,'Attrition Modeling'!$N$9,0))),0))</f>
        <v>0</v>
      </c>
      <c r="Y72" s="799">
        <f>IF(Y$12=$F72+1,IF(Monthly!U$4=TRUE,0,Y$3),IF(Y$12&gt;$F72+1,RentalsVacates!X72*(1-IF(Y$12-$F72&lt;=12,SUMIFS('Attrition Modeling'!$D:$D,'Attrition Modeling'!$B:$B,$E72,'Attrition Modeling'!$C:$C,Y$11),VLOOKUP(RentalsVacates!Y$12-RentalsVacates!$F72-1,RentalsVacates!$A$8:$C$162,2,FALSE)*VLOOKUP(Y$11,'Attrition Modeling'!$L$15:$N$27,IF(Y$12-$F72&lt;=24,2,3),FALSE))*(1+IF('Traditional Attrition'!Y194&gt;0,'Attrition Modeling'!$N$9,0))),0))</f>
        <v>0</v>
      </c>
      <c r="Z72" s="799">
        <f>IF(Z$12=$F72+1,IF(Monthly!V$4=TRUE,0,Z$3),IF(Z$12&gt;$F72+1,RentalsVacates!Y72*(1-IF(Z$12-$F72&lt;=12,SUMIFS('Attrition Modeling'!$D:$D,'Attrition Modeling'!$B:$B,$E72,'Attrition Modeling'!$C:$C,Z$11),VLOOKUP(RentalsVacates!Z$12-RentalsVacates!$F72-1,RentalsVacates!$A$8:$C$162,2,FALSE)*VLOOKUP(Z$11,'Attrition Modeling'!$L$15:$N$27,IF(Z$12-$F72&lt;=24,2,3),FALSE))*(1+IF('Traditional Attrition'!Z194&gt;0,'Attrition Modeling'!$N$9,0))),0))</f>
        <v>0</v>
      </c>
      <c r="AA72" s="799">
        <f>IF(AA$12=$F72+1,IF(Monthly!W$4=TRUE,0,AA$3),IF(AA$12&gt;$F72+1,RentalsVacates!Z72*(1-IF(AA$12-$F72&lt;=12,SUMIFS('Attrition Modeling'!$D:$D,'Attrition Modeling'!$B:$B,$E72,'Attrition Modeling'!$C:$C,AA$11),VLOOKUP(RentalsVacates!AA$12-RentalsVacates!$F72-1,RentalsVacates!$A$8:$C$162,2,FALSE)*VLOOKUP(AA$11,'Attrition Modeling'!$L$15:$N$27,IF(AA$12-$F72&lt;=24,2,3),FALSE))*(1+IF('Traditional Attrition'!AA194&gt;0,'Attrition Modeling'!$N$9,0))),0))</f>
        <v>0</v>
      </c>
      <c r="AB72" s="799">
        <f>IF(AB$12=$F72+1,IF(Monthly!X$4=TRUE,0,AB$3),IF(AB$12&gt;$F72+1,RentalsVacates!AA72*(1-IF(AB$12-$F72&lt;=12,SUMIFS('Attrition Modeling'!$D:$D,'Attrition Modeling'!$B:$B,$E72,'Attrition Modeling'!$C:$C,AB$11),VLOOKUP(RentalsVacates!AB$12-RentalsVacates!$F72-1,RentalsVacates!$A$8:$C$162,2,FALSE)*VLOOKUP(AB$11,'Attrition Modeling'!$L$15:$N$27,IF(AB$12-$F72&lt;=24,2,3),FALSE))*(1+IF('Traditional Attrition'!AB194&gt;0,'Attrition Modeling'!$N$9,0))),0))</f>
        <v>0</v>
      </c>
      <c r="AC72" s="799">
        <f>IF(AC$12=$F72+1,IF(Monthly!Y$4=TRUE,0,AC$3),IF(AC$12&gt;$F72+1,RentalsVacates!AB72*(1-IF(AC$12-$F72&lt;=12,SUMIFS('Attrition Modeling'!$D:$D,'Attrition Modeling'!$B:$B,$E72,'Attrition Modeling'!$C:$C,AC$11),VLOOKUP(RentalsVacates!AC$12-RentalsVacates!$F72-1,RentalsVacates!$A$8:$C$162,2,FALSE)*VLOOKUP(AC$11,'Attrition Modeling'!$L$15:$N$27,IF(AC$12-$F72&lt;=24,2,3),FALSE))*(1+IF('Traditional Attrition'!AC194&gt;0,'Attrition Modeling'!$N$9,0))),0))</f>
        <v>0</v>
      </c>
      <c r="AD72" s="799">
        <f>IF(AD$12=$F72+1,IF(Monthly!Z$4=TRUE,0,AD$3),IF(AD$12&gt;$F72+1,RentalsVacates!AC72*(1-IF(AD$12-$F72&lt;=12,SUMIFS('Attrition Modeling'!$D:$D,'Attrition Modeling'!$B:$B,$E72,'Attrition Modeling'!$C:$C,AD$11),VLOOKUP(RentalsVacates!AD$12-RentalsVacates!$F72-1,RentalsVacates!$A$8:$C$162,2,FALSE)*VLOOKUP(AD$11,'Attrition Modeling'!$L$15:$N$27,IF(AD$12-$F72&lt;=24,2,3),FALSE))*(1+IF('Traditional Attrition'!AD194&gt;0,'Attrition Modeling'!$N$9,0))),0))</f>
        <v>0</v>
      </c>
      <c r="AE72" s="799">
        <f>IF(AE$12=$F72+1,IF(Monthly!AA$4=TRUE,0,AE$3),IF(AE$12&gt;$F72+1,RentalsVacates!AD72*(1-IF(AE$12-$F72&lt;=12,SUMIFS('Attrition Modeling'!$D:$D,'Attrition Modeling'!$B:$B,$E72,'Attrition Modeling'!$C:$C,AE$11),VLOOKUP(RentalsVacates!AE$12-RentalsVacates!$F72-1,RentalsVacates!$A$8:$C$162,2,FALSE)*VLOOKUP(AE$11,'Attrition Modeling'!$L$15:$N$27,IF(AE$12-$F72&lt;=24,2,3),FALSE))*(1+IF('Traditional Attrition'!AE194&gt;0,'Attrition Modeling'!$N$9,0))),0))</f>
        <v>0</v>
      </c>
      <c r="AF72" s="799">
        <f>IF(AF$12=$F72+1,IF(Monthly!AB$4=TRUE,0,AF$3),IF(AF$12&gt;$F72+1,RentalsVacates!AE72*(1-IF(AF$12-$F72&lt;=12,SUMIFS('Attrition Modeling'!$D:$D,'Attrition Modeling'!$B:$B,$E72,'Attrition Modeling'!$C:$C,AF$11),VLOOKUP(RentalsVacates!AF$12-RentalsVacates!$F72-1,RentalsVacates!$A$8:$C$162,2,FALSE)*VLOOKUP(AF$11,'Attrition Modeling'!$L$15:$N$27,IF(AF$12-$F72&lt;=24,2,3),FALSE))*(1+IF('Traditional Attrition'!AF194&gt;0,'Attrition Modeling'!$N$9,0))),0))</f>
        <v>0</v>
      </c>
      <c r="AG72" s="799">
        <f>IF(AG$12=$F72+1,IF(Monthly!AC$4=TRUE,0,AG$3),IF(AG$12&gt;$F72+1,RentalsVacates!AF72*(1-IF(AG$12-$F72&lt;=12,SUMIFS('Attrition Modeling'!$D:$D,'Attrition Modeling'!$B:$B,$E72,'Attrition Modeling'!$C:$C,AG$11),VLOOKUP(RentalsVacates!AG$12-RentalsVacates!$F72-1,RentalsVacates!$A$8:$C$162,2,FALSE)*VLOOKUP(AG$11,'Attrition Modeling'!$L$15:$N$27,IF(AG$12-$F72&lt;=24,2,3),FALSE))*(1+IF('Traditional Attrition'!AG194&gt;0,'Attrition Modeling'!$N$9,0))),0))</f>
        <v>0</v>
      </c>
      <c r="AH72" s="799">
        <f>IF(AH$12=$F72+1,IF(Monthly!AD$4=TRUE,0,AH$3),IF(AH$12&gt;$F72+1,RentalsVacates!AG72*(1-IF(AH$12-$F72&lt;=12,SUMIFS('Attrition Modeling'!$D:$D,'Attrition Modeling'!$B:$B,$E72,'Attrition Modeling'!$C:$C,AH$11),VLOOKUP(RentalsVacates!AH$12-RentalsVacates!$F72-1,RentalsVacates!$A$8:$C$162,2,FALSE)*VLOOKUP(AH$11,'Attrition Modeling'!$L$15:$N$27,IF(AH$12-$F72&lt;=24,2,3),FALSE))*(1+IF('Traditional Attrition'!AH194&gt;0,'Attrition Modeling'!$N$9,0))),0))</f>
        <v>0</v>
      </c>
      <c r="AI72" s="799">
        <f>IF(AI$12=$F72+1,IF(Monthly!AE$4=TRUE,0,AI$3),IF(AI$12&gt;$F72+1,RentalsVacates!AH72*(1-IF(AI$12-$F72&lt;=12,SUMIFS('Attrition Modeling'!$D:$D,'Attrition Modeling'!$B:$B,$E72,'Attrition Modeling'!$C:$C,AI$11),VLOOKUP(RentalsVacates!AI$12-RentalsVacates!$F72-1,RentalsVacates!$A$8:$C$162,2,FALSE)*VLOOKUP(AI$11,'Attrition Modeling'!$L$15:$N$27,IF(AI$12-$F72&lt;=24,2,3),FALSE))*(1+IF('Traditional Attrition'!AI194&gt;0,'Attrition Modeling'!$N$9,0))),0))</f>
        <v>0</v>
      </c>
      <c r="AJ72" s="799">
        <f>IF(AJ$12=$F72+1,IF(Monthly!AF$4=TRUE,0,AJ$3),IF(AJ$12&gt;$F72+1,RentalsVacates!AI72*(1-IF(AJ$12-$F72&lt;=12,SUMIFS('Attrition Modeling'!$D:$D,'Attrition Modeling'!$B:$B,$E72,'Attrition Modeling'!$C:$C,AJ$11),VLOOKUP(RentalsVacates!AJ$12-RentalsVacates!$F72-1,RentalsVacates!$A$8:$C$162,2,FALSE)*VLOOKUP(AJ$11,'Attrition Modeling'!$L$15:$N$27,IF(AJ$12-$F72&lt;=24,2,3),FALSE))*(1+IF('Traditional Attrition'!AJ194&gt;0,'Attrition Modeling'!$N$9,0))),0))</f>
        <v>0</v>
      </c>
      <c r="AK72" s="799">
        <f>IF(AK$12=$F72+1,IF(Monthly!AG$4=TRUE,0,AK$3),IF(AK$12&gt;$F72+1,RentalsVacates!AJ72*(1-IF(AK$12-$F72&lt;=12,SUMIFS('Attrition Modeling'!$D:$D,'Attrition Modeling'!$B:$B,$E72,'Attrition Modeling'!$C:$C,AK$11),VLOOKUP(RentalsVacates!AK$12-RentalsVacates!$F72-1,RentalsVacates!$A$8:$C$162,2,FALSE)*VLOOKUP(AK$11,'Attrition Modeling'!$L$15:$N$27,IF(AK$12-$F72&lt;=24,2,3),FALSE))*(1+IF('Traditional Attrition'!AK194&gt;0,'Attrition Modeling'!$N$9,0))),0))</f>
        <v>0</v>
      </c>
      <c r="AL72" s="799">
        <f>IF(AL$12=$F72+1,IF(Monthly!AH$4=TRUE,0,AL$3),IF(AL$12&gt;$F72+1,RentalsVacates!AK72*(1-IF(AL$12-$F72&lt;=12,SUMIFS('Attrition Modeling'!$D:$D,'Attrition Modeling'!$B:$B,$E72,'Attrition Modeling'!$C:$C,AL$11),VLOOKUP(RentalsVacates!AL$12-RentalsVacates!$F72-1,RentalsVacates!$A$8:$C$162,2,FALSE)*VLOOKUP(AL$11,'Attrition Modeling'!$L$15:$N$27,IF(AL$12-$F72&lt;=24,2,3),FALSE))*(1+IF('Traditional Attrition'!AL194&gt;0,'Attrition Modeling'!$N$9,0))),0))</f>
        <v>0</v>
      </c>
      <c r="AM72" s="799">
        <f>IF(AM$12=$F72+1,IF(Monthly!AI$4=TRUE,0,AM$3),IF(AM$12&gt;$F72+1,RentalsVacates!AL72*(1-IF(AM$12-$F72&lt;=12,SUMIFS('Attrition Modeling'!$D:$D,'Attrition Modeling'!$B:$B,$E72,'Attrition Modeling'!$C:$C,AM$11),VLOOKUP(RentalsVacates!AM$12-RentalsVacates!$F72-1,RentalsVacates!$A$8:$C$162,2,FALSE)*VLOOKUP(AM$11,'Attrition Modeling'!$L$15:$N$27,IF(AM$12-$F72&lt;=24,2,3),FALSE))*(1+IF('Traditional Attrition'!AM194&gt;0,'Attrition Modeling'!$N$9,0))),0))</f>
        <v>0</v>
      </c>
      <c r="AN72" s="799">
        <f>IF(AN$12=$F72+1,IF(Monthly!AJ$4=TRUE,0,AN$3),IF(AN$12&gt;$F72+1,RentalsVacates!AM72*(1-IF(AN$12-$F72&lt;=12,SUMIFS('Attrition Modeling'!$D:$D,'Attrition Modeling'!$B:$B,$E72,'Attrition Modeling'!$C:$C,AN$11),VLOOKUP(RentalsVacates!AN$12-RentalsVacates!$F72-1,RentalsVacates!$A$8:$C$162,2,FALSE)*VLOOKUP(AN$11,'Attrition Modeling'!$L$15:$N$27,IF(AN$12-$F72&lt;=24,2,3),FALSE))*(1+IF('Traditional Attrition'!AN194&gt;0,'Attrition Modeling'!$N$9,0))),0))</f>
        <v>0</v>
      </c>
      <c r="AO72" s="799">
        <f>IF(AO$12=$F72+1,IF(Monthly!AK$4=TRUE,0,AO$3),IF(AO$12&gt;$F72+1,RentalsVacates!AN72*(1-IF(AO$12-$F72&lt;=12,SUMIFS('Attrition Modeling'!$D:$D,'Attrition Modeling'!$B:$B,$E72,'Attrition Modeling'!$C:$C,AO$11),VLOOKUP(RentalsVacates!AO$12-RentalsVacates!$F72-1,RentalsVacates!$A$8:$C$162,2,FALSE)*VLOOKUP(AO$11,'Attrition Modeling'!$L$15:$N$27,IF(AO$12-$F72&lt;=24,2,3),FALSE))*(1+IF('Traditional Attrition'!AO194&gt;0,'Attrition Modeling'!$N$9,0))),0))</f>
        <v>0</v>
      </c>
      <c r="AP72" s="799">
        <f>IF(AP$12=$F72+1,IF(Monthly!AL$4=TRUE,0,AP$3),IF(AP$12&gt;$F72+1,RentalsVacates!AO72*(1-IF(AP$12-$F72&lt;=12,SUMIFS('Attrition Modeling'!$D:$D,'Attrition Modeling'!$B:$B,$E72,'Attrition Modeling'!$C:$C,AP$11),VLOOKUP(RentalsVacates!AP$12-RentalsVacates!$F72-1,RentalsVacates!$A$8:$C$162,2,FALSE)*VLOOKUP(AP$11,'Attrition Modeling'!$L$15:$N$27,IF(AP$12-$F72&lt;=24,2,3),FALSE))*(1+IF('Traditional Attrition'!AP194&gt;0,'Attrition Modeling'!$N$9,0))),0))</f>
        <v>0</v>
      </c>
      <c r="AQ72" s="799">
        <f>IF(AQ$12=$F72+1,IF(Monthly!AM$4=TRUE,0,AQ$3),IF(AQ$12&gt;$F72+1,RentalsVacates!AP72*(1-IF(AQ$12-$F72&lt;=12,SUMIFS('Attrition Modeling'!$D:$D,'Attrition Modeling'!$B:$B,$E72,'Attrition Modeling'!$C:$C,AQ$11),VLOOKUP(RentalsVacates!AQ$12-RentalsVacates!$F72-1,RentalsVacates!$A$8:$C$162,2,FALSE)*VLOOKUP(AQ$11,'Attrition Modeling'!$L$15:$N$27,IF(AQ$12-$F72&lt;=24,2,3),FALSE))*(1+IF('Traditional Attrition'!AQ194&gt;0,'Attrition Modeling'!$N$9,0))),0))</f>
        <v>0</v>
      </c>
      <c r="AR72" s="799">
        <f>IF(AR$12=$F72+1,IF(Monthly!AN$4=TRUE,0,AR$3),IF(AR$12&gt;$F72+1,RentalsVacates!AQ72*(1-IF(AR$12-$F72&lt;=12,SUMIFS('Attrition Modeling'!$D:$D,'Attrition Modeling'!$B:$B,$E72,'Attrition Modeling'!$C:$C,AR$11),VLOOKUP(RentalsVacates!AR$12-RentalsVacates!$F72-1,RentalsVacates!$A$8:$C$162,2,FALSE)*VLOOKUP(AR$11,'Attrition Modeling'!$L$15:$N$27,IF(AR$12-$F72&lt;=24,2,3),FALSE))*(1+IF('Traditional Attrition'!AR194&gt;0,'Attrition Modeling'!$N$9,0))),0))</f>
        <v>0</v>
      </c>
      <c r="AS72" s="799">
        <f>IF(AS$12=$F72+1,IF(Monthly!AO$4=TRUE,0,AS$3),IF(AS$12&gt;$F72+1,RentalsVacates!AR72*(1-IF(AS$12-$F72&lt;=12,SUMIFS('Attrition Modeling'!$D:$D,'Attrition Modeling'!$B:$B,$E72,'Attrition Modeling'!$C:$C,AS$11),VLOOKUP(RentalsVacates!AS$12-RentalsVacates!$F72-1,RentalsVacates!$A$8:$C$162,2,FALSE)*VLOOKUP(AS$11,'Attrition Modeling'!$L$15:$N$27,IF(AS$12-$F72&lt;=24,2,3),FALSE))*(1+IF('Traditional Attrition'!AS194&gt;0,'Attrition Modeling'!$N$9,0))),0))</f>
        <v>0</v>
      </c>
      <c r="AT72" s="799">
        <f>IF(AT$12=$F72+1,IF(Monthly!AP$4=TRUE,0,AT$3),IF(AT$12&gt;$F72+1,RentalsVacates!AS72*(1-IF(AT$12-$F72&lt;=12,SUMIFS('Attrition Modeling'!$D:$D,'Attrition Modeling'!$B:$B,$E72,'Attrition Modeling'!$C:$C,AT$11),VLOOKUP(RentalsVacates!AT$12-RentalsVacates!$F72-1,RentalsVacates!$A$8:$C$162,2,FALSE)*VLOOKUP(AT$11,'Attrition Modeling'!$L$15:$N$27,IF(AT$12-$F72&lt;=24,2,3),FALSE))*(1+IF('Traditional Attrition'!AT194&gt;0,'Attrition Modeling'!$N$9,0))),0))</f>
        <v>0</v>
      </c>
      <c r="AU72" s="799">
        <f>IF(AU$12=$F72+1,IF(Monthly!AQ$4=TRUE,0,AU$3),IF(AU$12&gt;$F72+1,RentalsVacates!AT72*(1-IF(AU$12-$F72&lt;=12,SUMIFS('Attrition Modeling'!$D:$D,'Attrition Modeling'!$B:$B,$E72,'Attrition Modeling'!$C:$C,AU$11),VLOOKUP(RentalsVacates!AU$12-RentalsVacates!$F72-1,RentalsVacates!$A$8:$C$162,2,FALSE)*VLOOKUP(AU$11,'Attrition Modeling'!$L$15:$N$27,IF(AU$12-$F72&lt;=24,2,3),FALSE))*(1+IF('Traditional Attrition'!AU194&gt;0,'Attrition Modeling'!$N$9,0))),0))</f>
        <v>0</v>
      </c>
      <c r="AV72" s="799">
        <f>IF(AV$12=$F72+1,IF(Monthly!AR$4=TRUE,0,AV$3),IF(AV$12&gt;$F72+1,RentalsVacates!AU72*(1-IF(AV$12-$F72&lt;=12,SUMIFS('Attrition Modeling'!$D:$D,'Attrition Modeling'!$B:$B,$E72,'Attrition Modeling'!$C:$C,AV$11),VLOOKUP(RentalsVacates!AV$12-RentalsVacates!$F72-1,RentalsVacates!$A$8:$C$162,2,FALSE)*VLOOKUP(AV$11,'Attrition Modeling'!$L$15:$N$27,IF(AV$12-$F72&lt;=24,2,3),FALSE))*(1+IF('Traditional Attrition'!AV194&gt;0,'Attrition Modeling'!$N$9,0))),0))</f>
        <v>0</v>
      </c>
      <c r="AW72" s="799">
        <f>IF(AW$12=$F72+1,IF(Monthly!AS$4=TRUE,0,AW$3),IF(AW$12&gt;$F72+1,RentalsVacates!AV72*(1-IF(AW$12-$F72&lt;=12,SUMIFS('Attrition Modeling'!$D:$D,'Attrition Modeling'!$B:$B,$E72,'Attrition Modeling'!$C:$C,AW$11),VLOOKUP(RentalsVacates!AW$12-RentalsVacates!$F72-1,RentalsVacates!$A$8:$C$162,2,FALSE)*VLOOKUP(AW$11,'Attrition Modeling'!$L$15:$N$27,IF(AW$12-$F72&lt;=24,2,3),FALSE))*(1+IF('Traditional Attrition'!AW194&gt;0,'Attrition Modeling'!$N$9,0))),0))</f>
        <v>0</v>
      </c>
      <c r="AX72" s="799">
        <f>IF(AX$12=$F72+1,IF(Monthly!AT$4=TRUE,0,AX$3),IF(AX$12&gt;$F72+1,RentalsVacates!AW72*(1-IF(AX$12-$F72&lt;=12,SUMIFS('Attrition Modeling'!$D:$D,'Attrition Modeling'!$B:$B,$E72,'Attrition Modeling'!$C:$C,AX$11),VLOOKUP(RentalsVacates!AX$12-RentalsVacates!$F72-1,RentalsVacates!$A$8:$C$162,2,FALSE)*VLOOKUP(AX$11,'Attrition Modeling'!$L$15:$N$27,IF(AX$12-$F72&lt;=24,2,3),FALSE))*(1+IF('Traditional Attrition'!AX194&gt;0,'Attrition Modeling'!$N$9,0))),0))</f>
        <v>0</v>
      </c>
      <c r="AY72" s="799">
        <f>IF(AY$12=$F72+1,IF(Monthly!AU$4=TRUE,0,AY$3),IF(AY$12&gt;$F72+1,RentalsVacates!AX72*(1-IF(AY$12-$F72&lt;=12,SUMIFS('Attrition Modeling'!$D:$D,'Attrition Modeling'!$B:$B,$E72,'Attrition Modeling'!$C:$C,AY$11),VLOOKUP(RentalsVacates!AY$12-RentalsVacates!$F72-1,RentalsVacates!$A$8:$C$162,2,FALSE)*VLOOKUP(AY$11,'Attrition Modeling'!$L$15:$N$27,IF(AY$12-$F72&lt;=24,2,3),FALSE))*(1+IF('Traditional Attrition'!AY194&gt;0,'Attrition Modeling'!$N$9,0))),0))</f>
        <v>0</v>
      </c>
      <c r="AZ72" s="799">
        <f>IF(AZ$12=$F72+1,IF(Monthly!AV$4=TRUE,0,AZ$3),IF(AZ$12&gt;$F72+1,RentalsVacates!AY72*(1-IF(AZ$12-$F72&lt;=12,SUMIFS('Attrition Modeling'!$D:$D,'Attrition Modeling'!$B:$B,$E72,'Attrition Modeling'!$C:$C,AZ$11),VLOOKUP(RentalsVacates!AZ$12-RentalsVacates!$F72-1,RentalsVacates!$A$8:$C$162,2,FALSE)*VLOOKUP(AZ$11,'Attrition Modeling'!$L$15:$N$27,IF(AZ$12-$F72&lt;=24,2,3),FALSE))*(1+IF('Traditional Attrition'!AZ194&gt;0,'Attrition Modeling'!$N$9,0))),0))</f>
        <v>0</v>
      </c>
      <c r="BA72" s="799">
        <f>IF(BA$12=$F72+1,IF(Monthly!AW$4=TRUE,0,BA$3),IF(BA$12&gt;$F72+1,RentalsVacates!AZ72*(1-IF(BA$12-$F72&lt;=12,SUMIFS('Attrition Modeling'!$D:$D,'Attrition Modeling'!$B:$B,$E72,'Attrition Modeling'!$C:$C,BA$11),VLOOKUP(RentalsVacates!BA$12-RentalsVacates!$F72-1,RentalsVacates!$A$8:$C$162,2,FALSE)*VLOOKUP(BA$11,'Attrition Modeling'!$L$15:$N$27,IF(BA$12-$F72&lt;=24,2,3),FALSE))*(1+IF('Traditional Attrition'!BA194&gt;0,'Attrition Modeling'!$N$9,0))),0))</f>
        <v>0</v>
      </c>
      <c r="BB72" s="799">
        <f>IF(BB$12=$F72+1,IF(Monthly!AX$4=TRUE,0,BB$3),IF(BB$12&gt;$F72+1,RentalsVacates!BA72*(1-IF(BB$12-$F72&lt;=12,SUMIFS('Attrition Modeling'!$D:$D,'Attrition Modeling'!$B:$B,$E72,'Attrition Modeling'!$C:$C,BB$11),VLOOKUP(RentalsVacates!BB$12-RentalsVacates!$F72-1,RentalsVacates!$A$8:$C$162,2,FALSE)*VLOOKUP(BB$11,'Attrition Modeling'!$L$15:$N$27,IF(BB$12-$F72&lt;=24,2,3),FALSE))*(1+IF('Traditional Attrition'!BB194&gt;0,'Attrition Modeling'!$N$9,0))),0))</f>
        <v>0</v>
      </c>
      <c r="BC72" s="799">
        <f>IF(BC$12=$F72+1,IF(Monthly!AY$4=TRUE,0,BC$3),IF(BC$12&gt;$F72+1,RentalsVacates!BB72*(1-IF(BC$12-$F72&lt;=12,SUMIFS('Attrition Modeling'!$D:$D,'Attrition Modeling'!$B:$B,$E72,'Attrition Modeling'!$C:$C,BC$11),VLOOKUP(RentalsVacates!BC$12-RentalsVacates!$F72-1,RentalsVacates!$A$8:$C$162,2,FALSE)*VLOOKUP(BC$11,'Attrition Modeling'!$L$15:$N$27,IF(BC$12-$F72&lt;=24,2,3),FALSE))*(1+IF('Traditional Attrition'!BC194&gt;0,'Attrition Modeling'!$N$9,0))),0))</f>
        <v>0</v>
      </c>
      <c r="BD72" s="799">
        <f>IF(BD$12=$F72+1,IF(Monthly!AZ$4=TRUE,0,BD$3),IF(BD$12&gt;$F72+1,RentalsVacates!BC72*(1-IF(BD$12-$F72&lt;=12,SUMIFS('Attrition Modeling'!$D:$D,'Attrition Modeling'!$B:$B,$E72,'Attrition Modeling'!$C:$C,BD$11),VLOOKUP(RentalsVacates!BD$12-RentalsVacates!$F72-1,RentalsVacates!$A$8:$C$162,2,FALSE)*VLOOKUP(BD$11,'Attrition Modeling'!$L$15:$N$27,IF(BD$12-$F72&lt;=24,2,3),FALSE))*(1+IF('Traditional Attrition'!BD194&gt;0,'Attrition Modeling'!$N$9,0))),0))</f>
        <v>0</v>
      </c>
      <c r="BE72" s="799">
        <f>IF(BE$12=$F72+1,IF(Monthly!BA$4=TRUE,0,BE$3),IF(BE$12&gt;$F72+1,RentalsVacates!BD72*(1-IF(BE$12-$F72&lt;=12,SUMIFS('Attrition Modeling'!$D:$D,'Attrition Modeling'!$B:$B,$E72,'Attrition Modeling'!$C:$C,BE$11),VLOOKUP(RentalsVacates!BE$12-RentalsVacates!$F72-1,RentalsVacates!$A$8:$C$162,2,FALSE)*VLOOKUP(BE$11,'Attrition Modeling'!$L$15:$N$27,IF(BE$12-$F72&lt;=24,2,3),FALSE))*(1+IF('Traditional Attrition'!BE194&gt;0,'Attrition Modeling'!$N$9,0))),0))</f>
        <v>0</v>
      </c>
      <c r="BF72" s="799">
        <f>IF(BF$12=$F72+1,IF(Monthly!BB$4=TRUE,0,BF$3),IF(BF$12&gt;$F72+1,RentalsVacates!BE72*(1-IF(BF$12-$F72&lt;=12,SUMIFS('Attrition Modeling'!$D:$D,'Attrition Modeling'!$B:$B,$E72,'Attrition Modeling'!$C:$C,BF$11),VLOOKUP(RentalsVacates!BF$12-RentalsVacates!$F72-1,RentalsVacates!$A$8:$C$162,2,FALSE)*VLOOKUP(BF$11,'Attrition Modeling'!$L$15:$N$27,IF(BF$12-$F72&lt;=24,2,3),FALSE))*(1+IF('Traditional Attrition'!BF194&gt;0,'Attrition Modeling'!$N$9,0))),0))</f>
        <v>0</v>
      </c>
      <c r="BG72" s="799">
        <f>IF(BG$12=$F72+1,IF(Monthly!BC$4=TRUE,0,BG$3),IF(BG$12&gt;$F72+1,RentalsVacates!BF72*(1-IF(BG$12-$F72&lt;=12,SUMIFS('Attrition Modeling'!$D:$D,'Attrition Modeling'!$B:$B,$E72,'Attrition Modeling'!$C:$C,BG$11),VLOOKUP(RentalsVacates!BG$12-RentalsVacates!$F72-1,RentalsVacates!$A$8:$C$162,2,FALSE)*VLOOKUP(BG$11,'Attrition Modeling'!$L$15:$N$27,IF(BG$12-$F72&lt;=24,2,3),FALSE))*(1+IF('Traditional Attrition'!BG194&gt;0,'Attrition Modeling'!$N$9,0))),0))</f>
        <v>0</v>
      </c>
      <c r="BH72" s="799">
        <f>IF(BH$12=$F72+1,IF(Monthly!BD$4=TRUE,0,BH$3),IF(BH$12&gt;$F72+1,RentalsVacates!BG72*(1-IF(BH$12-$F72&lt;=12,SUMIFS('Attrition Modeling'!$D:$D,'Attrition Modeling'!$B:$B,$E72,'Attrition Modeling'!$C:$C,BH$11),VLOOKUP(RentalsVacates!BH$12-RentalsVacates!$F72-1,RentalsVacates!$A$8:$C$162,2,FALSE)*VLOOKUP(BH$11,'Attrition Modeling'!$L$15:$N$27,IF(BH$12-$F72&lt;=24,2,3),FALSE))*(1+IF('Traditional Attrition'!BH194&gt;0,'Attrition Modeling'!$N$9,0))),0))</f>
        <v>0</v>
      </c>
      <c r="BI72" s="799">
        <f>IF(BI$12=$F72+1,IF(Monthly!BE$4=TRUE,0,BI$3),IF(BI$12&gt;$F72+1,RentalsVacates!BH72*(1-IF(BI$12-$F72&lt;=12,SUMIFS('Attrition Modeling'!$D:$D,'Attrition Modeling'!$B:$B,$E72,'Attrition Modeling'!$C:$C,BI$11),VLOOKUP(RentalsVacates!BI$12-RentalsVacates!$F72-1,RentalsVacates!$A$8:$C$162,2,FALSE)*VLOOKUP(BI$11,'Attrition Modeling'!$L$15:$N$27,IF(BI$12-$F72&lt;=24,2,3),FALSE))*(1+IF('Traditional Attrition'!BI194&gt;0,'Attrition Modeling'!$N$9,0))),0))</f>
        <v>0</v>
      </c>
      <c r="BJ72" s="799">
        <f>IF(BJ$12=$F72+1,IF(Monthly!BF$4=TRUE,0,BJ$3),IF(BJ$12&gt;$F72+1,RentalsVacates!BI72*(1-IF(BJ$12-$F72&lt;=12,SUMIFS('Attrition Modeling'!$D:$D,'Attrition Modeling'!$B:$B,$E72,'Attrition Modeling'!$C:$C,BJ$11),VLOOKUP(RentalsVacates!BJ$12-RentalsVacates!$F72-1,RentalsVacates!$A$8:$C$162,2,FALSE)*VLOOKUP(BJ$11,'Attrition Modeling'!$L$15:$N$27,IF(BJ$12-$F72&lt;=24,2,3),FALSE))*(1+IF('Traditional Attrition'!BJ194&gt;0,'Attrition Modeling'!$N$9,0))),0))</f>
        <v>0</v>
      </c>
      <c r="BK72" s="799">
        <f>IF(BK$12=$F72+1,IF(Monthly!BG$4=TRUE,0,BK$3),IF(BK$12&gt;$F72+1,RentalsVacates!BJ72*(1-IF(BK$12-$F72&lt;=12,SUMIFS('Attrition Modeling'!$D:$D,'Attrition Modeling'!$B:$B,$E72,'Attrition Modeling'!$C:$C,BK$11),VLOOKUP(RentalsVacates!BK$12-RentalsVacates!$F72-1,RentalsVacates!$A$8:$C$162,2,FALSE)*VLOOKUP(BK$11,'Attrition Modeling'!$L$15:$N$27,IF(BK$12-$F72&lt;=24,2,3),FALSE))*(1+IF('Traditional Attrition'!BK194&gt;0,'Attrition Modeling'!$N$9,0))),0))</f>
        <v>0</v>
      </c>
      <c r="BL72" s="799">
        <f>IF(BL$12=$F72+1,IF(Monthly!BH$4=TRUE,0,BL$3),IF(BL$12&gt;$F72+1,RentalsVacates!BK72*(1-IF(BL$12-$F72&lt;=12,SUMIFS('Attrition Modeling'!$D:$D,'Attrition Modeling'!$B:$B,$E72,'Attrition Modeling'!$C:$C,BL$11),VLOOKUP(RentalsVacates!BL$12-RentalsVacates!$F72-1,RentalsVacates!$A$8:$C$162,2,FALSE)*VLOOKUP(BL$11,'Attrition Modeling'!$L$15:$N$27,IF(BL$12-$F72&lt;=24,2,3),FALSE))*(1+IF('Traditional Attrition'!BL194&gt;0,'Attrition Modeling'!$N$9,0))),0))</f>
        <v>0</v>
      </c>
      <c r="BM72" s="799">
        <f>IF(BM$12=$F72+1,IF(Monthly!BI$4=TRUE,0,BM$3),IF(BM$12&gt;$F72+1,RentalsVacates!BL72*(1-IF(BM$12-$F72&lt;=12,SUMIFS('Attrition Modeling'!$D:$D,'Attrition Modeling'!$B:$B,$E72,'Attrition Modeling'!$C:$C,BM$11),VLOOKUP(RentalsVacates!BM$12-RentalsVacates!$F72-1,RentalsVacates!$A$8:$C$162,2,FALSE)*VLOOKUP(BM$11,'Attrition Modeling'!$L$15:$N$27,IF(BM$12-$F72&lt;=24,2,3),FALSE))*(1+IF('Traditional Attrition'!BM194&gt;0,'Attrition Modeling'!$N$9,0))),0))</f>
        <v>0</v>
      </c>
      <c r="BN72" s="799">
        <f>IF(BN$12=$F72+1,IF(Monthly!BJ$4=TRUE,0,BN$3),IF(BN$12&gt;$F72+1,RentalsVacates!BM72*(1-IF(BN$12-$F72&lt;=12,SUMIFS('Attrition Modeling'!$D:$D,'Attrition Modeling'!$B:$B,$E72,'Attrition Modeling'!$C:$C,BN$11),VLOOKUP(RentalsVacates!BN$12-RentalsVacates!$F72-1,RentalsVacates!$A$8:$C$162,2,FALSE)*VLOOKUP(BN$11,'Attrition Modeling'!$L$15:$N$27,IF(BN$12-$F72&lt;=24,2,3),FALSE))*(1+IF('Traditional Attrition'!BN194&gt;0,'Attrition Modeling'!$N$9,0))),0))</f>
        <v>0</v>
      </c>
      <c r="BO72" s="799">
        <f>IF(BO$12=$F72+1,IF(Monthly!BK$4=TRUE,0,BO$3),IF(BO$12&gt;$F72+1,RentalsVacates!BN72*(1-IF(BO$12-$F72&lt;=12,SUMIFS('Attrition Modeling'!$D:$D,'Attrition Modeling'!$B:$B,$E72,'Attrition Modeling'!$C:$C,BO$11),VLOOKUP(RentalsVacates!BO$12-RentalsVacates!$F72-1,RentalsVacates!$A$8:$C$162,2,FALSE)*VLOOKUP(BO$11,'Attrition Modeling'!$L$15:$N$27,IF(BO$12-$F72&lt;=24,2,3),FALSE))*(1+IF('Traditional Attrition'!BO194&gt;0,'Attrition Modeling'!$N$9,0))),0))</f>
        <v>4488.8641539911914</v>
      </c>
      <c r="BP72" s="799">
        <f>IF(BP$12=$F72+1,IF(Monthly!BL$4=TRUE,0,BP$3),IF(BP$12&gt;$F72+1,RentalsVacates!BO72*(1-IF(BP$12-$F72&lt;=12,SUMIFS('Attrition Modeling'!$D:$D,'Attrition Modeling'!$B:$B,$E72,'Attrition Modeling'!$C:$C,BP$11),VLOOKUP(RentalsVacates!BP$12-RentalsVacates!$F72-1,RentalsVacates!$A$8:$C$162,2,FALSE)*VLOOKUP(BP$11,'Attrition Modeling'!$L$15:$N$27,IF(BP$12-$F72&lt;=24,2,3),FALSE))*(1+IF('Traditional Attrition'!BP194&gt;0,'Attrition Modeling'!$N$9,0))),0))</f>
        <v>4081.2986309023922</v>
      </c>
      <c r="BQ72" s="799">
        <f>IF(BQ$12=$F72+1,IF(Monthly!BM$4=TRUE,0,BQ$3),IF(BQ$12&gt;$F72+1,RentalsVacates!BP72*(1-IF(BQ$12-$F72&lt;=12,SUMIFS('Attrition Modeling'!$D:$D,'Attrition Modeling'!$B:$B,$E72,'Attrition Modeling'!$C:$C,BQ$11),VLOOKUP(RentalsVacates!BQ$12-RentalsVacates!$F72-1,RentalsVacates!$A$8:$C$162,2,FALSE)*VLOOKUP(BQ$11,'Attrition Modeling'!$L$15:$N$27,IF(BQ$12-$F72&lt;=24,2,3),FALSE))*(1+IF('Traditional Attrition'!BQ194&gt;0,'Attrition Modeling'!$N$9,0))),0))</f>
        <v>3764.9213402191685</v>
      </c>
      <c r="BR72" s="799">
        <f>IF(BR$12=$F72+1,IF(Monthly!BN$4=TRUE,0,BR$3),IF(BR$12&gt;$F72+1,RentalsVacates!BQ72*(1-IF(BR$12-$F72&lt;=12,SUMIFS('Attrition Modeling'!$D:$D,'Attrition Modeling'!$B:$B,$E72,'Attrition Modeling'!$C:$C,BR$11),VLOOKUP(RentalsVacates!BR$12-RentalsVacates!$F72-1,RentalsVacates!$A$8:$C$162,2,FALSE)*VLOOKUP(BR$11,'Attrition Modeling'!$L$15:$N$27,IF(BR$12-$F72&lt;=24,2,3),FALSE))*(1+IF('Traditional Attrition'!BR194&gt;0,'Attrition Modeling'!$N$9,0))),0))</f>
        <v>3429.6564502443339</v>
      </c>
      <c r="BS72" s="799">
        <f>IF(BS$12=$F72+1,IF(Monthly!BO$4=TRUE,0,BS$3),IF(BS$12&gt;$F72+1,RentalsVacates!BR72*(1-IF(BS$12-$F72&lt;=12,SUMIFS('Attrition Modeling'!$D:$D,'Attrition Modeling'!$B:$B,$E72,'Attrition Modeling'!$C:$C,BS$11),VLOOKUP(RentalsVacates!BS$12-RentalsVacates!$F72-1,RentalsVacates!$A$8:$C$162,2,FALSE)*VLOOKUP(BS$11,'Attrition Modeling'!$L$15:$N$27,IF(BS$12-$F72&lt;=24,2,3),FALSE))*(1+IF('Traditional Attrition'!BS194&gt;0,'Attrition Modeling'!$N$9,0))),0))</f>
        <v>3159.7109004741983</v>
      </c>
      <c r="BT72" s="799">
        <f>IF(BT$11=$F71+1,IF(Monthly!#REF!=TRUE,0,BT$3),IF(BT$11&gt;$F71+1,RentalsVacates!BS71*(1-IF(BT$11-$F71&lt;=12,SUMIFS('Attrition Modeling'!$D:$D,'Attrition Modeling'!$B:$B,$E71,'Attrition Modeling'!$C:$C,BT$10),VLOOKUP(RentalsVacates!BT$11-RentalsVacates!$F71-1,RentalsVacates!$A$7:$C$161,2,FALSE)*VLOOKUP(BT$10,'Attrition Modeling'!$L$15:$N$27,IF(BT$11-$F71&lt;=24,2,3),FALSE))*(1+IF('Traditional Attrition'!BT194&gt;0,'Attrition Modeling'!$N$9,0))),0))</f>
        <v>0</v>
      </c>
      <c r="BU72" s="799">
        <f>IF(BU$11=$F71+1,IF(Monthly!#REF!=TRUE,0,BU$3),IF(BU$11&gt;$F71+1,RentalsVacates!BT71*(1-IF(BU$11-$F71&lt;=12,SUMIFS('Attrition Modeling'!$D:$D,'Attrition Modeling'!$B:$B,$E71,'Attrition Modeling'!$C:$C,BU$10),VLOOKUP(RentalsVacates!BU$11-RentalsVacates!$F71-1,RentalsVacates!$A$7:$C$161,2,FALSE)*VLOOKUP(BU$10,'Attrition Modeling'!$L$15:$N$27,IF(BU$11-$F71&lt;=24,2,3),FALSE))*(1+IF('Traditional Attrition'!BU194&gt;0,'Attrition Modeling'!$N$9,0))),0))</f>
        <v>0</v>
      </c>
    </row>
    <row r="73" spans="1:73" ht="14.25" customHeight="1" x14ac:dyDescent="0.2">
      <c r="A73" s="9">
        <v>65</v>
      </c>
      <c r="B73" s="25">
        <f>MAX('Attrition Modeling'!H69,$C$3)*(1-Summary!$C$20)</f>
        <v>2.0968238789616844E-2</v>
      </c>
      <c r="C73" s="24" t="e">
        <f t="shared" si="2"/>
        <v>#DIV/0!</v>
      </c>
      <c r="E73" s="11">
        <f>'Traditional Attrition'!E130</f>
        <v>12</v>
      </c>
      <c r="F73" s="11">
        <f t="shared" si="4"/>
        <v>60</v>
      </c>
      <c r="G73" s="801"/>
      <c r="H73" s="799">
        <f>IF(H$12=$F73+1,IF(Monthly!D$4=TRUE,0,H$3),IF(H$12&gt;$F73+1,RentalsVacates!G73*(1-IF(H$12-$F73&lt;=12,SUMIFS('Attrition Modeling'!$D:$D,'Attrition Modeling'!$B:$B,$E73,'Attrition Modeling'!$C:$C,H$11),VLOOKUP(RentalsVacates!H$12-RentalsVacates!$F73-1,RentalsVacates!$A$8:$C$162,2,FALSE)*VLOOKUP(H$11,'Attrition Modeling'!$L$15:$N$27,IF(H$12-$F73&lt;=24,2,3),FALSE))*(1+IF('Traditional Attrition'!H195&gt;0,'Attrition Modeling'!$N$9,0))),0))</f>
        <v>0</v>
      </c>
      <c r="I73" s="799">
        <f>IF(I$12=$F73+1,IF(Monthly!E$4=TRUE,0,I$3),IF(I$12&gt;$F73+1,RentalsVacates!H73*(1-IF(I$12-$F73&lt;=12,SUMIFS('Attrition Modeling'!$D:$D,'Attrition Modeling'!$B:$B,$E73,'Attrition Modeling'!$C:$C,I$11),VLOOKUP(RentalsVacates!I$12-RentalsVacates!$F73-1,RentalsVacates!$A$8:$C$162,2,FALSE)*VLOOKUP(I$11,'Attrition Modeling'!$L$15:$N$27,IF(I$12-$F73&lt;=24,2,3),FALSE))*(1+IF('Traditional Attrition'!I195&gt;0,'Attrition Modeling'!$N$9,0))),0))</f>
        <v>0</v>
      </c>
      <c r="J73" s="799">
        <f>IF(J$12=$F73+1,IF(Monthly!F$4=TRUE,0,J$3),IF(J$12&gt;$F73+1,RentalsVacates!I73*(1-IF(J$12-$F73&lt;=12,SUMIFS('Attrition Modeling'!$D:$D,'Attrition Modeling'!$B:$B,$E73,'Attrition Modeling'!$C:$C,J$11),VLOOKUP(RentalsVacates!J$12-RentalsVacates!$F73-1,RentalsVacates!$A$8:$C$162,2,FALSE)*VLOOKUP(J$11,'Attrition Modeling'!$L$15:$N$27,IF(J$12-$F73&lt;=24,2,3),FALSE))*(1+IF('Traditional Attrition'!J195&gt;0,'Attrition Modeling'!$N$9,0))),0))</f>
        <v>0</v>
      </c>
      <c r="K73" s="799">
        <f>IF(K$12=$F73+1,IF(Monthly!G$4=TRUE,0,K$3),IF(K$12&gt;$F73+1,RentalsVacates!J73*(1-IF(K$12-$F73&lt;=12,SUMIFS('Attrition Modeling'!$D:$D,'Attrition Modeling'!$B:$B,$E73,'Attrition Modeling'!$C:$C,K$11),VLOOKUP(RentalsVacates!K$12-RentalsVacates!$F73-1,RentalsVacates!$A$8:$C$162,2,FALSE)*VLOOKUP(K$11,'Attrition Modeling'!$L$15:$N$27,IF(K$12-$F73&lt;=24,2,3),FALSE))*(1+IF('Traditional Attrition'!K195&gt;0,'Attrition Modeling'!$N$9,0))),0))</f>
        <v>0</v>
      </c>
      <c r="L73" s="799">
        <f>IF(L$12=$F73+1,IF(Monthly!H$4=TRUE,0,L$3),IF(L$12&gt;$F73+1,RentalsVacates!K73*(1-IF(L$12-$F73&lt;=12,SUMIFS('Attrition Modeling'!$D:$D,'Attrition Modeling'!$B:$B,$E73,'Attrition Modeling'!$C:$C,L$11),VLOOKUP(RentalsVacates!L$12-RentalsVacates!$F73-1,RentalsVacates!$A$8:$C$162,2,FALSE)*VLOOKUP(L$11,'Attrition Modeling'!$L$15:$N$27,IF(L$12-$F73&lt;=24,2,3),FALSE))*(1+IF('Traditional Attrition'!L195&gt;0,'Attrition Modeling'!$N$9,0))),0))</f>
        <v>0</v>
      </c>
      <c r="M73" s="799">
        <f>IF(M$12=$F73+1,IF(Monthly!I$4=TRUE,0,M$3),IF(M$12&gt;$F73+1,RentalsVacates!L73*(1-IF(M$12-$F73&lt;=12,SUMIFS('Attrition Modeling'!$D:$D,'Attrition Modeling'!$B:$B,$E73,'Attrition Modeling'!$C:$C,M$11),VLOOKUP(RentalsVacates!M$12-RentalsVacates!$F73-1,RentalsVacates!$A$8:$C$162,2,FALSE)*VLOOKUP(M$11,'Attrition Modeling'!$L$15:$N$27,IF(M$12-$F73&lt;=24,2,3),FALSE))*(1+IF('Traditional Attrition'!M195&gt;0,'Attrition Modeling'!$N$9,0))),0))</f>
        <v>0</v>
      </c>
      <c r="N73" s="799">
        <f>IF(N$12=$F73+1,IF(Monthly!J$4=TRUE,0,N$3),IF(N$12&gt;$F73+1,RentalsVacates!M73*(1-IF(N$12-$F73&lt;=12,SUMIFS('Attrition Modeling'!$D:$D,'Attrition Modeling'!$B:$B,$E73,'Attrition Modeling'!$C:$C,N$11),VLOOKUP(RentalsVacates!N$12-RentalsVacates!$F73-1,RentalsVacates!$A$8:$C$162,2,FALSE)*VLOOKUP(N$11,'Attrition Modeling'!$L$15:$N$27,IF(N$12-$F73&lt;=24,2,3),FALSE))*(1+IF('Traditional Attrition'!N195&gt;0,'Attrition Modeling'!$N$9,0))),0))</f>
        <v>0</v>
      </c>
      <c r="O73" s="799">
        <f>IF(O$12=$F73+1,IF(Monthly!K$4=TRUE,0,O$3),IF(O$12&gt;$F73+1,RentalsVacates!N73*(1-IF(O$12-$F73&lt;=12,SUMIFS('Attrition Modeling'!$D:$D,'Attrition Modeling'!$B:$B,$E73,'Attrition Modeling'!$C:$C,O$11),VLOOKUP(RentalsVacates!O$12-RentalsVacates!$F73-1,RentalsVacates!$A$8:$C$162,2,FALSE)*VLOOKUP(O$11,'Attrition Modeling'!$L$15:$N$27,IF(O$12-$F73&lt;=24,2,3),FALSE))*(1+IF('Traditional Attrition'!O195&gt;0,'Attrition Modeling'!$N$9,0))),0))</f>
        <v>0</v>
      </c>
      <c r="P73" s="799">
        <f>IF(P$12=$F73+1,IF(Monthly!L$4=TRUE,0,P$3),IF(P$12&gt;$F73+1,RentalsVacates!O73*(1-IF(P$12-$F73&lt;=12,SUMIFS('Attrition Modeling'!$D:$D,'Attrition Modeling'!$B:$B,$E73,'Attrition Modeling'!$C:$C,P$11),VLOOKUP(RentalsVacates!P$12-RentalsVacates!$F73-1,RentalsVacates!$A$8:$C$162,2,FALSE)*VLOOKUP(P$11,'Attrition Modeling'!$L$15:$N$27,IF(P$12-$F73&lt;=24,2,3),FALSE))*(1+IF('Traditional Attrition'!P195&gt;0,'Attrition Modeling'!$N$9,0))),0))</f>
        <v>0</v>
      </c>
      <c r="Q73" s="799">
        <f>IF(Q$12=$F73+1,IF(Monthly!M$4=TRUE,0,Q$3),IF(Q$12&gt;$F73+1,RentalsVacates!P73*(1-IF(Q$12-$F73&lt;=12,SUMIFS('Attrition Modeling'!$D:$D,'Attrition Modeling'!$B:$B,$E73,'Attrition Modeling'!$C:$C,Q$11),VLOOKUP(RentalsVacates!Q$12-RentalsVacates!$F73-1,RentalsVacates!$A$8:$C$162,2,FALSE)*VLOOKUP(Q$11,'Attrition Modeling'!$L$15:$N$27,IF(Q$12-$F73&lt;=24,2,3),FALSE))*(1+IF('Traditional Attrition'!Q195&gt;0,'Attrition Modeling'!$N$9,0))),0))</f>
        <v>0</v>
      </c>
      <c r="R73" s="799">
        <f>IF(R$12=$F73+1,IF(Monthly!N$4=TRUE,0,R$3),IF(R$12&gt;$F73+1,RentalsVacates!Q73*(1-IF(R$12-$F73&lt;=12,SUMIFS('Attrition Modeling'!$D:$D,'Attrition Modeling'!$B:$B,$E73,'Attrition Modeling'!$C:$C,R$11),VLOOKUP(RentalsVacates!R$12-RentalsVacates!$F73-1,RentalsVacates!$A$8:$C$162,2,FALSE)*VLOOKUP(R$11,'Attrition Modeling'!$L$15:$N$27,IF(R$12-$F73&lt;=24,2,3),FALSE))*(1+IF('Traditional Attrition'!R195&gt;0,'Attrition Modeling'!$N$9,0))),0))</f>
        <v>0</v>
      </c>
      <c r="S73" s="799">
        <f>IF(S$12=$F73+1,IF(Monthly!O$4=TRUE,0,S$3),IF(S$12&gt;$F73+1,RentalsVacates!R73*(1-IF(S$12-$F73&lt;=12,SUMIFS('Attrition Modeling'!$D:$D,'Attrition Modeling'!$B:$B,$E73,'Attrition Modeling'!$C:$C,S$11),VLOOKUP(RentalsVacates!S$12-RentalsVacates!$F73-1,RentalsVacates!$A$8:$C$162,2,FALSE)*VLOOKUP(S$11,'Attrition Modeling'!$L$15:$N$27,IF(S$12-$F73&lt;=24,2,3),FALSE))*(1+IF('Traditional Attrition'!S195&gt;0,'Attrition Modeling'!$N$9,0))),0))</f>
        <v>0</v>
      </c>
      <c r="T73" s="799">
        <f>IF(T$12=$F73+1,IF(Monthly!P$4=TRUE,0,T$3),IF(T$12&gt;$F73+1,RentalsVacates!S73*(1-IF(T$12-$F73&lt;=12,SUMIFS('Attrition Modeling'!$D:$D,'Attrition Modeling'!$B:$B,$E73,'Attrition Modeling'!$C:$C,T$11),VLOOKUP(RentalsVacates!T$12-RentalsVacates!$F73-1,RentalsVacates!$A$8:$C$162,2,FALSE)*VLOOKUP(T$11,'Attrition Modeling'!$L$15:$N$27,IF(T$12-$F73&lt;=24,2,3),FALSE))*(1+IF('Traditional Attrition'!T195&gt;0,'Attrition Modeling'!$N$9,0))),0))</f>
        <v>0</v>
      </c>
      <c r="U73" s="799">
        <f>IF(U$12=$F73+1,IF(Monthly!Q$4=TRUE,0,U$3),IF(U$12&gt;$F73+1,RentalsVacates!T73*(1-IF(U$12-$F73&lt;=12,SUMIFS('Attrition Modeling'!$D:$D,'Attrition Modeling'!$B:$B,$E73,'Attrition Modeling'!$C:$C,U$11),VLOOKUP(RentalsVacates!U$12-RentalsVacates!$F73-1,RentalsVacates!$A$8:$C$162,2,FALSE)*VLOOKUP(U$11,'Attrition Modeling'!$L$15:$N$27,IF(U$12-$F73&lt;=24,2,3),FALSE))*(1+IF('Traditional Attrition'!U195&gt;0,'Attrition Modeling'!$N$9,0))),0))</f>
        <v>0</v>
      </c>
      <c r="V73" s="799">
        <f>IF(V$12=$F73+1,IF(Monthly!R$4=TRUE,0,V$3),IF(V$12&gt;$F73+1,RentalsVacates!U73*(1-IF(V$12-$F73&lt;=12,SUMIFS('Attrition Modeling'!$D:$D,'Attrition Modeling'!$B:$B,$E73,'Attrition Modeling'!$C:$C,V$11),VLOOKUP(RentalsVacates!V$12-RentalsVacates!$F73-1,RentalsVacates!$A$8:$C$162,2,FALSE)*VLOOKUP(V$11,'Attrition Modeling'!$L$15:$N$27,IF(V$12-$F73&lt;=24,2,3),FALSE))*(1+IF('Traditional Attrition'!V195&gt;0,'Attrition Modeling'!$N$9,0))),0))</f>
        <v>0</v>
      </c>
      <c r="W73" s="799">
        <f>IF(W$12=$F73+1,IF(Monthly!S$4=TRUE,0,W$3),IF(W$12&gt;$F73+1,RentalsVacates!V73*(1-IF(W$12-$F73&lt;=12,SUMIFS('Attrition Modeling'!$D:$D,'Attrition Modeling'!$B:$B,$E73,'Attrition Modeling'!$C:$C,W$11),VLOOKUP(RentalsVacates!W$12-RentalsVacates!$F73-1,RentalsVacates!$A$8:$C$162,2,FALSE)*VLOOKUP(W$11,'Attrition Modeling'!$L$15:$N$27,IF(W$12-$F73&lt;=24,2,3),FALSE))*(1+IF('Traditional Attrition'!W195&gt;0,'Attrition Modeling'!$N$9,0))),0))</f>
        <v>0</v>
      </c>
      <c r="X73" s="799">
        <f>IF(X$12=$F73+1,IF(Monthly!T$4=TRUE,0,X$3),IF(X$12&gt;$F73+1,RentalsVacates!W73*(1-IF(X$12-$F73&lt;=12,SUMIFS('Attrition Modeling'!$D:$D,'Attrition Modeling'!$B:$B,$E73,'Attrition Modeling'!$C:$C,X$11),VLOOKUP(RentalsVacates!X$12-RentalsVacates!$F73-1,RentalsVacates!$A$8:$C$162,2,FALSE)*VLOOKUP(X$11,'Attrition Modeling'!$L$15:$N$27,IF(X$12-$F73&lt;=24,2,3),FALSE))*(1+IF('Traditional Attrition'!X195&gt;0,'Attrition Modeling'!$N$9,0))),0))</f>
        <v>0</v>
      </c>
      <c r="Y73" s="799">
        <f>IF(Y$12=$F73+1,IF(Monthly!U$4=TRUE,0,Y$3),IF(Y$12&gt;$F73+1,RentalsVacates!X73*(1-IF(Y$12-$F73&lt;=12,SUMIFS('Attrition Modeling'!$D:$D,'Attrition Modeling'!$B:$B,$E73,'Attrition Modeling'!$C:$C,Y$11),VLOOKUP(RentalsVacates!Y$12-RentalsVacates!$F73-1,RentalsVacates!$A$8:$C$162,2,FALSE)*VLOOKUP(Y$11,'Attrition Modeling'!$L$15:$N$27,IF(Y$12-$F73&lt;=24,2,3),FALSE))*(1+IF('Traditional Attrition'!Y195&gt;0,'Attrition Modeling'!$N$9,0))),0))</f>
        <v>0</v>
      </c>
      <c r="Z73" s="799">
        <f>IF(Z$12=$F73+1,IF(Monthly!V$4=TRUE,0,Z$3),IF(Z$12&gt;$F73+1,RentalsVacates!Y73*(1-IF(Z$12-$F73&lt;=12,SUMIFS('Attrition Modeling'!$D:$D,'Attrition Modeling'!$B:$B,$E73,'Attrition Modeling'!$C:$C,Z$11),VLOOKUP(RentalsVacates!Z$12-RentalsVacates!$F73-1,RentalsVacates!$A$8:$C$162,2,FALSE)*VLOOKUP(Z$11,'Attrition Modeling'!$L$15:$N$27,IF(Z$12-$F73&lt;=24,2,3),FALSE))*(1+IF('Traditional Attrition'!Z195&gt;0,'Attrition Modeling'!$N$9,0))),0))</f>
        <v>0</v>
      </c>
      <c r="AA73" s="799">
        <f>IF(AA$12=$F73+1,IF(Monthly!W$4=TRUE,0,AA$3),IF(AA$12&gt;$F73+1,RentalsVacates!Z73*(1-IF(AA$12-$F73&lt;=12,SUMIFS('Attrition Modeling'!$D:$D,'Attrition Modeling'!$B:$B,$E73,'Attrition Modeling'!$C:$C,AA$11),VLOOKUP(RentalsVacates!AA$12-RentalsVacates!$F73-1,RentalsVacates!$A$8:$C$162,2,FALSE)*VLOOKUP(AA$11,'Attrition Modeling'!$L$15:$N$27,IF(AA$12-$F73&lt;=24,2,3),FALSE))*(1+IF('Traditional Attrition'!AA195&gt;0,'Attrition Modeling'!$N$9,0))),0))</f>
        <v>0</v>
      </c>
      <c r="AB73" s="799">
        <f>IF(AB$12=$F73+1,IF(Monthly!X$4=TRUE,0,AB$3),IF(AB$12&gt;$F73+1,RentalsVacates!AA73*(1-IF(AB$12-$F73&lt;=12,SUMIFS('Attrition Modeling'!$D:$D,'Attrition Modeling'!$B:$B,$E73,'Attrition Modeling'!$C:$C,AB$11),VLOOKUP(RentalsVacates!AB$12-RentalsVacates!$F73-1,RentalsVacates!$A$8:$C$162,2,FALSE)*VLOOKUP(AB$11,'Attrition Modeling'!$L$15:$N$27,IF(AB$12-$F73&lt;=24,2,3),FALSE))*(1+IF('Traditional Attrition'!AB195&gt;0,'Attrition Modeling'!$N$9,0))),0))</f>
        <v>0</v>
      </c>
      <c r="AC73" s="799">
        <f>IF(AC$12=$F73+1,IF(Monthly!Y$4=TRUE,0,AC$3),IF(AC$12&gt;$F73+1,RentalsVacates!AB73*(1-IF(AC$12-$F73&lt;=12,SUMIFS('Attrition Modeling'!$D:$D,'Attrition Modeling'!$B:$B,$E73,'Attrition Modeling'!$C:$C,AC$11),VLOOKUP(RentalsVacates!AC$12-RentalsVacates!$F73-1,RentalsVacates!$A$8:$C$162,2,FALSE)*VLOOKUP(AC$11,'Attrition Modeling'!$L$15:$N$27,IF(AC$12-$F73&lt;=24,2,3),FALSE))*(1+IF('Traditional Attrition'!AC195&gt;0,'Attrition Modeling'!$N$9,0))),0))</f>
        <v>0</v>
      </c>
      <c r="AD73" s="799">
        <f>IF(AD$12=$F73+1,IF(Monthly!Z$4=TRUE,0,AD$3),IF(AD$12&gt;$F73+1,RentalsVacates!AC73*(1-IF(AD$12-$F73&lt;=12,SUMIFS('Attrition Modeling'!$D:$D,'Attrition Modeling'!$B:$B,$E73,'Attrition Modeling'!$C:$C,AD$11),VLOOKUP(RentalsVacates!AD$12-RentalsVacates!$F73-1,RentalsVacates!$A$8:$C$162,2,FALSE)*VLOOKUP(AD$11,'Attrition Modeling'!$L$15:$N$27,IF(AD$12-$F73&lt;=24,2,3),FALSE))*(1+IF('Traditional Attrition'!AD195&gt;0,'Attrition Modeling'!$N$9,0))),0))</f>
        <v>0</v>
      </c>
      <c r="AE73" s="799">
        <f>IF(AE$12=$F73+1,IF(Monthly!AA$4=TRUE,0,AE$3),IF(AE$12&gt;$F73+1,RentalsVacates!AD73*(1-IF(AE$12-$F73&lt;=12,SUMIFS('Attrition Modeling'!$D:$D,'Attrition Modeling'!$B:$B,$E73,'Attrition Modeling'!$C:$C,AE$11),VLOOKUP(RentalsVacates!AE$12-RentalsVacates!$F73-1,RentalsVacates!$A$8:$C$162,2,FALSE)*VLOOKUP(AE$11,'Attrition Modeling'!$L$15:$N$27,IF(AE$12-$F73&lt;=24,2,3),FALSE))*(1+IF('Traditional Attrition'!AE195&gt;0,'Attrition Modeling'!$N$9,0))),0))</f>
        <v>0</v>
      </c>
      <c r="AF73" s="799">
        <f>IF(AF$12=$F73+1,IF(Monthly!AB$4=TRUE,0,AF$3),IF(AF$12&gt;$F73+1,RentalsVacates!AE73*(1-IF(AF$12-$F73&lt;=12,SUMIFS('Attrition Modeling'!$D:$D,'Attrition Modeling'!$B:$B,$E73,'Attrition Modeling'!$C:$C,AF$11),VLOOKUP(RentalsVacates!AF$12-RentalsVacates!$F73-1,RentalsVacates!$A$8:$C$162,2,FALSE)*VLOOKUP(AF$11,'Attrition Modeling'!$L$15:$N$27,IF(AF$12-$F73&lt;=24,2,3),FALSE))*(1+IF('Traditional Attrition'!AF195&gt;0,'Attrition Modeling'!$N$9,0))),0))</f>
        <v>0</v>
      </c>
      <c r="AG73" s="799">
        <f>IF(AG$12=$F73+1,IF(Monthly!AC$4=TRUE,0,AG$3),IF(AG$12&gt;$F73+1,RentalsVacates!AF73*(1-IF(AG$12-$F73&lt;=12,SUMIFS('Attrition Modeling'!$D:$D,'Attrition Modeling'!$B:$B,$E73,'Attrition Modeling'!$C:$C,AG$11),VLOOKUP(RentalsVacates!AG$12-RentalsVacates!$F73-1,RentalsVacates!$A$8:$C$162,2,FALSE)*VLOOKUP(AG$11,'Attrition Modeling'!$L$15:$N$27,IF(AG$12-$F73&lt;=24,2,3),FALSE))*(1+IF('Traditional Attrition'!AG195&gt;0,'Attrition Modeling'!$N$9,0))),0))</f>
        <v>0</v>
      </c>
      <c r="AH73" s="799">
        <f>IF(AH$12=$F73+1,IF(Monthly!AD$4=TRUE,0,AH$3),IF(AH$12&gt;$F73+1,RentalsVacates!AG73*(1-IF(AH$12-$F73&lt;=12,SUMIFS('Attrition Modeling'!$D:$D,'Attrition Modeling'!$B:$B,$E73,'Attrition Modeling'!$C:$C,AH$11),VLOOKUP(RentalsVacates!AH$12-RentalsVacates!$F73-1,RentalsVacates!$A$8:$C$162,2,FALSE)*VLOOKUP(AH$11,'Attrition Modeling'!$L$15:$N$27,IF(AH$12-$F73&lt;=24,2,3),FALSE))*(1+IF('Traditional Attrition'!AH195&gt;0,'Attrition Modeling'!$N$9,0))),0))</f>
        <v>0</v>
      </c>
      <c r="AI73" s="799">
        <f>IF(AI$12=$F73+1,IF(Monthly!AE$4=TRUE,0,AI$3),IF(AI$12&gt;$F73+1,RentalsVacates!AH73*(1-IF(AI$12-$F73&lt;=12,SUMIFS('Attrition Modeling'!$D:$D,'Attrition Modeling'!$B:$B,$E73,'Attrition Modeling'!$C:$C,AI$11),VLOOKUP(RentalsVacates!AI$12-RentalsVacates!$F73-1,RentalsVacates!$A$8:$C$162,2,FALSE)*VLOOKUP(AI$11,'Attrition Modeling'!$L$15:$N$27,IF(AI$12-$F73&lt;=24,2,3),FALSE))*(1+IF('Traditional Attrition'!AI195&gt;0,'Attrition Modeling'!$N$9,0))),0))</f>
        <v>0</v>
      </c>
      <c r="AJ73" s="799">
        <f>IF(AJ$12=$F73+1,IF(Monthly!AF$4=TRUE,0,AJ$3),IF(AJ$12&gt;$F73+1,RentalsVacates!AI73*(1-IF(AJ$12-$F73&lt;=12,SUMIFS('Attrition Modeling'!$D:$D,'Attrition Modeling'!$B:$B,$E73,'Attrition Modeling'!$C:$C,AJ$11),VLOOKUP(RentalsVacates!AJ$12-RentalsVacates!$F73-1,RentalsVacates!$A$8:$C$162,2,FALSE)*VLOOKUP(AJ$11,'Attrition Modeling'!$L$15:$N$27,IF(AJ$12-$F73&lt;=24,2,3),FALSE))*(1+IF('Traditional Attrition'!AJ195&gt;0,'Attrition Modeling'!$N$9,0))),0))</f>
        <v>0</v>
      </c>
      <c r="AK73" s="799">
        <f>IF(AK$12=$F73+1,IF(Monthly!AG$4=TRUE,0,AK$3),IF(AK$12&gt;$F73+1,RentalsVacates!AJ73*(1-IF(AK$12-$F73&lt;=12,SUMIFS('Attrition Modeling'!$D:$D,'Attrition Modeling'!$B:$B,$E73,'Attrition Modeling'!$C:$C,AK$11),VLOOKUP(RentalsVacates!AK$12-RentalsVacates!$F73-1,RentalsVacates!$A$8:$C$162,2,FALSE)*VLOOKUP(AK$11,'Attrition Modeling'!$L$15:$N$27,IF(AK$12-$F73&lt;=24,2,3),FALSE))*(1+IF('Traditional Attrition'!AK195&gt;0,'Attrition Modeling'!$N$9,0))),0))</f>
        <v>0</v>
      </c>
      <c r="AL73" s="799">
        <f>IF(AL$12=$F73+1,IF(Monthly!AH$4=TRUE,0,AL$3),IF(AL$12&gt;$F73+1,RentalsVacates!AK73*(1-IF(AL$12-$F73&lt;=12,SUMIFS('Attrition Modeling'!$D:$D,'Attrition Modeling'!$B:$B,$E73,'Attrition Modeling'!$C:$C,AL$11),VLOOKUP(RentalsVacates!AL$12-RentalsVacates!$F73-1,RentalsVacates!$A$8:$C$162,2,FALSE)*VLOOKUP(AL$11,'Attrition Modeling'!$L$15:$N$27,IF(AL$12-$F73&lt;=24,2,3),FALSE))*(1+IF('Traditional Attrition'!AL195&gt;0,'Attrition Modeling'!$N$9,0))),0))</f>
        <v>0</v>
      </c>
      <c r="AM73" s="799">
        <f>IF(AM$12=$F73+1,IF(Monthly!AI$4=TRUE,0,AM$3),IF(AM$12&gt;$F73+1,RentalsVacates!AL73*(1-IF(AM$12-$F73&lt;=12,SUMIFS('Attrition Modeling'!$D:$D,'Attrition Modeling'!$B:$B,$E73,'Attrition Modeling'!$C:$C,AM$11),VLOOKUP(RentalsVacates!AM$12-RentalsVacates!$F73-1,RentalsVacates!$A$8:$C$162,2,FALSE)*VLOOKUP(AM$11,'Attrition Modeling'!$L$15:$N$27,IF(AM$12-$F73&lt;=24,2,3),FALSE))*(1+IF('Traditional Attrition'!AM195&gt;0,'Attrition Modeling'!$N$9,0))),0))</f>
        <v>0</v>
      </c>
      <c r="AN73" s="799">
        <f>IF(AN$12=$F73+1,IF(Monthly!AJ$4=TRUE,0,AN$3),IF(AN$12&gt;$F73+1,RentalsVacates!AM73*(1-IF(AN$12-$F73&lt;=12,SUMIFS('Attrition Modeling'!$D:$D,'Attrition Modeling'!$B:$B,$E73,'Attrition Modeling'!$C:$C,AN$11),VLOOKUP(RentalsVacates!AN$12-RentalsVacates!$F73-1,RentalsVacates!$A$8:$C$162,2,FALSE)*VLOOKUP(AN$11,'Attrition Modeling'!$L$15:$N$27,IF(AN$12-$F73&lt;=24,2,3),FALSE))*(1+IF('Traditional Attrition'!AN195&gt;0,'Attrition Modeling'!$N$9,0))),0))</f>
        <v>0</v>
      </c>
      <c r="AO73" s="799">
        <f>IF(AO$12=$F73+1,IF(Monthly!AK$4=TRUE,0,AO$3),IF(AO$12&gt;$F73+1,RentalsVacates!AN73*(1-IF(AO$12-$F73&lt;=12,SUMIFS('Attrition Modeling'!$D:$D,'Attrition Modeling'!$B:$B,$E73,'Attrition Modeling'!$C:$C,AO$11),VLOOKUP(RentalsVacates!AO$12-RentalsVacates!$F73-1,RentalsVacates!$A$8:$C$162,2,FALSE)*VLOOKUP(AO$11,'Attrition Modeling'!$L$15:$N$27,IF(AO$12-$F73&lt;=24,2,3),FALSE))*(1+IF('Traditional Attrition'!AO195&gt;0,'Attrition Modeling'!$N$9,0))),0))</f>
        <v>0</v>
      </c>
      <c r="AP73" s="799">
        <f>IF(AP$12=$F73+1,IF(Monthly!AL$4=TRUE,0,AP$3),IF(AP$12&gt;$F73+1,RentalsVacates!AO73*(1-IF(AP$12-$F73&lt;=12,SUMIFS('Attrition Modeling'!$D:$D,'Attrition Modeling'!$B:$B,$E73,'Attrition Modeling'!$C:$C,AP$11),VLOOKUP(RentalsVacates!AP$12-RentalsVacates!$F73-1,RentalsVacates!$A$8:$C$162,2,FALSE)*VLOOKUP(AP$11,'Attrition Modeling'!$L$15:$N$27,IF(AP$12-$F73&lt;=24,2,3),FALSE))*(1+IF('Traditional Attrition'!AP195&gt;0,'Attrition Modeling'!$N$9,0))),0))</f>
        <v>0</v>
      </c>
      <c r="AQ73" s="799">
        <f>IF(AQ$12=$F73+1,IF(Monthly!AM$4=TRUE,0,AQ$3),IF(AQ$12&gt;$F73+1,RentalsVacates!AP73*(1-IF(AQ$12-$F73&lt;=12,SUMIFS('Attrition Modeling'!$D:$D,'Attrition Modeling'!$B:$B,$E73,'Attrition Modeling'!$C:$C,AQ$11),VLOOKUP(RentalsVacates!AQ$12-RentalsVacates!$F73-1,RentalsVacates!$A$8:$C$162,2,FALSE)*VLOOKUP(AQ$11,'Attrition Modeling'!$L$15:$N$27,IF(AQ$12-$F73&lt;=24,2,3),FALSE))*(1+IF('Traditional Attrition'!AQ195&gt;0,'Attrition Modeling'!$N$9,0))),0))</f>
        <v>0</v>
      </c>
      <c r="AR73" s="799">
        <f>IF(AR$12=$F73+1,IF(Monthly!AN$4=TRUE,0,AR$3),IF(AR$12&gt;$F73+1,RentalsVacates!AQ73*(1-IF(AR$12-$F73&lt;=12,SUMIFS('Attrition Modeling'!$D:$D,'Attrition Modeling'!$B:$B,$E73,'Attrition Modeling'!$C:$C,AR$11),VLOOKUP(RentalsVacates!AR$12-RentalsVacates!$F73-1,RentalsVacates!$A$8:$C$162,2,FALSE)*VLOOKUP(AR$11,'Attrition Modeling'!$L$15:$N$27,IF(AR$12-$F73&lt;=24,2,3),FALSE))*(1+IF('Traditional Attrition'!AR195&gt;0,'Attrition Modeling'!$N$9,0))),0))</f>
        <v>0</v>
      </c>
      <c r="AS73" s="799">
        <f>IF(AS$12=$F73+1,IF(Monthly!AO$4=TRUE,0,AS$3),IF(AS$12&gt;$F73+1,RentalsVacates!AR73*(1-IF(AS$12-$F73&lt;=12,SUMIFS('Attrition Modeling'!$D:$D,'Attrition Modeling'!$B:$B,$E73,'Attrition Modeling'!$C:$C,AS$11),VLOOKUP(RentalsVacates!AS$12-RentalsVacates!$F73-1,RentalsVacates!$A$8:$C$162,2,FALSE)*VLOOKUP(AS$11,'Attrition Modeling'!$L$15:$N$27,IF(AS$12-$F73&lt;=24,2,3),FALSE))*(1+IF('Traditional Attrition'!AS195&gt;0,'Attrition Modeling'!$N$9,0))),0))</f>
        <v>0</v>
      </c>
      <c r="AT73" s="799">
        <f>IF(AT$12=$F73+1,IF(Monthly!AP$4=TRUE,0,AT$3),IF(AT$12&gt;$F73+1,RentalsVacates!AS73*(1-IF(AT$12-$F73&lt;=12,SUMIFS('Attrition Modeling'!$D:$D,'Attrition Modeling'!$B:$B,$E73,'Attrition Modeling'!$C:$C,AT$11),VLOOKUP(RentalsVacates!AT$12-RentalsVacates!$F73-1,RentalsVacates!$A$8:$C$162,2,FALSE)*VLOOKUP(AT$11,'Attrition Modeling'!$L$15:$N$27,IF(AT$12-$F73&lt;=24,2,3),FALSE))*(1+IF('Traditional Attrition'!AT195&gt;0,'Attrition Modeling'!$N$9,0))),0))</f>
        <v>0</v>
      </c>
      <c r="AU73" s="799">
        <f>IF(AU$12=$F73+1,IF(Monthly!AQ$4=TRUE,0,AU$3),IF(AU$12&gt;$F73+1,RentalsVacates!AT73*(1-IF(AU$12-$F73&lt;=12,SUMIFS('Attrition Modeling'!$D:$D,'Attrition Modeling'!$B:$B,$E73,'Attrition Modeling'!$C:$C,AU$11),VLOOKUP(RentalsVacates!AU$12-RentalsVacates!$F73-1,RentalsVacates!$A$8:$C$162,2,FALSE)*VLOOKUP(AU$11,'Attrition Modeling'!$L$15:$N$27,IF(AU$12-$F73&lt;=24,2,3),FALSE))*(1+IF('Traditional Attrition'!AU195&gt;0,'Attrition Modeling'!$N$9,0))),0))</f>
        <v>0</v>
      </c>
      <c r="AV73" s="799">
        <f>IF(AV$12=$F73+1,IF(Monthly!AR$4=TRUE,0,AV$3),IF(AV$12&gt;$F73+1,RentalsVacates!AU73*(1-IF(AV$12-$F73&lt;=12,SUMIFS('Attrition Modeling'!$D:$D,'Attrition Modeling'!$B:$B,$E73,'Attrition Modeling'!$C:$C,AV$11),VLOOKUP(RentalsVacates!AV$12-RentalsVacates!$F73-1,RentalsVacates!$A$8:$C$162,2,FALSE)*VLOOKUP(AV$11,'Attrition Modeling'!$L$15:$N$27,IF(AV$12-$F73&lt;=24,2,3),FALSE))*(1+IF('Traditional Attrition'!AV195&gt;0,'Attrition Modeling'!$N$9,0))),0))</f>
        <v>0</v>
      </c>
      <c r="AW73" s="799">
        <f>IF(AW$12=$F73+1,IF(Monthly!AS$4=TRUE,0,AW$3),IF(AW$12&gt;$F73+1,RentalsVacates!AV73*(1-IF(AW$12-$F73&lt;=12,SUMIFS('Attrition Modeling'!$D:$D,'Attrition Modeling'!$B:$B,$E73,'Attrition Modeling'!$C:$C,AW$11),VLOOKUP(RentalsVacates!AW$12-RentalsVacates!$F73-1,RentalsVacates!$A$8:$C$162,2,FALSE)*VLOOKUP(AW$11,'Attrition Modeling'!$L$15:$N$27,IF(AW$12-$F73&lt;=24,2,3),FALSE))*(1+IF('Traditional Attrition'!AW195&gt;0,'Attrition Modeling'!$N$9,0))),0))</f>
        <v>0</v>
      </c>
      <c r="AX73" s="799">
        <f>IF(AX$12=$F73+1,IF(Monthly!AT$4=TRUE,0,AX$3),IF(AX$12&gt;$F73+1,RentalsVacates!AW73*(1-IF(AX$12-$F73&lt;=12,SUMIFS('Attrition Modeling'!$D:$D,'Attrition Modeling'!$B:$B,$E73,'Attrition Modeling'!$C:$C,AX$11),VLOOKUP(RentalsVacates!AX$12-RentalsVacates!$F73-1,RentalsVacates!$A$8:$C$162,2,FALSE)*VLOOKUP(AX$11,'Attrition Modeling'!$L$15:$N$27,IF(AX$12-$F73&lt;=24,2,3),FALSE))*(1+IF('Traditional Attrition'!AX195&gt;0,'Attrition Modeling'!$N$9,0))),0))</f>
        <v>0</v>
      </c>
      <c r="AY73" s="799">
        <f>IF(AY$12=$F73+1,IF(Monthly!AU$4=TRUE,0,AY$3),IF(AY$12&gt;$F73+1,RentalsVacates!AX73*(1-IF(AY$12-$F73&lt;=12,SUMIFS('Attrition Modeling'!$D:$D,'Attrition Modeling'!$B:$B,$E73,'Attrition Modeling'!$C:$C,AY$11),VLOOKUP(RentalsVacates!AY$12-RentalsVacates!$F73-1,RentalsVacates!$A$8:$C$162,2,FALSE)*VLOOKUP(AY$11,'Attrition Modeling'!$L$15:$N$27,IF(AY$12-$F73&lt;=24,2,3),FALSE))*(1+IF('Traditional Attrition'!AY195&gt;0,'Attrition Modeling'!$N$9,0))),0))</f>
        <v>0</v>
      </c>
      <c r="AZ73" s="799">
        <f>IF(AZ$12=$F73+1,IF(Monthly!AV$4=TRUE,0,AZ$3),IF(AZ$12&gt;$F73+1,RentalsVacates!AY73*(1-IF(AZ$12-$F73&lt;=12,SUMIFS('Attrition Modeling'!$D:$D,'Attrition Modeling'!$B:$B,$E73,'Attrition Modeling'!$C:$C,AZ$11),VLOOKUP(RentalsVacates!AZ$12-RentalsVacates!$F73-1,RentalsVacates!$A$8:$C$162,2,FALSE)*VLOOKUP(AZ$11,'Attrition Modeling'!$L$15:$N$27,IF(AZ$12-$F73&lt;=24,2,3),FALSE))*(1+IF('Traditional Attrition'!AZ195&gt;0,'Attrition Modeling'!$N$9,0))),0))</f>
        <v>0</v>
      </c>
      <c r="BA73" s="799">
        <f>IF(BA$12=$F73+1,IF(Monthly!AW$4=TRUE,0,BA$3),IF(BA$12&gt;$F73+1,RentalsVacates!AZ73*(1-IF(BA$12-$F73&lt;=12,SUMIFS('Attrition Modeling'!$D:$D,'Attrition Modeling'!$B:$B,$E73,'Attrition Modeling'!$C:$C,BA$11),VLOOKUP(RentalsVacates!BA$12-RentalsVacates!$F73-1,RentalsVacates!$A$8:$C$162,2,FALSE)*VLOOKUP(BA$11,'Attrition Modeling'!$L$15:$N$27,IF(BA$12-$F73&lt;=24,2,3),FALSE))*(1+IF('Traditional Attrition'!BA195&gt;0,'Attrition Modeling'!$N$9,0))),0))</f>
        <v>0</v>
      </c>
      <c r="BB73" s="799">
        <f>IF(BB$12=$F73+1,IF(Monthly!AX$4=TRUE,0,BB$3),IF(BB$12&gt;$F73+1,RentalsVacates!BA73*(1-IF(BB$12-$F73&lt;=12,SUMIFS('Attrition Modeling'!$D:$D,'Attrition Modeling'!$B:$B,$E73,'Attrition Modeling'!$C:$C,BB$11),VLOOKUP(RentalsVacates!BB$12-RentalsVacates!$F73-1,RentalsVacates!$A$8:$C$162,2,FALSE)*VLOOKUP(BB$11,'Attrition Modeling'!$L$15:$N$27,IF(BB$12-$F73&lt;=24,2,3),FALSE))*(1+IF('Traditional Attrition'!BB195&gt;0,'Attrition Modeling'!$N$9,0))),0))</f>
        <v>0</v>
      </c>
      <c r="BC73" s="799">
        <f>IF(BC$12=$F73+1,IF(Monthly!AY$4=TRUE,0,BC$3),IF(BC$12&gt;$F73+1,RentalsVacates!BB73*(1-IF(BC$12-$F73&lt;=12,SUMIFS('Attrition Modeling'!$D:$D,'Attrition Modeling'!$B:$B,$E73,'Attrition Modeling'!$C:$C,BC$11),VLOOKUP(RentalsVacates!BC$12-RentalsVacates!$F73-1,RentalsVacates!$A$8:$C$162,2,FALSE)*VLOOKUP(BC$11,'Attrition Modeling'!$L$15:$N$27,IF(BC$12-$F73&lt;=24,2,3),FALSE))*(1+IF('Traditional Attrition'!BC195&gt;0,'Attrition Modeling'!$N$9,0))),0))</f>
        <v>0</v>
      </c>
      <c r="BD73" s="799">
        <f>IF(BD$12=$F73+1,IF(Monthly!AZ$4=TRUE,0,BD$3),IF(BD$12&gt;$F73+1,RentalsVacates!BC73*(1-IF(BD$12-$F73&lt;=12,SUMIFS('Attrition Modeling'!$D:$D,'Attrition Modeling'!$B:$B,$E73,'Attrition Modeling'!$C:$C,BD$11),VLOOKUP(RentalsVacates!BD$12-RentalsVacates!$F73-1,RentalsVacates!$A$8:$C$162,2,FALSE)*VLOOKUP(BD$11,'Attrition Modeling'!$L$15:$N$27,IF(BD$12-$F73&lt;=24,2,3),FALSE))*(1+IF('Traditional Attrition'!BD195&gt;0,'Attrition Modeling'!$N$9,0))),0))</f>
        <v>0</v>
      </c>
      <c r="BE73" s="799">
        <f>IF(BE$12=$F73+1,IF(Monthly!BA$4=TRUE,0,BE$3),IF(BE$12&gt;$F73+1,RentalsVacates!BD73*(1-IF(BE$12-$F73&lt;=12,SUMIFS('Attrition Modeling'!$D:$D,'Attrition Modeling'!$B:$B,$E73,'Attrition Modeling'!$C:$C,BE$11),VLOOKUP(RentalsVacates!BE$12-RentalsVacates!$F73-1,RentalsVacates!$A$8:$C$162,2,FALSE)*VLOOKUP(BE$11,'Attrition Modeling'!$L$15:$N$27,IF(BE$12-$F73&lt;=24,2,3),FALSE))*(1+IF('Traditional Attrition'!BE195&gt;0,'Attrition Modeling'!$N$9,0))),0))</f>
        <v>0</v>
      </c>
      <c r="BF73" s="799">
        <f>IF(BF$12=$F73+1,IF(Monthly!BB$4=TRUE,0,BF$3),IF(BF$12&gt;$F73+1,RentalsVacates!BE73*(1-IF(BF$12-$F73&lt;=12,SUMIFS('Attrition Modeling'!$D:$D,'Attrition Modeling'!$B:$B,$E73,'Attrition Modeling'!$C:$C,BF$11),VLOOKUP(RentalsVacates!BF$12-RentalsVacates!$F73-1,RentalsVacates!$A$8:$C$162,2,FALSE)*VLOOKUP(BF$11,'Attrition Modeling'!$L$15:$N$27,IF(BF$12-$F73&lt;=24,2,3),FALSE))*(1+IF('Traditional Attrition'!BF195&gt;0,'Attrition Modeling'!$N$9,0))),0))</f>
        <v>0</v>
      </c>
      <c r="BG73" s="799">
        <f>IF(BG$12=$F73+1,IF(Monthly!BC$4=TRUE,0,BG$3),IF(BG$12&gt;$F73+1,RentalsVacates!BF73*(1-IF(BG$12-$F73&lt;=12,SUMIFS('Attrition Modeling'!$D:$D,'Attrition Modeling'!$B:$B,$E73,'Attrition Modeling'!$C:$C,BG$11),VLOOKUP(RentalsVacates!BG$12-RentalsVacates!$F73-1,RentalsVacates!$A$8:$C$162,2,FALSE)*VLOOKUP(BG$11,'Attrition Modeling'!$L$15:$N$27,IF(BG$12-$F73&lt;=24,2,3),FALSE))*(1+IF('Traditional Attrition'!BG195&gt;0,'Attrition Modeling'!$N$9,0))),0))</f>
        <v>0</v>
      </c>
      <c r="BH73" s="799">
        <f>IF(BH$12=$F73+1,IF(Monthly!BD$4=TRUE,0,BH$3),IF(BH$12&gt;$F73+1,RentalsVacates!BG73*(1-IF(BH$12-$F73&lt;=12,SUMIFS('Attrition Modeling'!$D:$D,'Attrition Modeling'!$B:$B,$E73,'Attrition Modeling'!$C:$C,BH$11),VLOOKUP(RentalsVacates!BH$12-RentalsVacates!$F73-1,RentalsVacates!$A$8:$C$162,2,FALSE)*VLOOKUP(BH$11,'Attrition Modeling'!$L$15:$N$27,IF(BH$12-$F73&lt;=24,2,3),FALSE))*(1+IF('Traditional Attrition'!BH195&gt;0,'Attrition Modeling'!$N$9,0))),0))</f>
        <v>0</v>
      </c>
      <c r="BI73" s="799">
        <f>IF(BI$12=$F73+1,IF(Monthly!BE$4=TRUE,0,BI$3),IF(BI$12&gt;$F73+1,RentalsVacates!BH73*(1-IF(BI$12-$F73&lt;=12,SUMIFS('Attrition Modeling'!$D:$D,'Attrition Modeling'!$B:$B,$E73,'Attrition Modeling'!$C:$C,BI$11),VLOOKUP(RentalsVacates!BI$12-RentalsVacates!$F73-1,RentalsVacates!$A$8:$C$162,2,FALSE)*VLOOKUP(BI$11,'Attrition Modeling'!$L$15:$N$27,IF(BI$12-$F73&lt;=24,2,3),FALSE))*(1+IF('Traditional Attrition'!BI195&gt;0,'Attrition Modeling'!$N$9,0))),0))</f>
        <v>0</v>
      </c>
      <c r="BJ73" s="799">
        <f>IF(BJ$12=$F73+1,IF(Monthly!BF$4=TRUE,0,BJ$3),IF(BJ$12&gt;$F73+1,RentalsVacates!BI73*(1-IF(BJ$12-$F73&lt;=12,SUMIFS('Attrition Modeling'!$D:$D,'Attrition Modeling'!$B:$B,$E73,'Attrition Modeling'!$C:$C,BJ$11),VLOOKUP(RentalsVacates!BJ$12-RentalsVacates!$F73-1,RentalsVacates!$A$8:$C$162,2,FALSE)*VLOOKUP(BJ$11,'Attrition Modeling'!$L$15:$N$27,IF(BJ$12-$F73&lt;=24,2,3),FALSE))*(1+IF('Traditional Attrition'!BJ195&gt;0,'Attrition Modeling'!$N$9,0))),0))</f>
        <v>0</v>
      </c>
      <c r="BK73" s="799">
        <f>IF(BK$12=$F73+1,IF(Monthly!BG$4=TRUE,0,BK$3),IF(BK$12&gt;$F73+1,RentalsVacates!BJ73*(1-IF(BK$12-$F73&lt;=12,SUMIFS('Attrition Modeling'!$D:$D,'Attrition Modeling'!$B:$B,$E73,'Attrition Modeling'!$C:$C,BK$11),VLOOKUP(RentalsVacates!BK$12-RentalsVacates!$F73-1,RentalsVacates!$A$8:$C$162,2,FALSE)*VLOOKUP(BK$11,'Attrition Modeling'!$L$15:$N$27,IF(BK$12-$F73&lt;=24,2,3),FALSE))*(1+IF('Traditional Attrition'!BK195&gt;0,'Attrition Modeling'!$N$9,0))),0))</f>
        <v>0</v>
      </c>
      <c r="BL73" s="799">
        <f>IF(BL$12=$F73+1,IF(Monthly!BH$4=TRUE,0,BL$3),IF(BL$12&gt;$F73+1,RentalsVacates!BK73*(1-IF(BL$12-$F73&lt;=12,SUMIFS('Attrition Modeling'!$D:$D,'Attrition Modeling'!$B:$B,$E73,'Attrition Modeling'!$C:$C,BL$11),VLOOKUP(RentalsVacates!BL$12-RentalsVacates!$F73-1,RentalsVacates!$A$8:$C$162,2,FALSE)*VLOOKUP(BL$11,'Attrition Modeling'!$L$15:$N$27,IF(BL$12-$F73&lt;=24,2,3),FALSE))*(1+IF('Traditional Attrition'!BL195&gt;0,'Attrition Modeling'!$N$9,0))),0))</f>
        <v>0</v>
      </c>
      <c r="BM73" s="799">
        <f>IF(BM$12=$F73+1,IF(Monthly!BI$4=TRUE,0,BM$3),IF(BM$12&gt;$F73+1,RentalsVacates!BL73*(1-IF(BM$12-$F73&lt;=12,SUMIFS('Attrition Modeling'!$D:$D,'Attrition Modeling'!$B:$B,$E73,'Attrition Modeling'!$C:$C,BM$11),VLOOKUP(RentalsVacates!BM$12-RentalsVacates!$F73-1,RentalsVacates!$A$8:$C$162,2,FALSE)*VLOOKUP(BM$11,'Attrition Modeling'!$L$15:$N$27,IF(BM$12-$F73&lt;=24,2,3),FALSE))*(1+IF('Traditional Attrition'!BM195&gt;0,'Attrition Modeling'!$N$9,0))),0))</f>
        <v>0</v>
      </c>
      <c r="BN73" s="799">
        <f>IF(BN$12=$F73+1,IF(Monthly!BJ$4=TRUE,0,BN$3),IF(BN$12&gt;$F73+1,RentalsVacates!BM73*(1-IF(BN$12-$F73&lt;=12,SUMIFS('Attrition Modeling'!$D:$D,'Attrition Modeling'!$B:$B,$E73,'Attrition Modeling'!$C:$C,BN$11),VLOOKUP(RentalsVacates!BN$12-RentalsVacates!$F73-1,RentalsVacates!$A$8:$C$162,2,FALSE)*VLOOKUP(BN$11,'Attrition Modeling'!$L$15:$N$27,IF(BN$12-$F73&lt;=24,2,3),FALSE))*(1+IF('Traditional Attrition'!BN195&gt;0,'Attrition Modeling'!$N$9,0))),0))</f>
        <v>0</v>
      </c>
      <c r="BO73" s="799">
        <f>IF(BO$12=$F73+1,IF(Monthly!BK$4=TRUE,0,BO$3),IF(BO$12&gt;$F73+1,RentalsVacates!BN73*(1-IF(BO$12-$F73&lt;=12,SUMIFS('Attrition Modeling'!$D:$D,'Attrition Modeling'!$B:$B,$E73,'Attrition Modeling'!$C:$C,BO$11),VLOOKUP(RentalsVacates!BO$12-RentalsVacates!$F73-1,RentalsVacates!$A$8:$C$162,2,FALSE)*VLOOKUP(BO$11,'Attrition Modeling'!$L$15:$N$27,IF(BO$12-$F73&lt;=24,2,3),FALSE))*(1+IF('Traditional Attrition'!BO195&gt;0,'Attrition Modeling'!$N$9,0))),0))</f>
        <v>0</v>
      </c>
      <c r="BP73" s="799">
        <f>IF(BP$12=$F73+1,IF(Monthly!BL$4=TRUE,0,BP$3),IF(BP$12&gt;$F73+1,RentalsVacates!BO73*(1-IF(BP$12-$F73&lt;=12,SUMIFS('Attrition Modeling'!$D:$D,'Attrition Modeling'!$B:$B,$E73,'Attrition Modeling'!$C:$C,BP$11),VLOOKUP(RentalsVacates!BP$12-RentalsVacates!$F73-1,RentalsVacates!$A$8:$C$162,2,FALSE)*VLOOKUP(BP$11,'Attrition Modeling'!$L$15:$N$27,IF(BP$12-$F73&lt;=24,2,3),FALSE))*(1+IF('Traditional Attrition'!BP195&gt;0,'Attrition Modeling'!$N$9,0))),0))</f>
        <v>4723.2660431435943</v>
      </c>
      <c r="BQ73" s="799">
        <f>IF(BQ$12=$F73+1,IF(Monthly!BM$4=TRUE,0,BQ$3),IF(BQ$12&gt;$F73+1,RentalsVacates!BP73*(1-IF(BQ$12-$F73&lt;=12,SUMIFS('Attrition Modeling'!$D:$D,'Attrition Modeling'!$B:$B,$E73,'Attrition Modeling'!$C:$C,BQ$11),VLOOKUP(RentalsVacates!BQ$12-RentalsVacates!$F73-1,RentalsVacates!$A$8:$C$162,2,FALSE)*VLOOKUP(BQ$11,'Attrition Modeling'!$L$15:$N$27,IF(BQ$12-$F73&lt;=24,2,3),FALSE))*(1+IF('Traditional Attrition'!BQ195&gt;0,'Attrition Modeling'!$N$9,0))),0))</f>
        <v>4274.7837138641953</v>
      </c>
      <c r="BR73" s="799">
        <f>IF(BR$12=$F73+1,IF(Monthly!BN$4=TRUE,0,BR$3),IF(BR$12&gt;$F73+1,RentalsVacates!BQ73*(1-IF(BR$12-$F73&lt;=12,SUMIFS('Attrition Modeling'!$D:$D,'Attrition Modeling'!$B:$B,$E73,'Attrition Modeling'!$C:$C,BR$11),VLOOKUP(RentalsVacates!BR$12-RentalsVacates!$F73-1,RentalsVacates!$A$8:$C$162,2,FALSE)*VLOOKUP(BR$11,'Attrition Modeling'!$L$15:$N$27,IF(BR$12-$F73&lt;=24,2,3),FALSE))*(1+IF('Traditional Attrition'!BR195&gt;0,'Attrition Modeling'!$N$9,0))),0))</f>
        <v>3904.3329236212326</v>
      </c>
      <c r="BS73" s="799">
        <f>IF(BS$12=$F73+1,IF(Monthly!BO$4=TRUE,0,BS$3),IF(BS$12&gt;$F73+1,RentalsVacates!BR73*(1-IF(BS$12-$F73&lt;=12,SUMIFS('Attrition Modeling'!$D:$D,'Attrition Modeling'!$B:$B,$E73,'Attrition Modeling'!$C:$C,BS$11),VLOOKUP(RentalsVacates!BS$12-RentalsVacates!$F73-1,RentalsVacates!$A$8:$C$162,2,FALSE)*VLOOKUP(BS$11,'Attrition Modeling'!$L$15:$N$27,IF(BS$12-$F73&lt;=24,2,3),FALSE))*(1+IF('Traditional Attrition'!BS195&gt;0,'Attrition Modeling'!$N$9,0))),0))</f>
        <v>3555.3422902068746</v>
      </c>
      <c r="BT73" s="799">
        <f>IF(BT$11=$F72+1,IF(Monthly!#REF!=TRUE,0,BT$3),IF(BT$11&gt;$F72+1,RentalsVacates!BS72*(1-IF(BT$11-$F72&lt;=12,SUMIFS('Attrition Modeling'!$D:$D,'Attrition Modeling'!$B:$B,$E72,'Attrition Modeling'!$C:$C,BT$10),VLOOKUP(RentalsVacates!BT$11-RentalsVacates!$F72-1,RentalsVacates!$A$7:$C$161,2,FALSE)*VLOOKUP(BT$10,'Attrition Modeling'!$L$15:$N$27,IF(BT$11-$F72&lt;=24,2,3),FALSE))*(1+IF('Traditional Attrition'!BT195&gt;0,'Attrition Modeling'!$N$9,0))),0))</f>
        <v>0</v>
      </c>
      <c r="BU73" s="799">
        <f>IF(BU$11=$F72+1,IF(Monthly!#REF!=TRUE,0,BU$3),IF(BU$11&gt;$F72+1,RentalsVacates!BT72*(1-IF(BU$11-$F72&lt;=12,SUMIFS('Attrition Modeling'!$D:$D,'Attrition Modeling'!$B:$B,$E72,'Attrition Modeling'!$C:$C,BU$10),VLOOKUP(RentalsVacates!BU$11-RentalsVacates!$F72-1,RentalsVacates!$A$7:$C$161,2,FALSE)*VLOOKUP(BU$10,'Attrition Modeling'!$L$15:$N$27,IF(BU$11-$F72&lt;=24,2,3),FALSE))*(1+IF('Traditional Attrition'!BU195&gt;0,'Attrition Modeling'!$N$9,0))),0))</f>
        <v>0</v>
      </c>
    </row>
    <row r="74" spans="1:73" ht="14.25" customHeight="1" x14ac:dyDescent="0.2">
      <c r="A74" s="9">
        <v>66</v>
      </c>
      <c r="B74" s="25">
        <f>MAX('Attrition Modeling'!H70,$C$3)*(1-Summary!$C$20)</f>
        <v>2.0734047981108256E-2</v>
      </c>
      <c r="C74" s="24" t="e">
        <f t="shared" si="2"/>
        <v>#DIV/0!</v>
      </c>
      <c r="E74" s="802">
        <f>'Traditional Attrition'!E131</f>
        <v>0</v>
      </c>
      <c r="F74" s="802" t="s">
        <v>699</v>
      </c>
      <c r="G74" s="803"/>
      <c r="H74" s="804">
        <f t="shared" ref="H74:BU74" si="5">SUMIF(G13:G73,"&gt;0",H13:H73)-SUM(G13:G73)</f>
        <v>0</v>
      </c>
      <c r="I74" s="804">
        <f t="shared" si="5"/>
        <v>0</v>
      </c>
      <c r="J74" s="804">
        <f t="shared" si="5"/>
        <v>-229.81969934287554</v>
      </c>
      <c r="K74" s="804">
        <f t="shared" si="5"/>
        <v>-499.89148532530271</v>
      </c>
      <c r="L74" s="804">
        <f t="shared" si="5"/>
        <v>-779.69562762186251</v>
      </c>
      <c r="M74" s="804">
        <f t="shared" si="5"/>
        <v>-1260.5700831257163</v>
      </c>
      <c r="N74" s="804">
        <f t="shared" si="5"/>
        <v>-1697.9938486368555</v>
      </c>
      <c r="O74" s="804">
        <f t="shared" si="5"/>
        <v>-2316.920736464861</v>
      </c>
      <c r="P74" s="804">
        <f t="shared" si="5"/>
        <v>-2354.9112203757613</v>
      </c>
      <c r="Q74" s="804">
        <f t="shared" si="5"/>
        <v>-2436.8890723349068</v>
      </c>
      <c r="R74" s="804">
        <f t="shared" si="5"/>
        <v>-2527.2006563102332</v>
      </c>
      <c r="S74" s="804">
        <f t="shared" si="5"/>
        <v>-2579.6179755628327</v>
      </c>
      <c r="T74" s="804">
        <f t="shared" si="5"/>
        <v>-2557.9615545211018</v>
      </c>
      <c r="U74" s="804">
        <f t="shared" si="5"/>
        <v>-2593.3373484034673</v>
      </c>
      <c r="V74" s="804">
        <f t="shared" si="5"/>
        <v>-2998.6285441586733</v>
      </c>
      <c r="W74" s="804">
        <f t="shared" si="5"/>
        <v>-3133.996073737304</v>
      </c>
      <c r="X74" s="804">
        <f t="shared" si="5"/>
        <v>-3392.5460920202313</v>
      </c>
      <c r="Y74" s="804">
        <f t="shared" si="5"/>
        <v>-3903.4832863264601</v>
      </c>
      <c r="Z74" s="804">
        <f t="shared" si="5"/>
        <v>-4359.9847776375755</v>
      </c>
      <c r="AA74" s="804">
        <f t="shared" si="5"/>
        <v>-5193.788973561037</v>
      </c>
      <c r="AB74" s="804">
        <f t="shared" si="5"/>
        <v>-5043.2004384071406</v>
      </c>
      <c r="AC74" s="804">
        <f t="shared" si="5"/>
        <v>-5058.9357363309464</v>
      </c>
      <c r="AD74" s="804">
        <f t="shared" si="5"/>
        <v>-5040.0509277570818</v>
      </c>
      <c r="AE74" s="804">
        <f t="shared" si="5"/>
        <v>-5025.0355838306205</v>
      </c>
      <c r="AF74" s="804">
        <f t="shared" si="5"/>
        <v>-4755.5378768117371</v>
      </c>
      <c r="AG74" s="804">
        <f t="shared" si="5"/>
        <v>-4570.205365201633</v>
      </c>
      <c r="AH74" s="804">
        <f t="shared" si="5"/>
        <v>-5072.7893632030318</v>
      </c>
      <c r="AI74" s="804">
        <f t="shared" si="5"/>
        <v>-5017.2008735884447</v>
      </c>
      <c r="AJ74" s="804">
        <f t="shared" si="5"/>
        <v>-5189.6441705180332</v>
      </c>
      <c r="AK74" s="804">
        <f t="shared" si="5"/>
        <v>-5594.5458238818828</v>
      </c>
      <c r="AL74" s="804">
        <f t="shared" si="5"/>
        <v>-5977.3871767462988</v>
      </c>
      <c r="AM74" s="804">
        <f t="shared" si="5"/>
        <v>-6796.5314369488915</v>
      </c>
      <c r="AN74" s="804">
        <f t="shared" si="5"/>
        <v>-6491.4187956656533</v>
      </c>
      <c r="AO74" s="804">
        <f t="shared" si="5"/>
        <v>-6430.5398615309823</v>
      </c>
      <c r="AP74" s="804">
        <f t="shared" si="5"/>
        <v>-6306.6692444043001</v>
      </c>
      <c r="AQ74" s="804">
        <f t="shared" si="5"/>
        <v>-6175.7187343332916</v>
      </c>
      <c r="AR74" s="804">
        <f t="shared" si="5"/>
        <v>-5879.2728259837459</v>
      </c>
      <c r="AS74" s="804">
        <f t="shared" si="5"/>
        <v>-5368.1923375965998</v>
      </c>
      <c r="AT74" s="804">
        <f t="shared" si="5"/>
        <v>-5790.9093171303975</v>
      </c>
      <c r="AU74" s="804">
        <f t="shared" si="5"/>
        <v>-5495.8947218818212</v>
      </c>
      <c r="AV74" s="804">
        <f t="shared" si="5"/>
        <v>-5585.1046339102177</v>
      </c>
      <c r="AW74" s="804">
        <f t="shared" si="5"/>
        <v>-5857.5493368326279</v>
      </c>
      <c r="AX74" s="804">
        <f t="shared" si="5"/>
        <v>-6106.4734525792883</v>
      </c>
      <c r="AY74" s="804">
        <f t="shared" si="5"/>
        <v>-6673.5936524010758</v>
      </c>
      <c r="AZ74" s="804">
        <f t="shared" si="5"/>
        <v>-6147.4420505395101</v>
      </c>
      <c r="BA74" s="804">
        <f t="shared" si="5"/>
        <v>-5942.146059906212</v>
      </c>
      <c r="BB74" s="804">
        <f t="shared" si="5"/>
        <v>-5671.963865071797</v>
      </c>
      <c r="BC74" s="804">
        <f t="shared" si="5"/>
        <v>-5359.8474164826039</v>
      </c>
      <c r="BD74" s="804">
        <f t="shared" si="5"/>
        <v>-5085.1083718086302</v>
      </c>
      <c r="BE74" s="804">
        <f t="shared" si="5"/>
        <v>-4797.1230387622054</v>
      </c>
      <c r="BF74" s="804">
        <f t="shared" si="5"/>
        <v>-5126.2812971977546</v>
      </c>
      <c r="BG74" s="804">
        <f t="shared" si="5"/>
        <v>-4847.2118423041684</v>
      </c>
      <c r="BH74" s="804">
        <f t="shared" si="5"/>
        <v>-5031.945447415972</v>
      </c>
      <c r="BI74" s="804">
        <f t="shared" si="5"/>
        <v>-5408.1488769361458</v>
      </c>
      <c r="BJ74" s="804">
        <f t="shared" si="5"/>
        <v>-5714.7130907435057</v>
      </c>
      <c r="BK74" s="804">
        <f t="shared" si="5"/>
        <v>-6285.8173877650115</v>
      </c>
      <c r="BL74" s="804">
        <f t="shared" si="5"/>
        <v>-5803.9062053984817</v>
      </c>
      <c r="BM74" s="804">
        <f t="shared" si="5"/>
        <v>-5624.0431331458385</v>
      </c>
      <c r="BN74" s="804">
        <f t="shared" si="5"/>
        <v>-5394.1754484920821</v>
      </c>
      <c r="BO74" s="804">
        <f t="shared" si="5"/>
        <v>-5017.8991539911949</v>
      </c>
      <c r="BP74" s="804">
        <f t="shared" si="5"/>
        <v>-4723.2660431435797</v>
      </c>
      <c r="BQ74" s="804">
        <f t="shared" si="5"/>
        <v>-4563.0418524932174</v>
      </c>
      <c r="BR74" s="804">
        <f t="shared" si="5"/>
        <v>-4396.9772439372755</v>
      </c>
      <c r="BS74" s="804">
        <f t="shared" si="5"/>
        <v>-3709.8931041577307</v>
      </c>
      <c r="BT74" s="804" t="e">
        <f t="shared" si="5"/>
        <v>#VALUE!</v>
      </c>
      <c r="BU74" s="804" t="e">
        <f t="shared" si="5"/>
        <v>#VALUE!</v>
      </c>
    </row>
    <row r="75" spans="1:73" ht="14.25" customHeight="1" x14ac:dyDescent="0.2">
      <c r="A75" s="9">
        <v>67</v>
      </c>
      <c r="B75" s="25">
        <f>MAX('Attrition Modeling'!H71,$C$3)*(1-Summary!$C$20)</f>
        <v>2.0503378972638098E-2</v>
      </c>
      <c r="C75" s="24" t="e">
        <f t="shared" si="2"/>
        <v>#DIV/0!</v>
      </c>
    </row>
    <row r="76" spans="1:73" ht="14.25" customHeight="1" x14ac:dyDescent="0.2">
      <c r="A76" s="9">
        <v>68</v>
      </c>
      <c r="B76" s="25">
        <f>MAX('Attrition Modeling'!H72,$C$3)*(1-Summary!$C$20)</f>
        <v>2.0276127408762668E-2</v>
      </c>
      <c r="C76" s="24" t="e">
        <f t="shared" si="2"/>
        <v>#DIV/0!</v>
      </c>
      <c r="E76" s="795" t="s">
        <v>709</v>
      </c>
      <c r="G76" s="796">
        <f t="shared" ref="G76:BU76" si="6">G11</f>
        <v>0</v>
      </c>
      <c r="H76" s="796">
        <f t="shared" si="6"/>
        <v>1</v>
      </c>
      <c r="I76" s="796">
        <f t="shared" si="6"/>
        <v>2</v>
      </c>
      <c r="J76" s="796">
        <f t="shared" si="6"/>
        <v>3</v>
      </c>
      <c r="K76" s="796">
        <f t="shared" si="6"/>
        <v>4</v>
      </c>
      <c r="L76" s="796">
        <f t="shared" si="6"/>
        <v>5</v>
      </c>
      <c r="M76" s="796">
        <f t="shared" si="6"/>
        <v>6</v>
      </c>
      <c r="N76" s="796">
        <f t="shared" si="6"/>
        <v>7</v>
      </c>
      <c r="O76" s="796">
        <f t="shared" si="6"/>
        <v>8</v>
      </c>
      <c r="P76" s="796">
        <f t="shared" si="6"/>
        <v>9</v>
      </c>
      <c r="Q76" s="796">
        <f t="shared" si="6"/>
        <v>10</v>
      </c>
      <c r="R76" s="796">
        <f t="shared" si="6"/>
        <v>11</v>
      </c>
      <c r="S76" s="796">
        <f t="shared" si="6"/>
        <v>12</v>
      </c>
      <c r="T76" s="796">
        <f t="shared" si="6"/>
        <v>1</v>
      </c>
      <c r="U76" s="796">
        <f t="shared" si="6"/>
        <v>2</v>
      </c>
      <c r="V76" s="796">
        <f t="shared" si="6"/>
        <v>3</v>
      </c>
      <c r="W76" s="796">
        <f t="shared" si="6"/>
        <v>4</v>
      </c>
      <c r="X76" s="796">
        <f t="shared" si="6"/>
        <v>5</v>
      </c>
      <c r="Y76" s="796">
        <f t="shared" si="6"/>
        <v>6</v>
      </c>
      <c r="Z76" s="796">
        <f t="shared" si="6"/>
        <v>7</v>
      </c>
      <c r="AA76" s="796">
        <f t="shared" si="6"/>
        <v>8</v>
      </c>
      <c r="AB76" s="796">
        <f t="shared" si="6"/>
        <v>9</v>
      </c>
      <c r="AC76" s="796">
        <f t="shared" si="6"/>
        <v>10</v>
      </c>
      <c r="AD76" s="796">
        <f t="shared" si="6"/>
        <v>11</v>
      </c>
      <c r="AE76" s="796">
        <f t="shared" si="6"/>
        <v>12</v>
      </c>
      <c r="AF76" s="796">
        <f t="shared" si="6"/>
        <v>1</v>
      </c>
      <c r="AG76" s="796">
        <f t="shared" si="6"/>
        <v>2</v>
      </c>
      <c r="AH76" s="796">
        <f t="shared" si="6"/>
        <v>3</v>
      </c>
      <c r="AI76" s="796">
        <f t="shared" si="6"/>
        <v>4</v>
      </c>
      <c r="AJ76" s="796">
        <f t="shared" si="6"/>
        <v>5</v>
      </c>
      <c r="AK76" s="796">
        <f t="shared" si="6"/>
        <v>6</v>
      </c>
      <c r="AL76" s="796">
        <f t="shared" si="6"/>
        <v>7</v>
      </c>
      <c r="AM76" s="796">
        <f t="shared" si="6"/>
        <v>8</v>
      </c>
      <c r="AN76" s="796">
        <f t="shared" si="6"/>
        <v>9</v>
      </c>
      <c r="AO76" s="796">
        <f t="shared" si="6"/>
        <v>10</v>
      </c>
      <c r="AP76" s="796">
        <f t="shared" si="6"/>
        <v>11</v>
      </c>
      <c r="AQ76" s="796">
        <f t="shared" si="6"/>
        <v>12</v>
      </c>
      <c r="AR76" s="796">
        <f t="shared" si="6"/>
        <v>1</v>
      </c>
      <c r="AS76" s="796">
        <f t="shared" si="6"/>
        <v>2</v>
      </c>
      <c r="AT76" s="796">
        <f t="shared" si="6"/>
        <v>3</v>
      </c>
      <c r="AU76" s="796">
        <f t="shared" si="6"/>
        <v>4</v>
      </c>
      <c r="AV76" s="796">
        <f t="shared" si="6"/>
        <v>5</v>
      </c>
      <c r="AW76" s="796">
        <f t="shared" si="6"/>
        <v>6</v>
      </c>
      <c r="AX76" s="796">
        <f t="shared" si="6"/>
        <v>7</v>
      </c>
      <c r="AY76" s="796">
        <f t="shared" si="6"/>
        <v>8</v>
      </c>
      <c r="AZ76" s="796">
        <f t="shared" si="6"/>
        <v>9</v>
      </c>
      <c r="BA76" s="796">
        <f t="shared" si="6"/>
        <v>10</v>
      </c>
      <c r="BB76" s="796">
        <f t="shared" si="6"/>
        <v>11</v>
      </c>
      <c r="BC76" s="796">
        <f t="shared" si="6"/>
        <v>12</v>
      </c>
      <c r="BD76" s="796">
        <f t="shared" si="6"/>
        <v>1</v>
      </c>
      <c r="BE76" s="796">
        <f t="shared" si="6"/>
        <v>2</v>
      </c>
      <c r="BF76" s="796">
        <f t="shared" si="6"/>
        <v>3</v>
      </c>
      <c r="BG76" s="796">
        <f t="shared" si="6"/>
        <v>4</v>
      </c>
      <c r="BH76" s="796">
        <f t="shared" si="6"/>
        <v>5</v>
      </c>
      <c r="BI76" s="796">
        <f t="shared" si="6"/>
        <v>6</v>
      </c>
      <c r="BJ76" s="796">
        <f t="shared" si="6"/>
        <v>7</v>
      </c>
      <c r="BK76" s="796">
        <f t="shared" si="6"/>
        <v>8</v>
      </c>
      <c r="BL76" s="796">
        <f t="shared" si="6"/>
        <v>9</v>
      </c>
      <c r="BM76" s="796">
        <f t="shared" si="6"/>
        <v>10</v>
      </c>
      <c r="BN76" s="796">
        <f t="shared" si="6"/>
        <v>11</v>
      </c>
      <c r="BO76" s="796">
        <f t="shared" si="6"/>
        <v>12</v>
      </c>
      <c r="BP76" s="796">
        <f t="shared" si="6"/>
        <v>1</v>
      </c>
      <c r="BQ76" s="796">
        <f t="shared" si="6"/>
        <v>2</v>
      </c>
      <c r="BR76" s="796">
        <f t="shared" si="6"/>
        <v>3</v>
      </c>
      <c r="BS76" s="796">
        <f t="shared" si="6"/>
        <v>4</v>
      </c>
      <c r="BT76" s="796">
        <f t="shared" si="6"/>
        <v>5</v>
      </c>
      <c r="BU76" s="796">
        <f t="shared" si="6"/>
        <v>6</v>
      </c>
    </row>
    <row r="77" spans="1:73" ht="14.25" customHeight="1" x14ac:dyDescent="0.2">
      <c r="A77" s="9">
        <v>69</v>
      </c>
      <c r="B77" s="25">
        <f>MAX('Attrition Modeling'!H73,$C$3)*(1-Summary!$C$20)</f>
        <v>2.0052193504681723E-2</v>
      </c>
      <c r="C77" s="24" t="e">
        <f t="shared" si="2"/>
        <v>#DIV/0!</v>
      </c>
      <c r="E77" s="11" t="s">
        <v>702</v>
      </c>
      <c r="F77" s="11" t="s">
        <v>679</v>
      </c>
      <c r="G77" s="797">
        <v>0</v>
      </c>
      <c r="H77" s="797">
        <v>1</v>
      </c>
      <c r="I77" s="797">
        <f t="shared" ref="I77:BU77" si="7">H77+1</f>
        <v>2</v>
      </c>
      <c r="J77" s="797">
        <f t="shared" si="7"/>
        <v>3</v>
      </c>
      <c r="K77" s="797">
        <f t="shared" si="7"/>
        <v>4</v>
      </c>
      <c r="L77" s="797">
        <f t="shared" si="7"/>
        <v>5</v>
      </c>
      <c r="M77" s="797">
        <f t="shared" si="7"/>
        <v>6</v>
      </c>
      <c r="N77" s="797">
        <f t="shared" si="7"/>
        <v>7</v>
      </c>
      <c r="O77" s="797">
        <f t="shared" si="7"/>
        <v>8</v>
      </c>
      <c r="P77" s="797">
        <f t="shared" si="7"/>
        <v>9</v>
      </c>
      <c r="Q77" s="797">
        <f t="shared" si="7"/>
        <v>10</v>
      </c>
      <c r="R77" s="797">
        <f t="shared" si="7"/>
        <v>11</v>
      </c>
      <c r="S77" s="797">
        <f t="shared" si="7"/>
        <v>12</v>
      </c>
      <c r="T77" s="797">
        <f t="shared" si="7"/>
        <v>13</v>
      </c>
      <c r="U77" s="797">
        <f t="shared" si="7"/>
        <v>14</v>
      </c>
      <c r="V77" s="797">
        <f t="shared" si="7"/>
        <v>15</v>
      </c>
      <c r="W77" s="797">
        <f t="shared" si="7"/>
        <v>16</v>
      </c>
      <c r="X77" s="797">
        <f t="shared" si="7"/>
        <v>17</v>
      </c>
      <c r="Y77" s="797">
        <f t="shared" si="7"/>
        <v>18</v>
      </c>
      <c r="Z77" s="797">
        <f t="shared" si="7"/>
        <v>19</v>
      </c>
      <c r="AA77" s="797">
        <f t="shared" si="7"/>
        <v>20</v>
      </c>
      <c r="AB77" s="797">
        <f t="shared" si="7"/>
        <v>21</v>
      </c>
      <c r="AC77" s="797">
        <f t="shared" si="7"/>
        <v>22</v>
      </c>
      <c r="AD77" s="797">
        <f t="shared" si="7"/>
        <v>23</v>
      </c>
      <c r="AE77" s="797">
        <f t="shared" si="7"/>
        <v>24</v>
      </c>
      <c r="AF77" s="797">
        <f t="shared" si="7"/>
        <v>25</v>
      </c>
      <c r="AG77" s="797">
        <f t="shared" si="7"/>
        <v>26</v>
      </c>
      <c r="AH77" s="797">
        <f t="shared" si="7"/>
        <v>27</v>
      </c>
      <c r="AI77" s="797">
        <f t="shared" si="7"/>
        <v>28</v>
      </c>
      <c r="AJ77" s="797">
        <f t="shared" si="7"/>
        <v>29</v>
      </c>
      <c r="AK77" s="797">
        <f t="shared" si="7"/>
        <v>30</v>
      </c>
      <c r="AL77" s="797">
        <f t="shared" si="7"/>
        <v>31</v>
      </c>
      <c r="AM77" s="797">
        <f t="shared" si="7"/>
        <v>32</v>
      </c>
      <c r="AN77" s="797">
        <f t="shared" si="7"/>
        <v>33</v>
      </c>
      <c r="AO77" s="797">
        <f t="shared" si="7"/>
        <v>34</v>
      </c>
      <c r="AP77" s="797">
        <f t="shared" si="7"/>
        <v>35</v>
      </c>
      <c r="AQ77" s="797">
        <f t="shared" si="7"/>
        <v>36</v>
      </c>
      <c r="AR77" s="797">
        <f t="shared" si="7"/>
        <v>37</v>
      </c>
      <c r="AS77" s="797">
        <f t="shared" si="7"/>
        <v>38</v>
      </c>
      <c r="AT77" s="797">
        <f t="shared" si="7"/>
        <v>39</v>
      </c>
      <c r="AU77" s="797">
        <f t="shared" si="7"/>
        <v>40</v>
      </c>
      <c r="AV77" s="797">
        <f t="shared" si="7"/>
        <v>41</v>
      </c>
      <c r="AW77" s="797">
        <f t="shared" si="7"/>
        <v>42</v>
      </c>
      <c r="AX77" s="797">
        <f t="shared" si="7"/>
        <v>43</v>
      </c>
      <c r="AY77" s="797">
        <f t="shared" si="7"/>
        <v>44</v>
      </c>
      <c r="AZ77" s="797">
        <f t="shared" si="7"/>
        <v>45</v>
      </c>
      <c r="BA77" s="797">
        <f t="shared" si="7"/>
        <v>46</v>
      </c>
      <c r="BB77" s="797">
        <f t="shared" si="7"/>
        <v>47</v>
      </c>
      <c r="BC77" s="797">
        <f t="shared" si="7"/>
        <v>48</v>
      </c>
      <c r="BD77" s="797">
        <f t="shared" si="7"/>
        <v>49</v>
      </c>
      <c r="BE77" s="797">
        <f t="shared" si="7"/>
        <v>50</v>
      </c>
      <c r="BF77" s="797">
        <f t="shared" si="7"/>
        <v>51</v>
      </c>
      <c r="BG77" s="797">
        <f t="shared" si="7"/>
        <v>52</v>
      </c>
      <c r="BH77" s="797">
        <f t="shared" si="7"/>
        <v>53</v>
      </c>
      <c r="BI77" s="797">
        <f t="shared" si="7"/>
        <v>54</v>
      </c>
      <c r="BJ77" s="797">
        <f t="shared" si="7"/>
        <v>55</v>
      </c>
      <c r="BK77" s="797">
        <f t="shared" si="7"/>
        <v>56</v>
      </c>
      <c r="BL77" s="797">
        <f t="shared" si="7"/>
        <v>57</v>
      </c>
      <c r="BM77" s="797">
        <f t="shared" si="7"/>
        <v>58</v>
      </c>
      <c r="BN77" s="797">
        <f t="shared" si="7"/>
        <v>59</v>
      </c>
      <c r="BO77" s="797">
        <f t="shared" si="7"/>
        <v>60</v>
      </c>
      <c r="BP77" s="797">
        <f t="shared" si="7"/>
        <v>61</v>
      </c>
      <c r="BQ77" s="797">
        <f t="shared" si="7"/>
        <v>62</v>
      </c>
      <c r="BR77" s="797">
        <f t="shared" si="7"/>
        <v>63</v>
      </c>
      <c r="BS77" s="797">
        <f t="shared" si="7"/>
        <v>64</v>
      </c>
      <c r="BT77" s="797">
        <f t="shared" si="7"/>
        <v>65</v>
      </c>
      <c r="BU77" s="797">
        <f t="shared" si="7"/>
        <v>66</v>
      </c>
    </row>
    <row r="78" spans="1:73" ht="14.25" customHeight="1" x14ac:dyDescent="0.2">
      <c r="A78" s="9">
        <v>70</v>
      </c>
      <c r="B78" s="25">
        <f>MAX('Attrition Modeling'!H74,$C$3)*(1-Summary!$C$20)</f>
        <v>0.02</v>
      </c>
      <c r="C78" s="24" t="e">
        <f t="shared" si="2"/>
        <v>#DIV/0!</v>
      </c>
      <c r="D78" s="11">
        <f>'IP Attrition'!D70</f>
        <v>0</v>
      </c>
      <c r="E78" s="25">
        <f>'IP Attrition'!E70</f>
        <v>0.12937802129018236</v>
      </c>
      <c r="F78" s="11">
        <v>0</v>
      </c>
      <c r="G78" s="799">
        <f>Summary!$C$24*$E78</f>
        <v>0</v>
      </c>
      <c r="H78" s="799">
        <f>G78*(1-IFERROR(IF(H$77+$F78&lt;=12,SUMIFS('Attrition Modeling'!$D:$D,'Attrition Modeling'!$C:$C,$D78,'Attrition Modeling'!$B:$B,H$76),VLOOKUP($F78+H$77,$A$7:$C$107,2,FALSE)*VLOOKUP(H$76,'Attrition Modeling'!$L$15:$N$27,IF(H$77+$F78&lt;=24,2,3),FALSE)),$C$3)*(1+IF('IP Attrition'!H135&gt;0,'Attrition Modeling'!$N$9,0)))</f>
        <v>0</v>
      </c>
      <c r="I78" s="799">
        <f>H78*(1-IFERROR(IF(I$77+$F78&lt;=12,SUMIFS('Attrition Modeling'!$D:$D,'Attrition Modeling'!$C:$C,$D78,'Attrition Modeling'!$B:$B,I$76),VLOOKUP($F78+I$77,$A$7:$C$107,2,FALSE)*VLOOKUP(I$76,'Attrition Modeling'!$L$15:$N$27,IF(I$77+$F78&lt;=24,2,3),FALSE)),$C$3)*(1+IF('IP Attrition'!I135&gt;0,'Attrition Modeling'!$N$9,0)))</f>
        <v>0</v>
      </c>
      <c r="J78" s="799">
        <f>I78*(1-IFERROR(IF(J$77+$F78&lt;=12,SUMIFS('Attrition Modeling'!$D:$D,'Attrition Modeling'!$C:$C,$D78,'Attrition Modeling'!$B:$B,J$76),VLOOKUP($F78+J$77,$A$7:$C$107,2,FALSE)*VLOOKUP(J$76,'Attrition Modeling'!$L$15:$N$27,IF(J$77+$F78&lt;=24,2,3),FALSE)),$C$3)*(1+IF('IP Attrition'!J135&gt;0,'Attrition Modeling'!$N$9,0)))</f>
        <v>0</v>
      </c>
      <c r="K78" s="799">
        <f>J78*(1-IFERROR(IF(K$77+$F78&lt;=12,SUMIFS('Attrition Modeling'!$D:$D,'Attrition Modeling'!$C:$C,$D78,'Attrition Modeling'!$B:$B,K$76),VLOOKUP($F78+K$77,$A$7:$C$107,2,FALSE)*VLOOKUP(K$76,'Attrition Modeling'!$L$15:$N$27,IF(K$77+$F78&lt;=24,2,3),FALSE)),$C$3)*(1+IF('IP Attrition'!K135&gt;0,'Attrition Modeling'!$N$9,0)))</f>
        <v>0</v>
      </c>
      <c r="L78" s="799">
        <f>K78*(1-IFERROR(IF(L$77+$F78&lt;=12,SUMIFS('Attrition Modeling'!$D:$D,'Attrition Modeling'!$C:$C,$D78,'Attrition Modeling'!$B:$B,L$76),VLOOKUP($F78+L$77,$A$7:$C$107,2,FALSE)*VLOOKUP(L$76,'Attrition Modeling'!$L$15:$N$27,IF(L$77+$F78&lt;=24,2,3),FALSE)),$C$3)*(1+IF('IP Attrition'!L135&gt;0,'Attrition Modeling'!$N$9,0)))</f>
        <v>0</v>
      </c>
      <c r="M78" s="799">
        <f>L78*(1-IFERROR(IF(M$77+$F78&lt;=12,SUMIFS('Attrition Modeling'!$D:$D,'Attrition Modeling'!$C:$C,$D78,'Attrition Modeling'!$B:$B,M$76),VLOOKUP($F78+M$77,$A$7:$C$107,2,FALSE)*VLOOKUP(M$76,'Attrition Modeling'!$L$15:$N$27,IF(M$77+$F78&lt;=24,2,3),FALSE)),$C$3)*(1+IF('IP Attrition'!M135&gt;0,'Attrition Modeling'!$N$9,0)))</f>
        <v>0</v>
      </c>
      <c r="N78" s="799">
        <f>M78*(1-IFERROR(IF(N$77+$F78&lt;=12,SUMIFS('Attrition Modeling'!$D:$D,'Attrition Modeling'!$C:$C,$D78,'Attrition Modeling'!$B:$B,N$76),VLOOKUP($F78+N$77,$A$7:$C$107,2,FALSE)*VLOOKUP(N$76,'Attrition Modeling'!$L$15:$N$27,IF(N$77+$F78&lt;=24,2,3),FALSE)),$C$3)*(1+IF('IP Attrition'!N135&gt;0,'Attrition Modeling'!$N$9,0)))</f>
        <v>0</v>
      </c>
      <c r="O78" s="799">
        <f>N78*(1-IFERROR(IF(O$77+$F78&lt;=12,SUMIFS('Attrition Modeling'!$D:$D,'Attrition Modeling'!$C:$C,$D78,'Attrition Modeling'!$B:$B,O$76),VLOOKUP($F78+O$77,$A$7:$C$107,2,FALSE)*VLOOKUP(O$76,'Attrition Modeling'!$L$15:$N$27,IF(O$77+$F78&lt;=24,2,3),FALSE)),$C$3)*(1+IF('IP Attrition'!O135&gt;0,'Attrition Modeling'!$N$9,0)))</f>
        <v>0</v>
      </c>
      <c r="P78" s="799">
        <f>O78*(1-IFERROR(IF(P$77+$F78&lt;=12,SUMIFS('Attrition Modeling'!$D:$D,'Attrition Modeling'!$C:$C,$D78,'Attrition Modeling'!$B:$B,P$76),VLOOKUP($F78+P$77,$A$7:$C$107,2,FALSE)*VLOOKUP(P$76,'Attrition Modeling'!$L$15:$N$27,IF(P$77+$F78&lt;=24,2,3),FALSE)),$C$3)*(1+IF('IP Attrition'!P135&gt;0,'Attrition Modeling'!$N$9,0)))</f>
        <v>0</v>
      </c>
      <c r="Q78" s="799">
        <f>P78*(1-IFERROR(IF(Q$77+$F78&lt;=12,SUMIFS('Attrition Modeling'!$D:$D,'Attrition Modeling'!$C:$C,$D78,'Attrition Modeling'!$B:$B,Q$76),VLOOKUP($F78+Q$77,$A$7:$C$107,2,FALSE)*VLOOKUP(Q$76,'Attrition Modeling'!$L$15:$N$27,IF(Q$77+$F78&lt;=24,2,3),FALSE)),$C$3)*(1+IF('IP Attrition'!Q135&gt;0,'Attrition Modeling'!$N$9,0)))</f>
        <v>0</v>
      </c>
      <c r="R78" s="799">
        <f>Q78*(1-IFERROR(IF(R$77+$F78&lt;=12,SUMIFS('Attrition Modeling'!$D:$D,'Attrition Modeling'!$C:$C,$D78,'Attrition Modeling'!$B:$B,R$76),VLOOKUP($F78+R$77,$A$7:$C$107,2,FALSE)*VLOOKUP(R$76,'Attrition Modeling'!$L$15:$N$27,IF(R$77+$F78&lt;=24,2,3),FALSE)),$C$3)*(1+IF('IP Attrition'!R135&gt;0,'Attrition Modeling'!$N$9,0)))</f>
        <v>0</v>
      </c>
      <c r="S78" s="799">
        <f>R78*(1-IFERROR(IF(S$77+$F78&lt;=12,SUMIFS('Attrition Modeling'!$D:$D,'Attrition Modeling'!$C:$C,$D78,'Attrition Modeling'!$B:$B,S$76),VLOOKUP($F78+S$77,$A$7:$C$107,2,FALSE)*VLOOKUP(S$76,'Attrition Modeling'!$L$15:$N$27,IF(S$77+$F78&lt;=24,2,3),FALSE)),$C$3)*(1+IF('IP Attrition'!S135&gt;0,'Attrition Modeling'!$N$9,0)))</f>
        <v>0</v>
      </c>
      <c r="T78" s="799">
        <f>S78*(1-IFERROR(IF(T$77+$F78&lt;=12,SUMIFS('Attrition Modeling'!$D:$D,'Attrition Modeling'!$C:$C,$D78,'Attrition Modeling'!$B:$B,T$76),VLOOKUP($F78+T$77,$A$7:$C$107,2,FALSE)*VLOOKUP(T$76,'Attrition Modeling'!$L$15:$N$27,IF(T$77+$F78&lt;=24,2,3),FALSE)),$C$3)*(1+IF('IP Attrition'!T135&gt;0,'Attrition Modeling'!$N$9,0)))</f>
        <v>0</v>
      </c>
      <c r="U78" s="799">
        <f>T78*(1-IFERROR(IF(U$77+$F78&lt;=12,SUMIFS('Attrition Modeling'!$D:$D,'Attrition Modeling'!$C:$C,$D78,'Attrition Modeling'!$B:$B,U$76),VLOOKUP($F78+U$77,$A$7:$C$107,2,FALSE)*VLOOKUP(U$76,'Attrition Modeling'!$L$15:$N$27,IF(U$77+$F78&lt;=24,2,3),FALSE)),$C$3)*(1+IF('IP Attrition'!U135&gt;0,'Attrition Modeling'!$N$9,0)))</f>
        <v>0</v>
      </c>
      <c r="V78" s="799">
        <f>U78*(1-IFERROR(IF(V$77+$F78&lt;=12,SUMIFS('Attrition Modeling'!$D:$D,'Attrition Modeling'!$C:$C,$D78,'Attrition Modeling'!$B:$B,V$76),VLOOKUP($F78+V$77,$A$7:$C$107,2,FALSE)*VLOOKUP(V$76,'Attrition Modeling'!$L$15:$N$27,IF(V$77+$F78&lt;=24,2,3),FALSE)),$C$3)*(1+IF('IP Attrition'!V135&gt;0,'Attrition Modeling'!$N$9,0)))</f>
        <v>0</v>
      </c>
      <c r="W78" s="799">
        <f>V78*(1-IFERROR(IF(W$77+$F78&lt;=12,SUMIFS('Attrition Modeling'!$D:$D,'Attrition Modeling'!$C:$C,$D78,'Attrition Modeling'!$B:$B,W$76),VLOOKUP($F78+W$77,$A$7:$C$107,2,FALSE)*VLOOKUP(W$76,'Attrition Modeling'!$L$15:$N$27,IF(W$77+$F78&lt;=24,2,3),FALSE)),$C$3)*(1+IF('IP Attrition'!W135&gt;0,'Attrition Modeling'!$N$9,0)))</f>
        <v>0</v>
      </c>
      <c r="X78" s="799">
        <f>W78*(1-IFERROR(IF(X$77+$F78&lt;=12,SUMIFS('Attrition Modeling'!$D:$D,'Attrition Modeling'!$C:$C,$D78,'Attrition Modeling'!$B:$B,X$76),VLOOKUP($F78+X$77,$A$7:$C$107,2,FALSE)*VLOOKUP(X$76,'Attrition Modeling'!$L$15:$N$27,IF(X$77+$F78&lt;=24,2,3),FALSE)),$C$3)*(1+IF('IP Attrition'!X135&gt;0,'Attrition Modeling'!$N$9,0)))</f>
        <v>0</v>
      </c>
      <c r="Y78" s="799">
        <f>X78*(1-IFERROR(IF(Y$77+$F78&lt;=12,SUMIFS('Attrition Modeling'!$D:$D,'Attrition Modeling'!$C:$C,$D78,'Attrition Modeling'!$B:$B,Y$76),VLOOKUP($F78+Y$77,$A$7:$C$107,2,FALSE)*VLOOKUP(Y$76,'Attrition Modeling'!$L$15:$N$27,IF(Y$77+$F78&lt;=24,2,3),FALSE)),$C$3)*(1+IF('IP Attrition'!Y135&gt;0,'Attrition Modeling'!$N$9,0)))</f>
        <v>0</v>
      </c>
      <c r="Z78" s="799">
        <f>Y78*(1-IFERROR(IF(Z$77+$F78&lt;=12,SUMIFS('Attrition Modeling'!$D:$D,'Attrition Modeling'!$C:$C,$D78,'Attrition Modeling'!$B:$B,Z$76),VLOOKUP($F78+Z$77,$A$7:$C$107,2,FALSE)*VLOOKUP(Z$76,'Attrition Modeling'!$L$15:$N$27,IF(Z$77+$F78&lt;=24,2,3),FALSE)),$C$3)*(1+IF('IP Attrition'!Z135&gt;0,'Attrition Modeling'!$N$9,0)))</f>
        <v>0</v>
      </c>
      <c r="AA78" s="799">
        <f>Z78*(1-IFERROR(IF(AA$77+$F78&lt;=12,SUMIFS('Attrition Modeling'!$D:$D,'Attrition Modeling'!$C:$C,$D78,'Attrition Modeling'!$B:$B,AA$76),VLOOKUP($F78+AA$77,$A$7:$C$107,2,FALSE)*VLOOKUP(AA$76,'Attrition Modeling'!$L$15:$N$27,IF(AA$77+$F78&lt;=24,2,3),FALSE)),$C$3)*(1+IF('IP Attrition'!AA135&gt;0,'Attrition Modeling'!$N$9,0)))</f>
        <v>0</v>
      </c>
      <c r="AB78" s="799">
        <f>AA78*(1-IFERROR(IF(AB$77+$F78&lt;=12,SUMIFS('Attrition Modeling'!$D:$D,'Attrition Modeling'!$C:$C,$D78,'Attrition Modeling'!$B:$B,AB$76),VLOOKUP($F78+AB$77,$A$7:$C$107,2,FALSE)*VLOOKUP(AB$76,'Attrition Modeling'!$L$15:$N$27,IF(AB$77+$F78&lt;=24,2,3),FALSE)),$C$3)*(1+IF('IP Attrition'!AB135&gt;0,'Attrition Modeling'!$N$9,0)))</f>
        <v>0</v>
      </c>
      <c r="AC78" s="799">
        <f>AB78*(1-IFERROR(IF(AC$77+$F78&lt;=12,SUMIFS('Attrition Modeling'!$D:$D,'Attrition Modeling'!$C:$C,$D78,'Attrition Modeling'!$B:$B,AC$76),VLOOKUP($F78+AC$77,$A$7:$C$107,2,FALSE)*VLOOKUP(AC$76,'Attrition Modeling'!$L$15:$N$27,IF(AC$77+$F78&lt;=24,2,3),FALSE)),$C$3)*(1+IF('IP Attrition'!AC135&gt;0,'Attrition Modeling'!$N$9,0)))</f>
        <v>0</v>
      </c>
      <c r="AD78" s="799">
        <f>AC78*(1-IFERROR(IF(AD$77+$F78&lt;=12,SUMIFS('Attrition Modeling'!$D:$D,'Attrition Modeling'!$C:$C,$D78,'Attrition Modeling'!$B:$B,AD$76),VLOOKUP($F78+AD$77,$A$7:$C$107,2,FALSE)*VLOOKUP(AD$76,'Attrition Modeling'!$L$15:$N$27,IF(AD$77+$F78&lt;=24,2,3),FALSE)),$C$3)*(1+IF('IP Attrition'!AD135&gt;0,'Attrition Modeling'!$N$9,0)))</f>
        <v>0</v>
      </c>
      <c r="AE78" s="799">
        <f>AD78*(1-IFERROR(IF(AE$77+$F78&lt;=12,SUMIFS('Attrition Modeling'!$D:$D,'Attrition Modeling'!$C:$C,$D78,'Attrition Modeling'!$B:$B,AE$76),VLOOKUP($F78+AE$77,$A$7:$C$107,2,FALSE)*VLOOKUP(AE$76,'Attrition Modeling'!$L$15:$N$27,IF(AE$77+$F78&lt;=24,2,3),FALSE)),$C$3)*(1+IF('IP Attrition'!AE135&gt;0,'Attrition Modeling'!$N$9,0)))</f>
        <v>0</v>
      </c>
      <c r="AF78" s="799">
        <f>AE78*(1-IFERROR(IF(AF$77+$F78&lt;=12,SUMIFS('Attrition Modeling'!$D:$D,'Attrition Modeling'!$C:$C,$D78,'Attrition Modeling'!$B:$B,AF$76),VLOOKUP($F78+AF$77,$A$7:$C$107,2,FALSE)*VLOOKUP(AF$76,'Attrition Modeling'!$L$15:$N$27,IF(AF$77+$F78&lt;=24,2,3),FALSE)),$C$3)*(1+IF('IP Attrition'!AF135&gt;0,'Attrition Modeling'!$N$9,0)))</f>
        <v>0</v>
      </c>
      <c r="AG78" s="799">
        <f>AF78*(1-IFERROR(IF(AG$77+$F78&lt;=12,SUMIFS('Attrition Modeling'!$D:$D,'Attrition Modeling'!$C:$C,$D78,'Attrition Modeling'!$B:$B,AG$76),VLOOKUP($F78+AG$77,$A$7:$C$107,2,FALSE)*VLOOKUP(AG$76,'Attrition Modeling'!$L$15:$N$27,IF(AG$77+$F78&lt;=24,2,3),FALSE)),$C$3)*(1+IF('IP Attrition'!AG135&gt;0,'Attrition Modeling'!$N$9,0)))</f>
        <v>0</v>
      </c>
      <c r="AH78" s="799">
        <f>AG78*(1-IFERROR(IF(AH$77+$F78&lt;=12,SUMIFS('Attrition Modeling'!$D:$D,'Attrition Modeling'!$C:$C,$D78,'Attrition Modeling'!$B:$B,AH$76),VLOOKUP($F78+AH$77,$A$7:$C$107,2,FALSE)*VLOOKUP(AH$76,'Attrition Modeling'!$L$15:$N$27,IF(AH$77+$F78&lt;=24,2,3),FALSE)),$C$3)*(1+IF('IP Attrition'!AH135&gt;0,'Attrition Modeling'!$N$9,0)))</f>
        <v>0</v>
      </c>
      <c r="AI78" s="799">
        <f>AH78*(1-IFERROR(IF(AI$77+$F78&lt;=12,SUMIFS('Attrition Modeling'!$D:$D,'Attrition Modeling'!$C:$C,$D78,'Attrition Modeling'!$B:$B,AI$76),VLOOKUP($F78+AI$77,$A$7:$C$107,2,FALSE)*VLOOKUP(AI$76,'Attrition Modeling'!$L$15:$N$27,IF(AI$77+$F78&lt;=24,2,3),FALSE)),$C$3)*(1+IF('IP Attrition'!AI135&gt;0,'Attrition Modeling'!$N$9,0)))</f>
        <v>0</v>
      </c>
      <c r="AJ78" s="799">
        <f>AI78*(1-IFERROR(IF(AJ$77+$F78&lt;=12,SUMIFS('Attrition Modeling'!$D:$D,'Attrition Modeling'!$C:$C,$D78,'Attrition Modeling'!$B:$B,AJ$76),VLOOKUP($F78+AJ$77,$A$7:$C$107,2,FALSE)*VLOOKUP(AJ$76,'Attrition Modeling'!$L$15:$N$27,IF(AJ$77+$F78&lt;=24,2,3),FALSE)),$C$3)*(1+IF('IP Attrition'!AJ135&gt;0,'Attrition Modeling'!$N$9,0)))</f>
        <v>0</v>
      </c>
      <c r="AK78" s="799">
        <f>AJ78*(1-IFERROR(IF(AK$77+$F78&lt;=12,SUMIFS('Attrition Modeling'!$D:$D,'Attrition Modeling'!$C:$C,$D78,'Attrition Modeling'!$B:$B,AK$76),VLOOKUP($F78+AK$77,$A$7:$C$107,2,FALSE)*VLOOKUP(AK$76,'Attrition Modeling'!$L$15:$N$27,IF(AK$77+$F78&lt;=24,2,3),FALSE)),$C$3)*(1+IF('IP Attrition'!AK135&gt;0,'Attrition Modeling'!$N$9,0)))</f>
        <v>0</v>
      </c>
      <c r="AL78" s="799">
        <f>AK78*(1-IFERROR(IF(AL$77+$F78&lt;=12,SUMIFS('Attrition Modeling'!$D:$D,'Attrition Modeling'!$C:$C,$D78,'Attrition Modeling'!$B:$B,AL$76),VLOOKUP($F78+AL$77,$A$7:$C$107,2,FALSE)*VLOOKUP(AL$76,'Attrition Modeling'!$L$15:$N$27,IF(AL$77+$F78&lt;=24,2,3),FALSE)),$C$3)*(1+IF('IP Attrition'!AL135&gt;0,'Attrition Modeling'!$N$9,0)))</f>
        <v>0</v>
      </c>
      <c r="AM78" s="799">
        <f>AL78*(1-IFERROR(IF(AM$77+$F78&lt;=12,SUMIFS('Attrition Modeling'!$D:$D,'Attrition Modeling'!$C:$C,$D78,'Attrition Modeling'!$B:$B,AM$76),VLOOKUP($F78+AM$77,$A$7:$C$107,2,FALSE)*VLOOKUP(AM$76,'Attrition Modeling'!$L$15:$N$27,IF(AM$77+$F78&lt;=24,2,3),FALSE)),$C$3)*(1+IF('IP Attrition'!AM135&gt;0,'Attrition Modeling'!$N$9,0)))</f>
        <v>0</v>
      </c>
      <c r="AN78" s="799">
        <f>AM78*(1-IFERROR(IF(AN$77+$F78&lt;=12,SUMIFS('Attrition Modeling'!$D:$D,'Attrition Modeling'!$C:$C,$D78,'Attrition Modeling'!$B:$B,AN$76),VLOOKUP($F78+AN$77,$A$7:$C$107,2,FALSE)*VLOOKUP(AN$76,'Attrition Modeling'!$L$15:$N$27,IF(AN$77+$F78&lt;=24,2,3),FALSE)),$C$3)*(1+IF('IP Attrition'!AN135&gt;0,'Attrition Modeling'!$N$9,0)))</f>
        <v>0</v>
      </c>
      <c r="AO78" s="799">
        <f>AN78*(1-IFERROR(IF(AO$77+$F78&lt;=12,SUMIFS('Attrition Modeling'!$D:$D,'Attrition Modeling'!$C:$C,$D78,'Attrition Modeling'!$B:$B,AO$76),VLOOKUP($F78+AO$77,$A$7:$C$107,2,FALSE)*VLOOKUP(AO$76,'Attrition Modeling'!$L$15:$N$27,IF(AO$77+$F78&lt;=24,2,3),FALSE)),$C$3)*(1+IF('IP Attrition'!AO135&gt;0,'Attrition Modeling'!$N$9,0)))</f>
        <v>0</v>
      </c>
      <c r="AP78" s="799">
        <f>AO78*(1-IFERROR(IF(AP$77+$F78&lt;=12,SUMIFS('Attrition Modeling'!$D:$D,'Attrition Modeling'!$C:$C,$D78,'Attrition Modeling'!$B:$B,AP$76),VLOOKUP($F78+AP$77,$A$7:$C$107,2,FALSE)*VLOOKUP(AP$76,'Attrition Modeling'!$L$15:$N$27,IF(AP$77+$F78&lt;=24,2,3),FALSE)),$C$3)*(1+IF('IP Attrition'!AP135&gt;0,'Attrition Modeling'!$N$9,0)))</f>
        <v>0</v>
      </c>
      <c r="AQ78" s="799">
        <f>AP78*(1-IFERROR(IF(AQ$77+$F78&lt;=12,SUMIFS('Attrition Modeling'!$D:$D,'Attrition Modeling'!$C:$C,$D78,'Attrition Modeling'!$B:$B,AQ$76),VLOOKUP($F78+AQ$77,$A$7:$C$107,2,FALSE)*VLOOKUP(AQ$76,'Attrition Modeling'!$L$15:$N$27,IF(AQ$77+$F78&lt;=24,2,3),FALSE)),$C$3)*(1+IF('IP Attrition'!AQ135&gt;0,'Attrition Modeling'!$N$9,0)))</f>
        <v>0</v>
      </c>
      <c r="AR78" s="799">
        <f>AQ78*(1-IFERROR(IF(AR$77+$F78&lt;=12,SUMIFS('Attrition Modeling'!$D:$D,'Attrition Modeling'!$C:$C,$D78,'Attrition Modeling'!$B:$B,AR$76),VLOOKUP($F78+AR$77,$A$7:$C$107,2,FALSE)*VLOOKUP(AR$76,'Attrition Modeling'!$L$15:$N$27,IF(AR$77+$F78&lt;=24,2,3),FALSE)),$C$3)*(1+IF('IP Attrition'!AR135&gt;0,'Attrition Modeling'!$N$9,0)))</f>
        <v>0</v>
      </c>
      <c r="AS78" s="799">
        <f>AR78*(1-IFERROR(IF(AS$77+$F78&lt;=12,SUMIFS('Attrition Modeling'!$D:$D,'Attrition Modeling'!$C:$C,$D78,'Attrition Modeling'!$B:$B,AS$76),VLOOKUP($F78+AS$77,$A$7:$C$107,2,FALSE)*VLOOKUP(AS$76,'Attrition Modeling'!$L$15:$N$27,IF(AS$77+$F78&lt;=24,2,3),FALSE)),$C$3)*(1+IF('IP Attrition'!AS135&gt;0,'Attrition Modeling'!$N$9,0)))</f>
        <v>0</v>
      </c>
      <c r="AT78" s="799">
        <f>AS78*(1-IFERROR(IF(AT$77+$F78&lt;=12,SUMIFS('Attrition Modeling'!$D:$D,'Attrition Modeling'!$C:$C,$D78,'Attrition Modeling'!$B:$B,AT$76),VLOOKUP($F78+AT$77,$A$7:$C$107,2,FALSE)*VLOOKUP(AT$76,'Attrition Modeling'!$L$15:$N$27,IF(AT$77+$F78&lt;=24,2,3),FALSE)),$C$3)*(1+IF('IP Attrition'!AT135&gt;0,'Attrition Modeling'!$N$9,0)))</f>
        <v>0</v>
      </c>
      <c r="AU78" s="799">
        <f>AT78*(1-IFERROR(IF(AU$77+$F78&lt;=12,SUMIFS('Attrition Modeling'!$D:$D,'Attrition Modeling'!$C:$C,$D78,'Attrition Modeling'!$B:$B,AU$76),VLOOKUP($F78+AU$77,$A$7:$C$107,2,FALSE)*VLOOKUP(AU$76,'Attrition Modeling'!$L$15:$N$27,IF(AU$77+$F78&lt;=24,2,3),FALSE)),$C$3)*(1+IF('IP Attrition'!AU135&gt;0,'Attrition Modeling'!$N$9,0)))</f>
        <v>0</v>
      </c>
      <c r="AV78" s="799">
        <f>AU78*(1-IFERROR(IF(AV$77+$F78&lt;=12,SUMIFS('Attrition Modeling'!$D:$D,'Attrition Modeling'!$C:$C,$D78,'Attrition Modeling'!$B:$B,AV$76),VLOOKUP($F78+AV$77,$A$7:$C$107,2,FALSE)*VLOOKUP(AV$76,'Attrition Modeling'!$L$15:$N$27,IF(AV$77+$F78&lt;=24,2,3),FALSE)),$C$3)*(1+IF('IP Attrition'!AV135&gt;0,'Attrition Modeling'!$N$9,0)))</f>
        <v>0</v>
      </c>
      <c r="AW78" s="799">
        <f>AV78*(1-IFERROR(IF(AW$77+$F78&lt;=12,SUMIFS('Attrition Modeling'!$D:$D,'Attrition Modeling'!$C:$C,$D78,'Attrition Modeling'!$B:$B,AW$76),VLOOKUP($F78+AW$77,$A$7:$C$107,2,FALSE)*VLOOKUP(AW$76,'Attrition Modeling'!$L$15:$N$27,IF(AW$77+$F78&lt;=24,2,3),FALSE)),$C$3)*(1+IF('IP Attrition'!AW135&gt;0,'Attrition Modeling'!$N$9,0)))</f>
        <v>0</v>
      </c>
      <c r="AX78" s="799">
        <f>AW78*(1-IFERROR(IF(AX$77+$F78&lt;=12,SUMIFS('Attrition Modeling'!$D:$D,'Attrition Modeling'!$C:$C,$D78,'Attrition Modeling'!$B:$B,AX$76),VLOOKUP($F78+AX$77,$A$7:$C$107,2,FALSE)*VLOOKUP(AX$76,'Attrition Modeling'!$L$15:$N$27,IF(AX$77+$F78&lt;=24,2,3),FALSE)),$C$3)*(1+IF('IP Attrition'!AX135&gt;0,'Attrition Modeling'!$N$9,0)))</f>
        <v>0</v>
      </c>
      <c r="AY78" s="799">
        <f>AX78*(1-IFERROR(IF(AY$77+$F78&lt;=12,SUMIFS('Attrition Modeling'!$D:$D,'Attrition Modeling'!$C:$C,$D78,'Attrition Modeling'!$B:$B,AY$76),VLOOKUP($F78+AY$77,$A$7:$C$107,2,FALSE)*VLOOKUP(AY$76,'Attrition Modeling'!$L$15:$N$27,IF(AY$77+$F78&lt;=24,2,3),FALSE)),$C$3)*(1+IF('IP Attrition'!AY135&gt;0,'Attrition Modeling'!$N$9,0)))</f>
        <v>0</v>
      </c>
      <c r="AZ78" s="799">
        <f>AY78*(1-IFERROR(IF(AZ$77+$F78&lt;=12,SUMIFS('Attrition Modeling'!$D:$D,'Attrition Modeling'!$C:$C,$D78,'Attrition Modeling'!$B:$B,AZ$76),VLOOKUP($F78+AZ$77,$A$7:$C$107,2,FALSE)*VLOOKUP(AZ$76,'Attrition Modeling'!$L$15:$N$27,IF(AZ$77+$F78&lt;=24,2,3),FALSE)),$C$3)*(1+IF('IP Attrition'!AZ135&gt;0,'Attrition Modeling'!$N$9,0)))</f>
        <v>0</v>
      </c>
      <c r="BA78" s="799">
        <f>AZ78*(1-IFERROR(IF(BA$77+$F78&lt;=12,SUMIFS('Attrition Modeling'!$D:$D,'Attrition Modeling'!$C:$C,$D78,'Attrition Modeling'!$B:$B,BA$76),VLOOKUP($F78+BA$77,$A$7:$C$107,2,FALSE)*VLOOKUP(BA$76,'Attrition Modeling'!$L$15:$N$27,IF(BA$77+$F78&lt;=24,2,3),FALSE)),$C$3)*(1+IF('IP Attrition'!BA135&gt;0,'Attrition Modeling'!$N$9,0)))</f>
        <v>0</v>
      </c>
      <c r="BB78" s="799">
        <f>BA78*(1-IFERROR(IF(BB$77+$F78&lt;=12,SUMIFS('Attrition Modeling'!$D:$D,'Attrition Modeling'!$C:$C,$D78,'Attrition Modeling'!$B:$B,BB$76),VLOOKUP($F78+BB$77,$A$7:$C$107,2,FALSE)*VLOOKUP(BB$76,'Attrition Modeling'!$L$15:$N$27,IF(BB$77+$F78&lt;=24,2,3),FALSE)),$C$3)*(1+IF('IP Attrition'!BB135&gt;0,'Attrition Modeling'!$N$9,0)))</f>
        <v>0</v>
      </c>
      <c r="BC78" s="799">
        <f>BB78*(1-IFERROR(IF(BC$77+$F78&lt;=12,SUMIFS('Attrition Modeling'!$D:$D,'Attrition Modeling'!$C:$C,$D78,'Attrition Modeling'!$B:$B,BC$76),VLOOKUP($F78+BC$77,$A$7:$C$107,2,FALSE)*VLOOKUP(BC$76,'Attrition Modeling'!$L$15:$N$27,IF(BC$77+$F78&lt;=24,2,3),FALSE)),$C$3)*(1+IF('IP Attrition'!BC135&gt;0,'Attrition Modeling'!$N$9,0)))</f>
        <v>0</v>
      </c>
      <c r="BD78" s="799">
        <f>BC78*(1-IFERROR(IF(BD$77+$F78&lt;=12,SUMIFS('Attrition Modeling'!$D:$D,'Attrition Modeling'!$C:$C,$D78,'Attrition Modeling'!$B:$B,BD$76),VLOOKUP($F78+BD$77,$A$7:$C$107,2,FALSE)*VLOOKUP(BD$76,'Attrition Modeling'!$L$15:$N$27,IF(BD$77+$F78&lt;=24,2,3),FALSE)),$C$3)*(1+IF('IP Attrition'!BD135&gt;0,'Attrition Modeling'!$N$9,0)))</f>
        <v>0</v>
      </c>
      <c r="BE78" s="799">
        <f>BD78*(1-IFERROR(IF(BE$77+$F78&lt;=12,SUMIFS('Attrition Modeling'!$D:$D,'Attrition Modeling'!$C:$C,$D78,'Attrition Modeling'!$B:$B,BE$76),VLOOKUP($F78+BE$77,$A$7:$C$107,2,FALSE)*VLOOKUP(BE$76,'Attrition Modeling'!$L$15:$N$27,IF(BE$77+$F78&lt;=24,2,3),FALSE)),$C$3)*(1+IF('IP Attrition'!BE135&gt;0,'Attrition Modeling'!$N$9,0)))</f>
        <v>0</v>
      </c>
      <c r="BF78" s="799">
        <f>BE78*(1-IFERROR(IF(BF$77+$F78&lt;=12,SUMIFS('Attrition Modeling'!$D:$D,'Attrition Modeling'!$C:$C,$D78,'Attrition Modeling'!$B:$B,BF$76),VLOOKUP($F78+BF$77,$A$7:$C$107,2,FALSE)*VLOOKUP(BF$76,'Attrition Modeling'!$L$15:$N$27,IF(BF$77+$F78&lt;=24,2,3),FALSE)),$C$3)*(1+IF('IP Attrition'!BF135&gt;0,'Attrition Modeling'!$N$9,0)))</f>
        <v>0</v>
      </c>
      <c r="BG78" s="799">
        <f>BF78*(1-IFERROR(IF(BG$77+$F78&lt;=12,SUMIFS('Attrition Modeling'!$D:$D,'Attrition Modeling'!$C:$C,$D78,'Attrition Modeling'!$B:$B,BG$76),VLOOKUP($F78+BG$77,$A$7:$C$107,2,FALSE)*VLOOKUP(BG$76,'Attrition Modeling'!$L$15:$N$27,IF(BG$77+$F78&lt;=24,2,3),FALSE)),$C$3)*(1+IF('IP Attrition'!BG135&gt;0,'Attrition Modeling'!$N$9,0)))</f>
        <v>0</v>
      </c>
      <c r="BH78" s="799">
        <f>BG78*(1-IFERROR(IF(BH$77+$F78&lt;=12,SUMIFS('Attrition Modeling'!$D:$D,'Attrition Modeling'!$C:$C,$D78,'Attrition Modeling'!$B:$B,BH$76),VLOOKUP($F78+BH$77,$A$7:$C$107,2,FALSE)*VLOOKUP(BH$76,'Attrition Modeling'!$L$15:$N$27,IF(BH$77+$F78&lt;=24,2,3),FALSE)),$C$3)*(1+IF('IP Attrition'!BH135&gt;0,'Attrition Modeling'!$N$9,0)))</f>
        <v>0</v>
      </c>
      <c r="BI78" s="799">
        <f>BH78*(1-IFERROR(IF(BI$77+$F78&lt;=12,SUMIFS('Attrition Modeling'!$D:$D,'Attrition Modeling'!$C:$C,$D78,'Attrition Modeling'!$B:$B,BI$76),VLOOKUP($F78+BI$77,$A$7:$C$107,2,FALSE)*VLOOKUP(BI$76,'Attrition Modeling'!$L$15:$N$27,IF(BI$77+$F78&lt;=24,2,3),FALSE)),$C$3)*(1+IF('IP Attrition'!BI135&gt;0,'Attrition Modeling'!$N$9,0)))</f>
        <v>0</v>
      </c>
      <c r="BJ78" s="799">
        <f>BI78*(1-IFERROR(IF(BJ$77+$F78&lt;=12,SUMIFS('Attrition Modeling'!$D:$D,'Attrition Modeling'!$C:$C,$D78,'Attrition Modeling'!$B:$B,BJ$76),VLOOKUP($F78+BJ$77,$A$7:$C$107,2,FALSE)*VLOOKUP(BJ$76,'Attrition Modeling'!$L$15:$N$27,IF(BJ$77+$F78&lt;=24,2,3),FALSE)),$C$3)*(1+IF('IP Attrition'!BJ135&gt;0,'Attrition Modeling'!$N$9,0)))</f>
        <v>0</v>
      </c>
      <c r="BK78" s="799">
        <f>BJ78*(1-IFERROR(IF(BK$77+$F78&lt;=12,SUMIFS('Attrition Modeling'!$D:$D,'Attrition Modeling'!$C:$C,$D78,'Attrition Modeling'!$B:$B,BK$76),VLOOKUP($F78+BK$77,$A$7:$C$107,2,FALSE)*VLOOKUP(BK$76,'Attrition Modeling'!$L$15:$N$27,IF(BK$77+$F78&lt;=24,2,3),FALSE)),$C$3)*(1+IF('IP Attrition'!BK135&gt;0,'Attrition Modeling'!$N$9,0)))</f>
        <v>0</v>
      </c>
      <c r="BL78" s="799">
        <f>BK78*(1-IFERROR(IF(BL$77+$F78&lt;=12,SUMIFS('Attrition Modeling'!$D:$D,'Attrition Modeling'!$C:$C,$D78,'Attrition Modeling'!$B:$B,BL$76),VLOOKUP($F78+BL$77,$A$7:$C$107,2,FALSE)*VLOOKUP(BL$76,'Attrition Modeling'!$L$15:$N$27,IF(BL$77+$F78&lt;=24,2,3),FALSE)),$C$3)*(1+IF('IP Attrition'!BL135&gt;0,'Attrition Modeling'!$N$9,0)))</f>
        <v>0</v>
      </c>
      <c r="BM78" s="799">
        <f>BL78*(1-IFERROR(IF(BM$77+$F78&lt;=12,SUMIFS('Attrition Modeling'!$D:$D,'Attrition Modeling'!$C:$C,$D78,'Attrition Modeling'!$B:$B,BM$76),VLOOKUP($F78+BM$77,$A$7:$C$107,2,FALSE)*VLOOKUP(BM$76,'Attrition Modeling'!$L$15:$N$27,IF(BM$77+$F78&lt;=24,2,3),FALSE)),$C$3)*(1+IF('IP Attrition'!BM135&gt;0,'Attrition Modeling'!$N$9,0)))</f>
        <v>0</v>
      </c>
      <c r="BN78" s="799">
        <f>BM78*(1-IFERROR(IF(BN$77+$F78&lt;=12,SUMIFS('Attrition Modeling'!$D:$D,'Attrition Modeling'!$C:$C,$D78,'Attrition Modeling'!$B:$B,BN$76),VLOOKUP($F78+BN$77,$A$7:$C$107,2,FALSE)*VLOOKUP(BN$76,'Attrition Modeling'!$L$15:$N$27,IF(BN$77+$F78&lt;=24,2,3),FALSE)),$C$3)*(1+IF('IP Attrition'!BN135&gt;0,'Attrition Modeling'!$N$9,0)))</f>
        <v>0</v>
      </c>
      <c r="BO78" s="799">
        <f>BN78*(1-IFERROR(IF(BO$77+$F78&lt;=12,SUMIFS('Attrition Modeling'!$D:$D,'Attrition Modeling'!$C:$C,$D78,'Attrition Modeling'!$B:$B,BO$76),VLOOKUP($F78+BO$77,$A$7:$C$107,2,FALSE)*VLOOKUP(BO$76,'Attrition Modeling'!$L$15:$N$27,IF(BO$77+$F78&lt;=24,2,3),FALSE)),$C$3)*(1+IF('IP Attrition'!BO135&gt;0,'Attrition Modeling'!$N$9,0)))</f>
        <v>0</v>
      </c>
      <c r="BP78" s="799">
        <f>BO78*(1-IFERROR(IF(BP$77+$F78&lt;=12,SUMIFS('Attrition Modeling'!$D:$D,'Attrition Modeling'!$C:$C,$D78,'Attrition Modeling'!$B:$B,BP$76),VLOOKUP($F78+BP$77,$A$7:$C$107,2,FALSE)*VLOOKUP(BP$76,'Attrition Modeling'!$L$15:$N$27,IF(BP$77+$F78&lt;=24,2,3),FALSE)),$C$3)*(1+IF('IP Attrition'!BP135&gt;0,'Attrition Modeling'!$N$9,0)))</f>
        <v>0</v>
      </c>
      <c r="BQ78" s="799">
        <f>BP78*(1-IFERROR(IF(BQ$77+$F78&lt;=12,SUMIFS('Attrition Modeling'!$D:$D,'Attrition Modeling'!$C:$C,$D78,'Attrition Modeling'!$B:$B,BQ$76),VLOOKUP($F78+BQ$77,$A$7:$C$107,2,FALSE)*VLOOKUP(BQ$76,'Attrition Modeling'!$L$15:$N$27,IF(BQ$77+$F78&lt;=24,2,3),FALSE)),$C$3)*(1+IF('IP Attrition'!BQ135&gt;0,'Attrition Modeling'!$N$9,0)))</f>
        <v>0</v>
      </c>
      <c r="BR78" s="799">
        <f>BQ78*(1-IFERROR(IF(BR$77+$F78&lt;=12,SUMIFS('Attrition Modeling'!$D:$D,'Attrition Modeling'!$C:$C,$D78,'Attrition Modeling'!$B:$B,BR$76),VLOOKUP($F78+BR$77,$A$7:$C$107,2,FALSE)*VLOOKUP(BR$76,'Attrition Modeling'!$L$15:$N$27,IF(BR$77+$F78&lt;=24,2,3),FALSE)),$C$3)*(1+IF('IP Attrition'!BR135&gt;0,'Attrition Modeling'!$N$9,0)))</f>
        <v>0</v>
      </c>
      <c r="BS78" s="799">
        <f>BR78*(1-IFERROR(IF(BS$77+$F78&lt;=12,SUMIFS('Attrition Modeling'!$D:$D,'Attrition Modeling'!$C:$C,$D78,'Attrition Modeling'!$B:$B,BS$76),VLOOKUP($F78+BS$77,$A$7:$C$107,2,FALSE)*VLOOKUP(BS$76,'Attrition Modeling'!$L$15:$N$27,IF(BS$77+$F78&lt;=24,2,3),FALSE)),$C$3)*(1+IF('IP Attrition'!BS135&gt;0,'Attrition Modeling'!$N$9,0)))</f>
        <v>0</v>
      </c>
      <c r="BT78" s="799" t="e">
        <f>BS78*(1-IFERROR(IF(BT$77+$F78&lt;=12,SUMIFS('Attrition Modeling'!$D:$D,'Attrition Modeling'!$C:$C,$D78,'Attrition Modeling'!$B:$B,BT$76),VLOOKUP($F78+BT$77,$A$7:$C$107,2,FALSE)*VLOOKUP(BT$76,'Attrition Modeling'!$L$15:$N$27,IF(BT$77+$F78&lt;=24,2,3),FALSE)),$C$3)*(1+IF('IP Attrition'!BT135&gt;0,'Attrition Modeling'!$N$9,0)))</f>
        <v>#REF!</v>
      </c>
      <c r="BU78" s="799" t="e">
        <f>BT78*(1-IFERROR(IF(BU$77+$F78&lt;=12,SUMIFS('Attrition Modeling'!$D:$D,'Attrition Modeling'!$C:$C,$D78,'Attrition Modeling'!$B:$B,BU$76),VLOOKUP($F78+BU$77,$A$7:$C$107,2,FALSE)*VLOOKUP(BU$76,'Attrition Modeling'!$L$15:$N$27,IF(BU$77+$F78&lt;=24,2,3),FALSE)),$C$3)*(1+IF('IP Attrition'!BU135&gt;0,'Attrition Modeling'!$N$9,0)))</f>
        <v>#REF!</v>
      </c>
    </row>
    <row r="79" spans="1:73" ht="14.25" customHeight="1" x14ac:dyDescent="0.2">
      <c r="A79" s="9">
        <v>71</v>
      </c>
      <c r="B79" s="25">
        <f>MAX('Attrition Modeling'!H75,$C$3)*(1-Summary!$C$20)</f>
        <v>0.02</v>
      </c>
      <c r="C79" s="24" t="e">
        <f t="shared" si="2"/>
        <v>#DIV/0!</v>
      </c>
      <c r="D79" s="11">
        <f>'IP Attrition'!D71</f>
        <v>-1</v>
      </c>
      <c r="E79" s="25">
        <f>'IP Attrition'!E71</f>
        <v>0.15998048074127216</v>
      </c>
      <c r="F79" s="11">
        <f t="shared" ref="F79:F138" si="8">F78+1</f>
        <v>1</v>
      </c>
      <c r="G79" s="799">
        <f>Summary!$C$24*$E79</f>
        <v>0</v>
      </c>
      <c r="H79" s="799">
        <f>G79*(1-IFERROR(IF(H$77+$F79&lt;=12,SUMIFS('Attrition Modeling'!$D:$D,'Attrition Modeling'!$C:$C,$D79,'Attrition Modeling'!$B:$B,H$76),VLOOKUP($F79+H$77,$A$7:$C$107,2,FALSE)*VLOOKUP(H$76,'Attrition Modeling'!$L$15:$N$27,IF(H$77+$F79&lt;=24,2,3),FALSE)),$C$3)*(1+IF('IP Attrition'!H136&gt;0,'Attrition Modeling'!$N$9,0)))</f>
        <v>0</v>
      </c>
      <c r="I79" s="799">
        <f>H79*(1-IFERROR(IF(I$77+$F79&lt;=12,SUMIFS('Attrition Modeling'!$D:$D,'Attrition Modeling'!$C:$C,$D79,'Attrition Modeling'!$B:$B,I$76),VLOOKUP($F79+I$77,$A$7:$C$107,2,FALSE)*VLOOKUP(I$76,'Attrition Modeling'!$L$15:$N$27,IF(I$77+$F79&lt;=24,2,3),FALSE)),$C$3)*(1+IF('IP Attrition'!I136&gt;0,'Attrition Modeling'!$N$9,0)))</f>
        <v>0</v>
      </c>
      <c r="J79" s="799">
        <f>I79*(1-IFERROR(IF(J$77+$F79&lt;=12,SUMIFS('Attrition Modeling'!$D:$D,'Attrition Modeling'!$C:$C,$D79,'Attrition Modeling'!$B:$B,J$76),VLOOKUP($F79+J$77,$A$7:$C$107,2,FALSE)*VLOOKUP(J$76,'Attrition Modeling'!$L$15:$N$27,IF(J$77+$F79&lt;=24,2,3),FALSE)),$C$3)*(1+IF('IP Attrition'!J136&gt;0,'Attrition Modeling'!$N$9,0)))</f>
        <v>0</v>
      </c>
      <c r="K79" s="799">
        <f>J79*(1-IFERROR(IF(K$77+$F79&lt;=12,SUMIFS('Attrition Modeling'!$D:$D,'Attrition Modeling'!$C:$C,$D79,'Attrition Modeling'!$B:$B,K$76),VLOOKUP($F79+K$77,$A$7:$C$107,2,FALSE)*VLOOKUP(K$76,'Attrition Modeling'!$L$15:$N$27,IF(K$77+$F79&lt;=24,2,3),FALSE)),$C$3)*(1+IF('IP Attrition'!K136&gt;0,'Attrition Modeling'!$N$9,0)))</f>
        <v>0</v>
      </c>
      <c r="L79" s="799">
        <f>K79*(1-IFERROR(IF(L$77+$F79&lt;=12,SUMIFS('Attrition Modeling'!$D:$D,'Attrition Modeling'!$C:$C,$D79,'Attrition Modeling'!$B:$B,L$76),VLOOKUP($F79+L$77,$A$7:$C$107,2,FALSE)*VLOOKUP(L$76,'Attrition Modeling'!$L$15:$N$27,IF(L$77+$F79&lt;=24,2,3),FALSE)),$C$3)*(1+IF('IP Attrition'!L136&gt;0,'Attrition Modeling'!$N$9,0)))</f>
        <v>0</v>
      </c>
      <c r="M79" s="799">
        <f>L79*(1-IFERROR(IF(M$77+$F79&lt;=12,SUMIFS('Attrition Modeling'!$D:$D,'Attrition Modeling'!$C:$C,$D79,'Attrition Modeling'!$B:$B,M$76),VLOOKUP($F79+M$77,$A$7:$C$107,2,FALSE)*VLOOKUP(M$76,'Attrition Modeling'!$L$15:$N$27,IF(M$77+$F79&lt;=24,2,3),FALSE)),$C$3)*(1+IF('IP Attrition'!M136&gt;0,'Attrition Modeling'!$N$9,0)))</f>
        <v>0</v>
      </c>
      <c r="N79" s="799">
        <f>M79*(1-IFERROR(IF(N$77+$F79&lt;=12,SUMIFS('Attrition Modeling'!$D:$D,'Attrition Modeling'!$C:$C,$D79,'Attrition Modeling'!$B:$B,N$76),VLOOKUP($F79+N$77,$A$7:$C$107,2,FALSE)*VLOOKUP(N$76,'Attrition Modeling'!$L$15:$N$27,IF(N$77+$F79&lt;=24,2,3),FALSE)),$C$3)*(1+IF('IP Attrition'!N136&gt;0,'Attrition Modeling'!$N$9,0)))</f>
        <v>0</v>
      </c>
      <c r="O79" s="799">
        <f>N79*(1-IFERROR(IF(O$77+$F79&lt;=12,SUMIFS('Attrition Modeling'!$D:$D,'Attrition Modeling'!$C:$C,$D79,'Attrition Modeling'!$B:$B,O$76),VLOOKUP($F79+O$77,$A$7:$C$107,2,FALSE)*VLOOKUP(O$76,'Attrition Modeling'!$L$15:$N$27,IF(O$77+$F79&lt;=24,2,3),FALSE)),$C$3)*(1+IF('IP Attrition'!O136&gt;0,'Attrition Modeling'!$N$9,0)))</f>
        <v>0</v>
      </c>
      <c r="P79" s="799">
        <f>O79*(1-IFERROR(IF(P$77+$F79&lt;=12,SUMIFS('Attrition Modeling'!$D:$D,'Attrition Modeling'!$C:$C,$D79,'Attrition Modeling'!$B:$B,P$76),VLOOKUP($F79+P$77,$A$7:$C$107,2,FALSE)*VLOOKUP(P$76,'Attrition Modeling'!$L$15:$N$27,IF(P$77+$F79&lt;=24,2,3),FALSE)),$C$3)*(1+IF('IP Attrition'!P136&gt;0,'Attrition Modeling'!$N$9,0)))</f>
        <v>0</v>
      </c>
      <c r="Q79" s="799">
        <f>P79*(1-IFERROR(IF(Q$77+$F79&lt;=12,SUMIFS('Attrition Modeling'!$D:$D,'Attrition Modeling'!$C:$C,$D79,'Attrition Modeling'!$B:$B,Q$76),VLOOKUP($F79+Q$77,$A$7:$C$107,2,FALSE)*VLOOKUP(Q$76,'Attrition Modeling'!$L$15:$N$27,IF(Q$77+$F79&lt;=24,2,3),FALSE)),$C$3)*(1+IF('IP Attrition'!Q136&gt;0,'Attrition Modeling'!$N$9,0)))</f>
        <v>0</v>
      </c>
      <c r="R79" s="799">
        <f>Q79*(1-IFERROR(IF(R$77+$F79&lt;=12,SUMIFS('Attrition Modeling'!$D:$D,'Attrition Modeling'!$C:$C,$D79,'Attrition Modeling'!$B:$B,R$76),VLOOKUP($F79+R$77,$A$7:$C$107,2,FALSE)*VLOOKUP(R$76,'Attrition Modeling'!$L$15:$N$27,IF(R$77+$F79&lt;=24,2,3),FALSE)),$C$3)*(1+IF('IP Attrition'!R136&gt;0,'Attrition Modeling'!$N$9,0)))</f>
        <v>0</v>
      </c>
      <c r="S79" s="799">
        <f>R79*(1-IFERROR(IF(S$77+$F79&lt;=12,SUMIFS('Attrition Modeling'!$D:$D,'Attrition Modeling'!$C:$C,$D79,'Attrition Modeling'!$B:$B,S$76),VLOOKUP($F79+S$77,$A$7:$C$107,2,FALSE)*VLOOKUP(S$76,'Attrition Modeling'!$L$15:$N$27,IF(S$77+$F79&lt;=24,2,3),FALSE)),$C$3)*(1+IF('IP Attrition'!S136&gt;0,'Attrition Modeling'!$N$9,0)))</f>
        <v>0</v>
      </c>
      <c r="T79" s="799">
        <f>S79*(1-IFERROR(IF(T$77+$F79&lt;=12,SUMIFS('Attrition Modeling'!$D:$D,'Attrition Modeling'!$C:$C,$D79,'Attrition Modeling'!$B:$B,T$76),VLOOKUP($F79+T$77,$A$7:$C$107,2,FALSE)*VLOOKUP(T$76,'Attrition Modeling'!$L$15:$N$27,IF(T$77+$F79&lt;=24,2,3),FALSE)),$C$3)*(1+IF('IP Attrition'!T136&gt;0,'Attrition Modeling'!$N$9,0)))</f>
        <v>0</v>
      </c>
      <c r="U79" s="799">
        <f>T79*(1-IFERROR(IF(U$77+$F79&lt;=12,SUMIFS('Attrition Modeling'!$D:$D,'Attrition Modeling'!$C:$C,$D79,'Attrition Modeling'!$B:$B,U$76),VLOOKUP($F79+U$77,$A$7:$C$107,2,FALSE)*VLOOKUP(U$76,'Attrition Modeling'!$L$15:$N$27,IF(U$77+$F79&lt;=24,2,3),FALSE)),$C$3)*(1+IF('IP Attrition'!U136&gt;0,'Attrition Modeling'!$N$9,0)))</f>
        <v>0</v>
      </c>
      <c r="V79" s="799">
        <f>U79*(1-IFERROR(IF(V$77+$F79&lt;=12,SUMIFS('Attrition Modeling'!$D:$D,'Attrition Modeling'!$C:$C,$D79,'Attrition Modeling'!$B:$B,V$76),VLOOKUP($F79+V$77,$A$7:$C$107,2,FALSE)*VLOOKUP(V$76,'Attrition Modeling'!$L$15:$N$27,IF(V$77+$F79&lt;=24,2,3),FALSE)),$C$3)*(1+IF('IP Attrition'!V136&gt;0,'Attrition Modeling'!$N$9,0)))</f>
        <v>0</v>
      </c>
      <c r="W79" s="799">
        <f>V79*(1-IFERROR(IF(W$77+$F79&lt;=12,SUMIFS('Attrition Modeling'!$D:$D,'Attrition Modeling'!$C:$C,$D79,'Attrition Modeling'!$B:$B,W$76),VLOOKUP($F79+W$77,$A$7:$C$107,2,FALSE)*VLOOKUP(W$76,'Attrition Modeling'!$L$15:$N$27,IF(W$77+$F79&lt;=24,2,3),FALSE)),$C$3)*(1+IF('IP Attrition'!W136&gt;0,'Attrition Modeling'!$N$9,0)))</f>
        <v>0</v>
      </c>
      <c r="X79" s="799">
        <f>W79*(1-IFERROR(IF(X$77+$F79&lt;=12,SUMIFS('Attrition Modeling'!$D:$D,'Attrition Modeling'!$C:$C,$D79,'Attrition Modeling'!$B:$B,X$76),VLOOKUP($F79+X$77,$A$7:$C$107,2,FALSE)*VLOOKUP(X$76,'Attrition Modeling'!$L$15:$N$27,IF(X$77+$F79&lt;=24,2,3),FALSE)),$C$3)*(1+IF('IP Attrition'!X136&gt;0,'Attrition Modeling'!$N$9,0)))</f>
        <v>0</v>
      </c>
      <c r="Y79" s="799">
        <f>X79*(1-IFERROR(IF(Y$77+$F79&lt;=12,SUMIFS('Attrition Modeling'!$D:$D,'Attrition Modeling'!$C:$C,$D79,'Attrition Modeling'!$B:$B,Y$76),VLOOKUP($F79+Y$77,$A$7:$C$107,2,FALSE)*VLOOKUP(Y$76,'Attrition Modeling'!$L$15:$N$27,IF(Y$77+$F79&lt;=24,2,3),FALSE)),$C$3)*(1+IF('IP Attrition'!Y136&gt;0,'Attrition Modeling'!$N$9,0)))</f>
        <v>0</v>
      </c>
      <c r="Z79" s="799">
        <f>Y79*(1-IFERROR(IF(Z$77+$F79&lt;=12,SUMIFS('Attrition Modeling'!$D:$D,'Attrition Modeling'!$C:$C,$D79,'Attrition Modeling'!$B:$B,Z$76),VLOOKUP($F79+Z$77,$A$7:$C$107,2,FALSE)*VLOOKUP(Z$76,'Attrition Modeling'!$L$15:$N$27,IF(Z$77+$F79&lt;=24,2,3),FALSE)),$C$3)*(1+IF('IP Attrition'!Z136&gt;0,'Attrition Modeling'!$N$9,0)))</f>
        <v>0</v>
      </c>
      <c r="AA79" s="799">
        <f>Z79*(1-IFERROR(IF(AA$77+$F79&lt;=12,SUMIFS('Attrition Modeling'!$D:$D,'Attrition Modeling'!$C:$C,$D79,'Attrition Modeling'!$B:$B,AA$76),VLOOKUP($F79+AA$77,$A$7:$C$107,2,FALSE)*VLOOKUP(AA$76,'Attrition Modeling'!$L$15:$N$27,IF(AA$77+$F79&lt;=24,2,3),FALSE)),$C$3)*(1+IF('IP Attrition'!AA136&gt;0,'Attrition Modeling'!$N$9,0)))</f>
        <v>0</v>
      </c>
      <c r="AB79" s="799">
        <f>AA79*(1-IFERROR(IF(AB$77+$F79&lt;=12,SUMIFS('Attrition Modeling'!$D:$D,'Attrition Modeling'!$C:$C,$D79,'Attrition Modeling'!$B:$B,AB$76),VLOOKUP($F79+AB$77,$A$7:$C$107,2,FALSE)*VLOOKUP(AB$76,'Attrition Modeling'!$L$15:$N$27,IF(AB$77+$F79&lt;=24,2,3),FALSE)),$C$3)*(1+IF('IP Attrition'!AB136&gt;0,'Attrition Modeling'!$N$9,0)))</f>
        <v>0</v>
      </c>
      <c r="AC79" s="799">
        <f>AB79*(1-IFERROR(IF(AC$77+$F79&lt;=12,SUMIFS('Attrition Modeling'!$D:$D,'Attrition Modeling'!$C:$C,$D79,'Attrition Modeling'!$B:$B,AC$76),VLOOKUP($F79+AC$77,$A$7:$C$107,2,FALSE)*VLOOKUP(AC$76,'Attrition Modeling'!$L$15:$N$27,IF(AC$77+$F79&lt;=24,2,3),FALSE)),$C$3)*(1+IF('IP Attrition'!AC136&gt;0,'Attrition Modeling'!$N$9,0)))</f>
        <v>0</v>
      </c>
      <c r="AD79" s="799">
        <f>AC79*(1-IFERROR(IF(AD$77+$F79&lt;=12,SUMIFS('Attrition Modeling'!$D:$D,'Attrition Modeling'!$C:$C,$D79,'Attrition Modeling'!$B:$B,AD$76),VLOOKUP($F79+AD$77,$A$7:$C$107,2,FALSE)*VLOOKUP(AD$76,'Attrition Modeling'!$L$15:$N$27,IF(AD$77+$F79&lt;=24,2,3),FALSE)),$C$3)*(1+IF('IP Attrition'!AD136&gt;0,'Attrition Modeling'!$N$9,0)))</f>
        <v>0</v>
      </c>
      <c r="AE79" s="799">
        <f>AD79*(1-IFERROR(IF(AE$77+$F79&lt;=12,SUMIFS('Attrition Modeling'!$D:$D,'Attrition Modeling'!$C:$C,$D79,'Attrition Modeling'!$B:$B,AE$76),VLOOKUP($F79+AE$77,$A$7:$C$107,2,FALSE)*VLOOKUP(AE$76,'Attrition Modeling'!$L$15:$N$27,IF(AE$77+$F79&lt;=24,2,3),FALSE)),$C$3)*(1+IF('IP Attrition'!AE136&gt;0,'Attrition Modeling'!$N$9,0)))</f>
        <v>0</v>
      </c>
      <c r="AF79" s="799">
        <f>AE79*(1-IFERROR(IF(AF$77+$F79&lt;=12,SUMIFS('Attrition Modeling'!$D:$D,'Attrition Modeling'!$C:$C,$D79,'Attrition Modeling'!$B:$B,AF$76),VLOOKUP($F79+AF$77,$A$7:$C$107,2,FALSE)*VLOOKUP(AF$76,'Attrition Modeling'!$L$15:$N$27,IF(AF$77+$F79&lt;=24,2,3),FALSE)),$C$3)*(1+IF('IP Attrition'!AF136&gt;0,'Attrition Modeling'!$N$9,0)))</f>
        <v>0</v>
      </c>
      <c r="AG79" s="799">
        <f>AF79*(1-IFERROR(IF(AG$77+$F79&lt;=12,SUMIFS('Attrition Modeling'!$D:$D,'Attrition Modeling'!$C:$C,$D79,'Attrition Modeling'!$B:$B,AG$76),VLOOKUP($F79+AG$77,$A$7:$C$107,2,FALSE)*VLOOKUP(AG$76,'Attrition Modeling'!$L$15:$N$27,IF(AG$77+$F79&lt;=24,2,3),FALSE)),$C$3)*(1+IF('IP Attrition'!AG136&gt;0,'Attrition Modeling'!$N$9,0)))</f>
        <v>0</v>
      </c>
      <c r="AH79" s="799">
        <f>AG79*(1-IFERROR(IF(AH$77+$F79&lt;=12,SUMIFS('Attrition Modeling'!$D:$D,'Attrition Modeling'!$C:$C,$D79,'Attrition Modeling'!$B:$B,AH$76),VLOOKUP($F79+AH$77,$A$7:$C$107,2,FALSE)*VLOOKUP(AH$76,'Attrition Modeling'!$L$15:$N$27,IF(AH$77+$F79&lt;=24,2,3),FALSE)),$C$3)*(1+IF('IP Attrition'!AH136&gt;0,'Attrition Modeling'!$N$9,0)))</f>
        <v>0</v>
      </c>
      <c r="AI79" s="799">
        <f>AH79*(1-IFERROR(IF(AI$77+$F79&lt;=12,SUMIFS('Attrition Modeling'!$D:$D,'Attrition Modeling'!$C:$C,$D79,'Attrition Modeling'!$B:$B,AI$76),VLOOKUP($F79+AI$77,$A$7:$C$107,2,FALSE)*VLOOKUP(AI$76,'Attrition Modeling'!$L$15:$N$27,IF(AI$77+$F79&lt;=24,2,3),FALSE)),$C$3)*(1+IF('IP Attrition'!AI136&gt;0,'Attrition Modeling'!$N$9,0)))</f>
        <v>0</v>
      </c>
      <c r="AJ79" s="799">
        <f>AI79*(1-IFERROR(IF(AJ$77+$F79&lt;=12,SUMIFS('Attrition Modeling'!$D:$D,'Attrition Modeling'!$C:$C,$D79,'Attrition Modeling'!$B:$B,AJ$76),VLOOKUP($F79+AJ$77,$A$7:$C$107,2,FALSE)*VLOOKUP(AJ$76,'Attrition Modeling'!$L$15:$N$27,IF(AJ$77+$F79&lt;=24,2,3),FALSE)),$C$3)*(1+IF('IP Attrition'!AJ136&gt;0,'Attrition Modeling'!$N$9,0)))</f>
        <v>0</v>
      </c>
      <c r="AK79" s="799">
        <f>AJ79*(1-IFERROR(IF(AK$77+$F79&lt;=12,SUMIFS('Attrition Modeling'!$D:$D,'Attrition Modeling'!$C:$C,$D79,'Attrition Modeling'!$B:$B,AK$76),VLOOKUP($F79+AK$77,$A$7:$C$107,2,FALSE)*VLOOKUP(AK$76,'Attrition Modeling'!$L$15:$N$27,IF(AK$77+$F79&lt;=24,2,3),FALSE)),$C$3)*(1+IF('IP Attrition'!AK136&gt;0,'Attrition Modeling'!$N$9,0)))</f>
        <v>0</v>
      </c>
      <c r="AL79" s="799">
        <f>AK79*(1-IFERROR(IF(AL$77+$F79&lt;=12,SUMIFS('Attrition Modeling'!$D:$D,'Attrition Modeling'!$C:$C,$D79,'Attrition Modeling'!$B:$B,AL$76),VLOOKUP($F79+AL$77,$A$7:$C$107,2,FALSE)*VLOOKUP(AL$76,'Attrition Modeling'!$L$15:$N$27,IF(AL$77+$F79&lt;=24,2,3),FALSE)),$C$3)*(1+IF('IP Attrition'!AL136&gt;0,'Attrition Modeling'!$N$9,0)))</f>
        <v>0</v>
      </c>
      <c r="AM79" s="799">
        <f>AL79*(1-IFERROR(IF(AM$77+$F79&lt;=12,SUMIFS('Attrition Modeling'!$D:$D,'Attrition Modeling'!$C:$C,$D79,'Attrition Modeling'!$B:$B,AM$76),VLOOKUP($F79+AM$77,$A$7:$C$107,2,FALSE)*VLOOKUP(AM$76,'Attrition Modeling'!$L$15:$N$27,IF(AM$77+$F79&lt;=24,2,3),FALSE)),$C$3)*(1+IF('IP Attrition'!AM136&gt;0,'Attrition Modeling'!$N$9,0)))</f>
        <v>0</v>
      </c>
      <c r="AN79" s="799">
        <f>AM79*(1-IFERROR(IF(AN$77+$F79&lt;=12,SUMIFS('Attrition Modeling'!$D:$D,'Attrition Modeling'!$C:$C,$D79,'Attrition Modeling'!$B:$B,AN$76),VLOOKUP($F79+AN$77,$A$7:$C$107,2,FALSE)*VLOOKUP(AN$76,'Attrition Modeling'!$L$15:$N$27,IF(AN$77+$F79&lt;=24,2,3),FALSE)),$C$3)*(1+IF('IP Attrition'!AN136&gt;0,'Attrition Modeling'!$N$9,0)))</f>
        <v>0</v>
      </c>
      <c r="AO79" s="799">
        <f>AN79*(1-IFERROR(IF(AO$77+$F79&lt;=12,SUMIFS('Attrition Modeling'!$D:$D,'Attrition Modeling'!$C:$C,$D79,'Attrition Modeling'!$B:$B,AO$76),VLOOKUP($F79+AO$77,$A$7:$C$107,2,FALSE)*VLOOKUP(AO$76,'Attrition Modeling'!$L$15:$N$27,IF(AO$77+$F79&lt;=24,2,3),FALSE)),$C$3)*(1+IF('IP Attrition'!AO136&gt;0,'Attrition Modeling'!$N$9,0)))</f>
        <v>0</v>
      </c>
      <c r="AP79" s="799">
        <f>AO79*(1-IFERROR(IF(AP$77+$F79&lt;=12,SUMIFS('Attrition Modeling'!$D:$D,'Attrition Modeling'!$C:$C,$D79,'Attrition Modeling'!$B:$B,AP$76),VLOOKUP($F79+AP$77,$A$7:$C$107,2,FALSE)*VLOOKUP(AP$76,'Attrition Modeling'!$L$15:$N$27,IF(AP$77+$F79&lt;=24,2,3),FALSE)),$C$3)*(1+IF('IP Attrition'!AP136&gt;0,'Attrition Modeling'!$N$9,0)))</f>
        <v>0</v>
      </c>
      <c r="AQ79" s="799">
        <f>AP79*(1-IFERROR(IF(AQ$77+$F79&lt;=12,SUMIFS('Attrition Modeling'!$D:$D,'Attrition Modeling'!$C:$C,$D79,'Attrition Modeling'!$B:$B,AQ$76),VLOOKUP($F79+AQ$77,$A$7:$C$107,2,FALSE)*VLOOKUP(AQ$76,'Attrition Modeling'!$L$15:$N$27,IF(AQ$77+$F79&lt;=24,2,3),FALSE)),$C$3)*(1+IF('IP Attrition'!AQ136&gt;0,'Attrition Modeling'!$N$9,0)))</f>
        <v>0</v>
      </c>
      <c r="AR79" s="799">
        <f>AQ79*(1-IFERROR(IF(AR$77+$F79&lt;=12,SUMIFS('Attrition Modeling'!$D:$D,'Attrition Modeling'!$C:$C,$D79,'Attrition Modeling'!$B:$B,AR$76),VLOOKUP($F79+AR$77,$A$7:$C$107,2,FALSE)*VLOOKUP(AR$76,'Attrition Modeling'!$L$15:$N$27,IF(AR$77+$F79&lt;=24,2,3),FALSE)),$C$3)*(1+IF('IP Attrition'!AR136&gt;0,'Attrition Modeling'!$N$9,0)))</f>
        <v>0</v>
      </c>
      <c r="AS79" s="799">
        <f>AR79*(1-IFERROR(IF(AS$77+$F79&lt;=12,SUMIFS('Attrition Modeling'!$D:$D,'Attrition Modeling'!$C:$C,$D79,'Attrition Modeling'!$B:$B,AS$76),VLOOKUP($F79+AS$77,$A$7:$C$107,2,FALSE)*VLOOKUP(AS$76,'Attrition Modeling'!$L$15:$N$27,IF(AS$77+$F79&lt;=24,2,3),FALSE)),$C$3)*(1+IF('IP Attrition'!AS136&gt;0,'Attrition Modeling'!$N$9,0)))</f>
        <v>0</v>
      </c>
      <c r="AT79" s="799">
        <f>AS79*(1-IFERROR(IF(AT$77+$F79&lt;=12,SUMIFS('Attrition Modeling'!$D:$D,'Attrition Modeling'!$C:$C,$D79,'Attrition Modeling'!$B:$B,AT$76),VLOOKUP($F79+AT$77,$A$7:$C$107,2,FALSE)*VLOOKUP(AT$76,'Attrition Modeling'!$L$15:$N$27,IF(AT$77+$F79&lt;=24,2,3),FALSE)),$C$3)*(1+IF('IP Attrition'!AT136&gt;0,'Attrition Modeling'!$N$9,0)))</f>
        <v>0</v>
      </c>
      <c r="AU79" s="799">
        <f>AT79*(1-IFERROR(IF(AU$77+$F79&lt;=12,SUMIFS('Attrition Modeling'!$D:$D,'Attrition Modeling'!$C:$C,$D79,'Attrition Modeling'!$B:$B,AU$76),VLOOKUP($F79+AU$77,$A$7:$C$107,2,FALSE)*VLOOKUP(AU$76,'Attrition Modeling'!$L$15:$N$27,IF(AU$77+$F79&lt;=24,2,3),FALSE)),$C$3)*(1+IF('IP Attrition'!AU136&gt;0,'Attrition Modeling'!$N$9,0)))</f>
        <v>0</v>
      </c>
      <c r="AV79" s="799">
        <f>AU79*(1-IFERROR(IF(AV$77+$F79&lt;=12,SUMIFS('Attrition Modeling'!$D:$D,'Attrition Modeling'!$C:$C,$D79,'Attrition Modeling'!$B:$B,AV$76),VLOOKUP($F79+AV$77,$A$7:$C$107,2,FALSE)*VLOOKUP(AV$76,'Attrition Modeling'!$L$15:$N$27,IF(AV$77+$F79&lt;=24,2,3),FALSE)),$C$3)*(1+IF('IP Attrition'!AV136&gt;0,'Attrition Modeling'!$N$9,0)))</f>
        <v>0</v>
      </c>
      <c r="AW79" s="799">
        <f>AV79*(1-IFERROR(IF(AW$77+$F79&lt;=12,SUMIFS('Attrition Modeling'!$D:$D,'Attrition Modeling'!$C:$C,$D79,'Attrition Modeling'!$B:$B,AW$76),VLOOKUP($F79+AW$77,$A$7:$C$107,2,FALSE)*VLOOKUP(AW$76,'Attrition Modeling'!$L$15:$N$27,IF(AW$77+$F79&lt;=24,2,3),FALSE)),$C$3)*(1+IF('IP Attrition'!AW136&gt;0,'Attrition Modeling'!$N$9,0)))</f>
        <v>0</v>
      </c>
      <c r="AX79" s="799">
        <f>AW79*(1-IFERROR(IF(AX$77+$F79&lt;=12,SUMIFS('Attrition Modeling'!$D:$D,'Attrition Modeling'!$C:$C,$D79,'Attrition Modeling'!$B:$B,AX$76),VLOOKUP($F79+AX$77,$A$7:$C$107,2,FALSE)*VLOOKUP(AX$76,'Attrition Modeling'!$L$15:$N$27,IF(AX$77+$F79&lt;=24,2,3),FALSE)),$C$3)*(1+IF('IP Attrition'!AX136&gt;0,'Attrition Modeling'!$N$9,0)))</f>
        <v>0</v>
      </c>
      <c r="AY79" s="799">
        <f>AX79*(1-IFERROR(IF(AY$77+$F79&lt;=12,SUMIFS('Attrition Modeling'!$D:$D,'Attrition Modeling'!$C:$C,$D79,'Attrition Modeling'!$B:$B,AY$76),VLOOKUP($F79+AY$77,$A$7:$C$107,2,FALSE)*VLOOKUP(AY$76,'Attrition Modeling'!$L$15:$N$27,IF(AY$77+$F79&lt;=24,2,3),FALSE)),$C$3)*(1+IF('IP Attrition'!AY136&gt;0,'Attrition Modeling'!$N$9,0)))</f>
        <v>0</v>
      </c>
      <c r="AZ79" s="799">
        <f>AY79*(1-IFERROR(IF(AZ$77+$F79&lt;=12,SUMIFS('Attrition Modeling'!$D:$D,'Attrition Modeling'!$C:$C,$D79,'Attrition Modeling'!$B:$B,AZ$76),VLOOKUP($F79+AZ$77,$A$7:$C$107,2,FALSE)*VLOOKUP(AZ$76,'Attrition Modeling'!$L$15:$N$27,IF(AZ$77+$F79&lt;=24,2,3),FALSE)),$C$3)*(1+IF('IP Attrition'!AZ136&gt;0,'Attrition Modeling'!$N$9,0)))</f>
        <v>0</v>
      </c>
      <c r="BA79" s="799">
        <f>AZ79*(1-IFERROR(IF(BA$77+$F79&lt;=12,SUMIFS('Attrition Modeling'!$D:$D,'Attrition Modeling'!$C:$C,$D79,'Attrition Modeling'!$B:$B,BA$76),VLOOKUP($F79+BA$77,$A$7:$C$107,2,FALSE)*VLOOKUP(BA$76,'Attrition Modeling'!$L$15:$N$27,IF(BA$77+$F79&lt;=24,2,3),FALSE)),$C$3)*(1+IF('IP Attrition'!BA136&gt;0,'Attrition Modeling'!$N$9,0)))</f>
        <v>0</v>
      </c>
      <c r="BB79" s="799">
        <f>BA79*(1-IFERROR(IF(BB$77+$F79&lt;=12,SUMIFS('Attrition Modeling'!$D:$D,'Attrition Modeling'!$C:$C,$D79,'Attrition Modeling'!$B:$B,BB$76),VLOOKUP($F79+BB$77,$A$7:$C$107,2,FALSE)*VLOOKUP(BB$76,'Attrition Modeling'!$L$15:$N$27,IF(BB$77+$F79&lt;=24,2,3),FALSE)),$C$3)*(1+IF('IP Attrition'!BB136&gt;0,'Attrition Modeling'!$N$9,0)))</f>
        <v>0</v>
      </c>
      <c r="BC79" s="799">
        <f>BB79*(1-IFERROR(IF(BC$77+$F79&lt;=12,SUMIFS('Attrition Modeling'!$D:$D,'Attrition Modeling'!$C:$C,$D79,'Attrition Modeling'!$B:$B,BC$76),VLOOKUP($F79+BC$77,$A$7:$C$107,2,FALSE)*VLOOKUP(BC$76,'Attrition Modeling'!$L$15:$N$27,IF(BC$77+$F79&lt;=24,2,3),FALSE)),$C$3)*(1+IF('IP Attrition'!BC136&gt;0,'Attrition Modeling'!$N$9,0)))</f>
        <v>0</v>
      </c>
      <c r="BD79" s="799">
        <f>BC79*(1-IFERROR(IF(BD$77+$F79&lt;=12,SUMIFS('Attrition Modeling'!$D:$D,'Attrition Modeling'!$C:$C,$D79,'Attrition Modeling'!$B:$B,BD$76),VLOOKUP($F79+BD$77,$A$7:$C$107,2,FALSE)*VLOOKUP(BD$76,'Attrition Modeling'!$L$15:$N$27,IF(BD$77+$F79&lt;=24,2,3),FALSE)),$C$3)*(1+IF('IP Attrition'!BD136&gt;0,'Attrition Modeling'!$N$9,0)))</f>
        <v>0</v>
      </c>
      <c r="BE79" s="799">
        <f>BD79*(1-IFERROR(IF(BE$77+$F79&lt;=12,SUMIFS('Attrition Modeling'!$D:$D,'Attrition Modeling'!$C:$C,$D79,'Attrition Modeling'!$B:$B,BE$76),VLOOKUP($F79+BE$77,$A$7:$C$107,2,FALSE)*VLOOKUP(BE$76,'Attrition Modeling'!$L$15:$N$27,IF(BE$77+$F79&lt;=24,2,3),FALSE)),$C$3)*(1+IF('IP Attrition'!BE136&gt;0,'Attrition Modeling'!$N$9,0)))</f>
        <v>0</v>
      </c>
      <c r="BF79" s="799">
        <f>BE79*(1-IFERROR(IF(BF$77+$F79&lt;=12,SUMIFS('Attrition Modeling'!$D:$D,'Attrition Modeling'!$C:$C,$D79,'Attrition Modeling'!$B:$B,BF$76),VLOOKUP($F79+BF$77,$A$7:$C$107,2,FALSE)*VLOOKUP(BF$76,'Attrition Modeling'!$L$15:$N$27,IF(BF$77+$F79&lt;=24,2,3),FALSE)),$C$3)*(1+IF('IP Attrition'!BF136&gt;0,'Attrition Modeling'!$N$9,0)))</f>
        <v>0</v>
      </c>
      <c r="BG79" s="799">
        <f>BF79*(1-IFERROR(IF(BG$77+$F79&lt;=12,SUMIFS('Attrition Modeling'!$D:$D,'Attrition Modeling'!$C:$C,$D79,'Attrition Modeling'!$B:$B,BG$76),VLOOKUP($F79+BG$77,$A$7:$C$107,2,FALSE)*VLOOKUP(BG$76,'Attrition Modeling'!$L$15:$N$27,IF(BG$77+$F79&lt;=24,2,3),FALSE)),$C$3)*(1+IF('IP Attrition'!BG136&gt;0,'Attrition Modeling'!$N$9,0)))</f>
        <v>0</v>
      </c>
      <c r="BH79" s="799">
        <f>BG79*(1-IFERROR(IF(BH$77+$F79&lt;=12,SUMIFS('Attrition Modeling'!$D:$D,'Attrition Modeling'!$C:$C,$D79,'Attrition Modeling'!$B:$B,BH$76),VLOOKUP($F79+BH$77,$A$7:$C$107,2,FALSE)*VLOOKUP(BH$76,'Attrition Modeling'!$L$15:$N$27,IF(BH$77+$F79&lt;=24,2,3),FALSE)),$C$3)*(1+IF('IP Attrition'!BH136&gt;0,'Attrition Modeling'!$N$9,0)))</f>
        <v>0</v>
      </c>
      <c r="BI79" s="799">
        <f>BH79*(1-IFERROR(IF(BI$77+$F79&lt;=12,SUMIFS('Attrition Modeling'!$D:$D,'Attrition Modeling'!$C:$C,$D79,'Attrition Modeling'!$B:$B,BI$76),VLOOKUP($F79+BI$77,$A$7:$C$107,2,FALSE)*VLOOKUP(BI$76,'Attrition Modeling'!$L$15:$N$27,IF(BI$77+$F79&lt;=24,2,3),FALSE)),$C$3)*(1+IF('IP Attrition'!BI136&gt;0,'Attrition Modeling'!$N$9,0)))</f>
        <v>0</v>
      </c>
      <c r="BJ79" s="799">
        <f>BI79*(1-IFERROR(IF(BJ$77+$F79&lt;=12,SUMIFS('Attrition Modeling'!$D:$D,'Attrition Modeling'!$C:$C,$D79,'Attrition Modeling'!$B:$B,BJ$76),VLOOKUP($F79+BJ$77,$A$7:$C$107,2,FALSE)*VLOOKUP(BJ$76,'Attrition Modeling'!$L$15:$N$27,IF(BJ$77+$F79&lt;=24,2,3),FALSE)),$C$3)*(1+IF('IP Attrition'!BJ136&gt;0,'Attrition Modeling'!$N$9,0)))</f>
        <v>0</v>
      </c>
      <c r="BK79" s="799">
        <f>BJ79*(1-IFERROR(IF(BK$77+$F79&lt;=12,SUMIFS('Attrition Modeling'!$D:$D,'Attrition Modeling'!$C:$C,$D79,'Attrition Modeling'!$B:$B,BK$76),VLOOKUP($F79+BK$77,$A$7:$C$107,2,FALSE)*VLOOKUP(BK$76,'Attrition Modeling'!$L$15:$N$27,IF(BK$77+$F79&lt;=24,2,3),FALSE)),$C$3)*(1+IF('IP Attrition'!BK136&gt;0,'Attrition Modeling'!$N$9,0)))</f>
        <v>0</v>
      </c>
      <c r="BL79" s="799">
        <f>BK79*(1-IFERROR(IF(BL$77+$F79&lt;=12,SUMIFS('Attrition Modeling'!$D:$D,'Attrition Modeling'!$C:$C,$D79,'Attrition Modeling'!$B:$B,BL$76),VLOOKUP($F79+BL$77,$A$7:$C$107,2,FALSE)*VLOOKUP(BL$76,'Attrition Modeling'!$L$15:$N$27,IF(BL$77+$F79&lt;=24,2,3),FALSE)),$C$3)*(1+IF('IP Attrition'!BL136&gt;0,'Attrition Modeling'!$N$9,0)))</f>
        <v>0</v>
      </c>
      <c r="BM79" s="799">
        <f>BL79*(1-IFERROR(IF(BM$77+$F79&lt;=12,SUMIFS('Attrition Modeling'!$D:$D,'Attrition Modeling'!$C:$C,$D79,'Attrition Modeling'!$B:$B,BM$76),VLOOKUP($F79+BM$77,$A$7:$C$107,2,FALSE)*VLOOKUP(BM$76,'Attrition Modeling'!$L$15:$N$27,IF(BM$77+$F79&lt;=24,2,3),FALSE)),$C$3)*(1+IF('IP Attrition'!BM136&gt;0,'Attrition Modeling'!$N$9,0)))</f>
        <v>0</v>
      </c>
      <c r="BN79" s="799">
        <f>BM79*(1-IFERROR(IF(BN$77+$F79&lt;=12,SUMIFS('Attrition Modeling'!$D:$D,'Attrition Modeling'!$C:$C,$D79,'Attrition Modeling'!$B:$B,BN$76),VLOOKUP($F79+BN$77,$A$7:$C$107,2,FALSE)*VLOOKUP(BN$76,'Attrition Modeling'!$L$15:$N$27,IF(BN$77+$F79&lt;=24,2,3),FALSE)),$C$3)*(1+IF('IP Attrition'!BN136&gt;0,'Attrition Modeling'!$N$9,0)))</f>
        <v>0</v>
      </c>
      <c r="BO79" s="799">
        <f>BN79*(1-IFERROR(IF(BO$77+$F79&lt;=12,SUMIFS('Attrition Modeling'!$D:$D,'Attrition Modeling'!$C:$C,$D79,'Attrition Modeling'!$B:$B,BO$76),VLOOKUP($F79+BO$77,$A$7:$C$107,2,FALSE)*VLOOKUP(BO$76,'Attrition Modeling'!$L$15:$N$27,IF(BO$77+$F79&lt;=24,2,3),FALSE)),$C$3)*(1+IF('IP Attrition'!BO136&gt;0,'Attrition Modeling'!$N$9,0)))</f>
        <v>0</v>
      </c>
      <c r="BP79" s="799">
        <f>BO79*(1-IFERROR(IF(BP$77+$F79&lt;=12,SUMIFS('Attrition Modeling'!$D:$D,'Attrition Modeling'!$C:$C,$D79,'Attrition Modeling'!$B:$B,BP$76),VLOOKUP($F79+BP$77,$A$7:$C$107,2,FALSE)*VLOOKUP(BP$76,'Attrition Modeling'!$L$15:$N$27,IF(BP$77+$F79&lt;=24,2,3),FALSE)),$C$3)*(1+IF('IP Attrition'!BP136&gt;0,'Attrition Modeling'!$N$9,0)))</f>
        <v>0</v>
      </c>
      <c r="BQ79" s="799">
        <f>BP79*(1-IFERROR(IF(BQ$77+$F79&lt;=12,SUMIFS('Attrition Modeling'!$D:$D,'Attrition Modeling'!$C:$C,$D79,'Attrition Modeling'!$B:$B,BQ$76),VLOOKUP($F79+BQ$77,$A$7:$C$107,2,FALSE)*VLOOKUP(BQ$76,'Attrition Modeling'!$L$15:$N$27,IF(BQ$77+$F79&lt;=24,2,3),FALSE)),$C$3)*(1+IF('IP Attrition'!BQ136&gt;0,'Attrition Modeling'!$N$9,0)))</f>
        <v>0</v>
      </c>
      <c r="BR79" s="799">
        <f>BQ79*(1-IFERROR(IF(BR$77+$F79&lt;=12,SUMIFS('Attrition Modeling'!$D:$D,'Attrition Modeling'!$C:$C,$D79,'Attrition Modeling'!$B:$B,BR$76),VLOOKUP($F79+BR$77,$A$7:$C$107,2,FALSE)*VLOOKUP(BR$76,'Attrition Modeling'!$L$15:$N$27,IF(BR$77+$F79&lt;=24,2,3),FALSE)),$C$3)*(1+IF('IP Attrition'!BR136&gt;0,'Attrition Modeling'!$N$9,0)))</f>
        <v>0</v>
      </c>
      <c r="BS79" s="799">
        <f>BR79*(1-IFERROR(IF(BS$77+$F79&lt;=12,SUMIFS('Attrition Modeling'!$D:$D,'Attrition Modeling'!$C:$C,$D79,'Attrition Modeling'!$B:$B,BS$76),VLOOKUP($F79+BS$77,$A$7:$C$107,2,FALSE)*VLOOKUP(BS$76,'Attrition Modeling'!$L$15:$N$27,IF(BS$77+$F79&lt;=24,2,3),FALSE)),$C$3)*(1+IF('IP Attrition'!BS136&gt;0,'Attrition Modeling'!$N$9,0)))</f>
        <v>0</v>
      </c>
      <c r="BT79" s="799" t="e">
        <f>BS79*(1-IFERROR(IF(BT$77+$F79&lt;=12,SUMIFS('Attrition Modeling'!$D:$D,'Attrition Modeling'!$C:$C,$D79,'Attrition Modeling'!$B:$B,BT$76),VLOOKUP($F79+BT$77,$A$7:$C$107,2,FALSE)*VLOOKUP(BT$76,'Attrition Modeling'!$L$15:$N$27,IF(BT$77+$F79&lt;=24,2,3),FALSE)),$C$3)*(1+IF('IP Attrition'!BT136&gt;0,'Attrition Modeling'!$N$9,0)))</f>
        <v>#REF!</v>
      </c>
      <c r="BU79" s="799" t="e">
        <f>BT79*(1-IFERROR(IF(BU$77+$F79&lt;=12,SUMIFS('Attrition Modeling'!$D:$D,'Attrition Modeling'!$C:$C,$D79,'Attrition Modeling'!$B:$B,BU$76),VLOOKUP($F79+BU$77,$A$7:$C$107,2,FALSE)*VLOOKUP(BU$76,'Attrition Modeling'!$L$15:$N$27,IF(BU$77+$F79&lt;=24,2,3),FALSE)),$C$3)*(1+IF('IP Attrition'!BU136&gt;0,'Attrition Modeling'!$N$9,0)))</f>
        <v>#REF!</v>
      </c>
    </row>
    <row r="80" spans="1:73" ht="14.25" customHeight="1" x14ac:dyDescent="0.2">
      <c r="A80" s="9">
        <v>72</v>
      </c>
      <c r="B80" s="25">
        <f>MAX('Attrition Modeling'!H76,$C$3)*(1-Summary!$C$20)</f>
        <v>2.1155441792258291E-2</v>
      </c>
      <c r="C80" s="24" t="e">
        <f t="shared" si="2"/>
        <v>#DIV/0!</v>
      </c>
      <c r="D80" s="11">
        <f>'IP Attrition'!D72</f>
        <v>-2</v>
      </c>
      <c r="E80" s="25">
        <f>'IP Attrition'!E72</f>
        <v>0.10839302007867074</v>
      </c>
      <c r="F80" s="11">
        <f t="shared" si="8"/>
        <v>2</v>
      </c>
      <c r="G80" s="799">
        <f>Summary!$C$24*$E80</f>
        <v>0</v>
      </c>
      <c r="H80" s="799">
        <f>G80*(1-IFERROR(IF(H$77+$F80&lt;=12,SUMIFS('Attrition Modeling'!$D:$D,'Attrition Modeling'!$C:$C,$D80,'Attrition Modeling'!$B:$B,H$76),VLOOKUP($F80+H$77,$A$7:$C$107,2,FALSE)*VLOOKUP(H$76,'Attrition Modeling'!$L$15:$N$27,IF(H$77+$F80&lt;=24,2,3),FALSE)),$C$3)*(1+IF('IP Attrition'!H137&gt;0,'Attrition Modeling'!$N$9,0)))</f>
        <v>0</v>
      </c>
      <c r="I80" s="799">
        <f>H80*(1-IFERROR(IF(I$77+$F80&lt;=12,SUMIFS('Attrition Modeling'!$D:$D,'Attrition Modeling'!$C:$C,$D80,'Attrition Modeling'!$B:$B,I$76),VLOOKUP($F80+I$77,$A$7:$C$107,2,FALSE)*VLOOKUP(I$76,'Attrition Modeling'!$L$15:$N$27,IF(I$77+$F80&lt;=24,2,3),FALSE)),$C$3)*(1+IF('IP Attrition'!I137&gt;0,'Attrition Modeling'!$N$9,0)))</f>
        <v>0</v>
      </c>
      <c r="J80" s="799">
        <f>I80*(1-IFERROR(IF(J$77+$F80&lt;=12,SUMIFS('Attrition Modeling'!$D:$D,'Attrition Modeling'!$C:$C,$D80,'Attrition Modeling'!$B:$B,J$76),VLOOKUP($F80+J$77,$A$7:$C$107,2,FALSE)*VLOOKUP(J$76,'Attrition Modeling'!$L$15:$N$27,IF(J$77+$F80&lt;=24,2,3),FALSE)),$C$3)*(1+IF('IP Attrition'!J137&gt;0,'Attrition Modeling'!$N$9,0)))</f>
        <v>0</v>
      </c>
      <c r="K80" s="799">
        <f>J80*(1-IFERROR(IF(K$77+$F80&lt;=12,SUMIFS('Attrition Modeling'!$D:$D,'Attrition Modeling'!$C:$C,$D80,'Attrition Modeling'!$B:$B,K$76),VLOOKUP($F80+K$77,$A$7:$C$107,2,FALSE)*VLOOKUP(K$76,'Attrition Modeling'!$L$15:$N$27,IF(K$77+$F80&lt;=24,2,3),FALSE)),$C$3)*(1+IF('IP Attrition'!K137&gt;0,'Attrition Modeling'!$N$9,0)))</f>
        <v>0</v>
      </c>
      <c r="L80" s="799">
        <f>K80*(1-IFERROR(IF(L$77+$F80&lt;=12,SUMIFS('Attrition Modeling'!$D:$D,'Attrition Modeling'!$C:$C,$D80,'Attrition Modeling'!$B:$B,L$76),VLOOKUP($F80+L$77,$A$7:$C$107,2,FALSE)*VLOOKUP(L$76,'Attrition Modeling'!$L$15:$N$27,IF(L$77+$F80&lt;=24,2,3),FALSE)),$C$3)*(1+IF('IP Attrition'!L137&gt;0,'Attrition Modeling'!$N$9,0)))</f>
        <v>0</v>
      </c>
      <c r="M80" s="799">
        <f>L80*(1-IFERROR(IF(M$77+$F80&lt;=12,SUMIFS('Attrition Modeling'!$D:$D,'Attrition Modeling'!$C:$C,$D80,'Attrition Modeling'!$B:$B,M$76),VLOOKUP($F80+M$77,$A$7:$C$107,2,FALSE)*VLOOKUP(M$76,'Attrition Modeling'!$L$15:$N$27,IF(M$77+$F80&lt;=24,2,3),FALSE)),$C$3)*(1+IF('IP Attrition'!M137&gt;0,'Attrition Modeling'!$N$9,0)))</f>
        <v>0</v>
      </c>
      <c r="N80" s="799">
        <f>M80*(1-IFERROR(IF(N$77+$F80&lt;=12,SUMIFS('Attrition Modeling'!$D:$D,'Attrition Modeling'!$C:$C,$D80,'Attrition Modeling'!$B:$B,N$76),VLOOKUP($F80+N$77,$A$7:$C$107,2,FALSE)*VLOOKUP(N$76,'Attrition Modeling'!$L$15:$N$27,IF(N$77+$F80&lt;=24,2,3),FALSE)),$C$3)*(1+IF('IP Attrition'!N137&gt;0,'Attrition Modeling'!$N$9,0)))</f>
        <v>0</v>
      </c>
      <c r="O80" s="799">
        <f>N80*(1-IFERROR(IF(O$77+$F80&lt;=12,SUMIFS('Attrition Modeling'!$D:$D,'Attrition Modeling'!$C:$C,$D80,'Attrition Modeling'!$B:$B,O$76),VLOOKUP($F80+O$77,$A$7:$C$107,2,FALSE)*VLOOKUP(O$76,'Attrition Modeling'!$L$15:$N$27,IF(O$77+$F80&lt;=24,2,3),FALSE)),$C$3)*(1+IF('IP Attrition'!O137&gt;0,'Attrition Modeling'!$N$9,0)))</f>
        <v>0</v>
      </c>
      <c r="P80" s="799">
        <f>O80*(1-IFERROR(IF(P$77+$F80&lt;=12,SUMIFS('Attrition Modeling'!$D:$D,'Attrition Modeling'!$C:$C,$D80,'Attrition Modeling'!$B:$B,P$76),VLOOKUP($F80+P$77,$A$7:$C$107,2,FALSE)*VLOOKUP(P$76,'Attrition Modeling'!$L$15:$N$27,IF(P$77+$F80&lt;=24,2,3),FALSE)),$C$3)*(1+IF('IP Attrition'!P137&gt;0,'Attrition Modeling'!$N$9,0)))</f>
        <v>0</v>
      </c>
      <c r="Q80" s="799">
        <f>P80*(1-IFERROR(IF(Q$77+$F80&lt;=12,SUMIFS('Attrition Modeling'!$D:$D,'Attrition Modeling'!$C:$C,$D80,'Attrition Modeling'!$B:$B,Q$76),VLOOKUP($F80+Q$77,$A$7:$C$107,2,FALSE)*VLOOKUP(Q$76,'Attrition Modeling'!$L$15:$N$27,IF(Q$77+$F80&lt;=24,2,3),FALSE)),$C$3)*(1+IF('IP Attrition'!Q137&gt;0,'Attrition Modeling'!$N$9,0)))</f>
        <v>0</v>
      </c>
      <c r="R80" s="799">
        <f>Q80*(1-IFERROR(IF(R$77+$F80&lt;=12,SUMIFS('Attrition Modeling'!$D:$D,'Attrition Modeling'!$C:$C,$D80,'Attrition Modeling'!$B:$B,R$76),VLOOKUP($F80+R$77,$A$7:$C$107,2,FALSE)*VLOOKUP(R$76,'Attrition Modeling'!$L$15:$N$27,IF(R$77+$F80&lt;=24,2,3),FALSE)),$C$3)*(1+IF('IP Attrition'!R137&gt;0,'Attrition Modeling'!$N$9,0)))</f>
        <v>0</v>
      </c>
      <c r="S80" s="799">
        <f>R80*(1-IFERROR(IF(S$77+$F80&lt;=12,SUMIFS('Attrition Modeling'!$D:$D,'Attrition Modeling'!$C:$C,$D80,'Attrition Modeling'!$B:$B,S$76),VLOOKUP($F80+S$77,$A$7:$C$107,2,FALSE)*VLOOKUP(S$76,'Attrition Modeling'!$L$15:$N$27,IF(S$77+$F80&lt;=24,2,3),FALSE)),$C$3)*(1+IF('IP Attrition'!S137&gt;0,'Attrition Modeling'!$N$9,0)))</f>
        <v>0</v>
      </c>
      <c r="T80" s="799">
        <f>S80*(1-IFERROR(IF(T$77+$F80&lt;=12,SUMIFS('Attrition Modeling'!$D:$D,'Attrition Modeling'!$C:$C,$D80,'Attrition Modeling'!$B:$B,T$76),VLOOKUP($F80+T$77,$A$7:$C$107,2,FALSE)*VLOOKUP(T$76,'Attrition Modeling'!$L$15:$N$27,IF(T$77+$F80&lt;=24,2,3),FALSE)),$C$3)*(1+IF('IP Attrition'!T137&gt;0,'Attrition Modeling'!$N$9,0)))</f>
        <v>0</v>
      </c>
      <c r="U80" s="799">
        <f>T80*(1-IFERROR(IF(U$77+$F80&lt;=12,SUMIFS('Attrition Modeling'!$D:$D,'Attrition Modeling'!$C:$C,$D80,'Attrition Modeling'!$B:$B,U$76),VLOOKUP($F80+U$77,$A$7:$C$107,2,FALSE)*VLOOKUP(U$76,'Attrition Modeling'!$L$15:$N$27,IF(U$77+$F80&lt;=24,2,3),FALSE)),$C$3)*(1+IF('IP Attrition'!U137&gt;0,'Attrition Modeling'!$N$9,0)))</f>
        <v>0</v>
      </c>
      <c r="V80" s="799">
        <f>U80*(1-IFERROR(IF(V$77+$F80&lt;=12,SUMIFS('Attrition Modeling'!$D:$D,'Attrition Modeling'!$C:$C,$D80,'Attrition Modeling'!$B:$B,V$76),VLOOKUP($F80+V$77,$A$7:$C$107,2,FALSE)*VLOOKUP(V$76,'Attrition Modeling'!$L$15:$N$27,IF(V$77+$F80&lt;=24,2,3),FALSE)),$C$3)*(1+IF('IP Attrition'!V137&gt;0,'Attrition Modeling'!$N$9,0)))</f>
        <v>0</v>
      </c>
      <c r="W80" s="799">
        <f>V80*(1-IFERROR(IF(W$77+$F80&lt;=12,SUMIFS('Attrition Modeling'!$D:$D,'Attrition Modeling'!$C:$C,$D80,'Attrition Modeling'!$B:$B,W$76),VLOOKUP($F80+W$77,$A$7:$C$107,2,FALSE)*VLOOKUP(W$76,'Attrition Modeling'!$L$15:$N$27,IF(W$77+$F80&lt;=24,2,3),FALSE)),$C$3)*(1+IF('IP Attrition'!W137&gt;0,'Attrition Modeling'!$N$9,0)))</f>
        <v>0</v>
      </c>
      <c r="X80" s="799">
        <f>W80*(1-IFERROR(IF(X$77+$F80&lt;=12,SUMIFS('Attrition Modeling'!$D:$D,'Attrition Modeling'!$C:$C,$D80,'Attrition Modeling'!$B:$B,X$76),VLOOKUP($F80+X$77,$A$7:$C$107,2,FALSE)*VLOOKUP(X$76,'Attrition Modeling'!$L$15:$N$27,IF(X$77+$F80&lt;=24,2,3),FALSE)),$C$3)*(1+IF('IP Attrition'!X137&gt;0,'Attrition Modeling'!$N$9,0)))</f>
        <v>0</v>
      </c>
      <c r="Y80" s="799">
        <f>X80*(1-IFERROR(IF(Y$77+$F80&lt;=12,SUMIFS('Attrition Modeling'!$D:$D,'Attrition Modeling'!$C:$C,$D80,'Attrition Modeling'!$B:$B,Y$76),VLOOKUP($F80+Y$77,$A$7:$C$107,2,FALSE)*VLOOKUP(Y$76,'Attrition Modeling'!$L$15:$N$27,IF(Y$77+$F80&lt;=24,2,3),FALSE)),$C$3)*(1+IF('IP Attrition'!Y137&gt;0,'Attrition Modeling'!$N$9,0)))</f>
        <v>0</v>
      </c>
      <c r="Z80" s="799">
        <f>Y80*(1-IFERROR(IF(Z$77+$F80&lt;=12,SUMIFS('Attrition Modeling'!$D:$D,'Attrition Modeling'!$C:$C,$D80,'Attrition Modeling'!$B:$B,Z$76),VLOOKUP($F80+Z$77,$A$7:$C$107,2,FALSE)*VLOOKUP(Z$76,'Attrition Modeling'!$L$15:$N$27,IF(Z$77+$F80&lt;=24,2,3),FALSE)),$C$3)*(1+IF('IP Attrition'!Z137&gt;0,'Attrition Modeling'!$N$9,0)))</f>
        <v>0</v>
      </c>
      <c r="AA80" s="799">
        <f>Z80*(1-IFERROR(IF(AA$77+$F80&lt;=12,SUMIFS('Attrition Modeling'!$D:$D,'Attrition Modeling'!$C:$C,$D80,'Attrition Modeling'!$B:$B,AA$76),VLOOKUP($F80+AA$77,$A$7:$C$107,2,FALSE)*VLOOKUP(AA$76,'Attrition Modeling'!$L$15:$N$27,IF(AA$77+$F80&lt;=24,2,3),FALSE)),$C$3)*(1+IF('IP Attrition'!AA137&gt;0,'Attrition Modeling'!$N$9,0)))</f>
        <v>0</v>
      </c>
      <c r="AB80" s="799">
        <f>AA80*(1-IFERROR(IF(AB$77+$F80&lt;=12,SUMIFS('Attrition Modeling'!$D:$D,'Attrition Modeling'!$C:$C,$D80,'Attrition Modeling'!$B:$B,AB$76),VLOOKUP($F80+AB$77,$A$7:$C$107,2,FALSE)*VLOOKUP(AB$76,'Attrition Modeling'!$L$15:$N$27,IF(AB$77+$F80&lt;=24,2,3),FALSE)),$C$3)*(1+IF('IP Attrition'!AB137&gt;0,'Attrition Modeling'!$N$9,0)))</f>
        <v>0</v>
      </c>
      <c r="AC80" s="799">
        <f>AB80*(1-IFERROR(IF(AC$77+$F80&lt;=12,SUMIFS('Attrition Modeling'!$D:$D,'Attrition Modeling'!$C:$C,$D80,'Attrition Modeling'!$B:$B,AC$76),VLOOKUP($F80+AC$77,$A$7:$C$107,2,FALSE)*VLOOKUP(AC$76,'Attrition Modeling'!$L$15:$N$27,IF(AC$77+$F80&lt;=24,2,3),FALSE)),$C$3)*(1+IF('IP Attrition'!AC137&gt;0,'Attrition Modeling'!$N$9,0)))</f>
        <v>0</v>
      </c>
      <c r="AD80" s="799">
        <f>AC80*(1-IFERROR(IF(AD$77+$F80&lt;=12,SUMIFS('Attrition Modeling'!$D:$D,'Attrition Modeling'!$C:$C,$D80,'Attrition Modeling'!$B:$B,AD$76),VLOOKUP($F80+AD$77,$A$7:$C$107,2,FALSE)*VLOOKUP(AD$76,'Attrition Modeling'!$L$15:$N$27,IF(AD$77+$F80&lt;=24,2,3),FALSE)),$C$3)*(1+IF('IP Attrition'!AD137&gt;0,'Attrition Modeling'!$N$9,0)))</f>
        <v>0</v>
      </c>
      <c r="AE80" s="799">
        <f>AD80*(1-IFERROR(IF(AE$77+$F80&lt;=12,SUMIFS('Attrition Modeling'!$D:$D,'Attrition Modeling'!$C:$C,$D80,'Attrition Modeling'!$B:$B,AE$76),VLOOKUP($F80+AE$77,$A$7:$C$107,2,FALSE)*VLOOKUP(AE$76,'Attrition Modeling'!$L$15:$N$27,IF(AE$77+$F80&lt;=24,2,3),FALSE)),$C$3)*(1+IF('IP Attrition'!AE137&gt;0,'Attrition Modeling'!$N$9,0)))</f>
        <v>0</v>
      </c>
      <c r="AF80" s="799">
        <f>AE80*(1-IFERROR(IF(AF$77+$F80&lt;=12,SUMIFS('Attrition Modeling'!$D:$D,'Attrition Modeling'!$C:$C,$D80,'Attrition Modeling'!$B:$B,AF$76),VLOOKUP($F80+AF$77,$A$7:$C$107,2,FALSE)*VLOOKUP(AF$76,'Attrition Modeling'!$L$15:$N$27,IF(AF$77+$F80&lt;=24,2,3),FALSE)),$C$3)*(1+IF('IP Attrition'!AF137&gt;0,'Attrition Modeling'!$N$9,0)))</f>
        <v>0</v>
      </c>
      <c r="AG80" s="799">
        <f>AF80*(1-IFERROR(IF(AG$77+$F80&lt;=12,SUMIFS('Attrition Modeling'!$D:$D,'Attrition Modeling'!$C:$C,$D80,'Attrition Modeling'!$B:$B,AG$76),VLOOKUP($F80+AG$77,$A$7:$C$107,2,FALSE)*VLOOKUP(AG$76,'Attrition Modeling'!$L$15:$N$27,IF(AG$77+$F80&lt;=24,2,3),FALSE)),$C$3)*(1+IF('IP Attrition'!AG137&gt;0,'Attrition Modeling'!$N$9,0)))</f>
        <v>0</v>
      </c>
      <c r="AH80" s="799">
        <f>AG80*(1-IFERROR(IF(AH$77+$F80&lt;=12,SUMIFS('Attrition Modeling'!$D:$D,'Attrition Modeling'!$C:$C,$D80,'Attrition Modeling'!$B:$B,AH$76),VLOOKUP($F80+AH$77,$A$7:$C$107,2,FALSE)*VLOOKUP(AH$76,'Attrition Modeling'!$L$15:$N$27,IF(AH$77+$F80&lt;=24,2,3),FALSE)),$C$3)*(1+IF('IP Attrition'!AH137&gt;0,'Attrition Modeling'!$N$9,0)))</f>
        <v>0</v>
      </c>
      <c r="AI80" s="799">
        <f>AH80*(1-IFERROR(IF(AI$77+$F80&lt;=12,SUMIFS('Attrition Modeling'!$D:$D,'Attrition Modeling'!$C:$C,$D80,'Attrition Modeling'!$B:$B,AI$76),VLOOKUP($F80+AI$77,$A$7:$C$107,2,FALSE)*VLOOKUP(AI$76,'Attrition Modeling'!$L$15:$N$27,IF(AI$77+$F80&lt;=24,2,3),FALSE)),$C$3)*(1+IF('IP Attrition'!AI137&gt;0,'Attrition Modeling'!$N$9,0)))</f>
        <v>0</v>
      </c>
      <c r="AJ80" s="799">
        <f>AI80*(1-IFERROR(IF(AJ$77+$F80&lt;=12,SUMIFS('Attrition Modeling'!$D:$D,'Attrition Modeling'!$C:$C,$D80,'Attrition Modeling'!$B:$B,AJ$76),VLOOKUP($F80+AJ$77,$A$7:$C$107,2,FALSE)*VLOOKUP(AJ$76,'Attrition Modeling'!$L$15:$N$27,IF(AJ$77+$F80&lt;=24,2,3),FALSE)),$C$3)*(1+IF('IP Attrition'!AJ137&gt;0,'Attrition Modeling'!$N$9,0)))</f>
        <v>0</v>
      </c>
      <c r="AK80" s="799">
        <f>AJ80*(1-IFERROR(IF(AK$77+$F80&lt;=12,SUMIFS('Attrition Modeling'!$D:$D,'Attrition Modeling'!$C:$C,$D80,'Attrition Modeling'!$B:$B,AK$76),VLOOKUP($F80+AK$77,$A$7:$C$107,2,FALSE)*VLOOKUP(AK$76,'Attrition Modeling'!$L$15:$N$27,IF(AK$77+$F80&lt;=24,2,3),FALSE)),$C$3)*(1+IF('IP Attrition'!AK137&gt;0,'Attrition Modeling'!$N$9,0)))</f>
        <v>0</v>
      </c>
      <c r="AL80" s="799">
        <f>AK80*(1-IFERROR(IF(AL$77+$F80&lt;=12,SUMIFS('Attrition Modeling'!$D:$D,'Attrition Modeling'!$C:$C,$D80,'Attrition Modeling'!$B:$B,AL$76),VLOOKUP($F80+AL$77,$A$7:$C$107,2,FALSE)*VLOOKUP(AL$76,'Attrition Modeling'!$L$15:$N$27,IF(AL$77+$F80&lt;=24,2,3),FALSE)),$C$3)*(1+IF('IP Attrition'!AL137&gt;0,'Attrition Modeling'!$N$9,0)))</f>
        <v>0</v>
      </c>
      <c r="AM80" s="799">
        <f>AL80*(1-IFERROR(IF(AM$77+$F80&lt;=12,SUMIFS('Attrition Modeling'!$D:$D,'Attrition Modeling'!$C:$C,$D80,'Attrition Modeling'!$B:$B,AM$76),VLOOKUP($F80+AM$77,$A$7:$C$107,2,FALSE)*VLOOKUP(AM$76,'Attrition Modeling'!$L$15:$N$27,IF(AM$77+$F80&lt;=24,2,3),FALSE)),$C$3)*(1+IF('IP Attrition'!AM137&gt;0,'Attrition Modeling'!$N$9,0)))</f>
        <v>0</v>
      </c>
      <c r="AN80" s="799">
        <f>AM80*(1-IFERROR(IF(AN$77+$F80&lt;=12,SUMIFS('Attrition Modeling'!$D:$D,'Attrition Modeling'!$C:$C,$D80,'Attrition Modeling'!$B:$B,AN$76),VLOOKUP($F80+AN$77,$A$7:$C$107,2,FALSE)*VLOOKUP(AN$76,'Attrition Modeling'!$L$15:$N$27,IF(AN$77+$F80&lt;=24,2,3),FALSE)),$C$3)*(1+IF('IP Attrition'!AN137&gt;0,'Attrition Modeling'!$N$9,0)))</f>
        <v>0</v>
      </c>
      <c r="AO80" s="799">
        <f>AN80*(1-IFERROR(IF(AO$77+$F80&lt;=12,SUMIFS('Attrition Modeling'!$D:$D,'Attrition Modeling'!$C:$C,$D80,'Attrition Modeling'!$B:$B,AO$76),VLOOKUP($F80+AO$77,$A$7:$C$107,2,FALSE)*VLOOKUP(AO$76,'Attrition Modeling'!$L$15:$N$27,IF(AO$77+$F80&lt;=24,2,3),FALSE)),$C$3)*(1+IF('IP Attrition'!AO137&gt;0,'Attrition Modeling'!$N$9,0)))</f>
        <v>0</v>
      </c>
      <c r="AP80" s="799">
        <f>AO80*(1-IFERROR(IF(AP$77+$F80&lt;=12,SUMIFS('Attrition Modeling'!$D:$D,'Attrition Modeling'!$C:$C,$D80,'Attrition Modeling'!$B:$B,AP$76),VLOOKUP($F80+AP$77,$A$7:$C$107,2,FALSE)*VLOOKUP(AP$76,'Attrition Modeling'!$L$15:$N$27,IF(AP$77+$F80&lt;=24,2,3),FALSE)),$C$3)*(1+IF('IP Attrition'!AP137&gt;0,'Attrition Modeling'!$N$9,0)))</f>
        <v>0</v>
      </c>
      <c r="AQ80" s="799">
        <f>AP80*(1-IFERROR(IF(AQ$77+$F80&lt;=12,SUMIFS('Attrition Modeling'!$D:$D,'Attrition Modeling'!$C:$C,$D80,'Attrition Modeling'!$B:$B,AQ$76),VLOOKUP($F80+AQ$77,$A$7:$C$107,2,FALSE)*VLOOKUP(AQ$76,'Attrition Modeling'!$L$15:$N$27,IF(AQ$77+$F80&lt;=24,2,3),FALSE)),$C$3)*(1+IF('IP Attrition'!AQ137&gt;0,'Attrition Modeling'!$N$9,0)))</f>
        <v>0</v>
      </c>
      <c r="AR80" s="799">
        <f>AQ80*(1-IFERROR(IF(AR$77+$F80&lt;=12,SUMIFS('Attrition Modeling'!$D:$D,'Attrition Modeling'!$C:$C,$D80,'Attrition Modeling'!$B:$B,AR$76),VLOOKUP($F80+AR$77,$A$7:$C$107,2,FALSE)*VLOOKUP(AR$76,'Attrition Modeling'!$L$15:$N$27,IF(AR$77+$F80&lt;=24,2,3),FALSE)),$C$3)*(1+IF('IP Attrition'!AR137&gt;0,'Attrition Modeling'!$N$9,0)))</f>
        <v>0</v>
      </c>
      <c r="AS80" s="799">
        <f>AR80*(1-IFERROR(IF(AS$77+$F80&lt;=12,SUMIFS('Attrition Modeling'!$D:$D,'Attrition Modeling'!$C:$C,$D80,'Attrition Modeling'!$B:$B,AS$76),VLOOKUP($F80+AS$77,$A$7:$C$107,2,FALSE)*VLOOKUP(AS$76,'Attrition Modeling'!$L$15:$N$27,IF(AS$77+$F80&lt;=24,2,3),FALSE)),$C$3)*(1+IF('IP Attrition'!AS137&gt;0,'Attrition Modeling'!$N$9,0)))</f>
        <v>0</v>
      </c>
      <c r="AT80" s="799">
        <f>AS80*(1-IFERROR(IF(AT$77+$F80&lt;=12,SUMIFS('Attrition Modeling'!$D:$D,'Attrition Modeling'!$C:$C,$D80,'Attrition Modeling'!$B:$B,AT$76),VLOOKUP($F80+AT$77,$A$7:$C$107,2,FALSE)*VLOOKUP(AT$76,'Attrition Modeling'!$L$15:$N$27,IF(AT$77+$F80&lt;=24,2,3),FALSE)),$C$3)*(1+IF('IP Attrition'!AT137&gt;0,'Attrition Modeling'!$N$9,0)))</f>
        <v>0</v>
      </c>
      <c r="AU80" s="799">
        <f>AT80*(1-IFERROR(IF(AU$77+$F80&lt;=12,SUMIFS('Attrition Modeling'!$D:$D,'Attrition Modeling'!$C:$C,$D80,'Attrition Modeling'!$B:$B,AU$76),VLOOKUP($F80+AU$77,$A$7:$C$107,2,FALSE)*VLOOKUP(AU$76,'Attrition Modeling'!$L$15:$N$27,IF(AU$77+$F80&lt;=24,2,3),FALSE)),$C$3)*(1+IF('IP Attrition'!AU137&gt;0,'Attrition Modeling'!$N$9,0)))</f>
        <v>0</v>
      </c>
      <c r="AV80" s="799">
        <f>AU80*(1-IFERROR(IF(AV$77+$F80&lt;=12,SUMIFS('Attrition Modeling'!$D:$D,'Attrition Modeling'!$C:$C,$D80,'Attrition Modeling'!$B:$B,AV$76),VLOOKUP($F80+AV$77,$A$7:$C$107,2,FALSE)*VLOOKUP(AV$76,'Attrition Modeling'!$L$15:$N$27,IF(AV$77+$F80&lt;=24,2,3),FALSE)),$C$3)*(1+IF('IP Attrition'!AV137&gt;0,'Attrition Modeling'!$N$9,0)))</f>
        <v>0</v>
      </c>
      <c r="AW80" s="799">
        <f>AV80*(1-IFERROR(IF(AW$77+$F80&lt;=12,SUMIFS('Attrition Modeling'!$D:$D,'Attrition Modeling'!$C:$C,$D80,'Attrition Modeling'!$B:$B,AW$76),VLOOKUP($F80+AW$77,$A$7:$C$107,2,FALSE)*VLOOKUP(AW$76,'Attrition Modeling'!$L$15:$N$27,IF(AW$77+$F80&lt;=24,2,3),FALSE)),$C$3)*(1+IF('IP Attrition'!AW137&gt;0,'Attrition Modeling'!$N$9,0)))</f>
        <v>0</v>
      </c>
      <c r="AX80" s="799">
        <f>AW80*(1-IFERROR(IF(AX$77+$F80&lt;=12,SUMIFS('Attrition Modeling'!$D:$D,'Attrition Modeling'!$C:$C,$D80,'Attrition Modeling'!$B:$B,AX$76),VLOOKUP($F80+AX$77,$A$7:$C$107,2,FALSE)*VLOOKUP(AX$76,'Attrition Modeling'!$L$15:$N$27,IF(AX$77+$F80&lt;=24,2,3),FALSE)),$C$3)*(1+IF('IP Attrition'!AX137&gt;0,'Attrition Modeling'!$N$9,0)))</f>
        <v>0</v>
      </c>
      <c r="AY80" s="799">
        <f>AX80*(1-IFERROR(IF(AY$77+$F80&lt;=12,SUMIFS('Attrition Modeling'!$D:$D,'Attrition Modeling'!$C:$C,$D80,'Attrition Modeling'!$B:$B,AY$76),VLOOKUP($F80+AY$77,$A$7:$C$107,2,FALSE)*VLOOKUP(AY$76,'Attrition Modeling'!$L$15:$N$27,IF(AY$77+$F80&lt;=24,2,3),FALSE)),$C$3)*(1+IF('IP Attrition'!AY137&gt;0,'Attrition Modeling'!$N$9,0)))</f>
        <v>0</v>
      </c>
      <c r="AZ80" s="799">
        <f>AY80*(1-IFERROR(IF(AZ$77+$F80&lt;=12,SUMIFS('Attrition Modeling'!$D:$D,'Attrition Modeling'!$C:$C,$D80,'Attrition Modeling'!$B:$B,AZ$76),VLOOKUP($F80+AZ$77,$A$7:$C$107,2,FALSE)*VLOOKUP(AZ$76,'Attrition Modeling'!$L$15:$N$27,IF(AZ$77+$F80&lt;=24,2,3),FALSE)),$C$3)*(1+IF('IP Attrition'!AZ137&gt;0,'Attrition Modeling'!$N$9,0)))</f>
        <v>0</v>
      </c>
      <c r="BA80" s="799">
        <f>AZ80*(1-IFERROR(IF(BA$77+$F80&lt;=12,SUMIFS('Attrition Modeling'!$D:$D,'Attrition Modeling'!$C:$C,$D80,'Attrition Modeling'!$B:$B,BA$76),VLOOKUP($F80+BA$77,$A$7:$C$107,2,FALSE)*VLOOKUP(BA$76,'Attrition Modeling'!$L$15:$N$27,IF(BA$77+$F80&lt;=24,2,3),FALSE)),$C$3)*(1+IF('IP Attrition'!BA137&gt;0,'Attrition Modeling'!$N$9,0)))</f>
        <v>0</v>
      </c>
      <c r="BB80" s="799">
        <f>BA80*(1-IFERROR(IF(BB$77+$F80&lt;=12,SUMIFS('Attrition Modeling'!$D:$D,'Attrition Modeling'!$C:$C,$D80,'Attrition Modeling'!$B:$B,BB$76),VLOOKUP($F80+BB$77,$A$7:$C$107,2,FALSE)*VLOOKUP(BB$76,'Attrition Modeling'!$L$15:$N$27,IF(BB$77+$F80&lt;=24,2,3),FALSE)),$C$3)*(1+IF('IP Attrition'!BB137&gt;0,'Attrition Modeling'!$N$9,0)))</f>
        <v>0</v>
      </c>
      <c r="BC80" s="799">
        <f>BB80*(1-IFERROR(IF(BC$77+$F80&lt;=12,SUMIFS('Attrition Modeling'!$D:$D,'Attrition Modeling'!$C:$C,$D80,'Attrition Modeling'!$B:$B,BC$76),VLOOKUP($F80+BC$77,$A$7:$C$107,2,FALSE)*VLOOKUP(BC$76,'Attrition Modeling'!$L$15:$N$27,IF(BC$77+$F80&lt;=24,2,3),FALSE)),$C$3)*(1+IF('IP Attrition'!BC137&gt;0,'Attrition Modeling'!$N$9,0)))</f>
        <v>0</v>
      </c>
      <c r="BD80" s="799">
        <f>BC80*(1-IFERROR(IF(BD$77+$F80&lt;=12,SUMIFS('Attrition Modeling'!$D:$D,'Attrition Modeling'!$C:$C,$D80,'Attrition Modeling'!$B:$B,BD$76),VLOOKUP($F80+BD$77,$A$7:$C$107,2,FALSE)*VLOOKUP(BD$76,'Attrition Modeling'!$L$15:$N$27,IF(BD$77+$F80&lt;=24,2,3),FALSE)),$C$3)*(1+IF('IP Attrition'!BD137&gt;0,'Attrition Modeling'!$N$9,0)))</f>
        <v>0</v>
      </c>
      <c r="BE80" s="799">
        <f>BD80*(1-IFERROR(IF(BE$77+$F80&lt;=12,SUMIFS('Attrition Modeling'!$D:$D,'Attrition Modeling'!$C:$C,$D80,'Attrition Modeling'!$B:$B,BE$76),VLOOKUP($F80+BE$77,$A$7:$C$107,2,FALSE)*VLOOKUP(BE$76,'Attrition Modeling'!$L$15:$N$27,IF(BE$77+$F80&lt;=24,2,3),FALSE)),$C$3)*(1+IF('IP Attrition'!BE137&gt;0,'Attrition Modeling'!$N$9,0)))</f>
        <v>0</v>
      </c>
      <c r="BF80" s="799">
        <f>BE80*(1-IFERROR(IF(BF$77+$F80&lt;=12,SUMIFS('Attrition Modeling'!$D:$D,'Attrition Modeling'!$C:$C,$D80,'Attrition Modeling'!$B:$B,BF$76),VLOOKUP($F80+BF$77,$A$7:$C$107,2,FALSE)*VLOOKUP(BF$76,'Attrition Modeling'!$L$15:$N$27,IF(BF$77+$F80&lt;=24,2,3),FALSE)),$C$3)*(1+IF('IP Attrition'!BF137&gt;0,'Attrition Modeling'!$N$9,0)))</f>
        <v>0</v>
      </c>
      <c r="BG80" s="799">
        <f>BF80*(1-IFERROR(IF(BG$77+$F80&lt;=12,SUMIFS('Attrition Modeling'!$D:$D,'Attrition Modeling'!$C:$C,$D80,'Attrition Modeling'!$B:$B,BG$76),VLOOKUP($F80+BG$77,$A$7:$C$107,2,FALSE)*VLOOKUP(BG$76,'Attrition Modeling'!$L$15:$N$27,IF(BG$77+$F80&lt;=24,2,3),FALSE)),$C$3)*(1+IF('IP Attrition'!BG137&gt;0,'Attrition Modeling'!$N$9,0)))</f>
        <v>0</v>
      </c>
      <c r="BH80" s="799">
        <f>BG80*(1-IFERROR(IF(BH$77+$F80&lt;=12,SUMIFS('Attrition Modeling'!$D:$D,'Attrition Modeling'!$C:$C,$D80,'Attrition Modeling'!$B:$B,BH$76),VLOOKUP($F80+BH$77,$A$7:$C$107,2,FALSE)*VLOOKUP(BH$76,'Attrition Modeling'!$L$15:$N$27,IF(BH$77+$F80&lt;=24,2,3),FALSE)),$C$3)*(1+IF('IP Attrition'!BH137&gt;0,'Attrition Modeling'!$N$9,0)))</f>
        <v>0</v>
      </c>
      <c r="BI80" s="799">
        <f>BH80*(1-IFERROR(IF(BI$77+$F80&lt;=12,SUMIFS('Attrition Modeling'!$D:$D,'Attrition Modeling'!$C:$C,$D80,'Attrition Modeling'!$B:$B,BI$76),VLOOKUP($F80+BI$77,$A$7:$C$107,2,FALSE)*VLOOKUP(BI$76,'Attrition Modeling'!$L$15:$N$27,IF(BI$77+$F80&lt;=24,2,3),FALSE)),$C$3)*(1+IF('IP Attrition'!BI137&gt;0,'Attrition Modeling'!$N$9,0)))</f>
        <v>0</v>
      </c>
      <c r="BJ80" s="799">
        <f>BI80*(1-IFERROR(IF(BJ$77+$F80&lt;=12,SUMIFS('Attrition Modeling'!$D:$D,'Attrition Modeling'!$C:$C,$D80,'Attrition Modeling'!$B:$B,BJ$76),VLOOKUP($F80+BJ$77,$A$7:$C$107,2,FALSE)*VLOOKUP(BJ$76,'Attrition Modeling'!$L$15:$N$27,IF(BJ$77+$F80&lt;=24,2,3),FALSE)),$C$3)*(1+IF('IP Attrition'!BJ137&gt;0,'Attrition Modeling'!$N$9,0)))</f>
        <v>0</v>
      </c>
      <c r="BK80" s="799">
        <f>BJ80*(1-IFERROR(IF(BK$77+$F80&lt;=12,SUMIFS('Attrition Modeling'!$D:$D,'Attrition Modeling'!$C:$C,$D80,'Attrition Modeling'!$B:$B,BK$76),VLOOKUP($F80+BK$77,$A$7:$C$107,2,FALSE)*VLOOKUP(BK$76,'Attrition Modeling'!$L$15:$N$27,IF(BK$77+$F80&lt;=24,2,3),FALSE)),$C$3)*(1+IF('IP Attrition'!BK137&gt;0,'Attrition Modeling'!$N$9,0)))</f>
        <v>0</v>
      </c>
      <c r="BL80" s="799">
        <f>BK80*(1-IFERROR(IF(BL$77+$F80&lt;=12,SUMIFS('Attrition Modeling'!$D:$D,'Attrition Modeling'!$C:$C,$D80,'Attrition Modeling'!$B:$B,BL$76),VLOOKUP($F80+BL$77,$A$7:$C$107,2,FALSE)*VLOOKUP(BL$76,'Attrition Modeling'!$L$15:$N$27,IF(BL$77+$F80&lt;=24,2,3),FALSE)),$C$3)*(1+IF('IP Attrition'!BL137&gt;0,'Attrition Modeling'!$N$9,0)))</f>
        <v>0</v>
      </c>
      <c r="BM80" s="799">
        <f>BL80*(1-IFERROR(IF(BM$77+$F80&lt;=12,SUMIFS('Attrition Modeling'!$D:$D,'Attrition Modeling'!$C:$C,$D80,'Attrition Modeling'!$B:$B,BM$76),VLOOKUP($F80+BM$77,$A$7:$C$107,2,FALSE)*VLOOKUP(BM$76,'Attrition Modeling'!$L$15:$N$27,IF(BM$77+$F80&lt;=24,2,3),FALSE)),$C$3)*(1+IF('IP Attrition'!BM137&gt;0,'Attrition Modeling'!$N$9,0)))</f>
        <v>0</v>
      </c>
      <c r="BN80" s="799">
        <f>BM80*(1-IFERROR(IF(BN$77+$F80&lt;=12,SUMIFS('Attrition Modeling'!$D:$D,'Attrition Modeling'!$C:$C,$D80,'Attrition Modeling'!$B:$B,BN$76),VLOOKUP($F80+BN$77,$A$7:$C$107,2,FALSE)*VLOOKUP(BN$76,'Attrition Modeling'!$L$15:$N$27,IF(BN$77+$F80&lt;=24,2,3),FALSE)),$C$3)*(1+IF('IP Attrition'!BN137&gt;0,'Attrition Modeling'!$N$9,0)))</f>
        <v>0</v>
      </c>
      <c r="BO80" s="799">
        <f>BN80*(1-IFERROR(IF(BO$77+$F80&lt;=12,SUMIFS('Attrition Modeling'!$D:$D,'Attrition Modeling'!$C:$C,$D80,'Attrition Modeling'!$B:$B,BO$76),VLOOKUP($F80+BO$77,$A$7:$C$107,2,FALSE)*VLOOKUP(BO$76,'Attrition Modeling'!$L$15:$N$27,IF(BO$77+$F80&lt;=24,2,3),FALSE)),$C$3)*(1+IF('IP Attrition'!BO137&gt;0,'Attrition Modeling'!$N$9,0)))</f>
        <v>0</v>
      </c>
      <c r="BP80" s="799">
        <f>BO80*(1-IFERROR(IF(BP$77+$F80&lt;=12,SUMIFS('Attrition Modeling'!$D:$D,'Attrition Modeling'!$C:$C,$D80,'Attrition Modeling'!$B:$B,BP$76),VLOOKUP($F80+BP$77,$A$7:$C$107,2,FALSE)*VLOOKUP(BP$76,'Attrition Modeling'!$L$15:$N$27,IF(BP$77+$F80&lt;=24,2,3),FALSE)),$C$3)*(1+IF('IP Attrition'!BP137&gt;0,'Attrition Modeling'!$N$9,0)))</f>
        <v>0</v>
      </c>
      <c r="BQ80" s="799">
        <f>BP80*(1-IFERROR(IF(BQ$77+$F80&lt;=12,SUMIFS('Attrition Modeling'!$D:$D,'Attrition Modeling'!$C:$C,$D80,'Attrition Modeling'!$B:$B,BQ$76),VLOOKUP($F80+BQ$77,$A$7:$C$107,2,FALSE)*VLOOKUP(BQ$76,'Attrition Modeling'!$L$15:$N$27,IF(BQ$77+$F80&lt;=24,2,3),FALSE)),$C$3)*(1+IF('IP Attrition'!BQ137&gt;0,'Attrition Modeling'!$N$9,0)))</f>
        <v>0</v>
      </c>
      <c r="BR80" s="799">
        <f>BQ80*(1-IFERROR(IF(BR$77+$F80&lt;=12,SUMIFS('Attrition Modeling'!$D:$D,'Attrition Modeling'!$C:$C,$D80,'Attrition Modeling'!$B:$B,BR$76),VLOOKUP($F80+BR$77,$A$7:$C$107,2,FALSE)*VLOOKUP(BR$76,'Attrition Modeling'!$L$15:$N$27,IF(BR$77+$F80&lt;=24,2,3),FALSE)),$C$3)*(1+IF('IP Attrition'!BR137&gt;0,'Attrition Modeling'!$N$9,0)))</f>
        <v>0</v>
      </c>
      <c r="BS80" s="799">
        <f>BR80*(1-IFERROR(IF(BS$77+$F80&lt;=12,SUMIFS('Attrition Modeling'!$D:$D,'Attrition Modeling'!$C:$C,$D80,'Attrition Modeling'!$B:$B,BS$76),VLOOKUP($F80+BS$77,$A$7:$C$107,2,FALSE)*VLOOKUP(BS$76,'Attrition Modeling'!$L$15:$N$27,IF(BS$77+$F80&lt;=24,2,3),FALSE)),$C$3)*(1+IF('IP Attrition'!BS137&gt;0,'Attrition Modeling'!$N$9,0)))</f>
        <v>0</v>
      </c>
      <c r="BT80" s="799" t="e">
        <f>BS80*(1-IFERROR(IF(BT$77+$F80&lt;=12,SUMIFS('Attrition Modeling'!$D:$D,'Attrition Modeling'!$C:$C,$D80,'Attrition Modeling'!$B:$B,BT$76),VLOOKUP($F80+BT$77,$A$7:$C$107,2,FALSE)*VLOOKUP(BT$76,'Attrition Modeling'!$L$15:$N$27,IF(BT$77+$F80&lt;=24,2,3),FALSE)),$C$3)*(1+IF('IP Attrition'!BT137&gt;0,'Attrition Modeling'!$N$9,0)))</f>
        <v>#REF!</v>
      </c>
      <c r="BU80" s="799" t="e">
        <f>BT80*(1-IFERROR(IF(BU$77+$F80&lt;=12,SUMIFS('Attrition Modeling'!$D:$D,'Attrition Modeling'!$C:$C,$D80,'Attrition Modeling'!$B:$B,BU$76),VLOOKUP($F80+BU$77,$A$7:$C$107,2,FALSE)*VLOOKUP(BU$76,'Attrition Modeling'!$L$15:$N$27,IF(BU$77+$F80&lt;=24,2,3),FALSE)),$C$3)*(1+IF('IP Attrition'!BU137&gt;0,'Attrition Modeling'!$N$9,0)))</f>
        <v>#REF!</v>
      </c>
    </row>
    <row r="81" spans="1:73" ht="14.25" customHeight="1" x14ac:dyDescent="0.2">
      <c r="A81" s="9">
        <v>73</v>
      </c>
      <c r="B81" s="25">
        <f>MAX('Attrition Modeling'!H77,$C$3)*(1-Summary!$C$20)</f>
        <v>2.0975974119330047E-2</v>
      </c>
      <c r="C81" s="24" t="e">
        <f t="shared" si="2"/>
        <v>#DIV/0!</v>
      </c>
      <c r="D81" s="11">
        <f>'IP Attrition'!D73</f>
        <v>-3</v>
      </c>
      <c r="E81" s="25">
        <f>'IP Attrition'!E73</f>
        <v>0.13610718415204701</v>
      </c>
      <c r="F81" s="11">
        <f t="shared" si="8"/>
        <v>3</v>
      </c>
      <c r="G81" s="799">
        <f>Summary!$C$24*$E81</f>
        <v>0</v>
      </c>
      <c r="H81" s="799">
        <f>G81*(1-IFERROR(IF(H$77+$F81&lt;=12,SUMIFS('Attrition Modeling'!$D:$D,'Attrition Modeling'!$C:$C,$D81,'Attrition Modeling'!$B:$B,H$76),VLOOKUP($F81+H$77,$A$7:$C$107,2,FALSE)*VLOOKUP(H$76,'Attrition Modeling'!$L$15:$N$27,IF(H$77+$F81&lt;=24,2,3),FALSE)),$C$3)*(1+IF('IP Attrition'!H138&gt;0,'Attrition Modeling'!$N$9,0)))</f>
        <v>0</v>
      </c>
      <c r="I81" s="799">
        <f>H81*(1-IFERROR(IF(I$77+$F81&lt;=12,SUMIFS('Attrition Modeling'!$D:$D,'Attrition Modeling'!$C:$C,$D81,'Attrition Modeling'!$B:$B,I$76),VLOOKUP($F81+I$77,$A$7:$C$107,2,FALSE)*VLOOKUP(I$76,'Attrition Modeling'!$L$15:$N$27,IF(I$77+$F81&lt;=24,2,3),FALSE)),$C$3)*(1+IF('IP Attrition'!I138&gt;0,'Attrition Modeling'!$N$9,0)))</f>
        <v>0</v>
      </c>
      <c r="J81" s="799">
        <f>I81*(1-IFERROR(IF(J$77+$F81&lt;=12,SUMIFS('Attrition Modeling'!$D:$D,'Attrition Modeling'!$C:$C,$D81,'Attrition Modeling'!$B:$B,J$76),VLOOKUP($F81+J$77,$A$7:$C$107,2,FALSE)*VLOOKUP(J$76,'Attrition Modeling'!$L$15:$N$27,IF(J$77+$F81&lt;=24,2,3),FALSE)),$C$3)*(1+IF('IP Attrition'!J138&gt;0,'Attrition Modeling'!$N$9,0)))</f>
        <v>0</v>
      </c>
      <c r="K81" s="799">
        <f>J81*(1-IFERROR(IF(K$77+$F81&lt;=12,SUMIFS('Attrition Modeling'!$D:$D,'Attrition Modeling'!$C:$C,$D81,'Attrition Modeling'!$B:$B,K$76),VLOOKUP($F81+K$77,$A$7:$C$107,2,FALSE)*VLOOKUP(K$76,'Attrition Modeling'!$L$15:$N$27,IF(K$77+$F81&lt;=24,2,3),FALSE)),$C$3)*(1+IF('IP Attrition'!K138&gt;0,'Attrition Modeling'!$N$9,0)))</f>
        <v>0</v>
      </c>
      <c r="L81" s="799">
        <f>K81*(1-IFERROR(IF(L$77+$F81&lt;=12,SUMIFS('Attrition Modeling'!$D:$D,'Attrition Modeling'!$C:$C,$D81,'Attrition Modeling'!$B:$B,L$76),VLOOKUP($F81+L$77,$A$7:$C$107,2,FALSE)*VLOOKUP(L$76,'Attrition Modeling'!$L$15:$N$27,IF(L$77+$F81&lt;=24,2,3),FALSE)),$C$3)*(1+IF('IP Attrition'!L138&gt;0,'Attrition Modeling'!$N$9,0)))</f>
        <v>0</v>
      </c>
      <c r="M81" s="799">
        <f>L81*(1-IFERROR(IF(M$77+$F81&lt;=12,SUMIFS('Attrition Modeling'!$D:$D,'Attrition Modeling'!$C:$C,$D81,'Attrition Modeling'!$B:$B,M$76),VLOOKUP($F81+M$77,$A$7:$C$107,2,FALSE)*VLOOKUP(M$76,'Attrition Modeling'!$L$15:$N$27,IF(M$77+$F81&lt;=24,2,3),FALSE)),$C$3)*(1+IF('IP Attrition'!M138&gt;0,'Attrition Modeling'!$N$9,0)))</f>
        <v>0</v>
      </c>
      <c r="N81" s="799">
        <f>M81*(1-IFERROR(IF(N$77+$F81&lt;=12,SUMIFS('Attrition Modeling'!$D:$D,'Attrition Modeling'!$C:$C,$D81,'Attrition Modeling'!$B:$B,N$76),VLOOKUP($F81+N$77,$A$7:$C$107,2,FALSE)*VLOOKUP(N$76,'Attrition Modeling'!$L$15:$N$27,IF(N$77+$F81&lt;=24,2,3),FALSE)),$C$3)*(1+IF('IP Attrition'!N138&gt;0,'Attrition Modeling'!$N$9,0)))</f>
        <v>0</v>
      </c>
      <c r="O81" s="799">
        <f>N81*(1-IFERROR(IF(O$77+$F81&lt;=12,SUMIFS('Attrition Modeling'!$D:$D,'Attrition Modeling'!$C:$C,$D81,'Attrition Modeling'!$B:$B,O$76),VLOOKUP($F81+O$77,$A$7:$C$107,2,FALSE)*VLOOKUP(O$76,'Attrition Modeling'!$L$15:$N$27,IF(O$77+$F81&lt;=24,2,3),FALSE)),$C$3)*(1+IF('IP Attrition'!O138&gt;0,'Attrition Modeling'!$N$9,0)))</f>
        <v>0</v>
      </c>
      <c r="P81" s="799">
        <f>O81*(1-IFERROR(IF(P$77+$F81&lt;=12,SUMIFS('Attrition Modeling'!$D:$D,'Attrition Modeling'!$C:$C,$D81,'Attrition Modeling'!$B:$B,P$76),VLOOKUP($F81+P$77,$A$7:$C$107,2,FALSE)*VLOOKUP(P$76,'Attrition Modeling'!$L$15:$N$27,IF(P$77+$F81&lt;=24,2,3),FALSE)),$C$3)*(1+IF('IP Attrition'!P138&gt;0,'Attrition Modeling'!$N$9,0)))</f>
        <v>0</v>
      </c>
      <c r="Q81" s="799">
        <f>P81*(1-IFERROR(IF(Q$77+$F81&lt;=12,SUMIFS('Attrition Modeling'!$D:$D,'Attrition Modeling'!$C:$C,$D81,'Attrition Modeling'!$B:$B,Q$76),VLOOKUP($F81+Q$77,$A$7:$C$107,2,FALSE)*VLOOKUP(Q$76,'Attrition Modeling'!$L$15:$N$27,IF(Q$77+$F81&lt;=24,2,3),FALSE)),$C$3)*(1+IF('IP Attrition'!Q138&gt;0,'Attrition Modeling'!$N$9,0)))</f>
        <v>0</v>
      </c>
      <c r="R81" s="799">
        <f>Q81*(1-IFERROR(IF(R$77+$F81&lt;=12,SUMIFS('Attrition Modeling'!$D:$D,'Attrition Modeling'!$C:$C,$D81,'Attrition Modeling'!$B:$B,R$76),VLOOKUP($F81+R$77,$A$7:$C$107,2,FALSE)*VLOOKUP(R$76,'Attrition Modeling'!$L$15:$N$27,IF(R$77+$F81&lt;=24,2,3),FALSE)),$C$3)*(1+IF('IP Attrition'!R138&gt;0,'Attrition Modeling'!$N$9,0)))</f>
        <v>0</v>
      </c>
      <c r="S81" s="799">
        <f>R81*(1-IFERROR(IF(S$77+$F81&lt;=12,SUMIFS('Attrition Modeling'!$D:$D,'Attrition Modeling'!$C:$C,$D81,'Attrition Modeling'!$B:$B,S$76),VLOOKUP($F81+S$77,$A$7:$C$107,2,FALSE)*VLOOKUP(S$76,'Attrition Modeling'!$L$15:$N$27,IF(S$77+$F81&lt;=24,2,3),FALSE)),$C$3)*(1+IF('IP Attrition'!S138&gt;0,'Attrition Modeling'!$N$9,0)))</f>
        <v>0</v>
      </c>
      <c r="T81" s="799">
        <f>S81*(1-IFERROR(IF(T$77+$F81&lt;=12,SUMIFS('Attrition Modeling'!$D:$D,'Attrition Modeling'!$C:$C,$D81,'Attrition Modeling'!$B:$B,T$76),VLOOKUP($F81+T$77,$A$7:$C$107,2,FALSE)*VLOOKUP(T$76,'Attrition Modeling'!$L$15:$N$27,IF(T$77+$F81&lt;=24,2,3),FALSE)),$C$3)*(1+IF('IP Attrition'!T138&gt;0,'Attrition Modeling'!$N$9,0)))</f>
        <v>0</v>
      </c>
      <c r="U81" s="799">
        <f>T81*(1-IFERROR(IF(U$77+$F81&lt;=12,SUMIFS('Attrition Modeling'!$D:$D,'Attrition Modeling'!$C:$C,$D81,'Attrition Modeling'!$B:$B,U$76),VLOOKUP($F81+U$77,$A$7:$C$107,2,FALSE)*VLOOKUP(U$76,'Attrition Modeling'!$L$15:$N$27,IF(U$77+$F81&lt;=24,2,3),FALSE)),$C$3)*(1+IF('IP Attrition'!U138&gt;0,'Attrition Modeling'!$N$9,0)))</f>
        <v>0</v>
      </c>
      <c r="V81" s="799">
        <f>U81*(1-IFERROR(IF(V$77+$F81&lt;=12,SUMIFS('Attrition Modeling'!$D:$D,'Attrition Modeling'!$C:$C,$D81,'Attrition Modeling'!$B:$B,V$76),VLOOKUP($F81+V$77,$A$7:$C$107,2,FALSE)*VLOOKUP(V$76,'Attrition Modeling'!$L$15:$N$27,IF(V$77+$F81&lt;=24,2,3),FALSE)),$C$3)*(1+IF('IP Attrition'!V138&gt;0,'Attrition Modeling'!$N$9,0)))</f>
        <v>0</v>
      </c>
      <c r="W81" s="799">
        <f>V81*(1-IFERROR(IF(W$77+$F81&lt;=12,SUMIFS('Attrition Modeling'!$D:$D,'Attrition Modeling'!$C:$C,$D81,'Attrition Modeling'!$B:$B,W$76),VLOOKUP($F81+W$77,$A$7:$C$107,2,FALSE)*VLOOKUP(W$76,'Attrition Modeling'!$L$15:$N$27,IF(W$77+$F81&lt;=24,2,3),FALSE)),$C$3)*(1+IF('IP Attrition'!W138&gt;0,'Attrition Modeling'!$N$9,0)))</f>
        <v>0</v>
      </c>
      <c r="X81" s="799">
        <f>W81*(1-IFERROR(IF(X$77+$F81&lt;=12,SUMIFS('Attrition Modeling'!$D:$D,'Attrition Modeling'!$C:$C,$D81,'Attrition Modeling'!$B:$B,X$76),VLOOKUP($F81+X$77,$A$7:$C$107,2,FALSE)*VLOOKUP(X$76,'Attrition Modeling'!$L$15:$N$27,IF(X$77+$F81&lt;=24,2,3),FALSE)),$C$3)*(1+IF('IP Attrition'!X138&gt;0,'Attrition Modeling'!$N$9,0)))</f>
        <v>0</v>
      </c>
      <c r="Y81" s="799">
        <f>X81*(1-IFERROR(IF(Y$77+$F81&lt;=12,SUMIFS('Attrition Modeling'!$D:$D,'Attrition Modeling'!$C:$C,$D81,'Attrition Modeling'!$B:$B,Y$76),VLOOKUP($F81+Y$77,$A$7:$C$107,2,FALSE)*VLOOKUP(Y$76,'Attrition Modeling'!$L$15:$N$27,IF(Y$77+$F81&lt;=24,2,3),FALSE)),$C$3)*(1+IF('IP Attrition'!Y138&gt;0,'Attrition Modeling'!$N$9,0)))</f>
        <v>0</v>
      </c>
      <c r="Z81" s="799">
        <f>Y81*(1-IFERROR(IF(Z$77+$F81&lt;=12,SUMIFS('Attrition Modeling'!$D:$D,'Attrition Modeling'!$C:$C,$D81,'Attrition Modeling'!$B:$B,Z$76),VLOOKUP($F81+Z$77,$A$7:$C$107,2,FALSE)*VLOOKUP(Z$76,'Attrition Modeling'!$L$15:$N$27,IF(Z$77+$F81&lt;=24,2,3),FALSE)),$C$3)*(1+IF('IP Attrition'!Z138&gt;0,'Attrition Modeling'!$N$9,0)))</f>
        <v>0</v>
      </c>
      <c r="AA81" s="799">
        <f>Z81*(1-IFERROR(IF(AA$77+$F81&lt;=12,SUMIFS('Attrition Modeling'!$D:$D,'Attrition Modeling'!$C:$C,$D81,'Attrition Modeling'!$B:$B,AA$76),VLOOKUP($F81+AA$77,$A$7:$C$107,2,FALSE)*VLOOKUP(AA$76,'Attrition Modeling'!$L$15:$N$27,IF(AA$77+$F81&lt;=24,2,3),FALSE)),$C$3)*(1+IF('IP Attrition'!AA138&gt;0,'Attrition Modeling'!$N$9,0)))</f>
        <v>0</v>
      </c>
      <c r="AB81" s="799">
        <f>AA81*(1-IFERROR(IF(AB$77+$F81&lt;=12,SUMIFS('Attrition Modeling'!$D:$D,'Attrition Modeling'!$C:$C,$D81,'Attrition Modeling'!$B:$B,AB$76),VLOOKUP($F81+AB$77,$A$7:$C$107,2,FALSE)*VLOOKUP(AB$76,'Attrition Modeling'!$L$15:$N$27,IF(AB$77+$F81&lt;=24,2,3),FALSE)),$C$3)*(1+IF('IP Attrition'!AB138&gt;0,'Attrition Modeling'!$N$9,0)))</f>
        <v>0</v>
      </c>
      <c r="AC81" s="799">
        <f>AB81*(1-IFERROR(IF(AC$77+$F81&lt;=12,SUMIFS('Attrition Modeling'!$D:$D,'Attrition Modeling'!$C:$C,$D81,'Attrition Modeling'!$B:$B,AC$76),VLOOKUP($F81+AC$77,$A$7:$C$107,2,FALSE)*VLOOKUP(AC$76,'Attrition Modeling'!$L$15:$N$27,IF(AC$77+$F81&lt;=24,2,3),FALSE)),$C$3)*(1+IF('IP Attrition'!AC138&gt;0,'Attrition Modeling'!$N$9,0)))</f>
        <v>0</v>
      </c>
      <c r="AD81" s="799">
        <f>AC81*(1-IFERROR(IF(AD$77+$F81&lt;=12,SUMIFS('Attrition Modeling'!$D:$D,'Attrition Modeling'!$C:$C,$D81,'Attrition Modeling'!$B:$B,AD$76),VLOOKUP($F81+AD$77,$A$7:$C$107,2,FALSE)*VLOOKUP(AD$76,'Attrition Modeling'!$L$15:$N$27,IF(AD$77+$F81&lt;=24,2,3),FALSE)),$C$3)*(1+IF('IP Attrition'!AD138&gt;0,'Attrition Modeling'!$N$9,0)))</f>
        <v>0</v>
      </c>
      <c r="AE81" s="799">
        <f>AD81*(1-IFERROR(IF(AE$77+$F81&lt;=12,SUMIFS('Attrition Modeling'!$D:$D,'Attrition Modeling'!$C:$C,$D81,'Attrition Modeling'!$B:$B,AE$76),VLOOKUP($F81+AE$77,$A$7:$C$107,2,FALSE)*VLOOKUP(AE$76,'Attrition Modeling'!$L$15:$N$27,IF(AE$77+$F81&lt;=24,2,3),FALSE)),$C$3)*(1+IF('IP Attrition'!AE138&gt;0,'Attrition Modeling'!$N$9,0)))</f>
        <v>0</v>
      </c>
      <c r="AF81" s="799">
        <f>AE81*(1-IFERROR(IF(AF$77+$F81&lt;=12,SUMIFS('Attrition Modeling'!$D:$D,'Attrition Modeling'!$C:$C,$D81,'Attrition Modeling'!$B:$B,AF$76),VLOOKUP($F81+AF$77,$A$7:$C$107,2,FALSE)*VLOOKUP(AF$76,'Attrition Modeling'!$L$15:$N$27,IF(AF$77+$F81&lt;=24,2,3),FALSE)),$C$3)*(1+IF('IP Attrition'!AF138&gt;0,'Attrition Modeling'!$N$9,0)))</f>
        <v>0</v>
      </c>
      <c r="AG81" s="799">
        <f>AF81*(1-IFERROR(IF(AG$77+$F81&lt;=12,SUMIFS('Attrition Modeling'!$D:$D,'Attrition Modeling'!$C:$C,$D81,'Attrition Modeling'!$B:$B,AG$76),VLOOKUP($F81+AG$77,$A$7:$C$107,2,FALSE)*VLOOKUP(AG$76,'Attrition Modeling'!$L$15:$N$27,IF(AG$77+$F81&lt;=24,2,3),FALSE)),$C$3)*(1+IF('IP Attrition'!AG138&gt;0,'Attrition Modeling'!$N$9,0)))</f>
        <v>0</v>
      </c>
      <c r="AH81" s="799">
        <f>AG81*(1-IFERROR(IF(AH$77+$F81&lt;=12,SUMIFS('Attrition Modeling'!$D:$D,'Attrition Modeling'!$C:$C,$D81,'Attrition Modeling'!$B:$B,AH$76),VLOOKUP($F81+AH$77,$A$7:$C$107,2,FALSE)*VLOOKUP(AH$76,'Attrition Modeling'!$L$15:$N$27,IF(AH$77+$F81&lt;=24,2,3),FALSE)),$C$3)*(1+IF('IP Attrition'!AH138&gt;0,'Attrition Modeling'!$N$9,0)))</f>
        <v>0</v>
      </c>
      <c r="AI81" s="799">
        <f>AH81*(1-IFERROR(IF(AI$77+$F81&lt;=12,SUMIFS('Attrition Modeling'!$D:$D,'Attrition Modeling'!$C:$C,$D81,'Attrition Modeling'!$B:$B,AI$76),VLOOKUP($F81+AI$77,$A$7:$C$107,2,FALSE)*VLOOKUP(AI$76,'Attrition Modeling'!$L$15:$N$27,IF(AI$77+$F81&lt;=24,2,3),FALSE)),$C$3)*(1+IF('IP Attrition'!AI138&gt;0,'Attrition Modeling'!$N$9,0)))</f>
        <v>0</v>
      </c>
      <c r="AJ81" s="799">
        <f>AI81*(1-IFERROR(IF(AJ$77+$F81&lt;=12,SUMIFS('Attrition Modeling'!$D:$D,'Attrition Modeling'!$C:$C,$D81,'Attrition Modeling'!$B:$B,AJ$76),VLOOKUP($F81+AJ$77,$A$7:$C$107,2,FALSE)*VLOOKUP(AJ$76,'Attrition Modeling'!$L$15:$N$27,IF(AJ$77+$F81&lt;=24,2,3),FALSE)),$C$3)*(1+IF('IP Attrition'!AJ138&gt;0,'Attrition Modeling'!$N$9,0)))</f>
        <v>0</v>
      </c>
      <c r="AK81" s="799">
        <f>AJ81*(1-IFERROR(IF(AK$77+$F81&lt;=12,SUMIFS('Attrition Modeling'!$D:$D,'Attrition Modeling'!$C:$C,$D81,'Attrition Modeling'!$B:$B,AK$76),VLOOKUP($F81+AK$77,$A$7:$C$107,2,FALSE)*VLOOKUP(AK$76,'Attrition Modeling'!$L$15:$N$27,IF(AK$77+$F81&lt;=24,2,3),FALSE)),$C$3)*(1+IF('IP Attrition'!AK138&gt;0,'Attrition Modeling'!$N$9,0)))</f>
        <v>0</v>
      </c>
      <c r="AL81" s="799">
        <f>AK81*(1-IFERROR(IF(AL$77+$F81&lt;=12,SUMIFS('Attrition Modeling'!$D:$D,'Attrition Modeling'!$C:$C,$D81,'Attrition Modeling'!$B:$B,AL$76),VLOOKUP($F81+AL$77,$A$7:$C$107,2,FALSE)*VLOOKUP(AL$76,'Attrition Modeling'!$L$15:$N$27,IF(AL$77+$F81&lt;=24,2,3),FALSE)),$C$3)*(1+IF('IP Attrition'!AL138&gt;0,'Attrition Modeling'!$N$9,0)))</f>
        <v>0</v>
      </c>
      <c r="AM81" s="799">
        <f>AL81*(1-IFERROR(IF(AM$77+$F81&lt;=12,SUMIFS('Attrition Modeling'!$D:$D,'Attrition Modeling'!$C:$C,$D81,'Attrition Modeling'!$B:$B,AM$76),VLOOKUP($F81+AM$77,$A$7:$C$107,2,FALSE)*VLOOKUP(AM$76,'Attrition Modeling'!$L$15:$N$27,IF(AM$77+$F81&lt;=24,2,3),FALSE)),$C$3)*(1+IF('IP Attrition'!AM138&gt;0,'Attrition Modeling'!$N$9,0)))</f>
        <v>0</v>
      </c>
      <c r="AN81" s="799">
        <f>AM81*(1-IFERROR(IF(AN$77+$F81&lt;=12,SUMIFS('Attrition Modeling'!$D:$D,'Attrition Modeling'!$C:$C,$D81,'Attrition Modeling'!$B:$B,AN$76),VLOOKUP($F81+AN$77,$A$7:$C$107,2,FALSE)*VLOOKUP(AN$76,'Attrition Modeling'!$L$15:$N$27,IF(AN$77+$F81&lt;=24,2,3),FALSE)),$C$3)*(1+IF('IP Attrition'!AN138&gt;0,'Attrition Modeling'!$N$9,0)))</f>
        <v>0</v>
      </c>
      <c r="AO81" s="799">
        <f>AN81*(1-IFERROR(IF(AO$77+$F81&lt;=12,SUMIFS('Attrition Modeling'!$D:$D,'Attrition Modeling'!$C:$C,$D81,'Attrition Modeling'!$B:$B,AO$76),VLOOKUP($F81+AO$77,$A$7:$C$107,2,FALSE)*VLOOKUP(AO$76,'Attrition Modeling'!$L$15:$N$27,IF(AO$77+$F81&lt;=24,2,3),FALSE)),$C$3)*(1+IF('IP Attrition'!AO138&gt;0,'Attrition Modeling'!$N$9,0)))</f>
        <v>0</v>
      </c>
      <c r="AP81" s="799">
        <f>AO81*(1-IFERROR(IF(AP$77+$F81&lt;=12,SUMIFS('Attrition Modeling'!$D:$D,'Attrition Modeling'!$C:$C,$D81,'Attrition Modeling'!$B:$B,AP$76),VLOOKUP($F81+AP$77,$A$7:$C$107,2,FALSE)*VLOOKUP(AP$76,'Attrition Modeling'!$L$15:$N$27,IF(AP$77+$F81&lt;=24,2,3),FALSE)),$C$3)*(1+IF('IP Attrition'!AP138&gt;0,'Attrition Modeling'!$N$9,0)))</f>
        <v>0</v>
      </c>
      <c r="AQ81" s="799">
        <f>AP81*(1-IFERROR(IF(AQ$77+$F81&lt;=12,SUMIFS('Attrition Modeling'!$D:$D,'Attrition Modeling'!$C:$C,$D81,'Attrition Modeling'!$B:$B,AQ$76),VLOOKUP($F81+AQ$77,$A$7:$C$107,2,FALSE)*VLOOKUP(AQ$76,'Attrition Modeling'!$L$15:$N$27,IF(AQ$77+$F81&lt;=24,2,3),FALSE)),$C$3)*(1+IF('IP Attrition'!AQ138&gt;0,'Attrition Modeling'!$N$9,0)))</f>
        <v>0</v>
      </c>
      <c r="AR81" s="799">
        <f>AQ81*(1-IFERROR(IF(AR$77+$F81&lt;=12,SUMIFS('Attrition Modeling'!$D:$D,'Attrition Modeling'!$C:$C,$D81,'Attrition Modeling'!$B:$B,AR$76),VLOOKUP($F81+AR$77,$A$7:$C$107,2,FALSE)*VLOOKUP(AR$76,'Attrition Modeling'!$L$15:$N$27,IF(AR$77+$F81&lt;=24,2,3),FALSE)),$C$3)*(1+IF('IP Attrition'!AR138&gt;0,'Attrition Modeling'!$N$9,0)))</f>
        <v>0</v>
      </c>
      <c r="AS81" s="799">
        <f>AR81*(1-IFERROR(IF(AS$77+$F81&lt;=12,SUMIFS('Attrition Modeling'!$D:$D,'Attrition Modeling'!$C:$C,$D81,'Attrition Modeling'!$B:$B,AS$76),VLOOKUP($F81+AS$77,$A$7:$C$107,2,FALSE)*VLOOKUP(AS$76,'Attrition Modeling'!$L$15:$N$27,IF(AS$77+$F81&lt;=24,2,3),FALSE)),$C$3)*(1+IF('IP Attrition'!AS138&gt;0,'Attrition Modeling'!$N$9,0)))</f>
        <v>0</v>
      </c>
      <c r="AT81" s="799">
        <f>AS81*(1-IFERROR(IF(AT$77+$F81&lt;=12,SUMIFS('Attrition Modeling'!$D:$D,'Attrition Modeling'!$C:$C,$D81,'Attrition Modeling'!$B:$B,AT$76),VLOOKUP($F81+AT$77,$A$7:$C$107,2,FALSE)*VLOOKUP(AT$76,'Attrition Modeling'!$L$15:$N$27,IF(AT$77+$F81&lt;=24,2,3),FALSE)),$C$3)*(1+IF('IP Attrition'!AT138&gt;0,'Attrition Modeling'!$N$9,0)))</f>
        <v>0</v>
      </c>
      <c r="AU81" s="799">
        <f>AT81*(1-IFERROR(IF(AU$77+$F81&lt;=12,SUMIFS('Attrition Modeling'!$D:$D,'Attrition Modeling'!$C:$C,$D81,'Attrition Modeling'!$B:$B,AU$76),VLOOKUP($F81+AU$77,$A$7:$C$107,2,FALSE)*VLOOKUP(AU$76,'Attrition Modeling'!$L$15:$N$27,IF(AU$77+$F81&lt;=24,2,3),FALSE)),$C$3)*(1+IF('IP Attrition'!AU138&gt;0,'Attrition Modeling'!$N$9,0)))</f>
        <v>0</v>
      </c>
      <c r="AV81" s="799">
        <f>AU81*(1-IFERROR(IF(AV$77+$F81&lt;=12,SUMIFS('Attrition Modeling'!$D:$D,'Attrition Modeling'!$C:$C,$D81,'Attrition Modeling'!$B:$B,AV$76),VLOOKUP($F81+AV$77,$A$7:$C$107,2,FALSE)*VLOOKUP(AV$76,'Attrition Modeling'!$L$15:$N$27,IF(AV$77+$F81&lt;=24,2,3),FALSE)),$C$3)*(1+IF('IP Attrition'!AV138&gt;0,'Attrition Modeling'!$N$9,0)))</f>
        <v>0</v>
      </c>
      <c r="AW81" s="799">
        <f>AV81*(1-IFERROR(IF(AW$77+$F81&lt;=12,SUMIFS('Attrition Modeling'!$D:$D,'Attrition Modeling'!$C:$C,$D81,'Attrition Modeling'!$B:$B,AW$76),VLOOKUP($F81+AW$77,$A$7:$C$107,2,FALSE)*VLOOKUP(AW$76,'Attrition Modeling'!$L$15:$N$27,IF(AW$77+$F81&lt;=24,2,3),FALSE)),$C$3)*(1+IF('IP Attrition'!AW138&gt;0,'Attrition Modeling'!$N$9,0)))</f>
        <v>0</v>
      </c>
      <c r="AX81" s="799">
        <f>AW81*(1-IFERROR(IF(AX$77+$F81&lt;=12,SUMIFS('Attrition Modeling'!$D:$D,'Attrition Modeling'!$C:$C,$D81,'Attrition Modeling'!$B:$B,AX$76),VLOOKUP($F81+AX$77,$A$7:$C$107,2,FALSE)*VLOOKUP(AX$76,'Attrition Modeling'!$L$15:$N$27,IF(AX$77+$F81&lt;=24,2,3),FALSE)),$C$3)*(1+IF('IP Attrition'!AX138&gt;0,'Attrition Modeling'!$N$9,0)))</f>
        <v>0</v>
      </c>
      <c r="AY81" s="799">
        <f>AX81*(1-IFERROR(IF(AY$77+$F81&lt;=12,SUMIFS('Attrition Modeling'!$D:$D,'Attrition Modeling'!$C:$C,$D81,'Attrition Modeling'!$B:$B,AY$76),VLOOKUP($F81+AY$77,$A$7:$C$107,2,FALSE)*VLOOKUP(AY$76,'Attrition Modeling'!$L$15:$N$27,IF(AY$77+$F81&lt;=24,2,3),FALSE)),$C$3)*(1+IF('IP Attrition'!AY138&gt;0,'Attrition Modeling'!$N$9,0)))</f>
        <v>0</v>
      </c>
      <c r="AZ81" s="799">
        <f>AY81*(1-IFERROR(IF(AZ$77+$F81&lt;=12,SUMIFS('Attrition Modeling'!$D:$D,'Attrition Modeling'!$C:$C,$D81,'Attrition Modeling'!$B:$B,AZ$76),VLOOKUP($F81+AZ$77,$A$7:$C$107,2,FALSE)*VLOOKUP(AZ$76,'Attrition Modeling'!$L$15:$N$27,IF(AZ$77+$F81&lt;=24,2,3),FALSE)),$C$3)*(1+IF('IP Attrition'!AZ138&gt;0,'Attrition Modeling'!$N$9,0)))</f>
        <v>0</v>
      </c>
      <c r="BA81" s="799">
        <f>AZ81*(1-IFERROR(IF(BA$77+$F81&lt;=12,SUMIFS('Attrition Modeling'!$D:$D,'Attrition Modeling'!$C:$C,$D81,'Attrition Modeling'!$B:$B,BA$76),VLOOKUP($F81+BA$77,$A$7:$C$107,2,FALSE)*VLOOKUP(BA$76,'Attrition Modeling'!$L$15:$N$27,IF(BA$77+$F81&lt;=24,2,3),FALSE)),$C$3)*(1+IF('IP Attrition'!BA138&gt;0,'Attrition Modeling'!$N$9,0)))</f>
        <v>0</v>
      </c>
      <c r="BB81" s="799">
        <f>BA81*(1-IFERROR(IF(BB$77+$F81&lt;=12,SUMIFS('Attrition Modeling'!$D:$D,'Attrition Modeling'!$C:$C,$D81,'Attrition Modeling'!$B:$B,BB$76),VLOOKUP($F81+BB$77,$A$7:$C$107,2,FALSE)*VLOOKUP(BB$76,'Attrition Modeling'!$L$15:$N$27,IF(BB$77+$F81&lt;=24,2,3),FALSE)),$C$3)*(1+IF('IP Attrition'!BB138&gt;0,'Attrition Modeling'!$N$9,0)))</f>
        <v>0</v>
      </c>
      <c r="BC81" s="799">
        <f>BB81*(1-IFERROR(IF(BC$77+$F81&lt;=12,SUMIFS('Attrition Modeling'!$D:$D,'Attrition Modeling'!$C:$C,$D81,'Attrition Modeling'!$B:$B,BC$76),VLOOKUP($F81+BC$77,$A$7:$C$107,2,FALSE)*VLOOKUP(BC$76,'Attrition Modeling'!$L$15:$N$27,IF(BC$77+$F81&lt;=24,2,3),FALSE)),$C$3)*(1+IF('IP Attrition'!BC138&gt;0,'Attrition Modeling'!$N$9,0)))</f>
        <v>0</v>
      </c>
      <c r="BD81" s="799">
        <f>BC81*(1-IFERROR(IF(BD$77+$F81&lt;=12,SUMIFS('Attrition Modeling'!$D:$D,'Attrition Modeling'!$C:$C,$D81,'Attrition Modeling'!$B:$B,BD$76),VLOOKUP($F81+BD$77,$A$7:$C$107,2,FALSE)*VLOOKUP(BD$76,'Attrition Modeling'!$L$15:$N$27,IF(BD$77+$F81&lt;=24,2,3),FALSE)),$C$3)*(1+IF('IP Attrition'!BD138&gt;0,'Attrition Modeling'!$N$9,0)))</f>
        <v>0</v>
      </c>
      <c r="BE81" s="799">
        <f>BD81*(1-IFERROR(IF(BE$77+$F81&lt;=12,SUMIFS('Attrition Modeling'!$D:$D,'Attrition Modeling'!$C:$C,$D81,'Attrition Modeling'!$B:$B,BE$76),VLOOKUP($F81+BE$77,$A$7:$C$107,2,FALSE)*VLOOKUP(BE$76,'Attrition Modeling'!$L$15:$N$27,IF(BE$77+$F81&lt;=24,2,3),FALSE)),$C$3)*(1+IF('IP Attrition'!BE138&gt;0,'Attrition Modeling'!$N$9,0)))</f>
        <v>0</v>
      </c>
      <c r="BF81" s="799">
        <f>BE81*(1-IFERROR(IF(BF$77+$F81&lt;=12,SUMIFS('Attrition Modeling'!$D:$D,'Attrition Modeling'!$C:$C,$D81,'Attrition Modeling'!$B:$B,BF$76),VLOOKUP($F81+BF$77,$A$7:$C$107,2,FALSE)*VLOOKUP(BF$76,'Attrition Modeling'!$L$15:$N$27,IF(BF$77+$F81&lt;=24,2,3),FALSE)),$C$3)*(1+IF('IP Attrition'!BF138&gt;0,'Attrition Modeling'!$N$9,0)))</f>
        <v>0</v>
      </c>
      <c r="BG81" s="799">
        <f>BF81*(1-IFERROR(IF(BG$77+$F81&lt;=12,SUMIFS('Attrition Modeling'!$D:$D,'Attrition Modeling'!$C:$C,$D81,'Attrition Modeling'!$B:$B,BG$76),VLOOKUP($F81+BG$77,$A$7:$C$107,2,FALSE)*VLOOKUP(BG$76,'Attrition Modeling'!$L$15:$N$27,IF(BG$77+$F81&lt;=24,2,3),FALSE)),$C$3)*(1+IF('IP Attrition'!BG138&gt;0,'Attrition Modeling'!$N$9,0)))</f>
        <v>0</v>
      </c>
      <c r="BH81" s="799">
        <f>BG81*(1-IFERROR(IF(BH$77+$F81&lt;=12,SUMIFS('Attrition Modeling'!$D:$D,'Attrition Modeling'!$C:$C,$D81,'Attrition Modeling'!$B:$B,BH$76),VLOOKUP($F81+BH$77,$A$7:$C$107,2,FALSE)*VLOOKUP(BH$76,'Attrition Modeling'!$L$15:$N$27,IF(BH$77+$F81&lt;=24,2,3),FALSE)),$C$3)*(1+IF('IP Attrition'!BH138&gt;0,'Attrition Modeling'!$N$9,0)))</f>
        <v>0</v>
      </c>
      <c r="BI81" s="799">
        <f>BH81*(1-IFERROR(IF(BI$77+$F81&lt;=12,SUMIFS('Attrition Modeling'!$D:$D,'Attrition Modeling'!$C:$C,$D81,'Attrition Modeling'!$B:$B,BI$76),VLOOKUP($F81+BI$77,$A$7:$C$107,2,FALSE)*VLOOKUP(BI$76,'Attrition Modeling'!$L$15:$N$27,IF(BI$77+$F81&lt;=24,2,3),FALSE)),$C$3)*(1+IF('IP Attrition'!BI138&gt;0,'Attrition Modeling'!$N$9,0)))</f>
        <v>0</v>
      </c>
      <c r="BJ81" s="799">
        <f>BI81*(1-IFERROR(IF(BJ$77+$F81&lt;=12,SUMIFS('Attrition Modeling'!$D:$D,'Attrition Modeling'!$C:$C,$D81,'Attrition Modeling'!$B:$B,BJ$76),VLOOKUP($F81+BJ$77,$A$7:$C$107,2,FALSE)*VLOOKUP(BJ$76,'Attrition Modeling'!$L$15:$N$27,IF(BJ$77+$F81&lt;=24,2,3),FALSE)),$C$3)*(1+IF('IP Attrition'!BJ138&gt;0,'Attrition Modeling'!$N$9,0)))</f>
        <v>0</v>
      </c>
      <c r="BK81" s="799">
        <f>BJ81*(1-IFERROR(IF(BK$77+$F81&lt;=12,SUMIFS('Attrition Modeling'!$D:$D,'Attrition Modeling'!$C:$C,$D81,'Attrition Modeling'!$B:$B,BK$76),VLOOKUP($F81+BK$77,$A$7:$C$107,2,FALSE)*VLOOKUP(BK$76,'Attrition Modeling'!$L$15:$N$27,IF(BK$77+$F81&lt;=24,2,3),FALSE)),$C$3)*(1+IF('IP Attrition'!BK138&gt;0,'Attrition Modeling'!$N$9,0)))</f>
        <v>0</v>
      </c>
      <c r="BL81" s="799">
        <f>BK81*(1-IFERROR(IF(BL$77+$F81&lt;=12,SUMIFS('Attrition Modeling'!$D:$D,'Attrition Modeling'!$C:$C,$D81,'Attrition Modeling'!$B:$B,BL$76),VLOOKUP($F81+BL$77,$A$7:$C$107,2,FALSE)*VLOOKUP(BL$76,'Attrition Modeling'!$L$15:$N$27,IF(BL$77+$F81&lt;=24,2,3),FALSE)),$C$3)*(1+IF('IP Attrition'!BL138&gt;0,'Attrition Modeling'!$N$9,0)))</f>
        <v>0</v>
      </c>
      <c r="BM81" s="799">
        <f>BL81*(1-IFERROR(IF(BM$77+$F81&lt;=12,SUMIFS('Attrition Modeling'!$D:$D,'Attrition Modeling'!$C:$C,$D81,'Attrition Modeling'!$B:$B,BM$76),VLOOKUP($F81+BM$77,$A$7:$C$107,2,FALSE)*VLOOKUP(BM$76,'Attrition Modeling'!$L$15:$N$27,IF(BM$77+$F81&lt;=24,2,3),FALSE)),$C$3)*(1+IF('IP Attrition'!BM138&gt;0,'Attrition Modeling'!$N$9,0)))</f>
        <v>0</v>
      </c>
      <c r="BN81" s="799">
        <f>BM81*(1-IFERROR(IF(BN$77+$F81&lt;=12,SUMIFS('Attrition Modeling'!$D:$D,'Attrition Modeling'!$C:$C,$D81,'Attrition Modeling'!$B:$B,BN$76),VLOOKUP($F81+BN$77,$A$7:$C$107,2,FALSE)*VLOOKUP(BN$76,'Attrition Modeling'!$L$15:$N$27,IF(BN$77+$F81&lt;=24,2,3),FALSE)),$C$3)*(1+IF('IP Attrition'!BN138&gt;0,'Attrition Modeling'!$N$9,0)))</f>
        <v>0</v>
      </c>
      <c r="BO81" s="799">
        <f>BN81*(1-IFERROR(IF(BO$77+$F81&lt;=12,SUMIFS('Attrition Modeling'!$D:$D,'Attrition Modeling'!$C:$C,$D81,'Attrition Modeling'!$B:$B,BO$76),VLOOKUP($F81+BO$77,$A$7:$C$107,2,FALSE)*VLOOKUP(BO$76,'Attrition Modeling'!$L$15:$N$27,IF(BO$77+$F81&lt;=24,2,3),FALSE)),$C$3)*(1+IF('IP Attrition'!BO138&gt;0,'Attrition Modeling'!$N$9,0)))</f>
        <v>0</v>
      </c>
      <c r="BP81" s="799">
        <f>BO81*(1-IFERROR(IF(BP$77+$F81&lt;=12,SUMIFS('Attrition Modeling'!$D:$D,'Attrition Modeling'!$C:$C,$D81,'Attrition Modeling'!$B:$B,BP$76),VLOOKUP($F81+BP$77,$A$7:$C$107,2,FALSE)*VLOOKUP(BP$76,'Attrition Modeling'!$L$15:$N$27,IF(BP$77+$F81&lt;=24,2,3),FALSE)),$C$3)*(1+IF('IP Attrition'!BP138&gt;0,'Attrition Modeling'!$N$9,0)))</f>
        <v>0</v>
      </c>
      <c r="BQ81" s="799">
        <f>BP81*(1-IFERROR(IF(BQ$77+$F81&lt;=12,SUMIFS('Attrition Modeling'!$D:$D,'Attrition Modeling'!$C:$C,$D81,'Attrition Modeling'!$B:$B,BQ$76),VLOOKUP($F81+BQ$77,$A$7:$C$107,2,FALSE)*VLOOKUP(BQ$76,'Attrition Modeling'!$L$15:$N$27,IF(BQ$77+$F81&lt;=24,2,3),FALSE)),$C$3)*(1+IF('IP Attrition'!BQ138&gt;0,'Attrition Modeling'!$N$9,0)))</f>
        <v>0</v>
      </c>
      <c r="BR81" s="799">
        <f>BQ81*(1-IFERROR(IF(BR$77+$F81&lt;=12,SUMIFS('Attrition Modeling'!$D:$D,'Attrition Modeling'!$C:$C,$D81,'Attrition Modeling'!$B:$B,BR$76),VLOOKUP($F81+BR$77,$A$7:$C$107,2,FALSE)*VLOOKUP(BR$76,'Attrition Modeling'!$L$15:$N$27,IF(BR$77+$F81&lt;=24,2,3),FALSE)),$C$3)*(1+IF('IP Attrition'!BR138&gt;0,'Attrition Modeling'!$N$9,0)))</f>
        <v>0</v>
      </c>
      <c r="BS81" s="799">
        <f>BR81*(1-IFERROR(IF(BS$77+$F81&lt;=12,SUMIFS('Attrition Modeling'!$D:$D,'Attrition Modeling'!$C:$C,$D81,'Attrition Modeling'!$B:$B,BS$76),VLOOKUP($F81+BS$77,$A$7:$C$107,2,FALSE)*VLOOKUP(BS$76,'Attrition Modeling'!$L$15:$N$27,IF(BS$77+$F81&lt;=24,2,3),FALSE)),$C$3)*(1+IF('IP Attrition'!BS138&gt;0,'Attrition Modeling'!$N$9,0)))</f>
        <v>0</v>
      </c>
      <c r="BT81" s="799" t="e">
        <f>BS81*(1-IFERROR(IF(BT$77+$F81&lt;=12,SUMIFS('Attrition Modeling'!$D:$D,'Attrition Modeling'!$C:$C,$D81,'Attrition Modeling'!$B:$B,BT$76),VLOOKUP($F81+BT$77,$A$7:$C$107,2,FALSE)*VLOOKUP(BT$76,'Attrition Modeling'!$L$15:$N$27,IF(BT$77+$F81&lt;=24,2,3),FALSE)),$C$3)*(1+IF('IP Attrition'!BT138&gt;0,'Attrition Modeling'!$N$9,0)))</f>
        <v>#REF!</v>
      </c>
      <c r="BU81" s="799" t="e">
        <f>BT81*(1-IFERROR(IF(BU$77+$F81&lt;=12,SUMIFS('Attrition Modeling'!$D:$D,'Attrition Modeling'!$C:$C,$D81,'Attrition Modeling'!$B:$B,BU$76),VLOOKUP($F81+BU$77,$A$7:$C$107,2,FALSE)*VLOOKUP(BU$76,'Attrition Modeling'!$L$15:$N$27,IF(BU$77+$F81&lt;=24,2,3),FALSE)),$C$3)*(1+IF('IP Attrition'!BU138&gt;0,'Attrition Modeling'!$N$9,0)))</f>
        <v>#REF!</v>
      </c>
    </row>
    <row r="82" spans="1:73" ht="14.25" customHeight="1" x14ac:dyDescent="0.2">
      <c r="A82" s="9">
        <v>74</v>
      </c>
      <c r="B82" s="25">
        <f>MAX('Attrition Modeling'!H78,$C$3)*(1-Summary!$C$20)</f>
        <v>2.079894825930189E-2</v>
      </c>
      <c r="C82" s="24" t="e">
        <f t="shared" si="2"/>
        <v>#DIV/0!</v>
      </c>
      <c r="D82" s="11">
        <f>'IP Attrition'!D74</f>
        <v>-4</v>
      </c>
      <c r="E82" s="25">
        <f>'IP Attrition'!E74</f>
        <v>0.15294356027295372</v>
      </c>
      <c r="F82" s="11">
        <f t="shared" si="8"/>
        <v>4</v>
      </c>
      <c r="G82" s="799">
        <f>Summary!$C$24*$E82</f>
        <v>0</v>
      </c>
      <c r="H82" s="799">
        <f>G82*(1-IFERROR(IF(H$77+$F82&lt;=12,SUMIFS('Attrition Modeling'!$D:$D,'Attrition Modeling'!$C:$C,$D82,'Attrition Modeling'!$B:$B,H$76),VLOOKUP($F82+H$77,$A$7:$C$107,2,FALSE)*VLOOKUP(H$76,'Attrition Modeling'!$L$15:$N$27,IF(H$77+$F82&lt;=24,2,3),FALSE)),$C$3)*(1+IF('IP Attrition'!H139&gt;0,'Attrition Modeling'!$N$9,0)))</f>
        <v>0</v>
      </c>
      <c r="I82" s="799">
        <f>H82*(1-IFERROR(IF(I$77+$F82&lt;=12,SUMIFS('Attrition Modeling'!$D:$D,'Attrition Modeling'!$C:$C,$D82,'Attrition Modeling'!$B:$B,I$76),VLOOKUP($F82+I$77,$A$7:$C$107,2,FALSE)*VLOOKUP(I$76,'Attrition Modeling'!$L$15:$N$27,IF(I$77+$F82&lt;=24,2,3),FALSE)),$C$3)*(1+IF('IP Attrition'!I139&gt;0,'Attrition Modeling'!$N$9,0)))</f>
        <v>0</v>
      </c>
      <c r="J82" s="799">
        <f>I82*(1-IFERROR(IF(J$77+$F82&lt;=12,SUMIFS('Attrition Modeling'!$D:$D,'Attrition Modeling'!$C:$C,$D82,'Attrition Modeling'!$B:$B,J$76),VLOOKUP($F82+J$77,$A$7:$C$107,2,FALSE)*VLOOKUP(J$76,'Attrition Modeling'!$L$15:$N$27,IF(J$77+$F82&lt;=24,2,3),FALSE)),$C$3)*(1+IF('IP Attrition'!J139&gt;0,'Attrition Modeling'!$N$9,0)))</f>
        <v>0</v>
      </c>
      <c r="K82" s="799">
        <f>J82*(1-IFERROR(IF(K$77+$F82&lt;=12,SUMIFS('Attrition Modeling'!$D:$D,'Attrition Modeling'!$C:$C,$D82,'Attrition Modeling'!$B:$B,K$76),VLOOKUP($F82+K$77,$A$7:$C$107,2,FALSE)*VLOOKUP(K$76,'Attrition Modeling'!$L$15:$N$27,IF(K$77+$F82&lt;=24,2,3),FALSE)),$C$3)*(1+IF('IP Attrition'!K139&gt;0,'Attrition Modeling'!$N$9,0)))</f>
        <v>0</v>
      </c>
      <c r="L82" s="799">
        <f>K82*(1-IFERROR(IF(L$77+$F82&lt;=12,SUMIFS('Attrition Modeling'!$D:$D,'Attrition Modeling'!$C:$C,$D82,'Attrition Modeling'!$B:$B,L$76),VLOOKUP($F82+L$77,$A$7:$C$107,2,FALSE)*VLOOKUP(L$76,'Attrition Modeling'!$L$15:$N$27,IF(L$77+$F82&lt;=24,2,3),FALSE)),$C$3)*(1+IF('IP Attrition'!L139&gt;0,'Attrition Modeling'!$N$9,0)))</f>
        <v>0</v>
      </c>
      <c r="M82" s="799">
        <f>L82*(1-IFERROR(IF(M$77+$F82&lt;=12,SUMIFS('Attrition Modeling'!$D:$D,'Attrition Modeling'!$C:$C,$D82,'Attrition Modeling'!$B:$B,M$76),VLOOKUP($F82+M$77,$A$7:$C$107,2,FALSE)*VLOOKUP(M$76,'Attrition Modeling'!$L$15:$N$27,IF(M$77+$F82&lt;=24,2,3),FALSE)),$C$3)*(1+IF('IP Attrition'!M139&gt;0,'Attrition Modeling'!$N$9,0)))</f>
        <v>0</v>
      </c>
      <c r="N82" s="799">
        <f>M82*(1-IFERROR(IF(N$77+$F82&lt;=12,SUMIFS('Attrition Modeling'!$D:$D,'Attrition Modeling'!$C:$C,$D82,'Attrition Modeling'!$B:$B,N$76),VLOOKUP($F82+N$77,$A$7:$C$107,2,FALSE)*VLOOKUP(N$76,'Attrition Modeling'!$L$15:$N$27,IF(N$77+$F82&lt;=24,2,3),FALSE)),$C$3)*(1+IF('IP Attrition'!N139&gt;0,'Attrition Modeling'!$N$9,0)))</f>
        <v>0</v>
      </c>
      <c r="O82" s="799">
        <f>N82*(1-IFERROR(IF(O$77+$F82&lt;=12,SUMIFS('Attrition Modeling'!$D:$D,'Attrition Modeling'!$C:$C,$D82,'Attrition Modeling'!$B:$B,O$76),VLOOKUP($F82+O$77,$A$7:$C$107,2,FALSE)*VLOOKUP(O$76,'Attrition Modeling'!$L$15:$N$27,IF(O$77+$F82&lt;=24,2,3),FALSE)),$C$3)*(1+IF('IP Attrition'!O139&gt;0,'Attrition Modeling'!$N$9,0)))</f>
        <v>0</v>
      </c>
      <c r="P82" s="799">
        <f>O82*(1-IFERROR(IF(P$77+$F82&lt;=12,SUMIFS('Attrition Modeling'!$D:$D,'Attrition Modeling'!$C:$C,$D82,'Attrition Modeling'!$B:$B,P$76),VLOOKUP($F82+P$77,$A$7:$C$107,2,FALSE)*VLOOKUP(P$76,'Attrition Modeling'!$L$15:$N$27,IF(P$77+$F82&lt;=24,2,3),FALSE)),$C$3)*(1+IF('IP Attrition'!P139&gt;0,'Attrition Modeling'!$N$9,0)))</f>
        <v>0</v>
      </c>
      <c r="Q82" s="799">
        <f>P82*(1-IFERROR(IF(Q$77+$F82&lt;=12,SUMIFS('Attrition Modeling'!$D:$D,'Attrition Modeling'!$C:$C,$D82,'Attrition Modeling'!$B:$B,Q$76),VLOOKUP($F82+Q$77,$A$7:$C$107,2,FALSE)*VLOOKUP(Q$76,'Attrition Modeling'!$L$15:$N$27,IF(Q$77+$F82&lt;=24,2,3),FALSE)),$C$3)*(1+IF('IP Attrition'!Q139&gt;0,'Attrition Modeling'!$N$9,0)))</f>
        <v>0</v>
      </c>
      <c r="R82" s="799">
        <f>Q82*(1-IFERROR(IF(R$77+$F82&lt;=12,SUMIFS('Attrition Modeling'!$D:$D,'Attrition Modeling'!$C:$C,$D82,'Attrition Modeling'!$B:$B,R$76),VLOOKUP($F82+R$77,$A$7:$C$107,2,FALSE)*VLOOKUP(R$76,'Attrition Modeling'!$L$15:$N$27,IF(R$77+$F82&lt;=24,2,3),FALSE)),$C$3)*(1+IF('IP Attrition'!R139&gt;0,'Attrition Modeling'!$N$9,0)))</f>
        <v>0</v>
      </c>
      <c r="S82" s="799">
        <f>R82*(1-IFERROR(IF(S$77+$F82&lt;=12,SUMIFS('Attrition Modeling'!$D:$D,'Attrition Modeling'!$C:$C,$D82,'Attrition Modeling'!$B:$B,S$76),VLOOKUP($F82+S$77,$A$7:$C$107,2,FALSE)*VLOOKUP(S$76,'Attrition Modeling'!$L$15:$N$27,IF(S$77+$F82&lt;=24,2,3),FALSE)),$C$3)*(1+IF('IP Attrition'!S139&gt;0,'Attrition Modeling'!$N$9,0)))</f>
        <v>0</v>
      </c>
      <c r="T82" s="799">
        <f>S82*(1-IFERROR(IF(T$77+$F82&lt;=12,SUMIFS('Attrition Modeling'!$D:$D,'Attrition Modeling'!$C:$C,$D82,'Attrition Modeling'!$B:$B,T$76),VLOOKUP($F82+T$77,$A$7:$C$107,2,FALSE)*VLOOKUP(T$76,'Attrition Modeling'!$L$15:$N$27,IF(T$77+$F82&lt;=24,2,3),FALSE)),$C$3)*(1+IF('IP Attrition'!T139&gt;0,'Attrition Modeling'!$N$9,0)))</f>
        <v>0</v>
      </c>
      <c r="U82" s="799">
        <f>T82*(1-IFERROR(IF(U$77+$F82&lt;=12,SUMIFS('Attrition Modeling'!$D:$D,'Attrition Modeling'!$C:$C,$D82,'Attrition Modeling'!$B:$B,U$76),VLOOKUP($F82+U$77,$A$7:$C$107,2,FALSE)*VLOOKUP(U$76,'Attrition Modeling'!$L$15:$N$27,IF(U$77+$F82&lt;=24,2,3),FALSE)),$C$3)*(1+IF('IP Attrition'!U139&gt;0,'Attrition Modeling'!$N$9,0)))</f>
        <v>0</v>
      </c>
      <c r="V82" s="799">
        <f>U82*(1-IFERROR(IF(V$77+$F82&lt;=12,SUMIFS('Attrition Modeling'!$D:$D,'Attrition Modeling'!$C:$C,$D82,'Attrition Modeling'!$B:$B,V$76),VLOOKUP($F82+V$77,$A$7:$C$107,2,FALSE)*VLOOKUP(V$76,'Attrition Modeling'!$L$15:$N$27,IF(V$77+$F82&lt;=24,2,3),FALSE)),$C$3)*(1+IF('IP Attrition'!V139&gt;0,'Attrition Modeling'!$N$9,0)))</f>
        <v>0</v>
      </c>
      <c r="W82" s="799">
        <f>V82*(1-IFERROR(IF(W$77+$F82&lt;=12,SUMIFS('Attrition Modeling'!$D:$D,'Attrition Modeling'!$C:$C,$D82,'Attrition Modeling'!$B:$B,W$76),VLOOKUP($F82+W$77,$A$7:$C$107,2,FALSE)*VLOOKUP(W$76,'Attrition Modeling'!$L$15:$N$27,IF(W$77+$F82&lt;=24,2,3),FALSE)),$C$3)*(1+IF('IP Attrition'!W139&gt;0,'Attrition Modeling'!$N$9,0)))</f>
        <v>0</v>
      </c>
      <c r="X82" s="799">
        <f>W82*(1-IFERROR(IF(X$77+$F82&lt;=12,SUMIFS('Attrition Modeling'!$D:$D,'Attrition Modeling'!$C:$C,$D82,'Attrition Modeling'!$B:$B,X$76),VLOOKUP($F82+X$77,$A$7:$C$107,2,FALSE)*VLOOKUP(X$76,'Attrition Modeling'!$L$15:$N$27,IF(X$77+$F82&lt;=24,2,3),FALSE)),$C$3)*(1+IF('IP Attrition'!X139&gt;0,'Attrition Modeling'!$N$9,0)))</f>
        <v>0</v>
      </c>
      <c r="Y82" s="799">
        <f>X82*(1-IFERROR(IF(Y$77+$F82&lt;=12,SUMIFS('Attrition Modeling'!$D:$D,'Attrition Modeling'!$C:$C,$D82,'Attrition Modeling'!$B:$B,Y$76),VLOOKUP($F82+Y$77,$A$7:$C$107,2,FALSE)*VLOOKUP(Y$76,'Attrition Modeling'!$L$15:$N$27,IF(Y$77+$F82&lt;=24,2,3),FALSE)),$C$3)*(1+IF('IP Attrition'!Y139&gt;0,'Attrition Modeling'!$N$9,0)))</f>
        <v>0</v>
      </c>
      <c r="Z82" s="799">
        <f>Y82*(1-IFERROR(IF(Z$77+$F82&lt;=12,SUMIFS('Attrition Modeling'!$D:$D,'Attrition Modeling'!$C:$C,$D82,'Attrition Modeling'!$B:$B,Z$76),VLOOKUP($F82+Z$77,$A$7:$C$107,2,FALSE)*VLOOKUP(Z$76,'Attrition Modeling'!$L$15:$N$27,IF(Z$77+$F82&lt;=24,2,3),FALSE)),$C$3)*(1+IF('IP Attrition'!Z139&gt;0,'Attrition Modeling'!$N$9,0)))</f>
        <v>0</v>
      </c>
      <c r="AA82" s="799">
        <f>Z82*(1-IFERROR(IF(AA$77+$F82&lt;=12,SUMIFS('Attrition Modeling'!$D:$D,'Attrition Modeling'!$C:$C,$D82,'Attrition Modeling'!$B:$B,AA$76),VLOOKUP($F82+AA$77,$A$7:$C$107,2,FALSE)*VLOOKUP(AA$76,'Attrition Modeling'!$L$15:$N$27,IF(AA$77+$F82&lt;=24,2,3),FALSE)),$C$3)*(1+IF('IP Attrition'!AA139&gt;0,'Attrition Modeling'!$N$9,0)))</f>
        <v>0</v>
      </c>
      <c r="AB82" s="799">
        <f>AA82*(1-IFERROR(IF(AB$77+$F82&lt;=12,SUMIFS('Attrition Modeling'!$D:$D,'Attrition Modeling'!$C:$C,$D82,'Attrition Modeling'!$B:$B,AB$76),VLOOKUP($F82+AB$77,$A$7:$C$107,2,FALSE)*VLOOKUP(AB$76,'Attrition Modeling'!$L$15:$N$27,IF(AB$77+$F82&lt;=24,2,3),FALSE)),$C$3)*(1+IF('IP Attrition'!AB139&gt;0,'Attrition Modeling'!$N$9,0)))</f>
        <v>0</v>
      </c>
      <c r="AC82" s="799">
        <f>AB82*(1-IFERROR(IF(AC$77+$F82&lt;=12,SUMIFS('Attrition Modeling'!$D:$D,'Attrition Modeling'!$C:$C,$D82,'Attrition Modeling'!$B:$B,AC$76),VLOOKUP($F82+AC$77,$A$7:$C$107,2,FALSE)*VLOOKUP(AC$76,'Attrition Modeling'!$L$15:$N$27,IF(AC$77+$F82&lt;=24,2,3),FALSE)),$C$3)*(1+IF('IP Attrition'!AC139&gt;0,'Attrition Modeling'!$N$9,0)))</f>
        <v>0</v>
      </c>
      <c r="AD82" s="799">
        <f>AC82*(1-IFERROR(IF(AD$77+$F82&lt;=12,SUMIFS('Attrition Modeling'!$D:$D,'Attrition Modeling'!$C:$C,$D82,'Attrition Modeling'!$B:$B,AD$76),VLOOKUP($F82+AD$77,$A$7:$C$107,2,FALSE)*VLOOKUP(AD$76,'Attrition Modeling'!$L$15:$N$27,IF(AD$77+$F82&lt;=24,2,3),FALSE)),$C$3)*(1+IF('IP Attrition'!AD139&gt;0,'Attrition Modeling'!$N$9,0)))</f>
        <v>0</v>
      </c>
      <c r="AE82" s="799">
        <f>AD82*(1-IFERROR(IF(AE$77+$F82&lt;=12,SUMIFS('Attrition Modeling'!$D:$D,'Attrition Modeling'!$C:$C,$D82,'Attrition Modeling'!$B:$B,AE$76),VLOOKUP($F82+AE$77,$A$7:$C$107,2,FALSE)*VLOOKUP(AE$76,'Attrition Modeling'!$L$15:$N$27,IF(AE$77+$F82&lt;=24,2,3),FALSE)),$C$3)*(1+IF('IP Attrition'!AE139&gt;0,'Attrition Modeling'!$N$9,0)))</f>
        <v>0</v>
      </c>
      <c r="AF82" s="799">
        <f>AE82*(1-IFERROR(IF(AF$77+$F82&lt;=12,SUMIFS('Attrition Modeling'!$D:$D,'Attrition Modeling'!$C:$C,$D82,'Attrition Modeling'!$B:$B,AF$76),VLOOKUP($F82+AF$77,$A$7:$C$107,2,FALSE)*VLOOKUP(AF$76,'Attrition Modeling'!$L$15:$N$27,IF(AF$77+$F82&lt;=24,2,3),FALSE)),$C$3)*(1+IF('IP Attrition'!AF139&gt;0,'Attrition Modeling'!$N$9,0)))</f>
        <v>0</v>
      </c>
      <c r="AG82" s="799">
        <f>AF82*(1-IFERROR(IF(AG$77+$F82&lt;=12,SUMIFS('Attrition Modeling'!$D:$D,'Attrition Modeling'!$C:$C,$D82,'Attrition Modeling'!$B:$B,AG$76),VLOOKUP($F82+AG$77,$A$7:$C$107,2,FALSE)*VLOOKUP(AG$76,'Attrition Modeling'!$L$15:$N$27,IF(AG$77+$F82&lt;=24,2,3),FALSE)),$C$3)*(1+IF('IP Attrition'!AG139&gt;0,'Attrition Modeling'!$N$9,0)))</f>
        <v>0</v>
      </c>
      <c r="AH82" s="799">
        <f>AG82*(1-IFERROR(IF(AH$77+$F82&lt;=12,SUMIFS('Attrition Modeling'!$D:$D,'Attrition Modeling'!$C:$C,$D82,'Attrition Modeling'!$B:$B,AH$76),VLOOKUP($F82+AH$77,$A$7:$C$107,2,FALSE)*VLOOKUP(AH$76,'Attrition Modeling'!$L$15:$N$27,IF(AH$77+$F82&lt;=24,2,3),FALSE)),$C$3)*(1+IF('IP Attrition'!AH139&gt;0,'Attrition Modeling'!$N$9,0)))</f>
        <v>0</v>
      </c>
      <c r="AI82" s="799">
        <f>AH82*(1-IFERROR(IF(AI$77+$F82&lt;=12,SUMIFS('Attrition Modeling'!$D:$D,'Attrition Modeling'!$C:$C,$D82,'Attrition Modeling'!$B:$B,AI$76),VLOOKUP($F82+AI$77,$A$7:$C$107,2,FALSE)*VLOOKUP(AI$76,'Attrition Modeling'!$L$15:$N$27,IF(AI$77+$F82&lt;=24,2,3),FALSE)),$C$3)*(1+IF('IP Attrition'!AI139&gt;0,'Attrition Modeling'!$N$9,0)))</f>
        <v>0</v>
      </c>
      <c r="AJ82" s="799">
        <f>AI82*(1-IFERROR(IF(AJ$77+$F82&lt;=12,SUMIFS('Attrition Modeling'!$D:$D,'Attrition Modeling'!$C:$C,$D82,'Attrition Modeling'!$B:$B,AJ$76),VLOOKUP($F82+AJ$77,$A$7:$C$107,2,FALSE)*VLOOKUP(AJ$76,'Attrition Modeling'!$L$15:$N$27,IF(AJ$77+$F82&lt;=24,2,3),FALSE)),$C$3)*(1+IF('IP Attrition'!AJ139&gt;0,'Attrition Modeling'!$N$9,0)))</f>
        <v>0</v>
      </c>
      <c r="AK82" s="799">
        <f>AJ82*(1-IFERROR(IF(AK$77+$F82&lt;=12,SUMIFS('Attrition Modeling'!$D:$D,'Attrition Modeling'!$C:$C,$D82,'Attrition Modeling'!$B:$B,AK$76),VLOOKUP($F82+AK$77,$A$7:$C$107,2,FALSE)*VLOOKUP(AK$76,'Attrition Modeling'!$L$15:$N$27,IF(AK$77+$F82&lt;=24,2,3),FALSE)),$C$3)*(1+IF('IP Attrition'!AK139&gt;0,'Attrition Modeling'!$N$9,0)))</f>
        <v>0</v>
      </c>
      <c r="AL82" s="799">
        <f>AK82*(1-IFERROR(IF(AL$77+$F82&lt;=12,SUMIFS('Attrition Modeling'!$D:$D,'Attrition Modeling'!$C:$C,$D82,'Attrition Modeling'!$B:$B,AL$76),VLOOKUP($F82+AL$77,$A$7:$C$107,2,FALSE)*VLOOKUP(AL$76,'Attrition Modeling'!$L$15:$N$27,IF(AL$77+$F82&lt;=24,2,3),FALSE)),$C$3)*(1+IF('IP Attrition'!AL139&gt;0,'Attrition Modeling'!$N$9,0)))</f>
        <v>0</v>
      </c>
      <c r="AM82" s="799">
        <f>AL82*(1-IFERROR(IF(AM$77+$F82&lt;=12,SUMIFS('Attrition Modeling'!$D:$D,'Attrition Modeling'!$C:$C,$D82,'Attrition Modeling'!$B:$B,AM$76),VLOOKUP($F82+AM$77,$A$7:$C$107,2,FALSE)*VLOOKUP(AM$76,'Attrition Modeling'!$L$15:$N$27,IF(AM$77+$F82&lt;=24,2,3),FALSE)),$C$3)*(1+IF('IP Attrition'!AM139&gt;0,'Attrition Modeling'!$N$9,0)))</f>
        <v>0</v>
      </c>
      <c r="AN82" s="799">
        <f>AM82*(1-IFERROR(IF(AN$77+$F82&lt;=12,SUMIFS('Attrition Modeling'!$D:$D,'Attrition Modeling'!$C:$C,$D82,'Attrition Modeling'!$B:$B,AN$76),VLOOKUP($F82+AN$77,$A$7:$C$107,2,FALSE)*VLOOKUP(AN$76,'Attrition Modeling'!$L$15:$N$27,IF(AN$77+$F82&lt;=24,2,3),FALSE)),$C$3)*(1+IF('IP Attrition'!AN139&gt;0,'Attrition Modeling'!$N$9,0)))</f>
        <v>0</v>
      </c>
      <c r="AO82" s="799">
        <f>AN82*(1-IFERROR(IF(AO$77+$F82&lt;=12,SUMIFS('Attrition Modeling'!$D:$D,'Attrition Modeling'!$C:$C,$D82,'Attrition Modeling'!$B:$B,AO$76),VLOOKUP($F82+AO$77,$A$7:$C$107,2,FALSE)*VLOOKUP(AO$76,'Attrition Modeling'!$L$15:$N$27,IF(AO$77+$F82&lt;=24,2,3),FALSE)),$C$3)*(1+IF('IP Attrition'!AO139&gt;0,'Attrition Modeling'!$N$9,0)))</f>
        <v>0</v>
      </c>
      <c r="AP82" s="799">
        <f>AO82*(1-IFERROR(IF(AP$77+$F82&lt;=12,SUMIFS('Attrition Modeling'!$D:$D,'Attrition Modeling'!$C:$C,$D82,'Attrition Modeling'!$B:$B,AP$76),VLOOKUP($F82+AP$77,$A$7:$C$107,2,FALSE)*VLOOKUP(AP$76,'Attrition Modeling'!$L$15:$N$27,IF(AP$77+$F82&lt;=24,2,3),FALSE)),$C$3)*(1+IF('IP Attrition'!AP139&gt;0,'Attrition Modeling'!$N$9,0)))</f>
        <v>0</v>
      </c>
      <c r="AQ82" s="799">
        <f>AP82*(1-IFERROR(IF(AQ$77+$F82&lt;=12,SUMIFS('Attrition Modeling'!$D:$D,'Attrition Modeling'!$C:$C,$D82,'Attrition Modeling'!$B:$B,AQ$76),VLOOKUP($F82+AQ$77,$A$7:$C$107,2,FALSE)*VLOOKUP(AQ$76,'Attrition Modeling'!$L$15:$N$27,IF(AQ$77+$F82&lt;=24,2,3),FALSE)),$C$3)*(1+IF('IP Attrition'!AQ139&gt;0,'Attrition Modeling'!$N$9,0)))</f>
        <v>0</v>
      </c>
      <c r="AR82" s="799">
        <f>AQ82*(1-IFERROR(IF(AR$77+$F82&lt;=12,SUMIFS('Attrition Modeling'!$D:$D,'Attrition Modeling'!$C:$C,$D82,'Attrition Modeling'!$B:$B,AR$76),VLOOKUP($F82+AR$77,$A$7:$C$107,2,FALSE)*VLOOKUP(AR$76,'Attrition Modeling'!$L$15:$N$27,IF(AR$77+$F82&lt;=24,2,3),FALSE)),$C$3)*(1+IF('IP Attrition'!AR139&gt;0,'Attrition Modeling'!$N$9,0)))</f>
        <v>0</v>
      </c>
      <c r="AS82" s="799">
        <f>AR82*(1-IFERROR(IF(AS$77+$F82&lt;=12,SUMIFS('Attrition Modeling'!$D:$D,'Attrition Modeling'!$C:$C,$D82,'Attrition Modeling'!$B:$B,AS$76),VLOOKUP($F82+AS$77,$A$7:$C$107,2,FALSE)*VLOOKUP(AS$76,'Attrition Modeling'!$L$15:$N$27,IF(AS$77+$F82&lt;=24,2,3),FALSE)),$C$3)*(1+IF('IP Attrition'!AS139&gt;0,'Attrition Modeling'!$N$9,0)))</f>
        <v>0</v>
      </c>
      <c r="AT82" s="799">
        <f>AS82*(1-IFERROR(IF(AT$77+$F82&lt;=12,SUMIFS('Attrition Modeling'!$D:$D,'Attrition Modeling'!$C:$C,$D82,'Attrition Modeling'!$B:$B,AT$76),VLOOKUP($F82+AT$77,$A$7:$C$107,2,FALSE)*VLOOKUP(AT$76,'Attrition Modeling'!$L$15:$N$27,IF(AT$77+$F82&lt;=24,2,3),FALSE)),$C$3)*(1+IF('IP Attrition'!AT139&gt;0,'Attrition Modeling'!$N$9,0)))</f>
        <v>0</v>
      </c>
      <c r="AU82" s="799">
        <f>AT82*(1-IFERROR(IF(AU$77+$F82&lt;=12,SUMIFS('Attrition Modeling'!$D:$D,'Attrition Modeling'!$C:$C,$D82,'Attrition Modeling'!$B:$B,AU$76),VLOOKUP($F82+AU$77,$A$7:$C$107,2,FALSE)*VLOOKUP(AU$76,'Attrition Modeling'!$L$15:$N$27,IF(AU$77+$F82&lt;=24,2,3),FALSE)),$C$3)*(1+IF('IP Attrition'!AU139&gt;0,'Attrition Modeling'!$N$9,0)))</f>
        <v>0</v>
      </c>
      <c r="AV82" s="799">
        <f>AU82*(1-IFERROR(IF(AV$77+$F82&lt;=12,SUMIFS('Attrition Modeling'!$D:$D,'Attrition Modeling'!$C:$C,$D82,'Attrition Modeling'!$B:$B,AV$76),VLOOKUP($F82+AV$77,$A$7:$C$107,2,FALSE)*VLOOKUP(AV$76,'Attrition Modeling'!$L$15:$N$27,IF(AV$77+$F82&lt;=24,2,3),FALSE)),$C$3)*(1+IF('IP Attrition'!AV139&gt;0,'Attrition Modeling'!$N$9,0)))</f>
        <v>0</v>
      </c>
      <c r="AW82" s="799">
        <f>AV82*(1-IFERROR(IF(AW$77+$F82&lt;=12,SUMIFS('Attrition Modeling'!$D:$D,'Attrition Modeling'!$C:$C,$D82,'Attrition Modeling'!$B:$B,AW$76),VLOOKUP($F82+AW$77,$A$7:$C$107,2,FALSE)*VLOOKUP(AW$76,'Attrition Modeling'!$L$15:$N$27,IF(AW$77+$F82&lt;=24,2,3),FALSE)),$C$3)*(1+IF('IP Attrition'!AW139&gt;0,'Attrition Modeling'!$N$9,0)))</f>
        <v>0</v>
      </c>
      <c r="AX82" s="799">
        <f>AW82*(1-IFERROR(IF(AX$77+$F82&lt;=12,SUMIFS('Attrition Modeling'!$D:$D,'Attrition Modeling'!$C:$C,$D82,'Attrition Modeling'!$B:$B,AX$76),VLOOKUP($F82+AX$77,$A$7:$C$107,2,FALSE)*VLOOKUP(AX$76,'Attrition Modeling'!$L$15:$N$27,IF(AX$77+$F82&lt;=24,2,3),FALSE)),$C$3)*(1+IF('IP Attrition'!AX139&gt;0,'Attrition Modeling'!$N$9,0)))</f>
        <v>0</v>
      </c>
      <c r="AY82" s="799">
        <f>AX82*(1-IFERROR(IF(AY$77+$F82&lt;=12,SUMIFS('Attrition Modeling'!$D:$D,'Attrition Modeling'!$C:$C,$D82,'Attrition Modeling'!$B:$B,AY$76),VLOOKUP($F82+AY$77,$A$7:$C$107,2,FALSE)*VLOOKUP(AY$76,'Attrition Modeling'!$L$15:$N$27,IF(AY$77+$F82&lt;=24,2,3),FALSE)),$C$3)*(1+IF('IP Attrition'!AY139&gt;0,'Attrition Modeling'!$N$9,0)))</f>
        <v>0</v>
      </c>
      <c r="AZ82" s="799">
        <f>AY82*(1-IFERROR(IF(AZ$77+$F82&lt;=12,SUMIFS('Attrition Modeling'!$D:$D,'Attrition Modeling'!$C:$C,$D82,'Attrition Modeling'!$B:$B,AZ$76),VLOOKUP($F82+AZ$77,$A$7:$C$107,2,FALSE)*VLOOKUP(AZ$76,'Attrition Modeling'!$L$15:$N$27,IF(AZ$77+$F82&lt;=24,2,3),FALSE)),$C$3)*(1+IF('IP Attrition'!AZ139&gt;0,'Attrition Modeling'!$N$9,0)))</f>
        <v>0</v>
      </c>
      <c r="BA82" s="799">
        <f>AZ82*(1-IFERROR(IF(BA$77+$F82&lt;=12,SUMIFS('Attrition Modeling'!$D:$D,'Attrition Modeling'!$C:$C,$D82,'Attrition Modeling'!$B:$B,BA$76),VLOOKUP($F82+BA$77,$A$7:$C$107,2,FALSE)*VLOOKUP(BA$76,'Attrition Modeling'!$L$15:$N$27,IF(BA$77+$F82&lt;=24,2,3),FALSE)),$C$3)*(1+IF('IP Attrition'!BA139&gt;0,'Attrition Modeling'!$N$9,0)))</f>
        <v>0</v>
      </c>
      <c r="BB82" s="799">
        <f>BA82*(1-IFERROR(IF(BB$77+$F82&lt;=12,SUMIFS('Attrition Modeling'!$D:$D,'Attrition Modeling'!$C:$C,$D82,'Attrition Modeling'!$B:$B,BB$76),VLOOKUP($F82+BB$77,$A$7:$C$107,2,FALSE)*VLOOKUP(BB$76,'Attrition Modeling'!$L$15:$N$27,IF(BB$77+$F82&lt;=24,2,3),FALSE)),$C$3)*(1+IF('IP Attrition'!BB139&gt;0,'Attrition Modeling'!$N$9,0)))</f>
        <v>0</v>
      </c>
      <c r="BC82" s="799">
        <f>BB82*(1-IFERROR(IF(BC$77+$F82&lt;=12,SUMIFS('Attrition Modeling'!$D:$D,'Attrition Modeling'!$C:$C,$D82,'Attrition Modeling'!$B:$B,BC$76),VLOOKUP($F82+BC$77,$A$7:$C$107,2,FALSE)*VLOOKUP(BC$76,'Attrition Modeling'!$L$15:$N$27,IF(BC$77+$F82&lt;=24,2,3),FALSE)),$C$3)*(1+IF('IP Attrition'!BC139&gt;0,'Attrition Modeling'!$N$9,0)))</f>
        <v>0</v>
      </c>
      <c r="BD82" s="799">
        <f>BC82*(1-IFERROR(IF(BD$77+$F82&lt;=12,SUMIFS('Attrition Modeling'!$D:$D,'Attrition Modeling'!$C:$C,$D82,'Attrition Modeling'!$B:$B,BD$76),VLOOKUP($F82+BD$77,$A$7:$C$107,2,FALSE)*VLOOKUP(BD$76,'Attrition Modeling'!$L$15:$N$27,IF(BD$77+$F82&lt;=24,2,3),FALSE)),$C$3)*(1+IF('IP Attrition'!BD139&gt;0,'Attrition Modeling'!$N$9,0)))</f>
        <v>0</v>
      </c>
      <c r="BE82" s="799">
        <f>BD82*(1-IFERROR(IF(BE$77+$F82&lt;=12,SUMIFS('Attrition Modeling'!$D:$D,'Attrition Modeling'!$C:$C,$D82,'Attrition Modeling'!$B:$B,BE$76),VLOOKUP($F82+BE$77,$A$7:$C$107,2,FALSE)*VLOOKUP(BE$76,'Attrition Modeling'!$L$15:$N$27,IF(BE$77+$F82&lt;=24,2,3),FALSE)),$C$3)*(1+IF('IP Attrition'!BE139&gt;0,'Attrition Modeling'!$N$9,0)))</f>
        <v>0</v>
      </c>
      <c r="BF82" s="799">
        <f>BE82*(1-IFERROR(IF(BF$77+$F82&lt;=12,SUMIFS('Attrition Modeling'!$D:$D,'Attrition Modeling'!$C:$C,$D82,'Attrition Modeling'!$B:$B,BF$76),VLOOKUP($F82+BF$77,$A$7:$C$107,2,FALSE)*VLOOKUP(BF$76,'Attrition Modeling'!$L$15:$N$27,IF(BF$77+$F82&lt;=24,2,3),FALSE)),$C$3)*(1+IF('IP Attrition'!BF139&gt;0,'Attrition Modeling'!$N$9,0)))</f>
        <v>0</v>
      </c>
      <c r="BG82" s="799">
        <f>BF82*(1-IFERROR(IF(BG$77+$F82&lt;=12,SUMIFS('Attrition Modeling'!$D:$D,'Attrition Modeling'!$C:$C,$D82,'Attrition Modeling'!$B:$B,BG$76),VLOOKUP($F82+BG$77,$A$7:$C$107,2,FALSE)*VLOOKUP(BG$76,'Attrition Modeling'!$L$15:$N$27,IF(BG$77+$F82&lt;=24,2,3),FALSE)),$C$3)*(1+IF('IP Attrition'!BG139&gt;0,'Attrition Modeling'!$N$9,0)))</f>
        <v>0</v>
      </c>
      <c r="BH82" s="799">
        <f>BG82*(1-IFERROR(IF(BH$77+$F82&lt;=12,SUMIFS('Attrition Modeling'!$D:$D,'Attrition Modeling'!$C:$C,$D82,'Attrition Modeling'!$B:$B,BH$76),VLOOKUP($F82+BH$77,$A$7:$C$107,2,FALSE)*VLOOKUP(BH$76,'Attrition Modeling'!$L$15:$N$27,IF(BH$77+$F82&lt;=24,2,3),FALSE)),$C$3)*(1+IF('IP Attrition'!BH139&gt;0,'Attrition Modeling'!$N$9,0)))</f>
        <v>0</v>
      </c>
      <c r="BI82" s="799">
        <f>BH82*(1-IFERROR(IF(BI$77+$F82&lt;=12,SUMIFS('Attrition Modeling'!$D:$D,'Attrition Modeling'!$C:$C,$D82,'Attrition Modeling'!$B:$B,BI$76),VLOOKUP($F82+BI$77,$A$7:$C$107,2,FALSE)*VLOOKUP(BI$76,'Attrition Modeling'!$L$15:$N$27,IF(BI$77+$F82&lt;=24,2,3),FALSE)),$C$3)*(1+IF('IP Attrition'!BI139&gt;0,'Attrition Modeling'!$N$9,0)))</f>
        <v>0</v>
      </c>
      <c r="BJ82" s="799">
        <f>BI82*(1-IFERROR(IF(BJ$77+$F82&lt;=12,SUMIFS('Attrition Modeling'!$D:$D,'Attrition Modeling'!$C:$C,$D82,'Attrition Modeling'!$B:$B,BJ$76),VLOOKUP($F82+BJ$77,$A$7:$C$107,2,FALSE)*VLOOKUP(BJ$76,'Attrition Modeling'!$L$15:$N$27,IF(BJ$77+$F82&lt;=24,2,3),FALSE)),$C$3)*(1+IF('IP Attrition'!BJ139&gt;0,'Attrition Modeling'!$N$9,0)))</f>
        <v>0</v>
      </c>
      <c r="BK82" s="799">
        <f>BJ82*(1-IFERROR(IF(BK$77+$F82&lt;=12,SUMIFS('Attrition Modeling'!$D:$D,'Attrition Modeling'!$C:$C,$D82,'Attrition Modeling'!$B:$B,BK$76),VLOOKUP($F82+BK$77,$A$7:$C$107,2,FALSE)*VLOOKUP(BK$76,'Attrition Modeling'!$L$15:$N$27,IF(BK$77+$F82&lt;=24,2,3),FALSE)),$C$3)*(1+IF('IP Attrition'!BK139&gt;0,'Attrition Modeling'!$N$9,0)))</f>
        <v>0</v>
      </c>
      <c r="BL82" s="799">
        <f>BK82*(1-IFERROR(IF(BL$77+$F82&lt;=12,SUMIFS('Attrition Modeling'!$D:$D,'Attrition Modeling'!$C:$C,$D82,'Attrition Modeling'!$B:$B,BL$76),VLOOKUP($F82+BL$77,$A$7:$C$107,2,FALSE)*VLOOKUP(BL$76,'Attrition Modeling'!$L$15:$N$27,IF(BL$77+$F82&lt;=24,2,3),FALSE)),$C$3)*(1+IF('IP Attrition'!BL139&gt;0,'Attrition Modeling'!$N$9,0)))</f>
        <v>0</v>
      </c>
      <c r="BM82" s="799">
        <f>BL82*(1-IFERROR(IF(BM$77+$F82&lt;=12,SUMIFS('Attrition Modeling'!$D:$D,'Attrition Modeling'!$C:$C,$D82,'Attrition Modeling'!$B:$B,BM$76),VLOOKUP($F82+BM$77,$A$7:$C$107,2,FALSE)*VLOOKUP(BM$76,'Attrition Modeling'!$L$15:$N$27,IF(BM$77+$F82&lt;=24,2,3),FALSE)),$C$3)*(1+IF('IP Attrition'!BM139&gt;0,'Attrition Modeling'!$N$9,0)))</f>
        <v>0</v>
      </c>
      <c r="BN82" s="799">
        <f>BM82*(1-IFERROR(IF(BN$77+$F82&lt;=12,SUMIFS('Attrition Modeling'!$D:$D,'Attrition Modeling'!$C:$C,$D82,'Attrition Modeling'!$B:$B,BN$76),VLOOKUP($F82+BN$77,$A$7:$C$107,2,FALSE)*VLOOKUP(BN$76,'Attrition Modeling'!$L$15:$N$27,IF(BN$77+$F82&lt;=24,2,3),FALSE)),$C$3)*(1+IF('IP Attrition'!BN139&gt;0,'Attrition Modeling'!$N$9,0)))</f>
        <v>0</v>
      </c>
      <c r="BO82" s="799">
        <f>BN82*(1-IFERROR(IF(BO$77+$F82&lt;=12,SUMIFS('Attrition Modeling'!$D:$D,'Attrition Modeling'!$C:$C,$D82,'Attrition Modeling'!$B:$B,BO$76),VLOOKUP($F82+BO$77,$A$7:$C$107,2,FALSE)*VLOOKUP(BO$76,'Attrition Modeling'!$L$15:$N$27,IF(BO$77+$F82&lt;=24,2,3),FALSE)),$C$3)*(1+IF('IP Attrition'!BO139&gt;0,'Attrition Modeling'!$N$9,0)))</f>
        <v>0</v>
      </c>
      <c r="BP82" s="799">
        <f>BO82*(1-IFERROR(IF(BP$77+$F82&lt;=12,SUMIFS('Attrition Modeling'!$D:$D,'Attrition Modeling'!$C:$C,$D82,'Attrition Modeling'!$B:$B,BP$76),VLOOKUP($F82+BP$77,$A$7:$C$107,2,FALSE)*VLOOKUP(BP$76,'Attrition Modeling'!$L$15:$N$27,IF(BP$77+$F82&lt;=24,2,3),FALSE)),$C$3)*(1+IF('IP Attrition'!BP139&gt;0,'Attrition Modeling'!$N$9,0)))</f>
        <v>0</v>
      </c>
      <c r="BQ82" s="799">
        <f>BP82*(1-IFERROR(IF(BQ$77+$F82&lt;=12,SUMIFS('Attrition Modeling'!$D:$D,'Attrition Modeling'!$C:$C,$D82,'Attrition Modeling'!$B:$B,BQ$76),VLOOKUP($F82+BQ$77,$A$7:$C$107,2,FALSE)*VLOOKUP(BQ$76,'Attrition Modeling'!$L$15:$N$27,IF(BQ$77+$F82&lt;=24,2,3),FALSE)),$C$3)*(1+IF('IP Attrition'!BQ139&gt;0,'Attrition Modeling'!$N$9,0)))</f>
        <v>0</v>
      </c>
      <c r="BR82" s="799">
        <f>BQ82*(1-IFERROR(IF(BR$77+$F82&lt;=12,SUMIFS('Attrition Modeling'!$D:$D,'Attrition Modeling'!$C:$C,$D82,'Attrition Modeling'!$B:$B,BR$76),VLOOKUP($F82+BR$77,$A$7:$C$107,2,FALSE)*VLOOKUP(BR$76,'Attrition Modeling'!$L$15:$N$27,IF(BR$77+$F82&lt;=24,2,3),FALSE)),$C$3)*(1+IF('IP Attrition'!BR139&gt;0,'Attrition Modeling'!$N$9,0)))</f>
        <v>0</v>
      </c>
      <c r="BS82" s="799">
        <f>BR82*(1-IFERROR(IF(BS$77+$F82&lt;=12,SUMIFS('Attrition Modeling'!$D:$D,'Attrition Modeling'!$C:$C,$D82,'Attrition Modeling'!$B:$B,BS$76),VLOOKUP($F82+BS$77,$A$7:$C$107,2,FALSE)*VLOOKUP(BS$76,'Attrition Modeling'!$L$15:$N$27,IF(BS$77+$F82&lt;=24,2,3),FALSE)),$C$3)*(1+IF('IP Attrition'!BS139&gt;0,'Attrition Modeling'!$N$9,0)))</f>
        <v>0</v>
      </c>
      <c r="BT82" s="799" t="e">
        <f>BS82*(1-IFERROR(IF(BT$77+$F82&lt;=12,SUMIFS('Attrition Modeling'!$D:$D,'Attrition Modeling'!$C:$C,$D82,'Attrition Modeling'!$B:$B,BT$76),VLOOKUP($F82+BT$77,$A$7:$C$107,2,FALSE)*VLOOKUP(BT$76,'Attrition Modeling'!$L$15:$N$27,IF(BT$77+$F82&lt;=24,2,3),FALSE)),$C$3)*(1+IF('IP Attrition'!BT139&gt;0,'Attrition Modeling'!$N$9,0)))</f>
        <v>#REF!</v>
      </c>
      <c r="BU82" s="799" t="e">
        <f>BT82*(1-IFERROR(IF(BU$77+$F82&lt;=12,SUMIFS('Attrition Modeling'!$D:$D,'Attrition Modeling'!$C:$C,$D82,'Attrition Modeling'!$B:$B,BU$76),VLOOKUP($F82+BU$77,$A$7:$C$107,2,FALSE)*VLOOKUP(BU$76,'Attrition Modeling'!$L$15:$N$27,IF(BU$77+$F82&lt;=24,2,3),FALSE)),$C$3)*(1+IF('IP Attrition'!BU139&gt;0,'Attrition Modeling'!$N$9,0)))</f>
        <v>#REF!</v>
      </c>
    </row>
    <row r="83" spans="1:73" ht="14.25" customHeight="1" x14ac:dyDescent="0.2">
      <c r="A83" s="9">
        <v>75</v>
      </c>
      <c r="B83" s="25">
        <f>MAX('Attrition Modeling'!H79,$C$3)*(1-Summary!$C$20)</f>
        <v>2.0624298657156349E-2</v>
      </c>
      <c r="C83" s="24" t="e">
        <f t="shared" si="2"/>
        <v>#DIV/0!</v>
      </c>
      <c r="D83" s="11">
        <f>'IP Attrition'!D75</f>
        <v>-5</v>
      </c>
      <c r="E83" s="25">
        <f>'IP Attrition'!E75</f>
        <v>7.2768090632364085E-2</v>
      </c>
      <c r="F83" s="11">
        <f t="shared" si="8"/>
        <v>5</v>
      </c>
      <c r="G83" s="799">
        <f>Summary!$C$24*$E83</f>
        <v>0</v>
      </c>
      <c r="H83" s="799">
        <f>G83*(1-IFERROR(IF(H$77+$F83&lt;=12,SUMIFS('Attrition Modeling'!$D:$D,'Attrition Modeling'!$C:$C,$D83,'Attrition Modeling'!$B:$B,H$76),VLOOKUP($F83+H$77,$A$7:$C$107,2,FALSE)*VLOOKUP(H$76,'Attrition Modeling'!$L$15:$N$27,IF(H$77+$F83&lt;=24,2,3),FALSE)),$C$3)*(1+IF('IP Attrition'!H140&gt;0,'Attrition Modeling'!$N$9,0)))</f>
        <v>0</v>
      </c>
      <c r="I83" s="799">
        <f>H83*(1-IFERROR(IF(I$77+$F83&lt;=12,SUMIFS('Attrition Modeling'!$D:$D,'Attrition Modeling'!$C:$C,$D83,'Attrition Modeling'!$B:$B,I$76),VLOOKUP($F83+I$77,$A$7:$C$107,2,FALSE)*VLOOKUP(I$76,'Attrition Modeling'!$L$15:$N$27,IF(I$77+$F83&lt;=24,2,3),FALSE)),$C$3)*(1+IF('IP Attrition'!I140&gt;0,'Attrition Modeling'!$N$9,0)))</f>
        <v>0</v>
      </c>
      <c r="J83" s="799">
        <f>I83*(1-IFERROR(IF(J$77+$F83&lt;=12,SUMIFS('Attrition Modeling'!$D:$D,'Attrition Modeling'!$C:$C,$D83,'Attrition Modeling'!$B:$B,J$76),VLOOKUP($F83+J$77,$A$7:$C$107,2,FALSE)*VLOOKUP(J$76,'Attrition Modeling'!$L$15:$N$27,IF(J$77+$F83&lt;=24,2,3),FALSE)),$C$3)*(1+IF('IP Attrition'!J140&gt;0,'Attrition Modeling'!$N$9,0)))</f>
        <v>0</v>
      </c>
      <c r="K83" s="799">
        <f>J83*(1-IFERROR(IF(K$77+$F83&lt;=12,SUMIFS('Attrition Modeling'!$D:$D,'Attrition Modeling'!$C:$C,$D83,'Attrition Modeling'!$B:$B,K$76),VLOOKUP($F83+K$77,$A$7:$C$107,2,FALSE)*VLOOKUP(K$76,'Attrition Modeling'!$L$15:$N$27,IF(K$77+$F83&lt;=24,2,3),FALSE)),$C$3)*(1+IF('IP Attrition'!K140&gt;0,'Attrition Modeling'!$N$9,0)))</f>
        <v>0</v>
      </c>
      <c r="L83" s="799">
        <f>K83*(1-IFERROR(IF(L$77+$F83&lt;=12,SUMIFS('Attrition Modeling'!$D:$D,'Attrition Modeling'!$C:$C,$D83,'Attrition Modeling'!$B:$B,L$76),VLOOKUP($F83+L$77,$A$7:$C$107,2,FALSE)*VLOOKUP(L$76,'Attrition Modeling'!$L$15:$N$27,IF(L$77+$F83&lt;=24,2,3),FALSE)),$C$3)*(1+IF('IP Attrition'!L140&gt;0,'Attrition Modeling'!$N$9,0)))</f>
        <v>0</v>
      </c>
      <c r="M83" s="799">
        <f>L83*(1-IFERROR(IF(M$77+$F83&lt;=12,SUMIFS('Attrition Modeling'!$D:$D,'Attrition Modeling'!$C:$C,$D83,'Attrition Modeling'!$B:$B,M$76),VLOOKUP($F83+M$77,$A$7:$C$107,2,FALSE)*VLOOKUP(M$76,'Attrition Modeling'!$L$15:$N$27,IF(M$77+$F83&lt;=24,2,3),FALSE)),$C$3)*(1+IF('IP Attrition'!M140&gt;0,'Attrition Modeling'!$N$9,0)))</f>
        <v>0</v>
      </c>
      <c r="N83" s="799">
        <f>M83*(1-IFERROR(IF(N$77+$F83&lt;=12,SUMIFS('Attrition Modeling'!$D:$D,'Attrition Modeling'!$C:$C,$D83,'Attrition Modeling'!$B:$B,N$76),VLOOKUP($F83+N$77,$A$7:$C$107,2,FALSE)*VLOOKUP(N$76,'Attrition Modeling'!$L$15:$N$27,IF(N$77+$F83&lt;=24,2,3),FALSE)),$C$3)*(1+IF('IP Attrition'!N140&gt;0,'Attrition Modeling'!$N$9,0)))</f>
        <v>0</v>
      </c>
      <c r="O83" s="799">
        <f>N83*(1-IFERROR(IF(O$77+$F83&lt;=12,SUMIFS('Attrition Modeling'!$D:$D,'Attrition Modeling'!$C:$C,$D83,'Attrition Modeling'!$B:$B,O$76),VLOOKUP($F83+O$77,$A$7:$C$107,2,FALSE)*VLOOKUP(O$76,'Attrition Modeling'!$L$15:$N$27,IF(O$77+$F83&lt;=24,2,3),FALSE)),$C$3)*(1+IF('IP Attrition'!O140&gt;0,'Attrition Modeling'!$N$9,0)))</f>
        <v>0</v>
      </c>
      <c r="P83" s="799">
        <f>O83*(1-IFERROR(IF(P$77+$F83&lt;=12,SUMIFS('Attrition Modeling'!$D:$D,'Attrition Modeling'!$C:$C,$D83,'Attrition Modeling'!$B:$B,P$76),VLOOKUP($F83+P$77,$A$7:$C$107,2,FALSE)*VLOOKUP(P$76,'Attrition Modeling'!$L$15:$N$27,IF(P$77+$F83&lt;=24,2,3),FALSE)),$C$3)*(1+IF('IP Attrition'!P140&gt;0,'Attrition Modeling'!$N$9,0)))</f>
        <v>0</v>
      </c>
      <c r="Q83" s="799">
        <f>P83*(1-IFERROR(IF(Q$77+$F83&lt;=12,SUMIFS('Attrition Modeling'!$D:$D,'Attrition Modeling'!$C:$C,$D83,'Attrition Modeling'!$B:$B,Q$76),VLOOKUP($F83+Q$77,$A$7:$C$107,2,FALSE)*VLOOKUP(Q$76,'Attrition Modeling'!$L$15:$N$27,IF(Q$77+$F83&lt;=24,2,3),FALSE)),$C$3)*(1+IF('IP Attrition'!Q140&gt;0,'Attrition Modeling'!$N$9,0)))</f>
        <v>0</v>
      </c>
      <c r="R83" s="799">
        <f>Q83*(1-IFERROR(IF(R$77+$F83&lt;=12,SUMIFS('Attrition Modeling'!$D:$D,'Attrition Modeling'!$C:$C,$D83,'Attrition Modeling'!$B:$B,R$76),VLOOKUP($F83+R$77,$A$7:$C$107,2,FALSE)*VLOOKUP(R$76,'Attrition Modeling'!$L$15:$N$27,IF(R$77+$F83&lt;=24,2,3),FALSE)),$C$3)*(1+IF('IP Attrition'!R140&gt;0,'Attrition Modeling'!$N$9,0)))</f>
        <v>0</v>
      </c>
      <c r="S83" s="799">
        <f>R83*(1-IFERROR(IF(S$77+$F83&lt;=12,SUMIFS('Attrition Modeling'!$D:$D,'Attrition Modeling'!$C:$C,$D83,'Attrition Modeling'!$B:$B,S$76),VLOOKUP($F83+S$77,$A$7:$C$107,2,FALSE)*VLOOKUP(S$76,'Attrition Modeling'!$L$15:$N$27,IF(S$77+$F83&lt;=24,2,3),FALSE)),$C$3)*(1+IF('IP Attrition'!S140&gt;0,'Attrition Modeling'!$N$9,0)))</f>
        <v>0</v>
      </c>
      <c r="T83" s="799">
        <f>S83*(1-IFERROR(IF(T$77+$F83&lt;=12,SUMIFS('Attrition Modeling'!$D:$D,'Attrition Modeling'!$C:$C,$D83,'Attrition Modeling'!$B:$B,T$76),VLOOKUP($F83+T$77,$A$7:$C$107,2,FALSE)*VLOOKUP(T$76,'Attrition Modeling'!$L$15:$N$27,IF(T$77+$F83&lt;=24,2,3),FALSE)),$C$3)*(1+IF('IP Attrition'!T140&gt;0,'Attrition Modeling'!$N$9,0)))</f>
        <v>0</v>
      </c>
      <c r="U83" s="799">
        <f>T83*(1-IFERROR(IF(U$77+$F83&lt;=12,SUMIFS('Attrition Modeling'!$D:$D,'Attrition Modeling'!$C:$C,$D83,'Attrition Modeling'!$B:$B,U$76),VLOOKUP($F83+U$77,$A$7:$C$107,2,FALSE)*VLOOKUP(U$76,'Attrition Modeling'!$L$15:$N$27,IF(U$77+$F83&lt;=24,2,3),FALSE)),$C$3)*(1+IF('IP Attrition'!U140&gt;0,'Attrition Modeling'!$N$9,0)))</f>
        <v>0</v>
      </c>
      <c r="V83" s="799">
        <f>U83*(1-IFERROR(IF(V$77+$F83&lt;=12,SUMIFS('Attrition Modeling'!$D:$D,'Attrition Modeling'!$C:$C,$D83,'Attrition Modeling'!$B:$B,V$76),VLOOKUP($F83+V$77,$A$7:$C$107,2,FALSE)*VLOOKUP(V$76,'Attrition Modeling'!$L$15:$N$27,IF(V$77+$F83&lt;=24,2,3),FALSE)),$C$3)*(1+IF('IP Attrition'!V140&gt;0,'Attrition Modeling'!$N$9,0)))</f>
        <v>0</v>
      </c>
      <c r="W83" s="799">
        <f>V83*(1-IFERROR(IF(W$77+$F83&lt;=12,SUMIFS('Attrition Modeling'!$D:$D,'Attrition Modeling'!$C:$C,$D83,'Attrition Modeling'!$B:$B,W$76),VLOOKUP($F83+W$77,$A$7:$C$107,2,FALSE)*VLOOKUP(W$76,'Attrition Modeling'!$L$15:$N$27,IF(W$77+$F83&lt;=24,2,3),FALSE)),$C$3)*(1+IF('IP Attrition'!W140&gt;0,'Attrition Modeling'!$N$9,0)))</f>
        <v>0</v>
      </c>
      <c r="X83" s="799">
        <f>W83*(1-IFERROR(IF(X$77+$F83&lt;=12,SUMIFS('Attrition Modeling'!$D:$D,'Attrition Modeling'!$C:$C,$D83,'Attrition Modeling'!$B:$B,X$76),VLOOKUP($F83+X$77,$A$7:$C$107,2,FALSE)*VLOOKUP(X$76,'Attrition Modeling'!$L$15:$N$27,IF(X$77+$F83&lt;=24,2,3),FALSE)),$C$3)*(1+IF('IP Attrition'!X140&gt;0,'Attrition Modeling'!$N$9,0)))</f>
        <v>0</v>
      </c>
      <c r="Y83" s="799">
        <f>X83*(1-IFERROR(IF(Y$77+$F83&lt;=12,SUMIFS('Attrition Modeling'!$D:$D,'Attrition Modeling'!$C:$C,$D83,'Attrition Modeling'!$B:$B,Y$76),VLOOKUP($F83+Y$77,$A$7:$C$107,2,FALSE)*VLOOKUP(Y$76,'Attrition Modeling'!$L$15:$N$27,IF(Y$77+$F83&lt;=24,2,3),FALSE)),$C$3)*(1+IF('IP Attrition'!Y140&gt;0,'Attrition Modeling'!$N$9,0)))</f>
        <v>0</v>
      </c>
      <c r="Z83" s="799">
        <f>Y83*(1-IFERROR(IF(Z$77+$F83&lt;=12,SUMIFS('Attrition Modeling'!$D:$D,'Attrition Modeling'!$C:$C,$D83,'Attrition Modeling'!$B:$B,Z$76),VLOOKUP($F83+Z$77,$A$7:$C$107,2,FALSE)*VLOOKUP(Z$76,'Attrition Modeling'!$L$15:$N$27,IF(Z$77+$F83&lt;=24,2,3),FALSE)),$C$3)*(1+IF('IP Attrition'!Z140&gt;0,'Attrition Modeling'!$N$9,0)))</f>
        <v>0</v>
      </c>
      <c r="AA83" s="799">
        <f>Z83*(1-IFERROR(IF(AA$77+$F83&lt;=12,SUMIFS('Attrition Modeling'!$D:$D,'Attrition Modeling'!$C:$C,$D83,'Attrition Modeling'!$B:$B,AA$76),VLOOKUP($F83+AA$77,$A$7:$C$107,2,FALSE)*VLOOKUP(AA$76,'Attrition Modeling'!$L$15:$N$27,IF(AA$77+$F83&lt;=24,2,3),FALSE)),$C$3)*(1+IF('IP Attrition'!AA140&gt;0,'Attrition Modeling'!$N$9,0)))</f>
        <v>0</v>
      </c>
      <c r="AB83" s="799">
        <f>AA83*(1-IFERROR(IF(AB$77+$F83&lt;=12,SUMIFS('Attrition Modeling'!$D:$D,'Attrition Modeling'!$C:$C,$D83,'Attrition Modeling'!$B:$B,AB$76),VLOOKUP($F83+AB$77,$A$7:$C$107,2,FALSE)*VLOOKUP(AB$76,'Attrition Modeling'!$L$15:$N$27,IF(AB$77+$F83&lt;=24,2,3),FALSE)),$C$3)*(1+IF('IP Attrition'!AB140&gt;0,'Attrition Modeling'!$N$9,0)))</f>
        <v>0</v>
      </c>
      <c r="AC83" s="799">
        <f>AB83*(1-IFERROR(IF(AC$77+$F83&lt;=12,SUMIFS('Attrition Modeling'!$D:$D,'Attrition Modeling'!$C:$C,$D83,'Attrition Modeling'!$B:$B,AC$76),VLOOKUP($F83+AC$77,$A$7:$C$107,2,FALSE)*VLOOKUP(AC$76,'Attrition Modeling'!$L$15:$N$27,IF(AC$77+$F83&lt;=24,2,3),FALSE)),$C$3)*(1+IF('IP Attrition'!AC140&gt;0,'Attrition Modeling'!$N$9,0)))</f>
        <v>0</v>
      </c>
      <c r="AD83" s="799">
        <f>AC83*(1-IFERROR(IF(AD$77+$F83&lt;=12,SUMIFS('Attrition Modeling'!$D:$D,'Attrition Modeling'!$C:$C,$D83,'Attrition Modeling'!$B:$B,AD$76),VLOOKUP($F83+AD$77,$A$7:$C$107,2,FALSE)*VLOOKUP(AD$76,'Attrition Modeling'!$L$15:$N$27,IF(AD$77+$F83&lt;=24,2,3),FALSE)),$C$3)*(1+IF('IP Attrition'!AD140&gt;0,'Attrition Modeling'!$N$9,0)))</f>
        <v>0</v>
      </c>
      <c r="AE83" s="799">
        <f>AD83*(1-IFERROR(IF(AE$77+$F83&lt;=12,SUMIFS('Attrition Modeling'!$D:$D,'Attrition Modeling'!$C:$C,$D83,'Attrition Modeling'!$B:$B,AE$76),VLOOKUP($F83+AE$77,$A$7:$C$107,2,FALSE)*VLOOKUP(AE$76,'Attrition Modeling'!$L$15:$N$27,IF(AE$77+$F83&lt;=24,2,3),FALSE)),$C$3)*(1+IF('IP Attrition'!AE140&gt;0,'Attrition Modeling'!$N$9,0)))</f>
        <v>0</v>
      </c>
      <c r="AF83" s="799">
        <f>AE83*(1-IFERROR(IF(AF$77+$F83&lt;=12,SUMIFS('Attrition Modeling'!$D:$D,'Attrition Modeling'!$C:$C,$D83,'Attrition Modeling'!$B:$B,AF$76),VLOOKUP($F83+AF$77,$A$7:$C$107,2,FALSE)*VLOOKUP(AF$76,'Attrition Modeling'!$L$15:$N$27,IF(AF$77+$F83&lt;=24,2,3),FALSE)),$C$3)*(1+IF('IP Attrition'!AF140&gt;0,'Attrition Modeling'!$N$9,0)))</f>
        <v>0</v>
      </c>
      <c r="AG83" s="799">
        <f>AF83*(1-IFERROR(IF(AG$77+$F83&lt;=12,SUMIFS('Attrition Modeling'!$D:$D,'Attrition Modeling'!$C:$C,$D83,'Attrition Modeling'!$B:$B,AG$76),VLOOKUP($F83+AG$77,$A$7:$C$107,2,FALSE)*VLOOKUP(AG$76,'Attrition Modeling'!$L$15:$N$27,IF(AG$77+$F83&lt;=24,2,3),FALSE)),$C$3)*(1+IF('IP Attrition'!AG140&gt;0,'Attrition Modeling'!$N$9,0)))</f>
        <v>0</v>
      </c>
      <c r="AH83" s="799">
        <f>AG83*(1-IFERROR(IF(AH$77+$F83&lt;=12,SUMIFS('Attrition Modeling'!$D:$D,'Attrition Modeling'!$C:$C,$D83,'Attrition Modeling'!$B:$B,AH$76),VLOOKUP($F83+AH$77,$A$7:$C$107,2,FALSE)*VLOOKUP(AH$76,'Attrition Modeling'!$L$15:$N$27,IF(AH$77+$F83&lt;=24,2,3),FALSE)),$C$3)*(1+IF('IP Attrition'!AH140&gt;0,'Attrition Modeling'!$N$9,0)))</f>
        <v>0</v>
      </c>
      <c r="AI83" s="799">
        <f>AH83*(1-IFERROR(IF(AI$77+$F83&lt;=12,SUMIFS('Attrition Modeling'!$D:$D,'Attrition Modeling'!$C:$C,$D83,'Attrition Modeling'!$B:$B,AI$76),VLOOKUP($F83+AI$77,$A$7:$C$107,2,FALSE)*VLOOKUP(AI$76,'Attrition Modeling'!$L$15:$N$27,IF(AI$77+$F83&lt;=24,2,3),FALSE)),$C$3)*(1+IF('IP Attrition'!AI140&gt;0,'Attrition Modeling'!$N$9,0)))</f>
        <v>0</v>
      </c>
      <c r="AJ83" s="799">
        <f>AI83*(1-IFERROR(IF(AJ$77+$F83&lt;=12,SUMIFS('Attrition Modeling'!$D:$D,'Attrition Modeling'!$C:$C,$D83,'Attrition Modeling'!$B:$B,AJ$76),VLOOKUP($F83+AJ$77,$A$7:$C$107,2,FALSE)*VLOOKUP(AJ$76,'Attrition Modeling'!$L$15:$N$27,IF(AJ$77+$F83&lt;=24,2,3),FALSE)),$C$3)*(1+IF('IP Attrition'!AJ140&gt;0,'Attrition Modeling'!$N$9,0)))</f>
        <v>0</v>
      </c>
      <c r="AK83" s="799">
        <f>AJ83*(1-IFERROR(IF(AK$77+$F83&lt;=12,SUMIFS('Attrition Modeling'!$D:$D,'Attrition Modeling'!$C:$C,$D83,'Attrition Modeling'!$B:$B,AK$76),VLOOKUP($F83+AK$77,$A$7:$C$107,2,FALSE)*VLOOKUP(AK$76,'Attrition Modeling'!$L$15:$N$27,IF(AK$77+$F83&lt;=24,2,3),FALSE)),$C$3)*(1+IF('IP Attrition'!AK140&gt;0,'Attrition Modeling'!$N$9,0)))</f>
        <v>0</v>
      </c>
      <c r="AL83" s="799">
        <f>AK83*(1-IFERROR(IF(AL$77+$F83&lt;=12,SUMIFS('Attrition Modeling'!$D:$D,'Attrition Modeling'!$C:$C,$D83,'Attrition Modeling'!$B:$B,AL$76),VLOOKUP($F83+AL$77,$A$7:$C$107,2,FALSE)*VLOOKUP(AL$76,'Attrition Modeling'!$L$15:$N$27,IF(AL$77+$F83&lt;=24,2,3),FALSE)),$C$3)*(1+IF('IP Attrition'!AL140&gt;0,'Attrition Modeling'!$N$9,0)))</f>
        <v>0</v>
      </c>
      <c r="AM83" s="799">
        <f>AL83*(1-IFERROR(IF(AM$77+$F83&lt;=12,SUMIFS('Attrition Modeling'!$D:$D,'Attrition Modeling'!$C:$C,$D83,'Attrition Modeling'!$B:$B,AM$76),VLOOKUP($F83+AM$77,$A$7:$C$107,2,FALSE)*VLOOKUP(AM$76,'Attrition Modeling'!$L$15:$N$27,IF(AM$77+$F83&lt;=24,2,3),FALSE)),$C$3)*(1+IF('IP Attrition'!AM140&gt;0,'Attrition Modeling'!$N$9,0)))</f>
        <v>0</v>
      </c>
      <c r="AN83" s="799">
        <f>AM83*(1-IFERROR(IF(AN$77+$F83&lt;=12,SUMIFS('Attrition Modeling'!$D:$D,'Attrition Modeling'!$C:$C,$D83,'Attrition Modeling'!$B:$B,AN$76),VLOOKUP($F83+AN$77,$A$7:$C$107,2,FALSE)*VLOOKUP(AN$76,'Attrition Modeling'!$L$15:$N$27,IF(AN$77+$F83&lt;=24,2,3),FALSE)),$C$3)*(1+IF('IP Attrition'!AN140&gt;0,'Attrition Modeling'!$N$9,0)))</f>
        <v>0</v>
      </c>
      <c r="AO83" s="799">
        <f>AN83*(1-IFERROR(IF(AO$77+$F83&lt;=12,SUMIFS('Attrition Modeling'!$D:$D,'Attrition Modeling'!$C:$C,$D83,'Attrition Modeling'!$B:$B,AO$76),VLOOKUP($F83+AO$77,$A$7:$C$107,2,FALSE)*VLOOKUP(AO$76,'Attrition Modeling'!$L$15:$N$27,IF(AO$77+$F83&lt;=24,2,3),FALSE)),$C$3)*(1+IF('IP Attrition'!AO140&gt;0,'Attrition Modeling'!$N$9,0)))</f>
        <v>0</v>
      </c>
      <c r="AP83" s="799">
        <f>AO83*(1-IFERROR(IF(AP$77+$F83&lt;=12,SUMIFS('Attrition Modeling'!$D:$D,'Attrition Modeling'!$C:$C,$D83,'Attrition Modeling'!$B:$B,AP$76),VLOOKUP($F83+AP$77,$A$7:$C$107,2,FALSE)*VLOOKUP(AP$76,'Attrition Modeling'!$L$15:$N$27,IF(AP$77+$F83&lt;=24,2,3),FALSE)),$C$3)*(1+IF('IP Attrition'!AP140&gt;0,'Attrition Modeling'!$N$9,0)))</f>
        <v>0</v>
      </c>
      <c r="AQ83" s="799">
        <f>AP83*(1-IFERROR(IF(AQ$77+$F83&lt;=12,SUMIFS('Attrition Modeling'!$D:$D,'Attrition Modeling'!$C:$C,$D83,'Attrition Modeling'!$B:$B,AQ$76),VLOOKUP($F83+AQ$77,$A$7:$C$107,2,FALSE)*VLOOKUP(AQ$76,'Attrition Modeling'!$L$15:$N$27,IF(AQ$77+$F83&lt;=24,2,3),FALSE)),$C$3)*(1+IF('IP Attrition'!AQ140&gt;0,'Attrition Modeling'!$N$9,0)))</f>
        <v>0</v>
      </c>
      <c r="AR83" s="799">
        <f>AQ83*(1-IFERROR(IF(AR$77+$F83&lt;=12,SUMIFS('Attrition Modeling'!$D:$D,'Attrition Modeling'!$C:$C,$D83,'Attrition Modeling'!$B:$B,AR$76),VLOOKUP($F83+AR$77,$A$7:$C$107,2,FALSE)*VLOOKUP(AR$76,'Attrition Modeling'!$L$15:$N$27,IF(AR$77+$F83&lt;=24,2,3),FALSE)),$C$3)*(1+IF('IP Attrition'!AR140&gt;0,'Attrition Modeling'!$N$9,0)))</f>
        <v>0</v>
      </c>
      <c r="AS83" s="799">
        <f>AR83*(1-IFERROR(IF(AS$77+$F83&lt;=12,SUMIFS('Attrition Modeling'!$D:$D,'Attrition Modeling'!$C:$C,$D83,'Attrition Modeling'!$B:$B,AS$76),VLOOKUP($F83+AS$77,$A$7:$C$107,2,FALSE)*VLOOKUP(AS$76,'Attrition Modeling'!$L$15:$N$27,IF(AS$77+$F83&lt;=24,2,3),FALSE)),$C$3)*(1+IF('IP Attrition'!AS140&gt;0,'Attrition Modeling'!$N$9,0)))</f>
        <v>0</v>
      </c>
      <c r="AT83" s="799">
        <f>AS83*(1-IFERROR(IF(AT$77+$F83&lt;=12,SUMIFS('Attrition Modeling'!$D:$D,'Attrition Modeling'!$C:$C,$D83,'Attrition Modeling'!$B:$B,AT$76),VLOOKUP($F83+AT$77,$A$7:$C$107,2,FALSE)*VLOOKUP(AT$76,'Attrition Modeling'!$L$15:$N$27,IF(AT$77+$F83&lt;=24,2,3),FALSE)),$C$3)*(1+IF('IP Attrition'!AT140&gt;0,'Attrition Modeling'!$N$9,0)))</f>
        <v>0</v>
      </c>
      <c r="AU83" s="799">
        <f>AT83*(1-IFERROR(IF(AU$77+$F83&lt;=12,SUMIFS('Attrition Modeling'!$D:$D,'Attrition Modeling'!$C:$C,$D83,'Attrition Modeling'!$B:$B,AU$76),VLOOKUP($F83+AU$77,$A$7:$C$107,2,FALSE)*VLOOKUP(AU$76,'Attrition Modeling'!$L$15:$N$27,IF(AU$77+$F83&lt;=24,2,3),FALSE)),$C$3)*(1+IF('IP Attrition'!AU140&gt;0,'Attrition Modeling'!$N$9,0)))</f>
        <v>0</v>
      </c>
      <c r="AV83" s="799">
        <f>AU83*(1-IFERROR(IF(AV$77+$F83&lt;=12,SUMIFS('Attrition Modeling'!$D:$D,'Attrition Modeling'!$C:$C,$D83,'Attrition Modeling'!$B:$B,AV$76),VLOOKUP($F83+AV$77,$A$7:$C$107,2,FALSE)*VLOOKUP(AV$76,'Attrition Modeling'!$L$15:$N$27,IF(AV$77+$F83&lt;=24,2,3),FALSE)),$C$3)*(1+IF('IP Attrition'!AV140&gt;0,'Attrition Modeling'!$N$9,0)))</f>
        <v>0</v>
      </c>
      <c r="AW83" s="799">
        <f>AV83*(1-IFERROR(IF(AW$77+$F83&lt;=12,SUMIFS('Attrition Modeling'!$D:$D,'Attrition Modeling'!$C:$C,$D83,'Attrition Modeling'!$B:$B,AW$76),VLOOKUP($F83+AW$77,$A$7:$C$107,2,FALSE)*VLOOKUP(AW$76,'Attrition Modeling'!$L$15:$N$27,IF(AW$77+$F83&lt;=24,2,3),FALSE)),$C$3)*(1+IF('IP Attrition'!AW140&gt;0,'Attrition Modeling'!$N$9,0)))</f>
        <v>0</v>
      </c>
      <c r="AX83" s="799">
        <f>AW83*(1-IFERROR(IF(AX$77+$F83&lt;=12,SUMIFS('Attrition Modeling'!$D:$D,'Attrition Modeling'!$C:$C,$D83,'Attrition Modeling'!$B:$B,AX$76),VLOOKUP($F83+AX$77,$A$7:$C$107,2,FALSE)*VLOOKUP(AX$76,'Attrition Modeling'!$L$15:$N$27,IF(AX$77+$F83&lt;=24,2,3),FALSE)),$C$3)*(1+IF('IP Attrition'!AX140&gt;0,'Attrition Modeling'!$N$9,0)))</f>
        <v>0</v>
      </c>
      <c r="AY83" s="799">
        <f>AX83*(1-IFERROR(IF(AY$77+$F83&lt;=12,SUMIFS('Attrition Modeling'!$D:$D,'Attrition Modeling'!$C:$C,$D83,'Attrition Modeling'!$B:$B,AY$76),VLOOKUP($F83+AY$77,$A$7:$C$107,2,FALSE)*VLOOKUP(AY$76,'Attrition Modeling'!$L$15:$N$27,IF(AY$77+$F83&lt;=24,2,3),FALSE)),$C$3)*(1+IF('IP Attrition'!AY140&gt;0,'Attrition Modeling'!$N$9,0)))</f>
        <v>0</v>
      </c>
      <c r="AZ83" s="799">
        <f>AY83*(1-IFERROR(IF(AZ$77+$F83&lt;=12,SUMIFS('Attrition Modeling'!$D:$D,'Attrition Modeling'!$C:$C,$D83,'Attrition Modeling'!$B:$B,AZ$76),VLOOKUP($F83+AZ$77,$A$7:$C$107,2,FALSE)*VLOOKUP(AZ$76,'Attrition Modeling'!$L$15:$N$27,IF(AZ$77+$F83&lt;=24,2,3),FALSE)),$C$3)*(1+IF('IP Attrition'!AZ140&gt;0,'Attrition Modeling'!$N$9,0)))</f>
        <v>0</v>
      </c>
      <c r="BA83" s="799">
        <f>AZ83*(1-IFERROR(IF(BA$77+$F83&lt;=12,SUMIFS('Attrition Modeling'!$D:$D,'Attrition Modeling'!$C:$C,$D83,'Attrition Modeling'!$B:$B,BA$76),VLOOKUP($F83+BA$77,$A$7:$C$107,2,FALSE)*VLOOKUP(BA$76,'Attrition Modeling'!$L$15:$N$27,IF(BA$77+$F83&lt;=24,2,3),FALSE)),$C$3)*(1+IF('IP Attrition'!BA140&gt;0,'Attrition Modeling'!$N$9,0)))</f>
        <v>0</v>
      </c>
      <c r="BB83" s="799">
        <f>BA83*(1-IFERROR(IF(BB$77+$F83&lt;=12,SUMIFS('Attrition Modeling'!$D:$D,'Attrition Modeling'!$C:$C,$D83,'Attrition Modeling'!$B:$B,BB$76),VLOOKUP($F83+BB$77,$A$7:$C$107,2,FALSE)*VLOOKUP(BB$76,'Attrition Modeling'!$L$15:$N$27,IF(BB$77+$F83&lt;=24,2,3),FALSE)),$C$3)*(1+IF('IP Attrition'!BB140&gt;0,'Attrition Modeling'!$N$9,0)))</f>
        <v>0</v>
      </c>
      <c r="BC83" s="799">
        <f>BB83*(1-IFERROR(IF(BC$77+$F83&lt;=12,SUMIFS('Attrition Modeling'!$D:$D,'Attrition Modeling'!$C:$C,$D83,'Attrition Modeling'!$B:$B,BC$76),VLOOKUP($F83+BC$77,$A$7:$C$107,2,FALSE)*VLOOKUP(BC$76,'Attrition Modeling'!$L$15:$N$27,IF(BC$77+$F83&lt;=24,2,3),FALSE)),$C$3)*(1+IF('IP Attrition'!BC140&gt;0,'Attrition Modeling'!$N$9,0)))</f>
        <v>0</v>
      </c>
      <c r="BD83" s="799">
        <f>BC83*(1-IFERROR(IF(BD$77+$F83&lt;=12,SUMIFS('Attrition Modeling'!$D:$D,'Attrition Modeling'!$C:$C,$D83,'Attrition Modeling'!$B:$B,BD$76),VLOOKUP($F83+BD$77,$A$7:$C$107,2,FALSE)*VLOOKUP(BD$76,'Attrition Modeling'!$L$15:$N$27,IF(BD$77+$F83&lt;=24,2,3),FALSE)),$C$3)*(1+IF('IP Attrition'!BD140&gt;0,'Attrition Modeling'!$N$9,0)))</f>
        <v>0</v>
      </c>
      <c r="BE83" s="799">
        <f>BD83*(1-IFERROR(IF(BE$77+$F83&lt;=12,SUMIFS('Attrition Modeling'!$D:$D,'Attrition Modeling'!$C:$C,$D83,'Attrition Modeling'!$B:$B,BE$76),VLOOKUP($F83+BE$77,$A$7:$C$107,2,FALSE)*VLOOKUP(BE$76,'Attrition Modeling'!$L$15:$N$27,IF(BE$77+$F83&lt;=24,2,3),FALSE)),$C$3)*(1+IF('IP Attrition'!BE140&gt;0,'Attrition Modeling'!$N$9,0)))</f>
        <v>0</v>
      </c>
      <c r="BF83" s="799">
        <f>BE83*(1-IFERROR(IF(BF$77+$F83&lt;=12,SUMIFS('Attrition Modeling'!$D:$D,'Attrition Modeling'!$C:$C,$D83,'Attrition Modeling'!$B:$B,BF$76),VLOOKUP($F83+BF$77,$A$7:$C$107,2,FALSE)*VLOOKUP(BF$76,'Attrition Modeling'!$L$15:$N$27,IF(BF$77+$F83&lt;=24,2,3),FALSE)),$C$3)*(1+IF('IP Attrition'!BF140&gt;0,'Attrition Modeling'!$N$9,0)))</f>
        <v>0</v>
      </c>
      <c r="BG83" s="799">
        <f>BF83*(1-IFERROR(IF(BG$77+$F83&lt;=12,SUMIFS('Attrition Modeling'!$D:$D,'Attrition Modeling'!$C:$C,$D83,'Attrition Modeling'!$B:$B,BG$76),VLOOKUP($F83+BG$77,$A$7:$C$107,2,FALSE)*VLOOKUP(BG$76,'Attrition Modeling'!$L$15:$N$27,IF(BG$77+$F83&lt;=24,2,3),FALSE)),$C$3)*(1+IF('IP Attrition'!BG140&gt;0,'Attrition Modeling'!$N$9,0)))</f>
        <v>0</v>
      </c>
      <c r="BH83" s="799">
        <f>BG83*(1-IFERROR(IF(BH$77+$F83&lt;=12,SUMIFS('Attrition Modeling'!$D:$D,'Attrition Modeling'!$C:$C,$D83,'Attrition Modeling'!$B:$B,BH$76),VLOOKUP($F83+BH$77,$A$7:$C$107,2,FALSE)*VLOOKUP(BH$76,'Attrition Modeling'!$L$15:$N$27,IF(BH$77+$F83&lt;=24,2,3),FALSE)),$C$3)*(1+IF('IP Attrition'!BH140&gt;0,'Attrition Modeling'!$N$9,0)))</f>
        <v>0</v>
      </c>
      <c r="BI83" s="799">
        <f>BH83*(1-IFERROR(IF(BI$77+$F83&lt;=12,SUMIFS('Attrition Modeling'!$D:$D,'Attrition Modeling'!$C:$C,$D83,'Attrition Modeling'!$B:$B,BI$76),VLOOKUP($F83+BI$77,$A$7:$C$107,2,FALSE)*VLOOKUP(BI$76,'Attrition Modeling'!$L$15:$N$27,IF(BI$77+$F83&lt;=24,2,3),FALSE)),$C$3)*(1+IF('IP Attrition'!BI140&gt;0,'Attrition Modeling'!$N$9,0)))</f>
        <v>0</v>
      </c>
      <c r="BJ83" s="799">
        <f>BI83*(1-IFERROR(IF(BJ$77+$F83&lt;=12,SUMIFS('Attrition Modeling'!$D:$D,'Attrition Modeling'!$C:$C,$D83,'Attrition Modeling'!$B:$B,BJ$76),VLOOKUP($F83+BJ$77,$A$7:$C$107,2,FALSE)*VLOOKUP(BJ$76,'Attrition Modeling'!$L$15:$N$27,IF(BJ$77+$F83&lt;=24,2,3),FALSE)),$C$3)*(1+IF('IP Attrition'!BJ140&gt;0,'Attrition Modeling'!$N$9,0)))</f>
        <v>0</v>
      </c>
      <c r="BK83" s="799">
        <f>BJ83*(1-IFERROR(IF(BK$77+$F83&lt;=12,SUMIFS('Attrition Modeling'!$D:$D,'Attrition Modeling'!$C:$C,$D83,'Attrition Modeling'!$B:$B,BK$76),VLOOKUP($F83+BK$77,$A$7:$C$107,2,FALSE)*VLOOKUP(BK$76,'Attrition Modeling'!$L$15:$N$27,IF(BK$77+$F83&lt;=24,2,3),FALSE)),$C$3)*(1+IF('IP Attrition'!BK140&gt;0,'Attrition Modeling'!$N$9,0)))</f>
        <v>0</v>
      </c>
      <c r="BL83" s="799">
        <f>BK83*(1-IFERROR(IF(BL$77+$F83&lt;=12,SUMIFS('Attrition Modeling'!$D:$D,'Attrition Modeling'!$C:$C,$D83,'Attrition Modeling'!$B:$B,BL$76),VLOOKUP($F83+BL$77,$A$7:$C$107,2,FALSE)*VLOOKUP(BL$76,'Attrition Modeling'!$L$15:$N$27,IF(BL$77+$F83&lt;=24,2,3),FALSE)),$C$3)*(1+IF('IP Attrition'!BL140&gt;0,'Attrition Modeling'!$N$9,0)))</f>
        <v>0</v>
      </c>
      <c r="BM83" s="799">
        <f>BL83*(1-IFERROR(IF(BM$77+$F83&lt;=12,SUMIFS('Attrition Modeling'!$D:$D,'Attrition Modeling'!$C:$C,$D83,'Attrition Modeling'!$B:$B,BM$76),VLOOKUP($F83+BM$77,$A$7:$C$107,2,FALSE)*VLOOKUP(BM$76,'Attrition Modeling'!$L$15:$N$27,IF(BM$77+$F83&lt;=24,2,3),FALSE)),$C$3)*(1+IF('IP Attrition'!BM140&gt;0,'Attrition Modeling'!$N$9,0)))</f>
        <v>0</v>
      </c>
      <c r="BN83" s="799">
        <f>BM83*(1-IFERROR(IF(BN$77+$F83&lt;=12,SUMIFS('Attrition Modeling'!$D:$D,'Attrition Modeling'!$C:$C,$D83,'Attrition Modeling'!$B:$B,BN$76),VLOOKUP($F83+BN$77,$A$7:$C$107,2,FALSE)*VLOOKUP(BN$76,'Attrition Modeling'!$L$15:$N$27,IF(BN$77+$F83&lt;=24,2,3),FALSE)),$C$3)*(1+IF('IP Attrition'!BN140&gt;0,'Attrition Modeling'!$N$9,0)))</f>
        <v>0</v>
      </c>
      <c r="BO83" s="799">
        <f>BN83*(1-IFERROR(IF(BO$77+$F83&lt;=12,SUMIFS('Attrition Modeling'!$D:$D,'Attrition Modeling'!$C:$C,$D83,'Attrition Modeling'!$B:$B,BO$76),VLOOKUP($F83+BO$77,$A$7:$C$107,2,FALSE)*VLOOKUP(BO$76,'Attrition Modeling'!$L$15:$N$27,IF(BO$77+$F83&lt;=24,2,3),FALSE)),$C$3)*(1+IF('IP Attrition'!BO140&gt;0,'Attrition Modeling'!$N$9,0)))</f>
        <v>0</v>
      </c>
      <c r="BP83" s="799">
        <f>BO83*(1-IFERROR(IF(BP$77+$F83&lt;=12,SUMIFS('Attrition Modeling'!$D:$D,'Attrition Modeling'!$C:$C,$D83,'Attrition Modeling'!$B:$B,BP$76),VLOOKUP($F83+BP$77,$A$7:$C$107,2,FALSE)*VLOOKUP(BP$76,'Attrition Modeling'!$L$15:$N$27,IF(BP$77+$F83&lt;=24,2,3),FALSE)),$C$3)*(1+IF('IP Attrition'!BP140&gt;0,'Attrition Modeling'!$N$9,0)))</f>
        <v>0</v>
      </c>
      <c r="BQ83" s="799">
        <f>BP83*(1-IFERROR(IF(BQ$77+$F83&lt;=12,SUMIFS('Attrition Modeling'!$D:$D,'Attrition Modeling'!$C:$C,$D83,'Attrition Modeling'!$B:$B,BQ$76),VLOOKUP($F83+BQ$77,$A$7:$C$107,2,FALSE)*VLOOKUP(BQ$76,'Attrition Modeling'!$L$15:$N$27,IF(BQ$77+$F83&lt;=24,2,3),FALSE)),$C$3)*(1+IF('IP Attrition'!BQ140&gt;0,'Attrition Modeling'!$N$9,0)))</f>
        <v>0</v>
      </c>
      <c r="BR83" s="799">
        <f>BQ83*(1-IFERROR(IF(BR$77+$F83&lt;=12,SUMIFS('Attrition Modeling'!$D:$D,'Attrition Modeling'!$C:$C,$D83,'Attrition Modeling'!$B:$B,BR$76),VLOOKUP($F83+BR$77,$A$7:$C$107,2,FALSE)*VLOOKUP(BR$76,'Attrition Modeling'!$L$15:$N$27,IF(BR$77+$F83&lt;=24,2,3),FALSE)),$C$3)*(1+IF('IP Attrition'!BR140&gt;0,'Attrition Modeling'!$N$9,0)))</f>
        <v>0</v>
      </c>
      <c r="BS83" s="799">
        <f>BR83*(1-IFERROR(IF(BS$77+$F83&lt;=12,SUMIFS('Attrition Modeling'!$D:$D,'Attrition Modeling'!$C:$C,$D83,'Attrition Modeling'!$B:$B,BS$76),VLOOKUP($F83+BS$77,$A$7:$C$107,2,FALSE)*VLOOKUP(BS$76,'Attrition Modeling'!$L$15:$N$27,IF(BS$77+$F83&lt;=24,2,3),FALSE)),$C$3)*(1+IF('IP Attrition'!BS140&gt;0,'Attrition Modeling'!$N$9,0)))</f>
        <v>0</v>
      </c>
      <c r="BT83" s="799" t="e">
        <f>BS83*(1-IFERROR(IF(BT$77+$F83&lt;=12,SUMIFS('Attrition Modeling'!$D:$D,'Attrition Modeling'!$C:$C,$D83,'Attrition Modeling'!$B:$B,BT$76),VLOOKUP($F83+BT$77,$A$7:$C$107,2,FALSE)*VLOOKUP(BT$76,'Attrition Modeling'!$L$15:$N$27,IF(BT$77+$F83&lt;=24,2,3),FALSE)),$C$3)*(1+IF('IP Attrition'!BT140&gt;0,'Attrition Modeling'!$N$9,0)))</f>
        <v>#REF!</v>
      </c>
      <c r="BU83" s="799" t="e">
        <f>BT83*(1-IFERROR(IF(BU$77+$F83&lt;=12,SUMIFS('Attrition Modeling'!$D:$D,'Attrition Modeling'!$C:$C,$D83,'Attrition Modeling'!$B:$B,BU$76),VLOOKUP($F83+BU$77,$A$7:$C$107,2,FALSE)*VLOOKUP(BU$76,'Attrition Modeling'!$L$15:$N$27,IF(BU$77+$F83&lt;=24,2,3),FALSE)),$C$3)*(1+IF('IP Attrition'!BU140&gt;0,'Attrition Modeling'!$N$9,0)))</f>
        <v>#REF!</v>
      </c>
    </row>
    <row r="84" spans="1:73" ht="14.25" customHeight="1" x14ac:dyDescent="0.2">
      <c r="A84" s="9">
        <v>76</v>
      </c>
      <c r="B84" s="25">
        <f>MAX('Attrition Modeling'!H80,$C$3)*(1-Summary!$C$20)</f>
        <v>2.0451962362866477E-2</v>
      </c>
      <c r="C84" s="24" t="e">
        <f t="shared" si="2"/>
        <v>#DIV/0!</v>
      </c>
      <c r="D84" s="11">
        <f>'IP Attrition'!D76</f>
        <v>-6</v>
      </c>
      <c r="E84" s="25">
        <f>'IP Attrition'!E76</f>
        <v>5.9587919617418876E-2</v>
      </c>
      <c r="F84" s="11">
        <f t="shared" si="8"/>
        <v>6</v>
      </c>
      <c r="G84" s="799">
        <f>Summary!$C$24*$E84</f>
        <v>0</v>
      </c>
      <c r="H84" s="799">
        <f>G84*(1-IFERROR(IF(H$77+$F84&lt;=12,SUMIFS('Attrition Modeling'!$D:$D,'Attrition Modeling'!$C:$C,$D84,'Attrition Modeling'!$B:$B,H$76),VLOOKUP($F84+H$77,$A$7:$C$107,2,FALSE)*VLOOKUP(H$76,'Attrition Modeling'!$L$15:$N$27,IF(H$77+$F84&lt;=24,2,3),FALSE)),$C$3)*(1+IF('IP Attrition'!H141&gt;0,'Attrition Modeling'!$N$9,0)))</f>
        <v>0</v>
      </c>
      <c r="I84" s="799">
        <f>H84*(1-IFERROR(IF(I$77+$F84&lt;=12,SUMIFS('Attrition Modeling'!$D:$D,'Attrition Modeling'!$C:$C,$D84,'Attrition Modeling'!$B:$B,I$76),VLOOKUP($F84+I$77,$A$7:$C$107,2,FALSE)*VLOOKUP(I$76,'Attrition Modeling'!$L$15:$N$27,IF(I$77+$F84&lt;=24,2,3),FALSE)),$C$3)*(1+IF('IP Attrition'!I141&gt;0,'Attrition Modeling'!$N$9,0)))</f>
        <v>0</v>
      </c>
      <c r="J84" s="799">
        <f>I84*(1-IFERROR(IF(J$77+$F84&lt;=12,SUMIFS('Attrition Modeling'!$D:$D,'Attrition Modeling'!$C:$C,$D84,'Attrition Modeling'!$B:$B,J$76),VLOOKUP($F84+J$77,$A$7:$C$107,2,FALSE)*VLOOKUP(J$76,'Attrition Modeling'!$L$15:$N$27,IF(J$77+$F84&lt;=24,2,3),FALSE)),$C$3)*(1+IF('IP Attrition'!J141&gt;0,'Attrition Modeling'!$N$9,0)))</f>
        <v>0</v>
      </c>
      <c r="K84" s="799">
        <f>J84*(1-IFERROR(IF(K$77+$F84&lt;=12,SUMIFS('Attrition Modeling'!$D:$D,'Attrition Modeling'!$C:$C,$D84,'Attrition Modeling'!$B:$B,K$76),VLOOKUP($F84+K$77,$A$7:$C$107,2,FALSE)*VLOOKUP(K$76,'Attrition Modeling'!$L$15:$N$27,IF(K$77+$F84&lt;=24,2,3),FALSE)),$C$3)*(1+IF('IP Attrition'!K141&gt;0,'Attrition Modeling'!$N$9,0)))</f>
        <v>0</v>
      </c>
      <c r="L84" s="799">
        <f>K84*(1-IFERROR(IF(L$77+$F84&lt;=12,SUMIFS('Attrition Modeling'!$D:$D,'Attrition Modeling'!$C:$C,$D84,'Attrition Modeling'!$B:$B,L$76),VLOOKUP($F84+L$77,$A$7:$C$107,2,FALSE)*VLOOKUP(L$76,'Attrition Modeling'!$L$15:$N$27,IF(L$77+$F84&lt;=24,2,3),FALSE)),$C$3)*(1+IF('IP Attrition'!L141&gt;0,'Attrition Modeling'!$N$9,0)))</f>
        <v>0</v>
      </c>
      <c r="M84" s="799">
        <f>L84*(1-IFERROR(IF(M$77+$F84&lt;=12,SUMIFS('Attrition Modeling'!$D:$D,'Attrition Modeling'!$C:$C,$D84,'Attrition Modeling'!$B:$B,M$76),VLOOKUP($F84+M$77,$A$7:$C$107,2,FALSE)*VLOOKUP(M$76,'Attrition Modeling'!$L$15:$N$27,IF(M$77+$F84&lt;=24,2,3),FALSE)),$C$3)*(1+IF('IP Attrition'!M141&gt;0,'Attrition Modeling'!$N$9,0)))</f>
        <v>0</v>
      </c>
      <c r="N84" s="799">
        <f>M84*(1-IFERROR(IF(N$77+$F84&lt;=12,SUMIFS('Attrition Modeling'!$D:$D,'Attrition Modeling'!$C:$C,$D84,'Attrition Modeling'!$B:$B,N$76),VLOOKUP($F84+N$77,$A$7:$C$107,2,FALSE)*VLOOKUP(N$76,'Attrition Modeling'!$L$15:$N$27,IF(N$77+$F84&lt;=24,2,3),FALSE)),$C$3)*(1+IF('IP Attrition'!N141&gt;0,'Attrition Modeling'!$N$9,0)))</f>
        <v>0</v>
      </c>
      <c r="O84" s="799">
        <f>N84*(1-IFERROR(IF(O$77+$F84&lt;=12,SUMIFS('Attrition Modeling'!$D:$D,'Attrition Modeling'!$C:$C,$D84,'Attrition Modeling'!$B:$B,O$76),VLOOKUP($F84+O$77,$A$7:$C$107,2,FALSE)*VLOOKUP(O$76,'Attrition Modeling'!$L$15:$N$27,IF(O$77+$F84&lt;=24,2,3),FALSE)),$C$3)*(1+IF('IP Attrition'!O141&gt;0,'Attrition Modeling'!$N$9,0)))</f>
        <v>0</v>
      </c>
      <c r="P84" s="799">
        <f>O84*(1-IFERROR(IF(P$77+$F84&lt;=12,SUMIFS('Attrition Modeling'!$D:$D,'Attrition Modeling'!$C:$C,$D84,'Attrition Modeling'!$B:$B,P$76),VLOOKUP($F84+P$77,$A$7:$C$107,2,FALSE)*VLOOKUP(P$76,'Attrition Modeling'!$L$15:$N$27,IF(P$77+$F84&lt;=24,2,3),FALSE)),$C$3)*(1+IF('IP Attrition'!P141&gt;0,'Attrition Modeling'!$N$9,0)))</f>
        <v>0</v>
      </c>
      <c r="Q84" s="799">
        <f>P84*(1-IFERROR(IF(Q$77+$F84&lt;=12,SUMIFS('Attrition Modeling'!$D:$D,'Attrition Modeling'!$C:$C,$D84,'Attrition Modeling'!$B:$B,Q$76),VLOOKUP($F84+Q$77,$A$7:$C$107,2,FALSE)*VLOOKUP(Q$76,'Attrition Modeling'!$L$15:$N$27,IF(Q$77+$F84&lt;=24,2,3),FALSE)),$C$3)*(1+IF('IP Attrition'!Q141&gt;0,'Attrition Modeling'!$N$9,0)))</f>
        <v>0</v>
      </c>
      <c r="R84" s="799">
        <f>Q84*(1-IFERROR(IF(R$77+$F84&lt;=12,SUMIFS('Attrition Modeling'!$D:$D,'Attrition Modeling'!$C:$C,$D84,'Attrition Modeling'!$B:$B,R$76),VLOOKUP($F84+R$77,$A$7:$C$107,2,FALSE)*VLOOKUP(R$76,'Attrition Modeling'!$L$15:$N$27,IF(R$77+$F84&lt;=24,2,3),FALSE)),$C$3)*(1+IF('IP Attrition'!R141&gt;0,'Attrition Modeling'!$N$9,0)))</f>
        <v>0</v>
      </c>
      <c r="S84" s="799">
        <f>R84*(1-IFERROR(IF(S$77+$F84&lt;=12,SUMIFS('Attrition Modeling'!$D:$D,'Attrition Modeling'!$C:$C,$D84,'Attrition Modeling'!$B:$B,S$76),VLOOKUP($F84+S$77,$A$7:$C$107,2,FALSE)*VLOOKUP(S$76,'Attrition Modeling'!$L$15:$N$27,IF(S$77+$F84&lt;=24,2,3),FALSE)),$C$3)*(1+IF('IP Attrition'!S141&gt;0,'Attrition Modeling'!$N$9,0)))</f>
        <v>0</v>
      </c>
      <c r="T84" s="799">
        <f>S84*(1-IFERROR(IF(T$77+$F84&lt;=12,SUMIFS('Attrition Modeling'!$D:$D,'Attrition Modeling'!$C:$C,$D84,'Attrition Modeling'!$B:$B,T$76),VLOOKUP($F84+T$77,$A$7:$C$107,2,FALSE)*VLOOKUP(T$76,'Attrition Modeling'!$L$15:$N$27,IF(T$77+$F84&lt;=24,2,3),FALSE)),$C$3)*(1+IF('IP Attrition'!T141&gt;0,'Attrition Modeling'!$N$9,0)))</f>
        <v>0</v>
      </c>
      <c r="U84" s="799">
        <f>T84*(1-IFERROR(IF(U$77+$F84&lt;=12,SUMIFS('Attrition Modeling'!$D:$D,'Attrition Modeling'!$C:$C,$D84,'Attrition Modeling'!$B:$B,U$76),VLOOKUP($F84+U$77,$A$7:$C$107,2,FALSE)*VLOOKUP(U$76,'Attrition Modeling'!$L$15:$N$27,IF(U$77+$F84&lt;=24,2,3),FALSE)),$C$3)*(1+IF('IP Attrition'!U141&gt;0,'Attrition Modeling'!$N$9,0)))</f>
        <v>0</v>
      </c>
      <c r="V84" s="799">
        <f>U84*(1-IFERROR(IF(V$77+$F84&lt;=12,SUMIFS('Attrition Modeling'!$D:$D,'Attrition Modeling'!$C:$C,$D84,'Attrition Modeling'!$B:$B,V$76),VLOOKUP($F84+V$77,$A$7:$C$107,2,FALSE)*VLOOKUP(V$76,'Attrition Modeling'!$L$15:$N$27,IF(V$77+$F84&lt;=24,2,3),FALSE)),$C$3)*(1+IF('IP Attrition'!V141&gt;0,'Attrition Modeling'!$N$9,0)))</f>
        <v>0</v>
      </c>
      <c r="W84" s="799">
        <f>V84*(1-IFERROR(IF(W$77+$F84&lt;=12,SUMIFS('Attrition Modeling'!$D:$D,'Attrition Modeling'!$C:$C,$D84,'Attrition Modeling'!$B:$B,W$76),VLOOKUP($F84+W$77,$A$7:$C$107,2,FALSE)*VLOOKUP(W$76,'Attrition Modeling'!$L$15:$N$27,IF(W$77+$F84&lt;=24,2,3),FALSE)),$C$3)*(1+IF('IP Attrition'!W141&gt;0,'Attrition Modeling'!$N$9,0)))</f>
        <v>0</v>
      </c>
      <c r="X84" s="799">
        <f>W84*(1-IFERROR(IF(X$77+$F84&lt;=12,SUMIFS('Attrition Modeling'!$D:$D,'Attrition Modeling'!$C:$C,$D84,'Attrition Modeling'!$B:$B,X$76),VLOOKUP($F84+X$77,$A$7:$C$107,2,FALSE)*VLOOKUP(X$76,'Attrition Modeling'!$L$15:$N$27,IF(X$77+$F84&lt;=24,2,3),FALSE)),$C$3)*(1+IF('IP Attrition'!X141&gt;0,'Attrition Modeling'!$N$9,0)))</f>
        <v>0</v>
      </c>
      <c r="Y84" s="799">
        <f>X84*(1-IFERROR(IF(Y$77+$F84&lt;=12,SUMIFS('Attrition Modeling'!$D:$D,'Attrition Modeling'!$C:$C,$D84,'Attrition Modeling'!$B:$B,Y$76),VLOOKUP($F84+Y$77,$A$7:$C$107,2,FALSE)*VLOOKUP(Y$76,'Attrition Modeling'!$L$15:$N$27,IF(Y$77+$F84&lt;=24,2,3),FALSE)),$C$3)*(1+IF('IP Attrition'!Y141&gt;0,'Attrition Modeling'!$N$9,0)))</f>
        <v>0</v>
      </c>
      <c r="Z84" s="799">
        <f>Y84*(1-IFERROR(IF(Z$77+$F84&lt;=12,SUMIFS('Attrition Modeling'!$D:$D,'Attrition Modeling'!$C:$C,$D84,'Attrition Modeling'!$B:$B,Z$76),VLOOKUP($F84+Z$77,$A$7:$C$107,2,FALSE)*VLOOKUP(Z$76,'Attrition Modeling'!$L$15:$N$27,IF(Z$77+$F84&lt;=24,2,3),FALSE)),$C$3)*(1+IF('IP Attrition'!Z141&gt;0,'Attrition Modeling'!$N$9,0)))</f>
        <v>0</v>
      </c>
      <c r="AA84" s="799">
        <f>Z84*(1-IFERROR(IF(AA$77+$F84&lt;=12,SUMIFS('Attrition Modeling'!$D:$D,'Attrition Modeling'!$C:$C,$D84,'Attrition Modeling'!$B:$B,AA$76),VLOOKUP($F84+AA$77,$A$7:$C$107,2,FALSE)*VLOOKUP(AA$76,'Attrition Modeling'!$L$15:$N$27,IF(AA$77+$F84&lt;=24,2,3),FALSE)),$C$3)*(1+IF('IP Attrition'!AA141&gt;0,'Attrition Modeling'!$N$9,0)))</f>
        <v>0</v>
      </c>
      <c r="AB84" s="799">
        <f>AA84*(1-IFERROR(IF(AB$77+$F84&lt;=12,SUMIFS('Attrition Modeling'!$D:$D,'Attrition Modeling'!$C:$C,$D84,'Attrition Modeling'!$B:$B,AB$76),VLOOKUP($F84+AB$77,$A$7:$C$107,2,FALSE)*VLOOKUP(AB$76,'Attrition Modeling'!$L$15:$N$27,IF(AB$77+$F84&lt;=24,2,3),FALSE)),$C$3)*(1+IF('IP Attrition'!AB141&gt;0,'Attrition Modeling'!$N$9,0)))</f>
        <v>0</v>
      </c>
      <c r="AC84" s="799">
        <f>AB84*(1-IFERROR(IF(AC$77+$F84&lt;=12,SUMIFS('Attrition Modeling'!$D:$D,'Attrition Modeling'!$C:$C,$D84,'Attrition Modeling'!$B:$B,AC$76),VLOOKUP($F84+AC$77,$A$7:$C$107,2,FALSE)*VLOOKUP(AC$76,'Attrition Modeling'!$L$15:$N$27,IF(AC$77+$F84&lt;=24,2,3),FALSE)),$C$3)*(1+IF('IP Attrition'!AC141&gt;0,'Attrition Modeling'!$N$9,0)))</f>
        <v>0</v>
      </c>
      <c r="AD84" s="799">
        <f>AC84*(1-IFERROR(IF(AD$77+$F84&lt;=12,SUMIFS('Attrition Modeling'!$D:$D,'Attrition Modeling'!$C:$C,$D84,'Attrition Modeling'!$B:$B,AD$76),VLOOKUP($F84+AD$77,$A$7:$C$107,2,FALSE)*VLOOKUP(AD$76,'Attrition Modeling'!$L$15:$N$27,IF(AD$77+$F84&lt;=24,2,3),FALSE)),$C$3)*(1+IF('IP Attrition'!AD141&gt;0,'Attrition Modeling'!$N$9,0)))</f>
        <v>0</v>
      </c>
      <c r="AE84" s="799">
        <f>AD84*(1-IFERROR(IF(AE$77+$F84&lt;=12,SUMIFS('Attrition Modeling'!$D:$D,'Attrition Modeling'!$C:$C,$D84,'Attrition Modeling'!$B:$B,AE$76),VLOOKUP($F84+AE$77,$A$7:$C$107,2,FALSE)*VLOOKUP(AE$76,'Attrition Modeling'!$L$15:$N$27,IF(AE$77+$F84&lt;=24,2,3),FALSE)),$C$3)*(1+IF('IP Attrition'!AE141&gt;0,'Attrition Modeling'!$N$9,0)))</f>
        <v>0</v>
      </c>
      <c r="AF84" s="799">
        <f>AE84*(1-IFERROR(IF(AF$77+$F84&lt;=12,SUMIFS('Attrition Modeling'!$D:$D,'Attrition Modeling'!$C:$C,$D84,'Attrition Modeling'!$B:$B,AF$76),VLOOKUP($F84+AF$77,$A$7:$C$107,2,FALSE)*VLOOKUP(AF$76,'Attrition Modeling'!$L$15:$N$27,IF(AF$77+$F84&lt;=24,2,3),FALSE)),$C$3)*(1+IF('IP Attrition'!AF141&gt;0,'Attrition Modeling'!$N$9,0)))</f>
        <v>0</v>
      </c>
      <c r="AG84" s="799">
        <f>AF84*(1-IFERROR(IF(AG$77+$F84&lt;=12,SUMIFS('Attrition Modeling'!$D:$D,'Attrition Modeling'!$C:$C,$D84,'Attrition Modeling'!$B:$B,AG$76),VLOOKUP($F84+AG$77,$A$7:$C$107,2,FALSE)*VLOOKUP(AG$76,'Attrition Modeling'!$L$15:$N$27,IF(AG$77+$F84&lt;=24,2,3),FALSE)),$C$3)*(1+IF('IP Attrition'!AG141&gt;0,'Attrition Modeling'!$N$9,0)))</f>
        <v>0</v>
      </c>
      <c r="AH84" s="799">
        <f>AG84*(1-IFERROR(IF(AH$77+$F84&lt;=12,SUMIFS('Attrition Modeling'!$D:$D,'Attrition Modeling'!$C:$C,$D84,'Attrition Modeling'!$B:$B,AH$76),VLOOKUP($F84+AH$77,$A$7:$C$107,2,FALSE)*VLOOKUP(AH$76,'Attrition Modeling'!$L$15:$N$27,IF(AH$77+$F84&lt;=24,2,3),FALSE)),$C$3)*(1+IF('IP Attrition'!AH141&gt;0,'Attrition Modeling'!$N$9,0)))</f>
        <v>0</v>
      </c>
      <c r="AI84" s="799">
        <f>AH84*(1-IFERROR(IF(AI$77+$F84&lt;=12,SUMIFS('Attrition Modeling'!$D:$D,'Attrition Modeling'!$C:$C,$D84,'Attrition Modeling'!$B:$B,AI$76),VLOOKUP($F84+AI$77,$A$7:$C$107,2,FALSE)*VLOOKUP(AI$76,'Attrition Modeling'!$L$15:$N$27,IF(AI$77+$F84&lt;=24,2,3),FALSE)),$C$3)*(1+IF('IP Attrition'!AI141&gt;0,'Attrition Modeling'!$N$9,0)))</f>
        <v>0</v>
      </c>
      <c r="AJ84" s="799">
        <f>AI84*(1-IFERROR(IF(AJ$77+$F84&lt;=12,SUMIFS('Attrition Modeling'!$D:$D,'Attrition Modeling'!$C:$C,$D84,'Attrition Modeling'!$B:$B,AJ$76),VLOOKUP($F84+AJ$77,$A$7:$C$107,2,FALSE)*VLOOKUP(AJ$76,'Attrition Modeling'!$L$15:$N$27,IF(AJ$77+$F84&lt;=24,2,3),FALSE)),$C$3)*(1+IF('IP Attrition'!AJ141&gt;0,'Attrition Modeling'!$N$9,0)))</f>
        <v>0</v>
      </c>
      <c r="AK84" s="799">
        <f>AJ84*(1-IFERROR(IF(AK$77+$F84&lt;=12,SUMIFS('Attrition Modeling'!$D:$D,'Attrition Modeling'!$C:$C,$D84,'Attrition Modeling'!$B:$B,AK$76),VLOOKUP($F84+AK$77,$A$7:$C$107,2,FALSE)*VLOOKUP(AK$76,'Attrition Modeling'!$L$15:$N$27,IF(AK$77+$F84&lt;=24,2,3),FALSE)),$C$3)*(1+IF('IP Attrition'!AK141&gt;0,'Attrition Modeling'!$N$9,0)))</f>
        <v>0</v>
      </c>
      <c r="AL84" s="799">
        <f>AK84*(1-IFERROR(IF(AL$77+$F84&lt;=12,SUMIFS('Attrition Modeling'!$D:$D,'Attrition Modeling'!$C:$C,$D84,'Attrition Modeling'!$B:$B,AL$76),VLOOKUP($F84+AL$77,$A$7:$C$107,2,FALSE)*VLOOKUP(AL$76,'Attrition Modeling'!$L$15:$N$27,IF(AL$77+$F84&lt;=24,2,3),FALSE)),$C$3)*(1+IF('IP Attrition'!AL141&gt;0,'Attrition Modeling'!$N$9,0)))</f>
        <v>0</v>
      </c>
      <c r="AM84" s="799">
        <f>AL84*(1-IFERROR(IF(AM$77+$F84&lt;=12,SUMIFS('Attrition Modeling'!$D:$D,'Attrition Modeling'!$C:$C,$D84,'Attrition Modeling'!$B:$B,AM$76),VLOOKUP($F84+AM$77,$A$7:$C$107,2,FALSE)*VLOOKUP(AM$76,'Attrition Modeling'!$L$15:$N$27,IF(AM$77+$F84&lt;=24,2,3),FALSE)),$C$3)*(1+IF('IP Attrition'!AM141&gt;0,'Attrition Modeling'!$N$9,0)))</f>
        <v>0</v>
      </c>
      <c r="AN84" s="799">
        <f>AM84*(1-IFERROR(IF(AN$77+$F84&lt;=12,SUMIFS('Attrition Modeling'!$D:$D,'Attrition Modeling'!$C:$C,$D84,'Attrition Modeling'!$B:$B,AN$76),VLOOKUP($F84+AN$77,$A$7:$C$107,2,FALSE)*VLOOKUP(AN$76,'Attrition Modeling'!$L$15:$N$27,IF(AN$77+$F84&lt;=24,2,3),FALSE)),$C$3)*(1+IF('IP Attrition'!AN141&gt;0,'Attrition Modeling'!$N$9,0)))</f>
        <v>0</v>
      </c>
      <c r="AO84" s="799">
        <f>AN84*(1-IFERROR(IF(AO$77+$F84&lt;=12,SUMIFS('Attrition Modeling'!$D:$D,'Attrition Modeling'!$C:$C,$D84,'Attrition Modeling'!$B:$B,AO$76),VLOOKUP($F84+AO$77,$A$7:$C$107,2,FALSE)*VLOOKUP(AO$76,'Attrition Modeling'!$L$15:$N$27,IF(AO$77+$F84&lt;=24,2,3),FALSE)),$C$3)*(1+IF('IP Attrition'!AO141&gt;0,'Attrition Modeling'!$N$9,0)))</f>
        <v>0</v>
      </c>
      <c r="AP84" s="799">
        <f>AO84*(1-IFERROR(IF(AP$77+$F84&lt;=12,SUMIFS('Attrition Modeling'!$D:$D,'Attrition Modeling'!$C:$C,$D84,'Attrition Modeling'!$B:$B,AP$76),VLOOKUP($F84+AP$77,$A$7:$C$107,2,FALSE)*VLOOKUP(AP$76,'Attrition Modeling'!$L$15:$N$27,IF(AP$77+$F84&lt;=24,2,3),FALSE)),$C$3)*(1+IF('IP Attrition'!AP141&gt;0,'Attrition Modeling'!$N$9,0)))</f>
        <v>0</v>
      </c>
      <c r="AQ84" s="799">
        <f>AP84*(1-IFERROR(IF(AQ$77+$F84&lt;=12,SUMIFS('Attrition Modeling'!$D:$D,'Attrition Modeling'!$C:$C,$D84,'Attrition Modeling'!$B:$B,AQ$76),VLOOKUP($F84+AQ$77,$A$7:$C$107,2,FALSE)*VLOOKUP(AQ$76,'Attrition Modeling'!$L$15:$N$27,IF(AQ$77+$F84&lt;=24,2,3),FALSE)),$C$3)*(1+IF('IP Attrition'!AQ141&gt;0,'Attrition Modeling'!$N$9,0)))</f>
        <v>0</v>
      </c>
      <c r="AR84" s="799">
        <f>AQ84*(1-IFERROR(IF(AR$77+$F84&lt;=12,SUMIFS('Attrition Modeling'!$D:$D,'Attrition Modeling'!$C:$C,$D84,'Attrition Modeling'!$B:$B,AR$76),VLOOKUP($F84+AR$77,$A$7:$C$107,2,FALSE)*VLOOKUP(AR$76,'Attrition Modeling'!$L$15:$N$27,IF(AR$77+$F84&lt;=24,2,3),FALSE)),$C$3)*(1+IF('IP Attrition'!AR141&gt;0,'Attrition Modeling'!$N$9,0)))</f>
        <v>0</v>
      </c>
      <c r="AS84" s="799">
        <f>AR84*(1-IFERROR(IF(AS$77+$F84&lt;=12,SUMIFS('Attrition Modeling'!$D:$D,'Attrition Modeling'!$C:$C,$D84,'Attrition Modeling'!$B:$B,AS$76),VLOOKUP($F84+AS$77,$A$7:$C$107,2,FALSE)*VLOOKUP(AS$76,'Attrition Modeling'!$L$15:$N$27,IF(AS$77+$F84&lt;=24,2,3),FALSE)),$C$3)*(1+IF('IP Attrition'!AS141&gt;0,'Attrition Modeling'!$N$9,0)))</f>
        <v>0</v>
      </c>
      <c r="AT84" s="799">
        <f>AS84*(1-IFERROR(IF(AT$77+$F84&lt;=12,SUMIFS('Attrition Modeling'!$D:$D,'Attrition Modeling'!$C:$C,$D84,'Attrition Modeling'!$B:$B,AT$76),VLOOKUP($F84+AT$77,$A$7:$C$107,2,FALSE)*VLOOKUP(AT$76,'Attrition Modeling'!$L$15:$N$27,IF(AT$77+$F84&lt;=24,2,3),FALSE)),$C$3)*(1+IF('IP Attrition'!AT141&gt;0,'Attrition Modeling'!$N$9,0)))</f>
        <v>0</v>
      </c>
      <c r="AU84" s="799">
        <f>AT84*(1-IFERROR(IF(AU$77+$F84&lt;=12,SUMIFS('Attrition Modeling'!$D:$D,'Attrition Modeling'!$C:$C,$D84,'Attrition Modeling'!$B:$B,AU$76),VLOOKUP($F84+AU$77,$A$7:$C$107,2,FALSE)*VLOOKUP(AU$76,'Attrition Modeling'!$L$15:$N$27,IF(AU$77+$F84&lt;=24,2,3),FALSE)),$C$3)*(1+IF('IP Attrition'!AU141&gt;0,'Attrition Modeling'!$N$9,0)))</f>
        <v>0</v>
      </c>
      <c r="AV84" s="799">
        <f>AU84*(1-IFERROR(IF(AV$77+$F84&lt;=12,SUMIFS('Attrition Modeling'!$D:$D,'Attrition Modeling'!$C:$C,$D84,'Attrition Modeling'!$B:$B,AV$76),VLOOKUP($F84+AV$77,$A$7:$C$107,2,FALSE)*VLOOKUP(AV$76,'Attrition Modeling'!$L$15:$N$27,IF(AV$77+$F84&lt;=24,2,3),FALSE)),$C$3)*(1+IF('IP Attrition'!AV141&gt;0,'Attrition Modeling'!$N$9,0)))</f>
        <v>0</v>
      </c>
      <c r="AW84" s="799">
        <f>AV84*(1-IFERROR(IF(AW$77+$F84&lt;=12,SUMIFS('Attrition Modeling'!$D:$D,'Attrition Modeling'!$C:$C,$D84,'Attrition Modeling'!$B:$B,AW$76),VLOOKUP($F84+AW$77,$A$7:$C$107,2,FALSE)*VLOOKUP(AW$76,'Attrition Modeling'!$L$15:$N$27,IF(AW$77+$F84&lt;=24,2,3),FALSE)),$C$3)*(1+IF('IP Attrition'!AW141&gt;0,'Attrition Modeling'!$N$9,0)))</f>
        <v>0</v>
      </c>
      <c r="AX84" s="799">
        <f>AW84*(1-IFERROR(IF(AX$77+$F84&lt;=12,SUMIFS('Attrition Modeling'!$D:$D,'Attrition Modeling'!$C:$C,$D84,'Attrition Modeling'!$B:$B,AX$76),VLOOKUP($F84+AX$77,$A$7:$C$107,2,FALSE)*VLOOKUP(AX$76,'Attrition Modeling'!$L$15:$N$27,IF(AX$77+$F84&lt;=24,2,3),FALSE)),$C$3)*(1+IF('IP Attrition'!AX141&gt;0,'Attrition Modeling'!$N$9,0)))</f>
        <v>0</v>
      </c>
      <c r="AY84" s="799">
        <f>AX84*(1-IFERROR(IF(AY$77+$F84&lt;=12,SUMIFS('Attrition Modeling'!$D:$D,'Attrition Modeling'!$C:$C,$D84,'Attrition Modeling'!$B:$B,AY$76),VLOOKUP($F84+AY$77,$A$7:$C$107,2,FALSE)*VLOOKUP(AY$76,'Attrition Modeling'!$L$15:$N$27,IF(AY$77+$F84&lt;=24,2,3),FALSE)),$C$3)*(1+IF('IP Attrition'!AY141&gt;0,'Attrition Modeling'!$N$9,0)))</f>
        <v>0</v>
      </c>
      <c r="AZ84" s="799">
        <f>AY84*(1-IFERROR(IF(AZ$77+$F84&lt;=12,SUMIFS('Attrition Modeling'!$D:$D,'Attrition Modeling'!$C:$C,$D84,'Attrition Modeling'!$B:$B,AZ$76),VLOOKUP($F84+AZ$77,$A$7:$C$107,2,FALSE)*VLOOKUP(AZ$76,'Attrition Modeling'!$L$15:$N$27,IF(AZ$77+$F84&lt;=24,2,3),FALSE)),$C$3)*(1+IF('IP Attrition'!AZ141&gt;0,'Attrition Modeling'!$N$9,0)))</f>
        <v>0</v>
      </c>
      <c r="BA84" s="799">
        <f>AZ84*(1-IFERROR(IF(BA$77+$F84&lt;=12,SUMIFS('Attrition Modeling'!$D:$D,'Attrition Modeling'!$C:$C,$D84,'Attrition Modeling'!$B:$B,BA$76),VLOOKUP($F84+BA$77,$A$7:$C$107,2,FALSE)*VLOOKUP(BA$76,'Attrition Modeling'!$L$15:$N$27,IF(BA$77+$F84&lt;=24,2,3),FALSE)),$C$3)*(1+IF('IP Attrition'!BA141&gt;0,'Attrition Modeling'!$N$9,0)))</f>
        <v>0</v>
      </c>
      <c r="BB84" s="799">
        <f>BA84*(1-IFERROR(IF(BB$77+$F84&lt;=12,SUMIFS('Attrition Modeling'!$D:$D,'Attrition Modeling'!$C:$C,$D84,'Attrition Modeling'!$B:$B,BB$76),VLOOKUP($F84+BB$77,$A$7:$C$107,2,FALSE)*VLOOKUP(BB$76,'Attrition Modeling'!$L$15:$N$27,IF(BB$77+$F84&lt;=24,2,3),FALSE)),$C$3)*(1+IF('IP Attrition'!BB141&gt;0,'Attrition Modeling'!$N$9,0)))</f>
        <v>0</v>
      </c>
      <c r="BC84" s="799">
        <f>BB84*(1-IFERROR(IF(BC$77+$F84&lt;=12,SUMIFS('Attrition Modeling'!$D:$D,'Attrition Modeling'!$C:$C,$D84,'Attrition Modeling'!$B:$B,BC$76),VLOOKUP($F84+BC$77,$A$7:$C$107,2,FALSE)*VLOOKUP(BC$76,'Attrition Modeling'!$L$15:$N$27,IF(BC$77+$F84&lt;=24,2,3),FALSE)),$C$3)*(1+IF('IP Attrition'!BC141&gt;0,'Attrition Modeling'!$N$9,0)))</f>
        <v>0</v>
      </c>
      <c r="BD84" s="799">
        <f>BC84*(1-IFERROR(IF(BD$77+$F84&lt;=12,SUMIFS('Attrition Modeling'!$D:$D,'Attrition Modeling'!$C:$C,$D84,'Attrition Modeling'!$B:$B,BD$76),VLOOKUP($F84+BD$77,$A$7:$C$107,2,FALSE)*VLOOKUP(BD$76,'Attrition Modeling'!$L$15:$N$27,IF(BD$77+$F84&lt;=24,2,3),FALSE)),$C$3)*(1+IF('IP Attrition'!BD141&gt;0,'Attrition Modeling'!$N$9,0)))</f>
        <v>0</v>
      </c>
      <c r="BE84" s="799">
        <f>BD84*(1-IFERROR(IF(BE$77+$F84&lt;=12,SUMIFS('Attrition Modeling'!$D:$D,'Attrition Modeling'!$C:$C,$D84,'Attrition Modeling'!$B:$B,BE$76),VLOOKUP($F84+BE$77,$A$7:$C$107,2,FALSE)*VLOOKUP(BE$76,'Attrition Modeling'!$L$15:$N$27,IF(BE$77+$F84&lt;=24,2,3),FALSE)),$C$3)*(1+IF('IP Attrition'!BE141&gt;0,'Attrition Modeling'!$N$9,0)))</f>
        <v>0</v>
      </c>
      <c r="BF84" s="799">
        <f>BE84*(1-IFERROR(IF(BF$77+$F84&lt;=12,SUMIFS('Attrition Modeling'!$D:$D,'Attrition Modeling'!$C:$C,$D84,'Attrition Modeling'!$B:$B,BF$76),VLOOKUP($F84+BF$77,$A$7:$C$107,2,FALSE)*VLOOKUP(BF$76,'Attrition Modeling'!$L$15:$N$27,IF(BF$77+$F84&lt;=24,2,3),FALSE)),$C$3)*(1+IF('IP Attrition'!BF141&gt;0,'Attrition Modeling'!$N$9,0)))</f>
        <v>0</v>
      </c>
      <c r="BG84" s="799">
        <f>BF84*(1-IFERROR(IF(BG$77+$F84&lt;=12,SUMIFS('Attrition Modeling'!$D:$D,'Attrition Modeling'!$C:$C,$D84,'Attrition Modeling'!$B:$B,BG$76),VLOOKUP($F84+BG$77,$A$7:$C$107,2,FALSE)*VLOOKUP(BG$76,'Attrition Modeling'!$L$15:$N$27,IF(BG$77+$F84&lt;=24,2,3),FALSE)),$C$3)*(1+IF('IP Attrition'!BG141&gt;0,'Attrition Modeling'!$N$9,0)))</f>
        <v>0</v>
      </c>
      <c r="BH84" s="799">
        <f>BG84*(1-IFERROR(IF(BH$77+$F84&lt;=12,SUMIFS('Attrition Modeling'!$D:$D,'Attrition Modeling'!$C:$C,$D84,'Attrition Modeling'!$B:$B,BH$76),VLOOKUP($F84+BH$77,$A$7:$C$107,2,FALSE)*VLOOKUP(BH$76,'Attrition Modeling'!$L$15:$N$27,IF(BH$77+$F84&lt;=24,2,3),FALSE)),$C$3)*(1+IF('IP Attrition'!BH141&gt;0,'Attrition Modeling'!$N$9,0)))</f>
        <v>0</v>
      </c>
      <c r="BI84" s="799">
        <f>BH84*(1-IFERROR(IF(BI$77+$F84&lt;=12,SUMIFS('Attrition Modeling'!$D:$D,'Attrition Modeling'!$C:$C,$D84,'Attrition Modeling'!$B:$B,BI$76),VLOOKUP($F84+BI$77,$A$7:$C$107,2,FALSE)*VLOOKUP(BI$76,'Attrition Modeling'!$L$15:$N$27,IF(BI$77+$F84&lt;=24,2,3),FALSE)),$C$3)*(1+IF('IP Attrition'!BI141&gt;0,'Attrition Modeling'!$N$9,0)))</f>
        <v>0</v>
      </c>
      <c r="BJ84" s="799">
        <f>BI84*(1-IFERROR(IF(BJ$77+$F84&lt;=12,SUMIFS('Attrition Modeling'!$D:$D,'Attrition Modeling'!$C:$C,$D84,'Attrition Modeling'!$B:$B,BJ$76),VLOOKUP($F84+BJ$77,$A$7:$C$107,2,FALSE)*VLOOKUP(BJ$76,'Attrition Modeling'!$L$15:$N$27,IF(BJ$77+$F84&lt;=24,2,3),FALSE)),$C$3)*(1+IF('IP Attrition'!BJ141&gt;0,'Attrition Modeling'!$N$9,0)))</f>
        <v>0</v>
      </c>
      <c r="BK84" s="799">
        <f>BJ84*(1-IFERROR(IF(BK$77+$F84&lt;=12,SUMIFS('Attrition Modeling'!$D:$D,'Attrition Modeling'!$C:$C,$D84,'Attrition Modeling'!$B:$B,BK$76),VLOOKUP($F84+BK$77,$A$7:$C$107,2,FALSE)*VLOOKUP(BK$76,'Attrition Modeling'!$L$15:$N$27,IF(BK$77+$F84&lt;=24,2,3),FALSE)),$C$3)*(1+IF('IP Attrition'!BK141&gt;0,'Attrition Modeling'!$N$9,0)))</f>
        <v>0</v>
      </c>
      <c r="BL84" s="799">
        <f>BK84*(1-IFERROR(IF(BL$77+$F84&lt;=12,SUMIFS('Attrition Modeling'!$D:$D,'Attrition Modeling'!$C:$C,$D84,'Attrition Modeling'!$B:$B,BL$76),VLOOKUP($F84+BL$77,$A$7:$C$107,2,FALSE)*VLOOKUP(BL$76,'Attrition Modeling'!$L$15:$N$27,IF(BL$77+$F84&lt;=24,2,3),FALSE)),$C$3)*(1+IF('IP Attrition'!BL141&gt;0,'Attrition Modeling'!$N$9,0)))</f>
        <v>0</v>
      </c>
      <c r="BM84" s="799">
        <f>BL84*(1-IFERROR(IF(BM$77+$F84&lt;=12,SUMIFS('Attrition Modeling'!$D:$D,'Attrition Modeling'!$C:$C,$D84,'Attrition Modeling'!$B:$B,BM$76),VLOOKUP($F84+BM$77,$A$7:$C$107,2,FALSE)*VLOOKUP(BM$76,'Attrition Modeling'!$L$15:$N$27,IF(BM$77+$F84&lt;=24,2,3),FALSE)),$C$3)*(1+IF('IP Attrition'!BM141&gt;0,'Attrition Modeling'!$N$9,0)))</f>
        <v>0</v>
      </c>
      <c r="BN84" s="799">
        <f>BM84*(1-IFERROR(IF(BN$77+$F84&lt;=12,SUMIFS('Attrition Modeling'!$D:$D,'Attrition Modeling'!$C:$C,$D84,'Attrition Modeling'!$B:$B,BN$76),VLOOKUP($F84+BN$77,$A$7:$C$107,2,FALSE)*VLOOKUP(BN$76,'Attrition Modeling'!$L$15:$N$27,IF(BN$77+$F84&lt;=24,2,3),FALSE)),$C$3)*(1+IF('IP Attrition'!BN141&gt;0,'Attrition Modeling'!$N$9,0)))</f>
        <v>0</v>
      </c>
      <c r="BO84" s="799">
        <f>BN84*(1-IFERROR(IF(BO$77+$F84&lt;=12,SUMIFS('Attrition Modeling'!$D:$D,'Attrition Modeling'!$C:$C,$D84,'Attrition Modeling'!$B:$B,BO$76),VLOOKUP($F84+BO$77,$A$7:$C$107,2,FALSE)*VLOOKUP(BO$76,'Attrition Modeling'!$L$15:$N$27,IF(BO$77+$F84&lt;=24,2,3),FALSE)),$C$3)*(1+IF('IP Attrition'!BO141&gt;0,'Attrition Modeling'!$N$9,0)))</f>
        <v>0</v>
      </c>
      <c r="BP84" s="799">
        <f>BO84*(1-IFERROR(IF(BP$77+$F84&lt;=12,SUMIFS('Attrition Modeling'!$D:$D,'Attrition Modeling'!$C:$C,$D84,'Attrition Modeling'!$B:$B,BP$76),VLOOKUP($F84+BP$77,$A$7:$C$107,2,FALSE)*VLOOKUP(BP$76,'Attrition Modeling'!$L$15:$N$27,IF(BP$77+$F84&lt;=24,2,3),FALSE)),$C$3)*(1+IF('IP Attrition'!BP141&gt;0,'Attrition Modeling'!$N$9,0)))</f>
        <v>0</v>
      </c>
      <c r="BQ84" s="799">
        <f>BP84*(1-IFERROR(IF(BQ$77+$F84&lt;=12,SUMIFS('Attrition Modeling'!$D:$D,'Attrition Modeling'!$C:$C,$D84,'Attrition Modeling'!$B:$B,BQ$76),VLOOKUP($F84+BQ$77,$A$7:$C$107,2,FALSE)*VLOOKUP(BQ$76,'Attrition Modeling'!$L$15:$N$27,IF(BQ$77+$F84&lt;=24,2,3),FALSE)),$C$3)*(1+IF('IP Attrition'!BQ141&gt;0,'Attrition Modeling'!$N$9,0)))</f>
        <v>0</v>
      </c>
      <c r="BR84" s="799">
        <f>BQ84*(1-IFERROR(IF(BR$77+$F84&lt;=12,SUMIFS('Attrition Modeling'!$D:$D,'Attrition Modeling'!$C:$C,$D84,'Attrition Modeling'!$B:$B,BR$76),VLOOKUP($F84+BR$77,$A$7:$C$107,2,FALSE)*VLOOKUP(BR$76,'Attrition Modeling'!$L$15:$N$27,IF(BR$77+$F84&lt;=24,2,3),FALSE)),$C$3)*(1+IF('IP Attrition'!BR141&gt;0,'Attrition Modeling'!$N$9,0)))</f>
        <v>0</v>
      </c>
      <c r="BS84" s="799">
        <f>BR84*(1-IFERROR(IF(BS$77+$F84&lt;=12,SUMIFS('Attrition Modeling'!$D:$D,'Attrition Modeling'!$C:$C,$D84,'Attrition Modeling'!$B:$B,BS$76),VLOOKUP($F84+BS$77,$A$7:$C$107,2,FALSE)*VLOOKUP(BS$76,'Attrition Modeling'!$L$15:$N$27,IF(BS$77+$F84&lt;=24,2,3),FALSE)),$C$3)*(1+IF('IP Attrition'!BS141&gt;0,'Attrition Modeling'!$N$9,0)))</f>
        <v>0</v>
      </c>
      <c r="BT84" s="799" t="e">
        <f>BS84*(1-IFERROR(IF(BT$77+$F84&lt;=12,SUMIFS('Attrition Modeling'!$D:$D,'Attrition Modeling'!$C:$C,$D84,'Attrition Modeling'!$B:$B,BT$76),VLOOKUP($F84+BT$77,$A$7:$C$107,2,FALSE)*VLOOKUP(BT$76,'Attrition Modeling'!$L$15:$N$27,IF(BT$77+$F84&lt;=24,2,3),FALSE)),$C$3)*(1+IF('IP Attrition'!BT141&gt;0,'Attrition Modeling'!$N$9,0)))</f>
        <v>#REF!</v>
      </c>
      <c r="BU84" s="799" t="e">
        <f>BT84*(1-IFERROR(IF(BU$77+$F84&lt;=12,SUMIFS('Attrition Modeling'!$D:$D,'Attrition Modeling'!$C:$C,$D84,'Attrition Modeling'!$B:$B,BU$76),VLOOKUP($F84+BU$77,$A$7:$C$107,2,FALSE)*VLOOKUP(BU$76,'Attrition Modeling'!$L$15:$N$27,IF(BU$77+$F84&lt;=24,2,3),FALSE)),$C$3)*(1+IF('IP Attrition'!BU141&gt;0,'Attrition Modeling'!$N$9,0)))</f>
        <v>#REF!</v>
      </c>
    </row>
    <row r="85" spans="1:73" ht="14.25" customHeight="1" x14ac:dyDescent="0.2">
      <c r="A85" s="9">
        <v>77</v>
      </c>
      <c r="B85" s="25">
        <f>MAX('Attrition Modeling'!H81,$C$3)*(1-Summary!$C$20)</f>
        <v>2.0281878895177338E-2</v>
      </c>
      <c r="C85" s="24" t="e">
        <f t="shared" si="2"/>
        <v>#DIV/0!</v>
      </c>
      <c r="D85" s="11">
        <f>'IP Attrition'!D77</f>
        <v>-7</v>
      </c>
      <c r="E85" s="25">
        <f>'IP Attrition'!E77</f>
        <v>6.8484235087677175E-2</v>
      </c>
      <c r="F85" s="11">
        <f t="shared" si="8"/>
        <v>7</v>
      </c>
      <c r="G85" s="799">
        <f>Summary!$C$24*$E85</f>
        <v>0</v>
      </c>
      <c r="H85" s="799">
        <f>G85*(1-IFERROR(IF(H$77+$F85&lt;=12,SUMIFS('Attrition Modeling'!$D:$D,'Attrition Modeling'!$C:$C,$D85,'Attrition Modeling'!$B:$B,H$76),VLOOKUP($F85+H$77,$A$7:$C$107,2,FALSE)*VLOOKUP(H$76,'Attrition Modeling'!$L$15:$N$27,IF(H$77+$F85&lt;=24,2,3),FALSE)),$C$3)*(1+IF('IP Attrition'!H142&gt;0,'Attrition Modeling'!$N$9,0)))</f>
        <v>0</v>
      </c>
      <c r="I85" s="799">
        <f>H85*(1-IFERROR(IF(I$77+$F85&lt;=12,SUMIFS('Attrition Modeling'!$D:$D,'Attrition Modeling'!$C:$C,$D85,'Attrition Modeling'!$B:$B,I$76),VLOOKUP($F85+I$77,$A$7:$C$107,2,FALSE)*VLOOKUP(I$76,'Attrition Modeling'!$L$15:$N$27,IF(I$77+$F85&lt;=24,2,3),FALSE)),$C$3)*(1+IF('IP Attrition'!I142&gt;0,'Attrition Modeling'!$N$9,0)))</f>
        <v>0</v>
      </c>
      <c r="J85" s="799">
        <f>I85*(1-IFERROR(IF(J$77+$F85&lt;=12,SUMIFS('Attrition Modeling'!$D:$D,'Attrition Modeling'!$C:$C,$D85,'Attrition Modeling'!$B:$B,J$76),VLOOKUP($F85+J$77,$A$7:$C$107,2,FALSE)*VLOOKUP(J$76,'Attrition Modeling'!$L$15:$N$27,IF(J$77+$F85&lt;=24,2,3),FALSE)),$C$3)*(1+IF('IP Attrition'!J142&gt;0,'Attrition Modeling'!$N$9,0)))</f>
        <v>0</v>
      </c>
      <c r="K85" s="799">
        <f>J85*(1-IFERROR(IF(K$77+$F85&lt;=12,SUMIFS('Attrition Modeling'!$D:$D,'Attrition Modeling'!$C:$C,$D85,'Attrition Modeling'!$B:$B,K$76),VLOOKUP($F85+K$77,$A$7:$C$107,2,FALSE)*VLOOKUP(K$76,'Attrition Modeling'!$L$15:$N$27,IF(K$77+$F85&lt;=24,2,3),FALSE)),$C$3)*(1+IF('IP Attrition'!K142&gt;0,'Attrition Modeling'!$N$9,0)))</f>
        <v>0</v>
      </c>
      <c r="L85" s="799">
        <f>K85*(1-IFERROR(IF(L$77+$F85&lt;=12,SUMIFS('Attrition Modeling'!$D:$D,'Attrition Modeling'!$C:$C,$D85,'Attrition Modeling'!$B:$B,L$76),VLOOKUP($F85+L$77,$A$7:$C$107,2,FALSE)*VLOOKUP(L$76,'Attrition Modeling'!$L$15:$N$27,IF(L$77+$F85&lt;=24,2,3),FALSE)),$C$3)*(1+IF('IP Attrition'!L142&gt;0,'Attrition Modeling'!$N$9,0)))</f>
        <v>0</v>
      </c>
      <c r="M85" s="799">
        <f>L85*(1-IFERROR(IF(M$77+$F85&lt;=12,SUMIFS('Attrition Modeling'!$D:$D,'Attrition Modeling'!$C:$C,$D85,'Attrition Modeling'!$B:$B,M$76),VLOOKUP($F85+M$77,$A$7:$C$107,2,FALSE)*VLOOKUP(M$76,'Attrition Modeling'!$L$15:$N$27,IF(M$77+$F85&lt;=24,2,3),FALSE)),$C$3)*(1+IF('IP Attrition'!M142&gt;0,'Attrition Modeling'!$N$9,0)))</f>
        <v>0</v>
      </c>
      <c r="N85" s="799">
        <f>M85*(1-IFERROR(IF(N$77+$F85&lt;=12,SUMIFS('Attrition Modeling'!$D:$D,'Attrition Modeling'!$C:$C,$D85,'Attrition Modeling'!$B:$B,N$76),VLOOKUP($F85+N$77,$A$7:$C$107,2,FALSE)*VLOOKUP(N$76,'Attrition Modeling'!$L$15:$N$27,IF(N$77+$F85&lt;=24,2,3),FALSE)),$C$3)*(1+IF('IP Attrition'!N142&gt;0,'Attrition Modeling'!$N$9,0)))</f>
        <v>0</v>
      </c>
      <c r="O85" s="799">
        <f>N85*(1-IFERROR(IF(O$77+$F85&lt;=12,SUMIFS('Attrition Modeling'!$D:$D,'Attrition Modeling'!$C:$C,$D85,'Attrition Modeling'!$B:$B,O$76),VLOOKUP($F85+O$77,$A$7:$C$107,2,FALSE)*VLOOKUP(O$76,'Attrition Modeling'!$L$15:$N$27,IF(O$77+$F85&lt;=24,2,3),FALSE)),$C$3)*(1+IF('IP Attrition'!O142&gt;0,'Attrition Modeling'!$N$9,0)))</f>
        <v>0</v>
      </c>
      <c r="P85" s="799">
        <f>O85*(1-IFERROR(IF(P$77+$F85&lt;=12,SUMIFS('Attrition Modeling'!$D:$D,'Attrition Modeling'!$C:$C,$D85,'Attrition Modeling'!$B:$B,P$76),VLOOKUP($F85+P$77,$A$7:$C$107,2,FALSE)*VLOOKUP(P$76,'Attrition Modeling'!$L$15:$N$27,IF(P$77+$F85&lt;=24,2,3),FALSE)),$C$3)*(1+IF('IP Attrition'!P142&gt;0,'Attrition Modeling'!$N$9,0)))</f>
        <v>0</v>
      </c>
      <c r="Q85" s="799">
        <f>P85*(1-IFERROR(IF(Q$77+$F85&lt;=12,SUMIFS('Attrition Modeling'!$D:$D,'Attrition Modeling'!$C:$C,$D85,'Attrition Modeling'!$B:$B,Q$76),VLOOKUP($F85+Q$77,$A$7:$C$107,2,FALSE)*VLOOKUP(Q$76,'Attrition Modeling'!$L$15:$N$27,IF(Q$77+$F85&lt;=24,2,3),FALSE)),$C$3)*(1+IF('IP Attrition'!Q142&gt;0,'Attrition Modeling'!$N$9,0)))</f>
        <v>0</v>
      </c>
      <c r="R85" s="799">
        <f>Q85*(1-IFERROR(IF(R$77+$F85&lt;=12,SUMIFS('Attrition Modeling'!$D:$D,'Attrition Modeling'!$C:$C,$D85,'Attrition Modeling'!$B:$B,R$76),VLOOKUP($F85+R$77,$A$7:$C$107,2,FALSE)*VLOOKUP(R$76,'Attrition Modeling'!$L$15:$N$27,IF(R$77+$F85&lt;=24,2,3),FALSE)),$C$3)*(1+IF('IP Attrition'!R142&gt;0,'Attrition Modeling'!$N$9,0)))</f>
        <v>0</v>
      </c>
      <c r="S85" s="799">
        <f>R85*(1-IFERROR(IF(S$77+$F85&lt;=12,SUMIFS('Attrition Modeling'!$D:$D,'Attrition Modeling'!$C:$C,$D85,'Attrition Modeling'!$B:$B,S$76),VLOOKUP($F85+S$77,$A$7:$C$107,2,FALSE)*VLOOKUP(S$76,'Attrition Modeling'!$L$15:$N$27,IF(S$77+$F85&lt;=24,2,3),FALSE)),$C$3)*(1+IF('IP Attrition'!S142&gt;0,'Attrition Modeling'!$N$9,0)))</f>
        <v>0</v>
      </c>
      <c r="T85" s="799">
        <f>S85*(1-IFERROR(IF(T$77+$F85&lt;=12,SUMIFS('Attrition Modeling'!$D:$D,'Attrition Modeling'!$C:$C,$D85,'Attrition Modeling'!$B:$B,T$76),VLOOKUP($F85+T$77,$A$7:$C$107,2,FALSE)*VLOOKUP(T$76,'Attrition Modeling'!$L$15:$N$27,IF(T$77+$F85&lt;=24,2,3),FALSE)),$C$3)*(1+IF('IP Attrition'!T142&gt;0,'Attrition Modeling'!$N$9,0)))</f>
        <v>0</v>
      </c>
      <c r="U85" s="799">
        <f>T85*(1-IFERROR(IF(U$77+$F85&lt;=12,SUMIFS('Attrition Modeling'!$D:$D,'Attrition Modeling'!$C:$C,$D85,'Attrition Modeling'!$B:$B,U$76),VLOOKUP($F85+U$77,$A$7:$C$107,2,FALSE)*VLOOKUP(U$76,'Attrition Modeling'!$L$15:$N$27,IF(U$77+$F85&lt;=24,2,3),FALSE)),$C$3)*(1+IF('IP Attrition'!U142&gt;0,'Attrition Modeling'!$N$9,0)))</f>
        <v>0</v>
      </c>
      <c r="V85" s="799">
        <f>U85*(1-IFERROR(IF(V$77+$F85&lt;=12,SUMIFS('Attrition Modeling'!$D:$D,'Attrition Modeling'!$C:$C,$D85,'Attrition Modeling'!$B:$B,V$76),VLOOKUP($F85+V$77,$A$7:$C$107,2,FALSE)*VLOOKUP(V$76,'Attrition Modeling'!$L$15:$N$27,IF(V$77+$F85&lt;=24,2,3),FALSE)),$C$3)*(1+IF('IP Attrition'!V142&gt;0,'Attrition Modeling'!$N$9,0)))</f>
        <v>0</v>
      </c>
      <c r="W85" s="799">
        <f>V85*(1-IFERROR(IF(W$77+$F85&lt;=12,SUMIFS('Attrition Modeling'!$D:$D,'Attrition Modeling'!$C:$C,$D85,'Attrition Modeling'!$B:$B,W$76),VLOOKUP($F85+W$77,$A$7:$C$107,2,FALSE)*VLOOKUP(W$76,'Attrition Modeling'!$L$15:$N$27,IF(W$77+$F85&lt;=24,2,3),FALSE)),$C$3)*(1+IF('IP Attrition'!W142&gt;0,'Attrition Modeling'!$N$9,0)))</f>
        <v>0</v>
      </c>
      <c r="X85" s="799">
        <f>W85*(1-IFERROR(IF(X$77+$F85&lt;=12,SUMIFS('Attrition Modeling'!$D:$D,'Attrition Modeling'!$C:$C,$D85,'Attrition Modeling'!$B:$B,X$76),VLOOKUP($F85+X$77,$A$7:$C$107,2,FALSE)*VLOOKUP(X$76,'Attrition Modeling'!$L$15:$N$27,IF(X$77+$F85&lt;=24,2,3),FALSE)),$C$3)*(1+IF('IP Attrition'!X142&gt;0,'Attrition Modeling'!$N$9,0)))</f>
        <v>0</v>
      </c>
      <c r="Y85" s="799">
        <f>X85*(1-IFERROR(IF(Y$77+$F85&lt;=12,SUMIFS('Attrition Modeling'!$D:$D,'Attrition Modeling'!$C:$C,$D85,'Attrition Modeling'!$B:$B,Y$76),VLOOKUP($F85+Y$77,$A$7:$C$107,2,FALSE)*VLOOKUP(Y$76,'Attrition Modeling'!$L$15:$N$27,IF(Y$77+$F85&lt;=24,2,3),FALSE)),$C$3)*(1+IF('IP Attrition'!Y142&gt;0,'Attrition Modeling'!$N$9,0)))</f>
        <v>0</v>
      </c>
      <c r="Z85" s="799">
        <f>Y85*(1-IFERROR(IF(Z$77+$F85&lt;=12,SUMIFS('Attrition Modeling'!$D:$D,'Attrition Modeling'!$C:$C,$D85,'Attrition Modeling'!$B:$B,Z$76),VLOOKUP($F85+Z$77,$A$7:$C$107,2,FALSE)*VLOOKUP(Z$76,'Attrition Modeling'!$L$15:$N$27,IF(Z$77+$F85&lt;=24,2,3),FALSE)),$C$3)*(1+IF('IP Attrition'!Z142&gt;0,'Attrition Modeling'!$N$9,0)))</f>
        <v>0</v>
      </c>
      <c r="AA85" s="799">
        <f>Z85*(1-IFERROR(IF(AA$77+$F85&lt;=12,SUMIFS('Attrition Modeling'!$D:$D,'Attrition Modeling'!$C:$C,$D85,'Attrition Modeling'!$B:$B,AA$76),VLOOKUP($F85+AA$77,$A$7:$C$107,2,FALSE)*VLOOKUP(AA$76,'Attrition Modeling'!$L$15:$N$27,IF(AA$77+$F85&lt;=24,2,3),FALSE)),$C$3)*(1+IF('IP Attrition'!AA142&gt;0,'Attrition Modeling'!$N$9,0)))</f>
        <v>0</v>
      </c>
      <c r="AB85" s="799">
        <f>AA85*(1-IFERROR(IF(AB$77+$F85&lt;=12,SUMIFS('Attrition Modeling'!$D:$D,'Attrition Modeling'!$C:$C,$D85,'Attrition Modeling'!$B:$B,AB$76),VLOOKUP($F85+AB$77,$A$7:$C$107,2,FALSE)*VLOOKUP(AB$76,'Attrition Modeling'!$L$15:$N$27,IF(AB$77+$F85&lt;=24,2,3),FALSE)),$C$3)*(1+IF('IP Attrition'!AB142&gt;0,'Attrition Modeling'!$N$9,0)))</f>
        <v>0</v>
      </c>
      <c r="AC85" s="799">
        <f>AB85*(1-IFERROR(IF(AC$77+$F85&lt;=12,SUMIFS('Attrition Modeling'!$D:$D,'Attrition Modeling'!$C:$C,$D85,'Attrition Modeling'!$B:$B,AC$76),VLOOKUP($F85+AC$77,$A$7:$C$107,2,FALSE)*VLOOKUP(AC$76,'Attrition Modeling'!$L$15:$N$27,IF(AC$77+$F85&lt;=24,2,3),FALSE)),$C$3)*(1+IF('IP Attrition'!AC142&gt;0,'Attrition Modeling'!$N$9,0)))</f>
        <v>0</v>
      </c>
      <c r="AD85" s="799">
        <f>AC85*(1-IFERROR(IF(AD$77+$F85&lt;=12,SUMIFS('Attrition Modeling'!$D:$D,'Attrition Modeling'!$C:$C,$D85,'Attrition Modeling'!$B:$B,AD$76),VLOOKUP($F85+AD$77,$A$7:$C$107,2,FALSE)*VLOOKUP(AD$76,'Attrition Modeling'!$L$15:$N$27,IF(AD$77+$F85&lt;=24,2,3),FALSE)),$C$3)*(1+IF('IP Attrition'!AD142&gt;0,'Attrition Modeling'!$N$9,0)))</f>
        <v>0</v>
      </c>
      <c r="AE85" s="799">
        <f>AD85*(1-IFERROR(IF(AE$77+$F85&lt;=12,SUMIFS('Attrition Modeling'!$D:$D,'Attrition Modeling'!$C:$C,$D85,'Attrition Modeling'!$B:$B,AE$76),VLOOKUP($F85+AE$77,$A$7:$C$107,2,FALSE)*VLOOKUP(AE$76,'Attrition Modeling'!$L$15:$N$27,IF(AE$77+$F85&lt;=24,2,3),FALSE)),$C$3)*(1+IF('IP Attrition'!AE142&gt;0,'Attrition Modeling'!$N$9,0)))</f>
        <v>0</v>
      </c>
      <c r="AF85" s="799">
        <f>AE85*(1-IFERROR(IF(AF$77+$F85&lt;=12,SUMIFS('Attrition Modeling'!$D:$D,'Attrition Modeling'!$C:$C,$D85,'Attrition Modeling'!$B:$B,AF$76),VLOOKUP($F85+AF$77,$A$7:$C$107,2,FALSE)*VLOOKUP(AF$76,'Attrition Modeling'!$L$15:$N$27,IF(AF$77+$F85&lt;=24,2,3),FALSE)),$C$3)*(1+IF('IP Attrition'!AF142&gt;0,'Attrition Modeling'!$N$9,0)))</f>
        <v>0</v>
      </c>
      <c r="AG85" s="799">
        <f>AF85*(1-IFERROR(IF(AG$77+$F85&lt;=12,SUMIFS('Attrition Modeling'!$D:$D,'Attrition Modeling'!$C:$C,$D85,'Attrition Modeling'!$B:$B,AG$76),VLOOKUP($F85+AG$77,$A$7:$C$107,2,FALSE)*VLOOKUP(AG$76,'Attrition Modeling'!$L$15:$N$27,IF(AG$77+$F85&lt;=24,2,3),FALSE)),$C$3)*(1+IF('IP Attrition'!AG142&gt;0,'Attrition Modeling'!$N$9,0)))</f>
        <v>0</v>
      </c>
      <c r="AH85" s="799">
        <f>AG85*(1-IFERROR(IF(AH$77+$F85&lt;=12,SUMIFS('Attrition Modeling'!$D:$D,'Attrition Modeling'!$C:$C,$D85,'Attrition Modeling'!$B:$B,AH$76),VLOOKUP($F85+AH$77,$A$7:$C$107,2,FALSE)*VLOOKUP(AH$76,'Attrition Modeling'!$L$15:$N$27,IF(AH$77+$F85&lt;=24,2,3),FALSE)),$C$3)*(1+IF('IP Attrition'!AH142&gt;0,'Attrition Modeling'!$N$9,0)))</f>
        <v>0</v>
      </c>
      <c r="AI85" s="799">
        <f>AH85*(1-IFERROR(IF(AI$77+$F85&lt;=12,SUMIFS('Attrition Modeling'!$D:$D,'Attrition Modeling'!$C:$C,$D85,'Attrition Modeling'!$B:$B,AI$76),VLOOKUP($F85+AI$77,$A$7:$C$107,2,FALSE)*VLOOKUP(AI$76,'Attrition Modeling'!$L$15:$N$27,IF(AI$77+$F85&lt;=24,2,3),FALSE)),$C$3)*(1+IF('IP Attrition'!AI142&gt;0,'Attrition Modeling'!$N$9,0)))</f>
        <v>0</v>
      </c>
      <c r="AJ85" s="799">
        <f>AI85*(1-IFERROR(IF(AJ$77+$F85&lt;=12,SUMIFS('Attrition Modeling'!$D:$D,'Attrition Modeling'!$C:$C,$D85,'Attrition Modeling'!$B:$B,AJ$76),VLOOKUP($F85+AJ$77,$A$7:$C$107,2,FALSE)*VLOOKUP(AJ$76,'Attrition Modeling'!$L$15:$N$27,IF(AJ$77+$F85&lt;=24,2,3),FALSE)),$C$3)*(1+IF('IP Attrition'!AJ142&gt;0,'Attrition Modeling'!$N$9,0)))</f>
        <v>0</v>
      </c>
      <c r="AK85" s="799">
        <f>AJ85*(1-IFERROR(IF(AK$77+$F85&lt;=12,SUMIFS('Attrition Modeling'!$D:$D,'Attrition Modeling'!$C:$C,$D85,'Attrition Modeling'!$B:$B,AK$76),VLOOKUP($F85+AK$77,$A$7:$C$107,2,FALSE)*VLOOKUP(AK$76,'Attrition Modeling'!$L$15:$N$27,IF(AK$77+$F85&lt;=24,2,3),FALSE)),$C$3)*(1+IF('IP Attrition'!AK142&gt;0,'Attrition Modeling'!$N$9,0)))</f>
        <v>0</v>
      </c>
      <c r="AL85" s="799">
        <f>AK85*(1-IFERROR(IF(AL$77+$F85&lt;=12,SUMIFS('Attrition Modeling'!$D:$D,'Attrition Modeling'!$C:$C,$D85,'Attrition Modeling'!$B:$B,AL$76),VLOOKUP($F85+AL$77,$A$7:$C$107,2,FALSE)*VLOOKUP(AL$76,'Attrition Modeling'!$L$15:$N$27,IF(AL$77+$F85&lt;=24,2,3),FALSE)),$C$3)*(1+IF('IP Attrition'!AL142&gt;0,'Attrition Modeling'!$N$9,0)))</f>
        <v>0</v>
      </c>
      <c r="AM85" s="799">
        <f>AL85*(1-IFERROR(IF(AM$77+$F85&lt;=12,SUMIFS('Attrition Modeling'!$D:$D,'Attrition Modeling'!$C:$C,$D85,'Attrition Modeling'!$B:$B,AM$76),VLOOKUP($F85+AM$77,$A$7:$C$107,2,FALSE)*VLOOKUP(AM$76,'Attrition Modeling'!$L$15:$N$27,IF(AM$77+$F85&lt;=24,2,3),FALSE)),$C$3)*(1+IF('IP Attrition'!AM142&gt;0,'Attrition Modeling'!$N$9,0)))</f>
        <v>0</v>
      </c>
      <c r="AN85" s="799">
        <f>AM85*(1-IFERROR(IF(AN$77+$F85&lt;=12,SUMIFS('Attrition Modeling'!$D:$D,'Attrition Modeling'!$C:$C,$D85,'Attrition Modeling'!$B:$B,AN$76),VLOOKUP($F85+AN$77,$A$7:$C$107,2,FALSE)*VLOOKUP(AN$76,'Attrition Modeling'!$L$15:$N$27,IF(AN$77+$F85&lt;=24,2,3),FALSE)),$C$3)*(1+IF('IP Attrition'!AN142&gt;0,'Attrition Modeling'!$N$9,0)))</f>
        <v>0</v>
      </c>
      <c r="AO85" s="799">
        <f>AN85*(1-IFERROR(IF(AO$77+$F85&lt;=12,SUMIFS('Attrition Modeling'!$D:$D,'Attrition Modeling'!$C:$C,$D85,'Attrition Modeling'!$B:$B,AO$76),VLOOKUP($F85+AO$77,$A$7:$C$107,2,FALSE)*VLOOKUP(AO$76,'Attrition Modeling'!$L$15:$N$27,IF(AO$77+$F85&lt;=24,2,3),FALSE)),$C$3)*(1+IF('IP Attrition'!AO142&gt;0,'Attrition Modeling'!$N$9,0)))</f>
        <v>0</v>
      </c>
      <c r="AP85" s="799">
        <f>AO85*(1-IFERROR(IF(AP$77+$F85&lt;=12,SUMIFS('Attrition Modeling'!$D:$D,'Attrition Modeling'!$C:$C,$D85,'Attrition Modeling'!$B:$B,AP$76),VLOOKUP($F85+AP$77,$A$7:$C$107,2,FALSE)*VLOOKUP(AP$76,'Attrition Modeling'!$L$15:$N$27,IF(AP$77+$F85&lt;=24,2,3),FALSE)),$C$3)*(1+IF('IP Attrition'!AP142&gt;0,'Attrition Modeling'!$N$9,0)))</f>
        <v>0</v>
      </c>
      <c r="AQ85" s="799">
        <f>AP85*(1-IFERROR(IF(AQ$77+$F85&lt;=12,SUMIFS('Attrition Modeling'!$D:$D,'Attrition Modeling'!$C:$C,$D85,'Attrition Modeling'!$B:$B,AQ$76),VLOOKUP($F85+AQ$77,$A$7:$C$107,2,FALSE)*VLOOKUP(AQ$76,'Attrition Modeling'!$L$15:$N$27,IF(AQ$77+$F85&lt;=24,2,3),FALSE)),$C$3)*(1+IF('IP Attrition'!AQ142&gt;0,'Attrition Modeling'!$N$9,0)))</f>
        <v>0</v>
      </c>
      <c r="AR85" s="799">
        <f>AQ85*(1-IFERROR(IF(AR$77+$F85&lt;=12,SUMIFS('Attrition Modeling'!$D:$D,'Attrition Modeling'!$C:$C,$D85,'Attrition Modeling'!$B:$B,AR$76),VLOOKUP($F85+AR$77,$A$7:$C$107,2,FALSE)*VLOOKUP(AR$76,'Attrition Modeling'!$L$15:$N$27,IF(AR$77+$F85&lt;=24,2,3),FALSE)),$C$3)*(1+IF('IP Attrition'!AR142&gt;0,'Attrition Modeling'!$N$9,0)))</f>
        <v>0</v>
      </c>
      <c r="AS85" s="799">
        <f>AR85*(1-IFERROR(IF(AS$77+$F85&lt;=12,SUMIFS('Attrition Modeling'!$D:$D,'Attrition Modeling'!$C:$C,$D85,'Attrition Modeling'!$B:$B,AS$76),VLOOKUP($F85+AS$77,$A$7:$C$107,2,FALSE)*VLOOKUP(AS$76,'Attrition Modeling'!$L$15:$N$27,IF(AS$77+$F85&lt;=24,2,3),FALSE)),$C$3)*(1+IF('IP Attrition'!AS142&gt;0,'Attrition Modeling'!$N$9,0)))</f>
        <v>0</v>
      </c>
      <c r="AT85" s="799">
        <f>AS85*(1-IFERROR(IF(AT$77+$F85&lt;=12,SUMIFS('Attrition Modeling'!$D:$D,'Attrition Modeling'!$C:$C,$D85,'Attrition Modeling'!$B:$B,AT$76),VLOOKUP($F85+AT$77,$A$7:$C$107,2,FALSE)*VLOOKUP(AT$76,'Attrition Modeling'!$L$15:$N$27,IF(AT$77+$F85&lt;=24,2,3),FALSE)),$C$3)*(1+IF('IP Attrition'!AT142&gt;0,'Attrition Modeling'!$N$9,0)))</f>
        <v>0</v>
      </c>
      <c r="AU85" s="799">
        <f>AT85*(1-IFERROR(IF(AU$77+$F85&lt;=12,SUMIFS('Attrition Modeling'!$D:$D,'Attrition Modeling'!$C:$C,$D85,'Attrition Modeling'!$B:$B,AU$76),VLOOKUP($F85+AU$77,$A$7:$C$107,2,FALSE)*VLOOKUP(AU$76,'Attrition Modeling'!$L$15:$N$27,IF(AU$77+$F85&lt;=24,2,3),FALSE)),$C$3)*(1+IF('IP Attrition'!AU142&gt;0,'Attrition Modeling'!$N$9,0)))</f>
        <v>0</v>
      </c>
      <c r="AV85" s="799">
        <f>AU85*(1-IFERROR(IF(AV$77+$F85&lt;=12,SUMIFS('Attrition Modeling'!$D:$D,'Attrition Modeling'!$C:$C,$D85,'Attrition Modeling'!$B:$B,AV$76),VLOOKUP($F85+AV$77,$A$7:$C$107,2,FALSE)*VLOOKUP(AV$76,'Attrition Modeling'!$L$15:$N$27,IF(AV$77+$F85&lt;=24,2,3),FALSE)),$C$3)*(1+IF('IP Attrition'!AV142&gt;0,'Attrition Modeling'!$N$9,0)))</f>
        <v>0</v>
      </c>
      <c r="AW85" s="799">
        <f>AV85*(1-IFERROR(IF(AW$77+$F85&lt;=12,SUMIFS('Attrition Modeling'!$D:$D,'Attrition Modeling'!$C:$C,$D85,'Attrition Modeling'!$B:$B,AW$76),VLOOKUP($F85+AW$77,$A$7:$C$107,2,FALSE)*VLOOKUP(AW$76,'Attrition Modeling'!$L$15:$N$27,IF(AW$77+$F85&lt;=24,2,3),FALSE)),$C$3)*(1+IF('IP Attrition'!AW142&gt;0,'Attrition Modeling'!$N$9,0)))</f>
        <v>0</v>
      </c>
      <c r="AX85" s="799">
        <f>AW85*(1-IFERROR(IF(AX$77+$F85&lt;=12,SUMIFS('Attrition Modeling'!$D:$D,'Attrition Modeling'!$C:$C,$D85,'Attrition Modeling'!$B:$B,AX$76),VLOOKUP($F85+AX$77,$A$7:$C$107,2,FALSE)*VLOOKUP(AX$76,'Attrition Modeling'!$L$15:$N$27,IF(AX$77+$F85&lt;=24,2,3),FALSE)),$C$3)*(1+IF('IP Attrition'!AX142&gt;0,'Attrition Modeling'!$N$9,0)))</f>
        <v>0</v>
      </c>
      <c r="AY85" s="799">
        <f>AX85*(1-IFERROR(IF(AY$77+$F85&lt;=12,SUMIFS('Attrition Modeling'!$D:$D,'Attrition Modeling'!$C:$C,$D85,'Attrition Modeling'!$B:$B,AY$76),VLOOKUP($F85+AY$77,$A$7:$C$107,2,FALSE)*VLOOKUP(AY$76,'Attrition Modeling'!$L$15:$N$27,IF(AY$77+$F85&lt;=24,2,3),FALSE)),$C$3)*(1+IF('IP Attrition'!AY142&gt;0,'Attrition Modeling'!$N$9,0)))</f>
        <v>0</v>
      </c>
      <c r="AZ85" s="799">
        <f>AY85*(1-IFERROR(IF(AZ$77+$F85&lt;=12,SUMIFS('Attrition Modeling'!$D:$D,'Attrition Modeling'!$C:$C,$D85,'Attrition Modeling'!$B:$B,AZ$76),VLOOKUP($F85+AZ$77,$A$7:$C$107,2,FALSE)*VLOOKUP(AZ$76,'Attrition Modeling'!$L$15:$N$27,IF(AZ$77+$F85&lt;=24,2,3),FALSE)),$C$3)*(1+IF('IP Attrition'!AZ142&gt;0,'Attrition Modeling'!$N$9,0)))</f>
        <v>0</v>
      </c>
      <c r="BA85" s="799">
        <f>AZ85*(1-IFERROR(IF(BA$77+$F85&lt;=12,SUMIFS('Attrition Modeling'!$D:$D,'Attrition Modeling'!$C:$C,$D85,'Attrition Modeling'!$B:$B,BA$76),VLOOKUP($F85+BA$77,$A$7:$C$107,2,FALSE)*VLOOKUP(BA$76,'Attrition Modeling'!$L$15:$N$27,IF(BA$77+$F85&lt;=24,2,3),FALSE)),$C$3)*(1+IF('IP Attrition'!BA142&gt;0,'Attrition Modeling'!$N$9,0)))</f>
        <v>0</v>
      </c>
      <c r="BB85" s="799">
        <f>BA85*(1-IFERROR(IF(BB$77+$F85&lt;=12,SUMIFS('Attrition Modeling'!$D:$D,'Attrition Modeling'!$C:$C,$D85,'Attrition Modeling'!$B:$B,BB$76),VLOOKUP($F85+BB$77,$A$7:$C$107,2,FALSE)*VLOOKUP(BB$76,'Attrition Modeling'!$L$15:$N$27,IF(BB$77+$F85&lt;=24,2,3),FALSE)),$C$3)*(1+IF('IP Attrition'!BB142&gt;0,'Attrition Modeling'!$N$9,0)))</f>
        <v>0</v>
      </c>
      <c r="BC85" s="799">
        <f>BB85*(1-IFERROR(IF(BC$77+$F85&lt;=12,SUMIFS('Attrition Modeling'!$D:$D,'Attrition Modeling'!$C:$C,$D85,'Attrition Modeling'!$B:$B,BC$76),VLOOKUP($F85+BC$77,$A$7:$C$107,2,FALSE)*VLOOKUP(BC$76,'Attrition Modeling'!$L$15:$N$27,IF(BC$77+$F85&lt;=24,2,3),FALSE)),$C$3)*(1+IF('IP Attrition'!BC142&gt;0,'Attrition Modeling'!$N$9,0)))</f>
        <v>0</v>
      </c>
      <c r="BD85" s="799">
        <f>BC85*(1-IFERROR(IF(BD$77+$F85&lt;=12,SUMIFS('Attrition Modeling'!$D:$D,'Attrition Modeling'!$C:$C,$D85,'Attrition Modeling'!$B:$B,BD$76),VLOOKUP($F85+BD$77,$A$7:$C$107,2,FALSE)*VLOOKUP(BD$76,'Attrition Modeling'!$L$15:$N$27,IF(BD$77+$F85&lt;=24,2,3),FALSE)),$C$3)*(1+IF('IP Attrition'!BD142&gt;0,'Attrition Modeling'!$N$9,0)))</f>
        <v>0</v>
      </c>
      <c r="BE85" s="799">
        <f>BD85*(1-IFERROR(IF(BE$77+$F85&lt;=12,SUMIFS('Attrition Modeling'!$D:$D,'Attrition Modeling'!$C:$C,$D85,'Attrition Modeling'!$B:$B,BE$76),VLOOKUP($F85+BE$77,$A$7:$C$107,2,FALSE)*VLOOKUP(BE$76,'Attrition Modeling'!$L$15:$N$27,IF(BE$77+$F85&lt;=24,2,3),FALSE)),$C$3)*(1+IF('IP Attrition'!BE142&gt;0,'Attrition Modeling'!$N$9,0)))</f>
        <v>0</v>
      </c>
      <c r="BF85" s="799">
        <f>BE85*(1-IFERROR(IF(BF$77+$F85&lt;=12,SUMIFS('Attrition Modeling'!$D:$D,'Attrition Modeling'!$C:$C,$D85,'Attrition Modeling'!$B:$B,BF$76),VLOOKUP($F85+BF$77,$A$7:$C$107,2,FALSE)*VLOOKUP(BF$76,'Attrition Modeling'!$L$15:$N$27,IF(BF$77+$F85&lt;=24,2,3),FALSE)),$C$3)*(1+IF('IP Attrition'!BF142&gt;0,'Attrition Modeling'!$N$9,0)))</f>
        <v>0</v>
      </c>
      <c r="BG85" s="799">
        <f>BF85*(1-IFERROR(IF(BG$77+$F85&lt;=12,SUMIFS('Attrition Modeling'!$D:$D,'Attrition Modeling'!$C:$C,$D85,'Attrition Modeling'!$B:$B,BG$76),VLOOKUP($F85+BG$77,$A$7:$C$107,2,FALSE)*VLOOKUP(BG$76,'Attrition Modeling'!$L$15:$N$27,IF(BG$77+$F85&lt;=24,2,3),FALSE)),$C$3)*(1+IF('IP Attrition'!BG142&gt;0,'Attrition Modeling'!$N$9,0)))</f>
        <v>0</v>
      </c>
      <c r="BH85" s="799">
        <f>BG85*(1-IFERROR(IF(BH$77+$F85&lt;=12,SUMIFS('Attrition Modeling'!$D:$D,'Attrition Modeling'!$C:$C,$D85,'Attrition Modeling'!$B:$B,BH$76),VLOOKUP($F85+BH$77,$A$7:$C$107,2,FALSE)*VLOOKUP(BH$76,'Attrition Modeling'!$L$15:$N$27,IF(BH$77+$F85&lt;=24,2,3),FALSE)),$C$3)*(1+IF('IP Attrition'!BH142&gt;0,'Attrition Modeling'!$N$9,0)))</f>
        <v>0</v>
      </c>
      <c r="BI85" s="799">
        <f>BH85*(1-IFERROR(IF(BI$77+$F85&lt;=12,SUMIFS('Attrition Modeling'!$D:$D,'Attrition Modeling'!$C:$C,$D85,'Attrition Modeling'!$B:$B,BI$76),VLOOKUP($F85+BI$77,$A$7:$C$107,2,FALSE)*VLOOKUP(BI$76,'Attrition Modeling'!$L$15:$N$27,IF(BI$77+$F85&lt;=24,2,3),FALSE)),$C$3)*(1+IF('IP Attrition'!BI142&gt;0,'Attrition Modeling'!$N$9,0)))</f>
        <v>0</v>
      </c>
      <c r="BJ85" s="799">
        <f>BI85*(1-IFERROR(IF(BJ$77+$F85&lt;=12,SUMIFS('Attrition Modeling'!$D:$D,'Attrition Modeling'!$C:$C,$D85,'Attrition Modeling'!$B:$B,BJ$76),VLOOKUP($F85+BJ$77,$A$7:$C$107,2,FALSE)*VLOOKUP(BJ$76,'Attrition Modeling'!$L$15:$N$27,IF(BJ$77+$F85&lt;=24,2,3),FALSE)),$C$3)*(1+IF('IP Attrition'!BJ142&gt;0,'Attrition Modeling'!$N$9,0)))</f>
        <v>0</v>
      </c>
      <c r="BK85" s="799">
        <f>BJ85*(1-IFERROR(IF(BK$77+$F85&lt;=12,SUMIFS('Attrition Modeling'!$D:$D,'Attrition Modeling'!$C:$C,$D85,'Attrition Modeling'!$B:$B,BK$76),VLOOKUP($F85+BK$77,$A$7:$C$107,2,FALSE)*VLOOKUP(BK$76,'Attrition Modeling'!$L$15:$N$27,IF(BK$77+$F85&lt;=24,2,3),FALSE)),$C$3)*(1+IF('IP Attrition'!BK142&gt;0,'Attrition Modeling'!$N$9,0)))</f>
        <v>0</v>
      </c>
      <c r="BL85" s="799">
        <f>BK85*(1-IFERROR(IF(BL$77+$F85&lt;=12,SUMIFS('Attrition Modeling'!$D:$D,'Attrition Modeling'!$C:$C,$D85,'Attrition Modeling'!$B:$B,BL$76),VLOOKUP($F85+BL$77,$A$7:$C$107,2,FALSE)*VLOOKUP(BL$76,'Attrition Modeling'!$L$15:$N$27,IF(BL$77+$F85&lt;=24,2,3),FALSE)),$C$3)*(1+IF('IP Attrition'!BL142&gt;0,'Attrition Modeling'!$N$9,0)))</f>
        <v>0</v>
      </c>
      <c r="BM85" s="799">
        <f>BL85*(1-IFERROR(IF(BM$77+$F85&lt;=12,SUMIFS('Attrition Modeling'!$D:$D,'Attrition Modeling'!$C:$C,$D85,'Attrition Modeling'!$B:$B,BM$76),VLOOKUP($F85+BM$77,$A$7:$C$107,2,FALSE)*VLOOKUP(BM$76,'Attrition Modeling'!$L$15:$N$27,IF(BM$77+$F85&lt;=24,2,3),FALSE)),$C$3)*(1+IF('IP Attrition'!BM142&gt;0,'Attrition Modeling'!$N$9,0)))</f>
        <v>0</v>
      </c>
      <c r="BN85" s="799">
        <f>BM85*(1-IFERROR(IF(BN$77+$F85&lt;=12,SUMIFS('Attrition Modeling'!$D:$D,'Attrition Modeling'!$C:$C,$D85,'Attrition Modeling'!$B:$B,BN$76),VLOOKUP($F85+BN$77,$A$7:$C$107,2,FALSE)*VLOOKUP(BN$76,'Attrition Modeling'!$L$15:$N$27,IF(BN$77+$F85&lt;=24,2,3),FALSE)),$C$3)*(1+IF('IP Attrition'!BN142&gt;0,'Attrition Modeling'!$N$9,0)))</f>
        <v>0</v>
      </c>
      <c r="BO85" s="799">
        <f>BN85*(1-IFERROR(IF(BO$77+$F85&lt;=12,SUMIFS('Attrition Modeling'!$D:$D,'Attrition Modeling'!$C:$C,$D85,'Attrition Modeling'!$B:$B,BO$76),VLOOKUP($F85+BO$77,$A$7:$C$107,2,FALSE)*VLOOKUP(BO$76,'Attrition Modeling'!$L$15:$N$27,IF(BO$77+$F85&lt;=24,2,3),FALSE)),$C$3)*(1+IF('IP Attrition'!BO142&gt;0,'Attrition Modeling'!$N$9,0)))</f>
        <v>0</v>
      </c>
      <c r="BP85" s="799">
        <f>BO85*(1-IFERROR(IF(BP$77+$F85&lt;=12,SUMIFS('Attrition Modeling'!$D:$D,'Attrition Modeling'!$C:$C,$D85,'Attrition Modeling'!$B:$B,BP$76),VLOOKUP($F85+BP$77,$A$7:$C$107,2,FALSE)*VLOOKUP(BP$76,'Attrition Modeling'!$L$15:$N$27,IF(BP$77+$F85&lt;=24,2,3),FALSE)),$C$3)*(1+IF('IP Attrition'!BP142&gt;0,'Attrition Modeling'!$N$9,0)))</f>
        <v>0</v>
      </c>
      <c r="BQ85" s="799">
        <f>BP85*(1-IFERROR(IF(BQ$77+$F85&lt;=12,SUMIFS('Attrition Modeling'!$D:$D,'Attrition Modeling'!$C:$C,$D85,'Attrition Modeling'!$B:$B,BQ$76),VLOOKUP($F85+BQ$77,$A$7:$C$107,2,FALSE)*VLOOKUP(BQ$76,'Attrition Modeling'!$L$15:$N$27,IF(BQ$77+$F85&lt;=24,2,3),FALSE)),$C$3)*(1+IF('IP Attrition'!BQ142&gt;0,'Attrition Modeling'!$N$9,0)))</f>
        <v>0</v>
      </c>
      <c r="BR85" s="799">
        <f>BQ85*(1-IFERROR(IF(BR$77+$F85&lt;=12,SUMIFS('Attrition Modeling'!$D:$D,'Attrition Modeling'!$C:$C,$D85,'Attrition Modeling'!$B:$B,BR$76),VLOOKUP($F85+BR$77,$A$7:$C$107,2,FALSE)*VLOOKUP(BR$76,'Attrition Modeling'!$L$15:$N$27,IF(BR$77+$F85&lt;=24,2,3),FALSE)),$C$3)*(1+IF('IP Attrition'!BR142&gt;0,'Attrition Modeling'!$N$9,0)))</f>
        <v>0</v>
      </c>
      <c r="BS85" s="799">
        <f>BR85*(1-IFERROR(IF(BS$77+$F85&lt;=12,SUMIFS('Attrition Modeling'!$D:$D,'Attrition Modeling'!$C:$C,$D85,'Attrition Modeling'!$B:$B,BS$76),VLOOKUP($F85+BS$77,$A$7:$C$107,2,FALSE)*VLOOKUP(BS$76,'Attrition Modeling'!$L$15:$N$27,IF(BS$77+$F85&lt;=24,2,3),FALSE)),$C$3)*(1+IF('IP Attrition'!BS142&gt;0,'Attrition Modeling'!$N$9,0)))</f>
        <v>0</v>
      </c>
      <c r="BT85" s="799" t="e">
        <f>BS85*(1-IFERROR(IF(BT$77+$F85&lt;=12,SUMIFS('Attrition Modeling'!$D:$D,'Attrition Modeling'!$C:$C,$D85,'Attrition Modeling'!$B:$B,BT$76),VLOOKUP($F85+BT$77,$A$7:$C$107,2,FALSE)*VLOOKUP(BT$76,'Attrition Modeling'!$L$15:$N$27,IF(BT$77+$F85&lt;=24,2,3),FALSE)),$C$3)*(1+IF('IP Attrition'!BT142&gt;0,'Attrition Modeling'!$N$9,0)))</f>
        <v>#REF!</v>
      </c>
      <c r="BU85" s="799" t="e">
        <f>BT85*(1-IFERROR(IF(BU$77+$F85&lt;=12,SUMIFS('Attrition Modeling'!$D:$D,'Attrition Modeling'!$C:$C,$D85,'Attrition Modeling'!$B:$B,BU$76),VLOOKUP($F85+BU$77,$A$7:$C$107,2,FALSE)*VLOOKUP(BU$76,'Attrition Modeling'!$L$15:$N$27,IF(BU$77+$F85&lt;=24,2,3),FALSE)),$C$3)*(1+IF('IP Attrition'!BU142&gt;0,'Attrition Modeling'!$N$9,0)))</f>
        <v>#REF!</v>
      </c>
    </row>
    <row r="86" spans="1:73" ht="14.25" customHeight="1" x14ac:dyDescent="0.2">
      <c r="A86" s="9">
        <v>78</v>
      </c>
      <c r="B86" s="25">
        <f>MAX('Attrition Modeling'!H82,$C$3)*(1-Summary!$C$20)</f>
        <v>2.0113990114176375E-2</v>
      </c>
      <c r="C86" s="24" t="e">
        <f t="shared" si="2"/>
        <v>#DIV/0!</v>
      </c>
      <c r="D86" s="11">
        <f>'IP Attrition'!D78</f>
        <v>-8</v>
      </c>
      <c r="E86" s="25">
        <f>'IP Attrition'!E78</f>
        <v>7.2136667938139415E-2</v>
      </c>
      <c r="F86" s="11">
        <f t="shared" si="8"/>
        <v>8</v>
      </c>
      <c r="G86" s="799">
        <f>Summary!$C$24*$E86</f>
        <v>0</v>
      </c>
      <c r="H86" s="799">
        <f>G86*(1-IFERROR(IF(H$77+$F86&lt;=12,SUMIFS('Attrition Modeling'!$D:$D,'Attrition Modeling'!$C:$C,$D86,'Attrition Modeling'!$B:$B,H$76),VLOOKUP($F86+H$77,$A$7:$C$107,2,FALSE)*VLOOKUP(H$76,'Attrition Modeling'!$L$15:$N$27,IF(H$77+$F86&lt;=24,2,3),FALSE)),$C$3)*(1+IF('IP Attrition'!H143&gt;0,'Attrition Modeling'!$N$9,0)))</f>
        <v>0</v>
      </c>
      <c r="I86" s="799">
        <f>H86*(1-IFERROR(IF(I$77+$F86&lt;=12,SUMIFS('Attrition Modeling'!$D:$D,'Attrition Modeling'!$C:$C,$D86,'Attrition Modeling'!$B:$B,I$76),VLOOKUP($F86+I$77,$A$7:$C$107,2,FALSE)*VLOOKUP(I$76,'Attrition Modeling'!$L$15:$N$27,IF(I$77+$F86&lt;=24,2,3),FALSE)),$C$3)*(1+IF('IP Attrition'!I143&gt;0,'Attrition Modeling'!$N$9,0)))</f>
        <v>0</v>
      </c>
      <c r="J86" s="799">
        <f>I86*(1-IFERROR(IF(J$77+$F86&lt;=12,SUMIFS('Attrition Modeling'!$D:$D,'Attrition Modeling'!$C:$C,$D86,'Attrition Modeling'!$B:$B,J$76),VLOOKUP($F86+J$77,$A$7:$C$107,2,FALSE)*VLOOKUP(J$76,'Attrition Modeling'!$L$15:$N$27,IF(J$77+$F86&lt;=24,2,3),FALSE)),$C$3)*(1+IF('IP Attrition'!J143&gt;0,'Attrition Modeling'!$N$9,0)))</f>
        <v>0</v>
      </c>
      <c r="K86" s="799">
        <f>J86*(1-IFERROR(IF(K$77+$F86&lt;=12,SUMIFS('Attrition Modeling'!$D:$D,'Attrition Modeling'!$C:$C,$D86,'Attrition Modeling'!$B:$B,K$76),VLOOKUP($F86+K$77,$A$7:$C$107,2,FALSE)*VLOOKUP(K$76,'Attrition Modeling'!$L$15:$N$27,IF(K$77+$F86&lt;=24,2,3),FALSE)),$C$3)*(1+IF('IP Attrition'!K143&gt;0,'Attrition Modeling'!$N$9,0)))</f>
        <v>0</v>
      </c>
      <c r="L86" s="799">
        <f>K86*(1-IFERROR(IF(L$77+$F86&lt;=12,SUMIFS('Attrition Modeling'!$D:$D,'Attrition Modeling'!$C:$C,$D86,'Attrition Modeling'!$B:$B,L$76),VLOOKUP($F86+L$77,$A$7:$C$107,2,FALSE)*VLOOKUP(L$76,'Attrition Modeling'!$L$15:$N$27,IF(L$77+$F86&lt;=24,2,3),FALSE)),$C$3)*(1+IF('IP Attrition'!L143&gt;0,'Attrition Modeling'!$N$9,0)))</f>
        <v>0</v>
      </c>
      <c r="M86" s="799">
        <f>L86*(1-IFERROR(IF(M$77+$F86&lt;=12,SUMIFS('Attrition Modeling'!$D:$D,'Attrition Modeling'!$C:$C,$D86,'Attrition Modeling'!$B:$B,M$76),VLOOKUP($F86+M$77,$A$7:$C$107,2,FALSE)*VLOOKUP(M$76,'Attrition Modeling'!$L$15:$N$27,IF(M$77+$F86&lt;=24,2,3),FALSE)),$C$3)*(1+IF('IP Attrition'!M143&gt;0,'Attrition Modeling'!$N$9,0)))</f>
        <v>0</v>
      </c>
      <c r="N86" s="799">
        <f>M86*(1-IFERROR(IF(N$77+$F86&lt;=12,SUMIFS('Attrition Modeling'!$D:$D,'Attrition Modeling'!$C:$C,$D86,'Attrition Modeling'!$B:$B,N$76),VLOOKUP($F86+N$77,$A$7:$C$107,2,FALSE)*VLOOKUP(N$76,'Attrition Modeling'!$L$15:$N$27,IF(N$77+$F86&lt;=24,2,3),FALSE)),$C$3)*(1+IF('IP Attrition'!N143&gt;0,'Attrition Modeling'!$N$9,0)))</f>
        <v>0</v>
      </c>
      <c r="O86" s="799">
        <f>N86*(1-IFERROR(IF(O$77+$F86&lt;=12,SUMIFS('Attrition Modeling'!$D:$D,'Attrition Modeling'!$C:$C,$D86,'Attrition Modeling'!$B:$B,O$76),VLOOKUP($F86+O$77,$A$7:$C$107,2,FALSE)*VLOOKUP(O$76,'Attrition Modeling'!$L$15:$N$27,IF(O$77+$F86&lt;=24,2,3),FALSE)),$C$3)*(1+IF('IP Attrition'!O143&gt;0,'Attrition Modeling'!$N$9,0)))</f>
        <v>0</v>
      </c>
      <c r="P86" s="799">
        <f>O86*(1-IFERROR(IF(P$77+$F86&lt;=12,SUMIFS('Attrition Modeling'!$D:$D,'Attrition Modeling'!$C:$C,$D86,'Attrition Modeling'!$B:$B,P$76),VLOOKUP($F86+P$77,$A$7:$C$107,2,FALSE)*VLOOKUP(P$76,'Attrition Modeling'!$L$15:$N$27,IF(P$77+$F86&lt;=24,2,3),FALSE)),$C$3)*(1+IF('IP Attrition'!P143&gt;0,'Attrition Modeling'!$N$9,0)))</f>
        <v>0</v>
      </c>
      <c r="Q86" s="799">
        <f>P86*(1-IFERROR(IF(Q$77+$F86&lt;=12,SUMIFS('Attrition Modeling'!$D:$D,'Attrition Modeling'!$C:$C,$D86,'Attrition Modeling'!$B:$B,Q$76),VLOOKUP($F86+Q$77,$A$7:$C$107,2,FALSE)*VLOOKUP(Q$76,'Attrition Modeling'!$L$15:$N$27,IF(Q$77+$F86&lt;=24,2,3),FALSE)),$C$3)*(1+IF('IP Attrition'!Q143&gt;0,'Attrition Modeling'!$N$9,0)))</f>
        <v>0</v>
      </c>
      <c r="R86" s="799">
        <f>Q86*(1-IFERROR(IF(R$77+$F86&lt;=12,SUMIFS('Attrition Modeling'!$D:$D,'Attrition Modeling'!$C:$C,$D86,'Attrition Modeling'!$B:$B,R$76),VLOOKUP($F86+R$77,$A$7:$C$107,2,FALSE)*VLOOKUP(R$76,'Attrition Modeling'!$L$15:$N$27,IF(R$77+$F86&lt;=24,2,3),FALSE)),$C$3)*(1+IF('IP Attrition'!R143&gt;0,'Attrition Modeling'!$N$9,0)))</f>
        <v>0</v>
      </c>
      <c r="S86" s="799">
        <f>R86*(1-IFERROR(IF(S$77+$F86&lt;=12,SUMIFS('Attrition Modeling'!$D:$D,'Attrition Modeling'!$C:$C,$D86,'Attrition Modeling'!$B:$B,S$76),VLOOKUP($F86+S$77,$A$7:$C$107,2,FALSE)*VLOOKUP(S$76,'Attrition Modeling'!$L$15:$N$27,IF(S$77+$F86&lt;=24,2,3),FALSE)),$C$3)*(1+IF('IP Attrition'!S143&gt;0,'Attrition Modeling'!$N$9,0)))</f>
        <v>0</v>
      </c>
      <c r="T86" s="799">
        <f>S86*(1-IFERROR(IF(T$77+$F86&lt;=12,SUMIFS('Attrition Modeling'!$D:$D,'Attrition Modeling'!$C:$C,$D86,'Attrition Modeling'!$B:$B,T$76),VLOOKUP($F86+T$77,$A$7:$C$107,2,FALSE)*VLOOKUP(T$76,'Attrition Modeling'!$L$15:$N$27,IF(T$77+$F86&lt;=24,2,3),FALSE)),$C$3)*(1+IF('IP Attrition'!T143&gt;0,'Attrition Modeling'!$N$9,0)))</f>
        <v>0</v>
      </c>
      <c r="U86" s="799">
        <f>T86*(1-IFERROR(IF(U$77+$F86&lt;=12,SUMIFS('Attrition Modeling'!$D:$D,'Attrition Modeling'!$C:$C,$D86,'Attrition Modeling'!$B:$B,U$76),VLOOKUP($F86+U$77,$A$7:$C$107,2,FALSE)*VLOOKUP(U$76,'Attrition Modeling'!$L$15:$N$27,IF(U$77+$F86&lt;=24,2,3),FALSE)),$C$3)*(1+IF('IP Attrition'!U143&gt;0,'Attrition Modeling'!$N$9,0)))</f>
        <v>0</v>
      </c>
      <c r="V86" s="799">
        <f>U86*(1-IFERROR(IF(V$77+$F86&lt;=12,SUMIFS('Attrition Modeling'!$D:$D,'Attrition Modeling'!$C:$C,$D86,'Attrition Modeling'!$B:$B,V$76),VLOOKUP($F86+V$77,$A$7:$C$107,2,FALSE)*VLOOKUP(V$76,'Attrition Modeling'!$L$15:$N$27,IF(V$77+$F86&lt;=24,2,3),FALSE)),$C$3)*(1+IF('IP Attrition'!V143&gt;0,'Attrition Modeling'!$N$9,0)))</f>
        <v>0</v>
      </c>
      <c r="W86" s="799">
        <f>V86*(1-IFERROR(IF(W$77+$F86&lt;=12,SUMIFS('Attrition Modeling'!$D:$D,'Attrition Modeling'!$C:$C,$D86,'Attrition Modeling'!$B:$B,W$76),VLOOKUP($F86+W$77,$A$7:$C$107,2,FALSE)*VLOOKUP(W$76,'Attrition Modeling'!$L$15:$N$27,IF(W$77+$F86&lt;=24,2,3),FALSE)),$C$3)*(1+IF('IP Attrition'!W143&gt;0,'Attrition Modeling'!$N$9,0)))</f>
        <v>0</v>
      </c>
      <c r="X86" s="799">
        <f>W86*(1-IFERROR(IF(X$77+$F86&lt;=12,SUMIFS('Attrition Modeling'!$D:$D,'Attrition Modeling'!$C:$C,$D86,'Attrition Modeling'!$B:$B,X$76),VLOOKUP($F86+X$77,$A$7:$C$107,2,FALSE)*VLOOKUP(X$76,'Attrition Modeling'!$L$15:$N$27,IF(X$77+$F86&lt;=24,2,3),FALSE)),$C$3)*(1+IF('IP Attrition'!X143&gt;0,'Attrition Modeling'!$N$9,0)))</f>
        <v>0</v>
      </c>
      <c r="Y86" s="799">
        <f>X86*(1-IFERROR(IF(Y$77+$F86&lt;=12,SUMIFS('Attrition Modeling'!$D:$D,'Attrition Modeling'!$C:$C,$D86,'Attrition Modeling'!$B:$B,Y$76),VLOOKUP($F86+Y$77,$A$7:$C$107,2,FALSE)*VLOOKUP(Y$76,'Attrition Modeling'!$L$15:$N$27,IF(Y$77+$F86&lt;=24,2,3),FALSE)),$C$3)*(1+IF('IP Attrition'!Y143&gt;0,'Attrition Modeling'!$N$9,0)))</f>
        <v>0</v>
      </c>
      <c r="Z86" s="799">
        <f>Y86*(1-IFERROR(IF(Z$77+$F86&lt;=12,SUMIFS('Attrition Modeling'!$D:$D,'Attrition Modeling'!$C:$C,$D86,'Attrition Modeling'!$B:$B,Z$76),VLOOKUP($F86+Z$77,$A$7:$C$107,2,FALSE)*VLOOKUP(Z$76,'Attrition Modeling'!$L$15:$N$27,IF(Z$77+$F86&lt;=24,2,3),FALSE)),$C$3)*(1+IF('IP Attrition'!Z143&gt;0,'Attrition Modeling'!$N$9,0)))</f>
        <v>0</v>
      </c>
      <c r="AA86" s="799">
        <f>Z86*(1-IFERROR(IF(AA$77+$F86&lt;=12,SUMIFS('Attrition Modeling'!$D:$D,'Attrition Modeling'!$C:$C,$D86,'Attrition Modeling'!$B:$B,AA$76),VLOOKUP($F86+AA$77,$A$7:$C$107,2,FALSE)*VLOOKUP(AA$76,'Attrition Modeling'!$L$15:$N$27,IF(AA$77+$F86&lt;=24,2,3),FALSE)),$C$3)*(1+IF('IP Attrition'!AA143&gt;0,'Attrition Modeling'!$N$9,0)))</f>
        <v>0</v>
      </c>
      <c r="AB86" s="799">
        <f>AA86*(1-IFERROR(IF(AB$77+$F86&lt;=12,SUMIFS('Attrition Modeling'!$D:$D,'Attrition Modeling'!$C:$C,$D86,'Attrition Modeling'!$B:$B,AB$76),VLOOKUP($F86+AB$77,$A$7:$C$107,2,FALSE)*VLOOKUP(AB$76,'Attrition Modeling'!$L$15:$N$27,IF(AB$77+$F86&lt;=24,2,3),FALSE)),$C$3)*(1+IF('IP Attrition'!AB143&gt;0,'Attrition Modeling'!$N$9,0)))</f>
        <v>0</v>
      </c>
      <c r="AC86" s="799">
        <f>AB86*(1-IFERROR(IF(AC$77+$F86&lt;=12,SUMIFS('Attrition Modeling'!$D:$D,'Attrition Modeling'!$C:$C,$D86,'Attrition Modeling'!$B:$B,AC$76),VLOOKUP($F86+AC$77,$A$7:$C$107,2,FALSE)*VLOOKUP(AC$76,'Attrition Modeling'!$L$15:$N$27,IF(AC$77+$F86&lt;=24,2,3),FALSE)),$C$3)*(1+IF('IP Attrition'!AC143&gt;0,'Attrition Modeling'!$N$9,0)))</f>
        <v>0</v>
      </c>
      <c r="AD86" s="799">
        <f>AC86*(1-IFERROR(IF(AD$77+$F86&lt;=12,SUMIFS('Attrition Modeling'!$D:$D,'Attrition Modeling'!$C:$C,$D86,'Attrition Modeling'!$B:$B,AD$76),VLOOKUP($F86+AD$77,$A$7:$C$107,2,FALSE)*VLOOKUP(AD$76,'Attrition Modeling'!$L$15:$N$27,IF(AD$77+$F86&lt;=24,2,3),FALSE)),$C$3)*(1+IF('IP Attrition'!AD143&gt;0,'Attrition Modeling'!$N$9,0)))</f>
        <v>0</v>
      </c>
      <c r="AE86" s="799">
        <f>AD86*(1-IFERROR(IF(AE$77+$F86&lt;=12,SUMIFS('Attrition Modeling'!$D:$D,'Attrition Modeling'!$C:$C,$D86,'Attrition Modeling'!$B:$B,AE$76),VLOOKUP($F86+AE$77,$A$7:$C$107,2,FALSE)*VLOOKUP(AE$76,'Attrition Modeling'!$L$15:$N$27,IF(AE$77+$F86&lt;=24,2,3),FALSE)),$C$3)*(1+IF('IP Attrition'!AE143&gt;0,'Attrition Modeling'!$N$9,0)))</f>
        <v>0</v>
      </c>
      <c r="AF86" s="799">
        <f>AE86*(1-IFERROR(IF(AF$77+$F86&lt;=12,SUMIFS('Attrition Modeling'!$D:$D,'Attrition Modeling'!$C:$C,$D86,'Attrition Modeling'!$B:$B,AF$76),VLOOKUP($F86+AF$77,$A$7:$C$107,2,FALSE)*VLOOKUP(AF$76,'Attrition Modeling'!$L$15:$N$27,IF(AF$77+$F86&lt;=24,2,3),FALSE)),$C$3)*(1+IF('IP Attrition'!AF143&gt;0,'Attrition Modeling'!$N$9,0)))</f>
        <v>0</v>
      </c>
      <c r="AG86" s="799">
        <f>AF86*(1-IFERROR(IF(AG$77+$F86&lt;=12,SUMIFS('Attrition Modeling'!$D:$D,'Attrition Modeling'!$C:$C,$D86,'Attrition Modeling'!$B:$B,AG$76),VLOOKUP($F86+AG$77,$A$7:$C$107,2,FALSE)*VLOOKUP(AG$76,'Attrition Modeling'!$L$15:$N$27,IF(AG$77+$F86&lt;=24,2,3),FALSE)),$C$3)*(1+IF('IP Attrition'!AG143&gt;0,'Attrition Modeling'!$N$9,0)))</f>
        <v>0</v>
      </c>
      <c r="AH86" s="799">
        <f>AG86*(1-IFERROR(IF(AH$77+$F86&lt;=12,SUMIFS('Attrition Modeling'!$D:$D,'Attrition Modeling'!$C:$C,$D86,'Attrition Modeling'!$B:$B,AH$76),VLOOKUP($F86+AH$77,$A$7:$C$107,2,FALSE)*VLOOKUP(AH$76,'Attrition Modeling'!$L$15:$N$27,IF(AH$77+$F86&lt;=24,2,3),FALSE)),$C$3)*(1+IF('IP Attrition'!AH143&gt;0,'Attrition Modeling'!$N$9,0)))</f>
        <v>0</v>
      </c>
      <c r="AI86" s="799">
        <f>AH86*(1-IFERROR(IF(AI$77+$F86&lt;=12,SUMIFS('Attrition Modeling'!$D:$D,'Attrition Modeling'!$C:$C,$D86,'Attrition Modeling'!$B:$B,AI$76),VLOOKUP($F86+AI$77,$A$7:$C$107,2,FALSE)*VLOOKUP(AI$76,'Attrition Modeling'!$L$15:$N$27,IF(AI$77+$F86&lt;=24,2,3),FALSE)),$C$3)*(1+IF('IP Attrition'!AI143&gt;0,'Attrition Modeling'!$N$9,0)))</f>
        <v>0</v>
      </c>
      <c r="AJ86" s="799">
        <f>AI86*(1-IFERROR(IF(AJ$77+$F86&lt;=12,SUMIFS('Attrition Modeling'!$D:$D,'Attrition Modeling'!$C:$C,$D86,'Attrition Modeling'!$B:$B,AJ$76),VLOOKUP($F86+AJ$77,$A$7:$C$107,2,FALSE)*VLOOKUP(AJ$76,'Attrition Modeling'!$L$15:$N$27,IF(AJ$77+$F86&lt;=24,2,3),FALSE)),$C$3)*(1+IF('IP Attrition'!AJ143&gt;0,'Attrition Modeling'!$N$9,0)))</f>
        <v>0</v>
      </c>
      <c r="AK86" s="799">
        <f>AJ86*(1-IFERROR(IF(AK$77+$F86&lt;=12,SUMIFS('Attrition Modeling'!$D:$D,'Attrition Modeling'!$C:$C,$D86,'Attrition Modeling'!$B:$B,AK$76),VLOOKUP($F86+AK$77,$A$7:$C$107,2,FALSE)*VLOOKUP(AK$76,'Attrition Modeling'!$L$15:$N$27,IF(AK$77+$F86&lt;=24,2,3),FALSE)),$C$3)*(1+IF('IP Attrition'!AK143&gt;0,'Attrition Modeling'!$N$9,0)))</f>
        <v>0</v>
      </c>
      <c r="AL86" s="799">
        <f>AK86*(1-IFERROR(IF(AL$77+$F86&lt;=12,SUMIFS('Attrition Modeling'!$D:$D,'Attrition Modeling'!$C:$C,$D86,'Attrition Modeling'!$B:$B,AL$76),VLOOKUP($F86+AL$77,$A$7:$C$107,2,FALSE)*VLOOKUP(AL$76,'Attrition Modeling'!$L$15:$N$27,IF(AL$77+$F86&lt;=24,2,3),FALSE)),$C$3)*(1+IF('IP Attrition'!AL143&gt;0,'Attrition Modeling'!$N$9,0)))</f>
        <v>0</v>
      </c>
      <c r="AM86" s="799">
        <f>AL86*(1-IFERROR(IF(AM$77+$F86&lt;=12,SUMIFS('Attrition Modeling'!$D:$D,'Attrition Modeling'!$C:$C,$D86,'Attrition Modeling'!$B:$B,AM$76),VLOOKUP($F86+AM$77,$A$7:$C$107,2,FALSE)*VLOOKUP(AM$76,'Attrition Modeling'!$L$15:$N$27,IF(AM$77+$F86&lt;=24,2,3),FALSE)),$C$3)*(1+IF('IP Attrition'!AM143&gt;0,'Attrition Modeling'!$N$9,0)))</f>
        <v>0</v>
      </c>
      <c r="AN86" s="799">
        <f>AM86*(1-IFERROR(IF(AN$77+$F86&lt;=12,SUMIFS('Attrition Modeling'!$D:$D,'Attrition Modeling'!$C:$C,$D86,'Attrition Modeling'!$B:$B,AN$76),VLOOKUP($F86+AN$77,$A$7:$C$107,2,FALSE)*VLOOKUP(AN$76,'Attrition Modeling'!$L$15:$N$27,IF(AN$77+$F86&lt;=24,2,3),FALSE)),$C$3)*(1+IF('IP Attrition'!AN143&gt;0,'Attrition Modeling'!$N$9,0)))</f>
        <v>0</v>
      </c>
      <c r="AO86" s="799">
        <f>AN86*(1-IFERROR(IF(AO$77+$F86&lt;=12,SUMIFS('Attrition Modeling'!$D:$D,'Attrition Modeling'!$C:$C,$D86,'Attrition Modeling'!$B:$B,AO$76),VLOOKUP($F86+AO$77,$A$7:$C$107,2,FALSE)*VLOOKUP(AO$76,'Attrition Modeling'!$L$15:$N$27,IF(AO$77+$F86&lt;=24,2,3),FALSE)),$C$3)*(1+IF('IP Attrition'!AO143&gt;0,'Attrition Modeling'!$N$9,0)))</f>
        <v>0</v>
      </c>
      <c r="AP86" s="799">
        <f>AO86*(1-IFERROR(IF(AP$77+$F86&lt;=12,SUMIFS('Attrition Modeling'!$D:$D,'Attrition Modeling'!$C:$C,$D86,'Attrition Modeling'!$B:$B,AP$76),VLOOKUP($F86+AP$77,$A$7:$C$107,2,FALSE)*VLOOKUP(AP$76,'Attrition Modeling'!$L$15:$N$27,IF(AP$77+$F86&lt;=24,2,3),FALSE)),$C$3)*(1+IF('IP Attrition'!AP143&gt;0,'Attrition Modeling'!$N$9,0)))</f>
        <v>0</v>
      </c>
      <c r="AQ86" s="799">
        <f>AP86*(1-IFERROR(IF(AQ$77+$F86&lt;=12,SUMIFS('Attrition Modeling'!$D:$D,'Attrition Modeling'!$C:$C,$D86,'Attrition Modeling'!$B:$B,AQ$76),VLOOKUP($F86+AQ$77,$A$7:$C$107,2,FALSE)*VLOOKUP(AQ$76,'Attrition Modeling'!$L$15:$N$27,IF(AQ$77+$F86&lt;=24,2,3),FALSE)),$C$3)*(1+IF('IP Attrition'!AQ143&gt;0,'Attrition Modeling'!$N$9,0)))</f>
        <v>0</v>
      </c>
      <c r="AR86" s="799">
        <f>AQ86*(1-IFERROR(IF(AR$77+$F86&lt;=12,SUMIFS('Attrition Modeling'!$D:$D,'Attrition Modeling'!$C:$C,$D86,'Attrition Modeling'!$B:$B,AR$76),VLOOKUP($F86+AR$77,$A$7:$C$107,2,FALSE)*VLOOKUP(AR$76,'Attrition Modeling'!$L$15:$N$27,IF(AR$77+$F86&lt;=24,2,3),FALSE)),$C$3)*(1+IF('IP Attrition'!AR143&gt;0,'Attrition Modeling'!$N$9,0)))</f>
        <v>0</v>
      </c>
      <c r="AS86" s="799">
        <f>AR86*(1-IFERROR(IF(AS$77+$F86&lt;=12,SUMIFS('Attrition Modeling'!$D:$D,'Attrition Modeling'!$C:$C,$D86,'Attrition Modeling'!$B:$B,AS$76),VLOOKUP($F86+AS$77,$A$7:$C$107,2,FALSE)*VLOOKUP(AS$76,'Attrition Modeling'!$L$15:$N$27,IF(AS$77+$F86&lt;=24,2,3),FALSE)),$C$3)*(1+IF('IP Attrition'!AS143&gt;0,'Attrition Modeling'!$N$9,0)))</f>
        <v>0</v>
      </c>
      <c r="AT86" s="799">
        <f>AS86*(1-IFERROR(IF(AT$77+$F86&lt;=12,SUMIFS('Attrition Modeling'!$D:$D,'Attrition Modeling'!$C:$C,$D86,'Attrition Modeling'!$B:$B,AT$76),VLOOKUP($F86+AT$77,$A$7:$C$107,2,FALSE)*VLOOKUP(AT$76,'Attrition Modeling'!$L$15:$N$27,IF(AT$77+$F86&lt;=24,2,3),FALSE)),$C$3)*(1+IF('IP Attrition'!AT143&gt;0,'Attrition Modeling'!$N$9,0)))</f>
        <v>0</v>
      </c>
      <c r="AU86" s="799">
        <f>AT86*(1-IFERROR(IF(AU$77+$F86&lt;=12,SUMIFS('Attrition Modeling'!$D:$D,'Attrition Modeling'!$C:$C,$D86,'Attrition Modeling'!$B:$B,AU$76),VLOOKUP($F86+AU$77,$A$7:$C$107,2,FALSE)*VLOOKUP(AU$76,'Attrition Modeling'!$L$15:$N$27,IF(AU$77+$F86&lt;=24,2,3),FALSE)),$C$3)*(1+IF('IP Attrition'!AU143&gt;0,'Attrition Modeling'!$N$9,0)))</f>
        <v>0</v>
      </c>
      <c r="AV86" s="799">
        <f>AU86*(1-IFERROR(IF(AV$77+$F86&lt;=12,SUMIFS('Attrition Modeling'!$D:$D,'Attrition Modeling'!$C:$C,$D86,'Attrition Modeling'!$B:$B,AV$76),VLOOKUP($F86+AV$77,$A$7:$C$107,2,FALSE)*VLOOKUP(AV$76,'Attrition Modeling'!$L$15:$N$27,IF(AV$77+$F86&lt;=24,2,3),FALSE)),$C$3)*(1+IF('IP Attrition'!AV143&gt;0,'Attrition Modeling'!$N$9,0)))</f>
        <v>0</v>
      </c>
      <c r="AW86" s="799">
        <f>AV86*(1-IFERROR(IF(AW$77+$F86&lt;=12,SUMIFS('Attrition Modeling'!$D:$D,'Attrition Modeling'!$C:$C,$D86,'Attrition Modeling'!$B:$B,AW$76),VLOOKUP($F86+AW$77,$A$7:$C$107,2,FALSE)*VLOOKUP(AW$76,'Attrition Modeling'!$L$15:$N$27,IF(AW$77+$F86&lt;=24,2,3),FALSE)),$C$3)*(1+IF('IP Attrition'!AW143&gt;0,'Attrition Modeling'!$N$9,0)))</f>
        <v>0</v>
      </c>
      <c r="AX86" s="799">
        <f>AW86*(1-IFERROR(IF(AX$77+$F86&lt;=12,SUMIFS('Attrition Modeling'!$D:$D,'Attrition Modeling'!$C:$C,$D86,'Attrition Modeling'!$B:$B,AX$76),VLOOKUP($F86+AX$77,$A$7:$C$107,2,FALSE)*VLOOKUP(AX$76,'Attrition Modeling'!$L$15:$N$27,IF(AX$77+$F86&lt;=24,2,3),FALSE)),$C$3)*(1+IF('IP Attrition'!AX143&gt;0,'Attrition Modeling'!$N$9,0)))</f>
        <v>0</v>
      </c>
      <c r="AY86" s="799">
        <f>AX86*(1-IFERROR(IF(AY$77+$F86&lt;=12,SUMIFS('Attrition Modeling'!$D:$D,'Attrition Modeling'!$C:$C,$D86,'Attrition Modeling'!$B:$B,AY$76),VLOOKUP($F86+AY$77,$A$7:$C$107,2,FALSE)*VLOOKUP(AY$76,'Attrition Modeling'!$L$15:$N$27,IF(AY$77+$F86&lt;=24,2,3),FALSE)),$C$3)*(1+IF('IP Attrition'!AY143&gt;0,'Attrition Modeling'!$N$9,0)))</f>
        <v>0</v>
      </c>
      <c r="AZ86" s="799">
        <f>AY86*(1-IFERROR(IF(AZ$77+$F86&lt;=12,SUMIFS('Attrition Modeling'!$D:$D,'Attrition Modeling'!$C:$C,$D86,'Attrition Modeling'!$B:$B,AZ$76),VLOOKUP($F86+AZ$77,$A$7:$C$107,2,FALSE)*VLOOKUP(AZ$76,'Attrition Modeling'!$L$15:$N$27,IF(AZ$77+$F86&lt;=24,2,3),FALSE)),$C$3)*(1+IF('IP Attrition'!AZ143&gt;0,'Attrition Modeling'!$N$9,0)))</f>
        <v>0</v>
      </c>
      <c r="BA86" s="799">
        <f>AZ86*(1-IFERROR(IF(BA$77+$F86&lt;=12,SUMIFS('Attrition Modeling'!$D:$D,'Attrition Modeling'!$C:$C,$D86,'Attrition Modeling'!$B:$B,BA$76),VLOOKUP($F86+BA$77,$A$7:$C$107,2,FALSE)*VLOOKUP(BA$76,'Attrition Modeling'!$L$15:$N$27,IF(BA$77+$F86&lt;=24,2,3),FALSE)),$C$3)*(1+IF('IP Attrition'!BA143&gt;0,'Attrition Modeling'!$N$9,0)))</f>
        <v>0</v>
      </c>
      <c r="BB86" s="799">
        <f>BA86*(1-IFERROR(IF(BB$77+$F86&lt;=12,SUMIFS('Attrition Modeling'!$D:$D,'Attrition Modeling'!$C:$C,$D86,'Attrition Modeling'!$B:$B,BB$76),VLOOKUP($F86+BB$77,$A$7:$C$107,2,FALSE)*VLOOKUP(BB$76,'Attrition Modeling'!$L$15:$N$27,IF(BB$77+$F86&lt;=24,2,3),FALSE)),$C$3)*(1+IF('IP Attrition'!BB143&gt;0,'Attrition Modeling'!$N$9,0)))</f>
        <v>0</v>
      </c>
      <c r="BC86" s="799">
        <f>BB86*(1-IFERROR(IF(BC$77+$F86&lt;=12,SUMIFS('Attrition Modeling'!$D:$D,'Attrition Modeling'!$C:$C,$D86,'Attrition Modeling'!$B:$B,BC$76),VLOOKUP($F86+BC$77,$A$7:$C$107,2,FALSE)*VLOOKUP(BC$76,'Attrition Modeling'!$L$15:$N$27,IF(BC$77+$F86&lt;=24,2,3),FALSE)),$C$3)*(1+IF('IP Attrition'!BC143&gt;0,'Attrition Modeling'!$N$9,0)))</f>
        <v>0</v>
      </c>
      <c r="BD86" s="799">
        <f>BC86*(1-IFERROR(IF(BD$77+$F86&lt;=12,SUMIFS('Attrition Modeling'!$D:$D,'Attrition Modeling'!$C:$C,$D86,'Attrition Modeling'!$B:$B,BD$76),VLOOKUP($F86+BD$77,$A$7:$C$107,2,FALSE)*VLOOKUP(BD$76,'Attrition Modeling'!$L$15:$N$27,IF(BD$77+$F86&lt;=24,2,3),FALSE)),$C$3)*(1+IF('IP Attrition'!BD143&gt;0,'Attrition Modeling'!$N$9,0)))</f>
        <v>0</v>
      </c>
      <c r="BE86" s="799">
        <f>BD86*(1-IFERROR(IF(BE$77+$F86&lt;=12,SUMIFS('Attrition Modeling'!$D:$D,'Attrition Modeling'!$C:$C,$D86,'Attrition Modeling'!$B:$B,BE$76),VLOOKUP($F86+BE$77,$A$7:$C$107,2,FALSE)*VLOOKUP(BE$76,'Attrition Modeling'!$L$15:$N$27,IF(BE$77+$F86&lt;=24,2,3),FALSE)),$C$3)*(1+IF('IP Attrition'!BE143&gt;0,'Attrition Modeling'!$N$9,0)))</f>
        <v>0</v>
      </c>
      <c r="BF86" s="799">
        <f>BE86*(1-IFERROR(IF(BF$77+$F86&lt;=12,SUMIFS('Attrition Modeling'!$D:$D,'Attrition Modeling'!$C:$C,$D86,'Attrition Modeling'!$B:$B,BF$76),VLOOKUP($F86+BF$77,$A$7:$C$107,2,FALSE)*VLOOKUP(BF$76,'Attrition Modeling'!$L$15:$N$27,IF(BF$77+$F86&lt;=24,2,3),FALSE)),$C$3)*(1+IF('IP Attrition'!BF143&gt;0,'Attrition Modeling'!$N$9,0)))</f>
        <v>0</v>
      </c>
      <c r="BG86" s="799">
        <f>BF86*(1-IFERROR(IF(BG$77+$F86&lt;=12,SUMIFS('Attrition Modeling'!$D:$D,'Attrition Modeling'!$C:$C,$D86,'Attrition Modeling'!$B:$B,BG$76),VLOOKUP($F86+BG$77,$A$7:$C$107,2,FALSE)*VLOOKUP(BG$76,'Attrition Modeling'!$L$15:$N$27,IF(BG$77+$F86&lt;=24,2,3),FALSE)),$C$3)*(1+IF('IP Attrition'!BG143&gt;0,'Attrition Modeling'!$N$9,0)))</f>
        <v>0</v>
      </c>
      <c r="BH86" s="799">
        <f>BG86*(1-IFERROR(IF(BH$77+$F86&lt;=12,SUMIFS('Attrition Modeling'!$D:$D,'Attrition Modeling'!$C:$C,$D86,'Attrition Modeling'!$B:$B,BH$76),VLOOKUP($F86+BH$77,$A$7:$C$107,2,FALSE)*VLOOKUP(BH$76,'Attrition Modeling'!$L$15:$N$27,IF(BH$77+$F86&lt;=24,2,3),FALSE)),$C$3)*(1+IF('IP Attrition'!BH143&gt;0,'Attrition Modeling'!$N$9,0)))</f>
        <v>0</v>
      </c>
      <c r="BI86" s="799">
        <f>BH86*(1-IFERROR(IF(BI$77+$F86&lt;=12,SUMIFS('Attrition Modeling'!$D:$D,'Attrition Modeling'!$C:$C,$D86,'Attrition Modeling'!$B:$B,BI$76),VLOOKUP($F86+BI$77,$A$7:$C$107,2,FALSE)*VLOOKUP(BI$76,'Attrition Modeling'!$L$15:$N$27,IF(BI$77+$F86&lt;=24,2,3),FALSE)),$C$3)*(1+IF('IP Attrition'!BI143&gt;0,'Attrition Modeling'!$N$9,0)))</f>
        <v>0</v>
      </c>
      <c r="BJ86" s="799">
        <f>BI86*(1-IFERROR(IF(BJ$77+$F86&lt;=12,SUMIFS('Attrition Modeling'!$D:$D,'Attrition Modeling'!$C:$C,$D86,'Attrition Modeling'!$B:$B,BJ$76),VLOOKUP($F86+BJ$77,$A$7:$C$107,2,FALSE)*VLOOKUP(BJ$76,'Attrition Modeling'!$L$15:$N$27,IF(BJ$77+$F86&lt;=24,2,3),FALSE)),$C$3)*(1+IF('IP Attrition'!BJ143&gt;0,'Attrition Modeling'!$N$9,0)))</f>
        <v>0</v>
      </c>
      <c r="BK86" s="799">
        <f>BJ86*(1-IFERROR(IF(BK$77+$F86&lt;=12,SUMIFS('Attrition Modeling'!$D:$D,'Attrition Modeling'!$C:$C,$D86,'Attrition Modeling'!$B:$B,BK$76),VLOOKUP($F86+BK$77,$A$7:$C$107,2,FALSE)*VLOOKUP(BK$76,'Attrition Modeling'!$L$15:$N$27,IF(BK$77+$F86&lt;=24,2,3),FALSE)),$C$3)*(1+IF('IP Attrition'!BK143&gt;0,'Attrition Modeling'!$N$9,0)))</f>
        <v>0</v>
      </c>
      <c r="BL86" s="799">
        <f>BK86*(1-IFERROR(IF(BL$77+$F86&lt;=12,SUMIFS('Attrition Modeling'!$D:$D,'Attrition Modeling'!$C:$C,$D86,'Attrition Modeling'!$B:$B,BL$76),VLOOKUP($F86+BL$77,$A$7:$C$107,2,FALSE)*VLOOKUP(BL$76,'Attrition Modeling'!$L$15:$N$27,IF(BL$77+$F86&lt;=24,2,3),FALSE)),$C$3)*(1+IF('IP Attrition'!BL143&gt;0,'Attrition Modeling'!$N$9,0)))</f>
        <v>0</v>
      </c>
      <c r="BM86" s="799">
        <f>BL86*(1-IFERROR(IF(BM$77+$F86&lt;=12,SUMIFS('Attrition Modeling'!$D:$D,'Attrition Modeling'!$C:$C,$D86,'Attrition Modeling'!$B:$B,BM$76),VLOOKUP($F86+BM$77,$A$7:$C$107,2,FALSE)*VLOOKUP(BM$76,'Attrition Modeling'!$L$15:$N$27,IF(BM$77+$F86&lt;=24,2,3),FALSE)),$C$3)*(1+IF('IP Attrition'!BM143&gt;0,'Attrition Modeling'!$N$9,0)))</f>
        <v>0</v>
      </c>
      <c r="BN86" s="799">
        <f>BM86*(1-IFERROR(IF(BN$77+$F86&lt;=12,SUMIFS('Attrition Modeling'!$D:$D,'Attrition Modeling'!$C:$C,$D86,'Attrition Modeling'!$B:$B,BN$76),VLOOKUP($F86+BN$77,$A$7:$C$107,2,FALSE)*VLOOKUP(BN$76,'Attrition Modeling'!$L$15:$N$27,IF(BN$77+$F86&lt;=24,2,3),FALSE)),$C$3)*(1+IF('IP Attrition'!BN143&gt;0,'Attrition Modeling'!$N$9,0)))</f>
        <v>0</v>
      </c>
      <c r="BO86" s="799">
        <f>BN86*(1-IFERROR(IF(BO$77+$F86&lt;=12,SUMIFS('Attrition Modeling'!$D:$D,'Attrition Modeling'!$C:$C,$D86,'Attrition Modeling'!$B:$B,BO$76),VLOOKUP($F86+BO$77,$A$7:$C$107,2,FALSE)*VLOOKUP(BO$76,'Attrition Modeling'!$L$15:$N$27,IF(BO$77+$F86&lt;=24,2,3),FALSE)),$C$3)*(1+IF('IP Attrition'!BO143&gt;0,'Attrition Modeling'!$N$9,0)))</f>
        <v>0</v>
      </c>
      <c r="BP86" s="799">
        <f>BO86*(1-IFERROR(IF(BP$77+$F86&lt;=12,SUMIFS('Attrition Modeling'!$D:$D,'Attrition Modeling'!$C:$C,$D86,'Attrition Modeling'!$B:$B,BP$76),VLOOKUP($F86+BP$77,$A$7:$C$107,2,FALSE)*VLOOKUP(BP$76,'Attrition Modeling'!$L$15:$N$27,IF(BP$77+$F86&lt;=24,2,3),FALSE)),$C$3)*(1+IF('IP Attrition'!BP143&gt;0,'Attrition Modeling'!$N$9,0)))</f>
        <v>0</v>
      </c>
      <c r="BQ86" s="799">
        <f>BP86*(1-IFERROR(IF(BQ$77+$F86&lt;=12,SUMIFS('Attrition Modeling'!$D:$D,'Attrition Modeling'!$C:$C,$D86,'Attrition Modeling'!$B:$B,BQ$76),VLOOKUP($F86+BQ$77,$A$7:$C$107,2,FALSE)*VLOOKUP(BQ$76,'Attrition Modeling'!$L$15:$N$27,IF(BQ$77+$F86&lt;=24,2,3),FALSE)),$C$3)*(1+IF('IP Attrition'!BQ143&gt;0,'Attrition Modeling'!$N$9,0)))</f>
        <v>0</v>
      </c>
      <c r="BR86" s="799">
        <f>BQ86*(1-IFERROR(IF(BR$77+$F86&lt;=12,SUMIFS('Attrition Modeling'!$D:$D,'Attrition Modeling'!$C:$C,$D86,'Attrition Modeling'!$B:$B,BR$76),VLOOKUP($F86+BR$77,$A$7:$C$107,2,FALSE)*VLOOKUP(BR$76,'Attrition Modeling'!$L$15:$N$27,IF(BR$77+$F86&lt;=24,2,3),FALSE)),$C$3)*(1+IF('IP Attrition'!BR143&gt;0,'Attrition Modeling'!$N$9,0)))</f>
        <v>0</v>
      </c>
      <c r="BS86" s="799">
        <f>BR86*(1-IFERROR(IF(BS$77+$F86&lt;=12,SUMIFS('Attrition Modeling'!$D:$D,'Attrition Modeling'!$C:$C,$D86,'Attrition Modeling'!$B:$B,BS$76),VLOOKUP($F86+BS$77,$A$7:$C$107,2,FALSE)*VLOOKUP(BS$76,'Attrition Modeling'!$L$15:$N$27,IF(BS$77+$F86&lt;=24,2,3),FALSE)),$C$3)*(1+IF('IP Attrition'!BS143&gt;0,'Attrition Modeling'!$N$9,0)))</f>
        <v>0</v>
      </c>
      <c r="BT86" s="799" t="e">
        <f>BS86*(1-IFERROR(IF(BT$77+$F86&lt;=12,SUMIFS('Attrition Modeling'!$D:$D,'Attrition Modeling'!$C:$C,$D86,'Attrition Modeling'!$B:$B,BT$76),VLOOKUP($F86+BT$77,$A$7:$C$107,2,FALSE)*VLOOKUP(BT$76,'Attrition Modeling'!$L$15:$N$27,IF(BT$77+$F86&lt;=24,2,3),FALSE)),$C$3)*(1+IF('IP Attrition'!BT143&gt;0,'Attrition Modeling'!$N$9,0)))</f>
        <v>#REF!</v>
      </c>
      <c r="BU86" s="799" t="e">
        <f>BT86*(1-IFERROR(IF(BU$77+$F86&lt;=12,SUMIFS('Attrition Modeling'!$D:$D,'Attrition Modeling'!$C:$C,$D86,'Attrition Modeling'!$B:$B,BU$76),VLOOKUP($F86+BU$77,$A$7:$C$107,2,FALSE)*VLOOKUP(BU$76,'Attrition Modeling'!$L$15:$N$27,IF(BU$77+$F86&lt;=24,2,3),FALSE)),$C$3)*(1+IF('IP Attrition'!BU143&gt;0,'Attrition Modeling'!$N$9,0)))</f>
        <v>#REF!</v>
      </c>
    </row>
    <row r="87" spans="1:73" ht="14.25" customHeight="1" x14ac:dyDescent="0.2">
      <c r="A87" s="9">
        <v>79</v>
      </c>
      <c r="B87" s="25">
        <f>MAX('Attrition Modeling'!H83,$C$3)*(1-Summary!$C$20)</f>
        <v>0.02</v>
      </c>
      <c r="C87" s="24" t="e">
        <f t="shared" si="2"/>
        <v>#DIV/0!</v>
      </c>
      <c r="D87" s="11">
        <f>'IP Attrition'!D79</f>
        <v>-9</v>
      </c>
      <c r="E87" s="25">
        <f>'IP Attrition'!E79</f>
        <v>3.5488958990536279E-2</v>
      </c>
      <c r="F87" s="11">
        <f t="shared" si="8"/>
        <v>9</v>
      </c>
      <c r="G87" s="799">
        <f>Summary!$C$24*$E87</f>
        <v>0</v>
      </c>
      <c r="H87" s="799">
        <f>G87*(1-IFERROR(IF(H$77+$F87&lt;=12,SUMIFS('Attrition Modeling'!$D:$D,'Attrition Modeling'!$C:$C,$D87,'Attrition Modeling'!$B:$B,H$76),VLOOKUP($F87+H$77,$A$7:$C$107,2,FALSE)*VLOOKUP(H$76,'Attrition Modeling'!$L$15:$N$27,IF(H$77+$F87&lt;=24,2,3),FALSE)),$C$3)*(1+IF('IP Attrition'!H144&gt;0,'Attrition Modeling'!$N$9,0)))</f>
        <v>0</v>
      </c>
      <c r="I87" s="799">
        <f>H87*(1-IFERROR(IF(I$77+$F87&lt;=12,SUMIFS('Attrition Modeling'!$D:$D,'Attrition Modeling'!$C:$C,$D87,'Attrition Modeling'!$B:$B,I$76),VLOOKUP($F87+I$77,$A$7:$C$107,2,FALSE)*VLOOKUP(I$76,'Attrition Modeling'!$L$15:$N$27,IF(I$77+$F87&lt;=24,2,3),FALSE)),$C$3)*(1+IF('IP Attrition'!I144&gt;0,'Attrition Modeling'!$N$9,0)))</f>
        <v>0</v>
      </c>
      <c r="J87" s="799">
        <f>I87*(1-IFERROR(IF(J$77+$F87&lt;=12,SUMIFS('Attrition Modeling'!$D:$D,'Attrition Modeling'!$C:$C,$D87,'Attrition Modeling'!$B:$B,J$76),VLOOKUP($F87+J$77,$A$7:$C$107,2,FALSE)*VLOOKUP(J$76,'Attrition Modeling'!$L$15:$N$27,IF(J$77+$F87&lt;=24,2,3),FALSE)),$C$3)*(1+IF('IP Attrition'!J144&gt;0,'Attrition Modeling'!$N$9,0)))</f>
        <v>0</v>
      </c>
      <c r="K87" s="799">
        <f>J87*(1-IFERROR(IF(K$77+$F87&lt;=12,SUMIFS('Attrition Modeling'!$D:$D,'Attrition Modeling'!$C:$C,$D87,'Attrition Modeling'!$B:$B,K$76),VLOOKUP($F87+K$77,$A$7:$C$107,2,FALSE)*VLOOKUP(K$76,'Attrition Modeling'!$L$15:$N$27,IF(K$77+$F87&lt;=24,2,3),FALSE)),$C$3)*(1+IF('IP Attrition'!K144&gt;0,'Attrition Modeling'!$N$9,0)))</f>
        <v>0</v>
      </c>
      <c r="L87" s="799">
        <f>K87*(1-IFERROR(IF(L$77+$F87&lt;=12,SUMIFS('Attrition Modeling'!$D:$D,'Attrition Modeling'!$C:$C,$D87,'Attrition Modeling'!$B:$B,L$76),VLOOKUP($F87+L$77,$A$7:$C$107,2,FALSE)*VLOOKUP(L$76,'Attrition Modeling'!$L$15:$N$27,IF(L$77+$F87&lt;=24,2,3),FALSE)),$C$3)*(1+IF('IP Attrition'!L144&gt;0,'Attrition Modeling'!$N$9,0)))</f>
        <v>0</v>
      </c>
      <c r="M87" s="799">
        <f>L87*(1-IFERROR(IF(M$77+$F87&lt;=12,SUMIFS('Attrition Modeling'!$D:$D,'Attrition Modeling'!$C:$C,$D87,'Attrition Modeling'!$B:$B,M$76),VLOOKUP($F87+M$77,$A$7:$C$107,2,FALSE)*VLOOKUP(M$76,'Attrition Modeling'!$L$15:$N$27,IF(M$77+$F87&lt;=24,2,3),FALSE)),$C$3)*(1+IF('IP Attrition'!M144&gt;0,'Attrition Modeling'!$N$9,0)))</f>
        <v>0</v>
      </c>
      <c r="N87" s="799">
        <f>M87*(1-IFERROR(IF(N$77+$F87&lt;=12,SUMIFS('Attrition Modeling'!$D:$D,'Attrition Modeling'!$C:$C,$D87,'Attrition Modeling'!$B:$B,N$76),VLOOKUP($F87+N$77,$A$7:$C$107,2,FALSE)*VLOOKUP(N$76,'Attrition Modeling'!$L$15:$N$27,IF(N$77+$F87&lt;=24,2,3),FALSE)),$C$3)*(1+IF('IP Attrition'!N144&gt;0,'Attrition Modeling'!$N$9,0)))</f>
        <v>0</v>
      </c>
      <c r="O87" s="799">
        <f>N87*(1-IFERROR(IF(O$77+$F87&lt;=12,SUMIFS('Attrition Modeling'!$D:$D,'Attrition Modeling'!$C:$C,$D87,'Attrition Modeling'!$B:$B,O$76),VLOOKUP($F87+O$77,$A$7:$C$107,2,FALSE)*VLOOKUP(O$76,'Attrition Modeling'!$L$15:$N$27,IF(O$77+$F87&lt;=24,2,3),FALSE)),$C$3)*(1+IF('IP Attrition'!O144&gt;0,'Attrition Modeling'!$N$9,0)))</f>
        <v>0</v>
      </c>
      <c r="P87" s="799">
        <f>O87*(1-IFERROR(IF(P$77+$F87&lt;=12,SUMIFS('Attrition Modeling'!$D:$D,'Attrition Modeling'!$C:$C,$D87,'Attrition Modeling'!$B:$B,P$76),VLOOKUP($F87+P$77,$A$7:$C$107,2,FALSE)*VLOOKUP(P$76,'Attrition Modeling'!$L$15:$N$27,IF(P$77+$F87&lt;=24,2,3),FALSE)),$C$3)*(1+IF('IP Attrition'!P144&gt;0,'Attrition Modeling'!$N$9,0)))</f>
        <v>0</v>
      </c>
      <c r="Q87" s="799">
        <f>P87*(1-IFERROR(IF(Q$77+$F87&lt;=12,SUMIFS('Attrition Modeling'!$D:$D,'Attrition Modeling'!$C:$C,$D87,'Attrition Modeling'!$B:$B,Q$76),VLOOKUP($F87+Q$77,$A$7:$C$107,2,FALSE)*VLOOKUP(Q$76,'Attrition Modeling'!$L$15:$N$27,IF(Q$77+$F87&lt;=24,2,3),FALSE)),$C$3)*(1+IF('IP Attrition'!Q144&gt;0,'Attrition Modeling'!$N$9,0)))</f>
        <v>0</v>
      </c>
      <c r="R87" s="799">
        <f>Q87*(1-IFERROR(IF(R$77+$F87&lt;=12,SUMIFS('Attrition Modeling'!$D:$D,'Attrition Modeling'!$C:$C,$D87,'Attrition Modeling'!$B:$B,R$76),VLOOKUP($F87+R$77,$A$7:$C$107,2,FALSE)*VLOOKUP(R$76,'Attrition Modeling'!$L$15:$N$27,IF(R$77+$F87&lt;=24,2,3),FALSE)),$C$3)*(1+IF('IP Attrition'!R144&gt;0,'Attrition Modeling'!$N$9,0)))</f>
        <v>0</v>
      </c>
      <c r="S87" s="799">
        <f>R87*(1-IFERROR(IF(S$77+$F87&lt;=12,SUMIFS('Attrition Modeling'!$D:$D,'Attrition Modeling'!$C:$C,$D87,'Attrition Modeling'!$B:$B,S$76),VLOOKUP($F87+S$77,$A$7:$C$107,2,FALSE)*VLOOKUP(S$76,'Attrition Modeling'!$L$15:$N$27,IF(S$77+$F87&lt;=24,2,3),FALSE)),$C$3)*(1+IF('IP Attrition'!S144&gt;0,'Attrition Modeling'!$N$9,0)))</f>
        <v>0</v>
      </c>
      <c r="T87" s="799">
        <f>S87*(1-IFERROR(IF(T$77+$F87&lt;=12,SUMIFS('Attrition Modeling'!$D:$D,'Attrition Modeling'!$C:$C,$D87,'Attrition Modeling'!$B:$B,T$76),VLOOKUP($F87+T$77,$A$7:$C$107,2,FALSE)*VLOOKUP(T$76,'Attrition Modeling'!$L$15:$N$27,IF(T$77+$F87&lt;=24,2,3),FALSE)),$C$3)*(1+IF('IP Attrition'!T144&gt;0,'Attrition Modeling'!$N$9,0)))</f>
        <v>0</v>
      </c>
      <c r="U87" s="799">
        <f>T87*(1-IFERROR(IF(U$77+$F87&lt;=12,SUMIFS('Attrition Modeling'!$D:$D,'Attrition Modeling'!$C:$C,$D87,'Attrition Modeling'!$B:$B,U$76),VLOOKUP($F87+U$77,$A$7:$C$107,2,FALSE)*VLOOKUP(U$76,'Attrition Modeling'!$L$15:$N$27,IF(U$77+$F87&lt;=24,2,3),FALSE)),$C$3)*(1+IF('IP Attrition'!U144&gt;0,'Attrition Modeling'!$N$9,0)))</f>
        <v>0</v>
      </c>
      <c r="V87" s="799">
        <f>U87*(1-IFERROR(IF(V$77+$F87&lt;=12,SUMIFS('Attrition Modeling'!$D:$D,'Attrition Modeling'!$C:$C,$D87,'Attrition Modeling'!$B:$B,V$76),VLOOKUP($F87+V$77,$A$7:$C$107,2,FALSE)*VLOOKUP(V$76,'Attrition Modeling'!$L$15:$N$27,IF(V$77+$F87&lt;=24,2,3),FALSE)),$C$3)*(1+IF('IP Attrition'!V144&gt;0,'Attrition Modeling'!$N$9,0)))</f>
        <v>0</v>
      </c>
      <c r="W87" s="799">
        <f>V87*(1-IFERROR(IF(W$77+$F87&lt;=12,SUMIFS('Attrition Modeling'!$D:$D,'Attrition Modeling'!$C:$C,$D87,'Attrition Modeling'!$B:$B,W$76),VLOOKUP($F87+W$77,$A$7:$C$107,2,FALSE)*VLOOKUP(W$76,'Attrition Modeling'!$L$15:$N$27,IF(W$77+$F87&lt;=24,2,3),FALSE)),$C$3)*(1+IF('IP Attrition'!W144&gt;0,'Attrition Modeling'!$N$9,0)))</f>
        <v>0</v>
      </c>
      <c r="X87" s="799">
        <f>W87*(1-IFERROR(IF(X$77+$F87&lt;=12,SUMIFS('Attrition Modeling'!$D:$D,'Attrition Modeling'!$C:$C,$D87,'Attrition Modeling'!$B:$B,X$76),VLOOKUP($F87+X$77,$A$7:$C$107,2,FALSE)*VLOOKUP(X$76,'Attrition Modeling'!$L$15:$N$27,IF(X$77+$F87&lt;=24,2,3),FALSE)),$C$3)*(1+IF('IP Attrition'!X144&gt;0,'Attrition Modeling'!$N$9,0)))</f>
        <v>0</v>
      </c>
      <c r="Y87" s="799">
        <f>X87*(1-IFERROR(IF(Y$77+$F87&lt;=12,SUMIFS('Attrition Modeling'!$D:$D,'Attrition Modeling'!$C:$C,$D87,'Attrition Modeling'!$B:$B,Y$76),VLOOKUP($F87+Y$77,$A$7:$C$107,2,FALSE)*VLOOKUP(Y$76,'Attrition Modeling'!$L$15:$N$27,IF(Y$77+$F87&lt;=24,2,3),FALSE)),$C$3)*(1+IF('IP Attrition'!Y144&gt;0,'Attrition Modeling'!$N$9,0)))</f>
        <v>0</v>
      </c>
      <c r="Z87" s="799">
        <f>Y87*(1-IFERROR(IF(Z$77+$F87&lt;=12,SUMIFS('Attrition Modeling'!$D:$D,'Attrition Modeling'!$C:$C,$D87,'Attrition Modeling'!$B:$B,Z$76),VLOOKUP($F87+Z$77,$A$7:$C$107,2,FALSE)*VLOOKUP(Z$76,'Attrition Modeling'!$L$15:$N$27,IF(Z$77+$F87&lt;=24,2,3),FALSE)),$C$3)*(1+IF('IP Attrition'!Z144&gt;0,'Attrition Modeling'!$N$9,0)))</f>
        <v>0</v>
      </c>
      <c r="AA87" s="799">
        <f>Z87*(1-IFERROR(IF(AA$77+$F87&lt;=12,SUMIFS('Attrition Modeling'!$D:$D,'Attrition Modeling'!$C:$C,$D87,'Attrition Modeling'!$B:$B,AA$76),VLOOKUP($F87+AA$77,$A$7:$C$107,2,FALSE)*VLOOKUP(AA$76,'Attrition Modeling'!$L$15:$N$27,IF(AA$77+$F87&lt;=24,2,3),FALSE)),$C$3)*(1+IF('IP Attrition'!AA144&gt;0,'Attrition Modeling'!$N$9,0)))</f>
        <v>0</v>
      </c>
      <c r="AB87" s="799">
        <f>AA87*(1-IFERROR(IF(AB$77+$F87&lt;=12,SUMIFS('Attrition Modeling'!$D:$D,'Attrition Modeling'!$C:$C,$D87,'Attrition Modeling'!$B:$B,AB$76),VLOOKUP($F87+AB$77,$A$7:$C$107,2,FALSE)*VLOOKUP(AB$76,'Attrition Modeling'!$L$15:$N$27,IF(AB$77+$F87&lt;=24,2,3),FALSE)),$C$3)*(1+IF('IP Attrition'!AB144&gt;0,'Attrition Modeling'!$N$9,0)))</f>
        <v>0</v>
      </c>
      <c r="AC87" s="799">
        <f>AB87*(1-IFERROR(IF(AC$77+$F87&lt;=12,SUMIFS('Attrition Modeling'!$D:$D,'Attrition Modeling'!$C:$C,$D87,'Attrition Modeling'!$B:$B,AC$76),VLOOKUP($F87+AC$77,$A$7:$C$107,2,FALSE)*VLOOKUP(AC$76,'Attrition Modeling'!$L$15:$N$27,IF(AC$77+$F87&lt;=24,2,3),FALSE)),$C$3)*(1+IF('IP Attrition'!AC144&gt;0,'Attrition Modeling'!$N$9,0)))</f>
        <v>0</v>
      </c>
      <c r="AD87" s="799">
        <f>AC87*(1-IFERROR(IF(AD$77+$F87&lt;=12,SUMIFS('Attrition Modeling'!$D:$D,'Attrition Modeling'!$C:$C,$D87,'Attrition Modeling'!$B:$B,AD$76),VLOOKUP($F87+AD$77,$A$7:$C$107,2,FALSE)*VLOOKUP(AD$76,'Attrition Modeling'!$L$15:$N$27,IF(AD$77+$F87&lt;=24,2,3),FALSE)),$C$3)*(1+IF('IP Attrition'!AD144&gt;0,'Attrition Modeling'!$N$9,0)))</f>
        <v>0</v>
      </c>
      <c r="AE87" s="799">
        <f>AD87*(1-IFERROR(IF(AE$77+$F87&lt;=12,SUMIFS('Attrition Modeling'!$D:$D,'Attrition Modeling'!$C:$C,$D87,'Attrition Modeling'!$B:$B,AE$76),VLOOKUP($F87+AE$77,$A$7:$C$107,2,FALSE)*VLOOKUP(AE$76,'Attrition Modeling'!$L$15:$N$27,IF(AE$77+$F87&lt;=24,2,3),FALSE)),$C$3)*(1+IF('IP Attrition'!AE144&gt;0,'Attrition Modeling'!$N$9,0)))</f>
        <v>0</v>
      </c>
      <c r="AF87" s="799">
        <f>AE87*(1-IFERROR(IF(AF$77+$F87&lt;=12,SUMIFS('Attrition Modeling'!$D:$D,'Attrition Modeling'!$C:$C,$D87,'Attrition Modeling'!$B:$B,AF$76),VLOOKUP($F87+AF$77,$A$7:$C$107,2,FALSE)*VLOOKUP(AF$76,'Attrition Modeling'!$L$15:$N$27,IF(AF$77+$F87&lt;=24,2,3),FALSE)),$C$3)*(1+IF('IP Attrition'!AF144&gt;0,'Attrition Modeling'!$N$9,0)))</f>
        <v>0</v>
      </c>
      <c r="AG87" s="799">
        <f>AF87*(1-IFERROR(IF(AG$77+$F87&lt;=12,SUMIFS('Attrition Modeling'!$D:$D,'Attrition Modeling'!$C:$C,$D87,'Attrition Modeling'!$B:$B,AG$76),VLOOKUP($F87+AG$77,$A$7:$C$107,2,FALSE)*VLOOKUP(AG$76,'Attrition Modeling'!$L$15:$N$27,IF(AG$77+$F87&lt;=24,2,3),FALSE)),$C$3)*(1+IF('IP Attrition'!AG144&gt;0,'Attrition Modeling'!$N$9,0)))</f>
        <v>0</v>
      </c>
      <c r="AH87" s="799">
        <f>AG87*(1-IFERROR(IF(AH$77+$F87&lt;=12,SUMIFS('Attrition Modeling'!$D:$D,'Attrition Modeling'!$C:$C,$D87,'Attrition Modeling'!$B:$B,AH$76),VLOOKUP($F87+AH$77,$A$7:$C$107,2,FALSE)*VLOOKUP(AH$76,'Attrition Modeling'!$L$15:$N$27,IF(AH$77+$F87&lt;=24,2,3),FALSE)),$C$3)*(1+IF('IP Attrition'!AH144&gt;0,'Attrition Modeling'!$N$9,0)))</f>
        <v>0</v>
      </c>
      <c r="AI87" s="799">
        <f>AH87*(1-IFERROR(IF(AI$77+$F87&lt;=12,SUMIFS('Attrition Modeling'!$D:$D,'Attrition Modeling'!$C:$C,$D87,'Attrition Modeling'!$B:$B,AI$76),VLOOKUP($F87+AI$77,$A$7:$C$107,2,FALSE)*VLOOKUP(AI$76,'Attrition Modeling'!$L$15:$N$27,IF(AI$77+$F87&lt;=24,2,3),FALSE)),$C$3)*(1+IF('IP Attrition'!AI144&gt;0,'Attrition Modeling'!$N$9,0)))</f>
        <v>0</v>
      </c>
      <c r="AJ87" s="799">
        <f>AI87*(1-IFERROR(IF(AJ$77+$F87&lt;=12,SUMIFS('Attrition Modeling'!$D:$D,'Attrition Modeling'!$C:$C,$D87,'Attrition Modeling'!$B:$B,AJ$76),VLOOKUP($F87+AJ$77,$A$7:$C$107,2,FALSE)*VLOOKUP(AJ$76,'Attrition Modeling'!$L$15:$N$27,IF(AJ$77+$F87&lt;=24,2,3),FALSE)),$C$3)*(1+IF('IP Attrition'!AJ144&gt;0,'Attrition Modeling'!$N$9,0)))</f>
        <v>0</v>
      </c>
      <c r="AK87" s="799">
        <f>AJ87*(1-IFERROR(IF(AK$77+$F87&lt;=12,SUMIFS('Attrition Modeling'!$D:$D,'Attrition Modeling'!$C:$C,$D87,'Attrition Modeling'!$B:$B,AK$76),VLOOKUP($F87+AK$77,$A$7:$C$107,2,FALSE)*VLOOKUP(AK$76,'Attrition Modeling'!$L$15:$N$27,IF(AK$77+$F87&lt;=24,2,3),FALSE)),$C$3)*(1+IF('IP Attrition'!AK144&gt;0,'Attrition Modeling'!$N$9,0)))</f>
        <v>0</v>
      </c>
      <c r="AL87" s="799">
        <f>AK87*(1-IFERROR(IF(AL$77+$F87&lt;=12,SUMIFS('Attrition Modeling'!$D:$D,'Attrition Modeling'!$C:$C,$D87,'Attrition Modeling'!$B:$B,AL$76),VLOOKUP($F87+AL$77,$A$7:$C$107,2,FALSE)*VLOOKUP(AL$76,'Attrition Modeling'!$L$15:$N$27,IF(AL$77+$F87&lt;=24,2,3),FALSE)),$C$3)*(1+IF('IP Attrition'!AL144&gt;0,'Attrition Modeling'!$N$9,0)))</f>
        <v>0</v>
      </c>
      <c r="AM87" s="799">
        <f>AL87*(1-IFERROR(IF(AM$77+$F87&lt;=12,SUMIFS('Attrition Modeling'!$D:$D,'Attrition Modeling'!$C:$C,$D87,'Attrition Modeling'!$B:$B,AM$76),VLOOKUP($F87+AM$77,$A$7:$C$107,2,FALSE)*VLOOKUP(AM$76,'Attrition Modeling'!$L$15:$N$27,IF(AM$77+$F87&lt;=24,2,3),FALSE)),$C$3)*(1+IF('IP Attrition'!AM144&gt;0,'Attrition Modeling'!$N$9,0)))</f>
        <v>0</v>
      </c>
      <c r="AN87" s="799">
        <f>AM87*(1-IFERROR(IF(AN$77+$F87&lt;=12,SUMIFS('Attrition Modeling'!$D:$D,'Attrition Modeling'!$C:$C,$D87,'Attrition Modeling'!$B:$B,AN$76),VLOOKUP($F87+AN$77,$A$7:$C$107,2,FALSE)*VLOOKUP(AN$76,'Attrition Modeling'!$L$15:$N$27,IF(AN$77+$F87&lt;=24,2,3),FALSE)),$C$3)*(1+IF('IP Attrition'!AN144&gt;0,'Attrition Modeling'!$N$9,0)))</f>
        <v>0</v>
      </c>
      <c r="AO87" s="799">
        <f>AN87*(1-IFERROR(IF(AO$77+$F87&lt;=12,SUMIFS('Attrition Modeling'!$D:$D,'Attrition Modeling'!$C:$C,$D87,'Attrition Modeling'!$B:$B,AO$76),VLOOKUP($F87+AO$77,$A$7:$C$107,2,FALSE)*VLOOKUP(AO$76,'Attrition Modeling'!$L$15:$N$27,IF(AO$77+$F87&lt;=24,2,3),FALSE)),$C$3)*(1+IF('IP Attrition'!AO144&gt;0,'Attrition Modeling'!$N$9,0)))</f>
        <v>0</v>
      </c>
      <c r="AP87" s="799">
        <f>AO87*(1-IFERROR(IF(AP$77+$F87&lt;=12,SUMIFS('Attrition Modeling'!$D:$D,'Attrition Modeling'!$C:$C,$D87,'Attrition Modeling'!$B:$B,AP$76),VLOOKUP($F87+AP$77,$A$7:$C$107,2,FALSE)*VLOOKUP(AP$76,'Attrition Modeling'!$L$15:$N$27,IF(AP$77+$F87&lt;=24,2,3),FALSE)),$C$3)*(1+IF('IP Attrition'!AP144&gt;0,'Attrition Modeling'!$N$9,0)))</f>
        <v>0</v>
      </c>
      <c r="AQ87" s="799">
        <f>AP87*(1-IFERROR(IF(AQ$77+$F87&lt;=12,SUMIFS('Attrition Modeling'!$D:$D,'Attrition Modeling'!$C:$C,$D87,'Attrition Modeling'!$B:$B,AQ$76),VLOOKUP($F87+AQ$77,$A$7:$C$107,2,FALSE)*VLOOKUP(AQ$76,'Attrition Modeling'!$L$15:$N$27,IF(AQ$77+$F87&lt;=24,2,3),FALSE)),$C$3)*(1+IF('IP Attrition'!AQ144&gt;0,'Attrition Modeling'!$N$9,0)))</f>
        <v>0</v>
      </c>
      <c r="AR87" s="799">
        <f>AQ87*(1-IFERROR(IF(AR$77+$F87&lt;=12,SUMIFS('Attrition Modeling'!$D:$D,'Attrition Modeling'!$C:$C,$D87,'Attrition Modeling'!$B:$B,AR$76),VLOOKUP($F87+AR$77,$A$7:$C$107,2,FALSE)*VLOOKUP(AR$76,'Attrition Modeling'!$L$15:$N$27,IF(AR$77+$F87&lt;=24,2,3),FALSE)),$C$3)*(1+IF('IP Attrition'!AR144&gt;0,'Attrition Modeling'!$N$9,0)))</f>
        <v>0</v>
      </c>
      <c r="AS87" s="799">
        <f>AR87*(1-IFERROR(IF(AS$77+$F87&lt;=12,SUMIFS('Attrition Modeling'!$D:$D,'Attrition Modeling'!$C:$C,$D87,'Attrition Modeling'!$B:$B,AS$76),VLOOKUP($F87+AS$77,$A$7:$C$107,2,FALSE)*VLOOKUP(AS$76,'Attrition Modeling'!$L$15:$N$27,IF(AS$77+$F87&lt;=24,2,3),FALSE)),$C$3)*(1+IF('IP Attrition'!AS144&gt;0,'Attrition Modeling'!$N$9,0)))</f>
        <v>0</v>
      </c>
      <c r="AT87" s="799">
        <f>AS87*(1-IFERROR(IF(AT$77+$F87&lt;=12,SUMIFS('Attrition Modeling'!$D:$D,'Attrition Modeling'!$C:$C,$D87,'Attrition Modeling'!$B:$B,AT$76),VLOOKUP($F87+AT$77,$A$7:$C$107,2,FALSE)*VLOOKUP(AT$76,'Attrition Modeling'!$L$15:$N$27,IF(AT$77+$F87&lt;=24,2,3),FALSE)),$C$3)*(1+IF('IP Attrition'!AT144&gt;0,'Attrition Modeling'!$N$9,0)))</f>
        <v>0</v>
      </c>
      <c r="AU87" s="799">
        <f>AT87*(1-IFERROR(IF(AU$77+$F87&lt;=12,SUMIFS('Attrition Modeling'!$D:$D,'Attrition Modeling'!$C:$C,$D87,'Attrition Modeling'!$B:$B,AU$76),VLOOKUP($F87+AU$77,$A$7:$C$107,2,FALSE)*VLOOKUP(AU$76,'Attrition Modeling'!$L$15:$N$27,IF(AU$77+$F87&lt;=24,2,3),FALSE)),$C$3)*(1+IF('IP Attrition'!AU144&gt;0,'Attrition Modeling'!$N$9,0)))</f>
        <v>0</v>
      </c>
      <c r="AV87" s="799">
        <f>AU87*(1-IFERROR(IF(AV$77+$F87&lt;=12,SUMIFS('Attrition Modeling'!$D:$D,'Attrition Modeling'!$C:$C,$D87,'Attrition Modeling'!$B:$B,AV$76),VLOOKUP($F87+AV$77,$A$7:$C$107,2,FALSE)*VLOOKUP(AV$76,'Attrition Modeling'!$L$15:$N$27,IF(AV$77+$F87&lt;=24,2,3),FALSE)),$C$3)*(1+IF('IP Attrition'!AV144&gt;0,'Attrition Modeling'!$N$9,0)))</f>
        <v>0</v>
      </c>
      <c r="AW87" s="799">
        <f>AV87*(1-IFERROR(IF(AW$77+$F87&lt;=12,SUMIFS('Attrition Modeling'!$D:$D,'Attrition Modeling'!$C:$C,$D87,'Attrition Modeling'!$B:$B,AW$76),VLOOKUP($F87+AW$77,$A$7:$C$107,2,FALSE)*VLOOKUP(AW$76,'Attrition Modeling'!$L$15:$N$27,IF(AW$77+$F87&lt;=24,2,3),FALSE)),$C$3)*(1+IF('IP Attrition'!AW144&gt;0,'Attrition Modeling'!$N$9,0)))</f>
        <v>0</v>
      </c>
      <c r="AX87" s="799">
        <f>AW87*(1-IFERROR(IF(AX$77+$F87&lt;=12,SUMIFS('Attrition Modeling'!$D:$D,'Attrition Modeling'!$C:$C,$D87,'Attrition Modeling'!$B:$B,AX$76),VLOOKUP($F87+AX$77,$A$7:$C$107,2,FALSE)*VLOOKUP(AX$76,'Attrition Modeling'!$L$15:$N$27,IF(AX$77+$F87&lt;=24,2,3),FALSE)),$C$3)*(1+IF('IP Attrition'!AX144&gt;0,'Attrition Modeling'!$N$9,0)))</f>
        <v>0</v>
      </c>
      <c r="AY87" s="799">
        <f>AX87*(1-IFERROR(IF(AY$77+$F87&lt;=12,SUMIFS('Attrition Modeling'!$D:$D,'Attrition Modeling'!$C:$C,$D87,'Attrition Modeling'!$B:$B,AY$76),VLOOKUP($F87+AY$77,$A$7:$C$107,2,FALSE)*VLOOKUP(AY$76,'Attrition Modeling'!$L$15:$N$27,IF(AY$77+$F87&lt;=24,2,3),FALSE)),$C$3)*(1+IF('IP Attrition'!AY144&gt;0,'Attrition Modeling'!$N$9,0)))</f>
        <v>0</v>
      </c>
      <c r="AZ87" s="799">
        <f>AY87*(1-IFERROR(IF(AZ$77+$F87&lt;=12,SUMIFS('Attrition Modeling'!$D:$D,'Attrition Modeling'!$C:$C,$D87,'Attrition Modeling'!$B:$B,AZ$76),VLOOKUP($F87+AZ$77,$A$7:$C$107,2,FALSE)*VLOOKUP(AZ$76,'Attrition Modeling'!$L$15:$N$27,IF(AZ$77+$F87&lt;=24,2,3),FALSE)),$C$3)*(1+IF('IP Attrition'!AZ144&gt;0,'Attrition Modeling'!$N$9,0)))</f>
        <v>0</v>
      </c>
      <c r="BA87" s="799">
        <f>AZ87*(1-IFERROR(IF(BA$77+$F87&lt;=12,SUMIFS('Attrition Modeling'!$D:$D,'Attrition Modeling'!$C:$C,$D87,'Attrition Modeling'!$B:$B,BA$76),VLOOKUP($F87+BA$77,$A$7:$C$107,2,FALSE)*VLOOKUP(BA$76,'Attrition Modeling'!$L$15:$N$27,IF(BA$77+$F87&lt;=24,2,3),FALSE)),$C$3)*(1+IF('IP Attrition'!BA144&gt;0,'Attrition Modeling'!$N$9,0)))</f>
        <v>0</v>
      </c>
      <c r="BB87" s="799">
        <f>BA87*(1-IFERROR(IF(BB$77+$F87&lt;=12,SUMIFS('Attrition Modeling'!$D:$D,'Attrition Modeling'!$C:$C,$D87,'Attrition Modeling'!$B:$B,BB$76),VLOOKUP($F87+BB$77,$A$7:$C$107,2,FALSE)*VLOOKUP(BB$76,'Attrition Modeling'!$L$15:$N$27,IF(BB$77+$F87&lt;=24,2,3),FALSE)),$C$3)*(1+IF('IP Attrition'!BB144&gt;0,'Attrition Modeling'!$N$9,0)))</f>
        <v>0</v>
      </c>
      <c r="BC87" s="799">
        <f>BB87*(1-IFERROR(IF(BC$77+$F87&lt;=12,SUMIFS('Attrition Modeling'!$D:$D,'Attrition Modeling'!$C:$C,$D87,'Attrition Modeling'!$B:$B,BC$76),VLOOKUP($F87+BC$77,$A$7:$C$107,2,FALSE)*VLOOKUP(BC$76,'Attrition Modeling'!$L$15:$N$27,IF(BC$77+$F87&lt;=24,2,3),FALSE)),$C$3)*(1+IF('IP Attrition'!BC144&gt;0,'Attrition Modeling'!$N$9,0)))</f>
        <v>0</v>
      </c>
      <c r="BD87" s="799">
        <f>BC87*(1-IFERROR(IF(BD$77+$F87&lt;=12,SUMIFS('Attrition Modeling'!$D:$D,'Attrition Modeling'!$C:$C,$D87,'Attrition Modeling'!$B:$B,BD$76),VLOOKUP($F87+BD$77,$A$7:$C$107,2,FALSE)*VLOOKUP(BD$76,'Attrition Modeling'!$L$15:$N$27,IF(BD$77+$F87&lt;=24,2,3),FALSE)),$C$3)*(1+IF('IP Attrition'!BD144&gt;0,'Attrition Modeling'!$N$9,0)))</f>
        <v>0</v>
      </c>
      <c r="BE87" s="799">
        <f>BD87*(1-IFERROR(IF(BE$77+$F87&lt;=12,SUMIFS('Attrition Modeling'!$D:$D,'Attrition Modeling'!$C:$C,$D87,'Attrition Modeling'!$B:$B,BE$76),VLOOKUP($F87+BE$77,$A$7:$C$107,2,FALSE)*VLOOKUP(BE$76,'Attrition Modeling'!$L$15:$N$27,IF(BE$77+$F87&lt;=24,2,3),FALSE)),$C$3)*(1+IF('IP Attrition'!BE144&gt;0,'Attrition Modeling'!$N$9,0)))</f>
        <v>0</v>
      </c>
      <c r="BF87" s="799">
        <f>BE87*(1-IFERROR(IF(BF$77+$F87&lt;=12,SUMIFS('Attrition Modeling'!$D:$D,'Attrition Modeling'!$C:$C,$D87,'Attrition Modeling'!$B:$B,BF$76),VLOOKUP($F87+BF$77,$A$7:$C$107,2,FALSE)*VLOOKUP(BF$76,'Attrition Modeling'!$L$15:$N$27,IF(BF$77+$F87&lt;=24,2,3),FALSE)),$C$3)*(1+IF('IP Attrition'!BF144&gt;0,'Attrition Modeling'!$N$9,0)))</f>
        <v>0</v>
      </c>
      <c r="BG87" s="799">
        <f>BF87*(1-IFERROR(IF(BG$77+$F87&lt;=12,SUMIFS('Attrition Modeling'!$D:$D,'Attrition Modeling'!$C:$C,$D87,'Attrition Modeling'!$B:$B,BG$76),VLOOKUP($F87+BG$77,$A$7:$C$107,2,FALSE)*VLOOKUP(BG$76,'Attrition Modeling'!$L$15:$N$27,IF(BG$77+$F87&lt;=24,2,3),FALSE)),$C$3)*(1+IF('IP Attrition'!BG144&gt;0,'Attrition Modeling'!$N$9,0)))</f>
        <v>0</v>
      </c>
      <c r="BH87" s="799">
        <f>BG87*(1-IFERROR(IF(BH$77+$F87&lt;=12,SUMIFS('Attrition Modeling'!$D:$D,'Attrition Modeling'!$C:$C,$D87,'Attrition Modeling'!$B:$B,BH$76),VLOOKUP($F87+BH$77,$A$7:$C$107,2,FALSE)*VLOOKUP(BH$76,'Attrition Modeling'!$L$15:$N$27,IF(BH$77+$F87&lt;=24,2,3),FALSE)),$C$3)*(1+IF('IP Attrition'!BH144&gt;0,'Attrition Modeling'!$N$9,0)))</f>
        <v>0</v>
      </c>
      <c r="BI87" s="799">
        <f>BH87*(1-IFERROR(IF(BI$77+$F87&lt;=12,SUMIFS('Attrition Modeling'!$D:$D,'Attrition Modeling'!$C:$C,$D87,'Attrition Modeling'!$B:$B,BI$76),VLOOKUP($F87+BI$77,$A$7:$C$107,2,FALSE)*VLOOKUP(BI$76,'Attrition Modeling'!$L$15:$N$27,IF(BI$77+$F87&lt;=24,2,3),FALSE)),$C$3)*(1+IF('IP Attrition'!BI144&gt;0,'Attrition Modeling'!$N$9,0)))</f>
        <v>0</v>
      </c>
      <c r="BJ87" s="799">
        <f>BI87*(1-IFERROR(IF(BJ$77+$F87&lt;=12,SUMIFS('Attrition Modeling'!$D:$D,'Attrition Modeling'!$C:$C,$D87,'Attrition Modeling'!$B:$B,BJ$76),VLOOKUP($F87+BJ$77,$A$7:$C$107,2,FALSE)*VLOOKUP(BJ$76,'Attrition Modeling'!$L$15:$N$27,IF(BJ$77+$F87&lt;=24,2,3),FALSE)),$C$3)*(1+IF('IP Attrition'!BJ144&gt;0,'Attrition Modeling'!$N$9,0)))</f>
        <v>0</v>
      </c>
      <c r="BK87" s="799">
        <f>BJ87*(1-IFERROR(IF(BK$77+$F87&lt;=12,SUMIFS('Attrition Modeling'!$D:$D,'Attrition Modeling'!$C:$C,$D87,'Attrition Modeling'!$B:$B,BK$76),VLOOKUP($F87+BK$77,$A$7:$C$107,2,FALSE)*VLOOKUP(BK$76,'Attrition Modeling'!$L$15:$N$27,IF(BK$77+$F87&lt;=24,2,3),FALSE)),$C$3)*(1+IF('IP Attrition'!BK144&gt;0,'Attrition Modeling'!$N$9,0)))</f>
        <v>0</v>
      </c>
      <c r="BL87" s="799">
        <f>BK87*(1-IFERROR(IF(BL$77+$F87&lt;=12,SUMIFS('Attrition Modeling'!$D:$D,'Attrition Modeling'!$C:$C,$D87,'Attrition Modeling'!$B:$B,BL$76),VLOOKUP($F87+BL$77,$A$7:$C$107,2,FALSE)*VLOOKUP(BL$76,'Attrition Modeling'!$L$15:$N$27,IF(BL$77+$F87&lt;=24,2,3),FALSE)),$C$3)*(1+IF('IP Attrition'!BL144&gt;0,'Attrition Modeling'!$N$9,0)))</f>
        <v>0</v>
      </c>
      <c r="BM87" s="799">
        <f>BL87*(1-IFERROR(IF(BM$77+$F87&lt;=12,SUMIFS('Attrition Modeling'!$D:$D,'Attrition Modeling'!$C:$C,$D87,'Attrition Modeling'!$B:$B,BM$76),VLOOKUP($F87+BM$77,$A$7:$C$107,2,FALSE)*VLOOKUP(BM$76,'Attrition Modeling'!$L$15:$N$27,IF(BM$77+$F87&lt;=24,2,3),FALSE)),$C$3)*(1+IF('IP Attrition'!BM144&gt;0,'Attrition Modeling'!$N$9,0)))</f>
        <v>0</v>
      </c>
      <c r="BN87" s="799">
        <f>BM87*(1-IFERROR(IF(BN$77+$F87&lt;=12,SUMIFS('Attrition Modeling'!$D:$D,'Attrition Modeling'!$C:$C,$D87,'Attrition Modeling'!$B:$B,BN$76),VLOOKUP($F87+BN$77,$A$7:$C$107,2,FALSE)*VLOOKUP(BN$76,'Attrition Modeling'!$L$15:$N$27,IF(BN$77+$F87&lt;=24,2,3),FALSE)),$C$3)*(1+IF('IP Attrition'!BN144&gt;0,'Attrition Modeling'!$N$9,0)))</f>
        <v>0</v>
      </c>
      <c r="BO87" s="799">
        <f>BN87*(1-IFERROR(IF(BO$77+$F87&lt;=12,SUMIFS('Attrition Modeling'!$D:$D,'Attrition Modeling'!$C:$C,$D87,'Attrition Modeling'!$B:$B,BO$76),VLOOKUP($F87+BO$77,$A$7:$C$107,2,FALSE)*VLOOKUP(BO$76,'Attrition Modeling'!$L$15:$N$27,IF(BO$77+$F87&lt;=24,2,3),FALSE)),$C$3)*(1+IF('IP Attrition'!BO144&gt;0,'Attrition Modeling'!$N$9,0)))</f>
        <v>0</v>
      </c>
      <c r="BP87" s="799">
        <f>BO87*(1-IFERROR(IF(BP$77+$F87&lt;=12,SUMIFS('Attrition Modeling'!$D:$D,'Attrition Modeling'!$C:$C,$D87,'Attrition Modeling'!$B:$B,BP$76),VLOOKUP($F87+BP$77,$A$7:$C$107,2,FALSE)*VLOOKUP(BP$76,'Attrition Modeling'!$L$15:$N$27,IF(BP$77+$F87&lt;=24,2,3),FALSE)),$C$3)*(1+IF('IP Attrition'!BP144&gt;0,'Attrition Modeling'!$N$9,0)))</f>
        <v>0</v>
      </c>
      <c r="BQ87" s="799">
        <f>BP87*(1-IFERROR(IF(BQ$77+$F87&lt;=12,SUMIFS('Attrition Modeling'!$D:$D,'Attrition Modeling'!$C:$C,$D87,'Attrition Modeling'!$B:$B,BQ$76),VLOOKUP($F87+BQ$77,$A$7:$C$107,2,FALSE)*VLOOKUP(BQ$76,'Attrition Modeling'!$L$15:$N$27,IF(BQ$77+$F87&lt;=24,2,3),FALSE)),$C$3)*(1+IF('IP Attrition'!BQ144&gt;0,'Attrition Modeling'!$N$9,0)))</f>
        <v>0</v>
      </c>
      <c r="BR87" s="799">
        <f>BQ87*(1-IFERROR(IF(BR$77+$F87&lt;=12,SUMIFS('Attrition Modeling'!$D:$D,'Attrition Modeling'!$C:$C,$D87,'Attrition Modeling'!$B:$B,BR$76),VLOOKUP($F87+BR$77,$A$7:$C$107,2,FALSE)*VLOOKUP(BR$76,'Attrition Modeling'!$L$15:$N$27,IF(BR$77+$F87&lt;=24,2,3),FALSE)),$C$3)*(1+IF('IP Attrition'!BR144&gt;0,'Attrition Modeling'!$N$9,0)))</f>
        <v>0</v>
      </c>
      <c r="BS87" s="799">
        <f>BR87*(1-IFERROR(IF(BS$77+$F87&lt;=12,SUMIFS('Attrition Modeling'!$D:$D,'Attrition Modeling'!$C:$C,$D87,'Attrition Modeling'!$B:$B,BS$76),VLOOKUP($F87+BS$77,$A$7:$C$107,2,FALSE)*VLOOKUP(BS$76,'Attrition Modeling'!$L$15:$N$27,IF(BS$77+$F87&lt;=24,2,3),FALSE)),$C$3)*(1+IF('IP Attrition'!BS144&gt;0,'Attrition Modeling'!$N$9,0)))</f>
        <v>0</v>
      </c>
      <c r="BT87" s="799" t="e">
        <f>BS87*(1-IFERROR(IF(BT$77+$F87&lt;=12,SUMIFS('Attrition Modeling'!$D:$D,'Attrition Modeling'!$C:$C,$D87,'Attrition Modeling'!$B:$B,BT$76),VLOOKUP($F87+BT$77,$A$7:$C$107,2,FALSE)*VLOOKUP(BT$76,'Attrition Modeling'!$L$15:$N$27,IF(BT$77+$F87&lt;=24,2,3),FALSE)),$C$3)*(1+IF('IP Attrition'!BT144&gt;0,'Attrition Modeling'!$N$9,0)))</f>
        <v>#REF!</v>
      </c>
      <c r="BU87" s="799" t="e">
        <f>BT87*(1-IFERROR(IF(BU$77+$F87&lt;=12,SUMIFS('Attrition Modeling'!$D:$D,'Attrition Modeling'!$C:$C,$D87,'Attrition Modeling'!$B:$B,BU$76),VLOOKUP($F87+BU$77,$A$7:$C$107,2,FALSE)*VLOOKUP(BU$76,'Attrition Modeling'!$L$15:$N$27,IF(BU$77+$F87&lt;=24,2,3),FALSE)),$C$3)*(1+IF('IP Attrition'!BU144&gt;0,'Attrition Modeling'!$N$9,0)))</f>
        <v>#REF!</v>
      </c>
    </row>
    <row r="88" spans="1:73" ht="14.25" customHeight="1" x14ac:dyDescent="0.2">
      <c r="A88" s="9">
        <v>80</v>
      </c>
      <c r="B88" s="25">
        <f>MAX('Attrition Modeling'!H84,$C$3)*(1-Summary!$C$20)</f>
        <v>0.02</v>
      </c>
      <c r="C88" s="24" t="e">
        <f t="shared" si="2"/>
        <v>#DIV/0!</v>
      </c>
      <c r="D88" s="11">
        <f>'IP Attrition'!D80</f>
        <v>-10</v>
      </c>
      <c r="E88" s="25">
        <f>'IP Attrition'!E80</f>
        <v>4.7318611987381704E-3</v>
      </c>
      <c r="F88" s="11">
        <f t="shared" si="8"/>
        <v>10</v>
      </c>
      <c r="G88" s="799">
        <f>Summary!$C$24*$E88</f>
        <v>0</v>
      </c>
      <c r="H88" s="799">
        <f>G88*(1-IFERROR(IF(H$77+$F88&lt;=12,SUMIFS('Attrition Modeling'!$D:$D,'Attrition Modeling'!$C:$C,$D88,'Attrition Modeling'!$B:$B,H$76),VLOOKUP($F88+H$77,$A$7:$C$107,2,FALSE)*VLOOKUP(H$76,'Attrition Modeling'!$L$15:$N$27,IF(H$77+$F88&lt;=24,2,3),FALSE)),$C$3)*(1+IF('IP Attrition'!H145&gt;0,'Attrition Modeling'!$N$9,0)))</f>
        <v>0</v>
      </c>
      <c r="I88" s="799">
        <f>H88*(1-IFERROR(IF(I$77+$F88&lt;=12,SUMIFS('Attrition Modeling'!$D:$D,'Attrition Modeling'!$C:$C,$D88,'Attrition Modeling'!$B:$B,I$76),VLOOKUP($F88+I$77,$A$7:$C$107,2,FALSE)*VLOOKUP(I$76,'Attrition Modeling'!$L$15:$N$27,IF(I$77+$F88&lt;=24,2,3),FALSE)),$C$3)*(1+IF('IP Attrition'!I145&gt;0,'Attrition Modeling'!$N$9,0)))</f>
        <v>0</v>
      </c>
      <c r="J88" s="799">
        <f>I88*(1-IFERROR(IF(J$77+$F88&lt;=12,SUMIFS('Attrition Modeling'!$D:$D,'Attrition Modeling'!$C:$C,$D88,'Attrition Modeling'!$B:$B,J$76),VLOOKUP($F88+J$77,$A$7:$C$107,2,FALSE)*VLOOKUP(J$76,'Attrition Modeling'!$L$15:$N$27,IF(J$77+$F88&lt;=24,2,3),FALSE)),$C$3)*(1+IF('IP Attrition'!J145&gt;0,'Attrition Modeling'!$N$9,0)))</f>
        <v>0</v>
      </c>
      <c r="K88" s="799">
        <f>J88*(1-IFERROR(IF(K$77+$F88&lt;=12,SUMIFS('Attrition Modeling'!$D:$D,'Attrition Modeling'!$C:$C,$D88,'Attrition Modeling'!$B:$B,K$76),VLOOKUP($F88+K$77,$A$7:$C$107,2,FALSE)*VLOOKUP(K$76,'Attrition Modeling'!$L$15:$N$27,IF(K$77+$F88&lt;=24,2,3),FALSE)),$C$3)*(1+IF('IP Attrition'!K145&gt;0,'Attrition Modeling'!$N$9,0)))</f>
        <v>0</v>
      </c>
      <c r="L88" s="799">
        <f>K88*(1-IFERROR(IF(L$77+$F88&lt;=12,SUMIFS('Attrition Modeling'!$D:$D,'Attrition Modeling'!$C:$C,$D88,'Attrition Modeling'!$B:$B,L$76),VLOOKUP($F88+L$77,$A$7:$C$107,2,FALSE)*VLOOKUP(L$76,'Attrition Modeling'!$L$15:$N$27,IF(L$77+$F88&lt;=24,2,3),FALSE)),$C$3)*(1+IF('IP Attrition'!L145&gt;0,'Attrition Modeling'!$N$9,0)))</f>
        <v>0</v>
      </c>
      <c r="M88" s="799">
        <f>L88*(1-IFERROR(IF(M$77+$F88&lt;=12,SUMIFS('Attrition Modeling'!$D:$D,'Attrition Modeling'!$C:$C,$D88,'Attrition Modeling'!$B:$B,M$76),VLOOKUP($F88+M$77,$A$7:$C$107,2,FALSE)*VLOOKUP(M$76,'Attrition Modeling'!$L$15:$N$27,IF(M$77+$F88&lt;=24,2,3),FALSE)),$C$3)*(1+IF('IP Attrition'!M145&gt;0,'Attrition Modeling'!$N$9,0)))</f>
        <v>0</v>
      </c>
      <c r="N88" s="799">
        <f>M88*(1-IFERROR(IF(N$77+$F88&lt;=12,SUMIFS('Attrition Modeling'!$D:$D,'Attrition Modeling'!$C:$C,$D88,'Attrition Modeling'!$B:$B,N$76),VLOOKUP($F88+N$77,$A$7:$C$107,2,FALSE)*VLOOKUP(N$76,'Attrition Modeling'!$L$15:$N$27,IF(N$77+$F88&lt;=24,2,3),FALSE)),$C$3)*(1+IF('IP Attrition'!N145&gt;0,'Attrition Modeling'!$N$9,0)))</f>
        <v>0</v>
      </c>
      <c r="O88" s="799">
        <f>N88*(1-IFERROR(IF(O$77+$F88&lt;=12,SUMIFS('Attrition Modeling'!$D:$D,'Attrition Modeling'!$C:$C,$D88,'Attrition Modeling'!$B:$B,O$76),VLOOKUP($F88+O$77,$A$7:$C$107,2,FALSE)*VLOOKUP(O$76,'Attrition Modeling'!$L$15:$N$27,IF(O$77+$F88&lt;=24,2,3),FALSE)),$C$3)*(1+IF('IP Attrition'!O145&gt;0,'Attrition Modeling'!$N$9,0)))</f>
        <v>0</v>
      </c>
      <c r="P88" s="799">
        <f>O88*(1-IFERROR(IF(P$77+$F88&lt;=12,SUMIFS('Attrition Modeling'!$D:$D,'Attrition Modeling'!$C:$C,$D88,'Attrition Modeling'!$B:$B,P$76),VLOOKUP($F88+P$77,$A$7:$C$107,2,FALSE)*VLOOKUP(P$76,'Attrition Modeling'!$L$15:$N$27,IF(P$77+$F88&lt;=24,2,3),FALSE)),$C$3)*(1+IF('IP Attrition'!P145&gt;0,'Attrition Modeling'!$N$9,0)))</f>
        <v>0</v>
      </c>
      <c r="Q88" s="799">
        <f>P88*(1-IFERROR(IF(Q$77+$F88&lt;=12,SUMIFS('Attrition Modeling'!$D:$D,'Attrition Modeling'!$C:$C,$D88,'Attrition Modeling'!$B:$B,Q$76),VLOOKUP($F88+Q$77,$A$7:$C$107,2,FALSE)*VLOOKUP(Q$76,'Attrition Modeling'!$L$15:$N$27,IF(Q$77+$F88&lt;=24,2,3),FALSE)),$C$3)*(1+IF('IP Attrition'!Q145&gt;0,'Attrition Modeling'!$N$9,0)))</f>
        <v>0</v>
      </c>
      <c r="R88" s="799">
        <f>Q88*(1-IFERROR(IF(R$77+$F88&lt;=12,SUMIFS('Attrition Modeling'!$D:$D,'Attrition Modeling'!$C:$C,$D88,'Attrition Modeling'!$B:$B,R$76),VLOOKUP($F88+R$77,$A$7:$C$107,2,FALSE)*VLOOKUP(R$76,'Attrition Modeling'!$L$15:$N$27,IF(R$77+$F88&lt;=24,2,3),FALSE)),$C$3)*(1+IF('IP Attrition'!R145&gt;0,'Attrition Modeling'!$N$9,0)))</f>
        <v>0</v>
      </c>
      <c r="S88" s="799">
        <f>R88*(1-IFERROR(IF(S$77+$F88&lt;=12,SUMIFS('Attrition Modeling'!$D:$D,'Attrition Modeling'!$C:$C,$D88,'Attrition Modeling'!$B:$B,S$76),VLOOKUP($F88+S$77,$A$7:$C$107,2,FALSE)*VLOOKUP(S$76,'Attrition Modeling'!$L$15:$N$27,IF(S$77+$F88&lt;=24,2,3),FALSE)),$C$3)*(1+IF('IP Attrition'!S145&gt;0,'Attrition Modeling'!$N$9,0)))</f>
        <v>0</v>
      </c>
      <c r="T88" s="799">
        <f>S88*(1-IFERROR(IF(T$77+$F88&lt;=12,SUMIFS('Attrition Modeling'!$D:$D,'Attrition Modeling'!$C:$C,$D88,'Attrition Modeling'!$B:$B,T$76),VLOOKUP($F88+T$77,$A$7:$C$107,2,FALSE)*VLOOKUP(T$76,'Attrition Modeling'!$L$15:$N$27,IF(T$77+$F88&lt;=24,2,3),FALSE)),$C$3)*(1+IF('IP Attrition'!T145&gt;0,'Attrition Modeling'!$N$9,0)))</f>
        <v>0</v>
      </c>
      <c r="U88" s="799">
        <f>T88*(1-IFERROR(IF(U$77+$F88&lt;=12,SUMIFS('Attrition Modeling'!$D:$D,'Attrition Modeling'!$C:$C,$D88,'Attrition Modeling'!$B:$B,U$76),VLOOKUP($F88+U$77,$A$7:$C$107,2,FALSE)*VLOOKUP(U$76,'Attrition Modeling'!$L$15:$N$27,IF(U$77+$F88&lt;=24,2,3),FALSE)),$C$3)*(1+IF('IP Attrition'!U145&gt;0,'Attrition Modeling'!$N$9,0)))</f>
        <v>0</v>
      </c>
      <c r="V88" s="799">
        <f>U88*(1-IFERROR(IF(V$77+$F88&lt;=12,SUMIFS('Attrition Modeling'!$D:$D,'Attrition Modeling'!$C:$C,$D88,'Attrition Modeling'!$B:$B,V$76),VLOOKUP($F88+V$77,$A$7:$C$107,2,FALSE)*VLOOKUP(V$76,'Attrition Modeling'!$L$15:$N$27,IF(V$77+$F88&lt;=24,2,3),FALSE)),$C$3)*(1+IF('IP Attrition'!V145&gt;0,'Attrition Modeling'!$N$9,0)))</f>
        <v>0</v>
      </c>
      <c r="W88" s="799">
        <f>V88*(1-IFERROR(IF(W$77+$F88&lt;=12,SUMIFS('Attrition Modeling'!$D:$D,'Attrition Modeling'!$C:$C,$D88,'Attrition Modeling'!$B:$B,W$76),VLOOKUP($F88+W$77,$A$7:$C$107,2,FALSE)*VLOOKUP(W$76,'Attrition Modeling'!$L$15:$N$27,IF(W$77+$F88&lt;=24,2,3),FALSE)),$C$3)*(1+IF('IP Attrition'!W145&gt;0,'Attrition Modeling'!$N$9,0)))</f>
        <v>0</v>
      </c>
      <c r="X88" s="799">
        <f>W88*(1-IFERROR(IF(X$77+$F88&lt;=12,SUMIFS('Attrition Modeling'!$D:$D,'Attrition Modeling'!$C:$C,$D88,'Attrition Modeling'!$B:$B,X$76),VLOOKUP($F88+X$77,$A$7:$C$107,2,FALSE)*VLOOKUP(X$76,'Attrition Modeling'!$L$15:$N$27,IF(X$77+$F88&lt;=24,2,3),FALSE)),$C$3)*(1+IF('IP Attrition'!X145&gt;0,'Attrition Modeling'!$N$9,0)))</f>
        <v>0</v>
      </c>
      <c r="Y88" s="799">
        <f>X88*(1-IFERROR(IF(Y$77+$F88&lt;=12,SUMIFS('Attrition Modeling'!$D:$D,'Attrition Modeling'!$C:$C,$D88,'Attrition Modeling'!$B:$B,Y$76),VLOOKUP($F88+Y$77,$A$7:$C$107,2,FALSE)*VLOOKUP(Y$76,'Attrition Modeling'!$L$15:$N$27,IF(Y$77+$F88&lt;=24,2,3),FALSE)),$C$3)*(1+IF('IP Attrition'!Y145&gt;0,'Attrition Modeling'!$N$9,0)))</f>
        <v>0</v>
      </c>
      <c r="Z88" s="799">
        <f>Y88*(1-IFERROR(IF(Z$77+$F88&lt;=12,SUMIFS('Attrition Modeling'!$D:$D,'Attrition Modeling'!$C:$C,$D88,'Attrition Modeling'!$B:$B,Z$76),VLOOKUP($F88+Z$77,$A$7:$C$107,2,FALSE)*VLOOKUP(Z$76,'Attrition Modeling'!$L$15:$N$27,IF(Z$77+$F88&lt;=24,2,3),FALSE)),$C$3)*(1+IF('IP Attrition'!Z145&gt;0,'Attrition Modeling'!$N$9,0)))</f>
        <v>0</v>
      </c>
      <c r="AA88" s="799">
        <f>Z88*(1-IFERROR(IF(AA$77+$F88&lt;=12,SUMIFS('Attrition Modeling'!$D:$D,'Attrition Modeling'!$C:$C,$D88,'Attrition Modeling'!$B:$B,AA$76),VLOOKUP($F88+AA$77,$A$7:$C$107,2,FALSE)*VLOOKUP(AA$76,'Attrition Modeling'!$L$15:$N$27,IF(AA$77+$F88&lt;=24,2,3),FALSE)),$C$3)*(1+IF('IP Attrition'!AA145&gt;0,'Attrition Modeling'!$N$9,0)))</f>
        <v>0</v>
      </c>
      <c r="AB88" s="799">
        <f>AA88*(1-IFERROR(IF(AB$77+$F88&lt;=12,SUMIFS('Attrition Modeling'!$D:$D,'Attrition Modeling'!$C:$C,$D88,'Attrition Modeling'!$B:$B,AB$76),VLOOKUP($F88+AB$77,$A$7:$C$107,2,FALSE)*VLOOKUP(AB$76,'Attrition Modeling'!$L$15:$N$27,IF(AB$77+$F88&lt;=24,2,3),FALSE)),$C$3)*(1+IF('IP Attrition'!AB145&gt;0,'Attrition Modeling'!$N$9,0)))</f>
        <v>0</v>
      </c>
      <c r="AC88" s="799">
        <f>AB88*(1-IFERROR(IF(AC$77+$F88&lt;=12,SUMIFS('Attrition Modeling'!$D:$D,'Attrition Modeling'!$C:$C,$D88,'Attrition Modeling'!$B:$B,AC$76),VLOOKUP($F88+AC$77,$A$7:$C$107,2,FALSE)*VLOOKUP(AC$76,'Attrition Modeling'!$L$15:$N$27,IF(AC$77+$F88&lt;=24,2,3),FALSE)),$C$3)*(1+IF('IP Attrition'!AC145&gt;0,'Attrition Modeling'!$N$9,0)))</f>
        <v>0</v>
      </c>
      <c r="AD88" s="799">
        <f>AC88*(1-IFERROR(IF(AD$77+$F88&lt;=12,SUMIFS('Attrition Modeling'!$D:$D,'Attrition Modeling'!$C:$C,$D88,'Attrition Modeling'!$B:$B,AD$76),VLOOKUP($F88+AD$77,$A$7:$C$107,2,FALSE)*VLOOKUP(AD$76,'Attrition Modeling'!$L$15:$N$27,IF(AD$77+$F88&lt;=24,2,3),FALSE)),$C$3)*(1+IF('IP Attrition'!AD145&gt;0,'Attrition Modeling'!$N$9,0)))</f>
        <v>0</v>
      </c>
      <c r="AE88" s="799">
        <f>AD88*(1-IFERROR(IF(AE$77+$F88&lt;=12,SUMIFS('Attrition Modeling'!$D:$D,'Attrition Modeling'!$C:$C,$D88,'Attrition Modeling'!$B:$B,AE$76),VLOOKUP($F88+AE$77,$A$7:$C$107,2,FALSE)*VLOOKUP(AE$76,'Attrition Modeling'!$L$15:$N$27,IF(AE$77+$F88&lt;=24,2,3),FALSE)),$C$3)*(1+IF('IP Attrition'!AE145&gt;0,'Attrition Modeling'!$N$9,0)))</f>
        <v>0</v>
      </c>
      <c r="AF88" s="799">
        <f>AE88*(1-IFERROR(IF(AF$77+$F88&lt;=12,SUMIFS('Attrition Modeling'!$D:$D,'Attrition Modeling'!$C:$C,$D88,'Attrition Modeling'!$B:$B,AF$76),VLOOKUP($F88+AF$77,$A$7:$C$107,2,FALSE)*VLOOKUP(AF$76,'Attrition Modeling'!$L$15:$N$27,IF(AF$77+$F88&lt;=24,2,3),FALSE)),$C$3)*(1+IF('IP Attrition'!AF145&gt;0,'Attrition Modeling'!$N$9,0)))</f>
        <v>0</v>
      </c>
      <c r="AG88" s="799">
        <f>AF88*(1-IFERROR(IF(AG$77+$F88&lt;=12,SUMIFS('Attrition Modeling'!$D:$D,'Attrition Modeling'!$C:$C,$D88,'Attrition Modeling'!$B:$B,AG$76),VLOOKUP($F88+AG$77,$A$7:$C$107,2,FALSE)*VLOOKUP(AG$76,'Attrition Modeling'!$L$15:$N$27,IF(AG$77+$F88&lt;=24,2,3),FALSE)),$C$3)*(1+IF('IP Attrition'!AG145&gt;0,'Attrition Modeling'!$N$9,0)))</f>
        <v>0</v>
      </c>
      <c r="AH88" s="799">
        <f>AG88*(1-IFERROR(IF(AH$77+$F88&lt;=12,SUMIFS('Attrition Modeling'!$D:$D,'Attrition Modeling'!$C:$C,$D88,'Attrition Modeling'!$B:$B,AH$76),VLOOKUP($F88+AH$77,$A$7:$C$107,2,FALSE)*VLOOKUP(AH$76,'Attrition Modeling'!$L$15:$N$27,IF(AH$77+$F88&lt;=24,2,3),FALSE)),$C$3)*(1+IF('IP Attrition'!AH145&gt;0,'Attrition Modeling'!$N$9,0)))</f>
        <v>0</v>
      </c>
      <c r="AI88" s="799">
        <f>AH88*(1-IFERROR(IF(AI$77+$F88&lt;=12,SUMIFS('Attrition Modeling'!$D:$D,'Attrition Modeling'!$C:$C,$D88,'Attrition Modeling'!$B:$B,AI$76),VLOOKUP($F88+AI$77,$A$7:$C$107,2,FALSE)*VLOOKUP(AI$76,'Attrition Modeling'!$L$15:$N$27,IF(AI$77+$F88&lt;=24,2,3),FALSE)),$C$3)*(1+IF('IP Attrition'!AI145&gt;0,'Attrition Modeling'!$N$9,0)))</f>
        <v>0</v>
      </c>
      <c r="AJ88" s="799">
        <f>AI88*(1-IFERROR(IF(AJ$77+$F88&lt;=12,SUMIFS('Attrition Modeling'!$D:$D,'Attrition Modeling'!$C:$C,$D88,'Attrition Modeling'!$B:$B,AJ$76),VLOOKUP($F88+AJ$77,$A$7:$C$107,2,FALSE)*VLOOKUP(AJ$76,'Attrition Modeling'!$L$15:$N$27,IF(AJ$77+$F88&lt;=24,2,3),FALSE)),$C$3)*(1+IF('IP Attrition'!AJ145&gt;0,'Attrition Modeling'!$N$9,0)))</f>
        <v>0</v>
      </c>
      <c r="AK88" s="799">
        <f>AJ88*(1-IFERROR(IF(AK$77+$F88&lt;=12,SUMIFS('Attrition Modeling'!$D:$D,'Attrition Modeling'!$C:$C,$D88,'Attrition Modeling'!$B:$B,AK$76),VLOOKUP($F88+AK$77,$A$7:$C$107,2,FALSE)*VLOOKUP(AK$76,'Attrition Modeling'!$L$15:$N$27,IF(AK$77+$F88&lt;=24,2,3),FALSE)),$C$3)*(1+IF('IP Attrition'!AK145&gt;0,'Attrition Modeling'!$N$9,0)))</f>
        <v>0</v>
      </c>
      <c r="AL88" s="799">
        <f>AK88*(1-IFERROR(IF(AL$77+$F88&lt;=12,SUMIFS('Attrition Modeling'!$D:$D,'Attrition Modeling'!$C:$C,$D88,'Attrition Modeling'!$B:$B,AL$76),VLOOKUP($F88+AL$77,$A$7:$C$107,2,FALSE)*VLOOKUP(AL$76,'Attrition Modeling'!$L$15:$N$27,IF(AL$77+$F88&lt;=24,2,3),FALSE)),$C$3)*(1+IF('IP Attrition'!AL145&gt;0,'Attrition Modeling'!$N$9,0)))</f>
        <v>0</v>
      </c>
      <c r="AM88" s="799">
        <f>AL88*(1-IFERROR(IF(AM$77+$F88&lt;=12,SUMIFS('Attrition Modeling'!$D:$D,'Attrition Modeling'!$C:$C,$D88,'Attrition Modeling'!$B:$B,AM$76),VLOOKUP($F88+AM$77,$A$7:$C$107,2,FALSE)*VLOOKUP(AM$76,'Attrition Modeling'!$L$15:$N$27,IF(AM$77+$F88&lt;=24,2,3),FALSE)),$C$3)*(1+IF('IP Attrition'!AM145&gt;0,'Attrition Modeling'!$N$9,0)))</f>
        <v>0</v>
      </c>
      <c r="AN88" s="799">
        <f>AM88*(1-IFERROR(IF(AN$77+$F88&lt;=12,SUMIFS('Attrition Modeling'!$D:$D,'Attrition Modeling'!$C:$C,$D88,'Attrition Modeling'!$B:$B,AN$76),VLOOKUP($F88+AN$77,$A$7:$C$107,2,FALSE)*VLOOKUP(AN$76,'Attrition Modeling'!$L$15:$N$27,IF(AN$77+$F88&lt;=24,2,3),FALSE)),$C$3)*(1+IF('IP Attrition'!AN145&gt;0,'Attrition Modeling'!$N$9,0)))</f>
        <v>0</v>
      </c>
      <c r="AO88" s="799">
        <f>AN88*(1-IFERROR(IF(AO$77+$F88&lt;=12,SUMIFS('Attrition Modeling'!$D:$D,'Attrition Modeling'!$C:$C,$D88,'Attrition Modeling'!$B:$B,AO$76),VLOOKUP($F88+AO$77,$A$7:$C$107,2,FALSE)*VLOOKUP(AO$76,'Attrition Modeling'!$L$15:$N$27,IF(AO$77+$F88&lt;=24,2,3),FALSE)),$C$3)*(1+IF('IP Attrition'!AO145&gt;0,'Attrition Modeling'!$N$9,0)))</f>
        <v>0</v>
      </c>
      <c r="AP88" s="799">
        <f>AO88*(1-IFERROR(IF(AP$77+$F88&lt;=12,SUMIFS('Attrition Modeling'!$D:$D,'Attrition Modeling'!$C:$C,$D88,'Attrition Modeling'!$B:$B,AP$76),VLOOKUP($F88+AP$77,$A$7:$C$107,2,FALSE)*VLOOKUP(AP$76,'Attrition Modeling'!$L$15:$N$27,IF(AP$77+$F88&lt;=24,2,3),FALSE)),$C$3)*(1+IF('IP Attrition'!AP145&gt;0,'Attrition Modeling'!$N$9,0)))</f>
        <v>0</v>
      </c>
      <c r="AQ88" s="799">
        <f>AP88*(1-IFERROR(IF(AQ$77+$F88&lt;=12,SUMIFS('Attrition Modeling'!$D:$D,'Attrition Modeling'!$C:$C,$D88,'Attrition Modeling'!$B:$B,AQ$76),VLOOKUP($F88+AQ$77,$A$7:$C$107,2,FALSE)*VLOOKUP(AQ$76,'Attrition Modeling'!$L$15:$N$27,IF(AQ$77+$F88&lt;=24,2,3),FALSE)),$C$3)*(1+IF('IP Attrition'!AQ145&gt;0,'Attrition Modeling'!$N$9,0)))</f>
        <v>0</v>
      </c>
      <c r="AR88" s="799">
        <f>AQ88*(1-IFERROR(IF(AR$77+$F88&lt;=12,SUMIFS('Attrition Modeling'!$D:$D,'Attrition Modeling'!$C:$C,$D88,'Attrition Modeling'!$B:$B,AR$76),VLOOKUP($F88+AR$77,$A$7:$C$107,2,FALSE)*VLOOKUP(AR$76,'Attrition Modeling'!$L$15:$N$27,IF(AR$77+$F88&lt;=24,2,3),FALSE)),$C$3)*(1+IF('IP Attrition'!AR145&gt;0,'Attrition Modeling'!$N$9,0)))</f>
        <v>0</v>
      </c>
      <c r="AS88" s="799">
        <f>AR88*(1-IFERROR(IF(AS$77+$F88&lt;=12,SUMIFS('Attrition Modeling'!$D:$D,'Attrition Modeling'!$C:$C,$D88,'Attrition Modeling'!$B:$B,AS$76),VLOOKUP($F88+AS$77,$A$7:$C$107,2,FALSE)*VLOOKUP(AS$76,'Attrition Modeling'!$L$15:$N$27,IF(AS$77+$F88&lt;=24,2,3),FALSE)),$C$3)*(1+IF('IP Attrition'!AS145&gt;0,'Attrition Modeling'!$N$9,0)))</f>
        <v>0</v>
      </c>
      <c r="AT88" s="799">
        <f>AS88*(1-IFERROR(IF(AT$77+$F88&lt;=12,SUMIFS('Attrition Modeling'!$D:$D,'Attrition Modeling'!$C:$C,$D88,'Attrition Modeling'!$B:$B,AT$76),VLOOKUP($F88+AT$77,$A$7:$C$107,2,FALSE)*VLOOKUP(AT$76,'Attrition Modeling'!$L$15:$N$27,IF(AT$77+$F88&lt;=24,2,3),FALSE)),$C$3)*(1+IF('IP Attrition'!AT145&gt;0,'Attrition Modeling'!$N$9,0)))</f>
        <v>0</v>
      </c>
      <c r="AU88" s="799">
        <f>AT88*(1-IFERROR(IF(AU$77+$F88&lt;=12,SUMIFS('Attrition Modeling'!$D:$D,'Attrition Modeling'!$C:$C,$D88,'Attrition Modeling'!$B:$B,AU$76),VLOOKUP($F88+AU$77,$A$7:$C$107,2,FALSE)*VLOOKUP(AU$76,'Attrition Modeling'!$L$15:$N$27,IF(AU$77+$F88&lt;=24,2,3),FALSE)),$C$3)*(1+IF('IP Attrition'!AU145&gt;0,'Attrition Modeling'!$N$9,0)))</f>
        <v>0</v>
      </c>
      <c r="AV88" s="799">
        <f>AU88*(1-IFERROR(IF(AV$77+$F88&lt;=12,SUMIFS('Attrition Modeling'!$D:$D,'Attrition Modeling'!$C:$C,$D88,'Attrition Modeling'!$B:$B,AV$76),VLOOKUP($F88+AV$77,$A$7:$C$107,2,FALSE)*VLOOKUP(AV$76,'Attrition Modeling'!$L$15:$N$27,IF(AV$77+$F88&lt;=24,2,3),FALSE)),$C$3)*(1+IF('IP Attrition'!AV145&gt;0,'Attrition Modeling'!$N$9,0)))</f>
        <v>0</v>
      </c>
      <c r="AW88" s="799">
        <f>AV88*(1-IFERROR(IF(AW$77+$F88&lt;=12,SUMIFS('Attrition Modeling'!$D:$D,'Attrition Modeling'!$C:$C,$D88,'Attrition Modeling'!$B:$B,AW$76),VLOOKUP($F88+AW$77,$A$7:$C$107,2,FALSE)*VLOOKUP(AW$76,'Attrition Modeling'!$L$15:$N$27,IF(AW$77+$F88&lt;=24,2,3),FALSE)),$C$3)*(1+IF('IP Attrition'!AW145&gt;0,'Attrition Modeling'!$N$9,0)))</f>
        <v>0</v>
      </c>
      <c r="AX88" s="799">
        <f>AW88*(1-IFERROR(IF(AX$77+$F88&lt;=12,SUMIFS('Attrition Modeling'!$D:$D,'Attrition Modeling'!$C:$C,$D88,'Attrition Modeling'!$B:$B,AX$76),VLOOKUP($F88+AX$77,$A$7:$C$107,2,FALSE)*VLOOKUP(AX$76,'Attrition Modeling'!$L$15:$N$27,IF(AX$77+$F88&lt;=24,2,3),FALSE)),$C$3)*(1+IF('IP Attrition'!AX145&gt;0,'Attrition Modeling'!$N$9,0)))</f>
        <v>0</v>
      </c>
      <c r="AY88" s="799">
        <f>AX88*(1-IFERROR(IF(AY$77+$F88&lt;=12,SUMIFS('Attrition Modeling'!$D:$D,'Attrition Modeling'!$C:$C,$D88,'Attrition Modeling'!$B:$B,AY$76),VLOOKUP($F88+AY$77,$A$7:$C$107,2,FALSE)*VLOOKUP(AY$76,'Attrition Modeling'!$L$15:$N$27,IF(AY$77+$F88&lt;=24,2,3),FALSE)),$C$3)*(1+IF('IP Attrition'!AY145&gt;0,'Attrition Modeling'!$N$9,0)))</f>
        <v>0</v>
      </c>
      <c r="AZ88" s="799">
        <f>AY88*(1-IFERROR(IF(AZ$77+$F88&lt;=12,SUMIFS('Attrition Modeling'!$D:$D,'Attrition Modeling'!$C:$C,$D88,'Attrition Modeling'!$B:$B,AZ$76),VLOOKUP($F88+AZ$77,$A$7:$C$107,2,FALSE)*VLOOKUP(AZ$76,'Attrition Modeling'!$L$15:$N$27,IF(AZ$77+$F88&lt;=24,2,3),FALSE)),$C$3)*(1+IF('IP Attrition'!AZ145&gt;0,'Attrition Modeling'!$N$9,0)))</f>
        <v>0</v>
      </c>
      <c r="BA88" s="799">
        <f>AZ88*(1-IFERROR(IF(BA$77+$F88&lt;=12,SUMIFS('Attrition Modeling'!$D:$D,'Attrition Modeling'!$C:$C,$D88,'Attrition Modeling'!$B:$B,BA$76),VLOOKUP($F88+BA$77,$A$7:$C$107,2,FALSE)*VLOOKUP(BA$76,'Attrition Modeling'!$L$15:$N$27,IF(BA$77+$F88&lt;=24,2,3),FALSE)),$C$3)*(1+IF('IP Attrition'!BA145&gt;0,'Attrition Modeling'!$N$9,0)))</f>
        <v>0</v>
      </c>
      <c r="BB88" s="799">
        <f>BA88*(1-IFERROR(IF(BB$77+$F88&lt;=12,SUMIFS('Attrition Modeling'!$D:$D,'Attrition Modeling'!$C:$C,$D88,'Attrition Modeling'!$B:$B,BB$76),VLOOKUP($F88+BB$77,$A$7:$C$107,2,FALSE)*VLOOKUP(BB$76,'Attrition Modeling'!$L$15:$N$27,IF(BB$77+$F88&lt;=24,2,3),FALSE)),$C$3)*(1+IF('IP Attrition'!BB145&gt;0,'Attrition Modeling'!$N$9,0)))</f>
        <v>0</v>
      </c>
      <c r="BC88" s="799">
        <f>BB88*(1-IFERROR(IF(BC$77+$F88&lt;=12,SUMIFS('Attrition Modeling'!$D:$D,'Attrition Modeling'!$C:$C,$D88,'Attrition Modeling'!$B:$B,BC$76),VLOOKUP($F88+BC$77,$A$7:$C$107,2,FALSE)*VLOOKUP(BC$76,'Attrition Modeling'!$L$15:$N$27,IF(BC$77+$F88&lt;=24,2,3),FALSE)),$C$3)*(1+IF('IP Attrition'!BC145&gt;0,'Attrition Modeling'!$N$9,0)))</f>
        <v>0</v>
      </c>
      <c r="BD88" s="799">
        <f>BC88*(1-IFERROR(IF(BD$77+$F88&lt;=12,SUMIFS('Attrition Modeling'!$D:$D,'Attrition Modeling'!$C:$C,$D88,'Attrition Modeling'!$B:$B,BD$76),VLOOKUP($F88+BD$77,$A$7:$C$107,2,FALSE)*VLOOKUP(BD$76,'Attrition Modeling'!$L$15:$N$27,IF(BD$77+$F88&lt;=24,2,3),FALSE)),$C$3)*(1+IF('IP Attrition'!BD145&gt;0,'Attrition Modeling'!$N$9,0)))</f>
        <v>0</v>
      </c>
      <c r="BE88" s="799">
        <f>BD88*(1-IFERROR(IF(BE$77+$F88&lt;=12,SUMIFS('Attrition Modeling'!$D:$D,'Attrition Modeling'!$C:$C,$D88,'Attrition Modeling'!$B:$B,BE$76),VLOOKUP($F88+BE$77,$A$7:$C$107,2,FALSE)*VLOOKUP(BE$76,'Attrition Modeling'!$L$15:$N$27,IF(BE$77+$F88&lt;=24,2,3),FALSE)),$C$3)*(1+IF('IP Attrition'!BE145&gt;0,'Attrition Modeling'!$N$9,0)))</f>
        <v>0</v>
      </c>
      <c r="BF88" s="799">
        <f>BE88*(1-IFERROR(IF(BF$77+$F88&lt;=12,SUMIFS('Attrition Modeling'!$D:$D,'Attrition Modeling'!$C:$C,$D88,'Attrition Modeling'!$B:$B,BF$76),VLOOKUP($F88+BF$77,$A$7:$C$107,2,FALSE)*VLOOKUP(BF$76,'Attrition Modeling'!$L$15:$N$27,IF(BF$77+$F88&lt;=24,2,3),FALSE)),$C$3)*(1+IF('IP Attrition'!BF145&gt;0,'Attrition Modeling'!$N$9,0)))</f>
        <v>0</v>
      </c>
      <c r="BG88" s="799">
        <f>BF88*(1-IFERROR(IF(BG$77+$F88&lt;=12,SUMIFS('Attrition Modeling'!$D:$D,'Attrition Modeling'!$C:$C,$D88,'Attrition Modeling'!$B:$B,BG$76),VLOOKUP($F88+BG$77,$A$7:$C$107,2,FALSE)*VLOOKUP(BG$76,'Attrition Modeling'!$L$15:$N$27,IF(BG$77+$F88&lt;=24,2,3),FALSE)),$C$3)*(1+IF('IP Attrition'!BG145&gt;0,'Attrition Modeling'!$N$9,0)))</f>
        <v>0</v>
      </c>
      <c r="BH88" s="799">
        <f>BG88*(1-IFERROR(IF(BH$77+$F88&lt;=12,SUMIFS('Attrition Modeling'!$D:$D,'Attrition Modeling'!$C:$C,$D88,'Attrition Modeling'!$B:$B,BH$76),VLOOKUP($F88+BH$77,$A$7:$C$107,2,FALSE)*VLOOKUP(BH$76,'Attrition Modeling'!$L$15:$N$27,IF(BH$77+$F88&lt;=24,2,3),FALSE)),$C$3)*(1+IF('IP Attrition'!BH145&gt;0,'Attrition Modeling'!$N$9,0)))</f>
        <v>0</v>
      </c>
      <c r="BI88" s="799">
        <f>BH88*(1-IFERROR(IF(BI$77+$F88&lt;=12,SUMIFS('Attrition Modeling'!$D:$D,'Attrition Modeling'!$C:$C,$D88,'Attrition Modeling'!$B:$B,BI$76),VLOOKUP($F88+BI$77,$A$7:$C$107,2,FALSE)*VLOOKUP(BI$76,'Attrition Modeling'!$L$15:$N$27,IF(BI$77+$F88&lt;=24,2,3),FALSE)),$C$3)*(1+IF('IP Attrition'!BI145&gt;0,'Attrition Modeling'!$N$9,0)))</f>
        <v>0</v>
      </c>
      <c r="BJ88" s="799">
        <f>BI88*(1-IFERROR(IF(BJ$77+$F88&lt;=12,SUMIFS('Attrition Modeling'!$D:$D,'Attrition Modeling'!$C:$C,$D88,'Attrition Modeling'!$B:$B,BJ$76),VLOOKUP($F88+BJ$77,$A$7:$C$107,2,FALSE)*VLOOKUP(BJ$76,'Attrition Modeling'!$L$15:$N$27,IF(BJ$77+$F88&lt;=24,2,3),FALSE)),$C$3)*(1+IF('IP Attrition'!BJ145&gt;0,'Attrition Modeling'!$N$9,0)))</f>
        <v>0</v>
      </c>
      <c r="BK88" s="799">
        <f>BJ88*(1-IFERROR(IF(BK$77+$F88&lt;=12,SUMIFS('Attrition Modeling'!$D:$D,'Attrition Modeling'!$C:$C,$D88,'Attrition Modeling'!$B:$B,BK$76),VLOOKUP($F88+BK$77,$A$7:$C$107,2,FALSE)*VLOOKUP(BK$76,'Attrition Modeling'!$L$15:$N$27,IF(BK$77+$F88&lt;=24,2,3),FALSE)),$C$3)*(1+IF('IP Attrition'!BK145&gt;0,'Attrition Modeling'!$N$9,0)))</f>
        <v>0</v>
      </c>
      <c r="BL88" s="799">
        <f>BK88*(1-IFERROR(IF(BL$77+$F88&lt;=12,SUMIFS('Attrition Modeling'!$D:$D,'Attrition Modeling'!$C:$C,$D88,'Attrition Modeling'!$B:$B,BL$76),VLOOKUP($F88+BL$77,$A$7:$C$107,2,FALSE)*VLOOKUP(BL$76,'Attrition Modeling'!$L$15:$N$27,IF(BL$77+$F88&lt;=24,2,3),FALSE)),$C$3)*(1+IF('IP Attrition'!BL145&gt;0,'Attrition Modeling'!$N$9,0)))</f>
        <v>0</v>
      </c>
      <c r="BM88" s="799">
        <f>BL88*(1-IFERROR(IF(BM$77+$F88&lt;=12,SUMIFS('Attrition Modeling'!$D:$D,'Attrition Modeling'!$C:$C,$D88,'Attrition Modeling'!$B:$B,BM$76),VLOOKUP($F88+BM$77,$A$7:$C$107,2,FALSE)*VLOOKUP(BM$76,'Attrition Modeling'!$L$15:$N$27,IF(BM$77+$F88&lt;=24,2,3),FALSE)),$C$3)*(1+IF('IP Attrition'!BM145&gt;0,'Attrition Modeling'!$N$9,0)))</f>
        <v>0</v>
      </c>
      <c r="BN88" s="799">
        <f>BM88*(1-IFERROR(IF(BN$77+$F88&lt;=12,SUMIFS('Attrition Modeling'!$D:$D,'Attrition Modeling'!$C:$C,$D88,'Attrition Modeling'!$B:$B,BN$76),VLOOKUP($F88+BN$77,$A$7:$C$107,2,FALSE)*VLOOKUP(BN$76,'Attrition Modeling'!$L$15:$N$27,IF(BN$77+$F88&lt;=24,2,3),FALSE)),$C$3)*(1+IF('IP Attrition'!BN145&gt;0,'Attrition Modeling'!$N$9,0)))</f>
        <v>0</v>
      </c>
      <c r="BO88" s="799">
        <f>BN88*(1-IFERROR(IF(BO$77+$F88&lt;=12,SUMIFS('Attrition Modeling'!$D:$D,'Attrition Modeling'!$C:$C,$D88,'Attrition Modeling'!$B:$B,BO$76),VLOOKUP($F88+BO$77,$A$7:$C$107,2,FALSE)*VLOOKUP(BO$76,'Attrition Modeling'!$L$15:$N$27,IF(BO$77+$F88&lt;=24,2,3),FALSE)),$C$3)*(1+IF('IP Attrition'!BO145&gt;0,'Attrition Modeling'!$N$9,0)))</f>
        <v>0</v>
      </c>
      <c r="BP88" s="799">
        <f>BO88*(1-IFERROR(IF(BP$77+$F88&lt;=12,SUMIFS('Attrition Modeling'!$D:$D,'Attrition Modeling'!$C:$C,$D88,'Attrition Modeling'!$B:$B,BP$76),VLOOKUP($F88+BP$77,$A$7:$C$107,2,FALSE)*VLOOKUP(BP$76,'Attrition Modeling'!$L$15:$N$27,IF(BP$77+$F88&lt;=24,2,3),FALSE)),$C$3)*(1+IF('IP Attrition'!BP145&gt;0,'Attrition Modeling'!$N$9,0)))</f>
        <v>0</v>
      </c>
      <c r="BQ88" s="799">
        <f>BP88*(1-IFERROR(IF(BQ$77+$F88&lt;=12,SUMIFS('Attrition Modeling'!$D:$D,'Attrition Modeling'!$C:$C,$D88,'Attrition Modeling'!$B:$B,BQ$76),VLOOKUP($F88+BQ$77,$A$7:$C$107,2,FALSE)*VLOOKUP(BQ$76,'Attrition Modeling'!$L$15:$N$27,IF(BQ$77+$F88&lt;=24,2,3),FALSE)),$C$3)*(1+IF('IP Attrition'!BQ145&gt;0,'Attrition Modeling'!$N$9,0)))</f>
        <v>0</v>
      </c>
      <c r="BR88" s="799">
        <f>BQ88*(1-IFERROR(IF(BR$77+$F88&lt;=12,SUMIFS('Attrition Modeling'!$D:$D,'Attrition Modeling'!$C:$C,$D88,'Attrition Modeling'!$B:$B,BR$76),VLOOKUP($F88+BR$77,$A$7:$C$107,2,FALSE)*VLOOKUP(BR$76,'Attrition Modeling'!$L$15:$N$27,IF(BR$77+$F88&lt;=24,2,3),FALSE)),$C$3)*(1+IF('IP Attrition'!BR145&gt;0,'Attrition Modeling'!$N$9,0)))</f>
        <v>0</v>
      </c>
      <c r="BS88" s="799">
        <f>BR88*(1-IFERROR(IF(BS$77+$F88&lt;=12,SUMIFS('Attrition Modeling'!$D:$D,'Attrition Modeling'!$C:$C,$D88,'Attrition Modeling'!$B:$B,BS$76),VLOOKUP($F88+BS$77,$A$7:$C$107,2,FALSE)*VLOOKUP(BS$76,'Attrition Modeling'!$L$15:$N$27,IF(BS$77+$F88&lt;=24,2,3),FALSE)),$C$3)*(1+IF('IP Attrition'!BS145&gt;0,'Attrition Modeling'!$N$9,0)))</f>
        <v>0</v>
      </c>
      <c r="BT88" s="799" t="e">
        <f>BS88*(1-IFERROR(IF(BT$77+$F88&lt;=12,SUMIFS('Attrition Modeling'!$D:$D,'Attrition Modeling'!$C:$C,$D88,'Attrition Modeling'!$B:$B,BT$76),VLOOKUP($F88+BT$77,$A$7:$C$107,2,FALSE)*VLOOKUP(BT$76,'Attrition Modeling'!$L$15:$N$27,IF(BT$77+$F88&lt;=24,2,3),FALSE)),$C$3)*(1+IF('IP Attrition'!BT145&gt;0,'Attrition Modeling'!$N$9,0)))</f>
        <v>#REF!</v>
      </c>
      <c r="BU88" s="799" t="e">
        <f>BT88*(1-IFERROR(IF(BU$77+$F88&lt;=12,SUMIFS('Attrition Modeling'!$D:$D,'Attrition Modeling'!$C:$C,$D88,'Attrition Modeling'!$B:$B,BU$76),VLOOKUP($F88+BU$77,$A$7:$C$107,2,FALSE)*VLOOKUP(BU$76,'Attrition Modeling'!$L$15:$N$27,IF(BU$77+$F88&lt;=24,2,3),FALSE)),$C$3)*(1+IF('IP Attrition'!BU145&gt;0,'Attrition Modeling'!$N$9,0)))</f>
        <v>#REF!</v>
      </c>
    </row>
    <row r="89" spans="1:73" ht="14.25" customHeight="1" x14ac:dyDescent="0.2">
      <c r="A89" s="9">
        <v>81</v>
      </c>
      <c r="B89" s="25">
        <f>MAX('Attrition Modeling'!H85,$C$3)*(1-Summary!$C$20)</f>
        <v>0.02</v>
      </c>
      <c r="C89" s="24" t="e">
        <f t="shared" si="2"/>
        <v>#DIV/0!</v>
      </c>
      <c r="D89" s="11">
        <f>'IP Attrition'!D81</f>
        <v>-11</v>
      </c>
      <c r="E89" s="25">
        <f>'IP Attrition'!E81</f>
        <v>0</v>
      </c>
      <c r="F89" s="11">
        <f t="shared" si="8"/>
        <v>11</v>
      </c>
      <c r="G89" s="799">
        <f>Summary!$C$24*$E89</f>
        <v>0</v>
      </c>
      <c r="H89" s="799">
        <f>G89*(1-IFERROR(IF(H$77+$F89&lt;=12,SUMIFS('Attrition Modeling'!$D:$D,'Attrition Modeling'!$C:$C,$D89,'Attrition Modeling'!$B:$B,H$76),VLOOKUP($F89+H$77,$A$7:$C$107,2,FALSE)*VLOOKUP(H$76,'Attrition Modeling'!$L$15:$N$27,IF(H$77+$F89&lt;=24,2,3),FALSE)),$C$3)*(1+IF('IP Attrition'!H146&gt;0,'Attrition Modeling'!$N$9,0)))</f>
        <v>0</v>
      </c>
      <c r="I89" s="799">
        <f>H89*(1-IFERROR(IF(I$77+$F89&lt;=12,SUMIFS('Attrition Modeling'!$D:$D,'Attrition Modeling'!$C:$C,$D89,'Attrition Modeling'!$B:$B,I$76),VLOOKUP($F89+I$77,$A$7:$C$107,2,FALSE)*VLOOKUP(I$76,'Attrition Modeling'!$L$15:$N$27,IF(I$77+$F89&lt;=24,2,3),FALSE)),$C$3)*(1+IF('IP Attrition'!I146&gt;0,'Attrition Modeling'!$N$9,0)))</f>
        <v>0</v>
      </c>
      <c r="J89" s="799">
        <f>I89*(1-IFERROR(IF(J$77+$F89&lt;=12,SUMIFS('Attrition Modeling'!$D:$D,'Attrition Modeling'!$C:$C,$D89,'Attrition Modeling'!$B:$B,J$76),VLOOKUP($F89+J$77,$A$7:$C$107,2,FALSE)*VLOOKUP(J$76,'Attrition Modeling'!$L$15:$N$27,IF(J$77+$F89&lt;=24,2,3),FALSE)),$C$3)*(1+IF('IP Attrition'!J146&gt;0,'Attrition Modeling'!$N$9,0)))</f>
        <v>0</v>
      </c>
      <c r="K89" s="799">
        <f>J89*(1-IFERROR(IF(K$77+$F89&lt;=12,SUMIFS('Attrition Modeling'!$D:$D,'Attrition Modeling'!$C:$C,$D89,'Attrition Modeling'!$B:$B,K$76),VLOOKUP($F89+K$77,$A$7:$C$107,2,FALSE)*VLOOKUP(K$76,'Attrition Modeling'!$L$15:$N$27,IF(K$77+$F89&lt;=24,2,3),FALSE)),$C$3)*(1+IF('IP Attrition'!K146&gt;0,'Attrition Modeling'!$N$9,0)))</f>
        <v>0</v>
      </c>
      <c r="L89" s="799">
        <f>K89*(1-IFERROR(IF(L$77+$F89&lt;=12,SUMIFS('Attrition Modeling'!$D:$D,'Attrition Modeling'!$C:$C,$D89,'Attrition Modeling'!$B:$B,L$76),VLOOKUP($F89+L$77,$A$7:$C$107,2,FALSE)*VLOOKUP(L$76,'Attrition Modeling'!$L$15:$N$27,IF(L$77+$F89&lt;=24,2,3),FALSE)),$C$3)*(1+IF('IP Attrition'!L146&gt;0,'Attrition Modeling'!$N$9,0)))</f>
        <v>0</v>
      </c>
      <c r="M89" s="799">
        <f>L89*(1-IFERROR(IF(M$77+$F89&lt;=12,SUMIFS('Attrition Modeling'!$D:$D,'Attrition Modeling'!$C:$C,$D89,'Attrition Modeling'!$B:$B,M$76),VLOOKUP($F89+M$77,$A$7:$C$107,2,FALSE)*VLOOKUP(M$76,'Attrition Modeling'!$L$15:$N$27,IF(M$77+$F89&lt;=24,2,3),FALSE)),$C$3)*(1+IF('IP Attrition'!M146&gt;0,'Attrition Modeling'!$N$9,0)))</f>
        <v>0</v>
      </c>
      <c r="N89" s="799">
        <f>M89*(1-IFERROR(IF(N$77+$F89&lt;=12,SUMIFS('Attrition Modeling'!$D:$D,'Attrition Modeling'!$C:$C,$D89,'Attrition Modeling'!$B:$B,N$76),VLOOKUP($F89+N$77,$A$7:$C$107,2,FALSE)*VLOOKUP(N$76,'Attrition Modeling'!$L$15:$N$27,IF(N$77+$F89&lt;=24,2,3),FALSE)),$C$3)*(1+IF('IP Attrition'!N146&gt;0,'Attrition Modeling'!$N$9,0)))</f>
        <v>0</v>
      </c>
      <c r="O89" s="799">
        <f>N89*(1-IFERROR(IF(O$77+$F89&lt;=12,SUMIFS('Attrition Modeling'!$D:$D,'Attrition Modeling'!$C:$C,$D89,'Attrition Modeling'!$B:$B,O$76),VLOOKUP($F89+O$77,$A$7:$C$107,2,FALSE)*VLOOKUP(O$76,'Attrition Modeling'!$L$15:$N$27,IF(O$77+$F89&lt;=24,2,3),FALSE)),$C$3)*(1+IF('IP Attrition'!O146&gt;0,'Attrition Modeling'!$N$9,0)))</f>
        <v>0</v>
      </c>
      <c r="P89" s="799">
        <f>O89*(1-IFERROR(IF(P$77+$F89&lt;=12,SUMIFS('Attrition Modeling'!$D:$D,'Attrition Modeling'!$C:$C,$D89,'Attrition Modeling'!$B:$B,P$76),VLOOKUP($F89+P$77,$A$7:$C$107,2,FALSE)*VLOOKUP(P$76,'Attrition Modeling'!$L$15:$N$27,IF(P$77+$F89&lt;=24,2,3),FALSE)),$C$3)*(1+IF('IP Attrition'!P146&gt;0,'Attrition Modeling'!$N$9,0)))</f>
        <v>0</v>
      </c>
      <c r="Q89" s="799">
        <f>P89*(1-IFERROR(IF(Q$77+$F89&lt;=12,SUMIFS('Attrition Modeling'!$D:$D,'Attrition Modeling'!$C:$C,$D89,'Attrition Modeling'!$B:$B,Q$76),VLOOKUP($F89+Q$77,$A$7:$C$107,2,FALSE)*VLOOKUP(Q$76,'Attrition Modeling'!$L$15:$N$27,IF(Q$77+$F89&lt;=24,2,3),FALSE)),$C$3)*(1+IF('IP Attrition'!Q146&gt;0,'Attrition Modeling'!$N$9,0)))</f>
        <v>0</v>
      </c>
      <c r="R89" s="799">
        <f>Q89*(1-IFERROR(IF(R$77+$F89&lt;=12,SUMIFS('Attrition Modeling'!$D:$D,'Attrition Modeling'!$C:$C,$D89,'Attrition Modeling'!$B:$B,R$76),VLOOKUP($F89+R$77,$A$7:$C$107,2,FALSE)*VLOOKUP(R$76,'Attrition Modeling'!$L$15:$N$27,IF(R$77+$F89&lt;=24,2,3),FALSE)),$C$3)*(1+IF('IP Attrition'!R146&gt;0,'Attrition Modeling'!$N$9,0)))</f>
        <v>0</v>
      </c>
      <c r="S89" s="799">
        <f>R89*(1-IFERROR(IF(S$77+$F89&lt;=12,SUMIFS('Attrition Modeling'!$D:$D,'Attrition Modeling'!$C:$C,$D89,'Attrition Modeling'!$B:$B,S$76),VLOOKUP($F89+S$77,$A$7:$C$107,2,FALSE)*VLOOKUP(S$76,'Attrition Modeling'!$L$15:$N$27,IF(S$77+$F89&lt;=24,2,3),FALSE)),$C$3)*(1+IF('IP Attrition'!S146&gt;0,'Attrition Modeling'!$N$9,0)))</f>
        <v>0</v>
      </c>
      <c r="T89" s="799">
        <f>S89*(1-IFERROR(IF(T$77+$F89&lt;=12,SUMIFS('Attrition Modeling'!$D:$D,'Attrition Modeling'!$C:$C,$D89,'Attrition Modeling'!$B:$B,T$76),VLOOKUP($F89+T$77,$A$7:$C$107,2,FALSE)*VLOOKUP(T$76,'Attrition Modeling'!$L$15:$N$27,IF(T$77+$F89&lt;=24,2,3),FALSE)),$C$3)*(1+IF('IP Attrition'!T146&gt;0,'Attrition Modeling'!$N$9,0)))</f>
        <v>0</v>
      </c>
      <c r="U89" s="799">
        <f>T89*(1-IFERROR(IF(U$77+$F89&lt;=12,SUMIFS('Attrition Modeling'!$D:$D,'Attrition Modeling'!$C:$C,$D89,'Attrition Modeling'!$B:$B,U$76),VLOOKUP($F89+U$77,$A$7:$C$107,2,FALSE)*VLOOKUP(U$76,'Attrition Modeling'!$L$15:$N$27,IF(U$77+$F89&lt;=24,2,3),FALSE)),$C$3)*(1+IF('IP Attrition'!U146&gt;0,'Attrition Modeling'!$N$9,0)))</f>
        <v>0</v>
      </c>
      <c r="V89" s="799">
        <f>U89*(1-IFERROR(IF(V$77+$F89&lt;=12,SUMIFS('Attrition Modeling'!$D:$D,'Attrition Modeling'!$C:$C,$D89,'Attrition Modeling'!$B:$B,V$76),VLOOKUP($F89+V$77,$A$7:$C$107,2,FALSE)*VLOOKUP(V$76,'Attrition Modeling'!$L$15:$N$27,IF(V$77+$F89&lt;=24,2,3),FALSE)),$C$3)*(1+IF('IP Attrition'!V146&gt;0,'Attrition Modeling'!$N$9,0)))</f>
        <v>0</v>
      </c>
      <c r="W89" s="799">
        <f>V89*(1-IFERROR(IF(W$77+$F89&lt;=12,SUMIFS('Attrition Modeling'!$D:$D,'Attrition Modeling'!$C:$C,$D89,'Attrition Modeling'!$B:$B,W$76),VLOOKUP($F89+W$77,$A$7:$C$107,2,FALSE)*VLOOKUP(W$76,'Attrition Modeling'!$L$15:$N$27,IF(W$77+$F89&lt;=24,2,3),FALSE)),$C$3)*(1+IF('IP Attrition'!W146&gt;0,'Attrition Modeling'!$N$9,0)))</f>
        <v>0</v>
      </c>
      <c r="X89" s="799">
        <f>W89*(1-IFERROR(IF(X$77+$F89&lt;=12,SUMIFS('Attrition Modeling'!$D:$D,'Attrition Modeling'!$C:$C,$D89,'Attrition Modeling'!$B:$B,X$76),VLOOKUP($F89+X$77,$A$7:$C$107,2,FALSE)*VLOOKUP(X$76,'Attrition Modeling'!$L$15:$N$27,IF(X$77+$F89&lt;=24,2,3),FALSE)),$C$3)*(1+IF('IP Attrition'!X146&gt;0,'Attrition Modeling'!$N$9,0)))</f>
        <v>0</v>
      </c>
      <c r="Y89" s="799">
        <f>X89*(1-IFERROR(IF(Y$77+$F89&lt;=12,SUMIFS('Attrition Modeling'!$D:$D,'Attrition Modeling'!$C:$C,$D89,'Attrition Modeling'!$B:$B,Y$76),VLOOKUP($F89+Y$77,$A$7:$C$107,2,FALSE)*VLOOKUP(Y$76,'Attrition Modeling'!$L$15:$N$27,IF(Y$77+$F89&lt;=24,2,3),FALSE)),$C$3)*(1+IF('IP Attrition'!Y146&gt;0,'Attrition Modeling'!$N$9,0)))</f>
        <v>0</v>
      </c>
      <c r="Z89" s="799">
        <f>Y89*(1-IFERROR(IF(Z$77+$F89&lt;=12,SUMIFS('Attrition Modeling'!$D:$D,'Attrition Modeling'!$C:$C,$D89,'Attrition Modeling'!$B:$B,Z$76),VLOOKUP($F89+Z$77,$A$7:$C$107,2,FALSE)*VLOOKUP(Z$76,'Attrition Modeling'!$L$15:$N$27,IF(Z$77+$F89&lt;=24,2,3),FALSE)),$C$3)*(1+IF('IP Attrition'!Z146&gt;0,'Attrition Modeling'!$N$9,0)))</f>
        <v>0</v>
      </c>
      <c r="AA89" s="799">
        <f>Z89*(1-IFERROR(IF(AA$77+$F89&lt;=12,SUMIFS('Attrition Modeling'!$D:$D,'Attrition Modeling'!$C:$C,$D89,'Attrition Modeling'!$B:$B,AA$76),VLOOKUP($F89+AA$77,$A$7:$C$107,2,FALSE)*VLOOKUP(AA$76,'Attrition Modeling'!$L$15:$N$27,IF(AA$77+$F89&lt;=24,2,3),FALSE)),$C$3)*(1+IF('IP Attrition'!AA146&gt;0,'Attrition Modeling'!$N$9,0)))</f>
        <v>0</v>
      </c>
      <c r="AB89" s="799">
        <f>AA89*(1-IFERROR(IF(AB$77+$F89&lt;=12,SUMIFS('Attrition Modeling'!$D:$D,'Attrition Modeling'!$C:$C,$D89,'Attrition Modeling'!$B:$B,AB$76),VLOOKUP($F89+AB$77,$A$7:$C$107,2,FALSE)*VLOOKUP(AB$76,'Attrition Modeling'!$L$15:$N$27,IF(AB$77+$F89&lt;=24,2,3),FALSE)),$C$3)*(1+IF('IP Attrition'!AB146&gt;0,'Attrition Modeling'!$N$9,0)))</f>
        <v>0</v>
      </c>
      <c r="AC89" s="799">
        <f>AB89*(1-IFERROR(IF(AC$77+$F89&lt;=12,SUMIFS('Attrition Modeling'!$D:$D,'Attrition Modeling'!$C:$C,$D89,'Attrition Modeling'!$B:$B,AC$76),VLOOKUP($F89+AC$77,$A$7:$C$107,2,FALSE)*VLOOKUP(AC$76,'Attrition Modeling'!$L$15:$N$27,IF(AC$77+$F89&lt;=24,2,3),FALSE)),$C$3)*(1+IF('IP Attrition'!AC146&gt;0,'Attrition Modeling'!$N$9,0)))</f>
        <v>0</v>
      </c>
      <c r="AD89" s="799">
        <f>AC89*(1-IFERROR(IF(AD$77+$F89&lt;=12,SUMIFS('Attrition Modeling'!$D:$D,'Attrition Modeling'!$C:$C,$D89,'Attrition Modeling'!$B:$B,AD$76),VLOOKUP($F89+AD$77,$A$7:$C$107,2,FALSE)*VLOOKUP(AD$76,'Attrition Modeling'!$L$15:$N$27,IF(AD$77+$F89&lt;=24,2,3),FALSE)),$C$3)*(1+IF('IP Attrition'!AD146&gt;0,'Attrition Modeling'!$N$9,0)))</f>
        <v>0</v>
      </c>
      <c r="AE89" s="799">
        <f>AD89*(1-IFERROR(IF(AE$77+$F89&lt;=12,SUMIFS('Attrition Modeling'!$D:$D,'Attrition Modeling'!$C:$C,$D89,'Attrition Modeling'!$B:$B,AE$76),VLOOKUP($F89+AE$77,$A$7:$C$107,2,FALSE)*VLOOKUP(AE$76,'Attrition Modeling'!$L$15:$N$27,IF(AE$77+$F89&lt;=24,2,3),FALSE)),$C$3)*(1+IF('IP Attrition'!AE146&gt;0,'Attrition Modeling'!$N$9,0)))</f>
        <v>0</v>
      </c>
      <c r="AF89" s="799">
        <f>AE89*(1-IFERROR(IF(AF$77+$F89&lt;=12,SUMIFS('Attrition Modeling'!$D:$D,'Attrition Modeling'!$C:$C,$D89,'Attrition Modeling'!$B:$B,AF$76),VLOOKUP($F89+AF$77,$A$7:$C$107,2,FALSE)*VLOOKUP(AF$76,'Attrition Modeling'!$L$15:$N$27,IF(AF$77+$F89&lt;=24,2,3),FALSE)),$C$3)*(1+IF('IP Attrition'!AF146&gt;0,'Attrition Modeling'!$N$9,0)))</f>
        <v>0</v>
      </c>
      <c r="AG89" s="799">
        <f>AF89*(1-IFERROR(IF(AG$77+$F89&lt;=12,SUMIFS('Attrition Modeling'!$D:$D,'Attrition Modeling'!$C:$C,$D89,'Attrition Modeling'!$B:$B,AG$76),VLOOKUP($F89+AG$77,$A$7:$C$107,2,FALSE)*VLOOKUP(AG$76,'Attrition Modeling'!$L$15:$N$27,IF(AG$77+$F89&lt;=24,2,3),FALSE)),$C$3)*(1+IF('IP Attrition'!AG146&gt;0,'Attrition Modeling'!$N$9,0)))</f>
        <v>0</v>
      </c>
      <c r="AH89" s="799">
        <f>AG89*(1-IFERROR(IF(AH$77+$F89&lt;=12,SUMIFS('Attrition Modeling'!$D:$D,'Attrition Modeling'!$C:$C,$D89,'Attrition Modeling'!$B:$B,AH$76),VLOOKUP($F89+AH$77,$A$7:$C$107,2,FALSE)*VLOOKUP(AH$76,'Attrition Modeling'!$L$15:$N$27,IF(AH$77+$F89&lt;=24,2,3),FALSE)),$C$3)*(1+IF('IP Attrition'!AH146&gt;0,'Attrition Modeling'!$N$9,0)))</f>
        <v>0</v>
      </c>
      <c r="AI89" s="799">
        <f>AH89*(1-IFERROR(IF(AI$77+$F89&lt;=12,SUMIFS('Attrition Modeling'!$D:$D,'Attrition Modeling'!$C:$C,$D89,'Attrition Modeling'!$B:$B,AI$76),VLOOKUP($F89+AI$77,$A$7:$C$107,2,FALSE)*VLOOKUP(AI$76,'Attrition Modeling'!$L$15:$N$27,IF(AI$77+$F89&lt;=24,2,3),FALSE)),$C$3)*(1+IF('IP Attrition'!AI146&gt;0,'Attrition Modeling'!$N$9,0)))</f>
        <v>0</v>
      </c>
      <c r="AJ89" s="799">
        <f>AI89*(1-IFERROR(IF(AJ$77+$F89&lt;=12,SUMIFS('Attrition Modeling'!$D:$D,'Attrition Modeling'!$C:$C,$D89,'Attrition Modeling'!$B:$B,AJ$76),VLOOKUP($F89+AJ$77,$A$7:$C$107,2,FALSE)*VLOOKUP(AJ$76,'Attrition Modeling'!$L$15:$N$27,IF(AJ$77+$F89&lt;=24,2,3),FALSE)),$C$3)*(1+IF('IP Attrition'!AJ146&gt;0,'Attrition Modeling'!$N$9,0)))</f>
        <v>0</v>
      </c>
      <c r="AK89" s="799">
        <f>AJ89*(1-IFERROR(IF(AK$77+$F89&lt;=12,SUMIFS('Attrition Modeling'!$D:$D,'Attrition Modeling'!$C:$C,$D89,'Attrition Modeling'!$B:$B,AK$76),VLOOKUP($F89+AK$77,$A$7:$C$107,2,FALSE)*VLOOKUP(AK$76,'Attrition Modeling'!$L$15:$N$27,IF(AK$77+$F89&lt;=24,2,3),FALSE)),$C$3)*(1+IF('IP Attrition'!AK146&gt;0,'Attrition Modeling'!$N$9,0)))</f>
        <v>0</v>
      </c>
      <c r="AL89" s="799">
        <f>AK89*(1-IFERROR(IF(AL$77+$F89&lt;=12,SUMIFS('Attrition Modeling'!$D:$D,'Attrition Modeling'!$C:$C,$D89,'Attrition Modeling'!$B:$B,AL$76),VLOOKUP($F89+AL$77,$A$7:$C$107,2,FALSE)*VLOOKUP(AL$76,'Attrition Modeling'!$L$15:$N$27,IF(AL$77+$F89&lt;=24,2,3),FALSE)),$C$3)*(1+IF('IP Attrition'!AL146&gt;0,'Attrition Modeling'!$N$9,0)))</f>
        <v>0</v>
      </c>
      <c r="AM89" s="799">
        <f>AL89*(1-IFERROR(IF(AM$77+$F89&lt;=12,SUMIFS('Attrition Modeling'!$D:$D,'Attrition Modeling'!$C:$C,$D89,'Attrition Modeling'!$B:$B,AM$76),VLOOKUP($F89+AM$77,$A$7:$C$107,2,FALSE)*VLOOKUP(AM$76,'Attrition Modeling'!$L$15:$N$27,IF(AM$77+$F89&lt;=24,2,3),FALSE)),$C$3)*(1+IF('IP Attrition'!AM146&gt;0,'Attrition Modeling'!$N$9,0)))</f>
        <v>0</v>
      </c>
      <c r="AN89" s="799">
        <f>AM89*(1-IFERROR(IF(AN$77+$F89&lt;=12,SUMIFS('Attrition Modeling'!$D:$D,'Attrition Modeling'!$C:$C,$D89,'Attrition Modeling'!$B:$B,AN$76),VLOOKUP($F89+AN$77,$A$7:$C$107,2,FALSE)*VLOOKUP(AN$76,'Attrition Modeling'!$L$15:$N$27,IF(AN$77+$F89&lt;=24,2,3),FALSE)),$C$3)*(1+IF('IP Attrition'!AN146&gt;0,'Attrition Modeling'!$N$9,0)))</f>
        <v>0</v>
      </c>
      <c r="AO89" s="799">
        <f>AN89*(1-IFERROR(IF(AO$77+$F89&lt;=12,SUMIFS('Attrition Modeling'!$D:$D,'Attrition Modeling'!$C:$C,$D89,'Attrition Modeling'!$B:$B,AO$76),VLOOKUP($F89+AO$77,$A$7:$C$107,2,FALSE)*VLOOKUP(AO$76,'Attrition Modeling'!$L$15:$N$27,IF(AO$77+$F89&lt;=24,2,3),FALSE)),$C$3)*(1+IF('IP Attrition'!AO146&gt;0,'Attrition Modeling'!$N$9,0)))</f>
        <v>0</v>
      </c>
      <c r="AP89" s="799">
        <f>AO89*(1-IFERROR(IF(AP$77+$F89&lt;=12,SUMIFS('Attrition Modeling'!$D:$D,'Attrition Modeling'!$C:$C,$D89,'Attrition Modeling'!$B:$B,AP$76),VLOOKUP($F89+AP$77,$A$7:$C$107,2,FALSE)*VLOOKUP(AP$76,'Attrition Modeling'!$L$15:$N$27,IF(AP$77+$F89&lt;=24,2,3),FALSE)),$C$3)*(1+IF('IP Attrition'!AP146&gt;0,'Attrition Modeling'!$N$9,0)))</f>
        <v>0</v>
      </c>
      <c r="AQ89" s="799">
        <f>AP89*(1-IFERROR(IF(AQ$77+$F89&lt;=12,SUMIFS('Attrition Modeling'!$D:$D,'Attrition Modeling'!$C:$C,$D89,'Attrition Modeling'!$B:$B,AQ$76),VLOOKUP($F89+AQ$77,$A$7:$C$107,2,FALSE)*VLOOKUP(AQ$76,'Attrition Modeling'!$L$15:$N$27,IF(AQ$77+$F89&lt;=24,2,3),FALSE)),$C$3)*(1+IF('IP Attrition'!AQ146&gt;0,'Attrition Modeling'!$N$9,0)))</f>
        <v>0</v>
      </c>
      <c r="AR89" s="799">
        <f>AQ89*(1-IFERROR(IF(AR$77+$F89&lt;=12,SUMIFS('Attrition Modeling'!$D:$D,'Attrition Modeling'!$C:$C,$D89,'Attrition Modeling'!$B:$B,AR$76),VLOOKUP($F89+AR$77,$A$7:$C$107,2,FALSE)*VLOOKUP(AR$76,'Attrition Modeling'!$L$15:$N$27,IF(AR$77+$F89&lt;=24,2,3),FALSE)),$C$3)*(1+IF('IP Attrition'!AR146&gt;0,'Attrition Modeling'!$N$9,0)))</f>
        <v>0</v>
      </c>
      <c r="AS89" s="799">
        <f>AR89*(1-IFERROR(IF(AS$77+$F89&lt;=12,SUMIFS('Attrition Modeling'!$D:$D,'Attrition Modeling'!$C:$C,$D89,'Attrition Modeling'!$B:$B,AS$76),VLOOKUP($F89+AS$77,$A$7:$C$107,2,FALSE)*VLOOKUP(AS$76,'Attrition Modeling'!$L$15:$N$27,IF(AS$77+$F89&lt;=24,2,3),FALSE)),$C$3)*(1+IF('IP Attrition'!AS146&gt;0,'Attrition Modeling'!$N$9,0)))</f>
        <v>0</v>
      </c>
      <c r="AT89" s="799">
        <f>AS89*(1-IFERROR(IF(AT$77+$F89&lt;=12,SUMIFS('Attrition Modeling'!$D:$D,'Attrition Modeling'!$C:$C,$D89,'Attrition Modeling'!$B:$B,AT$76),VLOOKUP($F89+AT$77,$A$7:$C$107,2,FALSE)*VLOOKUP(AT$76,'Attrition Modeling'!$L$15:$N$27,IF(AT$77+$F89&lt;=24,2,3),FALSE)),$C$3)*(1+IF('IP Attrition'!AT146&gt;0,'Attrition Modeling'!$N$9,0)))</f>
        <v>0</v>
      </c>
      <c r="AU89" s="799">
        <f>AT89*(1-IFERROR(IF(AU$77+$F89&lt;=12,SUMIFS('Attrition Modeling'!$D:$D,'Attrition Modeling'!$C:$C,$D89,'Attrition Modeling'!$B:$B,AU$76),VLOOKUP($F89+AU$77,$A$7:$C$107,2,FALSE)*VLOOKUP(AU$76,'Attrition Modeling'!$L$15:$N$27,IF(AU$77+$F89&lt;=24,2,3),FALSE)),$C$3)*(1+IF('IP Attrition'!AU146&gt;0,'Attrition Modeling'!$N$9,0)))</f>
        <v>0</v>
      </c>
      <c r="AV89" s="799">
        <f>AU89*(1-IFERROR(IF(AV$77+$F89&lt;=12,SUMIFS('Attrition Modeling'!$D:$D,'Attrition Modeling'!$C:$C,$D89,'Attrition Modeling'!$B:$B,AV$76),VLOOKUP($F89+AV$77,$A$7:$C$107,2,FALSE)*VLOOKUP(AV$76,'Attrition Modeling'!$L$15:$N$27,IF(AV$77+$F89&lt;=24,2,3),FALSE)),$C$3)*(1+IF('IP Attrition'!AV146&gt;0,'Attrition Modeling'!$N$9,0)))</f>
        <v>0</v>
      </c>
      <c r="AW89" s="799">
        <f>AV89*(1-IFERROR(IF(AW$77+$F89&lt;=12,SUMIFS('Attrition Modeling'!$D:$D,'Attrition Modeling'!$C:$C,$D89,'Attrition Modeling'!$B:$B,AW$76),VLOOKUP($F89+AW$77,$A$7:$C$107,2,FALSE)*VLOOKUP(AW$76,'Attrition Modeling'!$L$15:$N$27,IF(AW$77+$F89&lt;=24,2,3),FALSE)),$C$3)*(1+IF('IP Attrition'!AW146&gt;0,'Attrition Modeling'!$N$9,0)))</f>
        <v>0</v>
      </c>
      <c r="AX89" s="799">
        <f>AW89*(1-IFERROR(IF(AX$77+$F89&lt;=12,SUMIFS('Attrition Modeling'!$D:$D,'Attrition Modeling'!$C:$C,$D89,'Attrition Modeling'!$B:$B,AX$76),VLOOKUP($F89+AX$77,$A$7:$C$107,2,FALSE)*VLOOKUP(AX$76,'Attrition Modeling'!$L$15:$N$27,IF(AX$77+$F89&lt;=24,2,3),FALSE)),$C$3)*(1+IF('IP Attrition'!AX146&gt;0,'Attrition Modeling'!$N$9,0)))</f>
        <v>0</v>
      </c>
      <c r="AY89" s="799">
        <f>AX89*(1-IFERROR(IF(AY$77+$F89&lt;=12,SUMIFS('Attrition Modeling'!$D:$D,'Attrition Modeling'!$C:$C,$D89,'Attrition Modeling'!$B:$B,AY$76),VLOOKUP($F89+AY$77,$A$7:$C$107,2,FALSE)*VLOOKUP(AY$76,'Attrition Modeling'!$L$15:$N$27,IF(AY$77+$F89&lt;=24,2,3),FALSE)),$C$3)*(1+IF('IP Attrition'!AY146&gt;0,'Attrition Modeling'!$N$9,0)))</f>
        <v>0</v>
      </c>
      <c r="AZ89" s="799">
        <f>AY89*(1-IFERROR(IF(AZ$77+$F89&lt;=12,SUMIFS('Attrition Modeling'!$D:$D,'Attrition Modeling'!$C:$C,$D89,'Attrition Modeling'!$B:$B,AZ$76),VLOOKUP($F89+AZ$77,$A$7:$C$107,2,FALSE)*VLOOKUP(AZ$76,'Attrition Modeling'!$L$15:$N$27,IF(AZ$77+$F89&lt;=24,2,3),FALSE)),$C$3)*(1+IF('IP Attrition'!AZ146&gt;0,'Attrition Modeling'!$N$9,0)))</f>
        <v>0</v>
      </c>
      <c r="BA89" s="799">
        <f>AZ89*(1-IFERROR(IF(BA$77+$F89&lt;=12,SUMIFS('Attrition Modeling'!$D:$D,'Attrition Modeling'!$C:$C,$D89,'Attrition Modeling'!$B:$B,BA$76),VLOOKUP($F89+BA$77,$A$7:$C$107,2,FALSE)*VLOOKUP(BA$76,'Attrition Modeling'!$L$15:$N$27,IF(BA$77+$F89&lt;=24,2,3),FALSE)),$C$3)*(1+IF('IP Attrition'!BA146&gt;0,'Attrition Modeling'!$N$9,0)))</f>
        <v>0</v>
      </c>
      <c r="BB89" s="799">
        <f>BA89*(1-IFERROR(IF(BB$77+$F89&lt;=12,SUMIFS('Attrition Modeling'!$D:$D,'Attrition Modeling'!$C:$C,$D89,'Attrition Modeling'!$B:$B,BB$76),VLOOKUP($F89+BB$77,$A$7:$C$107,2,FALSE)*VLOOKUP(BB$76,'Attrition Modeling'!$L$15:$N$27,IF(BB$77+$F89&lt;=24,2,3),FALSE)),$C$3)*(1+IF('IP Attrition'!BB146&gt;0,'Attrition Modeling'!$N$9,0)))</f>
        <v>0</v>
      </c>
      <c r="BC89" s="799">
        <f>BB89*(1-IFERROR(IF(BC$77+$F89&lt;=12,SUMIFS('Attrition Modeling'!$D:$D,'Attrition Modeling'!$C:$C,$D89,'Attrition Modeling'!$B:$B,BC$76),VLOOKUP($F89+BC$77,$A$7:$C$107,2,FALSE)*VLOOKUP(BC$76,'Attrition Modeling'!$L$15:$N$27,IF(BC$77+$F89&lt;=24,2,3),FALSE)),$C$3)*(1+IF('IP Attrition'!BC146&gt;0,'Attrition Modeling'!$N$9,0)))</f>
        <v>0</v>
      </c>
      <c r="BD89" s="799">
        <f>BC89*(1-IFERROR(IF(BD$77+$F89&lt;=12,SUMIFS('Attrition Modeling'!$D:$D,'Attrition Modeling'!$C:$C,$D89,'Attrition Modeling'!$B:$B,BD$76),VLOOKUP($F89+BD$77,$A$7:$C$107,2,FALSE)*VLOOKUP(BD$76,'Attrition Modeling'!$L$15:$N$27,IF(BD$77+$F89&lt;=24,2,3),FALSE)),$C$3)*(1+IF('IP Attrition'!BD146&gt;0,'Attrition Modeling'!$N$9,0)))</f>
        <v>0</v>
      </c>
      <c r="BE89" s="799">
        <f>BD89*(1-IFERROR(IF(BE$77+$F89&lt;=12,SUMIFS('Attrition Modeling'!$D:$D,'Attrition Modeling'!$C:$C,$D89,'Attrition Modeling'!$B:$B,BE$76),VLOOKUP($F89+BE$77,$A$7:$C$107,2,FALSE)*VLOOKUP(BE$76,'Attrition Modeling'!$L$15:$N$27,IF(BE$77+$F89&lt;=24,2,3),FALSE)),$C$3)*(1+IF('IP Attrition'!BE146&gt;0,'Attrition Modeling'!$N$9,0)))</f>
        <v>0</v>
      </c>
      <c r="BF89" s="799">
        <f>BE89*(1-IFERROR(IF(BF$77+$F89&lt;=12,SUMIFS('Attrition Modeling'!$D:$D,'Attrition Modeling'!$C:$C,$D89,'Attrition Modeling'!$B:$B,BF$76),VLOOKUP($F89+BF$77,$A$7:$C$107,2,FALSE)*VLOOKUP(BF$76,'Attrition Modeling'!$L$15:$N$27,IF(BF$77+$F89&lt;=24,2,3),FALSE)),$C$3)*(1+IF('IP Attrition'!BF146&gt;0,'Attrition Modeling'!$N$9,0)))</f>
        <v>0</v>
      </c>
      <c r="BG89" s="799">
        <f>BF89*(1-IFERROR(IF(BG$77+$F89&lt;=12,SUMIFS('Attrition Modeling'!$D:$D,'Attrition Modeling'!$C:$C,$D89,'Attrition Modeling'!$B:$B,BG$76),VLOOKUP($F89+BG$77,$A$7:$C$107,2,FALSE)*VLOOKUP(BG$76,'Attrition Modeling'!$L$15:$N$27,IF(BG$77+$F89&lt;=24,2,3),FALSE)),$C$3)*(1+IF('IP Attrition'!BG146&gt;0,'Attrition Modeling'!$N$9,0)))</f>
        <v>0</v>
      </c>
      <c r="BH89" s="799">
        <f>BG89*(1-IFERROR(IF(BH$77+$F89&lt;=12,SUMIFS('Attrition Modeling'!$D:$D,'Attrition Modeling'!$C:$C,$D89,'Attrition Modeling'!$B:$B,BH$76),VLOOKUP($F89+BH$77,$A$7:$C$107,2,FALSE)*VLOOKUP(BH$76,'Attrition Modeling'!$L$15:$N$27,IF(BH$77+$F89&lt;=24,2,3),FALSE)),$C$3)*(1+IF('IP Attrition'!BH146&gt;0,'Attrition Modeling'!$N$9,0)))</f>
        <v>0</v>
      </c>
      <c r="BI89" s="799">
        <f>BH89*(1-IFERROR(IF(BI$77+$F89&lt;=12,SUMIFS('Attrition Modeling'!$D:$D,'Attrition Modeling'!$C:$C,$D89,'Attrition Modeling'!$B:$B,BI$76),VLOOKUP($F89+BI$77,$A$7:$C$107,2,FALSE)*VLOOKUP(BI$76,'Attrition Modeling'!$L$15:$N$27,IF(BI$77+$F89&lt;=24,2,3),FALSE)),$C$3)*(1+IF('IP Attrition'!BI146&gt;0,'Attrition Modeling'!$N$9,0)))</f>
        <v>0</v>
      </c>
      <c r="BJ89" s="799">
        <f>BI89*(1-IFERROR(IF(BJ$77+$F89&lt;=12,SUMIFS('Attrition Modeling'!$D:$D,'Attrition Modeling'!$C:$C,$D89,'Attrition Modeling'!$B:$B,BJ$76),VLOOKUP($F89+BJ$77,$A$7:$C$107,2,FALSE)*VLOOKUP(BJ$76,'Attrition Modeling'!$L$15:$N$27,IF(BJ$77+$F89&lt;=24,2,3),FALSE)),$C$3)*(1+IF('IP Attrition'!BJ146&gt;0,'Attrition Modeling'!$N$9,0)))</f>
        <v>0</v>
      </c>
      <c r="BK89" s="799">
        <f>BJ89*(1-IFERROR(IF(BK$77+$F89&lt;=12,SUMIFS('Attrition Modeling'!$D:$D,'Attrition Modeling'!$C:$C,$D89,'Attrition Modeling'!$B:$B,BK$76),VLOOKUP($F89+BK$77,$A$7:$C$107,2,FALSE)*VLOOKUP(BK$76,'Attrition Modeling'!$L$15:$N$27,IF(BK$77+$F89&lt;=24,2,3),FALSE)),$C$3)*(1+IF('IP Attrition'!BK146&gt;0,'Attrition Modeling'!$N$9,0)))</f>
        <v>0</v>
      </c>
      <c r="BL89" s="799">
        <f>BK89*(1-IFERROR(IF(BL$77+$F89&lt;=12,SUMIFS('Attrition Modeling'!$D:$D,'Attrition Modeling'!$C:$C,$D89,'Attrition Modeling'!$B:$B,BL$76),VLOOKUP($F89+BL$77,$A$7:$C$107,2,FALSE)*VLOOKUP(BL$76,'Attrition Modeling'!$L$15:$N$27,IF(BL$77+$F89&lt;=24,2,3),FALSE)),$C$3)*(1+IF('IP Attrition'!BL146&gt;0,'Attrition Modeling'!$N$9,0)))</f>
        <v>0</v>
      </c>
      <c r="BM89" s="799">
        <f>BL89*(1-IFERROR(IF(BM$77+$F89&lt;=12,SUMIFS('Attrition Modeling'!$D:$D,'Attrition Modeling'!$C:$C,$D89,'Attrition Modeling'!$B:$B,BM$76),VLOOKUP($F89+BM$77,$A$7:$C$107,2,FALSE)*VLOOKUP(BM$76,'Attrition Modeling'!$L$15:$N$27,IF(BM$77+$F89&lt;=24,2,3),FALSE)),$C$3)*(1+IF('IP Attrition'!BM146&gt;0,'Attrition Modeling'!$N$9,0)))</f>
        <v>0</v>
      </c>
      <c r="BN89" s="799">
        <f>BM89*(1-IFERROR(IF(BN$77+$F89&lt;=12,SUMIFS('Attrition Modeling'!$D:$D,'Attrition Modeling'!$C:$C,$D89,'Attrition Modeling'!$B:$B,BN$76),VLOOKUP($F89+BN$77,$A$7:$C$107,2,FALSE)*VLOOKUP(BN$76,'Attrition Modeling'!$L$15:$N$27,IF(BN$77+$F89&lt;=24,2,3),FALSE)),$C$3)*(1+IF('IP Attrition'!BN146&gt;0,'Attrition Modeling'!$N$9,0)))</f>
        <v>0</v>
      </c>
      <c r="BO89" s="799">
        <f>BN89*(1-IFERROR(IF(BO$77+$F89&lt;=12,SUMIFS('Attrition Modeling'!$D:$D,'Attrition Modeling'!$C:$C,$D89,'Attrition Modeling'!$B:$B,BO$76),VLOOKUP($F89+BO$77,$A$7:$C$107,2,FALSE)*VLOOKUP(BO$76,'Attrition Modeling'!$L$15:$N$27,IF(BO$77+$F89&lt;=24,2,3),FALSE)),$C$3)*(1+IF('IP Attrition'!BO146&gt;0,'Attrition Modeling'!$N$9,0)))</f>
        <v>0</v>
      </c>
      <c r="BP89" s="799">
        <f>BO89*(1-IFERROR(IF(BP$77+$F89&lt;=12,SUMIFS('Attrition Modeling'!$D:$D,'Attrition Modeling'!$C:$C,$D89,'Attrition Modeling'!$B:$B,BP$76),VLOOKUP($F89+BP$77,$A$7:$C$107,2,FALSE)*VLOOKUP(BP$76,'Attrition Modeling'!$L$15:$N$27,IF(BP$77+$F89&lt;=24,2,3),FALSE)),$C$3)*(1+IF('IP Attrition'!BP146&gt;0,'Attrition Modeling'!$N$9,0)))</f>
        <v>0</v>
      </c>
      <c r="BQ89" s="799">
        <f>BP89*(1-IFERROR(IF(BQ$77+$F89&lt;=12,SUMIFS('Attrition Modeling'!$D:$D,'Attrition Modeling'!$C:$C,$D89,'Attrition Modeling'!$B:$B,BQ$76),VLOOKUP($F89+BQ$77,$A$7:$C$107,2,FALSE)*VLOOKUP(BQ$76,'Attrition Modeling'!$L$15:$N$27,IF(BQ$77+$F89&lt;=24,2,3),FALSE)),$C$3)*(1+IF('IP Attrition'!BQ146&gt;0,'Attrition Modeling'!$N$9,0)))</f>
        <v>0</v>
      </c>
      <c r="BR89" s="799">
        <f>BQ89*(1-IFERROR(IF(BR$77+$F89&lt;=12,SUMIFS('Attrition Modeling'!$D:$D,'Attrition Modeling'!$C:$C,$D89,'Attrition Modeling'!$B:$B,BR$76),VLOOKUP($F89+BR$77,$A$7:$C$107,2,FALSE)*VLOOKUP(BR$76,'Attrition Modeling'!$L$15:$N$27,IF(BR$77+$F89&lt;=24,2,3),FALSE)),$C$3)*(1+IF('IP Attrition'!BR146&gt;0,'Attrition Modeling'!$N$9,0)))</f>
        <v>0</v>
      </c>
      <c r="BS89" s="799">
        <f>BR89*(1-IFERROR(IF(BS$77+$F89&lt;=12,SUMIFS('Attrition Modeling'!$D:$D,'Attrition Modeling'!$C:$C,$D89,'Attrition Modeling'!$B:$B,BS$76),VLOOKUP($F89+BS$77,$A$7:$C$107,2,FALSE)*VLOOKUP(BS$76,'Attrition Modeling'!$L$15:$N$27,IF(BS$77+$F89&lt;=24,2,3),FALSE)),$C$3)*(1+IF('IP Attrition'!BS146&gt;0,'Attrition Modeling'!$N$9,0)))</f>
        <v>0</v>
      </c>
      <c r="BT89" s="799" t="e">
        <f>BS89*(1-IFERROR(IF(BT$77+$F89&lt;=12,SUMIFS('Attrition Modeling'!$D:$D,'Attrition Modeling'!$C:$C,$D89,'Attrition Modeling'!$B:$B,BT$76),VLOOKUP($F89+BT$77,$A$7:$C$107,2,FALSE)*VLOOKUP(BT$76,'Attrition Modeling'!$L$15:$N$27,IF(BT$77+$F89&lt;=24,2,3),FALSE)),$C$3)*(1+IF('IP Attrition'!BT146&gt;0,'Attrition Modeling'!$N$9,0)))</f>
        <v>#REF!</v>
      </c>
      <c r="BU89" s="799" t="e">
        <f>BT89*(1-IFERROR(IF(BU$77+$F89&lt;=12,SUMIFS('Attrition Modeling'!$D:$D,'Attrition Modeling'!$C:$C,$D89,'Attrition Modeling'!$B:$B,BU$76),VLOOKUP($F89+BU$77,$A$7:$C$107,2,FALSE)*VLOOKUP(BU$76,'Attrition Modeling'!$L$15:$N$27,IF(BU$77+$F89&lt;=24,2,3),FALSE)),$C$3)*(1+IF('IP Attrition'!BU146&gt;0,'Attrition Modeling'!$N$9,0)))</f>
        <v>#REF!</v>
      </c>
    </row>
    <row r="90" spans="1:73" ht="14.25" customHeight="1" x14ac:dyDescent="0.2">
      <c r="A90" s="9">
        <v>82</v>
      </c>
      <c r="B90" s="25">
        <f>MAX('Attrition Modeling'!H86,$C$3)*(1-Summary!$C$20)</f>
        <v>0.02</v>
      </c>
      <c r="C90" s="24" t="e">
        <f t="shared" si="2"/>
        <v>#DIV/0!</v>
      </c>
      <c r="D90" s="11">
        <f>'IP Attrition'!D82</f>
        <v>-12</v>
      </c>
      <c r="E90" s="25">
        <f>'IP Attrition'!E82</f>
        <v>0</v>
      </c>
      <c r="F90" s="11">
        <f t="shared" si="8"/>
        <v>12</v>
      </c>
      <c r="G90" s="799">
        <f>Summary!$C$24*$E90</f>
        <v>0</v>
      </c>
      <c r="H90" s="799">
        <f>G90*(1-IFERROR(IF(H$77+$F90&lt;=12,SUMIFS('Attrition Modeling'!$D:$D,'Attrition Modeling'!$C:$C,$D90,'Attrition Modeling'!$B:$B,H$76),VLOOKUP($F90+H$77,$A$7:$C$107,2,FALSE)*VLOOKUP(H$76,'Attrition Modeling'!$L$15:$N$27,IF(H$77+$F90&lt;=24,2,3),FALSE)),$C$3)*(1+IF('IP Attrition'!H147&gt;0,'Attrition Modeling'!$N$9,0)))</f>
        <v>0</v>
      </c>
      <c r="I90" s="799">
        <f>H90*(1-IFERROR(IF(I$77+$F90&lt;=12,SUMIFS('Attrition Modeling'!$D:$D,'Attrition Modeling'!$C:$C,$D90,'Attrition Modeling'!$B:$B,I$76),VLOOKUP($F90+I$77,$A$7:$C$107,2,FALSE)*VLOOKUP(I$76,'Attrition Modeling'!$L$15:$N$27,IF(I$77+$F90&lt;=24,2,3),FALSE)),$C$3)*(1+IF('IP Attrition'!I147&gt;0,'Attrition Modeling'!$N$9,0)))</f>
        <v>0</v>
      </c>
      <c r="J90" s="799">
        <f>I90*(1-IFERROR(IF(J$77+$F90&lt;=12,SUMIFS('Attrition Modeling'!$D:$D,'Attrition Modeling'!$C:$C,$D90,'Attrition Modeling'!$B:$B,J$76),VLOOKUP($F90+J$77,$A$7:$C$107,2,FALSE)*VLOOKUP(J$76,'Attrition Modeling'!$L$15:$N$27,IF(J$77+$F90&lt;=24,2,3),FALSE)),$C$3)*(1+IF('IP Attrition'!J147&gt;0,'Attrition Modeling'!$N$9,0)))</f>
        <v>0</v>
      </c>
      <c r="K90" s="799">
        <f>J90*(1-IFERROR(IF(K$77+$F90&lt;=12,SUMIFS('Attrition Modeling'!$D:$D,'Attrition Modeling'!$C:$C,$D90,'Attrition Modeling'!$B:$B,K$76),VLOOKUP($F90+K$77,$A$7:$C$107,2,FALSE)*VLOOKUP(K$76,'Attrition Modeling'!$L$15:$N$27,IF(K$77+$F90&lt;=24,2,3),FALSE)),$C$3)*(1+IF('IP Attrition'!K147&gt;0,'Attrition Modeling'!$N$9,0)))</f>
        <v>0</v>
      </c>
      <c r="L90" s="799">
        <f>K90*(1-IFERROR(IF(L$77+$F90&lt;=12,SUMIFS('Attrition Modeling'!$D:$D,'Attrition Modeling'!$C:$C,$D90,'Attrition Modeling'!$B:$B,L$76),VLOOKUP($F90+L$77,$A$7:$C$107,2,FALSE)*VLOOKUP(L$76,'Attrition Modeling'!$L$15:$N$27,IF(L$77+$F90&lt;=24,2,3),FALSE)),$C$3)*(1+IF('IP Attrition'!L147&gt;0,'Attrition Modeling'!$N$9,0)))</f>
        <v>0</v>
      </c>
      <c r="M90" s="799">
        <f>L90*(1-IFERROR(IF(M$77+$F90&lt;=12,SUMIFS('Attrition Modeling'!$D:$D,'Attrition Modeling'!$C:$C,$D90,'Attrition Modeling'!$B:$B,M$76),VLOOKUP($F90+M$77,$A$7:$C$107,2,FALSE)*VLOOKUP(M$76,'Attrition Modeling'!$L$15:$N$27,IF(M$77+$F90&lt;=24,2,3),FALSE)),$C$3)*(1+IF('IP Attrition'!M147&gt;0,'Attrition Modeling'!$N$9,0)))</f>
        <v>0</v>
      </c>
      <c r="N90" s="799">
        <f>M90*(1-IFERROR(IF(N$77+$F90&lt;=12,SUMIFS('Attrition Modeling'!$D:$D,'Attrition Modeling'!$C:$C,$D90,'Attrition Modeling'!$B:$B,N$76),VLOOKUP($F90+N$77,$A$7:$C$107,2,FALSE)*VLOOKUP(N$76,'Attrition Modeling'!$L$15:$N$27,IF(N$77+$F90&lt;=24,2,3),FALSE)),$C$3)*(1+IF('IP Attrition'!N147&gt;0,'Attrition Modeling'!$N$9,0)))</f>
        <v>0</v>
      </c>
      <c r="O90" s="799">
        <f>N90*(1-IFERROR(IF(O$77+$F90&lt;=12,SUMIFS('Attrition Modeling'!$D:$D,'Attrition Modeling'!$C:$C,$D90,'Attrition Modeling'!$B:$B,O$76),VLOOKUP($F90+O$77,$A$7:$C$107,2,FALSE)*VLOOKUP(O$76,'Attrition Modeling'!$L$15:$N$27,IF(O$77+$F90&lt;=24,2,3),FALSE)),$C$3)*(1+IF('IP Attrition'!O147&gt;0,'Attrition Modeling'!$N$9,0)))</f>
        <v>0</v>
      </c>
      <c r="P90" s="799">
        <f>O90*(1-IFERROR(IF(P$77+$F90&lt;=12,SUMIFS('Attrition Modeling'!$D:$D,'Attrition Modeling'!$C:$C,$D90,'Attrition Modeling'!$B:$B,P$76),VLOOKUP($F90+P$77,$A$7:$C$107,2,FALSE)*VLOOKUP(P$76,'Attrition Modeling'!$L$15:$N$27,IF(P$77+$F90&lt;=24,2,3),FALSE)),$C$3)*(1+IF('IP Attrition'!P147&gt;0,'Attrition Modeling'!$N$9,0)))</f>
        <v>0</v>
      </c>
      <c r="Q90" s="799">
        <f>P90*(1-IFERROR(IF(Q$77+$F90&lt;=12,SUMIFS('Attrition Modeling'!$D:$D,'Attrition Modeling'!$C:$C,$D90,'Attrition Modeling'!$B:$B,Q$76),VLOOKUP($F90+Q$77,$A$7:$C$107,2,FALSE)*VLOOKUP(Q$76,'Attrition Modeling'!$L$15:$N$27,IF(Q$77+$F90&lt;=24,2,3),FALSE)),$C$3)*(1+IF('IP Attrition'!Q147&gt;0,'Attrition Modeling'!$N$9,0)))</f>
        <v>0</v>
      </c>
      <c r="R90" s="799">
        <f>Q90*(1-IFERROR(IF(R$77+$F90&lt;=12,SUMIFS('Attrition Modeling'!$D:$D,'Attrition Modeling'!$C:$C,$D90,'Attrition Modeling'!$B:$B,R$76),VLOOKUP($F90+R$77,$A$7:$C$107,2,FALSE)*VLOOKUP(R$76,'Attrition Modeling'!$L$15:$N$27,IF(R$77+$F90&lt;=24,2,3),FALSE)),$C$3)*(1+IF('IP Attrition'!R147&gt;0,'Attrition Modeling'!$N$9,0)))</f>
        <v>0</v>
      </c>
      <c r="S90" s="799">
        <f>R90*(1-IFERROR(IF(S$77+$F90&lt;=12,SUMIFS('Attrition Modeling'!$D:$D,'Attrition Modeling'!$C:$C,$D90,'Attrition Modeling'!$B:$B,S$76),VLOOKUP($F90+S$77,$A$7:$C$107,2,FALSE)*VLOOKUP(S$76,'Attrition Modeling'!$L$15:$N$27,IF(S$77+$F90&lt;=24,2,3),FALSE)),$C$3)*(1+IF('IP Attrition'!S147&gt;0,'Attrition Modeling'!$N$9,0)))</f>
        <v>0</v>
      </c>
      <c r="T90" s="799">
        <f>S90*(1-IFERROR(IF(T$77+$F90&lt;=12,SUMIFS('Attrition Modeling'!$D:$D,'Attrition Modeling'!$C:$C,$D90,'Attrition Modeling'!$B:$B,T$76),VLOOKUP($F90+T$77,$A$7:$C$107,2,FALSE)*VLOOKUP(T$76,'Attrition Modeling'!$L$15:$N$27,IF(T$77+$F90&lt;=24,2,3),FALSE)),$C$3)*(1+IF('IP Attrition'!T147&gt;0,'Attrition Modeling'!$N$9,0)))</f>
        <v>0</v>
      </c>
      <c r="U90" s="799">
        <f>T90*(1-IFERROR(IF(U$77+$F90&lt;=12,SUMIFS('Attrition Modeling'!$D:$D,'Attrition Modeling'!$C:$C,$D90,'Attrition Modeling'!$B:$B,U$76),VLOOKUP($F90+U$77,$A$7:$C$107,2,FALSE)*VLOOKUP(U$76,'Attrition Modeling'!$L$15:$N$27,IF(U$77+$F90&lt;=24,2,3),FALSE)),$C$3)*(1+IF('IP Attrition'!U147&gt;0,'Attrition Modeling'!$N$9,0)))</f>
        <v>0</v>
      </c>
      <c r="V90" s="799">
        <f>U90*(1-IFERROR(IF(V$77+$F90&lt;=12,SUMIFS('Attrition Modeling'!$D:$D,'Attrition Modeling'!$C:$C,$D90,'Attrition Modeling'!$B:$B,V$76),VLOOKUP($F90+V$77,$A$7:$C$107,2,FALSE)*VLOOKUP(V$76,'Attrition Modeling'!$L$15:$N$27,IF(V$77+$F90&lt;=24,2,3),FALSE)),$C$3)*(1+IF('IP Attrition'!V147&gt;0,'Attrition Modeling'!$N$9,0)))</f>
        <v>0</v>
      </c>
      <c r="W90" s="799">
        <f>V90*(1-IFERROR(IF(W$77+$F90&lt;=12,SUMIFS('Attrition Modeling'!$D:$D,'Attrition Modeling'!$C:$C,$D90,'Attrition Modeling'!$B:$B,W$76),VLOOKUP($F90+W$77,$A$7:$C$107,2,FALSE)*VLOOKUP(W$76,'Attrition Modeling'!$L$15:$N$27,IF(W$77+$F90&lt;=24,2,3),FALSE)),$C$3)*(1+IF('IP Attrition'!W147&gt;0,'Attrition Modeling'!$N$9,0)))</f>
        <v>0</v>
      </c>
      <c r="X90" s="799">
        <f>W90*(1-IFERROR(IF(X$77+$F90&lt;=12,SUMIFS('Attrition Modeling'!$D:$D,'Attrition Modeling'!$C:$C,$D90,'Attrition Modeling'!$B:$B,X$76),VLOOKUP($F90+X$77,$A$7:$C$107,2,FALSE)*VLOOKUP(X$76,'Attrition Modeling'!$L$15:$N$27,IF(X$77+$F90&lt;=24,2,3),FALSE)),$C$3)*(1+IF('IP Attrition'!X147&gt;0,'Attrition Modeling'!$N$9,0)))</f>
        <v>0</v>
      </c>
      <c r="Y90" s="799">
        <f>X90*(1-IFERROR(IF(Y$77+$F90&lt;=12,SUMIFS('Attrition Modeling'!$D:$D,'Attrition Modeling'!$C:$C,$D90,'Attrition Modeling'!$B:$B,Y$76),VLOOKUP($F90+Y$77,$A$7:$C$107,2,FALSE)*VLOOKUP(Y$76,'Attrition Modeling'!$L$15:$N$27,IF(Y$77+$F90&lt;=24,2,3),FALSE)),$C$3)*(1+IF('IP Attrition'!Y147&gt;0,'Attrition Modeling'!$N$9,0)))</f>
        <v>0</v>
      </c>
      <c r="Z90" s="799">
        <f>Y90*(1-IFERROR(IF(Z$77+$F90&lt;=12,SUMIFS('Attrition Modeling'!$D:$D,'Attrition Modeling'!$C:$C,$D90,'Attrition Modeling'!$B:$B,Z$76),VLOOKUP($F90+Z$77,$A$7:$C$107,2,FALSE)*VLOOKUP(Z$76,'Attrition Modeling'!$L$15:$N$27,IF(Z$77+$F90&lt;=24,2,3),FALSE)),$C$3)*(1+IF('IP Attrition'!Z147&gt;0,'Attrition Modeling'!$N$9,0)))</f>
        <v>0</v>
      </c>
      <c r="AA90" s="799">
        <f>Z90*(1-IFERROR(IF(AA$77+$F90&lt;=12,SUMIFS('Attrition Modeling'!$D:$D,'Attrition Modeling'!$C:$C,$D90,'Attrition Modeling'!$B:$B,AA$76),VLOOKUP($F90+AA$77,$A$7:$C$107,2,FALSE)*VLOOKUP(AA$76,'Attrition Modeling'!$L$15:$N$27,IF(AA$77+$F90&lt;=24,2,3),FALSE)),$C$3)*(1+IF('IP Attrition'!AA147&gt;0,'Attrition Modeling'!$N$9,0)))</f>
        <v>0</v>
      </c>
      <c r="AB90" s="799">
        <f>AA90*(1-IFERROR(IF(AB$77+$F90&lt;=12,SUMIFS('Attrition Modeling'!$D:$D,'Attrition Modeling'!$C:$C,$D90,'Attrition Modeling'!$B:$B,AB$76),VLOOKUP($F90+AB$77,$A$7:$C$107,2,FALSE)*VLOOKUP(AB$76,'Attrition Modeling'!$L$15:$N$27,IF(AB$77+$F90&lt;=24,2,3),FALSE)),$C$3)*(1+IF('IP Attrition'!AB147&gt;0,'Attrition Modeling'!$N$9,0)))</f>
        <v>0</v>
      </c>
      <c r="AC90" s="799">
        <f>AB90*(1-IFERROR(IF(AC$77+$F90&lt;=12,SUMIFS('Attrition Modeling'!$D:$D,'Attrition Modeling'!$C:$C,$D90,'Attrition Modeling'!$B:$B,AC$76),VLOOKUP($F90+AC$77,$A$7:$C$107,2,FALSE)*VLOOKUP(AC$76,'Attrition Modeling'!$L$15:$N$27,IF(AC$77+$F90&lt;=24,2,3),FALSE)),$C$3)*(1+IF('IP Attrition'!AC147&gt;0,'Attrition Modeling'!$N$9,0)))</f>
        <v>0</v>
      </c>
      <c r="AD90" s="799">
        <f>AC90*(1-IFERROR(IF(AD$77+$F90&lt;=12,SUMIFS('Attrition Modeling'!$D:$D,'Attrition Modeling'!$C:$C,$D90,'Attrition Modeling'!$B:$B,AD$76),VLOOKUP($F90+AD$77,$A$7:$C$107,2,FALSE)*VLOOKUP(AD$76,'Attrition Modeling'!$L$15:$N$27,IF(AD$77+$F90&lt;=24,2,3),FALSE)),$C$3)*(1+IF('IP Attrition'!AD147&gt;0,'Attrition Modeling'!$N$9,0)))</f>
        <v>0</v>
      </c>
      <c r="AE90" s="799">
        <f>AD90*(1-IFERROR(IF(AE$77+$F90&lt;=12,SUMIFS('Attrition Modeling'!$D:$D,'Attrition Modeling'!$C:$C,$D90,'Attrition Modeling'!$B:$B,AE$76),VLOOKUP($F90+AE$77,$A$7:$C$107,2,FALSE)*VLOOKUP(AE$76,'Attrition Modeling'!$L$15:$N$27,IF(AE$77+$F90&lt;=24,2,3),FALSE)),$C$3)*(1+IF('IP Attrition'!AE147&gt;0,'Attrition Modeling'!$N$9,0)))</f>
        <v>0</v>
      </c>
      <c r="AF90" s="799">
        <f>AE90*(1-IFERROR(IF(AF$77+$F90&lt;=12,SUMIFS('Attrition Modeling'!$D:$D,'Attrition Modeling'!$C:$C,$D90,'Attrition Modeling'!$B:$B,AF$76),VLOOKUP($F90+AF$77,$A$7:$C$107,2,FALSE)*VLOOKUP(AF$76,'Attrition Modeling'!$L$15:$N$27,IF(AF$77+$F90&lt;=24,2,3),FALSE)),$C$3)*(1+IF('IP Attrition'!AF147&gt;0,'Attrition Modeling'!$N$9,0)))</f>
        <v>0</v>
      </c>
      <c r="AG90" s="799">
        <f>AF90*(1-IFERROR(IF(AG$77+$F90&lt;=12,SUMIFS('Attrition Modeling'!$D:$D,'Attrition Modeling'!$C:$C,$D90,'Attrition Modeling'!$B:$B,AG$76),VLOOKUP($F90+AG$77,$A$7:$C$107,2,FALSE)*VLOOKUP(AG$76,'Attrition Modeling'!$L$15:$N$27,IF(AG$77+$F90&lt;=24,2,3),FALSE)),$C$3)*(1+IF('IP Attrition'!AG147&gt;0,'Attrition Modeling'!$N$9,0)))</f>
        <v>0</v>
      </c>
      <c r="AH90" s="799">
        <f>AG90*(1-IFERROR(IF(AH$77+$F90&lt;=12,SUMIFS('Attrition Modeling'!$D:$D,'Attrition Modeling'!$C:$C,$D90,'Attrition Modeling'!$B:$B,AH$76),VLOOKUP($F90+AH$77,$A$7:$C$107,2,FALSE)*VLOOKUP(AH$76,'Attrition Modeling'!$L$15:$N$27,IF(AH$77+$F90&lt;=24,2,3),FALSE)),$C$3)*(1+IF('IP Attrition'!AH147&gt;0,'Attrition Modeling'!$N$9,0)))</f>
        <v>0</v>
      </c>
      <c r="AI90" s="799">
        <f>AH90*(1-IFERROR(IF(AI$77+$F90&lt;=12,SUMIFS('Attrition Modeling'!$D:$D,'Attrition Modeling'!$C:$C,$D90,'Attrition Modeling'!$B:$B,AI$76),VLOOKUP($F90+AI$77,$A$7:$C$107,2,FALSE)*VLOOKUP(AI$76,'Attrition Modeling'!$L$15:$N$27,IF(AI$77+$F90&lt;=24,2,3),FALSE)),$C$3)*(1+IF('IP Attrition'!AI147&gt;0,'Attrition Modeling'!$N$9,0)))</f>
        <v>0</v>
      </c>
      <c r="AJ90" s="799">
        <f>AI90*(1-IFERROR(IF(AJ$77+$F90&lt;=12,SUMIFS('Attrition Modeling'!$D:$D,'Attrition Modeling'!$C:$C,$D90,'Attrition Modeling'!$B:$B,AJ$76),VLOOKUP($F90+AJ$77,$A$7:$C$107,2,FALSE)*VLOOKUP(AJ$76,'Attrition Modeling'!$L$15:$N$27,IF(AJ$77+$F90&lt;=24,2,3),FALSE)),$C$3)*(1+IF('IP Attrition'!AJ147&gt;0,'Attrition Modeling'!$N$9,0)))</f>
        <v>0</v>
      </c>
      <c r="AK90" s="799">
        <f>AJ90*(1-IFERROR(IF(AK$77+$F90&lt;=12,SUMIFS('Attrition Modeling'!$D:$D,'Attrition Modeling'!$C:$C,$D90,'Attrition Modeling'!$B:$B,AK$76),VLOOKUP($F90+AK$77,$A$7:$C$107,2,FALSE)*VLOOKUP(AK$76,'Attrition Modeling'!$L$15:$N$27,IF(AK$77+$F90&lt;=24,2,3),FALSE)),$C$3)*(1+IF('IP Attrition'!AK147&gt;0,'Attrition Modeling'!$N$9,0)))</f>
        <v>0</v>
      </c>
      <c r="AL90" s="799">
        <f>AK90*(1-IFERROR(IF(AL$77+$F90&lt;=12,SUMIFS('Attrition Modeling'!$D:$D,'Attrition Modeling'!$C:$C,$D90,'Attrition Modeling'!$B:$B,AL$76),VLOOKUP($F90+AL$77,$A$7:$C$107,2,FALSE)*VLOOKUP(AL$76,'Attrition Modeling'!$L$15:$N$27,IF(AL$77+$F90&lt;=24,2,3),FALSE)),$C$3)*(1+IF('IP Attrition'!AL147&gt;0,'Attrition Modeling'!$N$9,0)))</f>
        <v>0</v>
      </c>
      <c r="AM90" s="799">
        <f>AL90*(1-IFERROR(IF(AM$77+$F90&lt;=12,SUMIFS('Attrition Modeling'!$D:$D,'Attrition Modeling'!$C:$C,$D90,'Attrition Modeling'!$B:$B,AM$76),VLOOKUP($F90+AM$77,$A$7:$C$107,2,FALSE)*VLOOKUP(AM$76,'Attrition Modeling'!$L$15:$N$27,IF(AM$77+$F90&lt;=24,2,3),FALSE)),$C$3)*(1+IF('IP Attrition'!AM147&gt;0,'Attrition Modeling'!$N$9,0)))</f>
        <v>0</v>
      </c>
      <c r="AN90" s="799">
        <f>AM90*(1-IFERROR(IF(AN$77+$F90&lt;=12,SUMIFS('Attrition Modeling'!$D:$D,'Attrition Modeling'!$C:$C,$D90,'Attrition Modeling'!$B:$B,AN$76),VLOOKUP($F90+AN$77,$A$7:$C$107,2,FALSE)*VLOOKUP(AN$76,'Attrition Modeling'!$L$15:$N$27,IF(AN$77+$F90&lt;=24,2,3),FALSE)),$C$3)*(1+IF('IP Attrition'!AN147&gt;0,'Attrition Modeling'!$N$9,0)))</f>
        <v>0</v>
      </c>
      <c r="AO90" s="799">
        <f>AN90*(1-IFERROR(IF(AO$77+$F90&lt;=12,SUMIFS('Attrition Modeling'!$D:$D,'Attrition Modeling'!$C:$C,$D90,'Attrition Modeling'!$B:$B,AO$76),VLOOKUP($F90+AO$77,$A$7:$C$107,2,FALSE)*VLOOKUP(AO$76,'Attrition Modeling'!$L$15:$N$27,IF(AO$77+$F90&lt;=24,2,3),FALSE)),$C$3)*(1+IF('IP Attrition'!AO147&gt;0,'Attrition Modeling'!$N$9,0)))</f>
        <v>0</v>
      </c>
      <c r="AP90" s="799">
        <f>AO90*(1-IFERROR(IF(AP$77+$F90&lt;=12,SUMIFS('Attrition Modeling'!$D:$D,'Attrition Modeling'!$C:$C,$D90,'Attrition Modeling'!$B:$B,AP$76),VLOOKUP($F90+AP$77,$A$7:$C$107,2,FALSE)*VLOOKUP(AP$76,'Attrition Modeling'!$L$15:$N$27,IF(AP$77+$F90&lt;=24,2,3),FALSE)),$C$3)*(1+IF('IP Attrition'!AP147&gt;0,'Attrition Modeling'!$N$9,0)))</f>
        <v>0</v>
      </c>
      <c r="AQ90" s="799">
        <f>AP90*(1-IFERROR(IF(AQ$77+$F90&lt;=12,SUMIFS('Attrition Modeling'!$D:$D,'Attrition Modeling'!$C:$C,$D90,'Attrition Modeling'!$B:$B,AQ$76),VLOOKUP($F90+AQ$77,$A$7:$C$107,2,FALSE)*VLOOKUP(AQ$76,'Attrition Modeling'!$L$15:$N$27,IF(AQ$77+$F90&lt;=24,2,3),FALSE)),$C$3)*(1+IF('IP Attrition'!AQ147&gt;0,'Attrition Modeling'!$N$9,0)))</f>
        <v>0</v>
      </c>
      <c r="AR90" s="799">
        <f>AQ90*(1-IFERROR(IF(AR$77+$F90&lt;=12,SUMIFS('Attrition Modeling'!$D:$D,'Attrition Modeling'!$C:$C,$D90,'Attrition Modeling'!$B:$B,AR$76),VLOOKUP($F90+AR$77,$A$7:$C$107,2,FALSE)*VLOOKUP(AR$76,'Attrition Modeling'!$L$15:$N$27,IF(AR$77+$F90&lt;=24,2,3),FALSE)),$C$3)*(1+IF('IP Attrition'!AR147&gt;0,'Attrition Modeling'!$N$9,0)))</f>
        <v>0</v>
      </c>
      <c r="AS90" s="799">
        <f>AR90*(1-IFERROR(IF(AS$77+$F90&lt;=12,SUMIFS('Attrition Modeling'!$D:$D,'Attrition Modeling'!$C:$C,$D90,'Attrition Modeling'!$B:$B,AS$76),VLOOKUP($F90+AS$77,$A$7:$C$107,2,FALSE)*VLOOKUP(AS$76,'Attrition Modeling'!$L$15:$N$27,IF(AS$77+$F90&lt;=24,2,3),FALSE)),$C$3)*(1+IF('IP Attrition'!AS147&gt;0,'Attrition Modeling'!$N$9,0)))</f>
        <v>0</v>
      </c>
      <c r="AT90" s="799">
        <f>AS90*(1-IFERROR(IF(AT$77+$F90&lt;=12,SUMIFS('Attrition Modeling'!$D:$D,'Attrition Modeling'!$C:$C,$D90,'Attrition Modeling'!$B:$B,AT$76),VLOOKUP($F90+AT$77,$A$7:$C$107,2,FALSE)*VLOOKUP(AT$76,'Attrition Modeling'!$L$15:$N$27,IF(AT$77+$F90&lt;=24,2,3),FALSE)),$C$3)*(1+IF('IP Attrition'!AT147&gt;0,'Attrition Modeling'!$N$9,0)))</f>
        <v>0</v>
      </c>
      <c r="AU90" s="799">
        <f>AT90*(1-IFERROR(IF(AU$77+$F90&lt;=12,SUMIFS('Attrition Modeling'!$D:$D,'Attrition Modeling'!$C:$C,$D90,'Attrition Modeling'!$B:$B,AU$76),VLOOKUP($F90+AU$77,$A$7:$C$107,2,FALSE)*VLOOKUP(AU$76,'Attrition Modeling'!$L$15:$N$27,IF(AU$77+$F90&lt;=24,2,3),FALSE)),$C$3)*(1+IF('IP Attrition'!AU147&gt;0,'Attrition Modeling'!$N$9,0)))</f>
        <v>0</v>
      </c>
      <c r="AV90" s="799">
        <f>AU90*(1-IFERROR(IF(AV$77+$F90&lt;=12,SUMIFS('Attrition Modeling'!$D:$D,'Attrition Modeling'!$C:$C,$D90,'Attrition Modeling'!$B:$B,AV$76),VLOOKUP($F90+AV$77,$A$7:$C$107,2,FALSE)*VLOOKUP(AV$76,'Attrition Modeling'!$L$15:$N$27,IF(AV$77+$F90&lt;=24,2,3),FALSE)),$C$3)*(1+IF('IP Attrition'!AV147&gt;0,'Attrition Modeling'!$N$9,0)))</f>
        <v>0</v>
      </c>
      <c r="AW90" s="799">
        <f>AV90*(1-IFERROR(IF(AW$77+$F90&lt;=12,SUMIFS('Attrition Modeling'!$D:$D,'Attrition Modeling'!$C:$C,$D90,'Attrition Modeling'!$B:$B,AW$76),VLOOKUP($F90+AW$77,$A$7:$C$107,2,FALSE)*VLOOKUP(AW$76,'Attrition Modeling'!$L$15:$N$27,IF(AW$77+$F90&lt;=24,2,3),FALSE)),$C$3)*(1+IF('IP Attrition'!AW147&gt;0,'Attrition Modeling'!$N$9,0)))</f>
        <v>0</v>
      </c>
      <c r="AX90" s="799">
        <f>AW90*(1-IFERROR(IF(AX$77+$F90&lt;=12,SUMIFS('Attrition Modeling'!$D:$D,'Attrition Modeling'!$C:$C,$D90,'Attrition Modeling'!$B:$B,AX$76),VLOOKUP($F90+AX$77,$A$7:$C$107,2,FALSE)*VLOOKUP(AX$76,'Attrition Modeling'!$L$15:$N$27,IF(AX$77+$F90&lt;=24,2,3),FALSE)),$C$3)*(1+IF('IP Attrition'!AX147&gt;0,'Attrition Modeling'!$N$9,0)))</f>
        <v>0</v>
      </c>
      <c r="AY90" s="799">
        <f>AX90*(1-IFERROR(IF(AY$77+$F90&lt;=12,SUMIFS('Attrition Modeling'!$D:$D,'Attrition Modeling'!$C:$C,$D90,'Attrition Modeling'!$B:$B,AY$76),VLOOKUP($F90+AY$77,$A$7:$C$107,2,FALSE)*VLOOKUP(AY$76,'Attrition Modeling'!$L$15:$N$27,IF(AY$77+$F90&lt;=24,2,3),FALSE)),$C$3)*(1+IF('IP Attrition'!AY147&gt;0,'Attrition Modeling'!$N$9,0)))</f>
        <v>0</v>
      </c>
      <c r="AZ90" s="799">
        <f>AY90*(1-IFERROR(IF(AZ$77+$F90&lt;=12,SUMIFS('Attrition Modeling'!$D:$D,'Attrition Modeling'!$C:$C,$D90,'Attrition Modeling'!$B:$B,AZ$76),VLOOKUP($F90+AZ$77,$A$7:$C$107,2,FALSE)*VLOOKUP(AZ$76,'Attrition Modeling'!$L$15:$N$27,IF(AZ$77+$F90&lt;=24,2,3),FALSE)),$C$3)*(1+IF('IP Attrition'!AZ147&gt;0,'Attrition Modeling'!$N$9,0)))</f>
        <v>0</v>
      </c>
      <c r="BA90" s="799">
        <f>AZ90*(1-IFERROR(IF(BA$77+$F90&lt;=12,SUMIFS('Attrition Modeling'!$D:$D,'Attrition Modeling'!$C:$C,$D90,'Attrition Modeling'!$B:$B,BA$76),VLOOKUP($F90+BA$77,$A$7:$C$107,2,FALSE)*VLOOKUP(BA$76,'Attrition Modeling'!$L$15:$N$27,IF(BA$77+$F90&lt;=24,2,3),FALSE)),$C$3)*(1+IF('IP Attrition'!BA147&gt;0,'Attrition Modeling'!$N$9,0)))</f>
        <v>0</v>
      </c>
      <c r="BB90" s="799">
        <f>BA90*(1-IFERROR(IF(BB$77+$F90&lt;=12,SUMIFS('Attrition Modeling'!$D:$D,'Attrition Modeling'!$C:$C,$D90,'Attrition Modeling'!$B:$B,BB$76),VLOOKUP($F90+BB$77,$A$7:$C$107,2,FALSE)*VLOOKUP(BB$76,'Attrition Modeling'!$L$15:$N$27,IF(BB$77+$F90&lt;=24,2,3),FALSE)),$C$3)*(1+IF('IP Attrition'!BB147&gt;0,'Attrition Modeling'!$N$9,0)))</f>
        <v>0</v>
      </c>
      <c r="BC90" s="799">
        <f>BB90*(1-IFERROR(IF(BC$77+$F90&lt;=12,SUMIFS('Attrition Modeling'!$D:$D,'Attrition Modeling'!$C:$C,$D90,'Attrition Modeling'!$B:$B,BC$76),VLOOKUP($F90+BC$77,$A$7:$C$107,2,FALSE)*VLOOKUP(BC$76,'Attrition Modeling'!$L$15:$N$27,IF(BC$77+$F90&lt;=24,2,3),FALSE)),$C$3)*(1+IF('IP Attrition'!BC147&gt;0,'Attrition Modeling'!$N$9,0)))</f>
        <v>0</v>
      </c>
      <c r="BD90" s="799">
        <f>BC90*(1-IFERROR(IF(BD$77+$F90&lt;=12,SUMIFS('Attrition Modeling'!$D:$D,'Attrition Modeling'!$C:$C,$D90,'Attrition Modeling'!$B:$B,BD$76),VLOOKUP($F90+BD$77,$A$7:$C$107,2,FALSE)*VLOOKUP(BD$76,'Attrition Modeling'!$L$15:$N$27,IF(BD$77+$F90&lt;=24,2,3),FALSE)),$C$3)*(1+IF('IP Attrition'!BD147&gt;0,'Attrition Modeling'!$N$9,0)))</f>
        <v>0</v>
      </c>
      <c r="BE90" s="799">
        <f>BD90*(1-IFERROR(IF(BE$77+$F90&lt;=12,SUMIFS('Attrition Modeling'!$D:$D,'Attrition Modeling'!$C:$C,$D90,'Attrition Modeling'!$B:$B,BE$76),VLOOKUP($F90+BE$77,$A$7:$C$107,2,FALSE)*VLOOKUP(BE$76,'Attrition Modeling'!$L$15:$N$27,IF(BE$77+$F90&lt;=24,2,3),FALSE)),$C$3)*(1+IF('IP Attrition'!BE147&gt;0,'Attrition Modeling'!$N$9,0)))</f>
        <v>0</v>
      </c>
      <c r="BF90" s="799">
        <f>BE90*(1-IFERROR(IF(BF$77+$F90&lt;=12,SUMIFS('Attrition Modeling'!$D:$D,'Attrition Modeling'!$C:$C,$D90,'Attrition Modeling'!$B:$B,BF$76),VLOOKUP($F90+BF$77,$A$7:$C$107,2,FALSE)*VLOOKUP(BF$76,'Attrition Modeling'!$L$15:$N$27,IF(BF$77+$F90&lt;=24,2,3),FALSE)),$C$3)*(1+IF('IP Attrition'!BF147&gt;0,'Attrition Modeling'!$N$9,0)))</f>
        <v>0</v>
      </c>
      <c r="BG90" s="799">
        <f>BF90*(1-IFERROR(IF(BG$77+$F90&lt;=12,SUMIFS('Attrition Modeling'!$D:$D,'Attrition Modeling'!$C:$C,$D90,'Attrition Modeling'!$B:$B,BG$76),VLOOKUP($F90+BG$77,$A$7:$C$107,2,FALSE)*VLOOKUP(BG$76,'Attrition Modeling'!$L$15:$N$27,IF(BG$77+$F90&lt;=24,2,3),FALSE)),$C$3)*(1+IF('IP Attrition'!BG147&gt;0,'Attrition Modeling'!$N$9,0)))</f>
        <v>0</v>
      </c>
      <c r="BH90" s="799">
        <f>BG90*(1-IFERROR(IF(BH$77+$F90&lt;=12,SUMIFS('Attrition Modeling'!$D:$D,'Attrition Modeling'!$C:$C,$D90,'Attrition Modeling'!$B:$B,BH$76),VLOOKUP($F90+BH$77,$A$7:$C$107,2,FALSE)*VLOOKUP(BH$76,'Attrition Modeling'!$L$15:$N$27,IF(BH$77+$F90&lt;=24,2,3),FALSE)),$C$3)*(1+IF('IP Attrition'!BH147&gt;0,'Attrition Modeling'!$N$9,0)))</f>
        <v>0</v>
      </c>
      <c r="BI90" s="799">
        <f>BH90*(1-IFERROR(IF(BI$77+$F90&lt;=12,SUMIFS('Attrition Modeling'!$D:$D,'Attrition Modeling'!$C:$C,$D90,'Attrition Modeling'!$B:$B,BI$76),VLOOKUP($F90+BI$77,$A$7:$C$107,2,FALSE)*VLOOKUP(BI$76,'Attrition Modeling'!$L$15:$N$27,IF(BI$77+$F90&lt;=24,2,3),FALSE)),$C$3)*(1+IF('IP Attrition'!BI147&gt;0,'Attrition Modeling'!$N$9,0)))</f>
        <v>0</v>
      </c>
      <c r="BJ90" s="799">
        <f>BI90*(1-IFERROR(IF(BJ$77+$F90&lt;=12,SUMIFS('Attrition Modeling'!$D:$D,'Attrition Modeling'!$C:$C,$D90,'Attrition Modeling'!$B:$B,BJ$76),VLOOKUP($F90+BJ$77,$A$7:$C$107,2,FALSE)*VLOOKUP(BJ$76,'Attrition Modeling'!$L$15:$N$27,IF(BJ$77+$F90&lt;=24,2,3),FALSE)),$C$3)*(1+IF('IP Attrition'!BJ147&gt;0,'Attrition Modeling'!$N$9,0)))</f>
        <v>0</v>
      </c>
      <c r="BK90" s="799">
        <f>BJ90*(1-IFERROR(IF(BK$77+$F90&lt;=12,SUMIFS('Attrition Modeling'!$D:$D,'Attrition Modeling'!$C:$C,$D90,'Attrition Modeling'!$B:$B,BK$76),VLOOKUP($F90+BK$77,$A$7:$C$107,2,FALSE)*VLOOKUP(BK$76,'Attrition Modeling'!$L$15:$N$27,IF(BK$77+$F90&lt;=24,2,3),FALSE)),$C$3)*(1+IF('IP Attrition'!BK147&gt;0,'Attrition Modeling'!$N$9,0)))</f>
        <v>0</v>
      </c>
      <c r="BL90" s="799">
        <f>BK90*(1-IFERROR(IF(BL$77+$F90&lt;=12,SUMIFS('Attrition Modeling'!$D:$D,'Attrition Modeling'!$C:$C,$D90,'Attrition Modeling'!$B:$B,BL$76),VLOOKUP($F90+BL$77,$A$7:$C$107,2,FALSE)*VLOOKUP(BL$76,'Attrition Modeling'!$L$15:$N$27,IF(BL$77+$F90&lt;=24,2,3),FALSE)),$C$3)*(1+IF('IP Attrition'!BL147&gt;0,'Attrition Modeling'!$N$9,0)))</f>
        <v>0</v>
      </c>
      <c r="BM90" s="799">
        <f>BL90*(1-IFERROR(IF(BM$77+$F90&lt;=12,SUMIFS('Attrition Modeling'!$D:$D,'Attrition Modeling'!$C:$C,$D90,'Attrition Modeling'!$B:$B,BM$76),VLOOKUP($F90+BM$77,$A$7:$C$107,2,FALSE)*VLOOKUP(BM$76,'Attrition Modeling'!$L$15:$N$27,IF(BM$77+$F90&lt;=24,2,3),FALSE)),$C$3)*(1+IF('IP Attrition'!BM147&gt;0,'Attrition Modeling'!$N$9,0)))</f>
        <v>0</v>
      </c>
      <c r="BN90" s="799">
        <f>BM90*(1-IFERROR(IF(BN$77+$F90&lt;=12,SUMIFS('Attrition Modeling'!$D:$D,'Attrition Modeling'!$C:$C,$D90,'Attrition Modeling'!$B:$B,BN$76),VLOOKUP($F90+BN$77,$A$7:$C$107,2,FALSE)*VLOOKUP(BN$76,'Attrition Modeling'!$L$15:$N$27,IF(BN$77+$F90&lt;=24,2,3),FALSE)),$C$3)*(1+IF('IP Attrition'!BN147&gt;0,'Attrition Modeling'!$N$9,0)))</f>
        <v>0</v>
      </c>
      <c r="BO90" s="799">
        <f>BN90*(1-IFERROR(IF(BO$77+$F90&lt;=12,SUMIFS('Attrition Modeling'!$D:$D,'Attrition Modeling'!$C:$C,$D90,'Attrition Modeling'!$B:$B,BO$76),VLOOKUP($F90+BO$77,$A$7:$C$107,2,FALSE)*VLOOKUP(BO$76,'Attrition Modeling'!$L$15:$N$27,IF(BO$77+$F90&lt;=24,2,3),FALSE)),$C$3)*(1+IF('IP Attrition'!BO147&gt;0,'Attrition Modeling'!$N$9,0)))</f>
        <v>0</v>
      </c>
      <c r="BP90" s="799">
        <f>BO90*(1-IFERROR(IF(BP$77+$F90&lt;=12,SUMIFS('Attrition Modeling'!$D:$D,'Attrition Modeling'!$C:$C,$D90,'Attrition Modeling'!$B:$B,BP$76),VLOOKUP($F90+BP$77,$A$7:$C$107,2,FALSE)*VLOOKUP(BP$76,'Attrition Modeling'!$L$15:$N$27,IF(BP$77+$F90&lt;=24,2,3),FALSE)),$C$3)*(1+IF('IP Attrition'!BP147&gt;0,'Attrition Modeling'!$N$9,0)))</f>
        <v>0</v>
      </c>
      <c r="BQ90" s="799">
        <f>BP90*(1-IFERROR(IF(BQ$77+$F90&lt;=12,SUMIFS('Attrition Modeling'!$D:$D,'Attrition Modeling'!$C:$C,$D90,'Attrition Modeling'!$B:$B,BQ$76),VLOOKUP($F90+BQ$77,$A$7:$C$107,2,FALSE)*VLOOKUP(BQ$76,'Attrition Modeling'!$L$15:$N$27,IF(BQ$77+$F90&lt;=24,2,3),FALSE)),$C$3)*(1+IF('IP Attrition'!BQ147&gt;0,'Attrition Modeling'!$N$9,0)))</f>
        <v>0</v>
      </c>
      <c r="BR90" s="799">
        <f>BQ90*(1-IFERROR(IF(BR$77+$F90&lt;=12,SUMIFS('Attrition Modeling'!$D:$D,'Attrition Modeling'!$C:$C,$D90,'Attrition Modeling'!$B:$B,BR$76),VLOOKUP($F90+BR$77,$A$7:$C$107,2,FALSE)*VLOOKUP(BR$76,'Attrition Modeling'!$L$15:$N$27,IF(BR$77+$F90&lt;=24,2,3),FALSE)),$C$3)*(1+IF('IP Attrition'!BR147&gt;0,'Attrition Modeling'!$N$9,0)))</f>
        <v>0</v>
      </c>
      <c r="BS90" s="799">
        <f>BR90*(1-IFERROR(IF(BS$77+$F90&lt;=12,SUMIFS('Attrition Modeling'!$D:$D,'Attrition Modeling'!$C:$C,$D90,'Attrition Modeling'!$B:$B,BS$76),VLOOKUP($F90+BS$77,$A$7:$C$107,2,FALSE)*VLOOKUP(BS$76,'Attrition Modeling'!$L$15:$N$27,IF(BS$77+$F90&lt;=24,2,3),FALSE)),$C$3)*(1+IF('IP Attrition'!BS147&gt;0,'Attrition Modeling'!$N$9,0)))</f>
        <v>0</v>
      </c>
      <c r="BT90" s="799" t="e">
        <f>BS90*(1-IFERROR(IF(BT$77+$F90&lt;=12,SUMIFS('Attrition Modeling'!$D:$D,'Attrition Modeling'!$C:$C,$D90,'Attrition Modeling'!$B:$B,BT$76),VLOOKUP($F90+BT$77,$A$7:$C$107,2,FALSE)*VLOOKUP(BT$76,'Attrition Modeling'!$L$15:$N$27,IF(BT$77+$F90&lt;=24,2,3),FALSE)),$C$3)*(1+IF('IP Attrition'!BT147&gt;0,'Attrition Modeling'!$N$9,0)))</f>
        <v>#REF!</v>
      </c>
      <c r="BU90" s="799" t="e">
        <f>BT90*(1-IFERROR(IF(BU$77+$F90&lt;=12,SUMIFS('Attrition Modeling'!$D:$D,'Attrition Modeling'!$C:$C,$D90,'Attrition Modeling'!$B:$B,BU$76),VLOOKUP($F90+BU$77,$A$7:$C$107,2,FALSE)*VLOOKUP(BU$76,'Attrition Modeling'!$L$15:$N$27,IF(BU$77+$F90&lt;=24,2,3),FALSE)),$C$3)*(1+IF('IP Attrition'!BU147&gt;0,'Attrition Modeling'!$N$9,0)))</f>
        <v>#REF!</v>
      </c>
    </row>
    <row r="91" spans="1:73" ht="14.25" customHeight="1" x14ac:dyDescent="0.2">
      <c r="A91" s="9">
        <v>83</v>
      </c>
      <c r="B91" s="25">
        <f>MAX('Attrition Modeling'!H87,$C$3)*(1-Summary!$C$20)</f>
        <v>0.02</v>
      </c>
      <c r="C91" s="24" t="e">
        <f t="shared" si="2"/>
        <v>#DIV/0!</v>
      </c>
      <c r="D91" s="11">
        <f>'IP Attrition'!D83</f>
        <v>-13</v>
      </c>
      <c r="E91" s="25">
        <f>'IP Attrition'!E83</f>
        <v>0</v>
      </c>
      <c r="F91" s="11">
        <f t="shared" si="8"/>
        <v>13</v>
      </c>
      <c r="G91" s="799">
        <f>Summary!$C$24*$E91</f>
        <v>0</v>
      </c>
      <c r="H91" s="799">
        <f>G91*(1-IFERROR(IF(H$77+$F91&lt;=12,SUMIFS('Attrition Modeling'!$D:$D,'Attrition Modeling'!$C:$C,$D91,'Attrition Modeling'!$B:$B,H$76),VLOOKUP($F91+H$77,$A$7:$C$107,2,FALSE)*VLOOKUP(H$76,'Attrition Modeling'!$L$15:$N$27,IF(H$77+$F91&lt;=24,2,3),FALSE)),$C$3)*(1+IF('IP Attrition'!H148&gt;0,'Attrition Modeling'!$N$9,0)))</f>
        <v>0</v>
      </c>
      <c r="I91" s="799">
        <f>H91*(1-IFERROR(IF(I$77+$F91&lt;=12,SUMIFS('Attrition Modeling'!$D:$D,'Attrition Modeling'!$C:$C,$D91,'Attrition Modeling'!$B:$B,I$76),VLOOKUP($F91+I$77,$A$7:$C$107,2,FALSE)*VLOOKUP(I$76,'Attrition Modeling'!$L$15:$N$27,IF(I$77+$F91&lt;=24,2,3),FALSE)),$C$3)*(1+IF('IP Attrition'!I148&gt;0,'Attrition Modeling'!$N$9,0)))</f>
        <v>0</v>
      </c>
      <c r="J91" s="799">
        <f>I91*(1-IFERROR(IF(J$77+$F91&lt;=12,SUMIFS('Attrition Modeling'!$D:$D,'Attrition Modeling'!$C:$C,$D91,'Attrition Modeling'!$B:$B,J$76),VLOOKUP($F91+J$77,$A$7:$C$107,2,FALSE)*VLOOKUP(J$76,'Attrition Modeling'!$L$15:$N$27,IF(J$77+$F91&lt;=24,2,3),FALSE)),$C$3)*(1+IF('IP Attrition'!J148&gt;0,'Attrition Modeling'!$N$9,0)))</f>
        <v>0</v>
      </c>
      <c r="K91" s="799">
        <f>J91*(1-IFERROR(IF(K$77+$F91&lt;=12,SUMIFS('Attrition Modeling'!$D:$D,'Attrition Modeling'!$C:$C,$D91,'Attrition Modeling'!$B:$B,K$76),VLOOKUP($F91+K$77,$A$7:$C$107,2,FALSE)*VLOOKUP(K$76,'Attrition Modeling'!$L$15:$N$27,IF(K$77+$F91&lt;=24,2,3),FALSE)),$C$3)*(1+IF('IP Attrition'!K148&gt;0,'Attrition Modeling'!$N$9,0)))</f>
        <v>0</v>
      </c>
      <c r="L91" s="799">
        <f>K91*(1-IFERROR(IF(L$77+$F91&lt;=12,SUMIFS('Attrition Modeling'!$D:$D,'Attrition Modeling'!$C:$C,$D91,'Attrition Modeling'!$B:$B,L$76),VLOOKUP($F91+L$77,$A$7:$C$107,2,FALSE)*VLOOKUP(L$76,'Attrition Modeling'!$L$15:$N$27,IF(L$77+$F91&lt;=24,2,3),FALSE)),$C$3)*(1+IF('IP Attrition'!L148&gt;0,'Attrition Modeling'!$N$9,0)))</f>
        <v>0</v>
      </c>
      <c r="M91" s="799">
        <f>L91*(1-IFERROR(IF(M$77+$F91&lt;=12,SUMIFS('Attrition Modeling'!$D:$D,'Attrition Modeling'!$C:$C,$D91,'Attrition Modeling'!$B:$B,M$76),VLOOKUP($F91+M$77,$A$7:$C$107,2,FALSE)*VLOOKUP(M$76,'Attrition Modeling'!$L$15:$N$27,IF(M$77+$F91&lt;=24,2,3),FALSE)),$C$3)*(1+IF('IP Attrition'!M148&gt;0,'Attrition Modeling'!$N$9,0)))</f>
        <v>0</v>
      </c>
      <c r="N91" s="799">
        <f>M91*(1-IFERROR(IF(N$77+$F91&lt;=12,SUMIFS('Attrition Modeling'!$D:$D,'Attrition Modeling'!$C:$C,$D91,'Attrition Modeling'!$B:$B,N$76),VLOOKUP($F91+N$77,$A$7:$C$107,2,FALSE)*VLOOKUP(N$76,'Attrition Modeling'!$L$15:$N$27,IF(N$77+$F91&lt;=24,2,3),FALSE)),$C$3)*(1+IF('IP Attrition'!N148&gt;0,'Attrition Modeling'!$N$9,0)))</f>
        <v>0</v>
      </c>
      <c r="O91" s="799">
        <f>N91*(1-IFERROR(IF(O$77+$F91&lt;=12,SUMIFS('Attrition Modeling'!$D:$D,'Attrition Modeling'!$C:$C,$D91,'Attrition Modeling'!$B:$B,O$76),VLOOKUP($F91+O$77,$A$7:$C$107,2,FALSE)*VLOOKUP(O$76,'Attrition Modeling'!$L$15:$N$27,IF(O$77+$F91&lt;=24,2,3),FALSE)),$C$3)*(1+IF('IP Attrition'!O148&gt;0,'Attrition Modeling'!$N$9,0)))</f>
        <v>0</v>
      </c>
      <c r="P91" s="799">
        <f>O91*(1-IFERROR(IF(P$77+$F91&lt;=12,SUMIFS('Attrition Modeling'!$D:$D,'Attrition Modeling'!$C:$C,$D91,'Attrition Modeling'!$B:$B,P$76),VLOOKUP($F91+P$77,$A$7:$C$107,2,FALSE)*VLOOKUP(P$76,'Attrition Modeling'!$L$15:$N$27,IF(P$77+$F91&lt;=24,2,3),FALSE)),$C$3)*(1+IF('IP Attrition'!P148&gt;0,'Attrition Modeling'!$N$9,0)))</f>
        <v>0</v>
      </c>
      <c r="Q91" s="799">
        <f>P91*(1-IFERROR(IF(Q$77+$F91&lt;=12,SUMIFS('Attrition Modeling'!$D:$D,'Attrition Modeling'!$C:$C,$D91,'Attrition Modeling'!$B:$B,Q$76),VLOOKUP($F91+Q$77,$A$7:$C$107,2,FALSE)*VLOOKUP(Q$76,'Attrition Modeling'!$L$15:$N$27,IF(Q$77+$F91&lt;=24,2,3),FALSE)),$C$3)*(1+IF('IP Attrition'!Q148&gt;0,'Attrition Modeling'!$N$9,0)))</f>
        <v>0</v>
      </c>
      <c r="R91" s="799">
        <f>Q91*(1-IFERROR(IF(R$77+$F91&lt;=12,SUMIFS('Attrition Modeling'!$D:$D,'Attrition Modeling'!$C:$C,$D91,'Attrition Modeling'!$B:$B,R$76),VLOOKUP($F91+R$77,$A$7:$C$107,2,FALSE)*VLOOKUP(R$76,'Attrition Modeling'!$L$15:$N$27,IF(R$77+$F91&lt;=24,2,3),FALSE)),$C$3)*(1+IF('IP Attrition'!R148&gt;0,'Attrition Modeling'!$N$9,0)))</f>
        <v>0</v>
      </c>
      <c r="S91" s="799">
        <f>R91*(1-IFERROR(IF(S$77+$F91&lt;=12,SUMIFS('Attrition Modeling'!$D:$D,'Attrition Modeling'!$C:$C,$D91,'Attrition Modeling'!$B:$B,S$76),VLOOKUP($F91+S$77,$A$7:$C$107,2,FALSE)*VLOOKUP(S$76,'Attrition Modeling'!$L$15:$N$27,IF(S$77+$F91&lt;=24,2,3),FALSE)),$C$3)*(1+IF('IP Attrition'!S148&gt;0,'Attrition Modeling'!$N$9,0)))</f>
        <v>0</v>
      </c>
      <c r="T91" s="799">
        <f>S91*(1-IFERROR(IF(T$77+$F91&lt;=12,SUMIFS('Attrition Modeling'!$D:$D,'Attrition Modeling'!$C:$C,$D91,'Attrition Modeling'!$B:$B,T$76),VLOOKUP($F91+T$77,$A$7:$C$107,2,FALSE)*VLOOKUP(T$76,'Attrition Modeling'!$L$15:$N$27,IF(T$77+$F91&lt;=24,2,3),FALSE)),$C$3)*(1+IF('IP Attrition'!T148&gt;0,'Attrition Modeling'!$N$9,0)))</f>
        <v>0</v>
      </c>
      <c r="U91" s="799">
        <f>T91*(1-IFERROR(IF(U$77+$F91&lt;=12,SUMIFS('Attrition Modeling'!$D:$D,'Attrition Modeling'!$C:$C,$D91,'Attrition Modeling'!$B:$B,U$76),VLOOKUP($F91+U$77,$A$7:$C$107,2,FALSE)*VLOOKUP(U$76,'Attrition Modeling'!$L$15:$N$27,IF(U$77+$F91&lt;=24,2,3),FALSE)),$C$3)*(1+IF('IP Attrition'!U148&gt;0,'Attrition Modeling'!$N$9,0)))</f>
        <v>0</v>
      </c>
      <c r="V91" s="799">
        <f>U91*(1-IFERROR(IF(V$77+$F91&lt;=12,SUMIFS('Attrition Modeling'!$D:$D,'Attrition Modeling'!$C:$C,$D91,'Attrition Modeling'!$B:$B,V$76),VLOOKUP($F91+V$77,$A$7:$C$107,2,FALSE)*VLOOKUP(V$76,'Attrition Modeling'!$L$15:$N$27,IF(V$77+$F91&lt;=24,2,3),FALSE)),$C$3)*(1+IF('IP Attrition'!V148&gt;0,'Attrition Modeling'!$N$9,0)))</f>
        <v>0</v>
      </c>
      <c r="W91" s="799">
        <f>V91*(1-IFERROR(IF(W$77+$F91&lt;=12,SUMIFS('Attrition Modeling'!$D:$D,'Attrition Modeling'!$C:$C,$D91,'Attrition Modeling'!$B:$B,W$76),VLOOKUP($F91+W$77,$A$7:$C$107,2,FALSE)*VLOOKUP(W$76,'Attrition Modeling'!$L$15:$N$27,IF(W$77+$F91&lt;=24,2,3),FALSE)),$C$3)*(1+IF('IP Attrition'!W148&gt;0,'Attrition Modeling'!$N$9,0)))</f>
        <v>0</v>
      </c>
      <c r="X91" s="799">
        <f>W91*(1-IFERROR(IF(X$77+$F91&lt;=12,SUMIFS('Attrition Modeling'!$D:$D,'Attrition Modeling'!$C:$C,$D91,'Attrition Modeling'!$B:$B,X$76),VLOOKUP($F91+X$77,$A$7:$C$107,2,FALSE)*VLOOKUP(X$76,'Attrition Modeling'!$L$15:$N$27,IF(X$77+$F91&lt;=24,2,3),FALSE)),$C$3)*(1+IF('IP Attrition'!X148&gt;0,'Attrition Modeling'!$N$9,0)))</f>
        <v>0</v>
      </c>
      <c r="Y91" s="799">
        <f>X91*(1-IFERROR(IF(Y$77+$F91&lt;=12,SUMIFS('Attrition Modeling'!$D:$D,'Attrition Modeling'!$C:$C,$D91,'Attrition Modeling'!$B:$B,Y$76),VLOOKUP($F91+Y$77,$A$7:$C$107,2,FALSE)*VLOOKUP(Y$76,'Attrition Modeling'!$L$15:$N$27,IF(Y$77+$F91&lt;=24,2,3),FALSE)),$C$3)*(1+IF('IP Attrition'!Y148&gt;0,'Attrition Modeling'!$N$9,0)))</f>
        <v>0</v>
      </c>
      <c r="Z91" s="799">
        <f>Y91*(1-IFERROR(IF(Z$77+$F91&lt;=12,SUMIFS('Attrition Modeling'!$D:$D,'Attrition Modeling'!$C:$C,$D91,'Attrition Modeling'!$B:$B,Z$76),VLOOKUP($F91+Z$77,$A$7:$C$107,2,FALSE)*VLOOKUP(Z$76,'Attrition Modeling'!$L$15:$N$27,IF(Z$77+$F91&lt;=24,2,3),FALSE)),$C$3)*(1+IF('IP Attrition'!Z148&gt;0,'Attrition Modeling'!$N$9,0)))</f>
        <v>0</v>
      </c>
      <c r="AA91" s="799">
        <f>Z91*(1-IFERROR(IF(AA$77+$F91&lt;=12,SUMIFS('Attrition Modeling'!$D:$D,'Attrition Modeling'!$C:$C,$D91,'Attrition Modeling'!$B:$B,AA$76),VLOOKUP($F91+AA$77,$A$7:$C$107,2,FALSE)*VLOOKUP(AA$76,'Attrition Modeling'!$L$15:$N$27,IF(AA$77+$F91&lt;=24,2,3),FALSE)),$C$3)*(1+IF('IP Attrition'!AA148&gt;0,'Attrition Modeling'!$N$9,0)))</f>
        <v>0</v>
      </c>
      <c r="AB91" s="799">
        <f>AA91*(1-IFERROR(IF(AB$77+$F91&lt;=12,SUMIFS('Attrition Modeling'!$D:$D,'Attrition Modeling'!$C:$C,$D91,'Attrition Modeling'!$B:$B,AB$76),VLOOKUP($F91+AB$77,$A$7:$C$107,2,FALSE)*VLOOKUP(AB$76,'Attrition Modeling'!$L$15:$N$27,IF(AB$77+$F91&lt;=24,2,3),FALSE)),$C$3)*(1+IF('IP Attrition'!AB148&gt;0,'Attrition Modeling'!$N$9,0)))</f>
        <v>0</v>
      </c>
      <c r="AC91" s="799">
        <f>AB91*(1-IFERROR(IF(AC$77+$F91&lt;=12,SUMIFS('Attrition Modeling'!$D:$D,'Attrition Modeling'!$C:$C,$D91,'Attrition Modeling'!$B:$B,AC$76),VLOOKUP($F91+AC$77,$A$7:$C$107,2,FALSE)*VLOOKUP(AC$76,'Attrition Modeling'!$L$15:$N$27,IF(AC$77+$F91&lt;=24,2,3),FALSE)),$C$3)*(1+IF('IP Attrition'!AC148&gt;0,'Attrition Modeling'!$N$9,0)))</f>
        <v>0</v>
      </c>
      <c r="AD91" s="799">
        <f>AC91*(1-IFERROR(IF(AD$77+$F91&lt;=12,SUMIFS('Attrition Modeling'!$D:$D,'Attrition Modeling'!$C:$C,$D91,'Attrition Modeling'!$B:$B,AD$76),VLOOKUP($F91+AD$77,$A$7:$C$107,2,FALSE)*VLOOKUP(AD$76,'Attrition Modeling'!$L$15:$N$27,IF(AD$77+$F91&lt;=24,2,3),FALSE)),$C$3)*(1+IF('IP Attrition'!AD148&gt;0,'Attrition Modeling'!$N$9,0)))</f>
        <v>0</v>
      </c>
      <c r="AE91" s="799">
        <f>AD91*(1-IFERROR(IF(AE$77+$F91&lt;=12,SUMIFS('Attrition Modeling'!$D:$D,'Attrition Modeling'!$C:$C,$D91,'Attrition Modeling'!$B:$B,AE$76),VLOOKUP($F91+AE$77,$A$7:$C$107,2,FALSE)*VLOOKUP(AE$76,'Attrition Modeling'!$L$15:$N$27,IF(AE$77+$F91&lt;=24,2,3),FALSE)),$C$3)*(1+IF('IP Attrition'!AE148&gt;0,'Attrition Modeling'!$N$9,0)))</f>
        <v>0</v>
      </c>
      <c r="AF91" s="799">
        <f>AE91*(1-IFERROR(IF(AF$77+$F91&lt;=12,SUMIFS('Attrition Modeling'!$D:$D,'Attrition Modeling'!$C:$C,$D91,'Attrition Modeling'!$B:$B,AF$76),VLOOKUP($F91+AF$77,$A$7:$C$107,2,FALSE)*VLOOKUP(AF$76,'Attrition Modeling'!$L$15:$N$27,IF(AF$77+$F91&lt;=24,2,3),FALSE)),$C$3)*(1+IF('IP Attrition'!AF148&gt;0,'Attrition Modeling'!$N$9,0)))</f>
        <v>0</v>
      </c>
      <c r="AG91" s="799">
        <f>AF91*(1-IFERROR(IF(AG$77+$F91&lt;=12,SUMIFS('Attrition Modeling'!$D:$D,'Attrition Modeling'!$C:$C,$D91,'Attrition Modeling'!$B:$B,AG$76),VLOOKUP($F91+AG$77,$A$7:$C$107,2,FALSE)*VLOOKUP(AG$76,'Attrition Modeling'!$L$15:$N$27,IF(AG$77+$F91&lt;=24,2,3),FALSE)),$C$3)*(1+IF('IP Attrition'!AG148&gt;0,'Attrition Modeling'!$N$9,0)))</f>
        <v>0</v>
      </c>
      <c r="AH91" s="799">
        <f>AG91*(1-IFERROR(IF(AH$77+$F91&lt;=12,SUMIFS('Attrition Modeling'!$D:$D,'Attrition Modeling'!$C:$C,$D91,'Attrition Modeling'!$B:$B,AH$76),VLOOKUP($F91+AH$77,$A$7:$C$107,2,FALSE)*VLOOKUP(AH$76,'Attrition Modeling'!$L$15:$N$27,IF(AH$77+$F91&lt;=24,2,3),FALSE)),$C$3)*(1+IF('IP Attrition'!AH148&gt;0,'Attrition Modeling'!$N$9,0)))</f>
        <v>0</v>
      </c>
      <c r="AI91" s="799">
        <f>AH91*(1-IFERROR(IF(AI$77+$F91&lt;=12,SUMIFS('Attrition Modeling'!$D:$D,'Attrition Modeling'!$C:$C,$D91,'Attrition Modeling'!$B:$B,AI$76),VLOOKUP($F91+AI$77,$A$7:$C$107,2,FALSE)*VLOOKUP(AI$76,'Attrition Modeling'!$L$15:$N$27,IF(AI$77+$F91&lt;=24,2,3),FALSE)),$C$3)*(1+IF('IP Attrition'!AI148&gt;0,'Attrition Modeling'!$N$9,0)))</f>
        <v>0</v>
      </c>
      <c r="AJ91" s="799">
        <f>AI91*(1-IFERROR(IF(AJ$77+$F91&lt;=12,SUMIFS('Attrition Modeling'!$D:$D,'Attrition Modeling'!$C:$C,$D91,'Attrition Modeling'!$B:$B,AJ$76),VLOOKUP($F91+AJ$77,$A$7:$C$107,2,FALSE)*VLOOKUP(AJ$76,'Attrition Modeling'!$L$15:$N$27,IF(AJ$77+$F91&lt;=24,2,3),FALSE)),$C$3)*(1+IF('IP Attrition'!AJ148&gt;0,'Attrition Modeling'!$N$9,0)))</f>
        <v>0</v>
      </c>
      <c r="AK91" s="799">
        <f>AJ91*(1-IFERROR(IF(AK$77+$F91&lt;=12,SUMIFS('Attrition Modeling'!$D:$D,'Attrition Modeling'!$C:$C,$D91,'Attrition Modeling'!$B:$B,AK$76),VLOOKUP($F91+AK$77,$A$7:$C$107,2,FALSE)*VLOOKUP(AK$76,'Attrition Modeling'!$L$15:$N$27,IF(AK$77+$F91&lt;=24,2,3),FALSE)),$C$3)*(1+IF('IP Attrition'!AK148&gt;0,'Attrition Modeling'!$N$9,0)))</f>
        <v>0</v>
      </c>
      <c r="AL91" s="799">
        <f>AK91*(1-IFERROR(IF(AL$77+$F91&lt;=12,SUMIFS('Attrition Modeling'!$D:$D,'Attrition Modeling'!$C:$C,$D91,'Attrition Modeling'!$B:$B,AL$76),VLOOKUP($F91+AL$77,$A$7:$C$107,2,FALSE)*VLOOKUP(AL$76,'Attrition Modeling'!$L$15:$N$27,IF(AL$77+$F91&lt;=24,2,3),FALSE)),$C$3)*(1+IF('IP Attrition'!AL148&gt;0,'Attrition Modeling'!$N$9,0)))</f>
        <v>0</v>
      </c>
      <c r="AM91" s="799">
        <f>AL91*(1-IFERROR(IF(AM$77+$F91&lt;=12,SUMIFS('Attrition Modeling'!$D:$D,'Attrition Modeling'!$C:$C,$D91,'Attrition Modeling'!$B:$B,AM$76),VLOOKUP($F91+AM$77,$A$7:$C$107,2,FALSE)*VLOOKUP(AM$76,'Attrition Modeling'!$L$15:$N$27,IF(AM$77+$F91&lt;=24,2,3),FALSE)),$C$3)*(1+IF('IP Attrition'!AM148&gt;0,'Attrition Modeling'!$N$9,0)))</f>
        <v>0</v>
      </c>
      <c r="AN91" s="799">
        <f>AM91*(1-IFERROR(IF(AN$77+$F91&lt;=12,SUMIFS('Attrition Modeling'!$D:$D,'Attrition Modeling'!$C:$C,$D91,'Attrition Modeling'!$B:$B,AN$76),VLOOKUP($F91+AN$77,$A$7:$C$107,2,FALSE)*VLOOKUP(AN$76,'Attrition Modeling'!$L$15:$N$27,IF(AN$77+$F91&lt;=24,2,3),FALSE)),$C$3)*(1+IF('IP Attrition'!AN148&gt;0,'Attrition Modeling'!$N$9,0)))</f>
        <v>0</v>
      </c>
      <c r="AO91" s="799">
        <f>AN91*(1-IFERROR(IF(AO$77+$F91&lt;=12,SUMIFS('Attrition Modeling'!$D:$D,'Attrition Modeling'!$C:$C,$D91,'Attrition Modeling'!$B:$B,AO$76),VLOOKUP($F91+AO$77,$A$7:$C$107,2,FALSE)*VLOOKUP(AO$76,'Attrition Modeling'!$L$15:$N$27,IF(AO$77+$F91&lt;=24,2,3),FALSE)),$C$3)*(1+IF('IP Attrition'!AO148&gt;0,'Attrition Modeling'!$N$9,0)))</f>
        <v>0</v>
      </c>
      <c r="AP91" s="799">
        <f>AO91*(1-IFERROR(IF(AP$77+$F91&lt;=12,SUMIFS('Attrition Modeling'!$D:$D,'Attrition Modeling'!$C:$C,$D91,'Attrition Modeling'!$B:$B,AP$76),VLOOKUP($F91+AP$77,$A$7:$C$107,2,FALSE)*VLOOKUP(AP$76,'Attrition Modeling'!$L$15:$N$27,IF(AP$77+$F91&lt;=24,2,3),FALSE)),$C$3)*(1+IF('IP Attrition'!AP148&gt;0,'Attrition Modeling'!$N$9,0)))</f>
        <v>0</v>
      </c>
      <c r="AQ91" s="799">
        <f>AP91*(1-IFERROR(IF(AQ$77+$F91&lt;=12,SUMIFS('Attrition Modeling'!$D:$D,'Attrition Modeling'!$C:$C,$D91,'Attrition Modeling'!$B:$B,AQ$76),VLOOKUP($F91+AQ$77,$A$7:$C$107,2,FALSE)*VLOOKUP(AQ$76,'Attrition Modeling'!$L$15:$N$27,IF(AQ$77+$F91&lt;=24,2,3),FALSE)),$C$3)*(1+IF('IP Attrition'!AQ148&gt;0,'Attrition Modeling'!$N$9,0)))</f>
        <v>0</v>
      </c>
      <c r="AR91" s="799">
        <f>AQ91*(1-IFERROR(IF(AR$77+$F91&lt;=12,SUMIFS('Attrition Modeling'!$D:$D,'Attrition Modeling'!$C:$C,$D91,'Attrition Modeling'!$B:$B,AR$76),VLOOKUP($F91+AR$77,$A$7:$C$107,2,FALSE)*VLOOKUP(AR$76,'Attrition Modeling'!$L$15:$N$27,IF(AR$77+$F91&lt;=24,2,3),FALSE)),$C$3)*(1+IF('IP Attrition'!AR148&gt;0,'Attrition Modeling'!$N$9,0)))</f>
        <v>0</v>
      </c>
      <c r="AS91" s="799">
        <f>AR91*(1-IFERROR(IF(AS$77+$F91&lt;=12,SUMIFS('Attrition Modeling'!$D:$D,'Attrition Modeling'!$C:$C,$D91,'Attrition Modeling'!$B:$B,AS$76),VLOOKUP($F91+AS$77,$A$7:$C$107,2,FALSE)*VLOOKUP(AS$76,'Attrition Modeling'!$L$15:$N$27,IF(AS$77+$F91&lt;=24,2,3),FALSE)),$C$3)*(1+IF('IP Attrition'!AS148&gt;0,'Attrition Modeling'!$N$9,0)))</f>
        <v>0</v>
      </c>
      <c r="AT91" s="799">
        <f>AS91*(1-IFERROR(IF(AT$77+$F91&lt;=12,SUMIFS('Attrition Modeling'!$D:$D,'Attrition Modeling'!$C:$C,$D91,'Attrition Modeling'!$B:$B,AT$76),VLOOKUP($F91+AT$77,$A$7:$C$107,2,FALSE)*VLOOKUP(AT$76,'Attrition Modeling'!$L$15:$N$27,IF(AT$77+$F91&lt;=24,2,3),FALSE)),$C$3)*(1+IF('IP Attrition'!AT148&gt;0,'Attrition Modeling'!$N$9,0)))</f>
        <v>0</v>
      </c>
      <c r="AU91" s="799">
        <f>AT91*(1-IFERROR(IF(AU$77+$F91&lt;=12,SUMIFS('Attrition Modeling'!$D:$D,'Attrition Modeling'!$C:$C,$D91,'Attrition Modeling'!$B:$B,AU$76),VLOOKUP($F91+AU$77,$A$7:$C$107,2,FALSE)*VLOOKUP(AU$76,'Attrition Modeling'!$L$15:$N$27,IF(AU$77+$F91&lt;=24,2,3),FALSE)),$C$3)*(1+IF('IP Attrition'!AU148&gt;0,'Attrition Modeling'!$N$9,0)))</f>
        <v>0</v>
      </c>
      <c r="AV91" s="799">
        <f>AU91*(1-IFERROR(IF(AV$77+$F91&lt;=12,SUMIFS('Attrition Modeling'!$D:$D,'Attrition Modeling'!$C:$C,$D91,'Attrition Modeling'!$B:$B,AV$76),VLOOKUP($F91+AV$77,$A$7:$C$107,2,FALSE)*VLOOKUP(AV$76,'Attrition Modeling'!$L$15:$N$27,IF(AV$77+$F91&lt;=24,2,3),FALSE)),$C$3)*(1+IF('IP Attrition'!AV148&gt;0,'Attrition Modeling'!$N$9,0)))</f>
        <v>0</v>
      </c>
      <c r="AW91" s="799">
        <f>AV91*(1-IFERROR(IF(AW$77+$F91&lt;=12,SUMIFS('Attrition Modeling'!$D:$D,'Attrition Modeling'!$C:$C,$D91,'Attrition Modeling'!$B:$B,AW$76),VLOOKUP($F91+AW$77,$A$7:$C$107,2,FALSE)*VLOOKUP(AW$76,'Attrition Modeling'!$L$15:$N$27,IF(AW$77+$F91&lt;=24,2,3),FALSE)),$C$3)*(1+IF('IP Attrition'!AW148&gt;0,'Attrition Modeling'!$N$9,0)))</f>
        <v>0</v>
      </c>
      <c r="AX91" s="799">
        <f>AW91*(1-IFERROR(IF(AX$77+$F91&lt;=12,SUMIFS('Attrition Modeling'!$D:$D,'Attrition Modeling'!$C:$C,$D91,'Attrition Modeling'!$B:$B,AX$76),VLOOKUP($F91+AX$77,$A$7:$C$107,2,FALSE)*VLOOKUP(AX$76,'Attrition Modeling'!$L$15:$N$27,IF(AX$77+$F91&lt;=24,2,3),FALSE)),$C$3)*(1+IF('IP Attrition'!AX148&gt;0,'Attrition Modeling'!$N$9,0)))</f>
        <v>0</v>
      </c>
      <c r="AY91" s="799">
        <f>AX91*(1-IFERROR(IF(AY$77+$F91&lt;=12,SUMIFS('Attrition Modeling'!$D:$D,'Attrition Modeling'!$C:$C,$D91,'Attrition Modeling'!$B:$B,AY$76),VLOOKUP($F91+AY$77,$A$7:$C$107,2,FALSE)*VLOOKUP(AY$76,'Attrition Modeling'!$L$15:$N$27,IF(AY$77+$F91&lt;=24,2,3),FALSE)),$C$3)*(1+IF('IP Attrition'!AY148&gt;0,'Attrition Modeling'!$N$9,0)))</f>
        <v>0</v>
      </c>
      <c r="AZ91" s="799">
        <f>AY91*(1-IFERROR(IF(AZ$77+$F91&lt;=12,SUMIFS('Attrition Modeling'!$D:$D,'Attrition Modeling'!$C:$C,$D91,'Attrition Modeling'!$B:$B,AZ$76),VLOOKUP($F91+AZ$77,$A$7:$C$107,2,FALSE)*VLOOKUP(AZ$76,'Attrition Modeling'!$L$15:$N$27,IF(AZ$77+$F91&lt;=24,2,3),FALSE)),$C$3)*(1+IF('IP Attrition'!AZ148&gt;0,'Attrition Modeling'!$N$9,0)))</f>
        <v>0</v>
      </c>
      <c r="BA91" s="799">
        <f>AZ91*(1-IFERROR(IF(BA$77+$F91&lt;=12,SUMIFS('Attrition Modeling'!$D:$D,'Attrition Modeling'!$C:$C,$D91,'Attrition Modeling'!$B:$B,BA$76),VLOOKUP($F91+BA$77,$A$7:$C$107,2,FALSE)*VLOOKUP(BA$76,'Attrition Modeling'!$L$15:$N$27,IF(BA$77+$F91&lt;=24,2,3),FALSE)),$C$3)*(1+IF('IP Attrition'!BA148&gt;0,'Attrition Modeling'!$N$9,0)))</f>
        <v>0</v>
      </c>
      <c r="BB91" s="799">
        <f>BA91*(1-IFERROR(IF(BB$77+$F91&lt;=12,SUMIFS('Attrition Modeling'!$D:$D,'Attrition Modeling'!$C:$C,$D91,'Attrition Modeling'!$B:$B,BB$76),VLOOKUP($F91+BB$77,$A$7:$C$107,2,FALSE)*VLOOKUP(BB$76,'Attrition Modeling'!$L$15:$N$27,IF(BB$77+$F91&lt;=24,2,3),FALSE)),$C$3)*(1+IF('IP Attrition'!BB148&gt;0,'Attrition Modeling'!$N$9,0)))</f>
        <v>0</v>
      </c>
      <c r="BC91" s="799">
        <f>BB91*(1-IFERROR(IF(BC$77+$F91&lt;=12,SUMIFS('Attrition Modeling'!$D:$D,'Attrition Modeling'!$C:$C,$D91,'Attrition Modeling'!$B:$B,BC$76),VLOOKUP($F91+BC$77,$A$7:$C$107,2,FALSE)*VLOOKUP(BC$76,'Attrition Modeling'!$L$15:$N$27,IF(BC$77+$F91&lt;=24,2,3),FALSE)),$C$3)*(1+IF('IP Attrition'!BC148&gt;0,'Attrition Modeling'!$N$9,0)))</f>
        <v>0</v>
      </c>
      <c r="BD91" s="799">
        <f>BC91*(1-IFERROR(IF(BD$77+$F91&lt;=12,SUMIFS('Attrition Modeling'!$D:$D,'Attrition Modeling'!$C:$C,$D91,'Attrition Modeling'!$B:$B,BD$76),VLOOKUP($F91+BD$77,$A$7:$C$107,2,FALSE)*VLOOKUP(BD$76,'Attrition Modeling'!$L$15:$N$27,IF(BD$77+$F91&lt;=24,2,3),FALSE)),$C$3)*(1+IF('IP Attrition'!BD148&gt;0,'Attrition Modeling'!$N$9,0)))</f>
        <v>0</v>
      </c>
      <c r="BE91" s="799">
        <f>BD91*(1-IFERROR(IF(BE$77+$F91&lt;=12,SUMIFS('Attrition Modeling'!$D:$D,'Attrition Modeling'!$C:$C,$D91,'Attrition Modeling'!$B:$B,BE$76),VLOOKUP($F91+BE$77,$A$7:$C$107,2,FALSE)*VLOOKUP(BE$76,'Attrition Modeling'!$L$15:$N$27,IF(BE$77+$F91&lt;=24,2,3),FALSE)),$C$3)*(1+IF('IP Attrition'!BE148&gt;0,'Attrition Modeling'!$N$9,0)))</f>
        <v>0</v>
      </c>
      <c r="BF91" s="799">
        <f>BE91*(1-IFERROR(IF(BF$77+$F91&lt;=12,SUMIFS('Attrition Modeling'!$D:$D,'Attrition Modeling'!$C:$C,$D91,'Attrition Modeling'!$B:$B,BF$76),VLOOKUP($F91+BF$77,$A$7:$C$107,2,FALSE)*VLOOKUP(BF$76,'Attrition Modeling'!$L$15:$N$27,IF(BF$77+$F91&lt;=24,2,3),FALSE)),$C$3)*(1+IF('IP Attrition'!BF148&gt;0,'Attrition Modeling'!$N$9,0)))</f>
        <v>0</v>
      </c>
      <c r="BG91" s="799">
        <f>BF91*(1-IFERROR(IF(BG$77+$F91&lt;=12,SUMIFS('Attrition Modeling'!$D:$D,'Attrition Modeling'!$C:$C,$D91,'Attrition Modeling'!$B:$B,BG$76),VLOOKUP($F91+BG$77,$A$7:$C$107,2,FALSE)*VLOOKUP(BG$76,'Attrition Modeling'!$L$15:$N$27,IF(BG$77+$F91&lt;=24,2,3),FALSE)),$C$3)*(1+IF('IP Attrition'!BG148&gt;0,'Attrition Modeling'!$N$9,0)))</f>
        <v>0</v>
      </c>
      <c r="BH91" s="799">
        <f>BG91*(1-IFERROR(IF(BH$77+$F91&lt;=12,SUMIFS('Attrition Modeling'!$D:$D,'Attrition Modeling'!$C:$C,$D91,'Attrition Modeling'!$B:$B,BH$76),VLOOKUP($F91+BH$77,$A$7:$C$107,2,FALSE)*VLOOKUP(BH$76,'Attrition Modeling'!$L$15:$N$27,IF(BH$77+$F91&lt;=24,2,3),FALSE)),$C$3)*(1+IF('IP Attrition'!BH148&gt;0,'Attrition Modeling'!$N$9,0)))</f>
        <v>0</v>
      </c>
      <c r="BI91" s="799">
        <f>BH91*(1-IFERROR(IF(BI$77+$F91&lt;=12,SUMIFS('Attrition Modeling'!$D:$D,'Attrition Modeling'!$C:$C,$D91,'Attrition Modeling'!$B:$B,BI$76),VLOOKUP($F91+BI$77,$A$7:$C$107,2,FALSE)*VLOOKUP(BI$76,'Attrition Modeling'!$L$15:$N$27,IF(BI$77+$F91&lt;=24,2,3),FALSE)),$C$3)*(1+IF('IP Attrition'!BI148&gt;0,'Attrition Modeling'!$N$9,0)))</f>
        <v>0</v>
      </c>
      <c r="BJ91" s="799">
        <f>BI91*(1-IFERROR(IF(BJ$77+$F91&lt;=12,SUMIFS('Attrition Modeling'!$D:$D,'Attrition Modeling'!$C:$C,$D91,'Attrition Modeling'!$B:$B,BJ$76),VLOOKUP($F91+BJ$77,$A$7:$C$107,2,FALSE)*VLOOKUP(BJ$76,'Attrition Modeling'!$L$15:$N$27,IF(BJ$77+$F91&lt;=24,2,3),FALSE)),$C$3)*(1+IF('IP Attrition'!BJ148&gt;0,'Attrition Modeling'!$N$9,0)))</f>
        <v>0</v>
      </c>
      <c r="BK91" s="799">
        <f>BJ91*(1-IFERROR(IF(BK$77+$F91&lt;=12,SUMIFS('Attrition Modeling'!$D:$D,'Attrition Modeling'!$C:$C,$D91,'Attrition Modeling'!$B:$B,BK$76),VLOOKUP($F91+BK$77,$A$7:$C$107,2,FALSE)*VLOOKUP(BK$76,'Attrition Modeling'!$L$15:$N$27,IF(BK$77+$F91&lt;=24,2,3),FALSE)),$C$3)*(1+IF('IP Attrition'!BK148&gt;0,'Attrition Modeling'!$N$9,0)))</f>
        <v>0</v>
      </c>
      <c r="BL91" s="799">
        <f>BK91*(1-IFERROR(IF(BL$77+$F91&lt;=12,SUMIFS('Attrition Modeling'!$D:$D,'Attrition Modeling'!$C:$C,$D91,'Attrition Modeling'!$B:$B,BL$76),VLOOKUP($F91+BL$77,$A$7:$C$107,2,FALSE)*VLOOKUP(BL$76,'Attrition Modeling'!$L$15:$N$27,IF(BL$77+$F91&lt;=24,2,3),FALSE)),$C$3)*(1+IF('IP Attrition'!BL148&gt;0,'Attrition Modeling'!$N$9,0)))</f>
        <v>0</v>
      </c>
      <c r="BM91" s="799">
        <f>BL91*(1-IFERROR(IF(BM$77+$F91&lt;=12,SUMIFS('Attrition Modeling'!$D:$D,'Attrition Modeling'!$C:$C,$D91,'Attrition Modeling'!$B:$B,BM$76),VLOOKUP($F91+BM$77,$A$7:$C$107,2,FALSE)*VLOOKUP(BM$76,'Attrition Modeling'!$L$15:$N$27,IF(BM$77+$F91&lt;=24,2,3),FALSE)),$C$3)*(1+IF('IP Attrition'!BM148&gt;0,'Attrition Modeling'!$N$9,0)))</f>
        <v>0</v>
      </c>
      <c r="BN91" s="799">
        <f>BM91*(1-IFERROR(IF(BN$77+$F91&lt;=12,SUMIFS('Attrition Modeling'!$D:$D,'Attrition Modeling'!$C:$C,$D91,'Attrition Modeling'!$B:$B,BN$76),VLOOKUP($F91+BN$77,$A$7:$C$107,2,FALSE)*VLOOKUP(BN$76,'Attrition Modeling'!$L$15:$N$27,IF(BN$77+$F91&lt;=24,2,3),FALSE)),$C$3)*(1+IF('IP Attrition'!BN148&gt;0,'Attrition Modeling'!$N$9,0)))</f>
        <v>0</v>
      </c>
      <c r="BO91" s="799">
        <f>BN91*(1-IFERROR(IF(BO$77+$F91&lt;=12,SUMIFS('Attrition Modeling'!$D:$D,'Attrition Modeling'!$C:$C,$D91,'Attrition Modeling'!$B:$B,BO$76),VLOOKUP($F91+BO$77,$A$7:$C$107,2,FALSE)*VLOOKUP(BO$76,'Attrition Modeling'!$L$15:$N$27,IF(BO$77+$F91&lt;=24,2,3),FALSE)),$C$3)*(1+IF('IP Attrition'!BO148&gt;0,'Attrition Modeling'!$N$9,0)))</f>
        <v>0</v>
      </c>
      <c r="BP91" s="799">
        <f>BO91*(1-IFERROR(IF(BP$77+$F91&lt;=12,SUMIFS('Attrition Modeling'!$D:$D,'Attrition Modeling'!$C:$C,$D91,'Attrition Modeling'!$B:$B,BP$76),VLOOKUP($F91+BP$77,$A$7:$C$107,2,FALSE)*VLOOKUP(BP$76,'Attrition Modeling'!$L$15:$N$27,IF(BP$77+$F91&lt;=24,2,3),FALSE)),$C$3)*(1+IF('IP Attrition'!BP148&gt;0,'Attrition Modeling'!$N$9,0)))</f>
        <v>0</v>
      </c>
      <c r="BQ91" s="799">
        <f>BP91*(1-IFERROR(IF(BQ$77+$F91&lt;=12,SUMIFS('Attrition Modeling'!$D:$D,'Attrition Modeling'!$C:$C,$D91,'Attrition Modeling'!$B:$B,BQ$76),VLOOKUP($F91+BQ$77,$A$7:$C$107,2,FALSE)*VLOOKUP(BQ$76,'Attrition Modeling'!$L$15:$N$27,IF(BQ$77+$F91&lt;=24,2,3),FALSE)),$C$3)*(1+IF('IP Attrition'!BQ148&gt;0,'Attrition Modeling'!$N$9,0)))</f>
        <v>0</v>
      </c>
      <c r="BR91" s="799">
        <f>BQ91*(1-IFERROR(IF(BR$77+$F91&lt;=12,SUMIFS('Attrition Modeling'!$D:$D,'Attrition Modeling'!$C:$C,$D91,'Attrition Modeling'!$B:$B,BR$76),VLOOKUP($F91+BR$77,$A$7:$C$107,2,FALSE)*VLOOKUP(BR$76,'Attrition Modeling'!$L$15:$N$27,IF(BR$77+$F91&lt;=24,2,3),FALSE)),$C$3)*(1+IF('IP Attrition'!BR148&gt;0,'Attrition Modeling'!$N$9,0)))</f>
        <v>0</v>
      </c>
      <c r="BS91" s="799">
        <f>BR91*(1-IFERROR(IF(BS$77+$F91&lt;=12,SUMIFS('Attrition Modeling'!$D:$D,'Attrition Modeling'!$C:$C,$D91,'Attrition Modeling'!$B:$B,BS$76),VLOOKUP($F91+BS$77,$A$7:$C$107,2,FALSE)*VLOOKUP(BS$76,'Attrition Modeling'!$L$15:$N$27,IF(BS$77+$F91&lt;=24,2,3),FALSE)),$C$3)*(1+IF('IP Attrition'!BS148&gt;0,'Attrition Modeling'!$N$9,0)))</f>
        <v>0</v>
      </c>
      <c r="BT91" s="799" t="e">
        <f>BS91*(1-IFERROR(IF(BT$77+$F91&lt;=12,SUMIFS('Attrition Modeling'!$D:$D,'Attrition Modeling'!$C:$C,$D91,'Attrition Modeling'!$B:$B,BT$76),VLOOKUP($F91+BT$77,$A$7:$C$107,2,FALSE)*VLOOKUP(BT$76,'Attrition Modeling'!$L$15:$N$27,IF(BT$77+$F91&lt;=24,2,3),FALSE)),$C$3)*(1+IF('IP Attrition'!BT148&gt;0,'Attrition Modeling'!$N$9,0)))</f>
        <v>#REF!</v>
      </c>
      <c r="BU91" s="799" t="e">
        <f>BT91*(1-IFERROR(IF(BU$77+$F91&lt;=12,SUMIFS('Attrition Modeling'!$D:$D,'Attrition Modeling'!$C:$C,$D91,'Attrition Modeling'!$B:$B,BU$76),VLOOKUP($F91+BU$77,$A$7:$C$107,2,FALSE)*VLOOKUP(BU$76,'Attrition Modeling'!$L$15:$N$27,IF(BU$77+$F91&lt;=24,2,3),FALSE)),$C$3)*(1+IF('IP Attrition'!BU148&gt;0,'Attrition Modeling'!$N$9,0)))</f>
        <v>#REF!</v>
      </c>
    </row>
    <row r="92" spans="1:73" ht="14.25" customHeight="1" x14ac:dyDescent="0.2">
      <c r="A92" s="9">
        <v>84</v>
      </c>
      <c r="B92" s="25">
        <f>MAX('Attrition Modeling'!H88,$C$3)*(1-Summary!$C$20)</f>
        <v>0.02</v>
      </c>
      <c r="C92" s="24" t="e">
        <f t="shared" si="2"/>
        <v>#DIV/0!</v>
      </c>
      <c r="D92" s="11">
        <f>'IP Attrition'!D84</f>
        <v>-14</v>
      </c>
      <c r="E92" s="25">
        <f>'IP Attrition'!E84</f>
        <v>0</v>
      </c>
      <c r="F92" s="11">
        <f t="shared" si="8"/>
        <v>14</v>
      </c>
      <c r="G92" s="799">
        <f>Summary!$C$24*$E92</f>
        <v>0</v>
      </c>
      <c r="H92" s="799">
        <f>G92*(1-IFERROR(IF(H$77+$F92&lt;=12,SUMIFS('Attrition Modeling'!$D:$D,'Attrition Modeling'!$C:$C,$D92,'Attrition Modeling'!$B:$B,H$76),VLOOKUP($F92+H$77,$A$7:$C$107,2,FALSE)*VLOOKUP(H$76,'Attrition Modeling'!$L$15:$N$27,IF(H$77+$F92&lt;=24,2,3),FALSE)),$C$3)*(1+IF('IP Attrition'!H149&gt;0,'Attrition Modeling'!$N$9,0)))</f>
        <v>0</v>
      </c>
      <c r="I92" s="799">
        <f>H92*(1-IFERROR(IF(I$77+$F92&lt;=12,SUMIFS('Attrition Modeling'!$D:$D,'Attrition Modeling'!$C:$C,$D92,'Attrition Modeling'!$B:$B,I$76),VLOOKUP($F92+I$77,$A$7:$C$107,2,FALSE)*VLOOKUP(I$76,'Attrition Modeling'!$L$15:$N$27,IF(I$77+$F92&lt;=24,2,3),FALSE)),$C$3)*(1+IF('IP Attrition'!I149&gt;0,'Attrition Modeling'!$N$9,0)))</f>
        <v>0</v>
      </c>
      <c r="J92" s="799">
        <f>I92*(1-IFERROR(IF(J$77+$F92&lt;=12,SUMIFS('Attrition Modeling'!$D:$D,'Attrition Modeling'!$C:$C,$D92,'Attrition Modeling'!$B:$B,J$76),VLOOKUP($F92+J$77,$A$7:$C$107,2,FALSE)*VLOOKUP(J$76,'Attrition Modeling'!$L$15:$N$27,IF(J$77+$F92&lt;=24,2,3),FALSE)),$C$3)*(1+IF('IP Attrition'!J149&gt;0,'Attrition Modeling'!$N$9,0)))</f>
        <v>0</v>
      </c>
      <c r="K92" s="799">
        <f>J92*(1-IFERROR(IF(K$77+$F92&lt;=12,SUMIFS('Attrition Modeling'!$D:$D,'Attrition Modeling'!$C:$C,$D92,'Attrition Modeling'!$B:$B,K$76),VLOOKUP($F92+K$77,$A$7:$C$107,2,FALSE)*VLOOKUP(K$76,'Attrition Modeling'!$L$15:$N$27,IF(K$77+$F92&lt;=24,2,3),FALSE)),$C$3)*(1+IF('IP Attrition'!K149&gt;0,'Attrition Modeling'!$N$9,0)))</f>
        <v>0</v>
      </c>
      <c r="L92" s="799">
        <f>K92*(1-IFERROR(IF(L$77+$F92&lt;=12,SUMIFS('Attrition Modeling'!$D:$D,'Attrition Modeling'!$C:$C,$D92,'Attrition Modeling'!$B:$B,L$76),VLOOKUP($F92+L$77,$A$7:$C$107,2,FALSE)*VLOOKUP(L$76,'Attrition Modeling'!$L$15:$N$27,IF(L$77+$F92&lt;=24,2,3),FALSE)),$C$3)*(1+IF('IP Attrition'!L149&gt;0,'Attrition Modeling'!$N$9,0)))</f>
        <v>0</v>
      </c>
      <c r="M92" s="799">
        <f>L92*(1-IFERROR(IF(M$77+$F92&lt;=12,SUMIFS('Attrition Modeling'!$D:$D,'Attrition Modeling'!$C:$C,$D92,'Attrition Modeling'!$B:$B,M$76),VLOOKUP($F92+M$77,$A$7:$C$107,2,FALSE)*VLOOKUP(M$76,'Attrition Modeling'!$L$15:$N$27,IF(M$77+$F92&lt;=24,2,3),FALSE)),$C$3)*(1+IF('IP Attrition'!M149&gt;0,'Attrition Modeling'!$N$9,0)))</f>
        <v>0</v>
      </c>
      <c r="N92" s="799">
        <f>M92*(1-IFERROR(IF(N$77+$F92&lt;=12,SUMIFS('Attrition Modeling'!$D:$D,'Attrition Modeling'!$C:$C,$D92,'Attrition Modeling'!$B:$B,N$76),VLOOKUP($F92+N$77,$A$7:$C$107,2,FALSE)*VLOOKUP(N$76,'Attrition Modeling'!$L$15:$N$27,IF(N$77+$F92&lt;=24,2,3),FALSE)),$C$3)*(1+IF('IP Attrition'!N149&gt;0,'Attrition Modeling'!$N$9,0)))</f>
        <v>0</v>
      </c>
      <c r="O92" s="799">
        <f>N92*(1-IFERROR(IF(O$77+$F92&lt;=12,SUMIFS('Attrition Modeling'!$D:$D,'Attrition Modeling'!$C:$C,$D92,'Attrition Modeling'!$B:$B,O$76),VLOOKUP($F92+O$77,$A$7:$C$107,2,FALSE)*VLOOKUP(O$76,'Attrition Modeling'!$L$15:$N$27,IF(O$77+$F92&lt;=24,2,3),FALSE)),$C$3)*(1+IF('IP Attrition'!O149&gt;0,'Attrition Modeling'!$N$9,0)))</f>
        <v>0</v>
      </c>
      <c r="P92" s="799">
        <f>O92*(1-IFERROR(IF(P$77+$F92&lt;=12,SUMIFS('Attrition Modeling'!$D:$D,'Attrition Modeling'!$C:$C,$D92,'Attrition Modeling'!$B:$B,P$76),VLOOKUP($F92+P$77,$A$7:$C$107,2,FALSE)*VLOOKUP(P$76,'Attrition Modeling'!$L$15:$N$27,IF(P$77+$F92&lt;=24,2,3),FALSE)),$C$3)*(1+IF('IP Attrition'!P149&gt;0,'Attrition Modeling'!$N$9,0)))</f>
        <v>0</v>
      </c>
      <c r="Q92" s="799">
        <f>P92*(1-IFERROR(IF(Q$77+$F92&lt;=12,SUMIFS('Attrition Modeling'!$D:$D,'Attrition Modeling'!$C:$C,$D92,'Attrition Modeling'!$B:$B,Q$76),VLOOKUP($F92+Q$77,$A$7:$C$107,2,FALSE)*VLOOKUP(Q$76,'Attrition Modeling'!$L$15:$N$27,IF(Q$77+$F92&lt;=24,2,3),FALSE)),$C$3)*(1+IF('IP Attrition'!Q149&gt;0,'Attrition Modeling'!$N$9,0)))</f>
        <v>0</v>
      </c>
      <c r="R92" s="799">
        <f>Q92*(1-IFERROR(IF(R$77+$F92&lt;=12,SUMIFS('Attrition Modeling'!$D:$D,'Attrition Modeling'!$C:$C,$D92,'Attrition Modeling'!$B:$B,R$76),VLOOKUP($F92+R$77,$A$7:$C$107,2,FALSE)*VLOOKUP(R$76,'Attrition Modeling'!$L$15:$N$27,IF(R$77+$F92&lt;=24,2,3),FALSE)),$C$3)*(1+IF('IP Attrition'!R149&gt;0,'Attrition Modeling'!$N$9,0)))</f>
        <v>0</v>
      </c>
      <c r="S92" s="799">
        <f>R92*(1-IFERROR(IF(S$77+$F92&lt;=12,SUMIFS('Attrition Modeling'!$D:$D,'Attrition Modeling'!$C:$C,$D92,'Attrition Modeling'!$B:$B,S$76),VLOOKUP($F92+S$77,$A$7:$C$107,2,FALSE)*VLOOKUP(S$76,'Attrition Modeling'!$L$15:$N$27,IF(S$77+$F92&lt;=24,2,3),FALSE)),$C$3)*(1+IF('IP Attrition'!S149&gt;0,'Attrition Modeling'!$N$9,0)))</f>
        <v>0</v>
      </c>
      <c r="T92" s="799">
        <f>S92*(1-IFERROR(IF(T$77+$F92&lt;=12,SUMIFS('Attrition Modeling'!$D:$D,'Attrition Modeling'!$C:$C,$D92,'Attrition Modeling'!$B:$B,T$76),VLOOKUP($F92+T$77,$A$7:$C$107,2,FALSE)*VLOOKUP(T$76,'Attrition Modeling'!$L$15:$N$27,IF(T$77+$F92&lt;=24,2,3),FALSE)),$C$3)*(1+IF('IP Attrition'!T149&gt;0,'Attrition Modeling'!$N$9,0)))</f>
        <v>0</v>
      </c>
      <c r="U92" s="799">
        <f>T92*(1-IFERROR(IF(U$77+$F92&lt;=12,SUMIFS('Attrition Modeling'!$D:$D,'Attrition Modeling'!$C:$C,$D92,'Attrition Modeling'!$B:$B,U$76),VLOOKUP($F92+U$77,$A$7:$C$107,2,FALSE)*VLOOKUP(U$76,'Attrition Modeling'!$L$15:$N$27,IF(U$77+$F92&lt;=24,2,3),FALSE)),$C$3)*(1+IF('IP Attrition'!U149&gt;0,'Attrition Modeling'!$N$9,0)))</f>
        <v>0</v>
      </c>
      <c r="V92" s="799">
        <f>U92*(1-IFERROR(IF(V$77+$F92&lt;=12,SUMIFS('Attrition Modeling'!$D:$D,'Attrition Modeling'!$C:$C,$D92,'Attrition Modeling'!$B:$B,V$76),VLOOKUP($F92+V$77,$A$7:$C$107,2,FALSE)*VLOOKUP(V$76,'Attrition Modeling'!$L$15:$N$27,IF(V$77+$F92&lt;=24,2,3),FALSE)),$C$3)*(1+IF('IP Attrition'!V149&gt;0,'Attrition Modeling'!$N$9,0)))</f>
        <v>0</v>
      </c>
      <c r="W92" s="799">
        <f>V92*(1-IFERROR(IF(W$77+$F92&lt;=12,SUMIFS('Attrition Modeling'!$D:$D,'Attrition Modeling'!$C:$C,$D92,'Attrition Modeling'!$B:$B,W$76),VLOOKUP($F92+W$77,$A$7:$C$107,2,FALSE)*VLOOKUP(W$76,'Attrition Modeling'!$L$15:$N$27,IF(W$77+$F92&lt;=24,2,3),FALSE)),$C$3)*(1+IF('IP Attrition'!W149&gt;0,'Attrition Modeling'!$N$9,0)))</f>
        <v>0</v>
      </c>
      <c r="X92" s="799">
        <f>W92*(1-IFERROR(IF(X$77+$F92&lt;=12,SUMIFS('Attrition Modeling'!$D:$D,'Attrition Modeling'!$C:$C,$D92,'Attrition Modeling'!$B:$B,X$76),VLOOKUP($F92+X$77,$A$7:$C$107,2,FALSE)*VLOOKUP(X$76,'Attrition Modeling'!$L$15:$N$27,IF(X$77+$F92&lt;=24,2,3),FALSE)),$C$3)*(1+IF('IP Attrition'!X149&gt;0,'Attrition Modeling'!$N$9,0)))</f>
        <v>0</v>
      </c>
      <c r="Y92" s="799">
        <f>X92*(1-IFERROR(IF(Y$77+$F92&lt;=12,SUMIFS('Attrition Modeling'!$D:$D,'Attrition Modeling'!$C:$C,$D92,'Attrition Modeling'!$B:$B,Y$76),VLOOKUP($F92+Y$77,$A$7:$C$107,2,FALSE)*VLOOKUP(Y$76,'Attrition Modeling'!$L$15:$N$27,IF(Y$77+$F92&lt;=24,2,3),FALSE)),$C$3)*(1+IF('IP Attrition'!Y149&gt;0,'Attrition Modeling'!$N$9,0)))</f>
        <v>0</v>
      </c>
      <c r="Z92" s="799">
        <f>Y92*(1-IFERROR(IF(Z$77+$F92&lt;=12,SUMIFS('Attrition Modeling'!$D:$D,'Attrition Modeling'!$C:$C,$D92,'Attrition Modeling'!$B:$B,Z$76),VLOOKUP($F92+Z$77,$A$7:$C$107,2,FALSE)*VLOOKUP(Z$76,'Attrition Modeling'!$L$15:$N$27,IF(Z$77+$F92&lt;=24,2,3),FALSE)),$C$3)*(1+IF('IP Attrition'!Z149&gt;0,'Attrition Modeling'!$N$9,0)))</f>
        <v>0</v>
      </c>
      <c r="AA92" s="799">
        <f>Z92*(1-IFERROR(IF(AA$77+$F92&lt;=12,SUMIFS('Attrition Modeling'!$D:$D,'Attrition Modeling'!$C:$C,$D92,'Attrition Modeling'!$B:$B,AA$76),VLOOKUP($F92+AA$77,$A$7:$C$107,2,FALSE)*VLOOKUP(AA$76,'Attrition Modeling'!$L$15:$N$27,IF(AA$77+$F92&lt;=24,2,3),FALSE)),$C$3)*(1+IF('IP Attrition'!AA149&gt;0,'Attrition Modeling'!$N$9,0)))</f>
        <v>0</v>
      </c>
      <c r="AB92" s="799">
        <f>AA92*(1-IFERROR(IF(AB$77+$F92&lt;=12,SUMIFS('Attrition Modeling'!$D:$D,'Attrition Modeling'!$C:$C,$D92,'Attrition Modeling'!$B:$B,AB$76),VLOOKUP($F92+AB$77,$A$7:$C$107,2,FALSE)*VLOOKUP(AB$76,'Attrition Modeling'!$L$15:$N$27,IF(AB$77+$F92&lt;=24,2,3),FALSE)),$C$3)*(1+IF('IP Attrition'!AB149&gt;0,'Attrition Modeling'!$N$9,0)))</f>
        <v>0</v>
      </c>
      <c r="AC92" s="799">
        <f>AB92*(1-IFERROR(IF(AC$77+$F92&lt;=12,SUMIFS('Attrition Modeling'!$D:$D,'Attrition Modeling'!$C:$C,$D92,'Attrition Modeling'!$B:$B,AC$76),VLOOKUP($F92+AC$77,$A$7:$C$107,2,FALSE)*VLOOKUP(AC$76,'Attrition Modeling'!$L$15:$N$27,IF(AC$77+$F92&lt;=24,2,3),FALSE)),$C$3)*(1+IF('IP Attrition'!AC149&gt;0,'Attrition Modeling'!$N$9,0)))</f>
        <v>0</v>
      </c>
      <c r="AD92" s="799">
        <f>AC92*(1-IFERROR(IF(AD$77+$F92&lt;=12,SUMIFS('Attrition Modeling'!$D:$D,'Attrition Modeling'!$C:$C,$D92,'Attrition Modeling'!$B:$B,AD$76),VLOOKUP($F92+AD$77,$A$7:$C$107,2,FALSE)*VLOOKUP(AD$76,'Attrition Modeling'!$L$15:$N$27,IF(AD$77+$F92&lt;=24,2,3),FALSE)),$C$3)*(1+IF('IP Attrition'!AD149&gt;0,'Attrition Modeling'!$N$9,0)))</f>
        <v>0</v>
      </c>
      <c r="AE92" s="799">
        <f>AD92*(1-IFERROR(IF(AE$77+$F92&lt;=12,SUMIFS('Attrition Modeling'!$D:$D,'Attrition Modeling'!$C:$C,$D92,'Attrition Modeling'!$B:$B,AE$76),VLOOKUP($F92+AE$77,$A$7:$C$107,2,FALSE)*VLOOKUP(AE$76,'Attrition Modeling'!$L$15:$N$27,IF(AE$77+$F92&lt;=24,2,3),FALSE)),$C$3)*(1+IF('IP Attrition'!AE149&gt;0,'Attrition Modeling'!$N$9,0)))</f>
        <v>0</v>
      </c>
      <c r="AF92" s="799">
        <f>AE92*(1-IFERROR(IF(AF$77+$F92&lt;=12,SUMIFS('Attrition Modeling'!$D:$D,'Attrition Modeling'!$C:$C,$D92,'Attrition Modeling'!$B:$B,AF$76),VLOOKUP($F92+AF$77,$A$7:$C$107,2,FALSE)*VLOOKUP(AF$76,'Attrition Modeling'!$L$15:$N$27,IF(AF$77+$F92&lt;=24,2,3),FALSE)),$C$3)*(1+IF('IP Attrition'!AF149&gt;0,'Attrition Modeling'!$N$9,0)))</f>
        <v>0</v>
      </c>
      <c r="AG92" s="799">
        <f>AF92*(1-IFERROR(IF(AG$77+$F92&lt;=12,SUMIFS('Attrition Modeling'!$D:$D,'Attrition Modeling'!$C:$C,$D92,'Attrition Modeling'!$B:$B,AG$76),VLOOKUP($F92+AG$77,$A$7:$C$107,2,FALSE)*VLOOKUP(AG$76,'Attrition Modeling'!$L$15:$N$27,IF(AG$77+$F92&lt;=24,2,3),FALSE)),$C$3)*(1+IF('IP Attrition'!AG149&gt;0,'Attrition Modeling'!$N$9,0)))</f>
        <v>0</v>
      </c>
      <c r="AH92" s="799">
        <f>AG92*(1-IFERROR(IF(AH$77+$F92&lt;=12,SUMIFS('Attrition Modeling'!$D:$D,'Attrition Modeling'!$C:$C,$D92,'Attrition Modeling'!$B:$B,AH$76),VLOOKUP($F92+AH$77,$A$7:$C$107,2,FALSE)*VLOOKUP(AH$76,'Attrition Modeling'!$L$15:$N$27,IF(AH$77+$F92&lt;=24,2,3),FALSE)),$C$3)*(1+IF('IP Attrition'!AH149&gt;0,'Attrition Modeling'!$N$9,0)))</f>
        <v>0</v>
      </c>
      <c r="AI92" s="799">
        <f>AH92*(1-IFERROR(IF(AI$77+$F92&lt;=12,SUMIFS('Attrition Modeling'!$D:$D,'Attrition Modeling'!$C:$C,$D92,'Attrition Modeling'!$B:$B,AI$76),VLOOKUP($F92+AI$77,$A$7:$C$107,2,FALSE)*VLOOKUP(AI$76,'Attrition Modeling'!$L$15:$N$27,IF(AI$77+$F92&lt;=24,2,3),FALSE)),$C$3)*(1+IF('IP Attrition'!AI149&gt;0,'Attrition Modeling'!$N$9,0)))</f>
        <v>0</v>
      </c>
      <c r="AJ92" s="799">
        <f>AI92*(1-IFERROR(IF(AJ$77+$F92&lt;=12,SUMIFS('Attrition Modeling'!$D:$D,'Attrition Modeling'!$C:$C,$D92,'Attrition Modeling'!$B:$B,AJ$76),VLOOKUP($F92+AJ$77,$A$7:$C$107,2,FALSE)*VLOOKUP(AJ$76,'Attrition Modeling'!$L$15:$N$27,IF(AJ$77+$F92&lt;=24,2,3),FALSE)),$C$3)*(1+IF('IP Attrition'!AJ149&gt;0,'Attrition Modeling'!$N$9,0)))</f>
        <v>0</v>
      </c>
      <c r="AK92" s="799">
        <f>AJ92*(1-IFERROR(IF(AK$77+$F92&lt;=12,SUMIFS('Attrition Modeling'!$D:$D,'Attrition Modeling'!$C:$C,$D92,'Attrition Modeling'!$B:$B,AK$76),VLOOKUP($F92+AK$77,$A$7:$C$107,2,FALSE)*VLOOKUP(AK$76,'Attrition Modeling'!$L$15:$N$27,IF(AK$77+$F92&lt;=24,2,3),FALSE)),$C$3)*(1+IF('IP Attrition'!AK149&gt;0,'Attrition Modeling'!$N$9,0)))</f>
        <v>0</v>
      </c>
      <c r="AL92" s="799">
        <f>AK92*(1-IFERROR(IF(AL$77+$F92&lt;=12,SUMIFS('Attrition Modeling'!$D:$D,'Attrition Modeling'!$C:$C,$D92,'Attrition Modeling'!$B:$B,AL$76),VLOOKUP($F92+AL$77,$A$7:$C$107,2,FALSE)*VLOOKUP(AL$76,'Attrition Modeling'!$L$15:$N$27,IF(AL$77+$F92&lt;=24,2,3),FALSE)),$C$3)*(1+IF('IP Attrition'!AL149&gt;0,'Attrition Modeling'!$N$9,0)))</f>
        <v>0</v>
      </c>
      <c r="AM92" s="799">
        <f>AL92*(1-IFERROR(IF(AM$77+$F92&lt;=12,SUMIFS('Attrition Modeling'!$D:$D,'Attrition Modeling'!$C:$C,$D92,'Attrition Modeling'!$B:$B,AM$76),VLOOKUP($F92+AM$77,$A$7:$C$107,2,FALSE)*VLOOKUP(AM$76,'Attrition Modeling'!$L$15:$N$27,IF(AM$77+$F92&lt;=24,2,3),FALSE)),$C$3)*(1+IF('IP Attrition'!AM149&gt;0,'Attrition Modeling'!$N$9,0)))</f>
        <v>0</v>
      </c>
      <c r="AN92" s="799">
        <f>AM92*(1-IFERROR(IF(AN$77+$F92&lt;=12,SUMIFS('Attrition Modeling'!$D:$D,'Attrition Modeling'!$C:$C,$D92,'Attrition Modeling'!$B:$B,AN$76),VLOOKUP($F92+AN$77,$A$7:$C$107,2,FALSE)*VLOOKUP(AN$76,'Attrition Modeling'!$L$15:$N$27,IF(AN$77+$F92&lt;=24,2,3),FALSE)),$C$3)*(1+IF('IP Attrition'!AN149&gt;0,'Attrition Modeling'!$N$9,0)))</f>
        <v>0</v>
      </c>
      <c r="AO92" s="799">
        <f>AN92*(1-IFERROR(IF(AO$77+$F92&lt;=12,SUMIFS('Attrition Modeling'!$D:$D,'Attrition Modeling'!$C:$C,$D92,'Attrition Modeling'!$B:$B,AO$76),VLOOKUP($F92+AO$77,$A$7:$C$107,2,FALSE)*VLOOKUP(AO$76,'Attrition Modeling'!$L$15:$N$27,IF(AO$77+$F92&lt;=24,2,3),FALSE)),$C$3)*(1+IF('IP Attrition'!AO149&gt;0,'Attrition Modeling'!$N$9,0)))</f>
        <v>0</v>
      </c>
      <c r="AP92" s="799">
        <f>AO92*(1-IFERROR(IF(AP$77+$F92&lt;=12,SUMIFS('Attrition Modeling'!$D:$D,'Attrition Modeling'!$C:$C,$D92,'Attrition Modeling'!$B:$B,AP$76),VLOOKUP($F92+AP$77,$A$7:$C$107,2,FALSE)*VLOOKUP(AP$76,'Attrition Modeling'!$L$15:$N$27,IF(AP$77+$F92&lt;=24,2,3),FALSE)),$C$3)*(1+IF('IP Attrition'!AP149&gt;0,'Attrition Modeling'!$N$9,0)))</f>
        <v>0</v>
      </c>
      <c r="AQ92" s="799">
        <f>AP92*(1-IFERROR(IF(AQ$77+$F92&lt;=12,SUMIFS('Attrition Modeling'!$D:$D,'Attrition Modeling'!$C:$C,$D92,'Attrition Modeling'!$B:$B,AQ$76),VLOOKUP($F92+AQ$77,$A$7:$C$107,2,FALSE)*VLOOKUP(AQ$76,'Attrition Modeling'!$L$15:$N$27,IF(AQ$77+$F92&lt;=24,2,3),FALSE)),$C$3)*(1+IF('IP Attrition'!AQ149&gt;0,'Attrition Modeling'!$N$9,0)))</f>
        <v>0</v>
      </c>
      <c r="AR92" s="799">
        <f>AQ92*(1-IFERROR(IF(AR$77+$F92&lt;=12,SUMIFS('Attrition Modeling'!$D:$D,'Attrition Modeling'!$C:$C,$D92,'Attrition Modeling'!$B:$B,AR$76),VLOOKUP($F92+AR$77,$A$7:$C$107,2,FALSE)*VLOOKUP(AR$76,'Attrition Modeling'!$L$15:$N$27,IF(AR$77+$F92&lt;=24,2,3),FALSE)),$C$3)*(1+IF('IP Attrition'!AR149&gt;0,'Attrition Modeling'!$N$9,0)))</f>
        <v>0</v>
      </c>
      <c r="AS92" s="799">
        <f>AR92*(1-IFERROR(IF(AS$77+$F92&lt;=12,SUMIFS('Attrition Modeling'!$D:$D,'Attrition Modeling'!$C:$C,$D92,'Attrition Modeling'!$B:$B,AS$76),VLOOKUP($F92+AS$77,$A$7:$C$107,2,FALSE)*VLOOKUP(AS$76,'Attrition Modeling'!$L$15:$N$27,IF(AS$77+$F92&lt;=24,2,3),FALSE)),$C$3)*(1+IF('IP Attrition'!AS149&gt;0,'Attrition Modeling'!$N$9,0)))</f>
        <v>0</v>
      </c>
      <c r="AT92" s="799">
        <f>AS92*(1-IFERROR(IF(AT$77+$F92&lt;=12,SUMIFS('Attrition Modeling'!$D:$D,'Attrition Modeling'!$C:$C,$D92,'Attrition Modeling'!$B:$B,AT$76),VLOOKUP($F92+AT$77,$A$7:$C$107,2,FALSE)*VLOOKUP(AT$76,'Attrition Modeling'!$L$15:$N$27,IF(AT$77+$F92&lt;=24,2,3),FALSE)),$C$3)*(1+IF('IP Attrition'!AT149&gt;0,'Attrition Modeling'!$N$9,0)))</f>
        <v>0</v>
      </c>
      <c r="AU92" s="799">
        <f>AT92*(1-IFERROR(IF(AU$77+$F92&lt;=12,SUMIFS('Attrition Modeling'!$D:$D,'Attrition Modeling'!$C:$C,$D92,'Attrition Modeling'!$B:$B,AU$76),VLOOKUP($F92+AU$77,$A$7:$C$107,2,FALSE)*VLOOKUP(AU$76,'Attrition Modeling'!$L$15:$N$27,IF(AU$77+$F92&lt;=24,2,3),FALSE)),$C$3)*(1+IF('IP Attrition'!AU149&gt;0,'Attrition Modeling'!$N$9,0)))</f>
        <v>0</v>
      </c>
      <c r="AV92" s="799">
        <f>AU92*(1-IFERROR(IF(AV$77+$F92&lt;=12,SUMIFS('Attrition Modeling'!$D:$D,'Attrition Modeling'!$C:$C,$D92,'Attrition Modeling'!$B:$B,AV$76),VLOOKUP($F92+AV$77,$A$7:$C$107,2,FALSE)*VLOOKUP(AV$76,'Attrition Modeling'!$L$15:$N$27,IF(AV$77+$F92&lt;=24,2,3),FALSE)),$C$3)*(1+IF('IP Attrition'!AV149&gt;0,'Attrition Modeling'!$N$9,0)))</f>
        <v>0</v>
      </c>
      <c r="AW92" s="799">
        <f>AV92*(1-IFERROR(IF(AW$77+$F92&lt;=12,SUMIFS('Attrition Modeling'!$D:$D,'Attrition Modeling'!$C:$C,$D92,'Attrition Modeling'!$B:$B,AW$76),VLOOKUP($F92+AW$77,$A$7:$C$107,2,FALSE)*VLOOKUP(AW$76,'Attrition Modeling'!$L$15:$N$27,IF(AW$77+$F92&lt;=24,2,3),FALSE)),$C$3)*(1+IF('IP Attrition'!AW149&gt;0,'Attrition Modeling'!$N$9,0)))</f>
        <v>0</v>
      </c>
      <c r="AX92" s="799">
        <f>AW92*(1-IFERROR(IF(AX$77+$F92&lt;=12,SUMIFS('Attrition Modeling'!$D:$D,'Attrition Modeling'!$C:$C,$D92,'Attrition Modeling'!$B:$B,AX$76),VLOOKUP($F92+AX$77,$A$7:$C$107,2,FALSE)*VLOOKUP(AX$76,'Attrition Modeling'!$L$15:$N$27,IF(AX$77+$F92&lt;=24,2,3),FALSE)),$C$3)*(1+IF('IP Attrition'!AX149&gt;0,'Attrition Modeling'!$N$9,0)))</f>
        <v>0</v>
      </c>
      <c r="AY92" s="799">
        <f>AX92*(1-IFERROR(IF(AY$77+$F92&lt;=12,SUMIFS('Attrition Modeling'!$D:$D,'Attrition Modeling'!$C:$C,$D92,'Attrition Modeling'!$B:$B,AY$76),VLOOKUP($F92+AY$77,$A$7:$C$107,2,FALSE)*VLOOKUP(AY$76,'Attrition Modeling'!$L$15:$N$27,IF(AY$77+$F92&lt;=24,2,3),FALSE)),$C$3)*(1+IF('IP Attrition'!AY149&gt;0,'Attrition Modeling'!$N$9,0)))</f>
        <v>0</v>
      </c>
      <c r="AZ92" s="799">
        <f>AY92*(1-IFERROR(IF(AZ$77+$F92&lt;=12,SUMIFS('Attrition Modeling'!$D:$D,'Attrition Modeling'!$C:$C,$D92,'Attrition Modeling'!$B:$B,AZ$76),VLOOKUP($F92+AZ$77,$A$7:$C$107,2,FALSE)*VLOOKUP(AZ$76,'Attrition Modeling'!$L$15:$N$27,IF(AZ$77+$F92&lt;=24,2,3),FALSE)),$C$3)*(1+IF('IP Attrition'!AZ149&gt;0,'Attrition Modeling'!$N$9,0)))</f>
        <v>0</v>
      </c>
      <c r="BA92" s="799">
        <f>AZ92*(1-IFERROR(IF(BA$77+$F92&lt;=12,SUMIFS('Attrition Modeling'!$D:$D,'Attrition Modeling'!$C:$C,$D92,'Attrition Modeling'!$B:$B,BA$76),VLOOKUP($F92+BA$77,$A$7:$C$107,2,FALSE)*VLOOKUP(BA$76,'Attrition Modeling'!$L$15:$N$27,IF(BA$77+$F92&lt;=24,2,3),FALSE)),$C$3)*(1+IF('IP Attrition'!BA149&gt;0,'Attrition Modeling'!$N$9,0)))</f>
        <v>0</v>
      </c>
      <c r="BB92" s="799">
        <f>BA92*(1-IFERROR(IF(BB$77+$F92&lt;=12,SUMIFS('Attrition Modeling'!$D:$D,'Attrition Modeling'!$C:$C,$D92,'Attrition Modeling'!$B:$B,BB$76),VLOOKUP($F92+BB$77,$A$7:$C$107,2,FALSE)*VLOOKUP(BB$76,'Attrition Modeling'!$L$15:$N$27,IF(BB$77+$F92&lt;=24,2,3),FALSE)),$C$3)*(1+IF('IP Attrition'!BB149&gt;0,'Attrition Modeling'!$N$9,0)))</f>
        <v>0</v>
      </c>
      <c r="BC92" s="799">
        <f>BB92*(1-IFERROR(IF(BC$77+$F92&lt;=12,SUMIFS('Attrition Modeling'!$D:$D,'Attrition Modeling'!$C:$C,$D92,'Attrition Modeling'!$B:$B,BC$76),VLOOKUP($F92+BC$77,$A$7:$C$107,2,FALSE)*VLOOKUP(BC$76,'Attrition Modeling'!$L$15:$N$27,IF(BC$77+$F92&lt;=24,2,3),FALSE)),$C$3)*(1+IF('IP Attrition'!BC149&gt;0,'Attrition Modeling'!$N$9,0)))</f>
        <v>0</v>
      </c>
      <c r="BD92" s="799">
        <f>BC92*(1-IFERROR(IF(BD$77+$F92&lt;=12,SUMIFS('Attrition Modeling'!$D:$D,'Attrition Modeling'!$C:$C,$D92,'Attrition Modeling'!$B:$B,BD$76),VLOOKUP($F92+BD$77,$A$7:$C$107,2,FALSE)*VLOOKUP(BD$76,'Attrition Modeling'!$L$15:$N$27,IF(BD$77+$F92&lt;=24,2,3),FALSE)),$C$3)*(1+IF('IP Attrition'!BD149&gt;0,'Attrition Modeling'!$N$9,0)))</f>
        <v>0</v>
      </c>
      <c r="BE92" s="799">
        <f>BD92*(1-IFERROR(IF(BE$77+$F92&lt;=12,SUMIFS('Attrition Modeling'!$D:$D,'Attrition Modeling'!$C:$C,$D92,'Attrition Modeling'!$B:$B,BE$76),VLOOKUP($F92+BE$77,$A$7:$C$107,2,FALSE)*VLOOKUP(BE$76,'Attrition Modeling'!$L$15:$N$27,IF(BE$77+$F92&lt;=24,2,3),FALSE)),$C$3)*(1+IF('IP Attrition'!BE149&gt;0,'Attrition Modeling'!$N$9,0)))</f>
        <v>0</v>
      </c>
      <c r="BF92" s="799">
        <f>BE92*(1-IFERROR(IF(BF$77+$F92&lt;=12,SUMIFS('Attrition Modeling'!$D:$D,'Attrition Modeling'!$C:$C,$D92,'Attrition Modeling'!$B:$B,BF$76),VLOOKUP($F92+BF$77,$A$7:$C$107,2,FALSE)*VLOOKUP(BF$76,'Attrition Modeling'!$L$15:$N$27,IF(BF$77+$F92&lt;=24,2,3),FALSE)),$C$3)*(1+IF('IP Attrition'!BF149&gt;0,'Attrition Modeling'!$N$9,0)))</f>
        <v>0</v>
      </c>
      <c r="BG92" s="799">
        <f>BF92*(1-IFERROR(IF(BG$77+$F92&lt;=12,SUMIFS('Attrition Modeling'!$D:$D,'Attrition Modeling'!$C:$C,$D92,'Attrition Modeling'!$B:$B,BG$76),VLOOKUP($F92+BG$77,$A$7:$C$107,2,FALSE)*VLOOKUP(BG$76,'Attrition Modeling'!$L$15:$N$27,IF(BG$77+$F92&lt;=24,2,3),FALSE)),$C$3)*(1+IF('IP Attrition'!BG149&gt;0,'Attrition Modeling'!$N$9,0)))</f>
        <v>0</v>
      </c>
      <c r="BH92" s="799">
        <f>BG92*(1-IFERROR(IF(BH$77+$F92&lt;=12,SUMIFS('Attrition Modeling'!$D:$D,'Attrition Modeling'!$C:$C,$D92,'Attrition Modeling'!$B:$B,BH$76),VLOOKUP($F92+BH$77,$A$7:$C$107,2,FALSE)*VLOOKUP(BH$76,'Attrition Modeling'!$L$15:$N$27,IF(BH$77+$F92&lt;=24,2,3),FALSE)),$C$3)*(1+IF('IP Attrition'!BH149&gt;0,'Attrition Modeling'!$N$9,0)))</f>
        <v>0</v>
      </c>
      <c r="BI92" s="799">
        <f>BH92*(1-IFERROR(IF(BI$77+$F92&lt;=12,SUMIFS('Attrition Modeling'!$D:$D,'Attrition Modeling'!$C:$C,$D92,'Attrition Modeling'!$B:$B,BI$76),VLOOKUP($F92+BI$77,$A$7:$C$107,2,FALSE)*VLOOKUP(BI$76,'Attrition Modeling'!$L$15:$N$27,IF(BI$77+$F92&lt;=24,2,3),FALSE)),$C$3)*(1+IF('IP Attrition'!BI149&gt;0,'Attrition Modeling'!$N$9,0)))</f>
        <v>0</v>
      </c>
      <c r="BJ92" s="799">
        <f>BI92*(1-IFERROR(IF(BJ$77+$F92&lt;=12,SUMIFS('Attrition Modeling'!$D:$D,'Attrition Modeling'!$C:$C,$D92,'Attrition Modeling'!$B:$B,BJ$76),VLOOKUP($F92+BJ$77,$A$7:$C$107,2,FALSE)*VLOOKUP(BJ$76,'Attrition Modeling'!$L$15:$N$27,IF(BJ$77+$F92&lt;=24,2,3),FALSE)),$C$3)*(1+IF('IP Attrition'!BJ149&gt;0,'Attrition Modeling'!$N$9,0)))</f>
        <v>0</v>
      </c>
      <c r="BK92" s="799">
        <f>BJ92*(1-IFERROR(IF(BK$77+$F92&lt;=12,SUMIFS('Attrition Modeling'!$D:$D,'Attrition Modeling'!$C:$C,$D92,'Attrition Modeling'!$B:$B,BK$76),VLOOKUP($F92+BK$77,$A$7:$C$107,2,FALSE)*VLOOKUP(BK$76,'Attrition Modeling'!$L$15:$N$27,IF(BK$77+$F92&lt;=24,2,3),FALSE)),$C$3)*(1+IF('IP Attrition'!BK149&gt;0,'Attrition Modeling'!$N$9,0)))</f>
        <v>0</v>
      </c>
      <c r="BL92" s="799">
        <f>BK92*(1-IFERROR(IF(BL$77+$F92&lt;=12,SUMIFS('Attrition Modeling'!$D:$D,'Attrition Modeling'!$C:$C,$D92,'Attrition Modeling'!$B:$B,BL$76),VLOOKUP($F92+BL$77,$A$7:$C$107,2,FALSE)*VLOOKUP(BL$76,'Attrition Modeling'!$L$15:$N$27,IF(BL$77+$F92&lt;=24,2,3),FALSE)),$C$3)*(1+IF('IP Attrition'!BL149&gt;0,'Attrition Modeling'!$N$9,0)))</f>
        <v>0</v>
      </c>
      <c r="BM92" s="799">
        <f>BL92*(1-IFERROR(IF(BM$77+$F92&lt;=12,SUMIFS('Attrition Modeling'!$D:$D,'Attrition Modeling'!$C:$C,$D92,'Attrition Modeling'!$B:$B,BM$76),VLOOKUP($F92+BM$77,$A$7:$C$107,2,FALSE)*VLOOKUP(BM$76,'Attrition Modeling'!$L$15:$N$27,IF(BM$77+$F92&lt;=24,2,3),FALSE)),$C$3)*(1+IF('IP Attrition'!BM149&gt;0,'Attrition Modeling'!$N$9,0)))</f>
        <v>0</v>
      </c>
      <c r="BN92" s="799">
        <f>BM92*(1-IFERROR(IF(BN$77+$F92&lt;=12,SUMIFS('Attrition Modeling'!$D:$D,'Attrition Modeling'!$C:$C,$D92,'Attrition Modeling'!$B:$B,BN$76),VLOOKUP($F92+BN$77,$A$7:$C$107,2,FALSE)*VLOOKUP(BN$76,'Attrition Modeling'!$L$15:$N$27,IF(BN$77+$F92&lt;=24,2,3),FALSE)),$C$3)*(1+IF('IP Attrition'!BN149&gt;0,'Attrition Modeling'!$N$9,0)))</f>
        <v>0</v>
      </c>
      <c r="BO92" s="799">
        <f>BN92*(1-IFERROR(IF(BO$77+$F92&lt;=12,SUMIFS('Attrition Modeling'!$D:$D,'Attrition Modeling'!$C:$C,$D92,'Attrition Modeling'!$B:$B,BO$76),VLOOKUP($F92+BO$77,$A$7:$C$107,2,FALSE)*VLOOKUP(BO$76,'Attrition Modeling'!$L$15:$N$27,IF(BO$77+$F92&lt;=24,2,3),FALSE)),$C$3)*(1+IF('IP Attrition'!BO149&gt;0,'Attrition Modeling'!$N$9,0)))</f>
        <v>0</v>
      </c>
      <c r="BP92" s="799">
        <f>BO92*(1-IFERROR(IF(BP$77+$F92&lt;=12,SUMIFS('Attrition Modeling'!$D:$D,'Attrition Modeling'!$C:$C,$D92,'Attrition Modeling'!$B:$B,BP$76),VLOOKUP($F92+BP$77,$A$7:$C$107,2,FALSE)*VLOOKUP(BP$76,'Attrition Modeling'!$L$15:$N$27,IF(BP$77+$F92&lt;=24,2,3),FALSE)),$C$3)*(1+IF('IP Attrition'!BP149&gt;0,'Attrition Modeling'!$N$9,0)))</f>
        <v>0</v>
      </c>
      <c r="BQ92" s="799">
        <f>BP92*(1-IFERROR(IF(BQ$77+$F92&lt;=12,SUMIFS('Attrition Modeling'!$D:$D,'Attrition Modeling'!$C:$C,$D92,'Attrition Modeling'!$B:$B,BQ$76),VLOOKUP($F92+BQ$77,$A$7:$C$107,2,FALSE)*VLOOKUP(BQ$76,'Attrition Modeling'!$L$15:$N$27,IF(BQ$77+$F92&lt;=24,2,3),FALSE)),$C$3)*(1+IF('IP Attrition'!BQ149&gt;0,'Attrition Modeling'!$N$9,0)))</f>
        <v>0</v>
      </c>
      <c r="BR92" s="799">
        <f>BQ92*(1-IFERROR(IF(BR$77+$F92&lt;=12,SUMIFS('Attrition Modeling'!$D:$D,'Attrition Modeling'!$C:$C,$D92,'Attrition Modeling'!$B:$B,BR$76),VLOOKUP($F92+BR$77,$A$7:$C$107,2,FALSE)*VLOOKUP(BR$76,'Attrition Modeling'!$L$15:$N$27,IF(BR$77+$F92&lt;=24,2,3),FALSE)),$C$3)*(1+IF('IP Attrition'!BR149&gt;0,'Attrition Modeling'!$N$9,0)))</f>
        <v>0</v>
      </c>
      <c r="BS92" s="799">
        <f>BR92*(1-IFERROR(IF(BS$77+$F92&lt;=12,SUMIFS('Attrition Modeling'!$D:$D,'Attrition Modeling'!$C:$C,$D92,'Attrition Modeling'!$B:$B,BS$76),VLOOKUP($F92+BS$77,$A$7:$C$107,2,FALSE)*VLOOKUP(BS$76,'Attrition Modeling'!$L$15:$N$27,IF(BS$77+$F92&lt;=24,2,3),FALSE)),$C$3)*(1+IF('IP Attrition'!BS149&gt;0,'Attrition Modeling'!$N$9,0)))</f>
        <v>0</v>
      </c>
      <c r="BT92" s="799" t="e">
        <f>BS92*(1-IFERROR(IF(BT$77+$F92&lt;=12,SUMIFS('Attrition Modeling'!$D:$D,'Attrition Modeling'!$C:$C,$D92,'Attrition Modeling'!$B:$B,BT$76),VLOOKUP($F92+BT$77,$A$7:$C$107,2,FALSE)*VLOOKUP(BT$76,'Attrition Modeling'!$L$15:$N$27,IF(BT$77+$F92&lt;=24,2,3),FALSE)),$C$3)*(1+IF('IP Attrition'!BT149&gt;0,'Attrition Modeling'!$N$9,0)))</f>
        <v>#REF!</v>
      </c>
      <c r="BU92" s="799" t="e">
        <f>BT92*(1-IFERROR(IF(BU$77+$F92&lt;=12,SUMIFS('Attrition Modeling'!$D:$D,'Attrition Modeling'!$C:$C,$D92,'Attrition Modeling'!$B:$B,BU$76),VLOOKUP($F92+BU$77,$A$7:$C$107,2,FALSE)*VLOOKUP(BU$76,'Attrition Modeling'!$L$15:$N$27,IF(BU$77+$F92&lt;=24,2,3),FALSE)),$C$3)*(1+IF('IP Attrition'!BU149&gt;0,'Attrition Modeling'!$N$9,0)))</f>
        <v>#REF!</v>
      </c>
    </row>
    <row r="93" spans="1:73" ht="14.25" customHeight="1" x14ac:dyDescent="0.2">
      <c r="A93" s="9">
        <v>85</v>
      </c>
      <c r="B93" s="25">
        <f>MAX('Attrition Modeling'!H89,$C$3)*(1-Summary!$C$20)</f>
        <v>0.02</v>
      </c>
      <c r="C93" s="24" t="e">
        <f t="shared" si="2"/>
        <v>#DIV/0!</v>
      </c>
      <c r="D93" s="11">
        <f>'IP Attrition'!D85</f>
        <v>-15</v>
      </c>
      <c r="E93" s="25">
        <f>'IP Attrition'!E85</f>
        <v>0</v>
      </c>
      <c r="F93" s="11">
        <f t="shared" si="8"/>
        <v>15</v>
      </c>
      <c r="G93" s="799">
        <f>Summary!$C$24*$E93</f>
        <v>0</v>
      </c>
      <c r="H93" s="799">
        <f>G93*(1-IFERROR(IF(H$77+$F93&lt;=12,SUMIFS('Attrition Modeling'!$D:$D,'Attrition Modeling'!$C:$C,$D93,'Attrition Modeling'!$B:$B,H$76),VLOOKUP($F93+H$77,$A$7:$C$107,2,FALSE)*VLOOKUP(H$76,'Attrition Modeling'!$L$15:$N$27,IF(H$77+$F93&lt;=24,2,3),FALSE)),$C$3)*(1+IF('IP Attrition'!H150&gt;0,'Attrition Modeling'!$N$9,0)))</f>
        <v>0</v>
      </c>
      <c r="I93" s="799">
        <f>H93*(1-IFERROR(IF(I$77+$F93&lt;=12,SUMIFS('Attrition Modeling'!$D:$D,'Attrition Modeling'!$C:$C,$D93,'Attrition Modeling'!$B:$B,I$76),VLOOKUP($F93+I$77,$A$7:$C$107,2,FALSE)*VLOOKUP(I$76,'Attrition Modeling'!$L$15:$N$27,IF(I$77+$F93&lt;=24,2,3),FALSE)),$C$3)*(1+IF('IP Attrition'!I150&gt;0,'Attrition Modeling'!$N$9,0)))</f>
        <v>0</v>
      </c>
      <c r="J93" s="799">
        <f>I93*(1-IFERROR(IF(J$77+$F93&lt;=12,SUMIFS('Attrition Modeling'!$D:$D,'Attrition Modeling'!$C:$C,$D93,'Attrition Modeling'!$B:$B,J$76),VLOOKUP($F93+J$77,$A$7:$C$107,2,FALSE)*VLOOKUP(J$76,'Attrition Modeling'!$L$15:$N$27,IF(J$77+$F93&lt;=24,2,3),FALSE)),$C$3)*(1+IF('IP Attrition'!J150&gt;0,'Attrition Modeling'!$N$9,0)))</f>
        <v>0</v>
      </c>
      <c r="K93" s="799">
        <f>J93*(1-IFERROR(IF(K$77+$F93&lt;=12,SUMIFS('Attrition Modeling'!$D:$D,'Attrition Modeling'!$C:$C,$D93,'Attrition Modeling'!$B:$B,K$76),VLOOKUP($F93+K$77,$A$7:$C$107,2,FALSE)*VLOOKUP(K$76,'Attrition Modeling'!$L$15:$N$27,IF(K$77+$F93&lt;=24,2,3),FALSE)),$C$3)*(1+IF('IP Attrition'!K150&gt;0,'Attrition Modeling'!$N$9,0)))</f>
        <v>0</v>
      </c>
      <c r="L93" s="799">
        <f>K93*(1-IFERROR(IF(L$77+$F93&lt;=12,SUMIFS('Attrition Modeling'!$D:$D,'Attrition Modeling'!$C:$C,$D93,'Attrition Modeling'!$B:$B,L$76),VLOOKUP($F93+L$77,$A$7:$C$107,2,FALSE)*VLOOKUP(L$76,'Attrition Modeling'!$L$15:$N$27,IF(L$77+$F93&lt;=24,2,3),FALSE)),$C$3)*(1+IF('IP Attrition'!L150&gt;0,'Attrition Modeling'!$N$9,0)))</f>
        <v>0</v>
      </c>
      <c r="M93" s="799">
        <f>L93*(1-IFERROR(IF(M$77+$F93&lt;=12,SUMIFS('Attrition Modeling'!$D:$D,'Attrition Modeling'!$C:$C,$D93,'Attrition Modeling'!$B:$B,M$76),VLOOKUP($F93+M$77,$A$7:$C$107,2,FALSE)*VLOOKUP(M$76,'Attrition Modeling'!$L$15:$N$27,IF(M$77+$F93&lt;=24,2,3),FALSE)),$C$3)*(1+IF('IP Attrition'!M150&gt;0,'Attrition Modeling'!$N$9,0)))</f>
        <v>0</v>
      </c>
      <c r="N93" s="799">
        <f>M93*(1-IFERROR(IF(N$77+$F93&lt;=12,SUMIFS('Attrition Modeling'!$D:$D,'Attrition Modeling'!$C:$C,$D93,'Attrition Modeling'!$B:$B,N$76),VLOOKUP($F93+N$77,$A$7:$C$107,2,FALSE)*VLOOKUP(N$76,'Attrition Modeling'!$L$15:$N$27,IF(N$77+$F93&lt;=24,2,3),FALSE)),$C$3)*(1+IF('IP Attrition'!N150&gt;0,'Attrition Modeling'!$N$9,0)))</f>
        <v>0</v>
      </c>
      <c r="O93" s="799">
        <f>N93*(1-IFERROR(IF(O$77+$F93&lt;=12,SUMIFS('Attrition Modeling'!$D:$D,'Attrition Modeling'!$C:$C,$D93,'Attrition Modeling'!$B:$B,O$76),VLOOKUP($F93+O$77,$A$7:$C$107,2,FALSE)*VLOOKUP(O$76,'Attrition Modeling'!$L$15:$N$27,IF(O$77+$F93&lt;=24,2,3),FALSE)),$C$3)*(1+IF('IP Attrition'!O150&gt;0,'Attrition Modeling'!$N$9,0)))</f>
        <v>0</v>
      </c>
      <c r="P93" s="799">
        <f>O93*(1-IFERROR(IF(P$77+$F93&lt;=12,SUMIFS('Attrition Modeling'!$D:$D,'Attrition Modeling'!$C:$C,$D93,'Attrition Modeling'!$B:$B,P$76),VLOOKUP($F93+P$77,$A$7:$C$107,2,FALSE)*VLOOKUP(P$76,'Attrition Modeling'!$L$15:$N$27,IF(P$77+$F93&lt;=24,2,3),FALSE)),$C$3)*(1+IF('IP Attrition'!P150&gt;0,'Attrition Modeling'!$N$9,0)))</f>
        <v>0</v>
      </c>
      <c r="Q93" s="799">
        <f>P93*(1-IFERROR(IF(Q$77+$F93&lt;=12,SUMIFS('Attrition Modeling'!$D:$D,'Attrition Modeling'!$C:$C,$D93,'Attrition Modeling'!$B:$B,Q$76),VLOOKUP($F93+Q$77,$A$7:$C$107,2,FALSE)*VLOOKUP(Q$76,'Attrition Modeling'!$L$15:$N$27,IF(Q$77+$F93&lt;=24,2,3),FALSE)),$C$3)*(1+IF('IP Attrition'!Q150&gt;0,'Attrition Modeling'!$N$9,0)))</f>
        <v>0</v>
      </c>
      <c r="R93" s="799">
        <f>Q93*(1-IFERROR(IF(R$77+$F93&lt;=12,SUMIFS('Attrition Modeling'!$D:$D,'Attrition Modeling'!$C:$C,$D93,'Attrition Modeling'!$B:$B,R$76),VLOOKUP($F93+R$77,$A$7:$C$107,2,FALSE)*VLOOKUP(R$76,'Attrition Modeling'!$L$15:$N$27,IF(R$77+$F93&lt;=24,2,3),FALSE)),$C$3)*(1+IF('IP Attrition'!R150&gt;0,'Attrition Modeling'!$N$9,0)))</f>
        <v>0</v>
      </c>
      <c r="S93" s="799">
        <f>R93*(1-IFERROR(IF(S$77+$F93&lt;=12,SUMIFS('Attrition Modeling'!$D:$D,'Attrition Modeling'!$C:$C,$D93,'Attrition Modeling'!$B:$B,S$76),VLOOKUP($F93+S$77,$A$7:$C$107,2,FALSE)*VLOOKUP(S$76,'Attrition Modeling'!$L$15:$N$27,IF(S$77+$F93&lt;=24,2,3),FALSE)),$C$3)*(1+IF('IP Attrition'!S150&gt;0,'Attrition Modeling'!$N$9,0)))</f>
        <v>0</v>
      </c>
      <c r="T93" s="799">
        <f>S93*(1-IFERROR(IF(T$77+$F93&lt;=12,SUMIFS('Attrition Modeling'!$D:$D,'Attrition Modeling'!$C:$C,$D93,'Attrition Modeling'!$B:$B,T$76),VLOOKUP($F93+T$77,$A$7:$C$107,2,FALSE)*VLOOKUP(T$76,'Attrition Modeling'!$L$15:$N$27,IF(T$77+$F93&lt;=24,2,3),FALSE)),$C$3)*(1+IF('IP Attrition'!T150&gt;0,'Attrition Modeling'!$N$9,0)))</f>
        <v>0</v>
      </c>
      <c r="U93" s="799">
        <f>T93*(1-IFERROR(IF(U$77+$F93&lt;=12,SUMIFS('Attrition Modeling'!$D:$D,'Attrition Modeling'!$C:$C,$D93,'Attrition Modeling'!$B:$B,U$76),VLOOKUP($F93+U$77,$A$7:$C$107,2,FALSE)*VLOOKUP(U$76,'Attrition Modeling'!$L$15:$N$27,IF(U$77+$F93&lt;=24,2,3),FALSE)),$C$3)*(1+IF('IP Attrition'!U150&gt;0,'Attrition Modeling'!$N$9,0)))</f>
        <v>0</v>
      </c>
      <c r="V93" s="799">
        <f>U93*(1-IFERROR(IF(V$77+$F93&lt;=12,SUMIFS('Attrition Modeling'!$D:$D,'Attrition Modeling'!$C:$C,$D93,'Attrition Modeling'!$B:$B,V$76),VLOOKUP($F93+V$77,$A$7:$C$107,2,FALSE)*VLOOKUP(V$76,'Attrition Modeling'!$L$15:$N$27,IF(V$77+$F93&lt;=24,2,3),FALSE)),$C$3)*(1+IF('IP Attrition'!V150&gt;0,'Attrition Modeling'!$N$9,0)))</f>
        <v>0</v>
      </c>
      <c r="W93" s="799">
        <f>V93*(1-IFERROR(IF(W$77+$F93&lt;=12,SUMIFS('Attrition Modeling'!$D:$D,'Attrition Modeling'!$C:$C,$D93,'Attrition Modeling'!$B:$B,W$76),VLOOKUP($F93+W$77,$A$7:$C$107,2,FALSE)*VLOOKUP(W$76,'Attrition Modeling'!$L$15:$N$27,IF(W$77+$F93&lt;=24,2,3),FALSE)),$C$3)*(1+IF('IP Attrition'!W150&gt;0,'Attrition Modeling'!$N$9,0)))</f>
        <v>0</v>
      </c>
      <c r="X93" s="799">
        <f>W93*(1-IFERROR(IF(X$77+$F93&lt;=12,SUMIFS('Attrition Modeling'!$D:$D,'Attrition Modeling'!$C:$C,$D93,'Attrition Modeling'!$B:$B,X$76),VLOOKUP($F93+X$77,$A$7:$C$107,2,FALSE)*VLOOKUP(X$76,'Attrition Modeling'!$L$15:$N$27,IF(X$77+$F93&lt;=24,2,3),FALSE)),$C$3)*(1+IF('IP Attrition'!X150&gt;0,'Attrition Modeling'!$N$9,0)))</f>
        <v>0</v>
      </c>
      <c r="Y93" s="799">
        <f>X93*(1-IFERROR(IF(Y$77+$F93&lt;=12,SUMIFS('Attrition Modeling'!$D:$D,'Attrition Modeling'!$C:$C,$D93,'Attrition Modeling'!$B:$B,Y$76),VLOOKUP($F93+Y$77,$A$7:$C$107,2,FALSE)*VLOOKUP(Y$76,'Attrition Modeling'!$L$15:$N$27,IF(Y$77+$F93&lt;=24,2,3),FALSE)),$C$3)*(1+IF('IP Attrition'!Y150&gt;0,'Attrition Modeling'!$N$9,0)))</f>
        <v>0</v>
      </c>
      <c r="Z93" s="799">
        <f>Y93*(1-IFERROR(IF(Z$77+$F93&lt;=12,SUMIFS('Attrition Modeling'!$D:$D,'Attrition Modeling'!$C:$C,$D93,'Attrition Modeling'!$B:$B,Z$76),VLOOKUP($F93+Z$77,$A$7:$C$107,2,FALSE)*VLOOKUP(Z$76,'Attrition Modeling'!$L$15:$N$27,IF(Z$77+$F93&lt;=24,2,3),FALSE)),$C$3)*(1+IF('IP Attrition'!Z150&gt;0,'Attrition Modeling'!$N$9,0)))</f>
        <v>0</v>
      </c>
      <c r="AA93" s="799">
        <f>Z93*(1-IFERROR(IF(AA$77+$F93&lt;=12,SUMIFS('Attrition Modeling'!$D:$D,'Attrition Modeling'!$C:$C,$D93,'Attrition Modeling'!$B:$B,AA$76),VLOOKUP($F93+AA$77,$A$7:$C$107,2,FALSE)*VLOOKUP(AA$76,'Attrition Modeling'!$L$15:$N$27,IF(AA$77+$F93&lt;=24,2,3),FALSE)),$C$3)*(1+IF('IP Attrition'!AA150&gt;0,'Attrition Modeling'!$N$9,0)))</f>
        <v>0</v>
      </c>
      <c r="AB93" s="799">
        <f>AA93*(1-IFERROR(IF(AB$77+$F93&lt;=12,SUMIFS('Attrition Modeling'!$D:$D,'Attrition Modeling'!$C:$C,$D93,'Attrition Modeling'!$B:$B,AB$76),VLOOKUP($F93+AB$77,$A$7:$C$107,2,FALSE)*VLOOKUP(AB$76,'Attrition Modeling'!$L$15:$N$27,IF(AB$77+$F93&lt;=24,2,3),FALSE)),$C$3)*(1+IF('IP Attrition'!AB150&gt;0,'Attrition Modeling'!$N$9,0)))</f>
        <v>0</v>
      </c>
      <c r="AC93" s="799">
        <f>AB93*(1-IFERROR(IF(AC$77+$F93&lt;=12,SUMIFS('Attrition Modeling'!$D:$D,'Attrition Modeling'!$C:$C,$D93,'Attrition Modeling'!$B:$B,AC$76),VLOOKUP($F93+AC$77,$A$7:$C$107,2,FALSE)*VLOOKUP(AC$76,'Attrition Modeling'!$L$15:$N$27,IF(AC$77+$F93&lt;=24,2,3),FALSE)),$C$3)*(1+IF('IP Attrition'!AC150&gt;0,'Attrition Modeling'!$N$9,0)))</f>
        <v>0</v>
      </c>
      <c r="AD93" s="799">
        <f>AC93*(1-IFERROR(IF(AD$77+$F93&lt;=12,SUMIFS('Attrition Modeling'!$D:$D,'Attrition Modeling'!$C:$C,$D93,'Attrition Modeling'!$B:$B,AD$76),VLOOKUP($F93+AD$77,$A$7:$C$107,2,FALSE)*VLOOKUP(AD$76,'Attrition Modeling'!$L$15:$N$27,IF(AD$77+$F93&lt;=24,2,3),FALSE)),$C$3)*(1+IF('IP Attrition'!AD150&gt;0,'Attrition Modeling'!$N$9,0)))</f>
        <v>0</v>
      </c>
      <c r="AE93" s="799">
        <f>AD93*(1-IFERROR(IF(AE$77+$F93&lt;=12,SUMIFS('Attrition Modeling'!$D:$D,'Attrition Modeling'!$C:$C,$D93,'Attrition Modeling'!$B:$B,AE$76),VLOOKUP($F93+AE$77,$A$7:$C$107,2,FALSE)*VLOOKUP(AE$76,'Attrition Modeling'!$L$15:$N$27,IF(AE$77+$F93&lt;=24,2,3),FALSE)),$C$3)*(1+IF('IP Attrition'!AE150&gt;0,'Attrition Modeling'!$N$9,0)))</f>
        <v>0</v>
      </c>
      <c r="AF93" s="799">
        <f>AE93*(1-IFERROR(IF(AF$77+$F93&lt;=12,SUMIFS('Attrition Modeling'!$D:$D,'Attrition Modeling'!$C:$C,$D93,'Attrition Modeling'!$B:$B,AF$76),VLOOKUP($F93+AF$77,$A$7:$C$107,2,FALSE)*VLOOKUP(AF$76,'Attrition Modeling'!$L$15:$N$27,IF(AF$77+$F93&lt;=24,2,3),FALSE)),$C$3)*(1+IF('IP Attrition'!AF150&gt;0,'Attrition Modeling'!$N$9,0)))</f>
        <v>0</v>
      </c>
      <c r="AG93" s="799">
        <f>AF93*(1-IFERROR(IF(AG$77+$F93&lt;=12,SUMIFS('Attrition Modeling'!$D:$D,'Attrition Modeling'!$C:$C,$D93,'Attrition Modeling'!$B:$B,AG$76),VLOOKUP($F93+AG$77,$A$7:$C$107,2,FALSE)*VLOOKUP(AG$76,'Attrition Modeling'!$L$15:$N$27,IF(AG$77+$F93&lt;=24,2,3),FALSE)),$C$3)*(1+IF('IP Attrition'!AG150&gt;0,'Attrition Modeling'!$N$9,0)))</f>
        <v>0</v>
      </c>
      <c r="AH93" s="799">
        <f>AG93*(1-IFERROR(IF(AH$77+$F93&lt;=12,SUMIFS('Attrition Modeling'!$D:$D,'Attrition Modeling'!$C:$C,$D93,'Attrition Modeling'!$B:$B,AH$76),VLOOKUP($F93+AH$77,$A$7:$C$107,2,FALSE)*VLOOKUP(AH$76,'Attrition Modeling'!$L$15:$N$27,IF(AH$77+$F93&lt;=24,2,3),FALSE)),$C$3)*(1+IF('IP Attrition'!AH150&gt;0,'Attrition Modeling'!$N$9,0)))</f>
        <v>0</v>
      </c>
      <c r="AI93" s="799">
        <f>AH93*(1-IFERROR(IF(AI$77+$F93&lt;=12,SUMIFS('Attrition Modeling'!$D:$D,'Attrition Modeling'!$C:$C,$D93,'Attrition Modeling'!$B:$B,AI$76),VLOOKUP($F93+AI$77,$A$7:$C$107,2,FALSE)*VLOOKUP(AI$76,'Attrition Modeling'!$L$15:$N$27,IF(AI$77+$F93&lt;=24,2,3),FALSE)),$C$3)*(1+IF('IP Attrition'!AI150&gt;0,'Attrition Modeling'!$N$9,0)))</f>
        <v>0</v>
      </c>
      <c r="AJ93" s="799">
        <f>AI93*(1-IFERROR(IF(AJ$77+$F93&lt;=12,SUMIFS('Attrition Modeling'!$D:$D,'Attrition Modeling'!$C:$C,$D93,'Attrition Modeling'!$B:$B,AJ$76),VLOOKUP($F93+AJ$77,$A$7:$C$107,2,FALSE)*VLOOKUP(AJ$76,'Attrition Modeling'!$L$15:$N$27,IF(AJ$77+$F93&lt;=24,2,3),FALSE)),$C$3)*(1+IF('IP Attrition'!AJ150&gt;0,'Attrition Modeling'!$N$9,0)))</f>
        <v>0</v>
      </c>
      <c r="AK93" s="799">
        <f>AJ93*(1-IFERROR(IF(AK$77+$F93&lt;=12,SUMIFS('Attrition Modeling'!$D:$D,'Attrition Modeling'!$C:$C,$D93,'Attrition Modeling'!$B:$B,AK$76),VLOOKUP($F93+AK$77,$A$7:$C$107,2,FALSE)*VLOOKUP(AK$76,'Attrition Modeling'!$L$15:$N$27,IF(AK$77+$F93&lt;=24,2,3),FALSE)),$C$3)*(1+IF('IP Attrition'!AK150&gt;0,'Attrition Modeling'!$N$9,0)))</f>
        <v>0</v>
      </c>
      <c r="AL93" s="799">
        <f>AK93*(1-IFERROR(IF(AL$77+$F93&lt;=12,SUMIFS('Attrition Modeling'!$D:$D,'Attrition Modeling'!$C:$C,$D93,'Attrition Modeling'!$B:$B,AL$76),VLOOKUP($F93+AL$77,$A$7:$C$107,2,FALSE)*VLOOKUP(AL$76,'Attrition Modeling'!$L$15:$N$27,IF(AL$77+$F93&lt;=24,2,3),FALSE)),$C$3)*(1+IF('IP Attrition'!AL150&gt;0,'Attrition Modeling'!$N$9,0)))</f>
        <v>0</v>
      </c>
      <c r="AM93" s="799">
        <f>AL93*(1-IFERROR(IF(AM$77+$F93&lt;=12,SUMIFS('Attrition Modeling'!$D:$D,'Attrition Modeling'!$C:$C,$D93,'Attrition Modeling'!$B:$B,AM$76),VLOOKUP($F93+AM$77,$A$7:$C$107,2,FALSE)*VLOOKUP(AM$76,'Attrition Modeling'!$L$15:$N$27,IF(AM$77+$F93&lt;=24,2,3),FALSE)),$C$3)*(1+IF('IP Attrition'!AM150&gt;0,'Attrition Modeling'!$N$9,0)))</f>
        <v>0</v>
      </c>
      <c r="AN93" s="799">
        <f>AM93*(1-IFERROR(IF(AN$77+$F93&lt;=12,SUMIFS('Attrition Modeling'!$D:$D,'Attrition Modeling'!$C:$C,$D93,'Attrition Modeling'!$B:$B,AN$76),VLOOKUP($F93+AN$77,$A$7:$C$107,2,FALSE)*VLOOKUP(AN$76,'Attrition Modeling'!$L$15:$N$27,IF(AN$77+$F93&lt;=24,2,3),FALSE)),$C$3)*(1+IF('IP Attrition'!AN150&gt;0,'Attrition Modeling'!$N$9,0)))</f>
        <v>0</v>
      </c>
      <c r="AO93" s="799">
        <f>AN93*(1-IFERROR(IF(AO$77+$F93&lt;=12,SUMIFS('Attrition Modeling'!$D:$D,'Attrition Modeling'!$C:$C,$D93,'Attrition Modeling'!$B:$B,AO$76),VLOOKUP($F93+AO$77,$A$7:$C$107,2,FALSE)*VLOOKUP(AO$76,'Attrition Modeling'!$L$15:$N$27,IF(AO$77+$F93&lt;=24,2,3),FALSE)),$C$3)*(1+IF('IP Attrition'!AO150&gt;0,'Attrition Modeling'!$N$9,0)))</f>
        <v>0</v>
      </c>
      <c r="AP93" s="799">
        <f>AO93*(1-IFERROR(IF(AP$77+$F93&lt;=12,SUMIFS('Attrition Modeling'!$D:$D,'Attrition Modeling'!$C:$C,$D93,'Attrition Modeling'!$B:$B,AP$76),VLOOKUP($F93+AP$77,$A$7:$C$107,2,FALSE)*VLOOKUP(AP$76,'Attrition Modeling'!$L$15:$N$27,IF(AP$77+$F93&lt;=24,2,3),FALSE)),$C$3)*(1+IF('IP Attrition'!AP150&gt;0,'Attrition Modeling'!$N$9,0)))</f>
        <v>0</v>
      </c>
      <c r="AQ93" s="799">
        <f>AP93*(1-IFERROR(IF(AQ$77+$F93&lt;=12,SUMIFS('Attrition Modeling'!$D:$D,'Attrition Modeling'!$C:$C,$D93,'Attrition Modeling'!$B:$B,AQ$76),VLOOKUP($F93+AQ$77,$A$7:$C$107,2,FALSE)*VLOOKUP(AQ$76,'Attrition Modeling'!$L$15:$N$27,IF(AQ$77+$F93&lt;=24,2,3),FALSE)),$C$3)*(1+IF('IP Attrition'!AQ150&gt;0,'Attrition Modeling'!$N$9,0)))</f>
        <v>0</v>
      </c>
      <c r="AR93" s="799">
        <f>AQ93*(1-IFERROR(IF(AR$77+$F93&lt;=12,SUMIFS('Attrition Modeling'!$D:$D,'Attrition Modeling'!$C:$C,$D93,'Attrition Modeling'!$B:$B,AR$76),VLOOKUP($F93+AR$77,$A$7:$C$107,2,FALSE)*VLOOKUP(AR$76,'Attrition Modeling'!$L$15:$N$27,IF(AR$77+$F93&lt;=24,2,3),FALSE)),$C$3)*(1+IF('IP Attrition'!AR150&gt;0,'Attrition Modeling'!$N$9,0)))</f>
        <v>0</v>
      </c>
      <c r="AS93" s="799">
        <f>AR93*(1-IFERROR(IF(AS$77+$F93&lt;=12,SUMIFS('Attrition Modeling'!$D:$D,'Attrition Modeling'!$C:$C,$D93,'Attrition Modeling'!$B:$B,AS$76),VLOOKUP($F93+AS$77,$A$7:$C$107,2,FALSE)*VLOOKUP(AS$76,'Attrition Modeling'!$L$15:$N$27,IF(AS$77+$F93&lt;=24,2,3),FALSE)),$C$3)*(1+IF('IP Attrition'!AS150&gt;0,'Attrition Modeling'!$N$9,0)))</f>
        <v>0</v>
      </c>
      <c r="AT93" s="799">
        <f>AS93*(1-IFERROR(IF(AT$77+$F93&lt;=12,SUMIFS('Attrition Modeling'!$D:$D,'Attrition Modeling'!$C:$C,$D93,'Attrition Modeling'!$B:$B,AT$76),VLOOKUP($F93+AT$77,$A$7:$C$107,2,FALSE)*VLOOKUP(AT$76,'Attrition Modeling'!$L$15:$N$27,IF(AT$77+$F93&lt;=24,2,3),FALSE)),$C$3)*(1+IF('IP Attrition'!AT150&gt;0,'Attrition Modeling'!$N$9,0)))</f>
        <v>0</v>
      </c>
      <c r="AU93" s="799">
        <f>AT93*(1-IFERROR(IF(AU$77+$F93&lt;=12,SUMIFS('Attrition Modeling'!$D:$D,'Attrition Modeling'!$C:$C,$D93,'Attrition Modeling'!$B:$B,AU$76),VLOOKUP($F93+AU$77,$A$7:$C$107,2,FALSE)*VLOOKUP(AU$76,'Attrition Modeling'!$L$15:$N$27,IF(AU$77+$F93&lt;=24,2,3),FALSE)),$C$3)*(1+IF('IP Attrition'!AU150&gt;0,'Attrition Modeling'!$N$9,0)))</f>
        <v>0</v>
      </c>
      <c r="AV93" s="799">
        <f>AU93*(1-IFERROR(IF(AV$77+$F93&lt;=12,SUMIFS('Attrition Modeling'!$D:$D,'Attrition Modeling'!$C:$C,$D93,'Attrition Modeling'!$B:$B,AV$76),VLOOKUP($F93+AV$77,$A$7:$C$107,2,FALSE)*VLOOKUP(AV$76,'Attrition Modeling'!$L$15:$N$27,IF(AV$77+$F93&lt;=24,2,3),FALSE)),$C$3)*(1+IF('IP Attrition'!AV150&gt;0,'Attrition Modeling'!$N$9,0)))</f>
        <v>0</v>
      </c>
      <c r="AW93" s="799">
        <f>AV93*(1-IFERROR(IF(AW$77+$F93&lt;=12,SUMIFS('Attrition Modeling'!$D:$D,'Attrition Modeling'!$C:$C,$D93,'Attrition Modeling'!$B:$B,AW$76),VLOOKUP($F93+AW$77,$A$7:$C$107,2,FALSE)*VLOOKUP(AW$76,'Attrition Modeling'!$L$15:$N$27,IF(AW$77+$F93&lt;=24,2,3),FALSE)),$C$3)*(1+IF('IP Attrition'!AW150&gt;0,'Attrition Modeling'!$N$9,0)))</f>
        <v>0</v>
      </c>
      <c r="AX93" s="799">
        <f>AW93*(1-IFERROR(IF(AX$77+$F93&lt;=12,SUMIFS('Attrition Modeling'!$D:$D,'Attrition Modeling'!$C:$C,$D93,'Attrition Modeling'!$B:$B,AX$76),VLOOKUP($F93+AX$77,$A$7:$C$107,2,FALSE)*VLOOKUP(AX$76,'Attrition Modeling'!$L$15:$N$27,IF(AX$77+$F93&lt;=24,2,3),FALSE)),$C$3)*(1+IF('IP Attrition'!AX150&gt;0,'Attrition Modeling'!$N$9,0)))</f>
        <v>0</v>
      </c>
      <c r="AY93" s="799">
        <f>AX93*(1-IFERROR(IF(AY$77+$F93&lt;=12,SUMIFS('Attrition Modeling'!$D:$D,'Attrition Modeling'!$C:$C,$D93,'Attrition Modeling'!$B:$B,AY$76),VLOOKUP($F93+AY$77,$A$7:$C$107,2,FALSE)*VLOOKUP(AY$76,'Attrition Modeling'!$L$15:$N$27,IF(AY$77+$F93&lt;=24,2,3),FALSE)),$C$3)*(1+IF('IP Attrition'!AY150&gt;0,'Attrition Modeling'!$N$9,0)))</f>
        <v>0</v>
      </c>
      <c r="AZ93" s="799">
        <f>AY93*(1-IFERROR(IF(AZ$77+$F93&lt;=12,SUMIFS('Attrition Modeling'!$D:$D,'Attrition Modeling'!$C:$C,$D93,'Attrition Modeling'!$B:$B,AZ$76),VLOOKUP($F93+AZ$77,$A$7:$C$107,2,FALSE)*VLOOKUP(AZ$76,'Attrition Modeling'!$L$15:$N$27,IF(AZ$77+$F93&lt;=24,2,3),FALSE)),$C$3)*(1+IF('IP Attrition'!AZ150&gt;0,'Attrition Modeling'!$N$9,0)))</f>
        <v>0</v>
      </c>
      <c r="BA93" s="799">
        <f>AZ93*(1-IFERROR(IF(BA$77+$F93&lt;=12,SUMIFS('Attrition Modeling'!$D:$D,'Attrition Modeling'!$C:$C,$D93,'Attrition Modeling'!$B:$B,BA$76),VLOOKUP($F93+BA$77,$A$7:$C$107,2,FALSE)*VLOOKUP(BA$76,'Attrition Modeling'!$L$15:$N$27,IF(BA$77+$F93&lt;=24,2,3),FALSE)),$C$3)*(1+IF('IP Attrition'!BA150&gt;0,'Attrition Modeling'!$N$9,0)))</f>
        <v>0</v>
      </c>
      <c r="BB93" s="799">
        <f>BA93*(1-IFERROR(IF(BB$77+$F93&lt;=12,SUMIFS('Attrition Modeling'!$D:$D,'Attrition Modeling'!$C:$C,$D93,'Attrition Modeling'!$B:$B,BB$76),VLOOKUP($F93+BB$77,$A$7:$C$107,2,FALSE)*VLOOKUP(BB$76,'Attrition Modeling'!$L$15:$N$27,IF(BB$77+$F93&lt;=24,2,3),FALSE)),$C$3)*(1+IF('IP Attrition'!BB150&gt;0,'Attrition Modeling'!$N$9,0)))</f>
        <v>0</v>
      </c>
      <c r="BC93" s="799">
        <f>BB93*(1-IFERROR(IF(BC$77+$F93&lt;=12,SUMIFS('Attrition Modeling'!$D:$D,'Attrition Modeling'!$C:$C,$D93,'Attrition Modeling'!$B:$B,BC$76),VLOOKUP($F93+BC$77,$A$7:$C$107,2,FALSE)*VLOOKUP(BC$76,'Attrition Modeling'!$L$15:$N$27,IF(BC$77+$F93&lt;=24,2,3),FALSE)),$C$3)*(1+IF('IP Attrition'!BC150&gt;0,'Attrition Modeling'!$N$9,0)))</f>
        <v>0</v>
      </c>
      <c r="BD93" s="799">
        <f>BC93*(1-IFERROR(IF(BD$77+$F93&lt;=12,SUMIFS('Attrition Modeling'!$D:$D,'Attrition Modeling'!$C:$C,$D93,'Attrition Modeling'!$B:$B,BD$76),VLOOKUP($F93+BD$77,$A$7:$C$107,2,FALSE)*VLOOKUP(BD$76,'Attrition Modeling'!$L$15:$N$27,IF(BD$77+$F93&lt;=24,2,3),FALSE)),$C$3)*(1+IF('IP Attrition'!BD150&gt;0,'Attrition Modeling'!$N$9,0)))</f>
        <v>0</v>
      </c>
      <c r="BE93" s="799">
        <f>BD93*(1-IFERROR(IF(BE$77+$F93&lt;=12,SUMIFS('Attrition Modeling'!$D:$D,'Attrition Modeling'!$C:$C,$D93,'Attrition Modeling'!$B:$B,BE$76),VLOOKUP($F93+BE$77,$A$7:$C$107,2,FALSE)*VLOOKUP(BE$76,'Attrition Modeling'!$L$15:$N$27,IF(BE$77+$F93&lt;=24,2,3),FALSE)),$C$3)*(1+IF('IP Attrition'!BE150&gt;0,'Attrition Modeling'!$N$9,0)))</f>
        <v>0</v>
      </c>
      <c r="BF93" s="799">
        <f>BE93*(1-IFERROR(IF(BF$77+$F93&lt;=12,SUMIFS('Attrition Modeling'!$D:$D,'Attrition Modeling'!$C:$C,$D93,'Attrition Modeling'!$B:$B,BF$76),VLOOKUP($F93+BF$77,$A$7:$C$107,2,FALSE)*VLOOKUP(BF$76,'Attrition Modeling'!$L$15:$N$27,IF(BF$77+$F93&lt;=24,2,3),FALSE)),$C$3)*(1+IF('IP Attrition'!BF150&gt;0,'Attrition Modeling'!$N$9,0)))</f>
        <v>0</v>
      </c>
      <c r="BG93" s="799">
        <f>BF93*(1-IFERROR(IF(BG$77+$F93&lt;=12,SUMIFS('Attrition Modeling'!$D:$D,'Attrition Modeling'!$C:$C,$D93,'Attrition Modeling'!$B:$B,BG$76),VLOOKUP($F93+BG$77,$A$7:$C$107,2,FALSE)*VLOOKUP(BG$76,'Attrition Modeling'!$L$15:$N$27,IF(BG$77+$F93&lt;=24,2,3),FALSE)),$C$3)*(1+IF('IP Attrition'!BG150&gt;0,'Attrition Modeling'!$N$9,0)))</f>
        <v>0</v>
      </c>
      <c r="BH93" s="799">
        <f>BG93*(1-IFERROR(IF(BH$77+$F93&lt;=12,SUMIFS('Attrition Modeling'!$D:$D,'Attrition Modeling'!$C:$C,$D93,'Attrition Modeling'!$B:$B,BH$76),VLOOKUP($F93+BH$77,$A$7:$C$107,2,FALSE)*VLOOKUP(BH$76,'Attrition Modeling'!$L$15:$N$27,IF(BH$77+$F93&lt;=24,2,3),FALSE)),$C$3)*(1+IF('IP Attrition'!BH150&gt;0,'Attrition Modeling'!$N$9,0)))</f>
        <v>0</v>
      </c>
      <c r="BI93" s="799">
        <f>BH93*(1-IFERROR(IF(BI$77+$F93&lt;=12,SUMIFS('Attrition Modeling'!$D:$D,'Attrition Modeling'!$C:$C,$D93,'Attrition Modeling'!$B:$B,BI$76),VLOOKUP($F93+BI$77,$A$7:$C$107,2,FALSE)*VLOOKUP(BI$76,'Attrition Modeling'!$L$15:$N$27,IF(BI$77+$F93&lt;=24,2,3),FALSE)),$C$3)*(1+IF('IP Attrition'!BI150&gt;0,'Attrition Modeling'!$N$9,0)))</f>
        <v>0</v>
      </c>
      <c r="BJ93" s="799">
        <f>BI93*(1-IFERROR(IF(BJ$77+$F93&lt;=12,SUMIFS('Attrition Modeling'!$D:$D,'Attrition Modeling'!$C:$C,$D93,'Attrition Modeling'!$B:$B,BJ$76),VLOOKUP($F93+BJ$77,$A$7:$C$107,2,FALSE)*VLOOKUP(BJ$76,'Attrition Modeling'!$L$15:$N$27,IF(BJ$77+$F93&lt;=24,2,3),FALSE)),$C$3)*(1+IF('IP Attrition'!BJ150&gt;0,'Attrition Modeling'!$N$9,0)))</f>
        <v>0</v>
      </c>
      <c r="BK93" s="799">
        <f>BJ93*(1-IFERROR(IF(BK$77+$F93&lt;=12,SUMIFS('Attrition Modeling'!$D:$D,'Attrition Modeling'!$C:$C,$D93,'Attrition Modeling'!$B:$B,BK$76),VLOOKUP($F93+BK$77,$A$7:$C$107,2,FALSE)*VLOOKUP(BK$76,'Attrition Modeling'!$L$15:$N$27,IF(BK$77+$F93&lt;=24,2,3),FALSE)),$C$3)*(1+IF('IP Attrition'!BK150&gt;0,'Attrition Modeling'!$N$9,0)))</f>
        <v>0</v>
      </c>
      <c r="BL93" s="799">
        <f>BK93*(1-IFERROR(IF(BL$77+$F93&lt;=12,SUMIFS('Attrition Modeling'!$D:$D,'Attrition Modeling'!$C:$C,$D93,'Attrition Modeling'!$B:$B,BL$76),VLOOKUP($F93+BL$77,$A$7:$C$107,2,FALSE)*VLOOKUP(BL$76,'Attrition Modeling'!$L$15:$N$27,IF(BL$77+$F93&lt;=24,2,3),FALSE)),$C$3)*(1+IF('IP Attrition'!BL150&gt;0,'Attrition Modeling'!$N$9,0)))</f>
        <v>0</v>
      </c>
      <c r="BM93" s="799">
        <f>BL93*(1-IFERROR(IF(BM$77+$F93&lt;=12,SUMIFS('Attrition Modeling'!$D:$D,'Attrition Modeling'!$C:$C,$D93,'Attrition Modeling'!$B:$B,BM$76),VLOOKUP($F93+BM$77,$A$7:$C$107,2,FALSE)*VLOOKUP(BM$76,'Attrition Modeling'!$L$15:$N$27,IF(BM$77+$F93&lt;=24,2,3),FALSE)),$C$3)*(1+IF('IP Attrition'!BM150&gt;0,'Attrition Modeling'!$N$9,0)))</f>
        <v>0</v>
      </c>
      <c r="BN93" s="799">
        <f>BM93*(1-IFERROR(IF(BN$77+$F93&lt;=12,SUMIFS('Attrition Modeling'!$D:$D,'Attrition Modeling'!$C:$C,$D93,'Attrition Modeling'!$B:$B,BN$76),VLOOKUP($F93+BN$77,$A$7:$C$107,2,FALSE)*VLOOKUP(BN$76,'Attrition Modeling'!$L$15:$N$27,IF(BN$77+$F93&lt;=24,2,3),FALSE)),$C$3)*(1+IF('IP Attrition'!BN150&gt;0,'Attrition Modeling'!$N$9,0)))</f>
        <v>0</v>
      </c>
      <c r="BO93" s="799">
        <f>BN93*(1-IFERROR(IF(BO$77+$F93&lt;=12,SUMIFS('Attrition Modeling'!$D:$D,'Attrition Modeling'!$C:$C,$D93,'Attrition Modeling'!$B:$B,BO$76),VLOOKUP($F93+BO$77,$A$7:$C$107,2,FALSE)*VLOOKUP(BO$76,'Attrition Modeling'!$L$15:$N$27,IF(BO$77+$F93&lt;=24,2,3),FALSE)),$C$3)*(1+IF('IP Attrition'!BO150&gt;0,'Attrition Modeling'!$N$9,0)))</f>
        <v>0</v>
      </c>
      <c r="BP93" s="799">
        <f>BO93*(1-IFERROR(IF(BP$77+$F93&lt;=12,SUMIFS('Attrition Modeling'!$D:$D,'Attrition Modeling'!$C:$C,$D93,'Attrition Modeling'!$B:$B,BP$76),VLOOKUP($F93+BP$77,$A$7:$C$107,2,FALSE)*VLOOKUP(BP$76,'Attrition Modeling'!$L$15:$N$27,IF(BP$77+$F93&lt;=24,2,3),FALSE)),$C$3)*(1+IF('IP Attrition'!BP150&gt;0,'Attrition Modeling'!$N$9,0)))</f>
        <v>0</v>
      </c>
      <c r="BQ93" s="799">
        <f>BP93*(1-IFERROR(IF(BQ$77+$F93&lt;=12,SUMIFS('Attrition Modeling'!$D:$D,'Attrition Modeling'!$C:$C,$D93,'Attrition Modeling'!$B:$B,BQ$76),VLOOKUP($F93+BQ$77,$A$7:$C$107,2,FALSE)*VLOOKUP(BQ$76,'Attrition Modeling'!$L$15:$N$27,IF(BQ$77+$F93&lt;=24,2,3),FALSE)),$C$3)*(1+IF('IP Attrition'!BQ150&gt;0,'Attrition Modeling'!$N$9,0)))</f>
        <v>0</v>
      </c>
      <c r="BR93" s="799">
        <f>BQ93*(1-IFERROR(IF(BR$77+$F93&lt;=12,SUMIFS('Attrition Modeling'!$D:$D,'Attrition Modeling'!$C:$C,$D93,'Attrition Modeling'!$B:$B,BR$76),VLOOKUP($F93+BR$77,$A$7:$C$107,2,FALSE)*VLOOKUP(BR$76,'Attrition Modeling'!$L$15:$N$27,IF(BR$77+$F93&lt;=24,2,3),FALSE)),$C$3)*(1+IF('IP Attrition'!BR150&gt;0,'Attrition Modeling'!$N$9,0)))</f>
        <v>0</v>
      </c>
      <c r="BS93" s="799">
        <f>BR93*(1-IFERROR(IF(BS$77+$F93&lt;=12,SUMIFS('Attrition Modeling'!$D:$D,'Attrition Modeling'!$C:$C,$D93,'Attrition Modeling'!$B:$B,BS$76),VLOOKUP($F93+BS$77,$A$7:$C$107,2,FALSE)*VLOOKUP(BS$76,'Attrition Modeling'!$L$15:$N$27,IF(BS$77+$F93&lt;=24,2,3),FALSE)),$C$3)*(1+IF('IP Attrition'!BS150&gt;0,'Attrition Modeling'!$N$9,0)))</f>
        <v>0</v>
      </c>
      <c r="BT93" s="799" t="e">
        <f>BS93*(1-IFERROR(IF(BT$77+$F93&lt;=12,SUMIFS('Attrition Modeling'!$D:$D,'Attrition Modeling'!$C:$C,$D93,'Attrition Modeling'!$B:$B,BT$76),VLOOKUP($F93+BT$77,$A$7:$C$107,2,FALSE)*VLOOKUP(BT$76,'Attrition Modeling'!$L$15:$N$27,IF(BT$77+$F93&lt;=24,2,3),FALSE)),$C$3)*(1+IF('IP Attrition'!BT150&gt;0,'Attrition Modeling'!$N$9,0)))</f>
        <v>#REF!</v>
      </c>
      <c r="BU93" s="799" t="e">
        <f>BT93*(1-IFERROR(IF(BU$77+$F93&lt;=12,SUMIFS('Attrition Modeling'!$D:$D,'Attrition Modeling'!$C:$C,$D93,'Attrition Modeling'!$B:$B,BU$76),VLOOKUP($F93+BU$77,$A$7:$C$107,2,FALSE)*VLOOKUP(BU$76,'Attrition Modeling'!$L$15:$N$27,IF(BU$77+$F93&lt;=24,2,3),FALSE)),$C$3)*(1+IF('IP Attrition'!BU150&gt;0,'Attrition Modeling'!$N$9,0)))</f>
        <v>#REF!</v>
      </c>
    </row>
    <row r="94" spans="1:73" ht="14.25" customHeight="1" x14ac:dyDescent="0.2">
      <c r="A94" s="9">
        <v>86</v>
      </c>
      <c r="B94" s="25">
        <f>MAX('Attrition Modeling'!H90,$C$3)*(1-Summary!$C$20)</f>
        <v>0.02</v>
      </c>
      <c r="C94" s="24" t="e">
        <f t="shared" si="2"/>
        <v>#DIV/0!</v>
      </c>
      <c r="D94" s="11">
        <f>'IP Attrition'!D86</f>
        <v>-16</v>
      </c>
      <c r="E94" s="25">
        <f>'IP Attrition'!E86</f>
        <v>0</v>
      </c>
      <c r="F94" s="11">
        <f t="shared" si="8"/>
        <v>16</v>
      </c>
      <c r="G94" s="799">
        <f>Summary!$C$24*$E94</f>
        <v>0</v>
      </c>
      <c r="H94" s="799">
        <f>G94*(1-IFERROR(IF(H$77+$F94&lt;=12,SUMIFS('Attrition Modeling'!$D:$D,'Attrition Modeling'!$C:$C,$D94,'Attrition Modeling'!$B:$B,H$76),VLOOKUP($F94+H$77,$A$7:$C$107,2,FALSE)*VLOOKUP(H$76,'Attrition Modeling'!$L$15:$N$27,IF(H$77+$F94&lt;=24,2,3),FALSE)),$C$3)*(1+IF('IP Attrition'!H151&gt;0,'Attrition Modeling'!$N$9,0)))</f>
        <v>0</v>
      </c>
      <c r="I94" s="799">
        <f>H94*(1-IFERROR(IF(I$77+$F94&lt;=12,SUMIFS('Attrition Modeling'!$D:$D,'Attrition Modeling'!$C:$C,$D94,'Attrition Modeling'!$B:$B,I$76),VLOOKUP($F94+I$77,$A$7:$C$107,2,FALSE)*VLOOKUP(I$76,'Attrition Modeling'!$L$15:$N$27,IF(I$77+$F94&lt;=24,2,3),FALSE)),$C$3)*(1+IF('IP Attrition'!I151&gt;0,'Attrition Modeling'!$N$9,0)))</f>
        <v>0</v>
      </c>
      <c r="J94" s="799">
        <f>I94*(1-IFERROR(IF(J$77+$F94&lt;=12,SUMIFS('Attrition Modeling'!$D:$D,'Attrition Modeling'!$C:$C,$D94,'Attrition Modeling'!$B:$B,J$76),VLOOKUP($F94+J$77,$A$7:$C$107,2,FALSE)*VLOOKUP(J$76,'Attrition Modeling'!$L$15:$N$27,IF(J$77+$F94&lt;=24,2,3),FALSE)),$C$3)*(1+IF('IP Attrition'!J151&gt;0,'Attrition Modeling'!$N$9,0)))</f>
        <v>0</v>
      </c>
      <c r="K94" s="799">
        <f>J94*(1-IFERROR(IF(K$77+$F94&lt;=12,SUMIFS('Attrition Modeling'!$D:$D,'Attrition Modeling'!$C:$C,$D94,'Attrition Modeling'!$B:$B,K$76),VLOOKUP($F94+K$77,$A$7:$C$107,2,FALSE)*VLOOKUP(K$76,'Attrition Modeling'!$L$15:$N$27,IF(K$77+$F94&lt;=24,2,3),FALSE)),$C$3)*(1+IF('IP Attrition'!K151&gt;0,'Attrition Modeling'!$N$9,0)))</f>
        <v>0</v>
      </c>
      <c r="L94" s="799">
        <f>K94*(1-IFERROR(IF(L$77+$F94&lt;=12,SUMIFS('Attrition Modeling'!$D:$D,'Attrition Modeling'!$C:$C,$D94,'Attrition Modeling'!$B:$B,L$76),VLOOKUP($F94+L$77,$A$7:$C$107,2,FALSE)*VLOOKUP(L$76,'Attrition Modeling'!$L$15:$N$27,IF(L$77+$F94&lt;=24,2,3),FALSE)),$C$3)*(1+IF('IP Attrition'!L151&gt;0,'Attrition Modeling'!$N$9,0)))</f>
        <v>0</v>
      </c>
      <c r="M94" s="799">
        <f>L94*(1-IFERROR(IF(M$77+$F94&lt;=12,SUMIFS('Attrition Modeling'!$D:$D,'Attrition Modeling'!$C:$C,$D94,'Attrition Modeling'!$B:$B,M$76),VLOOKUP($F94+M$77,$A$7:$C$107,2,FALSE)*VLOOKUP(M$76,'Attrition Modeling'!$L$15:$N$27,IF(M$77+$F94&lt;=24,2,3),FALSE)),$C$3)*(1+IF('IP Attrition'!M151&gt;0,'Attrition Modeling'!$N$9,0)))</f>
        <v>0</v>
      </c>
      <c r="N94" s="799">
        <f>M94*(1-IFERROR(IF(N$77+$F94&lt;=12,SUMIFS('Attrition Modeling'!$D:$D,'Attrition Modeling'!$C:$C,$D94,'Attrition Modeling'!$B:$B,N$76),VLOOKUP($F94+N$77,$A$7:$C$107,2,FALSE)*VLOOKUP(N$76,'Attrition Modeling'!$L$15:$N$27,IF(N$77+$F94&lt;=24,2,3),FALSE)),$C$3)*(1+IF('IP Attrition'!N151&gt;0,'Attrition Modeling'!$N$9,0)))</f>
        <v>0</v>
      </c>
      <c r="O94" s="799">
        <f>N94*(1-IFERROR(IF(O$77+$F94&lt;=12,SUMIFS('Attrition Modeling'!$D:$D,'Attrition Modeling'!$C:$C,$D94,'Attrition Modeling'!$B:$B,O$76),VLOOKUP($F94+O$77,$A$7:$C$107,2,FALSE)*VLOOKUP(O$76,'Attrition Modeling'!$L$15:$N$27,IF(O$77+$F94&lt;=24,2,3),FALSE)),$C$3)*(1+IF('IP Attrition'!O151&gt;0,'Attrition Modeling'!$N$9,0)))</f>
        <v>0</v>
      </c>
      <c r="P94" s="799">
        <f>O94*(1-IFERROR(IF(P$77+$F94&lt;=12,SUMIFS('Attrition Modeling'!$D:$D,'Attrition Modeling'!$C:$C,$D94,'Attrition Modeling'!$B:$B,P$76),VLOOKUP($F94+P$77,$A$7:$C$107,2,FALSE)*VLOOKUP(P$76,'Attrition Modeling'!$L$15:$N$27,IF(P$77+$F94&lt;=24,2,3),FALSE)),$C$3)*(1+IF('IP Attrition'!P151&gt;0,'Attrition Modeling'!$N$9,0)))</f>
        <v>0</v>
      </c>
      <c r="Q94" s="799">
        <f>P94*(1-IFERROR(IF(Q$77+$F94&lt;=12,SUMIFS('Attrition Modeling'!$D:$D,'Attrition Modeling'!$C:$C,$D94,'Attrition Modeling'!$B:$B,Q$76),VLOOKUP($F94+Q$77,$A$7:$C$107,2,FALSE)*VLOOKUP(Q$76,'Attrition Modeling'!$L$15:$N$27,IF(Q$77+$F94&lt;=24,2,3),FALSE)),$C$3)*(1+IF('IP Attrition'!Q151&gt;0,'Attrition Modeling'!$N$9,0)))</f>
        <v>0</v>
      </c>
      <c r="R94" s="799">
        <f>Q94*(1-IFERROR(IF(R$77+$F94&lt;=12,SUMIFS('Attrition Modeling'!$D:$D,'Attrition Modeling'!$C:$C,$D94,'Attrition Modeling'!$B:$B,R$76),VLOOKUP($F94+R$77,$A$7:$C$107,2,FALSE)*VLOOKUP(R$76,'Attrition Modeling'!$L$15:$N$27,IF(R$77+$F94&lt;=24,2,3),FALSE)),$C$3)*(1+IF('IP Attrition'!R151&gt;0,'Attrition Modeling'!$N$9,0)))</f>
        <v>0</v>
      </c>
      <c r="S94" s="799">
        <f>R94*(1-IFERROR(IF(S$77+$F94&lt;=12,SUMIFS('Attrition Modeling'!$D:$D,'Attrition Modeling'!$C:$C,$D94,'Attrition Modeling'!$B:$B,S$76),VLOOKUP($F94+S$77,$A$7:$C$107,2,FALSE)*VLOOKUP(S$76,'Attrition Modeling'!$L$15:$N$27,IF(S$77+$F94&lt;=24,2,3),FALSE)),$C$3)*(1+IF('IP Attrition'!S151&gt;0,'Attrition Modeling'!$N$9,0)))</f>
        <v>0</v>
      </c>
      <c r="T94" s="799">
        <f>S94*(1-IFERROR(IF(T$77+$F94&lt;=12,SUMIFS('Attrition Modeling'!$D:$D,'Attrition Modeling'!$C:$C,$D94,'Attrition Modeling'!$B:$B,T$76),VLOOKUP($F94+T$77,$A$7:$C$107,2,FALSE)*VLOOKUP(T$76,'Attrition Modeling'!$L$15:$N$27,IF(T$77+$F94&lt;=24,2,3),FALSE)),$C$3)*(1+IF('IP Attrition'!T151&gt;0,'Attrition Modeling'!$N$9,0)))</f>
        <v>0</v>
      </c>
      <c r="U94" s="799">
        <f>T94*(1-IFERROR(IF(U$77+$F94&lt;=12,SUMIFS('Attrition Modeling'!$D:$D,'Attrition Modeling'!$C:$C,$D94,'Attrition Modeling'!$B:$B,U$76),VLOOKUP($F94+U$77,$A$7:$C$107,2,FALSE)*VLOOKUP(U$76,'Attrition Modeling'!$L$15:$N$27,IF(U$77+$F94&lt;=24,2,3),FALSE)),$C$3)*(1+IF('IP Attrition'!U151&gt;0,'Attrition Modeling'!$N$9,0)))</f>
        <v>0</v>
      </c>
      <c r="V94" s="799">
        <f>U94*(1-IFERROR(IF(V$77+$F94&lt;=12,SUMIFS('Attrition Modeling'!$D:$D,'Attrition Modeling'!$C:$C,$D94,'Attrition Modeling'!$B:$B,V$76),VLOOKUP($F94+V$77,$A$7:$C$107,2,FALSE)*VLOOKUP(V$76,'Attrition Modeling'!$L$15:$N$27,IF(V$77+$F94&lt;=24,2,3),FALSE)),$C$3)*(1+IF('IP Attrition'!V151&gt;0,'Attrition Modeling'!$N$9,0)))</f>
        <v>0</v>
      </c>
      <c r="W94" s="799">
        <f>V94*(1-IFERROR(IF(W$77+$F94&lt;=12,SUMIFS('Attrition Modeling'!$D:$D,'Attrition Modeling'!$C:$C,$D94,'Attrition Modeling'!$B:$B,W$76),VLOOKUP($F94+W$77,$A$7:$C$107,2,FALSE)*VLOOKUP(W$76,'Attrition Modeling'!$L$15:$N$27,IF(W$77+$F94&lt;=24,2,3),FALSE)),$C$3)*(1+IF('IP Attrition'!W151&gt;0,'Attrition Modeling'!$N$9,0)))</f>
        <v>0</v>
      </c>
      <c r="X94" s="799">
        <f>W94*(1-IFERROR(IF(X$77+$F94&lt;=12,SUMIFS('Attrition Modeling'!$D:$D,'Attrition Modeling'!$C:$C,$D94,'Attrition Modeling'!$B:$B,X$76),VLOOKUP($F94+X$77,$A$7:$C$107,2,FALSE)*VLOOKUP(X$76,'Attrition Modeling'!$L$15:$N$27,IF(X$77+$F94&lt;=24,2,3),FALSE)),$C$3)*(1+IF('IP Attrition'!X151&gt;0,'Attrition Modeling'!$N$9,0)))</f>
        <v>0</v>
      </c>
      <c r="Y94" s="799">
        <f>X94*(1-IFERROR(IF(Y$77+$F94&lt;=12,SUMIFS('Attrition Modeling'!$D:$D,'Attrition Modeling'!$C:$C,$D94,'Attrition Modeling'!$B:$B,Y$76),VLOOKUP($F94+Y$77,$A$7:$C$107,2,FALSE)*VLOOKUP(Y$76,'Attrition Modeling'!$L$15:$N$27,IF(Y$77+$F94&lt;=24,2,3),FALSE)),$C$3)*(1+IF('IP Attrition'!Y151&gt;0,'Attrition Modeling'!$N$9,0)))</f>
        <v>0</v>
      </c>
      <c r="Z94" s="799">
        <f>Y94*(1-IFERROR(IF(Z$77+$F94&lt;=12,SUMIFS('Attrition Modeling'!$D:$D,'Attrition Modeling'!$C:$C,$D94,'Attrition Modeling'!$B:$B,Z$76),VLOOKUP($F94+Z$77,$A$7:$C$107,2,FALSE)*VLOOKUP(Z$76,'Attrition Modeling'!$L$15:$N$27,IF(Z$77+$F94&lt;=24,2,3),FALSE)),$C$3)*(1+IF('IP Attrition'!Z151&gt;0,'Attrition Modeling'!$N$9,0)))</f>
        <v>0</v>
      </c>
      <c r="AA94" s="799">
        <f>Z94*(1-IFERROR(IF(AA$77+$F94&lt;=12,SUMIFS('Attrition Modeling'!$D:$D,'Attrition Modeling'!$C:$C,$D94,'Attrition Modeling'!$B:$B,AA$76),VLOOKUP($F94+AA$77,$A$7:$C$107,2,FALSE)*VLOOKUP(AA$76,'Attrition Modeling'!$L$15:$N$27,IF(AA$77+$F94&lt;=24,2,3),FALSE)),$C$3)*(1+IF('IP Attrition'!AA151&gt;0,'Attrition Modeling'!$N$9,0)))</f>
        <v>0</v>
      </c>
      <c r="AB94" s="799">
        <f>AA94*(1-IFERROR(IF(AB$77+$F94&lt;=12,SUMIFS('Attrition Modeling'!$D:$D,'Attrition Modeling'!$C:$C,$D94,'Attrition Modeling'!$B:$B,AB$76),VLOOKUP($F94+AB$77,$A$7:$C$107,2,FALSE)*VLOOKUP(AB$76,'Attrition Modeling'!$L$15:$N$27,IF(AB$77+$F94&lt;=24,2,3),FALSE)),$C$3)*(1+IF('IP Attrition'!AB151&gt;0,'Attrition Modeling'!$N$9,0)))</f>
        <v>0</v>
      </c>
      <c r="AC94" s="799">
        <f>AB94*(1-IFERROR(IF(AC$77+$F94&lt;=12,SUMIFS('Attrition Modeling'!$D:$D,'Attrition Modeling'!$C:$C,$D94,'Attrition Modeling'!$B:$B,AC$76),VLOOKUP($F94+AC$77,$A$7:$C$107,2,FALSE)*VLOOKUP(AC$76,'Attrition Modeling'!$L$15:$N$27,IF(AC$77+$F94&lt;=24,2,3),FALSE)),$C$3)*(1+IF('IP Attrition'!AC151&gt;0,'Attrition Modeling'!$N$9,0)))</f>
        <v>0</v>
      </c>
      <c r="AD94" s="799">
        <f>AC94*(1-IFERROR(IF(AD$77+$F94&lt;=12,SUMIFS('Attrition Modeling'!$D:$D,'Attrition Modeling'!$C:$C,$D94,'Attrition Modeling'!$B:$B,AD$76),VLOOKUP($F94+AD$77,$A$7:$C$107,2,FALSE)*VLOOKUP(AD$76,'Attrition Modeling'!$L$15:$N$27,IF(AD$77+$F94&lt;=24,2,3),FALSE)),$C$3)*(1+IF('IP Attrition'!AD151&gt;0,'Attrition Modeling'!$N$9,0)))</f>
        <v>0</v>
      </c>
      <c r="AE94" s="799">
        <f>AD94*(1-IFERROR(IF(AE$77+$F94&lt;=12,SUMIFS('Attrition Modeling'!$D:$D,'Attrition Modeling'!$C:$C,$D94,'Attrition Modeling'!$B:$B,AE$76),VLOOKUP($F94+AE$77,$A$7:$C$107,2,FALSE)*VLOOKUP(AE$76,'Attrition Modeling'!$L$15:$N$27,IF(AE$77+$F94&lt;=24,2,3),FALSE)),$C$3)*(1+IF('IP Attrition'!AE151&gt;0,'Attrition Modeling'!$N$9,0)))</f>
        <v>0</v>
      </c>
      <c r="AF94" s="799">
        <f>AE94*(1-IFERROR(IF(AF$77+$F94&lt;=12,SUMIFS('Attrition Modeling'!$D:$D,'Attrition Modeling'!$C:$C,$D94,'Attrition Modeling'!$B:$B,AF$76),VLOOKUP($F94+AF$77,$A$7:$C$107,2,FALSE)*VLOOKUP(AF$76,'Attrition Modeling'!$L$15:$N$27,IF(AF$77+$F94&lt;=24,2,3),FALSE)),$C$3)*(1+IF('IP Attrition'!AF151&gt;0,'Attrition Modeling'!$N$9,0)))</f>
        <v>0</v>
      </c>
      <c r="AG94" s="799">
        <f>AF94*(1-IFERROR(IF(AG$77+$F94&lt;=12,SUMIFS('Attrition Modeling'!$D:$D,'Attrition Modeling'!$C:$C,$D94,'Attrition Modeling'!$B:$B,AG$76),VLOOKUP($F94+AG$77,$A$7:$C$107,2,FALSE)*VLOOKUP(AG$76,'Attrition Modeling'!$L$15:$N$27,IF(AG$77+$F94&lt;=24,2,3),FALSE)),$C$3)*(1+IF('IP Attrition'!AG151&gt;0,'Attrition Modeling'!$N$9,0)))</f>
        <v>0</v>
      </c>
      <c r="AH94" s="799">
        <f>AG94*(1-IFERROR(IF(AH$77+$F94&lt;=12,SUMIFS('Attrition Modeling'!$D:$D,'Attrition Modeling'!$C:$C,$D94,'Attrition Modeling'!$B:$B,AH$76),VLOOKUP($F94+AH$77,$A$7:$C$107,2,FALSE)*VLOOKUP(AH$76,'Attrition Modeling'!$L$15:$N$27,IF(AH$77+$F94&lt;=24,2,3),FALSE)),$C$3)*(1+IF('IP Attrition'!AH151&gt;0,'Attrition Modeling'!$N$9,0)))</f>
        <v>0</v>
      </c>
      <c r="AI94" s="799">
        <f>AH94*(1-IFERROR(IF(AI$77+$F94&lt;=12,SUMIFS('Attrition Modeling'!$D:$D,'Attrition Modeling'!$C:$C,$D94,'Attrition Modeling'!$B:$B,AI$76),VLOOKUP($F94+AI$77,$A$7:$C$107,2,FALSE)*VLOOKUP(AI$76,'Attrition Modeling'!$L$15:$N$27,IF(AI$77+$F94&lt;=24,2,3),FALSE)),$C$3)*(1+IF('IP Attrition'!AI151&gt;0,'Attrition Modeling'!$N$9,0)))</f>
        <v>0</v>
      </c>
      <c r="AJ94" s="799">
        <f>AI94*(1-IFERROR(IF(AJ$77+$F94&lt;=12,SUMIFS('Attrition Modeling'!$D:$D,'Attrition Modeling'!$C:$C,$D94,'Attrition Modeling'!$B:$B,AJ$76),VLOOKUP($F94+AJ$77,$A$7:$C$107,2,FALSE)*VLOOKUP(AJ$76,'Attrition Modeling'!$L$15:$N$27,IF(AJ$77+$F94&lt;=24,2,3),FALSE)),$C$3)*(1+IF('IP Attrition'!AJ151&gt;0,'Attrition Modeling'!$N$9,0)))</f>
        <v>0</v>
      </c>
      <c r="AK94" s="799">
        <f>AJ94*(1-IFERROR(IF(AK$77+$F94&lt;=12,SUMIFS('Attrition Modeling'!$D:$D,'Attrition Modeling'!$C:$C,$D94,'Attrition Modeling'!$B:$B,AK$76),VLOOKUP($F94+AK$77,$A$7:$C$107,2,FALSE)*VLOOKUP(AK$76,'Attrition Modeling'!$L$15:$N$27,IF(AK$77+$F94&lt;=24,2,3),FALSE)),$C$3)*(1+IF('IP Attrition'!AK151&gt;0,'Attrition Modeling'!$N$9,0)))</f>
        <v>0</v>
      </c>
      <c r="AL94" s="799">
        <f>AK94*(1-IFERROR(IF(AL$77+$F94&lt;=12,SUMIFS('Attrition Modeling'!$D:$D,'Attrition Modeling'!$C:$C,$D94,'Attrition Modeling'!$B:$B,AL$76),VLOOKUP($F94+AL$77,$A$7:$C$107,2,FALSE)*VLOOKUP(AL$76,'Attrition Modeling'!$L$15:$N$27,IF(AL$77+$F94&lt;=24,2,3),FALSE)),$C$3)*(1+IF('IP Attrition'!AL151&gt;0,'Attrition Modeling'!$N$9,0)))</f>
        <v>0</v>
      </c>
      <c r="AM94" s="799">
        <f>AL94*(1-IFERROR(IF(AM$77+$F94&lt;=12,SUMIFS('Attrition Modeling'!$D:$D,'Attrition Modeling'!$C:$C,$D94,'Attrition Modeling'!$B:$B,AM$76),VLOOKUP($F94+AM$77,$A$7:$C$107,2,FALSE)*VLOOKUP(AM$76,'Attrition Modeling'!$L$15:$N$27,IF(AM$77+$F94&lt;=24,2,3),FALSE)),$C$3)*(1+IF('IP Attrition'!AM151&gt;0,'Attrition Modeling'!$N$9,0)))</f>
        <v>0</v>
      </c>
      <c r="AN94" s="799">
        <f>AM94*(1-IFERROR(IF(AN$77+$F94&lt;=12,SUMIFS('Attrition Modeling'!$D:$D,'Attrition Modeling'!$C:$C,$D94,'Attrition Modeling'!$B:$B,AN$76),VLOOKUP($F94+AN$77,$A$7:$C$107,2,FALSE)*VLOOKUP(AN$76,'Attrition Modeling'!$L$15:$N$27,IF(AN$77+$F94&lt;=24,2,3),FALSE)),$C$3)*(1+IF('IP Attrition'!AN151&gt;0,'Attrition Modeling'!$N$9,0)))</f>
        <v>0</v>
      </c>
      <c r="AO94" s="799">
        <f>AN94*(1-IFERROR(IF(AO$77+$F94&lt;=12,SUMIFS('Attrition Modeling'!$D:$D,'Attrition Modeling'!$C:$C,$D94,'Attrition Modeling'!$B:$B,AO$76),VLOOKUP($F94+AO$77,$A$7:$C$107,2,FALSE)*VLOOKUP(AO$76,'Attrition Modeling'!$L$15:$N$27,IF(AO$77+$F94&lt;=24,2,3),FALSE)),$C$3)*(1+IF('IP Attrition'!AO151&gt;0,'Attrition Modeling'!$N$9,0)))</f>
        <v>0</v>
      </c>
      <c r="AP94" s="799">
        <f>AO94*(1-IFERROR(IF(AP$77+$F94&lt;=12,SUMIFS('Attrition Modeling'!$D:$D,'Attrition Modeling'!$C:$C,$D94,'Attrition Modeling'!$B:$B,AP$76),VLOOKUP($F94+AP$77,$A$7:$C$107,2,FALSE)*VLOOKUP(AP$76,'Attrition Modeling'!$L$15:$N$27,IF(AP$77+$F94&lt;=24,2,3),FALSE)),$C$3)*(1+IF('IP Attrition'!AP151&gt;0,'Attrition Modeling'!$N$9,0)))</f>
        <v>0</v>
      </c>
      <c r="AQ94" s="799">
        <f>AP94*(1-IFERROR(IF(AQ$77+$F94&lt;=12,SUMIFS('Attrition Modeling'!$D:$D,'Attrition Modeling'!$C:$C,$D94,'Attrition Modeling'!$B:$B,AQ$76),VLOOKUP($F94+AQ$77,$A$7:$C$107,2,FALSE)*VLOOKUP(AQ$76,'Attrition Modeling'!$L$15:$N$27,IF(AQ$77+$F94&lt;=24,2,3),FALSE)),$C$3)*(1+IF('IP Attrition'!AQ151&gt;0,'Attrition Modeling'!$N$9,0)))</f>
        <v>0</v>
      </c>
      <c r="AR94" s="799">
        <f>AQ94*(1-IFERROR(IF(AR$77+$F94&lt;=12,SUMIFS('Attrition Modeling'!$D:$D,'Attrition Modeling'!$C:$C,$D94,'Attrition Modeling'!$B:$B,AR$76),VLOOKUP($F94+AR$77,$A$7:$C$107,2,FALSE)*VLOOKUP(AR$76,'Attrition Modeling'!$L$15:$N$27,IF(AR$77+$F94&lt;=24,2,3),FALSE)),$C$3)*(1+IF('IP Attrition'!AR151&gt;0,'Attrition Modeling'!$N$9,0)))</f>
        <v>0</v>
      </c>
      <c r="AS94" s="799">
        <f>AR94*(1-IFERROR(IF(AS$77+$F94&lt;=12,SUMIFS('Attrition Modeling'!$D:$D,'Attrition Modeling'!$C:$C,$D94,'Attrition Modeling'!$B:$B,AS$76),VLOOKUP($F94+AS$77,$A$7:$C$107,2,FALSE)*VLOOKUP(AS$76,'Attrition Modeling'!$L$15:$N$27,IF(AS$77+$F94&lt;=24,2,3),FALSE)),$C$3)*(1+IF('IP Attrition'!AS151&gt;0,'Attrition Modeling'!$N$9,0)))</f>
        <v>0</v>
      </c>
      <c r="AT94" s="799">
        <f>AS94*(1-IFERROR(IF(AT$77+$F94&lt;=12,SUMIFS('Attrition Modeling'!$D:$D,'Attrition Modeling'!$C:$C,$D94,'Attrition Modeling'!$B:$B,AT$76),VLOOKUP($F94+AT$77,$A$7:$C$107,2,FALSE)*VLOOKUP(AT$76,'Attrition Modeling'!$L$15:$N$27,IF(AT$77+$F94&lt;=24,2,3),FALSE)),$C$3)*(1+IF('IP Attrition'!AT151&gt;0,'Attrition Modeling'!$N$9,0)))</f>
        <v>0</v>
      </c>
      <c r="AU94" s="799">
        <f>AT94*(1-IFERROR(IF(AU$77+$F94&lt;=12,SUMIFS('Attrition Modeling'!$D:$D,'Attrition Modeling'!$C:$C,$D94,'Attrition Modeling'!$B:$B,AU$76),VLOOKUP($F94+AU$77,$A$7:$C$107,2,FALSE)*VLOOKUP(AU$76,'Attrition Modeling'!$L$15:$N$27,IF(AU$77+$F94&lt;=24,2,3),FALSE)),$C$3)*(1+IF('IP Attrition'!AU151&gt;0,'Attrition Modeling'!$N$9,0)))</f>
        <v>0</v>
      </c>
      <c r="AV94" s="799">
        <f>AU94*(1-IFERROR(IF(AV$77+$F94&lt;=12,SUMIFS('Attrition Modeling'!$D:$D,'Attrition Modeling'!$C:$C,$D94,'Attrition Modeling'!$B:$B,AV$76),VLOOKUP($F94+AV$77,$A$7:$C$107,2,FALSE)*VLOOKUP(AV$76,'Attrition Modeling'!$L$15:$N$27,IF(AV$77+$F94&lt;=24,2,3),FALSE)),$C$3)*(1+IF('IP Attrition'!AV151&gt;0,'Attrition Modeling'!$N$9,0)))</f>
        <v>0</v>
      </c>
      <c r="AW94" s="799">
        <f>AV94*(1-IFERROR(IF(AW$77+$F94&lt;=12,SUMIFS('Attrition Modeling'!$D:$D,'Attrition Modeling'!$C:$C,$D94,'Attrition Modeling'!$B:$B,AW$76),VLOOKUP($F94+AW$77,$A$7:$C$107,2,FALSE)*VLOOKUP(AW$76,'Attrition Modeling'!$L$15:$N$27,IF(AW$77+$F94&lt;=24,2,3),FALSE)),$C$3)*(1+IF('IP Attrition'!AW151&gt;0,'Attrition Modeling'!$N$9,0)))</f>
        <v>0</v>
      </c>
      <c r="AX94" s="799">
        <f>AW94*(1-IFERROR(IF(AX$77+$F94&lt;=12,SUMIFS('Attrition Modeling'!$D:$D,'Attrition Modeling'!$C:$C,$D94,'Attrition Modeling'!$B:$B,AX$76),VLOOKUP($F94+AX$77,$A$7:$C$107,2,FALSE)*VLOOKUP(AX$76,'Attrition Modeling'!$L$15:$N$27,IF(AX$77+$F94&lt;=24,2,3),FALSE)),$C$3)*(1+IF('IP Attrition'!AX151&gt;0,'Attrition Modeling'!$N$9,0)))</f>
        <v>0</v>
      </c>
      <c r="AY94" s="799">
        <f>AX94*(1-IFERROR(IF(AY$77+$F94&lt;=12,SUMIFS('Attrition Modeling'!$D:$D,'Attrition Modeling'!$C:$C,$D94,'Attrition Modeling'!$B:$B,AY$76),VLOOKUP($F94+AY$77,$A$7:$C$107,2,FALSE)*VLOOKUP(AY$76,'Attrition Modeling'!$L$15:$N$27,IF(AY$77+$F94&lt;=24,2,3),FALSE)),$C$3)*(1+IF('IP Attrition'!AY151&gt;0,'Attrition Modeling'!$N$9,0)))</f>
        <v>0</v>
      </c>
      <c r="AZ94" s="799">
        <f>AY94*(1-IFERROR(IF(AZ$77+$F94&lt;=12,SUMIFS('Attrition Modeling'!$D:$D,'Attrition Modeling'!$C:$C,$D94,'Attrition Modeling'!$B:$B,AZ$76),VLOOKUP($F94+AZ$77,$A$7:$C$107,2,FALSE)*VLOOKUP(AZ$76,'Attrition Modeling'!$L$15:$N$27,IF(AZ$77+$F94&lt;=24,2,3),FALSE)),$C$3)*(1+IF('IP Attrition'!AZ151&gt;0,'Attrition Modeling'!$N$9,0)))</f>
        <v>0</v>
      </c>
      <c r="BA94" s="799">
        <f>AZ94*(1-IFERROR(IF(BA$77+$F94&lt;=12,SUMIFS('Attrition Modeling'!$D:$D,'Attrition Modeling'!$C:$C,$D94,'Attrition Modeling'!$B:$B,BA$76),VLOOKUP($F94+BA$77,$A$7:$C$107,2,FALSE)*VLOOKUP(BA$76,'Attrition Modeling'!$L$15:$N$27,IF(BA$77+$F94&lt;=24,2,3),FALSE)),$C$3)*(1+IF('IP Attrition'!BA151&gt;0,'Attrition Modeling'!$N$9,0)))</f>
        <v>0</v>
      </c>
      <c r="BB94" s="799">
        <f>BA94*(1-IFERROR(IF(BB$77+$F94&lt;=12,SUMIFS('Attrition Modeling'!$D:$D,'Attrition Modeling'!$C:$C,$D94,'Attrition Modeling'!$B:$B,BB$76),VLOOKUP($F94+BB$77,$A$7:$C$107,2,FALSE)*VLOOKUP(BB$76,'Attrition Modeling'!$L$15:$N$27,IF(BB$77+$F94&lt;=24,2,3),FALSE)),$C$3)*(1+IF('IP Attrition'!BB151&gt;0,'Attrition Modeling'!$N$9,0)))</f>
        <v>0</v>
      </c>
      <c r="BC94" s="799">
        <f>BB94*(1-IFERROR(IF(BC$77+$F94&lt;=12,SUMIFS('Attrition Modeling'!$D:$D,'Attrition Modeling'!$C:$C,$D94,'Attrition Modeling'!$B:$B,BC$76),VLOOKUP($F94+BC$77,$A$7:$C$107,2,FALSE)*VLOOKUP(BC$76,'Attrition Modeling'!$L$15:$N$27,IF(BC$77+$F94&lt;=24,2,3),FALSE)),$C$3)*(1+IF('IP Attrition'!BC151&gt;0,'Attrition Modeling'!$N$9,0)))</f>
        <v>0</v>
      </c>
      <c r="BD94" s="799">
        <f>BC94*(1-IFERROR(IF(BD$77+$F94&lt;=12,SUMIFS('Attrition Modeling'!$D:$D,'Attrition Modeling'!$C:$C,$D94,'Attrition Modeling'!$B:$B,BD$76),VLOOKUP($F94+BD$77,$A$7:$C$107,2,FALSE)*VLOOKUP(BD$76,'Attrition Modeling'!$L$15:$N$27,IF(BD$77+$F94&lt;=24,2,3),FALSE)),$C$3)*(1+IF('IP Attrition'!BD151&gt;0,'Attrition Modeling'!$N$9,0)))</f>
        <v>0</v>
      </c>
      <c r="BE94" s="799">
        <f>BD94*(1-IFERROR(IF(BE$77+$F94&lt;=12,SUMIFS('Attrition Modeling'!$D:$D,'Attrition Modeling'!$C:$C,$D94,'Attrition Modeling'!$B:$B,BE$76),VLOOKUP($F94+BE$77,$A$7:$C$107,2,FALSE)*VLOOKUP(BE$76,'Attrition Modeling'!$L$15:$N$27,IF(BE$77+$F94&lt;=24,2,3),FALSE)),$C$3)*(1+IF('IP Attrition'!BE151&gt;0,'Attrition Modeling'!$N$9,0)))</f>
        <v>0</v>
      </c>
      <c r="BF94" s="799">
        <f>BE94*(1-IFERROR(IF(BF$77+$F94&lt;=12,SUMIFS('Attrition Modeling'!$D:$D,'Attrition Modeling'!$C:$C,$D94,'Attrition Modeling'!$B:$B,BF$76),VLOOKUP($F94+BF$77,$A$7:$C$107,2,FALSE)*VLOOKUP(BF$76,'Attrition Modeling'!$L$15:$N$27,IF(BF$77+$F94&lt;=24,2,3),FALSE)),$C$3)*(1+IF('IP Attrition'!BF151&gt;0,'Attrition Modeling'!$N$9,0)))</f>
        <v>0</v>
      </c>
      <c r="BG94" s="799">
        <f>BF94*(1-IFERROR(IF(BG$77+$F94&lt;=12,SUMIFS('Attrition Modeling'!$D:$D,'Attrition Modeling'!$C:$C,$D94,'Attrition Modeling'!$B:$B,BG$76),VLOOKUP($F94+BG$77,$A$7:$C$107,2,FALSE)*VLOOKUP(BG$76,'Attrition Modeling'!$L$15:$N$27,IF(BG$77+$F94&lt;=24,2,3),FALSE)),$C$3)*(1+IF('IP Attrition'!BG151&gt;0,'Attrition Modeling'!$N$9,0)))</f>
        <v>0</v>
      </c>
      <c r="BH94" s="799">
        <f>BG94*(1-IFERROR(IF(BH$77+$F94&lt;=12,SUMIFS('Attrition Modeling'!$D:$D,'Attrition Modeling'!$C:$C,$D94,'Attrition Modeling'!$B:$B,BH$76),VLOOKUP($F94+BH$77,$A$7:$C$107,2,FALSE)*VLOOKUP(BH$76,'Attrition Modeling'!$L$15:$N$27,IF(BH$77+$F94&lt;=24,2,3),FALSE)),$C$3)*(1+IF('IP Attrition'!BH151&gt;0,'Attrition Modeling'!$N$9,0)))</f>
        <v>0</v>
      </c>
      <c r="BI94" s="799">
        <f>BH94*(1-IFERROR(IF(BI$77+$F94&lt;=12,SUMIFS('Attrition Modeling'!$D:$D,'Attrition Modeling'!$C:$C,$D94,'Attrition Modeling'!$B:$B,BI$76),VLOOKUP($F94+BI$77,$A$7:$C$107,2,FALSE)*VLOOKUP(BI$76,'Attrition Modeling'!$L$15:$N$27,IF(BI$77+$F94&lt;=24,2,3),FALSE)),$C$3)*(1+IF('IP Attrition'!BI151&gt;0,'Attrition Modeling'!$N$9,0)))</f>
        <v>0</v>
      </c>
      <c r="BJ94" s="799">
        <f>BI94*(1-IFERROR(IF(BJ$77+$F94&lt;=12,SUMIFS('Attrition Modeling'!$D:$D,'Attrition Modeling'!$C:$C,$D94,'Attrition Modeling'!$B:$B,BJ$76),VLOOKUP($F94+BJ$77,$A$7:$C$107,2,FALSE)*VLOOKUP(BJ$76,'Attrition Modeling'!$L$15:$N$27,IF(BJ$77+$F94&lt;=24,2,3),FALSE)),$C$3)*(1+IF('IP Attrition'!BJ151&gt;0,'Attrition Modeling'!$N$9,0)))</f>
        <v>0</v>
      </c>
      <c r="BK94" s="799">
        <f>BJ94*(1-IFERROR(IF(BK$77+$F94&lt;=12,SUMIFS('Attrition Modeling'!$D:$D,'Attrition Modeling'!$C:$C,$D94,'Attrition Modeling'!$B:$B,BK$76),VLOOKUP($F94+BK$77,$A$7:$C$107,2,FALSE)*VLOOKUP(BK$76,'Attrition Modeling'!$L$15:$N$27,IF(BK$77+$F94&lt;=24,2,3),FALSE)),$C$3)*(1+IF('IP Attrition'!BK151&gt;0,'Attrition Modeling'!$N$9,0)))</f>
        <v>0</v>
      </c>
      <c r="BL94" s="799">
        <f>BK94*(1-IFERROR(IF(BL$77+$F94&lt;=12,SUMIFS('Attrition Modeling'!$D:$D,'Attrition Modeling'!$C:$C,$D94,'Attrition Modeling'!$B:$B,BL$76),VLOOKUP($F94+BL$77,$A$7:$C$107,2,FALSE)*VLOOKUP(BL$76,'Attrition Modeling'!$L$15:$N$27,IF(BL$77+$F94&lt;=24,2,3),FALSE)),$C$3)*(1+IF('IP Attrition'!BL151&gt;0,'Attrition Modeling'!$N$9,0)))</f>
        <v>0</v>
      </c>
      <c r="BM94" s="799">
        <f>BL94*(1-IFERROR(IF(BM$77+$F94&lt;=12,SUMIFS('Attrition Modeling'!$D:$D,'Attrition Modeling'!$C:$C,$D94,'Attrition Modeling'!$B:$B,BM$76),VLOOKUP($F94+BM$77,$A$7:$C$107,2,FALSE)*VLOOKUP(BM$76,'Attrition Modeling'!$L$15:$N$27,IF(BM$77+$F94&lt;=24,2,3),FALSE)),$C$3)*(1+IF('IP Attrition'!BM151&gt;0,'Attrition Modeling'!$N$9,0)))</f>
        <v>0</v>
      </c>
      <c r="BN94" s="799">
        <f>BM94*(1-IFERROR(IF(BN$77+$F94&lt;=12,SUMIFS('Attrition Modeling'!$D:$D,'Attrition Modeling'!$C:$C,$D94,'Attrition Modeling'!$B:$B,BN$76),VLOOKUP($F94+BN$77,$A$7:$C$107,2,FALSE)*VLOOKUP(BN$76,'Attrition Modeling'!$L$15:$N$27,IF(BN$77+$F94&lt;=24,2,3),FALSE)),$C$3)*(1+IF('IP Attrition'!BN151&gt;0,'Attrition Modeling'!$N$9,0)))</f>
        <v>0</v>
      </c>
      <c r="BO94" s="799">
        <f>BN94*(1-IFERROR(IF(BO$77+$F94&lt;=12,SUMIFS('Attrition Modeling'!$D:$D,'Attrition Modeling'!$C:$C,$D94,'Attrition Modeling'!$B:$B,BO$76),VLOOKUP($F94+BO$77,$A$7:$C$107,2,FALSE)*VLOOKUP(BO$76,'Attrition Modeling'!$L$15:$N$27,IF(BO$77+$F94&lt;=24,2,3),FALSE)),$C$3)*(1+IF('IP Attrition'!BO151&gt;0,'Attrition Modeling'!$N$9,0)))</f>
        <v>0</v>
      </c>
      <c r="BP94" s="799">
        <f>BO94*(1-IFERROR(IF(BP$77+$F94&lt;=12,SUMIFS('Attrition Modeling'!$D:$D,'Attrition Modeling'!$C:$C,$D94,'Attrition Modeling'!$B:$B,BP$76),VLOOKUP($F94+BP$77,$A$7:$C$107,2,FALSE)*VLOOKUP(BP$76,'Attrition Modeling'!$L$15:$N$27,IF(BP$77+$F94&lt;=24,2,3),FALSE)),$C$3)*(1+IF('IP Attrition'!BP151&gt;0,'Attrition Modeling'!$N$9,0)))</f>
        <v>0</v>
      </c>
      <c r="BQ94" s="799">
        <f>BP94*(1-IFERROR(IF(BQ$77+$F94&lt;=12,SUMIFS('Attrition Modeling'!$D:$D,'Attrition Modeling'!$C:$C,$D94,'Attrition Modeling'!$B:$B,BQ$76),VLOOKUP($F94+BQ$77,$A$7:$C$107,2,FALSE)*VLOOKUP(BQ$76,'Attrition Modeling'!$L$15:$N$27,IF(BQ$77+$F94&lt;=24,2,3),FALSE)),$C$3)*(1+IF('IP Attrition'!BQ151&gt;0,'Attrition Modeling'!$N$9,0)))</f>
        <v>0</v>
      </c>
      <c r="BR94" s="799">
        <f>BQ94*(1-IFERROR(IF(BR$77+$F94&lt;=12,SUMIFS('Attrition Modeling'!$D:$D,'Attrition Modeling'!$C:$C,$D94,'Attrition Modeling'!$B:$B,BR$76),VLOOKUP($F94+BR$77,$A$7:$C$107,2,FALSE)*VLOOKUP(BR$76,'Attrition Modeling'!$L$15:$N$27,IF(BR$77+$F94&lt;=24,2,3),FALSE)),$C$3)*(1+IF('IP Attrition'!BR151&gt;0,'Attrition Modeling'!$N$9,0)))</f>
        <v>0</v>
      </c>
      <c r="BS94" s="799">
        <f>BR94*(1-IFERROR(IF(BS$77+$F94&lt;=12,SUMIFS('Attrition Modeling'!$D:$D,'Attrition Modeling'!$C:$C,$D94,'Attrition Modeling'!$B:$B,BS$76),VLOOKUP($F94+BS$77,$A$7:$C$107,2,FALSE)*VLOOKUP(BS$76,'Attrition Modeling'!$L$15:$N$27,IF(BS$77+$F94&lt;=24,2,3),FALSE)),$C$3)*(1+IF('IP Attrition'!BS151&gt;0,'Attrition Modeling'!$N$9,0)))</f>
        <v>0</v>
      </c>
      <c r="BT94" s="799" t="e">
        <f>BS94*(1-IFERROR(IF(BT$77+$F94&lt;=12,SUMIFS('Attrition Modeling'!$D:$D,'Attrition Modeling'!$C:$C,$D94,'Attrition Modeling'!$B:$B,BT$76),VLOOKUP($F94+BT$77,$A$7:$C$107,2,FALSE)*VLOOKUP(BT$76,'Attrition Modeling'!$L$15:$N$27,IF(BT$77+$F94&lt;=24,2,3),FALSE)),$C$3)*(1+IF('IP Attrition'!BT151&gt;0,'Attrition Modeling'!$N$9,0)))</f>
        <v>#REF!</v>
      </c>
      <c r="BU94" s="799" t="e">
        <f>BT94*(1-IFERROR(IF(BU$77+$F94&lt;=12,SUMIFS('Attrition Modeling'!$D:$D,'Attrition Modeling'!$C:$C,$D94,'Attrition Modeling'!$B:$B,BU$76),VLOOKUP($F94+BU$77,$A$7:$C$107,2,FALSE)*VLOOKUP(BU$76,'Attrition Modeling'!$L$15:$N$27,IF(BU$77+$F94&lt;=24,2,3),FALSE)),$C$3)*(1+IF('IP Attrition'!BU151&gt;0,'Attrition Modeling'!$N$9,0)))</f>
        <v>#REF!</v>
      </c>
    </row>
    <row r="95" spans="1:73" ht="14.25" customHeight="1" x14ac:dyDescent="0.2">
      <c r="A95" s="9">
        <v>87</v>
      </c>
      <c r="B95" s="25">
        <f>MAX('Attrition Modeling'!H91,$C$3)*(1-Summary!$C$20)</f>
        <v>0.02</v>
      </c>
      <c r="C95" s="24" t="e">
        <f t="shared" si="2"/>
        <v>#DIV/0!</v>
      </c>
      <c r="D95" s="11">
        <f>'IP Attrition'!D87</f>
        <v>-17</v>
      </c>
      <c r="E95" s="25">
        <f>'IP Attrition'!E87</f>
        <v>0</v>
      </c>
      <c r="F95" s="11">
        <f t="shared" si="8"/>
        <v>17</v>
      </c>
      <c r="G95" s="799">
        <f>Summary!$C$24*$E95</f>
        <v>0</v>
      </c>
      <c r="H95" s="799">
        <f>G95*(1-IFERROR(IF(H$77+$F95&lt;=12,SUMIFS('Attrition Modeling'!$D:$D,'Attrition Modeling'!$C:$C,$D95,'Attrition Modeling'!$B:$B,H$76),VLOOKUP($F95+H$77,$A$7:$C$107,2,FALSE)*VLOOKUP(H$76,'Attrition Modeling'!$L$15:$N$27,IF(H$77+$F95&lt;=24,2,3),FALSE)),$C$3)*(1+IF('IP Attrition'!H152&gt;0,'Attrition Modeling'!$N$9,0)))</f>
        <v>0</v>
      </c>
      <c r="I95" s="799">
        <f>H95*(1-IFERROR(IF(I$77+$F95&lt;=12,SUMIFS('Attrition Modeling'!$D:$D,'Attrition Modeling'!$C:$C,$D95,'Attrition Modeling'!$B:$B,I$76),VLOOKUP($F95+I$77,$A$7:$C$107,2,FALSE)*VLOOKUP(I$76,'Attrition Modeling'!$L$15:$N$27,IF(I$77+$F95&lt;=24,2,3),FALSE)),$C$3)*(1+IF('IP Attrition'!I152&gt;0,'Attrition Modeling'!$N$9,0)))</f>
        <v>0</v>
      </c>
      <c r="J95" s="799">
        <f>I95*(1-IFERROR(IF(J$77+$F95&lt;=12,SUMIFS('Attrition Modeling'!$D:$D,'Attrition Modeling'!$C:$C,$D95,'Attrition Modeling'!$B:$B,J$76),VLOOKUP($F95+J$77,$A$7:$C$107,2,FALSE)*VLOOKUP(J$76,'Attrition Modeling'!$L$15:$N$27,IF(J$77+$F95&lt;=24,2,3),FALSE)),$C$3)*(1+IF('IP Attrition'!J152&gt;0,'Attrition Modeling'!$N$9,0)))</f>
        <v>0</v>
      </c>
      <c r="K95" s="799">
        <f>J95*(1-IFERROR(IF(K$77+$F95&lt;=12,SUMIFS('Attrition Modeling'!$D:$D,'Attrition Modeling'!$C:$C,$D95,'Attrition Modeling'!$B:$B,K$76),VLOOKUP($F95+K$77,$A$7:$C$107,2,FALSE)*VLOOKUP(K$76,'Attrition Modeling'!$L$15:$N$27,IF(K$77+$F95&lt;=24,2,3),FALSE)),$C$3)*(1+IF('IP Attrition'!K152&gt;0,'Attrition Modeling'!$N$9,0)))</f>
        <v>0</v>
      </c>
      <c r="L95" s="799">
        <f>K95*(1-IFERROR(IF(L$77+$F95&lt;=12,SUMIFS('Attrition Modeling'!$D:$D,'Attrition Modeling'!$C:$C,$D95,'Attrition Modeling'!$B:$B,L$76),VLOOKUP($F95+L$77,$A$7:$C$107,2,FALSE)*VLOOKUP(L$76,'Attrition Modeling'!$L$15:$N$27,IF(L$77+$F95&lt;=24,2,3),FALSE)),$C$3)*(1+IF('IP Attrition'!L152&gt;0,'Attrition Modeling'!$N$9,0)))</f>
        <v>0</v>
      </c>
      <c r="M95" s="799">
        <f>L95*(1-IFERROR(IF(M$77+$F95&lt;=12,SUMIFS('Attrition Modeling'!$D:$D,'Attrition Modeling'!$C:$C,$D95,'Attrition Modeling'!$B:$B,M$76),VLOOKUP($F95+M$77,$A$7:$C$107,2,FALSE)*VLOOKUP(M$76,'Attrition Modeling'!$L$15:$N$27,IF(M$77+$F95&lt;=24,2,3),FALSE)),$C$3)*(1+IF('IP Attrition'!M152&gt;0,'Attrition Modeling'!$N$9,0)))</f>
        <v>0</v>
      </c>
      <c r="N95" s="799">
        <f>M95*(1-IFERROR(IF(N$77+$F95&lt;=12,SUMIFS('Attrition Modeling'!$D:$D,'Attrition Modeling'!$C:$C,$D95,'Attrition Modeling'!$B:$B,N$76),VLOOKUP($F95+N$77,$A$7:$C$107,2,FALSE)*VLOOKUP(N$76,'Attrition Modeling'!$L$15:$N$27,IF(N$77+$F95&lt;=24,2,3),FALSE)),$C$3)*(1+IF('IP Attrition'!N152&gt;0,'Attrition Modeling'!$N$9,0)))</f>
        <v>0</v>
      </c>
      <c r="O95" s="799">
        <f>N95*(1-IFERROR(IF(O$77+$F95&lt;=12,SUMIFS('Attrition Modeling'!$D:$D,'Attrition Modeling'!$C:$C,$D95,'Attrition Modeling'!$B:$B,O$76),VLOOKUP($F95+O$77,$A$7:$C$107,2,FALSE)*VLOOKUP(O$76,'Attrition Modeling'!$L$15:$N$27,IF(O$77+$F95&lt;=24,2,3),FALSE)),$C$3)*(1+IF('IP Attrition'!O152&gt;0,'Attrition Modeling'!$N$9,0)))</f>
        <v>0</v>
      </c>
      <c r="P95" s="799">
        <f>O95*(1-IFERROR(IF(P$77+$F95&lt;=12,SUMIFS('Attrition Modeling'!$D:$D,'Attrition Modeling'!$C:$C,$D95,'Attrition Modeling'!$B:$B,P$76),VLOOKUP($F95+P$77,$A$7:$C$107,2,FALSE)*VLOOKUP(P$76,'Attrition Modeling'!$L$15:$N$27,IF(P$77+$F95&lt;=24,2,3),FALSE)),$C$3)*(1+IF('IP Attrition'!P152&gt;0,'Attrition Modeling'!$N$9,0)))</f>
        <v>0</v>
      </c>
      <c r="Q95" s="799">
        <f>P95*(1-IFERROR(IF(Q$77+$F95&lt;=12,SUMIFS('Attrition Modeling'!$D:$D,'Attrition Modeling'!$C:$C,$D95,'Attrition Modeling'!$B:$B,Q$76),VLOOKUP($F95+Q$77,$A$7:$C$107,2,FALSE)*VLOOKUP(Q$76,'Attrition Modeling'!$L$15:$N$27,IF(Q$77+$F95&lt;=24,2,3),FALSE)),$C$3)*(1+IF('IP Attrition'!Q152&gt;0,'Attrition Modeling'!$N$9,0)))</f>
        <v>0</v>
      </c>
      <c r="R95" s="799">
        <f>Q95*(1-IFERROR(IF(R$77+$F95&lt;=12,SUMIFS('Attrition Modeling'!$D:$D,'Attrition Modeling'!$C:$C,$D95,'Attrition Modeling'!$B:$B,R$76),VLOOKUP($F95+R$77,$A$7:$C$107,2,FALSE)*VLOOKUP(R$76,'Attrition Modeling'!$L$15:$N$27,IF(R$77+$F95&lt;=24,2,3),FALSE)),$C$3)*(1+IF('IP Attrition'!R152&gt;0,'Attrition Modeling'!$N$9,0)))</f>
        <v>0</v>
      </c>
      <c r="S95" s="799">
        <f>R95*(1-IFERROR(IF(S$77+$F95&lt;=12,SUMIFS('Attrition Modeling'!$D:$D,'Attrition Modeling'!$C:$C,$D95,'Attrition Modeling'!$B:$B,S$76),VLOOKUP($F95+S$77,$A$7:$C$107,2,FALSE)*VLOOKUP(S$76,'Attrition Modeling'!$L$15:$N$27,IF(S$77+$F95&lt;=24,2,3),FALSE)),$C$3)*(1+IF('IP Attrition'!S152&gt;0,'Attrition Modeling'!$N$9,0)))</f>
        <v>0</v>
      </c>
      <c r="T95" s="799">
        <f>S95*(1-IFERROR(IF(T$77+$F95&lt;=12,SUMIFS('Attrition Modeling'!$D:$D,'Attrition Modeling'!$C:$C,$D95,'Attrition Modeling'!$B:$B,T$76),VLOOKUP($F95+T$77,$A$7:$C$107,2,FALSE)*VLOOKUP(T$76,'Attrition Modeling'!$L$15:$N$27,IF(T$77+$F95&lt;=24,2,3),FALSE)),$C$3)*(1+IF('IP Attrition'!T152&gt;0,'Attrition Modeling'!$N$9,0)))</f>
        <v>0</v>
      </c>
      <c r="U95" s="799">
        <f>T95*(1-IFERROR(IF(U$77+$F95&lt;=12,SUMIFS('Attrition Modeling'!$D:$D,'Attrition Modeling'!$C:$C,$D95,'Attrition Modeling'!$B:$B,U$76),VLOOKUP($F95+U$77,$A$7:$C$107,2,FALSE)*VLOOKUP(U$76,'Attrition Modeling'!$L$15:$N$27,IF(U$77+$F95&lt;=24,2,3),FALSE)),$C$3)*(1+IF('IP Attrition'!U152&gt;0,'Attrition Modeling'!$N$9,0)))</f>
        <v>0</v>
      </c>
      <c r="V95" s="799">
        <f>U95*(1-IFERROR(IF(V$77+$F95&lt;=12,SUMIFS('Attrition Modeling'!$D:$D,'Attrition Modeling'!$C:$C,$D95,'Attrition Modeling'!$B:$B,V$76),VLOOKUP($F95+V$77,$A$7:$C$107,2,FALSE)*VLOOKUP(V$76,'Attrition Modeling'!$L$15:$N$27,IF(V$77+$F95&lt;=24,2,3),FALSE)),$C$3)*(1+IF('IP Attrition'!V152&gt;0,'Attrition Modeling'!$N$9,0)))</f>
        <v>0</v>
      </c>
      <c r="W95" s="799">
        <f>V95*(1-IFERROR(IF(W$77+$F95&lt;=12,SUMIFS('Attrition Modeling'!$D:$D,'Attrition Modeling'!$C:$C,$D95,'Attrition Modeling'!$B:$B,W$76),VLOOKUP($F95+W$77,$A$7:$C$107,2,FALSE)*VLOOKUP(W$76,'Attrition Modeling'!$L$15:$N$27,IF(W$77+$F95&lt;=24,2,3),FALSE)),$C$3)*(1+IF('IP Attrition'!W152&gt;0,'Attrition Modeling'!$N$9,0)))</f>
        <v>0</v>
      </c>
      <c r="X95" s="799">
        <f>W95*(1-IFERROR(IF(X$77+$F95&lt;=12,SUMIFS('Attrition Modeling'!$D:$D,'Attrition Modeling'!$C:$C,$D95,'Attrition Modeling'!$B:$B,X$76),VLOOKUP($F95+X$77,$A$7:$C$107,2,FALSE)*VLOOKUP(X$76,'Attrition Modeling'!$L$15:$N$27,IF(X$77+$F95&lt;=24,2,3),FALSE)),$C$3)*(1+IF('IP Attrition'!X152&gt;0,'Attrition Modeling'!$N$9,0)))</f>
        <v>0</v>
      </c>
      <c r="Y95" s="799">
        <f>X95*(1-IFERROR(IF(Y$77+$F95&lt;=12,SUMIFS('Attrition Modeling'!$D:$D,'Attrition Modeling'!$C:$C,$D95,'Attrition Modeling'!$B:$B,Y$76),VLOOKUP($F95+Y$77,$A$7:$C$107,2,FALSE)*VLOOKUP(Y$76,'Attrition Modeling'!$L$15:$N$27,IF(Y$77+$F95&lt;=24,2,3),FALSE)),$C$3)*(1+IF('IP Attrition'!Y152&gt;0,'Attrition Modeling'!$N$9,0)))</f>
        <v>0</v>
      </c>
      <c r="Z95" s="799">
        <f>Y95*(1-IFERROR(IF(Z$77+$F95&lt;=12,SUMIFS('Attrition Modeling'!$D:$D,'Attrition Modeling'!$C:$C,$D95,'Attrition Modeling'!$B:$B,Z$76),VLOOKUP($F95+Z$77,$A$7:$C$107,2,FALSE)*VLOOKUP(Z$76,'Attrition Modeling'!$L$15:$N$27,IF(Z$77+$F95&lt;=24,2,3),FALSE)),$C$3)*(1+IF('IP Attrition'!Z152&gt;0,'Attrition Modeling'!$N$9,0)))</f>
        <v>0</v>
      </c>
      <c r="AA95" s="799">
        <f>Z95*(1-IFERROR(IF(AA$77+$F95&lt;=12,SUMIFS('Attrition Modeling'!$D:$D,'Attrition Modeling'!$C:$C,$D95,'Attrition Modeling'!$B:$B,AA$76),VLOOKUP($F95+AA$77,$A$7:$C$107,2,FALSE)*VLOOKUP(AA$76,'Attrition Modeling'!$L$15:$N$27,IF(AA$77+$F95&lt;=24,2,3),FALSE)),$C$3)*(1+IF('IP Attrition'!AA152&gt;0,'Attrition Modeling'!$N$9,0)))</f>
        <v>0</v>
      </c>
      <c r="AB95" s="799">
        <f>AA95*(1-IFERROR(IF(AB$77+$F95&lt;=12,SUMIFS('Attrition Modeling'!$D:$D,'Attrition Modeling'!$C:$C,$D95,'Attrition Modeling'!$B:$B,AB$76),VLOOKUP($F95+AB$77,$A$7:$C$107,2,FALSE)*VLOOKUP(AB$76,'Attrition Modeling'!$L$15:$N$27,IF(AB$77+$F95&lt;=24,2,3),FALSE)),$C$3)*(1+IF('IP Attrition'!AB152&gt;0,'Attrition Modeling'!$N$9,0)))</f>
        <v>0</v>
      </c>
      <c r="AC95" s="799">
        <f>AB95*(1-IFERROR(IF(AC$77+$F95&lt;=12,SUMIFS('Attrition Modeling'!$D:$D,'Attrition Modeling'!$C:$C,$D95,'Attrition Modeling'!$B:$B,AC$76),VLOOKUP($F95+AC$77,$A$7:$C$107,2,FALSE)*VLOOKUP(AC$76,'Attrition Modeling'!$L$15:$N$27,IF(AC$77+$F95&lt;=24,2,3),FALSE)),$C$3)*(1+IF('IP Attrition'!AC152&gt;0,'Attrition Modeling'!$N$9,0)))</f>
        <v>0</v>
      </c>
      <c r="AD95" s="799">
        <f>AC95*(1-IFERROR(IF(AD$77+$F95&lt;=12,SUMIFS('Attrition Modeling'!$D:$D,'Attrition Modeling'!$C:$C,$D95,'Attrition Modeling'!$B:$B,AD$76),VLOOKUP($F95+AD$77,$A$7:$C$107,2,FALSE)*VLOOKUP(AD$76,'Attrition Modeling'!$L$15:$N$27,IF(AD$77+$F95&lt;=24,2,3),FALSE)),$C$3)*(1+IF('IP Attrition'!AD152&gt;0,'Attrition Modeling'!$N$9,0)))</f>
        <v>0</v>
      </c>
      <c r="AE95" s="799">
        <f>AD95*(1-IFERROR(IF(AE$77+$F95&lt;=12,SUMIFS('Attrition Modeling'!$D:$D,'Attrition Modeling'!$C:$C,$D95,'Attrition Modeling'!$B:$B,AE$76),VLOOKUP($F95+AE$77,$A$7:$C$107,2,FALSE)*VLOOKUP(AE$76,'Attrition Modeling'!$L$15:$N$27,IF(AE$77+$F95&lt;=24,2,3),FALSE)),$C$3)*(1+IF('IP Attrition'!AE152&gt;0,'Attrition Modeling'!$N$9,0)))</f>
        <v>0</v>
      </c>
      <c r="AF95" s="799">
        <f>AE95*(1-IFERROR(IF(AF$77+$F95&lt;=12,SUMIFS('Attrition Modeling'!$D:$D,'Attrition Modeling'!$C:$C,$D95,'Attrition Modeling'!$B:$B,AF$76),VLOOKUP($F95+AF$77,$A$7:$C$107,2,FALSE)*VLOOKUP(AF$76,'Attrition Modeling'!$L$15:$N$27,IF(AF$77+$F95&lt;=24,2,3),FALSE)),$C$3)*(1+IF('IP Attrition'!AF152&gt;0,'Attrition Modeling'!$N$9,0)))</f>
        <v>0</v>
      </c>
      <c r="AG95" s="799">
        <f>AF95*(1-IFERROR(IF(AG$77+$F95&lt;=12,SUMIFS('Attrition Modeling'!$D:$D,'Attrition Modeling'!$C:$C,$D95,'Attrition Modeling'!$B:$B,AG$76),VLOOKUP($F95+AG$77,$A$7:$C$107,2,FALSE)*VLOOKUP(AG$76,'Attrition Modeling'!$L$15:$N$27,IF(AG$77+$F95&lt;=24,2,3),FALSE)),$C$3)*(1+IF('IP Attrition'!AG152&gt;0,'Attrition Modeling'!$N$9,0)))</f>
        <v>0</v>
      </c>
      <c r="AH95" s="799">
        <f>AG95*(1-IFERROR(IF(AH$77+$F95&lt;=12,SUMIFS('Attrition Modeling'!$D:$D,'Attrition Modeling'!$C:$C,$D95,'Attrition Modeling'!$B:$B,AH$76),VLOOKUP($F95+AH$77,$A$7:$C$107,2,FALSE)*VLOOKUP(AH$76,'Attrition Modeling'!$L$15:$N$27,IF(AH$77+$F95&lt;=24,2,3),FALSE)),$C$3)*(1+IF('IP Attrition'!AH152&gt;0,'Attrition Modeling'!$N$9,0)))</f>
        <v>0</v>
      </c>
      <c r="AI95" s="799">
        <f>AH95*(1-IFERROR(IF(AI$77+$F95&lt;=12,SUMIFS('Attrition Modeling'!$D:$D,'Attrition Modeling'!$C:$C,$D95,'Attrition Modeling'!$B:$B,AI$76),VLOOKUP($F95+AI$77,$A$7:$C$107,2,FALSE)*VLOOKUP(AI$76,'Attrition Modeling'!$L$15:$N$27,IF(AI$77+$F95&lt;=24,2,3),FALSE)),$C$3)*(1+IF('IP Attrition'!AI152&gt;0,'Attrition Modeling'!$N$9,0)))</f>
        <v>0</v>
      </c>
      <c r="AJ95" s="799">
        <f>AI95*(1-IFERROR(IF(AJ$77+$F95&lt;=12,SUMIFS('Attrition Modeling'!$D:$D,'Attrition Modeling'!$C:$C,$D95,'Attrition Modeling'!$B:$B,AJ$76),VLOOKUP($F95+AJ$77,$A$7:$C$107,2,FALSE)*VLOOKUP(AJ$76,'Attrition Modeling'!$L$15:$N$27,IF(AJ$77+$F95&lt;=24,2,3),FALSE)),$C$3)*(1+IF('IP Attrition'!AJ152&gt;0,'Attrition Modeling'!$N$9,0)))</f>
        <v>0</v>
      </c>
      <c r="AK95" s="799">
        <f>AJ95*(1-IFERROR(IF(AK$77+$F95&lt;=12,SUMIFS('Attrition Modeling'!$D:$D,'Attrition Modeling'!$C:$C,$D95,'Attrition Modeling'!$B:$B,AK$76),VLOOKUP($F95+AK$77,$A$7:$C$107,2,FALSE)*VLOOKUP(AK$76,'Attrition Modeling'!$L$15:$N$27,IF(AK$77+$F95&lt;=24,2,3),FALSE)),$C$3)*(1+IF('IP Attrition'!AK152&gt;0,'Attrition Modeling'!$N$9,0)))</f>
        <v>0</v>
      </c>
      <c r="AL95" s="799">
        <f>AK95*(1-IFERROR(IF(AL$77+$F95&lt;=12,SUMIFS('Attrition Modeling'!$D:$D,'Attrition Modeling'!$C:$C,$D95,'Attrition Modeling'!$B:$B,AL$76),VLOOKUP($F95+AL$77,$A$7:$C$107,2,FALSE)*VLOOKUP(AL$76,'Attrition Modeling'!$L$15:$N$27,IF(AL$77+$F95&lt;=24,2,3),FALSE)),$C$3)*(1+IF('IP Attrition'!AL152&gt;0,'Attrition Modeling'!$N$9,0)))</f>
        <v>0</v>
      </c>
      <c r="AM95" s="799">
        <f>AL95*(1-IFERROR(IF(AM$77+$F95&lt;=12,SUMIFS('Attrition Modeling'!$D:$D,'Attrition Modeling'!$C:$C,$D95,'Attrition Modeling'!$B:$B,AM$76),VLOOKUP($F95+AM$77,$A$7:$C$107,2,FALSE)*VLOOKUP(AM$76,'Attrition Modeling'!$L$15:$N$27,IF(AM$77+$F95&lt;=24,2,3),FALSE)),$C$3)*(1+IF('IP Attrition'!AM152&gt;0,'Attrition Modeling'!$N$9,0)))</f>
        <v>0</v>
      </c>
      <c r="AN95" s="799">
        <f>AM95*(1-IFERROR(IF(AN$77+$F95&lt;=12,SUMIFS('Attrition Modeling'!$D:$D,'Attrition Modeling'!$C:$C,$D95,'Attrition Modeling'!$B:$B,AN$76),VLOOKUP($F95+AN$77,$A$7:$C$107,2,FALSE)*VLOOKUP(AN$76,'Attrition Modeling'!$L$15:$N$27,IF(AN$77+$F95&lt;=24,2,3),FALSE)),$C$3)*(1+IF('IP Attrition'!AN152&gt;0,'Attrition Modeling'!$N$9,0)))</f>
        <v>0</v>
      </c>
      <c r="AO95" s="799">
        <f>AN95*(1-IFERROR(IF(AO$77+$F95&lt;=12,SUMIFS('Attrition Modeling'!$D:$D,'Attrition Modeling'!$C:$C,$D95,'Attrition Modeling'!$B:$B,AO$76),VLOOKUP($F95+AO$77,$A$7:$C$107,2,FALSE)*VLOOKUP(AO$76,'Attrition Modeling'!$L$15:$N$27,IF(AO$77+$F95&lt;=24,2,3),FALSE)),$C$3)*(1+IF('IP Attrition'!AO152&gt;0,'Attrition Modeling'!$N$9,0)))</f>
        <v>0</v>
      </c>
      <c r="AP95" s="799">
        <f>AO95*(1-IFERROR(IF(AP$77+$F95&lt;=12,SUMIFS('Attrition Modeling'!$D:$D,'Attrition Modeling'!$C:$C,$D95,'Attrition Modeling'!$B:$B,AP$76),VLOOKUP($F95+AP$77,$A$7:$C$107,2,FALSE)*VLOOKUP(AP$76,'Attrition Modeling'!$L$15:$N$27,IF(AP$77+$F95&lt;=24,2,3),FALSE)),$C$3)*(1+IF('IP Attrition'!AP152&gt;0,'Attrition Modeling'!$N$9,0)))</f>
        <v>0</v>
      </c>
      <c r="AQ95" s="799">
        <f>AP95*(1-IFERROR(IF(AQ$77+$F95&lt;=12,SUMIFS('Attrition Modeling'!$D:$D,'Attrition Modeling'!$C:$C,$D95,'Attrition Modeling'!$B:$B,AQ$76),VLOOKUP($F95+AQ$77,$A$7:$C$107,2,FALSE)*VLOOKUP(AQ$76,'Attrition Modeling'!$L$15:$N$27,IF(AQ$77+$F95&lt;=24,2,3),FALSE)),$C$3)*(1+IF('IP Attrition'!AQ152&gt;0,'Attrition Modeling'!$N$9,0)))</f>
        <v>0</v>
      </c>
      <c r="AR95" s="799">
        <f>AQ95*(1-IFERROR(IF(AR$77+$F95&lt;=12,SUMIFS('Attrition Modeling'!$D:$D,'Attrition Modeling'!$C:$C,$D95,'Attrition Modeling'!$B:$B,AR$76),VLOOKUP($F95+AR$77,$A$7:$C$107,2,FALSE)*VLOOKUP(AR$76,'Attrition Modeling'!$L$15:$N$27,IF(AR$77+$F95&lt;=24,2,3),FALSE)),$C$3)*(1+IF('IP Attrition'!AR152&gt;0,'Attrition Modeling'!$N$9,0)))</f>
        <v>0</v>
      </c>
      <c r="AS95" s="799">
        <f>AR95*(1-IFERROR(IF(AS$77+$F95&lt;=12,SUMIFS('Attrition Modeling'!$D:$D,'Attrition Modeling'!$C:$C,$D95,'Attrition Modeling'!$B:$B,AS$76),VLOOKUP($F95+AS$77,$A$7:$C$107,2,FALSE)*VLOOKUP(AS$76,'Attrition Modeling'!$L$15:$N$27,IF(AS$77+$F95&lt;=24,2,3),FALSE)),$C$3)*(1+IF('IP Attrition'!AS152&gt;0,'Attrition Modeling'!$N$9,0)))</f>
        <v>0</v>
      </c>
      <c r="AT95" s="799">
        <f>AS95*(1-IFERROR(IF(AT$77+$F95&lt;=12,SUMIFS('Attrition Modeling'!$D:$D,'Attrition Modeling'!$C:$C,$D95,'Attrition Modeling'!$B:$B,AT$76),VLOOKUP($F95+AT$77,$A$7:$C$107,2,FALSE)*VLOOKUP(AT$76,'Attrition Modeling'!$L$15:$N$27,IF(AT$77+$F95&lt;=24,2,3),FALSE)),$C$3)*(1+IF('IP Attrition'!AT152&gt;0,'Attrition Modeling'!$N$9,0)))</f>
        <v>0</v>
      </c>
      <c r="AU95" s="799">
        <f>AT95*(1-IFERROR(IF(AU$77+$F95&lt;=12,SUMIFS('Attrition Modeling'!$D:$D,'Attrition Modeling'!$C:$C,$D95,'Attrition Modeling'!$B:$B,AU$76),VLOOKUP($F95+AU$77,$A$7:$C$107,2,FALSE)*VLOOKUP(AU$76,'Attrition Modeling'!$L$15:$N$27,IF(AU$77+$F95&lt;=24,2,3),FALSE)),$C$3)*(1+IF('IP Attrition'!AU152&gt;0,'Attrition Modeling'!$N$9,0)))</f>
        <v>0</v>
      </c>
      <c r="AV95" s="799">
        <f>AU95*(1-IFERROR(IF(AV$77+$F95&lt;=12,SUMIFS('Attrition Modeling'!$D:$D,'Attrition Modeling'!$C:$C,$D95,'Attrition Modeling'!$B:$B,AV$76),VLOOKUP($F95+AV$77,$A$7:$C$107,2,FALSE)*VLOOKUP(AV$76,'Attrition Modeling'!$L$15:$N$27,IF(AV$77+$F95&lt;=24,2,3),FALSE)),$C$3)*(1+IF('IP Attrition'!AV152&gt;0,'Attrition Modeling'!$N$9,0)))</f>
        <v>0</v>
      </c>
      <c r="AW95" s="799">
        <f>AV95*(1-IFERROR(IF(AW$77+$F95&lt;=12,SUMIFS('Attrition Modeling'!$D:$D,'Attrition Modeling'!$C:$C,$D95,'Attrition Modeling'!$B:$B,AW$76),VLOOKUP($F95+AW$77,$A$7:$C$107,2,FALSE)*VLOOKUP(AW$76,'Attrition Modeling'!$L$15:$N$27,IF(AW$77+$F95&lt;=24,2,3),FALSE)),$C$3)*(1+IF('IP Attrition'!AW152&gt;0,'Attrition Modeling'!$N$9,0)))</f>
        <v>0</v>
      </c>
      <c r="AX95" s="799">
        <f>AW95*(1-IFERROR(IF(AX$77+$F95&lt;=12,SUMIFS('Attrition Modeling'!$D:$D,'Attrition Modeling'!$C:$C,$D95,'Attrition Modeling'!$B:$B,AX$76),VLOOKUP($F95+AX$77,$A$7:$C$107,2,FALSE)*VLOOKUP(AX$76,'Attrition Modeling'!$L$15:$N$27,IF(AX$77+$F95&lt;=24,2,3),FALSE)),$C$3)*(1+IF('IP Attrition'!AX152&gt;0,'Attrition Modeling'!$N$9,0)))</f>
        <v>0</v>
      </c>
      <c r="AY95" s="799">
        <f>AX95*(1-IFERROR(IF(AY$77+$F95&lt;=12,SUMIFS('Attrition Modeling'!$D:$D,'Attrition Modeling'!$C:$C,$D95,'Attrition Modeling'!$B:$B,AY$76),VLOOKUP($F95+AY$77,$A$7:$C$107,2,FALSE)*VLOOKUP(AY$76,'Attrition Modeling'!$L$15:$N$27,IF(AY$77+$F95&lt;=24,2,3),FALSE)),$C$3)*(1+IF('IP Attrition'!AY152&gt;0,'Attrition Modeling'!$N$9,0)))</f>
        <v>0</v>
      </c>
      <c r="AZ95" s="799">
        <f>AY95*(1-IFERROR(IF(AZ$77+$F95&lt;=12,SUMIFS('Attrition Modeling'!$D:$D,'Attrition Modeling'!$C:$C,$D95,'Attrition Modeling'!$B:$B,AZ$76),VLOOKUP($F95+AZ$77,$A$7:$C$107,2,FALSE)*VLOOKUP(AZ$76,'Attrition Modeling'!$L$15:$N$27,IF(AZ$77+$F95&lt;=24,2,3),FALSE)),$C$3)*(1+IF('IP Attrition'!AZ152&gt;0,'Attrition Modeling'!$N$9,0)))</f>
        <v>0</v>
      </c>
      <c r="BA95" s="799">
        <f>AZ95*(1-IFERROR(IF(BA$77+$F95&lt;=12,SUMIFS('Attrition Modeling'!$D:$D,'Attrition Modeling'!$C:$C,$D95,'Attrition Modeling'!$B:$B,BA$76),VLOOKUP($F95+BA$77,$A$7:$C$107,2,FALSE)*VLOOKUP(BA$76,'Attrition Modeling'!$L$15:$N$27,IF(BA$77+$F95&lt;=24,2,3),FALSE)),$C$3)*(1+IF('IP Attrition'!BA152&gt;0,'Attrition Modeling'!$N$9,0)))</f>
        <v>0</v>
      </c>
      <c r="BB95" s="799">
        <f>BA95*(1-IFERROR(IF(BB$77+$F95&lt;=12,SUMIFS('Attrition Modeling'!$D:$D,'Attrition Modeling'!$C:$C,$D95,'Attrition Modeling'!$B:$B,BB$76),VLOOKUP($F95+BB$77,$A$7:$C$107,2,FALSE)*VLOOKUP(BB$76,'Attrition Modeling'!$L$15:$N$27,IF(BB$77+$F95&lt;=24,2,3),FALSE)),$C$3)*(1+IF('IP Attrition'!BB152&gt;0,'Attrition Modeling'!$N$9,0)))</f>
        <v>0</v>
      </c>
      <c r="BC95" s="799">
        <f>BB95*(1-IFERROR(IF(BC$77+$F95&lt;=12,SUMIFS('Attrition Modeling'!$D:$D,'Attrition Modeling'!$C:$C,$D95,'Attrition Modeling'!$B:$B,BC$76),VLOOKUP($F95+BC$77,$A$7:$C$107,2,FALSE)*VLOOKUP(BC$76,'Attrition Modeling'!$L$15:$N$27,IF(BC$77+$F95&lt;=24,2,3),FALSE)),$C$3)*(1+IF('IP Attrition'!BC152&gt;0,'Attrition Modeling'!$N$9,0)))</f>
        <v>0</v>
      </c>
      <c r="BD95" s="799">
        <f>BC95*(1-IFERROR(IF(BD$77+$F95&lt;=12,SUMIFS('Attrition Modeling'!$D:$D,'Attrition Modeling'!$C:$C,$D95,'Attrition Modeling'!$B:$B,BD$76),VLOOKUP($F95+BD$77,$A$7:$C$107,2,FALSE)*VLOOKUP(BD$76,'Attrition Modeling'!$L$15:$N$27,IF(BD$77+$F95&lt;=24,2,3),FALSE)),$C$3)*(1+IF('IP Attrition'!BD152&gt;0,'Attrition Modeling'!$N$9,0)))</f>
        <v>0</v>
      </c>
      <c r="BE95" s="799">
        <f>BD95*(1-IFERROR(IF(BE$77+$F95&lt;=12,SUMIFS('Attrition Modeling'!$D:$D,'Attrition Modeling'!$C:$C,$D95,'Attrition Modeling'!$B:$B,BE$76),VLOOKUP($F95+BE$77,$A$7:$C$107,2,FALSE)*VLOOKUP(BE$76,'Attrition Modeling'!$L$15:$N$27,IF(BE$77+$F95&lt;=24,2,3),FALSE)),$C$3)*(1+IF('IP Attrition'!BE152&gt;0,'Attrition Modeling'!$N$9,0)))</f>
        <v>0</v>
      </c>
      <c r="BF95" s="799">
        <f>BE95*(1-IFERROR(IF(BF$77+$F95&lt;=12,SUMIFS('Attrition Modeling'!$D:$D,'Attrition Modeling'!$C:$C,$D95,'Attrition Modeling'!$B:$B,BF$76),VLOOKUP($F95+BF$77,$A$7:$C$107,2,FALSE)*VLOOKUP(BF$76,'Attrition Modeling'!$L$15:$N$27,IF(BF$77+$F95&lt;=24,2,3),FALSE)),$C$3)*(1+IF('IP Attrition'!BF152&gt;0,'Attrition Modeling'!$N$9,0)))</f>
        <v>0</v>
      </c>
      <c r="BG95" s="799">
        <f>BF95*(1-IFERROR(IF(BG$77+$F95&lt;=12,SUMIFS('Attrition Modeling'!$D:$D,'Attrition Modeling'!$C:$C,$D95,'Attrition Modeling'!$B:$B,BG$76),VLOOKUP($F95+BG$77,$A$7:$C$107,2,FALSE)*VLOOKUP(BG$76,'Attrition Modeling'!$L$15:$N$27,IF(BG$77+$F95&lt;=24,2,3),FALSE)),$C$3)*(1+IF('IP Attrition'!BG152&gt;0,'Attrition Modeling'!$N$9,0)))</f>
        <v>0</v>
      </c>
      <c r="BH95" s="799">
        <f>BG95*(1-IFERROR(IF(BH$77+$F95&lt;=12,SUMIFS('Attrition Modeling'!$D:$D,'Attrition Modeling'!$C:$C,$D95,'Attrition Modeling'!$B:$B,BH$76),VLOOKUP($F95+BH$77,$A$7:$C$107,2,FALSE)*VLOOKUP(BH$76,'Attrition Modeling'!$L$15:$N$27,IF(BH$77+$F95&lt;=24,2,3),FALSE)),$C$3)*(1+IF('IP Attrition'!BH152&gt;0,'Attrition Modeling'!$N$9,0)))</f>
        <v>0</v>
      </c>
      <c r="BI95" s="799">
        <f>BH95*(1-IFERROR(IF(BI$77+$F95&lt;=12,SUMIFS('Attrition Modeling'!$D:$D,'Attrition Modeling'!$C:$C,$D95,'Attrition Modeling'!$B:$B,BI$76),VLOOKUP($F95+BI$77,$A$7:$C$107,2,FALSE)*VLOOKUP(BI$76,'Attrition Modeling'!$L$15:$N$27,IF(BI$77+$F95&lt;=24,2,3),FALSE)),$C$3)*(1+IF('IP Attrition'!BI152&gt;0,'Attrition Modeling'!$N$9,0)))</f>
        <v>0</v>
      </c>
      <c r="BJ95" s="799">
        <f>BI95*(1-IFERROR(IF(BJ$77+$F95&lt;=12,SUMIFS('Attrition Modeling'!$D:$D,'Attrition Modeling'!$C:$C,$D95,'Attrition Modeling'!$B:$B,BJ$76),VLOOKUP($F95+BJ$77,$A$7:$C$107,2,FALSE)*VLOOKUP(BJ$76,'Attrition Modeling'!$L$15:$N$27,IF(BJ$77+$F95&lt;=24,2,3),FALSE)),$C$3)*(1+IF('IP Attrition'!BJ152&gt;0,'Attrition Modeling'!$N$9,0)))</f>
        <v>0</v>
      </c>
      <c r="BK95" s="799">
        <f>BJ95*(1-IFERROR(IF(BK$77+$F95&lt;=12,SUMIFS('Attrition Modeling'!$D:$D,'Attrition Modeling'!$C:$C,$D95,'Attrition Modeling'!$B:$B,BK$76),VLOOKUP($F95+BK$77,$A$7:$C$107,2,FALSE)*VLOOKUP(BK$76,'Attrition Modeling'!$L$15:$N$27,IF(BK$77+$F95&lt;=24,2,3),FALSE)),$C$3)*(1+IF('IP Attrition'!BK152&gt;0,'Attrition Modeling'!$N$9,0)))</f>
        <v>0</v>
      </c>
      <c r="BL95" s="799">
        <f>BK95*(1-IFERROR(IF(BL$77+$F95&lt;=12,SUMIFS('Attrition Modeling'!$D:$D,'Attrition Modeling'!$C:$C,$D95,'Attrition Modeling'!$B:$B,BL$76),VLOOKUP($F95+BL$77,$A$7:$C$107,2,FALSE)*VLOOKUP(BL$76,'Attrition Modeling'!$L$15:$N$27,IF(BL$77+$F95&lt;=24,2,3),FALSE)),$C$3)*(1+IF('IP Attrition'!BL152&gt;0,'Attrition Modeling'!$N$9,0)))</f>
        <v>0</v>
      </c>
      <c r="BM95" s="799">
        <f>BL95*(1-IFERROR(IF(BM$77+$F95&lt;=12,SUMIFS('Attrition Modeling'!$D:$D,'Attrition Modeling'!$C:$C,$D95,'Attrition Modeling'!$B:$B,BM$76),VLOOKUP($F95+BM$77,$A$7:$C$107,2,FALSE)*VLOOKUP(BM$76,'Attrition Modeling'!$L$15:$N$27,IF(BM$77+$F95&lt;=24,2,3),FALSE)),$C$3)*(1+IF('IP Attrition'!BM152&gt;0,'Attrition Modeling'!$N$9,0)))</f>
        <v>0</v>
      </c>
      <c r="BN95" s="799">
        <f>BM95*(1-IFERROR(IF(BN$77+$F95&lt;=12,SUMIFS('Attrition Modeling'!$D:$D,'Attrition Modeling'!$C:$C,$D95,'Attrition Modeling'!$B:$B,BN$76),VLOOKUP($F95+BN$77,$A$7:$C$107,2,FALSE)*VLOOKUP(BN$76,'Attrition Modeling'!$L$15:$N$27,IF(BN$77+$F95&lt;=24,2,3),FALSE)),$C$3)*(1+IF('IP Attrition'!BN152&gt;0,'Attrition Modeling'!$N$9,0)))</f>
        <v>0</v>
      </c>
      <c r="BO95" s="799">
        <f>BN95*(1-IFERROR(IF(BO$77+$F95&lt;=12,SUMIFS('Attrition Modeling'!$D:$D,'Attrition Modeling'!$C:$C,$D95,'Attrition Modeling'!$B:$B,BO$76),VLOOKUP($F95+BO$77,$A$7:$C$107,2,FALSE)*VLOOKUP(BO$76,'Attrition Modeling'!$L$15:$N$27,IF(BO$77+$F95&lt;=24,2,3),FALSE)),$C$3)*(1+IF('IP Attrition'!BO152&gt;0,'Attrition Modeling'!$N$9,0)))</f>
        <v>0</v>
      </c>
      <c r="BP95" s="799">
        <f>BO95*(1-IFERROR(IF(BP$77+$F95&lt;=12,SUMIFS('Attrition Modeling'!$D:$D,'Attrition Modeling'!$C:$C,$D95,'Attrition Modeling'!$B:$B,BP$76),VLOOKUP($F95+BP$77,$A$7:$C$107,2,FALSE)*VLOOKUP(BP$76,'Attrition Modeling'!$L$15:$N$27,IF(BP$77+$F95&lt;=24,2,3),FALSE)),$C$3)*(1+IF('IP Attrition'!BP152&gt;0,'Attrition Modeling'!$N$9,0)))</f>
        <v>0</v>
      </c>
      <c r="BQ95" s="799">
        <f>BP95*(1-IFERROR(IF(BQ$77+$F95&lt;=12,SUMIFS('Attrition Modeling'!$D:$D,'Attrition Modeling'!$C:$C,$D95,'Attrition Modeling'!$B:$B,BQ$76),VLOOKUP($F95+BQ$77,$A$7:$C$107,2,FALSE)*VLOOKUP(BQ$76,'Attrition Modeling'!$L$15:$N$27,IF(BQ$77+$F95&lt;=24,2,3),FALSE)),$C$3)*(1+IF('IP Attrition'!BQ152&gt;0,'Attrition Modeling'!$N$9,0)))</f>
        <v>0</v>
      </c>
      <c r="BR95" s="799">
        <f>BQ95*(1-IFERROR(IF(BR$77+$F95&lt;=12,SUMIFS('Attrition Modeling'!$D:$D,'Attrition Modeling'!$C:$C,$D95,'Attrition Modeling'!$B:$B,BR$76),VLOOKUP($F95+BR$77,$A$7:$C$107,2,FALSE)*VLOOKUP(BR$76,'Attrition Modeling'!$L$15:$N$27,IF(BR$77+$F95&lt;=24,2,3),FALSE)),$C$3)*(1+IF('IP Attrition'!BR152&gt;0,'Attrition Modeling'!$N$9,0)))</f>
        <v>0</v>
      </c>
      <c r="BS95" s="799">
        <f>BR95*(1-IFERROR(IF(BS$77+$F95&lt;=12,SUMIFS('Attrition Modeling'!$D:$D,'Attrition Modeling'!$C:$C,$D95,'Attrition Modeling'!$B:$B,BS$76),VLOOKUP($F95+BS$77,$A$7:$C$107,2,FALSE)*VLOOKUP(BS$76,'Attrition Modeling'!$L$15:$N$27,IF(BS$77+$F95&lt;=24,2,3),FALSE)),$C$3)*(1+IF('IP Attrition'!BS152&gt;0,'Attrition Modeling'!$N$9,0)))</f>
        <v>0</v>
      </c>
      <c r="BT95" s="799" t="e">
        <f>BS95*(1-IFERROR(IF(BT$77+$F95&lt;=12,SUMIFS('Attrition Modeling'!$D:$D,'Attrition Modeling'!$C:$C,$D95,'Attrition Modeling'!$B:$B,BT$76),VLOOKUP($F95+BT$77,$A$7:$C$107,2,FALSE)*VLOOKUP(BT$76,'Attrition Modeling'!$L$15:$N$27,IF(BT$77+$F95&lt;=24,2,3),FALSE)),$C$3)*(1+IF('IP Attrition'!BT152&gt;0,'Attrition Modeling'!$N$9,0)))</f>
        <v>#REF!</v>
      </c>
      <c r="BU95" s="799" t="e">
        <f>BT95*(1-IFERROR(IF(BU$77+$F95&lt;=12,SUMIFS('Attrition Modeling'!$D:$D,'Attrition Modeling'!$C:$C,$D95,'Attrition Modeling'!$B:$B,BU$76),VLOOKUP($F95+BU$77,$A$7:$C$107,2,FALSE)*VLOOKUP(BU$76,'Attrition Modeling'!$L$15:$N$27,IF(BU$77+$F95&lt;=24,2,3),FALSE)),$C$3)*(1+IF('IP Attrition'!BU152&gt;0,'Attrition Modeling'!$N$9,0)))</f>
        <v>#REF!</v>
      </c>
    </row>
    <row r="96" spans="1:73" ht="14.25" customHeight="1" x14ac:dyDescent="0.2">
      <c r="A96" s="9">
        <v>88</v>
      </c>
      <c r="B96" s="25">
        <f>MAX('Attrition Modeling'!H92,$C$3)*(1-Summary!$C$20)</f>
        <v>0.02</v>
      </c>
      <c r="C96" s="24" t="e">
        <f t="shared" si="2"/>
        <v>#DIV/0!</v>
      </c>
      <c r="D96" s="11">
        <f>'IP Attrition'!D88</f>
        <v>-18</v>
      </c>
      <c r="E96" s="25">
        <f>'IP Attrition'!E88</f>
        <v>0</v>
      </c>
      <c r="F96" s="11">
        <f t="shared" si="8"/>
        <v>18</v>
      </c>
      <c r="G96" s="799">
        <f>Summary!$C$24*$E96</f>
        <v>0</v>
      </c>
      <c r="H96" s="799">
        <f>G96*(1-IFERROR(IF(H$77+$F96&lt;=12,SUMIFS('Attrition Modeling'!$D:$D,'Attrition Modeling'!$C:$C,$D96,'Attrition Modeling'!$B:$B,H$76),VLOOKUP($F96+H$77,$A$7:$C$107,2,FALSE)*VLOOKUP(H$76,'Attrition Modeling'!$L$15:$N$27,IF(H$77+$F96&lt;=24,2,3),FALSE)),$C$3)*(1+IF('IP Attrition'!H153&gt;0,'Attrition Modeling'!$N$9,0)))</f>
        <v>0</v>
      </c>
      <c r="I96" s="799">
        <f>H96*(1-IFERROR(IF(I$77+$F96&lt;=12,SUMIFS('Attrition Modeling'!$D:$D,'Attrition Modeling'!$C:$C,$D96,'Attrition Modeling'!$B:$B,I$76),VLOOKUP($F96+I$77,$A$7:$C$107,2,FALSE)*VLOOKUP(I$76,'Attrition Modeling'!$L$15:$N$27,IF(I$77+$F96&lt;=24,2,3),FALSE)),$C$3)*(1+IF('IP Attrition'!I153&gt;0,'Attrition Modeling'!$N$9,0)))</f>
        <v>0</v>
      </c>
      <c r="J96" s="799">
        <f>I96*(1-IFERROR(IF(J$77+$F96&lt;=12,SUMIFS('Attrition Modeling'!$D:$D,'Attrition Modeling'!$C:$C,$D96,'Attrition Modeling'!$B:$B,J$76),VLOOKUP($F96+J$77,$A$7:$C$107,2,FALSE)*VLOOKUP(J$76,'Attrition Modeling'!$L$15:$N$27,IF(J$77+$F96&lt;=24,2,3),FALSE)),$C$3)*(1+IF('IP Attrition'!J153&gt;0,'Attrition Modeling'!$N$9,0)))</f>
        <v>0</v>
      </c>
      <c r="K96" s="799">
        <f>J96*(1-IFERROR(IF(K$77+$F96&lt;=12,SUMIFS('Attrition Modeling'!$D:$D,'Attrition Modeling'!$C:$C,$D96,'Attrition Modeling'!$B:$B,K$76),VLOOKUP($F96+K$77,$A$7:$C$107,2,FALSE)*VLOOKUP(K$76,'Attrition Modeling'!$L$15:$N$27,IF(K$77+$F96&lt;=24,2,3),FALSE)),$C$3)*(1+IF('IP Attrition'!K153&gt;0,'Attrition Modeling'!$N$9,0)))</f>
        <v>0</v>
      </c>
      <c r="L96" s="799">
        <f>K96*(1-IFERROR(IF(L$77+$F96&lt;=12,SUMIFS('Attrition Modeling'!$D:$D,'Attrition Modeling'!$C:$C,$D96,'Attrition Modeling'!$B:$B,L$76),VLOOKUP($F96+L$77,$A$7:$C$107,2,FALSE)*VLOOKUP(L$76,'Attrition Modeling'!$L$15:$N$27,IF(L$77+$F96&lt;=24,2,3),FALSE)),$C$3)*(1+IF('IP Attrition'!L153&gt;0,'Attrition Modeling'!$N$9,0)))</f>
        <v>0</v>
      </c>
      <c r="M96" s="799">
        <f>L96*(1-IFERROR(IF(M$77+$F96&lt;=12,SUMIFS('Attrition Modeling'!$D:$D,'Attrition Modeling'!$C:$C,$D96,'Attrition Modeling'!$B:$B,M$76),VLOOKUP($F96+M$77,$A$7:$C$107,2,FALSE)*VLOOKUP(M$76,'Attrition Modeling'!$L$15:$N$27,IF(M$77+$F96&lt;=24,2,3),FALSE)),$C$3)*(1+IF('IP Attrition'!M153&gt;0,'Attrition Modeling'!$N$9,0)))</f>
        <v>0</v>
      </c>
      <c r="N96" s="799">
        <f>M96*(1-IFERROR(IF(N$77+$F96&lt;=12,SUMIFS('Attrition Modeling'!$D:$D,'Attrition Modeling'!$C:$C,$D96,'Attrition Modeling'!$B:$B,N$76),VLOOKUP($F96+N$77,$A$7:$C$107,2,FALSE)*VLOOKUP(N$76,'Attrition Modeling'!$L$15:$N$27,IF(N$77+$F96&lt;=24,2,3),FALSE)),$C$3)*(1+IF('IP Attrition'!N153&gt;0,'Attrition Modeling'!$N$9,0)))</f>
        <v>0</v>
      </c>
      <c r="O96" s="799">
        <f>N96*(1-IFERROR(IF(O$77+$F96&lt;=12,SUMIFS('Attrition Modeling'!$D:$D,'Attrition Modeling'!$C:$C,$D96,'Attrition Modeling'!$B:$B,O$76),VLOOKUP($F96+O$77,$A$7:$C$107,2,FALSE)*VLOOKUP(O$76,'Attrition Modeling'!$L$15:$N$27,IF(O$77+$F96&lt;=24,2,3),FALSE)),$C$3)*(1+IF('IP Attrition'!O153&gt;0,'Attrition Modeling'!$N$9,0)))</f>
        <v>0</v>
      </c>
      <c r="P96" s="799">
        <f>O96*(1-IFERROR(IF(P$77+$F96&lt;=12,SUMIFS('Attrition Modeling'!$D:$D,'Attrition Modeling'!$C:$C,$D96,'Attrition Modeling'!$B:$B,P$76),VLOOKUP($F96+P$77,$A$7:$C$107,2,FALSE)*VLOOKUP(P$76,'Attrition Modeling'!$L$15:$N$27,IF(P$77+$F96&lt;=24,2,3),FALSE)),$C$3)*(1+IF('IP Attrition'!P153&gt;0,'Attrition Modeling'!$N$9,0)))</f>
        <v>0</v>
      </c>
      <c r="Q96" s="799">
        <f>P96*(1-IFERROR(IF(Q$77+$F96&lt;=12,SUMIFS('Attrition Modeling'!$D:$D,'Attrition Modeling'!$C:$C,$D96,'Attrition Modeling'!$B:$B,Q$76),VLOOKUP($F96+Q$77,$A$7:$C$107,2,FALSE)*VLOOKUP(Q$76,'Attrition Modeling'!$L$15:$N$27,IF(Q$77+$F96&lt;=24,2,3),FALSE)),$C$3)*(1+IF('IP Attrition'!Q153&gt;0,'Attrition Modeling'!$N$9,0)))</f>
        <v>0</v>
      </c>
      <c r="R96" s="799">
        <f>Q96*(1-IFERROR(IF(R$77+$F96&lt;=12,SUMIFS('Attrition Modeling'!$D:$D,'Attrition Modeling'!$C:$C,$D96,'Attrition Modeling'!$B:$B,R$76),VLOOKUP($F96+R$77,$A$7:$C$107,2,FALSE)*VLOOKUP(R$76,'Attrition Modeling'!$L$15:$N$27,IF(R$77+$F96&lt;=24,2,3),FALSE)),$C$3)*(1+IF('IP Attrition'!R153&gt;0,'Attrition Modeling'!$N$9,0)))</f>
        <v>0</v>
      </c>
      <c r="S96" s="799">
        <f>R96*(1-IFERROR(IF(S$77+$F96&lt;=12,SUMIFS('Attrition Modeling'!$D:$D,'Attrition Modeling'!$C:$C,$D96,'Attrition Modeling'!$B:$B,S$76),VLOOKUP($F96+S$77,$A$7:$C$107,2,FALSE)*VLOOKUP(S$76,'Attrition Modeling'!$L$15:$N$27,IF(S$77+$F96&lt;=24,2,3),FALSE)),$C$3)*(1+IF('IP Attrition'!S153&gt;0,'Attrition Modeling'!$N$9,0)))</f>
        <v>0</v>
      </c>
      <c r="T96" s="799">
        <f>S96*(1-IFERROR(IF(T$77+$F96&lt;=12,SUMIFS('Attrition Modeling'!$D:$D,'Attrition Modeling'!$C:$C,$D96,'Attrition Modeling'!$B:$B,T$76),VLOOKUP($F96+T$77,$A$7:$C$107,2,FALSE)*VLOOKUP(T$76,'Attrition Modeling'!$L$15:$N$27,IF(T$77+$F96&lt;=24,2,3),FALSE)),$C$3)*(1+IF('IP Attrition'!T153&gt;0,'Attrition Modeling'!$N$9,0)))</f>
        <v>0</v>
      </c>
      <c r="U96" s="799">
        <f>T96*(1-IFERROR(IF(U$77+$F96&lt;=12,SUMIFS('Attrition Modeling'!$D:$D,'Attrition Modeling'!$C:$C,$D96,'Attrition Modeling'!$B:$B,U$76),VLOOKUP($F96+U$77,$A$7:$C$107,2,FALSE)*VLOOKUP(U$76,'Attrition Modeling'!$L$15:$N$27,IF(U$77+$F96&lt;=24,2,3),FALSE)),$C$3)*(1+IF('IP Attrition'!U153&gt;0,'Attrition Modeling'!$N$9,0)))</f>
        <v>0</v>
      </c>
      <c r="V96" s="799">
        <f>U96*(1-IFERROR(IF(V$77+$F96&lt;=12,SUMIFS('Attrition Modeling'!$D:$D,'Attrition Modeling'!$C:$C,$D96,'Attrition Modeling'!$B:$B,V$76),VLOOKUP($F96+V$77,$A$7:$C$107,2,FALSE)*VLOOKUP(V$76,'Attrition Modeling'!$L$15:$N$27,IF(V$77+$F96&lt;=24,2,3),FALSE)),$C$3)*(1+IF('IP Attrition'!V153&gt;0,'Attrition Modeling'!$N$9,0)))</f>
        <v>0</v>
      </c>
      <c r="W96" s="799">
        <f>V96*(1-IFERROR(IF(W$77+$F96&lt;=12,SUMIFS('Attrition Modeling'!$D:$D,'Attrition Modeling'!$C:$C,$D96,'Attrition Modeling'!$B:$B,W$76),VLOOKUP($F96+W$77,$A$7:$C$107,2,FALSE)*VLOOKUP(W$76,'Attrition Modeling'!$L$15:$N$27,IF(W$77+$F96&lt;=24,2,3),FALSE)),$C$3)*(1+IF('IP Attrition'!W153&gt;0,'Attrition Modeling'!$N$9,0)))</f>
        <v>0</v>
      </c>
      <c r="X96" s="799">
        <f>W96*(1-IFERROR(IF(X$77+$F96&lt;=12,SUMIFS('Attrition Modeling'!$D:$D,'Attrition Modeling'!$C:$C,$D96,'Attrition Modeling'!$B:$B,X$76),VLOOKUP($F96+X$77,$A$7:$C$107,2,FALSE)*VLOOKUP(X$76,'Attrition Modeling'!$L$15:$N$27,IF(X$77+$F96&lt;=24,2,3),FALSE)),$C$3)*(1+IF('IP Attrition'!X153&gt;0,'Attrition Modeling'!$N$9,0)))</f>
        <v>0</v>
      </c>
      <c r="Y96" s="799">
        <f>X96*(1-IFERROR(IF(Y$77+$F96&lt;=12,SUMIFS('Attrition Modeling'!$D:$D,'Attrition Modeling'!$C:$C,$D96,'Attrition Modeling'!$B:$B,Y$76),VLOOKUP($F96+Y$77,$A$7:$C$107,2,FALSE)*VLOOKUP(Y$76,'Attrition Modeling'!$L$15:$N$27,IF(Y$77+$F96&lt;=24,2,3),FALSE)),$C$3)*(1+IF('IP Attrition'!Y153&gt;0,'Attrition Modeling'!$N$9,0)))</f>
        <v>0</v>
      </c>
      <c r="Z96" s="799">
        <f>Y96*(1-IFERROR(IF(Z$77+$F96&lt;=12,SUMIFS('Attrition Modeling'!$D:$D,'Attrition Modeling'!$C:$C,$D96,'Attrition Modeling'!$B:$B,Z$76),VLOOKUP($F96+Z$77,$A$7:$C$107,2,FALSE)*VLOOKUP(Z$76,'Attrition Modeling'!$L$15:$N$27,IF(Z$77+$F96&lt;=24,2,3),FALSE)),$C$3)*(1+IF('IP Attrition'!Z153&gt;0,'Attrition Modeling'!$N$9,0)))</f>
        <v>0</v>
      </c>
      <c r="AA96" s="799">
        <f>Z96*(1-IFERROR(IF(AA$77+$F96&lt;=12,SUMIFS('Attrition Modeling'!$D:$D,'Attrition Modeling'!$C:$C,$D96,'Attrition Modeling'!$B:$B,AA$76),VLOOKUP($F96+AA$77,$A$7:$C$107,2,FALSE)*VLOOKUP(AA$76,'Attrition Modeling'!$L$15:$N$27,IF(AA$77+$F96&lt;=24,2,3),FALSE)),$C$3)*(1+IF('IP Attrition'!AA153&gt;0,'Attrition Modeling'!$N$9,0)))</f>
        <v>0</v>
      </c>
      <c r="AB96" s="799">
        <f>AA96*(1-IFERROR(IF(AB$77+$F96&lt;=12,SUMIFS('Attrition Modeling'!$D:$D,'Attrition Modeling'!$C:$C,$D96,'Attrition Modeling'!$B:$B,AB$76),VLOOKUP($F96+AB$77,$A$7:$C$107,2,FALSE)*VLOOKUP(AB$76,'Attrition Modeling'!$L$15:$N$27,IF(AB$77+$F96&lt;=24,2,3),FALSE)),$C$3)*(1+IF('IP Attrition'!AB153&gt;0,'Attrition Modeling'!$N$9,0)))</f>
        <v>0</v>
      </c>
      <c r="AC96" s="799">
        <f>AB96*(1-IFERROR(IF(AC$77+$F96&lt;=12,SUMIFS('Attrition Modeling'!$D:$D,'Attrition Modeling'!$C:$C,$D96,'Attrition Modeling'!$B:$B,AC$76),VLOOKUP($F96+AC$77,$A$7:$C$107,2,FALSE)*VLOOKUP(AC$76,'Attrition Modeling'!$L$15:$N$27,IF(AC$77+$F96&lt;=24,2,3),FALSE)),$C$3)*(1+IF('IP Attrition'!AC153&gt;0,'Attrition Modeling'!$N$9,0)))</f>
        <v>0</v>
      </c>
      <c r="AD96" s="799">
        <f>AC96*(1-IFERROR(IF(AD$77+$F96&lt;=12,SUMIFS('Attrition Modeling'!$D:$D,'Attrition Modeling'!$C:$C,$D96,'Attrition Modeling'!$B:$B,AD$76),VLOOKUP($F96+AD$77,$A$7:$C$107,2,FALSE)*VLOOKUP(AD$76,'Attrition Modeling'!$L$15:$N$27,IF(AD$77+$F96&lt;=24,2,3),FALSE)),$C$3)*(1+IF('IP Attrition'!AD153&gt;0,'Attrition Modeling'!$N$9,0)))</f>
        <v>0</v>
      </c>
      <c r="AE96" s="799">
        <f>AD96*(1-IFERROR(IF(AE$77+$F96&lt;=12,SUMIFS('Attrition Modeling'!$D:$D,'Attrition Modeling'!$C:$C,$D96,'Attrition Modeling'!$B:$B,AE$76),VLOOKUP($F96+AE$77,$A$7:$C$107,2,FALSE)*VLOOKUP(AE$76,'Attrition Modeling'!$L$15:$N$27,IF(AE$77+$F96&lt;=24,2,3),FALSE)),$C$3)*(1+IF('IP Attrition'!AE153&gt;0,'Attrition Modeling'!$N$9,0)))</f>
        <v>0</v>
      </c>
      <c r="AF96" s="799">
        <f>AE96*(1-IFERROR(IF(AF$77+$F96&lt;=12,SUMIFS('Attrition Modeling'!$D:$D,'Attrition Modeling'!$C:$C,$D96,'Attrition Modeling'!$B:$B,AF$76),VLOOKUP($F96+AF$77,$A$7:$C$107,2,FALSE)*VLOOKUP(AF$76,'Attrition Modeling'!$L$15:$N$27,IF(AF$77+$F96&lt;=24,2,3),FALSE)),$C$3)*(1+IF('IP Attrition'!AF153&gt;0,'Attrition Modeling'!$N$9,0)))</f>
        <v>0</v>
      </c>
      <c r="AG96" s="799">
        <f>AF96*(1-IFERROR(IF(AG$77+$F96&lt;=12,SUMIFS('Attrition Modeling'!$D:$D,'Attrition Modeling'!$C:$C,$D96,'Attrition Modeling'!$B:$B,AG$76),VLOOKUP($F96+AG$77,$A$7:$C$107,2,FALSE)*VLOOKUP(AG$76,'Attrition Modeling'!$L$15:$N$27,IF(AG$77+$F96&lt;=24,2,3),FALSE)),$C$3)*(1+IF('IP Attrition'!AG153&gt;0,'Attrition Modeling'!$N$9,0)))</f>
        <v>0</v>
      </c>
      <c r="AH96" s="799">
        <f>AG96*(1-IFERROR(IF(AH$77+$F96&lt;=12,SUMIFS('Attrition Modeling'!$D:$D,'Attrition Modeling'!$C:$C,$D96,'Attrition Modeling'!$B:$B,AH$76),VLOOKUP($F96+AH$77,$A$7:$C$107,2,FALSE)*VLOOKUP(AH$76,'Attrition Modeling'!$L$15:$N$27,IF(AH$77+$F96&lt;=24,2,3),FALSE)),$C$3)*(1+IF('IP Attrition'!AH153&gt;0,'Attrition Modeling'!$N$9,0)))</f>
        <v>0</v>
      </c>
      <c r="AI96" s="799">
        <f>AH96*(1-IFERROR(IF(AI$77+$F96&lt;=12,SUMIFS('Attrition Modeling'!$D:$D,'Attrition Modeling'!$C:$C,$D96,'Attrition Modeling'!$B:$B,AI$76),VLOOKUP($F96+AI$77,$A$7:$C$107,2,FALSE)*VLOOKUP(AI$76,'Attrition Modeling'!$L$15:$N$27,IF(AI$77+$F96&lt;=24,2,3),FALSE)),$C$3)*(1+IF('IP Attrition'!AI153&gt;0,'Attrition Modeling'!$N$9,0)))</f>
        <v>0</v>
      </c>
      <c r="AJ96" s="799">
        <f>AI96*(1-IFERROR(IF(AJ$77+$F96&lt;=12,SUMIFS('Attrition Modeling'!$D:$D,'Attrition Modeling'!$C:$C,$D96,'Attrition Modeling'!$B:$B,AJ$76),VLOOKUP($F96+AJ$77,$A$7:$C$107,2,FALSE)*VLOOKUP(AJ$76,'Attrition Modeling'!$L$15:$N$27,IF(AJ$77+$F96&lt;=24,2,3),FALSE)),$C$3)*(1+IF('IP Attrition'!AJ153&gt;0,'Attrition Modeling'!$N$9,0)))</f>
        <v>0</v>
      </c>
      <c r="AK96" s="799">
        <f>AJ96*(1-IFERROR(IF(AK$77+$F96&lt;=12,SUMIFS('Attrition Modeling'!$D:$D,'Attrition Modeling'!$C:$C,$D96,'Attrition Modeling'!$B:$B,AK$76),VLOOKUP($F96+AK$77,$A$7:$C$107,2,FALSE)*VLOOKUP(AK$76,'Attrition Modeling'!$L$15:$N$27,IF(AK$77+$F96&lt;=24,2,3),FALSE)),$C$3)*(1+IF('IP Attrition'!AK153&gt;0,'Attrition Modeling'!$N$9,0)))</f>
        <v>0</v>
      </c>
      <c r="AL96" s="799">
        <f>AK96*(1-IFERROR(IF(AL$77+$F96&lt;=12,SUMIFS('Attrition Modeling'!$D:$D,'Attrition Modeling'!$C:$C,$D96,'Attrition Modeling'!$B:$B,AL$76),VLOOKUP($F96+AL$77,$A$7:$C$107,2,FALSE)*VLOOKUP(AL$76,'Attrition Modeling'!$L$15:$N$27,IF(AL$77+$F96&lt;=24,2,3),FALSE)),$C$3)*(1+IF('IP Attrition'!AL153&gt;0,'Attrition Modeling'!$N$9,0)))</f>
        <v>0</v>
      </c>
      <c r="AM96" s="799">
        <f>AL96*(1-IFERROR(IF(AM$77+$F96&lt;=12,SUMIFS('Attrition Modeling'!$D:$D,'Attrition Modeling'!$C:$C,$D96,'Attrition Modeling'!$B:$B,AM$76),VLOOKUP($F96+AM$77,$A$7:$C$107,2,FALSE)*VLOOKUP(AM$76,'Attrition Modeling'!$L$15:$N$27,IF(AM$77+$F96&lt;=24,2,3),FALSE)),$C$3)*(1+IF('IP Attrition'!AM153&gt;0,'Attrition Modeling'!$N$9,0)))</f>
        <v>0</v>
      </c>
      <c r="AN96" s="799">
        <f>AM96*(1-IFERROR(IF(AN$77+$F96&lt;=12,SUMIFS('Attrition Modeling'!$D:$D,'Attrition Modeling'!$C:$C,$D96,'Attrition Modeling'!$B:$B,AN$76),VLOOKUP($F96+AN$77,$A$7:$C$107,2,FALSE)*VLOOKUP(AN$76,'Attrition Modeling'!$L$15:$N$27,IF(AN$77+$F96&lt;=24,2,3),FALSE)),$C$3)*(1+IF('IP Attrition'!AN153&gt;0,'Attrition Modeling'!$N$9,0)))</f>
        <v>0</v>
      </c>
      <c r="AO96" s="799">
        <f>AN96*(1-IFERROR(IF(AO$77+$F96&lt;=12,SUMIFS('Attrition Modeling'!$D:$D,'Attrition Modeling'!$C:$C,$D96,'Attrition Modeling'!$B:$B,AO$76),VLOOKUP($F96+AO$77,$A$7:$C$107,2,FALSE)*VLOOKUP(AO$76,'Attrition Modeling'!$L$15:$N$27,IF(AO$77+$F96&lt;=24,2,3),FALSE)),$C$3)*(1+IF('IP Attrition'!AO153&gt;0,'Attrition Modeling'!$N$9,0)))</f>
        <v>0</v>
      </c>
      <c r="AP96" s="799">
        <f>AO96*(1-IFERROR(IF(AP$77+$F96&lt;=12,SUMIFS('Attrition Modeling'!$D:$D,'Attrition Modeling'!$C:$C,$D96,'Attrition Modeling'!$B:$B,AP$76),VLOOKUP($F96+AP$77,$A$7:$C$107,2,FALSE)*VLOOKUP(AP$76,'Attrition Modeling'!$L$15:$N$27,IF(AP$77+$F96&lt;=24,2,3),FALSE)),$C$3)*(1+IF('IP Attrition'!AP153&gt;0,'Attrition Modeling'!$N$9,0)))</f>
        <v>0</v>
      </c>
      <c r="AQ96" s="799">
        <f>AP96*(1-IFERROR(IF(AQ$77+$F96&lt;=12,SUMIFS('Attrition Modeling'!$D:$D,'Attrition Modeling'!$C:$C,$D96,'Attrition Modeling'!$B:$B,AQ$76),VLOOKUP($F96+AQ$77,$A$7:$C$107,2,FALSE)*VLOOKUP(AQ$76,'Attrition Modeling'!$L$15:$N$27,IF(AQ$77+$F96&lt;=24,2,3),FALSE)),$C$3)*(1+IF('IP Attrition'!AQ153&gt;0,'Attrition Modeling'!$N$9,0)))</f>
        <v>0</v>
      </c>
      <c r="AR96" s="799">
        <f>AQ96*(1-IFERROR(IF(AR$77+$F96&lt;=12,SUMIFS('Attrition Modeling'!$D:$D,'Attrition Modeling'!$C:$C,$D96,'Attrition Modeling'!$B:$B,AR$76),VLOOKUP($F96+AR$77,$A$7:$C$107,2,FALSE)*VLOOKUP(AR$76,'Attrition Modeling'!$L$15:$N$27,IF(AR$77+$F96&lt;=24,2,3),FALSE)),$C$3)*(1+IF('IP Attrition'!AR153&gt;0,'Attrition Modeling'!$N$9,0)))</f>
        <v>0</v>
      </c>
      <c r="AS96" s="799">
        <f>AR96*(1-IFERROR(IF(AS$77+$F96&lt;=12,SUMIFS('Attrition Modeling'!$D:$D,'Attrition Modeling'!$C:$C,$D96,'Attrition Modeling'!$B:$B,AS$76),VLOOKUP($F96+AS$77,$A$7:$C$107,2,FALSE)*VLOOKUP(AS$76,'Attrition Modeling'!$L$15:$N$27,IF(AS$77+$F96&lt;=24,2,3),FALSE)),$C$3)*(1+IF('IP Attrition'!AS153&gt;0,'Attrition Modeling'!$N$9,0)))</f>
        <v>0</v>
      </c>
      <c r="AT96" s="799">
        <f>AS96*(1-IFERROR(IF(AT$77+$F96&lt;=12,SUMIFS('Attrition Modeling'!$D:$D,'Attrition Modeling'!$C:$C,$D96,'Attrition Modeling'!$B:$B,AT$76),VLOOKUP($F96+AT$77,$A$7:$C$107,2,FALSE)*VLOOKUP(AT$76,'Attrition Modeling'!$L$15:$N$27,IF(AT$77+$F96&lt;=24,2,3),FALSE)),$C$3)*(1+IF('IP Attrition'!AT153&gt;0,'Attrition Modeling'!$N$9,0)))</f>
        <v>0</v>
      </c>
      <c r="AU96" s="799">
        <f>AT96*(1-IFERROR(IF(AU$77+$F96&lt;=12,SUMIFS('Attrition Modeling'!$D:$D,'Attrition Modeling'!$C:$C,$D96,'Attrition Modeling'!$B:$B,AU$76),VLOOKUP($F96+AU$77,$A$7:$C$107,2,FALSE)*VLOOKUP(AU$76,'Attrition Modeling'!$L$15:$N$27,IF(AU$77+$F96&lt;=24,2,3),FALSE)),$C$3)*(1+IF('IP Attrition'!AU153&gt;0,'Attrition Modeling'!$N$9,0)))</f>
        <v>0</v>
      </c>
      <c r="AV96" s="799">
        <f>AU96*(1-IFERROR(IF(AV$77+$F96&lt;=12,SUMIFS('Attrition Modeling'!$D:$D,'Attrition Modeling'!$C:$C,$D96,'Attrition Modeling'!$B:$B,AV$76),VLOOKUP($F96+AV$77,$A$7:$C$107,2,FALSE)*VLOOKUP(AV$76,'Attrition Modeling'!$L$15:$N$27,IF(AV$77+$F96&lt;=24,2,3),FALSE)),$C$3)*(1+IF('IP Attrition'!AV153&gt;0,'Attrition Modeling'!$N$9,0)))</f>
        <v>0</v>
      </c>
      <c r="AW96" s="799">
        <f>AV96*(1-IFERROR(IF(AW$77+$F96&lt;=12,SUMIFS('Attrition Modeling'!$D:$D,'Attrition Modeling'!$C:$C,$D96,'Attrition Modeling'!$B:$B,AW$76),VLOOKUP($F96+AW$77,$A$7:$C$107,2,FALSE)*VLOOKUP(AW$76,'Attrition Modeling'!$L$15:$N$27,IF(AW$77+$F96&lt;=24,2,3),FALSE)),$C$3)*(1+IF('IP Attrition'!AW153&gt;0,'Attrition Modeling'!$N$9,0)))</f>
        <v>0</v>
      </c>
      <c r="AX96" s="799">
        <f>AW96*(1-IFERROR(IF(AX$77+$F96&lt;=12,SUMIFS('Attrition Modeling'!$D:$D,'Attrition Modeling'!$C:$C,$D96,'Attrition Modeling'!$B:$B,AX$76),VLOOKUP($F96+AX$77,$A$7:$C$107,2,FALSE)*VLOOKUP(AX$76,'Attrition Modeling'!$L$15:$N$27,IF(AX$77+$F96&lt;=24,2,3),FALSE)),$C$3)*(1+IF('IP Attrition'!AX153&gt;0,'Attrition Modeling'!$N$9,0)))</f>
        <v>0</v>
      </c>
      <c r="AY96" s="799">
        <f>AX96*(1-IFERROR(IF(AY$77+$F96&lt;=12,SUMIFS('Attrition Modeling'!$D:$D,'Attrition Modeling'!$C:$C,$D96,'Attrition Modeling'!$B:$B,AY$76),VLOOKUP($F96+AY$77,$A$7:$C$107,2,FALSE)*VLOOKUP(AY$76,'Attrition Modeling'!$L$15:$N$27,IF(AY$77+$F96&lt;=24,2,3),FALSE)),$C$3)*(1+IF('IP Attrition'!AY153&gt;0,'Attrition Modeling'!$N$9,0)))</f>
        <v>0</v>
      </c>
      <c r="AZ96" s="799">
        <f>AY96*(1-IFERROR(IF(AZ$77+$F96&lt;=12,SUMIFS('Attrition Modeling'!$D:$D,'Attrition Modeling'!$C:$C,$D96,'Attrition Modeling'!$B:$B,AZ$76),VLOOKUP($F96+AZ$77,$A$7:$C$107,2,FALSE)*VLOOKUP(AZ$76,'Attrition Modeling'!$L$15:$N$27,IF(AZ$77+$F96&lt;=24,2,3),FALSE)),$C$3)*(1+IF('IP Attrition'!AZ153&gt;0,'Attrition Modeling'!$N$9,0)))</f>
        <v>0</v>
      </c>
      <c r="BA96" s="799">
        <f>AZ96*(1-IFERROR(IF(BA$77+$F96&lt;=12,SUMIFS('Attrition Modeling'!$D:$D,'Attrition Modeling'!$C:$C,$D96,'Attrition Modeling'!$B:$B,BA$76),VLOOKUP($F96+BA$77,$A$7:$C$107,2,FALSE)*VLOOKUP(BA$76,'Attrition Modeling'!$L$15:$N$27,IF(BA$77+$F96&lt;=24,2,3),FALSE)),$C$3)*(1+IF('IP Attrition'!BA153&gt;0,'Attrition Modeling'!$N$9,0)))</f>
        <v>0</v>
      </c>
      <c r="BB96" s="799">
        <f>BA96*(1-IFERROR(IF(BB$77+$F96&lt;=12,SUMIFS('Attrition Modeling'!$D:$D,'Attrition Modeling'!$C:$C,$D96,'Attrition Modeling'!$B:$B,BB$76),VLOOKUP($F96+BB$77,$A$7:$C$107,2,FALSE)*VLOOKUP(BB$76,'Attrition Modeling'!$L$15:$N$27,IF(BB$77+$F96&lt;=24,2,3),FALSE)),$C$3)*(1+IF('IP Attrition'!BB153&gt;0,'Attrition Modeling'!$N$9,0)))</f>
        <v>0</v>
      </c>
      <c r="BC96" s="799">
        <f>BB96*(1-IFERROR(IF(BC$77+$F96&lt;=12,SUMIFS('Attrition Modeling'!$D:$D,'Attrition Modeling'!$C:$C,$D96,'Attrition Modeling'!$B:$B,BC$76),VLOOKUP($F96+BC$77,$A$7:$C$107,2,FALSE)*VLOOKUP(BC$76,'Attrition Modeling'!$L$15:$N$27,IF(BC$77+$F96&lt;=24,2,3),FALSE)),$C$3)*(1+IF('IP Attrition'!BC153&gt;0,'Attrition Modeling'!$N$9,0)))</f>
        <v>0</v>
      </c>
      <c r="BD96" s="799">
        <f>BC96*(1-IFERROR(IF(BD$77+$F96&lt;=12,SUMIFS('Attrition Modeling'!$D:$D,'Attrition Modeling'!$C:$C,$D96,'Attrition Modeling'!$B:$B,BD$76),VLOOKUP($F96+BD$77,$A$7:$C$107,2,FALSE)*VLOOKUP(BD$76,'Attrition Modeling'!$L$15:$N$27,IF(BD$77+$F96&lt;=24,2,3),FALSE)),$C$3)*(1+IF('IP Attrition'!BD153&gt;0,'Attrition Modeling'!$N$9,0)))</f>
        <v>0</v>
      </c>
      <c r="BE96" s="799">
        <f>BD96*(1-IFERROR(IF(BE$77+$F96&lt;=12,SUMIFS('Attrition Modeling'!$D:$D,'Attrition Modeling'!$C:$C,$D96,'Attrition Modeling'!$B:$B,BE$76),VLOOKUP($F96+BE$77,$A$7:$C$107,2,FALSE)*VLOOKUP(BE$76,'Attrition Modeling'!$L$15:$N$27,IF(BE$77+$F96&lt;=24,2,3),FALSE)),$C$3)*(1+IF('IP Attrition'!BE153&gt;0,'Attrition Modeling'!$N$9,0)))</f>
        <v>0</v>
      </c>
      <c r="BF96" s="799">
        <f>BE96*(1-IFERROR(IF(BF$77+$F96&lt;=12,SUMIFS('Attrition Modeling'!$D:$D,'Attrition Modeling'!$C:$C,$D96,'Attrition Modeling'!$B:$B,BF$76),VLOOKUP($F96+BF$77,$A$7:$C$107,2,FALSE)*VLOOKUP(BF$76,'Attrition Modeling'!$L$15:$N$27,IF(BF$77+$F96&lt;=24,2,3),FALSE)),$C$3)*(1+IF('IP Attrition'!BF153&gt;0,'Attrition Modeling'!$N$9,0)))</f>
        <v>0</v>
      </c>
      <c r="BG96" s="799">
        <f>BF96*(1-IFERROR(IF(BG$77+$F96&lt;=12,SUMIFS('Attrition Modeling'!$D:$D,'Attrition Modeling'!$C:$C,$D96,'Attrition Modeling'!$B:$B,BG$76),VLOOKUP($F96+BG$77,$A$7:$C$107,2,FALSE)*VLOOKUP(BG$76,'Attrition Modeling'!$L$15:$N$27,IF(BG$77+$F96&lt;=24,2,3),FALSE)),$C$3)*(1+IF('IP Attrition'!BG153&gt;0,'Attrition Modeling'!$N$9,0)))</f>
        <v>0</v>
      </c>
      <c r="BH96" s="799">
        <f>BG96*(1-IFERROR(IF(BH$77+$F96&lt;=12,SUMIFS('Attrition Modeling'!$D:$D,'Attrition Modeling'!$C:$C,$D96,'Attrition Modeling'!$B:$B,BH$76),VLOOKUP($F96+BH$77,$A$7:$C$107,2,FALSE)*VLOOKUP(BH$76,'Attrition Modeling'!$L$15:$N$27,IF(BH$77+$F96&lt;=24,2,3),FALSE)),$C$3)*(1+IF('IP Attrition'!BH153&gt;0,'Attrition Modeling'!$N$9,0)))</f>
        <v>0</v>
      </c>
      <c r="BI96" s="799">
        <f>BH96*(1-IFERROR(IF(BI$77+$F96&lt;=12,SUMIFS('Attrition Modeling'!$D:$D,'Attrition Modeling'!$C:$C,$D96,'Attrition Modeling'!$B:$B,BI$76),VLOOKUP($F96+BI$77,$A$7:$C$107,2,FALSE)*VLOOKUP(BI$76,'Attrition Modeling'!$L$15:$N$27,IF(BI$77+$F96&lt;=24,2,3),FALSE)),$C$3)*(1+IF('IP Attrition'!BI153&gt;0,'Attrition Modeling'!$N$9,0)))</f>
        <v>0</v>
      </c>
      <c r="BJ96" s="799">
        <f>BI96*(1-IFERROR(IF(BJ$77+$F96&lt;=12,SUMIFS('Attrition Modeling'!$D:$D,'Attrition Modeling'!$C:$C,$D96,'Attrition Modeling'!$B:$B,BJ$76),VLOOKUP($F96+BJ$77,$A$7:$C$107,2,FALSE)*VLOOKUP(BJ$76,'Attrition Modeling'!$L$15:$N$27,IF(BJ$77+$F96&lt;=24,2,3),FALSE)),$C$3)*(1+IF('IP Attrition'!BJ153&gt;0,'Attrition Modeling'!$N$9,0)))</f>
        <v>0</v>
      </c>
      <c r="BK96" s="799">
        <f>BJ96*(1-IFERROR(IF(BK$77+$F96&lt;=12,SUMIFS('Attrition Modeling'!$D:$D,'Attrition Modeling'!$C:$C,$D96,'Attrition Modeling'!$B:$B,BK$76),VLOOKUP($F96+BK$77,$A$7:$C$107,2,FALSE)*VLOOKUP(BK$76,'Attrition Modeling'!$L$15:$N$27,IF(BK$77+$F96&lt;=24,2,3),FALSE)),$C$3)*(1+IF('IP Attrition'!BK153&gt;0,'Attrition Modeling'!$N$9,0)))</f>
        <v>0</v>
      </c>
      <c r="BL96" s="799">
        <f>BK96*(1-IFERROR(IF(BL$77+$F96&lt;=12,SUMIFS('Attrition Modeling'!$D:$D,'Attrition Modeling'!$C:$C,$D96,'Attrition Modeling'!$B:$B,BL$76),VLOOKUP($F96+BL$77,$A$7:$C$107,2,FALSE)*VLOOKUP(BL$76,'Attrition Modeling'!$L$15:$N$27,IF(BL$77+$F96&lt;=24,2,3),FALSE)),$C$3)*(1+IF('IP Attrition'!BL153&gt;0,'Attrition Modeling'!$N$9,0)))</f>
        <v>0</v>
      </c>
      <c r="BM96" s="799">
        <f>BL96*(1-IFERROR(IF(BM$77+$F96&lt;=12,SUMIFS('Attrition Modeling'!$D:$D,'Attrition Modeling'!$C:$C,$D96,'Attrition Modeling'!$B:$B,BM$76),VLOOKUP($F96+BM$77,$A$7:$C$107,2,FALSE)*VLOOKUP(BM$76,'Attrition Modeling'!$L$15:$N$27,IF(BM$77+$F96&lt;=24,2,3),FALSE)),$C$3)*(1+IF('IP Attrition'!BM153&gt;0,'Attrition Modeling'!$N$9,0)))</f>
        <v>0</v>
      </c>
      <c r="BN96" s="799">
        <f>BM96*(1-IFERROR(IF(BN$77+$F96&lt;=12,SUMIFS('Attrition Modeling'!$D:$D,'Attrition Modeling'!$C:$C,$D96,'Attrition Modeling'!$B:$B,BN$76),VLOOKUP($F96+BN$77,$A$7:$C$107,2,FALSE)*VLOOKUP(BN$76,'Attrition Modeling'!$L$15:$N$27,IF(BN$77+$F96&lt;=24,2,3),FALSE)),$C$3)*(1+IF('IP Attrition'!BN153&gt;0,'Attrition Modeling'!$N$9,0)))</f>
        <v>0</v>
      </c>
      <c r="BO96" s="799">
        <f>BN96*(1-IFERROR(IF(BO$77+$F96&lt;=12,SUMIFS('Attrition Modeling'!$D:$D,'Attrition Modeling'!$C:$C,$D96,'Attrition Modeling'!$B:$B,BO$76),VLOOKUP($F96+BO$77,$A$7:$C$107,2,FALSE)*VLOOKUP(BO$76,'Attrition Modeling'!$L$15:$N$27,IF(BO$77+$F96&lt;=24,2,3),FALSE)),$C$3)*(1+IF('IP Attrition'!BO153&gt;0,'Attrition Modeling'!$N$9,0)))</f>
        <v>0</v>
      </c>
      <c r="BP96" s="799">
        <f>BO96*(1-IFERROR(IF(BP$77+$F96&lt;=12,SUMIFS('Attrition Modeling'!$D:$D,'Attrition Modeling'!$C:$C,$D96,'Attrition Modeling'!$B:$B,BP$76),VLOOKUP($F96+BP$77,$A$7:$C$107,2,FALSE)*VLOOKUP(BP$76,'Attrition Modeling'!$L$15:$N$27,IF(BP$77+$F96&lt;=24,2,3),FALSE)),$C$3)*(1+IF('IP Attrition'!BP153&gt;0,'Attrition Modeling'!$N$9,0)))</f>
        <v>0</v>
      </c>
      <c r="BQ96" s="799">
        <f>BP96*(1-IFERROR(IF(BQ$77+$F96&lt;=12,SUMIFS('Attrition Modeling'!$D:$D,'Attrition Modeling'!$C:$C,$D96,'Attrition Modeling'!$B:$B,BQ$76),VLOOKUP($F96+BQ$77,$A$7:$C$107,2,FALSE)*VLOOKUP(BQ$76,'Attrition Modeling'!$L$15:$N$27,IF(BQ$77+$F96&lt;=24,2,3),FALSE)),$C$3)*(1+IF('IP Attrition'!BQ153&gt;0,'Attrition Modeling'!$N$9,0)))</f>
        <v>0</v>
      </c>
      <c r="BR96" s="799">
        <f>BQ96*(1-IFERROR(IF(BR$77+$F96&lt;=12,SUMIFS('Attrition Modeling'!$D:$D,'Attrition Modeling'!$C:$C,$D96,'Attrition Modeling'!$B:$B,BR$76),VLOOKUP($F96+BR$77,$A$7:$C$107,2,FALSE)*VLOOKUP(BR$76,'Attrition Modeling'!$L$15:$N$27,IF(BR$77+$F96&lt;=24,2,3),FALSE)),$C$3)*(1+IF('IP Attrition'!BR153&gt;0,'Attrition Modeling'!$N$9,0)))</f>
        <v>0</v>
      </c>
      <c r="BS96" s="799">
        <f>BR96*(1-IFERROR(IF(BS$77+$F96&lt;=12,SUMIFS('Attrition Modeling'!$D:$D,'Attrition Modeling'!$C:$C,$D96,'Attrition Modeling'!$B:$B,BS$76),VLOOKUP($F96+BS$77,$A$7:$C$107,2,FALSE)*VLOOKUP(BS$76,'Attrition Modeling'!$L$15:$N$27,IF(BS$77+$F96&lt;=24,2,3),FALSE)),$C$3)*(1+IF('IP Attrition'!BS153&gt;0,'Attrition Modeling'!$N$9,0)))</f>
        <v>0</v>
      </c>
      <c r="BT96" s="799" t="e">
        <f>BS96*(1-IFERROR(IF(BT$77+$F96&lt;=12,SUMIFS('Attrition Modeling'!$D:$D,'Attrition Modeling'!$C:$C,$D96,'Attrition Modeling'!$B:$B,BT$76),VLOOKUP($F96+BT$77,$A$7:$C$107,2,FALSE)*VLOOKUP(BT$76,'Attrition Modeling'!$L$15:$N$27,IF(BT$77+$F96&lt;=24,2,3),FALSE)),$C$3)*(1+IF('IP Attrition'!BT153&gt;0,'Attrition Modeling'!$N$9,0)))</f>
        <v>#REF!</v>
      </c>
      <c r="BU96" s="799" t="e">
        <f>BT96*(1-IFERROR(IF(BU$77+$F96&lt;=12,SUMIFS('Attrition Modeling'!$D:$D,'Attrition Modeling'!$C:$C,$D96,'Attrition Modeling'!$B:$B,BU$76),VLOOKUP($F96+BU$77,$A$7:$C$107,2,FALSE)*VLOOKUP(BU$76,'Attrition Modeling'!$L$15:$N$27,IF(BU$77+$F96&lt;=24,2,3),FALSE)),$C$3)*(1+IF('IP Attrition'!BU153&gt;0,'Attrition Modeling'!$N$9,0)))</f>
        <v>#REF!</v>
      </c>
    </row>
    <row r="97" spans="1:73" ht="14.25" customHeight="1" x14ac:dyDescent="0.2">
      <c r="A97" s="9">
        <v>89</v>
      </c>
      <c r="B97" s="25">
        <f>MAX('Attrition Modeling'!H93,$C$3)*(1-Summary!$C$20)</f>
        <v>0.02</v>
      </c>
      <c r="C97" s="24" t="e">
        <f t="shared" si="2"/>
        <v>#DIV/0!</v>
      </c>
      <c r="D97" s="11">
        <f>'IP Attrition'!D89</f>
        <v>-19</v>
      </c>
      <c r="E97" s="25">
        <f>'IP Attrition'!E89</f>
        <v>0</v>
      </c>
      <c r="F97" s="11">
        <f t="shared" si="8"/>
        <v>19</v>
      </c>
      <c r="G97" s="799">
        <f>Summary!$C$24*$E97</f>
        <v>0</v>
      </c>
      <c r="H97" s="799">
        <f>G97*(1-IFERROR(IF(H$77+$F97&lt;=12,SUMIFS('Attrition Modeling'!$D:$D,'Attrition Modeling'!$C:$C,$D97,'Attrition Modeling'!$B:$B,H$76),VLOOKUP($F97+H$77,$A$7:$C$107,2,FALSE)*VLOOKUP(H$76,'Attrition Modeling'!$L$15:$N$27,IF(H$77+$F97&lt;=24,2,3),FALSE)),$C$3)*(1+IF('IP Attrition'!H154&gt;0,'Attrition Modeling'!$N$9,0)))</f>
        <v>0</v>
      </c>
      <c r="I97" s="799">
        <f>H97*(1-IFERROR(IF(I$77+$F97&lt;=12,SUMIFS('Attrition Modeling'!$D:$D,'Attrition Modeling'!$C:$C,$D97,'Attrition Modeling'!$B:$B,I$76),VLOOKUP($F97+I$77,$A$7:$C$107,2,FALSE)*VLOOKUP(I$76,'Attrition Modeling'!$L$15:$N$27,IF(I$77+$F97&lt;=24,2,3),FALSE)),$C$3)*(1+IF('IP Attrition'!I154&gt;0,'Attrition Modeling'!$N$9,0)))</f>
        <v>0</v>
      </c>
      <c r="J97" s="799">
        <f>I97*(1-IFERROR(IF(J$77+$F97&lt;=12,SUMIFS('Attrition Modeling'!$D:$D,'Attrition Modeling'!$C:$C,$D97,'Attrition Modeling'!$B:$B,J$76),VLOOKUP($F97+J$77,$A$7:$C$107,2,FALSE)*VLOOKUP(J$76,'Attrition Modeling'!$L$15:$N$27,IF(J$77+$F97&lt;=24,2,3),FALSE)),$C$3)*(1+IF('IP Attrition'!J154&gt;0,'Attrition Modeling'!$N$9,0)))</f>
        <v>0</v>
      </c>
      <c r="K97" s="799">
        <f>J97*(1-IFERROR(IF(K$77+$F97&lt;=12,SUMIFS('Attrition Modeling'!$D:$D,'Attrition Modeling'!$C:$C,$D97,'Attrition Modeling'!$B:$B,K$76),VLOOKUP($F97+K$77,$A$7:$C$107,2,FALSE)*VLOOKUP(K$76,'Attrition Modeling'!$L$15:$N$27,IF(K$77+$F97&lt;=24,2,3),FALSE)),$C$3)*(1+IF('IP Attrition'!K154&gt;0,'Attrition Modeling'!$N$9,0)))</f>
        <v>0</v>
      </c>
      <c r="L97" s="799">
        <f>K97*(1-IFERROR(IF(L$77+$F97&lt;=12,SUMIFS('Attrition Modeling'!$D:$D,'Attrition Modeling'!$C:$C,$D97,'Attrition Modeling'!$B:$B,L$76),VLOOKUP($F97+L$77,$A$7:$C$107,2,FALSE)*VLOOKUP(L$76,'Attrition Modeling'!$L$15:$N$27,IF(L$77+$F97&lt;=24,2,3),FALSE)),$C$3)*(1+IF('IP Attrition'!L154&gt;0,'Attrition Modeling'!$N$9,0)))</f>
        <v>0</v>
      </c>
      <c r="M97" s="799">
        <f>L97*(1-IFERROR(IF(M$77+$F97&lt;=12,SUMIFS('Attrition Modeling'!$D:$D,'Attrition Modeling'!$C:$C,$D97,'Attrition Modeling'!$B:$B,M$76),VLOOKUP($F97+M$77,$A$7:$C$107,2,FALSE)*VLOOKUP(M$76,'Attrition Modeling'!$L$15:$N$27,IF(M$77+$F97&lt;=24,2,3),FALSE)),$C$3)*(1+IF('IP Attrition'!M154&gt;0,'Attrition Modeling'!$N$9,0)))</f>
        <v>0</v>
      </c>
      <c r="N97" s="799">
        <f>M97*(1-IFERROR(IF(N$77+$F97&lt;=12,SUMIFS('Attrition Modeling'!$D:$D,'Attrition Modeling'!$C:$C,$D97,'Attrition Modeling'!$B:$B,N$76),VLOOKUP($F97+N$77,$A$7:$C$107,2,FALSE)*VLOOKUP(N$76,'Attrition Modeling'!$L$15:$N$27,IF(N$77+$F97&lt;=24,2,3),FALSE)),$C$3)*(1+IF('IP Attrition'!N154&gt;0,'Attrition Modeling'!$N$9,0)))</f>
        <v>0</v>
      </c>
      <c r="O97" s="799">
        <f>N97*(1-IFERROR(IF(O$77+$F97&lt;=12,SUMIFS('Attrition Modeling'!$D:$D,'Attrition Modeling'!$C:$C,$D97,'Attrition Modeling'!$B:$B,O$76),VLOOKUP($F97+O$77,$A$7:$C$107,2,FALSE)*VLOOKUP(O$76,'Attrition Modeling'!$L$15:$N$27,IF(O$77+$F97&lt;=24,2,3),FALSE)),$C$3)*(1+IF('IP Attrition'!O154&gt;0,'Attrition Modeling'!$N$9,0)))</f>
        <v>0</v>
      </c>
      <c r="P97" s="799">
        <f>O97*(1-IFERROR(IF(P$77+$F97&lt;=12,SUMIFS('Attrition Modeling'!$D:$D,'Attrition Modeling'!$C:$C,$D97,'Attrition Modeling'!$B:$B,P$76),VLOOKUP($F97+P$77,$A$7:$C$107,2,FALSE)*VLOOKUP(P$76,'Attrition Modeling'!$L$15:$N$27,IF(P$77+$F97&lt;=24,2,3),FALSE)),$C$3)*(1+IF('IP Attrition'!P154&gt;0,'Attrition Modeling'!$N$9,0)))</f>
        <v>0</v>
      </c>
      <c r="Q97" s="799">
        <f>P97*(1-IFERROR(IF(Q$77+$F97&lt;=12,SUMIFS('Attrition Modeling'!$D:$D,'Attrition Modeling'!$C:$C,$D97,'Attrition Modeling'!$B:$B,Q$76),VLOOKUP($F97+Q$77,$A$7:$C$107,2,FALSE)*VLOOKUP(Q$76,'Attrition Modeling'!$L$15:$N$27,IF(Q$77+$F97&lt;=24,2,3),FALSE)),$C$3)*(1+IF('IP Attrition'!Q154&gt;0,'Attrition Modeling'!$N$9,0)))</f>
        <v>0</v>
      </c>
      <c r="R97" s="799">
        <f>Q97*(1-IFERROR(IF(R$77+$F97&lt;=12,SUMIFS('Attrition Modeling'!$D:$D,'Attrition Modeling'!$C:$C,$D97,'Attrition Modeling'!$B:$B,R$76),VLOOKUP($F97+R$77,$A$7:$C$107,2,FALSE)*VLOOKUP(R$76,'Attrition Modeling'!$L$15:$N$27,IF(R$77+$F97&lt;=24,2,3),FALSE)),$C$3)*(1+IF('IP Attrition'!R154&gt;0,'Attrition Modeling'!$N$9,0)))</f>
        <v>0</v>
      </c>
      <c r="S97" s="799">
        <f>R97*(1-IFERROR(IF(S$77+$F97&lt;=12,SUMIFS('Attrition Modeling'!$D:$D,'Attrition Modeling'!$C:$C,$D97,'Attrition Modeling'!$B:$B,S$76),VLOOKUP($F97+S$77,$A$7:$C$107,2,FALSE)*VLOOKUP(S$76,'Attrition Modeling'!$L$15:$N$27,IF(S$77+$F97&lt;=24,2,3),FALSE)),$C$3)*(1+IF('IP Attrition'!S154&gt;0,'Attrition Modeling'!$N$9,0)))</f>
        <v>0</v>
      </c>
      <c r="T97" s="799">
        <f>S97*(1-IFERROR(IF(T$77+$F97&lt;=12,SUMIFS('Attrition Modeling'!$D:$D,'Attrition Modeling'!$C:$C,$D97,'Attrition Modeling'!$B:$B,T$76),VLOOKUP($F97+T$77,$A$7:$C$107,2,FALSE)*VLOOKUP(T$76,'Attrition Modeling'!$L$15:$N$27,IF(T$77+$F97&lt;=24,2,3),FALSE)),$C$3)*(1+IF('IP Attrition'!T154&gt;0,'Attrition Modeling'!$N$9,0)))</f>
        <v>0</v>
      </c>
      <c r="U97" s="799">
        <f>T97*(1-IFERROR(IF(U$77+$F97&lt;=12,SUMIFS('Attrition Modeling'!$D:$D,'Attrition Modeling'!$C:$C,$D97,'Attrition Modeling'!$B:$B,U$76),VLOOKUP($F97+U$77,$A$7:$C$107,2,FALSE)*VLOOKUP(U$76,'Attrition Modeling'!$L$15:$N$27,IF(U$77+$F97&lt;=24,2,3),FALSE)),$C$3)*(1+IF('IP Attrition'!U154&gt;0,'Attrition Modeling'!$N$9,0)))</f>
        <v>0</v>
      </c>
      <c r="V97" s="799">
        <f>U97*(1-IFERROR(IF(V$77+$F97&lt;=12,SUMIFS('Attrition Modeling'!$D:$D,'Attrition Modeling'!$C:$C,$D97,'Attrition Modeling'!$B:$B,V$76),VLOOKUP($F97+V$77,$A$7:$C$107,2,FALSE)*VLOOKUP(V$76,'Attrition Modeling'!$L$15:$N$27,IF(V$77+$F97&lt;=24,2,3),FALSE)),$C$3)*(1+IF('IP Attrition'!V154&gt;0,'Attrition Modeling'!$N$9,0)))</f>
        <v>0</v>
      </c>
      <c r="W97" s="799">
        <f>V97*(1-IFERROR(IF(W$77+$F97&lt;=12,SUMIFS('Attrition Modeling'!$D:$D,'Attrition Modeling'!$C:$C,$D97,'Attrition Modeling'!$B:$B,W$76),VLOOKUP($F97+W$77,$A$7:$C$107,2,FALSE)*VLOOKUP(W$76,'Attrition Modeling'!$L$15:$N$27,IF(W$77+$F97&lt;=24,2,3),FALSE)),$C$3)*(1+IF('IP Attrition'!W154&gt;0,'Attrition Modeling'!$N$9,0)))</f>
        <v>0</v>
      </c>
      <c r="X97" s="799">
        <f>W97*(1-IFERROR(IF(X$77+$F97&lt;=12,SUMIFS('Attrition Modeling'!$D:$D,'Attrition Modeling'!$C:$C,$D97,'Attrition Modeling'!$B:$B,X$76),VLOOKUP($F97+X$77,$A$7:$C$107,2,FALSE)*VLOOKUP(X$76,'Attrition Modeling'!$L$15:$N$27,IF(X$77+$F97&lt;=24,2,3),FALSE)),$C$3)*(1+IF('IP Attrition'!X154&gt;0,'Attrition Modeling'!$N$9,0)))</f>
        <v>0</v>
      </c>
      <c r="Y97" s="799">
        <f>X97*(1-IFERROR(IF(Y$77+$F97&lt;=12,SUMIFS('Attrition Modeling'!$D:$D,'Attrition Modeling'!$C:$C,$D97,'Attrition Modeling'!$B:$B,Y$76),VLOOKUP($F97+Y$77,$A$7:$C$107,2,FALSE)*VLOOKUP(Y$76,'Attrition Modeling'!$L$15:$N$27,IF(Y$77+$F97&lt;=24,2,3),FALSE)),$C$3)*(1+IF('IP Attrition'!Y154&gt;0,'Attrition Modeling'!$N$9,0)))</f>
        <v>0</v>
      </c>
      <c r="Z97" s="799">
        <f>Y97*(1-IFERROR(IF(Z$77+$F97&lt;=12,SUMIFS('Attrition Modeling'!$D:$D,'Attrition Modeling'!$C:$C,$D97,'Attrition Modeling'!$B:$B,Z$76),VLOOKUP($F97+Z$77,$A$7:$C$107,2,FALSE)*VLOOKUP(Z$76,'Attrition Modeling'!$L$15:$N$27,IF(Z$77+$F97&lt;=24,2,3),FALSE)),$C$3)*(1+IF('IP Attrition'!Z154&gt;0,'Attrition Modeling'!$N$9,0)))</f>
        <v>0</v>
      </c>
      <c r="AA97" s="799">
        <f>Z97*(1-IFERROR(IF(AA$77+$F97&lt;=12,SUMIFS('Attrition Modeling'!$D:$D,'Attrition Modeling'!$C:$C,$D97,'Attrition Modeling'!$B:$B,AA$76),VLOOKUP($F97+AA$77,$A$7:$C$107,2,FALSE)*VLOOKUP(AA$76,'Attrition Modeling'!$L$15:$N$27,IF(AA$77+$F97&lt;=24,2,3),FALSE)),$C$3)*(1+IF('IP Attrition'!AA154&gt;0,'Attrition Modeling'!$N$9,0)))</f>
        <v>0</v>
      </c>
      <c r="AB97" s="799">
        <f>AA97*(1-IFERROR(IF(AB$77+$F97&lt;=12,SUMIFS('Attrition Modeling'!$D:$D,'Attrition Modeling'!$C:$C,$D97,'Attrition Modeling'!$B:$B,AB$76),VLOOKUP($F97+AB$77,$A$7:$C$107,2,FALSE)*VLOOKUP(AB$76,'Attrition Modeling'!$L$15:$N$27,IF(AB$77+$F97&lt;=24,2,3),FALSE)),$C$3)*(1+IF('IP Attrition'!AB154&gt;0,'Attrition Modeling'!$N$9,0)))</f>
        <v>0</v>
      </c>
      <c r="AC97" s="799">
        <f>AB97*(1-IFERROR(IF(AC$77+$F97&lt;=12,SUMIFS('Attrition Modeling'!$D:$D,'Attrition Modeling'!$C:$C,$D97,'Attrition Modeling'!$B:$B,AC$76),VLOOKUP($F97+AC$77,$A$7:$C$107,2,FALSE)*VLOOKUP(AC$76,'Attrition Modeling'!$L$15:$N$27,IF(AC$77+$F97&lt;=24,2,3),FALSE)),$C$3)*(1+IF('IP Attrition'!AC154&gt;0,'Attrition Modeling'!$N$9,0)))</f>
        <v>0</v>
      </c>
      <c r="AD97" s="799">
        <f>AC97*(1-IFERROR(IF(AD$77+$F97&lt;=12,SUMIFS('Attrition Modeling'!$D:$D,'Attrition Modeling'!$C:$C,$D97,'Attrition Modeling'!$B:$B,AD$76),VLOOKUP($F97+AD$77,$A$7:$C$107,2,FALSE)*VLOOKUP(AD$76,'Attrition Modeling'!$L$15:$N$27,IF(AD$77+$F97&lt;=24,2,3),FALSE)),$C$3)*(1+IF('IP Attrition'!AD154&gt;0,'Attrition Modeling'!$N$9,0)))</f>
        <v>0</v>
      </c>
      <c r="AE97" s="799">
        <f>AD97*(1-IFERROR(IF(AE$77+$F97&lt;=12,SUMIFS('Attrition Modeling'!$D:$D,'Attrition Modeling'!$C:$C,$D97,'Attrition Modeling'!$B:$B,AE$76),VLOOKUP($F97+AE$77,$A$7:$C$107,2,FALSE)*VLOOKUP(AE$76,'Attrition Modeling'!$L$15:$N$27,IF(AE$77+$F97&lt;=24,2,3),FALSE)),$C$3)*(1+IF('IP Attrition'!AE154&gt;0,'Attrition Modeling'!$N$9,0)))</f>
        <v>0</v>
      </c>
      <c r="AF97" s="799">
        <f>AE97*(1-IFERROR(IF(AF$77+$F97&lt;=12,SUMIFS('Attrition Modeling'!$D:$D,'Attrition Modeling'!$C:$C,$D97,'Attrition Modeling'!$B:$B,AF$76),VLOOKUP($F97+AF$77,$A$7:$C$107,2,FALSE)*VLOOKUP(AF$76,'Attrition Modeling'!$L$15:$N$27,IF(AF$77+$F97&lt;=24,2,3),FALSE)),$C$3)*(1+IF('IP Attrition'!AF154&gt;0,'Attrition Modeling'!$N$9,0)))</f>
        <v>0</v>
      </c>
      <c r="AG97" s="799">
        <f>AF97*(1-IFERROR(IF(AG$77+$F97&lt;=12,SUMIFS('Attrition Modeling'!$D:$D,'Attrition Modeling'!$C:$C,$D97,'Attrition Modeling'!$B:$B,AG$76),VLOOKUP($F97+AG$77,$A$7:$C$107,2,FALSE)*VLOOKUP(AG$76,'Attrition Modeling'!$L$15:$N$27,IF(AG$77+$F97&lt;=24,2,3),FALSE)),$C$3)*(1+IF('IP Attrition'!AG154&gt;0,'Attrition Modeling'!$N$9,0)))</f>
        <v>0</v>
      </c>
      <c r="AH97" s="799">
        <f>AG97*(1-IFERROR(IF(AH$77+$F97&lt;=12,SUMIFS('Attrition Modeling'!$D:$D,'Attrition Modeling'!$C:$C,$D97,'Attrition Modeling'!$B:$B,AH$76),VLOOKUP($F97+AH$77,$A$7:$C$107,2,FALSE)*VLOOKUP(AH$76,'Attrition Modeling'!$L$15:$N$27,IF(AH$77+$F97&lt;=24,2,3),FALSE)),$C$3)*(1+IF('IP Attrition'!AH154&gt;0,'Attrition Modeling'!$N$9,0)))</f>
        <v>0</v>
      </c>
      <c r="AI97" s="799">
        <f>AH97*(1-IFERROR(IF(AI$77+$F97&lt;=12,SUMIFS('Attrition Modeling'!$D:$D,'Attrition Modeling'!$C:$C,$D97,'Attrition Modeling'!$B:$B,AI$76),VLOOKUP($F97+AI$77,$A$7:$C$107,2,FALSE)*VLOOKUP(AI$76,'Attrition Modeling'!$L$15:$N$27,IF(AI$77+$F97&lt;=24,2,3),FALSE)),$C$3)*(1+IF('IP Attrition'!AI154&gt;0,'Attrition Modeling'!$N$9,0)))</f>
        <v>0</v>
      </c>
      <c r="AJ97" s="799">
        <f>AI97*(1-IFERROR(IF(AJ$77+$F97&lt;=12,SUMIFS('Attrition Modeling'!$D:$D,'Attrition Modeling'!$C:$C,$D97,'Attrition Modeling'!$B:$B,AJ$76),VLOOKUP($F97+AJ$77,$A$7:$C$107,2,FALSE)*VLOOKUP(AJ$76,'Attrition Modeling'!$L$15:$N$27,IF(AJ$77+$F97&lt;=24,2,3),FALSE)),$C$3)*(1+IF('IP Attrition'!AJ154&gt;0,'Attrition Modeling'!$N$9,0)))</f>
        <v>0</v>
      </c>
      <c r="AK97" s="799">
        <f>AJ97*(1-IFERROR(IF(AK$77+$F97&lt;=12,SUMIFS('Attrition Modeling'!$D:$D,'Attrition Modeling'!$C:$C,$D97,'Attrition Modeling'!$B:$B,AK$76),VLOOKUP($F97+AK$77,$A$7:$C$107,2,FALSE)*VLOOKUP(AK$76,'Attrition Modeling'!$L$15:$N$27,IF(AK$77+$F97&lt;=24,2,3),FALSE)),$C$3)*(1+IF('IP Attrition'!AK154&gt;0,'Attrition Modeling'!$N$9,0)))</f>
        <v>0</v>
      </c>
      <c r="AL97" s="799">
        <f>AK97*(1-IFERROR(IF(AL$77+$F97&lt;=12,SUMIFS('Attrition Modeling'!$D:$D,'Attrition Modeling'!$C:$C,$D97,'Attrition Modeling'!$B:$B,AL$76),VLOOKUP($F97+AL$77,$A$7:$C$107,2,FALSE)*VLOOKUP(AL$76,'Attrition Modeling'!$L$15:$N$27,IF(AL$77+$F97&lt;=24,2,3),FALSE)),$C$3)*(1+IF('IP Attrition'!AL154&gt;0,'Attrition Modeling'!$N$9,0)))</f>
        <v>0</v>
      </c>
      <c r="AM97" s="799">
        <f>AL97*(1-IFERROR(IF(AM$77+$F97&lt;=12,SUMIFS('Attrition Modeling'!$D:$D,'Attrition Modeling'!$C:$C,$D97,'Attrition Modeling'!$B:$B,AM$76),VLOOKUP($F97+AM$77,$A$7:$C$107,2,FALSE)*VLOOKUP(AM$76,'Attrition Modeling'!$L$15:$N$27,IF(AM$77+$F97&lt;=24,2,3),FALSE)),$C$3)*(1+IF('IP Attrition'!AM154&gt;0,'Attrition Modeling'!$N$9,0)))</f>
        <v>0</v>
      </c>
      <c r="AN97" s="799">
        <f>AM97*(1-IFERROR(IF(AN$77+$F97&lt;=12,SUMIFS('Attrition Modeling'!$D:$D,'Attrition Modeling'!$C:$C,$D97,'Attrition Modeling'!$B:$B,AN$76),VLOOKUP($F97+AN$77,$A$7:$C$107,2,FALSE)*VLOOKUP(AN$76,'Attrition Modeling'!$L$15:$N$27,IF(AN$77+$F97&lt;=24,2,3),FALSE)),$C$3)*(1+IF('IP Attrition'!AN154&gt;0,'Attrition Modeling'!$N$9,0)))</f>
        <v>0</v>
      </c>
      <c r="AO97" s="799">
        <f>AN97*(1-IFERROR(IF(AO$77+$F97&lt;=12,SUMIFS('Attrition Modeling'!$D:$D,'Attrition Modeling'!$C:$C,$D97,'Attrition Modeling'!$B:$B,AO$76),VLOOKUP($F97+AO$77,$A$7:$C$107,2,FALSE)*VLOOKUP(AO$76,'Attrition Modeling'!$L$15:$N$27,IF(AO$77+$F97&lt;=24,2,3),FALSE)),$C$3)*(1+IF('IP Attrition'!AO154&gt;0,'Attrition Modeling'!$N$9,0)))</f>
        <v>0</v>
      </c>
      <c r="AP97" s="799">
        <f>AO97*(1-IFERROR(IF(AP$77+$F97&lt;=12,SUMIFS('Attrition Modeling'!$D:$D,'Attrition Modeling'!$C:$C,$D97,'Attrition Modeling'!$B:$B,AP$76),VLOOKUP($F97+AP$77,$A$7:$C$107,2,FALSE)*VLOOKUP(AP$76,'Attrition Modeling'!$L$15:$N$27,IF(AP$77+$F97&lt;=24,2,3),FALSE)),$C$3)*(1+IF('IP Attrition'!AP154&gt;0,'Attrition Modeling'!$N$9,0)))</f>
        <v>0</v>
      </c>
      <c r="AQ97" s="799">
        <f>AP97*(1-IFERROR(IF(AQ$77+$F97&lt;=12,SUMIFS('Attrition Modeling'!$D:$D,'Attrition Modeling'!$C:$C,$D97,'Attrition Modeling'!$B:$B,AQ$76),VLOOKUP($F97+AQ$77,$A$7:$C$107,2,FALSE)*VLOOKUP(AQ$76,'Attrition Modeling'!$L$15:$N$27,IF(AQ$77+$F97&lt;=24,2,3),FALSE)),$C$3)*(1+IF('IP Attrition'!AQ154&gt;0,'Attrition Modeling'!$N$9,0)))</f>
        <v>0</v>
      </c>
      <c r="AR97" s="799">
        <f>AQ97*(1-IFERROR(IF(AR$77+$F97&lt;=12,SUMIFS('Attrition Modeling'!$D:$D,'Attrition Modeling'!$C:$C,$D97,'Attrition Modeling'!$B:$B,AR$76),VLOOKUP($F97+AR$77,$A$7:$C$107,2,FALSE)*VLOOKUP(AR$76,'Attrition Modeling'!$L$15:$N$27,IF(AR$77+$F97&lt;=24,2,3),FALSE)),$C$3)*(1+IF('IP Attrition'!AR154&gt;0,'Attrition Modeling'!$N$9,0)))</f>
        <v>0</v>
      </c>
      <c r="AS97" s="799">
        <f>AR97*(1-IFERROR(IF(AS$77+$F97&lt;=12,SUMIFS('Attrition Modeling'!$D:$D,'Attrition Modeling'!$C:$C,$D97,'Attrition Modeling'!$B:$B,AS$76),VLOOKUP($F97+AS$77,$A$7:$C$107,2,FALSE)*VLOOKUP(AS$76,'Attrition Modeling'!$L$15:$N$27,IF(AS$77+$F97&lt;=24,2,3),FALSE)),$C$3)*(1+IF('IP Attrition'!AS154&gt;0,'Attrition Modeling'!$N$9,0)))</f>
        <v>0</v>
      </c>
      <c r="AT97" s="799">
        <f>AS97*(1-IFERROR(IF(AT$77+$F97&lt;=12,SUMIFS('Attrition Modeling'!$D:$D,'Attrition Modeling'!$C:$C,$D97,'Attrition Modeling'!$B:$B,AT$76),VLOOKUP($F97+AT$77,$A$7:$C$107,2,FALSE)*VLOOKUP(AT$76,'Attrition Modeling'!$L$15:$N$27,IF(AT$77+$F97&lt;=24,2,3),FALSE)),$C$3)*(1+IF('IP Attrition'!AT154&gt;0,'Attrition Modeling'!$N$9,0)))</f>
        <v>0</v>
      </c>
      <c r="AU97" s="799">
        <f>AT97*(1-IFERROR(IF(AU$77+$F97&lt;=12,SUMIFS('Attrition Modeling'!$D:$D,'Attrition Modeling'!$C:$C,$D97,'Attrition Modeling'!$B:$B,AU$76),VLOOKUP($F97+AU$77,$A$7:$C$107,2,FALSE)*VLOOKUP(AU$76,'Attrition Modeling'!$L$15:$N$27,IF(AU$77+$F97&lt;=24,2,3),FALSE)),$C$3)*(1+IF('IP Attrition'!AU154&gt;0,'Attrition Modeling'!$N$9,0)))</f>
        <v>0</v>
      </c>
      <c r="AV97" s="799">
        <f>AU97*(1-IFERROR(IF(AV$77+$F97&lt;=12,SUMIFS('Attrition Modeling'!$D:$D,'Attrition Modeling'!$C:$C,$D97,'Attrition Modeling'!$B:$B,AV$76),VLOOKUP($F97+AV$77,$A$7:$C$107,2,FALSE)*VLOOKUP(AV$76,'Attrition Modeling'!$L$15:$N$27,IF(AV$77+$F97&lt;=24,2,3),FALSE)),$C$3)*(1+IF('IP Attrition'!AV154&gt;0,'Attrition Modeling'!$N$9,0)))</f>
        <v>0</v>
      </c>
      <c r="AW97" s="799">
        <f>AV97*(1-IFERROR(IF(AW$77+$F97&lt;=12,SUMIFS('Attrition Modeling'!$D:$D,'Attrition Modeling'!$C:$C,$D97,'Attrition Modeling'!$B:$B,AW$76),VLOOKUP($F97+AW$77,$A$7:$C$107,2,FALSE)*VLOOKUP(AW$76,'Attrition Modeling'!$L$15:$N$27,IF(AW$77+$F97&lt;=24,2,3),FALSE)),$C$3)*(1+IF('IP Attrition'!AW154&gt;0,'Attrition Modeling'!$N$9,0)))</f>
        <v>0</v>
      </c>
      <c r="AX97" s="799">
        <f>AW97*(1-IFERROR(IF(AX$77+$F97&lt;=12,SUMIFS('Attrition Modeling'!$D:$D,'Attrition Modeling'!$C:$C,$D97,'Attrition Modeling'!$B:$B,AX$76),VLOOKUP($F97+AX$77,$A$7:$C$107,2,FALSE)*VLOOKUP(AX$76,'Attrition Modeling'!$L$15:$N$27,IF(AX$77+$F97&lt;=24,2,3),FALSE)),$C$3)*(1+IF('IP Attrition'!AX154&gt;0,'Attrition Modeling'!$N$9,0)))</f>
        <v>0</v>
      </c>
      <c r="AY97" s="799">
        <f>AX97*(1-IFERROR(IF(AY$77+$F97&lt;=12,SUMIFS('Attrition Modeling'!$D:$D,'Attrition Modeling'!$C:$C,$D97,'Attrition Modeling'!$B:$B,AY$76),VLOOKUP($F97+AY$77,$A$7:$C$107,2,FALSE)*VLOOKUP(AY$76,'Attrition Modeling'!$L$15:$N$27,IF(AY$77+$F97&lt;=24,2,3),FALSE)),$C$3)*(1+IF('IP Attrition'!AY154&gt;0,'Attrition Modeling'!$N$9,0)))</f>
        <v>0</v>
      </c>
      <c r="AZ97" s="799">
        <f>AY97*(1-IFERROR(IF(AZ$77+$F97&lt;=12,SUMIFS('Attrition Modeling'!$D:$D,'Attrition Modeling'!$C:$C,$D97,'Attrition Modeling'!$B:$B,AZ$76),VLOOKUP($F97+AZ$77,$A$7:$C$107,2,FALSE)*VLOOKUP(AZ$76,'Attrition Modeling'!$L$15:$N$27,IF(AZ$77+$F97&lt;=24,2,3),FALSE)),$C$3)*(1+IF('IP Attrition'!AZ154&gt;0,'Attrition Modeling'!$N$9,0)))</f>
        <v>0</v>
      </c>
      <c r="BA97" s="799">
        <f>AZ97*(1-IFERROR(IF(BA$77+$F97&lt;=12,SUMIFS('Attrition Modeling'!$D:$D,'Attrition Modeling'!$C:$C,$D97,'Attrition Modeling'!$B:$B,BA$76),VLOOKUP($F97+BA$77,$A$7:$C$107,2,FALSE)*VLOOKUP(BA$76,'Attrition Modeling'!$L$15:$N$27,IF(BA$77+$F97&lt;=24,2,3),FALSE)),$C$3)*(1+IF('IP Attrition'!BA154&gt;0,'Attrition Modeling'!$N$9,0)))</f>
        <v>0</v>
      </c>
      <c r="BB97" s="799">
        <f>BA97*(1-IFERROR(IF(BB$77+$F97&lt;=12,SUMIFS('Attrition Modeling'!$D:$D,'Attrition Modeling'!$C:$C,$D97,'Attrition Modeling'!$B:$B,BB$76),VLOOKUP($F97+BB$77,$A$7:$C$107,2,FALSE)*VLOOKUP(BB$76,'Attrition Modeling'!$L$15:$N$27,IF(BB$77+$F97&lt;=24,2,3),FALSE)),$C$3)*(1+IF('IP Attrition'!BB154&gt;0,'Attrition Modeling'!$N$9,0)))</f>
        <v>0</v>
      </c>
      <c r="BC97" s="799">
        <f>BB97*(1-IFERROR(IF(BC$77+$F97&lt;=12,SUMIFS('Attrition Modeling'!$D:$D,'Attrition Modeling'!$C:$C,$D97,'Attrition Modeling'!$B:$B,BC$76),VLOOKUP($F97+BC$77,$A$7:$C$107,2,FALSE)*VLOOKUP(BC$76,'Attrition Modeling'!$L$15:$N$27,IF(BC$77+$F97&lt;=24,2,3),FALSE)),$C$3)*(1+IF('IP Attrition'!BC154&gt;0,'Attrition Modeling'!$N$9,0)))</f>
        <v>0</v>
      </c>
      <c r="BD97" s="799">
        <f>BC97*(1-IFERROR(IF(BD$77+$F97&lt;=12,SUMIFS('Attrition Modeling'!$D:$D,'Attrition Modeling'!$C:$C,$D97,'Attrition Modeling'!$B:$B,BD$76),VLOOKUP($F97+BD$77,$A$7:$C$107,2,FALSE)*VLOOKUP(BD$76,'Attrition Modeling'!$L$15:$N$27,IF(BD$77+$F97&lt;=24,2,3),FALSE)),$C$3)*(1+IF('IP Attrition'!BD154&gt;0,'Attrition Modeling'!$N$9,0)))</f>
        <v>0</v>
      </c>
      <c r="BE97" s="799">
        <f>BD97*(1-IFERROR(IF(BE$77+$F97&lt;=12,SUMIFS('Attrition Modeling'!$D:$D,'Attrition Modeling'!$C:$C,$D97,'Attrition Modeling'!$B:$B,BE$76),VLOOKUP($F97+BE$77,$A$7:$C$107,2,FALSE)*VLOOKUP(BE$76,'Attrition Modeling'!$L$15:$N$27,IF(BE$77+$F97&lt;=24,2,3),FALSE)),$C$3)*(1+IF('IP Attrition'!BE154&gt;0,'Attrition Modeling'!$N$9,0)))</f>
        <v>0</v>
      </c>
      <c r="BF97" s="799">
        <f>BE97*(1-IFERROR(IF(BF$77+$F97&lt;=12,SUMIFS('Attrition Modeling'!$D:$D,'Attrition Modeling'!$C:$C,$D97,'Attrition Modeling'!$B:$B,BF$76),VLOOKUP($F97+BF$77,$A$7:$C$107,2,FALSE)*VLOOKUP(BF$76,'Attrition Modeling'!$L$15:$N$27,IF(BF$77+$F97&lt;=24,2,3),FALSE)),$C$3)*(1+IF('IP Attrition'!BF154&gt;0,'Attrition Modeling'!$N$9,0)))</f>
        <v>0</v>
      </c>
      <c r="BG97" s="799">
        <f>BF97*(1-IFERROR(IF(BG$77+$F97&lt;=12,SUMIFS('Attrition Modeling'!$D:$D,'Attrition Modeling'!$C:$C,$D97,'Attrition Modeling'!$B:$B,BG$76),VLOOKUP($F97+BG$77,$A$7:$C$107,2,FALSE)*VLOOKUP(BG$76,'Attrition Modeling'!$L$15:$N$27,IF(BG$77+$F97&lt;=24,2,3),FALSE)),$C$3)*(1+IF('IP Attrition'!BG154&gt;0,'Attrition Modeling'!$N$9,0)))</f>
        <v>0</v>
      </c>
      <c r="BH97" s="799">
        <f>BG97*(1-IFERROR(IF(BH$77+$F97&lt;=12,SUMIFS('Attrition Modeling'!$D:$D,'Attrition Modeling'!$C:$C,$D97,'Attrition Modeling'!$B:$B,BH$76),VLOOKUP($F97+BH$77,$A$7:$C$107,2,FALSE)*VLOOKUP(BH$76,'Attrition Modeling'!$L$15:$N$27,IF(BH$77+$F97&lt;=24,2,3),FALSE)),$C$3)*(1+IF('IP Attrition'!BH154&gt;0,'Attrition Modeling'!$N$9,0)))</f>
        <v>0</v>
      </c>
      <c r="BI97" s="799">
        <f>BH97*(1-IFERROR(IF(BI$77+$F97&lt;=12,SUMIFS('Attrition Modeling'!$D:$D,'Attrition Modeling'!$C:$C,$D97,'Attrition Modeling'!$B:$B,BI$76),VLOOKUP($F97+BI$77,$A$7:$C$107,2,FALSE)*VLOOKUP(BI$76,'Attrition Modeling'!$L$15:$N$27,IF(BI$77+$F97&lt;=24,2,3),FALSE)),$C$3)*(1+IF('IP Attrition'!BI154&gt;0,'Attrition Modeling'!$N$9,0)))</f>
        <v>0</v>
      </c>
      <c r="BJ97" s="799">
        <f>BI97*(1-IFERROR(IF(BJ$77+$F97&lt;=12,SUMIFS('Attrition Modeling'!$D:$D,'Attrition Modeling'!$C:$C,$D97,'Attrition Modeling'!$B:$B,BJ$76),VLOOKUP($F97+BJ$77,$A$7:$C$107,2,FALSE)*VLOOKUP(BJ$76,'Attrition Modeling'!$L$15:$N$27,IF(BJ$77+$F97&lt;=24,2,3),FALSE)),$C$3)*(1+IF('IP Attrition'!BJ154&gt;0,'Attrition Modeling'!$N$9,0)))</f>
        <v>0</v>
      </c>
      <c r="BK97" s="799">
        <f>BJ97*(1-IFERROR(IF(BK$77+$F97&lt;=12,SUMIFS('Attrition Modeling'!$D:$D,'Attrition Modeling'!$C:$C,$D97,'Attrition Modeling'!$B:$B,BK$76),VLOOKUP($F97+BK$77,$A$7:$C$107,2,FALSE)*VLOOKUP(BK$76,'Attrition Modeling'!$L$15:$N$27,IF(BK$77+$F97&lt;=24,2,3),FALSE)),$C$3)*(1+IF('IP Attrition'!BK154&gt;0,'Attrition Modeling'!$N$9,0)))</f>
        <v>0</v>
      </c>
      <c r="BL97" s="799">
        <f>BK97*(1-IFERROR(IF(BL$77+$F97&lt;=12,SUMIFS('Attrition Modeling'!$D:$D,'Attrition Modeling'!$C:$C,$D97,'Attrition Modeling'!$B:$B,BL$76),VLOOKUP($F97+BL$77,$A$7:$C$107,2,FALSE)*VLOOKUP(BL$76,'Attrition Modeling'!$L$15:$N$27,IF(BL$77+$F97&lt;=24,2,3),FALSE)),$C$3)*(1+IF('IP Attrition'!BL154&gt;0,'Attrition Modeling'!$N$9,0)))</f>
        <v>0</v>
      </c>
      <c r="BM97" s="799">
        <f>BL97*(1-IFERROR(IF(BM$77+$F97&lt;=12,SUMIFS('Attrition Modeling'!$D:$D,'Attrition Modeling'!$C:$C,$D97,'Attrition Modeling'!$B:$B,BM$76),VLOOKUP($F97+BM$77,$A$7:$C$107,2,FALSE)*VLOOKUP(BM$76,'Attrition Modeling'!$L$15:$N$27,IF(BM$77+$F97&lt;=24,2,3),FALSE)),$C$3)*(1+IF('IP Attrition'!BM154&gt;0,'Attrition Modeling'!$N$9,0)))</f>
        <v>0</v>
      </c>
      <c r="BN97" s="799">
        <f>BM97*(1-IFERROR(IF(BN$77+$F97&lt;=12,SUMIFS('Attrition Modeling'!$D:$D,'Attrition Modeling'!$C:$C,$D97,'Attrition Modeling'!$B:$B,BN$76),VLOOKUP($F97+BN$77,$A$7:$C$107,2,FALSE)*VLOOKUP(BN$76,'Attrition Modeling'!$L$15:$N$27,IF(BN$77+$F97&lt;=24,2,3),FALSE)),$C$3)*(1+IF('IP Attrition'!BN154&gt;0,'Attrition Modeling'!$N$9,0)))</f>
        <v>0</v>
      </c>
      <c r="BO97" s="799">
        <f>BN97*(1-IFERROR(IF(BO$77+$F97&lt;=12,SUMIFS('Attrition Modeling'!$D:$D,'Attrition Modeling'!$C:$C,$D97,'Attrition Modeling'!$B:$B,BO$76),VLOOKUP($F97+BO$77,$A$7:$C$107,2,FALSE)*VLOOKUP(BO$76,'Attrition Modeling'!$L$15:$N$27,IF(BO$77+$F97&lt;=24,2,3),FALSE)),$C$3)*(1+IF('IP Attrition'!BO154&gt;0,'Attrition Modeling'!$N$9,0)))</f>
        <v>0</v>
      </c>
      <c r="BP97" s="799">
        <f>BO97*(1-IFERROR(IF(BP$77+$F97&lt;=12,SUMIFS('Attrition Modeling'!$D:$D,'Attrition Modeling'!$C:$C,$D97,'Attrition Modeling'!$B:$B,BP$76),VLOOKUP($F97+BP$77,$A$7:$C$107,2,FALSE)*VLOOKUP(BP$76,'Attrition Modeling'!$L$15:$N$27,IF(BP$77+$F97&lt;=24,2,3),FALSE)),$C$3)*(1+IF('IP Attrition'!BP154&gt;0,'Attrition Modeling'!$N$9,0)))</f>
        <v>0</v>
      </c>
      <c r="BQ97" s="799">
        <f>BP97*(1-IFERROR(IF(BQ$77+$F97&lt;=12,SUMIFS('Attrition Modeling'!$D:$D,'Attrition Modeling'!$C:$C,$D97,'Attrition Modeling'!$B:$B,BQ$76),VLOOKUP($F97+BQ$77,$A$7:$C$107,2,FALSE)*VLOOKUP(BQ$76,'Attrition Modeling'!$L$15:$N$27,IF(BQ$77+$F97&lt;=24,2,3),FALSE)),$C$3)*(1+IF('IP Attrition'!BQ154&gt;0,'Attrition Modeling'!$N$9,0)))</f>
        <v>0</v>
      </c>
      <c r="BR97" s="799">
        <f>BQ97*(1-IFERROR(IF(BR$77+$F97&lt;=12,SUMIFS('Attrition Modeling'!$D:$D,'Attrition Modeling'!$C:$C,$D97,'Attrition Modeling'!$B:$B,BR$76),VLOOKUP($F97+BR$77,$A$7:$C$107,2,FALSE)*VLOOKUP(BR$76,'Attrition Modeling'!$L$15:$N$27,IF(BR$77+$F97&lt;=24,2,3),FALSE)),$C$3)*(1+IF('IP Attrition'!BR154&gt;0,'Attrition Modeling'!$N$9,0)))</f>
        <v>0</v>
      </c>
      <c r="BS97" s="799">
        <f>BR97*(1-IFERROR(IF(BS$77+$F97&lt;=12,SUMIFS('Attrition Modeling'!$D:$D,'Attrition Modeling'!$C:$C,$D97,'Attrition Modeling'!$B:$B,BS$76),VLOOKUP($F97+BS$77,$A$7:$C$107,2,FALSE)*VLOOKUP(BS$76,'Attrition Modeling'!$L$15:$N$27,IF(BS$77+$F97&lt;=24,2,3),FALSE)),$C$3)*(1+IF('IP Attrition'!BS154&gt;0,'Attrition Modeling'!$N$9,0)))</f>
        <v>0</v>
      </c>
      <c r="BT97" s="799" t="e">
        <f>BS97*(1-IFERROR(IF(BT$77+$F97&lt;=12,SUMIFS('Attrition Modeling'!$D:$D,'Attrition Modeling'!$C:$C,$D97,'Attrition Modeling'!$B:$B,BT$76),VLOOKUP($F97+BT$77,$A$7:$C$107,2,FALSE)*VLOOKUP(BT$76,'Attrition Modeling'!$L$15:$N$27,IF(BT$77+$F97&lt;=24,2,3),FALSE)),$C$3)*(1+IF('IP Attrition'!BT154&gt;0,'Attrition Modeling'!$N$9,0)))</f>
        <v>#REF!</v>
      </c>
      <c r="BU97" s="799" t="e">
        <f>BT97*(1-IFERROR(IF(BU$77+$F97&lt;=12,SUMIFS('Attrition Modeling'!$D:$D,'Attrition Modeling'!$C:$C,$D97,'Attrition Modeling'!$B:$B,BU$76),VLOOKUP($F97+BU$77,$A$7:$C$107,2,FALSE)*VLOOKUP(BU$76,'Attrition Modeling'!$L$15:$N$27,IF(BU$77+$F97&lt;=24,2,3),FALSE)),$C$3)*(1+IF('IP Attrition'!BU154&gt;0,'Attrition Modeling'!$N$9,0)))</f>
        <v>#REF!</v>
      </c>
    </row>
    <row r="98" spans="1:73" ht="14.25" customHeight="1" x14ac:dyDescent="0.2">
      <c r="A98" s="9">
        <v>90</v>
      </c>
      <c r="B98" s="25">
        <f>MAX('Attrition Modeling'!H94,$C$3)*(1-Summary!$C$20)</f>
        <v>0.02</v>
      </c>
      <c r="C98" s="24" t="e">
        <f t="shared" si="2"/>
        <v>#DIV/0!</v>
      </c>
      <c r="D98" s="11">
        <f>'IP Attrition'!D90</f>
        <v>-20</v>
      </c>
      <c r="E98" s="25">
        <f>'IP Attrition'!E90</f>
        <v>0</v>
      </c>
      <c r="F98" s="11">
        <f t="shared" si="8"/>
        <v>20</v>
      </c>
      <c r="G98" s="799">
        <f>Summary!$C$24*$E98</f>
        <v>0</v>
      </c>
      <c r="H98" s="799">
        <f>G98*(1-IFERROR(IF(H$77+$F98&lt;=12,SUMIFS('Attrition Modeling'!$D:$D,'Attrition Modeling'!$C:$C,$D98,'Attrition Modeling'!$B:$B,H$76),VLOOKUP($F98+H$77,$A$7:$C$107,2,FALSE)*VLOOKUP(H$76,'Attrition Modeling'!$L$15:$N$27,IF(H$77+$F98&lt;=24,2,3),FALSE)),$C$3)*(1+IF('IP Attrition'!H155&gt;0,'Attrition Modeling'!$N$9,0)))</f>
        <v>0</v>
      </c>
      <c r="I98" s="799">
        <f>H98*(1-IFERROR(IF(I$77+$F98&lt;=12,SUMIFS('Attrition Modeling'!$D:$D,'Attrition Modeling'!$C:$C,$D98,'Attrition Modeling'!$B:$B,I$76),VLOOKUP($F98+I$77,$A$7:$C$107,2,FALSE)*VLOOKUP(I$76,'Attrition Modeling'!$L$15:$N$27,IF(I$77+$F98&lt;=24,2,3),FALSE)),$C$3)*(1+IF('IP Attrition'!I155&gt;0,'Attrition Modeling'!$N$9,0)))</f>
        <v>0</v>
      </c>
      <c r="J98" s="799">
        <f>I98*(1-IFERROR(IF(J$77+$F98&lt;=12,SUMIFS('Attrition Modeling'!$D:$D,'Attrition Modeling'!$C:$C,$D98,'Attrition Modeling'!$B:$B,J$76),VLOOKUP($F98+J$77,$A$7:$C$107,2,FALSE)*VLOOKUP(J$76,'Attrition Modeling'!$L$15:$N$27,IF(J$77+$F98&lt;=24,2,3),FALSE)),$C$3)*(1+IF('IP Attrition'!J155&gt;0,'Attrition Modeling'!$N$9,0)))</f>
        <v>0</v>
      </c>
      <c r="K98" s="799">
        <f>J98*(1-IFERROR(IF(K$77+$F98&lt;=12,SUMIFS('Attrition Modeling'!$D:$D,'Attrition Modeling'!$C:$C,$D98,'Attrition Modeling'!$B:$B,K$76),VLOOKUP($F98+K$77,$A$7:$C$107,2,FALSE)*VLOOKUP(K$76,'Attrition Modeling'!$L$15:$N$27,IF(K$77+$F98&lt;=24,2,3),FALSE)),$C$3)*(1+IF('IP Attrition'!K155&gt;0,'Attrition Modeling'!$N$9,0)))</f>
        <v>0</v>
      </c>
      <c r="L98" s="799">
        <f>K98*(1-IFERROR(IF(L$77+$F98&lt;=12,SUMIFS('Attrition Modeling'!$D:$D,'Attrition Modeling'!$C:$C,$D98,'Attrition Modeling'!$B:$B,L$76),VLOOKUP($F98+L$77,$A$7:$C$107,2,FALSE)*VLOOKUP(L$76,'Attrition Modeling'!$L$15:$N$27,IF(L$77+$F98&lt;=24,2,3),FALSE)),$C$3)*(1+IF('IP Attrition'!L155&gt;0,'Attrition Modeling'!$N$9,0)))</f>
        <v>0</v>
      </c>
      <c r="M98" s="799">
        <f>L98*(1-IFERROR(IF(M$77+$F98&lt;=12,SUMIFS('Attrition Modeling'!$D:$D,'Attrition Modeling'!$C:$C,$D98,'Attrition Modeling'!$B:$B,M$76),VLOOKUP($F98+M$77,$A$7:$C$107,2,FALSE)*VLOOKUP(M$76,'Attrition Modeling'!$L$15:$N$27,IF(M$77+$F98&lt;=24,2,3),FALSE)),$C$3)*(1+IF('IP Attrition'!M155&gt;0,'Attrition Modeling'!$N$9,0)))</f>
        <v>0</v>
      </c>
      <c r="N98" s="799">
        <f>M98*(1-IFERROR(IF(N$77+$F98&lt;=12,SUMIFS('Attrition Modeling'!$D:$D,'Attrition Modeling'!$C:$C,$D98,'Attrition Modeling'!$B:$B,N$76),VLOOKUP($F98+N$77,$A$7:$C$107,2,FALSE)*VLOOKUP(N$76,'Attrition Modeling'!$L$15:$N$27,IF(N$77+$F98&lt;=24,2,3),FALSE)),$C$3)*(1+IF('IP Attrition'!N155&gt;0,'Attrition Modeling'!$N$9,0)))</f>
        <v>0</v>
      </c>
      <c r="O98" s="799">
        <f>N98*(1-IFERROR(IF(O$77+$F98&lt;=12,SUMIFS('Attrition Modeling'!$D:$D,'Attrition Modeling'!$C:$C,$D98,'Attrition Modeling'!$B:$B,O$76),VLOOKUP($F98+O$77,$A$7:$C$107,2,FALSE)*VLOOKUP(O$76,'Attrition Modeling'!$L$15:$N$27,IF(O$77+$F98&lt;=24,2,3),FALSE)),$C$3)*(1+IF('IP Attrition'!O155&gt;0,'Attrition Modeling'!$N$9,0)))</f>
        <v>0</v>
      </c>
      <c r="P98" s="799">
        <f>O98*(1-IFERROR(IF(P$77+$F98&lt;=12,SUMIFS('Attrition Modeling'!$D:$D,'Attrition Modeling'!$C:$C,$D98,'Attrition Modeling'!$B:$B,P$76),VLOOKUP($F98+P$77,$A$7:$C$107,2,FALSE)*VLOOKUP(P$76,'Attrition Modeling'!$L$15:$N$27,IF(P$77+$F98&lt;=24,2,3),FALSE)),$C$3)*(1+IF('IP Attrition'!P155&gt;0,'Attrition Modeling'!$N$9,0)))</f>
        <v>0</v>
      </c>
      <c r="Q98" s="799">
        <f>P98*(1-IFERROR(IF(Q$77+$F98&lt;=12,SUMIFS('Attrition Modeling'!$D:$D,'Attrition Modeling'!$C:$C,$D98,'Attrition Modeling'!$B:$B,Q$76),VLOOKUP($F98+Q$77,$A$7:$C$107,2,FALSE)*VLOOKUP(Q$76,'Attrition Modeling'!$L$15:$N$27,IF(Q$77+$F98&lt;=24,2,3),FALSE)),$C$3)*(1+IF('IP Attrition'!Q155&gt;0,'Attrition Modeling'!$N$9,0)))</f>
        <v>0</v>
      </c>
      <c r="R98" s="799">
        <f>Q98*(1-IFERROR(IF(R$77+$F98&lt;=12,SUMIFS('Attrition Modeling'!$D:$D,'Attrition Modeling'!$C:$C,$D98,'Attrition Modeling'!$B:$B,R$76),VLOOKUP($F98+R$77,$A$7:$C$107,2,FALSE)*VLOOKUP(R$76,'Attrition Modeling'!$L$15:$N$27,IF(R$77+$F98&lt;=24,2,3),FALSE)),$C$3)*(1+IF('IP Attrition'!R155&gt;0,'Attrition Modeling'!$N$9,0)))</f>
        <v>0</v>
      </c>
      <c r="S98" s="799">
        <f>R98*(1-IFERROR(IF(S$77+$F98&lt;=12,SUMIFS('Attrition Modeling'!$D:$D,'Attrition Modeling'!$C:$C,$D98,'Attrition Modeling'!$B:$B,S$76),VLOOKUP($F98+S$77,$A$7:$C$107,2,FALSE)*VLOOKUP(S$76,'Attrition Modeling'!$L$15:$N$27,IF(S$77+$F98&lt;=24,2,3),FALSE)),$C$3)*(1+IF('IP Attrition'!S155&gt;0,'Attrition Modeling'!$N$9,0)))</f>
        <v>0</v>
      </c>
      <c r="T98" s="799">
        <f>S98*(1-IFERROR(IF(T$77+$F98&lt;=12,SUMIFS('Attrition Modeling'!$D:$D,'Attrition Modeling'!$C:$C,$D98,'Attrition Modeling'!$B:$B,T$76),VLOOKUP($F98+T$77,$A$7:$C$107,2,FALSE)*VLOOKUP(T$76,'Attrition Modeling'!$L$15:$N$27,IF(T$77+$F98&lt;=24,2,3),FALSE)),$C$3)*(1+IF('IP Attrition'!T155&gt;0,'Attrition Modeling'!$N$9,0)))</f>
        <v>0</v>
      </c>
      <c r="U98" s="799">
        <f>T98*(1-IFERROR(IF(U$77+$F98&lt;=12,SUMIFS('Attrition Modeling'!$D:$D,'Attrition Modeling'!$C:$C,$D98,'Attrition Modeling'!$B:$B,U$76),VLOOKUP($F98+U$77,$A$7:$C$107,2,FALSE)*VLOOKUP(U$76,'Attrition Modeling'!$L$15:$N$27,IF(U$77+$F98&lt;=24,2,3),FALSE)),$C$3)*(1+IF('IP Attrition'!U155&gt;0,'Attrition Modeling'!$N$9,0)))</f>
        <v>0</v>
      </c>
      <c r="V98" s="799">
        <f>U98*(1-IFERROR(IF(V$77+$F98&lt;=12,SUMIFS('Attrition Modeling'!$D:$D,'Attrition Modeling'!$C:$C,$D98,'Attrition Modeling'!$B:$B,V$76),VLOOKUP($F98+V$77,$A$7:$C$107,2,FALSE)*VLOOKUP(V$76,'Attrition Modeling'!$L$15:$N$27,IF(V$77+$F98&lt;=24,2,3),FALSE)),$C$3)*(1+IF('IP Attrition'!V155&gt;0,'Attrition Modeling'!$N$9,0)))</f>
        <v>0</v>
      </c>
      <c r="W98" s="799">
        <f>V98*(1-IFERROR(IF(W$77+$F98&lt;=12,SUMIFS('Attrition Modeling'!$D:$D,'Attrition Modeling'!$C:$C,$D98,'Attrition Modeling'!$B:$B,W$76),VLOOKUP($F98+W$77,$A$7:$C$107,2,FALSE)*VLOOKUP(W$76,'Attrition Modeling'!$L$15:$N$27,IF(W$77+$F98&lt;=24,2,3),FALSE)),$C$3)*(1+IF('IP Attrition'!W155&gt;0,'Attrition Modeling'!$N$9,0)))</f>
        <v>0</v>
      </c>
      <c r="X98" s="799">
        <f>W98*(1-IFERROR(IF(X$77+$F98&lt;=12,SUMIFS('Attrition Modeling'!$D:$D,'Attrition Modeling'!$C:$C,$D98,'Attrition Modeling'!$B:$B,X$76),VLOOKUP($F98+X$77,$A$7:$C$107,2,FALSE)*VLOOKUP(X$76,'Attrition Modeling'!$L$15:$N$27,IF(X$77+$F98&lt;=24,2,3),FALSE)),$C$3)*(1+IF('IP Attrition'!X155&gt;0,'Attrition Modeling'!$N$9,0)))</f>
        <v>0</v>
      </c>
      <c r="Y98" s="799">
        <f>X98*(1-IFERROR(IF(Y$77+$F98&lt;=12,SUMIFS('Attrition Modeling'!$D:$D,'Attrition Modeling'!$C:$C,$D98,'Attrition Modeling'!$B:$B,Y$76),VLOOKUP($F98+Y$77,$A$7:$C$107,2,FALSE)*VLOOKUP(Y$76,'Attrition Modeling'!$L$15:$N$27,IF(Y$77+$F98&lt;=24,2,3),FALSE)),$C$3)*(1+IF('IP Attrition'!Y155&gt;0,'Attrition Modeling'!$N$9,0)))</f>
        <v>0</v>
      </c>
      <c r="Z98" s="799">
        <f>Y98*(1-IFERROR(IF(Z$77+$F98&lt;=12,SUMIFS('Attrition Modeling'!$D:$D,'Attrition Modeling'!$C:$C,$D98,'Attrition Modeling'!$B:$B,Z$76),VLOOKUP($F98+Z$77,$A$7:$C$107,2,FALSE)*VLOOKUP(Z$76,'Attrition Modeling'!$L$15:$N$27,IF(Z$77+$F98&lt;=24,2,3),FALSE)),$C$3)*(1+IF('IP Attrition'!Z155&gt;0,'Attrition Modeling'!$N$9,0)))</f>
        <v>0</v>
      </c>
      <c r="AA98" s="799">
        <f>Z98*(1-IFERROR(IF(AA$77+$F98&lt;=12,SUMIFS('Attrition Modeling'!$D:$D,'Attrition Modeling'!$C:$C,$D98,'Attrition Modeling'!$B:$B,AA$76),VLOOKUP($F98+AA$77,$A$7:$C$107,2,FALSE)*VLOOKUP(AA$76,'Attrition Modeling'!$L$15:$N$27,IF(AA$77+$F98&lt;=24,2,3),FALSE)),$C$3)*(1+IF('IP Attrition'!AA155&gt;0,'Attrition Modeling'!$N$9,0)))</f>
        <v>0</v>
      </c>
      <c r="AB98" s="799">
        <f>AA98*(1-IFERROR(IF(AB$77+$F98&lt;=12,SUMIFS('Attrition Modeling'!$D:$D,'Attrition Modeling'!$C:$C,$D98,'Attrition Modeling'!$B:$B,AB$76),VLOOKUP($F98+AB$77,$A$7:$C$107,2,FALSE)*VLOOKUP(AB$76,'Attrition Modeling'!$L$15:$N$27,IF(AB$77+$F98&lt;=24,2,3),FALSE)),$C$3)*(1+IF('IP Attrition'!AB155&gt;0,'Attrition Modeling'!$N$9,0)))</f>
        <v>0</v>
      </c>
      <c r="AC98" s="799">
        <f>AB98*(1-IFERROR(IF(AC$77+$F98&lt;=12,SUMIFS('Attrition Modeling'!$D:$D,'Attrition Modeling'!$C:$C,$D98,'Attrition Modeling'!$B:$B,AC$76),VLOOKUP($F98+AC$77,$A$7:$C$107,2,FALSE)*VLOOKUP(AC$76,'Attrition Modeling'!$L$15:$N$27,IF(AC$77+$F98&lt;=24,2,3),FALSE)),$C$3)*(1+IF('IP Attrition'!AC155&gt;0,'Attrition Modeling'!$N$9,0)))</f>
        <v>0</v>
      </c>
      <c r="AD98" s="799">
        <f>AC98*(1-IFERROR(IF(AD$77+$F98&lt;=12,SUMIFS('Attrition Modeling'!$D:$D,'Attrition Modeling'!$C:$C,$D98,'Attrition Modeling'!$B:$B,AD$76),VLOOKUP($F98+AD$77,$A$7:$C$107,2,FALSE)*VLOOKUP(AD$76,'Attrition Modeling'!$L$15:$N$27,IF(AD$77+$F98&lt;=24,2,3),FALSE)),$C$3)*(1+IF('IP Attrition'!AD155&gt;0,'Attrition Modeling'!$N$9,0)))</f>
        <v>0</v>
      </c>
      <c r="AE98" s="799">
        <f>AD98*(1-IFERROR(IF(AE$77+$F98&lt;=12,SUMIFS('Attrition Modeling'!$D:$D,'Attrition Modeling'!$C:$C,$D98,'Attrition Modeling'!$B:$B,AE$76),VLOOKUP($F98+AE$77,$A$7:$C$107,2,FALSE)*VLOOKUP(AE$76,'Attrition Modeling'!$L$15:$N$27,IF(AE$77+$F98&lt;=24,2,3),FALSE)),$C$3)*(1+IF('IP Attrition'!AE155&gt;0,'Attrition Modeling'!$N$9,0)))</f>
        <v>0</v>
      </c>
      <c r="AF98" s="799">
        <f>AE98*(1-IFERROR(IF(AF$77+$F98&lt;=12,SUMIFS('Attrition Modeling'!$D:$D,'Attrition Modeling'!$C:$C,$D98,'Attrition Modeling'!$B:$B,AF$76),VLOOKUP($F98+AF$77,$A$7:$C$107,2,FALSE)*VLOOKUP(AF$76,'Attrition Modeling'!$L$15:$N$27,IF(AF$77+$F98&lt;=24,2,3),FALSE)),$C$3)*(1+IF('IP Attrition'!AF155&gt;0,'Attrition Modeling'!$N$9,0)))</f>
        <v>0</v>
      </c>
      <c r="AG98" s="799">
        <f>AF98*(1-IFERROR(IF(AG$77+$F98&lt;=12,SUMIFS('Attrition Modeling'!$D:$D,'Attrition Modeling'!$C:$C,$D98,'Attrition Modeling'!$B:$B,AG$76),VLOOKUP($F98+AG$77,$A$7:$C$107,2,FALSE)*VLOOKUP(AG$76,'Attrition Modeling'!$L$15:$N$27,IF(AG$77+$F98&lt;=24,2,3),FALSE)),$C$3)*(1+IF('IP Attrition'!AG155&gt;0,'Attrition Modeling'!$N$9,0)))</f>
        <v>0</v>
      </c>
      <c r="AH98" s="799">
        <f>AG98*(1-IFERROR(IF(AH$77+$F98&lt;=12,SUMIFS('Attrition Modeling'!$D:$D,'Attrition Modeling'!$C:$C,$D98,'Attrition Modeling'!$B:$B,AH$76),VLOOKUP($F98+AH$77,$A$7:$C$107,2,FALSE)*VLOOKUP(AH$76,'Attrition Modeling'!$L$15:$N$27,IF(AH$77+$F98&lt;=24,2,3),FALSE)),$C$3)*(1+IF('IP Attrition'!AH155&gt;0,'Attrition Modeling'!$N$9,0)))</f>
        <v>0</v>
      </c>
      <c r="AI98" s="799">
        <f>AH98*(1-IFERROR(IF(AI$77+$F98&lt;=12,SUMIFS('Attrition Modeling'!$D:$D,'Attrition Modeling'!$C:$C,$D98,'Attrition Modeling'!$B:$B,AI$76),VLOOKUP($F98+AI$77,$A$7:$C$107,2,FALSE)*VLOOKUP(AI$76,'Attrition Modeling'!$L$15:$N$27,IF(AI$77+$F98&lt;=24,2,3),FALSE)),$C$3)*(1+IF('IP Attrition'!AI155&gt;0,'Attrition Modeling'!$N$9,0)))</f>
        <v>0</v>
      </c>
      <c r="AJ98" s="799">
        <f>AI98*(1-IFERROR(IF(AJ$77+$F98&lt;=12,SUMIFS('Attrition Modeling'!$D:$D,'Attrition Modeling'!$C:$C,$D98,'Attrition Modeling'!$B:$B,AJ$76),VLOOKUP($F98+AJ$77,$A$7:$C$107,2,FALSE)*VLOOKUP(AJ$76,'Attrition Modeling'!$L$15:$N$27,IF(AJ$77+$F98&lt;=24,2,3),FALSE)),$C$3)*(1+IF('IP Attrition'!AJ155&gt;0,'Attrition Modeling'!$N$9,0)))</f>
        <v>0</v>
      </c>
      <c r="AK98" s="799">
        <f>AJ98*(1-IFERROR(IF(AK$77+$F98&lt;=12,SUMIFS('Attrition Modeling'!$D:$D,'Attrition Modeling'!$C:$C,$D98,'Attrition Modeling'!$B:$B,AK$76),VLOOKUP($F98+AK$77,$A$7:$C$107,2,FALSE)*VLOOKUP(AK$76,'Attrition Modeling'!$L$15:$N$27,IF(AK$77+$F98&lt;=24,2,3),FALSE)),$C$3)*(1+IF('IP Attrition'!AK155&gt;0,'Attrition Modeling'!$N$9,0)))</f>
        <v>0</v>
      </c>
      <c r="AL98" s="799">
        <f>AK98*(1-IFERROR(IF(AL$77+$F98&lt;=12,SUMIFS('Attrition Modeling'!$D:$D,'Attrition Modeling'!$C:$C,$D98,'Attrition Modeling'!$B:$B,AL$76),VLOOKUP($F98+AL$77,$A$7:$C$107,2,FALSE)*VLOOKUP(AL$76,'Attrition Modeling'!$L$15:$N$27,IF(AL$77+$F98&lt;=24,2,3),FALSE)),$C$3)*(1+IF('IP Attrition'!AL155&gt;0,'Attrition Modeling'!$N$9,0)))</f>
        <v>0</v>
      </c>
      <c r="AM98" s="799">
        <f>AL98*(1-IFERROR(IF(AM$77+$F98&lt;=12,SUMIFS('Attrition Modeling'!$D:$D,'Attrition Modeling'!$C:$C,$D98,'Attrition Modeling'!$B:$B,AM$76),VLOOKUP($F98+AM$77,$A$7:$C$107,2,FALSE)*VLOOKUP(AM$76,'Attrition Modeling'!$L$15:$N$27,IF(AM$77+$F98&lt;=24,2,3),FALSE)),$C$3)*(1+IF('IP Attrition'!AM155&gt;0,'Attrition Modeling'!$N$9,0)))</f>
        <v>0</v>
      </c>
      <c r="AN98" s="799">
        <f>AM98*(1-IFERROR(IF(AN$77+$F98&lt;=12,SUMIFS('Attrition Modeling'!$D:$D,'Attrition Modeling'!$C:$C,$D98,'Attrition Modeling'!$B:$B,AN$76),VLOOKUP($F98+AN$77,$A$7:$C$107,2,FALSE)*VLOOKUP(AN$76,'Attrition Modeling'!$L$15:$N$27,IF(AN$77+$F98&lt;=24,2,3),FALSE)),$C$3)*(1+IF('IP Attrition'!AN155&gt;0,'Attrition Modeling'!$N$9,0)))</f>
        <v>0</v>
      </c>
      <c r="AO98" s="799">
        <f>AN98*(1-IFERROR(IF(AO$77+$F98&lt;=12,SUMIFS('Attrition Modeling'!$D:$D,'Attrition Modeling'!$C:$C,$D98,'Attrition Modeling'!$B:$B,AO$76),VLOOKUP($F98+AO$77,$A$7:$C$107,2,FALSE)*VLOOKUP(AO$76,'Attrition Modeling'!$L$15:$N$27,IF(AO$77+$F98&lt;=24,2,3),FALSE)),$C$3)*(1+IF('IP Attrition'!AO155&gt;0,'Attrition Modeling'!$N$9,0)))</f>
        <v>0</v>
      </c>
      <c r="AP98" s="799">
        <f>AO98*(1-IFERROR(IF(AP$77+$F98&lt;=12,SUMIFS('Attrition Modeling'!$D:$D,'Attrition Modeling'!$C:$C,$D98,'Attrition Modeling'!$B:$B,AP$76),VLOOKUP($F98+AP$77,$A$7:$C$107,2,FALSE)*VLOOKUP(AP$76,'Attrition Modeling'!$L$15:$N$27,IF(AP$77+$F98&lt;=24,2,3),FALSE)),$C$3)*(1+IF('IP Attrition'!AP155&gt;0,'Attrition Modeling'!$N$9,0)))</f>
        <v>0</v>
      </c>
      <c r="AQ98" s="799">
        <f>AP98*(1-IFERROR(IF(AQ$77+$F98&lt;=12,SUMIFS('Attrition Modeling'!$D:$D,'Attrition Modeling'!$C:$C,$D98,'Attrition Modeling'!$B:$B,AQ$76),VLOOKUP($F98+AQ$77,$A$7:$C$107,2,FALSE)*VLOOKUP(AQ$76,'Attrition Modeling'!$L$15:$N$27,IF(AQ$77+$F98&lt;=24,2,3),FALSE)),$C$3)*(1+IF('IP Attrition'!AQ155&gt;0,'Attrition Modeling'!$N$9,0)))</f>
        <v>0</v>
      </c>
      <c r="AR98" s="799">
        <f>AQ98*(1-IFERROR(IF(AR$77+$F98&lt;=12,SUMIFS('Attrition Modeling'!$D:$D,'Attrition Modeling'!$C:$C,$D98,'Attrition Modeling'!$B:$B,AR$76),VLOOKUP($F98+AR$77,$A$7:$C$107,2,FALSE)*VLOOKUP(AR$76,'Attrition Modeling'!$L$15:$N$27,IF(AR$77+$F98&lt;=24,2,3),FALSE)),$C$3)*(1+IF('IP Attrition'!AR155&gt;0,'Attrition Modeling'!$N$9,0)))</f>
        <v>0</v>
      </c>
      <c r="AS98" s="799">
        <f>AR98*(1-IFERROR(IF(AS$77+$F98&lt;=12,SUMIFS('Attrition Modeling'!$D:$D,'Attrition Modeling'!$C:$C,$D98,'Attrition Modeling'!$B:$B,AS$76),VLOOKUP($F98+AS$77,$A$7:$C$107,2,FALSE)*VLOOKUP(AS$76,'Attrition Modeling'!$L$15:$N$27,IF(AS$77+$F98&lt;=24,2,3),FALSE)),$C$3)*(1+IF('IP Attrition'!AS155&gt;0,'Attrition Modeling'!$N$9,0)))</f>
        <v>0</v>
      </c>
      <c r="AT98" s="799">
        <f>AS98*(1-IFERROR(IF(AT$77+$F98&lt;=12,SUMIFS('Attrition Modeling'!$D:$D,'Attrition Modeling'!$C:$C,$D98,'Attrition Modeling'!$B:$B,AT$76),VLOOKUP($F98+AT$77,$A$7:$C$107,2,FALSE)*VLOOKUP(AT$76,'Attrition Modeling'!$L$15:$N$27,IF(AT$77+$F98&lt;=24,2,3),FALSE)),$C$3)*(1+IF('IP Attrition'!AT155&gt;0,'Attrition Modeling'!$N$9,0)))</f>
        <v>0</v>
      </c>
      <c r="AU98" s="799">
        <f>AT98*(1-IFERROR(IF(AU$77+$F98&lt;=12,SUMIFS('Attrition Modeling'!$D:$D,'Attrition Modeling'!$C:$C,$D98,'Attrition Modeling'!$B:$B,AU$76),VLOOKUP($F98+AU$77,$A$7:$C$107,2,FALSE)*VLOOKUP(AU$76,'Attrition Modeling'!$L$15:$N$27,IF(AU$77+$F98&lt;=24,2,3),FALSE)),$C$3)*(1+IF('IP Attrition'!AU155&gt;0,'Attrition Modeling'!$N$9,0)))</f>
        <v>0</v>
      </c>
      <c r="AV98" s="799">
        <f>AU98*(1-IFERROR(IF(AV$77+$F98&lt;=12,SUMIFS('Attrition Modeling'!$D:$D,'Attrition Modeling'!$C:$C,$D98,'Attrition Modeling'!$B:$B,AV$76),VLOOKUP($F98+AV$77,$A$7:$C$107,2,FALSE)*VLOOKUP(AV$76,'Attrition Modeling'!$L$15:$N$27,IF(AV$77+$F98&lt;=24,2,3),FALSE)),$C$3)*(1+IF('IP Attrition'!AV155&gt;0,'Attrition Modeling'!$N$9,0)))</f>
        <v>0</v>
      </c>
      <c r="AW98" s="799">
        <f>AV98*(1-IFERROR(IF(AW$77+$F98&lt;=12,SUMIFS('Attrition Modeling'!$D:$D,'Attrition Modeling'!$C:$C,$D98,'Attrition Modeling'!$B:$B,AW$76),VLOOKUP($F98+AW$77,$A$7:$C$107,2,FALSE)*VLOOKUP(AW$76,'Attrition Modeling'!$L$15:$N$27,IF(AW$77+$F98&lt;=24,2,3),FALSE)),$C$3)*(1+IF('IP Attrition'!AW155&gt;0,'Attrition Modeling'!$N$9,0)))</f>
        <v>0</v>
      </c>
      <c r="AX98" s="799">
        <f>AW98*(1-IFERROR(IF(AX$77+$F98&lt;=12,SUMIFS('Attrition Modeling'!$D:$D,'Attrition Modeling'!$C:$C,$D98,'Attrition Modeling'!$B:$B,AX$76),VLOOKUP($F98+AX$77,$A$7:$C$107,2,FALSE)*VLOOKUP(AX$76,'Attrition Modeling'!$L$15:$N$27,IF(AX$77+$F98&lt;=24,2,3),FALSE)),$C$3)*(1+IF('IP Attrition'!AX155&gt;0,'Attrition Modeling'!$N$9,0)))</f>
        <v>0</v>
      </c>
      <c r="AY98" s="799">
        <f>AX98*(1-IFERROR(IF(AY$77+$F98&lt;=12,SUMIFS('Attrition Modeling'!$D:$D,'Attrition Modeling'!$C:$C,$D98,'Attrition Modeling'!$B:$B,AY$76),VLOOKUP($F98+AY$77,$A$7:$C$107,2,FALSE)*VLOOKUP(AY$76,'Attrition Modeling'!$L$15:$N$27,IF(AY$77+$F98&lt;=24,2,3),FALSE)),$C$3)*(1+IF('IP Attrition'!AY155&gt;0,'Attrition Modeling'!$N$9,0)))</f>
        <v>0</v>
      </c>
      <c r="AZ98" s="799">
        <f>AY98*(1-IFERROR(IF(AZ$77+$F98&lt;=12,SUMIFS('Attrition Modeling'!$D:$D,'Attrition Modeling'!$C:$C,$D98,'Attrition Modeling'!$B:$B,AZ$76),VLOOKUP($F98+AZ$77,$A$7:$C$107,2,FALSE)*VLOOKUP(AZ$76,'Attrition Modeling'!$L$15:$N$27,IF(AZ$77+$F98&lt;=24,2,3),FALSE)),$C$3)*(1+IF('IP Attrition'!AZ155&gt;0,'Attrition Modeling'!$N$9,0)))</f>
        <v>0</v>
      </c>
      <c r="BA98" s="799">
        <f>AZ98*(1-IFERROR(IF(BA$77+$F98&lt;=12,SUMIFS('Attrition Modeling'!$D:$D,'Attrition Modeling'!$C:$C,$D98,'Attrition Modeling'!$B:$B,BA$76),VLOOKUP($F98+BA$77,$A$7:$C$107,2,FALSE)*VLOOKUP(BA$76,'Attrition Modeling'!$L$15:$N$27,IF(BA$77+$F98&lt;=24,2,3),FALSE)),$C$3)*(1+IF('IP Attrition'!BA155&gt;0,'Attrition Modeling'!$N$9,0)))</f>
        <v>0</v>
      </c>
      <c r="BB98" s="799">
        <f>BA98*(1-IFERROR(IF(BB$77+$F98&lt;=12,SUMIFS('Attrition Modeling'!$D:$D,'Attrition Modeling'!$C:$C,$D98,'Attrition Modeling'!$B:$B,BB$76),VLOOKUP($F98+BB$77,$A$7:$C$107,2,FALSE)*VLOOKUP(BB$76,'Attrition Modeling'!$L$15:$N$27,IF(BB$77+$F98&lt;=24,2,3),FALSE)),$C$3)*(1+IF('IP Attrition'!BB155&gt;0,'Attrition Modeling'!$N$9,0)))</f>
        <v>0</v>
      </c>
      <c r="BC98" s="799">
        <f>BB98*(1-IFERROR(IF(BC$77+$F98&lt;=12,SUMIFS('Attrition Modeling'!$D:$D,'Attrition Modeling'!$C:$C,$D98,'Attrition Modeling'!$B:$B,BC$76),VLOOKUP($F98+BC$77,$A$7:$C$107,2,FALSE)*VLOOKUP(BC$76,'Attrition Modeling'!$L$15:$N$27,IF(BC$77+$F98&lt;=24,2,3),FALSE)),$C$3)*(1+IF('IP Attrition'!BC155&gt;0,'Attrition Modeling'!$N$9,0)))</f>
        <v>0</v>
      </c>
      <c r="BD98" s="799">
        <f>BC98*(1-IFERROR(IF(BD$77+$F98&lt;=12,SUMIFS('Attrition Modeling'!$D:$D,'Attrition Modeling'!$C:$C,$D98,'Attrition Modeling'!$B:$B,BD$76),VLOOKUP($F98+BD$77,$A$7:$C$107,2,FALSE)*VLOOKUP(BD$76,'Attrition Modeling'!$L$15:$N$27,IF(BD$77+$F98&lt;=24,2,3),FALSE)),$C$3)*(1+IF('IP Attrition'!BD155&gt;0,'Attrition Modeling'!$N$9,0)))</f>
        <v>0</v>
      </c>
      <c r="BE98" s="799">
        <f>BD98*(1-IFERROR(IF(BE$77+$F98&lt;=12,SUMIFS('Attrition Modeling'!$D:$D,'Attrition Modeling'!$C:$C,$D98,'Attrition Modeling'!$B:$B,BE$76),VLOOKUP($F98+BE$77,$A$7:$C$107,2,FALSE)*VLOOKUP(BE$76,'Attrition Modeling'!$L$15:$N$27,IF(BE$77+$F98&lt;=24,2,3),FALSE)),$C$3)*(1+IF('IP Attrition'!BE155&gt;0,'Attrition Modeling'!$N$9,0)))</f>
        <v>0</v>
      </c>
      <c r="BF98" s="799">
        <f>BE98*(1-IFERROR(IF(BF$77+$F98&lt;=12,SUMIFS('Attrition Modeling'!$D:$D,'Attrition Modeling'!$C:$C,$D98,'Attrition Modeling'!$B:$B,BF$76),VLOOKUP($F98+BF$77,$A$7:$C$107,2,FALSE)*VLOOKUP(BF$76,'Attrition Modeling'!$L$15:$N$27,IF(BF$77+$F98&lt;=24,2,3),FALSE)),$C$3)*(1+IF('IP Attrition'!BF155&gt;0,'Attrition Modeling'!$N$9,0)))</f>
        <v>0</v>
      </c>
      <c r="BG98" s="799">
        <f>BF98*(1-IFERROR(IF(BG$77+$F98&lt;=12,SUMIFS('Attrition Modeling'!$D:$D,'Attrition Modeling'!$C:$C,$D98,'Attrition Modeling'!$B:$B,BG$76),VLOOKUP($F98+BG$77,$A$7:$C$107,2,FALSE)*VLOOKUP(BG$76,'Attrition Modeling'!$L$15:$N$27,IF(BG$77+$F98&lt;=24,2,3),FALSE)),$C$3)*(1+IF('IP Attrition'!BG155&gt;0,'Attrition Modeling'!$N$9,0)))</f>
        <v>0</v>
      </c>
      <c r="BH98" s="799">
        <f>BG98*(1-IFERROR(IF(BH$77+$F98&lt;=12,SUMIFS('Attrition Modeling'!$D:$D,'Attrition Modeling'!$C:$C,$D98,'Attrition Modeling'!$B:$B,BH$76),VLOOKUP($F98+BH$77,$A$7:$C$107,2,FALSE)*VLOOKUP(BH$76,'Attrition Modeling'!$L$15:$N$27,IF(BH$77+$F98&lt;=24,2,3),FALSE)),$C$3)*(1+IF('IP Attrition'!BH155&gt;0,'Attrition Modeling'!$N$9,0)))</f>
        <v>0</v>
      </c>
      <c r="BI98" s="799">
        <f>BH98*(1-IFERROR(IF(BI$77+$F98&lt;=12,SUMIFS('Attrition Modeling'!$D:$D,'Attrition Modeling'!$C:$C,$D98,'Attrition Modeling'!$B:$B,BI$76),VLOOKUP($F98+BI$77,$A$7:$C$107,2,FALSE)*VLOOKUP(BI$76,'Attrition Modeling'!$L$15:$N$27,IF(BI$77+$F98&lt;=24,2,3),FALSE)),$C$3)*(1+IF('IP Attrition'!BI155&gt;0,'Attrition Modeling'!$N$9,0)))</f>
        <v>0</v>
      </c>
      <c r="BJ98" s="799">
        <f>BI98*(1-IFERROR(IF(BJ$77+$F98&lt;=12,SUMIFS('Attrition Modeling'!$D:$D,'Attrition Modeling'!$C:$C,$D98,'Attrition Modeling'!$B:$B,BJ$76),VLOOKUP($F98+BJ$77,$A$7:$C$107,2,FALSE)*VLOOKUP(BJ$76,'Attrition Modeling'!$L$15:$N$27,IF(BJ$77+$F98&lt;=24,2,3),FALSE)),$C$3)*(1+IF('IP Attrition'!BJ155&gt;0,'Attrition Modeling'!$N$9,0)))</f>
        <v>0</v>
      </c>
      <c r="BK98" s="799">
        <f>BJ98*(1-IFERROR(IF(BK$77+$F98&lt;=12,SUMIFS('Attrition Modeling'!$D:$D,'Attrition Modeling'!$C:$C,$D98,'Attrition Modeling'!$B:$B,BK$76),VLOOKUP($F98+BK$77,$A$7:$C$107,2,FALSE)*VLOOKUP(BK$76,'Attrition Modeling'!$L$15:$N$27,IF(BK$77+$F98&lt;=24,2,3),FALSE)),$C$3)*(1+IF('IP Attrition'!BK155&gt;0,'Attrition Modeling'!$N$9,0)))</f>
        <v>0</v>
      </c>
      <c r="BL98" s="799">
        <f>BK98*(1-IFERROR(IF(BL$77+$F98&lt;=12,SUMIFS('Attrition Modeling'!$D:$D,'Attrition Modeling'!$C:$C,$D98,'Attrition Modeling'!$B:$B,BL$76),VLOOKUP($F98+BL$77,$A$7:$C$107,2,FALSE)*VLOOKUP(BL$76,'Attrition Modeling'!$L$15:$N$27,IF(BL$77+$F98&lt;=24,2,3),FALSE)),$C$3)*(1+IF('IP Attrition'!BL155&gt;0,'Attrition Modeling'!$N$9,0)))</f>
        <v>0</v>
      </c>
      <c r="BM98" s="799">
        <f>BL98*(1-IFERROR(IF(BM$77+$F98&lt;=12,SUMIFS('Attrition Modeling'!$D:$D,'Attrition Modeling'!$C:$C,$D98,'Attrition Modeling'!$B:$B,BM$76),VLOOKUP($F98+BM$77,$A$7:$C$107,2,FALSE)*VLOOKUP(BM$76,'Attrition Modeling'!$L$15:$N$27,IF(BM$77+$F98&lt;=24,2,3),FALSE)),$C$3)*(1+IF('IP Attrition'!BM155&gt;0,'Attrition Modeling'!$N$9,0)))</f>
        <v>0</v>
      </c>
      <c r="BN98" s="799">
        <f>BM98*(1-IFERROR(IF(BN$77+$F98&lt;=12,SUMIFS('Attrition Modeling'!$D:$D,'Attrition Modeling'!$C:$C,$D98,'Attrition Modeling'!$B:$B,BN$76),VLOOKUP($F98+BN$77,$A$7:$C$107,2,FALSE)*VLOOKUP(BN$76,'Attrition Modeling'!$L$15:$N$27,IF(BN$77+$F98&lt;=24,2,3),FALSE)),$C$3)*(1+IF('IP Attrition'!BN155&gt;0,'Attrition Modeling'!$N$9,0)))</f>
        <v>0</v>
      </c>
      <c r="BO98" s="799">
        <f>BN98*(1-IFERROR(IF(BO$77+$F98&lt;=12,SUMIFS('Attrition Modeling'!$D:$D,'Attrition Modeling'!$C:$C,$D98,'Attrition Modeling'!$B:$B,BO$76),VLOOKUP($F98+BO$77,$A$7:$C$107,2,FALSE)*VLOOKUP(BO$76,'Attrition Modeling'!$L$15:$N$27,IF(BO$77+$F98&lt;=24,2,3),FALSE)),$C$3)*(1+IF('IP Attrition'!BO155&gt;0,'Attrition Modeling'!$N$9,0)))</f>
        <v>0</v>
      </c>
      <c r="BP98" s="799">
        <f>BO98*(1-IFERROR(IF(BP$77+$F98&lt;=12,SUMIFS('Attrition Modeling'!$D:$D,'Attrition Modeling'!$C:$C,$D98,'Attrition Modeling'!$B:$B,BP$76),VLOOKUP($F98+BP$77,$A$7:$C$107,2,FALSE)*VLOOKUP(BP$76,'Attrition Modeling'!$L$15:$N$27,IF(BP$77+$F98&lt;=24,2,3),FALSE)),$C$3)*(1+IF('IP Attrition'!BP155&gt;0,'Attrition Modeling'!$N$9,0)))</f>
        <v>0</v>
      </c>
      <c r="BQ98" s="799">
        <f>BP98*(1-IFERROR(IF(BQ$77+$F98&lt;=12,SUMIFS('Attrition Modeling'!$D:$D,'Attrition Modeling'!$C:$C,$D98,'Attrition Modeling'!$B:$B,BQ$76),VLOOKUP($F98+BQ$77,$A$7:$C$107,2,FALSE)*VLOOKUP(BQ$76,'Attrition Modeling'!$L$15:$N$27,IF(BQ$77+$F98&lt;=24,2,3),FALSE)),$C$3)*(1+IF('IP Attrition'!BQ155&gt;0,'Attrition Modeling'!$N$9,0)))</f>
        <v>0</v>
      </c>
      <c r="BR98" s="799">
        <f>BQ98*(1-IFERROR(IF(BR$77+$F98&lt;=12,SUMIFS('Attrition Modeling'!$D:$D,'Attrition Modeling'!$C:$C,$D98,'Attrition Modeling'!$B:$B,BR$76),VLOOKUP($F98+BR$77,$A$7:$C$107,2,FALSE)*VLOOKUP(BR$76,'Attrition Modeling'!$L$15:$N$27,IF(BR$77+$F98&lt;=24,2,3),FALSE)),$C$3)*(1+IF('IP Attrition'!BR155&gt;0,'Attrition Modeling'!$N$9,0)))</f>
        <v>0</v>
      </c>
      <c r="BS98" s="799">
        <f>BR98*(1-IFERROR(IF(BS$77+$F98&lt;=12,SUMIFS('Attrition Modeling'!$D:$D,'Attrition Modeling'!$C:$C,$D98,'Attrition Modeling'!$B:$B,BS$76),VLOOKUP($F98+BS$77,$A$7:$C$107,2,FALSE)*VLOOKUP(BS$76,'Attrition Modeling'!$L$15:$N$27,IF(BS$77+$F98&lt;=24,2,3),FALSE)),$C$3)*(1+IF('IP Attrition'!BS155&gt;0,'Attrition Modeling'!$N$9,0)))</f>
        <v>0</v>
      </c>
      <c r="BT98" s="799" t="e">
        <f>BS98*(1-IFERROR(IF(BT$77+$F98&lt;=12,SUMIFS('Attrition Modeling'!$D:$D,'Attrition Modeling'!$C:$C,$D98,'Attrition Modeling'!$B:$B,BT$76),VLOOKUP($F98+BT$77,$A$7:$C$107,2,FALSE)*VLOOKUP(BT$76,'Attrition Modeling'!$L$15:$N$27,IF(BT$77+$F98&lt;=24,2,3),FALSE)),$C$3)*(1+IF('IP Attrition'!BT155&gt;0,'Attrition Modeling'!$N$9,0)))</f>
        <v>#REF!</v>
      </c>
      <c r="BU98" s="799" t="e">
        <f>BT98*(1-IFERROR(IF(BU$77+$F98&lt;=12,SUMIFS('Attrition Modeling'!$D:$D,'Attrition Modeling'!$C:$C,$D98,'Attrition Modeling'!$B:$B,BU$76),VLOOKUP($F98+BU$77,$A$7:$C$107,2,FALSE)*VLOOKUP(BU$76,'Attrition Modeling'!$L$15:$N$27,IF(BU$77+$F98&lt;=24,2,3),FALSE)),$C$3)*(1+IF('IP Attrition'!BU155&gt;0,'Attrition Modeling'!$N$9,0)))</f>
        <v>#REF!</v>
      </c>
    </row>
    <row r="99" spans="1:73" ht="14.25" customHeight="1" x14ac:dyDescent="0.2">
      <c r="A99" s="9">
        <v>91</v>
      </c>
      <c r="B99" s="25">
        <f>MAX('Attrition Modeling'!H95,$C$3)*(1-Summary!$C$20)</f>
        <v>0.02</v>
      </c>
      <c r="C99" s="24" t="e">
        <f t="shared" si="2"/>
        <v>#DIV/0!</v>
      </c>
      <c r="D99" s="11">
        <f>'IP Attrition'!D91</f>
        <v>-21</v>
      </c>
      <c r="E99" s="25">
        <f>'IP Attrition'!E91</f>
        <v>0</v>
      </c>
      <c r="F99" s="11">
        <f t="shared" si="8"/>
        <v>21</v>
      </c>
      <c r="G99" s="799">
        <f>Summary!$C$24*$E99</f>
        <v>0</v>
      </c>
      <c r="H99" s="799">
        <f>G99*(1-IFERROR(IF(H$77+$F99&lt;=12,SUMIFS('Attrition Modeling'!$D:$D,'Attrition Modeling'!$C:$C,$D99,'Attrition Modeling'!$B:$B,H$76),VLOOKUP($F99+H$77,$A$7:$C$107,2,FALSE)*VLOOKUP(H$76,'Attrition Modeling'!$L$15:$N$27,IF(H$77+$F99&lt;=24,2,3),FALSE)),$C$3)*(1+IF('IP Attrition'!H156&gt;0,'Attrition Modeling'!$N$9,0)))</f>
        <v>0</v>
      </c>
      <c r="I99" s="799">
        <f>H99*(1-IFERROR(IF(I$77+$F99&lt;=12,SUMIFS('Attrition Modeling'!$D:$D,'Attrition Modeling'!$C:$C,$D99,'Attrition Modeling'!$B:$B,I$76),VLOOKUP($F99+I$77,$A$7:$C$107,2,FALSE)*VLOOKUP(I$76,'Attrition Modeling'!$L$15:$N$27,IF(I$77+$F99&lt;=24,2,3),FALSE)),$C$3)*(1+IF('IP Attrition'!I156&gt;0,'Attrition Modeling'!$N$9,0)))</f>
        <v>0</v>
      </c>
      <c r="J99" s="799">
        <f>I99*(1-IFERROR(IF(J$77+$F99&lt;=12,SUMIFS('Attrition Modeling'!$D:$D,'Attrition Modeling'!$C:$C,$D99,'Attrition Modeling'!$B:$B,J$76),VLOOKUP($F99+J$77,$A$7:$C$107,2,FALSE)*VLOOKUP(J$76,'Attrition Modeling'!$L$15:$N$27,IF(J$77+$F99&lt;=24,2,3),FALSE)),$C$3)*(1+IF('IP Attrition'!J156&gt;0,'Attrition Modeling'!$N$9,0)))</f>
        <v>0</v>
      </c>
      <c r="K99" s="799">
        <f>J99*(1-IFERROR(IF(K$77+$F99&lt;=12,SUMIFS('Attrition Modeling'!$D:$D,'Attrition Modeling'!$C:$C,$D99,'Attrition Modeling'!$B:$B,K$76),VLOOKUP($F99+K$77,$A$7:$C$107,2,FALSE)*VLOOKUP(K$76,'Attrition Modeling'!$L$15:$N$27,IF(K$77+$F99&lt;=24,2,3),FALSE)),$C$3)*(1+IF('IP Attrition'!K156&gt;0,'Attrition Modeling'!$N$9,0)))</f>
        <v>0</v>
      </c>
      <c r="L99" s="799">
        <f>K99*(1-IFERROR(IF(L$77+$F99&lt;=12,SUMIFS('Attrition Modeling'!$D:$D,'Attrition Modeling'!$C:$C,$D99,'Attrition Modeling'!$B:$B,L$76),VLOOKUP($F99+L$77,$A$7:$C$107,2,FALSE)*VLOOKUP(L$76,'Attrition Modeling'!$L$15:$N$27,IF(L$77+$F99&lt;=24,2,3),FALSE)),$C$3)*(1+IF('IP Attrition'!L156&gt;0,'Attrition Modeling'!$N$9,0)))</f>
        <v>0</v>
      </c>
      <c r="M99" s="799">
        <f>L99*(1-IFERROR(IF(M$77+$F99&lt;=12,SUMIFS('Attrition Modeling'!$D:$D,'Attrition Modeling'!$C:$C,$D99,'Attrition Modeling'!$B:$B,M$76),VLOOKUP($F99+M$77,$A$7:$C$107,2,FALSE)*VLOOKUP(M$76,'Attrition Modeling'!$L$15:$N$27,IF(M$77+$F99&lt;=24,2,3),FALSE)),$C$3)*(1+IF('IP Attrition'!M156&gt;0,'Attrition Modeling'!$N$9,0)))</f>
        <v>0</v>
      </c>
      <c r="N99" s="799">
        <f>M99*(1-IFERROR(IF(N$77+$F99&lt;=12,SUMIFS('Attrition Modeling'!$D:$D,'Attrition Modeling'!$C:$C,$D99,'Attrition Modeling'!$B:$B,N$76),VLOOKUP($F99+N$77,$A$7:$C$107,2,FALSE)*VLOOKUP(N$76,'Attrition Modeling'!$L$15:$N$27,IF(N$77+$F99&lt;=24,2,3),FALSE)),$C$3)*(1+IF('IP Attrition'!N156&gt;0,'Attrition Modeling'!$N$9,0)))</f>
        <v>0</v>
      </c>
      <c r="O99" s="799">
        <f>N99*(1-IFERROR(IF(O$77+$F99&lt;=12,SUMIFS('Attrition Modeling'!$D:$D,'Attrition Modeling'!$C:$C,$D99,'Attrition Modeling'!$B:$B,O$76),VLOOKUP($F99+O$77,$A$7:$C$107,2,FALSE)*VLOOKUP(O$76,'Attrition Modeling'!$L$15:$N$27,IF(O$77+$F99&lt;=24,2,3),FALSE)),$C$3)*(1+IF('IP Attrition'!O156&gt;0,'Attrition Modeling'!$N$9,0)))</f>
        <v>0</v>
      </c>
      <c r="P99" s="799">
        <f>O99*(1-IFERROR(IF(P$77+$F99&lt;=12,SUMIFS('Attrition Modeling'!$D:$D,'Attrition Modeling'!$C:$C,$D99,'Attrition Modeling'!$B:$B,P$76),VLOOKUP($F99+P$77,$A$7:$C$107,2,FALSE)*VLOOKUP(P$76,'Attrition Modeling'!$L$15:$N$27,IF(P$77+$F99&lt;=24,2,3),FALSE)),$C$3)*(1+IF('IP Attrition'!P156&gt;0,'Attrition Modeling'!$N$9,0)))</f>
        <v>0</v>
      </c>
      <c r="Q99" s="799">
        <f>P99*(1-IFERROR(IF(Q$77+$F99&lt;=12,SUMIFS('Attrition Modeling'!$D:$D,'Attrition Modeling'!$C:$C,$D99,'Attrition Modeling'!$B:$B,Q$76),VLOOKUP($F99+Q$77,$A$7:$C$107,2,FALSE)*VLOOKUP(Q$76,'Attrition Modeling'!$L$15:$N$27,IF(Q$77+$F99&lt;=24,2,3),FALSE)),$C$3)*(1+IF('IP Attrition'!Q156&gt;0,'Attrition Modeling'!$N$9,0)))</f>
        <v>0</v>
      </c>
      <c r="R99" s="799">
        <f>Q99*(1-IFERROR(IF(R$77+$F99&lt;=12,SUMIFS('Attrition Modeling'!$D:$D,'Attrition Modeling'!$C:$C,$D99,'Attrition Modeling'!$B:$B,R$76),VLOOKUP($F99+R$77,$A$7:$C$107,2,FALSE)*VLOOKUP(R$76,'Attrition Modeling'!$L$15:$N$27,IF(R$77+$F99&lt;=24,2,3),FALSE)),$C$3)*(1+IF('IP Attrition'!R156&gt;0,'Attrition Modeling'!$N$9,0)))</f>
        <v>0</v>
      </c>
      <c r="S99" s="799">
        <f>R99*(1-IFERROR(IF(S$77+$F99&lt;=12,SUMIFS('Attrition Modeling'!$D:$D,'Attrition Modeling'!$C:$C,$D99,'Attrition Modeling'!$B:$B,S$76),VLOOKUP($F99+S$77,$A$7:$C$107,2,FALSE)*VLOOKUP(S$76,'Attrition Modeling'!$L$15:$N$27,IF(S$77+$F99&lt;=24,2,3),FALSE)),$C$3)*(1+IF('IP Attrition'!S156&gt;0,'Attrition Modeling'!$N$9,0)))</f>
        <v>0</v>
      </c>
      <c r="T99" s="799">
        <f>S99*(1-IFERROR(IF(T$77+$F99&lt;=12,SUMIFS('Attrition Modeling'!$D:$D,'Attrition Modeling'!$C:$C,$D99,'Attrition Modeling'!$B:$B,T$76),VLOOKUP($F99+T$77,$A$7:$C$107,2,FALSE)*VLOOKUP(T$76,'Attrition Modeling'!$L$15:$N$27,IF(T$77+$F99&lt;=24,2,3),FALSE)),$C$3)*(1+IF('IP Attrition'!T156&gt;0,'Attrition Modeling'!$N$9,0)))</f>
        <v>0</v>
      </c>
      <c r="U99" s="799">
        <f>T99*(1-IFERROR(IF(U$77+$F99&lt;=12,SUMIFS('Attrition Modeling'!$D:$D,'Attrition Modeling'!$C:$C,$D99,'Attrition Modeling'!$B:$B,U$76),VLOOKUP($F99+U$77,$A$7:$C$107,2,FALSE)*VLOOKUP(U$76,'Attrition Modeling'!$L$15:$N$27,IF(U$77+$F99&lt;=24,2,3),FALSE)),$C$3)*(1+IF('IP Attrition'!U156&gt;0,'Attrition Modeling'!$N$9,0)))</f>
        <v>0</v>
      </c>
      <c r="V99" s="799">
        <f>U99*(1-IFERROR(IF(V$77+$F99&lt;=12,SUMIFS('Attrition Modeling'!$D:$D,'Attrition Modeling'!$C:$C,$D99,'Attrition Modeling'!$B:$B,V$76),VLOOKUP($F99+V$77,$A$7:$C$107,2,FALSE)*VLOOKUP(V$76,'Attrition Modeling'!$L$15:$N$27,IF(V$77+$F99&lt;=24,2,3),FALSE)),$C$3)*(1+IF('IP Attrition'!V156&gt;0,'Attrition Modeling'!$N$9,0)))</f>
        <v>0</v>
      </c>
      <c r="W99" s="799">
        <f>V99*(1-IFERROR(IF(W$77+$F99&lt;=12,SUMIFS('Attrition Modeling'!$D:$D,'Attrition Modeling'!$C:$C,$D99,'Attrition Modeling'!$B:$B,W$76),VLOOKUP($F99+W$77,$A$7:$C$107,2,FALSE)*VLOOKUP(W$76,'Attrition Modeling'!$L$15:$N$27,IF(W$77+$F99&lt;=24,2,3),FALSE)),$C$3)*(1+IF('IP Attrition'!W156&gt;0,'Attrition Modeling'!$N$9,0)))</f>
        <v>0</v>
      </c>
      <c r="X99" s="799">
        <f>W99*(1-IFERROR(IF(X$77+$F99&lt;=12,SUMIFS('Attrition Modeling'!$D:$D,'Attrition Modeling'!$C:$C,$D99,'Attrition Modeling'!$B:$B,X$76),VLOOKUP($F99+X$77,$A$7:$C$107,2,FALSE)*VLOOKUP(X$76,'Attrition Modeling'!$L$15:$N$27,IF(X$77+$F99&lt;=24,2,3),FALSE)),$C$3)*(1+IF('IP Attrition'!X156&gt;0,'Attrition Modeling'!$N$9,0)))</f>
        <v>0</v>
      </c>
      <c r="Y99" s="799">
        <f>X99*(1-IFERROR(IF(Y$77+$F99&lt;=12,SUMIFS('Attrition Modeling'!$D:$D,'Attrition Modeling'!$C:$C,$D99,'Attrition Modeling'!$B:$B,Y$76),VLOOKUP($F99+Y$77,$A$7:$C$107,2,FALSE)*VLOOKUP(Y$76,'Attrition Modeling'!$L$15:$N$27,IF(Y$77+$F99&lt;=24,2,3),FALSE)),$C$3)*(1+IF('IP Attrition'!Y156&gt;0,'Attrition Modeling'!$N$9,0)))</f>
        <v>0</v>
      </c>
      <c r="Z99" s="799">
        <f>Y99*(1-IFERROR(IF(Z$77+$F99&lt;=12,SUMIFS('Attrition Modeling'!$D:$D,'Attrition Modeling'!$C:$C,$D99,'Attrition Modeling'!$B:$B,Z$76),VLOOKUP($F99+Z$77,$A$7:$C$107,2,FALSE)*VLOOKUP(Z$76,'Attrition Modeling'!$L$15:$N$27,IF(Z$77+$F99&lt;=24,2,3),FALSE)),$C$3)*(1+IF('IP Attrition'!Z156&gt;0,'Attrition Modeling'!$N$9,0)))</f>
        <v>0</v>
      </c>
      <c r="AA99" s="799">
        <f>Z99*(1-IFERROR(IF(AA$77+$F99&lt;=12,SUMIFS('Attrition Modeling'!$D:$D,'Attrition Modeling'!$C:$C,$D99,'Attrition Modeling'!$B:$B,AA$76),VLOOKUP($F99+AA$77,$A$7:$C$107,2,FALSE)*VLOOKUP(AA$76,'Attrition Modeling'!$L$15:$N$27,IF(AA$77+$F99&lt;=24,2,3),FALSE)),$C$3)*(1+IF('IP Attrition'!AA156&gt;0,'Attrition Modeling'!$N$9,0)))</f>
        <v>0</v>
      </c>
      <c r="AB99" s="799">
        <f>AA99*(1-IFERROR(IF(AB$77+$F99&lt;=12,SUMIFS('Attrition Modeling'!$D:$D,'Attrition Modeling'!$C:$C,$D99,'Attrition Modeling'!$B:$B,AB$76),VLOOKUP($F99+AB$77,$A$7:$C$107,2,FALSE)*VLOOKUP(AB$76,'Attrition Modeling'!$L$15:$N$27,IF(AB$77+$F99&lt;=24,2,3),FALSE)),$C$3)*(1+IF('IP Attrition'!AB156&gt;0,'Attrition Modeling'!$N$9,0)))</f>
        <v>0</v>
      </c>
      <c r="AC99" s="799">
        <f>AB99*(1-IFERROR(IF(AC$77+$F99&lt;=12,SUMIFS('Attrition Modeling'!$D:$D,'Attrition Modeling'!$C:$C,$D99,'Attrition Modeling'!$B:$B,AC$76),VLOOKUP($F99+AC$77,$A$7:$C$107,2,FALSE)*VLOOKUP(AC$76,'Attrition Modeling'!$L$15:$N$27,IF(AC$77+$F99&lt;=24,2,3),FALSE)),$C$3)*(1+IF('IP Attrition'!AC156&gt;0,'Attrition Modeling'!$N$9,0)))</f>
        <v>0</v>
      </c>
      <c r="AD99" s="799">
        <f>AC99*(1-IFERROR(IF(AD$77+$F99&lt;=12,SUMIFS('Attrition Modeling'!$D:$D,'Attrition Modeling'!$C:$C,$D99,'Attrition Modeling'!$B:$B,AD$76),VLOOKUP($F99+AD$77,$A$7:$C$107,2,FALSE)*VLOOKUP(AD$76,'Attrition Modeling'!$L$15:$N$27,IF(AD$77+$F99&lt;=24,2,3),FALSE)),$C$3)*(1+IF('IP Attrition'!AD156&gt;0,'Attrition Modeling'!$N$9,0)))</f>
        <v>0</v>
      </c>
      <c r="AE99" s="799">
        <f>AD99*(1-IFERROR(IF(AE$77+$F99&lt;=12,SUMIFS('Attrition Modeling'!$D:$D,'Attrition Modeling'!$C:$C,$D99,'Attrition Modeling'!$B:$B,AE$76),VLOOKUP($F99+AE$77,$A$7:$C$107,2,FALSE)*VLOOKUP(AE$76,'Attrition Modeling'!$L$15:$N$27,IF(AE$77+$F99&lt;=24,2,3),FALSE)),$C$3)*(1+IF('IP Attrition'!AE156&gt;0,'Attrition Modeling'!$N$9,0)))</f>
        <v>0</v>
      </c>
      <c r="AF99" s="799">
        <f>AE99*(1-IFERROR(IF(AF$77+$F99&lt;=12,SUMIFS('Attrition Modeling'!$D:$D,'Attrition Modeling'!$C:$C,$D99,'Attrition Modeling'!$B:$B,AF$76),VLOOKUP($F99+AF$77,$A$7:$C$107,2,FALSE)*VLOOKUP(AF$76,'Attrition Modeling'!$L$15:$N$27,IF(AF$77+$F99&lt;=24,2,3),FALSE)),$C$3)*(1+IF('IP Attrition'!AF156&gt;0,'Attrition Modeling'!$N$9,0)))</f>
        <v>0</v>
      </c>
      <c r="AG99" s="799">
        <f>AF99*(1-IFERROR(IF(AG$77+$F99&lt;=12,SUMIFS('Attrition Modeling'!$D:$D,'Attrition Modeling'!$C:$C,$D99,'Attrition Modeling'!$B:$B,AG$76),VLOOKUP($F99+AG$77,$A$7:$C$107,2,FALSE)*VLOOKUP(AG$76,'Attrition Modeling'!$L$15:$N$27,IF(AG$77+$F99&lt;=24,2,3),FALSE)),$C$3)*(1+IF('IP Attrition'!AG156&gt;0,'Attrition Modeling'!$N$9,0)))</f>
        <v>0</v>
      </c>
      <c r="AH99" s="799">
        <f>AG99*(1-IFERROR(IF(AH$77+$F99&lt;=12,SUMIFS('Attrition Modeling'!$D:$D,'Attrition Modeling'!$C:$C,$D99,'Attrition Modeling'!$B:$B,AH$76),VLOOKUP($F99+AH$77,$A$7:$C$107,2,FALSE)*VLOOKUP(AH$76,'Attrition Modeling'!$L$15:$N$27,IF(AH$77+$F99&lt;=24,2,3),FALSE)),$C$3)*(1+IF('IP Attrition'!AH156&gt;0,'Attrition Modeling'!$N$9,0)))</f>
        <v>0</v>
      </c>
      <c r="AI99" s="799">
        <f>AH99*(1-IFERROR(IF(AI$77+$F99&lt;=12,SUMIFS('Attrition Modeling'!$D:$D,'Attrition Modeling'!$C:$C,$D99,'Attrition Modeling'!$B:$B,AI$76),VLOOKUP($F99+AI$77,$A$7:$C$107,2,FALSE)*VLOOKUP(AI$76,'Attrition Modeling'!$L$15:$N$27,IF(AI$77+$F99&lt;=24,2,3),FALSE)),$C$3)*(1+IF('IP Attrition'!AI156&gt;0,'Attrition Modeling'!$N$9,0)))</f>
        <v>0</v>
      </c>
      <c r="AJ99" s="799">
        <f>AI99*(1-IFERROR(IF(AJ$77+$F99&lt;=12,SUMIFS('Attrition Modeling'!$D:$D,'Attrition Modeling'!$C:$C,$D99,'Attrition Modeling'!$B:$B,AJ$76),VLOOKUP($F99+AJ$77,$A$7:$C$107,2,FALSE)*VLOOKUP(AJ$76,'Attrition Modeling'!$L$15:$N$27,IF(AJ$77+$F99&lt;=24,2,3),FALSE)),$C$3)*(1+IF('IP Attrition'!AJ156&gt;0,'Attrition Modeling'!$N$9,0)))</f>
        <v>0</v>
      </c>
      <c r="AK99" s="799">
        <f>AJ99*(1-IFERROR(IF(AK$77+$F99&lt;=12,SUMIFS('Attrition Modeling'!$D:$D,'Attrition Modeling'!$C:$C,$D99,'Attrition Modeling'!$B:$B,AK$76),VLOOKUP($F99+AK$77,$A$7:$C$107,2,FALSE)*VLOOKUP(AK$76,'Attrition Modeling'!$L$15:$N$27,IF(AK$77+$F99&lt;=24,2,3),FALSE)),$C$3)*(1+IF('IP Attrition'!AK156&gt;0,'Attrition Modeling'!$N$9,0)))</f>
        <v>0</v>
      </c>
      <c r="AL99" s="799">
        <f>AK99*(1-IFERROR(IF(AL$77+$F99&lt;=12,SUMIFS('Attrition Modeling'!$D:$D,'Attrition Modeling'!$C:$C,$D99,'Attrition Modeling'!$B:$B,AL$76),VLOOKUP($F99+AL$77,$A$7:$C$107,2,FALSE)*VLOOKUP(AL$76,'Attrition Modeling'!$L$15:$N$27,IF(AL$77+$F99&lt;=24,2,3),FALSE)),$C$3)*(1+IF('IP Attrition'!AL156&gt;0,'Attrition Modeling'!$N$9,0)))</f>
        <v>0</v>
      </c>
      <c r="AM99" s="799">
        <f>AL99*(1-IFERROR(IF(AM$77+$F99&lt;=12,SUMIFS('Attrition Modeling'!$D:$D,'Attrition Modeling'!$C:$C,$D99,'Attrition Modeling'!$B:$B,AM$76),VLOOKUP($F99+AM$77,$A$7:$C$107,2,FALSE)*VLOOKUP(AM$76,'Attrition Modeling'!$L$15:$N$27,IF(AM$77+$F99&lt;=24,2,3),FALSE)),$C$3)*(1+IF('IP Attrition'!AM156&gt;0,'Attrition Modeling'!$N$9,0)))</f>
        <v>0</v>
      </c>
      <c r="AN99" s="799">
        <f>AM99*(1-IFERROR(IF(AN$77+$F99&lt;=12,SUMIFS('Attrition Modeling'!$D:$D,'Attrition Modeling'!$C:$C,$D99,'Attrition Modeling'!$B:$B,AN$76),VLOOKUP($F99+AN$77,$A$7:$C$107,2,FALSE)*VLOOKUP(AN$76,'Attrition Modeling'!$L$15:$N$27,IF(AN$77+$F99&lt;=24,2,3),FALSE)),$C$3)*(1+IF('IP Attrition'!AN156&gt;0,'Attrition Modeling'!$N$9,0)))</f>
        <v>0</v>
      </c>
      <c r="AO99" s="799">
        <f>AN99*(1-IFERROR(IF(AO$77+$F99&lt;=12,SUMIFS('Attrition Modeling'!$D:$D,'Attrition Modeling'!$C:$C,$D99,'Attrition Modeling'!$B:$B,AO$76),VLOOKUP($F99+AO$77,$A$7:$C$107,2,FALSE)*VLOOKUP(AO$76,'Attrition Modeling'!$L$15:$N$27,IF(AO$77+$F99&lt;=24,2,3),FALSE)),$C$3)*(1+IF('IP Attrition'!AO156&gt;0,'Attrition Modeling'!$N$9,0)))</f>
        <v>0</v>
      </c>
      <c r="AP99" s="799">
        <f>AO99*(1-IFERROR(IF(AP$77+$F99&lt;=12,SUMIFS('Attrition Modeling'!$D:$D,'Attrition Modeling'!$C:$C,$D99,'Attrition Modeling'!$B:$B,AP$76),VLOOKUP($F99+AP$77,$A$7:$C$107,2,FALSE)*VLOOKUP(AP$76,'Attrition Modeling'!$L$15:$N$27,IF(AP$77+$F99&lt;=24,2,3),FALSE)),$C$3)*(1+IF('IP Attrition'!AP156&gt;0,'Attrition Modeling'!$N$9,0)))</f>
        <v>0</v>
      </c>
      <c r="AQ99" s="799">
        <f>AP99*(1-IFERROR(IF(AQ$77+$F99&lt;=12,SUMIFS('Attrition Modeling'!$D:$D,'Attrition Modeling'!$C:$C,$D99,'Attrition Modeling'!$B:$B,AQ$76),VLOOKUP($F99+AQ$77,$A$7:$C$107,2,FALSE)*VLOOKUP(AQ$76,'Attrition Modeling'!$L$15:$N$27,IF(AQ$77+$F99&lt;=24,2,3),FALSE)),$C$3)*(1+IF('IP Attrition'!AQ156&gt;0,'Attrition Modeling'!$N$9,0)))</f>
        <v>0</v>
      </c>
      <c r="AR99" s="799">
        <f>AQ99*(1-IFERROR(IF(AR$77+$F99&lt;=12,SUMIFS('Attrition Modeling'!$D:$D,'Attrition Modeling'!$C:$C,$D99,'Attrition Modeling'!$B:$B,AR$76),VLOOKUP($F99+AR$77,$A$7:$C$107,2,FALSE)*VLOOKUP(AR$76,'Attrition Modeling'!$L$15:$N$27,IF(AR$77+$F99&lt;=24,2,3),FALSE)),$C$3)*(1+IF('IP Attrition'!AR156&gt;0,'Attrition Modeling'!$N$9,0)))</f>
        <v>0</v>
      </c>
      <c r="AS99" s="799">
        <f>AR99*(1-IFERROR(IF(AS$77+$F99&lt;=12,SUMIFS('Attrition Modeling'!$D:$D,'Attrition Modeling'!$C:$C,$D99,'Attrition Modeling'!$B:$B,AS$76),VLOOKUP($F99+AS$77,$A$7:$C$107,2,FALSE)*VLOOKUP(AS$76,'Attrition Modeling'!$L$15:$N$27,IF(AS$77+$F99&lt;=24,2,3),FALSE)),$C$3)*(1+IF('IP Attrition'!AS156&gt;0,'Attrition Modeling'!$N$9,0)))</f>
        <v>0</v>
      </c>
      <c r="AT99" s="799">
        <f>AS99*(1-IFERROR(IF(AT$77+$F99&lt;=12,SUMIFS('Attrition Modeling'!$D:$D,'Attrition Modeling'!$C:$C,$D99,'Attrition Modeling'!$B:$B,AT$76),VLOOKUP($F99+AT$77,$A$7:$C$107,2,FALSE)*VLOOKUP(AT$76,'Attrition Modeling'!$L$15:$N$27,IF(AT$77+$F99&lt;=24,2,3),FALSE)),$C$3)*(1+IF('IP Attrition'!AT156&gt;0,'Attrition Modeling'!$N$9,0)))</f>
        <v>0</v>
      </c>
      <c r="AU99" s="799">
        <f>AT99*(1-IFERROR(IF(AU$77+$F99&lt;=12,SUMIFS('Attrition Modeling'!$D:$D,'Attrition Modeling'!$C:$C,$D99,'Attrition Modeling'!$B:$B,AU$76),VLOOKUP($F99+AU$77,$A$7:$C$107,2,FALSE)*VLOOKUP(AU$76,'Attrition Modeling'!$L$15:$N$27,IF(AU$77+$F99&lt;=24,2,3),FALSE)),$C$3)*(1+IF('IP Attrition'!AU156&gt;0,'Attrition Modeling'!$N$9,0)))</f>
        <v>0</v>
      </c>
      <c r="AV99" s="799">
        <f>AU99*(1-IFERROR(IF(AV$77+$F99&lt;=12,SUMIFS('Attrition Modeling'!$D:$D,'Attrition Modeling'!$C:$C,$D99,'Attrition Modeling'!$B:$B,AV$76),VLOOKUP($F99+AV$77,$A$7:$C$107,2,FALSE)*VLOOKUP(AV$76,'Attrition Modeling'!$L$15:$N$27,IF(AV$77+$F99&lt;=24,2,3),FALSE)),$C$3)*(1+IF('IP Attrition'!AV156&gt;0,'Attrition Modeling'!$N$9,0)))</f>
        <v>0</v>
      </c>
      <c r="AW99" s="799">
        <f>AV99*(1-IFERROR(IF(AW$77+$F99&lt;=12,SUMIFS('Attrition Modeling'!$D:$D,'Attrition Modeling'!$C:$C,$D99,'Attrition Modeling'!$B:$B,AW$76),VLOOKUP($F99+AW$77,$A$7:$C$107,2,FALSE)*VLOOKUP(AW$76,'Attrition Modeling'!$L$15:$N$27,IF(AW$77+$F99&lt;=24,2,3),FALSE)),$C$3)*(1+IF('IP Attrition'!AW156&gt;0,'Attrition Modeling'!$N$9,0)))</f>
        <v>0</v>
      </c>
      <c r="AX99" s="799">
        <f>AW99*(1-IFERROR(IF(AX$77+$F99&lt;=12,SUMIFS('Attrition Modeling'!$D:$D,'Attrition Modeling'!$C:$C,$D99,'Attrition Modeling'!$B:$B,AX$76),VLOOKUP($F99+AX$77,$A$7:$C$107,2,FALSE)*VLOOKUP(AX$76,'Attrition Modeling'!$L$15:$N$27,IF(AX$77+$F99&lt;=24,2,3),FALSE)),$C$3)*(1+IF('IP Attrition'!AX156&gt;0,'Attrition Modeling'!$N$9,0)))</f>
        <v>0</v>
      </c>
      <c r="AY99" s="799">
        <f>AX99*(1-IFERROR(IF(AY$77+$F99&lt;=12,SUMIFS('Attrition Modeling'!$D:$D,'Attrition Modeling'!$C:$C,$D99,'Attrition Modeling'!$B:$B,AY$76),VLOOKUP($F99+AY$77,$A$7:$C$107,2,FALSE)*VLOOKUP(AY$76,'Attrition Modeling'!$L$15:$N$27,IF(AY$77+$F99&lt;=24,2,3),FALSE)),$C$3)*(1+IF('IP Attrition'!AY156&gt;0,'Attrition Modeling'!$N$9,0)))</f>
        <v>0</v>
      </c>
      <c r="AZ99" s="799">
        <f>AY99*(1-IFERROR(IF(AZ$77+$F99&lt;=12,SUMIFS('Attrition Modeling'!$D:$D,'Attrition Modeling'!$C:$C,$D99,'Attrition Modeling'!$B:$B,AZ$76),VLOOKUP($F99+AZ$77,$A$7:$C$107,2,FALSE)*VLOOKUP(AZ$76,'Attrition Modeling'!$L$15:$N$27,IF(AZ$77+$F99&lt;=24,2,3),FALSE)),$C$3)*(1+IF('IP Attrition'!AZ156&gt;0,'Attrition Modeling'!$N$9,0)))</f>
        <v>0</v>
      </c>
      <c r="BA99" s="799">
        <f>AZ99*(1-IFERROR(IF(BA$77+$F99&lt;=12,SUMIFS('Attrition Modeling'!$D:$D,'Attrition Modeling'!$C:$C,$D99,'Attrition Modeling'!$B:$B,BA$76),VLOOKUP($F99+BA$77,$A$7:$C$107,2,FALSE)*VLOOKUP(BA$76,'Attrition Modeling'!$L$15:$N$27,IF(BA$77+$F99&lt;=24,2,3),FALSE)),$C$3)*(1+IF('IP Attrition'!BA156&gt;0,'Attrition Modeling'!$N$9,0)))</f>
        <v>0</v>
      </c>
      <c r="BB99" s="799">
        <f>BA99*(1-IFERROR(IF(BB$77+$F99&lt;=12,SUMIFS('Attrition Modeling'!$D:$D,'Attrition Modeling'!$C:$C,$D99,'Attrition Modeling'!$B:$B,BB$76),VLOOKUP($F99+BB$77,$A$7:$C$107,2,FALSE)*VLOOKUP(BB$76,'Attrition Modeling'!$L$15:$N$27,IF(BB$77+$F99&lt;=24,2,3),FALSE)),$C$3)*(1+IF('IP Attrition'!BB156&gt;0,'Attrition Modeling'!$N$9,0)))</f>
        <v>0</v>
      </c>
      <c r="BC99" s="799">
        <f>BB99*(1-IFERROR(IF(BC$77+$F99&lt;=12,SUMIFS('Attrition Modeling'!$D:$D,'Attrition Modeling'!$C:$C,$D99,'Attrition Modeling'!$B:$B,BC$76),VLOOKUP($F99+BC$77,$A$7:$C$107,2,FALSE)*VLOOKUP(BC$76,'Attrition Modeling'!$L$15:$N$27,IF(BC$77+$F99&lt;=24,2,3),FALSE)),$C$3)*(1+IF('IP Attrition'!BC156&gt;0,'Attrition Modeling'!$N$9,0)))</f>
        <v>0</v>
      </c>
      <c r="BD99" s="799">
        <f>BC99*(1-IFERROR(IF(BD$77+$F99&lt;=12,SUMIFS('Attrition Modeling'!$D:$D,'Attrition Modeling'!$C:$C,$D99,'Attrition Modeling'!$B:$B,BD$76),VLOOKUP($F99+BD$77,$A$7:$C$107,2,FALSE)*VLOOKUP(BD$76,'Attrition Modeling'!$L$15:$N$27,IF(BD$77+$F99&lt;=24,2,3),FALSE)),$C$3)*(1+IF('IP Attrition'!BD156&gt;0,'Attrition Modeling'!$N$9,0)))</f>
        <v>0</v>
      </c>
      <c r="BE99" s="799">
        <f>BD99*(1-IFERROR(IF(BE$77+$F99&lt;=12,SUMIFS('Attrition Modeling'!$D:$D,'Attrition Modeling'!$C:$C,$D99,'Attrition Modeling'!$B:$B,BE$76),VLOOKUP($F99+BE$77,$A$7:$C$107,2,FALSE)*VLOOKUP(BE$76,'Attrition Modeling'!$L$15:$N$27,IF(BE$77+$F99&lt;=24,2,3),FALSE)),$C$3)*(1+IF('IP Attrition'!BE156&gt;0,'Attrition Modeling'!$N$9,0)))</f>
        <v>0</v>
      </c>
      <c r="BF99" s="799">
        <f>BE99*(1-IFERROR(IF(BF$77+$F99&lt;=12,SUMIFS('Attrition Modeling'!$D:$D,'Attrition Modeling'!$C:$C,$D99,'Attrition Modeling'!$B:$B,BF$76),VLOOKUP($F99+BF$77,$A$7:$C$107,2,FALSE)*VLOOKUP(BF$76,'Attrition Modeling'!$L$15:$N$27,IF(BF$77+$F99&lt;=24,2,3),FALSE)),$C$3)*(1+IF('IP Attrition'!BF156&gt;0,'Attrition Modeling'!$N$9,0)))</f>
        <v>0</v>
      </c>
      <c r="BG99" s="799">
        <f>BF99*(1-IFERROR(IF(BG$77+$F99&lt;=12,SUMIFS('Attrition Modeling'!$D:$D,'Attrition Modeling'!$C:$C,$D99,'Attrition Modeling'!$B:$B,BG$76),VLOOKUP($F99+BG$77,$A$7:$C$107,2,FALSE)*VLOOKUP(BG$76,'Attrition Modeling'!$L$15:$N$27,IF(BG$77+$F99&lt;=24,2,3),FALSE)),$C$3)*(1+IF('IP Attrition'!BG156&gt;0,'Attrition Modeling'!$N$9,0)))</f>
        <v>0</v>
      </c>
      <c r="BH99" s="799">
        <f>BG99*(1-IFERROR(IF(BH$77+$F99&lt;=12,SUMIFS('Attrition Modeling'!$D:$D,'Attrition Modeling'!$C:$C,$D99,'Attrition Modeling'!$B:$B,BH$76),VLOOKUP($F99+BH$77,$A$7:$C$107,2,FALSE)*VLOOKUP(BH$76,'Attrition Modeling'!$L$15:$N$27,IF(BH$77+$F99&lt;=24,2,3),FALSE)),$C$3)*(1+IF('IP Attrition'!BH156&gt;0,'Attrition Modeling'!$N$9,0)))</f>
        <v>0</v>
      </c>
      <c r="BI99" s="799">
        <f>BH99*(1-IFERROR(IF(BI$77+$F99&lt;=12,SUMIFS('Attrition Modeling'!$D:$D,'Attrition Modeling'!$C:$C,$D99,'Attrition Modeling'!$B:$B,BI$76),VLOOKUP($F99+BI$77,$A$7:$C$107,2,FALSE)*VLOOKUP(BI$76,'Attrition Modeling'!$L$15:$N$27,IF(BI$77+$F99&lt;=24,2,3),FALSE)),$C$3)*(1+IF('IP Attrition'!BI156&gt;0,'Attrition Modeling'!$N$9,0)))</f>
        <v>0</v>
      </c>
      <c r="BJ99" s="799">
        <f>BI99*(1-IFERROR(IF(BJ$77+$F99&lt;=12,SUMIFS('Attrition Modeling'!$D:$D,'Attrition Modeling'!$C:$C,$D99,'Attrition Modeling'!$B:$B,BJ$76),VLOOKUP($F99+BJ$77,$A$7:$C$107,2,FALSE)*VLOOKUP(BJ$76,'Attrition Modeling'!$L$15:$N$27,IF(BJ$77+$F99&lt;=24,2,3),FALSE)),$C$3)*(1+IF('IP Attrition'!BJ156&gt;0,'Attrition Modeling'!$N$9,0)))</f>
        <v>0</v>
      </c>
      <c r="BK99" s="799">
        <f>BJ99*(1-IFERROR(IF(BK$77+$F99&lt;=12,SUMIFS('Attrition Modeling'!$D:$D,'Attrition Modeling'!$C:$C,$D99,'Attrition Modeling'!$B:$B,BK$76),VLOOKUP($F99+BK$77,$A$7:$C$107,2,FALSE)*VLOOKUP(BK$76,'Attrition Modeling'!$L$15:$N$27,IF(BK$77+$F99&lt;=24,2,3),FALSE)),$C$3)*(1+IF('IP Attrition'!BK156&gt;0,'Attrition Modeling'!$N$9,0)))</f>
        <v>0</v>
      </c>
      <c r="BL99" s="799">
        <f>BK99*(1-IFERROR(IF(BL$77+$F99&lt;=12,SUMIFS('Attrition Modeling'!$D:$D,'Attrition Modeling'!$C:$C,$D99,'Attrition Modeling'!$B:$B,BL$76),VLOOKUP($F99+BL$77,$A$7:$C$107,2,FALSE)*VLOOKUP(BL$76,'Attrition Modeling'!$L$15:$N$27,IF(BL$77+$F99&lt;=24,2,3),FALSE)),$C$3)*(1+IF('IP Attrition'!BL156&gt;0,'Attrition Modeling'!$N$9,0)))</f>
        <v>0</v>
      </c>
      <c r="BM99" s="799">
        <f>BL99*(1-IFERROR(IF(BM$77+$F99&lt;=12,SUMIFS('Attrition Modeling'!$D:$D,'Attrition Modeling'!$C:$C,$D99,'Attrition Modeling'!$B:$B,BM$76),VLOOKUP($F99+BM$77,$A$7:$C$107,2,FALSE)*VLOOKUP(BM$76,'Attrition Modeling'!$L$15:$N$27,IF(BM$77+$F99&lt;=24,2,3),FALSE)),$C$3)*(1+IF('IP Attrition'!BM156&gt;0,'Attrition Modeling'!$N$9,0)))</f>
        <v>0</v>
      </c>
      <c r="BN99" s="799">
        <f>BM99*(1-IFERROR(IF(BN$77+$F99&lt;=12,SUMIFS('Attrition Modeling'!$D:$D,'Attrition Modeling'!$C:$C,$D99,'Attrition Modeling'!$B:$B,BN$76),VLOOKUP($F99+BN$77,$A$7:$C$107,2,FALSE)*VLOOKUP(BN$76,'Attrition Modeling'!$L$15:$N$27,IF(BN$77+$F99&lt;=24,2,3),FALSE)),$C$3)*(1+IF('IP Attrition'!BN156&gt;0,'Attrition Modeling'!$N$9,0)))</f>
        <v>0</v>
      </c>
      <c r="BO99" s="799">
        <f>BN99*(1-IFERROR(IF(BO$77+$F99&lt;=12,SUMIFS('Attrition Modeling'!$D:$D,'Attrition Modeling'!$C:$C,$D99,'Attrition Modeling'!$B:$B,BO$76),VLOOKUP($F99+BO$77,$A$7:$C$107,2,FALSE)*VLOOKUP(BO$76,'Attrition Modeling'!$L$15:$N$27,IF(BO$77+$F99&lt;=24,2,3),FALSE)),$C$3)*(1+IF('IP Attrition'!BO156&gt;0,'Attrition Modeling'!$N$9,0)))</f>
        <v>0</v>
      </c>
      <c r="BP99" s="799">
        <f>BO99*(1-IFERROR(IF(BP$77+$F99&lt;=12,SUMIFS('Attrition Modeling'!$D:$D,'Attrition Modeling'!$C:$C,$D99,'Attrition Modeling'!$B:$B,BP$76),VLOOKUP($F99+BP$77,$A$7:$C$107,2,FALSE)*VLOOKUP(BP$76,'Attrition Modeling'!$L$15:$N$27,IF(BP$77+$F99&lt;=24,2,3),FALSE)),$C$3)*(1+IF('IP Attrition'!BP156&gt;0,'Attrition Modeling'!$N$9,0)))</f>
        <v>0</v>
      </c>
      <c r="BQ99" s="799">
        <f>BP99*(1-IFERROR(IF(BQ$77+$F99&lt;=12,SUMIFS('Attrition Modeling'!$D:$D,'Attrition Modeling'!$C:$C,$D99,'Attrition Modeling'!$B:$B,BQ$76),VLOOKUP($F99+BQ$77,$A$7:$C$107,2,FALSE)*VLOOKUP(BQ$76,'Attrition Modeling'!$L$15:$N$27,IF(BQ$77+$F99&lt;=24,2,3),FALSE)),$C$3)*(1+IF('IP Attrition'!BQ156&gt;0,'Attrition Modeling'!$N$9,0)))</f>
        <v>0</v>
      </c>
      <c r="BR99" s="799">
        <f>BQ99*(1-IFERROR(IF(BR$77+$F99&lt;=12,SUMIFS('Attrition Modeling'!$D:$D,'Attrition Modeling'!$C:$C,$D99,'Attrition Modeling'!$B:$B,BR$76),VLOOKUP($F99+BR$77,$A$7:$C$107,2,FALSE)*VLOOKUP(BR$76,'Attrition Modeling'!$L$15:$N$27,IF(BR$77+$F99&lt;=24,2,3),FALSE)),$C$3)*(1+IF('IP Attrition'!BR156&gt;0,'Attrition Modeling'!$N$9,0)))</f>
        <v>0</v>
      </c>
      <c r="BS99" s="799">
        <f>BR99*(1-IFERROR(IF(BS$77+$F99&lt;=12,SUMIFS('Attrition Modeling'!$D:$D,'Attrition Modeling'!$C:$C,$D99,'Attrition Modeling'!$B:$B,BS$76),VLOOKUP($F99+BS$77,$A$7:$C$107,2,FALSE)*VLOOKUP(BS$76,'Attrition Modeling'!$L$15:$N$27,IF(BS$77+$F99&lt;=24,2,3),FALSE)),$C$3)*(1+IF('IP Attrition'!BS156&gt;0,'Attrition Modeling'!$N$9,0)))</f>
        <v>0</v>
      </c>
      <c r="BT99" s="799" t="e">
        <f>BS99*(1-IFERROR(IF(BT$77+$F99&lt;=12,SUMIFS('Attrition Modeling'!$D:$D,'Attrition Modeling'!$C:$C,$D99,'Attrition Modeling'!$B:$B,BT$76),VLOOKUP($F99+BT$77,$A$7:$C$107,2,FALSE)*VLOOKUP(BT$76,'Attrition Modeling'!$L$15:$N$27,IF(BT$77+$F99&lt;=24,2,3),FALSE)),$C$3)*(1+IF('IP Attrition'!BT156&gt;0,'Attrition Modeling'!$N$9,0)))</f>
        <v>#REF!</v>
      </c>
      <c r="BU99" s="799" t="e">
        <f>BT99*(1-IFERROR(IF(BU$77+$F99&lt;=12,SUMIFS('Attrition Modeling'!$D:$D,'Attrition Modeling'!$C:$C,$D99,'Attrition Modeling'!$B:$B,BU$76),VLOOKUP($F99+BU$77,$A$7:$C$107,2,FALSE)*VLOOKUP(BU$76,'Attrition Modeling'!$L$15:$N$27,IF(BU$77+$F99&lt;=24,2,3),FALSE)),$C$3)*(1+IF('IP Attrition'!BU156&gt;0,'Attrition Modeling'!$N$9,0)))</f>
        <v>#REF!</v>
      </c>
    </row>
    <row r="100" spans="1:73" ht="14.25" customHeight="1" x14ac:dyDescent="0.2">
      <c r="A100" s="9">
        <v>92</v>
      </c>
      <c r="B100" s="25">
        <f>MAX('Attrition Modeling'!H96,$C$3)*(1-Summary!$C$20)</f>
        <v>0.02</v>
      </c>
      <c r="C100" s="24" t="e">
        <f t="shared" si="2"/>
        <v>#DIV/0!</v>
      </c>
      <c r="D100" s="11">
        <f>'IP Attrition'!D92</f>
        <v>-22</v>
      </c>
      <c r="E100" s="25">
        <f>'IP Attrition'!E92</f>
        <v>0</v>
      </c>
      <c r="F100" s="11">
        <f t="shared" si="8"/>
        <v>22</v>
      </c>
      <c r="G100" s="799">
        <f>Summary!$C$24*$E100</f>
        <v>0</v>
      </c>
      <c r="H100" s="799">
        <f>G100*(1-IFERROR(IF(H$77+$F100&lt;=12,SUMIFS('Attrition Modeling'!$D:$D,'Attrition Modeling'!$C:$C,$D100,'Attrition Modeling'!$B:$B,H$76),VLOOKUP($F100+H$77,$A$7:$C$107,2,FALSE)*VLOOKUP(H$76,'Attrition Modeling'!$L$15:$N$27,IF(H$77+$F100&lt;=24,2,3),FALSE)),$C$3)*(1+IF('IP Attrition'!H157&gt;0,'Attrition Modeling'!$N$9,0)))</f>
        <v>0</v>
      </c>
      <c r="I100" s="799">
        <f>H100*(1-IFERROR(IF(I$77+$F100&lt;=12,SUMIFS('Attrition Modeling'!$D:$D,'Attrition Modeling'!$C:$C,$D100,'Attrition Modeling'!$B:$B,I$76),VLOOKUP($F100+I$77,$A$7:$C$107,2,FALSE)*VLOOKUP(I$76,'Attrition Modeling'!$L$15:$N$27,IF(I$77+$F100&lt;=24,2,3),FALSE)),$C$3)*(1+IF('IP Attrition'!I157&gt;0,'Attrition Modeling'!$N$9,0)))</f>
        <v>0</v>
      </c>
      <c r="J100" s="799">
        <f>I100*(1-IFERROR(IF(J$77+$F100&lt;=12,SUMIFS('Attrition Modeling'!$D:$D,'Attrition Modeling'!$C:$C,$D100,'Attrition Modeling'!$B:$B,J$76),VLOOKUP($F100+J$77,$A$7:$C$107,2,FALSE)*VLOOKUP(J$76,'Attrition Modeling'!$L$15:$N$27,IF(J$77+$F100&lt;=24,2,3),FALSE)),$C$3)*(1+IF('IP Attrition'!J157&gt;0,'Attrition Modeling'!$N$9,0)))</f>
        <v>0</v>
      </c>
      <c r="K100" s="799">
        <f>J100*(1-IFERROR(IF(K$77+$F100&lt;=12,SUMIFS('Attrition Modeling'!$D:$D,'Attrition Modeling'!$C:$C,$D100,'Attrition Modeling'!$B:$B,K$76),VLOOKUP($F100+K$77,$A$7:$C$107,2,FALSE)*VLOOKUP(K$76,'Attrition Modeling'!$L$15:$N$27,IF(K$77+$F100&lt;=24,2,3),FALSE)),$C$3)*(1+IF('IP Attrition'!K157&gt;0,'Attrition Modeling'!$N$9,0)))</f>
        <v>0</v>
      </c>
      <c r="L100" s="799">
        <f>K100*(1-IFERROR(IF(L$77+$F100&lt;=12,SUMIFS('Attrition Modeling'!$D:$D,'Attrition Modeling'!$C:$C,$D100,'Attrition Modeling'!$B:$B,L$76),VLOOKUP($F100+L$77,$A$7:$C$107,2,FALSE)*VLOOKUP(L$76,'Attrition Modeling'!$L$15:$N$27,IF(L$77+$F100&lt;=24,2,3),FALSE)),$C$3)*(1+IF('IP Attrition'!L157&gt;0,'Attrition Modeling'!$N$9,0)))</f>
        <v>0</v>
      </c>
      <c r="M100" s="799">
        <f>L100*(1-IFERROR(IF(M$77+$F100&lt;=12,SUMIFS('Attrition Modeling'!$D:$D,'Attrition Modeling'!$C:$C,$D100,'Attrition Modeling'!$B:$B,M$76),VLOOKUP($F100+M$77,$A$7:$C$107,2,FALSE)*VLOOKUP(M$76,'Attrition Modeling'!$L$15:$N$27,IF(M$77+$F100&lt;=24,2,3),FALSE)),$C$3)*(1+IF('IP Attrition'!M157&gt;0,'Attrition Modeling'!$N$9,0)))</f>
        <v>0</v>
      </c>
      <c r="N100" s="799">
        <f>M100*(1-IFERROR(IF(N$77+$F100&lt;=12,SUMIFS('Attrition Modeling'!$D:$D,'Attrition Modeling'!$C:$C,$D100,'Attrition Modeling'!$B:$B,N$76),VLOOKUP($F100+N$77,$A$7:$C$107,2,FALSE)*VLOOKUP(N$76,'Attrition Modeling'!$L$15:$N$27,IF(N$77+$F100&lt;=24,2,3),FALSE)),$C$3)*(1+IF('IP Attrition'!N157&gt;0,'Attrition Modeling'!$N$9,0)))</f>
        <v>0</v>
      </c>
      <c r="O100" s="799">
        <f>N100*(1-IFERROR(IF(O$77+$F100&lt;=12,SUMIFS('Attrition Modeling'!$D:$D,'Attrition Modeling'!$C:$C,$D100,'Attrition Modeling'!$B:$B,O$76),VLOOKUP($F100+O$77,$A$7:$C$107,2,FALSE)*VLOOKUP(O$76,'Attrition Modeling'!$L$15:$N$27,IF(O$77+$F100&lt;=24,2,3),FALSE)),$C$3)*(1+IF('IP Attrition'!O157&gt;0,'Attrition Modeling'!$N$9,0)))</f>
        <v>0</v>
      </c>
      <c r="P100" s="799">
        <f>O100*(1-IFERROR(IF(P$77+$F100&lt;=12,SUMIFS('Attrition Modeling'!$D:$D,'Attrition Modeling'!$C:$C,$D100,'Attrition Modeling'!$B:$B,P$76),VLOOKUP($F100+P$77,$A$7:$C$107,2,FALSE)*VLOOKUP(P$76,'Attrition Modeling'!$L$15:$N$27,IF(P$77+$F100&lt;=24,2,3),FALSE)),$C$3)*(1+IF('IP Attrition'!P157&gt;0,'Attrition Modeling'!$N$9,0)))</f>
        <v>0</v>
      </c>
      <c r="Q100" s="799">
        <f>P100*(1-IFERROR(IF(Q$77+$F100&lt;=12,SUMIFS('Attrition Modeling'!$D:$D,'Attrition Modeling'!$C:$C,$D100,'Attrition Modeling'!$B:$B,Q$76),VLOOKUP($F100+Q$77,$A$7:$C$107,2,FALSE)*VLOOKUP(Q$76,'Attrition Modeling'!$L$15:$N$27,IF(Q$77+$F100&lt;=24,2,3),FALSE)),$C$3)*(1+IF('IP Attrition'!Q157&gt;0,'Attrition Modeling'!$N$9,0)))</f>
        <v>0</v>
      </c>
      <c r="R100" s="799">
        <f>Q100*(1-IFERROR(IF(R$77+$F100&lt;=12,SUMIFS('Attrition Modeling'!$D:$D,'Attrition Modeling'!$C:$C,$D100,'Attrition Modeling'!$B:$B,R$76),VLOOKUP($F100+R$77,$A$7:$C$107,2,FALSE)*VLOOKUP(R$76,'Attrition Modeling'!$L$15:$N$27,IF(R$77+$F100&lt;=24,2,3),FALSE)),$C$3)*(1+IF('IP Attrition'!R157&gt;0,'Attrition Modeling'!$N$9,0)))</f>
        <v>0</v>
      </c>
      <c r="S100" s="799">
        <f>R100*(1-IFERROR(IF(S$77+$F100&lt;=12,SUMIFS('Attrition Modeling'!$D:$D,'Attrition Modeling'!$C:$C,$D100,'Attrition Modeling'!$B:$B,S$76),VLOOKUP($F100+S$77,$A$7:$C$107,2,FALSE)*VLOOKUP(S$76,'Attrition Modeling'!$L$15:$N$27,IF(S$77+$F100&lt;=24,2,3),FALSE)),$C$3)*(1+IF('IP Attrition'!S157&gt;0,'Attrition Modeling'!$N$9,0)))</f>
        <v>0</v>
      </c>
      <c r="T100" s="799">
        <f>S100*(1-IFERROR(IF(T$77+$F100&lt;=12,SUMIFS('Attrition Modeling'!$D:$D,'Attrition Modeling'!$C:$C,$D100,'Attrition Modeling'!$B:$B,T$76),VLOOKUP($F100+T$77,$A$7:$C$107,2,FALSE)*VLOOKUP(T$76,'Attrition Modeling'!$L$15:$N$27,IF(T$77+$F100&lt;=24,2,3),FALSE)),$C$3)*(1+IF('IP Attrition'!T157&gt;0,'Attrition Modeling'!$N$9,0)))</f>
        <v>0</v>
      </c>
      <c r="U100" s="799">
        <f>T100*(1-IFERROR(IF(U$77+$F100&lt;=12,SUMIFS('Attrition Modeling'!$D:$D,'Attrition Modeling'!$C:$C,$D100,'Attrition Modeling'!$B:$B,U$76),VLOOKUP($F100+U$77,$A$7:$C$107,2,FALSE)*VLOOKUP(U$76,'Attrition Modeling'!$L$15:$N$27,IF(U$77+$F100&lt;=24,2,3),FALSE)),$C$3)*(1+IF('IP Attrition'!U157&gt;0,'Attrition Modeling'!$N$9,0)))</f>
        <v>0</v>
      </c>
      <c r="V100" s="799">
        <f>U100*(1-IFERROR(IF(V$77+$F100&lt;=12,SUMIFS('Attrition Modeling'!$D:$D,'Attrition Modeling'!$C:$C,$D100,'Attrition Modeling'!$B:$B,V$76),VLOOKUP($F100+V$77,$A$7:$C$107,2,FALSE)*VLOOKUP(V$76,'Attrition Modeling'!$L$15:$N$27,IF(V$77+$F100&lt;=24,2,3),FALSE)),$C$3)*(1+IF('IP Attrition'!V157&gt;0,'Attrition Modeling'!$N$9,0)))</f>
        <v>0</v>
      </c>
      <c r="W100" s="799">
        <f>V100*(1-IFERROR(IF(W$77+$F100&lt;=12,SUMIFS('Attrition Modeling'!$D:$D,'Attrition Modeling'!$C:$C,$D100,'Attrition Modeling'!$B:$B,W$76),VLOOKUP($F100+W$77,$A$7:$C$107,2,FALSE)*VLOOKUP(W$76,'Attrition Modeling'!$L$15:$N$27,IF(W$77+$F100&lt;=24,2,3),FALSE)),$C$3)*(1+IF('IP Attrition'!W157&gt;0,'Attrition Modeling'!$N$9,0)))</f>
        <v>0</v>
      </c>
      <c r="X100" s="799">
        <f>W100*(1-IFERROR(IF(X$77+$F100&lt;=12,SUMIFS('Attrition Modeling'!$D:$D,'Attrition Modeling'!$C:$C,$D100,'Attrition Modeling'!$B:$B,X$76),VLOOKUP($F100+X$77,$A$7:$C$107,2,FALSE)*VLOOKUP(X$76,'Attrition Modeling'!$L$15:$N$27,IF(X$77+$F100&lt;=24,2,3),FALSE)),$C$3)*(1+IF('IP Attrition'!X157&gt;0,'Attrition Modeling'!$N$9,0)))</f>
        <v>0</v>
      </c>
      <c r="Y100" s="799">
        <f>X100*(1-IFERROR(IF(Y$77+$F100&lt;=12,SUMIFS('Attrition Modeling'!$D:$D,'Attrition Modeling'!$C:$C,$D100,'Attrition Modeling'!$B:$B,Y$76),VLOOKUP($F100+Y$77,$A$7:$C$107,2,FALSE)*VLOOKUP(Y$76,'Attrition Modeling'!$L$15:$N$27,IF(Y$77+$F100&lt;=24,2,3),FALSE)),$C$3)*(1+IF('IP Attrition'!Y157&gt;0,'Attrition Modeling'!$N$9,0)))</f>
        <v>0</v>
      </c>
      <c r="Z100" s="799">
        <f>Y100*(1-IFERROR(IF(Z$77+$F100&lt;=12,SUMIFS('Attrition Modeling'!$D:$D,'Attrition Modeling'!$C:$C,$D100,'Attrition Modeling'!$B:$B,Z$76),VLOOKUP($F100+Z$77,$A$7:$C$107,2,FALSE)*VLOOKUP(Z$76,'Attrition Modeling'!$L$15:$N$27,IF(Z$77+$F100&lt;=24,2,3),FALSE)),$C$3)*(1+IF('IP Attrition'!Z157&gt;0,'Attrition Modeling'!$N$9,0)))</f>
        <v>0</v>
      </c>
      <c r="AA100" s="799">
        <f>Z100*(1-IFERROR(IF(AA$77+$F100&lt;=12,SUMIFS('Attrition Modeling'!$D:$D,'Attrition Modeling'!$C:$C,$D100,'Attrition Modeling'!$B:$B,AA$76),VLOOKUP($F100+AA$77,$A$7:$C$107,2,FALSE)*VLOOKUP(AA$76,'Attrition Modeling'!$L$15:$N$27,IF(AA$77+$F100&lt;=24,2,3),FALSE)),$C$3)*(1+IF('IP Attrition'!AA157&gt;0,'Attrition Modeling'!$N$9,0)))</f>
        <v>0</v>
      </c>
      <c r="AB100" s="799">
        <f>AA100*(1-IFERROR(IF(AB$77+$F100&lt;=12,SUMIFS('Attrition Modeling'!$D:$D,'Attrition Modeling'!$C:$C,$D100,'Attrition Modeling'!$B:$B,AB$76),VLOOKUP($F100+AB$77,$A$7:$C$107,2,FALSE)*VLOOKUP(AB$76,'Attrition Modeling'!$L$15:$N$27,IF(AB$77+$F100&lt;=24,2,3),FALSE)),$C$3)*(1+IF('IP Attrition'!AB157&gt;0,'Attrition Modeling'!$N$9,0)))</f>
        <v>0</v>
      </c>
      <c r="AC100" s="799">
        <f>AB100*(1-IFERROR(IF(AC$77+$F100&lt;=12,SUMIFS('Attrition Modeling'!$D:$D,'Attrition Modeling'!$C:$C,$D100,'Attrition Modeling'!$B:$B,AC$76),VLOOKUP($F100+AC$77,$A$7:$C$107,2,FALSE)*VLOOKUP(AC$76,'Attrition Modeling'!$L$15:$N$27,IF(AC$77+$F100&lt;=24,2,3),FALSE)),$C$3)*(1+IF('IP Attrition'!AC157&gt;0,'Attrition Modeling'!$N$9,0)))</f>
        <v>0</v>
      </c>
      <c r="AD100" s="799">
        <f>AC100*(1-IFERROR(IF(AD$77+$F100&lt;=12,SUMIFS('Attrition Modeling'!$D:$D,'Attrition Modeling'!$C:$C,$D100,'Attrition Modeling'!$B:$B,AD$76),VLOOKUP($F100+AD$77,$A$7:$C$107,2,FALSE)*VLOOKUP(AD$76,'Attrition Modeling'!$L$15:$N$27,IF(AD$77+$F100&lt;=24,2,3),FALSE)),$C$3)*(1+IF('IP Attrition'!AD157&gt;0,'Attrition Modeling'!$N$9,0)))</f>
        <v>0</v>
      </c>
      <c r="AE100" s="799">
        <f>AD100*(1-IFERROR(IF(AE$77+$F100&lt;=12,SUMIFS('Attrition Modeling'!$D:$D,'Attrition Modeling'!$C:$C,$D100,'Attrition Modeling'!$B:$B,AE$76),VLOOKUP($F100+AE$77,$A$7:$C$107,2,FALSE)*VLOOKUP(AE$76,'Attrition Modeling'!$L$15:$N$27,IF(AE$77+$F100&lt;=24,2,3),FALSE)),$C$3)*(1+IF('IP Attrition'!AE157&gt;0,'Attrition Modeling'!$N$9,0)))</f>
        <v>0</v>
      </c>
      <c r="AF100" s="799">
        <f>AE100*(1-IFERROR(IF(AF$77+$F100&lt;=12,SUMIFS('Attrition Modeling'!$D:$D,'Attrition Modeling'!$C:$C,$D100,'Attrition Modeling'!$B:$B,AF$76),VLOOKUP($F100+AF$77,$A$7:$C$107,2,FALSE)*VLOOKUP(AF$76,'Attrition Modeling'!$L$15:$N$27,IF(AF$77+$F100&lt;=24,2,3),FALSE)),$C$3)*(1+IF('IP Attrition'!AF157&gt;0,'Attrition Modeling'!$N$9,0)))</f>
        <v>0</v>
      </c>
      <c r="AG100" s="799">
        <f>AF100*(1-IFERROR(IF(AG$77+$F100&lt;=12,SUMIFS('Attrition Modeling'!$D:$D,'Attrition Modeling'!$C:$C,$D100,'Attrition Modeling'!$B:$B,AG$76),VLOOKUP($F100+AG$77,$A$7:$C$107,2,FALSE)*VLOOKUP(AG$76,'Attrition Modeling'!$L$15:$N$27,IF(AG$77+$F100&lt;=24,2,3),FALSE)),$C$3)*(1+IF('IP Attrition'!AG157&gt;0,'Attrition Modeling'!$N$9,0)))</f>
        <v>0</v>
      </c>
      <c r="AH100" s="799">
        <f>AG100*(1-IFERROR(IF(AH$77+$F100&lt;=12,SUMIFS('Attrition Modeling'!$D:$D,'Attrition Modeling'!$C:$C,$D100,'Attrition Modeling'!$B:$B,AH$76),VLOOKUP($F100+AH$77,$A$7:$C$107,2,FALSE)*VLOOKUP(AH$76,'Attrition Modeling'!$L$15:$N$27,IF(AH$77+$F100&lt;=24,2,3),FALSE)),$C$3)*(1+IF('IP Attrition'!AH157&gt;0,'Attrition Modeling'!$N$9,0)))</f>
        <v>0</v>
      </c>
      <c r="AI100" s="799">
        <f>AH100*(1-IFERROR(IF(AI$77+$F100&lt;=12,SUMIFS('Attrition Modeling'!$D:$D,'Attrition Modeling'!$C:$C,$D100,'Attrition Modeling'!$B:$B,AI$76),VLOOKUP($F100+AI$77,$A$7:$C$107,2,FALSE)*VLOOKUP(AI$76,'Attrition Modeling'!$L$15:$N$27,IF(AI$77+$F100&lt;=24,2,3),FALSE)),$C$3)*(1+IF('IP Attrition'!AI157&gt;0,'Attrition Modeling'!$N$9,0)))</f>
        <v>0</v>
      </c>
      <c r="AJ100" s="799">
        <f>AI100*(1-IFERROR(IF(AJ$77+$F100&lt;=12,SUMIFS('Attrition Modeling'!$D:$D,'Attrition Modeling'!$C:$C,$D100,'Attrition Modeling'!$B:$B,AJ$76),VLOOKUP($F100+AJ$77,$A$7:$C$107,2,FALSE)*VLOOKUP(AJ$76,'Attrition Modeling'!$L$15:$N$27,IF(AJ$77+$F100&lt;=24,2,3),FALSE)),$C$3)*(1+IF('IP Attrition'!AJ157&gt;0,'Attrition Modeling'!$N$9,0)))</f>
        <v>0</v>
      </c>
      <c r="AK100" s="799">
        <f>AJ100*(1-IFERROR(IF(AK$77+$F100&lt;=12,SUMIFS('Attrition Modeling'!$D:$D,'Attrition Modeling'!$C:$C,$D100,'Attrition Modeling'!$B:$B,AK$76),VLOOKUP($F100+AK$77,$A$7:$C$107,2,FALSE)*VLOOKUP(AK$76,'Attrition Modeling'!$L$15:$N$27,IF(AK$77+$F100&lt;=24,2,3),FALSE)),$C$3)*(1+IF('IP Attrition'!AK157&gt;0,'Attrition Modeling'!$N$9,0)))</f>
        <v>0</v>
      </c>
      <c r="AL100" s="799">
        <f>AK100*(1-IFERROR(IF(AL$77+$F100&lt;=12,SUMIFS('Attrition Modeling'!$D:$D,'Attrition Modeling'!$C:$C,$D100,'Attrition Modeling'!$B:$B,AL$76),VLOOKUP($F100+AL$77,$A$7:$C$107,2,FALSE)*VLOOKUP(AL$76,'Attrition Modeling'!$L$15:$N$27,IF(AL$77+$F100&lt;=24,2,3),FALSE)),$C$3)*(1+IF('IP Attrition'!AL157&gt;0,'Attrition Modeling'!$N$9,0)))</f>
        <v>0</v>
      </c>
      <c r="AM100" s="799">
        <f>AL100*(1-IFERROR(IF(AM$77+$F100&lt;=12,SUMIFS('Attrition Modeling'!$D:$D,'Attrition Modeling'!$C:$C,$D100,'Attrition Modeling'!$B:$B,AM$76),VLOOKUP($F100+AM$77,$A$7:$C$107,2,FALSE)*VLOOKUP(AM$76,'Attrition Modeling'!$L$15:$N$27,IF(AM$77+$F100&lt;=24,2,3),FALSE)),$C$3)*(1+IF('IP Attrition'!AM157&gt;0,'Attrition Modeling'!$N$9,0)))</f>
        <v>0</v>
      </c>
      <c r="AN100" s="799">
        <f>AM100*(1-IFERROR(IF(AN$77+$F100&lt;=12,SUMIFS('Attrition Modeling'!$D:$D,'Attrition Modeling'!$C:$C,$D100,'Attrition Modeling'!$B:$B,AN$76),VLOOKUP($F100+AN$77,$A$7:$C$107,2,FALSE)*VLOOKUP(AN$76,'Attrition Modeling'!$L$15:$N$27,IF(AN$77+$F100&lt;=24,2,3),FALSE)),$C$3)*(1+IF('IP Attrition'!AN157&gt;0,'Attrition Modeling'!$N$9,0)))</f>
        <v>0</v>
      </c>
      <c r="AO100" s="799">
        <f>AN100*(1-IFERROR(IF(AO$77+$F100&lt;=12,SUMIFS('Attrition Modeling'!$D:$D,'Attrition Modeling'!$C:$C,$D100,'Attrition Modeling'!$B:$B,AO$76),VLOOKUP($F100+AO$77,$A$7:$C$107,2,FALSE)*VLOOKUP(AO$76,'Attrition Modeling'!$L$15:$N$27,IF(AO$77+$F100&lt;=24,2,3),FALSE)),$C$3)*(1+IF('IP Attrition'!AO157&gt;0,'Attrition Modeling'!$N$9,0)))</f>
        <v>0</v>
      </c>
      <c r="AP100" s="799">
        <f>AO100*(1-IFERROR(IF(AP$77+$F100&lt;=12,SUMIFS('Attrition Modeling'!$D:$D,'Attrition Modeling'!$C:$C,$D100,'Attrition Modeling'!$B:$B,AP$76),VLOOKUP($F100+AP$77,$A$7:$C$107,2,FALSE)*VLOOKUP(AP$76,'Attrition Modeling'!$L$15:$N$27,IF(AP$77+$F100&lt;=24,2,3),FALSE)),$C$3)*(1+IF('IP Attrition'!AP157&gt;0,'Attrition Modeling'!$N$9,0)))</f>
        <v>0</v>
      </c>
      <c r="AQ100" s="799">
        <f>AP100*(1-IFERROR(IF(AQ$77+$F100&lt;=12,SUMIFS('Attrition Modeling'!$D:$D,'Attrition Modeling'!$C:$C,$D100,'Attrition Modeling'!$B:$B,AQ$76),VLOOKUP($F100+AQ$77,$A$7:$C$107,2,FALSE)*VLOOKUP(AQ$76,'Attrition Modeling'!$L$15:$N$27,IF(AQ$77+$F100&lt;=24,2,3),FALSE)),$C$3)*(1+IF('IP Attrition'!AQ157&gt;0,'Attrition Modeling'!$N$9,0)))</f>
        <v>0</v>
      </c>
      <c r="AR100" s="799">
        <f>AQ100*(1-IFERROR(IF(AR$77+$F100&lt;=12,SUMIFS('Attrition Modeling'!$D:$D,'Attrition Modeling'!$C:$C,$D100,'Attrition Modeling'!$B:$B,AR$76),VLOOKUP($F100+AR$77,$A$7:$C$107,2,FALSE)*VLOOKUP(AR$76,'Attrition Modeling'!$L$15:$N$27,IF(AR$77+$F100&lt;=24,2,3),FALSE)),$C$3)*(1+IF('IP Attrition'!AR157&gt;0,'Attrition Modeling'!$N$9,0)))</f>
        <v>0</v>
      </c>
      <c r="AS100" s="799">
        <f>AR100*(1-IFERROR(IF(AS$77+$F100&lt;=12,SUMIFS('Attrition Modeling'!$D:$D,'Attrition Modeling'!$C:$C,$D100,'Attrition Modeling'!$B:$B,AS$76),VLOOKUP($F100+AS$77,$A$7:$C$107,2,FALSE)*VLOOKUP(AS$76,'Attrition Modeling'!$L$15:$N$27,IF(AS$77+$F100&lt;=24,2,3),FALSE)),$C$3)*(1+IF('IP Attrition'!AS157&gt;0,'Attrition Modeling'!$N$9,0)))</f>
        <v>0</v>
      </c>
      <c r="AT100" s="799">
        <f>AS100*(1-IFERROR(IF(AT$77+$F100&lt;=12,SUMIFS('Attrition Modeling'!$D:$D,'Attrition Modeling'!$C:$C,$D100,'Attrition Modeling'!$B:$B,AT$76),VLOOKUP($F100+AT$77,$A$7:$C$107,2,FALSE)*VLOOKUP(AT$76,'Attrition Modeling'!$L$15:$N$27,IF(AT$77+$F100&lt;=24,2,3),FALSE)),$C$3)*(1+IF('IP Attrition'!AT157&gt;0,'Attrition Modeling'!$N$9,0)))</f>
        <v>0</v>
      </c>
      <c r="AU100" s="799">
        <f>AT100*(1-IFERROR(IF(AU$77+$F100&lt;=12,SUMIFS('Attrition Modeling'!$D:$D,'Attrition Modeling'!$C:$C,$D100,'Attrition Modeling'!$B:$B,AU$76),VLOOKUP($F100+AU$77,$A$7:$C$107,2,FALSE)*VLOOKUP(AU$76,'Attrition Modeling'!$L$15:$N$27,IF(AU$77+$F100&lt;=24,2,3),FALSE)),$C$3)*(1+IF('IP Attrition'!AU157&gt;0,'Attrition Modeling'!$N$9,0)))</f>
        <v>0</v>
      </c>
      <c r="AV100" s="799">
        <f>AU100*(1-IFERROR(IF(AV$77+$F100&lt;=12,SUMIFS('Attrition Modeling'!$D:$D,'Attrition Modeling'!$C:$C,$D100,'Attrition Modeling'!$B:$B,AV$76),VLOOKUP($F100+AV$77,$A$7:$C$107,2,FALSE)*VLOOKUP(AV$76,'Attrition Modeling'!$L$15:$N$27,IF(AV$77+$F100&lt;=24,2,3),FALSE)),$C$3)*(1+IF('IP Attrition'!AV157&gt;0,'Attrition Modeling'!$N$9,0)))</f>
        <v>0</v>
      </c>
      <c r="AW100" s="799">
        <f>AV100*(1-IFERROR(IF(AW$77+$F100&lt;=12,SUMIFS('Attrition Modeling'!$D:$D,'Attrition Modeling'!$C:$C,$D100,'Attrition Modeling'!$B:$B,AW$76),VLOOKUP($F100+AW$77,$A$7:$C$107,2,FALSE)*VLOOKUP(AW$76,'Attrition Modeling'!$L$15:$N$27,IF(AW$77+$F100&lt;=24,2,3),FALSE)),$C$3)*(1+IF('IP Attrition'!AW157&gt;0,'Attrition Modeling'!$N$9,0)))</f>
        <v>0</v>
      </c>
      <c r="AX100" s="799">
        <f>AW100*(1-IFERROR(IF(AX$77+$F100&lt;=12,SUMIFS('Attrition Modeling'!$D:$D,'Attrition Modeling'!$C:$C,$D100,'Attrition Modeling'!$B:$B,AX$76),VLOOKUP($F100+AX$77,$A$7:$C$107,2,FALSE)*VLOOKUP(AX$76,'Attrition Modeling'!$L$15:$N$27,IF(AX$77+$F100&lt;=24,2,3),FALSE)),$C$3)*(1+IF('IP Attrition'!AX157&gt;0,'Attrition Modeling'!$N$9,0)))</f>
        <v>0</v>
      </c>
      <c r="AY100" s="799">
        <f>AX100*(1-IFERROR(IF(AY$77+$F100&lt;=12,SUMIFS('Attrition Modeling'!$D:$D,'Attrition Modeling'!$C:$C,$D100,'Attrition Modeling'!$B:$B,AY$76),VLOOKUP($F100+AY$77,$A$7:$C$107,2,FALSE)*VLOOKUP(AY$76,'Attrition Modeling'!$L$15:$N$27,IF(AY$77+$F100&lt;=24,2,3),FALSE)),$C$3)*(1+IF('IP Attrition'!AY157&gt;0,'Attrition Modeling'!$N$9,0)))</f>
        <v>0</v>
      </c>
      <c r="AZ100" s="799">
        <f>AY100*(1-IFERROR(IF(AZ$77+$F100&lt;=12,SUMIFS('Attrition Modeling'!$D:$D,'Attrition Modeling'!$C:$C,$D100,'Attrition Modeling'!$B:$B,AZ$76),VLOOKUP($F100+AZ$77,$A$7:$C$107,2,FALSE)*VLOOKUP(AZ$76,'Attrition Modeling'!$L$15:$N$27,IF(AZ$77+$F100&lt;=24,2,3),FALSE)),$C$3)*(1+IF('IP Attrition'!AZ157&gt;0,'Attrition Modeling'!$N$9,0)))</f>
        <v>0</v>
      </c>
      <c r="BA100" s="799">
        <f>AZ100*(1-IFERROR(IF(BA$77+$F100&lt;=12,SUMIFS('Attrition Modeling'!$D:$D,'Attrition Modeling'!$C:$C,$D100,'Attrition Modeling'!$B:$B,BA$76),VLOOKUP($F100+BA$77,$A$7:$C$107,2,FALSE)*VLOOKUP(BA$76,'Attrition Modeling'!$L$15:$N$27,IF(BA$77+$F100&lt;=24,2,3),FALSE)),$C$3)*(1+IF('IP Attrition'!BA157&gt;0,'Attrition Modeling'!$N$9,0)))</f>
        <v>0</v>
      </c>
      <c r="BB100" s="799">
        <f>BA100*(1-IFERROR(IF(BB$77+$F100&lt;=12,SUMIFS('Attrition Modeling'!$D:$D,'Attrition Modeling'!$C:$C,$D100,'Attrition Modeling'!$B:$B,BB$76),VLOOKUP($F100+BB$77,$A$7:$C$107,2,FALSE)*VLOOKUP(BB$76,'Attrition Modeling'!$L$15:$N$27,IF(BB$77+$F100&lt;=24,2,3),FALSE)),$C$3)*(1+IF('IP Attrition'!BB157&gt;0,'Attrition Modeling'!$N$9,0)))</f>
        <v>0</v>
      </c>
      <c r="BC100" s="799">
        <f>BB100*(1-IFERROR(IF(BC$77+$F100&lt;=12,SUMIFS('Attrition Modeling'!$D:$D,'Attrition Modeling'!$C:$C,$D100,'Attrition Modeling'!$B:$B,BC$76),VLOOKUP($F100+BC$77,$A$7:$C$107,2,FALSE)*VLOOKUP(BC$76,'Attrition Modeling'!$L$15:$N$27,IF(BC$77+$F100&lt;=24,2,3),FALSE)),$C$3)*(1+IF('IP Attrition'!BC157&gt;0,'Attrition Modeling'!$N$9,0)))</f>
        <v>0</v>
      </c>
      <c r="BD100" s="799">
        <f>BC100*(1-IFERROR(IF(BD$77+$F100&lt;=12,SUMIFS('Attrition Modeling'!$D:$D,'Attrition Modeling'!$C:$C,$D100,'Attrition Modeling'!$B:$B,BD$76),VLOOKUP($F100+BD$77,$A$7:$C$107,2,FALSE)*VLOOKUP(BD$76,'Attrition Modeling'!$L$15:$N$27,IF(BD$77+$F100&lt;=24,2,3),FALSE)),$C$3)*(1+IF('IP Attrition'!BD157&gt;0,'Attrition Modeling'!$N$9,0)))</f>
        <v>0</v>
      </c>
      <c r="BE100" s="799">
        <f>BD100*(1-IFERROR(IF(BE$77+$F100&lt;=12,SUMIFS('Attrition Modeling'!$D:$D,'Attrition Modeling'!$C:$C,$D100,'Attrition Modeling'!$B:$B,BE$76),VLOOKUP($F100+BE$77,$A$7:$C$107,2,FALSE)*VLOOKUP(BE$76,'Attrition Modeling'!$L$15:$N$27,IF(BE$77+$F100&lt;=24,2,3),FALSE)),$C$3)*(1+IF('IP Attrition'!BE157&gt;0,'Attrition Modeling'!$N$9,0)))</f>
        <v>0</v>
      </c>
      <c r="BF100" s="799">
        <f>BE100*(1-IFERROR(IF(BF$77+$F100&lt;=12,SUMIFS('Attrition Modeling'!$D:$D,'Attrition Modeling'!$C:$C,$D100,'Attrition Modeling'!$B:$B,BF$76),VLOOKUP($F100+BF$77,$A$7:$C$107,2,FALSE)*VLOOKUP(BF$76,'Attrition Modeling'!$L$15:$N$27,IF(BF$77+$F100&lt;=24,2,3),FALSE)),$C$3)*(1+IF('IP Attrition'!BF157&gt;0,'Attrition Modeling'!$N$9,0)))</f>
        <v>0</v>
      </c>
      <c r="BG100" s="799">
        <f>BF100*(1-IFERROR(IF(BG$77+$F100&lt;=12,SUMIFS('Attrition Modeling'!$D:$D,'Attrition Modeling'!$C:$C,$D100,'Attrition Modeling'!$B:$B,BG$76),VLOOKUP($F100+BG$77,$A$7:$C$107,2,FALSE)*VLOOKUP(BG$76,'Attrition Modeling'!$L$15:$N$27,IF(BG$77+$F100&lt;=24,2,3),FALSE)),$C$3)*(1+IF('IP Attrition'!BG157&gt;0,'Attrition Modeling'!$N$9,0)))</f>
        <v>0</v>
      </c>
      <c r="BH100" s="799">
        <f>BG100*(1-IFERROR(IF(BH$77+$F100&lt;=12,SUMIFS('Attrition Modeling'!$D:$D,'Attrition Modeling'!$C:$C,$D100,'Attrition Modeling'!$B:$B,BH$76),VLOOKUP($F100+BH$77,$A$7:$C$107,2,FALSE)*VLOOKUP(BH$76,'Attrition Modeling'!$L$15:$N$27,IF(BH$77+$F100&lt;=24,2,3),FALSE)),$C$3)*(1+IF('IP Attrition'!BH157&gt;0,'Attrition Modeling'!$N$9,0)))</f>
        <v>0</v>
      </c>
      <c r="BI100" s="799">
        <f>BH100*(1-IFERROR(IF(BI$77+$F100&lt;=12,SUMIFS('Attrition Modeling'!$D:$D,'Attrition Modeling'!$C:$C,$D100,'Attrition Modeling'!$B:$B,BI$76),VLOOKUP($F100+BI$77,$A$7:$C$107,2,FALSE)*VLOOKUP(BI$76,'Attrition Modeling'!$L$15:$N$27,IF(BI$77+$F100&lt;=24,2,3),FALSE)),$C$3)*(1+IF('IP Attrition'!BI157&gt;0,'Attrition Modeling'!$N$9,0)))</f>
        <v>0</v>
      </c>
      <c r="BJ100" s="799">
        <f>BI100*(1-IFERROR(IF(BJ$77+$F100&lt;=12,SUMIFS('Attrition Modeling'!$D:$D,'Attrition Modeling'!$C:$C,$D100,'Attrition Modeling'!$B:$B,BJ$76),VLOOKUP($F100+BJ$77,$A$7:$C$107,2,FALSE)*VLOOKUP(BJ$76,'Attrition Modeling'!$L$15:$N$27,IF(BJ$77+$F100&lt;=24,2,3),FALSE)),$C$3)*(1+IF('IP Attrition'!BJ157&gt;0,'Attrition Modeling'!$N$9,0)))</f>
        <v>0</v>
      </c>
      <c r="BK100" s="799">
        <f>BJ100*(1-IFERROR(IF(BK$77+$F100&lt;=12,SUMIFS('Attrition Modeling'!$D:$D,'Attrition Modeling'!$C:$C,$D100,'Attrition Modeling'!$B:$B,BK$76),VLOOKUP($F100+BK$77,$A$7:$C$107,2,FALSE)*VLOOKUP(BK$76,'Attrition Modeling'!$L$15:$N$27,IF(BK$77+$F100&lt;=24,2,3),FALSE)),$C$3)*(1+IF('IP Attrition'!BK157&gt;0,'Attrition Modeling'!$N$9,0)))</f>
        <v>0</v>
      </c>
      <c r="BL100" s="799">
        <f>BK100*(1-IFERROR(IF(BL$77+$F100&lt;=12,SUMIFS('Attrition Modeling'!$D:$D,'Attrition Modeling'!$C:$C,$D100,'Attrition Modeling'!$B:$B,BL$76),VLOOKUP($F100+BL$77,$A$7:$C$107,2,FALSE)*VLOOKUP(BL$76,'Attrition Modeling'!$L$15:$N$27,IF(BL$77+$F100&lt;=24,2,3),FALSE)),$C$3)*(1+IF('IP Attrition'!BL157&gt;0,'Attrition Modeling'!$N$9,0)))</f>
        <v>0</v>
      </c>
      <c r="BM100" s="799">
        <f>BL100*(1-IFERROR(IF(BM$77+$F100&lt;=12,SUMIFS('Attrition Modeling'!$D:$D,'Attrition Modeling'!$C:$C,$D100,'Attrition Modeling'!$B:$B,BM$76),VLOOKUP($F100+BM$77,$A$7:$C$107,2,FALSE)*VLOOKUP(BM$76,'Attrition Modeling'!$L$15:$N$27,IF(BM$77+$F100&lt;=24,2,3),FALSE)),$C$3)*(1+IF('IP Attrition'!BM157&gt;0,'Attrition Modeling'!$N$9,0)))</f>
        <v>0</v>
      </c>
      <c r="BN100" s="799">
        <f>BM100*(1-IFERROR(IF(BN$77+$F100&lt;=12,SUMIFS('Attrition Modeling'!$D:$D,'Attrition Modeling'!$C:$C,$D100,'Attrition Modeling'!$B:$B,BN$76),VLOOKUP($F100+BN$77,$A$7:$C$107,2,FALSE)*VLOOKUP(BN$76,'Attrition Modeling'!$L$15:$N$27,IF(BN$77+$F100&lt;=24,2,3),FALSE)),$C$3)*(1+IF('IP Attrition'!BN157&gt;0,'Attrition Modeling'!$N$9,0)))</f>
        <v>0</v>
      </c>
      <c r="BO100" s="799">
        <f>BN100*(1-IFERROR(IF(BO$77+$F100&lt;=12,SUMIFS('Attrition Modeling'!$D:$D,'Attrition Modeling'!$C:$C,$D100,'Attrition Modeling'!$B:$B,BO$76),VLOOKUP($F100+BO$77,$A$7:$C$107,2,FALSE)*VLOOKUP(BO$76,'Attrition Modeling'!$L$15:$N$27,IF(BO$77+$F100&lt;=24,2,3),FALSE)),$C$3)*(1+IF('IP Attrition'!BO157&gt;0,'Attrition Modeling'!$N$9,0)))</f>
        <v>0</v>
      </c>
      <c r="BP100" s="799">
        <f>BO100*(1-IFERROR(IF(BP$77+$F100&lt;=12,SUMIFS('Attrition Modeling'!$D:$D,'Attrition Modeling'!$C:$C,$D100,'Attrition Modeling'!$B:$B,BP$76),VLOOKUP($F100+BP$77,$A$7:$C$107,2,FALSE)*VLOOKUP(BP$76,'Attrition Modeling'!$L$15:$N$27,IF(BP$77+$F100&lt;=24,2,3),FALSE)),$C$3)*(1+IF('IP Attrition'!BP157&gt;0,'Attrition Modeling'!$N$9,0)))</f>
        <v>0</v>
      </c>
      <c r="BQ100" s="799">
        <f>BP100*(1-IFERROR(IF(BQ$77+$F100&lt;=12,SUMIFS('Attrition Modeling'!$D:$D,'Attrition Modeling'!$C:$C,$D100,'Attrition Modeling'!$B:$B,BQ$76),VLOOKUP($F100+BQ$77,$A$7:$C$107,2,FALSE)*VLOOKUP(BQ$76,'Attrition Modeling'!$L$15:$N$27,IF(BQ$77+$F100&lt;=24,2,3),FALSE)),$C$3)*(1+IF('IP Attrition'!BQ157&gt;0,'Attrition Modeling'!$N$9,0)))</f>
        <v>0</v>
      </c>
      <c r="BR100" s="799">
        <f>BQ100*(1-IFERROR(IF(BR$77+$F100&lt;=12,SUMIFS('Attrition Modeling'!$D:$D,'Attrition Modeling'!$C:$C,$D100,'Attrition Modeling'!$B:$B,BR$76),VLOOKUP($F100+BR$77,$A$7:$C$107,2,FALSE)*VLOOKUP(BR$76,'Attrition Modeling'!$L$15:$N$27,IF(BR$77+$F100&lt;=24,2,3),FALSE)),$C$3)*(1+IF('IP Attrition'!BR157&gt;0,'Attrition Modeling'!$N$9,0)))</f>
        <v>0</v>
      </c>
      <c r="BS100" s="799">
        <f>BR100*(1-IFERROR(IF(BS$77+$F100&lt;=12,SUMIFS('Attrition Modeling'!$D:$D,'Attrition Modeling'!$C:$C,$D100,'Attrition Modeling'!$B:$B,BS$76),VLOOKUP($F100+BS$77,$A$7:$C$107,2,FALSE)*VLOOKUP(BS$76,'Attrition Modeling'!$L$15:$N$27,IF(BS$77+$F100&lt;=24,2,3),FALSE)),$C$3)*(1+IF('IP Attrition'!BS157&gt;0,'Attrition Modeling'!$N$9,0)))</f>
        <v>0</v>
      </c>
      <c r="BT100" s="799" t="e">
        <f>BS100*(1-IFERROR(IF(BT$77+$F100&lt;=12,SUMIFS('Attrition Modeling'!$D:$D,'Attrition Modeling'!$C:$C,$D100,'Attrition Modeling'!$B:$B,BT$76),VLOOKUP($F100+BT$77,$A$7:$C$107,2,FALSE)*VLOOKUP(BT$76,'Attrition Modeling'!$L$15:$N$27,IF(BT$77+$F100&lt;=24,2,3),FALSE)),$C$3)*(1+IF('IP Attrition'!BT157&gt;0,'Attrition Modeling'!$N$9,0)))</f>
        <v>#REF!</v>
      </c>
      <c r="BU100" s="799" t="e">
        <f>BT100*(1-IFERROR(IF(BU$77+$F100&lt;=12,SUMIFS('Attrition Modeling'!$D:$D,'Attrition Modeling'!$C:$C,$D100,'Attrition Modeling'!$B:$B,BU$76),VLOOKUP($F100+BU$77,$A$7:$C$107,2,FALSE)*VLOOKUP(BU$76,'Attrition Modeling'!$L$15:$N$27,IF(BU$77+$F100&lt;=24,2,3),FALSE)),$C$3)*(1+IF('IP Attrition'!BU157&gt;0,'Attrition Modeling'!$N$9,0)))</f>
        <v>#REF!</v>
      </c>
    </row>
    <row r="101" spans="1:73" ht="14.25" customHeight="1" x14ac:dyDescent="0.2">
      <c r="A101" s="9">
        <v>93</v>
      </c>
      <c r="B101" s="25">
        <f>MAX('Attrition Modeling'!H97,$C$3)*(1-Summary!$C$20)</f>
        <v>0.02</v>
      </c>
      <c r="C101" s="24" t="e">
        <f t="shared" si="2"/>
        <v>#DIV/0!</v>
      </c>
      <c r="D101" s="11">
        <f>'IP Attrition'!D93</f>
        <v>-23</v>
      </c>
      <c r="E101" s="25">
        <f>'IP Attrition'!E93</f>
        <v>0</v>
      </c>
      <c r="F101" s="11">
        <f t="shared" si="8"/>
        <v>23</v>
      </c>
      <c r="G101" s="799">
        <f>Summary!$C$24*$E101</f>
        <v>0</v>
      </c>
      <c r="H101" s="799">
        <f>G101*(1-IFERROR(IF(H$77+$F101&lt;=12,SUMIFS('Attrition Modeling'!$D:$D,'Attrition Modeling'!$C:$C,$D101,'Attrition Modeling'!$B:$B,H$76),VLOOKUP($F101+H$77,$A$7:$C$107,2,FALSE)*VLOOKUP(H$76,'Attrition Modeling'!$L$15:$N$27,IF(H$77+$F101&lt;=24,2,3),FALSE)),$C$3)*(1+IF('IP Attrition'!H158&gt;0,'Attrition Modeling'!$N$9,0)))</f>
        <v>0</v>
      </c>
      <c r="I101" s="799">
        <f>H101*(1-IFERROR(IF(I$77+$F101&lt;=12,SUMIFS('Attrition Modeling'!$D:$D,'Attrition Modeling'!$C:$C,$D101,'Attrition Modeling'!$B:$B,I$76),VLOOKUP($F101+I$77,$A$7:$C$107,2,FALSE)*VLOOKUP(I$76,'Attrition Modeling'!$L$15:$N$27,IF(I$77+$F101&lt;=24,2,3),FALSE)),$C$3)*(1+IF('IP Attrition'!I158&gt;0,'Attrition Modeling'!$N$9,0)))</f>
        <v>0</v>
      </c>
      <c r="J101" s="799">
        <f>I101*(1-IFERROR(IF(J$77+$F101&lt;=12,SUMIFS('Attrition Modeling'!$D:$D,'Attrition Modeling'!$C:$C,$D101,'Attrition Modeling'!$B:$B,J$76),VLOOKUP($F101+J$77,$A$7:$C$107,2,FALSE)*VLOOKUP(J$76,'Attrition Modeling'!$L$15:$N$27,IF(J$77+$F101&lt;=24,2,3),FALSE)),$C$3)*(1+IF('IP Attrition'!J158&gt;0,'Attrition Modeling'!$N$9,0)))</f>
        <v>0</v>
      </c>
      <c r="K101" s="799">
        <f>J101*(1-IFERROR(IF(K$77+$F101&lt;=12,SUMIFS('Attrition Modeling'!$D:$D,'Attrition Modeling'!$C:$C,$D101,'Attrition Modeling'!$B:$B,K$76),VLOOKUP($F101+K$77,$A$7:$C$107,2,FALSE)*VLOOKUP(K$76,'Attrition Modeling'!$L$15:$N$27,IF(K$77+$F101&lt;=24,2,3),FALSE)),$C$3)*(1+IF('IP Attrition'!K158&gt;0,'Attrition Modeling'!$N$9,0)))</f>
        <v>0</v>
      </c>
      <c r="L101" s="799">
        <f>K101*(1-IFERROR(IF(L$77+$F101&lt;=12,SUMIFS('Attrition Modeling'!$D:$D,'Attrition Modeling'!$C:$C,$D101,'Attrition Modeling'!$B:$B,L$76),VLOOKUP($F101+L$77,$A$7:$C$107,2,FALSE)*VLOOKUP(L$76,'Attrition Modeling'!$L$15:$N$27,IF(L$77+$F101&lt;=24,2,3),FALSE)),$C$3)*(1+IF('IP Attrition'!L158&gt;0,'Attrition Modeling'!$N$9,0)))</f>
        <v>0</v>
      </c>
      <c r="M101" s="799">
        <f>L101*(1-IFERROR(IF(M$77+$F101&lt;=12,SUMIFS('Attrition Modeling'!$D:$D,'Attrition Modeling'!$C:$C,$D101,'Attrition Modeling'!$B:$B,M$76),VLOOKUP($F101+M$77,$A$7:$C$107,2,FALSE)*VLOOKUP(M$76,'Attrition Modeling'!$L$15:$N$27,IF(M$77+$F101&lt;=24,2,3),FALSE)),$C$3)*(1+IF('IP Attrition'!M158&gt;0,'Attrition Modeling'!$N$9,0)))</f>
        <v>0</v>
      </c>
      <c r="N101" s="799">
        <f>M101*(1-IFERROR(IF(N$77+$F101&lt;=12,SUMIFS('Attrition Modeling'!$D:$D,'Attrition Modeling'!$C:$C,$D101,'Attrition Modeling'!$B:$B,N$76),VLOOKUP($F101+N$77,$A$7:$C$107,2,FALSE)*VLOOKUP(N$76,'Attrition Modeling'!$L$15:$N$27,IF(N$77+$F101&lt;=24,2,3),FALSE)),$C$3)*(1+IF('IP Attrition'!N158&gt;0,'Attrition Modeling'!$N$9,0)))</f>
        <v>0</v>
      </c>
      <c r="O101" s="799">
        <f>N101*(1-IFERROR(IF(O$77+$F101&lt;=12,SUMIFS('Attrition Modeling'!$D:$D,'Attrition Modeling'!$C:$C,$D101,'Attrition Modeling'!$B:$B,O$76),VLOOKUP($F101+O$77,$A$7:$C$107,2,FALSE)*VLOOKUP(O$76,'Attrition Modeling'!$L$15:$N$27,IF(O$77+$F101&lt;=24,2,3),FALSE)),$C$3)*(1+IF('IP Attrition'!O158&gt;0,'Attrition Modeling'!$N$9,0)))</f>
        <v>0</v>
      </c>
      <c r="P101" s="799">
        <f>O101*(1-IFERROR(IF(P$77+$F101&lt;=12,SUMIFS('Attrition Modeling'!$D:$D,'Attrition Modeling'!$C:$C,$D101,'Attrition Modeling'!$B:$B,P$76),VLOOKUP($F101+P$77,$A$7:$C$107,2,FALSE)*VLOOKUP(P$76,'Attrition Modeling'!$L$15:$N$27,IF(P$77+$F101&lt;=24,2,3),FALSE)),$C$3)*(1+IF('IP Attrition'!P158&gt;0,'Attrition Modeling'!$N$9,0)))</f>
        <v>0</v>
      </c>
      <c r="Q101" s="799">
        <f>P101*(1-IFERROR(IF(Q$77+$F101&lt;=12,SUMIFS('Attrition Modeling'!$D:$D,'Attrition Modeling'!$C:$C,$D101,'Attrition Modeling'!$B:$B,Q$76),VLOOKUP($F101+Q$77,$A$7:$C$107,2,FALSE)*VLOOKUP(Q$76,'Attrition Modeling'!$L$15:$N$27,IF(Q$77+$F101&lt;=24,2,3),FALSE)),$C$3)*(1+IF('IP Attrition'!Q158&gt;0,'Attrition Modeling'!$N$9,0)))</f>
        <v>0</v>
      </c>
      <c r="R101" s="799">
        <f>Q101*(1-IFERROR(IF(R$77+$F101&lt;=12,SUMIFS('Attrition Modeling'!$D:$D,'Attrition Modeling'!$C:$C,$D101,'Attrition Modeling'!$B:$B,R$76),VLOOKUP($F101+R$77,$A$7:$C$107,2,FALSE)*VLOOKUP(R$76,'Attrition Modeling'!$L$15:$N$27,IF(R$77+$F101&lt;=24,2,3),FALSE)),$C$3)*(1+IF('IP Attrition'!R158&gt;0,'Attrition Modeling'!$N$9,0)))</f>
        <v>0</v>
      </c>
      <c r="S101" s="799">
        <f>R101*(1-IFERROR(IF(S$77+$F101&lt;=12,SUMIFS('Attrition Modeling'!$D:$D,'Attrition Modeling'!$C:$C,$D101,'Attrition Modeling'!$B:$B,S$76),VLOOKUP($F101+S$77,$A$7:$C$107,2,FALSE)*VLOOKUP(S$76,'Attrition Modeling'!$L$15:$N$27,IF(S$77+$F101&lt;=24,2,3),FALSE)),$C$3)*(1+IF('IP Attrition'!S158&gt;0,'Attrition Modeling'!$N$9,0)))</f>
        <v>0</v>
      </c>
      <c r="T101" s="799">
        <f>S101*(1-IFERROR(IF(T$77+$F101&lt;=12,SUMIFS('Attrition Modeling'!$D:$D,'Attrition Modeling'!$C:$C,$D101,'Attrition Modeling'!$B:$B,T$76),VLOOKUP($F101+T$77,$A$7:$C$107,2,FALSE)*VLOOKUP(T$76,'Attrition Modeling'!$L$15:$N$27,IF(T$77+$F101&lt;=24,2,3),FALSE)),$C$3)*(1+IF('IP Attrition'!T158&gt;0,'Attrition Modeling'!$N$9,0)))</f>
        <v>0</v>
      </c>
      <c r="U101" s="799">
        <f>T101*(1-IFERROR(IF(U$77+$F101&lt;=12,SUMIFS('Attrition Modeling'!$D:$D,'Attrition Modeling'!$C:$C,$D101,'Attrition Modeling'!$B:$B,U$76),VLOOKUP($F101+U$77,$A$7:$C$107,2,FALSE)*VLOOKUP(U$76,'Attrition Modeling'!$L$15:$N$27,IF(U$77+$F101&lt;=24,2,3),FALSE)),$C$3)*(1+IF('IP Attrition'!U158&gt;0,'Attrition Modeling'!$N$9,0)))</f>
        <v>0</v>
      </c>
      <c r="V101" s="799">
        <f>U101*(1-IFERROR(IF(V$77+$F101&lt;=12,SUMIFS('Attrition Modeling'!$D:$D,'Attrition Modeling'!$C:$C,$D101,'Attrition Modeling'!$B:$B,V$76),VLOOKUP($F101+V$77,$A$7:$C$107,2,FALSE)*VLOOKUP(V$76,'Attrition Modeling'!$L$15:$N$27,IF(V$77+$F101&lt;=24,2,3),FALSE)),$C$3)*(1+IF('IP Attrition'!V158&gt;0,'Attrition Modeling'!$N$9,0)))</f>
        <v>0</v>
      </c>
      <c r="W101" s="799">
        <f>V101*(1-IFERROR(IF(W$77+$F101&lt;=12,SUMIFS('Attrition Modeling'!$D:$D,'Attrition Modeling'!$C:$C,$D101,'Attrition Modeling'!$B:$B,W$76),VLOOKUP($F101+W$77,$A$7:$C$107,2,FALSE)*VLOOKUP(W$76,'Attrition Modeling'!$L$15:$N$27,IF(W$77+$F101&lt;=24,2,3),FALSE)),$C$3)*(1+IF('IP Attrition'!W158&gt;0,'Attrition Modeling'!$N$9,0)))</f>
        <v>0</v>
      </c>
      <c r="X101" s="799">
        <f>W101*(1-IFERROR(IF(X$77+$F101&lt;=12,SUMIFS('Attrition Modeling'!$D:$D,'Attrition Modeling'!$C:$C,$D101,'Attrition Modeling'!$B:$B,X$76),VLOOKUP($F101+X$77,$A$7:$C$107,2,FALSE)*VLOOKUP(X$76,'Attrition Modeling'!$L$15:$N$27,IF(X$77+$F101&lt;=24,2,3),FALSE)),$C$3)*(1+IF('IP Attrition'!X158&gt;0,'Attrition Modeling'!$N$9,0)))</f>
        <v>0</v>
      </c>
      <c r="Y101" s="799">
        <f>X101*(1-IFERROR(IF(Y$77+$F101&lt;=12,SUMIFS('Attrition Modeling'!$D:$D,'Attrition Modeling'!$C:$C,$D101,'Attrition Modeling'!$B:$B,Y$76),VLOOKUP($F101+Y$77,$A$7:$C$107,2,FALSE)*VLOOKUP(Y$76,'Attrition Modeling'!$L$15:$N$27,IF(Y$77+$F101&lt;=24,2,3),FALSE)),$C$3)*(1+IF('IP Attrition'!Y158&gt;0,'Attrition Modeling'!$N$9,0)))</f>
        <v>0</v>
      </c>
      <c r="Z101" s="799">
        <f>Y101*(1-IFERROR(IF(Z$77+$F101&lt;=12,SUMIFS('Attrition Modeling'!$D:$D,'Attrition Modeling'!$C:$C,$D101,'Attrition Modeling'!$B:$B,Z$76),VLOOKUP($F101+Z$77,$A$7:$C$107,2,FALSE)*VLOOKUP(Z$76,'Attrition Modeling'!$L$15:$N$27,IF(Z$77+$F101&lt;=24,2,3),FALSE)),$C$3)*(1+IF('IP Attrition'!Z158&gt;0,'Attrition Modeling'!$N$9,0)))</f>
        <v>0</v>
      </c>
      <c r="AA101" s="799">
        <f>Z101*(1-IFERROR(IF(AA$77+$F101&lt;=12,SUMIFS('Attrition Modeling'!$D:$D,'Attrition Modeling'!$C:$C,$D101,'Attrition Modeling'!$B:$B,AA$76),VLOOKUP($F101+AA$77,$A$7:$C$107,2,FALSE)*VLOOKUP(AA$76,'Attrition Modeling'!$L$15:$N$27,IF(AA$77+$F101&lt;=24,2,3),FALSE)),$C$3)*(1+IF('IP Attrition'!AA158&gt;0,'Attrition Modeling'!$N$9,0)))</f>
        <v>0</v>
      </c>
      <c r="AB101" s="799">
        <f>AA101*(1-IFERROR(IF(AB$77+$F101&lt;=12,SUMIFS('Attrition Modeling'!$D:$D,'Attrition Modeling'!$C:$C,$D101,'Attrition Modeling'!$B:$B,AB$76),VLOOKUP($F101+AB$77,$A$7:$C$107,2,FALSE)*VLOOKUP(AB$76,'Attrition Modeling'!$L$15:$N$27,IF(AB$77+$F101&lt;=24,2,3),FALSE)),$C$3)*(1+IF('IP Attrition'!AB158&gt;0,'Attrition Modeling'!$N$9,0)))</f>
        <v>0</v>
      </c>
      <c r="AC101" s="799">
        <f>AB101*(1-IFERROR(IF(AC$77+$F101&lt;=12,SUMIFS('Attrition Modeling'!$D:$D,'Attrition Modeling'!$C:$C,$D101,'Attrition Modeling'!$B:$B,AC$76),VLOOKUP($F101+AC$77,$A$7:$C$107,2,FALSE)*VLOOKUP(AC$76,'Attrition Modeling'!$L$15:$N$27,IF(AC$77+$F101&lt;=24,2,3),FALSE)),$C$3)*(1+IF('IP Attrition'!AC158&gt;0,'Attrition Modeling'!$N$9,0)))</f>
        <v>0</v>
      </c>
      <c r="AD101" s="799">
        <f>AC101*(1-IFERROR(IF(AD$77+$F101&lt;=12,SUMIFS('Attrition Modeling'!$D:$D,'Attrition Modeling'!$C:$C,$D101,'Attrition Modeling'!$B:$B,AD$76),VLOOKUP($F101+AD$77,$A$7:$C$107,2,FALSE)*VLOOKUP(AD$76,'Attrition Modeling'!$L$15:$N$27,IF(AD$77+$F101&lt;=24,2,3),FALSE)),$C$3)*(1+IF('IP Attrition'!AD158&gt;0,'Attrition Modeling'!$N$9,0)))</f>
        <v>0</v>
      </c>
      <c r="AE101" s="799">
        <f>AD101*(1-IFERROR(IF(AE$77+$F101&lt;=12,SUMIFS('Attrition Modeling'!$D:$D,'Attrition Modeling'!$C:$C,$D101,'Attrition Modeling'!$B:$B,AE$76),VLOOKUP($F101+AE$77,$A$7:$C$107,2,FALSE)*VLOOKUP(AE$76,'Attrition Modeling'!$L$15:$N$27,IF(AE$77+$F101&lt;=24,2,3),FALSE)),$C$3)*(1+IF('IP Attrition'!AE158&gt;0,'Attrition Modeling'!$N$9,0)))</f>
        <v>0</v>
      </c>
      <c r="AF101" s="799">
        <f>AE101*(1-IFERROR(IF(AF$77+$F101&lt;=12,SUMIFS('Attrition Modeling'!$D:$D,'Attrition Modeling'!$C:$C,$D101,'Attrition Modeling'!$B:$B,AF$76),VLOOKUP($F101+AF$77,$A$7:$C$107,2,FALSE)*VLOOKUP(AF$76,'Attrition Modeling'!$L$15:$N$27,IF(AF$77+$F101&lt;=24,2,3),FALSE)),$C$3)*(1+IF('IP Attrition'!AF158&gt;0,'Attrition Modeling'!$N$9,0)))</f>
        <v>0</v>
      </c>
      <c r="AG101" s="799">
        <f>AF101*(1-IFERROR(IF(AG$77+$F101&lt;=12,SUMIFS('Attrition Modeling'!$D:$D,'Attrition Modeling'!$C:$C,$D101,'Attrition Modeling'!$B:$B,AG$76),VLOOKUP($F101+AG$77,$A$7:$C$107,2,FALSE)*VLOOKUP(AG$76,'Attrition Modeling'!$L$15:$N$27,IF(AG$77+$F101&lt;=24,2,3),FALSE)),$C$3)*(1+IF('IP Attrition'!AG158&gt;0,'Attrition Modeling'!$N$9,0)))</f>
        <v>0</v>
      </c>
      <c r="AH101" s="799">
        <f>AG101*(1-IFERROR(IF(AH$77+$F101&lt;=12,SUMIFS('Attrition Modeling'!$D:$D,'Attrition Modeling'!$C:$C,$D101,'Attrition Modeling'!$B:$B,AH$76),VLOOKUP($F101+AH$77,$A$7:$C$107,2,FALSE)*VLOOKUP(AH$76,'Attrition Modeling'!$L$15:$N$27,IF(AH$77+$F101&lt;=24,2,3),FALSE)),$C$3)*(1+IF('IP Attrition'!AH158&gt;0,'Attrition Modeling'!$N$9,0)))</f>
        <v>0</v>
      </c>
      <c r="AI101" s="799">
        <f>AH101*(1-IFERROR(IF(AI$77+$F101&lt;=12,SUMIFS('Attrition Modeling'!$D:$D,'Attrition Modeling'!$C:$C,$D101,'Attrition Modeling'!$B:$B,AI$76),VLOOKUP($F101+AI$77,$A$7:$C$107,2,FALSE)*VLOOKUP(AI$76,'Attrition Modeling'!$L$15:$N$27,IF(AI$77+$F101&lt;=24,2,3),FALSE)),$C$3)*(1+IF('IP Attrition'!AI158&gt;0,'Attrition Modeling'!$N$9,0)))</f>
        <v>0</v>
      </c>
      <c r="AJ101" s="799">
        <f>AI101*(1-IFERROR(IF(AJ$77+$F101&lt;=12,SUMIFS('Attrition Modeling'!$D:$D,'Attrition Modeling'!$C:$C,$D101,'Attrition Modeling'!$B:$B,AJ$76),VLOOKUP($F101+AJ$77,$A$7:$C$107,2,FALSE)*VLOOKUP(AJ$76,'Attrition Modeling'!$L$15:$N$27,IF(AJ$77+$F101&lt;=24,2,3),FALSE)),$C$3)*(1+IF('IP Attrition'!AJ158&gt;0,'Attrition Modeling'!$N$9,0)))</f>
        <v>0</v>
      </c>
      <c r="AK101" s="799">
        <f>AJ101*(1-IFERROR(IF(AK$77+$F101&lt;=12,SUMIFS('Attrition Modeling'!$D:$D,'Attrition Modeling'!$C:$C,$D101,'Attrition Modeling'!$B:$B,AK$76),VLOOKUP($F101+AK$77,$A$7:$C$107,2,FALSE)*VLOOKUP(AK$76,'Attrition Modeling'!$L$15:$N$27,IF(AK$77+$F101&lt;=24,2,3),FALSE)),$C$3)*(1+IF('IP Attrition'!AK158&gt;0,'Attrition Modeling'!$N$9,0)))</f>
        <v>0</v>
      </c>
      <c r="AL101" s="799">
        <f>AK101*(1-IFERROR(IF(AL$77+$F101&lt;=12,SUMIFS('Attrition Modeling'!$D:$D,'Attrition Modeling'!$C:$C,$D101,'Attrition Modeling'!$B:$B,AL$76),VLOOKUP($F101+AL$77,$A$7:$C$107,2,FALSE)*VLOOKUP(AL$76,'Attrition Modeling'!$L$15:$N$27,IF(AL$77+$F101&lt;=24,2,3),FALSE)),$C$3)*(1+IF('IP Attrition'!AL158&gt;0,'Attrition Modeling'!$N$9,0)))</f>
        <v>0</v>
      </c>
      <c r="AM101" s="799">
        <f>AL101*(1-IFERROR(IF(AM$77+$F101&lt;=12,SUMIFS('Attrition Modeling'!$D:$D,'Attrition Modeling'!$C:$C,$D101,'Attrition Modeling'!$B:$B,AM$76),VLOOKUP($F101+AM$77,$A$7:$C$107,2,FALSE)*VLOOKUP(AM$76,'Attrition Modeling'!$L$15:$N$27,IF(AM$77+$F101&lt;=24,2,3),FALSE)),$C$3)*(1+IF('IP Attrition'!AM158&gt;0,'Attrition Modeling'!$N$9,0)))</f>
        <v>0</v>
      </c>
      <c r="AN101" s="799">
        <f>AM101*(1-IFERROR(IF(AN$77+$F101&lt;=12,SUMIFS('Attrition Modeling'!$D:$D,'Attrition Modeling'!$C:$C,$D101,'Attrition Modeling'!$B:$B,AN$76),VLOOKUP($F101+AN$77,$A$7:$C$107,2,FALSE)*VLOOKUP(AN$76,'Attrition Modeling'!$L$15:$N$27,IF(AN$77+$F101&lt;=24,2,3),FALSE)),$C$3)*(1+IF('IP Attrition'!AN158&gt;0,'Attrition Modeling'!$N$9,0)))</f>
        <v>0</v>
      </c>
      <c r="AO101" s="799">
        <f>AN101*(1-IFERROR(IF(AO$77+$F101&lt;=12,SUMIFS('Attrition Modeling'!$D:$D,'Attrition Modeling'!$C:$C,$D101,'Attrition Modeling'!$B:$B,AO$76),VLOOKUP($F101+AO$77,$A$7:$C$107,2,FALSE)*VLOOKUP(AO$76,'Attrition Modeling'!$L$15:$N$27,IF(AO$77+$F101&lt;=24,2,3),FALSE)),$C$3)*(1+IF('IP Attrition'!AO158&gt;0,'Attrition Modeling'!$N$9,0)))</f>
        <v>0</v>
      </c>
      <c r="AP101" s="799">
        <f>AO101*(1-IFERROR(IF(AP$77+$F101&lt;=12,SUMIFS('Attrition Modeling'!$D:$D,'Attrition Modeling'!$C:$C,$D101,'Attrition Modeling'!$B:$B,AP$76),VLOOKUP($F101+AP$77,$A$7:$C$107,2,FALSE)*VLOOKUP(AP$76,'Attrition Modeling'!$L$15:$N$27,IF(AP$77+$F101&lt;=24,2,3),FALSE)),$C$3)*(1+IF('IP Attrition'!AP158&gt;0,'Attrition Modeling'!$N$9,0)))</f>
        <v>0</v>
      </c>
      <c r="AQ101" s="799">
        <f>AP101*(1-IFERROR(IF(AQ$77+$F101&lt;=12,SUMIFS('Attrition Modeling'!$D:$D,'Attrition Modeling'!$C:$C,$D101,'Attrition Modeling'!$B:$B,AQ$76),VLOOKUP($F101+AQ$77,$A$7:$C$107,2,FALSE)*VLOOKUP(AQ$76,'Attrition Modeling'!$L$15:$N$27,IF(AQ$77+$F101&lt;=24,2,3),FALSE)),$C$3)*(1+IF('IP Attrition'!AQ158&gt;0,'Attrition Modeling'!$N$9,0)))</f>
        <v>0</v>
      </c>
      <c r="AR101" s="799">
        <f>AQ101*(1-IFERROR(IF(AR$77+$F101&lt;=12,SUMIFS('Attrition Modeling'!$D:$D,'Attrition Modeling'!$C:$C,$D101,'Attrition Modeling'!$B:$B,AR$76),VLOOKUP($F101+AR$77,$A$7:$C$107,2,FALSE)*VLOOKUP(AR$76,'Attrition Modeling'!$L$15:$N$27,IF(AR$77+$F101&lt;=24,2,3),FALSE)),$C$3)*(1+IF('IP Attrition'!AR158&gt;0,'Attrition Modeling'!$N$9,0)))</f>
        <v>0</v>
      </c>
      <c r="AS101" s="799">
        <f>AR101*(1-IFERROR(IF(AS$77+$F101&lt;=12,SUMIFS('Attrition Modeling'!$D:$D,'Attrition Modeling'!$C:$C,$D101,'Attrition Modeling'!$B:$B,AS$76),VLOOKUP($F101+AS$77,$A$7:$C$107,2,FALSE)*VLOOKUP(AS$76,'Attrition Modeling'!$L$15:$N$27,IF(AS$77+$F101&lt;=24,2,3),FALSE)),$C$3)*(1+IF('IP Attrition'!AS158&gt;0,'Attrition Modeling'!$N$9,0)))</f>
        <v>0</v>
      </c>
      <c r="AT101" s="799">
        <f>AS101*(1-IFERROR(IF(AT$77+$F101&lt;=12,SUMIFS('Attrition Modeling'!$D:$D,'Attrition Modeling'!$C:$C,$D101,'Attrition Modeling'!$B:$B,AT$76),VLOOKUP($F101+AT$77,$A$7:$C$107,2,FALSE)*VLOOKUP(AT$76,'Attrition Modeling'!$L$15:$N$27,IF(AT$77+$F101&lt;=24,2,3),FALSE)),$C$3)*(1+IF('IP Attrition'!AT158&gt;0,'Attrition Modeling'!$N$9,0)))</f>
        <v>0</v>
      </c>
      <c r="AU101" s="799">
        <f>AT101*(1-IFERROR(IF(AU$77+$F101&lt;=12,SUMIFS('Attrition Modeling'!$D:$D,'Attrition Modeling'!$C:$C,$D101,'Attrition Modeling'!$B:$B,AU$76),VLOOKUP($F101+AU$77,$A$7:$C$107,2,FALSE)*VLOOKUP(AU$76,'Attrition Modeling'!$L$15:$N$27,IF(AU$77+$F101&lt;=24,2,3),FALSE)),$C$3)*(1+IF('IP Attrition'!AU158&gt;0,'Attrition Modeling'!$N$9,0)))</f>
        <v>0</v>
      </c>
      <c r="AV101" s="799">
        <f>AU101*(1-IFERROR(IF(AV$77+$F101&lt;=12,SUMIFS('Attrition Modeling'!$D:$D,'Attrition Modeling'!$C:$C,$D101,'Attrition Modeling'!$B:$B,AV$76),VLOOKUP($F101+AV$77,$A$7:$C$107,2,FALSE)*VLOOKUP(AV$76,'Attrition Modeling'!$L$15:$N$27,IF(AV$77+$F101&lt;=24,2,3),FALSE)),$C$3)*(1+IF('IP Attrition'!AV158&gt;0,'Attrition Modeling'!$N$9,0)))</f>
        <v>0</v>
      </c>
      <c r="AW101" s="799">
        <f>AV101*(1-IFERROR(IF(AW$77+$F101&lt;=12,SUMIFS('Attrition Modeling'!$D:$D,'Attrition Modeling'!$C:$C,$D101,'Attrition Modeling'!$B:$B,AW$76),VLOOKUP($F101+AW$77,$A$7:$C$107,2,FALSE)*VLOOKUP(AW$76,'Attrition Modeling'!$L$15:$N$27,IF(AW$77+$F101&lt;=24,2,3),FALSE)),$C$3)*(1+IF('IP Attrition'!AW158&gt;0,'Attrition Modeling'!$N$9,0)))</f>
        <v>0</v>
      </c>
      <c r="AX101" s="799">
        <f>AW101*(1-IFERROR(IF(AX$77+$F101&lt;=12,SUMIFS('Attrition Modeling'!$D:$D,'Attrition Modeling'!$C:$C,$D101,'Attrition Modeling'!$B:$B,AX$76),VLOOKUP($F101+AX$77,$A$7:$C$107,2,FALSE)*VLOOKUP(AX$76,'Attrition Modeling'!$L$15:$N$27,IF(AX$77+$F101&lt;=24,2,3),FALSE)),$C$3)*(1+IF('IP Attrition'!AX158&gt;0,'Attrition Modeling'!$N$9,0)))</f>
        <v>0</v>
      </c>
      <c r="AY101" s="799">
        <f>AX101*(1-IFERROR(IF(AY$77+$F101&lt;=12,SUMIFS('Attrition Modeling'!$D:$D,'Attrition Modeling'!$C:$C,$D101,'Attrition Modeling'!$B:$B,AY$76),VLOOKUP($F101+AY$77,$A$7:$C$107,2,FALSE)*VLOOKUP(AY$76,'Attrition Modeling'!$L$15:$N$27,IF(AY$77+$F101&lt;=24,2,3),FALSE)),$C$3)*(1+IF('IP Attrition'!AY158&gt;0,'Attrition Modeling'!$N$9,0)))</f>
        <v>0</v>
      </c>
      <c r="AZ101" s="799">
        <f>AY101*(1-IFERROR(IF(AZ$77+$F101&lt;=12,SUMIFS('Attrition Modeling'!$D:$D,'Attrition Modeling'!$C:$C,$D101,'Attrition Modeling'!$B:$B,AZ$76),VLOOKUP($F101+AZ$77,$A$7:$C$107,2,FALSE)*VLOOKUP(AZ$76,'Attrition Modeling'!$L$15:$N$27,IF(AZ$77+$F101&lt;=24,2,3),FALSE)),$C$3)*(1+IF('IP Attrition'!AZ158&gt;0,'Attrition Modeling'!$N$9,0)))</f>
        <v>0</v>
      </c>
      <c r="BA101" s="799">
        <f>AZ101*(1-IFERROR(IF(BA$77+$F101&lt;=12,SUMIFS('Attrition Modeling'!$D:$D,'Attrition Modeling'!$C:$C,$D101,'Attrition Modeling'!$B:$B,BA$76),VLOOKUP($F101+BA$77,$A$7:$C$107,2,FALSE)*VLOOKUP(BA$76,'Attrition Modeling'!$L$15:$N$27,IF(BA$77+$F101&lt;=24,2,3),FALSE)),$C$3)*(1+IF('IP Attrition'!BA158&gt;0,'Attrition Modeling'!$N$9,0)))</f>
        <v>0</v>
      </c>
      <c r="BB101" s="799">
        <f>BA101*(1-IFERROR(IF(BB$77+$F101&lt;=12,SUMIFS('Attrition Modeling'!$D:$D,'Attrition Modeling'!$C:$C,$D101,'Attrition Modeling'!$B:$B,BB$76),VLOOKUP($F101+BB$77,$A$7:$C$107,2,FALSE)*VLOOKUP(BB$76,'Attrition Modeling'!$L$15:$N$27,IF(BB$77+$F101&lt;=24,2,3),FALSE)),$C$3)*(1+IF('IP Attrition'!BB158&gt;0,'Attrition Modeling'!$N$9,0)))</f>
        <v>0</v>
      </c>
      <c r="BC101" s="799">
        <f>BB101*(1-IFERROR(IF(BC$77+$F101&lt;=12,SUMIFS('Attrition Modeling'!$D:$D,'Attrition Modeling'!$C:$C,$D101,'Attrition Modeling'!$B:$B,BC$76),VLOOKUP($F101+BC$77,$A$7:$C$107,2,FALSE)*VLOOKUP(BC$76,'Attrition Modeling'!$L$15:$N$27,IF(BC$77+$F101&lt;=24,2,3),FALSE)),$C$3)*(1+IF('IP Attrition'!BC158&gt;0,'Attrition Modeling'!$N$9,0)))</f>
        <v>0</v>
      </c>
      <c r="BD101" s="799">
        <f>BC101*(1-IFERROR(IF(BD$77+$F101&lt;=12,SUMIFS('Attrition Modeling'!$D:$D,'Attrition Modeling'!$C:$C,$D101,'Attrition Modeling'!$B:$B,BD$76),VLOOKUP($F101+BD$77,$A$7:$C$107,2,FALSE)*VLOOKUP(BD$76,'Attrition Modeling'!$L$15:$N$27,IF(BD$77+$F101&lt;=24,2,3),FALSE)),$C$3)*(1+IF('IP Attrition'!BD158&gt;0,'Attrition Modeling'!$N$9,0)))</f>
        <v>0</v>
      </c>
      <c r="BE101" s="799">
        <f>BD101*(1-IFERROR(IF(BE$77+$F101&lt;=12,SUMIFS('Attrition Modeling'!$D:$D,'Attrition Modeling'!$C:$C,$D101,'Attrition Modeling'!$B:$B,BE$76),VLOOKUP($F101+BE$77,$A$7:$C$107,2,FALSE)*VLOOKUP(BE$76,'Attrition Modeling'!$L$15:$N$27,IF(BE$77+$F101&lt;=24,2,3),FALSE)),$C$3)*(1+IF('IP Attrition'!BE158&gt;0,'Attrition Modeling'!$N$9,0)))</f>
        <v>0</v>
      </c>
      <c r="BF101" s="799">
        <f>BE101*(1-IFERROR(IF(BF$77+$F101&lt;=12,SUMIFS('Attrition Modeling'!$D:$D,'Attrition Modeling'!$C:$C,$D101,'Attrition Modeling'!$B:$B,BF$76),VLOOKUP($F101+BF$77,$A$7:$C$107,2,FALSE)*VLOOKUP(BF$76,'Attrition Modeling'!$L$15:$N$27,IF(BF$77+$F101&lt;=24,2,3),FALSE)),$C$3)*(1+IF('IP Attrition'!BF158&gt;0,'Attrition Modeling'!$N$9,0)))</f>
        <v>0</v>
      </c>
      <c r="BG101" s="799">
        <f>BF101*(1-IFERROR(IF(BG$77+$F101&lt;=12,SUMIFS('Attrition Modeling'!$D:$D,'Attrition Modeling'!$C:$C,$D101,'Attrition Modeling'!$B:$B,BG$76),VLOOKUP($F101+BG$77,$A$7:$C$107,2,FALSE)*VLOOKUP(BG$76,'Attrition Modeling'!$L$15:$N$27,IF(BG$77+$F101&lt;=24,2,3),FALSE)),$C$3)*(1+IF('IP Attrition'!BG158&gt;0,'Attrition Modeling'!$N$9,0)))</f>
        <v>0</v>
      </c>
      <c r="BH101" s="799">
        <f>BG101*(1-IFERROR(IF(BH$77+$F101&lt;=12,SUMIFS('Attrition Modeling'!$D:$D,'Attrition Modeling'!$C:$C,$D101,'Attrition Modeling'!$B:$B,BH$76),VLOOKUP($F101+BH$77,$A$7:$C$107,2,FALSE)*VLOOKUP(BH$76,'Attrition Modeling'!$L$15:$N$27,IF(BH$77+$F101&lt;=24,2,3),FALSE)),$C$3)*(1+IF('IP Attrition'!BH158&gt;0,'Attrition Modeling'!$N$9,0)))</f>
        <v>0</v>
      </c>
      <c r="BI101" s="799">
        <f>BH101*(1-IFERROR(IF(BI$77+$F101&lt;=12,SUMIFS('Attrition Modeling'!$D:$D,'Attrition Modeling'!$C:$C,$D101,'Attrition Modeling'!$B:$B,BI$76),VLOOKUP($F101+BI$77,$A$7:$C$107,2,FALSE)*VLOOKUP(BI$76,'Attrition Modeling'!$L$15:$N$27,IF(BI$77+$F101&lt;=24,2,3),FALSE)),$C$3)*(1+IF('IP Attrition'!BI158&gt;0,'Attrition Modeling'!$N$9,0)))</f>
        <v>0</v>
      </c>
      <c r="BJ101" s="799">
        <f>BI101*(1-IFERROR(IF(BJ$77+$F101&lt;=12,SUMIFS('Attrition Modeling'!$D:$D,'Attrition Modeling'!$C:$C,$D101,'Attrition Modeling'!$B:$B,BJ$76),VLOOKUP($F101+BJ$77,$A$7:$C$107,2,FALSE)*VLOOKUP(BJ$76,'Attrition Modeling'!$L$15:$N$27,IF(BJ$77+$F101&lt;=24,2,3),FALSE)),$C$3)*(1+IF('IP Attrition'!BJ158&gt;0,'Attrition Modeling'!$N$9,0)))</f>
        <v>0</v>
      </c>
      <c r="BK101" s="799">
        <f>BJ101*(1-IFERROR(IF(BK$77+$F101&lt;=12,SUMIFS('Attrition Modeling'!$D:$D,'Attrition Modeling'!$C:$C,$D101,'Attrition Modeling'!$B:$B,BK$76),VLOOKUP($F101+BK$77,$A$7:$C$107,2,FALSE)*VLOOKUP(BK$76,'Attrition Modeling'!$L$15:$N$27,IF(BK$77+$F101&lt;=24,2,3),FALSE)),$C$3)*(1+IF('IP Attrition'!BK158&gt;0,'Attrition Modeling'!$N$9,0)))</f>
        <v>0</v>
      </c>
      <c r="BL101" s="799">
        <f>BK101*(1-IFERROR(IF(BL$77+$F101&lt;=12,SUMIFS('Attrition Modeling'!$D:$D,'Attrition Modeling'!$C:$C,$D101,'Attrition Modeling'!$B:$B,BL$76),VLOOKUP($F101+BL$77,$A$7:$C$107,2,FALSE)*VLOOKUP(BL$76,'Attrition Modeling'!$L$15:$N$27,IF(BL$77+$F101&lt;=24,2,3),FALSE)),$C$3)*(1+IF('IP Attrition'!BL158&gt;0,'Attrition Modeling'!$N$9,0)))</f>
        <v>0</v>
      </c>
      <c r="BM101" s="799">
        <f>BL101*(1-IFERROR(IF(BM$77+$F101&lt;=12,SUMIFS('Attrition Modeling'!$D:$D,'Attrition Modeling'!$C:$C,$D101,'Attrition Modeling'!$B:$B,BM$76),VLOOKUP($F101+BM$77,$A$7:$C$107,2,FALSE)*VLOOKUP(BM$76,'Attrition Modeling'!$L$15:$N$27,IF(BM$77+$F101&lt;=24,2,3),FALSE)),$C$3)*(1+IF('IP Attrition'!BM158&gt;0,'Attrition Modeling'!$N$9,0)))</f>
        <v>0</v>
      </c>
      <c r="BN101" s="799">
        <f>BM101*(1-IFERROR(IF(BN$77+$F101&lt;=12,SUMIFS('Attrition Modeling'!$D:$D,'Attrition Modeling'!$C:$C,$D101,'Attrition Modeling'!$B:$B,BN$76),VLOOKUP($F101+BN$77,$A$7:$C$107,2,FALSE)*VLOOKUP(BN$76,'Attrition Modeling'!$L$15:$N$27,IF(BN$77+$F101&lt;=24,2,3),FALSE)),$C$3)*(1+IF('IP Attrition'!BN158&gt;0,'Attrition Modeling'!$N$9,0)))</f>
        <v>0</v>
      </c>
      <c r="BO101" s="799">
        <f>BN101*(1-IFERROR(IF(BO$77+$F101&lt;=12,SUMIFS('Attrition Modeling'!$D:$D,'Attrition Modeling'!$C:$C,$D101,'Attrition Modeling'!$B:$B,BO$76),VLOOKUP($F101+BO$77,$A$7:$C$107,2,FALSE)*VLOOKUP(BO$76,'Attrition Modeling'!$L$15:$N$27,IF(BO$77+$F101&lt;=24,2,3),FALSE)),$C$3)*(1+IF('IP Attrition'!BO158&gt;0,'Attrition Modeling'!$N$9,0)))</f>
        <v>0</v>
      </c>
      <c r="BP101" s="799">
        <f>BO101*(1-IFERROR(IF(BP$77+$F101&lt;=12,SUMIFS('Attrition Modeling'!$D:$D,'Attrition Modeling'!$C:$C,$D101,'Attrition Modeling'!$B:$B,BP$76),VLOOKUP($F101+BP$77,$A$7:$C$107,2,FALSE)*VLOOKUP(BP$76,'Attrition Modeling'!$L$15:$N$27,IF(BP$77+$F101&lt;=24,2,3),FALSE)),$C$3)*(1+IF('IP Attrition'!BP158&gt;0,'Attrition Modeling'!$N$9,0)))</f>
        <v>0</v>
      </c>
      <c r="BQ101" s="799">
        <f>BP101*(1-IFERROR(IF(BQ$77+$F101&lt;=12,SUMIFS('Attrition Modeling'!$D:$D,'Attrition Modeling'!$C:$C,$D101,'Attrition Modeling'!$B:$B,BQ$76),VLOOKUP($F101+BQ$77,$A$7:$C$107,2,FALSE)*VLOOKUP(BQ$76,'Attrition Modeling'!$L$15:$N$27,IF(BQ$77+$F101&lt;=24,2,3),FALSE)),$C$3)*(1+IF('IP Attrition'!BQ158&gt;0,'Attrition Modeling'!$N$9,0)))</f>
        <v>0</v>
      </c>
      <c r="BR101" s="799">
        <f>BQ101*(1-IFERROR(IF(BR$77+$F101&lt;=12,SUMIFS('Attrition Modeling'!$D:$D,'Attrition Modeling'!$C:$C,$D101,'Attrition Modeling'!$B:$B,BR$76),VLOOKUP($F101+BR$77,$A$7:$C$107,2,FALSE)*VLOOKUP(BR$76,'Attrition Modeling'!$L$15:$N$27,IF(BR$77+$F101&lt;=24,2,3),FALSE)),$C$3)*(1+IF('IP Attrition'!BR158&gt;0,'Attrition Modeling'!$N$9,0)))</f>
        <v>0</v>
      </c>
      <c r="BS101" s="799">
        <f>BR101*(1-IFERROR(IF(BS$77+$F101&lt;=12,SUMIFS('Attrition Modeling'!$D:$D,'Attrition Modeling'!$C:$C,$D101,'Attrition Modeling'!$B:$B,BS$76),VLOOKUP($F101+BS$77,$A$7:$C$107,2,FALSE)*VLOOKUP(BS$76,'Attrition Modeling'!$L$15:$N$27,IF(BS$77+$F101&lt;=24,2,3),FALSE)),$C$3)*(1+IF('IP Attrition'!BS158&gt;0,'Attrition Modeling'!$N$9,0)))</f>
        <v>0</v>
      </c>
      <c r="BT101" s="799" t="e">
        <f>BS101*(1-IFERROR(IF(BT$77+$F101&lt;=12,SUMIFS('Attrition Modeling'!$D:$D,'Attrition Modeling'!$C:$C,$D101,'Attrition Modeling'!$B:$B,BT$76),VLOOKUP($F101+BT$77,$A$7:$C$107,2,FALSE)*VLOOKUP(BT$76,'Attrition Modeling'!$L$15:$N$27,IF(BT$77+$F101&lt;=24,2,3),FALSE)),$C$3)*(1+IF('IP Attrition'!BT158&gt;0,'Attrition Modeling'!$N$9,0)))</f>
        <v>#REF!</v>
      </c>
      <c r="BU101" s="799" t="e">
        <f>BT101*(1-IFERROR(IF(BU$77+$F101&lt;=12,SUMIFS('Attrition Modeling'!$D:$D,'Attrition Modeling'!$C:$C,$D101,'Attrition Modeling'!$B:$B,BU$76),VLOOKUP($F101+BU$77,$A$7:$C$107,2,FALSE)*VLOOKUP(BU$76,'Attrition Modeling'!$L$15:$N$27,IF(BU$77+$F101&lt;=24,2,3),FALSE)),$C$3)*(1+IF('IP Attrition'!BU158&gt;0,'Attrition Modeling'!$N$9,0)))</f>
        <v>#REF!</v>
      </c>
    </row>
    <row r="102" spans="1:73" ht="14.25" customHeight="1" x14ac:dyDescent="0.2">
      <c r="A102" s="9">
        <v>94</v>
      </c>
      <c r="B102" s="25">
        <f>MAX('Attrition Modeling'!H98,$C$3)*(1-Summary!$C$20)</f>
        <v>0.02</v>
      </c>
      <c r="C102" s="24" t="e">
        <f t="shared" si="2"/>
        <v>#DIV/0!</v>
      </c>
      <c r="D102" s="11">
        <f>'IP Attrition'!D94</f>
        <v>-24</v>
      </c>
      <c r="E102" s="25">
        <f>'IP Attrition'!E94</f>
        <v>0</v>
      </c>
      <c r="F102" s="11">
        <f t="shared" si="8"/>
        <v>24</v>
      </c>
      <c r="G102" s="799">
        <f>Summary!$C$24*$E102</f>
        <v>0</v>
      </c>
      <c r="H102" s="799">
        <f>G102*(1-IFERROR(IF(H$77+$F102&lt;=12,SUMIFS('Attrition Modeling'!$D:$D,'Attrition Modeling'!$C:$C,$D102,'Attrition Modeling'!$B:$B,H$76),VLOOKUP($F102+H$77,$A$7:$C$107,2,FALSE)*VLOOKUP(H$76,'Attrition Modeling'!$L$15:$N$27,IF(H$77+$F102&lt;=24,2,3),FALSE)),$C$3)*(1+IF('IP Attrition'!H159&gt;0,'Attrition Modeling'!$N$9,0)))</f>
        <v>0</v>
      </c>
      <c r="I102" s="799">
        <f>H102*(1-IFERROR(IF(I$77+$F102&lt;=12,SUMIFS('Attrition Modeling'!$D:$D,'Attrition Modeling'!$C:$C,$D102,'Attrition Modeling'!$B:$B,I$76),VLOOKUP($F102+I$77,$A$7:$C$107,2,FALSE)*VLOOKUP(I$76,'Attrition Modeling'!$L$15:$N$27,IF(I$77+$F102&lt;=24,2,3),FALSE)),$C$3)*(1+IF('IP Attrition'!I159&gt;0,'Attrition Modeling'!$N$9,0)))</f>
        <v>0</v>
      </c>
      <c r="J102" s="799">
        <f>I102*(1-IFERROR(IF(J$77+$F102&lt;=12,SUMIFS('Attrition Modeling'!$D:$D,'Attrition Modeling'!$C:$C,$D102,'Attrition Modeling'!$B:$B,J$76),VLOOKUP($F102+J$77,$A$7:$C$107,2,FALSE)*VLOOKUP(J$76,'Attrition Modeling'!$L$15:$N$27,IF(J$77+$F102&lt;=24,2,3),FALSE)),$C$3)*(1+IF('IP Attrition'!J159&gt;0,'Attrition Modeling'!$N$9,0)))</f>
        <v>0</v>
      </c>
      <c r="K102" s="799">
        <f>J102*(1-IFERROR(IF(K$77+$F102&lt;=12,SUMIFS('Attrition Modeling'!$D:$D,'Attrition Modeling'!$C:$C,$D102,'Attrition Modeling'!$B:$B,K$76),VLOOKUP($F102+K$77,$A$7:$C$107,2,FALSE)*VLOOKUP(K$76,'Attrition Modeling'!$L$15:$N$27,IF(K$77+$F102&lt;=24,2,3),FALSE)),$C$3)*(1+IF('IP Attrition'!K159&gt;0,'Attrition Modeling'!$N$9,0)))</f>
        <v>0</v>
      </c>
      <c r="L102" s="799">
        <f>K102*(1-IFERROR(IF(L$77+$F102&lt;=12,SUMIFS('Attrition Modeling'!$D:$D,'Attrition Modeling'!$C:$C,$D102,'Attrition Modeling'!$B:$B,L$76),VLOOKUP($F102+L$77,$A$7:$C$107,2,FALSE)*VLOOKUP(L$76,'Attrition Modeling'!$L$15:$N$27,IF(L$77+$F102&lt;=24,2,3),FALSE)),$C$3)*(1+IF('IP Attrition'!L159&gt;0,'Attrition Modeling'!$N$9,0)))</f>
        <v>0</v>
      </c>
      <c r="M102" s="799">
        <f>L102*(1-IFERROR(IF(M$77+$F102&lt;=12,SUMIFS('Attrition Modeling'!$D:$D,'Attrition Modeling'!$C:$C,$D102,'Attrition Modeling'!$B:$B,M$76),VLOOKUP($F102+M$77,$A$7:$C$107,2,FALSE)*VLOOKUP(M$76,'Attrition Modeling'!$L$15:$N$27,IF(M$77+$F102&lt;=24,2,3),FALSE)),$C$3)*(1+IF('IP Attrition'!M159&gt;0,'Attrition Modeling'!$N$9,0)))</f>
        <v>0</v>
      </c>
      <c r="N102" s="799">
        <f>M102*(1-IFERROR(IF(N$77+$F102&lt;=12,SUMIFS('Attrition Modeling'!$D:$D,'Attrition Modeling'!$C:$C,$D102,'Attrition Modeling'!$B:$B,N$76),VLOOKUP($F102+N$77,$A$7:$C$107,2,FALSE)*VLOOKUP(N$76,'Attrition Modeling'!$L$15:$N$27,IF(N$77+$F102&lt;=24,2,3),FALSE)),$C$3)*(1+IF('IP Attrition'!N159&gt;0,'Attrition Modeling'!$N$9,0)))</f>
        <v>0</v>
      </c>
      <c r="O102" s="799">
        <f>N102*(1-IFERROR(IF(O$77+$F102&lt;=12,SUMIFS('Attrition Modeling'!$D:$D,'Attrition Modeling'!$C:$C,$D102,'Attrition Modeling'!$B:$B,O$76),VLOOKUP($F102+O$77,$A$7:$C$107,2,FALSE)*VLOOKUP(O$76,'Attrition Modeling'!$L$15:$N$27,IF(O$77+$F102&lt;=24,2,3),FALSE)),$C$3)*(1+IF('IP Attrition'!O159&gt;0,'Attrition Modeling'!$N$9,0)))</f>
        <v>0</v>
      </c>
      <c r="P102" s="799">
        <f>O102*(1-IFERROR(IF(P$77+$F102&lt;=12,SUMIFS('Attrition Modeling'!$D:$D,'Attrition Modeling'!$C:$C,$D102,'Attrition Modeling'!$B:$B,P$76),VLOOKUP($F102+P$77,$A$7:$C$107,2,FALSE)*VLOOKUP(P$76,'Attrition Modeling'!$L$15:$N$27,IF(P$77+$F102&lt;=24,2,3),FALSE)),$C$3)*(1+IF('IP Attrition'!P159&gt;0,'Attrition Modeling'!$N$9,0)))</f>
        <v>0</v>
      </c>
      <c r="Q102" s="799">
        <f>P102*(1-IFERROR(IF(Q$77+$F102&lt;=12,SUMIFS('Attrition Modeling'!$D:$D,'Attrition Modeling'!$C:$C,$D102,'Attrition Modeling'!$B:$B,Q$76),VLOOKUP($F102+Q$77,$A$7:$C$107,2,FALSE)*VLOOKUP(Q$76,'Attrition Modeling'!$L$15:$N$27,IF(Q$77+$F102&lt;=24,2,3),FALSE)),$C$3)*(1+IF('IP Attrition'!Q159&gt;0,'Attrition Modeling'!$N$9,0)))</f>
        <v>0</v>
      </c>
      <c r="R102" s="799">
        <f>Q102*(1-IFERROR(IF(R$77+$F102&lt;=12,SUMIFS('Attrition Modeling'!$D:$D,'Attrition Modeling'!$C:$C,$D102,'Attrition Modeling'!$B:$B,R$76),VLOOKUP($F102+R$77,$A$7:$C$107,2,FALSE)*VLOOKUP(R$76,'Attrition Modeling'!$L$15:$N$27,IF(R$77+$F102&lt;=24,2,3),FALSE)),$C$3)*(1+IF('IP Attrition'!R159&gt;0,'Attrition Modeling'!$N$9,0)))</f>
        <v>0</v>
      </c>
      <c r="S102" s="799">
        <f>R102*(1-IFERROR(IF(S$77+$F102&lt;=12,SUMIFS('Attrition Modeling'!$D:$D,'Attrition Modeling'!$C:$C,$D102,'Attrition Modeling'!$B:$B,S$76),VLOOKUP($F102+S$77,$A$7:$C$107,2,FALSE)*VLOOKUP(S$76,'Attrition Modeling'!$L$15:$N$27,IF(S$77+$F102&lt;=24,2,3),FALSE)),$C$3)*(1+IF('IP Attrition'!S159&gt;0,'Attrition Modeling'!$N$9,0)))</f>
        <v>0</v>
      </c>
      <c r="T102" s="799">
        <f>S102*(1-IFERROR(IF(T$77+$F102&lt;=12,SUMIFS('Attrition Modeling'!$D:$D,'Attrition Modeling'!$C:$C,$D102,'Attrition Modeling'!$B:$B,T$76),VLOOKUP($F102+T$77,$A$7:$C$107,2,FALSE)*VLOOKUP(T$76,'Attrition Modeling'!$L$15:$N$27,IF(T$77+$F102&lt;=24,2,3),FALSE)),$C$3)*(1+IF('IP Attrition'!T159&gt;0,'Attrition Modeling'!$N$9,0)))</f>
        <v>0</v>
      </c>
      <c r="U102" s="799">
        <f>T102*(1-IFERROR(IF(U$77+$F102&lt;=12,SUMIFS('Attrition Modeling'!$D:$D,'Attrition Modeling'!$C:$C,$D102,'Attrition Modeling'!$B:$B,U$76),VLOOKUP($F102+U$77,$A$7:$C$107,2,FALSE)*VLOOKUP(U$76,'Attrition Modeling'!$L$15:$N$27,IF(U$77+$F102&lt;=24,2,3),FALSE)),$C$3)*(1+IF('IP Attrition'!U159&gt;0,'Attrition Modeling'!$N$9,0)))</f>
        <v>0</v>
      </c>
      <c r="V102" s="799">
        <f>U102*(1-IFERROR(IF(V$77+$F102&lt;=12,SUMIFS('Attrition Modeling'!$D:$D,'Attrition Modeling'!$C:$C,$D102,'Attrition Modeling'!$B:$B,V$76),VLOOKUP($F102+V$77,$A$7:$C$107,2,FALSE)*VLOOKUP(V$76,'Attrition Modeling'!$L$15:$N$27,IF(V$77+$F102&lt;=24,2,3),FALSE)),$C$3)*(1+IF('IP Attrition'!V159&gt;0,'Attrition Modeling'!$N$9,0)))</f>
        <v>0</v>
      </c>
      <c r="W102" s="799">
        <f>V102*(1-IFERROR(IF(W$77+$F102&lt;=12,SUMIFS('Attrition Modeling'!$D:$D,'Attrition Modeling'!$C:$C,$D102,'Attrition Modeling'!$B:$B,W$76),VLOOKUP($F102+W$77,$A$7:$C$107,2,FALSE)*VLOOKUP(W$76,'Attrition Modeling'!$L$15:$N$27,IF(W$77+$F102&lt;=24,2,3),FALSE)),$C$3)*(1+IF('IP Attrition'!W159&gt;0,'Attrition Modeling'!$N$9,0)))</f>
        <v>0</v>
      </c>
      <c r="X102" s="799">
        <f>W102*(1-IFERROR(IF(X$77+$F102&lt;=12,SUMIFS('Attrition Modeling'!$D:$D,'Attrition Modeling'!$C:$C,$D102,'Attrition Modeling'!$B:$B,X$76),VLOOKUP($F102+X$77,$A$7:$C$107,2,FALSE)*VLOOKUP(X$76,'Attrition Modeling'!$L$15:$N$27,IF(X$77+$F102&lt;=24,2,3),FALSE)),$C$3)*(1+IF('IP Attrition'!X159&gt;0,'Attrition Modeling'!$N$9,0)))</f>
        <v>0</v>
      </c>
      <c r="Y102" s="799">
        <f>X102*(1-IFERROR(IF(Y$77+$F102&lt;=12,SUMIFS('Attrition Modeling'!$D:$D,'Attrition Modeling'!$C:$C,$D102,'Attrition Modeling'!$B:$B,Y$76),VLOOKUP($F102+Y$77,$A$7:$C$107,2,FALSE)*VLOOKUP(Y$76,'Attrition Modeling'!$L$15:$N$27,IF(Y$77+$F102&lt;=24,2,3),FALSE)),$C$3)*(1+IF('IP Attrition'!Y159&gt;0,'Attrition Modeling'!$N$9,0)))</f>
        <v>0</v>
      </c>
      <c r="Z102" s="799">
        <f>Y102*(1-IFERROR(IF(Z$77+$F102&lt;=12,SUMIFS('Attrition Modeling'!$D:$D,'Attrition Modeling'!$C:$C,$D102,'Attrition Modeling'!$B:$B,Z$76),VLOOKUP($F102+Z$77,$A$7:$C$107,2,FALSE)*VLOOKUP(Z$76,'Attrition Modeling'!$L$15:$N$27,IF(Z$77+$F102&lt;=24,2,3),FALSE)),$C$3)*(1+IF('IP Attrition'!Z159&gt;0,'Attrition Modeling'!$N$9,0)))</f>
        <v>0</v>
      </c>
      <c r="AA102" s="799">
        <f>Z102*(1-IFERROR(IF(AA$77+$F102&lt;=12,SUMIFS('Attrition Modeling'!$D:$D,'Attrition Modeling'!$C:$C,$D102,'Attrition Modeling'!$B:$B,AA$76),VLOOKUP($F102+AA$77,$A$7:$C$107,2,FALSE)*VLOOKUP(AA$76,'Attrition Modeling'!$L$15:$N$27,IF(AA$77+$F102&lt;=24,2,3),FALSE)),$C$3)*(1+IF('IP Attrition'!AA159&gt;0,'Attrition Modeling'!$N$9,0)))</f>
        <v>0</v>
      </c>
      <c r="AB102" s="799">
        <f>AA102*(1-IFERROR(IF(AB$77+$F102&lt;=12,SUMIFS('Attrition Modeling'!$D:$D,'Attrition Modeling'!$C:$C,$D102,'Attrition Modeling'!$B:$B,AB$76),VLOOKUP($F102+AB$77,$A$7:$C$107,2,FALSE)*VLOOKUP(AB$76,'Attrition Modeling'!$L$15:$N$27,IF(AB$77+$F102&lt;=24,2,3),FALSE)),$C$3)*(1+IF('IP Attrition'!AB159&gt;0,'Attrition Modeling'!$N$9,0)))</f>
        <v>0</v>
      </c>
      <c r="AC102" s="799">
        <f>AB102*(1-IFERROR(IF(AC$77+$F102&lt;=12,SUMIFS('Attrition Modeling'!$D:$D,'Attrition Modeling'!$C:$C,$D102,'Attrition Modeling'!$B:$B,AC$76),VLOOKUP($F102+AC$77,$A$7:$C$107,2,FALSE)*VLOOKUP(AC$76,'Attrition Modeling'!$L$15:$N$27,IF(AC$77+$F102&lt;=24,2,3),FALSE)),$C$3)*(1+IF('IP Attrition'!AC159&gt;0,'Attrition Modeling'!$N$9,0)))</f>
        <v>0</v>
      </c>
      <c r="AD102" s="799">
        <f>AC102*(1-IFERROR(IF(AD$77+$F102&lt;=12,SUMIFS('Attrition Modeling'!$D:$D,'Attrition Modeling'!$C:$C,$D102,'Attrition Modeling'!$B:$B,AD$76),VLOOKUP($F102+AD$77,$A$7:$C$107,2,FALSE)*VLOOKUP(AD$76,'Attrition Modeling'!$L$15:$N$27,IF(AD$77+$F102&lt;=24,2,3),FALSE)),$C$3)*(1+IF('IP Attrition'!AD159&gt;0,'Attrition Modeling'!$N$9,0)))</f>
        <v>0</v>
      </c>
      <c r="AE102" s="799">
        <f>AD102*(1-IFERROR(IF(AE$77+$F102&lt;=12,SUMIFS('Attrition Modeling'!$D:$D,'Attrition Modeling'!$C:$C,$D102,'Attrition Modeling'!$B:$B,AE$76),VLOOKUP($F102+AE$77,$A$7:$C$107,2,FALSE)*VLOOKUP(AE$76,'Attrition Modeling'!$L$15:$N$27,IF(AE$77+$F102&lt;=24,2,3),FALSE)),$C$3)*(1+IF('IP Attrition'!AE159&gt;0,'Attrition Modeling'!$N$9,0)))</f>
        <v>0</v>
      </c>
      <c r="AF102" s="799">
        <f>AE102*(1-IFERROR(IF(AF$77+$F102&lt;=12,SUMIFS('Attrition Modeling'!$D:$D,'Attrition Modeling'!$C:$C,$D102,'Attrition Modeling'!$B:$B,AF$76),VLOOKUP($F102+AF$77,$A$7:$C$107,2,FALSE)*VLOOKUP(AF$76,'Attrition Modeling'!$L$15:$N$27,IF(AF$77+$F102&lt;=24,2,3),FALSE)),$C$3)*(1+IF('IP Attrition'!AF159&gt;0,'Attrition Modeling'!$N$9,0)))</f>
        <v>0</v>
      </c>
      <c r="AG102" s="799">
        <f>AF102*(1-IFERROR(IF(AG$77+$F102&lt;=12,SUMIFS('Attrition Modeling'!$D:$D,'Attrition Modeling'!$C:$C,$D102,'Attrition Modeling'!$B:$B,AG$76),VLOOKUP($F102+AG$77,$A$7:$C$107,2,FALSE)*VLOOKUP(AG$76,'Attrition Modeling'!$L$15:$N$27,IF(AG$77+$F102&lt;=24,2,3),FALSE)),$C$3)*(1+IF('IP Attrition'!AG159&gt;0,'Attrition Modeling'!$N$9,0)))</f>
        <v>0</v>
      </c>
      <c r="AH102" s="799">
        <f>AG102*(1-IFERROR(IF(AH$77+$F102&lt;=12,SUMIFS('Attrition Modeling'!$D:$D,'Attrition Modeling'!$C:$C,$D102,'Attrition Modeling'!$B:$B,AH$76),VLOOKUP($F102+AH$77,$A$7:$C$107,2,FALSE)*VLOOKUP(AH$76,'Attrition Modeling'!$L$15:$N$27,IF(AH$77+$F102&lt;=24,2,3),FALSE)),$C$3)*(1+IF('IP Attrition'!AH159&gt;0,'Attrition Modeling'!$N$9,0)))</f>
        <v>0</v>
      </c>
      <c r="AI102" s="799">
        <f>AH102*(1-IFERROR(IF(AI$77+$F102&lt;=12,SUMIFS('Attrition Modeling'!$D:$D,'Attrition Modeling'!$C:$C,$D102,'Attrition Modeling'!$B:$B,AI$76),VLOOKUP($F102+AI$77,$A$7:$C$107,2,FALSE)*VLOOKUP(AI$76,'Attrition Modeling'!$L$15:$N$27,IF(AI$77+$F102&lt;=24,2,3),FALSE)),$C$3)*(1+IF('IP Attrition'!AI159&gt;0,'Attrition Modeling'!$N$9,0)))</f>
        <v>0</v>
      </c>
      <c r="AJ102" s="799">
        <f>AI102*(1-IFERROR(IF(AJ$77+$F102&lt;=12,SUMIFS('Attrition Modeling'!$D:$D,'Attrition Modeling'!$C:$C,$D102,'Attrition Modeling'!$B:$B,AJ$76),VLOOKUP($F102+AJ$77,$A$7:$C$107,2,FALSE)*VLOOKUP(AJ$76,'Attrition Modeling'!$L$15:$N$27,IF(AJ$77+$F102&lt;=24,2,3),FALSE)),$C$3)*(1+IF('IP Attrition'!AJ159&gt;0,'Attrition Modeling'!$N$9,0)))</f>
        <v>0</v>
      </c>
      <c r="AK102" s="799">
        <f>AJ102*(1-IFERROR(IF(AK$77+$F102&lt;=12,SUMIFS('Attrition Modeling'!$D:$D,'Attrition Modeling'!$C:$C,$D102,'Attrition Modeling'!$B:$B,AK$76),VLOOKUP($F102+AK$77,$A$7:$C$107,2,FALSE)*VLOOKUP(AK$76,'Attrition Modeling'!$L$15:$N$27,IF(AK$77+$F102&lt;=24,2,3),FALSE)),$C$3)*(1+IF('IP Attrition'!AK159&gt;0,'Attrition Modeling'!$N$9,0)))</f>
        <v>0</v>
      </c>
      <c r="AL102" s="799">
        <f>AK102*(1-IFERROR(IF(AL$77+$F102&lt;=12,SUMIFS('Attrition Modeling'!$D:$D,'Attrition Modeling'!$C:$C,$D102,'Attrition Modeling'!$B:$B,AL$76),VLOOKUP($F102+AL$77,$A$7:$C$107,2,FALSE)*VLOOKUP(AL$76,'Attrition Modeling'!$L$15:$N$27,IF(AL$77+$F102&lt;=24,2,3),FALSE)),$C$3)*(1+IF('IP Attrition'!AL159&gt;0,'Attrition Modeling'!$N$9,0)))</f>
        <v>0</v>
      </c>
      <c r="AM102" s="799">
        <f>AL102*(1-IFERROR(IF(AM$77+$F102&lt;=12,SUMIFS('Attrition Modeling'!$D:$D,'Attrition Modeling'!$C:$C,$D102,'Attrition Modeling'!$B:$B,AM$76),VLOOKUP($F102+AM$77,$A$7:$C$107,2,FALSE)*VLOOKUP(AM$76,'Attrition Modeling'!$L$15:$N$27,IF(AM$77+$F102&lt;=24,2,3),FALSE)),$C$3)*(1+IF('IP Attrition'!AM159&gt;0,'Attrition Modeling'!$N$9,0)))</f>
        <v>0</v>
      </c>
      <c r="AN102" s="799">
        <f>AM102*(1-IFERROR(IF(AN$77+$F102&lt;=12,SUMIFS('Attrition Modeling'!$D:$D,'Attrition Modeling'!$C:$C,$D102,'Attrition Modeling'!$B:$B,AN$76),VLOOKUP($F102+AN$77,$A$7:$C$107,2,FALSE)*VLOOKUP(AN$76,'Attrition Modeling'!$L$15:$N$27,IF(AN$77+$F102&lt;=24,2,3),FALSE)),$C$3)*(1+IF('IP Attrition'!AN159&gt;0,'Attrition Modeling'!$N$9,0)))</f>
        <v>0</v>
      </c>
      <c r="AO102" s="799">
        <f>AN102*(1-IFERROR(IF(AO$77+$F102&lt;=12,SUMIFS('Attrition Modeling'!$D:$D,'Attrition Modeling'!$C:$C,$D102,'Attrition Modeling'!$B:$B,AO$76),VLOOKUP($F102+AO$77,$A$7:$C$107,2,FALSE)*VLOOKUP(AO$76,'Attrition Modeling'!$L$15:$N$27,IF(AO$77+$F102&lt;=24,2,3),FALSE)),$C$3)*(1+IF('IP Attrition'!AO159&gt;0,'Attrition Modeling'!$N$9,0)))</f>
        <v>0</v>
      </c>
      <c r="AP102" s="799">
        <f>AO102*(1-IFERROR(IF(AP$77+$F102&lt;=12,SUMIFS('Attrition Modeling'!$D:$D,'Attrition Modeling'!$C:$C,$D102,'Attrition Modeling'!$B:$B,AP$76),VLOOKUP($F102+AP$77,$A$7:$C$107,2,FALSE)*VLOOKUP(AP$76,'Attrition Modeling'!$L$15:$N$27,IF(AP$77+$F102&lt;=24,2,3),FALSE)),$C$3)*(1+IF('IP Attrition'!AP159&gt;0,'Attrition Modeling'!$N$9,0)))</f>
        <v>0</v>
      </c>
      <c r="AQ102" s="799">
        <f>AP102*(1-IFERROR(IF(AQ$77+$F102&lt;=12,SUMIFS('Attrition Modeling'!$D:$D,'Attrition Modeling'!$C:$C,$D102,'Attrition Modeling'!$B:$B,AQ$76),VLOOKUP($F102+AQ$77,$A$7:$C$107,2,FALSE)*VLOOKUP(AQ$76,'Attrition Modeling'!$L$15:$N$27,IF(AQ$77+$F102&lt;=24,2,3),FALSE)),$C$3)*(1+IF('IP Attrition'!AQ159&gt;0,'Attrition Modeling'!$N$9,0)))</f>
        <v>0</v>
      </c>
      <c r="AR102" s="799">
        <f>AQ102*(1-IFERROR(IF(AR$77+$F102&lt;=12,SUMIFS('Attrition Modeling'!$D:$D,'Attrition Modeling'!$C:$C,$D102,'Attrition Modeling'!$B:$B,AR$76),VLOOKUP($F102+AR$77,$A$7:$C$107,2,FALSE)*VLOOKUP(AR$76,'Attrition Modeling'!$L$15:$N$27,IF(AR$77+$F102&lt;=24,2,3),FALSE)),$C$3)*(1+IF('IP Attrition'!AR159&gt;0,'Attrition Modeling'!$N$9,0)))</f>
        <v>0</v>
      </c>
      <c r="AS102" s="799">
        <f>AR102*(1-IFERROR(IF(AS$77+$F102&lt;=12,SUMIFS('Attrition Modeling'!$D:$D,'Attrition Modeling'!$C:$C,$D102,'Attrition Modeling'!$B:$B,AS$76),VLOOKUP($F102+AS$77,$A$7:$C$107,2,FALSE)*VLOOKUP(AS$76,'Attrition Modeling'!$L$15:$N$27,IF(AS$77+$F102&lt;=24,2,3),FALSE)),$C$3)*(1+IF('IP Attrition'!AS159&gt;0,'Attrition Modeling'!$N$9,0)))</f>
        <v>0</v>
      </c>
      <c r="AT102" s="799">
        <f>AS102*(1-IFERROR(IF(AT$77+$F102&lt;=12,SUMIFS('Attrition Modeling'!$D:$D,'Attrition Modeling'!$C:$C,$D102,'Attrition Modeling'!$B:$B,AT$76),VLOOKUP($F102+AT$77,$A$7:$C$107,2,FALSE)*VLOOKUP(AT$76,'Attrition Modeling'!$L$15:$N$27,IF(AT$77+$F102&lt;=24,2,3),FALSE)),$C$3)*(1+IF('IP Attrition'!AT159&gt;0,'Attrition Modeling'!$N$9,0)))</f>
        <v>0</v>
      </c>
      <c r="AU102" s="799">
        <f>AT102*(1-IFERROR(IF(AU$77+$F102&lt;=12,SUMIFS('Attrition Modeling'!$D:$D,'Attrition Modeling'!$C:$C,$D102,'Attrition Modeling'!$B:$B,AU$76),VLOOKUP($F102+AU$77,$A$7:$C$107,2,FALSE)*VLOOKUP(AU$76,'Attrition Modeling'!$L$15:$N$27,IF(AU$77+$F102&lt;=24,2,3),FALSE)),$C$3)*(1+IF('IP Attrition'!AU159&gt;0,'Attrition Modeling'!$N$9,0)))</f>
        <v>0</v>
      </c>
      <c r="AV102" s="799">
        <f>AU102*(1-IFERROR(IF(AV$77+$F102&lt;=12,SUMIFS('Attrition Modeling'!$D:$D,'Attrition Modeling'!$C:$C,$D102,'Attrition Modeling'!$B:$B,AV$76),VLOOKUP($F102+AV$77,$A$7:$C$107,2,FALSE)*VLOOKUP(AV$76,'Attrition Modeling'!$L$15:$N$27,IF(AV$77+$F102&lt;=24,2,3),FALSE)),$C$3)*(1+IF('IP Attrition'!AV159&gt;0,'Attrition Modeling'!$N$9,0)))</f>
        <v>0</v>
      </c>
      <c r="AW102" s="799">
        <f>AV102*(1-IFERROR(IF(AW$77+$F102&lt;=12,SUMIFS('Attrition Modeling'!$D:$D,'Attrition Modeling'!$C:$C,$D102,'Attrition Modeling'!$B:$B,AW$76),VLOOKUP($F102+AW$77,$A$7:$C$107,2,FALSE)*VLOOKUP(AW$76,'Attrition Modeling'!$L$15:$N$27,IF(AW$77+$F102&lt;=24,2,3),FALSE)),$C$3)*(1+IF('IP Attrition'!AW159&gt;0,'Attrition Modeling'!$N$9,0)))</f>
        <v>0</v>
      </c>
      <c r="AX102" s="799">
        <f>AW102*(1-IFERROR(IF(AX$77+$F102&lt;=12,SUMIFS('Attrition Modeling'!$D:$D,'Attrition Modeling'!$C:$C,$D102,'Attrition Modeling'!$B:$B,AX$76),VLOOKUP($F102+AX$77,$A$7:$C$107,2,FALSE)*VLOOKUP(AX$76,'Attrition Modeling'!$L$15:$N$27,IF(AX$77+$F102&lt;=24,2,3),FALSE)),$C$3)*(1+IF('IP Attrition'!AX159&gt;0,'Attrition Modeling'!$N$9,0)))</f>
        <v>0</v>
      </c>
      <c r="AY102" s="799">
        <f>AX102*(1-IFERROR(IF(AY$77+$F102&lt;=12,SUMIFS('Attrition Modeling'!$D:$D,'Attrition Modeling'!$C:$C,$D102,'Attrition Modeling'!$B:$B,AY$76),VLOOKUP($F102+AY$77,$A$7:$C$107,2,FALSE)*VLOOKUP(AY$76,'Attrition Modeling'!$L$15:$N$27,IF(AY$77+$F102&lt;=24,2,3),FALSE)),$C$3)*(1+IF('IP Attrition'!AY159&gt;0,'Attrition Modeling'!$N$9,0)))</f>
        <v>0</v>
      </c>
      <c r="AZ102" s="799">
        <f>AY102*(1-IFERROR(IF(AZ$77+$F102&lt;=12,SUMIFS('Attrition Modeling'!$D:$D,'Attrition Modeling'!$C:$C,$D102,'Attrition Modeling'!$B:$B,AZ$76),VLOOKUP($F102+AZ$77,$A$7:$C$107,2,FALSE)*VLOOKUP(AZ$76,'Attrition Modeling'!$L$15:$N$27,IF(AZ$77+$F102&lt;=24,2,3),FALSE)),$C$3)*(1+IF('IP Attrition'!AZ159&gt;0,'Attrition Modeling'!$N$9,0)))</f>
        <v>0</v>
      </c>
      <c r="BA102" s="799">
        <f>AZ102*(1-IFERROR(IF(BA$77+$F102&lt;=12,SUMIFS('Attrition Modeling'!$D:$D,'Attrition Modeling'!$C:$C,$D102,'Attrition Modeling'!$B:$B,BA$76),VLOOKUP($F102+BA$77,$A$7:$C$107,2,FALSE)*VLOOKUP(BA$76,'Attrition Modeling'!$L$15:$N$27,IF(BA$77+$F102&lt;=24,2,3),FALSE)),$C$3)*(1+IF('IP Attrition'!BA159&gt;0,'Attrition Modeling'!$N$9,0)))</f>
        <v>0</v>
      </c>
      <c r="BB102" s="799">
        <f>BA102*(1-IFERROR(IF(BB$77+$F102&lt;=12,SUMIFS('Attrition Modeling'!$D:$D,'Attrition Modeling'!$C:$C,$D102,'Attrition Modeling'!$B:$B,BB$76),VLOOKUP($F102+BB$77,$A$7:$C$107,2,FALSE)*VLOOKUP(BB$76,'Attrition Modeling'!$L$15:$N$27,IF(BB$77+$F102&lt;=24,2,3),FALSE)),$C$3)*(1+IF('IP Attrition'!BB159&gt;0,'Attrition Modeling'!$N$9,0)))</f>
        <v>0</v>
      </c>
      <c r="BC102" s="799">
        <f>BB102*(1-IFERROR(IF(BC$77+$F102&lt;=12,SUMIFS('Attrition Modeling'!$D:$D,'Attrition Modeling'!$C:$C,$D102,'Attrition Modeling'!$B:$B,BC$76),VLOOKUP($F102+BC$77,$A$7:$C$107,2,FALSE)*VLOOKUP(BC$76,'Attrition Modeling'!$L$15:$N$27,IF(BC$77+$F102&lt;=24,2,3),FALSE)),$C$3)*(1+IF('IP Attrition'!BC159&gt;0,'Attrition Modeling'!$N$9,0)))</f>
        <v>0</v>
      </c>
      <c r="BD102" s="799">
        <f>BC102*(1-IFERROR(IF(BD$77+$F102&lt;=12,SUMIFS('Attrition Modeling'!$D:$D,'Attrition Modeling'!$C:$C,$D102,'Attrition Modeling'!$B:$B,BD$76),VLOOKUP($F102+BD$77,$A$7:$C$107,2,FALSE)*VLOOKUP(BD$76,'Attrition Modeling'!$L$15:$N$27,IF(BD$77+$F102&lt;=24,2,3),FALSE)),$C$3)*(1+IF('IP Attrition'!BD159&gt;0,'Attrition Modeling'!$N$9,0)))</f>
        <v>0</v>
      </c>
      <c r="BE102" s="799">
        <f>BD102*(1-IFERROR(IF(BE$77+$F102&lt;=12,SUMIFS('Attrition Modeling'!$D:$D,'Attrition Modeling'!$C:$C,$D102,'Attrition Modeling'!$B:$B,BE$76),VLOOKUP($F102+BE$77,$A$7:$C$107,2,FALSE)*VLOOKUP(BE$76,'Attrition Modeling'!$L$15:$N$27,IF(BE$77+$F102&lt;=24,2,3),FALSE)),$C$3)*(1+IF('IP Attrition'!BE159&gt;0,'Attrition Modeling'!$N$9,0)))</f>
        <v>0</v>
      </c>
      <c r="BF102" s="799">
        <f>BE102*(1-IFERROR(IF(BF$77+$F102&lt;=12,SUMIFS('Attrition Modeling'!$D:$D,'Attrition Modeling'!$C:$C,$D102,'Attrition Modeling'!$B:$B,BF$76),VLOOKUP($F102+BF$77,$A$7:$C$107,2,FALSE)*VLOOKUP(BF$76,'Attrition Modeling'!$L$15:$N$27,IF(BF$77+$F102&lt;=24,2,3),FALSE)),$C$3)*(1+IF('IP Attrition'!BF159&gt;0,'Attrition Modeling'!$N$9,0)))</f>
        <v>0</v>
      </c>
      <c r="BG102" s="799">
        <f>BF102*(1-IFERROR(IF(BG$77+$F102&lt;=12,SUMIFS('Attrition Modeling'!$D:$D,'Attrition Modeling'!$C:$C,$D102,'Attrition Modeling'!$B:$B,BG$76),VLOOKUP($F102+BG$77,$A$7:$C$107,2,FALSE)*VLOOKUP(BG$76,'Attrition Modeling'!$L$15:$N$27,IF(BG$77+$F102&lt;=24,2,3),FALSE)),$C$3)*(1+IF('IP Attrition'!BG159&gt;0,'Attrition Modeling'!$N$9,0)))</f>
        <v>0</v>
      </c>
      <c r="BH102" s="799">
        <f>BG102*(1-IFERROR(IF(BH$77+$F102&lt;=12,SUMIFS('Attrition Modeling'!$D:$D,'Attrition Modeling'!$C:$C,$D102,'Attrition Modeling'!$B:$B,BH$76),VLOOKUP($F102+BH$77,$A$7:$C$107,2,FALSE)*VLOOKUP(BH$76,'Attrition Modeling'!$L$15:$N$27,IF(BH$77+$F102&lt;=24,2,3),FALSE)),$C$3)*(1+IF('IP Attrition'!BH159&gt;0,'Attrition Modeling'!$N$9,0)))</f>
        <v>0</v>
      </c>
      <c r="BI102" s="799">
        <f>BH102*(1-IFERROR(IF(BI$77+$F102&lt;=12,SUMIFS('Attrition Modeling'!$D:$D,'Attrition Modeling'!$C:$C,$D102,'Attrition Modeling'!$B:$B,BI$76),VLOOKUP($F102+BI$77,$A$7:$C$107,2,FALSE)*VLOOKUP(BI$76,'Attrition Modeling'!$L$15:$N$27,IF(BI$77+$F102&lt;=24,2,3),FALSE)),$C$3)*(1+IF('IP Attrition'!BI159&gt;0,'Attrition Modeling'!$N$9,0)))</f>
        <v>0</v>
      </c>
      <c r="BJ102" s="799">
        <f>BI102*(1-IFERROR(IF(BJ$77+$F102&lt;=12,SUMIFS('Attrition Modeling'!$D:$D,'Attrition Modeling'!$C:$C,$D102,'Attrition Modeling'!$B:$B,BJ$76),VLOOKUP($F102+BJ$77,$A$7:$C$107,2,FALSE)*VLOOKUP(BJ$76,'Attrition Modeling'!$L$15:$N$27,IF(BJ$77+$F102&lt;=24,2,3),FALSE)),$C$3)*(1+IF('IP Attrition'!BJ159&gt;0,'Attrition Modeling'!$N$9,0)))</f>
        <v>0</v>
      </c>
      <c r="BK102" s="799">
        <f>BJ102*(1-IFERROR(IF(BK$77+$F102&lt;=12,SUMIFS('Attrition Modeling'!$D:$D,'Attrition Modeling'!$C:$C,$D102,'Attrition Modeling'!$B:$B,BK$76),VLOOKUP($F102+BK$77,$A$7:$C$107,2,FALSE)*VLOOKUP(BK$76,'Attrition Modeling'!$L$15:$N$27,IF(BK$77+$F102&lt;=24,2,3),FALSE)),$C$3)*(1+IF('IP Attrition'!BK159&gt;0,'Attrition Modeling'!$N$9,0)))</f>
        <v>0</v>
      </c>
      <c r="BL102" s="799">
        <f>BK102*(1-IFERROR(IF(BL$77+$F102&lt;=12,SUMIFS('Attrition Modeling'!$D:$D,'Attrition Modeling'!$C:$C,$D102,'Attrition Modeling'!$B:$B,BL$76),VLOOKUP($F102+BL$77,$A$7:$C$107,2,FALSE)*VLOOKUP(BL$76,'Attrition Modeling'!$L$15:$N$27,IF(BL$77+$F102&lt;=24,2,3),FALSE)),$C$3)*(1+IF('IP Attrition'!BL159&gt;0,'Attrition Modeling'!$N$9,0)))</f>
        <v>0</v>
      </c>
      <c r="BM102" s="799">
        <f>BL102*(1-IFERROR(IF(BM$77+$F102&lt;=12,SUMIFS('Attrition Modeling'!$D:$D,'Attrition Modeling'!$C:$C,$D102,'Attrition Modeling'!$B:$B,BM$76),VLOOKUP($F102+BM$77,$A$7:$C$107,2,FALSE)*VLOOKUP(BM$76,'Attrition Modeling'!$L$15:$N$27,IF(BM$77+$F102&lt;=24,2,3),FALSE)),$C$3)*(1+IF('IP Attrition'!BM159&gt;0,'Attrition Modeling'!$N$9,0)))</f>
        <v>0</v>
      </c>
      <c r="BN102" s="799">
        <f>BM102*(1-IFERROR(IF(BN$77+$F102&lt;=12,SUMIFS('Attrition Modeling'!$D:$D,'Attrition Modeling'!$C:$C,$D102,'Attrition Modeling'!$B:$B,BN$76),VLOOKUP($F102+BN$77,$A$7:$C$107,2,FALSE)*VLOOKUP(BN$76,'Attrition Modeling'!$L$15:$N$27,IF(BN$77+$F102&lt;=24,2,3),FALSE)),$C$3)*(1+IF('IP Attrition'!BN159&gt;0,'Attrition Modeling'!$N$9,0)))</f>
        <v>0</v>
      </c>
      <c r="BO102" s="799">
        <f>BN102*(1-IFERROR(IF(BO$77+$F102&lt;=12,SUMIFS('Attrition Modeling'!$D:$D,'Attrition Modeling'!$C:$C,$D102,'Attrition Modeling'!$B:$B,BO$76),VLOOKUP($F102+BO$77,$A$7:$C$107,2,FALSE)*VLOOKUP(BO$76,'Attrition Modeling'!$L$15:$N$27,IF(BO$77+$F102&lt;=24,2,3),FALSE)),$C$3)*(1+IF('IP Attrition'!BO159&gt;0,'Attrition Modeling'!$N$9,0)))</f>
        <v>0</v>
      </c>
      <c r="BP102" s="799">
        <f>BO102*(1-IFERROR(IF(BP$77+$F102&lt;=12,SUMIFS('Attrition Modeling'!$D:$D,'Attrition Modeling'!$C:$C,$D102,'Attrition Modeling'!$B:$B,BP$76),VLOOKUP($F102+BP$77,$A$7:$C$107,2,FALSE)*VLOOKUP(BP$76,'Attrition Modeling'!$L$15:$N$27,IF(BP$77+$F102&lt;=24,2,3),FALSE)),$C$3)*(1+IF('IP Attrition'!BP159&gt;0,'Attrition Modeling'!$N$9,0)))</f>
        <v>0</v>
      </c>
      <c r="BQ102" s="799">
        <f>BP102*(1-IFERROR(IF(BQ$77+$F102&lt;=12,SUMIFS('Attrition Modeling'!$D:$D,'Attrition Modeling'!$C:$C,$D102,'Attrition Modeling'!$B:$B,BQ$76),VLOOKUP($F102+BQ$77,$A$7:$C$107,2,FALSE)*VLOOKUP(BQ$76,'Attrition Modeling'!$L$15:$N$27,IF(BQ$77+$F102&lt;=24,2,3),FALSE)),$C$3)*(1+IF('IP Attrition'!BQ159&gt;0,'Attrition Modeling'!$N$9,0)))</f>
        <v>0</v>
      </c>
      <c r="BR102" s="799">
        <f>BQ102*(1-IFERROR(IF(BR$77+$F102&lt;=12,SUMIFS('Attrition Modeling'!$D:$D,'Attrition Modeling'!$C:$C,$D102,'Attrition Modeling'!$B:$B,BR$76),VLOOKUP($F102+BR$77,$A$7:$C$107,2,FALSE)*VLOOKUP(BR$76,'Attrition Modeling'!$L$15:$N$27,IF(BR$77+$F102&lt;=24,2,3),FALSE)),$C$3)*(1+IF('IP Attrition'!BR159&gt;0,'Attrition Modeling'!$N$9,0)))</f>
        <v>0</v>
      </c>
      <c r="BS102" s="799">
        <f>BR102*(1-IFERROR(IF(BS$77+$F102&lt;=12,SUMIFS('Attrition Modeling'!$D:$D,'Attrition Modeling'!$C:$C,$D102,'Attrition Modeling'!$B:$B,BS$76),VLOOKUP($F102+BS$77,$A$7:$C$107,2,FALSE)*VLOOKUP(BS$76,'Attrition Modeling'!$L$15:$N$27,IF(BS$77+$F102&lt;=24,2,3),FALSE)),$C$3)*(1+IF('IP Attrition'!BS159&gt;0,'Attrition Modeling'!$N$9,0)))</f>
        <v>0</v>
      </c>
      <c r="BT102" s="799" t="e">
        <f>BS102*(1-IFERROR(IF(BT$77+$F102&lt;=12,SUMIFS('Attrition Modeling'!$D:$D,'Attrition Modeling'!$C:$C,$D102,'Attrition Modeling'!$B:$B,BT$76),VLOOKUP($F102+BT$77,$A$7:$C$107,2,FALSE)*VLOOKUP(BT$76,'Attrition Modeling'!$L$15:$N$27,IF(BT$77+$F102&lt;=24,2,3),FALSE)),$C$3)*(1+IF('IP Attrition'!BT159&gt;0,'Attrition Modeling'!$N$9,0)))</f>
        <v>#REF!</v>
      </c>
      <c r="BU102" s="799" t="e">
        <f>BT102*(1-IFERROR(IF(BU$77+$F102&lt;=12,SUMIFS('Attrition Modeling'!$D:$D,'Attrition Modeling'!$C:$C,$D102,'Attrition Modeling'!$B:$B,BU$76),VLOOKUP($F102+BU$77,$A$7:$C$107,2,FALSE)*VLOOKUP(BU$76,'Attrition Modeling'!$L$15:$N$27,IF(BU$77+$F102&lt;=24,2,3),FALSE)),$C$3)*(1+IF('IP Attrition'!BU159&gt;0,'Attrition Modeling'!$N$9,0)))</f>
        <v>#REF!</v>
      </c>
    </row>
    <row r="103" spans="1:73" ht="14.25" customHeight="1" x14ac:dyDescent="0.2">
      <c r="A103" s="9">
        <v>95</v>
      </c>
      <c r="B103" s="25">
        <f>MAX('Attrition Modeling'!H99,$C$3)*(1-Summary!$C$20)</f>
        <v>0.02</v>
      </c>
      <c r="C103" s="24" t="e">
        <f t="shared" si="2"/>
        <v>#DIV/0!</v>
      </c>
      <c r="D103" s="11">
        <f>'IP Attrition'!D95</f>
        <v>-25</v>
      </c>
      <c r="E103" s="25">
        <f>'IP Attrition'!E95</f>
        <v>0</v>
      </c>
      <c r="F103" s="11">
        <f t="shared" si="8"/>
        <v>25</v>
      </c>
      <c r="G103" s="799">
        <f>Summary!$C$24*$E103</f>
        <v>0</v>
      </c>
      <c r="H103" s="799">
        <f>G103*(1-IFERROR(IF(H$77+$F103&lt;=12,SUMIFS('Attrition Modeling'!$D:$D,'Attrition Modeling'!$C:$C,$D103,'Attrition Modeling'!$B:$B,H$76),VLOOKUP($F103+H$77,$A$7:$C$107,2,FALSE)*VLOOKUP(H$76,'Attrition Modeling'!$L$15:$N$27,IF(H$77+$F103&lt;=24,2,3),FALSE)),$C$3)*(1+IF('IP Attrition'!H160&gt;0,'Attrition Modeling'!$N$9,0)))</f>
        <v>0</v>
      </c>
      <c r="I103" s="799">
        <f>H103*(1-IFERROR(IF(I$77+$F103&lt;=12,SUMIFS('Attrition Modeling'!$D:$D,'Attrition Modeling'!$C:$C,$D103,'Attrition Modeling'!$B:$B,I$76),VLOOKUP($F103+I$77,$A$7:$C$107,2,FALSE)*VLOOKUP(I$76,'Attrition Modeling'!$L$15:$N$27,IF(I$77+$F103&lt;=24,2,3),FALSE)),$C$3)*(1+IF('IP Attrition'!I160&gt;0,'Attrition Modeling'!$N$9,0)))</f>
        <v>0</v>
      </c>
      <c r="J103" s="799">
        <f>I103*(1-IFERROR(IF(J$77+$F103&lt;=12,SUMIFS('Attrition Modeling'!$D:$D,'Attrition Modeling'!$C:$C,$D103,'Attrition Modeling'!$B:$B,J$76),VLOOKUP($F103+J$77,$A$7:$C$107,2,FALSE)*VLOOKUP(J$76,'Attrition Modeling'!$L$15:$N$27,IF(J$77+$F103&lt;=24,2,3),FALSE)),$C$3)*(1+IF('IP Attrition'!J160&gt;0,'Attrition Modeling'!$N$9,0)))</f>
        <v>0</v>
      </c>
      <c r="K103" s="799">
        <f>J103*(1-IFERROR(IF(K$77+$F103&lt;=12,SUMIFS('Attrition Modeling'!$D:$D,'Attrition Modeling'!$C:$C,$D103,'Attrition Modeling'!$B:$B,K$76),VLOOKUP($F103+K$77,$A$7:$C$107,2,FALSE)*VLOOKUP(K$76,'Attrition Modeling'!$L$15:$N$27,IF(K$77+$F103&lt;=24,2,3),FALSE)),$C$3)*(1+IF('IP Attrition'!K160&gt;0,'Attrition Modeling'!$N$9,0)))</f>
        <v>0</v>
      </c>
      <c r="L103" s="799">
        <f>K103*(1-IFERROR(IF(L$77+$F103&lt;=12,SUMIFS('Attrition Modeling'!$D:$D,'Attrition Modeling'!$C:$C,$D103,'Attrition Modeling'!$B:$B,L$76),VLOOKUP($F103+L$77,$A$7:$C$107,2,FALSE)*VLOOKUP(L$76,'Attrition Modeling'!$L$15:$N$27,IF(L$77+$F103&lt;=24,2,3),FALSE)),$C$3)*(1+IF('IP Attrition'!L160&gt;0,'Attrition Modeling'!$N$9,0)))</f>
        <v>0</v>
      </c>
      <c r="M103" s="799">
        <f>L103*(1-IFERROR(IF(M$77+$F103&lt;=12,SUMIFS('Attrition Modeling'!$D:$D,'Attrition Modeling'!$C:$C,$D103,'Attrition Modeling'!$B:$B,M$76),VLOOKUP($F103+M$77,$A$7:$C$107,2,FALSE)*VLOOKUP(M$76,'Attrition Modeling'!$L$15:$N$27,IF(M$77+$F103&lt;=24,2,3),FALSE)),$C$3)*(1+IF('IP Attrition'!M160&gt;0,'Attrition Modeling'!$N$9,0)))</f>
        <v>0</v>
      </c>
      <c r="N103" s="799">
        <f>M103*(1-IFERROR(IF(N$77+$F103&lt;=12,SUMIFS('Attrition Modeling'!$D:$D,'Attrition Modeling'!$C:$C,$D103,'Attrition Modeling'!$B:$B,N$76),VLOOKUP($F103+N$77,$A$7:$C$107,2,FALSE)*VLOOKUP(N$76,'Attrition Modeling'!$L$15:$N$27,IF(N$77+$F103&lt;=24,2,3),FALSE)),$C$3)*(1+IF('IP Attrition'!N160&gt;0,'Attrition Modeling'!$N$9,0)))</f>
        <v>0</v>
      </c>
      <c r="O103" s="799">
        <f>N103*(1-IFERROR(IF(O$77+$F103&lt;=12,SUMIFS('Attrition Modeling'!$D:$D,'Attrition Modeling'!$C:$C,$D103,'Attrition Modeling'!$B:$B,O$76),VLOOKUP($F103+O$77,$A$7:$C$107,2,FALSE)*VLOOKUP(O$76,'Attrition Modeling'!$L$15:$N$27,IF(O$77+$F103&lt;=24,2,3),FALSE)),$C$3)*(1+IF('IP Attrition'!O160&gt;0,'Attrition Modeling'!$N$9,0)))</f>
        <v>0</v>
      </c>
      <c r="P103" s="799">
        <f>O103*(1-IFERROR(IF(P$77+$F103&lt;=12,SUMIFS('Attrition Modeling'!$D:$D,'Attrition Modeling'!$C:$C,$D103,'Attrition Modeling'!$B:$B,P$76),VLOOKUP($F103+P$77,$A$7:$C$107,2,FALSE)*VLOOKUP(P$76,'Attrition Modeling'!$L$15:$N$27,IF(P$77+$F103&lt;=24,2,3),FALSE)),$C$3)*(1+IF('IP Attrition'!P160&gt;0,'Attrition Modeling'!$N$9,0)))</f>
        <v>0</v>
      </c>
      <c r="Q103" s="799">
        <f>P103*(1-IFERROR(IF(Q$77+$F103&lt;=12,SUMIFS('Attrition Modeling'!$D:$D,'Attrition Modeling'!$C:$C,$D103,'Attrition Modeling'!$B:$B,Q$76),VLOOKUP($F103+Q$77,$A$7:$C$107,2,FALSE)*VLOOKUP(Q$76,'Attrition Modeling'!$L$15:$N$27,IF(Q$77+$F103&lt;=24,2,3),FALSE)),$C$3)*(1+IF('IP Attrition'!Q160&gt;0,'Attrition Modeling'!$N$9,0)))</f>
        <v>0</v>
      </c>
      <c r="R103" s="799">
        <f>Q103*(1-IFERROR(IF(R$77+$F103&lt;=12,SUMIFS('Attrition Modeling'!$D:$D,'Attrition Modeling'!$C:$C,$D103,'Attrition Modeling'!$B:$B,R$76),VLOOKUP($F103+R$77,$A$7:$C$107,2,FALSE)*VLOOKUP(R$76,'Attrition Modeling'!$L$15:$N$27,IF(R$77+$F103&lt;=24,2,3),FALSE)),$C$3)*(1+IF('IP Attrition'!R160&gt;0,'Attrition Modeling'!$N$9,0)))</f>
        <v>0</v>
      </c>
      <c r="S103" s="799">
        <f>R103*(1-IFERROR(IF(S$77+$F103&lt;=12,SUMIFS('Attrition Modeling'!$D:$D,'Attrition Modeling'!$C:$C,$D103,'Attrition Modeling'!$B:$B,S$76),VLOOKUP($F103+S$77,$A$7:$C$107,2,FALSE)*VLOOKUP(S$76,'Attrition Modeling'!$L$15:$N$27,IF(S$77+$F103&lt;=24,2,3),FALSE)),$C$3)*(1+IF('IP Attrition'!S160&gt;0,'Attrition Modeling'!$N$9,0)))</f>
        <v>0</v>
      </c>
      <c r="T103" s="799">
        <f>S103*(1-IFERROR(IF(T$77+$F103&lt;=12,SUMIFS('Attrition Modeling'!$D:$D,'Attrition Modeling'!$C:$C,$D103,'Attrition Modeling'!$B:$B,T$76),VLOOKUP($F103+T$77,$A$7:$C$107,2,FALSE)*VLOOKUP(T$76,'Attrition Modeling'!$L$15:$N$27,IF(T$77+$F103&lt;=24,2,3),FALSE)),$C$3)*(1+IF('IP Attrition'!T160&gt;0,'Attrition Modeling'!$N$9,0)))</f>
        <v>0</v>
      </c>
      <c r="U103" s="799">
        <f>T103*(1-IFERROR(IF(U$77+$F103&lt;=12,SUMIFS('Attrition Modeling'!$D:$D,'Attrition Modeling'!$C:$C,$D103,'Attrition Modeling'!$B:$B,U$76),VLOOKUP($F103+U$77,$A$7:$C$107,2,FALSE)*VLOOKUP(U$76,'Attrition Modeling'!$L$15:$N$27,IF(U$77+$F103&lt;=24,2,3),FALSE)),$C$3)*(1+IF('IP Attrition'!U160&gt;0,'Attrition Modeling'!$N$9,0)))</f>
        <v>0</v>
      </c>
      <c r="V103" s="799">
        <f>U103*(1-IFERROR(IF(V$77+$F103&lt;=12,SUMIFS('Attrition Modeling'!$D:$D,'Attrition Modeling'!$C:$C,$D103,'Attrition Modeling'!$B:$B,V$76),VLOOKUP($F103+V$77,$A$7:$C$107,2,FALSE)*VLOOKUP(V$76,'Attrition Modeling'!$L$15:$N$27,IF(V$77+$F103&lt;=24,2,3),FALSE)),$C$3)*(1+IF('IP Attrition'!V160&gt;0,'Attrition Modeling'!$N$9,0)))</f>
        <v>0</v>
      </c>
      <c r="W103" s="799">
        <f>V103*(1-IFERROR(IF(W$77+$F103&lt;=12,SUMIFS('Attrition Modeling'!$D:$D,'Attrition Modeling'!$C:$C,$D103,'Attrition Modeling'!$B:$B,W$76),VLOOKUP($F103+W$77,$A$7:$C$107,2,FALSE)*VLOOKUP(W$76,'Attrition Modeling'!$L$15:$N$27,IF(W$77+$F103&lt;=24,2,3),FALSE)),$C$3)*(1+IF('IP Attrition'!W160&gt;0,'Attrition Modeling'!$N$9,0)))</f>
        <v>0</v>
      </c>
      <c r="X103" s="799">
        <f>W103*(1-IFERROR(IF(X$77+$F103&lt;=12,SUMIFS('Attrition Modeling'!$D:$D,'Attrition Modeling'!$C:$C,$D103,'Attrition Modeling'!$B:$B,X$76),VLOOKUP($F103+X$77,$A$7:$C$107,2,FALSE)*VLOOKUP(X$76,'Attrition Modeling'!$L$15:$N$27,IF(X$77+$F103&lt;=24,2,3),FALSE)),$C$3)*(1+IF('IP Attrition'!X160&gt;0,'Attrition Modeling'!$N$9,0)))</f>
        <v>0</v>
      </c>
      <c r="Y103" s="799">
        <f>X103*(1-IFERROR(IF(Y$77+$F103&lt;=12,SUMIFS('Attrition Modeling'!$D:$D,'Attrition Modeling'!$C:$C,$D103,'Attrition Modeling'!$B:$B,Y$76),VLOOKUP($F103+Y$77,$A$7:$C$107,2,FALSE)*VLOOKUP(Y$76,'Attrition Modeling'!$L$15:$N$27,IF(Y$77+$F103&lt;=24,2,3),FALSE)),$C$3)*(1+IF('IP Attrition'!Y160&gt;0,'Attrition Modeling'!$N$9,0)))</f>
        <v>0</v>
      </c>
      <c r="Z103" s="799">
        <f>Y103*(1-IFERROR(IF(Z$77+$F103&lt;=12,SUMIFS('Attrition Modeling'!$D:$D,'Attrition Modeling'!$C:$C,$D103,'Attrition Modeling'!$B:$B,Z$76),VLOOKUP($F103+Z$77,$A$7:$C$107,2,FALSE)*VLOOKUP(Z$76,'Attrition Modeling'!$L$15:$N$27,IF(Z$77+$F103&lt;=24,2,3),FALSE)),$C$3)*(1+IF('IP Attrition'!Z160&gt;0,'Attrition Modeling'!$N$9,0)))</f>
        <v>0</v>
      </c>
      <c r="AA103" s="799">
        <f>Z103*(1-IFERROR(IF(AA$77+$F103&lt;=12,SUMIFS('Attrition Modeling'!$D:$D,'Attrition Modeling'!$C:$C,$D103,'Attrition Modeling'!$B:$B,AA$76),VLOOKUP($F103+AA$77,$A$7:$C$107,2,FALSE)*VLOOKUP(AA$76,'Attrition Modeling'!$L$15:$N$27,IF(AA$77+$F103&lt;=24,2,3),FALSE)),$C$3)*(1+IF('IP Attrition'!AA160&gt;0,'Attrition Modeling'!$N$9,0)))</f>
        <v>0</v>
      </c>
      <c r="AB103" s="799">
        <f>AA103*(1-IFERROR(IF(AB$77+$F103&lt;=12,SUMIFS('Attrition Modeling'!$D:$D,'Attrition Modeling'!$C:$C,$D103,'Attrition Modeling'!$B:$B,AB$76),VLOOKUP($F103+AB$77,$A$7:$C$107,2,FALSE)*VLOOKUP(AB$76,'Attrition Modeling'!$L$15:$N$27,IF(AB$77+$F103&lt;=24,2,3),FALSE)),$C$3)*(1+IF('IP Attrition'!AB160&gt;0,'Attrition Modeling'!$N$9,0)))</f>
        <v>0</v>
      </c>
      <c r="AC103" s="799">
        <f>AB103*(1-IFERROR(IF(AC$77+$F103&lt;=12,SUMIFS('Attrition Modeling'!$D:$D,'Attrition Modeling'!$C:$C,$D103,'Attrition Modeling'!$B:$B,AC$76),VLOOKUP($F103+AC$77,$A$7:$C$107,2,FALSE)*VLOOKUP(AC$76,'Attrition Modeling'!$L$15:$N$27,IF(AC$77+$F103&lt;=24,2,3),FALSE)),$C$3)*(1+IF('IP Attrition'!AC160&gt;0,'Attrition Modeling'!$N$9,0)))</f>
        <v>0</v>
      </c>
      <c r="AD103" s="799">
        <f>AC103*(1-IFERROR(IF(AD$77+$F103&lt;=12,SUMIFS('Attrition Modeling'!$D:$D,'Attrition Modeling'!$C:$C,$D103,'Attrition Modeling'!$B:$B,AD$76),VLOOKUP($F103+AD$77,$A$7:$C$107,2,FALSE)*VLOOKUP(AD$76,'Attrition Modeling'!$L$15:$N$27,IF(AD$77+$F103&lt;=24,2,3),FALSE)),$C$3)*(1+IF('IP Attrition'!AD160&gt;0,'Attrition Modeling'!$N$9,0)))</f>
        <v>0</v>
      </c>
      <c r="AE103" s="799">
        <f>AD103*(1-IFERROR(IF(AE$77+$F103&lt;=12,SUMIFS('Attrition Modeling'!$D:$D,'Attrition Modeling'!$C:$C,$D103,'Attrition Modeling'!$B:$B,AE$76),VLOOKUP($F103+AE$77,$A$7:$C$107,2,FALSE)*VLOOKUP(AE$76,'Attrition Modeling'!$L$15:$N$27,IF(AE$77+$F103&lt;=24,2,3),FALSE)),$C$3)*(1+IF('IP Attrition'!AE160&gt;0,'Attrition Modeling'!$N$9,0)))</f>
        <v>0</v>
      </c>
      <c r="AF103" s="799">
        <f>AE103*(1-IFERROR(IF(AF$77+$F103&lt;=12,SUMIFS('Attrition Modeling'!$D:$D,'Attrition Modeling'!$C:$C,$D103,'Attrition Modeling'!$B:$B,AF$76),VLOOKUP($F103+AF$77,$A$7:$C$107,2,FALSE)*VLOOKUP(AF$76,'Attrition Modeling'!$L$15:$N$27,IF(AF$77+$F103&lt;=24,2,3),FALSE)),$C$3)*(1+IF('IP Attrition'!AF160&gt;0,'Attrition Modeling'!$N$9,0)))</f>
        <v>0</v>
      </c>
      <c r="AG103" s="799">
        <f>AF103*(1-IFERROR(IF(AG$77+$F103&lt;=12,SUMIFS('Attrition Modeling'!$D:$D,'Attrition Modeling'!$C:$C,$D103,'Attrition Modeling'!$B:$B,AG$76),VLOOKUP($F103+AG$77,$A$7:$C$107,2,FALSE)*VLOOKUP(AG$76,'Attrition Modeling'!$L$15:$N$27,IF(AG$77+$F103&lt;=24,2,3),FALSE)),$C$3)*(1+IF('IP Attrition'!AG160&gt;0,'Attrition Modeling'!$N$9,0)))</f>
        <v>0</v>
      </c>
      <c r="AH103" s="799">
        <f>AG103*(1-IFERROR(IF(AH$77+$F103&lt;=12,SUMIFS('Attrition Modeling'!$D:$D,'Attrition Modeling'!$C:$C,$D103,'Attrition Modeling'!$B:$B,AH$76),VLOOKUP($F103+AH$77,$A$7:$C$107,2,FALSE)*VLOOKUP(AH$76,'Attrition Modeling'!$L$15:$N$27,IF(AH$77+$F103&lt;=24,2,3),FALSE)),$C$3)*(1+IF('IP Attrition'!AH160&gt;0,'Attrition Modeling'!$N$9,0)))</f>
        <v>0</v>
      </c>
      <c r="AI103" s="799">
        <f>AH103*(1-IFERROR(IF(AI$77+$F103&lt;=12,SUMIFS('Attrition Modeling'!$D:$D,'Attrition Modeling'!$C:$C,$D103,'Attrition Modeling'!$B:$B,AI$76),VLOOKUP($F103+AI$77,$A$7:$C$107,2,FALSE)*VLOOKUP(AI$76,'Attrition Modeling'!$L$15:$N$27,IF(AI$77+$F103&lt;=24,2,3),FALSE)),$C$3)*(1+IF('IP Attrition'!AI160&gt;0,'Attrition Modeling'!$N$9,0)))</f>
        <v>0</v>
      </c>
      <c r="AJ103" s="799">
        <f>AI103*(1-IFERROR(IF(AJ$77+$F103&lt;=12,SUMIFS('Attrition Modeling'!$D:$D,'Attrition Modeling'!$C:$C,$D103,'Attrition Modeling'!$B:$B,AJ$76),VLOOKUP($F103+AJ$77,$A$7:$C$107,2,FALSE)*VLOOKUP(AJ$76,'Attrition Modeling'!$L$15:$N$27,IF(AJ$77+$F103&lt;=24,2,3),FALSE)),$C$3)*(1+IF('IP Attrition'!AJ160&gt;0,'Attrition Modeling'!$N$9,0)))</f>
        <v>0</v>
      </c>
      <c r="AK103" s="799">
        <f>AJ103*(1-IFERROR(IF(AK$77+$F103&lt;=12,SUMIFS('Attrition Modeling'!$D:$D,'Attrition Modeling'!$C:$C,$D103,'Attrition Modeling'!$B:$B,AK$76),VLOOKUP($F103+AK$77,$A$7:$C$107,2,FALSE)*VLOOKUP(AK$76,'Attrition Modeling'!$L$15:$N$27,IF(AK$77+$F103&lt;=24,2,3),FALSE)),$C$3)*(1+IF('IP Attrition'!AK160&gt;0,'Attrition Modeling'!$N$9,0)))</f>
        <v>0</v>
      </c>
      <c r="AL103" s="799">
        <f>AK103*(1-IFERROR(IF(AL$77+$F103&lt;=12,SUMIFS('Attrition Modeling'!$D:$D,'Attrition Modeling'!$C:$C,$D103,'Attrition Modeling'!$B:$B,AL$76),VLOOKUP($F103+AL$77,$A$7:$C$107,2,FALSE)*VLOOKUP(AL$76,'Attrition Modeling'!$L$15:$N$27,IF(AL$77+$F103&lt;=24,2,3),FALSE)),$C$3)*(1+IF('IP Attrition'!AL160&gt;0,'Attrition Modeling'!$N$9,0)))</f>
        <v>0</v>
      </c>
      <c r="AM103" s="799">
        <f>AL103*(1-IFERROR(IF(AM$77+$F103&lt;=12,SUMIFS('Attrition Modeling'!$D:$D,'Attrition Modeling'!$C:$C,$D103,'Attrition Modeling'!$B:$B,AM$76),VLOOKUP($F103+AM$77,$A$7:$C$107,2,FALSE)*VLOOKUP(AM$76,'Attrition Modeling'!$L$15:$N$27,IF(AM$77+$F103&lt;=24,2,3),FALSE)),$C$3)*(1+IF('IP Attrition'!AM160&gt;0,'Attrition Modeling'!$N$9,0)))</f>
        <v>0</v>
      </c>
      <c r="AN103" s="799">
        <f>AM103*(1-IFERROR(IF(AN$77+$F103&lt;=12,SUMIFS('Attrition Modeling'!$D:$D,'Attrition Modeling'!$C:$C,$D103,'Attrition Modeling'!$B:$B,AN$76),VLOOKUP($F103+AN$77,$A$7:$C$107,2,FALSE)*VLOOKUP(AN$76,'Attrition Modeling'!$L$15:$N$27,IF(AN$77+$F103&lt;=24,2,3),FALSE)),$C$3)*(1+IF('IP Attrition'!AN160&gt;0,'Attrition Modeling'!$N$9,0)))</f>
        <v>0</v>
      </c>
      <c r="AO103" s="799">
        <f>AN103*(1-IFERROR(IF(AO$77+$F103&lt;=12,SUMIFS('Attrition Modeling'!$D:$D,'Attrition Modeling'!$C:$C,$D103,'Attrition Modeling'!$B:$B,AO$76),VLOOKUP($F103+AO$77,$A$7:$C$107,2,FALSE)*VLOOKUP(AO$76,'Attrition Modeling'!$L$15:$N$27,IF(AO$77+$F103&lt;=24,2,3),FALSE)),$C$3)*(1+IF('IP Attrition'!AO160&gt;0,'Attrition Modeling'!$N$9,0)))</f>
        <v>0</v>
      </c>
      <c r="AP103" s="799">
        <f>AO103*(1-IFERROR(IF(AP$77+$F103&lt;=12,SUMIFS('Attrition Modeling'!$D:$D,'Attrition Modeling'!$C:$C,$D103,'Attrition Modeling'!$B:$B,AP$76),VLOOKUP($F103+AP$77,$A$7:$C$107,2,FALSE)*VLOOKUP(AP$76,'Attrition Modeling'!$L$15:$N$27,IF(AP$77+$F103&lt;=24,2,3),FALSE)),$C$3)*(1+IF('IP Attrition'!AP160&gt;0,'Attrition Modeling'!$N$9,0)))</f>
        <v>0</v>
      </c>
      <c r="AQ103" s="799">
        <f>AP103*(1-IFERROR(IF(AQ$77+$F103&lt;=12,SUMIFS('Attrition Modeling'!$D:$D,'Attrition Modeling'!$C:$C,$D103,'Attrition Modeling'!$B:$B,AQ$76),VLOOKUP($F103+AQ$77,$A$7:$C$107,2,FALSE)*VLOOKUP(AQ$76,'Attrition Modeling'!$L$15:$N$27,IF(AQ$77+$F103&lt;=24,2,3),FALSE)),$C$3)*(1+IF('IP Attrition'!AQ160&gt;0,'Attrition Modeling'!$N$9,0)))</f>
        <v>0</v>
      </c>
      <c r="AR103" s="799">
        <f>AQ103*(1-IFERROR(IF(AR$77+$F103&lt;=12,SUMIFS('Attrition Modeling'!$D:$D,'Attrition Modeling'!$C:$C,$D103,'Attrition Modeling'!$B:$B,AR$76),VLOOKUP($F103+AR$77,$A$7:$C$107,2,FALSE)*VLOOKUP(AR$76,'Attrition Modeling'!$L$15:$N$27,IF(AR$77+$F103&lt;=24,2,3),FALSE)),$C$3)*(1+IF('IP Attrition'!AR160&gt;0,'Attrition Modeling'!$N$9,0)))</f>
        <v>0</v>
      </c>
      <c r="AS103" s="799">
        <f>AR103*(1-IFERROR(IF(AS$77+$F103&lt;=12,SUMIFS('Attrition Modeling'!$D:$D,'Attrition Modeling'!$C:$C,$D103,'Attrition Modeling'!$B:$B,AS$76),VLOOKUP($F103+AS$77,$A$7:$C$107,2,FALSE)*VLOOKUP(AS$76,'Attrition Modeling'!$L$15:$N$27,IF(AS$77+$F103&lt;=24,2,3),FALSE)),$C$3)*(1+IF('IP Attrition'!AS160&gt;0,'Attrition Modeling'!$N$9,0)))</f>
        <v>0</v>
      </c>
      <c r="AT103" s="799">
        <f>AS103*(1-IFERROR(IF(AT$77+$F103&lt;=12,SUMIFS('Attrition Modeling'!$D:$D,'Attrition Modeling'!$C:$C,$D103,'Attrition Modeling'!$B:$B,AT$76),VLOOKUP($F103+AT$77,$A$7:$C$107,2,FALSE)*VLOOKUP(AT$76,'Attrition Modeling'!$L$15:$N$27,IF(AT$77+$F103&lt;=24,2,3),FALSE)),$C$3)*(1+IF('IP Attrition'!AT160&gt;0,'Attrition Modeling'!$N$9,0)))</f>
        <v>0</v>
      </c>
      <c r="AU103" s="799">
        <f>AT103*(1-IFERROR(IF(AU$77+$F103&lt;=12,SUMIFS('Attrition Modeling'!$D:$D,'Attrition Modeling'!$C:$C,$D103,'Attrition Modeling'!$B:$B,AU$76),VLOOKUP($F103+AU$77,$A$7:$C$107,2,FALSE)*VLOOKUP(AU$76,'Attrition Modeling'!$L$15:$N$27,IF(AU$77+$F103&lt;=24,2,3),FALSE)),$C$3)*(1+IF('IP Attrition'!AU160&gt;0,'Attrition Modeling'!$N$9,0)))</f>
        <v>0</v>
      </c>
      <c r="AV103" s="799">
        <f>AU103*(1-IFERROR(IF(AV$77+$F103&lt;=12,SUMIFS('Attrition Modeling'!$D:$D,'Attrition Modeling'!$C:$C,$D103,'Attrition Modeling'!$B:$B,AV$76),VLOOKUP($F103+AV$77,$A$7:$C$107,2,FALSE)*VLOOKUP(AV$76,'Attrition Modeling'!$L$15:$N$27,IF(AV$77+$F103&lt;=24,2,3),FALSE)),$C$3)*(1+IF('IP Attrition'!AV160&gt;0,'Attrition Modeling'!$N$9,0)))</f>
        <v>0</v>
      </c>
      <c r="AW103" s="799">
        <f>AV103*(1-IFERROR(IF(AW$77+$F103&lt;=12,SUMIFS('Attrition Modeling'!$D:$D,'Attrition Modeling'!$C:$C,$D103,'Attrition Modeling'!$B:$B,AW$76),VLOOKUP($F103+AW$77,$A$7:$C$107,2,FALSE)*VLOOKUP(AW$76,'Attrition Modeling'!$L$15:$N$27,IF(AW$77+$F103&lt;=24,2,3),FALSE)),$C$3)*(1+IF('IP Attrition'!AW160&gt;0,'Attrition Modeling'!$N$9,0)))</f>
        <v>0</v>
      </c>
      <c r="AX103" s="799">
        <f>AW103*(1-IFERROR(IF(AX$77+$F103&lt;=12,SUMIFS('Attrition Modeling'!$D:$D,'Attrition Modeling'!$C:$C,$D103,'Attrition Modeling'!$B:$B,AX$76),VLOOKUP($F103+AX$77,$A$7:$C$107,2,FALSE)*VLOOKUP(AX$76,'Attrition Modeling'!$L$15:$N$27,IF(AX$77+$F103&lt;=24,2,3),FALSE)),$C$3)*(1+IF('IP Attrition'!AX160&gt;0,'Attrition Modeling'!$N$9,0)))</f>
        <v>0</v>
      </c>
      <c r="AY103" s="799">
        <f>AX103*(1-IFERROR(IF(AY$77+$F103&lt;=12,SUMIFS('Attrition Modeling'!$D:$D,'Attrition Modeling'!$C:$C,$D103,'Attrition Modeling'!$B:$B,AY$76),VLOOKUP($F103+AY$77,$A$7:$C$107,2,FALSE)*VLOOKUP(AY$76,'Attrition Modeling'!$L$15:$N$27,IF(AY$77+$F103&lt;=24,2,3),FALSE)),$C$3)*(1+IF('IP Attrition'!AY160&gt;0,'Attrition Modeling'!$N$9,0)))</f>
        <v>0</v>
      </c>
      <c r="AZ103" s="799">
        <f>AY103*(1-IFERROR(IF(AZ$77+$F103&lt;=12,SUMIFS('Attrition Modeling'!$D:$D,'Attrition Modeling'!$C:$C,$D103,'Attrition Modeling'!$B:$B,AZ$76),VLOOKUP($F103+AZ$77,$A$7:$C$107,2,FALSE)*VLOOKUP(AZ$76,'Attrition Modeling'!$L$15:$N$27,IF(AZ$77+$F103&lt;=24,2,3),FALSE)),$C$3)*(1+IF('IP Attrition'!AZ160&gt;0,'Attrition Modeling'!$N$9,0)))</f>
        <v>0</v>
      </c>
      <c r="BA103" s="799">
        <f>AZ103*(1-IFERROR(IF(BA$77+$F103&lt;=12,SUMIFS('Attrition Modeling'!$D:$D,'Attrition Modeling'!$C:$C,$D103,'Attrition Modeling'!$B:$B,BA$76),VLOOKUP($F103+BA$77,$A$7:$C$107,2,FALSE)*VLOOKUP(BA$76,'Attrition Modeling'!$L$15:$N$27,IF(BA$77+$F103&lt;=24,2,3),FALSE)),$C$3)*(1+IF('IP Attrition'!BA160&gt;0,'Attrition Modeling'!$N$9,0)))</f>
        <v>0</v>
      </c>
      <c r="BB103" s="799">
        <f>BA103*(1-IFERROR(IF(BB$77+$F103&lt;=12,SUMIFS('Attrition Modeling'!$D:$D,'Attrition Modeling'!$C:$C,$D103,'Attrition Modeling'!$B:$B,BB$76),VLOOKUP($F103+BB$77,$A$7:$C$107,2,FALSE)*VLOOKUP(BB$76,'Attrition Modeling'!$L$15:$N$27,IF(BB$77+$F103&lt;=24,2,3),FALSE)),$C$3)*(1+IF('IP Attrition'!BB160&gt;0,'Attrition Modeling'!$N$9,0)))</f>
        <v>0</v>
      </c>
      <c r="BC103" s="799">
        <f>BB103*(1-IFERROR(IF(BC$77+$F103&lt;=12,SUMIFS('Attrition Modeling'!$D:$D,'Attrition Modeling'!$C:$C,$D103,'Attrition Modeling'!$B:$B,BC$76),VLOOKUP($F103+BC$77,$A$7:$C$107,2,FALSE)*VLOOKUP(BC$76,'Attrition Modeling'!$L$15:$N$27,IF(BC$77+$F103&lt;=24,2,3),FALSE)),$C$3)*(1+IF('IP Attrition'!BC160&gt;0,'Attrition Modeling'!$N$9,0)))</f>
        <v>0</v>
      </c>
      <c r="BD103" s="799">
        <f>BC103*(1-IFERROR(IF(BD$77+$F103&lt;=12,SUMIFS('Attrition Modeling'!$D:$D,'Attrition Modeling'!$C:$C,$D103,'Attrition Modeling'!$B:$B,BD$76),VLOOKUP($F103+BD$77,$A$7:$C$107,2,FALSE)*VLOOKUP(BD$76,'Attrition Modeling'!$L$15:$N$27,IF(BD$77+$F103&lt;=24,2,3),FALSE)),$C$3)*(1+IF('IP Attrition'!BD160&gt;0,'Attrition Modeling'!$N$9,0)))</f>
        <v>0</v>
      </c>
      <c r="BE103" s="799">
        <f>BD103*(1-IFERROR(IF(BE$77+$F103&lt;=12,SUMIFS('Attrition Modeling'!$D:$D,'Attrition Modeling'!$C:$C,$D103,'Attrition Modeling'!$B:$B,BE$76),VLOOKUP($F103+BE$77,$A$7:$C$107,2,FALSE)*VLOOKUP(BE$76,'Attrition Modeling'!$L$15:$N$27,IF(BE$77+$F103&lt;=24,2,3),FALSE)),$C$3)*(1+IF('IP Attrition'!BE160&gt;0,'Attrition Modeling'!$N$9,0)))</f>
        <v>0</v>
      </c>
      <c r="BF103" s="799">
        <f>BE103*(1-IFERROR(IF(BF$77+$F103&lt;=12,SUMIFS('Attrition Modeling'!$D:$D,'Attrition Modeling'!$C:$C,$D103,'Attrition Modeling'!$B:$B,BF$76),VLOOKUP($F103+BF$77,$A$7:$C$107,2,FALSE)*VLOOKUP(BF$76,'Attrition Modeling'!$L$15:$N$27,IF(BF$77+$F103&lt;=24,2,3),FALSE)),$C$3)*(1+IF('IP Attrition'!BF160&gt;0,'Attrition Modeling'!$N$9,0)))</f>
        <v>0</v>
      </c>
      <c r="BG103" s="799">
        <f>BF103*(1-IFERROR(IF(BG$77+$F103&lt;=12,SUMIFS('Attrition Modeling'!$D:$D,'Attrition Modeling'!$C:$C,$D103,'Attrition Modeling'!$B:$B,BG$76),VLOOKUP($F103+BG$77,$A$7:$C$107,2,FALSE)*VLOOKUP(BG$76,'Attrition Modeling'!$L$15:$N$27,IF(BG$77+$F103&lt;=24,2,3),FALSE)),$C$3)*(1+IF('IP Attrition'!BG160&gt;0,'Attrition Modeling'!$N$9,0)))</f>
        <v>0</v>
      </c>
      <c r="BH103" s="799">
        <f>BG103*(1-IFERROR(IF(BH$77+$F103&lt;=12,SUMIFS('Attrition Modeling'!$D:$D,'Attrition Modeling'!$C:$C,$D103,'Attrition Modeling'!$B:$B,BH$76),VLOOKUP($F103+BH$77,$A$7:$C$107,2,FALSE)*VLOOKUP(BH$76,'Attrition Modeling'!$L$15:$N$27,IF(BH$77+$F103&lt;=24,2,3),FALSE)),$C$3)*(1+IF('IP Attrition'!BH160&gt;0,'Attrition Modeling'!$N$9,0)))</f>
        <v>0</v>
      </c>
      <c r="BI103" s="799">
        <f>BH103*(1-IFERROR(IF(BI$77+$F103&lt;=12,SUMIFS('Attrition Modeling'!$D:$D,'Attrition Modeling'!$C:$C,$D103,'Attrition Modeling'!$B:$B,BI$76),VLOOKUP($F103+BI$77,$A$7:$C$107,2,FALSE)*VLOOKUP(BI$76,'Attrition Modeling'!$L$15:$N$27,IF(BI$77+$F103&lt;=24,2,3),FALSE)),$C$3)*(1+IF('IP Attrition'!BI160&gt;0,'Attrition Modeling'!$N$9,0)))</f>
        <v>0</v>
      </c>
      <c r="BJ103" s="799">
        <f>BI103*(1-IFERROR(IF(BJ$77+$F103&lt;=12,SUMIFS('Attrition Modeling'!$D:$D,'Attrition Modeling'!$C:$C,$D103,'Attrition Modeling'!$B:$B,BJ$76),VLOOKUP($F103+BJ$77,$A$7:$C$107,2,FALSE)*VLOOKUP(BJ$76,'Attrition Modeling'!$L$15:$N$27,IF(BJ$77+$F103&lt;=24,2,3),FALSE)),$C$3)*(1+IF('IP Attrition'!BJ160&gt;0,'Attrition Modeling'!$N$9,0)))</f>
        <v>0</v>
      </c>
      <c r="BK103" s="799">
        <f>BJ103*(1-IFERROR(IF(BK$77+$F103&lt;=12,SUMIFS('Attrition Modeling'!$D:$D,'Attrition Modeling'!$C:$C,$D103,'Attrition Modeling'!$B:$B,BK$76),VLOOKUP($F103+BK$77,$A$7:$C$107,2,FALSE)*VLOOKUP(BK$76,'Attrition Modeling'!$L$15:$N$27,IF(BK$77+$F103&lt;=24,2,3),FALSE)),$C$3)*(1+IF('IP Attrition'!BK160&gt;0,'Attrition Modeling'!$N$9,0)))</f>
        <v>0</v>
      </c>
      <c r="BL103" s="799">
        <f>BK103*(1-IFERROR(IF(BL$77+$F103&lt;=12,SUMIFS('Attrition Modeling'!$D:$D,'Attrition Modeling'!$C:$C,$D103,'Attrition Modeling'!$B:$B,BL$76),VLOOKUP($F103+BL$77,$A$7:$C$107,2,FALSE)*VLOOKUP(BL$76,'Attrition Modeling'!$L$15:$N$27,IF(BL$77+$F103&lt;=24,2,3),FALSE)),$C$3)*(1+IF('IP Attrition'!BL160&gt;0,'Attrition Modeling'!$N$9,0)))</f>
        <v>0</v>
      </c>
      <c r="BM103" s="799">
        <f>BL103*(1-IFERROR(IF(BM$77+$F103&lt;=12,SUMIFS('Attrition Modeling'!$D:$D,'Attrition Modeling'!$C:$C,$D103,'Attrition Modeling'!$B:$B,BM$76),VLOOKUP($F103+BM$77,$A$7:$C$107,2,FALSE)*VLOOKUP(BM$76,'Attrition Modeling'!$L$15:$N$27,IF(BM$77+$F103&lt;=24,2,3),FALSE)),$C$3)*(1+IF('IP Attrition'!BM160&gt;0,'Attrition Modeling'!$N$9,0)))</f>
        <v>0</v>
      </c>
      <c r="BN103" s="799">
        <f>BM103*(1-IFERROR(IF(BN$77+$F103&lt;=12,SUMIFS('Attrition Modeling'!$D:$D,'Attrition Modeling'!$C:$C,$D103,'Attrition Modeling'!$B:$B,BN$76),VLOOKUP($F103+BN$77,$A$7:$C$107,2,FALSE)*VLOOKUP(BN$76,'Attrition Modeling'!$L$15:$N$27,IF(BN$77+$F103&lt;=24,2,3),FALSE)),$C$3)*(1+IF('IP Attrition'!BN160&gt;0,'Attrition Modeling'!$N$9,0)))</f>
        <v>0</v>
      </c>
      <c r="BO103" s="799">
        <f>BN103*(1-IFERROR(IF(BO$77+$F103&lt;=12,SUMIFS('Attrition Modeling'!$D:$D,'Attrition Modeling'!$C:$C,$D103,'Attrition Modeling'!$B:$B,BO$76),VLOOKUP($F103+BO$77,$A$7:$C$107,2,FALSE)*VLOOKUP(BO$76,'Attrition Modeling'!$L$15:$N$27,IF(BO$77+$F103&lt;=24,2,3),FALSE)),$C$3)*(1+IF('IP Attrition'!BO160&gt;0,'Attrition Modeling'!$N$9,0)))</f>
        <v>0</v>
      </c>
      <c r="BP103" s="799">
        <f>BO103*(1-IFERROR(IF(BP$77+$F103&lt;=12,SUMIFS('Attrition Modeling'!$D:$D,'Attrition Modeling'!$C:$C,$D103,'Attrition Modeling'!$B:$B,BP$76),VLOOKUP($F103+BP$77,$A$7:$C$107,2,FALSE)*VLOOKUP(BP$76,'Attrition Modeling'!$L$15:$N$27,IF(BP$77+$F103&lt;=24,2,3),FALSE)),$C$3)*(1+IF('IP Attrition'!BP160&gt;0,'Attrition Modeling'!$N$9,0)))</f>
        <v>0</v>
      </c>
      <c r="BQ103" s="799">
        <f>BP103*(1-IFERROR(IF(BQ$77+$F103&lt;=12,SUMIFS('Attrition Modeling'!$D:$D,'Attrition Modeling'!$C:$C,$D103,'Attrition Modeling'!$B:$B,BQ$76),VLOOKUP($F103+BQ$77,$A$7:$C$107,2,FALSE)*VLOOKUP(BQ$76,'Attrition Modeling'!$L$15:$N$27,IF(BQ$77+$F103&lt;=24,2,3),FALSE)),$C$3)*(1+IF('IP Attrition'!BQ160&gt;0,'Attrition Modeling'!$N$9,0)))</f>
        <v>0</v>
      </c>
      <c r="BR103" s="799">
        <f>BQ103*(1-IFERROR(IF(BR$77+$F103&lt;=12,SUMIFS('Attrition Modeling'!$D:$D,'Attrition Modeling'!$C:$C,$D103,'Attrition Modeling'!$B:$B,BR$76),VLOOKUP($F103+BR$77,$A$7:$C$107,2,FALSE)*VLOOKUP(BR$76,'Attrition Modeling'!$L$15:$N$27,IF(BR$77+$F103&lt;=24,2,3),FALSE)),$C$3)*(1+IF('IP Attrition'!BR160&gt;0,'Attrition Modeling'!$N$9,0)))</f>
        <v>0</v>
      </c>
      <c r="BS103" s="799">
        <f>BR103*(1-IFERROR(IF(BS$77+$F103&lt;=12,SUMIFS('Attrition Modeling'!$D:$D,'Attrition Modeling'!$C:$C,$D103,'Attrition Modeling'!$B:$B,BS$76),VLOOKUP($F103+BS$77,$A$7:$C$107,2,FALSE)*VLOOKUP(BS$76,'Attrition Modeling'!$L$15:$N$27,IF(BS$77+$F103&lt;=24,2,3),FALSE)),$C$3)*(1+IF('IP Attrition'!BS160&gt;0,'Attrition Modeling'!$N$9,0)))</f>
        <v>0</v>
      </c>
      <c r="BT103" s="799" t="e">
        <f>BS103*(1-IFERROR(IF(BT$77+$F103&lt;=12,SUMIFS('Attrition Modeling'!$D:$D,'Attrition Modeling'!$C:$C,$D103,'Attrition Modeling'!$B:$B,BT$76),VLOOKUP($F103+BT$77,$A$7:$C$107,2,FALSE)*VLOOKUP(BT$76,'Attrition Modeling'!$L$15:$N$27,IF(BT$77+$F103&lt;=24,2,3),FALSE)),$C$3)*(1+IF('IP Attrition'!BT160&gt;0,'Attrition Modeling'!$N$9,0)))</f>
        <v>#REF!</v>
      </c>
      <c r="BU103" s="799" t="e">
        <f>BT103*(1-IFERROR(IF(BU$77+$F103&lt;=12,SUMIFS('Attrition Modeling'!$D:$D,'Attrition Modeling'!$C:$C,$D103,'Attrition Modeling'!$B:$B,BU$76),VLOOKUP($F103+BU$77,$A$7:$C$107,2,FALSE)*VLOOKUP(BU$76,'Attrition Modeling'!$L$15:$N$27,IF(BU$77+$F103&lt;=24,2,3),FALSE)),$C$3)*(1+IF('IP Attrition'!BU160&gt;0,'Attrition Modeling'!$N$9,0)))</f>
        <v>#REF!</v>
      </c>
    </row>
    <row r="104" spans="1:73" ht="14.25" customHeight="1" x14ac:dyDescent="0.2">
      <c r="A104" s="9">
        <v>96</v>
      </c>
      <c r="B104" s="25">
        <f>MAX('Attrition Modeling'!H100,$C$3)*(1-Summary!$C$20)</f>
        <v>0.02</v>
      </c>
      <c r="C104" s="24" t="e">
        <f t="shared" si="2"/>
        <v>#DIV/0!</v>
      </c>
      <c r="D104" s="11">
        <f>'IP Attrition'!D96</f>
        <v>-26</v>
      </c>
      <c r="E104" s="25">
        <f>'IP Attrition'!E96</f>
        <v>0</v>
      </c>
      <c r="F104" s="11">
        <f t="shared" si="8"/>
        <v>26</v>
      </c>
      <c r="G104" s="799">
        <f>Summary!$C$24*$E104</f>
        <v>0</v>
      </c>
      <c r="H104" s="799">
        <f>G104*(1-IFERROR(IF(H$77+$F104&lt;=12,SUMIFS('Attrition Modeling'!$D:$D,'Attrition Modeling'!$C:$C,$D104,'Attrition Modeling'!$B:$B,H$76),VLOOKUP($F104+H$77,$A$7:$C$107,2,FALSE)*VLOOKUP(H$76,'Attrition Modeling'!$L$15:$N$27,IF(H$77+$F104&lt;=24,2,3),FALSE)),$C$3)*(1+IF('IP Attrition'!H161&gt;0,'Attrition Modeling'!$N$9,0)))</f>
        <v>0</v>
      </c>
      <c r="I104" s="799">
        <f>H104*(1-IFERROR(IF(I$77+$F104&lt;=12,SUMIFS('Attrition Modeling'!$D:$D,'Attrition Modeling'!$C:$C,$D104,'Attrition Modeling'!$B:$B,I$76),VLOOKUP($F104+I$77,$A$7:$C$107,2,FALSE)*VLOOKUP(I$76,'Attrition Modeling'!$L$15:$N$27,IF(I$77+$F104&lt;=24,2,3),FALSE)),$C$3)*(1+IF('IP Attrition'!I161&gt;0,'Attrition Modeling'!$N$9,0)))</f>
        <v>0</v>
      </c>
      <c r="J104" s="799">
        <f>I104*(1-IFERROR(IF(J$77+$F104&lt;=12,SUMIFS('Attrition Modeling'!$D:$D,'Attrition Modeling'!$C:$C,$D104,'Attrition Modeling'!$B:$B,J$76),VLOOKUP($F104+J$77,$A$7:$C$107,2,FALSE)*VLOOKUP(J$76,'Attrition Modeling'!$L$15:$N$27,IF(J$77+$F104&lt;=24,2,3),FALSE)),$C$3)*(1+IF('IP Attrition'!J161&gt;0,'Attrition Modeling'!$N$9,0)))</f>
        <v>0</v>
      </c>
      <c r="K104" s="799">
        <f>J104*(1-IFERROR(IF(K$77+$F104&lt;=12,SUMIFS('Attrition Modeling'!$D:$D,'Attrition Modeling'!$C:$C,$D104,'Attrition Modeling'!$B:$B,K$76),VLOOKUP($F104+K$77,$A$7:$C$107,2,FALSE)*VLOOKUP(K$76,'Attrition Modeling'!$L$15:$N$27,IF(K$77+$F104&lt;=24,2,3),FALSE)),$C$3)*(1+IF('IP Attrition'!K161&gt;0,'Attrition Modeling'!$N$9,0)))</f>
        <v>0</v>
      </c>
      <c r="L104" s="799">
        <f>K104*(1-IFERROR(IF(L$77+$F104&lt;=12,SUMIFS('Attrition Modeling'!$D:$D,'Attrition Modeling'!$C:$C,$D104,'Attrition Modeling'!$B:$B,L$76),VLOOKUP($F104+L$77,$A$7:$C$107,2,FALSE)*VLOOKUP(L$76,'Attrition Modeling'!$L$15:$N$27,IF(L$77+$F104&lt;=24,2,3),FALSE)),$C$3)*(1+IF('IP Attrition'!L161&gt;0,'Attrition Modeling'!$N$9,0)))</f>
        <v>0</v>
      </c>
      <c r="M104" s="799">
        <f>L104*(1-IFERROR(IF(M$77+$F104&lt;=12,SUMIFS('Attrition Modeling'!$D:$D,'Attrition Modeling'!$C:$C,$D104,'Attrition Modeling'!$B:$B,M$76),VLOOKUP($F104+M$77,$A$7:$C$107,2,FALSE)*VLOOKUP(M$76,'Attrition Modeling'!$L$15:$N$27,IF(M$77+$F104&lt;=24,2,3),FALSE)),$C$3)*(1+IF('IP Attrition'!M161&gt;0,'Attrition Modeling'!$N$9,0)))</f>
        <v>0</v>
      </c>
      <c r="N104" s="799">
        <f>M104*(1-IFERROR(IF(N$77+$F104&lt;=12,SUMIFS('Attrition Modeling'!$D:$D,'Attrition Modeling'!$C:$C,$D104,'Attrition Modeling'!$B:$B,N$76),VLOOKUP($F104+N$77,$A$7:$C$107,2,FALSE)*VLOOKUP(N$76,'Attrition Modeling'!$L$15:$N$27,IF(N$77+$F104&lt;=24,2,3),FALSE)),$C$3)*(1+IF('IP Attrition'!N161&gt;0,'Attrition Modeling'!$N$9,0)))</f>
        <v>0</v>
      </c>
      <c r="O104" s="799">
        <f>N104*(1-IFERROR(IF(O$77+$F104&lt;=12,SUMIFS('Attrition Modeling'!$D:$D,'Attrition Modeling'!$C:$C,$D104,'Attrition Modeling'!$B:$B,O$76),VLOOKUP($F104+O$77,$A$7:$C$107,2,FALSE)*VLOOKUP(O$76,'Attrition Modeling'!$L$15:$N$27,IF(O$77+$F104&lt;=24,2,3),FALSE)),$C$3)*(1+IF('IP Attrition'!O161&gt;0,'Attrition Modeling'!$N$9,0)))</f>
        <v>0</v>
      </c>
      <c r="P104" s="799">
        <f>O104*(1-IFERROR(IF(P$77+$F104&lt;=12,SUMIFS('Attrition Modeling'!$D:$D,'Attrition Modeling'!$C:$C,$D104,'Attrition Modeling'!$B:$B,P$76),VLOOKUP($F104+P$77,$A$7:$C$107,2,FALSE)*VLOOKUP(P$76,'Attrition Modeling'!$L$15:$N$27,IF(P$77+$F104&lt;=24,2,3),FALSE)),$C$3)*(1+IF('IP Attrition'!P161&gt;0,'Attrition Modeling'!$N$9,0)))</f>
        <v>0</v>
      </c>
      <c r="Q104" s="799">
        <f>P104*(1-IFERROR(IF(Q$77+$F104&lt;=12,SUMIFS('Attrition Modeling'!$D:$D,'Attrition Modeling'!$C:$C,$D104,'Attrition Modeling'!$B:$B,Q$76),VLOOKUP($F104+Q$77,$A$7:$C$107,2,FALSE)*VLOOKUP(Q$76,'Attrition Modeling'!$L$15:$N$27,IF(Q$77+$F104&lt;=24,2,3),FALSE)),$C$3)*(1+IF('IP Attrition'!Q161&gt;0,'Attrition Modeling'!$N$9,0)))</f>
        <v>0</v>
      </c>
      <c r="R104" s="799">
        <f>Q104*(1-IFERROR(IF(R$77+$F104&lt;=12,SUMIFS('Attrition Modeling'!$D:$D,'Attrition Modeling'!$C:$C,$D104,'Attrition Modeling'!$B:$B,R$76),VLOOKUP($F104+R$77,$A$7:$C$107,2,FALSE)*VLOOKUP(R$76,'Attrition Modeling'!$L$15:$N$27,IF(R$77+$F104&lt;=24,2,3),FALSE)),$C$3)*(1+IF('IP Attrition'!R161&gt;0,'Attrition Modeling'!$N$9,0)))</f>
        <v>0</v>
      </c>
      <c r="S104" s="799">
        <f>R104*(1-IFERROR(IF(S$77+$F104&lt;=12,SUMIFS('Attrition Modeling'!$D:$D,'Attrition Modeling'!$C:$C,$D104,'Attrition Modeling'!$B:$B,S$76),VLOOKUP($F104+S$77,$A$7:$C$107,2,FALSE)*VLOOKUP(S$76,'Attrition Modeling'!$L$15:$N$27,IF(S$77+$F104&lt;=24,2,3),FALSE)),$C$3)*(1+IF('IP Attrition'!S161&gt;0,'Attrition Modeling'!$N$9,0)))</f>
        <v>0</v>
      </c>
      <c r="T104" s="799">
        <f>S104*(1-IFERROR(IF(T$77+$F104&lt;=12,SUMIFS('Attrition Modeling'!$D:$D,'Attrition Modeling'!$C:$C,$D104,'Attrition Modeling'!$B:$B,T$76),VLOOKUP($F104+T$77,$A$7:$C$107,2,FALSE)*VLOOKUP(T$76,'Attrition Modeling'!$L$15:$N$27,IF(T$77+$F104&lt;=24,2,3),FALSE)),$C$3)*(1+IF('IP Attrition'!T161&gt;0,'Attrition Modeling'!$N$9,0)))</f>
        <v>0</v>
      </c>
      <c r="U104" s="799">
        <f>T104*(1-IFERROR(IF(U$77+$F104&lt;=12,SUMIFS('Attrition Modeling'!$D:$D,'Attrition Modeling'!$C:$C,$D104,'Attrition Modeling'!$B:$B,U$76),VLOOKUP($F104+U$77,$A$7:$C$107,2,FALSE)*VLOOKUP(U$76,'Attrition Modeling'!$L$15:$N$27,IF(U$77+$F104&lt;=24,2,3),FALSE)),$C$3)*(1+IF('IP Attrition'!U161&gt;0,'Attrition Modeling'!$N$9,0)))</f>
        <v>0</v>
      </c>
      <c r="V104" s="799">
        <f>U104*(1-IFERROR(IF(V$77+$F104&lt;=12,SUMIFS('Attrition Modeling'!$D:$D,'Attrition Modeling'!$C:$C,$D104,'Attrition Modeling'!$B:$B,V$76),VLOOKUP($F104+V$77,$A$7:$C$107,2,FALSE)*VLOOKUP(V$76,'Attrition Modeling'!$L$15:$N$27,IF(V$77+$F104&lt;=24,2,3),FALSE)),$C$3)*(1+IF('IP Attrition'!V161&gt;0,'Attrition Modeling'!$N$9,0)))</f>
        <v>0</v>
      </c>
      <c r="W104" s="799">
        <f>V104*(1-IFERROR(IF(W$77+$F104&lt;=12,SUMIFS('Attrition Modeling'!$D:$D,'Attrition Modeling'!$C:$C,$D104,'Attrition Modeling'!$B:$B,W$76),VLOOKUP($F104+W$77,$A$7:$C$107,2,FALSE)*VLOOKUP(W$76,'Attrition Modeling'!$L$15:$N$27,IF(W$77+$F104&lt;=24,2,3),FALSE)),$C$3)*(1+IF('IP Attrition'!W161&gt;0,'Attrition Modeling'!$N$9,0)))</f>
        <v>0</v>
      </c>
      <c r="X104" s="799">
        <f>W104*(1-IFERROR(IF(X$77+$F104&lt;=12,SUMIFS('Attrition Modeling'!$D:$D,'Attrition Modeling'!$C:$C,$D104,'Attrition Modeling'!$B:$B,X$76),VLOOKUP($F104+X$77,$A$7:$C$107,2,FALSE)*VLOOKUP(X$76,'Attrition Modeling'!$L$15:$N$27,IF(X$77+$F104&lt;=24,2,3),FALSE)),$C$3)*(1+IF('IP Attrition'!X161&gt;0,'Attrition Modeling'!$N$9,0)))</f>
        <v>0</v>
      </c>
      <c r="Y104" s="799">
        <f>X104*(1-IFERROR(IF(Y$77+$F104&lt;=12,SUMIFS('Attrition Modeling'!$D:$D,'Attrition Modeling'!$C:$C,$D104,'Attrition Modeling'!$B:$B,Y$76),VLOOKUP($F104+Y$77,$A$7:$C$107,2,FALSE)*VLOOKUP(Y$76,'Attrition Modeling'!$L$15:$N$27,IF(Y$77+$F104&lt;=24,2,3),FALSE)),$C$3)*(1+IF('IP Attrition'!Y161&gt;0,'Attrition Modeling'!$N$9,0)))</f>
        <v>0</v>
      </c>
      <c r="Z104" s="799">
        <f>Y104*(1-IFERROR(IF(Z$77+$F104&lt;=12,SUMIFS('Attrition Modeling'!$D:$D,'Attrition Modeling'!$C:$C,$D104,'Attrition Modeling'!$B:$B,Z$76),VLOOKUP($F104+Z$77,$A$7:$C$107,2,FALSE)*VLOOKUP(Z$76,'Attrition Modeling'!$L$15:$N$27,IF(Z$77+$F104&lt;=24,2,3),FALSE)),$C$3)*(1+IF('IP Attrition'!Z161&gt;0,'Attrition Modeling'!$N$9,0)))</f>
        <v>0</v>
      </c>
      <c r="AA104" s="799">
        <f>Z104*(1-IFERROR(IF(AA$77+$F104&lt;=12,SUMIFS('Attrition Modeling'!$D:$D,'Attrition Modeling'!$C:$C,$D104,'Attrition Modeling'!$B:$B,AA$76),VLOOKUP($F104+AA$77,$A$7:$C$107,2,FALSE)*VLOOKUP(AA$76,'Attrition Modeling'!$L$15:$N$27,IF(AA$77+$F104&lt;=24,2,3),FALSE)),$C$3)*(1+IF('IP Attrition'!AA161&gt;0,'Attrition Modeling'!$N$9,0)))</f>
        <v>0</v>
      </c>
      <c r="AB104" s="799">
        <f>AA104*(1-IFERROR(IF(AB$77+$F104&lt;=12,SUMIFS('Attrition Modeling'!$D:$D,'Attrition Modeling'!$C:$C,$D104,'Attrition Modeling'!$B:$B,AB$76),VLOOKUP($F104+AB$77,$A$7:$C$107,2,FALSE)*VLOOKUP(AB$76,'Attrition Modeling'!$L$15:$N$27,IF(AB$77+$F104&lt;=24,2,3),FALSE)),$C$3)*(1+IF('IP Attrition'!AB161&gt;0,'Attrition Modeling'!$N$9,0)))</f>
        <v>0</v>
      </c>
      <c r="AC104" s="799">
        <f>AB104*(1-IFERROR(IF(AC$77+$F104&lt;=12,SUMIFS('Attrition Modeling'!$D:$D,'Attrition Modeling'!$C:$C,$D104,'Attrition Modeling'!$B:$B,AC$76),VLOOKUP($F104+AC$77,$A$7:$C$107,2,FALSE)*VLOOKUP(AC$76,'Attrition Modeling'!$L$15:$N$27,IF(AC$77+$F104&lt;=24,2,3),FALSE)),$C$3)*(1+IF('IP Attrition'!AC161&gt;0,'Attrition Modeling'!$N$9,0)))</f>
        <v>0</v>
      </c>
      <c r="AD104" s="799">
        <f>AC104*(1-IFERROR(IF(AD$77+$F104&lt;=12,SUMIFS('Attrition Modeling'!$D:$D,'Attrition Modeling'!$C:$C,$D104,'Attrition Modeling'!$B:$B,AD$76),VLOOKUP($F104+AD$77,$A$7:$C$107,2,FALSE)*VLOOKUP(AD$76,'Attrition Modeling'!$L$15:$N$27,IF(AD$77+$F104&lt;=24,2,3),FALSE)),$C$3)*(1+IF('IP Attrition'!AD161&gt;0,'Attrition Modeling'!$N$9,0)))</f>
        <v>0</v>
      </c>
      <c r="AE104" s="799">
        <f>AD104*(1-IFERROR(IF(AE$77+$F104&lt;=12,SUMIFS('Attrition Modeling'!$D:$D,'Attrition Modeling'!$C:$C,$D104,'Attrition Modeling'!$B:$B,AE$76),VLOOKUP($F104+AE$77,$A$7:$C$107,2,FALSE)*VLOOKUP(AE$76,'Attrition Modeling'!$L$15:$N$27,IF(AE$77+$F104&lt;=24,2,3),FALSE)),$C$3)*(1+IF('IP Attrition'!AE161&gt;0,'Attrition Modeling'!$N$9,0)))</f>
        <v>0</v>
      </c>
      <c r="AF104" s="799">
        <f>AE104*(1-IFERROR(IF(AF$77+$F104&lt;=12,SUMIFS('Attrition Modeling'!$D:$D,'Attrition Modeling'!$C:$C,$D104,'Attrition Modeling'!$B:$B,AF$76),VLOOKUP($F104+AF$77,$A$7:$C$107,2,FALSE)*VLOOKUP(AF$76,'Attrition Modeling'!$L$15:$N$27,IF(AF$77+$F104&lt;=24,2,3),FALSE)),$C$3)*(1+IF('IP Attrition'!AF161&gt;0,'Attrition Modeling'!$N$9,0)))</f>
        <v>0</v>
      </c>
      <c r="AG104" s="799">
        <f>AF104*(1-IFERROR(IF(AG$77+$F104&lt;=12,SUMIFS('Attrition Modeling'!$D:$D,'Attrition Modeling'!$C:$C,$D104,'Attrition Modeling'!$B:$B,AG$76),VLOOKUP($F104+AG$77,$A$7:$C$107,2,FALSE)*VLOOKUP(AG$76,'Attrition Modeling'!$L$15:$N$27,IF(AG$77+$F104&lt;=24,2,3),FALSE)),$C$3)*(1+IF('IP Attrition'!AG161&gt;0,'Attrition Modeling'!$N$9,0)))</f>
        <v>0</v>
      </c>
      <c r="AH104" s="799">
        <f>AG104*(1-IFERROR(IF(AH$77+$F104&lt;=12,SUMIFS('Attrition Modeling'!$D:$D,'Attrition Modeling'!$C:$C,$D104,'Attrition Modeling'!$B:$B,AH$76),VLOOKUP($F104+AH$77,$A$7:$C$107,2,FALSE)*VLOOKUP(AH$76,'Attrition Modeling'!$L$15:$N$27,IF(AH$77+$F104&lt;=24,2,3),FALSE)),$C$3)*(1+IF('IP Attrition'!AH161&gt;0,'Attrition Modeling'!$N$9,0)))</f>
        <v>0</v>
      </c>
      <c r="AI104" s="799">
        <f>AH104*(1-IFERROR(IF(AI$77+$F104&lt;=12,SUMIFS('Attrition Modeling'!$D:$D,'Attrition Modeling'!$C:$C,$D104,'Attrition Modeling'!$B:$B,AI$76),VLOOKUP($F104+AI$77,$A$7:$C$107,2,FALSE)*VLOOKUP(AI$76,'Attrition Modeling'!$L$15:$N$27,IF(AI$77+$F104&lt;=24,2,3),FALSE)),$C$3)*(1+IF('IP Attrition'!AI161&gt;0,'Attrition Modeling'!$N$9,0)))</f>
        <v>0</v>
      </c>
      <c r="AJ104" s="799">
        <f>AI104*(1-IFERROR(IF(AJ$77+$F104&lt;=12,SUMIFS('Attrition Modeling'!$D:$D,'Attrition Modeling'!$C:$C,$D104,'Attrition Modeling'!$B:$B,AJ$76),VLOOKUP($F104+AJ$77,$A$7:$C$107,2,FALSE)*VLOOKUP(AJ$76,'Attrition Modeling'!$L$15:$N$27,IF(AJ$77+$F104&lt;=24,2,3),FALSE)),$C$3)*(1+IF('IP Attrition'!AJ161&gt;0,'Attrition Modeling'!$N$9,0)))</f>
        <v>0</v>
      </c>
      <c r="AK104" s="799">
        <f>AJ104*(1-IFERROR(IF(AK$77+$F104&lt;=12,SUMIFS('Attrition Modeling'!$D:$D,'Attrition Modeling'!$C:$C,$D104,'Attrition Modeling'!$B:$B,AK$76),VLOOKUP($F104+AK$77,$A$7:$C$107,2,FALSE)*VLOOKUP(AK$76,'Attrition Modeling'!$L$15:$N$27,IF(AK$77+$F104&lt;=24,2,3),FALSE)),$C$3)*(1+IF('IP Attrition'!AK161&gt;0,'Attrition Modeling'!$N$9,0)))</f>
        <v>0</v>
      </c>
      <c r="AL104" s="799">
        <f>AK104*(1-IFERROR(IF(AL$77+$F104&lt;=12,SUMIFS('Attrition Modeling'!$D:$D,'Attrition Modeling'!$C:$C,$D104,'Attrition Modeling'!$B:$B,AL$76),VLOOKUP($F104+AL$77,$A$7:$C$107,2,FALSE)*VLOOKUP(AL$76,'Attrition Modeling'!$L$15:$N$27,IF(AL$77+$F104&lt;=24,2,3),FALSE)),$C$3)*(1+IF('IP Attrition'!AL161&gt;0,'Attrition Modeling'!$N$9,0)))</f>
        <v>0</v>
      </c>
      <c r="AM104" s="799">
        <f>AL104*(1-IFERROR(IF(AM$77+$F104&lt;=12,SUMIFS('Attrition Modeling'!$D:$D,'Attrition Modeling'!$C:$C,$D104,'Attrition Modeling'!$B:$B,AM$76),VLOOKUP($F104+AM$77,$A$7:$C$107,2,FALSE)*VLOOKUP(AM$76,'Attrition Modeling'!$L$15:$N$27,IF(AM$77+$F104&lt;=24,2,3),FALSE)),$C$3)*(1+IF('IP Attrition'!AM161&gt;0,'Attrition Modeling'!$N$9,0)))</f>
        <v>0</v>
      </c>
      <c r="AN104" s="799">
        <f>AM104*(1-IFERROR(IF(AN$77+$F104&lt;=12,SUMIFS('Attrition Modeling'!$D:$D,'Attrition Modeling'!$C:$C,$D104,'Attrition Modeling'!$B:$B,AN$76),VLOOKUP($F104+AN$77,$A$7:$C$107,2,FALSE)*VLOOKUP(AN$76,'Attrition Modeling'!$L$15:$N$27,IF(AN$77+$F104&lt;=24,2,3),FALSE)),$C$3)*(1+IF('IP Attrition'!AN161&gt;0,'Attrition Modeling'!$N$9,0)))</f>
        <v>0</v>
      </c>
      <c r="AO104" s="799">
        <f>AN104*(1-IFERROR(IF(AO$77+$F104&lt;=12,SUMIFS('Attrition Modeling'!$D:$D,'Attrition Modeling'!$C:$C,$D104,'Attrition Modeling'!$B:$B,AO$76),VLOOKUP($F104+AO$77,$A$7:$C$107,2,FALSE)*VLOOKUP(AO$76,'Attrition Modeling'!$L$15:$N$27,IF(AO$77+$F104&lt;=24,2,3),FALSE)),$C$3)*(1+IF('IP Attrition'!AO161&gt;0,'Attrition Modeling'!$N$9,0)))</f>
        <v>0</v>
      </c>
      <c r="AP104" s="799">
        <f>AO104*(1-IFERROR(IF(AP$77+$F104&lt;=12,SUMIFS('Attrition Modeling'!$D:$D,'Attrition Modeling'!$C:$C,$D104,'Attrition Modeling'!$B:$B,AP$76),VLOOKUP($F104+AP$77,$A$7:$C$107,2,FALSE)*VLOOKUP(AP$76,'Attrition Modeling'!$L$15:$N$27,IF(AP$77+$F104&lt;=24,2,3),FALSE)),$C$3)*(1+IF('IP Attrition'!AP161&gt;0,'Attrition Modeling'!$N$9,0)))</f>
        <v>0</v>
      </c>
      <c r="AQ104" s="799">
        <f>AP104*(1-IFERROR(IF(AQ$77+$F104&lt;=12,SUMIFS('Attrition Modeling'!$D:$D,'Attrition Modeling'!$C:$C,$D104,'Attrition Modeling'!$B:$B,AQ$76),VLOOKUP($F104+AQ$77,$A$7:$C$107,2,FALSE)*VLOOKUP(AQ$76,'Attrition Modeling'!$L$15:$N$27,IF(AQ$77+$F104&lt;=24,2,3),FALSE)),$C$3)*(1+IF('IP Attrition'!AQ161&gt;0,'Attrition Modeling'!$N$9,0)))</f>
        <v>0</v>
      </c>
      <c r="AR104" s="799">
        <f>AQ104*(1-IFERROR(IF(AR$77+$F104&lt;=12,SUMIFS('Attrition Modeling'!$D:$D,'Attrition Modeling'!$C:$C,$D104,'Attrition Modeling'!$B:$B,AR$76),VLOOKUP($F104+AR$77,$A$7:$C$107,2,FALSE)*VLOOKUP(AR$76,'Attrition Modeling'!$L$15:$N$27,IF(AR$77+$F104&lt;=24,2,3),FALSE)),$C$3)*(1+IF('IP Attrition'!AR161&gt;0,'Attrition Modeling'!$N$9,0)))</f>
        <v>0</v>
      </c>
      <c r="AS104" s="799">
        <f>AR104*(1-IFERROR(IF(AS$77+$F104&lt;=12,SUMIFS('Attrition Modeling'!$D:$D,'Attrition Modeling'!$C:$C,$D104,'Attrition Modeling'!$B:$B,AS$76),VLOOKUP($F104+AS$77,$A$7:$C$107,2,FALSE)*VLOOKUP(AS$76,'Attrition Modeling'!$L$15:$N$27,IF(AS$77+$F104&lt;=24,2,3),FALSE)),$C$3)*(1+IF('IP Attrition'!AS161&gt;0,'Attrition Modeling'!$N$9,0)))</f>
        <v>0</v>
      </c>
      <c r="AT104" s="799">
        <f>AS104*(1-IFERROR(IF(AT$77+$F104&lt;=12,SUMIFS('Attrition Modeling'!$D:$D,'Attrition Modeling'!$C:$C,$D104,'Attrition Modeling'!$B:$B,AT$76),VLOOKUP($F104+AT$77,$A$7:$C$107,2,FALSE)*VLOOKUP(AT$76,'Attrition Modeling'!$L$15:$N$27,IF(AT$77+$F104&lt;=24,2,3),FALSE)),$C$3)*(1+IF('IP Attrition'!AT161&gt;0,'Attrition Modeling'!$N$9,0)))</f>
        <v>0</v>
      </c>
      <c r="AU104" s="799">
        <f>AT104*(1-IFERROR(IF(AU$77+$F104&lt;=12,SUMIFS('Attrition Modeling'!$D:$D,'Attrition Modeling'!$C:$C,$D104,'Attrition Modeling'!$B:$B,AU$76),VLOOKUP($F104+AU$77,$A$7:$C$107,2,FALSE)*VLOOKUP(AU$76,'Attrition Modeling'!$L$15:$N$27,IF(AU$77+$F104&lt;=24,2,3),FALSE)),$C$3)*(1+IF('IP Attrition'!AU161&gt;0,'Attrition Modeling'!$N$9,0)))</f>
        <v>0</v>
      </c>
      <c r="AV104" s="799">
        <f>AU104*(1-IFERROR(IF(AV$77+$F104&lt;=12,SUMIFS('Attrition Modeling'!$D:$D,'Attrition Modeling'!$C:$C,$D104,'Attrition Modeling'!$B:$B,AV$76),VLOOKUP($F104+AV$77,$A$7:$C$107,2,FALSE)*VLOOKUP(AV$76,'Attrition Modeling'!$L$15:$N$27,IF(AV$77+$F104&lt;=24,2,3),FALSE)),$C$3)*(1+IF('IP Attrition'!AV161&gt;0,'Attrition Modeling'!$N$9,0)))</f>
        <v>0</v>
      </c>
      <c r="AW104" s="799">
        <f>AV104*(1-IFERROR(IF(AW$77+$F104&lt;=12,SUMIFS('Attrition Modeling'!$D:$D,'Attrition Modeling'!$C:$C,$D104,'Attrition Modeling'!$B:$B,AW$76),VLOOKUP($F104+AW$77,$A$7:$C$107,2,FALSE)*VLOOKUP(AW$76,'Attrition Modeling'!$L$15:$N$27,IF(AW$77+$F104&lt;=24,2,3),FALSE)),$C$3)*(1+IF('IP Attrition'!AW161&gt;0,'Attrition Modeling'!$N$9,0)))</f>
        <v>0</v>
      </c>
      <c r="AX104" s="799">
        <f>AW104*(1-IFERROR(IF(AX$77+$F104&lt;=12,SUMIFS('Attrition Modeling'!$D:$D,'Attrition Modeling'!$C:$C,$D104,'Attrition Modeling'!$B:$B,AX$76),VLOOKUP($F104+AX$77,$A$7:$C$107,2,FALSE)*VLOOKUP(AX$76,'Attrition Modeling'!$L$15:$N$27,IF(AX$77+$F104&lt;=24,2,3),FALSE)),$C$3)*(1+IF('IP Attrition'!AX161&gt;0,'Attrition Modeling'!$N$9,0)))</f>
        <v>0</v>
      </c>
      <c r="AY104" s="799">
        <f>AX104*(1-IFERROR(IF(AY$77+$F104&lt;=12,SUMIFS('Attrition Modeling'!$D:$D,'Attrition Modeling'!$C:$C,$D104,'Attrition Modeling'!$B:$B,AY$76),VLOOKUP($F104+AY$77,$A$7:$C$107,2,FALSE)*VLOOKUP(AY$76,'Attrition Modeling'!$L$15:$N$27,IF(AY$77+$F104&lt;=24,2,3),FALSE)),$C$3)*(1+IF('IP Attrition'!AY161&gt;0,'Attrition Modeling'!$N$9,0)))</f>
        <v>0</v>
      </c>
      <c r="AZ104" s="799">
        <f>AY104*(1-IFERROR(IF(AZ$77+$F104&lt;=12,SUMIFS('Attrition Modeling'!$D:$D,'Attrition Modeling'!$C:$C,$D104,'Attrition Modeling'!$B:$B,AZ$76),VLOOKUP($F104+AZ$77,$A$7:$C$107,2,FALSE)*VLOOKUP(AZ$76,'Attrition Modeling'!$L$15:$N$27,IF(AZ$77+$F104&lt;=24,2,3),FALSE)),$C$3)*(1+IF('IP Attrition'!AZ161&gt;0,'Attrition Modeling'!$N$9,0)))</f>
        <v>0</v>
      </c>
      <c r="BA104" s="799">
        <f>AZ104*(1-IFERROR(IF(BA$77+$F104&lt;=12,SUMIFS('Attrition Modeling'!$D:$D,'Attrition Modeling'!$C:$C,$D104,'Attrition Modeling'!$B:$B,BA$76),VLOOKUP($F104+BA$77,$A$7:$C$107,2,FALSE)*VLOOKUP(BA$76,'Attrition Modeling'!$L$15:$N$27,IF(BA$77+$F104&lt;=24,2,3),FALSE)),$C$3)*(1+IF('IP Attrition'!BA161&gt;0,'Attrition Modeling'!$N$9,0)))</f>
        <v>0</v>
      </c>
      <c r="BB104" s="799">
        <f>BA104*(1-IFERROR(IF(BB$77+$F104&lt;=12,SUMIFS('Attrition Modeling'!$D:$D,'Attrition Modeling'!$C:$C,$D104,'Attrition Modeling'!$B:$B,BB$76),VLOOKUP($F104+BB$77,$A$7:$C$107,2,FALSE)*VLOOKUP(BB$76,'Attrition Modeling'!$L$15:$N$27,IF(BB$77+$F104&lt;=24,2,3),FALSE)),$C$3)*(1+IF('IP Attrition'!BB161&gt;0,'Attrition Modeling'!$N$9,0)))</f>
        <v>0</v>
      </c>
      <c r="BC104" s="799">
        <f>BB104*(1-IFERROR(IF(BC$77+$F104&lt;=12,SUMIFS('Attrition Modeling'!$D:$D,'Attrition Modeling'!$C:$C,$D104,'Attrition Modeling'!$B:$B,BC$76),VLOOKUP($F104+BC$77,$A$7:$C$107,2,FALSE)*VLOOKUP(BC$76,'Attrition Modeling'!$L$15:$N$27,IF(BC$77+$F104&lt;=24,2,3),FALSE)),$C$3)*(1+IF('IP Attrition'!BC161&gt;0,'Attrition Modeling'!$N$9,0)))</f>
        <v>0</v>
      </c>
      <c r="BD104" s="799">
        <f>BC104*(1-IFERROR(IF(BD$77+$F104&lt;=12,SUMIFS('Attrition Modeling'!$D:$D,'Attrition Modeling'!$C:$C,$D104,'Attrition Modeling'!$B:$B,BD$76),VLOOKUP($F104+BD$77,$A$7:$C$107,2,FALSE)*VLOOKUP(BD$76,'Attrition Modeling'!$L$15:$N$27,IF(BD$77+$F104&lt;=24,2,3),FALSE)),$C$3)*(1+IF('IP Attrition'!BD161&gt;0,'Attrition Modeling'!$N$9,0)))</f>
        <v>0</v>
      </c>
      <c r="BE104" s="799">
        <f>BD104*(1-IFERROR(IF(BE$77+$F104&lt;=12,SUMIFS('Attrition Modeling'!$D:$D,'Attrition Modeling'!$C:$C,$D104,'Attrition Modeling'!$B:$B,BE$76),VLOOKUP($F104+BE$77,$A$7:$C$107,2,FALSE)*VLOOKUP(BE$76,'Attrition Modeling'!$L$15:$N$27,IF(BE$77+$F104&lt;=24,2,3),FALSE)),$C$3)*(1+IF('IP Attrition'!BE161&gt;0,'Attrition Modeling'!$N$9,0)))</f>
        <v>0</v>
      </c>
      <c r="BF104" s="799">
        <f>BE104*(1-IFERROR(IF(BF$77+$F104&lt;=12,SUMIFS('Attrition Modeling'!$D:$D,'Attrition Modeling'!$C:$C,$D104,'Attrition Modeling'!$B:$B,BF$76),VLOOKUP($F104+BF$77,$A$7:$C$107,2,FALSE)*VLOOKUP(BF$76,'Attrition Modeling'!$L$15:$N$27,IF(BF$77+$F104&lt;=24,2,3),FALSE)),$C$3)*(1+IF('IP Attrition'!BF161&gt;0,'Attrition Modeling'!$N$9,0)))</f>
        <v>0</v>
      </c>
      <c r="BG104" s="799">
        <f>BF104*(1-IFERROR(IF(BG$77+$F104&lt;=12,SUMIFS('Attrition Modeling'!$D:$D,'Attrition Modeling'!$C:$C,$D104,'Attrition Modeling'!$B:$B,BG$76),VLOOKUP($F104+BG$77,$A$7:$C$107,2,FALSE)*VLOOKUP(BG$76,'Attrition Modeling'!$L$15:$N$27,IF(BG$77+$F104&lt;=24,2,3),FALSE)),$C$3)*(1+IF('IP Attrition'!BG161&gt;0,'Attrition Modeling'!$N$9,0)))</f>
        <v>0</v>
      </c>
      <c r="BH104" s="799">
        <f>BG104*(1-IFERROR(IF(BH$77+$F104&lt;=12,SUMIFS('Attrition Modeling'!$D:$D,'Attrition Modeling'!$C:$C,$D104,'Attrition Modeling'!$B:$B,BH$76),VLOOKUP($F104+BH$77,$A$7:$C$107,2,FALSE)*VLOOKUP(BH$76,'Attrition Modeling'!$L$15:$N$27,IF(BH$77+$F104&lt;=24,2,3),FALSE)),$C$3)*(1+IF('IP Attrition'!BH161&gt;0,'Attrition Modeling'!$N$9,0)))</f>
        <v>0</v>
      </c>
      <c r="BI104" s="799">
        <f>BH104*(1-IFERROR(IF(BI$77+$F104&lt;=12,SUMIFS('Attrition Modeling'!$D:$D,'Attrition Modeling'!$C:$C,$D104,'Attrition Modeling'!$B:$B,BI$76),VLOOKUP($F104+BI$77,$A$7:$C$107,2,FALSE)*VLOOKUP(BI$76,'Attrition Modeling'!$L$15:$N$27,IF(BI$77+$F104&lt;=24,2,3),FALSE)),$C$3)*(1+IF('IP Attrition'!BI161&gt;0,'Attrition Modeling'!$N$9,0)))</f>
        <v>0</v>
      </c>
      <c r="BJ104" s="799">
        <f>BI104*(1-IFERROR(IF(BJ$77+$F104&lt;=12,SUMIFS('Attrition Modeling'!$D:$D,'Attrition Modeling'!$C:$C,$D104,'Attrition Modeling'!$B:$B,BJ$76),VLOOKUP($F104+BJ$77,$A$7:$C$107,2,FALSE)*VLOOKUP(BJ$76,'Attrition Modeling'!$L$15:$N$27,IF(BJ$77+$F104&lt;=24,2,3),FALSE)),$C$3)*(1+IF('IP Attrition'!BJ161&gt;0,'Attrition Modeling'!$N$9,0)))</f>
        <v>0</v>
      </c>
      <c r="BK104" s="799">
        <f>BJ104*(1-IFERROR(IF(BK$77+$F104&lt;=12,SUMIFS('Attrition Modeling'!$D:$D,'Attrition Modeling'!$C:$C,$D104,'Attrition Modeling'!$B:$B,BK$76),VLOOKUP($F104+BK$77,$A$7:$C$107,2,FALSE)*VLOOKUP(BK$76,'Attrition Modeling'!$L$15:$N$27,IF(BK$77+$F104&lt;=24,2,3),FALSE)),$C$3)*(1+IF('IP Attrition'!BK161&gt;0,'Attrition Modeling'!$N$9,0)))</f>
        <v>0</v>
      </c>
      <c r="BL104" s="799">
        <f>BK104*(1-IFERROR(IF(BL$77+$F104&lt;=12,SUMIFS('Attrition Modeling'!$D:$D,'Attrition Modeling'!$C:$C,$D104,'Attrition Modeling'!$B:$B,BL$76),VLOOKUP($F104+BL$77,$A$7:$C$107,2,FALSE)*VLOOKUP(BL$76,'Attrition Modeling'!$L$15:$N$27,IF(BL$77+$F104&lt;=24,2,3),FALSE)),$C$3)*(1+IF('IP Attrition'!BL161&gt;0,'Attrition Modeling'!$N$9,0)))</f>
        <v>0</v>
      </c>
      <c r="BM104" s="799">
        <f>BL104*(1-IFERROR(IF(BM$77+$F104&lt;=12,SUMIFS('Attrition Modeling'!$D:$D,'Attrition Modeling'!$C:$C,$D104,'Attrition Modeling'!$B:$B,BM$76),VLOOKUP($F104+BM$77,$A$7:$C$107,2,FALSE)*VLOOKUP(BM$76,'Attrition Modeling'!$L$15:$N$27,IF(BM$77+$F104&lt;=24,2,3),FALSE)),$C$3)*(1+IF('IP Attrition'!BM161&gt;0,'Attrition Modeling'!$N$9,0)))</f>
        <v>0</v>
      </c>
      <c r="BN104" s="799">
        <f>BM104*(1-IFERROR(IF(BN$77+$F104&lt;=12,SUMIFS('Attrition Modeling'!$D:$D,'Attrition Modeling'!$C:$C,$D104,'Attrition Modeling'!$B:$B,BN$76),VLOOKUP($F104+BN$77,$A$7:$C$107,2,FALSE)*VLOOKUP(BN$76,'Attrition Modeling'!$L$15:$N$27,IF(BN$77+$F104&lt;=24,2,3),FALSE)),$C$3)*(1+IF('IP Attrition'!BN161&gt;0,'Attrition Modeling'!$N$9,0)))</f>
        <v>0</v>
      </c>
      <c r="BO104" s="799">
        <f>BN104*(1-IFERROR(IF(BO$77+$F104&lt;=12,SUMIFS('Attrition Modeling'!$D:$D,'Attrition Modeling'!$C:$C,$D104,'Attrition Modeling'!$B:$B,BO$76),VLOOKUP($F104+BO$77,$A$7:$C$107,2,FALSE)*VLOOKUP(BO$76,'Attrition Modeling'!$L$15:$N$27,IF(BO$77+$F104&lt;=24,2,3),FALSE)),$C$3)*(1+IF('IP Attrition'!BO161&gt;0,'Attrition Modeling'!$N$9,0)))</f>
        <v>0</v>
      </c>
      <c r="BP104" s="799">
        <f>BO104*(1-IFERROR(IF(BP$77+$F104&lt;=12,SUMIFS('Attrition Modeling'!$D:$D,'Attrition Modeling'!$C:$C,$D104,'Attrition Modeling'!$B:$B,BP$76),VLOOKUP($F104+BP$77,$A$7:$C$107,2,FALSE)*VLOOKUP(BP$76,'Attrition Modeling'!$L$15:$N$27,IF(BP$77+$F104&lt;=24,2,3),FALSE)),$C$3)*(1+IF('IP Attrition'!BP161&gt;0,'Attrition Modeling'!$N$9,0)))</f>
        <v>0</v>
      </c>
      <c r="BQ104" s="799">
        <f>BP104*(1-IFERROR(IF(BQ$77+$F104&lt;=12,SUMIFS('Attrition Modeling'!$D:$D,'Attrition Modeling'!$C:$C,$D104,'Attrition Modeling'!$B:$B,BQ$76),VLOOKUP($F104+BQ$77,$A$7:$C$107,2,FALSE)*VLOOKUP(BQ$76,'Attrition Modeling'!$L$15:$N$27,IF(BQ$77+$F104&lt;=24,2,3),FALSE)),$C$3)*(1+IF('IP Attrition'!BQ161&gt;0,'Attrition Modeling'!$N$9,0)))</f>
        <v>0</v>
      </c>
      <c r="BR104" s="799">
        <f>BQ104*(1-IFERROR(IF(BR$77+$F104&lt;=12,SUMIFS('Attrition Modeling'!$D:$D,'Attrition Modeling'!$C:$C,$D104,'Attrition Modeling'!$B:$B,BR$76),VLOOKUP($F104+BR$77,$A$7:$C$107,2,FALSE)*VLOOKUP(BR$76,'Attrition Modeling'!$L$15:$N$27,IF(BR$77+$F104&lt;=24,2,3),FALSE)),$C$3)*(1+IF('IP Attrition'!BR161&gt;0,'Attrition Modeling'!$N$9,0)))</f>
        <v>0</v>
      </c>
      <c r="BS104" s="799">
        <f>BR104*(1-IFERROR(IF(BS$77+$F104&lt;=12,SUMIFS('Attrition Modeling'!$D:$D,'Attrition Modeling'!$C:$C,$D104,'Attrition Modeling'!$B:$B,BS$76),VLOOKUP($F104+BS$77,$A$7:$C$107,2,FALSE)*VLOOKUP(BS$76,'Attrition Modeling'!$L$15:$N$27,IF(BS$77+$F104&lt;=24,2,3),FALSE)),$C$3)*(1+IF('IP Attrition'!BS161&gt;0,'Attrition Modeling'!$N$9,0)))</f>
        <v>0</v>
      </c>
      <c r="BT104" s="799" t="e">
        <f>BS104*(1-IFERROR(IF(BT$77+$F104&lt;=12,SUMIFS('Attrition Modeling'!$D:$D,'Attrition Modeling'!$C:$C,$D104,'Attrition Modeling'!$B:$B,BT$76),VLOOKUP($F104+BT$77,$A$7:$C$107,2,FALSE)*VLOOKUP(BT$76,'Attrition Modeling'!$L$15:$N$27,IF(BT$77+$F104&lt;=24,2,3),FALSE)),$C$3)*(1+IF('IP Attrition'!BT161&gt;0,'Attrition Modeling'!$N$9,0)))</f>
        <v>#REF!</v>
      </c>
      <c r="BU104" s="799" t="e">
        <f>BT104*(1-IFERROR(IF(BU$77+$F104&lt;=12,SUMIFS('Attrition Modeling'!$D:$D,'Attrition Modeling'!$C:$C,$D104,'Attrition Modeling'!$B:$B,BU$76),VLOOKUP($F104+BU$77,$A$7:$C$107,2,FALSE)*VLOOKUP(BU$76,'Attrition Modeling'!$L$15:$N$27,IF(BU$77+$F104&lt;=24,2,3),FALSE)),$C$3)*(1+IF('IP Attrition'!BU161&gt;0,'Attrition Modeling'!$N$9,0)))</f>
        <v>#REF!</v>
      </c>
    </row>
    <row r="105" spans="1:73" ht="14.25" customHeight="1" x14ac:dyDescent="0.2">
      <c r="A105" s="9">
        <v>97</v>
      </c>
      <c r="B105" s="25">
        <f>MAX('Attrition Modeling'!H101,$C$3)*(1-Summary!$C$20)</f>
        <v>0.02</v>
      </c>
      <c r="C105" s="24" t="e">
        <f t="shared" si="2"/>
        <v>#DIV/0!</v>
      </c>
      <c r="D105" s="11">
        <f>'IP Attrition'!D97</f>
        <v>-27</v>
      </c>
      <c r="E105" s="25">
        <f>'IP Attrition'!E97</f>
        <v>0</v>
      </c>
      <c r="F105" s="11">
        <f t="shared" si="8"/>
        <v>27</v>
      </c>
      <c r="G105" s="799">
        <f>Summary!$C$24*$E105</f>
        <v>0</v>
      </c>
      <c r="H105" s="799">
        <f>G105*(1-IFERROR(IF(H$77+$F105&lt;=12,SUMIFS('Attrition Modeling'!$D:$D,'Attrition Modeling'!$C:$C,$D105,'Attrition Modeling'!$B:$B,H$76),VLOOKUP($F105+H$77,$A$7:$C$107,2,FALSE)*VLOOKUP(H$76,'Attrition Modeling'!$L$15:$N$27,IF(H$77+$F105&lt;=24,2,3),FALSE)),$C$3)*(1+IF('IP Attrition'!H162&gt;0,'Attrition Modeling'!$N$9,0)))</f>
        <v>0</v>
      </c>
      <c r="I105" s="799">
        <f>H105*(1-IFERROR(IF(I$77+$F105&lt;=12,SUMIFS('Attrition Modeling'!$D:$D,'Attrition Modeling'!$C:$C,$D105,'Attrition Modeling'!$B:$B,I$76),VLOOKUP($F105+I$77,$A$7:$C$107,2,FALSE)*VLOOKUP(I$76,'Attrition Modeling'!$L$15:$N$27,IF(I$77+$F105&lt;=24,2,3),FALSE)),$C$3)*(1+IF('IP Attrition'!I162&gt;0,'Attrition Modeling'!$N$9,0)))</f>
        <v>0</v>
      </c>
      <c r="J105" s="799">
        <f>I105*(1-IFERROR(IF(J$77+$F105&lt;=12,SUMIFS('Attrition Modeling'!$D:$D,'Attrition Modeling'!$C:$C,$D105,'Attrition Modeling'!$B:$B,J$76),VLOOKUP($F105+J$77,$A$7:$C$107,2,FALSE)*VLOOKUP(J$76,'Attrition Modeling'!$L$15:$N$27,IF(J$77+$F105&lt;=24,2,3),FALSE)),$C$3)*(1+IF('IP Attrition'!J162&gt;0,'Attrition Modeling'!$N$9,0)))</f>
        <v>0</v>
      </c>
      <c r="K105" s="799">
        <f>J105*(1-IFERROR(IF(K$77+$F105&lt;=12,SUMIFS('Attrition Modeling'!$D:$D,'Attrition Modeling'!$C:$C,$D105,'Attrition Modeling'!$B:$B,K$76),VLOOKUP($F105+K$77,$A$7:$C$107,2,FALSE)*VLOOKUP(K$76,'Attrition Modeling'!$L$15:$N$27,IF(K$77+$F105&lt;=24,2,3),FALSE)),$C$3)*(1+IF('IP Attrition'!K162&gt;0,'Attrition Modeling'!$N$9,0)))</f>
        <v>0</v>
      </c>
      <c r="L105" s="799">
        <f>K105*(1-IFERROR(IF(L$77+$F105&lt;=12,SUMIFS('Attrition Modeling'!$D:$D,'Attrition Modeling'!$C:$C,$D105,'Attrition Modeling'!$B:$B,L$76),VLOOKUP($F105+L$77,$A$7:$C$107,2,FALSE)*VLOOKUP(L$76,'Attrition Modeling'!$L$15:$N$27,IF(L$77+$F105&lt;=24,2,3),FALSE)),$C$3)*(1+IF('IP Attrition'!L162&gt;0,'Attrition Modeling'!$N$9,0)))</f>
        <v>0</v>
      </c>
      <c r="M105" s="799">
        <f>L105*(1-IFERROR(IF(M$77+$F105&lt;=12,SUMIFS('Attrition Modeling'!$D:$D,'Attrition Modeling'!$C:$C,$D105,'Attrition Modeling'!$B:$B,M$76),VLOOKUP($F105+M$77,$A$7:$C$107,2,FALSE)*VLOOKUP(M$76,'Attrition Modeling'!$L$15:$N$27,IF(M$77+$F105&lt;=24,2,3),FALSE)),$C$3)*(1+IF('IP Attrition'!M162&gt;0,'Attrition Modeling'!$N$9,0)))</f>
        <v>0</v>
      </c>
      <c r="N105" s="799">
        <f>M105*(1-IFERROR(IF(N$77+$F105&lt;=12,SUMIFS('Attrition Modeling'!$D:$D,'Attrition Modeling'!$C:$C,$D105,'Attrition Modeling'!$B:$B,N$76),VLOOKUP($F105+N$77,$A$7:$C$107,2,FALSE)*VLOOKUP(N$76,'Attrition Modeling'!$L$15:$N$27,IF(N$77+$F105&lt;=24,2,3),FALSE)),$C$3)*(1+IF('IP Attrition'!N162&gt;0,'Attrition Modeling'!$N$9,0)))</f>
        <v>0</v>
      </c>
      <c r="O105" s="799">
        <f>N105*(1-IFERROR(IF(O$77+$F105&lt;=12,SUMIFS('Attrition Modeling'!$D:$D,'Attrition Modeling'!$C:$C,$D105,'Attrition Modeling'!$B:$B,O$76),VLOOKUP($F105+O$77,$A$7:$C$107,2,FALSE)*VLOOKUP(O$76,'Attrition Modeling'!$L$15:$N$27,IF(O$77+$F105&lt;=24,2,3),FALSE)),$C$3)*(1+IF('IP Attrition'!O162&gt;0,'Attrition Modeling'!$N$9,0)))</f>
        <v>0</v>
      </c>
      <c r="P105" s="799">
        <f>O105*(1-IFERROR(IF(P$77+$F105&lt;=12,SUMIFS('Attrition Modeling'!$D:$D,'Attrition Modeling'!$C:$C,$D105,'Attrition Modeling'!$B:$B,P$76),VLOOKUP($F105+P$77,$A$7:$C$107,2,FALSE)*VLOOKUP(P$76,'Attrition Modeling'!$L$15:$N$27,IF(P$77+$F105&lt;=24,2,3),FALSE)),$C$3)*(1+IF('IP Attrition'!P162&gt;0,'Attrition Modeling'!$N$9,0)))</f>
        <v>0</v>
      </c>
      <c r="Q105" s="799">
        <f>P105*(1-IFERROR(IF(Q$77+$F105&lt;=12,SUMIFS('Attrition Modeling'!$D:$D,'Attrition Modeling'!$C:$C,$D105,'Attrition Modeling'!$B:$B,Q$76),VLOOKUP($F105+Q$77,$A$7:$C$107,2,FALSE)*VLOOKUP(Q$76,'Attrition Modeling'!$L$15:$N$27,IF(Q$77+$F105&lt;=24,2,3),FALSE)),$C$3)*(1+IF('IP Attrition'!Q162&gt;0,'Attrition Modeling'!$N$9,0)))</f>
        <v>0</v>
      </c>
      <c r="R105" s="799">
        <f>Q105*(1-IFERROR(IF(R$77+$F105&lt;=12,SUMIFS('Attrition Modeling'!$D:$D,'Attrition Modeling'!$C:$C,$D105,'Attrition Modeling'!$B:$B,R$76),VLOOKUP($F105+R$77,$A$7:$C$107,2,FALSE)*VLOOKUP(R$76,'Attrition Modeling'!$L$15:$N$27,IF(R$77+$F105&lt;=24,2,3),FALSE)),$C$3)*(1+IF('IP Attrition'!R162&gt;0,'Attrition Modeling'!$N$9,0)))</f>
        <v>0</v>
      </c>
      <c r="S105" s="799">
        <f>R105*(1-IFERROR(IF(S$77+$F105&lt;=12,SUMIFS('Attrition Modeling'!$D:$D,'Attrition Modeling'!$C:$C,$D105,'Attrition Modeling'!$B:$B,S$76),VLOOKUP($F105+S$77,$A$7:$C$107,2,FALSE)*VLOOKUP(S$76,'Attrition Modeling'!$L$15:$N$27,IF(S$77+$F105&lt;=24,2,3),FALSE)),$C$3)*(1+IF('IP Attrition'!S162&gt;0,'Attrition Modeling'!$N$9,0)))</f>
        <v>0</v>
      </c>
      <c r="T105" s="799">
        <f>S105*(1-IFERROR(IF(T$77+$F105&lt;=12,SUMIFS('Attrition Modeling'!$D:$D,'Attrition Modeling'!$C:$C,$D105,'Attrition Modeling'!$B:$B,T$76),VLOOKUP($F105+T$77,$A$7:$C$107,2,FALSE)*VLOOKUP(T$76,'Attrition Modeling'!$L$15:$N$27,IF(T$77+$F105&lt;=24,2,3),FALSE)),$C$3)*(1+IF('IP Attrition'!T162&gt;0,'Attrition Modeling'!$N$9,0)))</f>
        <v>0</v>
      </c>
      <c r="U105" s="799">
        <f>T105*(1-IFERROR(IF(U$77+$F105&lt;=12,SUMIFS('Attrition Modeling'!$D:$D,'Attrition Modeling'!$C:$C,$D105,'Attrition Modeling'!$B:$B,U$76),VLOOKUP($F105+U$77,$A$7:$C$107,2,FALSE)*VLOOKUP(U$76,'Attrition Modeling'!$L$15:$N$27,IF(U$77+$F105&lt;=24,2,3),FALSE)),$C$3)*(1+IF('IP Attrition'!U162&gt;0,'Attrition Modeling'!$N$9,0)))</f>
        <v>0</v>
      </c>
      <c r="V105" s="799">
        <f>U105*(1-IFERROR(IF(V$77+$F105&lt;=12,SUMIFS('Attrition Modeling'!$D:$D,'Attrition Modeling'!$C:$C,$D105,'Attrition Modeling'!$B:$B,V$76),VLOOKUP($F105+V$77,$A$7:$C$107,2,FALSE)*VLOOKUP(V$76,'Attrition Modeling'!$L$15:$N$27,IF(V$77+$F105&lt;=24,2,3),FALSE)),$C$3)*(1+IF('IP Attrition'!V162&gt;0,'Attrition Modeling'!$N$9,0)))</f>
        <v>0</v>
      </c>
      <c r="W105" s="799">
        <f>V105*(1-IFERROR(IF(W$77+$F105&lt;=12,SUMIFS('Attrition Modeling'!$D:$D,'Attrition Modeling'!$C:$C,$D105,'Attrition Modeling'!$B:$B,W$76),VLOOKUP($F105+W$77,$A$7:$C$107,2,FALSE)*VLOOKUP(W$76,'Attrition Modeling'!$L$15:$N$27,IF(W$77+$F105&lt;=24,2,3),FALSE)),$C$3)*(1+IF('IP Attrition'!W162&gt;0,'Attrition Modeling'!$N$9,0)))</f>
        <v>0</v>
      </c>
      <c r="X105" s="799">
        <f>W105*(1-IFERROR(IF(X$77+$F105&lt;=12,SUMIFS('Attrition Modeling'!$D:$D,'Attrition Modeling'!$C:$C,$D105,'Attrition Modeling'!$B:$B,X$76),VLOOKUP($F105+X$77,$A$7:$C$107,2,FALSE)*VLOOKUP(X$76,'Attrition Modeling'!$L$15:$N$27,IF(X$77+$F105&lt;=24,2,3),FALSE)),$C$3)*(1+IF('IP Attrition'!X162&gt;0,'Attrition Modeling'!$N$9,0)))</f>
        <v>0</v>
      </c>
      <c r="Y105" s="799">
        <f>X105*(1-IFERROR(IF(Y$77+$F105&lt;=12,SUMIFS('Attrition Modeling'!$D:$D,'Attrition Modeling'!$C:$C,$D105,'Attrition Modeling'!$B:$B,Y$76),VLOOKUP($F105+Y$77,$A$7:$C$107,2,FALSE)*VLOOKUP(Y$76,'Attrition Modeling'!$L$15:$N$27,IF(Y$77+$F105&lt;=24,2,3),FALSE)),$C$3)*(1+IF('IP Attrition'!Y162&gt;0,'Attrition Modeling'!$N$9,0)))</f>
        <v>0</v>
      </c>
      <c r="Z105" s="799">
        <f>Y105*(1-IFERROR(IF(Z$77+$F105&lt;=12,SUMIFS('Attrition Modeling'!$D:$D,'Attrition Modeling'!$C:$C,$D105,'Attrition Modeling'!$B:$B,Z$76),VLOOKUP($F105+Z$77,$A$7:$C$107,2,FALSE)*VLOOKUP(Z$76,'Attrition Modeling'!$L$15:$N$27,IF(Z$77+$F105&lt;=24,2,3),FALSE)),$C$3)*(1+IF('IP Attrition'!Z162&gt;0,'Attrition Modeling'!$N$9,0)))</f>
        <v>0</v>
      </c>
      <c r="AA105" s="799">
        <f>Z105*(1-IFERROR(IF(AA$77+$F105&lt;=12,SUMIFS('Attrition Modeling'!$D:$D,'Attrition Modeling'!$C:$C,$D105,'Attrition Modeling'!$B:$B,AA$76),VLOOKUP($F105+AA$77,$A$7:$C$107,2,FALSE)*VLOOKUP(AA$76,'Attrition Modeling'!$L$15:$N$27,IF(AA$77+$F105&lt;=24,2,3),FALSE)),$C$3)*(1+IF('IP Attrition'!AA162&gt;0,'Attrition Modeling'!$N$9,0)))</f>
        <v>0</v>
      </c>
      <c r="AB105" s="799">
        <f>AA105*(1-IFERROR(IF(AB$77+$F105&lt;=12,SUMIFS('Attrition Modeling'!$D:$D,'Attrition Modeling'!$C:$C,$D105,'Attrition Modeling'!$B:$B,AB$76),VLOOKUP($F105+AB$77,$A$7:$C$107,2,FALSE)*VLOOKUP(AB$76,'Attrition Modeling'!$L$15:$N$27,IF(AB$77+$F105&lt;=24,2,3),FALSE)),$C$3)*(1+IF('IP Attrition'!AB162&gt;0,'Attrition Modeling'!$N$9,0)))</f>
        <v>0</v>
      </c>
      <c r="AC105" s="799">
        <f>AB105*(1-IFERROR(IF(AC$77+$F105&lt;=12,SUMIFS('Attrition Modeling'!$D:$D,'Attrition Modeling'!$C:$C,$D105,'Attrition Modeling'!$B:$B,AC$76),VLOOKUP($F105+AC$77,$A$7:$C$107,2,FALSE)*VLOOKUP(AC$76,'Attrition Modeling'!$L$15:$N$27,IF(AC$77+$F105&lt;=24,2,3),FALSE)),$C$3)*(1+IF('IP Attrition'!AC162&gt;0,'Attrition Modeling'!$N$9,0)))</f>
        <v>0</v>
      </c>
      <c r="AD105" s="799">
        <f>AC105*(1-IFERROR(IF(AD$77+$F105&lt;=12,SUMIFS('Attrition Modeling'!$D:$D,'Attrition Modeling'!$C:$C,$D105,'Attrition Modeling'!$B:$B,AD$76),VLOOKUP($F105+AD$77,$A$7:$C$107,2,FALSE)*VLOOKUP(AD$76,'Attrition Modeling'!$L$15:$N$27,IF(AD$77+$F105&lt;=24,2,3),FALSE)),$C$3)*(1+IF('IP Attrition'!AD162&gt;0,'Attrition Modeling'!$N$9,0)))</f>
        <v>0</v>
      </c>
      <c r="AE105" s="799">
        <f>AD105*(1-IFERROR(IF(AE$77+$F105&lt;=12,SUMIFS('Attrition Modeling'!$D:$D,'Attrition Modeling'!$C:$C,$D105,'Attrition Modeling'!$B:$B,AE$76),VLOOKUP($F105+AE$77,$A$7:$C$107,2,FALSE)*VLOOKUP(AE$76,'Attrition Modeling'!$L$15:$N$27,IF(AE$77+$F105&lt;=24,2,3),FALSE)),$C$3)*(1+IF('IP Attrition'!AE162&gt;0,'Attrition Modeling'!$N$9,0)))</f>
        <v>0</v>
      </c>
      <c r="AF105" s="799">
        <f>AE105*(1-IFERROR(IF(AF$77+$F105&lt;=12,SUMIFS('Attrition Modeling'!$D:$D,'Attrition Modeling'!$C:$C,$D105,'Attrition Modeling'!$B:$B,AF$76),VLOOKUP($F105+AF$77,$A$7:$C$107,2,FALSE)*VLOOKUP(AF$76,'Attrition Modeling'!$L$15:$N$27,IF(AF$77+$F105&lt;=24,2,3),FALSE)),$C$3)*(1+IF('IP Attrition'!AF162&gt;0,'Attrition Modeling'!$N$9,0)))</f>
        <v>0</v>
      </c>
      <c r="AG105" s="799">
        <f>AF105*(1-IFERROR(IF(AG$77+$F105&lt;=12,SUMIFS('Attrition Modeling'!$D:$D,'Attrition Modeling'!$C:$C,$D105,'Attrition Modeling'!$B:$B,AG$76),VLOOKUP($F105+AG$77,$A$7:$C$107,2,FALSE)*VLOOKUP(AG$76,'Attrition Modeling'!$L$15:$N$27,IF(AG$77+$F105&lt;=24,2,3),FALSE)),$C$3)*(1+IF('IP Attrition'!AG162&gt;0,'Attrition Modeling'!$N$9,0)))</f>
        <v>0</v>
      </c>
      <c r="AH105" s="799">
        <f>AG105*(1-IFERROR(IF(AH$77+$F105&lt;=12,SUMIFS('Attrition Modeling'!$D:$D,'Attrition Modeling'!$C:$C,$D105,'Attrition Modeling'!$B:$B,AH$76),VLOOKUP($F105+AH$77,$A$7:$C$107,2,FALSE)*VLOOKUP(AH$76,'Attrition Modeling'!$L$15:$N$27,IF(AH$77+$F105&lt;=24,2,3),FALSE)),$C$3)*(1+IF('IP Attrition'!AH162&gt;0,'Attrition Modeling'!$N$9,0)))</f>
        <v>0</v>
      </c>
      <c r="AI105" s="799">
        <f>AH105*(1-IFERROR(IF(AI$77+$F105&lt;=12,SUMIFS('Attrition Modeling'!$D:$D,'Attrition Modeling'!$C:$C,$D105,'Attrition Modeling'!$B:$B,AI$76),VLOOKUP($F105+AI$77,$A$7:$C$107,2,FALSE)*VLOOKUP(AI$76,'Attrition Modeling'!$L$15:$N$27,IF(AI$77+$F105&lt;=24,2,3),FALSE)),$C$3)*(1+IF('IP Attrition'!AI162&gt;0,'Attrition Modeling'!$N$9,0)))</f>
        <v>0</v>
      </c>
      <c r="AJ105" s="799">
        <f>AI105*(1-IFERROR(IF(AJ$77+$F105&lt;=12,SUMIFS('Attrition Modeling'!$D:$D,'Attrition Modeling'!$C:$C,$D105,'Attrition Modeling'!$B:$B,AJ$76),VLOOKUP($F105+AJ$77,$A$7:$C$107,2,FALSE)*VLOOKUP(AJ$76,'Attrition Modeling'!$L$15:$N$27,IF(AJ$77+$F105&lt;=24,2,3),FALSE)),$C$3)*(1+IF('IP Attrition'!AJ162&gt;0,'Attrition Modeling'!$N$9,0)))</f>
        <v>0</v>
      </c>
      <c r="AK105" s="799">
        <f>AJ105*(1-IFERROR(IF(AK$77+$F105&lt;=12,SUMIFS('Attrition Modeling'!$D:$D,'Attrition Modeling'!$C:$C,$D105,'Attrition Modeling'!$B:$B,AK$76),VLOOKUP($F105+AK$77,$A$7:$C$107,2,FALSE)*VLOOKUP(AK$76,'Attrition Modeling'!$L$15:$N$27,IF(AK$77+$F105&lt;=24,2,3),FALSE)),$C$3)*(1+IF('IP Attrition'!AK162&gt;0,'Attrition Modeling'!$N$9,0)))</f>
        <v>0</v>
      </c>
      <c r="AL105" s="799">
        <f>AK105*(1-IFERROR(IF(AL$77+$F105&lt;=12,SUMIFS('Attrition Modeling'!$D:$D,'Attrition Modeling'!$C:$C,$D105,'Attrition Modeling'!$B:$B,AL$76),VLOOKUP($F105+AL$77,$A$7:$C$107,2,FALSE)*VLOOKUP(AL$76,'Attrition Modeling'!$L$15:$N$27,IF(AL$77+$F105&lt;=24,2,3),FALSE)),$C$3)*(1+IF('IP Attrition'!AL162&gt;0,'Attrition Modeling'!$N$9,0)))</f>
        <v>0</v>
      </c>
      <c r="AM105" s="799">
        <f>AL105*(1-IFERROR(IF(AM$77+$F105&lt;=12,SUMIFS('Attrition Modeling'!$D:$D,'Attrition Modeling'!$C:$C,$D105,'Attrition Modeling'!$B:$B,AM$76),VLOOKUP($F105+AM$77,$A$7:$C$107,2,FALSE)*VLOOKUP(AM$76,'Attrition Modeling'!$L$15:$N$27,IF(AM$77+$F105&lt;=24,2,3),FALSE)),$C$3)*(1+IF('IP Attrition'!AM162&gt;0,'Attrition Modeling'!$N$9,0)))</f>
        <v>0</v>
      </c>
      <c r="AN105" s="799">
        <f>AM105*(1-IFERROR(IF(AN$77+$F105&lt;=12,SUMIFS('Attrition Modeling'!$D:$D,'Attrition Modeling'!$C:$C,$D105,'Attrition Modeling'!$B:$B,AN$76),VLOOKUP($F105+AN$77,$A$7:$C$107,2,FALSE)*VLOOKUP(AN$76,'Attrition Modeling'!$L$15:$N$27,IF(AN$77+$F105&lt;=24,2,3),FALSE)),$C$3)*(1+IF('IP Attrition'!AN162&gt;0,'Attrition Modeling'!$N$9,0)))</f>
        <v>0</v>
      </c>
      <c r="AO105" s="799">
        <f>AN105*(1-IFERROR(IF(AO$77+$F105&lt;=12,SUMIFS('Attrition Modeling'!$D:$D,'Attrition Modeling'!$C:$C,$D105,'Attrition Modeling'!$B:$B,AO$76),VLOOKUP($F105+AO$77,$A$7:$C$107,2,FALSE)*VLOOKUP(AO$76,'Attrition Modeling'!$L$15:$N$27,IF(AO$77+$F105&lt;=24,2,3),FALSE)),$C$3)*(1+IF('IP Attrition'!AO162&gt;0,'Attrition Modeling'!$N$9,0)))</f>
        <v>0</v>
      </c>
      <c r="AP105" s="799">
        <f>AO105*(1-IFERROR(IF(AP$77+$F105&lt;=12,SUMIFS('Attrition Modeling'!$D:$D,'Attrition Modeling'!$C:$C,$D105,'Attrition Modeling'!$B:$B,AP$76),VLOOKUP($F105+AP$77,$A$7:$C$107,2,FALSE)*VLOOKUP(AP$76,'Attrition Modeling'!$L$15:$N$27,IF(AP$77+$F105&lt;=24,2,3),FALSE)),$C$3)*(1+IF('IP Attrition'!AP162&gt;0,'Attrition Modeling'!$N$9,0)))</f>
        <v>0</v>
      </c>
      <c r="AQ105" s="799">
        <f>AP105*(1-IFERROR(IF(AQ$77+$F105&lt;=12,SUMIFS('Attrition Modeling'!$D:$D,'Attrition Modeling'!$C:$C,$D105,'Attrition Modeling'!$B:$B,AQ$76),VLOOKUP($F105+AQ$77,$A$7:$C$107,2,FALSE)*VLOOKUP(AQ$76,'Attrition Modeling'!$L$15:$N$27,IF(AQ$77+$F105&lt;=24,2,3),FALSE)),$C$3)*(1+IF('IP Attrition'!AQ162&gt;0,'Attrition Modeling'!$N$9,0)))</f>
        <v>0</v>
      </c>
      <c r="AR105" s="799">
        <f>AQ105*(1-IFERROR(IF(AR$77+$F105&lt;=12,SUMIFS('Attrition Modeling'!$D:$D,'Attrition Modeling'!$C:$C,$D105,'Attrition Modeling'!$B:$B,AR$76),VLOOKUP($F105+AR$77,$A$7:$C$107,2,FALSE)*VLOOKUP(AR$76,'Attrition Modeling'!$L$15:$N$27,IF(AR$77+$F105&lt;=24,2,3),FALSE)),$C$3)*(1+IF('IP Attrition'!AR162&gt;0,'Attrition Modeling'!$N$9,0)))</f>
        <v>0</v>
      </c>
      <c r="AS105" s="799">
        <f>AR105*(1-IFERROR(IF(AS$77+$F105&lt;=12,SUMIFS('Attrition Modeling'!$D:$D,'Attrition Modeling'!$C:$C,$D105,'Attrition Modeling'!$B:$B,AS$76),VLOOKUP($F105+AS$77,$A$7:$C$107,2,FALSE)*VLOOKUP(AS$76,'Attrition Modeling'!$L$15:$N$27,IF(AS$77+$F105&lt;=24,2,3),FALSE)),$C$3)*(1+IF('IP Attrition'!AS162&gt;0,'Attrition Modeling'!$N$9,0)))</f>
        <v>0</v>
      </c>
      <c r="AT105" s="799">
        <f>AS105*(1-IFERROR(IF(AT$77+$F105&lt;=12,SUMIFS('Attrition Modeling'!$D:$D,'Attrition Modeling'!$C:$C,$D105,'Attrition Modeling'!$B:$B,AT$76),VLOOKUP($F105+AT$77,$A$7:$C$107,2,FALSE)*VLOOKUP(AT$76,'Attrition Modeling'!$L$15:$N$27,IF(AT$77+$F105&lt;=24,2,3),FALSE)),$C$3)*(1+IF('IP Attrition'!AT162&gt;0,'Attrition Modeling'!$N$9,0)))</f>
        <v>0</v>
      </c>
      <c r="AU105" s="799">
        <f>AT105*(1-IFERROR(IF(AU$77+$F105&lt;=12,SUMIFS('Attrition Modeling'!$D:$D,'Attrition Modeling'!$C:$C,$D105,'Attrition Modeling'!$B:$B,AU$76),VLOOKUP($F105+AU$77,$A$7:$C$107,2,FALSE)*VLOOKUP(AU$76,'Attrition Modeling'!$L$15:$N$27,IF(AU$77+$F105&lt;=24,2,3),FALSE)),$C$3)*(1+IF('IP Attrition'!AU162&gt;0,'Attrition Modeling'!$N$9,0)))</f>
        <v>0</v>
      </c>
      <c r="AV105" s="799">
        <f>AU105*(1-IFERROR(IF(AV$77+$F105&lt;=12,SUMIFS('Attrition Modeling'!$D:$D,'Attrition Modeling'!$C:$C,$D105,'Attrition Modeling'!$B:$B,AV$76),VLOOKUP($F105+AV$77,$A$7:$C$107,2,FALSE)*VLOOKUP(AV$76,'Attrition Modeling'!$L$15:$N$27,IF(AV$77+$F105&lt;=24,2,3),FALSE)),$C$3)*(1+IF('IP Attrition'!AV162&gt;0,'Attrition Modeling'!$N$9,0)))</f>
        <v>0</v>
      </c>
      <c r="AW105" s="799">
        <f>AV105*(1-IFERROR(IF(AW$77+$F105&lt;=12,SUMIFS('Attrition Modeling'!$D:$D,'Attrition Modeling'!$C:$C,$D105,'Attrition Modeling'!$B:$B,AW$76),VLOOKUP($F105+AW$77,$A$7:$C$107,2,FALSE)*VLOOKUP(AW$76,'Attrition Modeling'!$L$15:$N$27,IF(AW$77+$F105&lt;=24,2,3),FALSE)),$C$3)*(1+IF('IP Attrition'!AW162&gt;0,'Attrition Modeling'!$N$9,0)))</f>
        <v>0</v>
      </c>
      <c r="AX105" s="799">
        <f>AW105*(1-IFERROR(IF(AX$77+$F105&lt;=12,SUMIFS('Attrition Modeling'!$D:$D,'Attrition Modeling'!$C:$C,$D105,'Attrition Modeling'!$B:$B,AX$76),VLOOKUP($F105+AX$77,$A$7:$C$107,2,FALSE)*VLOOKUP(AX$76,'Attrition Modeling'!$L$15:$N$27,IF(AX$77+$F105&lt;=24,2,3),FALSE)),$C$3)*(1+IF('IP Attrition'!AX162&gt;0,'Attrition Modeling'!$N$9,0)))</f>
        <v>0</v>
      </c>
      <c r="AY105" s="799">
        <f>AX105*(1-IFERROR(IF(AY$77+$F105&lt;=12,SUMIFS('Attrition Modeling'!$D:$D,'Attrition Modeling'!$C:$C,$D105,'Attrition Modeling'!$B:$B,AY$76),VLOOKUP($F105+AY$77,$A$7:$C$107,2,FALSE)*VLOOKUP(AY$76,'Attrition Modeling'!$L$15:$N$27,IF(AY$77+$F105&lt;=24,2,3),FALSE)),$C$3)*(1+IF('IP Attrition'!AY162&gt;0,'Attrition Modeling'!$N$9,0)))</f>
        <v>0</v>
      </c>
      <c r="AZ105" s="799">
        <f>AY105*(1-IFERROR(IF(AZ$77+$F105&lt;=12,SUMIFS('Attrition Modeling'!$D:$D,'Attrition Modeling'!$C:$C,$D105,'Attrition Modeling'!$B:$B,AZ$76),VLOOKUP($F105+AZ$77,$A$7:$C$107,2,FALSE)*VLOOKUP(AZ$76,'Attrition Modeling'!$L$15:$N$27,IF(AZ$77+$F105&lt;=24,2,3),FALSE)),$C$3)*(1+IF('IP Attrition'!AZ162&gt;0,'Attrition Modeling'!$N$9,0)))</f>
        <v>0</v>
      </c>
      <c r="BA105" s="799">
        <f>AZ105*(1-IFERROR(IF(BA$77+$F105&lt;=12,SUMIFS('Attrition Modeling'!$D:$D,'Attrition Modeling'!$C:$C,$D105,'Attrition Modeling'!$B:$B,BA$76),VLOOKUP($F105+BA$77,$A$7:$C$107,2,FALSE)*VLOOKUP(BA$76,'Attrition Modeling'!$L$15:$N$27,IF(BA$77+$F105&lt;=24,2,3),FALSE)),$C$3)*(1+IF('IP Attrition'!BA162&gt;0,'Attrition Modeling'!$N$9,0)))</f>
        <v>0</v>
      </c>
      <c r="BB105" s="799">
        <f>BA105*(1-IFERROR(IF(BB$77+$F105&lt;=12,SUMIFS('Attrition Modeling'!$D:$D,'Attrition Modeling'!$C:$C,$D105,'Attrition Modeling'!$B:$B,BB$76),VLOOKUP($F105+BB$77,$A$7:$C$107,2,FALSE)*VLOOKUP(BB$76,'Attrition Modeling'!$L$15:$N$27,IF(BB$77+$F105&lt;=24,2,3),FALSE)),$C$3)*(1+IF('IP Attrition'!BB162&gt;0,'Attrition Modeling'!$N$9,0)))</f>
        <v>0</v>
      </c>
      <c r="BC105" s="799">
        <f>BB105*(1-IFERROR(IF(BC$77+$F105&lt;=12,SUMIFS('Attrition Modeling'!$D:$D,'Attrition Modeling'!$C:$C,$D105,'Attrition Modeling'!$B:$B,BC$76),VLOOKUP($F105+BC$77,$A$7:$C$107,2,FALSE)*VLOOKUP(BC$76,'Attrition Modeling'!$L$15:$N$27,IF(BC$77+$F105&lt;=24,2,3),FALSE)),$C$3)*(1+IF('IP Attrition'!BC162&gt;0,'Attrition Modeling'!$N$9,0)))</f>
        <v>0</v>
      </c>
      <c r="BD105" s="799">
        <f>BC105*(1-IFERROR(IF(BD$77+$F105&lt;=12,SUMIFS('Attrition Modeling'!$D:$D,'Attrition Modeling'!$C:$C,$D105,'Attrition Modeling'!$B:$B,BD$76),VLOOKUP($F105+BD$77,$A$7:$C$107,2,FALSE)*VLOOKUP(BD$76,'Attrition Modeling'!$L$15:$N$27,IF(BD$77+$F105&lt;=24,2,3),FALSE)),$C$3)*(1+IF('IP Attrition'!BD162&gt;0,'Attrition Modeling'!$N$9,0)))</f>
        <v>0</v>
      </c>
      <c r="BE105" s="799">
        <f>BD105*(1-IFERROR(IF(BE$77+$F105&lt;=12,SUMIFS('Attrition Modeling'!$D:$D,'Attrition Modeling'!$C:$C,$D105,'Attrition Modeling'!$B:$B,BE$76),VLOOKUP($F105+BE$77,$A$7:$C$107,2,FALSE)*VLOOKUP(BE$76,'Attrition Modeling'!$L$15:$N$27,IF(BE$77+$F105&lt;=24,2,3),FALSE)),$C$3)*(1+IF('IP Attrition'!BE162&gt;0,'Attrition Modeling'!$N$9,0)))</f>
        <v>0</v>
      </c>
      <c r="BF105" s="799">
        <f>BE105*(1-IFERROR(IF(BF$77+$F105&lt;=12,SUMIFS('Attrition Modeling'!$D:$D,'Attrition Modeling'!$C:$C,$D105,'Attrition Modeling'!$B:$B,BF$76),VLOOKUP($F105+BF$77,$A$7:$C$107,2,FALSE)*VLOOKUP(BF$76,'Attrition Modeling'!$L$15:$N$27,IF(BF$77+$F105&lt;=24,2,3),FALSE)),$C$3)*(1+IF('IP Attrition'!BF162&gt;0,'Attrition Modeling'!$N$9,0)))</f>
        <v>0</v>
      </c>
      <c r="BG105" s="799">
        <f>BF105*(1-IFERROR(IF(BG$77+$F105&lt;=12,SUMIFS('Attrition Modeling'!$D:$D,'Attrition Modeling'!$C:$C,$D105,'Attrition Modeling'!$B:$B,BG$76),VLOOKUP($F105+BG$77,$A$7:$C$107,2,FALSE)*VLOOKUP(BG$76,'Attrition Modeling'!$L$15:$N$27,IF(BG$77+$F105&lt;=24,2,3),FALSE)),$C$3)*(1+IF('IP Attrition'!BG162&gt;0,'Attrition Modeling'!$N$9,0)))</f>
        <v>0</v>
      </c>
      <c r="BH105" s="799">
        <f>BG105*(1-IFERROR(IF(BH$77+$F105&lt;=12,SUMIFS('Attrition Modeling'!$D:$D,'Attrition Modeling'!$C:$C,$D105,'Attrition Modeling'!$B:$B,BH$76),VLOOKUP($F105+BH$77,$A$7:$C$107,2,FALSE)*VLOOKUP(BH$76,'Attrition Modeling'!$L$15:$N$27,IF(BH$77+$F105&lt;=24,2,3),FALSE)),$C$3)*(1+IF('IP Attrition'!BH162&gt;0,'Attrition Modeling'!$N$9,0)))</f>
        <v>0</v>
      </c>
      <c r="BI105" s="799">
        <f>BH105*(1-IFERROR(IF(BI$77+$F105&lt;=12,SUMIFS('Attrition Modeling'!$D:$D,'Attrition Modeling'!$C:$C,$D105,'Attrition Modeling'!$B:$B,BI$76),VLOOKUP($F105+BI$77,$A$7:$C$107,2,FALSE)*VLOOKUP(BI$76,'Attrition Modeling'!$L$15:$N$27,IF(BI$77+$F105&lt;=24,2,3),FALSE)),$C$3)*(1+IF('IP Attrition'!BI162&gt;0,'Attrition Modeling'!$N$9,0)))</f>
        <v>0</v>
      </c>
      <c r="BJ105" s="799">
        <f>BI105*(1-IFERROR(IF(BJ$77+$F105&lt;=12,SUMIFS('Attrition Modeling'!$D:$D,'Attrition Modeling'!$C:$C,$D105,'Attrition Modeling'!$B:$B,BJ$76),VLOOKUP($F105+BJ$77,$A$7:$C$107,2,FALSE)*VLOOKUP(BJ$76,'Attrition Modeling'!$L$15:$N$27,IF(BJ$77+$F105&lt;=24,2,3),FALSE)),$C$3)*(1+IF('IP Attrition'!BJ162&gt;0,'Attrition Modeling'!$N$9,0)))</f>
        <v>0</v>
      </c>
      <c r="BK105" s="799">
        <f>BJ105*(1-IFERROR(IF(BK$77+$F105&lt;=12,SUMIFS('Attrition Modeling'!$D:$D,'Attrition Modeling'!$C:$C,$D105,'Attrition Modeling'!$B:$B,BK$76),VLOOKUP($F105+BK$77,$A$7:$C$107,2,FALSE)*VLOOKUP(BK$76,'Attrition Modeling'!$L$15:$N$27,IF(BK$77+$F105&lt;=24,2,3),FALSE)),$C$3)*(1+IF('IP Attrition'!BK162&gt;0,'Attrition Modeling'!$N$9,0)))</f>
        <v>0</v>
      </c>
      <c r="BL105" s="799">
        <f>BK105*(1-IFERROR(IF(BL$77+$F105&lt;=12,SUMIFS('Attrition Modeling'!$D:$D,'Attrition Modeling'!$C:$C,$D105,'Attrition Modeling'!$B:$B,BL$76),VLOOKUP($F105+BL$77,$A$7:$C$107,2,FALSE)*VLOOKUP(BL$76,'Attrition Modeling'!$L$15:$N$27,IF(BL$77+$F105&lt;=24,2,3),FALSE)),$C$3)*(1+IF('IP Attrition'!BL162&gt;0,'Attrition Modeling'!$N$9,0)))</f>
        <v>0</v>
      </c>
      <c r="BM105" s="799">
        <f>BL105*(1-IFERROR(IF(BM$77+$F105&lt;=12,SUMIFS('Attrition Modeling'!$D:$D,'Attrition Modeling'!$C:$C,$D105,'Attrition Modeling'!$B:$B,BM$76),VLOOKUP($F105+BM$77,$A$7:$C$107,2,FALSE)*VLOOKUP(BM$76,'Attrition Modeling'!$L$15:$N$27,IF(BM$77+$F105&lt;=24,2,3),FALSE)),$C$3)*(1+IF('IP Attrition'!BM162&gt;0,'Attrition Modeling'!$N$9,0)))</f>
        <v>0</v>
      </c>
      <c r="BN105" s="799">
        <f>BM105*(1-IFERROR(IF(BN$77+$F105&lt;=12,SUMIFS('Attrition Modeling'!$D:$D,'Attrition Modeling'!$C:$C,$D105,'Attrition Modeling'!$B:$B,BN$76),VLOOKUP($F105+BN$77,$A$7:$C$107,2,FALSE)*VLOOKUP(BN$76,'Attrition Modeling'!$L$15:$N$27,IF(BN$77+$F105&lt;=24,2,3),FALSE)),$C$3)*(1+IF('IP Attrition'!BN162&gt;0,'Attrition Modeling'!$N$9,0)))</f>
        <v>0</v>
      </c>
      <c r="BO105" s="799">
        <f>BN105*(1-IFERROR(IF(BO$77+$F105&lt;=12,SUMIFS('Attrition Modeling'!$D:$D,'Attrition Modeling'!$C:$C,$D105,'Attrition Modeling'!$B:$B,BO$76),VLOOKUP($F105+BO$77,$A$7:$C$107,2,FALSE)*VLOOKUP(BO$76,'Attrition Modeling'!$L$15:$N$27,IF(BO$77+$F105&lt;=24,2,3),FALSE)),$C$3)*(1+IF('IP Attrition'!BO162&gt;0,'Attrition Modeling'!$N$9,0)))</f>
        <v>0</v>
      </c>
      <c r="BP105" s="799">
        <f>BO105*(1-IFERROR(IF(BP$77+$F105&lt;=12,SUMIFS('Attrition Modeling'!$D:$D,'Attrition Modeling'!$C:$C,$D105,'Attrition Modeling'!$B:$B,BP$76),VLOOKUP($F105+BP$77,$A$7:$C$107,2,FALSE)*VLOOKUP(BP$76,'Attrition Modeling'!$L$15:$N$27,IF(BP$77+$F105&lt;=24,2,3),FALSE)),$C$3)*(1+IF('IP Attrition'!BP162&gt;0,'Attrition Modeling'!$N$9,0)))</f>
        <v>0</v>
      </c>
      <c r="BQ105" s="799">
        <f>BP105*(1-IFERROR(IF(BQ$77+$F105&lt;=12,SUMIFS('Attrition Modeling'!$D:$D,'Attrition Modeling'!$C:$C,$D105,'Attrition Modeling'!$B:$B,BQ$76),VLOOKUP($F105+BQ$77,$A$7:$C$107,2,FALSE)*VLOOKUP(BQ$76,'Attrition Modeling'!$L$15:$N$27,IF(BQ$77+$F105&lt;=24,2,3),FALSE)),$C$3)*(1+IF('IP Attrition'!BQ162&gt;0,'Attrition Modeling'!$N$9,0)))</f>
        <v>0</v>
      </c>
      <c r="BR105" s="799">
        <f>BQ105*(1-IFERROR(IF(BR$77+$F105&lt;=12,SUMIFS('Attrition Modeling'!$D:$D,'Attrition Modeling'!$C:$C,$D105,'Attrition Modeling'!$B:$B,BR$76),VLOOKUP($F105+BR$77,$A$7:$C$107,2,FALSE)*VLOOKUP(BR$76,'Attrition Modeling'!$L$15:$N$27,IF(BR$77+$F105&lt;=24,2,3),FALSE)),$C$3)*(1+IF('IP Attrition'!BR162&gt;0,'Attrition Modeling'!$N$9,0)))</f>
        <v>0</v>
      </c>
      <c r="BS105" s="799">
        <f>BR105*(1-IFERROR(IF(BS$77+$F105&lt;=12,SUMIFS('Attrition Modeling'!$D:$D,'Attrition Modeling'!$C:$C,$D105,'Attrition Modeling'!$B:$B,BS$76),VLOOKUP($F105+BS$77,$A$7:$C$107,2,FALSE)*VLOOKUP(BS$76,'Attrition Modeling'!$L$15:$N$27,IF(BS$77+$F105&lt;=24,2,3),FALSE)),$C$3)*(1+IF('IP Attrition'!BS162&gt;0,'Attrition Modeling'!$N$9,0)))</f>
        <v>0</v>
      </c>
      <c r="BT105" s="799" t="e">
        <f>BS105*(1-IFERROR(IF(BT$77+$F105&lt;=12,SUMIFS('Attrition Modeling'!$D:$D,'Attrition Modeling'!$C:$C,$D105,'Attrition Modeling'!$B:$B,BT$76),VLOOKUP($F105+BT$77,$A$7:$C$107,2,FALSE)*VLOOKUP(BT$76,'Attrition Modeling'!$L$15:$N$27,IF(BT$77+$F105&lt;=24,2,3),FALSE)),$C$3)*(1+IF('IP Attrition'!BT162&gt;0,'Attrition Modeling'!$N$9,0)))</f>
        <v>#REF!</v>
      </c>
      <c r="BU105" s="799" t="e">
        <f>BT105*(1-IFERROR(IF(BU$77+$F105&lt;=12,SUMIFS('Attrition Modeling'!$D:$D,'Attrition Modeling'!$C:$C,$D105,'Attrition Modeling'!$B:$B,BU$76),VLOOKUP($F105+BU$77,$A$7:$C$107,2,FALSE)*VLOOKUP(BU$76,'Attrition Modeling'!$L$15:$N$27,IF(BU$77+$F105&lt;=24,2,3),FALSE)),$C$3)*(1+IF('IP Attrition'!BU162&gt;0,'Attrition Modeling'!$N$9,0)))</f>
        <v>#REF!</v>
      </c>
    </row>
    <row r="106" spans="1:73" ht="14.25" customHeight="1" x14ac:dyDescent="0.2">
      <c r="A106" s="9">
        <v>98</v>
      </c>
      <c r="B106" s="25">
        <f>MAX('Attrition Modeling'!H102,$C$3)*(1-Summary!$C$20)</f>
        <v>0.02</v>
      </c>
      <c r="C106" s="24" t="e">
        <f t="shared" si="2"/>
        <v>#DIV/0!</v>
      </c>
      <c r="D106" s="11">
        <f>'IP Attrition'!D98</f>
        <v>-28</v>
      </c>
      <c r="E106" s="25">
        <f>'IP Attrition'!E98</f>
        <v>0</v>
      </c>
      <c r="F106" s="11">
        <f t="shared" si="8"/>
        <v>28</v>
      </c>
      <c r="G106" s="799">
        <f>Summary!$C$24*$E106</f>
        <v>0</v>
      </c>
      <c r="H106" s="799">
        <f>G106*(1-IFERROR(IF(H$77+$F106&lt;=12,SUMIFS('Attrition Modeling'!$D:$D,'Attrition Modeling'!$C:$C,$D106,'Attrition Modeling'!$B:$B,H$76),VLOOKUP($F106+H$77,$A$7:$C$107,2,FALSE)*VLOOKUP(H$76,'Attrition Modeling'!$L$15:$N$27,IF(H$77+$F106&lt;=24,2,3),FALSE)),$C$3)*(1+IF('IP Attrition'!H163&gt;0,'Attrition Modeling'!$N$9,0)))</f>
        <v>0</v>
      </c>
      <c r="I106" s="799">
        <f>H106*(1-IFERROR(IF(I$77+$F106&lt;=12,SUMIFS('Attrition Modeling'!$D:$D,'Attrition Modeling'!$C:$C,$D106,'Attrition Modeling'!$B:$B,I$76),VLOOKUP($F106+I$77,$A$7:$C$107,2,FALSE)*VLOOKUP(I$76,'Attrition Modeling'!$L$15:$N$27,IF(I$77+$F106&lt;=24,2,3),FALSE)),$C$3)*(1+IF('IP Attrition'!I163&gt;0,'Attrition Modeling'!$N$9,0)))</f>
        <v>0</v>
      </c>
      <c r="J106" s="799">
        <f>I106*(1-IFERROR(IF(J$77+$F106&lt;=12,SUMIFS('Attrition Modeling'!$D:$D,'Attrition Modeling'!$C:$C,$D106,'Attrition Modeling'!$B:$B,J$76),VLOOKUP($F106+J$77,$A$7:$C$107,2,FALSE)*VLOOKUP(J$76,'Attrition Modeling'!$L$15:$N$27,IF(J$77+$F106&lt;=24,2,3),FALSE)),$C$3)*(1+IF('IP Attrition'!J163&gt;0,'Attrition Modeling'!$N$9,0)))</f>
        <v>0</v>
      </c>
      <c r="K106" s="799">
        <f>J106*(1-IFERROR(IF(K$77+$F106&lt;=12,SUMIFS('Attrition Modeling'!$D:$D,'Attrition Modeling'!$C:$C,$D106,'Attrition Modeling'!$B:$B,K$76),VLOOKUP($F106+K$77,$A$7:$C$107,2,FALSE)*VLOOKUP(K$76,'Attrition Modeling'!$L$15:$N$27,IF(K$77+$F106&lt;=24,2,3),FALSE)),$C$3)*(1+IF('IP Attrition'!K163&gt;0,'Attrition Modeling'!$N$9,0)))</f>
        <v>0</v>
      </c>
      <c r="L106" s="799">
        <f>K106*(1-IFERROR(IF(L$77+$F106&lt;=12,SUMIFS('Attrition Modeling'!$D:$D,'Attrition Modeling'!$C:$C,$D106,'Attrition Modeling'!$B:$B,L$76),VLOOKUP($F106+L$77,$A$7:$C$107,2,FALSE)*VLOOKUP(L$76,'Attrition Modeling'!$L$15:$N$27,IF(L$77+$F106&lt;=24,2,3),FALSE)),$C$3)*(1+IF('IP Attrition'!L163&gt;0,'Attrition Modeling'!$N$9,0)))</f>
        <v>0</v>
      </c>
      <c r="M106" s="799">
        <f>L106*(1-IFERROR(IF(M$77+$F106&lt;=12,SUMIFS('Attrition Modeling'!$D:$D,'Attrition Modeling'!$C:$C,$D106,'Attrition Modeling'!$B:$B,M$76),VLOOKUP($F106+M$77,$A$7:$C$107,2,FALSE)*VLOOKUP(M$76,'Attrition Modeling'!$L$15:$N$27,IF(M$77+$F106&lt;=24,2,3),FALSE)),$C$3)*(1+IF('IP Attrition'!M163&gt;0,'Attrition Modeling'!$N$9,0)))</f>
        <v>0</v>
      </c>
      <c r="N106" s="799">
        <f>M106*(1-IFERROR(IF(N$77+$F106&lt;=12,SUMIFS('Attrition Modeling'!$D:$D,'Attrition Modeling'!$C:$C,$D106,'Attrition Modeling'!$B:$B,N$76),VLOOKUP($F106+N$77,$A$7:$C$107,2,FALSE)*VLOOKUP(N$76,'Attrition Modeling'!$L$15:$N$27,IF(N$77+$F106&lt;=24,2,3),FALSE)),$C$3)*(1+IF('IP Attrition'!N163&gt;0,'Attrition Modeling'!$N$9,0)))</f>
        <v>0</v>
      </c>
      <c r="O106" s="799">
        <f>N106*(1-IFERROR(IF(O$77+$F106&lt;=12,SUMIFS('Attrition Modeling'!$D:$D,'Attrition Modeling'!$C:$C,$D106,'Attrition Modeling'!$B:$B,O$76),VLOOKUP($F106+O$77,$A$7:$C$107,2,FALSE)*VLOOKUP(O$76,'Attrition Modeling'!$L$15:$N$27,IF(O$77+$F106&lt;=24,2,3),FALSE)),$C$3)*(1+IF('IP Attrition'!O163&gt;0,'Attrition Modeling'!$N$9,0)))</f>
        <v>0</v>
      </c>
      <c r="P106" s="799">
        <f>O106*(1-IFERROR(IF(P$77+$F106&lt;=12,SUMIFS('Attrition Modeling'!$D:$D,'Attrition Modeling'!$C:$C,$D106,'Attrition Modeling'!$B:$B,P$76),VLOOKUP($F106+P$77,$A$7:$C$107,2,FALSE)*VLOOKUP(P$76,'Attrition Modeling'!$L$15:$N$27,IF(P$77+$F106&lt;=24,2,3),FALSE)),$C$3)*(1+IF('IP Attrition'!P163&gt;0,'Attrition Modeling'!$N$9,0)))</f>
        <v>0</v>
      </c>
      <c r="Q106" s="799">
        <f>P106*(1-IFERROR(IF(Q$77+$F106&lt;=12,SUMIFS('Attrition Modeling'!$D:$D,'Attrition Modeling'!$C:$C,$D106,'Attrition Modeling'!$B:$B,Q$76),VLOOKUP($F106+Q$77,$A$7:$C$107,2,FALSE)*VLOOKUP(Q$76,'Attrition Modeling'!$L$15:$N$27,IF(Q$77+$F106&lt;=24,2,3),FALSE)),$C$3)*(1+IF('IP Attrition'!Q163&gt;0,'Attrition Modeling'!$N$9,0)))</f>
        <v>0</v>
      </c>
      <c r="R106" s="799">
        <f>Q106*(1-IFERROR(IF(R$77+$F106&lt;=12,SUMIFS('Attrition Modeling'!$D:$D,'Attrition Modeling'!$C:$C,$D106,'Attrition Modeling'!$B:$B,R$76),VLOOKUP($F106+R$77,$A$7:$C$107,2,FALSE)*VLOOKUP(R$76,'Attrition Modeling'!$L$15:$N$27,IF(R$77+$F106&lt;=24,2,3),FALSE)),$C$3)*(1+IF('IP Attrition'!R163&gt;0,'Attrition Modeling'!$N$9,0)))</f>
        <v>0</v>
      </c>
      <c r="S106" s="799">
        <f>R106*(1-IFERROR(IF(S$77+$F106&lt;=12,SUMIFS('Attrition Modeling'!$D:$D,'Attrition Modeling'!$C:$C,$D106,'Attrition Modeling'!$B:$B,S$76),VLOOKUP($F106+S$77,$A$7:$C$107,2,FALSE)*VLOOKUP(S$76,'Attrition Modeling'!$L$15:$N$27,IF(S$77+$F106&lt;=24,2,3),FALSE)),$C$3)*(1+IF('IP Attrition'!S163&gt;0,'Attrition Modeling'!$N$9,0)))</f>
        <v>0</v>
      </c>
      <c r="T106" s="799">
        <f>S106*(1-IFERROR(IF(T$77+$F106&lt;=12,SUMIFS('Attrition Modeling'!$D:$D,'Attrition Modeling'!$C:$C,$D106,'Attrition Modeling'!$B:$B,T$76),VLOOKUP($F106+T$77,$A$7:$C$107,2,FALSE)*VLOOKUP(T$76,'Attrition Modeling'!$L$15:$N$27,IF(T$77+$F106&lt;=24,2,3),FALSE)),$C$3)*(1+IF('IP Attrition'!T163&gt;0,'Attrition Modeling'!$N$9,0)))</f>
        <v>0</v>
      </c>
      <c r="U106" s="799">
        <f>T106*(1-IFERROR(IF(U$77+$F106&lt;=12,SUMIFS('Attrition Modeling'!$D:$D,'Attrition Modeling'!$C:$C,$D106,'Attrition Modeling'!$B:$B,U$76),VLOOKUP($F106+U$77,$A$7:$C$107,2,FALSE)*VLOOKUP(U$76,'Attrition Modeling'!$L$15:$N$27,IF(U$77+$F106&lt;=24,2,3),FALSE)),$C$3)*(1+IF('IP Attrition'!U163&gt;0,'Attrition Modeling'!$N$9,0)))</f>
        <v>0</v>
      </c>
      <c r="V106" s="799">
        <f>U106*(1-IFERROR(IF(V$77+$F106&lt;=12,SUMIFS('Attrition Modeling'!$D:$D,'Attrition Modeling'!$C:$C,$D106,'Attrition Modeling'!$B:$B,V$76),VLOOKUP($F106+V$77,$A$7:$C$107,2,FALSE)*VLOOKUP(V$76,'Attrition Modeling'!$L$15:$N$27,IF(V$77+$F106&lt;=24,2,3),FALSE)),$C$3)*(1+IF('IP Attrition'!V163&gt;0,'Attrition Modeling'!$N$9,0)))</f>
        <v>0</v>
      </c>
      <c r="W106" s="799">
        <f>V106*(1-IFERROR(IF(W$77+$F106&lt;=12,SUMIFS('Attrition Modeling'!$D:$D,'Attrition Modeling'!$C:$C,$D106,'Attrition Modeling'!$B:$B,W$76),VLOOKUP($F106+W$77,$A$7:$C$107,2,FALSE)*VLOOKUP(W$76,'Attrition Modeling'!$L$15:$N$27,IF(W$77+$F106&lt;=24,2,3),FALSE)),$C$3)*(1+IF('IP Attrition'!W163&gt;0,'Attrition Modeling'!$N$9,0)))</f>
        <v>0</v>
      </c>
      <c r="X106" s="799">
        <f>W106*(1-IFERROR(IF(X$77+$F106&lt;=12,SUMIFS('Attrition Modeling'!$D:$D,'Attrition Modeling'!$C:$C,$D106,'Attrition Modeling'!$B:$B,X$76),VLOOKUP($F106+X$77,$A$7:$C$107,2,FALSE)*VLOOKUP(X$76,'Attrition Modeling'!$L$15:$N$27,IF(X$77+$F106&lt;=24,2,3),FALSE)),$C$3)*(1+IF('IP Attrition'!X163&gt;0,'Attrition Modeling'!$N$9,0)))</f>
        <v>0</v>
      </c>
      <c r="Y106" s="799">
        <f>X106*(1-IFERROR(IF(Y$77+$F106&lt;=12,SUMIFS('Attrition Modeling'!$D:$D,'Attrition Modeling'!$C:$C,$D106,'Attrition Modeling'!$B:$B,Y$76),VLOOKUP($F106+Y$77,$A$7:$C$107,2,FALSE)*VLOOKUP(Y$76,'Attrition Modeling'!$L$15:$N$27,IF(Y$77+$F106&lt;=24,2,3),FALSE)),$C$3)*(1+IF('IP Attrition'!Y163&gt;0,'Attrition Modeling'!$N$9,0)))</f>
        <v>0</v>
      </c>
      <c r="Z106" s="799">
        <f>Y106*(1-IFERROR(IF(Z$77+$F106&lt;=12,SUMIFS('Attrition Modeling'!$D:$D,'Attrition Modeling'!$C:$C,$D106,'Attrition Modeling'!$B:$B,Z$76),VLOOKUP($F106+Z$77,$A$7:$C$107,2,FALSE)*VLOOKUP(Z$76,'Attrition Modeling'!$L$15:$N$27,IF(Z$77+$F106&lt;=24,2,3),FALSE)),$C$3)*(1+IF('IP Attrition'!Z163&gt;0,'Attrition Modeling'!$N$9,0)))</f>
        <v>0</v>
      </c>
      <c r="AA106" s="799">
        <f>Z106*(1-IFERROR(IF(AA$77+$F106&lt;=12,SUMIFS('Attrition Modeling'!$D:$D,'Attrition Modeling'!$C:$C,$D106,'Attrition Modeling'!$B:$B,AA$76),VLOOKUP($F106+AA$77,$A$7:$C$107,2,FALSE)*VLOOKUP(AA$76,'Attrition Modeling'!$L$15:$N$27,IF(AA$77+$F106&lt;=24,2,3),FALSE)),$C$3)*(1+IF('IP Attrition'!AA163&gt;0,'Attrition Modeling'!$N$9,0)))</f>
        <v>0</v>
      </c>
      <c r="AB106" s="799">
        <f>AA106*(1-IFERROR(IF(AB$77+$F106&lt;=12,SUMIFS('Attrition Modeling'!$D:$D,'Attrition Modeling'!$C:$C,$D106,'Attrition Modeling'!$B:$B,AB$76),VLOOKUP($F106+AB$77,$A$7:$C$107,2,FALSE)*VLOOKUP(AB$76,'Attrition Modeling'!$L$15:$N$27,IF(AB$77+$F106&lt;=24,2,3),FALSE)),$C$3)*(1+IF('IP Attrition'!AB163&gt;0,'Attrition Modeling'!$N$9,0)))</f>
        <v>0</v>
      </c>
      <c r="AC106" s="799">
        <f>AB106*(1-IFERROR(IF(AC$77+$F106&lt;=12,SUMIFS('Attrition Modeling'!$D:$D,'Attrition Modeling'!$C:$C,$D106,'Attrition Modeling'!$B:$B,AC$76),VLOOKUP($F106+AC$77,$A$7:$C$107,2,FALSE)*VLOOKUP(AC$76,'Attrition Modeling'!$L$15:$N$27,IF(AC$77+$F106&lt;=24,2,3),FALSE)),$C$3)*(1+IF('IP Attrition'!AC163&gt;0,'Attrition Modeling'!$N$9,0)))</f>
        <v>0</v>
      </c>
      <c r="AD106" s="799">
        <f>AC106*(1-IFERROR(IF(AD$77+$F106&lt;=12,SUMIFS('Attrition Modeling'!$D:$D,'Attrition Modeling'!$C:$C,$D106,'Attrition Modeling'!$B:$B,AD$76),VLOOKUP($F106+AD$77,$A$7:$C$107,2,FALSE)*VLOOKUP(AD$76,'Attrition Modeling'!$L$15:$N$27,IF(AD$77+$F106&lt;=24,2,3),FALSE)),$C$3)*(1+IF('IP Attrition'!AD163&gt;0,'Attrition Modeling'!$N$9,0)))</f>
        <v>0</v>
      </c>
      <c r="AE106" s="799">
        <f>AD106*(1-IFERROR(IF(AE$77+$F106&lt;=12,SUMIFS('Attrition Modeling'!$D:$D,'Attrition Modeling'!$C:$C,$D106,'Attrition Modeling'!$B:$B,AE$76),VLOOKUP($F106+AE$77,$A$7:$C$107,2,FALSE)*VLOOKUP(AE$76,'Attrition Modeling'!$L$15:$N$27,IF(AE$77+$F106&lt;=24,2,3),FALSE)),$C$3)*(1+IF('IP Attrition'!AE163&gt;0,'Attrition Modeling'!$N$9,0)))</f>
        <v>0</v>
      </c>
      <c r="AF106" s="799">
        <f>AE106*(1-IFERROR(IF(AF$77+$F106&lt;=12,SUMIFS('Attrition Modeling'!$D:$D,'Attrition Modeling'!$C:$C,$D106,'Attrition Modeling'!$B:$B,AF$76),VLOOKUP($F106+AF$77,$A$7:$C$107,2,FALSE)*VLOOKUP(AF$76,'Attrition Modeling'!$L$15:$N$27,IF(AF$77+$F106&lt;=24,2,3),FALSE)),$C$3)*(1+IF('IP Attrition'!AF163&gt;0,'Attrition Modeling'!$N$9,0)))</f>
        <v>0</v>
      </c>
      <c r="AG106" s="799">
        <f>AF106*(1-IFERROR(IF(AG$77+$F106&lt;=12,SUMIFS('Attrition Modeling'!$D:$D,'Attrition Modeling'!$C:$C,$D106,'Attrition Modeling'!$B:$B,AG$76),VLOOKUP($F106+AG$77,$A$7:$C$107,2,FALSE)*VLOOKUP(AG$76,'Attrition Modeling'!$L$15:$N$27,IF(AG$77+$F106&lt;=24,2,3),FALSE)),$C$3)*(1+IF('IP Attrition'!AG163&gt;0,'Attrition Modeling'!$N$9,0)))</f>
        <v>0</v>
      </c>
      <c r="AH106" s="799">
        <f>AG106*(1-IFERROR(IF(AH$77+$F106&lt;=12,SUMIFS('Attrition Modeling'!$D:$D,'Attrition Modeling'!$C:$C,$D106,'Attrition Modeling'!$B:$B,AH$76),VLOOKUP($F106+AH$77,$A$7:$C$107,2,FALSE)*VLOOKUP(AH$76,'Attrition Modeling'!$L$15:$N$27,IF(AH$77+$F106&lt;=24,2,3),FALSE)),$C$3)*(1+IF('IP Attrition'!AH163&gt;0,'Attrition Modeling'!$N$9,0)))</f>
        <v>0</v>
      </c>
      <c r="AI106" s="799">
        <f>AH106*(1-IFERROR(IF(AI$77+$F106&lt;=12,SUMIFS('Attrition Modeling'!$D:$D,'Attrition Modeling'!$C:$C,$D106,'Attrition Modeling'!$B:$B,AI$76),VLOOKUP($F106+AI$77,$A$7:$C$107,2,FALSE)*VLOOKUP(AI$76,'Attrition Modeling'!$L$15:$N$27,IF(AI$77+$F106&lt;=24,2,3),FALSE)),$C$3)*(1+IF('IP Attrition'!AI163&gt;0,'Attrition Modeling'!$N$9,0)))</f>
        <v>0</v>
      </c>
      <c r="AJ106" s="799">
        <f>AI106*(1-IFERROR(IF(AJ$77+$F106&lt;=12,SUMIFS('Attrition Modeling'!$D:$D,'Attrition Modeling'!$C:$C,$D106,'Attrition Modeling'!$B:$B,AJ$76),VLOOKUP($F106+AJ$77,$A$7:$C$107,2,FALSE)*VLOOKUP(AJ$76,'Attrition Modeling'!$L$15:$N$27,IF(AJ$77+$F106&lt;=24,2,3),FALSE)),$C$3)*(1+IF('IP Attrition'!AJ163&gt;0,'Attrition Modeling'!$N$9,0)))</f>
        <v>0</v>
      </c>
      <c r="AK106" s="799">
        <f>AJ106*(1-IFERROR(IF(AK$77+$F106&lt;=12,SUMIFS('Attrition Modeling'!$D:$D,'Attrition Modeling'!$C:$C,$D106,'Attrition Modeling'!$B:$B,AK$76),VLOOKUP($F106+AK$77,$A$7:$C$107,2,FALSE)*VLOOKUP(AK$76,'Attrition Modeling'!$L$15:$N$27,IF(AK$77+$F106&lt;=24,2,3),FALSE)),$C$3)*(1+IF('IP Attrition'!AK163&gt;0,'Attrition Modeling'!$N$9,0)))</f>
        <v>0</v>
      </c>
      <c r="AL106" s="799">
        <f>AK106*(1-IFERROR(IF(AL$77+$F106&lt;=12,SUMIFS('Attrition Modeling'!$D:$D,'Attrition Modeling'!$C:$C,$D106,'Attrition Modeling'!$B:$B,AL$76),VLOOKUP($F106+AL$77,$A$7:$C$107,2,FALSE)*VLOOKUP(AL$76,'Attrition Modeling'!$L$15:$N$27,IF(AL$77+$F106&lt;=24,2,3),FALSE)),$C$3)*(1+IF('IP Attrition'!AL163&gt;0,'Attrition Modeling'!$N$9,0)))</f>
        <v>0</v>
      </c>
      <c r="AM106" s="799">
        <f>AL106*(1-IFERROR(IF(AM$77+$F106&lt;=12,SUMIFS('Attrition Modeling'!$D:$D,'Attrition Modeling'!$C:$C,$D106,'Attrition Modeling'!$B:$B,AM$76),VLOOKUP($F106+AM$77,$A$7:$C$107,2,FALSE)*VLOOKUP(AM$76,'Attrition Modeling'!$L$15:$N$27,IF(AM$77+$F106&lt;=24,2,3),FALSE)),$C$3)*(1+IF('IP Attrition'!AM163&gt;0,'Attrition Modeling'!$N$9,0)))</f>
        <v>0</v>
      </c>
      <c r="AN106" s="799">
        <f>AM106*(1-IFERROR(IF(AN$77+$F106&lt;=12,SUMIFS('Attrition Modeling'!$D:$D,'Attrition Modeling'!$C:$C,$D106,'Attrition Modeling'!$B:$B,AN$76),VLOOKUP($F106+AN$77,$A$7:$C$107,2,FALSE)*VLOOKUP(AN$76,'Attrition Modeling'!$L$15:$N$27,IF(AN$77+$F106&lt;=24,2,3),FALSE)),$C$3)*(1+IF('IP Attrition'!AN163&gt;0,'Attrition Modeling'!$N$9,0)))</f>
        <v>0</v>
      </c>
      <c r="AO106" s="799">
        <f>AN106*(1-IFERROR(IF(AO$77+$F106&lt;=12,SUMIFS('Attrition Modeling'!$D:$D,'Attrition Modeling'!$C:$C,$D106,'Attrition Modeling'!$B:$B,AO$76),VLOOKUP($F106+AO$77,$A$7:$C$107,2,FALSE)*VLOOKUP(AO$76,'Attrition Modeling'!$L$15:$N$27,IF(AO$77+$F106&lt;=24,2,3),FALSE)),$C$3)*(1+IF('IP Attrition'!AO163&gt;0,'Attrition Modeling'!$N$9,0)))</f>
        <v>0</v>
      </c>
      <c r="AP106" s="799">
        <f>AO106*(1-IFERROR(IF(AP$77+$F106&lt;=12,SUMIFS('Attrition Modeling'!$D:$D,'Attrition Modeling'!$C:$C,$D106,'Attrition Modeling'!$B:$B,AP$76),VLOOKUP($F106+AP$77,$A$7:$C$107,2,FALSE)*VLOOKUP(AP$76,'Attrition Modeling'!$L$15:$N$27,IF(AP$77+$F106&lt;=24,2,3),FALSE)),$C$3)*(1+IF('IP Attrition'!AP163&gt;0,'Attrition Modeling'!$N$9,0)))</f>
        <v>0</v>
      </c>
      <c r="AQ106" s="799">
        <f>AP106*(1-IFERROR(IF(AQ$77+$F106&lt;=12,SUMIFS('Attrition Modeling'!$D:$D,'Attrition Modeling'!$C:$C,$D106,'Attrition Modeling'!$B:$B,AQ$76),VLOOKUP($F106+AQ$77,$A$7:$C$107,2,FALSE)*VLOOKUP(AQ$76,'Attrition Modeling'!$L$15:$N$27,IF(AQ$77+$F106&lt;=24,2,3),FALSE)),$C$3)*(1+IF('IP Attrition'!AQ163&gt;0,'Attrition Modeling'!$N$9,0)))</f>
        <v>0</v>
      </c>
      <c r="AR106" s="799">
        <f>AQ106*(1-IFERROR(IF(AR$77+$F106&lt;=12,SUMIFS('Attrition Modeling'!$D:$D,'Attrition Modeling'!$C:$C,$D106,'Attrition Modeling'!$B:$B,AR$76),VLOOKUP($F106+AR$77,$A$7:$C$107,2,FALSE)*VLOOKUP(AR$76,'Attrition Modeling'!$L$15:$N$27,IF(AR$77+$F106&lt;=24,2,3),FALSE)),$C$3)*(1+IF('IP Attrition'!AR163&gt;0,'Attrition Modeling'!$N$9,0)))</f>
        <v>0</v>
      </c>
      <c r="AS106" s="799">
        <f>AR106*(1-IFERROR(IF(AS$77+$F106&lt;=12,SUMIFS('Attrition Modeling'!$D:$D,'Attrition Modeling'!$C:$C,$D106,'Attrition Modeling'!$B:$B,AS$76),VLOOKUP($F106+AS$77,$A$7:$C$107,2,FALSE)*VLOOKUP(AS$76,'Attrition Modeling'!$L$15:$N$27,IF(AS$77+$F106&lt;=24,2,3),FALSE)),$C$3)*(1+IF('IP Attrition'!AS163&gt;0,'Attrition Modeling'!$N$9,0)))</f>
        <v>0</v>
      </c>
      <c r="AT106" s="799">
        <f>AS106*(1-IFERROR(IF(AT$77+$F106&lt;=12,SUMIFS('Attrition Modeling'!$D:$D,'Attrition Modeling'!$C:$C,$D106,'Attrition Modeling'!$B:$B,AT$76),VLOOKUP($F106+AT$77,$A$7:$C$107,2,FALSE)*VLOOKUP(AT$76,'Attrition Modeling'!$L$15:$N$27,IF(AT$77+$F106&lt;=24,2,3),FALSE)),$C$3)*(1+IF('IP Attrition'!AT163&gt;0,'Attrition Modeling'!$N$9,0)))</f>
        <v>0</v>
      </c>
      <c r="AU106" s="799">
        <f>AT106*(1-IFERROR(IF(AU$77+$F106&lt;=12,SUMIFS('Attrition Modeling'!$D:$D,'Attrition Modeling'!$C:$C,$D106,'Attrition Modeling'!$B:$B,AU$76),VLOOKUP($F106+AU$77,$A$7:$C$107,2,FALSE)*VLOOKUP(AU$76,'Attrition Modeling'!$L$15:$N$27,IF(AU$77+$F106&lt;=24,2,3),FALSE)),$C$3)*(1+IF('IP Attrition'!AU163&gt;0,'Attrition Modeling'!$N$9,0)))</f>
        <v>0</v>
      </c>
      <c r="AV106" s="799">
        <f>AU106*(1-IFERROR(IF(AV$77+$F106&lt;=12,SUMIFS('Attrition Modeling'!$D:$D,'Attrition Modeling'!$C:$C,$D106,'Attrition Modeling'!$B:$B,AV$76),VLOOKUP($F106+AV$77,$A$7:$C$107,2,FALSE)*VLOOKUP(AV$76,'Attrition Modeling'!$L$15:$N$27,IF(AV$77+$F106&lt;=24,2,3),FALSE)),$C$3)*(1+IF('IP Attrition'!AV163&gt;0,'Attrition Modeling'!$N$9,0)))</f>
        <v>0</v>
      </c>
      <c r="AW106" s="799">
        <f>AV106*(1-IFERROR(IF(AW$77+$F106&lt;=12,SUMIFS('Attrition Modeling'!$D:$D,'Attrition Modeling'!$C:$C,$D106,'Attrition Modeling'!$B:$B,AW$76),VLOOKUP($F106+AW$77,$A$7:$C$107,2,FALSE)*VLOOKUP(AW$76,'Attrition Modeling'!$L$15:$N$27,IF(AW$77+$F106&lt;=24,2,3),FALSE)),$C$3)*(1+IF('IP Attrition'!AW163&gt;0,'Attrition Modeling'!$N$9,0)))</f>
        <v>0</v>
      </c>
      <c r="AX106" s="799">
        <f>AW106*(1-IFERROR(IF(AX$77+$F106&lt;=12,SUMIFS('Attrition Modeling'!$D:$D,'Attrition Modeling'!$C:$C,$D106,'Attrition Modeling'!$B:$B,AX$76),VLOOKUP($F106+AX$77,$A$7:$C$107,2,FALSE)*VLOOKUP(AX$76,'Attrition Modeling'!$L$15:$N$27,IF(AX$77+$F106&lt;=24,2,3),FALSE)),$C$3)*(1+IF('IP Attrition'!AX163&gt;0,'Attrition Modeling'!$N$9,0)))</f>
        <v>0</v>
      </c>
      <c r="AY106" s="799">
        <f>AX106*(1-IFERROR(IF(AY$77+$F106&lt;=12,SUMIFS('Attrition Modeling'!$D:$D,'Attrition Modeling'!$C:$C,$D106,'Attrition Modeling'!$B:$B,AY$76),VLOOKUP($F106+AY$77,$A$7:$C$107,2,FALSE)*VLOOKUP(AY$76,'Attrition Modeling'!$L$15:$N$27,IF(AY$77+$F106&lt;=24,2,3),FALSE)),$C$3)*(1+IF('IP Attrition'!AY163&gt;0,'Attrition Modeling'!$N$9,0)))</f>
        <v>0</v>
      </c>
      <c r="AZ106" s="799">
        <f>AY106*(1-IFERROR(IF(AZ$77+$F106&lt;=12,SUMIFS('Attrition Modeling'!$D:$D,'Attrition Modeling'!$C:$C,$D106,'Attrition Modeling'!$B:$B,AZ$76),VLOOKUP($F106+AZ$77,$A$7:$C$107,2,FALSE)*VLOOKUP(AZ$76,'Attrition Modeling'!$L$15:$N$27,IF(AZ$77+$F106&lt;=24,2,3),FALSE)),$C$3)*(1+IF('IP Attrition'!AZ163&gt;0,'Attrition Modeling'!$N$9,0)))</f>
        <v>0</v>
      </c>
      <c r="BA106" s="799">
        <f>AZ106*(1-IFERROR(IF(BA$77+$F106&lt;=12,SUMIFS('Attrition Modeling'!$D:$D,'Attrition Modeling'!$C:$C,$D106,'Attrition Modeling'!$B:$B,BA$76),VLOOKUP($F106+BA$77,$A$7:$C$107,2,FALSE)*VLOOKUP(BA$76,'Attrition Modeling'!$L$15:$N$27,IF(BA$77+$F106&lt;=24,2,3),FALSE)),$C$3)*(1+IF('IP Attrition'!BA163&gt;0,'Attrition Modeling'!$N$9,0)))</f>
        <v>0</v>
      </c>
      <c r="BB106" s="799">
        <f>BA106*(1-IFERROR(IF(BB$77+$F106&lt;=12,SUMIFS('Attrition Modeling'!$D:$D,'Attrition Modeling'!$C:$C,$D106,'Attrition Modeling'!$B:$B,BB$76),VLOOKUP($F106+BB$77,$A$7:$C$107,2,FALSE)*VLOOKUP(BB$76,'Attrition Modeling'!$L$15:$N$27,IF(BB$77+$F106&lt;=24,2,3),FALSE)),$C$3)*(1+IF('IP Attrition'!BB163&gt;0,'Attrition Modeling'!$N$9,0)))</f>
        <v>0</v>
      </c>
      <c r="BC106" s="799">
        <f>BB106*(1-IFERROR(IF(BC$77+$F106&lt;=12,SUMIFS('Attrition Modeling'!$D:$D,'Attrition Modeling'!$C:$C,$D106,'Attrition Modeling'!$B:$B,BC$76),VLOOKUP($F106+BC$77,$A$7:$C$107,2,FALSE)*VLOOKUP(BC$76,'Attrition Modeling'!$L$15:$N$27,IF(BC$77+$F106&lt;=24,2,3),FALSE)),$C$3)*(1+IF('IP Attrition'!BC163&gt;0,'Attrition Modeling'!$N$9,0)))</f>
        <v>0</v>
      </c>
      <c r="BD106" s="799">
        <f>BC106*(1-IFERROR(IF(BD$77+$F106&lt;=12,SUMIFS('Attrition Modeling'!$D:$D,'Attrition Modeling'!$C:$C,$D106,'Attrition Modeling'!$B:$B,BD$76),VLOOKUP($F106+BD$77,$A$7:$C$107,2,FALSE)*VLOOKUP(BD$76,'Attrition Modeling'!$L$15:$N$27,IF(BD$77+$F106&lt;=24,2,3),FALSE)),$C$3)*(1+IF('IP Attrition'!BD163&gt;0,'Attrition Modeling'!$N$9,0)))</f>
        <v>0</v>
      </c>
      <c r="BE106" s="799">
        <f>BD106*(1-IFERROR(IF(BE$77+$F106&lt;=12,SUMIFS('Attrition Modeling'!$D:$D,'Attrition Modeling'!$C:$C,$D106,'Attrition Modeling'!$B:$B,BE$76),VLOOKUP($F106+BE$77,$A$7:$C$107,2,FALSE)*VLOOKUP(BE$76,'Attrition Modeling'!$L$15:$N$27,IF(BE$77+$F106&lt;=24,2,3),FALSE)),$C$3)*(1+IF('IP Attrition'!BE163&gt;0,'Attrition Modeling'!$N$9,0)))</f>
        <v>0</v>
      </c>
      <c r="BF106" s="799">
        <f>BE106*(1-IFERROR(IF(BF$77+$F106&lt;=12,SUMIFS('Attrition Modeling'!$D:$D,'Attrition Modeling'!$C:$C,$D106,'Attrition Modeling'!$B:$B,BF$76),VLOOKUP($F106+BF$77,$A$7:$C$107,2,FALSE)*VLOOKUP(BF$76,'Attrition Modeling'!$L$15:$N$27,IF(BF$77+$F106&lt;=24,2,3),FALSE)),$C$3)*(1+IF('IP Attrition'!BF163&gt;0,'Attrition Modeling'!$N$9,0)))</f>
        <v>0</v>
      </c>
      <c r="BG106" s="799">
        <f>BF106*(1-IFERROR(IF(BG$77+$F106&lt;=12,SUMIFS('Attrition Modeling'!$D:$D,'Attrition Modeling'!$C:$C,$D106,'Attrition Modeling'!$B:$B,BG$76),VLOOKUP($F106+BG$77,$A$7:$C$107,2,FALSE)*VLOOKUP(BG$76,'Attrition Modeling'!$L$15:$N$27,IF(BG$77+$F106&lt;=24,2,3),FALSE)),$C$3)*(1+IF('IP Attrition'!BG163&gt;0,'Attrition Modeling'!$N$9,0)))</f>
        <v>0</v>
      </c>
      <c r="BH106" s="799">
        <f>BG106*(1-IFERROR(IF(BH$77+$F106&lt;=12,SUMIFS('Attrition Modeling'!$D:$D,'Attrition Modeling'!$C:$C,$D106,'Attrition Modeling'!$B:$B,BH$76),VLOOKUP($F106+BH$77,$A$7:$C$107,2,FALSE)*VLOOKUP(BH$76,'Attrition Modeling'!$L$15:$N$27,IF(BH$77+$F106&lt;=24,2,3),FALSE)),$C$3)*(1+IF('IP Attrition'!BH163&gt;0,'Attrition Modeling'!$N$9,0)))</f>
        <v>0</v>
      </c>
      <c r="BI106" s="799">
        <f>BH106*(1-IFERROR(IF(BI$77+$F106&lt;=12,SUMIFS('Attrition Modeling'!$D:$D,'Attrition Modeling'!$C:$C,$D106,'Attrition Modeling'!$B:$B,BI$76),VLOOKUP($F106+BI$77,$A$7:$C$107,2,FALSE)*VLOOKUP(BI$76,'Attrition Modeling'!$L$15:$N$27,IF(BI$77+$F106&lt;=24,2,3),FALSE)),$C$3)*(1+IF('IP Attrition'!BI163&gt;0,'Attrition Modeling'!$N$9,0)))</f>
        <v>0</v>
      </c>
      <c r="BJ106" s="799">
        <f>BI106*(1-IFERROR(IF(BJ$77+$F106&lt;=12,SUMIFS('Attrition Modeling'!$D:$D,'Attrition Modeling'!$C:$C,$D106,'Attrition Modeling'!$B:$B,BJ$76),VLOOKUP($F106+BJ$77,$A$7:$C$107,2,FALSE)*VLOOKUP(BJ$76,'Attrition Modeling'!$L$15:$N$27,IF(BJ$77+$F106&lt;=24,2,3),FALSE)),$C$3)*(1+IF('IP Attrition'!BJ163&gt;0,'Attrition Modeling'!$N$9,0)))</f>
        <v>0</v>
      </c>
      <c r="BK106" s="799">
        <f>BJ106*(1-IFERROR(IF(BK$77+$F106&lt;=12,SUMIFS('Attrition Modeling'!$D:$D,'Attrition Modeling'!$C:$C,$D106,'Attrition Modeling'!$B:$B,BK$76),VLOOKUP($F106+BK$77,$A$7:$C$107,2,FALSE)*VLOOKUP(BK$76,'Attrition Modeling'!$L$15:$N$27,IF(BK$77+$F106&lt;=24,2,3),FALSE)),$C$3)*(1+IF('IP Attrition'!BK163&gt;0,'Attrition Modeling'!$N$9,0)))</f>
        <v>0</v>
      </c>
      <c r="BL106" s="799">
        <f>BK106*(1-IFERROR(IF(BL$77+$F106&lt;=12,SUMIFS('Attrition Modeling'!$D:$D,'Attrition Modeling'!$C:$C,$D106,'Attrition Modeling'!$B:$B,BL$76),VLOOKUP($F106+BL$77,$A$7:$C$107,2,FALSE)*VLOOKUP(BL$76,'Attrition Modeling'!$L$15:$N$27,IF(BL$77+$F106&lt;=24,2,3),FALSE)),$C$3)*(1+IF('IP Attrition'!BL163&gt;0,'Attrition Modeling'!$N$9,0)))</f>
        <v>0</v>
      </c>
      <c r="BM106" s="799">
        <f>BL106*(1-IFERROR(IF(BM$77+$F106&lt;=12,SUMIFS('Attrition Modeling'!$D:$D,'Attrition Modeling'!$C:$C,$D106,'Attrition Modeling'!$B:$B,BM$76),VLOOKUP($F106+BM$77,$A$7:$C$107,2,FALSE)*VLOOKUP(BM$76,'Attrition Modeling'!$L$15:$N$27,IF(BM$77+$F106&lt;=24,2,3),FALSE)),$C$3)*(1+IF('IP Attrition'!BM163&gt;0,'Attrition Modeling'!$N$9,0)))</f>
        <v>0</v>
      </c>
      <c r="BN106" s="799">
        <f>BM106*(1-IFERROR(IF(BN$77+$F106&lt;=12,SUMIFS('Attrition Modeling'!$D:$D,'Attrition Modeling'!$C:$C,$D106,'Attrition Modeling'!$B:$B,BN$76),VLOOKUP($F106+BN$77,$A$7:$C$107,2,FALSE)*VLOOKUP(BN$76,'Attrition Modeling'!$L$15:$N$27,IF(BN$77+$F106&lt;=24,2,3),FALSE)),$C$3)*(1+IF('IP Attrition'!BN163&gt;0,'Attrition Modeling'!$N$9,0)))</f>
        <v>0</v>
      </c>
      <c r="BO106" s="799">
        <f>BN106*(1-IFERROR(IF(BO$77+$F106&lt;=12,SUMIFS('Attrition Modeling'!$D:$D,'Attrition Modeling'!$C:$C,$D106,'Attrition Modeling'!$B:$B,BO$76),VLOOKUP($F106+BO$77,$A$7:$C$107,2,FALSE)*VLOOKUP(BO$76,'Attrition Modeling'!$L$15:$N$27,IF(BO$77+$F106&lt;=24,2,3),FALSE)),$C$3)*(1+IF('IP Attrition'!BO163&gt;0,'Attrition Modeling'!$N$9,0)))</f>
        <v>0</v>
      </c>
      <c r="BP106" s="799">
        <f>BO106*(1-IFERROR(IF(BP$77+$F106&lt;=12,SUMIFS('Attrition Modeling'!$D:$D,'Attrition Modeling'!$C:$C,$D106,'Attrition Modeling'!$B:$B,BP$76),VLOOKUP($F106+BP$77,$A$7:$C$107,2,FALSE)*VLOOKUP(BP$76,'Attrition Modeling'!$L$15:$N$27,IF(BP$77+$F106&lt;=24,2,3),FALSE)),$C$3)*(1+IF('IP Attrition'!BP163&gt;0,'Attrition Modeling'!$N$9,0)))</f>
        <v>0</v>
      </c>
      <c r="BQ106" s="799">
        <f>BP106*(1-IFERROR(IF(BQ$77+$F106&lt;=12,SUMIFS('Attrition Modeling'!$D:$D,'Attrition Modeling'!$C:$C,$D106,'Attrition Modeling'!$B:$B,BQ$76),VLOOKUP($F106+BQ$77,$A$7:$C$107,2,FALSE)*VLOOKUP(BQ$76,'Attrition Modeling'!$L$15:$N$27,IF(BQ$77+$F106&lt;=24,2,3),FALSE)),$C$3)*(1+IF('IP Attrition'!BQ163&gt;0,'Attrition Modeling'!$N$9,0)))</f>
        <v>0</v>
      </c>
      <c r="BR106" s="799">
        <f>BQ106*(1-IFERROR(IF(BR$77+$F106&lt;=12,SUMIFS('Attrition Modeling'!$D:$D,'Attrition Modeling'!$C:$C,$D106,'Attrition Modeling'!$B:$B,BR$76),VLOOKUP($F106+BR$77,$A$7:$C$107,2,FALSE)*VLOOKUP(BR$76,'Attrition Modeling'!$L$15:$N$27,IF(BR$77+$F106&lt;=24,2,3),FALSE)),$C$3)*(1+IF('IP Attrition'!BR163&gt;0,'Attrition Modeling'!$N$9,0)))</f>
        <v>0</v>
      </c>
      <c r="BS106" s="799">
        <f>BR106*(1-IFERROR(IF(BS$77+$F106&lt;=12,SUMIFS('Attrition Modeling'!$D:$D,'Attrition Modeling'!$C:$C,$D106,'Attrition Modeling'!$B:$B,BS$76),VLOOKUP($F106+BS$77,$A$7:$C$107,2,FALSE)*VLOOKUP(BS$76,'Attrition Modeling'!$L$15:$N$27,IF(BS$77+$F106&lt;=24,2,3),FALSE)),$C$3)*(1+IF('IP Attrition'!BS163&gt;0,'Attrition Modeling'!$N$9,0)))</f>
        <v>0</v>
      </c>
      <c r="BT106" s="799" t="e">
        <f>BS106*(1-IFERROR(IF(BT$77+$F106&lt;=12,SUMIFS('Attrition Modeling'!$D:$D,'Attrition Modeling'!$C:$C,$D106,'Attrition Modeling'!$B:$B,BT$76),VLOOKUP($F106+BT$77,$A$7:$C$107,2,FALSE)*VLOOKUP(BT$76,'Attrition Modeling'!$L$15:$N$27,IF(BT$77+$F106&lt;=24,2,3),FALSE)),$C$3)*(1+IF('IP Attrition'!BT163&gt;0,'Attrition Modeling'!$N$9,0)))</f>
        <v>#REF!</v>
      </c>
      <c r="BU106" s="799" t="e">
        <f>BT106*(1-IFERROR(IF(BU$77+$F106&lt;=12,SUMIFS('Attrition Modeling'!$D:$D,'Attrition Modeling'!$C:$C,$D106,'Attrition Modeling'!$B:$B,BU$76),VLOOKUP($F106+BU$77,$A$7:$C$107,2,FALSE)*VLOOKUP(BU$76,'Attrition Modeling'!$L$15:$N$27,IF(BU$77+$F106&lt;=24,2,3),FALSE)),$C$3)*(1+IF('IP Attrition'!BU163&gt;0,'Attrition Modeling'!$N$9,0)))</f>
        <v>#REF!</v>
      </c>
    </row>
    <row r="107" spans="1:73" ht="14.25" customHeight="1" x14ac:dyDescent="0.2">
      <c r="A107" s="9">
        <v>99</v>
      </c>
      <c r="B107" s="25">
        <f>MAX('Attrition Modeling'!H103,$C$3)*(1-Summary!$C$20)</f>
        <v>0.02</v>
      </c>
      <c r="C107" s="24" t="e">
        <f t="shared" si="2"/>
        <v>#DIV/0!</v>
      </c>
      <c r="D107" s="11">
        <f>'IP Attrition'!D99</f>
        <v>-29</v>
      </c>
      <c r="E107" s="25">
        <f>'IP Attrition'!E99</f>
        <v>0</v>
      </c>
      <c r="F107" s="11">
        <f t="shared" si="8"/>
        <v>29</v>
      </c>
      <c r="G107" s="799">
        <f>Summary!$C$24*$E107</f>
        <v>0</v>
      </c>
      <c r="H107" s="799">
        <f>G107*(1-IFERROR(IF(H$77+$F107&lt;=12,SUMIFS('Attrition Modeling'!$D:$D,'Attrition Modeling'!$C:$C,$D107,'Attrition Modeling'!$B:$B,H$76),VLOOKUP($F107+H$77,$A$7:$C$107,2,FALSE)*VLOOKUP(H$76,'Attrition Modeling'!$L$15:$N$27,IF(H$77+$F107&lt;=24,2,3),FALSE)),$C$3)*(1+IF('IP Attrition'!H164&gt;0,'Attrition Modeling'!$N$9,0)))</f>
        <v>0</v>
      </c>
      <c r="I107" s="799">
        <f>H107*(1-IFERROR(IF(I$77+$F107&lt;=12,SUMIFS('Attrition Modeling'!$D:$D,'Attrition Modeling'!$C:$C,$D107,'Attrition Modeling'!$B:$B,I$76),VLOOKUP($F107+I$77,$A$7:$C$107,2,FALSE)*VLOOKUP(I$76,'Attrition Modeling'!$L$15:$N$27,IF(I$77+$F107&lt;=24,2,3),FALSE)),$C$3)*(1+IF('IP Attrition'!I164&gt;0,'Attrition Modeling'!$N$9,0)))</f>
        <v>0</v>
      </c>
      <c r="J107" s="799">
        <f>I107*(1-IFERROR(IF(J$77+$F107&lt;=12,SUMIFS('Attrition Modeling'!$D:$D,'Attrition Modeling'!$C:$C,$D107,'Attrition Modeling'!$B:$B,J$76),VLOOKUP($F107+J$77,$A$7:$C$107,2,FALSE)*VLOOKUP(J$76,'Attrition Modeling'!$L$15:$N$27,IF(J$77+$F107&lt;=24,2,3),FALSE)),$C$3)*(1+IF('IP Attrition'!J164&gt;0,'Attrition Modeling'!$N$9,0)))</f>
        <v>0</v>
      </c>
      <c r="K107" s="799">
        <f>J107*(1-IFERROR(IF(K$77+$F107&lt;=12,SUMIFS('Attrition Modeling'!$D:$D,'Attrition Modeling'!$C:$C,$D107,'Attrition Modeling'!$B:$B,K$76),VLOOKUP($F107+K$77,$A$7:$C$107,2,FALSE)*VLOOKUP(K$76,'Attrition Modeling'!$L$15:$N$27,IF(K$77+$F107&lt;=24,2,3),FALSE)),$C$3)*(1+IF('IP Attrition'!K164&gt;0,'Attrition Modeling'!$N$9,0)))</f>
        <v>0</v>
      </c>
      <c r="L107" s="799">
        <f>K107*(1-IFERROR(IF(L$77+$F107&lt;=12,SUMIFS('Attrition Modeling'!$D:$D,'Attrition Modeling'!$C:$C,$D107,'Attrition Modeling'!$B:$B,L$76),VLOOKUP($F107+L$77,$A$7:$C$107,2,FALSE)*VLOOKUP(L$76,'Attrition Modeling'!$L$15:$N$27,IF(L$77+$F107&lt;=24,2,3),FALSE)),$C$3)*(1+IF('IP Attrition'!L164&gt;0,'Attrition Modeling'!$N$9,0)))</f>
        <v>0</v>
      </c>
      <c r="M107" s="799">
        <f>L107*(1-IFERROR(IF(M$77+$F107&lt;=12,SUMIFS('Attrition Modeling'!$D:$D,'Attrition Modeling'!$C:$C,$D107,'Attrition Modeling'!$B:$B,M$76),VLOOKUP($F107+M$77,$A$7:$C$107,2,FALSE)*VLOOKUP(M$76,'Attrition Modeling'!$L$15:$N$27,IF(M$77+$F107&lt;=24,2,3),FALSE)),$C$3)*(1+IF('IP Attrition'!M164&gt;0,'Attrition Modeling'!$N$9,0)))</f>
        <v>0</v>
      </c>
      <c r="N107" s="799">
        <f>M107*(1-IFERROR(IF(N$77+$F107&lt;=12,SUMIFS('Attrition Modeling'!$D:$D,'Attrition Modeling'!$C:$C,$D107,'Attrition Modeling'!$B:$B,N$76),VLOOKUP($F107+N$77,$A$7:$C$107,2,FALSE)*VLOOKUP(N$76,'Attrition Modeling'!$L$15:$N$27,IF(N$77+$F107&lt;=24,2,3),FALSE)),$C$3)*(1+IF('IP Attrition'!N164&gt;0,'Attrition Modeling'!$N$9,0)))</f>
        <v>0</v>
      </c>
      <c r="O107" s="799">
        <f>N107*(1-IFERROR(IF(O$77+$F107&lt;=12,SUMIFS('Attrition Modeling'!$D:$D,'Attrition Modeling'!$C:$C,$D107,'Attrition Modeling'!$B:$B,O$76),VLOOKUP($F107+O$77,$A$7:$C$107,2,FALSE)*VLOOKUP(O$76,'Attrition Modeling'!$L$15:$N$27,IF(O$77+$F107&lt;=24,2,3),FALSE)),$C$3)*(1+IF('IP Attrition'!O164&gt;0,'Attrition Modeling'!$N$9,0)))</f>
        <v>0</v>
      </c>
      <c r="P107" s="799">
        <f>O107*(1-IFERROR(IF(P$77+$F107&lt;=12,SUMIFS('Attrition Modeling'!$D:$D,'Attrition Modeling'!$C:$C,$D107,'Attrition Modeling'!$B:$B,P$76),VLOOKUP($F107+P$77,$A$7:$C$107,2,FALSE)*VLOOKUP(P$76,'Attrition Modeling'!$L$15:$N$27,IF(P$77+$F107&lt;=24,2,3),FALSE)),$C$3)*(1+IF('IP Attrition'!P164&gt;0,'Attrition Modeling'!$N$9,0)))</f>
        <v>0</v>
      </c>
      <c r="Q107" s="799">
        <f>P107*(1-IFERROR(IF(Q$77+$F107&lt;=12,SUMIFS('Attrition Modeling'!$D:$D,'Attrition Modeling'!$C:$C,$D107,'Attrition Modeling'!$B:$B,Q$76),VLOOKUP($F107+Q$77,$A$7:$C$107,2,FALSE)*VLOOKUP(Q$76,'Attrition Modeling'!$L$15:$N$27,IF(Q$77+$F107&lt;=24,2,3),FALSE)),$C$3)*(1+IF('IP Attrition'!Q164&gt;0,'Attrition Modeling'!$N$9,0)))</f>
        <v>0</v>
      </c>
      <c r="R107" s="799">
        <f>Q107*(1-IFERROR(IF(R$77+$F107&lt;=12,SUMIFS('Attrition Modeling'!$D:$D,'Attrition Modeling'!$C:$C,$D107,'Attrition Modeling'!$B:$B,R$76),VLOOKUP($F107+R$77,$A$7:$C$107,2,FALSE)*VLOOKUP(R$76,'Attrition Modeling'!$L$15:$N$27,IF(R$77+$F107&lt;=24,2,3),FALSE)),$C$3)*(1+IF('IP Attrition'!R164&gt;0,'Attrition Modeling'!$N$9,0)))</f>
        <v>0</v>
      </c>
      <c r="S107" s="799">
        <f>R107*(1-IFERROR(IF(S$77+$F107&lt;=12,SUMIFS('Attrition Modeling'!$D:$D,'Attrition Modeling'!$C:$C,$D107,'Attrition Modeling'!$B:$B,S$76),VLOOKUP($F107+S$77,$A$7:$C$107,2,FALSE)*VLOOKUP(S$76,'Attrition Modeling'!$L$15:$N$27,IF(S$77+$F107&lt;=24,2,3),FALSE)),$C$3)*(1+IF('IP Attrition'!S164&gt;0,'Attrition Modeling'!$N$9,0)))</f>
        <v>0</v>
      </c>
      <c r="T107" s="799">
        <f>S107*(1-IFERROR(IF(T$77+$F107&lt;=12,SUMIFS('Attrition Modeling'!$D:$D,'Attrition Modeling'!$C:$C,$D107,'Attrition Modeling'!$B:$B,T$76),VLOOKUP($F107+T$77,$A$7:$C$107,2,FALSE)*VLOOKUP(T$76,'Attrition Modeling'!$L$15:$N$27,IF(T$77+$F107&lt;=24,2,3),FALSE)),$C$3)*(1+IF('IP Attrition'!T164&gt;0,'Attrition Modeling'!$N$9,0)))</f>
        <v>0</v>
      </c>
      <c r="U107" s="799">
        <f>T107*(1-IFERROR(IF(U$77+$F107&lt;=12,SUMIFS('Attrition Modeling'!$D:$D,'Attrition Modeling'!$C:$C,$D107,'Attrition Modeling'!$B:$B,U$76),VLOOKUP($F107+U$77,$A$7:$C$107,2,FALSE)*VLOOKUP(U$76,'Attrition Modeling'!$L$15:$N$27,IF(U$77+$F107&lt;=24,2,3),FALSE)),$C$3)*(1+IF('IP Attrition'!U164&gt;0,'Attrition Modeling'!$N$9,0)))</f>
        <v>0</v>
      </c>
      <c r="V107" s="799">
        <f>U107*(1-IFERROR(IF(V$77+$F107&lt;=12,SUMIFS('Attrition Modeling'!$D:$D,'Attrition Modeling'!$C:$C,$D107,'Attrition Modeling'!$B:$B,V$76),VLOOKUP($F107+V$77,$A$7:$C$107,2,FALSE)*VLOOKUP(V$76,'Attrition Modeling'!$L$15:$N$27,IF(V$77+$F107&lt;=24,2,3),FALSE)),$C$3)*(1+IF('IP Attrition'!V164&gt;0,'Attrition Modeling'!$N$9,0)))</f>
        <v>0</v>
      </c>
      <c r="W107" s="799">
        <f>V107*(1-IFERROR(IF(W$77+$F107&lt;=12,SUMIFS('Attrition Modeling'!$D:$D,'Attrition Modeling'!$C:$C,$D107,'Attrition Modeling'!$B:$B,W$76),VLOOKUP($F107+W$77,$A$7:$C$107,2,FALSE)*VLOOKUP(W$76,'Attrition Modeling'!$L$15:$N$27,IF(W$77+$F107&lt;=24,2,3),FALSE)),$C$3)*(1+IF('IP Attrition'!W164&gt;0,'Attrition Modeling'!$N$9,0)))</f>
        <v>0</v>
      </c>
      <c r="X107" s="799">
        <f>W107*(1-IFERROR(IF(X$77+$F107&lt;=12,SUMIFS('Attrition Modeling'!$D:$D,'Attrition Modeling'!$C:$C,$D107,'Attrition Modeling'!$B:$B,X$76),VLOOKUP($F107+X$77,$A$7:$C$107,2,FALSE)*VLOOKUP(X$76,'Attrition Modeling'!$L$15:$N$27,IF(X$77+$F107&lt;=24,2,3),FALSE)),$C$3)*(1+IF('IP Attrition'!X164&gt;0,'Attrition Modeling'!$N$9,0)))</f>
        <v>0</v>
      </c>
      <c r="Y107" s="799">
        <f>X107*(1-IFERROR(IF(Y$77+$F107&lt;=12,SUMIFS('Attrition Modeling'!$D:$D,'Attrition Modeling'!$C:$C,$D107,'Attrition Modeling'!$B:$B,Y$76),VLOOKUP($F107+Y$77,$A$7:$C$107,2,FALSE)*VLOOKUP(Y$76,'Attrition Modeling'!$L$15:$N$27,IF(Y$77+$F107&lt;=24,2,3),FALSE)),$C$3)*(1+IF('IP Attrition'!Y164&gt;0,'Attrition Modeling'!$N$9,0)))</f>
        <v>0</v>
      </c>
      <c r="Z107" s="799">
        <f>Y107*(1-IFERROR(IF(Z$77+$F107&lt;=12,SUMIFS('Attrition Modeling'!$D:$D,'Attrition Modeling'!$C:$C,$D107,'Attrition Modeling'!$B:$B,Z$76),VLOOKUP($F107+Z$77,$A$7:$C$107,2,FALSE)*VLOOKUP(Z$76,'Attrition Modeling'!$L$15:$N$27,IF(Z$77+$F107&lt;=24,2,3),FALSE)),$C$3)*(1+IF('IP Attrition'!Z164&gt;0,'Attrition Modeling'!$N$9,0)))</f>
        <v>0</v>
      </c>
      <c r="AA107" s="799">
        <f>Z107*(1-IFERROR(IF(AA$77+$F107&lt;=12,SUMIFS('Attrition Modeling'!$D:$D,'Attrition Modeling'!$C:$C,$D107,'Attrition Modeling'!$B:$B,AA$76),VLOOKUP($F107+AA$77,$A$7:$C$107,2,FALSE)*VLOOKUP(AA$76,'Attrition Modeling'!$L$15:$N$27,IF(AA$77+$F107&lt;=24,2,3),FALSE)),$C$3)*(1+IF('IP Attrition'!AA164&gt;0,'Attrition Modeling'!$N$9,0)))</f>
        <v>0</v>
      </c>
      <c r="AB107" s="799">
        <f>AA107*(1-IFERROR(IF(AB$77+$F107&lt;=12,SUMIFS('Attrition Modeling'!$D:$D,'Attrition Modeling'!$C:$C,$D107,'Attrition Modeling'!$B:$B,AB$76),VLOOKUP($F107+AB$77,$A$7:$C$107,2,FALSE)*VLOOKUP(AB$76,'Attrition Modeling'!$L$15:$N$27,IF(AB$77+$F107&lt;=24,2,3),FALSE)),$C$3)*(1+IF('IP Attrition'!AB164&gt;0,'Attrition Modeling'!$N$9,0)))</f>
        <v>0</v>
      </c>
      <c r="AC107" s="799">
        <f>AB107*(1-IFERROR(IF(AC$77+$F107&lt;=12,SUMIFS('Attrition Modeling'!$D:$D,'Attrition Modeling'!$C:$C,$D107,'Attrition Modeling'!$B:$B,AC$76),VLOOKUP($F107+AC$77,$A$7:$C$107,2,FALSE)*VLOOKUP(AC$76,'Attrition Modeling'!$L$15:$N$27,IF(AC$77+$F107&lt;=24,2,3),FALSE)),$C$3)*(1+IF('IP Attrition'!AC164&gt;0,'Attrition Modeling'!$N$9,0)))</f>
        <v>0</v>
      </c>
      <c r="AD107" s="799">
        <f>AC107*(1-IFERROR(IF(AD$77+$F107&lt;=12,SUMIFS('Attrition Modeling'!$D:$D,'Attrition Modeling'!$C:$C,$D107,'Attrition Modeling'!$B:$B,AD$76),VLOOKUP($F107+AD$77,$A$7:$C$107,2,FALSE)*VLOOKUP(AD$76,'Attrition Modeling'!$L$15:$N$27,IF(AD$77+$F107&lt;=24,2,3),FALSE)),$C$3)*(1+IF('IP Attrition'!AD164&gt;0,'Attrition Modeling'!$N$9,0)))</f>
        <v>0</v>
      </c>
      <c r="AE107" s="799">
        <f>AD107*(1-IFERROR(IF(AE$77+$F107&lt;=12,SUMIFS('Attrition Modeling'!$D:$D,'Attrition Modeling'!$C:$C,$D107,'Attrition Modeling'!$B:$B,AE$76),VLOOKUP($F107+AE$77,$A$7:$C$107,2,FALSE)*VLOOKUP(AE$76,'Attrition Modeling'!$L$15:$N$27,IF(AE$77+$F107&lt;=24,2,3),FALSE)),$C$3)*(1+IF('IP Attrition'!AE164&gt;0,'Attrition Modeling'!$N$9,0)))</f>
        <v>0</v>
      </c>
      <c r="AF107" s="799">
        <f>AE107*(1-IFERROR(IF(AF$77+$F107&lt;=12,SUMIFS('Attrition Modeling'!$D:$D,'Attrition Modeling'!$C:$C,$D107,'Attrition Modeling'!$B:$B,AF$76),VLOOKUP($F107+AF$77,$A$7:$C$107,2,FALSE)*VLOOKUP(AF$76,'Attrition Modeling'!$L$15:$N$27,IF(AF$77+$F107&lt;=24,2,3),FALSE)),$C$3)*(1+IF('IP Attrition'!AF164&gt;0,'Attrition Modeling'!$N$9,0)))</f>
        <v>0</v>
      </c>
      <c r="AG107" s="799">
        <f>AF107*(1-IFERROR(IF(AG$77+$F107&lt;=12,SUMIFS('Attrition Modeling'!$D:$D,'Attrition Modeling'!$C:$C,$D107,'Attrition Modeling'!$B:$B,AG$76),VLOOKUP($F107+AG$77,$A$7:$C$107,2,FALSE)*VLOOKUP(AG$76,'Attrition Modeling'!$L$15:$N$27,IF(AG$77+$F107&lt;=24,2,3),FALSE)),$C$3)*(1+IF('IP Attrition'!AG164&gt;0,'Attrition Modeling'!$N$9,0)))</f>
        <v>0</v>
      </c>
      <c r="AH107" s="799">
        <f>AG107*(1-IFERROR(IF(AH$77+$F107&lt;=12,SUMIFS('Attrition Modeling'!$D:$D,'Attrition Modeling'!$C:$C,$D107,'Attrition Modeling'!$B:$B,AH$76),VLOOKUP($F107+AH$77,$A$7:$C$107,2,FALSE)*VLOOKUP(AH$76,'Attrition Modeling'!$L$15:$N$27,IF(AH$77+$F107&lt;=24,2,3),FALSE)),$C$3)*(1+IF('IP Attrition'!AH164&gt;0,'Attrition Modeling'!$N$9,0)))</f>
        <v>0</v>
      </c>
      <c r="AI107" s="799">
        <f>AH107*(1-IFERROR(IF(AI$77+$F107&lt;=12,SUMIFS('Attrition Modeling'!$D:$D,'Attrition Modeling'!$C:$C,$D107,'Attrition Modeling'!$B:$B,AI$76),VLOOKUP($F107+AI$77,$A$7:$C$107,2,FALSE)*VLOOKUP(AI$76,'Attrition Modeling'!$L$15:$N$27,IF(AI$77+$F107&lt;=24,2,3),FALSE)),$C$3)*(1+IF('IP Attrition'!AI164&gt;0,'Attrition Modeling'!$N$9,0)))</f>
        <v>0</v>
      </c>
      <c r="AJ107" s="799">
        <f>AI107*(1-IFERROR(IF(AJ$77+$F107&lt;=12,SUMIFS('Attrition Modeling'!$D:$D,'Attrition Modeling'!$C:$C,$D107,'Attrition Modeling'!$B:$B,AJ$76),VLOOKUP($F107+AJ$77,$A$7:$C$107,2,FALSE)*VLOOKUP(AJ$76,'Attrition Modeling'!$L$15:$N$27,IF(AJ$77+$F107&lt;=24,2,3),FALSE)),$C$3)*(1+IF('IP Attrition'!AJ164&gt;0,'Attrition Modeling'!$N$9,0)))</f>
        <v>0</v>
      </c>
      <c r="AK107" s="799">
        <f>AJ107*(1-IFERROR(IF(AK$77+$F107&lt;=12,SUMIFS('Attrition Modeling'!$D:$D,'Attrition Modeling'!$C:$C,$D107,'Attrition Modeling'!$B:$B,AK$76),VLOOKUP($F107+AK$77,$A$7:$C$107,2,FALSE)*VLOOKUP(AK$76,'Attrition Modeling'!$L$15:$N$27,IF(AK$77+$F107&lt;=24,2,3),FALSE)),$C$3)*(1+IF('IP Attrition'!AK164&gt;0,'Attrition Modeling'!$N$9,0)))</f>
        <v>0</v>
      </c>
      <c r="AL107" s="799">
        <f>AK107*(1-IFERROR(IF(AL$77+$F107&lt;=12,SUMIFS('Attrition Modeling'!$D:$D,'Attrition Modeling'!$C:$C,$D107,'Attrition Modeling'!$B:$B,AL$76),VLOOKUP($F107+AL$77,$A$7:$C$107,2,FALSE)*VLOOKUP(AL$76,'Attrition Modeling'!$L$15:$N$27,IF(AL$77+$F107&lt;=24,2,3),FALSE)),$C$3)*(1+IF('IP Attrition'!AL164&gt;0,'Attrition Modeling'!$N$9,0)))</f>
        <v>0</v>
      </c>
      <c r="AM107" s="799">
        <f>AL107*(1-IFERROR(IF(AM$77+$F107&lt;=12,SUMIFS('Attrition Modeling'!$D:$D,'Attrition Modeling'!$C:$C,$D107,'Attrition Modeling'!$B:$B,AM$76),VLOOKUP($F107+AM$77,$A$7:$C$107,2,FALSE)*VLOOKUP(AM$76,'Attrition Modeling'!$L$15:$N$27,IF(AM$77+$F107&lt;=24,2,3),FALSE)),$C$3)*(1+IF('IP Attrition'!AM164&gt;0,'Attrition Modeling'!$N$9,0)))</f>
        <v>0</v>
      </c>
      <c r="AN107" s="799">
        <f>AM107*(1-IFERROR(IF(AN$77+$F107&lt;=12,SUMIFS('Attrition Modeling'!$D:$D,'Attrition Modeling'!$C:$C,$D107,'Attrition Modeling'!$B:$B,AN$76),VLOOKUP($F107+AN$77,$A$7:$C$107,2,FALSE)*VLOOKUP(AN$76,'Attrition Modeling'!$L$15:$N$27,IF(AN$77+$F107&lt;=24,2,3),FALSE)),$C$3)*(1+IF('IP Attrition'!AN164&gt;0,'Attrition Modeling'!$N$9,0)))</f>
        <v>0</v>
      </c>
      <c r="AO107" s="799">
        <f>AN107*(1-IFERROR(IF(AO$77+$F107&lt;=12,SUMIFS('Attrition Modeling'!$D:$D,'Attrition Modeling'!$C:$C,$D107,'Attrition Modeling'!$B:$B,AO$76),VLOOKUP($F107+AO$77,$A$7:$C$107,2,FALSE)*VLOOKUP(AO$76,'Attrition Modeling'!$L$15:$N$27,IF(AO$77+$F107&lt;=24,2,3),FALSE)),$C$3)*(1+IF('IP Attrition'!AO164&gt;0,'Attrition Modeling'!$N$9,0)))</f>
        <v>0</v>
      </c>
      <c r="AP107" s="799">
        <f>AO107*(1-IFERROR(IF(AP$77+$F107&lt;=12,SUMIFS('Attrition Modeling'!$D:$D,'Attrition Modeling'!$C:$C,$D107,'Attrition Modeling'!$B:$B,AP$76),VLOOKUP($F107+AP$77,$A$7:$C$107,2,FALSE)*VLOOKUP(AP$76,'Attrition Modeling'!$L$15:$N$27,IF(AP$77+$F107&lt;=24,2,3),FALSE)),$C$3)*(1+IF('IP Attrition'!AP164&gt;0,'Attrition Modeling'!$N$9,0)))</f>
        <v>0</v>
      </c>
      <c r="AQ107" s="799">
        <f>AP107*(1-IFERROR(IF(AQ$77+$F107&lt;=12,SUMIFS('Attrition Modeling'!$D:$D,'Attrition Modeling'!$C:$C,$D107,'Attrition Modeling'!$B:$B,AQ$76),VLOOKUP($F107+AQ$77,$A$7:$C$107,2,FALSE)*VLOOKUP(AQ$76,'Attrition Modeling'!$L$15:$N$27,IF(AQ$77+$F107&lt;=24,2,3),FALSE)),$C$3)*(1+IF('IP Attrition'!AQ164&gt;0,'Attrition Modeling'!$N$9,0)))</f>
        <v>0</v>
      </c>
      <c r="AR107" s="799">
        <f>AQ107*(1-IFERROR(IF(AR$77+$F107&lt;=12,SUMIFS('Attrition Modeling'!$D:$D,'Attrition Modeling'!$C:$C,$D107,'Attrition Modeling'!$B:$B,AR$76),VLOOKUP($F107+AR$77,$A$7:$C$107,2,FALSE)*VLOOKUP(AR$76,'Attrition Modeling'!$L$15:$N$27,IF(AR$77+$F107&lt;=24,2,3),FALSE)),$C$3)*(1+IF('IP Attrition'!AR164&gt;0,'Attrition Modeling'!$N$9,0)))</f>
        <v>0</v>
      </c>
      <c r="AS107" s="799">
        <f>AR107*(1-IFERROR(IF(AS$77+$F107&lt;=12,SUMIFS('Attrition Modeling'!$D:$D,'Attrition Modeling'!$C:$C,$D107,'Attrition Modeling'!$B:$B,AS$76),VLOOKUP($F107+AS$77,$A$7:$C$107,2,FALSE)*VLOOKUP(AS$76,'Attrition Modeling'!$L$15:$N$27,IF(AS$77+$F107&lt;=24,2,3),FALSE)),$C$3)*(1+IF('IP Attrition'!AS164&gt;0,'Attrition Modeling'!$N$9,0)))</f>
        <v>0</v>
      </c>
      <c r="AT107" s="799">
        <f>AS107*(1-IFERROR(IF(AT$77+$F107&lt;=12,SUMIFS('Attrition Modeling'!$D:$D,'Attrition Modeling'!$C:$C,$D107,'Attrition Modeling'!$B:$B,AT$76),VLOOKUP($F107+AT$77,$A$7:$C$107,2,FALSE)*VLOOKUP(AT$76,'Attrition Modeling'!$L$15:$N$27,IF(AT$77+$F107&lt;=24,2,3),FALSE)),$C$3)*(1+IF('IP Attrition'!AT164&gt;0,'Attrition Modeling'!$N$9,0)))</f>
        <v>0</v>
      </c>
      <c r="AU107" s="799">
        <f>AT107*(1-IFERROR(IF(AU$77+$F107&lt;=12,SUMIFS('Attrition Modeling'!$D:$D,'Attrition Modeling'!$C:$C,$D107,'Attrition Modeling'!$B:$B,AU$76),VLOOKUP($F107+AU$77,$A$7:$C$107,2,FALSE)*VLOOKUP(AU$76,'Attrition Modeling'!$L$15:$N$27,IF(AU$77+$F107&lt;=24,2,3),FALSE)),$C$3)*(1+IF('IP Attrition'!AU164&gt;0,'Attrition Modeling'!$N$9,0)))</f>
        <v>0</v>
      </c>
      <c r="AV107" s="799">
        <f>AU107*(1-IFERROR(IF(AV$77+$F107&lt;=12,SUMIFS('Attrition Modeling'!$D:$D,'Attrition Modeling'!$C:$C,$D107,'Attrition Modeling'!$B:$B,AV$76),VLOOKUP($F107+AV$77,$A$7:$C$107,2,FALSE)*VLOOKUP(AV$76,'Attrition Modeling'!$L$15:$N$27,IF(AV$77+$F107&lt;=24,2,3),FALSE)),$C$3)*(1+IF('IP Attrition'!AV164&gt;0,'Attrition Modeling'!$N$9,0)))</f>
        <v>0</v>
      </c>
      <c r="AW107" s="799">
        <f>AV107*(1-IFERROR(IF(AW$77+$F107&lt;=12,SUMIFS('Attrition Modeling'!$D:$D,'Attrition Modeling'!$C:$C,$D107,'Attrition Modeling'!$B:$B,AW$76),VLOOKUP($F107+AW$77,$A$7:$C$107,2,FALSE)*VLOOKUP(AW$76,'Attrition Modeling'!$L$15:$N$27,IF(AW$77+$F107&lt;=24,2,3),FALSE)),$C$3)*(1+IF('IP Attrition'!AW164&gt;0,'Attrition Modeling'!$N$9,0)))</f>
        <v>0</v>
      </c>
      <c r="AX107" s="799">
        <f>AW107*(1-IFERROR(IF(AX$77+$F107&lt;=12,SUMIFS('Attrition Modeling'!$D:$D,'Attrition Modeling'!$C:$C,$D107,'Attrition Modeling'!$B:$B,AX$76),VLOOKUP($F107+AX$77,$A$7:$C$107,2,FALSE)*VLOOKUP(AX$76,'Attrition Modeling'!$L$15:$N$27,IF(AX$77+$F107&lt;=24,2,3),FALSE)),$C$3)*(1+IF('IP Attrition'!AX164&gt;0,'Attrition Modeling'!$N$9,0)))</f>
        <v>0</v>
      </c>
      <c r="AY107" s="799">
        <f>AX107*(1-IFERROR(IF(AY$77+$F107&lt;=12,SUMIFS('Attrition Modeling'!$D:$D,'Attrition Modeling'!$C:$C,$D107,'Attrition Modeling'!$B:$B,AY$76),VLOOKUP($F107+AY$77,$A$7:$C$107,2,FALSE)*VLOOKUP(AY$76,'Attrition Modeling'!$L$15:$N$27,IF(AY$77+$F107&lt;=24,2,3),FALSE)),$C$3)*(1+IF('IP Attrition'!AY164&gt;0,'Attrition Modeling'!$N$9,0)))</f>
        <v>0</v>
      </c>
      <c r="AZ107" s="799">
        <f>AY107*(1-IFERROR(IF(AZ$77+$F107&lt;=12,SUMIFS('Attrition Modeling'!$D:$D,'Attrition Modeling'!$C:$C,$D107,'Attrition Modeling'!$B:$B,AZ$76),VLOOKUP($F107+AZ$77,$A$7:$C$107,2,FALSE)*VLOOKUP(AZ$76,'Attrition Modeling'!$L$15:$N$27,IF(AZ$77+$F107&lt;=24,2,3),FALSE)),$C$3)*(1+IF('IP Attrition'!AZ164&gt;0,'Attrition Modeling'!$N$9,0)))</f>
        <v>0</v>
      </c>
      <c r="BA107" s="799">
        <f>AZ107*(1-IFERROR(IF(BA$77+$F107&lt;=12,SUMIFS('Attrition Modeling'!$D:$D,'Attrition Modeling'!$C:$C,$D107,'Attrition Modeling'!$B:$B,BA$76),VLOOKUP($F107+BA$77,$A$7:$C$107,2,FALSE)*VLOOKUP(BA$76,'Attrition Modeling'!$L$15:$N$27,IF(BA$77+$F107&lt;=24,2,3),FALSE)),$C$3)*(1+IF('IP Attrition'!BA164&gt;0,'Attrition Modeling'!$N$9,0)))</f>
        <v>0</v>
      </c>
      <c r="BB107" s="799">
        <f>BA107*(1-IFERROR(IF(BB$77+$F107&lt;=12,SUMIFS('Attrition Modeling'!$D:$D,'Attrition Modeling'!$C:$C,$D107,'Attrition Modeling'!$B:$B,BB$76),VLOOKUP($F107+BB$77,$A$7:$C$107,2,FALSE)*VLOOKUP(BB$76,'Attrition Modeling'!$L$15:$N$27,IF(BB$77+$F107&lt;=24,2,3),FALSE)),$C$3)*(1+IF('IP Attrition'!BB164&gt;0,'Attrition Modeling'!$N$9,0)))</f>
        <v>0</v>
      </c>
      <c r="BC107" s="799">
        <f>BB107*(1-IFERROR(IF(BC$77+$F107&lt;=12,SUMIFS('Attrition Modeling'!$D:$D,'Attrition Modeling'!$C:$C,$D107,'Attrition Modeling'!$B:$B,BC$76),VLOOKUP($F107+BC$77,$A$7:$C$107,2,FALSE)*VLOOKUP(BC$76,'Attrition Modeling'!$L$15:$N$27,IF(BC$77+$F107&lt;=24,2,3),FALSE)),$C$3)*(1+IF('IP Attrition'!BC164&gt;0,'Attrition Modeling'!$N$9,0)))</f>
        <v>0</v>
      </c>
      <c r="BD107" s="799">
        <f>BC107*(1-IFERROR(IF(BD$77+$F107&lt;=12,SUMIFS('Attrition Modeling'!$D:$D,'Attrition Modeling'!$C:$C,$D107,'Attrition Modeling'!$B:$B,BD$76),VLOOKUP($F107+BD$77,$A$7:$C$107,2,FALSE)*VLOOKUP(BD$76,'Attrition Modeling'!$L$15:$N$27,IF(BD$77+$F107&lt;=24,2,3),FALSE)),$C$3)*(1+IF('IP Attrition'!BD164&gt;0,'Attrition Modeling'!$N$9,0)))</f>
        <v>0</v>
      </c>
      <c r="BE107" s="799">
        <f>BD107*(1-IFERROR(IF(BE$77+$F107&lt;=12,SUMIFS('Attrition Modeling'!$D:$D,'Attrition Modeling'!$C:$C,$D107,'Attrition Modeling'!$B:$B,BE$76),VLOOKUP($F107+BE$77,$A$7:$C$107,2,FALSE)*VLOOKUP(BE$76,'Attrition Modeling'!$L$15:$N$27,IF(BE$77+$F107&lt;=24,2,3),FALSE)),$C$3)*(1+IF('IP Attrition'!BE164&gt;0,'Attrition Modeling'!$N$9,0)))</f>
        <v>0</v>
      </c>
      <c r="BF107" s="799">
        <f>BE107*(1-IFERROR(IF(BF$77+$F107&lt;=12,SUMIFS('Attrition Modeling'!$D:$D,'Attrition Modeling'!$C:$C,$D107,'Attrition Modeling'!$B:$B,BF$76),VLOOKUP($F107+BF$77,$A$7:$C$107,2,FALSE)*VLOOKUP(BF$76,'Attrition Modeling'!$L$15:$N$27,IF(BF$77+$F107&lt;=24,2,3),FALSE)),$C$3)*(1+IF('IP Attrition'!BF164&gt;0,'Attrition Modeling'!$N$9,0)))</f>
        <v>0</v>
      </c>
      <c r="BG107" s="799">
        <f>BF107*(1-IFERROR(IF(BG$77+$F107&lt;=12,SUMIFS('Attrition Modeling'!$D:$D,'Attrition Modeling'!$C:$C,$D107,'Attrition Modeling'!$B:$B,BG$76),VLOOKUP($F107+BG$77,$A$7:$C$107,2,FALSE)*VLOOKUP(BG$76,'Attrition Modeling'!$L$15:$N$27,IF(BG$77+$F107&lt;=24,2,3),FALSE)),$C$3)*(1+IF('IP Attrition'!BG164&gt;0,'Attrition Modeling'!$N$9,0)))</f>
        <v>0</v>
      </c>
      <c r="BH107" s="799">
        <f>BG107*(1-IFERROR(IF(BH$77+$F107&lt;=12,SUMIFS('Attrition Modeling'!$D:$D,'Attrition Modeling'!$C:$C,$D107,'Attrition Modeling'!$B:$B,BH$76),VLOOKUP($F107+BH$77,$A$7:$C$107,2,FALSE)*VLOOKUP(BH$76,'Attrition Modeling'!$L$15:$N$27,IF(BH$77+$F107&lt;=24,2,3),FALSE)),$C$3)*(1+IF('IP Attrition'!BH164&gt;0,'Attrition Modeling'!$N$9,0)))</f>
        <v>0</v>
      </c>
      <c r="BI107" s="799">
        <f>BH107*(1-IFERROR(IF(BI$77+$F107&lt;=12,SUMIFS('Attrition Modeling'!$D:$D,'Attrition Modeling'!$C:$C,$D107,'Attrition Modeling'!$B:$B,BI$76),VLOOKUP($F107+BI$77,$A$7:$C$107,2,FALSE)*VLOOKUP(BI$76,'Attrition Modeling'!$L$15:$N$27,IF(BI$77+$F107&lt;=24,2,3),FALSE)),$C$3)*(1+IF('IP Attrition'!BI164&gt;0,'Attrition Modeling'!$N$9,0)))</f>
        <v>0</v>
      </c>
      <c r="BJ107" s="799">
        <f>BI107*(1-IFERROR(IF(BJ$77+$F107&lt;=12,SUMIFS('Attrition Modeling'!$D:$D,'Attrition Modeling'!$C:$C,$D107,'Attrition Modeling'!$B:$B,BJ$76),VLOOKUP($F107+BJ$77,$A$7:$C$107,2,FALSE)*VLOOKUP(BJ$76,'Attrition Modeling'!$L$15:$N$27,IF(BJ$77+$F107&lt;=24,2,3),FALSE)),$C$3)*(1+IF('IP Attrition'!BJ164&gt;0,'Attrition Modeling'!$N$9,0)))</f>
        <v>0</v>
      </c>
      <c r="BK107" s="799">
        <f>BJ107*(1-IFERROR(IF(BK$77+$F107&lt;=12,SUMIFS('Attrition Modeling'!$D:$D,'Attrition Modeling'!$C:$C,$D107,'Attrition Modeling'!$B:$B,BK$76),VLOOKUP($F107+BK$77,$A$7:$C$107,2,FALSE)*VLOOKUP(BK$76,'Attrition Modeling'!$L$15:$N$27,IF(BK$77+$F107&lt;=24,2,3),FALSE)),$C$3)*(1+IF('IP Attrition'!BK164&gt;0,'Attrition Modeling'!$N$9,0)))</f>
        <v>0</v>
      </c>
      <c r="BL107" s="799">
        <f>BK107*(1-IFERROR(IF(BL$77+$F107&lt;=12,SUMIFS('Attrition Modeling'!$D:$D,'Attrition Modeling'!$C:$C,$D107,'Attrition Modeling'!$B:$B,BL$76),VLOOKUP($F107+BL$77,$A$7:$C$107,2,FALSE)*VLOOKUP(BL$76,'Attrition Modeling'!$L$15:$N$27,IF(BL$77+$F107&lt;=24,2,3),FALSE)),$C$3)*(1+IF('IP Attrition'!BL164&gt;0,'Attrition Modeling'!$N$9,0)))</f>
        <v>0</v>
      </c>
      <c r="BM107" s="799">
        <f>BL107*(1-IFERROR(IF(BM$77+$F107&lt;=12,SUMIFS('Attrition Modeling'!$D:$D,'Attrition Modeling'!$C:$C,$D107,'Attrition Modeling'!$B:$B,BM$76),VLOOKUP($F107+BM$77,$A$7:$C$107,2,FALSE)*VLOOKUP(BM$76,'Attrition Modeling'!$L$15:$N$27,IF(BM$77+$F107&lt;=24,2,3),FALSE)),$C$3)*(1+IF('IP Attrition'!BM164&gt;0,'Attrition Modeling'!$N$9,0)))</f>
        <v>0</v>
      </c>
      <c r="BN107" s="799">
        <f>BM107*(1-IFERROR(IF(BN$77+$F107&lt;=12,SUMIFS('Attrition Modeling'!$D:$D,'Attrition Modeling'!$C:$C,$D107,'Attrition Modeling'!$B:$B,BN$76),VLOOKUP($F107+BN$77,$A$7:$C$107,2,FALSE)*VLOOKUP(BN$76,'Attrition Modeling'!$L$15:$N$27,IF(BN$77+$F107&lt;=24,2,3),FALSE)),$C$3)*(1+IF('IP Attrition'!BN164&gt;0,'Attrition Modeling'!$N$9,0)))</f>
        <v>0</v>
      </c>
      <c r="BO107" s="799">
        <f>BN107*(1-IFERROR(IF(BO$77+$F107&lt;=12,SUMIFS('Attrition Modeling'!$D:$D,'Attrition Modeling'!$C:$C,$D107,'Attrition Modeling'!$B:$B,BO$76),VLOOKUP($F107+BO$77,$A$7:$C$107,2,FALSE)*VLOOKUP(BO$76,'Attrition Modeling'!$L$15:$N$27,IF(BO$77+$F107&lt;=24,2,3),FALSE)),$C$3)*(1+IF('IP Attrition'!BO164&gt;0,'Attrition Modeling'!$N$9,0)))</f>
        <v>0</v>
      </c>
      <c r="BP107" s="799">
        <f>BO107*(1-IFERROR(IF(BP$77+$F107&lt;=12,SUMIFS('Attrition Modeling'!$D:$D,'Attrition Modeling'!$C:$C,$D107,'Attrition Modeling'!$B:$B,BP$76),VLOOKUP($F107+BP$77,$A$7:$C$107,2,FALSE)*VLOOKUP(BP$76,'Attrition Modeling'!$L$15:$N$27,IF(BP$77+$F107&lt;=24,2,3),FALSE)),$C$3)*(1+IF('IP Attrition'!BP164&gt;0,'Attrition Modeling'!$N$9,0)))</f>
        <v>0</v>
      </c>
      <c r="BQ107" s="799">
        <f>BP107*(1-IFERROR(IF(BQ$77+$F107&lt;=12,SUMIFS('Attrition Modeling'!$D:$D,'Attrition Modeling'!$C:$C,$D107,'Attrition Modeling'!$B:$B,BQ$76),VLOOKUP($F107+BQ$77,$A$7:$C$107,2,FALSE)*VLOOKUP(BQ$76,'Attrition Modeling'!$L$15:$N$27,IF(BQ$77+$F107&lt;=24,2,3),FALSE)),$C$3)*(1+IF('IP Attrition'!BQ164&gt;0,'Attrition Modeling'!$N$9,0)))</f>
        <v>0</v>
      </c>
      <c r="BR107" s="799">
        <f>BQ107*(1-IFERROR(IF(BR$77+$F107&lt;=12,SUMIFS('Attrition Modeling'!$D:$D,'Attrition Modeling'!$C:$C,$D107,'Attrition Modeling'!$B:$B,BR$76),VLOOKUP($F107+BR$77,$A$7:$C$107,2,FALSE)*VLOOKUP(BR$76,'Attrition Modeling'!$L$15:$N$27,IF(BR$77+$F107&lt;=24,2,3),FALSE)),$C$3)*(1+IF('IP Attrition'!BR164&gt;0,'Attrition Modeling'!$N$9,0)))</f>
        <v>0</v>
      </c>
      <c r="BS107" s="799">
        <f>BR107*(1-IFERROR(IF(BS$77+$F107&lt;=12,SUMIFS('Attrition Modeling'!$D:$D,'Attrition Modeling'!$C:$C,$D107,'Attrition Modeling'!$B:$B,BS$76),VLOOKUP($F107+BS$77,$A$7:$C$107,2,FALSE)*VLOOKUP(BS$76,'Attrition Modeling'!$L$15:$N$27,IF(BS$77+$F107&lt;=24,2,3),FALSE)),$C$3)*(1+IF('IP Attrition'!BS164&gt;0,'Attrition Modeling'!$N$9,0)))</f>
        <v>0</v>
      </c>
      <c r="BT107" s="799" t="e">
        <f>BS107*(1-IFERROR(IF(BT$77+$F107&lt;=12,SUMIFS('Attrition Modeling'!$D:$D,'Attrition Modeling'!$C:$C,$D107,'Attrition Modeling'!$B:$B,BT$76),VLOOKUP($F107+BT$77,$A$7:$C$107,2,FALSE)*VLOOKUP(BT$76,'Attrition Modeling'!$L$15:$N$27,IF(BT$77+$F107&lt;=24,2,3),FALSE)),$C$3)*(1+IF('IP Attrition'!BT164&gt;0,'Attrition Modeling'!$N$9,0)))</f>
        <v>#REF!</v>
      </c>
      <c r="BU107" s="799" t="e">
        <f>BT107*(1-IFERROR(IF(BU$77+$F107&lt;=12,SUMIFS('Attrition Modeling'!$D:$D,'Attrition Modeling'!$C:$C,$D107,'Attrition Modeling'!$B:$B,BU$76),VLOOKUP($F107+BU$77,$A$7:$C$107,2,FALSE)*VLOOKUP(BU$76,'Attrition Modeling'!$L$15:$N$27,IF(BU$77+$F107&lt;=24,2,3),FALSE)),$C$3)*(1+IF('IP Attrition'!BU164&gt;0,'Attrition Modeling'!$N$9,0)))</f>
        <v>#REF!</v>
      </c>
    </row>
    <row r="108" spans="1:73" ht="14.25" customHeight="1" x14ac:dyDescent="0.2">
      <c r="A108" s="9">
        <v>100</v>
      </c>
      <c r="B108" s="25">
        <f>MAX('Attrition Modeling'!H104,$C$3)*(1-Summary!$C$20)</f>
        <v>0.02</v>
      </c>
      <c r="C108" s="24" t="e">
        <f t="shared" si="2"/>
        <v>#DIV/0!</v>
      </c>
      <c r="D108" s="11">
        <f>'IP Attrition'!D100</f>
        <v>-30</v>
      </c>
      <c r="E108" s="25">
        <f>'IP Attrition'!E100</f>
        <v>0</v>
      </c>
      <c r="F108" s="11">
        <f t="shared" si="8"/>
        <v>30</v>
      </c>
      <c r="G108" s="799">
        <f>Summary!$C$24*$E108</f>
        <v>0</v>
      </c>
      <c r="H108" s="799">
        <f>G108*(1-IFERROR(IF(H$77+$F108&lt;=12,SUMIFS('Attrition Modeling'!$D:$D,'Attrition Modeling'!$C:$C,$D108,'Attrition Modeling'!$B:$B,H$76),VLOOKUP($F108+H$77,$A$7:$C$107,2,FALSE)*VLOOKUP(H$76,'Attrition Modeling'!$L$15:$N$27,IF(H$77+$F108&lt;=24,2,3),FALSE)),$C$3)*(1+IF('IP Attrition'!H165&gt;0,'Attrition Modeling'!$N$9,0)))</f>
        <v>0</v>
      </c>
      <c r="I108" s="799">
        <f>H108*(1-IFERROR(IF(I$77+$F108&lt;=12,SUMIFS('Attrition Modeling'!$D:$D,'Attrition Modeling'!$C:$C,$D108,'Attrition Modeling'!$B:$B,I$76),VLOOKUP($F108+I$77,$A$7:$C$107,2,FALSE)*VLOOKUP(I$76,'Attrition Modeling'!$L$15:$N$27,IF(I$77+$F108&lt;=24,2,3),FALSE)),$C$3)*(1+IF('IP Attrition'!I165&gt;0,'Attrition Modeling'!$N$9,0)))</f>
        <v>0</v>
      </c>
      <c r="J108" s="799">
        <f>I108*(1-IFERROR(IF(J$77+$F108&lt;=12,SUMIFS('Attrition Modeling'!$D:$D,'Attrition Modeling'!$C:$C,$D108,'Attrition Modeling'!$B:$B,J$76),VLOOKUP($F108+J$77,$A$7:$C$107,2,FALSE)*VLOOKUP(J$76,'Attrition Modeling'!$L$15:$N$27,IF(J$77+$F108&lt;=24,2,3),FALSE)),$C$3)*(1+IF('IP Attrition'!J165&gt;0,'Attrition Modeling'!$N$9,0)))</f>
        <v>0</v>
      </c>
      <c r="K108" s="799">
        <f>J108*(1-IFERROR(IF(K$77+$F108&lt;=12,SUMIFS('Attrition Modeling'!$D:$D,'Attrition Modeling'!$C:$C,$D108,'Attrition Modeling'!$B:$B,K$76),VLOOKUP($F108+K$77,$A$7:$C$107,2,FALSE)*VLOOKUP(K$76,'Attrition Modeling'!$L$15:$N$27,IF(K$77+$F108&lt;=24,2,3),FALSE)),$C$3)*(1+IF('IP Attrition'!K165&gt;0,'Attrition Modeling'!$N$9,0)))</f>
        <v>0</v>
      </c>
      <c r="L108" s="799">
        <f>K108*(1-IFERROR(IF(L$77+$F108&lt;=12,SUMIFS('Attrition Modeling'!$D:$D,'Attrition Modeling'!$C:$C,$D108,'Attrition Modeling'!$B:$B,L$76),VLOOKUP($F108+L$77,$A$7:$C$107,2,FALSE)*VLOOKUP(L$76,'Attrition Modeling'!$L$15:$N$27,IF(L$77+$F108&lt;=24,2,3),FALSE)),$C$3)*(1+IF('IP Attrition'!L165&gt;0,'Attrition Modeling'!$N$9,0)))</f>
        <v>0</v>
      </c>
      <c r="M108" s="799">
        <f>L108*(1-IFERROR(IF(M$77+$F108&lt;=12,SUMIFS('Attrition Modeling'!$D:$D,'Attrition Modeling'!$C:$C,$D108,'Attrition Modeling'!$B:$B,M$76),VLOOKUP($F108+M$77,$A$7:$C$107,2,FALSE)*VLOOKUP(M$76,'Attrition Modeling'!$L$15:$N$27,IF(M$77+$F108&lt;=24,2,3),FALSE)),$C$3)*(1+IF('IP Attrition'!M165&gt;0,'Attrition Modeling'!$N$9,0)))</f>
        <v>0</v>
      </c>
      <c r="N108" s="799">
        <f>M108*(1-IFERROR(IF(N$77+$F108&lt;=12,SUMIFS('Attrition Modeling'!$D:$D,'Attrition Modeling'!$C:$C,$D108,'Attrition Modeling'!$B:$B,N$76),VLOOKUP($F108+N$77,$A$7:$C$107,2,FALSE)*VLOOKUP(N$76,'Attrition Modeling'!$L$15:$N$27,IF(N$77+$F108&lt;=24,2,3),FALSE)),$C$3)*(1+IF('IP Attrition'!N165&gt;0,'Attrition Modeling'!$N$9,0)))</f>
        <v>0</v>
      </c>
      <c r="O108" s="799">
        <f>N108*(1-IFERROR(IF(O$77+$F108&lt;=12,SUMIFS('Attrition Modeling'!$D:$D,'Attrition Modeling'!$C:$C,$D108,'Attrition Modeling'!$B:$B,O$76),VLOOKUP($F108+O$77,$A$7:$C$107,2,FALSE)*VLOOKUP(O$76,'Attrition Modeling'!$L$15:$N$27,IF(O$77+$F108&lt;=24,2,3),FALSE)),$C$3)*(1+IF('IP Attrition'!O165&gt;0,'Attrition Modeling'!$N$9,0)))</f>
        <v>0</v>
      </c>
      <c r="P108" s="799">
        <f>O108*(1-IFERROR(IF(P$77+$F108&lt;=12,SUMIFS('Attrition Modeling'!$D:$D,'Attrition Modeling'!$C:$C,$D108,'Attrition Modeling'!$B:$B,P$76),VLOOKUP($F108+P$77,$A$7:$C$107,2,FALSE)*VLOOKUP(P$76,'Attrition Modeling'!$L$15:$N$27,IF(P$77+$F108&lt;=24,2,3),FALSE)),$C$3)*(1+IF('IP Attrition'!P165&gt;0,'Attrition Modeling'!$N$9,0)))</f>
        <v>0</v>
      </c>
      <c r="Q108" s="799">
        <f>P108*(1-IFERROR(IF(Q$77+$F108&lt;=12,SUMIFS('Attrition Modeling'!$D:$D,'Attrition Modeling'!$C:$C,$D108,'Attrition Modeling'!$B:$B,Q$76),VLOOKUP($F108+Q$77,$A$7:$C$107,2,FALSE)*VLOOKUP(Q$76,'Attrition Modeling'!$L$15:$N$27,IF(Q$77+$F108&lt;=24,2,3),FALSE)),$C$3)*(1+IF('IP Attrition'!Q165&gt;0,'Attrition Modeling'!$N$9,0)))</f>
        <v>0</v>
      </c>
      <c r="R108" s="799">
        <f>Q108*(1-IFERROR(IF(R$77+$F108&lt;=12,SUMIFS('Attrition Modeling'!$D:$D,'Attrition Modeling'!$C:$C,$D108,'Attrition Modeling'!$B:$B,R$76),VLOOKUP($F108+R$77,$A$7:$C$107,2,FALSE)*VLOOKUP(R$76,'Attrition Modeling'!$L$15:$N$27,IF(R$77+$F108&lt;=24,2,3),FALSE)),$C$3)*(1+IF('IP Attrition'!R165&gt;0,'Attrition Modeling'!$N$9,0)))</f>
        <v>0</v>
      </c>
      <c r="S108" s="799">
        <f>R108*(1-IFERROR(IF(S$77+$F108&lt;=12,SUMIFS('Attrition Modeling'!$D:$D,'Attrition Modeling'!$C:$C,$D108,'Attrition Modeling'!$B:$B,S$76),VLOOKUP($F108+S$77,$A$7:$C$107,2,FALSE)*VLOOKUP(S$76,'Attrition Modeling'!$L$15:$N$27,IF(S$77+$F108&lt;=24,2,3),FALSE)),$C$3)*(1+IF('IP Attrition'!S165&gt;0,'Attrition Modeling'!$N$9,0)))</f>
        <v>0</v>
      </c>
      <c r="T108" s="799">
        <f>S108*(1-IFERROR(IF(T$77+$F108&lt;=12,SUMIFS('Attrition Modeling'!$D:$D,'Attrition Modeling'!$C:$C,$D108,'Attrition Modeling'!$B:$B,T$76),VLOOKUP($F108+T$77,$A$7:$C$107,2,FALSE)*VLOOKUP(T$76,'Attrition Modeling'!$L$15:$N$27,IF(T$77+$F108&lt;=24,2,3),FALSE)),$C$3)*(1+IF('IP Attrition'!T165&gt;0,'Attrition Modeling'!$N$9,0)))</f>
        <v>0</v>
      </c>
      <c r="U108" s="799">
        <f>T108*(1-IFERROR(IF(U$77+$F108&lt;=12,SUMIFS('Attrition Modeling'!$D:$D,'Attrition Modeling'!$C:$C,$D108,'Attrition Modeling'!$B:$B,U$76),VLOOKUP($F108+U$77,$A$7:$C$107,2,FALSE)*VLOOKUP(U$76,'Attrition Modeling'!$L$15:$N$27,IF(U$77+$F108&lt;=24,2,3),FALSE)),$C$3)*(1+IF('IP Attrition'!U165&gt;0,'Attrition Modeling'!$N$9,0)))</f>
        <v>0</v>
      </c>
      <c r="V108" s="799">
        <f>U108*(1-IFERROR(IF(V$77+$F108&lt;=12,SUMIFS('Attrition Modeling'!$D:$D,'Attrition Modeling'!$C:$C,$D108,'Attrition Modeling'!$B:$B,V$76),VLOOKUP($F108+V$77,$A$7:$C$107,2,FALSE)*VLOOKUP(V$76,'Attrition Modeling'!$L$15:$N$27,IF(V$77+$F108&lt;=24,2,3),FALSE)),$C$3)*(1+IF('IP Attrition'!V165&gt;0,'Attrition Modeling'!$N$9,0)))</f>
        <v>0</v>
      </c>
      <c r="W108" s="799">
        <f>V108*(1-IFERROR(IF(W$77+$F108&lt;=12,SUMIFS('Attrition Modeling'!$D:$D,'Attrition Modeling'!$C:$C,$D108,'Attrition Modeling'!$B:$B,W$76),VLOOKUP($F108+W$77,$A$7:$C$107,2,FALSE)*VLOOKUP(W$76,'Attrition Modeling'!$L$15:$N$27,IF(W$77+$F108&lt;=24,2,3),FALSE)),$C$3)*(1+IF('IP Attrition'!W165&gt;0,'Attrition Modeling'!$N$9,0)))</f>
        <v>0</v>
      </c>
      <c r="X108" s="799">
        <f>W108*(1-IFERROR(IF(X$77+$F108&lt;=12,SUMIFS('Attrition Modeling'!$D:$D,'Attrition Modeling'!$C:$C,$D108,'Attrition Modeling'!$B:$B,X$76),VLOOKUP($F108+X$77,$A$7:$C$107,2,FALSE)*VLOOKUP(X$76,'Attrition Modeling'!$L$15:$N$27,IF(X$77+$F108&lt;=24,2,3),FALSE)),$C$3)*(1+IF('IP Attrition'!X165&gt;0,'Attrition Modeling'!$N$9,0)))</f>
        <v>0</v>
      </c>
      <c r="Y108" s="799">
        <f>X108*(1-IFERROR(IF(Y$77+$F108&lt;=12,SUMIFS('Attrition Modeling'!$D:$D,'Attrition Modeling'!$C:$C,$D108,'Attrition Modeling'!$B:$B,Y$76),VLOOKUP($F108+Y$77,$A$7:$C$107,2,FALSE)*VLOOKUP(Y$76,'Attrition Modeling'!$L$15:$N$27,IF(Y$77+$F108&lt;=24,2,3),FALSE)),$C$3)*(1+IF('IP Attrition'!Y165&gt;0,'Attrition Modeling'!$N$9,0)))</f>
        <v>0</v>
      </c>
      <c r="Z108" s="799">
        <f>Y108*(1-IFERROR(IF(Z$77+$F108&lt;=12,SUMIFS('Attrition Modeling'!$D:$D,'Attrition Modeling'!$C:$C,$D108,'Attrition Modeling'!$B:$B,Z$76),VLOOKUP($F108+Z$77,$A$7:$C$107,2,FALSE)*VLOOKUP(Z$76,'Attrition Modeling'!$L$15:$N$27,IF(Z$77+$F108&lt;=24,2,3),FALSE)),$C$3)*(1+IF('IP Attrition'!Z165&gt;0,'Attrition Modeling'!$N$9,0)))</f>
        <v>0</v>
      </c>
      <c r="AA108" s="799">
        <f>Z108*(1-IFERROR(IF(AA$77+$F108&lt;=12,SUMIFS('Attrition Modeling'!$D:$D,'Attrition Modeling'!$C:$C,$D108,'Attrition Modeling'!$B:$B,AA$76),VLOOKUP($F108+AA$77,$A$7:$C$107,2,FALSE)*VLOOKUP(AA$76,'Attrition Modeling'!$L$15:$N$27,IF(AA$77+$F108&lt;=24,2,3),FALSE)),$C$3)*(1+IF('IP Attrition'!AA165&gt;0,'Attrition Modeling'!$N$9,0)))</f>
        <v>0</v>
      </c>
      <c r="AB108" s="799">
        <f>AA108*(1-IFERROR(IF(AB$77+$F108&lt;=12,SUMIFS('Attrition Modeling'!$D:$D,'Attrition Modeling'!$C:$C,$D108,'Attrition Modeling'!$B:$B,AB$76),VLOOKUP($F108+AB$77,$A$7:$C$107,2,FALSE)*VLOOKUP(AB$76,'Attrition Modeling'!$L$15:$N$27,IF(AB$77+$F108&lt;=24,2,3),FALSE)),$C$3)*(1+IF('IP Attrition'!AB165&gt;0,'Attrition Modeling'!$N$9,0)))</f>
        <v>0</v>
      </c>
      <c r="AC108" s="799">
        <f>AB108*(1-IFERROR(IF(AC$77+$F108&lt;=12,SUMIFS('Attrition Modeling'!$D:$D,'Attrition Modeling'!$C:$C,$D108,'Attrition Modeling'!$B:$B,AC$76),VLOOKUP($F108+AC$77,$A$7:$C$107,2,FALSE)*VLOOKUP(AC$76,'Attrition Modeling'!$L$15:$N$27,IF(AC$77+$F108&lt;=24,2,3),FALSE)),$C$3)*(1+IF('IP Attrition'!AC165&gt;0,'Attrition Modeling'!$N$9,0)))</f>
        <v>0</v>
      </c>
      <c r="AD108" s="799">
        <f>AC108*(1-IFERROR(IF(AD$77+$F108&lt;=12,SUMIFS('Attrition Modeling'!$D:$D,'Attrition Modeling'!$C:$C,$D108,'Attrition Modeling'!$B:$B,AD$76),VLOOKUP($F108+AD$77,$A$7:$C$107,2,FALSE)*VLOOKUP(AD$76,'Attrition Modeling'!$L$15:$N$27,IF(AD$77+$F108&lt;=24,2,3),FALSE)),$C$3)*(1+IF('IP Attrition'!AD165&gt;0,'Attrition Modeling'!$N$9,0)))</f>
        <v>0</v>
      </c>
      <c r="AE108" s="799">
        <f>AD108*(1-IFERROR(IF(AE$77+$F108&lt;=12,SUMIFS('Attrition Modeling'!$D:$D,'Attrition Modeling'!$C:$C,$D108,'Attrition Modeling'!$B:$B,AE$76),VLOOKUP($F108+AE$77,$A$7:$C$107,2,FALSE)*VLOOKUP(AE$76,'Attrition Modeling'!$L$15:$N$27,IF(AE$77+$F108&lt;=24,2,3),FALSE)),$C$3)*(1+IF('IP Attrition'!AE165&gt;0,'Attrition Modeling'!$N$9,0)))</f>
        <v>0</v>
      </c>
      <c r="AF108" s="799">
        <f>AE108*(1-IFERROR(IF(AF$77+$F108&lt;=12,SUMIFS('Attrition Modeling'!$D:$D,'Attrition Modeling'!$C:$C,$D108,'Attrition Modeling'!$B:$B,AF$76),VLOOKUP($F108+AF$77,$A$7:$C$107,2,FALSE)*VLOOKUP(AF$76,'Attrition Modeling'!$L$15:$N$27,IF(AF$77+$F108&lt;=24,2,3),FALSE)),$C$3)*(1+IF('IP Attrition'!AF165&gt;0,'Attrition Modeling'!$N$9,0)))</f>
        <v>0</v>
      </c>
      <c r="AG108" s="799">
        <f>AF108*(1-IFERROR(IF(AG$77+$F108&lt;=12,SUMIFS('Attrition Modeling'!$D:$D,'Attrition Modeling'!$C:$C,$D108,'Attrition Modeling'!$B:$B,AG$76),VLOOKUP($F108+AG$77,$A$7:$C$107,2,FALSE)*VLOOKUP(AG$76,'Attrition Modeling'!$L$15:$N$27,IF(AG$77+$F108&lt;=24,2,3),FALSE)),$C$3)*(1+IF('IP Attrition'!AG165&gt;0,'Attrition Modeling'!$N$9,0)))</f>
        <v>0</v>
      </c>
      <c r="AH108" s="799">
        <f>AG108*(1-IFERROR(IF(AH$77+$F108&lt;=12,SUMIFS('Attrition Modeling'!$D:$D,'Attrition Modeling'!$C:$C,$D108,'Attrition Modeling'!$B:$B,AH$76),VLOOKUP($F108+AH$77,$A$7:$C$107,2,FALSE)*VLOOKUP(AH$76,'Attrition Modeling'!$L$15:$N$27,IF(AH$77+$F108&lt;=24,2,3),FALSE)),$C$3)*(1+IF('IP Attrition'!AH165&gt;0,'Attrition Modeling'!$N$9,0)))</f>
        <v>0</v>
      </c>
      <c r="AI108" s="799">
        <f>AH108*(1-IFERROR(IF(AI$77+$F108&lt;=12,SUMIFS('Attrition Modeling'!$D:$D,'Attrition Modeling'!$C:$C,$D108,'Attrition Modeling'!$B:$B,AI$76),VLOOKUP($F108+AI$77,$A$7:$C$107,2,FALSE)*VLOOKUP(AI$76,'Attrition Modeling'!$L$15:$N$27,IF(AI$77+$F108&lt;=24,2,3),FALSE)),$C$3)*(1+IF('IP Attrition'!AI165&gt;0,'Attrition Modeling'!$N$9,0)))</f>
        <v>0</v>
      </c>
      <c r="AJ108" s="799">
        <f>AI108*(1-IFERROR(IF(AJ$77+$F108&lt;=12,SUMIFS('Attrition Modeling'!$D:$D,'Attrition Modeling'!$C:$C,$D108,'Attrition Modeling'!$B:$B,AJ$76),VLOOKUP($F108+AJ$77,$A$7:$C$107,2,FALSE)*VLOOKUP(AJ$76,'Attrition Modeling'!$L$15:$N$27,IF(AJ$77+$F108&lt;=24,2,3),FALSE)),$C$3)*(1+IF('IP Attrition'!AJ165&gt;0,'Attrition Modeling'!$N$9,0)))</f>
        <v>0</v>
      </c>
      <c r="AK108" s="799">
        <f>AJ108*(1-IFERROR(IF(AK$77+$F108&lt;=12,SUMIFS('Attrition Modeling'!$D:$D,'Attrition Modeling'!$C:$C,$D108,'Attrition Modeling'!$B:$B,AK$76),VLOOKUP($F108+AK$77,$A$7:$C$107,2,FALSE)*VLOOKUP(AK$76,'Attrition Modeling'!$L$15:$N$27,IF(AK$77+$F108&lt;=24,2,3),FALSE)),$C$3)*(1+IF('IP Attrition'!AK165&gt;0,'Attrition Modeling'!$N$9,0)))</f>
        <v>0</v>
      </c>
      <c r="AL108" s="799">
        <f>AK108*(1-IFERROR(IF(AL$77+$F108&lt;=12,SUMIFS('Attrition Modeling'!$D:$D,'Attrition Modeling'!$C:$C,$D108,'Attrition Modeling'!$B:$B,AL$76),VLOOKUP($F108+AL$77,$A$7:$C$107,2,FALSE)*VLOOKUP(AL$76,'Attrition Modeling'!$L$15:$N$27,IF(AL$77+$F108&lt;=24,2,3),FALSE)),$C$3)*(1+IF('IP Attrition'!AL165&gt;0,'Attrition Modeling'!$N$9,0)))</f>
        <v>0</v>
      </c>
      <c r="AM108" s="799">
        <f>AL108*(1-IFERROR(IF(AM$77+$F108&lt;=12,SUMIFS('Attrition Modeling'!$D:$D,'Attrition Modeling'!$C:$C,$D108,'Attrition Modeling'!$B:$B,AM$76),VLOOKUP($F108+AM$77,$A$7:$C$107,2,FALSE)*VLOOKUP(AM$76,'Attrition Modeling'!$L$15:$N$27,IF(AM$77+$F108&lt;=24,2,3),FALSE)),$C$3)*(1+IF('IP Attrition'!AM165&gt;0,'Attrition Modeling'!$N$9,0)))</f>
        <v>0</v>
      </c>
      <c r="AN108" s="799">
        <f>AM108*(1-IFERROR(IF(AN$77+$F108&lt;=12,SUMIFS('Attrition Modeling'!$D:$D,'Attrition Modeling'!$C:$C,$D108,'Attrition Modeling'!$B:$B,AN$76),VLOOKUP($F108+AN$77,$A$7:$C$107,2,FALSE)*VLOOKUP(AN$76,'Attrition Modeling'!$L$15:$N$27,IF(AN$77+$F108&lt;=24,2,3),FALSE)),$C$3)*(1+IF('IP Attrition'!AN165&gt;0,'Attrition Modeling'!$N$9,0)))</f>
        <v>0</v>
      </c>
      <c r="AO108" s="799">
        <f>AN108*(1-IFERROR(IF(AO$77+$F108&lt;=12,SUMIFS('Attrition Modeling'!$D:$D,'Attrition Modeling'!$C:$C,$D108,'Attrition Modeling'!$B:$B,AO$76),VLOOKUP($F108+AO$77,$A$7:$C$107,2,FALSE)*VLOOKUP(AO$76,'Attrition Modeling'!$L$15:$N$27,IF(AO$77+$F108&lt;=24,2,3),FALSE)),$C$3)*(1+IF('IP Attrition'!AO165&gt;0,'Attrition Modeling'!$N$9,0)))</f>
        <v>0</v>
      </c>
      <c r="AP108" s="799">
        <f>AO108*(1-IFERROR(IF(AP$77+$F108&lt;=12,SUMIFS('Attrition Modeling'!$D:$D,'Attrition Modeling'!$C:$C,$D108,'Attrition Modeling'!$B:$B,AP$76),VLOOKUP($F108+AP$77,$A$7:$C$107,2,FALSE)*VLOOKUP(AP$76,'Attrition Modeling'!$L$15:$N$27,IF(AP$77+$F108&lt;=24,2,3),FALSE)),$C$3)*(1+IF('IP Attrition'!AP165&gt;0,'Attrition Modeling'!$N$9,0)))</f>
        <v>0</v>
      </c>
      <c r="AQ108" s="799">
        <f>AP108*(1-IFERROR(IF(AQ$77+$F108&lt;=12,SUMIFS('Attrition Modeling'!$D:$D,'Attrition Modeling'!$C:$C,$D108,'Attrition Modeling'!$B:$B,AQ$76),VLOOKUP($F108+AQ$77,$A$7:$C$107,2,FALSE)*VLOOKUP(AQ$76,'Attrition Modeling'!$L$15:$N$27,IF(AQ$77+$F108&lt;=24,2,3),FALSE)),$C$3)*(1+IF('IP Attrition'!AQ165&gt;0,'Attrition Modeling'!$N$9,0)))</f>
        <v>0</v>
      </c>
      <c r="AR108" s="799">
        <f>AQ108*(1-IFERROR(IF(AR$77+$F108&lt;=12,SUMIFS('Attrition Modeling'!$D:$D,'Attrition Modeling'!$C:$C,$D108,'Attrition Modeling'!$B:$B,AR$76),VLOOKUP($F108+AR$77,$A$7:$C$107,2,FALSE)*VLOOKUP(AR$76,'Attrition Modeling'!$L$15:$N$27,IF(AR$77+$F108&lt;=24,2,3),FALSE)),$C$3)*(1+IF('IP Attrition'!AR165&gt;0,'Attrition Modeling'!$N$9,0)))</f>
        <v>0</v>
      </c>
      <c r="AS108" s="799">
        <f>AR108*(1-IFERROR(IF(AS$77+$F108&lt;=12,SUMIFS('Attrition Modeling'!$D:$D,'Attrition Modeling'!$C:$C,$D108,'Attrition Modeling'!$B:$B,AS$76),VLOOKUP($F108+AS$77,$A$7:$C$107,2,FALSE)*VLOOKUP(AS$76,'Attrition Modeling'!$L$15:$N$27,IF(AS$77+$F108&lt;=24,2,3),FALSE)),$C$3)*(1+IF('IP Attrition'!AS165&gt;0,'Attrition Modeling'!$N$9,0)))</f>
        <v>0</v>
      </c>
      <c r="AT108" s="799">
        <f>AS108*(1-IFERROR(IF(AT$77+$F108&lt;=12,SUMIFS('Attrition Modeling'!$D:$D,'Attrition Modeling'!$C:$C,$D108,'Attrition Modeling'!$B:$B,AT$76),VLOOKUP($F108+AT$77,$A$7:$C$107,2,FALSE)*VLOOKUP(AT$76,'Attrition Modeling'!$L$15:$N$27,IF(AT$77+$F108&lt;=24,2,3),FALSE)),$C$3)*(1+IF('IP Attrition'!AT165&gt;0,'Attrition Modeling'!$N$9,0)))</f>
        <v>0</v>
      </c>
      <c r="AU108" s="799">
        <f>AT108*(1-IFERROR(IF(AU$77+$F108&lt;=12,SUMIFS('Attrition Modeling'!$D:$D,'Attrition Modeling'!$C:$C,$D108,'Attrition Modeling'!$B:$B,AU$76),VLOOKUP($F108+AU$77,$A$7:$C$107,2,FALSE)*VLOOKUP(AU$76,'Attrition Modeling'!$L$15:$N$27,IF(AU$77+$F108&lt;=24,2,3),FALSE)),$C$3)*(1+IF('IP Attrition'!AU165&gt;0,'Attrition Modeling'!$N$9,0)))</f>
        <v>0</v>
      </c>
      <c r="AV108" s="799">
        <f>AU108*(1-IFERROR(IF(AV$77+$F108&lt;=12,SUMIFS('Attrition Modeling'!$D:$D,'Attrition Modeling'!$C:$C,$D108,'Attrition Modeling'!$B:$B,AV$76),VLOOKUP($F108+AV$77,$A$7:$C$107,2,FALSE)*VLOOKUP(AV$76,'Attrition Modeling'!$L$15:$N$27,IF(AV$77+$F108&lt;=24,2,3),FALSE)),$C$3)*(1+IF('IP Attrition'!AV165&gt;0,'Attrition Modeling'!$N$9,0)))</f>
        <v>0</v>
      </c>
      <c r="AW108" s="799">
        <f>AV108*(1-IFERROR(IF(AW$77+$F108&lt;=12,SUMIFS('Attrition Modeling'!$D:$D,'Attrition Modeling'!$C:$C,$D108,'Attrition Modeling'!$B:$B,AW$76),VLOOKUP($F108+AW$77,$A$7:$C$107,2,FALSE)*VLOOKUP(AW$76,'Attrition Modeling'!$L$15:$N$27,IF(AW$77+$F108&lt;=24,2,3),FALSE)),$C$3)*(1+IF('IP Attrition'!AW165&gt;0,'Attrition Modeling'!$N$9,0)))</f>
        <v>0</v>
      </c>
      <c r="AX108" s="799">
        <f>AW108*(1-IFERROR(IF(AX$77+$F108&lt;=12,SUMIFS('Attrition Modeling'!$D:$D,'Attrition Modeling'!$C:$C,$D108,'Attrition Modeling'!$B:$B,AX$76),VLOOKUP($F108+AX$77,$A$7:$C$107,2,FALSE)*VLOOKUP(AX$76,'Attrition Modeling'!$L$15:$N$27,IF(AX$77+$F108&lt;=24,2,3),FALSE)),$C$3)*(1+IF('IP Attrition'!AX165&gt;0,'Attrition Modeling'!$N$9,0)))</f>
        <v>0</v>
      </c>
      <c r="AY108" s="799">
        <f>AX108*(1-IFERROR(IF(AY$77+$F108&lt;=12,SUMIFS('Attrition Modeling'!$D:$D,'Attrition Modeling'!$C:$C,$D108,'Attrition Modeling'!$B:$B,AY$76),VLOOKUP($F108+AY$77,$A$7:$C$107,2,FALSE)*VLOOKUP(AY$76,'Attrition Modeling'!$L$15:$N$27,IF(AY$77+$F108&lt;=24,2,3),FALSE)),$C$3)*(1+IF('IP Attrition'!AY165&gt;0,'Attrition Modeling'!$N$9,0)))</f>
        <v>0</v>
      </c>
      <c r="AZ108" s="799">
        <f>AY108*(1-IFERROR(IF(AZ$77+$F108&lt;=12,SUMIFS('Attrition Modeling'!$D:$D,'Attrition Modeling'!$C:$C,$D108,'Attrition Modeling'!$B:$B,AZ$76),VLOOKUP($F108+AZ$77,$A$7:$C$107,2,FALSE)*VLOOKUP(AZ$76,'Attrition Modeling'!$L$15:$N$27,IF(AZ$77+$F108&lt;=24,2,3),FALSE)),$C$3)*(1+IF('IP Attrition'!AZ165&gt;0,'Attrition Modeling'!$N$9,0)))</f>
        <v>0</v>
      </c>
      <c r="BA108" s="799">
        <f>AZ108*(1-IFERROR(IF(BA$77+$F108&lt;=12,SUMIFS('Attrition Modeling'!$D:$D,'Attrition Modeling'!$C:$C,$D108,'Attrition Modeling'!$B:$B,BA$76),VLOOKUP($F108+BA$77,$A$7:$C$107,2,FALSE)*VLOOKUP(BA$76,'Attrition Modeling'!$L$15:$N$27,IF(BA$77+$F108&lt;=24,2,3),FALSE)),$C$3)*(1+IF('IP Attrition'!BA165&gt;0,'Attrition Modeling'!$N$9,0)))</f>
        <v>0</v>
      </c>
      <c r="BB108" s="799">
        <f>BA108*(1-IFERROR(IF(BB$77+$F108&lt;=12,SUMIFS('Attrition Modeling'!$D:$D,'Attrition Modeling'!$C:$C,$D108,'Attrition Modeling'!$B:$B,BB$76),VLOOKUP($F108+BB$77,$A$7:$C$107,2,FALSE)*VLOOKUP(BB$76,'Attrition Modeling'!$L$15:$N$27,IF(BB$77+$F108&lt;=24,2,3),FALSE)),$C$3)*(1+IF('IP Attrition'!BB165&gt;0,'Attrition Modeling'!$N$9,0)))</f>
        <v>0</v>
      </c>
      <c r="BC108" s="799">
        <f>BB108*(1-IFERROR(IF(BC$77+$F108&lt;=12,SUMIFS('Attrition Modeling'!$D:$D,'Attrition Modeling'!$C:$C,$D108,'Attrition Modeling'!$B:$B,BC$76),VLOOKUP($F108+BC$77,$A$7:$C$107,2,FALSE)*VLOOKUP(BC$76,'Attrition Modeling'!$L$15:$N$27,IF(BC$77+$F108&lt;=24,2,3),FALSE)),$C$3)*(1+IF('IP Attrition'!BC165&gt;0,'Attrition Modeling'!$N$9,0)))</f>
        <v>0</v>
      </c>
      <c r="BD108" s="799">
        <f>BC108*(1-IFERROR(IF(BD$77+$F108&lt;=12,SUMIFS('Attrition Modeling'!$D:$D,'Attrition Modeling'!$C:$C,$D108,'Attrition Modeling'!$B:$B,BD$76),VLOOKUP($F108+BD$77,$A$7:$C$107,2,FALSE)*VLOOKUP(BD$76,'Attrition Modeling'!$L$15:$N$27,IF(BD$77+$F108&lt;=24,2,3),FALSE)),$C$3)*(1+IF('IP Attrition'!BD165&gt;0,'Attrition Modeling'!$N$9,0)))</f>
        <v>0</v>
      </c>
      <c r="BE108" s="799">
        <f>BD108*(1-IFERROR(IF(BE$77+$F108&lt;=12,SUMIFS('Attrition Modeling'!$D:$D,'Attrition Modeling'!$C:$C,$D108,'Attrition Modeling'!$B:$B,BE$76),VLOOKUP($F108+BE$77,$A$7:$C$107,2,FALSE)*VLOOKUP(BE$76,'Attrition Modeling'!$L$15:$N$27,IF(BE$77+$F108&lt;=24,2,3),FALSE)),$C$3)*(1+IF('IP Attrition'!BE165&gt;0,'Attrition Modeling'!$N$9,0)))</f>
        <v>0</v>
      </c>
      <c r="BF108" s="799">
        <f>BE108*(1-IFERROR(IF(BF$77+$F108&lt;=12,SUMIFS('Attrition Modeling'!$D:$D,'Attrition Modeling'!$C:$C,$D108,'Attrition Modeling'!$B:$B,BF$76),VLOOKUP($F108+BF$77,$A$7:$C$107,2,FALSE)*VLOOKUP(BF$76,'Attrition Modeling'!$L$15:$N$27,IF(BF$77+$F108&lt;=24,2,3),FALSE)),$C$3)*(1+IF('IP Attrition'!BF165&gt;0,'Attrition Modeling'!$N$9,0)))</f>
        <v>0</v>
      </c>
      <c r="BG108" s="799">
        <f>BF108*(1-IFERROR(IF(BG$77+$F108&lt;=12,SUMIFS('Attrition Modeling'!$D:$D,'Attrition Modeling'!$C:$C,$D108,'Attrition Modeling'!$B:$B,BG$76),VLOOKUP($F108+BG$77,$A$7:$C$107,2,FALSE)*VLOOKUP(BG$76,'Attrition Modeling'!$L$15:$N$27,IF(BG$77+$F108&lt;=24,2,3),FALSE)),$C$3)*(1+IF('IP Attrition'!BG165&gt;0,'Attrition Modeling'!$N$9,0)))</f>
        <v>0</v>
      </c>
      <c r="BH108" s="799">
        <f>BG108*(1-IFERROR(IF(BH$77+$F108&lt;=12,SUMIFS('Attrition Modeling'!$D:$D,'Attrition Modeling'!$C:$C,$D108,'Attrition Modeling'!$B:$B,BH$76),VLOOKUP($F108+BH$77,$A$7:$C$107,2,FALSE)*VLOOKUP(BH$76,'Attrition Modeling'!$L$15:$N$27,IF(BH$77+$F108&lt;=24,2,3),FALSE)),$C$3)*(1+IF('IP Attrition'!BH165&gt;0,'Attrition Modeling'!$N$9,0)))</f>
        <v>0</v>
      </c>
      <c r="BI108" s="799">
        <f>BH108*(1-IFERROR(IF(BI$77+$F108&lt;=12,SUMIFS('Attrition Modeling'!$D:$D,'Attrition Modeling'!$C:$C,$D108,'Attrition Modeling'!$B:$B,BI$76),VLOOKUP($F108+BI$77,$A$7:$C$107,2,FALSE)*VLOOKUP(BI$76,'Attrition Modeling'!$L$15:$N$27,IF(BI$77+$F108&lt;=24,2,3),FALSE)),$C$3)*(1+IF('IP Attrition'!BI165&gt;0,'Attrition Modeling'!$N$9,0)))</f>
        <v>0</v>
      </c>
      <c r="BJ108" s="799">
        <f>BI108*(1-IFERROR(IF(BJ$77+$F108&lt;=12,SUMIFS('Attrition Modeling'!$D:$D,'Attrition Modeling'!$C:$C,$D108,'Attrition Modeling'!$B:$B,BJ$76),VLOOKUP($F108+BJ$77,$A$7:$C$107,2,FALSE)*VLOOKUP(BJ$76,'Attrition Modeling'!$L$15:$N$27,IF(BJ$77+$F108&lt;=24,2,3),FALSE)),$C$3)*(1+IF('IP Attrition'!BJ165&gt;0,'Attrition Modeling'!$N$9,0)))</f>
        <v>0</v>
      </c>
      <c r="BK108" s="799">
        <f>BJ108*(1-IFERROR(IF(BK$77+$F108&lt;=12,SUMIFS('Attrition Modeling'!$D:$D,'Attrition Modeling'!$C:$C,$D108,'Attrition Modeling'!$B:$B,BK$76),VLOOKUP($F108+BK$77,$A$7:$C$107,2,FALSE)*VLOOKUP(BK$76,'Attrition Modeling'!$L$15:$N$27,IF(BK$77+$F108&lt;=24,2,3),FALSE)),$C$3)*(1+IF('IP Attrition'!BK165&gt;0,'Attrition Modeling'!$N$9,0)))</f>
        <v>0</v>
      </c>
      <c r="BL108" s="799">
        <f>BK108*(1-IFERROR(IF(BL$77+$F108&lt;=12,SUMIFS('Attrition Modeling'!$D:$D,'Attrition Modeling'!$C:$C,$D108,'Attrition Modeling'!$B:$B,BL$76),VLOOKUP($F108+BL$77,$A$7:$C$107,2,FALSE)*VLOOKUP(BL$76,'Attrition Modeling'!$L$15:$N$27,IF(BL$77+$F108&lt;=24,2,3),FALSE)),$C$3)*(1+IF('IP Attrition'!BL165&gt;0,'Attrition Modeling'!$N$9,0)))</f>
        <v>0</v>
      </c>
      <c r="BM108" s="799">
        <f>BL108*(1-IFERROR(IF(BM$77+$F108&lt;=12,SUMIFS('Attrition Modeling'!$D:$D,'Attrition Modeling'!$C:$C,$D108,'Attrition Modeling'!$B:$B,BM$76),VLOOKUP($F108+BM$77,$A$7:$C$107,2,FALSE)*VLOOKUP(BM$76,'Attrition Modeling'!$L$15:$N$27,IF(BM$77+$F108&lt;=24,2,3),FALSE)),$C$3)*(1+IF('IP Attrition'!BM165&gt;0,'Attrition Modeling'!$N$9,0)))</f>
        <v>0</v>
      </c>
      <c r="BN108" s="799">
        <f>BM108*(1-IFERROR(IF(BN$77+$F108&lt;=12,SUMIFS('Attrition Modeling'!$D:$D,'Attrition Modeling'!$C:$C,$D108,'Attrition Modeling'!$B:$B,BN$76),VLOOKUP($F108+BN$77,$A$7:$C$107,2,FALSE)*VLOOKUP(BN$76,'Attrition Modeling'!$L$15:$N$27,IF(BN$77+$F108&lt;=24,2,3),FALSE)),$C$3)*(1+IF('IP Attrition'!BN165&gt;0,'Attrition Modeling'!$N$9,0)))</f>
        <v>0</v>
      </c>
      <c r="BO108" s="799">
        <f>BN108*(1-IFERROR(IF(BO$77+$F108&lt;=12,SUMIFS('Attrition Modeling'!$D:$D,'Attrition Modeling'!$C:$C,$D108,'Attrition Modeling'!$B:$B,BO$76),VLOOKUP($F108+BO$77,$A$7:$C$107,2,FALSE)*VLOOKUP(BO$76,'Attrition Modeling'!$L$15:$N$27,IF(BO$77+$F108&lt;=24,2,3),FALSE)),$C$3)*(1+IF('IP Attrition'!BO165&gt;0,'Attrition Modeling'!$N$9,0)))</f>
        <v>0</v>
      </c>
      <c r="BP108" s="799">
        <f>BO108*(1-IFERROR(IF(BP$77+$F108&lt;=12,SUMIFS('Attrition Modeling'!$D:$D,'Attrition Modeling'!$C:$C,$D108,'Attrition Modeling'!$B:$B,BP$76),VLOOKUP($F108+BP$77,$A$7:$C$107,2,FALSE)*VLOOKUP(BP$76,'Attrition Modeling'!$L$15:$N$27,IF(BP$77+$F108&lt;=24,2,3),FALSE)),$C$3)*(1+IF('IP Attrition'!BP165&gt;0,'Attrition Modeling'!$N$9,0)))</f>
        <v>0</v>
      </c>
      <c r="BQ108" s="799">
        <f>BP108*(1-IFERROR(IF(BQ$77+$F108&lt;=12,SUMIFS('Attrition Modeling'!$D:$D,'Attrition Modeling'!$C:$C,$D108,'Attrition Modeling'!$B:$B,BQ$76),VLOOKUP($F108+BQ$77,$A$7:$C$107,2,FALSE)*VLOOKUP(BQ$76,'Attrition Modeling'!$L$15:$N$27,IF(BQ$77+$F108&lt;=24,2,3),FALSE)),$C$3)*(1+IF('IP Attrition'!BQ165&gt;0,'Attrition Modeling'!$N$9,0)))</f>
        <v>0</v>
      </c>
      <c r="BR108" s="799">
        <f>BQ108*(1-IFERROR(IF(BR$77+$F108&lt;=12,SUMIFS('Attrition Modeling'!$D:$D,'Attrition Modeling'!$C:$C,$D108,'Attrition Modeling'!$B:$B,BR$76),VLOOKUP($F108+BR$77,$A$7:$C$107,2,FALSE)*VLOOKUP(BR$76,'Attrition Modeling'!$L$15:$N$27,IF(BR$77+$F108&lt;=24,2,3),FALSE)),$C$3)*(1+IF('IP Attrition'!BR165&gt;0,'Attrition Modeling'!$N$9,0)))</f>
        <v>0</v>
      </c>
      <c r="BS108" s="799">
        <f>BR108*(1-IFERROR(IF(BS$77+$F108&lt;=12,SUMIFS('Attrition Modeling'!$D:$D,'Attrition Modeling'!$C:$C,$D108,'Attrition Modeling'!$B:$B,BS$76),VLOOKUP($F108+BS$77,$A$7:$C$107,2,FALSE)*VLOOKUP(BS$76,'Attrition Modeling'!$L$15:$N$27,IF(BS$77+$F108&lt;=24,2,3),FALSE)),$C$3)*(1+IF('IP Attrition'!BS165&gt;0,'Attrition Modeling'!$N$9,0)))</f>
        <v>0</v>
      </c>
      <c r="BT108" s="799" t="e">
        <f>BS108*(1-IFERROR(IF(BT$77+$F108&lt;=12,SUMIFS('Attrition Modeling'!$D:$D,'Attrition Modeling'!$C:$C,$D108,'Attrition Modeling'!$B:$B,BT$76),VLOOKUP($F108+BT$77,$A$7:$C$107,2,FALSE)*VLOOKUP(BT$76,'Attrition Modeling'!$L$15:$N$27,IF(BT$77+$F108&lt;=24,2,3),FALSE)),$C$3)*(1+IF('IP Attrition'!BT165&gt;0,'Attrition Modeling'!$N$9,0)))</f>
        <v>#REF!</v>
      </c>
      <c r="BU108" s="799" t="e">
        <f>BT108*(1-IFERROR(IF(BU$77+$F108&lt;=12,SUMIFS('Attrition Modeling'!$D:$D,'Attrition Modeling'!$C:$C,$D108,'Attrition Modeling'!$B:$B,BU$76),VLOOKUP($F108+BU$77,$A$7:$C$107,2,FALSE)*VLOOKUP(BU$76,'Attrition Modeling'!$L$15:$N$27,IF(BU$77+$F108&lt;=24,2,3),FALSE)),$C$3)*(1+IF('IP Attrition'!BU165&gt;0,'Attrition Modeling'!$N$9,0)))</f>
        <v>#REF!</v>
      </c>
    </row>
    <row r="109" spans="1:73" ht="14.25" customHeight="1" x14ac:dyDescent="0.2">
      <c r="A109" s="9">
        <v>101</v>
      </c>
      <c r="B109" s="25">
        <f>MAX('Attrition Modeling'!H105,$C$3)*(1-Summary!$C$20)</f>
        <v>0.02</v>
      </c>
      <c r="C109" s="24" t="e">
        <f t="shared" si="2"/>
        <v>#DIV/0!</v>
      </c>
      <c r="D109" s="11">
        <f>'IP Attrition'!D101</f>
        <v>-31</v>
      </c>
      <c r="E109" s="25">
        <f>'IP Attrition'!E101</f>
        <v>0</v>
      </c>
      <c r="F109" s="11">
        <f t="shared" si="8"/>
        <v>31</v>
      </c>
      <c r="G109" s="799">
        <f>Summary!$C$24*$E109</f>
        <v>0</v>
      </c>
      <c r="H109" s="799">
        <f>G109*(1-IFERROR(IF(H$77+$F109&lt;=12,SUMIFS('Attrition Modeling'!$D:$D,'Attrition Modeling'!$C:$C,$D109,'Attrition Modeling'!$B:$B,H$76),VLOOKUP($F109+H$77,$A$7:$C$107,2,FALSE)*VLOOKUP(H$76,'Attrition Modeling'!$L$15:$N$27,IF(H$77+$F109&lt;=24,2,3),FALSE)),$C$3)*(1+IF('IP Attrition'!H166&gt;0,'Attrition Modeling'!$N$9,0)))</f>
        <v>0</v>
      </c>
      <c r="I109" s="799">
        <f>H109*(1-IFERROR(IF(I$77+$F109&lt;=12,SUMIFS('Attrition Modeling'!$D:$D,'Attrition Modeling'!$C:$C,$D109,'Attrition Modeling'!$B:$B,I$76),VLOOKUP($F109+I$77,$A$7:$C$107,2,FALSE)*VLOOKUP(I$76,'Attrition Modeling'!$L$15:$N$27,IF(I$77+$F109&lt;=24,2,3),FALSE)),$C$3)*(1+IF('IP Attrition'!I166&gt;0,'Attrition Modeling'!$N$9,0)))</f>
        <v>0</v>
      </c>
      <c r="J109" s="799">
        <f>I109*(1-IFERROR(IF(J$77+$F109&lt;=12,SUMIFS('Attrition Modeling'!$D:$D,'Attrition Modeling'!$C:$C,$D109,'Attrition Modeling'!$B:$B,J$76),VLOOKUP($F109+J$77,$A$7:$C$107,2,FALSE)*VLOOKUP(J$76,'Attrition Modeling'!$L$15:$N$27,IF(J$77+$F109&lt;=24,2,3),FALSE)),$C$3)*(1+IF('IP Attrition'!J166&gt;0,'Attrition Modeling'!$N$9,0)))</f>
        <v>0</v>
      </c>
      <c r="K109" s="799">
        <f>J109*(1-IFERROR(IF(K$77+$F109&lt;=12,SUMIFS('Attrition Modeling'!$D:$D,'Attrition Modeling'!$C:$C,$D109,'Attrition Modeling'!$B:$B,K$76),VLOOKUP($F109+K$77,$A$7:$C$107,2,FALSE)*VLOOKUP(K$76,'Attrition Modeling'!$L$15:$N$27,IF(K$77+$F109&lt;=24,2,3),FALSE)),$C$3)*(1+IF('IP Attrition'!K166&gt;0,'Attrition Modeling'!$N$9,0)))</f>
        <v>0</v>
      </c>
      <c r="L109" s="799">
        <f>K109*(1-IFERROR(IF(L$77+$F109&lt;=12,SUMIFS('Attrition Modeling'!$D:$D,'Attrition Modeling'!$C:$C,$D109,'Attrition Modeling'!$B:$B,L$76),VLOOKUP($F109+L$77,$A$7:$C$107,2,FALSE)*VLOOKUP(L$76,'Attrition Modeling'!$L$15:$N$27,IF(L$77+$F109&lt;=24,2,3),FALSE)),$C$3)*(1+IF('IP Attrition'!L166&gt;0,'Attrition Modeling'!$N$9,0)))</f>
        <v>0</v>
      </c>
      <c r="M109" s="799">
        <f>L109*(1-IFERROR(IF(M$77+$F109&lt;=12,SUMIFS('Attrition Modeling'!$D:$D,'Attrition Modeling'!$C:$C,$D109,'Attrition Modeling'!$B:$B,M$76),VLOOKUP($F109+M$77,$A$7:$C$107,2,FALSE)*VLOOKUP(M$76,'Attrition Modeling'!$L$15:$N$27,IF(M$77+$F109&lt;=24,2,3),FALSE)),$C$3)*(1+IF('IP Attrition'!M166&gt;0,'Attrition Modeling'!$N$9,0)))</f>
        <v>0</v>
      </c>
      <c r="N109" s="799">
        <f>M109*(1-IFERROR(IF(N$77+$F109&lt;=12,SUMIFS('Attrition Modeling'!$D:$D,'Attrition Modeling'!$C:$C,$D109,'Attrition Modeling'!$B:$B,N$76),VLOOKUP($F109+N$77,$A$7:$C$107,2,FALSE)*VLOOKUP(N$76,'Attrition Modeling'!$L$15:$N$27,IF(N$77+$F109&lt;=24,2,3),FALSE)),$C$3)*(1+IF('IP Attrition'!N166&gt;0,'Attrition Modeling'!$N$9,0)))</f>
        <v>0</v>
      </c>
      <c r="O109" s="799">
        <f>N109*(1-IFERROR(IF(O$77+$F109&lt;=12,SUMIFS('Attrition Modeling'!$D:$D,'Attrition Modeling'!$C:$C,$D109,'Attrition Modeling'!$B:$B,O$76),VLOOKUP($F109+O$77,$A$7:$C$107,2,FALSE)*VLOOKUP(O$76,'Attrition Modeling'!$L$15:$N$27,IF(O$77+$F109&lt;=24,2,3),FALSE)),$C$3)*(1+IF('IP Attrition'!O166&gt;0,'Attrition Modeling'!$N$9,0)))</f>
        <v>0</v>
      </c>
      <c r="P109" s="799">
        <f>O109*(1-IFERROR(IF(P$77+$F109&lt;=12,SUMIFS('Attrition Modeling'!$D:$D,'Attrition Modeling'!$C:$C,$D109,'Attrition Modeling'!$B:$B,P$76),VLOOKUP($F109+P$77,$A$7:$C$107,2,FALSE)*VLOOKUP(P$76,'Attrition Modeling'!$L$15:$N$27,IF(P$77+$F109&lt;=24,2,3),FALSE)),$C$3)*(1+IF('IP Attrition'!P166&gt;0,'Attrition Modeling'!$N$9,0)))</f>
        <v>0</v>
      </c>
      <c r="Q109" s="799">
        <f>P109*(1-IFERROR(IF(Q$77+$F109&lt;=12,SUMIFS('Attrition Modeling'!$D:$D,'Attrition Modeling'!$C:$C,$D109,'Attrition Modeling'!$B:$B,Q$76),VLOOKUP($F109+Q$77,$A$7:$C$107,2,FALSE)*VLOOKUP(Q$76,'Attrition Modeling'!$L$15:$N$27,IF(Q$77+$F109&lt;=24,2,3),FALSE)),$C$3)*(1+IF('IP Attrition'!Q166&gt;0,'Attrition Modeling'!$N$9,0)))</f>
        <v>0</v>
      </c>
      <c r="R109" s="799">
        <f>Q109*(1-IFERROR(IF(R$77+$F109&lt;=12,SUMIFS('Attrition Modeling'!$D:$D,'Attrition Modeling'!$C:$C,$D109,'Attrition Modeling'!$B:$B,R$76),VLOOKUP($F109+R$77,$A$7:$C$107,2,FALSE)*VLOOKUP(R$76,'Attrition Modeling'!$L$15:$N$27,IF(R$77+$F109&lt;=24,2,3),FALSE)),$C$3)*(1+IF('IP Attrition'!R166&gt;0,'Attrition Modeling'!$N$9,0)))</f>
        <v>0</v>
      </c>
      <c r="S109" s="799">
        <f>R109*(1-IFERROR(IF(S$77+$F109&lt;=12,SUMIFS('Attrition Modeling'!$D:$D,'Attrition Modeling'!$C:$C,$D109,'Attrition Modeling'!$B:$B,S$76),VLOOKUP($F109+S$77,$A$7:$C$107,2,FALSE)*VLOOKUP(S$76,'Attrition Modeling'!$L$15:$N$27,IF(S$77+$F109&lt;=24,2,3),FALSE)),$C$3)*(1+IF('IP Attrition'!S166&gt;0,'Attrition Modeling'!$N$9,0)))</f>
        <v>0</v>
      </c>
      <c r="T109" s="799">
        <f>S109*(1-IFERROR(IF(T$77+$F109&lt;=12,SUMIFS('Attrition Modeling'!$D:$D,'Attrition Modeling'!$C:$C,$D109,'Attrition Modeling'!$B:$B,T$76),VLOOKUP($F109+T$77,$A$7:$C$107,2,FALSE)*VLOOKUP(T$76,'Attrition Modeling'!$L$15:$N$27,IF(T$77+$F109&lt;=24,2,3),FALSE)),$C$3)*(1+IF('IP Attrition'!T166&gt;0,'Attrition Modeling'!$N$9,0)))</f>
        <v>0</v>
      </c>
      <c r="U109" s="799">
        <f>T109*(1-IFERROR(IF(U$77+$F109&lt;=12,SUMIFS('Attrition Modeling'!$D:$D,'Attrition Modeling'!$C:$C,$D109,'Attrition Modeling'!$B:$B,U$76),VLOOKUP($F109+U$77,$A$7:$C$107,2,FALSE)*VLOOKUP(U$76,'Attrition Modeling'!$L$15:$N$27,IF(U$77+$F109&lt;=24,2,3),FALSE)),$C$3)*(1+IF('IP Attrition'!U166&gt;0,'Attrition Modeling'!$N$9,0)))</f>
        <v>0</v>
      </c>
      <c r="V109" s="799">
        <f>U109*(1-IFERROR(IF(V$77+$F109&lt;=12,SUMIFS('Attrition Modeling'!$D:$D,'Attrition Modeling'!$C:$C,$D109,'Attrition Modeling'!$B:$B,V$76),VLOOKUP($F109+V$77,$A$7:$C$107,2,FALSE)*VLOOKUP(V$76,'Attrition Modeling'!$L$15:$N$27,IF(V$77+$F109&lt;=24,2,3),FALSE)),$C$3)*(1+IF('IP Attrition'!V166&gt;0,'Attrition Modeling'!$N$9,0)))</f>
        <v>0</v>
      </c>
      <c r="W109" s="799">
        <f>V109*(1-IFERROR(IF(W$77+$F109&lt;=12,SUMIFS('Attrition Modeling'!$D:$D,'Attrition Modeling'!$C:$C,$D109,'Attrition Modeling'!$B:$B,W$76),VLOOKUP($F109+W$77,$A$7:$C$107,2,FALSE)*VLOOKUP(W$76,'Attrition Modeling'!$L$15:$N$27,IF(W$77+$F109&lt;=24,2,3),FALSE)),$C$3)*(1+IF('IP Attrition'!W166&gt;0,'Attrition Modeling'!$N$9,0)))</f>
        <v>0</v>
      </c>
      <c r="X109" s="799">
        <f>W109*(1-IFERROR(IF(X$77+$F109&lt;=12,SUMIFS('Attrition Modeling'!$D:$D,'Attrition Modeling'!$C:$C,$D109,'Attrition Modeling'!$B:$B,X$76),VLOOKUP($F109+X$77,$A$7:$C$107,2,FALSE)*VLOOKUP(X$76,'Attrition Modeling'!$L$15:$N$27,IF(X$77+$F109&lt;=24,2,3),FALSE)),$C$3)*(1+IF('IP Attrition'!X166&gt;0,'Attrition Modeling'!$N$9,0)))</f>
        <v>0</v>
      </c>
      <c r="Y109" s="799">
        <f>X109*(1-IFERROR(IF(Y$77+$F109&lt;=12,SUMIFS('Attrition Modeling'!$D:$D,'Attrition Modeling'!$C:$C,$D109,'Attrition Modeling'!$B:$B,Y$76),VLOOKUP($F109+Y$77,$A$7:$C$107,2,FALSE)*VLOOKUP(Y$76,'Attrition Modeling'!$L$15:$N$27,IF(Y$77+$F109&lt;=24,2,3),FALSE)),$C$3)*(1+IF('IP Attrition'!Y166&gt;0,'Attrition Modeling'!$N$9,0)))</f>
        <v>0</v>
      </c>
      <c r="Z109" s="799">
        <f>Y109*(1-IFERROR(IF(Z$77+$F109&lt;=12,SUMIFS('Attrition Modeling'!$D:$D,'Attrition Modeling'!$C:$C,$D109,'Attrition Modeling'!$B:$B,Z$76),VLOOKUP($F109+Z$77,$A$7:$C$107,2,FALSE)*VLOOKUP(Z$76,'Attrition Modeling'!$L$15:$N$27,IF(Z$77+$F109&lt;=24,2,3),FALSE)),$C$3)*(1+IF('IP Attrition'!Z166&gt;0,'Attrition Modeling'!$N$9,0)))</f>
        <v>0</v>
      </c>
      <c r="AA109" s="799">
        <f>Z109*(1-IFERROR(IF(AA$77+$F109&lt;=12,SUMIFS('Attrition Modeling'!$D:$D,'Attrition Modeling'!$C:$C,$D109,'Attrition Modeling'!$B:$B,AA$76),VLOOKUP($F109+AA$77,$A$7:$C$107,2,FALSE)*VLOOKUP(AA$76,'Attrition Modeling'!$L$15:$N$27,IF(AA$77+$F109&lt;=24,2,3),FALSE)),$C$3)*(1+IF('IP Attrition'!AA166&gt;0,'Attrition Modeling'!$N$9,0)))</f>
        <v>0</v>
      </c>
      <c r="AB109" s="799">
        <f>AA109*(1-IFERROR(IF(AB$77+$F109&lt;=12,SUMIFS('Attrition Modeling'!$D:$D,'Attrition Modeling'!$C:$C,$D109,'Attrition Modeling'!$B:$B,AB$76),VLOOKUP($F109+AB$77,$A$7:$C$107,2,FALSE)*VLOOKUP(AB$76,'Attrition Modeling'!$L$15:$N$27,IF(AB$77+$F109&lt;=24,2,3),FALSE)),$C$3)*(1+IF('IP Attrition'!AB166&gt;0,'Attrition Modeling'!$N$9,0)))</f>
        <v>0</v>
      </c>
      <c r="AC109" s="799">
        <f>AB109*(1-IFERROR(IF(AC$77+$F109&lt;=12,SUMIFS('Attrition Modeling'!$D:$D,'Attrition Modeling'!$C:$C,$D109,'Attrition Modeling'!$B:$B,AC$76),VLOOKUP($F109+AC$77,$A$7:$C$107,2,FALSE)*VLOOKUP(AC$76,'Attrition Modeling'!$L$15:$N$27,IF(AC$77+$F109&lt;=24,2,3),FALSE)),$C$3)*(1+IF('IP Attrition'!AC166&gt;0,'Attrition Modeling'!$N$9,0)))</f>
        <v>0</v>
      </c>
      <c r="AD109" s="799">
        <f>AC109*(1-IFERROR(IF(AD$77+$F109&lt;=12,SUMIFS('Attrition Modeling'!$D:$D,'Attrition Modeling'!$C:$C,$D109,'Attrition Modeling'!$B:$B,AD$76),VLOOKUP($F109+AD$77,$A$7:$C$107,2,FALSE)*VLOOKUP(AD$76,'Attrition Modeling'!$L$15:$N$27,IF(AD$77+$F109&lt;=24,2,3),FALSE)),$C$3)*(1+IF('IP Attrition'!AD166&gt;0,'Attrition Modeling'!$N$9,0)))</f>
        <v>0</v>
      </c>
      <c r="AE109" s="799">
        <f>AD109*(1-IFERROR(IF(AE$77+$F109&lt;=12,SUMIFS('Attrition Modeling'!$D:$D,'Attrition Modeling'!$C:$C,$D109,'Attrition Modeling'!$B:$B,AE$76),VLOOKUP($F109+AE$77,$A$7:$C$107,2,FALSE)*VLOOKUP(AE$76,'Attrition Modeling'!$L$15:$N$27,IF(AE$77+$F109&lt;=24,2,3),FALSE)),$C$3)*(1+IF('IP Attrition'!AE166&gt;0,'Attrition Modeling'!$N$9,0)))</f>
        <v>0</v>
      </c>
      <c r="AF109" s="799">
        <f>AE109*(1-IFERROR(IF(AF$77+$F109&lt;=12,SUMIFS('Attrition Modeling'!$D:$D,'Attrition Modeling'!$C:$C,$D109,'Attrition Modeling'!$B:$B,AF$76),VLOOKUP($F109+AF$77,$A$7:$C$107,2,FALSE)*VLOOKUP(AF$76,'Attrition Modeling'!$L$15:$N$27,IF(AF$77+$F109&lt;=24,2,3),FALSE)),$C$3)*(1+IF('IP Attrition'!AF166&gt;0,'Attrition Modeling'!$N$9,0)))</f>
        <v>0</v>
      </c>
      <c r="AG109" s="799">
        <f>AF109*(1-IFERROR(IF(AG$77+$F109&lt;=12,SUMIFS('Attrition Modeling'!$D:$D,'Attrition Modeling'!$C:$C,$D109,'Attrition Modeling'!$B:$B,AG$76),VLOOKUP($F109+AG$77,$A$7:$C$107,2,FALSE)*VLOOKUP(AG$76,'Attrition Modeling'!$L$15:$N$27,IF(AG$77+$F109&lt;=24,2,3),FALSE)),$C$3)*(1+IF('IP Attrition'!AG166&gt;0,'Attrition Modeling'!$N$9,0)))</f>
        <v>0</v>
      </c>
      <c r="AH109" s="799">
        <f>AG109*(1-IFERROR(IF(AH$77+$F109&lt;=12,SUMIFS('Attrition Modeling'!$D:$D,'Attrition Modeling'!$C:$C,$D109,'Attrition Modeling'!$B:$B,AH$76),VLOOKUP($F109+AH$77,$A$7:$C$107,2,FALSE)*VLOOKUP(AH$76,'Attrition Modeling'!$L$15:$N$27,IF(AH$77+$F109&lt;=24,2,3),FALSE)),$C$3)*(1+IF('IP Attrition'!AH166&gt;0,'Attrition Modeling'!$N$9,0)))</f>
        <v>0</v>
      </c>
      <c r="AI109" s="799">
        <f>AH109*(1-IFERROR(IF(AI$77+$F109&lt;=12,SUMIFS('Attrition Modeling'!$D:$D,'Attrition Modeling'!$C:$C,$D109,'Attrition Modeling'!$B:$B,AI$76),VLOOKUP($F109+AI$77,$A$7:$C$107,2,FALSE)*VLOOKUP(AI$76,'Attrition Modeling'!$L$15:$N$27,IF(AI$77+$F109&lt;=24,2,3),FALSE)),$C$3)*(1+IF('IP Attrition'!AI166&gt;0,'Attrition Modeling'!$N$9,0)))</f>
        <v>0</v>
      </c>
      <c r="AJ109" s="799">
        <f>AI109*(1-IFERROR(IF(AJ$77+$F109&lt;=12,SUMIFS('Attrition Modeling'!$D:$D,'Attrition Modeling'!$C:$C,$D109,'Attrition Modeling'!$B:$B,AJ$76),VLOOKUP($F109+AJ$77,$A$7:$C$107,2,FALSE)*VLOOKUP(AJ$76,'Attrition Modeling'!$L$15:$N$27,IF(AJ$77+$F109&lt;=24,2,3),FALSE)),$C$3)*(1+IF('IP Attrition'!AJ166&gt;0,'Attrition Modeling'!$N$9,0)))</f>
        <v>0</v>
      </c>
      <c r="AK109" s="799">
        <f>AJ109*(1-IFERROR(IF(AK$77+$F109&lt;=12,SUMIFS('Attrition Modeling'!$D:$D,'Attrition Modeling'!$C:$C,$D109,'Attrition Modeling'!$B:$B,AK$76),VLOOKUP($F109+AK$77,$A$7:$C$107,2,FALSE)*VLOOKUP(AK$76,'Attrition Modeling'!$L$15:$N$27,IF(AK$77+$F109&lt;=24,2,3),FALSE)),$C$3)*(1+IF('IP Attrition'!AK166&gt;0,'Attrition Modeling'!$N$9,0)))</f>
        <v>0</v>
      </c>
      <c r="AL109" s="799">
        <f>AK109*(1-IFERROR(IF(AL$77+$F109&lt;=12,SUMIFS('Attrition Modeling'!$D:$D,'Attrition Modeling'!$C:$C,$D109,'Attrition Modeling'!$B:$B,AL$76),VLOOKUP($F109+AL$77,$A$7:$C$107,2,FALSE)*VLOOKUP(AL$76,'Attrition Modeling'!$L$15:$N$27,IF(AL$77+$F109&lt;=24,2,3),FALSE)),$C$3)*(1+IF('IP Attrition'!AL166&gt;0,'Attrition Modeling'!$N$9,0)))</f>
        <v>0</v>
      </c>
      <c r="AM109" s="799">
        <f>AL109*(1-IFERROR(IF(AM$77+$F109&lt;=12,SUMIFS('Attrition Modeling'!$D:$D,'Attrition Modeling'!$C:$C,$D109,'Attrition Modeling'!$B:$B,AM$76),VLOOKUP($F109+AM$77,$A$7:$C$107,2,FALSE)*VLOOKUP(AM$76,'Attrition Modeling'!$L$15:$N$27,IF(AM$77+$F109&lt;=24,2,3),FALSE)),$C$3)*(1+IF('IP Attrition'!AM166&gt;0,'Attrition Modeling'!$N$9,0)))</f>
        <v>0</v>
      </c>
      <c r="AN109" s="799">
        <f>AM109*(1-IFERROR(IF(AN$77+$F109&lt;=12,SUMIFS('Attrition Modeling'!$D:$D,'Attrition Modeling'!$C:$C,$D109,'Attrition Modeling'!$B:$B,AN$76),VLOOKUP($F109+AN$77,$A$7:$C$107,2,FALSE)*VLOOKUP(AN$76,'Attrition Modeling'!$L$15:$N$27,IF(AN$77+$F109&lt;=24,2,3),FALSE)),$C$3)*(1+IF('IP Attrition'!AN166&gt;0,'Attrition Modeling'!$N$9,0)))</f>
        <v>0</v>
      </c>
      <c r="AO109" s="799">
        <f>AN109*(1-IFERROR(IF(AO$77+$F109&lt;=12,SUMIFS('Attrition Modeling'!$D:$D,'Attrition Modeling'!$C:$C,$D109,'Attrition Modeling'!$B:$B,AO$76),VLOOKUP($F109+AO$77,$A$7:$C$107,2,FALSE)*VLOOKUP(AO$76,'Attrition Modeling'!$L$15:$N$27,IF(AO$77+$F109&lt;=24,2,3),FALSE)),$C$3)*(1+IF('IP Attrition'!AO166&gt;0,'Attrition Modeling'!$N$9,0)))</f>
        <v>0</v>
      </c>
      <c r="AP109" s="799">
        <f>AO109*(1-IFERROR(IF(AP$77+$F109&lt;=12,SUMIFS('Attrition Modeling'!$D:$D,'Attrition Modeling'!$C:$C,$D109,'Attrition Modeling'!$B:$B,AP$76),VLOOKUP($F109+AP$77,$A$7:$C$107,2,FALSE)*VLOOKUP(AP$76,'Attrition Modeling'!$L$15:$N$27,IF(AP$77+$F109&lt;=24,2,3),FALSE)),$C$3)*(1+IF('IP Attrition'!AP166&gt;0,'Attrition Modeling'!$N$9,0)))</f>
        <v>0</v>
      </c>
      <c r="AQ109" s="799">
        <f>AP109*(1-IFERROR(IF(AQ$77+$F109&lt;=12,SUMIFS('Attrition Modeling'!$D:$D,'Attrition Modeling'!$C:$C,$D109,'Attrition Modeling'!$B:$B,AQ$76),VLOOKUP($F109+AQ$77,$A$7:$C$107,2,FALSE)*VLOOKUP(AQ$76,'Attrition Modeling'!$L$15:$N$27,IF(AQ$77+$F109&lt;=24,2,3),FALSE)),$C$3)*(1+IF('IP Attrition'!AQ166&gt;0,'Attrition Modeling'!$N$9,0)))</f>
        <v>0</v>
      </c>
      <c r="AR109" s="799">
        <f>AQ109*(1-IFERROR(IF(AR$77+$F109&lt;=12,SUMIFS('Attrition Modeling'!$D:$D,'Attrition Modeling'!$C:$C,$D109,'Attrition Modeling'!$B:$B,AR$76),VLOOKUP($F109+AR$77,$A$7:$C$107,2,FALSE)*VLOOKUP(AR$76,'Attrition Modeling'!$L$15:$N$27,IF(AR$77+$F109&lt;=24,2,3),FALSE)),$C$3)*(1+IF('IP Attrition'!AR166&gt;0,'Attrition Modeling'!$N$9,0)))</f>
        <v>0</v>
      </c>
      <c r="AS109" s="799">
        <f>AR109*(1-IFERROR(IF(AS$77+$F109&lt;=12,SUMIFS('Attrition Modeling'!$D:$D,'Attrition Modeling'!$C:$C,$D109,'Attrition Modeling'!$B:$B,AS$76),VLOOKUP($F109+AS$77,$A$7:$C$107,2,FALSE)*VLOOKUP(AS$76,'Attrition Modeling'!$L$15:$N$27,IF(AS$77+$F109&lt;=24,2,3),FALSE)),$C$3)*(1+IF('IP Attrition'!AS166&gt;0,'Attrition Modeling'!$N$9,0)))</f>
        <v>0</v>
      </c>
      <c r="AT109" s="799">
        <f>AS109*(1-IFERROR(IF(AT$77+$F109&lt;=12,SUMIFS('Attrition Modeling'!$D:$D,'Attrition Modeling'!$C:$C,$D109,'Attrition Modeling'!$B:$B,AT$76),VLOOKUP($F109+AT$77,$A$7:$C$107,2,FALSE)*VLOOKUP(AT$76,'Attrition Modeling'!$L$15:$N$27,IF(AT$77+$F109&lt;=24,2,3),FALSE)),$C$3)*(1+IF('IP Attrition'!AT166&gt;0,'Attrition Modeling'!$N$9,0)))</f>
        <v>0</v>
      </c>
      <c r="AU109" s="799">
        <f>AT109*(1-IFERROR(IF(AU$77+$F109&lt;=12,SUMIFS('Attrition Modeling'!$D:$D,'Attrition Modeling'!$C:$C,$D109,'Attrition Modeling'!$B:$B,AU$76),VLOOKUP($F109+AU$77,$A$7:$C$107,2,FALSE)*VLOOKUP(AU$76,'Attrition Modeling'!$L$15:$N$27,IF(AU$77+$F109&lt;=24,2,3),FALSE)),$C$3)*(1+IF('IP Attrition'!AU166&gt;0,'Attrition Modeling'!$N$9,0)))</f>
        <v>0</v>
      </c>
      <c r="AV109" s="799">
        <f>AU109*(1-IFERROR(IF(AV$77+$F109&lt;=12,SUMIFS('Attrition Modeling'!$D:$D,'Attrition Modeling'!$C:$C,$D109,'Attrition Modeling'!$B:$B,AV$76),VLOOKUP($F109+AV$77,$A$7:$C$107,2,FALSE)*VLOOKUP(AV$76,'Attrition Modeling'!$L$15:$N$27,IF(AV$77+$F109&lt;=24,2,3),FALSE)),$C$3)*(1+IF('IP Attrition'!AV166&gt;0,'Attrition Modeling'!$N$9,0)))</f>
        <v>0</v>
      </c>
      <c r="AW109" s="799">
        <f>AV109*(1-IFERROR(IF(AW$77+$F109&lt;=12,SUMIFS('Attrition Modeling'!$D:$D,'Attrition Modeling'!$C:$C,$D109,'Attrition Modeling'!$B:$B,AW$76),VLOOKUP($F109+AW$77,$A$7:$C$107,2,FALSE)*VLOOKUP(AW$76,'Attrition Modeling'!$L$15:$N$27,IF(AW$77+$F109&lt;=24,2,3),FALSE)),$C$3)*(1+IF('IP Attrition'!AW166&gt;0,'Attrition Modeling'!$N$9,0)))</f>
        <v>0</v>
      </c>
      <c r="AX109" s="799">
        <f>AW109*(1-IFERROR(IF(AX$77+$F109&lt;=12,SUMIFS('Attrition Modeling'!$D:$D,'Attrition Modeling'!$C:$C,$D109,'Attrition Modeling'!$B:$B,AX$76),VLOOKUP($F109+AX$77,$A$7:$C$107,2,FALSE)*VLOOKUP(AX$76,'Attrition Modeling'!$L$15:$N$27,IF(AX$77+$F109&lt;=24,2,3),FALSE)),$C$3)*(1+IF('IP Attrition'!AX166&gt;0,'Attrition Modeling'!$N$9,0)))</f>
        <v>0</v>
      </c>
      <c r="AY109" s="799">
        <f>AX109*(1-IFERROR(IF(AY$77+$F109&lt;=12,SUMIFS('Attrition Modeling'!$D:$D,'Attrition Modeling'!$C:$C,$D109,'Attrition Modeling'!$B:$B,AY$76),VLOOKUP($F109+AY$77,$A$7:$C$107,2,FALSE)*VLOOKUP(AY$76,'Attrition Modeling'!$L$15:$N$27,IF(AY$77+$F109&lt;=24,2,3),FALSE)),$C$3)*(1+IF('IP Attrition'!AY166&gt;0,'Attrition Modeling'!$N$9,0)))</f>
        <v>0</v>
      </c>
      <c r="AZ109" s="799">
        <f>AY109*(1-IFERROR(IF(AZ$77+$F109&lt;=12,SUMIFS('Attrition Modeling'!$D:$D,'Attrition Modeling'!$C:$C,$D109,'Attrition Modeling'!$B:$B,AZ$76),VLOOKUP($F109+AZ$77,$A$7:$C$107,2,FALSE)*VLOOKUP(AZ$76,'Attrition Modeling'!$L$15:$N$27,IF(AZ$77+$F109&lt;=24,2,3),FALSE)),$C$3)*(1+IF('IP Attrition'!AZ166&gt;0,'Attrition Modeling'!$N$9,0)))</f>
        <v>0</v>
      </c>
      <c r="BA109" s="799">
        <f>AZ109*(1-IFERROR(IF(BA$77+$F109&lt;=12,SUMIFS('Attrition Modeling'!$D:$D,'Attrition Modeling'!$C:$C,$D109,'Attrition Modeling'!$B:$B,BA$76),VLOOKUP($F109+BA$77,$A$7:$C$107,2,FALSE)*VLOOKUP(BA$76,'Attrition Modeling'!$L$15:$N$27,IF(BA$77+$F109&lt;=24,2,3),FALSE)),$C$3)*(1+IF('IP Attrition'!BA166&gt;0,'Attrition Modeling'!$N$9,0)))</f>
        <v>0</v>
      </c>
      <c r="BB109" s="799">
        <f>BA109*(1-IFERROR(IF(BB$77+$F109&lt;=12,SUMIFS('Attrition Modeling'!$D:$D,'Attrition Modeling'!$C:$C,$D109,'Attrition Modeling'!$B:$B,BB$76),VLOOKUP($F109+BB$77,$A$7:$C$107,2,FALSE)*VLOOKUP(BB$76,'Attrition Modeling'!$L$15:$N$27,IF(BB$77+$F109&lt;=24,2,3),FALSE)),$C$3)*(1+IF('IP Attrition'!BB166&gt;0,'Attrition Modeling'!$N$9,0)))</f>
        <v>0</v>
      </c>
      <c r="BC109" s="799">
        <f>BB109*(1-IFERROR(IF(BC$77+$F109&lt;=12,SUMIFS('Attrition Modeling'!$D:$D,'Attrition Modeling'!$C:$C,$D109,'Attrition Modeling'!$B:$B,BC$76),VLOOKUP($F109+BC$77,$A$7:$C$107,2,FALSE)*VLOOKUP(BC$76,'Attrition Modeling'!$L$15:$N$27,IF(BC$77+$F109&lt;=24,2,3),FALSE)),$C$3)*(1+IF('IP Attrition'!BC166&gt;0,'Attrition Modeling'!$N$9,0)))</f>
        <v>0</v>
      </c>
      <c r="BD109" s="799">
        <f>BC109*(1-IFERROR(IF(BD$77+$F109&lt;=12,SUMIFS('Attrition Modeling'!$D:$D,'Attrition Modeling'!$C:$C,$D109,'Attrition Modeling'!$B:$B,BD$76),VLOOKUP($F109+BD$77,$A$7:$C$107,2,FALSE)*VLOOKUP(BD$76,'Attrition Modeling'!$L$15:$N$27,IF(BD$77+$F109&lt;=24,2,3),FALSE)),$C$3)*(1+IF('IP Attrition'!BD166&gt;0,'Attrition Modeling'!$N$9,0)))</f>
        <v>0</v>
      </c>
      <c r="BE109" s="799">
        <f>BD109*(1-IFERROR(IF(BE$77+$F109&lt;=12,SUMIFS('Attrition Modeling'!$D:$D,'Attrition Modeling'!$C:$C,$D109,'Attrition Modeling'!$B:$B,BE$76),VLOOKUP($F109+BE$77,$A$7:$C$107,2,FALSE)*VLOOKUP(BE$76,'Attrition Modeling'!$L$15:$N$27,IF(BE$77+$F109&lt;=24,2,3),FALSE)),$C$3)*(1+IF('IP Attrition'!BE166&gt;0,'Attrition Modeling'!$N$9,0)))</f>
        <v>0</v>
      </c>
      <c r="BF109" s="799">
        <f>BE109*(1-IFERROR(IF(BF$77+$F109&lt;=12,SUMIFS('Attrition Modeling'!$D:$D,'Attrition Modeling'!$C:$C,$D109,'Attrition Modeling'!$B:$B,BF$76),VLOOKUP($F109+BF$77,$A$7:$C$107,2,FALSE)*VLOOKUP(BF$76,'Attrition Modeling'!$L$15:$N$27,IF(BF$77+$F109&lt;=24,2,3),FALSE)),$C$3)*(1+IF('IP Attrition'!BF166&gt;0,'Attrition Modeling'!$N$9,0)))</f>
        <v>0</v>
      </c>
      <c r="BG109" s="799">
        <f>BF109*(1-IFERROR(IF(BG$77+$F109&lt;=12,SUMIFS('Attrition Modeling'!$D:$D,'Attrition Modeling'!$C:$C,$D109,'Attrition Modeling'!$B:$B,BG$76),VLOOKUP($F109+BG$77,$A$7:$C$107,2,FALSE)*VLOOKUP(BG$76,'Attrition Modeling'!$L$15:$N$27,IF(BG$77+$F109&lt;=24,2,3),FALSE)),$C$3)*(1+IF('IP Attrition'!BG166&gt;0,'Attrition Modeling'!$N$9,0)))</f>
        <v>0</v>
      </c>
      <c r="BH109" s="799">
        <f>BG109*(1-IFERROR(IF(BH$77+$F109&lt;=12,SUMIFS('Attrition Modeling'!$D:$D,'Attrition Modeling'!$C:$C,$D109,'Attrition Modeling'!$B:$B,BH$76),VLOOKUP($F109+BH$77,$A$7:$C$107,2,FALSE)*VLOOKUP(BH$76,'Attrition Modeling'!$L$15:$N$27,IF(BH$77+$F109&lt;=24,2,3),FALSE)),$C$3)*(1+IF('IP Attrition'!BH166&gt;0,'Attrition Modeling'!$N$9,0)))</f>
        <v>0</v>
      </c>
      <c r="BI109" s="799">
        <f>BH109*(1-IFERROR(IF(BI$77+$F109&lt;=12,SUMIFS('Attrition Modeling'!$D:$D,'Attrition Modeling'!$C:$C,$D109,'Attrition Modeling'!$B:$B,BI$76),VLOOKUP($F109+BI$77,$A$7:$C$107,2,FALSE)*VLOOKUP(BI$76,'Attrition Modeling'!$L$15:$N$27,IF(BI$77+$F109&lt;=24,2,3),FALSE)),$C$3)*(1+IF('IP Attrition'!BI166&gt;0,'Attrition Modeling'!$N$9,0)))</f>
        <v>0</v>
      </c>
      <c r="BJ109" s="799">
        <f>BI109*(1-IFERROR(IF(BJ$77+$F109&lt;=12,SUMIFS('Attrition Modeling'!$D:$D,'Attrition Modeling'!$C:$C,$D109,'Attrition Modeling'!$B:$B,BJ$76),VLOOKUP($F109+BJ$77,$A$7:$C$107,2,FALSE)*VLOOKUP(BJ$76,'Attrition Modeling'!$L$15:$N$27,IF(BJ$77+$F109&lt;=24,2,3),FALSE)),$C$3)*(1+IF('IP Attrition'!BJ166&gt;0,'Attrition Modeling'!$N$9,0)))</f>
        <v>0</v>
      </c>
      <c r="BK109" s="799">
        <f>BJ109*(1-IFERROR(IF(BK$77+$F109&lt;=12,SUMIFS('Attrition Modeling'!$D:$D,'Attrition Modeling'!$C:$C,$D109,'Attrition Modeling'!$B:$B,BK$76),VLOOKUP($F109+BK$77,$A$7:$C$107,2,FALSE)*VLOOKUP(BK$76,'Attrition Modeling'!$L$15:$N$27,IF(BK$77+$F109&lt;=24,2,3),FALSE)),$C$3)*(1+IF('IP Attrition'!BK166&gt;0,'Attrition Modeling'!$N$9,0)))</f>
        <v>0</v>
      </c>
      <c r="BL109" s="799">
        <f>BK109*(1-IFERROR(IF(BL$77+$F109&lt;=12,SUMIFS('Attrition Modeling'!$D:$D,'Attrition Modeling'!$C:$C,$D109,'Attrition Modeling'!$B:$B,BL$76),VLOOKUP($F109+BL$77,$A$7:$C$107,2,FALSE)*VLOOKUP(BL$76,'Attrition Modeling'!$L$15:$N$27,IF(BL$77+$F109&lt;=24,2,3),FALSE)),$C$3)*(1+IF('IP Attrition'!BL166&gt;0,'Attrition Modeling'!$N$9,0)))</f>
        <v>0</v>
      </c>
      <c r="BM109" s="799">
        <f>BL109*(1-IFERROR(IF(BM$77+$F109&lt;=12,SUMIFS('Attrition Modeling'!$D:$D,'Attrition Modeling'!$C:$C,$D109,'Attrition Modeling'!$B:$B,BM$76),VLOOKUP($F109+BM$77,$A$7:$C$107,2,FALSE)*VLOOKUP(BM$76,'Attrition Modeling'!$L$15:$N$27,IF(BM$77+$F109&lt;=24,2,3),FALSE)),$C$3)*(1+IF('IP Attrition'!BM166&gt;0,'Attrition Modeling'!$N$9,0)))</f>
        <v>0</v>
      </c>
      <c r="BN109" s="799">
        <f>BM109*(1-IFERROR(IF(BN$77+$F109&lt;=12,SUMIFS('Attrition Modeling'!$D:$D,'Attrition Modeling'!$C:$C,$D109,'Attrition Modeling'!$B:$B,BN$76),VLOOKUP($F109+BN$77,$A$7:$C$107,2,FALSE)*VLOOKUP(BN$76,'Attrition Modeling'!$L$15:$N$27,IF(BN$77+$F109&lt;=24,2,3),FALSE)),$C$3)*(1+IF('IP Attrition'!BN166&gt;0,'Attrition Modeling'!$N$9,0)))</f>
        <v>0</v>
      </c>
      <c r="BO109" s="799">
        <f>BN109*(1-IFERROR(IF(BO$77+$F109&lt;=12,SUMIFS('Attrition Modeling'!$D:$D,'Attrition Modeling'!$C:$C,$D109,'Attrition Modeling'!$B:$B,BO$76),VLOOKUP($F109+BO$77,$A$7:$C$107,2,FALSE)*VLOOKUP(BO$76,'Attrition Modeling'!$L$15:$N$27,IF(BO$77+$F109&lt;=24,2,3),FALSE)),$C$3)*(1+IF('IP Attrition'!BO166&gt;0,'Attrition Modeling'!$N$9,0)))</f>
        <v>0</v>
      </c>
      <c r="BP109" s="799">
        <f>BO109*(1-IFERROR(IF(BP$77+$F109&lt;=12,SUMIFS('Attrition Modeling'!$D:$D,'Attrition Modeling'!$C:$C,$D109,'Attrition Modeling'!$B:$B,BP$76),VLOOKUP($F109+BP$77,$A$7:$C$107,2,FALSE)*VLOOKUP(BP$76,'Attrition Modeling'!$L$15:$N$27,IF(BP$77+$F109&lt;=24,2,3),FALSE)),$C$3)*(1+IF('IP Attrition'!BP166&gt;0,'Attrition Modeling'!$N$9,0)))</f>
        <v>0</v>
      </c>
      <c r="BQ109" s="799">
        <f>BP109*(1-IFERROR(IF(BQ$77+$F109&lt;=12,SUMIFS('Attrition Modeling'!$D:$D,'Attrition Modeling'!$C:$C,$D109,'Attrition Modeling'!$B:$B,BQ$76),VLOOKUP($F109+BQ$77,$A$7:$C$107,2,FALSE)*VLOOKUP(BQ$76,'Attrition Modeling'!$L$15:$N$27,IF(BQ$77+$F109&lt;=24,2,3),FALSE)),$C$3)*(1+IF('IP Attrition'!BQ166&gt;0,'Attrition Modeling'!$N$9,0)))</f>
        <v>0</v>
      </c>
      <c r="BR109" s="799">
        <f>BQ109*(1-IFERROR(IF(BR$77+$F109&lt;=12,SUMIFS('Attrition Modeling'!$D:$D,'Attrition Modeling'!$C:$C,$D109,'Attrition Modeling'!$B:$B,BR$76),VLOOKUP($F109+BR$77,$A$7:$C$107,2,FALSE)*VLOOKUP(BR$76,'Attrition Modeling'!$L$15:$N$27,IF(BR$77+$F109&lt;=24,2,3),FALSE)),$C$3)*(1+IF('IP Attrition'!BR166&gt;0,'Attrition Modeling'!$N$9,0)))</f>
        <v>0</v>
      </c>
      <c r="BS109" s="799">
        <f>BR109*(1-IFERROR(IF(BS$77+$F109&lt;=12,SUMIFS('Attrition Modeling'!$D:$D,'Attrition Modeling'!$C:$C,$D109,'Attrition Modeling'!$B:$B,BS$76),VLOOKUP($F109+BS$77,$A$7:$C$107,2,FALSE)*VLOOKUP(BS$76,'Attrition Modeling'!$L$15:$N$27,IF(BS$77+$F109&lt;=24,2,3),FALSE)),$C$3)*(1+IF('IP Attrition'!BS166&gt;0,'Attrition Modeling'!$N$9,0)))</f>
        <v>0</v>
      </c>
      <c r="BT109" s="799" t="e">
        <f>BS109*(1-IFERROR(IF(BT$77+$F109&lt;=12,SUMIFS('Attrition Modeling'!$D:$D,'Attrition Modeling'!$C:$C,$D109,'Attrition Modeling'!$B:$B,BT$76),VLOOKUP($F109+BT$77,$A$7:$C$107,2,FALSE)*VLOOKUP(BT$76,'Attrition Modeling'!$L$15:$N$27,IF(BT$77+$F109&lt;=24,2,3),FALSE)),$C$3)*(1+IF('IP Attrition'!BT166&gt;0,'Attrition Modeling'!$N$9,0)))</f>
        <v>#REF!</v>
      </c>
      <c r="BU109" s="799" t="e">
        <f>BT109*(1-IFERROR(IF(BU$77+$F109&lt;=12,SUMIFS('Attrition Modeling'!$D:$D,'Attrition Modeling'!$C:$C,$D109,'Attrition Modeling'!$B:$B,BU$76),VLOOKUP($F109+BU$77,$A$7:$C$107,2,FALSE)*VLOOKUP(BU$76,'Attrition Modeling'!$L$15:$N$27,IF(BU$77+$F109&lt;=24,2,3),FALSE)),$C$3)*(1+IF('IP Attrition'!BU166&gt;0,'Attrition Modeling'!$N$9,0)))</f>
        <v>#REF!</v>
      </c>
    </row>
    <row r="110" spans="1:73" ht="14.25" customHeight="1" x14ac:dyDescent="0.2">
      <c r="A110" s="9">
        <v>102</v>
      </c>
      <c r="B110" s="25">
        <f>MAX('Attrition Modeling'!H106,$C$3)*(1-Summary!$C$20)</f>
        <v>0.02</v>
      </c>
      <c r="C110" s="24" t="e">
        <f t="shared" si="2"/>
        <v>#DIV/0!</v>
      </c>
      <c r="D110" s="11">
        <f>'IP Attrition'!D102</f>
        <v>-32</v>
      </c>
      <c r="E110" s="25">
        <f>'IP Attrition'!E102</f>
        <v>0</v>
      </c>
      <c r="F110" s="11">
        <f t="shared" si="8"/>
        <v>32</v>
      </c>
      <c r="G110" s="799">
        <f>Summary!$C$24*$E110</f>
        <v>0</v>
      </c>
      <c r="H110" s="799">
        <f>G110*(1-IFERROR(IF(H$77+$F110&lt;=12,SUMIFS('Attrition Modeling'!$D:$D,'Attrition Modeling'!$C:$C,$D110,'Attrition Modeling'!$B:$B,H$76),VLOOKUP($F110+H$77,$A$7:$C$107,2,FALSE)*VLOOKUP(H$76,'Attrition Modeling'!$L$15:$N$27,IF(H$77+$F110&lt;=24,2,3),FALSE)),$C$3)*(1+IF('IP Attrition'!H167&gt;0,'Attrition Modeling'!$N$9,0)))</f>
        <v>0</v>
      </c>
      <c r="I110" s="799">
        <f>H110*(1-IFERROR(IF(I$77+$F110&lt;=12,SUMIFS('Attrition Modeling'!$D:$D,'Attrition Modeling'!$C:$C,$D110,'Attrition Modeling'!$B:$B,I$76),VLOOKUP($F110+I$77,$A$7:$C$107,2,FALSE)*VLOOKUP(I$76,'Attrition Modeling'!$L$15:$N$27,IF(I$77+$F110&lt;=24,2,3),FALSE)),$C$3)*(1+IF('IP Attrition'!I167&gt;0,'Attrition Modeling'!$N$9,0)))</f>
        <v>0</v>
      </c>
      <c r="J110" s="799">
        <f>I110*(1-IFERROR(IF(J$77+$F110&lt;=12,SUMIFS('Attrition Modeling'!$D:$D,'Attrition Modeling'!$C:$C,$D110,'Attrition Modeling'!$B:$B,J$76),VLOOKUP($F110+J$77,$A$7:$C$107,2,FALSE)*VLOOKUP(J$76,'Attrition Modeling'!$L$15:$N$27,IF(J$77+$F110&lt;=24,2,3),FALSE)),$C$3)*(1+IF('IP Attrition'!J167&gt;0,'Attrition Modeling'!$N$9,0)))</f>
        <v>0</v>
      </c>
      <c r="K110" s="799">
        <f>J110*(1-IFERROR(IF(K$77+$F110&lt;=12,SUMIFS('Attrition Modeling'!$D:$D,'Attrition Modeling'!$C:$C,$D110,'Attrition Modeling'!$B:$B,K$76),VLOOKUP($F110+K$77,$A$7:$C$107,2,FALSE)*VLOOKUP(K$76,'Attrition Modeling'!$L$15:$N$27,IF(K$77+$F110&lt;=24,2,3),FALSE)),$C$3)*(1+IF('IP Attrition'!K167&gt;0,'Attrition Modeling'!$N$9,0)))</f>
        <v>0</v>
      </c>
      <c r="L110" s="799">
        <f>K110*(1-IFERROR(IF(L$77+$F110&lt;=12,SUMIFS('Attrition Modeling'!$D:$D,'Attrition Modeling'!$C:$C,$D110,'Attrition Modeling'!$B:$B,L$76),VLOOKUP($F110+L$77,$A$7:$C$107,2,FALSE)*VLOOKUP(L$76,'Attrition Modeling'!$L$15:$N$27,IF(L$77+$F110&lt;=24,2,3),FALSE)),$C$3)*(1+IF('IP Attrition'!L167&gt;0,'Attrition Modeling'!$N$9,0)))</f>
        <v>0</v>
      </c>
      <c r="M110" s="799">
        <f>L110*(1-IFERROR(IF(M$77+$F110&lt;=12,SUMIFS('Attrition Modeling'!$D:$D,'Attrition Modeling'!$C:$C,$D110,'Attrition Modeling'!$B:$B,M$76),VLOOKUP($F110+M$77,$A$7:$C$107,2,FALSE)*VLOOKUP(M$76,'Attrition Modeling'!$L$15:$N$27,IF(M$77+$F110&lt;=24,2,3),FALSE)),$C$3)*(1+IF('IP Attrition'!M167&gt;0,'Attrition Modeling'!$N$9,0)))</f>
        <v>0</v>
      </c>
      <c r="N110" s="799">
        <f>M110*(1-IFERROR(IF(N$77+$F110&lt;=12,SUMIFS('Attrition Modeling'!$D:$D,'Attrition Modeling'!$C:$C,$D110,'Attrition Modeling'!$B:$B,N$76),VLOOKUP($F110+N$77,$A$7:$C$107,2,FALSE)*VLOOKUP(N$76,'Attrition Modeling'!$L$15:$N$27,IF(N$77+$F110&lt;=24,2,3),FALSE)),$C$3)*(1+IF('IP Attrition'!N167&gt;0,'Attrition Modeling'!$N$9,0)))</f>
        <v>0</v>
      </c>
      <c r="O110" s="799">
        <f>N110*(1-IFERROR(IF(O$77+$F110&lt;=12,SUMIFS('Attrition Modeling'!$D:$D,'Attrition Modeling'!$C:$C,$D110,'Attrition Modeling'!$B:$B,O$76),VLOOKUP($F110+O$77,$A$7:$C$107,2,FALSE)*VLOOKUP(O$76,'Attrition Modeling'!$L$15:$N$27,IF(O$77+$F110&lt;=24,2,3),FALSE)),$C$3)*(1+IF('IP Attrition'!O167&gt;0,'Attrition Modeling'!$N$9,0)))</f>
        <v>0</v>
      </c>
      <c r="P110" s="799">
        <f>O110*(1-IFERROR(IF(P$77+$F110&lt;=12,SUMIFS('Attrition Modeling'!$D:$D,'Attrition Modeling'!$C:$C,$D110,'Attrition Modeling'!$B:$B,P$76),VLOOKUP($F110+P$77,$A$7:$C$107,2,FALSE)*VLOOKUP(P$76,'Attrition Modeling'!$L$15:$N$27,IF(P$77+$F110&lt;=24,2,3),FALSE)),$C$3)*(1+IF('IP Attrition'!P167&gt;0,'Attrition Modeling'!$N$9,0)))</f>
        <v>0</v>
      </c>
      <c r="Q110" s="799">
        <f>P110*(1-IFERROR(IF(Q$77+$F110&lt;=12,SUMIFS('Attrition Modeling'!$D:$D,'Attrition Modeling'!$C:$C,$D110,'Attrition Modeling'!$B:$B,Q$76),VLOOKUP($F110+Q$77,$A$7:$C$107,2,FALSE)*VLOOKUP(Q$76,'Attrition Modeling'!$L$15:$N$27,IF(Q$77+$F110&lt;=24,2,3),FALSE)),$C$3)*(1+IF('IP Attrition'!Q167&gt;0,'Attrition Modeling'!$N$9,0)))</f>
        <v>0</v>
      </c>
      <c r="R110" s="799">
        <f>Q110*(1-IFERROR(IF(R$77+$F110&lt;=12,SUMIFS('Attrition Modeling'!$D:$D,'Attrition Modeling'!$C:$C,$D110,'Attrition Modeling'!$B:$B,R$76),VLOOKUP($F110+R$77,$A$7:$C$107,2,FALSE)*VLOOKUP(R$76,'Attrition Modeling'!$L$15:$N$27,IF(R$77+$F110&lt;=24,2,3),FALSE)),$C$3)*(1+IF('IP Attrition'!R167&gt;0,'Attrition Modeling'!$N$9,0)))</f>
        <v>0</v>
      </c>
      <c r="S110" s="799">
        <f>R110*(1-IFERROR(IF(S$77+$F110&lt;=12,SUMIFS('Attrition Modeling'!$D:$D,'Attrition Modeling'!$C:$C,$D110,'Attrition Modeling'!$B:$B,S$76),VLOOKUP($F110+S$77,$A$7:$C$107,2,FALSE)*VLOOKUP(S$76,'Attrition Modeling'!$L$15:$N$27,IF(S$77+$F110&lt;=24,2,3),FALSE)),$C$3)*(1+IF('IP Attrition'!S167&gt;0,'Attrition Modeling'!$N$9,0)))</f>
        <v>0</v>
      </c>
      <c r="T110" s="799">
        <f>S110*(1-IFERROR(IF(T$77+$F110&lt;=12,SUMIFS('Attrition Modeling'!$D:$D,'Attrition Modeling'!$C:$C,$D110,'Attrition Modeling'!$B:$B,T$76),VLOOKUP($F110+T$77,$A$7:$C$107,2,FALSE)*VLOOKUP(T$76,'Attrition Modeling'!$L$15:$N$27,IF(T$77+$F110&lt;=24,2,3),FALSE)),$C$3)*(1+IF('IP Attrition'!T167&gt;0,'Attrition Modeling'!$N$9,0)))</f>
        <v>0</v>
      </c>
      <c r="U110" s="799">
        <f>T110*(1-IFERROR(IF(U$77+$F110&lt;=12,SUMIFS('Attrition Modeling'!$D:$D,'Attrition Modeling'!$C:$C,$D110,'Attrition Modeling'!$B:$B,U$76),VLOOKUP($F110+U$77,$A$7:$C$107,2,FALSE)*VLOOKUP(U$76,'Attrition Modeling'!$L$15:$N$27,IF(U$77+$F110&lt;=24,2,3),FALSE)),$C$3)*(1+IF('IP Attrition'!U167&gt;0,'Attrition Modeling'!$N$9,0)))</f>
        <v>0</v>
      </c>
      <c r="V110" s="799">
        <f>U110*(1-IFERROR(IF(V$77+$F110&lt;=12,SUMIFS('Attrition Modeling'!$D:$D,'Attrition Modeling'!$C:$C,$D110,'Attrition Modeling'!$B:$B,V$76),VLOOKUP($F110+V$77,$A$7:$C$107,2,FALSE)*VLOOKUP(V$76,'Attrition Modeling'!$L$15:$N$27,IF(V$77+$F110&lt;=24,2,3),FALSE)),$C$3)*(1+IF('IP Attrition'!V167&gt;0,'Attrition Modeling'!$N$9,0)))</f>
        <v>0</v>
      </c>
      <c r="W110" s="799">
        <f>V110*(1-IFERROR(IF(W$77+$F110&lt;=12,SUMIFS('Attrition Modeling'!$D:$D,'Attrition Modeling'!$C:$C,$D110,'Attrition Modeling'!$B:$B,W$76),VLOOKUP($F110+W$77,$A$7:$C$107,2,FALSE)*VLOOKUP(W$76,'Attrition Modeling'!$L$15:$N$27,IF(W$77+$F110&lt;=24,2,3),FALSE)),$C$3)*(1+IF('IP Attrition'!W167&gt;0,'Attrition Modeling'!$N$9,0)))</f>
        <v>0</v>
      </c>
      <c r="X110" s="799">
        <f>W110*(1-IFERROR(IF(X$77+$F110&lt;=12,SUMIFS('Attrition Modeling'!$D:$D,'Attrition Modeling'!$C:$C,$D110,'Attrition Modeling'!$B:$B,X$76),VLOOKUP($F110+X$77,$A$7:$C$107,2,FALSE)*VLOOKUP(X$76,'Attrition Modeling'!$L$15:$N$27,IF(X$77+$F110&lt;=24,2,3),FALSE)),$C$3)*(1+IF('IP Attrition'!X167&gt;0,'Attrition Modeling'!$N$9,0)))</f>
        <v>0</v>
      </c>
      <c r="Y110" s="799">
        <f>X110*(1-IFERROR(IF(Y$77+$F110&lt;=12,SUMIFS('Attrition Modeling'!$D:$D,'Attrition Modeling'!$C:$C,$D110,'Attrition Modeling'!$B:$B,Y$76),VLOOKUP($F110+Y$77,$A$7:$C$107,2,FALSE)*VLOOKUP(Y$76,'Attrition Modeling'!$L$15:$N$27,IF(Y$77+$F110&lt;=24,2,3),FALSE)),$C$3)*(1+IF('IP Attrition'!Y167&gt;0,'Attrition Modeling'!$N$9,0)))</f>
        <v>0</v>
      </c>
      <c r="Z110" s="799">
        <f>Y110*(1-IFERROR(IF(Z$77+$F110&lt;=12,SUMIFS('Attrition Modeling'!$D:$D,'Attrition Modeling'!$C:$C,$D110,'Attrition Modeling'!$B:$B,Z$76),VLOOKUP($F110+Z$77,$A$7:$C$107,2,FALSE)*VLOOKUP(Z$76,'Attrition Modeling'!$L$15:$N$27,IF(Z$77+$F110&lt;=24,2,3),FALSE)),$C$3)*(1+IF('IP Attrition'!Z167&gt;0,'Attrition Modeling'!$N$9,0)))</f>
        <v>0</v>
      </c>
      <c r="AA110" s="799">
        <f>Z110*(1-IFERROR(IF(AA$77+$F110&lt;=12,SUMIFS('Attrition Modeling'!$D:$D,'Attrition Modeling'!$C:$C,$D110,'Attrition Modeling'!$B:$B,AA$76),VLOOKUP($F110+AA$77,$A$7:$C$107,2,FALSE)*VLOOKUP(AA$76,'Attrition Modeling'!$L$15:$N$27,IF(AA$77+$F110&lt;=24,2,3),FALSE)),$C$3)*(1+IF('IP Attrition'!AA167&gt;0,'Attrition Modeling'!$N$9,0)))</f>
        <v>0</v>
      </c>
      <c r="AB110" s="799">
        <f>AA110*(1-IFERROR(IF(AB$77+$F110&lt;=12,SUMIFS('Attrition Modeling'!$D:$D,'Attrition Modeling'!$C:$C,$D110,'Attrition Modeling'!$B:$B,AB$76),VLOOKUP($F110+AB$77,$A$7:$C$107,2,FALSE)*VLOOKUP(AB$76,'Attrition Modeling'!$L$15:$N$27,IF(AB$77+$F110&lt;=24,2,3),FALSE)),$C$3)*(1+IF('IP Attrition'!AB167&gt;0,'Attrition Modeling'!$N$9,0)))</f>
        <v>0</v>
      </c>
      <c r="AC110" s="799">
        <f>AB110*(1-IFERROR(IF(AC$77+$F110&lt;=12,SUMIFS('Attrition Modeling'!$D:$D,'Attrition Modeling'!$C:$C,$D110,'Attrition Modeling'!$B:$B,AC$76),VLOOKUP($F110+AC$77,$A$7:$C$107,2,FALSE)*VLOOKUP(AC$76,'Attrition Modeling'!$L$15:$N$27,IF(AC$77+$F110&lt;=24,2,3),FALSE)),$C$3)*(1+IF('IP Attrition'!AC167&gt;0,'Attrition Modeling'!$N$9,0)))</f>
        <v>0</v>
      </c>
      <c r="AD110" s="799">
        <f>AC110*(1-IFERROR(IF(AD$77+$F110&lt;=12,SUMIFS('Attrition Modeling'!$D:$D,'Attrition Modeling'!$C:$C,$D110,'Attrition Modeling'!$B:$B,AD$76),VLOOKUP($F110+AD$77,$A$7:$C$107,2,FALSE)*VLOOKUP(AD$76,'Attrition Modeling'!$L$15:$N$27,IF(AD$77+$F110&lt;=24,2,3),FALSE)),$C$3)*(1+IF('IP Attrition'!AD167&gt;0,'Attrition Modeling'!$N$9,0)))</f>
        <v>0</v>
      </c>
      <c r="AE110" s="799">
        <f>AD110*(1-IFERROR(IF(AE$77+$F110&lt;=12,SUMIFS('Attrition Modeling'!$D:$D,'Attrition Modeling'!$C:$C,$D110,'Attrition Modeling'!$B:$B,AE$76),VLOOKUP($F110+AE$77,$A$7:$C$107,2,FALSE)*VLOOKUP(AE$76,'Attrition Modeling'!$L$15:$N$27,IF(AE$77+$F110&lt;=24,2,3),FALSE)),$C$3)*(1+IF('IP Attrition'!AE167&gt;0,'Attrition Modeling'!$N$9,0)))</f>
        <v>0</v>
      </c>
      <c r="AF110" s="799">
        <f>AE110*(1-IFERROR(IF(AF$77+$F110&lt;=12,SUMIFS('Attrition Modeling'!$D:$D,'Attrition Modeling'!$C:$C,$D110,'Attrition Modeling'!$B:$B,AF$76),VLOOKUP($F110+AF$77,$A$7:$C$107,2,FALSE)*VLOOKUP(AF$76,'Attrition Modeling'!$L$15:$N$27,IF(AF$77+$F110&lt;=24,2,3),FALSE)),$C$3)*(1+IF('IP Attrition'!AF167&gt;0,'Attrition Modeling'!$N$9,0)))</f>
        <v>0</v>
      </c>
      <c r="AG110" s="799">
        <f>AF110*(1-IFERROR(IF(AG$77+$F110&lt;=12,SUMIFS('Attrition Modeling'!$D:$D,'Attrition Modeling'!$C:$C,$D110,'Attrition Modeling'!$B:$B,AG$76),VLOOKUP($F110+AG$77,$A$7:$C$107,2,FALSE)*VLOOKUP(AG$76,'Attrition Modeling'!$L$15:$N$27,IF(AG$77+$F110&lt;=24,2,3),FALSE)),$C$3)*(1+IF('IP Attrition'!AG167&gt;0,'Attrition Modeling'!$N$9,0)))</f>
        <v>0</v>
      </c>
      <c r="AH110" s="799">
        <f>AG110*(1-IFERROR(IF(AH$77+$F110&lt;=12,SUMIFS('Attrition Modeling'!$D:$D,'Attrition Modeling'!$C:$C,$D110,'Attrition Modeling'!$B:$B,AH$76),VLOOKUP($F110+AH$77,$A$7:$C$107,2,FALSE)*VLOOKUP(AH$76,'Attrition Modeling'!$L$15:$N$27,IF(AH$77+$F110&lt;=24,2,3),FALSE)),$C$3)*(1+IF('IP Attrition'!AH167&gt;0,'Attrition Modeling'!$N$9,0)))</f>
        <v>0</v>
      </c>
      <c r="AI110" s="799">
        <f>AH110*(1-IFERROR(IF(AI$77+$F110&lt;=12,SUMIFS('Attrition Modeling'!$D:$D,'Attrition Modeling'!$C:$C,$D110,'Attrition Modeling'!$B:$B,AI$76),VLOOKUP($F110+AI$77,$A$7:$C$107,2,FALSE)*VLOOKUP(AI$76,'Attrition Modeling'!$L$15:$N$27,IF(AI$77+$F110&lt;=24,2,3),FALSE)),$C$3)*(1+IF('IP Attrition'!AI167&gt;0,'Attrition Modeling'!$N$9,0)))</f>
        <v>0</v>
      </c>
      <c r="AJ110" s="799">
        <f>AI110*(1-IFERROR(IF(AJ$77+$F110&lt;=12,SUMIFS('Attrition Modeling'!$D:$D,'Attrition Modeling'!$C:$C,$D110,'Attrition Modeling'!$B:$B,AJ$76),VLOOKUP($F110+AJ$77,$A$7:$C$107,2,FALSE)*VLOOKUP(AJ$76,'Attrition Modeling'!$L$15:$N$27,IF(AJ$77+$F110&lt;=24,2,3),FALSE)),$C$3)*(1+IF('IP Attrition'!AJ167&gt;0,'Attrition Modeling'!$N$9,0)))</f>
        <v>0</v>
      </c>
      <c r="AK110" s="799">
        <f>AJ110*(1-IFERROR(IF(AK$77+$F110&lt;=12,SUMIFS('Attrition Modeling'!$D:$D,'Attrition Modeling'!$C:$C,$D110,'Attrition Modeling'!$B:$B,AK$76),VLOOKUP($F110+AK$77,$A$7:$C$107,2,FALSE)*VLOOKUP(AK$76,'Attrition Modeling'!$L$15:$N$27,IF(AK$77+$F110&lt;=24,2,3),FALSE)),$C$3)*(1+IF('IP Attrition'!AK167&gt;0,'Attrition Modeling'!$N$9,0)))</f>
        <v>0</v>
      </c>
      <c r="AL110" s="799">
        <f>AK110*(1-IFERROR(IF(AL$77+$F110&lt;=12,SUMIFS('Attrition Modeling'!$D:$D,'Attrition Modeling'!$C:$C,$D110,'Attrition Modeling'!$B:$B,AL$76),VLOOKUP($F110+AL$77,$A$7:$C$107,2,FALSE)*VLOOKUP(AL$76,'Attrition Modeling'!$L$15:$N$27,IF(AL$77+$F110&lt;=24,2,3),FALSE)),$C$3)*(1+IF('IP Attrition'!AL167&gt;0,'Attrition Modeling'!$N$9,0)))</f>
        <v>0</v>
      </c>
      <c r="AM110" s="799">
        <f>AL110*(1-IFERROR(IF(AM$77+$F110&lt;=12,SUMIFS('Attrition Modeling'!$D:$D,'Attrition Modeling'!$C:$C,$D110,'Attrition Modeling'!$B:$B,AM$76),VLOOKUP($F110+AM$77,$A$7:$C$107,2,FALSE)*VLOOKUP(AM$76,'Attrition Modeling'!$L$15:$N$27,IF(AM$77+$F110&lt;=24,2,3),FALSE)),$C$3)*(1+IF('IP Attrition'!AM167&gt;0,'Attrition Modeling'!$N$9,0)))</f>
        <v>0</v>
      </c>
      <c r="AN110" s="799">
        <f>AM110*(1-IFERROR(IF(AN$77+$F110&lt;=12,SUMIFS('Attrition Modeling'!$D:$D,'Attrition Modeling'!$C:$C,$D110,'Attrition Modeling'!$B:$B,AN$76),VLOOKUP($F110+AN$77,$A$7:$C$107,2,FALSE)*VLOOKUP(AN$76,'Attrition Modeling'!$L$15:$N$27,IF(AN$77+$F110&lt;=24,2,3),FALSE)),$C$3)*(1+IF('IP Attrition'!AN167&gt;0,'Attrition Modeling'!$N$9,0)))</f>
        <v>0</v>
      </c>
      <c r="AO110" s="799">
        <f>AN110*(1-IFERROR(IF(AO$77+$F110&lt;=12,SUMIFS('Attrition Modeling'!$D:$D,'Attrition Modeling'!$C:$C,$D110,'Attrition Modeling'!$B:$B,AO$76),VLOOKUP($F110+AO$77,$A$7:$C$107,2,FALSE)*VLOOKUP(AO$76,'Attrition Modeling'!$L$15:$N$27,IF(AO$77+$F110&lt;=24,2,3),FALSE)),$C$3)*(1+IF('IP Attrition'!AO167&gt;0,'Attrition Modeling'!$N$9,0)))</f>
        <v>0</v>
      </c>
      <c r="AP110" s="799">
        <f>AO110*(1-IFERROR(IF(AP$77+$F110&lt;=12,SUMIFS('Attrition Modeling'!$D:$D,'Attrition Modeling'!$C:$C,$D110,'Attrition Modeling'!$B:$B,AP$76),VLOOKUP($F110+AP$77,$A$7:$C$107,2,FALSE)*VLOOKUP(AP$76,'Attrition Modeling'!$L$15:$N$27,IF(AP$77+$F110&lt;=24,2,3),FALSE)),$C$3)*(1+IF('IP Attrition'!AP167&gt;0,'Attrition Modeling'!$N$9,0)))</f>
        <v>0</v>
      </c>
      <c r="AQ110" s="799">
        <f>AP110*(1-IFERROR(IF(AQ$77+$F110&lt;=12,SUMIFS('Attrition Modeling'!$D:$D,'Attrition Modeling'!$C:$C,$D110,'Attrition Modeling'!$B:$B,AQ$76),VLOOKUP($F110+AQ$77,$A$7:$C$107,2,FALSE)*VLOOKUP(AQ$76,'Attrition Modeling'!$L$15:$N$27,IF(AQ$77+$F110&lt;=24,2,3),FALSE)),$C$3)*(1+IF('IP Attrition'!AQ167&gt;0,'Attrition Modeling'!$N$9,0)))</f>
        <v>0</v>
      </c>
      <c r="AR110" s="799">
        <f>AQ110*(1-IFERROR(IF(AR$77+$F110&lt;=12,SUMIFS('Attrition Modeling'!$D:$D,'Attrition Modeling'!$C:$C,$D110,'Attrition Modeling'!$B:$B,AR$76),VLOOKUP($F110+AR$77,$A$7:$C$107,2,FALSE)*VLOOKUP(AR$76,'Attrition Modeling'!$L$15:$N$27,IF(AR$77+$F110&lt;=24,2,3),FALSE)),$C$3)*(1+IF('IP Attrition'!AR167&gt;0,'Attrition Modeling'!$N$9,0)))</f>
        <v>0</v>
      </c>
      <c r="AS110" s="799">
        <f>AR110*(1-IFERROR(IF(AS$77+$F110&lt;=12,SUMIFS('Attrition Modeling'!$D:$D,'Attrition Modeling'!$C:$C,$D110,'Attrition Modeling'!$B:$B,AS$76),VLOOKUP($F110+AS$77,$A$7:$C$107,2,FALSE)*VLOOKUP(AS$76,'Attrition Modeling'!$L$15:$N$27,IF(AS$77+$F110&lt;=24,2,3),FALSE)),$C$3)*(1+IF('IP Attrition'!AS167&gt;0,'Attrition Modeling'!$N$9,0)))</f>
        <v>0</v>
      </c>
      <c r="AT110" s="799">
        <f>AS110*(1-IFERROR(IF(AT$77+$F110&lt;=12,SUMIFS('Attrition Modeling'!$D:$D,'Attrition Modeling'!$C:$C,$D110,'Attrition Modeling'!$B:$B,AT$76),VLOOKUP($F110+AT$77,$A$7:$C$107,2,FALSE)*VLOOKUP(AT$76,'Attrition Modeling'!$L$15:$N$27,IF(AT$77+$F110&lt;=24,2,3),FALSE)),$C$3)*(1+IF('IP Attrition'!AT167&gt;0,'Attrition Modeling'!$N$9,0)))</f>
        <v>0</v>
      </c>
      <c r="AU110" s="799">
        <f>AT110*(1-IFERROR(IF(AU$77+$F110&lt;=12,SUMIFS('Attrition Modeling'!$D:$D,'Attrition Modeling'!$C:$C,$D110,'Attrition Modeling'!$B:$B,AU$76),VLOOKUP($F110+AU$77,$A$7:$C$107,2,FALSE)*VLOOKUP(AU$76,'Attrition Modeling'!$L$15:$N$27,IF(AU$77+$F110&lt;=24,2,3),FALSE)),$C$3)*(1+IF('IP Attrition'!AU167&gt;0,'Attrition Modeling'!$N$9,0)))</f>
        <v>0</v>
      </c>
      <c r="AV110" s="799">
        <f>AU110*(1-IFERROR(IF(AV$77+$F110&lt;=12,SUMIFS('Attrition Modeling'!$D:$D,'Attrition Modeling'!$C:$C,$D110,'Attrition Modeling'!$B:$B,AV$76),VLOOKUP($F110+AV$77,$A$7:$C$107,2,FALSE)*VLOOKUP(AV$76,'Attrition Modeling'!$L$15:$N$27,IF(AV$77+$F110&lt;=24,2,3),FALSE)),$C$3)*(1+IF('IP Attrition'!AV167&gt;0,'Attrition Modeling'!$N$9,0)))</f>
        <v>0</v>
      </c>
      <c r="AW110" s="799">
        <f>AV110*(1-IFERROR(IF(AW$77+$F110&lt;=12,SUMIFS('Attrition Modeling'!$D:$D,'Attrition Modeling'!$C:$C,$D110,'Attrition Modeling'!$B:$B,AW$76),VLOOKUP($F110+AW$77,$A$7:$C$107,2,FALSE)*VLOOKUP(AW$76,'Attrition Modeling'!$L$15:$N$27,IF(AW$77+$F110&lt;=24,2,3),FALSE)),$C$3)*(1+IF('IP Attrition'!AW167&gt;0,'Attrition Modeling'!$N$9,0)))</f>
        <v>0</v>
      </c>
      <c r="AX110" s="799">
        <f>AW110*(1-IFERROR(IF(AX$77+$F110&lt;=12,SUMIFS('Attrition Modeling'!$D:$D,'Attrition Modeling'!$C:$C,$D110,'Attrition Modeling'!$B:$B,AX$76),VLOOKUP($F110+AX$77,$A$7:$C$107,2,FALSE)*VLOOKUP(AX$76,'Attrition Modeling'!$L$15:$N$27,IF(AX$77+$F110&lt;=24,2,3),FALSE)),$C$3)*(1+IF('IP Attrition'!AX167&gt;0,'Attrition Modeling'!$N$9,0)))</f>
        <v>0</v>
      </c>
      <c r="AY110" s="799">
        <f>AX110*(1-IFERROR(IF(AY$77+$F110&lt;=12,SUMIFS('Attrition Modeling'!$D:$D,'Attrition Modeling'!$C:$C,$D110,'Attrition Modeling'!$B:$B,AY$76),VLOOKUP($F110+AY$77,$A$7:$C$107,2,FALSE)*VLOOKUP(AY$76,'Attrition Modeling'!$L$15:$N$27,IF(AY$77+$F110&lt;=24,2,3),FALSE)),$C$3)*(1+IF('IP Attrition'!AY167&gt;0,'Attrition Modeling'!$N$9,0)))</f>
        <v>0</v>
      </c>
      <c r="AZ110" s="799">
        <f>AY110*(1-IFERROR(IF(AZ$77+$F110&lt;=12,SUMIFS('Attrition Modeling'!$D:$D,'Attrition Modeling'!$C:$C,$D110,'Attrition Modeling'!$B:$B,AZ$76),VLOOKUP($F110+AZ$77,$A$7:$C$107,2,FALSE)*VLOOKUP(AZ$76,'Attrition Modeling'!$L$15:$N$27,IF(AZ$77+$F110&lt;=24,2,3),FALSE)),$C$3)*(1+IF('IP Attrition'!AZ167&gt;0,'Attrition Modeling'!$N$9,0)))</f>
        <v>0</v>
      </c>
      <c r="BA110" s="799">
        <f>AZ110*(1-IFERROR(IF(BA$77+$F110&lt;=12,SUMIFS('Attrition Modeling'!$D:$D,'Attrition Modeling'!$C:$C,$D110,'Attrition Modeling'!$B:$B,BA$76),VLOOKUP($F110+BA$77,$A$7:$C$107,2,FALSE)*VLOOKUP(BA$76,'Attrition Modeling'!$L$15:$N$27,IF(BA$77+$F110&lt;=24,2,3),FALSE)),$C$3)*(1+IF('IP Attrition'!BA167&gt;0,'Attrition Modeling'!$N$9,0)))</f>
        <v>0</v>
      </c>
      <c r="BB110" s="799">
        <f>BA110*(1-IFERROR(IF(BB$77+$F110&lt;=12,SUMIFS('Attrition Modeling'!$D:$D,'Attrition Modeling'!$C:$C,$D110,'Attrition Modeling'!$B:$B,BB$76),VLOOKUP($F110+BB$77,$A$7:$C$107,2,FALSE)*VLOOKUP(BB$76,'Attrition Modeling'!$L$15:$N$27,IF(BB$77+$F110&lt;=24,2,3),FALSE)),$C$3)*(1+IF('IP Attrition'!BB167&gt;0,'Attrition Modeling'!$N$9,0)))</f>
        <v>0</v>
      </c>
      <c r="BC110" s="799">
        <f>BB110*(1-IFERROR(IF(BC$77+$F110&lt;=12,SUMIFS('Attrition Modeling'!$D:$D,'Attrition Modeling'!$C:$C,$D110,'Attrition Modeling'!$B:$B,BC$76),VLOOKUP($F110+BC$77,$A$7:$C$107,2,FALSE)*VLOOKUP(BC$76,'Attrition Modeling'!$L$15:$N$27,IF(BC$77+$F110&lt;=24,2,3),FALSE)),$C$3)*(1+IF('IP Attrition'!BC167&gt;0,'Attrition Modeling'!$N$9,0)))</f>
        <v>0</v>
      </c>
      <c r="BD110" s="799">
        <f>BC110*(1-IFERROR(IF(BD$77+$F110&lt;=12,SUMIFS('Attrition Modeling'!$D:$D,'Attrition Modeling'!$C:$C,$D110,'Attrition Modeling'!$B:$B,BD$76),VLOOKUP($F110+BD$77,$A$7:$C$107,2,FALSE)*VLOOKUP(BD$76,'Attrition Modeling'!$L$15:$N$27,IF(BD$77+$F110&lt;=24,2,3),FALSE)),$C$3)*(1+IF('IP Attrition'!BD167&gt;0,'Attrition Modeling'!$N$9,0)))</f>
        <v>0</v>
      </c>
      <c r="BE110" s="799">
        <f>BD110*(1-IFERROR(IF(BE$77+$F110&lt;=12,SUMIFS('Attrition Modeling'!$D:$D,'Attrition Modeling'!$C:$C,$D110,'Attrition Modeling'!$B:$B,BE$76),VLOOKUP($F110+BE$77,$A$7:$C$107,2,FALSE)*VLOOKUP(BE$76,'Attrition Modeling'!$L$15:$N$27,IF(BE$77+$F110&lt;=24,2,3),FALSE)),$C$3)*(1+IF('IP Attrition'!BE167&gt;0,'Attrition Modeling'!$N$9,0)))</f>
        <v>0</v>
      </c>
      <c r="BF110" s="799">
        <f>BE110*(1-IFERROR(IF(BF$77+$F110&lt;=12,SUMIFS('Attrition Modeling'!$D:$D,'Attrition Modeling'!$C:$C,$D110,'Attrition Modeling'!$B:$B,BF$76),VLOOKUP($F110+BF$77,$A$7:$C$107,2,FALSE)*VLOOKUP(BF$76,'Attrition Modeling'!$L$15:$N$27,IF(BF$77+$F110&lt;=24,2,3),FALSE)),$C$3)*(1+IF('IP Attrition'!BF167&gt;0,'Attrition Modeling'!$N$9,0)))</f>
        <v>0</v>
      </c>
      <c r="BG110" s="799">
        <f>BF110*(1-IFERROR(IF(BG$77+$F110&lt;=12,SUMIFS('Attrition Modeling'!$D:$D,'Attrition Modeling'!$C:$C,$D110,'Attrition Modeling'!$B:$B,BG$76),VLOOKUP($F110+BG$77,$A$7:$C$107,2,FALSE)*VLOOKUP(BG$76,'Attrition Modeling'!$L$15:$N$27,IF(BG$77+$F110&lt;=24,2,3),FALSE)),$C$3)*(1+IF('IP Attrition'!BG167&gt;0,'Attrition Modeling'!$N$9,0)))</f>
        <v>0</v>
      </c>
      <c r="BH110" s="799">
        <f>BG110*(1-IFERROR(IF(BH$77+$F110&lt;=12,SUMIFS('Attrition Modeling'!$D:$D,'Attrition Modeling'!$C:$C,$D110,'Attrition Modeling'!$B:$B,BH$76),VLOOKUP($F110+BH$77,$A$7:$C$107,2,FALSE)*VLOOKUP(BH$76,'Attrition Modeling'!$L$15:$N$27,IF(BH$77+$F110&lt;=24,2,3),FALSE)),$C$3)*(1+IF('IP Attrition'!BH167&gt;0,'Attrition Modeling'!$N$9,0)))</f>
        <v>0</v>
      </c>
      <c r="BI110" s="799">
        <f>BH110*(1-IFERROR(IF(BI$77+$F110&lt;=12,SUMIFS('Attrition Modeling'!$D:$D,'Attrition Modeling'!$C:$C,$D110,'Attrition Modeling'!$B:$B,BI$76),VLOOKUP($F110+BI$77,$A$7:$C$107,2,FALSE)*VLOOKUP(BI$76,'Attrition Modeling'!$L$15:$N$27,IF(BI$77+$F110&lt;=24,2,3),FALSE)),$C$3)*(1+IF('IP Attrition'!BI167&gt;0,'Attrition Modeling'!$N$9,0)))</f>
        <v>0</v>
      </c>
      <c r="BJ110" s="799">
        <f>BI110*(1-IFERROR(IF(BJ$77+$F110&lt;=12,SUMIFS('Attrition Modeling'!$D:$D,'Attrition Modeling'!$C:$C,$D110,'Attrition Modeling'!$B:$B,BJ$76),VLOOKUP($F110+BJ$77,$A$7:$C$107,2,FALSE)*VLOOKUP(BJ$76,'Attrition Modeling'!$L$15:$N$27,IF(BJ$77+$F110&lt;=24,2,3),FALSE)),$C$3)*(1+IF('IP Attrition'!BJ167&gt;0,'Attrition Modeling'!$N$9,0)))</f>
        <v>0</v>
      </c>
      <c r="BK110" s="799">
        <f>BJ110*(1-IFERROR(IF(BK$77+$F110&lt;=12,SUMIFS('Attrition Modeling'!$D:$D,'Attrition Modeling'!$C:$C,$D110,'Attrition Modeling'!$B:$B,BK$76),VLOOKUP($F110+BK$77,$A$7:$C$107,2,FALSE)*VLOOKUP(BK$76,'Attrition Modeling'!$L$15:$N$27,IF(BK$77+$F110&lt;=24,2,3),FALSE)),$C$3)*(1+IF('IP Attrition'!BK167&gt;0,'Attrition Modeling'!$N$9,0)))</f>
        <v>0</v>
      </c>
      <c r="BL110" s="799">
        <f>BK110*(1-IFERROR(IF(BL$77+$F110&lt;=12,SUMIFS('Attrition Modeling'!$D:$D,'Attrition Modeling'!$C:$C,$D110,'Attrition Modeling'!$B:$B,BL$76),VLOOKUP($F110+BL$77,$A$7:$C$107,2,FALSE)*VLOOKUP(BL$76,'Attrition Modeling'!$L$15:$N$27,IF(BL$77+$F110&lt;=24,2,3),FALSE)),$C$3)*(1+IF('IP Attrition'!BL167&gt;0,'Attrition Modeling'!$N$9,0)))</f>
        <v>0</v>
      </c>
      <c r="BM110" s="799">
        <f>BL110*(1-IFERROR(IF(BM$77+$F110&lt;=12,SUMIFS('Attrition Modeling'!$D:$D,'Attrition Modeling'!$C:$C,$D110,'Attrition Modeling'!$B:$B,BM$76),VLOOKUP($F110+BM$77,$A$7:$C$107,2,FALSE)*VLOOKUP(BM$76,'Attrition Modeling'!$L$15:$N$27,IF(BM$77+$F110&lt;=24,2,3),FALSE)),$C$3)*(1+IF('IP Attrition'!BM167&gt;0,'Attrition Modeling'!$N$9,0)))</f>
        <v>0</v>
      </c>
      <c r="BN110" s="799">
        <f>BM110*(1-IFERROR(IF(BN$77+$F110&lt;=12,SUMIFS('Attrition Modeling'!$D:$D,'Attrition Modeling'!$C:$C,$D110,'Attrition Modeling'!$B:$B,BN$76),VLOOKUP($F110+BN$77,$A$7:$C$107,2,FALSE)*VLOOKUP(BN$76,'Attrition Modeling'!$L$15:$N$27,IF(BN$77+$F110&lt;=24,2,3),FALSE)),$C$3)*(1+IF('IP Attrition'!BN167&gt;0,'Attrition Modeling'!$N$9,0)))</f>
        <v>0</v>
      </c>
      <c r="BO110" s="799">
        <f>BN110*(1-IFERROR(IF(BO$77+$F110&lt;=12,SUMIFS('Attrition Modeling'!$D:$D,'Attrition Modeling'!$C:$C,$D110,'Attrition Modeling'!$B:$B,BO$76),VLOOKUP($F110+BO$77,$A$7:$C$107,2,FALSE)*VLOOKUP(BO$76,'Attrition Modeling'!$L$15:$N$27,IF(BO$77+$F110&lt;=24,2,3),FALSE)),$C$3)*(1+IF('IP Attrition'!BO167&gt;0,'Attrition Modeling'!$N$9,0)))</f>
        <v>0</v>
      </c>
      <c r="BP110" s="799">
        <f>BO110*(1-IFERROR(IF(BP$77+$F110&lt;=12,SUMIFS('Attrition Modeling'!$D:$D,'Attrition Modeling'!$C:$C,$D110,'Attrition Modeling'!$B:$B,BP$76),VLOOKUP($F110+BP$77,$A$7:$C$107,2,FALSE)*VLOOKUP(BP$76,'Attrition Modeling'!$L$15:$N$27,IF(BP$77+$F110&lt;=24,2,3),FALSE)),$C$3)*(1+IF('IP Attrition'!BP167&gt;0,'Attrition Modeling'!$N$9,0)))</f>
        <v>0</v>
      </c>
      <c r="BQ110" s="799">
        <f>BP110*(1-IFERROR(IF(BQ$77+$F110&lt;=12,SUMIFS('Attrition Modeling'!$D:$D,'Attrition Modeling'!$C:$C,$D110,'Attrition Modeling'!$B:$B,BQ$76),VLOOKUP($F110+BQ$77,$A$7:$C$107,2,FALSE)*VLOOKUP(BQ$76,'Attrition Modeling'!$L$15:$N$27,IF(BQ$77+$F110&lt;=24,2,3),FALSE)),$C$3)*(1+IF('IP Attrition'!BQ167&gt;0,'Attrition Modeling'!$N$9,0)))</f>
        <v>0</v>
      </c>
      <c r="BR110" s="799">
        <f>BQ110*(1-IFERROR(IF(BR$77+$F110&lt;=12,SUMIFS('Attrition Modeling'!$D:$D,'Attrition Modeling'!$C:$C,$D110,'Attrition Modeling'!$B:$B,BR$76),VLOOKUP($F110+BR$77,$A$7:$C$107,2,FALSE)*VLOOKUP(BR$76,'Attrition Modeling'!$L$15:$N$27,IF(BR$77+$F110&lt;=24,2,3),FALSE)),$C$3)*(1+IF('IP Attrition'!BR167&gt;0,'Attrition Modeling'!$N$9,0)))</f>
        <v>0</v>
      </c>
      <c r="BS110" s="799">
        <f>BR110*(1-IFERROR(IF(BS$77+$F110&lt;=12,SUMIFS('Attrition Modeling'!$D:$D,'Attrition Modeling'!$C:$C,$D110,'Attrition Modeling'!$B:$B,BS$76),VLOOKUP($F110+BS$77,$A$7:$C$107,2,FALSE)*VLOOKUP(BS$76,'Attrition Modeling'!$L$15:$N$27,IF(BS$77+$F110&lt;=24,2,3),FALSE)),$C$3)*(1+IF('IP Attrition'!BS167&gt;0,'Attrition Modeling'!$N$9,0)))</f>
        <v>0</v>
      </c>
      <c r="BT110" s="799" t="e">
        <f>BS110*(1-IFERROR(IF(BT$77+$F110&lt;=12,SUMIFS('Attrition Modeling'!$D:$D,'Attrition Modeling'!$C:$C,$D110,'Attrition Modeling'!$B:$B,BT$76),VLOOKUP($F110+BT$77,$A$7:$C$107,2,FALSE)*VLOOKUP(BT$76,'Attrition Modeling'!$L$15:$N$27,IF(BT$77+$F110&lt;=24,2,3),FALSE)),$C$3)*(1+IF('IP Attrition'!BT167&gt;0,'Attrition Modeling'!$N$9,0)))</f>
        <v>#REF!</v>
      </c>
      <c r="BU110" s="799" t="e">
        <f>BT110*(1-IFERROR(IF(BU$77+$F110&lt;=12,SUMIFS('Attrition Modeling'!$D:$D,'Attrition Modeling'!$C:$C,$D110,'Attrition Modeling'!$B:$B,BU$76),VLOOKUP($F110+BU$77,$A$7:$C$107,2,FALSE)*VLOOKUP(BU$76,'Attrition Modeling'!$L$15:$N$27,IF(BU$77+$F110&lt;=24,2,3),FALSE)),$C$3)*(1+IF('IP Attrition'!BU167&gt;0,'Attrition Modeling'!$N$9,0)))</f>
        <v>#REF!</v>
      </c>
    </row>
    <row r="111" spans="1:73" ht="14.25" customHeight="1" x14ac:dyDescent="0.2">
      <c r="A111" s="9">
        <v>103</v>
      </c>
      <c r="B111" s="25">
        <f>MAX('Attrition Modeling'!H107,$C$3)*(1-Summary!$C$20)</f>
        <v>0.02</v>
      </c>
      <c r="C111" s="24" t="e">
        <f t="shared" si="2"/>
        <v>#DIV/0!</v>
      </c>
      <c r="D111" s="11">
        <f>'IP Attrition'!D103</f>
        <v>-33</v>
      </c>
      <c r="E111" s="25">
        <f>'IP Attrition'!E103</f>
        <v>0</v>
      </c>
      <c r="F111" s="11">
        <f t="shared" si="8"/>
        <v>33</v>
      </c>
      <c r="G111" s="799">
        <f>Summary!$C$24*$E111</f>
        <v>0</v>
      </c>
      <c r="H111" s="799">
        <f>G111*(1-IFERROR(IF(H$77+$F111&lt;=12,SUMIFS('Attrition Modeling'!$D:$D,'Attrition Modeling'!$C:$C,$D111,'Attrition Modeling'!$B:$B,H$76),VLOOKUP($F111+H$77,$A$7:$C$107,2,FALSE)*VLOOKUP(H$76,'Attrition Modeling'!$L$15:$N$27,IF(H$77+$F111&lt;=24,2,3),FALSE)),$C$3)*(1+IF('IP Attrition'!H168&gt;0,'Attrition Modeling'!$N$9,0)))</f>
        <v>0</v>
      </c>
      <c r="I111" s="799">
        <f>H111*(1-IFERROR(IF(I$77+$F111&lt;=12,SUMIFS('Attrition Modeling'!$D:$D,'Attrition Modeling'!$C:$C,$D111,'Attrition Modeling'!$B:$B,I$76),VLOOKUP($F111+I$77,$A$7:$C$107,2,FALSE)*VLOOKUP(I$76,'Attrition Modeling'!$L$15:$N$27,IF(I$77+$F111&lt;=24,2,3),FALSE)),$C$3)*(1+IF('IP Attrition'!I168&gt;0,'Attrition Modeling'!$N$9,0)))</f>
        <v>0</v>
      </c>
      <c r="J111" s="799">
        <f>I111*(1-IFERROR(IF(J$77+$F111&lt;=12,SUMIFS('Attrition Modeling'!$D:$D,'Attrition Modeling'!$C:$C,$D111,'Attrition Modeling'!$B:$B,J$76),VLOOKUP($F111+J$77,$A$7:$C$107,2,FALSE)*VLOOKUP(J$76,'Attrition Modeling'!$L$15:$N$27,IF(J$77+$F111&lt;=24,2,3),FALSE)),$C$3)*(1+IF('IP Attrition'!J168&gt;0,'Attrition Modeling'!$N$9,0)))</f>
        <v>0</v>
      </c>
      <c r="K111" s="799">
        <f>J111*(1-IFERROR(IF(K$77+$F111&lt;=12,SUMIFS('Attrition Modeling'!$D:$D,'Attrition Modeling'!$C:$C,$D111,'Attrition Modeling'!$B:$B,K$76),VLOOKUP($F111+K$77,$A$7:$C$107,2,FALSE)*VLOOKUP(K$76,'Attrition Modeling'!$L$15:$N$27,IF(K$77+$F111&lt;=24,2,3),FALSE)),$C$3)*(1+IF('IP Attrition'!K168&gt;0,'Attrition Modeling'!$N$9,0)))</f>
        <v>0</v>
      </c>
      <c r="L111" s="799">
        <f>K111*(1-IFERROR(IF(L$77+$F111&lt;=12,SUMIFS('Attrition Modeling'!$D:$D,'Attrition Modeling'!$C:$C,$D111,'Attrition Modeling'!$B:$B,L$76),VLOOKUP($F111+L$77,$A$7:$C$107,2,FALSE)*VLOOKUP(L$76,'Attrition Modeling'!$L$15:$N$27,IF(L$77+$F111&lt;=24,2,3),FALSE)),$C$3)*(1+IF('IP Attrition'!L168&gt;0,'Attrition Modeling'!$N$9,0)))</f>
        <v>0</v>
      </c>
      <c r="M111" s="799">
        <f>L111*(1-IFERROR(IF(M$77+$F111&lt;=12,SUMIFS('Attrition Modeling'!$D:$D,'Attrition Modeling'!$C:$C,$D111,'Attrition Modeling'!$B:$B,M$76),VLOOKUP($F111+M$77,$A$7:$C$107,2,FALSE)*VLOOKUP(M$76,'Attrition Modeling'!$L$15:$N$27,IF(M$77+$F111&lt;=24,2,3),FALSE)),$C$3)*(1+IF('IP Attrition'!M168&gt;0,'Attrition Modeling'!$N$9,0)))</f>
        <v>0</v>
      </c>
      <c r="N111" s="799">
        <f>M111*(1-IFERROR(IF(N$77+$F111&lt;=12,SUMIFS('Attrition Modeling'!$D:$D,'Attrition Modeling'!$C:$C,$D111,'Attrition Modeling'!$B:$B,N$76),VLOOKUP($F111+N$77,$A$7:$C$107,2,FALSE)*VLOOKUP(N$76,'Attrition Modeling'!$L$15:$N$27,IF(N$77+$F111&lt;=24,2,3),FALSE)),$C$3)*(1+IF('IP Attrition'!N168&gt;0,'Attrition Modeling'!$N$9,0)))</f>
        <v>0</v>
      </c>
      <c r="O111" s="799">
        <f>N111*(1-IFERROR(IF(O$77+$F111&lt;=12,SUMIFS('Attrition Modeling'!$D:$D,'Attrition Modeling'!$C:$C,$D111,'Attrition Modeling'!$B:$B,O$76),VLOOKUP($F111+O$77,$A$7:$C$107,2,FALSE)*VLOOKUP(O$76,'Attrition Modeling'!$L$15:$N$27,IF(O$77+$F111&lt;=24,2,3),FALSE)),$C$3)*(1+IF('IP Attrition'!O168&gt;0,'Attrition Modeling'!$N$9,0)))</f>
        <v>0</v>
      </c>
      <c r="P111" s="799">
        <f>O111*(1-IFERROR(IF(P$77+$F111&lt;=12,SUMIFS('Attrition Modeling'!$D:$D,'Attrition Modeling'!$C:$C,$D111,'Attrition Modeling'!$B:$B,P$76),VLOOKUP($F111+P$77,$A$7:$C$107,2,FALSE)*VLOOKUP(P$76,'Attrition Modeling'!$L$15:$N$27,IF(P$77+$F111&lt;=24,2,3),FALSE)),$C$3)*(1+IF('IP Attrition'!P168&gt;0,'Attrition Modeling'!$N$9,0)))</f>
        <v>0</v>
      </c>
      <c r="Q111" s="799">
        <f>P111*(1-IFERROR(IF(Q$77+$F111&lt;=12,SUMIFS('Attrition Modeling'!$D:$D,'Attrition Modeling'!$C:$C,$D111,'Attrition Modeling'!$B:$B,Q$76),VLOOKUP($F111+Q$77,$A$7:$C$107,2,FALSE)*VLOOKUP(Q$76,'Attrition Modeling'!$L$15:$N$27,IF(Q$77+$F111&lt;=24,2,3),FALSE)),$C$3)*(1+IF('IP Attrition'!Q168&gt;0,'Attrition Modeling'!$N$9,0)))</f>
        <v>0</v>
      </c>
      <c r="R111" s="799">
        <f>Q111*(1-IFERROR(IF(R$77+$F111&lt;=12,SUMIFS('Attrition Modeling'!$D:$D,'Attrition Modeling'!$C:$C,$D111,'Attrition Modeling'!$B:$B,R$76),VLOOKUP($F111+R$77,$A$7:$C$107,2,FALSE)*VLOOKUP(R$76,'Attrition Modeling'!$L$15:$N$27,IF(R$77+$F111&lt;=24,2,3),FALSE)),$C$3)*(1+IF('IP Attrition'!R168&gt;0,'Attrition Modeling'!$N$9,0)))</f>
        <v>0</v>
      </c>
      <c r="S111" s="799">
        <f>R111*(1-IFERROR(IF(S$77+$F111&lt;=12,SUMIFS('Attrition Modeling'!$D:$D,'Attrition Modeling'!$C:$C,$D111,'Attrition Modeling'!$B:$B,S$76),VLOOKUP($F111+S$77,$A$7:$C$107,2,FALSE)*VLOOKUP(S$76,'Attrition Modeling'!$L$15:$N$27,IF(S$77+$F111&lt;=24,2,3),FALSE)),$C$3)*(1+IF('IP Attrition'!S168&gt;0,'Attrition Modeling'!$N$9,0)))</f>
        <v>0</v>
      </c>
      <c r="T111" s="799">
        <f>S111*(1-IFERROR(IF(T$77+$F111&lt;=12,SUMIFS('Attrition Modeling'!$D:$D,'Attrition Modeling'!$C:$C,$D111,'Attrition Modeling'!$B:$B,T$76),VLOOKUP($F111+T$77,$A$7:$C$107,2,FALSE)*VLOOKUP(T$76,'Attrition Modeling'!$L$15:$N$27,IF(T$77+$F111&lt;=24,2,3),FALSE)),$C$3)*(1+IF('IP Attrition'!T168&gt;0,'Attrition Modeling'!$N$9,0)))</f>
        <v>0</v>
      </c>
      <c r="U111" s="799">
        <f>T111*(1-IFERROR(IF(U$77+$F111&lt;=12,SUMIFS('Attrition Modeling'!$D:$D,'Attrition Modeling'!$C:$C,$D111,'Attrition Modeling'!$B:$B,U$76),VLOOKUP($F111+U$77,$A$7:$C$107,2,FALSE)*VLOOKUP(U$76,'Attrition Modeling'!$L$15:$N$27,IF(U$77+$F111&lt;=24,2,3),FALSE)),$C$3)*(1+IF('IP Attrition'!U168&gt;0,'Attrition Modeling'!$N$9,0)))</f>
        <v>0</v>
      </c>
      <c r="V111" s="799">
        <f>U111*(1-IFERROR(IF(V$77+$F111&lt;=12,SUMIFS('Attrition Modeling'!$D:$D,'Attrition Modeling'!$C:$C,$D111,'Attrition Modeling'!$B:$B,V$76),VLOOKUP($F111+V$77,$A$7:$C$107,2,FALSE)*VLOOKUP(V$76,'Attrition Modeling'!$L$15:$N$27,IF(V$77+$F111&lt;=24,2,3),FALSE)),$C$3)*(1+IF('IP Attrition'!V168&gt;0,'Attrition Modeling'!$N$9,0)))</f>
        <v>0</v>
      </c>
      <c r="W111" s="799">
        <f>V111*(1-IFERROR(IF(W$77+$F111&lt;=12,SUMIFS('Attrition Modeling'!$D:$D,'Attrition Modeling'!$C:$C,$D111,'Attrition Modeling'!$B:$B,W$76),VLOOKUP($F111+W$77,$A$7:$C$107,2,FALSE)*VLOOKUP(W$76,'Attrition Modeling'!$L$15:$N$27,IF(W$77+$F111&lt;=24,2,3),FALSE)),$C$3)*(1+IF('IP Attrition'!W168&gt;0,'Attrition Modeling'!$N$9,0)))</f>
        <v>0</v>
      </c>
      <c r="X111" s="799">
        <f>W111*(1-IFERROR(IF(X$77+$F111&lt;=12,SUMIFS('Attrition Modeling'!$D:$D,'Attrition Modeling'!$C:$C,$D111,'Attrition Modeling'!$B:$B,X$76),VLOOKUP($F111+X$77,$A$7:$C$107,2,FALSE)*VLOOKUP(X$76,'Attrition Modeling'!$L$15:$N$27,IF(X$77+$F111&lt;=24,2,3),FALSE)),$C$3)*(1+IF('IP Attrition'!X168&gt;0,'Attrition Modeling'!$N$9,0)))</f>
        <v>0</v>
      </c>
      <c r="Y111" s="799">
        <f>X111*(1-IFERROR(IF(Y$77+$F111&lt;=12,SUMIFS('Attrition Modeling'!$D:$D,'Attrition Modeling'!$C:$C,$D111,'Attrition Modeling'!$B:$B,Y$76),VLOOKUP($F111+Y$77,$A$7:$C$107,2,FALSE)*VLOOKUP(Y$76,'Attrition Modeling'!$L$15:$N$27,IF(Y$77+$F111&lt;=24,2,3),FALSE)),$C$3)*(1+IF('IP Attrition'!Y168&gt;0,'Attrition Modeling'!$N$9,0)))</f>
        <v>0</v>
      </c>
      <c r="Z111" s="799">
        <f>Y111*(1-IFERROR(IF(Z$77+$F111&lt;=12,SUMIFS('Attrition Modeling'!$D:$D,'Attrition Modeling'!$C:$C,$D111,'Attrition Modeling'!$B:$B,Z$76),VLOOKUP($F111+Z$77,$A$7:$C$107,2,FALSE)*VLOOKUP(Z$76,'Attrition Modeling'!$L$15:$N$27,IF(Z$77+$F111&lt;=24,2,3),FALSE)),$C$3)*(1+IF('IP Attrition'!Z168&gt;0,'Attrition Modeling'!$N$9,0)))</f>
        <v>0</v>
      </c>
      <c r="AA111" s="799">
        <f>Z111*(1-IFERROR(IF(AA$77+$F111&lt;=12,SUMIFS('Attrition Modeling'!$D:$D,'Attrition Modeling'!$C:$C,$D111,'Attrition Modeling'!$B:$B,AA$76),VLOOKUP($F111+AA$77,$A$7:$C$107,2,FALSE)*VLOOKUP(AA$76,'Attrition Modeling'!$L$15:$N$27,IF(AA$77+$F111&lt;=24,2,3),FALSE)),$C$3)*(1+IF('IP Attrition'!AA168&gt;0,'Attrition Modeling'!$N$9,0)))</f>
        <v>0</v>
      </c>
      <c r="AB111" s="799">
        <f>AA111*(1-IFERROR(IF(AB$77+$F111&lt;=12,SUMIFS('Attrition Modeling'!$D:$D,'Attrition Modeling'!$C:$C,$D111,'Attrition Modeling'!$B:$B,AB$76),VLOOKUP($F111+AB$77,$A$7:$C$107,2,FALSE)*VLOOKUP(AB$76,'Attrition Modeling'!$L$15:$N$27,IF(AB$77+$F111&lt;=24,2,3),FALSE)),$C$3)*(1+IF('IP Attrition'!AB168&gt;0,'Attrition Modeling'!$N$9,0)))</f>
        <v>0</v>
      </c>
      <c r="AC111" s="799">
        <f>AB111*(1-IFERROR(IF(AC$77+$F111&lt;=12,SUMIFS('Attrition Modeling'!$D:$D,'Attrition Modeling'!$C:$C,$D111,'Attrition Modeling'!$B:$B,AC$76),VLOOKUP($F111+AC$77,$A$7:$C$107,2,FALSE)*VLOOKUP(AC$76,'Attrition Modeling'!$L$15:$N$27,IF(AC$77+$F111&lt;=24,2,3),FALSE)),$C$3)*(1+IF('IP Attrition'!AC168&gt;0,'Attrition Modeling'!$N$9,0)))</f>
        <v>0</v>
      </c>
      <c r="AD111" s="799">
        <f>AC111*(1-IFERROR(IF(AD$77+$F111&lt;=12,SUMIFS('Attrition Modeling'!$D:$D,'Attrition Modeling'!$C:$C,$D111,'Attrition Modeling'!$B:$B,AD$76),VLOOKUP($F111+AD$77,$A$7:$C$107,2,FALSE)*VLOOKUP(AD$76,'Attrition Modeling'!$L$15:$N$27,IF(AD$77+$F111&lt;=24,2,3),FALSE)),$C$3)*(1+IF('IP Attrition'!AD168&gt;0,'Attrition Modeling'!$N$9,0)))</f>
        <v>0</v>
      </c>
      <c r="AE111" s="799">
        <f>AD111*(1-IFERROR(IF(AE$77+$F111&lt;=12,SUMIFS('Attrition Modeling'!$D:$D,'Attrition Modeling'!$C:$C,$D111,'Attrition Modeling'!$B:$B,AE$76),VLOOKUP($F111+AE$77,$A$7:$C$107,2,FALSE)*VLOOKUP(AE$76,'Attrition Modeling'!$L$15:$N$27,IF(AE$77+$F111&lt;=24,2,3),FALSE)),$C$3)*(1+IF('IP Attrition'!AE168&gt;0,'Attrition Modeling'!$N$9,0)))</f>
        <v>0</v>
      </c>
      <c r="AF111" s="799">
        <f>AE111*(1-IFERROR(IF(AF$77+$F111&lt;=12,SUMIFS('Attrition Modeling'!$D:$D,'Attrition Modeling'!$C:$C,$D111,'Attrition Modeling'!$B:$B,AF$76),VLOOKUP($F111+AF$77,$A$7:$C$107,2,FALSE)*VLOOKUP(AF$76,'Attrition Modeling'!$L$15:$N$27,IF(AF$77+$F111&lt;=24,2,3),FALSE)),$C$3)*(1+IF('IP Attrition'!AF168&gt;0,'Attrition Modeling'!$N$9,0)))</f>
        <v>0</v>
      </c>
      <c r="AG111" s="799">
        <f>AF111*(1-IFERROR(IF(AG$77+$F111&lt;=12,SUMIFS('Attrition Modeling'!$D:$D,'Attrition Modeling'!$C:$C,$D111,'Attrition Modeling'!$B:$B,AG$76),VLOOKUP($F111+AG$77,$A$7:$C$107,2,FALSE)*VLOOKUP(AG$76,'Attrition Modeling'!$L$15:$N$27,IF(AG$77+$F111&lt;=24,2,3),FALSE)),$C$3)*(1+IF('IP Attrition'!AG168&gt;0,'Attrition Modeling'!$N$9,0)))</f>
        <v>0</v>
      </c>
      <c r="AH111" s="799">
        <f>AG111*(1-IFERROR(IF(AH$77+$F111&lt;=12,SUMIFS('Attrition Modeling'!$D:$D,'Attrition Modeling'!$C:$C,$D111,'Attrition Modeling'!$B:$B,AH$76),VLOOKUP($F111+AH$77,$A$7:$C$107,2,FALSE)*VLOOKUP(AH$76,'Attrition Modeling'!$L$15:$N$27,IF(AH$77+$F111&lt;=24,2,3),FALSE)),$C$3)*(1+IF('IP Attrition'!AH168&gt;0,'Attrition Modeling'!$N$9,0)))</f>
        <v>0</v>
      </c>
      <c r="AI111" s="799">
        <f>AH111*(1-IFERROR(IF(AI$77+$F111&lt;=12,SUMIFS('Attrition Modeling'!$D:$D,'Attrition Modeling'!$C:$C,$D111,'Attrition Modeling'!$B:$B,AI$76),VLOOKUP($F111+AI$77,$A$7:$C$107,2,FALSE)*VLOOKUP(AI$76,'Attrition Modeling'!$L$15:$N$27,IF(AI$77+$F111&lt;=24,2,3),FALSE)),$C$3)*(1+IF('IP Attrition'!AI168&gt;0,'Attrition Modeling'!$N$9,0)))</f>
        <v>0</v>
      </c>
      <c r="AJ111" s="799">
        <f>AI111*(1-IFERROR(IF(AJ$77+$F111&lt;=12,SUMIFS('Attrition Modeling'!$D:$D,'Attrition Modeling'!$C:$C,$D111,'Attrition Modeling'!$B:$B,AJ$76),VLOOKUP($F111+AJ$77,$A$7:$C$107,2,FALSE)*VLOOKUP(AJ$76,'Attrition Modeling'!$L$15:$N$27,IF(AJ$77+$F111&lt;=24,2,3),FALSE)),$C$3)*(1+IF('IP Attrition'!AJ168&gt;0,'Attrition Modeling'!$N$9,0)))</f>
        <v>0</v>
      </c>
      <c r="AK111" s="799">
        <f>AJ111*(1-IFERROR(IF(AK$77+$F111&lt;=12,SUMIFS('Attrition Modeling'!$D:$D,'Attrition Modeling'!$C:$C,$D111,'Attrition Modeling'!$B:$B,AK$76),VLOOKUP($F111+AK$77,$A$7:$C$107,2,FALSE)*VLOOKUP(AK$76,'Attrition Modeling'!$L$15:$N$27,IF(AK$77+$F111&lt;=24,2,3),FALSE)),$C$3)*(1+IF('IP Attrition'!AK168&gt;0,'Attrition Modeling'!$N$9,0)))</f>
        <v>0</v>
      </c>
      <c r="AL111" s="799">
        <f>AK111*(1-IFERROR(IF(AL$77+$F111&lt;=12,SUMIFS('Attrition Modeling'!$D:$D,'Attrition Modeling'!$C:$C,$D111,'Attrition Modeling'!$B:$B,AL$76),VLOOKUP($F111+AL$77,$A$7:$C$107,2,FALSE)*VLOOKUP(AL$76,'Attrition Modeling'!$L$15:$N$27,IF(AL$77+$F111&lt;=24,2,3),FALSE)),$C$3)*(1+IF('IP Attrition'!AL168&gt;0,'Attrition Modeling'!$N$9,0)))</f>
        <v>0</v>
      </c>
      <c r="AM111" s="799">
        <f>AL111*(1-IFERROR(IF(AM$77+$F111&lt;=12,SUMIFS('Attrition Modeling'!$D:$D,'Attrition Modeling'!$C:$C,$D111,'Attrition Modeling'!$B:$B,AM$76),VLOOKUP($F111+AM$77,$A$7:$C$107,2,FALSE)*VLOOKUP(AM$76,'Attrition Modeling'!$L$15:$N$27,IF(AM$77+$F111&lt;=24,2,3),FALSE)),$C$3)*(1+IF('IP Attrition'!AM168&gt;0,'Attrition Modeling'!$N$9,0)))</f>
        <v>0</v>
      </c>
      <c r="AN111" s="799">
        <f>AM111*(1-IFERROR(IF(AN$77+$F111&lt;=12,SUMIFS('Attrition Modeling'!$D:$D,'Attrition Modeling'!$C:$C,$D111,'Attrition Modeling'!$B:$B,AN$76),VLOOKUP($F111+AN$77,$A$7:$C$107,2,FALSE)*VLOOKUP(AN$76,'Attrition Modeling'!$L$15:$N$27,IF(AN$77+$F111&lt;=24,2,3),FALSE)),$C$3)*(1+IF('IP Attrition'!AN168&gt;0,'Attrition Modeling'!$N$9,0)))</f>
        <v>0</v>
      </c>
      <c r="AO111" s="799">
        <f>AN111*(1-IFERROR(IF(AO$77+$F111&lt;=12,SUMIFS('Attrition Modeling'!$D:$D,'Attrition Modeling'!$C:$C,$D111,'Attrition Modeling'!$B:$B,AO$76),VLOOKUP($F111+AO$77,$A$7:$C$107,2,FALSE)*VLOOKUP(AO$76,'Attrition Modeling'!$L$15:$N$27,IF(AO$77+$F111&lt;=24,2,3),FALSE)),$C$3)*(1+IF('IP Attrition'!AO168&gt;0,'Attrition Modeling'!$N$9,0)))</f>
        <v>0</v>
      </c>
      <c r="AP111" s="799">
        <f>AO111*(1-IFERROR(IF(AP$77+$F111&lt;=12,SUMIFS('Attrition Modeling'!$D:$D,'Attrition Modeling'!$C:$C,$D111,'Attrition Modeling'!$B:$B,AP$76),VLOOKUP($F111+AP$77,$A$7:$C$107,2,FALSE)*VLOOKUP(AP$76,'Attrition Modeling'!$L$15:$N$27,IF(AP$77+$F111&lt;=24,2,3),FALSE)),$C$3)*(1+IF('IP Attrition'!AP168&gt;0,'Attrition Modeling'!$N$9,0)))</f>
        <v>0</v>
      </c>
      <c r="AQ111" s="799">
        <f>AP111*(1-IFERROR(IF(AQ$77+$F111&lt;=12,SUMIFS('Attrition Modeling'!$D:$D,'Attrition Modeling'!$C:$C,$D111,'Attrition Modeling'!$B:$B,AQ$76),VLOOKUP($F111+AQ$77,$A$7:$C$107,2,FALSE)*VLOOKUP(AQ$76,'Attrition Modeling'!$L$15:$N$27,IF(AQ$77+$F111&lt;=24,2,3),FALSE)),$C$3)*(1+IF('IP Attrition'!AQ168&gt;0,'Attrition Modeling'!$N$9,0)))</f>
        <v>0</v>
      </c>
      <c r="AR111" s="799">
        <f>AQ111*(1-IFERROR(IF(AR$77+$F111&lt;=12,SUMIFS('Attrition Modeling'!$D:$D,'Attrition Modeling'!$C:$C,$D111,'Attrition Modeling'!$B:$B,AR$76),VLOOKUP($F111+AR$77,$A$7:$C$107,2,FALSE)*VLOOKUP(AR$76,'Attrition Modeling'!$L$15:$N$27,IF(AR$77+$F111&lt;=24,2,3),FALSE)),$C$3)*(1+IF('IP Attrition'!AR168&gt;0,'Attrition Modeling'!$N$9,0)))</f>
        <v>0</v>
      </c>
      <c r="AS111" s="799">
        <f>AR111*(1-IFERROR(IF(AS$77+$F111&lt;=12,SUMIFS('Attrition Modeling'!$D:$D,'Attrition Modeling'!$C:$C,$D111,'Attrition Modeling'!$B:$B,AS$76),VLOOKUP($F111+AS$77,$A$7:$C$107,2,FALSE)*VLOOKUP(AS$76,'Attrition Modeling'!$L$15:$N$27,IF(AS$77+$F111&lt;=24,2,3),FALSE)),$C$3)*(1+IF('IP Attrition'!AS168&gt;0,'Attrition Modeling'!$N$9,0)))</f>
        <v>0</v>
      </c>
      <c r="AT111" s="799">
        <f>AS111*(1-IFERROR(IF(AT$77+$F111&lt;=12,SUMIFS('Attrition Modeling'!$D:$D,'Attrition Modeling'!$C:$C,$D111,'Attrition Modeling'!$B:$B,AT$76),VLOOKUP($F111+AT$77,$A$7:$C$107,2,FALSE)*VLOOKUP(AT$76,'Attrition Modeling'!$L$15:$N$27,IF(AT$77+$F111&lt;=24,2,3),FALSE)),$C$3)*(1+IF('IP Attrition'!AT168&gt;0,'Attrition Modeling'!$N$9,0)))</f>
        <v>0</v>
      </c>
      <c r="AU111" s="799">
        <f>AT111*(1-IFERROR(IF(AU$77+$F111&lt;=12,SUMIFS('Attrition Modeling'!$D:$D,'Attrition Modeling'!$C:$C,$D111,'Attrition Modeling'!$B:$B,AU$76),VLOOKUP($F111+AU$77,$A$7:$C$107,2,FALSE)*VLOOKUP(AU$76,'Attrition Modeling'!$L$15:$N$27,IF(AU$77+$F111&lt;=24,2,3),FALSE)),$C$3)*(1+IF('IP Attrition'!AU168&gt;0,'Attrition Modeling'!$N$9,0)))</f>
        <v>0</v>
      </c>
      <c r="AV111" s="799">
        <f>AU111*(1-IFERROR(IF(AV$77+$F111&lt;=12,SUMIFS('Attrition Modeling'!$D:$D,'Attrition Modeling'!$C:$C,$D111,'Attrition Modeling'!$B:$B,AV$76),VLOOKUP($F111+AV$77,$A$7:$C$107,2,FALSE)*VLOOKUP(AV$76,'Attrition Modeling'!$L$15:$N$27,IF(AV$77+$F111&lt;=24,2,3),FALSE)),$C$3)*(1+IF('IP Attrition'!AV168&gt;0,'Attrition Modeling'!$N$9,0)))</f>
        <v>0</v>
      </c>
      <c r="AW111" s="799">
        <f>AV111*(1-IFERROR(IF(AW$77+$F111&lt;=12,SUMIFS('Attrition Modeling'!$D:$D,'Attrition Modeling'!$C:$C,$D111,'Attrition Modeling'!$B:$B,AW$76),VLOOKUP($F111+AW$77,$A$7:$C$107,2,FALSE)*VLOOKUP(AW$76,'Attrition Modeling'!$L$15:$N$27,IF(AW$77+$F111&lt;=24,2,3),FALSE)),$C$3)*(1+IF('IP Attrition'!AW168&gt;0,'Attrition Modeling'!$N$9,0)))</f>
        <v>0</v>
      </c>
      <c r="AX111" s="799">
        <f>AW111*(1-IFERROR(IF(AX$77+$F111&lt;=12,SUMIFS('Attrition Modeling'!$D:$D,'Attrition Modeling'!$C:$C,$D111,'Attrition Modeling'!$B:$B,AX$76),VLOOKUP($F111+AX$77,$A$7:$C$107,2,FALSE)*VLOOKUP(AX$76,'Attrition Modeling'!$L$15:$N$27,IF(AX$77+$F111&lt;=24,2,3),FALSE)),$C$3)*(1+IF('IP Attrition'!AX168&gt;0,'Attrition Modeling'!$N$9,0)))</f>
        <v>0</v>
      </c>
      <c r="AY111" s="799">
        <f>AX111*(1-IFERROR(IF(AY$77+$F111&lt;=12,SUMIFS('Attrition Modeling'!$D:$D,'Attrition Modeling'!$C:$C,$D111,'Attrition Modeling'!$B:$B,AY$76),VLOOKUP($F111+AY$77,$A$7:$C$107,2,FALSE)*VLOOKUP(AY$76,'Attrition Modeling'!$L$15:$N$27,IF(AY$77+$F111&lt;=24,2,3),FALSE)),$C$3)*(1+IF('IP Attrition'!AY168&gt;0,'Attrition Modeling'!$N$9,0)))</f>
        <v>0</v>
      </c>
      <c r="AZ111" s="799">
        <f>AY111*(1-IFERROR(IF(AZ$77+$F111&lt;=12,SUMIFS('Attrition Modeling'!$D:$D,'Attrition Modeling'!$C:$C,$D111,'Attrition Modeling'!$B:$B,AZ$76),VLOOKUP($F111+AZ$77,$A$7:$C$107,2,FALSE)*VLOOKUP(AZ$76,'Attrition Modeling'!$L$15:$N$27,IF(AZ$77+$F111&lt;=24,2,3),FALSE)),$C$3)*(1+IF('IP Attrition'!AZ168&gt;0,'Attrition Modeling'!$N$9,0)))</f>
        <v>0</v>
      </c>
      <c r="BA111" s="799">
        <f>AZ111*(1-IFERROR(IF(BA$77+$F111&lt;=12,SUMIFS('Attrition Modeling'!$D:$D,'Attrition Modeling'!$C:$C,$D111,'Attrition Modeling'!$B:$B,BA$76),VLOOKUP($F111+BA$77,$A$7:$C$107,2,FALSE)*VLOOKUP(BA$76,'Attrition Modeling'!$L$15:$N$27,IF(BA$77+$F111&lt;=24,2,3),FALSE)),$C$3)*(1+IF('IP Attrition'!BA168&gt;0,'Attrition Modeling'!$N$9,0)))</f>
        <v>0</v>
      </c>
      <c r="BB111" s="799">
        <f>BA111*(1-IFERROR(IF(BB$77+$F111&lt;=12,SUMIFS('Attrition Modeling'!$D:$D,'Attrition Modeling'!$C:$C,$D111,'Attrition Modeling'!$B:$B,BB$76),VLOOKUP($F111+BB$77,$A$7:$C$107,2,FALSE)*VLOOKUP(BB$76,'Attrition Modeling'!$L$15:$N$27,IF(BB$77+$F111&lt;=24,2,3),FALSE)),$C$3)*(1+IF('IP Attrition'!BB168&gt;0,'Attrition Modeling'!$N$9,0)))</f>
        <v>0</v>
      </c>
      <c r="BC111" s="799">
        <f>BB111*(1-IFERROR(IF(BC$77+$F111&lt;=12,SUMIFS('Attrition Modeling'!$D:$D,'Attrition Modeling'!$C:$C,$D111,'Attrition Modeling'!$B:$B,BC$76),VLOOKUP($F111+BC$77,$A$7:$C$107,2,FALSE)*VLOOKUP(BC$76,'Attrition Modeling'!$L$15:$N$27,IF(BC$77+$F111&lt;=24,2,3),FALSE)),$C$3)*(1+IF('IP Attrition'!BC168&gt;0,'Attrition Modeling'!$N$9,0)))</f>
        <v>0</v>
      </c>
      <c r="BD111" s="799">
        <f>BC111*(1-IFERROR(IF(BD$77+$F111&lt;=12,SUMIFS('Attrition Modeling'!$D:$D,'Attrition Modeling'!$C:$C,$D111,'Attrition Modeling'!$B:$B,BD$76),VLOOKUP($F111+BD$77,$A$7:$C$107,2,FALSE)*VLOOKUP(BD$76,'Attrition Modeling'!$L$15:$N$27,IF(BD$77+$F111&lt;=24,2,3),FALSE)),$C$3)*(1+IF('IP Attrition'!BD168&gt;0,'Attrition Modeling'!$N$9,0)))</f>
        <v>0</v>
      </c>
      <c r="BE111" s="799">
        <f>BD111*(1-IFERROR(IF(BE$77+$F111&lt;=12,SUMIFS('Attrition Modeling'!$D:$D,'Attrition Modeling'!$C:$C,$D111,'Attrition Modeling'!$B:$B,BE$76),VLOOKUP($F111+BE$77,$A$7:$C$107,2,FALSE)*VLOOKUP(BE$76,'Attrition Modeling'!$L$15:$N$27,IF(BE$77+$F111&lt;=24,2,3),FALSE)),$C$3)*(1+IF('IP Attrition'!BE168&gt;0,'Attrition Modeling'!$N$9,0)))</f>
        <v>0</v>
      </c>
      <c r="BF111" s="799">
        <f>BE111*(1-IFERROR(IF(BF$77+$F111&lt;=12,SUMIFS('Attrition Modeling'!$D:$D,'Attrition Modeling'!$C:$C,$D111,'Attrition Modeling'!$B:$B,BF$76),VLOOKUP($F111+BF$77,$A$7:$C$107,2,FALSE)*VLOOKUP(BF$76,'Attrition Modeling'!$L$15:$N$27,IF(BF$77+$F111&lt;=24,2,3),FALSE)),$C$3)*(1+IF('IP Attrition'!BF168&gt;0,'Attrition Modeling'!$N$9,0)))</f>
        <v>0</v>
      </c>
      <c r="BG111" s="799">
        <f>BF111*(1-IFERROR(IF(BG$77+$F111&lt;=12,SUMIFS('Attrition Modeling'!$D:$D,'Attrition Modeling'!$C:$C,$D111,'Attrition Modeling'!$B:$B,BG$76),VLOOKUP($F111+BG$77,$A$7:$C$107,2,FALSE)*VLOOKUP(BG$76,'Attrition Modeling'!$L$15:$N$27,IF(BG$77+$F111&lt;=24,2,3),FALSE)),$C$3)*(1+IF('IP Attrition'!BG168&gt;0,'Attrition Modeling'!$N$9,0)))</f>
        <v>0</v>
      </c>
      <c r="BH111" s="799">
        <f>BG111*(1-IFERROR(IF(BH$77+$F111&lt;=12,SUMIFS('Attrition Modeling'!$D:$D,'Attrition Modeling'!$C:$C,$D111,'Attrition Modeling'!$B:$B,BH$76),VLOOKUP($F111+BH$77,$A$7:$C$107,2,FALSE)*VLOOKUP(BH$76,'Attrition Modeling'!$L$15:$N$27,IF(BH$77+$F111&lt;=24,2,3),FALSE)),$C$3)*(1+IF('IP Attrition'!BH168&gt;0,'Attrition Modeling'!$N$9,0)))</f>
        <v>0</v>
      </c>
      <c r="BI111" s="799">
        <f>BH111*(1-IFERROR(IF(BI$77+$F111&lt;=12,SUMIFS('Attrition Modeling'!$D:$D,'Attrition Modeling'!$C:$C,$D111,'Attrition Modeling'!$B:$B,BI$76),VLOOKUP($F111+BI$77,$A$7:$C$107,2,FALSE)*VLOOKUP(BI$76,'Attrition Modeling'!$L$15:$N$27,IF(BI$77+$F111&lt;=24,2,3),FALSE)),$C$3)*(1+IF('IP Attrition'!BI168&gt;0,'Attrition Modeling'!$N$9,0)))</f>
        <v>0</v>
      </c>
      <c r="BJ111" s="799">
        <f>BI111*(1-IFERROR(IF(BJ$77+$F111&lt;=12,SUMIFS('Attrition Modeling'!$D:$D,'Attrition Modeling'!$C:$C,$D111,'Attrition Modeling'!$B:$B,BJ$76),VLOOKUP($F111+BJ$77,$A$7:$C$107,2,FALSE)*VLOOKUP(BJ$76,'Attrition Modeling'!$L$15:$N$27,IF(BJ$77+$F111&lt;=24,2,3),FALSE)),$C$3)*(1+IF('IP Attrition'!BJ168&gt;0,'Attrition Modeling'!$N$9,0)))</f>
        <v>0</v>
      </c>
      <c r="BK111" s="799">
        <f>BJ111*(1-IFERROR(IF(BK$77+$F111&lt;=12,SUMIFS('Attrition Modeling'!$D:$D,'Attrition Modeling'!$C:$C,$D111,'Attrition Modeling'!$B:$B,BK$76),VLOOKUP($F111+BK$77,$A$7:$C$107,2,FALSE)*VLOOKUP(BK$76,'Attrition Modeling'!$L$15:$N$27,IF(BK$77+$F111&lt;=24,2,3),FALSE)),$C$3)*(1+IF('IP Attrition'!BK168&gt;0,'Attrition Modeling'!$N$9,0)))</f>
        <v>0</v>
      </c>
      <c r="BL111" s="799">
        <f>BK111*(1-IFERROR(IF(BL$77+$F111&lt;=12,SUMIFS('Attrition Modeling'!$D:$D,'Attrition Modeling'!$C:$C,$D111,'Attrition Modeling'!$B:$B,BL$76),VLOOKUP($F111+BL$77,$A$7:$C$107,2,FALSE)*VLOOKUP(BL$76,'Attrition Modeling'!$L$15:$N$27,IF(BL$77+$F111&lt;=24,2,3),FALSE)),$C$3)*(1+IF('IP Attrition'!BL168&gt;0,'Attrition Modeling'!$N$9,0)))</f>
        <v>0</v>
      </c>
      <c r="BM111" s="799">
        <f>BL111*(1-IFERROR(IF(BM$77+$F111&lt;=12,SUMIFS('Attrition Modeling'!$D:$D,'Attrition Modeling'!$C:$C,$D111,'Attrition Modeling'!$B:$B,BM$76),VLOOKUP($F111+BM$77,$A$7:$C$107,2,FALSE)*VLOOKUP(BM$76,'Attrition Modeling'!$L$15:$N$27,IF(BM$77+$F111&lt;=24,2,3),FALSE)),$C$3)*(1+IF('IP Attrition'!BM168&gt;0,'Attrition Modeling'!$N$9,0)))</f>
        <v>0</v>
      </c>
      <c r="BN111" s="799">
        <f>BM111*(1-IFERROR(IF(BN$77+$F111&lt;=12,SUMIFS('Attrition Modeling'!$D:$D,'Attrition Modeling'!$C:$C,$D111,'Attrition Modeling'!$B:$B,BN$76),VLOOKUP($F111+BN$77,$A$7:$C$107,2,FALSE)*VLOOKUP(BN$76,'Attrition Modeling'!$L$15:$N$27,IF(BN$77+$F111&lt;=24,2,3),FALSE)),$C$3)*(1+IF('IP Attrition'!BN168&gt;0,'Attrition Modeling'!$N$9,0)))</f>
        <v>0</v>
      </c>
      <c r="BO111" s="799">
        <f>BN111*(1-IFERROR(IF(BO$77+$F111&lt;=12,SUMIFS('Attrition Modeling'!$D:$D,'Attrition Modeling'!$C:$C,$D111,'Attrition Modeling'!$B:$B,BO$76),VLOOKUP($F111+BO$77,$A$7:$C$107,2,FALSE)*VLOOKUP(BO$76,'Attrition Modeling'!$L$15:$N$27,IF(BO$77+$F111&lt;=24,2,3),FALSE)),$C$3)*(1+IF('IP Attrition'!BO168&gt;0,'Attrition Modeling'!$N$9,0)))</f>
        <v>0</v>
      </c>
      <c r="BP111" s="799">
        <f>BO111*(1-IFERROR(IF(BP$77+$F111&lt;=12,SUMIFS('Attrition Modeling'!$D:$D,'Attrition Modeling'!$C:$C,$D111,'Attrition Modeling'!$B:$B,BP$76),VLOOKUP($F111+BP$77,$A$7:$C$107,2,FALSE)*VLOOKUP(BP$76,'Attrition Modeling'!$L$15:$N$27,IF(BP$77+$F111&lt;=24,2,3),FALSE)),$C$3)*(1+IF('IP Attrition'!BP168&gt;0,'Attrition Modeling'!$N$9,0)))</f>
        <v>0</v>
      </c>
      <c r="BQ111" s="799">
        <f>BP111*(1-IFERROR(IF(BQ$77+$F111&lt;=12,SUMIFS('Attrition Modeling'!$D:$D,'Attrition Modeling'!$C:$C,$D111,'Attrition Modeling'!$B:$B,BQ$76),VLOOKUP($F111+BQ$77,$A$7:$C$107,2,FALSE)*VLOOKUP(BQ$76,'Attrition Modeling'!$L$15:$N$27,IF(BQ$77+$F111&lt;=24,2,3),FALSE)),$C$3)*(1+IF('IP Attrition'!BQ168&gt;0,'Attrition Modeling'!$N$9,0)))</f>
        <v>0</v>
      </c>
      <c r="BR111" s="799">
        <f>BQ111*(1-IFERROR(IF(BR$77+$F111&lt;=12,SUMIFS('Attrition Modeling'!$D:$D,'Attrition Modeling'!$C:$C,$D111,'Attrition Modeling'!$B:$B,BR$76),VLOOKUP($F111+BR$77,$A$7:$C$107,2,FALSE)*VLOOKUP(BR$76,'Attrition Modeling'!$L$15:$N$27,IF(BR$77+$F111&lt;=24,2,3),FALSE)),$C$3)*(1+IF('IP Attrition'!BR168&gt;0,'Attrition Modeling'!$N$9,0)))</f>
        <v>0</v>
      </c>
      <c r="BS111" s="799">
        <f>BR111*(1-IFERROR(IF(BS$77+$F111&lt;=12,SUMIFS('Attrition Modeling'!$D:$D,'Attrition Modeling'!$C:$C,$D111,'Attrition Modeling'!$B:$B,BS$76),VLOOKUP($F111+BS$77,$A$7:$C$107,2,FALSE)*VLOOKUP(BS$76,'Attrition Modeling'!$L$15:$N$27,IF(BS$77+$F111&lt;=24,2,3),FALSE)),$C$3)*(1+IF('IP Attrition'!BS168&gt;0,'Attrition Modeling'!$N$9,0)))</f>
        <v>0</v>
      </c>
      <c r="BT111" s="799" t="e">
        <f>BS111*(1-IFERROR(IF(BT$77+$F111&lt;=12,SUMIFS('Attrition Modeling'!$D:$D,'Attrition Modeling'!$C:$C,$D111,'Attrition Modeling'!$B:$B,BT$76),VLOOKUP($F111+BT$77,$A$7:$C$107,2,FALSE)*VLOOKUP(BT$76,'Attrition Modeling'!$L$15:$N$27,IF(BT$77+$F111&lt;=24,2,3),FALSE)),$C$3)*(1+IF('IP Attrition'!BT168&gt;0,'Attrition Modeling'!$N$9,0)))</f>
        <v>#REF!</v>
      </c>
      <c r="BU111" s="799" t="e">
        <f>BT111*(1-IFERROR(IF(BU$77+$F111&lt;=12,SUMIFS('Attrition Modeling'!$D:$D,'Attrition Modeling'!$C:$C,$D111,'Attrition Modeling'!$B:$B,BU$76),VLOOKUP($F111+BU$77,$A$7:$C$107,2,FALSE)*VLOOKUP(BU$76,'Attrition Modeling'!$L$15:$N$27,IF(BU$77+$F111&lt;=24,2,3),FALSE)),$C$3)*(1+IF('IP Attrition'!BU168&gt;0,'Attrition Modeling'!$N$9,0)))</f>
        <v>#REF!</v>
      </c>
    </row>
    <row r="112" spans="1:73" ht="14.25" customHeight="1" x14ac:dyDescent="0.2">
      <c r="A112" s="9">
        <v>104</v>
      </c>
      <c r="B112" s="25">
        <f>MAX('Attrition Modeling'!H108,$C$3)*(1-Summary!$C$20)</f>
        <v>0.02</v>
      </c>
      <c r="C112" s="24" t="e">
        <f t="shared" si="2"/>
        <v>#DIV/0!</v>
      </c>
      <c r="D112" s="11">
        <f>'IP Attrition'!D104</f>
        <v>-34</v>
      </c>
      <c r="E112" s="25">
        <f>'IP Attrition'!E104</f>
        <v>0</v>
      </c>
      <c r="F112" s="11">
        <f t="shared" si="8"/>
        <v>34</v>
      </c>
      <c r="G112" s="799">
        <f>Summary!$C$24*$E112</f>
        <v>0</v>
      </c>
      <c r="H112" s="799">
        <f>G112*(1-IFERROR(IF(H$77+$F112&lt;=12,SUMIFS('Attrition Modeling'!$D:$D,'Attrition Modeling'!$C:$C,$D112,'Attrition Modeling'!$B:$B,H$76),VLOOKUP($F112+H$77,$A$7:$C$107,2,FALSE)*VLOOKUP(H$76,'Attrition Modeling'!$L$15:$N$27,IF(H$77+$F112&lt;=24,2,3),FALSE)),$C$3)*(1+IF('IP Attrition'!H169&gt;0,'Attrition Modeling'!$N$9,0)))</f>
        <v>0</v>
      </c>
      <c r="I112" s="799">
        <f>H112*(1-IFERROR(IF(I$77+$F112&lt;=12,SUMIFS('Attrition Modeling'!$D:$D,'Attrition Modeling'!$C:$C,$D112,'Attrition Modeling'!$B:$B,I$76),VLOOKUP($F112+I$77,$A$7:$C$107,2,FALSE)*VLOOKUP(I$76,'Attrition Modeling'!$L$15:$N$27,IF(I$77+$F112&lt;=24,2,3),FALSE)),$C$3)*(1+IF('IP Attrition'!I169&gt;0,'Attrition Modeling'!$N$9,0)))</f>
        <v>0</v>
      </c>
      <c r="J112" s="799">
        <f>I112*(1-IFERROR(IF(J$77+$F112&lt;=12,SUMIFS('Attrition Modeling'!$D:$D,'Attrition Modeling'!$C:$C,$D112,'Attrition Modeling'!$B:$B,J$76),VLOOKUP($F112+J$77,$A$7:$C$107,2,FALSE)*VLOOKUP(J$76,'Attrition Modeling'!$L$15:$N$27,IF(J$77+$F112&lt;=24,2,3),FALSE)),$C$3)*(1+IF('IP Attrition'!J169&gt;0,'Attrition Modeling'!$N$9,0)))</f>
        <v>0</v>
      </c>
      <c r="K112" s="799">
        <f>J112*(1-IFERROR(IF(K$77+$F112&lt;=12,SUMIFS('Attrition Modeling'!$D:$D,'Attrition Modeling'!$C:$C,$D112,'Attrition Modeling'!$B:$B,K$76),VLOOKUP($F112+K$77,$A$7:$C$107,2,FALSE)*VLOOKUP(K$76,'Attrition Modeling'!$L$15:$N$27,IF(K$77+$F112&lt;=24,2,3),FALSE)),$C$3)*(1+IF('IP Attrition'!K169&gt;0,'Attrition Modeling'!$N$9,0)))</f>
        <v>0</v>
      </c>
      <c r="L112" s="799">
        <f>K112*(1-IFERROR(IF(L$77+$F112&lt;=12,SUMIFS('Attrition Modeling'!$D:$D,'Attrition Modeling'!$C:$C,$D112,'Attrition Modeling'!$B:$B,L$76),VLOOKUP($F112+L$77,$A$7:$C$107,2,FALSE)*VLOOKUP(L$76,'Attrition Modeling'!$L$15:$N$27,IF(L$77+$F112&lt;=24,2,3),FALSE)),$C$3)*(1+IF('IP Attrition'!L169&gt;0,'Attrition Modeling'!$N$9,0)))</f>
        <v>0</v>
      </c>
      <c r="M112" s="799">
        <f>L112*(1-IFERROR(IF(M$77+$F112&lt;=12,SUMIFS('Attrition Modeling'!$D:$D,'Attrition Modeling'!$C:$C,$D112,'Attrition Modeling'!$B:$B,M$76),VLOOKUP($F112+M$77,$A$7:$C$107,2,FALSE)*VLOOKUP(M$76,'Attrition Modeling'!$L$15:$N$27,IF(M$77+$F112&lt;=24,2,3),FALSE)),$C$3)*(1+IF('IP Attrition'!M169&gt;0,'Attrition Modeling'!$N$9,0)))</f>
        <v>0</v>
      </c>
      <c r="N112" s="799">
        <f>M112*(1-IFERROR(IF(N$77+$F112&lt;=12,SUMIFS('Attrition Modeling'!$D:$D,'Attrition Modeling'!$C:$C,$D112,'Attrition Modeling'!$B:$B,N$76),VLOOKUP($F112+N$77,$A$7:$C$107,2,FALSE)*VLOOKUP(N$76,'Attrition Modeling'!$L$15:$N$27,IF(N$77+$F112&lt;=24,2,3),FALSE)),$C$3)*(1+IF('IP Attrition'!N169&gt;0,'Attrition Modeling'!$N$9,0)))</f>
        <v>0</v>
      </c>
      <c r="O112" s="799">
        <f>N112*(1-IFERROR(IF(O$77+$F112&lt;=12,SUMIFS('Attrition Modeling'!$D:$D,'Attrition Modeling'!$C:$C,$D112,'Attrition Modeling'!$B:$B,O$76),VLOOKUP($F112+O$77,$A$7:$C$107,2,FALSE)*VLOOKUP(O$76,'Attrition Modeling'!$L$15:$N$27,IF(O$77+$F112&lt;=24,2,3),FALSE)),$C$3)*(1+IF('IP Attrition'!O169&gt;0,'Attrition Modeling'!$N$9,0)))</f>
        <v>0</v>
      </c>
      <c r="P112" s="799">
        <f>O112*(1-IFERROR(IF(P$77+$F112&lt;=12,SUMIFS('Attrition Modeling'!$D:$D,'Attrition Modeling'!$C:$C,$D112,'Attrition Modeling'!$B:$B,P$76),VLOOKUP($F112+P$77,$A$7:$C$107,2,FALSE)*VLOOKUP(P$76,'Attrition Modeling'!$L$15:$N$27,IF(P$77+$F112&lt;=24,2,3),FALSE)),$C$3)*(1+IF('IP Attrition'!P169&gt;0,'Attrition Modeling'!$N$9,0)))</f>
        <v>0</v>
      </c>
      <c r="Q112" s="799">
        <f>P112*(1-IFERROR(IF(Q$77+$F112&lt;=12,SUMIFS('Attrition Modeling'!$D:$D,'Attrition Modeling'!$C:$C,$D112,'Attrition Modeling'!$B:$B,Q$76),VLOOKUP($F112+Q$77,$A$7:$C$107,2,FALSE)*VLOOKUP(Q$76,'Attrition Modeling'!$L$15:$N$27,IF(Q$77+$F112&lt;=24,2,3),FALSE)),$C$3)*(1+IF('IP Attrition'!Q169&gt;0,'Attrition Modeling'!$N$9,0)))</f>
        <v>0</v>
      </c>
      <c r="R112" s="799">
        <f>Q112*(1-IFERROR(IF(R$77+$F112&lt;=12,SUMIFS('Attrition Modeling'!$D:$D,'Attrition Modeling'!$C:$C,$D112,'Attrition Modeling'!$B:$B,R$76),VLOOKUP($F112+R$77,$A$7:$C$107,2,FALSE)*VLOOKUP(R$76,'Attrition Modeling'!$L$15:$N$27,IF(R$77+$F112&lt;=24,2,3),FALSE)),$C$3)*(1+IF('IP Attrition'!R169&gt;0,'Attrition Modeling'!$N$9,0)))</f>
        <v>0</v>
      </c>
      <c r="S112" s="799">
        <f>R112*(1-IFERROR(IF(S$77+$F112&lt;=12,SUMIFS('Attrition Modeling'!$D:$D,'Attrition Modeling'!$C:$C,$D112,'Attrition Modeling'!$B:$B,S$76),VLOOKUP($F112+S$77,$A$7:$C$107,2,FALSE)*VLOOKUP(S$76,'Attrition Modeling'!$L$15:$N$27,IF(S$77+$F112&lt;=24,2,3),FALSE)),$C$3)*(1+IF('IP Attrition'!S169&gt;0,'Attrition Modeling'!$N$9,0)))</f>
        <v>0</v>
      </c>
      <c r="T112" s="799">
        <f>S112*(1-IFERROR(IF(T$77+$F112&lt;=12,SUMIFS('Attrition Modeling'!$D:$D,'Attrition Modeling'!$C:$C,$D112,'Attrition Modeling'!$B:$B,T$76),VLOOKUP($F112+T$77,$A$7:$C$107,2,FALSE)*VLOOKUP(T$76,'Attrition Modeling'!$L$15:$N$27,IF(T$77+$F112&lt;=24,2,3),FALSE)),$C$3)*(1+IF('IP Attrition'!T169&gt;0,'Attrition Modeling'!$N$9,0)))</f>
        <v>0</v>
      </c>
      <c r="U112" s="799">
        <f>T112*(1-IFERROR(IF(U$77+$F112&lt;=12,SUMIFS('Attrition Modeling'!$D:$D,'Attrition Modeling'!$C:$C,$D112,'Attrition Modeling'!$B:$B,U$76),VLOOKUP($F112+U$77,$A$7:$C$107,2,FALSE)*VLOOKUP(U$76,'Attrition Modeling'!$L$15:$N$27,IF(U$77+$F112&lt;=24,2,3),FALSE)),$C$3)*(1+IF('IP Attrition'!U169&gt;0,'Attrition Modeling'!$N$9,0)))</f>
        <v>0</v>
      </c>
      <c r="V112" s="799">
        <f>U112*(1-IFERROR(IF(V$77+$F112&lt;=12,SUMIFS('Attrition Modeling'!$D:$D,'Attrition Modeling'!$C:$C,$D112,'Attrition Modeling'!$B:$B,V$76),VLOOKUP($F112+V$77,$A$7:$C$107,2,FALSE)*VLOOKUP(V$76,'Attrition Modeling'!$L$15:$N$27,IF(V$77+$F112&lt;=24,2,3),FALSE)),$C$3)*(1+IF('IP Attrition'!V169&gt;0,'Attrition Modeling'!$N$9,0)))</f>
        <v>0</v>
      </c>
      <c r="W112" s="799">
        <f>V112*(1-IFERROR(IF(W$77+$F112&lt;=12,SUMIFS('Attrition Modeling'!$D:$D,'Attrition Modeling'!$C:$C,$D112,'Attrition Modeling'!$B:$B,W$76),VLOOKUP($F112+W$77,$A$7:$C$107,2,FALSE)*VLOOKUP(W$76,'Attrition Modeling'!$L$15:$N$27,IF(W$77+$F112&lt;=24,2,3),FALSE)),$C$3)*(1+IF('IP Attrition'!W169&gt;0,'Attrition Modeling'!$N$9,0)))</f>
        <v>0</v>
      </c>
      <c r="X112" s="799">
        <f>W112*(1-IFERROR(IF(X$77+$F112&lt;=12,SUMIFS('Attrition Modeling'!$D:$D,'Attrition Modeling'!$C:$C,$D112,'Attrition Modeling'!$B:$B,X$76),VLOOKUP($F112+X$77,$A$7:$C$107,2,FALSE)*VLOOKUP(X$76,'Attrition Modeling'!$L$15:$N$27,IF(X$77+$F112&lt;=24,2,3),FALSE)),$C$3)*(1+IF('IP Attrition'!X169&gt;0,'Attrition Modeling'!$N$9,0)))</f>
        <v>0</v>
      </c>
      <c r="Y112" s="799">
        <f>X112*(1-IFERROR(IF(Y$77+$F112&lt;=12,SUMIFS('Attrition Modeling'!$D:$D,'Attrition Modeling'!$C:$C,$D112,'Attrition Modeling'!$B:$B,Y$76),VLOOKUP($F112+Y$77,$A$7:$C$107,2,FALSE)*VLOOKUP(Y$76,'Attrition Modeling'!$L$15:$N$27,IF(Y$77+$F112&lt;=24,2,3),FALSE)),$C$3)*(1+IF('IP Attrition'!Y169&gt;0,'Attrition Modeling'!$N$9,0)))</f>
        <v>0</v>
      </c>
      <c r="Z112" s="799">
        <f>Y112*(1-IFERROR(IF(Z$77+$F112&lt;=12,SUMIFS('Attrition Modeling'!$D:$D,'Attrition Modeling'!$C:$C,$D112,'Attrition Modeling'!$B:$B,Z$76),VLOOKUP($F112+Z$77,$A$7:$C$107,2,FALSE)*VLOOKUP(Z$76,'Attrition Modeling'!$L$15:$N$27,IF(Z$77+$F112&lt;=24,2,3),FALSE)),$C$3)*(1+IF('IP Attrition'!Z169&gt;0,'Attrition Modeling'!$N$9,0)))</f>
        <v>0</v>
      </c>
      <c r="AA112" s="799">
        <f>Z112*(1-IFERROR(IF(AA$77+$F112&lt;=12,SUMIFS('Attrition Modeling'!$D:$D,'Attrition Modeling'!$C:$C,$D112,'Attrition Modeling'!$B:$B,AA$76),VLOOKUP($F112+AA$77,$A$7:$C$107,2,FALSE)*VLOOKUP(AA$76,'Attrition Modeling'!$L$15:$N$27,IF(AA$77+$F112&lt;=24,2,3),FALSE)),$C$3)*(1+IF('IP Attrition'!AA169&gt;0,'Attrition Modeling'!$N$9,0)))</f>
        <v>0</v>
      </c>
      <c r="AB112" s="799">
        <f>AA112*(1-IFERROR(IF(AB$77+$F112&lt;=12,SUMIFS('Attrition Modeling'!$D:$D,'Attrition Modeling'!$C:$C,$D112,'Attrition Modeling'!$B:$B,AB$76),VLOOKUP($F112+AB$77,$A$7:$C$107,2,FALSE)*VLOOKUP(AB$76,'Attrition Modeling'!$L$15:$N$27,IF(AB$77+$F112&lt;=24,2,3),FALSE)),$C$3)*(1+IF('IP Attrition'!AB169&gt;0,'Attrition Modeling'!$N$9,0)))</f>
        <v>0</v>
      </c>
      <c r="AC112" s="799">
        <f>AB112*(1-IFERROR(IF(AC$77+$F112&lt;=12,SUMIFS('Attrition Modeling'!$D:$D,'Attrition Modeling'!$C:$C,$D112,'Attrition Modeling'!$B:$B,AC$76),VLOOKUP($F112+AC$77,$A$7:$C$107,2,FALSE)*VLOOKUP(AC$76,'Attrition Modeling'!$L$15:$N$27,IF(AC$77+$F112&lt;=24,2,3),FALSE)),$C$3)*(1+IF('IP Attrition'!AC169&gt;0,'Attrition Modeling'!$N$9,0)))</f>
        <v>0</v>
      </c>
      <c r="AD112" s="799">
        <f>AC112*(1-IFERROR(IF(AD$77+$F112&lt;=12,SUMIFS('Attrition Modeling'!$D:$D,'Attrition Modeling'!$C:$C,$D112,'Attrition Modeling'!$B:$B,AD$76),VLOOKUP($F112+AD$77,$A$7:$C$107,2,FALSE)*VLOOKUP(AD$76,'Attrition Modeling'!$L$15:$N$27,IF(AD$77+$F112&lt;=24,2,3),FALSE)),$C$3)*(1+IF('IP Attrition'!AD169&gt;0,'Attrition Modeling'!$N$9,0)))</f>
        <v>0</v>
      </c>
      <c r="AE112" s="799">
        <f>AD112*(1-IFERROR(IF(AE$77+$F112&lt;=12,SUMIFS('Attrition Modeling'!$D:$D,'Attrition Modeling'!$C:$C,$D112,'Attrition Modeling'!$B:$B,AE$76),VLOOKUP($F112+AE$77,$A$7:$C$107,2,FALSE)*VLOOKUP(AE$76,'Attrition Modeling'!$L$15:$N$27,IF(AE$77+$F112&lt;=24,2,3),FALSE)),$C$3)*(1+IF('IP Attrition'!AE169&gt;0,'Attrition Modeling'!$N$9,0)))</f>
        <v>0</v>
      </c>
      <c r="AF112" s="799">
        <f>AE112*(1-IFERROR(IF(AF$77+$F112&lt;=12,SUMIFS('Attrition Modeling'!$D:$D,'Attrition Modeling'!$C:$C,$D112,'Attrition Modeling'!$B:$B,AF$76),VLOOKUP($F112+AF$77,$A$7:$C$107,2,FALSE)*VLOOKUP(AF$76,'Attrition Modeling'!$L$15:$N$27,IF(AF$77+$F112&lt;=24,2,3),FALSE)),$C$3)*(1+IF('IP Attrition'!AF169&gt;0,'Attrition Modeling'!$N$9,0)))</f>
        <v>0</v>
      </c>
      <c r="AG112" s="799">
        <f>AF112*(1-IFERROR(IF(AG$77+$F112&lt;=12,SUMIFS('Attrition Modeling'!$D:$D,'Attrition Modeling'!$C:$C,$D112,'Attrition Modeling'!$B:$B,AG$76),VLOOKUP($F112+AG$77,$A$7:$C$107,2,FALSE)*VLOOKUP(AG$76,'Attrition Modeling'!$L$15:$N$27,IF(AG$77+$F112&lt;=24,2,3),FALSE)),$C$3)*(1+IF('IP Attrition'!AG169&gt;0,'Attrition Modeling'!$N$9,0)))</f>
        <v>0</v>
      </c>
      <c r="AH112" s="799">
        <f>AG112*(1-IFERROR(IF(AH$77+$F112&lt;=12,SUMIFS('Attrition Modeling'!$D:$D,'Attrition Modeling'!$C:$C,$D112,'Attrition Modeling'!$B:$B,AH$76),VLOOKUP($F112+AH$77,$A$7:$C$107,2,FALSE)*VLOOKUP(AH$76,'Attrition Modeling'!$L$15:$N$27,IF(AH$77+$F112&lt;=24,2,3),FALSE)),$C$3)*(1+IF('IP Attrition'!AH169&gt;0,'Attrition Modeling'!$N$9,0)))</f>
        <v>0</v>
      </c>
      <c r="AI112" s="799">
        <f>AH112*(1-IFERROR(IF(AI$77+$F112&lt;=12,SUMIFS('Attrition Modeling'!$D:$D,'Attrition Modeling'!$C:$C,$D112,'Attrition Modeling'!$B:$B,AI$76),VLOOKUP($F112+AI$77,$A$7:$C$107,2,FALSE)*VLOOKUP(AI$76,'Attrition Modeling'!$L$15:$N$27,IF(AI$77+$F112&lt;=24,2,3),FALSE)),$C$3)*(1+IF('IP Attrition'!AI169&gt;0,'Attrition Modeling'!$N$9,0)))</f>
        <v>0</v>
      </c>
      <c r="AJ112" s="799">
        <f>AI112*(1-IFERROR(IF(AJ$77+$F112&lt;=12,SUMIFS('Attrition Modeling'!$D:$D,'Attrition Modeling'!$C:$C,$D112,'Attrition Modeling'!$B:$B,AJ$76),VLOOKUP($F112+AJ$77,$A$7:$C$107,2,FALSE)*VLOOKUP(AJ$76,'Attrition Modeling'!$L$15:$N$27,IF(AJ$77+$F112&lt;=24,2,3),FALSE)),$C$3)*(1+IF('IP Attrition'!AJ169&gt;0,'Attrition Modeling'!$N$9,0)))</f>
        <v>0</v>
      </c>
      <c r="AK112" s="799">
        <f>AJ112*(1-IFERROR(IF(AK$77+$F112&lt;=12,SUMIFS('Attrition Modeling'!$D:$D,'Attrition Modeling'!$C:$C,$D112,'Attrition Modeling'!$B:$B,AK$76),VLOOKUP($F112+AK$77,$A$7:$C$107,2,FALSE)*VLOOKUP(AK$76,'Attrition Modeling'!$L$15:$N$27,IF(AK$77+$F112&lt;=24,2,3),FALSE)),$C$3)*(1+IF('IP Attrition'!AK169&gt;0,'Attrition Modeling'!$N$9,0)))</f>
        <v>0</v>
      </c>
      <c r="AL112" s="799">
        <f>AK112*(1-IFERROR(IF(AL$77+$F112&lt;=12,SUMIFS('Attrition Modeling'!$D:$D,'Attrition Modeling'!$C:$C,$D112,'Attrition Modeling'!$B:$B,AL$76),VLOOKUP($F112+AL$77,$A$7:$C$107,2,FALSE)*VLOOKUP(AL$76,'Attrition Modeling'!$L$15:$N$27,IF(AL$77+$F112&lt;=24,2,3),FALSE)),$C$3)*(1+IF('IP Attrition'!AL169&gt;0,'Attrition Modeling'!$N$9,0)))</f>
        <v>0</v>
      </c>
      <c r="AM112" s="799">
        <f>AL112*(1-IFERROR(IF(AM$77+$F112&lt;=12,SUMIFS('Attrition Modeling'!$D:$D,'Attrition Modeling'!$C:$C,$D112,'Attrition Modeling'!$B:$B,AM$76),VLOOKUP($F112+AM$77,$A$7:$C$107,2,FALSE)*VLOOKUP(AM$76,'Attrition Modeling'!$L$15:$N$27,IF(AM$77+$F112&lt;=24,2,3),FALSE)),$C$3)*(1+IF('IP Attrition'!AM169&gt;0,'Attrition Modeling'!$N$9,0)))</f>
        <v>0</v>
      </c>
      <c r="AN112" s="799">
        <f>AM112*(1-IFERROR(IF(AN$77+$F112&lt;=12,SUMIFS('Attrition Modeling'!$D:$D,'Attrition Modeling'!$C:$C,$D112,'Attrition Modeling'!$B:$B,AN$76),VLOOKUP($F112+AN$77,$A$7:$C$107,2,FALSE)*VLOOKUP(AN$76,'Attrition Modeling'!$L$15:$N$27,IF(AN$77+$F112&lt;=24,2,3),FALSE)),$C$3)*(1+IF('IP Attrition'!AN169&gt;0,'Attrition Modeling'!$N$9,0)))</f>
        <v>0</v>
      </c>
      <c r="AO112" s="799">
        <f>AN112*(1-IFERROR(IF(AO$77+$F112&lt;=12,SUMIFS('Attrition Modeling'!$D:$D,'Attrition Modeling'!$C:$C,$D112,'Attrition Modeling'!$B:$B,AO$76),VLOOKUP($F112+AO$77,$A$7:$C$107,2,FALSE)*VLOOKUP(AO$76,'Attrition Modeling'!$L$15:$N$27,IF(AO$77+$F112&lt;=24,2,3),FALSE)),$C$3)*(1+IF('IP Attrition'!AO169&gt;0,'Attrition Modeling'!$N$9,0)))</f>
        <v>0</v>
      </c>
      <c r="AP112" s="799">
        <f>AO112*(1-IFERROR(IF(AP$77+$F112&lt;=12,SUMIFS('Attrition Modeling'!$D:$D,'Attrition Modeling'!$C:$C,$D112,'Attrition Modeling'!$B:$B,AP$76),VLOOKUP($F112+AP$77,$A$7:$C$107,2,FALSE)*VLOOKUP(AP$76,'Attrition Modeling'!$L$15:$N$27,IF(AP$77+$F112&lt;=24,2,3),FALSE)),$C$3)*(1+IF('IP Attrition'!AP169&gt;0,'Attrition Modeling'!$N$9,0)))</f>
        <v>0</v>
      </c>
      <c r="AQ112" s="799">
        <f>AP112*(1-IFERROR(IF(AQ$77+$F112&lt;=12,SUMIFS('Attrition Modeling'!$D:$D,'Attrition Modeling'!$C:$C,$D112,'Attrition Modeling'!$B:$B,AQ$76),VLOOKUP($F112+AQ$77,$A$7:$C$107,2,FALSE)*VLOOKUP(AQ$76,'Attrition Modeling'!$L$15:$N$27,IF(AQ$77+$F112&lt;=24,2,3),FALSE)),$C$3)*(1+IF('IP Attrition'!AQ169&gt;0,'Attrition Modeling'!$N$9,0)))</f>
        <v>0</v>
      </c>
      <c r="AR112" s="799">
        <f>AQ112*(1-IFERROR(IF(AR$77+$F112&lt;=12,SUMIFS('Attrition Modeling'!$D:$D,'Attrition Modeling'!$C:$C,$D112,'Attrition Modeling'!$B:$B,AR$76),VLOOKUP($F112+AR$77,$A$7:$C$107,2,FALSE)*VLOOKUP(AR$76,'Attrition Modeling'!$L$15:$N$27,IF(AR$77+$F112&lt;=24,2,3),FALSE)),$C$3)*(1+IF('IP Attrition'!AR169&gt;0,'Attrition Modeling'!$N$9,0)))</f>
        <v>0</v>
      </c>
      <c r="AS112" s="799">
        <f>AR112*(1-IFERROR(IF(AS$77+$F112&lt;=12,SUMIFS('Attrition Modeling'!$D:$D,'Attrition Modeling'!$C:$C,$D112,'Attrition Modeling'!$B:$B,AS$76),VLOOKUP($F112+AS$77,$A$7:$C$107,2,FALSE)*VLOOKUP(AS$76,'Attrition Modeling'!$L$15:$N$27,IF(AS$77+$F112&lt;=24,2,3),FALSE)),$C$3)*(1+IF('IP Attrition'!AS169&gt;0,'Attrition Modeling'!$N$9,0)))</f>
        <v>0</v>
      </c>
      <c r="AT112" s="799">
        <f>AS112*(1-IFERROR(IF(AT$77+$F112&lt;=12,SUMIFS('Attrition Modeling'!$D:$D,'Attrition Modeling'!$C:$C,$D112,'Attrition Modeling'!$B:$B,AT$76),VLOOKUP($F112+AT$77,$A$7:$C$107,2,FALSE)*VLOOKUP(AT$76,'Attrition Modeling'!$L$15:$N$27,IF(AT$77+$F112&lt;=24,2,3),FALSE)),$C$3)*(1+IF('IP Attrition'!AT169&gt;0,'Attrition Modeling'!$N$9,0)))</f>
        <v>0</v>
      </c>
      <c r="AU112" s="799">
        <f>AT112*(1-IFERROR(IF(AU$77+$F112&lt;=12,SUMIFS('Attrition Modeling'!$D:$D,'Attrition Modeling'!$C:$C,$D112,'Attrition Modeling'!$B:$B,AU$76),VLOOKUP($F112+AU$77,$A$7:$C$107,2,FALSE)*VLOOKUP(AU$76,'Attrition Modeling'!$L$15:$N$27,IF(AU$77+$F112&lt;=24,2,3),FALSE)),$C$3)*(1+IF('IP Attrition'!AU169&gt;0,'Attrition Modeling'!$N$9,0)))</f>
        <v>0</v>
      </c>
      <c r="AV112" s="799">
        <f>AU112*(1-IFERROR(IF(AV$77+$F112&lt;=12,SUMIFS('Attrition Modeling'!$D:$D,'Attrition Modeling'!$C:$C,$D112,'Attrition Modeling'!$B:$B,AV$76),VLOOKUP($F112+AV$77,$A$7:$C$107,2,FALSE)*VLOOKUP(AV$76,'Attrition Modeling'!$L$15:$N$27,IF(AV$77+$F112&lt;=24,2,3),FALSE)),$C$3)*(1+IF('IP Attrition'!AV169&gt;0,'Attrition Modeling'!$N$9,0)))</f>
        <v>0</v>
      </c>
      <c r="AW112" s="799">
        <f>AV112*(1-IFERROR(IF(AW$77+$F112&lt;=12,SUMIFS('Attrition Modeling'!$D:$D,'Attrition Modeling'!$C:$C,$D112,'Attrition Modeling'!$B:$B,AW$76),VLOOKUP($F112+AW$77,$A$7:$C$107,2,FALSE)*VLOOKUP(AW$76,'Attrition Modeling'!$L$15:$N$27,IF(AW$77+$F112&lt;=24,2,3),FALSE)),$C$3)*(1+IF('IP Attrition'!AW169&gt;0,'Attrition Modeling'!$N$9,0)))</f>
        <v>0</v>
      </c>
      <c r="AX112" s="799">
        <f>AW112*(1-IFERROR(IF(AX$77+$F112&lt;=12,SUMIFS('Attrition Modeling'!$D:$D,'Attrition Modeling'!$C:$C,$D112,'Attrition Modeling'!$B:$B,AX$76),VLOOKUP($F112+AX$77,$A$7:$C$107,2,FALSE)*VLOOKUP(AX$76,'Attrition Modeling'!$L$15:$N$27,IF(AX$77+$F112&lt;=24,2,3),FALSE)),$C$3)*(1+IF('IP Attrition'!AX169&gt;0,'Attrition Modeling'!$N$9,0)))</f>
        <v>0</v>
      </c>
      <c r="AY112" s="799">
        <f>AX112*(1-IFERROR(IF(AY$77+$F112&lt;=12,SUMIFS('Attrition Modeling'!$D:$D,'Attrition Modeling'!$C:$C,$D112,'Attrition Modeling'!$B:$B,AY$76),VLOOKUP($F112+AY$77,$A$7:$C$107,2,FALSE)*VLOOKUP(AY$76,'Attrition Modeling'!$L$15:$N$27,IF(AY$77+$F112&lt;=24,2,3),FALSE)),$C$3)*(1+IF('IP Attrition'!AY169&gt;0,'Attrition Modeling'!$N$9,0)))</f>
        <v>0</v>
      </c>
      <c r="AZ112" s="799">
        <f>AY112*(1-IFERROR(IF(AZ$77+$F112&lt;=12,SUMIFS('Attrition Modeling'!$D:$D,'Attrition Modeling'!$C:$C,$D112,'Attrition Modeling'!$B:$B,AZ$76),VLOOKUP($F112+AZ$77,$A$7:$C$107,2,FALSE)*VLOOKUP(AZ$76,'Attrition Modeling'!$L$15:$N$27,IF(AZ$77+$F112&lt;=24,2,3),FALSE)),$C$3)*(1+IF('IP Attrition'!AZ169&gt;0,'Attrition Modeling'!$N$9,0)))</f>
        <v>0</v>
      </c>
      <c r="BA112" s="799">
        <f>AZ112*(1-IFERROR(IF(BA$77+$F112&lt;=12,SUMIFS('Attrition Modeling'!$D:$D,'Attrition Modeling'!$C:$C,$D112,'Attrition Modeling'!$B:$B,BA$76),VLOOKUP($F112+BA$77,$A$7:$C$107,2,FALSE)*VLOOKUP(BA$76,'Attrition Modeling'!$L$15:$N$27,IF(BA$77+$F112&lt;=24,2,3),FALSE)),$C$3)*(1+IF('IP Attrition'!BA169&gt;0,'Attrition Modeling'!$N$9,0)))</f>
        <v>0</v>
      </c>
      <c r="BB112" s="799">
        <f>BA112*(1-IFERROR(IF(BB$77+$F112&lt;=12,SUMIFS('Attrition Modeling'!$D:$D,'Attrition Modeling'!$C:$C,$D112,'Attrition Modeling'!$B:$B,BB$76),VLOOKUP($F112+BB$77,$A$7:$C$107,2,FALSE)*VLOOKUP(BB$76,'Attrition Modeling'!$L$15:$N$27,IF(BB$77+$F112&lt;=24,2,3),FALSE)),$C$3)*(1+IF('IP Attrition'!BB169&gt;0,'Attrition Modeling'!$N$9,0)))</f>
        <v>0</v>
      </c>
      <c r="BC112" s="799">
        <f>BB112*(1-IFERROR(IF(BC$77+$F112&lt;=12,SUMIFS('Attrition Modeling'!$D:$D,'Attrition Modeling'!$C:$C,$D112,'Attrition Modeling'!$B:$B,BC$76),VLOOKUP($F112+BC$77,$A$7:$C$107,2,FALSE)*VLOOKUP(BC$76,'Attrition Modeling'!$L$15:$N$27,IF(BC$77+$F112&lt;=24,2,3),FALSE)),$C$3)*(1+IF('IP Attrition'!BC169&gt;0,'Attrition Modeling'!$N$9,0)))</f>
        <v>0</v>
      </c>
      <c r="BD112" s="799">
        <f>BC112*(1-IFERROR(IF(BD$77+$F112&lt;=12,SUMIFS('Attrition Modeling'!$D:$D,'Attrition Modeling'!$C:$C,$D112,'Attrition Modeling'!$B:$B,BD$76),VLOOKUP($F112+BD$77,$A$7:$C$107,2,FALSE)*VLOOKUP(BD$76,'Attrition Modeling'!$L$15:$N$27,IF(BD$77+$F112&lt;=24,2,3),FALSE)),$C$3)*(1+IF('IP Attrition'!BD169&gt;0,'Attrition Modeling'!$N$9,0)))</f>
        <v>0</v>
      </c>
      <c r="BE112" s="799">
        <f>BD112*(1-IFERROR(IF(BE$77+$F112&lt;=12,SUMIFS('Attrition Modeling'!$D:$D,'Attrition Modeling'!$C:$C,$D112,'Attrition Modeling'!$B:$B,BE$76),VLOOKUP($F112+BE$77,$A$7:$C$107,2,FALSE)*VLOOKUP(BE$76,'Attrition Modeling'!$L$15:$N$27,IF(BE$77+$F112&lt;=24,2,3),FALSE)),$C$3)*(1+IF('IP Attrition'!BE169&gt;0,'Attrition Modeling'!$N$9,0)))</f>
        <v>0</v>
      </c>
      <c r="BF112" s="799">
        <f>BE112*(1-IFERROR(IF(BF$77+$F112&lt;=12,SUMIFS('Attrition Modeling'!$D:$D,'Attrition Modeling'!$C:$C,$D112,'Attrition Modeling'!$B:$B,BF$76),VLOOKUP($F112+BF$77,$A$7:$C$107,2,FALSE)*VLOOKUP(BF$76,'Attrition Modeling'!$L$15:$N$27,IF(BF$77+$F112&lt;=24,2,3),FALSE)),$C$3)*(1+IF('IP Attrition'!BF169&gt;0,'Attrition Modeling'!$N$9,0)))</f>
        <v>0</v>
      </c>
      <c r="BG112" s="799">
        <f>BF112*(1-IFERROR(IF(BG$77+$F112&lt;=12,SUMIFS('Attrition Modeling'!$D:$D,'Attrition Modeling'!$C:$C,$D112,'Attrition Modeling'!$B:$B,BG$76),VLOOKUP($F112+BG$77,$A$7:$C$107,2,FALSE)*VLOOKUP(BG$76,'Attrition Modeling'!$L$15:$N$27,IF(BG$77+$F112&lt;=24,2,3),FALSE)),$C$3)*(1+IF('IP Attrition'!BG169&gt;0,'Attrition Modeling'!$N$9,0)))</f>
        <v>0</v>
      </c>
      <c r="BH112" s="799">
        <f>BG112*(1-IFERROR(IF(BH$77+$F112&lt;=12,SUMIFS('Attrition Modeling'!$D:$D,'Attrition Modeling'!$C:$C,$D112,'Attrition Modeling'!$B:$B,BH$76),VLOOKUP($F112+BH$77,$A$7:$C$107,2,FALSE)*VLOOKUP(BH$76,'Attrition Modeling'!$L$15:$N$27,IF(BH$77+$F112&lt;=24,2,3),FALSE)),$C$3)*(1+IF('IP Attrition'!BH169&gt;0,'Attrition Modeling'!$N$9,0)))</f>
        <v>0</v>
      </c>
      <c r="BI112" s="799">
        <f>BH112*(1-IFERROR(IF(BI$77+$F112&lt;=12,SUMIFS('Attrition Modeling'!$D:$D,'Attrition Modeling'!$C:$C,$D112,'Attrition Modeling'!$B:$B,BI$76),VLOOKUP($F112+BI$77,$A$7:$C$107,2,FALSE)*VLOOKUP(BI$76,'Attrition Modeling'!$L$15:$N$27,IF(BI$77+$F112&lt;=24,2,3),FALSE)),$C$3)*(1+IF('IP Attrition'!BI169&gt;0,'Attrition Modeling'!$N$9,0)))</f>
        <v>0</v>
      </c>
      <c r="BJ112" s="799">
        <f>BI112*(1-IFERROR(IF(BJ$77+$F112&lt;=12,SUMIFS('Attrition Modeling'!$D:$D,'Attrition Modeling'!$C:$C,$D112,'Attrition Modeling'!$B:$B,BJ$76),VLOOKUP($F112+BJ$77,$A$7:$C$107,2,FALSE)*VLOOKUP(BJ$76,'Attrition Modeling'!$L$15:$N$27,IF(BJ$77+$F112&lt;=24,2,3),FALSE)),$C$3)*(1+IF('IP Attrition'!BJ169&gt;0,'Attrition Modeling'!$N$9,0)))</f>
        <v>0</v>
      </c>
      <c r="BK112" s="799">
        <f>BJ112*(1-IFERROR(IF(BK$77+$F112&lt;=12,SUMIFS('Attrition Modeling'!$D:$D,'Attrition Modeling'!$C:$C,$D112,'Attrition Modeling'!$B:$B,BK$76),VLOOKUP($F112+BK$77,$A$7:$C$107,2,FALSE)*VLOOKUP(BK$76,'Attrition Modeling'!$L$15:$N$27,IF(BK$77+$F112&lt;=24,2,3),FALSE)),$C$3)*(1+IF('IP Attrition'!BK169&gt;0,'Attrition Modeling'!$N$9,0)))</f>
        <v>0</v>
      </c>
      <c r="BL112" s="799">
        <f>BK112*(1-IFERROR(IF(BL$77+$F112&lt;=12,SUMIFS('Attrition Modeling'!$D:$D,'Attrition Modeling'!$C:$C,$D112,'Attrition Modeling'!$B:$B,BL$76),VLOOKUP($F112+BL$77,$A$7:$C$107,2,FALSE)*VLOOKUP(BL$76,'Attrition Modeling'!$L$15:$N$27,IF(BL$77+$F112&lt;=24,2,3),FALSE)),$C$3)*(1+IF('IP Attrition'!BL169&gt;0,'Attrition Modeling'!$N$9,0)))</f>
        <v>0</v>
      </c>
      <c r="BM112" s="799">
        <f>BL112*(1-IFERROR(IF(BM$77+$F112&lt;=12,SUMIFS('Attrition Modeling'!$D:$D,'Attrition Modeling'!$C:$C,$D112,'Attrition Modeling'!$B:$B,BM$76),VLOOKUP($F112+BM$77,$A$7:$C$107,2,FALSE)*VLOOKUP(BM$76,'Attrition Modeling'!$L$15:$N$27,IF(BM$77+$F112&lt;=24,2,3),FALSE)),$C$3)*(1+IF('IP Attrition'!BM169&gt;0,'Attrition Modeling'!$N$9,0)))</f>
        <v>0</v>
      </c>
      <c r="BN112" s="799">
        <f>BM112*(1-IFERROR(IF(BN$77+$F112&lt;=12,SUMIFS('Attrition Modeling'!$D:$D,'Attrition Modeling'!$C:$C,$D112,'Attrition Modeling'!$B:$B,BN$76),VLOOKUP($F112+BN$77,$A$7:$C$107,2,FALSE)*VLOOKUP(BN$76,'Attrition Modeling'!$L$15:$N$27,IF(BN$77+$F112&lt;=24,2,3),FALSE)),$C$3)*(1+IF('IP Attrition'!BN169&gt;0,'Attrition Modeling'!$N$9,0)))</f>
        <v>0</v>
      </c>
      <c r="BO112" s="799">
        <f>BN112*(1-IFERROR(IF(BO$77+$F112&lt;=12,SUMIFS('Attrition Modeling'!$D:$D,'Attrition Modeling'!$C:$C,$D112,'Attrition Modeling'!$B:$B,BO$76),VLOOKUP($F112+BO$77,$A$7:$C$107,2,FALSE)*VLOOKUP(BO$76,'Attrition Modeling'!$L$15:$N$27,IF(BO$77+$F112&lt;=24,2,3),FALSE)),$C$3)*(1+IF('IP Attrition'!BO169&gt;0,'Attrition Modeling'!$N$9,0)))</f>
        <v>0</v>
      </c>
      <c r="BP112" s="799">
        <f>BO112*(1-IFERROR(IF(BP$77+$F112&lt;=12,SUMIFS('Attrition Modeling'!$D:$D,'Attrition Modeling'!$C:$C,$D112,'Attrition Modeling'!$B:$B,BP$76),VLOOKUP($F112+BP$77,$A$7:$C$107,2,FALSE)*VLOOKUP(BP$76,'Attrition Modeling'!$L$15:$N$27,IF(BP$77+$F112&lt;=24,2,3),FALSE)),$C$3)*(1+IF('IP Attrition'!BP169&gt;0,'Attrition Modeling'!$N$9,0)))</f>
        <v>0</v>
      </c>
      <c r="BQ112" s="799">
        <f>BP112*(1-IFERROR(IF(BQ$77+$F112&lt;=12,SUMIFS('Attrition Modeling'!$D:$D,'Attrition Modeling'!$C:$C,$D112,'Attrition Modeling'!$B:$B,BQ$76),VLOOKUP($F112+BQ$77,$A$7:$C$107,2,FALSE)*VLOOKUP(BQ$76,'Attrition Modeling'!$L$15:$N$27,IF(BQ$77+$F112&lt;=24,2,3),FALSE)),$C$3)*(1+IF('IP Attrition'!BQ169&gt;0,'Attrition Modeling'!$N$9,0)))</f>
        <v>0</v>
      </c>
      <c r="BR112" s="799">
        <f>BQ112*(1-IFERROR(IF(BR$77+$F112&lt;=12,SUMIFS('Attrition Modeling'!$D:$D,'Attrition Modeling'!$C:$C,$D112,'Attrition Modeling'!$B:$B,BR$76),VLOOKUP($F112+BR$77,$A$7:$C$107,2,FALSE)*VLOOKUP(BR$76,'Attrition Modeling'!$L$15:$N$27,IF(BR$77+$F112&lt;=24,2,3),FALSE)),$C$3)*(1+IF('IP Attrition'!BR169&gt;0,'Attrition Modeling'!$N$9,0)))</f>
        <v>0</v>
      </c>
      <c r="BS112" s="799">
        <f>BR112*(1-IFERROR(IF(BS$77+$F112&lt;=12,SUMIFS('Attrition Modeling'!$D:$D,'Attrition Modeling'!$C:$C,$D112,'Attrition Modeling'!$B:$B,BS$76),VLOOKUP($F112+BS$77,$A$7:$C$107,2,FALSE)*VLOOKUP(BS$76,'Attrition Modeling'!$L$15:$N$27,IF(BS$77+$F112&lt;=24,2,3),FALSE)),$C$3)*(1+IF('IP Attrition'!BS169&gt;0,'Attrition Modeling'!$N$9,0)))</f>
        <v>0</v>
      </c>
      <c r="BT112" s="799" t="e">
        <f>BS112*(1-IFERROR(IF(BT$77+$F112&lt;=12,SUMIFS('Attrition Modeling'!$D:$D,'Attrition Modeling'!$C:$C,$D112,'Attrition Modeling'!$B:$B,BT$76),VLOOKUP($F112+BT$77,$A$7:$C$107,2,FALSE)*VLOOKUP(BT$76,'Attrition Modeling'!$L$15:$N$27,IF(BT$77+$F112&lt;=24,2,3),FALSE)),$C$3)*(1+IF('IP Attrition'!BT169&gt;0,'Attrition Modeling'!$N$9,0)))</f>
        <v>#REF!</v>
      </c>
      <c r="BU112" s="799" t="e">
        <f>BT112*(1-IFERROR(IF(BU$77+$F112&lt;=12,SUMIFS('Attrition Modeling'!$D:$D,'Attrition Modeling'!$C:$C,$D112,'Attrition Modeling'!$B:$B,BU$76),VLOOKUP($F112+BU$77,$A$7:$C$107,2,FALSE)*VLOOKUP(BU$76,'Attrition Modeling'!$L$15:$N$27,IF(BU$77+$F112&lt;=24,2,3),FALSE)),$C$3)*(1+IF('IP Attrition'!BU169&gt;0,'Attrition Modeling'!$N$9,0)))</f>
        <v>#REF!</v>
      </c>
    </row>
    <row r="113" spans="1:73" ht="14.25" customHeight="1" x14ac:dyDescent="0.2">
      <c r="A113" s="9">
        <v>105</v>
      </c>
      <c r="B113" s="25">
        <f>MAX('Attrition Modeling'!H109,$C$3)*(1-Summary!$C$20)</f>
        <v>0.02</v>
      </c>
      <c r="C113" s="24" t="e">
        <f t="shared" si="2"/>
        <v>#DIV/0!</v>
      </c>
      <c r="D113" s="11">
        <f>'IP Attrition'!D105</f>
        <v>-35</v>
      </c>
      <c r="E113" s="25">
        <f>'IP Attrition'!E105</f>
        <v>0</v>
      </c>
      <c r="F113" s="11">
        <f t="shared" si="8"/>
        <v>35</v>
      </c>
      <c r="G113" s="799">
        <f>Summary!$C$24*$E113</f>
        <v>0</v>
      </c>
      <c r="H113" s="799">
        <f>G113*(1-IFERROR(IF(H$77+$F113&lt;=12,SUMIFS('Attrition Modeling'!$D:$D,'Attrition Modeling'!$C:$C,$D113,'Attrition Modeling'!$B:$B,H$76),VLOOKUP($F113+H$77,$A$7:$C$107,2,FALSE)*VLOOKUP(H$76,'Attrition Modeling'!$L$15:$N$27,IF(H$77+$F113&lt;=24,2,3),FALSE)),$C$3)*(1+IF('IP Attrition'!H170&gt;0,'Attrition Modeling'!$N$9,0)))</f>
        <v>0</v>
      </c>
      <c r="I113" s="799">
        <f>H113*(1-IFERROR(IF(I$77+$F113&lt;=12,SUMIFS('Attrition Modeling'!$D:$D,'Attrition Modeling'!$C:$C,$D113,'Attrition Modeling'!$B:$B,I$76),VLOOKUP($F113+I$77,$A$7:$C$107,2,FALSE)*VLOOKUP(I$76,'Attrition Modeling'!$L$15:$N$27,IF(I$77+$F113&lt;=24,2,3),FALSE)),$C$3)*(1+IF('IP Attrition'!I170&gt;0,'Attrition Modeling'!$N$9,0)))</f>
        <v>0</v>
      </c>
      <c r="J113" s="799">
        <f>I113*(1-IFERROR(IF(J$77+$F113&lt;=12,SUMIFS('Attrition Modeling'!$D:$D,'Attrition Modeling'!$C:$C,$D113,'Attrition Modeling'!$B:$B,J$76),VLOOKUP($F113+J$77,$A$7:$C$107,2,FALSE)*VLOOKUP(J$76,'Attrition Modeling'!$L$15:$N$27,IF(J$77+$F113&lt;=24,2,3),FALSE)),$C$3)*(1+IF('IP Attrition'!J170&gt;0,'Attrition Modeling'!$N$9,0)))</f>
        <v>0</v>
      </c>
      <c r="K113" s="799">
        <f>J113*(1-IFERROR(IF(K$77+$F113&lt;=12,SUMIFS('Attrition Modeling'!$D:$D,'Attrition Modeling'!$C:$C,$D113,'Attrition Modeling'!$B:$B,K$76),VLOOKUP($F113+K$77,$A$7:$C$107,2,FALSE)*VLOOKUP(K$76,'Attrition Modeling'!$L$15:$N$27,IF(K$77+$F113&lt;=24,2,3),FALSE)),$C$3)*(1+IF('IP Attrition'!K170&gt;0,'Attrition Modeling'!$N$9,0)))</f>
        <v>0</v>
      </c>
      <c r="L113" s="799">
        <f>K113*(1-IFERROR(IF(L$77+$F113&lt;=12,SUMIFS('Attrition Modeling'!$D:$D,'Attrition Modeling'!$C:$C,$D113,'Attrition Modeling'!$B:$B,L$76),VLOOKUP($F113+L$77,$A$7:$C$107,2,FALSE)*VLOOKUP(L$76,'Attrition Modeling'!$L$15:$N$27,IF(L$77+$F113&lt;=24,2,3),FALSE)),$C$3)*(1+IF('IP Attrition'!L170&gt;0,'Attrition Modeling'!$N$9,0)))</f>
        <v>0</v>
      </c>
      <c r="M113" s="799">
        <f>L113*(1-IFERROR(IF(M$77+$F113&lt;=12,SUMIFS('Attrition Modeling'!$D:$D,'Attrition Modeling'!$C:$C,$D113,'Attrition Modeling'!$B:$B,M$76),VLOOKUP($F113+M$77,$A$7:$C$107,2,FALSE)*VLOOKUP(M$76,'Attrition Modeling'!$L$15:$N$27,IF(M$77+$F113&lt;=24,2,3),FALSE)),$C$3)*(1+IF('IP Attrition'!M170&gt;0,'Attrition Modeling'!$N$9,0)))</f>
        <v>0</v>
      </c>
      <c r="N113" s="799">
        <f>M113*(1-IFERROR(IF(N$77+$F113&lt;=12,SUMIFS('Attrition Modeling'!$D:$D,'Attrition Modeling'!$C:$C,$D113,'Attrition Modeling'!$B:$B,N$76),VLOOKUP($F113+N$77,$A$7:$C$107,2,FALSE)*VLOOKUP(N$76,'Attrition Modeling'!$L$15:$N$27,IF(N$77+$F113&lt;=24,2,3),FALSE)),$C$3)*(1+IF('IP Attrition'!N170&gt;0,'Attrition Modeling'!$N$9,0)))</f>
        <v>0</v>
      </c>
      <c r="O113" s="799">
        <f>N113*(1-IFERROR(IF(O$77+$F113&lt;=12,SUMIFS('Attrition Modeling'!$D:$D,'Attrition Modeling'!$C:$C,$D113,'Attrition Modeling'!$B:$B,O$76),VLOOKUP($F113+O$77,$A$7:$C$107,2,FALSE)*VLOOKUP(O$76,'Attrition Modeling'!$L$15:$N$27,IF(O$77+$F113&lt;=24,2,3),FALSE)),$C$3)*(1+IF('IP Attrition'!O170&gt;0,'Attrition Modeling'!$N$9,0)))</f>
        <v>0</v>
      </c>
      <c r="P113" s="799">
        <f>O113*(1-IFERROR(IF(P$77+$F113&lt;=12,SUMIFS('Attrition Modeling'!$D:$D,'Attrition Modeling'!$C:$C,$D113,'Attrition Modeling'!$B:$B,P$76),VLOOKUP($F113+P$77,$A$7:$C$107,2,FALSE)*VLOOKUP(P$76,'Attrition Modeling'!$L$15:$N$27,IF(P$77+$F113&lt;=24,2,3),FALSE)),$C$3)*(1+IF('IP Attrition'!P170&gt;0,'Attrition Modeling'!$N$9,0)))</f>
        <v>0</v>
      </c>
      <c r="Q113" s="799">
        <f>P113*(1-IFERROR(IF(Q$77+$F113&lt;=12,SUMIFS('Attrition Modeling'!$D:$D,'Attrition Modeling'!$C:$C,$D113,'Attrition Modeling'!$B:$B,Q$76),VLOOKUP($F113+Q$77,$A$7:$C$107,2,FALSE)*VLOOKUP(Q$76,'Attrition Modeling'!$L$15:$N$27,IF(Q$77+$F113&lt;=24,2,3),FALSE)),$C$3)*(1+IF('IP Attrition'!Q170&gt;0,'Attrition Modeling'!$N$9,0)))</f>
        <v>0</v>
      </c>
      <c r="R113" s="799">
        <f>Q113*(1-IFERROR(IF(R$77+$F113&lt;=12,SUMIFS('Attrition Modeling'!$D:$D,'Attrition Modeling'!$C:$C,$D113,'Attrition Modeling'!$B:$B,R$76),VLOOKUP($F113+R$77,$A$7:$C$107,2,FALSE)*VLOOKUP(R$76,'Attrition Modeling'!$L$15:$N$27,IF(R$77+$F113&lt;=24,2,3),FALSE)),$C$3)*(1+IF('IP Attrition'!R170&gt;0,'Attrition Modeling'!$N$9,0)))</f>
        <v>0</v>
      </c>
      <c r="S113" s="799">
        <f>R113*(1-IFERROR(IF(S$77+$F113&lt;=12,SUMIFS('Attrition Modeling'!$D:$D,'Attrition Modeling'!$C:$C,$D113,'Attrition Modeling'!$B:$B,S$76),VLOOKUP($F113+S$77,$A$7:$C$107,2,FALSE)*VLOOKUP(S$76,'Attrition Modeling'!$L$15:$N$27,IF(S$77+$F113&lt;=24,2,3),FALSE)),$C$3)*(1+IF('IP Attrition'!S170&gt;0,'Attrition Modeling'!$N$9,0)))</f>
        <v>0</v>
      </c>
      <c r="T113" s="799">
        <f>S113*(1-IFERROR(IF(T$77+$F113&lt;=12,SUMIFS('Attrition Modeling'!$D:$D,'Attrition Modeling'!$C:$C,$D113,'Attrition Modeling'!$B:$B,T$76),VLOOKUP($F113+T$77,$A$7:$C$107,2,FALSE)*VLOOKUP(T$76,'Attrition Modeling'!$L$15:$N$27,IF(T$77+$F113&lt;=24,2,3),FALSE)),$C$3)*(1+IF('IP Attrition'!T170&gt;0,'Attrition Modeling'!$N$9,0)))</f>
        <v>0</v>
      </c>
      <c r="U113" s="799">
        <f>T113*(1-IFERROR(IF(U$77+$F113&lt;=12,SUMIFS('Attrition Modeling'!$D:$D,'Attrition Modeling'!$C:$C,$D113,'Attrition Modeling'!$B:$B,U$76),VLOOKUP($F113+U$77,$A$7:$C$107,2,FALSE)*VLOOKUP(U$76,'Attrition Modeling'!$L$15:$N$27,IF(U$77+$F113&lt;=24,2,3),FALSE)),$C$3)*(1+IF('IP Attrition'!U170&gt;0,'Attrition Modeling'!$N$9,0)))</f>
        <v>0</v>
      </c>
      <c r="V113" s="799">
        <f>U113*(1-IFERROR(IF(V$77+$F113&lt;=12,SUMIFS('Attrition Modeling'!$D:$D,'Attrition Modeling'!$C:$C,$D113,'Attrition Modeling'!$B:$B,V$76),VLOOKUP($F113+V$77,$A$7:$C$107,2,FALSE)*VLOOKUP(V$76,'Attrition Modeling'!$L$15:$N$27,IF(V$77+$F113&lt;=24,2,3),FALSE)),$C$3)*(1+IF('IP Attrition'!V170&gt;0,'Attrition Modeling'!$N$9,0)))</f>
        <v>0</v>
      </c>
      <c r="W113" s="799">
        <f>V113*(1-IFERROR(IF(W$77+$F113&lt;=12,SUMIFS('Attrition Modeling'!$D:$D,'Attrition Modeling'!$C:$C,$D113,'Attrition Modeling'!$B:$B,W$76),VLOOKUP($F113+W$77,$A$7:$C$107,2,FALSE)*VLOOKUP(W$76,'Attrition Modeling'!$L$15:$N$27,IF(W$77+$F113&lt;=24,2,3),FALSE)),$C$3)*(1+IF('IP Attrition'!W170&gt;0,'Attrition Modeling'!$N$9,0)))</f>
        <v>0</v>
      </c>
      <c r="X113" s="799">
        <f>W113*(1-IFERROR(IF(X$77+$F113&lt;=12,SUMIFS('Attrition Modeling'!$D:$D,'Attrition Modeling'!$C:$C,$D113,'Attrition Modeling'!$B:$B,X$76),VLOOKUP($F113+X$77,$A$7:$C$107,2,FALSE)*VLOOKUP(X$76,'Attrition Modeling'!$L$15:$N$27,IF(X$77+$F113&lt;=24,2,3),FALSE)),$C$3)*(1+IF('IP Attrition'!X170&gt;0,'Attrition Modeling'!$N$9,0)))</f>
        <v>0</v>
      </c>
      <c r="Y113" s="799">
        <f>X113*(1-IFERROR(IF(Y$77+$F113&lt;=12,SUMIFS('Attrition Modeling'!$D:$D,'Attrition Modeling'!$C:$C,$D113,'Attrition Modeling'!$B:$B,Y$76),VLOOKUP($F113+Y$77,$A$7:$C$107,2,FALSE)*VLOOKUP(Y$76,'Attrition Modeling'!$L$15:$N$27,IF(Y$77+$F113&lt;=24,2,3),FALSE)),$C$3)*(1+IF('IP Attrition'!Y170&gt;0,'Attrition Modeling'!$N$9,0)))</f>
        <v>0</v>
      </c>
      <c r="Z113" s="799">
        <f>Y113*(1-IFERROR(IF(Z$77+$F113&lt;=12,SUMIFS('Attrition Modeling'!$D:$D,'Attrition Modeling'!$C:$C,$D113,'Attrition Modeling'!$B:$B,Z$76),VLOOKUP($F113+Z$77,$A$7:$C$107,2,FALSE)*VLOOKUP(Z$76,'Attrition Modeling'!$L$15:$N$27,IF(Z$77+$F113&lt;=24,2,3),FALSE)),$C$3)*(1+IF('IP Attrition'!Z170&gt;0,'Attrition Modeling'!$N$9,0)))</f>
        <v>0</v>
      </c>
      <c r="AA113" s="799">
        <f>Z113*(1-IFERROR(IF(AA$77+$F113&lt;=12,SUMIFS('Attrition Modeling'!$D:$D,'Attrition Modeling'!$C:$C,$D113,'Attrition Modeling'!$B:$B,AA$76),VLOOKUP($F113+AA$77,$A$7:$C$107,2,FALSE)*VLOOKUP(AA$76,'Attrition Modeling'!$L$15:$N$27,IF(AA$77+$F113&lt;=24,2,3),FALSE)),$C$3)*(1+IF('IP Attrition'!AA170&gt;0,'Attrition Modeling'!$N$9,0)))</f>
        <v>0</v>
      </c>
      <c r="AB113" s="799">
        <f>AA113*(1-IFERROR(IF(AB$77+$F113&lt;=12,SUMIFS('Attrition Modeling'!$D:$D,'Attrition Modeling'!$C:$C,$D113,'Attrition Modeling'!$B:$B,AB$76),VLOOKUP($F113+AB$77,$A$7:$C$107,2,FALSE)*VLOOKUP(AB$76,'Attrition Modeling'!$L$15:$N$27,IF(AB$77+$F113&lt;=24,2,3),FALSE)),$C$3)*(1+IF('IP Attrition'!AB170&gt;0,'Attrition Modeling'!$N$9,0)))</f>
        <v>0</v>
      </c>
      <c r="AC113" s="799">
        <f>AB113*(1-IFERROR(IF(AC$77+$F113&lt;=12,SUMIFS('Attrition Modeling'!$D:$D,'Attrition Modeling'!$C:$C,$D113,'Attrition Modeling'!$B:$B,AC$76),VLOOKUP($F113+AC$77,$A$7:$C$107,2,FALSE)*VLOOKUP(AC$76,'Attrition Modeling'!$L$15:$N$27,IF(AC$77+$F113&lt;=24,2,3),FALSE)),$C$3)*(1+IF('IP Attrition'!AC170&gt;0,'Attrition Modeling'!$N$9,0)))</f>
        <v>0</v>
      </c>
      <c r="AD113" s="799">
        <f>AC113*(1-IFERROR(IF(AD$77+$F113&lt;=12,SUMIFS('Attrition Modeling'!$D:$D,'Attrition Modeling'!$C:$C,$D113,'Attrition Modeling'!$B:$B,AD$76),VLOOKUP($F113+AD$77,$A$7:$C$107,2,FALSE)*VLOOKUP(AD$76,'Attrition Modeling'!$L$15:$N$27,IF(AD$77+$F113&lt;=24,2,3),FALSE)),$C$3)*(1+IF('IP Attrition'!AD170&gt;0,'Attrition Modeling'!$N$9,0)))</f>
        <v>0</v>
      </c>
      <c r="AE113" s="799">
        <f>AD113*(1-IFERROR(IF(AE$77+$F113&lt;=12,SUMIFS('Attrition Modeling'!$D:$D,'Attrition Modeling'!$C:$C,$D113,'Attrition Modeling'!$B:$B,AE$76),VLOOKUP($F113+AE$77,$A$7:$C$107,2,FALSE)*VLOOKUP(AE$76,'Attrition Modeling'!$L$15:$N$27,IF(AE$77+$F113&lt;=24,2,3),FALSE)),$C$3)*(1+IF('IP Attrition'!AE170&gt;0,'Attrition Modeling'!$N$9,0)))</f>
        <v>0</v>
      </c>
      <c r="AF113" s="799">
        <f>AE113*(1-IFERROR(IF(AF$77+$F113&lt;=12,SUMIFS('Attrition Modeling'!$D:$D,'Attrition Modeling'!$C:$C,$D113,'Attrition Modeling'!$B:$B,AF$76),VLOOKUP($F113+AF$77,$A$7:$C$107,2,FALSE)*VLOOKUP(AF$76,'Attrition Modeling'!$L$15:$N$27,IF(AF$77+$F113&lt;=24,2,3),FALSE)),$C$3)*(1+IF('IP Attrition'!AF170&gt;0,'Attrition Modeling'!$N$9,0)))</f>
        <v>0</v>
      </c>
      <c r="AG113" s="799">
        <f>AF113*(1-IFERROR(IF(AG$77+$F113&lt;=12,SUMIFS('Attrition Modeling'!$D:$D,'Attrition Modeling'!$C:$C,$D113,'Attrition Modeling'!$B:$B,AG$76),VLOOKUP($F113+AG$77,$A$7:$C$107,2,FALSE)*VLOOKUP(AG$76,'Attrition Modeling'!$L$15:$N$27,IF(AG$77+$F113&lt;=24,2,3),FALSE)),$C$3)*(1+IF('IP Attrition'!AG170&gt;0,'Attrition Modeling'!$N$9,0)))</f>
        <v>0</v>
      </c>
      <c r="AH113" s="799">
        <f>AG113*(1-IFERROR(IF(AH$77+$F113&lt;=12,SUMIFS('Attrition Modeling'!$D:$D,'Attrition Modeling'!$C:$C,$D113,'Attrition Modeling'!$B:$B,AH$76),VLOOKUP($F113+AH$77,$A$7:$C$107,2,FALSE)*VLOOKUP(AH$76,'Attrition Modeling'!$L$15:$N$27,IF(AH$77+$F113&lt;=24,2,3),FALSE)),$C$3)*(1+IF('IP Attrition'!AH170&gt;0,'Attrition Modeling'!$N$9,0)))</f>
        <v>0</v>
      </c>
      <c r="AI113" s="799">
        <f>AH113*(1-IFERROR(IF(AI$77+$F113&lt;=12,SUMIFS('Attrition Modeling'!$D:$D,'Attrition Modeling'!$C:$C,$D113,'Attrition Modeling'!$B:$B,AI$76),VLOOKUP($F113+AI$77,$A$7:$C$107,2,FALSE)*VLOOKUP(AI$76,'Attrition Modeling'!$L$15:$N$27,IF(AI$77+$F113&lt;=24,2,3),FALSE)),$C$3)*(1+IF('IP Attrition'!AI170&gt;0,'Attrition Modeling'!$N$9,0)))</f>
        <v>0</v>
      </c>
      <c r="AJ113" s="799">
        <f>AI113*(1-IFERROR(IF(AJ$77+$F113&lt;=12,SUMIFS('Attrition Modeling'!$D:$D,'Attrition Modeling'!$C:$C,$D113,'Attrition Modeling'!$B:$B,AJ$76),VLOOKUP($F113+AJ$77,$A$7:$C$107,2,FALSE)*VLOOKUP(AJ$76,'Attrition Modeling'!$L$15:$N$27,IF(AJ$77+$F113&lt;=24,2,3),FALSE)),$C$3)*(1+IF('IP Attrition'!AJ170&gt;0,'Attrition Modeling'!$N$9,0)))</f>
        <v>0</v>
      </c>
      <c r="AK113" s="799">
        <f>AJ113*(1-IFERROR(IF(AK$77+$F113&lt;=12,SUMIFS('Attrition Modeling'!$D:$D,'Attrition Modeling'!$C:$C,$D113,'Attrition Modeling'!$B:$B,AK$76),VLOOKUP($F113+AK$77,$A$7:$C$107,2,FALSE)*VLOOKUP(AK$76,'Attrition Modeling'!$L$15:$N$27,IF(AK$77+$F113&lt;=24,2,3),FALSE)),$C$3)*(1+IF('IP Attrition'!AK170&gt;0,'Attrition Modeling'!$N$9,0)))</f>
        <v>0</v>
      </c>
      <c r="AL113" s="799">
        <f>AK113*(1-IFERROR(IF(AL$77+$F113&lt;=12,SUMIFS('Attrition Modeling'!$D:$D,'Attrition Modeling'!$C:$C,$D113,'Attrition Modeling'!$B:$B,AL$76),VLOOKUP($F113+AL$77,$A$7:$C$107,2,FALSE)*VLOOKUP(AL$76,'Attrition Modeling'!$L$15:$N$27,IF(AL$77+$F113&lt;=24,2,3),FALSE)),$C$3)*(1+IF('IP Attrition'!AL170&gt;0,'Attrition Modeling'!$N$9,0)))</f>
        <v>0</v>
      </c>
      <c r="AM113" s="799">
        <f>AL113*(1-IFERROR(IF(AM$77+$F113&lt;=12,SUMIFS('Attrition Modeling'!$D:$D,'Attrition Modeling'!$C:$C,$D113,'Attrition Modeling'!$B:$B,AM$76),VLOOKUP($F113+AM$77,$A$7:$C$107,2,FALSE)*VLOOKUP(AM$76,'Attrition Modeling'!$L$15:$N$27,IF(AM$77+$F113&lt;=24,2,3),FALSE)),$C$3)*(1+IF('IP Attrition'!AM170&gt;0,'Attrition Modeling'!$N$9,0)))</f>
        <v>0</v>
      </c>
      <c r="AN113" s="799">
        <f>AM113*(1-IFERROR(IF(AN$77+$F113&lt;=12,SUMIFS('Attrition Modeling'!$D:$D,'Attrition Modeling'!$C:$C,$D113,'Attrition Modeling'!$B:$B,AN$76),VLOOKUP($F113+AN$77,$A$7:$C$107,2,FALSE)*VLOOKUP(AN$76,'Attrition Modeling'!$L$15:$N$27,IF(AN$77+$F113&lt;=24,2,3),FALSE)),$C$3)*(1+IF('IP Attrition'!AN170&gt;0,'Attrition Modeling'!$N$9,0)))</f>
        <v>0</v>
      </c>
      <c r="AO113" s="799">
        <f>AN113*(1-IFERROR(IF(AO$77+$F113&lt;=12,SUMIFS('Attrition Modeling'!$D:$D,'Attrition Modeling'!$C:$C,$D113,'Attrition Modeling'!$B:$B,AO$76),VLOOKUP($F113+AO$77,$A$7:$C$107,2,FALSE)*VLOOKUP(AO$76,'Attrition Modeling'!$L$15:$N$27,IF(AO$77+$F113&lt;=24,2,3),FALSE)),$C$3)*(1+IF('IP Attrition'!AO170&gt;0,'Attrition Modeling'!$N$9,0)))</f>
        <v>0</v>
      </c>
      <c r="AP113" s="799">
        <f>AO113*(1-IFERROR(IF(AP$77+$F113&lt;=12,SUMIFS('Attrition Modeling'!$D:$D,'Attrition Modeling'!$C:$C,$D113,'Attrition Modeling'!$B:$B,AP$76),VLOOKUP($F113+AP$77,$A$7:$C$107,2,FALSE)*VLOOKUP(AP$76,'Attrition Modeling'!$L$15:$N$27,IF(AP$77+$F113&lt;=24,2,3),FALSE)),$C$3)*(1+IF('IP Attrition'!AP170&gt;0,'Attrition Modeling'!$N$9,0)))</f>
        <v>0</v>
      </c>
      <c r="AQ113" s="799">
        <f>AP113*(1-IFERROR(IF(AQ$77+$F113&lt;=12,SUMIFS('Attrition Modeling'!$D:$D,'Attrition Modeling'!$C:$C,$D113,'Attrition Modeling'!$B:$B,AQ$76),VLOOKUP($F113+AQ$77,$A$7:$C$107,2,FALSE)*VLOOKUP(AQ$76,'Attrition Modeling'!$L$15:$N$27,IF(AQ$77+$F113&lt;=24,2,3),FALSE)),$C$3)*(1+IF('IP Attrition'!AQ170&gt;0,'Attrition Modeling'!$N$9,0)))</f>
        <v>0</v>
      </c>
      <c r="AR113" s="799">
        <f>AQ113*(1-IFERROR(IF(AR$77+$F113&lt;=12,SUMIFS('Attrition Modeling'!$D:$D,'Attrition Modeling'!$C:$C,$D113,'Attrition Modeling'!$B:$B,AR$76),VLOOKUP($F113+AR$77,$A$7:$C$107,2,FALSE)*VLOOKUP(AR$76,'Attrition Modeling'!$L$15:$N$27,IF(AR$77+$F113&lt;=24,2,3),FALSE)),$C$3)*(1+IF('IP Attrition'!AR170&gt;0,'Attrition Modeling'!$N$9,0)))</f>
        <v>0</v>
      </c>
      <c r="AS113" s="799">
        <f>AR113*(1-IFERROR(IF(AS$77+$F113&lt;=12,SUMIFS('Attrition Modeling'!$D:$D,'Attrition Modeling'!$C:$C,$D113,'Attrition Modeling'!$B:$B,AS$76),VLOOKUP($F113+AS$77,$A$7:$C$107,2,FALSE)*VLOOKUP(AS$76,'Attrition Modeling'!$L$15:$N$27,IF(AS$77+$F113&lt;=24,2,3),FALSE)),$C$3)*(1+IF('IP Attrition'!AS170&gt;0,'Attrition Modeling'!$N$9,0)))</f>
        <v>0</v>
      </c>
      <c r="AT113" s="799">
        <f>AS113*(1-IFERROR(IF(AT$77+$F113&lt;=12,SUMIFS('Attrition Modeling'!$D:$D,'Attrition Modeling'!$C:$C,$D113,'Attrition Modeling'!$B:$B,AT$76),VLOOKUP($F113+AT$77,$A$7:$C$107,2,FALSE)*VLOOKUP(AT$76,'Attrition Modeling'!$L$15:$N$27,IF(AT$77+$F113&lt;=24,2,3),FALSE)),$C$3)*(1+IF('IP Attrition'!AT170&gt;0,'Attrition Modeling'!$N$9,0)))</f>
        <v>0</v>
      </c>
      <c r="AU113" s="799">
        <f>AT113*(1-IFERROR(IF(AU$77+$F113&lt;=12,SUMIFS('Attrition Modeling'!$D:$D,'Attrition Modeling'!$C:$C,$D113,'Attrition Modeling'!$B:$B,AU$76),VLOOKUP($F113+AU$77,$A$7:$C$107,2,FALSE)*VLOOKUP(AU$76,'Attrition Modeling'!$L$15:$N$27,IF(AU$77+$F113&lt;=24,2,3),FALSE)),$C$3)*(1+IF('IP Attrition'!AU170&gt;0,'Attrition Modeling'!$N$9,0)))</f>
        <v>0</v>
      </c>
      <c r="AV113" s="799">
        <f>AU113*(1-IFERROR(IF(AV$77+$F113&lt;=12,SUMIFS('Attrition Modeling'!$D:$D,'Attrition Modeling'!$C:$C,$D113,'Attrition Modeling'!$B:$B,AV$76),VLOOKUP($F113+AV$77,$A$7:$C$107,2,FALSE)*VLOOKUP(AV$76,'Attrition Modeling'!$L$15:$N$27,IF(AV$77+$F113&lt;=24,2,3),FALSE)),$C$3)*(1+IF('IP Attrition'!AV170&gt;0,'Attrition Modeling'!$N$9,0)))</f>
        <v>0</v>
      </c>
      <c r="AW113" s="799">
        <f>AV113*(1-IFERROR(IF(AW$77+$F113&lt;=12,SUMIFS('Attrition Modeling'!$D:$D,'Attrition Modeling'!$C:$C,$D113,'Attrition Modeling'!$B:$B,AW$76),VLOOKUP($F113+AW$77,$A$7:$C$107,2,FALSE)*VLOOKUP(AW$76,'Attrition Modeling'!$L$15:$N$27,IF(AW$77+$F113&lt;=24,2,3),FALSE)),$C$3)*(1+IF('IP Attrition'!AW170&gt;0,'Attrition Modeling'!$N$9,0)))</f>
        <v>0</v>
      </c>
      <c r="AX113" s="799">
        <f>AW113*(1-IFERROR(IF(AX$77+$F113&lt;=12,SUMIFS('Attrition Modeling'!$D:$D,'Attrition Modeling'!$C:$C,$D113,'Attrition Modeling'!$B:$B,AX$76),VLOOKUP($F113+AX$77,$A$7:$C$107,2,FALSE)*VLOOKUP(AX$76,'Attrition Modeling'!$L$15:$N$27,IF(AX$77+$F113&lt;=24,2,3),FALSE)),$C$3)*(1+IF('IP Attrition'!AX170&gt;0,'Attrition Modeling'!$N$9,0)))</f>
        <v>0</v>
      </c>
      <c r="AY113" s="799">
        <f>AX113*(1-IFERROR(IF(AY$77+$F113&lt;=12,SUMIFS('Attrition Modeling'!$D:$D,'Attrition Modeling'!$C:$C,$D113,'Attrition Modeling'!$B:$B,AY$76),VLOOKUP($F113+AY$77,$A$7:$C$107,2,FALSE)*VLOOKUP(AY$76,'Attrition Modeling'!$L$15:$N$27,IF(AY$77+$F113&lt;=24,2,3),FALSE)),$C$3)*(1+IF('IP Attrition'!AY170&gt;0,'Attrition Modeling'!$N$9,0)))</f>
        <v>0</v>
      </c>
      <c r="AZ113" s="799">
        <f>AY113*(1-IFERROR(IF(AZ$77+$F113&lt;=12,SUMIFS('Attrition Modeling'!$D:$D,'Attrition Modeling'!$C:$C,$D113,'Attrition Modeling'!$B:$B,AZ$76),VLOOKUP($F113+AZ$77,$A$7:$C$107,2,FALSE)*VLOOKUP(AZ$76,'Attrition Modeling'!$L$15:$N$27,IF(AZ$77+$F113&lt;=24,2,3),FALSE)),$C$3)*(1+IF('IP Attrition'!AZ170&gt;0,'Attrition Modeling'!$N$9,0)))</f>
        <v>0</v>
      </c>
      <c r="BA113" s="799">
        <f>AZ113*(1-IFERROR(IF(BA$77+$F113&lt;=12,SUMIFS('Attrition Modeling'!$D:$D,'Attrition Modeling'!$C:$C,$D113,'Attrition Modeling'!$B:$B,BA$76),VLOOKUP($F113+BA$77,$A$7:$C$107,2,FALSE)*VLOOKUP(BA$76,'Attrition Modeling'!$L$15:$N$27,IF(BA$77+$F113&lt;=24,2,3),FALSE)),$C$3)*(1+IF('IP Attrition'!BA170&gt;0,'Attrition Modeling'!$N$9,0)))</f>
        <v>0</v>
      </c>
      <c r="BB113" s="799">
        <f>BA113*(1-IFERROR(IF(BB$77+$F113&lt;=12,SUMIFS('Attrition Modeling'!$D:$D,'Attrition Modeling'!$C:$C,$D113,'Attrition Modeling'!$B:$B,BB$76),VLOOKUP($F113+BB$77,$A$7:$C$107,2,FALSE)*VLOOKUP(BB$76,'Attrition Modeling'!$L$15:$N$27,IF(BB$77+$F113&lt;=24,2,3),FALSE)),$C$3)*(1+IF('IP Attrition'!BB170&gt;0,'Attrition Modeling'!$N$9,0)))</f>
        <v>0</v>
      </c>
      <c r="BC113" s="799">
        <f>BB113*(1-IFERROR(IF(BC$77+$F113&lt;=12,SUMIFS('Attrition Modeling'!$D:$D,'Attrition Modeling'!$C:$C,$D113,'Attrition Modeling'!$B:$B,BC$76),VLOOKUP($F113+BC$77,$A$7:$C$107,2,FALSE)*VLOOKUP(BC$76,'Attrition Modeling'!$L$15:$N$27,IF(BC$77+$F113&lt;=24,2,3),FALSE)),$C$3)*(1+IF('IP Attrition'!BC170&gt;0,'Attrition Modeling'!$N$9,0)))</f>
        <v>0</v>
      </c>
      <c r="BD113" s="799">
        <f>BC113*(1-IFERROR(IF(BD$77+$F113&lt;=12,SUMIFS('Attrition Modeling'!$D:$D,'Attrition Modeling'!$C:$C,$D113,'Attrition Modeling'!$B:$B,BD$76),VLOOKUP($F113+BD$77,$A$7:$C$107,2,FALSE)*VLOOKUP(BD$76,'Attrition Modeling'!$L$15:$N$27,IF(BD$77+$F113&lt;=24,2,3),FALSE)),$C$3)*(1+IF('IP Attrition'!BD170&gt;0,'Attrition Modeling'!$N$9,0)))</f>
        <v>0</v>
      </c>
      <c r="BE113" s="799">
        <f>BD113*(1-IFERROR(IF(BE$77+$F113&lt;=12,SUMIFS('Attrition Modeling'!$D:$D,'Attrition Modeling'!$C:$C,$D113,'Attrition Modeling'!$B:$B,BE$76),VLOOKUP($F113+BE$77,$A$7:$C$107,2,FALSE)*VLOOKUP(BE$76,'Attrition Modeling'!$L$15:$N$27,IF(BE$77+$F113&lt;=24,2,3),FALSE)),$C$3)*(1+IF('IP Attrition'!BE170&gt;0,'Attrition Modeling'!$N$9,0)))</f>
        <v>0</v>
      </c>
      <c r="BF113" s="799">
        <f>BE113*(1-IFERROR(IF(BF$77+$F113&lt;=12,SUMIFS('Attrition Modeling'!$D:$D,'Attrition Modeling'!$C:$C,$D113,'Attrition Modeling'!$B:$B,BF$76),VLOOKUP($F113+BF$77,$A$7:$C$107,2,FALSE)*VLOOKUP(BF$76,'Attrition Modeling'!$L$15:$N$27,IF(BF$77+$F113&lt;=24,2,3),FALSE)),$C$3)*(1+IF('IP Attrition'!BF170&gt;0,'Attrition Modeling'!$N$9,0)))</f>
        <v>0</v>
      </c>
      <c r="BG113" s="799">
        <f>BF113*(1-IFERROR(IF(BG$77+$F113&lt;=12,SUMIFS('Attrition Modeling'!$D:$D,'Attrition Modeling'!$C:$C,$D113,'Attrition Modeling'!$B:$B,BG$76),VLOOKUP($F113+BG$77,$A$7:$C$107,2,FALSE)*VLOOKUP(BG$76,'Attrition Modeling'!$L$15:$N$27,IF(BG$77+$F113&lt;=24,2,3),FALSE)),$C$3)*(1+IF('IP Attrition'!BG170&gt;0,'Attrition Modeling'!$N$9,0)))</f>
        <v>0</v>
      </c>
      <c r="BH113" s="799">
        <f>BG113*(1-IFERROR(IF(BH$77+$F113&lt;=12,SUMIFS('Attrition Modeling'!$D:$D,'Attrition Modeling'!$C:$C,$D113,'Attrition Modeling'!$B:$B,BH$76),VLOOKUP($F113+BH$77,$A$7:$C$107,2,FALSE)*VLOOKUP(BH$76,'Attrition Modeling'!$L$15:$N$27,IF(BH$77+$F113&lt;=24,2,3),FALSE)),$C$3)*(1+IF('IP Attrition'!BH170&gt;0,'Attrition Modeling'!$N$9,0)))</f>
        <v>0</v>
      </c>
      <c r="BI113" s="799">
        <f>BH113*(1-IFERROR(IF(BI$77+$F113&lt;=12,SUMIFS('Attrition Modeling'!$D:$D,'Attrition Modeling'!$C:$C,$D113,'Attrition Modeling'!$B:$B,BI$76),VLOOKUP($F113+BI$77,$A$7:$C$107,2,FALSE)*VLOOKUP(BI$76,'Attrition Modeling'!$L$15:$N$27,IF(BI$77+$F113&lt;=24,2,3),FALSE)),$C$3)*(1+IF('IP Attrition'!BI170&gt;0,'Attrition Modeling'!$N$9,0)))</f>
        <v>0</v>
      </c>
      <c r="BJ113" s="799">
        <f>BI113*(1-IFERROR(IF(BJ$77+$F113&lt;=12,SUMIFS('Attrition Modeling'!$D:$D,'Attrition Modeling'!$C:$C,$D113,'Attrition Modeling'!$B:$B,BJ$76),VLOOKUP($F113+BJ$77,$A$7:$C$107,2,FALSE)*VLOOKUP(BJ$76,'Attrition Modeling'!$L$15:$N$27,IF(BJ$77+$F113&lt;=24,2,3),FALSE)),$C$3)*(1+IF('IP Attrition'!BJ170&gt;0,'Attrition Modeling'!$N$9,0)))</f>
        <v>0</v>
      </c>
      <c r="BK113" s="799">
        <f>BJ113*(1-IFERROR(IF(BK$77+$F113&lt;=12,SUMIFS('Attrition Modeling'!$D:$D,'Attrition Modeling'!$C:$C,$D113,'Attrition Modeling'!$B:$B,BK$76),VLOOKUP($F113+BK$77,$A$7:$C$107,2,FALSE)*VLOOKUP(BK$76,'Attrition Modeling'!$L$15:$N$27,IF(BK$77+$F113&lt;=24,2,3),FALSE)),$C$3)*(1+IF('IP Attrition'!BK170&gt;0,'Attrition Modeling'!$N$9,0)))</f>
        <v>0</v>
      </c>
      <c r="BL113" s="799">
        <f>BK113*(1-IFERROR(IF(BL$77+$F113&lt;=12,SUMIFS('Attrition Modeling'!$D:$D,'Attrition Modeling'!$C:$C,$D113,'Attrition Modeling'!$B:$B,BL$76),VLOOKUP($F113+BL$77,$A$7:$C$107,2,FALSE)*VLOOKUP(BL$76,'Attrition Modeling'!$L$15:$N$27,IF(BL$77+$F113&lt;=24,2,3),FALSE)),$C$3)*(1+IF('IP Attrition'!BL170&gt;0,'Attrition Modeling'!$N$9,0)))</f>
        <v>0</v>
      </c>
      <c r="BM113" s="799">
        <f>BL113*(1-IFERROR(IF(BM$77+$F113&lt;=12,SUMIFS('Attrition Modeling'!$D:$D,'Attrition Modeling'!$C:$C,$D113,'Attrition Modeling'!$B:$B,BM$76),VLOOKUP($F113+BM$77,$A$7:$C$107,2,FALSE)*VLOOKUP(BM$76,'Attrition Modeling'!$L$15:$N$27,IF(BM$77+$F113&lt;=24,2,3),FALSE)),$C$3)*(1+IF('IP Attrition'!BM170&gt;0,'Attrition Modeling'!$N$9,0)))</f>
        <v>0</v>
      </c>
      <c r="BN113" s="799">
        <f>BM113*(1-IFERROR(IF(BN$77+$F113&lt;=12,SUMIFS('Attrition Modeling'!$D:$D,'Attrition Modeling'!$C:$C,$D113,'Attrition Modeling'!$B:$B,BN$76),VLOOKUP($F113+BN$77,$A$7:$C$107,2,FALSE)*VLOOKUP(BN$76,'Attrition Modeling'!$L$15:$N$27,IF(BN$77+$F113&lt;=24,2,3),FALSE)),$C$3)*(1+IF('IP Attrition'!BN170&gt;0,'Attrition Modeling'!$N$9,0)))</f>
        <v>0</v>
      </c>
      <c r="BO113" s="799">
        <f>BN113*(1-IFERROR(IF(BO$77+$F113&lt;=12,SUMIFS('Attrition Modeling'!$D:$D,'Attrition Modeling'!$C:$C,$D113,'Attrition Modeling'!$B:$B,BO$76),VLOOKUP($F113+BO$77,$A$7:$C$107,2,FALSE)*VLOOKUP(BO$76,'Attrition Modeling'!$L$15:$N$27,IF(BO$77+$F113&lt;=24,2,3),FALSE)),$C$3)*(1+IF('IP Attrition'!BO170&gt;0,'Attrition Modeling'!$N$9,0)))</f>
        <v>0</v>
      </c>
      <c r="BP113" s="799">
        <f>BO113*(1-IFERROR(IF(BP$77+$F113&lt;=12,SUMIFS('Attrition Modeling'!$D:$D,'Attrition Modeling'!$C:$C,$D113,'Attrition Modeling'!$B:$B,BP$76),VLOOKUP($F113+BP$77,$A$7:$C$107,2,FALSE)*VLOOKUP(BP$76,'Attrition Modeling'!$L$15:$N$27,IF(BP$77+$F113&lt;=24,2,3),FALSE)),$C$3)*(1+IF('IP Attrition'!BP170&gt;0,'Attrition Modeling'!$N$9,0)))</f>
        <v>0</v>
      </c>
      <c r="BQ113" s="799">
        <f>BP113*(1-IFERROR(IF(BQ$77+$F113&lt;=12,SUMIFS('Attrition Modeling'!$D:$D,'Attrition Modeling'!$C:$C,$D113,'Attrition Modeling'!$B:$B,BQ$76),VLOOKUP($F113+BQ$77,$A$7:$C$107,2,FALSE)*VLOOKUP(BQ$76,'Attrition Modeling'!$L$15:$N$27,IF(BQ$77+$F113&lt;=24,2,3),FALSE)),$C$3)*(1+IF('IP Attrition'!BQ170&gt;0,'Attrition Modeling'!$N$9,0)))</f>
        <v>0</v>
      </c>
      <c r="BR113" s="799">
        <f>BQ113*(1-IFERROR(IF(BR$77+$F113&lt;=12,SUMIFS('Attrition Modeling'!$D:$D,'Attrition Modeling'!$C:$C,$D113,'Attrition Modeling'!$B:$B,BR$76),VLOOKUP($F113+BR$77,$A$7:$C$107,2,FALSE)*VLOOKUP(BR$76,'Attrition Modeling'!$L$15:$N$27,IF(BR$77+$F113&lt;=24,2,3),FALSE)),$C$3)*(1+IF('IP Attrition'!BR170&gt;0,'Attrition Modeling'!$N$9,0)))</f>
        <v>0</v>
      </c>
      <c r="BS113" s="799">
        <f>BR113*(1-IFERROR(IF(BS$77+$F113&lt;=12,SUMIFS('Attrition Modeling'!$D:$D,'Attrition Modeling'!$C:$C,$D113,'Attrition Modeling'!$B:$B,BS$76),VLOOKUP($F113+BS$77,$A$7:$C$107,2,FALSE)*VLOOKUP(BS$76,'Attrition Modeling'!$L$15:$N$27,IF(BS$77+$F113&lt;=24,2,3),FALSE)),$C$3)*(1+IF('IP Attrition'!BS170&gt;0,'Attrition Modeling'!$N$9,0)))</f>
        <v>0</v>
      </c>
      <c r="BT113" s="799" t="e">
        <f>BS113*(1-IFERROR(IF(BT$77+$F113&lt;=12,SUMIFS('Attrition Modeling'!$D:$D,'Attrition Modeling'!$C:$C,$D113,'Attrition Modeling'!$B:$B,BT$76),VLOOKUP($F113+BT$77,$A$7:$C$107,2,FALSE)*VLOOKUP(BT$76,'Attrition Modeling'!$L$15:$N$27,IF(BT$77+$F113&lt;=24,2,3),FALSE)),$C$3)*(1+IF('IP Attrition'!BT170&gt;0,'Attrition Modeling'!$N$9,0)))</f>
        <v>#REF!</v>
      </c>
      <c r="BU113" s="799" t="e">
        <f>BT113*(1-IFERROR(IF(BU$77+$F113&lt;=12,SUMIFS('Attrition Modeling'!$D:$D,'Attrition Modeling'!$C:$C,$D113,'Attrition Modeling'!$B:$B,BU$76),VLOOKUP($F113+BU$77,$A$7:$C$107,2,FALSE)*VLOOKUP(BU$76,'Attrition Modeling'!$L$15:$N$27,IF(BU$77+$F113&lt;=24,2,3),FALSE)),$C$3)*(1+IF('IP Attrition'!BU170&gt;0,'Attrition Modeling'!$N$9,0)))</f>
        <v>#REF!</v>
      </c>
    </row>
    <row r="114" spans="1:73" ht="14.25" customHeight="1" x14ac:dyDescent="0.2">
      <c r="A114" s="9">
        <v>106</v>
      </c>
      <c r="B114" s="25">
        <f>MAX('Attrition Modeling'!H110,$C$3)*(1-Summary!$C$20)</f>
        <v>0.02</v>
      </c>
      <c r="C114" s="24" t="e">
        <f t="shared" si="2"/>
        <v>#DIV/0!</v>
      </c>
      <c r="D114" s="11">
        <f>'IP Attrition'!D106</f>
        <v>-36</v>
      </c>
      <c r="E114" s="25">
        <f>'IP Attrition'!E106</f>
        <v>0</v>
      </c>
      <c r="F114" s="11">
        <f t="shared" si="8"/>
        <v>36</v>
      </c>
      <c r="G114" s="799">
        <f>Summary!$C$24*$E114</f>
        <v>0</v>
      </c>
      <c r="H114" s="799">
        <f>G114*(1-IFERROR(IF(H$77+$F114&lt;=12,SUMIFS('Attrition Modeling'!$D:$D,'Attrition Modeling'!$C:$C,$D114,'Attrition Modeling'!$B:$B,H$76),VLOOKUP($F114+H$77,$A$7:$C$107,2,FALSE)*VLOOKUP(H$76,'Attrition Modeling'!$L$15:$N$27,IF(H$77+$F114&lt;=24,2,3),FALSE)),$C$3)*(1+IF('IP Attrition'!H171&gt;0,'Attrition Modeling'!$N$9,0)))</f>
        <v>0</v>
      </c>
      <c r="I114" s="799">
        <f>H114*(1-IFERROR(IF(I$77+$F114&lt;=12,SUMIFS('Attrition Modeling'!$D:$D,'Attrition Modeling'!$C:$C,$D114,'Attrition Modeling'!$B:$B,I$76),VLOOKUP($F114+I$77,$A$7:$C$107,2,FALSE)*VLOOKUP(I$76,'Attrition Modeling'!$L$15:$N$27,IF(I$77+$F114&lt;=24,2,3),FALSE)),$C$3)*(1+IF('IP Attrition'!I171&gt;0,'Attrition Modeling'!$N$9,0)))</f>
        <v>0</v>
      </c>
      <c r="J114" s="799">
        <f>I114*(1-IFERROR(IF(J$77+$F114&lt;=12,SUMIFS('Attrition Modeling'!$D:$D,'Attrition Modeling'!$C:$C,$D114,'Attrition Modeling'!$B:$B,J$76),VLOOKUP($F114+J$77,$A$7:$C$107,2,FALSE)*VLOOKUP(J$76,'Attrition Modeling'!$L$15:$N$27,IF(J$77+$F114&lt;=24,2,3),FALSE)),$C$3)*(1+IF('IP Attrition'!J171&gt;0,'Attrition Modeling'!$N$9,0)))</f>
        <v>0</v>
      </c>
      <c r="K114" s="799">
        <f>J114*(1-IFERROR(IF(K$77+$F114&lt;=12,SUMIFS('Attrition Modeling'!$D:$D,'Attrition Modeling'!$C:$C,$D114,'Attrition Modeling'!$B:$B,K$76),VLOOKUP($F114+K$77,$A$7:$C$107,2,FALSE)*VLOOKUP(K$76,'Attrition Modeling'!$L$15:$N$27,IF(K$77+$F114&lt;=24,2,3),FALSE)),$C$3)*(1+IF('IP Attrition'!K171&gt;0,'Attrition Modeling'!$N$9,0)))</f>
        <v>0</v>
      </c>
      <c r="L114" s="799">
        <f>K114*(1-IFERROR(IF(L$77+$F114&lt;=12,SUMIFS('Attrition Modeling'!$D:$D,'Attrition Modeling'!$C:$C,$D114,'Attrition Modeling'!$B:$B,L$76),VLOOKUP($F114+L$77,$A$7:$C$107,2,FALSE)*VLOOKUP(L$76,'Attrition Modeling'!$L$15:$N$27,IF(L$77+$F114&lt;=24,2,3),FALSE)),$C$3)*(1+IF('IP Attrition'!L171&gt;0,'Attrition Modeling'!$N$9,0)))</f>
        <v>0</v>
      </c>
      <c r="M114" s="799">
        <f>L114*(1-IFERROR(IF(M$77+$F114&lt;=12,SUMIFS('Attrition Modeling'!$D:$D,'Attrition Modeling'!$C:$C,$D114,'Attrition Modeling'!$B:$B,M$76),VLOOKUP($F114+M$77,$A$7:$C$107,2,FALSE)*VLOOKUP(M$76,'Attrition Modeling'!$L$15:$N$27,IF(M$77+$F114&lt;=24,2,3),FALSE)),$C$3)*(1+IF('IP Attrition'!M171&gt;0,'Attrition Modeling'!$N$9,0)))</f>
        <v>0</v>
      </c>
      <c r="N114" s="799">
        <f>M114*(1-IFERROR(IF(N$77+$F114&lt;=12,SUMIFS('Attrition Modeling'!$D:$D,'Attrition Modeling'!$C:$C,$D114,'Attrition Modeling'!$B:$B,N$76),VLOOKUP($F114+N$77,$A$7:$C$107,2,FALSE)*VLOOKUP(N$76,'Attrition Modeling'!$L$15:$N$27,IF(N$77+$F114&lt;=24,2,3),FALSE)),$C$3)*(1+IF('IP Attrition'!N171&gt;0,'Attrition Modeling'!$N$9,0)))</f>
        <v>0</v>
      </c>
      <c r="O114" s="799">
        <f>N114*(1-IFERROR(IF(O$77+$F114&lt;=12,SUMIFS('Attrition Modeling'!$D:$D,'Attrition Modeling'!$C:$C,$D114,'Attrition Modeling'!$B:$B,O$76),VLOOKUP($F114+O$77,$A$7:$C$107,2,FALSE)*VLOOKUP(O$76,'Attrition Modeling'!$L$15:$N$27,IF(O$77+$F114&lt;=24,2,3),FALSE)),$C$3)*(1+IF('IP Attrition'!O171&gt;0,'Attrition Modeling'!$N$9,0)))</f>
        <v>0</v>
      </c>
      <c r="P114" s="799">
        <f>O114*(1-IFERROR(IF(P$77+$F114&lt;=12,SUMIFS('Attrition Modeling'!$D:$D,'Attrition Modeling'!$C:$C,$D114,'Attrition Modeling'!$B:$B,P$76),VLOOKUP($F114+P$77,$A$7:$C$107,2,FALSE)*VLOOKUP(P$76,'Attrition Modeling'!$L$15:$N$27,IF(P$77+$F114&lt;=24,2,3),FALSE)),$C$3)*(1+IF('IP Attrition'!P171&gt;0,'Attrition Modeling'!$N$9,0)))</f>
        <v>0</v>
      </c>
      <c r="Q114" s="799">
        <f>P114*(1-IFERROR(IF(Q$77+$F114&lt;=12,SUMIFS('Attrition Modeling'!$D:$D,'Attrition Modeling'!$C:$C,$D114,'Attrition Modeling'!$B:$B,Q$76),VLOOKUP($F114+Q$77,$A$7:$C$107,2,FALSE)*VLOOKUP(Q$76,'Attrition Modeling'!$L$15:$N$27,IF(Q$77+$F114&lt;=24,2,3),FALSE)),$C$3)*(1+IF('IP Attrition'!Q171&gt;0,'Attrition Modeling'!$N$9,0)))</f>
        <v>0</v>
      </c>
      <c r="R114" s="799">
        <f>Q114*(1-IFERROR(IF(R$77+$F114&lt;=12,SUMIFS('Attrition Modeling'!$D:$D,'Attrition Modeling'!$C:$C,$D114,'Attrition Modeling'!$B:$B,R$76),VLOOKUP($F114+R$77,$A$7:$C$107,2,FALSE)*VLOOKUP(R$76,'Attrition Modeling'!$L$15:$N$27,IF(R$77+$F114&lt;=24,2,3),FALSE)),$C$3)*(1+IF('IP Attrition'!R171&gt;0,'Attrition Modeling'!$N$9,0)))</f>
        <v>0</v>
      </c>
      <c r="S114" s="799">
        <f>R114*(1-IFERROR(IF(S$77+$F114&lt;=12,SUMIFS('Attrition Modeling'!$D:$D,'Attrition Modeling'!$C:$C,$D114,'Attrition Modeling'!$B:$B,S$76),VLOOKUP($F114+S$77,$A$7:$C$107,2,FALSE)*VLOOKUP(S$76,'Attrition Modeling'!$L$15:$N$27,IF(S$77+$F114&lt;=24,2,3),FALSE)),$C$3)*(1+IF('IP Attrition'!S171&gt;0,'Attrition Modeling'!$N$9,0)))</f>
        <v>0</v>
      </c>
      <c r="T114" s="799">
        <f>S114*(1-IFERROR(IF(T$77+$F114&lt;=12,SUMIFS('Attrition Modeling'!$D:$D,'Attrition Modeling'!$C:$C,$D114,'Attrition Modeling'!$B:$B,T$76),VLOOKUP($F114+T$77,$A$7:$C$107,2,FALSE)*VLOOKUP(T$76,'Attrition Modeling'!$L$15:$N$27,IF(T$77+$F114&lt;=24,2,3),FALSE)),$C$3)*(1+IF('IP Attrition'!T171&gt;0,'Attrition Modeling'!$N$9,0)))</f>
        <v>0</v>
      </c>
      <c r="U114" s="799">
        <f>T114*(1-IFERROR(IF(U$77+$F114&lt;=12,SUMIFS('Attrition Modeling'!$D:$D,'Attrition Modeling'!$C:$C,$D114,'Attrition Modeling'!$B:$B,U$76),VLOOKUP($F114+U$77,$A$7:$C$107,2,FALSE)*VLOOKUP(U$76,'Attrition Modeling'!$L$15:$N$27,IF(U$77+$F114&lt;=24,2,3),FALSE)),$C$3)*(1+IF('IP Attrition'!U171&gt;0,'Attrition Modeling'!$N$9,0)))</f>
        <v>0</v>
      </c>
      <c r="V114" s="799">
        <f>U114*(1-IFERROR(IF(V$77+$F114&lt;=12,SUMIFS('Attrition Modeling'!$D:$D,'Attrition Modeling'!$C:$C,$D114,'Attrition Modeling'!$B:$B,V$76),VLOOKUP($F114+V$77,$A$7:$C$107,2,FALSE)*VLOOKUP(V$76,'Attrition Modeling'!$L$15:$N$27,IF(V$77+$F114&lt;=24,2,3),FALSE)),$C$3)*(1+IF('IP Attrition'!V171&gt;0,'Attrition Modeling'!$N$9,0)))</f>
        <v>0</v>
      </c>
      <c r="W114" s="799">
        <f>V114*(1-IFERROR(IF(W$77+$F114&lt;=12,SUMIFS('Attrition Modeling'!$D:$D,'Attrition Modeling'!$C:$C,$D114,'Attrition Modeling'!$B:$B,W$76),VLOOKUP($F114+W$77,$A$7:$C$107,2,FALSE)*VLOOKUP(W$76,'Attrition Modeling'!$L$15:$N$27,IF(W$77+$F114&lt;=24,2,3),FALSE)),$C$3)*(1+IF('IP Attrition'!W171&gt;0,'Attrition Modeling'!$N$9,0)))</f>
        <v>0</v>
      </c>
      <c r="X114" s="799">
        <f>W114*(1-IFERROR(IF(X$77+$F114&lt;=12,SUMIFS('Attrition Modeling'!$D:$D,'Attrition Modeling'!$C:$C,$D114,'Attrition Modeling'!$B:$B,X$76),VLOOKUP($F114+X$77,$A$7:$C$107,2,FALSE)*VLOOKUP(X$76,'Attrition Modeling'!$L$15:$N$27,IF(X$77+$F114&lt;=24,2,3),FALSE)),$C$3)*(1+IF('IP Attrition'!X171&gt;0,'Attrition Modeling'!$N$9,0)))</f>
        <v>0</v>
      </c>
      <c r="Y114" s="799">
        <f>X114*(1-IFERROR(IF(Y$77+$F114&lt;=12,SUMIFS('Attrition Modeling'!$D:$D,'Attrition Modeling'!$C:$C,$D114,'Attrition Modeling'!$B:$B,Y$76),VLOOKUP($F114+Y$77,$A$7:$C$107,2,FALSE)*VLOOKUP(Y$76,'Attrition Modeling'!$L$15:$N$27,IF(Y$77+$F114&lt;=24,2,3),FALSE)),$C$3)*(1+IF('IP Attrition'!Y171&gt;0,'Attrition Modeling'!$N$9,0)))</f>
        <v>0</v>
      </c>
      <c r="Z114" s="799">
        <f>Y114*(1-IFERROR(IF(Z$77+$F114&lt;=12,SUMIFS('Attrition Modeling'!$D:$D,'Attrition Modeling'!$C:$C,$D114,'Attrition Modeling'!$B:$B,Z$76),VLOOKUP($F114+Z$77,$A$7:$C$107,2,FALSE)*VLOOKUP(Z$76,'Attrition Modeling'!$L$15:$N$27,IF(Z$77+$F114&lt;=24,2,3),FALSE)),$C$3)*(1+IF('IP Attrition'!Z171&gt;0,'Attrition Modeling'!$N$9,0)))</f>
        <v>0</v>
      </c>
      <c r="AA114" s="799">
        <f>Z114*(1-IFERROR(IF(AA$77+$F114&lt;=12,SUMIFS('Attrition Modeling'!$D:$D,'Attrition Modeling'!$C:$C,$D114,'Attrition Modeling'!$B:$B,AA$76),VLOOKUP($F114+AA$77,$A$7:$C$107,2,FALSE)*VLOOKUP(AA$76,'Attrition Modeling'!$L$15:$N$27,IF(AA$77+$F114&lt;=24,2,3),FALSE)),$C$3)*(1+IF('IP Attrition'!AA171&gt;0,'Attrition Modeling'!$N$9,0)))</f>
        <v>0</v>
      </c>
      <c r="AB114" s="799">
        <f>AA114*(1-IFERROR(IF(AB$77+$F114&lt;=12,SUMIFS('Attrition Modeling'!$D:$D,'Attrition Modeling'!$C:$C,$D114,'Attrition Modeling'!$B:$B,AB$76),VLOOKUP($F114+AB$77,$A$7:$C$107,2,FALSE)*VLOOKUP(AB$76,'Attrition Modeling'!$L$15:$N$27,IF(AB$77+$F114&lt;=24,2,3),FALSE)),$C$3)*(1+IF('IP Attrition'!AB171&gt;0,'Attrition Modeling'!$N$9,0)))</f>
        <v>0</v>
      </c>
      <c r="AC114" s="799">
        <f>AB114*(1-IFERROR(IF(AC$77+$F114&lt;=12,SUMIFS('Attrition Modeling'!$D:$D,'Attrition Modeling'!$C:$C,$D114,'Attrition Modeling'!$B:$B,AC$76),VLOOKUP($F114+AC$77,$A$7:$C$107,2,FALSE)*VLOOKUP(AC$76,'Attrition Modeling'!$L$15:$N$27,IF(AC$77+$F114&lt;=24,2,3),FALSE)),$C$3)*(1+IF('IP Attrition'!AC171&gt;0,'Attrition Modeling'!$N$9,0)))</f>
        <v>0</v>
      </c>
      <c r="AD114" s="799">
        <f>AC114*(1-IFERROR(IF(AD$77+$F114&lt;=12,SUMIFS('Attrition Modeling'!$D:$D,'Attrition Modeling'!$C:$C,$D114,'Attrition Modeling'!$B:$B,AD$76),VLOOKUP($F114+AD$77,$A$7:$C$107,2,FALSE)*VLOOKUP(AD$76,'Attrition Modeling'!$L$15:$N$27,IF(AD$77+$F114&lt;=24,2,3),FALSE)),$C$3)*(1+IF('IP Attrition'!AD171&gt;0,'Attrition Modeling'!$N$9,0)))</f>
        <v>0</v>
      </c>
      <c r="AE114" s="799">
        <f>AD114*(1-IFERROR(IF(AE$77+$F114&lt;=12,SUMIFS('Attrition Modeling'!$D:$D,'Attrition Modeling'!$C:$C,$D114,'Attrition Modeling'!$B:$B,AE$76),VLOOKUP($F114+AE$77,$A$7:$C$107,2,FALSE)*VLOOKUP(AE$76,'Attrition Modeling'!$L$15:$N$27,IF(AE$77+$F114&lt;=24,2,3),FALSE)),$C$3)*(1+IF('IP Attrition'!AE171&gt;0,'Attrition Modeling'!$N$9,0)))</f>
        <v>0</v>
      </c>
      <c r="AF114" s="799">
        <f>AE114*(1-IFERROR(IF(AF$77+$F114&lt;=12,SUMIFS('Attrition Modeling'!$D:$D,'Attrition Modeling'!$C:$C,$D114,'Attrition Modeling'!$B:$B,AF$76),VLOOKUP($F114+AF$77,$A$7:$C$107,2,FALSE)*VLOOKUP(AF$76,'Attrition Modeling'!$L$15:$N$27,IF(AF$77+$F114&lt;=24,2,3),FALSE)),$C$3)*(1+IF('IP Attrition'!AF171&gt;0,'Attrition Modeling'!$N$9,0)))</f>
        <v>0</v>
      </c>
      <c r="AG114" s="799">
        <f>AF114*(1-IFERROR(IF(AG$77+$F114&lt;=12,SUMIFS('Attrition Modeling'!$D:$D,'Attrition Modeling'!$C:$C,$D114,'Attrition Modeling'!$B:$B,AG$76),VLOOKUP($F114+AG$77,$A$7:$C$107,2,FALSE)*VLOOKUP(AG$76,'Attrition Modeling'!$L$15:$N$27,IF(AG$77+$F114&lt;=24,2,3),FALSE)),$C$3)*(1+IF('IP Attrition'!AG171&gt;0,'Attrition Modeling'!$N$9,0)))</f>
        <v>0</v>
      </c>
      <c r="AH114" s="799">
        <f>AG114*(1-IFERROR(IF(AH$77+$F114&lt;=12,SUMIFS('Attrition Modeling'!$D:$D,'Attrition Modeling'!$C:$C,$D114,'Attrition Modeling'!$B:$B,AH$76),VLOOKUP($F114+AH$77,$A$7:$C$107,2,FALSE)*VLOOKUP(AH$76,'Attrition Modeling'!$L$15:$N$27,IF(AH$77+$F114&lt;=24,2,3),FALSE)),$C$3)*(1+IF('IP Attrition'!AH171&gt;0,'Attrition Modeling'!$N$9,0)))</f>
        <v>0</v>
      </c>
      <c r="AI114" s="799">
        <f>AH114*(1-IFERROR(IF(AI$77+$F114&lt;=12,SUMIFS('Attrition Modeling'!$D:$D,'Attrition Modeling'!$C:$C,$D114,'Attrition Modeling'!$B:$B,AI$76),VLOOKUP($F114+AI$77,$A$7:$C$107,2,FALSE)*VLOOKUP(AI$76,'Attrition Modeling'!$L$15:$N$27,IF(AI$77+$F114&lt;=24,2,3),FALSE)),$C$3)*(1+IF('IP Attrition'!AI171&gt;0,'Attrition Modeling'!$N$9,0)))</f>
        <v>0</v>
      </c>
      <c r="AJ114" s="799">
        <f>AI114*(1-IFERROR(IF(AJ$77+$F114&lt;=12,SUMIFS('Attrition Modeling'!$D:$D,'Attrition Modeling'!$C:$C,$D114,'Attrition Modeling'!$B:$B,AJ$76),VLOOKUP($F114+AJ$77,$A$7:$C$107,2,FALSE)*VLOOKUP(AJ$76,'Attrition Modeling'!$L$15:$N$27,IF(AJ$77+$F114&lt;=24,2,3),FALSE)),$C$3)*(1+IF('IP Attrition'!AJ171&gt;0,'Attrition Modeling'!$N$9,0)))</f>
        <v>0</v>
      </c>
      <c r="AK114" s="799">
        <f>AJ114*(1-IFERROR(IF(AK$77+$F114&lt;=12,SUMIFS('Attrition Modeling'!$D:$D,'Attrition Modeling'!$C:$C,$D114,'Attrition Modeling'!$B:$B,AK$76),VLOOKUP($F114+AK$77,$A$7:$C$107,2,FALSE)*VLOOKUP(AK$76,'Attrition Modeling'!$L$15:$N$27,IF(AK$77+$F114&lt;=24,2,3),FALSE)),$C$3)*(1+IF('IP Attrition'!AK171&gt;0,'Attrition Modeling'!$N$9,0)))</f>
        <v>0</v>
      </c>
      <c r="AL114" s="799">
        <f>AK114*(1-IFERROR(IF(AL$77+$F114&lt;=12,SUMIFS('Attrition Modeling'!$D:$D,'Attrition Modeling'!$C:$C,$D114,'Attrition Modeling'!$B:$B,AL$76),VLOOKUP($F114+AL$77,$A$7:$C$107,2,FALSE)*VLOOKUP(AL$76,'Attrition Modeling'!$L$15:$N$27,IF(AL$77+$F114&lt;=24,2,3),FALSE)),$C$3)*(1+IF('IP Attrition'!AL171&gt;0,'Attrition Modeling'!$N$9,0)))</f>
        <v>0</v>
      </c>
      <c r="AM114" s="799">
        <f>AL114*(1-IFERROR(IF(AM$77+$F114&lt;=12,SUMIFS('Attrition Modeling'!$D:$D,'Attrition Modeling'!$C:$C,$D114,'Attrition Modeling'!$B:$B,AM$76),VLOOKUP($F114+AM$77,$A$7:$C$107,2,FALSE)*VLOOKUP(AM$76,'Attrition Modeling'!$L$15:$N$27,IF(AM$77+$F114&lt;=24,2,3),FALSE)),$C$3)*(1+IF('IP Attrition'!AM171&gt;0,'Attrition Modeling'!$N$9,0)))</f>
        <v>0</v>
      </c>
      <c r="AN114" s="799">
        <f>AM114*(1-IFERROR(IF(AN$77+$F114&lt;=12,SUMIFS('Attrition Modeling'!$D:$D,'Attrition Modeling'!$C:$C,$D114,'Attrition Modeling'!$B:$B,AN$76),VLOOKUP($F114+AN$77,$A$7:$C$107,2,FALSE)*VLOOKUP(AN$76,'Attrition Modeling'!$L$15:$N$27,IF(AN$77+$F114&lt;=24,2,3),FALSE)),$C$3)*(1+IF('IP Attrition'!AN171&gt;0,'Attrition Modeling'!$N$9,0)))</f>
        <v>0</v>
      </c>
      <c r="AO114" s="799">
        <f>AN114*(1-IFERROR(IF(AO$77+$F114&lt;=12,SUMIFS('Attrition Modeling'!$D:$D,'Attrition Modeling'!$C:$C,$D114,'Attrition Modeling'!$B:$B,AO$76),VLOOKUP($F114+AO$77,$A$7:$C$107,2,FALSE)*VLOOKUP(AO$76,'Attrition Modeling'!$L$15:$N$27,IF(AO$77+$F114&lt;=24,2,3),FALSE)),$C$3)*(1+IF('IP Attrition'!AO171&gt;0,'Attrition Modeling'!$N$9,0)))</f>
        <v>0</v>
      </c>
      <c r="AP114" s="799">
        <f>AO114*(1-IFERROR(IF(AP$77+$F114&lt;=12,SUMIFS('Attrition Modeling'!$D:$D,'Attrition Modeling'!$C:$C,$D114,'Attrition Modeling'!$B:$B,AP$76),VLOOKUP($F114+AP$77,$A$7:$C$107,2,FALSE)*VLOOKUP(AP$76,'Attrition Modeling'!$L$15:$N$27,IF(AP$77+$F114&lt;=24,2,3),FALSE)),$C$3)*(1+IF('IP Attrition'!AP171&gt;0,'Attrition Modeling'!$N$9,0)))</f>
        <v>0</v>
      </c>
      <c r="AQ114" s="799">
        <f>AP114*(1-IFERROR(IF(AQ$77+$F114&lt;=12,SUMIFS('Attrition Modeling'!$D:$D,'Attrition Modeling'!$C:$C,$D114,'Attrition Modeling'!$B:$B,AQ$76),VLOOKUP($F114+AQ$77,$A$7:$C$107,2,FALSE)*VLOOKUP(AQ$76,'Attrition Modeling'!$L$15:$N$27,IF(AQ$77+$F114&lt;=24,2,3),FALSE)),$C$3)*(1+IF('IP Attrition'!AQ171&gt;0,'Attrition Modeling'!$N$9,0)))</f>
        <v>0</v>
      </c>
      <c r="AR114" s="799">
        <f>AQ114*(1-IFERROR(IF(AR$77+$F114&lt;=12,SUMIFS('Attrition Modeling'!$D:$D,'Attrition Modeling'!$C:$C,$D114,'Attrition Modeling'!$B:$B,AR$76),VLOOKUP($F114+AR$77,$A$7:$C$107,2,FALSE)*VLOOKUP(AR$76,'Attrition Modeling'!$L$15:$N$27,IF(AR$77+$F114&lt;=24,2,3),FALSE)),$C$3)*(1+IF('IP Attrition'!AR171&gt;0,'Attrition Modeling'!$N$9,0)))</f>
        <v>0</v>
      </c>
      <c r="AS114" s="799">
        <f>AR114*(1-IFERROR(IF(AS$77+$F114&lt;=12,SUMIFS('Attrition Modeling'!$D:$D,'Attrition Modeling'!$C:$C,$D114,'Attrition Modeling'!$B:$B,AS$76),VLOOKUP($F114+AS$77,$A$7:$C$107,2,FALSE)*VLOOKUP(AS$76,'Attrition Modeling'!$L$15:$N$27,IF(AS$77+$F114&lt;=24,2,3),FALSE)),$C$3)*(1+IF('IP Attrition'!AS171&gt;0,'Attrition Modeling'!$N$9,0)))</f>
        <v>0</v>
      </c>
      <c r="AT114" s="799">
        <f>AS114*(1-IFERROR(IF(AT$77+$F114&lt;=12,SUMIFS('Attrition Modeling'!$D:$D,'Attrition Modeling'!$C:$C,$D114,'Attrition Modeling'!$B:$B,AT$76),VLOOKUP($F114+AT$77,$A$7:$C$107,2,FALSE)*VLOOKUP(AT$76,'Attrition Modeling'!$L$15:$N$27,IF(AT$77+$F114&lt;=24,2,3),FALSE)),$C$3)*(1+IF('IP Attrition'!AT171&gt;0,'Attrition Modeling'!$N$9,0)))</f>
        <v>0</v>
      </c>
      <c r="AU114" s="799">
        <f>AT114*(1-IFERROR(IF(AU$77+$F114&lt;=12,SUMIFS('Attrition Modeling'!$D:$D,'Attrition Modeling'!$C:$C,$D114,'Attrition Modeling'!$B:$B,AU$76),VLOOKUP($F114+AU$77,$A$7:$C$107,2,FALSE)*VLOOKUP(AU$76,'Attrition Modeling'!$L$15:$N$27,IF(AU$77+$F114&lt;=24,2,3),FALSE)),$C$3)*(1+IF('IP Attrition'!AU171&gt;0,'Attrition Modeling'!$N$9,0)))</f>
        <v>0</v>
      </c>
      <c r="AV114" s="799">
        <f>AU114*(1-IFERROR(IF(AV$77+$F114&lt;=12,SUMIFS('Attrition Modeling'!$D:$D,'Attrition Modeling'!$C:$C,$D114,'Attrition Modeling'!$B:$B,AV$76),VLOOKUP($F114+AV$77,$A$7:$C$107,2,FALSE)*VLOOKUP(AV$76,'Attrition Modeling'!$L$15:$N$27,IF(AV$77+$F114&lt;=24,2,3),FALSE)),$C$3)*(1+IF('IP Attrition'!AV171&gt;0,'Attrition Modeling'!$N$9,0)))</f>
        <v>0</v>
      </c>
      <c r="AW114" s="799">
        <f>AV114*(1-IFERROR(IF(AW$77+$F114&lt;=12,SUMIFS('Attrition Modeling'!$D:$D,'Attrition Modeling'!$C:$C,$D114,'Attrition Modeling'!$B:$B,AW$76),VLOOKUP($F114+AW$77,$A$7:$C$107,2,FALSE)*VLOOKUP(AW$76,'Attrition Modeling'!$L$15:$N$27,IF(AW$77+$F114&lt;=24,2,3),FALSE)),$C$3)*(1+IF('IP Attrition'!AW171&gt;0,'Attrition Modeling'!$N$9,0)))</f>
        <v>0</v>
      </c>
      <c r="AX114" s="799">
        <f>AW114*(1-IFERROR(IF(AX$77+$F114&lt;=12,SUMIFS('Attrition Modeling'!$D:$D,'Attrition Modeling'!$C:$C,$D114,'Attrition Modeling'!$B:$B,AX$76),VLOOKUP($F114+AX$77,$A$7:$C$107,2,FALSE)*VLOOKUP(AX$76,'Attrition Modeling'!$L$15:$N$27,IF(AX$77+$F114&lt;=24,2,3),FALSE)),$C$3)*(1+IF('IP Attrition'!AX171&gt;0,'Attrition Modeling'!$N$9,0)))</f>
        <v>0</v>
      </c>
      <c r="AY114" s="799">
        <f>AX114*(1-IFERROR(IF(AY$77+$F114&lt;=12,SUMIFS('Attrition Modeling'!$D:$D,'Attrition Modeling'!$C:$C,$D114,'Attrition Modeling'!$B:$B,AY$76),VLOOKUP($F114+AY$77,$A$7:$C$107,2,FALSE)*VLOOKUP(AY$76,'Attrition Modeling'!$L$15:$N$27,IF(AY$77+$F114&lt;=24,2,3),FALSE)),$C$3)*(1+IF('IP Attrition'!AY171&gt;0,'Attrition Modeling'!$N$9,0)))</f>
        <v>0</v>
      </c>
      <c r="AZ114" s="799">
        <f>AY114*(1-IFERROR(IF(AZ$77+$F114&lt;=12,SUMIFS('Attrition Modeling'!$D:$D,'Attrition Modeling'!$C:$C,$D114,'Attrition Modeling'!$B:$B,AZ$76),VLOOKUP($F114+AZ$77,$A$7:$C$107,2,FALSE)*VLOOKUP(AZ$76,'Attrition Modeling'!$L$15:$N$27,IF(AZ$77+$F114&lt;=24,2,3),FALSE)),$C$3)*(1+IF('IP Attrition'!AZ171&gt;0,'Attrition Modeling'!$N$9,0)))</f>
        <v>0</v>
      </c>
      <c r="BA114" s="799">
        <f>AZ114*(1-IFERROR(IF(BA$77+$F114&lt;=12,SUMIFS('Attrition Modeling'!$D:$D,'Attrition Modeling'!$C:$C,$D114,'Attrition Modeling'!$B:$B,BA$76),VLOOKUP($F114+BA$77,$A$7:$C$107,2,FALSE)*VLOOKUP(BA$76,'Attrition Modeling'!$L$15:$N$27,IF(BA$77+$F114&lt;=24,2,3),FALSE)),$C$3)*(1+IF('IP Attrition'!BA171&gt;0,'Attrition Modeling'!$N$9,0)))</f>
        <v>0</v>
      </c>
      <c r="BB114" s="799">
        <f>BA114*(1-IFERROR(IF(BB$77+$F114&lt;=12,SUMIFS('Attrition Modeling'!$D:$D,'Attrition Modeling'!$C:$C,$D114,'Attrition Modeling'!$B:$B,BB$76),VLOOKUP($F114+BB$77,$A$7:$C$107,2,FALSE)*VLOOKUP(BB$76,'Attrition Modeling'!$L$15:$N$27,IF(BB$77+$F114&lt;=24,2,3),FALSE)),$C$3)*(1+IF('IP Attrition'!BB171&gt;0,'Attrition Modeling'!$N$9,0)))</f>
        <v>0</v>
      </c>
      <c r="BC114" s="799">
        <f>BB114*(1-IFERROR(IF(BC$77+$F114&lt;=12,SUMIFS('Attrition Modeling'!$D:$D,'Attrition Modeling'!$C:$C,$D114,'Attrition Modeling'!$B:$B,BC$76),VLOOKUP($F114+BC$77,$A$7:$C$107,2,FALSE)*VLOOKUP(BC$76,'Attrition Modeling'!$L$15:$N$27,IF(BC$77+$F114&lt;=24,2,3),FALSE)),$C$3)*(1+IF('IP Attrition'!BC171&gt;0,'Attrition Modeling'!$N$9,0)))</f>
        <v>0</v>
      </c>
      <c r="BD114" s="799">
        <f>BC114*(1-IFERROR(IF(BD$77+$F114&lt;=12,SUMIFS('Attrition Modeling'!$D:$D,'Attrition Modeling'!$C:$C,$D114,'Attrition Modeling'!$B:$B,BD$76),VLOOKUP($F114+BD$77,$A$7:$C$107,2,FALSE)*VLOOKUP(BD$76,'Attrition Modeling'!$L$15:$N$27,IF(BD$77+$F114&lt;=24,2,3),FALSE)),$C$3)*(1+IF('IP Attrition'!BD171&gt;0,'Attrition Modeling'!$N$9,0)))</f>
        <v>0</v>
      </c>
      <c r="BE114" s="799">
        <f>BD114*(1-IFERROR(IF(BE$77+$F114&lt;=12,SUMIFS('Attrition Modeling'!$D:$D,'Attrition Modeling'!$C:$C,$D114,'Attrition Modeling'!$B:$B,BE$76),VLOOKUP($F114+BE$77,$A$7:$C$107,2,FALSE)*VLOOKUP(BE$76,'Attrition Modeling'!$L$15:$N$27,IF(BE$77+$F114&lt;=24,2,3),FALSE)),$C$3)*(1+IF('IP Attrition'!BE171&gt;0,'Attrition Modeling'!$N$9,0)))</f>
        <v>0</v>
      </c>
      <c r="BF114" s="799">
        <f>BE114*(1-IFERROR(IF(BF$77+$F114&lt;=12,SUMIFS('Attrition Modeling'!$D:$D,'Attrition Modeling'!$C:$C,$D114,'Attrition Modeling'!$B:$B,BF$76),VLOOKUP($F114+BF$77,$A$7:$C$107,2,FALSE)*VLOOKUP(BF$76,'Attrition Modeling'!$L$15:$N$27,IF(BF$77+$F114&lt;=24,2,3),FALSE)),$C$3)*(1+IF('IP Attrition'!BF171&gt;0,'Attrition Modeling'!$N$9,0)))</f>
        <v>0</v>
      </c>
      <c r="BG114" s="799">
        <f>BF114*(1-IFERROR(IF(BG$77+$F114&lt;=12,SUMIFS('Attrition Modeling'!$D:$D,'Attrition Modeling'!$C:$C,$D114,'Attrition Modeling'!$B:$B,BG$76),VLOOKUP($F114+BG$77,$A$7:$C$107,2,FALSE)*VLOOKUP(BG$76,'Attrition Modeling'!$L$15:$N$27,IF(BG$77+$F114&lt;=24,2,3),FALSE)),$C$3)*(1+IF('IP Attrition'!BG171&gt;0,'Attrition Modeling'!$N$9,0)))</f>
        <v>0</v>
      </c>
      <c r="BH114" s="799">
        <f>BG114*(1-IFERROR(IF(BH$77+$F114&lt;=12,SUMIFS('Attrition Modeling'!$D:$D,'Attrition Modeling'!$C:$C,$D114,'Attrition Modeling'!$B:$B,BH$76),VLOOKUP($F114+BH$77,$A$7:$C$107,2,FALSE)*VLOOKUP(BH$76,'Attrition Modeling'!$L$15:$N$27,IF(BH$77+$F114&lt;=24,2,3),FALSE)),$C$3)*(1+IF('IP Attrition'!BH171&gt;0,'Attrition Modeling'!$N$9,0)))</f>
        <v>0</v>
      </c>
      <c r="BI114" s="799">
        <f>BH114*(1-IFERROR(IF(BI$77+$F114&lt;=12,SUMIFS('Attrition Modeling'!$D:$D,'Attrition Modeling'!$C:$C,$D114,'Attrition Modeling'!$B:$B,BI$76),VLOOKUP($F114+BI$77,$A$7:$C$107,2,FALSE)*VLOOKUP(BI$76,'Attrition Modeling'!$L$15:$N$27,IF(BI$77+$F114&lt;=24,2,3),FALSE)),$C$3)*(1+IF('IP Attrition'!BI171&gt;0,'Attrition Modeling'!$N$9,0)))</f>
        <v>0</v>
      </c>
      <c r="BJ114" s="799">
        <f>BI114*(1-IFERROR(IF(BJ$77+$F114&lt;=12,SUMIFS('Attrition Modeling'!$D:$D,'Attrition Modeling'!$C:$C,$D114,'Attrition Modeling'!$B:$B,BJ$76),VLOOKUP($F114+BJ$77,$A$7:$C$107,2,FALSE)*VLOOKUP(BJ$76,'Attrition Modeling'!$L$15:$N$27,IF(BJ$77+$F114&lt;=24,2,3),FALSE)),$C$3)*(1+IF('IP Attrition'!BJ171&gt;0,'Attrition Modeling'!$N$9,0)))</f>
        <v>0</v>
      </c>
      <c r="BK114" s="799">
        <f>BJ114*(1-IFERROR(IF(BK$77+$F114&lt;=12,SUMIFS('Attrition Modeling'!$D:$D,'Attrition Modeling'!$C:$C,$D114,'Attrition Modeling'!$B:$B,BK$76),VLOOKUP($F114+BK$77,$A$7:$C$107,2,FALSE)*VLOOKUP(BK$76,'Attrition Modeling'!$L$15:$N$27,IF(BK$77+$F114&lt;=24,2,3),FALSE)),$C$3)*(1+IF('IP Attrition'!BK171&gt;0,'Attrition Modeling'!$N$9,0)))</f>
        <v>0</v>
      </c>
      <c r="BL114" s="799">
        <f>BK114*(1-IFERROR(IF(BL$77+$F114&lt;=12,SUMIFS('Attrition Modeling'!$D:$D,'Attrition Modeling'!$C:$C,$D114,'Attrition Modeling'!$B:$B,BL$76),VLOOKUP($F114+BL$77,$A$7:$C$107,2,FALSE)*VLOOKUP(BL$76,'Attrition Modeling'!$L$15:$N$27,IF(BL$77+$F114&lt;=24,2,3),FALSE)),$C$3)*(1+IF('IP Attrition'!BL171&gt;0,'Attrition Modeling'!$N$9,0)))</f>
        <v>0</v>
      </c>
      <c r="BM114" s="799">
        <f>BL114*(1-IFERROR(IF(BM$77+$F114&lt;=12,SUMIFS('Attrition Modeling'!$D:$D,'Attrition Modeling'!$C:$C,$D114,'Attrition Modeling'!$B:$B,BM$76),VLOOKUP($F114+BM$77,$A$7:$C$107,2,FALSE)*VLOOKUP(BM$76,'Attrition Modeling'!$L$15:$N$27,IF(BM$77+$F114&lt;=24,2,3),FALSE)),$C$3)*(1+IF('IP Attrition'!BM171&gt;0,'Attrition Modeling'!$N$9,0)))</f>
        <v>0</v>
      </c>
      <c r="BN114" s="799">
        <f>BM114*(1-IFERROR(IF(BN$77+$F114&lt;=12,SUMIFS('Attrition Modeling'!$D:$D,'Attrition Modeling'!$C:$C,$D114,'Attrition Modeling'!$B:$B,BN$76),VLOOKUP($F114+BN$77,$A$7:$C$107,2,FALSE)*VLOOKUP(BN$76,'Attrition Modeling'!$L$15:$N$27,IF(BN$77+$F114&lt;=24,2,3),FALSE)),$C$3)*(1+IF('IP Attrition'!BN171&gt;0,'Attrition Modeling'!$N$9,0)))</f>
        <v>0</v>
      </c>
      <c r="BO114" s="799">
        <f>BN114*(1-IFERROR(IF(BO$77+$F114&lt;=12,SUMIFS('Attrition Modeling'!$D:$D,'Attrition Modeling'!$C:$C,$D114,'Attrition Modeling'!$B:$B,BO$76),VLOOKUP($F114+BO$77,$A$7:$C$107,2,FALSE)*VLOOKUP(BO$76,'Attrition Modeling'!$L$15:$N$27,IF(BO$77+$F114&lt;=24,2,3),FALSE)),$C$3)*(1+IF('IP Attrition'!BO171&gt;0,'Attrition Modeling'!$N$9,0)))</f>
        <v>0</v>
      </c>
      <c r="BP114" s="799">
        <f>BO114*(1-IFERROR(IF(BP$77+$F114&lt;=12,SUMIFS('Attrition Modeling'!$D:$D,'Attrition Modeling'!$C:$C,$D114,'Attrition Modeling'!$B:$B,BP$76),VLOOKUP($F114+BP$77,$A$7:$C$107,2,FALSE)*VLOOKUP(BP$76,'Attrition Modeling'!$L$15:$N$27,IF(BP$77+$F114&lt;=24,2,3),FALSE)),$C$3)*(1+IF('IP Attrition'!BP171&gt;0,'Attrition Modeling'!$N$9,0)))</f>
        <v>0</v>
      </c>
      <c r="BQ114" s="799">
        <f>BP114*(1-IFERROR(IF(BQ$77+$F114&lt;=12,SUMIFS('Attrition Modeling'!$D:$D,'Attrition Modeling'!$C:$C,$D114,'Attrition Modeling'!$B:$B,BQ$76),VLOOKUP($F114+BQ$77,$A$7:$C$107,2,FALSE)*VLOOKUP(BQ$76,'Attrition Modeling'!$L$15:$N$27,IF(BQ$77+$F114&lt;=24,2,3),FALSE)),$C$3)*(1+IF('IP Attrition'!BQ171&gt;0,'Attrition Modeling'!$N$9,0)))</f>
        <v>0</v>
      </c>
      <c r="BR114" s="799">
        <f>BQ114*(1-IFERROR(IF(BR$77+$F114&lt;=12,SUMIFS('Attrition Modeling'!$D:$D,'Attrition Modeling'!$C:$C,$D114,'Attrition Modeling'!$B:$B,BR$76),VLOOKUP($F114+BR$77,$A$7:$C$107,2,FALSE)*VLOOKUP(BR$76,'Attrition Modeling'!$L$15:$N$27,IF(BR$77+$F114&lt;=24,2,3),FALSE)),$C$3)*(1+IF('IP Attrition'!BR171&gt;0,'Attrition Modeling'!$N$9,0)))</f>
        <v>0</v>
      </c>
      <c r="BS114" s="799">
        <f>BR114*(1-IFERROR(IF(BS$77+$F114&lt;=12,SUMIFS('Attrition Modeling'!$D:$D,'Attrition Modeling'!$C:$C,$D114,'Attrition Modeling'!$B:$B,BS$76),VLOOKUP($F114+BS$77,$A$7:$C$107,2,FALSE)*VLOOKUP(BS$76,'Attrition Modeling'!$L$15:$N$27,IF(BS$77+$F114&lt;=24,2,3),FALSE)),$C$3)*(1+IF('IP Attrition'!BS171&gt;0,'Attrition Modeling'!$N$9,0)))</f>
        <v>0</v>
      </c>
      <c r="BT114" s="799" t="e">
        <f>BS114*(1-IFERROR(IF(BT$77+$F114&lt;=12,SUMIFS('Attrition Modeling'!$D:$D,'Attrition Modeling'!$C:$C,$D114,'Attrition Modeling'!$B:$B,BT$76),VLOOKUP($F114+BT$77,$A$7:$C$107,2,FALSE)*VLOOKUP(BT$76,'Attrition Modeling'!$L$15:$N$27,IF(BT$77+$F114&lt;=24,2,3),FALSE)),$C$3)*(1+IF('IP Attrition'!BT171&gt;0,'Attrition Modeling'!$N$9,0)))</f>
        <v>#REF!</v>
      </c>
      <c r="BU114" s="799" t="e">
        <f>BT114*(1-IFERROR(IF(BU$77+$F114&lt;=12,SUMIFS('Attrition Modeling'!$D:$D,'Attrition Modeling'!$C:$C,$D114,'Attrition Modeling'!$B:$B,BU$76),VLOOKUP($F114+BU$77,$A$7:$C$107,2,FALSE)*VLOOKUP(BU$76,'Attrition Modeling'!$L$15:$N$27,IF(BU$77+$F114&lt;=24,2,3),FALSE)),$C$3)*(1+IF('IP Attrition'!BU171&gt;0,'Attrition Modeling'!$N$9,0)))</f>
        <v>#REF!</v>
      </c>
    </row>
    <row r="115" spans="1:73" ht="14.25" customHeight="1" x14ac:dyDescent="0.2">
      <c r="A115" s="9">
        <v>107</v>
      </c>
      <c r="B115" s="25">
        <f>MAX('Attrition Modeling'!H111,$C$3)*(1-Summary!$C$20)</f>
        <v>0.02</v>
      </c>
      <c r="C115" s="24" t="e">
        <f t="shared" si="2"/>
        <v>#DIV/0!</v>
      </c>
      <c r="D115" s="11">
        <f>'IP Attrition'!D107</f>
        <v>-37</v>
      </c>
      <c r="E115" s="25">
        <f>'IP Attrition'!E107</f>
        <v>0</v>
      </c>
      <c r="F115" s="11">
        <f t="shared" si="8"/>
        <v>37</v>
      </c>
      <c r="G115" s="799">
        <f>Summary!$C$24*$E115</f>
        <v>0</v>
      </c>
      <c r="H115" s="799">
        <f>G115*(1-IFERROR(IF(H$77+$F115&lt;=12,SUMIFS('Attrition Modeling'!$D:$D,'Attrition Modeling'!$C:$C,$D115,'Attrition Modeling'!$B:$B,H$76),VLOOKUP($F115+H$77,$A$7:$C$107,2,FALSE)*VLOOKUP(H$76,'Attrition Modeling'!$L$15:$N$27,IF(H$77+$F115&lt;=24,2,3),FALSE)),$C$3)*(1+IF('IP Attrition'!H172&gt;0,'Attrition Modeling'!$N$9,0)))</f>
        <v>0</v>
      </c>
      <c r="I115" s="799">
        <f>H115*(1-IFERROR(IF(I$77+$F115&lt;=12,SUMIFS('Attrition Modeling'!$D:$D,'Attrition Modeling'!$C:$C,$D115,'Attrition Modeling'!$B:$B,I$76),VLOOKUP($F115+I$77,$A$7:$C$107,2,FALSE)*VLOOKUP(I$76,'Attrition Modeling'!$L$15:$N$27,IF(I$77+$F115&lt;=24,2,3),FALSE)),$C$3)*(1+IF('IP Attrition'!I172&gt;0,'Attrition Modeling'!$N$9,0)))</f>
        <v>0</v>
      </c>
      <c r="J115" s="799">
        <f>I115*(1-IFERROR(IF(J$77+$F115&lt;=12,SUMIFS('Attrition Modeling'!$D:$D,'Attrition Modeling'!$C:$C,$D115,'Attrition Modeling'!$B:$B,J$76),VLOOKUP($F115+J$77,$A$7:$C$107,2,FALSE)*VLOOKUP(J$76,'Attrition Modeling'!$L$15:$N$27,IF(J$77+$F115&lt;=24,2,3),FALSE)),$C$3)*(1+IF('IP Attrition'!J172&gt;0,'Attrition Modeling'!$N$9,0)))</f>
        <v>0</v>
      </c>
      <c r="K115" s="799">
        <f>J115*(1-IFERROR(IF(K$77+$F115&lt;=12,SUMIFS('Attrition Modeling'!$D:$D,'Attrition Modeling'!$C:$C,$D115,'Attrition Modeling'!$B:$B,K$76),VLOOKUP($F115+K$77,$A$7:$C$107,2,FALSE)*VLOOKUP(K$76,'Attrition Modeling'!$L$15:$N$27,IF(K$77+$F115&lt;=24,2,3),FALSE)),$C$3)*(1+IF('IP Attrition'!K172&gt;0,'Attrition Modeling'!$N$9,0)))</f>
        <v>0</v>
      </c>
      <c r="L115" s="799">
        <f>K115*(1-IFERROR(IF(L$77+$F115&lt;=12,SUMIFS('Attrition Modeling'!$D:$D,'Attrition Modeling'!$C:$C,$D115,'Attrition Modeling'!$B:$B,L$76),VLOOKUP($F115+L$77,$A$7:$C$107,2,FALSE)*VLOOKUP(L$76,'Attrition Modeling'!$L$15:$N$27,IF(L$77+$F115&lt;=24,2,3),FALSE)),$C$3)*(1+IF('IP Attrition'!L172&gt;0,'Attrition Modeling'!$N$9,0)))</f>
        <v>0</v>
      </c>
      <c r="M115" s="799">
        <f>L115*(1-IFERROR(IF(M$77+$F115&lt;=12,SUMIFS('Attrition Modeling'!$D:$D,'Attrition Modeling'!$C:$C,$D115,'Attrition Modeling'!$B:$B,M$76),VLOOKUP($F115+M$77,$A$7:$C$107,2,FALSE)*VLOOKUP(M$76,'Attrition Modeling'!$L$15:$N$27,IF(M$77+$F115&lt;=24,2,3),FALSE)),$C$3)*(1+IF('IP Attrition'!M172&gt;0,'Attrition Modeling'!$N$9,0)))</f>
        <v>0</v>
      </c>
      <c r="N115" s="799">
        <f>M115*(1-IFERROR(IF(N$77+$F115&lt;=12,SUMIFS('Attrition Modeling'!$D:$D,'Attrition Modeling'!$C:$C,$D115,'Attrition Modeling'!$B:$B,N$76),VLOOKUP($F115+N$77,$A$7:$C$107,2,FALSE)*VLOOKUP(N$76,'Attrition Modeling'!$L$15:$N$27,IF(N$77+$F115&lt;=24,2,3),FALSE)),$C$3)*(1+IF('IP Attrition'!N172&gt;0,'Attrition Modeling'!$N$9,0)))</f>
        <v>0</v>
      </c>
      <c r="O115" s="799">
        <f>N115*(1-IFERROR(IF(O$77+$F115&lt;=12,SUMIFS('Attrition Modeling'!$D:$D,'Attrition Modeling'!$C:$C,$D115,'Attrition Modeling'!$B:$B,O$76),VLOOKUP($F115+O$77,$A$7:$C$107,2,FALSE)*VLOOKUP(O$76,'Attrition Modeling'!$L$15:$N$27,IF(O$77+$F115&lt;=24,2,3),FALSE)),$C$3)*(1+IF('IP Attrition'!O172&gt;0,'Attrition Modeling'!$N$9,0)))</f>
        <v>0</v>
      </c>
      <c r="P115" s="799">
        <f>O115*(1-IFERROR(IF(P$77+$F115&lt;=12,SUMIFS('Attrition Modeling'!$D:$D,'Attrition Modeling'!$C:$C,$D115,'Attrition Modeling'!$B:$B,P$76),VLOOKUP($F115+P$77,$A$7:$C$107,2,FALSE)*VLOOKUP(P$76,'Attrition Modeling'!$L$15:$N$27,IF(P$77+$F115&lt;=24,2,3),FALSE)),$C$3)*(1+IF('IP Attrition'!P172&gt;0,'Attrition Modeling'!$N$9,0)))</f>
        <v>0</v>
      </c>
      <c r="Q115" s="799">
        <f>P115*(1-IFERROR(IF(Q$77+$F115&lt;=12,SUMIFS('Attrition Modeling'!$D:$D,'Attrition Modeling'!$C:$C,$D115,'Attrition Modeling'!$B:$B,Q$76),VLOOKUP($F115+Q$77,$A$7:$C$107,2,FALSE)*VLOOKUP(Q$76,'Attrition Modeling'!$L$15:$N$27,IF(Q$77+$F115&lt;=24,2,3),FALSE)),$C$3)*(1+IF('IP Attrition'!Q172&gt;0,'Attrition Modeling'!$N$9,0)))</f>
        <v>0</v>
      </c>
      <c r="R115" s="799">
        <f>Q115*(1-IFERROR(IF(R$77+$F115&lt;=12,SUMIFS('Attrition Modeling'!$D:$D,'Attrition Modeling'!$C:$C,$D115,'Attrition Modeling'!$B:$B,R$76),VLOOKUP($F115+R$77,$A$7:$C$107,2,FALSE)*VLOOKUP(R$76,'Attrition Modeling'!$L$15:$N$27,IF(R$77+$F115&lt;=24,2,3),FALSE)),$C$3)*(1+IF('IP Attrition'!R172&gt;0,'Attrition Modeling'!$N$9,0)))</f>
        <v>0</v>
      </c>
      <c r="S115" s="799">
        <f>R115*(1-IFERROR(IF(S$77+$F115&lt;=12,SUMIFS('Attrition Modeling'!$D:$D,'Attrition Modeling'!$C:$C,$D115,'Attrition Modeling'!$B:$B,S$76),VLOOKUP($F115+S$77,$A$7:$C$107,2,FALSE)*VLOOKUP(S$76,'Attrition Modeling'!$L$15:$N$27,IF(S$77+$F115&lt;=24,2,3),FALSE)),$C$3)*(1+IF('IP Attrition'!S172&gt;0,'Attrition Modeling'!$N$9,0)))</f>
        <v>0</v>
      </c>
      <c r="T115" s="799">
        <f>S115*(1-IFERROR(IF(T$77+$F115&lt;=12,SUMIFS('Attrition Modeling'!$D:$D,'Attrition Modeling'!$C:$C,$D115,'Attrition Modeling'!$B:$B,T$76),VLOOKUP($F115+T$77,$A$7:$C$107,2,FALSE)*VLOOKUP(T$76,'Attrition Modeling'!$L$15:$N$27,IF(T$77+$F115&lt;=24,2,3),FALSE)),$C$3)*(1+IF('IP Attrition'!T172&gt;0,'Attrition Modeling'!$N$9,0)))</f>
        <v>0</v>
      </c>
      <c r="U115" s="799">
        <f>T115*(1-IFERROR(IF(U$77+$F115&lt;=12,SUMIFS('Attrition Modeling'!$D:$D,'Attrition Modeling'!$C:$C,$D115,'Attrition Modeling'!$B:$B,U$76),VLOOKUP($F115+U$77,$A$7:$C$107,2,FALSE)*VLOOKUP(U$76,'Attrition Modeling'!$L$15:$N$27,IF(U$77+$F115&lt;=24,2,3),FALSE)),$C$3)*(1+IF('IP Attrition'!U172&gt;0,'Attrition Modeling'!$N$9,0)))</f>
        <v>0</v>
      </c>
      <c r="V115" s="799">
        <f>U115*(1-IFERROR(IF(V$77+$F115&lt;=12,SUMIFS('Attrition Modeling'!$D:$D,'Attrition Modeling'!$C:$C,$D115,'Attrition Modeling'!$B:$B,V$76),VLOOKUP($F115+V$77,$A$7:$C$107,2,FALSE)*VLOOKUP(V$76,'Attrition Modeling'!$L$15:$N$27,IF(V$77+$F115&lt;=24,2,3),FALSE)),$C$3)*(1+IF('IP Attrition'!V172&gt;0,'Attrition Modeling'!$N$9,0)))</f>
        <v>0</v>
      </c>
      <c r="W115" s="799">
        <f>V115*(1-IFERROR(IF(W$77+$F115&lt;=12,SUMIFS('Attrition Modeling'!$D:$D,'Attrition Modeling'!$C:$C,$D115,'Attrition Modeling'!$B:$B,W$76),VLOOKUP($F115+W$77,$A$7:$C$107,2,FALSE)*VLOOKUP(W$76,'Attrition Modeling'!$L$15:$N$27,IF(W$77+$F115&lt;=24,2,3),FALSE)),$C$3)*(1+IF('IP Attrition'!W172&gt;0,'Attrition Modeling'!$N$9,0)))</f>
        <v>0</v>
      </c>
      <c r="X115" s="799">
        <f>W115*(1-IFERROR(IF(X$77+$F115&lt;=12,SUMIFS('Attrition Modeling'!$D:$D,'Attrition Modeling'!$C:$C,$D115,'Attrition Modeling'!$B:$B,X$76),VLOOKUP($F115+X$77,$A$7:$C$107,2,FALSE)*VLOOKUP(X$76,'Attrition Modeling'!$L$15:$N$27,IF(X$77+$F115&lt;=24,2,3),FALSE)),$C$3)*(1+IF('IP Attrition'!X172&gt;0,'Attrition Modeling'!$N$9,0)))</f>
        <v>0</v>
      </c>
      <c r="Y115" s="799">
        <f>X115*(1-IFERROR(IF(Y$77+$F115&lt;=12,SUMIFS('Attrition Modeling'!$D:$D,'Attrition Modeling'!$C:$C,$D115,'Attrition Modeling'!$B:$B,Y$76),VLOOKUP($F115+Y$77,$A$7:$C$107,2,FALSE)*VLOOKUP(Y$76,'Attrition Modeling'!$L$15:$N$27,IF(Y$77+$F115&lt;=24,2,3),FALSE)),$C$3)*(1+IF('IP Attrition'!Y172&gt;0,'Attrition Modeling'!$N$9,0)))</f>
        <v>0</v>
      </c>
      <c r="Z115" s="799">
        <f>Y115*(1-IFERROR(IF(Z$77+$F115&lt;=12,SUMIFS('Attrition Modeling'!$D:$D,'Attrition Modeling'!$C:$C,$D115,'Attrition Modeling'!$B:$B,Z$76),VLOOKUP($F115+Z$77,$A$7:$C$107,2,FALSE)*VLOOKUP(Z$76,'Attrition Modeling'!$L$15:$N$27,IF(Z$77+$F115&lt;=24,2,3),FALSE)),$C$3)*(1+IF('IP Attrition'!Z172&gt;0,'Attrition Modeling'!$N$9,0)))</f>
        <v>0</v>
      </c>
      <c r="AA115" s="799">
        <f>Z115*(1-IFERROR(IF(AA$77+$F115&lt;=12,SUMIFS('Attrition Modeling'!$D:$D,'Attrition Modeling'!$C:$C,$D115,'Attrition Modeling'!$B:$B,AA$76),VLOOKUP($F115+AA$77,$A$7:$C$107,2,FALSE)*VLOOKUP(AA$76,'Attrition Modeling'!$L$15:$N$27,IF(AA$77+$F115&lt;=24,2,3),FALSE)),$C$3)*(1+IF('IP Attrition'!AA172&gt;0,'Attrition Modeling'!$N$9,0)))</f>
        <v>0</v>
      </c>
      <c r="AB115" s="799">
        <f>AA115*(1-IFERROR(IF(AB$77+$F115&lt;=12,SUMIFS('Attrition Modeling'!$D:$D,'Attrition Modeling'!$C:$C,$D115,'Attrition Modeling'!$B:$B,AB$76),VLOOKUP($F115+AB$77,$A$7:$C$107,2,FALSE)*VLOOKUP(AB$76,'Attrition Modeling'!$L$15:$N$27,IF(AB$77+$F115&lt;=24,2,3),FALSE)),$C$3)*(1+IF('IP Attrition'!AB172&gt;0,'Attrition Modeling'!$N$9,0)))</f>
        <v>0</v>
      </c>
      <c r="AC115" s="799">
        <f>AB115*(1-IFERROR(IF(AC$77+$F115&lt;=12,SUMIFS('Attrition Modeling'!$D:$D,'Attrition Modeling'!$C:$C,$D115,'Attrition Modeling'!$B:$B,AC$76),VLOOKUP($F115+AC$77,$A$7:$C$107,2,FALSE)*VLOOKUP(AC$76,'Attrition Modeling'!$L$15:$N$27,IF(AC$77+$F115&lt;=24,2,3),FALSE)),$C$3)*(1+IF('IP Attrition'!AC172&gt;0,'Attrition Modeling'!$N$9,0)))</f>
        <v>0</v>
      </c>
      <c r="AD115" s="799">
        <f>AC115*(1-IFERROR(IF(AD$77+$F115&lt;=12,SUMIFS('Attrition Modeling'!$D:$D,'Attrition Modeling'!$C:$C,$D115,'Attrition Modeling'!$B:$B,AD$76),VLOOKUP($F115+AD$77,$A$7:$C$107,2,FALSE)*VLOOKUP(AD$76,'Attrition Modeling'!$L$15:$N$27,IF(AD$77+$F115&lt;=24,2,3),FALSE)),$C$3)*(1+IF('IP Attrition'!AD172&gt;0,'Attrition Modeling'!$N$9,0)))</f>
        <v>0</v>
      </c>
      <c r="AE115" s="799">
        <f>AD115*(1-IFERROR(IF(AE$77+$F115&lt;=12,SUMIFS('Attrition Modeling'!$D:$D,'Attrition Modeling'!$C:$C,$D115,'Attrition Modeling'!$B:$B,AE$76),VLOOKUP($F115+AE$77,$A$7:$C$107,2,FALSE)*VLOOKUP(AE$76,'Attrition Modeling'!$L$15:$N$27,IF(AE$77+$F115&lt;=24,2,3),FALSE)),$C$3)*(1+IF('IP Attrition'!AE172&gt;0,'Attrition Modeling'!$N$9,0)))</f>
        <v>0</v>
      </c>
      <c r="AF115" s="799">
        <f>AE115*(1-IFERROR(IF(AF$77+$F115&lt;=12,SUMIFS('Attrition Modeling'!$D:$D,'Attrition Modeling'!$C:$C,$D115,'Attrition Modeling'!$B:$B,AF$76),VLOOKUP($F115+AF$77,$A$7:$C$107,2,FALSE)*VLOOKUP(AF$76,'Attrition Modeling'!$L$15:$N$27,IF(AF$77+$F115&lt;=24,2,3),FALSE)),$C$3)*(1+IF('IP Attrition'!AF172&gt;0,'Attrition Modeling'!$N$9,0)))</f>
        <v>0</v>
      </c>
      <c r="AG115" s="799">
        <f>AF115*(1-IFERROR(IF(AG$77+$F115&lt;=12,SUMIFS('Attrition Modeling'!$D:$D,'Attrition Modeling'!$C:$C,$D115,'Attrition Modeling'!$B:$B,AG$76),VLOOKUP($F115+AG$77,$A$7:$C$107,2,FALSE)*VLOOKUP(AG$76,'Attrition Modeling'!$L$15:$N$27,IF(AG$77+$F115&lt;=24,2,3),FALSE)),$C$3)*(1+IF('IP Attrition'!AG172&gt;0,'Attrition Modeling'!$N$9,0)))</f>
        <v>0</v>
      </c>
      <c r="AH115" s="799">
        <f>AG115*(1-IFERROR(IF(AH$77+$F115&lt;=12,SUMIFS('Attrition Modeling'!$D:$D,'Attrition Modeling'!$C:$C,$D115,'Attrition Modeling'!$B:$B,AH$76),VLOOKUP($F115+AH$77,$A$7:$C$107,2,FALSE)*VLOOKUP(AH$76,'Attrition Modeling'!$L$15:$N$27,IF(AH$77+$F115&lt;=24,2,3),FALSE)),$C$3)*(1+IF('IP Attrition'!AH172&gt;0,'Attrition Modeling'!$N$9,0)))</f>
        <v>0</v>
      </c>
      <c r="AI115" s="799">
        <f>AH115*(1-IFERROR(IF(AI$77+$F115&lt;=12,SUMIFS('Attrition Modeling'!$D:$D,'Attrition Modeling'!$C:$C,$D115,'Attrition Modeling'!$B:$B,AI$76),VLOOKUP($F115+AI$77,$A$7:$C$107,2,FALSE)*VLOOKUP(AI$76,'Attrition Modeling'!$L$15:$N$27,IF(AI$77+$F115&lt;=24,2,3),FALSE)),$C$3)*(1+IF('IP Attrition'!AI172&gt;0,'Attrition Modeling'!$N$9,0)))</f>
        <v>0</v>
      </c>
      <c r="AJ115" s="799">
        <f>AI115*(1-IFERROR(IF(AJ$77+$F115&lt;=12,SUMIFS('Attrition Modeling'!$D:$D,'Attrition Modeling'!$C:$C,$D115,'Attrition Modeling'!$B:$B,AJ$76),VLOOKUP($F115+AJ$77,$A$7:$C$107,2,FALSE)*VLOOKUP(AJ$76,'Attrition Modeling'!$L$15:$N$27,IF(AJ$77+$F115&lt;=24,2,3),FALSE)),$C$3)*(1+IF('IP Attrition'!AJ172&gt;0,'Attrition Modeling'!$N$9,0)))</f>
        <v>0</v>
      </c>
      <c r="AK115" s="799">
        <f>AJ115*(1-IFERROR(IF(AK$77+$F115&lt;=12,SUMIFS('Attrition Modeling'!$D:$D,'Attrition Modeling'!$C:$C,$D115,'Attrition Modeling'!$B:$B,AK$76),VLOOKUP($F115+AK$77,$A$7:$C$107,2,FALSE)*VLOOKUP(AK$76,'Attrition Modeling'!$L$15:$N$27,IF(AK$77+$F115&lt;=24,2,3),FALSE)),$C$3)*(1+IF('IP Attrition'!AK172&gt;0,'Attrition Modeling'!$N$9,0)))</f>
        <v>0</v>
      </c>
      <c r="AL115" s="799">
        <f>AK115*(1-IFERROR(IF(AL$77+$F115&lt;=12,SUMIFS('Attrition Modeling'!$D:$D,'Attrition Modeling'!$C:$C,$D115,'Attrition Modeling'!$B:$B,AL$76),VLOOKUP($F115+AL$77,$A$7:$C$107,2,FALSE)*VLOOKUP(AL$76,'Attrition Modeling'!$L$15:$N$27,IF(AL$77+$F115&lt;=24,2,3),FALSE)),$C$3)*(1+IF('IP Attrition'!AL172&gt;0,'Attrition Modeling'!$N$9,0)))</f>
        <v>0</v>
      </c>
      <c r="AM115" s="799">
        <f>AL115*(1-IFERROR(IF(AM$77+$F115&lt;=12,SUMIFS('Attrition Modeling'!$D:$D,'Attrition Modeling'!$C:$C,$D115,'Attrition Modeling'!$B:$B,AM$76),VLOOKUP($F115+AM$77,$A$7:$C$107,2,FALSE)*VLOOKUP(AM$76,'Attrition Modeling'!$L$15:$N$27,IF(AM$77+$F115&lt;=24,2,3),FALSE)),$C$3)*(1+IF('IP Attrition'!AM172&gt;0,'Attrition Modeling'!$N$9,0)))</f>
        <v>0</v>
      </c>
      <c r="AN115" s="799">
        <f>AM115*(1-IFERROR(IF(AN$77+$F115&lt;=12,SUMIFS('Attrition Modeling'!$D:$D,'Attrition Modeling'!$C:$C,$D115,'Attrition Modeling'!$B:$B,AN$76),VLOOKUP($F115+AN$77,$A$7:$C$107,2,FALSE)*VLOOKUP(AN$76,'Attrition Modeling'!$L$15:$N$27,IF(AN$77+$F115&lt;=24,2,3),FALSE)),$C$3)*(1+IF('IP Attrition'!AN172&gt;0,'Attrition Modeling'!$N$9,0)))</f>
        <v>0</v>
      </c>
      <c r="AO115" s="799">
        <f>AN115*(1-IFERROR(IF(AO$77+$F115&lt;=12,SUMIFS('Attrition Modeling'!$D:$D,'Attrition Modeling'!$C:$C,$D115,'Attrition Modeling'!$B:$B,AO$76),VLOOKUP($F115+AO$77,$A$7:$C$107,2,FALSE)*VLOOKUP(AO$76,'Attrition Modeling'!$L$15:$N$27,IF(AO$77+$F115&lt;=24,2,3),FALSE)),$C$3)*(1+IF('IP Attrition'!AO172&gt;0,'Attrition Modeling'!$N$9,0)))</f>
        <v>0</v>
      </c>
      <c r="AP115" s="799">
        <f>AO115*(1-IFERROR(IF(AP$77+$F115&lt;=12,SUMIFS('Attrition Modeling'!$D:$D,'Attrition Modeling'!$C:$C,$D115,'Attrition Modeling'!$B:$B,AP$76),VLOOKUP($F115+AP$77,$A$7:$C$107,2,FALSE)*VLOOKUP(AP$76,'Attrition Modeling'!$L$15:$N$27,IF(AP$77+$F115&lt;=24,2,3),FALSE)),$C$3)*(1+IF('IP Attrition'!AP172&gt;0,'Attrition Modeling'!$N$9,0)))</f>
        <v>0</v>
      </c>
      <c r="AQ115" s="799">
        <f>AP115*(1-IFERROR(IF(AQ$77+$F115&lt;=12,SUMIFS('Attrition Modeling'!$D:$D,'Attrition Modeling'!$C:$C,$D115,'Attrition Modeling'!$B:$B,AQ$76),VLOOKUP($F115+AQ$77,$A$7:$C$107,2,FALSE)*VLOOKUP(AQ$76,'Attrition Modeling'!$L$15:$N$27,IF(AQ$77+$F115&lt;=24,2,3),FALSE)),$C$3)*(1+IF('IP Attrition'!AQ172&gt;0,'Attrition Modeling'!$N$9,0)))</f>
        <v>0</v>
      </c>
      <c r="AR115" s="799">
        <f>AQ115*(1-IFERROR(IF(AR$77+$F115&lt;=12,SUMIFS('Attrition Modeling'!$D:$D,'Attrition Modeling'!$C:$C,$D115,'Attrition Modeling'!$B:$B,AR$76),VLOOKUP($F115+AR$77,$A$7:$C$107,2,FALSE)*VLOOKUP(AR$76,'Attrition Modeling'!$L$15:$N$27,IF(AR$77+$F115&lt;=24,2,3),FALSE)),$C$3)*(1+IF('IP Attrition'!AR172&gt;0,'Attrition Modeling'!$N$9,0)))</f>
        <v>0</v>
      </c>
      <c r="AS115" s="799">
        <f>AR115*(1-IFERROR(IF(AS$77+$F115&lt;=12,SUMIFS('Attrition Modeling'!$D:$D,'Attrition Modeling'!$C:$C,$D115,'Attrition Modeling'!$B:$B,AS$76),VLOOKUP($F115+AS$77,$A$7:$C$107,2,FALSE)*VLOOKUP(AS$76,'Attrition Modeling'!$L$15:$N$27,IF(AS$77+$F115&lt;=24,2,3),FALSE)),$C$3)*(1+IF('IP Attrition'!AS172&gt;0,'Attrition Modeling'!$N$9,0)))</f>
        <v>0</v>
      </c>
      <c r="AT115" s="799">
        <f>AS115*(1-IFERROR(IF(AT$77+$F115&lt;=12,SUMIFS('Attrition Modeling'!$D:$D,'Attrition Modeling'!$C:$C,$D115,'Attrition Modeling'!$B:$B,AT$76),VLOOKUP($F115+AT$77,$A$7:$C$107,2,FALSE)*VLOOKUP(AT$76,'Attrition Modeling'!$L$15:$N$27,IF(AT$77+$F115&lt;=24,2,3),FALSE)),$C$3)*(1+IF('IP Attrition'!AT172&gt;0,'Attrition Modeling'!$N$9,0)))</f>
        <v>0</v>
      </c>
      <c r="AU115" s="799">
        <f>AT115*(1-IFERROR(IF(AU$77+$F115&lt;=12,SUMIFS('Attrition Modeling'!$D:$D,'Attrition Modeling'!$C:$C,$D115,'Attrition Modeling'!$B:$B,AU$76),VLOOKUP($F115+AU$77,$A$7:$C$107,2,FALSE)*VLOOKUP(AU$76,'Attrition Modeling'!$L$15:$N$27,IF(AU$77+$F115&lt;=24,2,3),FALSE)),$C$3)*(1+IF('IP Attrition'!AU172&gt;0,'Attrition Modeling'!$N$9,0)))</f>
        <v>0</v>
      </c>
      <c r="AV115" s="799">
        <f>AU115*(1-IFERROR(IF(AV$77+$F115&lt;=12,SUMIFS('Attrition Modeling'!$D:$D,'Attrition Modeling'!$C:$C,$D115,'Attrition Modeling'!$B:$B,AV$76),VLOOKUP($F115+AV$77,$A$7:$C$107,2,FALSE)*VLOOKUP(AV$76,'Attrition Modeling'!$L$15:$N$27,IF(AV$77+$F115&lt;=24,2,3),FALSE)),$C$3)*(1+IF('IP Attrition'!AV172&gt;0,'Attrition Modeling'!$N$9,0)))</f>
        <v>0</v>
      </c>
      <c r="AW115" s="799">
        <f>AV115*(1-IFERROR(IF(AW$77+$F115&lt;=12,SUMIFS('Attrition Modeling'!$D:$D,'Attrition Modeling'!$C:$C,$D115,'Attrition Modeling'!$B:$B,AW$76),VLOOKUP($F115+AW$77,$A$7:$C$107,2,FALSE)*VLOOKUP(AW$76,'Attrition Modeling'!$L$15:$N$27,IF(AW$77+$F115&lt;=24,2,3),FALSE)),$C$3)*(1+IF('IP Attrition'!AW172&gt;0,'Attrition Modeling'!$N$9,0)))</f>
        <v>0</v>
      </c>
      <c r="AX115" s="799">
        <f>AW115*(1-IFERROR(IF(AX$77+$F115&lt;=12,SUMIFS('Attrition Modeling'!$D:$D,'Attrition Modeling'!$C:$C,$D115,'Attrition Modeling'!$B:$B,AX$76),VLOOKUP($F115+AX$77,$A$7:$C$107,2,FALSE)*VLOOKUP(AX$76,'Attrition Modeling'!$L$15:$N$27,IF(AX$77+$F115&lt;=24,2,3),FALSE)),$C$3)*(1+IF('IP Attrition'!AX172&gt;0,'Attrition Modeling'!$N$9,0)))</f>
        <v>0</v>
      </c>
      <c r="AY115" s="799">
        <f>AX115*(1-IFERROR(IF(AY$77+$F115&lt;=12,SUMIFS('Attrition Modeling'!$D:$D,'Attrition Modeling'!$C:$C,$D115,'Attrition Modeling'!$B:$B,AY$76),VLOOKUP($F115+AY$77,$A$7:$C$107,2,FALSE)*VLOOKUP(AY$76,'Attrition Modeling'!$L$15:$N$27,IF(AY$77+$F115&lt;=24,2,3),FALSE)),$C$3)*(1+IF('IP Attrition'!AY172&gt;0,'Attrition Modeling'!$N$9,0)))</f>
        <v>0</v>
      </c>
      <c r="AZ115" s="799">
        <f>AY115*(1-IFERROR(IF(AZ$77+$F115&lt;=12,SUMIFS('Attrition Modeling'!$D:$D,'Attrition Modeling'!$C:$C,$D115,'Attrition Modeling'!$B:$B,AZ$76),VLOOKUP($F115+AZ$77,$A$7:$C$107,2,FALSE)*VLOOKUP(AZ$76,'Attrition Modeling'!$L$15:$N$27,IF(AZ$77+$F115&lt;=24,2,3),FALSE)),$C$3)*(1+IF('IP Attrition'!AZ172&gt;0,'Attrition Modeling'!$N$9,0)))</f>
        <v>0</v>
      </c>
      <c r="BA115" s="799">
        <f>AZ115*(1-IFERROR(IF(BA$77+$F115&lt;=12,SUMIFS('Attrition Modeling'!$D:$D,'Attrition Modeling'!$C:$C,$D115,'Attrition Modeling'!$B:$B,BA$76),VLOOKUP($F115+BA$77,$A$7:$C$107,2,FALSE)*VLOOKUP(BA$76,'Attrition Modeling'!$L$15:$N$27,IF(BA$77+$F115&lt;=24,2,3),FALSE)),$C$3)*(1+IF('IP Attrition'!BA172&gt;0,'Attrition Modeling'!$N$9,0)))</f>
        <v>0</v>
      </c>
      <c r="BB115" s="799">
        <f>BA115*(1-IFERROR(IF(BB$77+$F115&lt;=12,SUMIFS('Attrition Modeling'!$D:$D,'Attrition Modeling'!$C:$C,$D115,'Attrition Modeling'!$B:$B,BB$76),VLOOKUP($F115+BB$77,$A$7:$C$107,2,FALSE)*VLOOKUP(BB$76,'Attrition Modeling'!$L$15:$N$27,IF(BB$77+$F115&lt;=24,2,3),FALSE)),$C$3)*(1+IF('IP Attrition'!BB172&gt;0,'Attrition Modeling'!$N$9,0)))</f>
        <v>0</v>
      </c>
      <c r="BC115" s="799">
        <f>BB115*(1-IFERROR(IF(BC$77+$F115&lt;=12,SUMIFS('Attrition Modeling'!$D:$D,'Attrition Modeling'!$C:$C,$D115,'Attrition Modeling'!$B:$B,BC$76),VLOOKUP($F115+BC$77,$A$7:$C$107,2,FALSE)*VLOOKUP(BC$76,'Attrition Modeling'!$L$15:$N$27,IF(BC$77+$F115&lt;=24,2,3),FALSE)),$C$3)*(1+IF('IP Attrition'!BC172&gt;0,'Attrition Modeling'!$N$9,0)))</f>
        <v>0</v>
      </c>
      <c r="BD115" s="799">
        <f>BC115*(1-IFERROR(IF(BD$77+$F115&lt;=12,SUMIFS('Attrition Modeling'!$D:$D,'Attrition Modeling'!$C:$C,$D115,'Attrition Modeling'!$B:$B,BD$76),VLOOKUP($F115+BD$77,$A$7:$C$107,2,FALSE)*VLOOKUP(BD$76,'Attrition Modeling'!$L$15:$N$27,IF(BD$77+$F115&lt;=24,2,3),FALSE)),$C$3)*(1+IF('IP Attrition'!BD172&gt;0,'Attrition Modeling'!$N$9,0)))</f>
        <v>0</v>
      </c>
      <c r="BE115" s="799">
        <f>BD115*(1-IFERROR(IF(BE$77+$F115&lt;=12,SUMIFS('Attrition Modeling'!$D:$D,'Attrition Modeling'!$C:$C,$D115,'Attrition Modeling'!$B:$B,BE$76),VLOOKUP($F115+BE$77,$A$7:$C$107,2,FALSE)*VLOOKUP(BE$76,'Attrition Modeling'!$L$15:$N$27,IF(BE$77+$F115&lt;=24,2,3),FALSE)),$C$3)*(1+IF('IP Attrition'!BE172&gt;0,'Attrition Modeling'!$N$9,0)))</f>
        <v>0</v>
      </c>
      <c r="BF115" s="799">
        <f>BE115*(1-IFERROR(IF(BF$77+$F115&lt;=12,SUMIFS('Attrition Modeling'!$D:$D,'Attrition Modeling'!$C:$C,$D115,'Attrition Modeling'!$B:$B,BF$76),VLOOKUP($F115+BF$77,$A$7:$C$107,2,FALSE)*VLOOKUP(BF$76,'Attrition Modeling'!$L$15:$N$27,IF(BF$77+$F115&lt;=24,2,3),FALSE)),$C$3)*(1+IF('IP Attrition'!BF172&gt;0,'Attrition Modeling'!$N$9,0)))</f>
        <v>0</v>
      </c>
      <c r="BG115" s="799">
        <f>BF115*(1-IFERROR(IF(BG$77+$F115&lt;=12,SUMIFS('Attrition Modeling'!$D:$D,'Attrition Modeling'!$C:$C,$D115,'Attrition Modeling'!$B:$B,BG$76),VLOOKUP($F115+BG$77,$A$7:$C$107,2,FALSE)*VLOOKUP(BG$76,'Attrition Modeling'!$L$15:$N$27,IF(BG$77+$F115&lt;=24,2,3),FALSE)),$C$3)*(1+IF('IP Attrition'!BG172&gt;0,'Attrition Modeling'!$N$9,0)))</f>
        <v>0</v>
      </c>
      <c r="BH115" s="799">
        <f>BG115*(1-IFERROR(IF(BH$77+$F115&lt;=12,SUMIFS('Attrition Modeling'!$D:$D,'Attrition Modeling'!$C:$C,$D115,'Attrition Modeling'!$B:$B,BH$76),VLOOKUP($F115+BH$77,$A$7:$C$107,2,FALSE)*VLOOKUP(BH$76,'Attrition Modeling'!$L$15:$N$27,IF(BH$77+$F115&lt;=24,2,3),FALSE)),$C$3)*(1+IF('IP Attrition'!BH172&gt;0,'Attrition Modeling'!$N$9,0)))</f>
        <v>0</v>
      </c>
      <c r="BI115" s="799">
        <f>BH115*(1-IFERROR(IF(BI$77+$F115&lt;=12,SUMIFS('Attrition Modeling'!$D:$D,'Attrition Modeling'!$C:$C,$D115,'Attrition Modeling'!$B:$B,BI$76),VLOOKUP($F115+BI$77,$A$7:$C$107,2,FALSE)*VLOOKUP(BI$76,'Attrition Modeling'!$L$15:$N$27,IF(BI$77+$F115&lt;=24,2,3),FALSE)),$C$3)*(1+IF('IP Attrition'!BI172&gt;0,'Attrition Modeling'!$N$9,0)))</f>
        <v>0</v>
      </c>
      <c r="BJ115" s="799">
        <f>BI115*(1-IFERROR(IF(BJ$77+$F115&lt;=12,SUMIFS('Attrition Modeling'!$D:$D,'Attrition Modeling'!$C:$C,$D115,'Attrition Modeling'!$B:$B,BJ$76),VLOOKUP($F115+BJ$77,$A$7:$C$107,2,FALSE)*VLOOKUP(BJ$76,'Attrition Modeling'!$L$15:$N$27,IF(BJ$77+$F115&lt;=24,2,3),FALSE)),$C$3)*(1+IF('IP Attrition'!BJ172&gt;0,'Attrition Modeling'!$N$9,0)))</f>
        <v>0</v>
      </c>
      <c r="BK115" s="799">
        <f>BJ115*(1-IFERROR(IF(BK$77+$F115&lt;=12,SUMIFS('Attrition Modeling'!$D:$D,'Attrition Modeling'!$C:$C,$D115,'Attrition Modeling'!$B:$B,BK$76),VLOOKUP($F115+BK$77,$A$7:$C$107,2,FALSE)*VLOOKUP(BK$76,'Attrition Modeling'!$L$15:$N$27,IF(BK$77+$F115&lt;=24,2,3),FALSE)),$C$3)*(1+IF('IP Attrition'!BK172&gt;0,'Attrition Modeling'!$N$9,0)))</f>
        <v>0</v>
      </c>
      <c r="BL115" s="799">
        <f>BK115*(1-IFERROR(IF(BL$77+$F115&lt;=12,SUMIFS('Attrition Modeling'!$D:$D,'Attrition Modeling'!$C:$C,$D115,'Attrition Modeling'!$B:$B,BL$76),VLOOKUP($F115+BL$77,$A$7:$C$107,2,FALSE)*VLOOKUP(BL$76,'Attrition Modeling'!$L$15:$N$27,IF(BL$77+$F115&lt;=24,2,3),FALSE)),$C$3)*(1+IF('IP Attrition'!BL172&gt;0,'Attrition Modeling'!$N$9,0)))</f>
        <v>0</v>
      </c>
      <c r="BM115" s="799">
        <f>BL115*(1-IFERROR(IF(BM$77+$F115&lt;=12,SUMIFS('Attrition Modeling'!$D:$D,'Attrition Modeling'!$C:$C,$D115,'Attrition Modeling'!$B:$B,BM$76),VLOOKUP($F115+BM$77,$A$7:$C$107,2,FALSE)*VLOOKUP(BM$76,'Attrition Modeling'!$L$15:$N$27,IF(BM$77+$F115&lt;=24,2,3),FALSE)),$C$3)*(1+IF('IP Attrition'!BM172&gt;0,'Attrition Modeling'!$N$9,0)))</f>
        <v>0</v>
      </c>
      <c r="BN115" s="799">
        <f>BM115*(1-IFERROR(IF(BN$77+$F115&lt;=12,SUMIFS('Attrition Modeling'!$D:$D,'Attrition Modeling'!$C:$C,$D115,'Attrition Modeling'!$B:$B,BN$76),VLOOKUP($F115+BN$77,$A$7:$C$107,2,FALSE)*VLOOKUP(BN$76,'Attrition Modeling'!$L$15:$N$27,IF(BN$77+$F115&lt;=24,2,3),FALSE)),$C$3)*(1+IF('IP Attrition'!BN172&gt;0,'Attrition Modeling'!$N$9,0)))</f>
        <v>0</v>
      </c>
      <c r="BO115" s="799">
        <f>BN115*(1-IFERROR(IF(BO$77+$F115&lt;=12,SUMIFS('Attrition Modeling'!$D:$D,'Attrition Modeling'!$C:$C,$D115,'Attrition Modeling'!$B:$B,BO$76),VLOOKUP($F115+BO$77,$A$7:$C$107,2,FALSE)*VLOOKUP(BO$76,'Attrition Modeling'!$L$15:$N$27,IF(BO$77+$F115&lt;=24,2,3),FALSE)),$C$3)*(1+IF('IP Attrition'!BO172&gt;0,'Attrition Modeling'!$N$9,0)))</f>
        <v>0</v>
      </c>
      <c r="BP115" s="799">
        <f>BO115*(1-IFERROR(IF(BP$77+$F115&lt;=12,SUMIFS('Attrition Modeling'!$D:$D,'Attrition Modeling'!$C:$C,$D115,'Attrition Modeling'!$B:$B,BP$76),VLOOKUP($F115+BP$77,$A$7:$C$107,2,FALSE)*VLOOKUP(BP$76,'Attrition Modeling'!$L$15:$N$27,IF(BP$77+$F115&lt;=24,2,3),FALSE)),$C$3)*(1+IF('IP Attrition'!BP172&gt;0,'Attrition Modeling'!$N$9,0)))</f>
        <v>0</v>
      </c>
      <c r="BQ115" s="799">
        <f>BP115*(1-IFERROR(IF(BQ$77+$F115&lt;=12,SUMIFS('Attrition Modeling'!$D:$D,'Attrition Modeling'!$C:$C,$D115,'Attrition Modeling'!$B:$B,BQ$76),VLOOKUP($F115+BQ$77,$A$7:$C$107,2,FALSE)*VLOOKUP(BQ$76,'Attrition Modeling'!$L$15:$N$27,IF(BQ$77+$F115&lt;=24,2,3),FALSE)),$C$3)*(1+IF('IP Attrition'!BQ172&gt;0,'Attrition Modeling'!$N$9,0)))</f>
        <v>0</v>
      </c>
      <c r="BR115" s="799">
        <f>BQ115*(1-IFERROR(IF(BR$77+$F115&lt;=12,SUMIFS('Attrition Modeling'!$D:$D,'Attrition Modeling'!$C:$C,$D115,'Attrition Modeling'!$B:$B,BR$76),VLOOKUP($F115+BR$77,$A$7:$C$107,2,FALSE)*VLOOKUP(BR$76,'Attrition Modeling'!$L$15:$N$27,IF(BR$77+$F115&lt;=24,2,3),FALSE)),$C$3)*(1+IF('IP Attrition'!BR172&gt;0,'Attrition Modeling'!$N$9,0)))</f>
        <v>0</v>
      </c>
      <c r="BS115" s="799">
        <f>BR115*(1-IFERROR(IF(BS$77+$F115&lt;=12,SUMIFS('Attrition Modeling'!$D:$D,'Attrition Modeling'!$C:$C,$D115,'Attrition Modeling'!$B:$B,BS$76),VLOOKUP($F115+BS$77,$A$7:$C$107,2,FALSE)*VLOOKUP(BS$76,'Attrition Modeling'!$L$15:$N$27,IF(BS$77+$F115&lt;=24,2,3),FALSE)),$C$3)*(1+IF('IP Attrition'!BS172&gt;0,'Attrition Modeling'!$N$9,0)))</f>
        <v>0</v>
      </c>
      <c r="BT115" s="799" t="e">
        <f>BS115*(1-IFERROR(IF(BT$77+$F115&lt;=12,SUMIFS('Attrition Modeling'!$D:$D,'Attrition Modeling'!$C:$C,$D115,'Attrition Modeling'!$B:$B,BT$76),VLOOKUP($F115+BT$77,$A$7:$C$107,2,FALSE)*VLOOKUP(BT$76,'Attrition Modeling'!$L$15:$N$27,IF(BT$77+$F115&lt;=24,2,3),FALSE)),$C$3)*(1+IF('IP Attrition'!BT172&gt;0,'Attrition Modeling'!$N$9,0)))</f>
        <v>#REF!</v>
      </c>
      <c r="BU115" s="799" t="e">
        <f>BT115*(1-IFERROR(IF(BU$77+$F115&lt;=12,SUMIFS('Attrition Modeling'!$D:$D,'Attrition Modeling'!$C:$C,$D115,'Attrition Modeling'!$B:$B,BU$76),VLOOKUP($F115+BU$77,$A$7:$C$107,2,FALSE)*VLOOKUP(BU$76,'Attrition Modeling'!$L$15:$N$27,IF(BU$77+$F115&lt;=24,2,3),FALSE)),$C$3)*(1+IF('IP Attrition'!BU172&gt;0,'Attrition Modeling'!$N$9,0)))</f>
        <v>#REF!</v>
      </c>
    </row>
    <row r="116" spans="1:73" ht="14.25" customHeight="1" x14ac:dyDescent="0.2">
      <c r="A116" s="9">
        <v>108</v>
      </c>
      <c r="B116" s="25">
        <f>MAX('Attrition Modeling'!H112,$C$3)*(1-Summary!$C$20)</f>
        <v>0.02</v>
      </c>
      <c r="C116" s="24" t="e">
        <f t="shared" si="2"/>
        <v>#DIV/0!</v>
      </c>
      <c r="D116" s="11">
        <f>'IP Attrition'!D108</f>
        <v>-38</v>
      </c>
      <c r="E116" s="25">
        <f>'IP Attrition'!E108</f>
        <v>0</v>
      </c>
      <c r="F116" s="11">
        <f t="shared" si="8"/>
        <v>38</v>
      </c>
      <c r="G116" s="799">
        <f>Summary!$C$24*$E116</f>
        <v>0</v>
      </c>
      <c r="H116" s="799">
        <f>G116*(1-IFERROR(IF(H$77+$F116&lt;=12,SUMIFS('Attrition Modeling'!$D:$D,'Attrition Modeling'!$C:$C,$D116,'Attrition Modeling'!$B:$B,H$76),VLOOKUP($F116+H$77,$A$7:$C$107,2,FALSE)*VLOOKUP(H$76,'Attrition Modeling'!$L$15:$N$27,IF(H$77+$F116&lt;=24,2,3),FALSE)),$C$3)*(1+IF('IP Attrition'!H173&gt;0,'Attrition Modeling'!$N$9,0)))</f>
        <v>0</v>
      </c>
      <c r="I116" s="799">
        <f>H116*(1-IFERROR(IF(I$77+$F116&lt;=12,SUMIFS('Attrition Modeling'!$D:$D,'Attrition Modeling'!$C:$C,$D116,'Attrition Modeling'!$B:$B,I$76),VLOOKUP($F116+I$77,$A$7:$C$107,2,FALSE)*VLOOKUP(I$76,'Attrition Modeling'!$L$15:$N$27,IF(I$77+$F116&lt;=24,2,3),FALSE)),$C$3)*(1+IF('IP Attrition'!I173&gt;0,'Attrition Modeling'!$N$9,0)))</f>
        <v>0</v>
      </c>
      <c r="J116" s="799">
        <f>I116*(1-IFERROR(IF(J$77+$F116&lt;=12,SUMIFS('Attrition Modeling'!$D:$D,'Attrition Modeling'!$C:$C,$D116,'Attrition Modeling'!$B:$B,J$76),VLOOKUP($F116+J$77,$A$7:$C$107,2,FALSE)*VLOOKUP(J$76,'Attrition Modeling'!$L$15:$N$27,IF(J$77+$F116&lt;=24,2,3),FALSE)),$C$3)*(1+IF('IP Attrition'!J173&gt;0,'Attrition Modeling'!$N$9,0)))</f>
        <v>0</v>
      </c>
      <c r="K116" s="799">
        <f>J116*(1-IFERROR(IF(K$77+$F116&lt;=12,SUMIFS('Attrition Modeling'!$D:$D,'Attrition Modeling'!$C:$C,$D116,'Attrition Modeling'!$B:$B,K$76),VLOOKUP($F116+K$77,$A$7:$C$107,2,FALSE)*VLOOKUP(K$76,'Attrition Modeling'!$L$15:$N$27,IF(K$77+$F116&lt;=24,2,3),FALSE)),$C$3)*(1+IF('IP Attrition'!K173&gt;0,'Attrition Modeling'!$N$9,0)))</f>
        <v>0</v>
      </c>
      <c r="L116" s="799">
        <f>K116*(1-IFERROR(IF(L$77+$F116&lt;=12,SUMIFS('Attrition Modeling'!$D:$D,'Attrition Modeling'!$C:$C,$D116,'Attrition Modeling'!$B:$B,L$76),VLOOKUP($F116+L$77,$A$7:$C$107,2,FALSE)*VLOOKUP(L$76,'Attrition Modeling'!$L$15:$N$27,IF(L$77+$F116&lt;=24,2,3),FALSE)),$C$3)*(1+IF('IP Attrition'!L173&gt;0,'Attrition Modeling'!$N$9,0)))</f>
        <v>0</v>
      </c>
      <c r="M116" s="799">
        <f>L116*(1-IFERROR(IF(M$77+$F116&lt;=12,SUMIFS('Attrition Modeling'!$D:$D,'Attrition Modeling'!$C:$C,$D116,'Attrition Modeling'!$B:$B,M$76),VLOOKUP($F116+M$77,$A$7:$C$107,2,FALSE)*VLOOKUP(M$76,'Attrition Modeling'!$L$15:$N$27,IF(M$77+$F116&lt;=24,2,3),FALSE)),$C$3)*(1+IF('IP Attrition'!M173&gt;0,'Attrition Modeling'!$N$9,0)))</f>
        <v>0</v>
      </c>
      <c r="N116" s="799">
        <f>M116*(1-IFERROR(IF(N$77+$F116&lt;=12,SUMIFS('Attrition Modeling'!$D:$D,'Attrition Modeling'!$C:$C,$D116,'Attrition Modeling'!$B:$B,N$76),VLOOKUP($F116+N$77,$A$7:$C$107,2,FALSE)*VLOOKUP(N$76,'Attrition Modeling'!$L$15:$N$27,IF(N$77+$F116&lt;=24,2,3),FALSE)),$C$3)*(1+IF('IP Attrition'!N173&gt;0,'Attrition Modeling'!$N$9,0)))</f>
        <v>0</v>
      </c>
      <c r="O116" s="799">
        <f>N116*(1-IFERROR(IF(O$77+$F116&lt;=12,SUMIFS('Attrition Modeling'!$D:$D,'Attrition Modeling'!$C:$C,$D116,'Attrition Modeling'!$B:$B,O$76),VLOOKUP($F116+O$77,$A$7:$C$107,2,FALSE)*VLOOKUP(O$76,'Attrition Modeling'!$L$15:$N$27,IF(O$77+$F116&lt;=24,2,3),FALSE)),$C$3)*(1+IF('IP Attrition'!O173&gt;0,'Attrition Modeling'!$N$9,0)))</f>
        <v>0</v>
      </c>
      <c r="P116" s="799">
        <f>O116*(1-IFERROR(IF(P$77+$F116&lt;=12,SUMIFS('Attrition Modeling'!$D:$D,'Attrition Modeling'!$C:$C,$D116,'Attrition Modeling'!$B:$B,P$76),VLOOKUP($F116+P$77,$A$7:$C$107,2,FALSE)*VLOOKUP(P$76,'Attrition Modeling'!$L$15:$N$27,IF(P$77+$F116&lt;=24,2,3),FALSE)),$C$3)*(1+IF('IP Attrition'!P173&gt;0,'Attrition Modeling'!$N$9,0)))</f>
        <v>0</v>
      </c>
      <c r="Q116" s="799">
        <f>P116*(1-IFERROR(IF(Q$77+$F116&lt;=12,SUMIFS('Attrition Modeling'!$D:$D,'Attrition Modeling'!$C:$C,$D116,'Attrition Modeling'!$B:$B,Q$76),VLOOKUP($F116+Q$77,$A$7:$C$107,2,FALSE)*VLOOKUP(Q$76,'Attrition Modeling'!$L$15:$N$27,IF(Q$77+$F116&lt;=24,2,3),FALSE)),$C$3)*(1+IF('IP Attrition'!Q173&gt;0,'Attrition Modeling'!$N$9,0)))</f>
        <v>0</v>
      </c>
      <c r="R116" s="799">
        <f>Q116*(1-IFERROR(IF(R$77+$F116&lt;=12,SUMIFS('Attrition Modeling'!$D:$D,'Attrition Modeling'!$C:$C,$D116,'Attrition Modeling'!$B:$B,R$76),VLOOKUP($F116+R$77,$A$7:$C$107,2,FALSE)*VLOOKUP(R$76,'Attrition Modeling'!$L$15:$N$27,IF(R$77+$F116&lt;=24,2,3),FALSE)),$C$3)*(1+IF('IP Attrition'!R173&gt;0,'Attrition Modeling'!$N$9,0)))</f>
        <v>0</v>
      </c>
      <c r="S116" s="799">
        <f>R116*(1-IFERROR(IF(S$77+$F116&lt;=12,SUMIFS('Attrition Modeling'!$D:$D,'Attrition Modeling'!$C:$C,$D116,'Attrition Modeling'!$B:$B,S$76),VLOOKUP($F116+S$77,$A$7:$C$107,2,FALSE)*VLOOKUP(S$76,'Attrition Modeling'!$L$15:$N$27,IF(S$77+$F116&lt;=24,2,3),FALSE)),$C$3)*(1+IF('IP Attrition'!S173&gt;0,'Attrition Modeling'!$N$9,0)))</f>
        <v>0</v>
      </c>
      <c r="T116" s="799">
        <f>S116*(1-IFERROR(IF(T$77+$F116&lt;=12,SUMIFS('Attrition Modeling'!$D:$D,'Attrition Modeling'!$C:$C,$D116,'Attrition Modeling'!$B:$B,T$76),VLOOKUP($F116+T$77,$A$7:$C$107,2,FALSE)*VLOOKUP(T$76,'Attrition Modeling'!$L$15:$N$27,IF(T$77+$F116&lt;=24,2,3),FALSE)),$C$3)*(1+IF('IP Attrition'!T173&gt;0,'Attrition Modeling'!$N$9,0)))</f>
        <v>0</v>
      </c>
      <c r="U116" s="799">
        <f>T116*(1-IFERROR(IF(U$77+$F116&lt;=12,SUMIFS('Attrition Modeling'!$D:$D,'Attrition Modeling'!$C:$C,$D116,'Attrition Modeling'!$B:$B,U$76),VLOOKUP($F116+U$77,$A$7:$C$107,2,FALSE)*VLOOKUP(U$76,'Attrition Modeling'!$L$15:$N$27,IF(U$77+$F116&lt;=24,2,3),FALSE)),$C$3)*(1+IF('IP Attrition'!U173&gt;0,'Attrition Modeling'!$N$9,0)))</f>
        <v>0</v>
      </c>
      <c r="V116" s="799">
        <f>U116*(1-IFERROR(IF(V$77+$F116&lt;=12,SUMIFS('Attrition Modeling'!$D:$D,'Attrition Modeling'!$C:$C,$D116,'Attrition Modeling'!$B:$B,V$76),VLOOKUP($F116+V$77,$A$7:$C$107,2,FALSE)*VLOOKUP(V$76,'Attrition Modeling'!$L$15:$N$27,IF(V$77+$F116&lt;=24,2,3),FALSE)),$C$3)*(1+IF('IP Attrition'!V173&gt;0,'Attrition Modeling'!$N$9,0)))</f>
        <v>0</v>
      </c>
      <c r="W116" s="799">
        <f>V116*(1-IFERROR(IF(W$77+$F116&lt;=12,SUMIFS('Attrition Modeling'!$D:$D,'Attrition Modeling'!$C:$C,$D116,'Attrition Modeling'!$B:$B,W$76),VLOOKUP($F116+W$77,$A$7:$C$107,2,FALSE)*VLOOKUP(W$76,'Attrition Modeling'!$L$15:$N$27,IF(W$77+$F116&lt;=24,2,3),FALSE)),$C$3)*(1+IF('IP Attrition'!W173&gt;0,'Attrition Modeling'!$N$9,0)))</f>
        <v>0</v>
      </c>
      <c r="X116" s="799">
        <f>W116*(1-IFERROR(IF(X$77+$F116&lt;=12,SUMIFS('Attrition Modeling'!$D:$D,'Attrition Modeling'!$C:$C,$D116,'Attrition Modeling'!$B:$B,X$76),VLOOKUP($F116+X$77,$A$7:$C$107,2,FALSE)*VLOOKUP(X$76,'Attrition Modeling'!$L$15:$N$27,IF(X$77+$F116&lt;=24,2,3),FALSE)),$C$3)*(1+IF('IP Attrition'!X173&gt;0,'Attrition Modeling'!$N$9,0)))</f>
        <v>0</v>
      </c>
      <c r="Y116" s="799">
        <f>X116*(1-IFERROR(IF(Y$77+$F116&lt;=12,SUMIFS('Attrition Modeling'!$D:$D,'Attrition Modeling'!$C:$C,$D116,'Attrition Modeling'!$B:$B,Y$76),VLOOKUP($F116+Y$77,$A$7:$C$107,2,FALSE)*VLOOKUP(Y$76,'Attrition Modeling'!$L$15:$N$27,IF(Y$77+$F116&lt;=24,2,3),FALSE)),$C$3)*(1+IF('IP Attrition'!Y173&gt;0,'Attrition Modeling'!$N$9,0)))</f>
        <v>0</v>
      </c>
      <c r="Z116" s="799">
        <f>Y116*(1-IFERROR(IF(Z$77+$F116&lt;=12,SUMIFS('Attrition Modeling'!$D:$D,'Attrition Modeling'!$C:$C,$D116,'Attrition Modeling'!$B:$B,Z$76),VLOOKUP($F116+Z$77,$A$7:$C$107,2,FALSE)*VLOOKUP(Z$76,'Attrition Modeling'!$L$15:$N$27,IF(Z$77+$F116&lt;=24,2,3),FALSE)),$C$3)*(1+IF('IP Attrition'!Z173&gt;0,'Attrition Modeling'!$N$9,0)))</f>
        <v>0</v>
      </c>
      <c r="AA116" s="799">
        <f>Z116*(1-IFERROR(IF(AA$77+$F116&lt;=12,SUMIFS('Attrition Modeling'!$D:$D,'Attrition Modeling'!$C:$C,$D116,'Attrition Modeling'!$B:$B,AA$76),VLOOKUP($F116+AA$77,$A$7:$C$107,2,FALSE)*VLOOKUP(AA$76,'Attrition Modeling'!$L$15:$N$27,IF(AA$77+$F116&lt;=24,2,3),FALSE)),$C$3)*(1+IF('IP Attrition'!AA173&gt;0,'Attrition Modeling'!$N$9,0)))</f>
        <v>0</v>
      </c>
      <c r="AB116" s="799">
        <f>AA116*(1-IFERROR(IF(AB$77+$F116&lt;=12,SUMIFS('Attrition Modeling'!$D:$D,'Attrition Modeling'!$C:$C,$D116,'Attrition Modeling'!$B:$B,AB$76),VLOOKUP($F116+AB$77,$A$7:$C$107,2,FALSE)*VLOOKUP(AB$76,'Attrition Modeling'!$L$15:$N$27,IF(AB$77+$F116&lt;=24,2,3),FALSE)),$C$3)*(1+IF('IP Attrition'!AB173&gt;0,'Attrition Modeling'!$N$9,0)))</f>
        <v>0</v>
      </c>
      <c r="AC116" s="799">
        <f>AB116*(1-IFERROR(IF(AC$77+$F116&lt;=12,SUMIFS('Attrition Modeling'!$D:$D,'Attrition Modeling'!$C:$C,$D116,'Attrition Modeling'!$B:$B,AC$76),VLOOKUP($F116+AC$77,$A$7:$C$107,2,FALSE)*VLOOKUP(AC$76,'Attrition Modeling'!$L$15:$N$27,IF(AC$77+$F116&lt;=24,2,3),FALSE)),$C$3)*(1+IF('IP Attrition'!AC173&gt;0,'Attrition Modeling'!$N$9,0)))</f>
        <v>0</v>
      </c>
      <c r="AD116" s="799">
        <f>AC116*(1-IFERROR(IF(AD$77+$F116&lt;=12,SUMIFS('Attrition Modeling'!$D:$D,'Attrition Modeling'!$C:$C,$D116,'Attrition Modeling'!$B:$B,AD$76),VLOOKUP($F116+AD$77,$A$7:$C$107,2,FALSE)*VLOOKUP(AD$76,'Attrition Modeling'!$L$15:$N$27,IF(AD$77+$F116&lt;=24,2,3),FALSE)),$C$3)*(1+IF('IP Attrition'!AD173&gt;0,'Attrition Modeling'!$N$9,0)))</f>
        <v>0</v>
      </c>
      <c r="AE116" s="799">
        <f>AD116*(1-IFERROR(IF(AE$77+$F116&lt;=12,SUMIFS('Attrition Modeling'!$D:$D,'Attrition Modeling'!$C:$C,$D116,'Attrition Modeling'!$B:$B,AE$76),VLOOKUP($F116+AE$77,$A$7:$C$107,2,FALSE)*VLOOKUP(AE$76,'Attrition Modeling'!$L$15:$N$27,IF(AE$77+$F116&lt;=24,2,3),FALSE)),$C$3)*(1+IF('IP Attrition'!AE173&gt;0,'Attrition Modeling'!$N$9,0)))</f>
        <v>0</v>
      </c>
      <c r="AF116" s="799">
        <f>AE116*(1-IFERROR(IF(AF$77+$F116&lt;=12,SUMIFS('Attrition Modeling'!$D:$D,'Attrition Modeling'!$C:$C,$D116,'Attrition Modeling'!$B:$B,AF$76),VLOOKUP($F116+AF$77,$A$7:$C$107,2,FALSE)*VLOOKUP(AF$76,'Attrition Modeling'!$L$15:$N$27,IF(AF$77+$F116&lt;=24,2,3),FALSE)),$C$3)*(1+IF('IP Attrition'!AF173&gt;0,'Attrition Modeling'!$N$9,0)))</f>
        <v>0</v>
      </c>
      <c r="AG116" s="799">
        <f>AF116*(1-IFERROR(IF(AG$77+$F116&lt;=12,SUMIFS('Attrition Modeling'!$D:$D,'Attrition Modeling'!$C:$C,$D116,'Attrition Modeling'!$B:$B,AG$76),VLOOKUP($F116+AG$77,$A$7:$C$107,2,FALSE)*VLOOKUP(AG$76,'Attrition Modeling'!$L$15:$N$27,IF(AG$77+$F116&lt;=24,2,3),FALSE)),$C$3)*(1+IF('IP Attrition'!AG173&gt;0,'Attrition Modeling'!$N$9,0)))</f>
        <v>0</v>
      </c>
      <c r="AH116" s="799">
        <f>AG116*(1-IFERROR(IF(AH$77+$F116&lt;=12,SUMIFS('Attrition Modeling'!$D:$D,'Attrition Modeling'!$C:$C,$D116,'Attrition Modeling'!$B:$B,AH$76),VLOOKUP($F116+AH$77,$A$7:$C$107,2,FALSE)*VLOOKUP(AH$76,'Attrition Modeling'!$L$15:$N$27,IF(AH$77+$F116&lt;=24,2,3),FALSE)),$C$3)*(1+IF('IP Attrition'!AH173&gt;0,'Attrition Modeling'!$N$9,0)))</f>
        <v>0</v>
      </c>
      <c r="AI116" s="799">
        <f>AH116*(1-IFERROR(IF(AI$77+$F116&lt;=12,SUMIFS('Attrition Modeling'!$D:$D,'Attrition Modeling'!$C:$C,$D116,'Attrition Modeling'!$B:$B,AI$76),VLOOKUP($F116+AI$77,$A$7:$C$107,2,FALSE)*VLOOKUP(AI$76,'Attrition Modeling'!$L$15:$N$27,IF(AI$77+$F116&lt;=24,2,3),FALSE)),$C$3)*(1+IF('IP Attrition'!AI173&gt;0,'Attrition Modeling'!$N$9,0)))</f>
        <v>0</v>
      </c>
      <c r="AJ116" s="799">
        <f>AI116*(1-IFERROR(IF(AJ$77+$F116&lt;=12,SUMIFS('Attrition Modeling'!$D:$D,'Attrition Modeling'!$C:$C,$D116,'Attrition Modeling'!$B:$B,AJ$76),VLOOKUP($F116+AJ$77,$A$7:$C$107,2,FALSE)*VLOOKUP(AJ$76,'Attrition Modeling'!$L$15:$N$27,IF(AJ$77+$F116&lt;=24,2,3),FALSE)),$C$3)*(1+IF('IP Attrition'!AJ173&gt;0,'Attrition Modeling'!$N$9,0)))</f>
        <v>0</v>
      </c>
      <c r="AK116" s="799">
        <f>AJ116*(1-IFERROR(IF(AK$77+$F116&lt;=12,SUMIFS('Attrition Modeling'!$D:$D,'Attrition Modeling'!$C:$C,$D116,'Attrition Modeling'!$B:$B,AK$76),VLOOKUP($F116+AK$77,$A$7:$C$107,2,FALSE)*VLOOKUP(AK$76,'Attrition Modeling'!$L$15:$N$27,IF(AK$77+$F116&lt;=24,2,3),FALSE)),$C$3)*(1+IF('IP Attrition'!AK173&gt;0,'Attrition Modeling'!$N$9,0)))</f>
        <v>0</v>
      </c>
      <c r="AL116" s="799">
        <f>AK116*(1-IFERROR(IF(AL$77+$F116&lt;=12,SUMIFS('Attrition Modeling'!$D:$D,'Attrition Modeling'!$C:$C,$D116,'Attrition Modeling'!$B:$B,AL$76),VLOOKUP($F116+AL$77,$A$7:$C$107,2,FALSE)*VLOOKUP(AL$76,'Attrition Modeling'!$L$15:$N$27,IF(AL$77+$F116&lt;=24,2,3),FALSE)),$C$3)*(1+IF('IP Attrition'!AL173&gt;0,'Attrition Modeling'!$N$9,0)))</f>
        <v>0</v>
      </c>
      <c r="AM116" s="799">
        <f>AL116*(1-IFERROR(IF(AM$77+$F116&lt;=12,SUMIFS('Attrition Modeling'!$D:$D,'Attrition Modeling'!$C:$C,$D116,'Attrition Modeling'!$B:$B,AM$76),VLOOKUP($F116+AM$77,$A$7:$C$107,2,FALSE)*VLOOKUP(AM$76,'Attrition Modeling'!$L$15:$N$27,IF(AM$77+$F116&lt;=24,2,3),FALSE)),$C$3)*(1+IF('IP Attrition'!AM173&gt;0,'Attrition Modeling'!$N$9,0)))</f>
        <v>0</v>
      </c>
      <c r="AN116" s="799">
        <f>AM116*(1-IFERROR(IF(AN$77+$F116&lt;=12,SUMIFS('Attrition Modeling'!$D:$D,'Attrition Modeling'!$C:$C,$D116,'Attrition Modeling'!$B:$B,AN$76),VLOOKUP($F116+AN$77,$A$7:$C$107,2,FALSE)*VLOOKUP(AN$76,'Attrition Modeling'!$L$15:$N$27,IF(AN$77+$F116&lt;=24,2,3),FALSE)),$C$3)*(1+IF('IP Attrition'!AN173&gt;0,'Attrition Modeling'!$N$9,0)))</f>
        <v>0</v>
      </c>
      <c r="AO116" s="799">
        <f>AN116*(1-IFERROR(IF(AO$77+$F116&lt;=12,SUMIFS('Attrition Modeling'!$D:$D,'Attrition Modeling'!$C:$C,$D116,'Attrition Modeling'!$B:$B,AO$76),VLOOKUP($F116+AO$77,$A$7:$C$107,2,FALSE)*VLOOKUP(AO$76,'Attrition Modeling'!$L$15:$N$27,IF(AO$77+$F116&lt;=24,2,3),FALSE)),$C$3)*(1+IF('IP Attrition'!AO173&gt;0,'Attrition Modeling'!$N$9,0)))</f>
        <v>0</v>
      </c>
      <c r="AP116" s="799">
        <f>AO116*(1-IFERROR(IF(AP$77+$F116&lt;=12,SUMIFS('Attrition Modeling'!$D:$D,'Attrition Modeling'!$C:$C,$D116,'Attrition Modeling'!$B:$B,AP$76),VLOOKUP($F116+AP$77,$A$7:$C$107,2,FALSE)*VLOOKUP(AP$76,'Attrition Modeling'!$L$15:$N$27,IF(AP$77+$F116&lt;=24,2,3),FALSE)),$C$3)*(1+IF('IP Attrition'!AP173&gt;0,'Attrition Modeling'!$N$9,0)))</f>
        <v>0</v>
      </c>
      <c r="AQ116" s="799">
        <f>AP116*(1-IFERROR(IF(AQ$77+$F116&lt;=12,SUMIFS('Attrition Modeling'!$D:$D,'Attrition Modeling'!$C:$C,$D116,'Attrition Modeling'!$B:$B,AQ$76),VLOOKUP($F116+AQ$77,$A$7:$C$107,2,FALSE)*VLOOKUP(AQ$76,'Attrition Modeling'!$L$15:$N$27,IF(AQ$77+$F116&lt;=24,2,3),FALSE)),$C$3)*(1+IF('IP Attrition'!AQ173&gt;0,'Attrition Modeling'!$N$9,0)))</f>
        <v>0</v>
      </c>
      <c r="AR116" s="799">
        <f>AQ116*(1-IFERROR(IF(AR$77+$F116&lt;=12,SUMIFS('Attrition Modeling'!$D:$D,'Attrition Modeling'!$C:$C,$D116,'Attrition Modeling'!$B:$B,AR$76),VLOOKUP($F116+AR$77,$A$7:$C$107,2,FALSE)*VLOOKUP(AR$76,'Attrition Modeling'!$L$15:$N$27,IF(AR$77+$F116&lt;=24,2,3),FALSE)),$C$3)*(1+IF('IP Attrition'!AR173&gt;0,'Attrition Modeling'!$N$9,0)))</f>
        <v>0</v>
      </c>
      <c r="AS116" s="799">
        <f>AR116*(1-IFERROR(IF(AS$77+$F116&lt;=12,SUMIFS('Attrition Modeling'!$D:$D,'Attrition Modeling'!$C:$C,$D116,'Attrition Modeling'!$B:$B,AS$76),VLOOKUP($F116+AS$77,$A$7:$C$107,2,FALSE)*VLOOKUP(AS$76,'Attrition Modeling'!$L$15:$N$27,IF(AS$77+$F116&lt;=24,2,3),FALSE)),$C$3)*(1+IF('IP Attrition'!AS173&gt;0,'Attrition Modeling'!$N$9,0)))</f>
        <v>0</v>
      </c>
      <c r="AT116" s="799">
        <f>AS116*(1-IFERROR(IF(AT$77+$F116&lt;=12,SUMIFS('Attrition Modeling'!$D:$D,'Attrition Modeling'!$C:$C,$D116,'Attrition Modeling'!$B:$B,AT$76),VLOOKUP($F116+AT$77,$A$7:$C$107,2,FALSE)*VLOOKUP(AT$76,'Attrition Modeling'!$L$15:$N$27,IF(AT$77+$F116&lt;=24,2,3),FALSE)),$C$3)*(1+IF('IP Attrition'!AT173&gt;0,'Attrition Modeling'!$N$9,0)))</f>
        <v>0</v>
      </c>
      <c r="AU116" s="799">
        <f>AT116*(1-IFERROR(IF(AU$77+$F116&lt;=12,SUMIFS('Attrition Modeling'!$D:$D,'Attrition Modeling'!$C:$C,$D116,'Attrition Modeling'!$B:$B,AU$76),VLOOKUP($F116+AU$77,$A$7:$C$107,2,FALSE)*VLOOKUP(AU$76,'Attrition Modeling'!$L$15:$N$27,IF(AU$77+$F116&lt;=24,2,3),FALSE)),$C$3)*(1+IF('IP Attrition'!AU173&gt;0,'Attrition Modeling'!$N$9,0)))</f>
        <v>0</v>
      </c>
      <c r="AV116" s="799">
        <f>AU116*(1-IFERROR(IF(AV$77+$F116&lt;=12,SUMIFS('Attrition Modeling'!$D:$D,'Attrition Modeling'!$C:$C,$D116,'Attrition Modeling'!$B:$B,AV$76),VLOOKUP($F116+AV$77,$A$7:$C$107,2,FALSE)*VLOOKUP(AV$76,'Attrition Modeling'!$L$15:$N$27,IF(AV$77+$F116&lt;=24,2,3),FALSE)),$C$3)*(1+IF('IP Attrition'!AV173&gt;0,'Attrition Modeling'!$N$9,0)))</f>
        <v>0</v>
      </c>
      <c r="AW116" s="799">
        <f>AV116*(1-IFERROR(IF(AW$77+$F116&lt;=12,SUMIFS('Attrition Modeling'!$D:$D,'Attrition Modeling'!$C:$C,$D116,'Attrition Modeling'!$B:$B,AW$76),VLOOKUP($F116+AW$77,$A$7:$C$107,2,FALSE)*VLOOKUP(AW$76,'Attrition Modeling'!$L$15:$N$27,IF(AW$77+$F116&lt;=24,2,3),FALSE)),$C$3)*(1+IF('IP Attrition'!AW173&gt;0,'Attrition Modeling'!$N$9,0)))</f>
        <v>0</v>
      </c>
      <c r="AX116" s="799">
        <f>AW116*(1-IFERROR(IF(AX$77+$F116&lt;=12,SUMIFS('Attrition Modeling'!$D:$D,'Attrition Modeling'!$C:$C,$D116,'Attrition Modeling'!$B:$B,AX$76),VLOOKUP($F116+AX$77,$A$7:$C$107,2,FALSE)*VLOOKUP(AX$76,'Attrition Modeling'!$L$15:$N$27,IF(AX$77+$F116&lt;=24,2,3),FALSE)),$C$3)*(1+IF('IP Attrition'!AX173&gt;0,'Attrition Modeling'!$N$9,0)))</f>
        <v>0</v>
      </c>
      <c r="AY116" s="799">
        <f>AX116*(1-IFERROR(IF(AY$77+$F116&lt;=12,SUMIFS('Attrition Modeling'!$D:$D,'Attrition Modeling'!$C:$C,$D116,'Attrition Modeling'!$B:$B,AY$76),VLOOKUP($F116+AY$77,$A$7:$C$107,2,FALSE)*VLOOKUP(AY$76,'Attrition Modeling'!$L$15:$N$27,IF(AY$77+$F116&lt;=24,2,3),FALSE)),$C$3)*(1+IF('IP Attrition'!AY173&gt;0,'Attrition Modeling'!$N$9,0)))</f>
        <v>0</v>
      </c>
      <c r="AZ116" s="799">
        <f>AY116*(1-IFERROR(IF(AZ$77+$F116&lt;=12,SUMIFS('Attrition Modeling'!$D:$D,'Attrition Modeling'!$C:$C,$D116,'Attrition Modeling'!$B:$B,AZ$76),VLOOKUP($F116+AZ$77,$A$7:$C$107,2,FALSE)*VLOOKUP(AZ$76,'Attrition Modeling'!$L$15:$N$27,IF(AZ$77+$F116&lt;=24,2,3),FALSE)),$C$3)*(1+IF('IP Attrition'!AZ173&gt;0,'Attrition Modeling'!$N$9,0)))</f>
        <v>0</v>
      </c>
      <c r="BA116" s="799">
        <f>AZ116*(1-IFERROR(IF(BA$77+$F116&lt;=12,SUMIFS('Attrition Modeling'!$D:$D,'Attrition Modeling'!$C:$C,$D116,'Attrition Modeling'!$B:$B,BA$76),VLOOKUP($F116+BA$77,$A$7:$C$107,2,FALSE)*VLOOKUP(BA$76,'Attrition Modeling'!$L$15:$N$27,IF(BA$77+$F116&lt;=24,2,3),FALSE)),$C$3)*(1+IF('IP Attrition'!BA173&gt;0,'Attrition Modeling'!$N$9,0)))</f>
        <v>0</v>
      </c>
      <c r="BB116" s="799">
        <f>BA116*(1-IFERROR(IF(BB$77+$F116&lt;=12,SUMIFS('Attrition Modeling'!$D:$D,'Attrition Modeling'!$C:$C,$D116,'Attrition Modeling'!$B:$B,BB$76),VLOOKUP($F116+BB$77,$A$7:$C$107,2,FALSE)*VLOOKUP(BB$76,'Attrition Modeling'!$L$15:$N$27,IF(BB$77+$F116&lt;=24,2,3),FALSE)),$C$3)*(1+IF('IP Attrition'!BB173&gt;0,'Attrition Modeling'!$N$9,0)))</f>
        <v>0</v>
      </c>
      <c r="BC116" s="799">
        <f>BB116*(1-IFERROR(IF(BC$77+$F116&lt;=12,SUMIFS('Attrition Modeling'!$D:$D,'Attrition Modeling'!$C:$C,$D116,'Attrition Modeling'!$B:$B,BC$76),VLOOKUP($F116+BC$77,$A$7:$C$107,2,FALSE)*VLOOKUP(BC$76,'Attrition Modeling'!$L$15:$N$27,IF(BC$77+$F116&lt;=24,2,3),FALSE)),$C$3)*(1+IF('IP Attrition'!BC173&gt;0,'Attrition Modeling'!$N$9,0)))</f>
        <v>0</v>
      </c>
      <c r="BD116" s="799">
        <f>BC116*(1-IFERROR(IF(BD$77+$F116&lt;=12,SUMIFS('Attrition Modeling'!$D:$D,'Attrition Modeling'!$C:$C,$D116,'Attrition Modeling'!$B:$B,BD$76),VLOOKUP($F116+BD$77,$A$7:$C$107,2,FALSE)*VLOOKUP(BD$76,'Attrition Modeling'!$L$15:$N$27,IF(BD$77+$F116&lt;=24,2,3),FALSE)),$C$3)*(1+IF('IP Attrition'!BD173&gt;0,'Attrition Modeling'!$N$9,0)))</f>
        <v>0</v>
      </c>
      <c r="BE116" s="799">
        <f>BD116*(1-IFERROR(IF(BE$77+$F116&lt;=12,SUMIFS('Attrition Modeling'!$D:$D,'Attrition Modeling'!$C:$C,$D116,'Attrition Modeling'!$B:$B,BE$76),VLOOKUP($F116+BE$77,$A$7:$C$107,2,FALSE)*VLOOKUP(BE$76,'Attrition Modeling'!$L$15:$N$27,IF(BE$77+$F116&lt;=24,2,3),FALSE)),$C$3)*(1+IF('IP Attrition'!BE173&gt;0,'Attrition Modeling'!$N$9,0)))</f>
        <v>0</v>
      </c>
      <c r="BF116" s="799">
        <f>BE116*(1-IFERROR(IF(BF$77+$F116&lt;=12,SUMIFS('Attrition Modeling'!$D:$D,'Attrition Modeling'!$C:$C,$D116,'Attrition Modeling'!$B:$B,BF$76),VLOOKUP($F116+BF$77,$A$7:$C$107,2,FALSE)*VLOOKUP(BF$76,'Attrition Modeling'!$L$15:$N$27,IF(BF$77+$F116&lt;=24,2,3),FALSE)),$C$3)*(1+IF('IP Attrition'!BF173&gt;0,'Attrition Modeling'!$N$9,0)))</f>
        <v>0</v>
      </c>
      <c r="BG116" s="799">
        <f>BF116*(1-IFERROR(IF(BG$77+$F116&lt;=12,SUMIFS('Attrition Modeling'!$D:$D,'Attrition Modeling'!$C:$C,$D116,'Attrition Modeling'!$B:$B,BG$76),VLOOKUP($F116+BG$77,$A$7:$C$107,2,FALSE)*VLOOKUP(BG$76,'Attrition Modeling'!$L$15:$N$27,IF(BG$77+$F116&lt;=24,2,3),FALSE)),$C$3)*(1+IF('IP Attrition'!BG173&gt;0,'Attrition Modeling'!$N$9,0)))</f>
        <v>0</v>
      </c>
      <c r="BH116" s="799">
        <f>BG116*(1-IFERROR(IF(BH$77+$F116&lt;=12,SUMIFS('Attrition Modeling'!$D:$D,'Attrition Modeling'!$C:$C,$D116,'Attrition Modeling'!$B:$B,BH$76),VLOOKUP($F116+BH$77,$A$7:$C$107,2,FALSE)*VLOOKUP(BH$76,'Attrition Modeling'!$L$15:$N$27,IF(BH$77+$F116&lt;=24,2,3),FALSE)),$C$3)*(1+IF('IP Attrition'!BH173&gt;0,'Attrition Modeling'!$N$9,0)))</f>
        <v>0</v>
      </c>
      <c r="BI116" s="799">
        <f>BH116*(1-IFERROR(IF(BI$77+$F116&lt;=12,SUMIFS('Attrition Modeling'!$D:$D,'Attrition Modeling'!$C:$C,$D116,'Attrition Modeling'!$B:$B,BI$76),VLOOKUP($F116+BI$77,$A$7:$C$107,2,FALSE)*VLOOKUP(BI$76,'Attrition Modeling'!$L$15:$N$27,IF(BI$77+$F116&lt;=24,2,3),FALSE)),$C$3)*(1+IF('IP Attrition'!BI173&gt;0,'Attrition Modeling'!$N$9,0)))</f>
        <v>0</v>
      </c>
      <c r="BJ116" s="799">
        <f>BI116*(1-IFERROR(IF(BJ$77+$F116&lt;=12,SUMIFS('Attrition Modeling'!$D:$D,'Attrition Modeling'!$C:$C,$D116,'Attrition Modeling'!$B:$B,BJ$76),VLOOKUP($F116+BJ$77,$A$7:$C$107,2,FALSE)*VLOOKUP(BJ$76,'Attrition Modeling'!$L$15:$N$27,IF(BJ$77+$F116&lt;=24,2,3),FALSE)),$C$3)*(1+IF('IP Attrition'!BJ173&gt;0,'Attrition Modeling'!$N$9,0)))</f>
        <v>0</v>
      </c>
      <c r="BK116" s="799">
        <f>BJ116*(1-IFERROR(IF(BK$77+$F116&lt;=12,SUMIFS('Attrition Modeling'!$D:$D,'Attrition Modeling'!$C:$C,$D116,'Attrition Modeling'!$B:$B,BK$76),VLOOKUP($F116+BK$77,$A$7:$C$107,2,FALSE)*VLOOKUP(BK$76,'Attrition Modeling'!$L$15:$N$27,IF(BK$77+$F116&lt;=24,2,3),FALSE)),$C$3)*(1+IF('IP Attrition'!BK173&gt;0,'Attrition Modeling'!$N$9,0)))</f>
        <v>0</v>
      </c>
      <c r="BL116" s="799">
        <f>BK116*(1-IFERROR(IF(BL$77+$F116&lt;=12,SUMIFS('Attrition Modeling'!$D:$D,'Attrition Modeling'!$C:$C,$D116,'Attrition Modeling'!$B:$B,BL$76),VLOOKUP($F116+BL$77,$A$7:$C$107,2,FALSE)*VLOOKUP(BL$76,'Attrition Modeling'!$L$15:$N$27,IF(BL$77+$F116&lt;=24,2,3),FALSE)),$C$3)*(1+IF('IP Attrition'!BL173&gt;0,'Attrition Modeling'!$N$9,0)))</f>
        <v>0</v>
      </c>
      <c r="BM116" s="799">
        <f>BL116*(1-IFERROR(IF(BM$77+$F116&lt;=12,SUMIFS('Attrition Modeling'!$D:$D,'Attrition Modeling'!$C:$C,$D116,'Attrition Modeling'!$B:$B,BM$76),VLOOKUP($F116+BM$77,$A$7:$C$107,2,FALSE)*VLOOKUP(BM$76,'Attrition Modeling'!$L$15:$N$27,IF(BM$77+$F116&lt;=24,2,3),FALSE)),$C$3)*(1+IF('IP Attrition'!BM173&gt;0,'Attrition Modeling'!$N$9,0)))</f>
        <v>0</v>
      </c>
      <c r="BN116" s="799">
        <f>BM116*(1-IFERROR(IF(BN$77+$F116&lt;=12,SUMIFS('Attrition Modeling'!$D:$D,'Attrition Modeling'!$C:$C,$D116,'Attrition Modeling'!$B:$B,BN$76),VLOOKUP($F116+BN$77,$A$7:$C$107,2,FALSE)*VLOOKUP(BN$76,'Attrition Modeling'!$L$15:$N$27,IF(BN$77+$F116&lt;=24,2,3),FALSE)),$C$3)*(1+IF('IP Attrition'!BN173&gt;0,'Attrition Modeling'!$N$9,0)))</f>
        <v>0</v>
      </c>
      <c r="BO116" s="799">
        <f>BN116*(1-IFERROR(IF(BO$77+$F116&lt;=12,SUMIFS('Attrition Modeling'!$D:$D,'Attrition Modeling'!$C:$C,$D116,'Attrition Modeling'!$B:$B,BO$76),VLOOKUP($F116+BO$77,$A$7:$C$107,2,FALSE)*VLOOKUP(BO$76,'Attrition Modeling'!$L$15:$N$27,IF(BO$77+$F116&lt;=24,2,3),FALSE)),$C$3)*(1+IF('IP Attrition'!BO173&gt;0,'Attrition Modeling'!$N$9,0)))</f>
        <v>0</v>
      </c>
      <c r="BP116" s="799">
        <f>BO116*(1-IFERROR(IF(BP$77+$F116&lt;=12,SUMIFS('Attrition Modeling'!$D:$D,'Attrition Modeling'!$C:$C,$D116,'Attrition Modeling'!$B:$B,BP$76),VLOOKUP($F116+BP$77,$A$7:$C$107,2,FALSE)*VLOOKUP(BP$76,'Attrition Modeling'!$L$15:$N$27,IF(BP$77+$F116&lt;=24,2,3),FALSE)),$C$3)*(1+IF('IP Attrition'!BP173&gt;0,'Attrition Modeling'!$N$9,0)))</f>
        <v>0</v>
      </c>
      <c r="BQ116" s="799">
        <f>BP116*(1-IFERROR(IF(BQ$77+$F116&lt;=12,SUMIFS('Attrition Modeling'!$D:$D,'Attrition Modeling'!$C:$C,$D116,'Attrition Modeling'!$B:$B,BQ$76),VLOOKUP($F116+BQ$77,$A$7:$C$107,2,FALSE)*VLOOKUP(BQ$76,'Attrition Modeling'!$L$15:$N$27,IF(BQ$77+$F116&lt;=24,2,3),FALSE)),$C$3)*(1+IF('IP Attrition'!BQ173&gt;0,'Attrition Modeling'!$N$9,0)))</f>
        <v>0</v>
      </c>
      <c r="BR116" s="799">
        <f>BQ116*(1-IFERROR(IF(BR$77+$F116&lt;=12,SUMIFS('Attrition Modeling'!$D:$D,'Attrition Modeling'!$C:$C,$D116,'Attrition Modeling'!$B:$B,BR$76),VLOOKUP($F116+BR$77,$A$7:$C$107,2,FALSE)*VLOOKUP(BR$76,'Attrition Modeling'!$L$15:$N$27,IF(BR$77+$F116&lt;=24,2,3),FALSE)),$C$3)*(1+IF('IP Attrition'!BR173&gt;0,'Attrition Modeling'!$N$9,0)))</f>
        <v>0</v>
      </c>
      <c r="BS116" s="799">
        <f>BR116*(1-IFERROR(IF(BS$77+$F116&lt;=12,SUMIFS('Attrition Modeling'!$D:$D,'Attrition Modeling'!$C:$C,$D116,'Attrition Modeling'!$B:$B,BS$76),VLOOKUP($F116+BS$77,$A$7:$C$107,2,FALSE)*VLOOKUP(BS$76,'Attrition Modeling'!$L$15:$N$27,IF(BS$77+$F116&lt;=24,2,3),FALSE)),$C$3)*(1+IF('IP Attrition'!BS173&gt;0,'Attrition Modeling'!$N$9,0)))</f>
        <v>0</v>
      </c>
      <c r="BT116" s="799" t="e">
        <f>BS116*(1-IFERROR(IF(BT$77+$F116&lt;=12,SUMIFS('Attrition Modeling'!$D:$D,'Attrition Modeling'!$C:$C,$D116,'Attrition Modeling'!$B:$B,BT$76),VLOOKUP($F116+BT$77,$A$7:$C$107,2,FALSE)*VLOOKUP(BT$76,'Attrition Modeling'!$L$15:$N$27,IF(BT$77+$F116&lt;=24,2,3),FALSE)),$C$3)*(1+IF('IP Attrition'!BT173&gt;0,'Attrition Modeling'!$N$9,0)))</f>
        <v>#REF!</v>
      </c>
      <c r="BU116" s="799" t="e">
        <f>BT116*(1-IFERROR(IF(BU$77+$F116&lt;=12,SUMIFS('Attrition Modeling'!$D:$D,'Attrition Modeling'!$C:$C,$D116,'Attrition Modeling'!$B:$B,BU$76),VLOOKUP($F116+BU$77,$A$7:$C$107,2,FALSE)*VLOOKUP(BU$76,'Attrition Modeling'!$L$15:$N$27,IF(BU$77+$F116&lt;=24,2,3),FALSE)),$C$3)*(1+IF('IP Attrition'!BU173&gt;0,'Attrition Modeling'!$N$9,0)))</f>
        <v>#REF!</v>
      </c>
    </row>
    <row r="117" spans="1:73" ht="14.25" customHeight="1" x14ac:dyDescent="0.2">
      <c r="A117" s="9">
        <v>109</v>
      </c>
      <c r="B117" s="25">
        <f>MAX('Attrition Modeling'!H113,$C$3)*(1-Summary!$C$20)</f>
        <v>0.02</v>
      </c>
      <c r="C117" s="24" t="e">
        <f t="shared" si="2"/>
        <v>#DIV/0!</v>
      </c>
      <c r="D117" s="11">
        <f>'IP Attrition'!D109</f>
        <v>-39</v>
      </c>
      <c r="E117" s="25">
        <f>'IP Attrition'!E109</f>
        <v>0</v>
      </c>
      <c r="F117" s="11">
        <f t="shared" si="8"/>
        <v>39</v>
      </c>
      <c r="G117" s="799">
        <f>Summary!$C$24*$E117</f>
        <v>0</v>
      </c>
      <c r="H117" s="799">
        <f>G117*(1-IFERROR(IF(H$77+$F117&lt;=12,SUMIFS('Attrition Modeling'!$D:$D,'Attrition Modeling'!$C:$C,$D117,'Attrition Modeling'!$B:$B,H$76),VLOOKUP($F117+H$77,$A$7:$C$107,2,FALSE)*VLOOKUP(H$76,'Attrition Modeling'!$L$15:$N$27,IF(H$77+$F117&lt;=24,2,3),FALSE)),$C$3)*(1+IF('IP Attrition'!H174&gt;0,'Attrition Modeling'!$N$9,0)))</f>
        <v>0</v>
      </c>
      <c r="I117" s="799">
        <f>H117*(1-IFERROR(IF(I$77+$F117&lt;=12,SUMIFS('Attrition Modeling'!$D:$D,'Attrition Modeling'!$C:$C,$D117,'Attrition Modeling'!$B:$B,I$76),VLOOKUP($F117+I$77,$A$7:$C$107,2,FALSE)*VLOOKUP(I$76,'Attrition Modeling'!$L$15:$N$27,IF(I$77+$F117&lt;=24,2,3),FALSE)),$C$3)*(1+IF('IP Attrition'!I174&gt;0,'Attrition Modeling'!$N$9,0)))</f>
        <v>0</v>
      </c>
      <c r="J117" s="799">
        <f>I117*(1-IFERROR(IF(J$77+$F117&lt;=12,SUMIFS('Attrition Modeling'!$D:$D,'Attrition Modeling'!$C:$C,$D117,'Attrition Modeling'!$B:$B,J$76),VLOOKUP($F117+J$77,$A$7:$C$107,2,FALSE)*VLOOKUP(J$76,'Attrition Modeling'!$L$15:$N$27,IF(J$77+$F117&lt;=24,2,3),FALSE)),$C$3)*(1+IF('IP Attrition'!J174&gt;0,'Attrition Modeling'!$N$9,0)))</f>
        <v>0</v>
      </c>
      <c r="K117" s="799">
        <f>J117*(1-IFERROR(IF(K$77+$F117&lt;=12,SUMIFS('Attrition Modeling'!$D:$D,'Attrition Modeling'!$C:$C,$D117,'Attrition Modeling'!$B:$B,K$76),VLOOKUP($F117+K$77,$A$7:$C$107,2,FALSE)*VLOOKUP(K$76,'Attrition Modeling'!$L$15:$N$27,IF(K$77+$F117&lt;=24,2,3),FALSE)),$C$3)*(1+IF('IP Attrition'!K174&gt;0,'Attrition Modeling'!$N$9,0)))</f>
        <v>0</v>
      </c>
      <c r="L117" s="799">
        <f>K117*(1-IFERROR(IF(L$77+$F117&lt;=12,SUMIFS('Attrition Modeling'!$D:$D,'Attrition Modeling'!$C:$C,$D117,'Attrition Modeling'!$B:$B,L$76),VLOOKUP($F117+L$77,$A$7:$C$107,2,FALSE)*VLOOKUP(L$76,'Attrition Modeling'!$L$15:$N$27,IF(L$77+$F117&lt;=24,2,3),FALSE)),$C$3)*(1+IF('IP Attrition'!L174&gt;0,'Attrition Modeling'!$N$9,0)))</f>
        <v>0</v>
      </c>
      <c r="M117" s="799">
        <f>L117*(1-IFERROR(IF(M$77+$F117&lt;=12,SUMIFS('Attrition Modeling'!$D:$D,'Attrition Modeling'!$C:$C,$D117,'Attrition Modeling'!$B:$B,M$76),VLOOKUP($F117+M$77,$A$7:$C$107,2,FALSE)*VLOOKUP(M$76,'Attrition Modeling'!$L$15:$N$27,IF(M$77+$F117&lt;=24,2,3),FALSE)),$C$3)*(1+IF('IP Attrition'!M174&gt;0,'Attrition Modeling'!$N$9,0)))</f>
        <v>0</v>
      </c>
      <c r="N117" s="799">
        <f>M117*(1-IFERROR(IF(N$77+$F117&lt;=12,SUMIFS('Attrition Modeling'!$D:$D,'Attrition Modeling'!$C:$C,$D117,'Attrition Modeling'!$B:$B,N$76),VLOOKUP($F117+N$77,$A$7:$C$107,2,FALSE)*VLOOKUP(N$76,'Attrition Modeling'!$L$15:$N$27,IF(N$77+$F117&lt;=24,2,3),FALSE)),$C$3)*(1+IF('IP Attrition'!N174&gt;0,'Attrition Modeling'!$N$9,0)))</f>
        <v>0</v>
      </c>
      <c r="O117" s="799">
        <f>N117*(1-IFERROR(IF(O$77+$F117&lt;=12,SUMIFS('Attrition Modeling'!$D:$D,'Attrition Modeling'!$C:$C,$D117,'Attrition Modeling'!$B:$B,O$76),VLOOKUP($F117+O$77,$A$7:$C$107,2,FALSE)*VLOOKUP(O$76,'Attrition Modeling'!$L$15:$N$27,IF(O$77+$F117&lt;=24,2,3),FALSE)),$C$3)*(1+IF('IP Attrition'!O174&gt;0,'Attrition Modeling'!$N$9,0)))</f>
        <v>0</v>
      </c>
      <c r="P117" s="799">
        <f>O117*(1-IFERROR(IF(P$77+$F117&lt;=12,SUMIFS('Attrition Modeling'!$D:$D,'Attrition Modeling'!$C:$C,$D117,'Attrition Modeling'!$B:$B,P$76),VLOOKUP($F117+P$77,$A$7:$C$107,2,FALSE)*VLOOKUP(P$76,'Attrition Modeling'!$L$15:$N$27,IF(P$77+$F117&lt;=24,2,3),FALSE)),$C$3)*(1+IF('IP Attrition'!P174&gt;0,'Attrition Modeling'!$N$9,0)))</f>
        <v>0</v>
      </c>
      <c r="Q117" s="799">
        <f>P117*(1-IFERROR(IF(Q$77+$F117&lt;=12,SUMIFS('Attrition Modeling'!$D:$D,'Attrition Modeling'!$C:$C,$D117,'Attrition Modeling'!$B:$B,Q$76),VLOOKUP($F117+Q$77,$A$7:$C$107,2,FALSE)*VLOOKUP(Q$76,'Attrition Modeling'!$L$15:$N$27,IF(Q$77+$F117&lt;=24,2,3),FALSE)),$C$3)*(1+IF('IP Attrition'!Q174&gt;0,'Attrition Modeling'!$N$9,0)))</f>
        <v>0</v>
      </c>
      <c r="R117" s="799">
        <f>Q117*(1-IFERROR(IF(R$77+$F117&lt;=12,SUMIFS('Attrition Modeling'!$D:$D,'Attrition Modeling'!$C:$C,$D117,'Attrition Modeling'!$B:$B,R$76),VLOOKUP($F117+R$77,$A$7:$C$107,2,FALSE)*VLOOKUP(R$76,'Attrition Modeling'!$L$15:$N$27,IF(R$77+$F117&lt;=24,2,3),FALSE)),$C$3)*(1+IF('IP Attrition'!R174&gt;0,'Attrition Modeling'!$N$9,0)))</f>
        <v>0</v>
      </c>
      <c r="S117" s="799">
        <f>R117*(1-IFERROR(IF(S$77+$F117&lt;=12,SUMIFS('Attrition Modeling'!$D:$D,'Attrition Modeling'!$C:$C,$D117,'Attrition Modeling'!$B:$B,S$76),VLOOKUP($F117+S$77,$A$7:$C$107,2,FALSE)*VLOOKUP(S$76,'Attrition Modeling'!$L$15:$N$27,IF(S$77+$F117&lt;=24,2,3),FALSE)),$C$3)*(1+IF('IP Attrition'!S174&gt;0,'Attrition Modeling'!$N$9,0)))</f>
        <v>0</v>
      </c>
      <c r="T117" s="799">
        <f>S117*(1-IFERROR(IF(T$77+$F117&lt;=12,SUMIFS('Attrition Modeling'!$D:$D,'Attrition Modeling'!$C:$C,$D117,'Attrition Modeling'!$B:$B,T$76),VLOOKUP($F117+T$77,$A$7:$C$107,2,FALSE)*VLOOKUP(T$76,'Attrition Modeling'!$L$15:$N$27,IF(T$77+$F117&lt;=24,2,3),FALSE)),$C$3)*(1+IF('IP Attrition'!T174&gt;0,'Attrition Modeling'!$N$9,0)))</f>
        <v>0</v>
      </c>
      <c r="U117" s="799">
        <f>T117*(1-IFERROR(IF(U$77+$F117&lt;=12,SUMIFS('Attrition Modeling'!$D:$D,'Attrition Modeling'!$C:$C,$D117,'Attrition Modeling'!$B:$B,U$76),VLOOKUP($F117+U$77,$A$7:$C$107,2,FALSE)*VLOOKUP(U$76,'Attrition Modeling'!$L$15:$N$27,IF(U$77+$F117&lt;=24,2,3),FALSE)),$C$3)*(1+IF('IP Attrition'!U174&gt;0,'Attrition Modeling'!$N$9,0)))</f>
        <v>0</v>
      </c>
      <c r="V117" s="799">
        <f>U117*(1-IFERROR(IF(V$77+$F117&lt;=12,SUMIFS('Attrition Modeling'!$D:$D,'Attrition Modeling'!$C:$C,$D117,'Attrition Modeling'!$B:$B,V$76),VLOOKUP($F117+V$77,$A$7:$C$107,2,FALSE)*VLOOKUP(V$76,'Attrition Modeling'!$L$15:$N$27,IF(V$77+$F117&lt;=24,2,3),FALSE)),$C$3)*(1+IF('IP Attrition'!V174&gt;0,'Attrition Modeling'!$N$9,0)))</f>
        <v>0</v>
      </c>
      <c r="W117" s="799">
        <f>V117*(1-IFERROR(IF(W$77+$F117&lt;=12,SUMIFS('Attrition Modeling'!$D:$D,'Attrition Modeling'!$C:$C,$D117,'Attrition Modeling'!$B:$B,W$76),VLOOKUP($F117+W$77,$A$7:$C$107,2,FALSE)*VLOOKUP(W$76,'Attrition Modeling'!$L$15:$N$27,IF(W$77+$F117&lt;=24,2,3),FALSE)),$C$3)*(1+IF('IP Attrition'!W174&gt;0,'Attrition Modeling'!$N$9,0)))</f>
        <v>0</v>
      </c>
      <c r="X117" s="799">
        <f>W117*(1-IFERROR(IF(X$77+$F117&lt;=12,SUMIFS('Attrition Modeling'!$D:$D,'Attrition Modeling'!$C:$C,$D117,'Attrition Modeling'!$B:$B,X$76),VLOOKUP($F117+X$77,$A$7:$C$107,2,FALSE)*VLOOKUP(X$76,'Attrition Modeling'!$L$15:$N$27,IF(X$77+$F117&lt;=24,2,3),FALSE)),$C$3)*(1+IF('IP Attrition'!X174&gt;0,'Attrition Modeling'!$N$9,0)))</f>
        <v>0</v>
      </c>
      <c r="Y117" s="799">
        <f>X117*(1-IFERROR(IF(Y$77+$F117&lt;=12,SUMIFS('Attrition Modeling'!$D:$D,'Attrition Modeling'!$C:$C,$D117,'Attrition Modeling'!$B:$B,Y$76),VLOOKUP($F117+Y$77,$A$7:$C$107,2,FALSE)*VLOOKUP(Y$76,'Attrition Modeling'!$L$15:$N$27,IF(Y$77+$F117&lt;=24,2,3),FALSE)),$C$3)*(1+IF('IP Attrition'!Y174&gt;0,'Attrition Modeling'!$N$9,0)))</f>
        <v>0</v>
      </c>
      <c r="Z117" s="799">
        <f>Y117*(1-IFERROR(IF(Z$77+$F117&lt;=12,SUMIFS('Attrition Modeling'!$D:$D,'Attrition Modeling'!$C:$C,$D117,'Attrition Modeling'!$B:$B,Z$76),VLOOKUP($F117+Z$77,$A$7:$C$107,2,FALSE)*VLOOKUP(Z$76,'Attrition Modeling'!$L$15:$N$27,IF(Z$77+$F117&lt;=24,2,3),FALSE)),$C$3)*(1+IF('IP Attrition'!Z174&gt;0,'Attrition Modeling'!$N$9,0)))</f>
        <v>0</v>
      </c>
      <c r="AA117" s="799">
        <f>Z117*(1-IFERROR(IF(AA$77+$F117&lt;=12,SUMIFS('Attrition Modeling'!$D:$D,'Attrition Modeling'!$C:$C,$D117,'Attrition Modeling'!$B:$B,AA$76),VLOOKUP($F117+AA$77,$A$7:$C$107,2,FALSE)*VLOOKUP(AA$76,'Attrition Modeling'!$L$15:$N$27,IF(AA$77+$F117&lt;=24,2,3),FALSE)),$C$3)*(1+IF('IP Attrition'!AA174&gt;0,'Attrition Modeling'!$N$9,0)))</f>
        <v>0</v>
      </c>
      <c r="AB117" s="799">
        <f>AA117*(1-IFERROR(IF(AB$77+$F117&lt;=12,SUMIFS('Attrition Modeling'!$D:$D,'Attrition Modeling'!$C:$C,$D117,'Attrition Modeling'!$B:$B,AB$76),VLOOKUP($F117+AB$77,$A$7:$C$107,2,FALSE)*VLOOKUP(AB$76,'Attrition Modeling'!$L$15:$N$27,IF(AB$77+$F117&lt;=24,2,3),FALSE)),$C$3)*(1+IF('IP Attrition'!AB174&gt;0,'Attrition Modeling'!$N$9,0)))</f>
        <v>0</v>
      </c>
      <c r="AC117" s="799">
        <f>AB117*(1-IFERROR(IF(AC$77+$F117&lt;=12,SUMIFS('Attrition Modeling'!$D:$D,'Attrition Modeling'!$C:$C,$D117,'Attrition Modeling'!$B:$B,AC$76),VLOOKUP($F117+AC$77,$A$7:$C$107,2,FALSE)*VLOOKUP(AC$76,'Attrition Modeling'!$L$15:$N$27,IF(AC$77+$F117&lt;=24,2,3),FALSE)),$C$3)*(1+IF('IP Attrition'!AC174&gt;0,'Attrition Modeling'!$N$9,0)))</f>
        <v>0</v>
      </c>
      <c r="AD117" s="799">
        <f>AC117*(1-IFERROR(IF(AD$77+$F117&lt;=12,SUMIFS('Attrition Modeling'!$D:$D,'Attrition Modeling'!$C:$C,$D117,'Attrition Modeling'!$B:$B,AD$76),VLOOKUP($F117+AD$77,$A$7:$C$107,2,FALSE)*VLOOKUP(AD$76,'Attrition Modeling'!$L$15:$N$27,IF(AD$77+$F117&lt;=24,2,3),FALSE)),$C$3)*(1+IF('IP Attrition'!AD174&gt;0,'Attrition Modeling'!$N$9,0)))</f>
        <v>0</v>
      </c>
      <c r="AE117" s="799">
        <f>AD117*(1-IFERROR(IF(AE$77+$F117&lt;=12,SUMIFS('Attrition Modeling'!$D:$D,'Attrition Modeling'!$C:$C,$D117,'Attrition Modeling'!$B:$B,AE$76),VLOOKUP($F117+AE$77,$A$7:$C$107,2,FALSE)*VLOOKUP(AE$76,'Attrition Modeling'!$L$15:$N$27,IF(AE$77+$F117&lt;=24,2,3),FALSE)),$C$3)*(1+IF('IP Attrition'!AE174&gt;0,'Attrition Modeling'!$N$9,0)))</f>
        <v>0</v>
      </c>
      <c r="AF117" s="799">
        <f>AE117*(1-IFERROR(IF(AF$77+$F117&lt;=12,SUMIFS('Attrition Modeling'!$D:$D,'Attrition Modeling'!$C:$C,$D117,'Attrition Modeling'!$B:$B,AF$76),VLOOKUP($F117+AF$77,$A$7:$C$107,2,FALSE)*VLOOKUP(AF$76,'Attrition Modeling'!$L$15:$N$27,IF(AF$77+$F117&lt;=24,2,3),FALSE)),$C$3)*(1+IF('IP Attrition'!AF174&gt;0,'Attrition Modeling'!$N$9,0)))</f>
        <v>0</v>
      </c>
      <c r="AG117" s="799">
        <f>AF117*(1-IFERROR(IF(AG$77+$F117&lt;=12,SUMIFS('Attrition Modeling'!$D:$D,'Attrition Modeling'!$C:$C,$D117,'Attrition Modeling'!$B:$B,AG$76),VLOOKUP($F117+AG$77,$A$7:$C$107,2,FALSE)*VLOOKUP(AG$76,'Attrition Modeling'!$L$15:$N$27,IF(AG$77+$F117&lt;=24,2,3),FALSE)),$C$3)*(1+IF('IP Attrition'!AG174&gt;0,'Attrition Modeling'!$N$9,0)))</f>
        <v>0</v>
      </c>
      <c r="AH117" s="799">
        <f>AG117*(1-IFERROR(IF(AH$77+$F117&lt;=12,SUMIFS('Attrition Modeling'!$D:$D,'Attrition Modeling'!$C:$C,$D117,'Attrition Modeling'!$B:$B,AH$76),VLOOKUP($F117+AH$77,$A$7:$C$107,2,FALSE)*VLOOKUP(AH$76,'Attrition Modeling'!$L$15:$N$27,IF(AH$77+$F117&lt;=24,2,3),FALSE)),$C$3)*(1+IF('IP Attrition'!AH174&gt;0,'Attrition Modeling'!$N$9,0)))</f>
        <v>0</v>
      </c>
      <c r="AI117" s="799">
        <f>AH117*(1-IFERROR(IF(AI$77+$F117&lt;=12,SUMIFS('Attrition Modeling'!$D:$D,'Attrition Modeling'!$C:$C,$D117,'Attrition Modeling'!$B:$B,AI$76),VLOOKUP($F117+AI$77,$A$7:$C$107,2,FALSE)*VLOOKUP(AI$76,'Attrition Modeling'!$L$15:$N$27,IF(AI$77+$F117&lt;=24,2,3),FALSE)),$C$3)*(1+IF('IP Attrition'!AI174&gt;0,'Attrition Modeling'!$N$9,0)))</f>
        <v>0</v>
      </c>
      <c r="AJ117" s="799">
        <f>AI117*(1-IFERROR(IF(AJ$77+$F117&lt;=12,SUMIFS('Attrition Modeling'!$D:$D,'Attrition Modeling'!$C:$C,$D117,'Attrition Modeling'!$B:$B,AJ$76),VLOOKUP($F117+AJ$77,$A$7:$C$107,2,FALSE)*VLOOKUP(AJ$76,'Attrition Modeling'!$L$15:$N$27,IF(AJ$77+$F117&lt;=24,2,3),FALSE)),$C$3)*(1+IF('IP Attrition'!AJ174&gt;0,'Attrition Modeling'!$N$9,0)))</f>
        <v>0</v>
      </c>
      <c r="AK117" s="799">
        <f>AJ117*(1-IFERROR(IF(AK$77+$F117&lt;=12,SUMIFS('Attrition Modeling'!$D:$D,'Attrition Modeling'!$C:$C,$D117,'Attrition Modeling'!$B:$B,AK$76),VLOOKUP($F117+AK$77,$A$7:$C$107,2,FALSE)*VLOOKUP(AK$76,'Attrition Modeling'!$L$15:$N$27,IF(AK$77+$F117&lt;=24,2,3),FALSE)),$C$3)*(1+IF('IP Attrition'!AK174&gt;0,'Attrition Modeling'!$N$9,0)))</f>
        <v>0</v>
      </c>
      <c r="AL117" s="799">
        <f>AK117*(1-IFERROR(IF(AL$77+$F117&lt;=12,SUMIFS('Attrition Modeling'!$D:$D,'Attrition Modeling'!$C:$C,$D117,'Attrition Modeling'!$B:$B,AL$76),VLOOKUP($F117+AL$77,$A$7:$C$107,2,FALSE)*VLOOKUP(AL$76,'Attrition Modeling'!$L$15:$N$27,IF(AL$77+$F117&lt;=24,2,3),FALSE)),$C$3)*(1+IF('IP Attrition'!AL174&gt;0,'Attrition Modeling'!$N$9,0)))</f>
        <v>0</v>
      </c>
      <c r="AM117" s="799">
        <f>AL117*(1-IFERROR(IF(AM$77+$F117&lt;=12,SUMIFS('Attrition Modeling'!$D:$D,'Attrition Modeling'!$C:$C,$D117,'Attrition Modeling'!$B:$B,AM$76),VLOOKUP($F117+AM$77,$A$7:$C$107,2,FALSE)*VLOOKUP(AM$76,'Attrition Modeling'!$L$15:$N$27,IF(AM$77+$F117&lt;=24,2,3),FALSE)),$C$3)*(1+IF('IP Attrition'!AM174&gt;0,'Attrition Modeling'!$N$9,0)))</f>
        <v>0</v>
      </c>
      <c r="AN117" s="799">
        <f>AM117*(1-IFERROR(IF(AN$77+$F117&lt;=12,SUMIFS('Attrition Modeling'!$D:$D,'Attrition Modeling'!$C:$C,$D117,'Attrition Modeling'!$B:$B,AN$76),VLOOKUP($F117+AN$77,$A$7:$C$107,2,FALSE)*VLOOKUP(AN$76,'Attrition Modeling'!$L$15:$N$27,IF(AN$77+$F117&lt;=24,2,3),FALSE)),$C$3)*(1+IF('IP Attrition'!AN174&gt;0,'Attrition Modeling'!$N$9,0)))</f>
        <v>0</v>
      </c>
      <c r="AO117" s="799">
        <f>AN117*(1-IFERROR(IF(AO$77+$F117&lt;=12,SUMIFS('Attrition Modeling'!$D:$D,'Attrition Modeling'!$C:$C,$D117,'Attrition Modeling'!$B:$B,AO$76),VLOOKUP($F117+AO$77,$A$7:$C$107,2,FALSE)*VLOOKUP(AO$76,'Attrition Modeling'!$L$15:$N$27,IF(AO$77+$F117&lt;=24,2,3),FALSE)),$C$3)*(1+IF('IP Attrition'!AO174&gt;0,'Attrition Modeling'!$N$9,0)))</f>
        <v>0</v>
      </c>
      <c r="AP117" s="799">
        <f>AO117*(1-IFERROR(IF(AP$77+$F117&lt;=12,SUMIFS('Attrition Modeling'!$D:$D,'Attrition Modeling'!$C:$C,$D117,'Attrition Modeling'!$B:$B,AP$76),VLOOKUP($F117+AP$77,$A$7:$C$107,2,FALSE)*VLOOKUP(AP$76,'Attrition Modeling'!$L$15:$N$27,IF(AP$77+$F117&lt;=24,2,3),FALSE)),$C$3)*(1+IF('IP Attrition'!AP174&gt;0,'Attrition Modeling'!$N$9,0)))</f>
        <v>0</v>
      </c>
      <c r="AQ117" s="799">
        <f>AP117*(1-IFERROR(IF(AQ$77+$F117&lt;=12,SUMIFS('Attrition Modeling'!$D:$D,'Attrition Modeling'!$C:$C,$D117,'Attrition Modeling'!$B:$B,AQ$76),VLOOKUP($F117+AQ$77,$A$7:$C$107,2,FALSE)*VLOOKUP(AQ$76,'Attrition Modeling'!$L$15:$N$27,IF(AQ$77+$F117&lt;=24,2,3),FALSE)),$C$3)*(1+IF('IP Attrition'!AQ174&gt;0,'Attrition Modeling'!$N$9,0)))</f>
        <v>0</v>
      </c>
      <c r="AR117" s="799">
        <f>AQ117*(1-IFERROR(IF(AR$77+$F117&lt;=12,SUMIFS('Attrition Modeling'!$D:$D,'Attrition Modeling'!$C:$C,$D117,'Attrition Modeling'!$B:$B,AR$76),VLOOKUP($F117+AR$77,$A$7:$C$107,2,FALSE)*VLOOKUP(AR$76,'Attrition Modeling'!$L$15:$N$27,IF(AR$77+$F117&lt;=24,2,3),FALSE)),$C$3)*(1+IF('IP Attrition'!AR174&gt;0,'Attrition Modeling'!$N$9,0)))</f>
        <v>0</v>
      </c>
      <c r="AS117" s="799">
        <f>AR117*(1-IFERROR(IF(AS$77+$F117&lt;=12,SUMIFS('Attrition Modeling'!$D:$D,'Attrition Modeling'!$C:$C,$D117,'Attrition Modeling'!$B:$B,AS$76),VLOOKUP($F117+AS$77,$A$7:$C$107,2,FALSE)*VLOOKUP(AS$76,'Attrition Modeling'!$L$15:$N$27,IF(AS$77+$F117&lt;=24,2,3),FALSE)),$C$3)*(1+IF('IP Attrition'!AS174&gt;0,'Attrition Modeling'!$N$9,0)))</f>
        <v>0</v>
      </c>
      <c r="AT117" s="799">
        <f>AS117*(1-IFERROR(IF(AT$77+$F117&lt;=12,SUMIFS('Attrition Modeling'!$D:$D,'Attrition Modeling'!$C:$C,$D117,'Attrition Modeling'!$B:$B,AT$76),VLOOKUP($F117+AT$77,$A$7:$C$107,2,FALSE)*VLOOKUP(AT$76,'Attrition Modeling'!$L$15:$N$27,IF(AT$77+$F117&lt;=24,2,3),FALSE)),$C$3)*(1+IF('IP Attrition'!AT174&gt;0,'Attrition Modeling'!$N$9,0)))</f>
        <v>0</v>
      </c>
      <c r="AU117" s="799">
        <f>AT117*(1-IFERROR(IF(AU$77+$F117&lt;=12,SUMIFS('Attrition Modeling'!$D:$D,'Attrition Modeling'!$C:$C,$D117,'Attrition Modeling'!$B:$B,AU$76),VLOOKUP($F117+AU$77,$A$7:$C$107,2,FALSE)*VLOOKUP(AU$76,'Attrition Modeling'!$L$15:$N$27,IF(AU$77+$F117&lt;=24,2,3),FALSE)),$C$3)*(1+IF('IP Attrition'!AU174&gt;0,'Attrition Modeling'!$N$9,0)))</f>
        <v>0</v>
      </c>
      <c r="AV117" s="799">
        <f>AU117*(1-IFERROR(IF(AV$77+$F117&lt;=12,SUMIFS('Attrition Modeling'!$D:$D,'Attrition Modeling'!$C:$C,$D117,'Attrition Modeling'!$B:$B,AV$76),VLOOKUP($F117+AV$77,$A$7:$C$107,2,FALSE)*VLOOKUP(AV$76,'Attrition Modeling'!$L$15:$N$27,IF(AV$77+$F117&lt;=24,2,3),FALSE)),$C$3)*(1+IF('IP Attrition'!AV174&gt;0,'Attrition Modeling'!$N$9,0)))</f>
        <v>0</v>
      </c>
      <c r="AW117" s="799">
        <f>AV117*(1-IFERROR(IF(AW$77+$F117&lt;=12,SUMIFS('Attrition Modeling'!$D:$D,'Attrition Modeling'!$C:$C,$D117,'Attrition Modeling'!$B:$B,AW$76),VLOOKUP($F117+AW$77,$A$7:$C$107,2,FALSE)*VLOOKUP(AW$76,'Attrition Modeling'!$L$15:$N$27,IF(AW$77+$F117&lt;=24,2,3),FALSE)),$C$3)*(1+IF('IP Attrition'!AW174&gt;0,'Attrition Modeling'!$N$9,0)))</f>
        <v>0</v>
      </c>
      <c r="AX117" s="799">
        <f>AW117*(1-IFERROR(IF(AX$77+$F117&lt;=12,SUMIFS('Attrition Modeling'!$D:$D,'Attrition Modeling'!$C:$C,$D117,'Attrition Modeling'!$B:$B,AX$76),VLOOKUP($F117+AX$77,$A$7:$C$107,2,FALSE)*VLOOKUP(AX$76,'Attrition Modeling'!$L$15:$N$27,IF(AX$77+$F117&lt;=24,2,3),FALSE)),$C$3)*(1+IF('IP Attrition'!AX174&gt;0,'Attrition Modeling'!$N$9,0)))</f>
        <v>0</v>
      </c>
      <c r="AY117" s="799">
        <f>AX117*(1-IFERROR(IF(AY$77+$F117&lt;=12,SUMIFS('Attrition Modeling'!$D:$D,'Attrition Modeling'!$C:$C,$D117,'Attrition Modeling'!$B:$B,AY$76),VLOOKUP($F117+AY$77,$A$7:$C$107,2,FALSE)*VLOOKUP(AY$76,'Attrition Modeling'!$L$15:$N$27,IF(AY$77+$F117&lt;=24,2,3),FALSE)),$C$3)*(1+IF('IP Attrition'!AY174&gt;0,'Attrition Modeling'!$N$9,0)))</f>
        <v>0</v>
      </c>
      <c r="AZ117" s="799">
        <f>AY117*(1-IFERROR(IF(AZ$77+$F117&lt;=12,SUMIFS('Attrition Modeling'!$D:$D,'Attrition Modeling'!$C:$C,$D117,'Attrition Modeling'!$B:$B,AZ$76),VLOOKUP($F117+AZ$77,$A$7:$C$107,2,FALSE)*VLOOKUP(AZ$76,'Attrition Modeling'!$L$15:$N$27,IF(AZ$77+$F117&lt;=24,2,3),FALSE)),$C$3)*(1+IF('IP Attrition'!AZ174&gt;0,'Attrition Modeling'!$N$9,0)))</f>
        <v>0</v>
      </c>
      <c r="BA117" s="799">
        <f>AZ117*(1-IFERROR(IF(BA$77+$F117&lt;=12,SUMIFS('Attrition Modeling'!$D:$D,'Attrition Modeling'!$C:$C,$D117,'Attrition Modeling'!$B:$B,BA$76),VLOOKUP($F117+BA$77,$A$7:$C$107,2,FALSE)*VLOOKUP(BA$76,'Attrition Modeling'!$L$15:$N$27,IF(BA$77+$F117&lt;=24,2,3),FALSE)),$C$3)*(1+IF('IP Attrition'!BA174&gt;0,'Attrition Modeling'!$N$9,0)))</f>
        <v>0</v>
      </c>
      <c r="BB117" s="799">
        <f>BA117*(1-IFERROR(IF(BB$77+$F117&lt;=12,SUMIFS('Attrition Modeling'!$D:$D,'Attrition Modeling'!$C:$C,$D117,'Attrition Modeling'!$B:$B,BB$76),VLOOKUP($F117+BB$77,$A$7:$C$107,2,FALSE)*VLOOKUP(BB$76,'Attrition Modeling'!$L$15:$N$27,IF(BB$77+$F117&lt;=24,2,3),FALSE)),$C$3)*(1+IF('IP Attrition'!BB174&gt;0,'Attrition Modeling'!$N$9,0)))</f>
        <v>0</v>
      </c>
      <c r="BC117" s="799">
        <f>BB117*(1-IFERROR(IF(BC$77+$F117&lt;=12,SUMIFS('Attrition Modeling'!$D:$D,'Attrition Modeling'!$C:$C,$D117,'Attrition Modeling'!$B:$B,BC$76),VLOOKUP($F117+BC$77,$A$7:$C$107,2,FALSE)*VLOOKUP(BC$76,'Attrition Modeling'!$L$15:$N$27,IF(BC$77+$F117&lt;=24,2,3),FALSE)),$C$3)*(1+IF('IP Attrition'!BC174&gt;0,'Attrition Modeling'!$N$9,0)))</f>
        <v>0</v>
      </c>
      <c r="BD117" s="799">
        <f>BC117*(1-IFERROR(IF(BD$77+$F117&lt;=12,SUMIFS('Attrition Modeling'!$D:$D,'Attrition Modeling'!$C:$C,$D117,'Attrition Modeling'!$B:$B,BD$76),VLOOKUP($F117+BD$77,$A$7:$C$107,2,FALSE)*VLOOKUP(BD$76,'Attrition Modeling'!$L$15:$N$27,IF(BD$77+$F117&lt;=24,2,3),FALSE)),$C$3)*(1+IF('IP Attrition'!BD174&gt;0,'Attrition Modeling'!$N$9,0)))</f>
        <v>0</v>
      </c>
      <c r="BE117" s="799">
        <f>BD117*(1-IFERROR(IF(BE$77+$F117&lt;=12,SUMIFS('Attrition Modeling'!$D:$D,'Attrition Modeling'!$C:$C,$D117,'Attrition Modeling'!$B:$B,BE$76),VLOOKUP($F117+BE$77,$A$7:$C$107,2,FALSE)*VLOOKUP(BE$76,'Attrition Modeling'!$L$15:$N$27,IF(BE$77+$F117&lt;=24,2,3),FALSE)),$C$3)*(1+IF('IP Attrition'!BE174&gt;0,'Attrition Modeling'!$N$9,0)))</f>
        <v>0</v>
      </c>
      <c r="BF117" s="799">
        <f>BE117*(1-IFERROR(IF(BF$77+$F117&lt;=12,SUMIFS('Attrition Modeling'!$D:$D,'Attrition Modeling'!$C:$C,$D117,'Attrition Modeling'!$B:$B,BF$76),VLOOKUP($F117+BF$77,$A$7:$C$107,2,FALSE)*VLOOKUP(BF$76,'Attrition Modeling'!$L$15:$N$27,IF(BF$77+$F117&lt;=24,2,3),FALSE)),$C$3)*(1+IF('IP Attrition'!BF174&gt;0,'Attrition Modeling'!$N$9,0)))</f>
        <v>0</v>
      </c>
      <c r="BG117" s="799">
        <f>BF117*(1-IFERROR(IF(BG$77+$F117&lt;=12,SUMIFS('Attrition Modeling'!$D:$D,'Attrition Modeling'!$C:$C,$D117,'Attrition Modeling'!$B:$B,BG$76),VLOOKUP($F117+BG$77,$A$7:$C$107,2,FALSE)*VLOOKUP(BG$76,'Attrition Modeling'!$L$15:$N$27,IF(BG$77+$F117&lt;=24,2,3),FALSE)),$C$3)*(1+IF('IP Attrition'!BG174&gt;0,'Attrition Modeling'!$N$9,0)))</f>
        <v>0</v>
      </c>
      <c r="BH117" s="799">
        <f>BG117*(1-IFERROR(IF(BH$77+$F117&lt;=12,SUMIFS('Attrition Modeling'!$D:$D,'Attrition Modeling'!$C:$C,$D117,'Attrition Modeling'!$B:$B,BH$76),VLOOKUP($F117+BH$77,$A$7:$C$107,2,FALSE)*VLOOKUP(BH$76,'Attrition Modeling'!$L$15:$N$27,IF(BH$77+$F117&lt;=24,2,3),FALSE)),$C$3)*(1+IF('IP Attrition'!BH174&gt;0,'Attrition Modeling'!$N$9,0)))</f>
        <v>0</v>
      </c>
      <c r="BI117" s="799">
        <f>BH117*(1-IFERROR(IF(BI$77+$F117&lt;=12,SUMIFS('Attrition Modeling'!$D:$D,'Attrition Modeling'!$C:$C,$D117,'Attrition Modeling'!$B:$B,BI$76),VLOOKUP($F117+BI$77,$A$7:$C$107,2,FALSE)*VLOOKUP(BI$76,'Attrition Modeling'!$L$15:$N$27,IF(BI$77+$F117&lt;=24,2,3),FALSE)),$C$3)*(1+IF('IP Attrition'!BI174&gt;0,'Attrition Modeling'!$N$9,0)))</f>
        <v>0</v>
      </c>
      <c r="BJ117" s="799">
        <f>BI117*(1-IFERROR(IF(BJ$77+$F117&lt;=12,SUMIFS('Attrition Modeling'!$D:$D,'Attrition Modeling'!$C:$C,$D117,'Attrition Modeling'!$B:$B,BJ$76),VLOOKUP($F117+BJ$77,$A$7:$C$107,2,FALSE)*VLOOKUP(BJ$76,'Attrition Modeling'!$L$15:$N$27,IF(BJ$77+$F117&lt;=24,2,3),FALSE)),$C$3)*(1+IF('IP Attrition'!BJ174&gt;0,'Attrition Modeling'!$N$9,0)))</f>
        <v>0</v>
      </c>
      <c r="BK117" s="799">
        <f>BJ117*(1-IFERROR(IF(BK$77+$F117&lt;=12,SUMIFS('Attrition Modeling'!$D:$D,'Attrition Modeling'!$C:$C,$D117,'Attrition Modeling'!$B:$B,BK$76),VLOOKUP($F117+BK$77,$A$7:$C$107,2,FALSE)*VLOOKUP(BK$76,'Attrition Modeling'!$L$15:$N$27,IF(BK$77+$F117&lt;=24,2,3),FALSE)),$C$3)*(1+IF('IP Attrition'!BK174&gt;0,'Attrition Modeling'!$N$9,0)))</f>
        <v>0</v>
      </c>
      <c r="BL117" s="799">
        <f>BK117*(1-IFERROR(IF(BL$77+$F117&lt;=12,SUMIFS('Attrition Modeling'!$D:$D,'Attrition Modeling'!$C:$C,$D117,'Attrition Modeling'!$B:$B,BL$76),VLOOKUP($F117+BL$77,$A$7:$C$107,2,FALSE)*VLOOKUP(BL$76,'Attrition Modeling'!$L$15:$N$27,IF(BL$77+$F117&lt;=24,2,3),FALSE)),$C$3)*(1+IF('IP Attrition'!BL174&gt;0,'Attrition Modeling'!$N$9,0)))</f>
        <v>0</v>
      </c>
      <c r="BM117" s="799">
        <f>BL117*(1-IFERROR(IF(BM$77+$F117&lt;=12,SUMIFS('Attrition Modeling'!$D:$D,'Attrition Modeling'!$C:$C,$D117,'Attrition Modeling'!$B:$B,BM$76),VLOOKUP($F117+BM$77,$A$7:$C$107,2,FALSE)*VLOOKUP(BM$76,'Attrition Modeling'!$L$15:$N$27,IF(BM$77+$F117&lt;=24,2,3),FALSE)),$C$3)*(1+IF('IP Attrition'!BM174&gt;0,'Attrition Modeling'!$N$9,0)))</f>
        <v>0</v>
      </c>
      <c r="BN117" s="799">
        <f>BM117*(1-IFERROR(IF(BN$77+$F117&lt;=12,SUMIFS('Attrition Modeling'!$D:$D,'Attrition Modeling'!$C:$C,$D117,'Attrition Modeling'!$B:$B,BN$76),VLOOKUP($F117+BN$77,$A$7:$C$107,2,FALSE)*VLOOKUP(BN$76,'Attrition Modeling'!$L$15:$N$27,IF(BN$77+$F117&lt;=24,2,3),FALSE)),$C$3)*(1+IF('IP Attrition'!BN174&gt;0,'Attrition Modeling'!$N$9,0)))</f>
        <v>0</v>
      </c>
      <c r="BO117" s="799">
        <f>BN117*(1-IFERROR(IF(BO$77+$F117&lt;=12,SUMIFS('Attrition Modeling'!$D:$D,'Attrition Modeling'!$C:$C,$D117,'Attrition Modeling'!$B:$B,BO$76),VLOOKUP($F117+BO$77,$A$7:$C$107,2,FALSE)*VLOOKUP(BO$76,'Attrition Modeling'!$L$15:$N$27,IF(BO$77+$F117&lt;=24,2,3),FALSE)),$C$3)*(1+IF('IP Attrition'!BO174&gt;0,'Attrition Modeling'!$N$9,0)))</f>
        <v>0</v>
      </c>
      <c r="BP117" s="799">
        <f>BO117*(1-IFERROR(IF(BP$77+$F117&lt;=12,SUMIFS('Attrition Modeling'!$D:$D,'Attrition Modeling'!$C:$C,$D117,'Attrition Modeling'!$B:$B,BP$76),VLOOKUP($F117+BP$77,$A$7:$C$107,2,FALSE)*VLOOKUP(BP$76,'Attrition Modeling'!$L$15:$N$27,IF(BP$77+$F117&lt;=24,2,3),FALSE)),$C$3)*(1+IF('IP Attrition'!BP174&gt;0,'Attrition Modeling'!$N$9,0)))</f>
        <v>0</v>
      </c>
      <c r="BQ117" s="799">
        <f>BP117*(1-IFERROR(IF(BQ$77+$F117&lt;=12,SUMIFS('Attrition Modeling'!$D:$D,'Attrition Modeling'!$C:$C,$D117,'Attrition Modeling'!$B:$B,BQ$76),VLOOKUP($F117+BQ$77,$A$7:$C$107,2,FALSE)*VLOOKUP(BQ$76,'Attrition Modeling'!$L$15:$N$27,IF(BQ$77+$F117&lt;=24,2,3),FALSE)),$C$3)*(1+IF('IP Attrition'!BQ174&gt;0,'Attrition Modeling'!$N$9,0)))</f>
        <v>0</v>
      </c>
      <c r="BR117" s="799">
        <f>BQ117*(1-IFERROR(IF(BR$77+$F117&lt;=12,SUMIFS('Attrition Modeling'!$D:$D,'Attrition Modeling'!$C:$C,$D117,'Attrition Modeling'!$B:$B,BR$76),VLOOKUP($F117+BR$77,$A$7:$C$107,2,FALSE)*VLOOKUP(BR$76,'Attrition Modeling'!$L$15:$N$27,IF(BR$77+$F117&lt;=24,2,3),FALSE)),$C$3)*(1+IF('IP Attrition'!BR174&gt;0,'Attrition Modeling'!$N$9,0)))</f>
        <v>0</v>
      </c>
      <c r="BS117" s="799">
        <f>BR117*(1-IFERROR(IF(BS$77+$F117&lt;=12,SUMIFS('Attrition Modeling'!$D:$D,'Attrition Modeling'!$C:$C,$D117,'Attrition Modeling'!$B:$B,BS$76),VLOOKUP($F117+BS$77,$A$7:$C$107,2,FALSE)*VLOOKUP(BS$76,'Attrition Modeling'!$L$15:$N$27,IF(BS$77+$F117&lt;=24,2,3),FALSE)),$C$3)*(1+IF('IP Attrition'!BS174&gt;0,'Attrition Modeling'!$N$9,0)))</f>
        <v>0</v>
      </c>
      <c r="BT117" s="799" t="e">
        <f>BS117*(1-IFERROR(IF(BT$77+$F117&lt;=12,SUMIFS('Attrition Modeling'!$D:$D,'Attrition Modeling'!$C:$C,$D117,'Attrition Modeling'!$B:$B,BT$76),VLOOKUP($F117+BT$77,$A$7:$C$107,2,FALSE)*VLOOKUP(BT$76,'Attrition Modeling'!$L$15:$N$27,IF(BT$77+$F117&lt;=24,2,3),FALSE)),$C$3)*(1+IF('IP Attrition'!BT174&gt;0,'Attrition Modeling'!$N$9,0)))</f>
        <v>#REF!</v>
      </c>
      <c r="BU117" s="799" t="e">
        <f>BT117*(1-IFERROR(IF(BU$77+$F117&lt;=12,SUMIFS('Attrition Modeling'!$D:$D,'Attrition Modeling'!$C:$C,$D117,'Attrition Modeling'!$B:$B,BU$76),VLOOKUP($F117+BU$77,$A$7:$C$107,2,FALSE)*VLOOKUP(BU$76,'Attrition Modeling'!$L$15:$N$27,IF(BU$77+$F117&lt;=24,2,3),FALSE)),$C$3)*(1+IF('IP Attrition'!BU174&gt;0,'Attrition Modeling'!$N$9,0)))</f>
        <v>#REF!</v>
      </c>
    </row>
    <row r="118" spans="1:73" ht="14.25" customHeight="1" x14ac:dyDescent="0.2">
      <c r="A118" s="9">
        <v>110</v>
      </c>
      <c r="B118" s="25">
        <f>MAX('Attrition Modeling'!H114,$C$3)*(1-Summary!$C$20)</f>
        <v>0.02</v>
      </c>
      <c r="C118" s="24" t="e">
        <f t="shared" si="2"/>
        <v>#DIV/0!</v>
      </c>
      <c r="D118" s="11">
        <f>'IP Attrition'!D110</f>
        <v>-40</v>
      </c>
      <c r="E118" s="25">
        <f>'IP Attrition'!E110</f>
        <v>0</v>
      </c>
      <c r="F118" s="11">
        <f t="shared" si="8"/>
        <v>40</v>
      </c>
      <c r="G118" s="799">
        <f>Summary!$C$24*$E118</f>
        <v>0</v>
      </c>
      <c r="H118" s="799">
        <f>G118*(1-IFERROR(IF(H$77+$F118&lt;=12,SUMIFS('Attrition Modeling'!$D:$D,'Attrition Modeling'!$C:$C,$D118,'Attrition Modeling'!$B:$B,H$76),VLOOKUP($F118+H$77,$A$7:$C$107,2,FALSE)*VLOOKUP(H$76,'Attrition Modeling'!$L$15:$N$27,IF(H$77+$F118&lt;=24,2,3),FALSE)),$C$3)*(1+IF('IP Attrition'!H175&gt;0,'Attrition Modeling'!$N$9,0)))</f>
        <v>0</v>
      </c>
      <c r="I118" s="799">
        <f>H118*(1-IFERROR(IF(I$77+$F118&lt;=12,SUMIFS('Attrition Modeling'!$D:$D,'Attrition Modeling'!$C:$C,$D118,'Attrition Modeling'!$B:$B,I$76),VLOOKUP($F118+I$77,$A$7:$C$107,2,FALSE)*VLOOKUP(I$76,'Attrition Modeling'!$L$15:$N$27,IF(I$77+$F118&lt;=24,2,3),FALSE)),$C$3)*(1+IF('IP Attrition'!I175&gt;0,'Attrition Modeling'!$N$9,0)))</f>
        <v>0</v>
      </c>
      <c r="J118" s="799">
        <f>I118*(1-IFERROR(IF(J$77+$F118&lt;=12,SUMIFS('Attrition Modeling'!$D:$D,'Attrition Modeling'!$C:$C,$D118,'Attrition Modeling'!$B:$B,J$76),VLOOKUP($F118+J$77,$A$7:$C$107,2,FALSE)*VLOOKUP(J$76,'Attrition Modeling'!$L$15:$N$27,IF(J$77+$F118&lt;=24,2,3),FALSE)),$C$3)*(1+IF('IP Attrition'!J175&gt;0,'Attrition Modeling'!$N$9,0)))</f>
        <v>0</v>
      </c>
      <c r="K118" s="799">
        <f>J118*(1-IFERROR(IF(K$77+$F118&lt;=12,SUMIFS('Attrition Modeling'!$D:$D,'Attrition Modeling'!$C:$C,$D118,'Attrition Modeling'!$B:$B,K$76),VLOOKUP($F118+K$77,$A$7:$C$107,2,FALSE)*VLOOKUP(K$76,'Attrition Modeling'!$L$15:$N$27,IF(K$77+$F118&lt;=24,2,3),FALSE)),$C$3)*(1+IF('IP Attrition'!K175&gt;0,'Attrition Modeling'!$N$9,0)))</f>
        <v>0</v>
      </c>
      <c r="L118" s="799">
        <f>K118*(1-IFERROR(IF(L$77+$F118&lt;=12,SUMIFS('Attrition Modeling'!$D:$D,'Attrition Modeling'!$C:$C,$D118,'Attrition Modeling'!$B:$B,L$76),VLOOKUP($F118+L$77,$A$7:$C$107,2,FALSE)*VLOOKUP(L$76,'Attrition Modeling'!$L$15:$N$27,IF(L$77+$F118&lt;=24,2,3),FALSE)),$C$3)*(1+IF('IP Attrition'!L175&gt;0,'Attrition Modeling'!$N$9,0)))</f>
        <v>0</v>
      </c>
      <c r="M118" s="799">
        <f>L118*(1-IFERROR(IF(M$77+$F118&lt;=12,SUMIFS('Attrition Modeling'!$D:$D,'Attrition Modeling'!$C:$C,$D118,'Attrition Modeling'!$B:$B,M$76),VLOOKUP($F118+M$77,$A$7:$C$107,2,FALSE)*VLOOKUP(M$76,'Attrition Modeling'!$L$15:$N$27,IF(M$77+$F118&lt;=24,2,3),FALSE)),$C$3)*(1+IF('IP Attrition'!M175&gt;0,'Attrition Modeling'!$N$9,0)))</f>
        <v>0</v>
      </c>
      <c r="N118" s="799">
        <f>M118*(1-IFERROR(IF(N$77+$F118&lt;=12,SUMIFS('Attrition Modeling'!$D:$D,'Attrition Modeling'!$C:$C,$D118,'Attrition Modeling'!$B:$B,N$76),VLOOKUP($F118+N$77,$A$7:$C$107,2,FALSE)*VLOOKUP(N$76,'Attrition Modeling'!$L$15:$N$27,IF(N$77+$F118&lt;=24,2,3),FALSE)),$C$3)*(1+IF('IP Attrition'!N175&gt;0,'Attrition Modeling'!$N$9,0)))</f>
        <v>0</v>
      </c>
      <c r="O118" s="799">
        <f>N118*(1-IFERROR(IF(O$77+$F118&lt;=12,SUMIFS('Attrition Modeling'!$D:$D,'Attrition Modeling'!$C:$C,$D118,'Attrition Modeling'!$B:$B,O$76),VLOOKUP($F118+O$77,$A$7:$C$107,2,FALSE)*VLOOKUP(O$76,'Attrition Modeling'!$L$15:$N$27,IF(O$77+$F118&lt;=24,2,3),FALSE)),$C$3)*(1+IF('IP Attrition'!O175&gt;0,'Attrition Modeling'!$N$9,0)))</f>
        <v>0</v>
      </c>
      <c r="P118" s="799">
        <f>O118*(1-IFERROR(IF(P$77+$F118&lt;=12,SUMIFS('Attrition Modeling'!$D:$D,'Attrition Modeling'!$C:$C,$D118,'Attrition Modeling'!$B:$B,P$76),VLOOKUP($F118+P$77,$A$7:$C$107,2,FALSE)*VLOOKUP(P$76,'Attrition Modeling'!$L$15:$N$27,IF(P$77+$F118&lt;=24,2,3),FALSE)),$C$3)*(1+IF('IP Attrition'!P175&gt;0,'Attrition Modeling'!$N$9,0)))</f>
        <v>0</v>
      </c>
      <c r="Q118" s="799">
        <f>P118*(1-IFERROR(IF(Q$77+$F118&lt;=12,SUMIFS('Attrition Modeling'!$D:$D,'Attrition Modeling'!$C:$C,$D118,'Attrition Modeling'!$B:$B,Q$76),VLOOKUP($F118+Q$77,$A$7:$C$107,2,FALSE)*VLOOKUP(Q$76,'Attrition Modeling'!$L$15:$N$27,IF(Q$77+$F118&lt;=24,2,3),FALSE)),$C$3)*(1+IF('IP Attrition'!Q175&gt;0,'Attrition Modeling'!$N$9,0)))</f>
        <v>0</v>
      </c>
      <c r="R118" s="799">
        <f>Q118*(1-IFERROR(IF(R$77+$F118&lt;=12,SUMIFS('Attrition Modeling'!$D:$D,'Attrition Modeling'!$C:$C,$D118,'Attrition Modeling'!$B:$B,R$76),VLOOKUP($F118+R$77,$A$7:$C$107,2,FALSE)*VLOOKUP(R$76,'Attrition Modeling'!$L$15:$N$27,IF(R$77+$F118&lt;=24,2,3),FALSE)),$C$3)*(1+IF('IP Attrition'!R175&gt;0,'Attrition Modeling'!$N$9,0)))</f>
        <v>0</v>
      </c>
      <c r="S118" s="799">
        <f>R118*(1-IFERROR(IF(S$77+$F118&lt;=12,SUMIFS('Attrition Modeling'!$D:$D,'Attrition Modeling'!$C:$C,$D118,'Attrition Modeling'!$B:$B,S$76),VLOOKUP($F118+S$77,$A$7:$C$107,2,FALSE)*VLOOKUP(S$76,'Attrition Modeling'!$L$15:$N$27,IF(S$77+$F118&lt;=24,2,3),FALSE)),$C$3)*(1+IF('IP Attrition'!S175&gt;0,'Attrition Modeling'!$N$9,0)))</f>
        <v>0</v>
      </c>
      <c r="T118" s="799">
        <f>S118*(1-IFERROR(IF(T$77+$F118&lt;=12,SUMIFS('Attrition Modeling'!$D:$D,'Attrition Modeling'!$C:$C,$D118,'Attrition Modeling'!$B:$B,T$76),VLOOKUP($F118+T$77,$A$7:$C$107,2,FALSE)*VLOOKUP(T$76,'Attrition Modeling'!$L$15:$N$27,IF(T$77+$F118&lt;=24,2,3),FALSE)),$C$3)*(1+IF('IP Attrition'!T175&gt;0,'Attrition Modeling'!$N$9,0)))</f>
        <v>0</v>
      </c>
      <c r="U118" s="799">
        <f>T118*(1-IFERROR(IF(U$77+$F118&lt;=12,SUMIFS('Attrition Modeling'!$D:$D,'Attrition Modeling'!$C:$C,$D118,'Attrition Modeling'!$B:$B,U$76),VLOOKUP($F118+U$77,$A$7:$C$107,2,FALSE)*VLOOKUP(U$76,'Attrition Modeling'!$L$15:$N$27,IF(U$77+$F118&lt;=24,2,3),FALSE)),$C$3)*(1+IF('IP Attrition'!U175&gt;0,'Attrition Modeling'!$N$9,0)))</f>
        <v>0</v>
      </c>
      <c r="V118" s="799">
        <f>U118*(1-IFERROR(IF(V$77+$F118&lt;=12,SUMIFS('Attrition Modeling'!$D:$D,'Attrition Modeling'!$C:$C,$D118,'Attrition Modeling'!$B:$B,V$76),VLOOKUP($F118+V$77,$A$7:$C$107,2,FALSE)*VLOOKUP(V$76,'Attrition Modeling'!$L$15:$N$27,IF(V$77+$F118&lt;=24,2,3),FALSE)),$C$3)*(1+IF('IP Attrition'!V175&gt;0,'Attrition Modeling'!$N$9,0)))</f>
        <v>0</v>
      </c>
      <c r="W118" s="799">
        <f>V118*(1-IFERROR(IF(W$77+$F118&lt;=12,SUMIFS('Attrition Modeling'!$D:$D,'Attrition Modeling'!$C:$C,$D118,'Attrition Modeling'!$B:$B,W$76),VLOOKUP($F118+W$77,$A$7:$C$107,2,FALSE)*VLOOKUP(W$76,'Attrition Modeling'!$L$15:$N$27,IF(W$77+$F118&lt;=24,2,3),FALSE)),$C$3)*(1+IF('IP Attrition'!W175&gt;0,'Attrition Modeling'!$N$9,0)))</f>
        <v>0</v>
      </c>
      <c r="X118" s="799">
        <f>W118*(1-IFERROR(IF(X$77+$F118&lt;=12,SUMIFS('Attrition Modeling'!$D:$D,'Attrition Modeling'!$C:$C,$D118,'Attrition Modeling'!$B:$B,X$76),VLOOKUP($F118+X$77,$A$7:$C$107,2,FALSE)*VLOOKUP(X$76,'Attrition Modeling'!$L$15:$N$27,IF(X$77+$F118&lt;=24,2,3),FALSE)),$C$3)*(1+IF('IP Attrition'!X175&gt;0,'Attrition Modeling'!$N$9,0)))</f>
        <v>0</v>
      </c>
      <c r="Y118" s="799">
        <f>X118*(1-IFERROR(IF(Y$77+$F118&lt;=12,SUMIFS('Attrition Modeling'!$D:$D,'Attrition Modeling'!$C:$C,$D118,'Attrition Modeling'!$B:$B,Y$76),VLOOKUP($F118+Y$77,$A$7:$C$107,2,FALSE)*VLOOKUP(Y$76,'Attrition Modeling'!$L$15:$N$27,IF(Y$77+$F118&lt;=24,2,3),FALSE)),$C$3)*(1+IF('IP Attrition'!Y175&gt;0,'Attrition Modeling'!$N$9,0)))</f>
        <v>0</v>
      </c>
      <c r="Z118" s="799">
        <f>Y118*(1-IFERROR(IF(Z$77+$F118&lt;=12,SUMIFS('Attrition Modeling'!$D:$D,'Attrition Modeling'!$C:$C,$D118,'Attrition Modeling'!$B:$B,Z$76),VLOOKUP($F118+Z$77,$A$7:$C$107,2,FALSE)*VLOOKUP(Z$76,'Attrition Modeling'!$L$15:$N$27,IF(Z$77+$F118&lt;=24,2,3),FALSE)),$C$3)*(1+IF('IP Attrition'!Z175&gt;0,'Attrition Modeling'!$N$9,0)))</f>
        <v>0</v>
      </c>
      <c r="AA118" s="799">
        <f>Z118*(1-IFERROR(IF(AA$77+$F118&lt;=12,SUMIFS('Attrition Modeling'!$D:$D,'Attrition Modeling'!$C:$C,$D118,'Attrition Modeling'!$B:$B,AA$76),VLOOKUP($F118+AA$77,$A$7:$C$107,2,FALSE)*VLOOKUP(AA$76,'Attrition Modeling'!$L$15:$N$27,IF(AA$77+$F118&lt;=24,2,3),FALSE)),$C$3)*(1+IF('IP Attrition'!AA175&gt;0,'Attrition Modeling'!$N$9,0)))</f>
        <v>0</v>
      </c>
      <c r="AB118" s="799">
        <f>AA118*(1-IFERROR(IF(AB$77+$F118&lt;=12,SUMIFS('Attrition Modeling'!$D:$D,'Attrition Modeling'!$C:$C,$D118,'Attrition Modeling'!$B:$B,AB$76),VLOOKUP($F118+AB$77,$A$7:$C$107,2,FALSE)*VLOOKUP(AB$76,'Attrition Modeling'!$L$15:$N$27,IF(AB$77+$F118&lt;=24,2,3),FALSE)),$C$3)*(1+IF('IP Attrition'!AB175&gt;0,'Attrition Modeling'!$N$9,0)))</f>
        <v>0</v>
      </c>
      <c r="AC118" s="799">
        <f>AB118*(1-IFERROR(IF(AC$77+$F118&lt;=12,SUMIFS('Attrition Modeling'!$D:$D,'Attrition Modeling'!$C:$C,$D118,'Attrition Modeling'!$B:$B,AC$76),VLOOKUP($F118+AC$77,$A$7:$C$107,2,FALSE)*VLOOKUP(AC$76,'Attrition Modeling'!$L$15:$N$27,IF(AC$77+$F118&lt;=24,2,3),FALSE)),$C$3)*(1+IF('IP Attrition'!AC175&gt;0,'Attrition Modeling'!$N$9,0)))</f>
        <v>0</v>
      </c>
      <c r="AD118" s="799">
        <f>AC118*(1-IFERROR(IF(AD$77+$F118&lt;=12,SUMIFS('Attrition Modeling'!$D:$D,'Attrition Modeling'!$C:$C,$D118,'Attrition Modeling'!$B:$B,AD$76),VLOOKUP($F118+AD$77,$A$7:$C$107,2,FALSE)*VLOOKUP(AD$76,'Attrition Modeling'!$L$15:$N$27,IF(AD$77+$F118&lt;=24,2,3),FALSE)),$C$3)*(1+IF('IP Attrition'!AD175&gt;0,'Attrition Modeling'!$N$9,0)))</f>
        <v>0</v>
      </c>
      <c r="AE118" s="799">
        <f>AD118*(1-IFERROR(IF(AE$77+$F118&lt;=12,SUMIFS('Attrition Modeling'!$D:$D,'Attrition Modeling'!$C:$C,$D118,'Attrition Modeling'!$B:$B,AE$76),VLOOKUP($F118+AE$77,$A$7:$C$107,2,FALSE)*VLOOKUP(AE$76,'Attrition Modeling'!$L$15:$N$27,IF(AE$77+$F118&lt;=24,2,3),FALSE)),$C$3)*(1+IF('IP Attrition'!AE175&gt;0,'Attrition Modeling'!$N$9,0)))</f>
        <v>0</v>
      </c>
      <c r="AF118" s="799">
        <f>AE118*(1-IFERROR(IF(AF$77+$F118&lt;=12,SUMIFS('Attrition Modeling'!$D:$D,'Attrition Modeling'!$C:$C,$D118,'Attrition Modeling'!$B:$B,AF$76),VLOOKUP($F118+AF$77,$A$7:$C$107,2,FALSE)*VLOOKUP(AF$76,'Attrition Modeling'!$L$15:$N$27,IF(AF$77+$F118&lt;=24,2,3),FALSE)),$C$3)*(1+IF('IP Attrition'!AF175&gt;0,'Attrition Modeling'!$N$9,0)))</f>
        <v>0</v>
      </c>
      <c r="AG118" s="799">
        <f>AF118*(1-IFERROR(IF(AG$77+$F118&lt;=12,SUMIFS('Attrition Modeling'!$D:$D,'Attrition Modeling'!$C:$C,$D118,'Attrition Modeling'!$B:$B,AG$76),VLOOKUP($F118+AG$77,$A$7:$C$107,2,FALSE)*VLOOKUP(AG$76,'Attrition Modeling'!$L$15:$N$27,IF(AG$77+$F118&lt;=24,2,3),FALSE)),$C$3)*(1+IF('IP Attrition'!AG175&gt;0,'Attrition Modeling'!$N$9,0)))</f>
        <v>0</v>
      </c>
      <c r="AH118" s="799">
        <f>AG118*(1-IFERROR(IF(AH$77+$F118&lt;=12,SUMIFS('Attrition Modeling'!$D:$D,'Attrition Modeling'!$C:$C,$D118,'Attrition Modeling'!$B:$B,AH$76),VLOOKUP($F118+AH$77,$A$7:$C$107,2,FALSE)*VLOOKUP(AH$76,'Attrition Modeling'!$L$15:$N$27,IF(AH$77+$F118&lt;=24,2,3),FALSE)),$C$3)*(1+IF('IP Attrition'!AH175&gt;0,'Attrition Modeling'!$N$9,0)))</f>
        <v>0</v>
      </c>
      <c r="AI118" s="799">
        <f>AH118*(1-IFERROR(IF(AI$77+$F118&lt;=12,SUMIFS('Attrition Modeling'!$D:$D,'Attrition Modeling'!$C:$C,$D118,'Attrition Modeling'!$B:$B,AI$76),VLOOKUP($F118+AI$77,$A$7:$C$107,2,FALSE)*VLOOKUP(AI$76,'Attrition Modeling'!$L$15:$N$27,IF(AI$77+$F118&lt;=24,2,3),FALSE)),$C$3)*(1+IF('IP Attrition'!AI175&gt;0,'Attrition Modeling'!$N$9,0)))</f>
        <v>0</v>
      </c>
      <c r="AJ118" s="799">
        <f>AI118*(1-IFERROR(IF(AJ$77+$F118&lt;=12,SUMIFS('Attrition Modeling'!$D:$D,'Attrition Modeling'!$C:$C,$D118,'Attrition Modeling'!$B:$B,AJ$76),VLOOKUP($F118+AJ$77,$A$7:$C$107,2,FALSE)*VLOOKUP(AJ$76,'Attrition Modeling'!$L$15:$N$27,IF(AJ$77+$F118&lt;=24,2,3),FALSE)),$C$3)*(1+IF('IP Attrition'!AJ175&gt;0,'Attrition Modeling'!$N$9,0)))</f>
        <v>0</v>
      </c>
      <c r="AK118" s="799">
        <f>AJ118*(1-IFERROR(IF(AK$77+$F118&lt;=12,SUMIFS('Attrition Modeling'!$D:$D,'Attrition Modeling'!$C:$C,$D118,'Attrition Modeling'!$B:$B,AK$76),VLOOKUP($F118+AK$77,$A$7:$C$107,2,FALSE)*VLOOKUP(AK$76,'Attrition Modeling'!$L$15:$N$27,IF(AK$77+$F118&lt;=24,2,3),FALSE)),$C$3)*(1+IF('IP Attrition'!AK175&gt;0,'Attrition Modeling'!$N$9,0)))</f>
        <v>0</v>
      </c>
      <c r="AL118" s="799">
        <f>AK118*(1-IFERROR(IF(AL$77+$F118&lt;=12,SUMIFS('Attrition Modeling'!$D:$D,'Attrition Modeling'!$C:$C,$D118,'Attrition Modeling'!$B:$B,AL$76),VLOOKUP($F118+AL$77,$A$7:$C$107,2,FALSE)*VLOOKUP(AL$76,'Attrition Modeling'!$L$15:$N$27,IF(AL$77+$F118&lt;=24,2,3),FALSE)),$C$3)*(1+IF('IP Attrition'!AL175&gt;0,'Attrition Modeling'!$N$9,0)))</f>
        <v>0</v>
      </c>
      <c r="AM118" s="799">
        <f>AL118*(1-IFERROR(IF(AM$77+$F118&lt;=12,SUMIFS('Attrition Modeling'!$D:$D,'Attrition Modeling'!$C:$C,$D118,'Attrition Modeling'!$B:$B,AM$76),VLOOKUP($F118+AM$77,$A$7:$C$107,2,FALSE)*VLOOKUP(AM$76,'Attrition Modeling'!$L$15:$N$27,IF(AM$77+$F118&lt;=24,2,3),FALSE)),$C$3)*(1+IF('IP Attrition'!AM175&gt;0,'Attrition Modeling'!$N$9,0)))</f>
        <v>0</v>
      </c>
      <c r="AN118" s="799">
        <f>AM118*(1-IFERROR(IF(AN$77+$F118&lt;=12,SUMIFS('Attrition Modeling'!$D:$D,'Attrition Modeling'!$C:$C,$D118,'Attrition Modeling'!$B:$B,AN$76),VLOOKUP($F118+AN$77,$A$7:$C$107,2,FALSE)*VLOOKUP(AN$76,'Attrition Modeling'!$L$15:$N$27,IF(AN$77+$F118&lt;=24,2,3),FALSE)),$C$3)*(1+IF('IP Attrition'!AN175&gt;0,'Attrition Modeling'!$N$9,0)))</f>
        <v>0</v>
      </c>
      <c r="AO118" s="799">
        <f>AN118*(1-IFERROR(IF(AO$77+$F118&lt;=12,SUMIFS('Attrition Modeling'!$D:$D,'Attrition Modeling'!$C:$C,$D118,'Attrition Modeling'!$B:$B,AO$76),VLOOKUP($F118+AO$77,$A$7:$C$107,2,FALSE)*VLOOKUP(AO$76,'Attrition Modeling'!$L$15:$N$27,IF(AO$77+$F118&lt;=24,2,3),FALSE)),$C$3)*(1+IF('IP Attrition'!AO175&gt;0,'Attrition Modeling'!$N$9,0)))</f>
        <v>0</v>
      </c>
      <c r="AP118" s="799">
        <f>AO118*(1-IFERROR(IF(AP$77+$F118&lt;=12,SUMIFS('Attrition Modeling'!$D:$D,'Attrition Modeling'!$C:$C,$D118,'Attrition Modeling'!$B:$B,AP$76),VLOOKUP($F118+AP$77,$A$7:$C$107,2,FALSE)*VLOOKUP(AP$76,'Attrition Modeling'!$L$15:$N$27,IF(AP$77+$F118&lt;=24,2,3),FALSE)),$C$3)*(1+IF('IP Attrition'!AP175&gt;0,'Attrition Modeling'!$N$9,0)))</f>
        <v>0</v>
      </c>
      <c r="AQ118" s="799">
        <f>AP118*(1-IFERROR(IF(AQ$77+$F118&lt;=12,SUMIFS('Attrition Modeling'!$D:$D,'Attrition Modeling'!$C:$C,$D118,'Attrition Modeling'!$B:$B,AQ$76),VLOOKUP($F118+AQ$77,$A$7:$C$107,2,FALSE)*VLOOKUP(AQ$76,'Attrition Modeling'!$L$15:$N$27,IF(AQ$77+$F118&lt;=24,2,3),FALSE)),$C$3)*(1+IF('IP Attrition'!AQ175&gt;0,'Attrition Modeling'!$N$9,0)))</f>
        <v>0</v>
      </c>
      <c r="AR118" s="799">
        <f>AQ118*(1-IFERROR(IF(AR$77+$F118&lt;=12,SUMIFS('Attrition Modeling'!$D:$D,'Attrition Modeling'!$C:$C,$D118,'Attrition Modeling'!$B:$B,AR$76),VLOOKUP($F118+AR$77,$A$7:$C$107,2,FALSE)*VLOOKUP(AR$76,'Attrition Modeling'!$L$15:$N$27,IF(AR$77+$F118&lt;=24,2,3),FALSE)),$C$3)*(1+IF('IP Attrition'!AR175&gt;0,'Attrition Modeling'!$N$9,0)))</f>
        <v>0</v>
      </c>
      <c r="AS118" s="799">
        <f>AR118*(1-IFERROR(IF(AS$77+$F118&lt;=12,SUMIFS('Attrition Modeling'!$D:$D,'Attrition Modeling'!$C:$C,$D118,'Attrition Modeling'!$B:$B,AS$76),VLOOKUP($F118+AS$77,$A$7:$C$107,2,FALSE)*VLOOKUP(AS$76,'Attrition Modeling'!$L$15:$N$27,IF(AS$77+$F118&lt;=24,2,3),FALSE)),$C$3)*(1+IF('IP Attrition'!AS175&gt;0,'Attrition Modeling'!$N$9,0)))</f>
        <v>0</v>
      </c>
      <c r="AT118" s="799">
        <f>AS118*(1-IFERROR(IF(AT$77+$F118&lt;=12,SUMIFS('Attrition Modeling'!$D:$D,'Attrition Modeling'!$C:$C,$D118,'Attrition Modeling'!$B:$B,AT$76),VLOOKUP($F118+AT$77,$A$7:$C$107,2,FALSE)*VLOOKUP(AT$76,'Attrition Modeling'!$L$15:$N$27,IF(AT$77+$F118&lt;=24,2,3),FALSE)),$C$3)*(1+IF('IP Attrition'!AT175&gt;0,'Attrition Modeling'!$N$9,0)))</f>
        <v>0</v>
      </c>
      <c r="AU118" s="799">
        <f>AT118*(1-IFERROR(IF(AU$77+$F118&lt;=12,SUMIFS('Attrition Modeling'!$D:$D,'Attrition Modeling'!$C:$C,$D118,'Attrition Modeling'!$B:$B,AU$76),VLOOKUP($F118+AU$77,$A$7:$C$107,2,FALSE)*VLOOKUP(AU$76,'Attrition Modeling'!$L$15:$N$27,IF(AU$77+$F118&lt;=24,2,3),FALSE)),$C$3)*(1+IF('IP Attrition'!AU175&gt;0,'Attrition Modeling'!$N$9,0)))</f>
        <v>0</v>
      </c>
      <c r="AV118" s="799">
        <f>AU118*(1-IFERROR(IF(AV$77+$F118&lt;=12,SUMIFS('Attrition Modeling'!$D:$D,'Attrition Modeling'!$C:$C,$D118,'Attrition Modeling'!$B:$B,AV$76),VLOOKUP($F118+AV$77,$A$7:$C$107,2,FALSE)*VLOOKUP(AV$76,'Attrition Modeling'!$L$15:$N$27,IF(AV$77+$F118&lt;=24,2,3),FALSE)),$C$3)*(1+IF('IP Attrition'!AV175&gt;0,'Attrition Modeling'!$N$9,0)))</f>
        <v>0</v>
      </c>
      <c r="AW118" s="799">
        <f>AV118*(1-IFERROR(IF(AW$77+$F118&lt;=12,SUMIFS('Attrition Modeling'!$D:$D,'Attrition Modeling'!$C:$C,$D118,'Attrition Modeling'!$B:$B,AW$76),VLOOKUP($F118+AW$77,$A$7:$C$107,2,FALSE)*VLOOKUP(AW$76,'Attrition Modeling'!$L$15:$N$27,IF(AW$77+$F118&lt;=24,2,3),FALSE)),$C$3)*(1+IF('IP Attrition'!AW175&gt;0,'Attrition Modeling'!$N$9,0)))</f>
        <v>0</v>
      </c>
      <c r="AX118" s="799">
        <f>AW118*(1-IFERROR(IF(AX$77+$F118&lt;=12,SUMIFS('Attrition Modeling'!$D:$D,'Attrition Modeling'!$C:$C,$D118,'Attrition Modeling'!$B:$B,AX$76),VLOOKUP($F118+AX$77,$A$7:$C$107,2,FALSE)*VLOOKUP(AX$76,'Attrition Modeling'!$L$15:$N$27,IF(AX$77+$F118&lt;=24,2,3),FALSE)),$C$3)*(1+IF('IP Attrition'!AX175&gt;0,'Attrition Modeling'!$N$9,0)))</f>
        <v>0</v>
      </c>
      <c r="AY118" s="799">
        <f>AX118*(1-IFERROR(IF(AY$77+$F118&lt;=12,SUMIFS('Attrition Modeling'!$D:$D,'Attrition Modeling'!$C:$C,$D118,'Attrition Modeling'!$B:$B,AY$76),VLOOKUP($F118+AY$77,$A$7:$C$107,2,FALSE)*VLOOKUP(AY$76,'Attrition Modeling'!$L$15:$N$27,IF(AY$77+$F118&lt;=24,2,3),FALSE)),$C$3)*(1+IF('IP Attrition'!AY175&gt;0,'Attrition Modeling'!$N$9,0)))</f>
        <v>0</v>
      </c>
      <c r="AZ118" s="799">
        <f>AY118*(1-IFERROR(IF(AZ$77+$F118&lt;=12,SUMIFS('Attrition Modeling'!$D:$D,'Attrition Modeling'!$C:$C,$D118,'Attrition Modeling'!$B:$B,AZ$76),VLOOKUP($F118+AZ$77,$A$7:$C$107,2,FALSE)*VLOOKUP(AZ$76,'Attrition Modeling'!$L$15:$N$27,IF(AZ$77+$F118&lt;=24,2,3),FALSE)),$C$3)*(1+IF('IP Attrition'!AZ175&gt;0,'Attrition Modeling'!$N$9,0)))</f>
        <v>0</v>
      </c>
      <c r="BA118" s="799">
        <f>AZ118*(1-IFERROR(IF(BA$77+$F118&lt;=12,SUMIFS('Attrition Modeling'!$D:$D,'Attrition Modeling'!$C:$C,$D118,'Attrition Modeling'!$B:$B,BA$76),VLOOKUP($F118+BA$77,$A$7:$C$107,2,FALSE)*VLOOKUP(BA$76,'Attrition Modeling'!$L$15:$N$27,IF(BA$77+$F118&lt;=24,2,3),FALSE)),$C$3)*(1+IF('IP Attrition'!BA175&gt;0,'Attrition Modeling'!$N$9,0)))</f>
        <v>0</v>
      </c>
      <c r="BB118" s="799">
        <f>BA118*(1-IFERROR(IF(BB$77+$F118&lt;=12,SUMIFS('Attrition Modeling'!$D:$D,'Attrition Modeling'!$C:$C,$D118,'Attrition Modeling'!$B:$B,BB$76),VLOOKUP($F118+BB$77,$A$7:$C$107,2,FALSE)*VLOOKUP(BB$76,'Attrition Modeling'!$L$15:$N$27,IF(BB$77+$F118&lt;=24,2,3),FALSE)),$C$3)*(1+IF('IP Attrition'!BB175&gt;0,'Attrition Modeling'!$N$9,0)))</f>
        <v>0</v>
      </c>
      <c r="BC118" s="799">
        <f>BB118*(1-IFERROR(IF(BC$77+$F118&lt;=12,SUMIFS('Attrition Modeling'!$D:$D,'Attrition Modeling'!$C:$C,$D118,'Attrition Modeling'!$B:$B,BC$76),VLOOKUP($F118+BC$77,$A$7:$C$107,2,FALSE)*VLOOKUP(BC$76,'Attrition Modeling'!$L$15:$N$27,IF(BC$77+$F118&lt;=24,2,3),FALSE)),$C$3)*(1+IF('IP Attrition'!BC175&gt;0,'Attrition Modeling'!$N$9,0)))</f>
        <v>0</v>
      </c>
      <c r="BD118" s="799">
        <f>BC118*(1-IFERROR(IF(BD$77+$F118&lt;=12,SUMIFS('Attrition Modeling'!$D:$D,'Attrition Modeling'!$C:$C,$D118,'Attrition Modeling'!$B:$B,BD$76),VLOOKUP($F118+BD$77,$A$7:$C$107,2,FALSE)*VLOOKUP(BD$76,'Attrition Modeling'!$L$15:$N$27,IF(BD$77+$F118&lt;=24,2,3),FALSE)),$C$3)*(1+IF('IP Attrition'!BD175&gt;0,'Attrition Modeling'!$N$9,0)))</f>
        <v>0</v>
      </c>
      <c r="BE118" s="799">
        <f>BD118*(1-IFERROR(IF(BE$77+$F118&lt;=12,SUMIFS('Attrition Modeling'!$D:$D,'Attrition Modeling'!$C:$C,$D118,'Attrition Modeling'!$B:$B,BE$76),VLOOKUP($F118+BE$77,$A$7:$C$107,2,FALSE)*VLOOKUP(BE$76,'Attrition Modeling'!$L$15:$N$27,IF(BE$77+$F118&lt;=24,2,3),FALSE)),$C$3)*(1+IF('IP Attrition'!BE175&gt;0,'Attrition Modeling'!$N$9,0)))</f>
        <v>0</v>
      </c>
      <c r="BF118" s="799">
        <f>BE118*(1-IFERROR(IF(BF$77+$F118&lt;=12,SUMIFS('Attrition Modeling'!$D:$D,'Attrition Modeling'!$C:$C,$D118,'Attrition Modeling'!$B:$B,BF$76),VLOOKUP($F118+BF$77,$A$7:$C$107,2,FALSE)*VLOOKUP(BF$76,'Attrition Modeling'!$L$15:$N$27,IF(BF$77+$F118&lt;=24,2,3),FALSE)),$C$3)*(1+IF('IP Attrition'!BF175&gt;0,'Attrition Modeling'!$N$9,0)))</f>
        <v>0</v>
      </c>
      <c r="BG118" s="799">
        <f>BF118*(1-IFERROR(IF(BG$77+$F118&lt;=12,SUMIFS('Attrition Modeling'!$D:$D,'Attrition Modeling'!$C:$C,$D118,'Attrition Modeling'!$B:$B,BG$76),VLOOKUP($F118+BG$77,$A$7:$C$107,2,FALSE)*VLOOKUP(BG$76,'Attrition Modeling'!$L$15:$N$27,IF(BG$77+$F118&lt;=24,2,3),FALSE)),$C$3)*(1+IF('IP Attrition'!BG175&gt;0,'Attrition Modeling'!$N$9,0)))</f>
        <v>0</v>
      </c>
      <c r="BH118" s="799">
        <f>BG118*(1-IFERROR(IF(BH$77+$F118&lt;=12,SUMIFS('Attrition Modeling'!$D:$D,'Attrition Modeling'!$C:$C,$D118,'Attrition Modeling'!$B:$B,BH$76),VLOOKUP($F118+BH$77,$A$7:$C$107,2,FALSE)*VLOOKUP(BH$76,'Attrition Modeling'!$L$15:$N$27,IF(BH$77+$F118&lt;=24,2,3),FALSE)),$C$3)*(1+IF('IP Attrition'!BH175&gt;0,'Attrition Modeling'!$N$9,0)))</f>
        <v>0</v>
      </c>
      <c r="BI118" s="799">
        <f>BH118*(1-IFERROR(IF(BI$77+$F118&lt;=12,SUMIFS('Attrition Modeling'!$D:$D,'Attrition Modeling'!$C:$C,$D118,'Attrition Modeling'!$B:$B,BI$76),VLOOKUP($F118+BI$77,$A$7:$C$107,2,FALSE)*VLOOKUP(BI$76,'Attrition Modeling'!$L$15:$N$27,IF(BI$77+$F118&lt;=24,2,3),FALSE)),$C$3)*(1+IF('IP Attrition'!BI175&gt;0,'Attrition Modeling'!$N$9,0)))</f>
        <v>0</v>
      </c>
      <c r="BJ118" s="799">
        <f>BI118*(1-IFERROR(IF(BJ$77+$F118&lt;=12,SUMIFS('Attrition Modeling'!$D:$D,'Attrition Modeling'!$C:$C,$D118,'Attrition Modeling'!$B:$B,BJ$76),VLOOKUP($F118+BJ$77,$A$7:$C$107,2,FALSE)*VLOOKUP(BJ$76,'Attrition Modeling'!$L$15:$N$27,IF(BJ$77+$F118&lt;=24,2,3),FALSE)),$C$3)*(1+IF('IP Attrition'!BJ175&gt;0,'Attrition Modeling'!$N$9,0)))</f>
        <v>0</v>
      </c>
      <c r="BK118" s="799">
        <f>BJ118*(1-IFERROR(IF(BK$77+$F118&lt;=12,SUMIFS('Attrition Modeling'!$D:$D,'Attrition Modeling'!$C:$C,$D118,'Attrition Modeling'!$B:$B,BK$76),VLOOKUP($F118+BK$77,$A$7:$C$107,2,FALSE)*VLOOKUP(BK$76,'Attrition Modeling'!$L$15:$N$27,IF(BK$77+$F118&lt;=24,2,3),FALSE)),$C$3)*(1+IF('IP Attrition'!BK175&gt;0,'Attrition Modeling'!$N$9,0)))</f>
        <v>0</v>
      </c>
      <c r="BL118" s="799">
        <f>BK118*(1-IFERROR(IF(BL$77+$F118&lt;=12,SUMIFS('Attrition Modeling'!$D:$D,'Attrition Modeling'!$C:$C,$D118,'Attrition Modeling'!$B:$B,BL$76),VLOOKUP($F118+BL$77,$A$7:$C$107,2,FALSE)*VLOOKUP(BL$76,'Attrition Modeling'!$L$15:$N$27,IF(BL$77+$F118&lt;=24,2,3),FALSE)),$C$3)*(1+IF('IP Attrition'!BL175&gt;0,'Attrition Modeling'!$N$9,0)))</f>
        <v>0</v>
      </c>
      <c r="BM118" s="799">
        <f>BL118*(1-IFERROR(IF(BM$77+$F118&lt;=12,SUMIFS('Attrition Modeling'!$D:$D,'Attrition Modeling'!$C:$C,$D118,'Attrition Modeling'!$B:$B,BM$76),VLOOKUP($F118+BM$77,$A$7:$C$107,2,FALSE)*VLOOKUP(BM$76,'Attrition Modeling'!$L$15:$N$27,IF(BM$77+$F118&lt;=24,2,3),FALSE)),$C$3)*(1+IF('IP Attrition'!BM175&gt;0,'Attrition Modeling'!$N$9,0)))</f>
        <v>0</v>
      </c>
      <c r="BN118" s="799">
        <f>BM118*(1-IFERROR(IF(BN$77+$F118&lt;=12,SUMIFS('Attrition Modeling'!$D:$D,'Attrition Modeling'!$C:$C,$D118,'Attrition Modeling'!$B:$B,BN$76),VLOOKUP($F118+BN$77,$A$7:$C$107,2,FALSE)*VLOOKUP(BN$76,'Attrition Modeling'!$L$15:$N$27,IF(BN$77+$F118&lt;=24,2,3),FALSE)),$C$3)*(1+IF('IP Attrition'!BN175&gt;0,'Attrition Modeling'!$N$9,0)))</f>
        <v>0</v>
      </c>
      <c r="BO118" s="799">
        <f>BN118*(1-IFERROR(IF(BO$77+$F118&lt;=12,SUMIFS('Attrition Modeling'!$D:$D,'Attrition Modeling'!$C:$C,$D118,'Attrition Modeling'!$B:$B,BO$76),VLOOKUP($F118+BO$77,$A$7:$C$107,2,FALSE)*VLOOKUP(BO$76,'Attrition Modeling'!$L$15:$N$27,IF(BO$77+$F118&lt;=24,2,3),FALSE)),$C$3)*(1+IF('IP Attrition'!BO175&gt;0,'Attrition Modeling'!$N$9,0)))</f>
        <v>0</v>
      </c>
      <c r="BP118" s="799">
        <f>BO118*(1-IFERROR(IF(BP$77+$F118&lt;=12,SUMIFS('Attrition Modeling'!$D:$D,'Attrition Modeling'!$C:$C,$D118,'Attrition Modeling'!$B:$B,BP$76),VLOOKUP($F118+BP$77,$A$7:$C$107,2,FALSE)*VLOOKUP(BP$76,'Attrition Modeling'!$L$15:$N$27,IF(BP$77+$F118&lt;=24,2,3),FALSE)),$C$3)*(1+IF('IP Attrition'!BP175&gt;0,'Attrition Modeling'!$N$9,0)))</f>
        <v>0</v>
      </c>
      <c r="BQ118" s="799">
        <f>BP118*(1-IFERROR(IF(BQ$77+$F118&lt;=12,SUMIFS('Attrition Modeling'!$D:$D,'Attrition Modeling'!$C:$C,$D118,'Attrition Modeling'!$B:$B,BQ$76),VLOOKUP($F118+BQ$77,$A$7:$C$107,2,FALSE)*VLOOKUP(BQ$76,'Attrition Modeling'!$L$15:$N$27,IF(BQ$77+$F118&lt;=24,2,3),FALSE)),$C$3)*(1+IF('IP Attrition'!BQ175&gt;0,'Attrition Modeling'!$N$9,0)))</f>
        <v>0</v>
      </c>
      <c r="BR118" s="799">
        <f>BQ118*(1-IFERROR(IF(BR$77+$F118&lt;=12,SUMIFS('Attrition Modeling'!$D:$D,'Attrition Modeling'!$C:$C,$D118,'Attrition Modeling'!$B:$B,BR$76),VLOOKUP($F118+BR$77,$A$7:$C$107,2,FALSE)*VLOOKUP(BR$76,'Attrition Modeling'!$L$15:$N$27,IF(BR$77+$F118&lt;=24,2,3),FALSE)),$C$3)*(1+IF('IP Attrition'!BR175&gt;0,'Attrition Modeling'!$N$9,0)))</f>
        <v>0</v>
      </c>
      <c r="BS118" s="799">
        <f>BR118*(1-IFERROR(IF(BS$77+$F118&lt;=12,SUMIFS('Attrition Modeling'!$D:$D,'Attrition Modeling'!$C:$C,$D118,'Attrition Modeling'!$B:$B,BS$76),VLOOKUP($F118+BS$77,$A$7:$C$107,2,FALSE)*VLOOKUP(BS$76,'Attrition Modeling'!$L$15:$N$27,IF(BS$77+$F118&lt;=24,2,3),FALSE)),$C$3)*(1+IF('IP Attrition'!BS175&gt;0,'Attrition Modeling'!$N$9,0)))</f>
        <v>0</v>
      </c>
      <c r="BT118" s="799" t="e">
        <f>BS118*(1-IFERROR(IF(BT$77+$F118&lt;=12,SUMIFS('Attrition Modeling'!$D:$D,'Attrition Modeling'!$C:$C,$D118,'Attrition Modeling'!$B:$B,BT$76),VLOOKUP($F118+BT$77,$A$7:$C$107,2,FALSE)*VLOOKUP(BT$76,'Attrition Modeling'!$L$15:$N$27,IF(BT$77+$F118&lt;=24,2,3),FALSE)),$C$3)*(1+IF('IP Attrition'!BT175&gt;0,'Attrition Modeling'!$N$9,0)))</f>
        <v>#REF!</v>
      </c>
      <c r="BU118" s="799" t="e">
        <f>BT118*(1-IFERROR(IF(BU$77+$F118&lt;=12,SUMIFS('Attrition Modeling'!$D:$D,'Attrition Modeling'!$C:$C,$D118,'Attrition Modeling'!$B:$B,BU$76),VLOOKUP($F118+BU$77,$A$7:$C$107,2,FALSE)*VLOOKUP(BU$76,'Attrition Modeling'!$L$15:$N$27,IF(BU$77+$F118&lt;=24,2,3),FALSE)),$C$3)*(1+IF('IP Attrition'!BU175&gt;0,'Attrition Modeling'!$N$9,0)))</f>
        <v>#REF!</v>
      </c>
    </row>
    <row r="119" spans="1:73" ht="14.25" customHeight="1" x14ac:dyDescent="0.2">
      <c r="A119" s="9">
        <v>111</v>
      </c>
      <c r="B119" s="25">
        <f>MAX('Attrition Modeling'!H115,$C$3)*(1-Summary!$C$20)</f>
        <v>0.02</v>
      </c>
      <c r="C119" s="24" t="e">
        <f t="shared" si="2"/>
        <v>#DIV/0!</v>
      </c>
      <c r="D119" s="11">
        <f>'IP Attrition'!D111</f>
        <v>-41</v>
      </c>
      <c r="E119" s="25">
        <f>'IP Attrition'!E111</f>
        <v>0</v>
      </c>
      <c r="F119" s="11">
        <f t="shared" si="8"/>
        <v>41</v>
      </c>
      <c r="G119" s="799">
        <f>Summary!$C$24*$E119</f>
        <v>0</v>
      </c>
      <c r="H119" s="799">
        <f>G119*(1-IFERROR(IF(H$77+$F119&lt;=12,SUMIFS('Attrition Modeling'!$D:$D,'Attrition Modeling'!$C:$C,$D119,'Attrition Modeling'!$B:$B,H$76),VLOOKUP($F119+H$77,$A$7:$C$107,2,FALSE)*VLOOKUP(H$76,'Attrition Modeling'!$L$15:$N$27,IF(H$77+$F119&lt;=24,2,3),FALSE)),$C$3)*(1+IF('IP Attrition'!H176&gt;0,'Attrition Modeling'!$N$9,0)))</f>
        <v>0</v>
      </c>
      <c r="I119" s="799">
        <f>H119*(1-IFERROR(IF(I$77+$F119&lt;=12,SUMIFS('Attrition Modeling'!$D:$D,'Attrition Modeling'!$C:$C,$D119,'Attrition Modeling'!$B:$B,I$76),VLOOKUP($F119+I$77,$A$7:$C$107,2,FALSE)*VLOOKUP(I$76,'Attrition Modeling'!$L$15:$N$27,IF(I$77+$F119&lt;=24,2,3),FALSE)),$C$3)*(1+IF('IP Attrition'!I176&gt;0,'Attrition Modeling'!$N$9,0)))</f>
        <v>0</v>
      </c>
      <c r="J119" s="799">
        <f>I119*(1-IFERROR(IF(J$77+$F119&lt;=12,SUMIFS('Attrition Modeling'!$D:$D,'Attrition Modeling'!$C:$C,$D119,'Attrition Modeling'!$B:$B,J$76),VLOOKUP($F119+J$77,$A$7:$C$107,2,FALSE)*VLOOKUP(J$76,'Attrition Modeling'!$L$15:$N$27,IF(J$77+$F119&lt;=24,2,3),FALSE)),$C$3)*(1+IF('IP Attrition'!J176&gt;0,'Attrition Modeling'!$N$9,0)))</f>
        <v>0</v>
      </c>
      <c r="K119" s="799">
        <f>J119*(1-IFERROR(IF(K$77+$F119&lt;=12,SUMIFS('Attrition Modeling'!$D:$D,'Attrition Modeling'!$C:$C,$D119,'Attrition Modeling'!$B:$B,K$76),VLOOKUP($F119+K$77,$A$7:$C$107,2,FALSE)*VLOOKUP(K$76,'Attrition Modeling'!$L$15:$N$27,IF(K$77+$F119&lt;=24,2,3),FALSE)),$C$3)*(1+IF('IP Attrition'!K176&gt;0,'Attrition Modeling'!$N$9,0)))</f>
        <v>0</v>
      </c>
      <c r="L119" s="799">
        <f>K119*(1-IFERROR(IF(L$77+$F119&lt;=12,SUMIFS('Attrition Modeling'!$D:$D,'Attrition Modeling'!$C:$C,$D119,'Attrition Modeling'!$B:$B,L$76),VLOOKUP($F119+L$77,$A$7:$C$107,2,FALSE)*VLOOKUP(L$76,'Attrition Modeling'!$L$15:$N$27,IF(L$77+$F119&lt;=24,2,3),FALSE)),$C$3)*(1+IF('IP Attrition'!L176&gt;0,'Attrition Modeling'!$N$9,0)))</f>
        <v>0</v>
      </c>
      <c r="M119" s="799">
        <f>L119*(1-IFERROR(IF(M$77+$F119&lt;=12,SUMIFS('Attrition Modeling'!$D:$D,'Attrition Modeling'!$C:$C,$D119,'Attrition Modeling'!$B:$B,M$76),VLOOKUP($F119+M$77,$A$7:$C$107,2,FALSE)*VLOOKUP(M$76,'Attrition Modeling'!$L$15:$N$27,IF(M$77+$F119&lt;=24,2,3),FALSE)),$C$3)*(1+IF('IP Attrition'!M176&gt;0,'Attrition Modeling'!$N$9,0)))</f>
        <v>0</v>
      </c>
      <c r="N119" s="799">
        <f>M119*(1-IFERROR(IF(N$77+$F119&lt;=12,SUMIFS('Attrition Modeling'!$D:$D,'Attrition Modeling'!$C:$C,$D119,'Attrition Modeling'!$B:$B,N$76),VLOOKUP($F119+N$77,$A$7:$C$107,2,FALSE)*VLOOKUP(N$76,'Attrition Modeling'!$L$15:$N$27,IF(N$77+$F119&lt;=24,2,3),FALSE)),$C$3)*(1+IF('IP Attrition'!N176&gt;0,'Attrition Modeling'!$N$9,0)))</f>
        <v>0</v>
      </c>
      <c r="O119" s="799">
        <f>N119*(1-IFERROR(IF(O$77+$F119&lt;=12,SUMIFS('Attrition Modeling'!$D:$D,'Attrition Modeling'!$C:$C,$D119,'Attrition Modeling'!$B:$B,O$76),VLOOKUP($F119+O$77,$A$7:$C$107,2,FALSE)*VLOOKUP(O$76,'Attrition Modeling'!$L$15:$N$27,IF(O$77+$F119&lt;=24,2,3),FALSE)),$C$3)*(1+IF('IP Attrition'!O176&gt;0,'Attrition Modeling'!$N$9,0)))</f>
        <v>0</v>
      </c>
      <c r="P119" s="799">
        <f>O119*(1-IFERROR(IF(P$77+$F119&lt;=12,SUMIFS('Attrition Modeling'!$D:$D,'Attrition Modeling'!$C:$C,$D119,'Attrition Modeling'!$B:$B,P$76),VLOOKUP($F119+P$77,$A$7:$C$107,2,FALSE)*VLOOKUP(P$76,'Attrition Modeling'!$L$15:$N$27,IF(P$77+$F119&lt;=24,2,3),FALSE)),$C$3)*(1+IF('IP Attrition'!P176&gt;0,'Attrition Modeling'!$N$9,0)))</f>
        <v>0</v>
      </c>
      <c r="Q119" s="799">
        <f>P119*(1-IFERROR(IF(Q$77+$F119&lt;=12,SUMIFS('Attrition Modeling'!$D:$D,'Attrition Modeling'!$C:$C,$D119,'Attrition Modeling'!$B:$B,Q$76),VLOOKUP($F119+Q$77,$A$7:$C$107,2,FALSE)*VLOOKUP(Q$76,'Attrition Modeling'!$L$15:$N$27,IF(Q$77+$F119&lt;=24,2,3),FALSE)),$C$3)*(1+IF('IP Attrition'!Q176&gt;0,'Attrition Modeling'!$N$9,0)))</f>
        <v>0</v>
      </c>
      <c r="R119" s="799">
        <f>Q119*(1-IFERROR(IF(R$77+$F119&lt;=12,SUMIFS('Attrition Modeling'!$D:$D,'Attrition Modeling'!$C:$C,$D119,'Attrition Modeling'!$B:$B,R$76),VLOOKUP($F119+R$77,$A$7:$C$107,2,FALSE)*VLOOKUP(R$76,'Attrition Modeling'!$L$15:$N$27,IF(R$77+$F119&lt;=24,2,3),FALSE)),$C$3)*(1+IF('IP Attrition'!R176&gt;0,'Attrition Modeling'!$N$9,0)))</f>
        <v>0</v>
      </c>
      <c r="S119" s="799">
        <f>R119*(1-IFERROR(IF(S$77+$F119&lt;=12,SUMIFS('Attrition Modeling'!$D:$D,'Attrition Modeling'!$C:$C,$D119,'Attrition Modeling'!$B:$B,S$76),VLOOKUP($F119+S$77,$A$7:$C$107,2,FALSE)*VLOOKUP(S$76,'Attrition Modeling'!$L$15:$N$27,IF(S$77+$F119&lt;=24,2,3),FALSE)),$C$3)*(1+IF('IP Attrition'!S176&gt;0,'Attrition Modeling'!$N$9,0)))</f>
        <v>0</v>
      </c>
      <c r="T119" s="799">
        <f>S119*(1-IFERROR(IF(T$77+$F119&lt;=12,SUMIFS('Attrition Modeling'!$D:$D,'Attrition Modeling'!$C:$C,$D119,'Attrition Modeling'!$B:$B,T$76),VLOOKUP($F119+T$77,$A$7:$C$107,2,FALSE)*VLOOKUP(T$76,'Attrition Modeling'!$L$15:$N$27,IF(T$77+$F119&lt;=24,2,3),FALSE)),$C$3)*(1+IF('IP Attrition'!T176&gt;0,'Attrition Modeling'!$N$9,0)))</f>
        <v>0</v>
      </c>
      <c r="U119" s="799">
        <f>T119*(1-IFERROR(IF(U$77+$F119&lt;=12,SUMIFS('Attrition Modeling'!$D:$D,'Attrition Modeling'!$C:$C,$D119,'Attrition Modeling'!$B:$B,U$76),VLOOKUP($F119+U$77,$A$7:$C$107,2,FALSE)*VLOOKUP(U$76,'Attrition Modeling'!$L$15:$N$27,IF(U$77+$F119&lt;=24,2,3),FALSE)),$C$3)*(1+IF('IP Attrition'!U176&gt;0,'Attrition Modeling'!$N$9,0)))</f>
        <v>0</v>
      </c>
      <c r="V119" s="799">
        <f>U119*(1-IFERROR(IF(V$77+$F119&lt;=12,SUMIFS('Attrition Modeling'!$D:$D,'Attrition Modeling'!$C:$C,$D119,'Attrition Modeling'!$B:$B,V$76),VLOOKUP($F119+V$77,$A$7:$C$107,2,FALSE)*VLOOKUP(V$76,'Attrition Modeling'!$L$15:$N$27,IF(V$77+$F119&lt;=24,2,3),FALSE)),$C$3)*(1+IF('IP Attrition'!V176&gt;0,'Attrition Modeling'!$N$9,0)))</f>
        <v>0</v>
      </c>
      <c r="W119" s="799">
        <f>V119*(1-IFERROR(IF(W$77+$F119&lt;=12,SUMIFS('Attrition Modeling'!$D:$D,'Attrition Modeling'!$C:$C,$D119,'Attrition Modeling'!$B:$B,W$76),VLOOKUP($F119+W$77,$A$7:$C$107,2,FALSE)*VLOOKUP(W$76,'Attrition Modeling'!$L$15:$N$27,IF(W$77+$F119&lt;=24,2,3),FALSE)),$C$3)*(1+IF('IP Attrition'!W176&gt;0,'Attrition Modeling'!$N$9,0)))</f>
        <v>0</v>
      </c>
      <c r="X119" s="799">
        <f>W119*(1-IFERROR(IF(X$77+$F119&lt;=12,SUMIFS('Attrition Modeling'!$D:$D,'Attrition Modeling'!$C:$C,$D119,'Attrition Modeling'!$B:$B,X$76),VLOOKUP($F119+X$77,$A$7:$C$107,2,FALSE)*VLOOKUP(X$76,'Attrition Modeling'!$L$15:$N$27,IF(X$77+$F119&lt;=24,2,3),FALSE)),$C$3)*(1+IF('IP Attrition'!X176&gt;0,'Attrition Modeling'!$N$9,0)))</f>
        <v>0</v>
      </c>
      <c r="Y119" s="799">
        <f>X119*(1-IFERROR(IF(Y$77+$F119&lt;=12,SUMIFS('Attrition Modeling'!$D:$D,'Attrition Modeling'!$C:$C,$D119,'Attrition Modeling'!$B:$B,Y$76),VLOOKUP($F119+Y$77,$A$7:$C$107,2,FALSE)*VLOOKUP(Y$76,'Attrition Modeling'!$L$15:$N$27,IF(Y$77+$F119&lt;=24,2,3),FALSE)),$C$3)*(1+IF('IP Attrition'!Y176&gt;0,'Attrition Modeling'!$N$9,0)))</f>
        <v>0</v>
      </c>
      <c r="Z119" s="799">
        <f>Y119*(1-IFERROR(IF(Z$77+$F119&lt;=12,SUMIFS('Attrition Modeling'!$D:$D,'Attrition Modeling'!$C:$C,$D119,'Attrition Modeling'!$B:$B,Z$76),VLOOKUP($F119+Z$77,$A$7:$C$107,2,FALSE)*VLOOKUP(Z$76,'Attrition Modeling'!$L$15:$N$27,IF(Z$77+$F119&lt;=24,2,3),FALSE)),$C$3)*(1+IF('IP Attrition'!Z176&gt;0,'Attrition Modeling'!$N$9,0)))</f>
        <v>0</v>
      </c>
      <c r="AA119" s="799">
        <f>Z119*(1-IFERROR(IF(AA$77+$F119&lt;=12,SUMIFS('Attrition Modeling'!$D:$D,'Attrition Modeling'!$C:$C,$D119,'Attrition Modeling'!$B:$B,AA$76),VLOOKUP($F119+AA$77,$A$7:$C$107,2,FALSE)*VLOOKUP(AA$76,'Attrition Modeling'!$L$15:$N$27,IF(AA$77+$F119&lt;=24,2,3),FALSE)),$C$3)*(1+IF('IP Attrition'!AA176&gt;0,'Attrition Modeling'!$N$9,0)))</f>
        <v>0</v>
      </c>
      <c r="AB119" s="799">
        <f>AA119*(1-IFERROR(IF(AB$77+$F119&lt;=12,SUMIFS('Attrition Modeling'!$D:$D,'Attrition Modeling'!$C:$C,$D119,'Attrition Modeling'!$B:$B,AB$76),VLOOKUP($F119+AB$77,$A$7:$C$107,2,FALSE)*VLOOKUP(AB$76,'Attrition Modeling'!$L$15:$N$27,IF(AB$77+$F119&lt;=24,2,3),FALSE)),$C$3)*(1+IF('IP Attrition'!AB176&gt;0,'Attrition Modeling'!$N$9,0)))</f>
        <v>0</v>
      </c>
      <c r="AC119" s="799">
        <f>AB119*(1-IFERROR(IF(AC$77+$F119&lt;=12,SUMIFS('Attrition Modeling'!$D:$D,'Attrition Modeling'!$C:$C,$D119,'Attrition Modeling'!$B:$B,AC$76),VLOOKUP($F119+AC$77,$A$7:$C$107,2,FALSE)*VLOOKUP(AC$76,'Attrition Modeling'!$L$15:$N$27,IF(AC$77+$F119&lt;=24,2,3),FALSE)),$C$3)*(1+IF('IP Attrition'!AC176&gt;0,'Attrition Modeling'!$N$9,0)))</f>
        <v>0</v>
      </c>
      <c r="AD119" s="799">
        <f>AC119*(1-IFERROR(IF(AD$77+$F119&lt;=12,SUMIFS('Attrition Modeling'!$D:$D,'Attrition Modeling'!$C:$C,$D119,'Attrition Modeling'!$B:$B,AD$76),VLOOKUP($F119+AD$77,$A$7:$C$107,2,FALSE)*VLOOKUP(AD$76,'Attrition Modeling'!$L$15:$N$27,IF(AD$77+$F119&lt;=24,2,3),FALSE)),$C$3)*(1+IF('IP Attrition'!AD176&gt;0,'Attrition Modeling'!$N$9,0)))</f>
        <v>0</v>
      </c>
      <c r="AE119" s="799">
        <f>AD119*(1-IFERROR(IF(AE$77+$F119&lt;=12,SUMIFS('Attrition Modeling'!$D:$D,'Attrition Modeling'!$C:$C,$D119,'Attrition Modeling'!$B:$B,AE$76),VLOOKUP($F119+AE$77,$A$7:$C$107,2,FALSE)*VLOOKUP(AE$76,'Attrition Modeling'!$L$15:$N$27,IF(AE$77+$F119&lt;=24,2,3),FALSE)),$C$3)*(1+IF('IP Attrition'!AE176&gt;0,'Attrition Modeling'!$N$9,0)))</f>
        <v>0</v>
      </c>
      <c r="AF119" s="799">
        <f>AE119*(1-IFERROR(IF(AF$77+$F119&lt;=12,SUMIFS('Attrition Modeling'!$D:$D,'Attrition Modeling'!$C:$C,$D119,'Attrition Modeling'!$B:$B,AF$76),VLOOKUP($F119+AF$77,$A$7:$C$107,2,FALSE)*VLOOKUP(AF$76,'Attrition Modeling'!$L$15:$N$27,IF(AF$77+$F119&lt;=24,2,3),FALSE)),$C$3)*(1+IF('IP Attrition'!AF176&gt;0,'Attrition Modeling'!$N$9,0)))</f>
        <v>0</v>
      </c>
      <c r="AG119" s="799">
        <f>AF119*(1-IFERROR(IF(AG$77+$F119&lt;=12,SUMIFS('Attrition Modeling'!$D:$D,'Attrition Modeling'!$C:$C,$D119,'Attrition Modeling'!$B:$B,AG$76),VLOOKUP($F119+AG$77,$A$7:$C$107,2,FALSE)*VLOOKUP(AG$76,'Attrition Modeling'!$L$15:$N$27,IF(AG$77+$F119&lt;=24,2,3),FALSE)),$C$3)*(1+IF('IP Attrition'!AG176&gt;0,'Attrition Modeling'!$N$9,0)))</f>
        <v>0</v>
      </c>
      <c r="AH119" s="799">
        <f>AG119*(1-IFERROR(IF(AH$77+$F119&lt;=12,SUMIFS('Attrition Modeling'!$D:$D,'Attrition Modeling'!$C:$C,$D119,'Attrition Modeling'!$B:$B,AH$76),VLOOKUP($F119+AH$77,$A$7:$C$107,2,FALSE)*VLOOKUP(AH$76,'Attrition Modeling'!$L$15:$N$27,IF(AH$77+$F119&lt;=24,2,3),FALSE)),$C$3)*(1+IF('IP Attrition'!AH176&gt;0,'Attrition Modeling'!$N$9,0)))</f>
        <v>0</v>
      </c>
      <c r="AI119" s="799">
        <f>AH119*(1-IFERROR(IF(AI$77+$F119&lt;=12,SUMIFS('Attrition Modeling'!$D:$D,'Attrition Modeling'!$C:$C,$D119,'Attrition Modeling'!$B:$B,AI$76),VLOOKUP($F119+AI$77,$A$7:$C$107,2,FALSE)*VLOOKUP(AI$76,'Attrition Modeling'!$L$15:$N$27,IF(AI$77+$F119&lt;=24,2,3),FALSE)),$C$3)*(1+IF('IP Attrition'!AI176&gt;0,'Attrition Modeling'!$N$9,0)))</f>
        <v>0</v>
      </c>
      <c r="AJ119" s="799">
        <f>AI119*(1-IFERROR(IF(AJ$77+$F119&lt;=12,SUMIFS('Attrition Modeling'!$D:$D,'Attrition Modeling'!$C:$C,$D119,'Attrition Modeling'!$B:$B,AJ$76),VLOOKUP($F119+AJ$77,$A$7:$C$107,2,FALSE)*VLOOKUP(AJ$76,'Attrition Modeling'!$L$15:$N$27,IF(AJ$77+$F119&lt;=24,2,3),FALSE)),$C$3)*(1+IF('IP Attrition'!AJ176&gt;0,'Attrition Modeling'!$N$9,0)))</f>
        <v>0</v>
      </c>
      <c r="AK119" s="799">
        <f>AJ119*(1-IFERROR(IF(AK$77+$F119&lt;=12,SUMIFS('Attrition Modeling'!$D:$D,'Attrition Modeling'!$C:$C,$D119,'Attrition Modeling'!$B:$B,AK$76),VLOOKUP($F119+AK$77,$A$7:$C$107,2,FALSE)*VLOOKUP(AK$76,'Attrition Modeling'!$L$15:$N$27,IF(AK$77+$F119&lt;=24,2,3),FALSE)),$C$3)*(1+IF('IP Attrition'!AK176&gt;0,'Attrition Modeling'!$N$9,0)))</f>
        <v>0</v>
      </c>
      <c r="AL119" s="799">
        <f>AK119*(1-IFERROR(IF(AL$77+$F119&lt;=12,SUMIFS('Attrition Modeling'!$D:$D,'Attrition Modeling'!$C:$C,$D119,'Attrition Modeling'!$B:$B,AL$76),VLOOKUP($F119+AL$77,$A$7:$C$107,2,FALSE)*VLOOKUP(AL$76,'Attrition Modeling'!$L$15:$N$27,IF(AL$77+$F119&lt;=24,2,3),FALSE)),$C$3)*(1+IF('IP Attrition'!AL176&gt;0,'Attrition Modeling'!$N$9,0)))</f>
        <v>0</v>
      </c>
      <c r="AM119" s="799">
        <f>AL119*(1-IFERROR(IF(AM$77+$F119&lt;=12,SUMIFS('Attrition Modeling'!$D:$D,'Attrition Modeling'!$C:$C,$D119,'Attrition Modeling'!$B:$B,AM$76),VLOOKUP($F119+AM$77,$A$7:$C$107,2,FALSE)*VLOOKUP(AM$76,'Attrition Modeling'!$L$15:$N$27,IF(AM$77+$F119&lt;=24,2,3),FALSE)),$C$3)*(1+IF('IP Attrition'!AM176&gt;0,'Attrition Modeling'!$N$9,0)))</f>
        <v>0</v>
      </c>
      <c r="AN119" s="799">
        <f>AM119*(1-IFERROR(IF(AN$77+$F119&lt;=12,SUMIFS('Attrition Modeling'!$D:$D,'Attrition Modeling'!$C:$C,$D119,'Attrition Modeling'!$B:$B,AN$76),VLOOKUP($F119+AN$77,$A$7:$C$107,2,FALSE)*VLOOKUP(AN$76,'Attrition Modeling'!$L$15:$N$27,IF(AN$77+$F119&lt;=24,2,3),FALSE)),$C$3)*(1+IF('IP Attrition'!AN176&gt;0,'Attrition Modeling'!$N$9,0)))</f>
        <v>0</v>
      </c>
      <c r="AO119" s="799">
        <f>AN119*(1-IFERROR(IF(AO$77+$F119&lt;=12,SUMIFS('Attrition Modeling'!$D:$D,'Attrition Modeling'!$C:$C,$D119,'Attrition Modeling'!$B:$B,AO$76),VLOOKUP($F119+AO$77,$A$7:$C$107,2,FALSE)*VLOOKUP(AO$76,'Attrition Modeling'!$L$15:$N$27,IF(AO$77+$F119&lt;=24,2,3),FALSE)),$C$3)*(1+IF('IP Attrition'!AO176&gt;0,'Attrition Modeling'!$N$9,0)))</f>
        <v>0</v>
      </c>
      <c r="AP119" s="799">
        <f>AO119*(1-IFERROR(IF(AP$77+$F119&lt;=12,SUMIFS('Attrition Modeling'!$D:$D,'Attrition Modeling'!$C:$C,$D119,'Attrition Modeling'!$B:$B,AP$76),VLOOKUP($F119+AP$77,$A$7:$C$107,2,FALSE)*VLOOKUP(AP$76,'Attrition Modeling'!$L$15:$N$27,IF(AP$77+$F119&lt;=24,2,3),FALSE)),$C$3)*(1+IF('IP Attrition'!AP176&gt;0,'Attrition Modeling'!$N$9,0)))</f>
        <v>0</v>
      </c>
      <c r="AQ119" s="799">
        <f>AP119*(1-IFERROR(IF(AQ$77+$F119&lt;=12,SUMIFS('Attrition Modeling'!$D:$D,'Attrition Modeling'!$C:$C,$D119,'Attrition Modeling'!$B:$B,AQ$76),VLOOKUP($F119+AQ$77,$A$7:$C$107,2,FALSE)*VLOOKUP(AQ$76,'Attrition Modeling'!$L$15:$N$27,IF(AQ$77+$F119&lt;=24,2,3),FALSE)),$C$3)*(1+IF('IP Attrition'!AQ176&gt;0,'Attrition Modeling'!$N$9,0)))</f>
        <v>0</v>
      </c>
      <c r="AR119" s="799">
        <f>AQ119*(1-IFERROR(IF(AR$77+$F119&lt;=12,SUMIFS('Attrition Modeling'!$D:$D,'Attrition Modeling'!$C:$C,$D119,'Attrition Modeling'!$B:$B,AR$76),VLOOKUP($F119+AR$77,$A$7:$C$107,2,FALSE)*VLOOKUP(AR$76,'Attrition Modeling'!$L$15:$N$27,IF(AR$77+$F119&lt;=24,2,3),FALSE)),$C$3)*(1+IF('IP Attrition'!AR176&gt;0,'Attrition Modeling'!$N$9,0)))</f>
        <v>0</v>
      </c>
      <c r="AS119" s="799">
        <f>AR119*(1-IFERROR(IF(AS$77+$F119&lt;=12,SUMIFS('Attrition Modeling'!$D:$D,'Attrition Modeling'!$C:$C,$D119,'Attrition Modeling'!$B:$B,AS$76),VLOOKUP($F119+AS$77,$A$7:$C$107,2,FALSE)*VLOOKUP(AS$76,'Attrition Modeling'!$L$15:$N$27,IF(AS$77+$F119&lt;=24,2,3),FALSE)),$C$3)*(1+IF('IP Attrition'!AS176&gt;0,'Attrition Modeling'!$N$9,0)))</f>
        <v>0</v>
      </c>
      <c r="AT119" s="799">
        <f>AS119*(1-IFERROR(IF(AT$77+$F119&lt;=12,SUMIFS('Attrition Modeling'!$D:$D,'Attrition Modeling'!$C:$C,$D119,'Attrition Modeling'!$B:$B,AT$76),VLOOKUP($F119+AT$77,$A$7:$C$107,2,FALSE)*VLOOKUP(AT$76,'Attrition Modeling'!$L$15:$N$27,IF(AT$77+$F119&lt;=24,2,3),FALSE)),$C$3)*(1+IF('IP Attrition'!AT176&gt;0,'Attrition Modeling'!$N$9,0)))</f>
        <v>0</v>
      </c>
      <c r="AU119" s="799">
        <f>AT119*(1-IFERROR(IF(AU$77+$F119&lt;=12,SUMIFS('Attrition Modeling'!$D:$D,'Attrition Modeling'!$C:$C,$D119,'Attrition Modeling'!$B:$B,AU$76),VLOOKUP($F119+AU$77,$A$7:$C$107,2,FALSE)*VLOOKUP(AU$76,'Attrition Modeling'!$L$15:$N$27,IF(AU$77+$F119&lt;=24,2,3),FALSE)),$C$3)*(1+IF('IP Attrition'!AU176&gt;0,'Attrition Modeling'!$N$9,0)))</f>
        <v>0</v>
      </c>
      <c r="AV119" s="799">
        <f>AU119*(1-IFERROR(IF(AV$77+$F119&lt;=12,SUMIFS('Attrition Modeling'!$D:$D,'Attrition Modeling'!$C:$C,$D119,'Attrition Modeling'!$B:$B,AV$76),VLOOKUP($F119+AV$77,$A$7:$C$107,2,FALSE)*VLOOKUP(AV$76,'Attrition Modeling'!$L$15:$N$27,IF(AV$77+$F119&lt;=24,2,3),FALSE)),$C$3)*(1+IF('IP Attrition'!AV176&gt;0,'Attrition Modeling'!$N$9,0)))</f>
        <v>0</v>
      </c>
      <c r="AW119" s="799">
        <f>AV119*(1-IFERROR(IF(AW$77+$F119&lt;=12,SUMIFS('Attrition Modeling'!$D:$D,'Attrition Modeling'!$C:$C,$D119,'Attrition Modeling'!$B:$B,AW$76),VLOOKUP($F119+AW$77,$A$7:$C$107,2,FALSE)*VLOOKUP(AW$76,'Attrition Modeling'!$L$15:$N$27,IF(AW$77+$F119&lt;=24,2,3),FALSE)),$C$3)*(1+IF('IP Attrition'!AW176&gt;0,'Attrition Modeling'!$N$9,0)))</f>
        <v>0</v>
      </c>
      <c r="AX119" s="799">
        <f>AW119*(1-IFERROR(IF(AX$77+$F119&lt;=12,SUMIFS('Attrition Modeling'!$D:$D,'Attrition Modeling'!$C:$C,$D119,'Attrition Modeling'!$B:$B,AX$76),VLOOKUP($F119+AX$77,$A$7:$C$107,2,FALSE)*VLOOKUP(AX$76,'Attrition Modeling'!$L$15:$N$27,IF(AX$77+$F119&lt;=24,2,3),FALSE)),$C$3)*(1+IF('IP Attrition'!AX176&gt;0,'Attrition Modeling'!$N$9,0)))</f>
        <v>0</v>
      </c>
      <c r="AY119" s="799">
        <f>AX119*(1-IFERROR(IF(AY$77+$F119&lt;=12,SUMIFS('Attrition Modeling'!$D:$D,'Attrition Modeling'!$C:$C,$D119,'Attrition Modeling'!$B:$B,AY$76),VLOOKUP($F119+AY$77,$A$7:$C$107,2,FALSE)*VLOOKUP(AY$76,'Attrition Modeling'!$L$15:$N$27,IF(AY$77+$F119&lt;=24,2,3),FALSE)),$C$3)*(1+IF('IP Attrition'!AY176&gt;0,'Attrition Modeling'!$N$9,0)))</f>
        <v>0</v>
      </c>
      <c r="AZ119" s="799">
        <f>AY119*(1-IFERROR(IF(AZ$77+$F119&lt;=12,SUMIFS('Attrition Modeling'!$D:$D,'Attrition Modeling'!$C:$C,$D119,'Attrition Modeling'!$B:$B,AZ$76),VLOOKUP($F119+AZ$77,$A$7:$C$107,2,FALSE)*VLOOKUP(AZ$76,'Attrition Modeling'!$L$15:$N$27,IF(AZ$77+$F119&lt;=24,2,3),FALSE)),$C$3)*(1+IF('IP Attrition'!AZ176&gt;0,'Attrition Modeling'!$N$9,0)))</f>
        <v>0</v>
      </c>
      <c r="BA119" s="799">
        <f>AZ119*(1-IFERROR(IF(BA$77+$F119&lt;=12,SUMIFS('Attrition Modeling'!$D:$D,'Attrition Modeling'!$C:$C,$D119,'Attrition Modeling'!$B:$B,BA$76),VLOOKUP($F119+BA$77,$A$7:$C$107,2,FALSE)*VLOOKUP(BA$76,'Attrition Modeling'!$L$15:$N$27,IF(BA$77+$F119&lt;=24,2,3),FALSE)),$C$3)*(1+IF('IP Attrition'!BA176&gt;0,'Attrition Modeling'!$N$9,0)))</f>
        <v>0</v>
      </c>
      <c r="BB119" s="799">
        <f>BA119*(1-IFERROR(IF(BB$77+$F119&lt;=12,SUMIFS('Attrition Modeling'!$D:$D,'Attrition Modeling'!$C:$C,$D119,'Attrition Modeling'!$B:$B,BB$76),VLOOKUP($F119+BB$77,$A$7:$C$107,2,FALSE)*VLOOKUP(BB$76,'Attrition Modeling'!$L$15:$N$27,IF(BB$77+$F119&lt;=24,2,3),FALSE)),$C$3)*(1+IF('IP Attrition'!BB176&gt;0,'Attrition Modeling'!$N$9,0)))</f>
        <v>0</v>
      </c>
      <c r="BC119" s="799">
        <f>BB119*(1-IFERROR(IF(BC$77+$F119&lt;=12,SUMIFS('Attrition Modeling'!$D:$D,'Attrition Modeling'!$C:$C,$D119,'Attrition Modeling'!$B:$B,BC$76),VLOOKUP($F119+BC$77,$A$7:$C$107,2,FALSE)*VLOOKUP(BC$76,'Attrition Modeling'!$L$15:$N$27,IF(BC$77+$F119&lt;=24,2,3),FALSE)),$C$3)*(1+IF('IP Attrition'!BC176&gt;0,'Attrition Modeling'!$N$9,0)))</f>
        <v>0</v>
      </c>
      <c r="BD119" s="799">
        <f>BC119*(1-IFERROR(IF(BD$77+$F119&lt;=12,SUMIFS('Attrition Modeling'!$D:$D,'Attrition Modeling'!$C:$C,$D119,'Attrition Modeling'!$B:$B,BD$76),VLOOKUP($F119+BD$77,$A$7:$C$107,2,FALSE)*VLOOKUP(BD$76,'Attrition Modeling'!$L$15:$N$27,IF(BD$77+$F119&lt;=24,2,3),FALSE)),$C$3)*(1+IF('IP Attrition'!BD176&gt;0,'Attrition Modeling'!$N$9,0)))</f>
        <v>0</v>
      </c>
      <c r="BE119" s="799">
        <f>BD119*(1-IFERROR(IF(BE$77+$F119&lt;=12,SUMIFS('Attrition Modeling'!$D:$D,'Attrition Modeling'!$C:$C,$D119,'Attrition Modeling'!$B:$B,BE$76),VLOOKUP($F119+BE$77,$A$7:$C$107,2,FALSE)*VLOOKUP(BE$76,'Attrition Modeling'!$L$15:$N$27,IF(BE$77+$F119&lt;=24,2,3),FALSE)),$C$3)*(1+IF('IP Attrition'!BE176&gt;0,'Attrition Modeling'!$N$9,0)))</f>
        <v>0</v>
      </c>
      <c r="BF119" s="799">
        <f>BE119*(1-IFERROR(IF(BF$77+$F119&lt;=12,SUMIFS('Attrition Modeling'!$D:$D,'Attrition Modeling'!$C:$C,$D119,'Attrition Modeling'!$B:$B,BF$76),VLOOKUP($F119+BF$77,$A$7:$C$107,2,FALSE)*VLOOKUP(BF$76,'Attrition Modeling'!$L$15:$N$27,IF(BF$77+$F119&lt;=24,2,3),FALSE)),$C$3)*(1+IF('IP Attrition'!BF176&gt;0,'Attrition Modeling'!$N$9,0)))</f>
        <v>0</v>
      </c>
      <c r="BG119" s="799">
        <f>BF119*(1-IFERROR(IF(BG$77+$F119&lt;=12,SUMIFS('Attrition Modeling'!$D:$D,'Attrition Modeling'!$C:$C,$D119,'Attrition Modeling'!$B:$B,BG$76),VLOOKUP($F119+BG$77,$A$7:$C$107,2,FALSE)*VLOOKUP(BG$76,'Attrition Modeling'!$L$15:$N$27,IF(BG$77+$F119&lt;=24,2,3),FALSE)),$C$3)*(1+IF('IP Attrition'!BG176&gt;0,'Attrition Modeling'!$N$9,0)))</f>
        <v>0</v>
      </c>
      <c r="BH119" s="799">
        <f>BG119*(1-IFERROR(IF(BH$77+$F119&lt;=12,SUMIFS('Attrition Modeling'!$D:$D,'Attrition Modeling'!$C:$C,$D119,'Attrition Modeling'!$B:$B,BH$76),VLOOKUP($F119+BH$77,$A$7:$C$107,2,FALSE)*VLOOKUP(BH$76,'Attrition Modeling'!$L$15:$N$27,IF(BH$77+$F119&lt;=24,2,3),FALSE)),$C$3)*(1+IF('IP Attrition'!BH176&gt;0,'Attrition Modeling'!$N$9,0)))</f>
        <v>0</v>
      </c>
      <c r="BI119" s="799">
        <f>BH119*(1-IFERROR(IF(BI$77+$F119&lt;=12,SUMIFS('Attrition Modeling'!$D:$D,'Attrition Modeling'!$C:$C,$D119,'Attrition Modeling'!$B:$B,BI$76),VLOOKUP($F119+BI$77,$A$7:$C$107,2,FALSE)*VLOOKUP(BI$76,'Attrition Modeling'!$L$15:$N$27,IF(BI$77+$F119&lt;=24,2,3),FALSE)),$C$3)*(1+IF('IP Attrition'!BI176&gt;0,'Attrition Modeling'!$N$9,0)))</f>
        <v>0</v>
      </c>
      <c r="BJ119" s="799">
        <f>BI119*(1-IFERROR(IF(BJ$77+$F119&lt;=12,SUMIFS('Attrition Modeling'!$D:$D,'Attrition Modeling'!$C:$C,$D119,'Attrition Modeling'!$B:$B,BJ$76),VLOOKUP($F119+BJ$77,$A$7:$C$107,2,FALSE)*VLOOKUP(BJ$76,'Attrition Modeling'!$L$15:$N$27,IF(BJ$77+$F119&lt;=24,2,3),FALSE)),$C$3)*(1+IF('IP Attrition'!BJ176&gt;0,'Attrition Modeling'!$N$9,0)))</f>
        <v>0</v>
      </c>
      <c r="BK119" s="799">
        <f>BJ119*(1-IFERROR(IF(BK$77+$F119&lt;=12,SUMIFS('Attrition Modeling'!$D:$D,'Attrition Modeling'!$C:$C,$D119,'Attrition Modeling'!$B:$B,BK$76),VLOOKUP($F119+BK$77,$A$7:$C$107,2,FALSE)*VLOOKUP(BK$76,'Attrition Modeling'!$L$15:$N$27,IF(BK$77+$F119&lt;=24,2,3),FALSE)),$C$3)*(1+IF('IP Attrition'!BK176&gt;0,'Attrition Modeling'!$N$9,0)))</f>
        <v>0</v>
      </c>
      <c r="BL119" s="799">
        <f>BK119*(1-IFERROR(IF(BL$77+$F119&lt;=12,SUMIFS('Attrition Modeling'!$D:$D,'Attrition Modeling'!$C:$C,$D119,'Attrition Modeling'!$B:$B,BL$76),VLOOKUP($F119+BL$77,$A$7:$C$107,2,FALSE)*VLOOKUP(BL$76,'Attrition Modeling'!$L$15:$N$27,IF(BL$77+$F119&lt;=24,2,3),FALSE)),$C$3)*(1+IF('IP Attrition'!BL176&gt;0,'Attrition Modeling'!$N$9,0)))</f>
        <v>0</v>
      </c>
      <c r="BM119" s="799">
        <f>BL119*(1-IFERROR(IF(BM$77+$F119&lt;=12,SUMIFS('Attrition Modeling'!$D:$D,'Attrition Modeling'!$C:$C,$D119,'Attrition Modeling'!$B:$B,BM$76),VLOOKUP($F119+BM$77,$A$7:$C$107,2,FALSE)*VLOOKUP(BM$76,'Attrition Modeling'!$L$15:$N$27,IF(BM$77+$F119&lt;=24,2,3),FALSE)),$C$3)*(1+IF('IP Attrition'!BM176&gt;0,'Attrition Modeling'!$N$9,0)))</f>
        <v>0</v>
      </c>
      <c r="BN119" s="799">
        <f>BM119*(1-IFERROR(IF(BN$77+$F119&lt;=12,SUMIFS('Attrition Modeling'!$D:$D,'Attrition Modeling'!$C:$C,$D119,'Attrition Modeling'!$B:$B,BN$76),VLOOKUP($F119+BN$77,$A$7:$C$107,2,FALSE)*VLOOKUP(BN$76,'Attrition Modeling'!$L$15:$N$27,IF(BN$77+$F119&lt;=24,2,3),FALSE)),$C$3)*(1+IF('IP Attrition'!BN176&gt;0,'Attrition Modeling'!$N$9,0)))</f>
        <v>0</v>
      </c>
      <c r="BO119" s="799">
        <f>BN119*(1-IFERROR(IF(BO$77+$F119&lt;=12,SUMIFS('Attrition Modeling'!$D:$D,'Attrition Modeling'!$C:$C,$D119,'Attrition Modeling'!$B:$B,BO$76),VLOOKUP($F119+BO$77,$A$7:$C$107,2,FALSE)*VLOOKUP(BO$76,'Attrition Modeling'!$L$15:$N$27,IF(BO$77+$F119&lt;=24,2,3),FALSE)),$C$3)*(1+IF('IP Attrition'!BO176&gt;0,'Attrition Modeling'!$N$9,0)))</f>
        <v>0</v>
      </c>
      <c r="BP119" s="799">
        <f>BO119*(1-IFERROR(IF(BP$77+$F119&lt;=12,SUMIFS('Attrition Modeling'!$D:$D,'Attrition Modeling'!$C:$C,$D119,'Attrition Modeling'!$B:$B,BP$76),VLOOKUP($F119+BP$77,$A$7:$C$107,2,FALSE)*VLOOKUP(BP$76,'Attrition Modeling'!$L$15:$N$27,IF(BP$77+$F119&lt;=24,2,3),FALSE)),$C$3)*(1+IF('IP Attrition'!BP176&gt;0,'Attrition Modeling'!$N$9,0)))</f>
        <v>0</v>
      </c>
      <c r="BQ119" s="799">
        <f>BP119*(1-IFERROR(IF(BQ$77+$F119&lt;=12,SUMIFS('Attrition Modeling'!$D:$D,'Attrition Modeling'!$C:$C,$D119,'Attrition Modeling'!$B:$B,BQ$76),VLOOKUP($F119+BQ$77,$A$7:$C$107,2,FALSE)*VLOOKUP(BQ$76,'Attrition Modeling'!$L$15:$N$27,IF(BQ$77+$F119&lt;=24,2,3),FALSE)),$C$3)*(1+IF('IP Attrition'!BQ176&gt;0,'Attrition Modeling'!$N$9,0)))</f>
        <v>0</v>
      </c>
      <c r="BR119" s="799">
        <f>BQ119*(1-IFERROR(IF(BR$77+$F119&lt;=12,SUMIFS('Attrition Modeling'!$D:$D,'Attrition Modeling'!$C:$C,$D119,'Attrition Modeling'!$B:$B,BR$76),VLOOKUP($F119+BR$77,$A$7:$C$107,2,FALSE)*VLOOKUP(BR$76,'Attrition Modeling'!$L$15:$N$27,IF(BR$77+$F119&lt;=24,2,3),FALSE)),$C$3)*(1+IF('IP Attrition'!BR176&gt;0,'Attrition Modeling'!$N$9,0)))</f>
        <v>0</v>
      </c>
      <c r="BS119" s="799">
        <f>BR119*(1-IFERROR(IF(BS$77+$F119&lt;=12,SUMIFS('Attrition Modeling'!$D:$D,'Attrition Modeling'!$C:$C,$D119,'Attrition Modeling'!$B:$B,BS$76),VLOOKUP($F119+BS$77,$A$7:$C$107,2,FALSE)*VLOOKUP(BS$76,'Attrition Modeling'!$L$15:$N$27,IF(BS$77+$F119&lt;=24,2,3),FALSE)),$C$3)*(1+IF('IP Attrition'!BS176&gt;0,'Attrition Modeling'!$N$9,0)))</f>
        <v>0</v>
      </c>
      <c r="BT119" s="799" t="e">
        <f>BS119*(1-IFERROR(IF(BT$77+$F119&lt;=12,SUMIFS('Attrition Modeling'!$D:$D,'Attrition Modeling'!$C:$C,$D119,'Attrition Modeling'!$B:$B,BT$76),VLOOKUP($F119+BT$77,$A$7:$C$107,2,FALSE)*VLOOKUP(BT$76,'Attrition Modeling'!$L$15:$N$27,IF(BT$77+$F119&lt;=24,2,3),FALSE)),$C$3)*(1+IF('IP Attrition'!BT176&gt;0,'Attrition Modeling'!$N$9,0)))</f>
        <v>#REF!</v>
      </c>
      <c r="BU119" s="799" t="e">
        <f>BT119*(1-IFERROR(IF(BU$77+$F119&lt;=12,SUMIFS('Attrition Modeling'!$D:$D,'Attrition Modeling'!$C:$C,$D119,'Attrition Modeling'!$B:$B,BU$76),VLOOKUP($F119+BU$77,$A$7:$C$107,2,FALSE)*VLOOKUP(BU$76,'Attrition Modeling'!$L$15:$N$27,IF(BU$77+$F119&lt;=24,2,3),FALSE)),$C$3)*(1+IF('IP Attrition'!BU176&gt;0,'Attrition Modeling'!$N$9,0)))</f>
        <v>#REF!</v>
      </c>
    </row>
    <row r="120" spans="1:73" ht="14.25" customHeight="1" x14ac:dyDescent="0.2">
      <c r="A120" s="9">
        <v>112</v>
      </c>
      <c r="B120" s="25">
        <f>MAX('Attrition Modeling'!H116,$C$3)*(1-Summary!$C$20)</f>
        <v>0.02</v>
      </c>
      <c r="C120" s="24" t="e">
        <f t="shared" si="2"/>
        <v>#DIV/0!</v>
      </c>
      <c r="D120" s="11">
        <f>'IP Attrition'!D112</f>
        <v>-42</v>
      </c>
      <c r="E120" s="25">
        <f>'IP Attrition'!E112</f>
        <v>0</v>
      </c>
      <c r="F120" s="11">
        <f t="shared" si="8"/>
        <v>42</v>
      </c>
      <c r="G120" s="799">
        <f>Summary!$C$24*$E120</f>
        <v>0</v>
      </c>
      <c r="H120" s="799">
        <f>G120*(1-IFERROR(IF(H$77+$F120&lt;=12,SUMIFS('Attrition Modeling'!$D:$D,'Attrition Modeling'!$C:$C,$D120,'Attrition Modeling'!$B:$B,H$76),VLOOKUP($F120+H$77,$A$7:$C$107,2,FALSE)*VLOOKUP(H$76,'Attrition Modeling'!$L$15:$N$27,IF(H$77+$F120&lt;=24,2,3),FALSE)),$C$3)*(1+IF('IP Attrition'!H177&gt;0,'Attrition Modeling'!$N$9,0)))</f>
        <v>0</v>
      </c>
      <c r="I120" s="799">
        <f>H120*(1-IFERROR(IF(I$77+$F120&lt;=12,SUMIFS('Attrition Modeling'!$D:$D,'Attrition Modeling'!$C:$C,$D120,'Attrition Modeling'!$B:$B,I$76),VLOOKUP($F120+I$77,$A$7:$C$107,2,FALSE)*VLOOKUP(I$76,'Attrition Modeling'!$L$15:$N$27,IF(I$77+$F120&lt;=24,2,3),FALSE)),$C$3)*(1+IF('IP Attrition'!I177&gt;0,'Attrition Modeling'!$N$9,0)))</f>
        <v>0</v>
      </c>
      <c r="J120" s="799">
        <f>I120*(1-IFERROR(IF(J$77+$F120&lt;=12,SUMIFS('Attrition Modeling'!$D:$D,'Attrition Modeling'!$C:$C,$D120,'Attrition Modeling'!$B:$B,J$76),VLOOKUP($F120+J$77,$A$7:$C$107,2,FALSE)*VLOOKUP(J$76,'Attrition Modeling'!$L$15:$N$27,IF(J$77+$F120&lt;=24,2,3),FALSE)),$C$3)*(1+IF('IP Attrition'!J177&gt;0,'Attrition Modeling'!$N$9,0)))</f>
        <v>0</v>
      </c>
      <c r="K120" s="799">
        <f>J120*(1-IFERROR(IF(K$77+$F120&lt;=12,SUMIFS('Attrition Modeling'!$D:$D,'Attrition Modeling'!$C:$C,$D120,'Attrition Modeling'!$B:$B,K$76),VLOOKUP($F120+K$77,$A$7:$C$107,2,FALSE)*VLOOKUP(K$76,'Attrition Modeling'!$L$15:$N$27,IF(K$77+$F120&lt;=24,2,3),FALSE)),$C$3)*(1+IF('IP Attrition'!K177&gt;0,'Attrition Modeling'!$N$9,0)))</f>
        <v>0</v>
      </c>
      <c r="L120" s="799">
        <f>K120*(1-IFERROR(IF(L$77+$F120&lt;=12,SUMIFS('Attrition Modeling'!$D:$D,'Attrition Modeling'!$C:$C,$D120,'Attrition Modeling'!$B:$B,L$76),VLOOKUP($F120+L$77,$A$7:$C$107,2,FALSE)*VLOOKUP(L$76,'Attrition Modeling'!$L$15:$N$27,IF(L$77+$F120&lt;=24,2,3),FALSE)),$C$3)*(1+IF('IP Attrition'!L177&gt;0,'Attrition Modeling'!$N$9,0)))</f>
        <v>0</v>
      </c>
      <c r="M120" s="799">
        <f>L120*(1-IFERROR(IF(M$77+$F120&lt;=12,SUMIFS('Attrition Modeling'!$D:$D,'Attrition Modeling'!$C:$C,$D120,'Attrition Modeling'!$B:$B,M$76),VLOOKUP($F120+M$77,$A$7:$C$107,2,FALSE)*VLOOKUP(M$76,'Attrition Modeling'!$L$15:$N$27,IF(M$77+$F120&lt;=24,2,3),FALSE)),$C$3)*(1+IF('IP Attrition'!M177&gt;0,'Attrition Modeling'!$N$9,0)))</f>
        <v>0</v>
      </c>
      <c r="N120" s="799">
        <f>M120*(1-IFERROR(IF(N$77+$F120&lt;=12,SUMIFS('Attrition Modeling'!$D:$D,'Attrition Modeling'!$C:$C,$D120,'Attrition Modeling'!$B:$B,N$76),VLOOKUP($F120+N$77,$A$7:$C$107,2,FALSE)*VLOOKUP(N$76,'Attrition Modeling'!$L$15:$N$27,IF(N$77+$F120&lt;=24,2,3),FALSE)),$C$3)*(1+IF('IP Attrition'!N177&gt;0,'Attrition Modeling'!$N$9,0)))</f>
        <v>0</v>
      </c>
      <c r="O120" s="799">
        <f>N120*(1-IFERROR(IF(O$77+$F120&lt;=12,SUMIFS('Attrition Modeling'!$D:$D,'Attrition Modeling'!$C:$C,$D120,'Attrition Modeling'!$B:$B,O$76),VLOOKUP($F120+O$77,$A$7:$C$107,2,FALSE)*VLOOKUP(O$76,'Attrition Modeling'!$L$15:$N$27,IF(O$77+$F120&lt;=24,2,3),FALSE)),$C$3)*(1+IF('IP Attrition'!O177&gt;0,'Attrition Modeling'!$N$9,0)))</f>
        <v>0</v>
      </c>
      <c r="P120" s="799">
        <f>O120*(1-IFERROR(IF(P$77+$F120&lt;=12,SUMIFS('Attrition Modeling'!$D:$D,'Attrition Modeling'!$C:$C,$D120,'Attrition Modeling'!$B:$B,P$76),VLOOKUP($F120+P$77,$A$7:$C$107,2,FALSE)*VLOOKUP(P$76,'Attrition Modeling'!$L$15:$N$27,IF(P$77+$F120&lt;=24,2,3),FALSE)),$C$3)*(1+IF('IP Attrition'!P177&gt;0,'Attrition Modeling'!$N$9,0)))</f>
        <v>0</v>
      </c>
      <c r="Q120" s="799">
        <f>P120*(1-IFERROR(IF(Q$77+$F120&lt;=12,SUMIFS('Attrition Modeling'!$D:$D,'Attrition Modeling'!$C:$C,$D120,'Attrition Modeling'!$B:$B,Q$76),VLOOKUP($F120+Q$77,$A$7:$C$107,2,FALSE)*VLOOKUP(Q$76,'Attrition Modeling'!$L$15:$N$27,IF(Q$77+$F120&lt;=24,2,3),FALSE)),$C$3)*(1+IF('IP Attrition'!Q177&gt;0,'Attrition Modeling'!$N$9,0)))</f>
        <v>0</v>
      </c>
      <c r="R120" s="799">
        <f>Q120*(1-IFERROR(IF(R$77+$F120&lt;=12,SUMIFS('Attrition Modeling'!$D:$D,'Attrition Modeling'!$C:$C,$D120,'Attrition Modeling'!$B:$B,R$76),VLOOKUP($F120+R$77,$A$7:$C$107,2,FALSE)*VLOOKUP(R$76,'Attrition Modeling'!$L$15:$N$27,IF(R$77+$F120&lt;=24,2,3),FALSE)),$C$3)*(1+IF('IP Attrition'!R177&gt;0,'Attrition Modeling'!$N$9,0)))</f>
        <v>0</v>
      </c>
      <c r="S120" s="799">
        <f>R120*(1-IFERROR(IF(S$77+$F120&lt;=12,SUMIFS('Attrition Modeling'!$D:$D,'Attrition Modeling'!$C:$C,$D120,'Attrition Modeling'!$B:$B,S$76),VLOOKUP($F120+S$77,$A$7:$C$107,2,FALSE)*VLOOKUP(S$76,'Attrition Modeling'!$L$15:$N$27,IF(S$77+$F120&lt;=24,2,3),FALSE)),$C$3)*(1+IF('IP Attrition'!S177&gt;0,'Attrition Modeling'!$N$9,0)))</f>
        <v>0</v>
      </c>
      <c r="T120" s="799">
        <f>S120*(1-IFERROR(IF(T$77+$F120&lt;=12,SUMIFS('Attrition Modeling'!$D:$D,'Attrition Modeling'!$C:$C,$D120,'Attrition Modeling'!$B:$B,T$76),VLOOKUP($F120+T$77,$A$7:$C$107,2,FALSE)*VLOOKUP(T$76,'Attrition Modeling'!$L$15:$N$27,IF(T$77+$F120&lt;=24,2,3),FALSE)),$C$3)*(1+IF('IP Attrition'!T177&gt;0,'Attrition Modeling'!$N$9,0)))</f>
        <v>0</v>
      </c>
      <c r="U120" s="799">
        <f>T120*(1-IFERROR(IF(U$77+$F120&lt;=12,SUMIFS('Attrition Modeling'!$D:$D,'Attrition Modeling'!$C:$C,$D120,'Attrition Modeling'!$B:$B,U$76),VLOOKUP($F120+U$77,$A$7:$C$107,2,FALSE)*VLOOKUP(U$76,'Attrition Modeling'!$L$15:$N$27,IF(U$77+$F120&lt;=24,2,3),FALSE)),$C$3)*(1+IF('IP Attrition'!U177&gt;0,'Attrition Modeling'!$N$9,0)))</f>
        <v>0</v>
      </c>
      <c r="V120" s="799">
        <f>U120*(1-IFERROR(IF(V$77+$F120&lt;=12,SUMIFS('Attrition Modeling'!$D:$D,'Attrition Modeling'!$C:$C,$D120,'Attrition Modeling'!$B:$B,V$76),VLOOKUP($F120+V$77,$A$7:$C$107,2,FALSE)*VLOOKUP(V$76,'Attrition Modeling'!$L$15:$N$27,IF(V$77+$F120&lt;=24,2,3),FALSE)),$C$3)*(1+IF('IP Attrition'!V177&gt;0,'Attrition Modeling'!$N$9,0)))</f>
        <v>0</v>
      </c>
      <c r="W120" s="799">
        <f>V120*(1-IFERROR(IF(W$77+$F120&lt;=12,SUMIFS('Attrition Modeling'!$D:$D,'Attrition Modeling'!$C:$C,$D120,'Attrition Modeling'!$B:$B,W$76),VLOOKUP($F120+W$77,$A$7:$C$107,2,FALSE)*VLOOKUP(W$76,'Attrition Modeling'!$L$15:$N$27,IF(W$77+$F120&lt;=24,2,3),FALSE)),$C$3)*(1+IF('IP Attrition'!W177&gt;0,'Attrition Modeling'!$N$9,0)))</f>
        <v>0</v>
      </c>
      <c r="X120" s="799">
        <f>W120*(1-IFERROR(IF(X$77+$F120&lt;=12,SUMIFS('Attrition Modeling'!$D:$D,'Attrition Modeling'!$C:$C,$D120,'Attrition Modeling'!$B:$B,X$76),VLOOKUP($F120+X$77,$A$7:$C$107,2,FALSE)*VLOOKUP(X$76,'Attrition Modeling'!$L$15:$N$27,IF(X$77+$F120&lt;=24,2,3),FALSE)),$C$3)*(1+IF('IP Attrition'!X177&gt;0,'Attrition Modeling'!$N$9,0)))</f>
        <v>0</v>
      </c>
      <c r="Y120" s="799">
        <f>X120*(1-IFERROR(IF(Y$77+$F120&lt;=12,SUMIFS('Attrition Modeling'!$D:$D,'Attrition Modeling'!$C:$C,$D120,'Attrition Modeling'!$B:$B,Y$76),VLOOKUP($F120+Y$77,$A$7:$C$107,2,FALSE)*VLOOKUP(Y$76,'Attrition Modeling'!$L$15:$N$27,IF(Y$77+$F120&lt;=24,2,3),FALSE)),$C$3)*(1+IF('IP Attrition'!Y177&gt;0,'Attrition Modeling'!$N$9,0)))</f>
        <v>0</v>
      </c>
      <c r="Z120" s="799">
        <f>Y120*(1-IFERROR(IF(Z$77+$F120&lt;=12,SUMIFS('Attrition Modeling'!$D:$D,'Attrition Modeling'!$C:$C,$D120,'Attrition Modeling'!$B:$B,Z$76),VLOOKUP($F120+Z$77,$A$7:$C$107,2,FALSE)*VLOOKUP(Z$76,'Attrition Modeling'!$L$15:$N$27,IF(Z$77+$F120&lt;=24,2,3),FALSE)),$C$3)*(1+IF('IP Attrition'!Z177&gt;0,'Attrition Modeling'!$N$9,0)))</f>
        <v>0</v>
      </c>
      <c r="AA120" s="799">
        <f>Z120*(1-IFERROR(IF(AA$77+$F120&lt;=12,SUMIFS('Attrition Modeling'!$D:$D,'Attrition Modeling'!$C:$C,$D120,'Attrition Modeling'!$B:$B,AA$76),VLOOKUP($F120+AA$77,$A$7:$C$107,2,FALSE)*VLOOKUP(AA$76,'Attrition Modeling'!$L$15:$N$27,IF(AA$77+$F120&lt;=24,2,3),FALSE)),$C$3)*(1+IF('IP Attrition'!AA177&gt;0,'Attrition Modeling'!$N$9,0)))</f>
        <v>0</v>
      </c>
      <c r="AB120" s="799">
        <f>AA120*(1-IFERROR(IF(AB$77+$F120&lt;=12,SUMIFS('Attrition Modeling'!$D:$D,'Attrition Modeling'!$C:$C,$D120,'Attrition Modeling'!$B:$B,AB$76),VLOOKUP($F120+AB$77,$A$7:$C$107,2,FALSE)*VLOOKUP(AB$76,'Attrition Modeling'!$L$15:$N$27,IF(AB$77+$F120&lt;=24,2,3),FALSE)),$C$3)*(1+IF('IP Attrition'!AB177&gt;0,'Attrition Modeling'!$N$9,0)))</f>
        <v>0</v>
      </c>
      <c r="AC120" s="799">
        <f>AB120*(1-IFERROR(IF(AC$77+$F120&lt;=12,SUMIFS('Attrition Modeling'!$D:$D,'Attrition Modeling'!$C:$C,$D120,'Attrition Modeling'!$B:$B,AC$76),VLOOKUP($F120+AC$77,$A$7:$C$107,2,FALSE)*VLOOKUP(AC$76,'Attrition Modeling'!$L$15:$N$27,IF(AC$77+$F120&lt;=24,2,3),FALSE)),$C$3)*(1+IF('IP Attrition'!AC177&gt;0,'Attrition Modeling'!$N$9,0)))</f>
        <v>0</v>
      </c>
      <c r="AD120" s="799">
        <f>AC120*(1-IFERROR(IF(AD$77+$F120&lt;=12,SUMIFS('Attrition Modeling'!$D:$D,'Attrition Modeling'!$C:$C,$D120,'Attrition Modeling'!$B:$B,AD$76),VLOOKUP($F120+AD$77,$A$7:$C$107,2,FALSE)*VLOOKUP(AD$76,'Attrition Modeling'!$L$15:$N$27,IF(AD$77+$F120&lt;=24,2,3),FALSE)),$C$3)*(1+IF('IP Attrition'!AD177&gt;0,'Attrition Modeling'!$N$9,0)))</f>
        <v>0</v>
      </c>
      <c r="AE120" s="799">
        <f>AD120*(1-IFERROR(IF(AE$77+$F120&lt;=12,SUMIFS('Attrition Modeling'!$D:$D,'Attrition Modeling'!$C:$C,$D120,'Attrition Modeling'!$B:$B,AE$76),VLOOKUP($F120+AE$77,$A$7:$C$107,2,FALSE)*VLOOKUP(AE$76,'Attrition Modeling'!$L$15:$N$27,IF(AE$77+$F120&lt;=24,2,3),FALSE)),$C$3)*(1+IF('IP Attrition'!AE177&gt;0,'Attrition Modeling'!$N$9,0)))</f>
        <v>0</v>
      </c>
      <c r="AF120" s="799">
        <f>AE120*(1-IFERROR(IF(AF$77+$F120&lt;=12,SUMIFS('Attrition Modeling'!$D:$D,'Attrition Modeling'!$C:$C,$D120,'Attrition Modeling'!$B:$B,AF$76),VLOOKUP($F120+AF$77,$A$7:$C$107,2,FALSE)*VLOOKUP(AF$76,'Attrition Modeling'!$L$15:$N$27,IF(AF$77+$F120&lt;=24,2,3),FALSE)),$C$3)*(1+IF('IP Attrition'!AF177&gt;0,'Attrition Modeling'!$N$9,0)))</f>
        <v>0</v>
      </c>
      <c r="AG120" s="799">
        <f>AF120*(1-IFERROR(IF(AG$77+$F120&lt;=12,SUMIFS('Attrition Modeling'!$D:$D,'Attrition Modeling'!$C:$C,$D120,'Attrition Modeling'!$B:$B,AG$76),VLOOKUP($F120+AG$77,$A$7:$C$107,2,FALSE)*VLOOKUP(AG$76,'Attrition Modeling'!$L$15:$N$27,IF(AG$77+$F120&lt;=24,2,3),FALSE)),$C$3)*(1+IF('IP Attrition'!AG177&gt;0,'Attrition Modeling'!$N$9,0)))</f>
        <v>0</v>
      </c>
      <c r="AH120" s="799">
        <f>AG120*(1-IFERROR(IF(AH$77+$F120&lt;=12,SUMIFS('Attrition Modeling'!$D:$D,'Attrition Modeling'!$C:$C,$D120,'Attrition Modeling'!$B:$B,AH$76),VLOOKUP($F120+AH$77,$A$7:$C$107,2,FALSE)*VLOOKUP(AH$76,'Attrition Modeling'!$L$15:$N$27,IF(AH$77+$F120&lt;=24,2,3),FALSE)),$C$3)*(1+IF('IP Attrition'!AH177&gt;0,'Attrition Modeling'!$N$9,0)))</f>
        <v>0</v>
      </c>
      <c r="AI120" s="799">
        <f>AH120*(1-IFERROR(IF(AI$77+$F120&lt;=12,SUMIFS('Attrition Modeling'!$D:$D,'Attrition Modeling'!$C:$C,$D120,'Attrition Modeling'!$B:$B,AI$76),VLOOKUP($F120+AI$77,$A$7:$C$107,2,FALSE)*VLOOKUP(AI$76,'Attrition Modeling'!$L$15:$N$27,IF(AI$77+$F120&lt;=24,2,3),FALSE)),$C$3)*(1+IF('IP Attrition'!AI177&gt;0,'Attrition Modeling'!$N$9,0)))</f>
        <v>0</v>
      </c>
      <c r="AJ120" s="799">
        <f>AI120*(1-IFERROR(IF(AJ$77+$F120&lt;=12,SUMIFS('Attrition Modeling'!$D:$D,'Attrition Modeling'!$C:$C,$D120,'Attrition Modeling'!$B:$B,AJ$76),VLOOKUP($F120+AJ$77,$A$7:$C$107,2,FALSE)*VLOOKUP(AJ$76,'Attrition Modeling'!$L$15:$N$27,IF(AJ$77+$F120&lt;=24,2,3),FALSE)),$C$3)*(1+IF('IP Attrition'!AJ177&gt;0,'Attrition Modeling'!$N$9,0)))</f>
        <v>0</v>
      </c>
      <c r="AK120" s="799">
        <f>AJ120*(1-IFERROR(IF(AK$77+$F120&lt;=12,SUMIFS('Attrition Modeling'!$D:$D,'Attrition Modeling'!$C:$C,$D120,'Attrition Modeling'!$B:$B,AK$76),VLOOKUP($F120+AK$77,$A$7:$C$107,2,FALSE)*VLOOKUP(AK$76,'Attrition Modeling'!$L$15:$N$27,IF(AK$77+$F120&lt;=24,2,3),FALSE)),$C$3)*(1+IF('IP Attrition'!AK177&gt;0,'Attrition Modeling'!$N$9,0)))</f>
        <v>0</v>
      </c>
      <c r="AL120" s="799">
        <f>AK120*(1-IFERROR(IF(AL$77+$F120&lt;=12,SUMIFS('Attrition Modeling'!$D:$D,'Attrition Modeling'!$C:$C,$D120,'Attrition Modeling'!$B:$B,AL$76),VLOOKUP($F120+AL$77,$A$7:$C$107,2,FALSE)*VLOOKUP(AL$76,'Attrition Modeling'!$L$15:$N$27,IF(AL$77+$F120&lt;=24,2,3),FALSE)),$C$3)*(1+IF('IP Attrition'!AL177&gt;0,'Attrition Modeling'!$N$9,0)))</f>
        <v>0</v>
      </c>
      <c r="AM120" s="799">
        <f>AL120*(1-IFERROR(IF(AM$77+$F120&lt;=12,SUMIFS('Attrition Modeling'!$D:$D,'Attrition Modeling'!$C:$C,$D120,'Attrition Modeling'!$B:$B,AM$76),VLOOKUP($F120+AM$77,$A$7:$C$107,2,FALSE)*VLOOKUP(AM$76,'Attrition Modeling'!$L$15:$N$27,IF(AM$77+$F120&lt;=24,2,3),FALSE)),$C$3)*(1+IF('IP Attrition'!AM177&gt;0,'Attrition Modeling'!$N$9,0)))</f>
        <v>0</v>
      </c>
      <c r="AN120" s="799">
        <f>AM120*(1-IFERROR(IF(AN$77+$F120&lt;=12,SUMIFS('Attrition Modeling'!$D:$D,'Attrition Modeling'!$C:$C,$D120,'Attrition Modeling'!$B:$B,AN$76),VLOOKUP($F120+AN$77,$A$7:$C$107,2,FALSE)*VLOOKUP(AN$76,'Attrition Modeling'!$L$15:$N$27,IF(AN$77+$F120&lt;=24,2,3),FALSE)),$C$3)*(1+IF('IP Attrition'!AN177&gt;0,'Attrition Modeling'!$N$9,0)))</f>
        <v>0</v>
      </c>
      <c r="AO120" s="799">
        <f>AN120*(1-IFERROR(IF(AO$77+$F120&lt;=12,SUMIFS('Attrition Modeling'!$D:$D,'Attrition Modeling'!$C:$C,$D120,'Attrition Modeling'!$B:$B,AO$76),VLOOKUP($F120+AO$77,$A$7:$C$107,2,FALSE)*VLOOKUP(AO$76,'Attrition Modeling'!$L$15:$N$27,IF(AO$77+$F120&lt;=24,2,3),FALSE)),$C$3)*(1+IF('IP Attrition'!AO177&gt;0,'Attrition Modeling'!$N$9,0)))</f>
        <v>0</v>
      </c>
      <c r="AP120" s="799">
        <f>AO120*(1-IFERROR(IF(AP$77+$F120&lt;=12,SUMIFS('Attrition Modeling'!$D:$D,'Attrition Modeling'!$C:$C,$D120,'Attrition Modeling'!$B:$B,AP$76),VLOOKUP($F120+AP$77,$A$7:$C$107,2,FALSE)*VLOOKUP(AP$76,'Attrition Modeling'!$L$15:$N$27,IF(AP$77+$F120&lt;=24,2,3),FALSE)),$C$3)*(1+IF('IP Attrition'!AP177&gt;0,'Attrition Modeling'!$N$9,0)))</f>
        <v>0</v>
      </c>
      <c r="AQ120" s="799">
        <f>AP120*(1-IFERROR(IF(AQ$77+$F120&lt;=12,SUMIFS('Attrition Modeling'!$D:$D,'Attrition Modeling'!$C:$C,$D120,'Attrition Modeling'!$B:$B,AQ$76),VLOOKUP($F120+AQ$77,$A$7:$C$107,2,FALSE)*VLOOKUP(AQ$76,'Attrition Modeling'!$L$15:$N$27,IF(AQ$77+$F120&lt;=24,2,3),FALSE)),$C$3)*(1+IF('IP Attrition'!AQ177&gt;0,'Attrition Modeling'!$N$9,0)))</f>
        <v>0</v>
      </c>
      <c r="AR120" s="799">
        <f>AQ120*(1-IFERROR(IF(AR$77+$F120&lt;=12,SUMIFS('Attrition Modeling'!$D:$D,'Attrition Modeling'!$C:$C,$D120,'Attrition Modeling'!$B:$B,AR$76),VLOOKUP($F120+AR$77,$A$7:$C$107,2,FALSE)*VLOOKUP(AR$76,'Attrition Modeling'!$L$15:$N$27,IF(AR$77+$F120&lt;=24,2,3),FALSE)),$C$3)*(1+IF('IP Attrition'!AR177&gt;0,'Attrition Modeling'!$N$9,0)))</f>
        <v>0</v>
      </c>
      <c r="AS120" s="799">
        <f>AR120*(1-IFERROR(IF(AS$77+$F120&lt;=12,SUMIFS('Attrition Modeling'!$D:$D,'Attrition Modeling'!$C:$C,$D120,'Attrition Modeling'!$B:$B,AS$76),VLOOKUP($F120+AS$77,$A$7:$C$107,2,FALSE)*VLOOKUP(AS$76,'Attrition Modeling'!$L$15:$N$27,IF(AS$77+$F120&lt;=24,2,3),FALSE)),$C$3)*(1+IF('IP Attrition'!AS177&gt;0,'Attrition Modeling'!$N$9,0)))</f>
        <v>0</v>
      </c>
      <c r="AT120" s="799">
        <f>AS120*(1-IFERROR(IF(AT$77+$F120&lt;=12,SUMIFS('Attrition Modeling'!$D:$D,'Attrition Modeling'!$C:$C,$D120,'Attrition Modeling'!$B:$B,AT$76),VLOOKUP($F120+AT$77,$A$7:$C$107,2,FALSE)*VLOOKUP(AT$76,'Attrition Modeling'!$L$15:$N$27,IF(AT$77+$F120&lt;=24,2,3),FALSE)),$C$3)*(1+IF('IP Attrition'!AT177&gt;0,'Attrition Modeling'!$N$9,0)))</f>
        <v>0</v>
      </c>
      <c r="AU120" s="799">
        <f>AT120*(1-IFERROR(IF(AU$77+$F120&lt;=12,SUMIFS('Attrition Modeling'!$D:$D,'Attrition Modeling'!$C:$C,$D120,'Attrition Modeling'!$B:$B,AU$76),VLOOKUP($F120+AU$77,$A$7:$C$107,2,FALSE)*VLOOKUP(AU$76,'Attrition Modeling'!$L$15:$N$27,IF(AU$77+$F120&lt;=24,2,3),FALSE)),$C$3)*(1+IF('IP Attrition'!AU177&gt;0,'Attrition Modeling'!$N$9,0)))</f>
        <v>0</v>
      </c>
      <c r="AV120" s="799">
        <f>AU120*(1-IFERROR(IF(AV$77+$F120&lt;=12,SUMIFS('Attrition Modeling'!$D:$D,'Attrition Modeling'!$C:$C,$D120,'Attrition Modeling'!$B:$B,AV$76),VLOOKUP($F120+AV$77,$A$7:$C$107,2,FALSE)*VLOOKUP(AV$76,'Attrition Modeling'!$L$15:$N$27,IF(AV$77+$F120&lt;=24,2,3),FALSE)),$C$3)*(1+IF('IP Attrition'!AV177&gt;0,'Attrition Modeling'!$N$9,0)))</f>
        <v>0</v>
      </c>
      <c r="AW120" s="799">
        <f>AV120*(1-IFERROR(IF(AW$77+$F120&lt;=12,SUMIFS('Attrition Modeling'!$D:$D,'Attrition Modeling'!$C:$C,$D120,'Attrition Modeling'!$B:$B,AW$76),VLOOKUP($F120+AW$77,$A$7:$C$107,2,FALSE)*VLOOKUP(AW$76,'Attrition Modeling'!$L$15:$N$27,IF(AW$77+$F120&lt;=24,2,3),FALSE)),$C$3)*(1+IF('IP Attrition'!AW177&gt;0,'Attrition Modeling'!$N$9,0)))</f>
        <v>0</v>
      </c>
      <c r="AX120" s="799">
        <f>AW120*(1-IFERROR(IF(AX$77+$F120&lt;=12,SUMIFS('Attrition Modeling'!$D:$D,'Attrition Modeling'!$C:$C,$D120,'Attrition Modeling'!$B:$B,AX$76),VLOOKUP($F120+AX$77,$A$7:$C$107,2,FALSE)*VLOOKUP(AX$76,'Attrition Modeling'!$L$15:$N$27,IF(AX$77+$F120&lt;=24,2,3),FALSE)),$C$3)*(1+IF('IP Attrition'!AX177&gt;0,'Attrition Modeling'!$N$9,0)))</f>
        <v>0</v>
      </c>
      <c r="AY120" s="799">
        <f>AX120*(1-IFERROR(IF(AY$77+$F120&lt;=12,SUMIFS('Attrition Modeling'!$D:$D,'Attrition Modeling'!$C:$C,$D120,'Attrition Modeling'!$B:$B,AY$76),VLOOKUP($F120+AY$77,$A$7:$C$107,2,FALSE)*VLOOKUP(AY$76,'Attrition Modeling'!$L$15:$N$27,IF(AY$77+$F120&lt;=24,2,3),FALSE)),$C$3)*(1+IF('IP Attrition'!AY177&gt;0,'Attrition Modeling'!$N$9,0)))</f>
        <v>0</v>
      </c>
      <c r="AZ120" s="799">
        <f>AY120*(1-IFERROR(IF(AZ$77+$F120&lt;=12,SUMIFS('Attrition Modeling'!$D:$D,'Attrition Modeling'!$C:$C,$D120,'Attrition Modeling'!$B:$B,AZ$76),VLOOKUP($F120+AZ$77,$A$7:$C$107,2,FALSE)*VLOOKUP(AZ$76,'Attrition Modeling'!$L$15:$N$27,IF(AZ$77+$F120&lt;=24,2,3),FALSE)),$C$3)*(1+IF('IP Attrition'!AZ177&gt;0,'Attrition Modeling'!$N$9,0)))</f>
        <v>0</v>
      </c>
      <c r="BA120" s="799">
        <f>AZ120*(1-IFERROR(IF(BA$77+$F120&lt;=12,SUMIFS('Attrition Modeling'!$D:$D,'Attrition Modeling'!$C:$C,$D120,'Attrition Modeling'!$B:$B,BA$76),VLOOKUP($F120+BA$77,$A$7:$C$107,2,FALSE)*VLOOKUP(BA$76,'Attrition Modeling'!$L$15:$N$27,IF(BA$77+$F120&lt;=24,2,3),FALSE)),$C$3)*(1+IF('IP Attrition'!BA177&gt;0,'Attrition Modeling'!$N$9,0)))</f>
        <v>0</v>
      </c>
      <c r="BB120" s="799">
        <f>BA120*(1-IFERROR(IF(BB$77+$F120&lt;=12,SUMIFS('Attrition Modeling'!$D:$D,'Attrition Modeling'!$C:$C,$D120,'Attrition Modeling'!$B:$B,BB$76),VLOOKUP($F120+BB$77,$A$7:$C$107,2,FALSE)*VLOOKUP(BB$76,'Attrition Modeling'!$L$15:$N$27,IF(BB$77+$F120&lt;=24,2,3),FALSE)),$C$3)*(1+IF('IP Attrition'!BB177&gt;0,'Attrition Modeling'!$N$9,0)))</f>
        <v>0</v>
      </c>
      <c r="BC120" s="799">
        <f>BB120*(1-IFERROR(IF(BC$77+$F120&lt;=12,SUMIFS('Attrition Modeling'!$D:$D,'Attrition Modeling'!$C:$C,$D120,'Attrition Modeling'!$B:$B,BC$76),VLOOKUP($F120+BC$77,$A$7:$C$107,2,FALSE)*VLOOKUP(BC$76,'Attrition Modeling'!$L$15:$N$27,IF(BC$77+$F120&lt;=24,2,3),FALSE)),$C$3)*(1+IF('IP Attrition'!BC177&gt;0,'Attrition Modeling'!$N$9,0)))</f>
        <v>0</v>
      </c>
      <c r="BD120" s="799">
        <f>BC120*(1-IFERROR(IF(BD$77+$F120&lt;=12,SUMIFS('Attrition Modeling'!$D:$D,'Attrition Modeling'!$C:$C,$D120,'Attrition Modeling'!$B:$B,BD$76),VLOOKUP($F120+BD$77,$A$7:$C$107,2,FALSE)*VLOOKUP(BD$76,'Attrition Modeling'!$L$15:$N$27,IF(BD$77+$F120&lt;=24,2,3),FALSE)),$C$3)*(1+IF('IP Attrition'!BD177&gt;0,'Attrition Modeling'!$N$9,0)))</f>
        <v>0</v>
      </c>
      <c r="BE120" s="799">
        <f>BD120*(1-IFERROR(IF(BE$77+$F120&lt;=12,SUMIFS('Attrition Modeling'!$D:$D,'Attrition Modeling'!$C:$C,$D120,'Attrition Modeling'!$B:$B,BE$76),VLOOKUP($F120+BE$77,$A$7:$C$107,2,FALSE)*VLOOKUP(BE$76,'Attrition Modeling'!$L$15:$N$27,IF(BE$77+$F120&lt;=24,2,3),FALSE)),$C$3)*(1+IF('IP Attrition'!BE177&gt;0,'Attrition Modeling'!$N$9,0)))</f>
        <v>0</v>
      </c>
      <c r="BF120" s="799">
        <f>BE120*(1-IFERROR(IF(BF$77+$F120&lt;=12,SUMIFS('Attrition Modeling'!$D:$D,'Attrition Modeling'!$C:$C,$D120,'Attrition Modeling'!$B:$B,BF$76),VLOOKUP($F120+BF$77,$A$7:$C$107,2,FALSE)*VLOOKUP(BF$76,'Attrition Modeling'!$L$15:$N$27,IF(BF$77+$F120&lt;=24,2,3),FALSE)),$C$3)*(1+IF('IP Attrition'!BF177&gt;0,'Attrition Modeling'!$N$9,0)))</f>
        <v>0</v>
      </c>
      <c r="BG120" s="799">
        <f>BF120*(1-IFERROR(IF(BG$77+$F120&lt;=12,SUMIFS('Attrition Modeling'!$D:$D,'Attrition Modeling'!$C:$C,$D120,'Attrition Modeling'!$B:$B,BG$76),VLOOKUP($F120+BG$77,$A$7:$C$107,2,FALSE)*VLOOKUP(BG$76,'Attrition Modeling'!$L$15:$N$27,IF(BG$77+$F120&lt;=24,2,3),FALSE)),$C$3)*(1+IF('IP Attrition'!BG177&gt;0,'Attrition Modeling'!$N$9,0)))</f>
        <v>0</v>
      </c>
      <c r="BH120" s="799">
        <f>BG120*(1-IFERROR(IF(BH$77+$F120&lt;=12,SUMIFS('Attrition Modeling'!$D:$D,'Attrition Modeling'!$C:$C,$D120,'Attrition Modeling'!$B:$B,BH$76),VLOOKUP($F120+BH$77,$A$7:$C$107,2,FALSE)*VLOOKUP(BH$76,'Attrition Modeling'!$L$15:$N$27,IF(BH$77+$F120&lt;=24,2,3),FALSE)),$C$3)*(1+IF('IP Attrition'!BH177&gt;0,'Attrition Modeling'!$N$9,0)))</f>
        <v>0</v>
      </c>
      <c r="BI120" s="799">
        <f>BH120*(1-IFERROR(IF(BI$77+$F120&lt;=12,SUMIFS('Attrition Modeling'!$D:$D,'Attrition Modeling'!$C:$C,$D120,'Attrition Modeling'!$B:$B,BI$76),VLOOKUP($F120+BI$77,$A$7:$C$107,2,FALSE)*VLOOKUP(BI$76,'Attrition Modeling'!$L$15:$N$27,IF(BI$77+$F120&lt;=24,2,3),FALSE)),$C$3)*(1+IF('IP Attrition'!BI177&gt;0,'Attrition Modeling'!$N$9,0)))</f>
        <v>0</v>
      </c>
      <c r="BJ120" s="799">
        <f>BI120*(1-IFERROR(IF(BJ$77+$F120&lt;=12,SUMIFS('Attrition Modeling'!$D:$D,'Attrition Modeling'!$C:$C,$D120,'Attrition Modeling'!$B:$B,BJ$76),VLOOKUP($F120+BJ$77,$A$7:$C$107,2,FALSE)*VLOOKUP(BJ$76,'Attrition Modeling'!$L$15:$N$27,IF(BJ$77+$F120&lt;=24,2,3),FALSE)),$C$3)*(1+IF('IP Attrition'!BJ177&gt;0,'Attrition Modeling'!$N$9,0)))</f>
        <v>0</v>
      </c>
      <c r="BK120" s="799">
        <f>BJ120*(1-IFERROR(IF(BK$77+$F120&lt;=12,SUMIFS('Attrition Modeling'!$D:$D,'Attrition Modeling'!$C:$C,$D120,'Attrition Modeling'!$B:$B,BK$76),VLOOKUP($F120+BK$77,$A$7:$C$107,2,FALSE)*VLOOKUP(BK$76,'Attrition Modeling'!$L$15:$N$27,IF(BK$77+$F120&lt;=24,2,3),FALSE)),$C$3)*(1+IF('IP Attrition'!BK177&gt;0,'Attrition Modeling'!$N$9,0)))</f>
        <v>0</v>
      </c>
      <c r="BL120" s="799">
        <f>BK120*(1-IFERROR(IF(BL$77+$F120&lt;=12,SUMIFS('Attrition Modeling'!$D:$D,'Attrition Modeling'!$C:$C,$D120,'Attrition Modeling'!$B:$B,BL$76),VLOOKUP($F120+BL$77,$A$7:$C$107,2,FALSE)*VLOOKUP(BL$76,'Attrition Modeling'!$L$15:$N$27,IF(BL$77+$F120&lt;=24,2,3),FALSE)),$C$3)*(1+IF('IP Attrition'!BL177&gt;0,'Attrition Modeling'!$N$9,0)))</f>
        <v>0</v>
      </c>
      <c r="BM120" s="799">
        <f>BL120*(1-IFERROR(IF(BM$77+$F120&lt;=12,SUMIFS('Attrition Modeling'!$D:$D,'Attrition Modeling'!$C:$C,$D120,'Attrition Modeling'!$B:$B,BM$76),VLOOKUP($F120+BM$77,$A$7:$C$107,2,FALSE)*VLOOKUP(BM$76,'Attrition Modeling'!$L$15:$N$27,IF(BM$77+$F120&lt;=24,2,3),FALSE)),$C$3)*(1+IF('IP Attrition'!BM177&gt;0,'Attrition Modeling'!$N$9,0)))</f>
        <v>0</v>
      </c>
      <c r="BN120" s="799">
        <f>BM120*(1-IFERROR(IF(BN$77+$F120&lt;=12,SUMIFS('Attrition Modeling'!$D:$D,'Attrition Modeling'!$C:$C,$D120,'Attrition Modeling'!$B:$B,BN$76),VLOOKUP($F120+BN$77,$A$7:$C$107,2,FALSE)*VLOOKUP(BN$76,'Attrition Modeling'!$L$15:$N$27,IF(BN$77+$F120&lt;=24,2,3),FALSE)),$C$3)*(1+IF('IP Attrition'!BN177&gt;0,'Attrition Modeling'!$N$9,0)))</f>
        <v>0</v>
      </c>
      <c r="BO120" s="799">
        <f>BN120*(1-IFERROR(IF(BO$77+$F120&lt;=12,SUMIFS('Attrition Modeling'!$D:$D,'Attrition Modeling'!$C:$C,$D120,'Attrition Modeling'!$B:$B,BO$76),VLOOKUP($F120+BO$77,$A$7:$C$107,2,FALSE)*VLOOKUP(BO$76,'Attrition Modeling'!$L$15:$N$27,IF(BO$77+$F120&lt;=24,2,3),FALSE)),$C$3)*(1+IF('IP Attrition'!BO177&gt;0,'Attrition Modeling'!$N$9,0)))</f>
        <v>0</v>
      </c>
      <c r="BP120" s="799">
        <f>BO120*(1-IFERROR(IF(BP$77+$F120&lt;=12,SUMIFS('Attrition Modeling'!$D:$D,'Attrition Modeling'!$C:$C,$D120,'Attrition Modeling'!$B:$B,BP$76),VLOOKUP($F120+BP$77,$A$7:$C$107,2,FALSE)*VLOOKUP(BP$76,'Attrition Modeling'!$L$15:$N$27,IF(BP$77+$F120&lt;=24,2,3),FALSE)),$C$3)*(1+IF('IP Attrition'!BP177&gt;0,'Attrition Modeling'!$N$9,0)))</f>
        <v>0</v>
      </c>
      <c r="BQ120" s="799">
        <f>BP120*(1-IFERROR(IF(BQ$77+$F120&lt;=12,SUMIFS('Attrition Modeling'!$D:$D,'Attrition Modeling'!$C:$C,$D120,'Attrition Modeling'!$B:$B,BQ$76),VLOOKUP($F120+BQ$77,$A$7:$C$107,2,FALSE)*VLOOKUP(BQ$76,'Attrition Modeling'!$L$15:$N$27,IF(BQ$77+$F120&lt;=24,2,3),FALSE)),$C$3)*(1+IF('IP Attrition'!BQ177&gt;0,'Attrition Modeling'!$N$9,0)))</f>
        <v>0</v>
      </c>
      <c r="BR120" s="799">
        <f>BQ120*(1-IFERROR(IF(BR$77+$F120&lt;=12,SUMIFS('Attrition Modeling'!$D:$D,'Attrition Modeling'!$C:$C,$D120,'Attrition Modeling'!$B:$B,BR$76),VLOOKUP($F120+BR$77,$A$7:$C$107,2,FALSE)*VLOOKUP(BR$76,'Attrition Modeling'!$L$15:$N$27,IF(BR$77+$F120&lt;=24,2,3),FALSE)),$C$3)*(1+IF('IP Attrition'!BR177&gt;0,'Attrition Modeling'!$N$9,0)))</f>
        <v>0</v>
      </c>
      <c r="BS120" s="799">
        <f>BR120*(1-IFERROR(IF(BS$77+$F120&lt;=12,SUMIFS('Attrition Modeling'!$D:$D,'Attrition Modeling'!$C:$C,$D120,'Attrition Modeling'!$B:$B,BS$76),VLOOKUP($F120+BS$77,$A$7:$C$107,2,FALSE)*VLOOKUP(BS$76,'Attrition Modeling'!$L$15:$N$27,IF(BS$77+$F120&lt;=24,2,3),FALSE)),$C$3)*(1+IF('IP Attrition'!BS177&gt;0,'Attrition Modeling'!$N$9,0)))</f>
        <v>0</v>
      </c>
      <c r="BT120" s="799" t="e">
        <f>BS120*(1-IFERROR(IF(BT$77+$F120&lt;=12,SUMIFS('Attrition Modeling'!$D:$D,'Attrition Modeling'!$C:$C,$D120,'Attrition Modeling'!$B:$B,BT$76),VLOOKUP($F120+BT$77,$A$7:$C$107,2,FALSE)*VLOOKUP(BT$76,'Attrition Modeling'!$L$15:$N$27,IF(BT$77+$F120&lt;=24,2,3),FALSE)),$C$3)*(1+IF('IP Attrition'!BT177&gt;0,'Attrition Modeling'!$N$9,0)))</f>
        <v>#REF!</v>
      </c>
      <c r="BU120" s="799" t="e">
        <f>BT120*(1-IFERROR(IF(BU$77+$F120&lt;=12,SUMIFS('Attrition Modeling'!$D:$D,'Attrition Modeling'!$C:$C,$D120,'Attrition Modeling'!$B:$B,BU$76),VLOOKUP($F120+BU$77,$A$7:$C$107,2,FALSE)*VLOOKUP(BU$76,'Attrition Modeling'!$L$15:$N$27,IF(BU$77+$F120&lt;=24,2,3),FALSE)),$C$3)*(1+IF('IP Attrition'!BU177&gt;0,'Attrition Modeling'!$N$9,0)))</f>
        <v>#REF!</v>
      </c>
    </row>
    <row r="121" spans="1:73" ht="14.25" customHeight="1" x14ac:dyDescent="0.2">
      <c r="A121" s="9">
        <v>113</v>
      </c>
      <c r="B121" s="25">
        <f>MAX('Attrition Modeling'!H117,$C$3)*(1-Summary!$C$20)</f>
        <v>0.02</v>
      </c>
      <c r="C121" s="24" t="e">
        <f t="shared" si="2"/>
        <v>#DIV/0!</v>
      </c>
      <c r="D121" s="11">
        <f>'IP Attrition'!D113</f>
        <v>-43</v>
      </c>
      <c r="E121" s="25">
        <f>'IP Attrition'!E113</f>
        <v>0</v>
      </c>
      <c r="F121" s="11">
        <f t="shared" si="8"/>
        <v>43</v>
      </c>
      <c r="G121" s="799">
        <f>Summary!$C$24*$E121</f>
        <v>0</v>
      </c>
      <c r="H121" s="799">
        <f>G121*(1-IFERROR(IF(H$77+$F121&lt;=12,SUMIFS('Attrition Modeling'!$D:$D,'Attrition Modeling'!$C:$C,$D121,'Attrition Modeling'!$B:$B,H$76),VLOOKUP($F121+H$77,$A$7:$C$107,2,FALSE)*VLOOKUP(H$76,'Attrition Modeling'!$L$15:$N$27,IF(H$77+$F121&lt;=24,2,3),FALSE)),$C$3)*(1+IF('IP Attrition'!H178&gt;0,'Attrition Modeling'!$N$9,0)))</f>
        <v>0</v>
      </c>
      <c r="I121" s="799">
        <f>H121*(1-IFERROR(IF(I$77+$F121&lt;=12,SUMIFS('Attrition Modeling'!$D:$D,'Attrition Modeling'!$C:$C,$D121,'Attrition Modeling'!$B:$B,I$76),VLOOKUP($F121+I$77,$A$7:$C$107,2,FALSE)*VLOOKUP(I$76,'Attrition Modeling'!$L$15:$N$27,IF(I$77+$F121&lt;=24,2,3),FALSE)),$C$3)*(1+IF('IP Attrition'!I178&gt;0,'Attrition Modeling'!$N$9,0)))</f>
        <v>0</v>
      </c>
      <c r="J121" s="799">
        <f>I121*(1-IFERROR(IF(J$77+$F121&lt;=12,SUMIFS('Attrition Modeling'!$D:$D,'Attrition Modeling'!$C:$C,$D121,'Attrition Modeling'!$B:$B,J$76),VLOOKUP($F121+J$77,$A$7:$C$107,2,FALSE)*VLOOKUP(J$76,'Attrition Modeling'!$L$15:$N$27,IF(J$77+$F121&lt;=24,2,3),FALSE)),$C$3)*(1+IF('IP Attrition'!J178&gt;0,'Attrition Modeling'!$N$9,0)))</f>
        <v>0</v>
      </c>
      <c r="K121" s="799">
        <f>J121*(1-IFERROR(IF(K$77+$F121&lt;=12,SUMIFS('Attrition Modeling'!$D:$D,'Attrition Modeling'!$C:$C,$D121,'Attrition Modeling'!$B:$B,K$76),VLOOKUP($F121+K$77,$A$7:$C$107,2,FALSE)*VLOOKUP(K$76,'Attrition Modeling'!$L$15:$N$27,IF(K$77+$F121&lt;=24,2,3),FALSE)),$C$3)*(1+IF('IP Attrition'!K178&gt;0,'Attrition Modeling'!$N$9,0)))</f>
        <v>0</v>
      </c>
      <c r="L121" s="799">
        <f>K121*(1-IFERROR(IF(L$77+$F121&lt;=12,SUMIFS('Attrition Modeling'!$D:$D,'Attrition Modeling'!$C:$C,$D121,'Attrition Modeling'!$B:$B,L$76),VLOOKUP($F121+L$77,$A$7:$C$107,2,FALSE)*VLOOKUP(L$76,'Attrition Modeling'!$L$15:$N$27,IF(L$77+$F121&lt;=24,2,3),FALSE)),$C$3)*(1+IF('IP Attrition'!L178&gt;0,'Attrition Modeling'!$N$9,0)))</f>
        <v>0</v>
      </c>
      <c r="M121" s="799">
        <f>L121*(1-IFERROR(IF(M$77+$F121&lt;=12,SUMIFS('Attrition Modeling'!$D:$D,'Attrition Modeling'!$C:$C,$D121,'Attrition Modeling'!$B:$B,M$76),VLOOKUP($F121+M$77,$A$7:$C$107,2,FALSE)*VLOOKUP(M$76,'Attrition Modeling'!$L$15:$N$27,IF(M$77+$F121&lt;=24,2,3),FALSE)),$C$3)*(1+IF('IP Attrition'!M178&gt;0,'Attrition Modeling'!$N$9,0)))</f>
        <v>0</v>
      </c>
      <c r="N121" s="799">
        <f>M121*(1-IFERROR(IF(N$77+$F121&lt;=12,SUMIFS('Attrition Modeling'!$D:$D,'Attrition Modeling'!$C:$C,$D121,'Attrition Modeling'!$B:$B,N$76),VLOOKUP($F121+N$77,$A$7:$C$107,2,FALSE)*VLOOKUP(N$76,'Attrition Modeling'!$L$15:$N$27,IF(N$77+$F121&lt;=24,2,3),FALSE)),$C$3)*(1+IF('IP Attrition'!N178&gt;0,'Attrition Modeling'!$N$9,0)))</f>
        <v>0</v>
      </c>
      <c r="O121" s="799">
        <f>N121*(1-IFERROR(IF(O$77+$F121&lt;=12,SUMIFS('Attrition Modeling'!$D:$D,'Attrition Modeling'!$C:$C,$D121,'Attrition Modeling'!$B:$B,O$76),VLOOKUP($F121+O$77,$A$7:$C$107,2,FALSE)*VLOOKUP(O$76,'Attrition Modeling'!$L$15:$N$27,IF(O$77+$F121&lt;=24,2,3),FALSE)),$C$3)*(1+IF('IP Attrition'!O178&gt;0,'Attrition Modeling'!$N$9,0)))</f>
        <v>0</v>
      </c>
      <c r="P121" s="799">
        <f>O121*(1-IFERROR(IF(P$77+$F121&lt;=12,SUMIFS('Attrition Modeling'!$D:$D,'Attrition Modeling'!$C:$C,$D121,'Attrition Modeling'!$B:$B,P$76),VLOOKUP($F121+P$77,$A$7:$C$107,2,FALSE)*VLOOKUP(P$76,'Attrition Modeling'!$L$15:$N$27,IF(P$77+$F121&lt;=24,2,3),FALSE)),$C$3)*(1+IF('IP Attrition'!P178&gt;0,'Attrition Modeling'!$N$9,0)))</f>
        <v>0</v>
      </c>
      <c r="Q121" s="799">
        <f>P121*(1-IFERROR(IF(Q$77+$F121&lt;=12,SUMIFS('Attrition Modeling'!$D:$D,'Attrition Modeling'!$C:$C,$D121,'Attrition Modeling'!$B:$B,Q$76),VLOOKUP($F121+Q$77,$A$7:$C$107,2,FALSE)*VLOOKUP(Q$76,'Attrition Modeling'!$L$15:$N$27,IF(Q$77+$F121&lt;=24,2,3),FALSE)),$C$3)*(1+IF('IP Attrition'!Q178&gt;0,'Attrition Modeling'!$N$9,0)))</f>
        <v>0</v>
      </c>
      <c r="R121" s="799">
        <f>Q121*(1-IFERROR(IF(R$77+$F121&lt;=12,SUMIFS('Attrition Modeling'!$D:$D,'Attrition Modeling'!$C:$C,$D121,'Attrition Modeling'!$B:$B,R$76),VLOOKUP($F121+R$77,$A$7:$C$107,2,FALSE)*VLOOKUP(R$76,'Attrition Modeling'!$L$15:$N$27,IF(R$77+$F121&lt;=24,2,3),FALSE)),$C$3)*(1+IF('IP Attrition'!R178&gt;0,'Attrition Modeling'!$N$9,0)))</f>
        <v>0</v>
      </c>
      <c r="S121" s="799">
        <f>R121*(1-IFERROR(IF(S$77+$F121&lt;=12,SUMIFS('Attrition Modeling'!$D:$D,'Attrition Modeling'!$C:$C,$D121,'Attrition Modeling'!$B:$B,S$76),VLOOKUP($F121+S$77,$A$7:$C$107,2,FALSE)*VLOOKUP(S$76,'Attrition Modeling'!$L$15:$N$27,IF(S$77+$F121&lt;=24,2,3),FALSE)),$C$3)*(1+IF('IP Attrition'!S178&gt;0,'Attrition Modeling'!$N$9,0)))</f>
        <v>0</v>
      </c>
      <c r="T121" s="799">
        <f>S121*(1-IFERROR(IF(T$77+$F121&lt;=12,SUMIFS('Attrition Modeling'!$D:$D,'Attrition Modeling'!$C:$C,$D121,'Attrition Modeling'!$B:$B,T$76),VLOOKUP($F121+T$77,$A$7:$C$107,2,FALSE)*VLOOKUP(T$76,'Attrition Modeling'!$L$15:$N$27,IF(T$77+$F121&lt;=24,2,3),FALSE)),$C$3)*(1+IF('IP Attrition'!T178&gt;0,'Attrition Modeling'!$N$9,0)))</f>
        <v>0</v>
      </c>
      <c r="U121" s="799">
        <f>T121*(1-IFERROR(IF(U$77+$F121&lt;=12,SUMIFS('Attrition Modeling'!$D:$D,'Attrition Modeling'!$C:$C,$D121,'Attrition Modeling'!$B:$B,U$76),VLOOKUP($F121+U$77,$A$7:$C$107,2,FALSE)*VLOOKUP(U$76,'Attrition Modeling'!$L$15:$N$27,IF(U$77+$F121&lt;=24,2,3),FALSE)),$C$3)*(1+IF('IP Attrition'!U178&gt;0,'Attrition Modeling'!$N$9,0)))</f>
        <v>0</v>
      </c>
      <c r="V121" s="799">
        <f>U121*(1-IFERROR(IF(V$77+$F121&lt;=12,SUMIFS('Attrition Modeling'!$D:$D,'Attrition Modeling'!$C:$C,$D121,'Attrition Modeling'!$B:$B,V$76),VLOOKUP($F121+V$77,$A$7:$C$107,2,FALSE)*VLOOKUP(V$76,'Attrition Modeling'!$L$15:$N$27,IF(V$77+$F121&lt;=24,2,3),FALSE)),$C$3)*(1+IF('IP Attrition'!V178&gt;0,'Attrition Modeling'!$N$9,0)))</f>
        <v>0</v>
      </c>
      <c r="W121" s="799">
        <f>V121*(1-IFERROR(IF(W$77+$F121&lt;=12,SUMIFS('Attrition Modeling'!$D:$D,'Attrition Modeling'!$C:$C,$D121,'Attrition Modeling'!$B:$B,W$76),VLOOKUP($F121+W$77,$A$7:$C$107,2,FALSE)*VLOOKUP(W$76,'Attrition Modeling'!$L$15:$N$27,IF(W$77+$F121&lt;=24,2,3),FALSE)),$C$3)*(1+IF('IP Attrition'!W178&gt;0,'Attrition Modeling'!$N$9,0)))</f>
        <v>0</v>
      </c>
      <c r="X121" s="799">
        <f>W121*(1-IFERROR(IF(X$77+$F121&lt;=12,SUMIFS('Attrition Modeling'!$D:$D,'Attrition Modeling'!$C:$C,$D121,'Attrition Modeling'!$B:$B,X$76),VLOOKUP($F121+X$77,$A$7:$C$107,2,FALSE)*VLOOKUP(X$76,'Attrition Modeling'!$L$15:$N$27,IF(X$77+$F121&lt;=24,2,3),FALSE)),$C$3)*(1+IF('IP Attrition'!X178&gt;0,'Attrition Modeling'!$N$9,0)))</f>
        <v>0</v>
      </c>
      <c r="Y121" s="799">
        <f>X121*(1-IFERROR(IF(Y$77+$F121&lt;=12,SUMIFS('Attrition Modeling'!$D:$D,'Attrition Modeling'!$C:$C,$D121,'Attrition Modeling'!$B:$B,Y$76),VLOOKUP($F121+Y$77,$A$7:$C$107,2,FALSE)*VLOOKUP(Y$76,'Attrition Modeling'!$L$15:$N$27,IF(Y$77+$F121&lt;=24,2,3),FALSE)),$C$3)*(1+IF('IP Attrition'!Y178&gt;0,'Attrition Modeling'!$N$9,0)))</f>
        <v>0</v>
      </c>
      <c r="Z121" s="799">
        <f>Y121*(1-IFERROR(IF(Z$77+$F121&lt;=12,SUMIFS('Attrition Modeling'!$D:$D,'Attrition Modeling'!$C:$C,$D121,'Attrition Modeling'!$B:$B,Z$76),VLOOKUP($F121+Z$77,$A$7:$C$107,2,FALSE)*VLOOKUP(Z$76,'Attrition Modeling'!$L$15:$N$27,IF(Z$77+$F121&lt;=24,2,3),FALSE)),$C$3)*(1+IF('IP Attrition'!Z178&gt;0,'Attrition Modeling'!$N$9,0)))</f>
        <v>0</v>
      </c>
      <c r="AA121" s="799">
        <f>Z121*(1-IFERROR(IF(AA$77+$F121&lt;=12,SUMIFS('Attrition Modeling'!$D:$D,'Attrition Modeling'!$C:$C,$D121,'Attrition Modeling'!$B:$B,AA$76),VLOOKUP($F121+AA$77,$A$7:$C$107,2,FALSE)*VLOOKUP(AA$76,'Attrition Modeling'!$L$15:$N$27,IF(AA$77+$F121&lt;=24,2,3),FALSE)),$C$3)*(1+IF('IP Attrition'!AA178&gt;0,'Attrition Modeling'!$N$9,0)))</f>
        <v>0</v>
      </c>
      <c r="AB121" s="799">
        <f>AA121*(1-IFERROR(IF(AB$77+$F121&lt;=12,SUMIFS('Attrition Modeling'!$D:$D,'Attrition Modeling'!$C:$C,$D121,'Attrition Modeling'!$B:$B,AB$76),VLOOKUP($F121+AB$77,$A$7:$C$107,2,FALSE)*VLOOKUP(AB$76,'Attrition Modeling'!$L$15:$N$27,IF(AB$77+$F121&lt;=24,2,3),FALSE)),$C$3)*(1+IF('IP Attrition'!AB178&gt;0,'Attrition Modeling'!$N$9,0)))</f>
        <v>0</v>
      </c>
      <c r="AC121" s="799">
        <f>AB121*(1-IFERROR(IF(AC$77+$F121&lt;=12,SUMIFS('Attrition Modeling'!$D:$D,'Attrition Modeling'!$C:$C,$D121,'Attrition Modeling'!$B:$B,AC$76),VLOOKUP($F121+AC$77,$A$7:$C$107,2,FALSE)*VLOOKUP(AC$76,'Attrition Modeling'!$L$15:$N$27,IF(AC$77+$F121&lt;=24,2,3),FALSE)),$C$3)*(1+IF('IP Attrition'!AC178&gt;0,'Attrition Modeling'!$N$9,0)))</f>
        <v>0</v>
      </c>
      <c r="AD121" s="799">
        <f>AC121*(1-IFERROR(IF(AD$77+$F121&lt;=12,SUMIFS('Attrition Modeling'!$D:$D,'Attrition Modeling'!$C:$C,$D121,'Attrition Modeling'!$B:$B,AD$76),VLOOKUP($F121+AD$77,$A$7:$C$107,2,FALSE)*VLOOKUP(AD$76,'Attrition Modeling'!$L$15:$N$27,IF(AD$77+$F121&lt;=24,2,3),FALSE)),$C$3)*(1+IF('IP Attrition'!AD178&gt;0,'Attrition Modeling'!$N$9,0)))</f>
        <v>0</v>
      </c>
      <c r="AE121" s="799">
        <f>AD121*(1-IFERROR(IF(AE$77+$F121&lt;=12,SUMIFS('Attrition Modeling'!$D:$D,'Attrition Modeling'!$C:$C,$D121,'Attrition Modeling'!$B:$B,AE$76),VLOOKUP($F121+AE$77,$A$7:$C$107,2,FALSE)*VLOOKUP(AE$76,'Attrition Modeling'!$L$15:$N$27,IF(AE$77+$F121&lt;=24,2,3),FALSE)),$C$3)*(1+IF('IP Attrition'!AE178&gt;0,'Attrition Modeling'!$N$9,0)))</f>
        <v>0</v>
      </c>
      <c r="AF121" s="799">
        <f>AE121*(1-IFERROR(IF(AF$77+$F121&lt;=12,SUMIFS('Attrition Modeling'!$D:$D,'Attrition Modeling'!$C:$C,$D121,'Attrition Modeling'!$B:$B,AF$76),VLOOKUP($F121+AF$77,$A$7:$C$107,2,FALSE)*VLOOKUP(AF$76,'Attrition Modeling'!$L$15:$N$27,IF(AF$77+$F121&lt;=24,2,3),FALSE)),$C$3)*(1+IF('IP Attrition'!AF178&gt;0,'Attrition Modeling'!$N$9,0)))</f>
        <v>0</v>
      </c>
      <c r="AG121" s="799">
        <f>AF121*(1-IFERROR(IF(AG$77+$F121&lt;=12,SUMIFS('Attrition Modeling'!$D:$D,'Attrition Modeling'!$C:$C,$D121,'Attrition Modeling'!$B:$B,AG$76),VLOOKUP($F121+AG$77,$A$7:$C$107,2,FALSE)*VLOOKUP(AG$76,'Attrition Modeling'!$L$15:$N$27,IF(AG$77+$F121&lt;=24,2,3),FALSE)),$C$3)*(1+IF('IP Attrition'!AG178&gt;0,'Attrition Modeling'!$N$9,0)))</f>
        <v>0</v>
      </c>
      <c r="AH121" s="799">
        <f>AG121*(1-IFERROR(IF(AH$77+$F121&lt;=12,SUMIFS('Attrition Modeling'!$D:$D,'Attrition Modeling'!$C:$C,$D121,'Attrition Modeling'!$B:$B,AH$76),VLOOKUP($F121+AH$77,$A$7:$C$107,2,FALSE)*VLOOKUP(AH$76,'Attrition Modeling'!$L$15:$N$27,IF(AH$77+$F121&lt;=24,2,3),FALSE)),$C$3)*(1+IF('IP Attrition'!AH178&gt;0,'Attrition Modeling'!$N$9,0)))</f>
        <v>0</v>
      </c>
      <c r="AI121" s="799">
        <f>AH121*(1-IFERROR(IF(AI$77+$F121&lt;=12,SUMIFS('Attrition Modeling'!$D:$D,'Attrition Modeling'!$C:$C,$D121,'Attrition Modeling'!$B:$B,AI$76),VLOOKUP($F121+AI$77,$A$7:$C$107,2,FALSE)*VLOOKUP(AI$76,'Attrition Modeling'!$L$15:$N$27,IF(AI$77+$F121&lt;=24,2,3),FALSE)),$C$3)*(1+IF('IP Attrition'!AI178&gt;0,'Attrition Modeling'!$N$9,0)))</f>
        <v>0</v>
      </c>
      <c r="AJ121" s="799">
        <f>AI121*(1-IFERROR(IF(AJ$77+$F121&lt;=12,SUMIFS('Attrition Modeling'!$D:$D,'Attrition Modeling'!$C:$C,$D121,'Attrition Modeling'!$B:$B,AJ$76),VLOOKUP($F121+AJ$77,$A$7:$C$107,2,FALSE)*VLOOKUP(AJ$76,'Attrition Modeling'!$L$15:$N$27,IF(AJ$77+$F121&lt;=24,2,3),FALSE)),$C$3)*(1+IF('IP Attrition'!AJ178&gt;0,'Attrition Modeling'!$N$9,0)))</f>
        <v>0</v>
      </c>
      <c r="AK121" s="799">
        <f>AJ121*(1-IFERROR(IF(AK$77+$F121&lt;=12,SUMIFS('Attrition Modeling'!$D:$D,'Attrition Modeling'!$C:$C,$D121,'Attrition Modeling'!$B:$B,AK$76),VLOOKUP($F121+AK$77,$A$7:$C$107,2,FALSE)*VLOOKUP(AK$76,'Attrition Modeling'!$L$15:$N$27,IF(AK$77+$F121&lt;=24,2,3),FALSE)),$C$3)*(1+IF('IP Attrition'!AK178&gt;0,'Attrition Modeling'!$N$9,0)))</f>
        <v>0</v>
      </c>
      <c r="AL121" s="799">
        <f>AK121*(1-IFERROR(IF(AL$77+$F121&lt;=12,SUMIFS('Attrition Modeling'!$D:$D,'Attrition Modeling'!$C:$C,$D121,'Attrition Modeling'!$B:$B,AL$76),VLOOKUP($F121+AL$77,$A$7:$C$107,2,FALSE)*VLOOKUP(AL$76,'Attrition Modeling'!$L$15:$N$27,IF(AL$77+$F121&lt;=24,2,3),FALSE)),$C$3)*(1+IF('IP Attrition'!AL178&gt;0,'Attrition Modeling'!$N$9,0)))</f>
        <v>0</v>
      </c>
      <c r="AM121" s="799">
        <f>AL121*(1-IFERROR(IF(AM$77+$F121&lt;=12,SUMIFS('Attrition Modeling'!$D:$D,'Attrition Modeling'!$C:$C,$D121,'Attrition Modeling'!$B:$B,AM$76),VLOOKUP($F121+AM$77,$A$7:$C$107,2,FALSE)*VLOOKUP(AM$76,'Attrition Modeling'!$L$15:$N$27,IF(AM$77+$F121&lt;=24,2,3),FALSE)),$C$3)*(1+IF('IP Attrition'!AM178&gt;0,'Attrition Modeling'!$N$9,0)))</f>
        <v>0</v>
      </c>
      <c r="AN121" s="799">
        <f>AM121*(1-IFERROR(IF(AN$77+$F121&lt;=12,SUMIFS('Attrition Modeling'!$D:$D,'Attrition Modeling'!$C:$C,$D121,'Attrition Modeling'!$B:$B,AN$76),VLOOKUP($F121+AN$77,$A$7:$C$107,2,FALSE)*VLOOKUP(AN$76,'Attrition Modeling'!$L$15:$N$27,IF(AN$77+$F121&lt;=24,2,3),FALSE)),$C$3)*(1+IF('IP Attrition'!AN178&gt;0,'Attrition Modeling'!$N$9,0)))</f>
        <v>0</v>
      </c>
      <c r="AO121" s="799">
        <f>AN121*(1-IFERROR(IF(AO$77+$F121&lt;=12,SUMIFS('Attrition Modeling'!$D:$D,'Attrition Modeling'!$C:$C,$D121,'Attrition Modeling'!$B:$B,AO$76),VLOOKUP($F121+AO$77,$A$7:$C$107,2,FALSE)*VLOOKUP(AO$76,'Attrition Modeling'!$L$15:$N$27,IF(AO$77+$F121&lt;=24,2,3),FALSE)),$C$3)*(1+IF('IP Attrition'!AO178&gt;0,'Attrition Modeling'!$N$9,0)))</f>
        <v>0</v>
      </c>
      <c r="AP121" s="799">
        <f>AO121*(1-IFERROR(IF(AP$77+$F121&lt;=12,SUMIFS('Attrition Modeling'!$D:$D,'Attrition Modeling'!$C:$C,$D121,'Attrition Modeling'!$B:$B,AP$76),VLOOKUP($F121+AP$77,$A$7:$C$107,2,FALSE)*VLOOKUP(AP$76,'Attrition Modeling'!$L$15:$N$27,IF(AP$77+$F121&lt;=24,2,3),FALSE)),$C$3)*(1+IF('IP Attrition'!AP178&gt;0,'Attrition Modeling'!$N$9,0)))</f>
        <v>0</v>
      </c>
      <c r="AQ121" s="799">
        <f>AP121*(1-IFERROR(IF(AQ$77+$F121&lt;=12,SUMIFS('Attrition Modeling'!$D:$D,'Attrition Modeling'!$C:$C,$D121,'Attrition Modeling'!$B:$B,AQ$76),VLOOKUP($F121+AQ$77,$A$7:$C$107,2,FALSE)*VLOOKUP(AQ$76,'Attrition Modeling'!$L$15:$N$27,IF(AQ$77+$F121&lt;=24,2,3),FALSE)),$C$3)*(1+IF('IP Attrition'!AQ178&gt;0,'Attrition Modeling'!$N$9,0)))</f>
        <v>0</v>
      </c>
      <c r="AR121" s="799">
        <f>AQ121*(1-IFERROR(IF(AR$77+$F121&lt;=12,SUMIFS('Attrition Modeling'!$D:$D,'Attrition Modeling'!$C:$C,$D121,'Attrition Modeling'!$B:$B,AR$76),VLOOKUP($F121+AR$77,$A$7:$C$107,2,FALSE)*VLOOKUP(AR$76,'Attrition Modeling'!$L$15:$N$27,IF(AR$77+$F121&lt;=24,2,3),FALSE)),$C$3)*(1+IF('IP Attrition'!AR178&gt;0,'Attrition Modeling'!$N$9,0)))</f>
        <v>0</v>
      </c>
      <c r="AS121" s="799">
        <f>AR121*(1-IFERROR(IF(AS$77+$F121&lt;=12,SUMIFS('Attrition Modeling'!$D:$D,'Attrition Modeling'!$C:$C,$D121,'Attrition Modeling'!$B:$B,AS$76),VLOOKUP($F121+AS$77,$A$7:$C$107,2,FALSE)*VLOOKUP(AS$76,'Attrition Modeling'!$L$15:$N$27,IF(AS$77+$F121&lt;=24,2,3),FALSE)),$C$3)*(1+IF('IP Attrition'!AS178&gt;0,'Attrition Modeling'!$N$9,0)))</f>
        <v>0</v>
      </c>
      <c r="AT121" s="799">
        <f>AS121*(1-IFERROR(IF(AT$77+$F121&lt;=12,SUMIFS('Attrition Modeling'!$D:$D,'Attrition Modeling'!$C:$C,$D121,'Attrition Modeling'!$B:$B,AT$76),VLOOKUP($F121+AT$77,$A$7:$C$107,2,FALSE)*VLOOKUP(AT$76,'Attrition Modeling'!$L$15:$N$27,IF(AT$77+$F121&lt;=24,2,3),FALSE)),$C$3)*(1+IF('IP Attrition'!AT178&gt;0,'Attrition Modeling'!$N$9,0)))</f>
        <v>0</v>
      </c>
      <c r="AU121" s="799">
        <f>AT121*(1-IFERROR(IF(AU$77+$F121&lt;=12,SUMIFS('Attrition Modeling'!$D:$D,'Attrition Modeling'!$C:$C,$D121,'Attrition Modeling'!$B:$B,AU$76),VLOOKUP($F121+AU$77,$A$7:$C$107,2,FALSE)*VLOOKUP(AU$76,'Attrition Modeling'!$L$15:$N$27,IF(AU$77+$F121&lt;=24,2,3),FALSE)),$C$3)*(1+IF('IP Attrition'!AU178&gt;0,'Attrition Modeling'!$N$9,0)))</f>
        <v>0</v>
      </c>
      <c r="AV121" s="799">
        <f>AU121*(1-IFERROR(IF(AV$77+$F121&lt;=12,SUMIFS('Attrition Modeling'!$D:$D,'Attrition Modeling'!$C:$C,$D121,'Attrition Modeling'!$B:$B,AV$76),VLOOKUP($F121+AV$77,$A$7:$C$107,2,FALSE)*VLOOKUP(AV$76,'Attrition Modeling'!$L$15:$N$27,IF(AV$77+$F121&lt;=24,2,3),FALSE)),$C$3)*(1+IF('IP Attrition'!AV178&gt;0,'Attrition Modeling'!$N$9,0)))</f>
        <v>0</v>
      </c>
      <c r="AW121" s="799">
        <f>AV121*(1-IFERROR(IF(AW$77+$F121&lt;=12,SUMIFS('Attrition Modeling'!$D:$D,'Attrition Modeling'!$C:$C,$D121,'Attrition Modeling'!$B:$B,AW$76),VLOOKUP($F121+AW$77,$A$7:$C$107,2,FALSE)*VLOOKUP(AW$76,'Attrition Modeling'!$L$15:$N$27,IF(AW$77+$F121&lt;=24,2,3),FALSE)),$C$3)*(1+IF('IP Attrition'!AW178&gt;0,'Attrition Modeling'!$N$9,0)))</f>
        <v>0</v>
      </c>
      <c r="AX121" s="799">
        <f>AW121*(1-IFERROR(IF(AX$77+$F121&lt;=12,SUMIFS('Attrition Modeling'!$D:$D,'Attrition Modeling'!$C:$C,$D121,'Attrition Modeling'!$B:$B,AX$76),VLOOKUP($F121+AX$77,$A$7:$C$107,2,FALSE)*VLOOKUP(AX$76,'Attrition Modeling'!$L$15:$N$27,IF(AX$77+$F121&lt;=24,2,3),FALSE)),$C$3)*(1+IF('IP Attrition'!AX178&gt;0,'Attrition Modeling'!$N$9,0)))</f>
        <v>0</v>
      </c>
      <c r="AY121" s="799">
        <f>AX121*(1-IFERROR(IF(AY$77+$F121&lt;=12,SUMIFS('Attrition Modeling'!$D:$D,'Attrition Modeling'!$C:$C,$D121,'Attrition Modeling'!$B:$B,AY$76),VLOOKUP($F121+AY$77,$A$7:$C$107,2,FALSE)*VLOOKUP(AY$76,'Attrition Modeling'!$L$15:$N$27,IF(AY$77+$F121&lt;=24,2,3),FALSE)),$C$3)*(1+IF('IP Attrition'!AY178&gt;0,'Attrition Modeling'!$N$9,0)))</f>
        <v>0</v>
      </c>
      <c r="AZ121" s="799">
        <f>AY121*(1-IFERROR(IF(AZ$77+$F121&lt;=12,SUMIFS('Attrition Modeling'!$D:$D,'Attrition Modeling'!$C:$C,$D121,'Attrition Modeling'!$B:$B,AZ$76),VLOOKUP($F121+AZ$77,$A$7:$C$107,2,FALSE)*VLOOKUP(AZ$76,'Attrition Modeling'!$L$15:$N$27,IF(AZ$77+$F121&lt;=24,2,3),FALSE)),$C$3)*(1+IF('IP Attrition'!AZ178&gt;0,'Attrition Modeling'!$N$9,0)))</f>
        <v>0</v>
      </c>
      <c r="BA121" s="799">
        <f>AZ121*(1-IFERROR(IF(BA$77+$F121&lt;=12,SUMIFS('Attrition Modeling'!$D:$D,'Attrition Modeling'!$C:$C,$D121,'Attrition Modeling'!$B:$B,BA$76),VLOOKUP($F121+BA$77,$A$7:$C$107,2,FALSE)*VLOOKUP(BA$76,'Attrition Modeling'!$L$15:$N$27,IF(BA$77+$F121&lt;=24,2,3),FALSE)),$C$3)*(1+IF('IP Attrition'!BA178&gt;0,'Attrition Modeling'!$N$9,0)))</f>
        <v>0</v>
      </c>
      <c r="BB121" s="799">
        <f>BA121*(1-IFERROR(IF(BB$77+$F121&lt;=12,SUMIFS('Attrition Modeling'!$D:$D,'Attrition Modeling'!$C:$C,$D121,'Attrition Modeling'!$B:$B,BB$76),VLOOKUP($F121+BB$77,$A$7:$C$107,2,FALSE)*VLOOKUP(BB$76,'Attrition Modeling'!$L$15:$N$27,IF(BB$77+$F121&lt;=24,2,3),FALSE)),$C$3)*(1+IF('IP Attrition'!BB178&gt;0,'Attrition Modeling'!$N$9,0)))</f>
        <v>0</v>
      </c>
      <c r="BC121" s="799">
        <f>BB121*(1-IFERROR(IF(BC$77+$F121&lt;=12,SUMIFS('Attrition Modeling'!$D:$D,'Attrition Modeling'!$C:$C,$D121,'Attrition Modeling'!$B:$B,BC$76),VLOOKUP($F121+BC$77,$A$7:$C$107,2,FALSE)*VLOOKUP(BC$76,'Attrition Modeling'!$L$15:$N$27,IF(BC$77+$F121&lt;=24,2,3),FALSE)),$C$3)*(1+IF('IP Attrition'!BC178&gt;0,'Attrition Modeling'!$N$9,0)))</f>
        <v>0</v>
      </c>
      <c r="BD121" s="799">
        <f>BC121*(1-IFERROR(IF(BD$77+$F121&lt;=12,SUMIFS('Attrition Modeling'!$D:$D,'Attrition Modeling'!$C:$C,$D121,'Attrition Modeling'!$B:$B,BD$76),VLOOKUP($F121+BD$77,$A$7:$C$107,2,FALSE)*VLOOKUP(BD$76,'Attrition Modeling'!$L$15:$N$27,IF(BD$77+$F121&lt;=24,2,3),FALSE)),$C$3)*(1+IF('IP Attrition'!BD178&gt;0,'Attrition Modeling'!$N$9,0)))</f>
        <v>0</v>
      </c>
      <c r="BE121" s="799">
        <f>BD121*(1-IFERROR(IF(BE$77+$F121&lt;=12,SUMIFS('Attrition Modeling'!$D:$D,'Attrition Modeling'!$C:$C,$D121,'Attrition Modeling'!$B:$B,BE$76),VLOOKUP($F121+BE$77,$A$7:$C$107,2,FALSE)*VLOOKUP(BE$76,'Attrition Modeling'!$L$15:$N$27,IF(BE$77+$F121&lt;=24,2,3),FALSE)),$C$3)*(1+IF('IP Attrition'!BE178&gt;0,'Attrition Modeling'!$N$9,0)))</f>
        <v>0</v>
      </c>
      <c r="BF121" s="799">
        <f>BE121*(1-IFERROR(IF(BF$77+$F121&lt;=12,SUMIFS('Attrition Modeling'!$D:$D,'Attrition Modeling'!$C:$C,$D121,'Attrition Modeling'!$B:$B,BF$76),VLOOKUP($F121+BF$77,$A$7:$C$107,2,FALSE)*VLOOKUP(BF$76,'Attrition Modeling'!$L$15:$N$27,IF(BF$77+$F121&lt;=24,2,3),FALSE)),$C$3)*(1+IF('IP Attrition'!BF178&gt;0,'Attrition Modeling'!$N$9,0)))</f>
        <v>0</v>
      </c>
      <c r="BG121" s="799">
        <f>BF121*(1-IFERROR(IF(BG$77+$F121&lt;=12,SUMIFS('Attrition Modeling'!$D:$D,'Attrition Modeling'!$C:$C,$D121,'Attrition Modeling'!$B:$B,BG$76),VLOOKUP($F121+BG$77,$A$7:$C$107,2,FALSE)*VLOOKUP(BG$76,'Attrition Modeling'!$L$15:$N$27,IF(BG$77+$F121&lt;=24,2,3),FALSE)),$C$3)*(1+IF('IP Attrition'!BG178&gt;0,'Attrition Modeling'!$N$9,0)))</f>
        <v>0</v>
      </c>
      <c r="BH121" s="799">
        <f>BG121*(1-IFERROR(IF(BH$77+$F121&lt;=12,SUMIFS('Attrition Modeling'!$D:$D,'Attrition Modeling'!$C:$C,$D121,'Attrition Modeling'!$B:$B,BH$76),VLOOKUP($F121+BH$77,$A$7:$C$107,2,FALSE)*VLOOKUP(BH$76,'Attrition Modeling'!$L$15:$N$27,IF(BH$77+$F121&lt;=24,2,3),FALSE)),$C$3)*(1+IF('IP Attrition'!BH178&gt;0,'Attrition Modeling'!$N$9,0)))</f>
        <v>0</v>
      </c>
      <c r="BI121" s="799">
        <f>BH121*(1-IFERROR(IF(BI$77+$F121&lt;=12,SUMIFS('Attrition Modeling'!$D:$D,'Attrition Modeling'!$C:$C,$D121,'Attrition Modeling'!$B:$B,BI$76),VLOOKUP($F121+BI$77,$A$7:$C$107,2,FALSE)*VLOOKUP(BI$76,'Attrition Modeling'!$L$15:$N$27,IF(BI$77+$F121&lt;=24,2,3),FALSE)),$C$3)*(1+IF('IP Attrition'!BI178&gt;0,'Attrition Modeling'!$N$9,0)))</f>
        <v>0</v>
      </c>
      <c r="BJ121" s="799">
        <f>BI121*(1-IFERROR(IF(BJ$77+$F121&lt;=12,SUMIFS('Attrition Modeling'!$D:$D,'Attrition Modeling'!$C:$C,$D121,'Attrition Modeling'!$B:$B,BJ$76),VLOOKUP($F121+BJ$77,$A$7:$C$107,2,FALSE)*VLOOKUP(BJ$76,'Attrition Modeling'!$L$15:$N$27,IF(BJ$77+$F121&lt;=24,2,3),FALSE)),$C$3)*(1+IF('IP Attrition'!BJ178&gt;0,'Attrition Modeling'!$N$9,0)))</f>
        <v>0</v>
      </c>
      <c r="BK121" s="799">
        <f>BJ121*(1-IFERROR(IF(BK$77+$F121&lt;=12,SUMIFS('Attrition Modeling'!$D:$D,'Attrition Modeling'!$C:$C,$D121,'Attrition Modeling'!$B:$B,BK$76),VLOOKUP($F121+BK$77,$A$7:$C$107,2,FALSE)*VLOOKUP(BK$76,'Attrition Modeling'!$L$15:$N$27,IF(BK$77+$F121&lt;=24,2,3),FALSE)),$C$3)*(1+IF('IP Attrition'!BK178&gt;0,'Attrition Modeling'!$N$9,0)))</f>
        <v>0</v>
      </c>
      <c r="BL121" s="799">
        <f>BK121*(1-IFERROR(IF(BL$77+$F121&lt;=12,SUMIFS('Attrition Modeling'!$D:$D,'Attrition Modeling'!$C:$C,$D121,'Attrition Modeling'!$B:$B,BL$76),VLOOKUP($F121+BL$77,$A$7:$C$107,2,FALSE)*VLOOKUP(BL$76,'Attrition Modeling'!$L$15:$N$27,IF(BL$77+$F121&lt;=24,2,3),FALSE)),$C$3)*(1+IF('IP Attrition'!BL178&gt;0,'Attrition Modeling'!$N$9,0)))</f>
        <v>0</v>
      </c>
      <c r="BM121" s="799">
        <f>BL121*(1-IFERROR(IF(BM$77+$F121&lt;=12,SUMIFS('Attrition Modeling'!$D:$D,'Attrition Modeling'!$C:$C,$D121,'Attrition Modeling'!$B:$B,BM$76),VLOOKUP($F121+BM$77,$A$7:$C$107,2,FALSE)*VLOOKUP(BM$76,'Attrition Modeling'!$L$15:$N$27,IF(BM$77+$F121&lt;=24,2,3),FALSE)),$C$3)*(1+IF('IP Attrition'!BM178&gt;0,'Attrition Modeling'!$N$9,0)))</f>
        <v>0</v>
      </c>
      <c r="BN121" s="799">
        <f>BM121*(1-IFERROR(IF(BN$77+$F121&lt;=12,SUMIFS('Attrition Modeling'!$D:$D,'Attrition Modeling'!$C:$C,$D121,'Attrition Modeling'!$B:$B,BN$76),VLOOKUP($F121+BN$77,$A$7:$C$107,2,FALSE)*VLOOKUP(BN$76,'Attrition Modeling'!$L$15:$N$27,IF(BN$77+$F121&lt;=24,2,3),FALSE)),$C$3)*(1+IF('IP Attrition'!BN178&gt;0,'Attrition Modeling'!$N$9,0)))</f>
        <v>0</v>
      </c>
      <c r="BO121" s="799">
        <f>BN121*(1-IFERROR(IF(BO$77+$F121&lt;=12,SUMIFS('Attrition Modeling'!$D:$D,'Attrition Modeling'!$C:$C,$D121,'Attrition Modeling'!$B:$B,BO$76),VLOOKUP($F121+BO$77,$A$7:$C$107,2,FALSE)*VLOOKUP(BO$76,'Attrition Modeling'!$L$15:$N$27,IF(BO$77+$F121&lt;=24,2,3),FALSE)),$C$3)*(1+IF('IP Attrition'!BO178&gt;0,'Attrition Modeling'!$N$9,0)))</f>
        <v>0</v>
      </c>
      <c r="BP121" s="799">
        <f>BO121*(1-IFERROR(IF(BP$77+$F121&lt;=12,SUMIFS('Attrition Modeling'!$D:$D,'Attrition Modeling'!$C:$C,$D121,'Attrition Modeling'!$B:$B,BP$76),VLOOKUP($F121+BP$77,$A$7:$C$107,2,FALSE)*VLOOKUP(BP$76,'Attrition Modeling'!$L$15:$N$27,IF(BP$77+$F121&lt;=24,2,3),FALSE)),$C$3)*(1+IF('IP Attrition'!BP178&gt;0,'Attrition Modeling'!$N$9,0)))</f>
        <v>0</v>
      </c>
      <c r="BQ121" s="799">
        <f>BP121*(1-IFERROR(IF(BQ$77+$F121&lt;=12,SUMIFS('Attrition Modeling'!$D:$D,'Attrition Modeling'!$C:$C,$D121,'Attrition Modeling'!$B:$B,BQ$76),VLOOKUP($F121+BQ$77,$A$7:$C$107,2,FALSE)*VLOOKUP(BQ$76,'Attrition Modeling'!$L$15:$N$27,IF(BQ$77+$F121&lt;=24,2,3),FALSE)),$C$3)*(1+IF('IP Attrition'!BQ178&gt;0,'Attrition Modeling'!$N$9,0)))</f>
        <v>0</v>
      </c>
      <c r="BR121" s="799">
        <f>BQ121*(1-IFERROR(IF(BR$77+$F121&lt;=12,SUMIFS('Attrition Modeling'!$D:$D,'Attrition Modeling'!$C:$C,$D121,'Attrition Modeling'!$B:$B,BR$76),VLOOKUP($F121+BR$77,$A$7:$C$107,2,FALSE)*VLOOKUP(BR$76,'Attrition Modeling'!$L$15:$N$27,IF(BR$77+$F121&lt;=24,2,3),FALSE)),$C$3)*(1+IF('IP Attrition'!BR178&gt;0,'Attrition Modeling'!$N$9,0)))</f>
        <v>0</v>
      </c>
      <c r="BS121" s="799">
        <f>BR121*(1-IFERROR(IF(BS$77+$F121&lt;=12,SUMIFS('Attrition Modeling'!$D:$D,'Attrition Modeling'!$C:$C,$D121,'Attrition Modeling'!$B:$B,BS$76),VLOOKUP($F121+BS$77,$A$7:$C$107,2,FALSE)*VLOOKUP(BS$76,'Attrition Modeling'!$L$15:$N$27,IF(BS$77+$F121&lt;=24,2,3),FALSE)),$C$3)*(1+IF('IP Attrition'!BS178&gt;0,'Attrition Modeling'!$N$9,0)))</f>
        <v>0</v>
      </c>
      <c r="BT121" s="799" t="e">
        <f>BS121*(1-IFERROR(IF(BT$77+$F121&lt;=12,SUMIFS('Attrition Modeling'!$D:$D,'Attrition Modeling'!$C:$C,$D121,'Attrition Modeling'!$B:$B,BT$76),VLOOKUP($F121+BT$77,$A$7:$C$107,2,FALSE)*VLOOKUP(BT$76,'Attrition Modeling'!$L$15:$N$27,IF(BT$77+$F121&lt;=24,2,3),FALSE)),$C$3)*(1+IF('IP Attrition'!BT178&gt;0,'Attrition Modeling'!$N$9,0)))</f>
        <v>#REF!</v>
      </c>
      <c r="BU121" s="799" t="e">
        <f>BT121*(1-IFERROR(IF(BU$77+$F121&lt;=12,SUMIFS('Attrition Modeling'!$D:$D,'Attrition Modeling'!$C:$C,$D121,'Attrition Modeling'!$B:$B,BU$76),VLOOKUP($F121+BU$77,$A$7:$C$107,2,FALSE)*VLOOKUP(BU$76,'Attrition Modeling'!$L$15:$N$27,IF(BU$77+$F121&lt;=24,2,3),FALSE)),$C$3)*(1+IF('IP Attrition'!BU178&gt;0,'Attrition Modeling'!$N$9,0)))</f>
        <v>#REF!</v>
      </c>
    </row>
    <row r="122" spans="1:73" ht="14.25" customHeight="1" x14ac:dyDescent="0.2">
      <c r="A122" s="9">
        <v>114</v>
      </c>
      <c r="B122" s="25">
        <f>MAX('Attrition Modeling'!H118,$C$3)*(1-Summary!$C$20)</f>
        <v>0.02</v>
      </c>
      <c r="C122" s="24" t="e">
        <f t="shared" si="2"/>
        <v>#DIV/0!</v>
      </c>
      <c r="D122" s="11">
        <f>'IP Attrition'!D114</f>
        <v>-44</v>
      </c>
      <c r="E122" s="25">
        <f>'IP Attrition'!E114</f>
        <v>0</v>
      </c>
      <c r="F122" s="11">
        <f t="shared" si="8"/>
        <v>44</v>
      </c>
      <c r="G122" s="799">
        <f>Summary!$C$24*$E122</f>
        <v>0</v>
      </c>
      <c r="H122" s="799">
        <f>G122*(1-IFERROR(IF(H$77+$F122&lt;=12,SUMIFS('Attrition Modeling'!$D:$D,'Attrition Modeling'!$C:$C,$D122,'Attrition Modeling'!$B:$B,H$76),VLOOKUP($F122+H$77,$A$7:$C$107,2,FALSE)*VLOOKUP(H$76,'Attrition Modeling'!$L$15:$N$27,IF(H$77+$F122&lt;=24,2,3),FALSE)),$C$3)*(1+IF('IP Attrition'!H179&gt;0,'Attrition Modeling'!$N$9,0)))</f>
        <v>0</v>
      </c>
      <c r="I122" s="799">
        <f>H122*(1-IFERROR(IF(I$77+$F122&lt;=12,SUMIFS('Attrition Modeling'!$D:$D,'Attrition Modeling'!$C:$C,$D122,'Attrition Modeling'!$B:$B,I$76),VLOOKUP($F122+I$77,$A$7:$C$107,2,FALSE)*VLOOKUP(I$76,'Attrition Modeling'!$L$15:$N$27,IF(I$77+$F122&lt;=24,2,3),FALSE)),$C$3)*(1+IF('IP Attrition'!I179&gt;0,'Attrition Modeling'!$N$9,0)))</f>
        <v>0</v>
      </c>
      <c r="J122" s="799">
        <f>I122*(1-IFERROR(IF(J$77+$F122&lt;=12,SUMIFS('Attrition Modeling'!$D:$D,'Attrition Modeling'!$C:$C,$D122,'Attrition Modeling'!$B:$B,J$76),VLOOKUP($F122+J$77,$A$7:$C$107,2,FALSE)*VLOOKUP(J$76,'Attrition Modeling'!$L$15:$N$27,IF(J$77+$F122&lt;=24,2,3),FALSE)),$C$3)*(1+IF('IP Attrition'!J179&gt;0,'Attrition Modeling'!$N$9,0)))</f>
        <v>0</v>
      </c>
      <c r="K122" s="799">
        <f>J122*(1-IFERROR(IF(K$77+$F122&lt;=12,SUMIFS('Attrition Modeling'!$D:$D,'Attrition Modeling'!$C:$C,$D122,'Attrition Modeling'!$B:$B,K$76),VLOOKUP($F122+K$77,$A$7:$C$107,2,FALSE)*VLOOKUP(K$76,'Attrition Modeling'!$L$15:$N$27,IF(K$77+$F122&lt;=24,2,3),FALSE)),$C$3)*(1+IF('IP Attrition'!K179&gt;0,'Attrition Modeling'!$N$9,0)))</f>
        <v>0</v>
      </c>
      <c r="L122" s="799">
        <f>K122*(1-IFERROR(IF(L$77+$F122&lt;=12,SUMIFS('Attrition Modeling'!$D:$D,'Attrition Modeling'!$C:$C,$D122,'Attrition Modeling'!$B:$B,L$76),VLOOKUP($F122+L$77,$A$7:$C$107,2,FALSE)*VLOOKUP(L$76,'Attrition Modeling'!$L$15:$N$27,IF(L$77+$F122&lt;=24,2,3),FALSE)),$C$3)*(1+IF('IP Attrition'!L179&gt;0,'Attrition Modeling'!$N$9,0)))</f>
        <v>0</v>
      </c>
      <c r="M122" s="799">
        <f>L122*(1-IFERROR(IF(M$77+$F122&lt;=12,SUMIFS('Attrition Modeling'!$D:$D,'Attrition Modeling'!$C:$C,$D122,'Attrition Modeling'!$B:$B,M$76),VLOOKUP($F122+M$77,$A$7:$C$107,2,FALSE)*VLOOKUP(M$76,'Attrition Modeling'!$L$15:$N$27,IF(M$77+$F122&lt;=24,2,3),FALSE)),$C$3)*(1+IF('IP Attrition'!M179&gt;0,'Attrition Modeling'!$N$9,0)))</f>
        <v>0</v>
      </c>
      <c r="N122" s="799">
        <f>M122*(1-IFERROR(IF(N$77+$F122&lt;=12,SUMIFS('Attrition Modeling'!$D:$D,'Attrition Modeling'!$C:$C,$D122,'Attrition Modeling'!$B:$B,N$76),VLOOKUP($F122+N$77,$A$7:$C$107,2,FALSE)*VLOOKUP(N$76,'Attrition Modeling'!$L$15:$N$27,IF(N$77+$F122&lt;=24,2,3),FALSE)),$C$3)*(1+IF('IP Attrition'!N179&gt;0,'Attrition Modeling'!$N$9,0)))</f>
        <v>0</v>
      </c>
      <c r="O122" s="799">
        <f>N122*(1-IFERROR(IF(O$77+$F122&lt;=12,SUMIFS('Attrition Modeling'!$D:$D,'Attrition Modeling'!$C:$C,$D122,'Attrition Modeling'!$B:$B,O$76),VLOOKUP($F122+O$77,$A$7:$C$107,2,FALSE)*VLOOKUP(O$76,'Attrition Modeling'!$L$15:$N$27,IF(O$77+$F122&lt;=24,2,3),FALSE)),$C$3)*(1+IF('IP Attrition'!O179&gt;0,'Attrition Modeling'!$N$9,0)))</f>
        <v>0</v>
      </c>
      <c r="P122" s="799">
        <f>O122*(1-IFERROR(IF(P$77+$F122&lt;=12,SUMIFS('Attrition Modeling'!$D:$D,'Attrition Modeling'!$C:$C,$D122,'Attrition Modeling'!$B:$B,P$76),VLOOKUP($F122+P$77,$A$7:$C$107,2,FALSE)*VLOOKUP(P$76,'Attrition Modeling'!$L$15:$N$27,IF(P$77+$F122&lt;=24,2,3),FALSE)),$C$3)*(1+IF('IP Attrition'!P179&gt;0,'Attrition Modeling'!$N$9,0)))</f>
        <v>0</v>
      </c>
      <c r="Q122" s="799">
        <f>P122*(1-IFERROR(IF(Q$77+$F122&lt;=12,SUMIFS('Attrition Modeling'!$D:$D,'Attrition Modeling'!$C:$C,$D122,'Attrition Modeling'!$B:$B,Q$76),VLOOKUP($F122+Q$77,$A$7:$C$107,2,FALSE)*VLOOKUP(Q$76,'Attrition Modeling'!$L$15:$N$27,IF(Q$77+$F122&lt;=24,2,3),FALSE)),$C$3)*(1+IF('IP Attrition'!Q179&gt;0,'Attrition Modeling'!$N$9,0)))</f>
        <v>0</v>
      </c>
      <c r="R122" s="799">
        <f>Q122*(1-IFERROR(IF(R$77+$F122&lt;=12,SUMIFS('Attrition Modeling'!$D:$D,'Attrition Modeling'!$C:$C,$D122,'Attrition Modeling'!$B:$B,R$76),VLOOKUP($F122+R$77,$A$7:$C$107,2,FALSE)*VLOOKUP(R$76,'Attrition Modeling'!$L$15:$N$27,IF(R$77+$F122&lt;=24,2,3),FALSE)),$C$3)*(1+IF('IP Attrition'!R179&gt;0,'Attrition Modeling'!$N$9,0)))</f>
        <v>0</v>
      </c>
      <c r="S122" s="799">
        <f>R122*(1-IFERROR(IF(S$77+$F122&lt;=12,SUMIFS('Attrition Modeling'!$D:$D,'Attrition Modeling'!$C:$C,$D122,'Attrition Modeling'!$B:$B,S$76),VLOOKUP($F122+S$77,$A$7:$C$107,2,FALSE)*VLOOKUP(S$76,'Attrition Modeling'!$L$15:$N$27,IF(S$77+$F122&lt;=24,2,3),FALSE)),$C$3)*(1+IF('IP Attrition'!S179&gt;0,'Attrition Modeling'!$N$9,0)))</f>
        <v>0</v>
      </c>
      <c r="T122" s="799">
        <f>S122*(1-IFERROR(IF(T$77+$F122&lt;=12,SUMIFS('Attrition Modeling'!$D:$D,'Attrition Modeling'!$C:$C,$D122,'Attrition Modeling'!$B:$B,T$76),VLOOKUP($F122+T$77,$A$7:$C$107,2,FALSE)*VLOOKUP(T$76,'Attrition Modeling'!$L$15:$N$27,IF(T$77+$F122&lt;=24,2,3),FALSE)),$C$3)*(1+IF('IP Attrition'!T179&gt;0,'Attrition Modeling'!$N$9,0)))</f>
        <v>0</v>
      </c>
      <c r="U122" s="799">
        <f>T122*(1-IFERROR(IF(U$77+$F122&lt;=12,SUMIFS('Attrition Modeling'!$D:$D,'Attrition Modeling'!$C:$C,$D122,'Attrition Modeling'!$B:$B,U$76),VLOOKUP($F122+U$77,$A$7:$C$107,2,FALSE)*VLOOKUP(U$76,'Attrition Modeling'!$L$15:$N$27,IF(U$77+$F122&lt;=24,2,3),FALSE)),$C$3)*(1+IF('IP Attrition'!U179&gt;0,'Attrition Modeling'!$N$9,0)))</f>
        <v>0</v>
      </c>
      <c r="V122" s="799">
        <f>U122*(1-IFERROR(IF(V$77+$F122&lt;=12,SUMIFS('Attrition Modeling'!$D:$D,'Attrition Modeling'!$C:$C,$D122,'Attrition Modeling'!$B:$B,V$76),VLOOKUP($F122+V$77,$A$7:$C$107,2,FALSE)*VLOOKUP(V$76,'Attrition Modeling'!$L$15:$N$27,IF(V$77+$F122&lt;=24,2,3),FALSE)),$C$3)*(1+IF('IP Attrition'!V179&gt;0,'Attrition Modeling'!$N$9,0)))</f>
        <v>0</v>
      </c>
      <c r="W122" s="799">
        <f>V122*(1-IFERROR(IF(W$77+$F122&lt;=12,SUMIFS('Attrition Modeling'!$D:$D,'Attrition Modeling'!$C:$C,$D122,'Attrition Modeling'!$B:$B,W$76),VLOOKUP($F122+W$77,$A$7:$C$107,2,FALSE)*VLOOKUP(W$76,'Attrition Modeling'!$L$15:$N$27,IF(W$77+$F122&lt;=24,2,3),FALSE)),$C$3)*(1+IF('IP Attrition'!W179&gt;0,'Attrition Modeling'!$N$9,0)))</f>
        <v>0</v>
      </c>
      <c r="X122" s="799">
        <f>W122*(1-IFERROR(IF(X$77+$F122&lt;=12,SUMIFS('Attrition Modeling'!$D:$D,'Attrition Modeling'!$C:$C,$D122,'Attrition Modeling'!$B:$B,X$76),VLOOKUP($F122+X$77,$A$7:$C$107,2,FALSE)*VLOOKUP(X$76,'Attrition Modeling'!$L$15:$N$27,IF(X$77+$F122&lt;=24,2,3),FALSE)),$C$3)*(1+IF('IP Attrition'!X179&gt;0,'Attrition Modeling'!$N$9,0)))</f>
        <v>0</v>
      </c>
      <c r="Y122" s="799">
        <f>X122*(1-IFERROR(IF(Y$77+$F122&lt;=12,SUMIFS('Attrition Modeling'!$D:$D,'Attrition Modeling'!$C:$C,$D122,'Attrition Modeling'!$B:$B,Y$76),VLOOKUP($F122+Y$77,$A$7:$C$107,2,FALSE)*VLOOKUP(Y$76,'Attrition Modeling'!$L$15:$N$27,IF(Y$77+$F122&lt;=24,2,3),FALSE)),$C$3)*(1+IF('IP Attrition'!Y179&gt;0,'Attrition Modeling'!$N$9,0)))</f>
        <v>0</v>
      </c>
      <c r="Z122" s="799">
        <f>Y122*(1-IFERROR(IF(Z$77+$F122&lt;=12,SUMIFS('Attrition Modeling'!$D:$D,'Attrition Modeling'!$C:$C,$D122,'Attrition Modeling'!$B:$B,Z$76),VLOOKUP($F122+Z$77,$A$7:$C$107,2,FALSE)*VLOOKUP(Z$76,'Attrition Modeling'!$L$15:$N$27,IF(Z$77+$F122&lt;=24,2,3),FALSE)),$C$3)*(1+IF('IP Attrition'!Z179&gt;0,'Attrition Modeling'!$N$9,0)))</f>
        <v>0</v>
      </c>
      <c r="AA122" s="799">
        <f>Z122*(1-IFERROR(IF(AA$77+$F122&lt;=12,SUMIFS('Attrition Modeling'!$D:$D,'Attrition Modeling'!$C:$C,$D122,'Attrition Modeling'!$B:$B,AA$76),VLOOKUP($F122+AA$77,$A$7:$C$107,2,FALSE)*VLOOKUP(AA$76,'Attrition Modeling'!$L$15:$N$27,IF(AA$77+$F122&lt;=24,2,3),FALSE)),$C$3)*(1+IF('IP Attrition'!AA179&gt;0,'Attrition Modeling'!$N$9,0)))</f>
        <v>0</v>
      </c>
      <c r="AB122" s="799">
        <f>AA122*(1-IFERROR(IF(AB$77+$F122&lt;=12,SUMIFS('Attrition Modeling'!$D:$D,'Attrition Modeling'!$C:$C,$D122,'Attrition Modeling'!$B:$B,AB$76),VLOOKUP($F122+AB$77,$A$7:$C$107,2,FALSE)*VLOOKUP(AB$76,'Attrition Modeling'!$L$15:$N$27,IF(AB$77+$F122&lt;=24,2,3),FALSE)),$C$3)*(1+IF('IP Attrition'!AB179&gt;0,'Attrition Modeling'!$N$9,0)))</f>
        <v>0</v>
      </c>
      <c r="AC122" s="799">
        <f>AB122*(1-IFERROR(IF(AC$77+$F122&lt;=12,SUMIFS('Attrition Modeling'!$D:$D,'Attrition Modeling'!$C:$C,$D122,'Attrition Modeling'!$B:$B,AC$76),VLOOKUP($F122+AC$77,$A$7:$C$107,2,FALSE)*VLOOKUP(AC$76,'Attrition Modeling'!$L$15:$N$27,IF(AC$77+$F122&lt;=24,2,3),FALSE)),$C$3)*(1+IF('IP Attrition'!AC179&gt;0,'Attrition Modeling'!$N$9,0)))</f>
        <v>0</v>
      </c>
      <c r="AD122" s="799">
        <f>AC122*(1-IFERROR(IF(AD$77+$F122&lt;=12,SUMIFS('Attrition Modeling'!$D:$D,'Attrition Modeling'!$C:$C,$D122,'Attrition Modeling'!$B:$B,AD$76),VLOOKUP($F122+AD$77,$A$7:$C$107,2,FALSE)*VLOOKUP(AD$76,'Attrition Modeling'!$L$15:$N$27,IF(AD$77+$F122&lt;=24,2,3),FALSE)),$C$3)*(1+IF('IP Attrition'!AD179&gt;0,'Attrition Modeling'!$N$9,0)))</f>
        <v>0</v>
      </c>
      <c r="AE122" s="799">
        <f>AD122*(1-IFERROR(IF(AE$77+$F122&lt;=12,SUMIFS('Attrition Modeling'!$D:$D,'Attrition Modeling'!$C:$C,$D122,'Attrition Modeling'!$B:$B,AE$76),VLOOKUP($F122+AE$77,$A$7:$C$107,2,FALSE)*VLOOKUP(AE$76,'Attrition Modeling'!$L$15:$N$27,IF(AE$77+$F122&lt;=24,2,3),FALSE)),$C$3)*(1+IF('IP Attrition'!AE179&gt;0,'Attrition Modeling'!$N$9,0)))</f>
        <v>0</v>
      </c>
      <c r="AF122" s="799">
        <f>AE122*(1-IFERROR(IF(AF$77+$F122&lt;=12,SUMIFS('Attrition Modeling'!$D:$D,'Attrition Modeling'!$C:$C,$D122,'Attrition Modeling'!$B:$B,AF$76),VLOOKUP($F122+AF$77,$A$7:$C$107,2,FALSE)*VLOOKUP(AF$76,'Attrition Modeling'!$L$15:$N$27,IF(AF$77+$F122&lt;=24,2,3),FALSE)),$C$3)*(1+IF('IP Attrition'!AF179&gt;0,'Attrition Modeling'!$N$9,0)))</f>
        <v>0</v>
      </c>
      <c r="AG122" s="799">
        <f>AF122*(1-IFERROR(IF(AG$77+$F122&lt;=12,SUMIFS('Attrition Modeling'!$D:$D,'Attrition Modeling'!$C:$C,$D122,'Attrition Modeling'!$B:$B,AG$76),VLOOKUP($F122+AG$77,$A$7:$C$107,2,FALSE)*VLOOKUP(AG$76,'Attrition Modeling'!$L$15:$N$27,IF(AG$77+$F122&lt;=24,2,3),FALSE)),$C$3)*(1+IF('IP Attrition'!AG179&gt;0,'Attrition Modeling'!$N$9,0)))</f>
        <v>0</v>
      </c>
      <c r="AH122" s="799">
        <f>AG122*(1-IFERROR(IF(AH$77+$F122&lt;=12,SUMIFS('Attrition Modeling'!$D:$D,'Attrition Modeling'!$C:$C,$D122,'Attrition Modeling'!$B:$B,AH$76),VLOOKUP($F122+AH$77,$A$7:$C$107,2,FALSE)*VLOOKUP(AH$76,'Attrition Modeling'!$L$15:$N$27,IF(AH$77+$F122&lt;=24,2,3),FALSE)),$C$3)*(1+IF('IP Attrition'!AH179&gt;0,'Attrition Modeling'!$N$9,0)))</f>
        <v>0</v>
      </c>
      <c r="AI122" s="799">
        <f>AH122*(1-IFERROR(IF(AI$77+$F122&lt;=12,SUMIFS('Attrition Modeling'!$D:$D,'Attrition Modeling'!$C:$C,$D122,'Attrition Modeling'!$B:$B,AI$76),VLOOKUP($F122+AI$77,$A$7:$C$107,2,FALSE)*VLOOKUP(AI$76,'Attrition Modeling'!$L$15:$N$27,IF(AI$77+$F122&lt;=24,2,3),FALSE)),$C$3)*(1+IF('IP Attrition'!AI179&gt;0,'Attrition Modeling'!$N$9,0)))</f>
        <v>0</v>
      </c>
      <c r="AJ122" s="799">
        <f>AI122*(1-IFERROR(IF(AJ$77+$F122&lt;=12,SUMIFS('Attrition Modeling'!$D:$D,'Attrition Modeling'!$C:$C,$D122,'Attrition Modeling'!$B:$B,AJ$76),VLOOKUP($F122+AJ$77,$A$7:$C$107,2,FALSE)*VLOOKUP(AJ$76,'Attrition Modeling'!$L$15:$N$27,IF(AJ$77+$F122&lt;=24,2,3),FALSE)),$C$3)*(1+IF('IP Attrition'!AJ179&gt;0,'Attrition Modeling'!$N$9,0)))</f>
        <v>0</v>
      </c>
      <c r="AK122" s="799">
        <f>AJ122*(1-IFERROR(IF(AK$77+$F122&lt;=12,SUMIFS('Attrition Modeling'!$D:$D,'Attrition Modeling'!$C:$C,$D122,'Attrition Modeling'!$B:$B,AK$76),VLOOKUP($F122+AK$77,$A$7:$C$107,2,FALSE)*VLOOKUP(AK$76,'Attrition Modeling'!$L$15:$N$27,IF(AK$77+$F122&lt;=24,2,3),FALSE)),$C$3)*(1+IF('IP Attrition'!AK179&gt;0,'Attrition Modeling'!$N$9,0)))</f>
        <v>0</v>
      </c>
      <c r="AL122" s="799">
        <f>AK122*(1-IFERROR(IF(AL$77+$F122&lt;=12,SUMIFS('Attrition Modeling'!$D:$D,'Attrition Modeling'!$C:$C,$D122,'Attrition Modeling'!$B:$B,AL$76),VLOOKUP($F122+AL$77,$A$7:$C$107,2,FALSE)*VLOOKUP(AL$76,'Attrition Modeling'!$L$15:$N$27,IF(AL$77+$F122&lt;=24,2,3),FALSE)),$C$3)*(1+IF('IP Attrition'!AL179&gt;0,'Attrition Modeling'!$N$9,0)))</f>
        <v>0</v>
      </c>
      <c r="AM122" s="799">
        <f>AL122*(1-IFERROR(IF(AM$77+$F122&lt;=12,SUMIFS('Attrition Modeling'!$D:$D,'Attrition Modeling'!$C:$C,$D122,'Attrition Modeling'!$B:$B,AM$76),VLOOKUP($F122+AM$77,$A$7:$C$107,2,FALSE)*VLOOKUP(AM$76,'Attrition Modeling'!$L$15:$N$27,IF(AM$77+$F122&lt;=24,2,3),FALSE)),$C$3)*(1+IF('IP Attrition'!AM179&gt;0,'Attrition Modeling'!$N$9,0)))</f>
        <v>0</v>
      </c>
      <c r="AN122" s="799">
        <f>AM122*(1-IFERROR(IF(AN$77+$F122&lt;=12,SUMIFS('Attrition Modeling'!$D:$D,'Attrition Modeling'!$C:$C,$D122,'Attrition Modeling'!$B:$B,AN$76),VLOOKUP($F122+AN$77,$A$7:$C$107,2,FALSE)*VLOOKUP(AN$76,'Attrition Modeling'!$L$15:$N$27,IF(AN$77+$F122&lt;=24,2,3),FALSE)),$C$3)*(1+IF('IP Attrition'!AN179&gt;0,'Attrition Modeling'!$N$9,0)))</f>
        <v>0</v>
      </c>
      <c r="AO122" s="799">
        <f>AN122*(1-IFERROR(IF(AO$77+$F122&lt;=12,SUMIFS('Attrition Modeling'!$D:$D,'Attrition Modeling'!$C:$C,$D122,'Attrition Modeling'!$B:$B,AO$76),VLOOKUP($F122+AO$77,$A$7:$C$107,2,FALSE)*VLOOKUP(AO$76,'Attrition Modeling'!$L$15:$N$27,IF(AO$77+$F122&lt;=24,2,3),FALSE)),$C$3)*(1+IF('IP Attrition'!AO179&gt;0,'Attrition Modeling'!$N$9,0)))</f>
        <v>0</v>
      </c>
      <c r="AP122" s="799">
        <f>AO122*(1-IFERROR(IF(AP$77+$F122&lt;=12,SUMIFS('Attrition Modeling'!$D:$D,'Attrition Modeling'!$C:$C,$D122,'Attrition Modeling'!$B:$B,AP$76),VLOOKUP($F122+AP$77,$A$7:$C$107,2,FALSE)*VLOOKUP(AP$76,'Attrition Modeling'!$L$15:$N$27,IF(AP$77+$F122&lt;=24,2,3),FALSE)),$C$3)*(1+IF('IP Attrition'!AP179&gt;0,'Attrition Modeling'!$N$9,0)))</f>
        <v>0</v>
      </c>
      <c r="AQ122" s="799">
        <f>AP122*(1-IFERROR(IF(AQ$77+$F122&lt;=12,SUMIFS('Attrition Modeling'!$D:$D,'Attrition Modeling'!$C:$C,$D122,'Attrition Modeling'!$B:$B,AQ$76),VLOOKUP($F122+AQ$77,$A$7:$C$107,2,FALSE)*VLOOKUP(AQ$76,'Attrition Modeling'!$L$15:$N$27,IF(AQ$77+$F122&lt;=24,2,3),FALSE)),$C$3)*(1+IF('IP Attrition'!AQ179&gt;0,'Attrition Modeling'!$N$9,0)))</f>
        <v>0</v>
      </c>
      <c r="AR122" s="799">
        <f>AQ122*(1-IFERROR(IF(AR$77+$F122&lt;=12,SUMIFS('Attrition Modeling'!$D:$D,'Attrition Modeling'!$C:$C,$D122,'Attrition Modeling'!$B:$B,AR$76),VLOOKUP($F122+AR$77,$A$7:$C$107,2,FALSE)*VLOOKUP(AR$76,'Attrition Modeling'!$L$15:$N$27,IF(AR$77+$F122&lt;=24,2,3),FALSE)),$C$3)*(1+IF('IP Attrition'!AR179&gt;0,'Attrition Modeling'!$N$9,0)))</f>
        <v>0</v>
      </c>
      <c r="AS122" s="799">
        <f>AR122*(1-IFERROR(IF(AS$77+$F122&lt;=12,SUMIFS('Attrition Modeling'!$D:$D,'Attrition Modeling'!$C:$C,$D122,'Attrition Modeling'!$B:$B,AS$76),VLOOKUP($F122+AS$77,$A$7:$C$107,2,FALSE)*VLOOKUP(AS$76,'Attrition Modeling'!$L$15:$N$27,IF(AS$77+$F122&lt;=24,2,3),FALSE)),$C$3)*(1+IF('IP Attrition'!AS179&gt;0,'Attrition Modeling'!$N$9,0)))</f>
        <v>0</v>
      </c>
      <c r="AT122" s="799">
        <f>AS122*(1-IFERROR(IF(AT$77+$F122&lt;=12,SUMIFS('Attrition Modeling'!$D:$D,'Attrition Modeling'!$C:$C,$D122,'Attrition Modeling'!$B:$B,AT$76),VLOOKUP($F122+AT$77,$A$7:$C$107,2,FALSE)*VLOOKUP(AT$76,'Attrition Modeling'!$L$15:$N$27,IF(AT$77+$F122&lt;=24,2,3),FALSE)),$C$3)*(1+IF('IP Attrition'!AT179&gt;0,'Attrition Modeling'!$N$9,0)))</f>
        <v>0</v>
      </c>
      <c r="AU122" s="799">
        <f>AT122*(1-IFERROR(IF(AU$77+$F122&lt;=12,SUMIFS('Attrition Modeling'!$D:$D,'Attrition Modeling'!$C:$C,$D122,'Attrition Modeling'!$B:$B,AU$76),VLOOKUP($F122+AU$77,$A$7:$C$107,2,FALSE)*VLOOKUP(AU$76,'Attrition Modeling'!$L$15:$N$27,IF(AU$77+$F122&lt;=24,2,3),FALSE)),$C$3)*(1+IF('IP Attrition'!AU179&gt;0,'Attrition Modeling'!$N$9,0)))</f>
        <v>0</v>
      </c>
      <c r="AV122" s="799">
        <f>AU122*(1-IFERROR(IF(AV$77+$F122&lt;=12,SUMIFS('Attrition Modeling'!$D:$D,'Attrition Modeling'!$C:$C,$D122,'Attrition Modeling'!$B:$B,AV$76),VLOOKUP($F122+AV$77,$A$7:$C$107,2,FALSE)*VLOOKUP(AV$76,'Attrition Modeling'!$L$15:$N$27,IF(AV$77+$F122&lt;=24,2,3),FALSE)),$C$3)*(1+IF('IP Attrition'!AV179&gt;0,'Attrition Modeling'!$N$9,0)))</f>
        <v>0</v>
      </c>
      <c r="AW122" s="799">
        <f>AV122*(1-IFERROR(IF(AW$77+$F122&lt;=12,SUMIFS('Attrition Modeling'!$D:$D,'Attrition Modeling'!$C:$C,$D122,'Attrition Modeling'!$B:$B,AW$76),VLOOKUP($F122+AW$77,$A$7:$C$107,2,FALSE)*VLOOKUP(AW$76,'Attrition Modeling'!$L$15:$N$27,IF(AW$77+$F122&lt;=24,2,3),FALSE)),$C$3)*(1+IF('IP Attrition'!AW179&gt;0,'Attrition Modeling'!$N$9,0)))</f>
        <v>0</v>
      </c>
      <c r="AX122" s="799">
        <f>AW122*(1-IFERROR(IF(AX$77+$F122&lt;=12,SUMIFS('Attrition Modeling'!$D:$D,'Attrition Modeling'!$C:$C,$D122,'Attrition Modeling'!$B:$B,AX$76),VLOOKUP($F122+AX$77,$A$7:$C$107,2,FALSE)*VLOOKUP(AX$76,'Attrition Modeling'!$L$15:$N$27,IF(AX$77+$F122&lt;=24,2,3),FALSE)),$C$3)*(1+IF('IP Attrition'!AX179&gt;0,'Attrition Modeling'!$N$9,0)))</f>
        <v>0</v>
      </c>
      <c r="AY122" s="799">
        <f>AX122*(1-IFERROR(IF(AY$77+$F122&lt;=12,SUMIFS('Attrition Modeling'!$D:$D,'Attrition Modeling'!$C:$C,$D122,'Attrition Modeling'!$B:$B,AY$76),VLOOKUP($F122+AY$77,$A$7:$C$107,2,FALSE)*VLOOKUP(AY$76,'Attrition Modeling'!$L$15:$N$27,IF(AY$77+$F122&lt;=24,2,3),FALSE)),$C$3)*(1+IF('IP Attrition'!AY179&gt;0,'Attrition Modeling'!$N$9,0)))</f>
        <v>0</v>
      </c>
      <c r="AZ122" s="799">
        <f>AY122*(1-IFERROR(IF(AZ$77+$F122&lt;=12,SUMIFS('Attrition Modeling'!$D:$D,'Attrition Modeling'!$C:$C,$D122,'Attrition Modeling'!$B:$B,AZ$76),VLOOKUP($F122+AZ$77,$A$7:$C$107,2,FALSE)*VLOOKUP(AZ$76,'Attrition Modeling'!$L$15:$N$27,IF(AZ$77+$F122&lt;=24,2,3),FALSE)),$C$3)*(1+IF('IP Attrition'!AZ179&gt;0,'Attrition Modeling'!$N$9,0)))</f>
        <v>0</v>
      </c>
      <c r="BA122" s="799">
        <f>AZ122*(1-IFERROR(IF(BA$77+$F122&lt;=12,SUMIFS('Attrition Modeling'!$D:$D,'Attrition Modeling'!$C:$C,$D122,'Attrition Modeling'!$B:$B,BA$76),VLOOKUP($F122+BA$77,$A$7:$C$107,2,FALSE)*VLOOKUP(BA$76,'Attrition Modeling'!$L$15:$N$27,IF(BA$77+$F122&lt;=24,2,3),FALSE)),$C$3)*(1+IF('IP Attrition'!BA179&gt;0,'Attrition Modeling'!$N$9,0)))</f>
        <v>0</v>
      </c>
      <c r="BB122" s="799">
        <f>BA122*(1-IFERROR(IF(BB$77+$F122&lt;=12,SUMIFS('Attrition Modeling'!$D:$D,'Attrition Modeling'!$C:$C,$D122,'Attrition Modeling'!$B:$B,BB$76),VLOOKUP($F122+BB$77,$A$7:$C$107,2,FALSE)*VLOOKUP(BB$76,'Attrition Modeling'!$L$15:$N$27,IF(BB$77+$F122&lt;=24,2,3),FALSE)),$C$3)*(1+IF('IP Attrition'!BB179&gt;0,'Attrition Modeling'!$N$9,0)))</f>
        <v>0</v>
      </c>
      <c r="BC122" s="799">
        <f>BB122*(1-IFERROR(IF(BC$77+$F122&lt;=12,SUMIFS('Attrition Modeling'!$D:$D,'Attrition Modeling'!$C:$C,$D122,'Attrition Modeling'!$B:$B,BC$76),VLOOKUP($F122+BC$77,$A$7:$C$107,2,FALSE)*VLOOKUP(BC$76,'Attrition Modeling'!$L$15:$N$27,IF(BC$77+$F122&lt;=24,2,3),FALSE)),$C$3)*(1+IF('IP Attrition'!BC179&gt;0,'Attrition Modeling'!$N$9,0)))</f>
        <v>0</v>
      </c>
      <c r="BD122" s="799">
        <f>BC122*(1-IFERROR(IF(BD$77+$F122&lt;=12,SUMIFS('Attrition Modeling'!$D:$D,'Attrition Modeling'!$C:$C,$D122,'Attrition Modeling'!$B:$B,BD$76),VLOOKUP($F122+BD$77,$A$7:$C$107,2,FALSE)*VLOOKUP(BD$76,'Attrition Modeling'!$L$15:$N$27,IF(BD$77+$F122&lt;=24,2,3),FALSE)),$C$3)*(1+IF('IP Attrition'!BD179&gt;0,'Attrition Modeling'!$N$9,0)))</f>
        <v>0</v>
      </c>
      <c r="BE122" s="799">
        <f>BD122*(1-IFERROR(IF(BE$77+$F122&lt;=12,SUMIFS('Attrition Modeling'!$D:$D,'Attrition Modeling'!$C:$C,$D122,'Attrition Modeling'!$B:$B,BE$76),VLOOKUP($F122+BE$77,$A$7:$C$107,2,FALSE)*VLOOKUP(BE$76,'Attrition Modeling'!$L$15:$N$27,IF(BE$77+$F122&lt;=24,2,3),FALSE)),$C$3)*(1+IF('IP Attrition'!BE179&gt;0,'Attrition Modeling'!$N$9,0)))</f>
        <v>0</v>
      </c>
      <c r="BF122" s="799">
        <f>BE122*(1-IFERROR(IF(BF$77+$F122&lt;=12,SUMIFS('Attrition Modeling'!$D:$D,'Attrition Modeling'!$C:$C,$D122,'Attrition Modeling'!$B:$B,BF$76),VLOOKUP($F122+BF$77,$A$7:$C$107,2,FALSE)*VLOOKUP(BF$76,'Attrition Modeling'!$L$15:$N$27,IF(BF$77+$F122&lt;=24,2,3),FALSE)),$C$3)*(1+IF('IP Attrition'!BF179&gt;0,'Attrition Modeling'!$N$9,0)))</f>
        <v>0</v>
      </c>
      <c r="BG122" s="799">
        <f>BF122*(1-IFERROR(IF(BG$77+$F122&lt;=12,SUMIFS('Attrition Modeling'!$D:$D,'Attrition Modeling'!$C:$C,$D122,'Attrition Modeling'!$B:$B,BG$76),VLOOKUP($F122+BG$77,$A$7:$C$107,2,FALSE)*VLOOKUP(BG$76,'Attrition Modeling'!$L$15:$N$27,IF(BG$77+$F122&lt;=24,2,3),FALSE)),$C$3)*(1+IF('IP Attrition'!BG179&gt;0,'Attrition Modeling'!$N$9,0)))</f>
        <v>0</v>
      </c>
      <c r="BH122" s="799">
        <f>BG122*(1-IFERROR(IF(BH$77+$F122&lt;=12,SUMIFS('Attrition Modeling'!$D:$D,'Attrition Modeling'!$C:$C,$D122,'Attrition Modeling'!$B:$B,BH$76),VLOOKUP($F122+BH$77,$A$7:$C$107,2,FALSE)*VLOOKUP(BH$76,'Attrition Modeling'!$L$15:$N$27,IF(BH$77+$F122&lt;=24,2,3),FALSE)),$C$3)*(1+IF('IP Attrition'!BH179&gt;0,'Attrition Modeling'!$N$9,0)))</f>
        <v>0</v>
      </c>
      <c r="BI122" s="799">
        <f>BH122*(1-IFERROR(IF(BI$77+$F122&lt;=12,SUMIFS('Attrition Modeling'!$D:$D,'Attrition Modeling'!$C:$C,$D122,'Attrition Modeling'!$B:$B,BI$76),VLOOKUP($F122+BI$77,$A$7:$C$107,2,FALSE)*VLOOKUP(BI$76,'Attrition Modeling'!$L$15:$N$27,IF(BI$77+$F122&lt;=24,2,3),FALSE)),$C$3)*(1+IF('IP Attrition'!BI179&gt;0,'Attrition Modeling'!$N$9,0)))</f>
        <v>0</v>
      </c>
      <c r="BJ122" s="799">
        <f>BI122*(1-IFERROR(IF(BJ$77+$F122&lt;=12,SUMIFS('Attrition Modeling'!$D:$D,'Attrition Modeling'!$C:$C,$D122,'Attrition Modeling'!$B:$B,BJ$76),VLOOKUP($F122+BJ$77,$A$7:$C$107,2,FALSE)*VLOOKUP(BJ$76,'Attrition Modeling'!$L$15:$N$27,IF(BJ$77+$F122&lt;=24,2,3),FALSE)),$C$3)*(1+IF('IP Attrition'!BJ179&gt;0,'Attrition Modeling'!$N$9,0)))</f>
        <v>0</v>
      </c>
      <c r="BK122" s="799">
        <f>BJ122*(1-IFERROR(IF(BK$77+$F122&lt;=12,SUMIFS('Attrition Modeling'!$D:$D,'Attrition Modeling'!$C:$C,$D122,'Attrition Modeling'!$B:$B,BK$76),VLOOKUP($F122+BK$77,$A$7:$C$107,2,FALSE)*VLOOKUP(BK$76,'Attrition Modeling'!$L$15:$N$27,IF(BK$77+$F122&lt;=24,2,3),FALSE)),$C$3)*(1+IF('IP Attrition'!BK179&gt;0,'Attrition Modeling'!$N$9,0)))</f>
        <v>0</v>
      </c>
      <c r="BL122" s="799">
        <f>BK122*(1-IFERROR(IF(BL$77+$F122&lt;=12,SUMIFS('Attrition Modeling'!$D:$D,'Attrition Modeling'!$C:$C,$D122,'Attrition Modeling'!$B:$B,BL$76),VLOOKUP($F122+BL$77,$A$7:$C$107,2,FALSE)*VLOOKUP(BL$76,'Attrition Modeling'!$L$15:$N$27,IF(BL$77+$F122&lt;=24,2,3),FALSE)),$C$3)*(1+IF('IP Attrition'!BL179&gt;0,'Attrition Modeling'!$N$9,0)))</f>
        <v>0</v>
      </c>
      <c r="BM122" s="799">
        <f>BL122*(1-IFERROR(IF(BM$77+$F122&lt;=12,SUMIFS('Attrition Modeling'!$D:$D,'Attrition Modeling'!$C:$C,$D122,'Attrition Modeling'!$B:$B,BM$76),VLOOKUP($F122+BM$77,$A$7:$C$107,2,FALSE)*VLOOKUP(BM$76,'Attrition Modeling'!$L$15:$N$27,IF(BM$77+$F122&lt;=24,2,3),FALSE)),$C$3)*(1+IF('IP Attrition'!BM179&gt;0,'Attrition Modeling'!$N$9,0)))</f>
        <v>0</v>
      </c>
      <c r="BN122" s="799">
        <f>BM122*(1-IFERROR(IF(BN$77+$F122&lt;=12,SUMIFS('Attrition Modeling'!$D:$D,'Attrition Modeling'!$C:$C,$D122,'Attrition Modeling'!$B:$B,BN$76),VLOOKUP($F122+BN$77,$A$7:$C$107,2,FALSE)*VLOOKUP(BN$76,'Attrition Modeling'!$L$15:$N$27,IF(BN$77+$F122&lt;=24,2,3),FALSE)),$C$3)*(1+IF('IP Attrition'!BN179&gt;0,'Attrition Modeling'!$N$9,0)))</f>
        <v>0</v>
      </c>
      <c r="BO122" s="799">
        <f>BN122*(1-IFERROR(IF(BO$77+$F122&lt;=12,SUMIFS('Attrition Modeling'!$D:$D,'Attrition Modeling'!$C:$C,$D122,'Attrition Modeling'!$B:$B,BO$76),VLOOKUP($F122+BO$77,$A$7:$C$107,2,FALSE)*VLOOKUP(BO$76,'Attrition Modeling'!$L$15:$N$27,IF(BO$77+$F122&lt;=24,2,3),FALSE)),$C$3)*(1+IF('IP Attrition'!BO179&gt;0,'Attrition Modeling'!$N$9,0)))</f>
        <v>0</v>
      </c>
      <c r="BP122" s="799">
        <f>BO122*(1-IFERROR(IF(BP$77+$F122&lt;=12,SUMIFS('Attrition Modeling'!$D:$D,'Attrition Modeling'!$C:$C,$D122,'Attrition Modeling'!$B:$B,BP$76),VLOOKUP($F122+BP$77,$A$7:$C$107,2,FALSE)*VLOOKUP(BP$76,'Attrition Modeling'!$L$15:$N$27,IF(BP$77+$F122&lt;=24,2,3),FALSE)),$C$3)*(1+IF('IP Attrition'!BP179&gt;0,'Attrition Modeling'!$N$9,0)))</f>
        <v>0</v>
      </c>
      <c r="BQ122" s="799">
        <f>BP122*(1-IFERROR(IF(BQ$77+$F122&lt;=12,SUMIFS('Attrition Modeling'!$D:$D,'Attrition Modeling'!$C:$C,$D122,'Attrition Modeling'!$B:$B,BQ$76),VLOOKUP($F122+BQ$77,$A$7:$C$107,2,FALSE)*VLOOKUP(BQ$76,'Attrition Modeling'!$L$15:$N$27,IF(BQ$77+$F122&lt;=24,2,3),FALSE)),$C$3)*(1+IF('IP Attrition'!BQ179&gt;0,'Attrition Modeling'!$N$9,0)))</f>
        <v>0</v>
      </c>
      <c r="BR122" s="799">
        <f>BQ122*(1-IFERROR(IF(BR$77+$F122&lt;=12,SUMIFS('Attrition Modeling'!$D:$D,'Attrition Modeling'!$C:$C,$D122,'Attrition Modeling'!$B:$B,BR$76),VLOOKUP($F122+BR$77,$A$7:$C$107,2,FALSE)*VLOOKUP(BR$76,'Attrition Modeling'!$L$15:$N$27,IF(BR$77+$F122&lt;=24,2,3),FALSE)),$C$3)*(1+IF('IP Attrition'!BR179&gt;0,'Attrition Modeling'!$N$9,0)))</f>
        <v>0</v>
      </c>
      <c r="BS122" s="799">
        <f>BR122*(1-IFERROR(IF(BS$77+$F122&lt;=12,SUMIFS('Attrition Modeling'!$D:$D,'Attrition Modeling'!$C:$C,$D122,'Attrition Modeling'!$B:$B,BS$76),VLOOKUP($F122+BS$77,$A$7:$C$107,2,FALSE)*VLOOKUP(BS$76,'Attrition Modeling'!$L$15:$N$27,IF(BS$77+$F122&lt;=24,2,3),FALSE)),$C$3)*(1+IF('IP Attrition'!BS179&gt;0,'Attrition Modeling'!$N$9,0)))</f>
        <v>0</v>
      </c>
      <c r="BT122" s="799" t="e">
        <f>BS122*(1-IFERROR(IF(BT$77+$F122&lt;=12,SUMIFS('Attrition Modeling'!$D:$D,'Attrition Modeling'!$C:$C,$D122,'Attrition Modeling'!$B:$B,BT$76),VLOOKUP($F122+BT$77,$A$7:$C$107,2,FALSE)*VLOOKUP(BT$76,'Attrition Modeling'!$L$15:$N$27,IF(BT$77+$F122&lt;=24,2,3),FALSE)),$C$3)*(1+IF('IP Attrition'!BT179&gt;0,'Attrition Modeling'!$N$9,0)))</f>
        <v>#REF!</v>
      </c>
      <c r="BU122" s="799" t="e">
        <f>BT122*(1-IFERROR(IF(BU$77+$F122&lt;=12,SUMIFS('Attrition Modeling'!$D:$D,'Attrition Modeling'!$C:$C,$D122,'Attrition Modeling'!$B:$B,BU$76),VLOOKUP($F122+BU$77,$A$7:$C$107,2,FALSE)*VLOOKUP(BU$76,'Attrition Modeling'!$L$15:$N$27,IF(BU$77+$F122&lt;=24,2,3),FALSE)),$C$3)*(1+IF('IP Attrition'!BU179&gt;0,'Attrition Modeling'!$N$9,0)))</f>
        <v>#REF!</v>
      </c>
    </row>
    <row r="123" spans="1:73" ht="14.25" customHeight="1" x14ac:dyDescent="0.2">
      <c r="A123" s="9">
        <v>115</v>
      </c>
      <c r="B123" s="25">
        <f>MAX('Attrition Modeling'!H119,$C$3)*(1-Summary!$C$20)</f>
        <v>0.02</v>
      </c>
      <c r="C123" s="24" t="e">
        <f t="shared" si="2"/>
        <v>#DIV/0!</v>
      </c>
      <c r="D123" s="11">
        <f>'IP Attrition'!D115</f>
        <v>-45</v>
      </c>
      <c r="E123" s="25">
        <f>'IP Attrition'!E115</f>
        <v>0</v>
      </c>
      <c r="F123" s="11">
        <f t="shared" si="8"/>
        <v>45</v>
      </c>
      <c r="G123" s="799">
        <f>Summary!$C$24*$E123</f>
        <v>0</v>
      </c>
      <c r="H123" s="799">
        <f>G123*(1-IFERROR(IF(H$77+$F123&lt;=12,SUMIFS('Attrition Modeling'!$D:$D,'Attrition Modeling'!$C:$C,$D123,'Attrition Modeling'!$B:$B,H$76),VLOOKUP($F123+H$77,$A$7:$C$107,2,FALSE)*VLOOKUP(H$76,'Attrition Modeling'!$L$15:$N$27,IF(H$77+$F123&lt;=24,2,3),FALSE)),$C$3)*(1+IF('IP Attrition'!H180&gt;0,'Attrition Modeling'!$N$9,0)))</f>
        <v>0</v>
      </c>
      <c r="I123" s="799">
        <f>H123*(1-IFERROR(IF(I$77+$F123&lt;=12,SUMIFS('Attrition Modeling'!$D:$D,'Attrition Modeling'!$C:$C,$D123,'Attrition Modeling'!$B:$B,I$76),VLOOKUP($F123+I$77,$A$7:$C$107,2,FALSE)*VLOOKUP(I$76,'Attrition Modeling'!$L$15:$N$27,IF(I$77+$F123&lt;=24,2,3),FALSE)),$C$3)*(1+IF('IP Attrition'!I180&gt;0,'Attrition Modeling'!$N$9,0)))</f>
        <v>0</v>
      </c>
      <c r="J123" s="799">
        <f>I123*(1-IFERROR(IF(J$77+$F123&lt;=12,SUMIFS('Attrition Modeling'!$D:$D,'Attrition Modeling'!$C:$C,$D123,'Attrition Modeling'!$B:$B,J$76),VLOOKUP($F123+J$77,$A$7:$C$107,2,FALSE)*VLOOKUP(J$76,'Attrition Modeling'!$L$15:$N$27,IF(J$77+$F123&lt;=24,2,3),FALSE)),$C$3)*(1+IF('IP Attrition'!J180&gt;0,'Attrition Modeling'!$N$9,0)))</f>
        <v>0</v>
      </c>
      <c r="K123" s="799">
        <f>J123*(1-IFERROR(IF(K$77+$F123&lt;=12,SUMIFS('Attrition Modeling'!$D:$D,'Attrition Modeling'!$C:$C,$D123,'Attrition Modeling'!$B:$B,K$76),VLOOKUP($F123+K$77,$A$7:$C$107,2,FALSE)*VLOOKUP(K$76,'Attrition Modeling'!$L$15:$N$27,IF(K$77+$F123&lt;=24,2,3),FALSE)),$C$3)*(1+IF('IP Attrition'!K180&gt;0,'Attrition Modeling'!$N$9,0)))</f>
        <v>0</v>
      </c>
      <c r="L123" s="799">
        <f>K123*(1-IFERROR(IF(L$77+$F123&lt;=12,SUMIFS('Attrition Modeling'!$D:$D,'Attrition Modeling'!$C:$C,$D123,'Attrition Modeling'!$B:$B,L$76),VLOOKUP($F123+L$77,$A$7:$C$107,2,FALSE)*VLOOKUP(L$76,'Attrition Modeling'!$L$15:$N$27,IF(L$77+$F123&lt;=24,2,3),FALSE)),$C$3)*(1+IF('IP Attrition'!L180&gt;0,'Attrition Modeling'!$N$9,0)))</f>
        <v>0</v>
      </c>
      <c r="M123" s="799">
        <f>L123*(1-IFERROR(IF(M$77+$F123&lt;=12,SUMIFS('Attrition Modeling'!$D:$D,'Attrition Modeling'!$C:$C,$D123,'Attrition Modeling'!$B:$B,M$76),VLOOKUP($F123+M$77,$A$7:$C$107,2,FALSE)*VLOOKUP(M$76,'Attrition Modeling'!$L$15:$N$27,IF(M$77+$F123&lt;=24,2,3),FALSE)),$C$3)*(1+IF('IP Attrition'!M180&gt;0,'Attrition Modeling'!$N$9,0)))</f>
        <v>0</v>
      </c>
      <c r="N123" s="799">
        <f>M123*(1-IFERROR(IF(N$77+$F123&lt;=12,SUMIFS('Attrition Modeling'!$D:$D,'Attrition Modeling'!$C:$C,$D123,'Attrition Modeling'!$B:$B,N$76),VLOOKUP($F123+N$77,$A$7:$C$107,2,FALSE)*VLOOKUP(N$76,'Attrition Modeling'!$L$15:$N$27,IF(N$77+$F123&lt;=24,2,3),FALSE)),$C$3)*(1+IF('IP Attrition'!N180&gt;0,'Attrition Modeling'!$N$9,0)))</f>
        <v>0</v>
      </c>
      <c r="O123" s="799">
        <f>N123*(1-IFERROR(IF(O$77+$F123&lt;=12,SUMIFS('Attrition Modeling'!$D:$D,'Attrition Modeling'!$C:$C,$D123,'Attrition Modeling'!$B:$B,O$76),VLOOKUP($F123+O$77,$A$7:$C$107,2,FALSE)*VLOOKUP(O$76,'Attrition Modeling'!$L$15:$N$27,IF(O$77+$F123&lt;=24,2,3),FALSE)),$C$3)*(1+IF('IP Attrition'!O180&gt;0,'Attrition Modeling'!$N$9,0)))</f>
        <v>0</v>
      </c>
      <c r="P123" s="799">
        <f>O123*(1-IFERROR(IF(P$77+$F123&lt;=12,SUMIFS('Attrition Modeling'!$D:$D,'Attrition Modeling'!$C:$C,$D123,'Attrition Modeling'!$B:$B,P$76),VLOOKUP($F123+P$77,$A$7:$C$107,2,FALSE)*VLOOKUP(P$76,'Attrition Modeling'!$L$15:$N$27,IF(P$77+$F123&lt;=24,2,3),FALSE)),$C$3)*(1+IF('IP Attrition'!P180&gt;0,'Attrition Modeling'!$N$9,0)))</f>
        <v>0</v>
      </c>
      <c r="Q123" s="799">
        <f>P123*(1-IFERROR(IF(Q$77+$F123&lt;=12,SUMIFS('Attrition Modeling'!$D:$D,'Attrition Modeling'!$C:$C,$D123,'Attrition Modeling'!$B:$B,Q$76),VLOOKUP($F123+Q$77,$A$7:$C$107,2,FALSE)*VLOOKUP(Q$76,'Attrition Modeling'!$L$15:$N$27,IF(Q$77+$F123&lt;=24,2,3),FALSE)),$C$3)*(1+IF('IP Attrition'!Q180&gt;0,'Attrition Modeling'!$N$9,0)))</f>
        <v>0</v>
      </c>
      <c r="R123" s="799">
        <f>Q123*(1-IFERROR(IF(R$77+$F123&lt;=12,SUMIFS('Attrition Modeling'!$D:$D,'Attrition Modeling'!$C:$C,$D123,'Attrition Modeling'!$B:$B,R$76),VLOOKUP($F123+R$77,$A$7:$C$107,2,FALSE)*VLOOKUP(R$76,'Attrition Modeling'!$L$15:$N$27,IF(R$77+$F123&lt;=24,2,3),FALSE)),$C$3)*(1+IF('IP Attrition'!R180&gt;0,'Attrition Modeling'!$N$9,0)))</f>
        <v>0</v>
      </c>
      <c r="S123" s="799">
        <f>R123*(1-IFERROR(IF(S$77+$F123&lt;=12,SUMIFS('Attrition Modeling'!$D:$D,'Attrition Modeling'!$C:$C,$D123,'Attrition Modeling'!$B:$B,S$76),VLOOKUP($F123+S$77,$A$7:$C$107,2,FALSE)*VLOOKUP(S$76,'Attrition Modeling'!$L$15:$N$27,IF(S$77+$F123&lt;=24,2,3),FALSE)),$C$3)*(1+IF('IP Attrition'!S180&gt;0,'Attrition Modeling'!$N$9,0)))</f>
        <v>0</v>
      </c>
      <c r="T123" s="799">
        <f>S123*(1-IFERROR(IF(T$77+$F123&lt;=12,SUMIFS('Attrition Modeling'!$D:$D,'Attrition Modeling'!$C:$C,$D123,'Attrition Modeling'!$B:$B,T$76),VLOOKUP($F123+T$77,$A$7:$C$107,2,FALSE)*VLOOKUP(T$76,'Attrition Modeling'!$L$15:$N$27,IF(T$77+$F123&lt;=24,2,3),FALSE)),$C$3)*(1+IF('IP Attrition'!T180&gt;0,'Attrition Modeling'!$N$9,0)))</f>
        <v>0</v>
      </c>
      <c r="U123" s="799">
        <f>T123*(1-IFERROR(IF(U$77+$F123&lt;=12,SUMIFS('Attrition Modeling'!$D:$D,'Attrition Modeling'!$C:$C,$D123,'Attrition Modeling'!$B:$B,U$76),VLOOKUP($F123+U$77,$A$7:$C$107,2,FALSE)*VLOOKUP(U$76,'Attrition Modeling'!$L$15:$N$27,IF(U$77+$F123&lt;=24,2,3),FALSE)),$C$3)*(1+IF('IP Attrition'!U180&gt;0,'Attrition Modeling'!$N$9,0)))</f>
        <v>0</v>
      </c>
      <c r="V123" s="799">
        <f>U123*(1-IFERROR(IF(V$77+$F123&lt;=12,SUMIFS('Attrition Modeling'!$D:$D,'Attrition Modeling'!$C:$C,$D123,'Attrition Modeling'!$B:$B,V$76),VLOOKUP($F123+V$77,$A$7:$C$107,2,FALSE)*VLOOKUP(V$76,'Attrition Modeling'!$L$15:$N$27,IF(V$77+$F123&lt;=24,2,3),FALSE)),$C$3)*(1+IF('IP Attrition'!V180&gt;0,'Attrition Modeling'!$N$9,0)))</f>
        <v>0</v>
      </c>
      <c r="W123" s="799">
        <f>V123*(1-IFERROR(IF(W$77+$F123&lt;=12,SUMIFS('Attrition Modeling'!$D:$D,'Attrition Modeling'!$C:$C,$D123,'Attrition Modeling'!$B:$B,W$76),VLOOKUP($F123+W$77,$A$7:$C$107,2,FALSE)*VLOOKUP(W$76,'Attrition Modeling'!$L$15:$N$27,IF(W$77+$F123&lt;=24,2,3),FALSE)),$C$3)*(1+IF('IP Attrition'!W180&gt;0,'Attrition Modeling'!$N$9,0)))</f>
        <v>0</v>
      </c>
      <c r="X123" s="799">
        <f>W123*(1-IFERROR(IF(X$77+$F123&lt;=12,SUMIFS('Attrition Modeling'!$D:$D,'Attrition Modeling'!$C:$C,$D123,'Attrition Modeling'!$B:$B,X$76),VLOOKUP($F123+X$77,$A$7:$C$107,2,FALSE)*VLOOKUP(X$76,'Attrition Modeling'!$L$15:$N$27,IF(X$77+$F123&lt;=24,2,3),FALSE)),$C$3)*(1+IF('IP Attrition'!X180&gt;0,'Attrition Modeling'!$N$9,0)))</f>
        <v>0</v>
      </c>
      <c r="Y123" s="799">
        <f>X123*(1-IFERROR(IF(Y$77+$F123&lt;=12,SUMIFS('Attrition Modeling'!$D:$D,'Attrition Modeling'!$C:$C,$D123,'Attrition Modeling'!$B:$B,Y$76),VLOOKUP($F123+Y$77,$A$7:$C$107,2,FALSE)*VLOOKUP(Y$76,'Attrition Modeling'!$L$15:$N$27,IF(Y$77+$F123&lt;=24,2,3),FALSE)),$C$3)*(1+IF('IP Attrition'!Y180&gt;0,'Attrition Modeling'!$N$9,0)))</f>
        <v>0</v>
      </c>
      <c r="Z123" s="799">
        <f>Y123*(1-IFERROR(IF(Z$77+$F123&lt;=12,SUMIFS('Attrition Modeling'!$D:$D,'Attrition Modeling'!$C:$C,$D123,'Attrition Modeling'!$B:$B,Z$76),VLOOKUP($F123+Z$77,$A$7:$C$107,2,FALSE)*VLOOKUP(Z$76,'Attrition Modeling'!$L$15:$N$27,IF(Z$77+$F123&lt;=24,2,3),FALSE)),$C$3)*(1+IF('IP Attrition'!Z180&gt;0,'Attrition Modeling'!$N$9,0)))</f>
        <v>0</v>
      </c>
      <c r="AA123" s="799">
        <f>Z123*(1-IFERROR(IF(AA$77+$F123&lt;=12,SUMIFS('Attrition Modeling'!$D:$D,'Attrition Modeling'!$C:$C,$D123,'Attrition Modeling'!$B:$B,AA$76),VLOOKUP($F123+AA$77,$A$7:$C$107,2,FALSE)*VLOOKUP(AA$76,'Attrition Modeling'!$L$15:$N$27,IF(AA$77+$F123&lt;=24,2,3),FALSE)),$C$3)*(1+IF('IP Attrition'!AA180&gt;0,'Attrition Modeling'!$N$9,0)))</f>
        <v>0</v>
      </c>
      <c r="AB123" s="799">
        <f>AA123*(1-IFERROR(IF(AB$77+$F123&lt;=12,SUMIFS('Attrition Modeling'!$D:$D,'Attrition Modeling'!$C:$C,$D123,'Attrition Modeling'!$B:$B,AB$76),VLOOKUP($F123+AB$77,$A$7:$C$107,2,FALSE)*VLOOKUP(AB$76,'Attrition Modeling'!$L$15:$N$27,IF(AB$77+$F123&lt;=24,2,3),FALSE)),$C$3)*(1+IF('IP Attrition'!AB180&gt;0,'Attrition Modeling'!$N$9,0)))</f>
        <v>0</v>
      </c>
      <c r="AC123" s="799">
        <f>AB123*(1-IFERROR(IF(AC$77+$F123&lt;=12,SUMIFS('Attrition Modeling'!$D:$D,'Attrition Modeling'!$C:$C,$D123,'Attrition Modeling'!$B:$B,AC$76),VLOOKUP($F123+AC$77,$A$7:$C$107,2,FALSE)*VLOOKUP(AC$76,'Attrition Modeling'!$L$15:$N$27,IF(AC$77+$F123&lt;=24,2,3),FALSE)),$C$3)*(1+IF('IP Attrition'!AC180&gt;0,'Attrition Modeling'!$N$9,0)))</f>
        <v>0</v>
      </c>
      <c r="AD123" s="799">
        <f>AC123*(1-IFERROR(IF(AD$77+$F123&lt;=12,SUMIFS('Attrition Modeling'!$D:$D,'Attrition Modeling'!$C:$C,$D123,'Attrition Modeling'!$B:$B,AD$76),VLOOKUP($F123+AD$77,$A$7:$C$107,2,FALSE)*VLOOKUP(AD$76,'Attrition Modeling'!$L$15:$N$27,IF(AD$77+$F123&lt;=24,2,3),FALSE)),$C$3)*(1+IF('IP Attrition'!AD180&gt;0,'Attrition Modeling'!$N$9,0)))</f>
        <v>0</v>
      </c>
      <c r="AE123" s="799">
        <f>AD123*(1-IFERROR(IF(AE$77+$F123&lt;=12,SUMIFS('Attrition Modeling'!$D:$D,'Attrition Modeling'!$C:$C,$D123,'Attrition Modeling'!$B:$B,AE$76),VLOOKUP($F123+AE$77,$A$7:$C$107,2,FALSE)*VLOOKUP(AE$76,'Attrition Modeling'!$L$15:$N$27,IF(AE$77+$F123&lt;=24,2,3),FALSE)),$C$3)*(1+IF('IP Attrition'!AE180&gt;0,'Attrition Modeling'!$N$9,0)))</f>
        <v>0</v>
      </c>
      <c r="AF123" s="799">
        <f>AE123*(1-IFERROR(IF(AF$77+$F123&lt;=12,SUMIFS('Attrition Modeling'!$D:$D,'Attrition Modeling'!$C:$C,$D123,'Attrition Modeling'!$B:$B,AF$76),VLOOKUP($F123+AF$77,$A$7:$C$107,2,FALSE)*VLOOKUP(AF$76,'Attrition Modeling'!$L$15:$N$27,IF(AF$77+$F123&lt;=24,2,3),FALSE)),$C$3)*(1+IF('IP Attrition'!AF180&gt;0,'Attrition Modeling'!$N$9,0)))</f>
        <v>0</v>
      </c>
      <c r="AG123" s="799">
        <f>AF123*(1-IFERROR(IF(AG$77+$F123&lt;=12,SUMIFS('Attrition Modeling'!$D:$D,'Attrition Modeling'!$C:$C,$D123,'Attrition Modeling'!$B:$B,AG$76),VLOOKUP($F123+AG$77,$A$7:$C$107,2,FALSE)*VLOOKUP(AG$76,'Attrition Modeling'!$L$15:$N$27,IF(AG$77+$F123&lt;=24,2,3),FALSE)),$C$3)*(1+IF('IP Attrition'!AG180&gt;0,'Attrition Modeling'!$N$9,0)))</f>
        <v>0</v>
      </c>
      <c r="AH123" s="799">
        <f>AG123*(1-IFERROR(IF(AH$77+$F123&lt;=12,SUMIFS('Attrition Modeling'!$D:$D,'Attrition Modeling'!$C:$C,$D123,'Attrition Modeling'!$B:$B,AH$76),VLOOKUP($F123+AH$77,$A$7:$C$107,2,FALSE)*VLOOKUP(AH$76,'Attrition Modeling'!$L$15:$N$27,IF(AH$77+$F123&lt;=24,2,3),FALSE)),$C$3)*(1+IF('IP Attrition'!AH180&gt;0,'Attrition Modeling'!$N$9,0)))</f>
        <v>0</v>
      </c>
      <c r="AI123" s="799">
        <f>AH123*(1-IFERROR(IF(AI$77+$F123&lt;=12,SUMIFS('Attrition Modeling'!$D:$D,'Attrition Modeling'!$C:$C,$D123,'Attrition Modeling'!$B:$B,AI$76),VLOOKUP($F123+AI$77,$A$7:$C$107,2,FALSE)*VLOOKUP(AI$76,'Attrition Modeling'!$L$15:$N$27,IF(AI$77+$F123&lt;=24,2,3),FALSE)),$C$3)*(1+IF('IP Attrition'!AI180&gt;0,'Attrition Modeling'!$N$9,0)))</f>
        <v>0</v>
      </c>
      <c r="AJ123" s="799">
        <f>AI123*(1-IFERROR(IF(AJ$77+$F123&lt;=12,SUMIFS('Attrition Modeling'!$D:$D,'Attrition Modeling'!$C:$C,$D123,'Attrition Modeling'!$B:$B,AJ$76),VLOOKUP($F123+AJ$77,$A$7:$C$107,2,FALSE)*VLOOKUP(AJ$76,'Attrition Modeling'!$L$15:$N$27,IF(AJ$77+$F123&lt;=24,2,3),FALSE)),$C$3)*(1+IF('IP Attrition'!AJ180&gt;0,'Attrition Modeling'!$N$9,0)))</f>
        <v>0</v>
      </c>
      <c r="AK123" s="799">
        <f>AJ123*(1-IFERROR(IF(AK$77+$F123&lt;=12,SUMIFS('Attrition Modeling'!$D:$D,'Attrition Modeling'!$C:$C,$D123,'Attrition Modeling'!$B:$B,AK$76),VLOOKUP($F123+AK$77,$A$7:$C$107,2,FALSE)*VLOOKUP(AK$76,'Attrition Modeling'!$L$15:$N$27,IF(AK$77+$F123&lt;=24,2,3),FALSE)),$C$3)*(1+IF('IP Attrition'!AK180&gt;0,'Attrition Modeling'!$N$9,0)))</f>
        <v>0</v>
      </c>
      <c r="AL123" s="799">
        <f>AK123*(1-IFERROR(IF(AL$77+$F123&lt;=12,SUMIFS('Attrition Modeling'!$D:$D,'Attrition Modeling'!$C:$C,$D123,'Attrition Modeling'!$B:$B,AL$76),VLOOKUP($F123+AL$77,$A$7:$C$107,2,FALSE)*VLOOKUP(AL$76,'Attrition Modeling'!$L$15:$N$27,IF(AL$77+$F123&lt;=24,2,3),FALSE)),$C$3)*(1+IF('IP Attrition'!AL180&gt;0,'Attrition Modeling'!$N$9,0)))</f>
        <v>0</v>
      </c>
      <c r="AM123" s="799">
        <f>AL123*(1-IFERROR(IF(AM$77+$F123&lt;=12,SUMIFS('Attrition Modeling'!$D:$D,'Attrition Modeling'!$C:$C,$D123,'Attrition Modeling'!$B:$B,AM$76),VLOOKUP($F123+AM$77,$A$7:$C$107,2,FALSE)*VLOOKUP(AM$76,'Attrition Modeling'!$L$15:$N$27,IF(AM$77+$F123&lt;=24,2,3),FALSE)),$C$3)*(1+IF('IP Attrition'!AM180&gt;0,'Attrition Modeling'!$N$9,0)))</f>
        <v>0</v>
      </c>
      <c r="AN123" s="799">
        <f>AM123*(1-IFERROR(IF(AN$77+$F123&lt;=12,SUMIFS('Attrition Modeling'!$D:$D,'Attrition Modeling'!$C:$C,$D123,'Attrition Modeling'!$B:$B,AN$76),VLOOKUP($F123+AN$77,$A$7:$C$107,2,FALSE)*VLOOKUP(AN$76,'Attrition Modeling'!$L$15:$N$27,IF(AN$77+$F123&lt;=24,2,3),FALSE)),$C$3)*(1+IF('IP Attrition'!AN180&gt;0,'Attrition Modeling'!$N$9,0)))</f>
        <v>0</v>
      </c>
      <c r="AO123" s="799">
        <f>AN123*(1-IFERROR(IF(AO$77+$F123&lt;=12,SUMIFS('Attrition Modeling'!$D:$D,'Attrition Modeling'!$C:$C,$D123,'Attrition Modeling'!$B:$B,AO$76),VLOOKUP($F123+AO$77,$A$7:$C$107,2,FALSE)*VLOOKUP(AO$76,'Attrition Modeling'!$L$15:$N$27,IF(AO$77+$F123&lt;=24,2,3),FALSE)),$C$3)*(1+IF('IP Attrition'!AO180&gt;0,'Attrition Modeling'!$N$9,0)))</f>
        <v>0</v>
      </c>
      <c r="AP123" s="799">
        <f>AO123*(1-IFERROR(IF(AP$77+$F123&lt;=12,SUMIFS('Attrition Modeling'!$D:$D,'Attrition Modeling'!$C:$C,$D123,'Attrition Modeling'!$B:$B,AP$76),VLOOKUP($F123+AP$77,$A$7:$C$107,2,FALSE)*VLOOKUP(AP$76,'Attrition Modeling'!$L$15:$N$27,IF(AP$77+$F123&lt;=24,2,3),FALSE)),$C$3)*(1+IF('IP Attrition'!AP180&gt;0,'Attrition Modeling'!$N$9,0)))</f>
        <v>0</v>
      </c>
      <c r="AQ123" s="799">
        <f>AP123*(1-IFERROR(IF(AQ$77+$F123&lt;=12,SUMIFS('Attrition Modeling'!$D:$D,'Attrition Modeling'!$C:$C,$D123,'Attrition Modeling'!$B:$B,AQ$76),VLOOKUP($F123+AQ$77,$A$7:$C$107,2,FALSE)*VLOOKUP(AQ$76,'Attrition Modeling'!$L$15:$N$27,IF(AQ$77+$F123&lt;=24,2,3),FALSE)),$C$3)*(1+IF('IP Attrition'!AQ180&gt;0,'Attrition Modeling'!$N$9,0)))</f>
        <v>0</v>
      </c>
      <c r="AR123" s="799">
        <f>AQ123*(1-IFERROR(IF(AR$77+$F123&lt;=12,SUMIFS('Attrition Modeling'!$D:$D,'Attrition Modeling'!$C:$C,$D123,'Attrition Modeling'!$B:$B,AR$76),VLOOKUP($F123+AR$77,$A$7:$C$107,2,FALSE)*VLOOKUP(AR$76,'Attrition Modeling'!$L$15:$N$27,IF(AR$77+$F123&lt;=24,2,3),FALSE)),$C$3)*(1+IF('IP Attrition'!AR180&gt;0,'Attrition Modeling'!$N$9,0)))</f>
        <v>0</v>
      </c>
      <c r="AS123" s="799">
        <f>AR123*(1-IFERROR(IF(AS$77+$F123&lt;=12,SUMIFS('Attrition Modeling'!$D:$D,'Attrition Modeling'!$C:$C,$D123,'Attrition Modeling'!$B:$B,AS$76),VLOOKUP($F123+AS$77,$A$7:$C$107,2,FALSE)*VLOOKUP(AS$76,'Attrition Modeling'!$L$15:$N$27,IF(AS$77+$F123&lt;=24,2,3),FALSE)),$C$3)*(1+IF('IP Attrition'!AS180&gt;0,'Attrition Modeling'!$N$9,0)))</f>
        <v>0</v>
      </c>
      <c r="AT123" s="799">
        <f>AS123*(1-IFERROR(IF(AT$77+$F123&lt;=12,SUMIFS('Attrition Modeling'!$D:$D,'Attrition Modeling'!$C:$C,$D123,'Attrition Modeling'!$B:$B,AT$76),VLOOKUP($F123+AT$77,$A$7:$C$107,2,FALSE)*VLOOKUP(AT$76,'Attrition Modeling'!$L$15:$N$27,IF(AT$77+$F123&lt;=24,2,3),FALSE)),$C$3)*(1+IF('IP Attrition'!AT180&gt;0,'Attrition Modeling'!$N$9,0)))</f>
        <v>0</v>
      </c>
      <c r="AU123" s="799">
        <f>AT123*(1-IFERROR(IF(AU$77+$F123&lt;=12,SUMIFS('Attrition Modeling'!$D:$D,'Attrition Modeling'!$C:$C,$D123,'Attrition Modeling'!$B:$B,AU$76),VLOOKUP($F123+AU$77,$A$7:$C$107,2,FALSE)*VLOOKUP(AU$76,'Attrition Modeling'!$L$15:$N$27,IF(AU$77+$F123&lt;=24,2,3),FALSE)),$C$3)*(1+IF('IP Attrition'!AU180&gt;0,'Attrition Modeling'!$N$9,0)))</f>
        <v>0</v>
      </c>
      <c r="AV123" s="799">
        <f>AU123*(1-IFERROR(IF(AV$77+$F123&lt;=12,SUMIFS('Attrition Modeling'!$D:$D,'Attrition Modeling'!$C:$C,$D123,'Attrition Modeling'!$B:$B,AV$76),VLOOKUP($F123+AV$77,$A$7:$C$107,2,FALSE)*VLOOKUP(AV$76,'Attrition Modeling'!$L$15:$N$27,IF(AV$77+$F123&lt;=24,2,3),FALSE)),$C$3)*(1+IF('IP Attrition'!AV180&gt;0,'Attrition Modeling'!$N$9,0)))</f>
        <v>0</v>
      </c>
      <c r="AW123" s="799">
        <f>AV123*(1-IFERROR(IF(AW$77+$F123&lt;=12,SUMIFS('Attrition Modeling'!$D:$D,'Attrition Modeling'!$C:$C,$D123,'Attrition Modeling'!$B:$B,AW$76),VLOOKUP($F123+AW$77,$A$7:$C$107,2,FALSE)*VLOOKUP(AW$76,'Attrition Modeling'!$L$15:$N$27,IF(AW$77+$F123&lt;=24,2,3),FALSE)),$C$3)*(1+IF('IP Attrition'!AW180&gt;0,'Attrition Modeling'!$N$9,0)))</f>
        <v>0</v>
      </c>
      <c r="AX123" s="799">
        <f>AW123*(1-IFERROR(IF(AX$77+$F123&lt;=12,SUMIFS('Attrition Modeling'!$D:$D,'Attrition Modeling'!$C:$C,$D123,'Attrition Modeling'!$B:$B,AX$76),VLOOKUP($F123+AX$77,$A$7:$C$107,2,FALSE)*VLOOKUP(AX$76,'Attrition Modeling'!$L$15:$N$27,IF(AX$77+$F123&lt;=24,2,3),FALSE)),$C$3)*(1+IF('IP Attrition'!AX180&gt;0,'Attrition Modeling'!$N$9,0)))</f>
        <v>0</v>
      </c>
      <c r="AY123" s="799">
        <f>AX123*(1-IFERROR(IF(AY$77+$F123&lt;=12,SUMIFS('Attrition Modeling'!$D:$D,'Attrition Modeling'!$C:$C,$D123,'Attrition Modeling'!$B:$B,AY$76),VLOOKUP($F123+AY$77,$A$7:$C$107,2,FALSE)*VLOOKUP(AY$76,'Attrition Modeling'!$L$15:$N$27,IF(AY$77+$F123&lt;=24,2,3),FALSE)),$C$3)*(1+IF('IP Attrition'!AY180&gt;0,'Attrition Modeling'!$N$9,0)))</f>
        <v>0</v>
      </c>
      <c r="AZ123" s="799">
        <f>AY123*(1-IFERROR(IF(AZ$77+$F123&lt;=12,SUMIFS('Attrition Modeling'!$D:$D,'Attrition Modeling'!$C:$C,$D123,'Attrition Modeling'!$B:$B,AZ$76),VLOOKUP($F123+AZ$77,$A$7:$C$107,2,FALSE)*VLOOKUP(AZ$76,'Attrition Modeling'!$L$15:$N$27,IF(AZ$77+$F123&lt;=24,2,3),FALSE)),$C$3)*(1+IF('IP Attrition'!AZ180&gt;0,'Attrition Modeling'!$N$9,0)))</f>
        <v>0</v>
      </c>
      <c r="BA123" s="799">
        <f>AZ123*(1-IFERROR(IF(BA$77+$F123&lt;=12,SUMIFS('Attrition Modeling'!$D:$D,'Attrition Modeling'!$C:$C,$D123,'Attrition Modeling'!$B:$B,BA$76),VLOOKUP($F123+BA$77,$A$7:$C$107,2,FALSE)*VLOOKUP(BA$76,'Attrition Modeling'!$L$15:$N$27,IF(BA$77+$F123&lt;=24,2,3),FALSE)),$C$3)*(1+IF('IP Attrition'!BA180&gt;0,'Attrition Modeling'!$N$9,0)))</f>
        <v>0</v>
      </c>
      <c r="BB123" s="799">
        <f>BA123*(1-IFERROR(IF(BB$77+$F123&lt;=12,SUMIFS('Attrition Modeling'!$D:$D,'Attrition Modeling'!$C:$C,$D123,'Attrition Modeling'!$B:$B,BB$76),VLOOKUP($F123+BB$77,$A$7:$C$107,2,FALSE)*VLOOKUP(BB$76,'Attrition Modeling'!$L$15:$N$27,IF(BB$77+$F123&lt;=24,2,3),FALSE)),$C$3)*(1+IF('IP Attrition'!BB180&gt;0,'Attrition Modeling'!$N$9,0)))</f>
        <v>0</v>
      </c>
      <c r="BC123" s="799">
        <f>BB123*(1-IFERROR(IF(BC$77+$F123&lt;=12,SUMIFS('Attrition Modeling'!$D:$D,'Attrition Modeling'!$C:$C,$D123,'Attrition Modeling'!$B:$B,BC$76),VLOOKUP($F123+BC$77,$A$7:$C$107,2,FALSE)*VLOOKUP(BC$76,'Attrition Modeling'!$L$15:$N$27,IF(BC$77+$F123&lt;=24,2,3),FALSE)),$C$3)*(1+IF('IP Attrition'!BC180&gt;0,'Attrition Modeling'!$N$9,0)))</f>
        <v>0</v>
      </c>
      <c r="BD123" s="799">
        <f>BC123*(1-IFERROR(IF(BD$77+$F123&lt;=12,SUMIFS('Attrition Modeling'!$D:$D,'Attrition Modeling'!$C:$C,$D123,'Attrition Modeling'!$B:$B,BD$76),VLOOKUP($F123+BD$77,$A$7:$C$107,2,FALSE)*VLOOKUP(BD$76,'Attrition Modeling'!$L$15:$N$27,IF(BD$77+$F123&lt;=24,2,3),FALSE)),$C$3)*(1+IF('IP Attrition'!BD180&gt;0,'Attrition Modeling'!$N$9,0)))</f>
        <v>0</v>
      </c>
      <c r="BE123" s="799">
        <f>BD123*(1-IFERROR(IF(BE$77+$F123&lt;=12,SUMIFS('Attrition Modeling'!$D:$D,'Attrition Modeling'!$C:$C,$D123,'Attrition Modeling'!$B:$B,BE$76),VLOOKUP($F123+BE$77,$A$7:$C$107,2,FALSE)*VLOOKUP(BE$76,'Attrition Modeling'!$L$15:$N$27,IF(BE$77+$F123&lt;=24,2,3),FALSE)),$C$3)*(1+IF('IP Attrition'!BE180&gt;0,'Attrition Modeling'!$N$9,0)))</f>
        <v>0</v>
      </c>
      <c r="BF123" s="799">
        <f>BE123*(1-IFERROR(IF(BF$77+$F123&lt;=12,SUMIFS('Attrition Modeling'!$D:$D,'Attrition Modeling'!$C:$C,$D123,'Attrition Modeling'!$B:$B,BF$76),VLOOKUP($F123+BF$77,$A$7:$C$107,2,FALSE)*VLOOKUP(BF$76,'Attrition Modeling'!$L$15:$N$27,IF(BF$77+$F123&lt;=24,2,3),FALSE)),$C$3)*(1+IF('IP Attrition'!BF180&gt;0,'Attrition Modeling'!$N$9,0)))</f>
        <v>0</v>
      </c>
      <c r="BG123" s="799">
        <f>BF123*(1-IFERROR(IF(BG$77+$F123&lt;=12,SUMIFS('Attrition Modeling'!$D:$D,'Attrition Modeling'!$C:$C,$D123,'Attrition Modeling'!$B:$B,BG$76),VLOOKUP($F123+BG$77,$A$7:$C$107,2,FALSE)*VLOOKUP(BG$76,'Attrition Modeling'!$L$15:$N$27,IF(BG$77+$F123&lt;=24,2,3),FALSE)),$C$3)*(1+IF('IP Attrition'!BG180&gt;0,'Attrition Modeling'!$N$9,0)))</f>
        <v>0</v>
      </c>
      <c r="BH123" s="799">
        <f>BG123*(1-IFERROR(IF(BH$77+$F123&lt;=12,SUMIFS('Attrition Modeling'!$D:$D,'Attrition Modeling'!$C:$C,$D123,'Attrition Modeling'!$B:$B,BH$76),VLOOKUP($F123+BH$77,$A$7:$C$107,2,FALSE)*VLOOKUP(BH$76,'Attrition Modeling'!$L$15:$N$27,IF(BH$77+$F123&lt;=24,2,3),FALSE)),$C$3)*(1+IF('IP Attrition'!BH180&gt;0,'Attrition Modeling'!$N$9,0)))</f>
        <v>0</v>
      </c>
      <c r="BI123" s="799">
        <f>BH123*(1-IFERROR(IF(BI$77+$F123&lt;=12,SUMIFS('Attrition Modeling'!$D:$D,'Attrition Modeling'!$C:$C,$D123,'Attrition Modeling'!$B:$B,BI$76),VLOOKUP($F123+BI$77,$A$7:$C$107,2,FALSE)*VLOOKUP(BI$76,'Attrition Modeling'!$L$15:$N$27,IF(BI$77+$F123&lt;=24,2,3),FALSE)),$C$3)*(1+IF('IP Attrition'!BI180&gt;0,'Attrition Modeling'!$N$9,0)))</f>
        <v>0</v>
      </c>
      <c r="BJ123" s="799">
        <f>BI123*(1-IFERROR(IF(BJ$77+$F123&lt;=12,SUMIFS('Attrition Modeling'!$D:$D,'Attrition Modeling'!$C:$C,$D123,'Attrition Modeling'!$B:$B,BJ$76),VLOOKUP($F123+BJ$77,$A$7:$C$107,2,FALSE)*VLOOKUP(BJ$76,'Attrition Modeling'!$L$15:$N$27,IF(BJ$77+$F123&lt;=24,2,3),FALSE)),$C$3)*(1+IF('IP Attrition'!BJ180&gt;0,'Attrition Modeling'!$N$9,0)))</f>
        <v>0</v>
      </c>
      <c r="BK123" s="799">
        <f>BJ123*(1-IFERROR(IF(BK$77+$F123&lt;=12,SUMIFS('Attrition Modeling'!$D:$D,'Attrition Modeling'!$C:$C,$D123,'Attrition Modeling'!$B:$B,BK$76),VLOOKUP($F123+BK$77,$A$7:$C$107,2,FALSE)*VLOOKUP(BK$76,'Attrition Modeling'!$L$15:$N$27,IF(BK$77+$F123&lt;=24,2,3),FALSE)),$C$3)*(1+IF('IP Attrition'!BK180&gt;0,'Attrition Modeling'!$N$9,0)))</f>
        <v>0</v>
      </c>
      <c r="BL123" s="799">
        <f>BK123*(1-IFERROR(IF(BL$77+$F123&lt;=12,SUMIFS('Attrition Modeling'!$D:$D,'Attrition Modeling'!$C:$C,$D123,'Attrition Modeling'!$B:$B,BL$76),VLOOKUP($F123+BL$77,$A$7:$C$107,2,FALSE)*VLOOKUP(BL$76,'Attrition Modeling'!$L$15:$N$27,IF(BL$77+$F123&lt;=24,2,3),FALSE)),$C$3)*(1+IF('IP Attrition'!BL180&gt;0,'Attrition Modeling'!$N$9,0)))</f>
        <v>0</v>
      </c>
      <c r="BM123" s="799">
        <f>BL123*(1-IFERROR(IF(BM$77+$F123&lt;=12,SUMIFS('Attrition Modeling'!$D:$D,'Attrition Modeling'!$C:$C,$D123,'Attrition Modeling'!$B:$B,BM$76),VLOOKUP($F123+BM$77,$A$7:$C$107,2,FALSE)*VLOOKUP(BM$76,'Attrition Modeling'!$L$15:$N$27,IF(BM$77+$F123&lt;=24,2,3),FALSE)),$C$3)*(1+IF('IP Attrition'!BM180&gt;0,'Attrition Modeling'!$N$9,0)))</f>
        <v>0</v>
      </c>
      <c r="BN123" s="799">
        <f>BM123*(1-IFERROR(IF(BN$77+$F123&lt;=12,SUMIFS('Attrition Modeling'!$D:$D,'Attrition Modeling'!$C:$C,$D123,'Attrition Modeling'!$B:$B,BN$76),VLOOKUP($F123+BN$77,$A$7:$C$107,2,FALSE)*VLOOKUP(BN$76,'Attrition Modeling'!$L$15:$N$27,IF(BN$77+$F123&lt;=24,2,3),FALSE)),$C$3)*(1+IF('IP Attrition'!BN180&gt;0,'Attrition Modeling'!$N$9,0)))</f>
        <v>0</v>
      </c>
      <c r="BO123" s="799">
        <f>BN123*(1-IFERROR(IF(BO$77+$F123&lt;=12,SUMIFS('Attrition Modeling'!$D:$D,'Attrition Modeling'!$C:$C,$D123,'Attrition Modeling'!$B:$B,BO$76),VLOOKUP($F123+BO$77,$A$7:$C$107,2,FALSE)*VLOOKUP(BO$76,'Attrition Modeling'!$L$15:$N$27,IF(BO$77+$F123&lt;=24,2,3),FALSE)),$C$3)*(1+IF('IP Attrition'!BO180&gt;0,'Attrition Modeling'!$N$9,0)))</f>
        <v>0</v>
      </c>
      <c r="BP123" s="799">
        <f>BO123*(1-IFERROR(IF(BP$77+$F123&lt;=12,SUMIFS('Attrition Modeling'!$D:$D,'Attrition Modeling'!$C:$C,$D123,'Attrition Modeling'!$B:$B,BP$76),VLOOKUP($F123+BP$77,$A$7:$C$107,2,FALSE)*VLOOKUP(BP$76,'Attrition Modeling'!$L$15:$N$27,IF(BP$77+$F123&lt;=24,2,3),FALSE)),$C$3)*(1+IF('IP Attrition'!BP180&gt;0,'Attrition Modeling'!$N$9,0)))</f>
        <v>0</v>
      </c>
      <c r="BQ123" s="799">
        <f>BP123*(1-IFERROR(IF(BQ$77+$F123&lt;=12,SUMIFS('Attrition Modeling'!$D:$D,'Attrition Modeling'!$C:$C,$D123,'Attrition Modeling'!$B:$B,BQ$76),VLOOKUP($F123+BQ$77,$A$7:$C$107,2,FALSE)*VLOOKUP(BQ$76,'Attrition Modeling'!$L$15:$N$27,IF(BQ$77+$F123&lt;=24,2,3),FALSE)),$C$3)*(1+IF('IP Attrition'!BQ180&gt;0,'Attrition Modeling'!$N$9,0)))</f>
        <v>0</v>
      </c>
      <c r="BR123" s="799">
        <f>BQ123*(1-IFERROR(IF(BR$77+$F123&lt;=12,SUMIFS('Attrition Modeling'!$D:$D,'Attrition Modeling'!$C:$C,$D123,'Attrition Modeling'!$B:$B,BR$76),VLOOKUP($F123+BR$77,$A$7:$C$107,2,FALSE)*VLOOKUP(BR$76,'Attrition Modeling'!$L$15:$N$27,IF(BR$77+$F123&lt;=24,2,3),FALSE)),$C$3)*(1+IF('IP Attrition'!BR180&gt;0,'Attrition Modeling'!$N$9,0)))</f>
        <v>0</v>
      </c>
      <c r="BS123" s="799">
        <f>BR123*(1-IFERROR(IF(BS$77+$F123&lt;=12,SUMIFS('Attrition Modeling'!$D:$D,'Attrition Modeling'!$C:$C,$D123,'Attrition Modeling'!$B:$B,BS$76),VLOOKUP($F123+BS$77,$A$7:$C$107,2,FALSE)*VLOOKUP(BS$76,'Attrition Modeling'!$L$15:$N$27,IF(BS$77+$F123&lt;=24,2,3),FALSE)),$C$3)*(1+IF('IP Attrition'!BS180&gt;0,'Attrition Modeling'!$N$9,0)))</f>
        <v>0</v>
      </c>
      <c r="BT123" s="799" t="e">
        <f>BS123*(1-IFERROR(IF(BT$77+$F123&lt;=12,SUMIFS('Attrition Modeling'!$D:$D,'Attrition Modeling'!$C:$C,$D123,'Attrition Modeling'!$B:$B,BT$76),VLOOKUP($F123+BT$77,$A$7:$C$107,2,FALSE)*VLOOKUP(BT$76,'Attrition Modeling'!$L$15:$N$27,IF(BT$77+$F123&lt;=24,2,3),FALSE)),$C$3)*(1+IF('IP Attrition'!BT180&gt;0,'Attrition Modeling'!$N$9,0)))</f>
        <v>#REF!</v>
      </c>
      <c r="BU123" s="799" t="e">
        <f>BT123*(1-IFERROR(IF(BU$77+$F123&lt;=12,SUMIFS('Attrition Modeling'!$D:$D,'Attrition Modeling'!$C:$C,$D123,'Attrition Modeling'!$B:$B,BU$76),VLOOKUP($F123+BU$77,$A$7:$C$107,2,FALSE)*VLOOKUP(BU$76,'Attrition Modeling'!$L$15:$N$27,IF(BU$77+$F123&lt;=24,2,3),FALSE)),$C$3)*(1+IF('IP Attrition'!BU180&gt;0,'Attrition Modeling'!$N$9,0)))</f>
        <v>#REF!</v>
      </c>
    </row>
    <row r="124" spans="1:73" ht="14.25" customHeight="1" x14ac:dyDescent="0.2">
      <c r="A124" s="9">
        <v>116</v>
      </c>
      <c r="B124" s="25">
        <f>MAX('Attrition Modeling'!H120,$C$3)*(1-Summary!$C$20)</f>
        <v>0.02</v>
      </c>
      <c r="C124" s="24" t="e">
        <f t="shared" si="2"/>
        <v>#DIV/0!</v>
      </c>
      <c r="D124" s="11">
        <f>'IP Attrition'!D116</f>
        <v>-46</v>
      </c>
      <c r="E124" s="25">
        <f>'IP Attrition'!E116</f>
        <v>0</v>
      </c>
      <c r="F124" s="11">
        <f t="shared" si="8"/>
        <v>46</v>
      </c>
      <c r="G124" s="799">
        <f>Summary!$C$24*$E124</f>
        <v>0</v>
      </c>
      <c r="H124" s="799">
        <f>G124*(1-IFERROR(IF(H$77+$F124&lt;=12,SUMIFS('Attrition Modeling'!$D:$D,'Attrition Modeling'!$C:$C,$D124,'Attrition Modeling'!$B:$B,H$76),VLOOKUP($F124+H$77,$A$7:$C$107,2,FALSE)*VLOOKUP(H$76,'Attrition Modeling'!$L$15:$N$27,IF(H$77+$F124&lt;=24,2,3),FALSE)),$C$3)*(1+IF('IP Attrition'!H181&gt;0,'Attrition Modeling'!$N$9,0)))</f>
        <v>0</v>
      </c>
      <c r="I124" s="799">
        <f>H124*(1-IFERROR(IF(I$77+$F124&lt;=12,SUMIFS('Attrition Modeling'!$D:$D,'Attrition Modeling'!$C:$C,$D124,'Attrition Modeling'!$B:$B,I$76),VLOOKUP($F124+I$77,$A$7:$C$107,2,FALSE)*VLOOKUP(I$76,'Attrition Modeling'!$L$15:$N$27,IF(I$77+$F124&lt;=24,2,3),FALSE)),$C$3)*(1+IF('IP Attrition'!I181&gt;0,'Attrition Modeling'!$N$9,0)))</f>
        <v>0</v>
      </c>
      <c r="J124" s="799">
        <f>I124*(1-IFERROR(IF(J$77+$F124&lt;=12,SUMIFS('Attrition Modeling'!$D:$D,'Attrition Modeling'!$C:$C,$D124,'Attrition Modeling'!$B:$B,J$76),VLOOKUP($F124+J$77,$A$7:$C$107,2,FALSE)*VLOOKUP(J$76,'Attrition Modeling'!$L$15:$N$27,IF(J$77+$F124&lt;=24,2,3),FALSE)),$C$3)*(1+IF('IP Attrition'!J181&gt;0,'Attrition Modeling'!$N$9,0)))</f>
        <v>0</v>
      </c>
      <c r="K124" s="799">
        <f>J124*(1-IFERROR(IF(K$77+$F124&lt;=12,SUMIFS('Attrition Modeling'!$D:$D,'Attrition Modeling'!$C:$C,$D124,'Attrition Modeling'!$B:$B,K$76),VLOOKUP($F124+K$77,$A$7:$C$107,2,FALSE)*VLOOKUP(K$76,'Attrition Modeling'!$L$15:$N$27,IF(K$77+$F124&lt;=24,2,3),FALSE)),$C$3)*(1+IF('IP Attrition'!K181&gt;0,'Attrition Modeling'!$N$9,0)))</f>
        <v>0</v>
      </c>
      <c r="L124" s="799">
        <f>K124*(1-IFERROR(IF(L$77+$F124&lt;=12,SUMIFS('Attrition Modeling'!$D:$D,'Attrition Modeling'!$C:$C,$D124,'Attrition Modeling'!$B:$B,L$76),VLOOKUP($F124+L$77,$A$7:$C$107,2,FALSE)*VLOOKUP(L$76,'Attrition Modeling'!$L$15:$N$27,IF(L$77+$F124&lt;=24,2,3),FALSE)),$C$3)*(1+IF('IP Attrition'!L181&gt;0,'Attrition Modeling'!$N$9,0)))</f>
        <v>0</v>
      </c>
      <c r="M124" s="799">
        <f>L124*(1-IFERROR(IF(M$77+$F124&lt;=12,SUMIFS('Attrition Modeling'!$D:$D,'Attrition Modeling'!$C:$C,$D124,'Attrition Modeling'!$B:$B,M$76),VLOOKUP($F124+M$77,$A$7:$C$107,2,FALSE)*VLOOKUP(M$76,'Attrition Modeling'!$L$15:$N$27,IF(M$77+$F124&lt;=24,2,3),FALSE)),$C$3)*(1+IF('IP Attrition'!M181&gt;0,'Attrition Modeling'!$N$9,0)))</f>
        <v>0</v>
      </c>
      <c r="N124" s="799">
        <f>M124*(1-IFERROR(IF(N$77+$F124&lt;=12,SUMIFS('Attrition Modeling'!$D:$D,'Attrition Modeling'!$C:$C,$D124,'Attrition Modeling'!$B:$B,N$76),VLOOKUP($F124+N$77,$A$7:$C$107,2,FALSE)*VLOOKUP(N$76,'Attrition Modeling'!$L$15:$N$27,IF(N$77+$F124&lt;=24,2,3),FALSE)),$C$3)*(1+IF('IP Attrition'!N181&gt;0,'Attrition Modeling'!$N$9,0)))</f>
        <v>0</v>
      </c>
      <c r="O124" s="799">
        <f>N124*(1-IFERROR(IF(O$77+$F124&lt;=12,SUMIFS('Attrition Modeling'!$D:$D,'Attrition Modeling'!$C:$C,$D124,'Attrition Modeling'!$B:$B,O$76),VLOOKUP($F124+O$77,$A$7:$C$107,2,FALSE)*VLOOKUP(O$76,'Attrition Modeling'!$L$15:$N$27,IF(O$77+$F124&lt;=24,2,3),FALSE)),$C$3)*(1+IF('IP Attrition'!O181&gt;0,'Attrition Modeling'!$N$9,0)))</f>
        <v>0</v>
      </c>
      <c r="P124" s="799">
        <f>O124*(1-IFERROR(IF(P$77+$F124&lt;=12,SUMIFS('Attrition Modeling'!$D:$D,'Attrition Modeling'!$C:$C,$D124,'Attrition Modeling'!$B:$B,P$76),VLOOKUP($F124+P$77,$A$7:$C$107,2,FALSE)*VLOOKUP(P$76,'Attrition Modeling'!$L$15:$N$27,IF(P$77+$F124&lt;=24,2,3),FALSE)),$C$3)*(1+IF('IP Attrition'!P181&gt;0,'Attrition Modeling'!$N$9,0)))</f>
        <v>0</v>
      </c>
      <c r="Q124" s="799">
        <f>P124*(1-IFERROR(IF(Q$77+$F124&lt;=12,SUMIFS('Attrition Modeling'!$D:$D,'Attrition Modeling'!$C:$C,$D124,'Attrition Modeling'!$B:$B,Q$76),VLOOKUP($F124+Q$77,$A$7:$C$107,2,FALSE)*VLOOKUP(Q$76,'Attrition Modeling'!$L$15:$N$27,IF(Q$77+$F124&lt;=24,2,3),FALSE)),$C$3)*(1+IF('IP Attrition'!Q181&gt;0,'Attrition Modeling'!$N$9,0)))</f>
        <v>0</v>
      </c>
      <c r="R124" s="799">
        <f>Q124*(1-IFERROR(IF(R$77+$F124&lt;=12,SUMIFS('Attrition Modeling'!$D:$D,'Attrition Modeling'!$C:$C,$D124,'Attrition Modeling'!$B:$B,R$76),VLOOKUP($F124+R$77,$A$7:$C$107,2,FALSE)*VLOOKUP(R$76,'Attrition Modeling'!$L$15:$N$27,IF(R$77+$F124&lt;=24,2,3),FALSE)),$C$3)*(1+IF('IP Attrition'!R181&gt;0,'Attrition Modeling'!$N$9,0)))</f>
        <v>0</v>
      </c>
      <c r="S124" s="799">
        <f>R124*(1-IFERROR(IF(S$77+$F124&lt;=12,SUMIFS('Attrition Modeling'!$D:$D,'Attrition Modeling'!$C:$C,$D124,'Attrition Modeling'!$B:$B,S$76),VLOOKUP($F124+S$77,$A$7:$C$107,2,FALSE)*VLOOKUP(S$76,'Attrition Modeling'!$L$15:$N$27,IF(S$77+$F124&lt;=24,2,3),FALSE)),$C$3)*(1+IF('IP Attrition'!S181&gt;0,'Attrition Modeling'!$N$9,0)))</f>
        <v>0</v>
      </c>
      <c r="T124" s="799">
        <f>S124*(1-IFERROR(IF(T$77+$F124&lt;=12,SUMIFS('Attrition Modeling'!$D:$D,'Attrition Modeling'!$C:$C,$D124,'Attrition Modeling'!$B:$B,T$76),VLOOKUP($F124+T$77,$A$7:$C$107,2,FALSE)*VLOOKUP(T$76,'Attrition Modeling'!$L$15:$N$27,IF(T$77+$F124&lt;=24,2,3),FALSE)),$C$3)*(1+IF('IP Attrition'!T181&gt;0,'Attrition Modeling'!$N$9,0)))</f>
        <v>0</v>
      </c>
      <c r="U124" s="799">
        <f>T124*(1-IFERROR(IF(U$77+$F124&lt;=12,SUMIFS('Attrition Modeling'!$D:$D,'Attrition Modeling'!$C:$C,$D124,'Attrition Modeling'!$B:$B,U$76),VLOOKUP($F124+U$77,$A$7:$C$107,2,FALSE)*VLOOKUP(U$76,'Attrition Modeling'!$L$15:$N$27,IF(U$77+$F124&lt;=24,2,3),FALSE)),$C$3)*(1+IF('IP Attrition'!U181&gt;0,'Attrition Modeling'!$N$9,0)))</f>
        <v>0</v>
      </c>
      <c r="V124" s="799">
        <f>U124*(1-IFERROR(IF(V$77+$F124&lt;=12,SUMIFS('Attrition Modeling'!$D:$D,'Attrition Modeling'!$C:$C,$D124,'Attrition Modeling'!$B:$B,V$76),VLOOKUP($F124+V$77,$A$7:$C$107,2,FALSE)*VLOOKUP(V$76,'Attrition Modeling'!$L$15:$N$27,IF(V$77+$F124&lt;=24,2,3),FALSE)),$C$3)*(1+IF('IP Attrition'!V181&gt;0,'Attrition Modeling'!$N$9,0)))</f>
        <v>0</v>
      </c>
      <c r="W124" s="799">
        <f>V124*(1-IFERROR(IF(W$77+$F124&lt;=12,SUMIFS('Attrition Modeling'!$D:$D,'Attrition Modeling'!$C:$C,$D124,'Attrition Modeling'!$B:$B,W$76),VLOOKUP($F124+W$77,$A$7:$C$107,2,FALSE)*VLOOKUP(W$76,'Attrition Modeling'!$L$15:$N$27,IF(W$77+$F124&lt;=24,2,3),FALSE)),$C$3)*(1+IF('IP Attrition'!W181&gt;0,'Attrition Modeling'!$N$9,0)))</f>
        <v>0</v>
      </c>
      <c r="X124" s="799">
        <f>W124*(1-IFERROR(IF(X$77+$F124&lt;=12,SUMIFS('Attrition Modeling'!$D:$D,'Attrition Modeling'!$C:$C,$D124,'Attrition Modeling'!$B:$B,X$76),VLOOKUP($F124+X$77,$A$7:$C$107,2,FALSE)*VLOOKUP(X$76,'Attrition Modeling'!$L$15:$N$27,IF(X$77+$F124&lt;=24,2,3),FALSE)),$C$3)*(1+IF('IP Attrition'!X181&gt;0,'Attrition Modeling'!$N$9,0)))</f>
        <v>0</v>
      </c>
      <c r="Y124" s="799">
        <f>X124*(1-IFERROR(IF(Y$77+$F124&lt;=12,SUMIFS('Attrition Modeling'!$D:$D,'Attrition Modeling'!$C:$C,$D124,'Attrition Modeling'!$B:$B,Y$76),VLOOKUP($F124+Y$77,$A$7:$C$107,2,FALSE)*VLOOKUP(Y$76,'Attrition Modeling'!$L$15:$N$27,IF(Y$77+$F124&lt;=24,2,3),FALSE)),$C$3)*(1+IF('IP Attrition'!Y181&gt;0,'Attrition Modeling'!$N$9,0)))</f>
        <v>0</v>
      </c>
      <c r="Z124" s="799">
        <f>Y124*(1-IFERROR(IF(Z$77+$F124&lt;=12,SUMIFS('Attrition Modeling'!$D:$D,'Attrition Modeling'!$C:$C,$D124,'Attrition Modeling'!$B:$B,Z$76),VLOOKUP($F124+Z$77,$A$7:$C$107,2,FALSE)*VLOOKUP(Z$76,'Attrition Modeling'!$L$15:$N$27,IF(Z$77+$F124&lt;=24,2,3),FALSE)),$C$3)*(1+IF('IP Attrition'!Z181&gt;0,'Attrition Modeling'!$N$9,0)))</f>
        <v>0</v>
      </c>
      <c r="AA124" s="799">
        <f>Z124*(1-IFERROR(IF(AA$77+$F124&lt;=12,SUMIFS('Attrition Modeling'!$D:$D,'Attrition Modeling'!$C:$C,$D124,'Attrition Modeling'!$B:$B,AA$76),VLOOKUP($F124+AA$77,$A$7:$C$107,2,FALSE)*VLOOKUP(AA$76,'Attrition Modeling'!$L$15:$N$27,IF(AA$77+$F124&lt;=24,2,3),FALSE)),$C$3)*(1+IF('IP Attrition'!AA181&gt;0,'Attrition Modeling'!$N$9,0)))</f>
        <v>0</v>
      </c>
      <c r="AB124" s="799">
        <f>AA124*(1-IFERROR(IF(AB$77+$F124&lt;=12,SUMIFS('Attrition Modeling'!$D:$D,'Attrition Modeling'!$C:$C,$D124,'Attrition Modeling'!$B:$B,AB$76),VLOOKUP($F124+AB$77,$A$7:$C$107,2,FALSE)*VLOOKUP(AB$76,'Attrition Modeling'!$L$15:$N$27,IF(AB$77+$F124&lt;=24,2,3),FALSE)),$C$3)*(1+IF('IP Attrition'!AB181&gt;0,'Attrition Modeling'!$N$9,0)))</f>
        <v>0</v>
      </c>
      <c r="AC124" s="799">
        <f>AB124*(1-IFERROR(IF(AC$77+$F124&lt;=12,SUMIFS('Attrition Modeling'!$D:$D,'Attrition Modeling'!$C:$C,$D124,'Attrition Modeling'!$B:$B,AC$76),VLOOKUP($F124+AC$77,$A$7:$C$107,2,FALSE)*VLOOKUP(AC$76,'Attrition Modeling'!$L$15:$N$27,IF(AC$77+$F124&lt;=24,2,3),FALSE)),$C$3)*(1+IF('IP Attrition'!AC181&gt;0,'Attrition Modeling'!$N$9,0)))</f>
        <v>0</v>
      </c>
      <c r="AD124" s="799">
        <f>AC124*(1-IFERROR(IF(AD$77+$F124&lt;=12,SUMIFS('Attrition Modeling'!$D:$D,'Attrition Modeling'!$C:$C,$D124,'Attrition Modeling'!$B:$B,AD$76),VLOOKUP($F124+AD$77,$A$7:$C$107,2,FALSE)*VLOOKUP(AD$76,'Attrition Modeling'!$L$15:$N$27,IF(AD$77+$F124&lt;=24,2,3),FALSE)),$C$3)*(1+IF('IP Attrition'!AD181&gt;0,'Attrition Modeling'!$N$9,0)))</f>
        <v>0</v>
      </c>
      <c r="AE124" s="799">
        <f>AD124*(1-IFERROR(IF(AE$77+$F124&lt;=12,SUMIFS('Attrition Modeling'!$D:$D,'Attrition Modeling'!$C:$C,$D124,'Attrition Modeling'!$B:$B,AE$76),VLOOKUP($F124+AE$77,$A$7:$C$107,2,FALSE)*VLOOKUP(AE$76,'Attrition Modeling'!$L$15:$N$27,IF(AE$77+$F124&lt;=24,2,3),FALSE)),$C$3)*(1+IF('IP Attrition'!AE181&gt;0,'Attrition Modeling'!$N$9,0)))</f>
        <v>0</v>
      </c>
      <c r="AF124" s="799">
        <f>AE124*(1-IFERROR(IF(AF$77+$F124&lt;=12,SUMIFS('Attrition Modeling'!$D:$D,'Attrition Modeling'!$C:$C,$D124,'Attrition Modeling'!$B:$B,AF$76),VLOOKUP($F124+AF$77,$A$7:$C$107,2,FALSE)*VLOOKUP(AF$76,'Attrition Modeling'!$L$15:$N$27,IF(AF$77+$F124&lt;=24,2,3),FALSE)),$C$3)*(1+IF('IP Attrition'!AF181&gt;0,'Attrition Modeling'!$N$9,0)))</f>
        <v>0</v>
      </c>
      <c r="AG124" s="799">
        <f>AF124*(1-IFERROR(IF(AG$77+$F124&lt;=12,SUMIFS('Attrition Modeling'!$D:$D,'Attrition Modeling'!$C:$C,$D124,'Attrition Modeling'!$B:$B,AG$76),VLOOKUP($F124+AG$77,$A$7:$C$107,2,FALSE)*VLOOKUP(AG$76,'Attrition Modeling'!$L$15:$N$27,IF(AG$77+$F124&lt;=24,2,3),FALSE)),$C$3)*(1+IF('IP Attrition'!AG181&gt;0,'Attrition Modeling'!$N$9,0)))</f>
        <v>0</v>
      </c>
      <c r="AH124" s="799">
        <f>AG124*(1-IFERROR(IF(AH$77+$F124&lt;=12,SUMIFS('Attrition Modeling'!$D:$D,'Attrition Modeling'!$C:$C,$D124,'Attrition Modeling'!$B:$B,AH$76),VLOOKUP($F124+AH$77,$A$7:$C$107,2,FALSE)*VLOOKUP(AH$76,'Attrition Modeling'!$L$15:$N$27,IF(AH$77+$F124&lt;=24,2,3),FALSE)),$C$3)*(1+IF('IP Attrition'!AH181&gt;0,'Attrition Modeling'!$N$9,0)))</f>
        <v>0</v>
      </c>
      <c r="AI124" s="799">
        <f>AH124*(1-IFERROR(IF(AI$77+$F124&lt;=12,SUMIFS('Attrition Modeling'!$D:$D,'Attrition Modeling'!$C:$C,$D124,'Attrition Modeling'!$B:$B,AI$76),VLOOKUP($F124+AI$77,$A$7:$C$107,2,FALSE)*VLOOKUP(AI$76,'Attrition Modeling'!$L$15:$N$27,IF(AI$77+$F124&lt;=24,2,3),FALSE)),$C$3)*(1+IF('IP Attrition'!AI181&gt;0,'Attrition Modeling'!$N$9,0)))</f>
        <v>0</v>
      </c>
      <c r="AJ124" s="799">
        <f>AI124*(1-IFERROR(IF(AJ$77+$F124&lt;=12,SUMIFS('Attrition Modeling'!$D:$D,'Attrition Modeling'!$C:$C,$D124,'Attrition Modeling'!$B:$B,AJ$76),VLOOKUP($F124+AJ$77,$A$7:$C$107,2,FALSE)*VLOOKUP(AJ$76,'Attrition Modeling'!$L$15:$N$27,IF(AJ$77+$F124&lt;=24,2,3),FALSE)),$C$3)*(1+IF('IP Attrition'!AJ181&gt;0,'Attrition Modeling'!$N$9,0)))</f>
        <v>0</v>
      </c>
      <c r="AK124" s="799">
        <f>AJ124*(1-IFERROR(IF(AK$77+$F124&lt;=12,SUMIFS('Attrition Modeling'!$D:$D,'Attrition Modeling'!$C:$C,$D124,'Attrition Modeling'!$B:$B,AK$76),VLOOKUP($F124+AK$77,$A$7:$C$107,2,FALSE)*VLOOKUP(AK$76,'Attrition Modeling'!$L$15:$N$27,IF(AK$77+$F124&lt;=24,2,3),FALSE)),$C$3)*(1+IF('IP Attrition'!AK181&gt;0,'Attrition Modeling'!$N$9,0)))</f>
        <v>0</v>
      </c>
      <c r="AL124" s="799">
        <f>AK124*(1-IFERROR(IF(AL$77+$F124&lt;=12,SUMIFS('Attrition Modeling'!$D:$D,'Attrition Modeling'!$C:$C,$D124,'Attrition Modeling'!$B:$B,AL$76),VLOOKUP($F124+AL$77,$A$7:$C$107,2,FALSE)*VLOOKUP(AL$76,'Attrition Modeling'!$L$15:$N$27,IF(AL$77+$F124&lt;=24,2,3),FALSE)),$C$3)*(1+IF('IP Attrition'!AL181&gt;0,'Attrition Modeling'!$N$9,0)))</f>
        <v>0</v>
      </c>
      <c r="AM124" s="799">
        <f>AL124*(1-IFERROR(IF(AM$77+$F124&lt;=12,SUMIFS('Attrition Modeling'!$D:$D,'Attrition Modeling'!$C:$C,$D124,'Attrition Modeling'!$B:$B,AM$76),VLOOKUP($F124+AM$77,$A$7:$C$107,2,FALSE)*VLOOKUP(AM$76,'Attrition Modeling'!$L$15:$N$27,IF(AM$77+$F124&lt;=24,2,3),FALSE)),$C$3)*(1+IF('IP Attrition'!AM181&gt;0,'Attrition Modeling'!$N$9,0)))</f>
        <v>0</v>
      </c>
      <c r="AN124" s="799">
        <f>AM124*(1-IFERROR(IF(AN$77+$F124&lt;=12,SUMIFS('Attrition Modeling'!$D:$D,'Attrition Modeling'!$C:$C,$D124,'Attrition Modeling'!$B:$B,AN$76),VLOOKUP($F124+AN$77,$A$7:$C$107,2,FALSE)*VLOOKUP(AN$76,'Attrition Modeling'!$L$15:$N$27,IF(AN$77+$F124&lt;=24,2,3),FALSE)),$C$3)*(1+IF('IP Attrition'!AN181&gt;0,'Attrition Modeling'!$N$9,0)))</f>
        <v>0</v>
      </c>
      <c r="AO124" s="799">
        <f>AN124*(1-IFERROR(IF(AO$77+$F124&lt;=12,SUMIFS('Attrition Modeling'!$D:$D,'Attrition Modeling'!$C:$C,$D124,'Attrition Modeling'!$B:$B,AO$76),VLOOKUP($F124+AO$77,$A$7:$C$107,2,FALSE)*VLOOKUP(AO$76,'Attrition Modeling'!$L$15:$N$27,IF(AO$77+$F124&lt;=24,2,3),FALSE)),$C$3)*(1+IF('IP Attrition'!AO181&gt;0,'Attrition Modeling'!$N$9,0)))</f>
        <v>0</v>
      </c>
      <c r="AP124" s="799">
        <f>AO124*(1-IFERROR(IF(AP$77+$F124&lt;=12,SUMIFS('Attrition Modeling'!$D:$D,'Attrition Modeling'!$C:$C,$D124,'Attrition Modeling'!$B:$B,AP$76),VLOOKUP($F124+AP$77,$A$7:$C$107,2,FALSE)*VLOOKUP(AP$76,'Attrition Modeling'!$L$15:$N$27,IF(AP$77+$F124&lt;=24,2,3),FALSE)),$C$3)*(1+IF('IP Attrition'!AP181&gt;0,'Attrition Modeling'!$N$9,0)))</f>
        <v>0</v>
      </c>
      <c r="AQ124" s="799">
        <f>AP124*(1-IFERROR(IF(AQ$77+$F124&lt;=12,SUMIFS('Attrition Modeling'!$D:$D,'Attrition Modeling'!$C:$C,$D124,'Attrition Modeling'!$B:$B,AQ$76),VLOOKUP($F124+AQ$77,$A$7:$C$107,2,FALSE)*VLOOKUP(AQ$76,'Attrition Modeling'!$L$15:$N$27,IF(AQ$77+$F124&lt;=24,2,3),FALSE)),$C$3)*(1+IF('IP Attrition'!AQ181&gt;0,'Attrition Modeling'!$N$9,0)))</f>
        <v>0</v>
      </c>
      <c r="AR124" s="799">
        <f>AQ124*(1-IFERROR(IF(AR$77+$F124&lt;=12,SUMIFS('Attrition Modeling'!$D:$D,'Attrition Modeling'!$C:$C,$D124,'Attrition Modeling'!$B:$B,AR$76),VLOOKUP($F124+AR$77,$A$7:$C$107,2,FALSE)*VLOOKUP(AR$76,'Attrition Modeling'!$L$15:$N$27,IF(AR$77+$F124&lt;=24,2,3),FALSE)),$C$3)*(1+IF('IP Attrition'!AR181&gt;0,'Attrition Modeling'!$N$9,0)))</f>
        <v>0</v>
      </c>
      <c r="AS124" s="799">
        <f>AR124*(1-IFERROR(IF(AS$77+$F124&lt;=12,SUMIFS('Attrition Modeling'!$D:$D,'Attrition Modeling'!$C:$C,$D124,'Attrition Modeling'!$B:$B,AS$76),VLOOKUP($F124+AS$77,$A$7:$C$107,2,FALSE)*VLOOKUP(AS$76,'Attrition Modeling'!$L$15:$N$27,IF(AS$77+$F124&lt;=24,2,3),FALSE)),$C$3)*(1+IF('IP Attrition'!AS181&gt;0,'Attrition Modeling'!$N$9,0)))</f>
        <v>0</v>
      </c>
      <c r="AT124" s="799">
        <f>AS124*(1-IFERROR(IF(AT$77+$F124&lt;=12,SUMIFS('Attrition Modeling'!$D:$D,'Attrition Modeling'!$C:$C,$D124,'Attrition Modeling'!$B:$B,AT$76),VLOOKUP($F124+AT$77,$A$7:$C$107,2,FALSE)*VLOOKUP(AT$76,'Attrition Modeling'!$L$15:$N$27,IF(AT$77+$F124&lt;=24,2,3),FALSE)),$C$3)*(1+IF('IP Attrition'!AT181&gt;0,'Attrition Modeling'!$N$9,0)))</f>
        <v>0</v>
      </c>
      <c r="AU124" s="799">
        <f>AT124*(1-IFERROR(IF(AU$77+$F124&lt;=12,SUMIFS('Attrition Modeling'!$D:$D,'Attrition Modeling'!$C:$C,$D124,'Attrition Modeling'!$B:$B,AU$76),VLOOKUP($F124+AU$77,$A$7:$C$107,2,FALSE)*VLOOKUP(AU$76,'Attrition Modeling'!$L$15:$N$27,IF(AU$77+$F124&lt;=24,2,3),FALSE)),$C$3)*(1+IF('IP Attrition'!AU181&gt;0,'Attrition Modeling'!$N$9,0)))</f>
        <v>0</v>
      </c>
      <c r="AV124" s="799">
        <f>AU124*(1-IFERROR(IF(AV$77+$F124&lt;=12,SUMIFS('Attrition Modeling'!$D:$D,'Attrition Modeling'!$C:$C,$D124,'Attrition Modeling'!$B:$B,AV$76),VLOOKUP($F124+AV$77,$A$7:$C$107,2,FALSE)*VLOOKUP(AV$76,'Attrition Modeling'!$L$15:$N$27,IF(AV$77+$F124&lt;=24,2,3),FALSE)),$C$3)*(1+IF('IP Attrition'!AV181&gt;0,'Attrition Modeling'!$N$9,0)))</f>
        <v>0</v>
      </c>
      <c r="AW124" s="799">
        <f>AV124*(1-IFERROR(IF(AW$77+$F124&lt;=12,SUMIFS('Attrition Modeling'!$D:$D,'Attrition Modeling'!$C:$C,$D124,'Attrition Modeling'!$B:$B,AW$76),VLOOKUP($F124+AW$77,$A$7:$C$107,2,FALSE)*VLOOKUP(AW$76,'Attrition Modeling'!$L$15:$N$27,IF(AW$77+$F124&lt;=24,2,3),FALSE)),$C$3)*(1+IF('IP Attrition'!AW181&gt;0,'Attrition Modeling'!$N$9,0)))</f>
        <v>0</v>
      </c>
      <c r="AX124" s="799">
        <f>AW124*(1-IFERROR(IF(AX$77+$F124&lt;=12,SUMIFS('Attrition Modeling'!$D:$D,'Attrition Modeling'!$C:$C,$D124,'Attrition Modeling'!$B:$B,AX$76),VLOOKUP($F124+AX$77,$A$7:$C$107,2,FALSE)*VLOOKUP(AX$76,'Attrition Modeling'!$L$15:$N$27,IF(AX$77+$F124&lt;=24,2,3),FALSE)),$C$3)*(1+IF('IP Attrition'!AX181&gt;0,'Attrition Modeling'!$N$9,0)))</f>
        <v>0</v>
      </c>
      <c r="AY124" s="799">
        <f>AX124*(1-IFERROR(IF(AY$77+$F124&lt;=12,SUMIFS('Attrition Modeling'!$D:$D,'Attrition Modeling'!$C:$C,$D124,'Attrition Modeling'!$B:$B,AY$76),VLOOKUP($F124+AY$77,$A$7:$C$107,2,FALSE)*VLOOKUP(AY$76,'Attrition Modeling'!$L$15:$N$27,IF(AY$77+$F124&lt;=24,2,3),FALSE)),$C$3)*(1+IF('IP Attrition'!AY181&gt;0,'Attrition Modeling'!$N$9,0)))</f>
        <v>0</v>
      </c>
      <c r="AZ124" s="799">
        <f>AY124*(1-IFERROR(IF(AZ$77+$F124&lt;=12,SUMIFS('Attrition Modeling'!$D:$D,'Attrition Modeling'!$C:$C,$D124,'Attrition Modeling'!$B:$B,AZ$76),VLOOKUP($F124+AZ$77,$A$7:$C$107,2,FALSE)*VLOOKUP(AZ$76,'Attrition Modeling'!$L$15:$N$27,IF(AZ$77+$F124&lt;=24,2,3),FALSE)),$C$3)*(1+IF('IP Attrition'!AZ181&gt;0,'Attrition Modeling'!$N$9,0)))</f>
        <v>0</v>
      </c>
      <c r="BA124" s="799">
        <f>AZ124*(1-IFERROR(IF(BA$77+$F124&lt;=12,SUMIFS('Attrition Modeling'!$D:$D,'Attrition Modeling'!$C:$C,$D124,'Attrition Modeling'!$B:$B,BA$76),VLOOKUP($F124+BA$77,$A$7:$C$107,2,FALSE)*VLOOKUP(BA$76,'Attrition Modeling'!$L$15:$N$27,IF(BA$77+$F124&lt;=24,2,3),FALSE)),$C$3)*(1+IF('IP Attrition'!BA181&gt;0,'Attrition Modeling'!$N$9,0)))</f>
        <v>0</v>
      </c>
      <c r="BB124" s="799">
        <f>BA124*(1-IFERROR(IF(BB$77+$F124&lt;=12,SUMIFS('Attrition Modeling'!$D:$D,'Attrition Modeling'!$C:$C,$D124,'Attrition Modeling'!$B:$B,BB$76),VLOOKUP($F124+BB$77,$A$7:$C$107,2,FALSE)*VLOOKUP(BB$76,'Attrition Modeling'!$L$15:$N$27,IF(BB$77+$F124&lt;=24,2,3),FALSE)),$C$3)*(1+IF('IP Attrition'!BB181&gt;0,'Attrition Modeling'!$N$9,0)))</f>
        <v>0</v>
      </c>
      <c r="BC124" s="799">
        <f>BB124*(1-IFERROR(IF(BC$77+$F124&lt;=12,SUMIFS('Attrition Modeling'!$D:$D,'Attrition Modeling'!$C:$C,$D124,'Attrition Modeling'!$B:$B,BC$76),VLOOKUP($F124+BC$77,$A$7:$C$107,2,FALSE)*VLOOKUP(BC$76,'Attrition Modeling'!$L$15:$N$27,IF(BC$77+$F124&lt;=24,2,3),FALSE)),$C$3)*(1+IF('IP Attrition'!BC181&gt;0,'Attrition Modeling'!$N$9,0)))</f>
        <v>0</v>
      </c>
      <c r="BD124" s="799">
        <f>BC124*(1-IFERROR(IF(BD$77+$F124&lt;=12,SUMIFS('Attrition Modeling'!$D:$D,'Attrition Modeling'!$C:$C,$D124,'Attrition Modeling'!$B:$B,BD$76),VLOOKUP($F124+BD$77,$A$7:$C$107,2,FALSE)*VLOOKUP(BD$76,'Attrition Modeling'!$L$15:$N$27,IF(BD$77+$F124&lt;=24,2,3),FALSE)),$C$3)*(1+IF('IP Attrition'!BD181&gt;0,'Attrition Modeling'!$N$9,0)))</f>
        <v>0</v>
      </c>
      <c r="BE124" s="799">
        <f>BD124*(1-IFERROR(IF(BE$77+$F124&lt;=12,SUMIFS('Attrition Modeling'!$D:$D,'Attrition Modeling'!$C:$C,$D124,'Attrition Modeling'!$B:$B,BE$76),VLOOKUP($F124+BE$77,$A$7:$C$107,2,FALSE)*VLOOKUP(BE$76,'Attrition Modeling'!$L$15:$N$27,IF(BE$77+$F124&lt;=24,2,3),FALSE)),$C$3)*(1+IF('IP Attrition'!BE181&gt;0,'Attrition Modeling'!$N$9,0)))</f>
        <v>0</v>
      </c>
      <c r="BF124" s="799">
        <f>BE124*(1-IFERROR(IF(BF$77+$F124&lt;=12,SUMIFS('Attrition Modeling'!$D:$D,'Attrition Modeling'!$C:$C,$D124,'Attrition Modeling'!$B:$B,BF$76),VLOOKUP($F124+BF$77,$A$7:$C$107,2,FALSE)*VLOOKUP(BF$76,'Attrition Modeling'!$L$15:$N$27,IF(BF$77+$F124&lt;=24,2,3),FALSE)),$C$3)*(1+IF('IP Attrition'!BF181&gt;0,'Attrition Modeling'!$N$9,0)))</f>
        <v>0</v>
      </c>
      <c r="BG124" s="799">
        <f>BF124*(1-IFERROR(IF(BG$77+$F124&lt;=12,SUMIFS('Attrition Modeling'!$D:$D,'Attrition Modeling'!$C:$C,$D124,'Attrition Modeling'!$B:$B,BG$76),VLOOKUP($F124+BG$77,$A$7:$C$107,2,FALSE)*VLOOKUP(BG$76,'Attrition Modeling'!$L$15:$N$27,IF(BG$77+$F124&lt;=24,2,3),FALSE)),$C$3)*(1+IF('IP Attrition'!BG181&gt;0,'Attrition Modeling'!$N$9,0)))</f>
        <v>0</v>
      </c>
      <c r="BH124" s="799">
        <f>BG124*(1-IFERROR(IF(BH$77+$F124&lt;=12,SUMIFS('Attrition Modeling'!$D:$D,'Attrition Modeling'!$C:$C,$D124,'Attrition Modeling'!$B:$B,BH$76),VLOOKUP($F124+BH$77,$A$7:$C$107,2,FALSE)*VLOOKUP(BH$76,'Attrition Modeling'!$L$15:$N$27,IF(BH$77+$F124&lt;=24,2,3),FALSE)),$C$3)*(1+IF('IP Attrition'!BH181&gt;0,'Attrition Modeling'!$N$9,0)))</f>
        <v>0</v>
      </c>
      <c r="BI124" s="799">
        <f>BH124*(1-IFERROR(IF(BI$77+$F124&lt;=12,SUMIFS('Attrition Modeling'!$D:$D,'Attrition Modeling'!$C:$C,$D124,'Attrition Modeling'!$B:$B,BI$76),VLOOKUP($F124+BI$77,$A$7:$C$107,2,FALSE)*VLOOKUP(BI$76,'Attrition Modeling'!$L$15:$N$27,IF(BI$77+$F124&lt;=24,2,3),FALSE)),$C$3)*(1+IF('IP Attrition'!BI181&gt;0,'Attrition Modeling'!$N$9,0)))</f>
        <v>0</v>
      </c>
      <c r="BJ124" s="799">
        <f>BI124*(1-IFERROR(IF(BJ$77+$F124&lt;=12,SUMIFS('Attrition Modeling'!$D:$D,'Attrition Modeling'!$C:$C,$D124,'Attrition Modeling'!$B:$B,BJ$76),VLOOKUP($F124+BJ$77,$A$7:$C$107,2,FALSE)*VLOOKUP(BJ$76,'Attrition Modeling'!$L$15:$N$27,IF(BJ$77+$F124&lt;=24,2,3),FALSE)),$C$3)*(1+IF('IP Attrition'!BJ181&gt;0,'Attrition Modeling'!$N$9,0)))</f>
        <v>0</v>
      </c>
      <c r="BK124" s="799">
        <f>BJ124*(1-IFERROR(IF(BK$77+$F124&lt;=12,SUMIFS('Attrition Modeling'!$D:$D,'Attrition Modeling'!$C:$C,$D124,'Attrition Modeling'!$B:$B,BK$76),VLOOKUP($F124+BK$77,$A$7:$C$107,2,FALSE)*VLOOKUP(BK$76,'Attrition Modeling'!$L$15:$N$27,IF(BK$77+$F124&lt;=24,2,3),FALSE)),$C$3)*(1+IF('IP Attrition'!BK181&gt;0,'Attrition Modeling'!$N$9,0)))</f>
        <v>0</v>
      </c>
      <c r="BL124" s="799">
        <f>BK124*(1-IFERROR(IF(BL$77+$F124&lt;=12,SUMIFS('Attrition Modeling'!$D:$D,'Attrition Modeling'!$C:$C,$D124,'Attrition Modeling'!$B:$B,BL$76),VLOOKUP($F124+BL$77,$A$7:$C$107,2,FALSE)*VLOOKUP(BL$76,'Attrition Modeling'!$L$15:$N$27,IF(BL$77+$F124&lt;=24,2,3),FALSE)),$C$3)*(1+IF('IP Attrition'!BL181&gt;0,'Attrition Modeling'!$N$9,0)))</f>
        <v>0</v>
      </c>
      <c r="BM124" s="799">
        <f>BL124*(1-IFERROR(IF(BM$77+$F124&lt;=12,SUMIFS('Attrition Modeling'!$D:$D,'Attrition Modeling'!$C:$C,$D124,'Attrition Modeling'!$B:$B,BM$76),VLOOKUP($F124+BM$77,$A$7:$C$107,2,FALSE)*VLOOKUP(BM$76,'Attrition Modeling'!$L$15:$N$27,IF(BM$77+$F124&lt;=24,2,3),FALSE)),$C$3)*(1+IF('IP Attrition'!BM181&gt;0,'Attrition Modeling'!$N$9,0)))</f>
        <v>0</v>
      </c>
      <c r="BN124" s="799">
        <f>BM124*(1-IFERROR(IF(BN$77+$F124&lt;=12,SUMIFS('Attrition Modeling'!$D:$D,'Attrition Modeling'!$C:$C,$D124,'Attrition Modeling'!$B:$B,BN$76),VLOOKUP($F124+BN$77,$A$7:$C$107,2,FALSE)*VLOOKUP(BN$76,'Attrition Modeling'!$L$15:$N$27,IF(BN$77+$F124&lt;=24,2,3),FALSE)),$C$3)*(1+IF('IP Attrition'!BN181&gt;0,'Attrition Modeling'!$N$9,0)))</f>
        <v>0</v>
      </c>
      <c r="BO124" s="799">
        <f>BN124*(1-IFERROR(IF(BO$77+$F124&lt;=12,SUMIFS('Attrition Modeling'!$D:$D,'Attrition Modeling'!$C:$C,$D124,'Attrition Modeling'!$B:$B,BO$76),VLOOKUP($F124+BO$77,$A$7:$C$107,2,FALSE)*VLOOKUP(BO$76,'Attrition Modeling'!$L$15:$N$27,IF(BO$77+$F124&lt;=24,2,3),FALSE)),$C$3)*(1+IF('IP Attrition'!BO181&gt;0,'Attrition Modeling'!$N$9,0)))</f>
        <v>0</v>
      </c>
      <c r="BP124" s="799">
        <f>BO124*(1-IFERROR(IF(BP$77+$F124&lt;=12,SUMIFS('Attrition Modeling'!$D:$D,'Attrition Modeling'!$C:$C,$D124,'Attrition Modeling'!$B:$B,BP$76),VLOOKUP($F124+BP$77,$A$7:$C$107,2,FALSE)*VLOOKUP(BP$76,'Attrition Modeling'!$L$15:$N$27,IF(BP$77+$F124&lt;=24,2,3),FALSE)),$C$3)*(1+IF('IP Attrition'!BP181&gt;0,'Attrition Modeling'!$N$9,0)))</f>
        <v>0</v>
      </c>
      <c r="BQ124" s="799">
        <f>BP124*(1-IFERROR(IF(BQ$77+$F124&lt;=12,SUMIFS('Attrition Modeling'!$D:$D,'Attrition Modeling'!$C:$C,$D124,'Attrition Modeling'!$B:$B,BQ$76),VLOOKUP($F124+BQ$77,$A$7:$C$107,2,FALSE)*VLOOKUP(BQ$76,'Attrition Modeling'!$L$15:$N$27,IF(BQ$77+$F124&lt;=24,2,3),FALSE)),$C$3)*(1+IF('IP Attrition'!BQ181&gt;0,'Attrition Modeling'!$N$9,0)))</f>
        <v>0</v>
      </c>
      <c r="BR124" s="799">
        <f>BQ124*(1-IFERROR(IF(BR$77+$F124&lt;=12,SUMIFS('Attrition Modeling'!$D:$D,'Attrition Modeling'!$C:$C,$D124,'Attrition Modeling'!$B:$B,BR$76),VLOOKUP($F124+BR$77,$A$7:$C$107,2,FALSE)*VLOOKUP(BR$76,'Attrition Modeling'!$L$15:$N$27,IF(BR$77+$F124&lt;=24,2,3),FALSE)),$C$3)*(1+IF('IP Attrition'!BR181&gt;0,'Attrition Modeling'!$N$9,0)))</f>
        <v>0</v>
      </c>
      <c r="BS124" s="799">
        <f>BR124*(1-IFERROR(IF(BS$77+$F124&lt;=12,SUMIFS('Attrition Modeling'!$D:$D,'Attrition Modeling'!$C:$C,$D124,'Attrition Modeling'!$B:$B,BS$76),VLOOKUP($F124+BS$77,$A$7:$C$107,2,FALSE)*VLOOKUP(BS$76,'Attrition Modeling'!$L$15:$N$27,IF(BS$77+$F124&lt;=24,2,3),FALSE)),$C$3)*(1+IF('IP Attrition'!BS181&gt;0,'Attrition Modeling'!$N$9,0)))</f>
        <v>0</v>
      </c>
      <c r="BT124" s="799" t="e">
        <f>BS124*(1-IFERROR(IF(BT$77+$F124&lt;=12,SUMIFS('Attrition Modeling'!$D:$D,'Attrition Modeling'!$C:$C,$D124,'Attrition Modeling'!$B:$B,BT$76),VLOOKUP($F124+BT$77,$A$7:$C$107,2,FALSE)*VLOOKUP(BT$76,'Attrition Modeling'!$L$15:$N$27,IF(BT$77+$F124&lt;=24,2,3),FALSE)),$C$3)*(1+IF('IP Attrition'!BT181&gt;0,'Attrition Modeling'!$N$9,0)))</f>
        <v>#REF!</v>
      </c>
      <c r="BU124" s="799" t="e">
        <f>BT124*(1-IFERROR(IF(BU$77+$F124&lt;=12,SUMIFS('Attrition Modeling'!$D:$D,'Attrition Modeling'!$C:$C,$D124,'Attrition Modeling'!$B:$B,BU$76),VLOOKUP($F124+BU$77,$A$7:$C$107,2,FALSE)*VLOOKUP(BU$76,'Attrition Modeling'!$L$15:$N$27,IF(BU$77+$F124&lt;=24,2,3),FALSE)),$C$3)*(1+IF('IP Attrition'!BU181&gt;0,'Attrition Modeling'!$N$9,0)))</f>
        <v>#REF!</v>
      </c>
    </row>
    <row r="125" spans="1:73" ht="14.25" customHeight="1" x14ac:dyDescent="0.2">
      <c r="A125" s="9">
        <v>117</v>
      </c>
      <c r="B125" s="25">
        <f>MAX('Attrition Modeling'!H121,$C$3)*(1-Summary!$C$20)</f>
        <v>0.02</v>
      </c>
      <c r="C125" s="24" t="e">
        <f t="shared" si="2"/>
        <v>#DIV/0!</v>
      </c>
      <c r="D125" s="11">
        <f>'IP Attrition'!D117</f>
        <v>-47</v>
      </c>
      <c r="E125" s="25">
        <f>'IP Attrition'!E117</f>
        <v>0</v>
      </c>
      <c r="F125" s="11">
        <f t="shared" si="8"/>
        <v>47</v>
      </c>
      <c r="G125" s="799">
        <f>Summary!$C$24*$E125</f>
        <v>0</v>
      </c>
      <c r="H125" s="799">
        <f>G125*(1-IFERROR(IF(H$77+$F125&lt;=12,SUMIFS('Attrition Modeling'!$D:$D,'Attrition Modeling'!$C:$C,$D125,'Attrition Modeling'!$B:$B,H$76),VLOOKUP($F125+H$77,$A$7:$C$107,2,FALSE)*VLOOKUP(H$76,'Attrition Modeling'!$L$15:$N$27,IF(H$77+$F125&lt;=24,2,3),FALSE)),$C$3)*(1+IF('IP Attrition'!H182&gt;0,'Attrition Modeling'!$N$9,0)))</f>
        <v>0</v>
      </c>
      <c r="I125" s="799">
        <f>H125*(1-IFERROR(IF(I$77+$F125&lt;=12,SUMIFS('Attrition Modeling'!$D:$D,'Attrition Modeling'!$C:$C,$D125,'Attrition Modeling'!$B:$B,I$76),VLOOKUP($F125+I$77,$A$7:$C$107,2,FALSE)*VLOOKUP(I$76,'Attrition Modeling'!$L$15:$N$27,IF(I$77+$F125&lt;=24,2,3),FALSE)),$C$3)*(1+IF('IP Attrition'!I182&gt;0,'Attrition Modeling'!$N$9,0)))</f>
        <v>0</v>
      </c>
      <c r="J125" s="799">
        <f>I125*(1-IFERROR(IF(J$77+$F125&lt;=12,SUMIFS('Attrition Modeling'!$D:$D,'Attrition Modeling'!$C:$C,$D125,'Attrition Modeling'!$B:$B,J$76),VLOOKUP($F125+J$77,$A$7:$C$107,2,FALSE)*VLOOKUP(J$76,'Attrition Modeling'!$L$15:$N$27,IF(J$77+$F125&lt;=24,2,3),FALSE)),$C$3)*(1+IF('IP Attrition'!J182&gt;0,'Attrition Modeling'!$N$9,0)))</f>
        <v>0</v>
      </c>
      <c r="K125" s="799">
        <f>J125*(1-IFERROR(IF(K$77+$F125&lt;=12,SUMIFS('Attrition Modeling'!$D:$D,'Attrition Modeling'!$C:$C,$D125,'Attrition Modeling'!$B:$B,K$76),VLOOKUP($F125+K$77,$A$7:$C$107,2,FALSE)*VLOOKUP(K$76,'Attrition Modeling'!$L$15:$N$27,IF(K$77+$F125&lt;=24,2,3),FALSE)),$C$3)*(1+IF('IP Attrition'!K182&gt;0,'Attrition Modeling'!$N$9,0)))</f>
        <v>0</v>
      </c>
      <c r="L125" s="799">
        <f>K125*(1-IFERROR(IF(L$77+$F125&lt;=12,SUMIFS('Attrition Modeling'!$D:$D,'Attrition Modeling'!$C:$C,$D125,'Attrition Modeling'!$B:$B,L$76),VLOOKUP($F125+L$77,$A$7:$C$107,2,FALSE)*VLOOKUP(L$76,'Attrition Modeling'!$L$15:$N$27,IF(L$77+$F125&lt;=24,2,3),FALSE)),$C$3)*(1+IF('IP Attrition'!L182&gt;0,'Attrition Modeling'!$N$9,0)))</f>
        <v>0</v>
      </c>
      <c r="M125" s="799">
        <f>L125*(1-IFERROR(IF(M$77+$F125&lt;=12,SUMIFS('Attrition Modeling'!$D:$D,'Attrition Modeling'!$C:$C,$D125,'Attrition Modeling'!$B:$B,M$76),VLOOKUP($F125+M$77,$A$7:$C$107,2,FALSE)*VLOOKUP(M$76,'Attrition Modeling'!$L$15:$N$27,IF(M$77+$F125&lt;=24,2,3),FALSE)),$C$3)*(1+IF('IP Attrition'!M182&gt;0,'Attrition Modeling'!$N$9,0)))</f>
        <v>0</v>
      </c>
      <c r="N125" s="799">
        <f>M125*(1-IFERROR(IF(N$77+$F125&lt;=12,SUMIFS('Attrition Modeling'!$D:$D,'Attrition Modeling'!$C:$C,$D125,'Attrition Modeling'!$B:$B,N$76),VLOOKUP($F125+N$77,$A$7:$C$107,2,FALSE)*VLOOKUP(N$76,'Attrition Modeling'!$L$15:$N$27,IF(N$77+$F125&lt;=24,2,3),FALSE)),$C$3)*(1+IF('IP Attrition'!N182&gt;0,'Attrition Modeling'!$N$9,0)))</f>
        <v>0</v>
      </c>
      <c r="O125" s="799">
        <f>N125*(1-IFERROR(IF(O$77+$F125&lt;=12,SUMIFS('Attrition Modeling'!$D:$D,'Attrition Modeling'!$C:$C,$D125,'Attrition Modeling'!$B:$B,O$76),VLOOKUP($F125+O$77,$A$7:$C$107,2,FALSE)*VLOOKUP(O$76,'Attrition Modeling'!$L$15:$N$27,IF(O$77+$F125&lt;=24,2,3),FALSE)),$C$3)*(1+IF('IP Attrition'!O182&gt;0,'Attrition Modeling'!$N$9,0)))</f>
        <v>0</v>
      </c>
      <c r="P125" s="799">
        <f>O125*(1-IFERROR(IF(P$77+$F125&lt;=12,SUMIFS('Attrition Modeling'!$D:$D,'Attrition Modeling'!$C:$C,$D125,'Attrition Modeling'!$B:$B,P$76),VLOOKUP($F125+P$77,$A$7:$C$107,2,FALSE)*VLOOKUP(P$76,'Attrition Modeling'!$L$15:$N$27,IF(P$77+$F125&lt;=24,2,3),FALSE)),$C$3)*(1+IF('IP Attrition'!P182&gt;0,'Attrition Modeling'!$N$9,0)))</f>
        <v>0</v>
      </c>
      <c r="Q125" s="799">
        <f>P125*(1-IFERROR(IF(Q$77+$F125&lt;=12,SUMIFS('Attrition Modeling'!$D:$D,'Attrition Modeling'!$C:$C,$D125,'Attrition Modeling'!$B:$B,Q$76),VLOOKUP($F125+Q$77,$A$7:$C$107,2,FALSE)*VLOOKUP(Q$76,'Attrition Modeling'!$L$15:$N$27,IF(Q$77+$F125&lt;=24,2,3),FALSE)),$C$3)*(1+IF('IP Attrition'!Q182&gt;0,'Attrition Modeling'!$N$9,0)))</f>
        <v>0</v>
      </c>
      <c r="R125" s="799">
        <f>Q125*(1-IFERROR(IF(R$77+$F125&lt;=12,SUMIFS('Attrition Modeling'!$D:$D,'Attrition Modeling'!$C:$C,$D125,'Attrition Modeling'!$B:$B,R$76),VLOOKUP($F125+R$77,$A$7:$C$107,2,FALSE)*VLOOKUP(R$76,'Attrition Modeling'!$L$15:$N$27,IF(R$77+$F125&lt;=24,2,3),FALSE)),$C$3)*(1+IF('IP Attrition'!R182&gt;0,'Attrition Modeling'!$N$9,0)))</f>
        <v>0</v>
      </c>
      <c r="S125" s="799">
        <f>R125*(1-IFERROR(IF(S$77+$F125&lt;=12,SUMIFS('Attrition Modeling'!$D:$D,'Attrition Modeling'!$C:$C,$D125,'Attrition Modeling'!$B:$B,S$76),VLOOKUP($F125+S$77,$A$7:$C$107,2,FALSE)*VLOOKUP(S$76,'Attrition Modeling'!$L$15:$N$27,IF(S$77+$F125&lt;=24,2,3),FALSE)),$C$3)*(1+IF('IP Attrition'!S182&gt;0,'Attrition Modeling'!$N$9,0)))</f>
        <v>0</v>
      </c>
      <c r="T125" s="799">
        <f>S125*(1-IFERROR(IF(T$77+$F125&lt;=12,SUMIFS('Attrition Modeling'!$D:$D,'Attrition Modeling'!$C:$C,$D125,'Attrition Modeling'!$B:$B,T$76),VLOOKUP($F125+T$77,$A$7:$C$107,2,FALSE)*VLOOKUP(T$76,'Attrition Modeling'!$L$15:$N$27,IF(T$77+$F125&lt;=24,2,3),FALSE)),$C$3)*(1+IF('IP Attrition'!T182&gt;0,'Attrition Modeling'!$N$9,0)))</f>
        <v>0</v>
      </c>
      <c r="U125" s="799">
        <f>T125*(1-IFERROR(IF(U$77+$F125&lt;=12,SUMIFS('Attrition Modeling'!$D:$D,'Attrition Modeling'!$C:$C,$D125,'Attrition Modeling'!$B:$B,U$76),VLOOKUP($F125+U$77,$A$7:$C$107,2,FALSE)*VLOOKUP(U$76,'Attrition Modeling'!$L$15:$N$27,IF(U$77+$F125&lt;=24,2,3),FALSE)),$C$3)*(1+IF('IP Attrition'!U182&gt;0,'Attrition Modeling'!$N$9,0)))</f>
        <v>0</v>
      </c>
      <c r="V125" s="799">
        <f>U125*(1-IFERROR(IF(V$77+$F125&lt;=12,SUMIFS('Attrition Modeling'!$D:$D,'Attrition Modeling'!$C:$C,$D125,'Attrition Modeling'!$B:$B,V$76),VLOOKUP($F125+V$77,$A$7:$C$107,2,FALSE)*VLOOKUP(V$76,'Attrition Modeling'!$L$15:$N$27,IF(V$77+$F125&lt;=24,2,3),FALSE)),$C$3)*(1+IF('IP Attrition'!V182&gt;0,'Attrition Modeling'!$N$9,0)))</f>
        <v>0</v>
      </c>
      <c r="W125" s="799">
        <f>V125*(1-IFERROR(IF(W$77+$F125&lt;=12,SUMIFS('Attrition Modeling'!$D:$D,'Attrition Modeling'!$C:$C,$D125,'Attrition Modeling'!$B:$B,W$76),VLOOKUP($F125+W$77,$A$7:$C$107,2,FALSE)*VLOOKUP(W$76,'Attrition Modeling'!$L$15:$N$27,IF(W$77+$F125&lt;=24,2,3),FALSE)),$C$3)*(1+IF('IP Attrition'!W182&gt;0,'Attrition Modeling'!$N$9,0)))</f>
        <v>0</v>
      </c>
      <c r="X125" s="799">
        <f>W125*(1-IFERROR(IF(X$77+$F125&lt;=12,SUMIFS('Attrition Modeling'!$D:$D,'Attrition Modeling'!$C:$C,$D125,'Attrition Modeling'!$B:$B,X$76),VLOOKUP($F125+X$77,$A$7:$C$107,2,FALSE)*VLOOKUP(X$76,'Attrition Modeling'!$L$15:$N$27,IF(X$77+$F125&lt;=24,2,3),FALSE)),$C$3)*(1+IF('IP Attrition'!X182&gt;0,'Attrition Modeling'!$N$9,0)))</f>
        <v>0</v>
      </c>
      <c r="Y125" s="799">
        <f>X125*(1-IFERROR(IF(Y$77+$F125&lt;=12,SUMIFS('Attrition Modeling'!$D:$D,'Attrition Modeling'!$C:$C,$D125,'Attrition Modeling'!$B:$B,Y$76),VLOOKUP($F125+Y$77,$A$7:$C$107,2,FALSE)*VLOOKUP(Y$76,'Attrition Modeling'!$L$15:$N$27,IF(Y$77+$F125&lt;=24,2,3),FALSE)),$C$3)*(1+IF('IP Attrition'!Y182&gt;0,'Attrition Modeling'!$N$9,0)))</f>
        <v>0</v>
      </c>
      <c r="Z125" s="799">
        <f>Y125*(1-IFERROR(IF(Z$77+$F125&lt;=12,SUMIFS('Attrition Modeling'!$D:$D,'Attrition Modeling'!$C:$C,$D125,'Attrition Modeling'!$B:$B,Z$76),VLOOKUP($F125+Z$77,$A$7:$C$107,2,FALSE)*VLOOKUP(Z$76,'Attrition Modeling'!$L$15:$N$27,IF(Z$77+$F125&lt;=24,2,3),FALSE)),$C$3)*(1+IF('IP Attrition'!Z182&gt;0,'Attrition Modeling'!$N$9,0)))</f>
        <v>0</v>
      </c>
      <c r="AA125" s="799">
        <f>Z125*(1-IFERROR(IF(AA$77+$F125&lt;=12,SUMIFS('Attrition Modeling'!$D:$D,'Attrition Modeling'!$C:$C,$D125,'Attrition Modeling'!$B:$B,AA$76),VLOOKUP($F125+AA$77,$A$7:$C$107,2,FALSE)*VLOOKUP(AA$76,'Attrition Modeling'!$L$15:$N$27,IF(AA$77+$F125&lt;=24,2,3),FALSE)),$C$3)*(1+IF('IP Attrition'!AA182&gt;0,'Attrition Modeling'!$N$9,0)))</f>
        <v>0</v>
      </c>
      <c r="AB125" s="799">
        <f>AA125*(1-IFERROR(IF(AB$77+$F125&lt;=12,SUMIFS('Attrition Modeling'!$D:$D,'Attrition Modeling'!$C:$C,$D125,'Attrition Modeling'!$B:$B,AB$76),VLOOKUP($F125+AB$77,$A$7:$C$107,2,FALSE)*VLOOKUP(AB$76,'Attrition Modeling'!$L$15:$N$27,IF(AB$77+$F125&lt;=24,2,3),FALSE)),$C$3)*(1+IF('IP Attrition'!AB182&gt;0,'Attrition Modeling'!$N$9,0)))</f>
        <v>0</v>
      </c>
      <c r="AC125" s="799">
        <f>AB125*(1-IFERROR(IF(AC$77+$F125&lt;=12,SUMIFS('Attrition Modeling'!$D:$D,'Attrition Modeling'!$C:$C,$D125,'Attrition Modeling'!$B:$B,AC$76),VLOOKUP($F125+AC$77,$A$7:$C$107,2,FALSE)*VLOOKUP(AC$76,'Attrition Modeling'!$L$15:$N$27,IF(AC$77+$F125&lt;=24,2,3),FALSE)),$C$3)*(1+IF('IP Attrition'!AC182&gt;0,'Attrition Modeling'!$N$9,0)))</f>
        <v>0</v>
      </c>
      <c r="AD125" s="799">
        <f>AC125*(1-IFERROR(IF(AD$77+$F125&lt;=12,SUMIFS('Attrition Modeling'!$D:$D,'Attrition Modeling'!$C:$C,$D125,'Attrition Modeling'!$B:$B,AD$76),VLOOKUP($F125+AD$77,$A$7:$C$107,2,FALSE)*VLOOKUP(AD$76,'Attrition Modeling'!$L$15:$N$27,IF(AD$77+$F125&lt;=24,2,3),FALSE)),$C$3)*(1+IF('IP Attrition'!AD182&gt;0,'Attrition Modeling'!$N$9,0)))</f>
        <v>0</v>
      </c>
      <c r="AE125" s="799">
        <f>AD125*(1-IFERROR(IF(AE$77+$F125&lt;=12,SUMIFS('Attrition Modeling'!$D:$D,'Attrition Modeling'!$C:$C,$D125,'Attrition Modeling'!$B:$B,AE$76),VLOOKUP($F125+AE$77,$A$7:$C$107,2,FALSE)*VLOOKUP(AE$76,'Attrition Modeling'!$L$15:$N$27,IF(AE$77+$F125&lt;=24,2,3),FALSE)),$C$3)*(1+IF('IP Attrition'!AE182&gt;0,'Attrition Modeling'!$N$9,0)))</f>
        <v>0</v>
      </c>
      <c r="AF125" s="799">
        <f>AE125*(1-IFERROR(IF(AF$77+$F125&lt;=12,SUMIFS('Attrition Modeling'!$D:$D,'Attrition Modeling'!$C:$C,$D125,'Attrition Modeling'!$B:$B,AF$76),VLOOKUP($F125+AF$77,$A$7:$C$107,2,FALSE)*VLOOKUP(AF$76,'Attrition Modeling'!$L$15:$N$27,IF(AF$77+$F125&lt;=24,2,3),FALSE)),$C$3)*(1+IF('IP Attrition'!AF182&gt;0,'Attrition Modeling'!$N$9,0)))</f>
        <v>0</v>
      </c>
      <c r="AG125" s="799">
        <f>AF125*(1-IFERROR(IF(AG$77+$F125&lt;=12,SUMIFS('Attrition Modeling'!$D:$D,'Attrition Modeling'!$C:$C,$D125,'Attrition Modeling'!$B:$B,AG$76),VLOOKUP($F125+AG$77,$A$7:$C$107,2,FALSE)*VLOOKUP(AG$76,'Attrition Modeling'!$L$15:$N$27,IF(AG$77+$F125&lt;=24,2,3),FALSE)),$C$3)*(1+IF('IP Attrition'!AG182&gt;0,'Attrition Modeling'!$N$9,0)))</f>
        <v>0</v>
      </c>
      <c r="AH125" s="799">
        <f>AG125*(1-IFERROR(IF(AH$77+$F125&lt;=12,SUMIFS('Attrition Modeling'!$D:$D,'Attrition Modeling'!$C:$C,$D125,'Attrition Modeling'!$B:$B,AH$76),VLOOKUP($F125+AH$77,$A$7:$C$107,2,FALSE)*VLOOKUP(AH$76,'Attrition Modeling'!$L$15:$N$27,IF(AH$77+$F125&lt;=24,2,3),FALSE)),$C$3)*(1+IF('IP Attrition'!AH182&gt;0,'Attrition Modeling'!$N$9,0)))</f>
        <v>0</v>
      </c>
      <c r="AI125" s="799">
        <f>AH125*(1-IFERROR(IF(AI$77+$F125&lt;=12,SUMIFS('Attrition Modeling'!$D:$D,'Attrition Modeling'!$C:$C,$D125,'Attrition Modeling'!$B:$B,AI$76),VLOOKUP($F125+AI$77,$A$7:$C$107,2,FALSE)*VLOOKUP(AI$76,'Attrition Modeling'!$L$15:$N$27,IF(AI$77+$F125&lt;=24,2,3),FALSE)),$C$3)*(1+IF('IP Attrition'!AI182&gt;0,'Attrition Modeling'!$N$9,0)))</f>
        <v>0</v>
      </c>
      <c r="AJ125" s="799">
        <f>AI125*(1-IFERROR(IF(AJ$77+$F125&lt;=12,SUMIFS('Attrition Modeling'!$D:$D,'Attrition Modeling'!$C:$C,$D125,'Attrition Modeling'!$B:$B,AJ$76),VLOOKUP($F125+AJ$77,$A$7:$C$107,2,FALSE)*VLOOKUP(AJ$76,'Attrition Modeling'!$L$15:$N$27,IF(AJ$77+$F125&lt;=24,2,3),FALSE)),$C$3)*(1+IF('IP Attrition'!AJ182&gt;0,'Attrition Modeling'!$N$9,0)))</f>
        <v>0</v>
      </c>
      <c r="AK125" s="799">
        <f>AJ125*(1-IFERROR(IF(AK$77+$F125&lt;=12,SUMIFS('Attrition Modeling'!$D:$D,'Attrition Modeling'!$C:$C,$D125,'Attrition Modeling'!$B:$B,AK$76),VLOOKUP($F125+AK$77,$A$7:$C$107,2,FALSE)*VLOOKUP(AK$76,'Attrition Modeling'!$L$15:$N$27,IF(AK$77+$F125&lt;=24,2,3),FALSE)),$C$3)*(1+IF('IP Attrition'!AK182&gt;0,'Attrition Modeling'!$N$9,0)))</f>
        <v>0</v>
      </c>
      <c r="AL125" s="799">
        <f>AK125*(1-IFERROR(IF(AL$77+$F125&lt;=12,SUMIFS('Attrition Modeling'!$D:$D,'Attrition Modeling'!$C:$C,$D125,'Attrition Modeling'!$B:$B,AL$76),VLOOKUP($F125+AL$77,$A$7:$C$107,2,FALSE)*VLOOKUP(AL$76,'Attrition Modeling'!$L$15:$N$27,IF(AL$77+$F125&lt;=24,2,3),FALSE)),$C$3)*(1+IF('IP Attrition'!AL182&gt;0,'Attrition Modeling'!$N$9,0)))</f>
        <v>0</v>
      </c>
      <c r="AM125" s="799">
        <f>AL125*(1-IFERROR(IF(AM$77+$F125&lt;=12,SUMIFS('Attrition Modeling'!$D:$D,'Attrition Modeling'!$C:$C,$D125,'Attrition Modeling'!$B:$B,AM$76),VLOOKUP($F125+AM$77,$A$7:$C$107,2,FALSE)*VLOOKUP(AM$76,'Attrition Modeling'!$L$15:$N$27,IF(AM$77+$F125&lt;=24,2,3),FALSE)),$C$3)*(1+IF('IP Attrition'!AM182&gt;0,'Attrition Modeling'!$N$9,0)))</f>
        <v>0</v>
      </c>
      <c r="AN125" s="799">
        <f>AM125*(1-IFERROR(IF(AN$77+$F125&lt;=12,SUMIFS('Attrition Modeling'!$D:$D,'Attrition Modeling'!$C:$C,$D125,'Attrition Modeling'!$B:$B,AN$76),VLOOKUP($F125+AN$77,$A$7:$C$107,2,FALSE)*VLOOKUP(AN$76,'Attrition Modeling'!$L$15:$N$27,IF(AN$77+$F125&lt;=24,2,3),FALSE)),$C$3)*(1+IF('IP Attrition'!AN182&gt;0,'Attrition Modeling'!$N$9,0)))</f>
        <v>0</v>
      </c>
      <c r="AO125" s="799">
        <f>AN125*(1-IFERROR(IF(AO$77+$F125&lt;=12,SUMIFS('Attrition Modeling'!$D:$D,'Attrition Modeling'!$C:$C,$D125,'Attrition Modeling'!$B:$B,AO$76),VLOOKUP($F125+AO$77,$A$7:$C$107,2,FALSE)*VLOOKUP(AO$76,'Attrition Modeling'!$L$15:$N$27,IF(AO$77+$F125&lt;=24,2,3),FALSE)),$C$3)*(1+IF('IP Attrition'!AO182&gt;0,'Attrition Modeling'!$N$9,0)))</f>
        <v>0</v>
      </c>
      <c r="AP125" s="799">
        <f>AO125*(1-IFERROR(IF(AP$77+$F125&lt;=12,SUMIFS('Attrition Modeling'!$D:$D,'Attrition Modeling'!$C:$C,$D125,'Attrition Modeling'!$B:$B,AP$76),VLOOKUP($F125+AP$77,$A$7:$C$107,2,FALSE)*VLOOKUP(AP$76,'Attrition Modeling'!$L$15:$N$27,IF(AP$77+$F125&lt;=24,2,3),FALSE)),$C$3)*(1+IF('IP Attrition'!AP182&gt;0,'Attrition Modeling'!$N$9,0)))</f>
        <v>0</v>
      </c>
      <c r="AQ125" s="799">
        <f>AP125*(1-IFERROR(IF(AQ$77+$F125&lt;=12,SUMIFS('Attrition Modeling'!$D:$D,'Attrition Modeling'!$C:$C,$D125,'Attrition Modeling'!$B:$B,AQ$76),VLOOKUP($F125+AQ$77,$A$7:$C$107,2,FALSE)*VLOOKUP(AQ$76,'Attrition Modeling'!$L$15:$N$27,IF(AQ$77+$F125&lt;=24,2,3),FALSE)),$C$3)*(1+IF('IP Attrition'!AQ182&gt;0,'Attrition Modeling'!$N$9,0)))</f>
        <v>0</v>
      </c>
      <c r="AR125" s="799">
        <f>AQ125*(1-IFERROR(IF(AR$77+$F125&lt;=12,SUMIFS('Attrition Modeling'!$D:$D,'Attrition Modeling'!$C:$C,$D125,'Attrition Modeling'!$B:$B,AR$76),VLOOKUP($F125+AR$77,$A$7:$C$107,2,FALSE)*VLOOKUP(AR$76,'Attrition Modeling'!$L$15:$N$27,IF(AR$77+$F125&lt;=24,2,3),FALSE)),$C$3)*(1+IF('IP Attrition'!AR182&gt;0,'Attrition Modeling'!$N$9,0)))</f>
        <v>0</v>
      </c>
      <c r="AS125" s="799">
        <f>AR125*(1-IFERROR(IF(AS$77+$F125&lt;=12,SUMIFS('Attrition Modeling'!$D:$D,'Attrition Modeling'!$C:$C,$D125,'Attrition Modeling'!$B:$B,AS$76),VLOOKUP($F125+AS$77,$A$7:$C$107,2,FALSE)*VLOOKUP(AS$76,'Attrition Modeling'!$L$15:$N$27,IF(AS$77+$F125&lt;=24,2,3),FALSE)),$C$3)*(1+IF('IP Attrition'!AS182&gt;0,'Attrition Modeling'!$N$9,0)))</f>
        <v>0</v>
      </c>
      <c r="AT125" s="799">
        <f>AS125*(1-IFERROR(IF(AT$77+$F125&lt;=12,SUMIFS('Attrition Modeling'!$D:$D,'Attrition Modeling'!$C:$C,$D125,'Attrition Modeling'!$B:$B,AT$76),VLOOKUP($F125+AT$77,$A$7:$C$107,2,FALSE)*VLOOKUP(AT$76,'Attrition Modeling'!$L$15:$N$27,IF(AT$77+$F125&lt;=24,2,3),FALSE)),$C$3)*(1+IF('IP Attrition'!AT182&gt;0,'Attrition Modeling'!$N$9,0)))</f>
        <v>0</v>
      </c>
      <c r="AU125" s="799">
        <f>AT125*(1-IFERROR(IF(AU$77+$F125&lt;=12,SUMIFS('Attrition Modeling'!$D:$D,'Attrition Modeling'!$C:$C,$D125,'Attrition Modeling'!$B:$B,AU$76),VLOOKUP($F125+AU$77,$A$7:$C$107,2,FALSE)*VLOOKUP(AU$76,'Attrition Modeling'!$L$15:$N$27,IF(AU$77+$F125&lt;=24,2,3),FALSE)),$C$3)*(1+IF('IP Attrition'!AU182&gt;0,'Attrition Modeling'!$N$9,0)))</f>
        <v>0</v>
      </c>
      <c r="AV125" s="799">
        <f>AU125*(1-IFERROR(IF(AV$77+$F125&lt;=12,SUMIFS('Attrition Modeling'!$D:$D,'Attrition Modeling'!$C:$C,$D125,'Attrition Modeling'!$B:$B,AV$76),VLOOKUP($F125+AV$77,$A$7:$C$107,2,FALSE)*VLOOKUP(AV$76,'Attrition Modeling'!$L$15:$N$27,IF(AV$77+$F125&lt;=24,2,3),FALSE)),$C$3)*(1+IF('IP Attrition'!AV182&gt;0,'Attrition Modeling'!$N$9,0)))</f>
        <v>0</v>
      </c>
      <c r="AW125" s="799">
        <f>AV125*(1-IFERROR(IF(AW$77+$F125&lt;=12,SUMIFS('Attrition Modeling'!$D:$D,'Attrition Modeling'!$C:$C,$D125,'Attrition Modeling'!$B:$B,AW$76),VLOOKUP($F125+AW$77,$A$7:$C$107,2,FALSE)*VLOOKUP(AW$76,'Attrition Modeling'!$L$15:$N$27,IF(AW$77+$F125&lt;=24,2,3),FALSE)),$C$3)*(1+IF('IP Attrition'!AW182&gt;0,'Attrition Modeling'!$N$9,0)))</f>
        <v>0</v>
      </c>
      <c r="AX125" s="799">
        <f>AW125*(1-IFERROR(IF(AX$77+$F125&lt;=12,SUMIFS('Attrition Modeling'!$D:$D,'Attrition Modeling'!$C:$C,$D125,'Attrition Modeling'!$B:$B,AX$76),VLOOKUP($F125+AX$77,$A$7:$C$107,2,FALSE)*VLOOKUP(AX$76,'Attrition Modeling'!$L$15:$N$27,IF(AX$77+$F125&lt;=24,2,3),FALSE)),$C$3)*(1+IF('IP Attrition'!AX182&gt;0,'Attrition Modeling'!$N$9,0)))</f>
        <v>0</v>
      </c>
      <c r="AY125" s="799">
        <f>AX125*(1-IFERROR(IF(AY$77+$F125&lt;=12,SUMIFS('Attrition Modeling'!$D:$D,'Attrition Modeling'!$C:$C,$D125,'Attrition Modeling'!$B:$B,AY$76),VLOOKUP($F125+AY$77,$A$7:$C$107,2,FALSE)*VLOOKUP(AY$76,'Attrition Modeling'!$L$15:$N$27,IF(AY$77+$F125&lt;=24,2,3),FALSE)),$C$3)*(1+IF('IP Attrition'!AY182&gt;0,'Attrition Modeling'!$N$9,0)))</f>
        <v>0</v>
      </c>
      <c r="AZ125" s="799">
        <f>AY125*(1-IFERROR(IF(AZ$77+$F125&lt;=12,SUMIFS('Attrition Modeling'!$D:$D,'Attrition Modeling'!$C:$C,$D125,'Attrition Modeling'!$B:$B,AZ$76),VLOOKUP($F125+AZ$77,$A$7:$C$107,2,FALSE)*VLOOKUP(AZ$76,'Attrition Modeling'!$L$15:$N$27,IF(AZ$77+$F125&lt;=24,2,3),FALSE)),$C$3)*(1+IF('IP Attrition'!AZ182&gt;0,'Attrition Modeling'!$N$9,0)))</f>
        <v>0</v>
      </c>
      <c r="BA125" s="799">
        <f>AZ125*(1-IFERROR(IF(BA$77+$F125&lt;=12,SUMIFS('Attrition Modeling'!$D:$D,'Attrition Modeling'!$C:$C,$D125,'Attrition Modeling'!$B:$B,BA$76),VLOOKUP($F125+BA$77,$A$7:$C$107,2,FALSE)*VLOOKUP(BA$76,'Attrition Modeling'!$L$15:$N$27,IF(BA$77+$F125&lt;=24,2,3),FALSE)),$C$3)*(1+IF('IP Attrition'!BA182&gt;0,'Attrition Modeling'!$N$9,0)))</f>
        <v>0</v>
      </c>
      <c r="BB125" s="799">
        <f>BA125*(1-IFERROR(IF(BB$77+$F125&lt;=12,SUMIFS('Attrition Modeling'!$D:$D,'Attrition Modeling'!$C:$C,$D125,'Attrition Modeling'!$B:$B,BB$76),VLOOKUP($F125+BB$77,$A$7:$C$107,2,FALSE)*VLOOKUP(BB$76,'Attrition Modeling'!$L$15:$N$27,IF(BB$77+$F125&lt;=24,2,3),FALSE)),$C$3)*(1+IF('IP Attrition'!BB182&gt;0,'Attrition Modeling'!$N$9,0)))</f>
        <v>0</v>
      </c>
      <c r="BC125" s="799">
        <f>BB125*(1-IFERROR(IF(BC$77+$F125&lt;=12,SUMIFS('Attrition Modeling'!$D:$D,'Attrition Modeling'!$C:$C,$D125,'Attrition Modeling'!$B:$B,BC$76),VLOOKUP($F125+BC$77,$A$7:$C$107,2,FALSE)*VLOOKUP(BC$76,'Attrition Modeling'!$L$15:$N$27,IF(BC$77+$F125&lt;=24,2,3),FALSE)),$C$3)*(1+IF('IP Attrition'!BC182&gt;0,'Attrition Modeling'!$N$9,0)))</f>
        <v>0</v>
      </c>
      <c r="BD125" s="799">
        <f>BC125*(1-IFERROR(IF(BD$77+$F125&lt;=12,SUMIFS('Attrition Modeling'!$D:$D,'Attrition Modeling'!$C:$C,$D125,'Attrition Modeling'!$B:$B,BD$76),VLOOKUP($F125+BD$77,$A$7:$C$107,2,FALSE)*VLOOKUP(BD$76,'Attrition Modeling'!$L$15:$N$27,IF(BD$77+$F125&lt;=24,2,3),FALSE)),$C$3)*(1+IF('IP Attrition'!BD182&gt;0,'Attrition Modeling'!$N$9,0)))</f>
        <v>0</v>
      </c>
      <c r="BE125" s="799">
        <f>BD125*(1-IFERROR(IF(BE$77+$F125&lt;=12,SUMIFS('Attrition Modeling'!$D:$D,'Attrition Modeling'!$C:$C,$D125,'Attrition Modeling'!$B:$B,BE$76),VLOOKUP($F125+BE$77,$A$7:$C$107,2,FALSE)*VLOOKUP(BE$76,'Attrition Modeling'!$L$15:$N$27,IF(BE$77+$F125&lt;=24,2,3),FALSE)),$C$3)*(1+IF('IP Attrition'!BE182&gt;0,'Attrition Modeling'!$N$9,0)))</f>
        <v>0</v>
      </c>
      <c r="BF125" s="799">
        <f>BE125*(1-IFERROR(IF(BF$77+$F125&lt;=12,SUMIFS('Attrition Modeling'!$D:$D,'Attrition Modeling'!$C:$C,$D125,'Attrition Modeling'!$B:$B,BF$76),VLOOKUP($F125+BF$77,$A$7:$C$107,2,FALSE)*VLOOKUP(BF$76,'Attrition Modeling'!$L$15:$N$27,IF(BF$77+$F125&lt;=24,2,3),FALSE)),$C$3)*(1+IF('IP Attrition'!BF182&gt;0,'Attrition Modeling'!$N$9,0)))</f>
        <v>0</v>
      </c>
      <c r="BG125" s="799">
        <f>BF125*(1-IFERROR(IF(BG$77+$F125&lt;=12,SUMIFS('Attrition Modeling'!$D:$D,'Attrition Modeling'!$C:$C,$D125,'Attrition Modeling'!$B:$B,BG$76),VLOOKUP($F125+BG$77,$A$7:$C$107,2,FALSE)*VLOOKUP(BG$76,'Attrition Modeling'!$L$15:$N$27,IF(BG$77+$F125&lt;=24,2,3),FALSE)),$C$3)*(1+IF('IP Attrition'!BG182&gt;0,'Attrition Modeling'!$N$9,0)))</f>
        <v>0</v>
      </c>
      <c r="BH125" s="799">
        <f>BG125*(1-IFERROR(IF(BH$77+$F125&lt;=12,SUMIFS('Attrition Modeling'!$D:$D,'Attrition Modeling'!$C:$C,$D125,'Attrition Modeling'!$B:$B,BH$76),VLOOKUP($F125+BH$77,$A$7:$C$107,2,FALSE)*VLOOKUP(BH$76,'Attrition Modeling'!$L$15:$N$27,IF(BH$77+$F125&lt;=24,2,3),FALSE)),$C$3)*(1+IF('IP Attrition'!BH182&gt;0,'Attrition Modeling'!$N$9,0)))</f>
        <v>0</v>
      </c>
      <c r="BI125" s="799">
        <f>BH125*(1-IFERROR(IF(BI$77+$F125&lt;=12,SUMIFS('Attrition Modeling'!$D:$D,'Attrition Modeling'!$C:$C,$D125,'Attrition Modeling'!$B:$B,BI$76),VLOOKUP($F125+BI$77,$A$7:$C$107,2,FALSE)*VLOOKUP(BI$76,'Attrition Modeling'!$L$15:$N$27,IF(BI$77+$F125&lt;=24,2,3),FALSE)),$C$3)*(1+IF('IP Attrition'!BI182&gt;0,'Attrition Modeling'!$N$9,0)))</f>
        <v>0</v>
      </c>
      <c r="BJ125" s="799">
        <f>BI125*(1-IFERROR(IF(BJ$77+$F125&lt;=12,SUMIFS('Attrition Modeling'!$D:$D,'Attrition Modeling'!$C:$C,$D125,'Attrition Modeling'!$B:$B,BJ$76),VLOOKUP($F125+BJ$77,$A$7:$C$107,2,FALSE)*VLOOKUP(BJ$76,'Attrition Modeling'!$L$15:$N$27,IF(BJ$77+$F125&lt;=24,2,3),FALSE)),$C$3)*(1+IF('IP Attrition'!BJ182&gt;0,'Attrition Modeling'!$N$9,0)))</f>
        <v>0</v>
      </c>
      <c r="BK125" s="799">
        <f>BJ125*(1-IFERROR(IF(BK$77+$F125&lt;=12,SUMIFS('Attrition Modeling'!$D:$D,'Attrition Modeling'!$C:$C,$D125,'Attrition Modeling'!$B:$B,BK$76),VLOOKUP($F125+BK$77,$A$7:$C$107,2,FALSE)*VLOOKUP(BK$76,'Attrition Modeling'!$L$15:$N$27,IF(BK$77+$F125&lt;=24,2,3),FALSE)),$C$3)*(1+IF('IP Attrition'!BK182&gt;0,'Attrition Modeling'!$N$9,0)))</f>
        <v>0</v>
      </c>
      <c r="BL125" s="799">
        <f>BK125*(1-IFERROR(IF(BL$77+$F125&lt;=12,SUMIFS('Attrition Modeling'!$D:$D,'Attrition Modeling'!$C:$C,$D125,'Attrition Modeling'!$B:$B,BL$76),VLOOKUP($F125+BL$77,$A$7:$C$107,2,FALSE)*VLOOKUP(BL$76,'Attrition Modeling'!$L$15:$N$27,IF(BL$77+$F125&lt;=24,2,3),FALSE)),$C$3)*(1+IF('IP Attrition'!BL182&gt;0,'Attrition Modeling'!$N$9,0)))</f>
        <v>0</v>
      </c>
      <c r="BM125" s="799">
        <f>BL125*(1-IFERROR(IF(BM$77+$F125&lt;=12,SUMIFS('Attrition Modeling'!$D:$D,'Attrition Modeling'!$C:$C,$D125,'Attrition Modeling'!$B:$B,BM$76),VLOOKUP($F125+BM$77,$A$7:$C$107,2,FALSE)*VLOOKUP(BM$76,'Attrition Modeling'!$L$15:$N$27,IF(BM$77+$F125&lt;=24,2,3),FALSE)),$C$3)*(1+IF('IP Attrition'!BM182&gt;0,'Attrition Modeling'!$N$9,0)))</f>
        <v>0</v>
      </c>
      <c r="BN125" s="799">
        <f>BM125*(1-IFERROR(IF(BN$77+$F125&lt;=12,SUMIFS('Attrition Modeling'!$D:$D,'Attrition Modeling'!$C:$C,$D125,'Attrition Modeling'!$B:$B,BN$76),VLOOKUP($F125+BN$77,$A$7:$C$107,2,FALSE)*VLOOKUP(BN$76,'Attrition Modeling'!$L$15:$N$27,IF(BN$77+$F125&lt;=24,2,3),FALSE)),$C$3)*(1+IF('IP Attrition'!BN182&gt;0,'Attrition Modeling'!$N$9,0)))</f>
        <v>0</v>
      </c>
      <c r="BO125" s="799">
        <f>BN125*(1-IFERROR(IF(BO$77+$F125&lt;=12,SUMIFS('Attrition Modeling'!$D:$D,'Attrition Modeling'!$C:$C,$D125,'Attrition Modeling'!$B:$B,BO$76),VLOOKUP($F125+BO$77,$A$7:$C$107,2,FALSE)*VLOOKUP(BO$76,'Attrition Modeling'!$L$15:$N$27,IF(BO$77+$F125&lt;=24,2,3),FALSE)),$C$3)*(1+IF('IP Attrition'!BO182&gt;0,'Attrition Modeling'!$N$9,0)))</f>
        <v>0</v>
      </c>
      <c r="BP125" s="799">
        <f>BO125*(1-IFERROR(IF(BP$77+$F125&lt;=12,SUMIFS('Attrition Modeling'!$D:$D,'Attrition Modeling'!$C:$C,$D125,'Attrition Modeling'!$B:$B,BP$76),VLOOKUP($F125+BP$77,$A$7:$C$107,2,FALSE)*VLOOKUP(BP$76,'Attrition Modeling'!$L$15:$N$27,IF(BP$77+$F125&lt;=24,2,3),FALSE)),$C$3)*(1+IF('IP Attrition'!BP182&gt;0,'Attrition Modeling'!$N$9,0)))</f>
        <v>0</v>
      </c>
      <c r="BQ125" s="799">
        <f>BP125*(1-IFERROR(IF(BQ$77+$F125&lt;=12,SUMIFS('Attrition Modeling'!$D:$D,'Attrition Modeling'!$C:$C,$D125,'Attrition Modeling'!$B:$B,BQ$76),VLOOKUP($F125+BQ$77,$A$7:$C$107,2,FALSE)*VLOOKUP(BQ$76,'Attrition Modeling'!$L$15:$N$27,IF(BQ$77+$F125&lt;=24,2,3),FALSE)),$C$3)*(1+IF('IP Attrition'!BQ182&gt;0,'Attrition Modeling'!$N$9,0)))</f>
        <v>0</v>
      </c>
      <c r="BR125" s="799">
        <f>BQ125*(1-IFERROR(IF(BR$77+$F125&lt;=12,SUMIFS('Attrition Modeling'!$D:$D,'Attrition Modeling'!$C:$C,$D125,'Attrition Modeling'!$B:$B,BR$76),VLOOKUP($F125+BR$77,$A$7:$C$107,2,FALSE)*VLOOKUP(BR$76,'Attrition Modeling'!$L$15:$N$27,IF(BR$77+$F125&lt;=24,2,3),FALSE)),$C$3)*(1+IF('IP Attrition'!BR182&gt;0,'Attrition Modeling'!$N$9,0)))</f>
        <v>0</v>
      </c>
      <c r="BS125" s="799">
        <f>BR125*(1-IFERROR(IF(BS$77+$F125&lt;=12,SUMIFS('Attrition Modeling'!$D:$D,'Attrition Modeling'!$C:$C,$D125,'Attrition Modeling'!$B:$B,BS$76),VLOOKUP($F125+BS$77,$A$7:$C$107,2,FALSE)*VLOOKUP(BS$76,'Attrition Modeling'!$L$15:$N$27,IF(BS$77+$F125&lt;=24,2,3),FALSE)),$C$3)*(1+IF('IP Attrition'!BS182&gt;0,'Attrition Modeling'!$N$9,0)))</f>
        <v>0</v>
      </c>
      <c r="BT125" s="799" t="e">
        <f>BS125*(1-IFERROR(IF(BT$77+$F125&lt;=12,SUMIFS('Attrition Modeling'!$D:$D,'Attrition Modeling'!$C:$C,$D125,'Attrition Modeling'!$B:$B,BT$76),VLOOKUP($F125+BT$77,$A$7:$C$107,2,FALSE)*VLOOKUP(BT$76,'Attrition Modeling'!$L$15:$N$27,IF(BT$77+$F125&lt;=24,2,3),FALSE)),$C$3)*(1+IF('IP Attrition'!BT182&gt;0,'Attrition Modeling'!$N$9,0)))</f>
        <v>#REF!</v>
      </c>
      <c r="BU125" s="799" t="e">
        <f>BT125*(1-IFERROR(IF(BU$77+$F125&lt;=12,SUMIFS('Attrition Modeling'!$D:$D,'Attrition Modeling'!$C:$C,$D125,'Attrition Modeling'!$B:$B,BU$76),VLOOKUP($F125+BU$77,$A$7:$C$107,2,FALSE)*VLOOKUP(BU$76,'Attrition Modeling'!$L$15:$N$27,IF(BU$77+$F125&lt;=24,2,3),FALSE)),$C$3)*(1+IF('IP Attrition'!BU182&gt;0,'Attrition Modeling'!$N$9,0)))</f>
        <v>#REF!</v>
      </c>
    </row>
    <row r="126" spans="1:73" ht="14.25" customHeight="1" x14ac:dyDescent="0.2">
      <c r="A126" s="9">
        <v>118</v>
      </c>
      <c r="B126" s="25">
        <f>MAX('Attrition Modeling'!H122,$C$3)*(1-Summary!$C$20)</f>
        <v>0.02</v>
      </c>
      <c r="C126" s="24" t="e">
        <f t="shared" si="2"/>
        <v>#DIV/0!</v>
      </c>
      <c r="D126" s="11">
        <f>'IP Attrition'!D118</f>
        <v>-48</v>
      </c>
      <c r="E126" s="25">
        <f>'IP Attrition'!E118</f>
        <v>0</v>
      </c>
      <c r="F126" s="11">
        <f t="shared" si="8"/>
        <v>48</v>
      </c>
      <c r="G126" s="799">
        <f>Summary!$C$24*$E126</f>
        <v>0</v>
      </c>
      <c r="H126" s="799">
        <f>G126*(1-IFERROR(IF(H$77+$F126&lt;=12,SUMIFS('Attrition Modeling'!$D:$D,'Attrition Modeling'!$C:$C,$D126,'Attrition Modeling'!$B:$B,H$76),VLOOKUP($F126+H$77,$A$7:$C$107,2,FALSE)*VLOOKUP(H$76,'Attrition Modeling'!$L$15:$N$27,IF(H$77+$F126&lt;=24,2,3),FALSE)),$C$3)*(1+IF('IP Attrition'!H183&gt;0,'Attrition Modeling'!$N$9,0)))</f>
        <v>0</v>
      </c>
      <c r="I126" s="799">
        <f>H126*(1-IFERROR(IF(I$77+$F126&lt;=12,SUMIFS('Attrition Modeling'!$D:$D,'Attrition Modeling'!$C:$C,$D126,'Attrition Modeling'!$B:$B,I$76),VLOOKUP($F126+I$77,$A$7:$C$107,2,FALSE)*VLOOKUP(I$76,'Attrition Modeling'!$L$15:$N$27,IF(I$77+$F126&lt;=24,2,3),FALSE)),$C$3)*(1+IF('IP Attrition'!I183&gt;0,'Attrition Modeling'!$N$9,0)))</f>
        <v>0</v>
      </c>
      <c r="J126" s="799">
        <f>I126*(1-IFERROR(IF(J$77+$F126&lt;=12,SUMIFS('Attrition Modeling'!$D:$D,'Attrition Modeling'!$C:$C,$D126,'Attrition Modeling'!$B:$B,J$76),VLOOKUP($F126+J$77,$A$7:$C$107,2,FALSE)*VLOOKUP(J$76,'Attrition Modeling'!$L$15:$N$27,IF(J$77+$F126&lt;=24,2,3),FALSE)),$C$3)*(1+IF('IP Attrition'!J183&gt;0,'Attrition Modeling'!$N$9,0)))</f>
        <v>0</v>
      </c>
      <c r="K126" s="799">
        <f>J126*(1-IFERROR(IF(K$77+$F126&lt;=12,SUMIFS('Attrition Modeling'!$D:$D,'Attrition Modeling'!$C:$C,$D126,'Attrition Modeling'!$B:$B,K$76),VLOOKUP($F126+K$77,$A$7:$C$107,2,FALSE)*VLOOKUP(K$76,'Attrition Modeling'!$L$15:$N$27,IF(K$77+$F126&lt;=24,2,3),FALSE)),$C$3)*(1+IF('IP Attrition'!K183&gt;0,'Attrition Modeling'!$N$9,0)))</f>
        <v>0</v>
      </c>
      <c r="L126" s="799">
        <f>K126*(1-IFERROR(IF(L$77+$F126&lt;=12,SUMIFS('Attrition Modeling'!$D:$D,'Attrition Modeling'!$C:$C,$D126,'Attrition Modeling'!$B:$B,L$76),VLOOKUP($F126+L$77,$A$7:$C$107,2,FALSE)*VLOOKUP(L$76,'Attrition Modeling'!$L$15:$N$27,IF(L$77+$F126&lt;=24,2,3),FALSE)),$C$3)*(1+IF('IP Attrition'!L183&gt;0,'Attrition Modeling'!$N$9,0)))</f>
        <v>0</v>
      </c>
      <c r="M126" s="799">
        <f>L126*(1-IFERROR(IF(M$77+$F126&lt;=12,SUMIFS('Attrition Modeling'!$D:$D,'Attrition Modeling'!$C:$C,$D126,'Attrition Modeling'!$B:$B,M$76),VLOOKUP($F126+M$77,$A$7:$C$107,2,FALSE)*VLOOKUP(M$76,'Attrition Modeling'!$L$15:$N$27,IF(M$77+$F126&lt;=24,2,3),FALSE)),$C$3)*(1+IF('IP Attrition'!M183&gt;0,'Attrition Modeling'!$N$9,0)))</f>
        <v>0</v>
      </c>
      <c r="N126" s="799">
        <f>M126*(1-IFERROR(IF(N$77+$F126&lt;=12,SUMIFS('Attrition Modeling'!$D:$D,'Attrition Modeling'!$C:$C,$D126,'Attrition Modeling'!$B:$B,N$76),VLOOKUP($F126+N$77,$A$7:$C$107,2,FALSE)*VLOOKUP(N$76,'Attrition Modeling'!$L$15:$N$27,IF(N$77+$F126&lt;=24,2,3),FALSE)),$C$3)*(1+IF('IP Attrition'!N183&gt;0,'Attrition Modeling'!$N$9,0)))</f>
        <v>0</v>
      </c>
      <c r="O126" s="799">
        <f>N126*(1-IFERROR(IF(O$77+$F126&lt;=12,SUMIFS('Attrition Modeling'!$D:$D,'Attrition Modeling'!$C:$C,$D126,'Attrition Modeling'!$B:$B,O$76),VLOOKUP($F126+O$77,$A$7:$C$107,2,FALSE)*VLOOKUP(O$76,'Attrition Modeling'!$L$15:$N$27,IF(O$77+$F126&lt;=24,2,3),FALSE)),$C$3)*(1+IF('IP Attrition'!O183&gt;0,'Attrition Modeling'!$N$9,0)))</f>
        <v>0</v>
      </c>
      <c r="P126" s="799">
        <f>O126*(1-IFERROR(IF(P$77+$F126&lt;=12,SUMIFS('Attrition Modeling'!$D:$D,'Attrition Modeling'!$C:$C,$D126,'Attrition Modeling'!$B:$B,P$76),VLOOKUP($F126+P$77,$A$7:$C$107,2,FALSE)*VLOOKUP(P$76,'Attrition Modeling'!$L$15:$N$27,IF(P$77+$F126&lt;=24,2,3),FALSE)),$C$3)*(1+IF('IP Attrition'!P183&gt;0,'Attrition Modeling'!$N$9,0)))</f>
        <v>0</v>
      </c>
      <c r="Q126" s="799">
        <f>P126*(1-IFERROR(IF(Q$77+$F126&lt;=12,SUMIFS('Attrition Modeling'!$D:$D,'Attrition Modeling'!$C:$C,$D126,'Attrition Modeling'!$B:$B,Q$76),VLOOKUP($F126+Q$77,$A$7:$C$107,2,FALSE)*VLOOKUP(Q$76,'Attrition Modeling'!$L$15:$N$27,IF(Q$77+$F126&lt;=24,2,3),FALSE)),$C$3)*(1+IF('IP Attrition'!Q183&gt;0,'Attrition Modeling'!$N$9,0)))</f>
        <v>0</v>
      </c>
      <c r="R126" s="799">
        <f>Q126*(1-IFERROR(IF(R$77+$F126&lt;=12,SUMIFS('Attrition Modeling'!$D:$D,'Attrition Modeling'!$C:$C,$D126,'Attrition Modeling'!$B:$B,R$76),VLOOKUP($F126+R$77,$A$7:$C$107,2,FALSE)*VLOOKUP(R$76,'Attrition Modeling'!$L$15:$N$27,IF(R$77+$F126&lt;=24,2,3),FALSE)),$C$3)*(1+IF('IP Attrition'!R183&gt;0,'Attrition Modeling'!$N$9,0)))</f>
        <v>0</v>
      </c>
      <c r="S126" s="799">
        <f>R126*(1-IFERROR(IF(S$77+$F126&lt;=12,SUMIFS('Attrition Modeling'!$D:$D,'Attrition Modeling'!$C:$C,$D126,'Attrition Modeling'!$B:$B,S$76),VLOOKUP($F126+S$77,$A$7:$C$107,2,FALSE)*VLOOKUP(S$76,'Attrition Modeling'!$L$15:$N$27,IF(S$77+$F126&lt;=24,2,3),FALSE)),$C$3)*(1+IF('IP Attrition'!S183&gt;0,'Attrition Modeling'!$N$9,0)))</f>
        <v>0</v>
      </c>
      <c r="T126" s="799">
        <f>S126*(1-IFERROR(IF(T$77+$F126&lt;=12,SUMIFS('Attrition Modeling'!$D:$D,'Attrition Modeling'!$C:$C,$D126,'Attrition Modeling'!$B:$B,T$76),VLOOKUP($F126+T$77,$A$7:$C$107,2,FALSE)*VLOOKUP(T$76,'Attrition Modeling'!$L$15:$N$27,IF(T$77+$F126&lt;=24,2,3),FALSE)),$C$3)*(1+IF('IP Attrition'!T183&gt;0,'Attrition Modeling'!$N$9,0)))</f>
        <v>0</v>
      </c>
      <c r="U126" s="799">
        <f>T126*(1-IFERROR(IF(U$77+$F126&lt;=12,SUMIFS('Attrition Modeling'!$D:$D,'Attrition Modeling'!$C:$C,$D126,'Attrition Modeling'!$B:$B,U$76),VLOOKUP($F126+U$77,$A$7:$C$107,2,FALSE)*VLOOKUP(U$76,'Attrition Modeling'!$L$15:$N$27,IF(U$77+$F126&lt;=24,2,3),FALSE)),$C$3)*(1+IF('IP Attrition'!U183&gt;0,'Attrition Modeling'!$N$9,0)))</f>
        <v>0</v>
      </c>
      <c r="V126" s="799">
        <f>U126*(1-IFERROR(IF(V$77+$F126&lt;=12,SUMIFS('Attrition Modeling'!$D:$D,'Attrition Modeling'!$C:$C,$D126,'Attrition Modeling'!$B:$B,V$76),VLOOKUP($F126+V$77,$A$7:$C$107,2,FALSE)*VLOOKUP(V$76,'Attrition Modeling'!$L$15:$N$27,IF(V$77+$F126&lt;=24,2,3),FALSE)),$C$3)*(1+IF('IP Attrition'!V183&gt;0,'Attrition Modeling'!$N$9,0)))</f>
        <v>0</v>
      </c>
      <c r="W126" s="799">
        <f>V126*(1-IFERROR(IF(W$77+$F126&lt;=12,SUMIFS('Attrition Modeling'!$D:$D,'Attrition Modeling'!$C:$C,$D126,'Attrition Modeling'!$B:$B,W$76),VLOOKUP($F126+W$77,$A$7:$C$107,2,FALSE)*VLOOKUP(W$76,'Attrition Modeling'!$L$15:$N$27,IF(W$77+$F126&lt;=24,2,3),FALSE)),$C$3)*(1+IF('IP Attrition'!W183&gt;0,'Attrition Modeling'!$N$9,0)))</f>
        <v>0</v>
      </c>
      <c r="X126" s="799">
        <f>W126*(1-IFERROR(IF(X$77+$F126&lt;=12,SUMIFS('Attrition Modeling'!$D:$D,'Attrition Modeling'!$C:$C,$D126,'Attrition Modeling'!$B:$B,X$76),VLOOKUP($F126+X$77,$A$7:$C$107,2,FALSE)*VLOOKUP(X$76,'Attrition Modeling'!$L$15:$N$27,IF(X$77+$F126&lt;=24,2,3),FALSE)),$C$3)*(1+IF('IP Attrition'!X183&gt;0,'Attrition Modeling'!$N$9,0)))</f>
        <v>0</v>
      </c>
      <c r="Y126" s="799">
        <f>X126*(1-IFERROR(IF(Y$77+$F126&lt;=12,SUMIFS('Attrition Modeling'!$D:$D,'Attrition Modeling'!$C:$C,$D126,'Attrition Modeling'!$B:$B,Y$76),VLOOKUP($F126+Y$77,$A$7:$C$107,2,FALSE)*VLOOKUP(Y$76,'Attrition Modeling'!$L$15:$N$27,IF(Y$77+$F126&lt;=24,2,3),FALSE)),$C$3)*(1+IF('IP Attrition'!Y183&gt;0,'Attrition Modeling'!$N$9,0)))</f>
        <v>0</v>
      </c>
      <c r="Z126" s="799">
        <f>Y126*(1-IFERROR(IF(Z$77+$F126&lt;=12,SUMIFS('Attrition Modeling'!$D:$D,'Attrition Modeling'!$C:$C,$D126,'Attrition Modeling'!$B:$B,Z$76),VLOOKUP($F126+Z$77,$A$7:$C$107,2,FALSE)*VLOOKUP(Z$76,'Attrition Modeling'!$L$15:$N$27,IF(Z$77+$F126&lt;=24,2,3),FALSE)),$C$3)*(1+IF('IP Attrition'!Z183&gt;0,'Attrition Modeling'!$N$9,0)))</f>
        <v>0</v>
      </c>
      <c r="AA126" s="799">
        <f>Z126*(1-IFERROR(IF(AA$77+$F126&lt;=12,SUMIFS('Attrition Modeling'!$D:$D,'Attrition Modeling'!$C:$C,$D126,'Attrition Modeling'!$B:$B,AA$76),VLOOKUP($F126+AA$77,$A$7:$C$107,2,FALSE)*VLOOKUP(AA$76,'Attrition Modeling'!$L$15:$N$27,IF(AA$77+$F126&lt;=24,2,3),FALSE)),$C$3)*(1+IF('IP Attrition'!AA183&gt;0,'Attrition Modeling'!$N$9,0)))</f>
        <v>0</v>
      </c>
      <c r="AB126" s="799">
        <f>AA126*(1-IFERROR(IF(AB$77+$F126&lt;=12,SUMIFS('Attrition Modeling'!$D:$D,'Attrition Modeling'!$C:$C,$D126,'Attrition Modeling'!$B:$B,AB$76),VLOOKUP($F126+AB$77,$A$7:$C$107,2,FALSE)*VLOOKUP(AB$76,'Attrition Modeling'!$L$15:$N$27,IF(AB$77+$F126&lt;=24,2,3),FALSE)),$C$3)*(1+IF('IP Attrition'!AB183&gt;0,'Attrition Modeling'!$N$9,0)))</f>
        <v>0</v>
      </c>
      <c r="AC126" s="799">
        <f>AB126*(1-IFERROR(IF(AC$77+$F126&lt;=12,SUMIFS('Attrition Modeling'!$D:$D,'Attrition Modeling'!$C:$C,$D126,'Attrition Modeling'!$B:$B,AC$76),VLOOKUP($F126+AC$77,$A$7:$C$107,2,FALSE)*VLOOKUP(AC$76,'Attrition Modeling'!$L$15:$N$27,IF(AC$77+$F126&lt;=24,2,3),FALSE)),$C$3)*(1+IF('IP Attrition'!AC183&gt;0,'Attrition Modeling'!$N$9,0)))</f>
        <v>0</v>
      </c>
      <c r="AD126" s="799">
        <f>AC126*(1-IFERROR(IF(AD$77+$F126&lt;=12,SUMIFS('Attrition Modeling'!$D:$D,'Attrition Modeling'!$C:$C,$D126,'Attrition Modeling'!$B:$B,AD$76),VLOOKUP($F126+AD$77,$A$7:$C$107,2,FALSE)*VLOOKUP(AD$76,'Attrition Modeling'!$L$15:$N$27,IF(AD$77+$F126&lt;=24,2,3),FALSE)),$C$3)*(1+IF('IP Attrition'!AD183&gt;0,'Attrition Modeling'!$N$9,0)))</f>
        <v>0</v>
      </c>
      <c r="AE126" s="799">
        <f>AD126*(1-IFERROR(IF(AE$77+$F126&lt;=12,SUMIFS('Attrition Modeling'!$D:$D,'Attrition Modeling'!$C:$C,$D126,'Attrition Modeling'!$B:$B,AE$76),VLOOKUP($F126+AE$77,$A$7:$C$107,2,FALSE)*VLOOKUP(AE$76,'Attrition Modeling'!$L$15:$N$27,IF(AE$77+$F126&lt;=24,2,3),FALSE)),$C$3)*(1+IF('IP Attrition'!AE183&gt;0,'Attrition Modeling'!$N$9,0)))</f>
        <v>0</v>
      </c>
      <c r="AF126" s="799">
        <f>AE126*(1-IFERROR(IF(AF$77+$F126&lt;=12,SUMIFS('Attrition Modeling'!$D:$D,'Attrition Modeling'!$C:$C,$D126,'Attrition Modeling'!$B:$B,AF$76),VLOOKUP($F126+AF$77,$A$7:$C$107,2,FALSE)*VLOOKUP(AF$76,'Attrition Modeling'!$L$15:$N$27,IF(AF$77+$F126&lt;=24,2,3),FALSE)),$C$3)*(1+IF('IP Attrition'!AF183&gt;0,'Attrition Modeling'!$N$9,0)))</f>
        <v>0</v>
      </c>
      <c r="AG126" s="799">
        <f>AF126*(1-IFERROR(IF(AG$77+$F126&lt;=12,SUMIFS('Attrition Modeling'!$D:$D,'Attrition Modeling'!$C:$C,$D126,'Attrition Modeling'!$B:$B,AG$76),VLOOKUP($F126+AG$77,$A$7:$C$107,2,FALSE)*VLOOKUP(AG$76,'Attrition Modeling'!$L$15:$N$27,IF(AG$77+$F126&lt;=24,2,3),FALSE)),$C$3)*(1+IF('IP Attrition'!AG183&gt;0,'Attrition Modeling'!$N$9,0)))</f>
        <v>0</v>
      </c>
      <c r="AH126" s="799">
        <f>AG126*(1-IFERROR(IF(AH$77+$F126&lt;=12,SUMIFS('Attrition Modeling'!$D:$D,'Attrition Modeling'!$C:$C,$D126,'Attrition Modeling'!$B:$B,AH$76),VLOOKUP($F126+AH$77,$A$7:$C$107,2,FALSE)*VLOOKUP(AH$76,'Attrition Modeling'!$L$15:$N$27,IF(AH$77+$F126&lt;=24,2,3),FALSE)),$C$3)*(1+IF('IP Attrition'!AH183&gt;0,'Attrition Modeling'!$N$9,0)))</f>
        <v>0</v>
      </c>
      <c r="AI126" s="799">
        <f>AH126*(1-IFERROR(IF(AI$77+$F126&lt;=12,SUMIFS('Attrition Modeling'!$D:$D,'Attrition Modeling'!$C:$C,$D126,'Attrition Modeling'!$B:$B,AI$76),VLOOKUP($F126+AI$77,$A$7:$C$107,2,FALSE)*VLOOKUP(AI$76,'Attrition Modeling'!$L$15:$N$27,IF(AI$77+$F126&lt;=24,2,3),FALSE)),$C$3)*(1+IF('IP Attrition'!AI183&gt;0,'Attrition Modeling'!$N$9,0)))</f>
        <v>0</v>
      </c>
      <c r="AJ126" s="799">
        <f>AI126*(1-IFERROR(IF(AJ$77+$F126&lt;=12,SUMIFS('Attrition Modeling'!$D:$D,'Attrition Modeling'!$C:$C,$D126,'Attrition Modeling'!$B:$B,AJ$76),VLOOKUP($F126+AJ$77,$A$7:$C$107,2,FALSE)*VLOOKUP(AJ$76,'Attrition Modeling'!$L$15:$N$27,IF(AJ$77+$F126&lt;=24,2,3),FALSE)),$C$3)*(1+IF('IP Attrition'!AJ183&gt;0,'Attrition Modeling'!$N$9,0)))</f>
        <v>0</v>
      </c>
      <c r="AK126" s="799">
        <f>AJ126*(1-IFERROR(IF(AK$77+$F126&lt;=12,SUMIFS('Attrition Modeling'!$D:$D,'Attrition Modeling'!$C:$C,$D126,'Attrition Modeling'!$B:$B,AK$76),VLOOKUP($F126+AK$77,$A$7:$C$107,2,FALSE)*VLOOKUP(AK$76,'Attrition Modeling'!$L$15:$N$27,IF(AK$77+$F126&lt;=24,2,3),FALSE)),$C$3)*(1+IF('IP Attrition'!AK183&gt;0,'Attrition Modeling'!$N$9,0)))</f>
        <v>0</v>
      </c>
      <c r="AL126" s="799">
        <f>AK126*(1-IFERROR(IF(AL$77+$F126&lt;=12,SUMIFS('Attrition Modeling'!$D:$D,'Attrition Modeling'!$C:$C,$D126,'Attrition Modeling'!$B:$B,AL$76),VLOOKUP($F126+AL$77,$A$7:$C$107,2,FALSE)*VLOOKUP(AL$76,'Attrition Modeling'!$L$15:$N$27,IF(AL$77+$F126&lt;=24,2,3),FALSE)),$C$3)*(1+IF('IP Attrition'!AL183&gt;0,'Attrition Modeling'!$N$9,0)))</f>
        <v>0</v>
      </c>
      <c r="AM126" s="799">
        <f>AL126*(1-IFERROR(IF(AM$77+$F126&lt;=12,SUMIFS('Attrition Modeling'!$D:$D,'Attrition Modeling'!$C:$C,$D126,'Attrition Modeling'!$B:$B,AM$76),VLOOKUP($F126+AM$77,$A$7:$C$107,2,FALSE)*VLOOKUP(AM$76,'Attrition Modeling'!$L$15:$N$27,IF(AM$77+$F126&lt;=24,2,3),FALSE)),$C$3)*(1+IF('IP Attrition'!AM183&gt;0,'Attrition Modeling'!$N$9,0)))</f>
        <v>0</v>
      </c>
      <c r="AN126" s="799">
        <f>AM126*(1-IFERROR(IF(AN$77+$F126&lt;=12,SUMIFS('Attrition Modeling'!$D:$D,'Attrition Modeling'!$C:$C,$D126,'Attrition Modeling'!$B:$B,AN$76),VLOOKUP($F126+AN$77,$A$7:$C$107,2,FALSE)*VLOOKUP(AN$76,'Attrition Modeling'!$L$15:$N$27,IF(AN$77+$F126&lt;=24,2,3),FALSE)),$C$3)*(1+IF('IP Attrition'!AN183&gt;0,'Attrition Modeling'!$N$9,0)))</f>
        <v>0</v>
      </c>
      <c r="AO126" s="799">
        <f>AN126*(1-IFERROR(IF(AO$77+$F126&lt;=12,SUMIFS('Attrition Modeling'!$D:$D,'Attrition Modeling'!$C:$C,$D126,'Attrition Modeling'!$B:$B,AO$76),VLOOKUP($F126+AO$77,$A$7:$C$107,2,FALSE)*VLOOKUP(AO$76,'Attrition Modeling'!$L$15:$N$27,IF(AO$77+$F126&lt;=24,2,3),FALSE)),$C$3)*(1+IF('IP Attrition'!AO183&gt;0,'Attrition Modeling'!$N$9,0)))</f>
        <v>0</v>
      </c>
      <c r="AP126" s="799">
        <f>AO126*(1-IFERROR(IF(AP$77+$F126&lt;=12,SUMIFS('Attrition Modeling'!$D:$D,'Attrition Modeling'!$C:$C,$D126,'Attrition Modeling'!$B:$B,AP$76),VLOOKUP($F126+AP$77,$A$7:$C$107,2,FALSE)*VLOOKUP(AP$76,'Attrition Modeling'!$L$15:$N$27,IF(AP$77+$F126&lt;=24,2,3),FALSE)),$C$3)*(1+IF('IP Attrition'!AP183&gt;0,'Attrition Modeling'!$N$9,0)))</f>
        <v>0</v>
      </c>
      <c r="AQ126" s="799">
        <f>AP126*(1-IFERROR(IF(AQ$77+$F126&lt;=12,SUMIFS('Attrition Modeling'!$D:$D,'Attrition Modeling'!$C:$C,$D126,'Attrition Modeling'!$B:$B,AQ$76),VLOOKUP($F126+AQ$77,$A$7:$C$107,2,FALSE)*VLOOKUP(AQ$76,'Attrition Modeling'!$L$15:$N$27,IF(AQ$77+$F126&lt;=24,2,3),FALSE)),$C$3)*(1+IF('IP Attrition'!AQ183&gt;0,'Attrition Modeling'!$N$9,0)))</f>
        <v>0</v>
      </c>
      <c r="AR126" s="799">
        <f>AQ126*(1-IFERROR(IF(AR$77+$F126&lt;=12,SUMIFS('Attrition Modeling'!$D:$D,'Attrition Modeling'!$C:$C,$D126,'Attrition Modeling'!$B:$B,AR$76),VLOOKUP($F126+AR$77,$A$7:$C$107,2,FALSE)*VLOOKUP(AR$76,'Attrition Modeling'!$L$15:$N$27,IF(AR$77+$F126&lt;=24,2,3),FALSE)),$C$3)*(1+IF('IP Attrition'!AR183&gt;0,'Attrition Modeling'!$N$9,0)))</f>
        <v>0</v>
      </c>
      <c r="AS126" s="799">
        <f>AR126*(1-IFERROR(IF(AS$77+$F126&lt;=12,SUMIFS('Attrition Modeling'!$D:$D,'Attrition Modeling'!$C:$C,$D126,'Attrition Modeling'!$B:$B,AS$76),VLOOKUP($F126+AS$77,$A$7:$C$107,2,FALSE)*VLOOKUP(AS$76,'Attrition Modeling'!$L$15:$N$27,IF(AS$77+$F126&lt;=24,2,3),FALSE)),$C$3)*(1+IF('IP Attrition'!AS183&gt;0,'Attrition Modeling'!$N$9,0)))</f>
        <v>0</v>
      </c>
      <c r="AT126" s="799">
        <f>AS126*(1-IFERROR(IF(AT$77+$F126&lt;=12,SUMIFS('Attrition Modeling'!$D:$D,'Attrition Modeling'!$C:$C,$D126,'Attrition Modeling'!$B:$B,AT$76),VLOOKUP($F126+AT$77,$A$7:$C$107,2,FALSE)*VLOOKUP(AT$76,'Attrition Modeling'!$L$15:$N$27,IF(AT$77+$F126&lt;=24,2,3),FALSE)),$C$3)*(1+IF('IP Attrition'!AT183&gt;0,'Attrition Modeling'!$N$9,0)))</f>
        <v>0</v>
      </c>
      <c r="AU126" s="799">
        <f>AT126*(1-IFERROR(IF(AU$77+$F126&lt;=12,SUMIFS('Attrition Modeling'!$D:$D,'Attrition Modeling'!$C:$C,$D126,'Attrition Modeling'!$B:$B,AU$76),VLOOKUP($F126+AU$77,$A$7:$C$107,2,FALSE)*VLOOKUP(AU$76,'Attrition Modeling'!$L$15:$N$27,IF(AU$77+$F126&lt;=24,2,3),FALSE)),$C$3)*(1+IF('IP Attrition'!AU183&gt;0,'Attrition Modeling'!$N$9,0)))</f>
        <v>0</v>
      </c>
      <c r="AV126" s="799">
        <f>AU126*(1-IFERROR(IF(AV$77+$F126&lt;=12,SUMIFS('Attrition Modeling'!$D:$D,'Attrition Modeling'!$C:$C,$D126,'Attrition Modeling'!$B:$B,AV$76),VLOOKUP($F126+AV$77,$A$7:$C$107,2,FALSE)*VLOOKUP(AV$76,'Attrition Modeling'!$L$15:$N$27,IF(AV$77+$F126&lt;=24,2,3),FALSE)),$C$3)*(1+IF('IP Attrition'!AV183&gt;0,'Attrition Modeling'!$N$9,0)))</f>
        <v>0</v>
      </c>
      <c r="AW126" s="799">
        <f>AV126*(1-IFERROR(IF(AW$77+$F126&lt;=12,SUMIFS('Attrition Modeling'!$D:$D,'Attrition Modeling'!$C:$C,$D126,'Attrition Modeling'!$B:$B,AW$76),VLOOKUP($F126+AW$77,$A$7:$C$107,2,FALSE)*VLOOKUP(AW$76,'Attrition Modeling'!$L$15:$N$27,IF(AW$77+$F126&lt;=24,2,3),FALSE)),$C$3)*(1+IF('IP Attrition'!AW183&gt;0,'Attrition Modeling'!$N$9,0)))</f>
        <v>0</v>
      </c>
      <c r="AX126" s="799">
        <f>AW126*(1-IFERROR(IF(AX$77+$F126&lt;=12,SUMIFS('Attrition Modeling'!$D:$D,'Attrition Modeling'!$C:$C,$D126,'Attrition Modeling'!$B:$B,AX$76),VLOOKUP($F126+AX$77,$A$7:$C$107,2,FALSE)*VLOOKUP(AX$76,'Attrition Modeling'!$L$15:$N$27,IF(AX$77+$F126&lt;=24,2,3),FALSE)),$C$3)*(1+IF('IP Attrition'!AX183&gt;0,'Attrition Modeling'!$N$9,0)))</f>
        <v>0</v>
      </c>
      <c r="AY126" s="799">
        <f>AX126*(1-IFERROR(IF(AY$77+$F126&lt;=12,SUMIFS('Attrition Modeling'!$D:$D,'Attrition Modeling'!$C:$C,$D126,'Attrition Modeling'!$B:$B,AY$76),VLOOKUP($F126+AY$77,$A$7:$C$107,2,FALSE)*VLOOKUP(AY$76,'Attrition Modeling'!$L$15:$N$27,IF(AY$77+$F126&lt;=24,2,3),FALSE)),$C$3)*(1+IF('IP Attrition'!AY183&gt;0,'Attrition Modeling'!$N$9,0)))</f>
        <v>0</v>
      </c>
      <c r="AZ126" s="799">
        <f>AY126*(1-IFERROR(IF(AZ$77+$F126&lt;=12,SUMIFS('Attrition Modeling'!$D:$D,'Attrition Modeling'!$C:$C,$D126,'Attrition Modeling'!$B:$B,AZ$76),VLOOKUP($F126+AZ$77,$A$7:$C$107,2,FALSE)*VLOOKUP(AZ$76,'Attrition Modeling'!$L$15:$N$27,IF(AZ$77+$F126&lt;=24,2,3),FALSE)),$C$3)*(1+IF('IP Attrition'!AZ183&gt;0,'Attrition Modeling'!$N$9,0)))</f>
        <v>0</v>
      </c>
      <c r="BA126" s="799">
        <f>AZ126*(1-IFERROR(IF(BA$77+$F126&lt;=12,SUMIFS('Attrition Modeling'!$D:$D,'Attrition Modeling'!$C:$C,$D126,'Attrition Modeling'!$B:$B,BA$76),VLOOKUP($F126+BA$77,$A$7:$C$107,2,FALSE)*VLOOKUP(BA$76,'Attrition Modeling'!$L$15:$N$27,IF(BA$77+$F126&lt;=24,2,3),FALSE)),$C$3)*(1+IF('IP Attrition'!BA183&gt;0,'Attrition Modeling'!$N$9,0)))</f>
        <v>0</v>
      </c>
      <c r="BB126" s="799">
        <f>BA126*(1-IFERROR(IF(BB$77+$F126&lt;=12,SUMIFS('Attrition Modeling'!$D:$D,'Attrition Modeling'!$C:$C,$D126,'Attrition Modeling'!$B:$B,BB$76),VLOOKUP($F126+BB$77,$A$7:$C$107,2,FALSE)*VLOOKUP(BB$76,'Attrition Modeling'!$L$15:$N$27,IF(BB$77+$F126&lt;=24,2,3),FALSE)),$C$3)*(1+IF('IP Attrition'!BB183&gt;0,'Attrition Modeling'!$N$9,0)))</f>
        <v>0</v>
      </c>
      <c r="BC126" s="799">
        <f>BB126*(1-IFERROR(IF(BC$77+$F126&lt;=12,SUMIFS('Attrition Modeling'!$D:$D,'Attrition Modeling'!$C:$C,$D126,'Attrition Modeling'!$B:$B,BC$76),VLOOKUP($F126+BC$77,$A$7:$C$107,2,FALSE)*VLOOKUP(BC$76,'Attrition Modeling'!$L$15:$N$27,IF(BC$77+$F126&lt;=24,2,3),FALSE)),$C$3)*(1+IF('IP Attrition'!BC183&gt;0,'Attrition Modeling'!$N$9,0)))</f>
        <v>0</v>
      </c>
      <c r="BD126" s="799">
        <f>BC126*(1-IFERROR(IF(BD$77+$F126&lt;=12,SUMIFS('Attrition Modeling'!$D:$D,'Attrition Modeling'!$C:$C,$D126,'Attrition Modeling'!$B:$B,BD$76),VLOOKUP($F126+BD$77,$A$7:$C$107,2,FALSE)*VLOOKUP(BD$76,'Attrition Modeling'!$L$15:$N$27,IF(BD$77+$F126&lt;=24,2,3),FALSE)),$C$3)*(1+IF('IP Attrition'!BD183&gt;0,'Attrition Modeling'!$N$9,0)))</f>
        <v>0</v>
      </c>
      <c r="BE126" s="799">
        <f>BD126*(1-IFERROR(IF(BE$77+$F126&lt;=12,SUMIFS('Attrition Modeling'!$D:$D,'Attrition Modeling'!$C:$C,$D126,'Attrition Modeling'!$B:$B,BE$76),VLOOKUP($F126+BE$77,$A$7:$C$107,2,FALSE)*VLOOKUP(BE$76,'Attrition Modeling'!$L$15:$N$27,IF(BE$77+$F126&lt;=24,2,3),FALSE)),$C$3)*(1+IF('IP Attrition'!BE183&gt;0,'Attrition Modeling'!$N$9,0)))</f>
        <v>0</v>
      </c>
      <c r="BF126" s="799">
        <f>BE126*(1-IFERROR(IF(BF$77+$F126&lt;=12,SUMIFS('Attrition Modeling'!$D:$D,'Attrition Modeling'!$C:$C,$D126,'Attrition Modeling'!$B:$B,BF$76),VLOOKUP($F126+BF$77,$A$7:$C$107,2,FALSE)*VLOOKUP(BF$76,'Attrition Modeling'!$L$15:$N$27,IF(BF$77+$F126&lt;=24,2,3),FALSE)),$C$3)*(1+IF('IP Attrition'!BF183&gt;0,'Attrition Modeling'!$N$9,0)))</f>
        <v>0</v>
      </c>
      <c r="BG126" s="799">
        <f>BF126*(1-IFERROR(IF(BG$77+$F126&lt;=12,SUMIFS('Attrition Modeling'!$D:$D,'Attrition Modeling'!$C:$C,$D126,'Attrition Modeling'!$B:$B,BG$76),VLOOKUP($F126+BG$77,$A$7:$C$107,2,FALSE)*VLOOKUP(BG$76,'Attrition Modeling'!$L$15:$N$27,IF(BG$77+$F126&lt;=24,2,3),FALSE)),$C$3)*(1+IF('IP Attrition'!BG183&gt;0,'Attrition Modeling'!$N$9,0)))</f>
        <v>0</v>
      </c>
      <c r="BH126" s="799">
        <f>BG126*(1-IFERROR(IF(BH$77+$F126&lt;=12,SUMIFS('Attrition Modeling'!$D:$D,'Attrition Modeling'!$C:$C,$D126,'Attrition Modeling'!$B:$B,BH$76),VLOOKUP($F126+BH$77,$A$7:$C$107,2,FALSE)*VLOOKUP(BH$76,'Attrition Modeling'!$L$15:$N$27,IF(BH$77+$F126&lt;=24,2,3),FALSE)),$C$3)*(1+IF('IP Attrition'!BH183&gt;0,'Attrition Modeling'!$N$9,0)))</f>
        <v>0</v>
      </c>
      <c r="BI126" s="799">
        <f>BH126*(1-IFERROR(IF(BI$77+$F126&lt;=12,SUMIFS('Attrition Modeling'!$D:$D,'Attrition Modeling'!$C:$C,$D126,'Attrition Modeling'!$B:$B,BI$76),VLOOKUP($F126+BI$77,$A$7:$C$107,2,FALSE)*VLOOKUP(BI$76,'Attrition Modeling'!$L$15:$N$27,IF(BI$77+$F126&lt;=24,2,3),FALSE)),$C$3)*(1+IF('IP Attrition'!BI183&gt;0,'Attrition Modeling'!$N$9,0)))</f>
        <v>0</v>
      </c>
      <c r="BJ126" s="799">
        <f>BI126*(1-IFERROR(IF(BJ$77+$F126&lt;=12,SUMIFS('Attrition Modeling'!$D:$D,'Attrition Modeling'!$C:$C,$D126,'Attrition Modeling'!$B:$B,BJ$76),VLOOKUP($F126+BJ$77,$A$7:$C$107,2,FALSE)*VLOOKUP(BJ$76,'Attrition Modeling'!$L$15:$N$27,IF(BJ$77+$F126&lt;=24,2,3),FALSE)),$C$3)*(1+IF('IP Attrition'!BJ183&gt;0,'Attrition Modeling'!$N$9,0)))</f>
        <v>0</v>
      </c>
      <c r="BK126" s="799">
        <f>BJ126*(1-IFERROR(IF(BK$77+$F126&lt;=12,SUMIFS('Attrition Modeling'!$D:$D,'Attrition Modeling'!$C:$C,$D126,'Attrition Modeling'!$B:$B,BK$76),VLOOKUP($F126+BK$77,$A$7:$C$107,2,FALSE)*VLOOKUP(BK$76,'Attrition Modeling'!$L$15:$N$27,IF(BK$77+$F126&lt;=24,2,3),FALSE)),$C$3)*(1+IF('IP Attrition'!BK183&gt;0,'Attrition Modeling'!$N$9,0)))</f>
        <v>0</v>
      </c>
      <c r="BL126" s="799">
        <f>BK126*(1-IFERROR(IF(BL$77+$F126&lt;=12,SUMIFS('Attrition Modeling'!$D:$D,'Attrition Modeling'!$C:$C,$D126,'Attrition Modeling'!$B:$B,BL$76),VLOOKUP($F126+BL$77,$A$7:$C$107,2,FALSE)*VLOOKUP(BL$76,'Attrition Modeling'!$L$15:$N$27,IF(BL$77+$F126&lt;=24,2,3),FALSE)),$C$3)*(1+IF('IP Attrition'!BL183&gt;0,'Attrition Modeling'!$N$9,0)))</f>
        <v>0</v>
      </c>
      <c r="BM126" s="799">
        <f>BL126*(1-IFERROR(IF(BM$77+$F126&lt;=12,SUMIFS('Attrition Modeling'!$D:$D,'Attrition Modeling'!$C:$C,$D126,'Attrition Modeling'!$B:$B,BM$76),VLOOKUP($F126+BM$77,$A$7:$C$107,2,FALSE)*VLOOKUP(BM$76,'Attrition Modeling'!$L$15:$N$27,IF(BM$77+$F126&lt;=24,2,3),FALSE)),$C$3)*(1+IF('IP Attrition'!BM183&gt;0,'Attrition Modeling'!$N$9,0)))</f>
        <v>0</v>
      </c>
      <c r="BN126" s="799">
        <f>BM126*(1-IFERROR(IF(BN$77+$F126&lt;=12,SUMIFS('Attrition Modeling'!$D:$D,'Attrition Modeling'!$C:$C,$D126,'Attrition Modeling'!$B:$B,BN$76),VLOOKUP($F126+BN$77,$A$7:$C$107,2,FALSE)*VLOOKUP(BN$76,'Attrition Modeling'!$L$15:$N$27,IF(BN$77+$F126&lt;=24,2,3),FALSE)),$C$3)*(1+IF('IP Attrition'!BN183&gt;0,'Attrition Modeling'!$N$9,0)))</f>
        <v>0</v>
      </c>
      <c r="BO126" s="799">
        <f>BN126*(1-IFERROR(IF(BO$77+$F126&lt;=12,SUMIFS('Attrition Modeling'!$D:$D,'Attrition Modeling'!$C:$C,$D126,'Attrition Modeling'!$B:$B,BO$76),VLOOKUP($F126+BO$77,$A$7:$C$107,2,FALSE)*VLOOKUP(BO$76,'Attrition Modeling'!$L$15:$N$27,IF(BO$77+$F126&lt;=24,2,3),FALSE)),$C$3)*(1+IF('IP Attrition'!BO183&gt;0,'Attrition Modeling'!$N$9,0)))</f>
        <v>0</v>
      </c>
      <c r="BP126" s="799">
        <f>BO126*(1-IFERROR(IF(BP$77+$F126&lt;=12,SUMIFS('Attrition Modeling'!$D:$D,'Attrition Modeling'!$C:$C,$D126,'Attrition Modeling'!$B:$B,BP$76),VLOOKUP($F126+BP$77,$A$7:$C$107,2,FALSE)*VLOOKUP(BP$76,'Attrition Modeling'!$L$15:$N$27,IF(BP$77+$F126&lt;=24,2,3),FALSE)),$C$3)*(1+IF('IP Attrition'!BP183&gt;0,'Attrition Modeling'!$N$9,0)))</f>
        <v>0</v>
      </c>
      <c r="BQ126" s="799">
        <f>BP126*(1-IFERROR(IF(BQ$77+$F126&lt;=12,SUMIFS('Attrition Modeling'!$D:$D,'Attrition Modeling'!$C:$C,$D126,'Attrition Modeling'!$B:$B,BQ$76),VLOOKUP($F126+BQ$77,$A$7:$C$107,2,FALSE)*VLOOKUP(BQ$76,'Attrition Modeling'!$L$15:$N$27,IF(BQ$77+$F126&lt;=24,2,3),FALSE)),$C$3)*(1+IF('IP Attrition'!BQ183&gt;0,'Attrition Modeling'!$N$9,0)))</f>
        <v>0</v>
      </c>
      <c r="BR126" s="799">
        <f>BQ126*(1-IFERROR(IF(BR$77+$F126&lt;=12,SUMIFS('Attrition Modeling'!$D:$D,'Attrition Modeling'!$C:$C,$D126,'Attrition Modeling'!$B:$B,BR$76),VLOOKUP($F126+BR$77,$A$7:$C$107,2,FALSE)*VLOOKUP(BR$76,'Attrition Modeling'!$L$15:$N$27,IF(BR$77+$F126&lt;=24,2,3),FALSE)),$C$3)*(1+IF('IP Attrition'!BR183&gt;0,'Attrition Modeling'!$N$9,0)))</f>
        <v>0</v>
      </c>
      <c r="BS126" s="799">
        <f>BR126*(1-IFERROR(IF(BS$77+$F126&lt;=12,SUMIFS('Attrition Modeling'!$D:$D,'Attrition Modeling'!$C:$C,$D126,'Attrition Modeling'!$B:$B,BS$76),VLOOKUP($F126+BS$77,$A$7:$C$107,2,FALSE)*VLOOKUP(BS$76,'Attrition Modeling'!$L$15:$N$27,IF(BS$77+$F126&lt;=24,2,3),FALSE)),$C$3)*(1+IF('IP Attrition'!BS183&gt;0,'Attrition Modeling'!$N$9,0)))</f>
        <v>0</v>
      </c>
      <c r="BT126" s="799" t="e">
        <f>BS126*(1-IFERROR(IF(BT$77+$F126&lt;=12,SUMIFS('Attrition Modeling'!$D:$D,'Attrition Modeling'!$C:$C,$D126,'Attrition Modeling'!$B:$B,BT$76),VLOOKUP($F126+BT$77,$A$7:$C$107,2,FALSE)*VLOOKUP(BT$76,'Attrition Modeling'!$L$15:$N$27,IF(BT$77+$F126&lt;=24,2,3),FALSE)),$C$3)*(1+IF('IP Attrition'!BT183&gt;0,'Attrition Modeling'!$N$9,0)))</f>
        <v>#REF!</v>
      </c>
      <c r="BU126" s="799" t="e">
        <f>BT126*(1-IFERROR(IF(BU$77+$F126&lt;=12,SUMIFS('Attrition Modeling'!$D:$D,'Attrition Modeling'!$C:$C,$D126,'Attrition Modeling'!$B:$B,BU$76),VLOOKUP($F126+BU$77,$A$7:$C$107,2,FALSE)*VLOOKUP(BU$76,'Attrition Modeling'!$L$15:$N$27,IF(BU$77+$F126&lt;=24,2,3),FALSE)),$C$3)*(1+IF('IP Attrition'!BU183&gt;0,'Attrition Modeling'!$N$9,0)))</f>
        <v>#REF!</v>
      </c>
    </row>
    <row r="127" spans="1:73" ht="14.25" customHeight="1" x14ac:dyDescent="0.2">
      <c r="A127" s="9">
        <v>119</v>
      </c>
      <c r="B127" s="25">
        <f>MAX('Attrition Modeling'!H123,$C$3)*(1-Summary!$C$20)</f>
        <v>0.02</v>
      </c>
      <c r="C127" s="24" t="e">
        <f t="shared" si="2"/>
        <v>#DIV/0!</v>
      </c>
      <c r="D127" s="11">
        <f>'IP Attrition'!D119</f>
        <v>-49</v>
      </c>
      <c r="E127" s="25">
        <f>'IP Attrition'!E119</f>
        <v>0</v>
      </c>
      <c r="F127" s="11">
        <f t="shared" si="8"/>
        <v>49</v>
      </c>
      <c r="G127" s="799">
        <f>Summary!$C$24*$E127</f>
        <v>0</v>
      </c>
      <c r="H127" s="799">
        <f>G127*(1-IFERROR(IF(H$77+$F127&lt;=12,SUMIFS('Attrition Modeling'!$D:$D,'Attrition Modeling'!$C:$C,$D127,'Attrition Modeling'!$B:$B,H$76),VLOOKUP($F127+H$77,$A$7:$C$107,2,FALSE)*VLOOKUP(H$76,'Attrition Modeling'!$L$15:$N$27,IF(H$77+$F127&lt;=24,2,3),FALSE)),$C$3)*(1+IF('IP Attrition'!H184&gt;0,'Attrition Modeling'!$N$9,0)))</f>
        <v>0</v>
      </c>
      <c r="I127" s="799">
        <f>H127*(1-IFERROR(IF(I$77+$F127&lt;=12,SUMIFS('Attrition Modeling'!$D:$D,'Attrition Modeling'!$C:$C,$D127,'Attrition Modeling'!$B:$B,I$76),VLOOKUP($F127+I$77,$A$7:$C$107,2,FALSE)*VLOOKUP(I$76,'Attrition Modeling'!$L$15:$N$27,IF(I$77+$F127&lt;=24,2,3),FALSE)),$C$3)*(1+IF('IP Attrition'!I184&gt;0,'Attrition Modeling'!$N$9,0)))</f>
        <v>0</v>
      </c>
      <c r="J127" s="799">
        <f>I127*(1-IFERROR(IF(J$77+$F127&lt;=12,SUMIFS('Attrition Modeling'!$D:$D,'Attrition Modeling'!$C:$C,$D127,'Attrition Modeling'!$B:$B,J$76),VLOOKUP($F127+J$77,$A$7:$C$107,2,FALSE)*VLOOKUP(J$76,'Attrition Modeling'!$L$15:$N$27,IF(J$77+$F127&lt;=24,2,3),FALSE)),$C$3)*(1+IF('IP Attrition'!J184&gt;0,'Attrition Modeling'!$N$9,0)))</f>
        <v>0</v>
      </c>
      <c r="K127" s="799">
        <f>J127*(1-IFERROR(IF(K$77+$F127&lt;=12,SUMIFS('Attrition Modeling'!$D:$D,'Attrition Modeling'!$C:$C,$D127,'Attrition Modeling'!$B:$B,K$76),VLOOKUP($F127+K$77,$A$7:$C$107,2,FALSE)*VLOOKUP(K$76,'Attrition Modeling'!$L$15:$N$27,IF(K$77+$F127&lt;=24,2,3),FALSE)),$C$3)*(1+IF('IP Attrition'!K184&gt;0,'Attrition Modeling'!$N$9,0)))</f>
        <v>0</v>
      </c>
      <c r="L127" s="799">
        <f>K127*(1-IFERROR(IF(L$77+$F127&lt;=12,SUMIFS('Attrition Modeling'!$D:$D,'Attrition Modeling'!$C:$C,$D127,'Attrition Modeling'!$B:$B,L$76),VLOOKUP($F127+L$77,$A$7:$C$107,2,FALSE)*VLOOKUP(L$76,'Attrition Modeling'!$L$15:$N$27,IF(L$77+$F127&lt;=24,2,3),FALSE)),$C$3)*(1+IF('IP Attrition'!L184&gt;0,'Attrition Modeling'!$N$9,0)))</f>
        <v>0</v>
      </c>
      <c r="M127" s="799">
        <f>L127*(1-IFERROR(IF(M$77+$F127&lt;=12,SUMIFS('Attrition Modeling'!$D:$D,'Attrition Modeling'!$C:$C,$D127,'Attrition Modeling'!$B:$B,M$76),VLOOKUP($F127+M$77,$A$7:$C$107,2,FALSE)*VLOOKUP(M$76,'Attrition Modeling'!$L$15:$N$27,IF(M$77+$F127&lt;=24,2,3),FALSE)),$C$3)*(1+IF('IP Attrition'!M184&gt;0,'Attrition Modeling'!$N$9,0)))</f>
        <v>0</v>
      </c>
      <c r="N127" s="799">
        <f>M127*(1-IFERROR(IF(N$77+$F127&lt;=12,SUMIFS('Attrition Modeling'!$D:$D,'Attrition Modeling'!$C:$C,$D127,'Attrition Modeling'!$B:$B,N$76),VLOOKUP($F127+N$77,$A$7:$C$107,2,FALSE)*VLOOKUP(N$76,'Attrition Modeling'!$L$15:$N$27,IF(N$77+$F127&lt;=24,2,3),FALSE)),$C$3)*(1+IF('IP Attrition'!N184&gt;0,'Attrition Modeling'!$N$9,0)))</f>
        <v>0</v>
      </c>
      <c r="O127" s="799">
        <f>N127*(1-IFERROR(IF(O$77+$F127&lt;=12,SUMIFS('Attrition Modeling'!$D:$D,'Attrition Modeling'!$C:$C,$D127,'Attrition Modeling'!$B:$B,O$76),VLOOKUP($F127+O$77,$A$7:$C$107,2,FALSE)*VLOOKUP(O$76,'Attrition Modeling'!$L$15:$N$27,IF(O$77+$F127&lt;=24,2,3),FALSE)),$C$3)*(1+IF('IP Attrition'!O184&gt;0,'Attrition Modeling'!$N$9,0)))</f>
        <v>0</v>
      </c>
      <c r="P127" s="799">
        <f>O127*(1-IFERROR(IF(P$77+$F127&lt;=12,SUMIFS('Attrition Modeling'!$D:$D,'Attrition Modeling'!$C:$C,$D127,'Attrition Modeling'!$B:$B,P$76),VLOOKUP($F127+P$77,$A$7:$C$107,2,FALSE)*VLOOKUP(P$76,'Attrition Modeling'!$L$15:$N$27,IF(P$77+$F127&lt;=24,2,3),FALSE)),$C$3)*(1+IF('IP Attrition'!P184&gt;0,'Attrition Modeling'!$N$9,0)))</f>
        <v>0</v>
      </c>
      <c r="Q127" s="799">
        <f>P127*(1-IFERROR(IF(Q$77+$F127&lt;=12,SUMIFS('Attrition Modeling'!$D:$D,'Attrition Modeling'!$C:$C,$D127,'Attrition Modeling'!$B:$B,Q$76),VLOOKUP($F127+Q$77,$A$7:$C$107,2,FALSE)*VLOOKUP(Q$76,'Attrition Modeling'!$L$15:$N$27,IF(Q$77+$F127&lt;=24,2,3),FALSE)),$C$3)*(1+IF('IP Attrition'!Q184&gt;0,'Attrition Modeling'!$N$9,0)))</f>
        <v>0</v>
      </c>
      <c r="R127" s="799">
        <f>Q127*(1-IFERROR(IF(R$77+$F127&lt;=12,SUMIFS('Attrition Modeling'!$D:$D,'Attrition Modeling'!$C:$C,$D127,'Attrition Modeling'!$B:$B,R$76),VLOOKUP($F127+R$77,$A$7:$C$107,2,FALSE)*VLOOKUP(R$76,'Attrition Modeling'!$L$15:$N$27,IF(R$77+$F127&lt;=24,2,3),FALSE)),$C$3)*(1+IF('IP Attrition'!R184&gt;0,'Attrition Modeling'!$N$9,0)))</f>
        <v>0</v>
      </c>
      <c r="S127" s="799">
        <f>R127*(1-IFERROR(IF(S$77+$F127&lt;=12,SUMIFS('Attrition Modeling'!$D:$D,'Attrition Modeling'!$C:$C,$D127,'Attrition Modeling'!$B:$B,S$76),VLOOKUP($F127+S$77,$A$7:$C$107,2,FALSE)*VLOOKUP(S$76,'Attrition Modeling'!$L$15:$N$27,IF(S$77+$F127&lt;=24,2,3),FALSE)),$C$3)*(1+IF('IP Attrition'!S184&gt;0,'Attrition Modeling'!$N$9,0)))</f>
        <v>0</v>
      </c>
      <c r="T127" s="799">
        <f>S127*(1-IFERROR(IF(T$77+$F127&lt;=12,SUMIFS('Attrition Modeling'!$D:$D,'Attrition Modeling'!$C:$C,$D127,'Attrition Modeling'!$B:$B,T$76),VLOOKUP($F127+T$77,$A$7:$C$107,2,FALSE)*VLOOKUP(T$76,'Attrition Modeling'!$L$15:$N$27,IF(T$77+$F127&lt;=24,2,3),FALSE)),$C$3)*(1+IF('IP Attrition'!T184&gt;0,'Attrition Modeling'!$N$9,0)))</f>
        <v>0</v>
      </c>
      <c r="U127" s="799">
        <f>T127*(1-IFERROR(IF(U$77+$F127&lt;=12,SUMIFS('Attrition Modeling'!$D:$D,'Attrition Modeling'!$C:$C,$D127,'Attrition Modeling'!$B:$B,U$76),VLOOKUP($F127+U$77,$A$7:$C$107,2,FALSE)*VLOOKUP(U$76,'Attrition Modeling'!$L$15:$N$27,IF(U$77+$F127&lt;=24,2,3),FALSE)),$C$3)*(1+IF('IP Attrition'!U184&gt;0,'Attrition Modeling'!$N$9,0)))</f>
        <v>0</v>
      </c>
      <c r="V127" s="799">
        <f>U127*(1-IFERROR(IF(V$77+$F127&lt;=12,SUMIFS('Attrition Modeling'!$D:$D,'Attrition Modeling'!$C:$C,$D127,'Attrition Modeling'!$B:$B,V$76),VLOOKUP($F127+V$77,$A$7:$C$107,2,FALSE)*VLOOKUP(V$76,'Attrition Modeling'!$L$15:$N$27,IF(V$77+$F127&lt;=24,2,3),FALSE)),$C$3)*(1+IF('IP Attrition'!V184&gt;0,'Attrition Modeling'!$N$9,0)))</f>
        <v>0</v>
      </c>
      <c r="W127" s="799">
        <f>V127*(1-IFERROR(IF(W$77+$F127&lt;=12,SUMIFS('Attrition Modeling'!$D:$D,'Attrition Modeling'!$C:$C,$D127,'Attrition Modeling'!$B:$B,W$76),VLOOKUP($F127+W$77,$A$7:$C$107,2,FALSE)*VLOOKUP(W$76,'Attrition Modeling'!$L$15:$N$27,IF(W$77+$F127&lt;=24,2,3),FALSE)),$C$3)*(1+IF('IP Attrition'!W184&gt;0,'Attrition Modeling'!$N$9,0)))</f>
        <v>0</v>
      </c>
      <c r="X127" s="799">
        <f>W127*(1-IFERROR(IF(X$77+$F127&lt;=12,SUMIFS('Attrition Modeling'!$D:$D,'Attrition Modeling'!$C:$C,$D127,'Attrition Modeling'!$B:$B,X$76),VLOOKUP($F127+X$77,$A$7:$C$107,2,FALSE)*VLOOKUP(X$76,'Attrition Modeling'!$L$15:$N$27,IF(X$77+$F127&lt;=24,2,3),FALSE)),$C$3)*(1+IF('IP Attrition'!X184&gt;0,'Attrition Modeling'!$N$9,0)))</f>
        <v>0</v>
      </c>
      <c r="Y127" s="799">
        <f>X127*(1-IFERROR(IF(Y$77+$F127&lt;=12,SUMIFS('Attrition Modeling'!$D:$D,'Attrition Modeling'!$C:$C,$D127,'Attrition Modeling'!$B:$B,Y$76),VLOOKUP($F127+Y$77,$A$7:$C$107,2,FALSE)*VLOOKUP(Y$76,'Attrition Modeling'!$L$15:$N$27,IF(Y$77+$F127&lt;=24,2,3),FALSE)),$C$3)*(1+IF('IP Attrition'!Y184&gt;0,'Attrition Modeling'!$N$9,0)))</f>
        <v>0</v>
      </c>
      <c r="Z127" s="799">
        <f>Y127*(1-IFERROR(IF(Z$77+$F127&lt;=12,SUMIFS('Attrition Modeling'!$D:$D,'Attrition Modeling'!$C:$C,$D127,'Attrition Modeling'!$B:$B,Z$76),VLOOKUP($F127+Z$77,$A$7:$C$107,2,FALSE)*VLOOKUP(Z$76,'Attrition Modeling'!$L$15:$N$27,IF(Z$77+$F127&lt;=24,2,3),FALSE)),$C$3)*(1+IF('IP Attrition'!Z184&gt;0,'Attrition Modeling'!$N$9,0)))</f>
        <v>0</v>
      </c>
      <c r="AA127" s="799">
        <f>Z127*(1-IFERROR(IF(AA$77+$F127&lt;=12,SUMIFS('Attrition Modeling'!$D:$D,'Attrition Modeling'!$C:$C,$D127,'Attrition Modeling'!$B:$B,AA$76),VLOOKUP($F127+AA$77,$A$7:$C$107,2,FALSE)*VLOOKUP(AA$76,'Attrition Modeling'!$L$15:$N$27,IF(AA$77+$F127&lt;=24,2,3),FALSE)),$C$3)*(1+IF('IP Attrition'!AA184&gt;0,'Attrition Modeling'!$N$9,0)))</f>
        <v>0</v>
      </c>
      <c r="AB127" s="799">
        <f>AA127*(1-IFERROR(IF(AB$77+$F127&lt;=12,SUMIFS('Attrition Modeling'!$D:$D,'Attrition Modeling'!$C:$C,$D127,'Attrition Modeling'!$B:$B,AB$76),VLOOKUP($F127+AB$77,$A$7:$C$107,2,FALSE)*VLOOKUP(AB$76,'Attrition Modeling'!$L$15:$N$27,IF(AB$77+$F127&lt;=24,2,3),FALSE)),$C$3)*(1+IF('IP Attrition'!AB184&gt;0,'Attrition Modeling'!$N$9,0)))</f>
        <v>0</v>
      </c>
      <c r="AC127" s="799">
        <f>AB127*(1-IFERROR(IF(AC$77+$F127&lt;=12,SUMIFS('Attrition Modeling'!$D:$D,'Attrition Modeling'!$C:$C,$D127,'Attrition Modeling'!$B:$B,AC$76),VLOOKUP($F127+AC$77,$A$7:$C$107,2,FALSE)*VLOOKUP(AC$76,'Attrition Modeling'!$L$15:$N$27,IF(AC$77+$F127&lt;=24,2,3),FALSE)),$C$3)*(1+IF('IP Attrition'!AC184&gt;0,'Attrition Modeling'!$N$9,0)))</f>
        <v>0</v>
      </c>
      <c r="AD127" s="799">
        <f>AC127*(1-IFERROR(IF(AD$77+$F127&lt;=12,SUMIFS('Attrition Modeling'!$D:$D,'Attrition Modeling'!$C:$C,$D127,'Attrition Modeling'!$B:$B,AD$76),VLOOKUP($F127+AD$77,$A$7:$C$107,2,FALSE)*VLOOKUP(AD$76,'Attrition Modeling'!$L$15:$N$27,IF(AD$77+$F127&lt;=24,2,3),FALSE)),$C$3)*(1+IF('IP Attrition'!AD184&gt;0,'Attrition Modeling'!$N$9,0)))</f>
        <v>0</v>
      </c>
      <c r="AE127" s="799">
        <f>AD127*(1-IFERROR(IF(AE$77+$F127&lt;=12,SUMIFS('Attrition Modeling'!$D:$D,'Attrition Modeling'!$C:$C,$D127,'Attrition Modeling'!$B:$B,AE$76),VLOOKUP($F127+AE$77,$A$7:$C$107,2,FALSE)*VLOOKUP(AE$76,'Attrition Modeling'!$L$15:$N$27,IF(AE$77+$F127&lt;=24,2,3),FALSE)),$C$3)*(1+IF('IP Attrition'!AE184&gt;0,'Attrition Modeling'!$N$9,0)))</f>
        <v>0</v>
      </c>
      <c r="AF127" s="799">
        <f>AE127*(1-IFERROR(IF(AF$77+$F127&lt;=12,SUMIFS('Attrition Modeling'!$D:$D,'Attrition Modeling'!$C:$C,$D127,'Attrition Modeling'!$B:$B,AF$76),VLOOKUP($F127+AF$77,$A$7:$C$107,2,FALSE)*VLOOKUP(AF$76,'Attrition Modeling'!$L$15:$N$27,IF(AF$77+$F127&lt;=24,2,3),FALSE)),$C$3)*(1+IF('IP Attrition'!AF184&gt;0,'Attrition Modeling'!$N$9,0)))</f>
        <v>0</v>
      </c>
      <c r="AG127" s="799">
        <f>AF127*(1-IFERROR(IF(AG$77+$F127&lt;=12,SUMIFS('Attrition Modeling'!$D:$D,'Attrition Modeling'!$C:$C,$D127,'Attrition Modeling'!$B:$B,AG$76),VLOOKUP($F127+AG$77,$A$7:$C$107,2,FALSE)*VLOOKUP(AG$76,'Attrition Modeling'!$L$15:$N$27,IF(AG$77+$F127&lt;=24,2,3),FALSE)),$C$3)*(1+IF('IP Attrition'!AG184&gt;0,'Attrition Modeling'!$N$9,0)))</f>
        <v>0</v>
      </c>
      <c r="AH127" s="799">
        <f>AG127*(1-IFERROR(IF(AH$77+$F127&lt;=12,SUMIFS('Attrition Modeling'!$D:$D,'Attrition Modeling'!$C:$C,$D127,'Attrition Modeling'!$B:$B,AH$76),VLOOKUP($F127+AH$77,$A$7:$C$107,2,FALSE)*VLOOKUP(AH$76,'Attrition Modeling'!$L$15:$N$27,IF(AH$77+$F127&lt;=24,2,3),FALSE)),$C$3)*(1+IF('IP Attrition'!AH184&gt;0,'Attrition Modeling'!$N$9,0)))</f>
        <v>0</v>
      </c>
      <c r="AI127" s="799">
        <f>AH127*(1-IFERROR(IF(AI$77+$F127&lt;=12,SUMIFS('Attrition Modeling'!$D:$D,'Attrition Modeling'!$C:$C,$D127,'Attrition Modeling'!$B:$B,AI$76),VLOOKUP($F127+AI$77,$A$7:$C$107,2,FALSE)*VLOOKUP(AI$76,'Attrition Modeling'!$L$15:$N$27,IF(AI$77+$F127&lt;=24,2,3),FALSE)),$C$3)*(1+IF('IP Attrition'!AI184&gt;0,'Attrition Modeling'!$N$9,0)))</f>
        <v>0</v>
      </c>
      <c r="AJ127" s="799">
        <f>AI127*(1-IFERROR(IF(AJ$77+$F127&lt;=12,SUMIFS('Attrition Modeling'!$D:$D,'Attrition Modeling'!$C:$C,$D127,'Attrition Modeling'!$B:$B,AJ$76),VLOOKUP($F127+AJ$77,$A$7:$C$107,2,FALSE)*VLOOKUP(AJ$76,'Attrition Modeling'!$L$15:$N$27,IF(AJ$77+$F127&lt;=24,2,3),FALSE)),$C$3)*(1+IF('IP Attrition'!AJ184&gt;0,'Attrition Modeling'!$N$9,0)))</f>
        <v>0</v>
      </c>
      <c r="AK127" s="799">
        <f>AJ127*(1-IFERROR(IF(AK$77+$F127&lt;=12,SUMIFS('Attrition Modeling'!$D:$D,'Attrition Modeling'!$C:$C,$D127,'Attrition Modeling'!$B:$B,AK$76),VLOOKUP($F127+AK$77,$A$7:$C$107,2,FALSE)*VLOOKUP(AK$76,'Attrition Modeling'!$L$15:$N$27,IF(AK$77+$F127&lt;=24,2,3),FALSE)),$C$3)*(1+IF('IP Attrition'!AK184&gt;0,'Attrition Modeling'!$N$9,0)))</f>
        <v>0</v>
      </c>
      <c r="AL127" s="799">
        <f>AK127*(1-IFERROR(IF(AL$77+$F127&lt;=12,SUMIFS('Attrition Modeling'!$D:$D,'Attrition Modeling'!$C:$C,$D127,'Attrition Modeling'!$B:$B,AL$76),VLOOKUP($F127+AL$77,$A$7:$C$107,2,FALSE)*VLOOKUP(AL$76,'Attrition Modeling'!$L$15:$N$27,IF(AL$77+$F127&lt;=24,2,3),FALSE)),$C$3)*(1+IF('IP Attrition'!AL184&gt;0,'Attrition Modeling'!$N$9,0)))</f>
        <v>0</v>
      </c>
      <c r="AM127" s="799">
        <f>AL127*(1-IFERROR(IF(AM$77+$F127&lt;=12,SUMIFS('Attrition Modeling'!$D:$D,'Attrition Modeling'!$C:$C,$D127,'Attrition Modeling'!$B:$B,AM$76),VLOOKUP($F127+AM$77,$A$7:$C$107,2,FALSE)*VLOOKUP(AM$76,'Attrition Modeling'!$L$15:$N$27,IF(AM$77+$F127&lt;=24,2,3),FALSE)),$C$3)*(1+IF('IP Attrition'!AM184&gt;0,'Attrition Modeling'!$N$9,0)))</f>
        <v>0</v>
      </c>
      <c r="AN127" s="799">
        <f>AM127*(1-IFERROR(IF(AN$77+$F127&lt;=12,SUMIFS('Attrition Modeling'!$D:$D,'Attrition Modeling'!$C:$C,$D127,'Attrition Modeling'!$B:$B,AN$76),VLOOKUP($F127+AN$77,$A$7:$C$107,2,FALSE)*VLOOKUP(AN$76,'Attrition Modeling'!$L$15:$N$27,IF(AN$77+$F127&lt;=24,2,3),FALSE)),$C$3)*(1+IF('IP Attrition'!AN184&gt;0,'Attrition Modeling'!$N$9,0)))</f>
        <v>0</v>
      </c>
      <c r="AO127" s="799">
        <f>AN127*(1-IFERROR(IF(AO$77+$F127&lt;=12,SUMIFS('Attrition Modeling'!$D:$D,'Attrition Modeling'!$C:$C,$D127,'Attrition Modeling'!$B:$B,AO$76),VLOOKUP($F127+AO$77,$A$7:$C$107,2,FALSE)*VLOOKUP(AO$76,'Attrition Modeling'!$L$15:$N$27,IF(AO$77+$F127&lt;=24,2,3),FALSE)),$C$3)*(1+IF('IP Attrition'!AO184&gt;0,'Attrition Modeling'!$N$9,0)))</f>
        <v>0</v>
      </c>
      <c r="AP127" s="799">
        <f>AO127*(1-IFERROR(IF(AP$77+$F127&lt;=12,SUMIFS('Attrition Modeling'!$D:$D,'Attrition Modeling'!$C:$C,$D127,'Attrition Modeling'!$B:$B,AP$76),VLOOKUP($F127+AP$77,$A$7:$C$107,2,FALSE)*VLOOKUP(AP$76,'Attrition Modeling'!$L$15:$N$27,IF(AP$77+$F127&lt;=24,2,3),FALSE)),$C$3)*(1+IF('IP Attrition'!AP184&gt;0,'Attrition Modeling'!$N$9,0)))</f>
        <v>0</v>
      </c>
      <c r="AQ127" s="799">
        <f>AP127*(1-IFERROR(IF(AQ$77+$F127&lt;=12,SUMIFS('Attrition Modeling'!$D:$D,'Attrition Modeling'!$C:$C,$D127,'Attrition Modeling'!$B:$B,AQ$76),VLOOKUP($F127+AQ$77,$A$7:$C$107,2,FALSE)*VLOOKUP(AQ$76,'Attrition Modeling'!$L$15:$N$27,IF(AQ$77+$F127&lt;=24,2,3),FALSE)),$C$3)*(1+IF('IP Attrition'!AQ184&gt;0,'Attrition Modeling'!$N$9,0)))</f>
        <v>0</v>
      </c>
      <c r="AR127" s="799">
        <f>AQ127*(1-IFERROR(IF(AR$77+$F127&lt;=12,SUMIFS('Attrition Modeling'!$D:$D,'Attrition Modeling'!$C:$C,$D127,'Attrition Modeling'!$B:$B,AR$76),VLOOKUP($F127+AR$77,$A$7:$C$107,2,FALSE)*VLOOKUP(AR$76,'Attrition Modeling'!$L$15:$N$27,IF(AR$77+$F127&lt;=24,2,3),FALSE)),$C$3)*(1+IF('IP Attrition'!AR184&gt;0,'Attrition Modeling'!$N$9,0)))</f>
        <v>0</v>
      </c>
      <c r="AS127" s="799">
        <f>AR127*(1-IFERROR(IF(AS$77+$F127&lt;=12,SUMIFS('Attrition Modeling'!$D:$D,'Attrition Modeling'!$C:$C,$D127,'Attrition Modeling'!$B:$B,AS$76),VLOOKUP($F127+AS$77,$A$7:$C$107,2,FALSE)*VLOOKUP(AS$76,'Attrition Modeling'!$L$15:$N$27,IF(AS$77+$F127&lt;=24,2,3),FALSE)),$C$3)*(1+IF('IP Attrition'!AS184&gt;0,'Attrition Modeling'!$N$9,0)))</f>
        <v>0</v>
      </c>
      <c r="AT127" s="799">
        <f>AS127*(1-IFERROR(IF(AT$77+$F127&lt;=12,SUMIFS('Attrition Modeling'!$D:$D,'Attrition Modeling'!$C:$C,$D127,'Attrition Modeling'!$B:$B,AT$76),VLOOKUP($F127+AT$77,$A$7:$C$107,2,FALSE)*VLOOKUP(AT$76,'Attrition Modeling'!$L$15:$N$27,IF(AT$77+$F127&lt;=24,2,3),FALSE)),$C$3)*(1+IF('IP Attrition'!AT184&gt;0,'Attrition Modeling'!$N$9,0)))</f>
        <v>0</v>
      </c>
      <c r="AU127" s="799">
        <f>AT127*(1-IFERROR(IF(AU$77+$F127&lt;=12,SUMIFS('Attrition Modeling'!$D:$D,'Attrition Modeling'!$C:$C,$D127,'Attrition Modeling'!$B:$B,AU$76),VLOOKUP($F127+AU$77,$A$7:$C$107,2,FALSE)*VLOOKUP(AU$76,'Attrition Modeling'!$L$15:$N$27,IF(AU$77+$F127&lt;=24,2,3),FALSE)),$C$3)*(1+IF('IP Attrition'!AU184&gt;0,'Attrition Modeling'!$N$9,0)))</f>
        <v>0</v>
      </c>
      <c r="AV127" s="799">
        <f>AU127*(1-IFERROR(IF(AV$77+$F127&lt;=12,SUMIFS('Attrition Modeling'!$D:$D,'Attrition Modeling'!$C:$C,$D127,'Attrition Modeling'!$B:$B,AV$76),VLOOKUP($F127+AV$77,$A$7:$C$107,2,FALSE)*VLOOKUP(AV$76,'Attrition Modeling'!$L$15:$N$27,IF(AV$77+$F127&lt;=24,2,3),FALSE)),$C$3)*(1+IF('IP Attrition'!AV184&gt;0,'Attrition Modeling'!$N$9,0)))</f>
        <v>0</v>
      </c>
      <c r="AW127" s="799">
        <f>AV127*(1-IFERROR(IF(AW$77+$F127&lt;=12,SUMIFS('Attrition Modeling'!$D:$D,'Attrition Modeling'!$C:$C,$D127,'Attrition Modeling'!$B:$B,AW$76),VLOOKUP($F127+AW$77,$A$7:$C$107,2,FALSE)*VLOOKUP(AW$76,'Attrition Modeling'!$L$15:$N$27,IF(AW$77+$F127&lt;=24,2,3),FALSE)),$C$3)*(1+IF('IP Attrition'!AW184&gt;0,'Attrition Modeling'!$N$9,0)))</f>
        <v>0</v>
      </c>
      <c r="AX127" s="799">
        <f>AW127*(1-IFERROR(IF(AX$77+$F127&lt;=12,SUMIFS('Attrition Modeling'!$D:$D,'Attrition Modeling'!$C:$C,$D127,'Attrition Modeling'!$B:$B,AX$76),VLOOKUP($F127+AX$77,$A$7:$C$107,2,FALSE)*VLOOKUP(AX$76,'Attrition Modeling'!$L$15:$N$27,IF(AX$77+$F127&lt;=24,2,3),FALSE)),$C$3)*(1+IF('IP Attrition'!AX184&gt;0,'Attrition Modeling'!$N$9,0)))</f>
        <v>0</v>
      </c>
      <c r="AY127" s="799">
        <f>AX127*(1-IFERROR(IF(AY$77+$F127&lt;=12,SUMIFS('Attrition Modeling'!$D:$D,'Attrition Modeling'!$C:$C,$D127,'Attrition Modeling'!$B:$B,AY$76),VLOOKUP($F127+AY$77,$A$7:$C$107,2,FALSE)*VLOOKUP(AY$76,'Attrition Modeling'!$L$15:$N$27,IF(AY$77+$F127&lt;=24,2,3),FALSE)),$C$3)*(1+IF('IP Attrition'!AY184&gt;0,'Attrition Modeling'!$N$9,0)))</f>
        <v>0</v>
      </c>
      <c r="AZ127" s="799">
        <f>AY127*(1-IFERROR(IF(AZ$77+$F127&lt;=12,SUMIFS('Attrition Modeling'!$D:$D,'Attrition Modeling'!$C:$C,$D127,'Attrition Modeling'!$B:$B,AZ$76),VLOOKUP($F127+AZ$77,$A$7:$C$107,2,FALSE)*VLOOKUP(AZ$76,'Attrition Modeling'!$L$15:$N$27,IF(AZ$77+$F127&lt;=24,2,3),FALSE)),$C$3)*(1+IF('IP Attrition'!AZ184&gt;0,'Attrition Modeling'!$N$9,0)))</f>
        <v>0</v>
      </c>
      <c r="BA127" s="799">
        <f>AZ127*(1-IFERROR(IF(BA$77+$F127&lt;=12,SUMIFS('Attrition Modeling'!$D:$D,'Attrition Modeling'!$C:$C,$D127,'Attrition Modeling'!$B:$B,BA$76),VLOOKUP($F127+BA$77,$A$7:$C$107,2,FALSE)*VLOOKUP(BA$76,'Attrition Modeling'!$L$15:$N$27,IF(BA$77+$F127&lt;=24,2,3),FALSE)),$C$3)*(1+IF('IP Attrition'!BA184&gt;0,'Attrition Modeling'!$N$9,0)))</f>
        <v>0</v>
      </c>
      <c r="BB127" s="799">
        <f>BA127*(1-IFERROR(IF(BB$77+$F127&lt;=12,SUMIFS('Attrition Modeling'!$D:$D,'Attrition Modeling'!$C:$C,$D127,'Attrition Modeling'!$B:$B,BB$76),VLOOKUP($F127+BB$77,$A$7:$C$107,2,FALSE)*VLOOKUP(BB$76,'Attrition Modeling'!$L$15:$N$27,IF(BB$77+$F127&lt;=24,2,3),FALSE)),$C$3)*(1+IF('IP Attrition'!BB184&gt;0,'Attrition Modeling'!$N$9,0)))</f>
        <v>0</v>
      </c>
      <c r="BC127" s="799">
        <f>BB127*(1-IFERROR(IF(BC$77+$F127&lt;=12,SUMIFS('Attrition Modeling'!$D:$D,'Attrition Modeling'!$C:$C,$D127,'Attrition Modeling'!$B:$B,BC$76),VLOOKUP($F127+BC$77,$A$7:$C$107,2,FALSE)*VLOOKUP(BC$76,'Attrition Modeling'!$L$15:$N$27,IF(BC$77+$F127&lt;=24,2,3),FALSE)),$C$3)*(1+IF('IP Attrition'!BC184&gt;0,'Attrition Modeling'!$N$9,0)))</f>
        <v>0</v>
      </c>
      <c r="BD127" s="799">
        <f>BC127*(1-IFERROR(IF(BD$77+$F127&lt;=12,SUMIFS('Attrition Modeling'!$D:$D,'Attrition Modeling'!$C:$C,$D127,'Attrition Modeling'!$B:$B,BD$76),VLOOKUP($F127+BD$77,$A$7:$C$107,2,FALSE)*VLOOKUP(BD$76,'Attrition Modeling'!$L$15:$N$27,IF(BD$77+$F127&lt;=24,2,3),FALSE)),$C$3)*(1+IF('IP Attrition'!BD184&gt;0,'Attrition Modeling'!$N$9,0)))</f>
        <v>0</v>
      </c>
      <c r="BE127" s="799">
        <f>BD127*(1-IFERROR(IF(BE$77+$F127&lt;=12,SUMIFS('Attrition Modeling'!$D:$D,'Attrition Modeling'!$C:$C,$D127,'Attrition Modeling'!$B:$B,BE$76),VLOOKUP($F127+BE$77,$A$7:$C$107,2,FALSE)*VLOOKUP(BE$76,'Attrition Modeling'!$L$15:$N$27,IF(BE$77+$F127&lt;=24,2,3),FALSE)),$C$3)*(1+IF('IP Attrition'!BE184&gt;0,'Attrition Modeling'!$N$9,0)))</f>
        <v>0</v>
      </c>
      <c r="BF127" s="799">
        <f>BE127*(1-IFERROR(IF(BF$77+$F127&lt;=12,SUMIFS('Attrition Modeling'!$D:$D,'Attrition Modeling'!$C:$C,$D127,'Attrition Modeling'!$B:$B,BF$76),VLOOKUP($F127+BF$77,$A$7:$C$107,2,FALSE)*VLOOKUP(BF$76,'Attrition Modeling'!$L$15:$N$27,IF(BF$77+$F127&lt;=24,2,3),FALSE)),$C$3)*(1+IF('IP Attrition'!BF184&gt;0,'Attrition Modeling'!$N$9,0)))</f>
        <v>0</v>
      </c>
      <c r="BG127" s="799">
        <f>BF127*(1-IFERROR(IF(BG$77+$F127&lt;=12,SUMIFS('Attrition Modeling'!$D:$D,'Attrition Modeling'!$C:$C,$D127,'Attrition Modeling'!$B:$B,BG$76),VLOOKUP($F127+BG$77,$A$7:$C$107,2,FALSE)*VLOOKUP(BG$76,'Attrition Modeling'!$L$15:$N$27,IF(BG$77+$F127&lt;=24,2,3),FALSE)),$C$3)*(1+IF('IP Attrition'!BG184&gt;0,'Attrition Modeling'!$N$9,0)))</f>
        <v>0</v>
      </c>
      <c r="BH127" s="799">
        <f>BG127*(1-IFERROR(IF(BH$77+$F127&lt;=12,SUMIFS('Attrition Modeling'!$D:$D,'Attrition Modeling'!$C:$C,$D127,'Attrition Modeling'!$B:$B,BH$76),VLOOKUP($F127+BH$77,$A$7:$C$107,2,FALSE)*VLOOKUP(BH$76,'Attrition Modeling'!$L$15:$N$27,IF(BH$77+$F127&lt;=24,2,3),FALSE)),$C$3)*(1+IF('IP Attrition'!BH184&gt;0,'Attrition Modeling'!$N$9,0)))</f>
        <v>0</v>
      </c>
      <c r="BI127" s="799">
        <f>BH127*(1-IFERROR(IF(BI$77+$F127&lt;=12,SUMIFS('Attrition Modeling'!$D:$D,'Attrition Modeling'!$C:$C,$D127,'Attrition Modeling'!$B:$B,BI$76),VLOOKUP($F127+BI$77,$A$7:$C$107,2,FALSE)*VLOOKUP(BI$76,'Attrition Modeling'!$L$15:$N$27,IF(BI$77+$F127&lt;=24,2,3),FALSE)),$C$3)*(1+IF('IP Attrition'!BI184&gt;0,'Attrition Modeling'!$N$9,0)))</f>
        <v>0</v>
      </c>
      <c r="BJ127" s="799">
        <f>BI127*(1-IFERROR(IF(BJ$77+$F127&lt;=12,SUMIFS('Attrition Modeling'!$D:$D,'Attrition Modeling'!$C:$C,$D127,'Attrition Modeling'!$B:$B,BJ$76),VLOOKUP($F127+BJ$77,$A$7:$C$107,2,FALSE)*VLOOKUP(BJ$76,'Attrition Modeling'!$L$15:$N$27,IF(BJ$77+$F127&lt;=24,2,3),FALSE)),$C$3)*(1+IF('IP Attrition'!BJ184&gt;0,'Attrition Modeling'!$N$9,0)))</f>
        <v>0</v>
      </c>
      <c r="BK127" s="799">
        <f>BJ127*(1-IFERROR(IF(BK$77+$F127&lt;=12,SUMIFS('Attrition Modeling'!$D:$D,'Attrition Modeling'!$C:$C,$D127,'Attrition Modeling'!$B:$B,BK$76),VLOOKUP($F127+BK$77,$A$7:$C$107,2,FALSE)*VLOOKUP(BK$76,'Attrition Modeling'!$L$15:$N$27,IF(BK$77+$F127&lt;=24,2,3),FALSE)),$C$3)*(1+IF('IP Attrition'!BK184&gt;0,'Attrition Modeling'!$N$9,0)))</f>
        <v>0</v>
      </c>
      <c r="BL127" s="799">
        <f>BK127*(1-IFERROR(IF(BL$77+$F127&lt;=12,SUMIFS('Attrition Modeling'!$D:$D,'Attrition Modeling'!$C:$C,$D127,'Attrition Modeling'!$B:$B,BL$76),VLOOKUP($F127+BL$77,$A$7:$C$107,2,FALSE)*VLOOKUP(BL$76,'Attrition Modeling'!$L$15:$N$27,IF(BL$77+$F127&lt;=24,2,3),FALSE)),$C$3)*(1+IF('IP Attrition'!BL184&gt;0,'Attrition Modeling'!$N$9,0)))</f>
        <v>0</v>
      </c>
      <c r="BM127" s="799">
        <f>BL127*(1-IFERROR(IF(BM$77+$F127&lt;=12,SUMIFS('Attrition Modeling'!$D:$D,'Attrition Modeling'!$C:$C,$D127,'Attrition Modeling'!$B:$B,BM$76),VLOOKUP($F127+BM$77,$A$7:$C$107,2,FALSE)*VLOOKUP(BM$76,'Attrition Modeling'!$L$15:$N$27,IF(BM$77+$F127&lt;=24,2,3),FALSE)),$C$3)*(1+IF('IP Attrition'!BM184&gt;0,'Attrition Modeling'!$N$9,0)))</f>
        <v>0</v>
      </c>
      <c r="BN127" s="799">
        <f>BM127*(1-IFERROR(IF(BN$77+$F127&lt;=12,SUMIFS('Attrition Modeling'!$D:$D,'Attrition Modeling'!$C:$C,$D127,'Attrition Modeling'!$B:$B,BN$76),VLOOKUP($F127+BN$77,$A$7:$C$107,2,FALSE)*VLOOKUP(BN$76,'Attrition Modeling'!$L$15:$N$27,IF(BN$77+$F127&lt;=24,2,3),FALSE)),$C$3)*(1+IF('IP Attrition'!BN184&gt;0,'Attrition Modeling'!$N$9,0)))</f>
        <v>0</v>
      </c>
      <c r="BO127" s="799">
        <f>BN127*(1-IFERROR(IF(BO$77+$F127&lt;=12,SUMIFS('Attrition Modeling'!$D:$D,'Attrition Modeling'!$C:$C,$D127,'Attrition Modeling'!$B:$B,BO$76),VLOOKUP($F127+BO$77,$A$7:$C$107,2,FALSE)*VLOOKUP(BO$76,'Attrition Modeling'!$L$15:$N$27,IF(BO$77+$F127&lt;=24,2,3),FALSE)),$C$3)*(1+IF('IP Attrition'!BO184&gt;0,'Attrition Modeling'!$N$9,0)))</f>
        <v>0</v>
      </c>
      <c r="BP127" s="799">
        <f>BO127*(1-IFERROR(IF(BP$77+$F127&lt;=12,SUMIFS('Attrition Modeling'!$D:$D,'Attrition Modeling'!$C:$C,$D127,'Attrition Modeling'!$B:$B,BP$76),VLOOKUP($F127+BP$77,$A$7:$C$107,2,FALSE)*VLOOKUP(BP$76,'Attrition Modeling'!$L$15:$N$27,IF(BP$77+$F127&lt;=24,2,3),FALSE)),$C$3)*(1+IF('IP Attrition'!BP184&gt;0,'Attrition Modeling'!$N$9,0)))</f>
        <v>0</v>
      </c>
      <c r="BQ127" s="799">
        <f>BP127*(1-IFERROR(IF(BQ$77+$F127&lt;=12,SUMIFS('Attrition Modeling'!$D:$D,'Attrition Modeling'!$C:$C,$D127,'Attrition Modeling'!$B:$B,BQ$76),VLOOKUP($F127+BQ$77,$A$7:$C$107,2,FALSE)*VLOOKUP(BQ$76,'Attrition Modeling'!$L$15:$N$27,IF(BQ$77+$F127&lt;=24,2,3),FALSE)),$C$3)*(1+IF('IP Attrition'!BQ184&gt;0,'Attrition Modeling'!$N$9,0)))</f>
        <v>0</v>
      </c>
      <c r="BR127" s="799">
        <f>BQ127*(1-IFERROR(IF(BR$77+$F127&lt;=12,SUMIFS('Attrition Modeling'!$D:$D,'Attrition Modeling'!$C:$C,$D127,'Attrition Modeling'!$B:$B,BR$76),VLOOKUP($F127+BR$77,$A$7:$C$107,2,FALSE)*VLOOKUP(BR$76,'Attrition Modeling'!$L$15:$N$27,IF(BR$77+$F127&lt;=24,2,3),FALSE)),$C$3)*(1+IF('IP Attrition'!BR184&gt;0,'Attrition Modeling'!$N$9,0)))</f>
        <v>0</v>
      </c>
      <c r="BS127" s="799">
        <f>BR127*(1-IFERROR(IF(BS$77+$F127&lt;=12,SUMIFS('Attrition Modeling'!$D:$D,'Attrition Modeling'!$C:$C,$D127,'Attrition Modeling'!$B:$B,BS$76),VLOOKUP($F127+BS$77,$A$7:$C$107,2,FALSE)*VLOOKUP(BS$76,'Attrition Modeling'!$L$15:$N$27,IF(BS$77+$F127&lt;=24,2,3),FALSE)),$C$3)*(1+IF('IP Attrition'!BS184&gt;0,'Attrition Modeling'!$N$9,0)))</f>
        <v>0</v>
      </c>
      <c r="BT127" s="799" t="e">
        <f>BS127*(1-IFERROR(IF(BT$77+$F127&lt;=12,SUMIFS('Attrition Modeling'!$D:$D,'Attrition Modeling'!$C:$C,$D127,'Attrition Modeling'!$B:$B,BT$76),VLOOKUP($F127+BT$77,$A$7:$C$107,2,FALSE)*VLOOKUP(BT$76,'Attrition Modeling'!$L$15:$N$27,IF(BT$77+$F127&lt;=24,2,3),FALSE)),$C$3)*(1+IF('IP Attrition'!BT184&gt;0,'Attrition Modeling'!$N$9,0)))</f>
        <v>#REF!</v>
      </c>
      <c r="BU127" s="799" t="e">
        <f>BT127*(1-IFERROR(IF(BU$77+$F127&lt;=12,SUMIFS('Attrition Modeling'!$D:$D,'Attrition Modeling'!$C:$C,$D127,'Attrition Modeling'!$B:$B,BU$76),VLOOKUP($F127+BU$77,$A$7:$C$107,2,FALSE)*VLOOKUP(BU$76,'Attrition Modeling'!$L$15:$N$27,IF(BU$77+$F127&lt;=24,2,3),FALSE)),$C$3)*(1+IF('IP Attrition'!BU184&gt;0,'Attrition Modeling'!$N$9,0)))</f>
        <v>#REF!</v>
      </c>
    </row>
    <row r="128" spans="1:73" ht="14.25" customHeight="1" x14ac:dyDescent="0.2">
      <c r="A128" s="9">
        <v>120</v>
      </c>
      <c r="B128" s="25">
        <f>MAX('Attrition Modeling'!H124,$C$3)*(1-Summary!$C$20)</f>
        <v>0.02</v>
      </c>
      <c r="C128" s="24" t="e">
        <f t="shared" si="2"/>
        <v>#DIV/0!</v>
      </c>
      <c r="D128" s="11">
        <f>'IP Attrition'!D120</f>
        <v>-50</v>
      </c>
      <c r="E128" s="25">
        <f>'IP Attrition'!E120</f>
        <v>0</v>
      </c>
      <c r="F128" s="11">
        <f t="shared" si="8"/>
        <v>50</v>
      </c>
      <c r="G128" s="799">
        <f>Summary!$C$24*$E128</f>
        <v>0</v>
      </c>
      <c r="H128" s="799">
        <f>G128*(1-IFERROR(IF(H$77+$F128&lt;=12,SUMIFS('Attrition Modeling'!$D:$D,'Attrition Modeling'!$C:$C,$D128,'Attrition Modeling'!$B:$B,H$76),VLOOKUP($F128+H$77,$A$7:$C$107,2,FALSE)*VLOOKUP(H$76,'Attrition Modeling'!$L$15:$N$27,IF(H$77+$F128&lt;=24,2,3),FALSE)),$C$3)*(1+IF('IP Attrition'!H185&gt;0,'Attrition Modeling'!$N$9,0)))</f>
        <v>0</v>
      </c>
      <c r="I128" s="799">
        <f>H128*(1-IFERROR(IF(I$77+$F128&lt;=12,SUMIFS('Attrition Modeling'!$D:$D,'Attrition Modeling'!$C:$C,$D128,'Attrition Modeling'!$B:$B,I$76),VLOOKUP($F128+I$77,$A$7:$C$107,2,FALSE)*VLOOKUP(I$76,'Attrition Modeling'!$L$15:$N$27,IF(I$77+$F128&lt;=24,2,3),FALSE)),$C$3)*(1+IF('IP Attrition'!I185&gt;0,'Attrition Modeling'!$N$9,0)))</f>
        <v>0</v>
      </c>
      <c r="J128" s="799">
        <f>I128*(1-IFERROR(IF(J$77+$F128&lt;=12,SUMIFS('Attrition Modeling'!$D:$D,'Attrition Modeling'!$C:$C,$D128,'Attrition Modeling'!$B:$B,J$76),VLOOKUP($F128+J$77,$A$7:$C$107,2,FALSE)*VLOOKUP(J$76,'Attrition Modeling'!$L$15:$N$27,IF(J$77+$F128&lt;=24,2,3),FALSE)),$C$3)*(1+IF('IP Attrition'!J185&gt;0,'Attrition Modeling'!$N$9,0)))</f>
        <v>0</v>
      </c>
      <c r="K128" s="799">
        <f>J128*(1-IFERROR(IF(K$77+$F128&lt;=12,SUMIFS('Attrition Modeling'!$D:$D,'Attrition Modeling'!$C:$C,$D128,'Attrition Modeling'!$B:$B,K$76),VLOOKUP($F128+K$77,$A$7:$C$107,2,FALSE)*VLOOKUP(K$76,'Attrition Modeling'!$L$15:$N$27,IF(K$77+$F128&lt;=24,2,3),FALSE)),$C$3)*(1+IF('IP Attrition'!K185&gt;0,'Attrition Modeling'!$N$9,0)))</f>
        <v>0</v>
      </c>
      <c r="L128" s="799">
        <f>K128*(1-IFERROR(IF(L$77+$F128&lt;=12,SUMIFS('Attrition Modeling'!$D:$D,'Attrition Modeling'!$C:$C,$D128,'Attrition Modeling'!$B:$B,L$76),VLOOKUP($F128+L$77,$A$7:$C$107,2,FALSE)*VLOOKUP(L$76,'Attrition Modeling'!$L$15:$N$27,IF(L$77+$F128&lt;=24,2,3),FALSE)),$C$3)*(1+IF('IP Attrition'!L185&gt;0,'Attrition Modeling'!$N$9,0)))</f>
        <v>0</v>
      </c>
      <c r="M128" s="799">
        <f>L128*(1-IFERROR(IF(M$77+$F128&lt;=12,SUMIFS('Attrition Modeling'!$D:$D,'Attrition Modeling'!$C:$C,$D128,'Attrition Modeling'!$B:$B,M$76),VLOOKUP($F128+M$77,$A$7:$C$107,2,FALSE)*VLOOKUP(M$76,'Attrition Modeling'!$L$15:$N$27,IF(M$77+$F128&lt;=24,2,3),FALSE)),$C$3)*(1+IF('IP Attrition'!M185&gt;0,'Attrition Modeling'!$N$9,0)))</f>
        <v>0</v>
      </c>
      <c r="N128" s="799">
        <f>M128*(1-IFERROR(IF(N$77+$F128&lt;=12,SUMIFS('Attrition Modeling'!$D:$D,'Attrition Modeling'!$C:$C,$D128,'Attrition Modeling'!$B:$B,N$76),VLOOKUP($F128+N$77,$A$7:$C$107,2,FALSE)*VLOOKUP(N$76,'Attrition Modeling'!$L$15:$N$27,IF(N$77+$F128&lt;=24,2,3),FALSE)),$C$3)*(1+IF('IP Attrition'!N185&gt;0,'Attrition Modeling'!$N$9,0)))</f>
        <v>0</v>
      </c>
      <c r="O128" s="799">
        <f>N128*(1-IFERROR(IF(O$77+$F128&lt;=12,SUMIFS('Attrition Modeling'!$D:$D,'Attrition Modeling'!$C:$C,$D128,'Attrition Modeling'!$B:$B,O$76),VLOOKUP($F128+O$77,$A$7:$C$107,2,FALSE)*VLOOKUP(O$76,'Attrition Modeling'!$L$15:$N$27,IF(O$77+$F128&lt;=24,2,3),FALSE)),$C$3)*(1+IF('IP Attrition'!O185&gt;0,'Attrition Modeling'!$N$9,0)))</f>
        <v>0</v>
      </c>
      <c r="P128" s="799">
        <f>O128*(1-IFERROR(IF(P$77+$F128&lt;=12,SUMIFS('Attrition Modeling'!$D:$D,'Attrition Modeling'!$C:$C,$D128,'Attrition Modeling'!$B:$B,P$76),VLOOKUP($F128+P$77,$A$7:$C$107,2,FALSE)*VLOOKUP(P$76,'Attrition Modeling'!$L$15:$N$27,IF(P$77+$F128&lt;=24,2,3),FALSE)),$C$3)*(1+IF('IP Attrition'!P185&gt;0,'Attrition Modeling'!$N$9,0)))</f>
        <v>0</v>
      </c>
      <c r="Q128" s="799">
        <f>P128*(1-IFERROR(IF(Q$77+$F128&lt;=12,SUMIFS('Attrition Modeling'!$D:$D,'Attrition Modeling'!$C:$C,$D128,'Attrition Modeling'!$B:$B,Q$76),VLOOKUP($F128+Q$77,$A$7:$C$107,2,FALSE)*VLOOKUP(Q$76,'Attrition Modeling'!$L$15:$N$27,IF(Q$77+$F128&lt;=24,2,3),FALSE)),$C$3)*(1+IF('IP Attrition'!Q185&gt;0,'Attrition Modeling'!$N$9,0)))</f>
        <v>0</v>
      </c>
      <c r="R128" s="799">
        <f>Q128*(1-IFERROR(IF(R$77+$F128&lt;=12,SUMIFS('Attrition Modeling'!$D:$D,'Attrition Modeling'!$C:$C,$D128,'Attrition Modeling'!$B:$B,R$76),VLOOKUP($F128+R$77,$A$7:$C$107,2,FALSE)*VLOOKUP(R$76,'Attrition Modeling'!$L$15:$N$27,IF(R$77+$F128&lt;=24,2,3),FALSE)),$C$3)*(1+IF('IP Attrition'!R185&gt;0,'Attrition Modeling'!$N$9,0)))</f>
        <v>0</v>
      </c>
      <c r="S128" s="799">
        <f>R128*(1-IFERROR(IF(S$77+$F128&lt;=12,SUMIFS('Attrition Modeling'!$D:$D,'Attrition Modeling'!$C:$C,$D128,'Attrition Modeling'!$B:$B,S$76),VLOOKUP($F128+S$77,$A$7:$C$107,2,FALSE)*VLOOKUP(S$76,'Attrition Modeling'!$L$15:$N$27,IF(S$77+$F128&lt;=24,2,3),FALSE)),$C$3)*(1+IF('IP Attrition'!S185&gt;0,'Attrition Modeling'!$N$9,0)))</f>
        <v>0</v>
      </c>
      <c r="T128" s="799">
        <f>S128*(1-IFERROR(IF(T$77+$F128&lt;=12,SUMIFS('Attrition Modeling'!$D:$D,'Attrition Modeling'!$C:$C,$D128,'Attrition Modeling'!$B:$B,T$76),VLOOKUP($F128+T$77,$A$7:$C$107,2,FALSE)*VLOOKUP(T$76,'Attrition Modeling'!$L$15:$N$27,IF(T$77+$F128&lt;=24,2,3),FALSE)),$C$3)*(1+IF('IP Attrition'!T185&gt;0,'Attrition Modeling'!$N$9,0)))</f>
        <v>0</v>
      </c>
      <c r="U128" s="799">
        <f>T128*(1-IFERROR(IF(U$77+$F128&lt;=12,SUMIFS('Attrition Modeling'!$D:$D,'Attrition Modeling'!$C:$C,$D128,'Attrition Modeling'!$B:$B,U$76),VLOOKUP($F128+U$77,$A$7:$C$107,2,FALSE)*VLOOKUP(U$76,'Attrition Modeling'!$L$15:$N$27,IF(U$77+$F128&lt;=24,2,3),FALSE)),$C$3)*(1+IF('IP Attrition'!U185&gt;0,'Attrition Modeling'!$N$9,0)))</f>
        <v>0</v>
      </c>
      <c r="V128" s="799">
        <f>U128*(1-IFERROR(IF(V$77+$F128&lt;=12,SUMIFS('Attrition Modeling'!$D:$D,'Attrition Modeling'!$C:$C,$D128,'Attrition Modeling'!$B:$B,V$76),VLOOKUP($F128+V$77,$A$7:$C$107,2,FALSE)*VLOOKUP(V$76,'Attrition Modeling'!$L$15:$N$27,IF(V$77+$F128&lt;=24,2,3),FALSE)),$C$3)*(1+IF('IP Attrition'!V185&gt;0,'Attrition Modeling'!$N$9,0)))</f>
        <v>0</v>
      </c>
      <c r="W128" s="799">
        <f>V128*(1-IFERROR(IF(W$77+$F128&lt;=12,SUMIFS('Attrition Modeling'!$D:$D,'Attrition Modeling'!$C:$C,$D128,'Attrition Modeling'!$B:$B,W$76),VLOOKUP($F128+W$77,$A$7:$C$107,2,FALSE)*VLOOKUP(W$76,'Attrition Modeling'!$L$15:$N$27,IF(W$77+$F128&lt;=24,2,3),FALSE)),$C$3)*(1+IF('IP Attrition'!W185&gt;0,'Attrition Modeling'!$N$9,0)))</f>
        <v>0</v>
      </c>
      <c r="X128" s="799">
        <f>W128*(1-IFERROR(IF(X$77+$F128&lt;=12,SUMIFS('Attrition Modeling'!$D:$D,'Attrition Modeling'!$C:$C,$D128,'Attrition Modeling'!$B:$B,X$76),VLOOKUP($F128+X$77,$A$7:$C$107,2,FALSE)*VLOOKUP(X$76,'Attrition Modeling'!$L$15:$N$27,IF(X$77+$F128&lt;=24,2,3),FALSE)),$C$3)*(1+IF('IP Attrition'!X185&gt;0,'Attrition Modeling'!$N$9,0)))</f>
        <v>0</v>
      </c>
      <c r="Y128" s="799">
        <f>X128*(1-IFERROR(IF(Y$77+$F128&lt;=12,SUMIFS('Attrition Modeling'!$D:$D,'Attrition Modeling'!$C:$C,$D128,'Attrition Modeling'!$B:$B,Y$76),VLOOKUP($F128+Y$77,$A$7:$C$107,2,FALSE)*VLOOKUP(Y$76,'Attrition Modeling'!$L$15:$N$27,IF(Y$77+$F128&lt;=24,2,3),FALSE)),$C$3)*(1+IF('IP Attrition'!Y185&gt;0,'Attrition Modeling'!$N$9,0)))</f>
        <v>0</v>
      </c>
      <c r="Z128" s="799">
        <f>Y128*(1-IFERROR(IF(Z$77+$F128&lt;=12,SUMIFS('Attrition Modeling'!$D:$D,'Attrition Modeling'!$C:$C,$D128,'Attrition Modeling'!$B:$B,Z$76),VLOOKUP($F128+Z$77,$A$7:$C$107,2,FALSE)*VLOOKUP(Z$76,'Attrition Modeling'!$L$15:$N$27,IF(Z$77+$F128&lt;=24,2,3),FALSE)),$C$3)*(1+IF('IP Attrition'!Z185&gt;0,'Attrition Modeling'!$N$9,0)))</f>
        <v>0</v>
      </c>
      <c r="AA128" s="799">
        <f>Z128*(1-IFERROR(IF(AA$77+$F128&lt;=12,SUMIFS('Attrition Modeling'!$D:$D,'Attrition Modeling'!$C:$C,$D128,'Attrition Modeling'!$B:$B,AA$76),VLOOKUP($F128+AA$77,$A$7:$C$107,2,FALSE)*VLOOKUP(AA$76,'Attrition Modeling'!$L$15:$N$27,IF(AA$77+$F128&lt;=24,2,3),FALSE)),$C$3)*(1+IF('IP Attrition'!AA185&gt;0,'Attrition Modeling'!$N$9,0)))</f>
        <v>0</v>
      </c>
      <c r="AB128" s="799">
        <f>AA128*(1-IFERROR(IF(AB$77+$F128&lt;=12,SUMIFS('Attrition Modeling'!$D:$D,'Attrition Modeling'!$C:$C,$D128,'Attrition Modeling'!$B:$B,AB$76),VLOOKUP($F128+AB$77,$A$7:$C$107,2,FALSE)*VLOOKUP(AB$76,'Attrition Modeling'!$L$15:$N$27,IF(AB$77+$F128&lt;=24,2,3),FALSE)),$C$3)*(1+IF('IP Attrition'!AB185&gt;0,'Attrition Modeling'!$N$9,0)))</f>
        <v>0</v>
      </c>
      <c r="AC128" s="799">
        <f>AB128*(1-IFERROR(IF(AC$77+$F128&lt;=12,SUMIFS('Attrition Modeling'!$D:$D,'Attrition Modeling'!$C:$C,$D128,'Attrition Modeling'!$B:$B,AC$76),VLOOKUP($F128+AC$77,$A$7:$C$107,2,FALSE)*VLOOKUP(AC$76,'Attrition Modeling'!$L$15:$N$27,IF(AC$77+$F128&lt;=24,2,3),FALSE)),$C$3)*(1+IF('IP Attrition'!AC185&gt;0,'Attrition Modeling'!$N$9,0)))</f>
        <v>0</v>
      </c>
      <c r="AD128" s="799">
        <f>AC128*(1-IFERROR(IF(AD$77+$F128&lt;=12,SUMIFS('Attrition Modeling'!$D:$D,'Attrition Modeling'!$C:$C,$D128,'Attrition Modeling'!$B:$B,AD$76),VLOOKUP($F128+AD$77,$A$7:$C$107,2,FALSE)*VLOOKUP(AD$76,'Attrition Modeling'!$L$15:$N$27,IF(AD$77+$F128&lt;=24,2,3),FALSE)),$C$3)*(1+IF('IP Attrition'!AD185&gt;0,'Attrition Modeling'!$N$9,0)))</f>
        <v>0</v>
      </c>
      <c r="AE128" s="799">
        <f>AD128*(1-IFERROR(IF(AE$77+$F128&lt;=12,SUMIFS('Attrition Modeling'!$D:$D,'Attrition Modeling'!$C:$C,$D128,'Attrition Modeling'!$B:$B,AE$76),VLOOKUP($F128+AE$77,$A$7:$C$107,2,FALSE)*VLOOKUP(AE$76,'Attrition Modeling'!$L$15:$N$27,IF(AE$77+$F128&lt;=24,2,3),FALSE)),$C$3)*(1+IF('IP Attrition'!AE185&gt;0,'Attrition Modeling'!$N$9,0)))</f>
        <v>0</v>
      </c>
      <c r="AF128" s="799">
        <f>AE128*(1-IFERROR(IF(AF$77+$F128&lt;=12,SUMIFS('Attrition Modeling'!$D:$D,'Attrition Modeling'!$C:$C,$D128,'Attrition Modeling'!$B:$B,AF$76),VLOOKUP($F128+AF$77,$A$7:$C$107,2,FALSE)*VLOOKUP(AF$76,'Attrition Modeling'!$L$15:$N$27,IF(AF$77+$F128&lt;=24,2,3),FALSE)),$C$3)*(1+IF('IP Attrition'!AF185&gt;0,'Attrition Modeling'!$N$9,0)))</f>
        <v>0</v>
      </c>
      <c r="AG128" s="799">
        <f>AF128*(1-IFERROR(IF(AG$77+$F128&lt;=12,SUMIFS('Attrition Modeling'!$D:$D,'Attrition Modeling'!$C:$C,$D128,'Attrition Modeling'!$B:$B,AG$76),VLOOKUP($F128+AG$77,$A$7:$C$107,2,FALSE)*VLOOKUP(AG$76,'Attrition Modeling'!$L$15:$N$27,IF(AG$77+$F128&lt;=24,2,3),FALSE)),$C$3)*(1+IF('IP Attrition'!AG185&gt;0,'Attrition Modeling'!$N$9,0)))</f>
        <v>0</v>
      </c>
      <c r="AH128" s="799">
        <f>AG128*(1-IFERROR(IF(AH$77+$F128&lt;=12,SUMIFS('Attrition Modeling'!$D:$D,'Attrition Modeling'!$C:$C,$D128,'Attrition Modeling'!$B:$B,AH$76),VLOOKUP($F128+AH$77,$A$7:$C$107,2,FALSE)*VLOOKUP(AH$76,'Attrition Modeling'!$L$15:$N$27,IF(AH$77+$F128&lt;=24,2,3),FALSE)),$C$3)*(1+IF('IP Attrition'!AH185&gt;0,'Attrition Modeling'!$N$9,0)))</f>
        <v>0</v>
      </c>
      <c r="AI128" s="799">
        <f>AH128*(1-IFERROR(IF(AI$77+$F128&lt;=12,SUMIFS('Attrition Modeling'!$D:$D,'Attrition Modeling'!$C:$C,$D128,'Attrition Modeling'!$B:$B,AI$76),VLOOKUP($F128+AI$77,$A$7:$C$107,2,FALSE)*VLOOKUP(AI$76,'Attrition Modeling'!$L$15:$N$27,IF(AI$77+$F128&lt;=24,2,3),FALSE)),$C$3)*(1+IF('IP Attrition'!AI185&gt;0,'Attrition Modeling'!$N$9,0)))</f>
        <v>0</v>
      </c>
      <c r="AJ128" s="799">
        <f>AI128*(1-IFERROR(IF(AJ$77+$F128&lt;=12,SUMIFS('Attrition Modeling'!$D:$D,'Attrition Modeling'!$C:$C,$D128,'Attrition Modeling'!$B:$B,AJ$76),VLOOKUP($F128+AJ$77,$A$7:$C$107,2,FALSE)*VLOOKUP(AJ$76,'Attrition Modeling'!$L$15:$N$27,IF(AJ$77+$F128&lt;=24,2,3),FALSE)),$C$3)*(1+IF('IP Attrition'!AJ185&gt;0,'Attrition Modeling'!$N$9,0)))</f>
        <v>0</v>
      </c>
      <c r="AK128" s="799">
        <f>AJ128*(1-IFERROR(IF(AK$77+$F128&lt;=12,SUMIFS('Attrition Modeling'!$D:$D,'Attrition Modeling'!$C:$C,$D128,'Attrition Modeling'!$B:$B,AK$76),VLOOKUP($F128+AK$77,$A$7:$C$107,2,FALSE)*VLOOKUP(AK$76,'Attrition Modeling'!$L$15:$N$27,IF(AK$77+$F128&lt;=24,2,3),FALSE)),$C$3)*(1+IF('IP Attrition'!AK185&gt;0,'Attrition Modeling'!$N$9,0)))</f>
        <v>0</v>
      </c>
      <c r="AL128" s="799">
        <f>AK128*(1-IFERROR(IF(AL$77+$F128&lt;=12,SUMIFS('Attrition Modeling'!$D:$D,'Attrition Modeling'!$C:$C,$D128,'Attrition Modeling'!$B:$B,AL$76),VLOOKUP($F128+AL$77,$A$7:$C$107,2,FALSE)*VLOOKUP(AL$76,'Attrition Modeling'!$L$15:$N$27,IF(AL$77+$F128&lt;=24,2,3),FALSE)),$C$3)*(1+IF('IP Attrition'!AL185&gt;0,'Attrition Modeling'!$N$9,0)))</f>
        <v>0</v>
      </c>
      <c r="AM128" s="799">
        <f>AL128*(1-IFERROR(IF(AM$77+$F128&lt;=12,SUMIFS('Attrition Modeling'!$D:$D,'Attrition Modeling'!$C:$C,$D128,'Attrition Modeling'!$B:$B,AM$76),VLOOKUP($F128+AM$77,$A$7:$C$107,2,FALSE)*VLOOKUP(AM$76,'Attrition Modeling'!$L$15:$N$27,IF(AM$77+$F128&lt;=24,2,3),FALSE)),$C$3)*(1+IF('IP Attrition'!AM185&gt;0,'Attrition Modeling'!$N$9,0)))</f>
        <v>0</v>
      </c>
      <c r="AN128" s="799">
        <f>AM128*(1-IFERROR(IF(AN$77+$F128&lt;=12,SUMIFS('Attrition Modeling'!$D:$D,'Attrition Modeling'!$C:$C,$D128,'Attrition Modeling'!$B:$B,AN$76),VLOOKUP($F128+AN$77,$A$7:$C$107,2,FALSE)*VLOOKUP(AN$76,'Attrition Modeling'!$L$15:$N$27,IF(AN$77+$F128&lt;=24,2,3),FALSE)),$C$3)*(1+IF('IP Attrition'!AN185&gt;0,'Attrition Modeling'!$N$9,0)))</f>
        <v>0</v>
      </c>
      <c r="AO128" s="799">
        <f>AN128*(1-IFERROR(IF(AO$77+$F128&lt;=12,SUMIFS('Attrition Modeling'!$D:$D,'Attrition Modeling'!$C:$C,$D128,'Attrition Modeling'!$B:$B,AO$76),VLOOKUP($F128+AO$77,$A$7:$C$107,2,FALSE)*VLOOKUP(AO$76,'Attrition Modeling'!$L$15:$N$27,IF(AO$77+$F128&lt;=24,2,3),FALSE)),$C$3)*(1+IF('IP Attrition'!AO185&gt;0,'Attrition Modeling'!$N$9,0)))</f>
        <v>0</v>
      </c>
      <c r="AP128" s="799">
        <f>AO128*(1-IFERROR(IF(AP$77+$F128&lt;=12,SUMIFS('Attrition Modeling'!$D:$D,'Attrition Modeling'!$C:$C,$D128,'Attrition Modeling'!$B:$B,AP$76),VLOOKUP($F128+AP$77,$A$7:$C$107,2,FALSE)*VLOOKUP(AP$76,'Attrition Modeling'!$L$15:$N$27,IF(AP$77+$F128&lt;=24,2,3),FALSE)),$C$3)*(1+IF('IP Attrition'!AP185&gt;0,'Attrition Modeling'!$N$9,0)))</f>
        <v>0</v>
      </c>
      <c r="AQ128" s="799">
        <f>AP128*(1-IFERROR(IF(AQ$77+$F128&lt;=12,SUMIFS('Attrition Modeling'!$D:$D,'Attrition Modeling'!$C:$C,$D128,'Attrition Modeling'!$B:$B,AQ$76),VLOOKUP($F128+AQ$77,$A$7:$C$107,2,FALSE)*VLOOKUP(AQ$76,'Attrition Modeling'!$L$15:$N$27,IF(AQ$77+$F128&lt;=24,2,3),FALSE)),$C$3)*(1+IF('IP Attrition'!AQ185&gt;0,'Attrition Modeling'!$N$9,0)))</f>
        <v>0</v>
      </c>
      <c r="AR128" s="799">
        <f>AQ128*(1-IFERROR(IF(AR$77+$F128&lt;=12,SUMIFS('Attrition Modeling'!$D:$D,'Attrition Modeling'!$C:$C,$D128,'Attrition Modeling'!$B:$B,AR$76),VLOOKUP($F128+AR$77,$A$7:$C$107,2,FALSE)*VLOOKUP(AR$76,'Attrition Modeling'!$L$15:$N$27,IF(AR$77+$F128&lt;=24,2,3),FALSE)),$C$3)*(1+IF('IP Attrition'!AR185&gt;0,'Attrition Modeling'!$N$9,0)))</f>
        <v>0</v>
      </c>
      <c r="AS128" s="799">
        <f>AR128*(1-IFERROR(IF(AS$77+$F128&lt;=12,SUMIFS('Attrition Modeling'!$D:$D,'Attrition Modeling'!$C:$C,$D128,'Attrition Modeling'!$B:$B,AS$76),VLOOKUP($F128+AS$77,$A$7:$C$107,2,FALSE)*VLOOKUP(AS$76,'Attrition Modeling'!$L$15:$N$27,IF(AS$77+$F128&lt;=24,2,3),FALSE)),$C$3)*(1+IF('IP Attrition'!AS185&gt;0,'Attrition Modeling'!$N$9,0)))</f>
        <v>0</v>
      </c>
      <c r="AT128" s="799">
        <f>AS128*(1-IFERROR(IF(AT$77+$F128&lt;=12,SUMIFS('Attrition Modeling'!$D:$D,'Attrition Modeling'!$C:$C,$D128,'Attrition Modeling'!$B:$B,AT$76),VLOOKUP($F128+AT$77,$A$7:$C$107,2,FALSE)*VLOOKUP(AT$76,'Attrition Modeling'!$L$15:$N$27,IF(AT$77+$F128&lt;=24,2,3),FALSE)),$C$3)*(1+IF('IP Attrition'!AT185&gt;0,'Attrition Modeling'!$N$9,0)))</f>
        <v>0</v>
      </c>
      <c r="AU128" s="799">
        <f>AT128*(1-IFERROR(IF(AU$77+$F128&lt;=12,SUMIFS('Attrition Modeling'!$D:$D,'Attrition Modeling'!$C:$C,$D128,'Attrition Modeling'!$B:$B,AU$76),VLOOKUP($F128+AU$77,$A$7:$C$107,2,FALSE)*VLOOKUP(AU$76,'Attrition Modeling'!$L$15:$N$27,IF(AU$77+$F128&lt;=24,2,3),FALSE)),$C$3)*(1+IF('IP Attrition'!AU185&gt;0,'Attrition Modeling'!$N$9,0)))</f>
        <v>0</v>
      </c>
      <c r="AV128" s="799">
        <f>AU128*(1-IFERROR(IF(AV$77+$F128&lt;=12,SUMIFS('Attrition Modeling'!$D:$D,'Attrition Modeling'!$C:$C,$D128,'Attrition Modeling'!$B:$B,AV$76),VLOOKUP($F128+AV$77,$A$7:$C$107,2,FALSE)*VLOOKUP(AV$76,'Attrition Modeling'!$L$15:$N$27,IF(AV$77+$F128&lt;=24,2,3),FALSE)),$C$3)*(1+IF('IP Attrition'!AV185&gt;0,'Attrition Modeling'!$N$9,0)))</f>
        <v>0</v>
      </c>
      <c r="AW128" s="799">
        <f>AV128*(1-IFERROR(IF(AW$77+$F128&lt;=12,SUMIFS('Attrition Modeling'!$D:$D,'Attrition Modeling'!$C:$C,$D128,'Attrition Modeling'!$B:$B,AW$76),VLOOKUP($F128+AW$77,$A$7:$C$107,2,FALSE)*VLOOKUP(AW$76,'Attrition Modeling'!$L$15:$N$27,IF(AW$77+$F128&lt;=24,2,3),FALSE)),$C$3)*(1+IF('IP Attrition'!AW185&gt;0,'Attrition Modeling'!$N$9,0)))</f>
        <v>0</v>
      </c>
      <c r="AX128" s="799">
        <f>AW128*(1-IFERROR(IF(AX$77+$F128&lt;=12,SUMIFS('Attrition Modeling'!$D:$D,'Attrition Modeling'!$C:$C,$D128,'Attrition Modeling'!$B:$B,AX$76),VLOOKUP($F128+AX$77,$A$7:$C$107,2,FALSE)*VLOOKUP(AX$76,'Attrition Modeling'!$L$15:$N$27,IF(AX$77+$F128&lt;=24,2,3),FALSE)),$C$3)*(1+IF('IP Attrition'!AX185&gt;0,'Attrition Modeling'!$N$9,0)))</f>
        <v>0</v>
      </c>
      <c r="AY128" s="799">
        <f>AX128*(1-IFERROR(IF(AY$77+$F128&lt;=12,SUMIFS('Attrition Modeling'!$D:$D,'Attrition Modeling'!$C:$C,$D128,'Attrition Modeling'!$B:$B,AY$76),VLOOKUP($F128+AY$77,$A$7:$C$107,2,FALSE)*VLOOKUP(AY$76,'Attrition Modeling'!$L$15:$N$27,IF(AY$77+$F128&lt;=24,2,3),FALSE)),$C$3)*(1+IF('IP Attrition'!AY185&gt;0,'Attrition Modeling'!$N$9,0)))</f>
        <v>0</v>
      </c>
      <c r="AZ128" s="799">
        <f>AY128*(1-IFERROR(IF(AZ$77+$F128&lt;=12,SUMIFS('Attrition Modeling'!$D:$D,'Attrition Modeling'!$C:$C,$D128,'Attrition Modeling'!$B:$B,AZ$76),VLOOKUP($F128+AZ$77,$A$7:$C$107,2,FALSE)*VLOOKUP(AZ$76,'Attrition Modeling'!$L$15:$N$27,IF(AZ$77+$F128&lt;=24,2,3),FALSE)),$C$3)*(1+IF('IP Attrition'!AZ185&gt;0,'Attrition Modeling'!$N$9,0)))</f>
        <v>0</v>
      </c>
      <c r="BA128" s="799">
        <f>AZ128*(1-IFERROR(IF(BA$77+$F128&lt;=12,SUMIFS('Attrition Modeling'!$D:$D,'Attrition Modeling'!$C:$C,$D128,'Attrition Modeling'!$B:$B,BA$76),VLOOKUP($F128+BA$77,$A$7:$C$107,2,FALSE)*VLOOKUP(BA$76,'Attrition Modeling'!$L$15:$N$27,IF(BA$77+$F128&lt;=24,2,3),FALSE)),$C$3)*(1+IF('IP Attrition'!BA185&gt;0,'Attrition Modeling'!$N$9,0)))</f>
        <v>0</v>
      </c>
      <c r="BB128" s="799">
        <f>BA128*(1-IFERROR(IF(BB$77+$F128&lt;=12,SUMIFS('Attrition Modeling'!$D:$D,'Attrition Modeling'!$C:$C,$D128,'Attrition Modeling'!$B:$B,BB$76),VLOOKUP($F128+BB$77,$A$7:$C$107,2,FALSE)*VLOOKUP(BB$76,'Attrition Modeling'!$L$15:$N$27,IF(BB$77+$F128&lt;=24,2,3),FALSE)),$C$3)*(1+IF('IP Attrition'!BB185&gt;0,'Attrition Modeling'!$N$9,0)))</f>
        <v>0</v>
      </c>
      <c r="BC128" s="799">
        <f>BB128*(1-IFERROR(IF(BC$77+$F128&lt;=12,SUMIFS('Attrition Modeling'!$D:$D,'Attrition Modeling'!$C:$C,$D128,'Attrition Modeling'!$B:$B,BC$76),VLOOKUP($F128+BC$77,$A$7:$C$107,2,FALSE)*VLOOKUP(BC$76,'Attrition Modeling'!$L$15:$N$27,IF(BC$77+$F128&lt;=24,2,3),FALSE)),$C$3)*(1+IF('IP Attrition'!BC185&gt;0,'Attrition Modeling'!$N$9,0)))</f>
        <v>0</v>
      </c>
      <c r="BD128" s="799">
        <f>BC128*(1-IFERROR(IF(BD$77+$F128&lt;=12,SUMIFS('Attrition Modeling'!$D:$D,'Attrition Modeling'!$C:$C,$D128,'Attrition Modeling'!$B:$B,BD$76),VLOOKUP($F128+BD$77,$A$7:$C$107,2,FALSE)*VLOOKUP(BD$76,'Attrition Modeling'!$L$15:$N$27,IF(BD$77+$F128&lt;=24,2,3),FALSE)),$C$3)*(1+IF('IP Attrition'!BD185&gt;0,'Attrition Modeling'!$N$9,0)))</f>
        <v>0</v>
      </c>
      <c r="BE128" s="799">
        <f>BD128*(1-IFERROR(IF(BE$77+$F128&lt;=12,SUMIFS('Attrition Modeling'!$D:$D,'Attrition Modeling'!$C:$C,$D128,'Attrition Modeling'!$B:$B,BE$76),VLOOKUP($F128+BE$77,$A$7:$C$107,2,FALSE)*VLOOKUP(BE$76,'Attrition Modeling'!$L$15:$N$27,IF(BE$77+$F128&lt;=24,2,3),FALSE)),$C$3)*(1+IF('IP Attrition'!BE185&gt;0,'Attrition Modeling'!$N$9,0)))</f>
        <v>0</v>
      </c>
      <c r="BF128" s="799">
        <f>BE128*(1-IFERROR(IF(BF$77+$F128&lt;=12,SUMIFS('Attrition Modeling'!$D:$D,'Attrition Modeling'!$C:$C,$D128,'Attrition Modeling'!$B:$B,BF$76),VLOOKUP($F128+BF$77,$A$7:$C$107,2,FALSE)*VLOOKUP(BF$76,'Attrition Modeling'!$L$15:$N$27,IF(BF$77+$F128&lt;=24,2,3),FALSE)),$C$3)*(1+IF('IP Attrition'!BF185&gt;0,'Attrition Modeling'!$N$9,0)))</f>
        <v>0</v>
      </c>
      <c r="BG128" s="799">
        <f>BF128*(1-IFERROR(IF(BG$77+$F128&lt;=12,SUMIFS('Attrition Modeling'!$D:$D,'Attrition Modeling'!$C:$C,$D128,'Attrition Modeling'!$B:$B,BG$76),VLOOKUP($F128+BG$77,$A$7:$C$107,2,FALSE)*VLOOKUP(BG$76,'Attrition Modeling'!$L$15:$N$27,IF(BG$77+$F128&lt;=24,2,3),FALSE)),$C$3)*(1+IF('IP Attrition'!BG185&gt;0,'Attrition Modeling'!$N$9,0)))</f>
        <v>0</v>
      </c>
      <c r="BH128" s="799">
        <f>BG128*(1-IFERROR(IF(BH$77+$F128&lt;=12,SUMIFS('Attrition Modeling'!$D:$D,'Attrition Modeling'!$C:$C,$D128,'Attrition Modeling'!$B:$B,BH$76),VLOOKUP($F128+BH$77,$A$7:$C$107,2,FALSE)*VLOOKUP(BH$76,'Attrition Modeling'!$L$15:$N$27,IF(BH$77+$F128&lt;=24,2,3),FALSE)),$C$3)*(1+IF('IP Attrition'!BH185&gt;0,'Attrition Modeling'!$N$9,0)))</f>
        <v>0</v>
      </c>
      <c r="BI128" s="799">
        <f>BH128*(1-IFERROR(IF(BI$77+$F128&lt;=12,SUMIFS('Attrition Modeling'!$D:$D,'Attrition Modeling'!$C:$C,$D128,'Attrition Modeling'!$B:$B,BI$76),VLOOKUP($F128+BI$77,$A$7:$C$107,2,FALSE)*VLOOKUP(BI$76,'Attrition Modeling'!$L$15:$N$27,IF(BI$77+$F128&lt;=24,2,3),FALSE)),$C$3)*(1+IF('IP Attrition'!BI185&gt;0,'Attrition Modeling'!$N$9,0)))</f>
        <v>0</v>
      </c>
      <c r="BJ128" s="799">
        <f>BI128*(1-IFERROR(IF(BJ$77+$F128&lt;=12,SUMIFS('Attrition Modeling'!$D:$D,'Attrition Modeling'!$C:$C,$D128,'Attrition Modeling'!$B:$B,BJ$76),VLOOKUP($F128+BJ$77,$A$7:$C$107,2,FALSE)*VLOOKUP(BJ$76,'Attrition Modeling'!$L$15:$N$27,IF(BJ$77+$F128&lt;=24,2,3),FALSE)),$C$3)*(1+IF('IP Attrition'!BJ185&gt;0,'Attrition Modeling'!$N$9,0)))</f>
        <v>0</v>
      </c>
      <c r="BK128" s="799">
        <f>BJ128*(1-IFERROR(IF(BK$77+$F128&lt;=12,SUMIFS('Attrition Modeling'!$D:$D,'Attrition Modeling'!$C:$C,$D128,'Attrition Modeling'!$B:$B,BK$76),VLOOKUP($F128+BK$77,$A$7:$C$107,2,FALSE)*VLOOKUP(BK$76,'Attrition Modeling'!$L$15:$N$27,IF(BK$77+$F128&lt;=24,2,3),FALSE)),$C$3)*(1+IF('IP Attrition'!BK185&gt;0,'Attrition Modeling'!$N$9,0)))</f>
        <v>0</v>
      </c>
      <c r="BL128" s="799">
        <f>BK128*(1-IFERROR(IF(BL$77+$F128&lt;=12,SUMIFS('Attrition Modeling'!$D:$D,'Attrition Modeling'!$C:$C,$D128,'Attrition Modeling'!$B:$B,BL$76),VLOOKUP($F128+BL$77,$A$7:$C$107,2,FALSE)*VLOOKUP(BL$76,'Attrition Modeling'!$L$15:$N$27,IF(BL$77+$F128&lt;=24,2,3),FALSE)),$C$3)*(1+IF('IP Attrition'!BL185&gt;0,'Attrition Modeling'!$N$9,0)))</f>
        <v>0</v>
      </c>
      <c r="BM128" s="799">
        <f>BL128*(1-IFERROR(IF(BM$77+$F128&lt;=12,SUMIFS('Attrition Modeling'!$D:$D,'Attrition Modeling'!$C:$C,$D128,'Attrition Modeling'!$B:$B,BM$76),VLOOKUP($F128+BM$77,$A$7:$C$107,2,FALSE)*VLOOKUP(BM$76,'Attrition Modeling'!$L$15:$N$27,IF(BM$77+$F128&lt;=24,2,3),FALSE)),$C$3)*(1+IF('IP Attrition'!BM185&gt;0,'Attrition Modeling'!$N$9,0)))</f>
        <v>0</v>
      </c>
      <c r="BN128" s="799">
        <f>BM128*(1-IFERROR(IF(BN$77+$F128&lt;=12,SUMIFS('Attrition Modeling'!$D:$D,'Attrition Modeling'!$C:$C,$D128,'Attrition Modeling'!$B:$B,BN$76),VLOOKUP($F128+BN$77,$A$7:$C$107,2,FALSE)*VLOOKUP(BN$76,'Attrition Modeling'!$L$15:$N$27,IF(BN$77+$F128&lt;=24,2,3),FALSE)),$C$3)*(1+IF('IP Attrition'!BN185&gt;0,'Attrition Modeling'!$N$9,0)))</f>
        <v>0</v>
      </c>
      <c r="BO128" s="799">
        <f>BN128*(1-IFERROR(IF(BO$77+$F128&lt;=12,SUMIFS('Attrition Modeling'!$D:$D,'Attrition Modeling'!$C:$C,$D128,'Attrition Modeling'!$B:$B,BO$76),VLOOKUP($F128+BO$77,$A$7:$C$107,2,FALSE)*VLOOKUP(BO$76,'Attrition Modeling'!$L$15:$N$27,IF(BO$77+$F128&lt;=24,2,3),FALSE)),$C$3)*(1+IF('IP Attrition'!BO185&gt;0,'Attrition Modeling'!$N$9,0)))</f>
        <v>0</v>
      </c>
      <c r="BP128" s="799">
        <f>BO128*(1-IFERROR(IF(BP$77+$F128&lt;=12,SUMIFS('Attrition Modeling'!$D:$D,'Attrition Modeling'!$C:$C,$D128,'Attrition Modeling'!$B:$B,BP$76),VLOOKUP($F128+BP$77,$A$7:$C$107,2,FALSE)*VLOOKUP(BP$76,'Attrition Modeling'!$L$15:$N$27,IF(BP$77+$F128&lt;=24,2,3),FALSE)),$C$3)*(1+IF('IP Attrition'!BP185&gt;0,'Attrition Modeling'!$N$9,0)))</f>
        <v>0</v>
      </c>
      <c r="BQ128" s="799">
        <f>BP128*(1-IFERROR(IF(BQ$77+$F128&lt;=12,SUMIFS('Attrition Modeling'!$D:$D,'Attrition Modeling'!$C:$C,$D128,'Attrition Modeling'!$B:$B,BQ$76),VLOOKUP($F128+BQ$77,$A$7:$C$107,2,FALSE)*VLOOKUP(BQ$76,'Attrition Modeling'!$L$15:$N$27,IF(BQ$77+$F128&lt;=24,2,3),FALSE)),$C$3)*(1+IF('IP Attrition'!BQ185&gt;0,'Attrition Modeling'!$N$9,0)))</f>
        <v>0</v>
      </c>
      <c r="BR128" s="799">
        <f>BQ128*(1-IFERROR(IF(BR$77+$F128&lt;=12,SUMIFS('Attrition Modeling'!$D:$D,'Attrition Modeling'!$C:$C,$D128,'Attrition Modeling'!$B:$B,BR$76),VLOOKUP($F128+BR$77,$A$7:$C$107,2,FALSE)*VLOOKUP(BR$76,'Attrition Modeling'!$L$15:$N$27,IF(BR$77+$F128&lt;=24,2,3),FALSE)),$C$3)*(1+IF('IP Attrition'!BR185&gt;0,'Attrition Modeling'!$N$9,0)))</f>
        <v>0</v>
      </c>
      <c r="BS128" s="799">
        <f>BR128*(1-IFERROR(IF(BS$77+$F128&lt;=12,SUMIFS('Attrition Modeling'!$D:$D,'Attrition Modeling'!$C:$C,$D128,'Attrition Modeling'!$B:$B,BS$76),VLOOKUP($F128+BS$77,$A$7:$C$107,2,FALSE)*VLOOKUP(BS$76,'Attrition Modeling'!$L$15:$N$27,IF(BS$77+$F128&lt;=24,2,3),FALSE)),$C$3)*(1+IF('IP Attrition'!BS185&gt;0,'Attrition Modeling'!$N$9,0)))</f>
        <v>0</v>
      </c>
      <c r="BT128" s="799" t="e">
        <f>BS128*(1-IFERROR(IF(BT$77+$F128&lt;=12,SUMIFS('Attrition Modeling'!$D:$D,'Attrition Modeling'!$C:$C,$D128,'Attrition Modeling'!$B:$B,BT$76),VLOOKUP($F128+BT$77,$A$7:$C$107,2,FALSE)*VLOOKUP(BT$76,'Attrition Modeling'!$L$15:$N$27,IF(BT$77+$F128&lt;=24,2,3),FALSE)),$C$3)*(1+IF('IP Attrition'!BT185&gt;0,'Attrition Modeling'!$N$9,0)))</f>
        <v>#REF!</v>
      </c>
      <c r="BU128" s="799" t="e">
        <f>BT128*(1-IFERROR(IF(BU$77+$F128&lt;=12,SUMIFS('Attrition Modeling'!$D:$D,'Attrition Modeling'!$C:$C,$D128,'Attrition Modeling'!$B:$B,BU$76),VLOOKUP($F128+BU$77,$A$7:$C$107,2,FALSE)*VLOOKUP(BU$76,'Attrition Modeling'!$L$15:$N$27,IF(BU$77+$F128&lt;=24,2,3),FALSE)),$C$3)*(1+IF('IP Attrition'!BU185&gt;0,'Attrition Modeling'!$N$9,0)))</f>
        <v>#REF!</v>
      </c>
    </row>
    <row r="129" spans="1:73" ht="14.25" customHeight="1" x14ac:dyDescent="0.2">
      <c r="A129" s="9">
        <v>121</v>
      </c>
      <c r="B129" s="25">
        <f>MAX('Attrition Modeling'!H125,$C$3)*(1-Summary!$C$20)</f>
        <v>0.02</v>
      </c>
      <c r="C129" s="24" t="e">
        <f t="shared" si="2"/>
        <v>#DIV/0!</v>
      </c>
      <c r="D129" s="11">
        <f>'IP Attrition'!D121</f>
        <v>-51</v>
      </c>
      <c r="E129" s="25">
        <f>'IP Attrition'!E121</f>
        <v>0</v>
      </c>
      <c r="F129" s="11">
        <f t="shared" si="8"/>
        <v>51</v>
      </c>
      <c r="G129" s="799">
        <f>Summary!$C$24*$E129</f>
        <v>0</v>
      </c>
      <c r="H129" s="799">
        <f>G129*(1-IFERROR(IF(H$77+$F129&lt;=12,SUMIFS('Attrition Modeling'!$D:$D,'Attrition Modeling'!$C:$C,$D129,'Attrition Modeling'!$B:$B,H$76),VLOOKUP($F129+H$77,$A$7:$C$107,2,FALSE)*VLOOKUP(H$76,'Attrition Modeling'!$L$15:$N$27,IF(H$77+$F129&lt;=24,2,3),FALSE)),$C$3)*(1+IF('IP Attrition'!H186&gt;0,'Attrition Modeling'!$N$9,0)))</f>
        <v>0</v>
      </c>
      <c r="I129" s="799">
        <f>H129*(1-IFERROR(IF(I$77+$F129&lt;=12,SUMIFS('Attrition Modeling'!$D:$D,'Attrition Modeling'!$C:$C,$D129,'Attrition Modeling'!$B:$B,I$76),VLOOKUP($F129+I$77,$A$7:$C$107,2,FALSE)*VLOOKUP(I$76,'Attrition Modeling'!$L$15:$N$27,IF(I$77+$F129&lt;=24,2,3),FALSE)),$C$3)*(1+IF('IP Attrition'!I186&gt;0,'Attrition Modeling'!$N$9,0)))</f>
        <v>0</v>
      </c>
      <c r="J129" s="799">
        <f>I129*(1-IFERROR(IF(J$77+$F129&lt;=12,SUMIFS('Attrition Modeling'!$D:$D,'Attrition Modeling'!$C:$C,$D129,'Attrition Modeling'!$B:$B,J$76),VLOOKUP($F129+J$77,$A$7:$C$107,2,FALSE)*VLOOKUP(J$76,'Attrition Modeling'!$L$15:$N$27,IF(J$77+$F129&lt;=24,2,3),FALSE)),$C$3)*(1+IF('IP Attrition'!J186&gt;0,'Attrition Modeling'!$N$9,0)))</f>
        <v>0</v>
      </c>
      <c r="K129" s="799">
        <f>J129*(1-IFERROR(IF(K$77+$F129&lt;=12,SUMIFS('Attrition Modeling'!$D:$D,'Attrition Modeling'!$C:$C,$D129,'Attrition Modeling'!$B:$B,K$76),VLOOKUP($F129+K$77,$A$7:$C$107,2,FALSE)*VLOOKUP(K$76,'Attrition Modeling'!$L$15:$N$27,IF(K$77+$F129&lt;=24,2,3),FALSE)),$C$3)*(1+IF('IP Attrition'!K186&gt;0,'Attrition Modeling'!$N$9,0)))</f>
        <v>0</v>
      </c>
      <c r="L129" s="799">
        <f>K129*(1-IFERROR(IF(L$77+$F129&lt;=12,SUMIFS('Attrition Modeling'!$D:$D,'Attrition Modeling'!$C:$C,$D129,'Attrition Modeling'!$B:$B,L$76),VLOOKUP($F129+L$77,$A$7:$C$107,2,FALSE)*VLOOKUP(L$76,'Attrition Modeling'!$L$15:$N$27,IF(L$77+$F129&lt;=24,2,3),FALSE)),$C$3)*(1+IF('IP Attrition'!L186&gt;0,'Attrition Modeling'!$N$9,0)))</f>
        <v>0</v>
      </c>
      <c r="M129" s="799">
        <f>L129*(1-IFERROR(IF(M$77+$F129&lt;=12,SUMIFS('Attrition Modeling'!$D:$D,'Attrition Modeling'!$C:$C,$D129,'Attrition Modeling'!$B:$B,M$76),VLOOKUP($F129+M$77,$A$7:$C$107,2,FALSE)*VLOOKUP(M$76,'Attrition Modeling'!$L$15:$N$27,IF(M$77+$F129&lt;=24,2,3),FALSE)),$C$3)*(1+IF('IP Attrition'!M186&gt;0,'Attrition Modeling'!$N$9,0)))</f>
        <v>0</v>
      </c>
      <c r="N129" s="799">
        <f>M129*(1-IFERROR(IF(N$77+$F129&lt;=12,SUMIFS('Attrition Modeling'!$D:$D,'Attrition Modeling'!$C:$C,$D129,'Attrition Modeling'!$B:$B,N$76),VLOOKUP($F129+N$77,$A$7:$C$107,2,FALSE)*VLOOKUP(N$76,'Attrition Modeling'!$L$15:$N$27,IF(N$77+$F129&lt;=24,2,3),FALSE)),$C$3)*(1+IF('IP Attrition'!N186&gt;0,'Attrition Modeling'!$N$9,0)))</f>
        <v>0</v>
      </c>
      <c r="O129" s="799">
        <f>N129*(1-IFERROR(IF(O$77+$F129&lt;=12,SUMIFS('Attrition Modeling'!$D:$D,'Attrition Modeling'!$C:$C,$D129,'Attrition Modeling'!$B:$B,O$76),VLOOKUP($F129+O$77,$A$7:$C$107,2,FALSE)*VLOOKUP(O$76,'Attrition Modeling'!$L$15:$N$27,IF(O$77+$F129&lt;=24,2,3),FALSE)),$C$3)*(1+IF('IP Attrition'!O186&gt;0,'Attrition Modeling'!$N$9,0)))</f>
        <v>0</v>
      </c>
      <c r="P129" s="799">
        <f>O129*(1-IFERROR(IF(P$77+$F129&lt;=12,SUMIFS('Attrition Modeling'!$D:$D,'Attrition Modeling'!$C:$C,$D129,'Attrition Modeling'!$B:$B,P$76),VLOOKUP($F129+P$77,$A$7:$C$107,2,FALSE)*VLOOKUP(P$76,'Attrition Modeling'!$L$15:$N$27,IF(P$77+$F129&lt;=24,2,3),FALSE)),$C$3)*(1+IF('IP Attrition'!P186&gt;0,'Attrition Modeling'!$N$9,0)))</f>
        <v>0</v>
      </c>
      <c r="Q129" s="799">
        <f>P129*(1-IFERROR(IF(Q$77+$F129&lt;=12,SUMIFS('Attrition Modeling'!$D:$D,'Attrition Modeling'!$C:$C,$D129,'Attrition Modeling'!$B:$B,Q$76),VLOOKUP($F129+Q$77,$A$7:$C$107,2,FALSE)*VLOOKUP(Q$76,'Attrition Modeling'!$L$15:$N$27,IF(Q$77+$F129&lt;=24,2,3),FALSE)),$C$3)*(1+IF('IP Attrition'!Q186&gt;0,'Attrition Modeling'!$N$9,0)))</f>
        <v>0</v>
      </c>
      <c r="R129" s="799">
        <f>Q129*(1-IFERROR(IF(R$77+$F129&lt;=12,SUMIFS('Attrition Modeling'!$D:$D,'Attrition Modeling'!$C:$C,$D129,'Attrition Modeling'!$B:$B,R$76),VLOOKUP($F129+R$77,$A$7:$C$107,2,FALSE)*VLOOKUP(R$76,'Attrition Modeling'!$L$15:$N$27,IF(R$77+$F129&lt;=24,2,3),FALSE)),$C$3)*(1+IF('IP Attrition'!R186&gt;0,'Attrition Modeling'!$N$9,0)))</f>
        <v>0</v>
      </c>
      <c r="S129" s="799">
        <f>R129*(1-IFERROR(IF(S$77+$F129&lt;=12,SUMIFS('Attrition Modeling'!$D:$D,'Attrition Modeling'!$C:$C,$D129,'Attrition Modeling'!$B:$B,S$76),VLOOKUP($F129+S$77,$A$7:$C$107,2,FALSE)*VLOOKUP(S$76,'Attrition Modeling'!$L$15:$N$27,IF(S$77+$F129&lt;=24,2,3),FALSE)),$C$3)*(1+IF('IP Attrition'!S186&gt;0,'Attrition Modeling'!$N$9,0)))</f>
        <v>0</v>
      </c>
      <c r="T129" s="799">
        <f>S129*(1-IFERROR(IF(T$77+$F129&lt;=12,SUMIFS('Attrition Modeling'!$D:$D,'Attrition Modeling'!$C:$C,$D129,'Attrition Modeling'!$B:$B,T$76),VLOOKUP($F129+T$77,$A$7:$C$107,2,FALSE)*VLOOKUP(T$76,'Attrition Modeling'!$L$15:$N$27,IF(T$77+$F129&lt;=24,2,3),FALSE)),$C$3)*(1+IF('IP Attrition'!T186&gt;0,'Attrition Modeling'!$N$9,0)))</f>
        <v>0</v>
      </c>
      <c r="U129" s="799">
        <f>T129*(1-IFERROR(IF(U$77+$F129&lt;=12,SUMIFS('Attrition Modeling'!$D:$D,'Attrition Modeling'!$C:$C,$D129,'Attrition Modeling'!$B:$B,U$76),VLOOKUP($F129+U$77,$A$7:$C$107,2,FALSE)*VLOOKUP(U$76,'Attrition Modeling'!$L$15:$N$27,IF(U$77+$F129&lt;=24,2,3),FALSE)),$C$3)*(1+IF('IP Attrition'!U186&gt;0,'Attrition Modeling'!$N$9,0)))</f>
        <v>0</v>
      </c>
      <c r="V129" s="799">
        <f>U129*(1-IFERROR(IF(V$77+$F129&lt;=12,SUMIFS('Attrition Modeling'!$D:$D,'Attrition Modeling'!$C:$C,$D129,'Attrition Modeling'!$B:$B,V$76),VLOOKUP($F129+V$77,$A$7:$C$107,2,FALSE)*VLOOKUP(V$76,'Attrition Modeling'!$L$15:$N$27,IF(V$77+$F129&lt;=24,2,3),FALSE)),$C$3)*(1+IF('IP Attrition'!V186&gt;0,'Attrition Modeling'!$N$9,0)))</f>
        <v>0</v>
      </c>
      <c r="W129" s="799">
        <f>V129*(1-IFERROR(IF(W$77+$F129&lt;=12,SUMIFS('Attrition Modeling'!$D:$D,'Attrition Modeling'!$C:$C,$D129,'Attrition Modeling'!$B:$B,W$76),VLOOKUP($F129+W$77,$A$7:$C$107,2,FALSE)*VLOOKUP(W$76,'Attrition Modeling'!$L$15:$N$27,IF(W$77+$F129&lt;=24,2,3),FALSE)),$C$3)*(1+IF('IP Attrition'!W186&gt;0,'Attrition Modeling'!$N$9,0)))</f>
        <v>0</v>
      </c>
      <c r="X129" s="799">
        <f>W129*(1-IFERROR(IF(X$77+$F129&lt;=12,SUMIFS('Attrition Modeling'!$D:$D,'Attrition Modeling'!$C:$C,$D129,'Attrition Modeling'!$B:$B,X$76),VLOOKUP($F129+X$77,$A$7:$C$107,2,FALSE)*VLOOKUP(X$76,'Attrition Modeling'!$L$15:$N$27,IF(X$77+$F129&lt;=24,2,3),FALSE)),$C$3)*(1+IF('IP Attrition'!X186&gt;0,'Attrition Modeling'!$N$9,0)))</f>
        <v>0</v>
      </c>
      <c r="Y129" s="799">
        <f>X129*(1-IFERROR(IF(Y$77+$F129&lt;=12,SUMIFS('Attrition Modeling'!$D:$D,'Attrition Modeling'!$C:$C,$D129,'Attrition Modeling'!$B:$B,Y$76),VLOOKUP($F129+Y$77,$A$7:$C$107,2,FALSE)*VLOOKUP(Y$76,'Attrition Modeling'!$L$15:$N$27,IF(Y$77+$F129&lt;=24,2,3),FALSE)),$C$3)*(1+IF('IP Attrition'!Y186&gt;0,'Attrition Modeling'!$N$9,0)))</f>
        <v>0</v>
      </c>
      <c r="Z129" s="799">
        <f>Y129*(1-IFERROR(IF(Z$77+$F129&lt;=12,SUMIFS('Attrition Modeling'!$D:$D,'Attrition Modeling'!$C:$C,$D129,'Attrition Modeling'!$B:$B,Z$76),VLOOKUP($F129+Z$77,$A$7:$C$107,2,FALSE)*VLOOKUP(Z$76,'Attrition Modeling'!$L$15:$N$27,IF(Z$77+$F129&lt;=24,2,3),FALSE)),$C$3)*(1+IF('IP Attrition'!Z186&gt;0,'Attrition Modeling'!$N$9,0)))</f>
        <v>0</v>
      </c>
      <c r="AA129" s="799">
        <f>Z129*(1-IFERROR(IF(AA$77+$F129&lt;=12,SUMIFS('Attrition Modeling'!$D:$D,'Attrition Modeling'!$C:$C,$D129,'Attrition Modeling'!$B:$B,AA$76),VLOOKUP($F129+AA$77,$A$7:$C$107,2,FALSE)*VLOOKUP(AA$76,'Attrition Modeling'!$L$15:$N$27,IF(AA$77+$F129&lt;=24,2,3),FALSE)),$C$3)*(1+IF('IP Attrition'!AA186&gt;0,'Attrition Modeling'!$N$9,0)))</f>
        <v>0</v>
      </c>
      <c r="AB129" s="799">
        <f>AA129*(1-IFERROR(IF(AB$77+$F129&lt;=12,SUMIFS('Attrition Modeling'!$D:$D,'Attrition Modeling'!$C:$C,$D129,'Attrition Modeling'!$B:$B,AB$76),VLOOKUP($F129+AB$77,$A$7:$C$107,2,FALSE)*VLOOKUP(AB$76,'Attrition Modeling'!$L$15:$N$27,IF(AB$77+$F129&lt;=24,2,3),FALSE)),$C$3)*(1+IF('IP Attrition'!AB186&gt;0,'Attrition Modeling'!$N$9,0)))</f>
        <v>0</v>
      </c>
      <c r="AC129" s="799">
        <f>AB129*(1-IFERROR(IF(AC$77+$F129&lt;=12,SUMIFS('Attrition Modeling'!$D:$D,'Attrition Modeling'!$C:$C,$D129,'Attrition Modeling'!$B:$B,AC$76),VLOOKUP($F129+AC$77,$A$7:$C$107,2,FALSE)*VLOOKUP(AC$76,'Attrition Modeling'!$L$15:$N$27,IF(AC$77+$F129&lt;=24,2,3),FALSE)),$C$3)*(1+IF('IP Attrition'!AC186&gt;0,'Attrition Modeling'!$N$9,0)))</f>
        <v>0</v>
      </c>
      <c r="AD129" s="799">
        <f>AC129*(1-IFERROR(IF(AD$77+$F129&lt;=12,SUMIFS('Attrition Modeling'!$D:$D,'Attrition Modeling'!$C:$C,$D129,'Attrition Modeling'!$B:$B,AD$76),VLOOKUP($F129+AD$77,$A$7:$C$107,2,FALSE)*VLOOKUP(AD$76,'Attrition Modeling'!$L$15:$N$27,IF(AD$77+$F129&lt;=24,2,3),FALSE)),$C$3)*(1+IF('IP Attrition'!AD186&gt;0,'Attrition Modeling'!$N$9,0)))</f>
        <v>0</v>
      </c>
      <c r="AE129" s="799">
        <f>AD129*(1-IFERROR(IF(AE$77+$F129&lt;=12,SUMIFS('Attrition Modeling'!$D:$D,'Attrition Modeling'!$C:$C,$D129,'Attrition Modeling'!$B:$B,AE$76),VLOOKUP($F129+AE$77,$A$7:$C$107,2,FALSE)*VLOOKUP(AE$76,'Attrition Modeling'!$L$15:$N$27,IF(AE$77+$F129&lt;=24,2,3),FALSE)),$C$3)*(1+IF('IP Attrition'!AE186&gt;0,'Attrition Modeling'!$N$9,0)))</f>
        <v>0</v>
      </c>
      <c r="AF129" s="799">
        <f>AE129*(1-IFERROR(IF(AF$77+$F129&lt;=12,SUMIFS('Attrition Modeling'!$D:$D,'Attrition Modeling'!$C:$C,$D129,'Attrition Modeling'!$B:$B,AF$76),VLOOKUP($F129+AF$77,$A$7:$C$107,2,FALSE)*VLOOKUP(AF$76,'Attrition Modeling'!$L$15:$N$27,IF(AF$77+$F129&lt;=24,2,3),FALSE)),$C$3)*(1+IF('IP Attrition'!AF186&gt;0,'Attrition Modeling'!$N$9,0)))</f>
        <v>0</v>
      </c>
      <c r="AG129" s="799">
        <f>AF129*(1-IFERROR(IF(AG$77+$F129&lt;=12,SUMIFS('Attrition Modeling'!$D:$D,'Attrition Modeling'!$C:$C,$D129,'Attrition Modeling'!$B:$B,AG$76),VLOOKUP($F129+AG$77,$A$7:$C$107,2,FALSE)*VLOOKUP(AG$76,'Attrition Modeling'!$L$15:$N$27,IF(AG$77+$F129&lt;=24,2,3),FALSE)),$C$3)*(1+IF('IP Attrition'!AG186&gt;0,'Attrition Modeling'!$N$9,0)))</f>
        <v>0</v>
      </c>
      <c r="AH129" s="799">
        <f>AG129*(1-IFERROR(IF(AH$77+$F129&lt;=12,SUMIFS('Attrition Modeling'!$D:$D,'Attrition Modeling'!$C:$C,$D129,'Attrition Modeling'!$B:$B,AH$76),VLOOKUP($F129+AH$77,$A$7:$C$107,2,FALSE)*VLOOKUP(AH$76,'Attrition Modeling'!$L$15:$N$27,IF(AH$77+$F129&lt;=24,2,3),FALSE)),$C$3)*(1+IF('IP Attrition'!AH186&gt;0,'Attrition Modeling'!$N$9,0)))</f>
        <v>0</v>
      </c>
      <c r="AI129" s="799">
        <f>AH129*(1-IFERROR(IF(AI$77+$F129&lt;=12,SUMIFS('Attrition Modeling'!$D:$D,'Attrition Modeling'!$C:$C,$D129,'Attrition Modeling'!$B:$B,AI$76),VLOOKUP($F129+AI$77,$A$7:$C$107,2,FALSE)*VLOOKUP(AI$76,'Attrition Modeling'!$L$15:$N$27,IF(AI$77+$F129&lt;=24,2,3),FALSE)),$C$3)*(1+IF('IP Attrition'!AI186&gt;0,'Attrition Modeling'!$N$9,0)))</f>
        <v>0</v>
      </c>
      <c r="AJ129" s="799">
        <f>AI129*(1-IFERROR(IF(AJ$77+$F129&lt;=12,SUMIFS('Attrition Modeling'!$D:$D,'Attrition Modeling'!$C:$C,$D129,'Attrition Modeling'!$B:$B,AJ$76),VLOOKUP($F129+AJ$77,$A$7:$C$107,2,FALSE)*VLOOKUP(AJ$76,'Attrition Modeling'!$L$15:$N$27,IF(AJ$77+$F129&lt;=24,2,3),FALSE)),$C$3)*(1+IF('IP Attrition'!AJ186&gt;0,'Attrition Modeling'!$N$9,0)))</f>
        <v>0</v>
      </c>
      <c r="AK129" s="799">
        <f>AJ129*(1-IFERROR(IF(AK$77+$F129&lt;=12,SUMIFS('Attrition Modeling'!$D:$D,'Attrition Modeling'!$C:$C,$D129,'Attrition Modeling'!$B:$B,AK$76),VLOOKUP($F129+AK$77,$A$7:$C$107,2,FALSE)*VLOOKUP(AK$76,'Attrition Modeling'!$L$15:$N$27,IF(AK$77+$F129&lt;=24,2,3),FALSE)),$C$3)*(1+IF('IP Attrition'!AK186&gt;0,'Attrition Modeling'!$N$9,0)))</f>
        <v>0</v>
      </c>
      <c r="AL129" s="799">
        <f>AK129*(1-IFERROR(IF(AL$77+$F129&lt;=12,SUMIFS('Attrition Modeling'!$D:$D,'Attrition Modeling'!$C:$C,$D129,'Attrition Modeling'!$B:$B,AL$76),VLOOKUP($F129+AL$77,$A$7:$C$107,2,FALSE)*VLOOKUP(AL$76,'Attrition Modeling'!$L$15:$N$27,IF(AL$77+$F129&lt;=24,2,3),FALSE)),$C$3)*(1+IF('IP Attrition'!AL186&gt;0,'Attrition Modeling'!$N$9,0)))</f>
        <v>0</v>
      </c>
      <c r="AM129" s="799">
        <f>AL129*(1-IFERROR(IF(AM$77+$F129&lt;=12,SUMIFS('Attrition Modeling'!$D:$D,'Attrition Modeling'!$C:$C,$D129,'Attrition Modeling'!$B:$B,AM$76),VLOOKUP($F129+AM$77,$A$7:$C$107,2,FALSE)*VLOOKUP(AM$76,'Attrition Modeling'!$L$15:$N$27,IF(AM$77+$F129&lt;=24,2,3),FALSE)),$C$3)*(1+IF('IP Attrition'!AM186&gt;0,'Attrition Modeling'!$N$9,0)))</f>
        <v>0</v>
      </c>
      <c r="AN129" s="799">
        <f>AM129*(1-IFERROR(IF(AN$77+$F129&lt;=12,SUMIFS('Attrition Modeling'!$D:$D,'Attrition Modeling'!$C:$C,$D129,'Attrition Modeling'!$B:$B,AN$76),VLOOKUP($F129+AN$77,$A$7:$C$107,2,FALSE)*VLOOKUP(AN$76,'Attrition Modeling'!$L$15:$N$27,IF(AN$77+$F129&lt;=24,2,3),FALSE)),$C$3)*(1+IF('IP Attrition'!AN186&gt;0,'Attrition Modeling'!$N$9,0)))</f>
        <v>0</v>
      </c>
      <c r="AO129" s="799">
        <f>AN129*(1-IFERROR(IF(AO$77+$F129&lt;=12,SUMIFS('Attrition Modeling'!$D:$D,'Attrition Modeling'!$C:$C,$D129,'Attrition Modeling'!$B:$B,AO$76),VLOOKUP($F129+AO$77,$A$7:$C$107,2,FALSE)*VLOOKUP(AO$76,'Attrition Modeling'!$L$15:$N$27,IF(AO$77+$F129&lt;=24,2,3),FALSE)),$C$3)*(1+IF('IP Attrition'!AO186&gt;0,'Attrition Modeling'!$N$9,0)))</f>
        <v>0</v>
      </c>
      <c r="AP129" s="799">
        <f>AO129*(1-IFERROR(IF(AP$77+$F129&lt;=12,SUMIFS('Attrition Modeling'!$D:$D,'Attrition Modeling'!$C:$C,$D129,'Attrition Modeling'!$B:$B,AP$76),VLOOKUP($F129+AP$77,$A$7:$C$107,2,FALSE)*VLOOKUP(AP$76,'Attrition Modeling'!$L$15:$N$27,IF(AP$77+$F129&lt;=24,2,3),FALSE)),$C$3)*(1+IF('IP Attrition'!AP186&gt;0,'Attrition Modeling'!$N$9,0)))</f>
        <v>0</v>
      </c>
      <c r="AQ129" s="799">
        <f>AP129*(1-IFERROR(IF(AQ$77+$F129&lt;=12,SUMIFS('Attrition Modeling'!$D:$D,'Attrition Modeling'!$C:$C,$D129,'Attrition Modeling'!$B:$B,AQ$76),VLOOKUP($F129+AQ$77,$A$7:$C$107,2,FALSE)*VLOOKUP(AQ$76,'Attrition Modeling'!$L$15:$N$27,IF(AQ$77+$F129&lt;=24,2,3),FALSE)),$C$3)*(1+IF('IP Attrition'!AQ186&gt;0,'Attrition Modeling'!$N$9,0)))</f>
        <v>0</v>
      </c>
      <c r="AR129" s="799">
        <f>AQ129*(1-IFERROR(IF(AR$77+$F129&lt;=12,SUMIFS('Attrition Modeling'!$D:$D,'Attrition Modeling'!$C:$C,$D129,'Attrition Modeling'!$B:$B,AR$76),VLOOKUP($F129+AR$77,$A$7:$C$107,2,FALSE)*VLOOKUP(AR$76,'Attrition Modeling'!$L$15:$N$27,IF(AR$77+$F129&lt;=24,2,3),FALSE)),$C$3)*(1+IF('IP Attrition'!AR186&gt;0,'Attrition Modeling'!$N$9,0)))</f>
        <v>0</v>
      </c>
      <c r="AS129" s="799">
        <f>AR129*(1-IFERROR(IF(AS$77+$F129&lt;=12,SUMIFS('Attrition Modeling'!$D:$D,'Attrition Modeling'!$C:$C,$D129,'Attrition Modeling'!$B:$B,AS$76),VLOOKUP($F129+AS$77,$A$7:$C$107,2,FALSE)*VLOOKUP(AS$76,'Attrition Modeling'!$L$15:$N$27,IF(AS$77+$F129&lt;=24,2,3),FALSE)),$C$3)*(1+IF('IP Attrition'!AS186&gt;0,'Attrition Modeling'!$N$9,0)))</f>
        <v>0</v>
      </c>
      <c r="AT129" s="799">
        <f>AS129*(1-IFERROR(IF(AT$77+$F129&lt;=12,SUMIFS('Attrition Modeling'!$D:$D,'Attrition Modeling'!$C:$C,$D129,'Attrition Modeling'!$B:$B,AT$76),VLOOKUP($F129+AT$77,$A$7:$C$107,2,FALSE)*VLOOKUP(AT$76,'Attrition Modeling'!$L$15:$N$27,IF(AT$77+$F129&lt;=24,2,3),FALSE)),$C$3)*(1+IF('IP Attrition'!AT186&gt;0,'Attrition Modeling'!$N$9,0)))</f>
        <v>0</v>
      </c>
      <c r="AU129" s="799">
        <f>AT129*(1-IFERROR(IF(AU$77+$F129&lt;=12,SUMIFS('Attrition Modeling'!$D:$D,'Attrition Modeling'!$C:$C,$D129,'Attrition Modeling'!$B:$B,AU$76),VLOOKUP($F129+AU$77,$A$7:$C$107,2,FALSE)*VLOOKUP(AU$76,'Attrition Modeling'!$L$15:$N$27,IF(AU$77+$F129&lt;=24,2,3),FALSE)),$C$3)*(1+IF('IP Attrition'!AU186&gt;0,'Attrition Modeling'!$N$9,0)))</f>
        <v>0</v>
      </c>
      <c r="AV129" s="799">
        <f>AU129*(1-IFERROR(IF(AV$77+$F129&lt;=12,SUMIFS('Attrition Modeling'!$D:$D,'Attrition Modeling'!$C:$C,$D129,'Attrition Modeling'!$B:$B,AV$76),VLOOKUP($F129+AV$77,$A$7:$C$107,2,FALSE)*VLOOKUP(AV$76,'Attrition Modeling'!$L$15:$N$27,IF(AV$77+$F129&lt;=24,2,3),FALSE)),$C$3)*(1+IF('IP Attrition'!AV186&gt;0,'Attrition Modeling'!$N$9,0)))</f>
        <v>0</v>
      </c>
      <c r="AW129" s="799">
        <f>AV129*(1-IFERROR(IF(AW$77+$F129&lt;=12,SUMIFS('Attrition Modeling'!$D:$D,'Attrition Modeling'!$C:$C,$D129,'Attrition Modeling'!$B:$B,AW$76),VLOOKUP($F129+AW$77,$A$7:$C$107,2,FALSE)*VLOOKUP(AW$76,'Attrition Modeling'!$L$15:$N$27,IF(AW$77+$F129&lt;=24,2,3),FALSE)),$C$3)*(1+IF('IP Attrition'!AW186&gt;0,'Attrition Modeling'!$N$9,0)))</f>
        <v>0</v>
      </c>
      <c r="AX129" s="799">
        <f>AW129*(1-IFERROR(IF(AX$77+$F129&lt;=12,SUMIFS('Attrition Modeling'!$D:$D,'Attrition Modeling'!$C:$C,$D129,'Attrition Modeling'!$B:$B,AX$76),VLOOKUP($F129+AX$77,$A$7:$C$107,2,FALSE)*VLOOKUP(AX$76,'Attrition Modeling'!$L$15:$N$27,IF(AX$77+$F129&lt;=24,2,3),FALSE)),$C$3)*(1+IF('IP Attrition'!AX186&gt;0,'Attrition Modeling'!$N$9,0)))</f>
        <v>0</v>
      </c>
      <c r="AY129" s="799">
        <f>AX129*(1-IFERROR(IF(AY$77+$F129&lt;=12,SUMIFS('Attrition Modeling'!$D:$D,'Attrition Modeling'!$C:$C,$D129,'Attrition Modeling'!$B:$B,AY$76),VLOOKUP($F129+AY$77,$A$7:$C$107,2,FALSE)*VLOOKUP(AY$76,'Attrition Modeling'!$L$15:$N$27,IF(AY$77+$F129&lt;=24,2,3),FALSE)),$C$3)*(1+IF('IP Attrition'!AY186&gt;0,'Attrition Modeling'!$N$9,0)))</f>
        <v>0</v>
      </c>
      <c r="AZ129" s="799">
        <f>AY129*(1-IFERROR(IF(AZ$77+$F129&lt;=12,SUMIFS('Attrition Modeling'!$D:$D,'Attrition Modeling'!$C:$C,$D129,'Attrition Modeling'!$B:$B,AZ$76),VLOOKUP($F129+AZ$77,$A$7:$C$107,2,FALSE)*VLOOKUP(AZ$76,'Attrition Modeling'!$L$15:$N$27,IF(AZ$77+$F129&lt;=24,2,3),FALSE)),$C$3)*(1+IF('IP Attrition'!AZ186&gt;0,'Attrition Modeling'!$N$9,0)))</f>
        <v>0</v>
      </c>
      <c r="BA129" s="799">
        <f>AZ129*(1-IFERROR(IF(BA$77+$F129&lt;=12,SUMIFS('Attrition Modeling'!$D:$D,'Attrition Modeling'!$C:$C,$D129,'Attrition Modeling'!$B:$B,BA$76),VLOOKUP($F129+BA$77,$A$7:$C$107,2,FALSE)*VLOOKUP(BA$76,'Attrition Modeling'!$L$15:$N$27,IF(BA$77+$F129&lt;=24,2,3),FALSE)),$C$3)*(1+IF('IP Attrition'!BA186&gt;0,'Attrition Modeling'!$N$9,0)))</f>
        <v>0</v>
      </c>
      <c r="BB129" s="799">
        <f>BA129*(1-IFERROR(IF(BB$77+$F129&lt;=12,SUMIFS('Attrition Modeling'!$D:$D,'Attrition Modeling'!$C:$C,$D129,'Attrition Modeling'!$B:$B,BB$76),VLOOKUP($F129+BB$77,$A$7:$C$107,2,FALSE)*VLOOKUP(BB$76,'Attrition Modeling'!$L$15:$N$27,IF(BB$77+$F129&lt;=24,2,3),FALSE)),$C$3)*(1+IF('IP Attrition'!BB186&gt;0,'Attrition Modeling'!$N$9,0)))</f>
        <v>0</v>
      </c>
      <c r="BC129" s="799">
        <f>BB129*(1-IFERROR(IF(BC$77+$F129&lt;=12,SUMIFS('Attrition Modeling'!$D:$D,'Attrition Modeling'!$C:$C,$D129,'Attrition Modeling'!$B:$B,BC$76),VLOOKUP($F129+BC$77,$A$7:$C$107,2,FALSE)*VLOOKUP(BC$76,'Attrition Modeling'!$L$15:$N$27,IF(BC$77+$F129&lt;=24,2,3),FALSE)),$C$3)*(1+IF('IP Attrition'!BC186&gt;0,'Attrition Modeling'!$N$9,0)))</f>
        <v>0</v>
      </c>
      <c r="BD129" s="799">
        <f>BC129*(1-IFERROR(IF(BD$77+$F129&lt;=12,SUMIFS('Attrition Modeling'!$D:$D,'Attrition Modeling'!$C:$C,$D129,'Attrition Modeling'!$B:$B,BD$76),VLOOKUP($F129+BD$77,$A$7:$C$107,2,FALSE)*VLOOKUP(BD$76,'Attrition Modeling'!$L$15:$N$27,IF(BD$77+$F129&lt;=24,2,3),FALSE)),$C$3)*(1+IF('IP Attrition'!BD186&gt;0,'Attrition Modeling'!$N$9,0)))</f>
        <v>0</v>
      </c>
      <c r="BE129" s="799">
        <f>BD129*(1-IFERROR(IF(BE$77+$F129&lt;=12,SUMIFS('Attrition Modeling'!$D:$D,'Attrition Modeling'!$C:$C,$D129,'Attrition Modeling'!$B:$B,BE$76),VLOOKUP($F129+BE$77,$A$7:$C$107,2,FALSE)*VLOOKUP(BE$76,'Attrition Modeling'!$L$15:$N$27,IF(BE$77+$F129&lt;=24,2,3),FALSE)),$C$3)*(1+IF('IP Attrition'!BE186&gt;0,'Attrition Modeling'!$N$9,0)))</f>
        <v>0</v>
      </c>
      <c r="BF129" s="799">
        <f>BE129*(1-IFERROR(IF(BF$77+$F129&lt;=12,SUMIFS('Attrition Modeling'!$D:$D,'Attrition Modeling'!$C:$C,$D129,'Attrition Modeling'!$B:$B,BF$76),VLOOKUP($F129+BF$77,$A$7:$C$107,2,FALSE)*VLOOKUP(BF$76,'Attrition Modeling'!$L$15:$N$27,IF(BF$77+$F129&lt;=24,2,3),FALSE)),$C$3)*(1+IF('IP Attrition'!BF186&gt;0,'Attrition Modeling'!$N$9,0)))</f>
        <v>0</v>
      </c>
      <c r="BG129" s="799">
        <f>BF129*(1-IFERROR(IF(BG$77+$F129&lt;=12,SUMIFS('Attrition Modeling'!$D:$D,'Attrition Modeling'!$C:$C,$D129,'Attrition Modeling'!$B:$B,BG$76),VLOOKUP($F129+BG$77,$A$7:$C$107,2,FALSE)*VLOOKUP(BG$76,'Attrition Modeling'!$L$15:$N$27,IF(BG$77+$F129&lt;=24,2,3),FALSE)),$C$3)*(1+IF('IP Attrition'!BG186&gt;0,'Attrition Modeling'!$N$9,0)))</f>
        <v>0</v>
      </c>
      <c r="BH129" s="799">
        <f>BG129*(1-IFERROR(IF(BH$77+$F129&lt;=12,SUMIFS('Attrition Modeling'!$D:$D,'Attrition Modeling'!$C:$C,$D129,'Attrition Modeling'!$B:$B,BH$76),VLOOKUP($F129+BH$77,$A$7:$C$107,2,FALSE)*VLOOKUP(BH$76,'Attrition Modeling'!$L$15:$N$27,IF(BH$77+$F129&lt;=24,2,3),FALSE)),$C$3)*(1+IF('IP Attrition'!BH186&gt;0,'Attrition Modeling'!$N$9,0)))</f>
        <v>0</v>
      </c>
      <c r="BI129" s="799">
        <f>BH129*(1-IFERROR(IF(BI$77+$F129&lt;=12,SUMIFS('Attrition Modeling'!$D:$D,'Attrition Modeling'!$C:$C,$D129,'Attrition Modeling'!$B:$B,BI$76),VLOOKUP($F129+BI$77,$A$7:$C$107,2,FALSE)*VLOOKUP(BI$76,'Attrition Modeling'!$L$15:$N$27,IF(BI$77+$F129&lt;=24,2,3),FALSE)),$C$3)*(1+IF('IP Attrition'!BI186&gt;0,'Attrition Modeling'!$N$9,0)))</f>
        <v>0</v>
      </c>
      <c r="BJ129" s="799">
        <f>BI129*(1-IFERROR(IF(BJ$77+$F129&lt;=12,SUMIFS('Attrition Modeling'!$D:$D,'Attrition Modeling'!$C:$C,$D129,'Attrition Modeling'!$B:$B,BJ$76),VLOOKUP($F129+BJ$77,$A$7:$C$107,2,FALSE)*VLOOKUP(BJ$76,'Attrition Modeling'!$L$15:$N$27,IF(BJ$77+$F129&lt;=24,2,3),FALSE)),$C$3)*(1+IF('IP Attrition'!BJ186&gt;0,'Attrition Modeling'!$N$9,0)))</f>
        <v>0</v>
      </c>
      <c r="BK129" s="799">
        <f>BJ129*(1-IFERROR(IF(BK$77+$F129&lt;=12,SUMIFS('Attrition Modeling'!$D:$D,'Attrition Modeling'!$C:$C,$D129,'Attrition Modeling'!$B:$B,BK$76),VLOOKUP($F129+BK$77,$A$7:$C$107,2,FALSE)*VLOOKUP(BK$76,'Attrition Modeling'!$L$15:$N$27,IF(BK$77+$F129&lt;=24,2,3),FALSE)),$C$3)*(1+IF('IP Attrition'!BK186&gt;0,'Attrition Modeling'!$N$9,0)))</f>
        <v>0</v>
      </c>
      <c r="BL129" s="799">
        <f>BK129*(1-IFERROR(IF(BL$77+$F129&lt;=12,SUMIFS('Attrition Modeling'!$D:$D,'Attrition Modeling'!$C:$C,$D129,'Attrition Modeling'!$B:$B,BL$76),VLOOKUP($F129+BL$77,$A$7:$C$107,2,FALSE)*VLOOKUP(BL$76,'Attrition Modeling'!$L$15:$N$27,IF(BL$77+$F129&lt;=24,2,3),FALSE)),$C$3)*(1+IF('IP Attrition'!BL186&gt;0,'Attrition Modeling'!$N$9,0)))</f>
        <v>0</v>
      </c>
      <c r="BM129" s="799">
        <f>BL129*(1-IFERROR(IF(BM$77+$F129&lt;=12,SUMIFS('Attrition Modeling'!$D:$D,'Attrition Modeling'!$C:$C,$D129,'Attrition Modeling'!$B:$B,BM$76),VLOOKUP($F129+BM$77,$A$7:$C$107,2,FALSE)*VLOOKUP(BM$76,'Attrition Modeling'!$L$15:$N$27,IF(BM$77+$F129&lt;=24,2,3),FALSE)),$C$3)*(1+IF('IP Attrition'!BM186&gt;0,'Attrition Modeling'!$N$9,0)))</f>
        <v>0</v>
      </c>
      <c r="BN129" s="799">
        <f>BM129*(1-IFERROR(IF(BN$77+$F129&lt;=12,SUMIFS('Attrition Modeling'!$D:$D,'Attrition Modeling'!$C:$C,$D129,'Attrition Modeling'!$B:$B,BN$76),VLOOKUP($F129+BN$77,$A$7:$C$107,2,FALSE)*VLOOKUP(BN$76,'Attrition Modeling'!$L$15:$N$27,IF(BN$77+$F129&lt;=24,2,3),FALSE)),$C$3)*(1+IF('IP Attrition'!BN186&gt;0,'Attrition Modeling'!$N$9,0)))</f>
        <v>0</v>
      </c>
      <c r="BO129" s="799">
        <f>BN129*(1-IFERROR(IF(BO$77+$F129&lt;=12,SUMIFS('Attrition Modeling'!$D:$D,'Attrition Modeling'!$C:$C,$D129,'Attrition Modeling'!$B:$B,BO$76),VLOOKUP($F129+BO$77,$A$7:$C$107,2,FALSE)*VLOOKUP(BO$76,'Attrition Modeling'!$L$15:$N$27,IF(BO$77+$F129&lt;=24,2,3),FALSE)),$C$3)*(1+IF('IP Attrition'!BO186&gt;0,'Attrition Modeling'!$N$9,0)))</f>
        <v>0</v>
      </c>
      <c r="BP129" s="799">
        <f>BO129*(1-IFERROR(IF(BP$77+$F129&lt;=12,SUMIFS('Attrition Modeling'!$D:$D,'Attrition Modeling'!$C:$C,$D129,'Attrition Modeling'!$B:$B,BP$76),VLOOKUP($F129+BP$77,$A$7:$C$107,2,FALSE)*VLOOKUP(BP$76,'Attrition Modeling'!$L$15:$N$27,IF(BP$77+$F129&lt;=24,2,3),FALSE)),$C$3)*(1+IF('IP Attrition'!BP186&gt;0,'Attrition Modeling'!$N$9,0)))</f>
        <v>0</v>
      </c>
      <c r="BQ129" s="799">
        <f>BP129*(1-IFERROR(IF(BQ$77+$F129&lt;=12,SUMIFS('Attrition Modeling'!$D:$D,'Attrition Modeling'!$C:$C,$D129,'Attrition Modeling'!$B:$B,BQ$76),VLOOKUP($F129+BQ$77,$A$7:$C$107,2,FALSE)*VLOOKUP(BQ$76,'Attrition Modeling'!$L$15:$N$27,IF(BQ$77+$F129&lt;=24,2,3),FALSE)),$C$3)*(1+IF('IP Attrition'!BQ186&gt;0,'Attrition Modeling'!$N$9,0)))</f>
        <v>0</v>
      </c>
      <c r="BR129" s="799">
        <f>BQ129*(1-IFERROR(IF(BR$77+$F129&lt;=12,SUMIFS('Attrition Modeling'!$D:$D,'Attrition Modeling'!$C:$C,$D129,'Attrition Modeling'!$B:$B,BR$76),VLOOKUP($F129+BR$77,$A$7:$C$107,2,FALSE)*VLOOKUP(BR$76,'Attrition Modeling'!$L$15:$N$27,IF(BR$77+$F129&lt;=24,2,3),FALSE)),$C$3)*(1+IF('IP Attrition'!BR186&gt;0,'Attrition Modeling'!$N$9,0)))</f>
        <v>0</v>
      </c>
      <c r="BS129" s="799">
        <f>BR129*(1-IFERROR(IF(BS$77+$F129&lt;=12,SUMIFS('Attrition Modeling'!$D:$D,'Attrition Modeling'!$C:$C,$D129,'Attrition Modeling'!$B:$B,BS$76),VLOOKUP($F129+BS$77,$A$7:$C$107,2,FALSE)*VLOOKUP(BS$76,'Attrition Modeling'!$L$15:$N$27,IF(BS$77+$F129&lt;=24,2,3),FALSE)),$C$3)*(1+IF('IP Attrition'!BS186&gt;0,'Attrition Modeling'!$N$9,0)))</f>
        <v>0</v>
      </c>
      <c r="BT129" s="799" t="e">
        <f>BS129*(1-IFERROR(IF(BT$77+$F129&lt;=12,SUMIFS('Attrition Modeling'!$D:$D,'Attrition Modeling'!$C:$C,$D129,'Attrition Modeling'!$B:$B,BT$76),VLOOKUP($F129+BT$77,$A$7:$C$107,2,FALSE)*VLOOKUP(BT$76,'Attrition Modeling'!$L$15:$N$27,IF(BT$77+$F129&lt;=24,2,3),FALSE)),$C$3)*(1+IF('IP Attrition'!BT186&gt;0,'Attrition Modeling'!$N$9,0)))</f>
        <v>#REF!</v>
      </c>
      <c r="BU129" s="799" t="e">
        <f>BT129*(1-IFERROR(IF(BU$77+$F129&lt;=12,SUMIFS('Attrition Modeling'!$D:$D,'Attrition Modeling'!$C:$C,$D129,'Attrition Modeling'!$B:$B,BU$76),VLOOKUP($F129+BU$77,$A$7:$C$107,2,FALSE)*VLOOKUP(BU$76,'Attrition Modeling'!$L$15:$N$27,IF(BU$77+$F129&lt;=24,2,3),FALSE)),$C$3)*(1+IF('IP Attrition'!BU186&gt;0,'Attrition Modeling'!$N$9,0)))</f>
        <v>#REF!</v>
      </c>
    </row>
    <row r="130" spans="1:73" ht="14.25" customHeight="1" x14ac:dyDescent="0.2">
      <c r="A130" s="9">
        <v>122</v>
      </c>
      <c r="B130" s="25">
        <f>MAX('Attrition Modeling'!H126,$C$3)*(1-Summary!$C$20)</f>
        <v>0.02</v>
      </c>
      <c r="C130" s="24" t="e">
        <f t="shared" si="2"/>
        <v>#DIV/0!</v>
      </c>
      <c r="D130" s="11">
        <f>'IP Attrition'!D122</f>
        <v>-52</v>
      </c>
      <c r="E130" s="25">
        <f>'IP Attrition'!E122</f>
        <v>0</v>
      </c>
      <c r="F130" s="11">
        <f t="shared" si="8"/>
        <v>52</v>
      </c>
      <c r="G130" s="799">
        <f>Summary!$C$24*$E130</f>
        <v>0</v>
      </c>
      <c r="H130" s="799">
        <f>G130*(1-IFERROR(IF(H$77+$F130&lt;=12,SUMIFS('Attrition Modeling'!$D:$D,'Attrition Modeling'!$C:$C,$D130,'Attrition Modeling'!$B:$B,H$76),VLOOKUP($F130+H$77,$A$7:$C$107,2,FALSE)*VLOOKUP(H$76,'Attrition Modeling'!$L$15:$N$27,IF(H$77+$F130&lt;=24,2,3),FALSE)),$C$3)*(1+IF('IP Attrition'!H187&gt;0,'Attrition Modeling'!$N$9,0)))</f>
        <v>0</v>
      </c>
      <c r="I130" s="799">
        <f>H130*(1-IFERROR(IF(I$77+$F130&lt;=12,SUMIFS('Attrition Modeling'!$D:$D,'Attrition Modeling'!$C:$C,$D130,'Attrition Modeling'!$B:$B,I$76),VLOOKUP($F130+I$77,$A$7:$C$107,2,FALSE)*VLOOKUP(I$76,'Attrition Modeling'!$L$15:$N$27,IF(I$77+$F130&lt;=24,2,3),FALSE)),$C$3)*(1+IF('IP Attrition'!I187&gt;0,'Attrition Modeling'!$N$9,0)))</f>
        <v>0</v>
      </c>
      <c r="J130" s="799">
        <f>I130*(1-IFERROR(IF(J$77+$F130&lt;=12,SUMIFS('Attrition Modeling'!$D:$D,'Attrition Modeling'!$C:$C,$D130,'Attrition Modeling'!$B:$B,J$76),VLOOKUP($F130+J$77,$A$7:$C$107,2,FALSE)*VLOOKUP(J$76,'Attrition Modeling'!$L$15:$N$27,IF(J$77+$F130&lt;=24,2,3),FALSE)),$C$3)*(1+IF('IP Attrition'!J187&gt;0,'Attrition Modeling'!$N$9,0)))</f>
        <v>0</v>
      </c>
      <c r="K130" s="799">
        <f>J130*(1-IFERROR(IF(K$77+$F130&lt;=12,SUMIFS('Attrition Modeling'!$D:$D,'Attrition Modeling'!$C:$C,$D130,'Attrition Modeling'!$B:$B,K$76),VLOOKUP($F130+K$77,$A$7:$C$107,2,FALSE)*VLOOKUP(K$76,'Attrition Modeling'!$L$15:$N$27,IF(K$77+$F130&lt;=24,2,3),FALSE)),$C$3)*(1+IF('IP Attrition'!K187&gt;0,'Attrition Modeling'!$N$9,0)))</f>
        <v>0</v>
      </c>
      <c r="L130" s="799">
        <f>K130*(1-IFERROR(IF(L$77+$F130&lt;=12,SUMIFS('Attrition Modeling'!$D:$D,'Attrition Modeling'!$C:$C,$D130,'Attrition Modeling'!$B:$B,L$76),VLOOKUP($F130+L$77,$A$7:$C$107,2,FALSE)*VLOOKUP(L$76,'Attrition Modeling'!$L$15:$N$27,IF(L$77+$F130&lt;=24,2,3),FALSE)),$C$3)*(1+IF('IP Attrition'!L187&gt;0,'Attrition Modeling'!$N$9,0)))</f>
        <v>0</v>
      </c>
      <c r="M130" s="799">
        <f>L130*(1-IFERROR(IF(M$77+$F130&lt;=12,SUMIFS('Attrition Modeling'!$D:$D,'Attrition Modeling'!$C:$C,$D130,'Attrition Modeling'!$B:$B,M$76),VLOOKUP($F130+M$77,$A$7:$C$107,2,FALSE)*VLOOKUP(M$76,'Attrition Modeling'!$L$15:$N$27,IF(M$77+$F130&lt;=24,2,3),FALSE)),$C$3)*(1+IF('IP Attrition'!M187&gt;0,'Attrition Modeling'!$N$9,0)))</f>
        <v>0</v>
      </c>
      <c r="N130" s="799">
        <f>M130*(1-IFERROR(IF(N$77+$F130&lt;=12,SUMIFS('Attrition Modeling'!$D:$D,'Attrition Modeling'!$C:$C,$D130,'Attrition Modeling'!$B:$B,N$76),VLOOKUP($F130+N$77,$A$7:$C$107,2,FALSE)*VLOOKUP(N$76,'Attrition Modeling'!$L$15:$N$27,IF(N$77+$F130&lt;=24,2,3),FALSE)),$C$3)*(1+IF('IP Attrition'!N187&gt;0,'Attrition Modeling'!$N$9,0)))</f>
        <v>0</v>
      </c>
      <c r="O130" s="799">
        <f>N130*(1-IFERROR(IF(O$77+$F130&lt;=12,SUMIFS('Attrition Modeling'!$D:$D,'Attrition Modeling'!$C:$C,$D130,'Attrition Modeling'!$B:$B,O$76),VLOOKUP($F130+O$77,$A$7:$C$107,2,FALSE)*VLOOKUP(O$76,'Attrition Modeling'!$L$15:$N$27,IF(O$77+$F130&lt;=24,2,3),FALSE)),$C$3)*(1+IF('IP Attrition'!O187&gt;0,'Attrition Modeling'!$N$9,0)))</f>
        <v>0</v>
      </c>
      <c r="P130" s="799">
        <f>O130*(1-IFERROR(IF(P$77+$F130&lt;=12,SUMIFS('Attrition Modeling'!$D:$D,'Attrition Modeling'!$C:$C,$D130,'Attrition Modeling'!$B:$B,P$76),VLOOKUP($F130+P$77,$A$7:$C$107,2,FALSE)*VLOOKUP(P$76,'Attrition Modeling'!$L$15:$N$27,IF(P$77+$F130&lt;=24,2,3),FALSE)),$C$3)*(1+IF('IP Attrition'!P187&gt;0,'Attrition Modeling'!$N$9,0)))</f>
        <v>0</v>
      </c>
      <c r="Q130" s="799">
        <f>P130*(1-IFERROR(IF(Q$77+$F130&lt;=12,SUMIFS('Attrition Modeling'!$D:$D,'Attrition Modeling'!$C:$C,$D130,'Attrition Modeling'!$B:$B,Q$76),VLOOKUP($F130+Q$77,$A$7:$C$107,2,FALSE)*VLOOKUP(Q$76,'Attrition Modeling'!$L$15:$N$27,IF(Q$77+$F130&lt;=24,2,3),FALSE)),$C$3)*(1+IF('IP Attrition'!Q187&gt;0,'Attrition Modeling'!$N$9,0)))</f>
        <v>0</v>
      </c>
      <c r="R130" s="799">
        <f>Q130*(1-IFERROR(IF(R$77+$F130&lt;=12,SUMIFS('Attrition Modeling'!$D:$D,'Attrition Modeling'!$C:$C,$D130,'Attrition Modeling'!$B:$B,R$76),VLOOKUP($F130+R$77,$A$7:$C$107,2,FALSE)*VLOOKUP(R$76,'Attrition Modeling'!$L$15:$N$27,IF(R$77+$F130&lt;=24,2,3),FALSE)),$C$3)*(1+IF('IP Attrition'!R187&gt;0,'Attrition Modeling'!$N$9,0)))</f>
        <v>0</v>
      </c>
      <c r="S130" s="799">
        <f>R130*(1-IFERROR(IF(S$77+$F130&lt;=12,SUMIFS('Attrition Modeling'!$D:$D,'Attrition Modeling'!$C:$C,$D130,'Attrition Modeling'!$B:$B,S$76),VLOOKUP($F130+S$77,$A$7:$C$107,2,FALSE)*VLOOKUP(S$76,'Attrition Modeling'!$L$15:$N$27,IF(S$77+$F130&lt;=24,2,3),FALSE)),$C$3)*(1+IF('IP Attrition'!S187&gt;0,'Attrition Modeling'!$N$9,0)))</f>
        <v>0</v>
      </c>
      <c r="T130" s="799">
        <f>S130*(1-IFERROR(IF(T$77+$F130&lt;=12,SUMIFS('Attrition Modeling'!$D:$D,'Attrition Modeling'!$C:$C,$D130,'Attrition Modeling'!$B:$B,T$76),VLOOKUP($F130+T$77,$A$7:$C$107,2,FALSE)*VLOOKUP(T$76,'Attrition Modeling'!$L$15:$N$27,IF(T$77+$F130&lt;=24,2,3),FALSE)),$C$3)*(1+IF('IP Attrition'!T187&gt;0,'Attrition Modeling'!$N$9,0)))</f>
        <v>0</v>
      </c>
      <c r="U130" s="799">
        <f>T130*(1-IFERROR(IF(U$77+$F130&lt;=12,SUMIFS('Attrition Modeling'!$D:$D,'Attrition Modeling'!$C:$C,$D130,'Attrition Modeling'!$B:$B,U$76),VLOOKUP($F130+U$77,$A$7:$C$107,2,FALSE)*VLOOKUP(U$76,'Attrition Modeling'!$L$15:$N$27,IF(U$77+$F130&lt;=24,2,3),FALSE)),$C$3)*(1+IF('IP Attrition'!U187&gt;0,'Attrition Modeling'!$N$9,0)))</f>
        <v>0</v>
      </c>
      <c r="V130" s="799">
        <f>U130*(1-IFERROR(IF(V$77+$F130&lt;=12,SUMIFS('Attrition Modeling'!$D:$D,'Attrition Modeling'!$C:$C,$D130,'Attrition Modeling'!$B:$B,V$76),VLOOKUP($F130+V$77,$A$7:$C$107,2,FALSE)*VLOOKUP(V$76,'Attrition Modeling'!$L$15:$N$27,IF(V$77+$F130&lt;=24,2,3),FALSE)),$C$3)*(1+IF('IP Attrition'!V187&gt;0,'Attrition Modeling'!$N$9,0)))</f>
        <v>0</v>
      </c>
      <c r="W130" s="799">
        <f>V130*(1-IFERROR(IF(W$77+$F130&lt;=12,SUMIFS('Attrition Modeling'!$D:$D,'Attrition Modeling'!$C:$C,$D130,'Attrition Modeling'!$B:$B,W$76),VLOOKUP($F130+W$77,$A$7:$C$107,2,FALSE)*VLOOKUP(W$76,'Attrition Modeling'!$L$15:$N$27,IF(W$77+$F130&lt;=24,2,3),FALSE)),$C$3)*(1+IF('IP Attrition'!W187&gt;0,'Attrition Modeling'!$N$9,0)))</f>
        <v>0</v>
      </c>
      <c r="X130" s="799">
        <f>W130*(1-IFERROR(IF(X$77+$F130&lt;=12,SUMIFS('Attrition Modeling'!$D:$D,'Attrition Modeling'!$C:$C,$D130,'Attrition Modeling'!$B:$B,X$76),VLOOKUP($F130+X$77,$A$7:$C$107,2,FALSE)*VLOOKUP(X$76,'Attrition Modeling'!$L$15:$N$27,IF(X$77+$F130&lt;=24,2,3),FALSE)),$C$3)*(1+IF('IP Attrition'!X187&gt;0,'Attrition Modeling'!$N$9,0)))</f>
        <v>0</v>
      </c>
      <c r="Y130" s="799">
        <f>X130*(1-IFERROR(IF(Y$77+$F130&lt;=12,SUMIFS('Attrition Modeling'!$D:$D,'Attrition Modeling'!$C:$C,$D130,'Attrition Modeling'!$B:$B,Y$76),VLOOKUP($F130+Y$77,$A$7:$C$107,2,FALSE)*VLOOKUP(Y$76,'Attrition Modeling'!$L$15:$N$27,IF(Y$77+$F130&lt;=24,2,3),FALSE)),$C$3)*(1+IF('IP Attrition'!Y187&gt;0,'Attrition Modeling'!$N$9,0)))</f>
        <v>0</v>
      </c>
      <c r="Z130" s="799">
        <f>Y130*(1-IFERROR(IF(Z$77+$F130&lt;=12,SUMIFS('Attrition Modeling'!$D:$D,'Attrition Modeling'!$C:$C,$D130,'Attrition Modeling'!$B:$B,Z$76),VLOOKUP($F130+Z$77,$A$7:$C$107,2,FALSE)*VLOOKUP(Z$76,'Attrition Modeling'!$L$15:$N$27,IF(Z$77+$F130&lt;=24,2,3),FALSE)),$C$3)*(1+IF('IP Attrition'!Z187&gt;0,'Attrition Modeling'!$N$9,0)))</f>
        <v>0</v>
      </c>
      <c r="AA130" s="799">
        <f>Z130*(1-IFERROR(IF(AA$77+$F130&lt;=12,SUMIFS('Attrition Modeling'!$D:$D,'Attrition Modeling'!$C:$C,$D130,'Attrition Modeling'!$B:$B,AA$76),VLOOKUP($F130+AA$77,$A$7:$C$107,2,FALSE)*VLOOKUP(AA$76,'Attrition Modeling'!$L$15:$N$27,IF(AA$77+$F130&lt;=24,2,3),FALSE)),$C$3)*(1+IF('IP Attrition'!AA187&gt;0,'Attrition Modeling'!$N$9,0)))</f>
        <v>0</v>
      </c>
      <c r="AB130" s="799">
        <f>AA130*(1-IFERROR(IF(AB$77+$F130&lt;=12,SUMIFS('Attrition Modeling'!$D:$D,'Attrition Modeling'!$C:$C,$D130,'Attrition Modeling'!$B:$B,AB$76),VLOOKUP($F130+AB$77,$A$7:$C$107,2,FALSE)*VLOOKUP(AB$76,'Attrition Modeling'!$L$15:$N$27,IF(AB$77+$F130&lt;=24,2,3),FALSE)),$C$3)*(1+IF('IP Attrition'!AB187&gt;0,'Attrition Modeling'!$N$9,0)))</f>
        <v>0</v>
      </c>
      <c r="AC130" s="799">
        <f>AB130*(1-IFERROR(IF(AC$77+$F130&lt;=12,SUMIFS('Attrition Modeling'!$D:$D,'Attrition Modeling'!$C:$C,$D130,'Attrition Modeling'!$B:$B,AC$76),VLOOKUP($F130+AC$77,$A$7:$C$107,2,FALSE)*VLOOKUP(AC$76,'Attrition Modeling'!$L$15:$N$27,IF(AC$77+$F130&lt;=24,2,3),FALSE)),$C$3)*(1+IF('IP Attrition'!AC187&gt;0,'Attrition Modeling'!$N$9,0)))</f>
        <v>0</v>
      </c>
      <c r="AD130" s="799">
        <f>AC130*(1-IFERROR(IF(AD$77+$F130&lt;=12,SUMIFS('Attrition Modeling'!$D:$D,'Attrition Modeling'!$C:$C,$D130,'Attrition Modeling'!$B:$B,AD$76),VLOOKUP($F130+AD$77,$A$7:$C$107,2,FALSE)*VLOOKUP(AD$76,'Attrition Modeling'!$L$15:$N$27,IF(AD$77+$F130&lt;=24,2,3),FALSE)),$C$3)*(1+IF('IP Attrition'!AD187&gt;0,'Attrition Modeling'!$N$9,0)))</f>
        <v>0</v>
      </c>
      <c r="AE130" s="799">
        <f>AD130*(1-IFERROR(IF(AE$77+$F130&lt;=12,SUMIFS('Attrition Modeling'!$D:$D,'Attrition Modeling'!$C:$C,$D130,'Attrition Modeling'!$B:$B,AE$76),VLOOKUP($F130+AE$77,$A$7:$C$107,2,FALSE)*VLOOKUP(AE$76,'Attrition Modeling'!$L$15:$N$27,IF(AE$77+$F130&lt;=24,2,3),FALSE)),$C$3)*(1+IF('IP Attrition'!AE187&gt;0,'Attrition Modeling'!$N$9,0)))</f>
        <v>0</v>
      </c>
      <c r="AF130" s="799">
        <f>AE130*(1-IFERROR(IF(AF$77+$F130&lt;=12,SUMIFS('Attrition Modeling'!$D:$D,'Attrition Modeling'!$C:$C,$D130,'Attrition Modeling'!$B:$B,AF$76),VLOOKUP($F130+AF$77,$A$7:$C$107,2,FALSE)*VLOOKUP(AF$76,'Attrition Modeling'!$L$15:$N$27,IF(AF$77+$F130&lt;=24,2,3),FALSE)),$C$3)*(1+IF('IP Attrition'!AF187&gt;0,'Attrition Modeling'!$N$9,0)))</f>
        <v>0</v>
      </c>
      <c r="AG130" s="799">
        <f>AF130*(1-IFERROR(IF(AG$77+$F130&lt;=12,SUMIFS('Attrition Modeling'!$D:$D,'Attrition Modeling'!$C:$C,$D130,'Attrition Modeling'!$B:$B,AG$76),VLOOKUP($F130+AG$77,$A$7:$C$107,2,FALSE)*VLOOKUP(AG$76,'Attrition Modeling'!$L$15:$N$27,IF(AG$77+$F130&lt;=24,2,3),FALSE)),$C$3)*(1+IF('IP Attrition'!AG187&gt;0,'Attrition Modeling'!$N$9,0)))</f>
        <v>0</v>
      </c>
      <c r="AH130" s="799">
        <f>AG130*(1-IFERROR(IF(AH$77+$F130&lt;=12,SUMIFS('Attrition Modeling'!$D:$D,'Attrition Modeling'!$C:$C,$D130,'Attrition Modeling'!$B:$B,AH$76),VLOOKUP($F130+AH$77,$A$7:$C$107,2,FALSE)*VLOOKUP(AH$76,'Attrition Modeling'!$L$15:$N$27,IF(AH$77+$F130&lt;=24,2,3),FALSE)),$C$3)*(1+IF('IP Attrition'!AH187&gt;0,'Attrition Modeling'!$N$9,0)))</f>
        <v>0</v>
      </c>
      <c r="AI130" s="799">
        <f>AH130*(1-IFERROR(IF(AI$77+$F130&lt;=12,SUMIFS('Attrition Modeling'!$D:$D,'Attrition Modeling'!$C:$C,$D130,'Attrition Modeling'!$B:$B,AI$76),VLOOKUP($F130+AI$77,$A$7:$C$107,2,FALSE)*VLOOKUP(AI$76,'Attrition Modeling'!$L$15:$N$27,IF(AI$77+$F130&lt;=24,2,3),FALSE)),$C$3)*(1+IF('IP Attrition'!AI187&gt;0,'Attrition Modeling'!$N$9,0)))</f>
        <v>0</v>
      </c>
      <c r="AJ130" s="799">
        <f>AI130*(1-IFERROR(IF(AJ$77+$F130&lt;=12,SUMIFS('Attrition Modeling'!$D:$D,'Attrition Modeling'!$C:$C,$D130,'Attrition Modeling'!$B:$B,AJ$76),VLOOKUP($F130+AJ$77,$A$7:$C$107,2,FALSE)*VLOOKUP(AJ$76,'Attrition Modeling'!$L$15:$N$27,IF(AJ$77+$F130&lt;=24,2,3),FALSE)),$C$3)*(1+IF('IP Attrition'!AJ187&gt;0,'Attrition Modeling'!$N$9,0)))</f>
        <v>0</v>
      </c>
      <c r="AK130" s="799">
        <f>AJ130*(1-IFERROR(IF(AK$77+$F130&lt;=12,SUMIFS('Attrition Modeling'!$D:$D,'Attrition Modeling'!$C:$C,$D130,'Attrition Modeling'!$B:$B,AK$76),VLOOKUP($F130+AK$77,$A$7:$C$107,2,FALSE)*VLOOKUP(AK$76,'Attrition Modeling'!$L$15:$N$27,IF(AK$77+$F130&lt;=24,2,3),FALSE)),$C$3)*(1+IF('IP Attrition'!AK187&gt;0,'Attrition Modeling'!$N$9,0)))</f>
        <v>0</v>
      </c>
      <c r="AL130" s="799">
        <f>AK130*(1-IFERROR(IF(AL$77+$F130&lt;=12,SUMIFS('Attrition Modeling'!$D:$D,'Attrition Modeling'!$C:$C,$D130,'Attrition Modeling'!$B:$B,AL$76),VLOOKUP($F130+AL$77,$A$7:$C$107,2,FALSE)*VLOOKUP(AL$76,'Attrition Modeling'!$L$15:$N$27,IF(AL$77+$F130&lt;=24,2,3),FALSE)),$C$3)*(1+IF('IP Attrition'!AL187&gt;0,'Attrition Modeling'!$N$9,0)))</f>
        <v>0</v>
      </c>
      <c r="AM130" s="799">
        <f>AL130*(1-IFERROR(IF(AM$77+$F130&lt;=12,SUMIFS('Attrition Modeling'!$D:$D,'Attrition Modeling'!$C:$C,$D130,'Attrition Modeling'!$B:$B,AM$76),VLOOKUP($F130+AM$77,$A$7:$C$107,2,FALSE)*VLOOKUP(AM$76,'Attrition Modeling'!$L$15:$N$27,IF(AM$77+$F130&lt;=24,2,3),FALSE)),$C$3)*(1+IF('IP Attrition'!AM187&gt;0,'Attrition Modeling'!$N$9,0)))</f>
        <v>0</v>
      </c>
      <c r="AN130" s="799">
        <f>AM130*(1-IFERROR(IF(AN$77+$F130&lt;=12,SUMIFS('Attrition Modeling'!$D:$D,'Attrition Modeling'!$C:$C,$D130,'Attrition Modeling'!$B:$B,AN$76),VLOOKUP($F130+AN$77,$A$7:$C$107,2,FALSE)*VLOOKUP(AN$76,'Attrition Modeling'!$L$15:$N$27,IF(AN$77+$F130&lt;=24,2,3),FALSE)),$C$3)*(1+IF('IP Attrition'!AN187&gt;0,'Attrition Modeling'!$N$9,0)))</f>
        <v>0</v>
      </c>
      <c r="AO130" s="799">
        <f>AN130*(1-IFERROR(IF(AO$77+$F130&lt;=12,SUMIFS('Attrition Modeling'!$D:$D,'Attrition Modeling'!$C:$C,$D130,'Attrition Modeling'!$B:$B,AO$76),VLOOKUP($F130+AO$77,$A$7:$C$107,2,FALSE)*VLOOKUP(AO$76,'Attrition Modeling'!$L$15:$N$27,IF(AO$77+$F130&lt;=24,2,3),FALSE)),$C$3)*(1+IF('IP Attrition'!AO187&gt;0,'Attrition Modeling'!$N$9,0)))</f>
        <v>0</v>
      </c>
      <c r="AP130" s="799">
        <f>AO130*(1-IFERROR(IF(AP$77+$F130&lt;=12,SUMIFS('Attrition Modeling'!$D:$D,'Attrition Modeling'!$C:$C,$D130,'Attrition Modeling'!$B:$B,AP$76),VLOOKUP($F130+AP$77,$A$7:$C$107,2,FALSE)*VLOOKUP(AP$76,'Attrition Modeling'!$L$15:$N$27,IF(AP$77+$F130&lt;=24,2,3),FALSE)),$C$3)*(1+IF('IP Attrition'!AP187&gt;0,'Attrition Modeling'!$N$9,0)))</f>
        <v>0</v>
      </c>
      <c r="AQ130" s="799">
        <f>AP130*(1-IFERROR(IF(AQ$77+$F130&lt;=12,SUMIFS('Attrition Modeling'!$D:$D,'Attrition Modeling'!$C:$C,$D130,'Attrition Modeling'!$B:$B,AQ$76),VLOOKUP($F130+AQ$77,$A$7:$C$107,2,FALSE)*VLOOKUP(AQ$76,'Attrition Modeling'!$L$15:$N$27,IF(AQ$77+$F130&lt;=24,2,3),FALSE)),$C$3)*(1+IF('IP Attrition'!AQ187&gt;0,'Attrition Modeling'!$N$9,0)))</f>
        <v>0</v>
      </c>
      <c r="AR130" s="799">
        <f>AQ130*(1-IFERROR(IF(AR$77+$F130&lt;=12,SUMIFS('Attrition Modeling'!$D:$D,'Attrition Modeling'!$C:$C,$D130,'Attrition Modeling'!$B:$B,AR$76),VLOOKUP($F130+AR$77,$A$7:$C$107,2,FALSE)*VLOOKUP(AR$76,'Attrition Modeling'!$L$15:$N$27,IF(AR$77+$F130&lt;=24,2,3),FALSE)),$C$3)*(1+IF('IP Attrition'!AR187&gt;0,'Attrition Modeling'!$N$9,0)))</f>
        <v>0</v>
      </c>
      <c r="AS130" s="799">
        <f>AR130*(1-IFERROR(IF(AS$77+$F130&lt;=12,SUMIFS('Attrition Modeling'!$D:$D,'Attrition Modeling'!$C:$C,$D130,'Attrition Modeling'!$B:$B,AS$76),VLOOKUP($F130+AS$77,$A$7:$C$107,2,FALSE)*VLOOKUP(AS$76,'Attrition Modeling'!$L$15:$N$27,IF(AS$77+$F130&lt;=24,2,3),FALSE)),$C$3)*(1+IF('IP Attrition'!AS187&gt;0,'Attrition Modeling'!$N$9,0)))</f>
        <v>0</v>
      </c>
      <c r="AT130" s="799">
        <f>AS130*(1-IFERROR(IF(AT$77+$F130&lt;=12,SUMIFS('Attrition Modeling'!$D:$D,'Attrition Modeling'!$C:$C,$D130,'Attrition Modeling'!$B:$B,AT$76),VLOOKUP($F130+AT$77,$A$7:$C$107,2,FALSE)*VLOOKUP(AT$76,'Attrition Modeling'!$L$15:$N$27,IF(AT$77+$F130&lt;=24,2,3),FALSE)),$C$3)*(1+IF('IP Attrition'!AT187&gt;0,'Attrition Modeling'!$N$9,0)))</f>
        <v>0</v>
      </c>
      <c r="AU130" s="799">
        <f>AT130*(1-IFERROR(IF(AU$77+$F130&lt;=12,SUMIFS('Attrition Modeling'!$D:$D,'Attrition Modeling'!$C:$C,$D130,'Attrition Modeling'!$B:$B,AU$76),VLOOKUP($F130+AU$77,$A$7:$C$107,2,FALSE)*VLOOKUP(AU$76,'Attrition Modeling'!$L$15:$N$27,IF(AU$77+$F130&lt;=24,2,3),FALSE)),$C$3)*(1+IF('IP Attrition'!AU187&gt;0,'Attrition Modeling'!$N$9,0)))</f>
        <v>0</v>
      </c>
      <c r="AV130" s="799">
        <f>AU130*(1-IFERROR(IF(AV$77+$F130&lt;=12,SUMIFS('Attrition Modeling'!$D:$D,'Attrition Modeling'!$C:$C,$D130,'Attrition Modeling'!$B:$B,AV$76),VLOOKUP($F130+AV$77,$A$7:$C$107,2,FALSE)*VLOOKUP(AV$76,'Attrition Modeling'!$L$15:$N$27,IF(AV$77+$F130&lt;=24,2,3),FALSE)),$C$3)*(1+IF('IP Attrition'!AV187&gt;0,'Attrition Modeling'!$N$9,0)))</f>
        <v>0</v>
      </c>
      <c r="AW130" s="799">
        <f>AV130*(1-IFERROR(IF(AW$77+$F130&lt;=12,SUMIFS('Attrition Modeling'!$D:$D,'Attrition Modeling'!$C:$C,$D130,'Attrition Modeling'!$B:$B,AW$76),VLOOKUP($F130+AW$77,$A$7:$C$107,2,FALSE)*VLOOKUP(AW$76,'Attrition Modeling'!$L$15:$N$27,IF(AW$77+$F130&lt;=24,2,3),FALSE)),$C$3)*(1+IF('IP Attrition'!AW187&gt;0,'Attrition Modeling'!$N$9,0)))</f>
        <v>0</v>
      </c>
      <c r="AX130" s="799">
        <f>AW130*(1-IFERROR(IF(AX$77+$F130&lt;=12,SUMIFS('Attrition Modeling'!$D:$D,'Attrition Modeling'!$C:$C,$D130,'Attrition Modeling'!$B:$B,AX$76),VLOOKUP($F130+AX$77,$A$7:$C$107,2,FALSE)*VLOOKUP(AX$76,'Attrition Modeling'!$L$15:$N$27,IF(AX$77+$F130&lt;=24,2,3),FALSE)),$C$3)*(1+IF('IP Attrition'!AX187&gt;0,'Attrition Modeling'!$N$9,0)))</f>
        <v>0</v>
      </c>
      <c r="AY130" s="799">
        <f>AX130*(1-IFERROR(IF(AY$77+$F130&lt;=12,SUMIFS('Attrition Modeling'!$D:$D,'Attrition Modeling'!$C:$C,$D130,'Attrition Modeling'!$B:$B,AY$76),VLOOKUP($F130+AY$77,$A$7:$C$107,2,FALSE)*VLOOKUP(AY$76,'Attrition Modeling'!$L$15:$N$27,IF(AY$77+$F130&lt;=24,2,3),FALSE)),$C$3)*(1+IF('IP Attrition'!AY187&gt;0,'Attrition Modeling'!$N$9,0)))</f>
        <v>0</v>
      </c>
      <c r="AZ130" s="799">
        <f>AY130*(1-IFERROR(IF(AZ$77+$F130&lt;=12,SUMIFS('Attrition Modeling'!$D:$D,'Attrition Modeling'!$C:$C,$D130,'Attrition Modeling'!$B:$B,AZ$76),VLOOKUP($F130+AZ$77,$A$7:$C$107,2,FALSE)*VLOOKUP(AZ$76,'Attrition Modeling'!$L$15:$N$27,IF(AZ$77+$F130&lt;=24,2,3),FALSE)),$C$3)*(1+IF('IP Attrition'!AZ187&gt;0,'Attrition Modeling'!$N$9,0)))</f>
        <v>0</v>
      </c>
      <c r="BA130" s="799">
        <f>AZ130*(1-IFERROR(IF(BA$77+$F130&lt;=12,SUMIFS('Attrition Modeling'!$D:$D,'Attrition Modeling'!$C:$C,$D130,'Attrition Modeling'!$B:$B,BA$76),VLOOKUP($F130+BA$77,$A$7:$C$107,2,FALSE)*VLOOKUP(BA$76,'Attrition Modeling'!$L$15:$N$27,IF(BA$77+$F130&lt;=24,2,3),FALSE)),$C$3)*(1+IF('IP Attrition'!BA187&gt;0,'Attrition Modeling'!$N$9,0)))</f>
        <v>0</v>
      </c>
      <c r="BB130" s="799">
        <f>BA130*(1-IFERROR(IF(BB$77+$F130&lt;=12,SUMIFS('Attrition Modeling'!$D:$D,'Attrition Modeling'!$C:$C,$D130,'Attrition Modeling'!$B:$B,BB$76),VLOOKUP($F130+BB$77,$A$7:$C$107,2,FALSE)*VLOOKUP(BB$76,'Attrition Modeling'!$L$15:$N$27,IF(BB$77+$F130&lt;=24,2,3),FALSE)),$C$3)*(1+IF('IP Attrition'!BB187&gt;0,'Attrition Modeling'!$N$9,0)))</f>
        <v>0</v>
      </c>
      <c r="BC130" s="799">
        <f>BB130*(1-IFERROR(IF(BC$77+$F130&lt;=12,SUMIFS('Attrition Modeling'!$D:$D,'Attrition Modeling'!$C:$C,$D130,'Attrition Modeling'!$B:$B,BC$76),VLOOKUP($F130+BC$77,$A$7:$C$107,2,FALSE)*VLOOKUP(BC$76,'Attrition Modeling'!$L$15:$N$27,IF(BC$77+$F130&lt;=24,2,3),FALSE)),$C$3)*(1+IF('IP Attrition'!BC187&gt;0,'Attrition Modeling'!$N$9,0)))</f>
        <v>0</v>
      </c>
      <c r="BD130" s="799">
        <f>BC130*(1-IFERROR(IF(BD$77+$F130&lt;=12,SUMIFS('Attrition Modeling'!$D:$D,'Attrition Modeling'!$C:$C,$D130,'Attrition Modeling'!$B:$B,BD$76),VLOOKUP($F130+BD$77,$A$7:$C$107,2,FALSE)*VLOOKUP(BD$76,'Attrition Modeling'!$L$15:$N$27,IF(BD$77+$F130&lt;=24,2,3),FALSE)),$C$3)*(1+IF('IP Attrition'!BD187&gt;0,'Attrition Modeling'!$N$9,0)))</f>
        <v>0</v>
      </c>
      <c r="BE130" s="799">
        <f>BD130*(1-IFERROR(IF(BE$77+$F130&lt;=12,SUMIFS('Attrition Modeling'!$D:$D,'Attrition Modeling'!$C:$C,$D130,'Attrition Modeling'!$B:$B,BE$76),VLOOKUP($F130+BE$77,$A$7:$C$107,2,FALSE)*VLOOKUP(BE$76,'Attrition Modeling'!$L$15:$N$27,IF(BE$77+$F130&lt;=24,2,3),FALSE)),$C$3)*(1+IF('IP Attrition'!BE187&gt;0,'Attrition Modeling'!$N$9,0)))</f>
        <v>0</v>
      </c>
      <c r="BF130" s="799">
        <f>BE130*(1-IFERROR(IF(BF$77+$F130&lt;=12,SUMIFS('Attrition Modeling'!$D:$D,'Attrition Modeling'!$C:$C,$D130,'Attrition Modeling'!$B:$B,BF$76),VLOOKUP($F130+BF$77,$A$7:$C$107,2,FALSE)*VLOOKUP(BF$76,'Attrition Modeling'!$L$15:$N$27,IF(BF$77+$F130&lt;=24,2,3),FALSE)),$C$3)*(1+IF('IP Attrition'!BF187&gt;0,'Attrition Modeling'!$N$9,0)))</f>
        <v>0</v>
      </c>
      <c r="BG130" s="799">
        <f>BF130*(1-IFERROR(IF(BG$77+$F130&lt;=12,SUMIFS('Attrition Modeling'!$D:$D,'Attrition Modeling'!$C:$C,$D130,'Attrition Modeling'!$B:$B,BG$76),VLOOKUP($F130+BG$77,$A$7:$C$107,2,FALSE)*VLOOKUP(BG$76,'Attrition Modeling'!$L$15:$N$27,IF(BG$77+$F130&lt;=24,2,3),FALSE)),$C$3)*(1+IF('IP Attrition'!BG187&gt;0,'Attrition Modeling'!$N$9,0)))</f>
        <v>0</v>
      </c>
      <c r="BH130" s="799">
        <f>BG130*(1-IFERROR(IF(BH$77+$F130&lt;=12,SUMIFS('Attrition Modeling'!$D:$D,'Attrition Modeling'!$C:$C,$D130,'Attrition Modeling'!$B:$B,BH$76),VLOOKUP($F130+BH$77,$A$7:$C$107,2,FALSE)*VLOOKUP(BH$76,'Attrition Modeling'!$L$15:$N$27,IF(BH$77+$F130&lt;=24,2,3),FALSE)),$C$3)*(1+IF('IP Attrition'!BH187&gt;0,'Attrition Modeling'!$N$9,0)))</f>
        <v>0</v>
      </c>
      <c r="BI130" s="799">
        <f>BH130*(1-IFERROR(IF(BI$77+$F130&lt;=12,SUMIFS('Attrition Modeling'!$D:$D,'Attrition Modeling'!$C:$C,$D130,'Attrition Modeling'!$B:$B,BI$76),VLOOKUP($F130+BI$77,$A$7:$C$107,2,FALSE)*VLOOKUP(BI$76,'Attrition Modeling'!$L$15:$N$27,IF(BI$77+$F130&lt;=24,2,3),FALSE)),$C$3)*(1+IF('IP Attrition'!BI187&gt;0,'Attrition Modeling'!$N$9,0)))</f>
        <v>0</v>
      </c>
      <c r="BJ130" s="799">
        <f>BI130*(1-IFERROR(IF(BJ$77+$F130&lt;=12,SUMIFS('Attrition Modeling'!$D:$D,'Attrition Modeling'!$C:$C,$D130,'Attrition Modeling'!$B:$B,BJ$76),VLOOKUP($F130+BJ$77,$A$7:$C$107,2,FALSE)*VLOOKUP(BJ$76,'Attrition Modeling'!$L$15:$N$27,IF(BJ$77+$F130&lt;=24,2,3),FALSE)),$C$3)*(1+IF('IP Attrition'!BJ187&gt;0,'Attrition Modeling'!$N$9,0)))</f>
        <v>0</v>
      </c>
      <c r="BK130" s="799">
        <f>BJ130*(1-IFERROR(IF(BK$77+$F130&lt;=12,SUMIFS('Attrition Modeling'!$D:$D,'Attrition Modeling'!$C:$C,$D130,'Attrition Modeling'!$B:$B,BK$76),VLOOKUP($F130+BK$77,$A$7:$C$107,2,FALSE)*VLOOKUP(BK$76,'Attrition Modeling'!$L$15:$N$27,IF(BK$77+$F130&lt;=24,2,3),FALSE)),$C$3)*(1+IF('IP Attrition'!BK187&gt;0,'Attrition Modeling'!$N$9,0)))</f>
        <v>0</v>
      </c>
      <c r="BL130" s="799">
        <f>BK130*(1-IFERROR(IF(BL$77+$F130&lt;=12,SUMIFS('Attrition Modeling'!$D:$D,'Attrition Modeling'!$C:$C,$D130,'Attrition Modeling'!$B:$B,BL$76),VLOOKUP($F130+BL$77,$A$7:$C$107,2,FALSE)*VLOOKUP(BL$76,'Attrition Modeling'!$L$15:$N$27,IF(BL$77+$F130&lt;=24,2,3),FALSE)),$C$3)*(1+IF('IP Attrition'!BL187&gt;0,'Attrition Modeling'!$N$9,0)))</f>
        <v>0</v>
      </c>
      <c r="BM130" s="799">
        <f>BL130*(1-IFERROR(IF(BM$77+$F130&lt;=12,SUMIFS('Attrition Modeling'!$D:$D,'Attrition Modeling'!$C:$C,$D130,'Attrition Modeling'!$B:$B,BM$76),VLOOKUP($F130+BM$77,$A$7:$C$107,2,FALSE)*VLOOKUP(BM$76,'Attrition Modeling'!$L$15:$N$27,IF(BM$77+$F130&lt;=24,2,3),FALSE)),$C$3)*(1+IF('IP Attrition'!BM187&gt;0,'Attrition Modeling'!$N$9,0)))</f>
        <v>0</v>
      </c>
      <c r="BN130" s="799">
        <f>BM130*(1-IFERROR(IF(BN$77+$F130&lt;=12,SUMIFS('Attrition Modeling'!$D:$D,'Attrition Modeling'!$C:$C,$D130,'Attrition Modeling'!$B:$B,BN$76),VLOOKUP($F130+BN$77,$A$7:$C$107,2,FALSE)*VLOOKUP(BN$76,'Attrition Modeling'!$L$15:$N$27,IF(BN$77+$F130&lt;=24,2,3),FALSE)),$C$3)*(1+IF('IP Attrition'!BN187&gt;0,'Attrition Modeling'!$N$9,0)))</f>
        <v>0</v>
      </c>
      <c r="BO130" s="799">
        <f>BN130*(1-IFERROR(IF(BO$77+$F130&lt;=12,SUMIFS('Attrition Modeling'!$D:$D,'Attrition Modeling'!$C:$C,$D130,'Attrition Modeling'!$B:$B,BO$76),VLOOKUP($F130+BO$77,$A$7:$C$107,2,FALSE)*VLOOKUP(BO$76,'Attrition Modeling'!$L$15:$N$27,IF(BO$77+$F130&lt;=24,2,3),FALSE)),$C$3)*(1+IF('IP Attrition'!BO187&gt;0,'Attrition Modeling'!$N$9,0)))</f>
        <v>0</v>
      </c>
      <c r="BP130" s="799">
        <f>BO130*(1-IFERROR(IF(BP$77+$F130&lt;=12,SUMIFS('Attrition Modeling'!$D:$D,'Attrition Modeling'!$C:$C,$D130,'Attrition Modeling'!$B:$B,BP$76),VLOOKUP($F130+BP$77,$A$7:$C$107,2,FALSE)*VLOOKUP(BP$76,'Attrition Modeling'!$L$15:$N$27,IF(BP$77+$F130&lt;=24,2,3),FALSE)),$C$3)*(1+IF('IP Attrition'!BP187&gt;0,'Attrition Modeling'!$N$9,0)))</f>
        <v>0</v>
      </c>
      <c r="BQ130" s="799">
        <f>BP130*(1-IFERROR(IF(BQ$77+$F130&lt;=12,SUMIFS('Attrition Modeling'!$D:$D,'Attrition Modeling'!$C:$C,$D130,'Attrition Modeling'!$B:$B,BQ$76),VLOOKUP($F130+BQ$77,$A$7:$C$107,2,FALSE)*VLOOKUP(BQ$76,'Attrition Modeling'!$L$15:$N$27,IF(BQ$77+$F130&lt;=24,2,3),FALSE)),$C$3)*(1+IF('IP Attrition'!BQ187&gt;0,'Attrition Modeling'!$N$9,0)))</f>
        <v>0</v>
      </c>
      <c r="BR130" s="799">
        <f>BQ130*(1-IFERROR(IF(BR$77+$F130&lt;=12,SUMIFS('Attrition Modeling'!$D:$D,'Attrition Modeling'!$C:$C,$D130,'Attrition Modeling'!$B:$B,BR$76),VLOOKUP($F130+BR$77,$A$7:$C$107,2,FALSE)*VLOOKUP(BR$76,'Attrition Modeling'!$L$15:$N$27,IF(BR$77+$F130&lt;=24,2,3),FALSE)),$C$3)*(1+IF('IP Attrition'!BR187&gt;0,'Attrition Modeling'!$N$9,0)))</f>
        <v>0</v>
      </c>
      <c r="BS130" s="799">
        <f>BR130*(1-IFERROR(IF(BS$77+$F130&lt;=12,SUMIFS('Attrition Modeling'!$D:$D,'Attrition Modeling'!$C:$C,$D130,'Attrition Modeling'!$B:$B,BS$76),VLOOKUP($F130+BS$77,$A$7:$C$107,2,FALSE)*VLOOKUP(BS$76,'Attrition Modeling'!$L$15:$N$27,IF(BS$77+$F130&lt;=24,2,3),FALSE)),$C$3)*(1+IF('IP Attrition'!BS187&gt;0,'Attrition Modeling'!$N$9,0)))</f>
        <v>0</v>
      </c>
      <c r="BT130" s="799" t="e">
        <f>BS130*(1-IFERROR(IF(BT$77+$F130&lt;=12,SUMIFS('Attrition Modeling'!$D:$D,'Attrition Modeling'!$C:$C,$D130,'Attrition Modeling'!$B:$B,BT$76),VLOOKUP($F130+BT$77,$A$7:$C$107,2,FALSE)*VLOOKUP(BT$76,'Attrition Modeling'!$L$15:$N$27,IF(BT$77+$F130&lt;=24,2,3),FALSE)),$C$3)*(1+IF('IP Attrition'!BT187&gt;0,'Attrition Modeling'!$N$9,0)))</f>
        <v>#REF!</v>
      </c>
      <c r="BU130" s="799" t="e">
        <f>BT130*(1-IFERROR(IF(BU$77+$F130&lt;=12,SUMIFS('Attrition Modeling'!$D:$D,'Attrition Modeling'!$C:$C,$D130,'Attrition Modeling'!$B:$B,BU$76),VLOOKUP($F130+BU$77,$A$7:$C$107,2,FALSE)*VLOOKUP(BU$76,'Attrition Modeling'!$L$15:$N$27,IF(BU$77+$F130&lt;=24,2,3),FALSE)),$C$3)*(1+IF('IP Attrition'!BU187&gt;0,'Attrition Modeling'!$N$9,0)))</f>
        <v>#REF!</v>
      </c>
    </row>
    <row r="131" spans="1:73" ht="14.25" customHeight="1" x14ac:dyDescent="0.2">
      <c r="A131" s="9">
        <v>123</v>
      </c>
      <c r="B131" s="25">
        <f>MAX('Attrition Modeling'!H127,$C$3)*(1-Summary!$C$20)</f>
        <v>0.02</v>
      </c>
      <c r="C131" s="24" t="e">
        <f t="shared" si="2"/>
        <v>#DIV/0!</v>
      </c>
      <c r="D131" s="11">
        <f>'IP Attrition'!D123</f>
        <v>-53</v>
      </c>
      <c r="E131" s="25">
        <f>'IP Attrition'!E123</f>
        <v>0</v>
      </c>
      <c r="F131" s="11">
        <f t="shared" si="8"/>
        <v>53</v>
      </c>
      <c r="G131" s="799">
        <f>Summary!$C$24*$E131</f>
        <v>0</v>
      </c>
      <c r="H131" s="799">
        <f>G131*(1-IFERROR(IF(H$77+$F131&lt;=12,SUMIFS('Attrition Modeling'!$D:$D,'Attrition Modeling'!$C:$C,$D131,'Attrition Modeling'!$B:$B,H$76),VLOOKUP($F131+H$77,$A$7:$C$107,2,FALSE)*VLOOKUP(H$76,'Attrition Modeling'!$L$15:$N$27,IF(H$77+$F131&lt;=24,2,3),FALSE)),$C$3)*(1+IF('IP Attrition'!H188&gt;0,'Attrition Modeling'!$N$9,0)))</f>
        <v>0</v>
      </c>
      <c r="I131" s="799">
        <f>H131*(1-IFERROR(IF(I$77+$F131&lt;=12,SUMIFS('Attrition Modeling'!$D:$D,'Attrition Modeling'!$C:$C,$D131,'Attrition Modeling'!$B:$B,I$76),VLOOKUP($F131+I$77,$A$7:$C$107,2,FALSE)*VLOOKUP(I$76,'Attrition Modeling'!$L$15:$N$27,IF(I$77+$F131&lt;=24,2,3),FALSE)),$C$3)*(1+IF('IP Attrition'!I188&gt;0,'Attrition Modeling'!$N$9,0)))</f>
        <v>0</v>
      </c>
      <c r="J131" s="799">
        <f>I131*(1-IFERROR(IF(J$77+$F131&lt;=12,SUMIFS('Attrition Modeling'!$D:$D,'Attrition Modeling'!$C:$C,$D131,'Attrition Modeling'!$B:$B,J$76),VLOOKUP($F131+J$77,$A$7:$C$107,2,FALSE)*VLOOKUP(J$76,'Attrition Modeling'!$L$15:$N$27,IF(J$77+$F131&lt;=24,2,3),FALSE)),$C$3)*(1+IF('IP Attrition'!J188&gt;0,'Attrition Modeling'!$N$9,0)))</f>
        <v>0</v>
      </c>
      <c r="K131" s="799">
        <f>J131*(1-IFERROR(IF(K$77+$F131&lt;=12,SUMIFS('Attrition Modeling'!$D:$D,'Attrition Modeling'!$C:$C,$D131,'Attrition Modeling'!$B:$B,K$76),VLOOKUP($F131+K$77,$A$7:$C$107,2,FALSE)*VLOOKUP(K$76,'Attrition Modeling'!$L$15:$N$27,IF(K$77+$F131&lt;=24,2,3),FALSE)),$C$3)*(1+IF('IP Attrition'!K188&gt;0,'Attrition Modeling'!$N$9,0)))</f>
        <v>0</v>
      </c>
      <c r="L131" s="799">
        <f>K131*(1-IFERROR(IF(L$77+$F131&lt;=12,SUMIFS('Attrition Modeling'!$D:$D,'Attrition Modeling'!$C:$C,$D131,'Attrition Modeling'!$B:$B,L$76),VLOOKUP($F131+L$77,$A$7:$C$107,2,FALSE)*VLOOKUP(L$76,'Attrition Modeling'!$L$15:$N$27,IF(L$77+$F131&lt;=24,2,3),FALSE)),$C$3)*(1+IF('IP Attrition'!L188&gt;0,'Attrition Modeling'!$N$9,0)))</f>
        <v>0</v>
      </c>
      <c r="M131" s="799">
        <f>L131*(1-IFERROR(IF(M$77+$F131&lt;=12,SUMIFS('Attrition Modeling'!$D:$D,'Attrition Modeling'!$C:$C,$D131,'Attrition Modeling'!$B:$B,M$76),VLOOKUP($F131+M$77,$A$7:$C$107,2,FALSE)*VLOOKUP(M$76,'Attrition Modeling'!$L$15:$N$27,IF(M$77+$F131&lt;=24,2,3),FALSE)),$C$3)*(1+IF('IP Attrition'!M188&gt;0,'Attrition Modeling'!$N$9,0)))</f>
        <v>0</v>
      </c>
      <c r="N131" s="799">
        <f>M131*(1-IFERROR(IF(N$77+$F131&lt;=12,SUMIFS('Attrition Modeling'!$D:$D,'Attrition Modeling'!$C:$C,$D131,'Attrition Modeling'!$B:$B,N$76),VLOOKUP($F131+N$77,$A$7:$C$107,2,FALSE)*VLOOKUP(N$76,'Attrition Modeling'!$L$15:$N$27,IF(N$77+$F131&lt;=24,2,3),FALSE)),$C$3)*(1+IF('IP Attrition'!N188&gt;0,'Attrition Modeling'!$N$9,0)))</f>
        <v>0</v>
      </c>
      <c r="O131" s="799">
        <f>N131*(1-IFERROR(IF(O$77+$F131&lt;=12,SUMIFS('Attrition Modeling'!$D:$D,'Attrition Modeling'!$C:$C,$D131,'Attrition Modeling'!$B:$B,O$76),VLOOKUP($F131+O$77,$A$7:$C$107,2,FALSE)*VLOOKUP(O$76,'Attrition Modeling'!$L$15:$N$27,IF(O$77+$F131&lt;=24,2,3),FALSE)),$C$3)*(1+IF('IP Attrition'!O188&gt;0,'Attrition Modeling'!$N$9,0)))</f>
        <v>0</v>
      </c>
      <c r="P131" s="799">
        <f>O131*(1-IFERROR(IF(P$77+$F131&lt;=12,SUMIFS('Attrition Modeling'!$D:$D,'Attrition Modeling'!$C:$C,$D131,'Attrition Modeling'!$B:$B,P$76),VLOOKUP($F131+P$77,$A$7:$C$107,2,FALSE)*VLOOKUP(P$76,'Attrition Modeling'!$L$15:$N$27,IF(P$77+$F131&lt;=24,2,3),FALSE)),$C$3)*(1+IF('IP Attrition'!P188&gt;0,'Attrition Modeling'!$N$9,0)))</f>
        <v>0</v>
      </c>
      <c r="Q131" s="799">
        <f>P131*(1-IFERROR(IF(Q$77+$F131&lt;=12,SUMIFS('Attrition Modeling'!$D:$D,'Attrition Modeling'!$C:$C,$D131,'Attrition Modeling'!$B:$B,Q$76),VLOOKUP($F131+Q$77,$A$7:$C$107,2,FALSE)*VLOOKUP(Q$76,'Attrition Modeling'!$L$15:$N$27,IF(Q$77+$F131&lt;=24,2,3),FALSE)),$C$3)*(1+IF('IP Attrition'!Q188&gt;0,'Attrition Modeling'!$N$9,0)))</f>
        <v>0</v>
      </c>
      <c r="R131" s="799">
        <f>Q131*(1-IFERROR(IF(R$77+$F131&lt;=12,SUMIFS('Attrition Modeling'!$D:$D,'Attrition Modeling'!$C:$C,$D131,'Attrition Modeling'!$B:$B,R$76),VLOOKUP($F131+R$77,$A$7:$C$107,2,FALSE)*VLOOKUP(R$76,'Attrition Modeling'!$L$15:$N$27,IF(R$77+$F131&lt;=24,2,3),FALSE)),$C$3)*(1+IF('IP Attrition'!R188&gt;0,'Attrition Modeling'!$N$9,0)))</f>
        <v>0</v>
      </c>
      <c r="S131" s="799">
        <f>R131*(1-IFERROR(IF(S$77+$F131&lt;=12,SUMIFS('Attrition Modeling'!$D:$D,'Attrition Modeling'!$C:$C,$D131,'Attrition Modeling'!$B:$B,S$76),VLOOKUP($F131+S$77,$A$7:$C$107,2,FALSE)*VLOOKUP(S$76,'Attrition Modeling'!$L$15:$N$27,IF(S$77+$F131&lt;=24,2,3),FALSE)),$C$3)*(1+IF('IP Attrition'!S188&gt;0,'Attrition Modeling'!$N$9,0)))</f>
        <v>0</v>
      </c>
      <c r="T131" s="799">
        <f>S131*(1-IFERROR(IF(T$77+$F131&lt;=12,SUMIFS('Attrition Modeling'!$D:$D,'Attrition Modeling'!$C:$C,$D131,'Attrition Modeling'!$B:$B,T$76),VLOOKUP($F131+T$77,$A$7:$C$107,2,FALSE)*VLOOKUP(T$76,'Attrition Modeling'!$L$15:$N$27,IF(T$77+$F131&lt;=24,2,3),FALSE)),$C$3)*(1+IF('IP Attrition'!T188&gt;0,'Attrition Modeling'!$N$9,0)))</f>
        <v>0</v>
      </c>
      <c r="U131" s="799">
        <f>T131*(1-IFERROR(IF(U$77+$F131&lt;=12,SUMIFS('Attrition Modeling'!$D:$D,'Attrition Modeling'!$C:$C,$D131,'Attrition Modeling'!$B:$B,U$76),VLOOKUP($F131+U$77,$A$7:$C$107,2,FALSE)*VLOOKUP(U$76,'Attrition Modeling'!$L$15:$N$27,IF(U$77+$F131&lt;=24,2,3),FALSE)),$C$3)*(1+IF('IP Attrition'!U188&gt;0,'Attrition Modeling'!$N$9,0)))</f>
        <v>0</v>
      </c>
      <c r="V131" s="799">
        <f>U131*(1-IFERROR(IF(V$77+$F131&lt;=12,SUMIFS('Attrition Modeling'!$D:$D,'Attrition Modeling'!$C:$C,$D131,'Attrition Modeling'!$B:$B,V$76),VLOOKUP($F131+V$77,$A$7:$C$107,2,FALSE)*VLOOKUP(V$76,'Attrition Modeling'!$L$15:$N$27,IF(V$77+$F131&lt;=24,2,3),FALSE)),$C$3)*(1+IF('IP Attrition'!V188&gt;0,'Attrition Modeling'!$N$9,0)))</f>
        <v>0</v>
      </c>
      <c r="W131" s="799">
        <f>V131*(1-IFERROR(IF(W$77+$F131&lt;=12,SUMIFS('Attrition Modeling'!$D:$D,'Attrition Modeling'!$C:$C,$D131,'Attrition Modeling'!$B:$B,W$76),VLOOKUP($F131+W$77,$A$7:$C$107,2,FALSE)*VLOOKUP(W$76,'Attrition Modeling'!$L$15:$N$27,IF(W$77+$F131&lt;=24,2,3),FALSE)),$C$3)*(1+IF('IP Attrition'!W188&gt;0,'Attrition Modeling'!$N$9,0)))</f>
        <v>0</v>
      </c>
      <c r="X131" s="799">
        <f>W131*(1-IFERROR(IF(X$77+$F131&lt;=12,SUMIFS('Attrition Modeling'!$D:$D,'Attrition Modeling'!$C:$C,$D131,'Attrition Modeling'!$B:$B,X$76),VLOOKUP($F131+X$77,$A$7:$C$107,2,FALSE)*VLOOKUP(X$76,'Attrition Modeling'!$L$15:$N$27,IF(X$77+$F131&lt;=24,2,3),FALSE)),$C$3)*(1+IF('IP Attrition'!X188&gt;0,'Attrition Modeling'!$N$9,0)))</f>
        <v>0</v>
      </c>
      <c r="Y131" s="799">
        <f>X131*(1-IFERROR(IF(Y$77+$F131&lt;=12,SUMIFS('Attrition Modeling'!$D:$D,'Attrition Modeling'!$C:$C,$D131,'Attrition Modeling'!$B:$B,Y$76),VLOOKUP($F131+Y$77,$A$7:$C$107,2,FALSE)*VLOOKUP(Y$76,'Attrition Modeling'!$L$15:$N$27,IF(Y$77+$F131&lt;=24,2,3),FALSE)),$C$3)*(1+IF('IP Attrition'!Y188&gt;0,'Attrition Modeling'!$N$9,0)))</f>
        <v>0</v>
      </c>
      <c r="Z131" s="799">
        <f>Y131*(1-IFERROR(IF(Z$77+$F131&lt;=12,SUMIFS('Attrition Modeling'!$D:$D,'Attrition Modeling'!$C:$C,$D131,'Attrition Modeling'!$B:$B,Z$76),VLOOKUP($F131+Z$77,$A$7:$C$107,2,FALSE)*VLOOKUP(Z$76,'Attrition Modeling'!$L$15:$N$27,IF(Z$77+$F131&lt;=24,2,3),FALSE)),$C$3)*(1+IF('IP Attrition'!Z188&gt;0,'Attrition Modeling'!$N$9,0)))</f>
        <v>0</v>
      </c>
      <c r="AA131" s="799">
        <f>Z131*(1-IFERROR(IF(AA$77+$F131&lt;=12,SUMIFS('Attrition Modeling'!$D:$D,'Attrition Modeling'!$C:$C,$D131,'Attrition Modeling'!$B:$B,AA$76),VLOOKUP($F131+AA$77,$A$7:$C$107,2,FALSE)*VLOOKUP(AA$76,'Attrition Modeling'!$L$15:$N$27,IF(AA$77+$F131&lt;=24,2,3),FALSE)),$C$3)*(1+IF('IP Attrition'!AA188&gt;0,'Attrition Modeling'!$N$9,0)))</f>
        <v>0</v>
      </c>
      <c r="AB131" s="799">
        <f>AA131*(1-IFERROR(IF(AB$77+$F131&lt;=12,SUMIFS('Attrition Modeling'!$D:$D,'Attrition Modeling'!$C:$C,$D131,'Attrition Modeling'!$B:$B,AB$76),VLOOKUP($F131+AB$77,$A$7:$C$107,2,FALSE)*VLOOKUP(AB$76,'Attrition Modeling'!$L$15:$N$27,IF(AB$77+$F131&lt;=24,2,3),FALSE)),$C$3)*(1+IF('IP Attrition'!AB188&gt;0,'Attrition Modeling'!$N$9,0)))</f>
        <v>0</v>
      </c>
      <c r="AC131" s="799">
        <f>AB131*(1-IFERROR(IF(AC$77+$F131&lt;=12,SUMIFS('Attrition Modeling'!$D:$D,'Attrition Modeling'!$C:$C,$D131,'Attrition Modeling'!$B:$B,AC$76),VLOOKUP($F131+AC$77,$A$7:$C$107,2,FALSE)*VLOOKUP(AC$76,'Attrition Modeling'!$L$15:$N$27,IF(AC$77+$F131&lt;=24,2,3),FALSE)),$C$3)*(1+IF('IP Attrition'!AC188&gt;0,'Attrition Modeling'!$N$9,0)))</f>
        <v>0</v>
      </c>
      <c r="AD131" s="799">
        <f>AC131*(1-IFERROR(IF(AD$77+$F131&lt;=12,SUMIFS('Attrition Modeling'!$D:$D,'Attrition Modeling'!$C:$C,$D131,'Attrition Modeling'!$B:$B,AD$76),VLOOKUP($F131+AD$77,$A$7:$C$107,2,FALSE)*VLOOKUP(AD$76,'Attrition Modeling'!$L$15:$N$27,IF(AD$77+$F131&lt;=24,2,3),FALSE)),$C$3)*(1+IF('IP Attrition'!AD188&gt;0,'Attrition Modeling'!$N$9,0)))</f>
        <v>0</v>
      </c>
      <c r="AE131" s="799">
        <f>AD131*(1-IFERROR(IF(AE$77+$F131&lt;=12,SUMIFS('Attrition Modeling'!$D:$D,'Attrition Modeling'!$C:$C,$D131,'Attrition Modeling'!$B:$B,AE$76),VLOOKUP($F131+AE$77,$A$7:$C$107,2,FALSE)*VLOOKUP(AE$76,'Attrition Modeling'!$L$15:$N$27,IF(AE$77+$F131&lt;=24,2,3),FALSE)),$C$3)*(1+IF('IP Attrition'!AE188&gt;0,'Attrition Modeling'!$N$9,0)))</f>
        <v>0</v>
      </c>
      <c r="AF131" s="799">
        <f>AE131*(1-IFERROR(IF(AF$77+$F131&lt;=12,SUMIFS('Attrition Modeling'!$D:$D,'Attrition Modeling'!$C:$C,$D131,'Attrition Modeling'!$B:$B,AF$76),VLOOKUP($F131+AF$77,$A$7:$C$107,2,FALSE)*VLOOKUP(AF$76,'Attrition Modeling'!$L$15:$N$27,IF(AF$77+$F131&lt;=24,2,3),FALSE)),$C$3)*(1+IF('IP Attrition'!AF188&gt;0,'Attrition Modeling'!$N$9,0)))</f>
        <v>0</v>
      </c>
      <c r="AG131" s="799">
        <f>AF131*(1-IFERROR(IF(AG$77+$F131&lt;=12,SUMIFS('Attrition Modeling'!$D:$D,'Attrition Modeling'!$C:$C,$D131,'Attrition Modeling'!$B:$B,AG$76),VLOOKUP($F131+AG$77,$A$7:$C$107,2,FALSE)*VLOOKUP(AG$76,'Attrition Modeling'!$L$15:$N$27,IF(AG$77+$F131&lt;=24,2,3),FALSE)),$C$3)*(1+IF('IP Attrition'!AG188&gt;0,'Attrition Modeling'!$N$9,0)))</f>
        <v>0</v>
      </c>
      <c r="AH131" s="799">
        <f>AG131*(1-IFERROR(IF(AH$77+$F131&lt;=12,SUMIFS('Attrition Modeling'!$D:$D,'Attrition Modeling'!$C:$C,$D131,'Attrition Modeling'!$B:$B,AH$76),VLOOKUP($F131+AH$77,$A$7:$C$107,2,FALSE)*VLOOKUP(AH$76,'Attrition Modeling'!$L$15:$N$27,IF(AH$77+$F131&lt;=24,2,3),FALSE)),$C$3)*(1+IF('IP Attrition'!AH188&gt;0,'Attrition Modeling'!$N$9,0)))</f>
        <v>0</v>
      </c>
      <c r="AI131" s="799">
        <f>AH131*(1-IFERROR(IF(AI$77+$F131&lt;=12,SUMIFS('Attrition Modeling'!$D:$D,'Attrition Modeling'!$C:$C,$D131,'Attrition Modeling'!$B:$B,AI$76),VLOOKUP($F131+AI$77,$A$7:$C$107,2,FALSE)*VLOOKUP(AI$76,'Attrition Modeling'!$L$15:$N$27,IF(AI$77+$F131&lt;=24,2,3),FALSE)),$C$3)*(1+IF('IP Attrition'!AI188&gt;0,'Attrition Modeling'!$N$9,0)))</f>
        <v>0</v>
      </c>
      <c r="AJ131" s="799">
        <f>AI131*(1-IFERROR(IF(AJ$77+$F131&lt;=12,SUMIFS('Attrition Modeling'!$D:$D,'Attrition Modeling'!$C:$C,$D131,'Attrition Modeling'!$B:$B,AJ$76),VLOOKUP($F131+AJ$77,$A$7:$C$107,2,FALSE)*VLOOKUP(AJ$76,'Attrition Modeling'!$L$15:$N$27,IF(AJ$77+$F131&lt;=24,2,3),FALSE)),$C$3)*(1+IF('IP Attrition'!AJ188&gt;0,'Attrition Modeling'!$N$9,0)))</f>
        <v>0</v>
      </c>
      <c r="AK131" s="799">
        <f>AJ131*(1-IFERROR(IF(AK$77+$F131&lt;=12,SUMIFS('Attrition Modeling'!$D:$D,'Attrition Modeling'!$C:$C,$D131,'Attrition Modeling'!$B:$B,AK$76),VLOOKUP($F131+AK$77,$A$7:$C$107,2,FALSE)*VLOOKUP(AK$76,'Attrition Modeling'!$L$15:$N$27,IF(AK$77+$F131&lt;=24,2,3),FALSE)),$C$3)*(1+IF('IP Attrition'!AK188&gt;0,'Attrition Modeling'!$N$9,0)))</f>
        <v>0</v>
      </c>
      <c r="AL131" s="799">
        <f>AK131*(1-IFERROR(IF(AL$77+$F131&lt;=12,SUMIFS('Attrition Modeling'!$D:$D,'Attrition Modeling'!$C:$C,$D131,'Attrition Modeling'!$B:$B,AL$76),VLOOKUP($F131+AL$77,$A$7:$C$107,2,FALSE)*VLOOKUP(AL$76,'Attrition Modeling'!$L$15:$N$27,IF(AL$77+$F131&lt;=24,2,3),FALSE)),$C$3)*(1+IF('IP Attrition'!AL188&gt;0,'Attrition Modeling'!$N$9,0)))</f>
        <v>0</v>
      </c>
      <c r="AM131" s="799">
        <f>AL131*(1-IFERROR(IF(AM$77+$F131&lt;=12,SUMIFS('Attrition Modeling'!$D:$D,'Attrition Modeling'!$C:$C,$D131,'Attrition Modeling'!$B:$B,AM$76),VLOOKUP($F131+AM$77,$A$7:$C$107,2,FALSE)*VLOOKUP(AM$76,'Attrition Modeling'!$L$15:$N$27,IF(AM$77+$F131&lt;=24,2,3),FALSE)),$C$3)*(1+IF('IP Attrition'!AM188&gt;0,'Attrition Modeling'!$N$9,0)))</f>
        <v>0</v>
      </c>
      <c r="AN131" s="799">
        <f>AM131*(1-IFERROR(IF(AN$77+$F131&lt;=12,SUMIFS('Attrition Modeling'!$D:$D,'Attrition Modeling'!$C:$C,$D131,'Attrition Modeling'!$B:$B,AN$76),VLOOKUP($F131+AN$77,$A$7:$C$107,2,FALSE)*VLOOKUP(AN$76,'Attrition Modeling'!$L$15:$N$27,IF(AN$77+$F131&lt;=24,2,3),FALSE)),$C$3)*(1+IF('IP Attrition'!AN188&gt;0,'Attrition Modeling'!$N$9,0)))</f>
        <v>0</v>
      </c>
      <c r="AO131" s="799">
        <f>AN131*(1-IFERROR(IF(AO$77+$F131&lt;=12,SUMIFS('Attrition Modeling'!$D:$D,'Attrition Modeling'!$C:$C,$D131,'Attrition Modeling'!$B:$B,AO$76),VLOOKUP($F131+AO$77,$A$7:$C$107,2,FALSE)*VLOOKUP(AO$76,'Attrition Modeling'!$L$15:$N$27,IF(AO$77+$F131&lt;=24,2,3),FALSE)),$C$3)*(1+IF('IP Attrition'!AO188&gt;0,'Attrition Modeling'!$N$9,0)))</f>
        <v>0</v>
      </c>
      <c r="AP131" s="799">
        <f>AO131*(1-IFERROR(IF(AP$77+$F131&lt;=12,SUMIFS('Attrition Modeling'!$D:$D,'Attrition Modeling'!$C:$C,$D131,'Attrition Modeling'!$B:$B,AP$76),VLOOKUP($F131+AP$77,$A$7:$C$107,2,FALSE)*VLOOKUP(AP$76,'Attrition Modeling'!$L$15:$N$27,IF(AP$77+$F131&lt;=24,2,3),FALSE)),$C$3)*(1+IF('IP Attrition'!AP188&gt;0,'Attrition Modeling'!$N$9,0)))</f>
        <v>0</v>
      </c>
      <c r="AQ131" s="799">
        <f>AP131*(1-IFERROR(IF(AQ$77+$F131&lt;=12,SUMIFS('Attrition Modeling'!$D:$D,'Attrition Modeling'!$C:$C,$D131,'Attrition Modeling'!$B:$B,AQ$76),VLOOKUP($F131+AQ$77,$A$7:$C$107,2,FALSE)*VLOOKUP(AQ$76,'Attrition Modeling'!$L$15:$N$27,IF(AQ$77+$F131&lt;=24,2,3),FALSE)),$C$3)*(1+IF('IP Attrition'!AQ188&gt;0,'Attrition Modeling'!$N$9,0)))</f>
        <v>0</v>
      </c>
      <c r="AR131" s="799">
        <f>AQ131*(1-IFERROR(IF(AR$77+$F131&lt;=12,SUMIFS('Attrition Modeling'!$D:$D,'Attrition Modeling'!$C:$C,$D131,'Attrition Modeling'!$B:$B,AR$76),VLOOKUP($F131+AR$77,$A$7:$C$107,2,FALSE)*VLOOKUP(AR$76,'Attrition Modeling'!$L$15:$N$27,IF(AR$77+$F131&lt;=24,2,3),FALSE)),$C$3)*(1+IF('IP Attrition'!AR188&gt;0,'Attrition Modeling'!$N$9,0)))</f>
        <v>0</v>
      </c>
      <c r="AS131" s="799">
        <f>AR131*(1-IFERROR(IF(AS$77+$F131&lt;=12,SUMIFS('Attrition Modeling'!$D:$D,'Attrition Modeling'!$C:$C,$D131,'Attrition Modeling'!$B:$B,AS$76),VLOOKUP($F131+AS$77,$A$7:$C$107,2,FALSE)*VLOOKUP(AS$76,'Attrition Modeling'!$L$15:$N$27,IF(AS$77+$F131&lt;=24,2,3),FALSE)),$C$3)*(1+IF('IP Attrition'!AS188&gt;0,'Attrition Modeling'!$N$9,0)))</f>
        <v>0</v>
      </c>
      <c r="AT131" s="799">
        <f>AS131*(1-IFERROR(IF(AT$77+$F131&lt;=12,SUMIFS('Attrition Modeling'!$D:$D,'Attrition Modeling'!$C:$C,$D131,'Attrition Modeling'!$B:$B,AT$76),VLOOKUP($F131+AT$77,$A$7:$C$107,2,FALSE)*VLOOKUP(AT$76,'Attrition Modeling'!$L$15:$N$27,IF(AT$77+$F131&lt;=24,2,3),FALSE)),$C$3)*(1+IF('IP Attrition'!AT188&gt;0,'Attrition Modeling'!$N$9,0)))</f>
        <v>0</v>
      </c>
      <c r="AU131" s="799">
        <f>AT131*(1-IFERROR(IF(AU$77+$F131&lt;=12,SUMIFS('Attrition Modeling'!$D:$D,'Attrition Modeling'!$C:$C,$D131,'Attrition Modeling'!$B:$B,AU$76),VLOOKUP($F131+AU$77,$A$7:$C$107,2,FALSE)*VLOOKUP(AU$76,'Attrition Modeling'!$L$15:$N$27,IF(AU$77+$F131&lt;=24,2,3),FALSE)),$C$3)*(1+IF('IP Attrition'!AU188&gt;0,'Attrition Modeling'!$N$9,0)))</f>
        <v>0</v>
      </c>
      <c r="AV131" s="799">
        <f>AU131*(1-IFERROR(IF(AV$77+$F131&lt;=12,SUMIFS('Attrition Modeling'!$D:$D,'Attrition Modeling'!$C:$C,$D131,'Attrition Modeling'!$B:$B,AV$76),VLOOKUP($F131+AV$77,$A$7:$C$107,2,FALSE)*VLOOKUP(AV$76,'Attrition Modeling'!$L$15:$N$27,IF(AV$77+$F131&lt;=24,2,3),FALSE)),$C$3)*(1+IF('IP Attrition'!AV188&gt;0,'Attrition Modeling'!$N$9,0)))</f>
        <v>0</v>
      </c>
      <c r="AW131" s="799">
        <f>AV131*(1-IFERROR(IF(AW$77+$F131&lt;=12,SUMIFS('Attrition Modeling'!$D:$D,'Attrition Modeling'!$C:$C,$D131,'Attrition Modeling'!$B:$B,AW$76),VLOOKUP($F131+AW$77,$A$7:$C$107,2,FALSE)*VLOOKUP(AW$76,'Attrition Modeling'!$L$15:$N$27,IF(AW$77+$F131&lt;=24,2,3),FALSE)),$C$3)*(1+IF('IP Attrition'!AW188&gt;0,'Attrition Modeling'!$N$9,0)))</f>
        <v>0</v>
      </c>
      <c r="AX131" s="799">
        <f>AW131*(1-IFERROR(IF(AX$77+$F131&lt;=12,SUMIFS('Attrition Modeling'!$D:$D,'Attrition Modeling'!$C:$C,$D131,'Attrition Modeling'!$B:$B,AX$76),VLOOKUP($F131+AX$77,$A$7:$C$107,2,FALSE)*VLOOKUP(AX$76,'Attrition Modeling'!$L$15:$N$27,IF(AX$77+$F131&lt;=24,2,3),FALSE)),$C$3)*(1+IF('IP Attrition'!AX188&gt;0,'Attrition Modeling'!$N$9,0)))</f>
        <v>0</v>
      </c>
      <c r="AY131" s="799">
        <f>AX131*(1-IFERROR(IF(AY$77+$F131&lt;=12,SUMIFS('Attrition Modeling'!$D:$D,'Attrition Modeling'!$C:$C,$D131,'Attrition Modeling'!$B:$B,AY$76),VLOOKUP($F131+AY$77,$A$7:$C$107,2,FALSE)*VLOOKUP(AY$76,'Attrition Modeling'!$L$15:$N$27,IF(AY$77+$F131&lt;=24,2,3),FALSE)),$C$3)*(1+IF('IP Attrition'!AY188&gt;0,'Attrition Modeling'!$N$9,0)))</f>
        <v>0</v>
      </c>
      <c r="AZ131" s="799">
        <f>AY131*(1-IFERROR(IF(AZ$77+$F131&lt;=12,SUMIFS('Attrition Modeling'!$D:$D,'Attrition Modeling'!$C:$C,$D131,'Attrition Modeling'!$B:$B,AZ$76),VLOOKUP($F131+AZ$77,$A$7:$C$107,2,FALSE)*VLOOKUP(AZ$76,'Attrition Modeling'!$L$15:$N$27,IF(AZ$77+$F131&lt;=24,2,3),FALSE)),$C$3)*(1+IF('IP Attrition'!AZ188&gt;0,'Attrition Modeling'!$N$9,0)))</f>
        <v>0</v>
      </c>
      <c r="BA131" s="799">
        <f>AZ131*(1-IFERROR(IF(BA$77+$F131&lt;=12,SUMIFS('Attrition Modeling'!$D:$D,'Attrition Modeling'!$C:$C,$D131,'Attrition Modeling'!$B:$B,BA$76),VLOOKUP($F131+BA$77,$A$7:$C$107,2,FALSE)*VLOOKUP(BA$76,'Attrition Modeling'!$L$15:$N$27,IF(BA$77+$F131&lt;=24,2,3),FALSE)),$C$3)*(1+IF('IP Attrition'!BA188&gt;0,'Attrition Modeling'!$N$9,0)))</f>
        <v>0</v>
      </c>
      <c r="BB131" s="799">
        <f>BA131*(1-IFERROR(IF(BB$77+$F131&lt;=12,SUMIFS('Attrition Modeling'!$D:$D,'Attrition Modeling'!$C:$C,$D131,'Attrition Modeling'!$B:$B,BB$76),VLOOKUP($F131+BB$77,$A$7:$C$107,2,FALSE)*VLOOKUP(BB$76,'Attrition Modeling'!$L$15:$N$27,IF(BB$77+$F131&lt;=24,2,3),FALSE)),$C$3)*(1+IF('IP Attrition'!BB188&gt;0,'Attrition Modeling'!$N$9,0)))</f>
        <v>0</v>
      </c>
      <c r="BC131" s="799">
        <f>BB131*(1-IFERROR(IF(BC$77+$F131&lt;=12,SUMIFS('Attrition Modeling'!$D:$D,'Attrition Modeling'!$C:$C,$D131,'Attrition Modeling'!$B:$B,BC$76),VLOOKUP($F131+BC$77,$A$7:$C$107,2,FALSE)*VLOOKUP(BC$76,'Attrition Modeling'!$L$15:$N$27,IF(BC$77+$F131&lt;=24,2,3),FALSE)),$C$3)*(1+IF('IP Attrition'!BC188&gt;0,'Attrition Modeling'!$N$9,0)))</f>
        <v>0</v>
      </c>
      <c r="BD131" s="799">
        <f>BC131*(1-IFERROR(IF(BD$77+$F131&lt;=12,SUMIFS('Attrition Modeling'!$D:$D,'Attrition Modeling'!$C:$C,$D131,'Attrition Modeling'!$B:$B,BD$76),VLOOKUP($F131+BD$77,$A$7:$C$107,2,FALSE)*VLOOKUP(BD$76,'Attrition Modeling'!$L$15:$N$27,IF(BD$77+$F131&lt;=24,2,3),FALSE)),$C$3)*(1+IF('IP Attrition'!BD188&gt;0,'Attrition Modeling'!$N$9,0)))</f>
        <v>0</v>
      </c>
      <c r="BE131" s="799">
        <f>BD131*(1-IFERROR(IF(BE$77+$F131&lt;=12,SUMIFS('Attrition Modeling'!$D:$D,'Attrition Modeling'!$C:$C,$D131,'Attrition Modeling'!$B:$B,BE$76),VLOOKUP($F131+BE$77,$A$7:$C$107,2,FALSE)*VLOOKUP(BE$76,'Attrition Modeling'!$L$15:$N$27,IF(BE$77+$F131&lt;=24,2,3),FALSE)),$C$3)*(1+IF('IP Attrition'!BE188&gt;0,'Attrition Modeling'!$N$9,0)))</f>
        <v>0</v>
      </c>
      <c r="BF131" s="799">
        <f>BE131*(1-IFERROR(IF(BF$77+$F131&lt;=12,SUMIFS('Attrition Modeling'!$D:$D,'Attrition Modeling'!$C:$C,$D131,'Attrition Modeling'!$B:$B,BF$76),VLOOKUP($F131+BF$77,$A$7:$C$107,2,FALSE)*VLOOKUP(BF$76,'Attrition Modeling'!$L$15:$N$27,IF(BF$77+$F131&lt;=24,2,3),FALSE)),$C$3)*(1+IF('IP Attrition'!BF188&gt;0,'Attrition Modeling'!$N$9,0)))</f>
        <v>0</v>
      </c>
      <c r="BG131" s="799">
        <f>BF131*(1-IFERROR(IF(BG$77+$F131&lt;=12,SUMIFS('Attrition Modeling'!$D:$D,'Attrition Modeling'!$C:$C,$D131,'Attrition Modeling'!$B:$B,BG$76),VLOOKUP($F131+BG$77,$A$7:$C$107,2,FALSE)*VLOOKUP(BG$76,'Attrition Modeling'!$L$15:$N$27,IF(BG$77+$F131&lt;=24,2,3),FALSE)),$C$3)*(1+IF('IP Attrition'!BG188&gt;0,'Attrition Modeling'!$N$9,0)))</f>
        <v>0</v>
      </c>
      <c r="BH131" s="799">
        <f>BG131*(1-IFERROR(IF(BH$77+$F131&lt;=12,SUMIFS('Attrition Modeling'!$D:$D,'Attrition Modeling'!$C:$C,$D131,'Attrition Modeling'!$B:$B,BH$76),VLOOKUP($F131+BH$77,$A$7:$C$107,2,FALSE)*VLOOKUP(BH$76,'Attrition Modeling'!$L$15:$N$27,IF(BH$77+$F131&lt;=24,2,3),FALSE)),$C$3)*(1+IF('IP Attrition'!BH188&gt;0,'Attrition Modeling'!$N$9,0)))</f>
        <v>0</v>
      </c>
      <c r="BI131" s="799">
        <f>BH131*(1-IFERROR(IF(BI$77+$F131&lt;=12,SUMIFS('Attrition Modeling'!$D:$D,'Attrition Modeling'!$C:$C,$D131,'Attrition Modeling'!$B:$B,BI$76),VLOOKUP($F131+BI$77,$A$7:$C$107,2,FALSE)*VLOOKUP(BI$76,'Attrition Modeling'!$L$15:$N$27,IF(BI$77+$F131&lt;=24,2,3),FALSE)),$C$3)*(1+IF('IP Attrition'!BI188&gt;0,'Attrition Modeling'!$N$9,0)))</f>
        <v>0</v>
      </c>
      <c r="BJ131" s="799">
        <f>BI131*(1-IFERROR(IF(BJ$77+$F131&lt;=12,SUMIFS('Attrition Modeling'!$D:$D,'Attrition Modeling'!$C:$C,$D131,'Attrition Modeling'!$B:$B,BJ$76),VLOOKUP($F131+BJ$77,$A$7:$C$107,2,FALSE)*VLOOKUP(BJ$76,'Attrition Modeling'!$L$15:$N$27,IF(BJ$77+$F131&lt;=24,2,3),FALSE)),$C$3)*(1+IF('IP Attrition'!BJ188&gt;0,'Attrition Modeling'!$N$9,0)))</f>
        <v>0</v>
      </c>
      <c r="BK131" s="799">
        <f>BJ131*(1-IFERROR(IF(BK$77+$F131&lt;=12,SUMIFS('Attrition Modeling'!$D:$D,'Attrition Modeling'!$C:$C,$D131,'Attrition Modeling'!$B:$B,BK$76),VLOOKUP($F131+BK$77,$A$7:$C$107,2,FALSE)*VLOOKUP(BK$76,'Attrition Modeling'!$L$15:$N$27,IF(BK$77+$F131&lt;=24,2,3),FALSE)),$C$3)*(1+IF('IP Attrition'!BK188&gt;0,'Attrition Modeling'!$N$9,0)))</f>
        <v>0</v>
      </c>
      <c r="BL131" s="799">
        <f>BK131*(1-IFERROR(IF(BL$77+$F131&lt;=12,SUMIFS('Attrition Modeling'!$D:$D,'Attrition Modeling'!$C:$C,$D131,'Attrition Modeling'!$B:$B,BL$76),VLOOKUP($F131+BL$77,$A$7:$C$107,2,FALSE)*VLOOKUP(BL$76,'Attrition Modeling'!$L$15:$N$27,IF(BL$77+$F131&lt;=24,2,3),FALSE)),$C$3)*(1+IF('IP Attrition'!BL188&gt;0,'Attrition Modeling'!$N$9,0)))</f>
        <v>0</v>
      </c>
      <c r="BM131" s="799">
        <f>BL131*(1-IFERROR(IF(BM$77+$F131&lt;=12,SUMIFS('Attrition Modeling'!$D:$D,'Attrition Modeling'!$C:$C,$D131,'Attrition Modeling'!$B:$B,BM$76),VLOOKUP($F131+BM$77,$A$7:$C$107,2,FALSE)*VLOOKUP(BM$76,'Attrition Modeling'!$L$15:$N$27,IF(BM$77+$F131&lt;=24,2,3),FALSE)),$C$3)*(1+IF('IP Attrition'!BM188&gt;0,'Attrition Modeling'!$N$9,0)))</f>
        <v>0</v>
      </c>
      <c r="BN131" s="799">
        <f>BM131*(1-IFERROR(IF(BN$77+$F131&lt;=12,SUMIFS('Attrition Modeling'!$D:$D,'Attrition Modeling'!$C:$C,$D131,'Attrition Modeling'!$B:$B,BN$76),VLOOKUP($F131+BN$77,$A$7:$C$107,2,FALSE)*VLOOKUP(BN$76,'Attrition Modeling'!$L$15:$N$27,IF(BN$77+$F131&lt;=24,2,3),FALSE)),$C$3)*(1+IF('IP Attrition'!BN188&gt;0,'Attrition Modeling'!$N$9,0)))</f>
        <v>0</v>
      </c>
      <c r="BO131" s="799">
        <f>BN131*(1-IFERROR(IF(BO$77+$F131&lt;=12,SUMIFS('Attrition Modeling'!$D:$D,'Attrition Modeling'!$C:$C,$D131,'Attrition Modeling'!$B:$B,BO$76),VLOOKUP($F131+BO$77,$A$7:$C$107,2,FALSE)*VLOOKUP(BO$76,'Attrition Modeling'!$L$15:$N$27,IF(BO$77+$F131&lt;=24,2,3),FALSE)),$C$3)*(1+IF('IP Attrition'!BO188&gt;0,'Attrition Modeling'!$N$9,0)))</f>
        <v>0</v>
      </c>
      <c r="BP131" s="799">
        <f>BO131*(1-IFERROR(IF(BP$77+$F131&lt;=12,SUMIFS('Attrition Modeling'!$D:$D,'Attrition Modeling'!$C:$C,$D131,'Attrition Modeling'!$B:$B,BP$76),VLOOKUP($F131+BP$77,$A$7:$C$107,2,FALSE)*VLOOKUP(BP$76,'Attrition Modeling'!$L$15:$N$27,IF(BP$77+$F131&lt;=24,2,3),FALSE)),$C$3)*(1+IF('IP Attrition'!BP188&gt;0,'Attrition Modeling'!$N$9,0)))</f>
        <v>0</v>
      </c>
      <c r="BQ131" s="799">
        <f>BP131*(1-IFERROR(IF(BQ$77+$F131&lt;=12,SUMIFS('Attrition Modeling'!$D:$D,'Attrition Modeling'!$C:$C,$D131,'Attrition Modeling'!$B:$B,BQ$76),VLOOKUP($F131+BQ$77,$A$7:$C$107,2,FALSE)*VLOOKUP(BQ$76,'Attrition Modeling'!$L$15:$N$27,IF(BQ$77+$F131&lt;=24,2,3),FALSE)),$C$3)*(1+IF('IP Attrition'!BQ188&gt;0,'Attrition Modeling'!$N$9,0)))</f>
        <v>0</v>
      </c>
      <c r="BR131" s="799">
        <f>BQ131*(1-IFERROR(IF(BR$77+$F131&lt;=12,SUMIFS('Attrition Modeling'!$D:$D,'Attrition Modeling'!$C:$C,$D131,'Attrition Modeling'!$B:$B,BR$76),VLOOKUP($F131+BR$77,$A$7:$C$107,2,FALSE)*VLOOKUP(BR$76,'Attrition Modeling'!$L$15:$N$27,IF(BR$77+$F131&lt;=24,2,3),FALSE)),$C$3)*(1+IF('IP Attrition'!BR188&gt;0,'Attrition Modeling'!$N$9,0)))</f>
        <v>0</v>
      </c>
      <c r="BS131" s="799">
        <f>BR131*(1-IFERROR(IF(BS$77+$F131&lt;=12,SUMIFS('Attrition Modeling'!$D:$D,'Attrition Modeling'!$C:$C,$D131,'Attrition Modeling'!$B:$B,BS$76),VLOOKUP($F131+BS$77,$A$7:$C$107,2,FALSE)*VLOOKUP(BS$76,'Attrition Modeling'!$L$15:$N$27,IF(BS$77+$F131&lt;=24,2,3),FALSE)),$C$3)*(1+IF('IP Attrition'!BS188&gt;0,'Attrition Modeling'!$N$9,0)))</f>
        <v>0</v>
      </c>
      <c r="BT131" s="799" t="e">
        <f>BS131*(1-IFERROR(IF(BT$77+$F131&lt;=12,SUMIFS('Attrition Modeling'!$D:$D,'Attrition Modeling'!$C:$C,$D131,'Attrition Modeling'!$B:$B,BT$76),VLOOKUP($F131+BT$77,$A$7:$C$107,2,FALSE)*VLOOKUP(BT$76,'Attrition Modeling'!$L$15:$N$27,IF(BT$77+$F131&lt;=24,2,3),FALSE)),$C$3)*(1+IF('IP Attrition'!BT188&gt;0,'Attrition Modeling'!$N$9,0)))</f>
        <v>#REF!</v>
      </c>
      <c r="BU131" s="799" t="e">
        <f>BT131*(1-IFERROR(IF(BU$77+$F131&lt;=12,SUMIFS('Attrition Modeling'!$D:$D,'Attrition Modeling'!$C:$C,$D131,'Attrition Modeling'!$B:$B,BU$76),VLOOKUP($F131+BU$77,$A$7:$C$107,2,FALSE)*VLOOKUP(BU$76,'Attrition Modeling'!$L$15:$N$27,IF(BU$77+$F131&lt;=24,2,3),FALSE)),$C$3)*(1+IF('IP Attrition'!BU188&gt;0,'Attrition Modeling'!$N$9,0)))</f>
        <v>#REF!</v>
      </c>
    </row>
    <row r="132" spans="1:73" ht="14.25" customHeight="1" x14ac:dyDescent="0.2">
      <c r="A132" s="9">
        <v>124</v>
      </c>
      <c r="B132" s="25">
        <f>MAX('Attrition Modeling'!H128,$C$3)*(1-Summary!$C$20)</f>
        <v>0.02</v>
      </c>
      <c r="C132" s="24" t="e">
        <f t="shared" si="2"/>
        <v>#DIV/0!</v>
      </c>
      <c r="D132" s="11">
        <f>'IP Attrition'!D124</f>
        <v>-54</v>
      </c>
      <c r="E132" s="25">
        <f>'IP Attrition'!E124</f>
        <v>0</v>
      </c>
      <c r="F132" s="11">
        <f t="shared" si="8"/>
        <v>54</v>
      </c>
      <c r="G132" s="799">
        <f>Summary!$C$24*$E132</f>
        <v>0</v>
      </c>
      <c r="H132" s="799">
        <f>G132*(1-IFERROR(IF(H$77+$F132&lt;=12,SUMIFS('Attrition Modeling'!$D:$D,'Attrition Modeling'!$C:$C,$D132,'Attrition Modeling'!$B:$B,H$76),VLOOKUP($F132+H$77,$A$7:$C$107,2,FALSE)*VLOOKUP(H$76,'Attrition Modeling'!$L$15:$N$27,IF(H$77+$F132&lt;=24,2,3),FALSE)),$C$3)*(1+IF('IP Attrition'!H189&gt;0,'Attrition Modeling'!$N$9,0)))</f>
        <v>0</v>
      </c>
      <c r="I132" s="799">
        <f>H132*(1-IFERROR(IF(I$77+$F132&lt;=12,SUMIFS('Attrition Modeling'!$D:$D,'Attrition Modeling'!$C:$C,$D132,'Attrition Modeling'!$B:$B,I$76),VLOOKUP($F132+I$77,$A$7:$C$107,2,FALSE)*VLOOKUP(I$76,'Attrition Modeling'!$L$15:$N$27,IF(I$77+$F132&lt;=24,2,3),FALSE)),$C$3)*(1+IF('IP Attrition'!I189&gt;0,'Attrition Modeling'!$N$9,0)))</f>
        <v>0</v>
      </c>
      <c r="J132" s="799">
        <f>I132*(1-IFERROR(IF(J$77+$F132&lt;=12,SUMIFS('Attrition Modeling'!$D:$D,'Attrition Modeling'!$C:$C,$D132,'Attrition Modeling'!$B:$B,J$76),VLOOKUP($F132+J$77,$A$7:$C$107,2,FALSE)*VLOOKUP(J$76,'Attrition Modeling'!$L$15:$N$27,IF(J$77+$F132&lt;=24,2,3),FALSE)),$C$3)*(1+IF('IP Attrition'!J189&gt;0,'Attrition Modeling'!$N$9,0)))</f>
        <v>0</v>
      </c>
      <c r="K132" s="799">
        <f>J132*(1-IFERROR(IF(K$77+$F132&lt;=12,SUMIFS('Attrition Modeling'!$D:$D,'Attrition Modeling'!$C:$C,$D132,'Attrition Modeling'!$B:$B,K$76),VLOOKUP($F132+K$77,$A$7:$C$107,2,FALSE)*VLOOKUP(K$76,'Attrition Modeling'!$L$15:$N$27,IF(K$77+$F132&lt;=24,2,3),FALSE)),$C$3)*(1+IF('IP Attrition'!K189&gt;0,'Attrition Modeling'!$N$9,0)))</f>
        <v>0</v>
      </c>
      <c r="L132" s="799">
        <f>K132*(1-IFERROR(IF(L$77+$F132&lt;=12,SUMIFS('Attrition Modeling'!$D:$D,'Attrition Modeling'!$C:$C,$D132,'Attrition Modeling'!$B:$B,L$76),VLOOKUP($F132+L$77,$A$7:$C$107,2,FALSE)*VLOOKUP(L$76,'Attrition Modeling'!$L$15:$N$27,IF(L$77+$F132&lt;=24,2,3),FALSE)),$C$3)*(1+IF('IP Attrition'!L189&gt;0,'Attrition Modeling'!$N$9,0)))</f>
        <v>0</v>
      </c>
      <c r="M132" s="799">
        <f>L132*(1-IFERROR(IF(M$77+$F132&lt;=12,SUMIFS('Attrition Modeling'!$D:$D,'Attrition Modeling'!$C:$C,$D132,'Attrition Modeling'!$B:$B,M$76),VLOOKUP($F132+M$77,$A$7:$C$107,2,FALSE)*VLOOKUP(M$76,'Attrition Modeling'!$L$15:$N$27,IF(M$77+$F132&lt;=24,2,3),FALSE)),$C$3)*(1+IF('IP Attrition'!M189&gt;0,'Attrition Modeling'!$N$9,0)))</f>
        <v>0</v>
      </c>
      <c r="N132" s="799">
        <f>M132*(1-IFERROR(IF(N$77+$F132&lt;=12,SUMIFS('Attrition Modeling'!$D:$D,'Attrition Modeling'!$C:$C,$D132,'Attrition Modeling'!$B:$B,N$76),VLOOKUP($F132+N$77,$A$7:$C$107,2,FALSE)*VLOOKUP(N$76,'Attrition Modeling'!$L$15:$N$27,IF(N$77+$F132&lt;=24,2,3),FALSE)),$C$3)*(1+IF('IP Attrition'!N189&gt;0,'Attrition Modeling'!$N$9,0)))</f>
        <v>0</v>
      </c>
      <c r="O132" s="799">
        <f>N132*(1-IFERROR(IF(O$77+$F132&lt;=12,SUMIFS('Attrition Modeling'!$D:$D,'Attrition Modeling'!$C:$C,$D132,'Attrition Modeling'!$B:$B,O$76),VLOOKUP($F132+O$77,$A$7:$C$107,2,FALSE)*VLOOKUP(O$76,'Attrition Modeling'!$L$15:$N$27,IF(O$77+$F132&lt;=24,2,3),FALSE)),$C$3)*(1+IF('IP Attrition'!O189&gt;0,'Attrition Modeling'!$N$9,0)))</f>
        <v>0</v>
      </c>
      <c r="P132" s="799">
        <f>O132*(1-IFERROR(IF(P$77+$F132&lt;=12,SUMIFS('Attrition Modeling'!$D:$D,'Attrition Modeling'!$C:$C,$D132,'Attrition Modeling'!$B:$B,P$76),VLOOKUP($F132+P$77,$A$7:$C$107,2,FALSE)*VLOOKUP(P$76,'Attrition Modeling'!$L$15:$N$27,IF(P$77+$F132&lt;=24,2,3),FALSE)),$C$3)*(1+IF('IP Attrition'!P189&gt;0,'Attrition Modeling'!$N$9,0)))</f>
        <v>0</v>
      </c>
      <c r="Q132" s="799">
        <f>P132*(1-IFERROR(IF(Q$77+$F132&lt;=12,SUMIFS('Attrition Modeling'!$D:$D,'Attrition Modeling'!$C:$C,$D132,'Attrition Modeling'!$B:$B,Q$76),VLOOKUP($F132+Q$77,$A$7:$C$107,2,FALSE)*VLOOKUP(Q$76,'Attrition Modeling'!$L$15:$N$27,IF(Q$77+$F132&lt;=24,2,3),FALSE)),$C$3)*(1+IF('IP Attrition'!Q189&gt;0,'Attrition Modeling'!$N$9,0)))</f>
        <v>0</v>
      </c>
      <c r="R132" s="799">
        <f>Q132*(1-IFERROR(IF(R$77+$F132&lt;=12,SUMIFS('Attrition Modeling'!$D:$D,'Attrition Modeling'!$C:$C,$D132,'Attrition Modeling'!$B:$B,R$76),VLOOKUP($F132+R$77,$A$7:$C$107,2,FALSE)*VLOOKUP(R$76,'Attrition Modeling'!$L$15:$N$27,IF(R$77+$F132&lt;=24,2,3),FALSE)),$C$3)*(1+IF('IP Attrition'!R189&gt;0,'Attrition Modeling'!$N$9,0)))</f>
        <v>0</v>
      </c>
      <c r="S132" s="799">
        <f>R132*(1-IFERROR(IF(S$77+$F132&lt;=12,SUMIFS('Attrition Modeling'!$D:$D,'Attrition Modeling'!$C:$C,$D132,'Attrition Modeling'!$B:$B,S$76),VLOOKUP($F132+S$77,$A$7:$C$107,2,FALSE)*VLOOKUP(S$76,'Attrition Modeling'!$L$15:$N$27,IF(S$77+$F132&lt;=24,2,3),FALSE)),$C$3)*(1+IF('IP Attrition'!S189&gt;0,'Attrition Modeling'!$N$9,0)))</f>
        <v>0</v>
      </c>
      <c r="T132" s="799">
        <f>S132*(1-IFERROR(IF(T$77+$F132&lt;=12,SUMIFS('Attrition Modeling'!$D:$D,'Attrition Modeling'!$C:$C,$D132,'Attrition Modeling'!$B:$B,T$76),VLOOKUP($F132+T$77,$A$7:$C$107,2,FALSE)*VLOOKUP(T$76,'Attrition Modeling'!$L$15:$N$27,IF(T$77+$F132&lt;=24,2,3),FALSE)),$C$3)*(1+IF('IP Attrition'!T189&gt;0,'Attrition Modeling'!$N$9,0)))</f>
        <v>0</v>
      </c>
      <c r="U132" s="799">
        <f>T132*(1-IFERROR(IF(U$77+$F132&lt;=12,SUMIFS('Attrition Modeling'!$D:$D,'Attrition Modeling'!$C:$C,$D132,'Attrition Modeling'!$B:$B,U$76),VLOOKUP($F132+U$77,$A$7:$C$107,2,FALSE)*VLOOKUP(U$76,'Attrition Modeling'!$L$15:$N$27,IF(U$77+$F132&lt;=24,2,3),FALSE)),$C$3)*(1+IF('IP Attrition'!U189&gt;0,'Attrition Modeling'!$N$9,0)))</f>
        <v>0</v>
      </c>
      <c r="V132" s="799">
        <f>U132*(1-IFERROR(IF(V$77+$F132&lt;=12,SUMIFS('Attrition Modeling'!$D:$D,'Attrition Modeling'!$C:$C,$D132,'Attrition Modeling'!$B:$B,V$76),VLOOKUP($F132+V$77,$A$7:$C$107,2,FALSE)*VLOOKUP(V$76,'Attrition Modeling'!$L$15:$N$27,IF(V$77+$F132&lt;=24,2,3),FALSE)),$C$3)*(1+IF('IP Attrition'!V189&gt;0,'Attrition Modeling'!$N$9,0)))</f>
        <v>0</v>
      </c>
      <c r="W132" s="799">
        <f>V132*(1-IFERROR(IF(W$77+$F132&lt;=12,SUMIFS('Attrition Modeling'!$D:$D,'Attrition Modeling'!$C:$C,$D132,'Attrition Modeling'!$B:$B,W$76),VLOOKUP($F132+W$77,$A$7:$C$107,2,FALSE)*VLOOKUP(W$76,'Attrition Modeling'!$L$15:$N$27,IF(W$77+$F132&lt;=24,2,3),FALSE)),$C$3)*(1+IF('IP Attrition'!W189&gt;0,'Attrition Modeling'!$N$9,0)))</f>
        <v>0</v>
      </c>
      <c r="X132" s="799">
        <f>W132*(1-IFERROR(IF(X$77+$F132&lt;=12,SUMIFS('Attrition Modeling'!$D:$D,'Attrition Modeling'!$C:$C,$D132,'Attrition Modeling'!$B:$B,X$76),VLOOKUP($F132+X$77,$A$7:$C$107,2,FALSE)*VLOOKUP(X$76,'Attrition Modeling'!$L$15:$N$27,IF(X$77+$F132&lt;=24,2,3),FALSE)),$C$3)*(1+IF('IP Attrition'!X189&gt;0,'Attrition Modeling'!$N$9,0)))</f>
        <v>0</v>
      </c>
      <c r="Y132" s="799">
        <f>X132*(1-IFERROR(IF(Y$77+$F132&lt;=12,SUMIFS('Attrition Modeling'!$D:$D,'Attrition Modeling'!$C:$C,$D132,'Attrition Modeling'!$B:$B,Y$76),VLOOKUP($F132+Y$77,$A$7:$C$107,2,FALSE)*VLOOKUP(Y$76,'Attrition Modeling'!$L$15:$N$27,IF(Y$77+$F132&lt;=24,2,3),FALSE)),$C$3)*(1+IF('IP Attrition'!Y189&gt;0,'Attrition Modeling'!$N$9,0)))</f>
        <v>0</v>
      </c>
      <c r="Z132" s="799">
        <f>Y132*(1-IFERROR(IF(Z$77+$F132&lt;=12,SUMIFS('Attrition Modeling'!$D:$D,'Attrition Modeling'!$C:$C,$D132,'Attrition Modeling'!$B:$B,Z$76),VLOOKUP($F132+Z$77,$A$7:$C$107,2,FALSE)*VLOOKUP(Z$76,'Attrition Modeling'!$L$15:$N$27,IF(Z$77+$F132&lt;=24,2,3),FALSE)),$C$3)*(1+IF('IP Attrition'!Z189&gt;0,'Attrition Modeling'!$N$9,0)))</f>
        <v>0</v>
      </c>
      <c r="AA132" s="799">
        <f>Z132*(1-IFERROR(IF(AA$77+$F132&lt;=12,SUMIFS('Attrition Modeling'!$D:$D,'Attrition Modeling'!$C:$C,$D132,'Attrition Modeling'!$B:$B,AA$76),VLOOKUP($F132+AA$77,$A$7:$C$107,2,FALSE)*VLOOKUP(AA$76,'Attrition Modeling'!$L$15:$N$27,IF(AA$77+$F132&lt;=24,2,3),FALSE)),$C$3)*(1+IF('IP Attrition'!AA189&gt;0,'Attrition Modeling'!$N$9,0)))</f>
        <v>0</v>
      </c>
      <c r="AB132" s="799">
        <f>AA132*(1-IFERROR(IF(AB$77+$F132&lt;=12,SUMIFS('Attrition Modeling'!$D:$D,'Attrition Modeling'!$C:$C,$D132,'Attrition Modeling'!$B:$B,AB$76),VLOOKUP($F132+AB$77,$A$7:$C$107,2,FALSE)*VLOOKUP(AB$76,'Attrition Modeling'!$L$15:$N$27,IF(AB$77+$F132&lt;=24,2,3),FALSE)),$C$3)*(1+IF('IP Attrition'!AB189&gt;0,'Attrition Modeling'!$N$9,0)))</f>
        <v>0</v>
      </c>
      <c r="AC132" s="799">
        <f>AB132*(1-IFERROR(IF(AC$77+$F132&lt;=12,SUMIFS('Attrition Modeling'!$D:$D,'Attrition Modeling'!$C:$C,$D132,'Attrition Modeling'!$B:$B,AC$76),VLOOKUP($F132+AC$77,$A$7:$C$107,2,FALSE)*VLOOKUP(AC$76,'Attrition Modeling'!$L$15:$N$27,IF(AC$77+$F132&lt;=24,2,3),FALSE)),$C$3)*(1+IF('IP Attrition'!AC189&gt;0,'Attrition Modeling'!$N$9,0)))</f>
        <v>0</v>
      </c>
      <c r="AD132" s="799">
        <f>AC132*(1-IFERROR(IF(AD$77+$F132&lt;=12,SUMIFS('Attrition Modeling'!$D:$D,'Attrition Modeling'!$C:$C,$D132,'Attrition Modeling'!$B:$B,AD$76),VLOOKUP($F132+AD$77,$A$7:$C$107,2,FALSE)*VLOOKUP(AD$76,'Attrition Modeling'!$L$15:$N$27,IF(AD$77+$F132&lt;=24,2,3),FALSE)),$C$3)*(1+IF('IP Attrition'!AD189&gt;0,'Attrition Modeling'!$N$9,0)))</f>
        <v>0</v>
      </c>
      <c r="AE132" s="799">
        <f>AD132*(1-IFERROR(IF(AE$77+$F132&lt;=12,SUMIFS('Attrition Modeling'!$D:$D,'Attrition Modeling'!$C:$C,$D132,'Attrition Modeling'!$B:$B,AE$76),VLOOKUP($F132+AE$77,$A$7:$C$107,2,FALSE)*VLOOKUP(AE$76,'Attrition Modeling'!$L$15:$N$27,IF(AE$77+$F132&lt;=24,2,3),FALSE)),$C$3)*(1+IF('IP Attrition'!AE189&gt;0,'Attrition Modeling'!$N$9,0)))</f>
        <v>0</v>
      </c>
      <c r="AF132" s="799">
        <f>AE132*(1-IFERROR(IF(AF$77+$F132&lt;=12,SUMIFS('Attrition Modeling'!$D:$D,'Attrition Modeling'!$C:$C,$D132,'Attrition Modeling'!$B:$B,AF$76),VLOOKUP($F132+AF$77,$A$7:$C$107,2,FALSE)*VLOOKUP(AF$76,'Attrition Modeling'!$L$15:$N$27,IF(AF$77+$F132&lt;=24,2,3),FALSE)),$C$3)*(1+IF('IP Attrition'!AF189&gt;0,'Attrition Modeling'!$N$9,0)))</f>
        <v>0</v>
      </c>
      <c r="AG132" s="799">
        <f>AF132*(1-IFERROR(IF(AG$77+$F132&lt;=12,SUMIFS('Attrition Modeling'!$D:$D,'Attrition Modeling'!$C:$C,$D132,'Attrition Modeling'!$B:$B,AG$76),VLOOKUP($F132+AG$77,$A$7:$C$107,2,FALSE)*VLOOKUP(AG$76,'Attrition Modeling'!$L$15:$N$27,IF(AG$77+$F132&lt;=24,2,3),FALSE)),$C$3)*(1+IF('IP Attrition'!AG189&gt;0,'Attrition Modeling'!$N$9,0)))</f>
        <v>0</v>
      </c>
      <c r="AH132" s="799">
        <f>AG132*(1-IFERROR(IF(AH$77+$F132&lt;=12,SUMIFS('Attrition Modeling'!$D:$D,'Attrition Modeling'!$C:$C,$D132,'Attrition Modeling'!$B:$B,AH$76),VLOOKUP($F132+AH$77,$A$7:$C$107,2,FALSE)*VLOOKUP(AH$76,'Attrition Modeling'!$L$15:$N$27,IF(AH$77+$F132&lt;=24,2,3),FALSE)),$C$3)*(1+IF('IP Attrition'!AH189&gt;0,'Attrition Modeling'!$N$9,0)))</f>
        <v>0</v>
      </c>
      <c r="AI132" s="799">
        <f>AH132*(1-IFERROR(IF(AI$77+$F132&lt;=12,SUMIFS('Attrition Modeling'!$D:$D,'Attrition Modeling'!$C:$C,$D132,'Attrition Modeling'!$B:$B,AI$76),VLOOKUP($F132+AI$77,$A$7:$C$107,2,FALSE)*VLOOKUP(AI$76,'Attrition Modeling'!$L$15:$N$27,IF(AI$77+$F132&lt;=24,2,3),FALSE)),$C$3)*(1+IF('IP Attrition'!AI189&gt;0,'Attrition Modeling'!$N$9,0)))</f>
        <v>0</v>
      </c>
      <c r="AJ132" s="799">
        <f>AI132*(1-IFERROR(IF(AJ$77+$F132&lt;=12,SUMIFS('Attrition Modeling'!$D:$D,'Attrition Modeling'!$C:$C,$D132,'Attrition Modeling'!$B:$B,AJ$76),VLOOKUP($F132+AJ$77,$A$7:$C$107,2,FALSE)*VLOOKUP(AJ$76,'Attrition Modeling'!$L$15:$N$27,IF(AJ$77+$F132&lt;=24,2,3),FALSE)),$C$3)*(1+IF('IP Attrition'!AJ189&gt;0,'Attrition Modeling'!$N$9,0)))</f>
        <v>0</v>
      </c>
      <c r="AK132" s="799">
        <f>AJ132*(1-IFERROR(IF(AK$77+$F132&lt;=12,SUMIFS('Attrition Modeling'!$D:$D,'Attrition Modeling'!$C:$C,$D132,'Attrition Modeling'!$B:$B,AK$76),VLOOKUP($F132+AK$77,$A$7:$C$107,2,FALSE)*VLOOKUP(AK$76,'Attrition Modeling'!$L$15:$N$27,IF(AK$77+$F132&lt;=24,2,3),FALSE)),$C$3)*(1+IF('IP Attrition'!AK189&gt;0,'Attrition Modeling'!$N$9,0)))</f>
        <v>0</v>
      </c>
      <c r="AL132" s="799">
        <f>AK132*(1-IFERROR(IF(AL$77+$F132&lt;=12,SUMIFS('Attrition Modeling'!$D:$D,'Attrition Modeling'!$C:$C,$D132,'Attrition Modeling'!$B:$B,AL$76),VLOOKUP($F132+AL$77,$A$7:$C$107,2,FALSE)*VLOOKUP(AL$76,'Attrition Modeling'!$L$15:$N$27,IF(AL$77+$F132&lt;=24,2,3),FALSE)),$C$3)*(1+IF('IP Attrition'!AL189&gt;0,'Attrition Modeling'!$N$9,0)))</f>
        <v>0</v>
      </c>
      <c r="AM132" s="799">
        <f>AL132*(1-IFERROR(IF(AM$77+$F132&lt;=12,SUMIFS('Attrition Modeling'!$D:$D,'Attrition Modeling'!$C:$C,$D132,'Attrition Modeling'!$B:$B,AM$76),VLOOKUP($F132+AM$77,$A$7:$C$107,2,FALSE)*VLOOKUP(AM$76,'Attrition Modeling'!$L$15:$N$27,IF(AM$77+$F132&lt;=24,2,3),FALSE)),$C$3)*(1+IF('IP Attrition'!AM189&gt;0,'Attrition Modeling'!$N$9,0)))</f>
        <v>0</v>
      </c>
      <c r="AN132" s="799">
        <f>AM132*(1-IFERROR(IF(AN$77+$F132&lt;=12,SUMIFS('Attrition Modeling'!$D:$D,'Attrition Modeling'!$C:$C,$D132,'Attrition Modeling'!$B:$B,AN$76),VLOOKUP($F132+AN$77,$A$7:$C$107,2,FALSE)*VLOOKUP(AN$76,'Attrition Modeling'!$L$15:$N$27,IF(AN$77+$F132&lt;=24,2,3),FALSE)),$C$3)*(1+IF('IP Attrition'!AN189&gt;0,'Attrition Modeling'!$N$9,0)))</f>
        <v>0</v>
      </c>
      <c r="AO132" s="799">
        <f>AN132*(1-IFERROR(IF(AO$77+$F132&lt;=12,SUMIFS('Attrition Modeling'!$D:$D,'Attrition Modeling'!$C:$C,$D132,'Attrition Modeling'!$B:$B,AO$76),VLOOKUP($F132+AO$77,$A$7:$C$107,2,FALSE)*VLOOKUP(AO$76,'Attrition Modeling'!$L$15:$N$27,IF(AO$77+$F132&lt;=24,2,3),FALSE)),$C$3)*(1+IF('IP Attrition'!AO189&gt;0,'Attrition Modeling'!$N$9,0)))</f>
        <v>0</v>
      </c>
      <c r="AP132" s="799">
        <f>AO132*(1-IFERROR(IF(AP$77+$F132&lt;=12,SUMIFS('Attrition Modeling'!$D:$D,'Attrition Modeling'!$C:$C,$D132,'Attrition Modeling'!$B:$B,AP$76),VLOOKUP($F132+AP$77,$A$7:$C$107,2,FALSE)*VLOOKUP(AP$76,'Attrition Modeling'!$L$15:$N$27,IF(AP$77+$F132&lt;=24,2,3),FALSE)),$C$3)*(1+IF('IP Attrition'!AP189&gt;0,'Attrition Modeling'!$N$9,0)))</f>
        <v>0</v>
      </c>
      <c r="AQ132" s="799">
        <f>AP132*(1-IFERROR(IF(AQ$77+$F132&lt;=12,SUMIFS('Attrition Modeling'!$D:$D,'Attrition Modeling'!$C:$C,$D132,'Attrition Modeling'!$B:$B,AQ$76),VLOOKUP($F132+AQ$77,$A$7:$C$107,2,FALSE)*VLOOKUP(AQ$76,'Attrition Modeling'!$L$15:$N$27,IF(AQ$77+$F132&lt;=24,2,3),FALSE)),$C$3)*(1+IF('IP Attrition'!AQ189&gt;0,'Attrition Modeling'!$N$9,0)))</f>
        <v>0</v>
      </c>
      <c r="AR132" s="799">
        <f>AQ132*(1-IFERROR(IF(AR$77+$F132&lt;=12,SUMIFS('Attrition Modeling'!$D:$D,'Attrition Modeling'!$C:$C,$D132,'Attrition Modeling'!$B:$B,AR$76),VLOOKUP($F132+AR$77,$A$7:$C$107,2,FALSE)*VLOOKUP(AR$76,'Attrition Modeling'!$L$15:$N$27,IF(AR$77+$F132&lt;=24,2,3),FALSE)),$C$3)*(1+IF('IP Attrition'!AR189&gt;0,'Attrition Modeling'!$N$9,0)))</f>
        <v>0</v>
      </c>
      <c r="AS132" s="799">
        <f>AR132*(1-IFERROR(IF(AS$77+$F132&lt;=12,SUMIFS('Attrition Modeling'!$D:$D,'Attrition Modeling'!$C:$C,$D132,'Attrition Modeling'!$B:$B,AS$76),VLOOKUP($F132+AS$77,$A$7:$C$107,2,FALSE)*VLOOKUP(AS$76,'Attrition Modeling'!$L$15:$N$27,IF(AS$77+$F132&lt;=24,2,3),FALSE)),$C$3)*(1+IF('IP Attrition'!AS189&gt;0,'Attrition Modeling'!$N$9,0)))</f>
        <v>0</v>
      </c>
      <c r="AT132" s="799">
        <f>AS132*(1-IFERROR(IF(AT$77+$F132&lt;=12,SUMIFS('Attrition Modeling'!$D:$D,'Attrition Modeling'!$C:$C,$D132,'Attrition Modeling'!$B:$B,AT$76),VLOOKUP($F132+AT$77,$A$7:$C$107,2,FALSE)*VLOOKUP(AT$76,'Attrition Modeling'!$L$15:$N$27,IF(AT$77+$F132&lt;=24,2,3),FALSE)),$C$3)*(1+IF('IP Attrition'!AT189&gt;0,'Attrition Modeling'!$N$9,0)))</f>
        <v>0</v>
      </c>
      <c r="AU132" s="799">
        <f>AT132*(1-IFERROR(IF(AU$77+$F132&lt;=12,SUMIFS('Attrition Modeling'!$D:$D,'Attrition Modeling'!$C:$C,$D132,'Attrition Modeling'!$B:$B,AU$76),VLOOKUP($F132+AU$77,$A$7:$C$107,2,FALSE)*VLOOKUP(AU$76,'Attrition Modeling'!$L$15:$N$27,IF(AU$77+$F132&lt;=24,2,3),FALSE)),$C$3)*(1+IF('IP Attrition'!AU189&gt;0,'Attrition Modeling'!$N$9,0)))</f>
        <v>0</v>
      </c>
      <c r="AV132" s="799">
        <f>AU132*(1-IFERROR(IF(AV$77+$F132&lt;=12,SUMIFS('Attrition Modeling'!$D:$D,'Attrition Modeling'!$C:$C,$D132,'Attrition Modeling'!$B:$B,AV$76),VLOOKUP($F132+AV$77,$A$7:$C$107,2,FALSE)*VLOOKUP(AV$76,'Attrition Modeling'!$L$15:$N$27,IF(AV$77+$F132&lt;=24,2,3),FALSE)),$C$3)*(1+IF('IP Attrition'!AV189&gt;0,'Attrition Modeling'!$N$9,0)))</f>
        <v>0</v>
      </c>
      <c r="AW132" s="799">
        <f>AV132*(1-IFERROR(IF(AW$77+$F132&lt;=12,SUMIFS('Attrition Modeling'!$D:$D,'Attrition Modeling'!$C:$C,$D132,'Attrition Modeling'!$B:$B,AW$76),VLOOKUP($F132+AW$77,$A$7:$C$107,2,FALSE)*VLOOKUP(AW$76,'Attrition Modeling'!$L$15:$N$27,IF(AW$77+$F132&lt;=24,2,3),FALSE)),$C$3)*(1+IF('IP Attrition'!AW189&gt;0,'Attrition Modeling'!$N$9,0)))</f>
        <v>0</v>
      </c>
      <c r="AX132" s="799">
        <f>AW132*(1-IFERROR(IF(AX$77+$F132&lt;=12,SUMIFS('Attrition Modeling'!$D:$D,'Attrition Modeling'!$C:$C,$D132,'Attrition Modeling'!$B:$B,AX$76),VLOOKUP($F132+AX$77,$A$7:$C$107,2,FALSE)*VLOOKUP(AX$76,'Attrition Modeling'!$L$15:$N$27,IF(AX$77+$F132&lt;=24,2,3),FALSE)),$C$3)*(1+IF('IP Attrition'!AX189&gt;0,'Attrition Modeling'!$N$9,0)))</f>
        <v>0</v>
      </c>
      <c r="AY132" s="799">
        <f>AX132*(1-IFERROR(IF(AY$77+$F132&lt;=12,SUMIFS('Attrition Modeling'!$D:$D,'Attrition Modeling'!$C:$C,$D132,'Attrition Modeling'!$B:$B,AY$76),VLOOKUP($F132+AY$77,$A$7:$C$107,2,FALSE)*VLOOKUP(AY$76,'Attrition Modeling'!$L$15:$N$27,IF(AY$77+$F132&lt;=24,2,3),FALSE)),$C$3)*(1+IF('IP Attrition'!AY189&gt;0,'Attrition Modeling'!$N$9,0)))</f>
        <v>0</v>
      </c>
      <c r="AZ132" s="799">
        <f>AY132*(1-IFERROR(IF(AZ$77+$F132&lt;=12,SUMIFS('Attrition Modeling'!$D:$D,'Attrition Modeling'!$C:$C,$D132,'Attrition Modeling'!$B:$B,AZ$76),VLOOKUP($F132+AZ$77,$A$7:$C$107,2,FALSE)*VLOOKUP(AZ$76,'Attrition Modeling'!$L$15:$N$27,IF(AZ$77+$F132&lt;=24,2,3),FALSE)),$C$3)*(1+IF('IP Attrition'!AZ189&gt;0,'Attrition Modeling'!$N$9,0)))</f>
        <v>0</v>
      </c>
      <c r="BA132" s="799">
        <f>AZ132*(1-IFERROR(IF(BA$77+$F132&lt;=12,SUMIFS('Attrition Modeling'!$D:$D,'Attrition Modeling'!$C:$C,$D132,'Attrition Modeling'!$B:$B,BA$76),VLOOKUP($F132+BA$77,$A$7:$C$107,2,FALSE)*VLOOKUP(BA$76,'Attrition Modeling'!$L$15:$N$27,IF(BA$77+$F132&lt;=24,2,3),FALSE)),$C$3)*(1+IF('IP Attrition'!BA189&gt;0,'Attrition Modeling'!$N$9,0)))</f>
        <v>0</v>
      </c>
      <c r="BB132" s="799">
        <f>BA132*(1-IFERROR(IF(BB$77+$F132&lt;=12,SUMIFS('Attrition Modeling'!$D:$D,'Attrition Modeling'!$C:$C,$D132,'Attrition Modeling'!$B:$B,BB$76),VLOOKUP($F132+BB$77,$A$7:$C$107,2,FALSE)*VLOOKUP(BB$76,'Attrition Modeling'!$L$15:$N$27,IF(BB$77+$F132&lt;=24,2,3),FALSE)),$C$3)*(1+IF('IP Attrition'!BB189&gt;0,'Attrition Modeling'!$N$9,0)))</f>
        <v>0</v>
      </c>
      <c r="BC132" s="799">
        <f>BB132*(1-IFERROR(IF(BC$77+$F132&lt;=12,SUMIFS('Attrition Modeling'!$D:$D,'Attrition Modeling'!$C:$C,$D132,'Attrition Modeling'!$B:$B,BC$76),VLOOKUP($F132+BC$77,$A$7:$C$107,2,FALSE)*VLOOKUP(BC$76,'Attrition Modeling'!$L$15:$N$27,IF(BC$77+$F132&lt;=24,2,3),FALSE)),$C$3)*(1+IF('IP Attrition'!BC189&gt;0,'Attrition Modeling'!$N$9,0)))</f>
        <v>0</v>
      </c>
      <c r="BD132" s="799">
        <f>BC132*(1-IFERROR(IF(BD$77+$F132&lt;=12,SUMIFS('Attrition Modeling'!$D:$D,'Attrition Modeling'!$C:$C,$D132,'Attrition Modeling'!$B:$B,BD$76),VLOOKUP($F132+BD$77,$A$7:$C$107,2,FALSE)*VLOOKUP(BD$76,'Attrition Modeling'!$L$15:$N$27,IF(BD$77+$F132&lt;=24,2,3),FALSE)),$C$3)*(1+IF('IP Attrition'!BD189&gt;0,'Attrition Modeling'!$N$9,0)))</f>
        <v>0</v>
      </c>
      <c r="BE132" s="799">
        <f>BD132*(1-IFERROR(IF(BE$77+$F132&lt;=12,SUMIFS('Attrition Modeling'!$D:$D,'Attrition Modeling'!$C:$C,$D132,'Attrition Modeling'!$B:$B,BE$76),VLOOKUP($F132+BE$77,$A$7:$C$107,2,FALSE)*VLOOKUP(BE$76,'Attrition Modeling'!$L$15:$N$27,IF(BE$77+$F132&lt;=24,2,3),FALSE)),$C$3)*(1+IF('IP Attrition'!BE189&gt;0,'Attrition Modeling'!$N$9,0)))</f>
        <v>0</v>
      </c>
      <c r="BF132" s="799">
        <f>BE132*(1-IFERROR(IF(BF$77+$F132&lt;=12,SUMIFS('Attrition Modeling'!$D:$D,'Attrition Modeling'!$C:$C,$D132,'Attrition Modeling'!$B:$B,BF$76),VLOOKUP($F132+BF$77,$A$7:$C$107,2,FALSE)*VLOOKUP(BF$76,'Attrition Modeling'!$L$15:$N$27,IF(BF$77+$F132&lt;=24,2,3),FALSE)),$C$3)*(1+IF('IP Attrition'!BF189&gt;0,'Attrition Modeling'!$N$9,0)))</f>
        <v>0</v>
      </c>
      <c r="BG132" s="799">
        <f>BF132*(1-IFERROR(IF(BG$77+$F132&lt;=12,SUMIFS('Attrition Modeling'!$D:$D,'Attrition Modeling'!$C:$C,$D132,'Attrition Modeling'!$B:$B,BG$76),VLOOKUP($F132+BG$77,$A$7:$C$107,2,FALSE)*VLOOKUP(BG$76,'Attrition Modeling'!$L$15:$N$27,IF(BG$77+$F132&lt;=24,2,3),FALSE)),$C$3)*(1+IF('IP Attrition'!BG189&gt;0,'Attrition Modeling'!$N$9,0)))</f>
        <v>0</v>
      </c>
      <c r="BH132" s="799">
        <f>BG132*(1-IFERROR(IF(BH$77+$F132&lt;=12,SUMIFS('Attrition Modeling'!$D:$D,'Attrition Modeling'!$C:$C,$D132,'Attrition Modeling'!$B:$B,BH$76),VLOOKUP($F132+BH$77,$A$7:$C$107,2,FALSE)*VLOOKUP(BH$76,'Attrition Modeling'!$L$15:$N$27,IF(BH$77+$F132&lt;=24,2,3),FALSE)),$C$3)*(1+IF('IP Attrition'!BH189&gt;0,'Attrition Modeling'!$N$9,0)))</f>
        <v>0</v>
      </c>
      <c r="BI132" s="799">
        <f>BH132*(1-IFERROR(IF(BI$77+$F132&lt;=12,SUMIFS('Attrition Modeling'!$D:$D,'Attrition Modeling'!$C:$C,$D132,'Attrition Modeling'!$B:$B,BI$76),VLOOKUP($F132+BI$77,$A$7:$C$107,2,FALSE)*VLOOKUP(BI$76,'Attrition Modeling'!$L$15:$N$27,IF(BI$77+$F132&lt;=24,2,3),FALSE)),$C$3)*(1+IF('IP Attrition'!BI189&gt;0,'Attrition Modeling'!$N$9,0)))</f>
        <v>0</v>
      </c>
      <c r="BJ132" s="799">
        <f>BI132*(1-IFERROR(IF(BJ$77+$F132&lt;=12,SUMIFS('Attrition Modeling'!$D:$D,'Attrition Modeling'!$C:$C,$D132,'Attrition Modeling'!$B:$B,BJ$76),VLOOKUP($F132+BJ$77,$A$7:$C$107,2,FALSE)*VLOOKUP(BJ$76,'Attrition Modeling'!$L$15:$N$27,IF(BJ$77+$F132&lt;=24,2,3),FALSE)),$C$3)*(1+IF('IP Attrition'!BJ189&gt;0,'Attrition Modeling'!$N$9,0)))</f>
        <v>0</v>
      </c>
      <c r="BK132" s="799">
        <f>BJ132*(1-IFERROR(IF(BK$77+$F132&lt;=12,SUMIFS('Attrition Modeling'!$D:$D,'Attrition Modeling'!$C:$C,$D132,'Attrition Modeling'!$B:$B,BK$76),VLOOKUP($F132+BK$77,$A$7:$C$107,2,FALSE)*VLOOKUP(BK$76,'Attrition Modeling'!$L$15:$N$27,IF(BK$77+$F132&lt;=24,2,3),FALSE)),$C$3)*(1+IF('IP Attrition'!BK189&gt;0,'Attrition Modeling'!$N$9,0)))</f>
        <v>0</v>
      </c>
      <c r="BL132" s="799">
        <f>BK132*(1-IFERROR(IF(BL$77+$F132&lt;=12,SUMIFS('Attrition Modeling'!$D:$D,'Attrition Modeling'!$C:$C,$D132,'Attrition Modeling'!$B:$B,BL$76),VLOOKUP($F132+BL$77,$A$7:$C$107,2,FALSE)*VLOOKUP(BL$76,'Attrition Modeling'!$L$15:$N$27,IF(BL$77+$F132&lt;=24,2,3),FALSE)),$C$3)*(1+IF('IP Attrition'!BL189&gt;0,'Attrition Modeling'!$N$9,0)))</f>
        <v>0</v>
      </c>
      <c r="BM132" s="799">
        <f>BL132*(1-IFERROR(IF(BM$77+$F132&lt;=12,SUMIFS('Attrition Modeling'!$D:$D,'Attrition Modeling'!$C:$C,$D132,'Attrition Modeling'!$B:$B,BM$76),VLOOKUP($F132+BM$77,$A$7:$C$107,2,FALSE)*VLOOKUP(BM$76,'Attrition Modeling'!$L$15:$N$27,IF(BM$77+$F132&lt;=24,2,3),FALSE)),$C$3)*(1+IF('IP Attrition'!BM189&gt;0,'Attrition Modeling'!$N$9,0)))</f>
        <v>0</v>
      </c>
      <c r="BN132" s="799">
        <f>BM132*(1-IFERROR(IF(BN$77+$F132&lt;=12,SUMIFS('Attrition Modeling'!$D:$D,'Attrition Modeling'!$C:$C,$D132,'Attrition Modeling'!$B:$B,BN$76),VLOOKUP($F132+BN$77,$A$7:$C$107,2,FALSE)*VLOOKUP(BN$76,'Attrition Modeling'!$L$15:$N$27,IF(BN$77+$F132&lt;=24,2,3),FALSE)),$C$3)*(1+IF('IP Attrition'!BN189&gt;0,'Attrition Modeling'!$N$9,0)))</f>
        <v>0</v>
      </c>
      <c r="BO132" s="799">
        <f>BN132*(1-IFERROR(IF(BO$77+$F132&lt;=12,SUMIFS('Attrition Modeling'!$D:$D,'Attrition Modeling'!$C:$C,$D132,'Attrition Modeling'!$B:$B,BO$76),VLOOKUP($F132+BO$77,$A$7:$C$107,2,FALSE)*VLOOKUP(BO$76,'Attrition Modeling'!$L$15:$N$27,IF(BO$77+$F132&lt;=24,2,3),FALSE)),$C$3)*(1+IF('IP Attrition'!BO189&gt;0,'Attrition Modeling'!$N$9,0)))</f>
        <v>0</v>
      </c>
      <c r="BP132" s="799">
        <f>BO132*(1-IFERROR(IF(BP$77+$F132&lt;=12,SUMIFS('Attrition Modeling'!$D:$D,'Attrition Modeling'!$C:$C,$D132,'Attrition Modeling'!$B:$B,BP$76),VLOOKUP($F132+BP$77,$A$7:$C$107,2,FALSE)*VLOOKUP(BP$76,'Attrition Modeling'!$L$15:$N$27,IF(BP$77+$F132&lt;=24,2,3),FALSE)),$C$3)*(1+IF('IP Attrition'!BP189&gt;0,'Attrition Modeling'!$N$9,0)))</f>
        <v>0</v>
      </c>
      <c r="BQ132" s="799">
        <f>BP132*(1-IFERROR(IF(BQ$77+$F132&lt;=12,SUMIFS('Attrition Modeling'!$D:$D,'Attrition Modeling'!$C:$C,$D132,'Attrition Modeling'!$B:$B,BQ$76),VLOOKUP($F132+BQ$77,$A$7:$C$107,2,FALSE)*VLOOKUP(BQ$76,'Attrition Modeling'!$L$15:$N$27,IF(BQ$77+$F132&lt;=24,2,3),FALSE)),$C$3)*(1+IF('IP Attrition'!BQ189&gt;0,'Attrition Modeling'!$N$9,0)))</f>
        <v>0</v>
      </c>
      <c r="BR132" s="799">
        <f>BQ132*(1-IFERROR(IF(BR$77+$F132&lt;=12,SUMIFS('Attrition Modeling'!$D:$D,'Attrition Modeling'!$C:$C,$D132,'Attrition Modeling'!$B:$B,BR$76),VLOOKUP($F132+BR$77,$A$7:$C$107,2,FALSE)*VLOOKUP(BR$76,'Attrition Modeling'!$L$15:$N$27,IF(BR$77+$F132&lt;=24,2,3),FALSE)),$C$3)*(1+IF('IP Attrition'!BR189&gt;0,'Attrition Modeling'!$N$9,0)))</f>
        <v>0</v>
      </c>
      <c r="BS132" s="799">
        <f>BR132*(1-IFERROR(IF(BS$77+$F132&lt;=12,SUMIFS('Attrition Modeling'!$D:$D,'Attrition Modeling'!$C:$C,$D132,'Attrition Modeling'!$B:$B,BS$76),VLOOKUP($F132+BS$77,$A$7:$C$107,2,FALSE)*VLOOKUP(BS$76,'Attrition Modeling'!$L$15:$N$27,IF(BS$77+$F132&lt;=24,2,3),FALSE)),$C$3)*(1+IF('IP Attrition'!BS189&gt;0,'Attrition Modeling'!$N$9,0)))</f>
        <v>0</v>
      </c>
      <c r="BT132" s="799" t="e">
        <f>BS132*(1-IFERROR(IF(BT$77+$F132&lt;=12,SUMIFS('Attrition Modeling'!$D:$D,'Attrition Modeling'!$C:$C,$D132,'Attrition Modeling'!$B:$B,BT$76),VLOOKUP($F132+BT$77,$A$7:$C$107,2,FALSE)*VLOOKUP(BT$76,'Attrition Modeling'!$L$15:$N$27,IF(BT$77+$F132&lt;=24,2,3),FALSE)),$C$3)*(1+IF('IP Attrition'!BT189&gt;0,'Attrition Modeling'!$N$9,0)))</f>
        <v>#REF!</v>
      </c>
      <c r="BU132" s="799" t="e">
        <f>BT132*(1-IFERROR(IF(BU$77+$F132&lt;=12,SUMIFS('Attrition Modeling'!$D:$D,'Attrition Modeling'!$C:$C,$D132,'Attrition Modeling'!$B:$B,BU$76),VLOOKUP($F132+BU$77,$A$7:$C$107,2,FALSE)*VLOOKUP(BU$76,'Attrition Modeling'!$L$15:$N$27,IF(BU$77+$F132&lt;=24,2,3),FALSE)),$C$3)*(1+IF('IP Attrition'!BU189&gt;0,'Attrition Modeling'!$N$9,0)))</f>
        <v>#REF!</v>
      </c>
    </row>
    <row r="133" spans="1:73" ht="14.25" customHeight="1" x14ac:dyDescent="0.2">
      <c r="A133" s="9">
        <v>125</v>
      </c>
      <c r="B133" s="25">
        <f>MAX('Attrition Modeling'!H129,$C$3)*(1-Summary!$C$20)</f>
        <v>0.02</v>
      </c>
      <c r="C133" s="24" t="e">
        <f t="shared" si="2"/>
        <v>#DIV/0!</v>
      </c>
      <c r="D133" s="11">
        <f>'IP Attrition'!D125</f>
        <v>-55</v>
      </c>
      <c r="E133" s="25">
        <f>'IP Attrition'!E125</f>
        <v>0</v>
      </c>
      <c r="F133" s="11">
        <f t="shared" si="8"/>
        <v>55</v>
      </c>
      <c r="G133" s="799">
        <f>Summary!$C$24*$E133</f>
        <v>0</v>
      </c>
      <c r="H133" s="799">
        <f>G133*(1-IFERROR(IF(H$77+$F133&lt;=12,SUMIFS('Attrition Modeling'!$D:$D,'Attrition Modeling'!$C:$C,$D133,'Attrition Modeling'!$B:$B,H$76),VLOOKUP($F133+H$77,$A$7:$C$107,2,FALSE)*VLOOKUP(H$76,'Attrition Modeling'!$L$15:$N$27,IF(H$77+$F133&lt;=24,2,3),FALSE)),$C$3)*(1+IF('IP Attrition'!H190&gt;0,'Attrition Modeling'!$N$9,0)))</f>
        <v>0</v>
      </c>
      <c r="I133" s="799">
        <f>H133*(1-IFERROR(IF(I$77+$F133&lt;=12,SUMIFS('Attrition Modeling'!$D:$D,'Attrition Modeling'!$C:$C,$D133,'Attrition Modeling'!$B:$B,I$76),VLOOKUP($F133+I$77,$A$7:$C$107,2,FALSE)*VLOOKUP(I$76,'Attrition Modeling'!$L$15:$N$27,IF(I$77+$F133&lt;=24,2,3),FALSE)),$C$3)*(1+IF('IP Attrition'!I190&gt;0,'Attrition Modeling'!$N$9,0)))</f>
        <v>0</v>
      </c>
      <c r="J133" s="799">
        <f>I133*(1-IFERROR(IF(J$77+$F133&lt;=12,SUMIFS('Attrition Modeling'!$D:$D,'Attrition Modeling'!$C:$C,$D133,'Attrition Modeling'!$B:$B,J$76),VLOOKUP($F133+J$77,$A$7:$C$107,2,FALSE)*VLOOKUP(J$76,'Attrition Modeling'!$L$15:$N$27,IF(J$77+$F133&lt;=24,2,3),FALSE)),$C$3)*(1+IF('IP Attrition'!J190&gt;0,'Attrition Modeling'!$N$9,0)))</f>
        <v>0</v>
      </c>
      <c r="K133" s="799">
        <f>J133*(1-IFERROR(IF(K$77+$F133&lt;=12,SUMIFS('Attrition Modeling'!$D:$D,'Attrition Modeling'!$C:$C,$D133,'Attrition Modeling'!$B:$B,K$76),VLOOKUP($F133+K$77,$A$7:$C$107,2,FALSE)*VLOOKUP(K$76,'Attrition Modeling'!$L$15:$N$27,IF(K$77+$F133&lt;=24,2,3),FALSE)),$C$3)*(1+IF('IP Attrition'!K190&gt;0,'Attrition Modeling'!$N$9,0)))</f>
        <v>0</v>
      </c>
      <c r="L133" s="799">
        <f>K133*(1-IFERROR(IF(L$77+$F133&lt;=12,SUMIFS('Attrition Modeling'!$D:$D,'Attrition Modeling'!$C:$C,$D133,'Attrition Modeling'!$B:$B,L$76),VLOOKUP($F133+L$77,$A$7:$C$107,2,FALSE)*VLOOKUP(L$76,'Attrition Modeling'!$L$15:$N$27,IF(L$77+$F133&lt;=24,2,3),FALSE)),$C$3)*(1+IF('IP Attrition'!L190&gt;0,'Attrition Modeling'!$N$9,0)))</f>
        <v>0</v>
      </c>
      <c r="M133" s="799">
        <f>L133*(1-IFERROR(IF(M$77+$F133&lt;=12,SUMIFS('Attrition Modeling'!$D:$D,'Attrition Modeling'!$C:$C,$D133,'Attrition Modeling'!$B:$B,M$76),VLOOKUP($F133+M$77,$A$7:$C$107,2,FALSE)*VLOOKUP(M$76,'Attrition Modeling'!$L$15:$N$27,IF(M$77+$F133&lt;=24,2,3),FALSE)),$C$3)*(1+IF('IP Attrition'!M190&gt;0,'Attrition Modeling'!$N$9,0)))</f>
        <v>0</v>
      </c>
      <c r="N133" s="799">
        <f>M133*(1-IFERROR(IF(N$77+$F133&lt;=12,SUMIFS('Attrition Modeling'!$D:$D,'Attrition Modeling'!$C:$C,$D133,'Attrition Modeling'!$B:$B,N$76),VLOOKUP($F133+N$77,$A$7:$C$107,2,FALSE)*VLOOKUP(N$76,'Attrition Modeling'!$L$15:$N$27,IF(N$77+$F133&lt;=24,2,3),FALSE)),$C$3)*(1+IF('IP Attrition'!N190&gt;0,'Attrition Modeling'!$N$9,0)))</f>
        <v>0</v>
      </c>
      <c r="O133" s="799">
        <f>N133*(1-IFERROR(IF(O$77+$F133&lt;=12,SUMIFS('Attrition Modeling'!$D:$D,'Attrition Modeling'!$C:$C,$D133,'Attrition Modeling'!$B:$B,O$76),VLOOKUP($F133+O$77,$A$7:$C$107,2,FALSE)*VLOOKUP(O$76,'Attrition Modeling'!$L$15:$N$27,IF(O$77+$F133&lt;=24,2,3),FALSE)),$C$3)*(1+IF('IP Attrition'!O190&gt;0,'Attrition Modeling'!$N$9,0)))</f>
        <v>0</v>
      </c>
      <c r="P133" s="799">
        <f>O133*(1-IFERROR(IF(P$77+$F133&lt;=12,SUMIFS('Attrition Modeling'!$D:$D,'Attrition Modeling'!$C:$C,$D133,'Attrition Modeling'!$B:$B,P$76),VLOOKUP($F133+P$77,$A$7:$C$107,2,FALSE)*VLOOKUP(P$76,'Attrition Modeling'!$L$15:$N$27,IF(P$77+$F133&lt;=24,2,3),FALSE)),$C$3)*(1+IF('IP Attrition'!P190&gt;0,'Attrition Modeling'!$N$9,0)))</f>
        <v>0</v>
      </c>
      <c r="Q133" s="799">
        <f>P133*(1-IFERROR(IF(Q$77+$F133&lt;=12,SUMIFS('Attrition Modeling'!$D:$D,'Attrition Modeling'!$C:$C,$D133,'Attrition Modeling'!$B:$B,Q$76),VLOOKUP($F133+Q$77,$A$7:$C$107,2,FALSE)*VLOOKUP(Q$76,'Attrition Modeling'!$L$15:$N$27,IF(Q$77+$F133&lt;=24,2,3),FALSE)),$C$3)*(1+IF('IP Attrition'!Q190&gt;0,'Attrition Modeling'!$N$9,0)))</f>
        <v>0</v>
      </c>
      <c r="R133" s="799">
        <f>Q133*(1-IFERROR(IF(R$77+$F133&lt;=12,SUMIFS('Attrition Modeling'!$D:$D,'Attrition Modeling'!$C:$C,$D133,'Attrition Modeling'!$B:$B,R$76),VLOOKUP($F133+R$77,$A$7:$C$107,2,FALSE)*VLOOKUP(R$76,'Attrition Modeling'!$L$15:$N$27,IF(R$77+$F133&lt;=24,2,3),FALSE)),$C$3)*(1+IF('IP Attrition'!R190&gt;0,'Attrition Modeling'!$N$9,0)))</f>
        <v>0</v>
      </c>
      <c r="S133" s="799">
        <f>R133*(1-IFERROR(IF(S$77+$F133&lt;=12,SUMIFS('Attrition Modeling'!$D:$D,'Attrition Modeling'!$C:$C,$D133,'Attrition Modeling'!$B:$B,S$76),VLOOKUP($F133+S$77,$A$7:$C$107,2,FALSE)*VLOOKUP(S$76,'Attrition Modeling'!$L$15:$N$27,IF(S$77+$F133&lt;=24,2,3),FALSE)),$C$3)*(1+IF('IP Attrition'!S190&gt;0,'Attrition Modeling'!$N$9,0)))</f>
        <v>0</v>
      </c>
      <c r="T133" s="799">
        <f>S133*(1-IFERROR(IF(T$77+$F133&lt;=12,SUMIFS('Attrition Modeling'!$D:$D,'Attrition Modeling'!$C:$C,$D133,'Attrition Modeling'!$B:$B,T$76),VLOOKUP($F133+T$77,$A$7:$C$107,2,FALSE)*VLOOKUP(T$76,'Attrition Modeling'!$L$15:$N$27,IF(T$77+$F133&lt;=24,2,3),FALSE)),$C$3)*(1+IF('IP Attrition'!T190&gt;0,'Attrition Modeling'!$N$9,0)))</f>
        <v>0</v>
      </c>
      <c r="U133" s="799">
        <f>T133*(1-IFERROR(IF(U$77+$F133&lt;=12,SUMIFS('Attrition Modeling'!$D:$D,'Attrition Modeling'!$C:$C,$D133,'Attrition Modeling'!$B:$B,U$76),VLOOKUP($F133+U$77,$A$7:$C$107,2,FALSE)*VLOOKUP(U$76,'Attrition Modeling'!$L$15:$N$27,IF(U$77+$F133&lt;=24,2,3),FALSE)),$C$3)*(1+IF('IP Attrition'!U190&gt;0,'Attrition Modeling'!$N$9,0)))</f>
        <v>0</v>
      </c>
      <c r="V133" s="799">
        <f>U133*(1-IFERROR(IF(V$77+$F133&lt;=12,SUMIFS('Attrition Modeling'!$D:$D,'Attrition Modeling'!$C:$C,$D133,'Attrition Modeling'!$B:$B,V$76),VLOOKUP($F133+V$77,$A$7:$C$107,2,FALSE)*VLOOKUP(V$76,'Attrition Modeling'!$L$15:$N$27,IF(V$77+$F133&lt;=24,2,3),FALSE)),$C$3)*(1+IF('IP Attrition'!V190&gt;0,'Attrition Modeling'!$N$9,0)))</f>
        <v>0</v>
      </c>
      <c r="W133" s="799">
        <f>V133*(1-IFERROR(IF(W$77+$F133&lt;=12,SUMIFS('Attrition Modeling'!$D:$D,'Attrition Modeling'!$C:$C,$D133,'Attrition Modeling'!$B:$B,W$76),VLOOKUP($F133+W$77,$A$7:$C$107,2,FALSE)*VLOOKUP(W$76,'Attrition Modeling'!$L$15:$N$27,IF(W$77+$F133&lt;=24,2,3),FALSE)),$C$3)*(1+IF('IP Attrition'!W190&gt;0,'Attrition Modeling'!$N$9,0)))</f>
        <v>0</v>
      </c>
      <c r="X133" s="799">
        <f>W133*(1-IFERROR(IF(X$77+$F133&lt;=12,SUMIFS('Attrition Modeling'!$D:$D,'Attrition Modeling'!$C:$C,$D133,'Attrition Modeling'!$B:$B,X$76),VLOOKUP($F133+X$77,$A$7:$C$107,2,FALSE)*VLOOKUP(X$76,'Attrition Modeling'!$L$15:$N$27,IF(X$77+$F133&lt;=24,2,3),FALSE)),$C$3)*(1+IF('IP Attrition'!X190&gt;0,'Attrition Modeling'!$N$9,0)))</f>
        <v>0</v>
      </c>
      <c r="Y133" s="799">
        <f>X133*(1-IFERROR(IF(Y$77+$F133&lt;=12,SUMIFS('Attrition Modeling'!$D:$D,'Attrition Modeling'!$C:$C,$D133,'Attrition Modeling'!$B:$B,Y$76),VLOOKUP($F133+Y$77,$A$7:$C$107,2,FALSE)*VLOOKUP(Y$76,'Attrition Modeling'!$L$15:$N$27,IF(Y$77+$F133&lt;=24,2,3),FALSE)),$C$3)*(1+IF('IP Attrition'!Y190&gt;0,'Attrition Modeling'!$N$9,0)))</f>
        <v>0</v>
      </c>
      <c r="Z133" s="799">
        <f>Y133*(1-IFERROR(IF(Z$77+$F133&lt;=12,SUMIFS('Attrition Modeling'!$D:$D,'Attrition Modeling'!$C:$C,$D133,'Attrition Modeling'!$B:$B,Z$76),VLOOKUP($F133+Z$77,$A$7:$C$107,2,FALSE)*VLOOKUP(Z$76,'Attrition Modeling'!$L$15:$N$27,IF(Z$77+$F133&lt;=24,2,3),FALSE)),$C$3)*(1+IF('IP Attrition'!Z190&gt;0,'Attrition Modeling'!$N$9,0)))</f>
        <v>0</v>
      </c>
      <c r="AA133" s="799">
        <f>Z133*(1-IFERROR(IF(AA$77+$F133&lt;=12,SUMIFS('Attrition Modeling'!$D:$D,'Attrition Modeling'!$C:$C,$D133,'Attrition Modeling'!$B:$B,AA$76),VLOOKUP($F133+AA$77,$A$7:$C$107,2,FALSE)*VLOOKUP(AA$76,'Attrition Modeling'!$L$15:$N$27,IF(AA$77+$F133&lt;=24,2,3),FALSE)),$C$3)*(1+IF('IP Attrition'!AA190&gt;0,'Attrition Modeling'!$N$9,0)))</f>
        <v>0</v>
      </c>
      <c r="AB133" s="799">
        <f>AA133*(1-IFERROR(IF(AB$77+$F133&lt;=12,SUMIFS('Attrition Modeling'!$D:$D,'Attrition Modeling'!$C:$C,$D133,'Attrition Modeling'!$B:$B,AB$76),VLOOKUP($F133+AB$77,$A$7:$C$107,2,FALSE)*VLOOKUP(AB$76,'Attrition Modeling'!$L$15:$N$27,IF(AB$77+$F133&lt;=24,2,3),FALSE)),$C$3)*(1+IF('IP Attrition'!AB190&gt;0,'Attrition Modeling'!$N$9,0)))</f>
        <v>0</v>
      </c>
      <c r="AC133" s="799">
        <f>AB133*(1-IFERROR(IF(AC$77+$F133&lt;=12,SUMIFS('Attrition Modeling'!$D:$D,'Attrition Modeling'!$C:$C,$D133,'Attrition Modeling'!$B:$B,AC$76),VLOOKUP($F133+AC$77,$A$7:$C$107,2,FALSE)*VLOOKUP(AC$76,'Attrition Modeling'!$L$15:$N$27,IF(AC$77+$F133&lt;=24,2,3),FALSE)),$C$3)*(1+IF('IP Attrition'!AC190&gt;0,'Attrition Modeling'!$N$9,0)))</f>
        <v>0</v>
      </c>
      <c r="AD133" s="799">
        <f>AC133*(1-IFERROR(IF(AD$77+$F133&lt;=12,SUMIFS('Attrition Modeling'!$D:$D,'Attrition Modeling'!$C:$C,$D133,'Attrition Modeling'!$B:$B,AD$76),VLOOKUP($F133+AD$77,$A$7:$C$107,2,FALSE)*VLOOKUP(AD$76,'Attrition Modeling'!$L$15:$N$27,IF(AD$77+$F133&lt;=24,2,3),FALSE)),$C$3)*(1+IF('IP Attrition'!AD190&gt;0,'Attrition Modeling'!$N$9,0)))</f>
        <v>0</v>
      </c>
      <c r="AE133" s="799">
        <f>AD133*(1-IFERROR(IF(AE$77+$F133&lt;=12,SUMIFS('Attrition Modeling'!$D:$D,'Attrition Modeling'!$C:$C,$D133,'Attrition Modeling'!$B:$B,AE$76),VLOOKUP($F133+AE$77,$A$7:$C$107,2,FALSE)*VLOOKUP(AE$76,'Attrition Modeling'!$L$15:$N$27,IF(AE$77+$F133&lt;=24,2,3),FALSE)),$C$3)*(1+IF('IP Attrition'!AE190&gt;0,'Attrition Modeling'!$N$9,0)))</f>
        <v>0</v>
      </c>
      <c r="AF133" s="799">
        <f>AE133*(1-IFERROR(IF(AF$77+$F133&lt;=12,SUMIFS('Attrition Modeling'!$D:$D,'Attrition Modeling'!$C:$C,$D133,'Attrition Modeling'!$B:$B,AF$76),VLOOKUP($F133+AF$77,$A$7:$C$107,2,FALSE)*VLOOKUP(AF$76,'Attrition Modeling'!$L$15:$N$27,IF(AF$77+$F133&lt;=24,2,3),FALSE)),$C$3)*(1+IF('IP Attrition'!AF190&gt;0,'Attrition Modeling'!$N$9,0)))</f>
        <v>0</v>
      </c>
      <c r="AG133" s="799">
        <f>AF133*(1-IFERROR(IF(AG$77+$F133&lt;=12,SUMIFS('Attrition Modeling'!$D:$D,'Attrition Modeling'!$C:$C,$D133,'Attrition Modeling'!$B:$B,AG$76),VLOOKUP($F133+AG$77,$A$7:$C$107,2,FALSE)*VLOOKUP(AG$76,'Attrition Modeling'!$L$15:$N$27,IF(AG$77+$F133&lt;=24,2,3),FALSE)),$C$3)*(1+IF('IP Attrition'!AG190&gt;0,'Attrition Modeling'!$N$9,0)))</f>
        <v>0</v>
      </c>
      <c r="AH133" s="799">
        <f>AG133*(1-IFERROR(IF(AH$77+$F133&lt;=12,SUMIFS('Attrition Modeling'!$D:$D,'Attrition Modeling'!$C:$C,$D133,'Attrition Modeling'!$B:$B,AH$76),VLOOKUP($F133+AH$77,$A$7:$C$107,2,FALSE)*VLOOKUP(AH$76,'Attrition Modeling'!$L$15:$N$27,IF(AH$77+$F133&lt;=24,2,3),FALSE)),$C$3)*(1+IF('IP Attrition'!AH190&gt;0,'Attrition Modeling'!$N$9,0)))</f>
        <v>0</v>
      </c>
      <c r="AI133" s="799">
        <f>AH133*(1-IFERROR(IF(AI$77+$F133&lt;=12,SUMIFS('Attrition Modeling'!$D:$D,'Attrition Modeling'!$C:$C,$D133,'Attrition Modeling'!$B:$B,AI$76),VLOOKUP($F133+AI$77,$A$7:$C$107,2,FALSE)*VLOOKUP(AI$76,'Attrition Modeling'!$L$15:$N$27,IF(AI$77+$F133&lt;=24,2,3),FALSE)),$C$3)*(1+IF('IP Attrition'!AI190&gt;0,'Attrition Modeling'!$N$9,0)))</f>
        <v>0</v>
      </c>
      <c r="AJ133" s="799">
        <f>AI133*(1-IFERROR(IF(AJ$77+$F133&lt;=12,SUMIFS('Attrition Modeling'!$D:$D,'Attrition Modeling'!$C:$C,$D133,'Attrition Modeling'!$B:$B,AJ$76),VLOOKUP($F133+AJ$77,$A$7:$C$107,2,FALSE)*VLOOKUP(AJ$76,'Attrition Modeling'!$L$15:$N$27,IF(AJ$77+$F133&lt;=24,2,3),FALSE)),$C$3)*(1+IF('IP Attrition'!AJ190&gt;0,'Attrition Modeling'!$N$9,0)))</f>
        <v>0</v>
      </c>
      <c r="AK133" s="799">
        <f>AJ133*(1-IFERROR(IF(AK$77+$F133&lt;=12,SUMIFS('Attrition Modeling'!$D:$D,'Attrition Modeling'!$C:$C,$D133,'Attrition Modeling'!$B:$B,AK$76),VLOOKUP($F133+AK$77,$A$7:$C$107,2,FALSE)*VLOOKUP(AK$76,'Attrition Modeling'!$L$15:$N$27,IF(AK$77+$F133&lt;=24,2,3),FALSE)),$C$3)*(1+IF('IP Attrition'!AK190&gt;0,'Attrition Modeling'!$N$9,0)))</f>
        <v>0</v>
      </c>
      <c r="AL133" s="799">
        <f>AK133*(1-IFERROR(IF(AL$77+$F133&lt;=12,SUMIFS('Attrition Modeling'!$D:$D,'Attrition Modeling'!$C:$C,$D133,'Attrition Modeling'!$B:$B,AL$76),VLOOKUP($F133+AL$77,$A$7:$C$107,2,FALSE)*VLOOKUP(AL$76,'Attrition Modeling'!$L$15:$N$27,IF(AL$77+$F133&lt;=24,2,3),FALSE)),$C$3)*(1+IF('IP Attrition'!AL190&gt;0,'Attrition Modeling'!$N$9,0)))</f>
        <v>0</v>
      </c>
      <c r="AM133" s="799">
        <f>AL133*(1-IFERROR(IF(AM$77+$F133&lt;=12,SUMIFS('Attrition Modeling'!$D:$D,'Attrition Modeling'!$C:$C,$D133,'Attrition Modeling'!$B:$B,AM$76),VLOOKUP($F133+AM$77,$A$7:$C$107,2,FALSE)*VLOOKUP(AM$76,'Attrition Modeling'!$L$15:$N$27,IF(AM$77+$F133&lt;=24,2,3),FALSE)),$C$3)*(1+IF('IP Attrition'!AM190&gt;0,'Attrition Modeling'!$N$9,0)))</f>
        <v>0</v>
      </c>
      <c r="AN133" s="799">
        <f>AM133*(1-IFERROR(IF(AN$77+$F133&lt;=12,SUMIFS('Attrition Modeling'!$D:$D,'Attrition Modeling'!$C:$C,$D133,'Attrition Modeling'!$B:$B,AN$76),VLOOKUP($F133+AN$77,$A$7:$C$107,2,FALSE)*VLOOKUP(AN$76,'Attrition Modeling'!$L$15:$N$27,IF(AN$77+$F133&lt;=24,2,3),FALSE)),$C$3)*(1+IF('IP Attrition'!AN190&gt;0,'Attrition Modeling'!$N$9,0)))</f>
        <v>0</v>
      </c>
      <c r="AO133" s="799">
        <f>AN133*(1-IFERROR(IF(AO$77+$F133&lt;=12,SUMIFS('Attrition Modeling'!$D:$D,'Attrition Modeling'!$C:$C,$D133,'Attrition Modeling'!$B:$B,AO$76),VLOOKUP($F133+AO$77,$A$7:$C$107,2,FALSE)*VLOOKUP(AO$76,'Attrition Modeling'!$L$15:$N$27,IF(AO$77+$F133&lt;=24,2,3),FALSE)),$C$3)*(1+IF('IP Attrition'!AO190&gt;0,'Attrition Modeling'!$N$9,0)))</f>
        <v>0</v>
      </c>
      <c r="AP133" s="799">
        <f>AO133*(1-IFERROR(IF(AP$77+$F133&lt;=12,SUMIFS('Attrition Modeling'!$D:$D,'Attrition Modeling'!$C:$C,$D133,'Attrition Modeling'!$B:$B,AP$76),VLOOKUP($F133+AP$77,$A$7:$C$107,2,FALSE)*VLOOKUP(AP$76,'Attrition Modeling'!$L$15:$N$27,IF(AP$77+$F133&lt;=24,2,3),FALSE)),$C$3)*(1+IF('IP Attrition'!AP190&gt;0,'Attrition Modeling'!$N$9,0)))</f>
        <v>0</v>
      </c>
      <c r="AQ133" s="799">
        <f>AP133*(1-IFERROR(IF(AQ$77+$F133&lt;=12,SUMIFS('Attrition Modeling'!$D:$D,'Attrition Modeling'!$C:$C,$D133,'Attrition Modeling'!$B:$B,AQ$76),VLOOKUP($F133+AQ$77,$A$7:$C$107,2,FALSE)*VLOOKUP(AQ$76,'Attrition Modeling'!$L$15:$N$27,IF(AQ$77+$F133&lt;=24,2,3),FALSE)),$C$3)*(1+IF('IP Attrition'!AQ190&gt;0,'Attrition Modeling'!$N$9,0)))</f>
        <v>0</v>
      </c>
      <c r="AR133" s="799">
        <f>AQ133*(1-IFERROR(IF(AR$77+$F133&lt;=12,SUMIFS('Attrition Modeling'!$D:$D,'Attrition Modeling'!$C:$C,$D133,'Attrition Modeling'!$B:$B,AR$76),VLOOKUP($F133+AR$77,$A$7:$C$107,2,FALSE)*VLOOKUP(AR$76,'Attrition Modeling'!$L$15:$N$27,IF(AR$77+$F133&lt;=24,2,3),FALSE)),$C$3)*(1+IF('IP Attrition'!AR190&gt;0,'Attrition Modeling'!$N$9,0)))</f>
        <v>0</v>
      </c>
      <c r="AS133" s="799">
        <f>AR133*(1-IFERROR(IF(AS$77+$F133&lt;=12,SUMIFS('Attrition Modeling'!$D:$D,'Attrition Modeling'!$C:$C,$D133,'Attrition Modeling'!$B:$B,AS$76),VLOOKUP($F133+AS$77,$A$7:$C$107,2,FALSE)*VLOOKUP(AS$76,'Attrition Modeling'!$L$15:$N$27,IF(AS$77+$F133&lt;=24,2,3),FALSE)),$C$3)*(1+IF('IP Attrition'!AS190&gt;0,'Attrition Modeling'!$N$9,0)))</f>
        <v>0</v>
      </c>
      <c r="AT133" s="799">
        <f>AS133*(1-IFERROR(IF(AT$77+$F133&lt;=12,SUMIFS('Attrition Modeling'!$D:$D,'Attrition Modeling'!$C:$C,$D133,'Attrition Modeling'!$B:$B,AT$76),VLOOKUP($F133+AT$77,$A$7:$C$107,2,FALSE)*VLOOKUP(AT$76,'Attrition Modeling'!$L$15:$N$27,IF(AT$77+$F133&lt;=24,2,3),FALSE)),$C$3)*(1+IF('IP Attrition'!AT190&gt;0,'Attrition Modeling'!$N$9,0)))</f>
        <v>0</v>
      </c>
      <c r="AU133" s="799">
        <f>AT133*(1-IFERROR(IF(AU$77+$F133&lt;=12,SUMIFS('Attrition Modeling'!$D:$D,'Attrition Modeling'!$C:$C,$D133,'Attrition Modeling'!$B:$B,AU$76),VLOOKUP($F133+AU$77,$A$7:$C$107,2,FALSE)*VLOOKUP(AU$76,'Attrition Modeling'!$L$15:$N$27,IF(AU$77+$F133&lt;=24,2,3),FALSE)),$C$3)*(1+IF('IP Attrition'!AU190&gt;0,'Attrition Modeling'!$N$9,0)))</f>
        <v>0</v>
      </c>
      <c r="AV133" s="799">
        <f>AU133*(1-IFERROR(IF(AV$77+$F133&lt;=12,SUMIFS('Attrition Modeling'!$D:$D,'Attrition Modeling'!$C:$C,$D133,'Attrition Modeling'!$B:$B,AV$76),VLOOKUP($F133+AV$77,$A$7:$C$107,2,FALSE)*VLOOKUP(AV$76,'Attrition Modeling'!$L$15:$N$27,IF(AV$77+$F133&lt;=24,2,3),FALSE)),$C$3)*(1+IF('IP Attrition'!AV190&gt;0,'Attrition Modeling'!$N$9,0)))</f>
        <v>0</v>
      </c>
      <c r="AW133" s="799">
        <f>AV133*(1-IFERROR(IF(AW$77+$F133&lt;=12,SUMIFS('Attrition Modeling'!$D:$D,'Attrition Modeling'!$C:$C,$D133,'Attrition Modeling'!$B:$B,AW$76),VLOOKUP($F133+AW$77,$A$7:$C$107,2,FALSE)*VLOOKUP(AW$76,'Attrition Modeling'!$L$15:$N$27,IF(AW$77+$F133&lt;=24,2,3),FALSE)),$C$3)*(1+IF('IP Attrition'!AW190&gt;0,'Attrition Modeling'!$N$9,0)))</f>
        <v>0</v>
      </c>
      <c r="AX133" s="799">
        <f>AW133*(1-IFERROR(IF(AX$77+$F133&lt;=12,SUMIFS('Attrition Modeling'!$D:$D,'Attrition Modeling'!$C:$C,$D133,'Attrition Modeling'!$B:$B,AX$76),VLOOKUP($F133+AX$77,$A$7:$C$107,2,FALSE)*VLOOKUP(AX$76,'Attrition Modeling'!$L$15:$N$27,IF(AX$77+$F133&lt;=24,2,3),FALSE)),$C$3)*(1+IF('IP Attrition'!AX190&gt;0,'Attrition Modeling'!$N$9,0)))</f>
        <v>0</v>
      </c>
      <c r="AY133" s="799">
        <f>AX133*(1-IFERROR(IF(AY$77+$F133&lt;=12,SUMIFS('Attrition Modeling'!$D:$D,'Attrition Modeling'!$C:$C,$D133,'Attrition Modeling'!$B:$B,AY$76),VLOOKUP($F133+AY$77,$A$7:$C$107,2,FALSE)*VLOOKUP(AY$76,'Attrition Modeling'!$L$15:$N$27,IF(AY$77+$F133&lt;=24,2,3),FALSE)),$C$3)*(1+IF('IP Attrition'!AY190&gt;0,'Attrition Modeling'!$N$9,0)))</f>
        <v>0</v>
      </c>
      <c r="AZ133" s="799">
        <f>AY133*(1-IFERROR(IF(AZ$77+$F133&lt;=12,SUMIFS('Attrition Modeling'!$D:$D,'Attrition Modeling'!$C:$C,$D133,'Attrition Modeling'!$B:$B,AZ$76),VLOOKUP($F133+AZ$77,$A$7:$C$107,2,FALSE)*VLOOKUP(AZ$76,'Attrition Modeling'!$L$15:$N$27,IF(AZ$77+$F133&lt;=24,2,3),FALSE)),$C$3)*(1+IF('IP Attrition'!AZ190&gt;0,'Attrition Modeling'!$N$9,0)))</f>
        <v>0</v>
      </c>
      <c r="BA133" s="799">
        <f>AZ133*(1-IFERROR(IF(BA$77+$F133&lt;=12,SUMIFS('Attrition Modeling'!$D:$D,'Attrition Modeling'!$C:$C,$D133,'Attrition Modeling'!$B:$B,BA$76),VLOOKUP($F133+BA$77,$A$7:$C$107,2,FALSE)*VLOOKUP(BA$76,'Attrition Modeling'!$L$15:$N$27,IF(BA$77+$F133&lt;=24,2,3),FALSE)),$C$3)*(1+IF('IP Attrition'!BA190&gt;0,'Attrition Modeling'!$N$9,0)))</f>
        <v>0</v>
      </c>
      <c r="BB133" s="799">
        <f>BA133*(1-IFERROR(IF(BB$77+$F133&lt;=12,SUMIFS('Attrition Modeling'!$D:$D,'Attrition Modeling'!$C:$C,$D133,'Attrition Modeling'!$B:$B,BB$76),VLOOKUP($F133+BB$77,$A$7:$C$107,2,FALSE)*VLOOKUP(BB$76,'Attrition Modeling'!$L$15:$N$27,IF(BB$77+$F133&lt;=24,2,3),FALSE)),$C$3)*(1+IF('IP Attrition'!BB190&gt;0,'Attrition Modeling'!$N$9,0)))</f>
        <v>0</v>
      </c>
      <c r="BC133" s="799">
        <f>BB133*(1-IFERROR(IF(BC$77+$F133&lt;=12,SUMIFS('Attrition Modeling'!$D:$D,'Attrition Modeling'!$C:$C,$D133,'Attrition Modeling'!$B:$B,BC$76),VLOOKUP($F133+BC$77,$A$7:$C$107,2,FALSE)*VLOOKUP(BC$76,'Attrition Modeling'!$L$15:$N$27,IF(BC$77+$F133&lt;=24,2,3),FALSE)),$C$3)*(1+IF('IP Attrition'!BC190&gt;0,'Attrition Modeling'!$N$9,0)))</f>
        <v>0</v>
      </c>
      <c r="BD133" s="799">
        <f>BC133*(1-IFERROR(IF(BD$77+$F133&lt;=12,SUMIFS('Attrition Modeling'!$D:$D,'Attrition Modeling'!$C:$C,$D133,'Attrition Modeling'!$B:$B,BD$76),VLOOKUP($F133+BD$77,$A$7:$C$107,2,FALSE)*VLOOKUP(BD$76,'Attrition Modeling'!$L$15:$N$27,IF(BD$77+$F133&lt;=24,2,3),FALSE)),$C$3)*(1+IF('IP Attrition'!BD190&gt;0,'Attrition Modeling'!$N$9,0)))</f>
        <v>0</v>
      </c>
      <c r="BE133" s="799">
        <f>BD133*(1-IFERROR(IF(BE$77+$F133&lt;=12,SUMIFS('Attrition Modeling'!$D:$D,'Attrition Modeling'!$C:$C,$D133,'Attrition Modeling'!$B:$B,BE$76),VLOOKUP($F133+BE$77,$A$7:$C$107,2,FALSE)*VLOOKUP(BE$76,'Attrition Modeling'!$L$15:$N$27,IF(BE$77+$F133&lt;=24,2,3),FALSE)),$C$3)*(1+IF('IP Attrition'!BE190&gt;0,'Attrition Modeling'!$N$9,0)))</f>
        <v>0</v>
      </c>
      <c r="BF133" s="799">
        <f>BE133*(1-IFERROR(IF(BF$77+$F133&lt;=12,SUMIFS('Attrition Modeling'!$D:$D,'Attrition Modeling'!$C:$C,$D133,'Attrition Modeling'!$B:$B,BF$76),VLOOKUP($F133+BF$77,$A$7:$C$107,2,FALSE)*VLOOKUP(BF$76,'Attrition Modeling'!$L$15:$N$27,IF(BF$77+$F133&lt;=24,2,3),FALSE)),$C$3)*(1+IF('IP Attrition'!BF190&gt;0,'Attrition Modeling'!$N$9,0)))</f>
        <v>0</v>
      </c>
      <c r="BG133" s="799">
        <f>BF133*(1-IFERROR(IF(BG$77+$F133&lt;=12,SUMIFS('Attrition Modeling'!$D:$D,'Attrition Modeling'!$C:$C,$D133,'Attrition Modeling'!$B:$B,BG$76),VLOOKUP($F133+BG$77,$A$7:$C$107,2,FALSE)*VLOOKUP(BG$76,'Attrition Modeling'!$L$15:$N$27,IF(BG$77+$F133&lt;=24,2,3),FALSE)),$C$3)*(1+IF('IP Attrition'!BG190&gt;0,'Attrition Modeling'!$N$9,0)))</f>
        <v>0</v>
      </c>
      <c r="BH133" s="799">
        <f>BG133*(1-IFERROR(IF(BH$77+$F133&lt;=12,SUMIFS('Attrition Modeling'!$D:$D,'Attrition Modeling'!$C:$C,$D133,'Attrition Modeling'!$B:$B,BH$76),VLOOKUP($F133+BH$77,$A$7:$C$107,2,FALSE)*VLOOKUP(BH$76,'Attrition Modeling'!$L$15:$N$27,IF(BH$77+$F133&lt;=24,2,3),FALSE)),$C$3)*(1+IF('IP Attrition'!BH190&gt;0,'Attrition Modeling'!$N$9,0)))</f>
        <v>0</v>
      </c>
      <c r="BI133" s="799">
        <f>BH133*(1-IFERROR(IF(BI$77+$F133&lt;=12,SUMIFS('Attrition Modeling'!$D:$D,'Attrition Modeling'!$C:$C,$D133,'Attrition Modeling'!$B:$B,BI$76),VLOOKUP($F133+BI$77,$A$7:$C$107,2,FALSE)*VLOOKUP(BI$76,'Attrition Modeling'!$L$15:$N$27,IF(BI$77+$F133&lt;=24,2,3),FALSE)),$C$3)*(1+IF('IP Attrition'!BI190&gt;0,'Attrition Modeling'!$N$9,0)))</f>
        <v>0</v>
      </c>
      <c r="BJ133" s="799">
        <f>BI133*(1-IFERROR(IF(BJ$77+$F133&lt;=12,SUMIFS('Attrition Modeling'!$D:$D,'Attrition Modeling'!$C:$C,$D133,'Attrition Modeling'!$B:$B,BJ$76),VLOOKUP($F133+BJ$77,$A$7:$C$107,2,FALSE)*VLOOKUP(BJ$76,'Attrition Modeling'!$L$15:$N$27,IF(BJ$77+$F133&lt;=24,2,3),FALSE)),$C$3)*(1+IF('IP Attrition'!BJ190&gt;0,'Attrition Modeling'!$N$9,0)))</f>
        <v>0</v>
      </c>
      <c r="BK133" s="799">
        <f>BJ133*(1-IFERROR(IF(BK$77+$F133&lt;=12,SUMIFS('Attrition Modeling'!$D:$D,'Attrition Modeling'!$C:$C,$D133,'Attrition Modeling'!$B:$B,BK$76),VLOOKUP($F133+BK$77,$A$7:$C$107,2,FALSE)*VLOOKUP(BK$76,'Attrition Modeling'!$L$15:$N$27,IF(BK$77+$F133&lt;=24,2,3),FALSE)),$C$3)*(1+IF('IP Attrition'!BK190&gt;0,'Attrition Modeling'!$N$9,0)))</f>
        <v>0</v>
      </c>
      <c r="BL133" s="799">
        <f>BK133*(1-IFERROR(IF(BL$77+$F133&lt;=12,SUMIFS('Attrition Modeling'!$D:$D,'Attrition Modeling'!$C:$C,$D133,'Attrition Modeling'!$B:$B,BL$76),VLOOKUP($F133+BL$77,$A$7:$C$107,2,FALSE)*VLOOKUP(BL$76,'Attrition Modeling'!$L$15:$N$27,IF(BL$77+$F133&lt;=24,2,3),FALSE)),$C$3)*(1+IF('IP Attrition'!BL190&gt;0,'Attrition Modeling'!$N$9,0)))</f>
        <v>0</v>
      </c>
      <c r="BM133" s="799">
        <f>BL133*(1-IFERROR(IF(BM$77+$F133&lt;=12,SUMIFS('Attrition Modeling'!$D:$D,'Attrition Modeling'!$C:$C,$D133,'Attrition Modeling'!$B:$B,BM$76),VLOOKUP($F133+BM$77,$A$7:$C$107,2,FALSE)*VLOOKUP(BM$76,'Attrition Modeling'!$L$15:$N$27,IF(BM$77+$F133&lt;=24,2,3),FALSE)),$C$3)*(1+IF('IP Attrition'!BM190&gt;0,'Attrition Modeling'!$N$9,0)))</f>
        <v>0</v>
      </c>
      <c r="BN133" s="799">
        <f>BM133*(1-IFERROR(IF(BN$77+$F133&lt;=12,SUMIFS('Attrition Modeling'!$D:$D,'Attrition Modeling'!$C:$C,$D133,'Attrition Modeling'!$B:$B,BN$76),VLOOKUP($F133+BN$77,$A$7:$C$107,2,FALSE)*VLOOKUP(BN$76,'Attrition Modeling'!$L$15:$N$27,IF(BN$77+$F133&lt;=24,2,3),FALSE)),$C$3)*(1+IF('IP Attrition'!BN190&gt;0,'Attrition Modeling'!$N$9,0)))</f>
        <v>0</v>
      </c>
      <c r="BO133" s="799">
        <f>BN133*(1-IFERROR(IF(BO$77+$F133&lt;=12,SUMIFS('Attrition Modeling'!$D:$D,'Attrition Modeling'!$C:$C,$D133,'Attrition Modeling'!$B:$B,BO$76),VLOOKUP($F133+BO$77,$A$7:$C$107,2,FALSE)*VLOOKUP(BO$76,'Attrition Modeling'!$L$15:$N$27,IF(BO$77+$F133&lt;=24,2,3),FALSE)),$C$3)*(1+IF('IP Attrition'!BO190&gt;0,'Attrition Modeling'!$N$9,0)))</f>
        <v>0</v>
      </c>
      <c r="BP133" s="799">
        <f>BO133*(1-IFERROR(IF(BP$77+$F133&lt;=12,SUMIFS('Attrition Modeling'!$D:$D,'Attrition Modeling'!$C:$C,$D133,'Attrition Modeling'!$B:$B,BP$76),VLOOKUP($F133+BP$77,$A$7:$C$107,2,FALSE)*VLOOKUP(BP$76,'Attrition Modeling'!$L$15:$N$27,IF(BP$77+$F133&lt;=24,2,3),FALSE)),$C$3)*(1+IF('IP Attrition'!BP190&gt;0,'Attrition Modeling'!$N$9,0)))</f>
        <v>0</v>
      </c>
      <c r="BQ133" s="799">
        <f>BP133*(1-IFERROR(IF(BQ$77+$F133&lt;=12,SUMIFS('Attrition Modeling'!$D:$D,'Attrition Modeling'!$C:$C,$D133,'Attrition Modeling'!$B:$B,BQ$76),VLOOKUP($F133+BQ$77,$A$7:$C$107,2,FALSE)*VLOOKUP(BQ$76,'Attrition Modeling'!$L$15:$N$27,IF(BQ$77+$F133&lt;=24,2,3),FALSE)),$C$3)*(1+IF('IP Attrition'!BQ190&gt;0,'Attrition Modeling'!$N$9,0)))</f>
        <v>0</v>
      </c>
      <c r="BR133" s="799">
        <f>BQ133*(1-IFERROR(IF(BR$77+$F133&lt;=12,SUMIFS('Attrition Modeling'!$D:$D,'Attrition Modeling'!$C:$C,$D133,'Attrition Modeling'!$B:$B,BR$76),VLOOKUP($F133+BR$77,$A$7:$C$107,2,FALSE)*VLOOKUP(BR$76,'Attrition Modeling'!$L$15:$N$27,IF(BR$77+$F133&lt;=24,2,3),FALSE)),$C$3)*(1+IF('IP Attrition'!BR190&gt;0,'Attrition Modeling'!$N$9,0)))</f>
        <v>0</v>
      </c>
      <c r="BS133" s="799">
        <f>BR133*(1-IFERROR(IF(BS$77+$F133&lt;=12,SUMIFS('Attrition Modeling'!$D:$D,'Attrition Modeling'!$C:$C,$D133,'Attrition Modeling'!$B:$B,BS$76),VLOOKUP($F133+BS$77,$A$7:$C$107,2,FALSE)*VLOOKUP(BS$76,'Attrition Modeling'!$L$15:$N$27,IF(BS$77+$F133&lt;=24,2,3),FALSE)),$C$3)*(1+IF('IP Attrition'!BS190&gt;0,'Attrition Modeling'!$N$9,0)))</f>
        <v>0</v>
      </c>
      <c r="BT133" s="799" t="e">
        <f>BS133*(1-IFERROR(IF(BT$77+$F133&lt;=12,SUMIFS('Attrition Modeling'!$D:$D,'Attrition Modeling'!$C:$C,$D133,'Attrition Modeling'!$B:$B,BT$76),VLOOKUP($F133+BT$77,$A$7:$C$107,2,FALSE)*VLOOKUP(BT$76,'Attrition Modeling'!$L$15:$N$27,IF(BT$77+$F133&lt;=24,2,3),FALSE)),$C$3)*(1+IF('IP Attrition'!BT190&gt;0,'Attrition Modeling'!$N$9,0)))</f>
        <v>#REF!</v>
      </c>
      <c r="BU133" s="799" t="e">
        <f>BT133*(1-IFERROR(IF(BU$77+$F133&lt;=12,SUMIFS('Attrition Modeling'!$D:$D,'Attrition Modeling'!$C:$C,$D133,'Attrition Modeling'!$B:$B,BU$76),VLOOKUP($F133+BU$77,$A$7:$C$107,2,FALSE)*VLOOKUP(BU$76,'Attrition Modeling'!$L$15:$N$27,IF(BU$77+$F133&lt;=24,2,3),FALSE)),$C$3)*(1+IF('IP Attrition'!BU190&gt;0,'Attrition Modeling'!$N$9,0)))</f>
        <v>#REF!</v>
      </c>
    </row>
    <row r="134" spans="1:73" ht="14.25" customHeight="1" x14ac:dyDescent="0.2">
      <c r="A134" s="9">
        <v>126</v>
      </c>
      <c r="B134" s="25">
        <f>MAX('Attrition Modeling'!H130,$C$3)*(1-Summary!$C$20)</f>
        <v>0.02</v>
      </c>
      <c r="C134" s="24" t="e">
        <f t="shared" si="2"/>
        <v>#DIV/0!</v>
      </c>
      <c r="D134" s="11">
        <f>'IP Attrition'!D126</f>
        <v>-56</v>
      </c>
      <c r="E134" s="25">
        <f>'IP Attrition'!E126</f>
        <v>0</v>
      </c>
      <c r="F134" s="11">
        <f t="shared" si="8"/>
        <v>56</v>
      </c>
      <c r="G134" s="799">
        <f>Summary!$C$24*$E134</f>
        <v>0</v>
      </c>
      <c r="H134" s="799">
        <f>G134*(1-IFERROR(IF(H$77+$F134&lt;=12,SUMIFS('Attrition Modeling'!$D:$D,'Attrition Modeling'!$C:$C,$D134,'Attrition Modeling'!$B:$B,H$76),VLOOKUP($F134+H$77,$A$7:$C$107,2,FALSE)*VLOOKUP(H$76,'Attrition Modeling'!$L$15:$N$27,IF(H$77+$F134&lt;=24,2,3),FALSE)),$C$3)*(1+IF('IP Attrition'!H191&gt;0,'Attrition Modeling'!$N$9,0)))</f>
        <v>0</v>
      </c>
      <c r="I134" s="799">
        <f>H134*(1-IFERROR(IF(I$77+$F134&lt;=12,SUMIFS('Attrition Modeling'!$D:$D,'Attrition Modeling'!$C:$C,$D134,'Attrition Modeling'!$B:$B,I$76),VLOOKUP($F134+I$77,$A$7:$C$107,2,FALSE)*VLOOKUP(I$76,'Attrition Modeling'!$L$15:$N$27,IF(I$77+$F134&lt;=24,2,3),FALSE)),$C$3)*(1+IF('IP Attrition'!I191&gt;0,'Attrition Modeling'!$N$9,0)))</f>
        <v>0</v>
      </c>
      <c r="J134" s="799">
        <f>I134*(1-IFERROR(IF(J$77+$F134&lt;=12,SUMIFS('Attrition Modeling'!$D:$D,'Attrition Modeling'!$C:$C,$D134,'Attrition Modeling'!$B:$B,J$76),VLOOKUP($F134+J$77,$A$7:$C$107,2,FALSE)*VLOOKUP(J$76,'Attrition Modeling'!$L$15:$N$27,IF(J$77+$F134&lt;=24,2,3),FALSE)),$C$3)*(1+IF('IP Attrition'!J191&gt;0,'Attrition Modeling'!$N$9,0)))</f>
        <v>0</v>
      </c>
      <c r="K134" s="799">
        <f>J134*(1-IFERROR(IF(K$77+$F134&lt;=12,SUMIFS('Attrition Modeling'!$D:$D,'Attrition Modeling'!$C:$C,$D134,'Attrition Modeling'!$B:$B,K$76),VLOOKUP($F134+K$77,$A$7:$C$107,2,FALSE)*VLOOKUP(K$76,'Attrition Modeling'!$L$15:$N$27,IF(K$77+$F134&lt;=24,2,3),FALSE)),$C$3)*(1+IF('IP Attrition'!K191&gt;0,'Attrition Modeling'!$N$9,0)))</f>
        <v>0</v>
      </c>
      <c r="L134" s="799">
        <f>K134*(1-IFERROR(IF(L$77+$F134&lt;=12,SUMIFS('Attrition Modeling'!$D:$D,'Attrition Modeling'!$C:$C,$D134,'Attrition Modeling'!$B:$B,L$76),VLOOKUP($F134+L$77,$A$7:$C$107,2,FALSE)*VLOOKUP(L$76,'Attrition Modeling'!$L$15:$N$27,IF(L$77+$F134&lt;=24,2,3),FALSE)),$C$3)*(1+IF('IP Attrition'!L191&gt;0,'Attrition Modeling'!$N$9,0)))</f>
        <v>0</v>
      </c>
      <c r="M134" s="799">
        <f>L134*(1-IFERROR(IF(M$77+$F134&lt;=12,SUMIFS('Attrition Modeling'!$D:$D,'Attrition Modeling'!$C:$C,$D134,'Attrition Modeling'!$B:$B,M$76),VLOOKUP($F134+M$77,$A$7:$C$107,2,FALSE)*VLOOKUP(M$76,'Attrition Modeling'!$L$15:$N$27,IF(M$77+$F134&lt;=24,2,3),FALSE)),$C$3)*(1+IF('IP Attrition'!M191&gt;0,'Attrition Modeling'!$N$9,0)))</f>
        <v>0</v>
      </c>
      <c r="N134" s="799">
        <f>M134*(1-IFERROR(IF(N$77+$F134&lt;=12,SUMIFS('Attrition Modeling'!$D:$D,'Attrition Modeling'!$C:$C,$D134,'Attrition Modeling'!$B:$B,N$76),VLOOKUP($F134+N$77,$A$7:$C$107,2,FALSE)*VLOOKUP(N$76,'Attrition Modeling'!$L$15:$N$27,IF(N$77+$F134&lt;=24,2,3),FALSE)),$C$3)*(1+IF('IP Attrition'!N191&gt;0,'Attrition Modeling'!$N$9,0)))</f>
        <v>0</v>
      </c>
      <c r="O134" s="799">
        <f>N134*(1-IFERROR(IF(O$77+$F134&lt;=12,SUMIFS('Attrition Modeling'!$D:$D,'Attrition Modeling'!$C:$C,$D134,'Attrition Modeling'!$B:$B,O$76),VLOOKUP($F134+O$77,$A$7:$C$107,2,FALSE)*VLOOKUP(O$76,'Attrition Modeling'!$L$15:$N$27,IF(O$77+$F134&lt;=24,2,3),FALSE)),$C$3)*(1+IF('IP Attrition'!O191&gt;0,'Attrition Modeling'!$N$9,0)))</f>
        <v>0</v>
      </c>
      <c r="P134" s="799">
        <f>O134*(1-IFERROR(IF(P$77+$F134&lt;=12,SUMIFS('Attrition Modeling'!$D:$D,'Attrition Modeling'!$C:$C,$D134,'Attrition Modeling'!$B:$B,P$76),VLOOKUP($F134+P$77,$A$7:$C$107,2,FALSE)*VLOOKUP(P$76,'Attrition Modeling'!$L$15:$N$27,IF(P$77+$F134&lt;=24,2,3),FALSE)),$C$3)*(1+IF('IP Attrition'!P191&gt;0,'Attrition Modeling'!$N$9,0)))</f>
        <v>0</v>
      </c>
      <c r="Q134" s="799">
        <f>P134*(1-IFERROR(IF(Q$77+$F134&lt;=12,SUMIFS('Attrition Modeling'!$D:$D,'Attrition Modeling'!$C:$C,$D134,'Attrition Modeling'!$B:$B,Q$76),VLOOKUP($F134+Q$77,$A$7:$C$107,2,FALSE)*VLOOKUP(Q$76,'Attrition Modeling'!$L$15:$N$27,IF(Q$77+$F134&lt;=24,2,3),FALSE)),$C$3)*(1+IF('IP Attrition'!Q191&gt;0,'Attrition Modeling'!$N$9,0)))</f>
        <v>0</v>
      </c>
      <c r="R134" s="799">
        <f>Q134*(1-IFERROR(IF(R$77+$F134&lt;=12,SUMIFS('Attrition Modeling'!$D:$D,'Attrition Modeling'!$C:$C,$D134,'Attrition Modeling'!$B:$B,R$76),VLOOKUP($F134+R$77,$A$7:$C$107,2,FALSE)*VLOOKUP(R$76,'Attrition Modeling'!$L$15:$N$27,IF(R$77+$F134&lt;=24,2,3),FALSE)),$C$3)*(1+IF('IP Attrition'!R191&gt;0,'Attrition Modeling'!$N$9,0)))</f>
        <v>0</v>
      </c>
      <c r="S134" s="799">
        <f>R134*(1-IFERROR(IF(S$77+$F134&lt;=12,SUMIFS('Attrition Modeling'!$D:$D,'Attrition Modeling'!$C:$C,$D134,'Attrition Modeling'!$B:$B,S$76),VLOOKUP($F134+S$77,$A$7:$C$107,2,FALSE)*VLOOKUP(S$76,'Attrition Modeling'!$L$15:$N$27,IF(S$77+$F134&lt;=24,2,3),FALSE)),$C$3)*(1+IF('IP Attrition'!S191&gt;0,'Attrition Modeling'!$N$9,0)))</f>
        <v>0</v>
      </c>
      <c r="T134" s="799">
        <f>S134*(1-IFERROR(IF(T$77+$F134&lt;=12,SUMIFS('Attrition Modeling'!$D:$D,'Attrition Modeling'!$C:$C,$D134,'Attrition Modeling'!$B:$B,T$76),VLOOKUP($F134+T$77,$A$7:$C$107,2,FALSE)*VLOOKUP(T$76,'Attrition Modeling'!$L$15:$N$27,IF(T$77+$F134&lt;=24,2,3),FALSE)),$C$3)*(1+IF('IP Attrition'!T191&gt;0,'Attrition Modeling'!$N$9,0)))</f>
        <v>0</v>
      </c>
      <c r="U134" s="799">
        <f>T134*(1-IFERROR(IF(U$77+$F134&lt;=12,SUMIFS('Attrition Modeling'!$D:$D,'Attrition Modeling'!$C:$C,$D134,'Attrition Modeling'!$B:$B,U$76),VLOOKUP($F134+U$77,$A$7:$C$107,2,FALSE)*VLOOKUP(U$76,'Attrition Modeling'!$L$15:$N$27,IF(U$77+$F134&lt;=24,2,3),FALSE)),$C$3)*(1+IF('IP Attrition'!U191&gt;0,'Attrition Modeling'!$N$9,0)))</f>
        <v>0</v>
      </c>
      <c r="V134" s="799">
        <f>U134*(1-IFERROR(IF(V$77+$F134&lt;=12,SUMIFS('Attrition Modeling'!$D:$D,'Attrition Modeling'!$C:$C,$D134,'Attrition Modeling'!$B:$B,V$76),VLOOKUP($F134+V$77,$A$7:$C$107,2,FALSE)*VLOOKUP(V$76,'Attrition Modeling'!$L$15:$N$27,IF(V$77+$F134&lt;=24,2,3),FALSE)),$C$3)*(1+IF('IP Attrition'!V191&gt;0,'Attrition Modeling'!$N$9,0)))</f>
        <v>0</v>
      </c>
      <c r="W134" s="799">
        <f>V134*(1-IFERROR(IF(W$77+$F134&lt;=12,SUMIFS('Attrition Modeling'!$D:$D,'Attrition Modeling'!$C:$C,$D134,'Attrition Modeling'!$B:$B,W$76),VLOOKUP($F134+W$77,$A$7:$C$107,2,FALSE)*VLOOKUP(W$76,'Attrition Modeling'!$L$15:$N$27,IF(W$77+$F134&lt;=24,2,3),FALSE)),$C$3)*(1+IF('IP Attrition'!W191&gt;0,'Attrition Modeling'!$N$9,0)))</f>
        <v>0</v>
      </c>
      <c r="X134" s="799">
        <f>W134*(1-IFERROR(IF(X$77+$F134&lt;=12,SUMIFS('Attrition Modeling'!$D:$D,'Attrition Modeling'!$C:$C,$D134,'Attrition Modeling'!$B:$B,X$76),VLOOKUP($F134+X$77,$A$7:$C$107,2,FALSE)*VLOOKUP(X$76,'Attrition Modeling'!$L$15:$N$27,IF(X$77+$F134&lt;=24,2,3),FALSE)),$C$3)*(1+IF('IP Attrition'!X191&gt;0,'Attrition Modeling'!$N$9,0)))</f>
        <v>0</v>
      </c>
      <c r="Y134" s="799">
        <f>X134*(1-IFERROR(IF(Y$77+$F134&lt;=12,SUMIFS('Attrition Modeling'!$D:$D,'Attrition Modeling'!$C:$C,$D134,'Attrition Modeling'!$B:$B,Y$76),VLOOKUP($F134+Y$77,$A$7:$C$107,2,FALSE)*VLOOKUP(Y$76,'Attrition Modeling'!$L$15:$N$27,IF(Y$77+$F134&lt;=24,2,3),FALSE)),$C$3)*(1+IF('IP Attrition'!Y191&gt;0,'Attrition Modeling'!$N$9,0)))</f>
        <v>0</v>
      </c>
      <c r="Z134" s="799">
        <f>Y134*(1-IFERROR(IF(Z$77+$F134&lt;=12,SUMIFS('Attrition Modeling'!$D:$D,'Attrition Modeling'!$C:$C,$D134,'Attrition Modeling'!$B:$B,Z$76),VLOOKUP($F134+Z$77,$A$7:$C$107,2,FALSE)*VLOOKUP(Z$76,'Attrition Modeling'!$L$15:$N$27,IF(Z$77+$F134&lt;=24,2,3),FALSE)),$C$3)*(1+IF('IP Attrition'!Z191&gt;0,'Attrition Modeling'!$N$9,0)))</f>
        <v>0</v>
      </c>
      <c r="AA134" s="799">
        <f>Z134*(1-IFERROR(IF(AA$77+$F134&lt;=12,SUMIFS('Attrition Modeling'!$D:$D,'Attrition Modeling'!$C:$C,$D134,'Attrition Modeling'!$B:$B,AA$76),VLOOKUP($F134+AA$77,$A$7:$C$107,2,FALSE)*VLOOKUP(AA$76,'Attrition Modeling'!$L$15:$N$27,IF(AA$77+$F134&lt;=24,2,3),FALSE)),$C$3)*(1+IF('IP Attrition'!AA191&gt;0,'Attrition Modeling'!$N$9,0)))</f>
        <v>0</v>
      </c>
      <c r="AB134" s="799">
        <f>AA134*(1-IFERROR(IF(AB$77+$F134&lt;=12,SUMIFS('Attrition Modeling'!$D:$D,'Attrition Modeling'!$C:$C,$D134,'Attrition Modeling'!$B:$B,AB$76),VLOOKUP($F134+AB$77,$A$7:$C$107,2,FALSE)*VLOOKUP(AB$76,'Attrition Modeling'!$L$15:$N$27,IF(AB$77+$F134&lt;=24,2,3),FALSE)),$C$3)*(1+IF('IP Attrition'!AB191&gt;0,'Attrition Modeling'!$N$9,0)))</f>
        <v>0</v>
      </c>
      <c r="AC134" s="799">
        <f>AB134*(1-IFERROR(IF(AC$77+$F134&lt;=12,SUMIFS('Attrition Modeling'!$D:$D,'Attrition Modeling'!$C:$C,$D134,'Attrition Modeling'!$B:$B,AC$76),VLOOKUP($F134+AC$77,$A$7:$C$107,2,FALSE)*VLOOKUP(AC$76,'Attrition Modeling'!$L$15:$N$27,IF(AC$77+$F134&lt;=24,2,3),FALSE)),$C$3)*(1+IF('IP Attrition'!AC191&gt;0,'Attrition Modeling'!$N$9,0)))</f>
        <v>0</v>
      </c>
      <c r="AD134" s="799">
        <f>AC134*(1-IFERROR(IF(AD$77+$F134&lt;=12,SUMIFS('Attrition Modeling'!$D:$D,'Attrition Modeling'!$C:$C,$D134,'Attrition Modeling'!$B:$B,AD$76),VLOOKUP($F134+AD$77,$A$7:$C$107,2,FALSE)*VLOOKUP(AD$76,'Attrition Modeling'!$L$15:$N$27,IF(AD$77+$F134&lt;=24,2,3),FALSE)),$C$3)*(1+IF('IP Attrition'!AD191&gt;0,'Attrition Modeling'!$N$9,0)))</f>
        <v>0</v>
      </c>
      <c r="AE134" s="799">
        <f>AD134*(1-IFERROR(IF(AE$77+$F134&lt;=12,SUMIFS('Attrition Modeling'!$D:$D,'Attrition Modeling'!$C:$C,$D134,'Attrition Modeling'!$B:$B,AE$76),VLOOKUP($F134+AE$77,$A$7:$C$107,2,FALSE)*VLOOKUP(AE$76,'Attrition Modeling'!$L$15:$N$27,IF(AE$77+$F134&lt;=24,2,3),FALSE)),$C$3)*(1+IF('IP Attrition'!AE191&gt;0,'Attrition Modeling'!$N$9,0)))</f>
        <v>0</v>
      </c>
      <c r="AF134" s="799">
        <f>AE134*(1-IFERROR(IF(AF$77+$F134&lt;=12,SUMIFS('Attrition Modeling'!$D:$D,'Attrition Modeling'!$C:$C,$D134,'Attrition Modeling'!$B:$B,AF$76),VLOOKUP($F134+AF$77,$A$7:$C$107,2,FALSE)*VLOOKUP(AF$76,'Attrition Modeling'!$L$15:$N$27,IF(AF$77+$F134&lt;=24,2,3),FALSE)),$C$3)*(1+IF('IP Attrition'!AF191&gt;0,'Attrition Modeling'!$N$9,0)))</f>
        <v>0</v>
      </c>
      <c r="AG134" s="799">
        <f>AF134*(1-IFERROR(IF(AG$77+$F134&lt;=12,SUMIFS('Attrition Modeling'!$D:$D,'Attrition Modeling'!$C:$C,$D134,'Attrition Modeling'!$B:$B,AG$76),VLOOKUP($F134+AG$77,$A$7:$C$107,2,FALSE)*VLOOKUP(AG$76,'Attrition Modeling'!$L$15:$N$27,IF(AG$77+$F134&lt;=24,2,3),FALSE)),$C$3)*(1+IF('IP Attrition'!AG191&gt;0,'Attrition Modeling'!$N$9,0)))</f>
        <v>0</v>
      </c>
      <c r="AH134" s="799">
        <f>AG134*(1-IFERROR(IF(AH$77+$F134&lt;=12,SUMIFS('Attrition Modeling'!$D:$D,'Attrition Modeling'!$C:$C,$D134,'Attrition Modeling'!$B:$B,AH$76),VLOOKUP($F134+AH$77,$A$7:$C$107,2,FALSE)*VLOOKUP(AH$76,'Attrition Modeling'!$L$15:$N$27,IF(AH$77+$F134&lt;=24,2,3),FALSE)),$C$3)*(1+IF('IP Attrition'!AH191&gt;0,'Attrition Modeling'!$N$9,0)))</f>
        <v>0</v>
      </c>
      <c r="AI134" s="799">
        <f>AH134*(1-IFERROR(IF(AI$77+$F134&lt;=12,SUMIFS('Attrition Modeling'!$D:$D,'Attrition Modeling'!$C:$C,$D134,'Attrition Modeling'!$B:$B,AI$76),VLOOKUP($F134+AI$77,$A$7:$C$107,2,FALSE)*VLOOKUP(AI$76,'Attrition Modeling'!$L$15:$N$27,IF(AI$77+$F134&lt;=24,2,3),FALSE)),$C$3)*(1+IF('IP Attrition'!AI191&gt;0,'Attrition Modeling'!$N$9,0)))</f>
        <v>0</v>
      </c>
      <c r="AJ134" s="799">
        <f>AI134*(1-IFERROR(IF(AJ$77+$F134&lt;=12,SUMIFS('Attrition Modeling'!$D:$D,'Attrition Modeling'!$C:$C,$D134,'Attrition Modeling'!$B:$B,AJ$76),VLOOKUP($F134+AJ$77,$A$7:$C$107,2,FALSE)*VLOOKUP(AJ$76,'Attrition Modeling'!$L$15:$N$27,IF(AJ$77+$F134&lt;=24,2,3),FALSE)),$C$3)*(1+IF('IP Attrition'!AJ191&gt;0,'Attrition Modeling'!$N$9,0)))</f>
        <v>0</v>
      </c>
      <c r="AK134" s="799">
        <f>AJ134*(1-IFERROR(IF(AK$77+$F134&lt;=12,SUMIFS('Attrition Modeling'!$D:$D,'Attrition Modeling'!$C:$C,$D134,'Attrition Modeling'!$B:$B,AK$76),VLOOKUP($F134+AK$77,$A$7:$C$107,2,FALSE)*VLOOKUP(AK$76,'Attrition Modeling'!$L$15:$N$27,IF(AK$77+$F134&lt;=24,2,3),FALSE)),$C$3)*(1+IF('IP Attrition'!AK191&gt;0,'Attrition Modeling'!$N$9,0)))</f>
        <v>0</v>
      </c>
      <c r="AL134" s="799">
        <f>AK134*(1-IFERROR(IF(AL$77+$F134&lt;=12,SUMIFS('Attrition Modeling'!$D:$D,'Attrition Modeling'!$C:$C,$D134,'Attrition Modeling'!$B:$B,AL$76),VLOOKUP($F134+AL$77,$A$7:$C$107,2,FALSE)*VLOOKUP(AL$76,'Attrition Modeling'!$L$15:$N$27,IF(AL$77+$F134&lt;=24,2,3),FALSE)),$C$3)*(1+IF('IP Attrition'!AL191&gt;0,'Attrition Modeling'!$N$9,0)))</f>
        <v>0</v>
      </c>
      <c r="AM134" s="799">
        <f>AL134*(1-IFERROR(IF(AM$77+$F134&lt;=12,SUMIFS('Attrition Modeling'!$D:$D,'Attrition Modeling'!$C:$C,$D134,'Attrition Modeling'!$B:$B,AM$76),VLOOKUP($F134+AM$77,$A$7:$C$107,2,FALSE)*VLOOKUP(AM$76,'Attrition Modeling'!$L$15:$N$27,IF(AM$77+$F134&lt;=24,2,3),FALSE)),$C$3)*(1+IF('IP Attrition'!AM191&gt;0,'Attrition Modeling'!$N$9,0)))</f>
        <v>0</v>
      </c>
      <c r="AN134" s="799">
        <f>AM134*(1-IFERROR(IF(AN$77+$F134&lt;=12,SUMIFS('Attrition Modeling'!$D:$D,'Attrition Modeling'!$C:$C,$D134,'Attrition Modeling'!$B:$B,AN$76),VLOOKUP($F134+AN$77,$A$7:$C$107,2,FALSE)*VLOOKUP(AN$76,'Attrition Modeling'!$L$15:$N$27,IF(AN$77+$F134&lt;=24,2,3),FALSE)),$C$3)*(1+IF('IP Attrition'!AN191&gt;0,'Attrition Modeling'!$N$9,0)))</f>
        <v>0</v>
      </c>
      <c r="AO134" s="799">
        <f>AN134*(1-IFERROR(IF(AO$77+$F134&lt;=12,SUMIFS('Attrition Modeling'!$D:$D,'Attrition Modeling'!$C:$C,$D134,'Attrition Modeling'!$B:$B,AO$76),VLOOKUP($F134+AO$77,$A$7:$C$107,2,FALSE)*VLOOKUP(AO$76,'Attrition Modeling'!$L$15:$N$27,IF(AO$77+$F134&lt;=24,2,3),FALSE)),$C$3)*(1+IF('IP Attrition'!AO191&gt;0,'Attrition Modeling'!$N$9,0)))</f>
        <v>0</v>
      </c>
      <c r="AP134" s="799">
        <f>AO134*(1-IFERROR(IF(AP$77+$F134&lt;=12,SUMIFS('Attrition Modeling'!$D:$D,'Attrition Modeling'!$C:$C,$D134,'Attrition Modeling'!$B:$B,AP$76),VLOOKUP($F134+AP$77,$A$7:$C$107,2,FALSE)*VLOOKUP(AP$76,'Attrition Modeling'!$L$15:$N$27,IF(AP$77+$F134&lt;=24,2,3),FALSE)),$C$3)*(1+IF('IP Attrition'!AP191&gt;0,'Attrition Modeling'!$N$9,0)))</f>
        <v>0</v>
      </c>
      <c r="AQ134" s="799">
        <f>AP134*(1-IFERROR(IF(AQ$77+$F134&lt;=12,SUMIFS('Attrition Modeling'!$D:$D,'Attrition Modeling'!$C:$C,$D134,'Attrition Modeling'!$B:$B,AQ$76),VLOOKUP($F134+AQ$77,$A$7:$C$107,2,FALSE)*VLOOKUP(AQ$76,'Attrition Modeling'!$L$15:$N$27,IF(AQ$77+$F134&lt;=24,2,3),FALSE)),$C$3)*(1+IF('IP Attrition'!AQ191&gt;0,'Attrition Modeling'!$N$9,0)))</f>
        <v>0</v>
      </c>
      <c r="AR134" s="799">
        <f>AQ134*(1-IFERROR(IF(AR$77+$F134&lt;=12,SUMIFS('Attrition Modeling'!$D:$D,'Attrition Modeling'!$C:$C,$D134,'Attrition Modeling'!$B:$B,AR$76),VLOOKUP($F134+AR$77,$A$7:$C$107,2,FALSE)*VLOOKUP(AR$76,'Attrition Modeling'!$L$15:$N$27,IF(AR$77+$F134&lt;=24,2,3),FALSE)),$C$3)*(1+IF('IP Attrition'!AR191&gt;0,'Attrition Modeling'!$N$9,0)))</f>
        <v>0</v>
      </c>
      <c r="AS134" s="799">
        <f>AR134*(1-IFERROR(IF(AS$77+$F134&lt;=12,SUMIFS('Attrition Modeling'!$D:$D,'Attrition Modeling'!$C:$C,$D134,'Attrition Modeling'!$B:$B,AS$76),VLOOKUP($F134+AS$77,$A$7:$C$107,2,FALSE)*VLOOKUP(AS$76,'Attrition Modeling'!$L$15:$N$27,IF(AS$77+$F134&lt;=24,2,3),FALSE)),$C$3)*(1+IF('IP Attrition'!AS191&gt;0,'Attrition Modeling'!$N$9,0)))</f>
        <v>0</v>
      </c>
      <c r="AT134" s="799">
        <f>AS134*(1-IFERROR(IF(AT$77+$F134&lt;=12,SUMIFS('Attrition Modeling'!$D:$D,'Attrition Modeling'!$C:$C,$D134,'Attrition Modeling'!$B:$B,AT$76),VLOOKUP($F134+AT$77,$A$7:$C$107,2,FALSE)*VLOOKUP(AT$76,'Attrition Modeling'!$L$15:$N$27,IF(AT$77+$F134&lt;=24,2,3),FALSE)),$C$3)*(1+IF('IP Attrition'!AT191&gt;0,'Attrition Modeling'!$N$9,0)))</f>
        <v>0</v>
      </c>
      <c r="AU134" s="799">
        <f>AT134*(1-IFERROR(IF(AU$77+$F134&lt;=12,SUMIFS('Attrition Modeling'!$D:$D,'Attrition Modeling'!$C:$C,$D134,'Attrition Modeling'!$B:$B,AU$76),VLOOKUP($F134+AU$77,$A$7:$C$107,2,FALSE)*VLOOKUP(AU$76,'Attrition Modeling'!$L$15:$N$27,IF(AU$77+$F134&lt;=24,2,3),FALSE)),$C$3)*(1+IF('IP Attrition'!AU191&gt;0,'Attrition Modeling'!$N$9,0)))</f>
        <v>0</v>
      </c>
      <c r="AV134" s="799">
        <f>AU134*(1-IFERROR(IF(AV$77+$F134&lt;=12,SUMIFS('Attrition Modeling'!$D:$D,'Attrition Modeling'!$C:$C,$D134,'Attrition Modeling'!$B:$B,AV$76),VLOOKUP($F134+AV$77,$A$7:$C$107,2,FALSE)*VLOOKUP(AV$76,'Attrition Modeling'!$L$15:$N$27,IF(AV$77+$F134&lt;=24,2,3),FALSE)),$C$3)*(1+IF('IP Attrition'!AV191&gt;0,'Attrition Modeling'!$N$9,0)))</f>
        <v>0</v>
      </c>
      <c r="AW134" s="799">
        <f>AV134*(1-IFERROR(IF(AW$77+$F134&lt;=12,SUMIFS('Attrition Modeling'!$D:$D,'Attrition Modeling'!$C:$C,$D134,'Attrition Modeling'!$B:$B,AW$76),VLOOKUP($F134+AW$77,$A$7:$C$107,2,FALSE)*VLOOKUP(AW$76,'Attrition Modeling'!$L$15:$N$27,IF(AW$77+$F134&lt;=24,2,3),FALSE)),$C$3)*(1+IF('IP Attrition'!AW191&gt;0,'Attrition Modeling'!$N$9,0)))</f>
        <v>0</v>
      </c>
      <c r="AX134" s="799">
        <f>AW134*(1-IFERROR(IF(AX$77+$F134&lt;=12,SUMIFS('Attrition Modeling'!$D:$D,'Attrition Modeling'!$C:$C,$D134,'Attrition Modeling'!$B:$B,AX$76),VLOOKUP($F134+AX$77,$A$7:$C$107,2,FALSE)*VLOOKUP(AX$76,'Attrition Modeling'!$L$15:$N$27,IF(AX$77+$F134&lt;=24,2,3),FALSE)),$C$3)*(1+IF('IP Attrition'!AX191&gt;0,'Attrition Modeling'!$N$9,0)))</f>
        <v>0</v>
      </c>
      <c r="AY134" s="799">
        <f>AX134*(1-IFERROR(IF(AY$77+$F134&lt;=12,SUMIFS('Attrition Modeling'!$D:$D,'Attrition Modeling'!$C:$C,$D134,'Attrition Modeling'!$B:$B,AY$76),VLOOKUP($F134+AY$77,$A$7:$C$107,2,FALSE)*VLOOKUP(AY$76,'Attrition Modeling'!$L$15:$N$27,IF(AY$77+$F134&lt;=24,2,3),FALSE)),$C$3)*(1+IF('IP Attrition'!AY191&gt;0,'Attrition Modeling'!$N$9,0)))</f>
        <v>0</v>
      </c>
      <c r="AZ134" s="799">
        <f>AY134*(1-IFERROR(IF(AZ$77+$F134&lt;=12,SUMIFS('Attrition Modeling'!$D:$D,'Attrition Modeling'!$C:$C,$D134,'Attrition Modeling'!$B:$B,AZ$76),VLOOKUP($F134+AZ$77,$A$7:$C$107,2,FALSE)*VLOOKUP(AZ$76,'Attrition Modeling'!$L$15:$N$27,IF(AZ$77+$F134&lt;=24,2,3),FALSE)),$C$3)*(1+IF('IP Attrition'!AZ191&gt;0,'Attrition Modeling'!$N$9,0)))</f>
        <v>0</v>
      </c>
      <c r="BA134" s="799">
        <f>AZ134*(1-IFERROR(IF(BA$77+$F134&lt;=12,SUMIFS('Attrition Modeling'!$D:$D,'Attrition Modeling'!$C:$C,$D134,'Attrition Modeling'!$B:$B,BA$76),VLOOKUP($F134+BA$77,$A$7:$C$107,2,FALSE)*VLOOKUP(BA$76,'Attrition Modeling'!$L$15:$N$27,IF(BA$77+$F134&lt;=24,2,3),FALSE)),$C$3)*(1+IF('IP Attrition'!BA191&gt;0,'Attrition Modeling'!$N$9,0)))</f>
        <v>0</v>
      </c>
      <c r="BB134" s="799">
        <f>BA134*(1-IFERROR(IF(BB$77+$F134&lt;=12,SUMIFS('Attrition Modeling'!$D:$D,'Attrition Modeling'!$C:$C,$D134,'Attrition Modeling'!$B:$B,BB$76),VLOOKUP($F134+BB$77,$A$7:$C$107,2,FALSE)*VLOOKUP(BB$76,'Attrition Modeling'!$L$15:$N$27,IF(BB$77+$F134&lt;=24,2,3),FALSE)),$C$3)*(1+IF('IP Attrition'!BB191&gt;0,'Attrition Modeling'!$N$9,0)))</f>
        <v>0</v>
      </c>
      <c r="BC134" s="799">
        <f>BB134*(1-IFERROR(IF(BC$77+$F134&lt;=12,SUMIFS('Attrition Modeling'!$D:$D,'Attrition Modeling'!$C:$C,$D134,'Attrition Modeling'!$B:$B,BC$76),VLOOKUP($F134+BC$77,$A$7:$C$107,2,FALSE)*VLOOKUP(BC$76,'Attrition Modeling'!$L$15:$N$27,IF(BC$77+$F134&lt;=24,2,3),FALSE)),$C$3)*(1+IF('IP Attrition'!BC191&gt;0,'Attrition Modeling'!$N$9,0)))</f>
        <v>0</v>
      </c>
      <c r="BD134" s="799">
        <f>BC134*(1-IFERROR(IF(BD$77+$F134&lt;=12,SUMIFS('Attrition Modeling'!$D:$D,'Attrition Modeling'!$C:$C,$D134,'Attrition Modeling'!$B:$B,BD$76),VLOOKUP($F134+BD$77,$A$7:$C$107,2,FALSE)*VLOOKUP(BD$76,'Attrition Modeling'!$L$15:$N$27,IF(BD$77+$F134&lt;=24,2,3),FALSE)),$C$3)*(1+IF('IP Attrition'!BD191&gt;0,'Attrition Modeling'!$N$9,0)))</f>
        <v>0</v>
      </c>
      <c r="BE134" s="799">
        <f>BD134*(1-IFERROR(IF(BE$77+$F134&lt;=12,SUMIFS('Attrition Modeling'!$D:$D,'Attrition Modeling'!$C:$C,$D134,'Attrition Modeling'!$B:$B,BE$76),VLOOKUP($F134+BE$77,$A$7:$C$107,2,FALSE)*VLOOKUP(BE$76,'Attrition Modeling'!$L$15:$N$27,IF(BE$77+$F134&lt;=24,2,3),FALSE)),$C$3)*(1+IF('IP Attrition'!BE191&gt;0,'Attrition Modeling'!$N$9,0)))</f>
        <v>0</v>
      </c>
      <c r="BF134" s="799">
        <f>BE134*(1-IFERROR(IF(BF$77+$F134&lt;=12,SUMIFS('Attrition Modeling'!$D:$D,'Attrition Modeling'!$C:$C,$D134,'Attrition Modeling'!$B:$B,BF$76),VLOOKUP($F134+BF$77,$A$7:$C$107,2,FALSE)*VLOOKUP(BF$76,'Attrition Modeling'!$L$15:$N$27,IF(BF$77+$F134&lt;=24,2,3),FALSE)),$C$3)*(1+IF('IP Attrition'!BF191&gt;0,'Attrition Modeling'!$N$9,0)))</f>
        <v>0</v>
      </c>
      <c r="BG134" s="799">
        <f>BF134*(1-IFERROR(IF(BG$77+$F134&lt;=12,SUMIFS('Attrition Modeling'!$D:$D,'Attrition Modeling'!$C:$C,$D134,'Attrition Modeling'!$B:$B,BG$76),VLOOKUP($F134+BG$77,$A$7:$C$107,2,FALSE)*VLOOKUP(BG$76,'Attrition Modeling'!$L$15:$N$27,IF(BG$77+$F134&lt;=24,2,3),FALSE)),$C$3)*(1+IF('IP Attrition'!BG191&gt;0,'Attrition Modeling'!$N$9,0)))</f>
        <v>0</v>
      </c>
      <c r="BH134" s="799">
        <f>BG134*(1-IFERROR(IF(BH$77+$F134&lt;=12,SUMIFS('Attrition Modeling'!$D:$D,'Attrition Modeling'!$C:$C,$D134,'Attrition Modeling'!$B:$B,BH$76),VLOOKUP($F134+BH$77,$A$7:$C$107,2,FALSE)*VLOOKUP(BH$76,'Attrition Modeling'!$L$15:$N$27,IF(BH$77+$F134&lt;=24,2,3),FALSE)),$C$3)*(1+IF('IP Attrition'!BH191&gt;0,'Attrition Modeling'!$N$9,0)))</f>
        <v>0</v>
      </c>
      <c r="BI134" s="799">
        <f>BH134*(1-IFERROR(IF(BI$77+$F134&lt;=12,SUMIFS('Attrition Modeling'!$D:$D,'Attrition Modeling'!$C:$C,$D134,'Attrition Modeling'!$B:$B,BI$76),VLOOKUP($F134+BI$77,$A$7:$C$107,2,FALSE)*VLOOKUP(BI$76,'Attrition Modeling'!$L$15:$N$27,IF(BI$77+$F134&lt;=24,2,3),FALSE)),$C$3)*(1+IF('IP Attrition'!BI191&gt;0,'Attrition Modeling'!$N$9,0)))</f>
        <v>0</v>
      </c>
      <c r="BJ134" s="799">
        <f>BI134*(1-IFERROR(IF(BJ$77+$F134&lt;=12,SUMIFS('Attrition Modeling'!$D:$D,'Attrition Modeling'!$C:$C,$D134,'Attrition Modeling'!$B:$B,BJ$76),VLOOKUP($F134+BJ$77,$A$7:$C$107,2,FALSE)*VLOOKUP(BJ$76,'Attrition Modeling'!$L$15:$N$27,IF(BJ$77+$F134&lt;=24,2,3),FALSE)),$C$3)*(1+IF('IP Attrition'!BJ191&gt;0,'Attrition Modeling'!$N$9,0)))</f>
        <v>0</v>
      </c>
      <c r="BK134" s="799">
        <f>BJ134*(1-IFERROR(IF(BK$77+$F134&lt;=12,SUMIFS('Attrition Modeling'!$D:$D,'Attrition Modeling'!$C:$C,$D134,'Attrition Modeling'!$B:$B,BK$76),VLOOKUP($F134+BK$77,$A$7:$C$107,2,FALSE)*VLOOKUP(BK$76,'Attrition Modeling'!$L$15:$N$27,IF(BK$77+$F134&lt;=24,2,3),FALSE)),$C$3)*(1+IF('IP Attrition'!BK191&gt;0,'Attrition Modeling'!$N$9,0)))</f>
        <v>0</v>
      </c>
      <c r="BL134" s="799">
        <f>BK134*(1-IFERROR(IF(BL$77+$F134&lt;=12,SUMIFS('Attrition Modeling'!$D:$D,'Attrition Modeling'!$C:$C,$D134,'Attrition Modeling'!$B:$B,BL$76),VLOOKUP($F134+BL$77,$A$7:$C$107,2,FALSE)*VLOOKUP(BL$76,'Attrition Modeling'!$L$15:$N$27,IF(BL$77+$F134&lt;=24,2,3),FALSE)),$C$3)*(1+IF('IP Attrition'!BL191&gt;0,'Attrition Modeling'!$N$9,0)))</f>
        <v>0</v>
      </c>
      <c r="BM134" s="799">
        <f>BL134*(1-IFERROR(IF(BM$77+$F134&lt;=12,SUMIFS('Attrition Modeling'!$D:$D,'Attrition Modeling'!$C:$C,$D134,'Attrition Modeling'!$B:$B,BM$76),VLOOKUP($F134+BM$77,$A$7:$C$107,2,FALSE)*VLOOKUP(BM$76,'Attrition Modeling'!$L$15:$N$27,IF(BM$77+$F134&lt;=24,2,3),FALSE)),$C$3)*(1+IF('IP Attrition'!BM191&gt;0,'Attrition Modeling'!$N$9,0)))</f>
        <v>0</v>
      </c>
      <c r="BN134" s="799">
        <f>BM134*(1-IFERROR(IF(BN$77+$F134&lt;=12,SUMIFS('Attrition Modeling'!$D:$D,'Attrition Modeling'!$C:$C,$D134,'Attrition Modeling'!$B:$B,BN$76),VLOOKUP($F134+BN$77,$A$7:$C$107,2,FALSE)*VLOOKUP(BN$76,'Attrition Modeling'!$L$15:$N$27,IF(BN$77+$F134&lt;=24,2,3),FALSE)),$C$3)*(1+IF('IP Attrition'!BN191&gt;0,'Attrition Modeling'!$N$9,0)))</f>
        <v>0</v>
      </c>
      <c r="BO134" s="799">
        <f>BN134*(1-IFERROR(IF(BO$77+$F134&lt;=12,SUMIFS('Attrition Modeling'!$D:$D,'Attrition Modeling'!$C:$C,$D134,'Attrition Modeling'!$B:$B,BO$76),VLOOKUP($F134+BO$77,$A$7:$C$107,2,FALSE)*VLOOKUP(BO$76,'Attrition Modeling'!$L$15:$N$27,IF(BO$77+$F134&lt;=24,2,3),FALSE)),$C$3)*(1+IF('IP Attrition'!BO191&gt;0,'Attrition Modeling'!$N$9,0)))</f>
        <v>0</v>
      </c>
      <c r="BP134" s="799">
        <f>BO134*(1-IFERROR(IF(BP$77+$F134&lt;=12,SUMIFS('Attrition Modeling'!$D:$D,'Attrition Modeling'!$C:$C,$D134,'Attrition Modeling'!$B:$B,BP$76),VLOOKUP($F134+BP$77,$A$7:$C$107,2,FALSE)*VLOOKUP(BP$76,'Attrition Modeling'!$L$15:$N$27,IF(BP$77+$F134&lt;=24,2,3),FALSE)),$C$3)*(1+IF('IP Attrition'!BP191&gt;0,'Attrition Modeling'!$N$9,0)))</f>
        <v>0</v>
      </c>
      <c r="BQ134" s="799">
        <f>BP134*(1-IFERROR(IF(BQ$77+$F134&lt;=12,SUMIFS('Attrition Modeling'!$D:$D,'Attrition Modeling'!$C:$C,$D134,'Attrition Modeling'!$B:$B,BQ$76),VLOOKUP($F134+BQ$77,$A$7:$C$107,2,FALSE)*VLOOKUP(BQ$76,'Attrition Modeling'!$L$15:$N$27,IF(BQ$77+$F134&lt;=24,2,3),FALSE)),$C$3)*(1+IF('IP Attrition'!BQ191&gt;0,'Attrition Modeling'!$N$9,0)))</f>
        <v>0</v>
      </c>
      <c r="BR134" s="799">
        <f>BQ134*(1-IFERROR(IF(BR$77+$F134&lt;=12,SUMIFS('Attrition Modeling'!$D:$D,'Attrition Modeling'!$C:$C,$D134,'Attrition Modeling'!$B:$B,BR$76),VLOOKUP($F134+BR$77,$A$7:$C$107,2,FALSE)*VLOOKUP(BR$76,'Attrition Modeling'!$L$15:$N$27,IF(BR$77+$F134&lt;=24,2,3),FALSE)),$C$3)*(1+IF('IP Attrition'!BR191&gt;0,'Attrition Modeling'!$N$9,0)))</f>
        <v>0</v>
      </c>
      <c r="BS134" s="799">
        <f>BR134*(1-IFERROR(IF(BS$77+$F134&lt;=12,SUMIFS('Attrition Modeling'!$D:$D,'Attrition Modeling'!$C:$C,$D134,'Attrition Modeling'!$B:$B,BS$76),VLOOKUP($F134+BS$77,$A$7:$C$107,2,FALSE)*VLOOKUP(BS$76,'Attrition Modeling'!$L$15:$N$27,IF(BS$77+$F134&lt;=24,2,3),FALSE)),$C$3)*(1+IF('IP Attrition'!BS191&gt;0,'Attrition Modeling'!$N$9,0)))</f>
        <v>0</v>
      </c>
      <c r="BT134" s="799" t="e">
        <f>BS134*(1-IFERROR(IF(BT$77+$F134&lt;=12,SUMIFS('Attrition Modeling'!$D:$D,'Attrition Modeling'!$C:$C,$D134,'Attrition Modeling'!$B:$B,BT$76),VLOOKUP($F134+BT$77,$A$7:$C$107,2,FALSE)*VLOOKUP(BT$76,'Attrition Modeling'!$L$15:$N$27,IF(BT$77+$F134&lt;=24,2,3),FALSE)),$C$3)*(1+IF('IP Attrition'!BT191&gt;0,'Attrition Modeling'!$N$9,0)))</f>
        <v>#REF!</v>
      </c>
      <c r="BU134" s="799" t="e">
        <f>BT134*(1-IFERROR(IF(BU$77+$F134&lt;=12,SUMIFS('Attrition Modeling'!$D:$D,'Attrition Modeling'!$C:$C,$D134,'Attrition Modeling'!$B:$B,BU$76),VLOOKUP($F134+BU$77,$A$7:$C$107,2,FALSE)*VLOOKUP(BU$76,'Attrition Modeling'!$L$15:$N$27,IF(BU$77+$F134&lt;=24,2,3),FALSE)),$C$3)*(1+IF('IP Attrition'!BU191&gt;0,'Attrition Modeling'!$N$9,0)))</f>
        <v>#REF!</v>
      </c>
    </row>
    <row r="135" spans="1:73" ht="14.25" customHeight="1" x14ac:dyDescent="0.2">
      <c r="A135" s="9">
        <v>127</v>
      </c>
      <c r="B135" s="25">
        <f>MAX('Attrition Modeling'!H131,$C$3)*(1-Summary!$C$20)</f>
        <v>0.02</v>
      </c>
      <c r="C135" s="24" t="e">
        <f t="shared" si="2"/>
        <v>#DIV/0!</v>
      </c>
      <c r="D135" s="11">
        <f>'IP Attrition'!D127</f>
        <v>-57</v>
      </c>
      <c r="E135" s="25">
        <f>'IP Attrition'!E127</f>
        <v>0</v>
      </c>
      <c r="F135" s="11">
        <f t="shared" si="8"/>
        <v>57</v>
      </c>
      <c r="G135" s="799">
        <f>Summary!$C$24*$E135</f>
        <v>0</v>
      </c>
      <c r="H135" s="799">
        <f>G135*(1-IFERROR(IF(H$77+$F135&lt;=12,SUMIFS('Attrition Modeling'!$D:$D,'Attrition Modeling'!$C:$C,$D135,'Attrition Modeling'!$B:$B,H$76),VLOOKUP($F135+H$77,$A$7:$C$107,2,FALSE)*VLOOKUP(H$76,'Attrition Modeling'!$L$15:$N$27,IF(H$77+$F135&lt;=24,2,3),FALSE)),$C$3)*(1+IF('IP Attrition'!H192&gt;0,'Attrition Modeling'!$N$9,0)))</f>
        <v>0</v>
      </c>
      <c r="I135" s="799">
        <f>H135*(1-IFERROR(IF(I$77+$F135&lt;=12,SUMIFS('Attrition Modeling'!$D:$D,'Attrition Modeling'!$C:$C,$D135,'Attrition Modeling'!$B:$B,I$76),VLOOKUP($F135+I$77,$A$7:$C$107,2,FALSE)*VLOOKUP(I$76,'Attrition Modeling'!$L$15:$N$27,IF(I$77+$F135&lt;=24,2,3),FALSE)),$C$3)*(1+IF('IP Attrition'!I192&gt;0,'Attrition Modeling'!$N$9,0)))</f>
        <v>0</v>
      </c>
      <c r="J135" s="799">
        <f>I135*(1-IFERROR(IF(J$77+$F135&lt;=12,SUMIFS('Attrition Modeling'!$D:$D,'Attrition Modeling'!$C:$C,$D135,'Attrition Modeling'!$B:$B,J$76),VLOOKUP($F135+J$77,$A$7:$C$107,2,FALSE)*VLOOKUP(J$76,'Attrition Modeling'!$L$15:$N$27,IF(J$77+$F135&lt;=24,2,3),FALSE)),$C$3)*(1+IF('IP Attrition'!J192&gt;0,'Attrition Modeling'!$N$9,0)))</f>
        <v>0</v>
      </c>
      <c r="K135" s="799">
        <f>J135*(1-IFERROR(IF(K$77+$F135&lt;=12,SUMIFS('Attrition Modeling'!$D:$D,'Attrition Modeling'!$C:$C,$D135,'Attrition Modeling'!$B:$B,K$76),VLOOKUP($F135+K$77,$A$7:$C$107,2,FALSE)*VLOOKUP(K$76,'Attrition Modeling'!$L$15:$N$27,IF(K$77+$F135&lt;=24,2,3),FALSE)),$C$3)*(1+IF('IP Attrition'!K192&gt;0,'Attrition Modeling'!$N$9,0)))</f>
        <v>0</v>
      </c>
      <c r="L135" s="799">
        <f>K135*(1-IFERROR(IF(L$77+$F135&lt;=12,SUMIFS('Attrition Modeling'!$D:$D,'Attrition Modeling'!$C:$C,$D135,'Attrition Modeling'!$B:$B,L$76),VLOOKUP($F135+L$77,$A$7:$C$107,2,FALSE)*VLOOKUP(L$76,'Attrition Modeling'!$L$15:$N$27,IF(L$77+$F135&lt;=24,2,3),FALSE)),$C$3)*(1+IF('IP Attrition'!L192&gt;0,'Attrition Modeling'!$N$9,0)))</f>
        <v>0</v>
      </c>
      <c r="M135" s="799">
        <f>L135*(1-IFERROR(IF(M$77+$F135&lt;=12,SUMIFS('Attrition Modeling'!$D:$D,'Attrition Modeling'!$C:$C,$D135,'Attrition Modeling'!$B:$B,M$76),VLOOKUP($F135+M$77,$A$7:$C$107,2,FALSE)*VLOOKUP(M$76,'Attrition Modeling'!$L$15:$N$27,IF(M$77+$F135&lt;=24,2,3),FALSE)),$C$3)*(1+IF('IP Attrition'!M192&gt;0,'Attrition Modeling'!$N$9,0)))</f>
        <v>0</v>
      </c>
      <c r="N135" s="799">
        <f>M135*(1-IFERROR(IF(N$77+$F135&lt;=12,SUMIFS('Attrition Modeling'!$D:$D,'Attrition Modeling'!$C:$C,$D135,'Attrition Modeling'!$B:$B,N$76),VLOOKUP($F135+N$77,$A$7:$C$107,2,FALSE)*VLOOKUP(N$76,'Attrition Modeling'!$L$15:$N$27,IF(N$77+$F135&lt;=24,2,3),FALSE)),$C$3)*(1+IF('IP Attrition'!N192&gt;0,'Attrition Modeling'!$N$9,0)))</f>
        <v>0</v>
      </c>
      <c r="O135" s="799">
        <f>N135*(1-IFERROR(IF(O$77+$F135&lt;=12,SUMIFS('Attrition Modeling'!$D:$D,'Attrition Modeling'!$C:$C,$D135,'Attrition Modeling'!$B:$B,O$76),VLOOKUP($F135+O$77,$A$7:$C$107,2,FALSE)*VLOOKUP(O$76,'Attrition Modeling'!$L$15:$N$27,IF(O$77+$F135&lt;=24,2,3),FALSE)),$C$3)*(1+IF('IP Attrition'!O192&gt;0,'Attrition Modeling'!$N$9,0)))</f>
        <v>0</v>
      </c>
      <c r="P135" s="799">
        <f>O135*(1-IFERROR(IF(P$77+$F135&lt;=12,SUMIFS('Attrition Modeling'!$D:$D,'Attrition Modeling'!$C:$C,$D135,'Attrition Modeling'!$B:$B,P$76),VLOOKUP($F135+P$77,$A$7:$C$107,2,FALSE)*VLOOKUP(P$76,'Attrition Modeling'!$L$15:$N$27,IF(P$77+$F135&lt;=24,2,3),FALSE)),$C$3)*(1+IF('IP Attrition'!P192&gt;0,'Attrition Modeling'!$N$9,0)))</f>
        <v>0</v>
      </c>
      <c r="Q135" s="799">
        <f>P135*(1-IFERROR(IF(Q$77+$F135&lt;=12,SUMIFS('Attrition Modeling'!$D:$D,'Attrition Modeling'!$C:$C,$D135,'Attrition Modeling'!$B:$B,Q$76),VLOOKUP($F135+Q$77,$A$7:$C$107,2,FALSE)*VLOOKUP(Q$76,'Attrition Modeling'!$L$15:$N$27,IF(Q$77+$F135&lt;=24,2,3),FALSE)),$C$3)*(1+IF('IP Attrition'!Q192&gt;0,'Attrition Modeling'!$N$9,0)))</f>
        <v>0</v>
      </c>
      <c r="R135" s="799">
        <f>Q135*(1-IFERROR(IF(R$77+$F135&lt;=12,SUMIFS('Attrition Modeling'!$D:$D,'Attrition Modeling'!$C:$C,$D135,'Attrition Modeling'!$B:$B,R$76),VLOOKUP($F135+R$77,$A$7:$C$107,2,FALSE)*VLOOKUP(R$76,'Attrition Modeling'!$L$15:$N$27,IF(R$77+$F135&lt;=24,2,3),FALSE)),$C$3)*(1+IF('IP Attrition'!R192&gt;0,'Attrition Modeling'!$N$9,0)))</f>
        <v>0</v>
      </c>
      <c r="S135" s="799">
        <f>R135*(1-IFERROR(IF(S$77+$F135&lt;=12,SUMIFS('Attrition Modeling'!$D:$D,'Attrition Modeling'!$C:$C,$D135,'Attrition Modeling'!$B:$B,S$76),VLOOKUP($F135+S$77,$A$7:$C$107,2,FALSE)*VLOOKUP(S$76,'Attrition Modeling'!$L$15:$N$27,IF(S$77+$F135&lt;=24,2,3),FALSE)),$C$3)*(1+IF('IP Attrition'!S192&gt;0,'Attrition Modeling'!$N$9,0)))</f>
        <v>0</v>
      </c>
      <c r="T135" s="799">
        <f>S135*(1-IFERROR(IF(T$77+$F135&lt;=12,SUMIFS('Attrition Modeling'!$D:$D,'Attrition Modeling'!$C:$C,$D135,'Attrition Modeling'!$B:$B,T$76),VLOOKUP($F135+T$77,$A$7:$C$107,2,FALSE)*VLOOKUP(T$76,'Attrition Modeling'!$L$15:$N$27,IF(T$77+$F135&lt;=24,2,3),FALSE)),$C$3)*(1+IF('IP Attrition'!T192&gt;0,'Attrition Modeling'!$N$9,0)))</f>
        <v>0</v>
      </c>
      <c r="U135" s="799">
        <f>T135*(1-IFERROR(IF(U$77+$F135&lt;=12,SUMIFS('Attrition Modeling'!$D:$D,'Attrition Modeling'!$C:$C,$D135,'Attrition Modeling'!$B:$B,U$76),VLOOKUP($F135+U$77,$A$7:$C$107,2,FALSE)*VLOOKUP(U$76,'Attrition Modeling'!$L$15:$N$27,IF(U$77+$F135&lt;=24,2,3),FALSE)),$C$3)*(1+IF('IP Attrition'!U192&gt;0,'Attrition Modeling'!$N$9,0)))</f>
        <v>0</v>
      </c>
      <c r="V135" s="799">
        <f>U135*(1-IFERROR(IF(V$77+$F135&lt;=12,SUMIFS('Attrition Modeling'!$D:$D,'Attrition Modeling'!$C:$C,$D135,'Attrition Modeling'!$B:$B,V$76),VLOOKUP($F135+V$77,$A$7:$C$107,2,FALSE)*VLOOKUP(V$76,'Attrition Modeling'!$L$15:$N$27,IF(V$77+$F135&lt;=24,2,3),FALSE)),$C$3)*(1+IF('IP Attrition'!V192&gt;0,'Attrition Modeling'!$N$9,0)))</f>
        <v>0</v>
      </c>
      <c r="W135" s="799">
        <f>V135*(1-IFERROR(IF(W$77+$F135&lt;=12,SUMIFS('Attrition Modeling'!$D:$D,'Attrition Modeling'!$C:$C,$D135,'Attrition Modeling'!$B:$B,W$76),VLOOKUP($F135+W$77,$A$7:$C$107,2,FALSE)*VLOOKUP(W$76,'Attrition Modeling'!$L$15:$N$27,IF(W$77+$F135&lt;=24,2,3),FALSE)),$C$3)*(1+IF('IP Attrition'!W192&gt;0,'Attrition Modeling'!$N$9,0)))</f>
        <v>0</v>
      </c>
      <c r="X135" s="799">
        <f>W135*(1-IFERROR(IF(X$77+$F135&lt;=12,SUMIFS('Attrition Modeling'!$D:$D,'Attrition Modeling'!$C:$C,$D135,'Attrition Modeling'!$B:$B,X$76),VLOOKUP($F135+X$77,$A$7:$C$107,2,FALSE)*VLOOKUP(X$76,'Attrition Modeling'!$L$15:$N$27,IF(X$77+$F135&lt;=24,2,3),FALSE)),$C$3)*(1+IF('IP Attrition'!X192&gt;0,'Attrition Modeling'!$N$9,0)))</f>
        <v>0</v>
      </c>
      <c r="Y135" s="799">
        <f>X135*(1-IFERROR(IF(Y$77+$F135&lt;=12,SUMIFS('Attrition Modeling'!$D:$D,'Attrition Modeling'!$C:$C,$D135,'Attrition Modeling'!$B:$B,Y$76),VLOOKUP($F135+Y$77,$A$7:$C$107,2,FALSE)*VLOOKUP(Y$76,'Attrition Modeling'!$L$15:$N$27,IF(Y$77+$F135&lt;=24,2,3),FALSE)),$C$3)*(1+IF('IP Attrition'!Y192&gt;0,'Attrition Modeling'!$N$9,0)))</f>
        <v>0</v>
      </c>
      <c r="Z135" s="799">
        <f>Y135*(1-IFERROR(IF(Z$77+$F135&lt;=12,SUMIFS('Attrition Modeling'!$D:$D,'Attrition Modeling'!$C:$C,$D135,'Attrition Modeling'!$B:$B,Z$76),VLOOKUP($F135+Z$77,$A$7:$C$107,2,FALSE)*VLOOKUP(Z$76,'Attrition Modeling'!$L$15:$N$27,IF(Z$77+$F135&lt;=24,2,3),FALSE)),$C$3)*(1+IF('IP Attrition'!Z192&gt;0,'Attrition Modeling'!$N$9,0)))</f>
        <v>0</v>
      </c>
      <c r="AA135" s="799">
        <f>Z135*(1-IFERROR(IF(AA$77+$F135&lt;=12,SUMIFS('Attrition Modeling'!$D:$D,'Attrition Modeling'!$C:$C,$D135,'Attrition Modeling'!$B:$B,AA$76),VLOOKUP($F135+AA$77,$A$7:$C$107,2,FALSE)*VLOOKUP(AA$76,'Attrition Modeling'!$L$15:$N$27,IF(AA$77+$F135&lt;=24,2,3),FALSE)),$C$3)*(1+IF('IP Attrition'!AA192&gt;0,'Attrition Modeling'!$N$9,0)))</f>
        <v>0</v>
      </c>
      <c r="AB135" s="799">
        <f>AA135*(1-IFERROR(IF(AB$77+$F135&lt;=12,SUMIFS('Attrition Modeling'!$D:$D,'Attrition Modeling'!$C:$C,$D135,'Attrition Modeling'!$B:$B,AB$76),VLOOKUP($F135+AB$77,$A$7:$C$107,2,FALSE)*VLOOKUP(AB$76,'Attrition Modeling'!$L$15:$N$27,IF(AB$77+$F135&lt;=24,2,3),FALSE)),$C$3)*(1+IF('IP Attrition'!AB192&gt;0,'Attrition Modeling'!$N$9,0)))</f>
        <v>0</v>
      </c>
      <c r="AC135" s="799">
        <f>AB135*(1-IFERROR(IF(AC$77+$F135&lt;=12,SUMIFS('Attrition Modeling'!$D:$D,'Attrition Modeling'!$C:$C,$D135,'Attrition Modeling'!$B:$B,AC$76),VLOOKUP($F135+AC$77,$A$7:$C$107,2,FALSE)*VLOOKUP(AC$76,'Attrition Modeling'!$L$15:$N$27,IF(AC$77+$F135&lt;=24,2,3),FALSE)),$C$3)*(1+IF('IP Attrition'!AC192&gt;0,'Attrition Modeling'!$N$9,0)))</f>
        <v>0</v>
      </c>
      <c r="AD135" s="799">
        <f>AC135*(1-IFERROR(IF(AD$77+$F135&lt;=12,SUMIFS('Attrition Modeling'!$D:$D,'Attrition Modeling'!$C:$C,$D135,'Attrition Modeling'!$B:$B,AD$76),VLOOKUP($F135+AD$77,$A$7:$C$107,2,FALSE)*VLOOKUP(AD$76,'Attrition Modeling'!$L$15:$N$27,IF(AD$77+$F135&lt;=24,2,3),FALSE)),$C$3)*(1+IF('IP Attrition'!AD192&gt;0,'Attrition Modeling'!$N$9,0)))</f>
        <v>0</v>
      </c>
      <c r="AE135" s="799">
        <f>AD135*(1-IFERROR(IF(AE$77+$F135&lt;=12,SUMIFS('Attrition Modeling'!$D:$D,'Attrition Modeling'!$C:$C,$D135,'Attrition Modeling'!$B:$B,AE$76),VLOOKUP($F135+AE$77,$A$7:$C$107,2,FALSE)*VLOOKUP(AE$76,'Attrition Modeling'!$L$15:$N$27,IF(AE$77+$F135&lt;=24,2,3),FALSE)),$C$3)*(1+IF('IP Attrition'!AE192&gt;0,'Attrition Modeling'!$N$9,0)))</f>
        <v>0</v>
      </c>
      <c r="AF135" s="799">
        <f>AE135*(1-IFERROR(IF(AF$77+$F135&lt;=12,SUMIFS('Attrition Modeling'!$D:$D,'Attrition Modeling'!$C:$C,$D135,'Attrition Modeling'!$B:$B,AF$76),VLOOKUP($F135+AF$77,$A$7:$C$107,2,FALSE)*VLOOKUP(AF$76,'Attrition Modeling'!$L$15:$N$27,IF(AF$77+$F135&lt;=24,2,3),FALSE)),$C$3)*(1+IF('IP Attrition'!AF192&gt;0,'Attrition Modeling'!$N$9,0)))</f>
        <v>0</v>
      </c>
      <c r="AG135" s="799">
        <f>AF135*(1-IFERROR(IF(AG$77+$F135&lt;=12,SUMIFS('Attrition Modeling'!$D:$D,'Attrition Modeling'!$C:$C,$D135,'Attrition Modeling'!$B:$B,AG$76),VLOOKUP($F135+AG$77,$A$7:$C$107,2,FALSE)*VLOOKUP(AG$76,'Attrition Modeling'!$L$15:$N$27,IF(AG$77+$F135&lt;=24,2,3),FALSE)),$C$3)*(1+IF('IP Attrition'!AG192&gt;0,'Attrition Modeling'!$N$9,0)))</f>
        <v>0</v>
      </c>
      <c r="AH135" s="799">
        <f>AG135*(1-IFERROR(IF(AH$77+$F135&lt;=12,SUMIFS('Attrition Modeling'!$D:$D,'Attrition Modeling'!$C:$C,$D135,'Attrition Modeling'!$B:$B,AH$76),VLOOKUP($F135+AH$77,$A$7:$C$107,2,FALSE)*VLOOKUP(AH$76,'Attrition Modeling'!$L$15:$N$27,IF(AH$77+$F135&lt;=24,2,3),FALSE)),$C$3)*(1+IF('IP Attrition'!AH192&gt;0,'Attrition Modeling'!$N$9,0)))</f>
        <v>0</v>
      </c>
      <c r="AI135" s="799">
        <f>AH135*(1-IFERROR(IF(AI$77+$F135&lt;=12,SUMIFS('Attrition Modeling'!$D:$D,'Attrition Modeling'!$C:$C,$D135,'Attrition Modeling'!$B:$B,AI$76),VLOOKUP($F135+AI$77,$A$7:$C$107,2,FALSE)*VLOOKUP(AI$76,'Attrition Modeling'!$L$15:$N$27,IF(AI$77+$F135&lt;=24,2,3),FALSE)),$C$3)*(1+IF('IP Attrition'!AI192&gt;0,'Attrition Modeling'!$N$9,0)))</f>
        <v>0</v>
      </c>
      <c r="AJ135" s="799">
        <f>AI135*(1-IFERROR(IF(AJ$77+$F135&lt;=12,SUMIFS('Attrition Modeling'!$D:$D,'Attrition Modeling'!$C:$C,$D135,'Attrition Modeling'!$B:$B,AJ$76),VLOOKUP($F135+AJ$77,$A$7:$C$107,2,FALSE)*VLOOKUP(AJ$76,'Attrition Modeling'!$L$15:$N$27,IF(AJ$77+$F135&lt;=24,2,3),FALSE)),$C$3)*(1+IF('IP Attrition'!AJ192&gt;0,'Attrition Modeling'!$N$9,0)))</f>
        <v>0</v>
      </c>
      <c r="AK135" s="799">
        <f>AJ135*(1-IFERROR(IF(AK$77+$F135&lt;=12,SUMIFS('Attrition Modeling'!$D:$D,'Attrition Modeling'!$C:$C,$D135,'Attrition Modeling'!$B:$B,AK$76),VLOOKUP($F135+AK$77,$A$7:$C$107,2,FALSE)*VLOOKUP(AK$76,'Attrition Modeling'!$L$15:$N$27,IF(AK$77+$F135&lt;=24,2,3),FALSE)),$C$3)*(1+IF('IP Attrition'!AK192&gt;0,'Attrition Modeling'!$N$9,0)))</f>
        <v>0</v>
      </c>
      <c r="AL135" s="799">
        <f>AK135*(1-IFERROR(IF(AL$77+$F135&lt;=12,SUMIFS('Attrition Modeling'!$D:$D,'Attrition Modeling'!$C:$C,$D135,'Attrition Modeling'!$B:$B,AL$76),VLOOKUP($F135+AL$77,$A$7:$C$107,2,FALSE)*VLOOKUP(AL$76,'Attrition Modeling'!$L$15:$N$27,IF(AL$77+$F135&lt;=24,2,3),FALSE)),$C$3)*(1+IF('IP Attrition'!AL192&gt;0,'Attrition Modeling'!$N$9,0)))</f>
        <v>0</v>
      </c>
      <c r="AM135" s="799">
        <f>AL135*(1-IFERROR(IF(AM$77+$F135&lt;=12,SUMIFS('Attrition Modeling'!$D:$D,'Attrition Modeling'!$C:$C,$D135,'Attrition Modeling'!$B:$B,AM$76),VLOOKUP($F135+AM$77,$A$7:$C$107,2,FALSE)*VLOOKUP(AM$76,'Attrition Modeling'!$L$15:$N$27,IF(AM$77+$F135&lt;=24,2,3),FALSE)),$C$3)*(1+IF('IP Attrition'!AM192&gt;0,'Attrition Modeling'!$N$9,0)))</f>
        <v>0</v>
      </c>
      <c r="AN135" s="799">
        <f>AM135*(1-IFERROR(IF(AN$77+$F135&lt;=12,SUMIFS('Attrition Modeling'!$D:$D,'Attrition Modeling'!$C:$C,$D135,'Attrition Modeling'!$B:$B,AN$76),VLOOKUP($F135+AN$77,$A$7:$C$107,2,FALSE)*VLOOKUP(AN$76,'Attrition Modeling'!$L$15:$N$27,IF(AN$77+$F135&lt;=24,2,3),FALSE)),$C$3)*(1+IF('IP Attrition'!AN192&gt;0,'Attrition Modeling'!$N$9,0)))</f>
        <v>0</v>
      </c>
      <c r="AO135" s="799">
        <f>AN135*(1-IFERROR(IF(AO$77+$F135&lt;=12,SUMIFS('Attrition Modeling'!$D:$D,'Attrition Modeling'!$C:$C,$D135,'Attrition Modeling'!$B:$B,AO$76),VLOOKUP($F135+AO$77,$A$7:$C$107,2,FALSE)*VLOOKUP(AO$76,'Attrition Modeling'!$L$15:$N$27,IF(AO$77+$F135&lt;=24,2,3),FALSE)),$C$3)*(1+IF('IP Attrition'!AO192&gt;0,'Attrition Modeling'!$N$9,0)))</f>
        <v>0</v>
      </c>
      <c r="AP135" s="799">
        <f>AO135*(1-IFERROR(IF(AP$77+$F135&lt;=12,SUMIFS('Attrition Modeling'!$D:$D,'Attrition Modeling'!$C:$C,$D135,'Attrition Modeling'!$B:$B,AP$76),VLOOKUP($F135+AP$77,$A$7:$C$107,2,FALSE)*VLOOKUP(AP$76,'Attrition Modeling'!$L$15:$N$27,IF(AP$77+$F135&lt;=24,2,3),FALSE)),$C$3)*(1+IF('IP Attrition'!AP192&gt;0,'Attrition Modeling'!$N$9,0)))</f>
        <v>0</v>
      </c>
      <c r="AQ135" s="799">
        <f>AP135*(1-IFERROR(IF(AQ$77+$F135&lt;=12,SUMIFS('Attrition Modeling'!$D:$D,'Attrition Modeling'!$C:$C,$D135,'Attrition Modeling'!$B:$B,AQ$76),VLOOKUP($F135+AQ$77,$A$7:$C$107,2,FALSE)*VLOOKUP(AQ$76,'Attrition Modeling'!$L$15:$N$27,IF(AQ$77+$F135&lt;=24,2,3),FALSE)),$C$3)*(1+IF('IP Attrition'!AQ192&gt;0,'Attrition Modeling'!$N$9,0)))</f>
        <v>0</v>
      </c>
      <c r="AR135" s="799">
        <f>AQ135*(1-IFERROR(IF(AR$77+$F135&lt;=12,SUMIFS('Attrition Modeling'!$D:$D,'Attrition Modeling'!$C:$C,$D135,'Attrition Modeling'!$B:$B,AR$76),VLOOKUP($F135+AR$77,$A$7:$C$107,2,FALSE)*VLOOKUP(AR$76,'Attrition Modeling'!$L$15:$N$27,IF(AR$77+$F135&lt;=24,2,3),FALSE)),$C$3)*(1+IF('IP Attrition'!AR192&gt;0,'Attrition Modeling'!$N$9,0)))</f>
        <v>0</v>
      </c>
      <c r="AS135" s="799">
        <f>AR135*(1-IFERROR(IF(AS$77+$F135&lt;=12,SUMIFS('Attrition Modeling'!$D:$D,'Attrition Modeling'!$C:$C,$D135,'Attrition Modeling'!$B:$B,AS$76),VLOOKUP($F135+AS$77,$A$7:$C$107,2,FALSE)*VLOOKUP(AS$76,'Attrition Modeling'!$L$15:$N$27,IF(AS$77+$F135&lt;=24,2,3),FALSE)),$C$3)*(1+IF('IP Attrition'!AS192&gt;0,'Attrition Modeling'!$N$9,0)))</f>
        <v>0</v>
      </c>
      <c r="AT135" s="799">
        <f>AS135*(1-IFERROR(IF(AT$77+$F135&lt;=12,SUMIFS('Attrition Modeling'!$D:$D,'Attrition Modeling'!$C:$C,$D135,'Attrition Modeling'!$B:$B,AT$76),VLOOKUP($F135+AT$77,$A$7:$C$107,2,FALSE)*VLOOKUP(AT$76,'Attrition Modeling'!$L$15:$N$27,IF(AT$77+$F135&lt;=24,2,3),FALSE)),$C$3)*(1+IF('IP Attrition'!AT192&gt;0,'Attrition Modeling'!$N$9,0)))</f>
        <v>0</v>
      </c>
      <c r="AU135" s="799">
        <f>AT135*(1-IFERROR(IF(AU$77+$F135&lt;=12,SUMIFS('Attrition Modeling'!$D:$D,'Attrition Modeling'!$C:$C,$D135,'Attrition Modeling'!$B:$B,AU$76),VLOOKUP($F135+AU$77,$A$7:$C$107,2,FALSE)*VLOOKUP(AU$76,'Attrition Modeling'!$L$15:$N$27,IF(AU$77+$F135&lt;=24,2,3),FALSE)),$C$3)*(1+IF('IP Attrition'!AU192&gt;0,'Attrition Modeling'!$N$9,0)))</f>
        <v>0</v>
      </c>
      <c r="AV135" s="799">
        <f>AU135*(1-IFERROR(IF(AV$77+$F135&lt;=12,SUMIFS('Attrition Modeling'!$D:$D,'Attrition Modeling'!$C:$C,$D135,'Attrition Modeling'!$B:$B,AV$76),VLOOKUP($F135+AV$77,$A$7:$C$107,2,FALSE)*VLOOKUP(AV$76,'Attrition Modeling'!$L$15:$N$27,IF(AV$77+$F135&lt;=24,2,3),FALSE)),$C$3)*(1+IF('IP Attrition'!AV192&gt;0,'Attrition Modeling'!$N$9,0)))</f>
        <v>0</v>
      </c>
      <c r="AW135" s="799">
        <f>AV135*(1-IFERROR(IF(AW$77+$F135&lt;=12,SUMIFS('Attrition Modeling'!$D:$D,'Attrition Modeling'!$C:$C,$D135,'Attrition Modeling'!$B:$B,AW$76),VLOOKUP($F135+AW$77,$A$7:$C$107,2,FALSE)*VLOOKUP(AW$76,'Attrition Modeling'!$L$15:$N$27,IF(AW$77+$F135&lt;=24,2,3),FALSE)),$C$3)*(1+IF('IP Attrition'!AW192&gt;0,'Attrition Modeling'!$N$9,0)))</f>
        <v>0</v>
      </c>
      <c r="AX135" s="799">
        <f>AW135*(1-IFERROR(IF(AX$77+$F135&lt;=12,SUMIFS('Attrition Modeling'!$D:$D,'Attrition Modeling'!$C:$C,$D135,'Attrition Modeling'!$B:$B,AX$76),VLOOKUP($F135+AX$77,$A$7:$C$107,2,FALSE)*VLOOKUP(AX$76,'Attrition Modeling'!$L$15:$N$27,IF(AX$77+$F135&lt;=24,2,3),FALSE)),$C$3)*(1+IF('IP Attrition'!AX192&gt;0,'Attrition Modeling'!$N$9,0)))</f>
        <v>0</v>
      </c>
      <c r="AY135" s="799">
        <f>AX135*(1-IFERROR(IF(AY$77+$F135&lt;=12,SUMIFS('Attrition Modeling'!$D:$D,'Attrition Modeling'!$C:$C,$D135,'Attrition Modeling'!$B:$B,AY$76),VLOOKUP($F135+AY$77,$A$7:$C$107,2,FALSE)*VLOOKUP(AY$76,'Attrition Modeling'!$L$15:$N$27,IF(AY$77+$F135&lt;=24,2,3),FALSE)),$C$3)*(1+IF('IP Attrition'!AY192&gt;0,'Attrition Modeling'!$N$9,0)))</f>
        <v>0</v>
      </c>
      <c r="AZ135" s="799">
        <f>AY135*(1-IFERROR(IF(AZ$77+$F135&lt;=12,SUMIFS('Attrition Modeling'!$D:$D,'Attrition Modeling'!$C:$C,$D135,'Attrition Modeling'!$B:$B,AZ$76),VLOOKUP($F135+AZ$77,$A$7:$C$107,2,FALSE)*VLOOKUP(AZ$76,'Attrition Modeling'!$L$15:$N$27,IF(AZ$77+$F135&lt;=24,2,3),FALSE)),$C$3)*(1+IF('IP Attrition'!AZ192&gt;0,'Attrition Modeling'!$N$9,0)))</f>
        <v>0</v>
      </c>
      <c r="BA135" s="799">
        <f>AZ135*(1-IFERROR(IF(BA$77+$F135&lt;=12,SUMIFS('Attrition Modeling'!$D:$D,'Attrition Modeling'!$C:$C,$D135,'Attrition Modeling'!$B:$B,BA$76),VLOOKUP($F135+BA$77,$A$7:$C$107,2,FALSE)*VLOOKUP(BA$76,'Attrition Modeling'!$L$15:$N$27,IF(BA$77+$F135&lt;=24,2,3),FALSE)),$C$3)*(1+IF('IP Attrition'!BA192&gt;0,'Attrition Modeling'!$N$9,0)))</f>
        <v>0</v>
      </c>
      <c r="BB135" s="799">
        <f>BA135*(1-IFERROR(IF(BB$77+$F135&lt;=12,SUMIFS('Attrition Modeling'!$D:$D,'Attrition Modeling'!$C:$C,$D135,'Attrition Modeling'!$B:$B,BB$76),VLOOKUP($F135+BB$77,$A$7:$C$107,2,FALSE)*VLOOKUP(BB$76,'Attrition Modeling'!$L$15:$N$27,IF(BB$77+$F135&lt;=24,2,3),FALSE)),$C$3)*(1+IF('IP Attrition'!BB192&gt;0,'Attrition Modeling'!$N$9,0)))</f>
        <v>0</v>
      </c>
      <c r="BC135" s="799">
        <f>BB135*(1-IFERROR(IF(BC$77+$F135&lt;=12,SUMIFS('Attrition Modeling'!$D:$D,'Attrition Modeling'!$C:$C,$D135,'Attrition Modeling'!$B:$B,BC$76),VLOOKUP($F135+BC$77,$A$7:$C$107,2,FALSE)*VLOOKUP(BC$76,'Attrition Modeling'!$L$15:$N$27,IF(BC$77+$F135&lt;=24,2,3),FALSE)),$C$3)*(1+IF('IP Attrition'!BC192&gt;0,'Attrition Modeling'!$N$9,0)))</f>
        <v>0</v>
      </c>
      <c r="BD135" s="799">
        <f>BC135*(1-IFERROR(IF(BD$77+$F135&lt;=12,SUMIFS('Attrition Modeling'!$D:$D,'Attrition Modeling'!$C:$C,$D135,'Attrition Modeling'!$B:$B,BD$76),VLOOKUP($F135+BD$77,$A$7:$C$107,2,FALSE)*VLOOKUP(BD$76,'Attrition Modeling'!$L$15:$N$27,IF(BD$77+$F135&lt;=24,2,3),FALSE)),$C$3)*(1+IF('IP Attrition'!BD192&gt;0,'Attrition Modeling'!$N$9,0)))</f>
        <v>0</v>
      </c>
      <c r="BE135" s="799">
        <f>BD135*(1-IFERROR(IF(BE$77+$F135&lt;=12,SUMIFS('Attrition Modeling'!$D:$D,'Attrition Modeling'!$C:$C,$D135,'Attrition Modeling'!$B:$B,BE$76),VLOOKUP($F135+BE$77,$A$7:$C$107,2,FALSE)*VLOOKUP(BE$76,'Attrition Modeling'!$L$15:$N$27,IF(BE$77+$F135&lt;=24,2,3),FALSE)),$C$3)*(1+IF('IP Attrition'!BE192&gt;0,'Attrition Modeling'!$N$9,0)))</f>
        <v>0</v>
      </c>
      <c r="BF135" s="799">
        <f>BE135*(1-IFERROR(IF(BF$77+$F135&lt;=12,SUMIFS('Attrition Modeling'!$D:$D,'Attrition Modeling'!$C:$C,$D135,'Attrition Modeling'!$B:$B,BF$76),VLOOKUP($F135+BF$77,$A$7:$C$107,2,FALSE)*VLOOKUP(BF$76,'Attrition Modeling'!$L$15:$N$27,IF(BF$77+$F135&lt;=24,2,3),FALSE)),$C$3)*(1+IF('IP Attrition'!BF192&gt;0,'Attrition Modeling'!$N$9,0)))</f>
        <v>0</v>
      </c>
      <c r="BG135" s="799">
        <f>BF135*(1-IFERROR(IF(BG$77+$F135&lt;=12,SUMIFS('Attrition Modeling'!$D:$D,'Attrition Modeling'!$C:$C,$D135,'Attrition Modeling'!$B:$B,BG$76),VLOOKUP($F135+BG$77,$A$7:$C$107,2,FALSE)*VLOOKUP(BG$76,'Attrition Modeling'!$L$15:$N$27,IF(BG$77+$F135&lt;=24,2,3),FALSE)),$C$3)*(1+IF('IP Attrition'!BG192&gt;0,'Attrition Modeling'!$N$9,0)))</f>
        <v>0</v>
      </c>
      <c r="BH135" s="799">
        <f>BG135*(1-IFERROR(IF(BH$77+$F135&lt;=12,SUMIFS('Attrition Modeling'!$D:$D,'Attrition Modeling'!$C:$C,$D135,'Attrition Modeling'!$B:$B,BH$76),VLOOKUP($F135+BH$77,$A$7:$C$107,2,FALSE)*VLOOKUP(BH$76,'Attrition Modeling'!$L$15:$N$27,IF(BH$77+$F135&lt;=24,2,3),FALSE)),$C$3)*(1+IF('IP Attrition'!BH192&gt;0,'Attrition Modeling'!$N$9,0)))</f>
        <v>0</v>
      </c>
      <c r="BI135" s="799">
        <f>BH135*(1-IFERROR(IF(BI$77+$F135&lt;=12,SUMIFS('Attrition Modeling'!$D:$D,'Attrition Modeling'!$C:$C,$D135,'Attrition Modeling'!$B:$B,BI$76),VLOOKUP($F135+BI$77,$A$7:$C$107,2,FALSE)*VLOOKUP(BI$76,'Attrition Modeling'!$L$15:$N$27,IF(BI$77+$F135&lt;=24,2,3),FALSE)),$C$3)*(1+IF('IP Attrition'!BI192&gt;0,'Attrition Modeling'!$N$9,0)))</f>
        <v>0</v>
      </c>
      <c r="BJ135" s="799">
        <f>BI135*(1-IFERROR(IF(BJ$77+$F135&lt;=12,SUMIFS('Attrition Modeling'!$D:$D,'Attrition Modeling'!$C:$C,$D135,'Attrition Modeling'!$B:$B,BJ$76),VLOOKUP($F135+BJ$77,$A$7:$C$107,2,FALSE)*VLOOKUP(BJ$76,'Attrition Modeling'!$L$15:$N$27,IF(BJ$77+$F135&lt;=24,2,3),FALSE)),$C$3)*(1+IF('IP Attrition'!BJ192&gt;0,'Attrition Modeling'!$N$9,0)))</f>
        <v>0</v>
      </c>
      <c r="BK135" s="799">
        <f>BJ135*(1-IFERROR(IF(BK$77+$F135&lt;=12,SUMIFS('Attrition Modeling'!$D:$D,'Attrition Modeling'!$C:$C,$D135,'Attrition Modeling'!$B:$B,BK$76),VLOOKUP($F135+BK$77,$A$7:$C$107,2,FALSE)*VLOOKUP(BK$76,'Attrition Modeling'!$L$15:$N$27,IF(BK$77+$F135&lt;=24,2,3),FALSE)),$C$3)*(1+IF('IP Attrition'!BK192&gt;0,'Attrition Modeling'!$N$9,0)))</f>
        <v>0</v>
      </c>
      <c r="BL135" s="799">
        <f>BK135*(1-IFERROR(IF(BL$77+$F135&lt;=12,SUMIFS('Attrition Modeling'!$D:$D,'Attrition Modeling'!$C:$C,$D135,'Attrition Modeling'!$B:$B,BL$76),VLOOKUP($F135+BL$77,$A$7:$C$107,2,FALSE)*VLOOKUP(BL$76,'Attrition Modeling'!$L$15:$N$27,IF(BL$77+$F135&lt;=24,2,3),FALSE)),$C$3)*(1+IF('IP Attrition'!BL192&gt;0,'Attrition Modeling'!$N$9,0)))</f>
        <v>0</v>
      </c>
      <c r="BM135" s="799">
        <f>BL135*(1-IFERROR(IF(BM$77+$F135&lt;=12,SUMIFS('Attrition Modeling'!$D:$D,'Attrition Modeling'!$C:$C,$D135,'Attrition Modeling'!$B:$B,BM$76),VLOOKUP($F135+BM$77,$A$7:$C$107,2,FALSE)*VLOOKUP(BM$76,'Attrition Modeling'!$L$15:$N$27,IF(BM$77+$F135&lt;=24,2,3),FALSE)),$C$3)*(1+IF('IP Attrition'!BM192&gt;0,'Attrition Modeling'!$N$9,0)))</f>
        <v>0</v>
      </c>
      <c r="BN135" s="799">
        <f>BM135*(1-IFERROR(IF(BN$77+$F135&lt;=12,SUMIFS('Attrition Modeling'!$D:$D,'Attrition Modeling'!$C:$C,$D135,'Attrition Modeling'!$B:$B,BN$76),VLOOKUP($F135+BN$77,$A$7:$C$107,2,FALSE)*VLOOKUP(BN$76,'Attrition Modeling'!$L$15:$N$27,IF(BN$77+$F135&lt;=24,2,3),FALSE)),$C$3)*(1+IF('IP Attrition'!BN192&gt;0,'Attrition Modeling'!$N$9,0)))</f>
        <v>0</v>
      </c>
      <c r="BO135" s="799">
        <f>BN135*(1-IFERROR(IF(BO$77+$F135&lt;=12,SUMIFS('Attrition Modeling'!$D:$D,'Attrition Modeling'!$C:$C,$D135,'Attrition Modeling'!$B:$B,BO$76),VLOOKUP($F135+BO$77,$A$7:$C$107,2,FALSE)*VLOOKUP(BO$76,'Attrition Modeling'!$L$15:$N$27,IF(BO$77+$F135&lt;=24,2,3),FALSE)),$C$3)*(1+IF('IP Attrition'!BO192&gt;0,'Attrition Modeling'!$N$9,0)))</f>
        <v>0</v>
      </c>
      <c r="BP135" s="799">
        <f>BO135*(1-IFERROR(IF(BP$77+$F135&lt;=12,SUMIFS('Attrition Modeling'!$D:$D,'Attrition Modeling'!$C:$C,$D135,'Attrition Modeling'!$B:$B,BP$76),VLOOKUP($F135+BP$77,$A$7:$C$107,2,FALSE)*VLOOKUP(BP$76,'Attrition Modeling'!$L$15:$N$27,IF(BP$77+$F135&lt;=24,2,3),FALSE)),$C$3)*(1+IF('IP Attrition'!BP192&gt;0,'Attrition Modeling'!$N$9,0)))</f>
        <v>0</v>
      </c>
      <c r="BQ135" s="799">
        <f>BP135*(1-IFERROR(IF(BQ$77+$F135&lt;=12,SUMIFS('Attrition Modeling'!$D:$D,'Attrition Modeling'!$C:$C,$D135,'Attrition Modeling'!$B:$B,BQ$76),VLOOKUP($F135+BQ$77,$A$7:$C$107,2,FALSE)*VLOOKUP(BQ$76,'Attrition Modeling'!$L$15:$N$27,IF(BQ$77+$F135&lt;=24,2,3),FALSE)),$C$3)*(1+IF('IP Attrition'!BQ192&gt;0,'Attrition Modeling'!$N$9,0)))</f>
        <v>0</v>
      </c>
      <c r="BR135" s="799">
        <f>BQ135*(1-IFERROR(IF(BR$77+$F135&lt;=12,SUMIFS('Attrition Modeling'!$D:$D,'Attrition Modeling'!$C:$C,$D135,'Attrition Modeling'!$B:$B,BR$76),VLOOKUP($F135+BR$77,$A$7:$C$107,2,FALSE)*VLOOKUP(BR$76,'Attrition Modeling'!$L$15:$N$27,IF(BR$77+$F135&lt;=24,2,3),FALSE)),$C$3)*(1+IF('IP Attrition'!BR192&gt;0,'Attrition Modeling'!$N$9,0)))</f>
        <v>0</v>
      </c>
      <c r="BS135" s="799">
        <f>BR135*(1-IFERROR(IF(BS$77+$F135&lt;=12,SUMIFS('Attrition Modeling'!$D:$D,'Attrition Modeling'!$C:$C,$D135,'Attrition Modeling'!$B:$B,BS$76),VLOOKUP($F135+BS$77,$A$7:$C$107,2,FALSE)*VLOOKUP(BS$76,'Attrition Modeling'!$L$15:$N$27,IF(BS$77+$F135&lt;=24,2,3),FALSE)),$C$3)*(1+IF('IP Attrition'!BS192&gt;0,'Attrition Modeling'!$N$9,0)))</f>
        <v>0</v>
      </c>
      <c r="BT135" s="799" t="e">
        <f>BS135*(1-IFERROR(IF(BT$77+$F135&lt;=12,SUMIFS('Attrition Modeling'!$D:$D,'Attrition Modeling'!$C:$C,$D135,'Attrition Modeling'!$B:$B,BT$76),VLOOKUP($F135+BT$77,$A$7:$C$107,2,FALSE)*VLOOKUP(BT$76,'Attrition Modeling'!$L$15:$N$27,IF(BT$77+$F135&lt;=24,2,3),FALSE)),$C$3)*(1+IF('IP Attrition'!BT192&gt;0,'Attrition Modeling'!$N$9,0)))</f>
        <v>#REF!</v>
      </c>
      <c r="BU135" s="799" t="e">
        <f>BT135*(1-IFERROR(IF(BU$77+$F135&lt;=12,SUMIFS('Attrition Modeling'!$D:$D,'Attrition Modeling'!$C:$C,$D135,'Attrition Modeling'!$B:$B,BU$76),VLOOKUP($F135+BU$77,$A$7:$C$107,2,FALSE)*VLOOKUP(BU$76,'Attrition Modeling'!$L$15:$N$27,IF(BU$77+$F135&lt;=24,2,3),FALSE)),$C$3)*(1+IF('IP Attrition'!BU192&gt;0,'Attrition Modeling'!$N$9,0)))</f>
        <v>#REF!</v>
      </c>
    </row>
    <row r="136" spans="1:73" ht="14.25" customHeight="1" x14ac:dyDescent="0.2">
      <c r="A136" s="9">
        <v>128</v>
      </c>
      <c r="B136" s="25">
        <f>MAX('Attrition Modeling'!H132,$C$3)*(1-Summary!$C$20)</f>
        <v>0.02</v>
      </c>
      <c r="C136" s="24" t="e">
        <f t="shared" si="2"/>
        <v>#DIV/0!</v>
      </c>
      <c r="D136" s="11">
        <f>'IP Attrition'!D128</f>
        <v>-58</v>
      </c>
      <c r="E136" s="25">
        <f>'IP Attrition'!E128</f>
        <v>0</v>
      </c>
      <c r="F136" s="11">
        <f t="shared" si="8"/>
        <v>58</v>
      </c>
      <c r="G136" s="799">
        <f>Summary!$C$24*$E136</f>
        <v>0</v>
      </c>
      <c r="H136" s="799">
        <f>G136*(1-IFERROR(IF(H$77+$F136&lt;=12,SUMIFS('Attrition Modeling'!$D:$D,'Attrition Modeling'!$C:$C,$D136,'Attrition Modeling'!$B:$B,H$76),VLOOKUP($F136+H$77,$A$7:$C$107,2,FALSE)*VLOOKUP(H$76,'Attrition Modeling'!$L$15:$N$27,IF(H$77+$F136&lt;=24,2,3),FALSE)),$C$3)*(1+IF('IP Attrition'!H193&gt;0,'Attrition Modeling'!$N$9,0)))</f>
        <v>0</v>
      </c>
      <c r="I136" s="799">
        <f>H136*(1-IFERROR(IF(I$77+$F136&lt;=12,SUMIFS('Attrition Modeling'!$D:$D,'Attrition Modeling'!$C:$C,$D136,'Attrition Modeling'!$B:$B,I$76),VLOOKUP($F136+I$77,$A$7:$C$107,2,FALSE)*VLOOKUP(I$76,'Attrition Modeling'!$L$15:$N$27,IF(I$77+$F136&lt;=24,2,3),FALSE)),$C$3)*(1+IF('IP Attrition'!I193&gt;0,'Attrition Modeling'!$N$9,0)))</f>
        <v>0</v>
      </c>
      <c r="J136" s="799">
        <f>I136*(1-IFERROR(IF(J$77+$F136&lt;=12,SUMIFS('Attrition Modeling'!$D:$D,'Attrition Modeling'!$C:$C,$D136,'Attrition Modeling'!$B:$B,J$76),VLOOKUP($F136+J$77,$A$7:$C$107,2,FALSE)*VLOOKUP(J$76,'Attrition Modeling'!$L$15:$N$27,IF(J$77+$F136&lt;=24,2,3),FALSE)),$C$3)*(1+IF('IP Attrition'!J193&gt;0,'Attrition Modeling'!$N$9,0)))</f>
        <v>0</v>
      </c>
      <c r="K136" s="799">
        <f>J136*(1-IFERROR(IF(K$77+$F136&lt;=12,SUMIFS('Attrition Modeling'!$D:$D,'Attrition Modeling'!$C:$C,$D136,'Attrition Modeling'!$B:$B,K$76),VLOOKUP($F136+K$77,$A$7:$C$107,2,FALSE)*VLOOKUP(K$76,'Attrition Modeling'!$L$15:$N$27,IF(K$77+$F136&lt;=24,2,3),FALSE)),$C$3)*(1+IF('IP Attrition'!K193&gt;0,'Attrition Modeling'!$N$9,0)))</f>
        <v>0</v>
      </c>
      <c r="L136" s="799">
        <f>K136*(1-IFERROR(IF(L$77+$F136&lt;=12,SUMIFS('Attrition Modeling'!$D:$D,'Attrition Modeling'!$C:$C,$D136,'Attrition Modeling'!$B:$B,L$76),VLOOKUP($F136+L$77,$A$7:$C$107,2,FALSE)*VLOOKUP(L$76,'Attrition Modeling'!$L$15:$N$27,IF(L$77+$F136&lt;=24,2,3),FALSE)),$C$3)*(1+IF('IP Attrition'!L193&gt;0,'Attrition Modeling'!$N$9,0)))</f>
        <v>0</v>
      </c>
      <c r="M136" s="799">
        <f>L136*(1-IFERROR(IF(M$77+$F136&lt;=12,SUMIFS('Attrition Modeling'!$D:$D,'Attrition Modeling'!$C:$C,$D136,'Attrition Modeling'!$B:$B,M$76),VLOOKUP($F136+M$77,$A$7:$C$107,2,FALSE)*VLOOKUP(M$76,'Attrition Modeling'!$L$15:$N$27,IF(M$77+$F136&lt;=24,2,3),FALSE)),$C$3)*(1+IF('IP Attrition'!M193&gt;0,'Attrition Modeling'!$N$9,0)))</f>
        <v>0</v>
      </c>
      <c r="N136" s="799">
        <f>M136*(1-IFERROR(IF(N$77+$F136&lt;=12,SUMIFS('Attrition Modeling'!$D:$D,'Attrition Modeling'!$C:$C,$D136,'Attrition Modeling'!$B:$B,N$76),VLOOKUP($F136+N$77,$A$7:$C$107,2,FALSE)*VLOOKUP(N$76,'Attrition Modeling'!$L$15:$N$27,IF(N$77+$F136&lt;=24,2,3),FALSE)),$C$3)*(1+IF('IP Attrition'!N193&gt;0,'Attrition Modeling'!$N$9,0)))</f>
        <v>0</v>
      </c>
      <c r="O136" s="799">
        <f>N136*(1-IFERROR(IF(O$77+$F136&lt;=12,SUMIFS('Attrition Modeling'!$D:$D,'Attrition Modeling'!$C:$C,$D136,'Attrition Modeling'!$B:$B,O$76),VLOOKUP($F136+O$77,$A$7:$C$107,2,FALSE)*VLOOKUP(O$76,'Attrition Modeling'!$L$15:$N$27,IF(O$77+$F136&lt;=24,2,3),FALSE)),$C$3)*(1+IF('IP Attrition'!O193&gt;0,'Attrition Modeling'!$N$9,0)))</f>
        <v>0</v>
      </c>
      <c r="P136" s="799">
        <f>O136*(1-IFERROR(IF(P$77+$F136&lt;=12,SUMIFS('Attrition Modeling'!$D:$D,'Attrition Modeling'!$C:$C,$D136,'Attrition Modeling'!$B:$B,P$76),VLOOKUP($F136+P$77,$A$7:$C$107,2,FALSE)*VLOOKUP(P$76,'Attrition Modeling'!$L$15:$N$27,IF(P$77+$F136&lt;=24,2,3),FALSE)),$C$3)*(1+IF('IP Attrition'!P193&gt;0,'Attrition Modeling'!$N$9,0)))</f>
        <v>0</v>
      </c>
      <c r="Q136" s="799">
        <f>P136*(1-IFERROR(IF(Q$77+$F136&lt;=12,SUMIFS('Attrition Modeling'!$D:$D,'Attrition Modeling'!$C:$C,$D136,'Attrition Modeling'!$B:$B,Q$76),VLOOKUP($F136+Q$77,$A$7:$C$107,2,FALSE)*VLOOKUP(Q$76,'Attrition Modeling'!$L$15:$N$27,IF(Q$77+$F136&lt;=24,2,3),FALSE)),$C$3)*(1+IF('IP Attrition'!Q193&gt;0,'Attrition Modeling'!$N$9,0)))</f>
        <v>0</v>
      </c>
      <c r="R136" s="799">
        <f>Q136*(1-IFERROR(IF(R$77+$F136&lt;=12,SUMIFS('Attrition Modeling'!$D:$D,'Attrition Modeling'!$C:$C,$D136,'Attrition Modeling'!$B:$B,R$76),VLOOKUP($F136+R$77,$A$7:$C$107,2,FALSE)*VLOOKUP(R$76,'Attrition Modeling'!$L$15:$N$27,IF(R$77+$F136&lt;=24,2,3),FALSE)),$C$3)*(1+IF('IP Attrition'!R193&gt;0,'Attrition Modeling'!$N$9,0)))</f>
        <v>0</v>
      </c>
      <c r="S136" s="799">
        <f>R136*(1-IFERROR(IF(S$77+$F136&lt;=12,SUMIFS('Attrition Modeling'!$D:$D,'Attrition Modeling'!$C:$C,$D136,'Attrition Modeling'!$B:$B,S$76),VLOOKUP($F136+S$77,$A$7:$C$107,2,FALSE)*VLOOKUP(S$76,'Attrition Modeling'!$L$15:$N$27,IF(S$77+$F136&lt;=24,2,3),FALSE)),$C$3)*(1+IF('IP Attrition'!S193&gt;0,'Attrition Modeling'!$N$9,0)))</f>
        <v>0</v>
      </c>
      <c r="T136" s="799">
        <f>S136*(1-IFERROR(IF(T$77+$F136&lt;=12,SUMIFS('Attrition Modeling'!$D:$D,'Attrition Modeling'!$C:$C,$D136,'Attrition Modeling'!$B:$B,T$76),VLOOKUP($F136+T$77,$A$7:$C$107,2,FALSE)*VLOOKUP(T$76,'Attrition Modeling'!$L$15:$N$27,IF(T$77+$F136&lt;=24,2,3),FALSE)),$C$3)*(1+IF('IP Attrition'!T193&gt;0,'Attrition Modeling'!$N$9,0)))</f>
        <v>0</v>
      </c>
      <c r="U136" s="799">
        <f>T136*(1-IFERROR(IF(U$77+$F136&lt;=12,SUMIFS('Attrition Modeling'!$D:$D,'Attrition Modeling'!$C:$C,$D136,'Attrition Modeling'!$B:$B,U$76),VLOOKUP($F136+U$77,$A$7:$C$107,2,FALSE)*VLOOKUP(U$76,'Attrition Modeling'!$L$15:$N$27,IF(U$77+$F136&lt;=24,2,3),FALSE)),$C$3)*(1+IF('IP Attrition'!U193&gt;0,'Attrition Modeling'!$N$9,0)))</f>
        <v>0</v>
      </c>
      <c r="V136" s="799">
        <f>U136*(1-IFERROR(IF(V$77+$F136&lt;=12,SUMIFS('Attrition Modeling'!$D:$D,'Attrition Modeling'!$C:$C,$D136,'Attrition Modeling'!$B:$B,V$76),VLOOKUP($F136+V$77,$A$7:$C$107,2,FALSE)*VLOOKUP(V$76,'Attrition Modeling'!$L$15:$N$27,IF(V$77+$F136&lt;=24,2,3),FALSE)),$C$3)*(1+IF('IP Attrition'!V193&gt;0,'Attrition Modeling'!$N$9,0)))</f>
        <v>0</v>
      </c>
      <c r="W136" s="799">
        <f>V136*(1-IFERROR(IF(W$77+$F136&lt;=12,SUMIFS('Attrition Modeling'!$D:$D,'Attrition Modeling'!$C:$C,$D136,'Attrition Modeling'!$B:$B,W$76),VLOOKUP($F136+W$77,$A$7:$C$107,2,FALSE)*VLOOKUP(W$76,'Attrition Modeling'!$L$15:$N$27,IF(W$77+$F136&lt;=24,2,3),FALSE)),$C$3)*(1+IF('IP Attrition'!W193&gt;0,'Attrition Modeling'!$N$9,0)))</f>
        <v>0</v>
      </c>
      <c r="X136" s="799">
        <f>W136*(1-IFERROR(IF(X$77+$F136&lt;=12,SUMIFS('Attrition Modeling'!$D:$D,'Attrition Modeling'!$C:$C,$D136,'Attrition Modeling'!$B:$B,X$76),VLOOKUP($F136+X$77,$A$7:$C$107,2,FALSE)*VLOOKUP(X$76,'Attrition Modeling'!$L$15:$N$27,IF(X$77+$F136&lt;=24,2,3),FALSE)),$C$3)*(1+IF('IP Attrition'!X193&gt;0,'Attrition Modeling'!$N$9,0)))</f>
        <v>0</v>
      </c>
      <c r="Y136" s="799">
        <f>X136*(1-IFERROR(IF(Y$77+$F136&lt;=12,SUMIFS('Attrition Modeling'!$D:$D,'Attrition Modeling'!$C:$C,$D136,'Attrition Modeling'!$B:$B,Y$76),VLOOKUP($F136+Y$77,$A$7:$C$107,2,FALSE)*VLOOKUP(Y$76,'Attrition Modeling'!$L$15:$N$27,IF(Y$77+$F136&lt;=24,2,3),FALSE)),$C$3)*(1+IF('IP Attrition'!Y193&gt;0,'Attrition Modeling'!$N$9,0)))</f>
        <v>0</v>
      </c>
      <c r="Z136" s="799">
        <f>Y136*(1-IFERROR(IF(Z$77+$F136&lt;=12,SUMIFS('Attrition Modeling'!$D:$D,'Attrition Modeling'!$C:$C,$D136,'Attrition Modeling'!$B:$B,Z$76),VLOOKUP($F136+Z$77,$A$7:$C$107,2,FALSE)*VLOOKUP(Z$76,'Attrition Modeling'!$L$15:$N$27,IF(Z$77+$F136&lt;=24,2,3),FALSE)),$C$3)*(1+IF('IP Attrition'!Z193&gt;0,'Attrition Modeling'!$N$9,0)))</f>
        <v>0</v>
      </c>
      <c r="AA136" s="799">
        <f>Z136*(1-IFERROR(IF(AA$77+$F136&lt;=12,SUMIFS('Attrition Modeling'!$D:$D,'Attrition Modeling'!$C:$C,$D136,'Attrition Modeling'!$B:$B,AA$76),VLOOKUP($F136+AA$77,$A$7:$C$107,2,FALSE)*VLOOKUP(AA$76,'Attrition Modeling'!$L$15:$N$27,IF(AA$77+$F136&lt;=24,2,3),FALSE)),$C$3)*(1+IF('IP Attrition'!AA193&gt;0,'Attrition Modeling'!$N$9,0)))</f>
        <v>0</v>
      </c>
      <c r="AB136" s="799">
        <f>AA136*(1-IFERROR(IF(AB$77+$F136&lt;=12,SUMIFS('Attrition Modeling'!$D:$D,'Attrition Modeling'!$C:$C,$D136,'Attrition Modeling'!$B:$B,AB$76),VLOOKUP($F136+AB$77,$A$7:$C$107,2,FALSE)*VLOOKUP(AB$76,'Attrition Modeling'!$L$15:$N$27,IF(AB$77+$F136&lt;=24,2,3),FALSE)),$C$3)*(1+IF('IP Attrition'!AB193&gt;0,'Attrition Modeling'!$N$9,0)))</f>
        <v>0</v>
      </c>
      <c r="AC136" s="799">
        <f>AB136*(1-IFERROR(IF(AC$77+$F136&lt;=12,SUMIFS('Attrition Modeling'!$D:$D,'Attrition Modeling'!$C:$C,$D136,'Attrition Modeling'!$B:$B,AC$76),VLOOKUP($F136+AC$77,$A$7:$C$107,2,FALSE)*VLOOKUP(AC$76,'Attrition Modeling'!$L$15:$N$27,IF(AC$77+$F136&lt;=24,2,3),FALSE)),$C$3)*(1+IF('IP Attrition'!AC193&gt;0,'Attrition Modeling'!$N$9,0)))</f>
        <v>0</v>
      </c>
      <c r="AD136" s="799">
        <f>AC136*(1-IFERROR(IF(AD$77+$F136&lt;=12,SUMIFS('Attrition Modeling'!$D:$D,'Attrition Modeling'!$C:$C,$D136,'Attrition Modeling'!$B:$B,AD$76),VLOOKUP($F136+AD$77,$A$7:$C$107,2,FALSE)*VLOOKUP(AD$76,'Attrition Modeling'!$L$15:$N$27,IF(AD$77+$F136&lt;=24,2,3),FALSE)),$C$3)*(1+IF('IP Attrition'!AD193&gt;0,'Attrition Modeling'!$N$9,0)))</f>
        <v>0</v>
      </c>
      <c r="AE136" s="799">
        <f>AD136*(1-IFERROR(IF(AE$77+$F136&lt;=12,SUMIFS('Attrition Modeling'!$D:$D,'Attrition Modeling'!$C:$C,$D136,'Attrition Modeling'!$B:$B,AE$76),VLOOKUP($F136+AE$77,$A$7:$C$107,2,FALSE)*VLOOKUP(AE$76,'Attrition Modeling'!$L$15:$N$27,IF(AE$77+$F136&lt;=24,2,3),FALSE)),$C$3)*(1+IF('IP Attrition'!AE193&gt;0,'Attrition Modeling'!$N$9,0)))</f>
        <v>0</v>
      </c>
      <c r="AF136" s="799">
        <f>AE136*(1-IFERROR(IF(AF$77+$F136&lt;=12,SUMIFS('Attrition Modeling'!$D:$D,'Attrition Modeling'!$C:$C,$D136,'Attrition Modeling'!$B:$B,AF$76),VLOOKUP($F136+AF$77,$A$7:$C$107,2,FALSE)*VLOOKUP(AF$76,'Attrition Modeling'!$L$15:$N$27,IF(AF$77+$F136&lt;=24,2,3),FALSE)),$C$3)*(1+IF('IP Attrition'!AF193&gt;0,'Attrition Modeling'!$N$9,0)))</f>
        <v>0</v>
      </c>
      <c r="AG136" s="799">
        <f>AF136*(1-IFERROR(IF(AG$77+$F136&lt;=12,SUMIFS('Attrition Modeling'!$D:$D,'Attrition Modeling'!$C:$C,$D136,'Attrition Modeling'!$B:$B,AG$76),VLOOKUP($F136+AG$77,$A$7:$C$107,2,FALSE)*VLOOKUP(AG$76,'Attrition Modeling'!$L$15:$N$27,IF(AG$77+$F136&lt;=24,2,3),FALSE)),$C$3)*(1+IF('IP Attrition'!AG193&gt;0,'Attrition Modeling'!$N$9,0)))</f>
        <v>0</v>
      </c>
      <c r="AH136" s="799">
        <f>AG136*(1-IFERROR(IF(AH$77+$F136&lt;=12,SUMIFS('Attrition Modeling'!$D:$D,'Attrition Modeling'!$C:$C,$D136,'Attrition Modeling'!$B:$B,AH$76),VLOOKUP($F136+AH$77,$A$7:$C$107,2,FALSE)*VLOOKUP(AH$76,'Attrition Modeling'!$L$15:$N$27,IF(AH$77+$F136&lt;=24,2,3),FALSE)),$C$3)*(1+IF('IP Attrition'!AH193&gt;0,'Attrition Modeling'!$N$9,0)))</f>
        <v>0</v>
      </c>
      <c r="AI136" s="799">
        <f>AH136*(1-IFERROR(IF(AI$77+$F136&lt;=12,SUMIFS('Attrition Modeling'!$D:$D,'Attrition Modeling'!$C:$C,$D136,'Attrition Modeling'!$B:$B,AI$76),VLOOKUP($F136+AI$77,$A$7:$C$107,2,FALSE)*VLOOKUP(AI$76,'Attrition Modeling'!$L$15:$N$27,IF(AI$77+$F136&lt;=24,2,3),FALSE)),$C$3)*(1+IF('IP Attrition'!AI193&gt;0,'Attrition Modeling'!$N$9,0)))</f>
        <v>0</v>
      </c>
      <c r="AJ136" s="799">
        <f>AI136*(1-IFERROR(IF(AJ$77+$F136&lt;=12,SUMIFS('Attrition Modeling'!$D:$D,'Attrition Modeling'!$C:$C,$D136,'Attrition Modeling'!$B:$B,AJ$76),VLOOKUP($F136+AJ$77,$A$7:$C$107,2,FALSE)*VLOOKUP(AJ$76,'Attrition Modeling'!$L$15:$N$27,IF(AJ$77+$F136&lt;=24,2,3),FALSE)),$C$3)*(1+IF('IP Attrition'!AJ193&gt;0,'Attrition Modeling'!$N$9,0)))</f>
        <v>0</v>
      </c>
      <c r="AK136" s="799">
        <f>AJ136*(1-IFERROR(IF(AK$77+$F136&lt;=12,SUMIFS('Attrition Modeling'!$D:$D,'Attrition Modeling'!$C:$C,$D136,'Attrition Modeling'!$B:$B,AK$76),VLOOKUP($F136+AK$77,$A$7:$C$107,2,FALSE)*VLOOKUP(AK$76,'Attrition Modeling'!$L$15:$N$27,IF(AK$77+$F136&lt;=24,2,3),FALSE)),$C$3)*(1+IF('IP Attrition'!AK193&gt;0,'Attrition Modeling'!$N$9,0)))</f>
        <v>0</v>
      </c>
      <c r="AL136" s="799">
        <f>AK136*(1-IFERROR(IF(AL$77+$F136&lt;=12,SUMIFS('Attrition Modeling'!$D:$D,'Attrition Modeling'!$C:$C,$D136,'Attrition Modeling'!$B:$B,AL$76),VLOOKUP($F136+AL$77,$A$7:$C$107,2,FALSE)*VLOOKUP(AL$76,'Attrition Modeling'!$L$15:$N$27,IF(AL$77+$F136&lt;=24,2,3),FALSE)),$C$3)*(1+IF('IP Attrition'!AL193&gt;0,'Attrition Modeling'!$N$9,0)))</f>
        <v>0</v>
      </c>
      <c r="AM136" s="799">
        <f>AL136*(1-IFERROR(IF(AM$77+$F136&lt;=12,SUMIFS('Attrition Modeling'!$D:$D,'Attrition Modeling'!$C:$C,$D136,'Attrition Modeling'!$B:$B,AM$76),VLOOKUP($F136+AM$77,$A$7:$C$107,2,FALSE)*VLOOKUP(AM$76,'Attrition Modeling'!$L$15:$N$27,IF(AM$77+$F136&lt;=24,2,3),FALSE)),$C$3)*(1+IF('IP Attrition'!AM193&gt;0,'Attrition Modeling'!$N$9,0)))</f>
        <v>0</v>
      </c>
      <c r="AN136" s="799">
        <f>AM136*(1-IFERROR(IF(AN$77+$F136&lt;=12,SUMIFS('Attrition Modeling'!$D:$D,'Attrition Modeling'!$C:$C,$D136,'Attrition Modeling'!$B:$B,AN$76),VLOOKUP($F136+AN$77,$A$7:$C$107,2,FALSE)*VLOOKUP(AN$76,'Attrition Modeling'!$L$15:$N$27,IF(AN$77+$F136&lt;=24,2,3),FALSE)),$C$3)*(1+IF('IP Attrition'!AN193&gt;0,'Attrition Modeling'!$N$9,0)))</f>
        <v>0</v>
      </c>
      <c r="AO136" s="799">
        <f>AN136*(1-IFERROR(IF(AO$77+$F136&lt;=12,SUMIFS('Attrition Modeling'!$D:$D,'Attrition Modeling'!$C:$C,$D136,'Attrition Modeling'!$B:$B,AO$76),VLOOKUP($F136+AO$77,$A$7:$C$107,2,FALSE)*VLOOKUP(AO$76,'Attrition Modeling'!$L$15:$N$27,IF(AO$77+$F136&lt;=24,2,3),FALSE)),$C$3)*(1+IF('IP Attrition'!AO193&gt;0,'Attrition Modeling'!$N$9,0)))</f>
        <v>0</v>
      </c>
      <c r="AP136" s="799">
        <f>AO136*(1-IFERROR(IF(AP$77+$F136&lt;=12,SUMIFS('Attrition Modeling'!$D:$D,'Attrition Modeling'!$C:$C,$D136,'Attrition Modeling'!$B:$B,AP$76),VLOOKUP($F136+AP$77,$A$7:$C$107,2,FALSE)*VLOOKUP(AP$76,'Attrition Modeling'!$L$15:$N$27,IF(AP$77+$F136&lt;=24,2,3),FALSE)),$C$3)*(1+IF('IP Attrition'!AP193&gt;0,'Attrition Modeling'!$N$9,0)))</f>
        <v>0</v>
      </c>
      <c r="AQ136" s="799">
        <f>AP136*(1-IFERROR(IF(AQ$77+$F136&lt;=12,SUMIFS('Attrition Modeling'!$D:$D,'Attrition Modeling'!$C:$C,$D136,'Attrition Modeling'!$B:$B,AQ$76),VLOOKUP($F136+AQ$77,$A$7:$C$107,2,FALSE)*VLOOKUP(AQ$76,'Attrition Modeling'!$L$15:$N$27,IF(AQ$77+$F136&lt;=24,2,3),FALSE)),$C$3)*(1+IF('IP Attrition'!AQ193&gt;0,'Attrition Modeling'!$N$9,0)))</f>
        <v>0</v>
      </c>
      <c r="AR136" s="799">
        <f>AQ136*(1-IFERROR(IF(AR$77+$F136&lt;=12,SUMIFS('Attrition Modeling'!$D:$D,'Attrition Modeling'!$C:$C,$D136,'Attrition Modeling'!$B:$B,AR$76),VLOOKUP($F136+AR$77,$A$7:$C$107,2,FALSE)*VLOOKUP(AR$76,'Attrition Modeling'!$L$15:$N$27,IF(AR$77+$F136&lt;=24,2,3),FALSE)),$C$3)*(1+IF('IP Attrition'!AR193&gt;0,'Attrition Modeling'!$N$9,0)))</f>
        <v>0</v>
      </c>
      <c r="AS136" s="799">
        <f>AR136*(1-IFERROR(IF(AS$77+$F136&lt;=12,SUMIFS('Attrition Modeling'!$D:$D,'Attrition Modeling'!$C:$C,$D136,'Attrition Modeling'!$B:$B,AS$76),VLOOKUP($F136+AS$77,$A$7:$C$107,2,FALSE)*VLOOKUP(AS$76,'Attrition Modeling'!$L$15:$N$27,IF(AS$77+$F136&lt;=24,2,3),FALSE)),$C$3)*(1+IF('IP Attrition'!AS193&gt;0,'Attrition Modeling'!$N$9,0)))</f>
        <v>0</v>
      </c>
      <c r="AT136" s="799">
        <f>AS136*(1-IFERROR(IF(AT$77+$F136&lt;=12,SUMIFS('Attrition Modeling'!$D:$D,'Attrition Modeling'!$C:$C,$D136,'Attrition Modeling'!$B:$B,AT$76),VLOOKUP($F136+AT$77,$A$7:$C$107,2,FALSE)*VLOOKUP(AT$76,'Attrition Modeling'!$L$15:$N$27,IF(AT$77+$F136&lt;=24,2,3),FALSE)),$C$3)*(1+IF('IP Attrition'!AT193&gt;0,'Attrition Modeling'!$N$9,0)))</f>
        <v>0</v>
      </c>
      <c r="AU136" s="799">
        <f>AT136*(1-IFERROR(IF(AU$77+$F136&lt;=12,SUMIFS('Attrition Modeling'!$D:$D,'Attrition Modeling'!$C:$C,$D136,'Attrition Modeling'!$B:$B,AU$76),VLOOKUP($F136+AU$77,$A$7:$C$107,2,FALSE)*VLOOKUP(AU$76,'Attrition Modeling'!$L$15:$N$27,IF(AU$77+$F136&lt;=24,2,3),FALSE)),$C$3)*(1+IF('IP Attrition'!AU193&gt;0,'Attrition Modeling'!$N$9,0)))</f>
        <v>0</v>
      </c>
      <c r="AV136" s="799">
        <f>AU136*(1-IFERROR(IF(AV$77+$F136&lt;=12,SUMIFS('Attrition Modeling'!$D:$D,'Attrition Modeling'!$C:$C,$D136,'Attrition Modeling'!$B:$B,AV$76),VLOOKUP($F136+AV$77,$A$7:$C$107,2,FALSE)*VLOOKUP(AV$76,'Attrition Modeling'!$L$15:$N$27,IF(AV$77+$F136&lt;=24,2,3),FALSE)),$C$3)*(1+IF('IP Attrition'!AV193&gt;0,'Attrition Modeling'!$N$9,0)))</f>
        <v>0</v>
      </c>
      <c r="AW136" s="799">
        <f>AV136*(1-IFERROR(IF(AW$77+$F136&lt;=12,SUMIFS('Attrition Modeling'!$D:$D,'Attrition Modeling'!$C:$C,$D136,'Attrition Modeling'!$B:$B,AW$76),VLOOKUP($F136+AW$77,$A$7:$C$107,2,FALSE)*VLOOKUP(AW$76,'Attrition Modeling'!$L$15:$N$27,IF(AW$77+$F136&lt;=24,2,3),FALSE)),$C$3)*(1+IF('IP Attrition'!AW193&gt;0,'Attrition Modeling'!$N$9,0)))</f>
        <v>0</v>
      </c>
      <c r="AX136" s="799">
        <f>AW136*(1-IFERROR(IF(AX$77+$F136&lt;=12,SUMIFS('Attrition Modeling'!$D:$D,'Attrition Modeling'!$C:$C,$D136,'Attrition Modeling'!$B:$B,AX$76),VLOOKUP($F136+AX$77,$A$7:$C$107,2,FALSE)*VLOOKUP(AX$76,'Attrition Modeling'!$L$15:$N$27,IF(AX$77+$F136&lt;=24,2,3),FALSE)),$C$3)*(1+IF('IP Attrition'!AX193&gt;0,'Attrition Modeling'!$N$9,0)))</f>
        <v>0</v>
      </c>
      <c r="AY136" s="799">
        <f>AX136*(1-IFERROR(IF(AY$77+$F136&lt;=12,SUMIFS('Attrition Modeling'!$D:$D,'Attrition Modeling'!$C:$C,$D136,'Attrition Modeling'!$B:$B,AY$76),VLOOKUP($F136+AY$77,$A$7:$C$107,2,FALSE)*VLOOKUP(AY$76,'Attrition Modeling'!$L$15:$N$27,IF(AY$77+$F136&lt;=24,2,3),FALSE)),$C$3)*(1+IF('IP Attrition'!AY193&gt;0,'Attrition Modeling'!$N$9,0)))</f>
        <v>0</v>
      </c>
      <c r="AZ136" s="799">
        <f>AY136*(1-IFERROR(IF(AZ$77+$F136&lt;=12,SUMIFS('Attrition Modeling'!$D:$D,'Attrition Modeling'!$C:$C,$D136,'Attrition Modeling'!$B:$B,AZ$76),VLOOKUP($F136+AZ$77,$A$7:$C$107,2,FALSE)*VLOOKUP(AZ$76,'Attrition Modeling'!$L$15:$N$27,IF(AZ$77+$F136&lt;=24,2,3),FALSE)),$C$3)*(1+IF('IP Attrition'!AZ193&gt;0,'Attrition Modeling'!$N$9,0)))</f>
        <v>0</v>
      </c>
      <c r="BA136" s="799">
        <f>AZ136*(1-IFERROR(IF(BA$77+$F136&lt;=12,SUMIFS('Attrition Modeling'!$D:$D,'Attrition Modeling'!$C:$C,$D136,'Attrition Modeling'!$B:$B,BA$76),VLOOKUP($F136+BA$77,$A$7:$C$107,2,FALSE)*VLOOKUP(BA$76,'Attrition Modeling'!$L$15:$N$27,IF(BA$77+$F136&lt;=24,2,3),FALSE)),$C$3)*(1+IF('IP Attrition'!BA193&gt;0,'Attrition Modeling'!$N$9,0)))</f>
        <v>0</v>
      </c>
      <c r="BB136" s="799">
        <f>BA136*(1-IFERROR(IF(BB$77+$F136&lt;=12,SUMIFS('Attrition Modeling'!$D:$D,'Attrition Modeling'!$C:$C,$D136,'Attrition Modeling'!$B:$B,BB$76),VLOOKUP($F136+BB$77,$A$7:$C$107,2,FALSE)*VLOOKUP(BB$76,'Attrition Modeling'!$L$15:$N$27,IF(BB$77+$F136&lt;=24,2,3),FALSE)),$C$3)*(1+IF('IP Attrition'!BB193&gt;0,'Attrition Modeling'!$N$9,0)))</f>
        <v>0</v>
      </c>
      <c r="BC136" s="799">
        <f>BB136*(1-IFERROR(IF(BC$77+$F136&lt;=12,SUMIFS('Attrition Modeling'!$D:$D,'Attrition Modeling'!$C:$C,$D136,'Attrition Modeling'!$B:$B,BC$76),VLOOKUP($F136+BC$77,$A$7:$C$107,2,FALSE)*VLOOKUP(BC$76,'Attrition Modeling'!$L$15:$N$27,IF(BC$77+$F136&lt;=24,2,3),FALSE)),$C$3)*(1+IF('IP Attrition'!BC193&gt;0,'Attrition Modeling'!$N$9,0)))</f>
        <v>0</v>
      </c>
      <c r="BD136" s="799">
        <f>BC136*(1-IFERROR(IF(BD$77+$F136&lt;=12,SUMIFS('Attrition Modeling'!$D:$D,'Attrition Modeling'!$C:$C,$D136,'Attrition Modeling'!$B:$B,BD$76),VLOOKUP($F136+BD$77,$A$7:$C$107,2,FALSE)*VLOOKUP(BD$76,'Attrition Modeling'!$L$15:$N$27,IF(BD$77+$F136&lt;=24,2,3),FALSE)),$C$3)*(1+IF('IP Attrition'!BD193&gt;0,'Attrition Modeling'!$N$9,0)))</f>
        <v>0</v>
      </c>
      <c r="BE136" s="799">
        <f>BD136*(1-IFERROR(IF(BE$77+$F136&lt;=12,SUMIFS('Attrition Modeling'!$D:$D,'Attrition Modeling'!$C:$C,$D136,'Attrition Modeling'!$B:$B,BE$76),VLOOKUP($F136+BE$77,$A$7:$C$107,2,FALSE)*VLOOKUP(BE$76,'Attrition Modeling'!$L$15:$N$27,IF(BE$77+$F136&lt;=24,2,3),FALSE)),$C$3)*(1+IF('IP Attrition'!BE193&gt;0,'Attrition Modeling'!$N$9,0)))</f>
        <v>0</v>
      </c>
      <c r="BF136" s="799">
        <f>BE136*(1-IFERROR(IF(BF$77+$F136&lt;=12,SUMIFS('Attrition Modeling'!$D:$D,'Attrition Modeling'!$C:$C,$D136,'Attrition Modeling'!$B:$B,BF$76),VLOOKUP($F136+BF$77,$A$7:$C$107,2,FALSE)*VLOOKUP(BF$76,'Attrition Modeling'!$L$15:$N$27,IF(BF$77+$F136&lt;=24,2,3),FALSE)),$C$3)*(1+IF('IP Attrition'!BF193&gt;0,'Attrition Modeling'!$N$9,0)))</f>
        <v>0</v>
      </c>
      <c r="BG136" s="799">
        <f>BF136*(1-IFERROR(IF(BG$77+$F136&lt;=12,SUMIFS('Attrition Modeling'!$D:$D,'Attrition Modeling'!$C:$C,$D136,'Attrition Modeling'!$B:$B,BG$76),VLOOKUP($F136+BG$77,$A$7:$C$107,2,FALSE)*VLOOKUP(BG$76,'Attrition Modeling'!$L$15:$N$27,IF(BG$77+$F136&lt;=24,2,3),FALSE)),$C$3)*(1+IF('IP Attrition'!BG193&gt;0,'Attrition Modeling'!$N$9,0)))</f>
        <v>0</v>
      </c>
      <c r="BH136" s="799">
        <f>BG136*(1-IFERROR(IF(BH$77+$F136&lt;=12,SUMIFS('Attrition Modeling'!$D:$D,'Attrition Modeling'!$C:$C,$D136,'Attrition Modeling'!$B:$B,BH$76),VLOOKUP($F136+BH$77,$A$7:$C$107,2,FALSE)*VLOOKUP(BH$76,'Attrition Modeling'!$L$15:$N$27,IF(BH$77+$F136&lt;=24,2,3),FALSE)),$C$3)*(1+IF('IP Attrition'!BH193&gt;0,'Attrition Modeling'!$N$9,0)))</f>
        <v>0</v>
      </c>
      <c r="BI136" s="799">
        <f>BH136*(1-IFERROR(IF(BI$77+$F136&lt;=12,SUMIFS('Attrition Modeling'!$D:$D,'Attrition Modeling'!$C:$C,$D136,'Attrition Modeling'!$B:$B,BI$76),VLOOKUP($F136+BI$77,$A$7:$C$107,2,FALSE)*VLOOKUP(BI$76,'Attrition Modeling'!$L$15:$N$27,IF(BI$77+$F136&lt;=24,2,3),FALSE)),$C$3)*(1+IF('IP Attrition'!BI193&gt;0,'Attrition Modeling'!$N$9,0)))</f>
        <v>0</v>
      </c>
      <c r="BJ136" s="799">
        <f>BI136*(1-IFERROR(IF(BJ$77+$F136&lt;=12,SUMIFS('Attrition Modeling'!$D:$D,'Attrition Modeling'!$C:$C,$D136,'Attrition Modeling'!$B:$B,BJ$76),VLOOKUP($F136+BJ$77,$A$7:$C$107,2,FALSE)*VLOOKUP(BJ$76,'Attrition Modeling'!$L$15:$N$27,IF(BJ$77+$F136&lt;=24,2,3),FALSE)),$C$3)*(1+IF('IP Attrition'!BJ193&gt;0,'Attrition Modeling'!$N$9,0)))</f>
        <v>0</v>
      </c>
      <c r="BK136" s="799">
        <f>BJ136*(1-IFERROR(IF(BK$77+$F136&lt;=12,SUMIFS('Attrition Modeling'!$D:$D,'Attrition Modeling'!$C:$C,$D136,'Attrition Modeling'!$B:$B,BK$76),VLOOKUP($F136+BK$77,$A$7:$C$107,2,FALSE)*VLOOKUP(BK$76,'Attrition Modeling'!$L$15:$N$27,IF(BK$77+$F136&lt;=24,2,3),FALSE)),$C$3)*(1+IF('IP Attrition'!BK193&gt;0,'Attrition Modeling'!$N$9,0)))</f>
        <v>0</v>
      </c>
      <c r="BL136" s="799">
        <f>BK136*(1-IFERROR(IF(BL$77+$F136&lt;=12,SUMIFS('Attrition Modeling'!$D:$D,'Attrition Modeling'!$C:$C,$D136,'Attrition Modeling'!$B:$B,BL$76),VLOOKUP($F136+BL$77,$A$7:$C$107,2,FALSE)*VLOOKUP(BL$76,'Attrition Modeling'!$L$15:$N$27,IF(BL$77+$F136&lt;=24,2,3),FALSE)),$C$3)*(1+IF('IP Attrition'!BL193&gt;0,'Attrition Modeling'!$N$9,0)))</f>
        <v>0</v>
      </c>
      <c r="BM136" s="799">
        <f>BL136*(1-IFERROR(IF(BM$77+$F136&lt;=12,SUMIFS('Attrition Modeling'!$D:$D,'Attrition Modeling'!$C:$C,$D136,'Attrition Modeling'!$B:$B,BM$76),VLOOKUP($F136+BM$77,$A$7:$C$107,2,FALSE)*VLOOKUP(BM$76,'Attrition Modeling'!$L$15:$N$27,IF(BM$77+$F136&lt;=24,2,3),FALSE)),$C$3)*(1+IF('IP Attrition'!BM193&gt;0,'Attrition Modeling'!$N$9,0)))</f>
        <v>0</v>
      </c>
      <c r="BN136" s="799">
        <f>BM136*(1-IFERROR(IF(BN$77+$F136&lt;=12,SUMIFS('Attrition Modeling'!$D:$D,'Attrition Modeling'!$C:$C,$D136,'Attrition Modeling'!$B:$B,BN$76),VLOOKUP($F136+BN$77,$A$7:$C$107,2,FALSE)*VLOOKUP(BN$76,'Attrition Modeling'!$L$15:$N$27,IF(BN$77+$F136&lt;=24,2,3),FALSE)),$C$3)*(1+IF('IP Attrition'!BN193&gt;0,'Attrition Modeling'!$N$9,0)))</f>
        <v>0</v>
      </c>
      <c r="BO136" s="799">
        <f>BN136*(1-IFERROR(IF(BO$77+$F136&lt;=12,SUMIFS('Attrition Modeling'!$D:$D,'Attrition Modeling'!$C:$C,$D136,'Attrition Modeling'!$B:$B,BO$76),VLOOKUP($F136+BO$77,$A$7:$C$107,2,FALSE)*VLOOKUP(BO$76,'Attrition Modeling'!$L$15:$N$27,IF(BO$77+$F136&lt;=24,2,3),FALSE)),$C$3)*(1+IF('IP Attrition'!BO193&gt;0,'Attrition Modeling'!$N$9,0)))</f>
        <v>0</v>
      </c>
      <c r="BP136" s="799">
        <f>BO136*(1-IFERROR(IF(BP$77+$F136&lt;=12,SUMIFS('Attrition Modeling'!$D:$D,'Attrition Modeling'!$C:$C,$D136,'Attrition Modeling'!$B:$B,BP$76),VLOOKUP($F136+BP$77,$A$7:$C$107,2,FALSE)*VLOOKUP(BP$76,'Attrition Modeling'!$L$15:$N$27,IF(BP$77+$F136&lt;=24,2,3),FALSE)),$C$3)*(1+IF('IP Attrition'!BP193&gt;0,'Attrition Modeling'!$N$9,0)))</f>
        <v>0</v>
      </c>
      <c r="BQ136" s="799">
        <f>BP136*(1-IFERROR(IF(BQ$77+$F136&lt;=12,SUMIFS('Attrition Modeling'!$D:$D,'Attrition Modeling'!$C:$C,$D136,'Attrition Modeling'!$B:$B,BQ$76),VLOOKUP($F136+BQ$77,$A$7:$C$107,2,FALSE)*VLOOKUP(BQ$76,'Attrition Modeling'!$L$15:$N$27,IF(BQ$77+$F136&lt;=24,2,3),FALSE)),$C$3)*(1+IF('IP Attrition'!BQ193&gt;0,'Attrition Modeling'!$N$9,0)))</f>
        <v>0</v>
      </c>
      <c r="BR136" s="799">
        <f>BQ136*(1-IFERROR(IF(BR$77+$F136&lt;=12,SUMIFS('Attrition Modeling'!$D:$D,'Attrition Modeling'!$C:$C,$D136,'Attrition Modeling'!$B:$B,BR$76),VLOOKUP($F136+BR$77,$A$7:$C$107,2,FALSE)*VLOOKUP(BR$76,'Attrition Modeling'!$L$15:$N$27,IF(BR$77+$F136&lt;=24,2,3),FALSE)),$C$3)*(1+IF('IP Attrition'!BR193&gt;0,'Attrition Modeling'!$N$9,0)))</f>
        <v>0</v>
      </c>
      <c r="BS136" s="799">
        <f>BR136*(1-IFERROR(IF(BS$77+$F136&lt;=12,SUMIFS('Attrition Modeling'!$D:$D,'Attrition Modeling'!$C:$C,$D136,'Attrition Modeling'!$B:$B,BS$76),VLOOKUP($F136+BS$77,$A$7:$C$107,2,FALSE)*VLOOKUP(BS$76,'Attrition Modeling'!$L$15:$N$27,IF(BS$77+$F136&lt;=24,2,3),FALSE)),$C$3)*(1+IF('IP Attrition'!BS193&gt;0,'Attrition Modeling'!$N$9,0)))</f>
        <v>0</v>
      </c>
      <c r="BT136" s="799" t="e">
        <f>BS136*(1-IFERROR(IF(BT$77+$F136&lt;=12,SUMIFS('Attrition Modeling'!$D:$D,'Attrition Modeling'!$C:$C,$D136,'Attrition Modeling'!$B:$B,BT$76),VLOOKUP($F136+BT$77,$A$7:$C$107,2,FALSE)*VLOOKUP(BT$76,'Attrition Modeling'!$L$15:$N$27,IF(BT$77+$F136&lt;=24,2,3),FALSE)),$C$3)*(1+IF('IP Attrition'!BT193&gt;0,'Attrition Modeling'!$N$9,0)))</f>
        <v>#REF!</v>
      </c>
      <c r="BU136" s="799" t="e">
        <f>BT136*(1-IFERROR(IF(BU$77+$F136&lt;=12,SUMIFS('Attrition Modeling'!$D:$D,'Attrition Modeling'!$C:$C,$D136,'Attrition Modeling'!$B:$B,BU$76),VLOOKUP($F136+BU$77,$A$7:$C$107,2,FALSE)*VLOOKUP(BU$76,'Attrition Modeling'!$L$15:$N$27,IF(BU$77+$F136&lt;=24,2,3),FALSE)),$C$3)*(1+IF('IP Attrition'!BU193&gt;0,'Attrition Modeling'!$N$9,0)))</f>
        <v>#REF!</v>
      </c>
    </row>
    <row r="137" spans="1:73" ht="14.25" customHeight="1" x14ac:dyDescent="0.2">
      <c r="A137" s="9">
        <v>129</v>
      </c>
      <c r="B137" s="25">
        <f>MAX('Attrition Modeling'!H133,$C$3)*(1-Summary!$C$20)</f>
        <v>0.02</v>
      </c>
      <c r="C137" s="24" t="e">
        <f t="shared" si="2"/>
        <v>#DIV/0!</v>
      </c>
      <c r="D137" s="11">
        <f>'IP Attrition'!D129</f>
        <v>-59</v>
      </c>
      <c r="E137" s="25">
        <f>'IP Attrition'!E129</f>
        <v>0</v>
      </c>
      <c r="F137" s="11">
        <f t="shared" si="8"/>
        <v>59</v>
      </c>
      <c r="G137" s="799">
        <f>Summary!$C$24*$E137</f>
        <v>0</v>
      </c>
      <c r="H137" s="799">
        <f>G137*(1-IFERROR(IF(H$77+$F137&lt;=12,SUMIFS('Attrition Modeling'!$D:$D,'Attrition Modeling'!$C:$C,$D137,'Attrition Modeling'!$B:$B,H$76),VLOOKUP($F137+H$77,$A$7:$C$107,2,FALSE)*VLOOKUP(H$76,'Attrition Modeling'!$L$15:$N$27,IF(H$77+$F137&lt;=24,2,3),FALSE)),$C$3)*(1+IF('IP Attrition'!H194&gt;0,'Attrition Modeling'!$N$9,0)))</f>
        <v>0</v>
      </c>
      <c r="I137" s="799">
        <f>H137*(1-IFERROR(IF(I$77+$F137&lt;=12,SUMIFS('Attrition Modeling'!$D:$D,'Attrition Modeling'!$C:$C,$D137,'Attrition Modeling'!$B:$B,I$76),VLOOKUP($F137+I$77,$A$7:$C$107,2,FALSE)*VLOOKUP(I$76,'Attrition Modeling'!$L$15:$N$27,IF(I$77+$F137&lt;=24,2,3),FALSE)),$C$3)*(1+IF('IP Attrition'!I194&gt;0,'Attrition Modeling'!$N$9,0)))</f>
        <v>0</v>
      </c>
      <c r="J137" s="799">
        <f>I137*(1-IFERROR(IF(J$77+$F137&lt;=12,SUMIFS('Attrition Modeling'!$D:$D,'Attrition Modeling'!$C:$C,$D137,'Attrition Modeling'!$B:$B,J$76),VLOOKUP($F137+J$77,$A$7:$C$107,2,FALSE)*VLOOKUP(J$76,'Attrition Modeling'!$L$15:$N$27,IF(J$77+$F137&lt;=24,2,3),FALSE)),$C$3)*(1+IF('IP Attrition'!J194&gt;0,'Attrition Modeling'!$N$9,0)))</f>
        <v>0</v>
      </c>
      <c r="K137" s="799">
        <f>J137*(1-IFERROR(IF(K$77+$F137&lt;=12,SUMIFS('Attrition Modeling'!$D:$D,'Attrition Modeling'!$C:$C,$D137,'Attrition Modeling'!$B:$B,K$76),VLOOKUP($F137+K$77,$A$7:$C$107,2,FALSE)*VLOOKUP(K$76,'Attrition Modeling'!$L$15:$N$27,IF(K$77+$F137&lt;=24,2,3),FALSE)),$C$3)*(1+IF('IP Attrition'!K194&gt;0,'Attrition Modeling'!$N$9,0)))</f>
        <v>0</v>
      </c>
      <c r="L137" s="799">
        <f>K137*(1-IFERROR(IF(L$77+$F137&lt;=12,SUMIFS('Attrition Modeling'!$D:$D,'Attrition Modeling'!$C:$C,$D137,'Attrition Modeling'!$B:$B,L$76),VLOOKUP($F137+L$77,$A$7:$C$107,2,FALSE)*VLOOKUP(L$76,'Attrition Modeling'!$L$15:$N$27,IF(L$77+$F137&lt;=24,2,3),FALSE)),$C$3)*(1+IF('IP Attrition'!L194&gt;0,'Attrition Modeling'!$N$9,0)))</f>
        <v>0</v>
      </c>
      <c r="M137" s="799">
        <f>L137*(1-IFERROR(IF(M$77+$F137&lt;=12,SUMIFS('Attrition Modeling'!$D:$D,'Attrition Modeling'!$C:$C,$D137,'Attrition Modeling'!$B:$B,M$76),VLOOKUP($F137+M$77,$A$7:$C$107,2,FALSE)*VLOOKUP(M$76,'Attrition Modeling'!$L$15:$N$27,IF(M$77+$F137&lt;=24,2,3),FALSE)),$C$3)*(1+IF('IP Attrition'!M194&gt;0,'Attrition Modeling'!$N$9,0)))</f>
        <v>0</v>
      </c>
      <c r="N137" s="799">
        <f>M137*(1-IFERROR(IF(N$77+$F137&lt;=12,SUMIFS('Attrition Modeling'!$D:$D,'Attrition Modeling'!$C:$C,$D137,'Attrition Modeling'!$B:$B,N$76),VLOOKUP($F137+N$77,$A$7:$C$107,2,FALSE)*VLOOKUP(N$76,'Attrition Modeling'!$L$15:$N$27,IF(N$77+$F137&lt;=24,2,3),FALSE)),$C$3)*(1+IF('IP Attrition'!N194&gt;0,'Attrition Modeling'!$N$9,0)))</f>
        <v>0</v>
      </c>
      <c r="O137" s="799">
        <f>N137*(1-IFERROR(IF(O$77+$F137&lt;=12,SUMIFS('Attrition Modeling'!$D:$D,'Attrition Modeling'!$C:$C,$D137,'Attrition Modeling'!$B:$B,O$76),VLOOKUP($F137+O$77,$A$7:$C$107,2,FALSE)*VLOOKUP(O$76,'Attrition Modeling'!$L$15:$N$27,IF(O$77+$F137&lt;=24,2,3),FALSE)),$C$3)*(1+IF('IP Attrition'!O194&gt;0,'Attrition Modeling'!$N$9,0)))</f>
        <v>0</v>
      </c>
      <c r="P137" s="799">
        <f>O137*(1-IFERROR(IF(P$77+$F137&lt;=12,SUMIFS('Attrition Modeling'!$D:$D,'Attrition Modeling'!$C:$C,$D137,'Attrition Modeling'!$B:$B,P$76),VLOOKUP($F137+P$77,$A$7:$C$107,2,FALSE)*VLOOKUP(P$76,'Attrition Modeling'!$L$15:$N$27,IF(P$77+$F137&lt;=24,2,3),FALSE)),$C$3)*(1+IF('IP Attrition'!P194&gt;0,'Attrition Modeling'!$N$9,0)))</f>
        <v>0</v>
      </c>
      <c r="Q137" s="799">
        <f>P137*(1-IFERROR(IF(Q$77+$F137&lt;=12,SUMIFS('Attrition Modeling'!$D:$D,'Attrition Modeling'!$C:$C,$D137,'Attrition Modeling'!$B:$B,Q$76),VLOOKUP($F137+Q$77,$A$7:$C$107,2,FALSE)*VLOOKUP(Q$76,'Attrition Modeling'!$L$15:$N$27,IF(Q$77+$F137&lt;=24,2,3),FALSE)),$C$3)*(1+IF('IP Attrition'!Q194&gt;0,'Attrition Modeling'!$N$9,0)))</f>
        <v>0</v>
      </c>
      <c r="R137" s="799">
        <f>Q137*(1-IFERROR(IF(R$77+$F137&lt;=12,SUMIFS('Attrition Modeling'!$D:$D,'Attrition Modeling'!$C:$C,$D137,'Attrition Modeling'!$B:$B,R$76),VLOOKUP($F137+R$77,$A$7:$C$107,2,FALSE)*VLOOKUP(R$76,'Attrition Modeling'!$L$15:$N$27,IF(R$77+$F137&lt;=24,2,3),FALSE)),$C$3)*(1+IF('IP Attrition'!R194&gt;0,'Attrition Modeling'!$N$9,0)))</f>
        <v>0</v>
      </c>
      <c r="S137" s="799">
        <f>R137*(1-IFERROR(IF(S$77+$F137&lt;=12,SUMIFS('Attrition Modeling'!$D:$D,'Attrition Modeling'!$C:$C,$D137,'Attrition Modeling'!$B:$B,S$76),VLOOKUP($F137+S$77,$A$7:$C$107,2,FALSE)*VLOOKUP(S$76,'Attrition Modeling'!$L$15:$N$27,IF(S$77+$F137&lt;=24,2,3),FALSE)),$C$3)*(1+IF('IP Attrition'!S194&gt;0,'Attrition Modeling'!$N$9,0)))</f>
        <v>0</v>
      </c>
      <c r="T137" s="799">
        <f>S137*(1-IFERROR(IF(T$77+$F137&lt;=12,SUMIFS('Attrition Modeling'!$D:$D,'Attrition Modeling'!$C:$C,$D137,'Attrition Modeling'!$B:$B,T$76),VLOOKUP($F137+T$77,$A$7:$C$107,2,FALSE)*VLOOKUP(T$76,'Attrition Modeling'!$L$15:$N$27,IF(T$77+$F137&lt;=24,2,3),FALSE)),$C$3)*(1+IF('IP Attrition'!T194&gt;0,'Attrition Modeling'!$N$9,0)))</f>
        <v>0</v>
      </c>
      <c r="U137" s="799">
        <f>T137*(1-IFERROR(IF(U$77+$F137&lt;=12,SUMIFS('Attrition Modeling'!$D:$D,'Attrition Modeling'!$C:$C,$D137,'Attrition Modeling'!$B:$B,U$76),VLOOKUP($F137+U$77,$A$7:$C$107,2,FALSE)*VLOOKUP(U$76,'Attrition Modeling'!$L$15:$N$27,IF(U$77+$F137&lt;=24,2,3),FALSE)),$C$3)*(1+IF('IP Attrition'!U194&gt;0,'Attrition Modeling'!$N$9,0)))</f>
        <v>0</v>
      </c>
      <c r="V137" s="799">
        <f>U137*(1-IFERROR(IF(V$77+$F137&lt;=12,SUMIFS('Attrition Modeling'!$D:$D,'Attrition Modeling'!$C:$C,$D137,'Attrition Modeling'!$B:$B,V$76),VLOOKUP($F137+V$77,$A$7:$C$107,2,FALSE)*VLOOKUP(V$76,'Attrition Modeling'!$L$15:$N$27,IF(V$77+$F137&lt;=24,2,3),FALSE)),$C$3)*(1+IF('IP Attrition'!V194&gt;0,'Attrition Modeling'!$N$9,0)))</f>
        <v>0</v>
      </c>
      <c r="W137" s="799">
        <f>V137*(1-IFERROR(IF(W$77+$F137&lt;=12,SUMIFS('Attrition Modeling'!$D:$D,'Attrition Modeling'!$C:$C,$D137,'Attrition Modeling'!$B:$B,W$76),VLOOKUP($F137+W$77,$A$7:$C$107,2,FALSE)*VLOOKUP(W$76,'Attrition Modeling'!$L$15:$N$27,IF(W$77+$F137&lt;=24,2,3),FALSE)),$C$3)*(1+IF('IP Attrition'!W194&gt;0,'Attrition Modeling'!$N$9,0)))</f>
        <v>0</v>
      </c>
      <c r="X137" s="799">
        <f>W137*(1-IFERROR(IF(X$77+$F137&lt;=12,SUMIFS('Attrition Modeling'!$D:$D,'Attrition Modeling'!$C:$C,$D137,'Attrition Modeling'!$B:$B,X$76),VLOOKUP($F137+X$77,$A$7:$C$107,2,FALSE)*VLOOKUP(X$76,'Attrition Modeling'!$L$15:$N$27,IF(X$77+$F137&lt;=24,2,3),FALSE)),$C$3)*(1+IF('IP Attrition'!X194&gt;0,'Attrition Modeling'!$N$9,0)))</f>
        <v>0</v>
      </c>
      <c r="Y137" s="799">
        <f>X137*(1-IFERROR(IF(Y$77+$F137&lt;=12,SUMIFS('Attrition Modeling'!$D:$D,'Attrition Modeling'!$C:$C,$D137,'Attrition Modeling'!$B:$B,Y$76),VLOOKUP($F137+Y$77,$A$7:$C$107,2,FALSE)*VLOOKUP(Y$76,'Attrition Modeling'!$L$15:$N$27,IF(Y$77+$F137&lt;=24,2,3),FALSE)),$C$3)*(1+IF('IP Attrition'!Y194&gt;0,'Attrition Modeling'!$N$9,0)))</f>
        <v>0</v>
      </c>
      <c r="Z137" s="799">
        <f>Y137*(1-IFERROR(IF(Z$77+$F137&lt;=12,SUMIFS('Attrition Modeling'!$D:$D,'Attrition Modeling'!$C:$C,$D137,'Attrition Modeling'!$B:$B,Z$76),VLOOKUP($F137+Z$77,$A$7:$C$107,2,FALSE)*VLOOKUP(Z$76,'Attrition Modeling'!$L$15:$N$27,IF(Z$77+$F137&lt;=24,2,3),FALSE)),$C$3)*(1+IF('IP Attrition'!Z194&gt;0,'Attrition Modeling'!$N$9,0)))</f>
        <v>0</v>
      </c>
      <c r="AA137" s="799">
        <f>Z137*(1-IFERROR(IF(AA$77+$F137&lt;=12,SUMIFS('Attrition Modeling'!$D:$D,'Attrition Modeling'!$C:$C,$D137,'Attrition Modeling'!$B:$B,AA$76),VLOOKUP($F137+AA$77,$A$7:$C$107,2,FALSE)*VLOOKUP(AA$76,'Attrition Modeling'!$L$15:$N$27,IF(AA$77+$F137&lt;=24,2,3),FALSE)),$C$3)*(1+IF('IP Attrition'!AA194&gt;0,'Attrition Modeling'!$N$9,0)))</f>
        <v>0</v>
      </c>
      <c r="AB137" s="799">
        <f>AA137*(1-IFERROR(IF(AB$77+$F137&lt;=12,SUMIFS('Attrition Modeling'!$D:$D,'Attrition Modeling'!$C:$C,$D137,'Attrition Modeling'!$B:$B,AB$76),VLOOKUP($F137+AB$77,$A$7:$C$107,2,FALSE)*VLOOKUP(AB$76,'Attrition Modeling'!$L$15:$N$27,IF(AB$77+$F137&lt;=24,2,3),FALSE)),$C$3)*(1+IF('IP Attrition'!AB194&gt;0,'Attrition Modeling'!$N$9,0)))</f>
        <v>0</v>
      </c>
      <c r="AC137" s="799">
        <f>AB137*(1-IFERROR(IF(AC$77+$F137&lt;=12,SUMIFS('Attrition Modeling'!$D:$D,'Attrition Modeling'!$C:$C,$D137,'Attrition Modeling'!$B:$B,AC$76),VLOOKUP($F137+AC$77,$A$7:$C$107,2,FALSE)*VLOOKUP(AC$76,'Attrition Modeling'!$L$15:$N$27,IF(AC$77+$F137&lt;=24,2,3),FALSE)),$C$3)*(1+IF('IP Attrition'!AC194&gt;0,'Attrition Modeling'!$N$9,0)))</f>
        <v>0</v>
      </c>
      <c r="AD137" s="799">
        <f>AC137*(1-IFERROR(IF(AD$77+$F137&lt;=12,SUMIFS('Attrition Modeling'!$D:$D,'Attrition Modeling'!$C:$C,$D137,'Attrition Modeling'!$B:$B,AD$76),VLOOKUP($F137+AD$77,$A$7:$C$107,2,FALSE)*VLOOKUP(AD$76,'Attrition Modeling'!$L$15:$N$27,IF(AD$77+$F137&lt;=24,2,3),FALSE)),$C$3)*(1+IF('IP Attrition'!AD194&gt;0,'Attrition Modeling'!$N$9,0)))</f>
        <v>0</v>
      </c>
      <c r="AE137" s="799">
        <f>AD137*(1-IFERROR(IF(AE$77+$F137&lt;=12,SUMIFS('Attrition Modeling'!$D:$D,'Attrition Modeling'!$C:$C,$D137,'Attrition Modeling'!$B:$B,AE$76),VLOOKUP($F137+AE$77,$A$7:$C$107,2,FALSE)*VLOOKUP(AE$76,'Attrition Modeling'!$L$15:$N$27,IF(AE$77+$F137&lt;=24,2,3),FALSE)),$C$3)*(1+IF('IP Attrition'!AE194&gt;0,'Attrition Modeling'!$N$9,0)))</f>
        <v>0</v>
      </c>
      <c r="AF137" s="799">
        <f>AE137*(1-IFERROR(IF(AF$77+$F137&lt;=12,SUMIFS('Attrition Modeling'!$D:$D,'Attrition Modeling'!$C:$C,$D137,'Attrition Modeling'!$B:$B,AF$76),VLOOKUP($F137+AF$77,$A$7:$C$107,2,FALSE)*VLOOKUP(AF$76,'Attrition Modeling'!$L$15:$N$27,IF(AF$77+$F137&lt;=24,2,3),FALSE)),$C$3)*(1+IF('IP Attrition'!AF194&gt;0,'Attrition Modeling'!$N$9,0)))</f>
        <v>0</v>
      </c>
      <c r="AG137" s="799">
        <f>AF137*(1-IFERROR(IF(AG$77+$F137&lt;=12,SUMIFS('Attrition Modeling'!$D:$D,'Attrition Modeling'!$C:$C,$D137,'Attrition Modeling'!$B:$B,AG$76),VLOOKUP($F137+AG$77,$A$7:$C$107,2,FALSE)*VLOOKUP(AG$76,'Attrition Modeling'!$L$15:$N$27,IF(AG$77+$F137&lt;=24,2,3),FALSE)),$C$3)*(1+IF('IP Attrition'!AG194&gt;0,'Attrition Modeling'!$N$9,0)))</f>
        <v>0</v>
      </c>
      <c r="AH137" s="799">
        <f>AG137*(1-IFERROR(IF(AH$77+$F137&lt;=12,SUMIFS('Attrition Modeling'!$D:$D,'Attrition Modeling'!$C:$C,$D137,'Attrition Modeling'!$B:$B,AH$76),VLOOKUP($F137+AH$77,$A$7:$C$107,2,FALSE)*VLOOKUP(AH$76,'Attrition Modeling'!$L$15:$N$27,IF(AH$77+$F137&lt;=24,2,3),FALSE)),$C$3)*(1+IF('IP Attrition'!AH194&gt;0,'Attrition Modeling'!$N$9,0)))</f>
        <v>0</v>
      </c>
      <c r="AI137" s="799">
        <f>AH137*(1-IFERROR(IF(AI$77+$F137&lt;=12,SUMIFS('Attrition Modeling'!$D:$D,'Attrition Modeling'!$C:$C,$D137,'Attrition Modeling'!$B:$B,AI$76),VLOOKUP($F137+AI$77,$A$7:$C$107,2,FALSE)*VLOOKUP(AI$76,'Attrition Modeling'!$L$15:$N$27,IF(AI$77+$F137&lt;=24,2,3),FALSE)),$C$3)*(1+IF('IP Attrition'!AI194&gt;0,'Attrition Modeling'!$N$9,0)))</f>
        <v>0</v>
      </c>
      <c r="AJ137" s="799">
        <f>AI137*(1-IFERROR(IF(AJ$77+$F137&lt;=12,SUMIFS('Attrition Modeling'!$D:$D,'Attrition Modeling'!$C:$C,$D137,'Attrition Modeling'!$B:$B,AJ$76),VLOOKUP($F137+AJ$77,$A$7:$C$107,2,FALSE)*VLOOKUP(AJ$76,'Attrition Modeling'!$L$15:$N$27,IF(AJ$77+$F137&lt;=24,2,3),FALSE)),$C$3)*(1+IF('IP Attrition'!AJ194&gt;0,'Attrition Modeling'!$N$9,0)))</f>
        <v>0</v>
      </c>
      <c r="AK137" s="799">
        <f>AJ137*(1-IFERROR(IF(AK$77+$F137&lt;=12,SUMIFS('Attrition Modeling'!$D:$D,'Attrition Modeling'!$C:$C,$D137,'Attrition Modeling'!$B:$B,AK$76),VLOOKUP($F137+AK$77,$A$7:$C$107,2,FALSE)*VLOOKUP(AK$76,'Attrition Modeling'!$L$15:$N$27,IF(AK$77+$F137&lt;=24,2,3),FALSE)),$C$3)*(1+IF('IP Attrition'!AK194&gt;0,'Attrition Modeling'!$N$9,0)))</f>
        <v>0</v>
      </c>
      <c r="AL137" s="799">
        <f>AK137*(1-IFERROR(IF(AL$77+$F137&lt;=12,SUMIFS('Attrition Modeling'!$D:$D,'Attrition Modeling'!$C:$C,$D137,'Attrition Modeling'!$B:$B,AL$76),VLOOKUP($F137+AL$77,$A$7:$C$107,2,FALSE)*VLOOKUP(AL$76,'Attrition Modeling'!$L$15:$N$27,IF(AL$77+$F137&lt;=24,2,3),FALSE)),$C$3)*(1+IF('IP Attrition'!AL194&gt;0,'Attrition Modeling'!$N$9,0)))</f>
        <v>0</v>
      </c>
      <c r="AM137" s="799">
        <f>AL137*(1-IFERROR(IF(AM$77+$F137&lt;=12,SUMIFS('Attrition Modeling'!$D:$D,'Attrition Modeling'!$C:$C,$D137,'Attrition Modeling'!$B:$B,AM$76),VLOOKUP($F137+AM$77,$A$7:$C$107,2,FALSE)*VLOOKUP(AM$76,'Attrition Modeling'!$L$15:$N$27,IF(AM$77+$F137&lt;=24,2,3),FALSE)),$C$3)*(1+IF('IP Attrition'!AM194&gt;0,'Attrition Modeling'!$N$9,0)))</f>
        <v>0</v>
      </c>
      <c r="AN137" s="799">
        <f>AM137*(1-IFERROR(IF(AN$77+$F137&lt;=12,SUMIFS('Attrition Modeling'!$D:$D,'Attrition Modeling'!$C:$C,$D137,'Attrition Modeling'!$B:$B,AN$76),VLOOKUP($F137+AN$77,$A$7:$C$107,2,FALSE)*VLOOKUP(AN$76,'Attrition Modeling'!$L$15:$N$27,IF(AN$77+$F137&lt;=24,2,3),FALSE)),$C$3)*(1+IF('IP Attrition'!AN194&gt;0,'Attrition Modeling'!$N$9,0)))</f>
        <v>0</v>
      </c>
      <c r="AO137" s="799">
        <f>AN137*(1-IFERROR(IF(AO$77+$F137&lt;=12,SUMIFS('Attrition Modeling'!$D:$D,'Attrition Modeling'!$C:$C,$D137,'Attrition Modeling'!$B:$B,AO$76),VLOOKUP($F137+AO$77,$A$7:$C$107,2,FALSE)*VLOOKUP(AO$76,'Attrition Modeling'!$L$15:$N$27,IF(AO$77+$F137&lt;=24,2,3),FALSE)),$C$3)*(1+IF('IP Attrition'!AO194&gt;0,'Attrition Modeling'!$N$9,0)))</f>
        <v>0</v>
      </c>
      <c r="AP137" s="799">
        <f>AO137*(1-IFERROR(IF(AP$77+$F137&lt;=12,SUMIFS('Attrition Modeling'!$D:$D,'Attrition Modeling'!$C:$C,$D137,'Attrition Modeling'!$B:$B,AP$76),VLOOKUP($F137+AP$77,$A$7:$C$107,2,FALSE)*VLOOKUP(AP$76,'Attrition Modeling'!$L$15:$N$27,IF(AP$77+$F137&lt;=24,2,3),FALSE)),$C$3)*(1+IF('IP Attrition'!AP194&gt;0,'Attrition Modeling'!$N$9,0)))</f>
        <v>0</v>
      </c>
      <c r="AQ137" s="799">
        <f>AP137*(1-IFERROR(IF(AQ$77+$F137&lt;=12,SUMIFS('Attrition Modeling'!$D:$D,'Attrition Modeling'!$C:$C,$D137,'Attrition Modeling'!$B:$B,AQ$76),VLOOKUP($F137+AQ$77,$A$7:$C$107,2,FALSE)*VLOOKUP(AQ$76,'Attrition Modeling'!$L$15:$N$27,IF(AQ$77+$F137&lt;=24,2,3),FALSE)),$C$3)*(1+IF('IP Attrition'!AQ194&gt;0,'Attrition Modeling'!$N$9,0)))</f>
        <v>0</v>
      </c>
      <c r="AR137" s="799">
        <f>AQ137*(1-IFERROR(IF(AR$77+$F137&lt;=12,SUMIFS('Attrition Modeling'!$D:$D,'Attrition Modeling'!$C:$C,$D137,'Attrition Modeling'!$B:$B,AR$76),VLOOKUP($F137+AR$77,$A$7:$C$107,2,FALSE)*VLOOKUP(AR$76,'Attrition Modeling'!$L$15:$N$27,IF(AR$77+$F137&lt;=24,2,3),FALSE)),$C$3)*(1+IF('IP Attrition'!AR194&gt;0,'Attrition Modeling'!$N$9,0)))</f>
        <v>0</v>
      </c>
      <c r="AS137" s="799">
        <f>AR137*(1-IFERROR(IF(AS$77+$F137&lt;=12,SUMIFS('Attrition Modeling'!$D:$D,'Attrition Modeling'!$C:$C,$D137,'Attrition Modeling'!$B:$B,AS$76),VLOOKUP($F137+AS$77,$A$7:$C$107,2,FALSE)*VLOOKUP(AS$76,'Attrition Modeling'!$L$15:$N$27,IF(AS$77+$F137&lt;=24,2,3),FALSE)),$C$3)*(1+IF('IP Attrition'!AS194&gt;0,'Attrition Modeling'!$N$9,0)))</f>
        <v>0</v>
      </c>
      <c r="AT137" s="799">
        <f>AS137*(1-IFERROR(IF(AT$77+$F137&lt;=12,SUMIFS('Attrition Modeling'!$D:$D,'Attrition Modeling'!$C:$C,$D137,'Attrition Modeling'!$B:$B,AT$76),VLOOKUP($F137+AT$77,$A$7:$C$107,2,FALSE)*VLOOKUP(AT$76,'Attrition Modeling'!$L$15:$N$27,IF(AT$77+$F137&lt;=24,2,3),FALSE)),$C$3)*(1+IF('IP Attrition'!AT194&gt;0,'Attrition Modeling'!$N$9,0)))</f>
        <v>0</v>
      </c>
      <c r="AU137" s="799">
        <f>AT137*(1-IFERROR(IF(AU$77+$F137&lt;=12,SUMIFS('Attrition Modeling'!$D:$D,'Attrition Modeling'!$C:$C,$D137,'Attrition Modeling'!$B:$B,AU$76),VLOOKUP($F137+AU$77,$A$7:$C$107,2,FALSE)*VLOOKUP(AU$76,'Attrition Modeling'!$L$15:$N$27,IF(AU$77+$F137&lt;=24,2,3),FALSE)),$C$3)*(1+IF('IP Attrition'!AU194&gt;0,'Attrition Modeling'!$N$9,0)))</f>
        <v>0</v>
      </c>
      <c r="AV137" s="799">
        <f>AU137*(1-IFERROR(IF(AV$77+$F137&lt;=12,SUMIFS('Attrition Modeling'!$D:$D,'Attrition Modeling'!$C:$C,$D137,'Attrition Modeling'!$B:$B,AV$76),VLOOKUP($F137+AV$77,$A$7:$C$107,2,FALSE)*VLOOKUP(AV$76,'Attrition Modeling'!$L$15:$N$27,IF(AV$77+$F137&lt;=24,2,3),FALSE)),$C$3)*(1+IF('IP Attrition'!AV194&gt;0,'Attrition Modeling'!$N$9,0)))</f>
        <v>0</v>
      </c>
      <c r="AW137" s="799">
        <f>AV137*(1-IFERROR(IF(AW$77+$F137&lt;=12,SUMIFS('Attrition Modeling'!$D:$D,'Attrition Modeling'!$C:$C,$D137,'Attrition Modeling'!$B:$B,AW$76),VLOOKUP($F137+AW$77,$A$7:$C$107,2,FALSE)*VLOOKUP(AW$76,'Attrition Modeling'!$L$15:$N$27,IF(AW$77+$F137&lt;=24,2,3),FALSE)),$C$3)*(1+IF('IP Attrition'!AW194&gt;0,'Attrition Modeling'!$N$9,0)))</f>
        <v>0</v>
      </c>
      <c r="AX137" s="799">
        <f>AW137*(1-IFERROR(IF(AX$77+$F137&lt;=12,SUMIFS('Attrition Modeling'!$D:$D,'Attrition Modeling'!$C:$C,$D137,'Attrition Modeling'!$B:$B,AX$76),VLOOKUP($F137+AX$77,$A$7:$C$107,2,FALSE)*VLOOKUP(AX$76,'Attrition Modeling'!$L$15:$N$27,IF(AX$77+$F137&lt;=24,2,3),FALSE)),$C$3)*(1+IF('IP Attrition'!AX194&gt;0,'Attrition Modeling'!$N$9,0)))</f>
        <v>0</v>
      </c>
      <c r="AY137" s="799">
        <f>AX137*(1-IFERROR(IF(AY$77+$F137&lt;=12,SUMIFS('Attrition Modeling'!$D:$D,'Attrition Modeling'!$C:$C,$D137,'Attrition Modeling'!$B:$B,AY$76),VLOOKUP($F137+AY$77,$A$7:$C$107,2,FALSE)*VLOOKUP(AY$76,'Attrition Modeling'!$L$15:$N$27,IF(AY$77+$F137&lt;=24,2,3),FALSE)),$C$3)*(1+IF('IP Attrition'!AY194&gt;0,'Attrition Modeling'!$N$9,0)))</f>
        <v>0</v>
      </c>
      <c r="AZ137" s="799">
        <f>AY137*(1-IFERROR(IF(AZ$77+$F137&lt;=12,SUMIFS('Attrition Modeling'!$D:$D,'Attrition Modeling'!$C:$C,$D137,'Attrition Modeling'!$B:$B,AZ$76),VLOOKUP($F137+AZ$77,$A$7:$C$107,2,FALSE)*VLOOKUP(AZ$76,'Attrition Modeling'!$L$15:$N$27,IF(AZ$77+$F137&lt;=24,2,3),FALSE)),$C$3)*(1+IF('IP Attrition'!AZ194&gt;0,'Attrition Modeling'!$N$9,0)))</f>
        <v>0</v>
      </c>
      <c r="BA137" s="799">
        <f>AZ137*(1-IFERROR(IF(BA$77+$F137&lt;=12,SUMIFS('Attrition Modeling'!$D:$D,'Attrition Modeling'!$C:$C,$D137,'Attrition Modeling'!$B:$B,BA$76),VLOOKUP($F137+BA$77,$A$7:$C$107,2,FALSE)*VLOOKUP(BA$76,'Attrition Modeling'!$L$15:$N$27,IF(BA$77+$F137&lt;=24,2,3),FALSE)),$C$3)*(1+IF('IP Attrition'!BA194&gt;0,'Attrition Modeling'!$N$9,0)))</f>
        <v>0</v>
      </c>
      <c r="BB137" s="799">
        <f>BA137*(1-IFERROR(IF(BB$77+$F137&lt;=12,SUMIFS('Attrition Modeling'!$D:$D,'Attrition Modeling'!$C:$C,$D137,'Attrition Modeling'!$B:$B,BB$76),VLOOKUP($F137+BB$77,$A$7:$C$107,2,FALSE)*VLOOKUP(BB$76,'Attrition Modeling'!$L$15:$N$27,IF(BB$77+$F137&lt;=24,2,3),FALSE)),$C$3)*(1+IF('IP Attrition'!BB194&gt;0,'Attrition Modeling'!$N$9,0)))</f>
        <v>0</v>
      </c>
      <c r="BC137" s="799">
        <f>BB137*(1-IFERROR(IF(BC$77+$F137&lt;=12,SUMIFS('Attrition Modeling'!$D:$D,'Attrition Modeling'!$C:$C,$D137,'Attrition Modeling'!$B:$B,BC$76),VLOOKUP($F137+BC$77,$A$7:$C$107,2,FALSE)*VLOOKUP(BC$76,'Attrition Modeling'!$L$15:$N$27,IF(BC$77+$F137&lt;=24,2,3),FALSE)),$C$3)*(1+IF('IP Attrition'!BC194&gt;0,'Attrition Modeling'!$N$9,0)))</f>
        <v>0</v>
      </c>
      <c r="BD137" s="799">
        <f>BC137*(1-IFERROR(IF(BD$77+$F137&lt;=12,SUMIFS('Attrition Modeling'!$D:$D,'Attrition Modeling'!$C:$C,$D137,'Attrition Modeling'!$B:$B,BD$76),VLOOKUP($F137+BD$77,$A$7:$C$107,2,FALSE)*VLOOKUP(BD$76,'Attrition Modeling'!$L$15:$N$27,IF(BD$77+$F137&lt;=24,2,3),FALSE)),$C$3)*(1+IF('IP Attrition'!BD194&gt;0,'Attrition Modeling'!$N$9,0)))</f>
        <v>0</v>
      </c>
      <c r="BE137" s="799">
        <f>BD137*(1-IFERROR(IF(BE$77+$F137&lt;=12,SUMIFS('Attrition Modeling'!$D:$D,'Attrition Modeling'!$C:$C,$D137,'Attrition Modeling'!$B:$B,BE$76),VLOOKUP($F137+BE$77,$A$7:$C$107,2,FALSE)*VLOOKUP(BE$76,'Attrition Modeling'!$L$15:$N$27,IF(BE$77+$F137&lt;=24,2,3),FALSE)),$C$3)*(1+IF('IP Attrition'!BE194&gt;0,'Attrition Modeling'!$N$9,0)))</f>
        <v>0</v>
      </c>
      <c r="BF137" s="799">
        <f>BE137*(1-IFERROR(IF(BF$77+$F137&lt;=12,SUMIFS('Attrition Modeling'!$D:$D,'Attrition Modeling'!$C:$C,$D137,'Attrition Modeling'!$B:$B,BF$76),VLOOKUP($F137+BF$77,$A$7:$C$107,2,FALSE)*VLOOKUP(BF$76,'Attrition Modeling'!$L$15:$N$27,IF(BF$77+$F137&lt;=24,2,3),FALSE)),$C$3)*(1+IF('IP Attrition'!BF194&gt;0,'Attrition Modeling'!$N$9,0)))</f>
        <v>0</v>
      </c>
      <c r="BG137" s="799">
        <f>BF137*(1-IFERROR(IF(BG$77+$F137&lt;=12,SUMIFS('Attrition Modeling'!$D:$D,'Attrition Modeling'!$C:$C,$D137,'Attrition Modeling'!$B:$B,BG$76),VLOOKUP($F137+BG$77,$A$7:$C$107,2,FALSE)*VLOOKUP(BG$76,'Attrition Modeling'!$L$15:$N$27,IF(BG$77+$F137&lt;=24,2,3),FALSE)),$C$3)*(1+IF('IP Attrition'!BG194&gt;0,'Attrition Modeling'!$N$9,0)))</f>
        <v>0</v>
      </c>
      <c r="BH137" s="799">
        <f>BG137*(1-IFERROR(IF(BH$77+$F137&lt;=12,SUMIFS('Attrition Modeling'!$D:$D,'Attrition Modeling'!$C:$C,$D137,'Attrition Modeling'!$B:$B,BH$76),VLOOKUP($F137+BH$77,$A$7:$C$107,2,FALSE)*VLOOKUP(BH$76,'Attrition Modeling'!$L$15:$N$27,IF(BH$77+$F137&lt;=24,2,3),FALSE)),$C$3)*(1+IF('IP Attrition'!BH194&gt;0,'Attrition Modeling'!$N$9,0)))</f>
        <v>0</v>
      </c>
      <c r="BI137" s="799">
        <f>BH137*(1-IFERROR(IF(BI$77+$F137&lt;=12,SUMIFS('Attrition Modeling'!$D:$D,'Attrition Modeling'!$C:$C,$D137,'Attrition Modeling'!$B:$B,BI$76),VLOOKUP($F137+BI$77,$A$7:$C$107,2,FALSE)*VLOOKUP(BI$76,'Attrition Modeling'!$L$15:$N$27,IF(BI$77+$F137&lt;=24,2,3),FALSE)),$C$3)*(1+IF('IP Attrition'!BI194&gt;0,'Attrition Modeling'!$N$9,0)))</f>
        <v>0</v>
      </c>
      <c r="BJ137" s="799">
        <f>BI137*(1-IFERROR(IF(BJ$77+$F137&lt;=12,SUMIFS('Attrition Modeling'!$D:$D,'Attrition Modeling'!$C:$C,$D137,'Attrition Modeling'!$B:$B,BJ$76),VLOOKUP($F137+BJ$77,$A$7:$C$107,2,FALSE)*VLOOKUP(BJ$76,'Attrition Modeling'!$L$15:$N$27,IF(BJ$77+$F137&lt;=24,2,3),FALSE)),$C$3)*(1+IF('IP Attrition'!BJ194&gt;0,'Attrition Modeling'!$N$9,0)))</f>
        <v>0</v>
      </c>
      <c r="BK137" s="799">
        <f>BJ137*(1-IFERROR(IF(BK$77+$F137&lt;=12,SUMIFS('Attrition Modeling'!$D:$D,'Attrition Modeling'!$C:$C,$D137,'Attrition Modeling'!$B:$B,BK$76),VLOOKUP($F137+BK$77,$A$7:$C$107,2,FALSE)*VLOOKUP(BK$76,'Attrition Modeling'!$L$15:$N$27,IF(BK$77+$F137&lt;=24,2,3),FALSE)),$C$3)*(1+IF('IP Attrition'!BK194&gt;0,'Attrition Modeling'!$N$9,0)))</f>
        <v>0</v>
      </c>
      <c r="BL137" s="799">
        <f>BK137*(1-IFERROR(IF(BL$77+$F137&lt;=12,SUMIFS('Attrition Modeling'!$D:$D,'Attrition Modeling'!$C:$C,$D137,'Attrition Modeling'!$B:$B,BL$76),VLOOKUP($F137+BL$77,$A$7:$C$107,2,FALSE)*VLOOKUP(BL$76,'Attrition Modeling'!$L$15:$N$27,IF(BL$77+$F137&lt;=24,2,3),FALSE)),$C$3)*(1+IF('IP Attrition'!BL194&gt;0,'Attrition Modeling'!$N$9,0)))</f>
        <v>0</v>
      </c>
      <c r="BM137" s="799">
        <f>BL137*(1-IFERROR(IF(BM$77+$F137&lt;=12,SUMIFS('Attrition Modeling'!$D:$D,'Attrition Modeling'!$C:$C,$D137,'Attrition Modeling'!$B:$B,BM$76),VLOOKUP($F137+BM$77,$A$7:$C$107,2,FALSE)*VLOOKUP(BM$76,'Attrition Modeling'!$L$15:$N$27,IF(BM$77+$F137&lt;=24,2,3),FALSE)),$C$3)*(1+IF('IP Attrition'!BM194&gt;0,'Attrition Modeling'!$N$9,0)))</f>
        <v>0</v>
      </c>
      <c r="BN137" s="799">
        <f>BM137*(1-IFERROR(IF(BN$77+$F137&lt;=12,SUMIFS('Attrition Modeling'!$D:$D,'Attrition Modeling'!$C:$C,$D137,'Attrition Modeling'!$B:$B,BN$76),VLOOKUP($F137+BN$77,$A$7:$C$107,2,FALSE)*VLOOKUP(BN$76,'Attrition Modeling'!$L$15:$N$27,IF(BN$77+$F137&lt;=24,2,3),FALSE)),$C$3)*(1+IF('IP Attrition'!BN194&gt;0,'Attrition Modeling'!$N$9,0)))</f>
        <v>0</v>
      </c>
      <c r="BO137" s="799">
        <f>BN137*(1-IFERROR(IF(BO$77+$F137&lt;=12,SUMIFS('Attrition Modeling'!$D:$D,'Attrition Modeling'!$C:$C,$D137,'Attrition Modeling'!$B:$B,BO$76),VLOOKUP($F137+BO$77,$A$7:$C$107,2,FALSE)*VLOOKUP(BO$76,'Attrition Modeling'!$L$15:$N$27,IF(BO$77+$F137&lt;=24,2,3),FALSE)),$C$3)*(1+IF('IP Attrition'!BO194&gt;0,'Attrition Modeling'!$N$9,0)))</f>
        <v>0</v>
      </c>
      <c r="BP137" s="799">
        <f>BO137*(1-IFERROR(IF(BP$77+$F137&lt;=12,SUMIFS('Attrition Modeling'!$D:$D,'Attrition Modeling'!$C:$C,$D137,'Attrition Modeling'!$B:$B,BP$76),VLOOKUP($F137+BP$77,$A$7:$C$107,2,FALSE)*VLOOKUP(BP$76,'Attrition Modeling'!$L$15:$N$27,IF(BP$77+$F137&lt;=24,2,3),FALSE)),$C$3)*(1+IF('IP Attrition'!BP194&gt;0,'Attrition Modeling'!$N$9,0)))</f>
        <v>0</v>
      </c>
      <c r="BQ137" s="799">
        <f>BP137*(1-IFERROR(IF(BQ$77+$F137&lt;=12,SUMIFS('Attrition Modeling'!$D:$D,'Attrition Modeling'!$C:$C,$D137,'Attrition Modeling'!$B:$B,BQ$76),VLOOKUP($F137+BQ$77,$A$7:$C$107,2,FALSE)*VLOOKUP(BQ$76,'Attrition Modeling'!$L$15:$N$27,IF(BQ$77+$F137&lt;=24,2,3),FALSE)),$C$3)*(1+IF('IP Attrition'!BQ194&gt;0,'Attrition Modeling'!$N$9,0)))</f>
        <v>0</v>
      </c>
      <c r="BR137" s="799">
        <f>BQ137*(1-IFERROR(IF(BR$77+$F137&lt;=12,SUMIFS('Attrition Modeling'!$D:$D,'Attrition Modeling'!$C:$C,$D137,'Attrition Modeling'!$B:$B,BR$76),VLOOKUP($F137+BR$77,$A$7:$C$107,2,FALSE)*VLOOKUP(BR$76,'Attrition Modeling'!$L$15:$N$27,IF(BR$77+$F137&lt;=24,2,3),FALSE)),$C$3)*(1+IF('IP Attrition'!BR194&gt;0,'Attrition Modeling'!$N$9,0)))</f>
        <v>0</v>
      </c>
      <c r="BS137" s="799">
        <f>BR137*(1-IFERROR(IF(BS$77+$F137&lt;=12,SUMIFS('Attrition Modeling'!$D:$D,'Attrition Modeling'!$C:$C,$D137,'Attrition Modeling'!$B:$B,BS$76),VLOOKUP($F137+BS$77,$A$7:$C$107,2,FALSE)*VLOOKUP(BS$76,'Attrition Modeling'!$L$15:$N$27,IF(BS$77+$F137&lt;=24,2,3),FALSE)),$C$3)*(1+IF('IP Attrition'!BS194&gt;0,'Attrition Modeling'!$N$9,0)))</f>
        <v>0</v>
      </c>
      <c r="BT137" s="799" t="e">
        <f>BS137*(1-IFERROR(IF(BT$77+$F137&lt;=12,SUMIFS('Attrition Modeling'!$D:$D,'Attrition Modeling'!$C:$C,$D137,'Attrition Modeling'!$B:$B,BT$76),VLOOKUP($F137+BT$77,$A$7:$C$107,2,FALSE)*VLOOKUP(BT$76,'Attrition Modeling'!$L$15:$N$27,IF(BT$77+$F137&lt;=24,2,3),FALSE)),$C$3)*(1+IF('IP Attrition'!BT194&gt;0,'Attrition Modeling'!$N$9,0)))</f>
        <v>#REF!</v>
      </c>
      <c r="BU137" s="799" t="e">
        <f>BT137*(1-IFERROR(IF(BU$77+$F137&lt;=12,SUMIFS('Attrition Modeling'!$D:$D,'Attrition Modeling'!$C:$C,$D137,'Attrition Modeling'!$B:$B,BU$76),VLOOKUP($F137+BU$77,$A$7:$C$107,2,FALSE)*VLOOKUP(BU$76,'Attrition Modeling'!$L$15:$N$27,IF(BU$77+$F137&lt;=24,2,3),FALSE)),$C$3)*(1+IF('IP Attrition'!BU194&gt;0,'Attrition Modeling'!$N$9,0)))</f>
        <v>#REF!</v>
      </c>
    </row>
    <row r="138" spans="1:73" ht="14.25" customHeight="1" x14ac:dyDescent="0.2">
      <c r="A138" s="9">
        <v>130</v>
      </c>
      <c r="B138" s="25">
        <f>MAX('Attrition Modeling'!H134,$C$3)*(1-Summary!$C$20)</f>
        <v>0.02</v>
      </c>
      <c r="C138" s="24" t="e">
        <f t="shared" si="2"/>
        <v>#DIV/0!</v>
      </c>
      <c r="D138" s="11">
        <f>'IP Attrition'!D130</f>
        <v>-60</v>
      </c>
      <c r="E138" s="25">
        <f>'IP Attrition'!E130</f>
        <v>0</v>
      </c>
      <c r="F138" s="11">
        <f t="shared" si="8"/>
        <v>60</v>
      </c>
      <c r="G138" s="801">
        <f>Summary!$C$24*$E138</f>
        <v>0</v>
      </c>
      <c r="H138" s="813">
        <f>G138*(1-IFERROR(IF(H$77+$F138&lt;=12,SUMIFS('Attrition Modeling'!$D:$D,'Attrition Modeling'!$C:$C,$D138,'Attrition Modeling'!$B:$B,H$76),VLOOKUP($F138+H$77,$A$7:$C$107,2,FALSE)*VLOOKUP(H$76,'Attrition Modeling'!$L$15:$N$27,IF(H$77+$F138&lt;=24,2,3),FALSE)),$C$3)*(1+IF('IP Attrition'!H195&gt;0,'Attrition Modeling'!$N$9,0)))</f>
        <v>0</v>
      </c>
      <c r="I138" s="813">
        <f>H138*(1-IFERROR(IF(I$77+$F138&lt;=12,SUMIFS('Attrition Modeling'!$D:$D,'Attrition Modeling'!$C:$C,$D138,'Attrition Modeling'!$B:$B,I$76),VLOOKUP($F138+I$77,$A$7:$C$107,2,FALSE)*VLOOKUP(I$76,'Attrition Modeling'!$L$15:$N$27,IF(I$77+$F138&lt;=24,2,3),FALSE)),$C$3)*(1+IF('IP Attrition'!I195&gt;0,'Attrition Modeling'!$N$9,0)))</f>
        <v>0</v>
      </c>
      <c r="J138" s="813">
        <f>I138*(1-IFERROR(IF(J$77+$F138&lt;=12,SUMIFS('Attrition Modeling'!$D:$D,'Attrition Modeling'!$C:$C,$D138,'Attrition Modeling'!$B:$B,J$76),VLOOKUP($F138+J$77,$A$7:$C$107,2,FALSE)*VLOOKUP(J$76,'Attrition Modeling'!$L$15:$N$27,IF(J$77+$F138&lt;=24,2,3),FALSE)),$C$3)*(1+IF('IP Attrition'!J195&gt;0,'Attrition Modeling'!$N$9,0)))</f>
        <v>0</v>
      </c>
      <c r="K138" s="813">
        <f>J138*(1-IFERROR(IF(K$77+$F138&lt;=12,SUMIFS('Attrition Modeling'!$D:$D,'Attrition Modeling'!$C:$C,$D138,'Attrition Modeling'!$B:$B,K$76),VLOOKUP($F138+K$77,$A$7:$C$107,2,FALSE)*VLOOKUP(K$76,'Attrition Modeling'!$L$15:$N$27,IF(K$77+$F138&lt;=24,2,3),FALSE)),$C$3)*(1+IF('IP Attrition'!K195&gt;0,'Attrition Modeling'!$N$9,0)))</f>
        <v>0</v>
      </c>
      <c r="L138" s="813">
        <f>K138*(1-IFERROR(IF(L$77+$F138&lt;=12,SUMIFS('Attrition Modeling'!$D:$D,'Attrition Modeling'!$C:$C,$D138,'Attrition Modeling'!$B:$B,L$76),VLOOKUP($F138+L$77,$A$7:$C$107,2,FALSE)*VLOOKUP(L$76,'Attrition Modeling'!$L$15:$N$27,IF(L$77+$F138&lt;=24,2,3),FALSE)),$C$3)*(1+IF('IP Attrition'!L195&gt;0,'Attrition Modeling'!$N$9,0)))</f>
        <v>0</v>
      </c>
      <c r="M138" s="813">
        <f>L138*(1-IFERROR(IF(M$77+$F138&lt;=12,SUMIFS('Attrition Modeling'!$D:$D,'Attrition Modeling'!$C:$C,$D138,'Attrition Modeling'!$B:$B,M$76),VLOOKUP($F138+M$77,$A$7:$C$107,2,FALSE)*VLOOKUP(M$76,'Attrition Modeling'!$L$15:$N$27,IF(M$77+$F138&lt;=24,2,3),FALSE)),$C$3)*(1+IF('IP Attrition'!M195&gt;0,'Attrition Modeling'!$N$9,0)))</f>
        <v>0</v>
      </c>
      <c r="N138" s="813">
        <f>M138*(1-IFERROR(IF(N$77+$F138&lt;=12,SUMIFS('Attrition Modeling'!$D:$D,'Attrition Modeling'!$C:$C,$D138,'Attrition Modeling'!$B:$B,N$76),VLOOKUP($F138+N$77,$A$7:$C$107,2,FALSE)*VLOOKUP(N$76,'Attrition Modeling'!$L$15:$N$27,IF(N$77+$F138&lt;=24,2,3),FALSE)),$C$3)*(1+IF('IP Attrition'!N195&gt;0,'Attrition Modeling'!$N$9,0)))</f>
        <v>0</v>
      </c>
      <c r="O138" s="813">
        <f>N138*(1-IFERROR(IF(O$77+$F138&lt;=12,SUMIFS('Attrition Modeling'!$D:$D,'Attrition Modeling'!$C:$C,$D138,'Attrition Modeling'!$B:$B,O$76),VLOOKUP($F138+O$77,$A$7:$C$107,2,FALSE)*VLOOKUP(O$76,'Attrition Modeling'!$L$15:$N$27,IF(O$77+$F138&lt;=24,2,3),FALSE)),$C$3)*(1+IF('IP Attrition'!O195&gt;0,'Attrition Modeling'!$N$9,0)))</f>
        <v>0</v>
      </c>
      <c r="P138" s="813">
        <f>O138*(1-IFERROR(IF(P$77+$F138&lt;=12,SUMIFS('Attrition Modeling'!$D:$D,'Attrition Modeling'!$C:$C,$D138,'Attrition Modeling'!$B:$B,P$76),VLOOKUP($F138+P$77,$A$7:$C$107,2,FALSE)*VLOOKUP(P$76,'Attrition Modeling'!$L$15:$N$27,IF(P$77+$F138&lt;=24,2,3),FALSE)),$C$3)*(1+IF('IP Attrition'!P195&gt;0,'Attrition Modeling'!$N$9,0)))</f>
        <v>0</v>
      </c>
      <c r="Q138" s="813">
        <f>P138*(1-IFERROR(IF(Q$77+$F138&lt;=12,SUMIFS('Attrition Modeling'!$D:$D,'Attrition Modeling'!$C:$C,$D138,'Attrition Modeling'!$B:$B,Q$76),VLOOKUP($F138+Q$77,$A$7:$C$107,2,FALSE)*VLOOKUP(Q$76,'Attrition Modeling'!$L$15:$N$27,IF(Q$77+$F138&lt;=24,2,3),FALSE)),$C$3)*(1+IF('IP Attrition'!Q195&gt;0,'Attrition Modeling'!$N$9,0)))</f>
        <v>0</v>
      </c>
      <c r="R138" s="813">
        <f>Q138*(1-IFERROR(IF(R$77+$F138&lt;=12,SUMIFS('Attrition Modeling'!$D:$D,'Attrition Modeling'!$C:$C,$D138,'Attrition Modeling'!$B:$B,R$76),VLOOKUP($F138+R$77,$A$7:$C$107,2,FALSE)*VLOOKUP(R$76,'Attrition Modeling'!$L$15:$N$27,IF(R$77+$F138&lt;=24,2,3),FALSE)),$C$3)*(1+IF('IP Attrition'!R195&gt;0,'Attrition Modeling'!$N$9,0)))</f>
        <v>0</v>
      </c>
      <c r="S138" s="813">
        <f>R138*(1-IFERROR(IF(S$77+$F138&lt;=12,SUMIFS('Attrition Modeling'!$D:$D,'Attrition Modeling'!$C:$C,$D138,'Attrition Modeling'!$B:$B,S$76),VLOOKUP($F138+S$77,$A$7:$C$107,2,FALSE)*VLOOKUP(S$76,'Attrition Modeling'!$L$15:$N$27,IF(S$77+$F138&lt;=24,2,3),FALSE)),$C$3)*(1+IF('IP Attrition'!S195&gt;0,'Attrition Modeling'!$N$9,0)))</f>
        <v>0</v>
      </c>
      <c r="T138" s="813">
        <f>S138*(1-IFERROR(IF(T$77+$F138&lt;=12,SUMIFS('Attrition Modeling'!$D:$D,'Attrition Modeling'!$C:$C,$D138,'Attrition Modeling'!$B:$B,T$76),VLOOKUP($F138+T$77,$A$7:$C$107,2,FALSE)*VLOOKUP(T$76,'Attrition Modeling'!$L$15:$N$27,IF(T$77+$F138&lt;=24,2,3),FALSE)),$C$3)*(1+IF('IP Attrition'!T195&gt;0,'Attrition Modeling'!$N$9,0)))</f>
        <v>0</v>
      </c>
      <c r="U138" s="813">
        <f>T138*(1-IFERROR(IF(U$77+$F138&lt;=12,SUMIFS('Attrition Modeling'!$D:$D,'Attrition Modeling'!$C:$C,$D138,'Attrition Modeling'!$B:$B,U$76),VLOOKUP($F138+U$77,$A$7:$C$107,2,FALSE)*VLOOKUP(U$76,'Attrition Modeling'!$L$15:$N$27,IF(U$77+$F138&lt;=24,2,3),FALSE)),$C$3)*(1+IF('IP Attrition'!U195&gt;0,'Attrition Modeling'!$N$9,0)))</f>
        <v>0</v>
      </c>
      <c r="V138" s="813">
        <f>U138*(1-IFERROR(IF(V$77+$F138&lt;=12,SUMIFS('Attrition Modeling'!$D:$D,'Attrition Modeling'!$C:$C,$D138,'Attrition Modeling'!$B:$B,V$76),VLOOKUP($F138+V$77,$A$7:$C$107,2,FALSE)*VLOOKUP(V$76,'Attrition Modeling'!$L$15:$N$27,IF(V$77+$F138&lt;=24,2,3),FALSE)),$C$3)*(1+IF('IP Attrition'!V195&gt;0,'Attrition Modeling'!$N$9,0)))</f>
        <v>0</v>
      </c>
      <c r="W138" s="813">
        <f>V138*(1-IFERROR(IF(W$77+$F138&lt;=12,SUMIFS('Attrition Modeling'!$D:$D,'Attrition Modeling'!$C:$C,$D138,'Attrition Modeling'!$B:$B,W$76),VLOOKUP($F138+W$77,$A$7:$C$107,2,FALSE)*VLOOKUP(W$76,'Attrition Modeling'!$L$15:$N$27,IF(W$77+$F138&lt;=24,2,3),FALSE)),$C$3)*(1+IF('IP Attrition'!W195&gt;0,'Attrition Modeling'!$N$9,0)))</f>
        <v>0</v>
      </c>
      <c r="X138" s="813">
        <f>W138*(1-IFERROR(IF(X$77+$F138&lt;=12,SUMIFS('Attrition Modeling'!$D:$D,'Attrition Modeling'!$C:$C,$D138,'Attrition Modeling'!$B:$B,X$76),VLOOKUP($F138+X$77,$A$7:$C$107,2,FALSE)*VLOOKUP(X$76,'Attrition Modeling'!$L$15:$N$27,IF(X$77+$F138&lt;=24,2,3),FALSE)),$C$3)*(1+IF('IP Attrition'!X195&gt;0,'Attrition Modeling'!$N$9,0)))</f>
        <v>0</v>
      </c>
      <c r="Y138" s="813">
        <f>X138*(1-IFERROR(IF(Y$77+$F138&lt;=12,SUMIFS('Attrition Modeling'!$D:$D,'Attrition Modeling'!$C:$C,$D138,'Attrition Modeling'!$B:$B,Y$76),VLOOKUP($F138+Y$77,$A$7:$C$107,2,FALSE)*VLOOKUP(Y$76,'Attrition Modeling'!$L$15:$N$27,IF(Y$77+$F138&lt;=24,2,3),FALSE)),$C$3)*(1+IF('IP Attrition'!Y195&gt;0,'Attrition Modeling'!$N$9,0)))</f>
        <v>0</v>
      </c>
      <c r="Z138" s="813">
        <f>Y138*(1-IFERROR(IF(Z$77+$F138&lt;=12,SUMIFS('Attrition Modeling'!$D:$D,'Attrition Modeling'!$C:$C,$D138,'Attrition Modeling'!$B:$B,Z$76),VLOOKUP($F138+Z$77,$A$7:$C$107,2,FALSE)*VLOOKUP(Z$76,'Attrition Modeling'!$L$15:$N$27,IF(Z$77+$F138&lt;=24,2,3),FALSE)),$C$3)*(1+IF('IP Attrition'!Z195&gt;0,'Attrition Modeling'!$N$9,0)))</f>
        <v>0</v>
      </c>
      <c r="AA138" s="813">
        <f>Z138*(1-IFERROR(IF(AA$77+$F138&lt;=12,SUMIFS('Attrition Modeling'!$D:$D,'Attrition Modeling'!$C:$C,$D138,'Attrition Modeling'!$B:$B,AA$76),VLOOKUP($F138+AA$77,$A$7:$C$107,2,FALSE)*VLOOKUP(AA$76,'Attrition Modeling'!$L$15:$N$27,IF(AA$77+$F138&lt;=24,2,3),FALSE)),$C$3)*(1+IF('IP Attrition'!AA195&gt;0,'Attrition Modeling'!$N$9,0)))</f>
        <v>0</v>
      </c>
      <c r="AB138" s="813">
        <f>AA138*(1-IFERROR(IF(AB$77+$F138&lt;=12,SUMIFS('Attrition Modeling'!$D:$D,'Attrition Modeling'!$C:$C,$D138,'Attrition Modeling'!$B:$B,AB$76),VLOOKUP($F138+AB$77,$A$7:$C$107,2,FALSE)*VLOOKUP(AB$76,'Attrition Modeling'!$L$15:$N$27,IF(AB$77+$F138&lt;=24,2,3),FALSE)),$C$3)*(1+IF('IP Attrition'!AB195&gt;0,'Attrition Modeling'!$N$9,0)))</f>
        <v>0</v>
      </c>
      <c r="AC138" s="813">
        <f>AB138*(1-IFERROR(IF(AC$77+$F138&lt;=12,SUMIFS('Attrition Modeling'!$D:$D,'Attrition Modeling'!$C:$C,$D138,'Attrition Modeling'!$B:$B,AC$76),VLOOKUP($F138+AC$77,$A$7:$C$107,2,FALSE)*VLOOKUP(AC$76,'Attrition Modeling'!$L$15:$N$27,IF(AC$77+$F138&lt;=24,2,3),FALSE)),$C$3)*(1+IF('IP Attrition'!AC195&gt;0,'Attrition Modeling'!$N$9,0)))</f>
        <v>0</v>
      </c>
      <c r="AD138" s="813">
        <f>AC138*(1-IFERROR(IF(AD$77+$F138&lt;=12,SUMIFS('Attrition Modeling'!$D:$D,'Attrition Modeling'!$C:$C,$D138,'Attrition Modeling'!$B:$B,AD$76),VLOOKUP($F138+AD$77,$A$7:$C$107,2,FALSE)*VLOOKUP(AD$76,'Attrition Modeling'!$L$15:$N$27,IF(AD$77+$F138&lt;=24,2,3),FALSE)),$C$3)*(1+IF('IP Attrition'!AD195&gt;0,'Attrition Modeling'!$N$9,0)))</f>
        <v>0</v>
      </c>
      <c r="AE138" s="813">
        <f>AD138*(1-IFERROR(IF(AE$77+$F138&lt;=12,SUMIFS('Attrition Modeling'!$D:$D,'Attrition Modeling'!$C:$C,$D138,'Attrition Modeling'!$B:$B,AE$76),VLOOKUP($F138+AE$77,$A$7:$C$107,2,FALSE)*VLOOKUP(AE$76,'Attrition Modeling'!$L$15:$N$27,IF(AE$77+$F138&lt;=24,2,3),FALSE)),$C$3)*(1+IF('IP Attrition'!AE195&gt;0,'Attrition Modeling'!$N$9,0)))</f>
        <v>0</v>
      </c>
      <c r="AF138" s="813">
        <f>AE138*(1-IFERROR(IF(AF$77+$F138&lt;=12,SUMIFS('Attrition Modeling'!$D:$D,'Attrition Modeling'!$C:$C,$D138,'Attrition Modeling'!$B:$B,AF$76),VLOOKUP($F138+AF$77,$A$7:$C$107,2,FALSE)*VLOOKUP(AF$76,'Attrition Modeling'!$L$15:$N$27,IF(AF$77+$F138&lt;=24,2,3),FALSE)),$C$3)*(1+IF('IP Attrition'!AF195&gt;0,'Attrition Modeling'!$N$9,0)))</f>
        <v>0</v>
      </c>
      <c r="AG138" s="813">
        <f>AF138*(1-IFERROR(IF(AG$77+$F138&lt;=12,SUMIFS('Attrition Modeling'!$D:$D,'Attrition Modeling'!$C:$C,$D138,'Attrition Modeling'!$B:$B,AG$76),VLOOKUP($F138+AG$77,$A$7:$C$107,2,FALSE)*VLOOKUP(AG$76,'Attrition Modeling'!$L$15:$N$27,IF(AG$77+$F138&lt;=24,2,3),FALSE)),$C$3)*(1+IF('IP Attrition'!AG195&gt;0,'Attrition Modeling'!$N$9,0)))</f>
        <v>0</v>
      </c>
      <c r="AH138" s="813">
        <f>AG138*(1-IFERROR(IF(AH$77+$F138&lt;=12,SUMIFS('Attrition Modeling'!$D:$D,'Attrition Modeling'!$C:$C,$D138,'Attrition Modeling'!$B:$B,AH$76),VLOOKUP($F138+AH$77,$A$7:$C$107,2,FALSE)*VLOOKUP(AH$76,'Attrition Modeling'!$L$15:$N$27,IF(AH$77+$F138&lt;=24,2,3),FALSE)),$C$3)*(1+IF('IP Attrition'!AH195&gt;0,'Attrition Modeling'!$N$9,0)))</f>
        <v>0</v>
      </c>
      <c r="AI138" s="813">
        <f>AH138*(1-IFERROR(IF(AI$77+$F138&lt;=12,SUMIFS('Attrition Modeling'!$D:$D,'Attrition Modeling'!$C:$C,$D138,'Attrition Modeling'!$B:$B,AI$76),VLOOKUP($F138+AI$77,$A$7:$C$107,2,FALSE)*VLOOKUP(AI$76,'Attrition Modeling'!$L$15:$N$27,IF(AI$77+$F138&lt;=24,2,3),FALSE)),$C$3)*(1+IF('IP Attrition'!AI195&gt;0,'Attrition Modeling'!$N$9,0)))</f>
        <v>0</v>
      </c>
      <c r="AJ138" s="813">
        <f>AI138*(1-IFERROR(IF(AJ$77+$F138&lt;=12,SUMIFS('Attrition Modeling'!$D:$D,'Attrition Modeling'!$C:$C,$D138,'Attrition Modeling'!$B:$B,AJ$76),VLOOKUP($F138+AJ$77,$A$7:$C$107,2,FALSE)*VLOOKUP(AJ$76,'Attrition Modeling'!$L$15:$N$27,IF(AJ$77+$F138&lt;=24,2,3),FALSE)),$C$3)*(1+IF('IP Attrition'!AJ195&gt;0,'Attrition Modeling'!$N$9,0)))</f>
        <v>0</v>
      </c>
      <c r="AK138" s="813">
        <f>AJ138*(1-IFERROR(IF(AK$77+$F138&lt;=12,SUMIFS('Attrition Modeling'!$D:$D,'Attrition Modeling'!$C:$C,$D138,'Attrition Modeling'!$B:$B,AK$76),VLOOKUP($F138+AK$77,$A$7:$C$107,2,FALSE)*VLOOKUP(AK$76,'Attrition Modeling'!$L$15:$N$27,IF(AK$77+$F138&lt;=24,2,3),FALSE)),$C$3)*(1+IF('IP Attrition'!AK195&gt;0,'Attrition Modeling'!$N$9,0)))</f>
        <v>0</v>
      </c>
      <c r="AL138" s="813">
        <f>AK138*(1-IFERROR(IF(AL$77+$F138&lt;=12,SUMIFS('Attrition Modeling'!$D:$D,'Attrition Modeling'!$C:$C,$D138,'Attrition Modeling'!$B:$B,AL$76),VLOOKUP($F138+AL$77,$A$7:$C$107,2,FALSE)*VLOOKUP(AL$76,'Attrition Modeling'!$L$15:$N$27,IF(AL$77+$F138&lt;=24,2,3),FALSE)),$C$3)*(1+IF('IP Attrition'!AL195&gt;0,'Attrition Modeling'!$N$9,0)))</f>
        <v>0</v>
      </c>
      <c r="AM138" s="813">
        <f>AL138*(1-IFERROR(IF(AM$77+$F138&lt;=12,SUMIFS('Attrition Modeling'!$D:$D,'Attrition Modeling'!$C:$C,$D138,'Attrition Modeling'!$B:$B,AM$76),VLOOKUP($F138+AM$77,$A$7:$C$107,2,FALSE)*VLOOKUP(AM$76,'Attrition Modeling'!$L$15:$N$27,IF(AM$77+$F138&lt;=24,2,3),FALSE)),$C$3)*(1+IF('IP Attrition'!AM195&gt;0,'Attrition Modeling'!$N$9,0)))</f>
        <v>0</v>
      </c>
      <c r="AN138" s="813">
        <f>AM138*(1-IFERROR(IF(AN$77+$F138&lt;=12,SUMIFS('Attrition Modeling'!$D:$D,'Attrition Modeling'!$C:$C,$D138,'Attrition Modeling'!$B:$B,AN$76),VLOOKUP($F138+AN$77,$A$7:$C$107,2,FALSE)*VLOOKUP(AN$76,'Attrition Modeling'!$L$15:$N$27,IF(AN$77+$F138&lt;=24,2,3),FALSE)),$C$3)*(1+IF('IP Attrition'!AN195&gt;0,'Attrition Modeling'!$N$9,0)))</f>
        <v>0</v>
      </c>
      <c r="AO138" s="813">
        <f>AN138*(1-IFERROR(IF(AO$77+$F138&lt;=12,SUMIFS('Attrition Modeling'!$D:$D,'Attrition Modeling'!$C:$C,$D138,'Attrition Modeling'!$B:$B,AO$76),VLOOKUP($F138+AO$77,$A$7:$C$107,2,FALSE)*VLOOKUP(AO$76,'Attrition Modeling'!$L$15:$N$27,IF(AO$77+$F138&lt;=24,2,3),FALSE)),$C$3)*(1+IF('IP Attrition'!AO195&gt;0,'Attrition Modeling'!$N$9,0)))</f>
        <v>0</v>
      </c>
      <c r="AP138" s="813">
        <f>AO138*(1-IFERROR(IF(AP$77+$F138&lt;=12,SUMIFS('Attrition Modeling'!$D:$D,'Attrition Modeling'!$C:$C,$D138,'Attrition Modeling'!$B:$B,AP$76),VLOOKUP($F138+AP$77,$A$7:$C$107,2,FALSE)*VLOOKUP(AP$76,'Attrition Modeling'!$L$15:$N$27,IF(AP$77+$F138&lt;=24,2,3),FALSE)),$C$3)*(1+IF('IP Attrition'!AP195&gt;0,'Attrition Modeling'!$N$9,0)))</f>
        <v>0</v>
      </c>
      <c r="AQ138" s="813">
        <f>AP138*(1-IFERROR(IF(AQ$77+$F138&lt;=12,SUMIFS('Attrition Modeling'!$D:$D,'Attrition Modeling'!$C:$C,$D138,'Attrition Modeling'!$B:$B,AQ$76),VLOOKUP($F138+AQ$77,$A$7:$C$107,2,FALSE)*VLOOKUP(AQ$76,'Attrition Modeling'!$L$15:$N$27,IF(AQ$77+$F138&lt;=24,2,3),FALSE)),$C$3)*(1+IF('IP Attrition'!AQ195&gt;0,'Attrition Modeling'!$N$9,0)))</f>
        <v>0</v>
      </c>
      <c r="AR138" s="813">
        <f>AQ138*(1-IFERROR(IF(AR$77+$F138&lt;=12,SUMIFS('Attrition Modeling'!$D:$D,'Attrition Modeling'!$C:$C,$D138,'Attrition Modeling'!$B:$B,AR$76),VLOOKUP($F138+AR$77,$A$7:$C$107,2,FALSE)*VLOOKUP(AR$76,'Attrition Modeling'!$L$15:$N$27,IF(AR$77+$F138&lt;=24,2,3),FALSE)),$C$3)*(1+IF('IP Attrition'!AR195&gt;0,'Attrition Modeling'!$N$9,0)))</f>
        <v>0</v>
      </c>
      <c r="AS138" s="813">
        <f>AR138*(1-IFERROR(IF(AS$77+$F138&lt;=12,SUMIFS('Attrition Modeling'!$D:$D,'Attrition Modeling'!$C:$C,$D138,'Attrition Modeling'!$B:$B,AS$76),VLOOKUP($F138+AS$77,$A$7:$C$107,2,FALSE)*VLOOKUP(AS$76,'Attrition Modeling'!$L$15:$N$27,IF(AS$77+$F138&lt;=24,2,3),FALSE)),$C$3)*(1+IF('IP Attrition'!AS195&gt;0,'Attrition Modeling'!$N$9,0)))</f>
        <v>0</v>
      </c>
      <c r="AT138" s="813">
        <f>AS138*(1-IFERROR(IF(AT$77+$F138&lt;=12,SUMIFS('Attrition Modeling'!$D:$D,'Attrition Modeling'!$C:$C,$D138,'Attrition Modeling'!$B:$B,AT$76),VLOOKUP($F138+AT$77,$A$7:$C$107,2,FALSE)*VLOOKUP(AT$76,'Attrition Modeling'!$L$15:$N$27,IF(AT$77+$F138&lt;=24,2,3),FALSE)),$C$3)*(1+IF('IP Attrition'!AT195&gt;0,'Attrition Modeling'!$N$9,0)))</f>
        <v>0</v>
      </c>
      <c r="AU138" s="813">
        <f>AT138*(1-IFERROR(IF(AU$77+$F138&lt;=12,SUMIFS('Attrition Modeling'!$D:$D,'Attrition Modeling'!$C:$C,$D138,'Attrition Modeling'!$B:$B,AU$76),VLOOKUP($F138+AU$77,$A$7:$C$107,2,FALSE)*VLOOKUP(AU$76,'Attrition Modeling'!$L$15:$N$27,IF(AU$77+$F138&lt;=24,2,3),FALSE)),$C$3)*(1+IF('IP Attrition'!AU195&gt;0,'Attrition Modeling'!$N$9,0)))</f>
        <v>0</v>
      </c>
      <c r="AV138" s="813">
        <f>AU138*(1-IFERROR(IF(AV$77+$F138&lt;=12,SUMIFS('Attrition Modeling'!$D:$D,'Attrition Modeling'!$C:$C,$D138,'Attrition Modeling'!$B:$B,AV$76),VLOOKUP($F138+AV$77,$A$7:$C$107,2,FALSE)*VLOOKUP(AV$76,'Attrition Modeling'!$L$15:$N$27,IF(AV$77+$F138&lt;=24,2,3),FALSE)),$C$3)*(1+IF('IP Attrition'!AV195&gt;0,'Attrition Modeling'!$N$9,0)))</f>
        <v>0</v>
      </c>
      <c r="AW138" s="813">
        <f>AV138*(1-IFERROR(IF(AW$77+$F138&lt;=12,SUMIFS('Attrition Modeling'!$D:$D,'Attrition Modeling'!$C:$C,$D138,'Attrition Modeling'!$B:$B,AW$76),VLOOKUP($F138+AW$77,$A$7:$C$107,2,FALSE)*VLOOKUP(AW$76,'Attrition Modeling'!$L$15:$N$27,IF(AW$77+$F138&lt;=24,2,3),FALSE)),$C$3)*(1+IF('IP Attrition'!AW195&gt;0,'Attrition Modeling'!$N$9,0)))</f>
        <v>0</v>
      </c>
      <c r="AX138" s="813">
        <f>AW138*(1-IFERROR(IF(AX$77+$F138&lt;=12,SUMIFS('Attrition Modeling'!$D:$D,'Attrition Modeling'!$C:$C,$D138,'Attrition Modeling'!$B:$B,AX$76),VLOOKUP($F138+AX$77,$A$7:$C$107,2,FALSE)*VLOOKUP(AX$76,'Attrition Modeling'!$L$15:$N$27,IF(AX$77+$F138&lt;=24,2,3),FALSE)),$C$3)*(1+IF('IP Attrition'!AX195&gt;0,'Attrition Modeling'!$N$9,0)))</f>
        <v>0</v>
      </c>
      <c r="AY138" s="813">
        <f>AX138*(1-IFERROR(IF(AY$77+$F138&lt;=12,SUMIFS('Attrition Modeling'!$D:$D,'Attrition Modeling'!$C:$C,$D138,'Attrition Modeling'!$B:$B,AY$76),VLOOKUP($F138+AY$77,$A$7:$C$107,2,FALSE)*VLOOKUP(AY$76,'Attrition Modeling'!$L$15:$N$27,IF(AY$77+$F138&lt;=24,2,3),FALSE)),$C$3)*(1+IF('IP Attrition'!AY195&gt;0,'Attrition Modeling'!$N$9,0)))</f>
        <v>0</v>
      </c>
      <c r="AZ138" s="813">
        <f>AY138*(1-IFERROR(IF(AZ$77+$F138&lt;=12,SUMIFS('Attrition Modeling'!$D:$D,'Attrition Modeling'!$C:$C,$D138,'Attrition Modeling'!$B:$B,AZ$76),VLOOKUP($F138+AZ$77,$A$7:$C$107,2,FALSE)*VLOOKUP(AZ$76,'Attrition Modeling'!$L$15:$N$27,IF(AZ$77+$F138&lt;=24,2,3),FALSE)),$C$3)*(1+IF('IP Attrition'!AZ195&gt;0,'Attrition Modeling'!$N$9,0)))</f>
        <v>0</v>
      </c>
      <c r="BA138" s="813">
        <f>AZ138*(1-IFERROR(IF(BA$77+$F138&lt;=12,SUMIFS('Attrition Modeling'!$D:$D,'Attrition Modeling'!$C:$C,$D138,'Attrition Modeling'!$B:$B,BA$76),VLOOKUP($F138+BA$77,$A$7:$C$107,2,FALSE)*VLOOKUP(BA$76,'Attrition Modeling'!$L$15:$N$27,IF(BA$77+$F138&lt;=24,2,3),FALSE)),$C$3)*(1+IF('IP Attrition'!BA195&gt;0,'Attrition Modeling'!$N$9,0)))</f>
        <v>0</v>
      </c>
      <c r="BB138" s="813">
        <f>BA138*(1-IFERROR(IF(BB$77+$F138&lt;=12,SUMIFS('Attrition Modeling'!$D:$D,'Attrition Modeling'!$C:$C,$D138,'Attrition Modeling'!$B:$B,BB$76),VLOOKUP($F138+BB$77,$A$7:$C$107,2,FALSE)*VLOOKUP(BB$76,'Attrition Modeling'!$L$15:$N$27,IF(BB$77+$F138&lt;=24,2,3),FALSE)),$C$3)*(1+IF('IP Attrition'!BB195&gt;0,'Attrition Modeling'!$N$9,0)))</f>
        <v>0</v>
      </c>
      <c r="BC138" s="813">
        <f>BB138*(1-IFERROR(IF(BC$77+$F138&lt;=12,SUMIFS('Attrition Modeling'!$D:$D,'Attrition Modeling'!$C:$C,$D138,'Attrition Modeling'!$B:$B,BC$76),VLOOKUP($F138+BC$77,$A$7:$C$107,2,FALSE)*VLOOKUP(BC$76,'Attrition Modeling'!$L$15:$N$27,IF(BC$77+$F138&lt;=24,2,3),FALSE)),$C$3)*(1+IF('IP Attrition'!BC195&gt;0,'Attrition Modeling'!$N$9,0)))</f>
        <v>0</v>
      </c>
      <c r="BD138" s="813">
        <f>BC138*(1-IFERROR(IF(BD$77+$F138&lt;=12,SUMIFS('Attrition Modeling'!$D:$D,'Attrition Modeling'!$C:$C,$D138,'Attrition Modeling'!$B:$B,BD$76),VLOOKUP($F138+BD$77,$A$7:$C$107,2,FALSE)*VLOOKUP(BD$76,'Attrition Modeling'!$L$15:$N$27,IF(BD$77+$F138&lt;=24,2,3),FALSE)),$C$3)*(1+IF('IP Attrition'!BD195&gt;0,'Attrition Modeling'!$N$9,0)))</f>
        <v>0</v>
      </c>
      <c r="BE138" s="813">
        <f>BD138*(1-IFERROR(IF(BE$77+$F138&lt;=12,SUMIFS('Attrition Modeling'!$D:$D,'Attrition Modeling'!$C:$C,$D138,'Attrition Modeling'!$B:$B,BE$76),VLOOKUP($F138+BE$77,$A$7:$C$107,2,FALSE)*VLOOKUP(BE$76,'Attrition Modeling'!$L$15:$N$27,IF(BE$77+$F138&lt;=24,2,3),FALSE)),$C$3)*(1+IF('IP Attrition'!BE195&gt;0,'Attrition Modeling'!$N$9,0)))</f>
        <v>0</v>
      </c>
      <c r="BF138" s="813">
        <f>BE138*(1-IFERROR(IF(BF$77+$F138&lt;=12,SUMIFS('Attrition Modeling'!$D:$D,'Attrition Modeling'!$C:$C,$D138,'Attrition Modeling'!$B:$B,BF$76),VLOOKUP($F138+BF$77,$A$7:$C$107,2,FALSE)*VLOOKUP(BF$76,'Attrition Modeling'!$L$15:$N$27,IF(BF$77+$F138&lt;=24,2,3),FALSE)),$C$3)*(1+IF('IP Attrition'!BF195&gt;0,'Attrition Modeling'!$N$9,0)))</f>
        <v>0</v>
      </c>
      <c r="BG138" s="813">
        <f>BF138*(1-IFERROR(IF(BG$77+$F138&lt;=12,SUMIFS('Attrition Modeling'!$D:$D,'Attrition Modeling'!$C:$C,$D138,'Attrition Modeling'!$B:$B,BG$76),VLOOKUP($F138+BG$77,$A$7:$C$107,2,FALSE)*VLOOKUP(BG$76,'Attrition Modeling'!$L$15:$N$27,IF(BG$77+$F138&lt;=24,2,3),FALSE)),$C$3)*(1+IF('IP Attrition'!BG195&gt;0,'Attrition Modeling'!$N$9,0)))</f>
        <v>0</v>
      </c>
      <c r="BH138" s="813">
        <f>BG138*(1-IFERROR(IF(BH$77+$F138&lt;=12,SUMIFS('Attrition Modeling'!$D:$D,'Attrition Modeling'!$C:$C,$D138,'Attrition Modeling'!$B:$B,BH$76),VLOOKUP($F138+BH$77,$A$7:$C$107,2,FALSE)*VLOOKUP(BH$76,'Attrition Modeling'!$L$15:$N$27,IF(BH$77+$F138&lt;=24,2,3),FALSE)),$C$3)*(1+IF('IP Attrition'!BH195&gt;0,'Attrition Modeling'!$N$9,0)))</f>
        <v>0</v>
      </c>
      <c r="BI138" s="813">
        <f>BH138*(1-IFERROR(IF(BI$77+$F138&lt;=12,SUMIFS('Attrition Modeling'!$D:$D,'Attrition Modeling'!$C:$C,$D138,'Attrition Modeling'!$B:$B,BI$76),VLOOKUP($F138+BI$77,$A$7:$C$107,2,FALSE)*VLOOKUP(BI$76,'Attrition Modeling'!$L$15:$N$27,IF(BI$77+$F138&lt;=24,2,3),FALSE)),$C$3)*(1+IF('IP Attrition'!BI195&gt;0,'Attrition Modeling'!$N$9,0)))</f>
        <v>0</v>
      </c>
      <c r="BJ138" s="813">
        <f>BI138*(1-IFERROR(IF(BJ$77+$F138&lt;=12,SUMIFS('Attrition Modeling'!$D:$D,'Attrition Modeling'!$C:$C,$D138,'Attrition Modeling'!$B:$B,BJ$76),VLOOKUP($F138+BJ$77,$A$7:$C$107,2,FALSE)*VLOOKUP(BJ$76,'Attrition Modeling'!$L$15:$N$27,IF(BJ$77+$F138&lt;=24,2,3),FALSE)),$C$3)*(1+IF('IP Attrition'!BJ195&gt;0,'Attrition Modeling'!$N$9,0)))</f>
        <v>0</v>
      </c>
      <c r="BK138" s="813">
        <f>BJ138*(1-IFERROR(IF(BK$77+$F138&lt;=12,SUMIFS('Attrition Modeling'!$D:$D,'Attrition Modeling'!$C:$C,$D138,'Attrition Modeling'!$B:$B,BK$76),VLOOKUP($F138+BK$77,$A$7:$C$107,2,FALSE)*VLOOKUP(BK$76,'Attrition Modeling'!$L$15:$N$27,IF(BK$77+$F138&lt;=24,2,3),FALSE)),$C$3)*(1+IF('IP Attrition'!BK195&gt;0,'Attrition Modeling'!$N$9,0)))</f>
        <v>0</v>
      </c>
      <c r="BL138" s="813">
        <f>BK138*(1-IFERROR(IF(BL$77+$F138&lt;=12,SUMIFS('Attrition Modeling'!$D:$D,'Attrition Modeling'!$C:$C,$D138,'Attrition Modeling'!$B:$B,BL$76),VLOOKUP($F138+BL$77,$A$7:$C$107,2,FALSE)*VLOOKUP(BL$76,'Attrition Modeling'!$L$15:$N$27,IF(BL$77+$F138&lt;=24,2,3),FALSE)),$C$3)*(1+IF('IP Attrition'!BL195&gt;0,'Attrition Modeling'!$N$9,0)))</f>
        <v>0</v>
      </c>
      <c r="BM138" s="813">
        <f>BL138*(1-IFERROR(IF(BM$77+$F138&lt;=12,SUMIFS('Attrition Modeling'!$D:$D,'Attrition Modeling'!$C:$C,$D138,'Attrition Modeling'!$B:$B,BM$76),VLOOKUP($F138+BM$77,$A$7:$C$107,2,FALSE)*VLOOKUP(BM$76,'Attrition Modeling'!$L$15:$N$27,IF(BM$77+$F138&lt;=24,2,3),FALSE)),$C$3)*(1+IF('IP Attrition'!BM195&gt;0,'Attrition Modeling'!$N$9,0)))</f>
        <v>0</v>
      </c>
      <c r="BN138" s="813">
        <f>BM138*(1-IFERROR(IF(BN$77+$F138&lt;=12,SUMIFS('Attrition Modeling'!$D:$D,'Attrition Modeling'!$C:$C,$D138,'Attrition Modeling'!$B:$B,BN$76),VLOOKUP($F138+BN$77,$A$7:$C$107,2,FALSE)*VLOOKUP(BN$76,'Attrition Modeling'!$L$15:$N$27,IF(BN$77+$F138&lt;=24,2,3),FALSE)),$C$3)*(1+IF('IP Attrition'!BN195&gt;0,'Attrition Modeling'!$N$9,0)))</f>
        <v>0</v>
      </c>
      <c r="BO138" s="813">
        <f>BN138*(1-IFERROR(IF(BO$77+$F138&lt;=12,SUMIFS('Attrition Modeling'!$D:$D,'Attrition Modeling'!$C:$C,$D138,'Attrition Modeling'!$B:$B,BO$76),VLOOKUP($F138+BO$77,$A$7:$C$107,2,FALSE)*VLOOKUP(BO$76,'Attrition Modeling'!$L$15:$N$27,IF(BO$77+$F138&lt;=24,2,3),FALSE)),$C$3)*(1+IF('IP Attrition'!BO195&gt;0,'Attrition Modeling'!$N$9,0)))</f>
        <v>0</v>
      </c>
      <c r="BP138" s="813">
        <f>BO138*(1-IFERROR(IF(BP$77+$F138&lt;=12,SUMIFS('Attrition Modeling'!$D:$D,'Attrition Modeling'!$C:$C,$D138,'Attrition Modeling'!$B:$B,BP$76),VLOOKUP($F138+BP$77,$A$7:$C$107,2,FALSE)*VLOOKUP(BP$76,'Attrition Modeling'!$L$15:$N$27,IF(BP$77+$F138&lt;=24,2,3),FALSE)),$C$3)*(1+IF('IP Attrition'!BP195&gt;0,'Attrition Modeling'!$N$9,0)))</f>
        <v>0</v>
      </c>
      <c r="BQ138" s="813">
        <f>BP138*(1-IFERROR(IF(BQ$77+$F138&lt;=12,SUMIFS('Attrition Modeling'!$D:$D,'Attrition Modeling'!$C:$C,$D138,'Attrition Modeling'!$B:$B,BQ$76),VLOOKUP($F138+BQ$77,$A$7:$C$107,2,FALSE)*VLOOKUP(BQ$76,'Attrition Modeling'!$L$15:$N$27,IF(BQ$77+$F138&lt;=24,2,3),FALSE)),$C$3)*(1+IF('IP Attrition'!BQ195&gt;0,'Attrition Modeling'!$N$9,0)))</f>
        <v>0</v>
      </c>
      <c r="BR138" s="813">
        <f>BQ138*(1-IFERROR(IF(BR$77+$F138&lt;=12,SUMIFS('Attrition Modeling'!$D:$D,'Attrition Modeling'!$C:$C,$D138,'Attrition Modeling'!$B:$B,BR$76),VLOOKUP($F138+BR$77,$A$7:$C$107,2,FALSE)*VLOOKUP(BR$76,'Attrition Modeling'!$L$15:$N$27,IF(BR$77+$F138&lt;=24,2,3),FALSE)),$C$3)*(1+IF('IP Attrition'!BR195&gt;0,'Attrition Modeling'!$N$9,0)))</f>
        <v>0</v>
      </c>
      <c r="BS138" s="813">
        <f>BR138*(1-IFERROR(IF(BS$77+$F138&lt;=12,SUMIFS('Attrition Modeling'!$D:$D,'Attrition Modeling'!$C:$C,$D138,'Attrition Modeling'!$B:$B,BS$76),VLOOKUP($F138+BS$77,$A$7:$C$107,2,FALSE)*VLOOKUP(BS$76,'Attrition Modeling'!$L$15:$N$27,IF(BS$77+$F138&lt;=24,2,3),FALSE)),$C$3)*(1+IF('IP Attrition'!BS195&gt;0,'Attrition Modeling'!$N$9,0)))</f>
        <v>0</v>
      </c>
      <c r="BT138" s="813" t="e">
        <f>BS138*(1-IFERROR(IF(BT$77+$F138&lt;=12,SUMIFS('Attrition Modeling'!$D:$D,'Attrition Modeling'!$C:$C,$D138,'Attrition Modeling'!$B:$B,BT$76),VLOOKUP($F138+BT$77,$A$7:$C$107,2,FALSE)*VLOOKUP(BT$76,'Attrition Modeling'!$L$15:$N$27,IF(BT$77+$F138&lt;=24,2,3),FALSE)),$C$3)*(1+IF('IP Attrition'!BT195&gt;0,'Attrition Modeling'!$N$9,0)))</f>
        <v>#REF!</v>
      </c>
      <c r="BU138" s="813" t="e">
        <f>BT138*(1-IFERROR(IF(BU$77+$F138&lt;=12,SUMIFS('Attrition Modeling'!$D:$D,'Attrition Modeling'!$C:$C,$D138,'Attrition Modeling'!$B:$B,BU$76),VLOOKUP($F138+BU$77,$A$7:$C$107,2,FALSE)*VLOOKUP(BU$76,'Attrition Modeling'!$L$15:$N$27,IF(BU$77+$F138&lt;=24,2,3),FALSE)),$C$3)*(1+IF('IP Attrition'!BU195&gt;0,'Attrition Modeling'!$N$9,0)))</f>
        <v>#REF!</v>
      </c>
    </row>
    <row r="139" spans="1:73" ht="14.25" customHeight="1" x14ac:dyDescent="0.2">
      <c r="A139" s="9">
        <v>131</v>
      </c>
      <c r="B139" s="25">
        <f>MAX('Attrition Modeling'!H135,$C$3)*(1-Summary!$C$20)</f>
        <v>0.02</v>
      </c>
      <c r="C139" s="24" t="e">
        <f t="shared" si="2"/>
        <v>#DIV/0!</v>
      </c>
      <c r="E139" s="25"/>
      <c r="F139" s="802" t="s">
        <v>699</v>
      </c>
      <c r="G139" s="803"/>
      <c r="H139" s="804">
        <f>SUM(RentalsVacates!H78:H138)-SUM(RentalsVacates!G78:G138)</f>
        <v>0</v>
      </c>
      <c r="I139" s="804">
        <f>SUM(RentalsVacates!I78:I138)-SUM(RentalsVacates!H78:H138)</f>
        <v>0</v>
      </c>
      <c r="J139" s="804">
        <f>SUM(RentalsVacates!J78:J138)-SUM(RentalsVacates!I78:I138)</f>
        <v>0</v>
      </c>
      <c r="K139" s="804">
        <f>SUM(RentalsVacates!K78:K138)-SUM(RentalsVacates!J78:J138)</f>
        <v>0</v>
      </c>
      <c r="L139" s="804">
        <f>SUM(RentalsVacates!L78:L138)-SUM(RentalsVacates!K78:K138)</f>
        <v>0</v>
      </c>
      <c r="M139" s="804">
        <f>SUM(RentalsVacates!M78:M138)-SUM(RentalsVacates!L78:L138)</f>
        <v>0</v>
      </c>
      <c r="N139" s="804">
        <f>SUM(RentalsVacates!N78:N138)-SUM(RentalsVacates!M78:M138)</f>
        <v>0</v>
      </c>
      <c r="O139" s="804">
        <f>SUM(RentalsVacates!O78:O138)-SUM(RentalsVacates!N78:N138)</f>
        <v>0</v>
      </c>
      <c r="P139" s="804">
        <f>SUM(RentalsVacates!P78:P138)-SUM(RentalsVacates!O78:O138)</f>
        <v>0</v>
      </c>
      <c r="Q139" s="804">
        <f>SUM(RentalsVacates!Q78:Q138)-SUM(RentalsVacates!P78:P138)</f>
        <v>0</v>
      </c>
      <c r="R139" s="804">
        <f>SUM(RentalsVacates!R78:R138)-SUM(RentalsVacates!Q78:Q138)</f>
        <v>0</v>
      </c>
      <c r="S139" s="804">
        <f>SUM(RentalsVacates!S78:S138)-SUM(RentalsVacates!R78:R138)</f>
        <v>0</v>
      </c>
      <c r="T139" s="804">
        <f>SUM(RentalsVacates!T78:T138)-SUM(RentalsVacates!S78:S138)</f>
        <v>0</v>
      </c>
      <c r="U139" s="804">
        <f>SUM(RentalsVacates!U78:U138)-SUM(RentalsVacates!T78:T138)</f>
        <v>0</v>
      </c>
      <c r="V139" s="804">
        <f>SUM(RentalsVacates!V78:V138)-SUM(RentalsVacates!U78:U138)</f>
        <v>0</v>
      </c>
      <c r="W139" s="804">
        <f>SUM(RentalsVacates!W78:W138)-SUM(RentalsVacates!V78:V138)</f>
        <v>0</v>
      </c>
      <c r="X139" s="804">
        <f>SUM(RentalsVacates!X78:X138)-SUM(RentalsVacates!W78:W138)</f>
        <v>0</v>
      </c>
      <c r="Y139" s="804">
        <f>SUM(RentalsVacates!Y78:Y138)-SUM(RentalsVacates!X78:X138)</f>
        <v>0</v>
      </c>
      <c r="Z139" s="804">
        <f>SUM(RentalsVacates!Z78:Z138)-SUM(RentalsVacates!Y78:Y138)</f>
        <v>0</v>
      </c>
      <c r="AA139" s="804">
        <f>SUM(RentalsVacates!AA78:AA138)-SUM(RentalsVacates!Z78:Z138)</f>
        <v>0</v>
      </c>
      <c r="AB139" s="804">
        <f>SUM(RentalsVacates!AB78:AB138)-SUM(RentalsVacates!AA78:AA138)</f>
        <v>0</v>
      </c>
      <c r="AC139" s="804">
        <f>SUM(RentalsVacates!AC78:AC138)-SUM(RentalsVacates!AB78:AB138)</f>
        <v>0</v>
      </c>
      <c r="AD139" s="804">
        <f>SUM(RentalsVacates!AD78:AD138)-SUM(RentalsVacates!AC78:AC138)</f>
        <v>0</v>
      </c>
      <c r="AE139" s="804">
        <f>SUM(RentalsVacates!AE78:AE138)-SUM(RentalsVacates!AD78:AD138)</f>
        <v>0</v>
      </c>
      <c r="AF139" s="804">
        <f>SUM(RentalsVacates!AF78:AF138)-SUM(RentalsVacates!AE78:AE138)</f>
        <v>0</v>
      </c>
      <c r="AG139" s="804">
        <f>SUM(RentalsVacates!AG78:AG138)-SUM(RentalsVacates!AF78:AF138)</f>
        <v>0</v>
      </c>
      <c r="AH139" s="804">
        <f>SUM(RentalsVacates!AH78:AH138)-SUM(RentalsVacates!AG78:AG138)</f>
        <v>0</v>
      </c>
      <c r="AI139" s="804">
        <f>SUM(RentalsVacates!AI78:AI138)-SUM(RentalsVacates!AH78:AH138)</f>
        <v>0</v>
      </c>
      <c r="AJ139" s="804">
        <f>SUM(RentalsVacates!AJ78:AJ138)-SUM(RentalsVacates!AI78:AI138)</f>
        <v>0</v>
      </c>
      <c r="AK139" s="804">
        <f>SUM(RentalsVacates!AK78:AK138)-SUM(RentalsVacates!AJ78:AJ138)</f>
        <v>0</v>
      </c>
      <c r="AL139" s="804">
        <f>SUM(RentalsVacates!AL78:AL138)-SUM(RentalsVacates!AK78:AK138)</f>
        <v>0</v>
      </c>
      <c r="AM139" s="804">
        <f>SUM(RentalsVacates!AM78:AM138)-SUM(RentalsVacates!AL78:AL138)</f>
        <v>0</v>
      </c>
      <c r="AN139" s="804">
        <f>SUM(RentalsVacates!AN78:AN138)-SUM(RentalsVacates!AM78:AM138)</f>
        <v>0</v>
      </c>
      <c r="AO139" s="804">
        <f>SUM(RentalsVacates!AO78:AO138)-SUM(RentalsVacates!AN78:AN138)</f>
        <v>0</v>
      </c>
      <c r="AP139" s="804">
        <f>SUM(RentalsVacates!AP78:AP138)-SUM(RentalsVacates!AO78:AO138)</f>
        <v>0</v>
      </c>
      <c r="AQ139" s="804">
        <f>SUM(RentalsVacates!AQ78:AQ138)-SUM(RentalsVacates!AP78:AP138)</f>
        <v>0</v>
      </c>
      <c r="AR139" s="804">
        <f>SUM(RentalsVacates!AR78:AR138)-SUM(RentalsVacates!AQ78:AQ138)</f>
        <v>0</v>
      </c>
      <c r="AS139" s="804">
        <f>SUM(RentalsVacates!AS78:AS138)-SUM(RentalsVacates!AR78:AR138)</f>
        <v>0</v>
      </c>
      <c r="AT139" s="804">
        <f>SUM(RentalsVacates!AT78:AT138)-SUM(RentalsVacates!AS78:AS138)</f>
        <v>0</v>
      </c>
      <c r="AU139" s="804">
        <f>SUM(RentalsVacates!AU78:AU138)-SUM(RentalsVacates!AT78:AT138)</f>
        <v>0</v>
      </c>
      <c r="AV139" s="804">
        <f>SUM(RentalsVacates!AV78:AV138)-SUM(RentalsVacates!AU78:AU138)</f>
        <v>0</v>
      </c>
      <c r="AW139" s="804">
        <f>SUM(RentalsVacates!AW78:AW138)-SUM(RentalsVacates!AV78:AV138)</f>
        <v>0</v>
      </c>
      <c r="AX139" s="804">
        <f>SUM(RentalsVacates!AX78:AX138)-SUM(RentalsVacates!AW78:AW138)</f>
        <v>0</v>
      </c>
      <c r="AY139" s="804">
        <f>SUM(RentalsVacates!AY78:AY138)-SUM(RentalsVacates!AX78:AX138)</f>
        <v>0</v>
      </c>
      <c r="AZ139" s="804">
        <f>SUM(RentalsVacates!AZ78:AZ138)-SUM(RentalsVacates!AY78:AY138)</f>
        <v>0</v>
      </c>
      <c r="BA139" s="804">
        <f>SUM(RentalsVacates!BA78:BA138)-SUM(RentalsVacates!AZ78:AZ138)</f>
        <v>0</v>
      </c>
      <c r="BB139" s="804">
        <f>SUM(RentalsVacates!BB78:BB138)-SUM(RentalsVacates!BA78:BA138)</f>
        <v>0</v>
      </c>
      <c r="BC139" s="804">
        <f>SUM(RentalsVacates!BC78:BC138)-SUM(RentalsVacates!BB78:BB138)</f>
        <v>0</v>
      </c>
      <c r="BD139" s="804">
        <f>SUM(RentalsVacates!BD78:BD138)-SUM(RentalsVacates!BC78:BC138)</f>
        <v>0</v>
      </c>
      <c r="BE139" s="804">
        <f>SUM(RentalsVacates!BE78:BE138)-SUM(RentalsVacates!BD78:BD138)</f>
        <v>0</v>
      </c>
      <c r="BF139" s="804">
        <f>SUM(RentalsVacates!BF78:BF138)-SUM(RentalsVacates!BE78:BE138)</f>
        <v>0</v>
      </c>
      <c r="BG139" s="804">
        <f>SUM(RentalsVacates!BG78:BG138)-SUM(RentalsVacates!BF78:BF138)</f>
        <v>0</v>
      </c>
      <c r="BH139" s="804">
        <f>SUM(RentalsVacates!BH78:BH138)-SUM(RentalsVacates!BG78:BG138)</f>
        <v>0</v>
      </c>
      <c r="BI139" s="804">
        <f>SUM(RentalsVacates!BI78:BI138)-SUM(RentalsVacates!BH78:BH138)</f>
        <v>0</v>
      </c>
      <c r="BJ139" s="804">
        <f>SUM(RentalsVacates!BJ78:BJ138)-SUM(RentalsVacates!BI78:BI138)</f>
        <v>0</v>
      </c>
      <c r="BK139" s="804">
        <f>SUM(RentalsVacates!BK78:BK138)-SUM(RentalsVacates!BJ78:BJ138)</f>
        <v>0</v>
      </c>
      <c r="BL139" s="804">
        <f>SUM(RentalsVacates!BL78:BL138)-SUM(RentalsVacates!BK78:BK138)</f>
        <v>0</v>
      </c>
      <c r="BM139" s="804">
        <f>SUM(RentalsVacates!BM78:BM138)-SUM(RentalsVacates!BL78:BL138)</f>
        <v>0</v>
      </c>
      <c r="BN139" s="804">
        <f>SUM(RentalsVacates!BN78:BN138)-SUM(RentalsVacates!BM78:BM138)</f>
        <v>0</v>
      </c>
      <c r="BO139" s="804">
        <f>SUM(RentalsVacates!BO78:BO138)-SUM(RentalsVacates!BN78:BN138)</f>
        <v>0</v>
      </c>
      <c r="BP139" s="804">
        <f>SUM(RentalsVacates!BP78:BP138)-SUM(RentalsVacates!BO78:BO138)</f>
        <v>0</v>
      </c>
      <c r="BQ139" s="804">
        <f>SUM(RentalsVacates!BQ78:BQ138)-SUM(RentalsVacates!BP78:BP138)</f>
        <v>0</v>
      </c>
      <c r="BR139" s="804">
        <f>SUM(RentalsVacates!BR78:BR138)-SUM(RentalsVacates!BQ78:BQ138)</f>
        <v>0</v>
      </c>
      <c r="BS139" s="804">
        <f>SUM(RentalsVacates!BS78:BS138)-SUM(RentalsVacates!BR78:BR138)</f>
        <v>0</v>
      </c>
      <c r="BT139" s="804" t="e">
        <f>SUM(RentalsVacates!BT78:BT138)-SUM(RentalsVacates!BS78:BS138)</f>
        <v>#REF!</v>
      </c>
      <c r="BU139" s="804" t="e">
        <f>SUM(RentalsVacates!BU78:BU138)-SUM(RentalsVacates!BT78:BT138)</f>
        <v>#REF!</v>
      </c>
    </row>
    <row r="140" spans="1:73" ht="14.25" customHeight="1" x14ac:dyDescent="0.2">
      <c r="A140" s="9">
        <v>132</v>
      </c>
      <c r="B140" s="25">
        <f>MAX('Attrition Modeling'!H136,$C$3)*(1-Summary!$C$20)</f>
        <v>0.02</v>
      </c>
      <c r="C140" s="24" t="e">
        <f t="shared" si="2"/>
        <v>#DIV/0!</v>
      </c>
      <c r="E140" s="25"/>
    </row>
    <row r="141" spans="1:73" ht="14.25" customHeight="1" x14ac:dyDescent="0.2">
      <c r="A141" s="9">
        <v>133</v>
      </c>
      <c r="B141" s="25">
        <f>MAX('Attrition Modeling'!H137,$C$3)*(1-Summary!$C$20)</f>
        <v>0.02</v>
      </c>
      <c r="C141" s="24" t="e">
        <f t="shared" si="2"/>
        <v>#DIV/0!</v>
      </c>
    </row>
    <row r="142" spans="1:73" ht="14.25" customHeight="1" x14ac:dyDescent="0.2">
      <c r="A142" s="9">
        <v>134</v>
      </c>
      <c r="B142" s="25">
        <f>MAX('Attrition Modeling'!H138,$C$3)*(1-Summary!$C$20)</f>
        <v>0.02</v>
      </c>
      <c r="C142" s="24" t="e">
        <f t="shared" si="2"/>
        <v>#DIV/0!</v>
      </c>
    </row>
    <row r="143" spans="1:73" ht="14.25" customHeight="1" x14ac:dyDescent="0.2">
      <c r="A143" s="9">
        <v>135</v>
      </c>
      <c r="B143" s="25">
        <f>MAX('Attrition Modeling'!H139,$C$3)*(1-Summary!$C$20)</f>
        <v>0.02</v>
      </c>
      <c r="C143" s="24" t="e">
        <f t="shared" si="2"/>
        <v>#DIV/0!</v>
      </c>
    </row>
    <row r="144" spans="1:73" ht="14.25" customHeight="1" x14ac:dyDescent="0.2">
      <c r="A144" s="9">
        <v>136</v>
      </c>
      <c r="B144" s="25">
        <f>MAX('Attrition Modeling'!H140,$C$3)*(1-Summary!$C$20)</f>
        <v>0.02</v>
      </c>
      <c r="C144" s="24" t="e">
        <f t="shared" si="2"/>
        <v>#DIV/0!</v>
      </c>
    </row>
    <row r="145" spans="1:3" ht="14.25" customHeight="1" x14ac:dyDescent="0.2">
      <c r="A145" s="9">
        <v>137</v>
      </c>
      <c r="B145" s="25">
        <f>MAX('Attrition Modeling'!H141,$C$3)*(1-Summary!$C$20)</f>
        <v>0.02</v>
      </c>
      <c r="C145" s="24" t="e">
        <f t="shared" si="2"/>
        <v>#DIV/0!</v>
      </c>
    </row>
    <row r="146" spans="1:3" ht="14.25" customHeight="1" x14ac:dyDescent="0.2">
      <c r="A146" s="9">
        <v>138</v>
      </c>
      <c r="B146" s="25">
        <f>MAX('Attrition Modeling'!H142,$C$3)*(1-Summary!$C$20)</f>
        <v>0.02</v>
      </c>
      <c r="C146" s="24" t="e">
        <f t="shared" si="2"/>
        <v>#DIV/0!</v>
      </c>
    </row>
    <row r="147" spans="1:3" ht="14.25" customHeight="1" x14ac:dyDescent="0.2">
      <c r="A147" s="9">
        <v>139</v>
      </c>
      <c r="B147" s="25">
        <f>MAX('Attrition Modeling'!H143,$C$3)*(1-Summary!$C$20)</f>
        <v>0.02</v>
      </c>
      <c r="C147" s="24" t="e">
        <f t="shared" si="2"/>
        <v>#DIV/0!</v>
      </c>
    </row>
    <row r="148" spans="1:3" ht="14.25" customHeight="1" x14ac:dyDescent="0.2">
      <c r="A148" s="9">
        <v>140</v>
      </c>
      <c r="B148" s="25">
        <f>MAX('Attrition Modeling'!H144,$C$3)*(1-Summary!$C$20)</f>
        <v>0.02</v>
      </c>
      <c r="C148" s="24" t="e">
        <f t="shared" si="2"/>
        <v>#DIV/0!</v>
      </c>
    </row>
    <row r="149" spans="1:3" ht="14.25" customHeight="1" x14ac:dyDescent="0.2">
      <c r="A149" s="9">
        <v>141</v>
      </c>
      <c r="B149" s="25">
        <f>MAX('Attrition Modeling'!H145,$C$3)*(1-Summary!$C$20)</f>
        <v>0.02</v>
      </c>
      <c r="C149" s="24" t="e">
        <f t="shared" si="2"/>
        <v>#DIV/0!</v>
      </c>
    </row>
    <row r="150" spans="1:3" ht="14.25" customHeight="1" x14ac:dyDescent="0.2">
      <c r="A150" s="9">
        <v>142</v>
      </c>
      <c r="B150" s="25">
        <f>MAX('Attrition Modeling'!H146,$C$3)*(1-Summary!$C$20)</f>
        <v>0.02</v>
      </c>
      <c r="C150" s="24" t="e">
        <f t="shared" si="2"/>
        <v>#DIV/0!</v>
      </c>
    </row>
    <row r="151" spans="1:3" ht="14.25" customHeight="1" x14ac:dyDescent="0.2">
      <c r="A151" s="9">
        <v>143</v>
      </c>
      <c r="B151" s="25">
        <f>MAX('Attrition Modeling'!H147,$C$3)*(1-Summary!$C$20)</f>
        <v>0.02</v>
      </c>
      <c r="C151" s="24" t="e">
        <f t="shared" si="2"/>
        <v>#DIV/0!</v>
      </c>
    </row>
    <row r="152" spans="1:3" ht="14.25" customHeight="1" x14ac:dyDescent="0.2">
      <c r="A152" s="9">
        <v>144</v>
      </c>
      <c r="B152" s="25">
        <f>MAX('Attrition Modeling'!H148,$C$3)*(1-Summary!$C$20)</f>
        <v>0.02</v>
      </c>
      <c r="C152" s="24" t="e">
        <f t="shared" si="2"/>
        <v>#DIV/0!</v>
      </c>
    </row>
    <row r="153" spans="1:3" ht="14.25" customHeight="1" x14ac:dyDescent="0.2">
      <c r="A153" s="9">
        <v>145</v>
      </c>
      <c r="B153" s="25">
        <f>MAX('Attrition Modeling'!H149,$C$3)*(1-Summary!$C$20)</f>
        <v>0.02</v>
      </c>
      <c r="C153" s="24" t="e">
        <f t="shared" si="2"/>
        <v>#DIV/0!</v>
      </c>
    </row>
    <row r="154" spans="1:3" ht="14.25" customHeight="1" x14ac:dyDescent="0.2">
      <c r="A154" s="9">
        <v>146</v>
      </c>
      <c r="B154" s="25">
        <f>MAX('Attrition Modeling'!H150,$C$3)*(1-Summary!$C$20)</f>
        <v>0.02</v>
      </c>
      <c r="C154" s="24" t="e">
        <f t="shared" si="2"/>
        <v>#DIV/0!</v>
      </c>
    </row>
    <row r="155" spans="1:3" ht="14.25" customHeight="1" x14ac:dyDescent="0.2">
      <c r="A155" s="9">
        <v>147</v>
      </c>
      <c r="B155" s="25">
        <f>MAX('Attrition Modeling'!H151,$C$3)*(1-Summary!$C$20)</f>
        <v>0.02</v>
      </c>
      <c r="C155" s="24" t="e">
        <f t="shared" si="2"/>
        <v>#DIV/0!</v>
      </c>
    </row>
    <row r="156" spans="1:3" ht="14.25" customHeight="1" x14ac:dyDescent="0.2">
      <c r="A156" s="9">
        <v>148</v>
      </c>
      <c r="B156" s="25">
        <f>MAX('Attrition Modeling'!H152,$C$3)*(1-Summary!$C$20)</f>
        <v>0.02</v>
      </c>
      <c r="C156" s="24" t="e">
        <f t="shared" si="2"/>
        <v>#DIV/0!</v>
      </c>
    </row>
    <row r="157" spans="1:3" ht="14.25" customHeight="1" x14ac:dyDescent="0.2">
      <c r="A157" s="9">
        <v>149</v>
      </c>
      <c r="B157" s="25">
        <f>MAX('Attrition Modeling'!H153,$C$3)*(1-Summary!$C$20)</f>
        <v>0.02</v>
      </c>
      <c r="C157" s="24" t="e">
        <f t="shared" si="2"/>
        <v>#DIV/0!</v>
      </c>
    </row>
    <row r="158" spans="1:3" ht="14.25" customHeight="1" x14ac:dyDescent="0.2">
      <c r="A158" s="9">
        <v>150</v>
      </c>
      <c r="B158" s="25">
        <f>MAX('Attrition Modeling'!H154,$C$3)*(1-Summary!$C$20)</f>
        <v>0.02</v>
      </c>
      <c r="C158" s="24" t="e">
        <f t="shared" si="2"/>
        <v>#DIV/0!</v>
      </c>
    </row>
    <row r="159" spans="1:3" ht="14.25" customHeight="1" x14ac:dyDescent="0.2">
      <c r="A159" s="9">
        <v>151</v>
      </c>
      <c r="B159" s="25">
        <f>MAX('Attrition Modeling'!H155,$C$3)*(1-Summary!$C$20)</f>
        <v>0.02</v>
      </c>
      <c r="C159" s="24" t="e">
        <f t="shared" si="2"/>
        <v>#DIV/0!</v>
      </c>
    </row>
    <row r="160" spans="1:3" ht="14.25" customHeight="1" x14ac:dyDescent="0.2">
      <c r="A160" s="9">
        <v>152</v>
      </c>
      <c r="B160" s="25">
        <f>MAX('Attrition Modeling'!H156,$C$3)*(1-Summary!$C$20)</f>
        <v>0.02</v>
      </c>
      <c r="C160" s="24" t="e">
        <f t="shared" si="2"/>
        <v>#DIV/0!</v>
      </c>
    </row>
    <row r="161" spans="1:5" ht="14.25" customHeight="1" x14ac:dyDescent="0.2">
      <c r="A161" s="9">
        <v>153</v>
      </c>
      <c r="B161" s="25">
        <f>MAX('Attrition Modeling'!H157,$C$3)*(1-Summary!$C$20)</f>
        <v>0.02</v>
      </c>
      <c r="C161" s="24" t="e">
        <f t="shared" si="2"/>
        <v>#DIV/0!</v>
      </c>
    </row>
    <row r="162" spans="1:5" ht="14.25" customHeight="1" x14ac:dyDescent="0.2">
      <c r="A162" s="16">
        <v>154</v>
      </c>
      <c r="B162" s="33">
        <f>MAX('Attrition Modeling'!H158,$C$3)*(1-Summary!$C$20)</f>
        <v>0.02</v>
      </c>
      <c r="C162" s="26" t="e">
        <f t="shared" si="2"/>
        <v>#DIV/0!</v>
      </c>
    </row>
    <row r="163" spans="1:5" ht="14.25" customHeight="1" x14ac:dyDescent="0.2"/>
    <row r="164" spans="1:5" ht="14.25" customHeight="1" x14ac:dyDescent="0.2"/>
    <row r="165" spans="1:5" ht="14.25" customHeight="1" x14ac:dyDescent="0.2"/>
    <row r="166" spans="1:5" ht="14.25" customHeight="1" x14ac:dyDescent="0.2"/>
    <row r="167" spans="1:5" ht="14.25" customHeight="1" x14ac:dyDescent="0.2"/>
    <row r="168" spans="1:5" ht="14.25" customHeight="1" x14ac:dyDescent="0.2"/>
    <row r="169" spans="1:5" ht="14.25" customHeight="1" x14ac:dyDescent="0.2"/>
    <row r="170" spans="1:5" ht="14.25" customHeight="1" x14ac:dyDescent="0.2"/>
    <row r="171" spans="1:5" ht="14.25" customHeight="1" x14ac:dyDescent="0.2"/>
    <row r="172" spans="1:5" ht="14.25" customHeight="1" x14ac:dyDescent="0.2"/>
    <row r="173" spans="1:5" ht="14.25" customHeight="1" x14ac:dyDescent="0.2"/>
    <row r="174" spans="1:5" ht="14.25" customHeight="1" x14ac:dyDescent="0.2"/>
    <row r="175" spans="1:5" ht="14.25" customHeight="1" x14ac:dyDescent="0.2"/>
    <row r="176" spans="1:5" ht="14.25" customHeight="1" x14ac:dyDescent="0.2">
      <c r="E176" s="25"/>
    </row>
    <row r="177" spans="5:5" ht="14.25" customHeight="1" x14ac:dyDescent="0.2">
      <c r="E177" s="25"/>
    </row>
    <row r="178" spans="5:5" ht="14.25" customHeight="1" x14ac:dyDescent="0.2">
      <c r="E178" s="25"/>
    </row>
    <row r="179" spans="5:5" ht="14.25" customHeight="1" x14ac:dyDescent="0.2">
      <c r="E179" s="25"/>
    </row>
    <row r="180" spans="5:5" ht="14.25" customHeight="1" x14ac:dyDescent="0.2">
      <c r="E180" s="25"/>
    </row>
    <row r="181" spans="5:5" ht="14.25" customHeight="1" x14ac:dyDescent="0.2">
      <c r="E181" s="25"/>
    </row>
    <row r="182" spans="5:5" ht="14.25" customHeight="1" x14ac:dyDescent="0.2">
      <c r="E182" s="25"/>
    </row>
    <row r="183" spans="5:5" ht="14.25" customHeight="1" x14ac:dyDescent="0.2">
      <c r="E183" s="25"/>
    </row>
    <row r="184" spans="5:5" ht="14.25" customHeight="1" x14ac:dyDescent="0.2">
      <c r="E184" s="25"/>
    </row>
    <row r="185" spans="5:5" ht="14.25" customHeight="1" x14ac:dyDescent="0.2">
      <c r="E185" s="25"/>
    </row>
    <row r="186" spans="5:5" ht="14.25" customHeight="1" x14ac:dyDescent="0.2">
      <c r="E186" s="25"/>
    </row>
    <row r="187" spans="5:5" ht="14.25" customHeight="1" x14ac:dyDescent="0.2">
      <c r="E187" s="25"/>
    </row>
    <row r="188" spans="5:5" ht="14.25" customHeight="1" x14ac:dyDescent="0.2">
      <c r="E188" s="25"/>
    </row>
    <row r="189" spans="5:5" ht="14.25" customHeight="1" x14ac:dyDescent="0.2">
      <c r="E189" s="25"/>
    </row>
    <row r="190" spans="5:5" ht="14.25" customHeight="1" x14ac:dyDescent="0.2">
      <c r="E190" s="25"/>
    </row>
    <row r="191" spans="5:5" ht="14.25" customHeight="1" x14ac:dyDescent="0.2">
      <c r="E191" s="25"/>
    </row>
    <row r="192" spans="5:5" ht="14.25" customHeight="1" x14ac:dyDescent="0.2">
      <c r="E192" s="25"/>
    </row>
    <row r="193" spans="5:5" ht="14.25" customHeight="1" x14ac:dyDescent="0.2">
      <c r="E193" s="25"/>
    </row>
    <row r="194" spans="5:5" ht="14.25" customHeight="1" x14ac:dyDescent="0.2">
      <c r="E194" s="25"/>
    </row>
    <row r="195" spans="5:5" ht="14.25" customHeight="1" x14ac:dyDescent="0.2">
      <c r="E195" s="25"/>
    </row>
    <row r="196" spans="5:5" ht="14.25" customHeight="1" x14ac:dyDescent="0.2">
      <c r="E196" s="25"/>
    </row>
    <row r="197" spans="5:5" ht="14.25" customHeight="1" x14ac:dyDescent="0.2">
      <c r="E197" s="25"/>
    </row>
    <row r="198" spans="5:5" ht="14.25" customHeight="1" x14ac:dyDescent="0.2">
      <c r="E198" s="25"/>
    </row>
    <row r="199" spans="5:5" ht="14.25" customHeight="1" x14ac:dyDescent="0.2">
      <c r="E199" s="25"/>
    </row>
    <row r="200" spans="5:5" ht="14.25" customHeight="1" x14ac:dyDescent="0.2">
      <c r="E200" s="25"/>
    </row>
    <row r="201" spans="5:5" ht="14.25" customHeight="1" x14ac:dyDescent="0.2">
      <c r="E201" s="25"/>
    </row>
    <row r="202" spans="5:5" ht="14.25" customHeight="1" x14ac:dyDescent="0.2">
      <c r="E202" s="25"/>
    </row>
    <row r="203" spans="5:5" ht="14.25" customHeight="1" x14ac:dyDescent="0.2">
      <c r="E203" s="25"/>
    </row>
    <row r="204" spans="5:5" ht="14.25" customHeight="1" x14ac:dyDescent="0.2">
      <c r="E204" s="25"/>
    </row>
    <row r="205" spans="5:5" ht="14.25" customHeight="1" x14ac:dyDescent="0.2">
      <c r="E205" s="25"/>
    </row>
    <row r="206" spans="5:5" ht="14.25" customHeight="1" x14ac:dyDescent="0.2"/>
    <row r="207" spans="5:5" ht="14.25" customHeight="1" x14ac:dyDescent="0.2"/>
    <row r="208" spans="5:5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</sheetData>
  <mergeCells count="2">
    <mergeCell ref="A1:C1"/>
    <mergeCell ref="A6:C6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U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 outlineLevelCol="1" x14ac:dyDescent="0.2"/>
  <cols>
    <col min="1" max="1" width="2.6640625" customWidth="1" outlineLevel="1"/>
    <col min="2" max="2" width="28.6640625" customWidth="1" outlineLevel="1"/>
    <col min="3" max="3" width="11.33203125" customWidth="1" outlineLevel="1"/>
    <col min="4" max="4" width="11.6640625" customWidth="1" outlineLevel="1"/>
    <col min="5" max="11" width="11.33203125" customWidth="1" outlineLevel="1"/>
    <col min="12" max="15" width="11.5" customWidth="1" outlineLevel="1"/>
    <col min="16" max="72" width="9.33203125" customWidth="1" outlineLevel="1"/>
    <col min="73" max="73" width="10.5" customWidth="1" outlineLevel="1"/>
  </cols>
  <sheetData>
    <row r="1" spans="1:73" ht="14.25" customHeight="1" x14ac:dyDescent="0.2">
      <c r="A1" s="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</row>
    <row r="2" spans="1:73" ht="14.25" customHeight="1" x14ac:dyDescent="0.2">
      <c r="A2" s="3"/>
      <c r="B2" s="53" t="s">
        <v>0</v>
      </c>
      <c r="C2" s="1">
        <v>0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814">
        <v>1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814">
        <v>2</v>
      </c>
      <c r="AB2" s="1">
        <v>3</v>
      </c>
      <c r="AC2" s="1">
        <v>3</v>
      </c>
      <c r="AD2" s="1">
        <v>3</v>
      </c>
      <c r="AE2" s="1">
        <v>3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  <c r="AK2" s="1">
        <v>3</v>
      </c>
      <c r="AL2" s="1">
        <v>3</v>
      </c>
      <c r="AM2" s="814">
        <v>3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814">
        <v>4</v>
      </c>
      <c r="AZ2" s="1">
        <v>5</v>
      </c>
      <c r="BA2" s="1">
        <v>5</v>
      </c>
      <c r="BB2" s="1">
        <v>5</v>
      </c>
      <c r="BC2" s="1">
        <v>5</v>
      </c>
      <c r="BD2" s="1">
        <v>5</v>
      </c>
      <c r="BE2" s="1">
        <v>5</v>
      </c>
      <c r="BF2" s="1">
        <v>5</v>
      </c>
      <c r="BG2" s="1">
        <v>5</v>
      </c>
      <c r="BH2" s="1">
        <v>5</v>
      </c>
      <c r="BI2" s="1">
        <v>5</v>
      </c>
      <c r="BJ2" s="1">
        <v>5</v>
      </c>
      <c r="BK2" s="1">
        <v>5</v>
      </c>
      <c r="BL2" s="1">
        <v>5</v>
      </c>
      <c r="BM2" s="1">
        <v>5</v>
      </c>
      <c r="BN2" s="1">
        <v>5</v>
      </c>
      <c r="BO2" s="1">
        <v>5</v>
      </c>
      <c r="BP2" s="11"/>
      <c r="BQ2" s="11"/>
      <c r="BR2" s="11"/>
      <c r="BS2" s="11"/>
      <c r="BT2" s="11"/>
      <c r="BU2" s="11"/>
    </row>
    <row r="3" spans="1:73" ht="14.25" customHeight="1" x14ac:dyDescent="0.2">
      <c r="A3" s="3"/>
      <c r="B3" s="53" t="s">
        <v>679</v>
      </c>
      <c r="C3" s="1">
        <v>0</v>
      </c>
      <c r="D3" s="1">
        <v>1</v>
      </c>
      <c r="E3" s="1">
        <f t="shared" ref="E3:BO3" si="0">D3+1</f>
        <v>2</v>
      </c>
      <c r="F3" s="1">
        <f t="shared" si="0"/>
        <v>3</v>
      </c>
      <c r="G3" s="1">
        <f t="shared" si="0"/>
        <v>4</v>
      </c>
      <c r="H3" s="1">
        <f t="shared" si="0"/>
        <v>5</v>
      </c>
      <c r="I3" s="1">
        <f t="shared" si="0"/>
        <v>6</v>
      </c>
      <c r="J3" s="1">
        <f t="shared" si="0"/>
        <v>7</v>
      </c>
      <c r="K3" s="1">
        <f t="shared" si="0"/>
        <v>8</v>
      </c>
      <c r="L3" s="1">
        <f t="shared" si="0"/>
        <v>9</v>
      </c>
      <c r="M3" s="1">
        <f t="shared" si="0"/>
        <v>10</v>
      </c>
      <c r="N3" s="1">
        <f t="shared" si="0"/>
        <v>11</v>
      </c>
      <c r="O3" s="814">
        <f t="shared" si="0"/>
        <v>12</v>
      </c>
      <c r="P3" s="1">
        <f t="shared" si="0"/>
        <v>13</v>
      </c>
      <c r="Q3" s="1">
        <f t="shared" si="0"/>
        <v>14</v>
      </c>
      <c r="R3" s="1">
        <f t="shared" si="0"/>
        <v>15</v>
      </c>
      <c r="S3" s="1">
        <f t="shared" si="0"/>
        <v>16</v>
      </c>
      <c r="T3" s="1">
        <f t="shared" si="0"/>
        <v>17</v>
      </c>
      <c r="U3" s="1">
        <f t="shared" si="0"/>
        <v>18</v>
      </c>
      <c r="V3" s="1">
        <f t="shared" si="0"/>
        <v>19</v>
      </c>
      <c r="W3" s="1">
        <f t="shared" si="0"/>
        <v>20</v>
      </c>
      <c r="X3" s="1">
        <f t="shared" si="0"/>
        <v>21</v>
      </c>
      <c r="Y3" s="1">
        <f t="shared" si="0"/>
        <v>22</v>
      </c>
      <c r="Z3" s="1">
        <f t="shared" si="0"/>
        <v>23</v>
      </c>
      <c r="AA3" s="814">
        <f t="shared" si="0"/>
        <v>24</v>
      </c>
      <c r="AB3" s="1">
        <f t="shared" si="0"/>
        <v>25</v>
      </c>
      <c r="AC3" s="1">
        <f t="shared" si="0"/>
        <v>26</v>
      </c>
      <c r="AD3" s="1">
        <f t="shared" si="0"/>
        <v>27</v>
      </c>
      <c r="AE3" s="1">
        <f t="shared" si="0"/>
        <v>28</v>
      </c>
      <c r="AF3" s="1">
        <f t="shared" si="0"/>
        <v>29</v>
      </c>
      <c r="AG3" s="1">
        <f t="shared" si="0"/>
        <v>30</v>
      </c>
      <c r="AH3" s="1">
        <f t="shared" si="0"/>
        <v>31</v>
      </c>
      <c r="AI3" s="1">
        <f t="shared" si="0"/>
        <v>32</v>
      </c>
      <c r="AJ3" s="1">
        <f t="shared" si="0"/>
        <v>33</v>
      </c>
      <c r="AK3" s="1">
        <f t="shared" si="0"/>
        <v>34</v>
      </c>
      <c r="AL3" s="1">
        <f t="shared" si="0"/>
        <v>35</v>
      </c>
      <c r="AM3" s="814">
        <f t="shared" si="0"/>
        <v>36</v>
      </c>
      <c r="AN3" s="1">
        <f t="shared" si="0"/>
        <v>37</v>
      </c>
      <c r="AO3" s="1">
        <f t="shared" si="0"/>
        <v>38</v>
      </c>
      <c r="AP3" s="1">
        <f t="shared" si="0"/>
        <v>39</v>
      </c>
      <c r="AQ3" s="1">
        <f t="shared" si="0"/>
        <v>40</v>
      </c>
      <c r="AR3" s="1">
        <f t="shared" si="0"/>
        <v>41</v>
      </c>
      <c r="AS3" s="1">
        <f t="shared" si="0"/>
        <v>42</v>
      </c>
      <c r="AT3" s="1">
        <f t="shared" si="0"/>
        <v>43</v>
      </c>
      <c r="AU3" s="1">
        <f t="shared" si="0"/>
        <v>44</v>
      </c>
      <c r="AV3" s="1">
        <f t="shared" si="0"/>
        <v>45</v>
      </c>
      <c r="AW3" s="1">
        <f t="shared" si="0"/>
        <v>46</v>
      </c>
      <c r="AX3" s="1">
        <f t="shared" si="0"/>
        <v>47</v>
      </c>
      <c r="AY3" s="814">
        <f t="shared" si="0"/>
        <v>48</v>
      </c>
      <c r="AZ3" s="1">
        <f t="shared" si="0"/>
        <v>49</v>
      </c>
      <c r="BA3" s="1">
        <f t="shared" si="0"/>
        <v>50</v>
      </c>
      <c r="BB3" s="1">
        <f t="shared" si="0"/>
        <v>51</v>
      </c>
      <c r="BC3" s="1">
        <f t="shared" si="0"/>
        <v>52</v>
      </c>
      <c r="BD3" s="1">
        <f t="shared" si="0"/>
        <v>53</v>
      </c>
      <c r="BE3" s="1">
        <f t="shared" si="0"/>
        <v>54</v>
      </c>
      <c r="BF3" s="1">
        <f t="shared" si="0"/>
        <v>55</v>
      </c>
      <c r="BG3" s="1">
        <f t="shared" si="0"/>
        <v>56</v>
      </c>
      <c r="BH3" s="1">
        <f t="shared" si="0"/>
        <v>57</v>
      </c>
      <c r="BI3" s="1">
        <f t="shared" si="0"/>
        <v>58</v>
      </c>
      <c r="BJ3" s="1">
        <f t="shared" si="0"/>
        <v>59</v>
      </c>
      <c r="BK3" s="1">
        <f t="shared" si="0"/>
        <v>60</v>
      </c>
      <c r="BL3" s="1">
        <f t="shared" si="0"/>
        <v>61</v>
      </c>
      <c r="BM3" s="1">
        <f t="shared" si="0"/>
        <v>62</v>
      </c>
      <c r="BN3" s="1">
        <f t="shared" si="0"/>
        <v>63</v>
      </c>
      <c r="BO3" s="1">
        <f t="shared" si="0"/>
        <v>64</v>
      </c>
      <c r="BP3" s="11"/>
      <c r="BQ3" s="1">
        <v>1</v>
      </c>
      <c r="BR3" s="1">
        <v>2</v>
      </c>
      <c r="BS3" s="1">
        <v>3</v>
      </c>
      <c r="BT3" s="1">
        <v>4</v>
      </c>
      <c r="BU3" s="1">
        <v>5</v>
      </c>
    </row>
    <row r="4" spans="1:73" ht="14.25" customHeight="1" x14ac:dyDescent="0.2">
      <c r="A4" s="3"/>
      <c r="B4" s="53" t="s">
        <v>246</v>
      </c>
      <c r="C4" s="815" t="b">
        <f>Summary!$C$17</f>
        <v>0</v>
      </c>
      <c r="D4" s="815" t="b">
        <f>Summary!$C$17</f>
        <v>0</v>
      </c>
      <c r="E4" s="815" t="b">
        <f>Summary!$C$17</f>
        <v>0</v>
      </c>
      <c r="F4" s="815" t="b">
        <f>Summary!$C$17</f>
        <v>0</v>
      </c>
      <c r="G4" s="815" t="b">
        <f>Summary!$C$17</f>
        <v>0</v>
      </c>
      <c r="H4" s="815" t="b">
        <f>Summary!$C$17</f>
        <v>0</v>
      </c>
      <c r="I4" s="815" t="b">
        <f>Summary!$C$17</f>
        <v>0</v>
      </c>
      <c r="J4" s="815" t="b">
        <f>Summary!$C$17</f>
        <v>0</v>
      </c>
      <c r="K4" s="815" t="b">
        <f>Summary!$C$17</f>
        <v>0</v>
      </c>
      <c r="L4" s="815" t="b">
        <f>Summary!$C$17</f>
        <v>0</v>
      </c>
      <c r="M4" s="815" t="b">
        <f>Summary!$C$17</f>
        <v>0</v>
      </c>
      <c r="N4" s="815" t="b">
        <f>Summary!$C$17</f>
        <v>0</v>
      </c>
      <c r="O4" s="816" t="b">
        <f>Summary!$C$17</f>
        <v>0</v>
      </c>
      <c r="P4" s="815" t="b">
        <f>Summary!$C$17</f>
        <v>0</v>
      </c>
      <c r="Q4" s="815" t="b">
        <f>Summary!$C$17</f>
        <v>0</v>
      </c>
      <c r="R4" s="815" t="b">
        <f>Summary!$C$17</f>
        <v>0</v>
      </c>
      <c r="S4" s="815" t="b">
        <f>Summary!$C$17</f>
        <v>0</v>
      </c>
      <c r="T4" s="815" t="b">
        <f>Summary!$C$17</f>
        <v>0</v>
      </c>
      <c r="U4" s="815" t="b">
        <f>Summary!$C$17</f>
        <v>0</v>
      </c>
      <c r="V4" s="815" t="b">
        <f>Summary!$C$17</f>
        <v>0</v>
      </c>
      <c r="W4" s="815" t="b">
        <f>Summary!$C$17</f>
        <v>0</v>
      </c>
      <c r="X4" s="815" t="b">
        <f>Summary!$C$17</f>
        <v>0</v>
      </c>
      <c r="Y4" s="815" t="b">
        <f>Summary!$C$17</f>
        <v>0</v>
      </c>
      <c r="Z4" s="815" t="b">
        <f>Summary!$C$17</f>
        <v>0</v>
      </c>
      <c r="AA4" s="816" t="b">
        <f>Summary!$C$17</f>
        <v>0</v>
      </c>
      <c r="AB4" s="815" t="b">
        <f>Summary!$C$17</f>
        <v>0</v>
      </c>
      <c r="AC4" s="815" t="b">
        <f>Summary!$C$17</f>
        <v>0</v>
      </c>
      <c r="AD4" s="815" t="b">
        <f>Summary!$C$17</f>
        <v>0</v>
      </c>
      <c r="AE4" s="815" t="b">
        <f>Summary!$C$17</f>
        <v>0</v>
      </c>
      <c r="AF4" s="815" t="b">
        <f>Summary!$C$17</f>
        <v>0</v>
      </c>
      <c r="AG4" s="815" t="b">
        <f>Summary!$C$17</f>
        <v>0</v>
      </c>
      <c r="AH4" s="815" t="b">
        <f>Summary!$C$17</f>
        <v>0</v>
      </c>
      <c r="AI4" s="815" t="b">
        <f>Summary!$C$17</f>
        <v>0</v>
      </c>
      <c r="AJ4" s="815" t="b">
        <f>Summary!$C$17</f>
        <v>0</v>
      </c>
      <c r="AK4" s="815" t="b">
        <f>Summary!$C$17</f>
        <v>0</v>
      </c>
      <c r="AL4" s="815" t="b">
        <f>Summary!$C$17</f>
        <v>0</v>
      </c>
      <c r="AM4" s="816" t="b">
        <f>Summary!$C$17</f>
        <v>0</v>
      </c>
      <c r="AN4" s="815" t="b">
        <f>Summary!$C$17</f>
        <v>0</v>
      </c>
      <c r="AO4" s="815" t="b">
        <f>Summary!$C$17</f>
        <v>0</v>
      </c>
      <c r="AP4" s="815" t="b">
        <f>Summary!$C$17</f>
        <v>0</v>
      </c>
      <c r="AQ4" s="815" t="b">
        <f>Summary!$C$17</f>
        <v>0</v>
      </c>
      <c r="AR4" s="815" t="b">
        <f>Summary!$C$17</f>
        <v>0</v>
      </c>
      <c r="AS4" s="815" t="b">
        <f>Summary!$C$17</f>
        <v>0</v>
      </c>
      <c r="AT4" s="815" t="b">
        <f>Summary!$C$17</f>
        <v>0</v>
      </c>
      <c r="AU4" s="815" t="b">
        <f>Summary!$C$17</f>
        <v>0</v>
      </c>
      <c r="AV4" s="815" t="b">
        <f>Summary!$C$17</f>
        <v>0</v>
      </c>
      <c r="AW4" s="815" t="b">
        <f>Summary!$C$17</f>
        <v>0</v>
      </c>
      <c r="AX4" s="815" t="b">
        <f>Summary!$C$17</f>
        <v>0</v>
      </c>
      <c r="AY4" s="816" t="b">
        <f>Summary!$C$17</f>
        <v>0</v>
      </c>
      <c r="AZ4" s="815" t="b">
        <f>Summary!$C$17</f>
        <v>0</v>
      </c>
      <c r="BA4" s="815" t="b">
        <f>Summary!$C$17</f>
        <v>0</v>
      </c>
      <c r="BB4" s="815" t="b">
        <f>Summary!$C$17</f>
        <v>0</v>
      </c>
      <c r="BC4" s="815" t="b">
        <f>Summary!$C$17</f>
        <v>0</v>
      </c>
      <c r="BD4" s="815" t="b">
        <f>Summary!$C$17</f>
        <v>0</v>
      </c>
      <c r="BE4" s="815" t="b">
        <f>Summary!$C$17</f>
        <v>0</v>
      </c>
      <c r="BF4" s="815" t="b">
        <f>Summary!$C$17</f>
        <v>0</v>
      </c>
      <c r="BG4" s="815" t="b">
        <f>Summary!$C$17</f>
        <v>0</v>
      </c>
      <c r="BH4" s="815" t="b">
        <f>Summary!$C$17</f>
        <v>0</v>
      </c>
      <c r="BI4" s="815" t="b">
        <f>Summary!$C$17</f>
        <v>0</v>
      </c>
      <c r="BJ4" s="815" t="b">
        <f>Summary!$C$17</f>
        <v>0</v>
      </c>
      <c r="BK4" s="815" t="b">
        <f>Summary!$C$17</f>
        <v>0</v>
      </c>
      <c r="BL4" s="815" t="b">
        <f>Summary!$C$17</f>
        <v>0</v>
      </c>
      <c r="BM4" s="815" t="b">
        <f>Summary!$C$17</f>
        <v>0</v>
      </c>
      <c r="BN4" s="815" t="b">
        <f>Summary!$C$17</f>
        <v>0</v>
      </c>
      <c r="BO4" s="815" t="b">
        <f>Summary!$C$17</f>
        <v>0</v>
      </c>
      <c r="BP4" s="11"/>
      <c r="BQ4" s="11"/>
      <c r="BR4" s="11"/>
      <c r="BS4" s="11"/>
      <c r="BT4" s="11"/>
      <c r="BU4" s="11"/>
    </row>
    <row r="5" spans="1:73" ht="14.25" customHeight="1" x14ac:dyDescent="0.2">
      <c r="A5" s="795" t="s">
        <v>5</v>
      </c>
      <c r="B5" s="796"/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796"/>
      <c r="N5" s="796"/>
      <c r="O5" s="817"/>
      <c r="P5" s="796"/>
      <c r="Q5" s="796"/>
      <c r="R5" s="796"/>
      <c r="S5" s="796"/>
      <c r="T5" s="796"/>
      <c r="U5" s="796"/>
      <c r="V5" s="796"/>
      <c r="W5" s="796"/>
      <c r="X5" s="796"/>
      <c r="Y5" s="796"/>
      <c r="Z5" s="796"/>
      <c r="AA5" s="817"/>
      <c r="AB5" s="796"/>
      <c r="AC5" s="796"/>
      <c r="AD5" s="796"/>
      <c r="AE5" s="796"/>
      <c r="AF5" s="796"/>
      <c r="AG5" s="796"/>
      <c r="AH5" s="796"/>
      <c r="AI5" s="796"/>
      <c r="AJ5" s="796"/>
      <c r="AK5" s="796"/>
      <c r="AL5" s="796"/>
      <c r="AM5" s="817"/>
      <c r="AN5" s="796"/>
      <c r="AO5" s="796"/>
      <c r="AP5" s="796"/>
      <c r="AQ5" s="796"/>
      <c r="AR5" s="796"/>
      <c r="AS5" s="796"/>
      <c r="AT5" s="796"/>
      <c r="AU5" s="796"/>
      <c r="AV5" s="796"/>
      <c r="AW5" s="796"/>
      <c r="AX5" s="796"/>
      <c r="AY5" s="817"/>
      <c r="AZ5" s="796"/>
      <c r="BA5" s="796"/>
      <c r="BB5" s="796"/>
      <c r="BC5" s="796"/>
      <c r="BD5" s="796"/>
      <c r="BE5" s="796"/>
      <c r="BF5" s="796"/>
      <c r="BG5" s="796"/>
      <c r="BH5" s="796"/>
      <c r="BI5" s="796"/>
      <c r="BJ5" s="796"/>
      <c r="BK5" s="796"/>
      <c r="BL5" s="796"/>
      <c r="BM5" s="796"/>
      <c r="BN5" s="796"/>
      <c r="BO5" s="796"/>
      <c r="BP5" s="11"/>
      <c r="BQ5" s="796"/>
      <c r="BR5" s="796"/>
      <c r="BS5" s="796"/>
      <c r="BT5" s="796"/>
      <c r="BU5" s="796"/>
    </row>
    <row r="6" spans="1:73" ht="14.25" customHeight="1" x14ac:dyDescent="0.2">
      <c r="A6" s="3"/>
      <c r="B6" s="11" t="s">
        <v>5</v>
      </c>
      <c r="C6" s="818">
        <f>Summary!C24/Summary!C23</f>
        <v>0</v>
      </c>
      <c r="D6" s="819">
        <f>RentalsVacates!H2</f>
        <v>2.1821417204108347E-2</v>
      </c>
      <c r="E6" s="819">
        <f>RentalsVacates!I2</f>
        <v>4.3379584984163666E-2</v>
      </c>
      <c r="F6" s="819">
        <f>RentalsVacates!J2</f>
        <v>7.3093854055082952E-2</v>
      </c>
      <c r="G6" s="819">
        <f>RentalsVacates!K2</f>
        <v>0.10328731956173533</v>
      </c>
      <c r="H6" s="819">
        <f>RentalsVacates!L2</f>
        <v>0.14958765426309115</v>
      </c>
      <c r="I6" s="819">
        <f>RentalsVacates!M2</f>
        <v>0.18780909762492512</v>
      </c>
      <c r="J6" s="819">
        <f>RentalsVacates!N2</f>
        <v>0.2212248110020551</v>
      </c>
      <c r="K6" s="819">
        <f>RentalsVacates!O2</f>
        <v>0.24645210180915708</v>
      </c>
      <c r="L6" s="819">
        <f>RentalsVacates!P2</f>
        <v>0.26872804944950796</v>
      </c>
      <c r="M6" s="819">
        <f>RentalsVacates!Q2</f>
        <v>0.29128918224233857</v>
      </c>
      <c r="N6" s="819">
        <f>RentalsVacates!R2</f>
        <v>0.31233603277892696</v>
      </c>
      <c r="O6" s="820">
        <f>RentalsVacates!S2</f>
        <v>0.3299999999999999</v>
      </c>
      <c r="P6" s="821">
        <f>RentalsVacates!T2</f>
        <v>0.35314392733769057</v>
      </c>
      <c r="Q6" s="819">
        <f>RentalsVacates!U2</f>
        <v>0.37600865074077955</v>
      </c>
      <c r="R6" s="819">
        <f>RentalsVacates!V2</f>
        <v>0.40752378460387578</v>
      </c>
      <c r="S6" s="819">
        <f>RentalsVacates!W2</f>
        <v>0.43954715711093134</v>
      </c>
      <c r="T6" s="819">
        <f>RentalsVacates!X2</f>
        <v>0.48865357270327842</v>
      </c>
      <c r="U6" s="819">
        <f>RentalsVacates!Y2</f>
        <v>0.52919146717795085</v>
      </c>
      <c r="V6" s="819">
        <f>RentalsVacates!Z2</f>
        <v>0.56463237530520993</v>
      </c>
      <c r="W6" s="819">
        <f>RentalsVacates!AA2</f>
        <v>0.59138859282789391</v>
      </c>
      <c r="X6" s="819">
        <f>RentalsVacates!AB2</f>
        <v>0.61501459790099333</v>
      </c>
      <c r="Y6" s="819">
        <f>RentalsVacates!AC2</f>
        <v>0.63894307207520762</v>
      </c>
      <c r="Z6" s="819">
        <f>RentalsVacates!AD2</f>
        <v>0.66126548931098317</v>
      </c>
      <c r="AA6" s="820">
        <f>RentalsVacates!AE2</f>
        <v>0.67999999999999994</v>
      </c>
      <c r="AB6" s="821">
        <f>RentalsVacates!AF2</f>
        <v>0.69587012160298778</v>
      </c>
      <c r="AC6" s="819">
        <f>RentalsVacates!AG2</f>
        <v>0.71154878907939167</v>
      </c>
      <c r="AD6" s="819">
        <f>RentalsVacates!AH2</f>
        <v>0.73315916658551483</v>
      </c>
      <c r="AE6" s="819">
        <f>RentalsVacates!AI2</f>
        <v>0.75511805059035297</v>
      </c>
      <c r="AF6" s="819">
        <f>RentalsVacates!AJ2</f>
        <v>0.78879102128224809</v>
      </c>
      <c r="AG6" s="819">
        <f>RentalsVacates!AK2</f>
        <v>0.81658843463630915</v>
      </c>
      <c r="AH6" s="819">
        <f>RentalsVacates!AL2</f>
        <v>0.84089077163785819</v>
      </c>
      <c r="AI6" s="819">
        <f>RentalsVacates!AM2</f>
        <v>0.85923789222484148</v>
      </c>
      <c r="AJ6" s="819">
        <f>RentalsVacates!AN2</f>
        <v>0.87543858141782394</v>
      </c>
      <c r="AK6" s="819">
        <f>RentalsVacates!AO2</f>
        <v>0.89184667799442807</v>
      </c>
      <c r="AL6" s="819">
        <f>RentalsVacates!AP2</f>
        <v>0.90715347838467419</v>
      </c>
      <c r="AM6" s="820">
        <f>RentalsVacates!AQ2</f>
        <v>0.92</v>
      </c>
      <c r="AN6" s="821">
        <f>RentalsVacates!AR2</f>
        <v>0.90766666666666695</v>
      </c>
      <c r="AO6" s="819">
        <f>RentalsVacates!AS2</f>
        <v>0.90766666666666695</v>
      </c>
      <c r="AP6" s="819">
        <f>RentalsVacates!AT2</f>
        <v>0.91066666666666696</v>
      </c>
      <c r="AQ6" s="819">
        <f>RentalsVacates!AU2</f>
        <v>0.91566666666666696</v>
      </c>
      <c r="AR6" s="819">
        <f>RentalsVacates!AV2</f>
        <v>0.92866666666666686</v>
      </c>
      <c r="AS6" s="819">
        <f>RentalsVacates!AW2</f>
        <v>0.93666666666666687</v>
      </c>
      <c r="AT6" s="819">
        <f>RentalsVacates!AX2</f>
        <v>0.93866666666666687</v>
      </c>
      <c r="AU6" s="819">
        <f>RentalsVacates!AY2</f>
        <v>0.93066666666666686</v>
      </c>
      <c r="AV6" s="819">
        <f>RentalsVacates!AZ2</f>
        <v>0.92466666666666686</v>
      </c>
      <c r="AW6" s="819">
        <f>RentalsVacates!BA2</f>
        <v>0.91866666666666685</v>
      </c>
      <c r="AX6" s="819">
        <f>RentalsVacates!BB2</f>
        <v>0.91266666666666685</v>
      </c>
      <c r="AY6" s="820">
        <f>RentalsVacates!BC2</f>
        <v>0.90766666666666684</v>
      </c>
      <c r="AZ6" s="821">
        <f>RentalsVacates!BD2</f>
        <v>0.90766666666666695</v>
      </c>
      <c r="BA6" s="819">
        <f>RentalsVacates!BE2</f>
        <v>0.90766666666666695</v>
      </c>
      <c r="BB6" s="819">
        <f>RentalsVacates!BF2</f>
        <v>0.91066666666666696</v>
      </c>
      <c r="BC6" s="819">
        <f>RentalsVacates!BG2</f>
        <v>0.91566666666666696</v>
      </c>
      <c r="BD6" s="819">
        <f>RentalsVacates!BH2</f>
        <v>0.92866666666666686</v>
      </c>
      <c r="BE6" s="819">
        <f>RentalsVacates!BI2</f>
        <v>0.93666666666666687</v>
      </c>
      <c r="BF6" s="819">
        <f>RentalsVacates!BJ2</f>
        <v>0.93866666666666687</v>
      </c>
      <c r="BG6" s="819">
        <f>RentalsVacates!BK2</f>
        <v>0.93066666666666686</v>
      </c>
      <c r="BH6" s="819">
        <f>RentalsVacates!BL2</f>
        <v>0.92466666666666686</v>
      </c>
      <c r="BI6" s="819">
        <f>RentalsVacates!BM2</f>
        <v>0.91866666666666685</v>
      </c>
      <c r="BJ6" s="819">
        <f>RentalsVacates!BN2</f>
        <v>0.91266666666666685</v>
      </c>
      <c r="BK6" s="819">
        <f>RentalsVacates!BO2</f>
        <v>0.90766666666666684</v>
      </c>
      <c r="BL6" s="819">
        <f>RentalsVacates!BP2</f>
        <v>0.90766666666666695</v>
      </c>
      <c r="BM6" s="819">
        <f>RentalsVacates!BQ2</f>
        <v>0.90766666666666695</v>
      </c>
      <c r="BN6" s="819">
        <f>RentalsVacates!BR2</f>
        <v>0.91066666666666696</v>
      </c>
      <c r="BO6" s="819">
        <f>RentalsVacates!BS2</f>
        <v>0.91566666666666696</v>
      </c>
      <c r="BP6" s="11"/>
      <c r="BQ6" s="822">
        <f t="shared" ref="BQ6:BU6" si="1">AVERAGEIF($D$2:$BK$2,BQ$3,$D6:$BK6)</f>
        <v>0.18741742541459103</v>
      </c>
      <c r="BR6" s="822">
        <f t="shared" si="1"/>
        <v>0.52877605725789956</v>
      </c>
      <c r="BS6" s="822">
        <f t="shared" si="1"/>
        <v>0.81630358211970266</v>
      </c>
      <c r="BT6" s="822">
        <f t="shared" si="1"/>
        <v>0.92000000000000026</v>
      </c>
      <c r="BU6" s="822">
        <f t="shared" si="1"/>
        <v>0.92000000000000026</v>
      </c>
    </row>
    <row r="7" spans="1:73" ht="14.25" customHeight="1" x14ac:dyDescent="0.2">
      <c r="A7" s="3"/>
      <c r="B7" s="11" t="s">
        <v>115</v>
      </c>
      <c r="C7" s="823">
        <f>C6*Summary!$C$23</f>
        <v>0</v>
      </c>
      <c r="D7" s="799">
        <f>D6*Summary!$C$23</f>
        <v>2308.858690115092</v>
      </c>
      <c r="E7" s="799">
        <f>E6*Summary!$C$23</f>
        <v>4589.8637484194051</v>
      </c>
      <c r="F7" s="799">
        <f>F6*Summary!$C$23</f>
        <v>7733.841416006162</v>
      </c>
      <c r="G7" s="799">
        <f>G6*Summary!$C$23</f>
        <v>10928.52142086853</v>
      </c>
      <c r="H7" s="799">
        <f>H6*Summary!$C$23</f>
        <v>15827.420934614885</v>
      </c>
      <c r="I7" s="799">
        <f>I6*Summary!$C$23</f>
        <v>19871.517192400453</v>
      </c>
      <c r="J7" s="799">
        <f>J6*Summary!$C$23</f>
        <v>23407.133577694443</v>
      </c>
      <c r="K7" s="799">
        <f>K6*Summary!$C$23</f>
        <v>26076.357536121483</v>
      </c>
      <c r="L7" s="799">
        <f>L6*Summary!$C$23</f>
        <v>28433.30872810409</v>
      </c>
      <c r="M7" s="799">
        <f>M6*Summary!$C$23</f>
        <v>30820.434505515117</v>
      </c>
      <c r="N7" s="799">
        <f>N6*Summary!$C$23</f>
        <v>33047.338620239927</v>
      </c>
      <c r="O7" s="824">
        <f>O6*Summary!$C$23</f>
        <v>34916.30999999999</v>
      </c>
      <c r="P7" s="825">
        <f>P6*Summary!$C$23</f>
        <v>37365.099519819029</v>
      </c>
      <c r="Q7" s="799">
        <f>Q6*Summary!$C$23</f>
        <v>39784.34730892966</v>
      </c>
      <c r="R7" s="799">
        <f>R6*Summary!$C$23</f>
        <v>43118.869077582283</v>
      </c>
      <c r="S7" s="799">
        <f>S6*Summary!$C$23</f>
        <v>46507.166052436311</v>
      </c>
      <c r="T7" s="799">
        <f>T6*Summary!$C$23</f>
        <v>51702.968567015778</v>
      </c>
      <c r="U7" s="799">
        <f>U6*Summary!$C$23</f>
        <v>55992.161567697447</v>
      </c>
      <c r="V7" s="799">
        <f>V6*Summary!$C$23</f>
        <v>59742.057733918344</v>
      </c>
      <c r="W7" s="799">
        <f>W6*Summary!$C$23</f>
        <v>62573.05284134097</v>
      </c>
      <c r="X7" s="799">
        <f>X6*Summary!$C$23</f>
        <v>65072.8495601104</v>
      </c>
      <c r="Y7" s="799">
        <f>Y6*Summary!$C$23</f>
        <v>67604.649627061488</v>
      </c>
      <c r="Z7" s="799">
        <f>Z6*Summary!$C$23</f>
        <v>69966.517627527195</v>
      </c>
      <c r="AA7" s="824">
        <f>AA6*Summary!$C$23</f>
        <v>71948.759999999995</v>
      </c>
      <c r="AB7" s="825">
        <f>AB6*Summary!$C$23</f>
        <v>73627.929956447333</v>
      </c>
      <c r="AC7" s="799">
        <f>AC6*Summary!$C$23</f>
        <v>75286.842726123199</v>
      </c>
      <c r="AD7" s="799">
        <f>AD6*Summary!$C$23</f>
        <v>77573.371938913566</v>
      </c>
      <c r="AE7" s="799">
        <f>AE6*Summary!$C$23</f>
        <v>79896.775578813482</v>
      </c>
      <c r="AF7" s="799">
        <f>AF6*Summary!$C$23</f>
        <v>83459.611588810818</v>
      </c>
      <c r="AG7" s="799">
        <f>AG6*Summary!$C$23</f>
        <v>86400.77250356396</v>
      </c>
      <c r="AH7" s="799">
        <f>AH6*Summary!$C$23</f>
        <v>88972.129874686856</v>
      </c>
      <c r="AI7" s="799">
        <f>AI6*Summary!$C$23</f>
        <v>90913.383662633802</v>
      </c>
      <c r="AJ7" s="799">
        <f>AJ6*Summary!$C$23</f>
        <v>92627.529984075692</v>
      </c>
      <c r="AK7" s="799">
        <f>AK6*Summary!$C$23</f>
        <v>94363.621458556445</v>
      </c>
      <c r="AL7" s="799">
        <f>AL6*Summary!$C$23</f>
        <v>95983.188087447226</v>
      </c>
      <c r="AM7" s="824">
        <f>AM6*Summary!$C$23</f>
        <v>97342.44</v>
      </c>
      <c r="AN7" s="825">
        <f>AN6*Summary!$C$23</f>
        <v>96037.487000000037</v>
      </c>
      <c r="AO7" s="799">
        <f>AO6*Summary!$C$23</f>
        <v>96037.487000000037</v>
      </c>
      <c r="AP7" s="799">
        <f>AP6*Summary!$C$23</f>
        <v>96354.908000000025</v>
      </c>
      <c r="AQ7" s="799">
        <f>AQ6*Summary!$C$23</f>
        <v>96883.943000000028</v>
      </c>
      <c r="AR7" s="799">
        <f>AR6*Summary!$C$23</f>
        <v>98259.434000000023</v>
      </c>
      <c r="AS7" s="799">
        <f>AS6*Summary!$C$23</f>
        <v>99105.890000000029</v>
      </c>
      <c r="AT7" s="799">
        <f>AT6*Summary!$C$23</f>
        <v>99317.504000000015</v>
      </c>
      <c r="AU7" s="799">
        <f>AU6*Summary!$C$23</f>
        <v>98471.048000000024</v>
      </c>
      <c r="AV7" s="799">
        <f>AV6*Summary!$C$23</f>
        <v>97836.20600000002</v>
      </c>
      <c r="AW7" s="799">
        <f>AW6*Summary!$C$23</f>
        <v>97201.364000000016</v>
      </c>
      <c r="AX7" s="799">
        <f>AX6*Summary!$C$23</f>
        <v>96566.522000000026</v>
      </c>
      <c r="AY7" s="824">
        <f>AY6*Summary!$C$23</f>
        <v>96037.487000000023</v>
      </c>
      <c r="AZ7" s="825">
        <f>AZ6*Summary!$C$23</f>
        <v>96037.487000000037</v>
      </c>
      <c r="BA7" s="799">
        <f>BA6*Summary!$C$23</f>
        <v>96037.487000000037</v>
      </c>
      <c r="BB7" s="799">
        <f>BB6*Summary!$C$23</f>
        <v>96354.908000000025</v>
      </c>
      <c r="BC7" s="799">
        <f>BC6*Summary!$C$23</f>
        <v>96883.943000000028</v>
      </c>
      <c r="BD7" s="799">
        <f>BD6*Summary!$C$23</f>
        <v>98259.434000000023</v>
      </c>
      <c r="BE7" s="799">
        <f>BE6*Summary!$C$23</f>
        <v>99105.890000000029</v>
      </c>
      <c r="BF7" s="799">
        <f>BF6*Summary!$C$23</f>
        <v>99317.504000000015</v>
      </c>
      <c r="BG7" s="799">
        <f>BG6*Summary!$C$23</f>
        <v>98471.048000000024</v>
      </c>
      <c r="BH7" s="799">
        <f>BH6*Summary!$C$23</f>
        <v>97836.20600000002</v>
      </c>
      <c r="BI7" s="799">
        <f>BI6*Summary!$C$23</f>
        <v>97201.364000000016</v>
      </c>
      <c r="BJ7" s="799">
        <f>BJ6*Summary!$C$23</f>
        <v>96566.522000000026</v>
      </c>
      <c r="BK7" s="799">
        <f>BK6*Summary!$C$23</f>
        <v>96037.487000000023</v>
      </c>
      <c r="BL7" s="799">
        <f>BL6*Summary!$C$23</f>
        <v>96037.487000000037</v>
      </c>
      <c r="BM7" s="799">
        <f>BM6*Summary!$C$23</f>
        <v>96037.487000000037</v>
      </c>
      <c r="BN7" s="799">
        <f>BN6*Summary!$C$23</f>
        <v>96354.908000000025</v>
      </c>
      <c r="BO7" s="799">
        <f>BO6*Summary!$C$23</f>
        <v>96883.943000000028</v>
      </c>
      <c r="BP7" s="11"/>
      <c r="BQ7" s="799">
        <f t="shared" ref="BQ7:BU7" si="2">AVERAGEIF($D$2:$BK$2,BQ$3,$D7:$BK7)</f>
        <v>19830.07553084163</v>
      </c>
      <c r="BR7" s="799">
        <f t="shared" si="2"/>
        <v>55948.208290286588</v>
      </c>
      <c r="BS7" s="799">
        <f t="shared" si="2"/>
        <v>86370.633113339369</v>
      </c>
      <c r="BT7" s="799">
        <f t="shared" si="2"/>
        <v>97342.440000000017</v>
      </c>
      <c r="BU7" s="799">
        <f t="shared" si="2"/>
        <v>97342.440000000017</v>
      </c>
    </row>
    <row r="8" spans="1:73" ht="24.75" customHeight="1" x14ac:dyDescent="0.2">
      <c r="A8" s="3"/>
      <c r="B8" s="11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826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826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826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826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11"/>
      <c r="BQ8" s="29"/>
      <c r="BR8" s="29"/>
      <c r="BS8" s="29"/>
      <c r="BT8" s="29"/>
      <c r="BU8" s="29"/>
    </row>
    <row r="9" spans="1:73" ht="14.25" customHeight="1" x14ac:dyDescent="0.2">
      <c r="A9" s="795" t="s">
        <v>710</v>
      </c>
      <c r="B9" s="796"/>
      <c r="C9" s="796"/>
      <c r="D9" s="796"/>
      <c r="E9" s="796"/>
      <c r="F9" s="796"/>
      <c r="G9" s="796"/>
      <c r="H9" s="796"/>
      <c r="I9" s="796"/>
      <c r="J9" s="796"/>
      <c r="K9" s="796"/>
      <c r="L9" s="796"/>
      <c r="M9" s="796"/>
      <c r="N9" s="796"/>
      <c r="O9" s="817"/>
      <c r="P9" s="796"/>
      <c r="Q9" s="796"/>
      <c r="R9" s="796"/>
      <c r="S9" s="796"/>
      <c r="T9" s="796"/>
      <c r="U9" s="796"/>
      <c r="V9" s="796"/>
      <c r="W9" s="796"/>
      <c r="X9" s="796"/>
      <c r="Y9" s="796"/>
      <c r="Z9" s="796"/>
      <c r="AA9" s="817"/>
      <c r="AB9" s="796"/>
      <c r="AC9" s="796"/>
      <c r="AD9" s="796"/>
      <c r="AE9" s="796"/>
      <c r="AF9" s="796"/>
      <c r="AG9" s="796"/>
      <c r="AH9" s="796"/>
      <c r="AI9" s="796"/>
      <c r="AJ9" s="796"/>
      <c r="AK9" s="796"/>
      <c r="AL9" s="796"/>
      <c r="AM9" s="817"/>
      <c r="AN9" s="796"/>
      <c r="AO9" s="796"/>
      <c r="AP9" s="796"/>
      <c r="AQ9" s="796"/>
      <c r="AR9" s="796"/>
      <c r="AS9" s="796"/>
      <c r="AT9" s="796"/>
      <c r="AU9" s="796"/>
      <c r="AV9" s="796"/>
      <c r="AW9" s="796"/>
      <c r="AX9" s="796"/>
      <c r="AY9" s="817"/>
      <c r="AZ9" s="796"/>
      <c r="BA9" s="796"/>
      <c r="BB9" s="796"/>
      <c r="BC9" s="796"/>
      <c r="BD9" s="796"/>
      <c r="BE9" s="796"/>
      <c r="BF9" s="796"/>
      <c r="BG9" s="796"/>
      <c r="BH9" s="796"/>
      <c r="BI9" s="796"/>
      <c r="BJ9" s="796"/>
      <c r="BK9" s="796"/>
      <c r="BL9" s="796"/>
      <c r="BM9" s="796"/>
      <c r="BN9" s="796"/>
      <c r="BO9" s="796"/>
      <c r="BP9" s="11"/>
      <c r="BQ9" s="796"/>
      <c r="BR9" s="796"/>
      <c r="BS9" s="796"/>
      <c r="BT9" s="796"/>
      <c r="BU9" s="796"/>
    </row>
    <row r="10" spans="1:73" ht="14.25" customHeight="1" x14ac:dyDescent="0.2">
      <c r="A10" s="3"/>
      <c r="B10" s="11" t="s">
        <v>711</v>
      </c>
      <c r="C10" s="827">
        <f>Projection!I30</f>
        <v>17.789291226931812</v>
      </c>
      <c r="D10" s="828">
        <f>Projection!J30</f>
        <v>17.84858886435492</v>
      </c>
      <c r="E10" s="828">
        <f>Projection!K30</f>
        <v>17.908084160569437</v>
      </c>
      <c r="F10" s="828">
        <f>Projection!L30</f>
        <v>18.146858616043698</v>
      </c>
      <c r="G10" s="828">
        <f>Projection!M30</f>
        <v>18.933222489405594</v>
      </c>
      <c r="H10" s="828">
        <f>Projection!N30</f>
        <v>19.753662130613172</v>
      </c>
      <c r="I10" s="828">
        <f>Projection!O30</f>
        <v>20.313349224313878</v>
      </c>
      <c r="J10" s="828">
        <f>Projection!P30</f>
        <v>20.381060388394925</v>
      </c>
      <c r="K10" s="828">
        <f>Projection!Q30</f>
        <v>19.226133633052545</v>
      </c>
      <c r="L10" s="828">
        <f>Projection!R30</f>
        <v>18.905698072501668</v>
      </c>
      <c r="M10" s="828">
        <f>Projection!S30</f>
        <v>18.685131594989148</v>
      </c>
      <c r="N10" s="828">
        <f>Projection!T30</f>
        <v>18.485823524642598</v>
      </c>
      <c r="O10" s="828">
        <f>Projection!U30</f>
        <v>18.436527995243551</v>
      </c>
      <c r="P10" s="828">
        <f>Projection!V30</f>
        <v>18.497983088561032</v>
      </c>
      <c r="Q10" s="828">
        <f>Projection!W30</f>
        <v>18.55964303218957</v>
      </c>
      <c r="R10" s="828">
        <f>Projection!X30</f>
        <v>18.807104939285431</v>
      </c>
      <c r="S10" s="828">
        <f>Projection!Y30</f>
        <v>19.622079486654467</v>
      </c>
      <c r="T10" s="828">
        <f>Projection!Z30</f>
        <v>20.47236959774283</v>
      </c>
      <c r="U10" s="828">
        <f>Projection!AA30</f>
        <v>21.052420069678877</v>
      </c>
      <c r="V10" s="828">
        <f>Projection!AB30</f>
        <v>21.122594803244475</v>
      </c>
      <c r="W10" s="828">
        <f>Projection!AC30</f>
        <v>19.925647764393954</v>
      </c>
      <c r="X10" s="828">
        <f>Projection!AD30</f>
        <v>19.593553634987387</v>
      </c>
      <c r="Y10" s="828">
        <f>Projection!AE30</f>
        <v>19.364962175912535</v>
      </c>
      <c r="Z10" s="828">
        <f>Projection!AF30</f>
        <v>19.158402579369465</v>
      </c>
      <c r="AA10" s="828">
        <f>Projection!AG30</f>
        <v>19.107313505824479</v>
      </c>
      <c r="AB10" s="828">
        <f>Projection!AH30</f>
        <v>19.171004550843897</v>
      </c>
      <c r="AC10" s="828">
        <f>Projection!AI30</f>
        <v>19.234907899346712</v>
      </c>
      <c r="AD10" s="828">
        <f>Projection!AJ30</f>
        <v>19.491373338004671</v>
      </c>
      <c r="AE10" s="828">
        <f>Projection!AK30</f>
        <v>20.335999515984874</v>
      </c>
      <c r="AF10" s="828">
        <f>Projection!AL30</f>
        <v>21.217226161677555</v>
      </c>
      <c r="AG10" s="828">
        <f>Projection!AM30</f>
        <v>21.818380902925085</v>
      </c>
      <c r="AH10" s="828">
        <f>Projection!AN30</f>
        <v>21.891108839268171</v>
      </c>
      <c r="AI10" s="828">
        <f>Projection!AO30</f>
        <v>20.650612671709641</v>
      </c>
      <c r="AJ10" s="828">
        <f>Projection!AP30</f>
        <v>20.306435793847815</v>
      </c>
      <c r="AK10" s="828">
        <f>Projection!AQ30</f>
        <v>20.069527376252921</v>
      </c>
      <c r="AL10" s="828">
        <f>Projection!AR30</f>
        <v>19.855452417572888</v>
      </c>
      <c r="AM10" s="828">
        <f>Projection!AS30</f>
        <v>19.80250454445936</v>
      </c>
      <c r="AN10" s="828">
        <f>Projection!AT30</f>
        <v>19.868512892940892</v>
      </c>
      <c r="AO10" s="828">
        <f>Projection!AU30</f>
        <v>19.934741269250697</v>
      </c>
      <c r="AP10" s="828">
        <f>Projection!AV30</f>
        <v>20.200537819507375</v>
      </c>
      <c r="AQ10" s="828">
        <f>Projection!AW30</f>
        <v>21.075894458352696</v>
      </c>
      <c r="AR10" s="828">
        <f>Projection!AX30</f>
        <v>21.989183218214649</v>
      </c>
      <c r="AS10" s="828">
        <f>Projection!AY30</f>
        <v>22.612210076064063</v>
      </c>
      <c r="AT10" s="828">
        <f>Projection!AZ30</f>
        <v>22.687584109650945</v>
      </c>
      <c r="AU10" s="828">
        <f>Projection!BA30</f>
        <v>21.401954343437392</v>
      </c>
      <c r="AV10" s="828">
        <f>Projection!BB30</f>
        <v>21.0452551043801</v>
      </c>
      <c r="AW10" s="828">
        <f>Projection!BC30</f>
        <v>20.799727128162331</v>
      </c>
      <c r="AX10" s="828">
        <f>Projection!BD30</f>
        <v>20.577863372128597</v>
      </c>
      <c r="AY10" s="828">
        <f>Projection!BE30</f>
        <v>20.522989069802922</v>
      </c>
      <c r="AZ10" s="828">
        <f>Projection!BF30</f>
        <v>20.591399033368933</v>
      </c>
      <c r="BA10" s="828">
        <f>Projection!BG30</f>
        <v>20.660037030146832</v>
      </c>
      <c r="BB10" s="828">
        <f>Projection!BH30</f>
        <v>20.935504190548791</v>
      </c>
      <c r="BC10" s="828">
        <f>Projection!BI30</f>
        <v>21.84270937213924</v>
      </c>
      <c r="BD10" s="828">
        <f>Projection!BJ30</f>
        <v>22.789226778265277</v>
      </c>
      <c r="BE10" s="828">
        <f>Projection!BK30</f>
        <v>23.434921536982792</v>
      </c>
      <c r="BF10" s="828">
        <f>Projection!BL30</f>
        <v>23.51303794210607</v>
      </c>
      <c r="BG10" s="828">
        <f>Projection!BM30</f>
        <v>22.180632458720059</v>
      </c>
      <c r="BH10" s="828">
        <f>Projection!BN30</f>
        <v>21.810955251074724</v>
      </c>
      <c r="BI10" s="828">
        <f>Projection!BO30</f>
        <v>21.556494106478851</v>
      </c>
      <c r="BJ10" s="828">
        <f>Projection!BP30</f>
        <v>21.326558169343077</v>
      </c>
      <c r="BK10" s="828">
        <f>Projection!BQ30</f>
        <v>21.269687347558161</v>
      </c>
      <c r="BL10" s="828">
        <f>Projection!BR30</f>
        <v>21.340586305383358</v>
      </c>
      <c r="BM10" s="828">
        <f>Projection!BS30</f>
        <v>21.41172159306797</v>
      </c>
      <c r="BN10" s="828">
        <f>Projection!BT30</f>
        <v>21.697211214308879</v>
      </c>
      <c r="BO10" s="828">
        <f>Projection!BU30</f>
        <v>22.637423700262268</v>
      </c>
      <c r="BP10" s="11"/>
      <c r="BQ10" s="828">
        <f t="shared" ref="BQ10:BU10" si="3">AVERAGEIF($D$2:$BK$2,BQ$3,$D10:$BK10)</f>
        <v>18.918678391177092</v>
      </c>
      <c r="BR10" s="828">
        <f t="shared" si="3"/>
        <v>19.607006223153704</v>
      </c>
      <c r="BS10" s="828">
        <f t="shared" si="3"/>
        <v>20.320377834324464</v>
      </c>
      <c r="BT10" s="828">
        <f t="shared" si="3"/>
        <v>21.059704405157721</v>
      </c>
      <c r="BU10" s="828">
        <f t="shared" si="3"/>
        <v>21.825930268061068</v>
      </c>
    </row>
    <row r="11" spans="1:73" ht="14.25" customHeight="1" x14ac:dyDescent="0.2">
      <c r="A11" s="3"/>
      <c r="B11" s="11" t="s">
        <v>712</v>
      </c>
      <c r="C11" s="11"/>
      <c r="D11" s="829">
        <f>Projection!J29</f>
        <v>3.3333333333333335E-3</v>
      </c>
      <c r="E11" s="829">
        <f>Projection!K29</f>
        <v>3.3333333333333335E-3</v>
      </c>
      <c r="F11" s="829">
        <f>Projection!L29</f>
        <v>1.3333333333333334E-2</v>
      </c>
      <c r="G11" s="829">
        <f>Projection!M29</f>
        <v>4.3333333333333335E-2</v>
      </c>
      <c r="H11" s="829">
        <f>Projection!N29</f>
        <v>4.3333333333333335E-2</v>
      </c>
      <c r="I11" s="829">
        <f>Projection!O29</f>
        <v>2.8333333333333335E-2</v>
      </c>
      <c r="J11" s="829">
        <f>Projection!P29</f>
        <v>3.3333333333333335E-3</v>
      </c>
      <c r="K11" s="829">
        <f>Projection!Q29</f>
        <v>-5.6666666666666664E-2</v>
      </c>
      <c r="L11" s="829">
        <f>Projection!R29</f>
        <v>-1.6666666666666666E-2</v>
      </c>
      <c r="M11" s="829">
        <f>Projection!S29</f>
        <v>-1.1666666666666665E-2</v>
      </c>
      <c r="N11" s="829">
        <f>Projection!T29</f>
        <v>-1.0666666666666666E-2</v>
      </c>
      <c r="O11" s="830">
        <f>Projection!U29</f>
        <v>-2.6666666666666666E-3</v>
      </c>
      <c r="P11" s="831">
        <f>Projection!V29</f>
        <v>3.3333333333333335E-3</v>
      </c>
      <c r="Q11" s="829">
        <f>Projection!W29</f>
        <v>3.3333333333333335E-3</v>
      </c>
      <c r="R11" s="829">
        <f>Projection!X29</f>
        <v>1.3333333333333334E-2</v>
      </c>
      <c r="S11" s="829">
        <f>Projection!Y29</f>
        <v>4.3333333333333335E-2</v>
      </c>
      <c r="T11" s="829">
        <f>Projection!Z29</f>
        <v>4.3333333333333335E-2</v>
      </c>
      <c r="U11" s="829">
        <f>Projection!AA29</f>
        <v>2.8333333333333335E-2</v>
      </c>
      <c r="V11" s="829">
        <f>Projection!AB29</f>
        <v>3.3333333333333335E-3</v>
      </c>
      <c r="W11" s="829">
        <f>Projection!AC29</f>
        <v>-5.6666666666666664E-2</v>
      </c>
      <c r="X11" s="829">
        <f>Projection!AD29</f>
        <v>-1.6666666666666666E-2</v>
      </c>
      <c r="Y11" s="829">
        <f>Projection!AE29</f>
        <v>-1.1666666666666665E-2</v>
      </c>
      <c r="Z11" s="829">
        <f>Projection!AF29</f>
        <v>-1.0666666666666666E-2</v>
      </c>
      <c r="AA11" s="830">
        <f>Projection!AG29</f>
        <v>-2.6666666666666666E-3</v>
      </c>
      <c r="AB11" s="831">
        <f>Projection!AH29</f>
        <v>3.3333333333333335E-3</v>
      </c>
      <c r="AC11" s="829">
        <f>Projection!AI29</f>
        <v>3.3333333333333335E-3</v>
      </c>
      <c r="AD11" s="829">
        <f>Projection!AJ29</f>
        <v>1.3333333333333334E-2</v>
      </c>
      <c r="AE11" s="829">
        <f>Projection!AK29</f>
        <v>4.3333333333333335E-2</v>
      </c>
      <c r="AF11" s="829">
        <f>Projection!AL29</f>
        <v>4.3333333333333335E-2</v>
      </c>
      <c r="AG11" s="829">
        <f>Projection!AM29</f>
        <v>2.8333333333333335E-2</v>
      </c>
      <c r="AH11" s="829">
        <f>Projection!AN29</f>
        <v>3.3333333333333335E-3</v>
      </c>
      <c r="AI11" s="829">
        <f>Projection!AO29</f>
        <v>-5.6666666666666664E-2</v>
      </c>
      <c r="AJ11" s="829">
        <f>Projection!AP29</f>
        <v>-1.6666666666666666E-2</v>
      </c>
      <c r="AK11" s="829">
        <f>Projection!AQ29</f>
        <v>-1.1666666666666665E-2</v>
      </c>
      <c r="AL11" s="829">
        <f>Projection!AR29</f>
        <v>-1.0666666666666666E-2</v>
      </c>
      <c r="AM11" s="830">
        <f>Projection!AS29</f>
        <v>-2.6666666666666666E-3</v>
      </c>
      <c r="AN11" s="831">
        <f>Projection!AT29</f>
        <v>3.3333333333333335E-3</v>
      </c>
      <c r="AO11" s="829">
        <f>Projection!AU29</f>
        <v>3.3333333333333335E-3</v>
      </c>
      <c r="AP11" s="829">
        <f>Projection!AV29</f>
        <v>1.3333333333333334E-2</v>
      </c>
      <c r="AQ11" s="829">
        <f>Projection!AW29</f>
        <v>4.3333333333333335E-2</v>
      </c>
      <c r="AR11" s="829">
        <f>Projection!AX29</f>
        <v>4.3333333333333335E-2</v>
      </c>
      <c r="AS11" s="829">
        <f>Projection!AY29</f>
        <v>2.8333333333333335E-2</v>
      </c>
      <c r="AT11" s="829">
        <f>Projection!AZ29</f>
        <v>3.3333333333333335E-3</v>
      </c>
      <c r="AU11" s="829">
        <f>Projection!BA29</f>
        <v>-5.6666666666666664E-2</v>
      </c>
      <c r="AV11" s="829">
        <f>Projection!BB29</f>
        <v>-1.6666666666666666E-2</v>
      </c>
      <c r="AW11" s="829">
        <f>Projection!BC29</f>
        <v>-1.1666666666666665E-2</v>
      </c>
      <c r="AX11" s="829">
        <f>Projection!BD29</f>
        <v>-1.0666666666666666E-2</v>
      </c>
      <c r="AY11" s="830">
        <f>Projection!BE29</f>
        <v>-2.6666666666666666E-3</v>
      </c>
      <c r="AZ11" s="831">
        <f>Projection!BF29</f>
        <v>3.3333333333333335E-3</v>
      </c>
      <c r="BA11" s="829">
        <f>Projection!BG29</f>
        <v>3.3333333333333335E-3</v>
      </c>
      <c r="BB11" s="829">
        <f>Projection!BH29</f>
        <v>1.3333333333333334E-2</v>
      </c>
      <c r="BC11" s="829">
        <f>Projection!BI29</f>
        <v>4.3333333333333335E-2</v>
      </c>
      <c r="BD11" s="829">
        <f>Projection!BJ29</f>
        <v>4.3333333333333335E-2</v>
      </c>
      <c r="BE11" s="829">
        <f>Projection!BK29</f>
        <v>2.8333333333333335E-2</v>
      </c>
      <c r="BF11" s="829">
        <f>Projection!BL29</f>
        <v>3.3333333333333335E-3</v>
      </c>
      <c r="BG11" s="829">
        <f>Projection!BM29</f>
        <v>-5.6666666666666664E-2</v>
      </c>
      <c r="BH11" s="829">
        <f>Projection!BN29</f>
        <v>-1.6666666666666666E-2</v>
      </c>
      <c r="BI11" s="829">
        <f>Projection!BO29</f>
        <v>-1.1666666666666665E-2</v>
      </c>
      <c r="BJ11" s="829">
        <f>Projection!BP29</f>
        <v>-1.0666666666666666E-2</v>
      </c>
      <c r="BK11" s="829">
        <f>Projection!BQ29</f>
        <v>-2.6666666666666666E-3</v>
      </c>
      <c r="BL11" s="829">
        <f>Projection!BR29</f>
        <v>3.3333333333333335E-3</v>
      </c>
      <c r="BM11" s="829">
        <f>Projection!BV29</f>
        <v>0</v>
      </c>
      <c r="BN11" s="829">
        <f>Projection!BW29</f>
        <v>4.0000000000000008E-2</v>
      </c>
      <c r="BO11" s="829">
        <f>Projection!BX29</f>
        <v>4.0000000000000008E-2</v>
      </c>
      <c r="BP11" s="11"/>
      <c r="BQ11" s="832"/>
      <c r="BR11" s="832"/>
      <c r="BS11" s="832"/>
      <c r="BT11" s="832"/>
      <c r="BU11" s="832"/>
    </row>
    <row r="12" spans="1:73" ht="14.25" customHeight="1" x14ac:dyDescent="0.2">
      <c r="A12" s="3"/>
      <c r="B12" s="11" t="s">
        <v>713</v>
      </c>
      <c r="C12" s="833">
        <f>IF(C$4=TRUE,C10/(1-IF(Summary!$C$18=0.35,0.32,Summary!$C$18)),0)</f>
        <v>0</v>
      </c>
      <c r="D12" s="828">
        <f>IF(D$4=TRUE,D10/(1-IF(Summary!$C$18=0.35,0.32,Summary!$C$18)),0)</f>
        <v>0</v>
      </c>
      <c r="E12" s="828">
        <f>IF(E$4=TRUE,E10/(1-IF(Summary!$C$18=0.35,0.32,Summary!$C$18)),0)</f>
        <v>0</v>
      </c>
      <c r="F12" s="828">
        <f>IF(F$4=TRUE,F10/(1-IF(Summary!$C$18=0.35,0.32,Summary!$C$18)),0)</f>
        <v>0</v>
      </c>
      <c r="G12" s="828">
        <f>IF(G$4=TRUE,G10/(1-IF(Summary!$C$18=0.35,0.32,Summary!$C$18)),0)</f>
        <v>0</v>
      </c>
      <c r="H12" s="828">
        <f>IF(H$4=TRUE,H10/(1-IF(Summary!$C$18=0.35,0.32,Summary!$C$18)),0)</f>
        <v>0</v>
      </c>
      <c r="I12" s="828">
        <f>IF(I$4=TRUE,I10/(1-IF(Summary!$C$18=0.35,0.32,Summary!$C$18)),0)</f>
        <v>0</v>
      </c>
      <c r="J12" s="828">
        <f>IF(J$4=TRUE,J10/(1-IF(Summary!$C$18=0.35,0.32,Summary!$C$18)),0)</f>
        <v>0</v>
      </c>
      <c r="K12" s="828">
        <f>IF(K$4=TRUE,K10/(1-IF(Summary!$C$18=0.35,0.32,Summary!$C$18)),0)</f>
        <v>0</v>
      </c>
      <c r="L12" s="828">
        <f>IF(L$4=TRUE,L10/(1-IF(Summary!$C$18=0.35,0.32,Summary!$C$18)),0)</f>
        <v>0</v>
      </c>
      <c r="M12" s="828">
        <f>IF(M$4=TRUE,M10/(1-IF(Summary!$C$18=0.35,0.32,Summary!$C$18)),0)</f>
        <v>0</v>
      </c>
      <c r="N12" s="828">
        <f>IF(N$4=TRUE,N10/(1-IF(Summary!$C$18=0.35,0.32,Summary!$C$18)),0)</f>
        <v>0</v>
      </c>
      <c r="O12" s="834">
        <f>IF(O$4=TRUE,O10/(1-IF(Summary!$C$18=0.35,0.32,Summary!$C$18)),0)</f>
        <v>0</v>
      </c>
      <c r="P12" s="835">
        <f>IF(P$4=TRUE,P10/(1-IF(Summary!$C$18=0.35,0.32,Summary!$C$18)),0)</f>
        <v>0</v>
      </c>
      <c r="Q12" s="828">
        <f>IF(Q$4=TRUE,Q10/(1-IF(Summary!$C$18=0.35,0.32,Summary!$C$18)),0)</f>
        <v>0</v>
      </c>
      <c r="R12" s="828">
        <f>IF(R$4=TRUE,R10/(1-IF(Summary!$C$18=0.35,0.32,Summary!$C$18)),0)</f>
        <v>0</v>
      </c>
      <c r="S12" s="828">
        <f>IF(S$4=TRUE,S10/(1-IF(Summary!$C$18=0.35,0.32,Summary!$C$18)),0)</f>
        <v>0</v>
      </c>
      <c r="T12" s="828">
        <f>IF(T$4=TRUE,T10/(1-IF(Summary!$C$18=0.35,0.32,Summary!$C$18)),0)</f>
        <v>0</v>
      </c>
      <c r="U12" s="828">
        <f>IF(U$4=TRUE,U10/(1-IF(Summary!$C$18=0.35,0.32,Summary!$C$18)),0)</f>
        <v>0</v>
      </c>
      <c r="V12" s="828">
        <f>IF(V$4=TRUE,V10/(1-IF(Summary!$C$18=0.35,0.32,Summary!$C$18)),0)</f>
        <v>0</v>
      </c>
      <c r="W12" s="828">
        <f>IF(W$4=TRUE,W10/(1-IF(Summary!$C$18=0.35,0.32,Summary!$C$18)),0)</f>
        <v>0</v>
      </c>
      <c r="X12" s="828">
        <f>IF(X$4=TRUE,X10/(1-IF(Summary!$C$18=0.35,0.32,Summary!$C$18)),0)</f>
        <v>0</v>
      </c>
      <c r="Y12" s="828">
        <f>IF(Y$4=TRUE,Y10/(1-IF(Summary!$C$18=0.35,0.32,Summary!$C$18)),0)</f>
        <v>0</v>
      </c>
      <c r="Z12" s="828">
        <f>IF(Z$4=TRUE,Z10/(1-IF(Summary!$C$18=0.35,0.32,Summary!$C$18)),0)</f>
        <v>0</v>
      </c>
      <c r="AA12" s="834">
        <f>IF(AA$4=TRUE,AA10/(1-IF(Summary!$C$18=0.35,0.32,Summary!$C$18)),0)</f>
        <v>0</v>
      </c>
      <c r="AB12" s="835">
        <f>IF(AB$4=TRUE,AB10/(1-IF(Summary!$C$18=0.35,0.32,Summary!$C$18)),0)</f>
        <v>0</v>
      </c>
      <c r="AC12" s="828">
        <f>IF(AC$4=TRUE,AC10/(1-IF(Summary!$C$18=0.35,0.32,Summary!$C$18)),0)</f>
        <v>0</v>
      </c>
      <c r="AD12" s="828">
        <f>IF(AD$4=TRUE,AD10/(1-IF(Summary!$C$18=0.35,0.32,Summary!$C$18)),0)</f>
        <v>0</v>
      </c>
      <c r="AE12" s="828">
        <f>IF(AE$4=TRUE,AE10/(1-IF(Summary!$C$18=0.35,0.32,Summary!$C$18)),0)</f>
        <v>0</v>
      </c>
      <c r="AF12" s="828">
        <f>IF(AF$4=TRUE,AF10/(1-IF(Summary!$C$18=0.35,0.32,Summary!$C$18)),0)</f>
        <v>0</v>
      </c>
      <c r="AG12" s="828">
        <f>IF(AG$4=TRUE,AG10/(1-IF(Summary!$C$18=0.35,0.32,Summary!$C$18)),0)</f>
        <v>0</v>
      </c>
      <c r="AH12" s="828">
        <f>IF(AH$4=TRUE,AH10/(1-IF(Summary!$C$18=0.35,0.32,Summary!$C$18)),0)</f>
        <v>0</v>
      </c>
      <c r="AI12" s="828">
        <f>IF(AI$4=TRUE,AI10/(1-IF(Summary!$C$18=0.35,0.32,Summary!$C$18)),0)</f>
        <v>0</v>
      </c>
      <c r="AJ12" s="828">
        <f>IF(AJ$4=TRUE,AJ10/(1-IF(Summary!$C$18=0.35,0.32,Summary!$C$18)),0)</f>
        <v>0</v>
      </c>
      <c r="AK12" s="828">
        <f>IF(AK$4=TRUE,AK10/(1-IF(Summary!$C$18=0.35,0.32,Summary!$C$18)),0)</f>
        <v>0</v>
      </c>
      <c r="AL12" s="828">
        <f>IF(AL$4=TRUE,AL10/(1-IF(Summary!$C$18=0.35,0.32,Summary!$C$18)),0)</f>
        <v>0</v>
      </c>
      <c r="AM12" s="834">
        <f>IF(AM$4=TRUE,AM10/(1-IF(Summary!$C$18=0.35,0.32,Summary!$C$18)),0)</f>
        <v>0</v>
      </c>
      <c r="AN12" s="835">
        <f>IF(AN$4=TRUE,AN10/(1-IF(Summary!$C$18=0.35,0.32,Summary!$C$18)),0)</f>
        <v>0</v>
      </c>
      <c r="AO12" s="828">
        <f>IF(AO$4=TRUE,AO10/(1-IF(Summary!$C$18=0.35,0.32,Summary!$C$18)),0)</f>
        <v>0</v>
      </c>
      <c r="AP12" s="828">
        <f>IF(AP$4=TRUE,AP10/(1-IF(Summary!$C$18=0.35,0.32,Summary!$C$18)),0)</f>
        <v>0</v>
      </c>
      <c r="AQ12" s="828">
        <f>IF(AQ$4=TRUE,AQ10/(1-IF(Summary!$C$18=0.35,0.32,Summary!$C$18)),0)</f>
        <v>0</v>
      </c>
      <c r="AR12" s="828">
        <f>IF(AR$4=TRUE,AR10/(1-IF(Summary!$C$18=0.35,0.32,Summary!$C$18)),0)</f>
        <v>0</v>
      </c>
      <c r="AS12" s="828">
        <f>IF(AS$4=TRUE,AS10/(1-IF(Summary!$C$18=0.35,0.32,Summary!$C$18)),0)</f>
        <v>0</v>
      </c>
      <c r="AT12" s="828">
        <f>IF(AT$4=TRUE,AT10/(1-IF(Summary!$C$18=0.35,0.32,Summary!$C$18)),0)</f>
        <v>0</v>
      </c>
      <c r="AU12" s="828">
        <f>IF(AU$4=TRUE,AU10/(1-IF(Summary!$C$18=0.35,0.32,Summary!$C$18)),0)</f>
        <v>0</v>
      </c>
      <c r="AV12" s="828">
        <f>IF(AV$4=TRUE,AV10/(1-IF(Summary!$C$18=0.35,0.32,Summary!$C$18)),0)</f>
        <v>0</v>
      </c>
      <c r="AW12" s="828">
        <f>IF(AW$4=TRUE,AW10/(1-IF(Summary!$C$18=0.35,0.32,Summary!$C$18)),0)</f>
        <v>0</v>
      </c>
      <c r="AX12" s="828">
        <f>IF(AX$4=TRUE,AX10/(1-IF(Summary!$C$18=0.35,0.32,Summary!$C$18)),0)</f>
        <v>0</v>
      </c>
      <c r="AY12" s="834">
        <f>IF(AY$4=TRUE,AY10/(1-IF(Summary!$C$18=0.35,0.32,Summary!$C$18)),0)</f>
        <v>0</v>
      </c>
      <c r="AZ12" s="835">
        <f>IF(AZ$4=TRUE,AZ10/(1-IF(Summary!$C$18=0.35,0.32,Summary!$C$18)),0)</f>
        <v>0</v>
      </c>
      <c r="BA12" s="828">
        <f>IF(BA$4=TRUE,BA10/(1-IF(Summary!$C$18=0.35,0.32,Summary!$C$18)),0)</f>
        <v>0</v>
      </c>
      <c r="BB12" s="828">
        <f>IF(BB$4=TRUE,BB10/(1-IF(Summary!$C$18=0.35,0.32,Summary!$C$18)),0)</f>
        <v>0</v>
      </c>
      <c r="BC12" s="828">
        <f>IF(BC$4=TRUE,BC10/(1-IF(Summary!$C$18=0.35,0.32,Summary!$C$18)),0)</f>
        <v>0</v>
      </c>
      <c r="BD12" s="828">
        <f>IF(BD$4=TRUE,BD10/(1-IF(Summary!$C$18=0.35,0.32,Summary!$C$18)),0)</f>
        <v>0</v>
      </c>
      <c r="BE12" s="828">
        <f>IF(BE$4=TRUE,BE10/(1-IF(Summary!$C$18=0.35,0.32,Summary!$C$18)),0)</f>
        <v>0</v>
      </c>
      <c r="BF12" s="828">
        <f>IF(BF$4=TRUE,BF10/(1-IF(Summary!$C$18=0.35,0.32,Summary!$C$18)),0)</f>
        <v>0</v>
      </c>
      <c r="BG12" s="828">
        <f>IF(BG$4=TRUE,BG10/(1-IF(Summary!$C$18=0.35,0.32,Summary!$C$18)),0)</f>
        <v>0</v>
      </c>
      <c r="BH12" s="828">
        <f>IF(BH$4=TRUE,BH10/(1-IF(Summary!$C$18=0.35,0.32,Summary!$C$18)),0)</f>
        <v>0</v>
      </c>
      <c r="BI12" s="828">
        <f>IF(BI$4=TRUE,BI10/(1-IF(Summary!$C$18=0.35,0.32,Summary!$C$18)),0)</f>
        <v>0</v>
      </c>
      <c r="BJ12" s="828">
        <f>IF(BJ$4=TRUE,BJ10/(1-IF(Summary!$C$18=0.35,0.32,Summary!$C$18)),0)</f>
        <v>0</v>
      </c>
      <c r="BK12" s="828">
        <f>IF(BK$4=TRUE,BK10/(1-IF(Summary!$C$18=0.35,0.32,Summary!$C$18)),0)</f>
        <v>0</v>
      </c>
      <c r="BL12" s="828">
        <f>IF(BL$4=TRUE,BL10/(1-IF(Summary!$C$18=0.35,0.32,Summary!$C$18)),0)</f>
        <v>0</v>
      </c>
      <c r="BM12" s="828">
        <f>IF(BM$4=TRUE,BM10/(1-IF(Summary!$C$18=0.35,0.32,Summary!$C$18)),0)</f>
        <v>0</v>
      </c>
      <c r="BN12" s="828">
        <f>IF(BN$4=TRUE,BN10/(1-IF(Summary!$C$18=0.35,0.32,Summary!$C$18)),0)</f>
        <v>0</v>
      </c>
      <c r="BO12" s="828">
        <f>IF(BO$4=TRUE,BO10/(1-IF(Summary!$C$18=0.35,0.32,Summary!$C$18)),0)</f>
        <v>0</v>
      </c>
      <c r="BP12" s="11"/>
      <c r="BQ12" s="828">
        <f t="shared" ref="BQ12:BU12" si="4">AVERAGEIF($D$2:$BK$2,BQ$3,$D12:$BK12)</f>
        <v>0</v>
      </c>
      <c r="BR12" s="828">
        <f t="shared" si="4"/>
        <v>0</v>
      </c>
      <c r="BS12" s="828">
        <f t="shared" si="4"/>
        <v>0</v>
      </c>
      <c r="BT12" s="828">
        <f t="shared" si="4"/>
        <v>0</v>
      </c>
      <c r="BU12" s="828">
        <f t="shared" si="4"/>
        <v>0</v>
      </c>
    </row>
    <row r="13" spans="1:73" ht="14.25" customHeight="1" x14ac:dyDescent="0.2">
      <c r="A13" s="3"/>
      <c r="B13" s="11" t="s">
        <v>714</v>
      </c>
      <c r="C13" s="833">
        <f>IF(C$4=TRUE,C12*(1-Summary!$C$18),0)</f>
        <v>0</v>
      </c>
      <c r="D13" s="828">
        <f>IF(D$4=TRUE,D12*(1-Summary!$C$18),0)</f>
        <v>0</v>
      </c>
      <c r="E13" s="828">
        <f>IF(E$4=TRUE,E12*(1-Summary!$C$18),0)</f>
        <v>0</v>
      </c>
      <c r="F13" s="828">
        <f>IF(F$4=TRUE,F12*(1-Summary!$C$18),0)</f>
        <v>0</v>
      </c>
      <c r="G13" s="828">
        <f>IF(G$4=TRUE,G12*(1-Summary!$C$18),0)</f>
        <v>0</v>
      </c>
      <c r="H13" s="828">
        <f>IF(H$4=TRUE,H12*(1-Summary!$C$18),0)</f>
        <v>0</v>
      </c>
      <c r="I13" s="828">
        <f>IF(I$4=TRUE,I12*(1-Summary!$C$18),0)</f>
        <v>0</v>
      </c>
      <c r="J13" s="828">
        <f>IF(J$4=TRUE,J12*(1-Summary!$C$18),0)</f>
        <v>0</v>
      </c>
      <c r="K13" s="828">
        <f>IF(K$4=TRUE,K12*(1-Summary!$C$18),0)</f>
        <v>0</v>
      </c>
      <c r="L13" s="828">
        <f>IF(L$4=TRUE,L12*(1-Summary!$C$18),0)</f>
        <v>0</v>
      </c>
      <c r="M13" s="828">
        <f>IF(M$4=TRUE,M12*(1-Summary!$C$18),0)</f>
        <v>0</v>
      </c>
      <c r="N13" s="828">
        <f>IF(N$4=TRUE,N12*(1-Summary!$C$18),0)</f>
        <v>0</v>
      </c>
      <c r="O13" s="834">
        <f>IF(O$4=TRUE,O12*(1-Summary!$C$18),0)</f>
        <v>0</v>
      </c>
      <c r="P13" s="835">
        <f>IF(P$4=TRUE,P12*(1-Summary!$C$18),0)</f>
        <v>0</v>
      </c>
      <c r="Q13" s="828">
        <f>IF(Q$4=TRUE,Q12*(1-Summary!$C$18),0)</f>
        <v>0</v>
      </c>
      <c r="R13" s="828">
        <f>IF(R$4=TRUE,R12*(1-Summary!$C$18),0)</f>
        <v>0</v>
      </c>
      <c r="S13" s="828">
        <f>IF(S$4=TRUE,S12*(1-Summary!$C$18),0)</f>
        <v>0</v>
      </c>
      <c r="T13" s="828">
        <f>IF(T$4=TRUE,T12*(1-Summary!$C$18),0)</f>
        <v>0</v>
      </c>
      <c r="U13" s="828">
        <f>IF(U$4=TRUE,U12*(1-Summary!$C$18),0)</f>
        <v>0</v>
      </c>
      <c r="V13" s="828">
        <f>IF(V$4=TRUE,V12*(1-Summary!$C$18),0)</f>
        <v>0</v>
      </c>
      <c r="W13" s="828">
        <f>IF(W$4=TRUE,W12*(1-Summary!$C$18),0)</f>
        <v>0</v>
      </c>
      <c r="X13" s="828">
        <f>IF(X$4=TRUE,X12*(1-Summary!$C$18),0)</f>
        <v>0</v>
      </c>
      <c r="Y13" s="828">
        <f>IF(Y$4=TRUE,Y12*(1-Summary!$C$18),0)</f>
        <v>0</v>
      </c>
      <c r="Z13" s="828">
        <f>IF(Z$4=TRUE,Z12*(1-Summary!$C$18),0)</f>
        <v>0</v>
      </c>
      <c r="AA13" s="834">
        <f>IF(AA$4=TRUE,AA12*(1-Summary!$C$18),0)</f>
        <v>0</v>
      </c>
      <c r="AB13" s="835">
        <f>IF(AB$4=TRUE,AB12*(1-Summary!$C$18),0)</f>
        <v>0</v>
      </c>
      <c r="AC13" s="828">
        <f>IF(AC$4=TRUE,AC12*(1-Summary!$C$18),0)</f>
        <v>0</v>
      </c>
      <c r="AD13" s="828">
        <f>IF(AD$4=TRUE,AD12*(1-Summary!$C$18),0)</f>
        <v>0</v>
      </c>
      <c r="AE13" s="828">
        <f>IF(AE$4=TRUE,AE12*(1-Summary!$C$18),0)</f>
        <v>0</v>
      </c>
      <c r="AF13" s="828">
        <f>IF(AF$4=TRUE,AF12*(1-Summary!$C$18),0)</f>
        <v>0</v>
      </c>
      <c r="AG13" s="828">
        <f>IF(AG$4=TRUE,AG12*(1-Summary!$C$18),0)</f>
        <v>0</v>
      </c>
      <c r="AH13" s="828">
        <f>IF(AH$4=TRUE,AH12*(1-Summary!$C$18),0)</f>
        <v>0</v>
      </c>
      <c r="AI13" s="828">
        <f>IF(AI$4=TRUE,AI12*(1-Summary!$C$18),0)</f>
        <v>0</v>
      </c>
      <c r="AJ13" s="828">
        <f>IF(AJ$4=TRUE,AJ12*(1-Summary!$C$18),0)</f>
        <v>0</v>
      </c>
      <c r="AK13" s="828">
        <f>IF(AK$4=TRUE,AK12*(1-Summary!$C$18),0)</f>
        <v>0</v>
      </c>
      <c r="AL13" s="828">
        <f>IF(AL$4=TRUE,AL12*(1-Summary!$C$18),0)</f>
        <v>0</v>
      </c>
      <c r="AM13" s="834">
        <f>IF(AM$4=TRUE,AM12*(1-Summary!$C$18),0)</f>
        <v>0</v>
      </c>
      <c r="AN13" s="835">
        <f>IF(AN$4=TRUE,AN12*(1-Summary!$C$18),0)</f>
        <v>0</v>
      </c>
      <c r="AO13" s="828">
        <f>IF(AO$4=TRUE,AO12*(1-Summary!$C$18),0)</f>
        <v>0</v>
      </c>
      <c r="AP13" s="828">
        <f>IF(AP$4=TRUE,AP12*(1-Summary!$C$18),0)</f>
        <v>0</v>
      </c>
      <c r="AQ13" s="828">
        <f>IF(AQ$4=TRUE,AQ12*(1-Summary!$C$18),0)</f>
        <v>0</v>
      </c>
      <c r="AR13" s="828">
        <f>IF(AR$4=TRUE,AR12*(1-Summary!$C$18),0)</f>
        <v>0</v>
      </c>
      <c r="AS13" s="828">
        <f>IF(AS$4=TRUE,AS12*(1-Summary!$C$18),0)</f>
        <v>0</v>
      </c>
      <c r="AT13" s="828">
        <f>IF(AT$4=TRUE,AT12*(1-Summary!$C$18),0)</f>
        <v>0</v>
      </c>
      <c r="AU13" s="828">
        <f>IF(AU$4=TRUE,AU12*(1-Summary!$C$18),0)</f>
        <v>0</v>
      </c>
      <c r="AV13" s="828">
        <f>IF(AV$4=TRUE,AV12*(1-Summary!$C$18),0)</f>
        <v>0</v>
      </c>
      <c r="AW13" s="828">
        <f>IF(AW$4=TRUE,AW12*(1-Summary!$C$18),0)</f>
        <v>0</v>
      </c>
      <c r="AX13" s="828">
        <f>IF(AX$4=TRUE,AX12*(1-Summary!$C$18),0)</f>
        <v>0</v>
      </c>
      <c r="AY13" s="834">
        <f>IF(AY$4=TRUE,AY12*(1-Summary!$C$18),0)</f>
        <v>0</v>
      </c>
      <c r="AZ13" s="835">
        <f>IF(AZ$4=TRUE,AZ12*(1-Summary!$C$18),0)</f>
        <v>0</v>
      </c>
      <c r="BA13" s="828">
        <f>IF(BA$4=TRUE,BA12*(1-Summary!$C$18),0)</f>
        <v>0</v>
      </c>
      <c r="BB13" s="828">
        <f>IF(BB$4=TRUE,BB12*(1-Summary!$C$18),0)</f>
        <v>0</v>
      </c>
      <c r="BC13" s="828">
        <f>IF(BC$4=TRUE,BC12*(1-Summary!$C$18),0)</f>
        <v>0</v>
      </c>
      <c r="BD13" s="828">
        <f>IF(BD$4=TRUE,BD12*(1-Summary!$C$18),0)</f>
        <v>0</v>
      </c>
      <c r="BE13" s="828">
        <f>IF(BE$4=TRUE,BE12*(1-Summary!$C$18),0)</f>
        <v>0</v>
      </c>
      <c r="BF13" s="828">
        <f>IF(BF$4=TRUE,BF12*(1-Summary!$C$18),0)</f>
        <v>0</v>
      </c>
      <c r="BG13" s="828">
        <f>IF(BG$4=TRUE,BG12*(1-Summary!$C$18),0)</f>
        <v>0</v>
      </c>
      <c r="BH13" s="828">
        <f>IF(BH$4=TRUE,BH12*(1-Summary!$C$18),0)</f>
        <v>0</v>
      </c>
      <c r="BI13" s="828">
        <f>IF(BI$4=TRUE,BI12*(1-Summary!$C$18),0)</f>
        <v>0</v>
      </c>
      <c r="BJ13" s="828">
        <f>IF(BJ$4=TRUE,BJ12*(1-Summary!$C$18),0)</f>
        <v>0</v>
      </c>
      <c r="BK13" s="828">
        <f>IF(BK$4=TRUE,BK12*(1-Summary!$C$18),0)</f>
        <v>0</v>
      </c>
      <c r="BL13" s="828">
        <f>IF(BL$4=TRUE,BL12*(1-Summary!$C$18),0)</f>
        <v>0</v>
      </c>
      <c r="BM13" s="828">
        <f>IF(BM$4=TRUE,BM12*(1-Summary!$C$18),0)</f>
        <v>0</v>
      </c>
      <c r="BN13" s="828">
        <f>IF(BN$4=TRUE,BN12*(1-Summary!$C$18),0)</f>
        <v>0</v>
      </c>
      <c r="BO13" s="828">
        <f>IF(BO$4=TRUE,BO12*(1-Summary!$C$18),0)</f>
        <v>0</v>
      </c>
      <c r="BP13" s="11"/>
      <c r="BQ13" s="828">
        <f t="shared" ref="BQ13:BU13" si="5">AVERAGEIF($D$2:$BK$2,BQ$3,$D13:$BK13)</f>
        <v>0</v>
      </c>
      <c r="BR13" s="828">
        <f t="shared" si="5"/>
        <v>0</v>
      </c>
      <c r="BS13" s="828">
        <f t="shared" si="5"/>
        <v>0</v>
      </c>
      <c r="BT13" s="828">
        <f t="shared" si="5"/>
        <v>0</v>
      </c>
      <c r="BU13" s="828">
        <f t="shared" si="5"/>
        <v>0</v>
      </c>
    </row>
    <row r="14" spans="1:73" ht="14.25" customHeight="1" x14ac:dyDescent="0.2">
      <c r="A14" s="3"/>
      <c r="B14" s="11" t="s">
        <v>715</v>
      </c>
      <c r="C14" s="833">
        <f t="shared" ref="C14:BO14" si="6">IF(C$4=TRUE,0,C10/(1-C18/13))</f>
        <v>19.271732162509462</v>
      </c>
      <c r="D14" s="828">
        <f t="shared" si="6"/>
        <v>19.335971269717827</v>
      </c>
      <c r="E14" s="828">
        <f t="shared" si="6"/>
        <v>19.400424507283557</v>
      </c>
      <c r="F14" s="828">
        <f t="shared" si="6"/>
        <v>19.65909683404734</v>
      </c>
      <c r="G14" s="828">
        <f t="shared" si="6"/>
        <v>20.510991030189391</v>
      </c>
      <c r="H14" s="828">
        <f t="shared" si="6"/>
        <v>21.399800641497603</v>
      </c>
      <c r="I14" s="828">
        <f t="shared" si="6"/>
        <v>22.006128326340033</v>
      </c>
      <c r="J14" s="828">
        <f t="shared" si="6"/>
        <v>22.079482087427834</v>
      </c>
      <c r="K14" s="828">
        <f t="shared" si="6"/>
        <v>20.828311435806921</v>
      </c>
      <c r="L14" s="828">
        <f t="shared" si="6"/>
        <v>20.481172911876804</v>
      </c>
      <c r="M14" s="828">
        <f t="shared" si="6"/>
        <v>20.242225894571575</v>
      </c>
      <c r="N14" s="828">
        <f t="shared" si="6"/>
        <v>20.026308818362814</v>
      </c>
      <c r="O14" s="834">
        <f t="shared" si="6"/>
        <v>19.972905328180513</v>
      </c>
      <c r="P14" s="835">
        <f t="shared" si="6"/>
        <v>20.039481679274449</v>
      </c>
      <c r="Q14" s="828">
        <f t="shared" si="6"/>
        <v>20.106279951538699</v>
      </c>
      <c r="R14" s="828">
        <f t="shared" si="6"/>
        <v>20.374363684225884</v>
      </c>
      <c r="S14" s="828">
        <f t="shared" si="6"/>
        <v>21.257252777209004</v>
      </c>
      <c r="T14" s="828">
        <f t="shared" si="6"/>
        <v>22.178400397554732</v>
      </c>
      <c r="U14" s="828">
        <f t="shared" si="6"/>
        <v>22.806788408818782</v>
      </c>
      <c r="V14" s="828">
        <f t="shared" si="6"/>
        <v>22.882811036848178</v>
      </c>
      <c r="W14" s="828">
        <f t="shared" si="6"/>
        <v>21.586118411426781</v>
      </c>
      <c r="X14" s="828">
        <f t="shared" si="6"/>
        <v>21.226349771236336</v>
      </c>
      <c r="Y14" s="828">
        <f t="shared" si="6"/>
        <v>20.978709023905246</v>
      </c>
      <c r="Z14" s="828">
        <f t="shared" si="6"/>
        <v>20.754936127650254</v>
      </c>
      <c r="AA14" s="834">
        <f t="shared" si="6"/>
        <v>20.699589631309852</v>
      </c>
      <c r="AB14" s="835">
        <f t="shared" si="6"/>
        <v>20.76858826341422</v>
      </c>
      <c r="AC14" s="828">
        <f t="shared" si="6"/>
        <v>20.837816890958937</v>
      </c>
      <c r="AD14" s="828">
        <f t="shared" si="6"/>
        <v>21.115654449505058</v>
      </c>
      <c r="AE14" s="828">
        <f t="shared" si="6"/>
        <v>22.030666142316946</v>
      </c>
      <c r="AF14" s="828">
        <f t="shared" si="6"/>
        <v>22.98532834181735</v>
      </c>
      <c r="AG14" s="828">
        <f t="shared" si="6"/>
        <v>23.54480866230853</v>
      </c>
      <c r="AH14" s="828">
        <f t="shared" si="6"/>
        <v>23.443893475857116</v>
      </c>
      <c r="AI14" s="828">
        <f t="shared" si="6"/>
        <v>21.978350461360186</v>
      </c>
      <c r="AJ14" s="828">
        <f t="shared" si="6"/>
        <v>21.48545821582611</v>
      </c>
      <c r="AK14" s="828">
        <f t="shared" si="6"/>
        <v>21.099846036626172</v>
      </c>
      <c r="AL14" s="828">
        <f t="shared" si="6"/>
        <v>20.741711470616472</v>
      </c>
      <c r="AM14" s="834">
        <f t="shared" si="6"/>
        <v>20.567718531669986</v>
      </c>
      <c r="AN14" s="835">
        <f t="shared" si="6"/>
        <v>20.750732967269698</v>
      </c>
      <c r="AO14" s="828">
        <f t="shared" si="6"/>
        <v>20.819902077160599</v>
      </c>
      <c r="AP14" s="828">
        <f t="shared" si="6"/>
        <v>21.069809120645466</v>
      </c>
      <c r="AQ14" s="828">
        <f t="shared" si="6"/>
        <v>21.933779992824661</v>
      </c>
      <c r="AR14" s="828">
        <f t="shared" si="6"/>
        <v>22.745250526991224</v>
      </c>
      <c r="AS14" s="828">
        <f t="shared" si="6"/>
        <v>23.296929684594847</v>
      </c>
      <c r="AT14" s="828">
        <f t="shared" si="6"/>
        <v>23.350689609510646</v>
      </c>
      <c r="AU14" s="828">
        <f t="shared" si="6"/>
        <v>22.11622335675774</v>
      </c>
      <c r="AV14" s="828">
        <f t="shared" si="6"/>
        <v>21.810715092693755</v>
      </c>
      <c r="AW14" s="828">
        <f t="shared" si="6"/>
        <v>21.616770102731884</v>
      </c>
      <c r="AX14" s="828">
        <f t="shared" si="6"/>
        <v>21.444348062610288</v>
      </c>
      <c r="AY14" s="834">
        <f t="shared" si="6"/>
        <v>21.434269800281932</v>
      </c>
      <c r="AZ14" s="835">
        <f t="shared" si="6"/>
        <v>21.505717366282873</v>
      </c>
      <c r="BA14" s="828">
        <f t="shared" si="6"/>
        <v>21.577403090837151</v>
      </c>
      <c r="BB14" s="828">
        <f t="shared" si="6"/>
        <v>21.836402628516424</v>
      </c>
      <c r="BC14" s="828">
        <f t="shared" si="6"/>
        <v>22.731807789341033</v>
      </c>
      <c r="BD14" s="828">
        <f t="shared" si="6"/>
        <v>23.572802465836499</v>
      </c>
      <c r="BE14" s="828">
        <f t="shared" si="6"/>
        <v>24.144553644891527</v>
      </c>
      <c r="BF14" s="828">
        <f t="shared" si="6"/>
        <v>24.200269544310373</v>
      </c>
      <c r="BG14" s="828">
        <f t="shared" si="6"/>
        <v>22.920889082338604</v>
      </c>
      <c r="BH14" s="828">
        <f t="shared" si="6"/>
        <v>22.604265356786986</v>
      </c>
      <c r="BI14" s="828">
        <f t="shared" si="6"/>
        <v>22.403263968291196</v>
      </c>
      <c r="BJ14" s="828">
        <f t="shared" si="6"/>
        <v>22.224568609991245</v>
      </c>
      <c r="BK14" s="828">
        <f t="shared" si="6"/>
        <v>22.214123665153931</v>
      </c>
      <c r="BL14" s="828">
        <f t="shared" si="6"/>
        <v>22.288170744037782</v>
      </c>
      <c r="BM14" s="828">
        <f t="shared" si="6"/>
        <v>22.362464646517907</v>
      </c>
      <c r="BN14" s="828">
        <f t="shared" si="6"/>
        <v>22.630887495200604</v>
      </c>
      <c r="BO14" s="828">
        <f t="shared" si="6"/>
        <v>23.558870634272285</v>
      </c>
      <c r="BP14" s="11"/>
      <c r="BQ14" s="828">
        <f t="shared" ref="BQ14:BU14" si="7">AVERAGEIF($D$2:$BK$2,BQ$3,$D14:$BK14)</f>
        <v>20.495234923775183</v>
      </c>
      <c r="BR14" s="828">
        <f t="shared" si="7"/>
        <v>21.240923408416517</v>
      </c>
      <c r="BS14" s="828">
        <f t="shared" si="7"/>
        <v>21.716653411856424</v>
      </c>
      <c r="BT14" s="828">
        <f t="shared" si="7"/>
        <v>21.865785032839398</v>
      </c>
      <c r="BU14" s="828">
        <f t="shared" si="7"/>
        <v>22.661338934381487</v>
      </c>
    </row>
    <row r="15" spans="1:73" ht="9" customHeight="1" x14ac:dyDescent="0.2">
      <c r="A15" s="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83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836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836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836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  <row r="16" spans="1:73" ht="14.25" customHeight="1" x14ac:dyDescent="0.2">
      <c r="A16" s="795" t="s">
        <v>412</v>
      </c>
      <c r="B16" s="796"/>
      <c r="C16" s="796"/>
      <c r="D16" s="796"/>
      <c r="E16" s="796"/>
      <c r="F16" s="796"/>
      <c r="G16" s="796"/>
      <c r="H16" s="796"/>
      <c r="I16" s="796"/>
      <c r="J16" s="796"/>
      <c r="K16" s="796"/>
      <c r="L16" s="796"/>
      <c r="M16" s="796"/>
      <c r="N16" s="796"/>
      <c r="O16" s="817"/>
      <c r="P16" s="796"/>
      <c r="Q16" s="796"/>
      <c r="R16" s="796"/>
      <c r="S16" s="796"/>
      <c r="T16" s="796"/>
      <c r="U16" s="796"/>
      <c r="V16" s="796"/>
      <c r="W16" s="796"/>
      <c r="X16" s="796"/>
      <c r="Y16" s="796"/>
      <c r="Z16" s="796"/>
      <c r="AA16" s="817"/>
      <c r="AB16" s="796"/>
      <c r="AC16" s="796"/>
      <c r="AD16" s="796"/>
      <c r="AE16" s="796"/>
      <c r="AF16" s="796"/>
      <c r="AG16" s="796"/>
      <c r="AH16" s="796"/>
      <c r="AI16" s="796"/>
      <c r="AJ16" s="796"/>
      <c r="AK16" s="796"/>
      <c r="AL16" s="796"/>
      <c r="AM16" s="817"/>
      <c r="AN16" s="796"/>
      <c r="AO16" s="796"/>
      <c r="AP16" s="796"/>
      <c r="AQ16" s="796"/>
      <c r="AR16" s="796"/>
      <c r="AS16" s="796"/>
      <c r="AT16" s="796"/>
      <c r="AU16" s="796"/>
      <c r="AV16" s="796"/>
      <c r="AW16" s="796"/>
      <c r="AX16" s="796"/>
      <c r="AY16" s="817"/>
      <c r="AZ16" s="796"/>
      <c r="BA16" s="796"/>
      <c r="BB16" s="796"/>
      <c r="BC16" s="796"/>
      <c r="BD16" s="796"/>
      <c r="BE16" s="796"/>
      <c r="BF16" s="796"/>
      <c r="BG16" s="796"/>
      <c r="BH16" s="796"/>
      <c r="BI16" s="796"/>
      <c r="BJ16" s="796"/>
      <c r="BK16" s="796"/>
      <c r="BL16" s="796"/>
      <c r="BM16" s="796"/>
      <c r="BN16" s="796"/>
      <c r="BO16" s="796"/>
      <c r="BP16" s="11"/>
      <c r="BQ16" s="796"/>
      <c r="BR16" s="796"/>
      <c r="BS16" s="796"/>
      <c r="BT16" s="796"/>
      <c r="BU16" s="796"/>
    </row>
    <row r="17" spans="1:73" ht="14.25" customHeight="1" x14ac:dyDescent="0.2">
      <c r="A17" s="3"/>
      <c r="B17" s="11" t="s">
        <v>705</v>
      </c>
      <c r="C17" s="11"/>
      <c r="D17" s="799">
        <f>Projection!J18*Projection!$F$5</f>
        <v>2308.858690115092</v>
      </c>
      <c r="E17" s="799">
        <f>Projection!K18*Projection!$F$5</f>
        <v>2281.005058304313</v>
      </c>
      <c r="F17" s="799">
        <f>Projection!L18*Projection!$F$5</f>
        <v>3373.7973669296325</v>
      </c>
      <c r="G17" s="799">
        <f>Projection!M18*Projection!$F$5</f>
        <v>3694.5714901876709</v>
      </c>
      <c r="H17" s="799">
        <f>Projection!N18*Projection!$F$5</f>
        <v>5678.5951413682178</v>
      </c>
      <c r="I17" s="799">
        <f>Projection!O18*Projection!$F$5</f>
        <v>5304.6663409112844</v>
      </c>
      <c r="J17" s="799">
        <f>Projection!P18*Projection!$F$5</f>
        <v>5233.6102339308454</v>
      </c>
      <c r="K17" s="799">
        <f>Projection!Q18*Projection!$F$5</f>
        <v>4986.1446948919001</v>
      </c>
      <c r="L17" s="799">
        <f>Projection!R18*Projection!$F$5</f>
        <v>4711.8624123583686</v>
      </c>
      <c r="M17" s="799">
        <f>Projection!S18*Projection!$F$5</f>
        <v>4824.014849745934</v>
      </c>
      <c r="N17" s="799">
        <f>Projection!T18*Projection!$F$5</f>
        <v>4754.1047710350431</v>
      </c>
      <c r="O17" s="799">
        <f>Projection!U18*Projection!$F$5</f>
        <v>4448.5893553228962</v>
      </c>
      <c r="P17" s="799">
        <f>Projection!V18*Projection!$F$5</f>
        <v>5006.7510743401399</v>
      </c>
      <c r="Q17" s="799">
        <f>Projection!W18*Projection!$F$5</f>
        <v>5012.5851375140992</v>
      </c>
      <c r="R17" s="799">
        <f>Projection!X18*Projection!$F$5</f>
        <v>6333.1503128112963</v>
      </c>
      <c r="S17" s="799">
        <f>Projection!Y18*Projection!$F$5</f>
        <v>6522.2930485913312</v>
      </c>
      <c r="T17" s="799">
        <f>Projection!Z18*Projection!$F$5</f>
        <v>8588.3486065996985</v>
      </c>
      <c r="U17" s="799">
        <f>Projection!AA18*Projection!$F$5</f>
        <v>8192.6762870081293</v>
      </c>
      <c r="V17" s="799">
        <f>Projection!AB18*Projection!$F$5</f>
        <v>8109.8809438584722</v>
      </c>
      <c r="W17" s="799">
        <f>Projection!AC18*Projection!$F$5</f>
        <v>8024.7840809836634</v>
      </c>
      <c r="X17" s="799">
        <f>Projection!AD18*Projection!$F$5</f>
        <v>7542.9971571765718</v>
      </c>
      <c r="Y17" s="799">
        <f>Projection!AE18*Projection!$F$5</f>
        <v>7590.7358032820339</v>
      </c>
      <c r="Z17" s="799">
        <f>Projection!AF18*Projection!$F$5</f>
        <v>7401.918928222789</v>
      </c>
      <c r="AA17" s="799">
        <f>Projection!AG18*Projection!$F$5</f>
        <v>7007.2779563034201</v>
      </c>
      <c r="AB17" s="799">
        <f>Projection!AH18*Projection!$F$5</f>
        <v>6434.7078332590754</v>
      </c>
      <c r="AC17" s="799">
        <f>Projection!AI18*Projection!$F$5</f>
        <v>6229.1181348774999</v>
      </c>
      <c r="AD17" s="799">
        <f>Projection!AJ18*Projection!$F$5</f>
        <v>7359.3185759933986</v>
      </c>
      <c r="AE17" s="799">
        <f>Projection!AK18*Projection!$F$5</f>
        <v>7340.6045134883607</v>
      </c>
      <c r="AF17" s="799">
        <f>Projection!AL18*Projection!$F$5</f>
        <v>8752.4801805153693</v>
      </c>
      <c r="AG17" s="799">
        <f>Projection!AM18*Projection!$F$5</f>
        <v>8535.7067386350245</v>
      </c>
      <c r="AH17" s="799">
        <f>Projection!AN18*Projection!$F$5</f>
        <v>8548.7445478691952</v>
      </c>
      <c r="AI17" s="799">
        <f>Projection!AO18*Projection!$F$5</f>
        <v>8737.785224895837</v>
      </c>
      <c r="AJ17" s="799">
        <f>Projection!AP18*Projection!$F$5</f>
        <v>8205.5651171075442</v>
      </c>
      <c r="AK17" s="799">
        <f>Projection!AQ18*Projection!$F$5</f>
        <v>8166.6313360117347</v>
      </c>
      <c r="AL17" s="799">
        <f>Projection!AR18*Projection!$F$5</f>
        <v>7926.2358732950806</v>
      </c>
      <c r="AM17" s="799">
        <f>Projection!AS18*Projection!$F$5</f>
        <v>7534.9706468860677</v>
      </c>
      <c r="AN17" s="799">
        <f>Projection!AT18*Projection!$F$5</f>
        <v>4574.3198259837809</v>
      </c>
      <c r="AO17" s="799">
        <f>Projection!AU18*Projection!$F$5</f>
        <v>5368.1923375965989</v>
      </c>
      <c r="AP17" s="799">
        <f>Projection!AV18*Projection!$F$5</f>
        <v>6108.3303171303851</v>
      </c>
      <c r="AQ17" s="799">
        <f>Projection!AW18*Projection!$F$5</f>
        <v>6024.9297218818247</v>
      </c>
      <c r="AR17" s="799">
        <f>Projection!AX18*Projection!$F$5</f>
        <v>6960.5956339102122</v>
      </c>
      <c r="AS17" s="799">
        <f>Projection!AY18*Projection!$F$5</f>
        <v>6704.0053368326335</v>
      </c>
      <c r="AT17" s="799">
        <f>Projection!AZ18*Projection!$F$5</f>
        <v>6318.0874525792751</v>
      </c>
      <c r="AU17" s="799">
        <f>Projection!BA18*Projection!$F$5</f>
        <v>5827.1376524010848</v>
      </c>
      <c r="AV17" s="799">
        <f>Projection!BB18*Projection!$F$5</f>
        <v>5512.600050539505</v>
      </c>
      <c r="AW17" s="799">
        <f>Projection!BC18*Projection!$F$5</f>
        <v>5307.3040599062078</v>
      </c>
      <c r="AX17" s="799">
        <f>Projection!BD18*Projection!$F$5</f>
        <v>5037.1218650718074</v>
      </c>
      <c r="AY17" s="799">
        <f>Projection!BE18*Projection!$F$5</f>
        <v>4830.8124164826004</v>
      </c>
      <c r="AZ17" s="799">
        <f>Projection!BF18*Projection!$F$5</f>
        <v>5085.1083718086447</v>
      </c>
      <c r="BA17" s="799">
        <f>Projection!BG18*Projection!$F$5</f>
        <v>4797.1230387622054</v>
      </c>
      <c r="BB17" s="799">
        <f>Projection!BH18*Projection!$F$5</f>
        <v>5443.7022971977422</v>
      </c>
      <c r="BC17" s="799">
        <f>Projection!BI18*Projection!$F$5</f>
        <v>5376.246842304171</v>
      </c>
      <c r="BD17" s="799">
        <f>Projection!BJ18*Projection!$F$5</f>
        <v>6407.4364474159675</v>
      </c>
      <c r="BE17" s="799">
        <f>Projection!BK18*Projection!$F$5</f>
        <v>6254.6048769361514</v>
      </c>
      <c r="BF17" s="799">
        <f>Projection!BL18*Projection!$F$5</f>
        <v>5926.3270907434926</v>
      </c>
      <c r="BG17" s="799">
        <f>Projection!BM18*Projection!$F$5</f>
        <v>5439.3613877650196</v>
      </c>
      <c r="BH17" s="799">
        <f>Projection!BN18*Projection!$F$5</f>
        <v>5169.0642053984775</v>
      </c>
      <c r="BI17" s="799">
        <f>Projection!BO18*Projection!$F$5</f>
        <v>4989.2011331458352</v>
      </c>
      <c r="BJ17" s="799">
        <f>Projection!BP18*Projection!$F$5</f>
        <v>4759.3334484920924</v>
      </c>
      <c r="BK17" s="799">
        <f>Projection!BQ18*Projection!$F$5</f>
        <v>4488.8641539911914</v>
      </c>
      <c r="BL17" s="799">
        <f>Projection!BR18*Projection!$F$5</f>
        <v>4723.2660431435943</v>
      </c>
      <c r="BM17" s="799">
        <f>Projection!BS18*Projection!$F$5</f>
        <v>4563.0418524932174</v>
      </c>
      <c r="BN17" s="799">
        <f>Projection!BT18*Projection!$F$5</f>
        <v>4714.398243937263</v>
      </c>
      <c r="BO17" s="799">
        <f>Projection!BU18*Projection!$F$5</f>
        <v>4238.9281041577342</v>
      </c>
      <c r="BP17" s="11"/>
      <c r="BQ17" s="799">
        <f t="shared" ref="BQ17:BU17" si="8">SUMIF($D$2:$BK$2,BQ$3,$D17:$BK17)</f>
        <v>51599.8204051012</v>
      </c>
      <c r="BR17" s="799">
        <f t="shared" si="8"/>
        <v>85333.399336691626</v>
      </c>
      <c r="BS17" s="799">
        <f t="shared" si="8"/>
        <v>93771.868722834188</v>
      </c>
      <c r="BT17" s="799">
        <f t="shared" si="8"/>
        <v>68573.436670315918</v>
      </c>
      <c r="BU17" s="799">
        <f t="shared" si="8"/>
        <v>64136.373293960991</v>
      </c>
    </row>
    <row r="18" spans="1:73" ht="14.25" customHeight="1" x14ac:dyDescent="0.2">
      <c r="A18" s="3"/>
      <c r="B18" s="11" t="s">
        <v>716</v>
      </c>
      <c r="C18" s="837">
        <f>IF(C$4=TRUE,IF(Summary!$C$18=25%,30%,25%),MAX(MIN(LN(-9.4*C$6+10.27),100%),35%))</f>
        <v>1</v>
      </c>
      <c r="D18" s="819">
        <f>IF(D$4=TRUE,IF(Summary!$C$18=25%,30%,25%),MAX(MIN(LN(-9.4*D$6+10.27),100%),35%))</f>
        <v>1</v>
      </c>
      <c r="E18" s="819">
        <f>IF(E$4=TRUE,IF(Summary!$C$18=25%,30%,25%),MAX(MIN(LN(-9.4*E$6+10.27),100%),35%))</f>
        <v>1</v>
      </c>
      <c r="F18" s="819">
        <f>IF(F$4=TRUE,IF(Summary!$C$18=25%,30%,25%),MAX(MIN(LN(-9.4*F$6+10.27),100%),35%))</f>
        <v>1</v>
      </c>
      <c r="G18" s="819">
        <f>IF(G$4=TRUE,IF(Summary!$C$18=25%,30%,25%),MAX(MIN(LN(-9.4*G$6+10.27),100%),35%))</f>
        <v>1</v>
      </c>
      <c r="H18" s="819">
        <f>IF(H$4=TRUE,IF(Summary!$C$18=25%,30%,25%),MAX(MIN(LN(-9.4*H$6+10.27),100%),35%))</f>
        <v>1</v>
      </c>
      <c r="I18" s="819">
        <f>IF(I$4=TRUE,IF(Summary!$C$18=25%,30%,25%),MAX(MIN(LN(-9.4*I$6+10.27),100%),35%))</f>
        <v>1</v>
      </c>
      <c r="J18" s="819">
        <f>IF(J$4=TRUE,IF(Summary!$C$18=25%,30%,25%),MAX(MIN(LN(-9.4*J$6+10.27),100%),35%))</f>
        <v>1</v>
      </c>
      <c r="K18" s="819">
        <f>IF(K$4=TRUE,IF(Summary!$C$18=25%,30%,25%),MAX(MIN(LN(-9.4*K$6+10.27),100%),35%))</f>
        <v>1</v>
      </c>
      <c r="L18" s="819">
        <f>IF(L$4=TRUE,IF(Summary!$C$18=25%,30%,25%),MAX(MIN(LN(-9.4*L$6+10.27),100%),35%))</f>
        <v>1</v>
      </c>
      <c r="M18" s="819">
        <f>IF(M$4=TRUE,IF(Summary!$C$18=25%,30%,25%),MAX(MIN(LN(-9.4*M$6+10.27),100%),35%))</f>
        <v>1</v>
      </c>
      <c r="N18" s="819">
        <f>IF(N$4=TRUE,IF(Summary!$C$18=25%,30%,25%),MAX(MIN(LN(-9.4*N$6+10.27),100%),35%))</f>
        <v>1</v>
      </c>
      <c r="O18" s="820">
        <f>IF(O$4=TRUE,IF(Summary!$C$18=25%,30%,25%),MAX(MIN(LN(-9.4*O$6+10.27),100%),35%))</f>
        <v>1</v>
      </c>
      <c r="P18" s="821">
        <f>IF(P$4=TRUE,IF(Summary!$C$18=25%,30%,25%),MAX(MIN(LN(-9.4*P$6+10.27),100%),35%))</f>
        <v>1</v>
      </c>
      <c r="Q18" s="819">
        <f>IF(Q$4=TRUE,IF(Summary!$C$18=25%,30%,25%),MAX(MIN(LN(-9.4*Q$6+10.27),100%),35%))</f>
        <v>1</v>
      </c>
      <c r="R18" s="819">
        <f>IF(R$4=TRUE,IF(Summary!$C$18=25%,30%,25%),MAX(MIN(LN(-9.4*R$6+10.27),100%),35%))</f>
        <v>1</v>
      </c>
      <c r="S18" s="819">
        <f>IF(S$4=TRUE,IF(Summary!$C$18=25%,30%,25%),MAX(MIN(LN(-9.4*S$6+10.27),100%),35%))</f>
        <v>1</v>
      </c>
      <c r="T18" s="819">
        <f>IF(T$4=TRUE,IF(Summary!$C$18=25%,30%,25%),MAX(MIN(LN(-9.4*T$6+10.27),100%),35%))</f>
        <v>1</v>
      </c>
      <c r="U18" s="819">
        <f>IF(U$4=TRUE,IF(Summary!$C$18=25%,30%,25%),MAX(MIN(LN(-9.4*U$6+10.27),100%),35%))</f>
        <v>1</v>
      </c>
      <c r="V18" s="819">
        <f>IF(V$4=TRUE,IF(Summary!$C$18=25%,30%,25%),MAX(MIN(LN(-9.4*V$6+10.27),100%),35%))</f>
        <v>1</v>
      </c>
      <c r="W18" s="819">
        <f>IF(W$4=TRUE,IF(Summary!$C$18=25%,30%,25%),MAX(MIN(LN(-9.4*W$6+10.27),100%),35%))</f>
        <v>1</v>
      </c>
      <c r="X18" s="819">
        <f>IF(X$4=TRUE,IF(Summary!$C$18=25%,30%,25%),MAX(MIN(LN(-9.4*X$6+10.27),100%),35%))</f>
        <v>1</v>
      </c>
      <c r="Y18" s="819">
        <f>IF(Y$4=TRUE,IF(Summary!$C$18=25%,30%,25%),MAX(MIN(LN(-9.4*Y$6+10.27),100%),35%))</f>
        <v>1</v>
      </c>
      <c r="Z18" s="819">
        <f>IF(Z$4=TRUE,IF(Summary!$C$18=25%,30%,25%),MAX(MIN(LN(-9.4*Z$6+10.27),100%),35%))</f>
        <v>1</v>
      </c>
      <c r="AA18" s="820">
        <f>IF(AA$4=TRUE,IF(Summary!$C$18=25%,30%,25%),MAX(MIN(LN(-9.4*AA$6+10.27),100%),35%))</f>
        <v>1</v>
      </c>
      <c r="AB18" s="821">
        <f>IF(AB$4=TRUE,IF(Summary!$C$18=25%,30%,25%),MAX(MIN(LN(-9.4*AB$6+10.27),100%),35%))</f>
        <v>1</v>
      </c>
      <c r="AC18" s="819">
        <f>IF(AC$4=TRUE,IF(Summary!$C$18=25%,30%,25%),MAX(MIN(LN(-9.4*AC$6+10.27),100%),35%))</f>
        <v>1</v>
      </c>
      <c r="AD18" s="819">
        <f>IF(AD$4=TRUE,IF(Summary!$C$18=25%,30%,25%),MAX(MIN(LN(-9.4*AD$6+10.27),100%),35%))</f>
        <v>1</v>
      </c>
      <c r="AE18" s="819">
        <f>IF(AE$4=TRUE,IF(Summary!$C$18=25%,30%,25%),MAX(MIN(LN(-9.4*AE$6+10.27),100%),35%))</f>
        <v>1</v>
      </c>
      <c r="AF18" s="819">
        <f>IF(AF$4=TRUE,IF(Summary!$C$18=25%,30%,25%),MAX(MIN(LN(-9.4*AF$6+10.27),100%),35%))</f>
        <v>1</v>
      </c>
      <c r="AG18" s="819">
        <f>IF(AG$4=TRUE,IF(Summary!$C$18=25%,30%,25%),MAX(MIN(LN(-9.4*AG$6+10.27),100%),35%))</f>
        <v>0.95322757529617785</v>
      </c>
      <c r="AH18" s="819">
        <f>IF(AH$4=TRUE,IF(Summary!$C$18=25%,30%,25%),MAX(MIN(LN(-9.4*AH$6+10.27),100%),35%))</f>
        <v>0.86104299597011769</v>
      </c>
      <c r="AI18" s="819">
        <f>IF(AI$4=TRUE,IF(Summary!$C$18=25%,30%,25%),MAX(MIN(LN(-9.4*AI$6+10.27),100%),35%))</f>
        <v>0.78534516481583538</v>
      </c>
      <c r="AJ18" s="819">
        <f>IF(AJ$4=TRUE,IF(Summary!$C$18=25%,30%,25%),MAX(MIN(LN(-9.4*AJ$6+10.27),100%),35%))</f>
        <v>0.71337978142015135</v>
      </c>
      <c r="AK18" s="819">
        <f>IF(AK$4=TRUE,IF(Summary!$C$18=25%,30%,25%),MAX(MIN(LN(-9.4*AK$6+10.27),100%),35%))</f>
        <v>0.63479811945556452</v>
      </c>
      <c r="AL18" s="819">
        <f>IF(AL$4=TRUE,IF(Summary!$C$18=25%,30%,25%),MAX(MIN(LN(-9.4*AL$6+10.27),100%),35%))</f>
        <v>0.5554685159847208</v>
      </c>
      <c r="AM18" s="820">
        <f>IF(AM$4=TRUE,IF(Summary!$C$18=25%,30%,25%),MAX(MIN(LN(-9.4*AM$6+10.27),100%),35%))</f>
        <v>0.48365995569322001</v>
      </c>
      <c r="AN18" s="821">
        <f>IF(AN$4=TRUE,IF(Summary!$C$18=25%,30%,25%),MAX(MIN(LN(-9.4*AN$6+10.27),100%),35%))</f>
        <v>0.55269666784129534</v>
      </c>
      <c r="AO18" s="819">
        <f>IF(AO$4=TRUE,IF(Summary!$C$18=25%,30%,25%),MAX(MIN(LN(-9.4*AO$6+10.27),100%),35%))</f>
        <v>0.55269666784129534</v>
      </c>
      <c r="AP18" s="819">
        <f>IF(AP$4=TRUE,IF(Summary!$C$18=25%,30%,25%),MAX(MIN(LN(-9.4*AP$6+10.27),100%),35%))</f>
        <v>0.53633741293471249</v>
      </c>
      <c r="AQ18" s="819">
        <f>IF(AQ$4=TRUE,IF(Summary!$C$18=25%,30%,25%),MAX(MIN(LN(-9.4*AQ$6+10.27),100%),35%))</f>
        <v>0.5084628345768003</v>
      </c>
      <c r="AR18" s="819">
        <f>IF(AR$4=TRUE,IF(Summary!$C$18=25%,30%,25%),MAX(MIN(LN(-9.4*AR$6+10.27),100%),35%))</f>
        <v>0.43212867681680728</v>
      </c>
      <c r="AS18" s="819">
        <f>IF(AS$4=TRUE,IF(Summary!$C$18=25%,30%,25%),MAX(MIN(LN(-9.4*AS$6+10.27),100%),35%))</f>
        <v>0.38208274787326302</v>
      </c>
      <c r="AT18" s="819">
        <f>IF(AT$4=TRUE,IF(Summary!$C$18=25%,30%,25%),MAX(MIN(LN(-9.4*AT$6+10.27),100%),35%))</f>
        <v>0.36916988929804739</v>
      </c>
      <c r="AU18" s="819">
        <f>IF(AU$4=TRUE,IF(Summary!$C$18=25%,30%,25%),MAX(MIN(LN(-9.4*AU$6+10.27),100%),35%))</f>
        <v>0.41985003602919607</v>
      </c>
      <c r="AV18" s="819">
        <f>IF(AV$4=TRUE,IF(Summary!$C$18=25%,30%,25%),MAX(MIN(LN(-9.4*AV$6+10.27),100%),35%))</f>
        <v>0.45624271399569638</v>
      </c>
      <c r="AW18" s="819">
        <f>IF(AW$4=TRUE,IF(Summary!$C$18=25%,30%,25%),MAX(MIN(LN(-9.4*AW$6+10.27),100%),35%))</f>
        <v>0.49135734057059044</v>
      </c>
      <c r="AX18" s="819">
        <f>IF(AX$4=TRUE,IF(Summary!$C$18=25%,30%,25%),MAX(MIN(LN(-9.4*AX$6+10.27),100%),35%))</f>
        <v>0.52528064473557323</v>
      </c>
      <c r="AY18" s="820">
        <f>IF(AY$4=TRUE,IF(Summary!$C$18=25%,30%,25%),MAX(MIN(LN(-9.4*AY$6+10.27),100%),35%))</f>
        <v>0.55269666784129534</v>
      </c>
      <c r="AZ18" s="821">
        <f>IF(AZ$4=TRUE,IF(Summary!$C$18=25%,30%,25%),MAX(MIN(LN(-9.4*AZ$6+10.27),100%),35%))</f>
        <v>0.55269666784129534</v>
      </c>
      <c r="BA18" s="819">
        <f>IF(BA$4=TRUE,IF(Summary!$C$18=25%,30%,25%),MAX(MIN(LN(-9.4*BA$6+10.27),100%),35%))</f>
        <v>0.55269666784129534</v>
      </c>
      <c r="BB18" s="819">
        <f>IF(BB$4=TRUE,IF(Summary!$C$18=25%,30%,25%),MAX(MIN(LN(-9.4*BB$6+10.27),100%),35%))</f>
        <v>0.53633741293471249</v>
      </c>
      <c r="BC18" s="819">
        <f>IF(BC$4=TRUE,IF(Summary!$C$18=25%,30%,25%),MAX(MIN(LN(-9.4*BC$6+10.27),100%),35%))</f>
        <v>0.5084628345768003</v>
      </c>
      <c r="BD18" s="819">
        <f>IF(BD$4=TRUE,IF(Summary!$C$18=25%,30%,25%),MAX(MIN(LN(-9.4*BD$6+10.27),100%),35%))</f>
        <v>0.43212867681680728</v>
      </c>
      <c r="BE18" s="819">
        <f>IF(BE$4=TRUE,IF(Summary!$C$18=25%,30%,25%),MAX(MIN(LN(-9.4*BE$6+10.27),100%),35%))</f>
        <v>0.38208274787326302</v>
      </c>
      <c r="BF18" s="819">
        <f>IF(BF$4=TRUE,IF(Summary!$C$18=25%,30%,25%),MAX(MIN(LN(-9.4*BF$6+10.27),100%),35%))</f>
        <v>0.36916988929804739</v>
      </c>
      <c r="BG18" s="819">
        <f>IF(BG$4=TRUE,IF(Summary!$C$18=25%,30%,25%),MAX(MIN(LN(-9.4*BG$6+10.27),100%),35%))</f>
        <v>0.41985003602919607</v>
      </c>
      <c r="BH18" s="819">
        <f>IF(BH$4=TRUE,IF(Summary!$C$18=25%,30%,25%),MAX(MIN(LN(-9.4*BH$6+10.27),100%),35%))</f>
        <v>0.45624271399569638</v>
      </c>
      <c r="BI18" s="819">
        <f>IF(BI$4=TRUE,IF(Summary!$C$18=25%,30%,25%),MAX(MIN(LN(-9.4*BI$6+10.27),100%),35%))</f>
        <v>0.49135734057059044</v>
      </c>
      <c r="BJ18" s="819">
        <f>IF(BJ$4=TRUE,IF(Summary!$C$18=25%,30%,25%),MAX(MIN(LN(-9.4*BJ$6+10.27),100%),35%))</f>
        <v>0.52528064473557323</v>
      </c>
      <c r="BK18" s="819">
        <f>IF(BK$4=TRUE,IF(Summary!$C$18=25%,30%,25%),MAX(MIN(LN(-9.4*BK$6+10.27),100%),35%))</f>
        <v>0.55269666784129534</v>
      </c>
      <c r="BL18" s="819">
        <f>IF(BL$4=TRUE,IF(Summary!$C$18=25%,30%,25%),MAX(MIN(LN(-9.4*BL$6+10.27),100%),35%))</f>
        <v>0.55269666784129534</v>
      </c>
      <c r="BM18" s="819">
        <f>IF(BM$4=TRUE,IF(Summary!$C$18=25%,30%,25%),MAX(MIN(LN(-9.4*BM$6+10.27),100%),35%))</f>
        <v>0.55269666784129534</v>
      </c>
      <c r="BN18" s="819">
        <f>IF(BN$4=TRUE,IF(Summary!$C$18=25%,30%,25%),MAX(MIN(LN(-9.4*BN$6+10.27),100%),35%))</f>
        <v>0.53633741293471249</v>
      </c>
      <c r="BO18" s="819">
        <f>IF(BO$4=TRUE,IF(Summary!$C$18=25%,30%,25%),MAX(MIN(LN(-9.4*BO$6+10.27),100%),35%))</f>
        <v>0.5084628345768003</v>
      </c>
      <c r="BP18" s="11"/>
      <c r="BQ18" s="819">
        <f t="shared" ref="BQ18:BU18" si="9">AVERAGEIF($D$2:$BK$2,BQ$3,$D18:$BK18)</f>
        <v>1</v>
      </c>
      <c r="BR18" s="819">
        <f t="shared" si="9"/>
        <v>1</v>
      </c>
      <c r="BS18" s="819">
        <f t="shared" si="9"/>
        <v>0.83224350905298239</v>
      </c>
      <c r="BT18" s="819">
        <f t="shared" si="9"/>
        <v>0.48158352502954765</v>
      </c>
      <c r="BU18" s="819">
        <f t="shared" si="9"/>
        <v>0.48158352502954765</v>
      </c>
    </row>
    <row r="19" spans="1:73" ht="14.25" customHeight="1" x14ac:dyDescent="0.2">
      <c r="A19" s="3"/>
      <c r="B19" s="11" t="s">
        <v>717</v>
      </c>
      <c r="C19" s="11"/>
      <c r="D19" s="799">
        <f>IF(D$4=TRUE,D17*D18*D12/12,0)*(1+'Attrition Modeling'!$N$11)</f>
        <v>0</v>
      </c>
      <c r="E19" s="799">
        <f>IF(E$4=TRUE,E17*E18*E12/12,0)*(1+'Attrition Modeling'!$N$11)</f>
        <v>0</v>
      </c>
      <c r="F19" s="799">
        <f>IF(F$4=TRUE,F17*F18*F12/12,0)*(1+'Attrition Modeling'!$N$11)</f>
        <v>0</v>
      </c>
      <c r="G19" s="799">
        <f>IF(G$4=TRUE,G17*G18*G12/12,0)*(1+'Attrition Modeling'!$N$11)</f>
        <v>0</v>
      </c>
      <c r="H19" s="799">
        <f>IF(H$4=TRUE,H17*H18*H12/12,0)*(1+'Attrition Modeling'!$N$11)</f>
        <v>0</v>
      </c>
      <c r="I19" s="799">
        <f>IF(I$4=TRUE,I17*I18*I12/12,0)*(1+'Attrition Modeling'!$N$11)</f>
        <v>0</v>
      </c>
      <c r="J19" s="799">
        <f>IF(J$4=TRUE,J17*J18*J12/12,0)*(1+'Attrition Modeling'!$N$11)</f>
        <v>0</v>
      </c>
      <c r="K19" s="799">
        <f>IF(K$4=TRUE,K17*K18*K12/12,0)*(1+'Attrition Modeling'!$N$11)</f>
        <v>0</v>
      </c>
      <c r="L19" s="799">
        <f>IF(L$4=TRUE,L17*L18*L12/12,0)*(1+'Attrition Modeling'!$N$11)</f>
        <v>0</v>
      </c>
      <c r="M19" s="799">
        <f>IF(M$4=TRUE,M17*M18*M12/12,0)*(1+'Attrition Modeling'!$N$11)</f>
        <v>0</v>
      </c>
      <c r="N19" s="799">
        <f>IF(N$4=TRUE,N17*N18*N12/12,0)*(1+'Attrition Modeling'!$N$11)</f>
        <v>0</v>
      </c>
      <c r="O19" s="824">
        <f>IF(O$4=TRUE,O17*O18*O12/12,0)*(1+'Attrition Modeling'!$N$11)</f>
        <v>0</v>
      </c>
      <c r="P19" s="825">
        <f>IF(P$4=TRUE,P17*P18*P12/12,0)*(1+'Attrition Modeling'!$N$11)</f>
        <v>0</v>
      </c>
      <c r="Q19" s="799">
        <f>IF(Q$4=TRUE,Q17*Q18*Q12/12,0)*(1+'Attrition Modeling'!$N$11)</f>
        <v>0</v>
      </c>
      <c r="R19" s="799">
        <f>IF(R$4=TRUE,R17*R18*R12/12,0)*(1+'Attrition Modeling'!$N$11)</f>
        <v>0</v>
      </c>
      <c r="S19" s="799">
        <f>IF(S$4=TRUE,S17*S18*S12/12,0)*(1+'Attrition Modeling'!$N$11)</f>
        <v>0</v>
      </c>
      <c r="T19" s="799">
        <f>IF(T$4=TRUE,T17*T18*T12/12,0)*(1+'Attrition Modeling'!$N$11)</f>
        <v>0</v>
      </c>
      <c r="U19" s="799">
        <f>IF(U$4=TRUE,U17*U18*U12/12,0)*(1+'Attrition Modeling'!$N$11)</f>
        <v>0</v>
      </c>
      <c r="V19" s="799">
        <f>IF(V$4=TRUE,V17*V18*V12/12,0)*(1+'Attrition Modeling'!$N$11)</f>
        <v>0</v>
      </c>
      <c r="W19" s="799">
        <f>IF(W$4=TRUE,W17*W18*W12/12,0)*(1+'Attrition Modeling'!$N$11)</f>
        <v>0</v>
      </c>
      <c r="X19" s="799">
        <f>IF(X$4=TRUE,X17*X18*X12/12,0)*(1+'Attrition Modeling'!$N$11)</f>
        <v>0</v>
      </c>
      <c r="Y19" s="799">
        <f>IF(Y$4=TRUE,Y17*Y18*Y12/12,0)*(1+'Attrition Modeling'!$N$11)</f>
        <v>0</v>
      </c>
      <c r="Z19" s="799">
        <f>IF(Z$4=TRUE,Z17*Z18*Z12/12,0)*(1+'Attrition Modeling'!$N$11)</f>
        <v>0</v>
      </c>
      <c r="AA19" s="824">
        <f>IF(AA$4=TRUE,AA17*AA18*AA12/12,0)*(1+'Attrition Modeling'!$N$11)</f>
        <v>0</v>
      </c>
      <c r="AB19" s="825">
        <f>IF(AB$4=TRUE,AB17*AB18*AB12/12,0)*(1+'Attrition Modeling'!$N$11)</f>
        <v>0</v>
      </c>
      <c r="AC19" s="799">
        <f>IF(AC$4=TRUE,AC17*AC18*AC12/12,0)*(1+'Attrition Modeling'!$N$11)</f>
        <v>0</v>
      </c>
      <c r="AD19" s="799">
        <f>IF(AD$4=TRUE,AD17*AD18*AD12/12,0)*(1+'Attrition Modeling'!$N$11)</f>
        <v>0</v>
      </c>
      <c r="AE19" s="799">
        <f>IF(AE$4=TRUE,AE17*AE18*AE12/12,0)*(1+'Attrition Modeling'!$N$11)</f>
        <v>0</v>
      </c>
      <c r="AF19" s="799">
        <f>IF(AF$4=TRUE,AF17*AF18*AF12/12,0)*(1+'Attrition Modeling'!$N$11)</f>
        <v>0</v>
      </c>
      <c r="AG19" s="799">
        <f>IF(AG$4=TRUE,AG17*AG18*AG12/12,0)*(1+'Attrition Modeling'!$N$11)</f>
        <v>0</v>
      </c>
      <c r="AH19" s="799">
        <f>IF(AH$4=TRUE,AH17*AH18*AH12/12,0)*(1+'Attrition Modeling'!$N$11)</f>
        <v>0</v>
      </c>
      <c r="AI19" s="799">
        <f>IF(AI$4=TRUE,AI17*AI18*AI12/12,0)*(1+'Attrition Modeling'!$N$11)</f>
        <v>0</v>
      </c>
      <c r="AJ19" s="799">
        <f>IF(AJ$4=TRUE,AJ17*AJ18*AJ12/12,0)*(1+'Attrition Modeling'!$N$11)</f>
        <v>0</v>
      </c>
      <c r="AK19" s="799">
        <f>IF(AK$4=TRUE,AK17*AK18*AK12/12,0)*(1+'Attrition Modeling'!$N$11)</f>
        <v>0</v>
      </c>
      <c r="AL19" s="799">
        <f>IF(AL$4=TRUE,AL17*AL18*AL12/12,0)*(1+'Attrition Modeling'!$N$11)</f>
        <v>0</v>
      </c>
      <c r="AM19" s="824">
        <f>IF(AM$4=TRUE,AM17*AM18*AM12/12,0)*(1+'Attrition Modeling'!$N$11)</f>
        <v>0</v>
      </c>
      <c r="AN19" s="825">
        <f>IF(AN$4=TRUE,AN17*AN18*AN12/12,0)*(1+'Attrition Modeling'!$N$11)</f>
        <v>0</v>
      </c>
      <c r="AO19" s="799">
        <f>IF(AO$4=TRUE,AO17*AO18*AO12/12,0)*(1+'Attrition Modeling'!$N$11)</f>
        <v>0</v>
      </c>
      <c r="AP19" s="799">
        <f>IF(AP$4=TRUE,AP17*AP18*AP12/12,0)*(1+'Attrition Modeling'!$N$11)</f>
        <v>0</v>
      </c>
      <c r="AQ19" s="799">
        <f>IF(AQ$4=TRUE,AQ17*AQ18*AQ12/12,0)*(1+'Attrition Modeling'!$N$11)</f>
        <v>0</v>
      </c>
      <c r="AR19" s="799">
        <f>IF(AR$4=TRUE,AR17*AR18*AR12/12,0)*(1+'Attrition Modeling'!$N$11)</f>
        <v>0</v>
      </c>
      <c r="AS19" s="799">
        <f>IF(AS$4=TRUE,AS17*AS18*AS12/12,0)*(1+'Attrition Modeling'!$N$11)</f>
        <v>0</v>
      </c>
      <c r="AT19" s="799">
        <f>IF(AT$4=TRUE,AT17*AT18*AT12/12,0)*(1+'Attrition Modeling'!$N$11)</f>
        <v>0</v>
      </c>
      <c r="AU19" s="799">
        <f>IF(AU$4=TRUE,AU17*AU18*AU12/12,0)*(1+'Attrition Modeling'!$N$11)</f>
        <v>0</v>
      </c>
      <c r="AV19" s="799">
        <f>IF(AV$4=TRUE,AV17*AV18*AV12/12,0)*(1+'Attrition Modeling'!$N$11)</f>
        <v>0</v>
      </c>
      <c r="AW19" s="799">
        <f>IF(AW$4=TRUE,AW17*AW18*AW12/12,0)*(1+'Attrition Modeling'!$N$11)</f>
        <v>0</v>
      </c>
      <c r="AX19" s="799">
        <f>IF(AX$4=TRUE,AX17*AX18*AX12/12,0)*(1+'Attrition Modeling'!$N$11)</f>
        <v>0</v>
      </c>
      <c r="AY19" s="824">
        <f>IF(AY$4=TRUE,AY17*AY18*AY12/12,0)*(1+'Attrition Modeling'!$N$11)</f>
        <v>0</v>
      </c>
      <c r="AZ19" s="825">
        <f>IF(AZ$4=TRUE,AZ17*AZ18*AZ12/12,0)*(1+'Attrition Modeling'!$N$11)</f>
        <v>0</v>
      </c>
      <c r="BA19" s="799">
        <f>IF(BA$4=TRUE,BA17*BA18*BA12/12,0)*(1+'Attrition Modeling'!$N$11)</f>
        <v>0</v>
      </c>
      <c r="BB19" s="799">
        <f>IF(BB$4=TRUE,BB17*BB18*BB12/12,0)*(1+'Attrition Modeling'!$N$11)</f>
        <v>0</v>
      </c>
      <c r="BC19" s="799">
        <f>IF(BC$4=TRUE,BC17*BC18*BC12/12,0)*(1+'Attrition Modeling'!$N$11)</f>
        <v>0</v>
      </c>
      <c r="BD19" s="799">
        <f>IF(BD$4=TRUE,BD17*BD18*BD12/12,0)*(1+'Attrition Modeling'!$N$11)</f>
        <v>0</v>
      </c>
      <c r="BE19" s="799">
        <f>IF(BE$4=TRUE,BE17*BE18*BE12/12,0)*(1+'Attrition Modeling'!$N$11)</f>
        <v>0</v>
      </c>
      <c r="BF19" s="799">
        <f>IF(BF$4=TRUE,BF17*BF18*BF12/12,0)*(1+'Attrition Modeling'!$N$11)</f>
        <v>0</v>
      </c>
      <c r="BG19" s="799">
        <f>IF(BG$4=TRUE,BG17*BG18*BG12/12,0)*(1+'Attrition Modeling'!$N$11)</f>
        <v>0</v>
      </c>
      <c r="BH19" s="799">
        <f>IF(BH$4=TRUE,BH17*BH18*BH12/12,0)*(1+'Attrition Modeling'!$N$11)</f>
        <v>0</v>
      </c>
      <c r="BI19" s="799">
        <f>IF(BI$4=TRUE,BI17*BI18*BI12/12,0)*(1+'Attrition Modeling'!$N$11)</f>
        <v>0</v>
      </c>
      <c r="BJ19" s="799">
        <f>IF(BJ$4=TRUE,BJ17*BJ18*BJ12/12,0)*(1+'Attrition Modeling'!$N$11)</f>
        <v>0</v>
      </c>
      <c r="BK19" s="799">
        <f>IF(BK$4=TRUE,BK17*BK18*BK12/12,0)*(1+'Attrition Modeling'!$N$11)</f>
        <v>0</v>
      </c>
      <c r="BL19" s="799">
        <f>IF(BL$4=TRUE,BL17*BL18*BL12/12,0)*(1+'Attrition Modeling'!$N$11)</f>
        <v>0</v>
      </c>
      <c r="BM19" s="799">
        <f>IF(BM$4=TRUE,BM17*BM18*BM12/12,0)*(1+'Attrition Modeling'!$N$11)</f>
        <v>0</v>
      </c>
      <c r="BN19" s="799">
        <f>IF(BN$4=TRUE,BN17*BN18*BN12/12,0)*(1+'Attrition Modeling'!$N$11)</f>
        <v>0</v>
      </c>
      <c r="BO19" s="799">
        <f>IF(BO$4=TRUE,BO17*BO18*BO12/12,0)*(1+'Attrition Modeling'!$N$11)</f>
        <v>0</v>
      </c>
      <c r="BP19" s="11"/>
      <c r="BQ19" s="799">
        <f t="shared" ref="BQ19:BU19" si="10">SUMIF($D$2:$BK$2,BQ$3,$D19:$BK19)</f>
        <v>0</v>
      </c>
      <c r="BR19" s="799">
        <f t="shared" si="10"/>
        <v>0</v>
      </c>
      <c r="BS19" s="799">
        <f t="shared" si="10"/>
        <v>0</v>
      </c>
      <c r="BT19" s="799">
        <f t="shared" si="10"/>
        <v>0</v>
      </c>
      <c r="BU19" s="799">
        <f t="shared" si="10"/>
        <v>0</v>
      </c>
    </row>
    <row r="20" spans="1:73" ht="14.25" customHeight="1" x14ac:dyDescent="0.2">
      <c r="A20" s="3"/>
      <c r="B20" s="11" t="s">
        <v>718</v>
      </c>
      <c r="C20" s="11"/>
      <c r="D20" s="799">
        <f>IF(D$4=TRUE,D17*(1-D18)*D13/12,0)*(1+'Attrition Modeling'!$N$11)</f>
        <v>0</v>
      </c>
      <c r="E20" s="799">
        <f>IF(E$4=TRUE,E17*(1-E18)*E13/12,0)*(1+'Attrition Modeling'!$N$11)</f>
        <v>0</v>
      </c>
      <c r="F20" s="799">
        <f>IF(F$4=TRUE,F17*(1-F18)*F13/12,0)*(1+'Attrition Modeling'!$N$11)</f>
        <v>0</v>
      </c>
      <c r="G20" s="799">
        <f>IF(G$4=TRUE,G17*(1-G18)*G13/12,0)*(1+'Attrition Modeling'!$N$11)</f>
        <v>0</v>
      </c>
      <c r="H20" s="799">
        <f>IF(H$4=TRUE,H17*(1-H18)*H13/12,0)*(1+'Attrition Modeling'!$N$11)</f>
        <v>0</v>
      </c>
      <c r="I20" s="799">
        <f>IF(I$4=TRUE,I17*(1-I18)*I13/12,0)*(1+'Attrition Modeling'!$N$11)</f>
        <v>0</v>
      </c>
      <c r="J20" s="799">
        <f>IF(J$4=TRUE,J17*(1-J18)*J13/12,0)*(1+'Attrition Modeling'!$N$11)</f>
        <v>0</v>
      </c>
      <c r="K20" s="799">
        <f>IF(K$4=TRUE,K17*(1-K18)*K13/12,0)*(1+'Attrition Modeling'!$N$11)</f>
        <v>0</v>
      </c>
      <c r="L20" s="799">
        <f>IF(L$4=TRUE,L17*(1-L18)*L13/12,0)*(1+'Attrition Modeling'!$N$11)</f>
        <v>0</v>
      </c>
      <c r="M20" s="799">
        <f>IF(M$4=TRUE,M17*(1-M18)*M13/12,0)*(1+'Attrition Modeling'!$N$11)</f>
        <v>0</v>
      </c>
      <c r="N20" s="799">
        <f>IF(N$4=TRUE,N17*(1-N18)*N13/12,0)*(1+'Attrition Modeling'!$N$11)</f>
        <v>0</v>
      </c>
      <c r="O20" s="824">
        <f>IF(O$4=TRUE,O17*(1-O18)*O13/12,0)*(1+'Attrition Modeling'!$N$11)</f>
        <v>0</v>
      </c>
      <c r="P20" s="825">
        <f>IF(P$4=TRUE,P17*(1-P18)*P13/12,0)*(1+'Attrition Modeling'!$N$11)</f>
        <v>0</v>
      </c>
      <c r="Q20" s="799">
        <f>IF(Q$4=TRUE,Q17*(1-Q18)*Q13/12,0)*(1+'Attrition Modeling'!$N$11)</f>
        <v>0</v>
      </c>
      <c r="R20" s="799">
        <f>IF(R$4=TRUE,R17*(1-R18)*R13/12,0)*(1+'Attrition Modeling'!$N$11)</f>
        <v>0</v>
      </c>
      <c r="S20" s="799">
        <f>IF(S$4=TRUE,S17*(1-S18)*S13/12,0)*(1+'Attrition Modeling'!$N$11)</f>
        <v>0</v>
      </c>
      <c r="T20" s="799">
        <f>IF(T$4=TRUE,T17*(1-T18)*T13/12,0)*(1+'Attrition Modeling'!$N$11)</f>
        <v>0</v>
      </c>
      <c r="U20" s="799">
        <f>IF(U$4=TRUE,U17*(1-U18)*U13/12,0)*(1+'Attrition Modeling'!$N$11)</f>
        <v>0</v>
      </c>
      <c r="V20" s="799">
        <f>IF(V$4=TRUE,V17*(1-V18)*V13/12,0)*(1+'Attrition Modeling'!$N$11)</f>
        <v>0</v>
      </c>
      <c r="W20" s="799">
        <f>IF(W$4=TRUE,W17*(1-W18)*W13/12,0)*(1+'Attrition Modeling'!$N$11)</f>
        <v>0</v>
      </c>
      <c r="X20" s="799">
        <f>IF(X$4=TRUE,X17*(1-X18)*X13/12,0)*(1+'Attrition Modeling'!$N$11)</f>
        <v>0</v>
      </c>
      <c r="Y20" s="799">
        <f>IF(Y$4=TRUE,Y17*(1-Y18)*Y13/12,0)*(1+'Attrition Modeling'!$N$11)</f>
        <v>0</v>
      </c>
      <c r="Z20" s="799">
        <f>IF(Z$4=TRUE,Z17*(1-Z18)*Z13/12,0)*(1+'Attrition Modeling'!$N$11)</f>
        <v>0</v>
      </c>
      <c r="AA20" s="824">
        <f>IF(AA$4=TRUE,AA17*(1-AA18)*AA13/12,0)*(1+'Attrition Modeling'!$N$11)</f>
        <v>0</v>
      </c>
      <c r="AB20" s="825">
        <f>IF(AB$4=TRUE,AB17*(1-AB18)*AB13/12,0)*(1+'Attrition Modeling'!$N$11)</f>
        <v>0</v>
      </c>
      <c r="AC20" s="799">
        <f>IF(AC$4=TRUE,AC17*(1-AC18)*AC13/12,0)*(1+'Attrition Modeling'!$N$11)</f>
        <v>0</v>
      </c>
      <c r="AD20" s="799">
        <f>IF(AD$4=TRUE,AD17*(1-AD18)*AD13/12,0)*(1+'Attrition Modeling'!$N$11)</f>
        <v>0</v>
      </c>
      <c r="AE20" s="799">
        <f>IF(AE$4=TRUE,AE17*(1-AE18)*AE13/12,0)*(1+'Attrition Modeling'!$N$11)</f>
        <v>0</v>
      </c>
      <c r="AF20" s="799">
        <f>IF(AF$4=TRUE,AF17*(1-AF18)*AF13/12,0)*(1+'Attrition Modeling'!$N$11)</f>
        <v>0</v>
      </c>
      <c r="AG20" s="799">
        <f>IF(AG$4=TRUE,AG17*(1-AG18)*AG13/12,0)*(1+'Attrition Modeling'!$N$11)</f>
        <v>0</v>
      </c>
      <c r="AH20" s="799">
        <f>IF(AH$4=TRUE,AH17*(1-AH18)*AH13/12,0)*(1+'Attrition Modeling'!$N$11)</f>
        <v>0</v>
      </c>
      <c r="AI20" s="799">
        <f>IF(AI$4=TRUE,AI17*(1-AI18)*AI13/12,0)*(1+'Attrition Modeling'!$N$11)</f>
        <v>0</v>
      </c>
      <c r="AJ20" s="799">
        <f>IF(AJ$4=TRUE,AJ17*(1-AJ18)*AJ13/12,0)*(1+'Attrition Modeling'!$N$11)</f>
        <v>0</v>
      </c>
      <c r="AK20" s="799">
        <f>IF(AK$4=TRUE,AK17*(1-AK18)*AK13/12,0)*(1+'Attrition Modeling'!$N$11)</f>
        <v>0</v>
      </c>
      <c r="AL20" s="799">
        <f>IF(AL$4=TRUE,AL17*(1-AL18)*AL13/12,0)*(1+'Attrition Modeling'!$N$11)</f>
        <v>0</v>
      </c>
      <c r="AM20" s="824">
        <f>IF(AM$4=TRUE,AM17*(1-AM18)*AM13/12,0)*(1+'Attrition Modeling'!$N$11)</f>
        <v>0</v>
      </c>
      <c r="AN20" s="825">
        <f>IF(AN$4=TRUE,AN17*(1-AN18)*AN13/12,0)*(1+'Attrition Modeling'!$N$11)</f>
        <v>0</v>
      </c>
      <c r="AO20" s="799">
        <f>IF(AO$4=TRUE,AO17*(1-AO18)*AO13/12,0)*(1+'Attrition Modeling'!$N$11)</f>
        <v>0</v>
      </c>
      <c r="AP20" s="799">
        <f>IF(AP$4=TRUE,AP17*(1-AP18)*AP13/12,0)*(1+'Attrition Modeling'!$N$11)</f>
        <v>0</v>
      </c>
      <c r="AQ20" s="799">
        <f>IF(AQ$4=TRUE,AQ17*(1-AQ18)*AQ13/12,0)*(1+'Attrition Modeling'!$N$11)</f>
        <v>0</v>
      </c>
      <c r="AR20" s="799">
        <f>IF(AR$4=TRUE,AR17*(1-AR18)*AR13/12,0)*(1+'Attrition Modeling'!$N$11)</f>
        <v>0</v>
      </c>
      <c r="AS20" s="799">
        <f>IF(AS$4=TRUE,AS17*(1-AS18)*AS13/12,0)*(1+'Attrition Modeling'!$N$11)</f>
        <v>0</v>
      </c>
      <c r="AT20" s="799">
        <f>IF(AT$4=TRUE,AT17*(1-AT18)*AT13/12,0)*(1+'Attrition Modeling'!$N$11)</f>
        <v>0</v>
      </c>
      <c r="AU20" s="799">
        <f>IF(AU$4=TRUE,AU17*(1-AU18)*AU13/12,0)*(1+'Attrition Modeling'!$N$11)</f>
        <v>0</v>
      </c>
      <c r="AV20" s="799">
        <f>IF(AV$4=TRUE,AV17*(1-AV18)*AV13/12,0)*(1+'Attrition Modeling'!$N$11)</f>
        <v>0</v>
      </c>
      <c r="AW20" s="799">
        <f>IF(AW$4=TRUE,AW17*(1-AW18)*AW13/12,0)*(1+'Attrition Modeling'!$N$11)</f>
        <v>0</v>
      </c>
      <c r="AX20" s="799">
        <f>IF(AX$4=TRUE,AX17*(1-AX18)*AX13/12,0)*(1+'Attrition Modeling'!$N$11)</f>
        <v>0</v>
      </c>
      <c r="AY20" s="824">
        <f>IF(AY$4=TRUE,AY17*(1-AY18)*AY13/12,0)*(1+'Attrition Modeling'!$N$11)</f>
        <v>0</v>
      </c>
      <c r="AZ20" s="825">
        <f>IF(AZ$4=TRUE,AZ17*(1-AZ18)*AZ13/12,0)*(1+'Attrition Modeling'!$N$11)</f>
        <v>0</v>
      </c>
      <c r="BA20" s="799">
        <f>IF(BA$4=TRUE,BA17*(1-BA18)*BA13/12,0)*(1+'Attrition Modeling'!$N$11)</f>
        <v>0</v>
      </c>
      <c r="BB20" s="799">
        <f>IF(BB$4=TRUE,BB17*(1-BB18)*BB13/12,0)*(1+'Attrition Modeling'!$N$11)</f>
        <v>0</v>
      </c>
      <c r="BC20" s="799">
        <f>IF(BC$4=TRUE,BC17*(1-BC18)*BC13/12,0)*(1+'Attrition Modeling'!$N$11)</f>
        <v>0</v>
      </c>
      <c r="BD20" s="799">
        <f>IF(BD$4=TRUE,BD17*(1-BD18)*BD13/12,0)*(1+'Attrition Modeling'!$N$11)</f>
        <v>0</v>
      </c>
      <c r="BE20" s="799">
        <f>IF(BE$4=TRUE,BE17*(1-BE18)*BE13/12,0)*(1+'Attrition Modeling'!$N$11)</f>
        <v>0</v>
      </c>
      <c r="BF20" s="799">
        <f>IF(BF$4=TRUE,BF17*(1-BF18)*BF13/12,0)*(1+'Attrition Modeling'!$N$11)</f>
        <v>0</v>
      </c>
      <c r="BG20" s="799">
        <f>IF(BG$4=TRUE,BG17*(1-BG18)*BG13/12,0)*(1+'Attrition Modeling'!$N$11)</f>
        <v>0</v>
      </c>
      <c r="BH20" s="799">
        <f>IF(BH$4=TRUE,BH17*(1-BH18)*BH13/12,0)*(1+'Attrition Modeling'!$N$11)</f>
        <v>0</v>
      </c>
      <c r="BI20" s="799">
        <f>IF(BI$4=TRUE,BI17*(1-BI18)*BI13/12,0)*(1+'Attrition Modeling'!$N$11)</f>
        <v>0</v>
      </c>
      <c r="BJ20" s="799">
        <f>IF(BJ$4=TRUE,BJ17*(1-BJ18)*BJ13/12,0)*(1+'Attrition Modeling'!$N$11)</f>
        <v>0</v>
      </c>
      <c r="BK20" s="799">
        <f>IF(BK$4=TRUE,BK17*(1-BK18)*BK13/12,0)*(1+'Attrition Modeling'!$N$11)</f>
        <v>0</v>
      </c>
      <c r="BL20" s="799">
        <f>IF(BL$4=TRUE,BL17*(1-BL18)*BL13/12,0)*(1+'Attrition Modeling'!$N$11)</f>
        <v>0</v>
      </c>
      <c r="BM20" s="799">
        <f>IF(BM$4=TRUE,BM17*(1-BM18)*BM13/12,0)*(1+'Attrition Modeling'!$N$11)</f>
        <v>0</v>
      </c>
      <c r="BN20" s="799">
        <f>IF(BN$4=TRUE,BN17*(1-BN18)*BN13/12,0)*(1+'Attrition Modeling'!$N$11)</f>
        <v>0</v>
      </c>
      <c r="BO20" s="799">
        <f>IF(BO$4=TRUE,BO17*(1-BO18)*BO13/12,0)*(1+'Attrition Modeling'!$N$11)</f>
        <v>0</v>
      </c>
      <c r="BP20" s="11"/>
      <c r="BQ20" s="799">
        <f t="shared" ref="BQ20:BU20" si="11">SUMIF($D$2:$BK$2,BQ$3,$D20:$BK20)</f>
        <v>0</v>
      </c>
      <c r="BR20" s="799">
        <f t="shared" si="11"/>
        <v>0</v>
      </c>
      <c r="BS20" s="799">
        <f t="shared" si="11"/>
        <v>0</v>
      </c>
      <c r="BT20" s="799">
        <f t="shared" si="11"/>
        <v>0</v>
      </c>
      <c r="BU20" s="799">
        <f t="shared" si="11"/>
        <v>0</v>
      </c>
    </row>
    <row r="21" spans="1:73" ht="14.25" customHeight="1" x14ac:dyDescent="0.2">
      <c r="A21" s="3"/>
      <c r="B21" s="11" t="s">
        <v>719</v>
      </c>
      <c r="C21" s="11"/>
      <c r="D21" s="799">
        <f>IF(D$4=TRUE,0,D14*D17/12)*(1+'Attrition Modeling'!$N$11)</f>
        <v>3497.1153150024606</v>
      </c>
      <c r="E21" s="799">
        <f>IF(E$4=TRUE,0,E14*E17/12)*(1+'Attrition Modeling'!$N$11)</f>
        <v>3466.4432040252391</v>
      </c>
      <c r="F21" s="799">
        <f>IF(F$4=TRUE,0,F14*F17/12)*(1+'Attrition Modeling'!$N$11)</f>
        <v>5195.5217155690143</v>
      </c>
      <c r="G21" s="799">
        <f>IF(G$4=TRUE,0,G14*G17/12)*(1+'Attrition Modeling'!$N$11)</f>
        <v>5936.0469444912333</v>
      </c>
      <c r="H21" s="799">
        <f>IF(H$4=TRUE,0,H14*H17/12)*(1+'Attrition Modeling'!$N$11)</f>
        <v>9519.1296426761128</v>
      </c>
      <c r="I21" s="799">
        <f>IF(I$4=TRUE,0,I14*I17/12)*(1+'Attrition Modeling'!$N$11)</f>
        <v>9144.2548444099775</v>
      </c>
      <c r="J21" s="799">
        <f>IF(J$4=TRUE,0,J14*J17/12)*(1+'Attrition Modeling'!$N$11)</f>
        <v>9051.8399339913158</v>
      </c>
      <c r="K21" s="799">
        <f>IF(K$4=TRUE,0,K14*K17/12)*(1+'Attrition Modeling'!$N$11)</f>
        <v>8135.1496745877221</v>
      </c>
      <c r="L21" s="799">
        <f>IF(L$4=TRUE,0,L14*L17/12)*(1+'Attrition Modeling'!$N$11)</f>
        <v>7559.5167230179695</v>
      </c>
      <c r="M21" s="799">
        <f>IF(M$4=TRUE,0,M14*M17/12)*(1+'Attrition Modeling'!$N$11)</f>
        <v>7649.1558674071211</v>
      </c>
      <c r="N21" s="799">
        <f>IF(N$4=TRUE,0,N14*N17/12)*(1+'Attrition Modeling'!$N$11)</f>
        <v>7457.895006801984</v>
      </c>
      <c r="O21" s="799">
        <f>IF(O$4=TRUE,0,O14*O17/12)*(1+'Attrition Modeling'!$N$11)</f>
        <v>6960.0148996289026</v>
      </c>
      <c r="P21" s="799">
        <f>IF(P$4=TRUE,0,P14*P17/12)*(1+'Attrition Modeling'!$N$11)</f>
        <v>7859.3945534426066</v>
      </c>
      <c r="Q21" s="799">
        <f>IF(Q$4=TRUE,0,Q14*Q17/12)*(1+'Attrition Modeling'!$N$11)</f>
        <v>7894.7811377028129</v>
      </c>
      <c r="R21" s="799">
        <f>IF(R$4=TRUE,0,R14*R17/12)*(1+'Attrition Modeling'!$N$11)</f>
        <v>10107.656106306758</v>
      </c>
      <c r="S21" s="799">
        <f>IF(S$4=TRUE,0,S14*S17/12)*(1+'Attrition Modeling'!$N$11)</f>
        <v>10860.605841640225</v>
      </c>
      <c r="T21" s="799">
        <f>IF(T$4=TRUE,0,T14*T17/12)*(1+'Attrition Modeling'!$N$11)</f>
        <v>14920.607008491033</v>
      </c>
      <c r="U21" s="799">
        <f>IF(U$4=TRUE,0,U14*U17/12)*(1+'Attrition Modeling'!$N$11)</f>
        <v>14636.476375413084</v>
      </c>
      <c r="V21" s="799">
        <f>IF(V$4=TRUE,0,V14*V17/12)*(1+'Attrition Modeling'!$N$11)</f>
        <v>14536.855064955866</v>
      </c>
      <c r="W21" s="799">
        <f>IF(W$4=TRUE,0,W14*W17/12)*(1+'Attrition Modeling'!$N$11)</f>
        <v>13569.208586195937</v>
      </c>
      <c r="X21" s="799">
        <f>IF(X$4=TRUE,0,X14*X17/12)*(1+'Attrition Modeling'!$N$11)</f>
        <v>12541.973185230914</v>
      </c>
      <c r="Y21" s="799">
        <f>IF(Y$4=TRUE,0,Y14*Y17/12)*(1+'Attrition Modeling'!$N$11)</f>
        <v>12474.100619394152</v>
      </c>
      <c r="Z21" s="799">
        <f>IF(Z$4=TRUE,0,Z14*Z17/12)*(1+'Attrition Modeling'!$N$11)</f>
        <v>12034.064441889235</v>
      </c>
      <c r="AA21" s="799">
        <f>IF(AA$4=TRUE,0,AA14*AA17/12)*(1+'Attrition Modeling'!$N$11)</f>
        <v>11362.075953360341</v>
      </c>
      <c r="AB21" s="799">
        <f>IF(AB$4=TRUE,0,AB14*AB17/12)*(1+'Attrition Modeling'!$N$11)</f>
        <v>10468.450810772045</v>
      </c>
      <c r="AC21" s="799">
        <f>IF(AC$4=TRUE,0,AC14*AC17/12)*(1+'Attrition Modeling'!$N$11)</f>
        <v>10167.762475127103</v>
      </c>
      <c r="AD21" s="799">
        <f>IF(AD$4=TRUE,0,AD14*AD17/12)*(1+'Attrition Modeling'!$N$11)</f>
        <v>12172.751529369185</v>
      </c>
      <c r="AE21" s="799">
        <f>IF(AE$4=TRUE,0,AE14*AE17/12)*(1+'Attrition Modeling'!$N$11)</f>
        <v>12667.941906690014</v>
      </c>
      <c r="AF21" s="799">
        <f>IF(AF$4=TRUE,0,AF14*AF17/12)*(1+'Attrition Modeling'!$N$11)</f>
        <v>15758.992742427572</v>
      </c>
      <c r="AG21" s="799">
        <f>IF(AG$4=TRUE,0,AG14*AG17/12)*(1+'Attrition Modeling'!$N$11)</f>
        <v>15742.773920101237</v>
      </c>
      <c r="AH21" s="799">
        <f>IF(AH$4=TRUE,0,AH14*AH17/12)*(1+'Attrition Modeling'!$N$11)</f>
        <v>15699.242095050509</v>
      </c>
      <c r="AI21" s="799">
        <f>IF(AI$4=TRUE,0,AI14*AI17/12)*(1+'Attrition Modeling'!$N$11)</f>
        <v>15043.298297760357</v>
      </c>
      <c r="AJ21" s="799">
        <f>IF(AJ$4=TRUE,0,AJ14*AJ17/12)*(1+'Attrition Modeling'!$N$11)</f>
        <v>13810.192239433594</v>
      </c>
      <c r="AK21" s="799">
        <f>IF(AK$4=TRUE,0,AK14*AK17/12)*(1+'Attrition Modeling'!$N$11)</f>
        <v>13497.981999839187</v>
      </c>
      <c r="AL21" s="799">
        <f>IF(AL$4=TRUE,0,AL14*AL17/12)*(1+'Attrition Modeling'!$N$11)</f>
        <v>12878.289640001678</v>
      </c>
      <c r="AM21" s="799">
        <f>IF(AM$4=TRUE,0,AM14*AM17/12)*(1+'Attrition Modeling'!$N$11)</f>
        <v>12139.877173747924</v>
      </c>
      <c r="AN21" s="799">
        <f>IF(AN$4=TRUE,0,AN14*AN17/12)*(1+'Attrition Modeling'!$N$11)</f>
        <v>7435.4383219103674</v>
      </c>
      <c r="AO21" s="799">
        <f>IF(AO$4=TRUE,0,AO14*AO17/12)*(1+'Attrition Modeling'!$N$11)</f>
        <v>8754.9437060097953</v>
      </c>
      <c r="AP21" s="799">
        <f>IF(AP$4=TRUE,0,AP14*AP17/12)*(1+'Attrition Modeling'!$N$11)</f>
        <v>10081.606049843473</v>
      </c>
      <c r="AQ21" s="799">
        <f>IF(AQ$4=TRUE,0,AQ14*AQ17/12)*(1+'Attrition Modeling'!$N$11)</f>
        <v>10351.70950103892</v>
      </c>
      <c r="AR21" s="799">
        <f>IF(AR$4=TRUE,0,AR14*AR17/12)*(1+'Attrition Modeling'!$N$11)</f>
        <v>12401.771834978908</v>
      </c>
      <c r="AS21" s="799">
        <f>IF(AS$4=TRUE,0,AS14*AS17/12)*(1+'Attrition Modeling'!$N$11)</f>
        <v>12234.314706758178</v>
      </c>
      <c r="AT21" s="799">
        <f>IF(AT$4=TRUE,0,AT14*AT17/12)*(1+'Attrition Modeling'!$N$11)</f>
        <v>11556.649757422258</v>
      </c>
      <c r="AU21" s="799">
        <f>IF(AU$4=TRUE,0,AU14*AU17/12)*(1+'Attrition Modeling'!$N$11)</f>
        <v>10095.151765000901</v>
      </c>
      <c r="AV21" s="799">
        <f>IF(AV$4=TRUE,0,AV14*AV17/12)*(1+'Attrition Modeling'!$N$11)</f>
        <v>9418.3103479124293</v>
      </c>
      <c r="AW21" s="799">
        <f>IF(AW$4=TRUE,0,AW14*AW17/12)*(1+'Attrition Modeling'!$N$11)</f>
        <v>8986.9304520492315</v>
      </c>
      <c r="AX21" s="799">
        <f>IF(AX$4=TRUE,0,AX14*AX17/12)*(1+'Attrition Modeling'!$N$11)</f>
        <v>8461.3939031567879</v>
      </c>
      <c r="AY21" s="799">
        <f>IF(AY$4=TRUE,0,AY14*AY17/12)*(1+'Attrition Modeling'!$N$11)</f>
        <v>8111.0200406727981</v>
      </c>
      <c r="AZ21" s="799">
        <f>IF(AZ$4=TRUE,0,AZ14*AZ17/12)*(1+'Attrition Modeling'!$N$11)</f>
        <v>8566.4474346477873</v>
      </c>
      <c r="BA21" s="799">
        <f>IF(BA$4=TRUE,0,BA14*BA17/12)*(1+'Attrition Modeling'!$N$11)</f>
        <v>8108.2408362242404</v>
      </c>
      <c r="BB21" s="799">
        <f>IF(BB$4=TRUE,0,BB14*BB17/12)*(1+'Attrition Modeling'!$N$11)</f>
        <v>9311.551886858857</v>
      </c>
      <c r="BC21" s="799">
        <f>IF(BC$4=TRUE,0,BC14*BC17/12)*(1+'Attrition Modeling'!$N$11)</f>
        <v>9573.2584380392891</v>
      </c>
      <c r="BD21" s="799">
        <f>IF(BD$4=TRUE,0,BD14*BD17/12)*(1+'Attrition Modeling'!$N$11)</f>
        <v>11831.563305508125</v>
      </c>
      <c r="BE21" s="799">
        <f>IF(BE$4=TRUE,0,BE14*BE17/12)*(1+'Attrition Modeling'!$N$11)</f>
        <v>11829.480366671496</v>
      </c>
      <c r="BF21" s="799">
        <f>IF(BF$4=TRUE,0,BF14*BF17/12)*(1+'Attrition Modeling'!$N$11)</f>
        <v>11234.465851959729</v>
      </c>
      <c r="BG21" s="799">
        <f>IF(BG$4=TRUE,0,BG14*BG17/12)*(1+'Attrition Modeling'!$N$11)</f>
        <v>9766.2082587378627</v>
      </c>
      <c r="BH21" s="799">
        <f>IF(BH$4=TRUE,0,BH14*BH17/12)*(1+'Attrition Modeling'!$N$11)</f>
        <v>9152.6937506992217</v>
      </c>
      <c r="BI21" s="799">
        <f>IF(BI$4=TRUE,0,BI14*BI17/12)*(1+'Attrition Modeling'!$N$11)</f>
        <v>8755.6605481798233</v>
      </c>
      <c r="BJ21" s="799">
        <f>IF(BJ$4=TRUE,0,BJ14*BJ17/12)*(1+'Attrition Modeling'!$N$11)</f>
        <v>8285.6403998340338</v>
      </c>
      <c r="BK21" s="799">
        <f>IF(BK$4=TRUE,0,BK14*BK17/12)*(1+'Attrition Modeling'!$N$11)</f>
        <v>7811.1010355722228</v>
      </c>
      <c r="BL21" s="799">
        <f>IF(BL$4=TRUE,0,BL14*BL17/12)*(1+'Attrition Modeling'!$N$11)</f>
        <v>8246.3818697295119</v>
      </c>
      <c r="BM21" s="799">
        <f>IF(BM$4=TRUE,0,BM14*BM17/12)*(1+'Attrition Modeling'!$N$11)</f>
        <v>7993.200865045289</v>
      </c>
      <c r="BN21" s="799">
        <f>IF(BN$4=TRUE,0,BN14*BN17/12)*(1+'Attrition Modeling'!$N$11)</f>
        <v>8357.4629408457131</v>
      </c>
      <c r="BO21" s="799">
        <f>IF(BO$4=TRUE,0,BO14*BO17/12)*(1+'Attrition Modeling'!$N$11)</f>
        <v>7822.7081086502612</v>
      </c>
      <c r="BP21" s="11"/>
      <c r="BQ21" s="799">
        <f t="shared" ref="BQ21:BU21" si="12">SUMIF($D$2:$BK$2,BQ$3,$D21:$BK21)</f>
        <v>83572.083771609061</v>
      </c>
      <c r="BR21" s="799">
        <f t="shared" si="12"/>
        <v>142797.79887402296</v>
      </c>
      <c r="BS21" s="799">
        <f t="shared" si="12"/>
        <v>160047.55483032041</v>
      </c>
      <c r="BT21" s="799">
        <f t="shared" si="12"/>
        <v>117889.24038675404</v>
      </c>
      <c r="BU21" s="799">
        <f t="shared" si="12"/>
        <v>114226.3121129327</v>
      </c>
    </row>
    <row r="22" spans="1:73" ht="14.25" customHeight="1" x14ac:dyDescent="0.2">
      <c r="A22" s="3"/>
      <c r="B22" s="11" t="s">
        <v>720</v>
      </c>
      <c r="C22" s="11"/>
      <c r="D22" s="799">
        <f t="shared" ref="D22:BO22" si="13">D19+D20+D21</f>
        <v>3497.1153150024606</v>
      </c>
      <c r="E22" s="799">
        <f t="shared" si="13"/>
        <v>3466.4432040252391</v>
      </c>
      <c r="F22" s="799">
        <f t="shared" si="13"/>
        <v>5195.5217155690143</v>
      </c>
      <c r="G22" s="799">
        <f t="shared" si="13"/>
        <v>5936.0469444912333</v>
      </c>
      <c r="H22" s="799">
        <f t="shared" si="13"/>
        <v>9519.1296426761128</v>
      </c>
      <c r="I22" s="799">
        <f t="shared" si="13"/>
        <v>9144.2548444099775</v>
      </c>
      <c r="J22" s="799">
        <f t="shared" si="13"/>
        <v>9051.8399339913158</v>
      </c>
      <c r="K22" s="799">
        <f t="shared" si="13"/>
        <v>8135.1496745877221</v>
      </c>
      <c r="L22" s="799">
        <f t="shared" si="13"/>
        <v>7559.5167230179695</v>
      </c>
      <c r="M22" s="799">
        <f t="shared" si="13"/>
        <v>7649.1558674071211</v>
      </c>
      <c r="N22" s="799">
        <f t="shared" si="13"/>
        <v>7457.895006801984</v>
      </c>
      <c r="O22" s="799">
        <f t="shared" si="13"/>
        <v>6960.0148996289026</v>
      </c>
      <c r="P22" s="799">
        <f t="shared" si="13"/>
        <v>7859.3945534426066</v>
      </c>
      <c r="Q22" s="799">
        <f t="shared" si="13"/>
        <v>7894.7811377028129</v>
      </c>
      <c r="R22" s="799">
        <f t="shared" si="13"/>
        <v>10107.656106306758</v>
      </c>
      <c r="S22" s="799">
        <f t="shared" si="13"/>
        <v>10860.605841640225</v>
      </c>
      <c r="T22" s="799">
        <f t="shared" si="13"/>
        <v>14920.607008491033</v>
      </c>
      <c r="U22" s="799">
        <f t="shared" si="13"/>
        <v>14636.476375413084</v>
      </c>
      <c r="V22" s="799">
        <f t="shared" si="13"/>
        <v>14536.855064955866</v>
      </c>
      <c r="W22" s="799">
        <f t="shared" si="13"/>
        <v>13569.208586195937</v>
      </c>
      <c r="X22" s="799">
        <f t="shared" si="13"/>
        <v>12541.973185230914</v>
      </c>
      <c r="Y22" s="799">
        <f t="shared" si="13"/>
        <v>12474.100619394152</v>
      </c>
      <c r="Z22" s="799">
        <f t="shared" si="13"/>
        <v>12034.064441889235</v>
      </c>
      <c r="AA22" s="799">
        <f t="shared" si="13"/>
        <v>11362.075953360341</v>
      </c>
      <c r="AB22" s="799">
        <f t="shared" si="13"/>
        <v>10468.450810772045</v>
      </c>
      <c r="AC22" s="799">
        <f t="shared" si="13"/>
        <v>10167.762475127103</v>
      </c>
      <c r="AD22" s="799">
        <f t="shared" si="13"/>
        <v>12172.751529369185</v>
      </c>
      <c r="AE22" s="799">
        <f t="shared" si="13"/>
        <v>12667.941906690014</v>
      </c>
      <c r="AF22" s="799">
        <f t="shared" si="13"/>
        <v>15758.992742427572</v>
      </c>
      <c r="AG22" s="799">
        <f t="shared" si="13"/>
        <v>15742.773920101237</v>
      </c>
      <c r="AH22" s="799">
        <f t="shared" si="13"/>
        <v>15699.242095050509</v>
      </c>
      <c r="AI22" s="799">
        <f t="shared" si="13"/>
        <v>15043.298297760357</v>
      </c>
      <c r="AJ22" s="799">
        <f t="shared" si="13"/>
        <v>13810.192239433594</v>
      </c>
      <c r="AK22" s="799">
        <f t="shared" si="13"/>
        <v>13497.981999839187</v>
      </c>
      <c r="AL22" s="799">
        <f t="shared" si="13"/>
        <v>12878.289640001678</v>
      </c>
      <c r="AM22" s="799">
        <f t="shared" si="13"/>
        <v>12139.877173747924</v>
      </c>
      <c r="AN22" s="799">
        <f t="shared" si="13"/>
        <v>7435.4383219103674</v>
      </c>
      <c r="AO22" s="799">
        <f t="shared" si="13"/>
        <v>8754.9437060097953</v>
      </c>
      <c r="AP22" s="799">
        <f t="shared" si="13"/>
        <v>10081.606049843473</v>
      </c>
      <c r="AQ22" s="799">
        <f t="shared" si="13"/>
        <v>10351.70950103892</v>
      </c>
      <c r="AR22" s="799">
        <f t="shared" si="13"/>
        <v>12401.771834978908</v>
      </c>
      <c r="AS22" s="799">
        <f t="shared" si="13"/>
        <v>12234.314706758178</v>
      </c>
      <c r="AT22" s="799">
        <f t="shared" si="13"/>
        <v>11556.649757422258</v>
      </c>
      <c r="AU22" s="799">
        <f t="shared" si="13"/>
        <v>10095.151765000901</v>
      </c>
      <c r="AV22" s="799">
        <f t="shared" si="13"/>
        <v>9418.3103479124293</v>
      </c>
      <c r="AW22" s="799">
        <f t="shared" si="13"/>
        <v>8986.9304520492315</v>
      </c>
      <c r="AX22" s="799">
        <f t="shared" si="13"/>
        <v>8461.3939031567879</v>
      </c>
      <c r="AY22" s="799">
        <f t="shared" si="13"/>
        <v>8111.0200406727981</v>
      </c>
      <c r="AZ22" s="799">
        <f t="shared" si="13"/>
        <v>8566.4474346477873</v>
      </c>
      <c r="BA22" s="799">
        <f t="shared" si="13"/>
        <v>8108.2408362242404</v>
      </c>
      <c r="BB22" s="799">
        <f t="shared" si="13"/>
        <v>9311.551886858857</v>
      </c>
      <c r="BC22" s="799">
        <f t="shared" si="13"/>
        <v>9573.2584380392891</v>
      </c>
      <c r="BD22" s="799">
        <f t="shared" si="13"/>
        <v>11831.563305508125</v>
      </c>
      <c r="BE22" s="799">
        <f t="shared" si="13"/>
        <v>11829.480366671496</v>
      </c>
      <c r="BF22" s="799">
        <f t="shared" si="13"/>
        <v>11234.465851959729</v>
      </c>
      <c r="BG22" s="799">
        <f t="shared" si="13"/>
        <v>9766.2082587378627</v>
      </c>
      <c r="BH22" s="799">
        <f t="shared" si="13"/>
        <v>9152.6937506992217</v>
      </c>
      <c r="BI22" s="799">
        <f t="shared" si="13"/>
        <v>8755.6605481798233</v>
      </c>
      <c r="BJ22" s="799">
        <f t="shared" si="13"/>
        <v>8285.6403998340338</v>
      </c>
      <c r="BK22" s="799">
        <f t="shared" si="13"/>
        <v>7811.1010355722228</v>
      </c>
      <c r="BL22" s="799">
        <f t="shared" si="13"/>
        <v>8246.3818697295119</v>
      </c>
      <c r="BM22" s="799">
        <f t="shared" si="13"/>
        <v>7993.200865045289</v>
      </c>
      <c r="BN22" s="799">
        <f t="shared" si="13"/>
        <v>8357.4629408457131</v>
      </c>
      <c r="BO22" s="799">
        <f t="shared" si="13"/>
        <v>7822.7081086502612</v>
      </c>
      <c r="BP22" s="11"/>
      <c r="BQ22" s="799">
        <f t="shared" ref="BQ22:BU22" si="14">SUMIF($D$2:$BK$2,BQ$3,$D22:$BK22)</f>
        <v>83572.083771609061</v>
      </c>
      <c r="BR22" s="799">
        <f t="shared" si="14"/>
        <v>142797.79887402296</v>
      </c>
      <c r="BS22" s="799">
        <f t="shared" si="14"/>
        <v>160047.55483032041</v>
      </c>
      <c r="BT22" s="799">
        <f t="shared" si="14"/>
        <v>117889.24038675404</v>
      </c>
      <c r="BU22" s="799">
        <f t="shared" si="14"/>
        <v>114226.3121129327</v>
      </c>
    </row>
    <row r="23" spans="1:73" ht="14.25" customHeight="1" x14ac:dyDescent="0.2">
      <c r="A23" s="3"/>
      <c r="B23" s="11" t="s">
        <v>721</v>
      </c>
      <c r="C23" s="11"/>
      <c r="D23" s="828">
        <f t="shared" ref="D23:BO23" si="15">D22/D17*12</f>
        <v>18.175812993534755</v>
      </c>
      <c r="E23" s="828">
        <f t="shared" si="15"/>
        <v>18.236399036846546</v>
      </c>
      <c r="F23" s="828">
        <f t="shared" si="15"/>
        <v>18.4795510240045</v>
      </c>
      <c r="G23" s="828">
        <f t="shared" si="15"/>
        <v>19.280331568378024</v>
      </c>
      <c r="H23" s="828">
        <f t="shared" si="15"/>
        <v>20.115812603007747</v>
      </c>
      <c r="I23" s="828">
        <f t="shared" si="15"/>
        <v>20.685760626759631</v>
      </c>
      <c r="J23" s="828">
        <f t="shared" si="15"/>
        <v>20.754713162182163</v>
      </c>
      <c r="K23" s="828">
        <f t="shared" si="15"/>
        <v>19.578612749658504</v>
      </c>
      <c r="L23" s="828">
        <f t="shared" si="15"/>
        <v>19.252302537164198</v>
      </c>
      <c r="M23" s="828">
        <f t="shared" si="15"/>
        <v>19.027692340897278</v>
      </c>
      <c r="N23" s="828">
        <f t="shared" si="15"/>
        <v>18.824730289261041</v>
      </c>
      <c r="O23" s="828">
        <f t="shared" si="15"/>
        <v>18.774531008489681</v>
      </c>
      <c r="P23" s="828">
        <f t="shared" si="15"/>
        <v>18.83711277851798</v>
      </c>
      <c r="Q23" s="828">
        <f t="shared" si="15"/>
        <v>18.899903154446378</v>
      </c>
      <c r="R23" s="828">
        <f t="shared" si="15"/>
        <v>19.151901863172331</v>
      </c>
      <c r="S23" s="828">
        <f t="shared" si="15"/>
        <v>19.981817610576464</v>
      </c>
      <c r="T23" s="828">
        <f t="shared" si="15"/>
        <v>20.847696373701446</v>
      </c>
      <c r="U23" s="828">
        <f t="shared" si="15"/>
        <v>21.438381104289654</v>
      </c>
      <c r="V23" s="828">
        <f t="shared" si="15"/>
        <v>21.509842374637287</v>
      </c>
      <c r="W23" s="828">
        <f t="shared" si="15"/>
        <v>20.290951306741174</v>
      </c>
      <c r="X23" s="828">
        <f t="shared" si="15"/>
        <v>19.952768784962153</v>
      </c>
      <c r="Y23" s="828">
        <f t="shared" si="15"/>
        <v>19.719986482470929</v>
      </c>
      <c r="Z23" s="828">
        <f t="shared" si="15"/>
        <v>19.509639959991233</v>
      </c>
      <c r="AA23" s="828">
        <f t="shared" si="15"/>
        <v>19.457614253431259</v>
      </c>
      <c r="AB23" s="828">
        <f t="shared" si="15"/>
        <v>19.522472967609367</v>
      </c>
      <c r="AC23" s="828">
        <f t="shared" si="15"/>
        <v>19.5875478775014</v>
      </c>
      <c r="AD23" s="828">
        <f t="shared" si="15"/>
        <v>19.848715182534754</v>
      </c>
      <c r="AE23" s="828">
        <f t="shared" si="15"/>
        <v>20.708826173777929</v>
      </c>
      <c r="AF23" s="828">
        <f t="shared" si="15"/>
        <v>21.606208641308307</v>
      </c>
      <c r="AG23" s="828">
        <f t="shared" si="15"/>
        <v>22.132120142570017</v>
      </c>
      <c r="AH23" s="828">
        <f t="shared" si="15"/>
        <v>22.037259867305686</v>
      </c>
      <c r="AI23" s="828">
        <f t="shared" si="15"/>
        <v>20.659649433678574</v>
      </c>
      <c r="AJ23" s="828">
        <f t="shared" si="15"/>
        <v>20.196330722876542</v>
      </c>
      <c r="AK23" s="828">
        <f t="shared" si="15"/>
        <v>19.833855274428601</v>
      </c>
      <c r="AL23" s="828">
        <f t="shared" si="15"/>
        <v>19.497208782379481</v>
      </c>
      <c r="AM23" s="828">
        <f t="shared" si="15"/>
        <v>19.333655419769787</v>
      </c>
      <c r="AN23" s="828">
        <f t="shared" si="15"/>
        <v>19.505688989233519</v>
      </c>
      <c r="AO23" s="828">
        <f t="shared" si="15"/>
        <v>19.570707952530963</v>
      </c>
      <c r="AP23" s="828">
        <f t="shared" si="15"/>
        <v>19.805620573406738</v>
      </c>
      <c r="AQ23" s="828">
        <f t="shared" si="15"/>
        <v>20.617753193255183</v>
      </c>
      <c r="AR23" s="828">
        <f t="shared" si="15"/>
        <v>21.380535495371745</v>
      </c>
      <c r="AS23" s="828">
        <f t="shared" si="15"/>
        <v>21.899113903519154</v>
      </c>
      <c r="AT23" s="828">
        <f t="shared" si="15"/>
        <v>21.949648232940003</v>
      </c>
      <c r="AU23" s="828">
        <f t="shared" si="15"/>
        <v>20.789249955352275</v>
      </c>
      <c r="AV23" s="828">
        <f t="shared" si="15"/>
        <v>20.502072187132129</v>
      </c>
      <c r="AW23" s="828">
        <f t="shared" si="15"/>
        <v>20.31976389656797</v>
      </c>
      <c r="AX23" s="828">
        <f t="shared" si="15"/>
        <v>20.157687178853671</v>
      </c>
      <c r="AY23" s="828">
        <f t="shared" si="15"/>
        <v>20.148213612265018</v>
      </c>
      <c r="AZ23" s="828">
        <f t="shared" si="15"/>
        <v>20.215374324305898</v>
      </c>
      <c r="BA23" s="828">
        <f t="shared" si="15"/>
        <v>20.28275890538692</v>
      </c>
      <c r="BB23" s="828">
        <f t="shared" si="15"/>
        <v>20.526218470805439</v>
      </c>
      <c r="BC23" s="828">
        <f t="shared" si="15"/>
        <v>21.36789932198057</v>
      </c>
      <c r="BD23" s="828">
        <f t="shared" si="15"/>
        <v>22.158434317886311</v>
      </c>
      <c r="BE23" s="828">
        <f t="shared" si="15"/>
        <v>22.695880426198034</v>
      </c>
      <c r="BF23" s="828">
        <f t="shared" si="15"/>
        <v>22.748253371651746</v>
      </c>
      <c r="BG23" s="828">
        <f t="shared" si="15"/>
        <v>21.545635737398285</v>
      </c>
      <c r="BH23" s="828">
        <f t="shared" si="15"/>
        <v>21.248009435379764</v>
      </c>
      <c r="BI23" s="828">
        <f t="shared" si="15"/>
        <v>21.059068130193722</v>
      </c>
      <c r="BJ23" s="828">
        <f t="shared" si="15"/>
        <v>20.891094493391769</v>
      </c>
      <c r="BK23" s="828">
        <f t="shared" si="15"/>
        <v>20.881276245244692</v>
      </c>
      <c r="BL23" s="828">
        <f t="shared" si="15"/>
        <v>20.950880499395517</v>
      </c>
      <c r="BM23" s="828">
        <f t="shared" si="15"/>
        <v>21.020716767726828</v>
      </c>
      <c r="BN23" s="828">
        <f t="shared" si="15"/>
        <v>21.273034245488567</v>
      </c>
      <c r="BO23" s="828">
        <f t="shared" si="15"/>
        <v>22.145338396215944</v>
      </c>
      <c r="BP23" s="11"/>
      <c r="BQ23" s="828">
        <f t="shared" ref="BQ23:BU23" si="16">AVERAGEIF($D$2:$BK$2,BQ$3,$D23:$BK23)</f>
        <v>19.265520828348674</v>
      </c>
      <c r="BR23" s="828">
        <f t="shared" si="16"/>
        <v>19.966468003911526</v>
      </c>
      <c r="BS23" s="828">
        <f t="shared" si="16"/>
        <v>20.41365420714504</v>
      </c>
      <c r="BT23" s="828">
        <f t="shared" si="16"/>
        <v>20.553837930869026</v>
      </c>
      <c r="BU23" s="828">
        <f t="shared" si="16"/>
        <v>21.301658598318593</v>
      </c>
    </row>
    <row r="24" spans="1:73" ht="9" customHeight="1" x14ac:dyDescent="0.2">
      <c r="A24" s="3"/>
      <c r="B24" s="11"/>
      <c r="C24" s="11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838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838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838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838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11"/>
      <c r="BQ24" s="75"/>
      <c r="BR24" s="25">
        <f t="shared" ref="BR24:BU24" si="17">BR23/BQ23-1</f>
        <v>3.6383505113001036E-2</v>
      </c>
      <c r="BS24" s="25">
        <f t="shared" si="17"/>
        <v>2.2396860734001933E-2</v>
      </c>
      <c r="BT24" s="25">
        <f t="shared" si="17"/>
        <v>6.8671548122394288E-3</v>
      </c>
      <c r="BU24" s="25">
        <f t="shared" si="17"/>
        <v>3.6383505113001036E-2</v>
      </c>
    </row>
    <row r="25" spans="1:73" ht="14.25" customHeight="1" x14ac:dyDescent="0.2">
      <c r="A25" s="795" t="s">
        <v>413</v>
      </c>
      <c r="B25" s="796"/>
      <c r="C25" s="796"/>
      <c r="D25" s="796"/>
      <c r="E25" s="839"/>
      <c r="F25" s="796"/>
      <c r="G25" s="796"/>
      <c r="H25" s="796"/>
      <c r="I25" s="796"/>
      <c r="J25" s="796"/>
      <c r="K25" s="796"/>
      <c r="L25" s="796"/>
      <c r="M25" s="796"/>
      <c r="N25" s="796"/>
      <c r="O25" s="817"/>
      <c r="P25" s="796"/>
      <c r="Q25" s="796"/>
      <c r="R25" s="796"/>
      <c r="S25" s="796"/>
      <c r="T25" s="796"/>
      <c r="U25" s="796"/>
      <c r="V25" s="796"/>
      <c r="W25" s="796"/>
      <c r="X25" s="796"/>
      <c r="Y25" s="796"/>
      <c r="Z25" s="796"/>
      <c r="AA25" s="817"/>
      <c r="AB25" s="796"/>
      <c r="AC25" s="796"/>
      <c r="AD25" s="796"/>
      <c r="AE25" s="796"/>
      <c r="AF25" s="796"/>
      <c r="AG25" s="796"/>
      <c r="AH25" s="796"/>
      <c r="AI25" s="796"/>
      <c r="AJ25" s="796"/>
      <c r="AK25" s="796"/>
      <c r="AL25" s="796"/>
      <c r="AM25" s="817"/>
      <c r="AN25" s="796"/>
      <c r="AO25" s="796"/>
      <c r="AP25" s="796"/>
      <c r="AQ25" s="796"/>
      <c r="AR25" s="796"/>
      <c r="AS25" s="796"/>
      <c r="AT25" s="796"/>
      <c r="AU25" s="796"/>
      <c r="AV25" s="796"/>
      <c r="AW25" s="796"/>
      <c r="AX25" s="796"/>
      <c r="AY25" s="817"/>
      <c r="AZ25" s="796"/>
      <c r="BA25" s="796"/>
      <c r="BB25" s="796"/>
      <c r="BC25" s="796"/>
      <c r="BD25" s="796"/>
      <c r="BE25" s="796"/>
      <c r="BF25" s="796"/>
      <c r="BG25" s="796"/>
      <c r="BH25" s="796"/>
      <c r="BI25" s="796"/>
      <c r="BJ25" s="796"/>
      <c r="BK25" s="796"/>
      <c r="BL25" s="796"/>
      <c r="BM25" s="796"/>
      <c r="BN25" s="796"/>
      <c r="BO25" s="796"/>
      <c r="BP25" s="11"/>
      <c r="BQ25" s="796"/>
      <c r="BR25" s="796"/>
      <c r="BS25" s="796"/>
      <c r="BT25" s="796"/>
      <c r="BU25" s="796"/>
    </row>
    <row r="26" spans="1:73" ht="14.25" customHeight="1" x14ac:dyDescent="0.2">
      <c r="A26" s="3"/>
      <c r="B26" s="11" t="s">
        <v>699</v>
      </c>
      <c r="C26" s="11"/>
      <c r="D26" s="799">
        <f>'IP Attrition'!H131</f>
        <v>0</v>
      </c>
      <c r="E26" s="799">
        <f>'IP Attrition'!I131+'Traditional Attrition'!I131</f>
        <v>0</v>
      </c>
      <c r="F26" s="799">
        <f>'IP Attrition'!J131+'Traditional Attrition'!J131</f>
        <v>-229.81969934287554</v>
      </c>
      <c r="G26" s="799">
        <f>'IP Attrition'!K131+'Traditional Attrition'!K131</f>
        <v>-499.89148532530271</v>
      </c>
      <c r="H26" s="799">
        <f>'IP Attrition'!L131+'Traditional Attrition'!L131</f>
        <v>-779.69562762186251</v>
      </c>
      <c r="I26" s="799">
        <f>'IP Attrition'!M131+'Traditional Attrition'!M131</f>
        <v>-1260.5700831257163</v>
      </c>
      <c r="J26" s="799">
        <f>'IP Attrition'!N131+'Traditional Attrition'!N131</f>
        <v>-1697.9938486368555</v>
      </c>
      <c r="K26" s="799">
        <f>'IP Attrition'!O131+'Traditional Attrition'!O131</f>
        <v>-2316.920736464861</v>
      </c>
      <c r="L26" s="799">
        <f>'IP Attrition'!P131+'Traditional Attrition'!P131</f>
        <v>-2354.9112203757613</v>
      </c>
      <c r="M26" s="799">
        <f>'IP Attrition'!Q131+'Traditional Attrition'!Q131</f>
        <v>-2436.8890723349068</v>
      </c>
      <c r="N26" s="799">
        <f>'IP Attrition'!R131+'Traditional Attrition'!R131</f>
        <v>-2527.2006563102332</v>
      </c>
      <c r="O26" s="824">
        <f>'IP Attrition'!S131+'Traditional Attrition'!S131</f>
        <v>-2579.6179755628327</v>
      </c>
      <c r="P26" s="825">
        <f>'IP Attrition'!T131+'Traditional Attrition'!T131</f>
        <v>-2557.9615545211018</v>
      </c>
      <c r="Q26" s="799">
        <f>'IP Attrition'!U131+'Traditional Attrition'!U131</f>
        <v>-2593.3373484034673</v>
      </c>
      <c r="R26" s="799">
        <f>'IP Attrition'!V131+'Traditional Attrition'!V131</f>
        <v>-2998.6285441586733</v>
      </c>
      <c r="S26" s="799">
        <f>'IP Attrition'!W131+'Traditional Attrition'!W131</f>
        <v>-3133.996073737304</v>
      </c>
      <c r="T26" s="799">
        <f>'IP Attrition'!X131+'Traditional Attrition'!X131</f>
        <v>-3392.5460920202313</v>
      </c>
      <c r="U26" s="799">
        <f>'IP Attrition'!Y131+'Traditional Attrition'!Y131</f>
        <v>-3903.4832863264601</v>
      </c>
      <c r="V26" s="799">
        <f>'IP Attrition'!Z131+'Traditional Attrition'!Z131</f>
        <v>-4359.9847776375755</v>
      </c>
      <c r="W26" s="799">
        <f>'IP Attrition'!AA131+'Traditional Attrition'!AA131</f>
        <v>-5193.788973561037</v>
      </c>
      <c r="X26" s="799">
        <f>'IP Attrition'!AB131+'Traditional Attrition'!AB131</f>
        <v>-5043.2004384071406</v>
      </c>
      <c r="Y26" s="799">
        <f>'IP Attrition'!AC131+'Traditional Attrition'!AC131</f>
        <v>-5058.9357363309464</v>
      </c>
      <c r="Z26" s="799">
        <f>'IP Attrition'!AD131+'Traditional Attrition'!AD131</f>
        <v>-5040.0509277570818</v>
      </c>
      <c r="AA26" s="824">
        <f>'IP Attrition'!AE131+'Traditional Attrition'!AE131</f>
        <v>-5025.0355838306205</v>
      </c>
      <c r="AB26" s="825">
        <f>'IP Attrition'!AF131+'Traditional Attrition'!AF131</f>
        <v>-4755.5378768117371</v>
      </c>
      <c r="AC26" s="799">
        <f>'IP Attrition'!AG131+'Traditional Attrition'!AG131</f>
        <v>-4570.205365201633</v>
      </c>
      <c r="AD26" s="799">
        <f>'IP Attrition'!AH131+'Traditional Attrition'!AH131</f>
        <v>-5072.7893632030318</v>
      </c>
      <c r="AE26" s="799">
        <f>'IP Attrition'!AI131+'Traditional Attrition'!AI131</f>
        <v>-5017.2008735884447</v>
      </c>
      <c r="AF26" s="799">
        <f>'IP Attrition'!AJ131+'Traditional Attrition'!AJ131</f>
        <v>-5189.6441705180332</v>
      </c>
      <c r="AG26" s="799">
        <f>'IP Attrition'!AK131+'Traditional Attrition'!AK131</f>
        <v>-5594.5458238818828</v>
      </c>
      <c r="AH26" s="799">
        <f>'IP Attrition'!AL131+'Traditional Attrition'!AL131</f>
        <v>-5977.3871767462988</v>
      </c>
      <c r="AI26" s="799">
        <f>'IP Attrition'!AM131+'Traditional Attrition'!AM131</f>
        <v>-6796.5314369488915</v>
      </c>
      <c r="AJ26" s="799">
        <f>'IP Attrition'!AN131+'Traditional Attrition'!AN131</f>
        <v>-6491.4187956656533</v>
      </c>
      <c r="AK26" s="799">
        <f>'IP Attrition'!AO131+'Traditional Attrition'!AO131</f>
        <v>-6430.5398615309823</v>
      </c>
      <c r="AL26" s="799">
        <f>'IP Attrition'!AP131+'Traditional Attrition'!AP131</f>
        <v>-6306.6692444043001</v>
      </c>
      <c r="AM26" s="824">
        <f>'IP Attrition'!AQ131+'Traditional Attrition'!AQ131</f>
        <v>-6175.7187343332916</v>
      </c>
      <c r="AN26" s="825">
        <f>'IP Attrition'!AR131+'Traditional Attrition'!AR131</f>
        <v>-5879.2728259837459</v>
      </c>
      <c r="AO26" s="799">
        <f>'IP Attrition'!AS131+'Traditional Attrition'!AS131</f>
        <v>-5368.1923375965998</v>
      </c>
      <c r="AP26" s="799">
        <f>'IP Attrition'!AT131+'Traditional Attrition'!AT131</f>
        <v>-5790.9093171303975</v>
      </c>
      <c r="AQ26" s="799">
        <f>'IP Attrition'!AU131+'Traditional Attrition'!AU131</f>
        <v>-5495.8947218818212</v>
      </c>
      <c r="AR26" s="799">
        <f>'IP Attrition'!AV131+'Traditional Attrition'!AV131</f>
        <v>-5585.1046339102177</v>
      </c>
      <c r="AS26" s="799">
        <f>'IP Attrition'!AW131+'Traditional Attrition'!AW131</f>
        <v>-5857.5493368326279</v>
      </c>
      <c r="AT26" s="799">
        <f>'IP Attrition'!AX131+'Traditional Attrition'!AX131</f>
        <v>-6106.4734525792883</v>
      </c>
      <c r="AU26" s="799">
        <f>'IP Attrition'!AY131+'Traditional Attrition'!AY131</f>
        <v>-6673.5936524010758</v>
      </c>
      <c r="AV26" s="799">
        <f>'IP Attrition'!AZ131+'Traditional Attrition'!AZ131</f>
        <v>-6147.4420505395101</v>
      </c>
      <c r="AW26" s="799">
        <f>'IP Attrition'!BA131+'Traditional Attrition'!BA131</f>
        <v>-5942.146059906212</v>
      </c>
      <c r="AX26" s="799">
        <f>'IP Attrition'!BB131+'Traditional Attrition'!BB131</f>
        <v>-5671.963865071797</v>
      </c>
      <c r="AY26" s="824">
        <f>'IP Attrition'!BC131+'Traditional Attrition'!BC131</f>
        <v>-5359.8474164826039</v>
      </c>
      <c r="AZ26" s="825">
        <f>'IP Attrition'!BD131+'Traditional Attrition'!BD131</f>
        <v>-5085.1083718086302</v>
      </c>
      <c r="BA26" s="799">
        <f>'IP Attrition'!BE131+'Traditional Attrition'!BE131</f>
        <v>-4797.1230387622054</v>
      </c>
      <c r="BB26" s="799">
        <f>'IP Attrition'!BF131+'Traditional Attrition'!BF131</f>
        <v>-5126.2812971977546</v>
      </c>
      <c r="BC26" s="799">
        <f>'IP Attrition'!BG131+'Traditional Attrition'!BG131</f>
        <v>-4847.2118423041684</v>
      </c>
      <c r="BD26" s="799">
        <f>'IP Attrition'!BH131+'Traditional Attrition'!BH131</f>
        <v>-5031.945447415972</v>
      </c>
      <c r="BE26" s="799">
        <f>'IP Attrition'!BI131+'Traditional Attrition'!BI131</f>
        <v>-5408.1488769361458</v>
      </c>
      <c r="BF26" s="799">
        <f>'IP Attrition'!BJ131+'Traditional Attrition'!BJ131</f>
        <v>-5714.7130907435057</v>
      </c>
      <c r="BG26" s="799">
        <f>'IP Attrition'!BK131+'Traditional Attrition'!BK131</f>
        <v>-6285.8173877650115</v>
      </c>
      <c r="BH26" s="799">
        <f>'IP Attrition'!BL131+'Traditional Attrition'!BL131</f>
        <v>-5803.9062053984817</v>
      </c>
      <c r="BI26" s="799">
        <f>'IP Attrition'!BM131+'Traditional Attrition'!BM131</f>
        <v>-5624.0431331458385</v>
      </c>
      <c r="BJ26" s="799">
        <f>'IP Attrition'!BN131+'Traditional Attrition'!BN131</f>
        <v>-5394.1754484920821</v>
      </c>
      <c r="BK26" s="799">
        <f>'IP Attrition'!BO131+'Traditional Attrition'!BO131</f>
        <v>-5017.8991539911949</v>
      </c>
      <c r="BL26" s="799">
        <f>'IP Attrition'!BP131+'Traditional Attrition'!BP131</f>
        <v>-4723.2660431435797</v>
      </c>
      <c r="BM26" s="799">
        <f>'IP Attrition'!BQ131+'Traditional Attrition'!BQ131</f>
        <v>-4563.0418524932174</v>
      </c>
      <c r="BN26" s="799">
        <f>'IP Attrition'!BR131+'Traditional Attrition'!BR131</f>
        <v>-4396.9772439372755</v>
      </c>
      <c r="BO26" s="799">
        <f>'IP Attrition'!BS131+'Traditional Attrition'!BS131</f>
        <v>-3709.8931041577307</v>
      </c>
      <c r="BP26" s="11"/>
      <c r="BQ26" s="799">
        <f t="shared" ref="BQ26:BU26" si="18">SUMIF($D$2:$BK$2,BQ$3,$D26:$BK26)</f>
        <v>-16683.510405101209</v>
      </c>
      <c r="BR26" s="799">
        <f t="shared" si="18"/>
        <v>-48300.949336691643</v>
      </c>
      <c r="BS26" s="799">
        <f t="shared" si="18"/>
        <v>-68378.18872283418</v>
      </c>
      <c r="BT26" s="799">
        <f t="shared" si="18"/>
        <v>-69878.389670315897</v>
      </c>
      <c r="BU26" s="799">
        <f t="shared" si="18"/>
        <v>-64136.373293960991</v>
      </c>
    </row>
    <row r="27" spans="1:73" ht="14.25" customHeight="1" x14ac:dyDescent="0.2">
      <c r="A27" s="3"/>
      <c r="B27" s="11" t="s">
        <v>697</v>
      </c>
      <c r="C27" s="11"/>
      <c r="D27" s="799">
        <f>'IP Attrition'!H64</f>
        <v>0</v>
      </c>
      <c r="E27" s="799">
        <f>'IP Attrition'!I64+'Traditional Attrition'!I64</f>
        <v>0</v>
      </c>
      <c r="F27" s="799">
        <f>'IP Attrition'!J64+'Traditional Attrition'!J64</f>
        <v>-349.25697864539779</v>
      </c>
      <c r="G27" s="799">
        <f>'IP Attrition'!K64+'Traditional Attrition'!K64</f>
        <v>-766.34323425651019</v>
      </c>
      <c r="H27" s="799">
        <f>'IP Attrition'!L64+'Traditional Attrition'!L64</f>
        <v>-1220.3535403575497</v>
      </c>
      <c r="I27" s="799">
        <f>'IP Attrition'!M64+'Traditional Attrition'!M64</f>
        <v>-2035.24264698251</v>
      </c>
      <c r="J27" s="799">
        <f>'IP Attrition'!N64+'Traditional Attrition'!N64</f>
        <v>-2825.4601780747989</v>
      </c>
      <c r="K27" s="799">
        <f>'IP Attrition'!O64+'Traditional Attrition'!O64</f>
        <v>-3931.7865927217777</v>
      </c>
      <c r="L27" s="799">
        <f>'IP Attrition'!P64+'Traditional Attrition'!P64</f>
        <v>-3992.62685693091</v>
      </c>
      <c r="M27" s="799">
        <f>'IP Attrition'!Q64+'Traditional Attrition'!Q64</f>
        <v>-4142.6035312140712</v>
      </c>
      <c r="N27" s="799">
        <f>'IP Attrition'!R64+'Traditional Attrition'!R64</f>
        <v>-4300.9614113376556</v>
      </c>
      <c r="O27" s="824">
        <f>'IP Attrition'!S64+'Traditional Attrition'!S64</f>
        <v>-4370.8471044398166</v>
      </c>
      <c r="P27" s="825">
        <f>'IP Attrition'!T64+'Traditional Attrition'!T64</f>
        <v>-4312.9753719199289</v>
      </c>
      <c r="Q27" s="799">
        <f>'IP Attrition'!U64+'Traditional Attrition'!U64</f>
        <v>-4346.6059539140088</v>
      </c>
      <c r="R27" s="799">
        <f>'IP Attrition'!V64+'Traditional Attrition'!V64</f>
        <v>-5016.1113045890233</v>
      </c>
      <c r="S27" s="799">
        <f>'IP Attrition'!W64+'Traditional Attrition'!W64</f>
        <v>-5228.5069498652992</v>
      </c>
      <c r="T27" s="799">
        <f>'IP Attrition'!X64+'Traditional Attrition'!X64</f>
        <v>-5696.0839780713186</v>
      </c>
      <c r="U27" s="799">
        <f>'IP Attrition'!Y64+'Traditional Attrition'!Y64</f>
        <v>-6666.8797215685354</v>
      </c>
      <c r="V27" s="799">
        <f>'IP Attrition'!Z64+'Traditional Attrition'!Z64</f>
        <v>-7577.4555830587797</v>
      </c>
      <c r="W27" s="799">
        <f>'IP Attrition'!AA64+'Traditional Attrition'!AA64</f>
        <v>-9156.158287295988</v>
      </c>
      <c r="X27" s="799">
        <f>'IP Attrition'!AB64+'Traditional Attrition'!AB64</f>
        <v>-8898.0534562128141</v>
      </c>
      <c r="Y27" s="799">
        <f>'IP Attrition'!AC64+'Traditional Attrition'!AC64</f>
        <v>-8955.8803856304876</v>
      </c>
      <c r="Z27" s="799">
        <f>'IP Attrition'!AD64+'Traditional Attrition'!AD64</f>
        <v>-8939.3223354315487</v>
      </c>
      <c r="AA27" s="824">
        <f>'IP Attrition'!AE64+'Traditional Attrition'!AE64</f>
        <v>-8891.2554055872788</v>
      </c>
      <c r="AB27" s="825">
        <f>'IP Attrition'!AF64+'Traditional Attrition'!AF64</f>
        <v>-8398.5264114591191</v>
      </c>
      <c r="AC27" s="799">
        <f>'IP Attrition'!AG64+'Traditional Attrition'!AG64</f>
        <v>-8046.3621540770473</v>
      </c>
      <c r="AD27" s="799">
        <f>'IP Attrition'!AH64+'Traditional Attrition'!AH64</f>
        <v>-8930.6591350978797</v>
      </c>
      <c r="AE27" s="799">
        <f>'IP Attrition'!AI64+'Traditional Attrition'!AI64</f>
        <v>-8826.8251083825598</v>
      </c>
      <c r="AF27" s="799">
        <f>'IP Attrition'!AJ64+'Traditional Attrition'!AJ64</f>
        <v>-9183.7387851701515</v>
      </c>
      <c r="AG27" s="799">
        <f>'IP Attrition'!AK64+'Traditional Attrition'!AK64</f>
        <v>-10027.013901940381</v>
      </c>
      <c r="AH27" s="799">
        <f>'IP Attrition'!AL64+'Traditional Attrition'!AL64</f>
        <v>-10859.849624505287</v>
      </c>
      <c r="AI27" s="799">
        <f>'IP Attrition'!AM64+'Traditional Attrition'!AM64</f>
        <v>-12475.308176504694</v>
      </c>
      <c r="AJ27" s="799">
        <f>'IP Attrition'!AN64+'Traditional Attrition'!AN64</f>
        <v>-11906.623776795823</v>
      </c>
      <c r="AK27" s="799">
        <f>'IP Attrition'!AO64+'Traditional Attrition'!AO64</f>
        <v>-11811.090743636483</v>
      </c>
      <c r="AL27" s="799">
        <f>'IP Attrition'!AP64+'Traditional Attrition'!AP64</f>
        <v>-11576.224028348248</v>
      </c>
      <c r="AM27" s="824">
        <f>'IP Attrition'!AQ64+'Traditional Attrition'!AQ64</f>
        <v>-11267.384226718501</v>
      </c>
      <c r="AN27" s="825">
        <f>'IP Attrition'!AR64+'Traditional Attrition'!AR64</f>
        <v>-10704.869329757465</v>
      </c>
      <c r="AO27" s="799">
        <f>'IP Attrition'!AS64+'Traditional Attrition'!AS64</f>
        <v>-9771.9529340132667</v>
      </c>
      <c r="AP27" s="799">
        <f>'IP Attrition'!AT64+'Traditional Attrition'!AT64</f>
        <v>-10529.040829587912</v>
      </c>
      <c r="AQ27" s="799">
        <f>'IP Attrition'!AU64+'Traditional Attrition'!AU64</f>
        <v>-9974.8263735268702</v>
      </c>
      <c r="AR27" s="799">
        <f>'IP Attrition'!AV64+'Traditional Attrition'!AV64</f>
        <v>-10196.022379566184</v>
      </c>
      <c r="AS27" s="799">
        <f>'IP Attrition'!AW64+'Traditional Attrition'!AW64</f>
        <v>-10789.478206248157</v>
      </c>
      <c r="AT27" s="799">
        <f>'IP Attrition'!AX64+'Traditional Attrition'!AX64</f>
        <v>-11357.424120843036</v>
      </c>
      <c r="AU27" s="799">
        <f>'IP Attrition'!AY64+'Traditional Attrition'!AY64</f>
        <v>-12502.506930853437</v>
      </c>
      <c r="AV27" s="799">
        <f>'IP Attrition'!AZ64+'Traditional Attrition'!AZ64</f>
        <v>-11543.55660151166</v>
      </c>
      <c r="AW27" s="799">
        <f>'IP Attrition'!BA64+'Traditional Attrition'!BA64</f>
        <v>-11206.284592444217</v>
      </c>
      <c r="AX27" s="799">
        <f>'IP Attrition'!BB64+'Traditional Attrition'!BB64</f>
        <v>-10726.694673199228</v>
      </c>
      <c r="AY27" s="824">
        <f>'IP Attrition'!BC64+'Traditional Attrition'!BC64</f>
        <v>-10105.534184951981</v>
      </c>
      <c r="AZ27" s="825">
        <f>'IP Attrition'!BD64+'Traditional Attrition'!BD64</f>
        <v>-9627.7298647895659</v>
      </c>
      <c r="BA27" s="799">
        <f>'IP Attrition'!BE64+'Traditional Attrition'!BE64</f>
        <v>-9067.5797532951874</v>
      </c>
      <c r="BB27" s="799">
        <f>'IP Attrition'!BF64+'Traditional Attrition'!BF64</f>
        <v>-9669.2084644145216</v>
      </c>
      <c r="BC27" s="799">
        <f>'IP Attrition'!BG64+'Traditional Attrition'!BG64</f>
        <v>-9108.0320159034181</v>
      </c>
      <c r="BD27" s="799">
        <f>'IP Attrition'!BH64+'Traditional Attrition'!BH64</f>
        <v>-9528.5716949322341</v>
      </c>
      <c r="BE27" s="799">
        <f>'IP Attrition'!BI64+'Traditional Attrition'!BI64</f>
        <v>-10347.300619175232</v>
      </c>
      <c r="BF27" s="799">
        <f>'IP Attrition'!BJ64+'Traditional Attrition'!BJ64</f>
        <v>-11048.108174420686</v>
      </c>
      <c r="BG27" s="799">
        <f>'IP Attrition'!BK64+'Traditional Attrition'!BK64</f>
        <v>-12242.773219781318</v>
      </c>
      <c r="BH27" s="799">
        <f>'IP Attrition'!BL64+'Traditional Attrition'!BL64</f>
        <v>-11331.695968558053</v>
      </c>
      <c r="BI27" s="799">
        <f>'IP Attrition'!BM64+'Traditional Attrition'!BM64</f>
        <v>-11018.212556694551</v>
      </c>
      <c r="BJ27" s="799">
        <f>'IP Attrition'!BN64+'Traditional Attrition'!BN64</f>
        <v>-10595.87342999562</v>
      </c>
      <c r="BK27" s="799">
        <f>'IP Attrition'!BO64+'Traditional Attrition'!BO64</f>
        <v>-9816.3855403994348</v>
      </c>
      <c r="BL27" s="799">
        <f>'IP Attrition'!BP64+'Traditional Attrition'!BP64</f>
        <v>-9196.5568538347725</v>
      </c>
      <c r="BM27" s="799">
        <f>'IP Attrition'!BQ64+'Traditional Attrition'!BQ64</f>
        <v>-8882.8346614643324</v>
      </c>
      <c r="BN27" s="799">
        <f>'IP Attrition'!BR64+'Traditional Attrition'!BR64</f>
        <v>-8623.7794874245374</v>
      </c>
      <c r="BO27" s="799">
        <f>'IP Attrition'!BS64+'Traditional Attrition'!BS64</f>
        <v>-7312.015210342568</v>
      </c>
      <c r="BP27" s="11"/>
      <c r="BQ27" s="799">
        <f t="shared" ref="BQ27:BU27" si="19">SUMIF($D$2:$BK$2,BQ$3,$D27:$BK27)</f>
        <v>-27935.482074961001</v>
      </c>
      <c r="BR27" s="799">
        <f t="shared" si="19"/>
        <v>-83685.288733145004</v>
      </c>
      <c r="BS27" s="799">
        <f t="shared" si="19"/>
        <v>-123309.60607263616</v>
      </c>
      <c r="BT27" s="799">
        <f t="shared" si="19"/>
        <v>-129408.19115650342</v>
      </c>
      <c r="BU27" s="799">
        <f t="shared" si="19"/>
        <v>-123401.47130235983</v>
      </c>
    </row>
    <row r="28" spans="1:73" ht="14.25" customHeight="1" x14ac:dyDescent="0.2">
      <c r="A28" s="3"/>
      <c r="B28" s="11" t="s">
        <v>722</v>
      </c>
      <c r="C28" s="11"/>
      <c r="D28" s="828" t="e">
        <f t="shared" ref="D28:BO28" si="20">D27/D26*12</f>
        <v>#DIV/0!</v>
      </c>
      <c r="E28" s="828" t="e">
        <f t="shared" si="20"/>
        <v>#DIV/0!</v>
      </c>
      <c r="F28" s="828">
        <f t="shared" si="20"/>
        <v>18.236399036846528</v>
      </c>
      <c r="G28" s="828">
        <f t="shared" si="20"/>
        <v>18.396230144015714</v>
      </c>
      <c r="H28" s="828">
        <f t="shared" si="20"/>
        <v>18.78199898203453</v>
      </c>
      <c r="I28" s="828">
        <f t="shared" si="20"/>
        <v>19.374497372832248</v>
      </c>
      <c r="J28" s="828">
        <f t="shared" si="20"/>
        <v>19.967988791076507</v>
      </c>
      <c r="K28" s="828">
        <f t="shared" si="20"/>
        <v>20.36385551309381</v>
      </c>
      <c r="L28" s="828">
        <f t="shared" si="20"/>
        <v>20.345362436009761</v>
      </c>
      <c r="M28" s="828">
        <f t="shared" si="20"/>
        <v>20.399468707427864</v>
      </c>
      <c r="N28" s="828">
        <f t="shared" si="20"/>
        <v>20.422413553582174</v>
      </c>
      <c r="O28" s="834">
        <f t="shared" si="20"/>
        <v>20.332532084264912</v>
      </c>
      <c r="P28" s="835">
        <f t="shared" si="20"/>
        <v>20.233183087354409</v>
      </c>
      <c r="Q28" s="828">
        <f t="shared" si="20"/>
        <v>20.112798467611185</v>
      </c>
      <c r="R28" s="828">
        <f t="shared" si="20"/>
        <v>20.073621913699469</v>
      </c>
      <c r="S28" s="828">
        <f t="shared" si="20"/>
        <v>20.019834716500903</v>
      </c>
      <c r="T28" s="828">
        <f t="shared" si="20"/>
        <v>20.147996779655308</v>
      </c>
      <c r="U28" s="828">
        <f t="shared" si="20"/>
        <v>20.495170797596074</v>
      </c>
      <c r="V28" s="828">
        <f t="shared" si="20"/>
        <v>20.855455152752803</v>
      </c>
      <c r="W28" s="828">
        <f t="shared" si="20"/>
        <v>21.154864012932471</v>
      </c>
      <c r="X28" s="828">
        <f t="shared" si="20"/>
        <v>21.172396929018038</v>
      </c>
      <c r="Y28" s="828">
        <f t="shared" si="20"/>
        <v>21.243710185081369</v>
      </c>
      <c r="Z28" s="828">
        <f t="shared" si="20"/>
        <v>21.283885731074665</v>
      </c>
      <c r="AA28" s="834">
        <f t="shared" si="20"/>
        <v>21.232698373393994</v>
      </c>
      <c r="AB28" s="835">
        <f t="shared" si="20"/>
        <v>21.192622064673174</v>
      </c>
      <c r="AC28" s="828">
        <f t="shared" si="20"/>
        <v>21.127353834933103</v>
      </c>
      <c r="AD28" s="828">
        <f t="shared" si="20"/>
        <v>21.126031843259348</v>
      </c>
      <c r="AE28" s="828">
        <f t="shared" si="20"/>
        <v>21.11175214414574</v>
      </c>
      <c r="AF28" s="828">
        <f t="shared" si="20"/>
        <v>21.235534036824166</v>
      </c>
      <c r="AG28" s="828">
        <f t="shared" si="20"/>
        <v>21.507405714624273</v>
      </c>
      <c r="AH28" s="828">
        <f t="shared" si="20"/>
        <v>21.801866206866695</v>
      </c>
      <c r="AI28" s="828">
        <f t="shared" si="20"/>
        <v>22.026485054450291</v>
      </c>
      <c r="AJ28" s="828">
        <f t="shared" si="20"/>
        <v>22.01051724115398</v>
      </c>
      <c r="AK28" s="828">
        <f t="shared" si="20"/>
        <v>22.040620535068729</v>
      </c>
      <c r="AL28" s="828">
        <f t="shared" si="20"/>
        <v>22.02663291141095</v>
      </c>
      <c r="AM28" s="834">
        <f t="shared" si="20"/>
        <v>21.893583004184311</v>
      </c>
      <c r="AN28" s="835">
        <f t="shared" si="20"/>
        <v>21.849374192903753</v>
      </c>
      <c r="AO28" s="828">
        <f t="shared" si="20"/>
        <v>21.844119553409922</v>
      </c>
      <c r="AP28" s="828">
        <f t="shared" si="20"/>
        <v>21.818419705053355</v>
      </c>
      <c r="AQ28" s="828">
        <f t="shared" si="20"/>
        <v>21.779514080891509</v>
      </c>
      <c r="AR28" s="828">
        <f t="shared" si="20"/>
        <v>21.906889230315727</v>
      </c>
      <c r="AS28" s="828">
        <f t="shared" si="20"/>
        <v>22.103738445844428</v>
      </c>
      <c r="AT28" s="828">
        <f t="shared" si="20"/>
        <v>22.318788496910578</v>
      </c>
      <c r="AU28" s="828">
        <f t="shared" si="20"/>
        <v>22.481153481117673</v>
      </c>
      <c r="AV28" s="828">
        <f t="shared" si="20"/>
        <v>22.53338511844661</v>
      </c>
      <c r="AW28" s="828">
        <f t="shared" si="20"/>
        <v>22.630782507465511</v>
      </c>
      <c r="AX28" s="828">
        <f t="shared" si="20"/>
        <v>22.694138950894281</v>
      </c>
      <c r="AY28" s="834">
        <f t="shared" si="20"/>
        <v>22.624974331639606</v>
      </c>
      <c r="AZ28" s="835">
        <f t="shared" si="20"/>
        <v>22.719822259438502</v>
      </c>
      <c r="BA28" s="828">
        <f t="shared" si="20"/>
        <v>22.68254455020578</v>
      </c>
      <c r="BB28" s="828">
        <f t="shared" si="20"/>
        <v>22.634439049687249</v>
      </c>
      <c r="BC28" s="828">
        <f t="shared" si="20"/>
        <v>22.548299465056171</v>
      </c>
      <c r="BD28" s="828">
        <f t="shared" si="20"/>
        <v>22.723390293888158</v>
      </c>
      <c r="BE28" s="828">
        <f t="shared" si="20"/>
        <v>22.959354532497059</v>
      </c>
      <c r="BF28" s="828">
        <f t="shared" si="20"/>
        <v>23.199292070811456</v>
      </c>
      <c r="BG28" s="828">
        <f t="shared" si="20"/>
        <v>23.372183691389797</v>
      </c>
      <c r="BH28" s="828">
        <f t="shared" si="20"/>
        <v>23.429109087981992</v>
      </c>
      <c r="BI28" s="828">
        <f t="shared" si="20"/>
        <v>23.509519317355849</v>
      </c>
      <c r="BJ28" s="828">
        <f t="shared" si="20"/>
        <v>23.571810441481247</v>
      </c>
      <c r="BK28" s="828">
        <f t="shared" si="20"/>
        <v>23.475287738913359</v>
      </c>
      <c r="BL28" s="828">
        <f t="shared" si="20"/>
        <v>23.364909204345352</v>
      </c>
      <c r="BM28" s="828">
        <f t="shared" si="20"/>
        <v>23.360297666200385</v>
      </c>
      <c r="BN28" s="828">
        <f t="shared" si="20"/>
        <v>23.535567301783086</v>
      </c>
      <c r="BO28" s="828">
        <f t="shared" si="20"/>
        <v>23.651404517767546</v>
      </c>
      <c r="BP28" s="11"/>
      <c r="BQ28" s="828" t="e">
        <f t="shared" ref="BQ28:BU28" si="21">AVERAGEIF($D$2:$BK$2,BQ$3,$D28:$BK28)</f>
        <v>#DIV/0!</v>
      </c>
      <c r="BR28" s="828">
        <f t="shared" si="21"/>
        <v>20.668801345555888</v>
      </c>
      <c r="BS28" s="828">
        <f t="shared" si="21"/>
        <v>21.591700382632897</v>
      </c>
      <c r="BT28" s="828">
        <f t="shared" si="21"/>
        <v>22.215439841241079</v>
      </c>
      <c r="BU28" s="828">
        <f t="shared" si="21"/>
        <v>23.068754374892222</v>
      </c>
    </row>
    <row r="29" spans="1:73" ht="14.25" customHeight="1" x14ac:dyDescent="0.2">
      <c r="A29" s="3"/>
      <c r="B29" s="11"/>
      <c r="C29" s="11"/>
      <c r="D29" s="25"/>
      <c r="E29" s="25" t="e">
        <f t="shared" ref="E29:BO29" si="22">E28/E40</f>
        <v>#DIV/0!</v>
      </c>
      <c r="F29" s="25">
        <f t="shared" si="22"/>
        <v>0.99519848218237639</v>
      </c>
      <c r="G29" s="25">
        <f t="shared" si="22"/>
        <v>0.98669609383343593</v>
      </c>
      <c r="H29" s="25">
        <f t="shared" si="22"/>
        <v>0.97999261486738487</v>
      </c>
      <c r="I29" s="25">
        <f t="shared" si="22"/>
        <v>0.98045260366499121</v>
      </c>
      <c r="J29" s="25">
        <f t="shared" si="22"/>
        <v>0.99415924637585118</v>
      </c>
      <c r="K29" s="25">
        <f t="shared" si="22"/>
        <v>1.0120399786161467</v>
      </c>
      <c r="L29" s="25">
        <f t="shared" si="22"/>
        <v>1.0110068657706408</v>
      </c>
      <c r="M29" s="25">
        <f t="shared" si="22"/>
        <v>1.0113689406157862</v>
      </c>
      <c r="N29" s="25">
        <f t="shared" si="22"/>
        <v>1.0132192788040448</v>
      </c>
      <c r="O29" s="25">
        <f t="shared" si="22"/>
        <v>1.008539855254704</v>
      </c>
      <c r="P29" s="25">
        <f t="shared" si="22"/>
        <v>1.004349753165934</v>
      </c>
      <c r="Q29" s="25">
        <f t="shared" si="22"/>
        <v>0.99866475259893261</v>
      </c>
      <c r="R29" s="25">
        <f t="shared" si="22"/>
        <v>0.99661219049426797</v>
      </c>
      <c r="S29" s="25">
        <f t="shared" si="22"/>
        <v>0.98831661152381922</v>
      </c>
      <c r="T29" s="25">
        <f t="shared" si="22"/>
        <v>0.98422234801827047</v>
      </c>
      <c r="U29" s="25">
        <f t="shared" si="22"/>
        <v>0.9860839325602464</v>
      </c>
      <c r="V29" s="25">
        <f t="shared" si="22"/>
        <v>0.99277133555900965</v>
      </c>
      <c r="W29" s="25">
        <f t="shared" si="22"/>
        <v>1.0042045899249055</v>
      </c>
      <c r="X29" s="25">
        <f t="shared" si="22"/>
        <v>1.0034743438180964</v>
      </c>
      <c r="Y29" s="25">
        <f t="shared" si="22"/>
        <v>1.0037867298924674</v>
      </c>
      <c r="Z29" s="25">
        <f t="shared" si="22"/>
        <v>1.0049037486785226</v>
      </c>
      <c r="AA29" s="25">
        <f t="shared" si="22"/>
        <v>1.0010953152714421</v>
      </c>
      <c r="AB29" s="25">
        <f t="shared" si="22"/>
        <v>0.99725596963793661</v>
      </c>
      <c r="AC29" s="25">
        <f t="shared" si="22"/>
        <v>0.99218707028865316</v>
      </c>
      <c r="AD29" s="25">
        <f t="shared" si="22"/>
        <v>0.99005197791367194</v>
      </c>
      <c r="AE29" s="25">
        <f t="shared" si="22"/>
        <v>0.98400823137962978</v>
      </c>
      <c r="AF29" s="25">
        <f t="shared" si="22"/>
        <v>0.98169882855175572</v>
      </c>
      <c r="AG29" s="25">
        <f t="shared" si="22"/>
        <v>0.98424767873300123</v>
      </c>
      <c r="AH29" s="25">
        <f t="shared" si="22"/>
        <v>0.99041614828329461</v>
      </c>
      <c r="AI29" s="25">
        <f t="shared" si="22"/>
        <v>0.99887507310303147</v>
      </c>
      <c r="AJ29" s="25">
        <f t="shared" si="22"/>
        <v>0.99751429611467013</v>
      </c>
      <c r="AK29" s="25">
        <f t="shared" si="22"/>
        <v>0.99746326754186687</v>
      </c>
      <c r="AL29" s="25">
        <f t="shared" si="22"/>
        <v>0.99787137297551509</v>
      </c>
      <c r="AM29" s="25">
        <f t="shared" si="22"/>
        <v>0.99257136314040628</v>
      </c>
      <c r="AN29" s="25">
        <f t="shared" si="22"/>
        <v>0.98635295643021714</v>
      </c>
      <c r="AO29" s="25">
        <f t="shared" si="22"/>
        <v>0.98331806231235752</v>
      </c>
      <c r="AP29" s="25">
        <f t="shared" si="22"/>
        <v>0.97949254366294269</v>
      </c>
      <c r="AQ29" s="25">
        <f t="shared" si="22"/>
        <v>0.97312774062729823</v>
      </c>
      <c r="AR29" s="25">
        <f t="shared" si="22"/>
        <v>0.97323805074348813</v>
      </c>
      <c r="AS29" s="25">
        <f t="shared" si="22"/>
        <v>0.97639931605960528</v>
      </c>
      <c r="AT29" s="25">
        <f t="shared" si="22"/>
        <v>0.98067973617936599</v>
      </c>
      <c r="AU29" s="25">
        <f t="shared" si="22"/>
        <v>0.98450536874746575</v>
      </c>
      <c r="AV29" s="25">
        <f t="shared" si="22"/>
        <v>0.98390113942674962</v>
      </c>
      <c r="AW29" s="25">
        <f t="shared" si="22"/>
        <v>0.9845804332259257</v>
      </c>
      <c r="AX29" s="25">
        <f t="shared" si="22"/>
        <v>0.9853901423744319</v>
      </c>
      <c r="AY29" s="25">
        <f t="shared" si="22"/>
        <v>0.97992557086623699</v>
      </c>
      <c r="AZ29" s="25">
        <f t="shared" si="22"/>
        <v>0.981444463347665</v>
      </c>
      <c r="BA29" s="25">
        <f t="shared" si="22"/>
        <v>0.97705630472161842</v>
      </c>
      <c r="BB29" s="25">
        <f t="shared" si="22"/>
        <v>0.97226124555429816</v>
      </c>
      <c r="BC29" s="25">
        <f t="shared" si="22"/>
        <v>0.96409450637729133</v>
      </c>
      <c r="BD29" s="25">
        <f t="shared" si="22"/>
        <v>0.96638942680568041</v>
      </c>
      <c r="BE29" s="25">
        <f t="shared" si="22"/>
        <v>0.97057062370020952</v>
      </c>
      <c r="BF29" s="25">
        <f t="shared" si="22"/>
        <v>0.97544030557855732</v>
      </c>
      <c r="BG29" s="25">
        <f t="shared" si="22"/>
        <v>0.97919544578918793</v>
      </c>
      <c r="BH29" s="25">
        <f t="shared" si="22"/>
        <v>0.97877790802703102</v>
      </c>
      <c r="BI29" s="25">
        <f t="shared" si="22"/>
        <v>0.97886278917499159</v>
      </c>
      <c r="BJ29" s="25">
        <f t="shared" si="22"/>
        <v>0.9797450538046657</v>
      </c>
      <c r="BK29" s="25">
        <f t="shared" si="22"/>
        <v>0.97350096762794081</v>
      </c>
      <c r="BL29" s="25">
        <f t="shared" si="22"/>
        <v>0.97371771041387589</v>
      </c>
      <c r="BM29" s="25">
        <f t="shared" si="22"/>
        <v>0.97236304525177886</v>
      </c>
      <c r="BN29" s="25">
        <f t="shared" si="22"/>
        <v>0.97778796661726841</v>
      </c>
      <c r="BO29" s="25">
        <f t="shared" si="22"/>
        <v>0.97892558934718565</v>
      </c>
      <c r="BP29" s="11"/>
      <c r="BQ29" s="75"/>
      <c r="BR29" s="25" t="e">
        <f t="shared" ref="BR29:BU29" si="23">BR28/BQ28-1</f>
        <v>#DIV/0!</v>
      </c>
      <c r="BS29" s="25">
        <f t="shared" si="23"/>
        <v>4.4651792895355591E-2</v>
      </c>
      <c r="BT29" s="25">
        <f t="shared" si="23"/>
        <v>2.8887926729007418E-2</v>
      </c>
      <c r="BU29" s="25">
        <f t="shared" si="23"/>
        <v>3.8410877288463041E-2</v>
      </c>
    </row>
    <row r="30" spans="1:73" ht="14.25" customHeight="1" x14ac:dyDescent="0.2">
      <c r="A30" s="795" t="s">
        <v>332</v>
      </c>
      <c r="B30" s="796"/>
      <c r="C30" s="796"/>
      <c r="D30" s="796"/>
      <c r="E30" s="796"/>
      <c r="F30" s="796"/>
      <c r="G30" s="796"/>
      <c r="H30" s="796"/>
      <c r="I30" s="796"/>
      <c r="J30" s="796"/>
      <c r="K30" s="796"/>
      <c r="L30" s="796"/>
      <c r="M30" s="796"/>
      <c r="N30" s="796"/>
      <c r="O30" s="817"/>
      <c r="P30" s="796"/>
      <c r="Q30" s="796"/>
      <c r="R30" s="796"/>
      <c r="S30" s="796"/>
      <c r="T30" s="796"/>
      <c r="U30" s="796"/>
      <c r="V30" s="796"/>
      <c r="W30" s="796"/>
      <c r="X30" s="796"/>
      <c r="Y30" s="796"/>
      <c r="Z30" s="796"/>
      <c r="AA30" s="817"/>
      <c r="AB30" s="796"/>
      <c r="AC30" s="796"/>
      <c r="AD30" s="796"/>
      <c r="AE30" s="796"/>
      <c r="AF30" s="796"/>
      <c r="AG30" s="796"/>
      <c r="AH30" s="796"/>
      <c r="AI30" s="796"/>
      <c r="AJ30" s="796"/>
      <c r="AK30" s="796"/>
      <c r="AL30" s="796"/>
      <c r="AM30" s="817"/>
      <c r="AN30" s="796"/>
      <c r="AO30" s="796"/>
      <c r="AP30" s="796"/>
      <c r="AQ30" s="796"/>
      <c r="AR30" s="796"/>
      <c r="AS30" s="796"/>
      <c r="AT30" s="796"/>
      <c r="AU30" s="796"/>
      <c r="AV30" s="796"/>
      <c r="AW30" s="796"/>
      <c r="AX30" s="796"/>
      <c r="AY30" s="817"/>
      <c r="AZ30" s="796"/>
      <c r="BA30" s="796"/>
      <c r="BB30" s="796"/>
      <c r="BC30" s="796"/>
      <c r="BD30" s="796"/>
      <c r="BE30" s="796"/>
      <c r="BF30" s="796"/>
      <c r="BG30" s="796"/>
      <c r="BH30" s="796"/>
      <c r="BI30" s="796"/>
      <c r="BJ30" s="796"/>
      <c r="BK30" s="796"/>
      <c r="BL30" s="796"/>
      <c r="BM30" s="796"/>
      <c r="BN30" s="796"/>
      <c r="BO30" s="796"/>
      <c r="BP30" s="11"/>
      <c r="BQ30" s="796"/>
      <c r="BR30" s="796"/>
      <c r="BS30" s="796"/>
      <c r="BT30" s="796"/>
      <c r="BU30" s="796"/>
    </row>
    <row r="31" spans="1:73" ht="14.25" customHeight="1" x14ac:dyDescent="0.2">
      <c r="A31" s="3"/>
      <c r="B31" s="11" t="s">
        <v>723</v>
      </c>
      <c r="C31" s="11"/>
      <c r="D31" s="799">
        <f>'Traditional Attrition'!H196+'IP Attrition'!H196</f>
        <v>0</v>
      </c>
      <c r="E31" s="799">
        <f>'Traditional Attrition'!I196+'IP Attrition'!I196</f>
        <v>0</v>
      </c>
      <c r="F31" s="799">
        <f>'Traditional Attrition'!J196+'IP Attrition'!J196</f>
        <v>0</v>
      </c>
      <c r="G31" s="799">
        <f>'Traditional Attrition'!K196+'IP Attrition'!K196</f>
        <v>0</v>
      </c>
      <c r="H31" s="799">
        <f>'Traditional Attrition'!L196+'IP Attrition'!L196</f>
        <v>0</v>
      </c>
      <c r="I31" s="799">
        <f>'Traditional Attrition'!M196+'IP Attrition'!M196</f>
        <v>335.72307024023621</v>
      </c>
      <c r="J31" s="799">
        <f>'Traditional Attrition'!N196+'IP Attrition'!N196</f>
        <v>228.86099268290195</v>
      </c>
      <c r="K31" s="799">
        <f>'Traditional Attrition'!O196+'IP Attrition'!O196</f>
        <v>343.17671349669251</v>
      </c>
      <c r="L31" s="799">
        <f>'Traditional Attrition'!P196+'IP Attrition'!P196</f>
        <v>390.62251134839568</v>
      </c>
      <c r="M31" s="799">
        <f>'Traditional Attrition'!Q196+'IP Attrition'!Q196</f>
        <v>615.52921707055509</v>
      </c>
      <c r="N31" s="799">
        <f>'Traditional Attrition'!R196+'IP Attrition'!R196</f>
        <v>547.07365854368572</v>
      </c>
      <c r="O31" s="824">
        <f>'Traditional Attrition'!S196+'IP Attrition'!S196</f>
        <v>562.87637779961256</v>
      </c>
      <c r="P31" s="825">
        <f>'Traditional Attrition'!T196+'IP Attrition'!T196</f>
        <v>521.50521208004659</v>
      </c>
      <c r="Q31" s="799">
        <f>'Traditional Attrition'!U196+'IP Attrition'!U196</f>
        <v>493.80444462824835</v>
      </c>
      <c r="R31" s="799">
        <f>'Traditional Attrition'!V196+'IP Attrition'!V196</f>
        <v>512.60093907763826</v>
      </c>
      <c r="S31" s="799">
        <f>'Traditional Attrition'!W196+'IP Attrition'!W196</f>
        <v>499.41836031505591</v>
      </c>
      <c r="T31" s="799">
        <f>'Traditional Attrition'!X196+'IP Attrition'!X196</f>
        <v>470.31874487037311</v>
      </c>
      <c r="U31" s="799">
        <f>'Traditional Attrition'!Y196+'IP Attrition'!Y196</f>
        <v>809.85798633641593</v>
      </c>
      <c r="V31" s="799">
        <f>'Traditional Attrition'!Z196+'IP Attrition'!Z196</f>
        <v>645.26649140269888</v>
      </c>
      <c r="W31" s="799">
        <f>'Traditional Attrition'!AA196+'IP Attrition'!AA196</f>
        <v>850.45680447985421</v>
      </c>
      <c r="X31" s="799">
        <f>'Traditional Attrition'!AB196+'IP Attrition'!AB196</f>
        <v>922.41307221102591</v>
      </c>
      <c r="Y31" s="799">
        <f>'Traditional Attrition'!AC196+'IP Attrition'!AC196</f>
        <v>1296.5877592089955</v>
      </c>
      <c r="Z31" s="799">
        <f>'Traditional Attrition'!AD196+'IP Attrition'!AD196</f>
        <v>1166.6611554946364</v>
      </c>
      <c r="AA31" s="824">
        <f>'Traditional Attrition'!AE196+'IP Attrition'!AE196</f>
        <v>1204.3741453666041</v>
      </c>
      <c r="AB31" s="825">
        <f>'Traditional Attrition'!AF196+'IP Attrition'!AF196</f>
        <v>1152.3672758355888</v>
      </c>
      <c r="AC31" s="799">
        <f>'Traditional Attrition'!AG196+'IP Attrition'!AG196</f>
        <v>1084.8153254459544</v>
      </c>
      <c r="AD31" s="799">
        <f>'Traditional Attrition'!AH196+'IP Attrition'!AH196</f>
        <v>1103.5216943183859</v>
      </c>
      <c r="AE31" s="799">
        <f>'Traditional Attrition'!AI196+'IP Attrition'!AI196</f>
        <v>1066.3215116054348</v>
      </c>
      <c r="AF31" s="799">
        <f>'Traditional Attrition'!AJ196+'IP Attrition'!AJ196</f>
        <v>1022.7328346412846</v>
      </c>
      <c r="AG31" s="799">
        <f>'Traditional Attrition'!AK196+'IP Attrition'!AK196</f>
        <v>1171.5206791755422</v>
      </c>
      <c r="AH31" s="799">
        <f>'Traditional Attrition'!AL196+'IP Attrition'!AL196</f>
        <v>1038.2675349052497</v>
      </c>
      <c r="AI31" s="799">
        <f>'Traditional Attrition'!AM196+'IP Attrition'!AM196</f>
        <v>1284.4075130063113</v>
      </c>
      <c r="AJ31" s="799">
        <f>'Traditional Attrition'!AN196+'IP Attrition'!AN196</f>
        <v>1354.9969567539665</v>
      </c>
      <c r="AK31" s="799">
        <f>'Traditional Attrition'!AO196+'IP Attrition'!AO196</f>
        <v>1751.5998120185718</v>
      </c>
      <c r="AL31" s="799">
        <f>'Traditional Attrition'!AP196+'IP Attrition'!AP196</f>
        <v>1495.7838913102983</v>
      </c>
      <c r="AM31" s="824">
        <f>'Traditional Attrition'!AQ196+'IP Attrition'!AQ196</f>
        <v>1496.5602108785154</v>
      </c>
      <c r="AN31" s="825">
        <f>'Traditional Attrition'!AR196+'IP Attrition'!AR196</f>
        <v>1624.9805000129859</v>
      </c>
      <c r="AO31" s="799">
        <f>'Traditional Attrition'!AS196+'IP Attrition'!AS196</f>
        <v>1521.4039991812847</v>
      </c>
      <c r="AP31" s="799">
        <f>'Traditional Attrition'!AT196+'IP Attrition'!AT196</f>
        <v>1521.0355023845721</v>
      </c>
      <c r="AQ31" s="799">
        <f>'Traditional Attrition'!AU196+'IP Attrition'!AU196</f>
        <v>1458.6355265171871</v>
      </c>
      <c r="AR31" s="799">
        <f>'Traditional Attrition'!AV196+'IP Attrition'!AV196</f>
        <v>1410.5415693988866</v>
      </c>
      <c r="AS31" s="799">
        <f>'Traditional Attrition'!AW196+'IP Attrition'!AW196</f>
        <v>1206.0775776542905</v>
      </c>
      <c r="AT31" s="799">
        <f>'Traditional Attrition'!AX196+'IP Attrition'!AX196</f>
        <v>1197.111505358861</v>
      </c>
      <c r="AU31" s="799">
        <f>'Traditional Attrition'!AY196+'IP Attrition'!AY196</f>
        <v>1429.6423810372589</v>
      </c>
      <c r="AV31" s="799">
        <f>'Traditional Attrition'!AZ196+'IP Attrition'!AZ196</f>
        <v>1464.3418629907496</v>
      </c>
      <c r="AW31" s="799">
        <f>'Traditional Attrition'!BA196+'IP Attrition'!BA196</f>
        <v>1681.0502432624867</v>
      </c>
      <c r="AX31" s="799">
        <f>'Traditional Attrition'!BB196+'IP Attrition'!BB196</f>
        <v>1414.7149548948732</v>
      </c>
      <c r="AY31" s="824">
        <f>'Traditional Attrition'!BC196+'IP Attrition'!BC196</f>
        <v>1442.1542977974518</v>
      </c>
      <c r="AZ31" s="825">
        <f>'Traditional Attrition'!BD196+'IP Attrition'!BD196</f>
        <v>1548.7466259766225</v>
      </c>
      <c r="BA31" s="799">
        <f>'Traditional Attrition'!BE196+'IP Attrition'!BE196</f>
        <v>1486.0681485982675</v>
      </c>
      <c r="BB31" s="799">
        <f>'Traditional Attrition'!BF196+'IP Attrition'!BF196</f>
        <v>1493.7910747902633</v>
      </c>
      <c r="BC31" s="799">
        <f>'Traditional Attrition'!BG196+'IP Attrition'!BG196</f>
        <v>1431.9065108934028</v>
      </c>
      <c r="BD31" s="799">
        <f>'Traditional Attrition'!BH196+'IP Attrition'!BH196</f>
        <v>1406.6227920781776</v>
      </c>
      <c r="BE31" s="799">
        <f>'Traditional Attrition'!BI196+'IP Attrition'!BI196</f>
        <v>1347.7173400315046</v>
      </c>
      <c r="BF31" s="799">
        <f>'Traditional Attrition'!BJ196+'IP Attrition'!BJ196</f>
        <v>1289.217718020659</v>
      </c>
      <c r="BG31" s="799">
        <f>'Traditional Attrition'!BK196+'IP Attrition'!BK196</f>
        <v>1499.3673586646639</v>
      </c>
      <c r="BH31" s="799">
        <f>'Traditional Attrition'!BL196+'IP Attrition'!BL196</f>
        <v>1473.4535201512062</v>
      </c>
      <c r="BI31" s="799">
        <f>'Traditional Attrition'!BM196+'IP Attrition'!BM196</f>
        <v>1644.7787573906567</v>
      </c>
      <c r="BJ31" s="799">
        <f>'Traditional Attrition'!BN196+'IP Attrition'!BN196</f>
        <v>1377.231655687975</v>
      </c>
      <c r="BK31" s="799">
        <f>'Traditional Attrition'!BO196+'IP Attrition'!BO196</f>
        <v>1386.1114819580951</v>
      </c>
      <c r="BL31" s="799">
        <f>'Traditional Attrition'!BP196+'IP Attrition'!BP196</f>
        <v>0</v>
      </c>
      <c r="BM31" s="799">
        <f>'Traditional Attrition'!BQ196+'IP Attrition'!BQ196</f>
        <v>1119.2214100523361</v>
      </c>
      <c r="BN31" s="799">
        <f>'Traditional Attrition'!BR196+'IP Attrition'!BR196</f>
        <v>1270.8460551269882</v>
      </c>
      <c r="BO31" s="799">
        <f>'Traditional Attrition'!BS196+'IP Attrition'!BS196</f>
        <v>1279.9978147310071</v>
      </c>
      <c r="BP31" s="11"/>
      <c r="BQ31" s="799">
        <f t="shared" ref="BQ31:BU31" si="24">SUMIF($D$2:$BK$2,BQ$3,$D31:$BK31)</f>
        <v>3023.8625411820794</v>
      </c>
      <c r="BR31" s="799">
        <f t="shared" si="24"/>
        <v>9393.2651154715932</v>
      </c>
      <c r="BS31" s="799">
        <f t="shared" si="24"/>
        <v>15022.895239895106</v>
      </c>
      <c r="BT31" s="799">
        <f t="shared" si="24"/>
        <v>17371.689920490888</v>
      </c>
      <c r="BU31" s="799">
        <f t="shared" si="24"/>
        <v>17385.012984241494</v>
      </c>
    </row>
    <row r="32" spans="1:73" ht="9" customHeight="1" x14ac:dyDescent="0.2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836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836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836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836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25">
        <f t="shared" ref="BR32:BU32" si="25">BR31/BQ31-1</f>
        <v>2.1063796675756317</v>
      </c>
      <c r="BS32" s="25">
        <f t="shared" si="25"/>
        <v>0.59932622524951218</v>
      </c>
      <c r="BT32" s="25">
        <f t="shared" si="25"/>
        <v>0.15634767087759993</v>
      </c>
      <c r="BU32" s="25">
        <f t="shared" si="25"/>
        <v>7.6694114456254958E-4</v>
      </c>
    </row>
    <row r="33" spans="1:73" ht="14.25" customHeight="1" x14ac:dyDescent="0.2">
      <c r="A33" s="795" t="s">
        <v>30</v>
      </c>
      <c r="B33" s="796"/>
      <c r="C33" s="796"/>
      <c r="D33" s="796"/>
      <c r="E33" s="796"/>
      <c r="F33" s="796"/>
      <c r="G33" s="796"/>
      <c r="H33" s="796"/>
      <c r="I33" s="796"/>
      <c r="J33" s="796"/>
      <c r="K33" s="796"/>
      <c r="L33" s="796"/>
      <c r="M33" s="796"/>
      <c r="N33" s="796"/>
      <c r="O33" s="817"/>
      <c r="P33" s="796"/>
      <c r="Q33" s="796"/>
      <c r="R33" s="796"/>
      <c r="S33" s="796"/>
      <c r="T33" s="796"/>
      <c r="U33" s="796"/>
      <c r="V33" s="796"/>
      <c r="W33" s="796"/>
      <c r="X33" s="796"/>
      <c r="Y33" s="796"/>
      <c r="Z33" s="796"/>
      <c r="AA33" s="817"/>
      <c r="AB33" s="796"/>
      <c r="AC33" s="796"/>
      <c r="AD33" s="796"/>
      <c r="AE33" s="796"/>
      <c r="AF33" s="796"/>
      <c r="AG33" s="796"/>
      <c r="AH33" s="796"/>
      <c r="AI33" s="796"/>
      <c r="AJ33" s="796"/>
      <c r="AK33" s="796"/>
      <c r="AL33" s="796"/>
      <c r="AM33" s="817"/>
      <c r="AN33" s="796"/>
      <c r="AO33" s="796"/>
      <c r="AP33" s="796"/>
      <c r="AQ33" s="796"/>
      <c r="AR33" s="796"/>
      <c r="AS33" s="796"/>
      <c r="AT33" s="796"/>
      <c r="AU33" s="796"/>
      <c r="AV33" s="796"/>
      <c r="AW33" s="796"/>
      <c r="AX33" s="796"/>
      <c r="AY33" s="817"/>
      <c r="AZ33" s="796"/>
      <c r="BA33" s="796"/>
      <c r="BB33" s="796"/>
      <c r="BC33" s="796"/>
      <c r="BD33" s="796"/>
      <c r="BE33" s="796"/>
      <c r="BF33" s="796"/>
      <c r="BG33" s="796"/>
      <c r="BH33" s="796"/>
      <c r="BI33" s="796"/>
      <c r="BJ33" s="796"/>
      <c r="BK33" s="796"/>
      <c r="BL33" s="796"/>
      <c r="BM33" s="796"/>
      <c r="BN33" s="796"/>
      <c r="BO33" s="796"/>
      <c r="BP33" s="11"/>
      <c r="BQ33" s="796"/>
      <c r="BR33" s="796"/>
      <c r="BS33" s="796"/>
      <c r="BT33" s="796"/>
      <c r="BU33" s="796"/>
    </row>
    <row r="34" spans="1:73" ht="14.25" customHeight="1" x14ac:dyDescent="0.2">
      <c r="A34" s="3"/>
      <c r="B34" s="11" t="s">
        <v>26</v>
      </c>
      <c r="C34" s="823">
        <f>Summary!$C$25</f>
        <v>0</v>
      </c>
      <c r="D34" s="799">
        <f t="shared" ref="D34:BO34" si="26">C34+D22+D27+D31</f>
        <v>3497.1153150024606</v>
      </c>
      <c r="E34" s="799">
        <f t="shared" si="26"/>
        <v>6963.5585190276997</v>
      </c>
      <c r="F34" s="799">
        <f t="shared" si="26"/>
        <v>11809.823255951316</v>
      </c>
      <c r="G34" s="799">
        <f t="shared" si="26"/>
        <v>16979.52696618604</v>
      </c>
      <c r="H34" s="799">
        <f t="shared" si="26"/>
        <v>25278.303068504603</v>
      </c>
      <c r="I34" s="799">
        <f t="shared" si="26"/>
        <v>32723.038336172303</v>
      </c>
      <c r="J34" s="799">
        <f t="shared" si="26"/>
        <v>39178.279084771726</v>
      </c>
      <c r="K34" s="799">
        <f t="shared" si="26"/>
        <v>43724.818880134364</v>
      </c>
      <c r="L34" s="799">
        <f t="shared" si="26"/>
        <v>47682.331257569822</v>
      </c>
      <c r="M34" s="799">
        <f t="shared" si="26"/>
        <v>51804.412810833426</v>
      </c>
      <c r="N34" s="799">
        <f t="shared" si="26"/>
        <v>55508.420064841441</v>
      </c>
      <c r="O34" s="824">
        <f t="shared" si="26"/>
        <v>58660.464237830143</v>
      </c>
      <c r="P34" s="825">
        <f t="shared" si="26"/>
        <v>62728.38863143287</v>
      </c>
      <c r="Q34" s="799">
        <f t="shared" si="26"/>
        <v>66770.368259849914</v>
      </c>
      <c r="R34" s="799">
        <f t="shared" si="26"/>
        <v>72374.5140006453</v>
      </c>
      <c r="S34" s="799">
        <f t="shared" si="26"/>
        <v>78506.03125273528</v>
      </c>
      <c r="T34" s="799">
        <f t="shared" si="26"/>
        <v>88200.873028025366</v>
      </c>
      <c r="U34" s="799">
        <f t="shared" si="26"/>
        <v>96980.32766820633</v>
      </c>
      <c r="V34" s="799">
        <f t="shared" si="26"/>
        <v>104584.99364150611</v>
      </c>
      <c r="W34" s="799">
        <f t="shared" si="26"/>
        <v>109848.50074488591</v>
      </c>
      <c r="X34" s="799">
        <f t="shared" si="26"/>
        <v>114414.83354611504</v>
      </c>
      <c r="Y34" s="799">
        <f t="shared" si="26"/>
        <v>119229.64153908771</v>
      </c>
      <c r="Z34" s="799">
        <f t="shared" si="26"/>
        <v>123491.04480104004</v>
      </c>
      <c r="AA34" s="824">
        <f t="shared" si="26"/>
        <v>127166.23949417971</v>
      </c>
      <c r="AB34" s="825">
        <f t="shared" si="26"/>
        <v>130388.53116932821</v>
      </c>
      <c r="AC34" s="799">
        <f t="shared" si="26"/>
        <v>133594.74681582424</v>
      </c>
      <c r="AD34" s="799">
        <f t="shared" si="26"/>
        <v>137940.36090441394</v>
      </c>
      <c r="AE34" s="799">
        <f t="shared" si="26"/>
        <v>142847.79921432683</v>
      </c>
      <c r="AF34" s="799">
        <f t="shared" si="26"/>
        <v>150445.78600622553</v>
      </c>
      <c r="AG34" s="799">
        <f t="shared" si="26"/>
        <v>157333.06670356193</v>
      </c>
      <c r="AH34" s="799">
        <f t="shared" si="26"/>
        <v>163210.72670901241</v>
      </c>
      <c r="AI34" s="799">
        <f t="shared" si="26"/>
        <v>167063.12434327439</v>
      </c>
      <c r="AJ34" s="799">
        <f t="shared" si="26"/>
        <v>170321.68976266612</v>
      </c>
      <c r="AK34" s="799">
        <f t="shared" si="26"/>
        <v>173760.1808308874</v>
      </c>
      <c r="AL34" s="799">
        <f t="shared" si="26"/>
        <v>176558.03033385114</v>
      </c>
      <c r="AM34" s="824">
        <f t="shared" si="26"/>
        <v>178927.08349175908</v>
      </c>
      <c r="AN34" s="825">
        <f t="shared" si="26"/>
        <v>177282.63298392497</v>
      </c>
      <c r="AO34" s="799">
        <f t="shared" si="26"/>
        <v>177787.02775510278</v>
      </c>
      <c r="AP34" s="799">
        <f t="shared" si="26"/>
        <v>178860.62847774292</v>
      </c>
      <c r="AQ34" s="799">
        <f t="shared" si="26"/>
        <v>180696.14713177213</v>
      </c>
      <c r="AR34" s="799">
        <f t="shared" si="26"/>
        <v>184312.43815658375</v>
      </c>
      <c r="AS34" s="799">
        <f t="shared" si="26"/>
        <v>186963.35223474808</v>
      </c>
      <c r="AT34" s="799">
        <f t="shared" si="26"/>
        <v>188359.68937668615</v>
      </c>
      <c r="AU34" s="799">
        <f t="shared" si="26"/>
        <v>187381.97659187086</v>
      </c>
      <c r="AV34" s="799">
        <f t="shared" si="26"/>
        <v>186721.07220126237</v>
      </c>
      <c r="AW34" s="799">
        <f t="shared" si="26"/>
        <v>186182.76830412989</v>
      </c>
      <c r="AX34" s="799">
        <f t="shared" si="26"/>
        <v>185332.18248898233</v>
      </c>
      <c r="AY34" s="824">
        <f t="shared" si="26"/>
        <v>184779.8226425006</v>
      </c>
      <c r="AZ34" s="825">
        <f t="shared" si="26"/>
        <v>185267.28683833545</v>
      </c>
      <c r="BA34" s="799">
        <f t="shared" si="26"/>
        <v>185794.01606986276</v>
      </c>
      <c r="BB34" s="799">
        <f t="shared" si="26"/>
        <v>186930.15056709736</v>
      </c>
      <c r="BC34" s="799">
        <f t="shared" si="26"/>
        <v>188827.28350012662</v>
      </c>
      <c r="BD34" s="799">
        <f t="shared" si="26"/>
        <v>192536.89790278068</v>
      </c>
      <c r="BE34" s="799">
        <f t="shared" si="26"/>
        <v>195366.79499030844</v>
      </c>
      <c r="BF34" s="799">
        <f t="shared" si="26"/>
        <v>196842.37038586815</v>
      </c>
      <c r="BG34" s="799">
        <f t="shared" si="26"/>
        <v>195865.17278348937</v>
      </c>
      <c r="BH34" s="799">
        <f t="shared" si="26"/>
        <v>195159.62408578175</v>
      </c>
      <c r="BI34" s="799">
        <f t="shared" si="26"/>
        <v>194541.85083465767</v>
      </c>
      <c r="BJ34" s="799">
        <f t="shared" si="26"/>
        <v>193608.84946018405</v>
      </c>
      <c r="BK34" s="799">
        <f t="shared" si="26"/>
        <v>192989.67643731492</v>
      </c>
      <c r="BL34" s="799">
        <f t="shared" si="26"/>
        <v>192039.50145320967</v>
      </c>
      <c r="BM34" s="799">
        <f t="shared" si="26"/>
        <v>192269.08906684295</v>
      </c>
      <c r="BN34" s="799">
        <f t="shared" si="26"/>
        <v>193273.61857539113</v>
      </c>
      <c r="BO34" s="799">
        <f t="shared" si="26"/>
        <v>195064.30928842982</v>
      </c>
      <c r="BP34" s="11"/>
      <c r="BQ34" s="799">
        <f t="shared" ref="BQ34:BU34" si="27">SUMIF($D$2:$BK$2,BQ$3,$D34:$BK34)</f>
        <v>393810.09179682535</v>
      </c>
      <c r="BR34" s="799">
        <f t="shared" si="27"/>
        <v>1164295.7566077097</v>
      </c>
      <c r="BS34" s="799">
        <f t="shared" si="27"/>
        <v>1882391.1262851316</v>
      </c>
      <c r="BT34" s="799">
        <f t="shared" si="27"/>
        <v>2204659.7383453068</v>
      </c>
      <c r="BU34" s="799">
        <f t="shared" si="27"/>
        <v>2303729.973855807</v>
      </c>
    </row>
    <row r="35" spans="1:73" ht="14.25" customHeight="1" x14ac:dyDescent="0.2">
      <c r="A35" s="3"/>
      <c r="B35" s="11" t="s">
        <v>28</v>
      </c>
      <c r="C35" s="818">
        <f>Summary!$C$19</f>
        <v>-5.0000000000000001E-3</v>
      </c>
      <c r="D35" s="799">
        <f t="shared" ref="D35:BO35" si="28">D34*$C$35-IF(D$4=TRUE,D19,D18*D21)</f>
        <v>-3514.6008915774728</v>
      </c>
      <c r="E35" s="799">
        <f t="shared" si="28"/>
        <v>-3501.2609966203777</v>
      </c>
      <c r="F35" s="799">
        <f t="shared" si="28"/>
        <v>-5254.5708318487705</v>
      </c>
      <c r="G35" s="799">
        <f t="shared" si="28"/>
        <v>-6020.9445793221639</v>
      </c>
      <c r="H35" s="799">
        <f t="shared" si="28"/>
        <v>-9645.5211580186351</v>
      </c>
      <c r="I35" s="799">
        <f t="shared" si="28"/>
        <v>-9307.8700360908388</v>
      </c>
      <c r="J35" s="799">
        <f t="shared" si="28"/>
        <v>-9247.7313294151736</v>
      </c>
      <c r="K35" s="799">
        <f t="shared" si="28"/>
        <v>-8353.7737689883943</v>
      </c>
      <c r="L35" s="799">
        <f t="shared" si="28"/>
        <v>-7797.9283793058185</v>
      </c>
      <c r="M35" s="799">
        <f t="shared" si="28"/>
        <v>-7908.1779314612886</v>
      </c>
      <c r="N35" s="799">
        <f t="shared" si="28"/>
        <v>-7735.4371071261912</v>
      </c>
      <c r="O35" s="824">
        <f t="shared" si="28"/>
        <v>-7253.3172208180531</v>
      </c>
      <c r="P35" s="825">
        <f t="shared" si="28"/>
        <v>-8173.0364965997705</v>
      </c>
      <c r="Q35" s="799">
        <f t="shared" si="28"/>
        <v>-8228.6329790020627</v>
      </c>
      <c r="R35" s="799">
        <f t="shared" si="28"/>
        <v>-10469.528676309985</v>
      </c>
      <c r="S35" s="799">
        <f t="shared" si="28"/>
        <v>-11253.135997903901</v>
      </c>
      <c r="T35" s="799">
        <f t="shared" si="28"/>
        <v>-15361.61137363116</v>
      </c>
      <c r="U35" s="799">
        <f t="shared" si="28"/>
        <v>-15121.378013754114</v>
      </c>
      <c r="V35" s="799">
        <f t="shared" si="28"/>
        <v>-15059.780033163395</v>
      </c>
      <c r="W35" s="799">
        <f t="shared" si="28"/>
        <v>-14118.451089920367</v>
      </c>
      <c r="X35" s="799">
        <f t="shared" si="28"/>
        <v>-13114.04735296149</v>
      </c>
      <c r="Y35" s="799">
        <f t="shared" si="28"/>
        <v>-13070.24882708959</v>
      </c>
      <c r="Z35" s="799">
        <f t="shared" si="28"/>
        <v>-12651.519665894435</v>
      </c>
      <c r="AA35" s="824">
        <f t="shared" si="28"/>
        <v>-11997.907150831241</v>
      </c>
      <c r="AB35" s="825">
        <f t="shared" si="28"/>
        <v>-11120.393466618685</v>
      </c>
      <c r="AC35" s="799">
        <f t="shared" si="28"/>
        <v>-10835.736209206225</v>
      </c>
      <c r="AD35" s="799">
        <f t="shared" si="28"/>
        <v>-12862.453333891255</v>
      </c>
      <c r="AE35" s="799">
        <f t="shared" si="28"/>
        <v>-13382.180902761647</v>
      </c>
      <c r="AF35" s="799">
        <f t="shared" si="28"/>
        <v>-16511.221672458698</v>
      </c>
      <c r="AG35" s="799">
        <f t="shared" si="28"/>
        <v>-15793.111545811817</v>
      </c>
      <c r="AH35" s="799">
        <f t="shared" si="28"/>
        <v>-14333.77608152754</v>
      </c>
      <c r="AI35" s="799">
        <f t="shared" si="28"/>
        <v>-12649.497202744757</v>
      </c>
      <c r="AJ35" s="799">
        <f t="shared" si="28"/>
        <v>-10703.520369950738</v>
      </c>
      <c r="AK35" s="799">
        <f t="shared" si="28"/>
        <v>-9437.2944940974139</v>
      </c>
      <c r="AL35" s="799">
        <f t="shared" si="28"/>
        <v>-8036.2745864223916</v>
      </c>
      <c r="AM35" s="824">
        <f t="shared" si="28"/>
        <v>-6766.2078734348488</v>
      </c>
      <c r="AN35" s="825">
        <f t="shared" si="28"/>
        <v>-4995.9551493789577</v>
      </c>
      <c r="AO35" s="799">
        <f t="shared" si="28"/>
        <v>-5727.763352225249</v>
      </c>
      <c r="AP35" s="799">
        <f t="shared" si="28"/>
        <v>-6301.4456493887083</v>
      </c>
      <c r="AQ35" s="799">
        <f t="shared" si="28"/>
        <v>-6166.9402912727055</v>
      </c>
      <c r="AR35" s="799">
        <f t="shared" si="28"/>
        <v>-6280.7234440163029</v>
      </c>
      <c r="AS35" s="799">
        <f t="shared" si="28"/>
        <v>-5609.3373426781782</v>
      </c>
      <c r="AT35" s="799">
        <f t="shared" si="28"/>
        <v>-5208.1655584873124</v>
      </c>
      <c r="AU35" s="799">
        <f t="shared" si="28"/>
        <v>-5175.3597152151842</v>
      </c>
      <c r="AV35" s="799">
        <f t="shared" si="28"/>
        <v>-5230.6408353916304</v>
      </c>
      <c r="AW35" s="799">
        <f t="shared" si="28"/>
        <v>-5346.7080883324143</v>
      </c>
      <c r="AX35" s="799">
        <f t="shared" si="28"/>
        <v>-5371.2673572567574</v>
      </c>
      <c r="AY35" s="824">
        <f t="shared" si="28"/>
        <v>-5406.8328624863261</v>
      </c>
      <c r="AZ35" s="825">
        <f t="shared" si="28"/>
        <v>-5660.9833865591227</v>
      </c>
      <c r="BA35" s="799">
        <f t="shared" si="28"/>
        <v>-5410.3677725851703</v>
      </c>
      <c r="BB35" s="799">
        <f t="shared" si="28"/>
        <v>-5928.7844022407071</v>
      </c>
      <c r="BC35" s="799">
        <f t="shared" si="28"/>
        <v>-5811.7825390423613</v>
      </c>
      <c r="BD35" s="799">
        <f t="shared" si="28"/>
        <v>-6075.4422853974193</v>
      </c>
      <c r="BE35" s="799">
        <f t="shared" si="28"/>
        <v>-5496.6743393622028</v>
      </c>
      <c r="BF35" s="799">
        <f t="shared" si="28"/>
        <v>-5131.6383668200078</v>
      </c>
      <c r="BG35" s="799">
        <f t="shared" si="28"/>
        <v>-5079.6687532171709</v>
      </c>
      <c r="BH35" s="799">
        <f t="shared" si="28"/>
        <v>-5151.6479576193715</v>
      </c>
      <c r="BI35" s="799">
        <f t="shared" si="28"/>
        <v>-5274.867336065764</v>
      </c>
      <c r="BJ35" s="799">
        <f t="shared" si="28"/>
        <v>-5320.3307785728539</v>
      </c>
      <c r="BK35" s="799">
        <f t="shared" si="28"/>
        <v>-5282.1178967190335</v>
      </c>
      <c r="BL35" s="799">
        <f t="shared" si="28"/>
        <v>-5517.9452884124203</v>
      </c>
      <c r="BM35" s="799">
        <f t="shared" si="28"/>
        <v>-5379.1609288309055</v>
      </c>
      <c r="BN35" s="799">
        <f t="shared" si="28"/>
        <v>-5448.7881452678794</v>
      </c>
      <c r="BO35" s="799">
        <f t="shared" si="28"/>
        <v>-4952.8778854333814</v>
      </c>
      <c r="BP35" s="11"/>
      <c r="BQ35" s="799">
        <f t="shared" ref="BQ35:BU35" si="29">SUMIF($D$2:$BK$2,BQ$3,$D35:$BK35)</f>
        <v>-85541.134230593176</v>
      </c>
      <c r="BR35" s="799">
        <f t="shared" si="29"/>
        <v>-148619.27765706152</v>
      </c>
      <c r="BS35" s="799">
        <f t="shared" si="29"/>
        <v>-142431.66773892601</v>
      </c>
      <c r="BT35" s="799">
        <f t="shared" si="29"/>
        <v>-66821.139646129726</v>
      </c>
      <c r="BU35" s="799">
        <f t="shared" si="29"/>
        <v>-65624.305814201187</v>
      </c>
    </row>
    <row r="36" spans="1:73" ht="14.25" customHeight="1" x14ac:dyDescent="0.2">
      <c r="A36" s="3"/>
      <c r="B36" s="11" t="s">
        <v>29</v>
      </c>
      <c r="C36" s="818">
        <f>Summary!C15</f>
        <v>-0.01</v>
      </c>
      <c r="D36" s="799">
        <f t="shared" ref="D36:BO36" si="30">D34*$C$36</f>
        <v>-34.971153150024605</v>
      </c>
      <c r="E36" s="799">
        <f t="shared" si="30"/>
        <v>-69.635585190276998</v>
      </c>
      <c r="F36" s="799">
        <f t="shared" si="30"/>
        <v>-118.09823255951316</v>
      </c>
      <c r="G36" s="799">
        <f t="shared" si="30"/>
        <v>-169.7952696618604</v>
      </c>
      <c r="H36" s="799">
        <f t="shared" si="30"/>
        <v>-252.78303068504604</v>
      </c>
      <c r="I36" s="799">
        <f t="shared" si="30"/>
        <v>-327.23038336172306</v>
      </c>
      <c r="J36" s="799">
        <f t="shared" si="30"/>
        <v>-391.78279084771725</v>
      </c>
      <c r="K36" s="799">
        <f t="shared" si="30"/>
        <v>-437.24818880134364</v>
      </c>
      <c r="L36" s="799">
        <f t="shared" si="30"/>
        <v>-476.82331257569825</v>
      </c>
      <c r="M36" s="799">
        <f t="shared" si="30"/>
        <v>-518.04412810833423</v>
      </c>
      <c r="N36" s="799">
        <f t="shared" si="30"/>
        <v>-555.08420064841437</v>
      </c>
      <c r="O36" s="824">
        <f t="shared" si="30"/>
        <v>-586.60464237830149</v>
      </c>
      <c r="P36" s="825">
        <f t="shared" si="30"/>
        <v>-627.2838863143287</v>
      </c>
      <c r="Q36" s="799">
        <f t="shared" si="30"/>
        <v>-667.7036825984992</v>
      </c>
      <c r="R36" s="799">
        <f t="shared" si="30"/>
        <v>-723.74514000645297</v>
      </c>
      <c r="S36" s="799">
        <f t="shared" si="30"/>
        <v>-785.06031252735283</v>
      </c>
      <c r="T36" s="799">
        <f t="shared" si="30"/>
        <v>-882.00873028025364</v>
      </c>
      <c r="U36" s="799">
        <f t="shared" si="30"/>
        <v>-969.80327668206337</v>
      </c>
      <c r="V36" s="799">
        <f t="shared" si="30"/>
        <v>-1045.8499364150612</v>
      </c>
      <c r="W36" s="799">
        <f t="shared" si="30"/>
        <v>-1098.4850074488591</v>
      </c>
      <c r="X36" s="799">
        <f t="shared" si="30"/>
        <v>-1144.1483354611505</v>
      </c>
      <c r="Y36" s="799">
        <f t="shared" si="30"/>
        <v>-1192.2964153908772</v>
      </c>
      <c r="Z36" s="799">
        <f t="shared" si="30"/>
        <v>-1234.9104480104004</v>
      </c>
      <c r="AA36" s="824">
        <f t="shared" si="30"/>
        <v>-1271.6623949417972</v>
      </c>
      <c r="AB36" s="825">
        <f t="shared" si="30"/>
        <v>-1303.8853116932821</v>
      </c>
      <c r="AC36" s="799">
        <f t="shared" si="30"/>
        <v>-1335.9474681582424</v>
      </c>
      <c r="AD36" s="799">
        <f t="shared" si="30"/>
        <v>-1379.4036090441396</v>
      </c>
      <c r="AE36" s="799">
        <f t="shared" si="30"/>
        <v>-1428.4779921432685</v>
      </c>
      <c r="AF36" s="799">
        <f t="shared" si="30"/>
        <v>-1504.4578600622553</v>
      </c>
      <c r="AG36" s="799">
        <f t="shared" si="30"/>
        <v>-1573.3306670356194</v>
      </c>
      <c r="AH36" s="799">
        <f t="shared" si="30"/>
        <v>-1632.1072670901242</v>
      </c>
      <c r="AI36" s="799">
        <f t="shared" si="30"/>
        <v>-1670.631243432744</v>
      </c>
      <c r="AJ36" s="799">
        <f t="shared" si="30"/>
        <v>-1703.2168976266612</v>
      </c>
      <c r="AK36" s="799">
        <f t="shared" si="30"/>
        <v>-1737.6018083088741</v>
      </c>
      <c r="AL36" s="799">
        <f t="shared" si="30"/>
        <v>-1765.5803033385114</v>
      </c>
      <c r="AM36" s="824">
        <f t="shared" si="30"/>
        <v>-1789.2708349175909</v>
      </c>
      <c r="AN36" s="825">
        <f t="shared" si="30"/>
        <v>-1772.8263298392496</v>
      </c>
      <c r="AO36" s="799">
        <f t="shared" si="30"/>
        <v>-1777.8702775510278</v>
      </c>
      <c r="AP36" s="799">
        <f t="shared" si="30"/>
        <v>-1788.6062847774292</v>
      </c>
      <c r="AQ36" s="799">
        <f t="shared" si="30"/>
        <v>-1806.9614713177214</v>
      </c>
      <c r="AR36" s="799">
        <f t="shared" si="30"/>
        <v>-1843.1243815658377</v>
      </c>
      <c r="AS36" s="799">
        <f t="shared" si="30"/>
        <v>-1869.6335223474807</v>
      </c>
      <c r="AT36" s="799">
        <f t="shared" si="30"/>
        <v>-1883.5968937668615</v>
      </c>
      <c r="AU36" s="799">
        <f t="shared" si="30"/>
        <v>-1873.8197659187085</v>
      </c>
      <c r="AV36" s="799">
        <f t="shared" si="30"/>
        <v>-1867.2107220126238</v>
      </c>
      <c r="AW36" s="799">
        <f t="shared" si="30"/>
        <v>-1861.827683041299</v>
      </c>
      <c r="AX36" s="799">
        <f t="shared" si="30"/>
        <v>-1853.3218248898233</v>
      </c>
      <c r="AY36" s="824">
        <f t="shared" si="30"/>
        <v>-1847.7982264250061</v>
      </c>
      <c r="AZ36" s="825">
        <f t="shared" si="30"/>
        <v>-1852.6728683833546</v>
      </c>
      <c r="BA36" s="799">
        <f t="shared" si="30"/>
        <v>-1857.9401606986276</v>
      </c>
      <c r="BB36" s="799">
        <f t="shared" si="30"/>
        <v>-1869.3015056709737</v>
      </c>
      <c r="BC36" s="799">
        <f t="shared" si="30"/>
        <v>-1888.2728350012662</v>
      </c>
      <c r="BD36" s="799">
        <f t="shared" si="30"/>
        <v>-1925.3689790278067</v>
      </c>
      <c r="BE36" s="799">
        <f t="shared" si="30"/>
        <v>-1953.6679499030845</v>
      </c>
      <c r="BF36" s="799">
        <f t="shared" si="30"/>
        <v>-1968.4237038586816</v>
      </c>
      <c r="BG36" s="799">
        <f t="shared" si="30"/>
        <v>-1958.6517278348938</v>
      </c>
      <c r="BH36" s="799">
        <f t="shared" si="30"/>
        <v>-1951.5962408578175</v>
      </c>
      <c r="BI36" s="799">
        <f t="shared" si="30"/>
        <v>-1945.4185083465768</v>
      </c>
      <c r="BJ36" s="799">
        <f t="shared" si="30"/>
        <v>-1936.0884946018405</v>
      </c>
      <c r="BK36" s="799">
        <f t="shared" si="30"/>
        <v>-1929.8967643731492</v>
      </c>
      <c r="BL36" s="799">
        <f t="shared" si="30"/>
        <v>-1920.3950145320966</v>
      </c>
      <c r="BM36" s="799">
        <f t="shared" si="30"/>
        <v>-1922.6908906684296</v>
      </c>
      <c r="BN36" s="799">
        <f t="shared" si="30"/>
        <v>-1932.7361857539113</v>
      </c>
      <c r="BO36" s="799">
        <f t="shared" si="30"/>
        <v>-1950.6430928842983</v>
      </c>
      <c r="BP36" s="11"/>
      <c r="BQ36" s="799">
        <f t="shared" ref="BQ36:BU36" si="31">SUMIF($D$2:$BK$2,BQ$3,$D36:$BK36)</f>
        <v>-3938.1009179682537</v>
      </c>
      <c r="BR36" s="799">
        <f t="shared" si="31"/>
        <v>-11642.957566077095</v>
      </c>
      <c r="BS36" s="799">
        <f t="shared" si="31"/>
        <v>-18823.911262851318</v>
      </c>
      <c r="BT36" s="799">
        <f t="shared" si="31"/>
        <v>-22046.597383453071</v>
      </c>
      <c r="BU36" s="799">
        <f t="shared" si="31"/>
        <v>-23037.299738558075</v>
      </c>
    </row>
    <row r="37" spans="1:73" ht="14.25" customHeight="1" x14ac:dyDescent="0.2">
      <c r="A37" s="3"/>
      <c r="B37" s="11" t="s">
        <v>30</v>
      </c>
      <c r="C37" s="11"/>
      <c r="D37" s="799">
        <f t="shared" ref="D37:BO37" si="32">D34+D35+D36</f>
        <v>-52.456729725036752</v>
      </c>
      <c r="E37" s="799">
        <f t="shared" si="32"/>
        <v>3392.6619372170449</v>
      </c>
      <c r="F37" s="799">
        <f t="shared" si="32"/>
        <v>6437.1541915430325</v>
      </c>
      <c r="G37" s="799">
        <f t="shared" si="32"/>
        <v>10788.787117202017</v>
      </c>
      <c r="H37" s="799">
        <f t="shared" si="32"/>
        <v>15379.998879800922</v>
      </c>
      <c r="I37" s="799">
        <f t="shared" si="32"/>
        <v>23087.937916719744</v>
      </c>
      <c r="J37" s="799">
        <f t="shared" si="32"/>
        <v>29538.764964508835</v>
      </c>
      <c r="K37" s="799">
        <f t="shared" si="32"/>
        <v>34933.796922344627</v>
      </c>
      <c r="L37" s="799">
        <f t="shared" si="32"/>
        <v>39407.579565688306</v>
      </c>
      <c r="M37" s="799">
        <f t="shared" si="32"/>
        <v>43378.190751263806</v>
      </c>
      <c r="N37" s="799">
        <f t="shared" si="32"/>
        <v>47217.898757066832</v>
      </c>
      <c r="O37" s="824">
        <f t="shared" si="32"/>
        <v>50820.542374633784</v>
      </c>
      <c r="P37" s="825">
        <f t="shared" si="32"/>
        <v>53928.068248518772</v>
      </c>
      <c r="Q37" s="799">
        <f t="shared" si="32"/>
        <v>57874.031598249356</v>
      </c>
      <c r="R37" s="799">
        <f t="shared" si="32"/>
        <v>61181.240184328861</v>
      </c>
      <c r="S37" s="799">
        <f t="shared" si="32"/>
        <v>66467.834942304034</v>
      </c>
      <c r="T37" s="799">
        <f t="shared" si="32"/>
        <v>71957.252924113956</v>
      </c>
      <c r="U37" s="799">
        <f t="shared" si="32"/>
        <v>80889.146377770143</v>
      </c>
      <c r="V37" s="799">
        <f t="shared" si="32"/>
        <v>88479.363671927655</v>
      </c>
      <c r="W37" s="799">
        <f t="shared" si="32"/>
        <v>94631.564647516687</v>
      </c>
      <c r="X37" s="799">
        <f t="shared" si="32"/>
        <v>100156.6378576924</v>
      </c>
      <c r="Y37" s="799">
        <f t="shared" si="32"/>
        <v>104967.09629660724</v>
      </c>
      <c r="Z37" s="799">
        <f t="shared" si="32"/>
        <v>109604.61468713521</v>
      </c>
      <c r="AA37" s="824">
        <f t="shared" si="32"/>
        <v>113896.66994840668</v>
      </c>
      <c r="AB37" s="825">
        <f t="shared" si="32"/>
        <v>117964.25239101624</v>
      </c>
      <c r="AC37" s="799">
        <f t="shared" si="32"/>
        <v>121423.06313845978</v>
      </c>
      <c r="AD37" s="799">
        <f t="shared" si="32"/>
        <v>123698.50396147855</v>
      </c>
      <c r="AE37" s="799">
        <f t="shared" si="32"/>
        <v>128037.14031942193</v>
      </c>
      <c r="AF37" s="799">
        <f t="shared" si="32"/>
        <v>132430.1064737046</v>
      </c>
      <c r="AG37" s="799">
        <f t="shared" si="32"/>
        <v>139966.62449071449</v>
      </c>
      <c r="AH37" s="799">
        <f t="shared" si="32"/>
        <v>147244.84336039476</v>
      </c>
      <c r="AI37" s="799">
        <f t="shared" si="32"/>
        <v>152742.99589709687</v>
      </c>
      <c r="AJ37" s="799">
        <f t="shared" si="32"/>
        <v>157914.95249508871</v>
      </c>
      <c r="AK37" s="799">
        <f t="shared" si="32"/>
        <v>162585.2845284811</v>
      </c>
      <c r="AL37" s="799">
        <f t="shared" si="32"/>
        <v>166756.17544409024</v>
      </c>
      <c r="AM37" s="824">
        <f t="shared" si="32"/>
        <v>170371.60478340666</v>
      </c>
      <c r="AN37" s="825">
        <f t="shared" si="32"/>
        <v>170513.85150470678</v>
      </c>
      <c r="AO37" s="799">
        <f t="shared" si="32"/>
        <v>170281.39412532651</v>
      </c>
      <c r="AP37" s="799">
        <f t="shared" si="32"/>
        <v>170770.57654357678</v>
      </c>
      <c r="AQ37" s="799">
        <f t="shared" si="32"/>
        <v>172722.24536918171</v>
      </c>
      <c r="AR37" s="799">
        <f t="shared" si="32"/>
        <v>176188.59033100161</v>
      </c>
      <c r="AS37" s="799">
        <f t="shared" si="32"/>
        <v>179484.3813697224</v>
      </c>
      <c r="AT37" s="799">
        <f t="shared" si="32"/>
        <v>181267.92692443196</v>
      </c>
      <c r="AU37" s="799">
        <f t="shared" si="32"/>
        <v>180332.79711073695</v>
      </c>
      <c r="AV37" s="799">
        <f t="shared" si="32"/>
        <v>179623.22064385813</v>
      </c>
      <c r="AW37" s="799">
        <f t="shared" si="32"/>
        <v>178974.23253275617</v>
      </c>
      <c r="AX37" s="799">
        <f t="shared" si="32"/>
        <v>178107.59330683574</v>
      </c>
      <c r="AY37" s="824">
        <f t="shared" si="32"/>
        <v>177525.19155358925</v>
      </c>
      <c r="AZ37" s="825">
        <f t="shared" si="32"/>
        <v>177753.63058339298</v>
      </c>
      <c r="BA37" s="799">
        <f t="shared" si="32"/>
        <v>178525.70813657896</v>
      </c>
      <c r="BB37" s="799">
        <f t="shared" si="32"/>
        <v>179132.06465918568</v>
      </c>
      <c r="BC37" s="799">
        <f t="shared" si="32"/>
        <v>181127.22812608301</v>
      </c>
      <c r="BD37" s="799">
        <f t="shared" si="32"/>
        <v>184536.08663835545</v>
      </c>
      <c r="BE37" s="799">
        <f t="shared" si="32"/>
        <v>187916.45270104313</v>
      </c>
      <c r="BF37" s="799">
        <f t="shared" si="32"/>
        <v>189742.30831518947</v>
      </c>
      <c r="BG37" s="799">
        <f t="shared" si="32"/>
        <v>188826.8523024373</v>
      </c>
      <c r="BH37" s="799">
        <f t="shared" si="32"/>
        <v>188056.37988730456</v>
      </c>
      <c r="BI37" s="799">
        <f t="shared" si="32"/>
        <v>187321.56499024533</v>
      </c>
      <c r="BJ37" s="799">
        <f t="shared" si="32"/>
        <v>186352.43018700936</v>
      </c>
      <c r="BK37" s="799">
        <f t="shared" si="32"/>
        <v>185777.66177622275</v>
      </c>
      <c r="BL37" s="799">
        <f t="shared" si="32"/>
        <v>184601.16115026516</v>
      </c>
      <c r="BM37" s="799">
        <f t="shared" si="32"/>
        <v>184967.23724734361</v>
      </c>
      <c r="BN37" s="799">
        <f t="shared" si="32"/>
        <v>185892.09424436933</v>
      </c>
      <c r="BO37" s="799">
        <f t="shared" si="32"/>
        <v>188160.78831011214</v>
      </c>
      <c r="BP37" s="11"/>
      <c r="BQ37" s="799">
        <f t="shared" ref="BQ37:BU37" si="33">SUMIF($D$2:$BK$2,BQ$3,$D37:$BK37)</f>
        <v>304330.85664826393</v>
      </c>
      <c r="BR37" s="799">
        <f t="shared" si="33"/>
        <v>1004033.521384571</v>
      </c>
      <c r="BS37" s="799">
        <f t="shared" si="33"/>
        <v>1721135.547283354</v>
      </c>
      <c r="BT37" s="799">
        <f t="shared" si="33"/>
        <v>2115792.0013157246</v>
      </c>
      <c r="BU37" s="799">
        <f t="shared" si="33"/>
        <v>2215068.3683030475</v>
      </c>
    </row>
    <row r="38" spans="1:73" ht="9" customHeight="1" x14ac:dyDescent="0.2">
      <c r="A38" s="3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826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826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826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826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11"/>
      <c r="BQ38" s="29"/>
      <c r="BR38" s="29"/>
      <c r="BS38" s="29"/>
      <c r="BT38" s="29"/>
      <c r="BU38" s="29"/>
    </row>
    <row r="39" spans="1:73" ht="14.25" customHeight="1" x14ac:dyDescent="0.2">
      <c r="A39" s="795" t="s">
        <v>315</v>
      </c>
      <c r="B39" s="796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817"/>
      <c r="P39" s="796"/>
      <c r="Q39" s="796"/>
      <c r="R39" s="796"/>
      <c r="S39" s="796"/>
      <c r="T39" s="796"/>
      <c r="U39" s="796"/>
      <c r="V39" s="796"/>
      <c r="W39" s="796"/>
      <c r="X39" s="796"/>
      <c r="Y39" s="796"/>
      <c r="Z39" s="796"/>
      <c r="AA39" s="817"/>
      <c r="AB39" s="796"/>
      <c r="AC39" s="796"/>
      <c r="AD39" s="796"/>
      <c r="AE39" s="796"/>
      <c r="AF39" s="796"/>
      <c r="AG39" s="796"/>
      <c r="AH39" s="796"/>
      <c r="AI39" s="796"/>
      <c r="AJ39" s="796"/>
      <c r="AK39" s="796"/>
      <c r="AL39" s="796"/>
      <c r="AM39" s="817"/>
      <c r="AN39" s="796"/>
      <c r="AO39" s="796"/>
      <c r="AP39" s="796"/>
      <c r="AQ39" s="796"/>
      <c r="AR39" s="796"/>
      <c r="AS39" s="796"/>
      <c r="AT39" s="796"/>
      <c r="AU39" s="796"/>
      <c r="AV39" s="796"/>
      <c r="AW39" s="796"/>
      <c r="AX39" s="796"/>
      <c r="AY39" s="817"/>
      <c r="AZ39" s="796"/>
      <c r="BA39" s="796"/>
      <c r="BB39" s="796"/>
      <c r="BC39" s="796"/>
      <c r="BD39" s="796"/>
      <c r="BE39" s="796"/>
      <c r="BF39" s="796"/>
      <c r="BG39" s="796"/>
      <c r="BH39" s="796"/>
      <c r="BI39" s="796"/>
      <c r="BJ39" s="796"/>
      <c r="BK39" s="796"/>
      <c r="BL39" s="796"/>
      <c r="BM39" s="796"/>
      <c r="BN39" s="796"/>
      <c r="BO39" s="796"/>
      <c r="BP39" s="11"/>
      <c r="BQ39" s="796"/>
      <c r="BR39" s="796"/>
      <c r="BS39" s="796"/>
      <c r="BT39" s="796"/>
      <c r="BU39" s="796"/>
    </row>
    <row r="40" spans="1:73" ht="14.25" customHeight="1" x14ac:dyDescent="0.2">
      <c r="A40" s="3"/>
      <c r="B40" s="11" t="s">
        <v>724</v>
      </c>
      <c r="C40" s="827">
        <f>IFERROR(C34/C7*12,0)</f>
        <v>0</v>
      </c>
      <c r="D40" s="840">
        <f t="shared" ref="D40:BO40" si="34">D34/D7*12</f>
        <v>18.175812993534755</v>
      </c>
      <c r="E40" s="840">
        <f t="shared" si="34"/>
        <v>18.205922181700618</v>
      </c>
      <c r="F40" s="840">
        <f t="shared" si="34"/>
        <v>18.324383892603841</v>
      </c>
      <c r="G40" s="840">
        <f t="shared" si="34"/>
        <v>18.644271786405977</v>
      </c>
      <c r="H40" s="840">
        <f t="shared" si="34"/>
        <v>19.165449511653879</v>
      </c>
      <c r="I40" s="840">
        <f t="shared" si="34"/>
        <v>19.760768955489745</v>
      </c>
      <c r="J40" s="840">
        <f t="shared" si="34"/>
        <v>20.085302092062847</v>
      </c>
      <c r="K40" s="840">
        <f t="shared" si="34"/>
        <v>20.121591975980181</v>
      </c>
      <c r="L40" s="840">
        <f t="shared" si="34"/>
        <v>20.123861790494857</v>
      </c>
      <c r="M40" s="840">
        <f t="shared" si="34"/>
        <v>20.170155408378825</v>
      </c>
      <c r="N40" s="840">
        <f t="shared" si="34"/>
        <v>20.155966216600028</v>
      </c>
      <c r="O40" s="841">
        <f t="shared" si="34"/>
        <v>20.160365481173756</v>
      </c>
      <c r="P40" s="842">
        <f t="shared" si="34"/>
        <v>20.145554896165315</v>
      </c>
      <c r="Q40" s="840">
        <f t="shared" si="34"/>
        <v>20.139689936256875</v>
      </c>
      <c r="R40" s="840">
        <f t="shared" si="34"/>
        <v>20.14185869404627</v>
      </c>
      <c r="S40" s="840">
        <f t="shared" si="34"/>
        <v>20.256499266600063</v>
      </c>
      <c r="T40" s="840">
        <f t="shared" si="34"/>
        <v>20.470980790289161</v>
      </c>
      <c r="U40" s="840">
        <f t="shared" si="34"/>
        <v>20.784408021316064</v>
      </c>
      <c r="V40" s="840">
        <f t="shared" si="34"/>
        <v>21.007309947168764</v>
      </c>
      <c r="W40" s="840">
        <f t="shared" si="34"/>
        <v>21.066288906839624</v>
      </c>
      <c r="X40" s="840">
        <f t="shared" si="34"/>
        <v>21.099091431136817</v>
      </c>
      <c r="Y40" s="840">
        <f t="shared" si="34"/>
        <v>21.163569463960876</v>
      </c>
      <c r="Z40" s="840">
        <f t="shared" si="34"/>
        <v>21.180024215317726</v>
      </c>
      <c r="AA40" s="841">
        <f t="shared" si="34"/>
        <v>21.209467319939311</v>
      </c>
      <c r="AB40" s="842">
        <f t="shared" si="34"/>
        <v>21.250935276293568</v>
      </c>
      <c r="AC40" s="840">
        <f t="shared" si="34"/>
        <v>21.293720173945225</v>
      </c>
      <c r="AD40" s="840">
        <f t="shared" si="34"/>
        <v>21.338305780448067</v>
      </c>
      <c r="AE40" s="840">
        <f t="shared" si="34"/>
        <v>21.45485319217908</v>
      </c>
      <c r="AF40" s="840">
        <f t="shared" si="34"/>
        <v>21.631414257824609</v>
      </c>
      <c r="AG40" s="840">
        <f t="shared" si="34"/>
        <v>21.851619444315325</v>
      </c>
      <c r="AH40" s="840">
        <f t="shared" si="34"/>
        <v>22.012833943243198</v>
      </c>
      <c r="AI40" s="840">
        <f t="shared" si="34"/>
        <v>22.051291144972154</v>
      </c>
      <c r="AJ40" s="840">
        <f t="shared" si="34"/>
        <v>22.065365205175709</v>
      </c>
      <c r="AK40" s="840">
        <f t="shared" si="34"/>
        <v>22.096673884929412</v>
      </c>
      <c r="AL40" s="840">
        <f t="shared" si="34"/>
        <v>22.073619414224261</v>
      </c>
      <c r="AM40" s="841">
        <f t="shared" si="34"/>
        <v>22.057439713871041</v>
      </c>
      <c r="AN40" s="842">
        <f t="shared" si="34"/>
        <v>22.151679123039724</v>
      </c>
      <c r="AO40" s="840">
        <f t="shared" si="34"/>
        <v>22.21470385893409</v>
      </c>
      <c r="AP40" s="840">
        <f t="shared" si="34"/>
        <v>22.275227970047094</v>
      </c>
      <c r="AQ40" s="840">
        <f t="shared" si="34"/>
        <v>22.380940519537532</v>
      </c>
      <c r="AR40" s="840">
        <f t="shared" si="34"/>
        <v>22.509281479058842</v>
      </c>
      <c r="AS40" s="840">
        <f t="shared" si="34"/>
        <v>22.638010988216507</v>
      </c>
      <c r="AT40" s="840">
        <f t="shared" si="34"/>
        <v>22.758488498867564</v>
      </c>
      <c r="AU40" s="840">
        <f t="shared" si="34"/>
        <v>22.834972966901397</v>
      </c>
      <c r="AV40" s="840">
        <f t="shared" si="34"/>
        <v>22.902082552293045</v>
      </c>
      <c r="AW40" s="840">
        <f t="shared" si="34"/>
        <v>22.985204401550973</v>
      </c>
      <c r="AX40" s="840">
        <f t="shared" si="34"/>
        <v>23.030612926784165</v>
      </c>
      <c r="AY40" s="841">
        <f t="shared" si="34"/>
        <v>23.088462026396073</v>
      </c>
      <c r="AZ40" s="842">
        <f t="shared" si="34"/>
        <v>23.149371266451656</v>
      </c>
      <c r="BA40" s="840">
        <f t="shared" si="34"/>
        <v>23.215186720143482</v>
      </c>
      <c r="BB40" s="840">
        <f t="shared" si="34"/>
        <v>23.280202880845131</v>
      </c>
      <c r="BC40" s="840">
        <f t="shared" si="34"/>
        <v>23.388059278321474</v>
      </c>
      <c r="BD40" s="840">
        <f t="shared" si="34"/>
        <v>23.513699201985713</v>
      </c>
      <c r="BE40" s="840">
        <f t="shared" si="34"/>
        <v>23.655521784665883</v>
      </c>
      <c r="BF40" s="840">
        <f t="shared" si="34"/>
        <v>23.783405235701629</v>
      </c>
      <c r="BG40" s="840">
        <f t="shared" si="34"/>
        <v>23.868762658054294</v>
      </c>
      <c r="BH40" s="840">
        <f t="shared" si="34"/>
        <v>23.937104521708257</v>
      </c>
      <c r="BI40" s="840">
        <f t="shared" si="34"/>
        <v>24.017175417578414</v>
      </c>
      <c r="BJ40" s="840">
        <f t="shared" si="34"/>
        <v>24.05912675950168</v>
      </c>
      <c r="BK40" s="840">
        <f t="shared" si="34"/>
        <v>24.114293174370324</v>
      </c>
      <c r="BL40" s="840">
        <f t="shared" si="34"/>
        <v>23.995567662432848</v>
      </c>
      <c r="BM40" s="840">
        <f t="shared" si="34"/>
        <v>24.024254912064851</v>
      </c>
      <c r="BN40" s="840">
        <f t="shared" si="34"/>
        <v>24.070215737268853</v>
      </c>
      <c r="BO40" s="840">
        <f t="shared" si="34"/>
        <v>24.16057438394262</v>
      </c>
      <c r="BP40" s="11"/>
      <c r="BQ40" s="840">
        <f t="shared" ref="BQ40:BU40" si="35">AVERAGEIF($D$2:$BK$2,BQ$3,$D40:$BK40)</f>
        <v>19.424487690506609</v>
      </c>
      <c r="BR40" s="840">
        <f t="shared" si="35"/>
        <v>20.722061907419739</v>
      </c>
      <c r="BS40" s="840">
        <f t="shared" si="35"/>
        <v>21.764839285951805</v>
      </c>
      <c r="BT40" s="840">
        <f t="shared" si="35"/>
        <v>22.647472275968919</v>
      </c>
      <c r="BU40" s="840">
        <f t="shared" si="35"/>
        <v>23.665159074943997</v>
      </c>
    </row>
    <row r="41" spans="1:73" ht="14.25" customHeight="1" x14ac:dyDescent="0.2">
      <c r="A41" s="3"/>
      <c r="B41" s="11" t="s">
        <v>725</v>
      </c>
      <c r="C41" s="11"/>
      <c r="D41" s="840">
        <f t="shared" ref="D41:BO41" si="36">D37/D7*12</f>
        <v>-0.27263719490302052</v>
      </c>
      <c r="E41" s="840">
        <f t="shared" si="36"/>
        <v>8.8699677110511974</v>
      </c>
      <c r="F41" s="840">
        <f t="shared" si="36"/>
        <v>9.9880313214913272</v>
      </c>
      <c r="G41" s="840">
        <f t="shared" si="36"/>
        <v>11.84656555270174</v>
      </c>
      <c r="H41" s="840">
        <f t="shared" si="36"/>
        <v>11.660774507738951</v>
      </c>
      <c r="I41" s="840">
        <f t="shared" si="36"/>
        <v>13.942330236696385</v>
      </c>
      <c r="J41" s="840">
        <f t="shared" si="36"/>
        <v>15.143468054195646</v>
      </c>
      <c r="K41" s="840">
        <f t="shared" si="36"/>
        <v>16.076078205609956</v>
      </c>
      <c r="L41" s="840">
        <f t="shared" si="36"/>
        <v>16.631583728447481</v>
      </c>
      <c r="M41" s="840">
        <f t="shared" si="36"/>
        <v>16.889388399829947</v>
      </c>
      <c r="N41" s="840">
        <f t="shared" si="36"/>
        <v>17.145549649125975</v>
      </c>
      <c r="O41" s="841">
        <f t="shared" si="36"/>
        <v>17.465949537497107</v>
      </c>
      <c r="P41" s="842">
        <f t="shared" si="36"/>
        <v>17.319285303628696</v>
      </c>
      <c r="Q41" s="840">
        <f t="shared" si="36"/>
        <v>17.456322050132343</v>
      </c>
      <c r="R41" s="840">
        <f t="shared" si="36"/>
        <v>17.0267657273425</v>
      </c>
      <c r="S41" s="840">
        <f t="shared" si="36"/>
        <v>17.150346645683541</v>
      </c>
      <c r="T41" s="840">
        <f t="shared" si="36"/>
        <v>16.700917936078319</v>
      </c>
      <c r="U41" s="840">
        <f t="shared" si="36"/>
        <v>17.335815038318376</v>
      </c>
      <c r="V41" s="840">
        <f t="shared" si="36"/>
        <v>17.772276421947311</v>
      </c>
      <c r="W41" s="840">
        <f t="shared" si="36"/>
        <v>18.148048148610425</v>
      </c>
      <c r="X41" s="840">
        <f t="shared" si="36"/>
        <v>18.469756010639806</v>
      </c>
      <c r="Y41" s="840">
        <f t="shared" si="36"/>
        <v>18.631930828838719</v>
      </c>
      <c r="Z41" s="840">
        <f t="shared" si="36"/>
        <v>18.798354139154078</v>
      </c>
      <c r="AA41" s="841">
        <f t="shared" si="36"/>
        <v>18.996297356353054</v>
      </c>
      <c r="AB41" s="842">
        <f t="shared" si="36"/>
        <v>19.226006075813061</v>
      </c>
      <c r="AC41" s="840">
        <f t="shared" si="36"/>
        <v>19.353670640194579</v>
      </c>
      <c r="AD41" s="840">
        <f t="shared" si="36"/>
        <v>19.135200783931939</v>
      </c>
      <c r="AE41" s="840">
        <f t="shared" si="36"/>
        <v>19.230384113780033</v>
      </c>
      <c r="AF41" s="840">
        <f t="shared" si="36"/>
        <v>19.041081637354626</v>
      </c>
      <c r="AG41" s="840">
        <f t="shared" si="36"/>
        <v>19.439635147003944</v>
      </c>
      <c r="AH41" s="840">
        <f t="shared" si="36"/>
        <v>19.859456245606214</v>
      </c>
      <c r="AI41" s="840">
        <f t="shared" si="36"/>
        <v>20.161123444341747</v>
      </c>
      <c r="AJ41" s="840">
        <f t="shared" si="36"/>
        <v>20.458058530404998</v>
      </c>
      <c r="AK41" s="840">
        <f t="shared" si="36"/>
        <v>20.675588581545092</v>
      </c>
      <c r="AL41" s="840">
        <f t="shared" si="36"/>
        <v>20.848172947807985</v>
      </c>
      <c r="AM41" s="841">
        <f t="shared" si="36"/>
        <v>21.002753345826136</v>
      </c>
      <c r="AN41" s="842">
        <f t="shared" si="36"/>
        <v>21.305911701505483</v>
      </c>
      <c r="AO41" s="840">
        <f t="shared" si="36"/>
        <v>21.276865871177129</v>
      </c>
      <c r="AP41" s="840">
        <f t="shared" si="36"/>
        <v>21.267696280950432</v>
      </c>
      <c r="AQ41" s="840">
        <f t="shared" si="36"/>
        <v>21.393296765700171</v>
      </c>
      <c r="AR41" s="840">
        <f t="shared" si="36"/>
        <v>21.517151055154855</v>
      </c>
      <c r="AS41" s="840">
        <f t="shared" si="36"/>
        <v>21.732437662753124</v>
      </c>
      <c r="AT41" s="840">
        <f t="shared" si="36"/>
        <v>21.901628972604698</v>
      </c>
      <c r="AU41" s="840">
        <f t="shared" si="36"/>
        <v>21.97593718438787</v>
      </c>
      <c r="AV41" s="840">
        <f t="shared" si="36"/>
        <v>22.031502813245815</v>
      </c>
      <c r="AW41" s="840">
        <f t="shared" si="36"/>
        <v>22.095274202047964</v>
      </c>
      <c r="AX41" s="840">
        <f t="shared" si="36"/>
        <v>22.132837296159721</v>
      </c>
      <c r="AY41" s="841">
        <f t="shared" si="36"/>
        <v>22.181987109294838</v>
      </c>
      <c r="AZ41" s="842">
        <f t="shared" si="36"/>
        <v>22.210530841990014</v>
      </c>
      <c r="BA41" s="840">
        <f t="shared" si="36"/>
        <v>22.307002864818266</v>
      </c>
      <c r="BB41" s="840">
        <f t="shared" si="36"/>
        <v>22.309032518719519</v>
      </c>
      <c r="BC41" s="840">
        <f t="shared" si="36"/>
        <v>22.434334010466475</v>
      </c>
      <c r="BD41" s="840">
        <f t="shared" si="36"/>
        <v>22.536594701535375</v>
      </c>
      <c r="BE41" s="840">
        <f t="shared" si="36"/>
        <v>22.753414881925959</v>
      </c>
      <c r="BF41" s="840">
        <f t="shared" si="36"/>
        <v>22.92554291116975</v>
      </c>
      <c r="BG41" s="840">
        <f t="shared" si="36"/>
        <v>23.011050188368536</v>
      </c>
      <c r="BH41" s="840">
        <f t="shared" si="36"/>
        <v>23.065863353773697</v>
      </c>
      <c r="BI41" s="840">
        <f t="shared" si="36"/>
        <v>23.125794612130584</v>
      </c>
      <c r="BJ41" s="840">
        <f t="shared" si="36"/>
        <v>23.157395709499735</v>
      </c>
      <c r="BK41" s="840">
        <f t="shared" si="36"/>
        <v>23.213143231399552</v>
      </c>
      <c r="BL41" s="840">
        <f t="shared" si="36"/>
        <v>23.066138057144094</v>
      </c>
      <c r="BM41" s="840">
        <f t="shared" si="36"/>
        <v>23.111879707640856</v>
      </c>
      <c r="BN41" s="840">
        <f t="shared" si="36"/>
        <v>23.150923779953498</v>
      </c>
      <c r="BO41" s="840">
        <f t="shared" si="36"/>
        <v>23.305507494893607</v>
      </c>
      <c r="BP41" s="11"/>
      <c r="BQ41" s="840">
        <f t="shared" ref="BQ41:BU41" si="37">AVERAGEIF($D$2:$BK$2,BQ$3,$D41:$BK41)</f>
        <v>12.948920809123557</v>
      </c>
      <c r="BR41" s="840">
        <f t="shared" si="37"/>
        <v>17.8171763005606</v>
      </c>
      <c r="BS41" s="840">
        <f t="shared" si="37"/>
        <v>19.869260957800865</v>
      </c>
      <c r="BT41" s="840">
        <f t="shared" si="37"/>
        <v>21.734377242915176</v>
      </c>
      <c r="BU41" s="840">
        <f t="shared" si="37"/>
        <v>22.754141652149784</v>
      </c>
    </row>
    <row r="42" spans="1:73" ht="14.25" customHeight="1" x14ac:dyDescent="0.2">
      <c r="A42" s="3"/>
      <c r="B42" s="11" t="s">
        <v>726</v>
      </c>
      <c r="C42" s="11"/>
      <c r="D42" s="822">
        <f t="shared" ref="D42:BO42" si="38">D35/D34</f>
        <v>-1.0049999999999999</v>
      </c>
      <c r="E42" s="822">
        <f t="shared" si="38"/>
        <v>-0.50279766976227669</v>
      </c>
      <c r="F42" s="822">
        <f t="shared" si="38"/>
        <v>-0.44493221600084815</v>
      </c>
      <c r="G42" s="822">
        <f t="shared" si="38"/>
        <v>-0.35460025425399677</v>
      </c>
      <c r="H42" s="822">
        <f t="shared" si="38"/>
        <v>-0.38157312743181848</v>
      </c>
      <c r="I42" s="822">
        <f t="shared" si="38"/>
        <v>-0.28444394253579586</v>
      </c>
      <c r="J42" s="822">
        <f t="shared" si="38"/>
        <v>-0.23604230572265464</v>
      </c>
      <c r="K42" s="822">
        <f t="shared" si="38"/>
        <v>-0.19105336472379972</v>
      </c>
      <c r="L42" s="822">
        <f t="shared" si="38"/>
        <v>-0.16353915955121964</v>
      </c>
      <c r="M42" s="822">
        <f t="shared" si="38"/>
        <v>-0.15265452308741384</v>
      </c>
      <c r="N42" s="822">
        <f t="shared" si="38"/>
        <v>-0.1393561030577008</v>
      </c>
      <c r="O42" s="843">
        <f t="shared" si="38"/>
        <v>-0.12364916157858137</v>
      </c>
      <c r="P42" s="844">
        <f t="shared" si="38"/>
        <v>-0.1302924668545416</v>
      </c>
      <c r="Q42" s="822">
        <f t="shared" si="38"/>
        <v>-0.1232377953492593</v>
      </c>
      <c r="R42" s="822">
        <f t="shared" si="38"/>
        <v>-0.14465767156953396</v>
      </c>
      <c r="S42" s="822">
        <f t="shared" si="38"/>
        <v>-0.14334103785830879</v>
      </c>
      <c r="T42" s="822">
        <f t="shared" si="38"/>
        <v>-0.17416620546091521</v>
      </c>
      <c r="U42" s="822">
        <f t="shared" si="38"/>
        <v>-0.15592211716883536</v>
      </c>
      <c r="V42" s="822">
        <f t="shared" si="38"/>
        <v>-0.14399561073536937</v>
      </c>
      <c r="W42" s="822">
        <f t="shared" si="38"/>
        <v>-0.12852657063303308</v>
      </c>
      <c r="X42" s="822">
        <f t="shared" si="38"/>
        <v>-0.11461841919016433</v>
      </c>
      <c r="Y42" s="822">
        <f t="shared" si="38"/>
        <v>-0.10962247859148934</v>
      </c>
      <c r="Z42" s="822">
        <f t="shared" si="38"/>
        <v>-0.10244888353060468</v>
      </c>
      <c r="AA42" s="843">
        <f t="shared" si="38"/>
        <v>-9.4348210645800956E-2</v>
      </c>
      <c r="AB42" s="844">
        <f t="shared" si="38"/>
        <v>-8.5286592055993468E-2</v>
      </c>
      <c r="AC42" s="822">
        <f t="shared" si="38"/>
        <v>-8.1108999174529947E-2</v>
      </c>
      <c r="AD42" s="822">
        <f t="shared" si="38"/>
        <v>-9.3246481664668965E-2</v>
      </c>
      <c r="AE42" s="822">
        <f t="shared" si="38"/>
        <v>-9.3681393597693521E-2</v>
      </c>
      <c r="AF42" s="822">
        <f t="shared" si="38"/>
        <v>-0.10974864840531627</v>
      </c>
      <c r="AG42" s="822">
        <f t="shared" si="38"/>
        <v>-0.10038011637800402</v>
      </c>
      <c r="AH42" s="822">
        <f t="shared" si="38"/>
        <v>-8.7823737878964026E-2</v>
      </c>
      <c r="AI42" s="822">
        <f t="shared" si="38"/>
        <v>-7.5716872005536617E-2</v>
      </c>
      <c r="AJ42" s="822">
        <f t="shared" si="38"/>
        <v>-6.2842967239612899E-2</v>
      </c>
      <c r="AK42" s="822">
        <f t="shared" si="38"/>
        <v>-5.4312181588267845E-2</v>
      </c>
      <c r="AL42" s="822">
        <f t="shared" si="38"/>
        <v>-4.5516335740870641E-2</v>
      </c>
      <c r="AM42" s="843">
        <f t="shared" si="38"/>
        <v>-3.7815448289841951E-2</v>
      </c>
      <c r="AN42" s="844">
        <f t="shared" si="38"/>
        <v>-2.8180736405420851E-2</v>
      </c>
      <c r="AO42" s="822">
        <f t="shared" si="38"/>
        <v>-3.2216992569981548E-2</v>
      </c>
      <c r="AP42" s="822">
        <f t="shared" si="38"/>
        <v>-3.5231038283938761E-2</v>
      </c>
      <c r="AQ42" s="822">
        <f t="shared" si="38"/>
        <v>-3.412878685662004E-2</v>
      </c>
      <c r="AR42" s="822">
        <f t="shared" si="38"/>
        <v>-3.4076503500433737E-2</v>
      </c>
      <c r="AS42" s="822">
        <f t="shared" si="38"/>
        <v>-3.0002336156420579E-2</v>
      </c>
      <c r="AT42" s="822">
        <f t="shared" si="38"/>
        <v>-2.7650106961431116E-2</v>
      </c>
      <c r="AU42" s="822">
        <f t="shared" si="38"/>
        <v>-2.7619303677682016E-2</v>
      </c>
      <c r="AV42" s="822">
        <f t="shared" si="38"/>
        <v>-2.8013125533863915E-2</v>
      </c>
      <c r="AW42" s="822">
        <f t="shared" si="38"/>
        <v>-2.8717523845163569E-2</v>
      </c>
      <c r="AX42" s="822">
        <f t="shared" si="38"/>
        <v>-2.8981838367851034E-2</v>
      </c>
      <c r="AY42" s="843">
        <f t="shared" si="38"/>
        <v>-2.9260948436708362E-2</v>
      </c>
      <c r="AZ42" s="844">
        <f t="shared" si="38"/>
        <v>-3.0555763422491885E-2</v>
      </c>
      <c r="BA42" s="822">
        <f t="shared" si="38"/>
        <v>-2.9120247718585023E-2</v>
      </c>
      <c r="BB42" s="822">
        <f t="shared" si="38"/>
        <v>-3.1716576401689726E-2</v>
      </c>
      <c r="BC42" s="822">
        <f t="shared" si="38"/>
        <v>-3.0778298725239375E-2</v>
      </c>
      <c r="BD42" s="822">
        <f t="shared" si="38"/>
        <v>-3.1554690823289079E-2</v>
      </c>
      <c r="BE42" s="822">
        <f t="shared" si="38"/>
        <v>-2.8135151316961905E-2</v>
      </c>
      <c r="BF42" s="822">
        <f t="shared" si="38"/>
        <v>-2.6069785467226939E-2</v>
      </c>
      <c r="BG42" s="822">
        <f t="shared" si="38"/>
        <v>-2.5934517510329769E-2</v>
      </c>
      <c r="BH42" s="822">
        <f t="shared" si="38"/>
        <v>-2.6397099204059658E-2</v>
      </c>
      <c r="BI42" s="822">
        <f t="shared" si="38"/>
        <v>-2.7114306322442189E-2</v>
      </c>
      <c r="BJ42" s="822">
        <f t="shared" si="38"/>
        <v>-2.7479791308129168E-2</v>
      </c>
      <c r="BK42" s="822">
        <f t="shared" si="38"/>
        <v>-2.7369950529114034E-2</v>
      </c>
      <c r="BL42" s="822">
        <f t="shared" si="38"/>
        <v>-2.8733386863935725E-2</v>
      </c>
      <c r="BM42" s="822">
        <f t="shared" si="38"/>
        <v>-2.7977252895606236E-2</v>
      </c>
      <c r="BN42" s="822">
        <f t="shared" si="38"/>
        <v>-2.8192094634697625E-2</v>
      </c>
      <c r="BO42" s="822">
        <f t="shared" si="38"/>
        <v>-2.5391000042503213E-2</v>
      </c>
      <c r="BP42" s="11"/>
      <c r="BQ42" s="822">
        <f t="shared" ref="BQ42:BU42" si="39">BQ35/BQ34</f>
        <v>-0.21721417508702542</v>
      </c>
      <c r="BR42" s="822">
        <f t="shared" si="39"/>
        <v>-0.12764735833967</v>
      </c>
      <c r="BS42" s="822">
        <f t="shared" si="39"/>
        <v>-7.5665288552444782E-2</v>
      </c>
      <c r="BT42" s="822">
        <f t="shared" si="39"/>
        <v>-3.0309048822328429E-2</v>
      </c>
      <c r="BU42" s="822">
        <f t="shared" si="39"/>
        <v>-2.8486110160022029E-2</v>
      </c>
    </row>
    <row r="43" spans="1:73" ht="14.25" customHeight="1" x14ac:dyDescent="0.2">
      <c r="A43" s="3"/>
      <c r="B43" s="11" t="s">
        <v>727</v>
      </c>
      <c r="C43" s="11"/>
      <c r="D43" s="845"/>
      <c r="E43" s="845"/>
      <c r="F43" s="845"/>
      <c r="G43" s="845"/>
      <c r="H43" s="845"/>
      <c r="I43" s="845"/>
      <c r="J43" s="845"/>
      <c r="K43" s="845"/>
      <c r="L43" s="845"/>
      <c r="M43" s="845"/>
      <c r="N43" s="845"/>
      <c r="O43" s="846"/>
      <c r="P43" s="844">
        <f t="shared" ref="P43:BO43" si="40">P40/D40-1</f>
        <v>0.10837159819652675</v>
      </c>
      <c r="Q43" s="822">
        <f t="shared" si="40"/>
        <v>0.10621641327787024</v>
      </c>
      <c r="R43" s="822">
        <f t="shared" si="40"/>
        <v>9.9183405679249326E-2</v>
      </c>
      <c r="S43" s="822">
        <f t="shared" si="40"/>
        <v>8.6473073266911005E-2</v>
      </c>
      <c r="T43" s="822">
        <f t="shared" si="40"/>
        <v>6.8119001218386765E-2</v>
      </c>
      <c r="U43" s="822">
        <f t="shared" si="40"/>
        <v>5.1801580603063613E-2</v>
      </c>
      <c r="V43" s="822">
        <f t="shared" si="40"/>
        <v>4.5904604813998162E-2</v>
      </c>
      <c r="W43" s="822">
        <f t="shared" si="40"/>
        <v>4.694941294839694E-2</v>
      </c>
      <c r="X43" s="822">
        <f t="shared" si="40"/>
        <v>4.8461356512724096E-2</v>
      </c>
      <c r="Y43" s="822">
        <f t="shared" si="40"/>
        <v>4.9251680786226437E-2</v>
      </c>
      <c r="Z43" s="822">
        <f t="shared" si="40"/>
        <v>5.0806693547357895E-2</v>
      </c>
      <c r="AA43" s="843">
        <f t="shared" si="40"/>
        <v>5.2037838289451299E-2</v>
      </c>
      <c r="AB43" s="844">
        <f t="shared" si="40"/>
        <v>5.4869691394733522E-2</v>
      </c>
      <c r="AC43" s="822">
        <f t="shared" si="40"/>
        <v>5.7301291198668558E-2</v>
      </c>
      <c r="AD43" s="822">
        <f t="shared" si="40"/>
        <v>5.940102671634051E-2</v>
      </c>
      <c r="AE43" s="822">
        <f t="shared" si="40"/>
        <v>5.9158984472451381E-2</v>
      </c>
      <c r="AF43" s="822">
        <f t="shared" si="40"/>
        <v>5.6686754749236234E-2</v>
      </c>
      <c r="AG43" s="822">
        <f t="shared" si="40"/>
        <v>5.1346731737788698E-2</v>
      </c>
      <c r="AH43" s="822">
        <f t="shared" si="40"/>
        <v>4.7865433442131566E-2</v>
      </c>
      <c r="AI43" s="822">
        <f t="shared" si="40"/>
        <v>4.6757273788869735E-2</v>
      </c>
      <c r="AJ43" s="822">
        <f t="shared" si="40"/>
        <v>4.5796937616608524E-2</v>
      </c>
      <c r="AK43" s="822">
        <f t="shared" si="40"/>
        <v>4.4090124898708893E-2</v>
      </c>
      <c r="AL43" s="822">
        <f t="shared" si="40"/>
        <v>4.2190471069446289E-2</v>
      </c>
      <c r="AM43" s="843">
        <f t="shared" si="40"/>
        <v>3.9980843513902853E-2</v>
      </c>
      <c r="AN43" s="844">
        <f t="shared" si="40"/>
        <v>4.2386080190596642E-2</v>
      </c>
      <c r="AO43" s="822">
        <f t="shared" si="40"/>
        <v>4.3251422366100689E-2</v>
      </c>
      <c r="AP43" s="822">
        <f t="shared" si="40"/>
        <v>4.390799341049445E-2</v>
      </c>
      <c r="AQ43" s="822">
        <f t="shared" si="40"/>
        <v>4.3164468153808588E-2</v>
      </c>
      <c r="AR43" s="822">
        <f t="shared" si="40"/>
        <v>4.058297856861981E-2</v>
      </c>
      <c r="AS43" s="822">
        <f t="shared" si="40"/>
        <v>3.5987792387889073E-2</v>
      </c>
      <c r="AT43" s="822">
        <f t="shared" si="40"/>
        <v>3.3873628336402506E-2</v>
      </c>
      <c r="AU43" s="822">
        <f t="shared" si="40"/>
        <v>3.5539044710673373E-2</v>
      </c>
      <c r="AV43" s="822">
        <f t="shared" si="40"/>
        <v>3.7919941017838799E-2</v>
      </c>
      <c r="AW43" s="822">
        <f t="shared" si="40"/>
        <v>4.0211052633924549E-2</v>
      </c>
      <c r="AX43" s="822">
        <f t="shared" si="40"/>
        <v>4.3354625927056523E-2</v>
      </c>
      <c r="AY43" s="843">
        <f t="shared" si="40"/>
        <v>4.6742610470636992E-2</v>
      </c>
      <c r="AZ43" s="844">
        <f t="shared" si="40"/>
        <v>4.5039120414769984E-2</v>
      </c>
      <c r="BA43" s="822">
        <f t="shared" si="40"/>
        <v>4.5036965946634755E-2</v>
      </c>
      <c r="BB43" s="822">
        <f t="shared" si="40"/>
        <v>4.5116257043447572E-2</v>
      </c>
      <c r="BC43" s="822">
        <f t="shared" si="40"/>
        <v>4.4998947113271459E-2</v>
      </c>
      <c r="BD43" s="822">
        <f t="shared" si="40"/>
        <v>4.4622380499409253E-2</v>
      </c>
      <c r="BE43" s="822">
        <f t="shared" si="40"/>
        <v>4.4947005148950891E-2</v>
      </c>
      <c r="BF43" s="822">
        <f t="shared" si="40"/>
        <v>4.5034481832352924E-2</v>
      </c>
      <c r="BG43" s="822">
        <f t="shared" si="40"/>
        <v>4.5272209984717149E-2</v>
      </c>
      <c r="BH43" s="822">
        <f t="shared" si="40"/>
        <v>4.5193355977645844E-2</v>
      </c>
      <c r="BI43" s="822">
        <f t="shared" si="40"/>
        <v>4.4897186816307277E-2</v>
      </c>
      <c r="BJ43" s="822">
        <f t="shared" si="40"/>
        <v>4.4658552335850921E-2</v>
      </c>
      <c r="BK43" s="822">
        <f t="shared" si="40"/>
        <v>4.4430466906000943E-2</v>
      </c>
      <c r="BL43" s="822">
        <f t="shared" si="40"/>
        <v>3.655375285321516E-2</v>
      </c>
      <c r="BM43" s="822">
        <f t="shared" si="40"/>
        <v>3.4850815618008957E-2</v>
      </c>
      <c r="BN43" s="822">
        <f t="shared" si="40"/>
        <v>3.3934964418791402E-2</v>
      </c>
      <c r="BO43" s="822">
        <f t="shared" si="40"/>
        <v>3.3030321003897578E-2</v>
      </c>
      <c r="BP43" s="11"/>
      <c r="BQ43" s="822"/>
      <c r="BR43" s="822">
        <f t="shared" ref="BR43:BU43" si="41">BR40/BQ40-1</f>
        <v>6.6800949275346744E-2</v>
      </c>
      <c r="BS43" s="822">
        <f t="shared" si="41"/>
        <v>5.0322085861479238E-2</v>
      </c>
      <c r="BT43" s="822">
        <f t="shared" si="41"/>
        <v>4.0553159084745216E-2</v>
      </c>
      <c r="BU43" s="822">
        <f t="shared" si="41"/>
        <v>4.4935999328054699E-2</v>
      </c>
    </row>
    <row r="44" spans="1:73" ht="14.25" customHeight="1" x14ac:dyDescent="0.2">
      <c r="A44" s="3"/>
      <c r="B44" s="11" t="s">
        <v>728</v>
      </c>
      <c r="C44" s="11"/>
      <c r="D44" s="845"/>
      <c r="E44" s="845"/>
      <c r="F44" s="845"/>
      <c r="G44" s="845"/>
      <c r="H44" s="845"/>
      <c r="I44" s="845"/>
      <c r="J44" s="845"/>
      <c r="K44" s="845"/>
      <c r="L44" s="845"/>
      <c r="M44" s="845"/>
      <c r="N44" s="845"/>
      <c r="O44" s="846"/>
      <c r="P44" s="844">
        <f t="shared" ref="P44:BO44" si="42">P41/D41-1</f>
        <v>-64.52502749960189</v>
      </c>
      <c r="Q44" s="822">
        <f t="shared" si="42"/>
        <v>0.96802543355183857</v>
      </c>
      <c r="R44" s="822">
        <f t="shared" si="42"/>
        <v>0.70471689357900513</v>
      </c>
      <c r="S44" s="822">
        <f t="shared" si="42"/>
        <v>0.44770622079343614</v>
      </c>
      <c r="T44" s="822">
        <f t="shared" si="42"/>
        <v>0.43223058854232677</v>
      </c>
      <c r="U44" s="822">
        <f t="shared" si="42"/>
        <v>0.24339437841533096</v>
      </c>
      <c r="V44" s="822">
        <f t="shared" si="42"/>
        <v>0.17359354926781956</v>
      </c>
      <c r="W44" s="822">
        <f t="shared" si="42"/>
        <v>0.12888528635531449</v>
      </c>
      <c r="X44" s="822">
        <f t="shared" si="42"/>
        <v>0.11052298519522363</v>
      </c>
      <c r="Y44" s="822">
        <f t="shared" si="42"/>
        <v>0.10317380284926814</v>
      </c>
      <c r="Z44" s="822">
        <f t="shared" si="42"/>
        <v>9.6398454634107233E-2</v>
      </c>
      <c r="AA44" s="843">
        <f t="shared" si="42"/>
        <v>8.7618930512222803E-2</v>
      </c>
      <c r="AB44" s="844">
        <f t="shared" si="42"/>
        <v>0.11009234727398787</v>
      </c>
      <c r="AC44" s="822">
        <f t="shared" si="42"/>
        <v>0.10869119993394327</v>
      </c>
      <c r="AD44" s="822">
        <f t="shared" si="42"/>
        <v>0.12383062587180604</v>
      </c>
      <c r="AE44" s="822">
        <f t="shared" si="42"/>
        <v>0.12128253213004325</v>
      </c>
      <c r="AF44" s="822">
        <f t="shared" si="42"/>
        <v>0.14012186097992529</v>
      </c>
      <c r="AG44" s="822">
        <f t="shared" si="42"/>
        <v>0.12135686173597082</v>
      </c>
      <c r="AH44" s="822">
        <f t="shared" si="42"/>
        <v>0.11744020710151726</v>
      </c>
      <c r="AI44" s="822">
        <f t="shared" si="42"/>
        <v>0.11092516832921562</v>
      </c>
      <c r="AJ44" s="822">
        <f t="shared" si="42"/>
        <v>0.10765180214723991</v>
      </c>
      <c r="AK44" s="822">
        <f t="shared" si="42"/>
        <v>0.1096857739265098</v>
      </c>
      <c r="AL44" s="822">
        <f t="shared" si="42"/>
        <v>0.10904246156233688</v>
      </c>
      <c r="AM44" s="843">
        <f t="shared" si="42"/>
        <v>0.10562353030350158</v>
      </c>
      <c r="AN44" s="844">
        <f t="shared" si="42"/>
        <v>0.10818188746486523</v>
      </c>
      <c r="AO44" s="822">
        <f t="shared" si="42"/>
        <v>9.9371084004518107E-2</v>
      </c>
      <c r="AP44" s="822">
        <f t="shared" si="42"/>
        <v>0.1114435913737144</v>
      </c>
      <c r="AQ44" s="822">
        <f t="shared" si="42"/>
        <v>0.11247371030775444</v>
      </c>
      <c r="AR44" s="822">
        <f t="shared" si="42"/>
        <v>0.13003827539621993</v>
      </c>
      <c r="AS44" s="822">
        <f t="shared" si="42"/>
        <v>0.11794472984759441</v>
      </c>
      <c r="AT44" s="822">
        <f t="shared" si="42"/>
        <v>0.1028312508531195</v>
      </c>
      <c r="AU44" s="822">
        <f t="shared" si="42"/>
        <v>9.0015506579096627E-2</v>
      </c>
      <c r="AV44" s="822">
        <f t="shared" si="42"/>
        <v>7.6910733269354381E-2</v>
      </c>
      <c r="AW44" s="822">
        <f t="shared" si="42"/>
        <v>6.8664822522637836E-2</v>
      </c>
      <c r="AX44" s="822">
        <f t="shared" si="42"/>
        <v>6.1619996705121638E-2</v>
      </c>
      <c r="AY44" s="843">
        <f t="shared" si="42"/>
        <v>5.6146627256518755E-2</v>
      </c>
      <c r="AZ44" s="844">
        <f t="shared" si="42"/>
        <v>4.2458598024726069E-2</v>
      </c>
      <c r="BA44" s="822">
        <f t="shared" si="42"/>
        <v>4.8415824016478926E-2</v>
      </c>
      <c r="BB44" s="822">
        <f t="shared" si="42"/>
        <v>4.8963283282440706E-2</v>
      </c>
      <c r="BC44" s="822">
        <f t="shared" si="42"/>
        <v>4.8661842827113722E-2</v>
      </c>
      <c r="BD44" s="822">
        <f t="shared" si="42"/>
        <v>4.737818885815237E-2</v>
      </c>
      <c r="BE44" s="822">
        <f t="shared" si="42"/>
        <v>4.6979415517784728E-2</v>
      </c>
      <c r="BF44" s="822">
        <f t="shared" si="42"/>
        <v>4.6750583705248427E-2</v>
      </c>
      <c r="BG44" s="822">
        <f t="shared" si="42"/>
        <v>4.7102109698239802E-2</v>
      </c>
      <c r="BH44" s="822">
        <f t="shared" si="42"/>
        <v>4.6949159541944674E-2</v>
      </c>
      <c r="BI44" s="822">
        <f t="shared" si="42"/>
        <v>4.6639856136616809E-2</v>
      </c>
      <c r="BJ44" s="822">
        <f t="shared" si="42"/>
        <v>4.6291327208996647E-2</v>
      </c>
      <c r="BK44" s="822">
        <f t="shared" si="42"/>
        <v>4.6486192468871979E-2</v>
      </c>
      <c r="BL44" s="822">
        <f t="shared" si="42"/>
        <v>3.8522591884049717E-2</v>
      </c>
      <c r="BM44" s="822">
        <f t="shared" si="42"/>
        <v>3.608180120387261E-2</v>
      </c>
      <c r="BN44" s="822">
        <f t="shared" si="42"/>
        <v>3.773768586905546E-2</v>
      </c>
      <c r="BO44" s="822">
        <f t="shared" si="42"/>
        <v>3.8832152718270896E-2</v>
      </c>
      <c r="BP44" s="11"/>
      <c r="BQ44" s="822"/>
      <c r="BR44" s="822">
        <f t="shared" ref="BR44:BU44" si="43">BR41/BQ41-1</f>
        <v>0.3759583955449759</v>
      </c>
      <c r="BS44" s="822">
        <f t="shared" si="43"/>
        <v>0.11517451601888773</v>
      </c>
      <c r="BT44" s="822">
        <f t="shared" si="43"/>
        <v>9.3869434252009665E-2</v>
      </c>
      <c r="BU44" s="822">
        <f t="shared" si="43"/>
        <v>4.6919421607399592E-2</v>
      </c>
    </row>
    <row r="45" spans="1:73" ht="14.25" customHeight="1" x14ac:dyDescent="0.2">
      <c r="A45" s="3"/>
      <c r="B45" s="11"/>
      <c r="C45" s="11"/>
      <c r="D45" s="75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25">
        <f t="shared" ref="BQ45:BU45" si="44">BQ40/BQ14-1</f>
        <v>-5.2243716027205345E-2</v>
      </c>
      <c r="BR45" s="25">
        <f t="shared" si="44"/>
        <v>-2.4427445597359654E-2</v>
      </c>
      <c r="BS45" s="25">
        <f t="shared" si="44"/>
        <v>2.2188443671100622E-3</v>
      </c>
      <c r="BT45" s="25">
        <f t="shared" si="44"/>
        <v>3.5749333580090248E-2</v>
      </c>
      <c r="BU45" s="25">
        <f t="shared" si="44"/>
        <v>4.4296594454069416E-2</v>
      </c>
    </row>
    <row r="46" spans="1:73" ht="14.25" customHeight="1" x14ac:dyDescent="0.2">
      <c r="A46" s="3"/>
      <c r="B46" s="11"/>
      <c r="C46" s="11" t="s">
        <v>729</v>
      </c>
      <c r="D46" s="25" t="e">
        <f t="shared" ref="D46:BO46" si="45">D28/D40-1</f>
        <v>#DIV/0!</v>
      </c>
      <c r="E46" s="25" t="e">
        <f t="shared" si="45"/>
        <v>#DIV/0!</v>
      </c>
      <c r="F46" s="25">
        <f t="shared" si="45"/>
        <v>-4.8015178176236128E-3</v>
      </c>
      <c r="G46" s="25">
        <f t="shared" si="45"/>
        <v>-1.3303906166564072E-2</v>
      </c>
      <c r="H46" s="25">
        <f t="shared" si="45"/>
        <v>-2.000738513261513E-2</v>
      </c>
      <c r="I46" s="25">
        <f t="shared" si="45"/>
        <v>-1.9547396335008793E-2</v>
      </c>
      <c r="J46" s="25">
        <f t="shared" si="45"/>
        <v>-5.84075362414882E-3</v>
      </c>
      <c r="K46" s="25">
        <f t="shared" si="45"/>
        <v>1.2039978616146696E-2</v>
      </c>
      <c r="L46" s="25">
        <f t="shared" si="45"/>
        <v>1.1006865770640806E-2</v>
      </c>
      <c r="M46" s="25">
        <f t="shared" si="45"/>
        <v>1.1368940615786194E-2</v>
      </c>
      <c r="N46" s="25">
        <f t="shared" si="45"/>
        <v>1.3219278804044832E-2</v>
      </c>
      <c r="O46" s="25">
        <f t="shared" si="45"/>
        <v>8.5398552547040207E-3</v>
      </c>
      <c r="P46" s="25">
        <f t="shared" si="45"/>
        <v>4.3497531659340005E-3</v>
      </c>
      <c r="Q46" s="25">
        <f t="shared" si="45"/>
        <v>-1.3352474010673854E-3</v>
      </c>
      <c r="R46" s="25">
        <f t="shared" si="45"/>
        <v>-3.3878095057320312E-3</v>
      </c>
      <c r="S46" s="25">
        <f t="shared" si="45"/>
        <v>-1.1683388476180778E-2</v>
      </c>
      <c r="T46" s="25">
        <f t="shared" si="45"/>
        <v>-1.5777651981729535E-2</v>
      </c>
      <c r="U46" s="25">
        <f t="shared" si="45"/>
        <v>-1.3916067439753599E-2</v>
      </c>
      <c r="V46" s="25">
        <f t="shared" si="45"/>
        <v>-7.2286644409903511E-3</v>
      </c>
      <c r="W46" s="25">
        <f t="shared" si="45"/>
        <v>4.2045899249054663E-3</v>
      </c>
      <c r="X46" s="25">
        <f t="shared" si="45"/>
        <v>3.4743438180964148E-3</v>
      </c>
      <c r="Y46" s="25">
        <f t="shared" si="45"/>
        <v>3.786729892467422E-3</v>
      </c>
      <c r="Z46" s="25">
        <f t="shared" si="45"/>
        <v>4.9037486785226125E-3</v>
      </c>
      <c r="AA46" s="25">
        <f t="shared" si="45"/>
        <v>1.0953152714421321E-3</v>
      </c>
      <c r="AB46" s="25">
        <f t="shared" si="45"/>
        <v>-2.7440303620633877E-3</v>
      </c>
      <c r="AC46" s="25">
        <f t="shared" si="45"/>
        <v>-7.8129297113468388E-3</v>
      </c>
      <c r="AD46" s="25">
        <f t="shared" si="45"/>
        <v>-9.9480220863280566E-3</v>
      </c>
      <c r="AE46" s="25">
        <f t="shared" si="45"/>
        <v>-1.5991768620370217E-2</v>
      </c>
      <c r="AF46" s="25">
        <f t="shared" si="45"/>
        <v>-1.830117144824428E-2</v>
      </c>
      <c r="AG46" s="25">
        <f t="shared" si="45"/>
        <v>-1.575232126699877E-2</v>
      </c>
      <c r="AH46" s="25">
        <f t="shared" si="45"/>
        <v>-9.5838517167053938E-3</v>
      </c>
      <c r="AI46" s="25">
        <f t="shared" si="45"/>
        <v>-1.1249268969685255E-3</v>
      </c>
      <c r="AJ46" s="25">
        <f t="shared" si="45"/>
        <v>-2.4857038853298707E-3</v>
      </c>
      <c r="AK46" s="25">
        <f t="shared" si="45"/>
        <v>-2.5367324581331285E-3</v>
      </c>
      <c r="AL46" s="25">
        <f t="shared" si="45"/>
        <v>-2.1286270244849081E-3</v>
      </c>
      <c r="AM46" s="25">
        <f t="shared" si="45"/>
        <v>-7.428636859593718E-3</v>
      </c>
      <c r="AN46" s="25">
        <f t="shared" si="45"/>
        <v>-1.3647043569782857E-2</v>
      </c>
      <c r="AO46" s="25">
        <f t="shared" si="45"/>
        <v>-1.6681937687642479E-2</v>
      </c>
      <c r="AP46" s="25">
        <f t="shared" si="45"/>
        <v>-2.0507456337057306E-2</v>
      </c>
      <c r="AQ46" s="25">
        <f t="shared" si="45"/>
        <v>-2.6872259372701768E-2</v>
      </c>
      <c r="AR46" s="25">
        <f t="shared" si="45"/>
        <v>-2.6761949256511874E-2</v>
      </c>
      <c r="AS46" s="25">
        <f t="shared" si="45"/>
        <v>-2.3600683940394718E-2</v>
      </c>
      <c r="AT46" s="25">
        <f t="shared" si="45"/>
        <v>-1.9320263820634009E-2</v>
      </c>
      <c r="AU46" s="25">
        <f t="shared" si="45"/>
        <v>-1.5494631252534252E-2</v>
      </c>
      <c r="AV46" s="25">
        <f t="shared" si="45"/>
        <v>-1.6098860573250384E-2</v>
      </c>
      <c r="AW46" s="25">
        <f t="shared" si="45"/>
        <v>-1.54195667740743E-2</v>
      </c>
      <c r="AX46" s="25">
        <f t="shared" si="45"/>
        <v>-1.4609857625568101E-2</v>
      </c>
      <c r="AY46" s="25">
        <f t="shared" si="45"/>
        <v>-2.0074429133763005E-2</v>
      </c>
      <c r="AZ46" s="25">
        <f t="shared" si="45"/>
        <v>-1.8555536652335003E-2</v>
      </c>
      <c r="BA46" s="25">
        <f t="shared" si="45"/>
        <v>-2.2943695278381582E-2</v>
      </c>
      <c r="BB46" s="25">
        <f t="shared" si="45"/>
        <v>-2.7738754445701841E-2</v>
      </c>
      <c r="BC46" s="25">
        <f t="shared" si="45"/>
        <v>-3.5905493622708673E-2</v>
      </c>
      <c r="BD46" s="25">
        <f t="shared" si="45"/>
        <v>-3.3610573194319593E-2</v>
      </c>
      <c r="BE46" s="25">
        <f t="shared" si="45"/>
        <v>-2.9429376299790477E-2</v>
      </c>
      <c r="BF46" s="25">
        <f t="shared" si="45"/>
        <v>-2.4559694421442679E-2</v>
      </c>
      <c r="BG46" s="25">
        <f t="shared" si="45"/>
        <v>-2.0804554210812065E-2</v>
      </c>
      <c r="BH46" s="25">
        <f t="shared" si="45"/>
        <v>-2.1222091972968982E-2</v>
      </c>
      <c r="BI46" s="25">
        <f t="shared" si="45"/>
        <v>-2.1137210825008412E-2</v>
      </c>
      <c r="BJ46" s="25">
        <f t="shared" si="45"/>
        <v>-2.02549461953343E-2</v>
      </c>
      <c r="BK46" s="25">
        <f t="shared" si="45"/>
        <v>-2.6499032372059195E-2</v>
      </c>
      <c r="BL46" s="25">
        <f t="shared" si="45"/>
        <v>-2.6282289586124108E-2</v>
      </c>
      <c r="BM46" s="25">
        <f t="shared" si="45"/>
        <v>-2.7636954748221143E-2</v>
      </c>
      <c r="BN46" s="25">
        <f t="shared" si="45"/>
        <v>-2.2212033382731589E-2</v>
      </c>
      <c r="BO46" s="25">
        <f t="shared" si="45"/>
        <v>-2.1074410652814346E-2</v>
      </c>
      <c r="BP46" s="11"/>
      <c r="BQ46" s="11"/>
      <c r="BR46" s="11"/>
      <c r="BS46" s="11"/>
      <c r="BT46" s="11"/>
      <c r="BU46" s="11"/>
    </row>
    <row r="47" spans="1:73" ht="14.25" customHeight="1" x14ac:dyDescent="0.2">
      <c r="A47" s="3"/>
      <c r="B47" s="11"/>
      <c r="C47" s="11" t="s">
        <v>730</v>
      </c>
      <c r="D47" s="25" t="e">
        <f t="shared" ref="D47:BO47" si="46">D23/D28-1</f>
        <v>#DIV/0!</v>
      </c>
      <c r="E47" s="25" t="e">
        <f t="shared" si="46"/>
        <v>#DIV/0!</v>
      </c>
      <c r="F47" s="25">
        <f t="shared" si="46"/>
        <v>1.3333333333334307E-2</v>
      </c>
      <c r="G47" s="25">
        <f t="shared" si="46"/>
        <v>4.80588369161008E-2</v>
      </c>
      <c r="H47" s="25">
        <f t="shared" si="46"/>
        <v>7.1015530468777177E-2</v>
      </c>
      <c r="I47" s="25">
        <f t="shared" si="46"/>
        <v>6.767985918262287E-2</v>
      </c>
      <c r="J47" s="25">
        <f t="shared" si="46"/>
        <v>3.9399279483631977E-2</v>
      </c>
      <c r="K47" s="25">
        <f t="shared" si="46"/>
        <v>-3.8560613579800784E-2</v>
      </c>
      <c r="L47" s="25">
        <f t="shared" si="46"/>
        <v>-5.3725260598500357E-2</v>
      </c>
      <c r="M47" s="25">
        <f t="shared" si="46"/>
        <v>-6.7245690866012287E-2</v>
      </c>
      <c r="N47" s="25">
        <f t="shared" si="46"/>
        <v>-7.8231853454994504E-2</v>
      </c>
      <c r="O47" s="25">
        <f t="shared" si="46"/>
        <v>-7.6626023228112738E-2</v>
      </c>
      <c r="P47" s="25">
        <f t="shared" si="46"/>
        <v>-6.8999044925806219E-2</v>
      </c>
      <c r="Q47" s="25">
        <f t="shared" si="46"/>
        <v>-6.0304652041236473E-2</v>
      </c>
      <c r="R47" s="25">
        <f t="shared" si="46"/>
        <v>-4.5916977737739506E-2</v>
      </c>
      <c r="S47" s="25">
        <f t="shared" si="46"/>
        <v>-1.8989720176413316E-3</v>
      </c>
      <c r="T47" s="25">
        <f t="shared" si="46"/>
        <v>3.4727998108113001E-2</v>
      </c>
      <c r="U47" s="25">
        <f t="shared" si="46"/>
        <v>4.6021100092720868E-2</v>
      </c>
      <c r="V47" s="25">
        <f t="shared" si="46"/>
        <v>3.1377268781310086E-2</v>
      </c>
      <c r="W47" s="25">
        <f t="shared" si="46"/>
        <v>-4.0837544768104639E-2</v>
      </c>
      <c r="X47" s="25">
        <f t="shared" si="46"/>
        <v>-5.7604632491293994E-2</v>
      </c>
      <c r="Y47" s="25">
        <f t="shared" si="46"/>
        <v>-7.1725875063033517E-2</v>
      </c>
      <c r="Z47" s="25">
        <f t="shared" si="46"/>
        <v>-8.33609893184597E-2</v>
      </c>
      <c r="AA47" s="25">
        <f t="shared" si="46"/>
        <v>-8.3601438156679864E-2</v>
      </c>
      <c r="AB47" s="25">
        <f t="shared" si="46"/>
        <v>-7.880804423195209E-2</v>
      </c>
      <c r="AC47" s="25">
        <f t="shared" si="46"/>
        <v>-7.2882102011549876E-2</v>
      </c>
      <c r="AD47" s="25">
        <f t="shared" si="46"/>
        <v>-6.0461740766150851E-2</v>
      </c>
      <c r="AE47" s="25">
        <f t="shared" si="46"/>
        <v>-1.9085387494923833E-2</v>
      </c>
      <c r="AF47" s="25">
        <f t="shared" si="46"/>
        <v>1.7455393579523859E-2</v>
      </c>
      <c r="AG47" s="25">
        <f t="shared" si="46"/>
        <v>2.9046479907195888E-2</v>
      </c>
      <c r="AH47" s="25">
        <f t="shared" si="46"/>
        <v>1.0796950050305787E-2</v>
      </c>
      <c r="AI47" s="25">
        <f t="shared" si="46"/>
        <v>-6.2054186920557197E-2</v>
      </c>
      <c r="AJ47" s="25">
        <f t="shared" si="46"/>
        <v>-8.2423620417487409E-2</v>
      </c>
      <c r="AK47" s="25">
        <f t="shared" si="46"/>
        <v>-0.10012264659830949</v>
      </c>
      <c r="AL47" s="25">
        <f t="shared" si="46"/>
        <v>-0.11483480653645861</v>
      </c>
      <c r="AM47" s="25">
        <f t="shared" si="46"/>
        <v>-0.11692593139849561</v>
      </c>
      <c r="AN47" s="25">
        <f t="shared" si="46"/>
        <v>-0.10726555291599227</v>
      </c>
      <c r="AO47" s="25">
        <f t="shared" si="46"/>
        <v>-0.10407430683211372</v>
      </c>
      <c r="AP47" s="25">
        <f t="shared" si="46"/>
        <v>-9.2252287693431523E-2</v>
      </c>
      <c r="AQ47" s="25">
        <f t="shared" si="46"/>
        <v>-5.3341910353069344E-2</v>
      </c>
      <c r="AR47" s="25">
        <f t="shared" si="46"/>
        <v>-2.4026858830125009E-2</v>
      </c>
      <c r="AS47" s="25">
        <f t="shared" si="46"/>
        <v>-9.2574630679157499E-3</v>
      </c>
      <c r="AT47" s="25">
        <f t="shared" si="46"/>
        <v>-1.6539440033748853E-2</v>
      </c>
      <c r="AU47" s="25">
        <f t="shared" si="46"/>
        <v>-7.5258750721419077E-2</v>
      </c>
      <c r="AV47" s="25">
        <f t="shared" si="46"/>
        <v>-9.014681640760569E-2</v>
      </c>
      <c r="AW47" s="25">
        <f t="shared" si="46"/>
        <v>-0.10211836953208209</v>
      </c>
      <c r="AX47" s="25">
        <f t="shared" si="46"/>
        <v>-0.11176682127173898</v>
      </c>
      <c r="AY47" s="25">
        <f t="shared" si="46"/>
        <v>-0.10947021123957668</v>
      </c>
      <c r="AZ47" s="25">
        <f t="shared" si="46"/>
        <v>-0.11023184541385134</v>
      </c>
      <c r="BA47" s="25">
        <f t="shared" si="46"/>
        <v>-0.10579878458993652</v>
      </c>
      <c r="BB47" s="25">
        <f t="shared" si="46"/>
        <v>-9.3142161564235493E-2</v>
      </c>
      <c r="BC47" s="25">
        <f t="shared" si="46"/>
        <v>-5.2349852143169673E-2</v>
      </c>
      <c r="BD47" s="25">
        <f t="shared" si="46"/>
        <v>-2.4862310099642237E-2</v>
      </c>
      <c r="BE47" s="25">
        <f t="shared" si="46"/>
        <v>-1.1475675673987218E-2</v>
      </c>
      <c r="BF47" s="25">
        <f t="shared" si="46"/>
        <v>-1.944191649396021E-2</v>
      </c>
      <c r="BG47" s="25">
        <f t="shared" si="46"/>
        <v>-7.8150504809886612E-2</v>
      </c>
      <c r="BH47" s="25">
        <f t="shared" si="46"/>
        <v>-9.3093580486209193E-2</v>
      </c>
      <c r="BI47" s="25">
        <f t="shared" si="46"/>
        <v>-0.10423229646184584</v>
      </c>
      <c r="BJ47" s="25">
        <f t="shared" si="46"/>
        <v>-0.11372550083688104</v>
      </c>
      <c r="BK47" s="25">
        <f t="shared" si="46"/>
        <v>-0.11049966767260333</v>
      </c>
      <c r="BL47" s="25">
        <f t="shared" si="46"/>
        <v>-0.10331855706509141</v>
      </c>
      <c r="BM47" s="25">
        <f t="shared" si="46"/>
        <v>-0.10015201569364662</v>
      </c>
      <c r="BN47" s="25">
        <f t="shared" si="46"/>
        <v>-9.6132505636399301E-2</v>
      </c>
      <c r="BO47" s="25">
        <f t="shared" si="46"/>
        <v>-6.3677661105504546E-2</v>
      </c>
      <c r="BP47" s="11"/>
      <c r="BQ47" s="25" t="e">
        <f t="shared" ref="BQ47:BU47" si="47">BQ23/BQ28-1</f>
        <v>#DIV/0!</v>
      </c>
      <c r="BR47" s="25">
        <f t="shared" si="47"/>
        <v>-3.3980361507290557E-2</v>
      </c>
      <c r="BS47" s="25">
        <f t="shared" si="47"/>
        <v>-5.4560139063221214E-2</v>
      </c>
      <c r="BT47" s="25">
        <f t="shared" si="47"/>
        <v>-7.4794913908813543E-2</v>
      </c>
      <c r="BU47" s="25">
        <f t="shared" si="47"/>
        <v>-7.6601265411058272E-2</v>
      </c>
    </row>
    <row r="48" spans="1:73" ht="14.25" customHeight="1" x14ac:dyDescent="0.2">
      <c r="A48" s="3"/>
      <c r="B48" s="11"/>
      <c r="C48" s="11" t="s">
        <v>731</v>
      </c>
      <c r="D48" s="25">
        <f t="shared" ref="D48:BO48" si="48">D23/D40-1</f>
        <v>0</v>
      </c>
      <c r="E48" s="25">
        <f t="shared" si="48"/>
        <v>1.6740077674592957E-3</v>
      </c>
      <c r="F48" s="25">
        <f t="shared" si="48"/>
        <v>8.4677952781424537E-3</v>
      </c>
      <c r="G48" s="25">
        <f t="shared" si="48"/>
        <v>3.411556049273079E-2</v>
      </c>
      <c r="H48" s="25">
        <f t="shared" si="48"/>
        <v>4.9587310267676488E-2</v>
      </c>
      <c r="I48" s="25">
        <f t="shared" si="48"/>
        <v>4.6809497816273637E-2</v>
      </c>
      <c r="J48" s="25">
        <f t="shared" si="48"/>
        <v>3.3328404375050358E-2</v>
      </c>
      <c r="K48" s="25">
        <f t="shared" si="48"/>
        <v>-2.6984903926580484E-2</v>
      </c>
      <c r="L48" s="25">
        <f t="shared" si="48"/>
        <v>-4.3309741559759862E-2</v>
      </c>
      <c r="M48" s="25">
        <f t="shared" si="48"/>
        <v>-5.6641262516349267E-2</v>
      </c>
      <c r="N48" s="25">
        <f t="shared" si="48"/>
        <v>-6.6046743333128322E-2</v>
      </c>
      <c r="O48" s="25">
        <f t="shared" si="48"/>
        <v>-6.8740543120520359E-2</v>
      </c>
      <c r="P48" s="25">
        <f t="shared" si="48"/>
        <v>-6.4949420573984562E-2</v>
      </c>
      <c r="Q48" s="25">
        <f t="shared" si="48"/>
        <v>-6.1559377812393623E-2</v>
      </c>
      <c r="R48" s="25">
        <f t="shared" si="48"/>
        <v>-4.914922926981713E-2</v>
      </c>
      <c r="S48" s="25">
        <f t="shared" si="48"/>
        <v>-1.3560174066034603E-2</v>
      </c>
      <c r="T48" s="25">
        <f t="shared" si="48"/>
        <v>1.8402419858211561E-2</v>
      </c>
      <c r="U48" s="25">
        <f t="shared" si="48"/>
        <v>3.1464599920425274E-2</v>
      </c>
      <c r="V48" s="25">
        <f t="shared" si="48"/>
        <v>2.3921788593225024E-2</v>
      </c>
      <c r="W48" s="25">
        <f t="shared" si="48"/>
        <v>-3.6804659972489051E-2</v>
      </c>
      <c r="X48" s="25">
        <f t="shared" si="48"/>
        <v>-5.4330426971987422E-2</v>
      </c>
      <c r="Y48" s="25">
        <f t="shared" si="48"/>
        <v>-6.8210751685730653E-2</v>
      </c>
      <c r="Z48" s="25">
        <f t="shared" si="48"/>
        <v>-7.8866021981147894E-2</v>
      </c>
      <c r="AA48" s="25">
        <f t="shared" si="48"/>
        <v>-8.2597692817165225E-2</v>
      </c>
      <c r="AB48" s="25">
        <f t="shared" si="48"/>
        <v>-8.1335822927868118E-2</v>
      </c>
      <c r="AC48" s="25">
        <f t="shared" si="48"/>
        <v>-8.0125608982665186E-2</v>
      </c>
      <c r="AD48" s="25">
        <f t="shared" si="48"/>
        <v>-6.9808288119959427E-2</v>
      </c>
      <c r="AE48" s="25">
        <f t="shared" si="48"/>
        <v>-3.4771947014445193E-2</v>
      </c>
      <c r="AF48" s="25">
        <f t="shared" si="48"/>
        <v>-1.1652320193158427E-3</v>
      </c>
      <c r="AG48" s="25">
        <f t="shared" si="48"/>
        <v>1.283660915702356E-2</v>
      </c>
      <c r="AH48" s="25">
        <f t="shared" si="48"/>
        <v>1.1096219653257133E-3</v>
      </c>
      <c r="AI48" s="25">
        <f t="shared" si="48"/>
        <v>-6.310930739358922E-2</v>
      </c>
      <c r="AJ48" s="25">
        <f t="shared" si="48"/>
        <v>-8.4704443589302625E-2</v>
      </c>
      <c r="AK48" s="25">
        <f t="shared" si="48"/>
        <v>-0.10240539468902243</v>
      </c>
      <c r="AL48" s="25">
        <f t="shared" si="48"/>
        <v>-0.1167189930883985</v>
      </c>
      <c r="AM48" s="25">
        <f t="shared" si="48"/>
        <v>-0.12348596797426015</v>
      </c>
      <c r="AN48" s="25">
        <f t="shared" si="48"/>
        <v>-0.11944873881159368</v>
      </c>
      <c r="AO48" s="25">
        <f t="shared" si="48"/>
        <v>-0.11902008341829828</v>
      </c>
      <c r="AP48" s="25">
        <f t="shared" si="48"/>
        <v>-0.11086788426862215</v>
      </c>
      <c r="AQ48" s="25">
        <f t="shared" si="48"/>
        <v>-7.8780752075327976E-2</v>
      </c>
      <c r="AR48" s="25">
        <f t="shared" si="48"/>
        <v>-5.0145802509831694E-2</v>
      </c>
      <c r="AS48" s="25">
        <f t="shared" si="48"/>
        <v>-3.2639664548354652E-2</v>
      </c>
      <c r="AT48" s="25">
        <f t="shared" si="48"/>
        <v>-3.5540157509485248E-2</v>
      </c>
      <c r="AU48" s="25">
        <f t="shared" si="48"/>
        <v>-8.9587275382998488E-2</v>
      </c>
      <c r="AV48" s="25">
        <f t="shared" si="48"/>
        <v>-0.10479441595238759</v>
      </c>
      <c r="AW48" s="25">
        <f t="shared" si="48"/>
        <v>-0.11596331528829684</v>
      </c>
      <c r="AX48" s="25">
        <f t="shared" si="48"/>
        <v>-0.12474378155126464</v>
      </c>
      <c r="AY48" s="25">
        <f t="shared" si="48"/>
        <v>-0.12734708837555275</v>
      </c>
      <c r="AZ48" s="25">
        <f t="shared" si="48"/>
        <v>-0.12674197101835505</v>
      </c>
      <c r="BA48" s="25">
        <f t="shared" si="48"/>
        <v>-0.12631506479386345</v>
      </c>
      <c r="BB48" s="25">
        <f t="shared" si="48"/>
        <v>-0.11829726846176503</v>
      </c>
      <c r="BC48" s="25">
        <f t="shared" si="48"/>
        <v>-8.6375698483601937E-2</v>
      </c>
      <c r="BD48" s="25">
        <f t="shared" si="48"/>
        <v>-5.7637246800577913E-2</v>
      </c>
      <c r="BE48" s="25">
        <f t="shared" si="48"/>
        <v>-4.0567329996073598E-2</v>
      </c>
      <c r="BF48" s="25">
        <f t="shared" si="48"/>
        <v>-4.3524123387344127E-2</v>
      </c>
      <c r="BG48" s="25">
        <f t="shared" si="48"/>
        <v>-9.7329172606779091E-2</v>
      </c>
      <c r="BH48" s="25">
        <f t="shared" si="48"/>
        <v>-0.11234003193200692</v>
      </c>
      <c r="BI48" s="25">
        <f t="shared" si="48"/>
        <v>-0.12316632726176546</v>
      </c>
      <c r="BJ48" s="25">
        <f t="shared" si="48"/>
        <v>-0.13167694313172684</v>
      </c>
      <c r="BK48" s="25">
        <f t="shared" si="48"/>
        <v>-0.13407056577390453</v>
      </c>
      <c r="BL48" s="25">
        <f t="shared" si="48"/>
        <v>-0.12688539841481028</v>
      </c>
      <c r="BM48" s="25">
        <f t="shared" si="48"/>
        <v>-0.1250210737161993</v>
      </c>
      <c r="BN48" s="25">
        <f t="shared" si="48"/>
        <v>-0.11620924059476956</v>
      </c>
      <c r="BO48" s="25">
        <f t="shared" si="48"/>
        <v>-8.3410102578770795E-2</v>
      </c>
      <c r="BP48" s="11"/>
      <c r="BQ48" s="25">
        <f t="shared" ref="BQ48:BU48" si="49">BQ23/BQ40-1</f>
        <v>-8.1838380857595094E-3</v>
      </c>
      <c r="BR48" s="25">
        <f t="shared" si="49"/>
        <v>-3.6463258670106802E-2</v>
      </c>
      <c r="BS48" s="25">
        <f t="shared" si="49"/>
        <v>-6.2081096076776143E-2</v>
      </c>
      <c r="BT48" s="25">
        <f t="shared" si="49"/>
        <v>-9.2444504163117336E-2</v>
      </c>
      <c r="BU48" s="25">
        <f t="shared" si="49"/>
        <v>-9.987257931123783E-2</v>
      </c>
    </row>
    <row r="49" spans="1:73" ht="14.25" customHeight="1" x14ac:dyDescent="0.2">
      <c r="A49" s="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</row>
    <row r="50" spans="1:73" ht="14.25" customHeight="1" x14ac:dyDescent="0.2">
      <c r="A50" s="11"/>
      <c r="B50" s="11"/>
      <c r="C50" s="11"/>
      <c r="D50" s="71">
        <f>Projection!J34</f>
        <v>18.175812993534755</v>
      </c>
      <c r="E50" s="71">
        <f>Projection!K34</f>
        <v>18.205922181700618</v>
      </c>
      <c r="F50" s="71">
        <f>Projection!L34</f>
        <v>18.324383892603841</v>
      </c>
      <c r="G50" s="71">
        <f>Projection!M34</f>
        <v>18.644271786405977</v>
      </c>
      <c r="H50" s="71">
        <f>Projection!N34</f>
        <v>19.165449511653879</v>
      </c>
      <c r="I50" s="71">
        <f>Projection!O34</f>
        <v>19.760768955489748</v>
      </c>
      <c r="J50" s="71">
        <f>Projection!P34</f>
        <v>20.085302092062847</v>
      </c>
      <c r="K50" s="71">
        <f>Projection!Q34</f>
        <v>20.121591975980181</v>
      </c>
      <c r="L50" s="71">
        <f>Projection!R34</f>
        <v>20.123861790494857</v>
      </c>
      <c r="M50" s="71">
        <f>Projection!S34</f>
        <v>20.170155408378825</v>
      </c>
      <c r="N50" s="71">
        <f>Projection!T34</f>
        <v>20.155966216600028</v>
      </c>
      <c r="O50" s="71">
        <f>Projection!U34</f>
        <v>20.160365481173752</v>
      </c>
      <c r="P50" s="71">
        <f>Projection!V34</f>
        <v>20.145554896165311</v>
      </c>
      <c r="Q50" s="71">
        <f>Projection!W34</f>
        <v>20.139689936256875</v>
      </c>
      <c r="R50" s="71">
        <f>Projection!X34</f>
        <v>20.141858694046267</v>
      </c>
      <c r="S50" s="71">
        <f>Projection!Y34</f>
        <v>20.256499266600056</v>
      </c>
      <c r="T50" s="71">
        <f>Projection!Z34</f>
        <v>20.470980790289161</v>
      </c>
      <c r="U50" s="71">
        <f>Projection!AA34</f>
        <v>20.784408021316061</v>
      </c>
      <c r="V50" s="71">
        <f>Projection!AB34</f>
        <v>21.007309947168761</v>
      </c>
      <c r="W50" s="71">
        <f>Projection!AC34</f>
        <v>21.06628890683962</v>
      </c>
      <c r="X50" s="71">
        <f>Projection!AD34</f>
        <v>21.099091431136813</v>
      </c>
      <c r="Y50" s="71">
        <f>Projection!AE34</f>
        <v>21.163569463960876</v>
      </c>
      <c r="Z50" s="71">
        <f>Projection!AF34</f>
        <v>21.180024215317722</v>
      </c>
      <c r="AA50" s="71">
        <f>Projection!AG34</f>
        <v>21.209467319939307</v>
      </c>
      <c r="AB50" s="71">
        <f>Projection!AH34</f>
        <v>21.250935276293568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</row>
    <row r="51" spans="1:73" ht="14.25" customHeight="1" x14ac:dyDescent="0.2">
      <c r="A51" s="11"/>
      <c r="B51" s="11"/>
      <c r="C51" s="11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</row>
    <row r="52" spans="1:73" ht="14.25" customHeight="1" x14ac:dyDescent="0.2">
      <c r="A52" s="11"/>
      <c r="B52" s="11"/>
      <c r="C52" s="11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</row>
    <row r="53" spans="1:73" ht="14.25" customHeight="1" x14ac:dyDescent="0.2">
      <c r="A53" s="11"/>
      <c r="B53" s="11"/>
      <c r="C53" s="11"/>
      <c r="D53" s="29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spans="1:73" ht="14.25" customHeight="1" x14ac:dyDescent="0.2">
      <c r="A54" s="3"/>
      <c r="B54" s="11"/>
      <c r="C54" s="5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</row>
    <row r="55" spans="1:73" ht="14.25" customHeight="1" x14ac:dyDescent="0.2">
      <c r="A55" s="3"/>
      <c r="B55" s="11"/>
      <c r="C55" s="11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11"/>
      <c r="BQ55" s="11"/>
      <c r="BR55" s="11"/>
      <c r="BS55" s="11"/>
      <c r="BT55" s="11"/>
      <c r="BU55" s="11"/>
    </row>
    <row r="56" spans="1:73" ht="14.25" customHeight="1" x14ac:dyDescent="0.2">
      <c r="A56" s="3"/>
      <c r="B56" s="11"/>
      <c r="C56" s="11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11"/>
      <c r="BQ56" s="11"/>
      <c r="BR56" s="11"/>
      <c r="BS56" s="11"/>
      <c r="BT56" s="11"/>
      <c r="BU56" s="11"/>
    </row>
    <row r="57" spans="1:73" ht="14.25" customHeight="1" x14ac:dyDescent="0.2">
      <c r="A57" s="3"/>
      <c r="B57" s="11"/>
      <c r="C57" s="11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</row>
    <row r="58" spans="1:73" ht="14.25" customHeight="1" x14ac:dyDescent="0.2">
      <c r="A58" s="3"/>
      <c r="B58" s="11"/>
      <c r="C58" s="57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spans="1:73" ht="14.25" customHeight="1" x14ac:dyDescent="0.2">
      <c r="A59" s="3"/>
      <c r="B59" s="11"/>
      <c r="C59" s="1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11"/>
      <c r="BQ59" s="11"/>
      <c r="BR59" s="11"/>
      <c r="BS59" s="11"/>
      <c r="BT59" s="11"/>
      <c r="BU59" s="11"/>
    </row>
    <row r="60" spans="1:73" ht="14.25" customHeight="1" x14ac:dyDescent="0.2">
      <c r="A60" s="3"/>
      <c r="B60" s="11"/>
      <c r="C60" s="11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11"/>
      <c r="BQ60" s="11"/>
      <c r="BR60" s="11"/>
      <c r="BS60" s="11"/>
      <c r="BT60" s="11"/>
      <c r="BU60" s="11"/>
    </row>
    <row r="61" spans="1:73" ht="14.25" customHeight="1" x14ac:dyDescent="0.2">
      <c r="A61" s="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</row>
    <row r="62" spans="1:73" ht="14.25" customHeight="1" x14ac:dyDescent="0.2">
      <c r="A62" s="3"/>
      <c r="B62" s="11"/>
      <c r="C62" s="11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</row>
    <row r="63" spans="1:73" ht="14.25" customHeight="1" x14ac:dyDescent="0.2">
      <c r="A63" s="3"/>
      <c r="B63" s="11"/>
      <c r="C63" s="11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</row>
    <row r="64" spans="1:73" ht="14.25" customHeight="1" x14ac:dyDescent="0.2">
      <c r="A64" s="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29"/>
      <c r="BL64" s="29"/>
      <c r="BM64" s="29"/>
      <c r="BN64" s="29"/>
      <c r="BO64" s="29"/>
      <c r="BP64" s="11"/>
      <c r="BQ64" s="11"/>
      <c r="BR64" s="11"/>
      <c r="BS64" s="11"/>
      <c r="BT64" s="11"/>
      <c r="BU64" s="11"/>
    </row>
    <row r="65" spans="1:73" ht="14.25" customHeight="1" x14ac:dyDescent="0.2">
      <c r="A65" s="3"/>
      <c r="B65" s="11"/>
      <c r="C65" s="11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11"/>
      <c r="BQ65" s="11"/>
      <c r="BR65" s="11"/>
      <c r="BS65" s="11"/>
      <c r="BT65" s="11"/>
      <c r="BU65" s="11"/>
    </row>
    <row r="66" spans="1:73" ht="14.25" customHeight="1" x14ac:dyDescent="0.2">
      <c r="A66" s="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>
        <v>1.1471701119243489</v>
      </c>
      <c r="BS66" s="11">
        <v>0.30724181254280691</v>
      </c>
      <c r="BT66" s="11">
        <v>0.166608397652656</v>
      </c>
      <c r="BU66" s="11">
        <v>0.12163510547140555</v>
      </c>
    </row>
    <row r="67" spans="1:73" ht="14.25" customHeight="1" x14ac:dyDescent="0.2">
      <c r="A67" s="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</row>
    <row r="68" spans="1:73" ht="14.25" customHeight="1" x14ac:dyDescent="0.2">
      <c r="A68" s="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spans="1:73" ht="14.25" customHeight="1" x14ac:dyDescent="0.2">
      <c r="A69" s="3"/>
      <c r="B69" s="11"/>
      <c r="C69" s="11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11"/>
      <c r="BQ69" s="11"/>
      <c r="BR69" s="11"/>
      <c r="BS69" s="11"/>
      <c r="BT69" s="11"/>
      <c r="BU69" s="11"/>
    </row>
    <row r="70" spans="1:73" ht="14.25" customHeight="1" x14ac:dyDescent="0.2">
      <c r="A70" s="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</row>
    <row r="71" spans="1:73" ht="14.25" customHeight="1" x14ac:dyDescent="0.2">
      <c r="A71" s="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</row>
    <row r="72" spans="1:73" ht="14.25" customHeight="1" x14ac:dyDescent="0.2">
      <c r="A72" s="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</row>
    <row r="73" spans="1:73" ht="14.25" customHeight="1" x14ac:dyDescent="0.2">
      <c r="A73" s="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</row>
    <row r="74" spans="1:73" ht="14.25" customHeight="1" x14ac:dyDescent="0.2">
      <c r="A74" s="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</row>
    <row r="75" spans="1:73" ht="14.25" customHeight="1" x14ac:dyDescent="0.2">
      <c r="A75" s="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</row>
    <row r="76" spans="1:73" ht="14.25" customHeight="1" x14ac:dyDescent="0.2">
      <c r="A76" s="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</row>
    <row r="77" spans="1:73" ht="14.25" customHeight="1" x14ac:dyDescent="0.2">
      <c r="A77" s="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</row>
    <row r="78" spans="1:73" ht="14.25" customHeight="1" x14ac:dyDescent="0.2">
      <c r="A78" s="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</row>
    <row r="79" spans="1:73" ht="14.25" customHeight="1" x14ac:dyDescent="0.2">
      <c r="A79" s="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</row>
    <row r="80" spans="1:73" ht="14.25" customHeight="1" x14ac:dyDescent="0.2">
      <c r="A80" s="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</row>
    <row r="81" spans="1:73" ht="14.25" customHeight="1" x14ac:dyDescent="0.2">
      <c r="A81" s="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</row>
    <row r="82" spans="1:73" ht="14.25" customHeight="1" x14ac:dyDescent="0.2">
      <c r="A82" s="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</row>
    <row r="83" spans="1:73" ht="14.25" customHeight="1" x14ac:dyDescent="0.2">
      <c r="A83" s="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</row>
    <row r="84" spans="1:73" ht="14.25" customHeight="1" x14ac:dyDescent="0.2">
      <c r="A84" s="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</row>
    <row r="85" spans="1:73" ht="14.25" customHeight="1" x14ac:dyDescent="0.2">
      <c r="A85" s="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spans="1:73" ht="14.25" customHeight="1" x14ac:dyDescent="0.2">
      <c r="A86" s="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</row>
    <row r="87" spans="1:73" ht="14.25" customHeight="1" x14ac:dyDescent="0.2">
      <c r="A87" s="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</row>
    <row r="88" spans="1:73" ht="14.25" customHeight="1" x14ac:dyDescent="0.2">
      <c r="A88" s="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</row>
    <row r="89" spans="1:73" ht="14.25" customHeight="1" x14ac:dyDescent="0.2">
      <c r="A89" s="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</row>
    <row r="90" spans="1:73" ht="14.25" customHeight="1" x14ac:dyDescent="0.2">
      <c r="A90" s="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</row>
    <row r="91" spans="1:73" ht="14.25" customHeight="1" x14ac:dyDescent="0.2">
      <c r="A91" s="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spans="1:73" ht="14.25" customHeight="1" x14ac:dyDescent="0.2">
      <c r="A92" s="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</row>
    <row r="93" spans="1:73" ht="14.25" customHeight="1" x14ac:dyDescent="0.2">
      <c r="A93" s="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</row>
    <row r="94" spans="1:73" ht="14.25" customHeight="1" x14ac:dyDescent="0.2">
      <c r="A94" s="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</row>
    <row r="95" spans="1:73" ht="14.25" customHeight="1" x14ac:dyDescent="0.2">
      <c r="A95" s="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</row>
    <row r="96" spans="1:73" ht="14.25" customHeight="1" x14ac:dyDescent="0.2">
      <c r="A96" s="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</row>
    <row r="97" spans="1:73" ht="14.25" customHeight="1" x14ac:dyDescent="0.2">
      <c r="A97" s="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spans="1:73" ht="14.25" customHeight="1" x14ac:dyDescent="0.2">
      <c r="A98" s="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</row>
    <row r="99" spans="1:73" ht="14.25" customHeight="1" x14ac:dyDescent="0.2">
      <c r="A99" s="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</row>
    <row r="100" spans="1:73" ht="14.25" customHeight="1" x14ac:dyDescent="0.2">
      <c r="A100" s="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</row>
    <row r="101" spans="1:73" ht="14.25" customHeight="1" x14ac:dyDescent="0.2">
      <c r="A101" s="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</row>
    <row r="102" spans="1:73" ht="14.25" customHeight="1" x14ac:dyDescent="0.2">
      <c r="A102" s="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</row>
    <row r="103" spans="1:73" ht="14.25" customHeight="1" x14ac:dyDescent="0.2">
      <c r="A103" s="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</row>
    <row r="104" spans="1:73" ht="14.25" customHeight="1" x14ac:dyDescent="0.2">
      <c r="A104" s="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spans="1:73" ht="14.25" customHeight="1" x14ac:dyDescent="0.2">
      <c r="A105" s="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</row>
    <row r="106" spans="1:73" ht="14.25" customHeight="1" x14ac:dyDescent="0.2">
      <c r="A106" s="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</row>
    <row r="107" spans="1:73" ht="14.25" customHeight="1" x14ac:dyDescent="0.2">
      <c r="A107" s="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</row>
    <row r="108" spans="1:73" ht="14.25" customHeight="1" x14ac:dyDescent="0.2">
      <c r="A108" s="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</row>
    <row r="109" spans="1:73" ht="14.25" customHeight="1" x14ac:dyDescent="0.2">
      <c r="A109" s="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</row>
    <row r="110" spans="1:73" ht="14.25" customHeight="1" x14ac:dyDescent="0.2">
      <c r="A110" s="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spans="1:73" ht="14.25" customHeight="1" x14ac:dyDescent="0.2">
      <c r="A111" s="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</row>
    <row r="112" spans="1:73" ht="14.25" customHeight="1" x14ac:dyDescent="0.2">
      <c r="A112" s="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</row>
    <row r="113" spans="1:73" ht="14.25" customHeight="1" x14ac:dyDescent="0.2">
      <c r="A113" s="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</row>
    <row r="114" spans="1:73" ht="14.25" customHeight="1" x14ac:dyDescent="0.2">
      <c r="A114" s="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</row>
    <row r="115" spans="1:73" ht="14.25" customHeight="1" x14ac:dyDescent="0.2">
      <c r="A115" s="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</row>
    <row r="116" spans="1:73" ht="14.25" customHeight="1" x14ac:dyDescent="0.2">
      <c r="A116" s="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spans="1:73" ht="14.25" customHeight="1" x14ac:dyDescent="0.2">
      <c r="A117" s="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</row>
    <row r="118" spans="1:73" ht="14.25" customHeight="1" x14ac:dyDescent="0.2">
      <c r="A118" s="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</row>
    <row r="119" spans="1:73" ht="14.25" customHeight="1" x14ac:dyDescent="0.2">
      <c r="A119" s="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</row>
    <row r="120" spans="1:73" ht="14.25" customHeight="1" x14ac:dyDescent="0.2">
      <c r="A120" s="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</row>
    <row r="121" spans="1:73" ht="14.25" customHeight="1" x14ac:dyDescent="0.2">
      <c r="A121" s="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</row>
    <row r="122" spans="1:73" ht="14.25" customHeight="1" x14ac:dyDescent="0.2">
      <c r="A122" s="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</row>
    <row r="123" spans="1:73" ht="14.25" customHeight="1" x14ac:dyDescent="0.2">
      <c r="A123" s="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</row>
    <row r="124" spans="1:73" ht="14.25" customHeight="1" x14ac:dyDescent="0.2">
      <c r="A124" s="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</row>
    <row r="125" spans="1:73" ht="14.25" customHeight="1" x14ac:dyDescent="0.2">
      <c r="A125" s="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</row>
    <row r="126" spans="1:73" ht="14.25" customHeight="1" x14ac:dyDescent="0.2">
      <c r="A126" s="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</row>
    <row r="127" spans="1:73" ht="14.25" customHeight="1" x14ac:dyDescent="0.2">
      <c r="A127" s="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</row>
    <row r="128" spans="1:73" ht="14.25" customHeight="1" x14ac:dyDescent="0.2">
      <c r="A128" s="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</row>
    <row r="129" spans="1:73" ht="14.25" customHeight="1" x14ac:dyDescent="0.2">
      <c r="A129" s="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</row>
    <row r="130" spans="1:73" ht="14.25" customHeight="1" x14ac:dyDescent="0.2">
      <c r="A130" s="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</row>
    <row r="131" spans="1:73" ht="14.25" customHeight="1" x14ac:dyDescent="0.2">
      <c r="A131" s="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</row>
    <row r="132" spans="1:73" ht="14.25" customHeight="1" x14ac:dyDescent="0.2">
      <c r="A132" s="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</row>
    <row r="133" spans="1:73" ht="14.25" customHeight="1" x14ac:dyDescent="0.2">
      <c r="A133" s="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</row>
    <row r="134" spans="1:73" ht="14.25" customHeight="1" x14ac:dyDescent="0.2">
      <c r="A134" s="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</row>
    <row r="135" spans="1:73" ht="14.25" customHeight="1" x14ac:dyDescent="0.2">
      <c r="A135" s="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</row>
    <row r="136" spans="1:73" ht="14.25" customHeight="1" x14ac:dyDescent="0.2">
      <c r="A136" s="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</row>
    <row r="137" spans="1:73" ht="14.25" customHeight="1" x14ac:dyDescent="0.2">
      <c r="A137" s="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</row>
    <row r="138" spans="1:73" ht="14.25" customHeight="1" x14ac:dyDescent="0.2">
      <c r="A138" s="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</row>
    <row r="139" spans="1:73" ht="14.25" customHeight="1" x14ac:dyDescent="0.2">
      <c r="A139" s="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</row>
    <row r="140" spans="1:73" ht="14.25" customHeight="1" x14ac:dyDescent="0.2">
      <c r="A140" s="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</row>
    <row r="141" spans="1:73" ht="14.25" customHeight="1" x14ac:dyDescent="0.2">
      <c r="A141" s="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</row>
    <row r="142" spans="1:73" ht="14.25" customHeight="1" x14ac:dyDescent="0.2">
      <c r="A142" s="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</row>
    <row r="143" spans="1:73" ht="14.25" customHeight="1" x14ac:dyDescent="0.2">
      <c r="A143" s="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</row>
    <row r="144" spans="1:73" ht="14.25" customHeight="1" x14ac:dyDescent="0.2">
      <c r="A144" s="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</row>
    <row r="145" spans="1:73" ht="14.25" customHeight="1" x14ac:dyDescent="0.2">
      <c r="A145" s="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</row>
    <row r="146" spans="1:73" ht="14.25" customHeight="1" x14ac:dyDescent="0.2">
      <c r="A146" s="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</row>
    <row r="147" spans="1:73" ht="14.25" customHeight="1" x14ac:dyDescent="0.2">
      <c r="A147" s="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</row>
    <row r="148" spans="1:73" ht="14.25" customHeight="1" x14ac:dyDescent="0.2">
      <c r="A148" s="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</row>
    <row r="149" spans="1:73" ht="14.25" customHeight="1" x14ac:dyDescent="0.2">
      <c r="A149" s="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</row>
    <row r="150" spans="1:73" ht="14.25" customHeight="1" x14ac:dyDescent="0.2">
      <c r="A150" s="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</row>
    <row r="151" spans="1:73" ht="14.25" customHeight="1" x14ac:dyDescent="0.2">
      <c r="A151" s="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</row>
    <row r="152" spans="1:73" ht="14.25" customHeight="1" x14ac:dyDescent="0.2">
      <c r="A152" s="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</row>
    <row r="153" spans="1:73" ht="14.25" customHeight="1" x14ac:dyDescent="0.2">
      <c r="A153" s="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</row>
    <row r="154" spans="1:73" ht="14.25" customHeight="1" x14ac:dyDescent="0.2">
      <c r="A154" s="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</row>
    <row r="155" spans="1:73" ht="14.25" customHeight="1" x14ac:dyDescent="0.2">
      <c r="A155" s="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</row>
    <row r="156" spans="1:73" ht="14.25" customHeight="1" x14ac:dyDescent="0.2">
      <c r="A156" s="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</row>
    <row r="157" spans="1:73" ht="14.25" customHeight="1" x14ac:dyDescent="0.2">
      <c r="A157" s="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</row>
    <row r="158" spans="1:73" ht="14.25" customHeight="1" x14ac:dyDescent="0.2">
      <c r="A158" s="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</row>
    <row r="159" spans="1:73" ht="14.25" customHeight="1" x14ac:dyDescent="0.2">
      <c r="A159" s="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</row>
    <row r="160" spans="1:73" ht="14.25" customHeight="1" x14ac:dyDescent="0.2">
      <c r="A160" s="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</row>
    <row r="161" spans="1:73" ht="14.25" customHeight="1" x14ac:dyDescent="0.2">
      <c r="A161" s="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</row>
    <row r="162" spans="1:73" ht="14.25" customHeight="1" x14ac:dyDescent="0.2">
      <c r="A162" s="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</row>
    <row r="163" spans="1:73" ht="14.25" customHeight="1" x14ac:dyDescent="0.2">
      <c r="A163" s="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</row>
    <row r="164" spans="1:73" ht="14.25" customHeight="1" x14ac:dyDescent="0.2">
      <c r="A164" s="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</row>
    <row r="165" spans="1:73" ht="14.25" customHeight="1" x14ac:dyDescent="0.2">
      <c r="A165" s="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</row>
    <row r="166" spans="1:73" ht="14.25" customHeight="1" x14ac:dyDescent="0.2">
      <c r="A166" s="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</row>
    <row r="167" spans="1:73" ht="14.25" customHeight="1" x14ac:dyDescent="0.2">
      <c r="A167" s="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</row>
    <row r="168" spans="1:73" ht="14.25" customHeight="1" x14ac:dyDescent="0.2">
      <c r="A168" s="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</row>
    <row r="169" spans="1:73" ht="14.25" customHeight="1" x14ac:dyDescent="0.2">
      <c r="A169" s="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</row>
    <row r="170" spans="1:73" ht="14.25" customHeight="1" x14ac:dyDescent="0.2">
      <c r="A170" s="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</row>
    <row r="171" spans="1:73" ht="14.25" customHeight="1" x14ac:dyDescent="0.2">
      <c r="A171" s="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</row>
    <row r="172" spans="1:73" ht="14.25" customHeight="1" x14ac:dyDescent="0.2">
      <c r="A172" s="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</row>
    <row r="173" spans="1:73" ht="14.25" customHeight="1" x14ac:dyDescent="0.2">
      <c r="A173" s="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</row>
    <row r="174" spans="1:73" ht="14.25" customHeight="1" x14ac:dyDescent="0.2">
      <c r="A174" s="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</row>
    <row r="175" spans="1:73" ht="14.25" customHeight="1" x14ac:dyDescent="0.2">
      <c r="A175" s="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</row>
    <row r="176" spans="1:73" ht="14.25" customHeight="1" x14ac:dyDescent="0.2">
      <c r="A176" s="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</row>
    <row r="177" spans="1:73" ht="14.25" customHeight="1" x14ac:dyDescent="0.2">
      <c r="A177" s="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</row>
    <row r="178" spans="1:73" ht="14.25" customHeight="1" x14ac:dyDescent="0.2">
      <c r="A178" s="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</row>
    <row r="179" spans="1:73" ht="14.25" customHeight="1" x14ac:dyDescent="0.2">
      <c r="A179" s="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</row>
    <row r="180" spans="1:73" ht="14.25" customHeight="1" x14ac:dyDescent="0.2">
      <c r="A180" s="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</row>
    <row r="181" spans="1:73" ht="14.25" customHeight="1" x14ac:dyDescent="0.2">
      <c r="A181" s="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</row>
    <row r="182" spans="1:73" ht="14.25" customHeight="1" x14ac:dyDescent="0.2">
      <c r="A182" s="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</row>
    <row r="183" spans="1:73" ht="14.25" customHeight="1" x14ac:dyDescent="0.2">
      <c r="A183" s="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</row>
    <row r="184" spans="1:73" ht="14.25" customHeight="1" x14ac:dyDescent="0.2">
      <c r="A184" s="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</row>
    <row r="185" spans="1:73" ht="14.25" customHeight="1" x14ac:dyDescent="0.2">
      <c r="A185" s="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</row>
    <row r="186" spans="1:73" ht="14.25" customHeight="1" x14ac:dyDescent="0.2">
      <c r="A186" s="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</row>
    <row r="187" spans="1:73" ht="14.25" customHeight="1" x14ac:dyDescent="0.2">
      <c r="A187" s="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</row>
    <row r="188" spans="1:73" ht="14.25" customHeight="1" x14ac:dyDescent="0.2">
      <c r="A188" s="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</row>
    <row r="189" spans="1:73" ht="14.25" customHeight="1" x14ac:dyDescent="0.2">
      <c r="A189" s="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</row>
    <row r="190" spans="1:73" ht="14.25" customHeight="1" x14ac:dyDescent="0.2">
      <c r="A190" s="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</row>
    <row r="191" spans="1:73" ht="14.25" customHeight="1" x14ac:dyDescent="0.2">
      <c r="A191" s="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</row>
    <row r="192" spans="1:73" ht="14.25" customHeight="1" x14ac:dyDescent="0.2">
      <c r="A192" s="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</row>
    <row r="193" spans="1:73" ht="14.25" customHeight="1" x14ac:dyDescent="0.2">
      <c r="A193" s="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</row>
    <row r="194" spans="1:73" ht="14.25" customHeight="1" x14ac:dyDescent="0.2">
      <c r="A194" s="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</row>
    <row r="195" spans="1:73" ht="14.25" customHeight="1" x14ac:dyDescent="0.2">
      <c r="A195" s="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</row>
    <row r="196" spans="1:73" ht="14.25" customHeight="1" x14ac:dyDescent="0.2">
      <c r="A196" s="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</row>
    <row r="197" spans="1:73" ht="14.25" customHeight="1" x14ac:dyDescent="0.2">
      <c r="A197" s="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</row>
    <row r="198" spans="1:73" ht="14.25" customHeight="1" x14ac:dyDescent="0.2">
      <c r="A198" s="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</row>
    <row r="199" spans="1:73" ht="14.25" customHeight="1" x14ac:dyDescent="0.2">
      <c r="A199" s="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</row>
    <row r="200" spans="1:73" ht="14.25" customHeight="1" x14ac:dyDescent="0.2">
      <c r="A200" s="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</row>
    <row r="201" spans="1:73" ht="14.25" customHeight="1" x14ac:dyDescent="0.2">
      <c r="A201" s="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</row>
    <row r="202" spans="1:73" ht="14.25" customHeight="1" x14ac:dyDescent="0.2">
      <c r="A202" s="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</row>
    <row r="203" spans="1:73" ht="14.25" customHeight="1" x14ac:dyDescent="0.2">
      <c r="A203" s="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</row>
    <row r="204" spans="1:73" ht="14.25" customHeight="1" x14ac:dyDescent="0.2">
      <c r="A204" s="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</row>
    <row r="205" spans="1:73" ht="14.25" customHeight="1" x14ac:dyDescent="0.2">
      <c r="A205" s="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</row>
    <row r="206" spans="1:73" ht="14.25" customHeight="1" x14ac:dyDescent="0.2">
      <c r="A206" s="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</row>
    <row r="207" spans="1:73" ht="14.25" customHeight="1" x14ac:dyDescent="0.2">
      <c r="A207" s="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</row>
    <row r="208" spans="1:73" ht="14.25" customHeight="1" x14ac:dyDescent="0.2">
      <c r="A208" s="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</row>
    <row r="209" spans="1:73" ht="14.25" customHeight="1" x14ac:dyDescent="0.2">
      <c r="A209" s="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</row>
    <row r="210" spans="1:73" ht="14.25" customHeight="1" x14ac:dyDescent="0.2">
      <c r="A210" s="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</row>
    <row r="211" spans="1:73" ht="14.25" customHeight="1" x14ac:dyDescent="0.2">
      <c r="A211" s="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</row>
    <row r="212" spans="1:73" ht="14.25" customHeight="1" x14ac:dyDescent="0.2">
      <c r="A212" s="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</row>
    <row r="213" spans="1:73" ht="14.25" customHeight="1" x14ac:dyDescent="0.2">
      <c r="A213" s="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</row>
    <row r="214" spans="1:73" ht="14.25" customHeight="1" x14ac:dyDescent="0.2">
      <c r="A214" s="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</row>
    <row r="215" spans="1:73" ht="14.25" customHeight="1" x14ac:dyDescent="0.2">
      <c r="A215" s="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</row>
    <row r="216" spans="1:73" ht="14.25" customHeight="1" x14ac:dyDescent="0.2">
      <c r="A216" s="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</row>
    <row r="217" spans="1:73" ht="14.25" customHeight="1" x14ac:dyDescent="0.2">
      <c r="A217" s="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</row>
    <row r="218" spans="1:73" ht="14.25" customHeight="1" x14ac:dyDescent="0.2">
      <c r="A218" s="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</row>
    <row r="219" spans="1:73" ht="14.25" customHeight="1" x14ac:dyDescent="0.2">
      <c r="A219" s="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</row>
    <row r="220" spans="1:73" ht="14.25" customHeight="1" x14ac:dyDescent="0.2">
      <c r="A220" s="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</row>
    <row r="221" spans="1:73" ht="14.25" customHeight="1" x14ac:dyDescent="0.2">
      <c r="A221" s="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</row>
    <row r="222" spans="1:73" ht="14.25" customHeight="1" x14ac:dyDescent="0.2">
      <c r="A222" s="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</row>
    <row r="223" spans="1:73" ht="14.25" customHeight="1" x14ac:dyDescent="0.2">
      <c r="A223" s="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</row>
    <row r="224" spans="1:73" ht="14.25" customHeight="1" x14ac:dyDescent="0.2">
      <c r="A224" s="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</row>
    <row r="225" spans="1:73" ht="14.25" customHeight="1" x14ac:dyDescent="0.2">
      <c r="A225" s="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</row>
    <row r="226" spans="1:73" ht="14.25" customHeight="1" x14ac:dyDescent="0.2">
      <c r="A226" s="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</row>
    <row r="227" spans="1:73" ht="14.25" customHeight="1" x14ac:dyDescent="0.2">
      <c r="A227" s="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</row>
    <row r="228" spans="1:73" ht="14.25" customHeight="1" x14ac:dyDescent="0.2">
      <c r="A228" s="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</row>
    <row r="229" spans="1:73" ht="14.25" customHeight="1" x14ac:dyDescent="0.2">
      <c r="A229" s="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</row>
    <row r="230" spans="1:73" ht="14.25" customHeight="1" x14ac:dyDescent="0.2">
      <c r="A230" s="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</row>
    <row r="231" spans="1:73" ht="14.25" customHeight="1" x14ac:dyDescent="0.2">
      <c r="A231" s="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</row>
    <row r="232" spans="1:73" ht="14.25" customHeight="1" x14ac:dyDescent="0.2">
      <c r="A232" s="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</row>
    <row r="233" spans="1:73" ht="14.25" customHeight="1" x14ac:dyDescent="0.2">
      <c r="A233" s="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</row>
    <row r="234" spans="1:73" ht="14.25" customHeight="1" x14ac:dyDescent="0.2">
      <c r="A234" s="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</row>
    <row r="235" spans="1:73" ht="14.25" customHeight="1" x14ac:dyDescent="0.2">
      <c r="A235" s="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</row>
    <row r="236" spans="1:73" ht="14.25" customHeight="1" x14ac:dyDescent="0.2">
      <c r="A236" s="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</row>
    <row r="237" spans="1:73" ht="14.25" customHeight="1" x14ac:dyDescent="0.2">
      <c r="A237" s="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</row>
    <row r="238" spans="1:73" ht="14.25" customHeight="1" x14ac:dyDescent="0.2">
      <c r="A238" s="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</row>
    <row r="239" spans="1:73" ht="14.25" customHeight="1" x14ac:dyDescent="0.2">
      <c r="A239" s="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</row>
    <row r="240" spans="1:73" ht="14.25" customHeight="1" x14ac:dyDescent="0.2">
      <c r="A240" s="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</row>
    <row r="241" spans="1:73" ht="14.25" customHeight="1" x14ac:dyDescent="0.2">
      <c r="A241" s="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</row>
    <row r="242" spans="1:73" ht="14.25" customHeight="1" x14ac:dyDescent="0.2">
      <c r="A242" s="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</row>
    <row r="243" spans="1:73" ht="14.25" customHeight="1" x14ac:dyDescent="0.2">
      <c r="A243" s="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</row>
    <row r="244" spans="1:73" ht="14.25" customHeight="1" x14ac:dyDescent="0.2">
      <c r="A244" s="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</row>
    <row r="245" spans="1:73" ht="14.25" customHeight="1" x14ac:dyDescent="0.2">
      <c r="A245" s="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</row>
    <row r="246" spans="1:73" ht="14.25" customHeight="1" x14ac:dyDescent="0.2">
      <c r="A246" s="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</row>
    <row r="247" spans="1:73" ht="14.25" customHeight="1" x14ac:dyDescent="0.2">
      <c r="A247" s="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</row>
    <row r="248" spans="1:73" ht="14.25" customHeight="1" x14ac:dyDescent="0.2">
      <c r="A248" s="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</row>
    <row r="249" spans="1:73" ht="14.25" customHeight="1" x14ac:dyDescent="0.2">
      <c r="A249" s="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</row>
    <row r="250" spans="1:73" ht="14.25" customHeight="1" x14ac:dyDescent="0.2">
      <c r="A250" s="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</row>
    <row r="251" spans="1:73" ht="14.25" customHeight="1" x14ac:dyDescent="0.2">
      <c r="A251" s="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</row>
    <row r="252" spans="1:73" ht="14.25" customHeight="1" x14ac:dyDescent="0.2">
      <c r="A252" s="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</row>
    <row r="253" spans="1:73" ht="14.25" customHeight="1" x14ac:dyDescent="0.2">
      <c r="A253" s="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</row>
    <row r="254" spans="1:73" ht="14.25" customHeight="1" x14ac:dyDescent="0.2">
      <c r="A254" s="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</row>
    <row r="255" spans="1:73" ht="14.25" customHeight="1" x14ac:dyDescent="0.2">
      <c r="A255" s="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</row>
    <row r="256" spans="1:73" ht="14.25" customHeight="1" x14ac:dyDescent="0.2">
      <c r="A256" s="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</row>
    <row r="257" spans="1:73" ht="14.25" customHeight="1" x14ac:dyDescent="0.2">
      <c r="A257" s="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</row>
    <row r="258" spans="1:73" ht="14.25" customHeight="1" x14ac:dyDescent="0.2">
      <c r="A258" s="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</row>
    <row r="259" spans="1:73" ht="14.25" customHeight="1" x14ac:dyDescent="0.2">
      <c r="A259" s="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</row>
    <row r="260" spans="1:73" ht="14.25" customHeight="1" x14ac:dyDescent="0.2">
      <c r="A260" s="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</row>
    <row r="261" spans="1:73" ht="14.25" customHeight="1" x14ac:dyDescent="0.2">
      <c r="A261" s="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</row>
    <row r="262" spans="1:73" ht="14.25" customHeight="1" x14ac:dyDescent="0.2">
      <c r="A262" s="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</row>
    <row r="263" spans="1:73" ht="14.25" customHeight="1" x14ac:dyDescent="0.2">
      <c r="A263" s="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</row>
    <row r="264" spans="1:73" ht="14.25" customHeight="1" x14ac:dyDescent="0.2">
      <c r="A264" s="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</row>
    <row r="265" spans="1:73" ht="14.25" customHeight="1" x14ac:dyDescent="0.2">
      <c r="A265" s="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</row>
    <row r="266" spans="1:73" ht="14.25" customHeight="1" x14ac:dyDescent="0.2">
      <c r="A266" s="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</row>
    <row r="267" spans="1:73" ht="15.75" customHeight="1" x14ac:dyDescent="0.2"/>
    <row r="268" spans="1:73" ht="15.75" customHeight="1" x14ac:dyDescent="0.2"/>
    <row r="269" spans="1:73" ht="15.75" customHeight="1" x14ac:dyDescent="0.2"/>
    <row r="270" spans="1:73" ht="15.75" customHeight="1" x14ac:dyDescent="0.2"/>
    <row r="271" spans="1:73" ht="15.75" customHeight="1" x14ac:dyDescent="0.2"/>
    <row r="272" spans="1:73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</vt:lpstr>
      <vt:lpstr>Summary</vt:lpstr>
      <vt:lpstr>Inputs</vt:lpstr>
      <vt:lpstr>Projection</vt:lpstr>
      <vt:lpstr>7 Year Projection</vt:lpstr>
      <vt:lpstr>7 Year Projection-Expanded</vt:lpstr>
      <vt:lpstr>Loan Payoff Schedule</vt:lpstr>
      <vt:lpstr>Rate Calculation</vt:lpstr>
      <vt:lpstr>Expense Comp Data</vt:lpstr>
      <vt:lpstr>Modeling</vt:lpstr>
      <vt:lpstr>Attrition Modeling</vt:lpstr>
      <vt:lpstr>Traditional Attrition</vt:lpstr>
      <vt:lpstr>IP Attrition</vt:lpstr>
      <vt:lpstr>RentalsVacates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 Jarvis</cp:lastModifiedBy>
  <dcterms:created xsi:type="dcterms:W3CDTF">2026-01-21T01:19:28Z</dcterms:created>
  <dcterms:modified xsi:type="dcterms:W3CDTF">2026-01-21T01:19:28Z</dcterms:modified>
</cp:coreProperties>
</file>